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Code\2. Mapa Analisis de rutas\Data\"/>
    </mc:Choice>
  </mc:AlternateContent>
  <xr:revisionPtr revIDLastSave="0" documentId="13_ncr:1_{38901646-0116-40E5-9493-D2863112DC2F}" xr6:coauthVersionLast="47" xr6:coauthVersionMax="47" xr10:uidLastSave="{00000000-0000-0000-0000-000000000000}"/>
  <bookViews>
    <workbookView xWindow="28680" yWindow="5310" windowWidth="20730" windowHeight="11040" tabRatio="837" activeTab="8" xr2:uid="{B15AB9BA-06F0-4129-BEF0-37CA5C9CDAEB}"/>
  </bookViews>
  <sheets>
    <sheet name="analisis segmento" sheetId="41" r:id="rId1"/>
    <sheet name="Base de datos Rutas" sheetId="8" r:id="rId2"/>
    <sheet name="Base de datos cedis" sheetId="1" r:id="rId3"/>
    <sheet name="Rentabilidad x Cedi" sheetId="16" r:id="rId4"/>
    <sheet name="Rentabilidad datos" sheetId="22" r:id="rId5"/>
    <sheet name="Análisis de KPIs" sheetId="38" r:id="rId6"/>
    <sheet name="Hoja de apoyo v2" sheetId="25" r:id="rId7"/>
    <sheet name="Estandares mix" sheetId="40" r:id="rId8"/>
    <sheet name="Analisis recomendación Rutas v2" sheetId="26" r:id="rId9"/>
  </sheets>
  <externalReferences>
    <externalReference r:id="rId10"/>
    <externalReference r:id="rId11"/>
    <externalReference r:id="rId12"/>
  </externalReferences>
  <definedNames>
    <definedName name="_xlnm._FilterDatabase" localSheetId="8" hidden="1">'Analisis recomendación Rutas v2'!$A$1:$BQ$796</definedName>
    <definedName name="_xlnm._FilterDatabase" localSheetId="6" hidden="1">'Hoja de apoyo v2'!$A$16:$J$20</definedName>
    <definedName name="_xlnm._FilterDatabase" localSheetId="4" hidden="1">'Rentabilidad datos'!$A$1:$P$61</definedName>
    <definedName name="Dia_A" localSheetId="3">'Rentabilidad x Cedi'!$G$9</definedName>
    <definedName name="EERR_Año">'[1]BD Llenado'!$U$6:$U$20102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717" i="41" l="1"/>
  <c r="H717" i="41"/>
  <c r="G717" i="41"/>
  <c r="F717" i="41"/>
  <c r="E717" i="41"/>
  <c r="D717" i="41"/>
  <c r="C717" i="41"/>
  <c r="B717" i="41"/>
  <c r="A717" i="41"/>
  <c r="I716" i="41"/>
  <c r="H716" i="41"/>
  <c r="G716" i="41"/>
  <c r="F716" i="41"/>
  <c r="E716" i="41"/>
  <c r="D716" i="41"/>
  <c r="C716" i="41"/>
  <c r="B716" i="41"/>
  <c r="A716" i="41"/>
  <c r="I715" i="41"/>
  <c r="H715" i="41"/>
  <c r="G715" i="41"/>
  <c r="F715" i="41"/>
  <c r="E715" i="41"/>
  <c r="D715" i="41"/>
  <c r="C715" i="41"/>
  <c r="B715" i="41"/>
  <c r="A715" i="41"/>
  <c r="I714" i="41"/>
  <c r="H714" i="41"/>
  <c r="G714" i="41"/>
  <c r="F714" i="41"/>
  <c r="E714" i="41"/>
  <c r="D714" i="41"/>
  <c r="C714" i="41"/>
  <c r="B714" i="41"/>
  <c r="A714" i="41"/>
  <c r="I713" i="41"/>
  <c r="H713" i="41"/>
  <c r="G713" i="41"/>
  <c r="F713" i="41"/>
  <c r="E713" i="41"/>
  <c r="D713" i="41"/>
  <c r="C713" i="41"/>
  <c r="B713" i="41"/>
  <c r="A713" i="41"/>
  <c r="I712" i="41"/>
  <c r="H712" i="41"/>
  <c r="G712" i="41"/>
  <c r="F712" i="41"/>
  <c r="E712" i="41"/>
  <c r="D712" i="41"/>
  <c r="C712" i="41"/>
  <c r="B712" i="41"/>
  <c r="A712" i="41"/>
  <c r="I711" i="41"/>
  <c r="H711" i="41"/>
  <c r="G711" i="41"/>
  <c r="F711" i="41"/>
  <c r="E711" i="41"/>
  <c r="D711" i="41"/>
  <c r="C711" i="41"/>
  <c r="B711" i="41"/>
  <c r="A711" i="41"/>
  <c r="I710" i="41"/>
  <c r="H710" i="41"/>
  <c r="G710" i="41"/>
  <c r="F710" i="41"/>
  <c r="E710" i="41"/>
  <c r="D710" i="41"/>
  <c r="C710" i="41"/>
  <c r="B710" i="41"/>
  <c r="A710" i="41"/>
  <c r="I709" i="41"/>
  <c r="H709" i="41"/>
  <c r="G709" i="41"/>
  <c r="F709" i="41"/>
  <c r="E709" i="41"/>
  <c r="D709" i="41"/>
  <c r="C709" i="41"/>
  <c r="B709" i="41"/>
  <c r="A709" i="41"/>
  <c r="I708" i="41"/>
  <c r="H708" i="41"/>
  <c r="G708" i="41"/>
  <c r="F708" i="41"/>
  <c r="E708" i="41"/>
  <c r="D708" i="41"/>
  <c r="C708" i="41"/>
  <c r="B708" i="41"/>
  <c r="A708" i="41"/>
  <c r="I707" i="41"/>
  <c r="H707" i="41"/>
  <c r="G707" i="41"/>
  <c r="F707" i="41"/>
  <c r="E707" i="41"/>
  <c r="D707" i="41"/>
  <c r="C707" i="41"/>
  <c r="B707" i="41"/>
  <c r="A707" i="41"/>
  <c r="I706" i="41"/>
  <c r="H706" i="41"/>
  <c r="G706" i="41"/>
  <c r="F706" i="41"/>
  <c r="E706" i="41"/>
  <c r="D706" i="41"/>
  <c r="C706" i="41"/>
  <c r="B706" i="41"/>
  <c r="A706" i="41"/>
  <c r="I705" i="41"/>
  <c r="H705" i="41"/>
  <c r="G705" i="41"/>
  <c r="F705" i="41"/>
  <c r="E705" i="41"/>
  <c r="D705" i="41"/>
  <c r="C705" i="41"/>
  <c r="B705" i="41"/>
  <c r="A705" i="41"/>
  <c r="I704" i="41"/>
  <c r="H704" i="41"/>
  <c r="G704" i="41"/>
  <c r="F704" i="41"/>
  <c r="E704" i="41"/>
  <c r="D704" i="41"/>
  <c r="C704" i="41"/>
  <c r="B704" i="41"/>
  <c r="A704" i="41"/>
  <c r="I703" i="41"/>
  <c r="H703" i="41"/>
  <c r="G703" i="41"/>
  <c r="F703" i="41"/>
  <c r="E703" i="41"/>
  <c r="D703" i="41"/>
  <c r="C703" i="41"/>
  <c r="B703" i="41"/>
  <c r="A703" i="41"/>
  <c r="I702" i="41"/>
  <c r="H702" i="41"/>
  <c r="G702" i="41"/>
  <c r="F702" i="41"/>
  <c r="E702" i="41"/>
  <c r="D702" i="41"/>
  <c r="C702" i="41"/>
  <c r="B702" i="41"/>
  <c r="A702" i="41"/>
  <c r="I701" i="41"/>
  <c r="H701" i="41"/>
  <c r="G701" i="41"/>
  <c r="F701" i="41"/>
  <c r="E701" i="41"/>
  <c r="D701" i="41"/>
  <c r="C701" i="41"/>
  <c r="B701" i="41"/>
  <c r="A701" i="41"/>
  <c r="I700" i="41"/>
  <c r="H700" i="41"/>
  <c r="G700" i="41"/>
  <c r="F700" i="41"/>
  <c r="E700" i="41"/>
  <c r="D700" i="41"/>
  <c r="C700" i="41"/>
  <c r="B700" i="41"/>
  <c r="A700" i="41"/>
  <c r="I699" i="41"/>
  <c r="H699" i="41"/>
  <c r="G699" i="41"/>
  <c r="F699" i="41"/>
  <c r="E699" i="41"/>
  <c r="D699" i="41"/>
  <c r="C699" i="41"/>
  <c r="B699" i="41"/>
  <c r="A699" i="41"/>
  <c r="I698" i="41"/>
  <c r="H698" i="41"/>
  <c r="G698" i="41"/>
  <c r="F698" i="41"/>
  <c r="E698" i="41"/>
  <c r="D698" i="41"/>
  <c r="C698" i="41"/>
  <c r="B698" i="41"/>
  <c r="A698" i="41"/>
  <c r="I697" i="41"/>
  <c r="H697" i="41"/>
  <c r="G697" i="41"/>
  <c r="F697" i="41"/>
  <c r="E697" i="41"/>
  <c r="D697" i="41"/>
  <c r="C697" i="41"/>
  <c r="B697" i="41"/>
  <c r="A697" i="41"/>
  <c r="I696" i="41"/>
  <c r="H696" i="41"/>
  <c r="G696" i="41"/>
  <c r="F696" i="41"/>
  <c r="E696" i="41"/>
  <c r="D696" i="41"/>
  <c r="C696" i="41"/>
  <c r="B696" i="41"/>
  <c r="A696" i="41"/>
  <c r="I695" i="41"/>
  <c r="H695" i="41"/>
  <c r="G695" i="41"/>
  <c r="F695" i="41"/>
  <c r="E695" i="41"/>
  <c r="D695" i="41"/>
  <c r="C695" i="41"/>
  <c r="B695" i="41"/>
  <c r="A695" i="41"/>
  <c r="I694" i="41"/>
  <c r="H694" i="41"/>
  <c r="G694" i="41"/>
  <c r="F694" i="41"/>
  <c r="E694" i="41"/>
  <c r="D694" i="41"/>
  <c r="C694" i="41"/>
  <c r="B694" i="41"/>
  <c r="A694" i="41"/>
  <c r="I693" i="41"/>
  <c r="H693" i="41"/>
  <c r="G693" i="41"/>
  <c r="F693" i="41"/>
  <c r="E693" i="41"/>
  <c r="D693" i="41"/>
  <c r="C693" i="41"/>
  <c r="B693" i="41"/>
  <c r="A693" i="41"/>
  <c r="I692" i="41"/>
  <c r="H692" i="41"/>
  <c r="G692" i="41"/>
  <c r="F692" i="41"/>
  <c r="E692" i="41"/>
  <c r="D692" i="41"/>
  <c r="C692" i="41"/>
  <c r="B692" i="41"/>
  <c r="A692" i="41"/>
  <c r="I691" i="41"/>
  <c r="H691" i="41"/>
  <c r="G691" i="41"/>
  <c r="F691" i="41"/>
  <c r="E691" i="41"/>
  <c r="D691" i="41"/>
  <c r="C691" i="41"/>
  <c r="B691" i="41"/>
  <c r="A691" i="41"/>
  <c r="I690" i="41"/>
  <c r="H690" i="41"/>
  <c r="G690" i="41"/>
  <c r="F690" i="41"/>
  <c r="E690" i="41"/>
  <c r="D690" i="41"/>
  <c r="C690" i="41"/>
  <c r="B690" i="41"/>
  <c r="A690" i="41"/>
  <c r="I689" i="41"/>
  <c r="H689" i="41"/>
  <c r="G689" i="41"/>
  <c r="F689" i="41"/>
  <c r="E689" i="41"/>
  <c r="D689" i="41"/>
  <c r="C689" i="41"/>
  <c r="B689" i="41"/>
  <c r="A689" i="41"/>
  <c r="I688" i="41"/>
  <c r="H688" i="41"/>
  <c r="G688" i="41"/>
  <c r="F688" i="41"/>
  <c r="E688" i="41"/>
  <c r="D688" i="41"/>
  <c r="C688" i="41"/>
  <c r="B688" i="41"/>
  <c r="A688" i="41"/>
  <c r="I687" i="41"/>
  <c r="H687" i="41"/>
  <c r="G687" i="41"/>
  <c r="F687" i="41"/>
  <c r="E687" i="41"/>
  <c r="D687" i="41"/>
  <c r="C687" i="41"/>
  <c r="B687" i="41"/>
  <c r="A687" i="41"/>
  <c r="I686" i="41"/>
  <c r="H686" i="41"/>
  <c r="G686" i="41"/>
  <c r="F686" i="41"/>
  <c r="E686" i="41"/>
  <c r="D686" i="41"/>
  <c r="C686" i="41"/>
  <c r="B686" i="41"/>
  <c r="A686" i="41"/>
  <c r="I685" i="41"/>
  <c r="H685" i="41"/>
  <c r="G685" i="41"/>
  <c r="F685" i="41"/>
  <c r="E685" i="41"/>
  <c r="D685" i="41"/>
  <c r="C685" i="41"/>
  <c r="B685" i="41"/>
  <c r="A685" i="41"/>
  <c r="I684" i="41"/>
  <c r="H684" i="41"/>
  <c r="G684" i="41"/>
  <c r="F684" i="41"/>
  <c r="E684" i="41"/>
  <c r="D684" i="41"/>
  <c r="C684" i="41"/>
  <c r="B684" i="41"/>
  <c r="A684" i="41"/>
  <c r="I683" i="41"/>
  <c r="H683" i="41"/>
  <c r="G683" i="41"/>
  <c r="F683" i="41"/>
  <c r="E683" i="41"/>
  <c r="D683" i="41"/>
  <c r="C683" i="41"/>
  <c r="B683" i="41"/>
  <c r="A683" i="41"/>
  <c r="I682" i="41"/>
  <c r="H682" i="41"/>
  <c r="G682" i="41"/>
  <c r="F682" i="41"/>
  <c r="E682" i="41"/>
  <c r="D682" i="41"/>
  <c r="C682" i="41"/>
  <c r="B682" i="41"/>
  <c r="A682" i="41"/>
  <c r="I681" i="41"/>
  <c r="H681" i="41"/>
  <c r="G681" i="41"/>
  <c r="F681" i="41"/>
  <c r="E681" i="41"/>
  <c r="D681" i="41"/>
  <c r="C681" i="41"/>
  <c r="B681" i="41"/>
  <c r="A681" i="41"/>
  <c r="I680" i="41"/>
  <c r="H680" i="41"/>
  <c r="G680" i="41"/>
  <c r="F680" i="41"/>
  <c r="E680" i="41"/>
  <c r="D680" i="41"/>
  <c r="C680" i="41"/>
  <c r="B680" i="41"/>
  <c r="A680" i="41"/>
  <c r="I679" i="41"/>
  <c r="H679" i="41"/>
  <c r="G679" i="41"/>
  <c r="F679" i="41"/>
  <c r="E679" i="41"/>
  <c r="D679" i="41"/>
  <c r="C679" i="41"/>
  <c r="B679" i="41"/>
  <c r="A679" i="41"/>
  <c r="I678" i="41"/>
  <c r="H678" i="41"/>
  <c r="G678" i="41"/>
  <c r="F678" i="41"/>
  <c r="E678" i="41"/>
  <c r="D678" i="41"/>
  <c r="C678" i="41"/>
  <c r="B678" i="41"/>
  <c r="A678" i="41"/>
  <c r="I677" i="41"/>
  <c r="H677" i="41"/>
  <c r="G677" i="41"/>
  <c r="F677" i="41"/>
  <c r="E677" i="41"/>
  <c r="D677" i="41"/>
  <c r="C677" i="41"/>
  <c r="B677" i="41"/>
  <c r="A677" i="41"/>
  <c r="I676" i="41"/>
  <c r="H676" i="41"/>
  <c r="G676" i="41"/>
  <c r="F676" i="41"/>
  <c r="E676" i="41"/>
  <c r="D676" i="41"/>
  <c r="C676" i="41"/>
  <c r="B676" i="41"/>
  <c r="A676" i="41"/>
  <c r="I675" i="41"/>
  <c r="H675" i="41"/>
  <c r="G675" i="41"/>
  <c r="F675" i="41"/>
  <c r="E675" i="41"/>
  <c r="D675" i="41"/>
  <c r="C675" i="41"/>
  <c r="B675" i="41"/>
  <c r="A675" i="41"/>
  <c r="I674" i="41"/>
  <c r="H674" i="41"/>
  <c r="G674" i="41"/>
  <c r="F674" i="41"/>
  <c r="E674" i="41"/>
  <c r="D674" i="41"/>
  <c r="C674" i="41"/>
  <c r="B674" i="41"/>
  <c r="A674" i="41"/>
  <c r="I673" i="41"/>
  <c r="H673" i="41"/>
  <c r="G673" i="41"/>
  <c r="F673" i="41"/>
  <c r="E673" i="41"/>
  <c r="D673" i="41"/>
  <c r="C673" i="41"/>
  <c r="B673" i="41"/>
  <c r="A673" i="41"/>
  <c r="I672" i="41"/>
  <c r="H672" i="41"/>
  <c r="G672" i="41"/>
  <c r="F672" i="41"/>
  <c r="E672" i="41"/>
  <c r="D672" i="41"/>
  <c r="C672" i="41"/>
  <c r="B672" i="41"/>
  <c r="A672" i="41"/>
  <c r="I671" i="41"/>
  <c r="H671" i="41"/>
  <c r="G671" i="41"/>
  <c r="F671" i="41"/>
  <c r="E671" i="41"/>
  <c r="D671" i="41"/>
  <c r="C671" i="41"/>
  <c r="B671" i="41"/>
  <c r="A671" i="41"/>
  <c r="I670" i="41"/>
  <c r="H670" i="41"/>
  <c r="G670" i="41"/>
  <c r="F670" i="41"/>
  <c r="E670" i="41"/>
  <c r="D670" i="41"/>
  <c r="C670" i="41"/>
  <c r="B670" i="41"/>
  <c r="A670" i="41"/>
  <c r="I669" i="41"/>
  <c r="H669" i="41"/>
  <c r="G669" i="41"/>
  <c r="F669" i="41"/>
  <c r="E669" i="41"/>
  <c r="D669" i="41"/>
  <c r="C669" i="41"/>
  <c r="B669" i="41"/>
  <c r="A669" i="41"/>
  <c r="I668" i="41"/>
  <c r="H668" i="41"/>
  <c r="G668" i="41"/>
  <c r="F668" i="41"/>
  <c r="E668" i="41"/>
  <c r="D668" i="41"/>
  <c r="C668" i="41"/>
  <c r="B668" i="41"/>
  <c r="A668" i="41"/>
  <c r="I667" i="41"/>
  <c r="H667" i="41"/>
  <c r="G667" i="41"/>
  <c r="F667" i="41"/>
  <c r="E667" i="41"/>
  <c r="D667" i="41"/>
  <c r="C667" i="41"/>
  <c r="B667" i="41"/>
  <c r="A667" i="41"/>
  <c r="I666" i="41"/>
  <c r="H666" i="41"/>
  <c r="G666" i="41"/>
  <c r="F666" i="41"/>
  <c r="E666" i="41"/>
  <c r="D666" i="41"/>
  <c r="C666" i="41"/>
  <c r="B666" i="41"/>
  <c r="A666" i="41"/>
  <c r="I665" i="41"/>
  <c r="H665" i="41"/>
  <c r="G665" i="41"/>
  <c r="F665" i="41"/>
  <c r="E665" i="41"/>
  <c r="D665" i="41"/>
  <c r="C665" i="41"/>
  <c r="B665" i="41"/>
  <c r="A665" i="41"/>
  <c r="I664" i="41"/>
  <c r="H664" i="41"/>
  <c r="G664" i="41"/>
  <c r="F664" i="41"/>
  <c r="E664" i="41"/>
  <c r="D664" i="41"/>
  <c r="C664" i="41"/>
  <c r="B664" i="41"/>
  <c r="A664" i="41"/>
  <c r="I663" i="41"/>
  <c r="H663" i="41"/>
  <c r="G663" i="41"/>
  <c r="F663" i="41"/>
  <c r="E663" i="41"/>
  <c r="D663" i="41"/>
  <c r="C663" i="41"/>
  <c r="B663" i="41"/>
  <c r="A663" i="41"/>
  <c r="I662" i="41"/>
  <c r="H662" i="41"/>
  <c r="G662" i="41"/>
  <c r="F662" i="41"/>
  <c r="E662" i="41"/>
  <c r="D662" i="41"/>
  <c r="C662" i="41"/>
  <c r="B662" i="41"/>
  <c r="A662" i="41"/>
  <c r="I661" i="41"/>
  <c r="H661" i="41"/>
  <c r="G661" i="41"/>
  <c r="F661" i="41"/>
  <c r="E661" i="41"/>
  <c r="D661" i="41"/>
  <c r="C661" i="41"/>
  <c r="B661" i="41"/>
  <c r="A661" i="41"/>
  <c r="I660" i="41"/>
  <c r="H660" i="41"/>
  <c r="G660" i="41"/>
  <c r="F660" i="41"/>
  <c r="E660" i="41"/>
  <c r="D660" i="41"/>
  <c r="C660" i="41"/>
  <c r="B660" i="41"/>
  <c r="A660" i="41"/>
  <c r="I659" i="41"/>
  <c r="H659" i="41"/>
  <c r="G659" i="41"/>
  <c r="F659" i="41"/>
  <c r="E659" i="41"/>
  <c r="D659" i="41"/>
  <c r="C659" i="41"/>
  <c r="B659" i="41"/>
  <c r="A659" i="41"/>
  <c r="I658" i="41"/>
  <c r="H658" i="41"/>
  <c r="G658" i="41"/>
  <c r="F658" i="41"/>
  <c r="E658" i="41"/>
  <c r="D658" i="41"/>
  <c r="C658" i="41"/>
  <c r="B658" i="41"/>
  <c r="A658" i="41"/>
  <c r="I657" i="41"/>
  <c r="H657" i="41"/>
  <c r="G657" i="41"/>
  <c r="F657" i="41"/>
  <c r="E657" i="41"/>
  <c r="D657" i="41"/>
  <c r="C657" i="41"/>
  <c r="B657" i="41"/>
  <c r="A657" i="41"/>
  <c r="I656" i="41"/>
  <c r="H656" i="41"/>
  <c r="G656" i="41"/>
  <c r="F656" i="41"/>
  <c r="E656" i="41"/>
  <c r="D656" i="41"/>
  <c r="C656" i="41"/>
  <c r="B656" i="41"/>
  <c r="A656" i="41"/>
  <c r="I655" i="41"/>
  <c r="H655" i="41"/>
  <c r="G655" i="41"/>
  <c r="F655" i="41"/>
  <c r="E655" i="41"/>
  <c r="D655" i="41"/>
  <c r="C655" i="41"/>
  <c r="B655" i="41"/>
  <c r="A655" i="41"/>
  <c r="I654" i="41"/>
  <c r="H654" i="41"/>
  <c r="G654" i="41"/>
  <c r="F654" i="41"/>
  <c r="E654" i="41"/>
  <c r="D654" i="41"/>
  <c r="C654" i="41"/>
  <c r="B654" i="41"/>
  <c r="A654" i="41"/>
  <c r="I653" i="41"/>
  <c r="H653" i="41"/>
  <c r="G653" i="41"/>
  <c r="F653" i="41"/>
  <c r="E653" i="41"/>
  <c r="D653" i="41"/>
  <c r="C653" i="41"/>
  <c r="B653" i="41"/>
  <c r="A653" i="41"/>
  <c r="I652" i="41"/>
  <c r="H652" i="41"/>
  <c r="G652" i="41"/>
  <c r="F652" i="41"/>
  <c r="E652" i="41"/>
  <c r="D652" i="41"/>
  <c r="C652" i="41"/>
  <c r="B652" i="41"/>
  <c r="A652" i="41"/>
  <c r="I651" i="41"/>
  <c r="H651" i="41"/>
  <c r="G651" i="41"/>
  <c r="F651" i="41"/>
  <c r="E651" i="41"/>
  <c r="D651" i="41"/>
  <c r="C651" i="41"/>
  <c r="B651" i="41"/>
  <c r="A651" i="41"/>
  <c r="I650" i="41"/>
  <c r="H650" i="41"/>
  <c r="G650" i="41"/>
  <c r="F650" i="41"/>
  <c r="E650" i="41"/>
  <c r="D650" i="41"/>
  <c r="C650" i="41"/>
  <c r="B650" i="41"/>
  <c r="A650" i="41"/>
  <c r="I649" i="41"/>
  <c r="H649" i="41"/>
  <c r="G649" i="41"/>
  <c r="F649" i="41"/>
  <c r="E649" i="41"/>
  <c r="D649" i="41"/>
  <c r="C649" i="41"/>
  <c r="B649" i="41"/>
  <c r="A649" i="41"/>
  <c r="I648" i="41"/>
  <c r="H648" i="41"/>
  <c r="G648" i="41"/>
  <c r="F648" i="41"/>
  <c r="E648" i="41"/>
  <c r="D648" i="41"/>
  <c r="C648" i="41"/>
  <c r="B648" i="41"/>
  <c r="A648" i="41"/>
  <c r="I647" i="41"/>
  <c r="H647" i="41"/>
  <c r="G647" i="41"/>
  <c r="F647" i="41"/>
  <c r="E647" i="41"/>
  <c r="D647" i="41"/>
  <c r="C647" i="41"/>
  <c r="B647" i="41"/>
  <c r="A647" i="41"/>
  <c r="I646" i="41"/>
  <c r="H646" i="41"/>
  <c r="G646" i="41"/>
  <c r="F646" i="41"/>
  <c r="E646" i="41"/>
  <c r="D646" i="41"/>
  <c r="C646" i="41"/>
  <c r="B646" i="41"/>
  <c r="A646" i="41"/>
  <c r="I645" i="41"/>
  <c r="H645" i="41"/>
  <c r="G645" i="41"/>
  <c r="F645" i="41"/>
  <c r="E645" i="41"/>
  <c r="D645" i="41"/>
  <c r="C645" i="41"/>
  <c r="B645" i="41"/>
  <c r="A645" i="41"/>
  <c r="I644" i="41"/>
  <c r="H644" i="41"/>
  <c r="G644" i="41"/>
  <c r="F644" i="41"/>
  <c r="E644" i="41"/>
  <c r="D644" i="41"/>
  <c r="C644" i="41"/>
  <c r="B644" i="41"/>
  <c r="A644" i="41"/>
  <c r="I643" i="41"/>
  <c r="H643" i="41"/>
  <c r="G643" i="41"/>
  <c r="F643" i="41"/>
  <c r="E643" i="41"/>
  <c r="D643" i="41"/>
  <c r="C643" i="41"/>
  <c r="B643" i="41"/>
  <c r="A643" i="41"/>
  <c r="I642" i="41"/>
  <c r="H642" i="41"/>
  <c r="G642" i="41"/>
  <c r="F642" i="41"/>
  <c r="E642" i="41"/>
  <c r="D642" i="41"/>
  <c r="C642" i="41"/>
  <c r="B642" i="41"/>
  <c r="A642" i="41"/>
  <c r="I641" i="41"/>
  <c r="H641" i="41"/>
  <c r="G641" i="41"/>
  <c r="F641" i="41"/>
  <c r="E641" i="41"/>
  <c r="D641" i="41"/>
  <c r="C641" i="41"/>
  <c r="B641" i="41"/>
  <c r="A641" i="41"/>
  <c r="I640" i="41"/>
  <c r="H640" i="41"/>
  <c r="G640" i="41"/>
  <c r="F640" i="41"/>
  <c r="E640" i="41"/>
  <c r="D640" i="41"/>
  <c r="C640" i="41"/>
  <c r="B640" i="41"/>
  <c r="A640" i="41"/>
  <c r="I639" i="41"/>
  <c r="H639" i="41"/>
  <c r="G639" i="41"/>
  <c r="F639" i="41"/>
  <c r="E639" i="41"/>
  <c r="D639" i="41"/>
  <c r="C639" i="41"/>
  <c r="B639" i="41"/>
  <c r="A639" i="41"/>
  <c r="I638" i="41"/>
  <c r="H638" i="41"/>
  <c r="G638" i="41"/>
  <c r="F638" i="41"/>
  <c r="E638" i="41"/>
  <c r="D638" i="41"/>
  <c r="C638" i="41"/>
  <c r="B638" i="41"/>
  <c r="A638" i="41"/>
  <c r="I637" i="41"/>
  <c r="H637" i="41"/>
  <c r="G637" i="41"/>
  <c r="F637" i="41"/>
  <c r="E637" i="41"/>
  <c r="D637" i="41"/>
  <c r="C637" i="41"/>
  <c r="B637" i="41"/>
  <c r="A637" i="41"/>
  <c r="I636" i="41"/>
  <c r="H636" i="41"/>
  <c r="G636" i="41"/>
  <c r="F636" i="41"/>
  <c r="E636" i="41"/>
  <c r="D636" i="41"/>
  <c r="C636" i="41"/>
  <c r="B636" i="41"/>
  <c r="A636" i="41"/>
  <c r="I635" i="41"/>
  <c r="H635" i="41"/>
  <c r="G635" i="41"/>
  <c r="F635" i="41"/>
  <c r="E635" i="41"/>
  <c r="D635" i="41"/>
  <c r="C635" i="41"/>
  <c r="B635" i="41"/>
  <c r="A635" i="41"/>
  <c r="I634" i="41"/>
  <c r="H634" i="41"/>
  <c r="G634" i="41"/>
  <c r="F634" i="41"/>
  <c r="E634" i="41"/>
  <c r="D634" i="41"/>
  <c r="C634" i="41"/>
  <c r="B634" i="41"/>
  <c r="A634" i="41"/>
  <c r="I633" i="41"/>
  <c r="H633" i="41"/>
  <c r="G633" i="41"/>
  <c r="F633" i="41"/>
  <c r="E633" i="41"/>
  <c r="D633" i="41"/>
  <c r="C633" i="41"/>
  <c r="B633" i="41"/>
  <c r="A633" i="41"/>
  <c r="I632" i="41"/>
  <c r="H632" i="41"/>
  <c r="G632" i="41"/>
  <c r="F632" i="41"/>
  <c r="E632" i="41"/>
  <c r="D632" i="41"/>
  <c r="C632" i="41"/>
  <c r="B632" i="41"/>
  <c r="A632" i="41"/>
  <c r="I631" i="41"/>
  <c r="H631" i="41"/>
  <c r="G631" i="41"/>
  <c r="F631" i="41"/>
  <c r="E631" i="41"/>
  <c r="D631" i="41"/>
  <c r="C631" i="41"/>
  <c r="B631" i="41"/>
  <c r="A631" i="41"/>
  <c r="I630" i="41"/>
  <c r="H630" i="41"/>
  <c r="G630" i="41"/>
  <c r="F630" i="41"/>
  <c r="E630" i="41"/>
  <c r="D630" i="41"/>
  <c r="C630" i="41"/>
  <c r="B630" i="41"/>
  <c r="A630" i="41"/>
  <c r="I629" i="41"/>
  <c r="H629" i="41"/>
  <c r="G629" i="41"/>
  <c r="F629" i="41"/>
  <c r="E629" i="41"/>
  <c r="D629" i="41"/>
  <c r="C629" i="41"/>
  <c r="B629" i="41"/>
  <c r="A629" i="41"/>
  <c r="I628" i="41"/>
  <c r="H628" i="41"/>
  <c r="G628" i="41"/>
  <c r="F628" i="41"/>
  <c r="E628" i="41"/>
  <c r="D628" i="41"/>
  <c r="C628" i="41"/>
  <c r="B628" i="41"/>
  <c r="A628" i="41"/>
  <c r="I627" i="41"/>
  <c r="H627" i="41"/>
  <c r="G627" i="41"/>
  <c r="F627" i="41"/>
  <c r="E627" i="41"/>
  <c r="D627" i="41"/>
  <c r="C627" i="41"/>
  <c r="B627" i="41"/>
  <c r="A627" i="41"/>
  <c r="I626" i="41"/>
  <c r="H626" i="41"/>
  <c r="G626" i="41"/>
  <c r="F626" i="41"/>
  <c r="E626" i="41"/>
  <c r="D626" i="41"/>
  <c r="C626" i="41"/>
  <c r="B626" i="41"/>
  <c r="A626" i="41"/>
  <c r="I625" i="41"/>
  <c r="H625" i="41"/>
  <c r="G625" i="41"/>
  <c r="F625" i="41"/>
  <c r="E625" i="41"/>
  <c r="D625" i="41"/>
  <c r="C625" i="41"/>
  <c r="B625" i="41"/>
  <c r="A625" i="41"/>
  <c r="I624" i="41"/>
  <c r="H624" i="41"/>
  <c r="G624" i="41"/>
  <c r="F624" i="41"/>
  <c r="E624" i="41"/>
  <c r="D624" i="41"/>
  <c r="C624" i="41"/>
  <c r="B624" i="41"/>
  <c r="A624" i="41"/>
  <c r="I623" i="41"/>
  <c r="H623" i="41"/>
  <c r="G623" i="41"/>
  <c r="F623" i="41"/>
  <c r="E623" i="41"/>
  <c r="D623" i="41"/>
  <c r="C623" i="41"/>
  <c r="B623" i="41"/>
  <c r="A623" i="41"/>
  <c r="I622" i="41"/>
  <c r="H622" i="41"/>
  <c r="G622" i="41"/>
  <c r="F622" i="41"/>
  <c r="E622" i="41"/>
  <c r="D622" i="41"/>
  <c r="C622" i="41"/>
  <c r="B622" i="41"/>
  <c r="A622" i="41"/>
  <c r="I621" i="41"/>
  <c r="H621" i="41"/>
  <c r="G621" i="41"/>
  <c r="F621" i="41"/>
  <c r="E621" i="41"/>
  <c r="D621" i="41"/>
  <c r="C621" i="41"/>
  <c r="B621" i="41"/>
  <c r="A621" i="41"/>
  <c r="I620" i="41"/>
  <c r="H620" i="41"/>
  <c r="G620" i="41"/>
  <c r="F620" i="41"/>
  <c r="E620" i="41"/>
  <c r="D620" i="41"/>
  <c r="C620" i="41"/>
  <c r="B620" i="41"/>
  <c r="A620" i="41"/>
  <c r="I619" i="41"/>
  <c r="H619" i="41"/>
  <c r="G619" i="41"/>
  <c r="F619" i="41"/>
  <c r="E619" i="41"/>
  <c r="D619" i="41"/>
  <c r="C619" i="41"/>
  <c r="B619" i="41"/>
  <c r="A619" i="41"/>
  <c r="I618" i="41"/>
  <c r="H618" i="41"/>
  <c r="G618" i="41"/>
  <c r="F618" i="41"/>
  <c r="E618" i="41"/>
  <c r="D618" i="41"/>
  <c r="C618" i="41"/>
  <c r="B618" i="41"/>
  <c r="A618" i="41"/>
  <c r="I617" i="41"/>
  <c r="H617" i="41"/>
  <c r="G617" i="41"/>
  <c r="F617" i="41"/>
  <c r="E617" i="41"/>
  <c r="D617" i="41"/>
  <c r="C617" i="41"/>
  <c r="B617" i="41"/>
  <c r="A617" i="41"/>
  <c r="I616" i="41"/>
  <c r="H616" i="41"/>
  <c r="G616" i="41"/>
  <c r="F616" i="41"/>
  <c r="E616" i="41"/>
  <c r="D616" i="41"/>
  <c r="C616" i="41"/>
  <c r="B616" i="41"/>
  <c r="A616" i="41"/>
  <c r="I615" i="41"/>
  <c r="H615" i="41"/>
  <c r="G615" i="41"/>
  <c r="F615" i="41"/>
  <c r="E615" i="41"/>
  <c r="D615" i="41"/>
  <c r="C615" i="41"/>
  <c r="B615" i="41"/>
  <c r="A615" i="41"/>
  <c r="I614" i="41"/>
  <c r="H614" i="41"/>
  <c r="G614" i="41"/>
  <c r="F614" i="41"/>
  <c r="E614" i="41"/>
  <c r="D614" i="41"/>
  <c r="C614" i="41"/>
  <c r="B614" i="41"/>
  <c r="A614" i="41"/>
  <c r="I613" i="41"/>
  <c r="H613" i="41"/>
  <c r="G613" i="41"/>
  <c r="F613" i="41"/>
  <c r="E613" i="41"/>
  <c r="D613" i="41"/>
  <c r="C613" i="41"/>
  <c r="B613" i="41"/>
  <c r="A613" i="41"/>
  <c r="I612" i="41"/>
  <c r="H612" i="41"/>
  <c r="G612" i="41"/>
  <c r="F612" i="41"/>
  <c r="E612" i="41"/>
  <c r="D612" i="41"/>
  <c r="C612" i="41"/>
  <c r="B612" i="41"/>
  <c r="A612" i="41"/>
  <c r="I611" i="41"/>
  <c r="H611" i="41"/>
  <c r="G611" i="41"/>
  <c r="F611" i="41"/>
  <c r="E611" i="41"/>
  <c r="D611" i="41"/>
  <c r="C611" i="41"/>
  <c r="B611" i="41"/>
  <c r="A611" i="41"/>
  <c r="I610" i="41"/>
  <c r="H610" i="41"/>
  <c r="G610" i="41"/>
  <c r="F610" i="41"/>
  <c r="E610" i="41"/>
  <c r="D610" i="41"/>
  <c r="C610" i="41"/>
  <c r="B610" i="41"/>
  <c r="A610" i="41"/>
  <c r="I609" i="41"/>
  <c r="H609" i="41"/>
  <c r="G609" i="41"/>
  <c r="F609" i="41"/>
  <c r="E609" i="41"/>
  <c r="D609" i="41"/>
  <c r="C609" i="41"/>
  <c r="B609" i="41"/>
  <c r="A609" i="41"/>
  <c r="I608" i="41"/>
  <c r="H608" i="41"/>
  <c r="G608" i="41"/>
  <c r="F608" i="41"/>
  <c r="E608" i="41"/>
  <c r="D608" i="41"/>
  <c r="C608" i="41"/>
  <c r="B608" i="41"/>
  <c r="A608" i="41"/>
  <c r="I607" i="41"/>
  <c r="H607" i="41"/>
  <c r="G607" i="41"/>
  <c r="F607" i="41"/>
  <c r="E607" i="41"/>
  <c r="D607" i="41"/>
  <c r="C607" i="41"/>
  <c r="B607" i="41"/>
  <c r="A607" i="41"/>
  <c r="I606" i="41"/>
  <c r="H606" i="41"/>
  <c r="G606" i="41"/>
  <c r="F606" i="41"/>
  <c r="E606" i="41"/>
  <c r="D606" i="41"/>
  <c r="C606" i="41"/>
  <c r="B606" i="41"/>
  <c r="A606" i="41"/>
  <c r="I605" i="41"/>
  <c r="H605" i="41"/>
  <c r="G605" i="41"/>
  <c r="F605" i="41"/>
  <c r="E605" i="41"/>
  <c r="D605" i="41"/>
  <c r="C605" i="41"/>
  <c r="B605" i="41"/>
  <c r="A605" i="41"/>
  <c r="I604" i="41"/>
  <c r="H604" i="41"/>
  <c r="G604" i="41"/>
  <c r="F604" i="41"/>
  <c r="E604" i="41"/>
  <c r="D604" i="41"/>
  <c r="C604" i="41"/>
  <c r="B604" i="41"/>
  <c r="A604" i="41"/>
  <c r="I603" i="41"/>
  <c r="H603" i="41"/>
  <c r="G603" i="41"/>
  <c r="F603" i="41"/>
  <c r="E603" i="41"/>
  <c r="D603" i="41"/>
  <c r="C603" i="41"/>
  <c r="B603" i="41"/>
  <c r="A603" i="41"/>
  <c r="I602" i="41"/>
  <c r="H602" i="41"/>
  <c r="G602" i="41"/>
  <c r="F602" i="41"/>
  <c r="E602" i="41"/>
  <c r="D602" i="41"/>
  <c r="C602" i="41"/>
  <c r="B602" i="41"/>
  <c r="A602" i="41"/>
  <c r="I601" i="41"/>
  <c r="H601" i="41"/>
  <c r="G601" i="41"/>
  <c r="F601" i="41"/>
  <c r="E601" i="41"/>
  <c r="D601" i="41"/>
  <c r="C601" i="41"/>
  <c r="B601" i="41"/>
  <c r="A601" i="41"/>
  <c r="I600" i="41"/>
  <c r="H600" i="41"/>
  <c r="G600" i="41"/>
  <c r="F600" i="41"/>
  <c r="E600" i="41"/>
  <c r="D600" i="41"/>
  <c r="C600" i="41"/>
  <c r="B600" i="41"/>
  <c r="A600" i="41"/>
  <c r="I599" i="41"/>
  <c r="H599" i="41"/>
  <c r="G599" i="41"/>
  <c r="F599" i="41"/>
  <c r="E599" i="41"/>
  <c r="D599" i="41"/>
  <c r="C599" i="41"/>
  <c r="B599" i="41"/>
  <c r="A599" i="41"/>
  <c r="I598" i="41"/>
  <c r="H598" i="41"/>
  <c r="G598" i="41"/>
  <c r="F598" i="41"/>
  <c r="E598" i="41"/>
  <c r="D598" i="41"/>
  <c r="C598" i="41"/>
  <c r="B598" i="41"/>
  <c r="A598" i="41"/>
  <c r="I597" i="41"/>
  <c r="H597" i="41"/>
  <c r="G597" i="41"/>
  <c r="F597" i="41"/>
  <c r="E597" i="41"/>
  <c r="D597" i="41"/>
  <c r="C597" i="41"/>
  <c r="B597" i="41"/>
  <c r="A597" i="41"/>
  <c r="I596" i="41"/>
  <c r="H596" i="41"/>
  <c r="G596" i="41"/>
  <c r="F596" i="41"/>
  <c r="E596" i="41"/>
  <c r="D596" i="41"/>
  <c r="C596" i="41"/>
  <c r="B596" i="41"/>
  <c r="A596" i="41"/>
  <c r="I595" i="41"/>
  <c r="H595" i="41"/>
  <c r="G595" i="41"/>
  <c r="F595" i="41"/>
  <c r="E595" i="41"/>
  <c r="D595" i="41"/>
  <c r="C595" i="41"/>
  <c r="B595" i="41"/>
  <c r="A595" i="41"/>
  <c r="I594" i="41"/>
  <c r="H594" i="41"/>
  <c r="G594" i="41"/>
  <c r="F594" i="41"/>
  <c r="E594" i="41"/>
  <c r="D594" i="41"/>
  <c r="C594" i="41"/>
  <c r="B594" i="41"/>
  <c r="A594" i="41"/>
  <c r="I593" i="41"/>
  <c r="H593" i="41"/>
  <c r="G593" i="41"/>
  <c r="F593" i="41"/>
  <c r="E593" i="41"/>
  <c r="D593" i="41"/>
  <c r="C593" i="41"/>
  <c r="B593" i="41"/>
  <c r="A593" i="41"/>
  <c r="I592" i="41"/>
  <c r="H592" i="41"/>
  <c r="G592" i="41"/>
  <c r="F592" i="41"/>
  <c r="E592" i="41"/>
  <c r="D592" i="41"/>
  <c r="C592" i="41"/>
  <c r="B592" i="41"/>
  <c r="A592" i="41"/>
  <c r="I591" i="41"/>
  <c r="H591" i="41"/>
  <c r="G591" i="41"/>
  <c r="F591" i="41"/>
  <c r="E591" i="41"/>
  <c r="D591" i="41"/>
  <c r="C591" i="41"/>
  <c r="B591" i="41"/>
  <c r="A591" i="41"/>
  <c r="I590" i="41"/>
  <c r="H590" i="41"/>
  <c r="G590" i="41"/>
  <c r="F590" i="41"/>
  <c r="E590" i="41"/>
  <c r="D590" i="41"/>
  <c r="C590" i="41"/>
  <c r="B590" i="41"/>
  <c r="A590" i="41"/>
  <c r="I589" i="41"/>
  <c r="H589" i="41"/>
  <c r="G589" i="41"/>
  <c r="F589" i="41"/>
  <c r="E589" i="41"/>
  <c r="D589" i="41"/>
  <c r="C589" i="41"/>
  <c r="B589" i="41"/>
  <c r="A589" i="41"/>
  <c r="I588" i="41"/>
  <c r="H588" i="41"/>
  <c r="G588" i="41"/>
  <c r="F588" i="41"/>
  <c r="E588" i="41"/>
  <c r="D588" i="41"/>
  <c r="C588" i="41"/>
  <c r="B588" i="41"/>
  <c r="A588" i="41"/>
  <c r="I587" i="41"/>
  <c r="H587" i="41"/>
  <c r="G587" i="41"/>
  <c r="F587" i="41"/>
  <c r="E587" i="41"/>
  <c r="D587" i="41"/>
  <c r="C587" i="41"/>
  <c r="B587" i="41"/>
  <c r="A587" i="41"/>
  <c r="I586" i="41"/>
  <c r="H586" i="41"/>
  <c r="G586" i="41"/>
  <c r="F586" i="41"/>
  <c r="E586" i="41"/>
  <c r="D586" i="41"/>
  <c r="C586" i="41"/>
  <c r="B586" i="41"/>
  <c r="A586" i="41"/>
  <c r="I585" i="41"/>
  <c r="H585" i="41"/>
  <c r="G585" i="41"/>
  <c r="F585" i="41"/>
  <c r="E585" i="41"/>
  <c r="D585" i="41"/>
  <c r="C585" i="41"/>
  <c r="B585" i="41"/>
  <c r="A585" i="41"/>
  <c r="I584" i="41"/>
  <c r="H584" i="41"/>
  <c r="G584" i="41"/>
  <c r="F584" i="41"/>
  <c r="E584" i="41"/>
  <c r="D584" i="41"/>
  <c r="C584" i="41"/>
  <c r="B584" i="41"/>
  <c r="A584" i="41"/>
  <c r="I583" i="41"/>
  <c r="H583" i="41"/>
  <c r="G583" i="41"/>
  <c r="F583" i="41"/>
  <c r="E583" i="41"/>
  <c r="D583" i="41"/>
  <c r="C583" i="41"/>
  <c r="B583" i="41"/>
  <c r="A583" i="41"/>
  <c r="I582" i="41"/>
  <c r="H582" i="41"/>
  <c r="G582" i="41"/>
  <c r="F582" i="41"/>
  <c r="E582" i="41"/>
  <c r="D582" i="41"/>
  <c r="C582" i="41"/>
  <c r="B582" i="41"/>
  <c r="A582" i="41"/>
  <c r="I581" i="41"/>
  <c r="H581" i="41"/>
  <c r="G581" i="41"/>
  <c r="F581" i="41"/>
  <c r="E581" i="41"/>
  <c r="D581" i="41"/>
  <c r="C581" i="41"/>
  <c r="B581" i="41"/>
  <c r="A581" i="41"/>
  <c r="I580" i="41"/>
  <c r="H580" i="41"/>
  <c r="G580" i="41"/>
  <c r="F580" i="41"/>
  <c r="E580" i="41"/>
  <c r="D580" i="41"/>
  <c r="C580" i="41"/>
  <c r="B580" i="41"/>
  <c r="A580" i="41"/>
  <c r="I579" i="41"/>
  <c r="H579" i="41"/>
  <c r="G579" i="41"/>
  <c r="F579" i="41"/>
  <c r="E579" i="41"/>
  <c r="D579" i="41"/>
  <c r="C579" i="41"/>
  <c r="B579" i="41"/>
  <c r="A579" i="41"/>
  <c r="I578" i="41"/>
  <c r="H578" i="41"/>
  <c r="G578" i="41"/>
  <c r="F578" i="41"/>
  <c r="E578" i="41"/>
  <c r="D578" i="41"/>
  <c r="C578" i="41"/>
  <c r="B578" i="41"/>
  <c r="A578" i="41"/>
  <c r="I577" i="41"/>
  <c r="H577" i="41"/>
  <c r="G577" i="41"/>
  <c r="F577" i="41"/>
  <c r="E577" i="41"/>
  <c r="D577" i="41"/>
  <c r="C577" i="41"/>
  <c r="B577" i="41"/>
  <c r="A577" i="41"/>
  <c r="I576" i="41"/>
  <c r="H576" i="41"/>
  <c r="G576" i="41"/>
  <c r="F576" i="41"/>
  <c r="E576" i="41"/>
  <c r="D576" i="41"/>
  <c r="C576" i="41"/>
  <c r="B576" i="41"/>
  <c r="A576" i="41"/>
  <c r="I575" i="41"/>
  <c r="H575" i="41"/>
  <c r="G575" i="41"/>
  <c r="F575" i="41"/>
  <c r="E575" i="41"/>
  <c r="D575" i="41"/>
  <c r="C575" i="41"/>
  <c r="B575" i="41"/>
  <c r="A575" i="41"/>
  <c r="I574" i="41"/>
  <c r="H574" i="41"/>
  <c r="G574" i="41"/>
  <c r="F574" i="41"/>
  <c r="E574" i="41"/>
  <c r="D574" i="41"/>
  <c r="C574" i="41"/>
  <c r="B574" i="41"/>
  <c r="A574" i="41"/>
  <c r="I573" i="41"/>
  <c r="H573" i="41"/>
  <c r="G573" i="41"/>
  <c r="F573" i="41"/>
  <c r="E573" i="41"/>
  <c r="D573" i="41"/>
  <c r="C573" i="41"/>
  <c r="B573" i="41"/>
  <c r="A573" i="41"/>
  <c r="I572" i="41"/>
  <c r="H572" i="41"/>
  <c r="G572" i="41"/>
  <c r="F572" i="41"/>
  <c r="E572" i="41"/>
  <c r="D572" i="41"/>
  <c r="C572" i="41"/>
  <c r="B572" i="41"/>
  <c r="A572" i="41"/>
  <c r="I571" i="41"/>
  <c r="H571" i="41"/>
  <c r="G571" i="41"/>
  <c r="F571" i="41"/>
  <c r="E571" i="41"/>
  <c r="D571" i="41"/>
  <c r="C571" i="41"/>
  <c r="B571" i="41"/>
  <c r="A571" i="41"/>
  <c r="I570" i="41"/>
  <c r="H570" i="41"/>
  <c r="G570" i="41"/>
  <c r="F570" i="41"/>
  <c r="E570" i="41"/>
  <c r="D570" i="41"/>
  <c r="C570" i="41"/>
  <c r="B570" i="41"/>
  <c r="A570" i="41"/>
  <c r="I569" i="41"/>
  <c r="H569" i="41"/>
  <c r="G569" i="41"/>
  <c r="F569" i="41"/>
  <c r="E569" i="41"/>
  <c r="D569" i="41"/>
  <c r="C569" i="41"/>
  <c r="B569" i="41"/>
  <c r="A569" i="41"/>
  <c r="I568" i="41"/>
  <c r="H568" i="41"/>
  <c r="G568" i="41"/>
  <c r="F568" i="41"/>
  <c r="E568" i="41"/>
  <c r="D568" i="41"/>
  <c r="C568" i="41"/>
  <c r="B568" i="41"/>
  <c r="A568" i="41"/>
  <c r="I567" i="41"/>
  <c r="H567" i="41"/>
  <c r="G567" i="41"/>
  <c r="F567" i="41"/>
  <c r="E567" i="41"/>
  <c r="D567" i="41"/>
  <c r="C567" i="41"/>
  <c r="B567" i="41"/>
  <c r="A567" i="41"/>
  <c r="I566" i="41"/>
  <c r="H566" i="41"/>
  <c r="G566" i="41"/>
  <c r="F566" i="41"/>
  <c r="E566" i="41"/>
  <c r="D566" i="41"/>
  <c r="C566" i="41"/>
  <c r="B566" i="41"/>
  <c r="A566" i="41"/>
  <c r="I565" i="41"/>
  <c r="H565" i="41"/>
  <c r="G565" i="41"/>
  <c r="F565" i="41"/>
  <c r="E565" i="41"/>
  <c r="D565" i="41"/>
  <c r="C565" i="41"/>
  <c r="B565" i="41"/>
  <c r="A565" i="41"/>
  <c r="I564" i="41"/>
  <c r="H564" i="41"/>
  <c r="G564" i="41"/>
  <c r="F564" i="41"/>
  <c r="E564" i="41"/>
  <c r="D564" i="41"/>
  <c r="C564" i="41"/>
  <c r="B564" i="41"/>
  <c r="A564" i="41"/>
  <c r="I563" i="41"/>
  <c r="H563" i="41"/>
  <c r="G563" i="41"/>
  <c r="F563" i="41"/>
  <c r="E563" i="41"/>
  <c r="D563" i="41"/>
  <c r="C563" i="41"/>
  <c r="B563" i="41"/>
  <c r="A563" i="41"/>
  <c r="I562" i="41"/>
  <c r="H562" i="41"/>
  <c r="G562" i="41"/>
  <c r="F562" i="41"/>
  <c r="E562" i="41"/>
  <c r="D562" i="41"/>
  <c r="C562" i="41"/>
  <c r="B562" i="41"/>
  <c r="A562" i="41"/>
  <c r="I561" i="41"/>
  <c r="H561" i="41"/>
  <c r="G561" i="41"/>
  <c r="F561" i="41"/>
  <c r="E561" i="41"/>
  <c r="D561" i="41"/>
  <c r="C561" i="41"/>
  <c r="B561" i="41"/>
  <c r="A561" i="41"/>
  <c r="I560" i="41"/>
  <c r="H560" i="41"/>
  <c r="G560" i="41"/>
  <c r="F560" i="41"/>
  <c r="E560" i="41"/>
  <c r="D560" i="41"/>
  <c r="C560" i="41"/>
  <c r="B560" i="41"/>
  <c r="A560" i="41"/>
  <c r="I559" i="41"/>
  <c r="H559" i="41"/>
  <c r="G559" i="41"/>
  <c r="F559" i="41"/>
  <c r="E559" i="41"/>
  <c r="D559" i="41"/>
  <c r="C559" i="41"/>
  <c r="B559" i="41"/>
  <c r="A559" i="41"/>
  <c r="I558" i="41"/>
  <c r="H558" i="41"/>
  <c r="G558" i="41"/>
  <c r="F558" i="41"/>
  <c r="E558" i="41"/>
  <c r="D558" i="41"/>
  <c r="C558" i="41"/>
  <c r="B558" i="41"/>
  <c r="A558" i="41"/>
  <c r="I557" i="41"/>
  <c r="H557" i="41"/>
  <c r="G557" i="41"/>
  <c r="F557" i="41"/>
  <c r="E557" i="41"/>
  <c r="D557" i="41"/>
  <c r="C557" i="41"/>
  <c r="B557" i="41"/>
  <c r="A557" i="41"/>
  <c r="I556" i="41"/>
  <c r="H556" i="41"/>
  <c r="G556" i="41"/>
  <c r="F556" i="41"/>
  <c r="E556" i="41"/>
  <c r="D556" i="41"/>
  <c r="C556" i="41"/>
  <c r="B556" i="41"/>
  <c r="A556" i="41"/>
  <c r="I555" i="41"/>
  <c r="H555" i="41"/>
  <c r="G555" i="41"/>
  <c r="F555" i="41"/>
  <c r="E555" i="41"/>
  <c r="D555" i="41"/>
  <c r="C555" i="41"/>
  <c r="B555" i="41"/>
  <c r="A555" i="41"/>
  <c r="I554" i="41"/>
  <c r="H554" i="41"/>
  <c r="G554" i="41"/>
  <c r="F554" i="41"/>
  <c r="E554" i="41"/>
  <c r="D554" i="41"/>
  <c r="C554" i="41"/>
  <c r="B554" i="41"/>
  <c r="A554" i="41"/>
  <c r="I553" i="41"/>
  <c r="H553" i="41"/>
  <c r="G553" i="41"/>
  <c r="F553" i="41"/>
  <c r="E553" i="41"/>
  <c r="D553" i="41"/>
  <c r="C553" i="41"/>
  <c r="B553" i="41"/>
  <c r="A553" i="41"/>
  <c r="I552" i="41"/>
  <c r="H552" i="41"/>
  <c r="G552" i="41"/>
  <c r="F552" i="41"/>
  <c r="E552" i="41"/>
  <c r="D552" i="41"/>
  <c r="C552" i="41"/>
  <c r="B552" i="41"/>
  <c r="A552" i="41"/>
  <c r="I551" i="41"/>
  <c r="H551" i="41"/>
  <c r="G551" i="41"/>
  <c r="F551" i="41"/>
  <c r="E551" i="41"/>
  <c r="D551" i="41"/>
  <c r="C551" i="41"/>
  <c r="B551" i="41"/>
  <c r="A551" i="41"/>
  <c r="I550" i="41"/>
  <c r="H550" i="41"/>
  <c r="G550" i="41"/>
  <c r="F550" i="41"/>
  <c r="E550" i="41"/>
  <c r="D550" i="41"/>
  <c r="C550" i="41"/>
  <c r="B550" i="41"/>
  <c r="A550" i="41"/>
  <c r="I549" i="41"/>
  <c r="H549" i="41"/>
  <c r="G549" i="41"/>
  <c r="F549" i="41"/>
  <c r="E549" i="41"/>
  <c r="D549" i="41"/>
  <c r="C549" i="41"/>
  <c r="B549" i="41"/>
  <c r="A549" i="41"/>
  <c r="I548" i="41"/>
  <c r="H548" i="41"/>
  <c r="G548" i="41"/>
  <c r="F548" i="41"/>
  <c r="E548" i="41"/>
  <c r="D548" i="41"/>
  <c r="C548" i="41"/>
  <c r="B548" i="41"/>
  <c r="A548" i="41"/>
  <c r="I547" i="41"/>
  <c r="H547" i="41"/>
  <c r="G547" i="41"/>
  <c r="F547" i="41"/>
  <c r="E547" i="41"/>
  <c r="D547" i="41"/>
  <c r="C547" i="41"/>
  <c r="B547" i="41"/>
  <c r="A547" i="41"/>
  <c r="I546" i="41"/>
  <c r="H546" i="41"/>
  <c r="G546" i="41"/>
  <c r="F546" i="41"/>
  <c r="E546" i="41"/>
  <c r="D546" i="41"/>
  <c r="C546" i="41"/>
  <c r="B546" i="41"/>
  <c r="A546" i="41"/>
  <c r="I545" i="41"/>
  <c r="H545" i="41"/>
  <c r="G545" i="41"/>
  <c r="F545" i="41"/>
  <c r="E545" i="41"/>
  <c r="D545" i="41"/>
  <c r="C545" i="41"/>
  <c r="B545" i="41"/>
  <c r="A545" i="41"/>
  <c r="I544" i="41"/>
  <c r="H544" i="41"/>
  <c r="G544" i="41"/>
  <c r="F544" i="41"/>
  <c r="E544" i="41"/>
  <c r="D544" i="41"/>
  <c r="C544" i="41"/>
  <c r="B544" i="41"/>
  <c r="A544" i="41"/>
  <c r="I543" i="41"/>
  <c r="H543" i="41"/>
  <c r="G543" i="41"/>
  <c r="F543" i="41"/>
  <c r="E543" i="41"/>
  <c r="D543" i="41"/>
  <c r="C543" i="41"/>
  <c r="B543" i="41"/>
  <c r="A543" i="41"/>
  <c r="I542" i="41"/>
  <c r="H542" i="41"/>
  <c r="G542" i="41"/>
  <c r="F542" i="41"/>
  <c r="E542" i="41"/>
  <c r="D542" i="41"/>
  <c r="C542" i="41"/>
  <c r="B542" i="41"/>
  <c r="A542" i="41"/>
  <c r="I541" i="41"/>
  <c r="H541" i="41"/>
  <c r="G541" i="41"/>
  <c r="F541" i="41"/>
  <c r="E541" i="41"/>
  <c r="D541" i="41"/>
  <c r="C541" i="41"/>
  <c r="B541" i="41"/>
  <c r="A541" i="41"/>
  <c r="I540" i="41"/>
  <c r="H540" i="41"/>
  <c r="G540" i="41"/>
  <c r="F540" i="41"/>
  <c r="E540" i="41"/>
  <c r="D540" i="41"/>
  <c r="C540" i="41"/>
  <c r="B540" i="41"/>
  <c r="A540" i="41"/>
  <c r="I539" i="41"/>
  <c r="H539" i="41"/>
  <c r="G539" i="41"/>
  <c r="F539" i="41"/>
  <c r="E539" i="41"/>
  <c r="D539" i="41"/>
  <c r="C539" i="41"/>
  <c r="B539" i="41"/>
  <c r="A539" i="41"/>
  <c r="I538" i="41"/>
  <c r="H538" i="41"/>
  <c r="G538" i="41"/>
  <c r="F538" i="41"/>
  <c r="E538" i="41"/>
  <c r="D538" i="41"/>
  <c r="C538" i="41"/>
  <c r="B538" i="41"/>
  <c r="A538" i="41"/>
  <c r="I537" i="41"/>
  <c r="H537" i="41"/>
  <c r="G537" i="41"/>
  <c r="F537" i="41"/>
  <c r="E537" i="41"/>
  <c r="D537" i="41"/>
  <c r="C537" i="41"/>
  <c r="B537" i="41"/>
  <c r="A537" i="41"/>
  <c r="I536" i="41"/>
  <c r="H536" i="41"/>
  <c r="G536" i="41"/>
  <c r="F536" i="41"/>
  <c r="E536" i="41"/>
  <c r="D536" i="41"/>
  <c r="C536" i="41"/>
  <c r="B536" i="41"/>
  <c r="A536" i="41"/>
  <c r="I535" i="41"/>
  <c r="H535" i="41"/>
  <c r="G535" i="41"/>
  <c r="F535" i="41"/>
  <c r="E535" i="41"/>
  <c r="D535" i="41"/>
  <c r="C535" i="41"/>
  <c r="B535" i="41"/>
  <c r="A535" i="41"/>
  <c r="I534" i="41"/>
  <c r="H534" i="41"/>
  <c r="G534" i="41"/>
  <c r="F534" i="41"/>
  <c r="E534" i="41"/>
  <c r="D534" i="41"/>
  <c r="C534" i="41"/>
  <c r="B534" i="41"/>
  <c r="A534" i="41"/>
  <c r="I533" i="41"/>
  <c r="H533" i="41"/>
  <c r="G533" i="41"/>
  <c r="F533" i="41"/>
  <c r="E533" i="41"/>
  <c r="D533" i="41"/>
  <c r="C533" i="41"/>
  <c r="B533" i="41"/>
  <c r="A533" i="41"/>
  <c r="I532" i="41"/>
  <c r="H532" i="41"/>
  <c r="G532" i="41"/>
  <c r="F532" i="41"/>
  <c r="E532" i="41"/>
  <c r="D532" i="41"/>
  <c r="C532" i="41"/>
  <c r="B532" i="41"/>
  <c r="A532" i="41"/>
  <c r="I531" i="41"/>
  <c r="H531" i="41"/>
  <c r="G531" i="41"/>
  <c r="F531" i="41"/>
  <c r="E531" i="41"/>
  <c r="D531" i="41"/>
  <c r="C531" i="41"/>
  <c r="B531" i="41"/>
  <c r="A531" i="41"/>
  <c r="I530" i="41"/>
  <c r="H530" i="41"/>
  <c r="G530" i="41"/>
  <c r="F530" i="41"/>
  <c r="E530" i="41"/>
  <c r="D530" i="41"/>
  <c r="C530" i="41"/>
  <c r="B530" i="41"/>
  <c r="A530" i="41"/>
  <c r="I529" i="41"/>
  <c r="H529" i="41"/>
  <c r="G529" i="41"/>
  <c r="F529" i="41"/>
  <c r="E529" i="41"/>
  <c r="D529" i="41"/>
  <c r="C529" i="41"/>
  <c r="B529" i="41"/>
  <c r="A529" i="41"/>
  <c r="I528" i="41"/>
  <c r="H528" i="41"/>
  <c r="G528" i="41"/>
  <c r="F528" i="41"/>
  <c r="E528" i="41"/>
  <c r="D528" i="41"/>
  <c r="C528" i="41"/>
  <c r="B528" i="41"/>
  <c r="A528" i="41"/>
  <c r="I527" i="41"/>
  <c r="H527" i="41"/>
  <c r="G527" i="41"/>
  <c r="F527" i="41"/>
  <c r="E527" i="41"/>
  <c r="D527" i="41"/>
  <c r="C527" i="41"/>
  <c r="B527" i="41"/>
  <c r="A527" i="41"/>
  <c r="I526" i="41"/>
  <c r="H526" i="41"/>
  <c r="G526" i="41"/>
  <c r="F526" i="41"/>
  <c r="E526" i="41"/>
  <c r="D526" i="41"/>
  <c r="C526" i="41"/>
  <c r="B526" i="41"/>
  <c r="A526" i="41"/>
  <c r="I525" i="41"/>
  <c r="H525" i="41"/>
  <c r="G525" i="41"/>
  <c r="F525" i="41"/>
  <c r="E525" i="41"/>
  <c r="D525" i="41"/>
  <c r="C525" i="41"/>
  <c r="B525" i="41"/>
  <c r="A525" i="41"/>
  <c r="I524" i="41"/>
  <c r="H524" i="41"/>
  <c r="G524" i="41"/>
  <c r="F524" i="41"/>
  <c r="E524" i="41"/>
  <c r="D524" i="41"/>
  <c r="C524" i="41"/>
  <c r="B524" i="41"/>
  <c r="A524" i="41"/>
  <c r="I523" i="41"/>
  <c r="H523" i="41"/>
  <c r="G523" i="41"/>
  <c r="F523" i="41"/>
  <c r="E523" i="41"/>
  <c r="D523" i="41"/>
  <c r="C523" i="41"/>
  <c r="B523" i="41"/>
  <c r="A523" i="41"/>
  <c r="I522" i="41"/>
  <c r="H522" i="41"/>
  <c r="G522" i="41"/>
  <c r="F522" i="41"/>
  <c r="E522" i="41"/>
  <c r="D522" i="41"/>
  <c r="C522" i="41"/>
  <c r="B522" i="41"/>
  <c r="A522" i="41"/>
  <c r="I521" i="41"/>
  <c r="H521" i="41"/>
  <c r="G521" i="41"/>
  <c r="F521" i="41"/>
  <c r="E521" i="41"/>
  <c r="D521" i="41"/>
  <c r="C521" i="41"/>
  <c r="B521" i="41"/>
  <c r="A521" i="41"/>
  <c r="I520" i="41"/>
  <c r="H520" i="41"/>
  <c r="G520" i="41"/>
  <c r="F520" i="41"/>
  <c r="E520" i="41"/>
  <c r="D520" i="41"/>
  <c r="C520" i="41"/>
  <c r="B520" i="41"/>
  <c r="A520" i="41"/>
  <c r="I519" i="41"/>
  <c r="H519" i="41"/>
  <c r="G519" i="41"/>
  <c r="F519" i="41"/>
  <c r="E519" i="41"/>
  <c r="D519" i="41"/>
  <c r="C519" i="41"/>
  <c r="B519" i="41"/>
  <c r="A519" i="41"/>
  <c r="I518" i="41"/>
  <c r="H518" i="41"/>
  <c r="G518" i="41"/>
  <c r="F518" i="41"/>
  <c r="E518" i="41"/>
  <c r="D518" i="41"/>
  <c r="C518" i="41"/>
  <c r="B518" i="41"/>
  <c r="A518" i="41"/>
  <c r="I517" i="41"/>
  <c r="H517" i="41"/>
  <c r="G517" i="41"/>
  <c r="F517" i="41"/>
  <c r="E517" i="41"/>
  <c r="D517" i="41"/>
  <c r="C517" i="41"/>
  <c r="B517" i="41"/>
  <c r="A517" i="41"/>
  <c r="I516" i="41"/>
  <c r="H516" i="41"/>
  <c r="G516" i="41"/>
  <c r="F516" i="41"/>
  <c r="E516" i="41"/>
  <c r="D516" i="41"/>
  <c r="C516" i="41"/>
  <c r="B516" i="41"/>
  <c r="A516" i="41"/>
  <c r="I515" i="41"/>
  <c r="H515" i="41"/>
  <c r="G515" i="41"/>
  <c r="F515" i="41"/>
  <c r="E515" i="41"/>
  <c r="D515" i="41"/>
  <c r="C515" i="41"/>
  <c r="B515" i="41"/>
  <c r="A515" i="41"/>
  <c r="I514" i="41"/>
  <c r="H514" i="41"/>
  <c r="G514" i="41"/>
  <c r="F514" i="41"/>
  <c r="E514" i="41"/>
  <c r="D514" i="41"/>
  <c r="C514" i="41"/>
  <c r="B514" i="41"/>
  <c r="A514" i="41"/>
  <c r="I513" i="41"/>
  <c r="H513" i="41"/>
  <c r="G513" i="41"/>
  <c r="F513" i="41"/>
  <c r="E513" i="41"/>
  <c r="D513" i="41"/>
  <c r="C513" i="41"/>
  <c r="B513" i="41"/>
  <c r="A513" i="41"/>
  <c r="I512" i="41"/>
  <c r="H512" i="41"/>
  <c r="G512" i="41"/>
  <c r="F512" i="41"/>
  <c r="E512" i="41"/>
  <c r="D512" i="41"/>
  <c r="C512" i="41"/>
  <c r="B512" i="41"/>
  <c r="A512" i="41"/>
  <c r="I511" i="41"/>
  <c r="H511" i="41"/>
  <c r="G511" i="41"/>
  <c r="F511" i="41"/>
  <c r="E511" i="41"/>
  <c r="D511" i="41"/>
  <c r="C511" i="41"/>
  <c r="B511" i="41"/>
  <c r="A511" i="41"/>
  <c r="I510" i="41"/>
  <c r="H510" i="41"/>
  <c r="G510" i="41"/>
  <c r="F510" i="41"/>
  <c r="E510" i="41"/>
  <c r="D510" i="41"/>
  <c r="C510" i="41"/>
  <c r="B510" i="41"/>
  <c r="A510" i="41"/>
  <c r="I509" i="41"/>
  <c r="H509" i="41"/>
  <c r="G509" i="41"/>
  <c r="F509" i="41"/>
  <c r="E509" i="41"/>
  <c r="D509" i="41"/>
  <c r="C509" i="41"/>
  <c r="B509" i="41"/>
  <c r="A509" i="41"/>
  <c r="I508" i="41"/>
  <c r="H508" i="41"/>
  <c r="G508" i="41"/>
  <c r="F508" i="41"/>
  <c r="E508" i="41"/>
  <c r="D508" i="41"/>
  <c r="C508" i="41"/>
  <c r="B508" i="41"/>
  <c r="A508" i="41"/>
  <c r="I507" i="41"/>
  <c r="H507" i="41"/>
  <c r="G507" i="41"/>
  <c r="F507" i="41"/>
  <c r="E507" i="41"/>
  <c r="D507" i="41"/>
  <c r="C507" i="41"/>
  <c r="B507" i="41"/>
  <c r="A507" i="41"/>
  <c r="I506" i="41"/>
  <c r="H506" i="41"/>
  <c r="G506" i="41"/>
  <c r="F506" i="41"/>
  <c r="E506" i="41"/>
  <c r="D506" i="41"/>
  <c r="C506" i="41"/>
  <c r="B506" i="41"/>
  <c r="A506" i="41"/>
  <c r="I505" i="41"/>
  <c r="H505" i="41"/>
  <c r="G505" i="41"/>
  <c r="F505" i="41"/>
  <c r="E505" i="41"/>
  <c r="D505" i="41"/>
  <c r="C505" i="41"/>
  <c r="B505" i="41"/>
  <c r="A505" i="41"/>
  <c r="I504" i="41"/>
  <c r="H504" i="41"/>
  <c r="G504" i="41"/>
  <c r="F504" i="41"/>
  <c r="E504" i="41"/>
  <c r="D504" i="41"/>
  <c r="C504" i="41"/>
  <c r="B504" i="41"/>
  <c r="A504" i="41"/>
  <c r="I503" i="41"/>
  <c r="H503" i="41"/>
  <c r="G503" i="41"/>
  <c r="F503" i="41"/>
  <c r="E503" i="41"/>
  <c r="D503" i="41"/>
  <c r="C503" i="41"/>
  <c r="B503" i="41"/>
  <c r="A503" i="41"/>
  <c r="I502" i="41"/>
  <c r="H502" i="41"/>
  <c r="G502" i="41"/>
  <c r="F502" i="41"/>
  <c r="E502" i="41"/>
  <c r="D502" i="41"/>
  <c r="C502" i="41"/>
  <c r="B502" i="41"/>
  <c r="A502" i="41"/>
  <c r="I501" i="41"/>
  <c r="H501" i="41"/>
  <c r="G501" i="41"/>
  <c r="F501" i="41"/>
  <c r="E501" i="41"/>
  <c r="D501" i="41"/>
  <c r="C501" i="41"/>
  <c r="B501" i="41"/>
  <c r="A501" i="41"/>
  <c r="I500" i="41"/>
  <c r="H500" i="41"/>
  <c r="G500" i="41"/>
  <c r="F500" i="41"/>
  <c r="E500" i="41"/>
  <c r="D500" i="41"/>
  <c r="C500" i="41"/>
  <c r="B500" i="41"/>
  <c r="A500" i="41"/>
  <c r="I499" i="41"/>
  <c r="H499" i="41"/>
  <c r="G499" i="41"/>
  <c r="F499" i="41"/>
  <c r="E499" i="41"/>
  <c r="D499" i="41"/>
  <c r="C499" i="41"/>
  <c r="B499" i="41"/>
  <c r="A499" i="41"/>
  <c r="I498" i="41"/>
  <c r="H498" i="41"/>
  <c r="G498" i="41"/>
  <c r="F498" i="41"/>
  <c r="E498" i="41"/>
  <c r="D498" i="41"/>
  <c r="C498" i="41"/>
  <c r="B498" i="41"/>
  <c r="A498" i="41"/>
  <c r="I497" i="41"/>
  <c r="H497" i="41"/>
  <c r="G497" i="41"/>
  <c r="F497" i="41"/>
  <c r="E497" i="41"/>
  <c r="D497" i="41"/>
  <c r="C497" i="41"/>
  <c r="B497" i="41"/>
  <c r="A497" i="41"/>
  <c r="I496" i="41"/>
  <c r="H496" i="41"/>
  <c r="G496" i="41"/>
  <c r="F496" i="41"/>
  <c r="E496" i="41"/>
  <c r="D496" i="41"/>
  <c r="C496" i="41"/>
  <c r="B496" i="41"/>
  <c r="A496" i="41"/>
  <c r="I495" i="41"/>
  <c r="H495" i="41"/>
  <c r="G495" i="41"/>
  <c r="F495" i="41"/>
  <c r="E495" i="41"/>
  <c r="D495" i="41"/>
  <c r="C495" i="41"/>
  <c r="B495" i="41"/>
  <c r="A495" i="41"/>
  <c r="I494" i="41"/>
  <c r="H494" i="41"/>
  <c r="G494" i="41"/>
  <c r="F494" i="41"/>
  <c r="E494" i="41"/>
  <c r="D494" i="41"/>
  <c r="C494" i="41"/>
  <c r="B494" i="41"/>
  <c r="A494" i="41"/>
  <c r="I493" i="41"/>
  <c r="H493" i="41"/>
  <c r="G493" i="41"/>
  <c r="F493" i="41"/>
  <c r="E493" i="41"/>
  <c r="D493" i="41"/>
  <c r="C493" i="41"/>
  <c r="B493" i="41"/>
  <c r="A493" i="41"/>
  <c r="I492" i="41"/>
  <c r="H492" i="41"/>
  <c r="G492" i="41"/>
  <c r="F492" i="41"/>
  <c r="E492" i="41"/>
  <c r="D492" i="41"/>
  <c r="C492" i="41"/>
  <c r="B492" i="41"/>
  <c r="A492" i="41"/>
  <c r="I491" i="41"/>
  <c r="H491" i="41"/>
  <c r="G491" i="41"/>
  <c r="F491" i="41"/>
  <c r="E491" i="41"/>
  <c r="D491" i="41"/>
  <c r="C491" i="41"/>
  <c r="B491" i="41"/>
  <c r="A491" i="41"/>
  <c r="I490" i="41"/>
  <c r="H490" i="41"/>
  <c r="G490" i="41"/>
  <c r="F490" i="41"/>
  <c r="E490" i="41"/>
  <c r="D490" i="41"/>
  <c r="C490" i="41"/>
  <c r="B490" i="41"/>
  <c r="A490" i="41"/>
  <c r="I489" i="41"/>
  <c r="H489" i="41"/>
  <c r="G489" i="41"/>
  <c r="F489" i="41"/>
  <c r="E489" i="41"/>
  <c r="D489" i="41"/>
  <c r="C489" i="41"/>
  <c r="B489" i="41"/>
  <c r="A489" i="41"/>
  <c r="I488" i="41"/>
  <c r="H488" i="41"/>
  <c r="G488" i="41"/>
  <c r="F488" i="41"/>
  <c r="E488" i="41"/>
  <c r="D488" i="41"/>
  <c r="C488" i="41"/>
  <c r="B488" i="41"/>
  <c r="A488" i="41"/>
  <c r="I487" i="41"/>
  <c r="H487" i="41"/>
  <c r="G487" i="41"/>
  <c r="F487" i="41"/>
  <c r="E487" i="41"/>
  <c r="D487" i="41"/>
  <c r="C487" i="41"/>
  <c r="B487" i="41"/>
  <c r="A487" i="41"/>
  <c r="I486" i="41"/>
  <c r="H486" i="41"/>
  <c r="G486" i="41"/>
  <c r="F486" i="41"/>
  <c r="E486" i="41"/>
  <c r="D486" i="41"/>
  <c r="C486" i="41"/>
  <c r="B486" i="41"/>
  <c r="A486" i="41"/>
  <c r="I485" i="41"/>
  <c r="H485" i="41"/>
  <c r="G485" i="41"/>
  <c r="F485" i="41"/>
  <c r="E485" i="41"/>
  <c r="D485" i="41"/>
  <c r="C485" i="41"/>
  <c r="B485" i="41"/>
  <c r="A485" i="41"/>
  <c r="I484" i="41"/>
  <c r="H484" i="41"/>
  <c r="G484" i="41"/>
  <c r="F484" i="41"/>
  <c r="E484" i="41"/>
  <c r="D484" i="41"/>
  <c r="C484" i="41"/>
  <c r="B484" i="41"/>
  <c r="A484" i="41"/>
  <c r="I483" i="41"/>
  <c r="H483" i="41"/>
  <c r="G483" i="41"/>
  <c r="F483" i="41"/>
  <c r="E483" i="41"/>
  <c r="D483" i="41"/>
  <c r="C483" i="41"/>
  <c r="B483" i="41"/>
  <c r="A483" i="41"/>
  <c r="I482" i="41"/>
  <c r="H482" i="41"/>
  <c r="G482" i="41"/>
  <c r="F482" i="41"/>
  <c r="E482" i="41"/>
  <c r="D482" i="41"/>
  <c r="C482" i="41"/>
  <c r="B482" i="41"/>
  <c r="A482" i="41"/>
  <c r="I481" i="41"/>
  <c r="H481" i="41"/>
  <c r="G481" i="41"/>
  <c r="F481" i="41"/>
  <c r="E481" i="41"/>
  <c r="D481" i="41"/>
  <c r="C481" i="41"/>
  <c r="B481" i="41"/>
  <c r="A481" i="41"/>
  <c r="I480" i="41"/>
  <c r="H480" i="41"/>
  <c r="G480" i="41"/>
  <c r="F480" i="41"/>
  <c r="E480" i="41"/>
  <c r="D480" i="41"/>
  <c r="C480" i="41"/>
  <c r="B480" i="41"/>
  <c r="A480" i="41"/>
  <c r="I479" i="41"/>
  <c r="H479" i="41"/>
  <c r="G479" i="41"/>
  <c r="F479" i="41"/>
  <c r="E479" i="41"/>
  <c r="D479" i="41"/>
  <c r="C479" i="41"/>
  <c r="B479" i="41"/>
  <c r="A479" i="41"/>
  <c r="I478" i="41"/>
  <c r="H478" i="41"/>
  <c r="G478" i="41"/>
  <c r="F478" i="41"/>
  <c r="E478" i="41"/>
  <c r="D478" i="41"/>
  <c r="C478" i="41"/>
  <c r="B478" i="41"/>
  <c r="A478" i="41"/>
  <c r="I477" i="41"/>
  <c r="H477" i="41"/>
  <c r="G477" i="41"/>
  <c r="F477" i="41"/>
  <c r="E477" i="41"/>
  <c r="D477" i="41"/>
  <c r="C477" i="41"/>
  <c r="B477" i="41"/>
  <c r="A477" i="41"/>
  <c r="I476" i="41"/>
  <c r="H476" i="41"/>
  <c r="G476" i="41"/>
  <c r="F476" i="41"/>
  <c r="E476" i="41"/>
  <c r="D476" i="41"/>
  <c r="C476" i="41"/>
  <c r="B476" i="41"/>
  <c r="A476" i="41"/>
  <c r="I475" i="41"/>
  <c r="H475" i="41"/>
  <c r="G475" i="41"/>
  <c r="F475" i="41"/>
  <c r="E475" i="41"/>
  <c r="D475" i="41"/>
  <c r="C475" i="41"/>
  <c r="B475" i="41"/>
  <c r="A475" i="41"/>
  <c r="I474" i="41"/>
  <c r="H474" i="41"/>
  <c r="G474" i="41"/>
  <c r="F474" i="41"/>
  <c r="E474" i="41"/>
  <c r="D474" i="41"/>
  <c r="C474" i="41"/>
  <c r="B474" i="41"/>
  <c r="A474" i="41"/>
  <c r="I473" i="41"/>
  <c r="H473" i="41"/>
  <c r="G473" i="41"/>
  <c r="F473" i="41"/>
  <c r="E473" i="41"/>
  <c r="D473" i="41"/>
  <c r="C473" i="41"/>
  <c r="B473" i="41"/>
  <c r="A473" i="41"/>
  <c r="I472" i="41"/>
  <c r="H472" i="41"/>
  <c r="G472" i="41"/>
  <c r="F472" i="41"/>
  <c r="E472" i="41"/>
  <c r="D472" i="41"/>
  <c r="C472" i="41"/>
  <c r="B472" i="41"/>
  <c r="A472" i="41"/>
  <c r="I471" i="41"/>
  <c r="H471" i="41"/>
  <c r="G471" i="41"/>
  <c r="F471" i="41"/>
  <c r="E471" i="41"/>
  <c r="D471" i="41"/>
  <c r="C471" i="41"/>
  <c r="B471" i="41"/>
  <c r="A471" i="41"/>
  <c r="I470" i="41"/>
  <c r="H470" i="41"/>
  <c r="G470" i="41"/>
  <c r="F470" i="41"/>
  <c r="E470" i="41"/>
  <c r="D470" i="41"/>
  <c r="C470" i="41"/>
  <c r="B470" i="41"/>
  <c r="A470" i="41"/>
  <c r="I469" i="41"/>
  <c r="H469" i="41"/>
  <c r="G469" i="41"/>
  <c r="F469" i="41"/>
  <c r="E469" i="41"/>
  <c r="D469" i="41"/>
  <c r="C469" i="41"/>
  <c r="B469" i="41"/>
  <c r="A469" i="41"/>
  <c r="I468" i="41"/>
  <c r="H468" i="41"/>
  <c r="G468" i="41"/>
  <c r="F468" i="41"/>
  <c r="E468" i="41"/>
  <c r="D468" i="41"/>
  <c r="C468" i="41"/>
  <c r="B468" i="41"/>
  <c r="A468" i="41"/>
  <c r="I467" i="41"/>
  <c r="H467" i="41"/>
  <c r="G467" i="41"/>
  <c r="F467" i="41"/>
  <c r="E467" i="41"/>
  <c r="D467" i="41"/>
  <c r="C467" i="41"/>
  <c r="B467" i="41"/>
  <c r="A467" i="41"/>
  <c r="I466" i="41"/>
  <c r="H466" i="41"/>
  <c r="G466" i="41"/>
  <c r="F466" i="41"/>
  <c r="E466" i="41"/>
  <c r="D466" i="41"/>
  <c r="C466" i="41"/>
  <c r="B466" i="41"/>
  <c r="A466" i="41"/>
  <c r="I465" i="41"/>
  <c r="H465" i="41"/>
  <c r="G465" i="41"/>
  <c r="F465" i="41"/>
  <c r="E465" i="41"/>
  <c r="D465" i="41"/>
  <c r="C465" i="41"/>
  <c r="B465" i="41"/>
  <c r="A465" i="41"/>
  <c r="I464" i="41"/>
  <c r="H464" i="41"/>
  <c r="G464" i="41"/>
  <c r="F464" i="41"/>
  <c r="E464" i="41"/>
  <c r="D464" i="41"/>
  <c r="C464" i="41"/>
  <c r="B464" i="41"/>
  <c r="A464" i="41"/>
  <c r="I463" i="41"/>
  <c r="H463" i="41"/>
  <c r="G463" i="41"/>
  <c r="F463" i="41"/>
  <c r="E463" i="41"/>
  <c r="D463" i="41"/>
  <c r="C463" i="41"/>
  <c r="B463" i="41"/>
  <c r="A463" i="41"/>
  <c r="I462" i="41"/>
  <c r="H462" i="41"/>
  <c r="G462" i="41"/>
  <c r="F462" i="41"/>
  <c r="E462" i="41"/>
  <c r="D462" i="41"/>
  <c r="C462" i="41"/>
  <c r="B462" i="41"/>
  <c r="A462" i="41"/>
  <c r="I461" i="41"/>
  <c r="H461" i="41"/>
  <c r="G461" i="41"/>
  <c r="F461" i="41"/>
  <c r="E461" i="41"/>
  <c r="D461" i="41"/>
  <c r="C461" i="41"/>
  <c r="B461" i="41"/>
  <c r="A461" i="41"/>
  <c r="I460" i="41"/>
  <c r="H460" i="41"/>
  <c r="G460" i="41"/>
  <c r="F460" i="41"/>
  <c r="E460" i="41"/>
  <c r="D460" i="41"/>
  <c r="C460" i="41"/>
  <c r="B460" i="41"/>
  <c r="A460" i="41"/>
  <c r="I459" i="41"/>
  <c r="H459" i="41"/>
  <c r="G459" i="41"/>
  <c r="F459" i="41"/>
  <c r="E459" i="41"/>
  <c r="D459" i="41"/>
  <c r="C459" i="41"/>
  <c r="B459" i="41"/>
  <c r="A459" i="41"/>
  <c r="I458" i="41"/>
  <c r="H458" i="41"/>
  <c r="G458" i="41"/>
  <c r="F458" i="41"/>
  <c r="E458" i="41"/>
  <c r="D458" i="41"/>
  <c r="C458" i="41"/>
  <c r="B458" i="41"/>
  <c r="A458" i="41"/>
  <c r="I457" i="41"/>
  <c r="H457" i="41"/>
  <c r="G457" i="41"/>
  <c r="F457" i="41"/>
  <c r="E457" i="41"/>
  <c r="D457" i="41"/>
  <c r="C457" i="41"/>
  <c r="B457" i="41"/>
  <c r="A457" i="41"/>
  <c r="I456" i="41"/>
  <c r="H456" i="41"/>
  <c r="G456" i="41"/>
  <c r="F456" i="41"/>
  <c r="E456" i="41"/>
  <c r="D456" i="41"/>
  <c r="C456" i="41"/>
  <c r="B456" i="41"/>
  <c r="A456" i="41"/>
  <c r="I455" i="41"/>
  <c r="H455" i="41"/>
  <c r="G455" i="41"/>
  <c r="F455" i="41"/>
  <c r="E455" i="41"/>
  <c r="D455" i="41"/>
  <c r="C455" i="41"/>
  <c r="B455" i="41"/>
  <c r="A455" i="41"/>
  <c r="I454" i="41"/>
  <c r="H454" i="41"/>
  <c r="G454" i="41"/>
  <c r="F454" i="41"/>
  <c r="E454" i="41"/>
  <c r="D454" i="41"/>
  <c r="C454" i="41"/>
  <c r="B454" i="41"/>
  <c r="A454" i="41"/>
  <c r="I453" i="41"/>
  <c r="H453" i="41"/>
  <c r="G453" i="41"/>
  <c r="F453" i="41"/>
  <c r="E453" i="41"/>
  <c r="D453" i="41"/>
  <c r="C453" i="41"/>
  <c r="B453" i="41"/>
  <c r="A453" i="41"/>
  <c r="I452" i="41"/>
  <c r="H452" i="41"/>
  <c r="G452" i="41"/>
  <c r="F452" i="41"/>
  <c r="E452" i="41"/>
  <c r="D452" i="41"/>
  <c r="C452" i="41"/>
  <c r="B452" i="41"/>
  <c r="A452" i="41"/>
  <c r="I451" i="41"/>
  <c r="H451" i="41"/>
  <c r="G451" i="41"/>
  <c r="F451" i="41"/>
  <c r="E451" i="41"/>
  <c r="D451" i="41"/>
  <c r="C451" i="41"/>
  <c r="B451" i="41"/>
  <c r="A451" i="41"/>
  <c r="I450" i="41"/>
  <c r="H450" i="41"/>
  <c r="G450" i="41"/>
  <c r="F450" i="41"/>
  <c r="E450" i="41"/>
  <c r="D450" i="41"/>
  <c r="C450" i="41"/>
  <c r="B450" i="41"/>
  <c r="A450" i="41"/>
  <c r="I449" i="41"/>
  <c r="H449" i="41"/>
  <c r="G449" i="41"/>
  <c r="F449" i="41"/>
  <c r="E449" i="41"/>
  <c r="D449" i="41"/>
  <c r="C449" i="41"/>
  <c r="B449" i="41"/>
  <c r="A449" i="41"/>
  <c r="I448" i="41"/>
  <c r="H448" i="41"/>
  <c r="G448" i="41"/>
  <c r="F448" i="41"/>
  <c r="E448" i="41"/>
  <c r="D448" i="41"/>
  <c r="C448" i="41"/>
  <c r="B448" i="41"/>
  <c r="A448" i="41"/>
  <c r="I447" i="41"/>
  <c r="H447" i="41"/>
  <c r="G447" i="41"/>
  <c r="F447" i="41"/>
  <c r="E447" i="41"/>
  <c r="D447" i="41"/>
  <c r="C447" i="41"/>
  <c r="B447" i="41"/>
  <c r="A447" i="41"/>
  <c r="I446" i="41"/>
  <c r="H446" i="41"/>
  <c r="G446" i="41"/>
  <c r="F446" i="41"/>
  <c r="E446" i="41"/>
  <c r="D446" i="41"/>
  <c r="C446" i="41"/>
  <c r="B446" i="41"/>
  <c r="A446" i="41"/>
  <c r="I445" i="41"/>
  <c r="H445" i="41"/>
  <c r="G445" i="41"/>
  <c r="F445" i="41"/>
  <c r="E445" i="41"/>
  <c r="D445" i="41"/>
  <c r="C445" i="41"/>
  <c r="B445" i="41"/>
  <c r="A445" i="41"/>
  <c r="I444" i="41"/>
  <c r="H444" i="41"/>
  <c r="G444" i="41"/>
  <c r="F444" i="41"/>
  <c r="E444" i="41"/>
  <c r="D444" i="41"/>
  <c r="C444" i="41"/>
  <c r="B444" i="41"/>
  <c r="A444" i="41"/>
  <c r="I443" i="41"/>
  <c r="H443" i="41"/>
  <c r="G443" i="41"/>
  <c r="F443" i="41"/>
  <c r="E443" i="41"/>
  <c r="D443" i="41"/>
  <c r="C443" i="41"/>
  <c r="B443" i="41"/>
  <c r="A443" i="41"/>
  <c r="I442" i="41"/>
  <c r="H442" i="41"/>
  <c r="G442" i="41"/>
  <c r="F442" i="41"/>
  <c r="E442" i="41"/>
  <c r="D442" i="41"/>
  <c r="C442" i="41"/>
  <c r="B442" i="41"/>
  <c r="A442" i="41"/>
  <c r="I441" i="41"/>
  <c r="H441" i="41"/>
  <c r="G441" i="41"/>
  <c r="F441" i="41"/>
  <c r="E441" i="41"/>
  <c r="D441" i="41"/>
  <c r="C441" i="41"/>
  <c r="B441" i="41"/>
  <c r="A441" i="41"/>
  <c r="I440" i="41"/>
  <c r="H440" i="41"/>
  <c r="G440" i="41"/>
  <c r="F440" i="41"/>
  <c r="E440" i="41"/>
  <c r="D440" i="41"/>
  <c r="C440" i="41"/>
  <c r="B440" i="41"/>
  <c r="A440" i="41"/>
  <c r="I439" i="41"/>
  <c r="H439" i="41"/>
  <c r="G439" i="41"/>
  <c r="F439" i="41"/>
  <c r="E439" i="41"/>
  <c r="D439" i="41"/>
  <c r="C439" i="41"/>
  <c r="B439" i="41"/>
  <c r="A439" i="41"/>
  <c r="I438" i="41"/>
  <c r="H438" i="41"/>
  <c r="G438" i="41"/>
  <c r="F438" i="41"/>
  <c r="E438" i="41"/>
  <c r="D438" i="41"/>
  <c r="C438" i="41"/>
  <c r="B438" i="41"/>
  <c r="A438" i="41"/>
  <c r="I437" i="41"/>
  <c r="H437" i="41"/>
  <c r="G437" i="41"/>
  <c r="F437" i="41"/>
  <c r="E437" i="41"/>
  <c r="D437" i="41"/>
  <c r="C437" i="41"/>
  <c r="B437" i="41"/>
  <c r="A437" i="41"/>
  <c r="I436" i="41"/>
  <c r="H436" i="41"/>
  <c r="G436" i="41"/>
  <c r="F436" i="41"/>
  <c r="E436" i="41"/>
  <c r="D436" i="41"/>
  <c r="C436" i="41"/>
  <c r="B436" i="41"/>
  <c r="A436" i="41"/>
  <c r="I435" i="41"/>
  <c r="H435" i="41"/>
  <c r="G435" i="41"/>
  <c r="F435" i="41"/>
  <c r="E435" i="41"/>
  <c r="D435" i="41"/>
  <c r="C435" i="41"/>
  <c r="B435" i="41"/>
  <c r="A435" i="41"/>
  <c r="I434" i="41"/>
  <c r="H434" i="41"/>
  <c r="G434" i="41"/>
  <c r="F434" i="41"/>
  <c r="E434" i="41"/>
  <c r="D434" i="41"/>
  <c r="C434" i="41"/>
  <c r="B434" i="41"/>
  <c r="A434" i="41"/>
  <c r="I433" i="41"/>
  <c r="H433" i="41"/>
  <c r="G433" i="41"/>
  <c r="F433" i="41"/>
  <c r="E433" i="41"/>
  <c r="D433" i="41"/>
  <c r="C433" i="41"/>
  <c r="B433" i="41"/>
  <c r="A433" i="41"/>
  <c r="I432" i="41"/>
  <c r="H432" i="41"/>
  <c r="G432" i="41"/>
  <c r="F432" i="41"/>
  <c r="E432" i="41"/>
  <c r="D432" i="41"/>
  <c r="C432" i="41"/>
  <c r="B432" i="41"/>
  <c r="A432" i="41"/>
  <c r="I431" i="41"/>
  <c r="H431" i="41"/>
  <c r="G431" i="41"/>
  <c r="F431" i="41"/>
  <c r="E431" i="41"/>
  <c r="D431" i="41"/>
  <c r="C431" i="41"/>
  <c r="B431" i="41"/>
  <c r="A431" i="41"/>
  <c r="I430" i="41"/>
  <c r="H430" i="41"/>
  <c r="G430" i="41"/>
  <c r="F430" i="41"/>
  <c r="E430" i="41"/>
  <c r="D430" i="41"/>
  <c r="C430" i="41"/>
  <c r="B430" i="41"/>
  <c r="A430" i="41"/>
  <c r="I429" i="41"/>
  <c r="H429" i="41"/>
  <c r="G429" i="41"/>
  <c r="F429" i="41"/>
  <c r="E429" i="41"/>
  <c r="D429" i="41"/>
  <c r="C429" i="41"/>
  <c r="B429" i="41"/>
  <c r="A429" i="41"/>
  <c r="I428" i="41"/>
  <c r="H428" i="41"/>
  <c r="G428" i="41"/>
  <c r="F428" i="41"/>
  <c r="E428" i="41"/>
  <c r="D428" i="41"/>
  <c r="C428" i="41"/>
  <c r="B428" i="41"/>
  <c r="A428" i="41"/>
  <c r="I427" i="41"/>
  <c r="H427" i="41"/>
  <c r="G427" i="41"/>
  <c r="F427" i="41"/>
  <c r="E427" i="41"/>
  <c r="D427" i="41"/>
  <c r="C427" i="41"/>
  <c r="B427" i="41"/>
  <c r="A427" i="41"/>
  <c r="I426" i="41"/>
  <c r="H426" i="41"/>
  <c r="G426" i="41"/>
  <c r="F426" i="41"/>
  <c r="E426" i="41"/>
  <c r="D426" i="41"/>
  <c r="C426" i="41"/>
  <c r="B426" i="41"/>
  <c r="A426" i="41"/>
  <c r="I425" i="41"/>
  <c r="H425" i="41"/>
  <c r="G425" i="41"/>
  <c r="F425" i="41"/>
  <c r="E425" i="41"/>
  <c r="D425" i="41"/>
  <c r="C425" i="41"/>
  <c r="B425" i="41"/>
  <c r="A425" i="41"/>
  <c r="I424" i="41"/>
  <c r="H424" i="41"/>
  <c r="G424" i="41"/>
  <c r="F424" i="41"/>
  <c r="E424" i="41"/>
  <c r="D424" i="41"/>
  <c r="C424" i="41"/>
  <c r="B424" i="41"/>
  <c r="A424" i="41"/>
  <c r="I423" i="41"/>
  <c r="H423" i="41"/>
  <c r="G423" i="41"/>
  <c r="F423" i="41"/>
  <c r="E423" i="41"/>
  <c r="D423" i="41"/>
  <c r="C423" i="41"/>
  <c r="B423" i="41"/>
  <c r="A423" i="41"/>
  <c r="I422" i="41"/>
  <c r="H422" i="41"/>
  <c r="G422" i="41"/>
  <c r="F422" i="41"/>
  <c r="E422" i="41"/>
  <c r="D422" i="41"/>
  <c r="C422" i="41"/>
  <c r="B422" i="41"/>
  <c r="A422" i="41"/>
  <c r="I421" i="41"/>
  <c r="H421" i="41"/>
  <c r="G421" i="41"/>
  <c r="F421" i="41"/>
  <c r="E421" i="41"/>
  <c r="D421" i="41"/>
  <c r="C421" i="41"/>
  <c r="B421" i="41"/>
  <c r="A421" i="41"/>
  <c r="I420" i="41"/>
  <c r="H420" i="41"/>
  <c r="G420" i="41"/>
  <c r="F420" i="41"/>
  <c r="E420" i="41"/>
  <c r="D420" i="41"/>
  <c r="C420" i="41"/>
  <c r="B420" i="41"/>
  <c r="A420" i="41"/>
  <c r="I419" i="41"/>
  <c r="H419" i="41"/>
  <c r="G419" i="41"/>
  <c r="F419" i="41"/>
  <c r="E419" i="41"/>
  <c r="D419" i="41"/>
  <c r="C419" i="41"/>
  <c r="B419" i="41"/>
  <c r="A419" i="41"/>
  <c r="I418" i="41"/>
  <c r="H418" i="41"/>
  <c r="G418" i="41"/>
  <c r="F418" i="41"/>
  <c r="E418" i="41"/>
  <c r="D418" i="41"/>
  <c r="C418" i="41"/>
  <c r="B418" i="41"/>
  <c r="A418" i="41"/>
  <c r="I417" i="41"/>
  <c r="H417" i="41"/>
  <c r="G417" i="41"/>
  <c r="F417" i="41"/>
  <c r="E417" i="41"/>
  <c r="D417" i="41"/>
  <c r="C417" i="41"/>
  <c r="B417" i="41"/>
  <c r="A417" i="41"/>
  <c r="I416" i="41"/>
  <c r="H416" i="41"/>
  <c r="G416" i="41"/>
  <c r="F416" i="41"/>
  <c r="E416" i="41"/>
  <c r="D416" i="41"/>
  <c r="C416" i="41"/>
  <c r="B416" i="41"/>
  <c r="A416" i="41"/>
  <c r="I415" i="41"/>
  <c r="H415" i="41"/>
  <c r="G415" i="41"/>
  <c r="F415" i="41"/>
  <c r="E415" i="41"/>
  <c r="D415" i="41"/>
  <c r="C415" i="41"/>
  <c r="B415" i="41"/>
  <c r="A415" i="41"/>
  <c r="I414" i="41"/>
  <c r="H414" i="41"/>
  <c r="G414" i="41"/>
  <c r="F414" i="41"/>
  <c r="E414" i="41"/>
  <c r="D414" i="41"/>
  <c r="C414" i="41"/>
  <c r="B414" i="41"/>
  <c r="A414" i="41"/>
  <c r="I413" i="41"/>
  <c r="H413" i="41"/>
  <c r="G413" i="41"/>
  <c r="F413" i="41"/>
  <c r="E413" i="41"/>
  <c r="D413" i="41"/>
  <c r="C413" i="41"/>
  <c r="B413" i="41"/>
  <c r="A413" i="41"/>
  <c r="I412" i="41"/>
  <c r="H412" i="41"/>
  <c r="G412" i="41"/>
  <c r="F412" i="41"/>
  <c r="E412" i="41"/>
  <c r="D412" i="41"/>
  <c r="C412" i="41"/>
  <c r="B412" i="41"/>
  <c r="A412" i="41"/>
  <c r="I411" i="41"/>
  <c r="H411" i="41"/>
  <c r="G411" i="41"/>
  <c r="F411" i="41"/>
  <c r="E411" i="41"/>
  <c r="D411" i="41"/>
  <c r="C411" i="41"/>
  <c r="B411" i="41"/>
  <c r="A411" i="41"/>
  <c r="I410" i="41"/>
  <c r="H410" i="41"/>
  <c r="G410" i="41"/>
  <c r="F410" i="41"/>
  <c r="E410" i="41"/>
  <c r="D410" i="41"/>
  <c r="C410" i="41"/>
  <c r="B410" i="41"/>
  <c r="A410" i="41"/>
  <c r="I409" i="41"/>
  <c r="H409" i="41"/>
  <c r="G409" i="41"/>
  <c r="F409" i="41"/>
  <c r="E409" i="41"/>
  <c r="D409" i="41"/>
  <c r="C409" i="41"/>
  <c r="B409" i="41"/>
  <c r="A409" i="41"/>
  <c r="I408" i="41"/>
  <c r="H408" i="41"/>
  <c r="G408" i="41"/>
  <c r="F408" i="41"/>
  <c r="E408" i="41"/>
  <c r="D408" i="41"/>
  <c r="C408" i="41"/>
  <c r="B408" i="41"/>
  <c r="A408" i="41"/>
  <c r="I407" i="41"/>
  <c r="H407" i="41"/>
  <c r="G407" i="41"/>
  <c r="F407" i="41"/>
  <c r="E407" i="41"/>
  <c r="D407" i="41"/>
  <c r="C407" i="41"/>
  <c r="B407" i="41"/>
  <c r="A407" i="41"/>
  <c r="I406" i="41"/>
  <c r="H406" i="41"/>
  <c r="G406" i="41"/>
  <c r="F406" i="41"/>
  <c r="E406" i="41"/>
  <c r="D406" i="41"/>
  <c r="C406" i="41"/>
  <c r="B406" i="41"/>
  <c r="A406" i="41"/>
  <c r="I405" i="41"/>
  <c r="H405" i="41"/>
  <c r="G405" i="41"/>
  <c r="F405" i="41"/>
  <c r="E405" i="41"/>
  <c r="D405" i="41"/>
  <c r="C405" i="41"/>
  <c r="B405" i="41"/>
  <c r="A405" i="41"/>
  <c r="I404" i="41"/>
  <c r="H404" i="41"/>
  <c r="G404" i="41"/>
  <c r="F404" i="41"/>
  <c r="E404" i="41"/>
  <c r="D404" i="41"/>
  <c r="C404" i="41"/>
  <c r="B404" i="41"/>
  <c r="A404" i="41"/>
  <c r="I403" i="41"/>
  <c r="H403" i="41"/>
  <c r="G403" i="41"/>
  <c r="F403" i="41"/>
  <c r="E403" i="41"/>
  <c r="D403" i="41"/>
  <c r="C403" i="41"/>
  <c r="B403" i="41"/>
  <c r="A403" i="41"/>
  <c r="I402" i="41"/>
  <c r="H402" i="41"/>
  <c r="G402" i="41"/>
  <c r="F402" i="41"/>
  <c r="E402" i="41"/>
  <c r="D402" i="41"/>
  <c r="C402" i="41"/>
  <c r="B402" i="41"/>
  <c r="A402" i="41"/>
  <c r="I401" i="41"/>
  <c r="H401" i="41"/>
  <c r="G401" i="41"/>
  <c r="F401" i="41"/>
  <c r="E401" i="41"/>
  <c r="D401" i="41"/>
  <c r="C401" i="41"/>
  <c r="B401" i="41"/>
  <c r="A401" i="41"/>
  <c r="I400" i="41"/>
  <c r="H400" i="41"/>
  <c r="G400" i="41"/>
  <c r="F400" i="41"/>
  <c r="E400" i="41"/>
  <c r="D400" i="41"/>
  <c r="C400" i="41"/>
  <c r="B400" i="41"/>
  <c r="A400" i="41"/>
  <c r="I399" i="41"/>
  <c r="H399" i="41"/>
  <c r="G399" i="41"/>
  <c r="F399" i="41"/>
  <c r="E399" i="41"/>
  <c r="D399" i="41"/>
  <c r="C399" i="41"/>
  <c r="B399" i="41"/>
  <c r="A399" i="41"/>
  <c r="I398" i="41"/>
  <c r="H398" i="41"/>
  <c r="G398" i="41"/>
  <c r="F398" i="41"/>
  <c r="E398" i="41"/>
  <c r="D398" i="41"/>
  <c r="C398" i="41"/>
  <c r="B398" i="41"/>
  <c r="A398" i="41"/>
  <c r="I397" i="41"/>
  <c r="H397" i="41"/>
  <c r="G397" i="41"/>
  <c r="F397" i="41"/>
  <c r="E397" i="41"/>
  <c r="D397" i="41"/>
  <c r="C397" i="41"/>
  <c r="B397" i="41"/>
  <c r="A397" i="41"/>
  <c r="I396" i="41"/>
  <c r="H396" i="41"/>
  <c r="G396" i="41"/>
  <c r="F396" i="41"/>
  <c r="E396" i="41"/>
  <c r="D396" i="41"/>
  <c r="C396" i="41"/>
  <c r="B396" i="41"/>
  <c r="A396" i="41"/>
  <c r="I395" i="41"/>
  <c r="H395" i="41"/>
  <c r="G395" i="41"/>
  <c r="F395" i="41"/>
  <c r="E395" i="41"/>
  <c r="D395" i="41"/>
  <c r="C395" i="41"/>
  <c r="B395" i="41"/>
  <c r="A395" i="41"/>
  <c r="I394" i="41"/>
  <c r="H394" i="41"/>
  <c r="G394" i="41"/>
  <c r="F394" i="41"/>
  <c r="E394" i="41"/>
  <c r="D394" i="41"/>
  <c r="C394" i="41"/>
  <c r="B394" i="41"/>
  <c r="A394" i="41"/>
  <c r="I393" i="41"/>
  <c r="H393" i="41"/>
  <c r="G393" i="41"/>
  <c r="F393" i="41"/>
  <c r="E393" i="41"/>
  <c r="D393" i="41"/>
  <c r="C393" i="41"/>
  <c r="B393" i="41"/>
  <c r="A393" i="41"/>
  <c r="I392" i="41"/>
  <c r="H392" i="41"/>
  <c r="G392" i="41"/>
  <c r="F392" i="41"/>
  <c r="E392" i="41"/>
  <c r="D392" i="41"/>
  <c r="C392" i="41"/>
  <c r="B392" i="41"/>
  <c r="A392" i="41"/>
  <c r="I391" i="41"/>
  <c r="H391" i="41"/>
  <c r="G391" i="41"/>
  <c r="F391" i="41"/>
  <c r="E391" i="41"/>
  <c r="D391" i="41"/>
  <c r="C391" i="41"/>
  <c r="B391" i="41"/>
  <c r="A391" i="41"/>
  <c r="I390" i="41"/>
  <c r="H390" i="41"/>
  <c r="G390" i="41"/>
  <c r="F390" i="41"/>
  <c r="E390" i="41"/>
  <c r="D390" i="41"/>
  <c r="C390" i="41"/>
  <c r="B390" i="41"/>
  <c r="A390" i="41"/>
  <c r="I389" i="41"/>
  <c r="H389" i="41"/>
  <c r="G389" i="41"/>
  <c r="F389" i="41"/>
  <c r="E389" i="41"/>
  <c r="D389" i="41"/>
  <c r="C389" i="41"/>
  <c r="B389" i="41"/>
  <c r="A389" i="41"/>
  <c r="I388" i="41"/>
  <c r="H388" i="41"/>
  <c r="G388" i="41"/>
  <c r="F388" i="41"/>
  <c r="E388" i="41"/>
  <c r="D388" i="41"/>
  <c r="C388" i="41"/>
  <c r="B388" i="41"/>
  <c r="A388" i="41"/>
  <c r="I387" i="41"/>
  <c r="H387" i="41"/>
  <c r="G387" i="41"/>
  <c r="F387" i="41"/>
  <c r="E387" i="41"/>
  <c r="D387" i="41"/>
  <c r="C387" i="41"/>
  <c r="B387" i="41"/>
  <c r="A387" i="41"/>
  <c r="I386" i="41"/>
  <c r="H386" i="41"/>
  <c r="G386" i="41"/>
  <c r="F386" i="41"/>
  <c r="E386" i="41"/>
  <c r="D386" i="41"/>
  <c r="C386" i="41"/>
  <c r="B386" i="41"/>
  <c r="A386" i="41"/>
  <c r="I385" i="41"/>
  <c r="H385" i="41"/>
  <c r="G385" i="41"/>
  <c r="F385" i="41"/>
  <c r="E385" i="41"/>
  <c r="D385" i="41"/>
  <c r="C385" i="41"/>
  <c r="B385" i="41"/>
  <c r="A385" i="41"/>
  <c r="I384" i="41"/>
  <c r="H384" i="41"/>
  <c r="G384" i="41"/>
  <c r="F384" i="41"/>
  <c r="E384" i="41"/>
  <c r="D384" i="41"/>
  <c r="C384" i="41"/>
  <c r="B384" i="41"/>
  <c r="A384" i="41"/>
  <c r="I383" i="41"/>
  <c r="H383" i="41"/>
  <c r="G383" i="41"/>
  <c r="F383" i="41"/>
  <c r="E383" i="41"/>
  <c r="D383" i="41"/>
  <c r="C383" i="41"/>
  <c r="B383" i="41"/>
  <c r="A383" i="41"/>
  <c r="I382" i="41"/>
  <c r="H382" i="41"/>
  <c r="G382" i="41"/>
  <c r="F382" i="41"/>
  <c r="E382" i="41"/>
  <c r="D382" i="41"/>
  <c r="C382" i="41"/>
  <c r="B382" i="41"/>
  <c r="A382" i="41"/>
  <c r="I381" i="41"/>
  <c r="H381" i="41"/>
  <c r="G381" i="41"/>
  <c r="F381" i="41"/>
  <c r="E381" i="41"/>
  <c r="D381" i="41"/>
  <c r="C381" i="41"/>
  <c r="B381" i="41"/>
  <c r="A381" i="41"/>
  <c r="I380" i="41"/>
  <c r="H380" i="41"/>
  <c r="G380" i="41"/>
  <c r="F380" i="41"/>
  <c r="E380" i="41"/>
  <c r="D380" i="41"/>
  <c r="C380" i="41"/>
  <c r="B380" i="41"/>
  <c r="A380" i="41"/>
  <c r="I379" i="41"/>
  <c r="H379" i="41"/>
  <c r="G379" i="41"/>
  <c r="F379" i="41"/>
  <c r="E379" i="41"/>
  <c r="D379" i="41"/>
  <c r="C379" i="41"/>
  <c r="B379" i="41"/>
  <c r="A379" i="41"/>
  <c r="I378" i="41"/>
  <c r="H378" i="41"/>
  <c r="G378" i="41"/>
  <c r="F378" i="41"/>
  <c r="E378" i="41"/>
  <c r="D378" i="41"/>
  <c r="C378" i="41"/>
  <c r="B378" i="41"/>
  <c r="A378" i="41"/>
  <c r="I377" i="41"/>
  <c r="H377" i="41"/>
  <c r="G377" i="41"/>
  <c r="F377" i="41"/>
  <c r="E377" i="41"/>
  <c r="D377" i="41"/>
  <c r="C377" i="41"/>
  <c r="B377" i="41"/>
  <c r="A377" i="41"/>
  <c r="I376" i="41"/>
  <c r="H376" i="41"/>
  <c r="G376" i="41"/>
  <c r="F376" i="41"/>
  <c r="E376" i="41"/>
  <c r="D376" i="41"/>
  <c r="C376" i="41"/>
  <c r="B376" i="41"/>
  <c r="A376" i="41"/>
  <c r="I375" i="41"/>
  <c r="H375" i="41"/>
  <c r="G375" i="41"/>
  <c r="F375" i="41"/>
  <c r="E375" i="41"/>
  <c r="D375" i="41"/>
  <c r="C375" i="41"/>
  <c r="B375" i="41"/>
  <c r="A375" i="41"/>
  <c r="I374" i="41"/>
  <c r="H374" i="41"/>
  <c r="G374" i="41"/>
  <c r="F374" i="41"/>
  <c r="E374" i="41"/>
  <c r="D374" i="41"/>
  <c r="C374" i="41"/>
  <c r="B374" i="41"/>
  <c r="A374" i="41"/>
  <c r="I373" i="41"/>
  <c r="H373" i="41"/>
  <c r="G373" i="41"/>
  <c r="F373" i="41"/>
  <c r="E373" i="41"/>
  <c r="D373" i="41"/>
  <c r="C373" i="41"/>
  <c r="B373" i="41"/>
  <c r="A373" i="41"/>
  <c r="I372" i="41"/>
  <c r="H372" i="41"/>
  <c r="G372" i="41"/>
  <c r="F372" i="41"/>
  <c r="E372" i="41"/>
  <c r="D372" i="41"/>
  <c r="C372" i="41"/>
  <c r="B372" i="41"/>
  <c r="A372" i="41"/>
  <c r="I371" i="41"/>
  <c r="H371" i="41"/>
  <c r="G371" i="41"/>
  <c r="F371" i="41"/>
  <c r="E371" i="41"/>
  <c r="D371" i="41"/>
  <c r="C371" i="41"/>
  <c r="B371" i="41"/>
  <c r="A371" i="41"/>
  <c r="I370" i="41"/>
  <c r="H370" i="41"/>
  <c r="G370" i="41"/>
  <c r="F370" i="41"/>
  <c r="E370" i="41"/>
  <c r="D370" i="41"/>
  <c r="C370" i="41"/>
  <c r="B370" i="41"/>
  <c r="A370" i="41"/>
  <c r="I369" i="41"/>
  <c r="H369" i="41"/>
  <c r="G369" i="41"/>
  <c r="F369" i="41"/>
  <c r="E369" i="41"/>
  <c r="D369" i="41"/>
  <c r="C369" i="41"/>
  <c r="B369" i="41"/>
  <c r="A369" i="41"/>
  <c r="I368" i="41"/>
  <c r="H368" i="41"/>
  <c r="G368" i="41"/>
  <c r="F368" i="41"/>
  <c r="E368" i="41"/>
  <c r="D368" i="41"/>
  <c r="C368" i="41"/>
  <c r="B368" i="41"/>
  <c r="A368" i="41"/>
  <c r="I367" i="41"/>
  <c r="H367" i="41"/>
  <c r="G367" i="41"/>
  <c r="F367" i="41"/>
  <c r="E367" i="41"/>
  <c r="D367" i="41"/>
  <c r="C367" i="41"/>
  <c r="B367" i="41"/>
  <c r="A367" i="41"/>
  <c r="I366" i="41"/>
  <c r="H366" i="41"/>
  <c r="G366" i="41"/>
  <c r="F366" i="41"/>
  <c r="E366" i="41"/>
  <c r="D366" i="41"/>
  <c r="C366" i="41"/>
  <c r="B366" i="41"/>
  <c r="A366" i="41"/>
  <c r="I365" i="41"/>
  <c r="H365" i="41"/>
  <c r="G365" i="41"/>
  <c r="F365" i="41"/>
  <c r="E365" i="41"/>
  <c r="D365" i="41"/>
  <c r="C365" i="41"/>
  <c r="B365" i="41"/>
  <c r="A365" i="41"/>
  <c r="I364" i="41"/>
  <c r="H364" i="41"/>
  <c r="G364" i="41"/>
  <c r="F364" i="41"/>
  <c r="E364" i="41"/>
  <c r="D364" i="41"/>
  <c r="C364" i="41"/>
  <c r="B364" i="41"/>
  <c r="A364" i="41"/>
  <c r="I363" i="41"/>
  <c r="H363" i="41"/>
  <c r="G363" i="41"/>
  <c r="F363" i="41"/>
  <c r="E363" i="41"/>
  <c r="D363" i="41"/>
  <c r="C363" i="41"/>
  <c r="B363" i="41"/>
  <c r="A363" i="41"/>
  <c r="I362" i="41"/>
  <c r="H362" i="41"/>
  <c r="G362" i="41"/>
  <c r="F362" i="41"/>
  <c r="E362" i="41"/>
  <c r="D362" i="41"/>
  <c r="C362" i="41"/>
  <c r="B362" i="41"/>
  <c r="A362" i="41"/>
  <c r="I361" i="41"/>
  <c r="H361" i="41"/>
  <c r="G361" i="41"/>
  <c r="F361" i="41"/>
  <c r="E361" i="41"/>
  <c r="D361" i="41"/>
  <c r="C361" i="41"/>
  <c r="B361" i="41"/>
  <c r="A361" i="41"/>
  <c r="I360" i="41"/>
  <c r="H360" i="41"/>
  <c r="G360" i="41"/>
  <c r="F360" i="41"/>
  <c r="E360" i="41"/>
  <c r="D360" i="41"/>
  <c r="C360" i="41"/>
  <c r="B360" i="41"/>
  <c r="A360" i="41"/>
  <c r="I359" i="41"/>
  <c r="H359" i="41"/>
  <c r="G359" i="41"/>
  <c r="F359" i="41"/>
  <c r="E359" i="41"/>
  <c r="D359" i="41"/>
  <c r="C359" i="41"/>
  <c r="B359" i="41"/>
  <c r="A359" i="41"/>
  <c r="I358" i="41"/>
  <c r="H358" i="41"/>
  <c r="G358" i="41"/>
  <c r="F358" i="41"/>
  <c r="E358" i="41"/>
  <c r="D358" i="41"/>
  <c r="C358" i="41"/>
  <c r="B358" i="41"/>
  <c r="A358" i="41"/>
  <c r="I357" i="41"/>
  <c r="H357" i="41"/>
  <c r="G357" i="41"/>
  <c r="F357" i="41"/>
  <c r="E357" i="41"/>
  <c r="D357" i="41"/>
  <c r="C357" i="41"/>
  <c r="B357" i="41"/>
  <c r="A357" i="41"/>
  <c r="I356" i="41"/>
  <c r="H356" i="41"/>
  <c r="G356" i="41"/>
  <c r="F356" i="41"/>
  <c r="E356" i="41"/>
  <c r="D356" i="41"/>
  <c r="C356" i="41"/>
  <c r="B356" i="41"/>
  <c r="A356" i="41"/>
  <c r="I355" i="41"/>
  <c r="H355" i="41"/>
  <c r="G355" i="41"/>
  <c r="F355" i="41"/>
  <c r="E355" i="41"/>
  <c r="D355" i="41"/>
  <c r="C355" i="41"/>
  <c r="B355" i="41"/>
  <c r="A355" i="41"/>
  <c r="I354" i="41"/>
  <c r="H354" i="41"/>
  <c r="G354" i="41"/>
  <c r="F354" i="41"/>
  <c r="E354" i="41"/>
  <c r="D354" i="41"/>
  <c r="C354" i="41"/>
  <c r="B354" i="41"/>
  <c r="A354" i="41"/>
  <c r="I353" i="41"/>
  <c r="H353" i="41"/>
  <c r="G353" i="41"/>
  <c r="F353" i="41"/>
  <c r="E353" i="41"/>
  <c r="D353" i="41"/>
  <c r="C353" i="41"/>
  <c r="B353" i="41"/>
  <c r="A353" i="41"/>
  <c r="I352" i="41"/>
  <c r="H352" i="41"/>
  <c r="G352" i="41"/>
  <c r="F352" i="41"/>
  <c r="E352" i="41"/>
  <c r="D352" i="41"/>
  <c r="C352" i="41"/>
  <c r="B352" i="41"/>
  <c r="A352" i="41"/>
  <c r="I351" i="41"/>
  <c r="H351" i="41"/>
  <c r="G351" i="41"/>
  <c r="F351" i="41"/>
  <c r="E351" i="41"/>
  <c r="D351" i="41"/>
  <c r="C351" i="41"/>
  <c r="B351" i="41"/>
  <c r="A351" i="41"/>
  <c r="I350" i="41"/>
  <c r="H350" i="41"/>
  <c r="G350" i="41"/>
  <c r="F350" i="41"/>
  <c r="E350" i="41"/>
  <c r="D350" i="41"/>
  <c r="C350" i="41"/>
  <c r="B350" i="41"/>
  <c r="A350" i="41"/>
  <c r="I349" i="41"/>
  <c r="H349" i="41"/>
  <c r="G349" i="41"/>
  <c r="F349" i="41"/>
  <c r="E349" i="41"/>
  <c r="D349" i="41"/>
  <c r="C349" i="41"/>
  <c r="B349" i="41"/>
  <c r="A349" i="41"/>
  <c r="I348" i="41"/>
  <c r="H348" i="41"/>
  <c r="G348" i="41"/>
  <c r="F348" i="41"/>
  <c r="E348" i="41"/>
  <c r="D348" i="41"/>
  <c r="C348" i="41"/>
  <c r="B348" i="41"/>
  <c r="A348" i="41"/>
  <c r="I347" i="41"/>
  <c r="H347" i="41"/>
  <c r="G347" i="41"/>
  <c r="F347" i="41"/>
  <c r="E347" i="41"/>
  <c r="D347" i="41"/>
  <c r="C347" i="41"/>
  <c r="B347" i="41"/>
  <c r="A347" i="41"/>
  <c r="I346" i="41"/>
  <c r="H346" i="41"/>
  <c r="G346" i="41"/>
  <c r="F346" i="41"/>
  <c r="E346" i="41"/>
  <c r="D346" i="41"/>
  <c r="C346" i="41"/>
  <c r="B346" i="41"/>
  <c r="A346" i="41"/>
  <c r="I345" i="41"/>
  <c r="H345" i="41"/>
  <c r="G345" i="41"/>
  <c r="F345" i="41"/>
  <c r="E345" i="41"/>
  <c r="D345" i="41"/>
  <c r="C345" i="41"/>
  <c r="B345" i="41"/>
  <c r="A345" i="41"/>
  <c r="I344" i="41"/>
  <c r="H344" i="41"/>
  <c r="G344" i="41"/>
  <c r="F344" i="41"/>
  <c r="E344" i="41"/>
  <c r="D344" i="41"/>
  <c r="C344" i="41"/>
  <c r="B344" i="41"/>
  <c r="A344" i="41"/>
  <c r="I343" i="41"/>
  <c r="H343" i="41"/>
  <c r="G343" i="41"/>
  <c r="F343" i="41"/>
  <c r="E343" i="41"/>
  <c r="D343" i="41"/>
  <c r="C343" i="41"/>
  <c r="B343" i="41"/>
  <c r="A343" i="41"/>
  <c r="I342" i="41"/>
  <c r="H342" i="41"/>
  <c r="G342" i="41"/>
  <c r="F342" i="41"/>
  <c r="E342" i="41"/>
  <c r="D342" i="41"/>
  <c r="C342" i="41"/>
  <c r="B342" i="41"/>
  <c r="A342" i="41"/>
  <c r="I341" i="41"/>
  <c r="H341" i="41"/>
  <c r="G341" i="41"/>
  <c r="F341" i="41"/>
  <c r="E341" i="41"/>
  <c r="D341" i="41"/>
  <c r="C341" i="41"/>
  <c r="B341" i="41"/>
  <c r="A341" i="41"/>
  <c r="I340" i="41"/>
  <c r="H340" i="41"/>
  <c r="G340" i="41"/>
  <c r="F340" i="41"/>
  <c r="E340" i="41"/>
  <c r="D340" i="41"/>
  <c r="C340" i="41"/>
  <c r="B340" i="41"/>
  <c r="A340" i="41"/>
  <c r="I339" i="41"/>
  <c r="H339" i="41"/>
  <c r="G339" i="41"/>
  <c r="F339" i="41"/>
  <c r="E339" i="41"/>
  <c r="D339" i="41"/>
  <c r="C339" i="41"/>
  <c r="B339" i="41"/>
  <c r="A339" i="41"/>
  <c r="I338" i="41"/>
  <c r="H338" i="41"/>
  <c r="G338" i="41"/>
  <c r="F338" i="41"/>
  <c r="E338" i="41"/>
  <c r="D338" i="41"/>
  <c r="C338" i="41"/>
  <c r="B338" i="41"/>
  <c r="A338" i="41"/>
  <c r="I337" i="41"/>
  <c r="H337" i="41"/>
  <c r="G337" i="41"/>
  <c r="F337" i="41"/>
  <c r="E337" i="41"/>
  <c r="D337" i="41"/>
  <c r="C337" i="41"/>
  <c r="B337" i="41"/>
  <c r="A337" i="41"/>
  <c r="I336" i="41"/>
  <c r="H336" i="41"/>
  <c r="G336" i="41"/>
  <c r="F336" i="41"/>
  <c r="E336" i="41"/>
  <c r="D336" i="41"/>
  <c r="C336" i="41"/>
  <c r="B336" i="41"/>
  <c r="A336" i="41"/>
  <c r="I335" i="41"/>
  <c r="H335" i="41"/>
  <c r="G335" i="41"/>
  <c r="F335" i="41"/>
  <c r="E335" i="41"/>
  <c r="D335" i="41"/>
  <c r="C335" i="41"/>
  <c r="B335" i="41"/>
  <c r="A335" i="41"/>
  <c r="I334" i="41"/>
  <c r="H334" i="41"/>
  <c r="G334" i="41"/>
  <c r="F334" i="41"/>
  <c r="E334" i="41"/>
  <c r="D334" i="41"/>
  <c r="C334" i="41"/>
  <c r="B334" i="41"/>
  <c r="A334" i="41"/>
  <c r="I333" i="41"/>
  <c r="H333" i="41"/>
  <c r="G333" i="41"/>
  <c r="F333" i="41"/>
  <c r="E333" i="41"/>
  <c r="D333" i="41"/>
  <c r="C333" i="41"/>
  <c r="B333" i="41"/>
  <c r="A333" i="41"/>
  <c r="I332" i="41"/>
  <c r="H332" i="41"/>
  <c r="G332" i="41"/>
  <c r="F332" i="41"/>
  <c r="E332" i="41"/>
  <c r="D332" i="41"/>
  <c r="C332" i="41"/>
  <c r="B332" i="41"/>
  <c r="A332" i="41"/>
  <c r="I331" i="41"/>
  <c r="H331" i="41"/>
  <c r="G331" i="41"/>
  <c r="F331" i="41"/>
  <c r="E331" i="41"/>
  <c r="D331" i="41"/>
  <c r="C331" i="41"/>
  <c r="B331" i="41"/>
  <c r="A331" i="41"/>
  <c r="I330" i="41"/>
  <c r="H330" i="41"/>
  <c r="G330" i="41"/>
  <c r="F330" i="41"/>
  <c r="E330" i="41"/>
  <c r="D330" i="41"/>
  <c r="C330" i="41"/>
  <c r="B330" i="41"/>
  <c r="A330" i="41"/>
  <c r="I329" i="41"/>
  <c r="H329" i="41"/>
  <c r="G329" i="41"/>
  <c r="F329" i="41"/>
  <c r="E329" i="41"/>
  <c r="D329" i="41"/>
  <c r="C329" i="41"/>
  <c r="B329" i="41"/>
  <c r="A329" i="41"/>
  <c r="I328" i="41"/>
  <c r="H328" i="41"/>
  <c r="G328" i="41"/>
  <c r="F328" i="41"/>
  <c r="E328" i="41"/>
  <c r="D328" i="41"/>
  <c r="C328" i="41"/>
  <c r="B328" i="41"/>
  <c r="A328" i="41"/>
  <c r="I327" i="41"/>
  <c r="H327" i="41"/>
  <c r="G327" i="41"/>
  <c r="F327" i="41"/>
  <c r="E327" i="41"/>
  <c r="D327" i="41"/>
  <c r="C327" i="41"/>
  <c r="B327" i="41"/>
  <c r="A327" i="41"/>
  <c r="I326" i="41"/>
  <c r="H326" i="41"/>
  <c r="G326" i="41"/>
  <c r="F326" i="41"/>
  <c r="E326" i="41"/>
  <c r="D326" i="41"/>
  <c r="C326" i="41"/>
  <c r="B326" i="41"/>
  <c r="A326" i="41"/>
  <c r="I325" i="41"/>
  <c r="H325" i="41"/>
  <c r="G325" i="41"/>
  <c r="F325" i="41"/>
  <c r="E325" i="41"/>
  <c r="D325" i="41"/>
  <c r="C325" i="41"/>
  <c r="B325" i="41"/>
  <c r="A325" i="41"/>
  <c r="I324" i="41"/>
  <c r="H324" i="41"/>
  <c r="G324" i="41"/>
  <c r="F324" i="41"/>
  <c r="E324" i="41"/>
  <c r="D324" i="41"/>
  <c r="C324" i="41"/>
  <c r="B324" i="41"/>
  <c r="A324" i="41"/>
  <c r="I323" i="41"/>
  <c r="H323" i="41"/>
  <c r="G323" i="41"/>
  <c r="F323" i="41"/>
  <c r="E323" i="41"/>
  <c r="D323" i="41"/>
  <c r="C323" i="41"/>
  <c r="B323" i="41"/>
  <c r="A323" i="41"/>
  <c r="I322" i="41"/>
  <c r="H322" i="41"/>
  <c r="G322" i="41"/>
  <c r="F322" i="41"/>
  <c r="E322" i="41"/>
  <c r="D322" i="41"/>
  <c r="C322" i="41"/>
  <c r="B322" i="41"/>
  <c r="A322" i="41"/>
  <c r="I321" i="41"/>
  <c r="H321" i="41"/>
  <c r="G321" i="41"/>
  <c r="F321" i="41"/>
  <c r="E321" i="41"/>
  <c r="D321" i="41"/>
  <c r="C321" i="41"/>
  <c r="B321" i="41"/>
  <c r="A321" i="41"/>
  <c r="I320" i="41"/>
  <c r="H320" i="41"/>
  <c r="G320" i="41"/>
  <c r="F320" i="41"/>
  <c r="E320" i="41"/>
  <c r="D320" i="41"/>
  <c r="C320" i="41"/>
  <c r="B320" i="41"/>
  <c r="A320" i="41"/>
  <c r="I319" i="41"/>
  <c r="H319" i="41"/>
  <c r="G319" i="41"/>
  <c r="F319" i="41"/>
  <c r="E319" i="41"/>
  <c r="D319" i="41"/>
  <c r="C319" i="41"/>
  <c r="B319" i="41"/>
  <c r="A319" i="41"/>
  <c r="I318" i="41"/>
  <c r="H318" i="41"/>
  <c r="G318" i="41"/>
  <c r="F318" i="41"/>
  <c r="E318" i="41"/>
  <c r="D318" i="41"/>
  <c r="C318" i="41"/>
  <c r="B318" i="41"/>
  <c r="A318" i="41"/>
  <c r="I317" i="41"/>
  <c r="H317" i="41"/>
  <c r="G317" i="41"/>
  <c r="F317" i="41"/>
  <c r="E317" i="41"/>
  <c r="D317" i="41"/>
  <c r="C317" i="41"/>
  <c r="B317" i="41"/>
  <c r="A317" i="41"/>
  <c r="I316" i="41"/>
  <c r="H316" i="41"/>
  <c r="G316" i="41"/>
  <c r="F316" i="41"/>
  <c r="E316" i="41"/>
  <c r="D316" i="41"/>
  <c r="C316" i="41"/>
  <c r="B316" i="41"/>
  <c r="A316" i="41"/>
  <c r="I315" i="41"/>
  <c r="H315" i="41"/>
  <c r="G315" i="41"/>
  <c r="F315" i="41"/>
  <c r="E315" i="41"/>
  <c r="D315" i="41"/>
  <c r="C315" i="41"/>
  <c r="B315" i="41"/>
  <c r="A315" i="41"/>
  <c r="I314" i="41"/>
  <c r="H314" i="41"/>
  <c r="G314" i="41"/>
  <c r="F314" i="41"/>
  <c r="E314" i="41"/>
  <c r="D314" i="41"/>
  <c r="C314" i="41"/>
  <c r="B314" i="41"/>
  <c r="A314" i="41"/>
  <c r="I313" i="41"/>
  <c r="H313" i="41"/>
  <c r="G313" i="41"/>
  <c r="F313" i="41"/>
  <c r="E313" i="41"/>
  <c r="D313" i="41"/>
  <c r="C313" i="41"/>
  <c r="B313" i="41"/>
  <c r="A313" i="41"/>
  <c r="I312" i="41"/>
  <c r="H312" i="41"/>
  <c r="G312" i="41"/>
  <c r="F312" i="41"/>
  <c r="E312" i="41"/>
  <c r="D312" i="41"/>
  <c r="C312" i="41"/>
  <c r="B312" i="41"/>
  <c r="A312" i="41"/>
  <c r="I311" i="41"/>
  <c r="H311" i="41"/>
  <c r="G311" i="41"/>
  <c r="F311" i="41"/>
  <c r="E311" i="41"/>
  <c r="D311" i="41"/>
  <c r="C311" i="41"/>
  <c r="B311" i="41"/>
  <c r="A311" i="41"/>
  <c r="I310" i="41"/>
  <c r="H310" i="41"/>
  <c r="G310" i="41"/>
  <c r="F310" i="41"/>
  <c r="E310" i="41"/>
  <c r="D310" i="41"/>
  <c r="C310" i="41"/>
  <c r="B310" i="41"/>
  <c r="A310" i="41"/>
  <c r="I309" i="41"/>
  <c r="H309" i="41"/>
  <c r="G309" i="41"/>
  <c r="F309" i="41"/>
  <c r="E309" i="41"/>
  <c r="D309" i="41"/>
  <c r="C309" i="41"/>
  <c r="B309" i="41"/>
  <c r="A309" i="41"/>
  <c r="I308" i="41"/>
  <c r="H308" i="41"/>
  <c r="G308" i="41"/>
  <c r="F308" i="41"/>
  <c r="E308" i="41"/>
  <c r="D308" i="41"/>
  <c r="C308" i="41"/>
  <c r="B308" i="41"/>
  <c r="A308" i="41"/>
  <c r="I307" i="41"/>
  <c r="H307" i="41"/>
  <c r="G307" i="41"/>
  <c r="F307" i="41"/>
  <c r="E307" i="41"/>
  <c r="D307" i="41"/>
  <c r="C307" i="41"/>
  <c r="B307" i="41"/>
  <c r="A307" i="41"/>
  <c r="I306" i="41"/>
  <c r="H306" i="41"/>
  <c r="G306" i="41"/>
  <c r="F306" i="41"/>
  <c r="E306" i="41"/>
  <c r="D306" i="41"/>
  <c r="C306" i="41"/>
  <c r="B306" i="41"/>
  <c r="A306" i="41"/>
  <c r="I305" i="41"/>
  <c r="H305" i="41"/>
  <c r="G305" i="41"/>
  <c r="F305" i="41"/>
  <c r="E305" i="41"/>
  <c r="D305" i="41"/>
  <c r="C305" i="41"/>
  <c r="B305" i="41"/>
  <c r="A305" i="41"/>
  <c r="I304" i="41"/>
  <c r="H304" i="41"/>
  <c r="G304" i="41"/>
  <c r="F304" i="41"/>
  <c r="E304" i="41"/>
  <c r="D304" i="41"/>
  <c r="C304" i="41"/>
  <c r="B304" i="41"/>
  <c r="A304" i="41"/>
  <c r="I303" i="41"/>
  <c r="H303" i="41"/>
  <c r="G303" i="41"/>
  <c r="F303" i="41"/>
  <c r="E303" i="41"/>
  <c r="D303" i="41"/>
  <c r="C303" i="41"/>
  <c r="B303" i="41"/>
  <c r="A303" i="41"/>
  <c r="I302" i="41"/>
  <c r="H302" i="41"/>
  <c r="G302" i="41"/>
  <c r="F302" i="41"/>
  <c r="E302" i="41"/>
  <c r="D302" i="41"/>
  <c r="C302" i="41"/>
  <c r="B302" i="41"/>
  <c r="A302" i="41"/>
  <c r="I301" i="41"/>
  <c r="H301" i="41"/>
  <c r="G301" i="41"/>
  <c r="F301" i="41"/>
  <c r="E301" i="41"/>
  <c r="D301" i="41"/>
  <c r="C301" i="41"/>
  <c r="B301" i="41"/>
  <c r="A301" i="41"/>
  <c r="I300" i="41"/>
  <c r="H300" i="41"/>
  <c r="G300" i="41"/>
  <c r="F300" i="41"/>
  <c r="E300" i="41"/>
  <c r="D300" i="41"/>
  <c r="C300" i="41"/>
  <c r="B300" i="41"/>
  <c r="A300" i="41"/>
  <c r="I299" i="41"/>
  <c r="H299" i="41"/>
  <c r="G299" i="41"/>
  <c r="F299" i="41"/>
  <c r="E299" i="41"/>
  <c r="D299" i="41"/>
  <c r="C299" i="41"/>
  <c r="B299" i="41"/>
  <c r="A299" i="41"/>
  <c r="I298" i="41"/>
  <c r="H298" i="41"/>
  <c r="G298" i="41"/>
  <c r="F298" i="41"/>
  <c r="E298" i="41"/>
  <c r="D298" i="41"/>
  <c r="C298" i="41"/>
  <c r="B298" i="41"/>
  <c r="A298" i="41"/>
  <c r="I297" i="41"/>
  <c r="H297" i="41"/>
  <c r="G297" i="41"/>
  <c r="F297" i="41"/>
  <c r="E297" i="41"/>
  <c r="D297" i="41"/>
  <c r="C297" i="41"/>
  <c r="B297" i="41"/>
  <c r="A297" i="41"/>
  <c r="I296" i="41"/>
  <c r="H296" i="41"/>
  <c r="G296" i="41"/>
  <c r="F296" i="41"/>
  <c r="E296" i="41"/>
  <c r="D296" i="41"/>
  <c r="C296" i="41"/>
  <c r="B296" i="41"/>
  <c r="A296" i="41"/>
  <c r="I295" i="41"/>
  <c r="H295" i="41"/>
  <c r="G295" i="41"/>
  <c r="F295" i="41"/>
  <c r="E295" i="41"/>
  <c r="D295" i="41"/>
  <c r="C295" i="41"/>
  <c r="B295" i="41"/>
  <c r="A295" i="41"/>
  <c r="I294" i="41"/>
  <c r="H294" i="41"/>
  <c r="G294" i="41"/>
  <c r="F294" i="41"/>
  <c r="E294" i="41"/>
  <c r="D294" i="41"/>
  <c r="C294" i="41"/>
  <c r="B294" i="41"/>
  <c r="A294" i="41"/>
  <c r="I293" i="41"/>
  <c r="H293" i="41"/>
  <c r="G293" i="41"/>
  <c r="F293" i="41"/>
  <c r="E293" i="41"/>
  <c r="D293" i="41"/>
  <c r="C293" i="41"/>
  <c r="B293" i="41"/>
  <c r="A293" i="41"/>
  <c r="I292" i="41"/>
  <c r="H292" i="41"/>
  <c r="G292" i="41"/>
  <c r="F292" i="41"/>
  <c r="E292" i="41"/>
  <c r="D292" i="41"/>
  <c r="C292" i="41"/>
  <c r="B292" i="41"/>
  <c r="A292" i="41"/>
  <c r="I291" i="41"/>
  <c r="H291" i="41"/>
  <c r="G291" i="41"/>
  <c r="F291" i="41"/>
  <c r="E291" i="41"/>
  <c r="D291" i="41"/>
  <c r="C291" i="41"/>
  <c r="B291" i="41"/>
  <c r="A291" i="41"/>
  <c r="I290" i="41"/>
  <c r="H290" i="41"/>
  <c r="G290" i="41"/>
  <c r="F290" i="41"/>
  <c r="E290" i="41"/>
  <c r="D290" i="41"/>
  <c r="C290" i="41"/>
  <c r="B290" i="41"/>
  <c r="A290" i="41"/>
  <c r="I289" i="41"/>
  <c r="H289" i="41"/>
  <c r="G289" i="41"/>
  <c r="F289" i="41"/>
  <c r="E289" i="41"/>
  <c r="D289" i="41"/>
  <c r="C289" i="41"/>
  <c r="B289" i="41"/>
  <c r="A289" i="41"/>
  <c r="I288" i="41"/>
  <c r="H288" i="41"/>
  <c r="G288" i="41"/>
  <c r="F288" i="41"/>
  <c r="E288" i="41"/>
  <c r="D288" i="41"/>
  <c r="C288" i="41"/>
  <c r="B288" i="41"/>
  <c r="A288" i="41"/>
  <c r="I287" i="41"/>
  <c r="H287" i="41"/>
  <c r="G287" i="41"/>
  <c r="F287" i="41"/>
  <c r="E287" i="41"/>
  <c r="D287" i="41"/>
  <c r="C287" i="41"/>
  <c r="B287" i="41"/>
  <c r="A287" i="41"/>
  <c r="I286" i="41"/>
  <c r="H286" i="41"/>
  <c r="G286" i="41"/>
  <c r="F286" i="41"/>
  <c r="E286" i="41"/>
  <c r="D286" i="41"/>
  <c r="C286" i="41"/>
  <c r="B286" i="41"/>
  <c r="A286" i="41"/>
  <c r="I285" i="41"/>
  <c r="H285" i="41"/>
  <c r="G285" i="41"/>
  <c r="F285" i="41"/>
  <c r="E285" i="41"/>
  <c r="D285" i="41"/>
  <c r="C285" i="41"/>
  <c r="B285" i="41"/>
  <c r="A285" i="41"/>
  <c r="I284" i="41"/>
  <c r="H284" i="41"/>
  <c r="G284" i="41"/>
  <c r="F284" i="41"/>
  <c r="E284" i="41"/>
  <c r="D284" i="41"/>
  <c r="C284" i="41"/>
  <c r="B284" i="41"/>
  <c r="A284" i="41"/>
  <c r="I283" i="41"/>
  <c r="H283" i="41"/>
  <c r="G283" i="41"/>
  <c r="F283" i="41"/>
  <c r="E283" i="41"/>
  <c r="D283" i="41"/>
  <c r="C283" i="41"/>
  <c r="B283" i="41"/>
  <c r="A283" i="41"/>
  <c r="I282" i="41"/>
  <c r="H282" i="41"/>
  <c r="G282" i="41"/>
  <c r="F282" i="41"/>
  <c r="E282" i="41"/>
  <c r="D282" i="41"/>
  <c r="C282" i="41"/>
  <c r="B282" i="41"/>
  <c r="A282" i="41"/>
  <c r="I281" i="41"/>
  <c r="H281" i="41"/>
  <c r="G281" i="41"/>
  <c r="F281" i="41"/>
  <c r="E281" i="41"/>
  <c r="D281" i="41"/>
  <c r="C281" i="41"/>
  <c r="B281" i="41"/>
  <c r="A281" i="41"/>
  <c r="I280" i="41"/>
  <c r="H280" i="41"/>
  <c r="G280" i="41"/>
  <c r="F280" i="41"/>
  <c r="E280" i="41"/>
  <c r="D280" i="41"/>
  <c r="C280" i="41"/>
  <c r="B280" i="41"/>
  <c r="A280" i="41"/>
  <c r="I279" i="41"/>
  <c r="H279" i="41"/>
  <c r="G279" i="41"/>
  <c r="F279" i="41"/>
  <c r="E279" i="41"/>
  <c r="D279" i="41"/>
  <c r="C279" i="41"/>
  <c r="B279" i="41"/>
  <c r="A279" i="41"/>
  <c r="I278" i="41"/>
  <c r="H278" i="41"/>
  <c r="G278" i="41"/>
  <c r="F278" i="41"/>
  <c r="E278" i="41"/>
  <c r="D278" i="41"/>
  <c r="C278" i="41"/>
  <c r="B278" i="41"/>
  <c r="A278" i="41"/>
  <c r="I277" i="41"/>
  <c r="H277" i="41"/>
  <c r="G277" i="41"/>
  <c r="F277" i="41"/>
  <c r="E277" i="41"/>
  <c r="D277" i="41"/>
  <c r="C277" i="41"/>
  <c r="B277" i="41"/>
  <c r="A277" i="41"/>
  <c r="I276" i="41"/>
  <c r="H276" i="41"/>
  <c r="G276" i="41"/>
  <c r="F276" i="41"/>
  <c r="E276" i="41"/>
  <c r="D276" i="41"/>
  <c r="C276" i="41"/>
  <c r="B276" i="41"/>
  <c r="A276" i="41"/>
  <c r="I275" i="41"/>
  <c r="H275" i="41"/>
  <c r="G275" i="41"/>
  <c r="F275" i="41"/>
  <c r="E275" i="41"/>
  <c r="D275" i="41"/>
  <c r="C275" i="41"/>
  <c r="B275" i="41"/>
  <c r="A275" i="41"/>
  <c r="I274" i="41"/>
  <c r="H274" i="41"/>
  <c r="G274" i="41"/>
  <c r="F274" i="41"/>
  <c r="E274" i="41"/>
  <c r="D274" i="41"/>
  <c r="C274" i="41"/>
  <c r="B274" i="41"/>
  <c r="A274" i="41"/>
  <c r="I273" i="41"/>
  <c r="H273" i="41"/>
  <c r="G273" i="41"/>
  <c r="F273" i="41"/>
  <c r="E273" i="41"/>
  <c r="D273" i="41"/>
  <c r="C273" i="41"/>
  <c r="B273" i="41"/>
  <c r="A273" i="41"/>
  <c r="I272" i="41"/>
  <c r="H272" i="41"/>
  <c r="G272" i="41"/>
  <c r="F272" i="41"/>
  <c r="E272" i="41"/>
  <c r="D272" i="41"/>
  <c r="C272" i="41"/>
  <c r="B272" i="41"/>
  <c r="A272" i="41"/>
  <c r="I271" i="41"/>
  <c r="H271" i="41"/>
  <c r="G271" i="41"/>
  <c r="F271" i="41"/>
  <c r="E271" i="41"/>
  <c r="D271" i="41"/>
  <c r="C271" i="41"/>
  <c r="B271" i="41"/>
  <c r="A271" i="41"/>
  <c r="I270" i="41"/>
  <c r="H270" i="41"/>
  <c r="G270" i="41"/>
  <c r="F270" i="41"/>
  <c r="E270" i="41"/>
  <c r="D270" i="41"/>
  <c r="C270" i="41"/>
  <c r="B270" i="41"/>
  <c r="A270" i="41"/>
  <c r="I269" i="41"/>
  <c r="H269" i="41"/>
  <c r="G269" i="41"/>
  <c r="F269" i="41"/>
  <c r="E269" i="41"/>
  <c r="D269" i="41"/>
  <c r="C269" i="41"/>
  <c r="B269" i="41"/>
  <c r="A269" i="41"/>
  <c r="I268" i="41"/>
  <c r="H268" i="41"/>
  <c r="G268" i="41"/>
  <c r="F268" i="41"/>
  <c r="E268" i="41"/>
  <c r="D268" i="41"/>
  <c r="C268" i="41"/>
  <c r="B268" i="41"/>
  <c r="A268" i="41"/>
  <c r="I267" i="41"/>
  <c r="H267" i="41"/>
  <c r="G267" i="41"/>
  <c r="F267" i="41"/>
  <c r="E267" i="41"/>
  <c r="D267" i="41"/>
  <c r="C267" i="41"/>
  <c r="B267" i="41"/>
  <c r="A267" i="41"/>
  <c r="I266" i="41"/>
  <c r="H266" i="41"/>
  <c r="G266" i="41"/>
  <c r="F266" i="41"/>
  <c r="E266" i="41"/>
  <c r="D266" i="41"/>
  <c r="C266" i="41"/>
  <c r="B266" i="41"/>
  <c r="A266" i="41"/>
  <c r="I265" i="41"/>
  <c r="H265" i="41"/>
  <c r="G265" i="41"/>
  <c r="F265" i="41"/>
  <c r="E265" i="41"/>
  <c r="D265" i="41"/>
  <c r="C265" i="41"/>
  <c r="B265" i="41"/>
  <c r="A265" i="41"/>
  <c r="I264" i="41"/>
  <c r="H264" i="41"/>
  <c r="G264" i="41"/>
  <c r="F264" i="41"/>
  <c r="E264" i="41"/>
  <c r="D264" i="41"/>
  <c r="C264" i="41"/>
  <c r="B264" i="41"/>
  <c r="A264" i="41"/>
  <c r="I263" i="41"/>
  <c r="H263" i="41"/>
  <c r="G263" i="41"/>
  <c r="F263" i="41"/>
  <c r="E263" i="41"/>
  <c r="D263" i="41"/>
  <c r="C263" i="41"/>
  <c r="B263" i="41"/>
  <c r="A263" i="41"/>
  <c r="I262" i="41"/>
  <c r="H262" i="41"/>
  <c r="G262" i="41"/>
  <c r="F262" i="41"/>
  <c r="E262" i="41"/>
  <c r="D262" i="41"/>
  <c r="C262" i="41"/>
  <c r="B262" i="41"/>
  <c r="A262" i="41"/>
  <c r="I261" i="41"/>
  <c r="H261" i="41"/>
  <c r="G261" i="41"/>
  <c r="F261" i="41"/>
  <c r="E261" i="41"/>
  <c r="D261" i="41"/>
  <c r="C261" i="41"/>
  <c r="B261" i="41"/>
  <c r="A261" i="41"/>
  <c r="I260" i="41"/>
  <c r="H260" i="41"/>
  <c r="G260" i="41"/>
  <c r="F260" i="41"/>
  <c r="E260" i="41"/>
  <c r="D260" i="41"/>
  <c r="C260" i="41"/>
  <c r="B260" i="41"/>
  <c r="A260" i="41"/>
  <c r="I259" i="41"/>
  <c r="H259" i="41"/>
  <c r="G259" i="41"/>
  <c r="F259" i="41"/>
  <c r="E259" i="41"/>
  <c r="D259" i="41"/>
  <c r="C259" i="41"/>
  <c r="B259" i="41"/>
  <c r="A259" i="41"/>
  <c r="I258" i="41"/>
  <c r="H258" i="41"/>
  <c r="G258" i="41"/>
  <c r="F258" i="41"/>
  <c r="E258" i="41"/>
  <c r="D258" i="41"/>
  <c r="C258" i="41"/>
  <c r="B258" i="41"/>
  <c r="A258" i="41"/>
  <c r="I257" i="41"/>
  <c r="H257" i="41"/>
  <c r="G257" i="41"/>
  <c r="F257" i="41"/>
  <c r="E257" i="41"/>
  <c r="D257" i="41"/>
  <c r="C257" i="41"/>
  <c r="B257" i="41"/>
  <c r="A257" i="41"/>
  <c r="I256" i="41"/>
  <c r="H256" i="41"/>
  <c r="G256" i="41"/>
  <c r="F256" i="41"/>
  <c r="E256" i="41"/>
  <c r="D256" i="41"/>
  <c r="C256" i="41"/>
  <c r="B256" i="41"/>
  <c r="A256" i="41"/>
  <c r="I255" i="41"/>
  <c r="H255" i="41"/>
  <c r="G255" i="41"/>
  <c r="F255" i="41"/>
  <c r="E255" i="41"/>
  <c r="D255" i="41"/>
  <c r="C255" i="41"/>
  <c r="B255" i="41"/>
  <c r="A255" i="41"/>
  <c r="I254" i="41"/>
  <c r="H254" i="41"/>
  <c r="G254" i="41"/>
  <c r="F254" i="41"/>
  <c r="E254" i="41"/>
  <c r="D254" i="41"/>
  <c r="C254" i="41"/>
  <c r="B254" i="41"/>
  <c r="A254" i="41"/>
  <c r="I253" i="41"/>
  <c r="H253" i="41"/>
  <c r="G253" i="41"/>
  <c r="F253" i="41"/>
  <c r="E253" i="41"/>
  <c r="D253" i="41"/>
  <c r="C253" i="41"/>
  <c r="B253" i="41"/>
  <c r="A253" i="41"/>
  <c r="I252" i="41"/>
  <c r="H252" i="41"/>
  <c r="G252" i="41"/>
  <c r="F252" i="41"/>
  <c r="E252" i="41"/>
  <c r="D252" i="41"/>
  <c r="C252" i="41"/>
  <c r="B252" i="41"/>
  <c r="A252" i="41"/>
  <c r="I251" i="41"/>
  <c r="H251" i="41"/>
  <c r="G251" i="41"/>
  <c r="F251" i="41"/>
  <c r="E251" i="41"/>
  <c r="D251" i="41"/>
  <c r="C251" i="41"/>
  <c r="B251" i="41"/>
  <c r="A251" i="41"/>
  <c r="I250" i="41"/>
  <c r="H250" i="41"/>
  <c r="G250" i="41"/>
  <c r="F250" i="41"/>
  <c r="E250" i="41"/>
  <c r="D250" i="41"/>
  <c r="C250" i="41"/>
  <c r="B250" i="41"/>
  <c r="A250" i="41"/>
  <c r="I249" i="41"/>
  <c r="H249" i="41"/>
  <c r="G249" i="41"/>
  <c r="F249" i="41"/>
  <c r="E249" i="41"/>
  <c r="D249" i="41"/>
  <c r="C249" i="41"/>
  <c r="B249" i="41"/>
  <c r="A249" i="41"/>
  <c r="I248" i="41"/>
  <c r="H248" i="41"/>
  <c r="G248" i="41"/>
  <c r="F248" i="41"/>
  <c r="E248" i="41"/>
  <c r="D248" i="41"/>
  <c r="C248" i="41"/>
  <c r="B248" i="41"/>
  <c r="A248" i="41"/>
  <c r="I247" i="41"/>
  <c r="H247" i="41"/>
  <c r="G247" i="41"/>
  <c r="F247" i="41"/>
  <c r="E247" i="41"/>
  <c r="D247" i="41"/>
  <c r="C247" i="41"/>
  <c r="B247" i="41"/>
  <c r="A247" i="41"/>
  <c r="I246" i="41"/>
  <c r="H246" i="41"/>
  <c r="G246" i="41"/>
  <c r="F246" i="41"/>
  <c r="E246" i="41"/>
  <c r="D246" i="41"/>
  <c r="C246" i="41"/>
  <c r="B246" i="41"/>
  <c r="A246" i="41"/>
  <c r="I245" i="41"/>
  <c r="H245" i="41"/>
  <c r="G245" i="41"/>
  <c r="F245" i="41"/>
  <c r="E245" i="41"/>
  <c r="D245" i="41"/>
  <c r="C245" i="41"/>
  <c r="B245" i="41"/>
  <c r="A245" i="41"/>
  <c r="I244" i="41"/>
  <c r="H244" i="41"/>
  <c r="G244" i="41"/>
  <c r="F244" i="41"/>
  <c r="E244" i="41"/>
  <c r="D244" i="41"/>
  <c r="C244" i="41"/>
  <c r="B244" i="41"/>
  <c r="A244" i="41"/>
  <c r="I243" i="41"/>
  <c r="H243" i="41"/>
  <c r="G243" i="41"/>
  <c r="F243" i="41"/>
  <c r="E243" i="41"/>
  <c r="D243" i="41"/>
  <c r="C243" i="41"/>
  <c r="B243" i="41"/>
  <c r="A243" i="41"/>
  <c r="I242" i="41"/>
  <c r="H242" i="41"/>
  <c r="G242" i="41"/>
  <c r="F242" i="41"/>
  <c r="E242" i="41"/>
  <c r="D242" i="41"/>
  <c r="C242" i="41"/>
  <c r="B242" i="41"/>
  <c r="A242" i="41"/>
  <c r="I241" i="41"/>
  <c r="H241" i="41"/>
  <c r="G241" i="41"/>
  <c r="F241" i="41"/>
  <c r="E241" i="41"/>
  <c r="D241" i="41"/>
  <c r="C241" i="41"/>
  <c r="B241" i="41"/>
  <c r="A241" i="41"/>
  <c r="I240" i="41"/>
  <c r="H240" i="41"/>
  <c r="G240" i="41"/>
  <c r="F240" i="41"/>
  <c r="E240" i="41"/>
  <c r="D240" i="41"/>
  <c r="C240" i="41"/>
  <c r="B240" i="41"/>
  <c r="A240" i="41"/>
  <c r="I239" i="41"/>
  <c r="H239" i="41"/>
  <c r="G239" i="41"/>
  <c r="F239" i="41"/>
  <c r="E239" i="41"/>
  <c r="D239" i="41"/>
  <c r="C239" i="41"/>
  <c r="B239" i="41"/>
  <c r="A239" i="41"/>
  <c r="I238" i="41"/>
  <c r="H238" i="41"/>
  <c r="G238" i="41"/>
  <c r="F238" i="41"/>
  <c r="E238" i="41"/>
  <c r="D238" i="41"/>
  <c r="C238" i="41"/>
  <c r="B238" i="41"/>
  <c r="A238" i="41"/>
  <c r="I237" i="41"/>
  <c r="H237" i="41"/>
  <c r="G237" i="41"/>
  <c r="F237" i="41"/>
  <c r="E237" i="41"/>
  <c r="D237" i="41"/>
  <c r="C237" i="41"/>
  <c r="B237" i="41"/>
  <c r="A237" i="41"/>
  <c r="I236" i="41"/>
  <c r="H236" i="41"/>
  <c r="G236" i="41"/>
  <c r="F236" i="41"/>
  <c r="E236" i="41"/>
  <c r="D236" i="41"/>
  <c r="C236" i="41"/>
  <c r="B236" i="41"/>
  <c r="A236" i="41"/>
  <c r="I235" i="41"/>
  <c r="H235" i="41"/>
  <c r="G235" i="41"/>
  <c r="F235" i="41"/>
  <c r="E235" i="41"/>
  <c r="D235" i="41"/>
  <c r="C235" i="41"/>
  <c r="B235" i="41"/>
  <c r="A235" i="41"/>
  <c r="I234" i="41"/>
  <c r="H234" i="41"/>
  <c r="G234" i="41"/>
  <c r="F234" i="41"/>
  <c r="E234" i="41"/>
  <c r="D234" i="41"/>
  <c r="C234" i="41"/>
  <c r="B234" i="41"/>
  <c r="A234" i="41"/>
  <c r="I233" i="41"/>
  <c r="H233" i="41"/>
  <c r="G233" i="41"/>
  <c r="F233" i="41"/>
  <c r="E233" i="41"/>
  <c r="D233" i="41"/>
  <c r="C233" i="41"/>
  <c r="B233" i="41"/>
  <c r="A233" i="41"/>
  <c r="I232" i="41"/>
  <c r="H232" i="41"/>
  <c r="G232" i="41"/>
  <c r="F232" i="41"/>
  <c r="E232" i="41"/>
  <c r="D232" i="41"/>
  <c r="C232" i="41"/>
  <c r="B232" i="41"/>
  <c r="A232" i="41"/>
  <c r="I231" i="41"/>
  <c r="H231" i="41"/>
  <c r="G231" i="41"/>
  <c r="F231" i="41"/>
  <c r="E231" i="41"/>
  <c r="D231" i="41"/>
  <c r="C231" i="41"/>
  <c r="B231" i="41"/>
  <c r="A231" i="41"/>
  <c r="I230" i="41"/>
  <c r="H230" i="41"/>
  <c r="G230" i="41"/>
  <c r="F230" i="41"/>
  <c r="E230" i="41"/>
  <c r="D230" i="41"/>
  <c r="C230" i="41"/>
  <c r="B230" i="41"/>
  <c r="A230" i="41"/>
  <c r="I229" i="41"/>
  <c r="H229" i="41"/>
  <c r="G229" i="41"/>
  <c r="F229" i="41"/>
  <c r="E229" i="41"/>
  <c r="D229" i="41"/>
  <c r="C229" i="41"/>
  <c r="B229" i="41"/>
  <c r="A229" i="41"/>
  <c r="I228" i="41"/>
  <c r="H228" i="41"/>
  <c r="G228" i="41"/>
  <c r="F228" i="41"/>
  <c r="E228" i="41"/>
  <c r="D228" i="41"/>
  <c r="C228" i="41"/>
  <c r="B228" i="41"/>
  <c r="A228" i="41"/>
  <c r="I227" i="41"/>
  <c r="H227" i="41"/>
  <c r="G227" i="41"/>
  <c r="F227" i="41"/>
  <c r="E227" i="41"/>
  <c r="D227" i="41"/>
  <c r="C227" i="41"/>
  <c r="B227" i="41"/>
  <c r="A227" i="41"/>
  <c r="I226" i="41"/>
  <c r="H226" i="41"/>
  <c r="G226" i="41"/>
  <c r="F226" i="41"/>
  <c r="E226" i="41"/>
  <c r="D226" i="41"/>
  <c r="C226" i="41"/>
  <c r="B226" i="41"/>
  <c r="A226" i="41"/>
  <c r="I225" i="41"/>
  <c r="H225" i="41"/>
  <c r="G225" i="41"/>
  <c r="F225" i="41"/>
  <c r="E225" i="41"/>
  <c r="D225" i="41"/>
  <c r="C225" i="41"/>
  <c r="B225" i="41"/>
  <c r="A225" i="41"/>
  <c r="I224" i="41"/>
  <c r="H224" i="41"/>
  <c r="G224" i="41"/>
  <c r="F224" i="41"/>
  <c r="E224" i="41"/>
  <c r="D224" i="41"/>
  <c r="C224" i="41"/>
  <c r="B224" i="41"/>
  <c r="A224" i="41"/>
  <c r="I223" i="41"/>
  <c r="H223" i="41"/>
  <c r="G223" i="41"/>
  <c r="F223" i="41"/>
  <c r="E223" i="41"/>
  <c r="D223" i="41"/>
  <c r="C223" i="41"/>
  <c r="B223" i="41"/>
  <c r="A223" i="41"/>
  <c r="I222" i="41"/>
  <c r="H222" i="41"/>
  <c r="G222" i="41"/>
  <c r="F222" i="41"/>
  <c r="E222" i="41"/>
  <c r="D222" i="41"/>
  <c r="C222" i="41"/>
  <c r="B222" i="41"/>
  <c r="A222" i="41"/>
  <c r="I221" i="41"/>
  <c r="H221" i="41"/>
  <c r="G221" i="41"/>
  <c r="F221" i="41"/>
  <c r="E221" i="41"/>
  <c r="D221" i="41"/>
  <c r="C221" i="41"/>
  <c r="B221" i="41"/>
  <c r="A221" i="41"/>
  <c r="I220" i="41"/>
  <c r="H220" i="41"/>
  <c r="G220" i="41"/>
  <c r="F220" i="41"/>
  <c r="E220" i="41"/>
  <c r="D220" i="41"/>
  <c r="C220" i="41"/>
  <c r="B220" i="41"/>
  <c r="A220" i="41"/>
  <c r="I219" i="41"/>
  <c r="H219" i="41"/>
  <c r="G219" i="41"/>
  <c r="F219" i="41"/>
  <c r="E219" i="41"/>
  <c r="D219" i="41"/>
  <c r="C219" i="41"/>
  <c r="B219" i="41"/>
  <c r="A219" i="41"/>
  <c r="I218" i="41"/>
  <c r="H218" i="41"/>
  <c r="G218" i="41"/>
  <c r="F218" i="41"/>
  <c r="E218" i="41"/>
  <c r="D218" i="41"/>
  <c r="C218" i="41"/>
  <c r="B218" i="41"/>
  <c r="A218" i="41"/>
  <c r="I217" i="41"/>
  <c r="H217" i="41"/>
  <c r="G217" i="41"/>
  <c r="F217" i="41"/>
  <c r="E217" i="41"/>
  <c r="D217" i="41"/>
  <c r="C217" i="41"/>
  <c r="B217" i="41"/>
  <c r="A217" i="41"/>
  <c r="I216" i="41"/>
  <c r="H216" i="41"/>
  <c r="G216" i="41"/>
  <c r="F216" i="41"/>
  <c r="E216" i="41"/>
  <c r="D216" i="41"/>
  <c r="C216" i="41"/>
  <c r="B216" i="41"/>
  <c r="A216" i="41"/>
  <c r="I215" i="41"/>
  <c r="H215" i="41"/>
  <c r="G215" i="41"/>
  <c r="F215" i="41"/>
  <c r="E215" i="41"/>
  <c r="D215" i="41"/>
  <c r="C215" i="41"/>
  <c r="B215" i="41"/>
  <c r="A215" i="41"/>
  <c r="I214" i="41"/>
  <c r="H214" i="41"/>
  <c r="G214" i="41"/>
  <c r="F214" i="41"/>
  <c r="E214" i="41"/>
  <c r="D214" i="41"/>
  <c r="C214" i="41"/>
  <c r="B214" i="41"/>
  <c r="A214" i="41"/>
  <c r="I213" i="41"/>
  <c r="H213" i="41"/>
  <c r="G213" i="41"/>
  <c r="F213" i="41"/>
  <c r="E213" i="41"/>
  <c r="D213" i="41"/>
  <c r="C213" i="41"/>
  <c r="B213" i="41"/>
  <c r="A213" i="41"/>
  <c r="I212" i="41"/>
  <c r="H212" i="41"/>
  <c r="G212" i="41"/>
  <c r="F212" i="41"/>
  <c r="E212" i="41"/>
  <c r="D212" i="41"/>
  <c r="C212" i="41"/>
  <c r="B212" i="41"/>
  <c r="A212" i="41"/>
  <c r="I211" i="41"/>
  <c r="H211" i="41"/>
  <c r="G211" i="41"/>
  <c r="F211" i="41"/>
  <c r="E211" i="41"/>
  <c r="D211" i="41"/>
  <c r="C211" i="41"/>
  <c r="B211" i="41"/>
  <c r="A211" i="41"/>
  <c r="I210" i="41"/>
  <c r="H210" i="41"/>
  <c r="G210" i="41"/>
  <c r="F210" i="41"/>
  <c r="E210" i="41"/>
  <c r="D210" i="41"/>
  <c r="C210" i="41"/>
  <c r="B210" i="41"/>
  <c r="A210" i="41"/>
  <c r="I209" i="41"/>
  <c r="H209" i="41"/>
  <c r="G209" i="41"/>
  <c r="F209" i="41"/>
  <c r="E209" i="41"/>
  <c r="D209" i="41"/>
  <c r="C209" i="41"/>
  <c r="B209" i="41"/>
  <c r="A209" i="41"/>
  <c r="I208" i="41"/>
  <c r="H208" i="41"/>
  <c r="G208" i="41"/>
  <c r="F208" i="41"/>
  <c r="E208" i="41"/>
  <c r="D208" i="41"/>
  <c r="C208" i="41"/>
  <c r="B208" i="41"/>
  <c r="A208" i="41"/>
  <c r="I207" i="41"/>
  <c r="H207" i="41"/>
  <c r="G207" i="41"/>
  <c r="F207" i="41"/>
  <c r="E207" i="41"/>
  <c r="D207" i="41"/>
  <c r="C207" i="41"/>
  <c r="B207" i="41"/>
  <c r="A207" i="41"/>
  <c r="I206" i="41"/>
  <c r="H206" i="41"/>
  <c r="G206" i="41"/>
  <c r="F206" i="41"/>
  <c r="E206" i="41"/>
  <c r="D206" i="41"/>
  <c r="C206" i="41"/>
  <c r="B206" i="41"/>
  <c r="A206" i="41"/>
  <c r="I205" i="41"/>
  <c r="H205" i="41"/>
  <c r="G205" i="41"/>
  <c r="F205" i="41"/>
  <c r="E205" i="41"/>
  <c r="D205" i="41"/>
  <c r="C205" i="41"/>
  <c r="B205" i="41"/>
  <c r="A205" i="41"/>
  <c r="I204" i="41"/>
  <c r="H204" i="41"/>
  <c r="G204" i="41"/>
  <c r="F204" i="41"/>
  <c r="E204" i="41"/>
  <c r="D204" i="41"/>
  <c r="C204" i="41"/>
  <c r="B204" i="41"/>
  <c r="A204" i="41"/>
  <c r="I203" i="41"/>
  <c r="H203" i="41"/>
  <c r="G203" i="41"/>
  <c r="F203" i="41"/>
  <c r="E203" i="41"/>
  <c r="D203" i="41"/>
  <c r="C203" i="41"/>
  <c r="B203" i="41"/>
  <c r="A203" i="41"/>
  <c r="I202" i="41"/>
  <c r="H202" i="41"/>
  <c r="G202" i="41"/>
  <c r="F202" i="41"/>
  <c r="E202" i="41"/>
  <c r="D202" i="41"/>
  <c r="C202" i="41"/>
  <c r="B202" i="41"/>
  <c r="A202" i="41"/>
  <c r="I201" i="41"/>
  <c r="H201" i="41"/>
  <c r="G201" i="41"/>
  <c r="F201" i="41"/>
  <c r="E201" i="41"/>
  <c r="D201" i="41"/>
  <c r="C201" i="41"/>
  <c r="B201" i="41"/>
  <c r="A201" i="41"/>
  <c r="I200" i="41"/>
  <c r="H200" i="41"/>
  <c r="G200" i="41"/>
  <c r="F200" i="41"/>
  <c r="E200" i="41"/>
  <c r="D200" i="41"/>
  <c r="C200" i="41"/>
  <c r="B200" i="41"/>
  <c r="A200" i="41"/>
  <c r="I199" i="41"/>
  <c r="H199" i="41"/>
  <c r="G199" i="41"/>
  <c r="F199" i="41"/>
  <c r="E199" i="41"/>
  <c r="D199" i="41"/>
  <c r="C199" i="41"/>
  <c r="B199" i="41"/>
  <c r="A199" i="41"/>
  <c r="I198" i="41"/>
  <c r="H198" i="41"/>
  <c r="G198" i="41"/>
  <c r="F198" i="41"/>
  <c r="E198" i="41"/>
  <c r="D198" i="41"/>
  <c r="C198" i="41"/>
  <c r="B198" i="41"/>
  <c r="A198" i="41"/>
  <c r="I197" i="41"/>
  <c r="H197" i="41"/>
  <c r="G197" i="41"/>
  <c r="F197" i="41"/>
  <c r="E197" i="41"/>
  <c r="D197" i="41"/>
  <c r="C197" i="41"/>
  <c r="B197" i="41"/>
  <c r="A197" i="41"/>
  <c r="I196" i="41"/>
  <c r="H196" i="41"/>
  <c r="G196" i="41"/>
  <c r="F196" i="41"/>
  <c r="E196" i="41"/>
  <c r="D196" i="41"/>
  <c r="C196" i="41"/>
  <c r="B196" i="41"/>
  <c r="A196" i="41"/>
  <c r="I195" i="41"/>
  <c r="H195" i="41"/>
  <c r="G195" i="41"/>
  <c r="F195" i="41"/>
  <c r="E195" i="41"/>
  <c r="D195" i="41"/>
  <c r="C195" i="41"/>
  <c r="B195" i="41"/>
  <c r="A195" i="41"/>
  <c r="I194" i="41"/>
  <c r="H194" i="41"/>
  <c r="G194" i="41"/>
  <c r="F194" i="41"/>
  <c r="E194" i="41"/>
  <c r="D194" i="41"/>
  <c r="C194" i="41"/>
  <c r="B194" i="41"/>
  <c r="A194" i="41"/>
  <c r="I193" i="41"/>
  <c r="H193" i="41"/>
  <c r="G193" i="41"/>
  <c r="F193" i="41"/>
  <c r="E193" i="41"/>
  <c r="D193" i="41"/>
  <c r="C193" i="41"/>
  <c r="B193" i="41"/>
  <c r="A193" i="41"/>
  <c r="I192" i="41"/>
  <c r="H192" i="41"/>
  <c r="G192" i="41"/>
  <c r="F192" i="41"/>
  <c r="E192" i="41"/>
  <c r="D192" i="41"/>
  <c r="C192" i="41"/>
  <c r="B192" i="41"/>
  <c r="A192" i="41"/>
  <c r="I191" i="41"/>
  <c r="H191" i="41"/>
  <c r="G191" i="41"/>
  <c r="F191" i="41"/>
  <c r="E191" i="41"/>
  <c r="D191" i="41"/>
  <c r="C191" i="41"/>
  <c r="B191" i="41"/>
  <c r="A191" i="41"/>
  <c r="I190" i="41"/>
  <c r="H190" i="41"/>
  <c r="G190" i="41"/>
  <c r="F190" i="41"/>
  <c r="E190" i="41"/>
  <c r="D190" i="41"/>
  <c r="C190" i="41"/>
  <c r="B190" i="41"/>
  <c r="A190" i="41"/>
  <c r="I189" i="41"/>
  <c r="H189" i="41"/>
  <c r="G189" i="41"/>
  <c r="F189" i="41"/>
  <c r="E189" i="41"/>
  <c r="D189" i="41"/>
  <c r="C189" i="41"/>
  <c r="B189" i="41"/>
  <c r="A189" i="41"/>
  <c r="I188" i="41"/>
  <c r="H188" i="41"/>
  <c r="G188" i="41"/>
  <c r="F188" i="41"/>
  <c r="E188" i="41"/>
  <c r="D188" i="41"/>
  <c r="C188" i="41"/>
  <c r="B188" i="41"/>
  <c r="A188" i="41"/>
  <c r="I187" i="41"/>
  <c r="H187" i="41"/>
  <c r="G187" i="41"/>
  <c r="F187" i="41"/>
  <c r="E187" i="41"/>
  <c r="D187" i="41"/>
  <c r="C187" i="41"/>
  <c r="B187" i="41"/>
  <c r="A187" i="41"/>
  <c r="I186" i="41"/>
  <c r="H186" i="41"/>
  <c r="G186" i="41"/>
  <c r="F186" i="41"/>
  <c r="E186" i="41"/>
  <c r="D186" i="41"/>
  <c r="C186" i="41"/>
  <c r="B186" i="41"/>
  <c r="A186" i="41"/>
  <c r="I185" i="41"/>
  <c r="H185" i="41"/>
  <c r="G185" i="41"/>
  <c r="F185" i="41"/>
  <c r="E185" i="41"/>
  <c r="D185" i="41"/>
  <c r="C185" i="41"/>
  <c r="B185" i="41"/>
  <c r="A185" i="41"/>
  <c r="I184" i="41"/>
  <c r="H184" i="41"/>
  <c r="G184" i="41"/>
  <c r="F184" i="41"/>
  <c r="E184" i="41"/>
  <c r="D184" i="41"/>
  <c r="C184" i="41"/>
  <c r="B184" i="41"/>
  <c r="A184" i="41"/>
  <c r="I183" i="41"/>
  <c r="H183" i="41"/>
  <c r="G183" i="41"/>
  <c r="F183" i="41"/>
  <c r="E183" i="41"/>
  <c r="D183" i="41"/>
  <c r="C183" i="41"/>
  <c r="B183" i="41"/>
  <c r="A183" i="41"/>
  <c r="I182" i="41"/>
  <c r="H182" i="41"/>
  <c r="G182" i="41"/>
  <c r="F182" i="41"/>
  <c r="E182" i="41"/>
  <c r="D182" i="41"/>
  <c r="C182" i="41"/>
  <c r="B182" i="41"/>
  <c r="A182" i="41"/>
  <c r="I181" i="41"/>
  <c r="H181" i="41"/>
  <c r="G181" i="41"/>
  <c r="F181" i="41"/>
  <c r="E181" i="41"/>
  <c r="D181" i="41"/>
  <c r="C181" i="41"/>
  <c r="B181" i="41"/>
  <c r="A181" i="41"/>
  <c r="I180" i="41"/>
  <c r="H180" i="41"/>
  <c r="G180" i="41"/>
  <c r="F180" i="41"/>
  <c r="E180" i="41"/>
  <c r="D180" i="41"/>
  <c r="C180" i="41"/>
  <c r="B180" i="41"/>
  <c r="A180" i="41"/>
  <c r="I179" i="41"/>
  <c r="H179" i="41"/>
  <c r="G179" i="41"/>
  <c r="F179" i="41"/>
  <c r="E179" i="41"/>
  <c r="D179" i="41"/>
  <c r="C179" i="41"/>
  <c r="B179" i="41"/>
  <c r="A179" i="41"/>
  <c r="I178" i="41"/>
  <c r="H178" i="41"/>
  <c r="G178" i="41"/>
  <c r="F178" i="41"/>
  <c r="E178" i="41"/>
  <c r="D178" i="41"/>
  <c r="C178" i="41"/>
  <c r="B178" i="41"/>
  <c r="A178" i="41"/>
  <c r="I177" i="41"/>
  <c r="H177" i="41"/>
  <c r="G177" i="41"/>
  <c r="F177" i="41"/>
  <c r="E177" i="41"/>
  <c r="D177" i="41"/>
  <c r="C177" i="41"/>
  <c r="B177" i="41"/>
  <c r="A177" i="41"/>
  <c r="I176" i="41"/>
  <c r="H176" i="41"/>
  <c r="G176" i="41"/>
  <c r="F176" i="41"/>
  <c r="E176" i="41"/>
  <c r="D176" i="41"/>
  <c r="C176" i="41"/>
  <c r="B176" i="41"/>
  <c r="A176" i="41"/>
  <c r="I175" i="41"/>
  <c r="H175" i="41"/>
  <c r="G175" i="41"/>
  <c r="F175" i="41"/>
  <c r="E175" i="41"/>
  <c r="D175" i="41"/>
  <c r="C175" i="41"/>
  <c r="B175" i="41"/>
  <c r="A175" i="41"/>
  <c r="I174" i="41"/>
  <c r="H174" i="41"/>
  <c r="G174" i="41"/>
  <c r="F174" i="41"/>
  <c r="E174" i="41"/>
  <c r="D174" i="41"/>
  <c r="C174" i="41"/>
  <c r="B174" i="41"/>
  <c r="A174" i="41"/>
  <c r="I173" i="41"/>
  <c r="H173" i="41"/>
  <c r="G173" i="41"/>
  <c r="F173" i="41"/>
  <c r="E173" i="41"/>
  <c r="D173" i="41"/>
  <c r="C173" i="41"/>
  <c r="B173" i="41"/>
  <c r="A173" i="41"/>
  <c r="I172" i="41"/>
  <c r="H172" i="41"/>
  <c r="G172" i="41"/>
  <c r="F172" i="41"/>
  <c r="E172" i="41"/>
  <c r="D172" i="41"/>
  <c r="C172" i="41"/>
  <c r="B172" i="41"/>
  <c r="A172" i="41"/>
  <c r="I171" i="41"/>
  <c r="H171" i="41"/>
  <c r="G171" i="41"/>
  <c r="F171" i="41"/>
  <c r="E171" i="41"/>
  <c r="D171" i="41"/>
  <c r="C171" i="41"/>
  <c r="B171" i="41"/>
  <c r="A171" i="41"/>
  <c r="I170" i="41"/>
  <c r="H170" i="41"/>
  <c r="G170" i="41"/>
  <c r="F170" i="41"/>
  <c r="E170" i="41"/>
  <c r="D170" i="41"/>
  <c r="C170" i="41"/>
  <c r="B170" i="41"/>
  <c r="A170" i="41"/>
  <c r="I169" i="41"/>
  <c r="H169" i="41"/>
  <c r="G169" i="41"/>
  <c r="F169" i="41"/>
  <c r="E169" i="41"/>
  <c r="D169" i="41"/>
  <c r="C169" i="41"/>
  <c r="B169" i="41"/>
  <c r="A169" i="41"/>
  <c r="I168" i="41"/>
  <c r="H168" i="41"/>
  <c r="G168" i="41"/>
  <c r="F168" i="41"/>
  <c r="E168" i="41"/>
  <c r="D168" i="41"/>
  <c r="C168" i="41"/>
  <c r="B168" i="41"/>
  <c r="A168" i="41"/>
  <c r="I167" i="41"/>
  <c r="H167" i="41"/>
  <c r="G167" i="41"/>
  <c r="F167" i="41"/>
  <c r="E167" i="41"/>
  <c r="D167" i="41"/>
  <c r="C167" i="41"/>
  <c r="B167" i="41"/>
  <c r="A167" i="41"/>
  <c r="I166" i="41"/>
  <c r="H166" i="41"/>
  <c r="G166" i="41"/>
  <c r="F166" i="41"/>
  <c r="E166" i="41"/>
  <c r="D166" i="41"/>
  <c r="C166" i="41"/>
  <c r="B166" i="41"/>
  <c r="A166" i="41"/>
  <c r="I165" i="41"/>
  <c r="H165" i="41"/>
  <c r="G165" i="41"/>
  <c r="F165" i="41"/>
  <c r="E165" i="41"/>
  <c r="D165" i="41"/>
  <c r="C165" i="41"/>
  <c r="B165" i="41"/>
  <c r="A165" i="41"/>
  <c r="I164" i="41"/>
  <c r="H164" i="41"/>
  <c r="G164" i="41"/>
  <c r="F164" i="41"/>
  <c r="E164" i="41"/>
  <c r="D164" i="41"/>
  <c r="C164" i="41"/>
  <c r="B164" i="41"/>
  <c r="A164" i="41"/>
  <c r="I163" i="41"/>
  <c r="H163" i="41"/>
  <c r="G163" i="41"/>
  <c r="F163" i="41"/>
  <c r="E163" i="41"/>
  <c r="D163" i="41"/>
  <c r="C163" i="41"/>
  <c r="B163" i="41"/>
  <c r="A163" i="41"/>
  <c r="I162" i="41"/>
  <c r="H162" i="41"/>
  <c r="G162" i="41"/>
  <c r="F162" i="41"/>
  <c r="E162" i="41"/>
  <c r="D162" i="41"/>
  <c r="C162" i="41"/>
  <c r="B162" i="41"/>
  <c r="A162" i="41"/>
  <c r="I161" i="41"/>
  <c r="H161" i="41"/>
  <c r="G161" i="41"/>
  <c r="F161" i="41"/>
  <c r="E161" i="41"/>
  <c r="D161" i="41"/>
  <c r="C161" i="41"/>
  <c r="B161" i="41"/>
  <c r="A161" i="41"/>
  <c r="I160" i="41"/>
  <c r="H160" i="41"/>
  <c r="G160" i="41"/>
  <c r="F160" i="41"/>
  <c r="E160" i="41"/>
  <c r="D160" i="41"/>
  <c r="C160" i="41"/>
  <c r="B160" i="41"/>
  <c r="A160" i="41"/>
  <c r="I159" i="41"/>
  <c r="H159" i="41"/>
  <c r="G159" i="41"/>
  <c r="F159" i="41"/>
  <c r="E159" i="41"/>
  <c r="D159" i="41"/>
  <c r="C159" i="41"/>
  <c r="B159" i="41"/>
  <c r="A159" i="41"/>
  <c r="I158" i="41"/>
  <c r="H158" i="41"/>
  <c r="G158" i="41"/>
  <c r="F158" i="41"/>
  <c r="E158" i="41"/>
  <c r="D158" i="41"/>
  <c r="C158" i="41"/>
  <c r="B158" i="41"/>
  <c r="A158" i="41"/>
  <c r="I157" i="41"/>
  <c r="H157" i="41"/>
  <c r="G157" i="41"/>
  <c r="F157" i="41"/>
  <c r="E157" i="41"/>
  <c r="D157" i="41"/>
  <c r="C157" i="41"/>
  <c r="B157" i="41"/>
  <c r="A157" i="41"/>
  <c r="I156" i="41"/>
  <c r="H156" i="41"/>
  <c r="G156" i="41"/>
  <c r="F156" i="41"/>
  <c r="E156" i="41"/>
  <c r="D156" i="41"/>
  <c r="C156" i="41"/>
  <c r="B156" i="41"/>
  <c r="A156" i="41"/>
  <c r="I155" i="41"/>
  <c r="H155" i="41"/>
  <c r="G155" i="41"/>
  <c r="F155" i="41"/>
  <c r="E155" i="41"/>
  <c r="D155" i="41"/>
  <c r="C155" i="41"/>
  <c r="B155" i="41"/>
  <c r="A155" i="41"/>
  <c r="I154" i="41"/>
  <c r="H154" i="41"/>
  <c r="G154" i="41"/>
  <c r="F154" i="41"/>
  <c r="E154" i="41"/>
  <c r="D154" i="41"/>
  <c r="C154" i="41"/>
  <c r="B154" i="41"/>
  <c r="A154" i="41"/>
  <c r="I153" i="41"/>
  <c r="H153" i="41"/>
  <c r="G153" i="41"/>
  <c r="F153" i="41"/>
  <c r="E153" i="41"/>
  <c r="D153" i="41"/>
  <c r="C153" i="41"/>
  <c r="B153" i="41"/>
  <c r="A153" i="41"/>
  <c r="I152" i="41"/>
  <c r="H152" i="41"/>
  <c r="G152" i="41"/>
  <c r="F152" i="41"/>
  <c r="E152" i="41"/>
  <c r="D152" i="41"/>
  <c r="C152" i="41"/>
  <c r="B152" i="41"/>
  <c r="A152" i="41"/>
  <c r="I151" i="41"/>
  <c r="H151" i="41"/>
  <c r="G151" i="41"/>
  <c r="F151" i="41"/>
  <c r="E151" i="41"/>
  <c r="D151" i="41"/>
  <c r="C151" i="41"/>
  <c r="B151" i="41"/>
  <c r="A151" i="41"/>
  <c r="I150" i="41"/>
  <c r="H150" i="41"/>
  <c r="G150" i="41"/>
  <c r="F150" i="41"/>
  <c r="E150" i="41"/>
  <c r="D150" i="41"/>
  <c r="C150" i="41"/>
  <c r="B150" i="41"/>
  <c r="A150" i="41"/>
  <c r="I149" i="41"/>
  <c r="H149" i="41"/>
  <c r="G149" i="41"/>
  <c r="F149" i="41"/>
  <c r="E149" i="41"/>
  <c r="D149" i="41"/>
  <c r="C149" i="41"/>
  <c r="B149" i="41"/>
  <c r="A149" i="41"/>
  <c r="I148" i="41"/>
  <c r="H148" i="41"/>
  <c r="G148" i="41"/>
  <c r="F148" i="41"/>
  <c r="E148" i="41"/>
  <c r="D148" i="41"/>
  <c r="C148" i="41"/>
  <c r="B148" i="41"/>
  <c r="A148" i="41"/>
  <c r="I147" i="41"/>
  <c r="H147" i="41"/>
  <c r="G147" i="41"/>
  <c r="F147" i="41"/>
  <c r="E147" i="41"/>
  <c r="D147" i="41"/>
  <c r="C147" i="41"/>
  <c r="B147" i="41"/>
  <c r="A147" i="41"/>
  <c r="I146" i="41"/>
  <c r="H146" i="41"/>
  <c r="G146" i="41"/>
  <c r="F146" i="41"/>
  <c r="E146" i="41"/>
  <c r="D146" i="41"/>
  <c r="C146" i="41"/>
  <c r="B146" i="41"/>
  <c r="A146" i="41"/>
  <c r="I145" i="41"/>
  <c r="H145" i="41"/>
  <c r="G145" i="41"/>
  <c r="F145" i="41"/>
  <c r="E145" i="41"/>
  <c r="D145" i="41"/>
  <c r="C145" i="41"/>
  <c r="B145" i="41"/>
  <c r="A145" i="41"/>
  <c r="I144" i="41"/>
  <c r="H144" i="41"/>
  <c r="G144" i="41"/>
  <c r="F144" i="41"/>
  <c r="E144" i="41"/>
  <c r="D144" i="41"/>
  <c r="C144" i="41"/>
  <c r="B144" i="41"/>
  <c r="A144" i="41"/>
  <c r="I143" i="41"/>
  <c r="H143" i="41"/>
  <c r="G143" i="41"/>
  <c r="F143" i="41"/>
  <c r="E143" i="41"/>
  <c r="D143" i="41"/>
  <c r="C143" i="41"/>
  <c r="B143" i="41"/>
  <c r="A143" i="41"/>
  <c r="I142" i="41"/>
  <c r="H142" i="41"/>
  <c r="G142" i="41"/>
  <c r="F142" i="41"/>
  <c r="E142" i="41"/>
  <c r="D142" i="41"/>
  <c r="C142" i="41"/>
  <c r="B142" i="41"/>
  <c r="A142" i="41"/>
  <c r="I141" i="41"/>
  <c r="H141" i="41"/>
  <c r="G141" i="41"/>
  <c r="F141" i="41"/>
  <c r="E141" i="41"/>
  <c r="D141" i="41"/>
  <c r="C141" i="41"/>
  <c r="B141" i="41"/>
  <c r="A141" i="41"/>
  <c r="I140" i="41"/>
  <c r="H140" i="41"/>
  <c r="G140" i="41"/>
  <c r="F140" i="41"/>
  <c r="E140" i="41"/>
  <c r="D140" i="41"/>
  <c r="C140" i="41"/>
  <c r="B140" i="41"/>
  <c r="A140" i="41"/>
  <c r="I139" i="41"/>
  <c r="H139" i="41"/>
  <c r="G139" i="41"/>
  <c r="F139" i="41"/>
  <c r="E139" i="41"/>
  <c r="D139" i="41"/>
  <c r="C139" i="41"/>
  <c r="B139" i="41"/>
  <c r="A139" i="41"/>
  <c r="I138" i="41"/>
  <c r="H138" i="41"/>
  <c r="G138" i="41"/>
  <c r="F138" i="41"/>
  <c r="E138" i="41"/>
  <c r="D138" i="41"/>
  <c r="C138" i="41"/>
  <c r="B138" i="41"/>
  <c r="A138" i="41"/>
  <c r="I137" i="41"/>
  <c r="H137" i="41"/>
  <c r="G137" i="41"/>
  <c r="F137" i="41"/>
  <c r="E137" i="41"/>
  <c r="D137" i="41"/>
  <c r="C137" i="41"/>
  <c r="B137" i="41"/>
  <c r="A137" i="41"/>
  <c r="I136" i="41"/>
  <c r="H136" i="41"/>
  <c r="G136" i="41"/>
  <c r="F136" i="41"/>
  <c r="E136" i="41"/>
  <c r="D136" i="41"/>
  <c r="C136" i="41"/>
  <c r="B136" i="41"/>
  <c r="A136" i="41"/>
  <c r="I135" i="41"/>
  <c r="H135" i="41"/>
  <c r="G135" i="41"/>
  <c r="F135" i="41"/>
  <c r="E135" i="41"/>
  <c r="D135" i="41"/>
  <c r="C135" i="41"/>
  <c r="B135" i="41"/>
  <c r="A135" i="41"/>
  <c r="I134" i="41"/>
  <c r="H134" i="41"/>
  <c r="G134" i="41"/>
  <c r="F134" i="41"/>
  <c r="E134" i="41"/>
  <c r="D134" i="41"/>
  <c r="C134" i="41"/>
  <c r="B134" i="41"/>
  <c r="A134" i="41"/>
  <c r="I133" i="41"/>
  <c r="H133" i="41"/>
  <c r="G133" i="41"/>
  <c r="F133" i="41"/>
  <c r="E133" i="41"/>
  <c r="D133" i="41"/>
  <c r="C133" i="41"/>
  <c r="B133" i="41"/>
  <c r="A133" i="41"/>
  <c r="I132" i="41"/>
  <c r="H132" i="41"/>
  <c r="G132" i="41"/>
  <c r="F132" i="41"/>
  <c r="E132" i="41"/>
  <c r="D132" i="41"/>
  <c r="C132" i="41"/>
  <c r="B132" i="41"/>
  <c r="A132" i="41"/>
  <c r="I131" i="41"/>
  <c r="H131" i="41"/>
  <c r="G131" i="41"/>
  <c r="F131" i="41"/>
  <c r="E131" i="41"/>
  <c r="D131" i="41"/>
  <c r="C131" i="41"/>
  <c r="B131" i="41"/>
  <c r="A131" i="41"/>
  <c r="I130" i="41"/>
  <c r="H130" i="41"/>
  <c r="G130" i="41"/>
  <c r="F130" i="41"/>
  <c r="E130" i="41"/>
  <c r="D130" i="41"/>
  <c r="C130" i="41"/>
  <c r="B130" i="41"/>
  <c r="A130" i="41"/>
  <c r="I129" i="41"/>
  <c r="H129" i="41"/>
  <c r="G129" i="41"/>
  <c r="F129" i="41"/>
  <c r="E129" i="41"/>
  <c r="D129" i="41"/>
  <c r="C129" i="41"/>
  <c r="B129" i="41"/>
  <c r="A129" i="41"/>
  <c r="I128" i="41"/>
  <c r="H128" i="41"/>
  <c r="G128" i="41"/>
  <c r="F128" i="41"/>
  <c r="E128" i="41"/>
  <c r="D128" i="41"/>
  <c r="C128" i="41"/>
  <c r="B128" i="41"/>
  <c r="A128" i="41"/>
  <c r="I127" i="41"/>
  <c r="H127" i="41"/>
  <c r="G127" i="41"/>
  <c r="F127" i="41"/>
  <c r="E127" i="41"/>
  <c r="D127" i="41"/>
  <c r="C127" i="41"/>
  <c r="B127" i="41"/>
  <c r="A127" i="41"/>
  <c r="I126" i="41"/>
  <c r="H126" i="41"/>
  <c r="G126" i="41"/>
  <c r="F126" i="41"/>
  <c r="E126" i="41"/>
  <c r="D126" i="41"/>
  <c r="C126" i="41"/>
  <c r="B126" i="41"/>
  <c r="A126" i="41"/>
  <c r="I125" i="41"/>
  <c r="H125" i="41"/>
  <c r="G125" i="41"/>
  <c r="F125" i="41"/>
  <c r="E125" i="41"/>
  <c r="D125" i="41"/>
  <c r="C125" i="41"/>
  <c r="B125" i="41"/>
  <c r="A125" i="41"/>
  <c r="I124" i="41"/>
  <c r="H124" i="41"/>
  <c r="G124" i="41"/>
  <c r="F124" i="41"/>
  <c r="E124" i="41"/>
  <c r="D124" i="41"/>
  <c r="C124" i="41"/>
  <c r="B124" i="41"/>
  <c r="A124" i="41"/>
  <c r="I123" i="41"/>
  <c r="H123" i="41"/>
  <c r="G123" i="41"/>
  <c r="F123" i="41"/>
  <c r="E123" i="41"/>
  <c r="D123" i="41"/>
  <c r="C123" i="41"/>
  <c r="B123" i="41"/>
  <c r="A123" i="41"/>
  <c r="I122" i="41"/>
  <c r="H122" i="41"/>
  <c r="G122" i="41"/>
  <c r="F122" i="41"/>
  <c r="E122" i="41"/>
  <c r="D122" i="41"/>
  <c r="C122" i="41"/>
  <c r="B122" i="41"/>
  <c r="A122" i="41"/>
  <c r="I121" i="41"/>
  <c r="H121" i="41"/>
  <c r="G121" i="41"/>
  <c r="F121" i="41"/>
  <c r="E121" i="41"/>
  <c r="D121" i="41"/>
  <c r="C121" i="41"/>
  <c r="B121" i="41"/>
  <c r="A121" i="41"/>
  <c r="I120" i="41"/>
  <c r="H120" i="41"/>
  <c r="G120" i="41"/>
  <c r="F120" i="41"/>
  <c r="E120" i="41"/>
  <c r="D120" i="41"/>
  <c r="C120" i="41"/>
  <c r="B120" i="41"/>
  <c r="A120" i="41"/>
  <c r="I119" i="41"/>
  <c r="H119" i="41"/>
  <c r="G119" i="41"/>
  <c r="F119" i="41"/>
  <c r="E119" i="41"/>
  <c r="D119" i="41"/>
  <c r="C119" i="41"/>
  <c r="B119" i="41"/>
  <c r="A119" i="41"/>
  <c r="I118" i="41"/>
  <c r="H118" i="41"/>
  <c r="G118" i="41"/>
  <c r="F118" i="41"/>
  <c r="E118" i="41"/>
  <c r="D118" i="41"/>
  <c r="C118" i="41"/>
  <c r="B118" i="41"/>
  <c r="A118" i="41"/>
  <c r="I117" i="41"/>
  <c r="H117" i="41"/>
  <c r="G117" i="41"/>
  <c r="F117" i="41"/>
  <c r="E117" i="41"/>
  <c r="D117" i="41"/>
  <c r="C117" i="41"/>
  <c r="B117" i="41"/>
  <c r="A117" i="41"/>
  <c r="I116" i="41"/>
  <c r="H116" i="41"/>
  <c r="G116" i="41"/>
  <c r="F116" i="41"/>
  <c r="E116" i="41"/>
  <c r="D116" i="41"/>
  <c r="C116" i="41"/>
  <c r="B116" i="41"/>
  <c r="A116" i="41"/>
  <c r="I115" i="41"/>
  <c r="H115" i="41"/>
  <c r="G115" i="41"/>
  <c r="F115" i="41"/>
  <c r="E115" i="41"/>
  <c r="D115" i="41"/>
  <c r="C115" i="41"/>
  <c r="B115" i="41"/>
  <c r="A115" i="41"/>
  <c r="I114" i="41"/>
  <c r="H114" i="41"/>
  <c r="G114" i="41"/>
  <c r="F114" i="41"/>
  <c r="E114" i="41"/>
  <c r="D114" i="41"/>
  <c r="C114" i="41"/>
  <c r="B114" i="41"/>
  <c r="A114" i="41"/>
  <c r="I113" i="41"/>
  <c r="H113" i="41"/>
  <c r="G113" i="41"/>
  <c r="F113" i="41"/>
  <c r="E113" i="41"/>
  <c r="D113" i="41"/>
  <c r="C113" i="41"/>
  <c r="B113" i="41"/>
  <c r="A113" i="41"/>
  <c r="I112" i="41"/>
  <c r="H112" i="41"/>
  <c r="G112" i="41"/>
  <c r="F112" i="41"/>
  <c r="E112" i="41"/>
  <c r="D112" i="41"/>
  <c r="C112" i="41"/>
  <c r="B112" i="41"/>
  <c r="A112" i="41"/>
  <c r="I111" i="41"/>
  <c r="H111" i="41"/>
  <c r="G111" i="41"/>
  <c r="F111" i="41"/>
  <c r="E111" i="41"/>
  <c r="D111" i="41"/>
  <c r="C111" i="41"/>
  <c r="B111" i="41"/>
  <c r="A111" i="41"/>
  <c r="I110" i="41"/>
  <c r="H110" i="41"/>
  <c r="G110" i="41"/>
  <c r="F110" i="41"/>
  <c r="E110" i="41"/>
  <c r="D110" i="41"/>
  <c r="C110" i="41"/>
  <c r="B110" i="41"/>
  <c r="A110" i="41"/>
  <c r="I109" i="41"/>
  <c r="H109" i="41"/>
  <c r="G109" i="41"/>
  <c r="F109" i="41"/>
  <c r="E109" i="41"/>
  <c r="D109" i="41"/>
  <c r="C109" i="41"/>
  <c r="B109" i="41"/>
  <c r="A109" i="41"/>
  <c r="I108" i="41"/>
  <c r="H108" i="41"/>
  <c r="G108" i="41"/>
  <c r="F108" i="41"/>
  <c r="E108" i="41"/>
  <c r="D108" i="41"/>
  <c r="C108" i="41"/>
  <c r="B108" i="41"/>
  <c r="A108" i="41"/>
  <c r="I107" i="41"/>
  <c r="H107" i="41"/>
  <c r="G107" i="41"/>
  <c r="F107" i="41"/>
  <c r="E107" i="41"/>
  <c r="D107" i="41"/>
  <c r="C107" i="41"/>
  <c r="B107" i="41"/>
  <c r="A107" i="41"/>
  <c r="I106" i="41"/>
  <c r="H106" i="41"/>
  <c r="G106" i="41"/>
  <c r="F106" i="41"/>
  <c r="E106" i="41"/>
  <c r="D106" i="41"/>
  <c r="C106" i="41"/>
  <c r="B106" i="41"/>
  <c r="A106" i="41"/>
  <c r="I105" i="41"/>
  <c r="H105" i="41"/>
  <c r="G105" i="41"/>
  <c r="F105" i="41"/>
  <c r="E105" i="41"/>
  <c r="D105" i="41"/>
  <c r="C105" i="41"/>
  <c r="B105" i="41"/>
  <c r="A105" i="41"/>
  <c r="I104" i="41"/>
  <c r="H104" i="41"/>
  <c r="G104" i="41"/>
  <c r="F104" i="41"/>
  <c r="E104" i="41"/>
  <c r="D104" i="41"/>
  <c r="C104" i="41"/>
  <c r="B104" i="41"/>
  <c r="A104" i="41"/>
  <c r="I103" i="41"/>
  <c r="H103" i="41"/>
  <c r="G103" i="41"/>
  <c r="F103" i="41"/>
  <c r="E103" i="41"/>
  <c r="D103" i="41"/>
  <c r="C103" i="41"/>
  <c r="B103" i="41"/>
  <c r="A103" i="41"/>
  <c r="I102" i="41"/>
  <c r="H102" i="41"/>
  <c r="G102" i="41"/>
  <c r="F102" i="41"/>
  <c r="E102" i="41"/>
  <c r="D102" i="41"/>
  <c r="C102" i="41"/>
  <c r="B102" i="41"/>
  <c r="A102" i="41"/>
  <c r="I101" i="41"/>
  <c r="H101" i="41"/>
  <c r="G101" i="41"/>
  <c r="F101" i="41"/>
  <c r="E101" i="41"/>
  <c r="D101" i="41"/>
  <c r="C101" i="41"/>
  <c r="B101" i="41"/>
  <c r="A101" i="41"/>
  <c r="I100" i="41"/>
  <c r="H100" i="41"/>
  <c r="G100" i="41"/>
  <c r="F100" i="41"/>
  <c r="E100" i="41"/>
  <c r="D100" i="41"/>
  <c r="C100" i="41"/>
  <c r="B100" i="41"/>
  <c r="A100" i="41"/>
  <c r="I99" i="41"/>
  <c r="H99" i="41"/>
  <c r="G99" i="41"/>
  <c r="F99" i="41"/>
  <c r="E99" i="41"/>
  <c r="D99" i="41"/>
  <c r="C99" i="41"/>
  <c r="B99" i="41"/>
  <c r="A99" i="41"/>
  <c r="I98" i="41"/>
  <c r="H98" i="41"/>
  <c r="G98" i="41"/>
  <c r="F98" i="41"/>
  <c r="E98" i="41"/>
  <c r="D98" i="41"/>
  <c r="C98" i="41"/>
  <c r="B98" i="41"/>
  <c r="A98" i="41"/>
  <c r="I97" i="41"/>
  <c r="H97" i="41"/>
  <c r="G97" i="41"/>
  <c r="F97" i="41"/>
  <c r="E97" i="41"/>
  <c r="D97" i="41"/>
  <c r="C97" i="41"/>
  <c r="B97" i="41"/>
  <c r="A97" i="41"/>
  <c r="I96" i="41"/>
  <c r="H96" i="41"/>
  <c r="G96" i="41"/>
  <c r="F96" i="41"/>
  <c r="E96" i="41"/>
  <c r="D96" i="41"/>
  <c r="C96" i="41"/>
  <c r="B96" i="41"/>
  <c r="A96" i="41"/>
  <c r="I95" i="41"/>
  <c r="H95" i="41"/>
  <c r="G95" i="41"/>
  <c r="F95" i="41"/>
  <c r="E95" i="41"/>
  <c r="D95" i="41"/>
  <c r="C95" i="41"/>
  <c r="B95" i="41"/>
  <c r="A95" i="41"/>
  <c r="I94" i="41"/>
  <c r="H94" i="41"/>
  <c r="G94" i="41"/>
  <c r="F94" i="41"/>
  <c r="E94" i="41"/>
  <c r="D94" i="41"/>
  <c r="C94" i="41"/>
  <c r="B94" i="41"/>
  <c r="A94" i="41"/>
  <c r="I93" i="41"/>
  <c r="H93" i="41"/>
  <c r="G93" i="41"/>
  <c r="F93" i="41"/>
  <c r="E93" i="41"/>
  <c r="D93" i="41"/>
  <c r="C93" i="41"/>
  <c r="B93" i="41"/>
  <c r="A93" i="41"/>
  <c r="I92" i="41"/>
  <c r="H92" i="41"/>
  <c r="G92" i="41"/>
  <c r="F92" i="41"/>
  <c r="E92" i="41"/>
  <c r="D92" i="41"/>
  <c r="C92" i="41"/>
  <c r="B92" i="41"/>
  <c r="A92" i="41"/>
  <c r="I91" i="41"/>
  <c r="H91" i="41"/>
  <c r="G91" i="41"/>
  <c r="F91" i="41"/>
  <c r="E91" i="41"/>
  <c r="D91" i="41"/>
  <c r="C91" i="41"/>
  <c r="B91" i="41"/>
  <c r="A91" i="41"/>
  <c r="I90" i="41"/>
  <c r="H90" i="41"/>
  <c r="G90" i="41"/>
  <c r="F90" i="41"/>
  <c r="E90" i="41"/>
  <c r="D90" i="41"/>
  <c r="C90" i="41"/>
  <c r="B90" i="41"/>
  <c r="A90" i="41"/>
  <c r="I89" i="41"/>
  <c r="H89" i="41"/>
  <c r="G89" i="41"/>
  <c r="F89" i="41"/>
  <c r="E89" i="41"/>
  <c r="D89" i="41"/>
  <c r="C89" i="41"/>
  <c r="B89" i="41"/>
  <c r="A89" i="41"/>
  <c r="I88" i="41"/>
  <c r="H88" i="41"/>
  <c r="G88" i="41"/>
  <c r="F88" i="41"/>
  <c r="E88" i="41"/>
  <c r="D88" i="41"/>
  <c r="C88" i="41"/>
  <c r="B88" i="41"/>
  <c r="A88" i="41"/>
  <c r="I87" i="41"/>
  <c r="H87" i="41"/>
  <c r="G87" i="41"/>
  <c r="F87" i="41"/>
  <c r="E87" i="41"/>
  <c r="D87" i="41"/>
  <c r="C87" i="41"/>
  <c r="B87" i="41"/>
  <c r="A87" i="41"/>
  <c r="I86" i="41"/>
  <c r="H86" i="41"/>
  <c r="G86" i="41"/>
  <c r="F86" i="41"/>
  <c r="E86" i="41"/>
  <c r="D86" i="41"/>
  <c r="C86" i="41"/>
  <c r="B86" i="41"/>
  <c r="A86" i="41"/>
  <c r="I85" i="41"/>
  <c r="H85" i="41"/>
  <c r="G85" i="41"/>
  <c r="F85" i="41"/>
  <c r="E85" i="41"/>
  <c r="D85" i="41"/>
  <c r="C85" i="41"/>
  <c r="B85" i="41"/>
  <c r="A85" i="41"/>
  <c r="I84" i="41"/>
  <c r="H84" i="41"/>
  <c r="G84" i="41"/>
  <c r="F84" i="41"/>
  <c r="E84" i="41"/>
  <c r="D84" i="41"/>
  <c r="C84" i="41"/>
  <c r="B84" i="41"/>
  <c r="A84" i="41"/>
  <c r="I83" i="41"/>
  <c r="H83" i="41"/>
  <c r="G83" i="41"/>
  <c r="F83" i="41"/>
  <c r="E83" i="41"/>
  <c r="D83" i="41"/>
  <c r="C83" i="41"/>
  <c r="B83" i="41"/>
  <c r="A83" i="41"/>
  <c r="I82" i="41"/>
  <c r="H82" i="41"/>
  <c r="G82" i="41"/>
  <c r="F82" i="41"/>
  <c r="E82" i="41"/>
  <c r="D82" i="41"/>
  <c r="C82" i="41"/>
  <c r="B82" i="41"/>
  <c r="A82" i="41"/>
  <c r="I81" i="41"/>
  <c r="H81" i="41"/>
  <c r="G81" i="41"/>
  <c r="F81" i="41"/>
  <c r="E81" i="41"/>
  <c r="D81" i="41"/>
  <c r="C81" i="41"/>
  <c r="B81" i="41"/>
  <c r="A81" i="41"/>
  <c r="I80" i="41"/>
  <c r="H80" i="41"/>
  <c r="G80" i="41"/>
  <c r="F80" i="41"/>
  <c r="E80" i="41"/>
  <c r="D80" i="41"/>
  <c r="C80" i="41"/>
  <c r="B80" i="41"/>
  <c r="A80" i="41"/>
  <c r="I79" i="41"/>
  <c r="H79" i="41"/>
  <c r="G79" i="41"/>
  <c r="F79" i="41"/>
  <c r="E79" i="41"/>
  <c r="D79" i="41"/>
  <c r="C79" i="41"/>
  <c r="B79" i="41"/>
  <c r="A79" i="41"/>
  <c r="I78" i="41"/>
  <c r="H78" i="41"/>
  <c r="G78" i="41"/>
  <c r="F78" i="41"/>
  <c r="E78" i="41"/>
  <c r="D78" i="41"/>
  <c r="C78" i="41"/>
  <c r="B78" i="41"/>
  <c r="A78" i="41"/>
  <c r="I77" i="41"/>
  <c r="H77" i="41"/>
  <c r="G77" i="41"/>
  <c r="F77" i="41"/>
  <c r="E77" i="41"/>
  <c r="D77" i="41"/>
  <c r="C77" i="41"/>
  <c r="B77" i="41"/>
  <c r="A77" i="41"/>
  <c r="I76" i="41"/>
  <c r="H76" i="41"/>
  <c r="G76" i="41"/>
  <c r="F76" i="41"/>
  <c r="E76" i="41"/>
  <c r="D76" i="41"/>
  <c r="C76" i="41"/>
  <c r="B76" i="41"/>
  <c r="A76" i="41"/>
  <c r="I75" i="41"/>
  <c r="H75" i="41"/>
  <c r="G75" i="41"/>
  <c r="F75" i="41"/>
  <c r="E75" i="41"/>
  <c r="D75" i="41"/>
  <c r="C75" i="41"/>
  <c r="B75" i="41"/>
  <c r="A75" i="41"/>
  <c r="I74" i="41"/>
  <c r="H74" i="41"/>
  <c r="G74" i="41"/>
  <c r="F74" i="41"/>
  <c r="E74" i="41"/>
  <c r="D74" i="41"/>
  <c r="C74" i="41"/>
  <c r="B74" i="41"/>
  <c r="A74" i="41"/>
  <c r="I73" i="41"/>
  <c r="H73" i="41"/>
  <c r="G73" i="41"/>
  <c r="F73" i="41"/>
  <c r="E73" i="41"/>
  <c r="D73" i="41"/>
  <c r="C73" i="41"/>
  <c r="B73" i="41"/>
  <c r="A73" i="41"/>
  <c r="I72" i="41"/>
  <c r="H72" i="41"/>
  <c r="G72" i="41"/>
  <c r="F72" i="41"/>
  <c r="E72" i="41"/>
  <c r="D72" i="41"/>
  <c r="C72" i="41"/>
  <c r="B72" i="41"/>
  <c r="A72" i="41"/>
  <c r="I71" i="41"/>
  <c r="H71" i="41"/>
  <c r="G71" i="41"/>
  <c r="F71" i="41"/>
  <c r="E71" i="41"/>
  <c r="D71" i="41"/>
  <c r="C71" i="41"/>
  <c r="B71" i="41"/>
  <c r="A71" i="41"/>
  <c r="I70" i="41"/>
  <c r="H70" i="41"/>
  <c r="G70" i="41"/>
  <c r="F70" i="41"/>
  <c r="E70" i="41"/>
  <c r="D70" i="41"/>
  <c r="C70" i="41"/>
  <c r="B70" i="41"/>
  <c r="A70" i="41"/>
  <c r="I69" i="41"/>
  <c r="H69" i="41"/>
  <c r="G69" i="41"/>
  <c r="F69" i="41"/>
  <c r="E69" i="41"/>
  <c r="D69" i="41"/>
  <c r="C69" i="41"/>
  <c r="B69" i="41"/>
  <c r="A69" i="41"/>
  <c r="I68" i="41"/>
  <c r="H68" i="41"/>
  <c r="G68" i="41"/>
  <c r="F68" i="41"/>
  <c r="E68" i="41"/>
  <c r="D68" i="41"/>
  <c r="C68" i="41"/>
  <c r="B68" i="41"/>
  <c r="A68" i="41"/>
  <c r="I67" i="41"/>
  <c r="H67" i="41"/>
  <c r="G67" i="41"/>
  <c r="F67" i="41"/>
  <c r="E67" i="41"/>
  <c r="D67" i="41"/>
  <c r="C67" i="41"/>
  <c r="B67" i="41"/>
  <c r="A67" i="41"/>
  <c r="I66" i="41"/>
  <c r="H66" i="41"/>
  <c r="G66" i="41"/>
  <c r="F66" i="41"/>
  <c r="E66" i="41"/>
  <c r="D66" i="41"/>
  <c r="C66" i="41"/>
  <c r="B66" i="41"/>
  <c r="A66" i="41"/>
  <c r="I65" i="41"/>
  <c r="H65" i="41"/>
  <c r="G65" i="41"/>
  <c r="F65" i="41"/>
  <c r="E65" i="41"/>
  <c r="D65" i="41"/>
  <c r="C65" i="41"/>
  <c r="B65" i="41"/>
  <c r="A65" i="41"/>
  <c r="I64" i="41"/>
  <c r="H64" i="41"/>
  <c r="G64" i="41"/>
  <c r="F64" i="41"/>
  <c r="E64" i="41"/>
  <c r="D64" i="41"/>
  <c r="C64" i="41"/>
  <c r="B64" i="41"/>
  <c r="A64" i="41"/>
  <c r="I63" i="41"/>
  <c r="H63" i="41"/>
  <c r="G63" i="41"/>
  <c r="F63" i="41"/>
  <c r="E63" i="41"/>
  <c r="D63" i="41"/>
  <c r="C63" i="41"/>
  <c r="B63" i="41"/>
  <c r="A63" i="41"/>
  <c r="I62" i="41"/>
  <c r="H62" i="41"/>
  <c r="G62" i="41"/>
  <c r="F62" i="41"/>
  <c r="E62" i="41"/>
  <c r="D62" i="41"/>
  <c r="C62" i="41"/>
  <c r="B62" i="41"/>
  <c r="A62" i="41"/>
  <c r="I61" i="41"/>
  <c r="H61" i="41"/>
  <c r="G61" i="41"/>
  <c r="F61" i="41"/>
  <c r="E61" i="41"/>
  <c r="D61" i="41"/>
  <c r="C61" i="41"/>
  <c r="B61" i="41"/>
  <c r="A61" i="41"/>
  <c r="I60" i="41"/>
  <c r="H60" i="41"/>
  <c r="G60" i="41"/>
  <c r="F60" i="41"/>
  <c r="E60" i="41"/>
  <c r="D60" i="41"/>
  <c r="C60" i="41"/>
  <c r="B60" i="41"/>
  <c r="A60" i="41"/>
  <c r="I59" i="41"/>
  <c r="H59" i="41"/>
  <c r="G59" i="41"/>
  <c r="F59" i="41"/>
  <c r="E59" i="41"/>
  <c r="D59" i="41"/>
  <c r="C59" i="41"/>
  <c r="B59" i="41"/>
  <c r="A59" i="41"/>
  <c r="I58" i="41"/>
  <c r="H58" i="41"/>
  <c r="G58" i="41"/>
  <c r="F58" i="41"/>
  <c r="E58" i="41"/>
  <c r="D58" i="41"/>
  <c r="C58" i="41"/>
  <c r="B58" i="41"/>
  <c r="A58" i="41"/>
  <c r="I57" i="41"/>
  <c r="H57" i="41"/>
  <c r="G57" i="41"/>
  <c r="F57" i="41"/>
  <c r="E57" i="41"/>
  <c r="D57" i="41"/>
  <c r="C57" i="41"/>
  <c r="B57" i="41"/>
  <c r="A57" i="41"/>
  <c r="I56" i="41"/>
  <c r="H56" i="41"/>
  <c r="G56" i="41"/>
  <c r="F56" i="41"/>
  <c r="E56" i="41"/>
  <c r="D56" i="41"/>
  <c r="C56" i="41"/>
  <c r="B56" i="41"/>
  <c r="A56" i="41"/>
  <c r="I55" i="41"/>
  <c r="H55" i="41"/>
  <c r="G55" i="41"/>
  <c r="F55" i="41"/>
  <c r="E55" i="41"/>
  <c r="D55" i="41"/>
  <c r="C55" i="41"/>
  <c r="B55" i="41"/>
  <c r="A55" i="41"/>
  <c r="I54" i="41"/>
  <c r="H54" i="41"/>
  <c r="G54" i="41"/>
  <c r="F54" i="41"/>
  <c r="E54" i="41"/>
  <c r="D54" i="41"/>
  <c r="C54" i="41"/>
  <c r="B54" i="41"/>
  <c r="A54" i="41"/>
  <c r="I53" i="41"/>
  <c r="H53" i="41"/>
  <c r="G53" i="41"/>
  <c r="F53" i="41"/>
  <c r="E53" i="41"/>
  <c r="D53" i="41"/>
  <c r="C53" i="41"/>
  <c r="B53" i="41"/>
  <c r="A53" i="41"/>
  <c r="I52" i="41"/>
  <c r="H52" i="41"/>
  <c r="G52" i="41"/>
  <c r="F52" i="41"/>
  <c r="E52" i="41"/>
  <c r="D52" i="41"/>
  <c r="C52" i="41"/>
  <c r="B52" i="41"/>
  <c r="A52" i="41"/>
  <c r="I51" i="41"/>
  <c r="H51" i="41"/>
  <c r="G51" i="41"/>
  <c r="F51" i="41"/>
  <c r="E51" i="41"/>
  <c r="D51" i="41"/>
  <c r="C51" i="41"/>
  <c r="B51" i="41"/>
  <c r="A51" i="41"/>
  <c r="I50" i="41"/>
  <c r="H50" i="41"/>
  <c r="G50" i="41"/>
  <c r="F50" i="41"/>
  <c r="E50" i="41"/>
  <c r="D50" i="41"/>
  <c r="C50" i="41"/>
  <c r="B50" i="41"/>
  <c r="A50" i="41"/>
  <c r="I49" i="41"/>
  <c r="H49" i="41"/>
  <c r="G49" i="41"/>
  <c r="F49" i="41"/>
  <c r="E49" i="41"/>
  <c r="D49" i="41"/>
  <c r="C49" i="41"/>
  <c r="B49" i="41"/>
  <c r="A49" i="41"/>
  <c r="I48" i="41"/>
  <c r="H48" i="41"/>
  <c r="G48" i="41"/>
  <c r="F48" i="41"/>
  <c r="E48" i="41"/>
  <c r="D48" i="41"/>
  <c r="C48" i="41"/>
  <c r="B48" i="41"/>
  <c r="A48" i="41"/>
  <c r="I47" i="41"/>
  <c r="H47" i="41"/>
  <c r="G47" i="41"/>
  <c r="F47" i="41"/>
  <c r="E47" i="41"/>
  <c r="D47" i="41"/>
  <c r="C47" i="41"/>
  <c r="B47" i="41"/>
  <c r="A47" i="41"/>
  <c r="I46" i="41"/>
  <c r="H46" i="41"/>
  <c r="G46" i="41"/>
  <c r="F46" i="41"/>
  <c r="E46" i="41"/>
  <c r="D46" i="41"/>
  <c r="C46" i="41"/>
  <c r="B46" i="41"/>
  <c r="A46" i="41"/>
  <c r="I45" i="41"/>
  <c r="H45" i="41"/>
  <c r="G45" i="41"/>
  <c r="F45" i="41"/>
  <c r="E45" i="41"/>
  <c r="D45" i="41"/>
  <c r="C45" i="41"/>
  <c r="B45" i="41"/>
  <c r="A45" i="41"/>
  <c r="I44" i="41"/>
  <c r="H44" i="41"/>
  <c r="G44" i="41"/>
  <c r="F44" i="41"/>
  <c r="E44" i="41"/>
  <c r="D44" i="41"/>
  <c r="C44" i="41"/>
  <c r="B44" i="41"/>
  <c r="A44" i="41"/>
  <c r="I43" i="41"/>
  <c r="H43" i="41"/>
  <c r="G43" i="41"/>
  <c r="F43" i="41"/>
  <c r="E43" i="41"/>
  <c r="D43" i="41"/>
  <c r="C43" i="41"/>
  <c r="B43" i="41"/>
  <c r="A43" i="41"/>
  <c r="I42" i="41"/>
  <c r="H42" i="41"/>
  <c r="G42" i="41"/>
  <c r="F42" i="41"/>
  <c r="E42" i="41"/>
  <c r="D42" i="41"/>
  <c r="C42" i="41"/>
  <c r="B42" i="41"/>
  <c r="A42" i="41"/>
  <c r="I41" i="41"/>
  <c r="H41" i="41"/>
  <c r="G41" i="41"/>
  <c r="F41" i="41"/>
  <c r="E41" i="41"/>
  <c r="D41" i="41"/>
  <c r="C41" i="41"/>
  <c r="B41" i="41"/>
  <c r="A41" i="41"/>
  <c r="I40" i="41"/>
  <c r="H40" i="41"/>
  <c r="G40" i="41"/>
  <c r="F40" i="41"/>
  <c r="E40" i="41"/>
  <c r="D40" i="41"/>
  <c r="C40" i="41"/>
  <c r="B40" i="41"/>
  <c r="A40" i="41"/>
  <c r="I39" i="41"/>
  <c r="H39" i="41"/>
  <c r="G39" i="41"/>
  <c r="F39" i="41"/>
  <c r="E39" i="41"/>
  <c r="D39" i="41"/>
  <c r="C39" i="41"/>
  <c r="B39" i="41"/>
  <c r="A39" i="41"/>
  <c r="I38" i="41"/>
  <c r="H38" i="41"/>
  <c r="G38" i="41"/>
  <c r="F38" i="41"/>
  <c r="E38" i="41"/>
  <c r="D38" i="41"/>
  <c r="C38" i="41"/>
  <c r="B38" i="41"/>
  <c r="A38" i="41"/>
  <c r="I37" i="41"/>
  <c r="H37" i="41"/>
  <c r="G37" i="41"/>
  <c r="F37" i="41"/>
  <c r="E37" i="41"/>
  <c r="D37" i="41"/>
  <c r="C37" i="41"/>
  <c r="B37" i="41"/>
  <c r="A37" i="41"/>
  <c r="I36" i="41"/>
  <c r="H36" i="41"/>
  <c r="G36" i="41"/>
  <c r="F36" i="41"/>
  <c r="E36" i="41"/>
  <c r="D36" i="41"/>
  <c r="C36" i="41"/>
  <c r="B36" i="41"/>
  <c r="A36" i="41"/>
  <c r="I35" i="41"/>
  <c r="H35" i="41"/>
  <c r="G35" i="41"/>
  <c r="F35" i="41"/>
  <c r="E35" i="41"/>
  <c r="D35" i="41"/>
  <c r="C35" i="41"/>
  <c r="B35" i="41"/>
  <c r="A35" i="41"/>
  <c r="I34" i="41"/>
  <c r="H34" i="41"/>
  <c r="G34" i="41"/>
  <c r="F34" i="41"/>
  <c r="E34" i="41"/>
  <c r="D34" i="41"/>
  <c r="C34" i="41"/>
  <c r="B34" i="41"/>
  <c r="A34" i="41"/>
  <c r="I33" i="41"/>
  <c r="H33" i="41"/>
  <c r="G33" i="41"/>
  <c r="F33" i="41"/>
  <c r="E33" i="41"/>
  <c r="D33" i="41"/>
  <c r="C33" i="41"/>
  <c r="B33" i="41"/>
  <c r="A33" i="41"/>
  <c r="I32" i="41"/>
  <c r="H32" i="41"/>
  <c r="G32" i="41"/>
  <c r="F32" i="41"/>
  <c r="E32" i="41"/>
  <c r="D32" i="41"/>
  <c r="C32" i="41"/>
  <c r="B32" i="41"/>
  <c r="A32" i="41"/>
  <c r="I31" i="41"/>
  <c r="H31" i="41"/>
  <c r="G31" i="41"/>
  <c r="F31" i="41"/>
  <c r="E31" i="41"/>
  <c r="D31" i="41"/>
  <c r="C31" i="41"/>
  <c r="B31" i="41"/>
  <c r="A31" i="41"/>
  <c r="I30" i="41"/>
  <c r="H30" i="41"/>
  <c r="G30" i="41"/>
  <c r="F30" i="41"/>
  <c r="E30" i="41"/>
  <c r="D30" i="41"/>
  <c r="C30" i="41"/>
  <c r="B30" i="41"/>
  <c r="A30" i="41"/>
  <c r="I29" i="41"/>
  <c r="H29" i="41"/>
  <c r="G29" i="41"/>
  <c r="F29" i="41"/>
  <c r="E29" i="41"/>
  <c r="D29" i="41"/>
  <c r="C29" i="41"/>
  <c r="B29" i="41"/>
  <c r="A29" i="41"/>
  <c r="I28" i="41"/>
  <c r="H28" i="41"/>
  <c r="G28" i="41"/>
  <c r="F28" i="41"/>
  <c r="E28" i="41"/>
  <c r="D28" i="41"/>
  <c r="C28" i="41"/>
  <c r="B28" i="41"/>
  <c r="A28" i="41"/>
  <c r="I27" i="41"/>
  <c r="H27" i="41"/>
  <c r="G27" i="41"/>
  <c r="F27" i="41"/>
  <c r="E27" i="41"/>
  <c r="D27" i="41"/>
  <c r="C27" i="41"/>
  <c r="B27" i="41"/>
  <c r="A27" i="41"/>
  <c r="I26" i="41"/>
  <c r="H26" i="41"/>
  <c r="G26" i="41"/>
  <c r="F26" i="41"/>
  <c r="E26" i="41"/>
  <c r="D26" i="41"/>
  <c r="C26" i="41"/>
  <c r="B26" i="41"/>
  <c r="A26" i="41"/>
  <c r="I25" i="41"/>
  <c r="H25" i="41"/>
  <c r="G25" i="41"/>
  <c r="F25" i="41"/>
  <c r="E25" i="41"/>
  <c r="D25" i="41"/>
  <c r="C25" i="41"/>
  <c r="B25" i="41"/>
  <c r="A25" i="41"/>
  <c r="I24" i="41"/>
  <c r="H24" i="41"/>
  <c r="G24" i="41"/>
  <c r="F24" i="41"/>
  <c r="E24" i="41"/>
  <c r="D24" i="41"/>
  <c r="C24" i="41"/>
  <c r="B24" i="41"/>
  <c r="A24" i="41"/>
  <c r="I23" i="41"/>
  <c r="H23" i="41"/>
  <c r="G23" i="41"/>
  <c r="F23" i="41"/>
  <c r="E23" i="41"/>
  <c r="D23" i="41"/>
  <c r="C23" i="41"/>
  <c r="B23" i="41"/>
  <c r="A23" i="41"/>
  <c r="I22" i="41"/>
  <c r="H22" i="41"/>
  <c r="G22" i="41"/>
  <c r="F22" i="41"/>
  <c r="E22" i="41"/>
  <c r="D22" i="41"/>
  <c r="C22" i="41"/>
  <c r="B22" i="41"/>
  <c r="A22" i="41"/>
  <c r="I21" i="41"/>
  <c r="H21" i="41"/>
  <c r="G21" i="41"/>
  <c r="F21" i="41"/>
  <c r="E21" i="41"/>
  <c r="D21" i="41"/>
  <c r="C21" i="41"/>
  <c r="B21" i="41"/>
  <c r="A21" i="41"/>
  <c r="I20" i="41"/>
  <c r="H20" i="41"/>
  <c r="G20" i="41"/>
  <c r="F20" i="41"/>
  <c r="E20" i="41"/>
  <c r="D20" i="41"/>
  <c r="C20" i="41"/>
  <c r="B20" i="41"/>
  <c r="A20" i="41"/>
  <c r="I19" i="41"/>
  <c r="H19" i="41"/>
  <c r="G19" i="41"/>
  <c r="F19" i="41"/>
  <c r="E19" i="41"/>
  <c r="D19" i="41"/>
  <c r="C19" i="41"/>
  <c r="B19" i="41"/>
  <c r="A19" i="41"/>
  <c r="I18" i="41"/>
  <c r="H18" i="41"/>
  <c r="G18" i="41"/>
  <c r="F18" i="41"/>
  <c r="E18" i="41"/>
  <c r="D18" i="41"/>
  <c r="C18" i="41"/>
  <c r="B18" i="41"/>
  <c r="A18" i="41"/>
  <c r="I17" i="41"/>
  <c r="H17" i="41"/>
  <c r="G17" i="41"/>
  <c r="F17" i="41"/>
  <c r="E17" i="41"/>
  <c r="D17" i="41"/>
  <c r="C17" i="41"/>
  <c r="B17" i="41"/>
  <c r="A17" i="41"/>
  <c r="I16" i="41"/>
  <c r="H16" i="41"/>
  <c r="G16" i="41"/>
  <c r="F16" i="41"/>
  <c r="E16" i="41"/>
  <c r="D16" i="41"/>
  <c r="C16" i="41"/>
  <c r="B16" i="41"/>
  <c r="A16" i="41"/>
  <c r="I15" i="41"/>
  <c r="H15" i="41"/>
  <c r="G15" i="41"/>
  <c r="F15" i="41"/>
  <c r="E15" i="41"/>
  <c r="D15" i="41"/>
  <c r="C15" i="41"/>
  <c r="B15" i="41"/>
  <c r="A15" i="41"/>
  <c r="I14" i="41"/>
  <c r="H14" i="41"/>
  <c r="G14" i="41"/>
  <c r="F14" i="41"/>
  <c r="E14" i="41"/>
  <c r="D14" i="41"/>
  <c r="C14" i="41"/>
  <c r="B14" i="41"/>
  <c r="A14" i="41"/>
  <c r="I13" i="41"/>
  <c r="H13" i="41"/>
  <c r="G13" i="41"/>
  <c r="F13" i="41"/>
  <c r="E13" i="41"/>
  <c r="D13" i="41"/>
  <c r="C13" i="41"/>
  <c r="B13" i="41"/>
  <c r="A13" i="41"/>
  <c r="I12" i="41"/>
  <c r="H12" i="41"/>
  <c r="G12" i="41"/>
  <c r="F12" i="41"/>
  <c r="E12" i="41"/>
  <c r="D12" i="41"/>
  <c r="C12" i="41"/>
  <c r="B12" i="41"/>
  <c r="A12" i="41"/>
  <c r="I11" i="41"/>
  <c r="H11" i="41"/>
  <c r="G11" i="41"/>
  <c r="F11" i="41"/>
  <c r="E11" i="41"/>
  <c r="D11" i="41"/>
  <c r="C11" i="41"/>
  <c r="B11" i="41"/>
  <c r="A11" i="41"/>
  <c r="I10" i="41"/>
  <c r="H10" i="41"/>
  <c r="G10" i="41"/>
  <c r="F10" i="41"/>
  <c r="E10" i="41"/>
  <c r="D10" i="41"/>
  <c r="C10" i="41"/>
  <c r="B10" i="41"/>
  <c r="A10" i="41"/>
  <c r="I9" i="41"/>
  <c r="H9" i="41"/>
  <c r="G9" i="41"/>
  <c r="F9" i="41"/>
  <c r="E9" i="41"/>
  <c r="D9" i="41"/>
  <c r="C9" i="41"/>
  <c r="B9" i="41"/>
  <c r="A9" i="41"/>
  <c r="I8" i="41"/>
  <c r="H8" i="41"/>
  <c r="G8" i="41"/>
  <c r="F8" i="41"/>
  <c r="E8" i="41"/>
  <c r="D8" i="41"/>
  <c r="C8" i="41"/>
  <c r="B8" i="41"/>
  <c r="A8" i="41"/>
  <c r="I7" i="41"/>
  <c r="H7" i="41"/>
  <c r="G7" i="41"/>
  <c r="F7" i="41"/>
  <c r="E7" i="41"/>
  <c r="D7" i="41"/>
  <c r="C7" i="41"/>
  <c r="B7" i="41"/>
  <c r="A7" i="41"/>
  <c r="I6" i="41"/>
  <c r="H6" i="41"/>
  <c r="G6" i="41"/>
  <c r="F6" i="41"/>
  <c r="E6" i="41"/>
  <c r="D6" i="41"/>
  <c r="C6" i="41"/>
  <c r="B6" i="41"/>
  <c r="A6" i="41"/>
  <c r="I5" i="41"/>
  <c r="H5" i="41"/>
  <c r="G5" i="41"/>
  <c r="F5" i="41"/>
  <c r="E5" i="41"/>
  <c r="D5" i="41"/>
  <c r="C5" i="41"/>
  <c r="B5" i="41"/>
  <c r="A5" i="41"/>
  <c r="I4" i="41"/>
  <c r="H4" i="41"/>
  <c r="G4" i="41"/>
  <c r="F4" i="41"/>
  <c r="E4" i="41"/>
  <c r="D4" i="41"/>
  <c r="C4" i="41"/>
  <c r="B4" i="41"/>
  <c r="A4" i="41"/>
  <c r="I3" i="41"/>
  <c r="H3" i="41"/>
  <c r="G3" i="41"/>
  <c r="F3" i="41"/>
  <c r="E3" i="41"/>
  <c r="D3" i="41"/>
  <c r="C3" i="41"/>
  <c r="B3" i="41"/>
  <c r="A3" i="41"/>
  <c r="I2" i="41"/>
  <c r="H2" i="41"/>
  <c r="G2" i="41"/>
  <c r="F2" i="41"/>
  <c r="E2" i="41"/>
  <c r="D2" i="41"/>
  <c r="C2" i="41"/>
  <c r="B2" i="41"/>
  <c r="A2" i="41"/>
  <c r="G24" i="25"/>
  <c r="G25" i="25"/>
  <c r="G26" i="25"/>
  <c r="G27" i="25"/>
  <c r="F24" i="25"/>
  <c r="F25" i="25"/>
  <c r="K25" i="25" s="1"/>
  <c r="F26" i="25"/>
  <c r="K26" i="25" s="1"/>
  <c r="F27" i="25"/>
  <c r="K27" i="25" s="1"/>
  <c r="K24" i="25"/>
  <c r="D24" i="25"/>
  <c r="E24" i="25"/>
  <c r="D25" i="25"/>
  <c r="E25" i="25"/>
  <c r="D26" i="25"/>
  <c r="E26" i="25"/>
  <c r="D27" i="25"/>
  <c r="E27" i="25"/>
  <c r="G17" i="25"/>
  <c r="G18" i="25"/>
  <c r="G19" i="25"/>
  <c r="G20" i="25"/>
  <c r="F17" i="25"/>
  <c r="F18" i="25"/>
  <c r="F19" i="25"/>
  <c r="F20" i="25"/>
  <c r="D17" i="25"/>
  <c r="E17" i="25"/>
  <c r="D18" i="25"/>
  <c r="E18" i="25"/>
  <c r="D19" i="25"/>
  <c r="E19" i="25"/>
  <c r="D20" i="25"/>
  <c r="E20" i="25"/>
  <c r="G10" i="25"/>
  <c r="G11" i="25"/>
  <c r="G12" i="25"/>
  <c r="G13" i="25"/>
  <c r="F10" i="25"/>
  <c r="F11" i="25"/>
  <c r="K11" i="25" s="1"/>
  <c r="F12" i="25"/>
  <c r="K12" i="25" s="1"/>
  <c r="F13" i="25"/>
  <c r="K13" i="25" s="1"/>
  <c r="K10" i="25"/>
  <c r="D10" i="25"/>
  <c r="E10" i="25"/>
  <c r="D11" i="25"/>
  <c r="E11" i="25"/>
  <c r="D12" i="25"/>
  <c r="E12" i="25"/>
  <c r="D13" i="25"/>
  <c r="E13" i="25"/>
  <c r="CX36" i="8" l="1"/>
  <c r="CX37" i="8"/>
  <c r="CX38" i="8"/>
  <c r="BF40" i="26" s="1"/>
  <c r="CX39" i="8"/>
  <c r="CX40" i="8"/>
  <c r="CX41" i="8"/>
  <c r="CX42" i="8"/>
  <c r="CX43" i="8"/>
  <c r="CX44" i="8"/>
  <c r="CX45" i="8"/>
  <c r="CX46" i="8"/>
  <c r="CX47" i="8"/>
  <c r="CX48" i="8"/>
  <c r="CX49" i="8"/>
  <c r="BF51" i="26" s="1"/>
  <c r="CX50" i="8"/>
  <c r="BF52" i="26" s="1"/>
  <c r="CX51" i="8"/>
  <c r="BF53" i="26" s="1"/>
  <c r="CX52" i="8"/>
  <c r="BF54" i="26" s="1"/>
  <c r="CX53" i="8"/>
  <c r="BF55" i="26" s="1"/>
  <c r="CX54" i="8"/>
  <c r="BF56" i="26" s="1"/>
  <c r="CX55" i="8"/>
  <c r="BF57" i="26" s="1"/>
  <c r="CX56" i="8"/>
  <c r="BF58" i="26" s="1"/>
  <c r="CX57" i="8"/>
  <c r="BF59" i="26" s="1"/>
  <c r="CX58" i="8"/>
  <c r="BF60" i="26" s="1"/>
  <c r="CX59" i="8"/>
  <c r="BF61" i="26" s="1"/>
  <c r="CX60" i="8"/>
  <c r="BF62" i="26" s="1"/>
  <c r="CX61" i="8"/>
  <c r="BF63" i="26" s="1"/>
  <c r="CX62" i="8"/>
  <c r="BF64" i="26" s="1"/>
  <c r="CX63" i="8"/>
  <c r="BF65" i="26" s="1"/>
  <c r="CX64" i="8"/>
  <c r="BF66" i="26" s="1"/>
  <c r="CX65" i="8"/>
  <c r="BF67" i="26" s="1"/>
  <c r="CX66" i="8"/>
  <c r="BF68" i="26" s="1"/>
  <c r="CX67" i="8"/>
  <c r="BF69" i="26" s="1"/>
  <c r="BK69" i="26" s="1"/>
  <c r="CX68" i="8"/>
  <c r="BF70" i="26" s="1"/>
  <c r="CX69" i="8"/>
  <c r="BF71" i="26" s="1"/>
  <c r="CX70" i="8"/>
  <c r="BF72" i="26" s="1"/>
  <c r="CX71" i="8"/>
  <c r="BF73" i="26" s="1"/>
  <c r="CX72" i="8"/>
  <c r="BF74" i="26" s="1"/>
  <c r="CX73" i="8"/>
  <c r="BF75" i="26" s="1"/>
  <c r="CX74" i="8"/>
  <c r="BF76" i="26" s="1"/>
  <c r="CX75" i="8"/>
  <c r="BF77" i="26" s="1"/>
  <c r="CX76" i="8"/>
  <c r="BF78" i="26" s="1"/>
  <c r="CX77" i="8"/>
  <c r="BF79" i="26" s="1"/>
  <c r="CX78" i="8"/>
  <c r="BF80" i="26" s="1"/>
  <c r="CX79" i="8"/>
  <c r="BF81" i="26" s="1"/>
  <c r="CX80" i="8"/>
  <c r="BF82" i="26" s="1"/>
  <c r="CX81" i="8"/>
  <c r="BF83" i="26" s="1"/>
  <c r="CX82" i="8"/>
  <c r="BF84" i="26" s="1"/>
  <c r="CX83" i="8"/>
  <c r="BF85" i="26" s="1"/>
  <c r="CX84" i="8"/>
  <c r="BF86" i="26" s="1"/>
  <c r="CX85" i="8"/>
  <c r="BF87" i="26" s="1"/>
  <c r="CX86" i="8"/>
  <c r="BF88" i="26" s="1"/>
  <c r="CX87" i="8"/>
  <c r="BF89" i="26" s="1"/>
  <c r="CX88" i="8"/>
  <c r="BF90" i="26" s="1"/>
  <c r="CX89" i="8"/>
  <c r="BF91" i="26" s="1"/>
  <c r="CX90" i="8"/>
  <c r="BF92" i="26" s="1"/>
  <c r="CX91" i="8"/>
  <c r="BF93" i="26" s="1"/>
  <c r="CX92" i="8"/>
  <c r="BF94" i="26" s="1"/>
  <c r="CX93" i="8"/>
  <c r="BF95" i="26" s="1"/>
  <c r="CX94" i="8"/>
  <c r="BF96" i="26" s="1"/>
  <c r="CX95" i="8"/>
  <c r="BF97" i="26" s="1"/>
  <c r="BK97" i="26" s="1"/>
  <c r="CX96" i="8"/>
  <c r="BF98" i="26" s="1"/>
  <c r="CX97" i="8"/>
  <c r="BF99" i="26" s="1"/>
  <c r="CX98" i="8"/>
  <c r="BF100" i="26" s="1"/>
  <c r="BK100" i="26" s="1"/>
  <c r="CX99" i="8"/>
  <c r="BF101" i="26" s="1"/>
  <c r="BK101" i="26" s="1"/>
  <c r="CX100" i="8"/>
  <c r="BF102" i="26" s="1"/>
  <c r="CX101" i="8"/>
  <c r="BF103" i="26" s="1"/>
  <c r="CX102" i="8"/>
  <c r="BF104" i="26" s="1"/>
  <c r="BK104" i="26" s="1"/>
  <c r="CX103" i="8"/>
  <c r="BF105" i="26" s="1"/>
  <c r="BK105" i="26" s="1"/>
  <c r="CX104" i="8"/>
  <c r="BF106" i="26" s="1"/>
  <c r="CX105" i="8"/>
  <c r="BF107" i="26" s="1"/>
  <c r="CX106" i="8"/>
  <c r="BF108" i="26" s="1"/>
  <c r="CX107" i="8"/>
  <c r="BF109" i="26" s="1"/>
  <c r="CX108" i="8"/>
  <c r="BF110" i="26" s="1"/>
  <c r="CX109" i="8"/>
  <c r="BF111" i="26" s="1"/>
  <c r="CX110" i="8"/>
  <c r="BF112" i="26" s="1"/>
  <c r="CX111" i="8"/>
  <c r="BF113" i="26" s="1"/>
  <c r="CX112" i="8"/>
  <c r="BF114" i="26" s="1"/>
  <c r="CX113" i="8"/>
  <c r="BF115" i="26" s="1"/>
  <c r="BK115" i="26" s="1"/>
  <c r="CX114" i="8"/>
  <c r="BF116" i="26" s="1"/>
  <c r="CX115" i="8"/>
  <c r="BF117" i="26" s="1"/>
  <c r="CX116" i="8"/>
  <c r="BF118" i="26" s="1"/>
  <c r="CX117" i="8"/>
  <c r="BF119" i="26" s="1"/>
  <c r="CX118" i="8"/>
  <c r="BF120" i="26" s="1"/>
  <c r="CX119" i="8"/>
  <c r="BF121" i="26" s="1"/>
  <c r="CX120" i="8"/>
  <c r="BF122" i="26" s="1"/>
  <c r="CX121" i="8"/>
  <c r="BF123" i="26" s="1"/>
  <c r="CX122" i="8"/>
  <c r="BF124" i="26" s="1"/>
  <c r="CX123" i="8"/>
  <c r="BF125" i="26" s="1"/>
  <c r="CX124" i="8"/>
  <c r="BF126" i="26" s="1"/>
  <c r="CX125" i="8"/>
  <c r="BF127" i="26" s="1"/>
  <c r="CX126" i="8"/>
  <c r="BF128" i="26" s="1"/>
  <c r="CX127" i="8"/>
  <c r="BF129" i="26" s="1"/>
  <c r="CX128" i="8"/>
  <c r="BF130" i="26" s="1"/>
  <c r="CX129" i="8"/>
  <c r="BF131" i="26" s="1"/>
  <c r="CX130" i="8"/>
  <c r="BF132" i="26" s="1"/>
  <c r="CX131" i="8"/>
  <c r="BF133" i="26" s="1"/>
  <c r="BK133" i="26" s="1"/>
  <c r="CX132" i="8"/>
  <c r="BF134" i="26" s="1"/>
  <c r="BK134" i="26" s="1"/>
  <c r="CX133" i="8"/>
  <c r="BF135" i="26" s="1"/>
  <c r="BK135" i="26" s="1"/>
  <c r="CX134" i="8"/>
  <c r="BF136" i="26" s="1"/>
  <c r="CX135" i="8"/>
  <c r="BF137" i="26" s="1"/>
  <c r="CX136" i="8"/>
  <c r="BF138" i="26" s="1"/>
  <c r="CX137" i="8"/>
  <c r="BF139" i="26" s="1"/>
  <c r="CX138" i="8"/>
  <c r="BF140" i="26" s="1"/>
  <c r="CX139" i="8"/>
  <c r="BF141" i="26" s="1"/>
  <c r="BK141" i="26" s="1"/>
  <c r="CX140" i="8"/>
  <c r="BF142" i="26" s="1"/>
  <c r="CX141" i="8"/>
  <c r="BF143" i="26" s="1"/>
  <c r="CX142" i="8"/>
  <c r="BF144" i="26" s="1"/>
  <c r="CX143" i="8"/>
  <c r="BF145" i="26" s="1"/>
  <c r="BK145" i="26" s="1"/>
  <c r="CX144" i="8"/>
  <c r="BF146" i="26" s="1"/>
  <c r="BK146" i="26" s="1"/>
  <c r="CX145" i="8"/>
  <c r="BF147" i="26" s="1"/>
  <c r="BK147" i="26" s="1"/>
  <c r="CX146" i="8"/>
  <c r="BF148" i="26" s="1"/>
  <c r="CX147" i="8"/>
  <c r="BF149" i="26" s="1"/>
  <c r="CX148" i="8"/>
  <c r="BF150" i="26" s="1"/>
  <c r="CX149" i="8"/>
  <c r="BF151" i="26" s="1"/>
  <c r="CX150" i="8"/>
  <c r="BF152" i="26" s="1"/>
  <c r="CX151" i="8"/>
  <c r="BF153" i="26" s="1"/>
  <c r="CX152" i="8"/>
  <c r="BF154" i="26" s="1"/>
  <c r="CX153" i="8"/>
  <c r="BF155" i="26" s="1"/>
  <c r="CX154" i="8"/>
  <c r="BF156" i="26" s="1"/>
  <c r="CX155" i="8"/>
  <c r="BF157" i="26" s="1"/>
  <c r="CX156" i="8"/>
  <c r="BF158" i="26" s="1"/>
  <c r="CX157" i="8"/>
  <c r="BF159" i="26" s="1"/>
  <c r="BK159" i="26" s="1"/>
  <c r="CX158" i="8"/>
  <c r="BF160" i="26" s="1"/>
  <c r="CX159" i="8"/>
  <c r="BF161" i="26" s="1"/>
  <c r="CX160" i="8"/>
  <c r="BF162" i="26" s="1"/>
  <c r="BK162" i="26" s="1"/>
  <c r="CX161" i="8"/>
  <c r="BF163" i="26" s="1"/>
  <c r="CX162" i="8"/>
  <c r="BF164" i="26" s="1"/>
  <c r="CX163" i="8"/>
  <c r="BF165" i="26" s="1"/>
  <c r="CX164" i="8"/>
  <c r="BF166" i="26" s="1"/>
  <c r="CX165" i="8"/>
  <c r="BF167" i="26" s="1"/>
  <c r="CX166" i="8"/>
  <c r="BF168" i="26" s="1"/>
  <c r="CX167" i="8"/>
  <c r="BF169" i="26" s="1"/>
  <c r="CX168" i="8"/>
  <c r="BF170" i="26" s="1"/>
  <c r="CX169" i="8"/>
  <c r="BF171" i="26" s="1"/>
  <c r="CX170" i="8"/>
  <c r="BF172" i="26" s="1"/>
  <c r="CX171" i="8"/>
  <c r="BF173" i="26" s="1"/>
  <c r="CX172" i="8"/>
  <c r="BF174" i="26" s="1"/>
  <c r="CX173" i="8"/>
  <c r="BF175" i="26" s="1"/>
  <c r="CX174" i="8"/>
  <c r="BF176" i="26" s="1"/>
  <c r="CX175" i="8"/>
  <c r="BF177" i="26" s="1"/>
  <c r="CX176" i="8"/>
  <c r="BF178" i="26" s="1"/>
  <c r="BK178" i="26" s="1"/>
  <c r="CX177" i="8"/>
  <c r="BF179" i="26" s="1"/>
  <c r="CX178" i="8"/>
  <c r="BF180" i="26" s="1"/>
  <c r="CX179" i="8"/>
  <c r="BF181" i="26" s="1"/>
  <c r="CX180" i="8"/>
  <c r="BF182" i="26" s="1"/>
  <c r="CX181" i="8"/>
  <c r="BF183" i="26" s="1"/>
  <c r="CX182" i="8"/>
  <c r="BF184" i="26" s="1"/>
  <c r="CX183" i="8"/>
  <c r="BF185" i="26" s="1"/>
  <c r="CX184" i="8"/>
  <c r="BF186" i="26" s="1"/>
  <c r="CX185" i="8"/>
  <c r="BF187" i="26" s="1"/>
  <c r="CX186" i="8"/>
  <c r="BF188" i="26" s="1"/>
  <c r="CX187" i="8"/>
  <c r="BF189" i="26" s="1"/>
  <c r="CX188" i="8"/>
  <c r="BF190" i="26" s="1"/>
  <c r="CX189" i="8"/>
  <c r="BF191" i="26" s="1"/>
  <c r="CX190" i="8"/>
  <c r="BF192" i="26" s="1"/>
  <c r="CX191" i="8"/>
  <c r="BF193" i="26" s="1"/>
  <c r="CX192" i="8"/>
  <c r="BF194" i="26" s="1"/>
  <c r="CX193" i="8"/>
  <c r="BF195" i="26" s="1"/>
  <c r="CX194" i="8"/>
  <c r="BF196" i="26" s="1"/>
  <c r="CX195" i="8"/>
  <c r="BF197" i="26" s="1"/>
  <c r="BK197" i="26" s="1"/>
  <c r="CX196" i="8"/>
  <c r="BF198" i="26" s="1"/>
  <c r="BK198" i="26" s="1"/>
  <c r="CX197" i="8"/>
  <c r="BF199" i="26" s="1"/>
  <c r="BK199" i="26" s="1"/>
  <c r="CX198" i="8"/>
  <c r="BF200" i="26" s="1"/>
  <c r="BK200" i="26" s="1"/>
  <c r="CX199" i="8"/>
  <c r="BF201" i="26" s="1"/>
  <c r="BK201" i="26" s="1"/>
  <c r="CX200" i="8"/>
  <c r="BF202" i="26" s="1"/>
  <c r="BK202" i="26" s="1"/>
  <c r="CX201" i="8"/>
  <c r="BF203" i="26" s="1"/>
  <c r="CX202" i="8"/>
  <c r="BF204" i="26" s="1"/>
  <c r="CX203" i="8"/>
  <c r="BF205" i="26" s="1"/>
  <c r="CX204" i="8"/>
  <c r="BF206" i="26" s="1"/>
  <c r="CX205" i="8"/>
  <c r="BF207" i="26" s="1"/>
  <c r="CX206" i="8"/>
  <c r="BF208" i="26" s="1"/>
  <c r="CX207" i="8"/>
  <c r="BF209" i="26" s="1"/>
  <c r="CX208" i="8"/>
  <c r="BF210" i="26" s="1"/>
  <c r="CX209" i="8"/>
  <c r="BF211" i="26" s="1"/>
  <c r="CX210" i="8"/>
  <c r="BF212" i="26" s="1"/>
  <c r="CX211" i="8"/>
  <c r="BF213" i="26" s="1"/>
  <c r="CX212" i="8"/>
  <c r="BF214" i="26" s="1"/>
  <c r="CX213" i="8"/>
  <c r="BF215" i="26" s="1"/>
  <c r="CX214" i="8"/>
  <c r="BF216" i="26" s="1"/>
  <c r="BK216" i="26" s="1"/>
  <c r="CX215" i="8"/>
  <c r="BF217" i="26" s="1"/>
  <c r="CX216" i="8"/>
  <c r="BF218" i="26" s="1"/>
  <c r="CX217" i="8"/>
  <c r="BF219" i="26" s="1"/>
  <c r="CX218" i="8"/>
  <c r="BF220" i="26" s="1"/>
  <c r="CX219" i="8"/>
  <c r="BF221" i="26" s="1"/>
  <c r="CX220" i="8"/>
  <c r="BF222" i="26" s="1"/>
  <c r="CX221" i="8"/>
  <c r="BF223" i="26" s="1"/>
  <c r="CX222" i="8"/>
  <c r="BF224" i="26" s="1"/>
  <c r="CX223" i="8"/>
  <c r="BF225" i="26" s="1"/>
  <c r="CX224" i="8"/>
  <c r="BF226" i="26" s="1"/>
  <c r="CX225" i="8"/>
  <c r="BF227" i="26" s="1"/>
  <c r="CX226" i="8"/>
  <c r="BF228" i="26" s="1"/>
  <c r="CX227" i="8"/>
  <c r="BF229" i="26" s="1"/>
  <c r="CX228" i="8"/>
  <c r="BF230" i="26" s="1"/>
  <c r="CX229" i="8"/>
  <c r="BF231" i="26" s="1"/>
  <c r="CX230" i="8"/>
  <c r="BF232" i="26" s="1"/>
  <c r="CX231" i="8"/>
  <c r="BF233" i="26" s="1"/>
  <c r="CX232" i="8"/>
  <c r="BF234" i="26" s="1"/>
  <c r="CX233" i="8"/>
  <c r="BF235" i="26" s="1"/>
  <c r="CX234" i="8"/>
  <c r="BF236" i="26" s="1"/>
  <c r="CX235" i="8"/>
  <c r="BF237" i="26" s="1"/>
  <c r="BK237" i="26" s="1"/>
  <c r="CX236" i="8"/>
  <c r="BF238" i="26" s="1"/>
  <c r="BK238" i="26" s="1"/>
  <c r="CX237" i="8"/>
  <c r="BF239" i="26" s="1"/>
  <c r="CX238" i="8"/>
  <c r="BF240" i="26" s="1"/>
  <c r="CX239" i="8"/>
  <c r="BF241" i="26" s="1"/>
  <c r="CX240" i="8"/>
  <c r="BF242" i="26" s="1"/>
  <c r="CX241" i="8"/>
  <c r="BF243" i="26" s="1"/>
  <c r="BK243" i="26" s="1"/>
  <c r="CX242" i="8"/>
  <c r="BF244" i="26" s="1"/>
  <c r="CX243" i="8"/>
  <c r="BF245" i="26" s="1"/>
  <c r="BK245" i="26" s="1"/>
  <c r="CX244" i="8"/>
  <c r="BF246" i="26" s="1"/>
  <c r="BK246" i="26" s="1"/>
  <c r="CX245" i="8"/>
  <c r="BF247" i="26" s="1"/>
  <c r="BK247" i="26" s="1"/>
  <c r="CX246" i="8"/>
  <c r="BF248" i="26" s="1"/>
  <c r="CX247" i="8"/>
  <c r="BF249" i="26" s="1"/>
  <c r="CX248" i="8"/>
  <c r="BF250" i="26" s="1"/>
  <c r="CX249" i="8"/>
  <c r="BF251" i="26" s="1"/>
  <c r="CX250" i="8"/>
  <c r="BF252" i="26" s="1"/>
  <c r="CX251" i="8"/>
  <c r="BF253" i="26" s="1"/>
  <c r="CX252" i="8"/>
  <c r="BF254" i="26" s="1"/>
  <c r="BK254" i="26" s="1"/>
  <c r="CX253" i="8"/>
  <c r="BF255" i="26" s="1"/>
  <c r="CX254" i="8"/>
  <c r="BF256" i="26" s="1"/>
  <c r="BK256" i="26" s="1"/>
  <c r="CX255" i="8"/>
  <c r="BF257" i="26" s="1"/>
  <c r="CX256" i="8"/>
  <c r="BF258" i="26" s="1"/>
  <c r="CX257" i="8"/>
  <c r="BF259" i="26" s="1"/>
  <c r="CX258" i="8"/>
  <c r="BF260" i="26" s="1"/>
  <c r="CX259" i="8"/>
  <c r="BF261" i="26" s="1"/>
  <c r="CX260" i="8"/>
  <c r="BF262" i="26" s="1"/>
  <c r="CX261" i="8"/>
  <c r="BF263" i="26" s="1"/>
  <c r="CX262" i="8"/>
  <c r="BF264" i="26" s="1"/>
  <c r="CX263" i="8"/>
  <c r="BF265" i="26" s="1"/>
  <c r="CX264" i="8"/>
  <c r="BF266" i="26" s="1"/>
  <c r="CX265" i="8"/>
  <c r="BF267" i="26" s="1"/>
  <c r="BK267" i="26" s="1"/>
  <c r="CX266" i="8"/>
  <c r="BF268" i="26" s="1"/>
  <c r="CX267" i="8"/>
  <c r="BF269" i="26" s="1"/>
  <c r="CX268" i="8"/>
  <c r="BF270" i="26" s="1"/>
  <c r="CX269" i="8"/>
  <c r="BF271" i="26" s="1"/>
  <c r="CX270" i="8"/>
  <c r="BF272" i="26" s="1"/>
  <c r="CX271" i="8"/>
  <c r="BF273" i="26" s="1"/>
  <c r="CX272" i="8"/>
  <c r="BF274" i="26" s="1"/>
  <c r="CX273" i="8"/>
  <c r="BF275" i="26" s="1"/>
  <c r="CX274" i="8"/>
  <c r="BF276" i="26" s="1"/>
  <c r="CX275" i="8"/>
  <c r="BF277" i="26" s="1"/>
  <c r="CX276" i="8"/>
  <c r="BF278" i="26" s="1"/>
  <c r="CX277" i="8"/>
  <c r="BF279" i="26" s="1"/>
  <c r="CX278" i="8"/>
  <c r="BF280" i="26" s="1"/>
  <c r="CX279" i="8"/>
  <c r="BF281" i="26" s="1"/>
  <c r="CX280" i="8"/>
  <c r="BF282" i="26" s="1"/>
  <c r="CX281" i="8"/>
  <c r="BF283" i="26" s="1"/>
  <c r="CX282" i="8"/>
  <c r="BF284" i="26" s="1"/>
  <c r="CX283" i="8"/>
  <c r="BF285" i="26" s="1"/>
  <c r="CX284" i="8"/>
  <c r="BF286" i="26" s="1"/>
  <c r="CX285" i="8"/>
  <c r="BF287" i="26" s="1"/>
  <c r="CX286" i="8"/>
  <c r="BF288" i="26" s="1"/>
  <c r="CX287" i="8"/>
  <c r="BF289" i="26" s="1"/>
  <c r="CX288" i="8"/>
  <c r="BF290" i="26" s="1"/>
  <c r="CX289" i="8"/>
  <c r="BF291" i="26" s="1"/>
  <c r="CX290" i="8"/>
  <c r="BF292" i="26" s="1"/>
  <c r="BK292" i="26" s="1"/>
  <c r="CX291" i="8"/>
  <c r="BF293" i="26" s="1"/>
  <c r="BK293" i="26" s="1"/>
  <c r="CX292" i="8"/>
  <c r="BF294" i="26" s="1"/>
  <c r="BK294" i="26" s="1"/>
  <c r="CX293" i="8"/>
  <c r="BF295" i="26" s="1"/>
  <c r="CX294" i="8"/>
  <c r="BF296" i="26" s="1"/>
  <c r="CX295" i="8"/>
  <c r="BF297" i="26" s="1"/>
  <c r="CX296" i="8"/>
  <c r="BF298" i="26" s="1"/>
  <c r="CX297" i="8"/>
  <c r="BF299" i="26" s="1"/>
  <c r="BK299" i="26" s="1"/>
  <c r="CX298" i="8"/>
  <c r="BF300" i="26" s="1"/>
  <c r="CX299" i="8"/>
  <c r="BF301" i="26" s="1"/>
  <c r="CX300" i="8"/>
  <c r="BF302" i="26" s="1"/>
  <c r="CX301" i="8"/>
  <c r="BF303" i="26" s="1"/>
  <c r="CX302" i="8"/>
  <c r="BF304" i="26" s="1"/>
  <c r="CX303" i="8"/>
  <c r="BF305" i="26" s="1"/>
  <c r="CX304" i="8"/>
  <c r="BF306" i="26" s="1"/>
  <c r="CX305" i="8"/>
  <c r="BF307" i="26" s="1"/>
  <c r="CX306" i="8"/>
  <c r="BF308" i="26" s="1"/>
  <c r="CX307" i="8"/>
  <c r="BF309" i="26" s="1"/>
  <c r="CX308" i="8"/>
  <c r="BF310" i="26" s="1"/>
  <c r="CX309" i="8"/>
  <c r="BF311" i="26" s="1"/>
  <c r="CX310" i="8"/>
  <c r="BF312" i="26" s="1"/>
  <c r="CX311" i="8"/>
  <c r="BF313" i="26" s="1"/>
  <c r="CX312" i="8"/>
  <c r="BF314" i="26" s="1"/>
  <c r="CX313" i="8"/>
  <c r="BF315" i="26" s="1"/>
  <c r="CX314" i="8"/>
  <c r="BF316" i="26" s="1"/>
  <c r="CX315" i="8"/>
  <c r="BF317" i="26" s="1"/>
  <c r="CX316" i="8"/>
  <c r="BF318" i="26" s="1"/>
  <c r="CX317" i="8"/>
  <c r="BF319" i="26" s="1"/>
  <c r="CX318" i="8"/>
  <c r="BF320" i="26" s="1"/>
  <c r="CX319" i="8"/>
  <c r="BF321" i="26" s="1"/>
  <c r="CX320" i="8"/>
  <c r="BF322" i="26" s="1"/>
  <c r="CX321" i="8"/>
  <c r="BF323" i="26" s="1"/>
  <c r="CX322" i="8"/>
  <c r="BF324" i="26" s="1"/>
  <c r="CX323" i="8"/>
  <c r="BF325" i="26" s="1"/>
  <c r="CX324" i="8"/>
  <c r="BF326" i="26" s="1"/>
  <c r="CX325" i="8"/>
  <c r="BF327" i="26" s="1"/>
  <c r="CX326" i="8"/>
  <c r="BF328" i="26" s="1"/>
  <c r="CX327" i="8"/>
  <c r="BF329" i="26" s="1"/>
  <c r="CX328" i="8"/>
  <c r="BF330" i="26" s="1"/>
  <c r="CX329" i="8"/>
  <c r="BF331" i="26" s="1"/>
  <c r="CX330" i="8"/>
  <c r="BF332" i="26" s="1"/>
  <c r="CX331" i="8"/>
  <c r="BF333" i="26" s="1"/>
  <c r="CX332" i="8"/>
  <c r="BF334" i="26" s="1"/>
  <c r="CX333" i="8"/>
  <c r="BF335" i="26" s="1"/>
  <c r="CX334" i="8"/>
  <c r="BF336" i="26" s="1"/>
  <c r="CX335" i="8"/>
  <c r="BF337" i="26" s="1"/>
  <c r="CX336" i="8"/>
  <c r="BF338" i="26" s="1"/>
  <c r="BK338" i="26" s="1"/>
  <c r="CX337" i="8"/>
  <c r="BF339" i="26" s="1"/>
  <c r="CX338" i="8"/>
  <c r="BF340" i="26" s="1"/>
  <c r="CX339" i="8"/>
  <c r="BF341" i="26" s="1"/>
  <c r="CX340" i="8"/>
  <c r="BF342" i="26" s="1"/>
  <c r="CX341" i="8"/>
  <c r="BF343" i="26" s="1"/>
  <c r="CX342" i="8"/>
  <c r="BF344" i="26" s="1"/>
  <c r="CX343" i="8"/>
  <c r="BF345" i="26" s="1"/>
  <c r="CX344" i="8"/>
  <c r="BF346" i="26" s="1"/>
  <c r="CX345" i="8"/>
  <c r="BF347" i="26" s="1"/>
  <c r="CX346" i="8"/>
  <c r="BF348" i="26" s="1"/>
  <c r="CX347" i="8"/>
  <c r="BF349" i="26" s="1"/>
  <c r="CX348" i="8"/>
  <c r="BF350" i="26" s="1"/>
  <c r="CX349" i="8"/>
  <c r="BF351" i="26" s="1"/>
  <c r="CX350" i="8"/>
  <c r="BF352" i="26" s="1"/>
  <c r="CX351" i="8"/>
  <c r="BF353" i="26" s="1"/>
  <c r="CX352" i="8"/>
  <c r="BF354" i="26" s="1"/>
  <c r="CX353" i="8"/>
  <c r="BF355" i="26" s="1"/>
  <c r="CX354" i="8"/>
  <c r="BF356" i="26" s="1"/>
  <c r="CX355" i="8"/>
  <c r="BF357" i="26" s="1"/>
  <c r="CX356" i="8"/>
  <c r="BF358" i="26" s="1"/>
  <c r="CX357" i="8"/>
  <c r="BF359" i="26" s="1"/>
  <c r="CX358" i="8"/>
  <c r="BF360" i="26" s="1"/>
  <c r="CX359" i="8"/>
  <c r="BF361" i="26" s="1"/>
  <c r="CX360" i="8"/>
  <c r="BF362" i="26" s="1"/>
  <c r="CX361" i="8"/>
  <c r="BF363" i="26" s="1"/>
  <c r="CX362" i="8"/>
  <c r="BF364" i="26" s="1"/>
  <c r="CX363" i="8"/>
  <c r="BF365" i="26" s="1"/>
  <c r="CX364" i="8"/>
  <c r="BF366" i="26" s="1"/>
  <c r="CX365" i="8"/>
  <c r="BF367" i="26" s="1"/>
  <c r="CX366" i="8"/>
  <c r="BF368" i="26" s="1"/>
  <c r="CX367" i="8"/>
  <c r="BF369" i="26" s="1"/>
  <c r="CX368" i="8"/>
  <c r="BF370" i="26" s="1"/>
  <c r="CX369" i="8"/>
  <c r="BF371" i="26" s="1"/>
  <c r="CX370" i="8"/>
  <c r="BF372" i="26" s="1"/>
  <c r="CX371" i="8"/>
  <c r="BF373" i="26" s="1"/>
  <c r="CX372" i="8"/>
  <c r="BF374" i="26" s="1"/>
  <c r="CX373" i="8"/>
  <c r="BF375" i="26" s="1"/>
  <c r="CX374" i="8"/>
  <c r="BF376" i="26" s="1"/>
  <c r="CX375" i="8"/>
  <c r="BF377" i="26" s="1"/>
  <c r="CX376" i="8"/>
  <c r="BF378" i="26" s="1"/>
  <c r="CX377" i="8"/>
  <c r="BF379" i="26" s="1"/>
  <c r="CX378" i="8"/>
  <c r="BF380" i="26" s="1"/>
  <c r="CX379" i="8"/>
  <c r="BF381" i="26" s="1"/>
  <c r="CX380" i="8"/>
  <c r="BF382" i="26" s="1"/>
  <c r="CX381" i="8"/>
  <c r="BF383" i="26" s="1"/>
  <c r="CX382" i="8"/>
  <c r="BF384" i="26" s="1"/>
  <c r="CX383" i="8"/>
  <c r="BF385" i="26" s="1"/>
  <c r="CX384" i="8"/>
  <c r="BF386" i="26" s="1"/>
  <c r="BK386" i="26" s="1"/>
  <c r="CX385" i="8"/>
  <c r="BF387" i="26" s="1"/>
  <c r="CX386" i="8"/>
  <c r="BF388" i="26" s="1"/>
  <c r="CX387" i="8"/>
  <c r="BF389" i="26" s="1"/>
  <c r="CX388" i="8"/>
  <c r="BF390" i="26" s="1"/>
  <c r="BK390" i="26" s="1"/>
  <c r="CX389" i="8"/>
  <c r="BF391" i="26" s="1"/>
  <c r="CX390" i="8"/>
  <c r="BF392" i="26" s="1"/>
  <c r="BK392" i="26" s="1"/>
  <c r="CX391" i="8"/>
  <c r="BF393" i="26" s="1"/>
  <c r="CX392" i="8"/>
  <c r="BF394" i="26" s="1"/>
  <c r="CX393" i="8"/>
  <c r="BF395" i="26" s="1"/>
  <c r="CX394" i="8"/>
  <c r="BF396" i="26" s="1"/>
  <c r="CX395" i="8"/>
  <c r="BF397" i="26" s="1"/>
  <c r="CX396" i="8"/>
  <c r="BF398" i="26" s="1"/>
  <c r="BK398" i="26" s="1"/>
  <c r="CX397" i="8"/>
  <c r="BF399" i="26" s="1"/>
  <c r="CX398" i="8"/>
  <c r="BF400" i="26" s="1"/>
  <c r="CX399" i="8"/>
  <c r="BF401" i="26" s="1"/>
  <c r="BK401" i="26" s="1"/>
  <c r="CX400" i="8"/>
  <c r="BF402" i="26" s="1"/>
  <c r="CX401" i="8"/>
  <c r="BF403" i="26" s="1"/>
  <c r="CX402" i="8"/>
  <c r="BF404" i="26" s="1"/>
  <c r="BK404" i="26" s="1"/>
  <c r="CX403" i="8"/>
  <c r="BF405" i="26" s="1"/>
  <c r="BK405" i="26" s="1"/>
  <c r="CX404" i="8"/>
  <c r="BF406" i="26" s="1"/>
  <c r="CX405" i="8"/>
  <c r="BF407" i="26" s="1"/>
  <c r="CX406" i="8"/>
  <c r="BF408" i="26" s="1"/>
  <c r="CX407" i="8"/>
  <c r="BF409" i="26" s="1"/>
  <c r="CX408" i="8"/>
  <c r="BF410" i="26" s="1"/>
  <c r="CX409" i="8"/>
  <c r="BF411" i="26" s="1"/>
  <c r="CX410" i="8"/>
  <c r="BF412" i="26" s="1"/>
  <c r="CX411" i="8"/>
  <c r="BF413" i="26" s="1"/>
  <c r="CX412" i="8"/>
  <c r="BF414" i="26" s="1"/>
  <c r="CX413" i="8"/>
  <c r="BF415" i="26" s="1"/>
  <c r="CX414" i="8"/>
  <c r="BF416" i="26" s="1"/>
  <c r="CX415" i="8"/>
  <c r="BF417" i="26" s="1"/>
  <c r="BK417" i="26" s="1"/>
  <c r="CX416" i="8"/>
  <c r="BF418" i="26" s="1"/>
  <c r="CX417" i="8"/>
  <c r="BF419" i="26" s="1"/>
  <c r="CX418" i="8"/>
  <c r="BF420" i="26" s="1"/>
  <c r="CX419" i="8"/>
  <c r="BF421" i="26" s="1"/>
  <c r="BK421" i="26" s="1"/>
  <c r="CX420" i="8"/>
  <c r="BF422" i="26" s="1"/>
  <c r="BK422" i="26" s="1"/>
  <c r="CX421" i="8"/>
  <c r="BF423" i="26" s="1"/>
  <c r="BK423" i="26" s="1"/>
  <c r="CX422" i="8"/>
  <c r="BF424" i="26" s="1"/>
  <c r="CX423" i="8"/>
  <c r="BF425" i="26" s="1"/>
  <c r="CX424" i="8"/>
  <c r="BF426" i="26" s="1"/>
  <c r="CX425" i="8"/>
  <c r="BF427" i="26" s="1"/>
  <c r="CX426" i="8"/>
  <c r="BF428" i="26" s="1"/>
  <c r="CX427" i="8"/>
  <c r="BF429" i="26" s="1"/>
  <c r="CX428" i="8"/>
  <c r="BF430" i="26" s="1"/>
  <c r="BK430" i="26" s="1"/>
  <c r="CX429" i="8"/>
  <c r="BF431" i="26" s="1"/>
  <c r="CX430" i="8"/>
  <c r="BF432" i="26" s="1"/>
  <c r="CX431" i="8"/>
  <c r="BF433" i="26" s="1"/>
  <c r="CX432" i="8"/>
  <c r="BF434" i="26" s="1"/>
  <c r="BK434" i="26" s="1"/>
  <c r="CX433" i="8"/>
  <c r="BF435" i="26" s="1"/>
  <c r="CX434" i="8"/>
  <c r="BF436" i="26" s="1"/>
  <c r="CX435" i="8"/>
  <c r="BF437" i="26" s="1"/>
  <c r="CX436" i="8"/>
  <c r="BF438" i="26" s="1"/>
  <c r="CX437" i="8"/>
  <c r="BF439" i="26" s="1"/>
  <c r="CX438" i="8"/>
  <c r="BF440" i="26" s="1"/>
  <c r="CX439" i="8"/>
  <c r="BF441" i="26" s="1"/>
  <c r="CX440" i="8"/>
  <c r="BF442" i="26" s="1"/>
  <c r="CX441" i="8"/>
  <c r="BF443" i="26" s="1"/>
  <c r="CX442" i="8"/>
  <c r="BF444" i="26" s="1"/>
  <c r="CX443" i="8"/>
  <c r="BF445" i="26" s="1"/>
  <c r="CX444" i="8"/>
  <c r="BF446" i="26" s="1"/>
  <c r="CX445" i="8"/>
  <c r="BF447" i="26" s="1"/>
  <c r="CX446" i="8"/>
  <c r="BF448" i="26" s="1"/>
  <c r="CX447" i="8"/>
  <c r="BF449" i="26" s="1"/>
  <c r="CX448" i="8"/>
  <c r="BF450" i="26" s="1"/>
  <c r="CX449" i="8"/>
  <c r="BF451" i="26" s="1"/>
  <c r="CX450" i="8"/>
  <c r="BF452" i="26" s="1"/>
  <c r="CX451" i="8"/>
  <c r="BF453" i="26" s="1"/>
  <c r="CX452" i="8"/>
  <c r="BF454" i="26" s="1"/>
  <c r="CX453" i="8"/>
  <c r="BF455" i="26" s="1"/>
  <c r="CX454" i="8"/>
  <c r="BF456" i="26" s="1"/>
  <c r="CX455" i="8"/>
  <c r="BF457" i="26" s="1"/>
  <c r="CX456" i="8"/>
  <c r="BF458" i="26" s="1"/>
  <c r="CX457" i="8"/>
  <c r="BF459" i="26" s="1"/>
  <c r="CX458" i="8"/>
  <c r="BF460" i="26" s="1"/>
  <c r="CX459" i="8"/>
  <c r="BF461" i="26" s="1"/>
  <c r="CX460" i="8"/>
  <c r="BF462" i="26" s="1"/>
  <c r="BK462" i="26" s="1"/>
  <c r="CX461" i="8"/>
  <c r="BF463" i="26" s="1"/>
  <c r="CX462" i="8"/>
  <c r="BF464" i="26" s="1"/>
  <c r="BK464" i="26" s="1"/>
  <c r="CX463" i="8"/>
  <c r="BF465" i="26" s="1"/>
  <c r="CX464" i="8"/>
  <c r="BF466" i="26" s="1"/>
  <c r="CX465" i="8"/>
  <c r="BF467" i="26" s="1"/>
  <c r="CX466" i="8"/>
  <c r="BF468" i="26" s="1"/>
  <c r="CX467" i="8"/>
  <c r="BF469" i="26" s="1"/>
  <c r="BK469" i="26" s="1"/>
  <c r="CX468" i="8"/>
  <c r="BF470" i="26" s="1"/>
  <c r="CX469" i="8"/>
  <c r="BF471" i="26" s="1"/>
  <c r="BK471" i="26" s="1"/>
  <c r="CX470" i="8"/>
  <c r="BF472" i="26" s="1"/>
  <c r="CX471" i="8"/>
  <c r="BF473" i="26" s="1"/>
  <c r="CX472" i="8"/>
  <c r="BF474" i="26" s="1"/>
  <c r="CX473" i="8"/>
  <c r="BF475" i="26" s="1"/>
  <c r="CX474" i="8"/>
  <c r="BF476" i="26" s="1"/>
  <c r="CX475" i="8"/>
  <c r="BF477" i="26" s="1"/>
  <c r="CX476" i="8"/>
  <c r="BF478" i="26" s="1"/>
  <c r="CX477" i="8"/>
  <c r="BF479" i="26" s="1"/>
  <c r="CX478" i="8"/>
  <c r="BF480" i="26" s="1"/>
  <c r="CX479" i="8"/>
  <c r="BF481" i="26" s="1"/>
  <c r="CX480" i="8"/>
  <c r="BF482" i="26" s="1"/>
  <c r="CX481" i="8"/>
  <c r="BF483" i="26" s="1"/>
  <c r="CX482" i="8"/>
  <c r="BF484" i="26" s="1"/>
  <c r="CX483" i="8"/>
  <c r="BF485" i="26" s="1"/>
  <c r="CX484" i="8"/>
  <c r="BF486" i="26" s="1"/>
  <c r="CX485" i="8"/>
  <c r="BF487" i="26" s="1"/>
  <c r="CX486" i="8"/>
  <c r="BF488" i="26" s="1"/>
  <c r="CX487" i="8"/>
  <c r="BF489" i="26" s="1"/>
  <c r="CX488" i="8"/>
  <c r="BF490" i="26" s="1"/>
  <c r="CX489" i="8"/>
  <c r="BF491" i="26" s="1"/>
  <c r="CX490" i="8"/>
  <c r="BF492" i="26" s="1"/>
  <c r="CX491" i="8"/>
  <c r="BF493" i="26" s="1"/>
  <c r="CX492" i="8"/>
  <c r="BF494" i="26" s="1"/>
  <c r="CX493" i="8"/>
  <c r="BF495" i="26" s="1"/>
  <c r="CX494" i="8"/>
  <c r="BF496" i="26" s="1"/>
  <c r="CX495" i="8"/>
  <c r="BF497" i="26" s="1"/>
  <c r="CX496" i="8"/>
  <c r="BF498" i="26" s="1"/>
  <c r="CX497" i="8"/>
  <c r="BF499" i="26" s="1"/>
  <c r="CX498" i="8"/>
  <c r="BF500" i="26" s="1"/>
  <c r="CX499" i="8"/>
  <c r="BF501" i="26" s="1"/>
  <c r="CX500" i="8"/>
  <c r="BF502" i="26" s="1"/>
  <c r="CX501" i="8"/>
  <c r="BF503" i="26" s="1"/>
  <c r="CX502" i="8"/>
  <c r="BF504" i="26" s="1"/>
  <c r="CX503" i="8"/>
  <c r="BF505" i="26" s="1"/>
  <c r="BK505" i="26" s="1"/>
  <c r="CX504" i="8"/>
  <c r="BF506" i="26" s="1"/>
  <c r="BK506" i="26" s="1"/>
  <c r="CX505" i="8"/>
  <c r="BF507" i="26" s="1"/>
  <c r="BK507" i="26" s="1"/>
  <c r="CX506" i="8"/>
  <c r="BF508" i="26" s="1"/>
  <c r="BK508" i="26" s="1"/>
  <c r="CX507" i="8"/>
  <c r="BF509" i="26" s="1"/>
  <c r="CX508" i="8"/>
  <c r="BF510" i="26" s="1"/>
  <c r="BK510" i="26" s="1"/>
  <c r="CX509" i="8"/>
  <c r="BF511" i="26" s="1"/>
  <c r="BK511" i="26" s="1"/>
  <c r="CX510" i="8"/>
  <c r="BF512" i="26" s="1"/>
  <c r="BK512" i="26" s="1"/>
  <c r="CX511" i="8"/>
  <c r="BF513" i="26" s="1"/>
  <c r="BK513" i="26" s="1"/>
  <c r="CX512" i="8"/>
  <c r="BF514" i="26" s="1"/>
  <c r="CX513" i="8"/>
  <c r="BF515" i="26" s="1"/>
  <c r="CX514" i="8"/>
  <c r="BF516" i="26" s="1"/>
  <c r="BK516" i="26" s="1"/>
  <c r="CX515" i="8"/>
  <c r="BF517" i="26" s="1"/>
  <c r="BK517" i="26" s="1"/>
  <c r="CX516" i="8"/>
  <c r="BF518" i="26" s="1"/>
  <c r="CX517" i="8"/>
  <c r="BF519" i="26" s="1"/>
  <c r="CX518" i="8"/>
  <c r="BF520" i="26" s="1"/>
  <c r="CX519" i="8"/>
  <c r="BF521" i="26" s="1"/>
  <c r="CX520" i="8"/>
  <c r="BF522" i="26" s="1"/>
  <c r="CX521" i="8"/>
  <c r="BF523" i="26" s="1"/>
  <c r="BK523" i="26" s="1"/>
  <c r="CX522" i="8"/>
  <c r="BF524" i="26" s="1"/>
  <c r="CX523" i="8"/>
  <c r="BF525" i="26" s="1"/>
  <c r="BK525" i="26" s="1"/>
  <c r="CX524" i="8"/>
  <c r="BF526" i="26" s="1"/>
  <c r="CX525" i="8"/>
  <c r="BF527" i="26" s="1"/>
  <c r="BK527" i="26" s="1"/>
  <c r="CX526" i="8"/>
  <c r="BF528" i="26" s="1"/>
  <c r="BK528" i="26" s="1"/>
  <c r="CX527" i="8"/>
  <c r="BF529" i="26" s="1"/>
  <c r="CX528" i="8"/>
  <c r="BF530" i="26" s="1"/>
  <c r="BK530" i="26" s="1"/>
  <c r="CX529" i="8"/>
  <c r="BF531" i="26" s="1"/>
  <c r="BK531" i="26" s="1"/>
  <c r="CX530" i="8"/>
  <c r="BF532" i="26" s="1"/>
  <c r="BK532" i="26" s="1"/>
  <c r="CX531" i="8"/>
  <c r="BF533" i="26" s="1"/>
  <c r="CX532" i="8"/>
  <c r="BF534" i="26" s="1"/>
  <c r="CX533" i="8"/>
  <c r="BF535" i="26" s="1"/>
  <c r="CX534" i="8"/>
  <c r="BF536" i="26" s="1"/>
  <c r="CX535" i="8"/>
  <c r="BF537" i="26" s="1"/>
  <c r="CX536" i="8"/>
  <c r="BF538" i="26" s="1"/>
  <c r="CX537" i="8"/>
  <c r="BF539" i="26" s="1"/>
  <c r="CX538" i="8"/>
  <c r="BF540" i="26" s="1"/>
  <c r="CX539" i="8"/>
  <c r="BF541" i="26" s="1"/>
  <c r="CX540" i="8"/>
  <c r="BF542" i="26" s="1"/>
  <c r="BK542" i="26" s="1"/>
  <c r="CX541" i="8"/>
  <c r="BF543" i="26" s="1"/>
  <c r="BK543" i="26" s="1"/>
  <c r="CX542" i="8"/>
  <c r="BF544" i="26" s="1"/>
  <c r="BK544" i="26" s="1"/>
  <c r="CX543" i="8"/>
  <c r="BF545" i="26" s="1"/>
  <c r="BK545" i="26" s="1"/>
  <c r="CX544" i="8"/>
  <c r="BF546" i="26" s="1"/>
  <c r="CX545" i="8"/>
  <c r="BF547" i="26" s="1"/>
  <c r="CX546" i="8"/>
  <c r="BF548" i="26" s="1"/>
  <c r="BK548" i="26" s="1"/>
  <c r="CX547" i="8"/>
  <c r="BF549" i="26" s="1"/>
  <c r="CX548" i="8"/>
  <c r="BF550" i="26" s="1"/>
  <c r="BK550" i="26" s="1"/>
  <c r="CX549" i="8"/>
  <c r="BF551" i="26" s="1"/>
  <c r="BK551" i="26" s="1"/>
  <c r="CX550" i="8"/>
  <c r="BF552" i="26" s="1"/>
  <c r="BK552" i="26" s="1"/>
  <c r="CX551" i="8"/>
  <c r="BF553" i="26" s="1"/>
  <c r="BK553" i="26" s="1"/>
  <c r="CX552" i="8"/>
  <c r="BF554" i="26" s="1"/>
  <c r="BK554" i="26" s="1"/>
  <c r="CX553" i="8"/>
  <c r="BF555" i="26" s="1"/>
  <c r="BK555" i="26" s="1"/>
  <c r="CX554" i="8"/>
  <c r="BF556" i="26" s="1"/>
  <c r="BK556" i="26" s="1"/>
  <c r="CX555" i="8"/>
  <c r="BF557" i="26" s="1"/>
  <c r="BK557" i="26" s="1"/>
  <c r="CX556" i="8"/>
  <c r="BF558" i="26" s="1"/>
  <c r="BK558" i="26" s="1"/>
  <c r="CX557" i="8"/>
  <c r="BF559" i="26" s="1"/>
  <c r="BK559" i="26" s="1"/>
  <c r="CX558" i="8"/>
  <c r="BF560" i="26" s="1"/>
  <c r="BK560" i="26" s="1"/>
  <c r="CX559" i="8"/>
  <c r="BF561" i="26" s="1"/>
  <c r="CX560" i="8"/>
  <c r="BF562" i="26" s="1"/>
  <c r="BK562" i="26" s="1"/>
  <c r="CX561" i="8"/>
  <c r="BF563" i="26" s="1"/>
  <c r="CX562" i="8"/>
  <c r="BF564" i="26" s="1"/>
  <c r="CX563" i="8"/>
  <c r="BF565" i="26" s="1"/>
  <c r="CX564" i="8"/>
  <c r="BF566" i="26" s="1"/>
  <c r="CX565" i="8"/>
  <c r="BF567" i="26" s="1"/>
  <c r="CX566" i="8"/>
  <c r="BF568" i="26" s="1"/>
  <c r="CX567" i="8"/>
  <c r="BF569" i="26" s="1"/>
  <c r="BK569" i="26" s="1"/>
  <c r="CX568" i="8"/>
  <c r="BF570" i="26" s="1"/>
  <c r="CX569" i="8"/>
  <c r="BF571" i="26" s="1"/>
  <c r="CX570" i="8"/>
  <c r="BF572" i="26" s="1"/>
  <c r="CX571" i="8"/>
  <c r="BF573" i="26" s="1"/>
  <c r="CX572" i="8"/>
  <c r="BF574" i="26" s="1"/>
  <c r="CX573" i="8"/>
  <c r="BF575" i="26" s="1"/>
  <c r="CX574" i="8"/>
  <c r="BF576" i="26" s="1"/>
  <c r="CX575" i="8"/>
  <c r="BF577" i="26" s="1"/>
  <c r="CX576" i="8"/>
  <c r="BF578" i="26" s="1"/>
  <c r="CX577" i="8"/>
  <c r="BF579" i="26" s="1"/>
  <c r="CX578" i="8"/>
  <c r="BF580" i="26" s="1"/>
  <c r="CX579" i="8"/>
  <c r="BF581" i="26" s="1"/>
  <c r="CX580" i="8"/>
  <c r="BF582" i="26" s="1"/>
  <c r="CX581" i="8"/>
  <c r="BF583" i="26" s="1"/>
  <c r="CX582" i="8"/>
  <c r="BF584" i="26" s="1"/>
  <c r="CX583" i="8"/>
  <c r="BF585" i="26" s="1"/>
  <c r="CX584" i="8"/>
  <c r="BF586" i="26" s="1"/>
  <c r="CX585" i="8"/>
  <c r="BF587" i="26" s="1"/>
  <c r="CX586" i="8"/>
  <c r="BF588" i="26" s="1"/>
  <c r="CX587" i="8"/>
  <c r="BF589" i="26" s="1"/>
  <c r="CX588" i="8"/>
  <c r="BF590" i="26" s="1"/>
  <c r="CX589" i="8"/>
  <c r="BF591" i="26" s="1"/>
  <c r="CX590" i="8"/>
  <c r="BF592" i="26" s="1"/>
  <c r="CX591" i="8"/>
  <c r="BF593" i="26" s="1"/>
  <c r="CX592" i="8"/>
  <c r="BF594" i="26" s="1"/>
  <c r="CX593" i="8"/>
  <c r="BF595" i="26" s="1"/>
  <c r="CX594" i="8"/>
  <c r="BF596" i="26" s="1"/>
  <c r="CX595" i="8"/>
  <c r="BF597" i="26" s="1"/>
  <c r="CX596" i="8"/>
  <c r="BF598" i="26" s="1"/>
  <c r="CX597" i="8"/>
  <c r="BF599" i="26" s="1"/>
  <c r="CX598" i="8"/>
  <c r="BF600" i="26" s="1"/>
  <c r="CX599" i="8"/>
  <c r="BF601" i="26" s="1"/>
  <c r="CX600" i="8"/>
  <c r="BF602" i="26" s="1"/>
  <c r="CX601" i="8"/>
  <c r="BF603" i="26" s="1"/>
  <c r="CX602" i="8"/>
  <c r="BF604" i="26" s="1"/>
  <c r="CX603" i="8"/>
  <c r="BF605" i="26" s="1"/>
  <c r="CX604" i="8"/>
  <c r="BF606" i="26" s="1"/>
  <c r="CX605" i="8"/>
  <c r="BF607" i="26" s="1"/>
  <c r="CX606" i="8"/>
  <c r="BF608" i="26" s="1"/>
  <c r="CX607" i="8"/>
  <c r="BF609" i="26" s="1"/>
  <c r="CX608" i="8"/>
  <c r="BF610" i="26" s="1"/>
  <c r="CX609" i="8"/>
  <c r="BF611" i="26" s="1"/>
  <c r="CX610" i="8"/>
  <c r="BF612" i="26" s="1"/>
  <c r="CX611" i="8"/>
  <c r="BF613" i="26" s="1"/>
  <c r="CX612" i="8"/>
  <c r="BF614" i="26" s="1"/>
  <c r="CX613" i="8"/>
  <c r="BF615" i="26" s="1"/>
  <c r="CX614" i="8"/>
  <c r="BF616" i="26" s="1"/>
  <c r="CX615" i="8"/>
  <c r="BF617" i="26" s="1"/>
  <c r="CX616" i="8"/>
  <c r="BF618" i="26" s="1"/>
  <c r="CX617" i="8"/>
  <c r="BF619" i="26" s="1"/>
  <c r="CX618" i="8"/>
  <c r="BF620" i="26" s="1"/>
  <c r="CX619" i="8"/>
  <c r="BF621" i="26" s="1"/>
  <c r="CX620" i="8"/>
  <c r="BF622" i="26" s="1"/>
  <c r="BK622" i="26" s="1"/>
  <c r="CX621" i="8"/>
  <c r="BF623" i="26" s="1"/>
  <c r="CX622" i="8"/>
  <c r="BF624" i="26" s="1"/>
  <c r="BK624" i="26" s="1"/>
  <c r="CX623" i="8"/>
  <c r="BF625" i="26" s="1"/>
  <c r="CX624" i="8"/>
  <c r="BF626" i="26" s="1"/>
  <c r="BK626" i="26" s="1"/>
  <c r="CX625" i="8"/>
  <c r="BF627" i="26" s="1"/>
  <c r="CX626" i="8"/>
  <c r="BF628" i="26" s="1"/>
  <c r="CX627" i="8"/>
  <c r="BF629" i="26" s="1"/>
  <c r="CX628" i="8"/>
  <c r="BF630" i="26" s="1"/>
  <c r="CX629" i="8"/>
  <c r="BF631" i="26" s="1"/>
  <c r="CX630" i="8"/>
  <c r="BF632" i="26" s="1"/>
  <c r="BK632" i="26" s="1"/>
  <c r="CX631" i="8"/>
  <c r="BF633" i="26" s="1"/>
  <c r="BK633" i="26" s="1"/>
  <c r="CX632" i="8"/>
  <c r="BF634" i="26" s="1"/>
  <c r="BK634" i="26" s="1"/>
  <c r="CX633" i="8"/>
  <c r="BF635" i="26" s="1"/>
  <c r="CX634" i="8"/>
  <c r="BF636" i="26" s="1"/>
  <c r="BK636" i="26" s="1"/>
  <c r="CX635" i="8"/>
  <c r="BF637" i="26" s="1"/>
  <c r="BK637" i="26" s="1"/>
  <c r="CX636" i="8"/>
  <c r="BF638" i="26" s="1"/>
  <c r="BK638" i="26" s="1"/>
  <c r="CX637" i="8"/>
  <c r="BF639" i="26" s="1"/>
  <c r="BK639" i="26" s="1"/>
  <c r="CX638" i="8"/>
  <c r="BF640" i="26" s="1"/>
  <c r="BK640" i="26" s="1"/>
  <c r="CX639" i="8"/>
  <c r="BF641" i="26" s="1"/>
  <c r="BK641" i="26" s="1"/>
  <c r="CX640" i="8"/>
  <c r="BF642" i="26" s="1"/>
  <c r="BK642" i="26" s="1"/>
  <c r="CX641" i="8"/>
  <c r="BF643" i="26" s="1"/>
  <c r="BK643" i="26" s="1"/>
  <c r="CX642" i="8"/>
  <c r="BF644" i="26" s="1"/>
  <c r="CX643" i="8"/>
  <c r="BF645" i="26" s="1"/>
  <c r="CX644" i="8"/>
  <c r="BF646" i="26" s="1"/>
  <c r="BK646" i="26" s="1"/>
  <c r="CX645" i="8"/>
  <c r="BF647" i="26" s="1"/>
  <c r="BK647" i="26" s="1"/>
  <c r="CX646" i="8"/>
  <c r="BF648" i="26" s="1"/>
  <c r="CX647" i="8"/>
  <c r="BF649" i="26" s="1"/>
  <c r="BK649" i="26" s="1"/>
  <c r="CX648" i="8"/>
  <c r="BF650" i="26" s="1"/>
  <c r="BK650" i="26" s="1"/>
  <c r="CX649" i="8"/>
  <c r="BF651" i="26" s="1"/>
  <c r="CX650" i="8"/>
  <c r="BF652" i="26" s="1"/>
  <c r="BK652" i="26" s="1"/>
  <c r="CX651" i="8"/>
  <c r="BF653" i="26" s="1"/>
  <c r="BK653" i="26" s="1"/>
  <c r="CX652" i="8"/>
  <c r="BF654" i="26" s="1"/>
  <c r="BK654" i="26" s="1"/>
  <c r="CX653" i="8"/>
  <c r="BF655" i="26" s="1"/>
  <c r="BK655" i="26" s="1"/>
  <c r="CX654" i="8"/>
  <c r="BF656" i="26" s="1"/>
  <c r="CX655" i="8"/>
  <c r="BF657" i="26" s="1"/>
  <c r="CX656" i="8"/>
  <c r="BF658" i="26" s="1"/>
  <c r="CX657" i="8"/>
  <c r="BF659" i="26" s="1"/>
  <c r="CX658" i="8"/>
  <c r="BF660" i="26" s="1"/>
  <c r="CX659" i="8"/>
  <c r="BF661" i="26" s="1"/>
  <c r="CX660" i="8"/>
  <c r="BF662" i="26" s="1"/>
  <c r="BK662" i="26" s="1"/>
  <c r="CX661" i="8"/>
  <c r="BF663" i="26" s="1"/>
  <c r="CX662" i="8"/>
  <c r="BF664" i="26" s="1"/>
  <c r="CX663" i="8"/>
  <c r="BF665" i="26" s="1"/>
  <c r="CX664" i="8"/>
  <c r="BF666" i="26" s="1"/>
  <c r="CX665" i="8"/>
  <c r="BF667" i="26" s="1"/>
  <c r="CX666" i="8"/>
  <c r="BF668" i="26" s="1"/>
  <c r="CX667" i="8"/>
  <c r="BF669" i="26" s="1"/>
  <c r="CX668" i="8"/>
  <c r="BF670" i="26" s="1"/>
  <c r="BK670" i="26" s="1"/>
  <c r="CX669" i="8"/>
  <c r="BF671" i="26" s="1"/>
  <c r="BK671" i="26" s="1"/>
  <c r="CX670" i="8"/>
  <c r="BF672" i="26" s="1"/>
  <c r="CX671" i="8"/>
  <c r="BF673" i="26" s="1"/>
  <c r="CX672" i="8"/>
  <c r="BF674" i="26" s="1"/>
  <c r="CX673" i="8"/>
  <c r="BF675" i="26" s="1"/>
  <c r="BK675" i="26" s="1"/>
  <c r="CX674" i="8"/>
  <c r="BF676" i="26" s="1"/>
  <c r="CX675" i="8"/>
  <c r="BF677" i="26" s="1"/>
  <c r="BK677" i="26" s="1"/>
  <c r="CX676" i="8"/>
  <c r="BF678" i="26" s="1"/>
  <c r="CX677" i="8"/>
  <c r="BF679" i="26" s="1"/>
  <c r="CX678" i="8"/>
  <c r="BF680" i="26" s="1"/>
  <c r="CX679" i="8"/>
  <c r="BF681" i="26" s="1"/>
  <c r="CX680" i="8"/>
  <c r="BF682" i="26" s="1"/>
  <c r="CX681" i="8"/>
  <c r="BF683" i="26" s="1"/>
  <c r="CX682" i="8"/>
  <c r="BF684" i="26" s="1"/>
  <c r="CX683" i="8"/>
  <c r="BF685" i="26" s="1"/>
  <c r="CX684" i="8"/>
  <c r="BF686" i="26" s="1"/>
  <c r="BK686" i="26" s="1"/>
  <c r="CX685" i="8"/>
  <c r="BF687" i="26" s="1"/>
  <c r="CX686" i="8"/>
  <c r="BF688" i="26" s="1"/>
  <c r="CX687" i="8"/>
  <c r="BF689" i="26" s="1"/>
  <c r="CX688" i="8"/>
  <c r="BF690" i="26" s="1"/>
  <c r="BK690" i="26" s="1"/>
  <c r="CX689" i="8"/>
  <c r="BF691" i="26" s="1"/>
  <c r="CX690" i="8"/>
  <c r="BF692" i="26" s="1"/>
  <c r="CX691" i="8"/>
  <c r="BF693" i="26" s="1"/>
  <c r="CX692" i="8"/>
  <c r="BF694" i="26" s="1"/>
  <c r="CX693" i="8"/>
  <c r="BF695" i="26" s="1"/>
  <c r="CX694" i="8"/>
  <c r="BF696" i="26" s="1"/>
  <c r="CX695" i="8"/>
  <c r="BF697" i="26" s="1"/>
  <c r="CX696" i="8"/>
  <c r="BF698" i="26" s="1"/>
  <c r="CX697" i="8"/>
  <c r="BF699" i="26" s="1"/>
  <c r="CX698" i="8"/>
  <c r="BF700" i="26" s="1"/>
  <c r="CX699" i="8"/>
  <c r="BF701" i="26" s="1"/>
  <c r="CX700" i="8"/>
  <c r="BF702" i="26" s="1"/>
  <c r="CX701" i="8"/>
  <c r="BF703" i="26" s="1"/>
  <c r="CX702" i="8"/>
  <c r="BF704" i="26" s="1"/>
  <c r="CX703" i="8"/>
  <c r="BF705" i="26" s="1"/>
  <c r="BK705" i="26" s="1"/>
  <c r="CX704" i="8"/>
  <c r="BF706" i="26" s="1"/>
  <c r="CX705" i="8"/>
  <c r="BF707" i="26" s="1"/>
  <c r="CX706" i="8"/>
  <c r="BF708" i="26" s="1"/>
  <c r="CX707" i="8"/>
  <c r="BF709" i="26" s="1"/>
  <c r="CX708" i="8"/>
  <c r="BF710" i="26" s="1"/>
  <c r="CX709" i="8"/>
  <c r="BF711" i="26" s="1"/>
  <c r="CX710" i="8"/>
  <c r="BF712" i="26" s="1"/>
  <c r="BK712" i="26" s="1"/>
  <c r="CX711" i="8"/>
  <c r="BF713" i="26" s="1"/>
  <c r="CX712" i="8"/>
  <c r="BF714" i="26" s="1"/>
  <c r="CX713" i="8"/>
  <c r="BF715" i="26" s="1"/>
  <c r="CX714" i="8"/>
  <c r="BF716" i="26" s="1"/>
  <c r="CX715" i="8"/>
  <c r="BF717" i="26" s="1"/>
  <c r="CX716" i="8"/>
  <c r="BF718" i="26" s="1"/>
  <c r="CX717" i="8"/>
  <c r="BF719" i="26" s="1"/>
  <c r="CX718" i="8"/>
  <c r="BF720" i="26" s="1"/>
  <c r="CX719" i="8"/>
  <c r="BF721" i="26" s="1"/>
  <c r="CX720" i="8"/>
  <c r="BF722" i="26" s="1"/>
  <c r="CX721" i="8"/>
  <c r="BF723" i="26" s="1"/>
  <c r="CX722" i="8"/>
  <c r="BF724" i="26" s="1"/>
  <c r="CX723" i="8"/>
  <c r="BF725" i="26" s="1"/>
  <c r="CX724" i="8"/>
  <c r="BF726" i="26" s="1"/>
  <c r="CX725" i="8"/>
  <c r="BF727" i="26" s="1"/>
  <c r="CX726" i="8"/>
  <c r="BF728" i="26" s="1"/>
  <c r="CX727" i="8"/>
  <c r="BF729" i="26" s="1"/>
  <c r="CX728" i="8"/>
  <c r="BF730" i="26" s="1"/>
  <c r="CX729" i="8"/>
  <c r="BF731" i="26" s="1"/>
  <c r="CX730" i="8"/>
  <c r="BF732" i="26" s="1"/>
  <c r="BK732" i="26" s="1"/>
  <c r="CX731" i="8"/>
  <c r="BF733" i="26" s="1"/>
  <c r="CX732" i="8"/>
  <c r="BF734" i="26" s="1"/>
  <c r="CX733" i="8"/>
  <c r="BF735" i="26" s="1"/>
  <c r="CX734" i="8"/>
  <c r="BF736" i="26" s="1"/>
  <c r="CX735" i="8"/>
  <c r="BF737" i="26" s="1"/>
  <c r="CX736" i="8"/>
  <c r="BF738" i="26" s="1"/>
  <c r="CX737" i="8"/>
  <c r="BF739" i="26" s="1"/>
  <c r="CX738" i="8"/>
  <c r="BF740" i="26" s="1"/>
  <c r="CX739" i="8"/>
  <c r="BF741" i="26" s="1"/>
  <c r="CX740" i="8"/>
  <c r="BF742" i="26" s="1"/>
  <c r="BK742" i="26" s="1"/>
  <c r="CX741" i="8"/>
  <c r="BF743" i="26" s="1"/>
  <c r="CX742" i="8"/>
  <c r="BF744" i="26" s="1"/>
  <c r="BK744" i="26" s="1"/>
  <c r="CX743" i="8"/>
  <c r="BF745" i="26" s="1"/>
  <c r="CX744" i="8"/>
  <c r="BF746" i="26" s="1"/>
  <c r="CX745" i="8"/>
  <c r="BF747" i="26" s="1"/>
  <c r="CX746" i="8"/>
  <c r="BF748" i="26" s="1"/>
  <c r="CX747" i="8"/>
  <c r="BF749" i="26" s="1"/>
  <c r="CX748" i="8"/>
  <c r="BF750" i="26" s="1"/>
  <c r="CX749" i="8"/>
  <c r="BF751" i="26" s="1"/>
  <c r="BK751" i="26" s="1"/>
  <c r="CX750" i="8"/>
  <c r="BF752" i="26" s="1"/>
  <c r="BK752" i="26" s="1"/>
  <c r="CX751" i="8"/>
  <c r="BF753" i="26" s="1"/>
  <c r="CX752" i="8"/>
  <c r="BF754" i="26" s="1"/>
  <c r="CX753" i="8"/>
  <c r="BF755" i="26" s="1"/>
  <c r="CX754" i="8"/>
  <c r="BF756" i="26" s="1"/>
  <c r="BK756" i="26" s="1"/>
  <c r="CX755" i="8"/>
  <c r="BF757" i="26" s="1"/>
  <c r="BK757" i="26" s="1"/>
  <c r="CX756" i="8"/>
  <c r="BF758" i="26" s="1"/>
  <c r="CX757" i="8"/>
  <c r="BF759" i="26" s="1"/>
  <c r="BK759" i="26" s="1"/>
  <c r="CX758" i="8"/>
  <c r="BF760" i="26" s="1"/>
  <c r="CX759" i="8"/>
  <c r="BF761" i="26" s="1"/>
  <c r="CX760" i="8"/>
  <c r="BF762" i="26" s="1"/>
  <c r="CX761" i="8"/>
  <c r="BF763" i="26" s="1"/>
  <c r="CX762" i="8"/>
  <c r="BF764" i="26" s="1"/>
  <c r="CX763" i="8"/>
  <c r="BF765" i="26" s="1"/>
  <c r="CX764" i="8"/>
  <c r="BF766" i="26" s="1"/>
  <c r="CX765" i="8"/>
  <c r="BF767" i="26" s="1"/>
  <c r="CX766" i="8"/>
  <c r="BF768" i="26" s="1"/>
  <c r="CX767" i="8"/>
  <c r="BF769" i="26" s="1"/>
  <c r="BK769" i="26" s="1"/>
  <c r="CX768" i="8"/>
  <c r="BF770" i="26" s="1"/>
  <c r="CX769" i="8"/>
  <c r="BF771" i="26" s="1"/>
  <c r="CX770" i="8"/>
  <c r="BF772" i="26" s="1"/>
  <c r="CX771" i="8"/>
  <c r="BF773" i="26" s="1"/>
  <c r="CX772" i="8"/>
  <c r="BF774" i="26" s="1"/>
  <c r="CX773" i="8"/>
  <c r="BF775" i="26" s="1"/>
  <c r="CX774" i="8"/>
  <c r="BF776" i="26" s="1"/>
  <c r="CX775" i="8"/>
  <c r="BF777" i="26" s="1"/>
  <c r="BK777" i="26" s="1"/>
  <c r="CX776" i="8"/>
  <c r="BF778" i="26" s="1"/>
  <c r="BK778" i="26" s="1"/>
  <c r="CX777" i="8"/>
  <c r="BF779" i="26" s="1"/>
  <c r="BK779" i="26" s="1"/>
  <c r="CX778" i="8"/>
  <c r="BF780" i="26" s="1"/>
  <c r="BK780" i="26" s="1"/>
  <c r="CX779" i="8"/>
  <c r="BF781" i="26" s="1"/>
  <c r="BK781" i="26" s="1"/>
  <c r="CX780" i="8"/>
  <c r="BF782" i="26" s="1"/>
  <c r="CX781" i="8"/>
  <c r="BF783" i="26" s="1"/>
  <c r="CX782" i="8"/>
  <c r="BF784" i="26" s="1"/>
  <c r="CX783" i="8"/>
  <c r="BF785" i="26" s="1"/>
  <c r="CX784" i="8"/>
  <c r="BF786" i="26" s="1"/>
  <c r="CX785" i="8"/>
  <c r="BF787" i="26" s="1"/>
  <c r="CX786" i="8"/>
  <c r="BF788" i="26" s="1"/>
  <c r="CX787" i="8"/>
  <c r="BF789" i="26" s="1"/>
  <c r="CX788" i="8"/>
  <c r="BF790" i="26" s="1"/>
  <c r="CX789" i="8"/>
  <c r="BF791" i="26" s="1"/>
  <c r="CX790" i="8"/>
  <c r="BF792" i="26" s="1"/>
  <c r="CX791" i="8"/>
  <c r="BF793" i="26" s="1"/>
  <c r="BK793" i="26" s="1"/>
  <c r="CX792" i="8"/>
  <c r="BF794" i="26" s="1"/>
  <c r="BK794" i="26" s="1"/>
  <c r="CX793" i="8"/>
  <c r="BF795" i="26" s="1"/>
  <c r="BK795" i="26" s="1"/>
  <c r="CX794" i="8"/>
  <c r="BF796" i="26" s="1"/>
  <c r="BK796" i="26" s="1"/>
  <c r="CX35" i="8"/>
  <c r="CX10" i="8"/>
  <c r="CX11" i="8"/>
  <c r="BF13" i="26" s="1"/>
  <c r="CX12" i="8"/>
  <c r="CX13" i="8"/>
  <c r="BF15" i="26" s="1"/>
  <c r="CX14" i="8"/>
  <c r="CX15" i="8"/>
  <c r="CX16" i="8"/>
  <c r="CX17" i="8"/>
  <c r="BF19" i="26" s="1"/>
  <c r="CX18" i="8"/>
  <c r="CX19" i="8"/>
  <c r="BF21" i="26" s="1"/>
  <c r="CX20" i="8"/>
  <c r="BF22" i="26" s="1"/>
  <c r="CX21" i="8"/>
  <c r="CX22" i="8"/>
  <c r="BF24" i="26" s="1"/>
  <c r="CX23" i="8"/>
  <c r="CX24" i="8"/>
  <c r="BF26" i="26" s="1"/>
  <c r="CX25" i="8"/>
  <c r="CX26" i="8"/>
  <c r="CX27" i="8"/>
  <c r="BF29" i="26" s="1"/>
  <c r="CX28" i="8"/>
  <c r="CX29" i="8"/>
  <c r="BF31" i="26" s="1"/>
  <c r="CX30" i="8"/>
  <c r="CX31" i="8"/>
  <c r="CX32" i="8"/>
  <c r="CX33" i="8"/>
  <c r="BF35" i="26" s="1"/>
  <c r="CX34" i="8"/>
  <c r="CX8" i="8"/>
  <c r="CX7" i="8"/>
  <c r="BF9" i="26" s="1"/>
  <c r="BK9" i="26" s="1"/>
  <c r="CX6" i="8"/>
  <c r="CX9" i="8"/>
  <c r="BF11" i="26" s="1"/>
  <c r="CZ6" i="8"/>
  <c r="BG8" i="26" s="1"/>
  <c r="BL8" i="26" s="1"/>
  <c r="CZ7" i="8"/>
  <c r="BG9" i="26" s="1"/>
  <c r="BL9" i="26" s="1"/>
  <c r="CZ8" i="8"/>
  <c r="BG10" i="26" s="1"/>
  <c r="BL10" i="26" s="1"/>
  <c r="CZ10" i="8"/>
  <c r="BG12" i="26" s="1"/>
  <c r="CZ11" i="8"/>
  <c r="BG13" i="26" s="1"/>
  <c r="CZ12" i="8"/>
  <c r="BG14" i="26" s="1"/>
  <c r="CZ13" i="8"/>
  <c r="BG15" i="26" s="1"/>
  <c r="CZ14" i="8"/>
  <c r="BG16" i="26" s="1"/>
  <c r="CZ15" i="8"/>
  <c r="BG17" i="26" s="1"/>
  <c r="CZ16" i="8"/>
  <c r="BG18" i="26" s="1"/>
  <c r="CZ17" i="8"/>
  <c r="BG19" i="26" s="1"/>
  <c r="CZ18" i="8"/>
  <c r="BG20" i="26" s="1"/>
  <c r="CZ19" i="8"/>
  <c r="BG21" i="26" s="1"/>
  <c r="CZ20" i="8"/>
  <c r="BG22" i="26" s="1"/>
  <c r="CZ21" i="8"/>
  <c r="BG23" i="26" s="1"/>
  <c r="CZ22" i="8"/>
  <c r="BG24" i="26" s="1"/>
  <c r="CZ23" i="8"/>
  <c r="BG25" i="26" s="1"/>
  <c r="CZ24" i="8"/>
  <c r="BG26" i="26" s="1"/>
  <c r="CZ25" i="8"/>
  <c r="BG27" i="26" s="1"/>
  <c r="CZ26" i="8"/>
  <c r="BG28" i="26" s="1"/>
  <c r="BL28" i="26" s="1"/>
  <c r="CZ27" i="8"/>
  <c r="BG29" i="26" s="1"/>
  <c r="CZ28" i="8"/>
  <c r="BG30" i="26" s="1"/>
  <c r="CZ29" i="8"/>
  <c r="BG31" i="26" s="1"/>
  <c r="CZ30" i="8"/>
  <c r="BG32" i="26" s="1"/>
  <c r="CZ31" i="8"/>
  <c r="BG33" i="26" s="1"/>
  <c r="CZ32" i="8"/>
  <c r="BG34" i="26" s="1"/>
  <c r="CZ33" i="8"/>
  <c r="BG35" i="26" s="1"/>
  <c r="CZ34" i="8"/>
  <c r="BG36" i="26" s="1"/>
  <c r="CZ35" i="8"/>
  <c r="BG37" i="26" s="1"/>
  <c r="BL37" i="26" s="1"/>
  <c r="CZ36" i="8"/>
  <c r="BG38" i="26" s="1"/>
  <c r="CZ37" i="8"/>
  <c r="BG39" i="26" s="1"/>
  <c r="CZ38" i="8"/>
  <c r="BG40" i="26" s="1"/>
  <c r="CZ39" i="8"/>
  <c r="BG41" i="26" s="1"/>
  <c r="CZ40" i="8"/>
  <c r="BG42" i="26" s="1"/>
  <c r="CZ41" i="8"/>
  <c r="BG43" i="26" s="1"/>
  <c r="CZ42" i="8"/>
  <c r="BG44" i="26" s="1"/>
  <c r="CZ43" i="8"/>
  <c r="BG45" i="26" s="1"/>
  <c r="CZ44" i="8"/>
  <c r="BG46" i="26" s="1"/>
  <c r="CZ45" i="8"/>
  <c r="BG47" i="26" s="1"/>
  <c r="CZ46" i="8"/>
  <c r="BG48" i="26" s="1"/>
  <c r="CZ47" i="8"/>
  <c r="BG49" i="26" s="1"/>
  <c r="BL49" i="26" s="1"/>
  <c r="CZ48" i="8"/>
  <c r="BG50" i="26" s="1"/>
  <c r="CZ49" i="8"/>
  <c r="BG51" i="26" s="1"/>
  <c r="CZ50" i="8"/>
  <c r="BG52" i="26" s="1"/>
  <c r="CZ51" i="8"/>
  <c r="BG53" i="26" s="1"/>
  <c r="CZ52" i="8"/>
  <c r="BG54" i="26" s="1"/>
  <c r="CZ53" i="8"/>
  <c r="BG55" i="26" s="1"/>
  <c r="CZ54" i="8"/>
  <c r="BG56" i="26" s="1"/>
  <c r="CZ55" i="8"/>
  <c r="BG57" i="26" s="1"/>
  <c r="CZ56" i="8"/>
  <c r="BG58" i="26" s="1"/>
  <c r="CZ57" i="8"/>
  <c r="BG59" i="26" s="1"/>
  <c r="CZ58" i="8"/>
  <c r="BG60" i="26" s="1"/>
  <c r="CZ59" i="8"/>
  <c r="BG61" i="26" s="1"/>
  <c r="CZ60" i="8"/>
  <c r="BG62" i="26" s="1"/>
  <c r="CZ61" i="8"/>
  <c r="BG63" i="26" s="1"/>
  <c r="CZ62" i="8"/>
  <c r="BG64" i="26" s="1"/>
  <c r="CZ63" i="8"/>
  <c r="BG65" i="26" s="1"/>
  <c r="CZ64" i="8"/>
  <c r="BG66" i="26" s="1"/>
  <c r="CZ65" i="8"/>
  <c r="BG67" i="26" s="1"/>
  <c r="CZ66" i="8"/>
  <c r="BG68" i="26" s="1"/>
  <c r="CZ67" i="8"/>
  <c r="BG69" i="26" s="1"/>
  <c r="BL69" i="26" s="1"/>
  <c r="CZ68" i="8"/>
  <c r="BG70" i="26" s="1"/>
  <c r="CZ69" i="8"/>
  <c r="BG71" i="26" s="1"/>
  <c r="CZ70" i="8"/>
  <c r="BG72" i="26" s="1"/>
  <c r="CZ71" i="8"/>
  <c r="BG73" i="26" s="1"/>
  <c r="CZ72" i="8"/>
  <c r="BG74" i="26" s="1"/>
  <c r="CZ73" i="8"/>
  <c r="BG75" i="26" s="1"/>
  <c r="CZ74" i="8"/>
  <c r="BG76" i="26" s="1"/>
  <c r="CZ75" i="8"/>
  <c r="BG77" i="26" s="1"/>
  <c r="CZ76" i="8"/>
  <c r="BG78" i="26" s="1"/>
  <c r="CZ77" i="8"/>
  <c r="BG79" i="26" s="1"/>
  <c r="CZ78" i="8"/>
  <c r="BG80" i="26" s="1"/>
  <c r="CZ79" i="8"/>
  <c r="BG81" i="26" s="1"/>
  <c r="CZ80" i="8"/>
  <c r="BG82" i="26" s="1"/>
  <c r="CZ81" i="8"/>
  <c r="BG83" i="26" s="1"/>
  <c r="CZ82" i="8"/>
  <c r="BG84" i="26" s="1"/>
  <c r="CZ83" i="8"/>
  <c r="BG85" i="26" s="1"/>
  <c r="CZ84" i="8"/>
  <c r="BG86" i="26" s="1"/>
  <c r="CZ85" i="8"/>
  <c r="BG87" i="26" s="1"/>
  <c r="CZ86" i="8"/>
  <c r="BG88" i="26" s="1"/>
  <c r="CZ87" i="8"/>
  <c r="BG89" i="26" s="1"/>
  <c r="CZ88" i="8"/>
  <c r="BG90" i="26" s="1"/>
  <c r="CZ89" i="8"/>
  <c r="BG91" i="26" s="1"/>
  <c r="CZ90" i="8"/>
  <c r="BG92" i="26" s="1"/>
  <c r="CZ91" i="8"/>
  <c r="BG93" i="26" s="1"/>
  <c r="CZ92" i="8"/>
  <c r="BG94" i="26" s="1"/>
  <c r="CZ93" i="8"/>
  <c r="BG95" i="26" s="1"/>
  <c r="CZ94" i="8"/>
  <c r="BG96" i="26" s="1"/>
  <c r="CZ95" i="8"/>
  <c r="BG97" i="26" s="1"/>
  <c r="BL97" i="26" s="1"/>
  <c r="CZ96" i="8"/>
  <c r="BG98" i="26" s="1"/>
  <c r="CZ97" i="8"/>
  <c r="BG99" i="26" s="1"/>
  <c r="CZ98" i="8"/>
  <c r="BG100" i="26" s="1"/>
  <c r="BL100" i="26" s="1"/>
  <c r="CZ99" i="8"/>
  <c r="BG101" i="26" s="1"/>
  <c r="BL101" i="26" s="1"/>
  <c r="CZ100" i="8"/>
  <c r="BG102" i="26" s="1"/>
  <c r="CZ101" i="8"/>
  <c r="BG103" i="26" s="1"/>
  <c r="CZ102" i="8"/>
  <c r="BG104" i="26" s="1"/>
  <c r="BL104" i="26" s="1"/>
  <c r="CZ103" i="8"/>
  <c r="BG105" i="26" s="1"/>
  <c r="BL105" i="26" s="1"/>
  <c r="CZ104" i="8"/>
  <c r="BG106" i="26" s="1"/>
  <c r="CZ105" i="8"/>
  <c r="BG107" i="26" s="1"/>
  <c r="CZ106" i="8"/>
  <c r="BG108" i="26" s="1"/>
  <c r="CZ107" i="8"/>
  <c r="BG109" i="26" s="1"/>
  <c r="CZ108" i="8"/>
  <c r="BG110" i="26" s="1"/>
  <c r="CZ109" i="8"/>
  <c r="BG111" i="26" s="1"/>
  <c r="CZ110" i="8"/>
  <c r="BG112" i="26" s="1"/>
  <c r="CZ111" i="8"/>
  <c r="BG113" i="26" s="1"/>
  <c r="CZ112" i="8"/>
  <c r="BG114" i="26" s="1"/>
  <c r="CZ113" i="8"/>
  <c r="BG115" i="26" s="1"/>
  <c r="BL115" i="26" s="1"/>
  <c r="CZ114" i="8"/>
  <c r="BG116" i="26" s="1"/>
  <c r="CZ115" i="8"/>
  <c r="BG117" i="26" s="1"/>
  <c r="CZ116" i="8"/>
  <c r="BG118" i="26" s="1"/>
  <c r="CZ117" i="8"/>
  <c r="BG119" i="26" s="1"/>
  <c r="CZ118" i="8"/>
  <c r="BG120" i="26" s="1"/>
  <c r="CZ119" i="8"/>
  <c r="BG121" i="26" s="1"/>
  <c r="CZ120" i="8"/>
  <c r="BG122" i="26" s="1"/>
  <c r="CZ121" i="8"/>
  <c r="BG123" i="26" s="1"/>
  <c r="CZ122" i="8"/>
  <c r="BG124" i="26" s="1"/>
  <c r="CZ123" i="8"/>
  <c r="BG125" i="26" s="1"/>
  <c r="CZ124" i="8"/>
  <c r="BG126" i="26" s="1"/>
  <c r="CZ125" i="8"/>
  <c r="BG127" i="26" s="1"/>
  <c r="CZ126" i="8"/>
  <c r="BG128" i="26" s="1"/>
  <c r="CZ127" i="8"/>
  <c r="BG129" i="26" s="1"/>
  <c r="CZ128" i="8"/>
  <c r="BG130" i="26" s="1"/>
  <c r="CZ129" i="8"/>
  <c r="BG131" i="26" s="1"/>
  <c r="CZ130" i="8"/>
  <c r="BG132" i="26" s="1"/>
  <c r="CZ131" i="8"/>
  <c r="BG133" i="26" s="1"/>
  <c r="BL133" i="26" s="1"/>
  <c r="CZ132" i="8"/>
  <c r="BG134" i="26" s="1"/>
  <c r="BL134" i="26" s="1"/>
  <c r="CZ133" i="8"/>
  <c r="BG135" i="26" s="1"/>
  <c r="BL135" i="26" s="1"/>
  <c r="CZ134" i="8"/>
  <c r="BG136" i="26" s="1"/>
  <c r="CZ135" i="8"/>
  <c r="BG137" i="26" s="1"/>
  <c r="CZ136" i="8"/>
  <c r="BG138" i="26" s="1"/>
  <c r="CZ137" i="8"/>
  <c r="BG139" i="26" s="1"/>
  <c r="CZ138" i="8"/>
  <c r="BG140" i="26" s="1"/>
  <c r="CZ139" i="8"/>
  <c r="BG141" i="26" s="1"/>
  <c r="BL141" i="26" s="1"/>
  <c r="CZ140" i="8"/>
  <c r="BG142" i="26" s="1"/>
  <c r="CZ141" i="8"/>
  <c r="BG143" i="26" s="1"/>
  <c r="CZ142" i="8"/>
  <c r="BG144" i="26" s="1"/>
  <c r="CZ143" i="8"/>
  <c r="BG145" i="26" s="1"/>
  <c r="BL145" i="26" s="1"/>
  <c r="CZ144" i="8"/>
  <c r="BG146" i="26" s="1"/>
  <c r="BL146" i="26" s="1"/>
  <c r="CZ145" i="8"/>
  <c r="BG147" i="26" s="1"/>
  <c r="BL147" i="26" s="1"/>
  <c r="CZ146" i="8"/>
  <c r="BG148" i="26" s="1"/>
  <c r="CZ147" i="8"/>
  <c r="BG149" i="26" s="1"/>
  <c r="CZ148" i="8"/>
  <c r="BG150" i="26" s="1"/>
  <c r="CZ149" i="8"/>
  <c r="BG151" i="26" s="1"/>
  <c r="CZ150" i="8"/>
  <c r="BG152" i="26" s="1"/>
  <c r="CZ151" i="8"/>
  <c r="BG153" i="26" s="1"/>
  <c r="CZ152" i="8"/>
  <c r="BG154" i="26" s="1"/>
  <c r="CZ153" i="8"/>
  <c r="BG155" i="26" s="1"/>
  <c r="CZ154" i="8"/>
  <c r="BG156" i="26" s="1"/>
  <c r="CZ155" i="8"/>
  <c r="BG157" i="26" s="1"/>
  <c r="CZ156" i="8"/>
  <c r="BG158" i="26" s="1"/>
  <c r="CZ157" i="8"/>
  <c r="BG159" i="26" s="1"/>
  <c r="BL159" i="26" s="1"/>
  <c r="CZ158" i="8"/>
  <c r="BG160" i="26" s="1"/>
  <c r="CZ159" i="8"/>
  <c r="BG161" i="26" s="1"/>
  <c r="CZ160" i="8"/>
  <c r="BG162" i="26" s="1"/>
  <c r="BL162" i="26" s="1"/>
  <c r="CZ161" i="8"/>
  <c r="BG163" i="26" s="1"/>
  <c r="CZ162" i="8"/>
  <c r="BG164" i="26" s="1"/>
  <c r="CZ163" i="8"/>
  <c r="BG165" i="26" s="1"/>
  <c r="CZ164" i="8"/>
  <c r="BG166" i="26" s="1"/>
  <c r="CZ165" i="8"/>
  <c r="BG167" i="26" s="1"/>
  <c r="CZ166" i="8"/>
  <c r="BG168" i="26" s="1"/>
  <c r="CZ167" i="8"/>
  <c r="BG169" i="26" s="1"/>
  <c r="CZ168" i="8"/>
  <c r="BG170" i="26" s="1"/>
  <c r="CZ169" i="8"/>
  <c r="BG171" i="26" s="1"/>
  <c r="CZ170" i="8"/>
  <c r="BG172" i="26" s="1"/>
  <c r="CZ171" i="8"/>
  <c r="BG173" i="26" s="1"/>
  <c r="CZ172" i="8"/>
  <c r="BG174" i="26" s="1"/>
  <c r="CZ173" i="8"/>
  <c r="BG175" i="26" s="1"/>
  <c r="CZ174" i="8"/>
  <c r="BG176" i="26" s="1"/>
  <c r="CZ175" i="8"/>
  <c r="BG177" i="26" s="1"/>
  <c r="CZ176" i="8"/>
  <c r="BG178" i="26" s="1"/>
  <c r="BL178" i="26" s="1"/>
  <c r="CZ177" i="8"/>
  <c r="CZ178" i="8"/>
  <c r="CZ179" i="8"/>
  <c r="BG181" i="26" s="1"/>
  <c r="CZ180" i="8"/>
  <c r="CZ181" i="8"/>
  <c r="CZ182" i="8"/>
  <c r="CZ183" i="8"/>
  <c r="CZ184" i="8"/>
  <c r="BG186" i="26" s="1"/>
  <c r="CZ185" i="8"/>
  <c r="CZ186" i="8"/>
  <c r="CZ187" i="8"/>
  <c r="BG189" i="26" s="1"/>
  <c r="CZ188" i="8"/>
  <c r="BG190" i="26" s="1"/>
  <c r="CZ189" i="8"/>
  <c r="CZ190" i="8"/>
  <c r="CZ191" i="8"/>
  <c r="CZ192" i="8"/>
  <c r="BG194" i="26" s="1"/>
  <c r="CZ193" i="8"/>
  <c r="BG195" i="26" s="1"/>
  <c r="CZ194" i="8"/>
  <c r="CZ195" i="8"/>
  <c r="BG197" i="26" s="1"/>
  <c r="BL197" i="26" s="1"/>
  <c r="CZ196" i="8"/>
  <c r="CZ197" i="8"/>
  <c r="CZ198" i="8"/>
  <c r="CZ199" i="8"/>
  <c r="CZ200" i="8"/>
  <c r="CZ201" i="8"/>
  <c r="CZ202" i="8"/>
  <c r="CZ203" i="8"/>
  <c r="BG205" i="26" s="1"/>
  <c r="CZ204" i="8"/>
  <c r="BG206" i="26" s="1"/>
  <c r="CZ205" i="8"/>
  <c r="CZ206" i="8"/>
  <c r="CZ207" i="8"/>
  <c r="CZ208" i="8"/>
  <c r="BG210" i="26" s="1"/>
  <c r="CZ209" i="8"/>
  <c r="BG211" i="26" s="1"/>
  <c r="CZ210" i="8"/>
  <c r="CZ211" i="8"/>
  <c r="BG213" i="26" s="1"/>
  <c r="CZ212" i="8"/>
  <c r="BG214" i="26" s="1"/>
  <c r="CZ213" i="8"/>
  <c r="BG215" i="26" s="1"/>
  <c r="CZ214" i="8"/>
  <c r="BG216" i="26" s="1"/>
  <c r="BL216" i="26" s="1"/>
  <c r="CZ215" i="8"/>
  <c r="CZ216" i="8"/>
  <c r="CZ217" i="8"/>
  <c r="CZ218" i="8"/>
  <c r="CZ219" i="8"/>
  <c r="BG221" i="26" s="1"/>
  <c r="CZ220" i="8"/>
  <c r="BG222" i="26" s="1"/>
  <c r="CZ221" i="8"/>
  <c r="CZ222" i="8"/>
  <c r="CZ223" i="8"/>
  <c r="CZ224" i="8"/>
  <c r="BG226" i="26" s="1"/>
  <c r="CZ225" i="8"/>
  <c r="CZ226" i="8"/>
  <c r="CZ227" i="8"/>
  <c r="BG229" i="26" s="1"/>
  <c r="CZ228" i="8"/>
  <c r="BG230" i="26" s="1"/>
  <c r="CZ229" i="8"/>
  <c r="BG231" i="26" s="1"/>
  <c r="CZ230" i="8"/>
  <c r="BG232" i="26" s="1"/>
  <c r="CZ231" i="8"/>
  <c r="BG233" i="26" s="1"/>
  <c r="CZ232" i="8"/>
  <c r="BG234" i="26" s="1"/>
  <c r="CZ233" i="8"/>
  <c r="CZ234" i="8"/>
  <c r="BG236" i="26" s="1"/>
  <c r="CZ235" i="8"/>
  <c r="CZ236" i="8"/>
  <c r="BG238" i="26" s="1"/>
  <c r="BL238" i="26" s="1"/>
  <c r="CZ237" i="8"/>
  <c r="CZ238" i="8"/>
  <c r="CZ239" i="8"/>
  <c r="CZ240" i="8"/>
  <c r="BG242" i="26" s="1"/>
  <c r="CZ241" i="8"/>
  <c r="CZ242" i="8"/>
  <c r="CZ243" i="8"/>
  <c r="BG245" i="26" s="1"/>
  <c r="BL245" i="26" s="1"/>
  <c r="CZ244" i="8"/>
  <c r="CZ245" i="8"/>
  <c r="BG247" i="26" s="1"/>
  <c r="BL247" i="26" s="1"/>
  <c r="CZ246" i="8"/>
  <c r="CZ247" i="8"/>
  <c r="BG249" i="26" s="1"/>
  <c r="CZ248" i="8"/>
  <c r="CZ249" i="8"/>
  <c r="CZ250" i="8"/>
  <c r="BG252" i="26" s="1"/>
  <c r="CZ251" i="8"/>
  <c r="CZ252" i="8"/>
  <c r="BG254" i="26" s="1"/>
  <c r="BL254" i="26" s="1"/>
  <c r="CZ253" i="8"/>
  <c r="CZ254" i="8"/>
  <c r="CZ255" i="8"/>
  <c r="CZ256" i="8"/>
  <c r="BG258" i="26" s="1"/>
  <c r="CZ257" i="8"/>
  <c r="BG259" i="26" s="1"/>
  <c r="CZ258" i="8"/>
  <c r="CZ259" i="8"/>
  <c r="BG261" i="26" s="1"/>
  <c r="CZ260" i="8"/>
  <c r="BG262" i="26" s="1"/>
  <c r="CZ261" i="8"/>
  <c r="BG263" i="26" s="1"/>
  <c r="CZ262" i="8"/>
  <c r="BG264" i="26" s="1"/>
  <c r="CZ263" i="8"/>
  <c r="BG265" i="26" s="1"/>
  <c r="CZ264" i="8"/>
  <c r="CZ265" i="8"/>
  <c r="CZ266" i="8"/>
  <c r="BG268" i="26" s="1"/>
  <c r="CZ267" i="8"/>
  <c r="CZ268" i="8"/>
  <c r="BG270" i="26" s="1"/>
  <c r="CZ269" i="8"/>
  <c r="CZ270" i="8"/>
  <c r="CZ271" i="8"/>
  <c r="CZ272" i="8"/>
  <c r="BG274" i="26" s="1"/>
  <c r="CZ273" i="8"/>
  <c r="CZ274" i="8"/>
  <c r="CZ275" i="8"/>
  <c r="BG277" i="26" s="1"/>
  <c r="CZ276" i="8"/>
  <c r="CZ277" i="8"/>
  <c r="BG279" i="26" s="1"/>
  <c r="CZ278" i="8"/>
  <c r="BG280" i="26" s="1"/>
  <c r="CZ279" i="8"/>
  <c r="BG281" i="26" s="1"/>
  <c r="CZ280" i="8"/>
  <c r="BG282" i="26" s="1"/>
  <c r="CZ281" i="8"/>
  <c r="CZ282" i="8"/>
  <c r="BG284" i="26" s="1"/>
  <c r="CZ283" i="8"/>
  <c r="CZ284" i="8"/>
  <c r="BG286" i="26" s="1"/>
  <c r="CZ285" i="8"/>
  <c r="CZ286" i="8"/>
  <c r="CZ287" i="8"/>
  <c r="CZ288" i="8"/>
  <c r="BG290" i="26" s="1"/>
  <c r="CZ289" i="8"/>
  <c r="BG291" i="26" s="1"/>
  <c r="CZ290" i="8"/>
  <c r="CZ291" i="8"/>
  <c r="BG293" i="26" s="1"/>
  <c r="BL293" i="26" s="1"/>
  <c r="CZ292" i="8"/>
  <c r="CZ293" i="8"/>
  <c r="BG295" i="26" s="1"/>
  <c r="CZ294" i="8"/>
  <c r="BG296" i="26" s="1"/>
  <c r="CZ295" i="8"/>
  <c r="BG297" i="26" s="1"/>
  <c r="CZ296" i="8"/>
  <c r="CZ297" i="8"/>
  <c r="CZ298" i="8"/>
  <c r="BG300" i="26" s="1"/>
  <c r="CZ299" i="8"/>
  <c r="CZ300" i="8"/>
  <c r="BG302" i="26" s="1"/>
  <c r="CZ301" i="8"/>
  <c r="CZ302" i="8"/>
  <c r="CZ303" i="8"/>
  <c r="CZ304" i="8"/>
  <c r="BG306" i="26" s="1"/>
  <c r="CZ305" i="8"/>
  <c r="BG307" i="26" s="1"/>
  <c r="CZ306" i="8"/>
  <c r="CZ307" i="8"/>
  <c r="BG309" i="26" s="1"/>
  <c r="CZ308" i="8"/>
  <c r="BG310" i="26" s="1"/>
  <c r="CZ309" i="8"/>
  <c r="BG311" i="26" s="1"/>
  <c r="CZ310" i="8"/>
  <c r="BG312" i="26" s="1"/>
  <c r="CZ311" i="8"/>
  <c r="BG313" i="26" s="1"/>
  <c r="CZ312" i="8"/>
  <c r="BG314" i="26" s="1"/>
  <c r="CZ313" i="8"/>
  <c r="CZ314" i="8"/>
  <c r="BG316" i="26" s="1"/>
  <c r="CZ315" i="8"/>
  <c r="CZ316" i="8"/>
  <c r="BG318" i="26" s="1"/>
  <c r="CZ317" i="8"/>
  <c r="CZ318" i="8"/>
  <c r="CZ319" i="8"/>
  <c r="CZ320" i="8"/>
  <c r="BG322" i="26" s="1"/>
  <c r="CZ321" i="8"/>
  <c r="CZ322" i="8"/>
  <c r="CZ323" i="8"/>
  <c r="BG325" i="26" s="1"/>
  <c r="CZ324" i="8"/>
  <c r="CZ325" i="8"/>
  <c r="BG327" i="26" s="1"/>
  <c r="CZ326" i="8"/>
  <c r="CZ327" i="8"/>
  <c r="BG329" i="26" s="1"/>
  <c r="CZ328" i="8"/>
  <c r="CZ329" i="8"/>
  <c r="CZ330" i="8"/>
  <c r="BG332" i="26" s="1"/>
  <c r="CZ331" i="8"/>
  <c r="CZ332" i="8"/>
  <c r="BG334" i="26" s="1"/>
  <c r="CZ333" i="8"/>
  <c r="CZ334" i="8"/>
  <c r="CZ335" i="8"/>
  <c r="CZ336" i="8"/>
  <c r="BG338" i="26" s="1"/>
  <c r="BL338" i="26" s="1"/>
  <c r="CZ337" i="8"/>
  <c r="BG339" i="26" s="1"/>
  <c r="CZ338" i="8"/>
  <c r="CZ339" i="8"/>
  <c r="BG341" i="26" s="1"/>
  <c r="CZ340" i="8"/>
  <c r="BG342" i="26" s="1"/>
  <c r="CZ341" i="8"/>
  <c r="BG343" i="26" s="1"/>
  <c r="CZ342" i="8"/>
  <c r="CZ343" i="8"/>
  <c r="BG345" i="26" s="1"/>
  <c r="CZ344" i="8"/>
  <c r="CZ345" i="8"/>
  <c r="CZ346" i="8"/>
  <c r="BG348" i="26" s="1"/>
  <c r="CZ347" i="8"/>
  <c r="CZ348" i="8"/>
  <c r="BG350" i="26" s="1"/>
  <c r="CZ349" i="8"/>
  <c r="CZ350" i="8"/>
  <c r="CZ351" i="8"/>
  <c r="CZ352" i="8"/>
  <c r="BG354" i="26" s="1"/>
  <c r="CZ353" i="8"/>
  <c r="CZ354" i="8"/>
  <c r="CZ355" i="8"/>
  <c r="BG357" i="26" s="1"/>
  <c r="CZ356" i="8"/>
  <c r="BG358" i="26" s="1"/>
  <c r="CZ357" i="8"/>
  <c r="BG359" i="26" s="1"/>
  <c r="CZ358" i="8"/>
  <c r="BG360" i="26" s="1"/>
  <c r="CZ359" i="8"/>
  <c r="BG361" i="26" s="1"/>
  <c r="CZ360" i="8"/>
  <c r="BG362" i="26" s="1"/>
  <c r="CZ361" i="8"/>
  <c r="CZ362" i="8"/>
  <c r="BG364" i="26" s="1"/>
  <c r="CZ363" i="8"/>
  <c r="CZ364" i="8"/>
  <c r="BG366" i="26" s="1"/>
  <c r="CZ365" i="8"/>
  <c r="CZ366" i="8"/>
  <c r="CZ367" i="8"/>
  <c r="CZ368" i="8"/>
  <c r="BG370" i="26" s="1"/>
  <c r="CZ369" i="8"/>
  <c r="CZ370" i="8"/>
  <c r="CZ371" i="8"/>
  <c r="BG373" i="26" s="1"/>
  <c r="CZ372" i="8"/>
  <c r="CZ373" i="8"/>
  <c r="BG375" i="26" s="1"/>
  <c r="CZ374" i="8"/>
  <c r="CZ375" i="8"/>
  <c r="BG377" i="26" s="1"/>
  <c r="CZ376" i="8"/>
  <c r="CZ377" i="8"/>
  <c r="CZ378" i="8"/>
  <c r="BG380" i="26" s="1"/>
  <c r="CZ379" i="8"/>
  <c r="CZ380" i="8"/>
  <c r="BG382" i="26" s="1"/>
  <c r="CZ381" i="8"/>
  <c r="CZ382" i="8"/>
  <c r="CZ383" i="8"/>
  <c r="CZ384" i="8"/>
  <c r="BG386" i="26" s="1"/>
  <c r="BL386" i="26" s="1"/>
  <c r="CZ385" i="8"/>
  <c r="BG387" i="26" s="1"/>
  <c r="CZ386" i="8"/>
  <c r="BG388" i="26" s="1"/>
  <c r="CZ387" i="8"/>
  <c r="BG389" i="26" s="1"/>
  <c r="CZ388" i="8"/>
  <c r="BG390" i="26" s="1"/>
  <c r="BL390" i="26" s="1"/>
  <c r="CZ389" i="8"/>
  <c r="BG391" i="26" s="1"/>
  <c r="CZ390" i="8"/>
  <c r="BG392" i="26" s="1"/>
  <c r="BL392" i="26" s="1"/>
  <c r="CZ391" i="8"/>
  <c r="BG393" i="26" s="1"/>
  <c r="CZ392" i="8"/>
  <c r="BG394" i="26" s="1"/>
  <c r="CZ393" i="8"/>
  <c r="BG395" i="26" s="1"/>
  <c r="CZ394" i="8"/>
  <c r="BG396" i="26" s="1"/>
  <c r="CZ395" i="8"/>
  <c r="BG397" i="26" s="1"/>
  <c r="CZ396" i="8"/>
  <c r="BG398" i="26" s="1"/>
  <c r="BL398" i="26" s="1"/>
  <c r="CZ397" i="8"/>
  <c r="BG399" i="26" s="1"/>
  <c r="CZ398" i="8"/>
  <c r="BG400" i="26" s="1"/>
  <c r="CZ399" i="8"/>
  <c r="BG401" i="26" s="1"/>
  <c r="BL401" i="26" s="1"/>
  <c r="CZ400" i="8"/>
  <c r="BG402" i="26" s="1"/>
  <c r="CZ401" i="8"/>
  <c r="BG403" i="26" s="1"/>
  <c r="CZ402" i="8"/>
  <c r="BG404" i="26" s="1"/>
  <c r="BL404" i="26" s="1"/>
  <c r="CZ403" i="8"/>
  <c r="BG405" i="26" s="1"/>
  <c r="BL405" i="26" s="1"/>
  <c r="CZ404" i="8"/>
  <c r="BG406" i="26" s="1"/>
  <c r="CZ405" i="8"/>
  <c r="BG407" i="26" s="1"/>
  <c r="CZ406" i="8"/>
  <c r="BG408" i="26" s="1"/>
  <c r="CZ407" i="8"/>
  <c r="BG409" i="26" s="1"/>
  <c r="CZ408" i="8"/>
  <c r="BG410" i="26" s="1"/>
  <c r="CZ409" i="8"/>
  <c r="BG411" i="26" s="1"/>
  <c r="CZ410" i="8"/>
  <c r="BG412" i="26" s="1"/>
  <c r="CZ411" i="8"/>
  <c r="BG413" i="26" s="1"/>
  <c r="CZ412" i="8"/>
  <c r="BG414" i="26" s="1"/>
  <c r="CZ413" i="8"/>
  <c r="BG415" i="26" s="1"/>
  <c r="CZ414" i="8"/>
  <c r="BG416" i="26" s="1"/>
  <c r="CZ415" i="8"/>
  <c r="BG417" i="26" s="1"/>
  <c r="BL417" i="26" s="1"/>
  <c r="CZ416" i="8"/>
  <c r="BG418" i="26" s="1"/>
  <c r="CZ417" i="8"/>
  <c r="BG419" i="26" s="1"/>
  <c r="CZ418" i="8"/>
  <c r="BG420" i="26" s="1"/>
  <c r="CZ419" i="8"/>
  <c r="BG421" i="26" s="1"/>
  <c r="BL421" i="26" s="1"/>
  <c r="CZ420" i="8"/>
  <c r="BG422" i="26" s="1"/>
  <c r="BL422" i="26" s="1"/>
  <c r="CZ421" i="8"/>
  <c r="BG423" i="26" s="1"/>
  <c r="BL423" i="26" s="1"/>
  <c r="CZ422" i="8"/>
  <c r="BG424" i="26" s="1"/>
  <c r="CZ423" i="8"/>
  <c r="BG425" i="26" s="1"/>
  <c r="CZ424" i="8"/>
  <c r="BG426" i="26" s="1"/>
  <c r="CZ425" i="8"/>
  <c r="BG427" i="26" s="1"/>
  <c r="CZ426" i="8"/>
  <c r="BG428" i="26" s="1"/>
  <c r="CZ427" i="8"/>
  <c r="BG429" i="26" s="1"/>
  <c r="CZ428" i="8"/>
  <c r="BG430" i="26" s="1"/>
  <c r="BL430" i="26" s="1"/>
  <c r="CZ429" i="8"/>
  <c r="BG431" i="26" s="1"/>
  <c r="CZ430" i="8"/>
  <c r="BG432" i="26" s="1"/>
  <c r="CZ431" i="8"/>
  <c r="BG433" i="26" s="1"/>
  <c r="CZ432" i="8"/>
  <c r="BG434" i="26" s="1"/>
  <c r="BL434" i="26" s="1"/>
  <c r="CZ433" i="8"/>
  <c r="BG435" i="26" s="1"/>
  <c r="CZ434" i="8"/>
  <c r="BG436" i="26" s="1"/>
  <c r="CZ435" i="8"/>
  <c r="BG437" i="26" s="1"/>
  <c r="CZ436" i="8"/>
  <c r="BG438" i="26" s="1"/>
  <c r="CZ437" i="8"/>
  <c r="BG439" i="26" s="1"/>
  <c r="CZ438" i="8"/>
  <c r="BG440" i="26" s="1"/>
  <c r="CZ439" i="8"/>
  <c r="BG441" i="26" s="1"/>
  <c r="CZ440" i="8"/>
  <c r="BG442" i="26" s="1"/>
  <c r="CZ441" i="8"/>
  <c r="BG443" i="26" s="1"/>
  <c r="CZ442" i="8"/>
  <c r="BG444" i="26" s="1"/>
  <c r="CZ443" i="8"/>
  <c r="BG445" i="26" s="1"/>
  <c r="CZ444" i="8"/>
  <c r="BG446" i="26" s="1"/>
  <c r="CZ445" i="8"/>
  <c r="BG447" i="26" s="1"/>
  <c r="CZ446" i="8"/>
  <c r="BG448" i="26" s="1"/>
  <c r="CZ447" i="8"/>
  <c r="BG449" i="26" s="1"/>
  <c r="CZ448" i="8"/>
  <c r="BG450" i="26" s="1"/>
  <c r="CZ449" i="8"/>
  <c r="BG451" i="26" s="1"/>
  <c r="CZ450" i="8"/>
  <c r="BG452" i="26" s="1"/>
  <c r="CZ451" i="8"/>
  <c r="BG453" i="26" s="1"/>
  <c r="CZ452" i="8"/>
  <c r="BG454" i="26" s="1"/>
  <c r="CZ453" i="8"/>
  <c r="BG455" i="26" s="1"/>
  <c r="CZ454" i="8"/>
  <c r="BG456" i="26" s="1"/>
  <c r="CZ455" i="8"/>
  <c r="BG457" i="26" s="1"/>
  <c r="CZ456" i="8"/>
  <c r="BG458" i="26" s="1"/>
  <c r="CZ457" i="8"/>
  <c r="BG459" i="26" s="1"/>
  <c r="CZ458" i="8"/>
  <c r="BG460" i="26" s="1"/>
  <c r="CZ459" i="8"/>
  <c r="BG461" i="26" s="1"/>
  <c r="CZ460" i="8"/>
  <c r="BG462" i="26" s="1"/>
  <c r="BL462" i="26" s="1"/>
  <c r="CZ461" i="8"/>
  <c r="BG463" i="26" s="1"/>
  <c r="CZ462" i="8"/>
  <c r="BG464" i="26" s="1"/>
  <c r="BL464" i="26" s="1"/>
  <c r="CZ463" i="8"/>
  <c r="BG465" i="26" s="1"/>
  <c r="CZ464" i="8"/>
  <c r="BG466" i="26" s="1"/>
  <c r="CZ465" i="8"/>
  <c r="BG467" i="26" s="1"/>
  <c r="CZ466" i="8"/>
  <c r="BG468" i="26" s="1"/>
  <c r="CZ467" i="8"/>
  <c r="BG469" i="26" s="1"/>
  <c r="BL469" i="26" s="1"/>
  <c r="CZ468" i="8"/>
  <c r="BG470" i="26" s="1"/>
  <c r="CZ469" i="8"/>
  <c r="BG471" i="26" s="1"/>
  <c r="BL471" i="26" s="1"/>
  <c r="CZ470" i="8"/>
  <c r="BG472" i="26" s="1"/>
  <c r="CZ471" i="8"/>
  <c r="BG473" i="26" s="1"/>
  <c r="CZ472" i="8"/>
  <c r="BG474" i="26" s="1"/>
  <c r="CZ473" i="8"/>
  <c r="BG475" i="26" s="1"/>
  <c r="CZ474" i="8"/>
  <c r="BG476" i="26" s="1"/>
  <c r="CZ475" i="8"/>
  <c r="BG477" i="26" s="1"/>
  <c r="CZ476" i="8"/>
  <c r="BG478" i="26" s="1"/>
  <c r="CZ477" i="8"/>
  <c r="BG479" i="26" s="1"/>
  <c r="CZ478" i="8"/>
  <c r="BG480" i="26" s="1"/>
  <c r="CZ479" i="8"/>
  <c r="BG481" i="26" s="1"/>
  <c r="CZ480" i="8"/>
  <c r="BG482" i="26" s="1"/>
  <c r="CZ481" i="8"/>
  <c r="BG483" i="26" s="1"/>
  <c r="CZ482" i="8"/>
  <c r="BG484" i="26" s="1"/>
  <c r="CZ483" i="8"/>
  <c r="BG485" i="26" s="1"/>
  <c r="CZ484" i="8"/>
  <c r="BG486" i="26" s="1"/>
  <c r="CZ485" i="8"/>
  <c r="BG487" i="26" s="1"/>
  <c r="CZ486" i="8"/>
  <c r="BG488" i="26" s="1"/>
  <c r="CZ487" i="8"/>
  <c r="BG489" i="26" s="1"/>
  <c r="CZ488" i="8"/>
  <c r="BG490" i="26" s="1"/>
  <c r="CZ489" i="8"/>
  <c r="BG491" i="26" s="1"/>
  <c r="CZ490" i="8"/>
  <c r="BG492" i="26" s="1"/>
  <c r="CZ491" i="8"/>
  <c r="BG493" i="26" s="1"/>
  <c r="CZ492" i="8"/>
  <c r="BG494" i="26" s="1"/>
  <c r="CZ493" i="8"/>
  <c r="BG495" i="26" s="1"/>
  <c r="CZ494" i="8"/>
  <c r="BG496" i="26" s="1"/>
  <c r="CZ495" i="8"/>
  <c r="BG497" i="26" s="1"/>
  <c r="CZ496" i="8"/>
  <c r="BG498" i="26" s="1"/>
  <c r="CZ497" i="8"/>
  <c r="BG499" i="26" s="1"/>
  <c r="CZ498" i="8"/>
  <c r="BG500" i="26" s="1"/>
  <c r="CZ499" i="8"/>
  <c r="BG501" i="26" s="1"/>
  <c r="CZ500" i="8"/>
  <c r="BG502" i="26" s="1"/>
  <c r="CZ501" i="8"/>
  <c r="BG503" i="26" s="1"/>
  <c r="CZ502" i="8"/>
  <c r="BG504" i="26" s="1"/>
  <c r="CZ503" i="8"/>
  <c r="BG505" i="26" s="1"/>
  <c r="BL505" i="26" s="1"/>
  <c r="CZ504" i="8"/>
  <c r="BG506" i="26" s="1"/>
  <c r="BL506" i="26" s="1"/>
  <c r="CZ505" i="8"/>
  <c r="BG507" i="26" s="1"/>
  <c r="BL507" i="26" s="1"/>
  <c r="CZ506" i="8"/>
  <c r="BG508" i="26" s="1"/>
  <c r="BL508" i="26" s="1"/>
  <c r="CZ507" i="8"/>
  <c r="BG509" i="26" s="1"/>
  <c r="CZ508" i="8"/>
  <c r="BG510" i="26" s="1"/>
  <c r="BL510" i="26" s="1"/>
  <c r="CZ509" i="8"/>
  <c r="BG511" i="26" s="1"/>
  <c r="BL511" i="26" s="1"/>
  <c r="CZ510" i="8"/>
  <c r="BG512" i="26" s="1"/>
  <c r="BL512" i="26" s="1"/>
  <c r="CZ511" i="8"/>
  <c r="BG513" i="26" s="1"/>
  <c r="BL513" i="26" s="1"/>
  <c r="CZ512" i="8"/>
  <c r="BG514" i="26" s="1"/>
  <c r="CZ513" i="8"/>
  <c r="BG515" i="26" s="1"/>
  <c r="CZ514" i="8"/>
  <c r="BG516" i="26" s="1"/>
  <c r="BL516" i="26" s="1"/>
  <c r="CZ515" i="8"/>
  <c r="BG517" i="26" s="1"/>
  <c r="BL517" i="26" s="1"/>
  <c r="CZ516" i="8"/>
  <c r="BG518" i="26" s="1"/>
  <c r="CZ517" i="8"/>
  <c r="BG519" i="26" s="1"/>
  <c r="CZ518" i="8"/>
  <c r="BG520" i="26" s="1"/>
  <c r="CZ519" i="8"/>
  <c r="BG521" i="26" s="1"/>
  <c r="CZ520" i="8"/>
  <c r="BG522" i="26" s="1"/>
  <c r="CZ521" i="8"/>
  <c r="BG523" i="26" s="1"/>
  <c r="BL523" i="26" s="1"/>
  <c r="CZ522" i="8"/>
  <c r="BG524" i="26" s="1"/>
  <c r="CZ523" i="8"/>
  <c r="BG525" i="26" s="1"/>
  <c r="BL525" i="26" s="1"/>
  <c r="CZ524" i="8"/>
  <c r="BG526" i="26" s="1"/>
  <c r="CZ525" i="8"/>
  <c r="BG527" i="26" s="1"/>
  <c r="BL527" i="26" s="1"/>
  <c r="CZ526" i="8"/>
  <c r="BG528" i="26" s="1"/>
  <c r="BL528" i="26" s="1"/>
  <c r="CZ527" i="8"/>
  <c r="BG529" i="26" s="1"/>
  <c r="CZ528" i="8"/>
  <c r="BG530" i="26" s="1"/>
  <c r="BL530" i="26" s="1"/>
  <c r="CZ529" i="8"/>
  <c r="BG531" i="26" s="1"/>
  <c r="BL531" i="26" s="1"/>
  <c r="CZ530" i="8"/>
  <c r="BG532" i="26" s="1"/>
  <c r="BL532" i="26" s="1"/>
  <c r="CZ531" i="8"/>
  <c r="BG533" i="26" s="1"/>
  <c r="CZ532" i="8"/>
  <c r="BG534" i="26" s="1"/>
  <c r="CZ533" i="8"/>
  <c r="BG535" i="26" s="1"/>
  <c r="CZ534" i="8"/>
  <c r="BG536" i="26" s="1"/>
  <c r="CZ535" i="8"/>
  <c r="BG537" i="26" s="1"/>
  <c r="CZ536" i="8"/>
  <c r="BG538" i="26" s="1"/>
  <c r="CZ537" i="8"/>
  <c r="BG539" i="26" s="1"/>
  <c r="CZ538" i="8"/>
  <c r="BG540" i="26" s="1"/>
  <c r="CZ539" i="8"/>
  <c r="BG541" i="26" s="1"/>
  <c r="CZ540" i="8"/>
  <c r="BG542" i="26" s="1"/>
  <c r="BL542" i="26" s="1"/>
  <c r="CZ541" i="8"/>
  <c r="BG543" i="26" s="1"/>
  <c r="BL543" i="26" s="1"/>
  <c r="CZ542" i="8"/>
  <c r="BG544" i="26" s="1"/>
  <c r="BL544" i="26" s="1"/>
  <c r="CZ543" i="8"/>
  <c r="BG545" i="26" s="1"/>
  <c r="BL545" i="26" s="1"/>
  <c r="CZ544" i="8"/>
  <c r="BG546" i="26" s="1"/>
  <c r="CZ545" i="8"/>
  <c r="BG547" i="26" s="1"/>
  <c r="CZ546" i="8"/>
  <c r="BG548" i="26" s="1"/>
  <c r="BL548" i="26" s="1"/>
  <c r="CZ547" i="8"/>
  <c r="BG549" i="26" s="1"/>
  <c r="CZ548" i="8"/>
  <c r="BG550" i="26" s="1"/>
  <c r="BL550" i="26" s="1"/>
  <c r="CZ549" i="8"/>
  <c r="BG551" i="26" s="1"/>
  <c r="BL551" i="26" s="1"/>
  <c r="CZ550" i="8"/>
  <c r="BG552" i="26" s="1"/>
  <c r="BL552" i="26" s="1"/>
  <c r="CZ551" i="8"/>
  <c r="BG553" i="26" s="1"/>
  <c r="BL553" i="26" s="1"/>
  <c r="CZ552" i="8"/>
  <c r="BG554" i="26" s="1"/>
  <c r="BL554" i="26" s="1"/>
  <c r="CZ553" i="8"/>
  <c r="BG555" i="26" s="1"/>
  <c r="BL555" i="26" s="1"/>
  <c r="CZ554" i="8"/>
  <c r="BG556" i="26" s="1"/>
  <c r="BL556" i="26" s="1"/>
  <c r="CZ555" i="8"/>
  <c r="BG557" i="26" s="1"/>
  <c r="BL557" i="26" s="1"/>
  <c r="CZ556" i="8"/>
  <c r="BG558" i="26" s="1"/>
  <c r="BL558" i="26" s="1"/>
  <c r="CZ557" i="8"/>
  <c r="BG559" i="26" s="1"/>
  <c r="BL559" i="26" s="1"/>
  <c r="CZ558" i="8"/>
  <c r="BG560" i="26" s="1"/>
  <c r="BL560" i="26" s="1"/>
  <c r="CZ559" i="8"/>
  <c r="BG561" i="26" s="1"/>
  <c r="CZ560" i="8"/>
  <c r="BG562" i="26" s="1"/>
  <c r="BL562" i="26" s="1"/>
  <c r="CZ561" i="8"/>
  <c r="BG563" i="26" s="1"/>
  <c r="CZ562" i="8"/>
  <c r="BG564" i="26" s="1"/>
  <c r="CZ563" i="8"/>
  <c r="BG565" i="26" s="1"/>
  <c r="CZ564" i="8"/>
  <c r="BG566" i="26" s="1"/>
  <c r="CZ565" i="8"/>
  <c r="BG567" i="26" s="1"/>
  <c r="CZ566" i="8"/>
  <c r="BG568" i="26" s="1"/>
  <c r="CZ567" i="8"/>
  <c r="BG569" i="26" s="1"/>
  <c r="BL569" i="26" s="1"/>
  <c r="CZ568" i="8"/>
  <c r="BG570" i="26" s="1"/>
  <c r="CZ569" i="8"/>
  <c r="BG571" i="26" s="1"/>
  <c r="CZ570" i="8"/>
  <c r="BG572" i="26" s="1"/>
  <c r="CZ571" i="8"/>
  <c r="BG573" i="26" s="1"/>
  <c r="CZ572" i="8"/>
  <c r="BG574" i="26" s="1"/>
  <c r="CZ573" i="8"/>
  <c r="BG575" i="26" s="1"/>
  <c r="CZ574" i="8"/>
  <c r="BG576" i="26" s="1"/>
  <c r="CZ575" i="8"/>
  <c r="BG577" i="26" s="1"/>
  <c r="CZ576" i="8"/>
  <c r="BG578" i="26" s="1"/>
  <c r="CZ577" i="8"/>
  <c r="BG579" i="26" s="1"/>
  <c r="CZ578" i="8"/>
  <c r="BG580" i="26" s="1"/>
  <c r="CZ579" i="8"/>
  <c r="BG581" i="26" s="1"/>
  <c r="CZ580" i="8"/>
  <c r="BG582" i="26" s="1"/>
  <c r="CZ581" i="8"/>
  <c r="BG583" i="26" s="1"/>
  <c r="CZ582" i="8"/>
  <c r="BG584" i="26" s="1"/>
  <c r="CZ583" i="8"/>
  <c r="BG585" i="26" s="1"/>
  <c r="CZ584" i="8"/>
  <c r="BG586" i="26" s="1"/>
  <c r="CZ585" i="8"/>
  <c r="BG587" i="26" s="1"/>
  <c r="CZ586" i="8"/>
  <c r="BG588" i="26" s="1"/>
  <c r="CZ587" i="8"/>
  <c r="BG589" i="26" s="1"/>
  <c r="CZ588" i="8"/>
  <c r="BG590" i="26" s="1"/>
  <c r="CZ589" i="8"/>
  <c r="BG591" i="26" s="1"/>
  <c r="CZ590" i="8"/>
  <c r="BG592" i="26" s="1"/>
  <c r="CZ591" i="8"/>
  <c r="BG593" i="26" s="1"/>
  <c r="CZ592" i="8"/>
  <c r="BG594" i="26" s="1"/>
  <c r="CZ593" i="8"/>
  <c r="BG595" i="26" s="1"/>
  <c r="CZ594" i="8"/>
  <c r="BG596" i="26" s="1"/>
  <c r="CZ595" i="8"/>
  <c r="BG597" i="26" s="1"/>
  <c r="CZ596" i="8"/>
  <c r="BG598" i="26" s="1"/>
  <c r="CZ597" i="8"/>
  <c r="BG599" i="26" s="1"/>
  <c r="CZ598" i="8"/>
  <c r="BG600" i="26" s="1"/>
  <c r="CZ599" i="8"/>
  <c r="BG601" i="26" s="1"/>
  <c r="CZ600" i="8"/>
  <c r="BG602" i="26" s="1"/>
  <c r="CZ601" i="8"/>
  <c r="BG603" i="26" s="1"/>
  <c r="CZ602" i="8"/>
  <c r="BG604" i="26" s="1"/>
  <c r="CZ603" i="8"/>
  <c r="BG605" i="26" s="1"/>
  <c r="CZ604" i="8"/>
  <c r="BG606" i="26" s="1"/>
  <c r="CZ605" i="8"/>
  <c r="BG607" i="26" s="1"/>
  <c r="CZ606" i="8"/>
  <c r="BG608" i="26" s="1"/>
  <c r="CZ607" i="8"/>
  <c r="BG609" i="26" s="1"/>
  <c r="CZ608" i="8"/>
  <c r="BG610" i="26" s="1"/>
  <c r="CZ609" i="8"/>
  <c r="BG611" i="26" s="1"/>
  <c r="CZ610" i="8"/>
  <c r="CZ611" i="8"/>
  <c r="BG613" i="26" s="1"/>
  <c r="CZ612" i="8"/>
  <c r="BG614" i="26" s="1"/>
  <c r="CZ613" i="8"/>
  <c r="BG615" i="26" s="1"/>
  <c r="CZ614" i="8"/>
  <c r="BG616" i="26" s="1"/>
  <c r="CZ615" i="8"/>
  <c r="BG617" i="26" s="1"/>
  <c r="CZ616" i="8"/>
  <c r="CZ617" i="8"/>
  <c r="CZ618" i="8"/>
  <c r="BG620" i="26" s="1"/>
  <c r="CZ619" i="8"/>
  <c r="CZ620" i="8"/>
  <c r="BG622" i="26" s="1"/>
  <c r="BL622" i="26" s="1"/>
  <c r="CZ621" i="8"/>
  <c r="CZ622" i="8"/>
  <c r="CZ623" i="8"/>
  <c r="CZ624" i="8"/>
  <c r="BG626" i="26" s="1"/>
  <c r="BL626" i="26" s="1"/>
  <c r="CZ625" i="8"/>
  <c r="CZ626" i="8"/>
  <c r="CZ627" i="8"/>
  <c r="BG629" i="26" s="1"/>
  <c r="CZ628" i="8"/>
  <c r="CZ629" i="8"/>
  <c r="BG631" i="26" s="1"/>
  <c r="CZ630" i="8"/>
  <c r="CZ631" i="8"/>
  <c r="BG633" i="26" s="1"/>
  <c r="BL633" i="26" s="1"/>
  <c r="CZ632" i="8"/>
  <c r="CZ633" i="8"/>
  <c r="CZ634" i="8"/>
  <c r="BG636" i="26" s="1"/>
  <c r="BL636" i="26" s="1"/>
  <c r="CZ635" i="8"/>
  <c r="CZ636" i="8"/>
  <c r="BG638" i="26" s="1"/>
  <c r="BL638" i="26" s="1"/>
  <c r="CZ637" i="8"/>
  <c r="CZ638" i="8"/>
  <c r="CZ639" i="8"/>
  <c r="CZ640" i="8"/>
  <c r="BG642" i="26" s="1"/>
  <c r="BL642" i="26" s="1"/>
  <c r="CZ641" i="8"/>
  <c r="BG643" i="26" s="1"/>
  <c r="BL643" i="26" s="1"/>
  <c r="CZ642" i="8"/>
  <c r="CZ643" i="8"/>
  <c r="BG645" i="26" s="1"/>
  <c r="CZ644" i="8"/>
  <c r="BG646" i="26" s="1"/>
  <c r="BL646" i="26" s="1"/>
  <c r="CZ645" i="8"/>
  <c r="BG647" i="26" s="1"/>
  <c r="BL647" i="26" s="1"/>
  <c r="CZ646" i="8"/>
  <c r="BG648" i="26" s="1"/>
  <c r="CZ647" i="8"/>
  <c r="BG649" i="26" s="1"/>
  <c r="BL649" i="26" s="1"/>
  <c r="CZ648" i="8"/>
  <c r="CZ649" i="8"/>
  <c r="CZ650" i="8"/>
  <c r="BG652" i="26" s="1"/>
  <c r="BL652" i="26" s="1"/>
  <c r="CZ651" i="8"/>
  <c r="CZ652" i="8"/>
  <c r="BG654" i="26" s="1"/>
  <c r="BL654" i="26" s="1"/>
  <c r="CZ653" i="8"/>
  <c r="CZ654" i="8"/>
  <c r="CZ655" i="8"/>
  <c r="CZ656" i="8"/>
  <c r="BG658" i="26" s="1"/>
  <c r="CZ657" i="8"/>
  <c r="CZ658" i="8"/>
  <c r="CZ659" i="8"/>
  <c r="BG661" i="26" s="1"/>
  <c r="CZ660" i="8"/>
  <c r="CZ661" i="8"/>
  <c r="BG663" i="26" s="1"/>
  <c r="CZ662" i="8"/>
  <c r="BG664" i="26" s="1"/>
  <c r="CZ663" i="8"/>
  <c r="BG665" i="26" s="1"/>
  <c r="CZ664" i="8"/>
  <c r="CZ665" i="8"/>
  <c r="CZ666" i="8"/>
  <c r="BG668" i="26" s="1"/>
  <c r="CZ667" i="8"/>
  <c r="CZ668" i="8"/>
  <c r="BG670" i="26" s="1"/>
  <c r="BL670" i="26" s="1"/>
  <c r="CZ669" i="8"/>
  <c r="CZ670" i="8"/>
  <c r="CZ671" i="8"/>
  <c r="CZ672" i="8"/>
  <c r="BG674" i="26" s="1"/>
  <c r="CZ673" i="8"/>
  <c r="BG675" i="26" s="1"/>
  <c r="BL675" i="26" s="1"/>
  <c r="CZ674" i="8"/>
  <c r="CZ675" i="8"/>
  <c r="BG677" i="26" s="1"/>
  <c r="BL677" i="26" s="1"/>
  <c r="CZ676" i="8"/>
  <c r="CZ677" i="8"/>
  <c r="BG679" i="26" s="1"/>
  <c r="CZ678" i="8"/>
  <c r="BG680" i="26" s="1"/>
  <c r="CZ679" i="8"/>
  <c r="BG681" i="26" s="1"/>
  <c r="CZ680" i="8"/>
  <c r="CZ681" i="8"/>
  <c r="CZ682" i="8"/>
  <c r="BG684" i="26" s="1"/>
  <c r="CZ683" i="8"/>
  <c r="CZ684" i="8"/>
  <c r="BG686" i="26" s="1"/>
  <c r="BL686" i="26" s="1"/>
  <c r="CZ685" i="8"/>
  <c r="CZ686" i="8"/>
  <c r="CZ687" i="8"/>
  <c r="CZ688" i="8"/>
  <c r="BG690" i="26" s="1"/>
  <c r="BL690" i="26" s="1"/>
  <c r="CZ689" i="8"/>
  <c r="BG691" i="26" s="1"/>
  <c r="CZ690" i="8"/>
  <c r="CZ691" i="8"/>
  <c r="BG693" i="26" s="1"/>
  <c r="CZ692" i="8"/>
  <c r="BG694" i="26" s="1"/>
  <c r="CZ693" i="8"/>
  <c r="BG695" i="26" s="1"/>
  <c r="CZ694" i="8"/>
  <c r="BG696" i="26" s="1"/>
  <c r="CZ695" i="8"/>
  <c r="BG697" i="26" s="1"/>
  <c r="CZ696" i="8"/>
  <c r="CZ697" i="8"/>
  <c r="CZ698" i="8"/>
  <c r="BG700" i="26" s="1"/>
  <c r="CZ699" i="8"/>
  <c r="CZ700" i="8"/>
  <c r="BG702" i="26" s="1"/>
  <c r="CZ701" i="8"/>
  <c r="CZ702" i="8"/>
  <c r="CZ703" i="8"/>
  <c r="CZ704" i="8"/>
  <c r="BG706" i="26" s="1"/>
  <c r="CZ705" i="8"/>
  <c r="CZ706" i="8"/>
  <c r="CZ707" i="8"/>
  <c r="BG709" i="26" s="1"/>
  <c r="CZ708" i="8"/>
  <c r="CZ709" i="8"/>
  <c r="BG711" i="26" s="1"/>
  <c r="CZ710" i="8"/>
  <c r="CZ711" i="8"/>
  <c r="BG713" i="26" s="1"/>
  <c r="CZ712" i="8"/>
  <c r="CZ713" i="8"/>
  <c r="CZ714" i="8"/>
  <c r="BG716" i="26" s="1"/>
  <c r="CZ715" i="8"/>
  <c r="CZ716" i="8"/>
  <c r="BG718" i="26" s="1"/>
  <c r="CZ717" i="8"/>
  <c r="CZ718" i="8"/>
  <c r="CZ719" i="8"/>
  <c r="CZ720" i="8"/>
  <c r="BG722" i="26" s="1"/>
  <c r="CZ721" i="8"/>
  <c r="BG723" i="26" s="1"/>
  <c r="CZ722" i="8"/>
  <c r="CZ723" i="8"/>
  <c r="BG725" i="26" s="1"/>
  <c r="CZ724" i="8"/>
  <c r="BG726" i="26" s="1"/>
  <c r="CZ725" i="8"/>
  <c r="BG727" i="26" s="1"/>
  <c r="CZ726" i="8"/>
  <c r="CZ727" i="8"/>
  <c r="BG729" i="26" s="1"/>
  <c r="CZ728" i="8"/>
  <c r="CZ729" i="8"/>
  <c r="CZ730" i="8"/>
  <c r="BG732" i="26" s="1"/>
  <c r="BL732" i="26" s="1"/>
  <c r="CZ731" i="8"/>
  <c r="CZ732" i="8"/>
  <c r="BG734" i="26" s="1"/>
  <c r="CZ733" i="8"/>
  <c r="CZ734" i="8"/>
  <c r="CZ735" i="8"/>
  <c r="CZ736" i="8"/>
  <c r="BG738" i="26" s="1"/>
  <c r="CZ737" i="8"/>
  <c r="CZ738" i="8"/>
  <c r="CZ739" i="8"/>
  <c r="BG741" i="26" s="1"/>
  <c r="CZ740" i="8"/>
  <c r="BG742" i="26" s="1"/>
  <c r="BL742" i="26" s="1"/>
  <c r="CZ741" i="8"/>
  <c r="BG743" i="26" s="1"/>
  <c r="CZ742" i="8"/>
  <c r="BG744" i="26" s="1"/>
  <c r="BL744" i="26" s="1"/>
  <c r="CZ743" i="8"/>
  <c r="BG745" i="26" s="1"/>
  <c r="CZ744" i="8"/>
  <c r="CZ745" i="8"/>
  <c r="CZ746" i="8"/>
  <c r="BG748" i="26" s="1"/>
  <c r="CZ747" i="8"/>
  <c r="CZ748" i="8"/>
  <c r="BG750" i="26" s="1"/>
  <c r="CZ749" i="8"/>
  <c r="CZ750" i="8"/>
  <c r="CZ751" i="8"/>
  <c r="CZ752" i="8"/>
  <c r="BG754" i="26" s="1"/>
  <c r="CZ753" i="8"/>
  <c r="CZ754" i="8"/>
  <c r="CZ755" i="8"/>
  <c r="BG757" i="26" s="1"/>
  <c r="BL757" i="26" s="1"/>
  <c r="CZ756" i="8"/>
  <c r="CZ757" i="8"/>
  <c r="BG759" i="26" s="1"/>
  <c r="BL759" i="26" s="1"/>
  <c r="CZ758" i="8"/>
  <c r="CZ759" i="8"/>
  <c r="BG761" i="26" s="1"/>
  <c r="CZ760" i="8"/>
  <c r="CZ761" i="8"/>
  <c r="CZ762" i="8"/>
  <c r="BG764" i="26" s="1"/>
  <c r="CZ763" i="8"/>
  <c r="CZ764" i="8"/>
  <c r="BG766" i="26" s="1"/>
  <c r="CZ765" i="8"/>
  <c r="BG767" i="26" s="1"/>
  <c r="CZ766" i="8"/>
  <c r="CZ767" i="8"/>
  <c r="CZ768" i="8"/>
  <c r="BG770" i="26" s="1"/>
  <c r="CZ769" i="8"/>
  <c r="BG771" i="26" s="1"/>
  <c r="CZ770" i="8"/>
  <c r="CZ771" i="8"/>
  <c r="BG773" i="26" s="1"/>
  <c r="CZ772" i="8"/>
  <c r="BG774" i="26" s="1"/>
  <c r="CZ773" i="8"/>
  <c r="BG775" i="26" s="1"/>
  <c r="CZ774" i="8"/>
  <c r="BG776" i="26" s="1"/>
  <c r="CZ775" i="8"/>
  <c r="BG777" i="26" s="1"/>
  <c r="BL777" i="26" s="1"/>
  <c r="CZ776" i="8"/>
  <c r="CZ777" i="8"/>
  <c r="CZ778" i="8"/>
  <c r="BG780" i="26" s="1"/>
  <c r="BL780" i="26" s="1"/>
  <c r="CZ779" i="8"/>
  <c r="CZ780" i="8"/>
  <c r="BG782" i="26" s="1"/>
  <c r="CZ781" i="8"/>
  <c r="BG783" i="26" s="1"/>
  <c r="CZ782" i="8"/>
  <c r="CZ783" i="8"/>
  <c r="CZ784" i="8"/>
  <c r="BG786" i="26" s="1"/>
  <c r="CZ785" i="8"/>
  <c r="CZ786" i="8"/>
  <c r="CZ787" i="8"/>
  <c r="BG789" i="26" s="1"/>
  <c r="CZ788" i="8"/>
  <c r="CZ789" i="8"/>
  <c r="BG791" i="26" s="1"/>
  <c r="CZ790" i="8"/>
  <c r="CZ791" i="8"/>
  <c r="BG793" i="26" s="1"/>
  <c r="BL793" i="26" s="1"/>
  <c r="CZ792" i="8"/>
  <c r="CZ793" i="8"/>
  <c r="CZ794" i="8"/>
  <c r="BG796" i="26" s="1"/>
  <c r="BL796" i="26" s="1"/>
  <c r="CZ9" i="8"/>
  <c r="BG11" i="26" s="1"/>
  <c r="BH198" i="26"/>
  <c r="BM198" i="26" s="1"/>
  <c r="BG179" i="26"/>
  <c r="BG180" i="26"/>
  <c r="BG182" i="26"/>
  <c r="BG183" i="26"/>
  <c r="BG184" i="26"/>
  <c r="BG185" i="26"/>
  <c r="BG187" i="26"/>
  <c r="BG188" i="26"/>
  <c r="BG191" i="26"/>
  <c r="BG192" i="26"/>
  <c r="BG193" i="26"/>
  <c r="BG196" i="26"/>
  <c r="BG198" i="26"/>
  <c r="BL198" i="26" s="1"/>
  <c r="BG199" i="26"/>
  <c r="BL199" i="26" s="1"/>
  <c r="BG200" i="26"/>
  <c r="BL200" i="26" s="1"/>
  <c r="BG201" i="26"/>
  <c r="BL201" i="26" s="1"/>
  <c r="BG202" i="26"/>
  <c r="BL202" i="26" s="1"/>
  <c r="BG203" i="26"/>
  <c r="BG204" i="26"/>
  <c r="BG207" i="26"/>
  <c r="BG208" i="26"/>
  <c r="BG209" i="26"/>
  <c r="BG212" i="26"/>
  <c r="BG217" i="26"/>
  <c r="BG218" i="26"/>
  <c r="BG219" i="26"/>
  <c r="BG220" i="26"/>
  <c r="BG223" i="26"/>
  <c r="BG224" i="26"/>
  <c r="BG225" i="26"/>
  <c r="BG227" i="26"/>
  <c r="BG228" i="26"/>
  <c r="BG235" i="26"/>
  <c r="BG237" i="26"/>
  <c r="BL237" i="26" s="1"/>
  <c r="BG239" i="26"/>
  <c r="BG240" i="26"/>
  <c r="BG241" i="26"/>
  <c r="BG243" i="26"/>
  <c r="BL243" i="26" s="1"/>
  <c r="BG244" i="26"/>
  <c r="BG246" i="26"/>
  <c r="BL246" i="26" s="1"/>
  <c r="BG248" i="26"/>
  <c r="BG250" i="26"/>
  <c r="BG251" i="26"/>
  <c r="BG253" i="26"/>
  <c r="BG255" i="26"/>
  <c r="BG256" i="26"/>
  <c r="BL256" i="26" s="1"/>
  <c r="BG257" i="26"/>
  <c r="BG260" i="26"/>
  <c r="BG266" i="26"/>
  <c r="BG267" i="26"/>
  <c r="BL267" i="26" s="1"/>
  <c r="BG269" i="26"/>
  <c r="BG271" i="26"/>
  <c r="BG272" i="26"/>
  <c r="BG273" i="26"/>
  <c r="BG275" i="26"/>
  <c r="BG276" i="26"/>
  <c r="BG278" i="26"/>
  <c r="BG283" i="26"/>
  <c r="BG285" i="26"/>
  <c r="BG287" i="26"/>
  <c r="BG288" i="26"/>
  <c r="BG289" i="26"/>
  <c r="BG292" i="26"/>
  <c r="BL292" i="26" s="1"/>
  <c r="BG294" i="26"/>
  <c r="BG298" i="26"/>
  <c r="BG299" i="26"/>
  <c r="BL299" i="26" s="1"/>
  <c r="BG301" i="26"/>
  <c r="BG303" i="26"/>
  <c r="BG304" i="26"/>
  <c r="BG305" i="26"/>
  <c r="BG308" i="26"/>
  <c r="BG315" i="26"/>
  <c r="BG317" i="26"/>
  <c r="BG319" i="26"/>
  <c r="BG320" i="26"/>
  <c r="BG321" i="26"/>
  <c r="BG323" i="26"/>
  <c r="BG324" i="26"/>
  <c r="BG326" i="26"/>
  <c r="BG328" i="26"/>
  <c r="BG330" i="26"/>
  <c r="BG331" i="26"/>
  <c r="BG333" i="26"/>
  <c r="BG335" i="26"/>
  <c r="BG336" i="26"/>
  <c r="BG337" i="26"/>
  <c r="BG340" i="26"/>
  <c r="BG344" i="26"/>
  <c r="BG346" i="26"/>
  <c r="BG347" i="26"/>
  <c r="BG349" i="26"/>
  <c r="BG351" i="26"/>
  <c r="BG352" i="26"/>
  <c r="BG353" i="26"/>
  <c r="BG355" i="26"/>
  <c r="BG356" i="26"/>
  <c r="BG363" i="26"/>
  <c r="BG365" i="26"/>
  <c r="BG367" i="26"/>
  <c r="BG368" i="26"/>
  <c r="BG369" i="26"/>
  <c r="BG371" i="26"/>
  <c r="BG372" i="26"/>
  <c r="BG374" i="26"/>
  <c r="BG376" i="26"/>
  <c r="BG378" i="26"/>
  <c r="BG379" i="26"/>
  <c r="BG381" i="26"/>
  <c r="BG383" i="26"/>
  <c r="BG384" i="26"/>
  <c r="BG385" i="26"/>
  <c r="BG612" i="26"/>
  <c r="BG618" i="26"/>
  <c r="BG619" i="26"/>
  <c r="BG621" i="26"/>
  <c r="BG623" i="26"/>
  <c r="BG624" i="26"/>
  <c r="BL624" i="26" s="1"/>
  <c r="BG625" i="26"/>
  <c r="BG627" i="26"/>
  <c r="BG628" i="26"/>
  <c r="BG630" i="26"/>
  <c r="BG632" i="26"/>
  <c r="BL632" i="26" s="1"/>
  <c r="BG634" i="26"/>
  <c r="BL634" i="26" s="1"/>
  <c r="BG635" i="26"/>
  <c r="BG637" i="26"/>
  <c r="BL637" i="26" s="1"/>
  <c r="BG639" i="26"/>
  <c r="BL639" i="26" s="1"/>
  <c r="BG640" i="26"/>
  <c r="BL640" i="26" s="1"/>
  <c r="BG641" i="26"/>
  <c r="BL641" i="26" s="1"/>
  <c r="BG644" i="26"/>
  <c r="BG650" i="26"/>
  <c r="BL650" i="26" s="1"/>
  <c r="BG651" i="26"/>
  <c r="BG653" i="26"/>
  <c r="BL653" i="26" s="1"/>
  <c r="BG655" i="26"/>
  <c r="BL655" i="26" s="1"/>
  <c r="BG656" i="26"/>
  <c r="BG657" i="26"/>
  <c r="BG659" i="26"/>
  <c r="BG660" i="26"/>
  <c r="BG662" i="26"/>
  <c r="BL662" i="26" s="1"/>
  <c r="BG666" i="26"/>
  <c r="BG667" i="26"/>
  <c r="BG669" i="26"/>
  <c r="BG671" i="26"/>
  <c r="BL671" i="26" s="1"/>
  <c r="BG672" i="26"/>
  <c r="BG673" i="26"/>
  <c r="BG676" i="26"/>
  <c r="BG678" i="26"/>
  <c r="BG682" i="26"/>
  <c r="BG683" i="26"/>
  <c r="BG685" i="26"/>
  <c r="BG687" i="26"/>
  <c r="BG688" i="26"/>
  <c r="BG689" i="26"/>
  <c r="BG692" i="26"/>
  <c r="BG698" i="26"/>
  <c r="BG699" i="26"/>
  <c r="BG701" i="26"/>
  <c r="BG703" i="26"/>
  <c r="BG704" i="26"/>
  <c r="BG705" i="26"/>
  <c r="BL705" i="26" s="1"/>
  <c r="BG707" i="26"/>
  <c r="BG708" i="26"/>
  <c r="BG710" i="26"/>
  <c r="BG712" i="26"/>
  <c r="BL712" i="26" s="1"/>
  <c r="BG714" i="26"/>
  <c r="BG715" i="26"/>
  <c r="BG717" i="26"/>
  <c r="BG719" i="26"/>
  <c r="BG720" i="26"/>
  <c r="BG721" i="26"/>
  <c r="BG724" i="26"/>
  <c r="BG728" i="26"/>
  <c r="BG730" i="26"/>
  <c r="BG731" i="26"/>
  <c r="BG733" i="26"/>
  <c r="BG735" i="26"/>
  <c r="BG736" i="26"/>
  <c r="BG737" i="26"/>
  <c r="BG739" i="26"/>
  <c r="BG740" i="26"/>
  <c r="BG746" i="26"/>
  <c r="BG747" i="26"/>
  <c r="BG749" i="26"/>
  <c r="BG751" i="26"/>
  <c r="BL751" i="26" s="1"/>
  <c r="BG752" i="26"/>
  <c r="BL752" i="26" s="1"/>
  <c r="BG753" i="26"/>
  <c r="BG755" i="26"/>
  <c r="BG756" i="26"/>
  <c r="BL756" i="26" s="1"/>
  <c r="BG758" i="26"/>
  <c r="BL758" i="26" s="1"/>
  <c r="BG760" i="26"/>
  <c r="BG762" i="26"/>
  <c r="BG763" i="26"/>
  <c r="BG765" i="26"/>
  <c r="BG768" i="26"/>
  <c r="BG769" i="26"/>
  <c r="BL769" i="26" s="1"/>
  <c r="BG772" i="26"/>
  <c r="BG778" i="26"/>
  <c r="BL778" i="26" s="1"/>
  <c r="BG779" i="26"/>
  <c r="BL779" i="26" s="1"/>
  <c r="BG781" i="26"/>
  <c r="BL781" i="26" s="1"/>
  <c r="BG784" i="26"/>
  <c r="BG785" i="26"/>
  <c r="BG787" i="26"/>
  <c r="BG788" i="26"/>
  <c r="BG790" i="26"/>
  <c r="BG792" i="26"/>
  <c r="BG794" i="26"/>
  <c r="BL794" i="26" s="1"/>
  <c r="BG795" i="26"/>
  <c r="BL795" i="26" s="1"/>
  <c r="BF8" i="26"/>
  <c r="BK8" i="26" s="1"/>
  <c r="BF10" i="26"/>
  <c r="BK10" i="26" s="1"/>
  <c r="BF12" i="26"/>
  <c r="BF14" i="26"/>
  <c r="BF16" i="26"/>
  <c r="BF17" i="26"/>
  <c r="BF18" i="26"/>
  <c r="BF20" i="26"/>
  <c r="BF23" i="26"/>
  <c r="BF25" i="26"/>
  <c r="BF27" i="26"/>
  <c r="BF28" i="26"/>
  <c r="BF30" i="26"/>
  <c r="BF32" i="26"/>
  <c r="BF33" i="26"/>
  <c r="BF34" i="26"/>
  <c r="BF36" i="26"/>
  <c r="BF37" i="26"/>
  <c r="BK37" i="26" s="1"/>
  <c r="BF38" i="26"/>
  <c r="BF39" i="26"/>
  <c r="BF41" i="26"/>
  <c r="BF42" i="26"/>
  <c r="BF43" i="26"/>
  <c r="BF44" i="26"/>
  <c r="BF45" i="26"/>
  <c r="BF46" i="26"/>
  <c r="BF47" i="26"/>
  <c r="BF48" i="26"/>
  <c r="BF49" i="26"/>
  <c r="BK49" i="26" s="1"/>
  <c r="BF50" i="26"/>
  <c r="DA6" i="8"/>
  <c r="BH8" i="26" s="1"/>
  <c r="BM8" i="26" s="1"/>
  <c r="DA7" i="8"/>
  <c r="BH9" i="26" s="1"/>
  <c r="BM9" i="26" s="1"/>
  <c r="DA8" i="8"/>
  <c r="BH10" i="26" s="1"/>
  <c r="BM10" i="26" s="1"/>
  <c r="DA10" i="8"/>
  <c r="BH12" i="26" s="1"/>
  <c r="DA11" i="8"/>
  <c r="BH13" i="26" s="1"/>
  <c r="DA12" i="8"/>
  <c r="BH14" i="26" s="1"/>
  <c r="DA13" i="8"/>
  <c r="BH15" i="26" s="1"/>
  <c r="DA14" i="8"/>
  <c r="BH16" i="26" s="1"/>
  <c r="DA15" i="8"/>
  <c r="BH17" i="26" s="1"/>
  <c r="DA16" i="8"/>
  <c r="BH18" i="26" s="1"/>
  <c r="DA17" i="8"/>
  <c r="BH19" i="26" s="1"/>
  <c r="DA18" i="8"/>
  <c r="BH20" i="26" s="1"/>
  <c r="DA19" i="8"/>
  <c r="BH21" i="26" s="1"/>
  <c r="DA20" i="8"/>
  <c r="BH22" i="26" s="1"/>
  <c r="DA21" i="8"/>
  <c r="BH23" i="26" s="1"/>
  <c r="DA22" i="8"/>
  <c r="BH24" i="26" s="1"/>
  <c r="DA23" i="8"/>
  <c r="BH25" i="26" s="1"/>
  <c r="DA24" i="8"/>
  <c r="BH26" i="26" s="1"/>
  <c r="DA25" i="8"/>
  <c r="BH27" i="26" s="1"/>
  <c r="DA26" i="8"/>
  <c r="BH28" i="26" s="1"/>
  <c r="BM28" i="26" s="1"/>
  <c r="DA27" i="8"/>
  <c r="BH29" i="26" s="1"/>
  <c r="DA28" i="8"/>
  <c r="BH30" i="26" s="1"/>
  <c r="DA29" i="8"/>
  <c r="BH31" i="26" s="1"/>
  <c r="DA30" i="8"/>
  <c r="BH32" i="26" s="1"/>
  <c r="DA31" i="8"/>
  <c r="BH33" i="26" s="1"/>
  <c r="DA32" i="8"/>
  <c r="BH34" i="26" s="1"/>
  <c r="DA33" i="8"/>
  <c r="BH35" i="26" s="1"/>
  <c r="DA34" i="8"/>
  <c r="BH36" i="26" s="1"/>
  <c r="DA35" i="8"/>
  <c r="BH37" i="26" s="1"/>
  <c r="BM37" i="26" s="1"/>
  <c r="DA36" i="8"/>
  <c r="BH38" i="26" s="1"/>
  <c r="DA37" i="8"/>
  <c r="BH39" i="26" s="1"/>
  <c r="DA38" i="8"/>
  <c r="BH40" i="26" s="1"/>
  <c r="DA39" i="8"/>
  <c r="BH41" i="26" s="1"/>
  <c r="DA40" i="8"/>
  <c r="BH42" i="26" s="1"/>
  <c r="DA41" i="8"/>
  <c r="BH43" i="26" s="1"/>
  <c r="DA42" i="8"/>
  <c r="BH44" i="26" s="1"/>
  <c r="DA43" i="8"/>
  <c r="BH45" i="26" s="1"/>
  <c r="DA44" i="8"/>
  <c r="BH46" i="26" s="1"/>
  <c r="DA45" i="8"/>
  <c r="BH47" i="26" s="1"/>
  <c r="DA46" i="8"/>
  <c r="BH48" i="26" s="1"/>
  <c r="DA47" i="8"/>
  <c r="BH49" i="26" s="1"/>
  <c r="BM49" i="26" s="1"/>
  <c r="DA48" i="8"/>
  <c r="BH50" i="26" s="1"/>
  <c r="DA49" i="8"/>
  <c r="BH51" i="26" s="1"/>
  <c r="DA50" i="8"/>
  <c r="BH52" i="26" s="1"/>
  <c r="DA51" i="8"/>
  <c r="BH53" i="26" s="1"/>
  <c r="DA52" i="8"/>
  <c r="BH54" i="26" s="1"/>
  <c r="DA53" i="8"/>
  <c r="BH55" i="26" s="1"/>
  <c r="DA54" i="8"/>
  <c r="BH56" i="26" s="1"/>
  <c r="DA55" i="8"/>
  <c r="BH57" i="26" s="1"/>
  <c r="DA56" i="8"/>
  <c r="BH58" i="26" s="1"/>
  <c r="DA57" i="8"/>
  <c r="BH59" i="26" s="1"/>
  <c r="DA58" i="8"/>
  <c r="BH60" i="26" s="1"/>
  <c r="DA59" i="8"/>
  <c r="BH61" i="26" s="1"/>
  <c r="DA60" i="8"/>
  <c r="BH62" i="26" s="1"/>
  <c r="DA61" i="8"/>
  <c r="BH63" i="26" s="1"/>
  <c r="DA62" i="8"/>
  <c r="BH64" i="26" s="1"/>
  <c r="DA63" i="8"/>
  <c r="BH65" i="26" s="1"/>
  <c r="DA64" i="8"/>
  <c r="BH66" i="26" s="1"/>
  <c r="DA65" i="8"/>
  <c r="BH67" i="26" s="1"/>
  <c r="DA66" i="8"/>
  <c r="BH68" i="26" s="1"/>
  <c r="DA67" i="8"/>
  <c r="BH69" i="26" s="1"/>
  <c r="BM69" i="26" s="1"/>
  <c r="DA68" i="8"/>
  <c r="BH70" i="26" s="1"/>
  <c r="DA69" i="8"/>
  <c r="BH71" i="26" s="1"/>
  <c r="DA70" i="8"/>
  <c r="BH72" i="26" s="1"/>
  <c r="DA71" i="8"/>
  <c r="BH73" i="26" s="1"/>
  <c r="DA72" i="8"/>
  <c r="BH74" i="26" s="1"/>
  <c r="DA73" i="8"/>
  <c r="BH75" i="26" s="1"/>
  <c r="DA74" i="8"/>
  <c r="BH76" i="26" s="1"/>
  <c r="DA75" i="8"/>
  <c r="BH77" i="26" s="1"/>
  <c r="DA76" i="8"/>
  <c r="BH78" i="26" s="1"/>
  <c r="DA77" i="8"/>
  <c r="BH79" i="26" s="1"/>
  <c r="DA78" i="8"/>
  <c r="BH80" i="26" s="1"/>
  <c r="DA79" i="8"/>
  <c r="BH81" i="26" s="1"/>
  <c r="DA80" i="8"/>
  <c r="BH82" i="26" s="1"/>
  <c r="DA81" i="8"/>
  <c r="BH83" i="26" s="1"/>
  <c r="DA82" i="8"/>
  <c r="BH84" i="26" s="1"/>
  <c r="DA83" i="8"/>
  <c r="BH85" i="26" s="1"/>
  <c r="DA84" i="8"/>
  <c r="BH86" i="26" s="1"/>
  <c r="DA85" i="8"/>
  <c r="BH87" i="26" s="1"/>
  <c r="DA86" i="8"/>
  <c r="BH88" i="26" s="1"/>
  <c r="DA87" i="8"/>
  <c r="BH89" i="26" s="1"/>
  <c r="DA88" i="8"/>
  <c r="BH90" i="26" s="1"/>
  <c r="DA89" i="8"/>
  <c r="BH91" i="26" s="1"/>
  <c r="DA90" i="8"/>
  <c r="BH92" i="26" s="1"/>
  <c r="DA91" i="8"/>
  <c r="BH93" i="26" s="1"/>
  <c r="DA92" i="8"/>
  <c r="BH94" i="26" s="1"/>
  <c r="DA93" i="8"/>
  <c r="BH95" i="26" s="1"/>
  <c r="DA94" i="8"/>
  <c r="BH96" i="26" s="1"/>
  <c r="DA95" i="8"/>
  <c r="BH97" i="26" s="1"/>
  <c r="BM97" i="26" s="1"/>
  <c r="DA96" i="8"/>
  <c r="BH98" i="26" s="1"/>
  <c r="DA97" i="8"/>
  <c r="BH99" i="26" s="1"/>
  <c r="DA98" i="8"/>
  <c r="BH100" i="26" s="1"/>
  <c r="BM100" i="26" s="1"/>
  <c r="DA99" i="8"/>
  <c r="BH101" i="26" s="1"/>
  <c r="BM101" i="26" s="1"/>
  <c r="DA100" i="8"/>
  <c r="BH102" i="26" s="1"/>
  <c r="DA101" i="8"/>
  <c r="BH103" i="26" s="1"/>
  <c r="DA102" i="8"/>
  <c r="BH104" i="26" s="1"/>
  <c r="BM104" i="26" s="1"/>
  <c r="DA103" i="8"/>
  <c r="BH105" i="26" s="1"/>
  <c r="BM105" i="26" s="1"/>
  <c r="DA104" i="8"/>
  <c r="BH106" i="26" s="1"/>
  <c r="DA105" i="8"/>
  <c r="BH107" i="26" s="1"/>
  <c r="DA106" i="8"/>
  <c r="BH108" i="26" s="1"/>
  <c r="DA107" i="8"/>
  <c r="BH109" i="26" s="1"/>
  <c r="DA108" i="8"/>
  <c r="BH110" i="26" s="1"/>
  <c r="DA109" i="8"/>
  <c r="BH111" i="26" s="1"/>
  <c r="DA110" i="8"/>
  <c r="BH112" i="26" s="1"/>
  <c r="DA111" i="8"/>
  <c r="BH113" i="26" s="1"/>
  <c r="DA112" i="8"/>
  <c r="BH114" i="26" s="1"/>
  <c r="DA113" i="8"/>
  <c r="BH115" i="26" s="1"/>
  <c r="BM115" i="26" s="1"/>
  <c r="DA114" i="8"/>
  <c r="BH116" i="26" s="1"/>
  <c r="DA115" i="8"/>
  <c r="BH117" i="26" s="1"/>
  <c r="DA116" i="8"/>
  <c r="BH118" i="26" s="1"/>
  <c r="DA117" i="8"/>
  <c r="BH119" i="26" s="1"/>
  <c r="DA118" i="8"/>
  <c r="BH120" i="26" s="1"/>
  <c r="DA119" i="8"/>
  <c r="BH121" i="26" s="1"/>
  <c r="DA120" i="8"/>
  <c r="BH122" i="26" s="1"/>
  <c r="DA121" i="8"/>
  <c r="BH123" i="26" s="1"/>
  <c r="DA122" i="8"/>
  <c r="BH124" i="26" s="1"/>
  <c r="DA123" i="8"/>
  <c r="BH125" i="26" s="1"/>
  <c r="DA124" i="8"/>
  <c r="BH126" i="26" s="1"/>
  <c r="DA125" i="8"/>
  <c r="BH127" i="26" s="1"/>
  <c r="DA126" i="8"/>
  <c r="BH128" i="26" s="1"/>
  <c r="DA127" i="8"/>
  <c r="BH129" i="26" s="1"/>
  <c r="DA128" i="8"/>
  <c r="BH130" i="26" s="1"/>
  <c r="DA129" i="8"/>
  <c r="BH131" i="26" s="1"/>
  <c r="DA130" i="8"/>
  <c r="BH132" i="26" s="1"/>
  <c r="DA131" i="8"/>
  <c r="BH133" i="26" s="1"/>
  <c r="BM133" i="26" s="1"/>
  <c r="DA132" i="8"/>
  <c r="BH134" i="26" s="1"/>
  <c r="BM134" i="26" s="1"/>
  <c r="DA133" i="8"/>
  <c r="BH135" i="26" s="1"/>
  <c r="BM135" i="26" s="1"/>
  <c r="DA134" i="8"/>
  <c r="BH136" i="26" s="1"/>
  <c r="DA135" i="8"/>
  <c r="BH137" i="26" s="1"/>
  <c r="DA136" i="8"/>
  <c r="BH138" i="26" s="1"/>
  <c r="DA137" i="8"/>
  <c r="BH139" i="26" s="1"/>
  <c r="DA138" i="8"/>
  <c r="BH140" i="26" s="1"/>
  <c r="DA139" i="8"/>
  <c r="BH141" i="26" s="1"/>
  <c r="BM141" i="26" s="1"/>
  <c r="DA140" i="8"/>
  <c r="BH142" i="26" s="1"/>
  <c r="DA141" i="8"/>
  <c r="BH143" i="26" s="1"/>
  <c r="DA142" i="8"/>
  <c r="BH144" i="26" s="1"/>
  <c r="DA143" i="8"/>
  <c r="BH145" i="26" s="1"/>
  <c r="BM145" i="26" s="1"/>
  <c r="DA144" i="8"/>
  <c r="BH146" i="26" s="1"/>
  <c r="BM146" i="26" s="1"/>
  <c r="DA145" i="8"/>
  <c r="BH147" i="26" s="1"/>
  <c r="BM147" i="26" s="1"/>
  <c r="DA146" i="8"/>
  <c r="BH148" i="26" s="1"/>
  <c r="DA147" i="8"/>
  <c r="BH149" i="26" s="1"/>
  <c r="DA148" i="8"/>
  <c r="BH150" i="26" s="1"/>
  <c r="DA149" i="8"/>
  <c r="BH151" i="26" s="1"/>
  <c r="DA150" i="8"/>
  <c r="BH152" i="26" s="1"/>
  <c r="DA151" i="8"/>
  <c r="BH153" i="26" s="1"/>
  <c r="DA152" i="8"/>
  <c r="BH154" i="26" s="1"/>
  <c r="DA153" i="8"/>
  <c r="BH155" i="26" s="1"/>
  <c r="DA154" i="8"/>
  <c r="BH156" i="26" s="1"/>
  <c r="DA155" i="8"/>
  <c r="BH157" i="26" s="1"/>
  <c r="DA156" i="8"/>
  <c r="BH158" i="26" s="1"/>
  <c r="DA157" i="8"/>
  <c r="BH159" i="26" s="1"/>
  <c r="BM159" i="26" s="1"/>
  <c r="DA158" i="8"/>
  <c r="BH160" i="26" s="1"/>
  <c r="DA159" i="8"/>
  <c r="BH161" i="26" s="1"/>
  <c r="DA160" i="8"/>
  <c r="BH162" i="26" s="1"/>
  <c r="BM162" i="26" s="1"/>
  <c r="DA161" i="8"/>
  <c r="BH163" i="26" s="1"/>
  <c r="DA162" i="8"/>
  <c r="BH164" i="26" s="1"/>
  <c r="DA163" i="8"/>
  <c r="BH165" i="26" s="1"/>
  <c r="DA164" i="8"/>
  <c r="BH166" i="26" s="1"/>
  <c r="DA165" i="8"/>
  <c r="BH167" i="26" s="1"/>
  <c r="DA166" i="8"/>
  <c r="BH168" i="26" s="1"/>
  <c r="DA167" i="8"/>
  <c r="BH169" i="26" s="1"/>
  <c r="DA168" i="8"/>
  <c r="BH170" i="26" s="1"/>
  <c r="DA169" i="8"/>
  <c r="BH171" i="26" s="1"/>
  <c r="DA170" i="8"/>
  <c r="BH172" i="26" s="1"/>
  <c r="DA171" i="8"/>
  <c r="BH173" i="26" s="1"/>
  <c r="DA172" i="8"/>
  <c r="BH174" i="26" s="1"/>
  <c r="DA173" i="8"/>
  <c r="BH175" i="26" s="1"/>
  <c r="DA174" i="8"/>
  <c r="BH176" i="26" s="1"/>
  <c r="DA175" i="8"/>
  <c r="BH177" i="26" s="1"/>
  <c r="DA176" i="8"/>
  <c r="BH178" i="26" s="1"/>
  <c r="BM178" i="26" s="1"/>
  <c r="DA177" i="8"/>
  <c r="BH179" i="26" s="1"/>
  <c r="DA178" i="8"/>
  <c r="BH180" i="26" s="1"/>
  <c r="DA179" i="8"/>
  <c r="BH181" i="26" s="1"/>
  <c r="DA180" i="8"/>
  <c r="BH182" i="26" s="1"/>
  <c r="DA181" i="8"/>
  <c r="BH183" i="26" s="1"/>
  <c r="DA182" i="8"/>
  <c r="BH184" i="26" s="1"/>
  <c r="DA183" i="8"/>
  <c r="BH185" i="26" s="1"/>
  <c r="DA184" i="8"/>
  <c r="BH186" i="26" s="1"/>
  <c r="DA185" i="8"/>
  <c r="BH187" i="26" s="1"/>
  <c r="DA186" i="8"/>
  <c r="BH188" i="26" s="1"/>
  <c r="DA187" i="8"/>
  <c r="BH189" i="26" s="1"/>
  <c r="DA188" i="8"/>
  <c r="BH190" i="26" s="1"/>
  <c r="DA189" i="8"/>
  <c r="BH191" i="26" s="1"/>
  <c r="DA190" i="8"/>
  <c r="BH192" i="26" s="1"/>
  <c r="DA191" i="8"/>
  <c r="BH193" i="26" s="1"/>
  <c r="DA192" i="8"/>
  <c r="BH194" i="26" s="1"/>
  <c r="DA193" i="8"/>
  <c r="BH195" i="26" s="1"/>
  <c r="DA194" i="8"/>
  <c r="BH196" i="26" s="1"/>
  <c r="DA195" i="8"/>
  <c r="BH197" i="26" s="1"/>
  <c r="BM197" i="26" s="1"/>
  <c r="DA196" i="8"/>
  <c r="DA197" i="8"/>
  <c r="BH199" i="26" s="1"/>
  <c r="BM199" i="26" s="1"/>
  <c r="DA198" i="8"/>
  <c r="BH200" i="26" s="1"/>
  <c r="BM200" i="26" s="1"/>
  <c r="DA199" i="8"/>
  <c r="BH201" i="26" s="1"/>
  <c r="BM201" i="26" s="1"/>
  <c r="DA200" i="8"/>
  <c r="BH202" i="26" s="1"/>
  <c r="BM202" i="26" s="1"/>
  <c r="DA201" i="8"/>
  <c r="BH203" i="26" s="1"/>
  <c r="DA202" i="8"/>
  <c r="BH204" i="26" s="1"/>
  <c r="DA203" i="8"/>
  <c r="BH205" i="26" s="1"/>
  <c r="DA204" i="8"/>
  <c r="BH206" i="26" s="1"/>
  <c r="DA205" i="8"/>
  <c r="BH207" i="26" s="1"/>
  <c r="DA206" i="8"/>
  <c r="BH208" i="26" s="1"/>
  <c r="DA207" i="8"/>
  <c r="BH209" i="26" s="1"/>
  <c r="DA208" i="8"/>
  <c r="BH210" i="26" s="1"/>
  <c r="DA209" i="8"/>
  <c r="BH211" i="26" s="1"/>
  <c r="DA210" i="8"/>
  <c r="BH212" i="26" s="1"/>
  <c r="DA211" i="8"/>
  <c r="BH213" i="26" s="1"/>
  <c r="DA212" i="8"/>
  <c r="BH214" i="26" s="1"/>
  <c r="DA213" i="8"/>
  <c r="BH215" i="26" s="1"/>
  <c r="DA214" i="8"/>
  <c r="BH216" i="26" s="1"/>
  <c r="BM216" i="26" s="1"/>
  <c r="DA215" i="8"/>
  <c r="BH217" i="26" s="1"/>
  <c r="DA216" i="8"/>
  <c r="BH218" i="26" s="1"/>
  <c r="DA217" i="8"/>
  <c r="BH219" i="26" s="1"/>
  <c r="DA218" i="8"/>
  <c r="BH220" i="26" s="1"/>
  <c r="DA219" i="8"/>
  <c r="BH221" i="26" s="1"/>
  <c r="DA220" i="8"/>
  <c r="BH222" i="26" s="1"/>
  <c r="DA221" i="8"/>
  <c r="BH223" i="26" s="1"/>
  <c r="DA222" i="8"/>
  <c r="BH224" i="26" s="1"/>
  <c r="DA223" i="8"/>
  <c r="BH225" i="26" s="1"/>
  <c r="DA224" i="8"/>
  <c r="BH226" i="26" s="1"/>
  <c r="DA225" i="8"/>
  <c r="BH227" i="26" s="1"/>
  <c r="DA226" i="8"/>
  <c r="BH228" i="26" s="1"/>
  <c r="DA227" i="8"/>
  <c r="BH229" i="26" s="1"/>
  <c r="DA228" i="8"/>
  <c r="BH230" i="26" s="1"/>
  <c r="DA229" i="8"/>
  <c r="BH231" i="26" s="1"/>
  <c r="DA230" i="8"/>
  <c r="BH232" i="26" s="1"/>
  <c r="DA231" i="8"/>
  <c r="BH233" i="26" s="1"/>
  <c r="DA232" i="8"/>
  <c r="BH234" i="26" s="1"/>
  <c r="DA233" i="8"/>
  <c r="BH235" i="26" s="1"/>
  <c r="DA234" i="8"/>
  <c r="BH236" i="26" s="1"/>
  <c r="DA235" i="8"/>
  <c r="BH237" i="26" s="1"/>
  <c r="BM237" i="26" s="1"/>
  <c r="DA236" i="8"/>
  <c r="BH238" i="26" s="1"/>
  <c r="BM238" i="26" s="1"/>
  <c r="DA237" i="8"/>
  <c r="BH239" i="26" s="1"/>
  <c r="DA238" i="8"/>
  <c r="BH240" i="26" s="1"/>
  <c r="DA239" i="8"/>
  <c r="BH241" i="26" s="1"/>
  <c r="DA240" i="8"/>
  <c r="BH242" i="26" s="1"/>
  <c r="DA241" i="8"/>
  <c r="BH243" i="26" s="1"/>
  <c r="BM243" i="26" s="1"/>
  <c r="DA242" i="8"/>
  <c r="BH244" i="26" s="1"/>
  <c r="DA243" i="8"/>
  <c r="BH245" i="26" s="1"/>
  <c r="BM245" i="26" s="1"/>
  <c r="DA244" i="8"/>
  <c r="BH246" i="26" s="1"/>
  <c r="BM246" i="26" s="1"/>
  <c r="DA245" i="8"/>
  <c r="BH247" i="26" s="1"/>
  <c r="BM247" i="26" s="1"/>
  <c r="DA246" i="8"/>
  <c r="BH248" i="26" s="1"/>
  <c r="DA247" i="8"/>
  <c r="BH249" i="26" s="1"/>
  <c r="DA248" i="8"/>
  <c r="BH250" i="26" s="1"/>
  <c r="DA249" i="8"/>
  <c r="BH251" i="26" s="1"/>
  <c r="DA250" i="8"/>
  <c r="BH252" i="26" s="1"/>
  <c r="DA251" i="8"/>
  <c r="BH253" i="26" s="1"/>
  <c r="DA252" i="8"/>
  <c r="BH254" i="26" s="1"/>
  <c r="BM254" i="26" s="1"/>
  <c r="DA253" i="8"/>
  <c r="BH255" i="26" s="1"/>
  <c r="DA254" i="8"/>
  <c r="BH256" i="26" s="1"/>
  <c r="BM256" i="26" s="1"/>
  <c r="DA255" i="8"/>
  <c r="BH257" i="26" s="1"/>
  <c r="DA256" i="8"/>
  <c r="BH258" i="26" s="1"/>
  <c r="DA257" i="8"/>
  <c r="BH259" i="26" s="1"/>
  <c r="DA258" i="8"/>
  <c r="BH260" i="26" s="1"/>
  <c r="DA259" i="8"/>
  <c r="BH261" i="26" s="1"/>
  <c r="DA260" i="8"/>
  <c r="BH262" i="26" s="1"/>
  <c r="DA261" i="8"/>
  <c r="BH263" i="26" s="1"/>
  <c r="DA262" i="8"/>
  <c r="BH264" i="26" s="1"/>
  <c r="DA263" i="8"/>
  <c r="BH265" i="26" s="1"/>
  <c r="DA264" i="8"/>
  <c r="BH266" i="26" s="1"/>
  <c r="DA265" i="8"/>
  <c r="BH267" i="26" s="1"/>
  <c r="BM267" i="26" s="1"/>
  <c r="DA266" i="8"/>
  <c r="BH268" i="26" s="1"/>
  <c r="DA267" i="8"/>
  <c r="BH269" i="26" s="1"/>
  <c r="DA268" i="8"/>
  <c r="BH270" i="26" s="1"/>
  <c r="DA269" i="8"/>
  <c r="BH271" i="26" s="1"/>
  <c r="DA270" i="8"/>
  <c r="BH272" i="26" s="1"/>
  <c r="DA271" i="8"/>
  <c r="BH273" i="26" s="1"/>
  <c r="DA272" i="8"/>
  <c r="BH274" i="26" s="1"/>
  <c r="DA273" i="8"/>
  <c r="BH275" i="26" s="1"/>
  <c r="DA274" i="8"/>
  <c r="BH276" i="26" s="1"/>
  <c r="DA275" i="8"/>
  <c r="BH277" i="26" s="1"/>
  <c r="DA276" i="8"/>
  <c r="BH278" i="26" s="1"/>
  <c r="DA277" i="8"/>
  <c r="BH279" i="26" s="1"/>
  <c r="DA278" i="8"/>
  <c r="BH280" i="26" s="1"/>
  <c r="DA279" i="8"/>
  <c r="BH281" i="26" s="1"/>
  <c r="DA280" i="8"/>
  <c r="BH282" i="26" s="1"/>
  <c r="DA281" i="8"/>
  <c r="BH283" i="26" s="1"/>
  <c r="DA282" i="8"/>
  <c r="BH284" i="26" s="1"/>
  <c r="DA283" i="8"/>
  <c r="BH285" i="26" s="1"/>
  <c r="DA284" i="8"/>
  <c r="BH286" i="26" s="1"/>
  <c r="DA285" i="8"/>
  <c r="BH287" i="26" s="1"/>
  <c r="DA286" i="8"/>
  <c r="BH288" i="26" s="1"/>
  <c r="DA287" i="8"/>
  <c r="BH289" i="26" s="1"/>
  <c r="DA288" i="8"/>
  <c r="BH290" i="26" s="1"/>
  <c r="DA289" i="8"/>
  <c r="BH291" i="26" s="1"/>
  <c r="DA290" i="8"/>
  <c r="BH292" i="26" s="1"/>
  <c r="BM292" i="26" s="1"/>
  <c r="DA291" i="8"/>
  <c r="BH293" i="26" s="1"/>
  <c r="BM293" i="26" s="1"/>
  <c r="DA292" i="8"/>
  <c r="BH294" i="26" s="1"/>
  <c r="BM294" i="26" s="1"/>
  <c r="DA293" i="8"/>
  <c r="BH295" i="26" s="1"/>
  <c r="DA294" i="8"/>
  <c r="BH296" i="26" s="1"/>
  <c r="DA295" i="8"/>
  <c r="BH297" i="26" s="1"/>
  <c r="DA296" i="8"/>
  <c r="BH298" i="26" s="1"/>
  <c r="DA297" i="8"/>
  <c r="BH299" i="26" s="1"/>
  <c r="BM299" i="26" s="1"/>
  <c r="DA298" i="8"/>
  <c r="BH300" i="26" s="1"/>
  <c r="DA299" i="8"/>
  <c r="BH301" i="26" s="1"/>
  <c r="DA300" i="8"/>
  <c r="BH302" i="26" s="1"/>
  <c r="DA301" i="8"/>
  <c r="BH303" i="26" s="1"/>
  <c r="DA302" i="8"/>
  <c r="BH304" i="26" s="1"/>
  <c r="DA303" i="8"/>
  <c r="BH305" i="26" s="1"/>
  <c r="DA304" i="8"/>
  <c r="BH306" i="26" s="1"/>
  <c r="DA305" i="8"/>
  <c r="BH307" i="26" s="1"/>
  <c r="DA306" i="8"/>
  <c r="BH308" i="26" s="1"/>
  <c r="DA307" i="8"/>
  <c r="BH309" i="26" s="1"/>
  <c r="DA308" i="8"/>
  <c r="BH310" i="26" s="1"/>
  <c r="DA309" i="8"/>
  <c r="BH311" i="26" s="1"/>
  <c r="DA310" i="8"/>
  <c r="BH312" i="26" s="1"/>
  <c r="DA311" i="8"/>
  <c r="BH313" i="26" s="1"/>
  <c r="DA312" i="8"/>
  <c r="BH314" i="26" s="1"/>
  <c r="DA313" i="8"/>
  <c r="BH315" i="26" s="1"/>
  <c r="DA314" i="8"/>
  <c r="BH316" i="26" s="1"/>
  <c r="DA315" i="8"/>
  <c r="BH317" i="26" s="1"/>
  <c r="DA316" i="8"/>
  <c r="BH318" i="26" s="1"/>
  <c r="DA317" i="8"/>
  <c r="BH319" i="26" s="1"/>
  <c r="DA318" i="8"/>
  <c r="BH320" i="26" s="1"/>
  <c r="DA319" i="8"/>
  <c r="BH321" i="26" s="1"/>
  <c r="DA320" i="8"/>
  <c r="BH322" i="26" s="1"/>
  <c r="DA321" i="8"/>
  <c r="BH323" i="26" s="1"/>
  <c r="DA322" i="8"/>
  <c r="BH324" i="26" s="1"/>
  <c r="DA323" i="8"/>
  <c r="BH325" i="26" s="1"/>
  <c r="DA324" i="8"/>
  <c r="BH326" i="26" s="1"/>
  <c r="DA325" i="8"/>
  <c r="BH327" i="26" s="1"/>
  <c r="DA326" i="8"/>
  <c r="BH328" i="26" s="1"/>
  <c r="DA327" i="8"/>
  <c r="BH329" i="26" s="1"/>
  <c r="DA328" i="8"/>
  <c r="BH330" i="26" s="1"/>
  <c r="DA329" i="8"/>
  <c r="BH331" i="26" s="1"/>
  <c r="DA330" i="8"/>
  <c r="BH332" i="26" s="1"/>
  <c r="DA331" i="8"/>
  <c r="BH333" i="26" s="1"/>
  <c r="DA332" i="8"/>
  <c r="BH334" i="26" s="1"/>
  <c r="DA333" i="8"/>
  <c r="BH335" i="26" s="1"/>
  <c r="DA334" i="8"/>
  <c r="BH336" i="26" s="1"/>
  <c r="DA335" i="8"/>
  <c r="BH337" i="26" s="1"/>
  <c r="DA336" i="8"/>
  <c r="BH338" i="26" s="1"/>
  <c r="BM338" i="26" s="1"/>
  <c r="DA337" i="8"/>
  <c r="BH339" i="26" s="1"/>
  <c r="DA338" i="8"/>
  <c r="BH340" i="26" s="1"/>
  <c r="DA339" i="8"/>
  <c r="BH341" i="26" s="1"/>
  <c r="DA340" i="8"/>
  <c r="BH342" i="26" s="1"/>
  <c r="DA341" i="8"/>
  <c r="BH343" i="26" s="1"/>
  <c r="DA342" i="8"/>
  <c r="BH344" i="26" s="1"/>
  <c r="DA343" i="8"/>
  <c r="BH345" i="26" s="1"/>
  <c r="DA344" i="8"/>
  <c r="BH346" i="26" s="1"/>
  <c r="DA345" i="8"/>
  <c r="BH347" i="26" s="1"/>
  <c r="DA346" i="8"/>
  <c r="BH348" i="26" s="1"/>
  <c r="DA347" i="8"/>
  <c r="BH349" i="26" s="1"/>
  <c r="DA348" i="8"/>
  <c r="BH350" i="26" s="1"/>
  <c r="DA349" i="8"/>
  <c r="BH351" i="26" s="1"/>
  <c r="DA350" i="8"/>
  <c r="BH352" i="26" s="1"/>
  <c r="DA351" i="8"/>
  <c r="BH353" i="26" s="1"/>
  <c r="DA352" i="8"/>
  <c r="BH354" i="26" s="1"/>
  <c r="DA353" i="8"/>
  <c r="BH355" i="26" s="1"/>
  <c r="DA354" i="8"/>
  <c r="BH356" i="26" s="1"/>
  <c r="DA355" i="8"/>
  <c r="BH357" i="26" s="1"/>
  <c r="DA356" i="8"/>
  <c r="BH358" i="26" s="1"/>
  <c r="DA357" i="8"/>
  <c r="BH359" i="26" s="1"/>
  <c r="DA358" i="8"/>
  <c r="BH360" i="26" s="1"/>
  <c r="DA359" i="8"/>
  <c r="BH361" i="26" s="1"/>
  <c r="DA360" i="8"/>
  <c r="BH362" i="26" s="1"/>
  <c r="DA361" i="8"/>
  <c r="BH363" i="26" s="1"/>
  <c r="DA362" i="8"/>
  <c r="BH364" i="26" s="1"/>
  <c r="DA363" i="8"/>
  <c r="BH365" i="26" s="1"/>
  <c r="DA364" i="8"/>
  <c r="BH366" i="26" s="1"/>
  <c r="DA365" i="8"/>
  <c r="BH367" i="26" s="1"/>
  <c r="DA366" i="8"/>
  <c r="BH368" i="26" s="1"/>
  <c r="DA367" i="8"/>
  <c r="BH369" i="26" s="1"/>
  <c r="DA368" i="8"/>
  <c r="BH370" i="26" s="1"/>
  <c r="DA369" i="8"/>
  <c r="BH371" i="26" s="1"/>
  <c r="DA370" i="8"/>
  <c r="BH372" i="26" s="1"/>
  <c r="DA371" i="8"/>
  <c r="BH373" i="26" s="1"/>
  <c r="DA372" i="8"/>
  <c r="BH374" i="26" s="1"/>
  <c r="DA373" i="8"/>
  <c r="BH375" i="26" s="1"/>
  <c r="DA374" i="8"/>
  <c r="BH376" i="26" s="1"/>
  <c r="DA375" i="8"/>
  <c r="BH377" i="26" s="1"/>
  <c r="DA376" i="8"/>
  <c r="BH378" i="26" s="1"/>
  <c r="DA377" i="8"/>
  <c r="BH379" i="26" s="1"/>
  <c r="DA378" i="8"/>
  <c r="BH380" i="26" s="1"/>
  <c r="DA379" i="8"/>
  <c r="BH381" i="26" s="1"/>
  <c r="DA380" i="8"/>
  <c r="BH382" i="26" s="1"/>
  <c r="DA381" i="8"/>
  <c r="BH383" i="26" s="1"/>
  <c r="DA382" i="8"/>
  <c r="BH384" i="26" s="1"/>
  <c r="DA383" i="8"/>
  <c r="BH385" i="26" s="1"/>
  <c r="DA384" i="8"/>
  <c r="BH386" i="26" s="1"/>
  <c r="BM386" i="26" s="1"/>
  <c r="DA385" i="8"/>
  <c r="BH387" i="26" s="1"/>
  <c r="DA386" i="8"/>
  <c r="BH388" i="26" s="1"/>
  <c r="DA387" i="8"/>
  <c r="BH389" i="26" s="1"/>
  <c r="DA388" i="8"/>
  <c r="BH390" i="26" s="1"/>
  <c r="BM390" i="26" s="1"/>
  <c r="DA389" i="8"/>
  <c r="BH391" i="26" s="1"/>
  <c r="DA390" i="8"/>
  <c r="BH392" i="26" s="1"/>
  <c r="BM392" i="26" s="1"/>
  <c r="DA391" i="8"/>
  <c r="BH393" i="26" s="1"/>
  <c r="DA392" i="8"/>
  <c r="BH394" i="26" s="1"/>
  <c r="DA393" i="8"/>
  <c r="BH395" i="26" s="1"/>
  <c r="DA394" i="8"/>
  <c r="BH396" i="26" s="1"/>
  <c r="DA395" i="8"/>
  <c r="BH397" i="26" s="1"/>
  <c r="DA396" i="8"/>
  <c r="BH398" i="26" s="1"/>
  <c r="BM398" i="26" s="1"/>
  <c r="DA397" i="8"/>
  <c r="BH399" i="26" s="1"/>
  <c r="DA398" i="8"/>
  <c r="BH400" i="26" s="1"/>
  <c r="DA399" i="8"/>
  <c r="BH401" i="26" s="1"/>
  <c r="BM401" i="26" s="1"/>
  <c r="DA400" i="8"/>
  <c r="BH402" i="26" s="1"/>
  <c r="DA401" i="8"/>
  <c r="BH403" i="26" s="1"/>
  <c r="DA402" i="8"/>
  <c r="BH404" i="26" s="1"/>
  <c r="BM404" i="26" s="1"/>
  <c r="DA403" i="8"/>
  <c r="BH405" i="26" s="1"/>
  <c r="BM405" i="26" s="1"/>
  <c r="DA404" i="8"/>
  <c r="BH406" i="26" s="1"/>
  <c r="DA405" i="8"/>
  <c r="BH407" i="26" s="1"/>
  <c r="DA406" i="8"/>
  <c r="BH408" i="26" s="1"/>
  <c r="DA407" i="8"/>
  <c r="BH409" i="26" s="1"/>
  <c r="DA408" i="8"/>
  <c r="BH410" i="26" s="1"/>
  <c r="DA409" i="8"/>
  <c r="BH411" i="26" s="1"/>
  <c r="DA410" i="8"/>
  <c r="BH412" i="26" s="1"/>
  <c r="DA411" i="8"/>
  <c r="BH413" i="26" s="1"/>
  <c r="DA412" i="8"/>
  <c r="BH414" i="26" s="1"/>
  <c r="DA413" i="8"/>
  <c r="BH415" i="26" s="1"/>
  <c r="DA414" i="8"/>
  <c r="BH416" i="26" s="1"/>
  <c r="DA415" i="8"/>
  <c r="BH417" i="26" s="1"/>
  <c r="BM417" i="26" s="1"/>
  <c r="DA416" i="8"/>
  <c r="BH418" i="26" s="1"/>
  <c r="DA417" i="8"/>
  <c r="BH419" i="26" s="1"/>
  <c r="DA418" i="8"/>
  <c r="BH420" i="26" s="1"/>
  <c r="DA419" i="8"/>
  <c r="BH421" i="26" s="1"/>
  <c r="BM421" i="26" s="1"/>
  <c r="DA420" i="8"/>
  <c r="BH422" i="26" s="1"/>
  <c r="BM422" i="26" s="1"/>
  <c r="DA421" i="8"/>
  <c r="BH423" i="26" s="1"/>
  <c r="BM423" i="26" s="1"/>
  <c r="DA422" i="8"/>
  <c r="BH424" i="26" s="1"/>
  <c r="DA423" i="8"/>
  <c r="BH425" i="26" s="1"/>
  <c r="DA424" i="8"/>
  <c r="BH426" i="26" s="1"/>
  <c r="DA425" i="8"/>
  <c r="BH427" i="26" s="1"/>
  <c r="DA426" i="8"/>
  <c r="BH428" i="26" s="1"/>
  <c r="DA427" i="8"/>
  <c r="BH429" i="26" s="1"/>
  <c r="DA428" i="8"/>
  <c r="BH430" i="26" s="1"/>
  <c r="BM430" i="26" s="1"/>
  <c r="DA429" i="8"/>
  <c r="BH431" i="26" s="1"/>
  <c r="DA430" i="8"/>
  <c r="BH432" i="26" s="1"/>
  <c r="DA431" i="8"/>
  <c r="BH433" i="26" s="1"/>
  <c r="DA432" i="8"/>
  <c r="BH434" i="26" s="1"/>
  <c r="BM434" i="26" s="1"/>
  <c r="DA433" i="8"/>
  <c r="BH435" i="26" s="1"/>
  <c r="DA434" i="8"/>
  <c r="BH436" i="26" s="1"/>
  <c r="DA435" i="8"/>
  <c r="BH437" i="26" s="1"/>
  <c r="DA436" i="8"/>
  <c r="BH438" i="26" s="1"/>
  <c r="DA437" i="8"/>
  <c r="BH439" i="26" s="1"/>
  <c r="DA438" i="8"/>
  <c r="BH440" i="26" s="1"/>
  <c r="DA439" i="8"/>
  <c r="BH441" i="26" s="1"/>
  <c r="DA440" i="8"/>
  <c r="BH442" i="26" s="1"/>
  <c r="DA441" i="8"/>
  <c r="BH443" i="26" s="1"/>
  <c r="DA442" i="8"/>
  <c r="BH444" i="26" s="1"/>
  <c r="DA443" i="8"/>
  <c r="BH445" i="26" s="1"/>
  <c r="DA444" i="8"/>
  <c r="BH446" i="26" s="1"/>
  <c r="DA445" i="8"/>
  <c r="BH447" i="26" s="1"/>
  <c r="DA446" i="8"/>
  <c r="BH448" i="26" s="1"/>
  <c r="DA447" i="8"/>
  <c r="BH449" i="26" s="1"/>
  <c r="DA448" i="8"/>
  <c r="BH450" i="26" s="1"/>
  <c r="DA449" i="8"/>
  <c r="BH451" i="26" s="1"/>
  <c r="DA450" i="8"/>
  <c r="BH452" i="26" s="1"/>
  <c r="DA451" i="8"/>
  <c r="BH453" i="26" s="1"/>
  <c r="DA452" i="8"/>
  <c r="BH454" i="26" s="1"/>
  <c r="DA453" i="8"/>
  <c r="BH455" i="26" s="1"/>
  <c r="DA454" i="8"/>
  <c r="BH456" i="26" s="1"/>
  <c r="DA455" i="8"/>
  <c r="BH457" i="26" s="1"/>
  <c r="DA456" i="8"/>
  <c r="BH458" i="26" s="1"/>
  <c r="DA457" i="8"/>
  <c r="BH459" i="26" s="1"/>
  <c r="DA458" i="8"/>
  <c r="BH460" i="26" s="1"/>
  <c r="DA459" i="8"/>
  <c r="BH461" i="26" s="1"/>
  <c r="DA460" i="8"/>
  <c r="BH462" i="26" s="1"/>
  <c r="BM462" i="26" s="1"/>
  <c r="DA461" i="8"/>
  <c r="BH463" i="26" s="1"/>
  <c r="DA462" i="8"/>
  <c r="BH464" i="26" s="1"/>
  <c r="BM464" i="26" s="1"/>
  <c r="DA463" i="8"/>
  <c r="BH465" i="26" s="1"/>
  <c r="DA464" i="8"/>
  <c r="BH466" i="26" s="1"/>
  <c r="DA465" i="8"/>
  <c r="BH467" i="26" s="1"/>
  <c r="DA466" i="8"/>
  <c r="BH468" i="26" s="1"/>
  <c r="DA467" i="8"/>
  <c r="BH469" i="26" s="1"/>
  <c r="BM469" i="26" s="1"/>
  <c r="DA468" i="8"/>
  <c r="BH470" i="26" s="1"/>
  <c r="DA469" i="8"/>
  <c r="BH471" i="26" s="1"/>
  <c r="BM471" i="26" s="1"/>
  <c r="DA470" i="8"/>
  <c r="BH472" i="26" s="1"/>
  <c r="DA471" i="8"/>
  <c r="BH473" i="26" s="1"/>
  <c r="DA472" i="8"/>
  <c r="BH474" i="26" s="1"/>
  <c r="DA473" i="8"/>
  <c r="BH475" i="26" s="1"/>
  <c r="DA474" i="8"/>
  <c r="BH476" i="26" s="1"/>
  <c r="DA475" i="8"/>
  <c r="BH477" i="26" s="1"/>
  <c r="DA476" i="8"/>
  <c r="BH478" i="26" s="1"/>
  <c r="DA477" i="8"/>
  <c r="BH479" i="26" s="1"/>
  <c r="DA478" i="8"/>
  <c r="BH480" i="26" s="1"/>
  <c r="DA479" i="8"/>
  <c r="BH481" i="26" s="1"/>
  <c r="DA480" i="8"/>
  <c r="BH482" i="26" s="1"/>
  <c r="DA481" i="8"/>
  <c r="BH483" i="26" s="1"/>
  <c r="DA482" i="8"/>
  <c r="BH484" i="26" s="1"/>
  <c r="DA483" i="8"/>
  <c r="BH485" i="26" s="1"/>
  <c r="DA484" i="8"/>
  <c r="BH486" i="26" s="1"/>
  <c r="DA485" i="8"/>
  <c r="BH487" i="26" s="1"/>
  <c r="DA486" i="8"/>
  <c r="BH488" i="26" s="1"/>
  <c r="DA487" i="8"/>
  <c r="BH489" i="26" s="1"/>
  <c r="DA488" i="8"/>
  <c r="BH490" i="26" s="1"/>
  <c r="DA489" i="8"/>
  <c r="BH491" i="26" s="1"/>
  <c r="DA490" i="8"/>
  <c r="BH492" i="26" s="1"/>
  <c r="DA491" i="8"/>
  <c r="BH493" i="26" s="1"/>
  <c r="DA492" i="8"/>
  <c r="BH494" i="26" s="1"/>
  <c r="DA493" i="8"/>
  <c r="BH495" i="26" s="1"/>
  <c r="DA494" i="8"/>
  <c r="BH496" i="26" s="1"/>
  <c r="DA495" i="8"/>
  <c r="BH497" i="26" s="1"/>
  <c r="DA496" i="8"/>
  <c r="BH498" i="26" s="1"/>
  <c r="DA497" i="8"/>
  <c r="BH499" i="26" s="1"/>
  <c r="DA498" i="8"/>
  <c r="BH500" i="26" s="1"/>
  <c r="DA499" i="8"/>
  <c r="BH501" i="26" s="1"/>
  <c r="DA500" i="8"/>
  <c r="BH502" i="26" s="1"/>
  <c r="DA501" i="8"/>
  <c r="BH503" i="26" s="1"/>
  <c r="DA502" i="8"/>
  <c r="BH504" i="26" s="1"/>
  <c r="DA503" i="8"/>
  <c r="BH505" i="26" s="1"/>
  <c r="BM505" i="26" s="1"/>
  <c r="DA504" i="8"/>
  <c r="BH506" i="26" s="1"/>
  <c r="BM506" i="26" s="1"/>
  <c r="DA505" i="8"/>
  <c r="BH507" i="26" s="1"/>
  <c r="BM507" i="26" s="1"/>
  <c r="DA506" i="8"/>
  <c r="BH508" i="26" s="1"/>
  <c r="BM508" i="26" s="1"/>
  <c r="DA507" i="8"/>
  <c r="BH509" i="26" s="1"/>
  <c r="DA508" i="8"/>
  <c r="BH510" i="26" s="1"/>
  <c r="BM510" i="26" s="1"/>
  <c r="DA509" i="8"/>
  <c r="BH511" i="26" s="1"/>
  <c r="BM511" i="26" s="1"/>
  <c r="DA510" i="8"/>
  <c r="BH512" i="26" s="1"/>
  <c r="BM512" i="26" s="1"/>
  <c r="DA511" i="8"/>
  <c r="BH513" i="26" s="1"/>
  <c r="BM513" i="26" s="1"/>
  <c r="DA512" i="8"/>
  <c r="BH514" i="26" s="1"/>
  <c r="DA513" i="8"/>
  <c r="BH515" i="26" s="1"/>
  <c r="DA514" i="8"/>
  <c r="BH516" i="26" s="1"/>
  <c r="BM516" i="26" s="1"/>
  <c r="DA515" i="8"/>
  <c r="BH517" i="26" s="1"/>
  <c r="BM517" i="26" s="1"/>
  <c r="DA516" i="8"/>
  <c r="BH518" i="26" s="1"/>
  <c r="DA517" i="8"/>
  <c r="BH519" i="26" s="1"/>
  <c r="DA518" i="8"/>
  <c r="BH520" i="26" s="1"/>
  <c r="DA519" i="8"/>
  <c r="BH521" i="26" s="1"/>
  <c r="DA520" i="8"/>
  <c r="BH522" i="26" s="1"/>
  <c r="DA521" i="8"/>
  <c r="BH523" i="26" s="1"/>
  <c r="BM523" i="26" s="1"/>
  <c r="DA522" i="8"/>
  <c r="BH524" i="26" s="1"/>
  <c r="DA523" i="8"/>
  <c r="BH525" i="26" s="1"/>
  <c r="BM525" i="26" s="1"/>
  <c r="DA524" i="8"/>
  <c r="BH526" i="26" s="1"/>
  <c r="DA525" i="8"/>
  <c r="BH527" i="26" s="1"/>
  <c r="BM527" i="26" s="1"/>
  <c r="DA526" i="8"/>
  <c r="BH528" i="26" s="1"/>
  <c r="BM528" i="26" s="1"/>
  <c r="DA527" i="8"/>
  <c r="BH529" i="26" s="1"/>
  <c r="DA528" i="8"/>
  <c r="BH530" i="26" s="1"/>
  <c r="BM530" i="26" s="1"/>
  <c r="DA529" i="8"/>
  <c r="BH531" i="26" s="1"/>
  <c r="BM531" i="26" s="1"/>
  <c r="DA530" i="8"/>
  <c r="BH532" i="26" s="1"/>
  <c r="BM532" i="26" s="1"/>
  <c r="DA531" i="8"/>
  <c r="BH533" i="26" s="1"/>
  <c r="DA532" i="8"/>
  <c r="BH534" i="26" s="1"/>
  <c r="DA533" i="8"/>
  <c r="BH535" i="26" s="1"/>
  <c r="DA534" i="8"/>
  <c r="BH536" i="26" s="1"/>
  <c r="DA535" i="8"/>
  <c r="BH537" i="26" s="1"/>
  <c r="DA536" i="8"/>
  <c r="BH538" i="26" s="1"/>
  <c r="DA537" i="8"/>
  <c r="BH539" i="26" s="1"/>
  <c r="DA538" i="8"/>
  <c r="BH540" i="26" s="1"/>
  <c r="DA539" i="8"/>
  <c r="BH541" i="26" s="1"/>
  <c r="DA540" i="8"/>
  <c r="BH542" i="26" s="1"/>
  <c r="BM542" i="26" s="1"/>
  <c r="DA541" i="8"/>
  <c r="BH543" i="26" s="1"/>
  <c r="BM543" i="26" s="1"/>
  <c r="DA542" i="8"/>
  <c r="BH544" i="26" s="1"/>
  <c r="BM544" i="26" s="1"/>
  <c r="DA543" i="8"/>
  <c r="BH545" i="26" s="1"/>
  <c r="BM545" i="26" s="1"/>
  <c r="DA544" i="8"/>
  <c r="BH546" i="26" s="1"/>
  <c r="DA545" i="8"/>
  <c r="BH547" i="26" s="1"/>
  <c r="DA546" i="8"/>
  <c r="BH548" i="26" s="1"/>
  <c r="BM548" i="26" s="1"/>
  <c r="DA547" i="8"/>
  <c r="BH549" i="26" s="1"/>
  <c r="DA548" i="8"/>
  <c r="BH550" i="26" s="1"/>
  <c r="BM550" i="26" s="1"/>
  <c r="DA549" i="8"/>
  <c r="BH551" i="26" s="1"/>
  <c r="BM551" i="26" s="1"/>
  <c r="DA550" i="8"/>
  <c r="BH552" i="26" s="1"/>
  <c r="BM552" i="26" s="1"/>
  <c r="DA551" i="8"/>
  <c r="BH553" i="26" s="1"/>
  <c r="BM553" i="26" s="1"/>
  <c r="DA552" i="8"/>
  <c r="BH554" i="26" s="1"/>
  <c r="BM554" i="26" s="1"/>
  <c r="DA553" i="8"/>
  <c r="BH555" i="26" s="1"/>
  <c r="BM555" i="26" s="1"/>
  <c r="DA554" i="8"/>
  <c r="BH556" i="26" s="1"/>
  <c r="BM556" i="26" s="1"/>
  <c r="DA555" i="8"/>
  <c r="BH557" i="26" s="1"/>
  <c r="BM557" i="26" s="1"/>
  <c r="DA556" i="8"/>
  <c r="BH558" i="26" s="1"/>
  <c r="BM558" i="26" s="1"/>
  <c r="DA557" i="8"/>
  <c r="BH559" i="26" s="1"/>
  <c r="BM559" i="26" s="1"/>
  <c r="DA558" i="8"/>
  <c r="BH560" i="26" s="1"/>
  <c r="BM560" i="26" s="1"/>
  <c r="DA559" i="8"/>
  <c r="BH561" i="26" s="1"/>
  <c r="DA560" i="8"/>
  <c r="BH562" i="26" s="1"/>
  <c r="BM562" i="26" s="1"/>
  <c r="DA561" i="8"/>
  <c r="BH563" i="26" s="1"/>
  <c r="DA562" i="8"/>
  <c r="BH564" i="26" s="1"/>
  <c r="DA563" i="8"/>
  <c r="BH565" i="26" s="1"/>
  <c r="DA564" i="8"/>
  <c r="BH566" i="26" s="1"/>
  <c r="DA565" i="8"/>
  <c r="BH567" i="26" s="1"/>
  <c r="DA566" i="8"/>
  <c r="BH568" i="26" s="1"/>
  <c r="DA567" i="8"/>
  <c r="BH569" i="26" s="1"/>
  <c r="BM569" i="26" s="1"/>
  <c r="DA568" i="8"/>
  <c r="BH570" i="26" s="1"/>
  <c r="DA569" i="8"/>
  <c r="BH571" i="26" s="1"/>
  <c r="DA570" i="8"/>
  <c r="BH572" i="26" s="1"/>
  <c r="DA571" i="8"/>
  <c r="BH573" i="26" s="1"/>
  <c r="DA572" i="8"/>
  <c r="BH574" i="26" s="1"/>
  <c r="DA573" i="8"/>
  <c r="BH575" i="26" s="1"/>
  <c r="DA574" i="8"/>
  <c r="BH576" i="26" s="1"/>
  <c r="DA575" i="8"/>
  <c r="BH577" i="26" s="1"/>
  <c r="DA576" i="8"/>
  <c r="BH578" i="26" s="1"/>
  <c r="DA577" i="8"/>
  <c r="BH579" i="26" s="1"/>
  <c r="DA578" i="8"/>
  <c r="BH580" i="26" s="1"/>
  <c r="DA579" i="8"/>
  <c r="BH581" i="26" s="1"/>
  <c r="DA580" i="8"/>
  <c r="BH582" i="26" s="1"/>
  <c r="DA581" i="8"/>
  <c r="BH583" i="26" s="1"/>
  <c r="DA582" i="8"/>
  <c r="BH584" i="26" s="1"/>
  <c r="DA583" i="8"/>
  <c r="BH585" i="26" s="1"/>
  <c r="DA584" i="8"/>
  <c r="BH586" i="26" s="1"/>
  <c r="DA585" i="8"/>
  <c r="BH587" i="26" s="1"/>
  <c r="DA586" i="8"/>
  <c r="BH588" i="26" s="1"/>
  <c r="DA587" i="8"/>
  <c r="BH589" i="26" s="1"/>
  <c r="DA588" i="8"/>
  <c r="BH590" i="26" s="1"/>
  <c r="DA589" i="8"/>
  <c r="BH591" i="26" s="1"/>
  <c r="DA590" i="8"/>
  <c r="BH592" i="26" s="1"/>
  <c r="DA591" i="8"/>
  <c r="BH593" i="26" s="1"/>
  <c r="DA592" i="8"/>
  <c r="BH594" i="26" s="1"/>
  <c r="DA593" i="8"/>
  <c r="BH595" i="26" s="1"/>
  <c r="DA594" i="8"/>
  <c r="BH596" i="26" s="1"/>
  <c r="DA595" i="8"/>
  <c r="BH597" i="26" s="1"/>
  <c r="DA596" i="8"/>
  <c r="BH598" i="26" s="1"/>
  <c r="DA597" i="8"/>
  <c r="BH599" i="26" s="1"/>
  <c r="DA598" i="8"/>
  <c r="BH600" i="26" s="1"/>
  <c r="DA599" i="8"/>
  <c r="BH601" i="26" s="1"/>
  <c r="DA600" i="8"/>
  <c r="BH602" i="26" s="1"/>
  <c r="DA601" i="8"/>
  <c r="BH603" i="26" s="1"/>
  <c r="DA602" i="8"/>
  <c r="BH604" i="26" s="1"/>
  <c r="DA603" i="8"/>
  <c r="BH605" i="26" s="1"/>
  <c r="DA604" i="8"/>
  <c r="BH606" i="26" s="1"/>
  <c r="DA605" i="8"/>
  <c r="BH607" i="26" s="1"/>
  <c r="DA606" i="8"/>
  <c r="BH608" i="26" s="1"/>
  <c r="DA607" i="8"/>
  <c r="BH609" i="26" s="1"/>
  <c r="DA608" i="8"/>
  <c r="BH610" i="26" s="1"/>
  <c r="DA609" i="8"/>
  <c r="BH611" i="26" s="1"/>
  <c r="DA610" i="8"/>
  <c r="BH612" i="26" s="1"/>
  <c r="DA611" i="8"/>
  <c r="BH613" i="26" s="1"/>
  <c r="DA612" i="8"/>
  <c r="BH614" i="26" s="1"/>
  <c r="DA613" i="8"/>
  <c r="BH615" i="26" s="1"/>
  <c r="DA614" i="8"/>
  <c r="BH616" i="26" s="1"/>
  <c r="DA615" i="8"/>
  <c r="BH617" i="26" s="1"/>
  <c r="DA616" i="8"/>
  <c r="BH618" i="26" s="1"/>
  <c r="DA617" i="8"/>
  <c r="BH619" i="26" s="1"/>
  <c r="DA618" i="8"/>
  <c r="BH620" i="26" s="1"/>
  <c r="DA619" i="8"/>
  <c r="BH621" i="26" s="1"/>
  <c r="DA620" i="8"/>
  <c r="BH622" i="26" s="1"/>
  <c r="BM622" i="26" s="1"/>
  <c r="DA621" i="8"/>
  <c r="BH623" i="26" s="1"/>
  <c r="DA622" i="8"/>
  <c r="BH624" i="26" s="1"/>
  <c r="BM624" i="26" s="1"/>
  <c r="DA623" i="8"/>
  <c r="BH625" i="26" s="1"/>
  <c r="DA624" i="8"/>
  <c r="BH626" i="26" s="1"/>
  <c r="BM626" i="26" s="1"/>
  <c r="DA625" i="8"/>
  <c r="BH627" i="26" s="1"/>
  <c r="DA626" i="8"/>
  <c r="BH628" i="26" s="1"/>
  <c r="DA627" i="8"/>
  <c r="BH629" i="26" s="1"/>
  <c r="DA628" i="8"/>
  <c r="BH630" i="26" s="1"/>
  <c r="DA629" i="8"/>
  <c r="BH631" i="26" s="1"/>
  <c r="DA630" i="8"/>
  <c r="BH632" i="26" s="1"/>
  <c r="BM632" i="26" s="1"/>
  <c r="DA631" i="8"/>
  <c r="BH633" i="26" s="1"/>
  <c r="BM633" i="26" s="1"/>
  <c r="DA632" i="8"/>
  <c r="BH634" i="26" s="1"/>
  <c r="BM634" i="26" s="1"/>
  <c r="DA633" i="8"/>
  <c r="BH635" i="26" s="1"/>
  <c r="DA634" i="8"/>
  <c r="BH636" i="26" s="1"/>
  <c r="BM636" i="26" s="1"/>
  <c r="DA635" i="8"/>
  <c r="BH637" i="26" s="1"/>
  <c r="BM637" i="26" s="1"/>
  <c r="DA636" i="8"/>
  <c r="BH638" i="26" s="1"/>
  <c r="BM638" i="26" s="1"/>
  <c r="DA637" i="8"/>
  <c r="BH639" i="26" s="1"/>
  <c r="BM639" i="26" s="1"/>
  <c r="DA638" i="8"/>
  <c r="BH640" i="26" s="1"/>
  <c r="BM640" i="26" s="1"/>
  <c r="DA639" i="8"/>
  <c r="BH641" i="26" s="1"/>
  <c r="BM641" i="26" s="1"/>
  <c r="DA640" i="8"/>
  <c r="BH642" i="26" s="1"/>
  <c r="BM642" i="26" s="1"/>
  <c r="DA641" i="8"/>
  <c r="BH643" i="26" s="1"/>
  <c r="BM643" i="26" s="1"/>
  <c r="DA642" i="8"/>
  <c r="BH644" i="26" s="1"/>
  <c r="DA643" i="8"/>
  <c r="BH645" i="26" s="1"/>
  <c r="DA644" i="8"/>
  <c r="BH646" i="26" s="1"/>
  <c r="BM646" i="26" s="1"/>
  <c r="DA645" i="8"/>
  <c r="BH647" i="26" s="1"/>
  <c r="BM647" i="26" s="1"/>
  <c r="DA646" i="8"/>
  <c r="BH648" i="26" s="1"/>
  <c r="DA647" i="8"/>
  <c r="BH649" i="26" s="1"/>
  <c r="BM649" i="26" s="1"/>
  <c r="DA648" i="8"/>
  <c r="BH650" i="26" s="1"/>
  <c r="BM650" i="26" s="1"/>
  <c r="DA649" i="8"/>
  <c r="BH651" i="26" s="1"/>
  <c r="DA650" i="8"/>
  <c r="BH652" i="26" s="1"/>
  <c r="BM652" i="26" s="1"/>
  <c r="DA651" i="8"/>
  <c r="BH653" i="26" s="1"/>
  <c r="BM653" i="26" s="1"/>
  <c r="DA652" i="8"/>
  <c r="BH654" i="26" s="1"/>
  <c r="BM654" i="26" s="1"/>
  <c r="DA653" i="8"/>
  <c r="BH655" i="26" s="1"/>
  <c r="BM655" i="26" s="1"/>
  <c r="DA654" i="8"/>
  <c r="BH656" i="26" s="1"/>
  <c r="DA655" i="8"/>
  <c r="BH657" i="26" s="1"/>
  <c r="DA656" i="8"/>
  <c r="BH658" i="26" s="1"/>
  <c r="DA657" i="8"/>
  <c r="BH659" i="26" s="1"/>
  <c r="DA658" i="8"/>
  <c r="BH660" i="26" s="1"/>
  <c r="DA659" i="8"/>
  <c r="BH661" i="26" s="1"/>
  <c r="DA660" i="8"/>
  <c r="BH662" i="26" s="1"/>
  <c r="BM662" i="26" s="1"/>
  <c r="DA661" i="8"/>
  <c r="BH663" i="26" s="1"/>
  <c r="DA662" i="8"/>
  <c r="BH664" i="26" s="1"/>
  <c r="DA663" i="8"/>
  <c r="BH665" i="26" s="1"/>
  <c r="DA664" i="8"/>
  <c r="BH666" i="26" s="1"/>
  <c r="DA665" i="8"/>
  <c r="BH667" i="26" s="1"/>
  <c r="DA666" i="8"/>
  <c r="BH668" i="26" s="1"/>
  <c r="DA667" i="8"/>
  <c r="BH669" i="26" s="1"/>
  <c r="DA668" i="8"/>
  <c r="BH670" i="26" s="1"/>
  <c r="BM670" i="26" s="1"/>
  <c r="DA669" i="8"/>
  <c r="BH671" i="26" s="1"/>
  <c r="BM671" i="26" s="1"/>
  <c r="DA670" i="8"/>
  <c r="BH672" i="26" s="1"/>
  <c r="DA671" i="8"/>
  <c r="BH673" i="26" s="1"/>
  <c r="DA672" i="8"/>
  <c r="BH674" i="26" s="1"/>
  <c r="DA673" i="8"/>
  <c r="BH675" i="26" s="1"/>
  <c r="BM675" i="26" s="1"/>
  <c r="DA674" i="8"/>
  <c r="BH676" i="26" s="1"/>
  <c r="DA675" i="8"/>
  <c r="BH677" i="26" s="1"/>
  <c r="BM677" i="26" s="1"/>
  <c r="DA676" i="8"/>
  <c r="BH678" i="26" s="1"/>
  <c r="DA677" i="8"/>
  <c r="BH679" i="26" s="1"/>
  <c r="DA678" i="8"/>
  <c r="BH680" i="26" s="1"/>
  <c r="DA679" i="8"/>
  <c r="BH681" i="26" s="1"/>
  <c r="DA680" i="8"/>
  <c r="BH682" i="26" s="1"/>
  <c r="DA681" i="8"/>
  <c r="BH683" i="26" s="1"/>
  <c r="DA682" i="8"/>
  <c r="BH684" i="26" s="1"/>
  <c r="DA683" i="8"/>
  <c r="BH685" i="26" s="1"/>
  <c r="DA684" i="8"/>
  <c r="BH686" i="26" s="1"/>
  <c r="BM686" i="26" s="1"/>
  <c r="DA685" i="8"/>
  <c r="BH687" i="26" s="1"/>
  <c r="DA686" i="8"/>
  <c r="BH688" i="26" s="1"/>
  <c r="DA687" i="8"/>
  <c r="BH689" i="26" s="1"/>
  <c r="DA688" i="8"/>
  <c r="BH690" i="26" s="1"/>
  <c r="BM690" i="26" s="1"/>
  <c r="DA689" i="8"/>
  <c r="BH691" i="26" s="1"/>
  <c r="DA690" i="8"/>
  <c r="BH692" i="26" s="1"/>
  <c r="DA691" i="8"/>
  <c r="BH693" i="26" s="1"/>
  <c r="DA692" i="8"/>
  <c r="BH694" i="26" s="1"/>
  <c r="DA693" i="8"/>
  <c r="BH695" i="26" s="1"/>
  <c r="DA694" i="8"/>
  <c r="BH696" i="26" s="1"/>
  <c r="DA695" i="8"/>
  <c r="BH697" i="26" s="1"/>
  <c r="DA696" i="8"/>
  <c r="BH698" i="26" s="1"/>
  <c r="DA697" i="8"/>
  <c r="BH699" i="26" s="1"/>
  <c r="DA698" i="8"/>
  <c r="BH700" i="26" s="1"/>
  <c r="DA699" i="8"/>
  <c r="BH701" i="26" s="1"/>
  <c r="DA700" i="8"/>
  <c r="BH702" i="26" s="1"/>
  <c r="DA701" i="8"/>
  <c r="BH703" i="26" s="1"/>
  <c r="DA702" i="8"/>
  <c r="BH704" i="26" s="1"/>
  <c r="DA703" i="8"/>
  <c r="BH705" i="26" s="1"/>
  <c r="BM705" i="26" s="1"/>
  <c r="DA704" i="8"/>
  <c r="BH706" i="26" s="1"/>
  <c r="DA705" i="8"/>
  <c r="BH707" i="26" s="1"/>
  <c r="DA706" i="8"/>
  <c r="BH708" i="26" s="1"/>
  <c r="DA707" i="8"/>
  <c r="BH709" i="26" s="1"/>
  <c r="DA708" i="8"/>
  <c r="BH710" i="26" s="1"/>
  <c r="DA709" i="8"/>
  <c r="BH711" i="26" s="1"/>
  <c r="DA710" i="8"/>
  <c r="BH712" i="26" s="1"/>
  <c r="BM712" i="26" s="1"/>
  <c r="DA711" i="8"/>
  <c r="BH713" i="26" s="1"/>
  <c r="DA712" i="8"/>
  <c r="BH714" i="26" s="1"/>
  <c r="DA713" i="8"/>
  <c r="BH715" i="26" s="1"/>
  <c r="DA714" i="8"/>
  <c r="BH716" i="26" s="1"/>
  <c r="DA715" i="8"/>
  <c r="BH717" i="26" s="1"/>
  <c r="DA716" i="8"/>
  <c r="BH718" i="26" s="1"/>
  <c r="DA717" i="8"/>
  <c r="BH719" i="26" s="1"/>
  <c r="DA718" i="8"/>
  <c r="BH720" i="26" s="1"/>
  <c r="DA719" i="8"/>
  <c r="BH721" i="26" s="1"/>
  <c r="DA720" i="8"/>
  <c r="BH722" i="26" s="1"/>
  <c r="DA721" i="8"/>
  <c r="BH723" i="26" s="1"/>
  <c r="DA722" i="8"/>
  <c r="BH724" i="26" s="1"/>
  <c r="DA723" i="8"/>
  <c r="BH725" i="26" s="1"/>
  <c r="DA724" i="8"/>
  <c r="BH726" i="26" s="1"/>
  <c r="DA725" i="8"/>
  <c r="BH727" i="26" s="1"/>
  <c r="DA726" i="8"/>
  <c r="BH728" i="26" s="1"/>
  <c r="DA727" i="8"/>
  <c r="BH729" i="26" s="1"/>
  <c r="DA728" i="8"/>
  <c r="BH730" i="26" s="1"/>
  <c r="DA729" i="8"/>
  <c r="BH731" i="26" s="1"/>
  <c r="DA730" i="8"/>
  <c r="BH732" i="26" s="1"/>
  <c r="BM732" i="26" s="1"/>
  <c r="DA731" i="8"/>
  <c r="BH733" i="26" s="1"/>
  <c r="DA732" i="8"/>
  <c r="BH734" i="26" s="1"/>
  <c r="DA733" i="8"/>
  <c r="BH735" i="26" s="1"/>
  <c r="DA734" i="8"/>
  <c r="BH736" i="26" s="1"/>
  <c r="DA735" i="8"/>
  <c r="BH737" i="26" s="1"/>
  <c r="DA736" i="8"/>
  <c r="BH738" i="26" s="1"/>
  <c r="DA737" i="8"/>
  <c r="BH739" i="26" s="1"/>
  <c r="DA738" i="8"/>
  <c r="BH740" i="26" s="1"/>
  <c r="DA739" i="8"/>
  <c r="BH741" i="26" s="1"/>
  <c r="DA740" i="8"/>
  <c r="BH742" i="26" s="1"/>
  <c r="BM742" i="26" s="1"/>
  <c r="DA741" i="8"/>
  <c r="BH743" i="26" s="1"/>
  <c r="DA742" i="8"/>
  <c r="BH744" i="26" s="1"/>
  <c r="BM744" i="26" s="1"/>
  <c r="DA743" i="8"/>
  <c r="BH745" i="26" s="1"/>
  <c r="DA744" i="8"/>
  <c r="BH746" i="26" s="1"/>
  <c r="DA745" i="8"/>
  <c r="BH747" i="26" s="1"/>
  <c r="DA746" i="8"/>
  <c r="BH748" i="26" s="1"/>
  <c r="DA747" i="8"/>
  <c r="BH749" i="26" s="1"/>
  <c r="DA748" i="8"/>
  <c r="BH750" i="26" s="1"/>
  <c r="DA749" i="8"/>
  <c r="BH751" i="26" s="1"/>
  <c r="BM751" i="26" s="1"/>
  <c r="DA750" i="8"/>
  <c r="BH752" i="26" s="1"/>
  <c r="BM752" i="26" s="1"/>
  <c r="DA751" i="8"/>
  <c r="BH753" i="26" s="1"/>
  <c r="DA752" i="8"/>
  <c r="BH754" i="26" s="1"/>
  <c r="DA753" i="8"/>
  <c r="BH755" i="26" s="1"/>
  <c r="DA754" i="8"/>
  <c r="BH756" i="26" s="1"/>
  <c r="BM756" i="26" s="1"/>
  <c r="DA755" i="8"/>
  <c r="BH757" i="26" s="1"/>
  <c r="BM757" i="26" s="1"/>
  <c r="DA756" i="8"/>
  <c r="BH758" i="26" s="1"/>
  <c r="BM758" i="26" s="1"/>
  <c r="DA757" i="8"/>
  <c r="BH759" i="26" s="1"/>
  <c r="BM759" i="26" s="1"/>
  <c r="DA758" i="8"/>
  <c r="BH760" i="26" s="1"/>
  <c r="DA759" i="8"/>
  <c r="BH761" i="26" s="1"/>
  <c r="DA760" i="8"/>
  <c r="BH762" i="26" s="1"/>
  <c r="DA761" i="8"/>
  <c r="BH763" i="26" s="1"/>
  <c r="DA762" i="8"/>
  <c r="BH764" i="26" s="1"/>
  <c r="DA763" i="8"/>
  <c r="BH765" i="26" s="1"/>
  <c r="DA764" i="8"/>
  <c r="BH766" i="26" s="1"/>
  <c r="DA765" i="8"/>
  <c r="BH767" i="26" s="1"/>
  <c r="DA766" i="8"/>
  <c r="BH768" i="26" s="1"/>
  <c r="DA767" i="8"/>
  <c r="BH769" i="26" s="1"/>
  <c r="BM769" i="26" s="1"/>
  <c r="DA768" i="8"/>
  <c r="BH770" i="26" s="1"/>
  <c r="DA769" i="8"/>
  <c r="BH771" i="26" s="1"/>
  <c r="DA770" i="8"/>
  <c r="BH772" i="26" s="1"/>
  <c r="DA771" i="8"/>
  <c r="BH773" i="26" s="1"/>
  <c r="DA772" i="8"/>
  <c r="BH774" i="26" s="1"/>
  <c r="DA773" i="8"/>
  <c r="BH775" i="26" s="1"/>
  <c r="DA774" i="8"/>
  <c r="BH776" i="26" s="1"/>
  <c r="DA775" i="8"/>
  <c r="BH777" i="26" s="1"/>
  <c r="BM777" i="26" s="1"/>
  <c r="DA776" i="8"/>
  <c r="BH778" i="26" s="1"/>
  <c r="BM778" i="26" s="1"/>
  <c r="DA777" i="8"/>
  <c r="BH779" i="26" s="1"/>
  <c r="BM779" i="26" s="1"/>
  <c r="DA778" i="8"/>
  <c r="BH780" i="26" s="1"/>
  <c r="BM780" i="26" s="1"/>
  <c r="DA779" i="8"/>
  <c r="BH781" i="26" s="1"/>
  <c r="BM781" i="26" s="1"/>
  <c r="DA780" i="8"/>
  <c r="BH782" i="26" s="1"/>
  <c r="DA781" i="8"/>
  <c r="BH783" i="26" s="1"/>
  <c r="DA782" i="8"/>
  <c r="BH784" i="26" s="1"/>
  <c r="DA783" i="8"/>
  <c r="BH785" i="26" s="1"/>
  <c r="DA784" i="8"/>
  <c r="BH786" i="26" s="1"/>
  <c r="DA785" i="8"/>
  <c r="BH787" i="26" s="1"/>
  <c r="DA786" i="8"/>
  <c r="BH788" i="26" s="1"/>
  <c r="DA787" i="8"/>
  <c r="BH789" i="26" s="1"/>
  <c r="DA788" i="8"/>
  <c r="BH790" i="26" s="1"/>
  <c r="DA789" i="8"/>
  <c r="BH791" i="26" s="1"/>
  <c r="DA790" i="8"/>
  <c r="BH792" i="26" s="1"/>
  <c r="DA791" i="8"/>
  <c r="BH793" i="26" s="1"/>
  <c r="BM793" i="26" s="1"/>
  <c r="DA792" i="8"/>
  <c r="BH794" i="26" s="1"/>
  <c r="BM794" i="26" s="1"/>
  <c r="DA793" i="8"/>
  <c r="BH795" i="26" s="1"/>
  <c r="BM795" i="26" s="1"/>
  <c r="DA794" i="8"/>
  <c r="BH796" i="26" s="1"/>
  <c r="BM796" i="26" s="1"/>
  <c r="DA9" i="8"/>
  <c r="BH11" i="26" s="1"/>
  <c r="DC6" i="8"/>
  <c r="BI8" i="26" s="1"/>
  <c r="BN8" i="26" s="1"/>
  <c r="DC7" i="8"/>
  <c r="BI9" i="26" s="1"/>
  <c r="BN9" i="26" s="1"/>
  <c r="DC8" i="8"/>
  <c r="BI10" i="26" s="1"/>
  <c r="BN10" i="26" s="1"/>
  <c r="DC10" i="8"/>
  <c r="BI12" i="26" s="1"/>
  <c r="DC11" i="8"/>
  <c r="BI13" i="26" s="1"/>
  <c r="DC12" i="8"/>
  <c r="BI14" i="26" s="1"/>
  <c r="DC13" i="8"/>
  <c r="BI15" i="26" s="1"/>
  <c r="DC14" i="8"/>
  <c r="BI16" i="26" s="1"/>
  <c r="DC15" i="8"/>
  <c r="BI17" i="26" s="1"/>
  <c r="DC16" i="8"/>
  <c r="BI18" i="26" s="1"/>
  <c r="DC17" i="8"/>
  <c r="BI19" i="26" s="1"/>
  <c r="DC18" i="8"/>
  <c r="BI20" i="26" s="1"/>
  <c r="DC19" i="8"/>
  <c r="BI21" i="26" s="1"/>
  <c r="DC20" i="8"/>
  <c r="BI22" i="26" s="1"/>
  <c r="DC21" i="8"/>
  <c r="BI23" i="26" s="1"/>
  <c r="DC22" i="8"/>
  <c r="BI24" i="26" s="1"/>
  <c r="DC23" i="8"/>
  <c r="BI25" i="26" s="1"/>
  <c r="DC24" i="8"/>
  <c r="BI26" i="26" s="1"/>
  <c r="DC25" i="8"/>
  <c r="BI27" i="26" s="1"/>
  <c r="DC26" i="8"/>
  <c r="BI28" i="26" s="1"/>
  <c r="BN28" i="26" s="1"/>
  <c r="DC27" i="8"/>
  <c r="BI29" i="26" s="1"/>
  <c r="DC28" i="8"/>
  <c r="BI30" i="26" s="1"/>
  <c r="DC29" i="8"/>
  <c r="BI31" i="26" s="1"/>
  <c r="DC30" i="8"/>
  <c r="BI32" i="26" s="1"/>
  <c r="DC31" i="8"/>
  <c r="BI33" i="26" s="1"/>
  <c r="DC32" i="8"/>
  <c r="BI34" i="26" s="1"/>
  <c r="DC33" i="8"/>
  <c r="BI35" i="26" s="1"/>
  <c r="DC34" i="8"/>
  <c r="BI36" i="26" s="1"/>
  <c r="DC35" i="8"/>
  <c r="BI37" i="26" s="1"/>
  <c r="BN37" i="26" s="1"/>
  <c r="DC36" i="8"/>
  <c r="BI38" i="26" s="1"/>
  <c r="DC37" i="8"/>
  <c r="BI39" i="26" s="1"/>
  <c r="DC38" i="8"/>
  <c r="BI40" i="26" s="1"/>
  <c r="DC39" i="8"/>
  <c r="BI41" i="26" s="1"/>
  <c r="DC40" i="8"/>
  <c r="BI42" i="26" s="1"/>
  <c r="DC41" i="8"/>
  <c r="BI43" i="26" s="1"/>
  <c r="DC42" i="8"/>
  <c r="BI44" i="26" s="1"/>
  <c r="DC43" i="8"/>
  <c r="BI45" i="26" s="1"/>
  <c r="DC44" i="8"/>
  <c r="BI46" i="26" s="1"/>
  <c r="DC45" i="8"/>
  <c r="BI47" i="26" s="1"/>
  <c r="DC46" i="8"/>
  <c r="BI48" i="26" s="1"/>
  <c r="DC47" i="8"/>
  <c r="BI49" i="26" s="1"/>
  <c r="BN49" i="26" s="1"/>
  <c r="DC48" i="8"/>
  <c r="BI50" i="26" s="1"/>
  <c r="DC49" i="8"/>
  <c r="BI51" i="26" s="1"/>
  <c r="DC50" i="8"/>
  <c r="BI52" i="26" s="1"/>
  <c r="DC51" i="8"/>
  <c r="BI53" i="26" s="1"/>
  <c r="DC52" i="8"/>
  <c r="BI54" i="26" s="1"/>
  <c r="DC53" i="8"/>
  <c r="BI55" i="26" s="1"/>
  <c r="DC54" i="8"/>
  <c r="BI56" i="26" s="1"/>
  <c r="DC55" i="8"/>
  <c r="BI57" i="26" s="1"/>
  <c r="DC56" i="8"/>
  <c r="BI58" i="26" s="1"/>
  <c r="DC57" i="8"/>
  <c r="BI59" i="26" s="1"/>
  <c r="DC58" i="8"/>
  <c r="BI60" i="26" s="1"/>
  <c r="DC59" i="8"/>
  <c r="BI61" i="26" s="1"/>
  <c r="DC60" i="8"/>
  <c r="BI62" i="26" s="1"/>
  <c r="DC61" i="8"/>
  <c r="BI63" i="26" s="1"/>
  <c r="DC62" i="8"/>
  <c r="BI64" i="26" s="1"/>
  <c r="DC63" i="8"/>
  <c r="BI65" i="26" s="1"/>
  <c r="DC64" i="8"/>
  <c r="BI66" i="26" s="1"/>
  <c r="DC65" i="8"/>
  <c r="BI67" i="26" s="1"/>
  <c r="DC66" i="8"/>
  <c r="BI68" i="26" s="1"/>
  <c r="DC67" i="8"/>
  <c r="BI69" i="26" s="1"/>
  <c r="BN69" i="26" s="1"/>
  <c r="DC68" i="8"/>
  <c r="BI70" i="26" s="1"/>
  <c r="DC69" i="8"/>
  <c r="BI71" i="26" s="1"/>
  <c r="DC70" i="8"/>
  <c r="BI72" i="26" s="1"/>
  <c r="DC71" i="8"/>
  <c r="BI73" i="26" s="1"/>
  <c r="DC72" i="8"/>
  <c r="BI74" i="26" s="1"/>
  <c r="DC73" i="8"/>
  <c r="BI75" i="26" s="1"/>
  <c r="DC74" i="8"/>
  <c r="BI76" i="26" s="1"/>
  <c r="DC75" i="8"/>
  <c r="BI77" i="26" s="1"/>
  <c r="DC76" i="8"/>
  <c r="BI78" i="26" s="1"/>
  <c r="DC77" i="8"/>
  <c r="BI79" i="26" s="1"/>
  <c r="DC78" i="8"/>
  <c r="BI80" i="26" s="1"/>
  <c r="DC79" i="8"/>
  <c r="BI81" i="26" s="1"/>
  <c r="DC80" i="8"/>
  <c r="BI82" i="26" s="1"/>
  <c r="DC81" i="8"/>
  <c r="BI83" i="26" s="1"/>
  <c r="DC82" i="8"/>
  <c r="BI84" i="26" s="1"/>
  <c r="DC83" i="8"/>
  <c r="BI85" i="26" s="1"/>
  <c r="DC84" i="8"/>
  <c r="BI86" i="26" s="1"/>
  <c r="DC85" i="8"/>
  <c r="BI87" i="26" s="1"/>
  <c r="DC86" i="8"/>
  <c r="BI88" i="26" s="1"/>
  <c r="DC87" i="8"/>
  <c r="BI89" i="26" s="1"/>
  <c r="DC88" i="8"/>
  <c r="BI90" i="26" s="1"/>
  <c r="DC89" i="8"/>
  <c r="BI91" i="26" s="1"/>
  <c r="DC90" i="8"/>
  <c r="BI92" i="26" s="1"/>
  <c r="DC91" i="8"/>
  <c r="BI93" i="26" s="1"/>
  <c r="DC92" i="8"/>
  <c r="BI94" i="26" s="1"/>
  <c r="DC93" i="8"/>
  <c r="BI95" i="26" s="1"/>
  <c r="DC94" i="8"/>
  <c r="BI96" i="26" s="1"/>
  <c r="DC95" i="8"/>
  <c r="BI97" i="26" s="1"/>
  <c r="BN97" i="26" s="1"/>
  <c r="DC96" i="8"/>
  <c r="BI98" i="26" s="1"/>
  <c r="DC97" i="8"/>
  <c r="BI99" i="26" s="1"/>
  <c r="DC98" i="8"/>
  <c r="BI100" i="26" s="1"/>
  <c r="BN100" i="26" s="1"/>
  <c r="DC99" i="8"/>
  <c r="BI101" i="26" s="1"/>
  <c r="BN101" i="26" s="1"/>
  <c r="DC100" i="8"/>
  <c r="BI102" i="26" s="1"/>
  <c r="DC101" i="8"/>
  <c r="BI103" i="26" s="1"/>
  <c r="DC102" i="8"/>
  <c r="BI104" i="26" s="1"/>
  <c r="BN104" i="26" s="1"/>
  <c r="DC103" i="8"/>
  <c r="BI105" i="26" s="1"/>
  <c r="BN105" i="26" s="1"/>
  <c r="DC104" i="8"/>
  <c r="BI106" i="26" s="1"/>
  <c r="DC105" i="8"/>
  <c r="BI107" i="26" s="1"/>
  <c r="DC106" i="8"/>
  <c r="BI108" i="26" s="1"/>
  <c r="DC107" i="8"/>
  <c r="BI109" i="26" s="1"/>
  <c r="DC108" i="8"/>
  <c r="BI110" i="26" s="1"/>
  <c r="DC109" i="8"/>
  <c r="BI111" i="26" s="1"/>
  <c r="DC110" i="8"/>
  <c r="BI112" i="26" s="1"/>
  <c r="DC111" i="8"/>
  <c r="BI113" i="26" s="1"/>
  <c r="DC112" i="8"/>
  <c r="BI114" i="26" s="1"/>
  <c r="DC113" i="8"/>
  <c r="BI115" i="26" s="1"/>
  <c r="BN115" i="26" s="1"/>
  <c r="DC114" i="8"/>
  <c r="BI116" i="26" s="1"/>
  <c r="DC115" i="8"/>
  <c r="BI117" i="26" s="1"/>
  <c r="DC116" i="8"/>
  <c r="BI118" i="26" s="1"/>
  <c r="DC117" i="8"/>
  <c r="BI119" i="26" s="1"/>
  <c r="DC118" i="8"/>
  <c r="BI120" i="26" s="1"/>
  <c r="DC119" i="8"/>
  <c r="BI121" i="26" s="1"/>
  <c r="DC120" i="8"/>
  <c r="BI122" i="26" s="1"/>
  <c r="DC121" i="8"/>
  <c r="BI123" i="26" s="1"/>
  <c r="DC122" i="8"/>
  <c r="BI124" i="26" s="1"/>
  <c r="DC123" i="8"/>
  <c r="BI125" i="26" s="1"/>
  <c r="DC124" i="8"/>
  <c r="BI126" i="26" s="1"/>
  <c r="DC125" i="8"/>
  <c r="BI127" i="26" s="1"/>
  <c r="DC126" i="8"/>
  <c r="BI128" i="26" s="1"/>
  <c r="DC127" i="8"/>
  <c r="BI129" i="26" s="1"/>
  <c r="DC128" i="8"/>
  <c r="BI130" i="26" s="1"/>
  <c r="DC129" i="8"/>
  <c r="BI131" i="26" s="1"/>
  <c r="DC130" i="8"/>
  <c r="BI132" i="26" s="1"/>
  <c r="DC131" i="8"/>
  <c r="BI133" i="26" s="1"/>
  <c r="BN133" i="26" s="1"/>
  <c r="DC132" i="8"/>
  <c r="BI134" i="26" s="1"/>
  <c r="BN134" i="26" s="1"/>
  <c r="DC133" i="8"/>
  <c r="BI135" i="26" s="1"/>
  <c r="BN135" i="26" s="1"/>
  <c r="DC134" i="8"/>
  <c r="BI136" i="26" s="1"/>
  <c r="DC135" i="8"/>
  <c r="BI137" i="26" s="1"/>
  <c r="DC136" i="8"/>
  <c r="BI138" i="26" s="1"/>
  <c r="DC137" i="8"/>
  <c r="BI139" i="26" s="1"/>
  <c r="DC138" i="8"/>
  <c r="BI140" i="26" s="1"/>
  <c r="DC139" i="8"/>
  <c r="BI141" i="26" s="1"/>
  <c r="BN141" i="26" s="1"/>
  <c r="DC140" i="8"/>
  <c r="BI142" i="26" s="1"/>
  <c r="DC141" i="8"/>
  <c r="BI143" i="26" s="1"/>
  <c r="DC142" i="8"/>
  <c r="BI144" i="26" s="1"/>
  <c r="DC143" i="8"/>
  <c r="BI145" i="26" s="1"/>
  <c r="BN145" i="26" s="1"/>
  <c r="DC144" i="8"/>
  <c r="BI146" i="26" s="1"/>
  <c r="BN146" i="26" s="1"/>
  <c r="DC145" i="8"/>
  <c r="BI147" i="26" s="1"/>
  <c r="BN147" i="26" s="1"/>
  <c r="DC146" i="8"/>
  <c r="BI148" i="26" s="1"/>
  <c r="DC147" i="8"/>
  <c r="BI149" i="26" s="1"/>
  <c r="DC148" i="8"/>
  <c r="BI150" i="26" s="1"/>
  <c r="DC149" i="8"/>
  <c r="BI151" i="26" s="1"/>
  <c r="DC150" i="8"/>
  <c r="BI152" i="26" s="1"/>
  <c r="DC151" i="8"/>
  <c r="BI153" i="26" s="1"/>
  <c r="DC152" i="8"/>
  <c r="BI154" i="26" s="1"/>
  <c r="DC153" i="8"/>
  <c r="BI155" i="26" s="1"/>
  <c r="DC154" i="8"/>
  <c r="BI156" i="26" s="1"/>
  <c r="DC155" i="8"/>
  <c r="BI157" i="26" s="1"/>
  <c r="DC156" i="8"/>
  <c r="BI158" i="26" s="1"/>
  <c r="DC157" i="8"/>
  <c r="BI159" i="26" s="1"/>
  <c r="BN159" i="26" s="1"/>
  <c r="DC158" i="8"/>
  <c r="BI160" i="26" s="1"/>
  <c r="DC159" i="8"/>
  <c r="BI161" i="26" s="1"/>
  <c r="DC160" i="8"/>
  <c r="BI162" i="26" s="1"/>
  <c r="BN162" i="26" s="1"/>
  <c r="DC161" i="8"/>
  <c r="BI163" i="26" s="1"/>
  <c r="DC162" i="8"/>
  <c r="BI164" i="26" s="1"/>
  <c r="DC163" i="8"/>
  <c r="BI165" i="26" s="1"/>
  <c r="DC164" i="8"/>
  <c r="BI166" i="26" s="1"/>
  <c r="DC165" i="8"/>
  <c r="BI167" i="26" s="1"/>
  <c r="DC166" i="8"/>
  <c r="BI168" i="26" s="1"/>
  <c r="DC167" i="8"/>
  <c r="BI169" i="26" s="1"/>
  <c r="DC168" i="8"/>
  <c r="BI170" i="26" s="1"/>
  <c r="DC169" i="8"/>
  <c r="BI171" i="26" s="1"/>
  <c r="DC170" i="8"/>
  <c r="BI172" i="26" s="1"/>
  <c r="DC171" i="8"/>
  <c r="BI173" i="26" s="1"/>
  <c r="DC172" i="8"/>
  <c r="BI174" i="26" s="1"/>
  <c r="DC173" i="8"/>
  <c r="BI175" i="26" s="1"/>
  <c r="DC174" i="8"/>
  <c r="BI176" i="26" s="1"/>
  <c r="DC175" i="8"/>
  <c r="BI177" i="26" s="1"/>
  <c r="DC176" i="8"/>
  <c r="BI178" i="26" s="1"/>
  <c r="BN178" i="26" s="1"/>
  <c r="DC177" i="8"/>
  <c r="BI179" i="26" s="1"/>
  <c r="DC178" i="8"/>
  <c r="BI180" i="26" s="1"/>
  <c r="DC179" i="8"/>
  <c r="BI181" i="26" s="1"/>
  <c r="DC180" i="8"/>
  <c r="BI182" i="26" s="1"/>
  <c r="DC181" i="8"/>
  <c r="BI183" i="26" s="1"/>
  <c r="DC182" i="8"/>
  <c r="BI184" i="26" s="1"/>
  <c r="DC183" i="8"/>
  <c r="BI185" i="26" s="1"/>
  <c r="DC184" i="8"/>
  <c r="BI186" i="26" s="1"/>
  <c r="DC185" i="8"/>
  <c r="BI187" i="26" s="1"/>
  <c r="DC186" i="8"/>
  <c r="BI188" i="26" s="1"/>
  <c r="DC187" i="8"/>
  <c r="BI189" i="26" s="1"/>
  <c r="DC188" i="8"/>
  <c r="BI190" i="26" s="1"/>
  <c r="DC189" i="8"/>
  <c r="BI191" i="26" s="1"/>
  <c r="DC190" i="8"/>
  <c r="BI192" i="26" s="1"/>
  <c r="DC191" i="8"/>
  <c r="BI193" i="26" s="1"/>
  <c r="DC192" i="8"/>
  <c r="BI194" i="26" s="1"/>
  <c r="DC193" i="8"/>
  <c r="BI195" i="26" s="1"/>
  <c r="DC194" i="8"/>
  <c r="BI196" i="26" s="1"/>
  <c r="DC195" i="8"/>
  <c r="BI197" i="26" s="1"/>
  <c r="BN197" i="26" s="1"/>
  <c r="DC196" i="8"/>
  <c r="BI198" i="26" s="1"/>
  <c r="BN198" i="26" s="1"/>
  <c r="DC197" i="8"/>
  <c r="BI199" i="26" s="1"/>
  <c r="BN199" i="26" s="1"/>
  <c r="DC198" i="8"/>
  <c r="BI200" i="26" s="1"/>
  <c r="BN200" i="26" s="1"/>
  <c r="DC199" i="8"/>
  <c r="BI201" i="26" s="1"/>
  <c r="BN201" i="26" s="1"/>
  <c r="DC200" i="8"/>
  <c r="BI202" i="26" s="1"/>
  <c r="BN202" i="26" s="1"/>
  <c r="DC201" i="8"/>
  <c r="BI203" i="26" s="1"/>
  <c r="DC202" i="8"/>
  <c r="BI204" i="26" s="1"/>
  <c r="DC203" i="8"/>
  <c r="BI205" i="26" s="1"/>
  <c r="DC204" i="8"/>
  <c r="BI206" i="26" s="1"/>
  <c r="DC205" i="8"/>
  <c r="BI207" i="26" s="1"/>
  <c r="DC206" i="8"/>
  <c r="BI208" i="26" s="1"/>
  <c r="DC207" i="8"/>
  <c r="BI209" i="26" s="1"/>
  <c r="DC208" i="8"/>
  <c r="BI210" i="26" s="1"/>
  <c r="DC209" i="8"/>
  <c r="BI211" i="26" s="1"/>
  <c r="DC210" i="8"/>
  <c r="BI212" i="26" s="1"/>
  <c r="DC211" i="8"/>
  <c r="BI213" i="26" s="1"/>
  <c r="DC212" i="8"/>
  <c r="BI214" i="26" s="1"/>
  <c r="DC213" i="8"/>
  <c r="BI215" i="26" s="1"/>
  <c r="DC214" i="8"/>
  <c r="BI216" i="26" s="1"/>
  <c r="BN216" i="26" s="1"/>
  <c r="DC215" i="8"/>
  <c r="BI217" i="26" s="1"/>
  <c r="DC216" i="8"/>
  <c r="BI218" i="26" s="1"/>
  <c r="DC217" i="8"/>
  <c r="BI219" i="26" s="1"/>
  <c r="DC218" i="8"/>
  <c r="BI220" i="26" s="1"/>
  <c r="DC219" i="8"/>
  <c r="BI221" i="26" s="1"/>
  <c r="DC220" i="8"/>
  <c r="BI222" i="26" s="1"/>
  <c r="DC221" i="8"/>
  <c r="BI223" i="26" s="1"/>
  <c r="DC222" i="8"/>
  <c r="BI224" i="26" s="1"/>
  <c r="DC223" i="8"/>
  <c r="BI225" i="26" s="1"/>
  <c r="DC224" i="8"/>
  <c r="BI226" i="26" s="1"/>
  <c r="DC225" i="8"/>
  <c r="BI227" i="26" s="1"/>
  <c r="DC226" i="8"/>
  <c r="BI228" i="26" s="1"/>
  <c r="DC227" i="8"/>
  <c r="BI229" i="26" s="1"/>
  <c r="DC228" i="8"/>
  <c r="BI230" i="26" s="1"/>
  <c r="DC229" i="8"/>
  <c r="BI231" i="26" s="1"/>
  <c r="DC230" i="8"/>
  <c r="BI232" i="26" s="1"/>
  <c r="DC231" i="8"/>
  <c r="BI233" i="26" s="1"/>
  <c r="DC232" i="8"/>
  <c r="BI234" i="26" s="1"/>
  <c r="DC233" i="8"/>
  <c r="BI235" i="26" s="1"/>
  <c r="DC234" i="8"/>
  <c r="BI236" i="26" s="1"/>
  <c r="DC235" i="8"/>
  <c r="BI237" i="26" s="1"/>
  <c r="BN237" i="26" s="1"/>
  <c r="DC236" i="8"/>
  <c r="BI238" i="26" s="1"/>
  <c r="BN238" i="26" s="1"/>
  <c r="DC237" i="8"/>
  <c r="BI239" i="26" s="1"/>
  <c r="DC238" i="8"/>
  <c r="BI240" i="26" s="1"/>
  <c r="DC239" i="8"/>
  <c r="BI241" i="26" s="1"/>
  <c r="DC240" i="8"/>
  <c r="BI242" i="26" s="1"/>
  <c r="DC241" i="8"/>
  <c r="BI243" i="26" s="1"/>
  <c r="BN243" i="26" s="1"/>
  <c r="DC242" i="8"/>
  <c r="BI244" i="26" s="1"/>
  <c r="DC243" i="8"/>
  <c r="BI245" i="26" s="1"/>
  <c r="BN245" i="26" s="1"/>
  <c r="DC244" i="8"/>
  <c r="BI246" i="26" s="1"/>
  <c r="BN246" i="26" s="1"/>
  <c r="DC245" i="8"/>
  <c r="BI247" i="26" s="1"/>
  <c r="BN247" i="26" s="1"/>
  <c r="DC246" i="8"/>
  <c r="BI248" i="26" s="1"/>
  <c r="DC247" i="8"/>
  <c r="BI249" i="26" s="1"/>
  <c r="DC248" i="8"/>
  <c r="BI250" i="26" s="1"/>
  <c r="DC249" i="8"/>
  <c r="BI251" i="26" s="1"/>
  <c r="DC250" i="8"/>
  <c r="BI252" i="26" s="1"/>
  <c r="DC251" i="8"/>
  <c r="BI253" i="26" s="1"/>
  <c r="DC252" i="8"/>
  <c r="BI254" i="26" s="1"/>
  <c r="BN254" i="26" s="1"/>
  <c r="DC253" i="8"/>
  <c r="BI255" i="26" s="1"/>
  <c r="DC254" i="8"/>
  <c r="BI256" i="26" s="1"/>
  <c r="BN256" i="26" s="1"/>
  <c r="DC255" i="8"/>
  <c r="BI257" i="26" s="1"/>
  <c r="DC256" i="8"/>
  <c r="BI258" i="26" s="1"/>
  <c r="DC257" i="8"/>
  <c r="BI259" i="26" s="1"/>
  <c r="DC258" i="8"/>
  <c r="BI260" i="26" s="1"/>
  <c r="DC259" i="8"/>
  <c r="BI261" i="26" s="1"/>
  <c r="DC260" i="8"/>
  <c r="BI262" i="26" s="1"/>
  <c r="DC261" i="8"/>
  <c r="BI263" i="26" s="1"/>
  <c r="DC262" i="8"/>
  <c r="BI264" i="26" s="1"/>
  <c r="DC263" i="8"/>
  <c r="BI265" i="26" s="1"/>
  <c r="DC264" i="8"/>
  <c r="BI266" i="26" s="1"/>
  <c r="DC265" i="8"/>
  <c r="BI267" i="26" s="1"/>
  <c r="BN267" i="26" s="1"/>
  <c r="DC266" i="8"/>
  <c r="BI268" i="26" s="1"/>
  <c r="DC267" i="8"/>
  <c r="BI269" i="26" s="1"/>
  <c r="DC268" i="8"/>
  <c r="BI270" i="26" s="1"/>
  <c r="DC269" i="8"/>
  <c r="BI271" i="26" s="1"/>
  <c r="DC270" i="8"/>
  <c r="BI272" i="26" s="1"/>
  <c r="DC271" i="8"/>
  <c r="BI273" i="26" s="1"/>
  <c r="DC272" i="8"/>
  <c r="BI274" i="26" s="1"/>
  <c r="DC273" i="8"/>
  <c r="BI275" i="26" s="1"/>
  <c r="DC274" i="8"/>
  <c r="BI276" i="26" s="1"/>
  <c r="DC275" i="8"/>
  <c r="BI277" i="26" s="1"/>
  <c r="DC276" i="8"/>
  <c r="BI278" i="26" s="1"/>
  <c r="DC277" i="8"/>
  <c r="BI279" i="26" s="1"/>
  <c r="DC278" i="8"/>
  <c r="BI280" i="26" s="1"/>
  <c r="DC279" i="8"/>
  <c r="BI281" i="26" s="1"/>
  <c r="DC280" i="8"/>
  <c r="BI282" i="26" s="1"/>
  <c r="DC281" i="8"/>
  <c r="BI283" i="26" s="1"/>
  <c r="DC282" i="8"/>
  <c r="BI284" i="26" s="1"/>
  <c r="DC283" i="8"/>
  <c r="BI285" i="26" s="1"/>
  <c r="DC284" i="8"/>
  <c r="BI286" i="26" s="1"/>
  <c r="DC285" i="8"/>
  <c r="BI287" i="26" s="1"/>
  <c r="DC286" i="8"/>
  <c r="BI288" i="26" s="1"/>
  <c r="DC287" i="8"/>
  <c r="BI289" i="26" s="1"/>
  <c r="DC288" i="8"/>
  <c r="BI290" i="26" s="1"/>
  <c r="DC289" i="8"/>
  <c r="BI291" i="26" s="1"/>
  <c r="DC290" i="8"/>
  <c r="BI292" i="26" s="1"/>
  <c r="BN292" i="26" s="1"/>
  <c r="DC291" i="8"/>
  <c r="BI293" i="26" s="1"/>
  <c r="BN293" i="26" s="1"/>
  <c r="DC292" i="8"/>
  <c r="BI294" i="26" s="1"/>
  <c r="BN294" i="26" s="1"/>
  <c r="DC293" i="8"/>
  <c r="BI295" i="26" s="1"/>
  <c r="DC294" i="8"/>
  <c r="BI296" i="26" s="1"/>
  <c r="DC295" i="8"/>
  <c r="BI297" i="26" s="1"/>
  <c r="DC296" i="8"/>
  <c r="BI298" i="26" s="1"/>
  <c r="DC297" i="8"/>
  <c r="BI299" i="26" s="1"/>
  <c r="BN299" i="26" s="1"/>
  <c r="DC298" i="8"/>
  <c r="BI300" i="26" s="1"/>
  <c r="DC299" i="8"/>
  <c r="BI301" i="26" s="1"/>
  <c r="DC300" i="8"/>
  <c r="BI302" i="26" s="1"/>
  <c r="DC301" i="8"/>
  <c r="BI303" i="26" s="1"/>
  <c r="DC302" i="8"/>
  <c r="BI304" i="26" s="1"/>
  <c r="DC303" i="8"/>
  <c r="BI305" i="26" s="1"/>
  <c r="DC304" i="8"/>
  <c r="BI306" i="26" s="1"/>
  <c r="DC305" i="8"/>
  <c r="BI307" i="26" s="1"/>
  <c r="DC306" i="8"/>
  <c r="BI308" i="26" s="1"/>
  <c r="DC307" i="8"/>
  <c r="BI309" i="26" s="1"/>
  <c r="DC308" i="8"/>
  <c r="BI310" i="26" s="1"/>
  <c r="DC309" i="8"/>
  <c r="BI311" i="26" s="1"/>
  <c r="DC310" i="8"/>
  <c r="BI312" i="26" s="1"/>
  <c r="DC311" i="8"/>
  <c r="BI313" i="26" s="1"/>
  <c r="DC312" i="8"/>
  <c r="BI314" i="26" s="1"/>
  <c r="DC313" i="8"/>
  <c r="BI315" i="26" s="1"/>
  <c r="DC314" i="8"/>
  <c r="BI316" i="26" s="1"/>
  <c r="DC315" i="8"/>
  <c r="BI317" i="26" s="1"/>
  <c r="DC316" i="8"/>
  <c r="BI318" i="26" s="1"/>
  <c r="DC317" i="8"/>
  <c r="BI319" i="26" s="1"/>
  <c r="DC318" i="8"/>
  <c r="BI320" i="26" s="1"/>
  <c r="DC319" i="8"/>
  <c r="BI321" i="26" s="1"/>
  <c r="DC320" i="8"/>
  <c r="BI322" i="26" s="1"/>
  <c r="DC321" i="8"/>
  <c r="BI323" i="26" s="1"/>
  <c r="DC322" i="8"/>
  <c r="BI324" i="26" s="1"/>
  <c r="DC323" i="8"/>
  <c r="BI325" i="26" s="1"/>
  <c r="DC324" i="8"/>
  <c r="BI326" i="26" s="1"/>
  <c r="DC325" i="8"/>
  <c r="BI327" i="26" s="1"/>
  <c r="DC326" i="8"/>
  <c r="BI328" i="26" s="1"/>
  <c r="DC327" i="8"/>
  <c r="BI329" i="26" s="1"/>
  <c r="DC328" i="8"/>
  <c r="BI330" i="26" s="1"/>
  <c r="DC329" i="8"/>
  <c r="BI331" i="26" s="1"/>
  <c r="DC330" i="8"/>
  <c r="BI332" i="26" s="1"/>
  <c r="DC331" i="8"/>
  <c r="BI333" i="26" s="1"/>
  <c r="DC332" i="8"/>
  <c r="BI334" i="26" s="1"/>
  <c r="DC333" i="8"/>
  <c r="BI335" i="26" s="1"/>
  <c r="DC334" i="8"/>
  <c r="BI336" i="26" s="1"/>
  <c r="DC335" i="8"/>
  <c r="BI337" i="26" s="1"/>
  <c r="DC336" i="8"/>
  <c r="BI338" i="26" s="1"/>
  <c r="BN338" i="26" s="1"/>
  <c r="DC337" i="8"/>
  <c r="BI339" i="26" s="1"/>
  <c r="DC338" i="8"/>
  <c r="BI340" i="26" s="1"/>
  <c r="DC339" i="8"/>
  <c r="BI341" i="26" s="1"/>
  <c r="DC340" i="8"/>
  <c r="BI342" i="26" s="1"/>
  <c r="DC341" i="8"/>
  <c r="BI343" i="26" s="1"/>
  <c r="DC342" i="8"/>
  <c r="BI344" i="26" s="1"/>
  <c r="DC343" i="8"/>
  <c r="BI345" i="26" s="1"/>
  <c r="DC344" i="8"/>
  <c r="BI346" i="26" s="1"/>
  <c r="DC345" i="8"/>
  <c r="BI347" i="26" s="1"/>
  <c r="DC346" i="8"/>
  <c r="BI348" i="26" s="1"/>
  <c r="DC347" i="8"/>
  <c r="BI349" i="26" s="1"/>
  <c r="DC348" i="8"/>
  <c r="BI350" i="26" s="1"/>
  <c r="DC349" i="8"/>
  <c r="BI351" i="26" s="1"/>
  <c r="DC350" i="8"/>
  <c r="BI352" i="26" s="1"/>
  <c r="DC351" i="8"/>
  <c r="BI353" i="26" s="1"/>
  <c r="DC352" i="8"/>
  <c r="BI354" i="26" s="1"/>
  <c r="DC353" i="8"/>
  <c r="BI355" i="26" s="1"/>
  <c r="DC354" i="8"/>
  <c r="BI356" i="26" s="1"/>
  <c r="DC355" i="8"/>
  <c r="BI357" i="26" s="1"/>
  <c r="DC356" i="8"/>
  <c r="BI358" i="26" s="1"/>
  <c r="DC357" i="8"/>
  <c r="BI359" i="26" s="1"/>
  <c r="DC358" i="8"/>
  <c r="BI360" i="26" s="1"/>
  <c r="DC359" i="8"/>
  <c r="BI361" i="26" s="1"/>
  <c r="DC360" i="8"/>
  <c r="BI362" i="26" s="1"/>
  <c r="DC361" i="8"/>
  <c r="BI363" i="26" s="1"/>
  <c r="DC362" i="8"/>
  <c r="BI364" i="26" s="1"/>
  <c r="DC363" i="8"/>
  <c r="BI365" i="26" s="1"/>
  <c r="DC364" i="8"/>
  <c r="BI366" i="26" s="1"/>
  <c r="DC365" i="8"/>
  <c r="BI367" i="26" s="1"/>
  <c r="DC366" i="8"/>
  <c r="BI368" i="26" s="1"/>
  <c r="DC367" i="8"/>
  <c r="BI369" i="26" s="1"/>
  <c r="DC368" i="8"/>
  <c r="BI370" i="26" s="1"/>
  <c r="DC369" i="8"/>
  <c r="BI371" i="26" s="1"/>
  <c r="DC370" i="8"/>
  <c r="BI372" i="26" s="1"/>
  <c r="DC371" i="8"/>
  <c r="BI373" i="26" s="1"/>
  <c r="DC372" i="8"/>
  <c r="BI374" i="26" s="1"/>
  <c r="DC373" i="8"/>
  <c r="BI375" i="26" s="1"/>
  <c r="DC374" i="8"/>
  <c r="BI376" i="26" s="1"/>
  <c r="DC375" i="8"/>
  <c r="BI377" i="26" s="1"/>
  <c r="DC376" i="8"/>
  <c r="BI378" i="26" s="1"/>
  <c r="DC377" i="8"/>
  <c r="BI379" i="26" s="1"/>
  <c r="DC378" i="8"/>
  <c r="BI380" i="26" s="1"/>
  <c r="DC379" i="8"/>
  <c r="BI381" i="26" s="1"/>
  <c r="DC380" i="8"/>
  <c r="BI382" i="26" s="1"/>
  <c r="DC381" i="8"/>
  <c r="BI383" i="26" s="1"/>
  <c r="DC382" i="8"/>
  <c r="BI384" i="26" s="1"/>
  <c r="DC383" i="8"/>
  <c r="BI385" i="26" s="1"/>
  <c r="DC384" i="8"/>
  <c r="BI386" i="26" s="1"/>
  <c r="BN386" i="26" s="1"/>
  <c r="DC385" i="8"/>
  <c r="BI387" i="26" s="1"/>
  <c r="DC386" i="8"/>
  <c r="BI388" i="26" s="1"/>
  <c r="DC387" i="8"/>
  <c r="BI389" i="26" s="1"/>
  <c r="DC388" i="8"/>
  <c r="BI390" i="26" s="1"/>
  <c r="BN390" i="26" s="1"/>
  <c r="DC389" i="8"/>
  <c r="BI391" i="26" s="1"/>
  <c r="DC390" i="8"/>
  <c r="BI392" i="26" s="1"/>
  <c r="BN392" i="26" s="1"/>
  <c r="DC391" i="8"/>
  <c r="BI393" i="26" s="1"/>
  <c r="DC392" i="8"/>
  <c r="BI394" i="26" s="1"/>
  <c r="DC393" i="8"/>
  <c r="BI395" i="26" s="1"/>
  <c r="DC394" i="8"/>
  <c r="BI396" i="26" s="1"/>
  <c r="DC395" i="8"/>
  <c r="BI397" i="26" s="1"/>
  <c r="DC396" i="8"/>
  <c r="BI398" i="26" s="1"/>
  <c r="BN398" i="26" s="1"/>
  <c r="DC397" i="8"/>
  <c r="BI399" i="26" s="1"/>
  <c r="DC398" i="8"/>
  <c r="BI400" i="26" s="1"/>
  <c r="DC399" i="8"/>
  <c r="BI401" i="26" s="1"/>
  <c r="BN401" i="26" s="1"/>
  <c r="DC400" i="8"/>
  <c r="BI402" i="26" s="1"/>
  <c r="DC401" i="8"/>
  <c r="BI403" i="26" s="1"/>
  <c r="DC402" i="8"/>
  <c r="BI404" i="26" s="1"/>
  <c r="BN404" i="26" s="1"/>
  <c r="DC403" i="8"/>
  <c r="BI405" i="26" s="1"/>
  <c r="BN405" i="26" s="1"/>
  <c r="DC404" i="8"/>
  <c r="BI406" i="26" s="1"/>
  <c r="DC405" i="8"/>
  <c r="BI407" i="26" s="1"/>
  <c r="DC406" i="8"/>
  <c r="BI408" i="26" s="1"/>
  <c r="DC407" i="8"/>
  <c r="BI409" i="26" s="1"/>
  <c r="DC408" i="8"/>
  <c r="BI410" i="26" s="1"/>
  <c r="DC409" i="8"/>
  <c r="BI411" i="26" s="1"/>
  <c r="DC410" i="8"/>
  <c r="BI412" i="26" s="1"/>
  <c r="DC411" i="8"/>
  <c r="BI413" i="26" s="1"/>
  <c r="DC412" i="8"/>
  <c r="BI414" i="26" s="1"/>
  <c r="DC413" i="8"/>
  <c r="BI415" i="26" s="1"/>
  <c r="DC414" i="8"/>
  <c r="BI416" i="26" s="1"/>
  <c r="DC415" i="8"/>
  <c r="BI417" i="26" s="1"/>
  <c r="BN417" i="26" s="1"/>
  <c r="DC416" i="8"/>
  <c r="BI418" i="26" s="1"/>
  <c r="DC417" i="8"/>
  <c r="BI419" i="26" s="1"/>
  <c r="DC418" i="8"/>
  <c r="BI420" i="26" s="1"/>
  <c r="DC419" i="8"/>
  <c r="BI421" i="26" s="1"/>
  <c r="BN421" i="26" s="1"/>
  <c r="DC420" i="8"/>
  <c r="BI422" i="26" s="1"/>
  <c r="BN422" i="26" s="1"/>
  <c r="DC421" i="8"/>
  <c r="BI423" i="26" s="1"/>
  <c r="BN423" i="26" s="1"/>
  <c r="DC422" i="8"/>
  <c r="BI424" i="26" s="1"/>
  <c r="DC423" i="8"/>
  <c r="BI425" i="26" s="1"/>
  <c r="DC424" i="8"/>
  <c r="BI426" i="26" s="1"/>
  <c r="DC425" i="8"/>
  <c r="BI427" i="26" s="1"/>
  <c r="DC426" i="8"/>
  <c r="BI428" i="26" s="1"/>
  <c r="DC427" i="8"/>
  <c r="BI429" i="26" s="1"/>
  <c r="DC428" i="8"/>
  <c r="BI430" i="26" s="1"/>
  <c r="BN430" i="26" s="1"/>
  <c r="DC429" i="8"/>
  <c r="BI431" i="26" s="1"/>
  <c r="DC430" i="8"/>
  <c r="BI432" i="26" s="1"/>
  <c r="DC431" i="8"/>
  <c r="BI433" i="26" s="1"/>
  <c r="DC432" i="8"/>
  <c r="BI434" i="26" s="1"/>
  <c r="BN434" i="26" s="1"/>
  <c r="DC433" i="8"/>
  <c r="BI435" i="26" s="1"/>
  <c r="DC434" i="8"/>
  <c r="BI436" i="26" s="1"/>
  <c r="DC435" i="8"/>
  <c r="BI437" i="26" s="1"/>
  <c r="DC436" i="8"/>
  <c r="BI438" i="26" s="1"/>
  <c r="DC437" i="8"/>
  <c r="BI439" i="26" s="1"/>
  <c r="DC438" i="8"/>
  <c r="BI440" i="26" s="1"/>
  <c r="DC439" i="8"/>
  <c r="BI441" i="26" s="1"/>
  <c r="DC440" i="8"/>
  <c r="BI442" i="26" s="1"/>
  <c r="DC441" i="8"/>
  <c r="BI443" i="26" s="1"/>
  <c r="DC442" i="8"/>
  <c r="BI444" i="26" s="1"/>
  <c r="DC443" i="8"/>
  <c r="BI445" i="26" s="1"/>
  <c r="DC444" i="8"/>
  <c r="BI446" i="26" s="1"/>
  <c r="DC445" i="8"/>
  <c r="BI447" i="26" s="1"/>
  <c r="DC446" i="8"/>
  <c r="BI448" i="26" s="1"/>
  <c r="DC447" i="8"/>
  <c r="BI449" i="26" s="1"/>
  <c r="DC448" i="8"/>
  <c r="BI450" i="26" s="1"/>
  <c r="DC449" i="8"/>
  <c r="BI451" i="26" s="1"/>
  <c r="DC450" i="8"/>
  <c r="BI452" i="26" s="1"/>
  <c r="DC451" i="8"/>
  <c r="BI453" i="26" s="1"/>
  <c r="DC452" i="8"/>
  <c r="BI454" i="26" s="1"/>
  <c r="DC453" i="8"/>
  <c r="BI455" i="26" s="1"/>
  <c r="DC454" i="8"/>
  <c r="BI456" i="26" s="1"/>
  <c r="DC455" i="8"/>
  <c r="BI457" i="26" s="1"/>
  <c r="DC456" i="8"/>
  <c r="BI458" i="26" s="1"/>
  <c r="DC457" i="8"/>
  <c r="BI459" i="26" s="1"/>
  <c r="DC458" i="8"/>
  <c r="BI460" i="26" s="1"/>
  <c r="DC459" i="8"/>
  <c r="BI461" i="26" s="1"/>
  <c r="DC460" i="8"/>
  <c r="BI462" i="26" s="1"/>
  <c r="BN462" i="26" s="1"/>
  <c r="DC461" i="8"/>
  <c r="BI463" i="26" s="1"/>
  <c r="DC462" i="8"/>
  <c r="BI464" i="26" s="1"/>
  <c r="BN464" i="26" s="1"/>
  <c r="DC463" i="8"/>
  <c r="BI465" i="26" s="1"/>
  <c r="DC464" i="8"/>
  <c r="BI466" i="26" s="1"/>
  <c r="DC465" i="8"/>
  <c r="BI467" i="26" s="1"/>
  <c r="DC466" i="8"/>
  <c r="BI468" i="26" s="1"/>
  <c r="DC467" i="8"/>
  <c r="BI469" i="26" s="1"/>
  <c r="BN469" i="26" s="1"/>
  <c r="DC468" i="8"/>
  <c r="BI470" i="26" s="1"/>
  <c r="DC469" i="8"/>
  <c r="BI471" i="26" s="1"/>
  <c r="BN471" i="26" s="1"/>
  <c r="DC470" i="8"/>
  <c r="BI472" i="26" s="1"/>
  <c r="DC471" i="8"/>
  <c r="BI473" i="26" s="1"/>
  <c r="DC472" i="8"/>
  <c r="BI474" i="26" s="1"/>
  <c r="DC473" i="8"/>
  <c r="BI475" i="26" s="1"/>
  <c r="DC474" i="8"/>
  <c r="BI476" i="26" s="1"/>
  <c r="DC475" i="8"/>
  <c r="BI477" i="26" s="1"/>
  <c r="DC476" i="8"/>
  <c r="BI478" i="26" s="1"/>
  <c r="DC477" i="8"/>
  <c r="BI479" i="26" s="1"/>
  <c r="DC478" i="8"/>
  <c r="BI480" i="26" s="1"/>
  <c r="DC479" i="8"/>
  <c r="BI481" i="26" s="1"/>
  <c r="DC480" i="8"/>
  <c r="BI482" i="26" s="1"/>
  <c r="DC481" i="8"/>
  <c r="BI483" i="26" s="1"/>
  <c r="DC482" i="8"/>
  <c r="BI484" i="26" s="1"/>
  <c r="DC483" i="8"/>
  <c r="BI485" i="26" s="1"/>
  <c r="DC484" i="8"/>
  <c r="BI486" i="26" s="1"/>
  <c r="DC485" i="8"/>
  <c r="BI487" i="26" s="1"/>
  <c r="DC486" i="8"/>
  <c r="BI488" i="26" s="1"/>
  <c r="DC487" i="8"/>
  <c r="BI489" i="26" s="1"/>
  <c r="DC488" i="8"/>
  <c r="BI490" i="26" s="1"/>
  <c r="DC489" i="8"/>
  <c r="BI491" i="26" s="1"/>
  <c r="DC490" i="8"/>
  <c r="BI492" i="26" s="1"/>
  <c r="DC491" i="8"/>
  <c r="BI493" i="26" s="1"/>
  <c r="DC492" i="8"/>
  <c r="BI494" i="26" s="1"/>
  <c r="DC493" i="8"/>
  <c r="BI495" i="26" s="1"/>
  <c r="DC494" i="8"/>
  <c r="BI496" i="26" s="1"/>
  <c r="DC495" i="8"/>
  <c r="BI497" i="26" s="1"/>
  <c r="DC496" i="8"/>
  <c r="BI498" i="26" s="1"/>
  <c r="DC497" i="8"/>
  <c r="BI499" i="26" s="1"/>
  <c r="DC498" i="8"/>
  <c r="BI500" i="26" s="1"/>
  <c r="DC499" i="8"/>
  <c r="BI501" i="26" s="1"/>
  <c r="DC500" i="8"/>
  <c r="BI502" i="26" s="1"/>
  <c r="DC501" i="8"/>
  <c r="BI503" i="26" s="1"/>
  <c r="DC502" i="8"/>
  <c r="BI504" i="26" s="1"/>
  <c r="DC503" i="8"/>
  <c r="BI505" i="26" s="1"/>
  <c r="BN505" i="26" s="1"/>
  <c r="DC504" i="8"/>
  <c r="BI506" i="26" s="1"/>
  <c r="BN506" i="26" s="1"/>
  <c r="DC505" i="8"/>
  <c r="BI507" i="26" s="1"/>
  <c r="BN507" i="26" s="1"/>
  <c r="DC506" i="8"/>
  <c r="BI508" i="26" s="1"/>
  <c r="BN508" i="26" s="1"/>
  <c r="DC507" i="8"/>
  <c r="BI509" i="26" s="1"/>
  <c r="DC508" i="8"/>
  <c r="BI510" i="26" s="1"/>
  <c r="BN510" i="26" s="1"/>
  <c r="DC509" i="8"/>
  <c r="BI511" i="26" s="1"/>
  <c r="BN511" i="26" s="1"/>
  <c r="DC510" i="8"/>
  <c r="BI512" i="26" s="1"/>
  <c r="BN512" i="26" s="1"/>
  <c r="DC511" i="8"/>
  <c r="BI513" i="26" s="1"/>
  <c r="BN513" i="26" s="1"/>
  <c r="DC512" i="8"/>
  <c r="BI514" i="26" s="1"/>
  <c r="DC513" i="8"/>
  <c r="BI515" i="26" s="1"/>
  <c r="DC514" i="8"/>
  <c r="BI516" i="26" s="1"/>
  <c r="BN516" i="26" s="1"/>
  <c r="DC515" i="8"/>
  <c r="BI517" i="26" s="1"/>
  <c r="BN517" i="26" s="1"/>
  <c r="DC516" i="8"/>
  <c r="BI518" i="26" s="1"/>
  <c r="DC517" i="8"/>
  <c r="BI519" i="26" s="1"/>
  <c r="DC518" i="8"/>
  <c r="BI520" i="26" s="1"/>
  <c r="DC519" i="8"/>
  <c r="BI521" i="26" s="1"/>
  <c r="DC520" i="8"/>
  <c r="BI522" i="26" s="1"/>
  <c r="DC521" i="8"/>
  <c r="BI523" i="26" s="1"/>
  <c r="BN523" i="26" s="1"/>
  <c r="DC522" i="8"/>
  <c r="BI524" i="26" s="1"/>
  <c r="DC523" i="8"/>
  <c r="BI525" i="26" s="1"/>
  <c r="BN525" i="26" s="1"/>
  <c r="DC524" i="8"/>
  <c r="BI526" i="26" s="1"/>
  <c r="DC525" i="8"/>
  <c r="BI527" i="26" s="1"/>
  <c r="BN527" i="26" s="1"/>
  <c r="DC526" i="8"/>
  <c r="BI528" i="26" s="1"/>
  <c r="BN528" i="26" s="1"/>
  <c r="DC527" i="8"/>
  <c r="BI529" i="26" s="1"/>
  <c r="DC528" i="8"/>
  <c r="BI530" i="26" s="1"/>
  <c r="BN530" i="26" s="1"/>
  <c r="DC529" i="8"/>
  <c r="BI531" i="26" s="1"/>
  <c r="BN531" i="26" s="1"/>
  <c r="DC530" i="8"/>
  <c r="BI532" i="26" s="1"/>
  <c r="BN532" i="26" s="1"/>
  <c r="DC531" i="8"/>
  <c r="BI533" i="26" s="1"/>
  <c r="DC532" i="8"/>
  <c r="BI534" i="26" s="1"/>
  <c r="DC533" i="8"/>
  <c r="BI535" i="26" s="1"/>
  <c r="DC534" i="8"/>
  <c r="BI536" i="26" s="1"/>
  <c r="DC535" i="8"/>
  <c r="BI537" i="26" s="1"/>
  <c r="DC536" i="8"/>
  <c r="BI538" i="26" s="1"/>
  <c r="DC537" i="8"/>
  <c r="BI539" i="26" s="1"/>
  <c r="DC538" i="8"/>
  <c r="BI540" i="26" s="1"/>
  <c r="DC539" i="8"/>
  <c r="BI541" i="26" s="1"/>
  <c r="DC540" i="8"/>
  <c r="BI542" i="26" s="1"/>
  <c r="BN542" i="26" s="1"/>
  <c r="DC541" i="8"/>
  <c r="BI543" i="26" s="1"/>
  <c r="BN543" i="26" s="1"/>
  <c r="DC542" i="8"/>
  <c r="BI544" i="26" s="1"/>
  <c r="BN544" i="26" s="1"/>
  <c r="DC543" i="8"/>
  <c r="BI545" i="26" s="1"/>
  <c r="BN545" i="26" s="1"/>
  <c r="DC544" i="8"/>
  <c r="BI546" i="26" s="1"/>
  <c r="DC545" i="8"/>
  <c r="BI547" i="26" s="1"/>
  <c r="DC546" i="8"/>
  <c r="BI548" i="26" s="1"/>
  <c r="BN548" i="26" s="1"/>
  <c r="DC547" i="8"/>
  <c r="BI549" i="26" s="1"/>
  <c r="DC548" i="8"/>
  <c r="BI550" i="26" s="1"/>
  <c r="BN550" i="26" s="1"/>
  <c r="DC549" i="8"/>
  <c r="BI551" i="26" s="1"/>
  <c r="BN551" i="26" s="1"/>
  <c r="DC550" i="8"/>
  <c r="BI552" i="26" s="1"/>
  <c r="BN552" i="26" s="1"/>
  <c r="DC551" i="8"/>
  <c r="BI553" i="26" s="1"/>
  <c r="BN553" i="26" s="1"/>
  <c r="DC552" i="8"/>
  <c r="BI554" i="26" s="1"/>
  <c r="BN554" i="26" s="1"/>
  <c r="DC553" i="8"/>
  <c r="BI555" i="26" s="1"/>
  <c r="BN555" i="26" s="1"/>
  <c r="DC554" i="8"/>
  <c r="BI556" i="26" s="1"/>
  <c r="BN556" i="26" s="1"/>
  <c r="DC555" i="8"/>
  <c r="BI557" i="26" s="1"/>
  <c r="BN557" i="26" s="1"/>
  <c r="DC556" i="8"/>
  <c r="BI558" i="26" s="1"/>
  <c r="BN558" i="26" s="1"/>
  <c r="DC557" i="8"/>
  <c r="BI559" i="26" s="1"/>
  <c r="BN559" i="26" s="1"/>
  <c r="DC558" i="8"/>
  <c r="BI560" i="26" s="1"/>
  <c r="BN560" i="26" s="1"/>
  <c r="DC559" i="8"/>
  <c r="BI561" i="26" s="1"/>
  <c r="DC560" i="8"/>
  <c r="BI562" i="26" s="1"/>
  <c r="BN562" i="26" s="1"/>
  <c r="DC561" i="8"/>
  <c r="BI563" i="26" s="1"/>
  <c r="DC562" i="8"/>
  <c r="BI564" i="26" s="1"/>
  <c r="DC563" i="8"/>
  <c r="BI565" i="26" s="1"/>
  <c r="DC564" i="8"/>
  <c r="BI566" i="26" s="1"/>
  <c r="DC565" i="8"/>
  <c r="BI567" i="26" s="1"/>
  <c r="DC566" i="8"/>
  <c r="BI568" i="26" s="1"/>
  <c r="DC567" i="8"/>
  <c r="BI569" i="26" s="1"/>
  <c r="BN569" i="26" s="1"/>
  <c r="DC568" i="8"/>
  <c r="BI570" i="26" s="1"/>
  <c r="DC569" i="8"/>
  <c r="BI571" i="26" s="1"/>
  <c r="DC570" i="8"/>
  <c r="BI572" i="26" s="1"/>
  <c r="DC571" i="8"/>
  <c r="BI573" i="26" s="1"/>
  <c r="DC572" i="8"/>
  <c r="BI574" i="26" s="1"/>
  <c r="DC573" i="8"/>
  <c r="BI575" i="26" s="1"/>
  <c r="DC574" i="8"/>
  <c r="BI576" i="26" s="1"/>
  <c r="DC575" i="8"/>
  <c r="BI577" i="26" s="1"/>
  <c r="DC576" i="8"/>
  <c r="BI578" i="26" s="1"/>
  <c r="DC577" i="8"/>
  <c r="BI579" i="26" s="1"/>
  <c r="DC578" i="8"/>
  <c r="BI580" i="26" s="1"/>
  <c r="DC579" i="8"/>
  <c r="BI581" i="26" s="1"/>
  <c r="DC580" i="8"/>
  <c r="BI582" i="26" s="1"/>
  <c r="DC581" i="8"/>
  <c r="BI583" i="26" s="1"/>
  <c r="DC582" i="8"/>
  <c r="BI584" i="26" s="1"/>
  <c r="DC583" i="8"/>
  <c r="BI585" i="26" s="1"/>
  <c r="DC584" i="8"/>
  <c r="BI586" i="26" s="1"/>
  <c r="DC585" i="8"/>
  <c r="BI587" i="26" s="1"/>
  <c r="DC586" i="8"/>
  <c r="BI588" i="26" s="1"/>
  <c r="DC587" i="8"/>
  <c r="BI589" i="26" s="1"/>
  <c r="DC588" i="8"/>
  <c r="BI590" i="26" s="1"/>
  <c r="DC589" i="8"/>
  <c r="BI591" i="26" s="1"/>
  <c r="DC590" i="8"/>
  <c r="BI592" i="26" s="1"/>
  <c r="DC591" i="8"/>
  <c r="BI593" i="26" s="1"/>
  <c r="DC592" i="8"/>
  <c r="BI594" i="26" s="1"/>
  <c r="DC593" i="8"/>
  <c r="BI595" i="26" s="1"/>
  <c r="DC594" i="8"/>
  <c r="BI596" i="26" s="1"/>
  <c r="DC595" i="8"/>
  <c r="BI597" i="26" s="1"/>
  <c r="DC596" i="8"/>
  <c r="BI598" i="26" s="1"/>
  <c r="DC597" i="8"/>
  <c r="BI599" i="26" s="1"/>
  <c r="DC598" i="8"/>
  <c r="BI600" i="26" s="1"/>
  <c r="DC599" i="8"/>
  <c r="BI601" i="26" s="1"/>
  <c r="DC600" i="8"/>
  <c r="BI602" i="26" s="1"/>
  <c r="DC601" i="8"/>
  <c r="BI603" i="26" s="1"/>
  <c r="DC602" i="8"/>
  <c r="BI604" i="26" s="1"/>
  <c r="DC603" i="8"/>
  <c r="BI605" i="26" s="1"/>
  <c r="DC604" i="8"/>
  <c r="BI606" i="26" s="1"/>
  <c r="DC605" i="8"/>
  <c r="BI607" i="26" s="1"/>
  <c r="DC606" i="8"/>
  <c r="BI608" i="26" s="1"/>
  <c r="DC607" i="8"/>
  <c r="BI609" i="26" s="1"/>
  <c r="DC608" i="8"/>
  <c r="BI610" i="26" s="1"/>
  <c r="DC609" i="8"/>
  <c r="BI611" i="26" s="1"/>
  <c r="DC610" i="8"/>
  <c r="BI612" i="26" s="1"/>
  <c r="DC611" i="8"/>
  <c r="BI613" i="26" s="1"/>
  <c r="DC612" i="8"/>
  <c r="BI614" i="26" s="1"/>
  <c r="DC613" i="8"/>
  <c r="BI615" i="26" s="1"/>
  <c r="DC614" i="8"/>
  <c r="BI616" i="26" s="1"/>
  <c r="DC615" i="8"/>
  <c r="BI617" i="26" s="1"/>
  <c r="DC616" i="8"/>
  <c r="BI618" i="26" s="1"/>
  <c r="DC617" i="8"/>
  <c r="BI619" i="26" s="1"/>
  <c r="DC618" i="8"/>
  <c r="BI620" i="26" s="1"/>
  <c r="DC619" i="8"/>
  <c r="BI621" i="26" s="1"/>
  <c r="DC620" i="8"/>
  <c r="BI622" i="26" s="1"/>
  <c r="BN622" i="26" s="1"/>
  <c r="DC621" i="8"/>
  <c r="BI623" i="26" s="1"/>
  <c r="DC622" i="8"/>
  <c r="BI624" i="26" s="1"/>
  <c r="BN624" i="26" s="1"/>
  <c r="DC623" i="8"/>
  <c r="BI625" i="26" s="1"/>
  <c r="DC624" i="8"/>
  <c r="BI626" i="26" s="1"/>
  <c r="BN626" i="26" s="1"/>
  <c r="DC625" i="8"/>
  <c r="BI627" i="26" s="1"/>
  <c r="DC626" i="8"/>
  <c r="BI628" i="26" s="1"/>
  <c r="DC627" i="8"/>
  <c r="BI629" i="26" s="1"/>
  <c r="DC628" i="8"/>
  <c r="BI630" i="26" s="1"/>
  <c r="DC629" i="8"/>
  <c r="BI631" i="26" s="1"/>
  <c r="DC630" i="8"/>
  <c r="BI632" i="26" s="1"/>
  <c r="BN632" i="26" s="1"/>
  <c r="DC631" i="8"/>
  <c r="BI633" i="26" s="1"/>
  <c r="BN633" i="26" s="1"/>
  <c r="DC632" i="8"/>
  <c r="BI634" i="26" s="1"/>
  <c r="BN634" i="26" s="1"/>
  <c r="DC633" i="8"/>
  <c r="BI635" i="26" s="1"/>
  <c r="DC634" i="8"/>
  <c r="BI636" i="26" s="1"/>
  <c r="BN636" i="26" s="1"/>
  <c r="DC635" i="8"/>
  <c r="BI637" i="26" s="1"/>
  <c r="BN637" i="26" s="1"/>
  <c r="DC636" i="8"/>
  <c r="BI638" i="26" s="1"/>
  <c r="BN638" i="26" s="1"/>
  <c r="DC637" i="8"/>
  <c r="BI639" i="26" s="1"/>
  <c r="BN639" i="26" s="1"/>
  <c r="DC638" i="8"/>
  <c r="BI640" i="26" s="1"/>
  <c r="BN640" i="26" s="1"/>
  <c r="DC639" i="8"/>
  <c r="BI641" i="26" s="1"/>
  <c r="BN641" i="26" s="1"/>
  <c r="DC640" i="8"/>
  <c r="BI642" i="26" s="1"/>
  <c r="BN642" i="26" s="1"/>
  <c r="DC641" i="8"/>
  <c r="BI643" i="26" s="1"/>
  <c r="BN643" i="26" s="1"/>
  <c r="DC642" i="8"/>
  <c r="BI644" i="26" s="1"/>
  <c r="DC643" i="8"/>
  <c r="BI645" i="26" s="1"/>
  <c r="DC644" i="8"/>
  <c r="BI646" i="26" s="1"/>
  <c r="BN646" i="26" s="1"/>
  <c r="DC645" i="8"/>
  <c r="BI647" i="26" s="1"/>
  <c r="BN647" i="26" s="1"/>
  <c r="DC646" i="8"/>
  <c r="BI648" i="26" s="1"/>
  <c r="DC647" i="8"/>
  <c r="BI649" i="26" s="1"/>
  <c r="BN649" i="26" s="1"/>
  <c r="DC648" i="8"/>
  <c r="BI650" i="26" s="1"/>
  <c r="BN650" i="26" s="1"/>
  <c r="DC649" i="8"/>
  <c r="BI651" i="26" s="1"/>
  <c r="DC650" i="8"/>
  <c r="BI652" i="26" s="1"/>
  <c r="BN652" i="26" s="1"/>
  <c r="DC651" i="8"/>
  <c r="BI653" i="26" s="1"/>
  <c r="BN653" i="26" s="1"/>
  <c r="DC652" i="8"/>
  <c r="BI654" i="26" s="1"/>
  <c r="BN654" i="26" s="1"/>
  <c r="DC653" i="8"/>
  <c r="BI655" i="26" s="1"/>
  <c r="BN655" i="26" s="1"/>
  <c r="DC654" i="8"/>
  <c r="BI656" i="26" s="1"/>
  <c r="DC655" i="8"/>
  <c r="BI657" i="26" s="1"/>
  <c r="DC656" i="8"/>
  <c r="BI658" i="26" s="1"/>
  <c r="DC657" i="8"/>
  <c r="BI659" i="26" s="1"/>
  <c r="DC658" i="8"/>
  <c r="BI660" i="26" s="1"/>
  <c r="DC659" i="8"/>
  <c r="BI661" i="26" s="1"/>
  <c r="DC660" i="8"/>
  <c r="BI662" i="26" s="1"/>
  <c r="BN662" i="26" s="1"/>
  <c r="DC661" i="8"/>
  <c r="BI663" i="26" s="1"/>
  <c r="DC662" i="8"/>
  <c r="BI664" i="26" s="1"/>
  <c r="DC663" i="8"/>
  <c r="BI665" i="26" s="1"/>
  <c r="DC664" i="8"/>
  <c r="BI666" i="26" s="1"/>
  <c r="DC665" i="8"/>
  <c r="BI667" i="26" s="1"/>
  <c r="DC666" i="8"/>
  <c r="BI668" i="26" s="1"/>
  <c r="DC667" i="8"/>
  <c r="BI669" i="26" s="1"/>
  <c r="DC668" i="8"/>
  <c r="BI670" i="26" s="1"/>
  <c r="BN670" i="26" s="1"/>
  <c r="DC669" i="8"/>
  <c r="BI671" i="26" s="1"/>
  <c r="BN671" i="26" s="1"/>
  <c r="DC670" i="8"/>
  <c r="BI672" i="26" s="1"/>
  <c r="DC671" i="8"/>
  <c r="BI673" i="26" s="1"/>
  <c r="DC672" i="8"/>
  <c r="BI674" i="26" s="1"/>
  <c r="DC673" i="8"/>
  <c r="BI675" i="26" s="1"/>
  <c r="BN675" i="26" s="1"/>
  <c r="DC674" i="8"/>
  <c r="BI676" i="26" s="1"/>
  <c r="DC675" i="8"/>
  <c r="BI677" i="26" s="1"/>
  <c r="BN677" i="26" s="1"/>
  <c r="DC676" i="8"/>
  <c r="BI678" i="26" s="1"/>
  <c r="DC677" i="8"/>
  <c r="BI679" i="26" s="1"/>
  <c r="DC678" i="8"/>
  <c r="BI680" i="26" s="1"/>
  <c r="DC679" i="8"/>
  <c r="BI681" i="26" s="1"/>
  <c r="DC680" i="8"/>
  <c r="BI682" i="26" s="1"/>
  <c r="DC681" i="8"/>
  <c r="BI683" i="26" s="1"/>
  <c r="DC682" i="8"/>
  <c r="BI684" i="26" s="1"/>
  <c r="DC683" i="8"/>
  <c r="BI685" i="26" s="1"/>
  <c r="DC684" i="8"/>
  <c r="BI686" i="26" s="1"/>
  <c r="BN686" i="26" s="1"/>
  <c r="DC685" i="8"/>
  <c r="BI687" i="26" s="1"/>
  <c r="DC686" i="8"/>
  <c r="BI688" i="26" s="1"/>
  <c r="DC687" i="8"/>
  <c r="BI689" i="26" s="1"/>
  <c r="DC688" i="8"/>
  <c r="BI690" i="26" s="1"/>
  <c r="BN690" i="26" s="1"/>
  <c r="DC689" i="8"/>
  <c r="BI691" i="26" s="1"/>
  <c r="DC690" i="8"/>
  <c r="BI692" i="26" s="1"/>
  <c r="DC691" i="8"/>
  <c r="BI693" i="26" s="1"/>
  <c r="DC692" i="8"/>
  <c r="BI694" i="26" s="1"/>
  <c r="DC693" i="8"/>
  <c r="BI695" i="26" s="1"/>
  <c r="DC694" i="8"/>
  <c r="BI696" i="26" s="1"/>
  <c r="DC695" i="8"/>
  <c r="BI697" i="26" s="1"/>
  <c r="DC696" i="8"/>
  <c r="BI698" i="26" s="1"/>
  <c r="DC697" i="8"/>
  <c r="BI699" i="26" s="1"/>
  <c r="DC698" i="8"/>
  <c r="BI700" i="26" s="1"/>
  <c r="DC699" i="8"/>
  <c r="BI701" i="26" s="1"/>
  <c r="DC700" i="8"/>
  <c r="BI702" i="26" s="1"/>
  <c r="DC701" i="8"/>
  <c r="BI703" i="26" s="1"/>
  <c r="DC702" i="8"/>
  <c r="BI704" i="26" s="1"/>
  <c r="DC703" i="8"/>
  <c r="BI705" i="26" s="1"/>
  <c r="BN705" i="26" s="1"/>
  <c r="DC704" i="8"/>
  <c r="BI706" i="26" s="1"/>
  <c r="DC705" i="8"/>
  <c r="BI707" i="26" s="1"/>
  <c r="DC706" i="8"/>
  <c r="BI708" i="26" s="1"/>
  <c r="DC707" i="8"/>
  <c r="BI709" i="26" s="1"/>
  <c r="DC708" i="8"/>
  <c r="BI710" i="26" s="1"/>
  <c r="DC709" i="8"/>
  <c r="BI711" i="26" s="1"/>
  <c r="DC710" i="8"/>
  <c r="BI712" i="26" s="1"/>
  <c r="BN712" i="26" s="1"/>
  <c r="DC711" i="8"/>
  <c r="BI713" i="26" s="1"/>
  <c r="DC712" i="8"/>
  <c r="BI714" i="26" s="1"/>
  <c r="DC713" i="8"/>
  <c r="BI715" i="26" s="1"/>
  <c r="DC714" i="8"/>
  <c r="BI716" i="26" s="1"/>
  <c r="DC715" i="8"/>
  <c r="BI717" i="26" s="1"/>
  <c r="DC716" i="8"/>
  <c r="BI718" i="26" s="1"/>
  <c r="DC717" i="8"/>
  <c r="BI719" i="26" s="1"/>
  <c r="DC718" i="8"/>
  <c r="BI720" i="26" s="1"/>
  <c r="DC719" i="8"/>
  <c r="BI721" i="26" s="1"/>
  <c r="DC720" i="8"/>
  <c r="BI722" i="26" s="1"/>
  <c r="DC721" i="8"/>
  <c r="BI723" i="26" s="1"/>
  <c r="DC722" i="8"/>
  <c r="BI724" i="26" s="1"/>
  <c r="DC723" i="8"/>
  <c r="BI725" i="26" s="1"/>
  <c r="DC724" i="8"/>
  <c r="BI726" i="26" s="1"/>
  <c r="DC725" i="8"/>
  <c r="BI727" i="26" s="1"/>
  <c r="DC726" i="8"/>
  <c r="BI728" i="26" s="1"/>
  <c r="DC727" i="8"/>
  <c r="BI729" i="26" s="1"/>
  <c r="DC728" i="8"/>
  <c r="BI730" i="26" s="1"/>
  <c r="DC729" i="8"/>
  <c r="BI731" i="26" s="1"/>
  <c r="DC730" i="8"/>
  <c r="BI732" i="26" s="1"/>
  <c r="BN732" i="26" s="1"/>
  <c r="DC731" i="8"/>
  <c r="BI733" i="26" s="1"/>
  <c r="DC732" i="8"/>
  <c r="BI734" i="26" s="1"/>
  <c r="DC733" i="8"/>
  <c r="BI735" i="26" s="1"/>
  <c r="DC734" i="8"/>
  <c r="BI736" i="26" s="1"/>
  <c r="DC735" i="8"/>
  <c r="BI737" i="26" s="1"/>
  <c r="DC736" i="8"/>
  <c r="BI738" i="26" s="1"/>
  <c r="DC737" i="8"/>
  <c r="BI739" i="26" s="1"/>
  <c r="DC738" i="8"/>
  <c r="BI740" i="26" s="1"/>
  <c r="DC739" i="8"/>
  <c r="BI741" i="26" s="1"/>
  <c r="DC740" i="8"/>
  <c r="BI742" i="26" s="1"/>
  <c r="BN742" i="26" s="1"/>
  <c r="DC741" i="8"/>
  <c r="BI743" i="26" s="1"/>
  <c r="DC742" i="8"/>
  <c r="BI744" i="26" s="1"/>
  <c r="BN744" i="26" s="1"/>
  <c r="DC743" i="8"/>
  <c r="BI745" i="26" s="1"/>
  <c r="DC744" i="8"/>
  <c r="BI746" i="26" s="1"/>
  <c r="DC745" i="8"/>
  <c r="BI747" i="26" s="1"/>
  <c r="DC746" i="8"/>
  <c r="BI748" i="26" s="1"/>
  <c r="DC747" i="8"/>
  <c r="BI749" i="26" s="1"/>
  <c r="DC748" i="8"/>
  <c r="BI750" i="26" s="1"/>
  <c r="DC749" i="8"/>
  <c r="BI751" i="26" s="1"/>
  <c r="BN751" i="26" s="1"/>
  <c r="DC750" i="8"/>
  <c r="BI752" i="26" s="1"/>
  <c r="BN752" i="26" s="1"/>
  <c r="DC751" i="8"/>
  <c r="BI753" i="26" s="1"/>
  <c r="DC752" i="8"/>
  <c r="BI754" i="26" s="1"/>
  <c r="DC753" i="8"/>
  <c r="BI755" i="26" s="1"/>
  <c r="DC754" i="8"/>
  <c r="BI756" i="26" s="1"/>
  <c r="BN756" i="26" s="1"/>
  <c r="DC755" i="8"/>
  <c r="BI757" i="26" s="1"/>
  <c r="BN757" i="26" s="1"/>
  <c r="DC756" i="8"/>
  <c r="BI758" i="26" s="1"/>
  <c r="BN758" i="26" s="1"/>
  <c r="DC757" i="8"/>
  <c r="BI759" i="26" s="1"/>
  <c r="BN759" i="26" s="1"/>
  <c r="DC758" i="8"/>
  <c r="BI760" i="26" s="1"/>
  <c r="DC759" i="8"/>
  <c r="BI761" i="26" s="1"/>
  <c r="DC760" i="8"/>
  <c r="BI762" i="26" s="1"/>
  <c r="DC761" i="8"/>
  <c r="BI763" i="26" s="1"/>
  <c r="DC762" i="8"/>
  <c r="BI764" i="26" s="1"/>
  <c r="DC763" i="8"/>
  <c r="BI765" i="26" s="1"/>
  <c r="DC764" i="8"/>
  <c r="BI766" i="26" s="1"/>
  <c r="DC765" i="8"/>
  <c r="BI767" i="26" s="1"/>
  <c r="DC766" i="8"/>
  <c r="BI768" i="26" s="1"/>
  <c r="DC767" i="8"/>
  <c r="BI769" i="26" s="1"/>
  <c r="BN769" i="26" s="1"/>
  <c r="DC768" i="8"/>
  <c r="BI770" i="26" s="1"/>
  <c r="DC769" i="8"/>
  <c r="BI771" i="26" s="1"/>
  <c r="DC770" i="8"/>
  <c r="BI772" i="26" s="1"/>
  <c r="DC771" i="8"/>
  <c r="BI773" i="26" s="1"/>
  <c r="DC772" i="8"/>
  <c r="BI774" i="26" s="1"/>
  <c r="DC773" i="8"/>
  <c r="BI775" i="26" s="1"/>
  <c r="DC774" i="8"/>
  <c r="BI776" i="26" s="1"/>
  <c r="DC775" i="8"/>
  <c r="BI777" i="26" s="1"/>
  <c r="BN777" i="26" s="1"/>
  <c r="DC776" i="8"/>
  <c r="BI778" i="26" s="1"/>
  <c r="BN778" i="26" s="1"/>
  <c r="DC777" i="8"/>
  <c r="BI779" i="26" s="1"/>
  <c r="BN779" i="26" s="1"/>
  <c r="DC778" i="8"/>
  <c r="BI780" i="26" s="1"/>
  <c r="BN780" i="26" s="1"/>
  <c r="DC779" i="8"/>
  <c r="BI781" i="26" s="1"/>
  <c r="BN781" i="26" s="1"/>
  <c r="DC780" i="8"/>
  <c r="BI782" i="26" s="1"/>
  <c r="DC781" i="8"/>
  <c r="BI783" i="26" s="1"/>
  <c r="DC782" i="8"/>
  <c r="BI784" i="26" s="1"/>
  <c r="DC783" i="8"/>
  <c r="BI785" i="26" s="1"/>
  <c r="DC784" i="8"/>
  <c r="BI786" i="26" s="1"/>
  <c r="DC785" i="8"/>
  <c r="BI787" i="26" s="1"/>
  <c r="DC786" i="8"/>
  <c r="BI788" i="26" s="1"/>
  <c r="DC787" i="8"/>
  <c r="BI789" i="26" s="1"/>
  <c r="DC788" i="8"/>
  <c r="BI790" i="26" s="1"/>
  <c r="DC789" i="8"/>
  <c r="BI791" i="26" s="1"/>
  <c r="DC790" i="8"/>
  <c r="BI792" i="26" s="1"/>
  <c r="DC791" i="8"/>
  <c r="BI793" i="26" s="1"/>
  <c r="BN793" i="26" s="1"/>
  <c r="DC792" i="8"/>
  <c r="BI794" i="26" s="1"/>
  <c r="BN794" i="26" s="1"/>
  <c r="DC793" i="8"/>
  <c r="BI795" i="26" s="1"/>
  <c r="BN795" i="26" s="1"/>
  <c r="DC794" i="8"/>
  <c r="BI796" i="26" s="1"/>
  <c r="BN796" i="26" s="1"/>
  <c r="DC9" i="8"/>
  <c r="BI11" i="26" s="1"/>
  <c r="J43" i="38"/>
  <c r="J40" i="38"/>
  <c r="L45" i="38"/>
  <c r="H44" i="38"/>
  <c r="H43" i="38"/>
  <c r="H42" i="38"/>
  <c r="H41" i="38"/>
  <c r="H40" i="38"/>
  <c r="H39" i="38"/>
  <c r="H38" i="38"/>
  <c r="A38" i="38"/>
  <c r="J38" i="38" s="1"/>
  <c r="B38" i="38"/>
  <c r="A39" i="38"/>
  <c r="J39" i="38" s="1"/>
  <c r="B39" i="38"/>
  <c r="A40" i="38"/>
  <c r="B40" i="38"/>
  <c r="A41" i="38"/>
  <c r="J41" i="38" s="1"/>
  <c r="B41" i="38"/>
  <c r="A42" i="38"/>
  <c r="J42" i="38" s="1"/>
  <c r="B42" i="38"/>
  <c r="A43" i="38"/>
  <c r="B43" i="38"/>
  <c r="A44" i="38"/>
  <c r="J44" i="38" s="1"/>
  <c r="B44" i="38"/>
  <c r="B33" i="38"/>
  <c r="A19" i="38"/>
  <c r="A20" i="38"/>
  <c r="A21" i="38"/>
  <c r="A22" i="38"/>
  <c r="A23" i="38"/>
  <c r="A24" i="38"/>
  <c r="A25" i="38"/>
  <c r="I758" i="26"/>
  <c r="J758" i="26"/>
  <c r="K758" i="26"/>
  <c r="L758" i="26"/>
  <c r="I759" i="26"/>
  <c r="J759" i="26"/>
  <c r="K759" i="26"/>
  <c r="L759" i="26"/>
  <c r="I760" i="26"/>
  <c r="J760" i="26"/>
  <c r="K760" i="26"/>
  <c r="L760" i="26"/>
  <c r="I761" i="26"/>
  <c r="J761" i="26"/>
  <c r="K761" i="26"/>
  <c r="L761" i="26"/>
  <c r="I762" i="26"/>
  <c r="J762" i="26"/>
  <c r="K762" i="26"/>
  <c r="L762" i="26"/>
  <c r="I763" i="26"/>
  <c r="J763" i="26"/>
  <c r="K763" i="26"/>
  <c r="L763" i="26"/>
  <c r="I764" i="26"/>
  <c r="J764" i="26"/>
  <c r="K764" i="26"/>
  <c r="L764" i="26"/>
  <c r="I765" i="26"/>
  <c r="J765" i="26"/>
  <c r="K765" i="26"/>
  <c r="L765" i="26"/>
  <c r="I766" i="26"/>
  <c r="J766" i="26"/>
  <c r="K766" i="26"/>
  <c r="L766" i="26"/>
  <c r="I767" i="26"/>
  <c r="J767" i="26"/>
  <c r="K767" i="26"/>
  <c r="L767" i="26"/>
  <c r="I768" i="26"/>
  <c r="J768" i="26"/>
  <c r="K768" i="26"/>
  <c r="L768" i="26"/>
  <c r="I769" i="26"/>
  <c r="J769" i="26"/>
  <c r="K769" i="26"/>
  <c r="L769" i="26"/>
  <c r="I770" i="26"/>
  <c r="J770" i="26"/>
  <c r="K770" i="26"/>
  <c r="L770" i="26"/>
  <c r="I771" i="26"/>
  <c r="J771" i="26"/>
  <c r="K771" i="26"/>
  <c r="L771" i="26"/>
  <c r="I772" i="26"/>
  <c r="J772" i="26"/>
  <c r="K772" i="26"/>
  <c r="L772" i="26"/>
  <c r="I773" i="26"/>
  <c r="J773" i="26"/>
  <c r="K773" i="26"/>
  <c r="L773" i="26"/>
  <c r="I774" i="26"/>
  <c r="J774" i="26"/>
  <c r="K774" i="26"/>
  <c r="L774" i="26"/>
  <c r="I775" i="26"/>
  <c r="J775" i="26"/>
  <c r="K775" i="26"/>
  <c r="L775" i="26"/>
  <c r="I776" i="26"/>
  <c r="J776" i="26"/>
  <c r="K776" i="26"/>
  <c r="L776" i="26"/>
  <c r="I777" i="26"/>
  <c r="J777" i="26"/>
  <c r="K777" i="26"/>
  <c r="L777" i="26"/>
  <c r="I778" i="26"/>
  <c r="J778" i="26"/>
  <c r="K778" i="26"/>
  <c r="L778" i="26"/>
  <c r="I779" i="26"/>
  <c r="J779" i="26"/>
  <c r="K779" i="26"/>
  <c r="L779" i="26"/>
  <c r="I780" i="26"/>
  <c r="J780" i="26"/>
  <c r="K780" i="26"/>
  <c r="L780" i="26"/>
  <c r="I781" i="26"/>
  <c r="J781" i="26"/>
  <c r="K781" i="26"/>
  <c r="L781" i="26"/>
  <c r="I782" i="26"/>
  <c r="J782" i="26"/>
  <c r="K782" i="26"/>
  <c r="L782" i="26"/>
  <c r="I783" i="26"/>
  <c r="J783" i="26"/>
  <c r="K783" i="26"/>
  <c r="L783" i="26"/>
  <c r="I784" i="26"/>
  <c r="J784" i="26"/>
  <c r="K784" i="26"/>
  <c r="L784" i="26"/>
  <c r="I785" i="26"/>
  <c r="J785" i="26"/>
  <c r="K785" i="26"/>
  <c r="L785" i="26"/>
  <c r="I786" i="26"/>
  <c r="J786" i="26"/>
  <c r="K786" i="26"/>
  <c r="L786" i="26"/>
  <c r="I787" i="26"/>
  <c r="J787" i="26"/>
  <c r="K787" i="26"/>
  <c r="L787" i="26"/>
  <c r="I788" i="26"/>
  <c r="J788" i="26"/>
  <c r="K788" i="26"/>
  <c r="L788" i="26"/>
  <c r="I789" i="26"/>
  <c r="J789" i="26"/>
  <c r="K789" i="26"/>
  <c r="L789" i="26"/>
  <c r="I790" i="26"/>
  <c r="J790" i="26"/>
  <c r="K790" i="26"/>
  <c r="L790" i="26"/>
  <c r="I791" i="26"/>
  <c r="J791" i="26"/>
  <c r="K791" i="26"/>
  <c r="L791" i="26"/>
  <c r="I792" i="26"/>
  <c r="J792" i="26"/>
  <c r="K792" i="26"/>
  <c r="L792" i="26"/>
  <c r="I793" i="26"/>
  <c r="J793" i="26"/>
  <c r="K793" i="26"/>
  <c r="L793" i="26"/>
  <c r="I794" i="26"/>
  <c r="J794" i="26"/>
  <c r="K794" i="26"/>
  <c r="L794" i="26"/>
  <c r="I795" i="26"/>
  <c r="J795" i="26"/>
  <c r="K795" i="26"/>
  <c r="L795" i="26"/>
  <c r="I796" i="26"/>
  <c r="J796" i="26"/>
  <c r="K796" i="26"/>
  <c r="L796" i="26"/>
  <c r="I383" i="26"/>
  <c r="J383" i="26"/>
  <c r="K383" i="26"/>
  <c r="L383" i="26"/>
  <c r="I384" i="26"/>
  <c r="J384" i="26"/>
  <c r="K384" i="26"/>
  <c r="L384" i="26"/>
  <c r="I385" i="26"/>
  <c r="J385" i="26"/>
  <c r="K385" i="26"/>
  <c r="L385" i="26"/>
  <c r="I386" i="26"/>
  <c r="J386" i="26"/>
  <c r="K386" i="26"/>
  <c r="L386" i="26"/>
  <c r="I387" i="26"/>
  <c r="J387" i="26"/>
  <c r="K387" i="26"/>
  <c r="L387" i="26"/>
  <c r="I388" i="26"/>
  <c r="J388" i="26"/>
  <c r="K388" i="26"/>
  <c r="L388" i="26"/>
  <c r="I389" i="26"/>
  <c r="J389" i="26"/>
  <c r="K389" i="26"/>
  <c r="L389" i="26"/>
  <c r="I390" i="26"/>
  <c r="J390" i="26"/>
  <c r="K390" i="26"/>
  <c r="L390" i="26"/>
  <c r="I391" i="26"/>
  <c r="J391" i="26"/>
  <c r="K391" i="26"/>
  <c r="L391" i="26"/>
  <c r="I392" i="26"/>
  <c r="J392" i="26"/>
  <c r="K392" i="26"/>
  <c r="L392" i="26"/>
  <c r="I393" i="26"/>
  <c r="J393" i="26"/>
  <c r="K393" i="26"/>
  <c r="L393" i="26"/>
  <c r="I394" i="26"/>
  <c r="J394" i="26"/>
  <c r="K394" i="26"/>
  <c r="L394" i="26"/>
  <c r="I395" i="26"/>
  <c r="J395" i="26"/>
  <c r="K395" i="26"/>
  <c r="L395" i="26"/>
  <c r="I396" i="26"/>
  <c r="J396" i="26"/>
  <c r="K396" i="26"/>
  <c r="L396" i="26"/>
  <c r="I397" i="26"/>
  <c r="J397" i="26"/>
  <c r="K397" i="26"/>
  <c r="L397" i="26"/>
  <c r="I398" i="26"/>
  <c r="J398" i="26"/>
  <c r="K398" i="26"/>
  <c r="L398" i="26"/>
  <c r="I399" i="26"/>
  <c r="J399" i="26"/>
  <c r="K399" i="26"/>
  <c r="L399" i="26"/>
  <c r="I400" i="26"/>
  <c r="J400" i="26"/>
  <c r="K400" i="26"/>
  <c r="L400" i="26"/>
  <c r="I401" i="26"/>
  <c r="J401" i="26"/>
  <c r="K401" i="26"/>
  <c r="L401" i="26"/>
  <c r="I402" i="26"/>
  <c r="J402" i="26"/>
  <c r="K402" i="26"/>
  <c r="L402" i="26"/>
  <c r="I403" i="26"/>
  <c r="J403" i="26"/>
  <c r="K403" i="26"/>
  <c r="L403" i="26"/>
  <c r="I404" i="26"/>
  <c r="J404" i="26"/>
  <c r="K404" i="26"/>
  <c r="L404" i="26"/>
  <c r="I405" i="26"/>
  <c r="J405" i="26"/>
  <c r="K405" i="26"/>
  <c r="L405" i="26"/>
  <c r="I406" i="26"/>
  <c r="J406" i="26"/>
  <c r="K406" i="26"/>
  <c r="L406" i="26"/>
  <c r="I407" i="26"/>
  <c r="J407" i="26"/>
  <c r="K407" i="26"/>
  <c r="L407" i="26"/>
  <c r="I408" i="26"/>
  <c r="J408" i="26"/>
  <c r="K408" i="26"/>
  <c r="L408" i="26"/>
  <c r="I409" i="26"/>
  <c r="J409" i="26"/>
  <c r="K409" i="26"/>
  <c r="L409" i="26"/>
  <c r="I410" i="26"/>
  <c r="J410" i="26"/>
  <c r="K410" i="26"/>
  <c r="L410" i="26"/>
  <c r="I411" i="26"/>
  <c r="J411" i="26"/>
  <c r="K411" i="26"/>
  <c r="L411" i="26"/>
  <c r="I412" i="26"/>
  <c r="J412" i="26"/>
  <c r="K412" i="26"/>
  <c r="L412" i="26"/>
  <c r="I413" i="26"/>
  <c r="J413" i="26"/>
  <c r="K413" i="26"/>
  <c r="L413" i="26"/>
  <c r="I414" i="26"/>
  <c r="J414" i="26"/>
  <c r="K414" i="26"/>
  <c r="L414" i="26"/>
  <c r="I415" i="26"/>
  <c r="J415" i="26"/>
  <c r="K415" i="26"/>
  <c r="L415" i="26"/>
  <c r="I416" i="26"/>
  <c r="J416" i="26"/>
  <c r="K416" i="26"/>
  <c r="L416" i="26"/>
  <c r="I417" i="26"/>
  <c r="J417" i="26"/>
  <c r="K417" i="26"/>
  <c r="L417" i="26"/>
  <c r="I418" i="26"/>
  <c r="J418" i="26"/>
  <c r="K418" i="26"/>
  <c r="L418" i="26"/>
  <c r="I419" i="26"/>
  <c r="J419" i="26"/>
  <c r="K419" i="26"/>
  <c r="L419" i="26"/>
  <c r="I420" i="26"/>
  <c r="J420" i="26"/>
  <c r="K420" i="26"/>
  <c r="L420" i="26"/>
  <c r="I421" i="26"/>
  <c r="J421" i="26"/>
  <c r="K421" i="26"/>
  <c r="L421" i="26"/>
  <c r="I422" i="26"/>
  <c r="J422" i="26"/>
  <c r="K422" i="26"/>
  <c r="L422" i="26"/>
  <c r="I423" i="26"/>
  <c r="J423" i="26"/>
  <c r="K423" i="26"/>
  <c r="L423" i="26"/>
  <c r="I424" i="26"/>
  <c r="J424" i="26"/>
  <c r="K424" i="26"/>
  <c r="L424" i="26"/>
  <c r="I425" i="26"/>
  <c r="J425" i="26"/>
  <c r="K425" i="26"/>
  <c r="L425" i="26"/>
  <c r="I426" i="26"/>
  <c r="J426" i="26"/>
  <c r="K426" i="26"/>
  <c r="L426" i="26"/>
  <c r="I427" i="26"/>
  <c r="J427" i="26"/>
  <c r="K427" i="26"/>
  <c r="L427" i="26"/>
  <c r="I428" i="26"/>
  <c r="J428" i="26"/>
  <c r="K428" i="26"/>
  <c r="L428" i="26"/>
  <c r="I429" i="26"/>
  <c r="J429" i="26"/>
  <c r="K429" i="26"/>
  <c r="L429" i="26"/>
  <c r="I430" i="26"/>
  <c r="J430" i="26"/>
  <c r="K430" i="26"/>
  <c r="L430" i="26"/>
  <c r="I431" i="26"/>
  <c r="J431" i="26"/>
  <c r="K431" i="26"/>
  <c r="L431" i="26"/>
  <c r="I432" i="26"/>
  <c r="J432" i="26"/>
  <c r="K432" i="26"/>
  <c r="L432" i="26"/>
  <c r="I433" i="26"/>
  <c r="J433" i="26"/>
  <c r="K433" i="26"/>
  <c r="L433" i="26"/>
  <c r="I434" i="26"/>
  <c r="J434" i="26"/>
  <c r="K434" i="26"/>
  <c r="L434" i="26"/>
  <c r="I435" i="26"/>
  <c r="J435" i="26"/>
  <c r="K435" i="26"/>
  <c r="L435" i="26"/>
  <c r="I436" i="26"/>
  <c r="J436" i="26"/>
  <c r="K436" i="26"/>
  <c r="L436" i="26"/>
  <c r="I437" i="26"/>
  <c r="J437" i="26"/>
  <c r="K437" i="26"/>
  <c r="L437" i="26"/>
  <c r="I438" i="26"/>
  <c r="J438" i="26"/>
  <c r="K438" i="26"/>
  <c r="L438" i="26"/>
  <c r="I439" i="26"/>
  <c r="J439" i="26"/>
  <c r="K439" i="26"/>
  <c r="L439" i="26"/>
  <c r="I440" i="26"/>
  <c r="J440" i="26"/>
  <c r="K440" i="26"/>
  <c r="L440" i="26"/>
  <c r="I441" i="26"/>
  <c r="J441" i="26"/>
  <c r="K441" i="26"/>
  <c r="L441" i="26"/>
  <c r="I442" i="26"/>
  <c r="J442" i="26"/>
  <c r="K442" i="26"/>
  <c r="L442" i="26"/>
  <c r="I443" i="26"/>
  <c r="J443" i="26"/>
  <c r="K443" i="26"/>
  <c r="L443" i="26"/>
  <c r="I444" i="26"/>
  <c r="J444" i="26"/>
  <c r="K444" i="26"/>
  <c r="L444" i="26"/>
  <c r="I445" i="26"/>
  <c r="J445" i="26"/>
  <c r="K445" i="26"/>
  <c r="L445" i="26"/>
  <c r="I446" i="26"/>
  <c r="J446" i="26"/>
  <c r="K446" i="26"/>
  <c r="L446" i="26"/>
  <c r="I447" i="26"/>
  <c r="J447" i="26"/>
  <c r="K447" i="26"/>
  <c r="L447" i="26"/>
  <c r="I448" i="26"/>
  <c r="J448" i="26"/>
  <c r="K448" i="26"/>
  <c r="L448" i="26"/>
  <c r="I449" i="26"/>
  <c r="J449" i="26"/>
  <c r="K449" i="26"/>
  <c r="L449" i="26"/>
  <c r="I450" i="26"/>
  <c r="J450" i="26"/>
  <c r="K450" i="26"/>
  <c r="L450" i="26"/>
  <c r="I451" i="26"/>
  <c r="J451" i="26"/>
  <c r="K451" i="26"/>
  <c r="L451" i="26"/>
  <c r="I452" i="26"/>
  <c r="J452" i="26"/>
  <c r="K452" i="26"/>
  <c r="L452" i="26"/>
  <c r="I453" i="26"/>
  <c r="J453" i="26"/>
  <c r="K453" i="26"/>
  <c r="L453" i="26"/>
  <c r="I454" i="26"/>
  <c r="J454" i="26"/>
  <c r="K454" i="26"/>
  <c r="L454" i="26"/>
  <c r="I455" i="26"/>
  <c r="J455" i="26"/>
  <c r="K455" i="26"/>
  <c r="L455" i="26"/>
  <c r="I456" i="26"/>
  <c r="J456" i="26"/>
  <c r="K456" i="26"/>
  <c r="L456" i="26"/>
  <c r="I457" i="26"/>
  <c r="J457" i="26"/>
  <c r="K457" i="26"/>
  <c r="L457" i="26"/>
  <c r="I458" i="26"/>
  <c r="J458" i="26"/>
  <c r="K458" i="26"/>
  <c r="L458" i="26"/>
  <c r="I459" i="26"/>
  <c r="J459" i="26"/>
  <c r="K459" i="26"/>
  <c r="L459" i="26"/>
  <c r="I460" i="26"/>
  <c r="J460" i="26"/>
  <c r="K460" i="26"/>
  <c r="L460" i="26"/>
  <c r="I461" i="26"/>
  <c r="J461" i="26"/>
  <c r="K461" i="26"/>
  <c r="L461" i="26"/>
  <c r="I462" i="26"/>
  <c r="J462" i="26"/>
  <c r="K462" i="26"/>
  <c r="L462" i="26"/>
  <c r="I463" i="26"/>
  <c r="J463" i="26"/>
  <c r="K463" i="26"/>
  <c r="L463" i="26"/>
  <c r="I464" i="26"/>
  <c r="J464" i="26"/>
  <c r="K464" i="26"/>
  <c r="L464" i="26"/>
  <c r="I465" i="26"/>
  <c r="J465" i="26"/>
  <c r="K465" i="26"/>
  <c r="L465" i="26"/>
  <c r="I466" i="26"/>
  <c r="J466" i="26"/>
  <c r="K466" i="26"/>
  <c r="L466" i="26"/>
  <c r="I467" i="26"/>
  <c r="J467" i="26"/>
  <c r="K467" i="26"/>
  <c r="L467" i="26"/>
  <c r="I468" i="26"/>
  <c r="J468" i="26"/>
  <c r="K468" i="26"/>
  <c r="L468" i="26"/>
  <c r="I469" i="26"/>
  <c r="J469" i="26"/>
  <c r="K469" i="26"/>
  <c r="L469" i="26"/>
  <c r="I470" i="26"/>
  <c r="J470" i="26"/>
  <c r="K470" i="26"/>
  <c r="L470" i="26"/>
  <c r="I471" i="26"/>
  <c r="J471" i="26"/>
  <c r="K471" i="26"/>
  <c r="L471" i="26"/>
  <c r="I472" i="26"/>
  <c r="J472" i="26"/>
  <c r="K472" i="26"/>
  <c r="L472" i="26"/>
  <c r="I473" i="26"/>
  <c r="J473" i="26"/>
  <c r="K473" i="26"/>
  <c r="L473" i="26"/>
  <c r="I474" i="26"/>
  <c r="J474" i="26"/>
  <c r="K474" i="26"/>
  <c r="L474" i="26"/>
  <c r="I475" i="26"/>
  <c r="J475" i="26"/>
  <c r="K475" i="26"/>
  <c r="L475" i="26"/>
  <c r="I476" i="26"/>
  <c r="J476" i="26"/>
  <c r="K476" i="26"/>
  <c r="L476" i="26"/>
  <c r="I477" i="26"/>
  <c r="J477" i="26"/>
  <c r="K477" i="26"/>
  <c r="L477" i="26"/>
  <c r="I478" i="26"/>
  <c r="J478" i="26"/>
  <c r="K478" i="26"/>
  <c r="L478" i="26"/>
  <c r="I479" i="26"/>
  <c r="J479" i="26"/>
  <c r="K479" i="26"/>
  <c r="L479" i="26"/>
  <c r="I480" i="26"/>
  <c r="J480" i="26"/>
  <c r="K480" i="26"/>
  <c r="L480" i="26"/>
  <c r="I481" i="26"/>
  <c r="J481" i="26"/>
  <c r="K481" i="26"/>
  <c r="L481" i="26"/>
  <c r="I482" i="26"/>
  <c r="J482" i="26"/>
  <c r="K482" i="26"/>
  <c r="L482" i="26"/>
  <c r="I483" i="26"/>
  <c r="J483" i="26"/>
  <c r="K483" i="26"/>
  <c r="L483" i="26"/>
  <c r="I484" i="26"/>
  <c r="J484" i="26"/>
  <c r="K484" i="26"/>
  <c r="L484" i="26"/>
  <c r="I485" i="26"/>
  <c r="J485" i="26"/>
  <c r="K485" i="26"/>
  <c r="L485" i="26"/>
  <c r="I486" i="26"/>
  <c r="J486" i="26"/>
  <c r="K486" i="26"/>
  <c r="L486" i="26"/>
  <c r="I487" i="26"/>
  <c r="J487" i="26"/>
  <c r="K487" i="26"/>
  <c r="L487" i="26"/>
  <c r="I488" i="26"/>
  <c r="J488" i="26"/>
  <c r="K488" i="26"/>
  <c r="L488" i="26"/>
  <c r="I489" i="26"/>
  <c r="J489" i="26"/>
  <c r="K489" i="26"/>
  <c r="L489" i="26"/>
  <c r="I490" i="26"/>
  <c r="J490" i="26"/>
  <c r="K490" i="26"/>
  <c r="L490" i="26"/>
  <c r="I491" i="26"/>
  <c r="J491" i="26"/>
  <c r="K491" i="26"/>
  <c r="L491" i="26"/>
  <c r="I492" i="26"/>
  <c r="J492" i="26"/>
  <c r="K492" i="26"/>
  <c r="L492" i="26"/>
  <c r="I493" i="26"/>
  <c r="J493" i="26"/>
  <c r="K493" i="26"/>
  <c r="L493" i="26"/>
  <c r="I494" i="26"/>
  <c r="J494" i="26"/>
  <c r="K494" i="26"/>
  <c r="L494" i="26"/>
  <c r="I495" i="26"/>
  <c r="J495" i="26"/>
  <c r="K495" i="26"/>
  <c r="L495" i="26"/>
  <c r="I496" i="26"/>
  <c r="J496" i="26"/>
  <c r="K496" i="26"/>
  <c r="L496" i="26"/>
  <c r="I497" i="26"/>
  <c r="J497" i="26"/>
  <c r="K497" i="26"/>
  <c r="L497" i="26"/>
  <c r="I498" i="26"/>
  <c r="J498" i="26"/>
  <c r="K498" i="26"/>
  <c r="L498" i="26"/>
  <c r="I499" i="26"/>
  <c r="J499" i="26"/>
  <c r="K499" i="26"/>
  <c r="L499" i="26"/>
  <c r="I500" i="26"/>
  <c r="J500" i="26"/>
  <c r="K500" i="26"/>
  <c r="L500" i="26"/>
  <c r="I501" i="26"/>
  <c r="J501" i="26"/>
  <c r="K501" i="26"/>
  <c r="L501" i="26"/>
  <c r="I502" i="26"/>
  <c r="J502" i="26"/>
  <c r="K502" i="26"/>
  <c r="L502" i="26"/>
  <c r="I503" i="26"/>
  <c r="J503" i="26"/>
  <c r="K503" i="26"/>
  <c r="L503" i="26"/>
  <c r="I504" i="26"/>
  <c r="J504" i="26"/>
  <c r="K504" i="26"/>
  <c r="L504" i="26"/>
  <c r="I505" i="26"/>
  <c r="J505" i="26"/>
  <c r="K505" i="26"/>
  <c r="L505" i="26"/>
  <c r="I506" i="26"/>
  <c r="J506" i="26"/>
  <c r="K506" i="26"/>
  <c r="L506" i="26"/>
  <c r="I507" i="26"/>
  <c r="J507" i="26"/>
  <c r="K507" i="26"/>
  <c r="L507" i="26"/>
  <c r="I508" i="26"/>
  <c r="J508" i="26"/>
  <c r="K508" i="26"/>
  <c r="L508" i="26"/>
  <c r="I509" i="26"/>
  <c r="J509" i="26"/>
  <c r="K509" i="26"/>
  <c r="L509" i="26"/>
  <c r="I510" i="26"/>
  <c r="J510" i="26"/>
  <c r="K510" i="26"/>
  <c r="L510" i="26"/>
  <c r="I511" i="26"/>
  <c r="J511" i="26"/>
  <c r="K511" i="26"/>
  <c r="L511" i="26"/>
  <c r="I512" i="26"/>
  <c r="J512" i="26"/>
  <c r="K512" i="26"/>
  <c r="L512" i="26"/>
  <c r="I513" i="26"/>
  <c r="J513" i="26"/>
  <c r="K513" i="26"/>
  <c r="L513" i="26"/>
  <c r="I514" i="26"/>
  <c r="J514" i="26"/>
  <c r="K514" i="26"/>
  <c r="L514" i="26"/>
  <c r="I515" i="26"/>
  <c r="J515" i="26"/>
  <c r="K515" i="26"/>
  <c r="L515" i="26"/>
  <c r="I516" i="26"/>
  <c r="J516" i="26"/>
  <c r="K516" i="26"/>
  <c r="L516" i="26"/>
  <c r="I517" i="26"/>
  <c r="J517" i="26"/>
  <c r="K517" i="26"/>
  <c r="L517" i="26"/>
  <c r="I518" i="26"/>
  <c r="J518" i="26"/>
  <c r="K518" i="26"/>
  <c r="L518" i="26"/>
  <c r="I519" i="26"/>
  <c r="J519" i="26"/>
  <c r="K519" i="26"/>
  <c r="L519" i="26"/>
  <c r="I520" i="26"/>
  <c r="J520" i="26"/>
  <c r="K520" i="26"/>
  <c r="L520" i="26"/>
  <c r="I521" i="26"/>
  <c r="J521" i="26"/>
  <c r="K521" i="26"/>
  <c r="L521" i="26"/>
  <c r="I522" i="26"/>
  <c r="J522" i="26"/>
  <c r="K522" i="26"/>
  <c r="L522" i="26"/>
  <c r="I523" i="26"/>
  <c r="J523" i="26"/>
  <c r="K523" i="26"/>
  <c r="L523" i="26"/>
  <c r="I524" i="26"/>
  <c r="J524" i="26"/>
  <c r="K524" i="26"/>
  <c r="L524" i="26"/>
  <c r="I525" i="26"/>
  <c r="J525" i="26"/>
  <c r="K525" i="26"/>
  <c r="L525" i="26"/>
  <c r="I526" i="26"/>
  <c r="J526" i="26"/>
  <c r="K526" i="26"/>
  <c r="L526" i="26"/>
  <c r="I527" i="26"/>
  <c r="J527" i="26"/>
  <c r="K527" i="26"/>
  <c r="L527" i="26"/>
  <c r="I528" i="26"/>
  <c r="J528" i="26"/>
  <c r="K528" i="26"/>
  <c r="L528" i="26"/>
  <c r="I529" i="26"/>
  <c r="J529" i="26"/>
  <c r="K529" i="26"/>
  <c r="L529" i="26"/>
  <c r="I530" i="26"/>
  <c r="J530" i="26"/>
  <c r="K530" i="26"/>
  <c r="L530" i="26"/>
  <c r="I531" i="26"/>
  <c r="J531" i="26"/>
  <c r="K531" i="26"/>
  <c r="L531" i="26"/>
  <c r="I532" i="26"/>
  <c r="J532" i="26"/>
  <c r="K532" i="26"/>
  <c r="L532" i="26"/>
  <c r="I533" i="26"/>
  <c r="J533" i="26"/>
  <c r="K533" i="26"/>
  <c r="L533" i="26"/>
  <c r="I534" i="26"/>
  <c r="J534" i="26"/>
  <c r="K534" i="26"/>
  <c r="L534" i="26"/>
  <c r="I535" i="26"/>
  <c r="J535" i="26"/>
  <c r="K535" i="26"/>
  <c r="L535" i="26"/>
  <c r="I536" i="26"/>
  <c r="J536" i="26"/>
  <c r="K536" i="26"/>
  <c r="L536" i="26"/>
  <c r="I537" i="26"/>
  <c r="J537" i="26"/>
  <c r="K537" i="26"/>
  <c r="L537" i="26"/>
  <c r="I538" i="26"/>
  <c r="J538" i="26"/>
  <c r="K538" i="26"/>
  <c r="L538" i="26"/>
  <c r="I539" i="26"/>
  <c r="J539" i="26"/>
  <c r="K539" i="26"/>
  <c r="L539" i="26"/>
  <c r="I540" i="26"/>
  <c r="J540" i="26"/>
  <c r="K540" i="26"/>
  <c r="L540" i="26"/>
  <c r="I541" i="26"/>
  <c r="J541" i="26"/>
  <c r="K541" i="26"/>
  <c r="L541" i="26"/>
  <c r="I542" i="26"/>
  <c r="J542" i="26"/>
  <c r="K542" i="26"/>
  <c r="L542" i="26"/>
  <c r="I543" i="26"/>
  <c r="J543" i="26"/>
  <c r="K543" i="26"/>
  <c r="L543" i="26"/>
  <c r="I544" i="26"/>
  <c r="J544" i="26"/>
  <c r="K544" i="26"/>
  <c r="L544" i="26"/>
  <c r="I545" i="26"/>
  <c r="J545" i="26"/>
  <c r="K545" i="26"/>
  <c r="L545" i="26"/>
  <c r="I546" i="26"/>
  <c r="J546" i="26"/>
  <c r="K546" i="26"/>
  <c r="L546" i="26"/>
  <c r="I547" i="26"/>
  <c r="J547" i="26"/>
  <c r="K547" i="26"/>
  <c r="L547" i="26"/>
  <c r="I548" i="26"/>
  <c r="J548" i="26"/>
  <c r="K548" i="26"/>
  <c r="L548" i="26"/>
  <c r="I549" i="26"/>
  <c r="J549" i="26"/>
  <c r="K549" i="26"/>
  <c r="L549" i="26"/>
  <c r="I550" i="26"/>
  <c r="J550" i="26"/>
  <c r="K550" i="26"/>
  <c r="L550" i="26"/>
  <c r="I551" i="26"/>
  <c r="J551" i="26"/>
  <c r="K551" i="26"/>
  <c r="L551" i="26"/>
  <c r="I552" i="26"/>
  <c r="J552" i="26"/>
  <c r="K552" i="26"/>
  <c r="L552" i="26"/>
  <c r="I553" i="26"/>
  <c r="J553" i="26"/>
  <c r="K553" i="26"/>
  <c r="L553" i="26"/>
  <c r="I554" i="26"/>
  <c r="J554" i="26"/>
  <c r="K554" i="26"/>
  <c r="L554" i="26"/>
  <c r="I555" i="26"/>
  <c r="J555" i="26"/>
  <c r="K555" i="26"/>
  <c r="L555" i="26"/>
  <c r="I556" i="26"/>
  <c r="J556" i="26"/>
  <c r="K556" i="26"/>
  <c r="L556" i="26"/>
  <c r="I557" i="26"/>
  <c r="J557" i="26"/>
  <c r="K557" i="26"/>
  <c r="L557" i="26"/>
  <c r="I558" i="26"/>
  <c r="J558" i="26"/>
  <c r="K558" i="26"/>
  <c r="L558" i="26"/>
  <c r="I559" i="26"/>
  <c r="J559" i="26"/>
  <c r="K559" i="26"/>
  <c r="L559" i="26"/>
  <c r="I560" i="26"/>
  <c r="J560" i="26"/>
  <c r="K560" i="26"/>
  <c r="L560" i="26"/>
  <c r="I561" i="26"/>
  <c r="J561" i="26"/>
  <c r="K561" i="26"/>
  <c r="L561" i="26"/>
  <c r="I562" i="26"/>
  <c r="J562" i="26"/>
  <c r="K562" i="26"/>
  <c r="L562" i="26"/>
  <c r="I563" i="26"/>
  <c r="J563" i="26"/>
  <c r="K563" i="26"/>
  <c r="L563" i="26"/>
  <c r="I564" i="26"/>
  <c r="J564" i="26"/>
  <c r="K564" i="26"/>
  <c r="L564" i="26"/>
  <c r="I565" i="26"/>
  <c r="J565" i="26"/>
  <c r="K565" i="26"/>
  <c r="L565" i="26"/>
  <c r="I566" i="26"/>
  <c r="J566" i="26"/>
  <c r="K566" i="26"/>
  <c r="L566" i="26"/>
  <c r="I567" i="26"/>
  <c r="J567" i="26"/>
  <c r="K567" i="26"/>
  <c r="L567" i="26"/>
  <c r="I568" i="26"/>
  <c r="J568" i="26"/>
  <c r="K568" i="26"/>
  <c r="L568" i="26"/>
  <c r="I569" i="26"/>
  <c r="J569" i="26"/>
  <c r="K569" i="26"/>
  <c r="L569" i="26"/>
  <c r="I570" i="26"/>
  <c r="J570" i="26"/>
  <c r="K570" i="26"/>
  <c r="L570" i="26"/>
  <c r="I571" i="26"/>
  <c r="J571" i="26"/>
  <c r="K571" i="26"/>
  <c r="L571" i="26"/>
  <c r="I572" i="26"/>
  <c r="J572" i="26"/>
  <c r="K572" i="26"/>
  <c r="L572" i="26"/>
  <c r="I573" i="26"/>
  <c r="J573" i="26"/>
  <c r="K573" i="26"/>
  <c r="L573" i="26"/>
  <c r="I574" i="26"/>
  <c r="J574" i="26"/>
  <c r="K574" i="26"/>
  <c r="L574" i="26"/>
  <c r="I575" i="26"/>
  <c r="J575" i="26"/>
  <c r="K575" i="26"/>
  <c r="L575" i="26"/>
  <c r="I576" i="26"/>
  <c r="J576" i="26"/>
  <c r="K576" i="26"/>
  <c r="L576" i="26"/>
  <c r="I577" i="26"/>
  <c r="J577" i="26"/>
  <c r="K577" i="26"/>
  <c r="L577" i="26"/>
  <c r="I578" i="26"/>
  <c r="J578" i="26"/>
  <c r="K578" i="26"/>
  <c r="L578" i="26"/>
  <c r="I579" i="26"/>
  <c r="J579" i="26"/>
  <c r="K579" i="26"/>
  <c r="L579" i="26"/>
  <c r="I580" i="26"/>
  <c r="J580" i="26"/>
  <c r="K580" i="26"/>
  <c r="L580" i="26"/>
  <c r="I581" i="26"/>
  <c r="J581" i="26"/>
  <c r="K581" i="26"/>
  <c r="L581" i="26"/>
  <c r="I582" i="26"/>
  <c r="J582" i="26"/>
  <c r="K582" i="26"/>
  <c r="L582" i="26"/>
  <c r="I583" i="26"/>
  <c r="J583" i="26"/>
  <c r="K583" i="26"/>
  <c r="L583" i="26"/>
  <c r="I584" i="26"/>
  <c r="J584" i="26"/>
  <c r="K584" i="26"/>
  <c r="L584" i="26"/>
  <c r="I585" i="26"/>
  <c r="J585" i="26"/>
  <c r="K585" i="26"/>
  <c r="L585" i="26"/>
  <c r="I586" i="26"/>
  <c r="J586" i="26"/>
  <c r="K586" i="26"/>
  <c r="L586" i="26"/>
  <c r="I587" i="26"/>
  <c r="J587" i="26"/>
  <c r="K587" i="26"/>
  <c r="L587" i="26"/>
  <c r="I588" i="26"/>
  <c r="J588" i="26"/>
  <c r="K588" i="26"/>
  <c r="L588" i="26"/>
  <c r="I589" i="26"/>
  <c r="J589" i="26"/>
  <c r="K589" i="26"/>
  <c r="L589" i="26"/>
  <c r="I590" i="26"/>
  <c r="J590" i="26"/>
  <c r="K590" i="26"/>
  <c r="L590" i="26"/>
  <c r="I591" i="26"/>
  <c r="J591" i="26"/>
  <c r="K591" i="26"/>
  <c r="L591" i="26"/>
  <c r="I592" i="26"/>
  <c r="J592" i="26"/>
  <c r="K592" i="26"/>
  <c r="L592" i="26"/>
  <c r="I593" i="26"/>
  <c r="J593" i="26"/>
  <c r="K593" i="26"/>
  <c r="L593" i="26"/>
  <c r="I594" i="26"/>
  <c r="J594" i="26"/>
  <c r="K594" i="26"/>
  <c r="L594" i="26"/>
  <c r="I595" i="26"/>
  <c r="J595" i="26"/>
  <c r="K595" i="26"/>
  <c r="L595" i="26"/>
  <c r="I596" i="26"/>
  <c r="J596" i="26"/>
  <c r="K596" i="26"/>
  <c r="L596" i="26"/>
  <c r="I597" i="26"/>
  <c r="J597" i="26"/>
  <c r="K597" i="26"/>
  <c r="L597" i="26"/>
  <c r="I598" i="26"/>
  <c r="J598" i="26"/>
  <c r="K598" i="26"/>
  <c r="L598" i="26"/>
  <c r="I599" i="26"/>
  <c r="J599" i="26"/>
  <c r="K599" i="26"/>
  <c r="L599" i="26"/>
  <c r="I600" i="26"/>
  <c r="J600" i="26"/>
  <c r="K600" i="26"/>
  <c r="L600" i="26"/>
  <c r="I601" i="26"/>
  <c r="J601" i="26"/>
  <c r="K601" i="26"/>
  <c r="L601" i="26"/>
  <c r="I602" i="26"/>
  <c r="J602" i="26"/>
  <c r="K602" i="26"/>
  <c r="L602" i="26"/>
  <c r="I603" i="26"/>
  <c r="J603" i="26"/>
  <c r="K603" i="26"/>
  <c r="L603" i="26"/>
  <c r="I604" i="26"/>
  <c r="J604" i="26"/>
  <c r="K604" i="26"/>
  <c r="L604" i="26"/>
  <c r="I605" i="26"/>
  <c r="J605" i="26"/>
  <c r="K605" i="26"/>
  <c r="L605" i="26"/>
  <c r="I606" i="26"/>
  <c r="J606" i="26"/>
  <c r="K606" i="26"/>
  <c r="L606" i="26"/>
  <c r="I607" i="26"/>
  <c r="J607" i="26"/>
  <c r="K607" i="26"/>
  <c r="L607" i="26"/>
  <c r="I608" i="26"/>
  <c r="J608" i="26"/>
  <c r="K608" i="26"/>
  <c r="L608" i="26"/>
  <c r="I609" i="26"/>
  <c r="J609" i="26"/>
  <c r="K609" i="26"/>
  <c r="L609" i="26"/>
  <c r="I610" i="26"/>
  <c r="J610" i="26"/>
  <c r="K610" i="26"/>
  <c r="L610" i="26"/>
  <c r="I611" i="26"/>
  <c r="J611" i="26"/>
  <c r="K611" i="26"/>
  <c r="L611" i="26"/>
  <c r="I612" i="26"/>
  <c r="J612" i="26"/>
  <c r="K612" i="26"/>
  <c r="L612" i="26"/>
  <c r="I613" i="26"/>
  <c r="J613" i="26"/>
  <c r="K613" i="26"/>
  <c r="L613" i="26"/>
  <c r="I614" i="26"/>
  <c r="J614" i="26"/>
  <c r="K614" i="26"/>
  <c r="L614" i="26"/>
  <c r="I615" i="26"/>
  <c r="J615" i="26"/>
  <c r="K615" i="26"/>
  <c r="L615" i="26"/>
  <c r="I616" i="26"/>
  <c r="J616" i="26"/>
  <c r="K616" i="26"/>
  <c r="L616" i="26"/>
  <c r="I617" i="26"/>
  <c r="J617" i="26"/>
  <c r="K617" i="26"/>
  <c r="L617" i="26"/>
  <c r="I618" i="26"/>
  <c r="J618" i="26"/>
  <c r="K618" i="26"/>
  <c r="L618" i="26"/>
  <c r="I619" i="26"/>
  <c r="J619" i="26"/>
  <c r="K619" i="26"/>
  <c r="L619" i="26"/>
  <c r="I620" i="26"/>
  <c r="J620" i="26"/>
  <c r="K620" i="26"/>
  <c r="L620" i="26"/>
  <c r="I621" i="26"/>
  <c r="J621" i="26"/>
  <c r="K621" i="26"/>
  <c r="L621" i="26"/>
  <c r="I622" i="26"/>
  <c r="J622" i="26"/>
  <c r="K622" i="26"/>
  <c r="L622" i="26"/>
  <c r="I623" i="26"/>
  <c r="J623" i="26"/>
  <c r="K623" i="26"/>
  <c r="L623" i="26"/>
  <c r="I624" i="26"/>
  <c r="J624" i="26"/>
  <c r="K624" i="26"/>
  <c r="L624" i="26"/>
  <c r="I625" i="26"/>
  <c r="J625" i="26"/>
  <c r="K625" i="26"/>
  <c r="L625" i="26"/>
  <c r="I626" i="26"/>
  <c r="J626" i="26"/>
  <c r="K626" i="26"/>
  <c r="L626" i="26"/>
  <c r="I627" i="26"/>
  <c r="J627" i="26"/>
  <c r="K627" i="26"/>
  <c r="L627" i="26"/>
  <c r="I628" i="26"/>
  <c r="J628" i="26"/>
  <c r="K628" i="26"/>
  <c r="L628" i="26"/>
  <c r="I629" i="26"/>
  <c r="J629" i="26"/>
  <c r="K629" i="26"/>
  <c r="L629" i="26"/>
  <c r="I630" i="26"/>
  <c r="J630" i="26"/>
  <c r="K630" i="26"/>
  <c r="L630" i="26"/>
  <c r="I631" i="26"/>
  <c r="J631" i="26"/>
  <c r="K631" i="26"/>
  <c r="L631" i="26"/>
  <c r="I632" i="26"/>
  <c r="J632" i="26"/>
  <c r="K632" i="26"/>
  <c r="L632" i="26"/>
  <c r="I633" i="26"/>
  <c r="J633" i="26"/>
  <c r="K633" i="26"/>
  <c r="L633" i="26"/>
  <c r="I634" i="26"/>
  <c r="J634" i="26"/>
  <c r="K634" i="26"/>
  <c r="L634" i="26"/>
  <c r="I635" i="26"/>
  <c r="J635" i="26"/>
  <c r="K635" i="26"/>
  <c r="L635" i="26"/>
  <c r="I636" i="26"/>
  <c r="J636" i="26"/>
  <c r="K636" i="26"/>
  <c r="L636" i="26"/>
  <c r="I637" i="26"/>
  <c r="J637" i="26"/>
  <c r="K637" i="26"/>
  <c r="L637" i="26"/>
  <c r="I638" i="26"/>
  <c r="J638" i="26"/>
  <c r="K638" i="26"/>
  <c r="L638" i="26"/>
  <c r="I639" i="26"/>
  <c r="J639" i="26"/>
  <c r="K639" i="26"/>
  <c r="L639" i="26"/>
  <c r="I640" i="26"/>
  <c r="J640" i="26"/>
  <c r="K640" i="26"/>
  <c r="L640" i="26"/>
  <c r="I641" i="26"/>
  <c r="J641" i="26"/>
  <c r="K641" i="26"/>
  <c r="L641" i="26"/>
  <c r="I642" i="26"/>
  <c r="J642" i="26"/>
  <c r="K642" i="26"/>
  <c r="L642" i="26"/>
  <c r="I643" i="26"/>
  <c r="J643" i="26"/>
  <c r="K643" i="26"/>
  <c r="L643" i="26"/>
  <c r="I644" i="26"/>
  <c r="J644" i="26"/>
  <c r="K644" i="26"/>
  <c r="L644" i="26"/>
  <c r="I645" i="26"/>
  <c r="J645" i="26"/>
  <c r="K645" i="26"/>
  <c r="L645" i="26"/>
  <c r="I646" i="26"/>
  <c r="J646" i="26"/>
  <c r="K646" i="26"/>
  <c r="L646" i="26"/>
  <c r="I647" i="26"/>
  <c r="J647" i="26"/>
  <c r="K647" i="26"/>
  <c r="L647" i="26"/>
  <c r="I648" i="26"/>
  <c r="J648" i="26"/>
  <c r="K648" i="26"/>
  <c r="L648" i="26"/>
  <c r="I649" i="26"/>
  <c r="J649" i="26"/>
  <c r="K649" i="26"/>
  <c r="L649" i="26"/>
  <c r="I650" i="26"/>
  <c r="J650" i="26"/>
  <c r="K650" i="26"/>
  <c r="L650" i="26"/>
  <c r="I651" i="26"/>
  <c r="J651" i="26"/>
  <c r="K651" i="26"/>
  <c r="L651" i="26"/>
  <c r="I652" i="26"/>
  <c r="J652" i="26"/>
  <c r="K652" i="26"/>
  <c r="L652" i="26"/>
  <c r="I653" i="26"/>
  <c r="J653" i="26"/>
  <c r="K653" i="26"/>
  <c r="L653" i="26"/>
  <c r="I654" i="26"/>
  <c r="J654" i="26"/>
  <c r="K654" i="26"/>
  <c r="L654" i="26"/>
  <c r="I655" i="26"/>
  <c r="J655" i="26"/>
  <c r="K655" i="26"/>
  <c r="L655" i="26"/>
  <c r="I656" i="26"/>
  <c r="J656" i="26"/>
  <c r="K656" i="26"/>
  <c r="L656" i="26"/>
  <c r="I657" i="26"/>
  <c r="J657" i="26"/>
  <c r="K657" i="26"/>
  <c r="L657" i="26"/>
  <c r="I658" i="26"/>
  <c r="J658" i="26"/>
  <c r="K658" i="26"/>
  <c r="L658" i="26"/>
  <c r="I659" i="26"/>
  <c r="J659" i="26"/>
  <c r="K659" i="26"/>
  <c r="L659" i="26"/>
  <c r="I660" i="26"/>
  <c r="J660" i="26"/>
  <c r="K660" i="26"/>
  <c r="L660" i="26"/>
  <c r="I661" i="26"/>
  <c r="J661" i="26"/>
  <c r="K661" i="26"/>
  <c r="L661" i="26"/>
  <c r="I662" i="26"/>
  <c r="J662" i="26"/>
  <c r="K662" i="26"/>
  <c r="L662" i="26"/>
  <c r="I663" i="26"/>
  <c r="J663" i="26"/>
  <c r="K663" i="26"/>
  <c r="L663" i="26"/>
  <c r="I664" i="26"/>
  <c r="J664" i="26"/>
  <c r="K664" i="26"/>
  <c r="L664" i="26"/>
  <c r="I665" i="26"/>
  <c r="J665" i="26"/>
  <c r="K665" i="26"/>
  <c r="L665" i="26"/>
  <c r="I666" i="26"/>
  <c r="J666" i="26"/>
  <c r="K666" i="26"/>
  <c r="L666" i="26"/>
  <c r="I667" i="26"/>
  <c r="J667" i="26"/>
  <c r="K667" i="26"/>
  <c r="L667" i="26"/>
  <c r="I668" i="26"/>
  <c r="J668" i="26"/>
  <c r="K668" i="26"/>
  <c r="L668" i="26"/>
  <c r="I669" i="26"/>
  <c r="J669" i="26"/>
  <c r="K669" i="26"/>
  <c r="L669" i="26"/>
  <c r="I670" i="26"/>
  <c r="J670" i="26"/>
  <c r="K670" i="26"/>
  <c r="L670" i="26"/>
  <c r="I671" i="26"/>
  <c r="J671" i="26"/>
  <c r="K671" i="26"/>
  <c r="L671" i="26"/>
  <c r="I672" i="26"/>
  <c r="J672" i="26"/>
  <c r="K672" i="26"/>
  <c r="L672" i="26"/>
  <c r="I673" i="26"/>
  <c r="J673" i="26"/>
  <c r="K673" i="26"/>
  <c r="L673" i="26"/>
  <c r="I674" i="26"/>
  <c r="J674" i="26"/>
  <c r="K674" i="26"/>
  <c r="L674" i="26"/>
  <c r="I675" i="26"/>
  <c r="J675" i="26"/>
  <c r="K675" i="26"/>
  <c r="L675" i="26"/>
  <c r="I676" i="26"/>
  <c r="J676" i="26"/>
  <c r="K676" i="26"/>
  <c r="L676" i="26"/>
  <c r="I677" i="26"/>
  <c r="J677" i="26"/>
  <c r="K677" i="26"/>
  <c r="L677" i="26"/>
  <c r="I678" i="26"/>
  <c r="J678" i="26"/>
  <c r="K678" i="26"/>
  <c r="L678" i="26"/>
  <c r="I679" i="26"/>
  <c r="J679" i="26"/>
  <c r="K679" i="26"/>
  <c r="L679" i="26"/>
  <c r="I680" i="26"/>
  <c r="J680" i="26"/>
  <c r="K680" i="26"/>
  <c r="L680" i="26"/>
  <c r="I681" i="26"/>
  <c r="J681" i="26"/>
  <c r="K681" i="26"/>
  <c r="L681" i="26"/>
  <c r="I682" i="26"/>
  <c r="J682" i="26"/>
  <c r="K682" i="26"/>
  <c r="L682" i="26"/>
  <c r="I683" i="26"/>
  <c r="J683" i="26"/>
  <c r="K683" i="26"/>
  <c r="L683" i="26"/>
  <c r="I684" i="26"/>
  <c r="J684" i="26"/>
  <c r="K684" i="26"/>
  <c r="L684" i="26"/>
  <c r="I685" i="26"/>
  <c r="J685" i="26"/>
  <c r="K685" i="26"/>
  <c r="L685" i="26"/>
  <c r="I686" i="26"/>
  <c r="J686" i="26"/>
  <c r="K686" i="26"/>
  <c r="L686" i="26"/>
  <c r="I687" i="26"/>
  <c r="J687" i="26"/>
  <c r="K687" i="26"/>
  <c r="L687" i="26"/>
  <c r="I688" i="26"/>
  <c r="J688" i="26"/>
  <c r="K688" i="26"/>
  <c r="L688" i="26"/>
  <c r="I689" i="26"/>
  <c r="J689" i="26"/>
  <c r="K689" i="26"/>
  <c r="L689" i="26"/>
  <c r="I690" i="26"/>
  <c r="J690" i="26"/>
  <c r="K690" i="26"/>
  <c r="L690" i="26"/>
  <c r="I691" i="26"/>
  <c r="J691" i="26"/>
  <c r="K691" i="26"/>
  <c r="L691" i="26"/>
  <c r="I692" i="26"/>
  <c r="J692" i="26"/>
  <c r="K692" i="26"/>
  <c r="L692" i="26"/>
  <c r="I693" i="26"/>
  <c r="J693" i="26"/>
  <c r="K693" i="26"/>
  <c r="L693" i="26"/>
  <c r="I694" i="26"/>
  <c r="J694" i="26"/>
  <c r="K694" i="26"/>
  <c r="L694" i="26"/>
  <c r="I695" i="26"/>
  <c r="J695" i="26"/>
  <c r="K695" i="26"/>
  <c r="L695" i="26"/>
  <c r="I696" i="26"/>
  <c r="J696" i="26"/>
  <c r="K696" i="26"/>
  <c r="L696" i="26"/>
  <c r="I697" i="26"/>
  <c r="J697" i="26"/>
  <c r="K697" i="26"/>
  <c r="L697" i="26"/>
  <c r="I698" i="26"/>
  <c r="J698" i="26"/>
  <c r="K698" i="26"/>
  <c r="L698" i="26"/>
  <c r="I699" i="26"/>
  <c r="J699" i="26"/>
  <c r="K699" i="26"/>
  <c r="L699" i="26"/>
  <c r="I700" i="26"/>
  <c r="J700" i="26"/>
  <c r="K700" i="26"/>
  <c r="L700" i="26"/>
  <c r="I701" i="26"/>
  <c r="J701" i="26"/>
  <c r="K701" i="26"/>
  <c r="L701" i="26"/>
  <c r="I702" i="26"/>
  <c r="J702" i="26"/>
  <c r="K702" i="26"/>
  <c r="L702" i="26"/>
  <c r="I703" i="26"/>
  <c r="J703" i="26"/>
  <c r="K703" i="26"/>
  <c r="L703" i="26"/>
  <c r="I704" i="26"/>
  <c r="J704" i="26"/>
  <c r="K704" i="26"/>
  <c r="L704" i="26"/>
  <c r="I705" i="26"/>
  <c r="J705" i="26"/>
  <c r="K705" i="26"/>
  <c r="L705" i="26"/>
  <c r="I706" i="26"/>
  <c r="J706" i="26"/>
  <c r="K706" i="26"/>
  <c r="L706" i="26"/>
  <c r="I707" i="26"/>
  <c r="J707" i="26"/>
  <c r="K707" i="26"/>
  <c r="L707" i="26"/>
  <c r="I708" i="26"/>
  <c r="J708" i="26"/>
  <c r="K708" i="26"/>
  <c r="L708" i="26"/>
  <c r="I709" i="26"/>
  <c r="J709" i="26"/>
  <c r="K709" i="26"/>
  <c r="L709" i="26"/>
  <c r="I710" i="26"/>
  <c r="J710" i="26"/>
  <c r="K710" i="26"/>
  <c r="L710" i="26"/>
  <c r="I711" i="26"/>
  <c r="J711" i="26"/>
  <c r="K711" i="26"/>
  <c r="L711" i="26"/>
  <c r="I712" i="26"/>
  <c r="J712" i="26"/>
  <c r="K712" i="26"/>
  <c r="L712" i="26"/>
  <c r="I713" i="26"/>
  <c r="J713" i="26"/>
  <c r="K713" i="26"/>
  <c r="L713" i="26"/>
  <c r="I714" i="26"/>
  <c r="J714" i="26"/>
  <c r="K714" i="26"/>
  <c r="L714" i="26"/>
  <c r="I715" i="26"/>
  <c r="J715" i="26"/>
  <c r="K715" i="26"/>
  <c r="L715" i="26"/>
  <c r="I716" i="26"/>
  <c r="J716" i="26"/>
  <c r="K716" i="26"/>
  <c r="L716" i="26"/>
  <c r="I717" i="26"/>
  <c r="J717" i="26"/>
  <c r="K717" i="26"/>
  <c r="L717" i="26"/>
  <c r="I718" i="26"/>
  <c r="J718" i="26"/>
  <c r="K718" i="26"/>
  <c r="L718" i="26"/>
  <c r="I719" i="26"/>
  <c r="J719" i="26"/>
  <c r="K719" i="26"/>
  <c r="L719" i="26"/>
  <c r="I720" i="26"/>
  <c r="J720" i="26"/>
  <c r="K720" i="26"/>
  <c r="L720" i="26"/>
  <c r="I721" i="26"/>
  <c r="J721" i="26"/>
  <c r="K721" i="26"/>
  <c r="L721" i="26"/>
  <c r="I722" i="26"/>
  <c r="J722" i="26"/>
  <c r="K722" i="26"/>
  <c r="L722" i="26"/>
  <c r="I723" i="26"/>
  <c r="J723" i="26"/>
  <c r="K723" i="26"/>
  <c r="L723" i="26"/>
  <c r="I724" i="26"/>
  <c r="J724" i="26"/>
  <c r="K724" i="26"/>
  <c r="L724" i="26"/>
  <c r="I725" i="26"/>
  <c r="J725" i="26"/>
  <c r="K725" i="26"/>
  <c r="L725" i="26"/>
  <c r="I726" i="26"/>
  <c r="J726" i="26"/>
  <c r="K726" i="26"/>
  <c r="L726" i="26"/>
  <c r="I727" i="26"/>
  <c r="J727" i="26"/>
  <c r="K727" i="26"/>
  <c r="L727" i="26"/>
  <c r="I728" i="26"/>
  <c r="J728" i="26"/>
  <c r="K728" i="26"/>
  <c r="L728" i="26"/>
  <c r="I729" i="26"/>
  <c r="J729" i="26"/>
  <c r="K729" i="26"/>
  <c r="L729" i="26"/>
  <c r="I730" i="26"/>
  <c r="J730" i="26"/>
  <c r="K730" i="26"/>
  <c r="L730" i="26"/>
  <c r="I731" i="26"/>
  <c r="J731" i="26"/>
  <c r="K731" i="26"/>
  <c r="L731" i="26"/>
  <c r="I732" i="26"/>
  <c r="J732" i="26"/>
  <c r="K732" i="26"/>
  <c r="L732" i="26"/>
  <c r="I733" i="26"/>
  <c r="J733" i="26"/>
  <c r="K733" i="26"/>
  <c r="L733" i="26"/>
  <c r="I734" i="26"/>
  <c r="J734" i="26"/>
  <c r="K734" i="26"/>
  <c r="L734" i="26"/>
  <c r="I735" i="26"/>
  <c r="J735" i="26"/>
  <c r="K735" i="26"/>
  <c r="L735" i="26"/>
  <c r="I736" i="26"/>
  <c r="J736" i="26"/>
  <c r="K736" i="26"/>
  <c r="L736" i="26"/>
  <c r="I737" i="26"/>
  <c r="J737" i="26"/>
  <c r="K737" i="26"/>
  <c r="L737" i="26"/>
  <c r="I738" i="26"/>
  <c r="J738" i="26"/>
  <c r="K738" i="26"/>
  <c r="L738" i="26"/>
  <c r="I739" i="26"/>
  <c r="J739" i="26"/>
  <c r="K739" i="26"/>
  <c r="L739" i="26"/>
  <c r="I740" i="26"/>
  <c r="J740" i="26"/>
  <c r="K740" i="26"/>
  <c r="L740" i="26"/>
  <c r="I741" i="26"/>
  <c r="J741" i="26"/>
  <c r="K741" i="26"/>
  <c r="L741" i="26"/>
  <c r="I742" i="26"/>
  <c r="J742" i="26"/>
  <c r="K742" i="26"/>
  <c r="L742" i="26"/>
  <c r="I743" i="26"/>
  <c r="J743" i="26"/>
  <c r="K743" i="26"/>
  <c r="L743" i="26"/>
  <c r="I744" i="26"/>
  <c r="J744" i="26"/>
  <c r="K744" i="26"/>
  <c r="L744" i="26"/>
  <c r="I745" i="26"/>
  <c r="J745" i="26"/>
  <c r="K745" i="26"/>
  <c r="L745" i="26"/>
  <c r="I746" i="26"/>
  <c r="J746" i="26"/>
  <c r="K746" i="26"/>
  <c r="L746" i="26"/>
  <c r="I747" i="26"/>
  <c r="J747" i="26"/>
  <c r="K747" i="26"/>
  <c r="L747" i="26"/>
  <c r="I748" i="26"/>
  <c r="J748" i="26"/>
  <c r="K748" i="26"/>
  <c r="L748" i="26"/>
  <c r="I749" i="26"/>
  <c r="J749" i="26"/>
  <c r="K749" i="26"/>
  <c r="L749" i="26"/>
  <c r="I750" i="26"/>
  <c r="J750" i="26"/>
  <c r="K750" i="26"/>
  <c r="L750" i="26"/>
  <c r="I751" i="26"/>
  <c r="J751" i="26"/>
  <c r="K751" i="26"/>
  <c r="L751" i="26"/>
  <c r="I752" i="26"/>
  <c r="J752" i="26"/>
  <c r="K752" i="26"/>
  <c r="L752" i="26"/>
  <c r="I753" i="26"/>
  <c r="J753" i="26"/>
  <c r="K753" i="26"/>
  <c r="L753" i="26"/>
  <c r="I754" i="26"/>
  <c r="J754" i="26"/>
  <c r="K754" i="26"/>
  <c r="L754" i="26"/>
  <c r="I755" i="26"/>
  <c r="J755" i="26"/>
  <c r="K755" i="26"/>
  <c r="L755" i="26"/>
  <c r="I756" i="26"/>
  <c r="J756" i="26"/>
  <c r="K756" i="26"/>
  <c r="L756" i="26"/>
  <c r="I757" i="26"/>
  <c r="J757" i="26"/>
  <c r="K757" i="26"/>
  <c r="L757" i="26"/>
  <c r="I8" i="26"/>
  <c r="J8" i="26"/>
  <c r="K8" i="26"/>
  <c r="L8" i="26"/>
  <c r="I9" i="26"/>
  <c r="J9" i="26"/>
  <c r="K9" i="26"/>
  <c r="L9" i="26"/>
  <c r="I10" i="26"/>
  <c r="J10" i="26"/>
  <c r="K10" i="26"/>
  <c r="L10" i="26"/>
  <c r="I11" i="26"/>
  <c r="J11" i="26"/>
  <c r="K11" i="26"/>
  <c r="L11" i="26"/>
  <c r="I12" i="26"/>
  <c r="J12" i="26"/>
  <c r="K12" i="26"/>
  <c r="L12" i="26"/>
  <c r="I13" i="26"/>
  <c r="J13" i="26"/>
  <c r="K13" i="26"/>
  <c r="L13" i="26"/>
  <c r="I14" i="26"/>
  <c r="J14" i="26"/>
  <c r="K14" i="26"/>
  <c r="L14" i="26"/>
  <c r="I15" i="26"/>
  <c r="J15" i="26"/>
  <c r="K15" i="26"/>
  <c r="L15" i="26"/>
  <c r="I16" i="26"/>
  <c r="J16" i="26"/>
  <c r="K16" i="26"/>
  <c r="L16" i="26"/>
  <c r="I17" i="26"/>
  <c r="J17" i="26"/>
  <c r="K17" i="26"/>
  <c r="L17" i="26"/>
  <c r="I18" i="26"/>
  <c r="J18" i="26"/>
  <c r="K18" i="26"/>
  <c r="L18" i="26"/>
  <c r="I19" i="26"/>
  <c r="J19" i="26"/>
  <c r="K19" i="26"/>
  <c r="L19" i="26"/>
  <c r="I20" i="26"/>
  <c r="J20" i="26"/>
  <c r="K20" i="26"/>
  <c r="L20" i="26"/>
  <c r="I21" i="26"/>
  <c r="J21" i="26"/>
  <c r="K21" i="26"/>
  <c r="L21" i="26"/>
  <c r="I22" i="26"/>
  <c r="J22" i="26"/>
  <c r="K22" i="26"/>
  <c r="L22" i="26"/>
  <c r="I23" i="26"/>
  <c r="J23" i="26"/>
  <c r="K23" i="26"/>
  <c r="L23" i="26"/>
  <c r="I24" i="26"/>
  <c r="J24" i="26"/>
  <c r="K24" i="26"/>
  <c r="L24" i="26"/>
  <c r="I25" i="26"/>
  <c r="J25" i="26"/>
  <c r="K25" i="26"/>
  <c r="L25" i="26"/>
  <c r="I26" i="26"/>
  <c r="J26" i="26"/>
  <c r="K26" i="26"/>
  <c r="L26" i="26"/>
  <c r="I27" i="26"/>
  <c r="J27" i="26"/>
  <c r="K27" i="26"/>
  <c r="L27" i="26"/>
  <c r="I28" i="26"/>
  <c r="J28" i="26"/>
  <c r="K28" i="26"/>
  <c r="L28" i="26"/>
  <c r="I29" i="26"/>
  <c r="J29" i="26"/>
  <c r="K29" i="26"/>
  <c r="L29" i="26"/>
  <c r="I30" i="26"/>
  <c r="J30" i="26"/>
  <c r="K30" i="26"/>
  <c r="L30" i="26"/>
  <c r="I31" i="26"/>
  <c r="J31" i="26"/>
  <c r="K31" i="26"/>
  <c r="L31" i="26"/>
  <c r="I32" i="26"/>
  <c r="J32" i="26"/>
  <c r="K32" i="26"/>
  <c r="L32" i="26"/>
  <c r="I33" i="26"/>
  <c r="J33" i="26"/>
  <c r="K33" i="26"/>
  <c r="L33" i="26"/>
  <c r="I34" i="26"/>
  <c r="J34" i="26"/>
  <c r="K34" i="26"/>
  <c r="L34" i="26"/>
  <c r="I35" i="26"/>
  <c r="J35" i="26"/>
  <c r="K35" i="26"/>
  <c r="L35" i="26"/>
  <c r="I36" i="26"/>
  <c r="J36" i="26"/>
  <c r="K36" i="26"/>
  <c r="L36" i="26"/>
  <c r="I37" i="26"/>
  <c r="J37" i="26"/>
  <c r="K37" i="26"/>
  <c r="L37" i="26"/>
  <c r="I38" i="26"/>
  <c r="J38" i="26"/>
  <c r="K38" i="26"/>
  <c r="L38" i="26"/>
  <c r="I39" i="26"/>
  <c r="J39" i="26"/>
  <c r="K39" i="26"/>
  <c r="L39" i="26"/>
  <c r="I40" i="26"/>
  <c r="J40" i="26"/>
  <c r="K40" i="26"/>
  <c r="L40" i="26"/>
  <c r="I41" i="26"/>
  <c r="J41" i="26"/>
  <c r="K41" i="26"/>
  <c r="L41" i="26"/>
  <c r="I42" i="26"/>
  <c r="J42" i="26"/>
  <c r="K42" i="26"/>
  <c r="L42" i="26"/>
  <c r="I43" i="26"/>
  <c r="J43" i="26"/>
  <c r="K43" i="26"/>
  <c r="L43" i="26"/>
  <c r="I44" i="26"/>
  <c r="J44" i="26"/>
  <c r="K44" i="26"/>
  <c r="L44" i="26"/>
  <c r="I45" i="26"/>
  <c r="J45" i="26"/>
  <c r="K45" i="26"/>
  <c r="L45" i="26"/>
  <c r="I46" i="26"/>
  <c r="J46" i="26"/>
  <c r="K46" i="26"/>
  <c r="L46" i="26"/>
  <c r="I47" i="26"/>
  <c r="J47" i="26"/>
  <c r="K47" i="26"/>
  <c r="L47" i="26"/>
  <c r="I48" i="26"/>
  <c r="J48" i="26"/>
  <c r="K48" i="26"/>
  <c r="L48" i="26"/>
  <c r="I49" i="26"/>
  <c r="J49" i="26"/>
  <c r="K49" i="26"/>
  <c r="L49" i="26"/>
  <c r="I50" i="26"/>
  <c r="J50" i="26"/>
  <c r="K50" i="26"/>
  <c r="L50" i="26"/>
  <c r="I51" i="26"/>
  <c r="J51" i="26"/>
  <c r="K51" i="26"/>
  <c r="L51" i="26"/>
  <c r="I52" i="26"/>
  <c r="J52" i="26"/>
  <c r="K52" i="26"/>
  <c r="L52" i="26"/>
  <c r="I53" i="26"/>
  <c r="J53" i="26"/>
  <c r="K53" i="26"/>
  <c r="L53" i="26"/>
  <c r="I54" i="26"/>
  <c r="J54" i="26"/>
  <c r="K54" i="26"/>
  <c r="L54" i="26"/>
  <c r="I55" i="26"/>
  <c r="J55" i="26"/>
  <c r="K55" i="26"/>
  <c r="L55" i="26"/>
  <c r="I56" i="26"/>
  <c r="J56" i="26"/>
  <c r="K56" i="26"/>
  <c r="L56" i="26"/>
  <c r="I57" i="26"/>
  <c r="J57" i="26"/>
  <c r="K57" i="26"/>
  <c r="L57" i="26"/>
  <c r="I58" i="26"/>
  <c r="J58" i="26"/>
  <c r="K58" i="26"/>
  <c r="L58" i="26"/>
  <c r="I59" i="26"/>
  <c r="J59" i="26"/>
  <c r="K59" i="26"/>
  <c r="L59" i="26"/>
  <c r="I60" i="26"/>
  <c r="J60" i="26"/>
  <c r="K60" i="26"/>
  <c r="L60" i="26"/>
  <c r="I61" i="26"/>
  <c r="J61" i="26"/>
  <c r="K61" i="26"/>
  <c r="L61" i="26"/>
  <c r="I62" i="26"/>
  <c r="J62" i="26"/>
  <c r="K62" i="26"/>
  <c r="L62" i="26"/>
  <c r="I63" i="26"/>
  <c r="J63" i="26"/>
  <c r="K63" i="26"/>
  <c r="L63" i="26"/>
  <c r="I64" i="26"/>
  <c r="J64" i="26"/>
  <c r="K64" i="26"/>
  <c r="L64" i="26"/>
  <c r="I65" i="26"/>
  <c r="J65" i="26"/>
  <c r="K65" i="26"/>
  <c r="L65" i="26"/>
  <c r="I66" i="26"/>
  <c r="J66" i="26"/>
  <c r="K66" i="26"/>
  <c r="L66" i="26"/>
  <c r="I67" i="26"/>
  <c r="J67" i="26"/>
  <c r="K67" i="26"/>
  <c r="L67" i="26"/>
  <c r="I68" i="26"/>
  <c r="J68" i="26"/>
  <c r="K68" i="26"/>
  <c r="L68" i="26"/>
  <c r="I69" i="26"/>
  <c r="J69" i="26"/>
  <c r="K69" i="26"/>
  <c r="L69" i="26"/>
  <c r="I70" i="26"/>
  <c r="J70" i="26"/>
  <c r="K70" i="26"/>
  <c r="L70" i="26"/>
  <c r="I71" i="26"/>
  <c r="J71" i="26"/>
  <c r="K71" i="26"/>
  <c r="L71" i="26"/>
  <c r="I72" i="26"/>
  <c r="J72" i="26"/>
  <c r="K72" i="26"/>
  <c r="L72" i="26"/>
  <c r="I73" i="26"/>
  <c r="J73" i="26"/>
  <c r="K73" i="26"/>
  <c r="L73" i="26"/>
  <c r="I74" i="26"/>
  <c r="J74" i="26"/>
  <c r="K74" i="26"/>
  <c r="L74" i="26"/>
  <c r="I75" i="26"/>
  <c r="J75" i="26"/>
  <c r="K75" i="26"/>
  <c r="L75" i="26"/>
  <c r="I76" i="26"/>
  <c r="J76" i="26"/>
  <c r="K76" i="26"/>
  <c r="L76" i="26"/>
  <c r="I77" i="26"/>
  <c r="J77" i="26"/>
  <c r="K77" i="26"/>
  <c r="L77" i="26"/>
  <c r="I78" i="26"/>
  <c r="J78" i="26"/>
  <c r="K78" i="26"/>
  <c r="L78" i="26"/>
  <c r="I79" i="26"/>
  <c r="J79" i="26"/>
  <c r="K79" i="26"/>
  <c r="L79" i="26"/>
  <c r="I80" i="26"/>
  <c r="J80" i="26"/>
  <c r="K80" i="26"/>
  <c r="L80" i="26"/>
  <c r="I81" i="26"/>
  <c r="J81" i="26"/>
  <c r="K81" i="26"/>
  <c r="L81" i="26"/>
  <c r="I82" i="26"/>
  <c r="J82" i="26"/>
  <c r="K82" i="26"/>
  <c r="L82" i="26"/>
  <c r="I83" i="26"/>
  <c r="J83" i="26"/>
  <c r="K83" i="26"/>
  <c r="L83" i="26"/>
  <c r="I84" i="26"/>
  <c r="J84" i="26"/>
  <c r="K84" i="26"/>
  <c r="L84" i="26"/>
  <c r="I85" i="26"/>
  <c r="J85" i="26"/>
  <c r="K85" i="26"/>
  <c r="L85" i="26"/>
  <c r="I86" i="26"/>
  <c r="J86" i="26"/>
  <c r="K86" i="26"/>
  <c r="L86" i="26"/>
  <c r="I87" i="26"/>
  <c r="J87" i="26"/>
  <c r="K87" i="26"/>
  <c r="L87" i="26"/>
  <c r="I88" i="26"/>
  <c r="J88" i="26"/>
  <c r="K88" i="26"/>
  <c r="L88" i="26"/>
  <c r="I89" i="26"/>
  <c r="J89" i="26"/>
  <c r="K89" i="26"/>
  <c r="L89" i="26"/>
  <c r="I90" i="26"/>
  <c r="J90" i="26"/>
  <c r="K90" i="26"/>
  <c r="L90" i="26"/>
  <c r="I91" i="26"/>
  <c r="J91" i="26"/>
  <c r="K91" i="26"/>
  <c r="L91" i="26"/>
  <c r="I92" i="26"/>
  <c r="J92" i="26"/>
  <c r="K92" i="26"/>
  <c r="L92" i="26"/>
  <c r="I93" i="26"/>
  <c r="J93" i="26"/>
  <c r="K93" i="26"/>
  <c r="L93" i="26"/>
  <c r="I94" i="26"/>
  <c r="J94" i="26"/>
  <c r="K94" i="26"/>
  <c r="L94" i="26"/>
  <c r="I95" i="26"/>
  <c r="J95" i="26"/>
  <c r="K95" i="26"/>
  <c r="L95" i="26"/>
  <c r="I96" i="26"/>
  <c r="J96" i="26"/>
  <c r="K96" i="26"/>
  <c r="L96" i="26"/>
  <c r="I97" i="26"/>
  <c r="J97" i="26"/>
  <c r="K97" i="26"/>
  <c r="L97" i="26"/>
  <c r="I98" i="26"/>
  <c r="J98" i="26"/>
  <c r="K98" i="26"/>
  <c r="L98" i="26"/>
  <c r="I99" i="26"/>
  <c r="J99" i="26"/>
  <c r="K99" i="26"/>
  <c r="L99" i="26"/>
  <c r="I100" i="26"/>
  <c r="J100" i="26"/>
  <c r="K100" i="26"/>
  <c r="L100" i="26"/>
  <c r="I101" i="26"/>
  <c r="J101" i="26"/>
  <c r="K101" i="26"/>
  <c r="L101" i="26"/>
  <c r="I102" i="26"/>
  <c r="J102" i="26"/>
  <c r="K102" i="26"/>
  <c r="L102" i="26"/>
  <c r="I103" i="26"/>
  <c r="J103" i="26"/>
  <c r="K103" i="26"/>
  <c r="L103" i="26"/>
  <c r="I104" i="26"/>
  <c r="J104" i="26"/>
  <c r="K104" i="26"/>
  <c r="L104" i="26"/>
  <c r="I105" i="26"/>
  <c r="J105" i="26"/>
  <c r="K105" i="26"/>
  <c r="L105" i="26"/>
  <c r="I106" i="26"/>
  <c r="J106" i="26"/>
  <c r="K106" i="26"/>
  <c r="L106" i="26"/>
  <c r="I107" i="26"/>
  <c r="J107" i="26"/>
  <c r="K107" i="26"/>
  <c r="L107" i="26"/>
  <c r="I108" i="26"/>
  <c r="J108" i="26"/>
  <c r="K108" i="26"/>
  <c r="L108" i="26"/>
  <c r="I109" i="26"/>
  <c r="J109" i="26"/>
  <c r="K109" i="26"/>
  <c r="L109" i="26"/>
  <c r="I110" i="26"/>
  <c r="J110" i="26"/>
  <c r="K110" i="26"/>
  <c r="L110" i="26"/>
  <c r="I111" i="26"/>
  <c r="J111" i="26"/>
  <c r="K111" i="26"/>
  <c r="L111" i="26"/>
  <c r="I112" i="26"/>
  <c r="J112" i="26"/>
  <c r="K112" i="26"/>
  <c r="L112" i="26"/>
  <c r="I113" i="26"/>
  <c r="J113" i="26"/>
  <c r="K113" i="26"/>
  <c r="L113" i="26"/>
  <c r="I114" i="26"/>
  <c r="J114" i="26"/>
  <c r="K114" i="26"/>
  <c r="L114" i="26"/>
  <c r="I115" i="26"/>
  <c r="J115" i="26"/>
  <c r="K115" i="26"/>
  <c r="L115" i="26"/>
  <c r="I116" i="26"/>
  <c r="J116" i="26"/>
  <c r="K116" i="26"/>
  <c r="L116" i="26"/>
  <c r="I117" i="26"/>
  <c r="J117" i="26"/>
  <c r="K117" i="26"/>
  <c r="L117" i="26"/>
  <c r="I118" i="26"/>
  <c r="J118" i="26"/>
  <c r="K118" i="26"/>
  <c r="L118" i="26"/>
  <c r="I119" i="26"/>
  <c r="J119" i="26"/>
  <c r="K119" i="26"/>
  <c r="L119" i="26"/>
  <c r="I120" i="26"/>
  <c r="J120" i="26"/>
  <c r="K120" i="26"/>
  <c r="L120" i="26"/>
  <c r="I121" i="26"/>
  <c r="J121" i="26"/>
  <c r="K121" i="26"/>
  <c r="L121" i="26"/>
  <c r="I122" i="26"/>
  <c r="J122" i="26"/>
  <c r="K122" i="26"/>
  <c r="L122" i="26"/>
  <c r="I123" i="26"/>
  <c r="J123" i="26"/>
  <c r="K123" i="26"/>
  <c r="L123" i="26"/>
  <c r="I124" i="26"/>
  <c r="J124" i="26"/>
  <c r="K124" i="26"/>
  <c r="L124" i="26"/>
  <c r="I125" i="26"/>
  <c r="J125" i="26"/>
  <c r="K125" i="26"/>
  <c r="L125" i="26"/>
  <c r="I126" i="26"/>
  <c r="J126" i="26"/>
  <c r="K126" i="26"/>
  <c r="L126" i="26"/>
  <c r="I127" i="26"/>
  <c r="J127" i="26"/>
  <c r="K127" i="26"/>
  <c r="L127" i="26"/>
  <c r="I128" i="26"/>
  <c r="J128" i="26"/>
  <c r="K128" i="26"/>
  <c r="L128" i="26"/>
  <c r="I129" i="26"/>
  <c r="J129" i="26"/>
  <c r="K129" i="26"/>
  <c r="L129" i="26"/>
  <c r="I130" i="26"/>
  <c r="J130" i="26"/>
  <c r="K130" i="26"/>
  <c r="L130" i="26"/>
  <c r="I131" i="26"/>
  <c r="J131" i="26"/>
  <c r="K131" i="26"/>
  <c r="L131" i="26"/>
  <c r="I132" i="26"/>
  <c r="J132" i="26"/>
  <c r="K132" i="26"/>
  <c r="L132" i="26"/>
  <c r="I133" i="26"/>
  <c r="J133" i="26"/>
  <c r="K133" i="26"/>
  <c r="L133" i="26"/>
  <c r="I134" i="26"/>
  <c r="J134" i="26"/>
  <c r="K134" i="26"/>
  <c r="L134" i="26"/>
  <c r="I135" i="26"/>
  <c r="J135" i="26"/>
  <c r="K135" i="26"/>
  <c r="L135" i="26"/>
  <c r="I136" i="26"/>
  <c r="J136" i="26"/>
  <c r="K136" i="26"/>
  <c r="L136" i="26"/>
  <c r="I137" i="26"/>
  <c r="J137" i="26"/>
  <c r="K137" i="26"/>
  <c r="L137" i="26"/>
  <c r="I138" i="26"/>
  <c r="J138" i="26"/>
  <c r="K138" i="26"/>
  <c r="L138" i="26"/>
  <c r="I139" i="26"/>
  <c r="J139" i="26"/>
  <c r="K139" i="26"/>
  <c r="L139" i="26"/>
  <c r="I140" i="26"/>
  <c r="J140" i="26"/>
  <c r="K140" i="26"/>
  <c r="L140" i="26"/>
  <c r="I141" i="26"/>
  <c r="J141" i="26"/>
  <c r="K141" i="26"/>
  <c r="L141" i="26"/>
  <c r="I142" i="26"/>
  <c r="J142" i="26"/>
  <c r="K142" i="26"/>
  <c r="L142" i="26"/>
  <c r="I143" i="26"/>
  <c r="J143" i="26"/>
  <c r="K143" i="26"/>
  <c r="L143" i="26"/>
  <c r="I144" i="26"/>
  <c r="J144" i="26"/>
  <c r="K144" i="26"/>
  <c r="L144" i="26"/>
  <c r="I145" i="26"/>
  <c r="J145" i="26"/>
  <c r="K145" i="26"/>
  <c r="L145" i="26"/>
  <c r="I146" i="26"/>
  <c r="J146" i="26"/>
  <c r="K146" i="26"/>
  <c r="L146" i="26"/>
  <c r="I147" i="26"/>
  <c r="J147" i="26"/>
  <c r="K147" i="26"/>
  <c r="L147" i="26"/>
  <c r="I148" i="26"/>
  <c r="J148" i="26"/>
  <c r="K148" i="26"/>
  <c r="L148" i="26"/>
  <c r="I149" i="26"/>
  <c r="J149" i="26"/>
  <c r="K149" i="26"/>
  <c r="L149" i="26"/>
  <c r="I150" i="26"/>
  <c r="J150" i="26"/>
  <c r="K150" i="26"/>
  <c r="L150" i="26"/>
  <c r="I151" i="26"/>
  <c r="J151" i="26"/>
  <c r="K151" i="26"/>
  <c r="L151" i="26"/>
  <c r="I152" i="26"/>
  <c r="J152" i="26"/>
  <c r="K152" i="26"/>
  <c r="L152" i="26"/>
  <c r="I153" i="26"/>
  <c r="J153" i="26"/>
  <c r="K153" i="26"/>
  <c r="L153" i="26"/>
  <c r="I154" i="26"/>
  <c r="J154" i="26"/>
  <c r="K154" i="26"/>
  <c r="L154" i="26"/>
  <c r="I155" i="26"/>
  <c r="J155" i="26"/>
  <c r="K155" i="26"/>
  <c r="L155" i="26"/>
  <c r="I156" i="26"/>
  <c r="J156" i="26"/>
  <c r="K156" i="26"/>
  <c r="L156" i="26"/>
  <c r="I157" i="26"/>
  <c r="J157" i="26"/>
  <c r="K157" i="26"/>
  <c r="L157" i="26"/>
  <c r="I158" i="26"/>
  <c r="J158" i="26"/>
  <c r="K158" i="26"/>
  <c r="L158" i="26"/>
  <c r="I159" i="26"/>
  <c r="J159" i="26"/>
  <c r="K159" i="26"/>
  <c r="L159" i="26"/>
  <c r="I160" i="26"/>
  <c r="J160" i="26"/>
  <c r="K160" i="26"/>
  <c r="L160" i="26"/>
  <c r="I161" i="26"/>
  <c r="J161" i="26"/>
  <c r="K161" i="26"/>
  <c r="L161" i="26"/>
  <c r="I162" i="26"/>
  <c r="J162" i="26"/>
  <c r="K162" i="26"/>
  <c r="L162" i="26"/>
  <c r="I163" i="26"/>
  <c r="J163" i="26"/>
  <c r="K163" i="26"/>
  <c r="L163" i="26"/>
  <c r="I164" i="26"/>
  <c r="J164" i="26"/>
  <c r="K164" i="26"/>
  <c r="L164" i="26"/>
  <c r="I165" i="26"/>
  <c r="J165" i="26"/>
  <c r="K165" i="26"/>
  <c r="L165" i="26"/>
  <c r="I166" i="26"/>
  <c r="J166" i="26"/>
  <c r="K166" i="26"/>
  <c r="L166" i="26"/>
  <c r="I167" i="26"/>
  <c r="J167" i="26"/>
  <c r="K167" i="26"/>
  <c r="L167" i="26"/>
  <c r="I168" i="26"/>
  <c r="J168" i="26"/>
  <c r="K168" i="26"/>
  <c r="L168" i="26"/>
  <c r="I169" i="26"/>
  <c r="J169" i="26"/>
  <c r="K169" i="26"/>
  <c r="L169" i="26"/>
  <c r="I170" i="26"/>
  <c r="J170" i="26"/>
  <c r="K170" i="26"/>
  <c r="L170" i="26"/>
  <c r="I171" i="26"/>
  <c r="J171" i="26"/>
  <c r="K171" i="26"/>
  <c r="L171" i="26"/>
  <c r="I172" i="26"/>
  <c r="J172" i="26"/>
  <c r="K172" i="26"/>
  <c r="L172" i="26"/>
  <c r="I173" i="26"/>
  <c r="J173" i="26"/>
  <c r="K173" i="26"/>
  <c r="L173" i="26"/>
  <c r="I174" i="26"/>
  <c r="J174" i="26"/>
  <c r="K174" i="26"/>
  <c r="L174" i="26"/>
  <c r="I175" i="26"/>
  <c r="J175" i="26"/>
  <c r="K175" i="26"/>
  <c r="L175" i="26"/>
  <c r="I176" i="26"/>
  <c r="J176" i="26"/>
  <c r="K176" i="26"/>
  <c r="L176" i="26"/>
  <c r="I177" i="26"/>
  <c r="J177" i="26"/>
  <c r="K177" i="26"/>
  <c r="L177" i="26"/>
  <c r="I178" i="26"/>
  <c r="J178" i="26"/>
  <c r="K178" i="26"/>
  <c r="L178" i="26"/>
  <c r="I179" i="26"/>
  <c r="J179" i="26"/>
  <c r="K179" i="26"/>
  <c r="L179" i="26"/>
  <c r="I180" i="26"/>
  <c r="J180" i="26"/>
  <c r="K180" i="26"/>
  <c r="L180" i="26"/>
  <c r="I181" i="26"/>
  <c r="J181" i="26"/>
  <c r="K181" i="26"/>
  <c r="L181" i="26"/>
  <c r="I182" i="26"/>
  <c r="J182" i="26"/>
  <c r="K182" i="26"/>
  <c r="L182" i="26"/>
  <c r="I183" i="26"/>
  <c r="J183" i="26"/>
  <c r="K183" i="26"/>
  <c r="L183" i="26"/>
  <c r="I184" i="26"/>
  <c r="J184" i="26"/>
  <c r="K184" i="26"/>
  <c r="L184" i="26"/>
  <c r="I185" i="26"/>
  <c r="J185" i="26"/>
  <c r="K185" i="26"/>
  <c r="L185" i="26"/>
  <c r="I186" i="26"/>
  <c r="J186" i="26"/>
  <c r="K186" i="26"/>
  <c r="L186" i="26"/>
  <c r="I187" i="26"/>
  <c r="J187" i="26"/>
  <c r="K187" i="26"/>
  <c r="L187" i="26"/>
  <c r="I188" i="26"/>
  <c r="J188" i="26"/>
  <c r="K188" i="26"/>
  <c r="L188" i="26"/>
  <c r="I189" i="26"/>
  <c r="J189" i="26"/>
  <c r="K189" i="26"/>
  <c r="L189" i="26"/>
  <c r="I190" i="26"/>
  <c r="J190" i="26"/>
  <c r="K190" i="26"/>
  <c r="L190" i="26"/>
  <c r="I191" i="26"/>
  <c r="J191" i="26"/>
  <c r="K191" i="26"/>
  <c r="L191" i="26"/>
  <c r="I192" i="26"/>
  <c r="J192" i="26"/>
  <c r="K192" i="26"/>
  <c r="L192" i="26"/>
  <c r="I193" i="26"/>
  <c r="J193" i="26"/>
  <c r="K193" i="26"/>
  <c r="L193" i="26"/>
  <c r="I194" i="26"/>
  <c r="J194" i="26"/>
  <c r="K194" i="26"/>
  <c r="L194" i="26"/>
  <c r="I195" i="26"/>
  <c r="J195" i="26"/>
  <c r="K195" i="26"/>
  <c r="L195" i="26"/>
  <c r="I196" i="26"/>
  <c r="J196" i="26"/>
  <c r="K196" i="26"/>
  <c r="L196" i="26"/>
  <c r="I197" i="26"/>
  <c r="J197" i="26"/>
  <c r="K197" i="26"/>
  <c r="L197" i="26"/>
  <c r="I198" i="26"/>
  <c r="J198" i="26"/>
  <c r="K198" i="26"/>
  <c r="L198" i="26"/>
  <c r="I199" i="26"/>
  <c r="J199" i="26"/>
  <c r="K199" i="26"/>
  <c r="L199" i="26"/>
  <c r="I200" i="26"/>
  <c r="J200" i="26"/>
  <c r="K200" i="26"/>
  <c r="L200" i="26"/>
  <c r="I201" i="26"/>
  <c r="J201" i="26"/>
  <c r="K201" i="26"/>
  <c r="L201" i="26"/>
  <c r="I202" i="26"/>
  <c r="J202" i="26"/>
  <c r="K202" i="26"/>
  <c r="L202" i="26"/>
  <c r="I203" i="26"/>
  <c r="J203" i="26"/>
  <c r="K203" i="26"/>
  <c r="L203" i="26"/>
  <c r="I204" i="26"/>
  <c r="J204" i="26"/>
  <c r="K204" i="26"/>
  <c r="L204" i="26"/>
  <c r="I205" i="26"/>
  <c r="J205" i="26"/>
  <c r="K205" i="26"/>
  <c r="L205" i="26"/>
  <c r="I206" i="26"/>
  <c r="J206" i="26"/>
  <c r="K206" i="26"/>
  <c r="L206" i="26"/>
  <c r="I207" i="26"/>
  <c r="J207" i="26"/>
  <c r="K207" i="26"/>
  <c r="L207" i="26"/>
  <c r="I208" i="26"/>
  <c r="J208" i="26"/>
  <c r="K208" i="26"/>
  <c r="L208" i="26"/>
  <c r="I209" i="26"/>
  <c r="J209" i="26"/>
  <c r="K209" i="26"/>
  <c r="L209" i="26"/>
  <c r="I210" i="26"/>
  <c r="J210" i="26"/>
  <c r="K210" i="26"/>
  <c r="L210" i="26"/>
  <c r="I211" i="26"/>
  <c r="J211" i="26"/>
  <c r="K211" i="26"/>
  <c r="L211" i="26"/>
  <c r="I212" i="26"/>
  <c r="J212" i="26"/>
  <c r="K212" i="26"/>
  <c r="L212" i="26"/>
  <c r="I213" i="26"/>
  <c r="J213" i="26"/>
  <c r="K213" i="26"/>
  <c r="L213" i="26"/>
  <c r="I214" i="26"/>
  <c r="J214" i="26"/>
  <c r="K214" i="26"/>
  <c r="L214" i="26"/>
  <c r="I215" i="26"/>
  <c r="J215" i="26"/>
  <c r="K215" i="26"/>
  <c r="L215" i="26"/>
  <c r="I216" i="26"/>
  <c r="J216" i="26"/>
  <c r="K216" i="26"/>
  <c r="L216" i="26"/>
  <c r="I217" i="26"/>
  <c r="J217" i="26"/>
  <c r="K217" i="26"/>
  <c r="L217" i="26"/>
  <c r="I218" i="26"/>
  <c r="J218" i="26"/>
  <c r="K218" i="26"/>
  <c r="L218" i="26"/>
  <c r="I219" i="26"/>
  <c r="J219" i="26"/>
  <c r="K219" i="26"/>
  <c r="L219" i="26"/>
  <c r="I220" i="26"/>
  <c r="J220" i="26"/>
  <c r="K220" i="26"/>
  <c r="L220" i="26"/>
  <c r="I221" i="26"/>
  <c r="J221" i="26"/>
  <c r="K221" i="26"/>
  <c r="L221" i="26"/>
  <c r="I222" i="26"/>
  <c r="J222" i="26"/>
  <c r="K222" i="26"/>
  <c r="L222" i="26"/>
  <c r="I223" i="26"/>
  <c r="J223" i="26"/>
  <c r="K223" i="26"/>
  <c r="L223" i="26"/>
  <c r="I224" i="26"/>
  <c r="J224" i="26"/>
  <c r="K224" i="26"/>
  <c r="L224" i="26"/>
  <c r="I225" i="26"/>
  <c r="J225" i="26"/>
  <c r="K225" i="26"/>
  <c r="L225" i="26"/>
  <c r="I226" i="26"/>
  <c r="J226" i="26"/>
  <c r="K226" i="26"/>
  <c r="L226" i="26"/>
  <c r="I227" i="26"/>
  <c r="J227" i="26"/>
  <c r="K227" i="26"/>
  <c r="L227" i="26"/>
  <c r="I228" i="26"/>
  <c r="J228" i="26"/>
  <c r="K228" i="26"/>
  <c r="L228" i="26"/>
  <c r="I229" i="26"/>
  <c r="J229" i="26"/>
  <c r="K229" i="26"/>
  <c r="L229" i="26"/>
  <c r="I230" i="26"/>
  <c r="J230" i="26"/>
  <c r="K230" i="26"/>
  <c r="L230" i="26"/>
  <c r="I231" i="26"/>
  <c r="J231" i="26"/>
  <c r="K231" i="26"/>
  <c r="L231" i="26"/>
  <c r="I232" i="26"/>
  <c r="J232" i="26"/>
  <c r="K232" i="26"/>
  <c r="L232" i="26"/>
  <c r="I233" i="26"/>
  <c r="J233" i="26"/>
  <c r="K233" i="26"/>
  <c r="L233" i="26"/>
  <c r="I234" i="26"/>
  <c r="J234" i="26"/>
  <c r="K234" i="26"/>
  <c r="L234" i="26"/>
  <c r="I235" i="26"/>
  <c r="J235" i="26"/>
  <c r="K235" i="26"/>
  <c r="L235" i="26"/>
  <c r="I236" i="26"/>
  <c r="J236" i="26"/>
  <c r="K236" i="26"/>
  <c r="L236" i="26"/>
  <c r="I237" i="26"/>
  <c r="J237" i="26"/>
  <c r="K237" i="26"/>
  <c r="L237" i="26"/>
  <c r="I238" i="26"/>
  <c r="J238" i="26"/>
  <c r="K238" i="26"/>
  <c r="L238" i="26"/>
  <c r="I239" i="26"/>
  <c r="J239" i="26"/>
  <c r="K239" i="26"/>
  <c r="L239" i="26"/>
  <c r="I240" i="26"/>
  <c r="J240" i="26"/>
  <c r="K240" i="26"/>
  <c r="L240" i="26"/>
  <c r="I241" i="26"/>
  <c r="J241" i="26"/>
  <c r="K241" i="26"/>
  <c r="L241" i="26"/>
  <c r="I242" i="26"/>
  <c r="J242" i="26"/>
  <c r="K242" i="26"/>
  <c r="L242" i="26"/>
  <c r="I243" i="26"/>
  <c r="J243" i="26"/>
  <c r="K243" i="26"/>
  <c r="L243" i="26"/>
  <c r="I244" i="26"/>
  <c r="J244" i="26"/>
  <c r="K244" i="26"/>
  <c r="L244" i="26"/>
  <c r="I245" i="26"/>
  <c r="J245" i="26"/>
  <c r="K245" i="26"/>
  <c r="L245" i="26"/>
  <c r="I246" i="26"/>
  <c r="J246" i="26"/>
  <c r="K246" i="26"/>
  <c r="L246" i="26"/>
  <c r="I247" i="26"/>
  <c r="J247" i="26"/>
  <c r="K247" i="26"/>
  <c r="L247" i="26"/>
  <c r="I248" i="26"/>
  <c r="J248" i="26"/>
  <c r="K248" i="26"/>
  <c r="L248" i="26"/>
  <c r="I249" i="26"/>
  <c r="J249" i="26"/>
  <c r="K249" i="26"/>
  <c r="L249" i="26"/>
  <c r="I250" i="26"/>
  <c r="J250" i="26"/>
  <c r="K250" i="26"/>
  <c r="L250" i="26"/>
  <c r="I251" i="26"/>
  <c r="J251" i="26"/>
  <c r="K251" i="26"/>
  <c r="L251" i="26"/>
  <c r="I252" i="26"/>
  <c r="J252" i="26"/>
  <c r="K252" i="26"/>
  <c r="L252" i="26"/>
  <c r="I253" i="26"/>
  <c r="J253" i="26"/>
  <c r="K253" i="26"/>
  <c r="L253" i="26"/>
  <c r="I254" i="26"/>
  <c r="J254" i="26"/>
  <c r="K254" i="26"/>
  <c r="L254" i="26"/>
  <c r="I255" i="26"/>
  <c r="J255" i="26"/>
  <c r="K255" i="26"/>
  <c r="L255" i="26"/>
  <c r="I256" i="26"/>
  <c r="J256" i="26"/>
  <c r="K256" i="26"/>
  <c r="L256" i="26"/>
  <c r="I257" i="26"/>
  <c r="J257" i="26"/>
  <c r="K257" i="26"/>
  <c r="L257" i="26"/>
  <c r="I258" i="26"/>
  <c r="J258" i="26"/>
  <c r="K258" i="26"/>
  <c r="L258" i="26"/>
  <c r="I259" i="26"/>
  <c r="J259" i="26"/>
  <c r="K259" i="26"/>
  <c r="L259" i="26"/>
  <c r="I260" i="26"/>
  <c r="J260" i="26"/>
  <c r="K260" i="26"/>
  <c r="L260" i="26"/>
  <c r="I261" i="26"/>
  <c r="J261" i="26"/>
  <c r="K261" i="26"/>
  <c r="L261" i="26"/>
  <c r="I262" i="26"/>
  <c r="J262" i="26"/>
  <c r="K262" i="26"/>
  <c r="L262" i="26"/>
  <c r="I263" i="26"/>
  <c r="J263" i="26"/>
  <c r="K263" i="26"/>
  <c r="L263" i="26"/>
  <c r="I264" i="26"/>
  <c r="J264" i="26"/>
  <c r="K264" i="26"/>
  <c r="L264" i="26"/>
  <c r="I265" i="26"/>
  <c r="J265" i="26"/>
  <c r="K265" i="26"/>
  <c r="L265" i="26"/>
  <c r="I266" i="26"/>
  <c r="J266" i="26"/>
  <c r="K266" i="26"/>
  <c r="L266" i="26"/>
  <c r="I267" i="26"/>
  <c r="J267" i="26"/>
  <c r="K267" i="26"/>
  <c r="L267" i="26"/>
  <c r="I268" i="26"/>
  <c r="J268" i="26"/>
  <c r="K268" i="26"/>
  <c r="L268" i="26"/>
  <c r="I269" i="26"/>
  <c r="J269" i="26"/>
  <c r="K269" i="26"/>
  <c r="L269" i="26"/>
  <c r="I270" i="26"/>
  <c r="J270" i="26"/>
  <c r="K270" i="26"/>
  <c r="L270" i="26"/>
  <c r="I271" i="26"/>
  <c r="J271" i="26"/>
  <c r="K271" i="26"/>
  <c r="L271" i="26"/>
  <c r="I272" i="26"/>
  <c r="J272" i="26"/>
  <c r="K272" i="26"/>
  <c r="L272" i="26"/>
  <c r="I273" i="26"/>
  <c r="J273" i="26"/>
  <c r="K273" i="26"/>
  <c r="L273" i="26"/>
  <c r="I274" i="26"/>
  <c r="J274" i="26"/>
  <c r="K274" i="26"/>
  <c r="L274" i="26"/>
  <c r="I275" i="26"/>
  <c r="J275" i="26"/>
  <c r="K275" i="26"/>
  <c r="L275" i="26"/>
  <c r="I276" i="26"/>
  <c r="J276" i="26"/>
  <c r="K276" i="26"/>
  <c r="L276" i="26"/>
  <c r="I277" i="26"/>
  <c r="J277" i="26"/>
  <c r="K277" i="26"/>
  <c r="L277" i="26"/>
  <c r="I278" i="26"/>
  <c r="J278" i="26"/>
  <c r="K278" i="26"/>
  <c r="L278" i="26"/>
  <c r="I279" i="26"/>
  <c r="J279" i="26"/>
  <c r="K279" i="26"/>
  <c r="L279" i="26"/>
  <c r="I280" i="26"/>
  <c r="J280" i="26"/>
  <c r="K280" i="26"/>
  <c r="L280" i="26"/>
  <c r="I281" i="26"/>
  <c r="J281" i="26"/>
  <c r="K281" i="26"/>
  <c r="L281" i="26"/>
  <c r="I282" i="26"/>
  <c r="J282" i="26"/>
  <c r="K282" i="26"/>
  <c r="L282" i="26"/>
  <c r="I283" i="26"/>
  <c r="J283" i="26"/>
  <c r="K283" i="26"/>
  <c r="L283" i="26"/>
  <c r="I284" i="26"/>
  <c r="J284" i="26"/>
  <c r="K284" i="26"/>
  <c r="L284" i="26"/>
  <c r="I285" i="26"/>
  <c r="J285" i="26"/>
  <c r="K285" i="26"/>
  <c r="L285" i="26"/>
  <c r="I286" i="26"/>
  <c r="J286" i="26"/>
  <c r="K286" i="26"/>
  <c r="L286" i="26"/>
  <c r="I287" i="26"/>
  <c r="J287" i="26"/>
  <c r="K287" i="26"/>
  <c r="L287" i="26"/>
  <c r="I288" i="26"/>
  <c r="J288" i="26"/>
  <c r="K288" i="26"/>
  <c r="L288" i="26"/>
  <c r="I289" i="26"/>
  <c r="J289" i="26"/>
  <c r="K289" i="26"/>
  <c r="L289" i="26"/>
  <c r="I290" i="26"/>
  <c r="J290" i="26"/>
  <c r="K290" i="26"/>
  <c r="L290" i="26"/>
  <c r="I291" i="26"/>
  <c r="J291" i="26"/>
  <c r="K291" i="26"/>
  <c r="L291" i="26"/>
  <c r="I292" i="26"/>
  <c r="J292" i="26"/>
  <c r="K292" i="26"/>
  <c r="L292" i="26"/>
  <c r="I293" i="26"/>
  <c r="J293" i="26"/>
  <c r="K293" i="26"/>
  <c r="L293" i="26"/>
  <c r="I294" i="26"/>
  <c r="J294" i="26"/>
  <c r="K294" i="26"/>
  <c r="L294" i="26"/>
  <c r="I295" i="26"/>
  <c r="J295" i="26"/>
  <c r="K295" i="26"/>
  <c r="L295" i="26"/>
  <c r="I296" i="26"/>
  <c r="J296" i="26"/>
  <c r="K296" i="26"/>
  <c r="L296" i="26"/>
  <c r="I297" i="26"/>
  <c r="J297" i="26"/>
  <c r="K297" i="26"/>
  <c r="L297" i="26"/>
  <c r="I298" i="26"/>
  <c r="J298" i="26"/>
  <c r="K298" i="26"/>
  <c r="L298" i="26"/>
  <c r="I299" i="26"/>
  <c r="J299" i="26"/>
  <c r="K299" i="26"/>
  <c r="L299" i="26"/>
  <c r="I300" i="26"/>
  <c r="J300" i="26"/>
  <c r="K300" i="26"/>
  <c r="L300" i="26"/>
  <c r="I301" i="26"/>
  <c r="J301" i="26"/>
  <c r="K301" i="26"/>
  <c r="L301" i="26"/>
  <c r="I302" i="26"/>
  <c r="J302" i="26"/>
  <c r="K302" i="26"/>
  <c r="L302" i="26"/>
  <c r="I303" i="26"/>
  <c r="J303" i="26"/>
  <c r="K303" i="26"/>
  <c r="L303" i="26"/>
  <c r="I304" i="26"/>
  <c r="J304" i="26"/>
  <c r="K304" i="26"/>
  <c r="L304" i="26"/>
  <c r="I305" i="26"/>
  <c r="J305" i="26"/>
  <c r="K305" i="26"/>
  <c r="L305" i="26"/>
  <c r="I306" i="26"/>
  <c r="J306" i="26"/>
  <c r="K306" i="26"/>
  <c r="L306" i="26"/>
  <c r="I307" i="26"/>
  <c r="J307" i="26"/>
  <c r="K307" i="26"/>
  <c r="L307" i="26"/>
  <c r="I308" i="26"/>
  <c r="J308" i="26"/>
  <c r="K308" i="26"/>
  <c r="L308" i="26"/>
  <c r="I309" i="26"/>
  <c r="J309" i="26"/>
  <c r="K309" i="26"/>
  <c r="L309" i="26"/>
  <c r="I310" i="26"/>
  <c r="J310" i="26"/>
  <c r="K310" i="26"/>
  <c r="L310" i="26"/>
  <c r="I311" i="26"/>
  <c r="J311" i="26"/>
  <c r="K311" i="26"/>
  <c r="L311" i="26"/>
  <c r="I312" i="26"/>
  <c r="J312" i="26"/>
  <c r="K312" i="26"/>
  <c r="L312" i="26"/>
  <c r="I313" i="26"/>
  <c r="J313" i="26"/>
  <c r="K313" i="26"/>
  <c r="L313" i="26"/>
  <c r="I314" i="26"/>
  <c r="J314" i="26"/>
  <c r="K314" i="26"/>
  <c r="L314" i="26"/>
  <c r="I315" i="26"/>
  <c r="J315" i="26"/>
  <c r="K315" i="26"/>
  <c r="L315" i="26"/>
  <c r="I316" i="26"/>
  <c r="J316" i="26"/>
  <c r="K316" i="26"/>
  <c r="L316" i="26"/>
  <c r="I317" i="26"/>
  <c r="J317" i="26"/>
  <c r="K317" i="26"/>
  <c r="L317" i="26"/>
  <c r="I318" i="26"/>
  <c r="J318" i="26"/>
  <c r="K318" i="26"/>
  <c r="L318" i="26"/>
  <c r="I319" i="26"/>
  <c r="J319" i="26"/>
  <c r="K319" i="26"/>
  <c r="L319" i="26"/>
  <c r="I320" i="26"/>
  <c r="J320" i="26"/>
  <c r="K320" i="26"/>
  <c r="L320" i="26"/>
  <c r="I321" i="26"/>
  <c r="J321" i="26"/>
  <c r="K321" i="26"/>
  <c r="L321" i="26"/>
  <c r="I322" i="26"/>
  <c r="J322" i="26"/>
  <c r="K322" i="26"/>
  <c r="L322" i="26"/>
  <c r="I323" i="26"/>
  <c r="J323" i="26"/>
  <c r="K323" i="26"/>
  <c r="L323" i="26"/>
  <c r="I324" i="26"/>
  <c r="J324" i="26"/>
  <c r="K324" i="26"/>
  <c r="L324" i="26"/>
  <c r="I325" i="26"/>
  <c r="J325" i="26"/>
  <c r="K325" i="26"/>
  <c r="L325" i="26"/>
  <c r="I326" i="26"/>
  <c r="J326" i="26"/>
  <c r="K326" i="26"/>
  <c r="L326" i="26"/>
  <c r="I327" i="26"/>
  <c r="J327" i="26"/>
  <c r="K327" i="26"/>
  <c r="L327" i="26"/>
  <c r="I328" i="26"/>
  <c r="J328" i="26"/>
  <c r="K328" i="26"/>
  <c r="L328" i="26"/>
  <c r="I329" i="26"/>
  <c r="J329" i="26"/>
  <c r="K329" i="26"/>
  <c r="L329" i="26"/>
  <c r="I330" i="26"/>
  <c r="J330" i="26"/>
  <c r="K330" i="26"/>
  <c r="L330" i="26"/>
  <c r="I331" i="26"/>
  <c r="J331" i="26"/>
  <c r="K331" i="26"/>
  <c r="L331" i="26"/>
  <c r="I332" i="26"/>
  <c r="J332" i="26"/>
  <c r="K332" i="26"/>
  <c r="L332" i="26"/>
  <c r="I333" i="26"/>
  <c r="J333" i="26"/>
  <c r="K333" i="26"/>
  <c r="L333" i="26"/>
  <c r="I334" i="26"/>
  <c r="J334" i="26"/>
  <c r="K334" i="26"/>
  <c r="L334" i="26"/>
  <c r="I335" i="26"/>
  <c r="J335" i="26"/>
  <c r="K335" i="26"/>
  <c r="L335" i="26"/>
  <c r="I336" i="26"/>
  <c r="J336" i="26"/>
  <c r="K336" i="26"/>
  <c r="L336" i="26"/>
  <c r="I337" i="26"/>
  <c r="J337" i="26"/>
  <c r="K337" i="26"/>
  <c r="L337" i="26"/>
  <c r="I338" i="26"/>
  <c r="J338" i="26"/>
  <c r="K338" i="26"/>
  <c r="L338" i="26"/>
  <c r="I339" i="26"/>
  <c r="J339" i="26"/>
  <c r="K339" i="26"/>
  <c r="L339" i="26"/>
  <c r="I340" i="26"/>
  <c r="J340" i="26"/>
  <c r="K340" i="26"/>
  <c r="L340" i="26"/>
  <c r="I341" i="26"/>
  <c r="J341" i="26"/>
  <c r="K341" i="26"/>
  <c r="L341" i="26"/>
  <c r="I342" i="26"/>
  <c r="J342" i="26"/>
  <c r="K342" i="26"/>
  <c r="L342" i="26"/>
  <c r="I343" i="26"/>
  <c r="J343" i="26"/>
  <c r="K343" i="26"/>
  <c r="L343" i="26"/>
  <c r="I344" i="26"/>
  <c r="J344" i="26"/>
  <c r="K344" i="26"/>
  <c r="L344" i="26"/>
  <c r="I345" i="26"/>
  <c r="J345" i="26"/>
  <c r="K345" i="26"/>
  <c r="L345" i="26"/>
  <c r="I346" i="26"/>
  <c r="J346" i="26"/>
  <c r="K346" i="26"/>
  <c r="L346" i="26"/>
  <c r="I347" i="26"/>
  <c r="J347" i="26"/>
  <c r="K347" i="26"/>
  <c r="L347" i="26"/>
  <c r="I348" i="26"/>
  <c r="J348" i="26"/>
  <c r="K348" i="26"/>
  <c r="L348" i="26"/>
  <c r="I349" i="26"/>
  <c r="J349" i="26"/>
  <c r="K349" i="26"/>
  <c r="L349" i="26"/>
  <c r="I350" i="26"/>
  <c r="J350" i="26"/>
  <c r="K350" i="26"/>
  <c r="L350" i="26"/>
  <c r="I351" i="26"/>
  <c r="J351" i="26"/>
  <c r="K351" i="26"/>
  <c r="L351" i="26"/>
  <c r="I352" i="26"/>
  <c r="J352" i="26"/>
  <c r="K352" i="26"/>
  <c r="L352" i="26"/>
  <c r="I353" i="26"/>
  <c r="J353" i="26"/>
  <c r="K353" i="26"/>
  <c r="L353" i="26"/>
  <c r="I354" i="26"/>
  <c r="J354" i="26"/>
  <c r="K354" i="26"/>
  <c r="L354" i="26"/>
  <c r="I355" i="26"/>
  <c r="J355" i="26"/>
  <c r="K355" i="26"/>
  <c r="L355" i="26"/>
  <c r="I356" i="26"/>
  <c r="J356" i="26"/>
  <c r="K356" i="26"/>
  <c r="L356" i="26"/>
  <c r="I357" i="26"/>
  <c r="J357" i="26"/>
  <c r="K357" i="26"/>
  <c r="L357" i="26"/>
  <c r="I358" i="26"/>
  <c r="J358" i="26"/>
  <c r="K358" i="26"/>
  <c r="L358" i="26"/>
  <c r="I359" i="26"/>
  <c r="J359" i="26"/>
  <c r="K359" i="26"/>
  <c r="L359" i="26"/>
  <c r="I360" i="26"/>
  <c r="J360" i="26"/>
  <c r="K360" i="26"/>
  <c r="L360" i="26"/>
  <c r="I361" i="26"/>
  <c r="J361" i="26"/>
  <c r="K361" i="26"/>
  <c r="L361" i="26"/>
  <c r="I362" i="26"/>
  <c r="J362" i="26"/>
  <c r="K362" i="26"/>
  <c r="L362" i="26"/>
  <c r="I363" i="26"/>
  <c r="J363" i="26"/>
  <c r="K363" i="26"/>
  <c r="L363" i="26"/>
  <c r="I364" i="26"/>
  <c r="J364" i="26"/>
  <c r="K364" i="26"/>
  <c r="L364" i="26"/>
  <c r="I365" i="26"/>
  <c r="J365" i="26"/>
  <c r="K365" i="26"/>
  <c r="L365" i="26"/>
  <c r="I366" i="26"/>
  <c r="J366" i="26"/>
  <c r="K366" i="26"/>
  <c r="L366" i="26"/>
  <c r="I367" i="26"/>
  <c r="J367" i="26"/>
  <c r="K367" i="26"/>
  <c r="L367" i="26"/>
  <c r="I368" i="26"/>
  <c r="J368" i="26"/>
  <c r="K368" i="26"/>
  <c r="L368" i="26"/>
  <c r="I369" i="26"/>
  <c r="J369" i="26"/>
  <c r="K369" i="26"/>
  <c r="L369" i="26"/>
  <c r="I370" i="26"/>
  <c r="J370" i="26"/>
  <c r="K370" i="26"/>
  <c r="L370" i="26"/>
  <c r="I371" i="26"/>
  <c r="J371" i="26"/>
  <c r="K371" i="26"/>
  <c r="L371" i="26"/>
  <c r="I372" i="26"/>
  <c r="J372" i="26"/>
  <c r="K372" i="26"/>
  <c r="L372" i="26"/>
  <c r="I373" i="26"/>
  <c r="J373" i="26"/>
  <c r="K373" i="26"/>
  <c r="L373" i="26"/>
  <c r="I374" i="26"/>
  <c r="J374" i="26"/>
  <c r="K374" i="26"/>
  <c r="L374" i="26"/>
  <c r="I375" i="26"/>
  <c r="J375" i="26"/>
  <c r="K375" i="26"/>
  <c r="L375" i="26"/>
  <c r="I376" i="26"/>
  <c r="J376" i="26"/>
  <c r="K376" i="26"/>
  <c r="L376" i="26"/>
  <c r="I377" i="26"/>
  <c r="J377" i="26"/>
  <c r="K377" i="26"/>
  <c r="L377" i="26"/>
  <c r="I378" i="26"/>
  <c r="J378" i="26"/>
  <c r="K378" i="26"/>
  <c r="L378" i="26"/>
  <c r="I379" i="26"/>
  <c r="J379" i="26"/>
  <c r="K379" i="26"/>
  <c r="L379" i="26"/>
  <c r="I380" i="26"/>
  <c r="J380" i="26"/>
  <c r="K380" i="26"/>
  <c r="L380" i="26"/>
  <c r="I381" i="26"/>
  <c r="J381" i="26"/>
  <c r="K381" i="26"/>
  <c r="L381" i="26"/>
  <c r="I382" i="26"/>
  <c r="J382" i="26"/>
  <c r="K382" i="26"/>
  <c r="L382" i="26"/>
  <c r="CS8" i="8"/>
  <c r="CS7" i="8"/>
  <c r="CS6" i="8"/>
  <c r="CP8" i="8"/>
  <c r="CP7" i="8"/>
  <c r="CP6" i="8"/>
  <c r="CM8" i="8"/>
  <c r="CM7" i="8"/>
  <c r="CM6" i="8"/>
  <c r="CS10" i="8"/>
  <c r="CS11" i="8"/>
  <c r="CS12" i="8"/>
  <c r="CS13" i="8"/>
  <c r="CS14" i="8"/>
  <c r="CS15" i="8"/>
  <c r="CS16" i="8"/>
  <c r="CS17" i="8"/>
  <c r="CS18" i="8"/>
  <c r="CS19" i="8"/>
  <c r="CS20" i="8"/>
  <c r="CS21" i="8"/>
  <c r="CS22" i="8"/>
  <c r="CS23" i="8"/>
  <c r="CS24" i="8"/>
  <c r="CS25" i="8"/>
  <c r="CS26" i="8"/>
  <c r="CS27" i="8"/>
  <c r="CS28" i="8"/>
  <c r="CS29" i="8"/>
  <c r="CS30" i="8"/>
  <c r="CS31" i="8"/>
  <c r="CS32" i="8"/>
  <c r="CS33" i="8"/>
  <c r="CS34" i="8"/>
  <c r="CS35" i="8"/>
  <c r="CS36" i="8"/>
  <c r="CS37" i="8"/>
  <c r="CS38" i="8"/>
  <c r="CS39" i="8"/>
  <c r="CS40" i="8"/>
  <c r="CS41" i="8"/>
  <c r="CS42" i="8"/>
  <c r="CS43" i="8"/>
  <c r="CS44" i="8"/>
  <c r="CS45" i="8"/>
  <c r="CS46" i="8"/>
  <c r="CS47" i="8"/>
  <c r="CS48" i="8"/>
  <c r="CS49" i="8"/>
  <c r="CS50" i="8"/>
  <c r="CS51" i="8"/>
  <c r="CS52" i="8"/>
  <c r="CS53" i="8"/>
  <c r="CS54" i="8"/>
  <c r="CS55" i="8"/>
  <c r="CS56" i="8"/>
  <c r="CS57" i="8"/>
  <c r="CS58" i="8"/>
  <c r="CS59" i="8"/>
  <c r="CS60" i="8"/>
  <c r="CS61" i="8"/>
  <c r="CS62" i="8"/>
  <c r="CS63" i="8"/>
  <c r="CS64" i="8"/>
  <c r="CS65" i="8"/>
  <c r="CS66" i="8"/>
  <c r="CS67" i="8"/>
  <c r="CS68" i="8"/>
  <c r="CS69" i="8"/>
  <c r="CS70" i="8"/>
  <c r="CS71" i="8"/>
  <c r="CS72" i="8"/>
  <c r="CS73" i="8"/>
  <c r="CS74" i="8"/>
  <c r="CS75" i="8"/>
  <c r="CS76" i="8"/>
  <c r="CS77" i="8"/>
  <c r="CS78" i="8"/>
  <c r="CS79" i="8"/>
  <c r="CS80" i="8"/>
  <c r="CS81" i="8"/>
  <c r="CS82" i="8"/>
  <c r="CS83" i="8"/>
  <c r="CS84" i="8"/>
  <c r="CS85" i="8"/>
  <c r="CS86" i="8"/>
  <c r="CS87" i="8"/>
  <c r="CS88" i="8"/>
  <c r="CS89" i="8"/>
  <c r="CS90" i="8"/>
  <c r="CS91" i="8"/>
  <c r="CS92" i="8"/>
  <c r="CS93" i="8"/>
  <c r="CS94" i="8"/>
  <c r="CS95" i="8"/>
  <c r="CS96" i="8"/>
  <c r="CS97" i="8"/>
  <c r="CS98" i="8"/>
  <c r="CS99" i="8"/>
  <c r="CS100" i="8"/>
  <c r="CS101" i="8"/>
  <c r="CS102" i="8"/>
  <c r="CS103" i="8"/>
  <c r="CS104" i="8"/>
  <c r="CS105" i="8"/>
  <c r="CS106" i="8"/>
  <c r="CS107" i="8"/>
  <c r="CS108" i="8"/>
  <c r="CS109" i="8"/>
  <c r="CS110" i="8"/>
  <c r="CS111" i="8"/>
  <c r="CS112" i="8"/>
  <c r="CS113" i="8"/>
  <c r="CS114" i="8"/>
  <c r="CS115" i="8"/>
  <c r="CS116" i="8"/>
  <c r="CS117" i="8"/>
  <c r="CS118" i="8"/>
  <c r="CS119" i="8"/>
  <c r="CS120" i="8"/>
  <c r="CS121" i="8"/>
  <c r="CS122" i="8"/>
  <c r="CS123" i="8"/>
  <c r="CS124" i="8"/>
  <c r="CS125" i="8"/>
  <c r="CS126" i="8"/>
  <c r="CS127" i="8"/>
  <c r="CS128" i="8"/>
  <c r="CS129" i="8"/>
  <c r="CS130" i="8"/>
  <c r="CS131" i="8"/>
  <c r="CS132" i="8"/>
  <c r="CS133" i="8"/>
  <c r="CS134" i="8"/>
  <c r="CS135" i="8"/>
  <c r="CS136" i="8"/>
  <c r="CS137" i="8"/>
  <c r="CS138" i="8"/>
  <c r="CS139" i="8"/>
  <c r="CS140" i="8"/>
  <c r="CS141" i="8"/>
  <c r="CS142" i="8"/>
  <c r="CS143" i="8"/>
  <c r="CS144" i="8"/>
  <c r="CS145" i="8"/>
  <c r="CS146" i="8"/>
  <c r="CS147" i="8"/>
  <c r="CS148" i="8"/>
  <c r="CS149" i="8"/>
  <c r="CS150" i="8"/>
  <c r="CS151" i="8"/>
  <c r="CS152" i="8"/>
  <c r="CS153" i="8"/>
  <c r="CS154" i="8"/>
  <c r="CS155" i="8"/>
  <c r="CS156" i="8"/>
  <c r="CS157" i="8"/>
  <c r="CS158" i="8"/>
  <c r="CS159" i="8"/>
  <c r="CS160" i="8"/>
  <c r="CS161" i="8"/>
  <c r="CS162" i="8"/>
  <c r="CS163" i="8"/>
  <c r="CS164" i="8"/>
  <c r="CS165" i="8"/>
  <c r="CS166" i="8"/>
  <c r="CS167" i="8"/>
  <c r="CS168" i="8"/>
  <c r="CS169" i="8"/>
  <c r="CS170" i="8"/>
  <c r="CS171" i="8"/>
  <c r="CS172" i="8"/>
  <c r="CS173" i="8"/>
  <c r="CS174" i="8"/>
  <c r="CS175" i="8"/>
  <c r="CS176" i="8"/>
  <c r="CS177" i="8"/>
  <c r="CS178" i="8"/>
  <c r="CS179" i="8"/>
  <c r="CS180" i="8"/>
  <c r="CS181" i="8"/>
  <c r="CS182" i="8"/>
  <c r="CS183" i="8"/>
  <c r="CS184" i="8"/>
  <c r="CS185" i="8"/>
  <c r="CS186" i="8"/>
  <c r="CS187" i="8"/>
  <c r="CS188" i="8"/>
  <c r="CS189" i="8"/>
  <c r="CS190" i="8"/>
  <c r="CS191" i="8"/>
  <c r="CS192" i="8"/>
  <c r="CS193" i="8"/>
  <c r="CS194" i="8"/>
  <c r="CS195" i="8"/>
  <c r="CS196" i="8"/>
  <c r="CS197" i="8"/>
  <c r="CS198" i="8"/>
  <c r="CS199" i="8"/>
  <c r="CS200" i="8"/>
  <c r="CS201" i="8"/>
  <c r="CS202" i="8"/>
  <c r="CS203" i="8"/>
  <c r="CS204" i="8"/>
  <c r="CS205" i="8"/>
  <c r="CS206" i="8"/>
  <c r="CS207" i="8"/>
  <c r="CS208" i="8"/>
  <c r="CS209" i="8"/>
  <c r="CS210" i="8"/>
  <c r="CS211" i="8"/>
  <c r="CS212" i="8"/>
  <c r="CS213" i="8"/>
  <c r="CS214" i="8"/>
  <c r="CS215" i="8"/>
  <c r="CS216" i="8"/>
  <c r="CS217" i="8"/>
  <c r="CS218" i="8"/>
  <c r="CS219" i="8"/>
  <c r="CS220" i="8"/>
  <c r="CS221" i="8"/>
  <c r="CS222" i="8"/>
  <c r="CS223" i="8"/>
  <c r="CS224" i="8"/>
  <c r="CS225" i="8"/>
  <c r="CS226" i="8"/>
  <c r="CS227" i="8"/>
  <c r="CS228" i="8"/>
  <c r="CS229" i="8"/>
  <c r="CS230" i="8"/>
  <c r="CS231" i="8"/>
  <c r="CS232" i="8"/>
  <c r="CS233" i="8"/>
  <c r="CS234" i="8"/>
  <c r="CS235" i="8"/>
  <c r="CS236" i="8"/>
  <c r="CS237" i="8"/>
  <c r="CS238" i="8"/>
  <c r="CS239" i="8"/>
  <c r="CS240" i="8"/>
  <c r="CS241" i="8"/>
  <c r="CS242" i="8"/>
  <c r="CS243" i="8"/>
  <c r="CS244" i="8"/>
  <c r="CS245" i="8"/>
  <c r="CS246" i="8"/>
  <c r="CS247" i="8"/>
  <c r="CS248" i="8"/>
  <c r="CS249" i="8"/>
  <c r="CS250" i="8"/>
  <c r="CS251" i="8"/>
  <c r="CS252" i="8"/>
  <c r="CS253" i="8"/>
  <c r="CS254" i="8"/>
  <c r="CS255" i="8"/>
  <c r="CS256" i="8"/>
  <c r="CS257" i="8"/>
  <c r="CS258" i="8"/>
  <c r="CS259" i="8"/>
  <c r="CS260" i="8"/>
  <c r="CS261" i="8"/>
  <c r="CS262" i="8"/>
  <c r="CS263" i="8"/>
  <c r="CS264" i="8"/>
  <c r="CS265" i="8"/>
  <c r="CS266" i="8"/>
  <c r="CS267" i="8"/>
  <c r="CS268" i="8"/>
  <c r="CS269" i="8"/>
  <c r="CS270" i="8"/>
  <c r="CS271" i="8"/>
  <c r="CS272" i="8"/>
  <c r="CS273" i="8"/>
  <c r="CS274" i="8"/>
  <c r="CS275" i="8"/>
  <c r="CS276" i="8"/>
  <c r="CS277" i="8"/>
  <c r="CS278" i="8"/>
  <c r="CS279" i="8"/>
  <c r="CS280" i="8"/>
  <c r="CS281" i="8"/>
  <c r="CS282" i="8"/>
  <c r="CS283" i="8"/>
  <c r="CS284" i="8"/>
  <c r="CS285" i="8"/>
  <c r="CS286" i="8"/>
  <c r="CS287" i="8"/>
  <c r="CS288" i="8"/>
  <c r="CS289" i="8"/>
  <c r="CS290" i="8"/>
  <c r="CS291" i="8"/>
  <c r="CS292" i="8"/>
  <c r="CS293" i="8"/>
  <c r="CS294" i="8"/>
  <c r="CS295" i="8"/>
  <c r="CS296" i="8"/>
  <c r="CS297" i="8"/>
  <c r="CS298" i="8"/>
  <c r="CS299" i="8"/>
  <c r="CS300" i="8"/>
  <c r="CS301" i="8"/>
  <c r="CS302" i="8"/>
  <c r="CS303" i="8"/>
  <c r="CS304" i="8"/>
  <c r="CS305" i="8"/>
  <c r="CS306" i="8"/>
  <c r="CS307" i="8"/>
  <c r="CS308" i="8"/>
  <c r="CS309" i="8"/>
  <c r="CS310" i="8"/>
  <c r="CS311" i="8"/>
  <c r="CS312" i="8"/>
  <c r="CS313" i="8"/>
  <c r="CS314" i="8"/>
  <c r="CS315" i="8"/>
  <c r="CS316" i="8"/>
  <c r="CS317" i="8"/>
  <c r="CS318" i="8"/>
  <c r="CS319" i="8"/>
  <c r="CS320" i="8"/>
  <c r="CS321" i="8"/>
  <c r="CS322" i="8"/>
  <c r="CS323" i="8"/>
  <c r="CS324" i="8"/>
  <c r="CS325" i="8"/>
  <c r="CS326" i="8"/>
  <c r="CS327" i="8"/>
  <c r="CS328" i="8"/>
  <c r="CS329" i="8"/>
  <c r="CS330" i="8"/>
  <c r="CS331" i="8"/>
  <c r="CS332" i="8"/>
  <c r="CS333" i="8"/>
  <c r="CS334" i="8"/>
  <c r="CS335" i="8"/>
  <c r="CS336" i="8"/>
  <c r="CS337" i="8"/>
  <c r="CS338" i="8"/>
  <c r="CS339" i="8"/>
  <c r="CS340" i="8"/>
  <c r="CS341" i="8"/>
  <c r="CS342" i="8"/>
  <c r="CS343" i="8"/>
  <c r="CS344" i="8"/>
  <c r="CS345" i="8"/>
  <c r="CS346" i="8"/>
  <c r="CS347" i="8"/>
  <c r="CS348" i="8"/>
  <c r="CS349" i="8"/>
  <c r="CS350" i="8"/>
  <c r="CS351" i="8"/>
  <c r="CS352" i="8"/>
  <c r="CS353" i="8"/>
  <c r="CS354" i="8"/>
  <c r="CS355" i="8"/>
  <c r="CS356" i="8"/>
  <c r="CS357" i="8"/>
  <c r="CS358" i="8"/>
  <c r="CS359" i="8"/>
  <c r="CS360" i="8"/>
  <c r="CS361" i="8"/>
  <c r="CS362" i="8"/>
  <c r="CS363" i="8"/>
  <c r="CS364" i="8"/>
  <c r="CS365" i="8"/>
  <c r="CS366" i="8"/>
  <c r="CS367" i="8"/>
  <c r="CS368" i="8"/>
  <c r="CS369" i="8"/>
  <c r="CS370" i="8"/>
  <c r="CS371" i="8"/>
  <c r="CS372" i="8"/>
  <c r="CS373" i="8"/>
  <c r="CS374" i="8"/>
  <c r="CS375" i="8"/>
  <c r="CS376" i="8"/>
  <c r="CS377" i="8"/>
  <c r="CS378" i="8"/>
  <c r="CS379" i="8"/>
  <c r="CS380" i="8"/>
  <c r="CS381" i="8"/>
  <c r="CS382" i="8"/>
  <c r="CS383" i="8"/>
  <c r="CS384" i="8"/>
  <c r="CS385" i="8"/>
  <c r="CS386" i="8"/>
  <c r="CS387" i="8"/>
  <c r="CS388" i="8"/>
  <c r="CS389" i="8"/>
  <c r="CS390" i="8"/>
  <c r="CS391" i="8"/>
  <c r="CS392" i="8"/>
  <c r="CS393" i="8"/>
  <c r="CS394" i="8"/>
  <c r="CS395" i="8"/>
  <c r="CS396" i="8"/>
  <c r="CS397" i="8"/>
  <c r="CS398" i="8"/>
  <c r="CS399" i="8"/>
  <c r="CS400" i="8"/>
  <c r="CS401" i="8"/>
  <c r="CS402" i="8"/>
  <c r="CS403" i="8"/>
  <c r="CS404" i="8"/>
  <c r="CS405" i="8"/>
  <c r="CS406" i="8"/>
  <c r="CS407" i="8"/>
  <c r="CS408" i="8"/>
  <c r="CS409" i="8"/>
  <c r="CS410" i="8"/>
  <c r="CS411" i="8"/>
  <c r="CS412" i="8"/>
  <c r="CS413" i="8"/>
  <c r="CS414" i="8"/>
  <c r="CS415" i="8"/>
  <c r="CS416" i="8"/>
  <c r="CS417" i="8"/>
  <c r="CS418" i="8"/>
  <c r="CS419" i="8"/>
  <c r="CS420" i="8"/>
  <c r="CS421" i="8"/>
  <c r="CS422" i="8"/>
  <c r="CS423" i="8"/>
  <c r="CS424" i="8"/>
  <c r="CS425" i="8"/>
  <c r="CS426" i="8"/>
  <c r="CS427" i="8"/>
  <c r="CS428" i="8"/>
  <c r="CS429" i="8"/>
  <c r="CS430" i="8"/>
  <c r="CS431" i="8"/>
  <c r="CS432" i="8"/>
  <c r="CS433" i="8"/>
  <c r="CS434" i="8"/>
  <c r="CS435" i="8"/>
  <c r="CS436" i="8"/>
  <c r="CS437" i="8"/>
  <c r="CS438" i="8"/>
  <c r="CS439" i="8"/>
  <c r="CS440" i="8"/>
  <c r="CS441" i="8"/>
  <c r="CS442" i="8"/>
  <c r="CS443" i="8"/>
  <c r="CS444" i="8"/>
  <c r="CS445" i="8"/>
  <c r="CS446" i="8"/>
  <c r="CS447" i="8"/>
  <c r="CS448" i="8"/>
  <c r="CS449" i="8"/>
  <c r="CS450" i="8"/>
  <c r="CS451" i="8"/>
  <c r="CS452" i="8"/>
  <c r="CS453" i="8"/>
  <c r="CS454" i="8"/>
  <c r="CS455" i="8"/>
  <c r="CS456" i="8"/>
  <c r="CS457" i="8"/>
  <c r="CS458" i="8"/>
  <c r="CS459" i="8"/>
  <c r="CS460" i="8"/>
  <c r="CS461" i="8"/>
  <c r="CS462" i="8"/>
  <c r="CS463" i="8"/>
  <c r="CS464" i="8"/>
  <c r="CS465" i="8"/>
  <c r="CS466" i="8"/>
  <c r="CS467" i="8"/>
  <c r="CS468" i="8"/>
  <c r="CS469" i="8"/>
  <c r="CS470" i="8"/>
  <c r="CS471" i="8"/>
  <c r="CS472" i="8"/>
  <c r="CS473" i="8"/>
  <c r="CS474" i="8"/>
  <c r="CS475" i="8"/>
  <c r="CS476" i="8"/>
  <c r="CS477" i="8"/>
  <c r="CS478" i="8"/>
  <c r="CS479" i="8"/>
  <c r="CS480" i="8"/>
  <c r="CS481" i="8"/>
  <c r="CS482" i="8"/>
  <c r="CS483" i="8"/>
  <c r="CS484" i="8"/>
  <c r="CS485" i="8"/>
  <c r="CS486" i="8"/>
  <c r="CS487" i="8"/>
  <c r="CS488" i="8"/>
  <c r="CS489" i="8"/>
  <c r="CS490" i="8"/>
  <c r="CS491" i="8"/>
  <c r="CS492" i="8"/>
  <c r="CS493" i="8"/>
  <c r="CS494" i="8"/>
  <c r="CS495" i="8"/>
  <c r="CS496" i="8"/>
  <c r="CS497" i="8"/>
  <c r="CS498" i="8"/>
  <c r="CS499" i="8"/>
  <c r="CS500" i="8"/>
  <c r="CS501" i="8"/>
  <c r="CS502" i="8"/>
  <c r="CS503" i="8"/>
  <c r="CS504" i="8"/>
  <c r="CS505" i="8"/>
  <c r="CS506" i="8"/>
  <c r="CS507" i="8"/>
  <c r="CS508" i="8"/>
  <c r="CS509" i="8"/>
  <c r="CS510" i="8"/>
  <c r="CS511" i="8"/>
  <c r="CS512" i="8"/>
  <c r="CS513" i="8"/>
  <c r="CS514" i="8"/>
  <c r="CS515" i="8"/>
  <c r="CS516" i="8"/>
  <c r="CS517" i="8"/>
  <c r="CS518" i="8"/>
  <c r="CS519" i="8"/>
  <c r="CS520" i="8"/>
  <c r="CS521" i="8"/>
  <c r="CS522" i="8"/>
  <c r="CS523" i="8"/>
  <c r="CS524" i="8"/>
  <c r="CS525" i="8"/>
  <c r="CS526" i="8"/>
  <c r="CS527" i="8"/>
  <c r="CS528" i="8"/>
  <c r="CS529" i="8"/>
  <c r="CS530" i="8"/>
  <c r="CS531" i="8"/>
  <c r="CS532" i="8"/>
  <c r="CS533" i="8"/>
  <c r="CS534" i="8"/>
  <c r="CS535" i="8"/>
  <c r="CS536" i="8"/>
  <c r="CS537" i="8"/>
  <c r="CS538" i="8"/>
  <c r="CS539" i="8"/>
  <c r="CS540" i="8"/>
  <c r="CS541" i="8"/>
  <c r="CS542" i="8"/>
  <c r="CS543" i="8"/>
  <c r="CS544" i="8"/>
  <c r="CS545" i="8"/>
  <c r="CS546" i="8"/>
  <c r="CS547" i="8"/>
  <c r="CS548" i="8"/>
  <c r="CS549" i="8"/>
  <c r="CS550" i="8"/>
  <c r="CS551" i="8"/>
  <c r="CS552" i="8"/>
  <c r="CS553" i="8"/>
  <c r="CS554" i="8"/>
  <c r="CS555" i="8"/>
  <c r="CS556" i="8"/>
  <c r="CS557" i="8"/>
  <c r="CS558" i="8"/>
  <c r="CS559" i="8"/>
  <c r="CS560" i="8"/>
  <c r="CS561" i="8"/>
  <c r="CS562" i="8"/>
  <c r="CS563" i="8"/>
  <c r="CS564" i="8"/>
  <c r="CS565" i="8"/>
  <c r="CS566" i="8"/>
  <c r="CS567" i="8"/>
  <c r="CS568" i="8"/>
  <c r="CS569" i="8"/>
  <c r="CS570" i="8"/>
  <c r="CS571" i="8"/>
  <c r="CS572" i="8"/>
  <c r="CS573" i="8"/>
  <c r="CS574" i="8"/>
  <c r="CS575" i="8"/>
  <c r="CS576" i="8"/>
  <c r="CS577" i="8"/>
  <c r="CS578" i="8"/>
  <c r="CS579" i="8"/>
  <c r="CS580" i="8"/>
  <c r="CS581" i="8"/>
  <c r="CS582" i="8"/>
  <c r="CS583" i="8"/>
  <c r="CS584" i="8"/>
  <c r="CS585" i="8"/>
  <c r="CS586" i="8"/>
  <c r="CS587" i="8"/>
  <c r="CS588" i="8"/>
  <c r="CS589" i="8"/>
  <c r="CS590" i="8"/>
  <c r="CS591" i="8"/>
  <c r="CS592" i="8"/>
  <c r="CS593" i="8"/>
  <c r="CS594" i="8"/>
  <c r="CS595" i="8"/>
  <c r="CS596" i="8"/>
  <c r="CS597" i="8"/>
  <c r="CS598" i="8"/>
  <c r="CS599" i="8"/>
  <c r="CS600" i="8"/>
  <c r="CS601" i="8"/>
  <c r="CS602" i="8"/>
  <c r="CS603" i="8"/>
  <c r="CS604" i="8"/>
  <c r="CS605" i="8"/>
  <c r="CS606" i="8"/>
  <c r="CS607" i="8"/>
  <c r="CS608" i="8"/>
  <c r="CS609" i="8"/>
  <c r="CS610" i="8"/>
  <c r="CS611" i="8"/>
  <c r="CS612" i="8"/>
  <c r="CS613" i="8"/>
  <c r="CS614" i="8"/>
  <c r="CS615" i="8"/>
  <c r="CS616" i="8"/>
  <c r="CS617" i="8"/>
  <c r="CS618" i="8"/>
  <c r="CS619" i="8"/>
  <c r="CS620" i="8"/>
  <c r="CS621" i="8"/>
  <c r="CS622" i="8"/>
  <c r="CS623" i="8"/>
  <c r="CS624" i="8"/>
  <c r="CS625" i="8"/>
  <c r="CS626" i="8"/>
  <c r="CS627" i="8"/>
  <c r="CS628" i="8"/>
  <c r="CS629" i="8"/>
  <c r="CS630" i="8"/>
  <c r="CS631" i="8"/>
  <c r="CS632" i="8"/>
  <c r="CS633" i="8"/>
  <c r="CS634" i="8"/>
  <c r="CS635" i="8"/>
  <c r="CS636" i="8"/>
  <c r="CS637" i="8"/>
  <c r="CS638" i="8"/>
  <c r="CS639" i="8"/>
  <c r="CS640" i="8"/>
  <c r="CS641" i="8"/>
  <c r="CS642" i="8"/>
  <c r="CS643" i="8"/>
  <c r="CS644" i="8"/>
  <c r="CS645" i="8"/>
  <c r="CS646" i="8"/>
  <c r="CS647" i="8"/>
  <c r="CS648" i="8"/>
  <c r="CS649" i="8"/>
  <c r="CS650" i="8"/>
  <c r="CS651" i="8"/>
  <c r="CS652" i="8"/>
  <c r="CS653" i="8"/>
  <c r="CS654" i="8"/>
  <c r="CS655" i="8"/>
  <c r="CS656" i="8"/>
  <c r="CS657" i="8"/>
  <c r="CS658" i="8"/>
  <c r="CS659" i="8"/>
  <c r="CS660" i="8"/>
  <c r="CS661" i="8"/>
  <c r="CS662" i="8"/>
  <c r="CS663" i="8"/>
  <c r="CS664" i="8"/>
  <c r="CS665" i="8"/>
  <c r="CS666" i="8"/>
  <c r="CS667" i="8"/>
  <c r="CS668" i="8"/>
  <c r="CS669" i="8"/>
  <c r="CS670" i="8"/>
  <c r="CS671" i="8"/>
  <c r="CS672" i="8"/>
  <c r="CS673" i="8"/>
  <c r="CS674" i="8"/>
  <c r="CS675" i="8"/>
  <c r="CS676" i="8"/>
  <c r="CS677" i="8"/>
  <c r="CS678" i="8"/>
  <c r="CS679" i="8"/>
  <c r="CS680" i="8"/>
  <c r="CS681" i="8"/>
  <c r="CS682" i="8"/>
  <c r="CS683" i="8"/>
  <c r="CS684" i="8"/>
  <c r="CS685" i="8"/>
  <c r="CS686" i="8"/>
  <c r="CS687" i="8"/>
  <c r="CS688" i="8"/>
  <c r="CS689" i="8"/>
  <c r="CS690" i="8"/>
  <c r="CS691" i="8"/>
  <c r="CS692" i="8"/>
  <c r="CS693" i="8"/>
  <c r="CS694" i="8"/>
  <c r="CS695" i="8"/>
  <c r="CS696" i="8"/>
  <c r="CS697" i="8"/>
  <c r="CS698" i="8"/>
  <c r="CS699" i="8"/>
  <c r="CS700" i="8"/>
  <c r="CS701" i="8"/>
  <c r="CS702" i="8"/>
  <c r="CS703" i="8"/>
  <c r="CS704" i="8"/>
  <c r="CS705" i="8"/>
  <c r="CS706" i="8"/>
  <c r="CS707" i="8"/>
  <c r="CS708" i="8"/>
  <c r="CS709" i="8"/>
  <c r="CS710" i="8"/>
  <c r="CS711" i="8"/>
  <c r="CS712" i="8"/>
  <c r="CS713" i="8"/>
  <c r="CS714" i="8"/>
  <c r="CS715" i="8"/>
  <c r="CS716" i="8"/>
  <c r="CS717" i="8"/>
  <c r="CS718" i="8"/>
  <c r="CS719" i="8"/>
  <c r="CS720" i="8"/>
  <c r="CS721" i="8"/>
  <c r="CS722" i="8"/>
  <c r="CS723" i="8"/>
  <c r="CS724" i="8"/>
  <c r="CS725" i="8"/>
  <c r="CS726" i="8"/>
  <c r="CS727" i="8"/>
  <c r="CS728" i="8"/>
  <c r="CS729" i="8"/>
  <c r="CS730" i="8"/>
  <c r="CS731" i="8"/>
  <c r="CS732" i="8"/>
  <c r="CS733" i="8"/>
  <c r="CS734" i="8"/>
  <c r="CS735" i="8"/>
  <c r="CS736" i="8"/>
  <c r="CS737" i="8"/>
  <c r="CS738" i="8"/>
  <c r="CS739" i="8"/>
  <c r="CS740" i="8"/>
  <c r="CS741" i="8"/>
  <c r="CS742" i="8"/>
  <c r="CS743" i="8"/>
  <c r="CS744" i="8"/>
  <c r="CS745" i="8"/>
  <c r="CS746" i="8"/>
  <c r="CS747" i="8"/>
  <c r="CS748" i="8"/>
  <c r="CS749" i="8"/>
  <c r="CS750" i="8"/>
  <c r="CS751" i="8"/>
  <c r="CS752" i="8"/>
  <c r="CS753" i="8"/>
  <c r="CS754" i="8"/>
  <c r="CS755" i="8"/>
  <c r="CS756" i="8"/>
  <c r="CS757" i="8"/>
  <c r="CS758" i="8"/>
  <c r="CS759" i="8"/>
  <c r="CS760" i="8"/>
  <c r="CS761" i="8"/>
  <c r="CS762" i="8"/>
  <c r="CS763" i="8"/>
  <c r="CS764" i="8"/>
  <c r="CS765" i="8"/>
  <c r="CS766" i="8"/>
  <c r="CS767" i="8"/>
  <c r="CS768" i="8"/>
  <c r="CS769" i="8"/>
  <c r="CS770" i="8"/>
  <c r="CS771" i="8"/>
  <c r="CS772" i="8"/>
  <c r="CS773" i="8"/>
  <c r="CS774" i="8"/>
  <c r="CS775" i="8"/>
  <c r="CS776" i="8"/>
  <c r="CS777" i="8"/>
  <c r="CS778" i="8"/>
  <c r="CS779" i="8"/>
  <c r="CS780" i="8"/>
  <c r="CS781" i="8"/>
  <c r="CS782" i="8"/>
  <c r="CS783" i="8"/>
  <c r="CS784" i="8"/>
  <c r="CS785" i="8"/>
  <c r="CS786" i="8"/>
  <c r="CS787" i="8"/>
  <c r="CS788" i="8"/>
  <c r="CS789" i="8"/>
  <c r="CS790" i="8"/>
  <c r="CS791" i="8"/>
  <c r="CS792" i="8"/>
  <c r="CS793" i="8"/>
  <c r="CS794" i="8"/>
  <c r="CS9" i="8"/>
  <c r="CP10" i="8"/>
  <c r="CP11" i="8"/>
  <c r="CP12" i="8"/>
  <c r="CP13" i="8"/>
  <c r="CP14" i="8"/>
  <c r="CP15" i="8"/>
  <c r="CP16" i="8"/>
  <c r="CP17" i="8"/>
  <c r="CP18" i="8"/>
  <c r="CP19" i="8"/>
  <c r="CP20" i="8"/>
  <c r="CP21" i="8"/>
  <c r="CP22" i="8"/>
  <c r="CP23" i="8"/>
  <c r="CP24" i="8"/>
  <c r="CP25" i="8"/>
  <c r="CP26" i="8"/>
  <c r="CP27" i="8"/>
  <c r="CP28" i="8"/>
  <c r="CP29" i="8"/>
  <c r="CP30" i="8"/>
  <c r="CP31" i="8"/>
  <c r="CP32" i="8"/>
  <c r="CP33" i="8"/>
  <c r="CP34" i="8"/>
  <c r="CP35" i="8"/>
  <c r="CP36" i="8"/>
  <c r="CP37" i="8"/>
  <c r="CP38" i="8"/>
  <c r="CP39" i="8"/>
  <c r="CP40" i="8"/>
  <c r="CP41" i="8"/>
  <c r="CP42" i="8"/>
  <c r="CP43" i="8"/>
  <c r="CP44" i="8"/>
  <c r="CP45" i="8"/>
  <c r="CP46" i="8"/>
  <c r="CP47" i="8"/>
  <c r="CP48" i="8"/>
  <c r="CP49" i="8"/>
  <c r="CP50" i="8"/>
  <c r="CP51" i="8"/>
  <c r="CP52" i="8"/>
  <c r="CP53" i="8"/>
  <c r="CP54" i="8"/>
  <c r="CP55" i="8"/>
  <c r="CP56" i="8"/>
  <c r="CP57" i="8"/>
  <c r="CP58" i="8"/>
  <c r="CP59" i="8"/>
  <c r="CP60" i="8"/>
  <c r="CP61" i="8"/>
  <c r="CP62" i="8"/>
  <c r="CP63" i="8"/>
  <c r="CP64" i="8"/>
  <c r="CP65" i="8"/>
  <c r="CP66" i="8"/>
  <c r="CP67" i="8"/>
  <c r="CP68" i="8"/>
  <c r="CP69" i="8"/>
  <c r="CP70" i="8"/>
  <c r="CP71" i="8"/>
  <c r="CP72" i="8"/>
  <c r="CP73" i="8"/>
  <c r="CP74" i="8"/>
  <c r="CP75" i="8"/>
  <c r="CP76" i="8"/>
  <c r="CP77" i="8"/>
  <c r="CP78" i="8"/>
  <c r="CP79" i="8"/>
  <c r="CP80" i="8"/>
  <c r="CP81" i="8"/>
  <c r="CP82" i="8"/>
  <c r="CP83" i="8"/>
  <c r="CP84" i="8"/>
  <c r="CP85" i="8"/>
  <c r="CP86" i="8"/>
  <c r="CP87" i="8"/>
  <c r="CP88" i="8"/>
  <c r="CP89" i="8"/>
  <c r="CP90" i="8"/>
  <c r="CP91" i="8"/>
  <c r="CP92" i="8"/>
  <c r="CP93" i="8"/>
  <c r="CP94" i="8"/>
  <c r="CP95" i="8"/>
  <c r="CP96" i="8"/>
  <c r="CP97" i="8"/>
  <c r="CP98" i="8"/>
  <c r="CP99" i="8"/>
  <c r="CP100" i="8"/>
  <c r="CP101" i="8"/>
  <c r="CP102" i="8"/>
  <c r="CP103" i="8"/>
  <c r="CP104" i="8"/>
  <c r="CP105" i="8"/>
  <c r="CP106" i="8"/>
  <c r="CP107" i="8"/>
  <c r="CP108" i="8"/>
  <c r="CP109" i="8"/>
  <c r="CP110" i="8"/>
  <c r="CP111" i="8"/>
  <c r="CP112" i="8"/>
  <c r="CP113" i="8"/>
  <c r="CP114" i="8"/>
  <c r="CP115" i="8"/>
  <c r="CP116" i="8"/>
  <c r="CP117" i="8"/>
  <c r="CP118" i="8"/>
  <c r="CP119" i="8"/>
  <c r="CP120" i="8"/>
  <c r="CP121" i="8"/>
  <c r="CP122" i="8"/>
  <c r="CP123" i="8"/>
  <c r="CP124" i="8"/>
  <c r="CP125" i="8"/>
  <c r="CP126" i="8"/>
  <c r="CP127" i="8"/>
  <c r="CP128" i="8"/>
  <c r="CP129" i="8"/>
  <c r="CP130" i="8"/>
  <c r="CP131" i="8"/>
  <c r="CP132" i="8"/>
  <c r="CP133" i="8"/>
  <c r="CP134" i="8"/>
  <c r="CP135" i="8"/>
  <c r="CP136" i="8"/>
  <c r="CP137" i="8"/>
  <c r="CP138" i="8"/>
  <c r="CP139" i="8"/>
  <c r="CP140" i="8"/>
  <c r="CP141" i="8"/>
  <c r="CP142" i="8"/>
  <c r="CP143" i="8"/>
  <c r="CP144" i="8"/>
  <c r="CP145" i="8"/>
  <c r="CP146" i="8"/>
  <c r="CP147" i="8"/>
  <c r="CP148" i="8"/>
  <c r="CP149" i="8"/>
  <c r="CP150" i="8"/>
  <c r="CP151" i="8"/>
  <c r="CP152" i="8"/>
  <c r="CP153" i="8"/>
  <c r="CP154" i="8"/>
  <c r="CP155" i="8"/>
  <c r="CP156" i="8"/>
  <c r="CP157" i="8"/>
  <c r="CP158" i="8"/>
  <c r="CP159" i="8"/>
  <c r="CP160" i="8"/>
  <c r="CP161" i="8"/>
  <c r="CP162" i="8"/>
  <c r="CP163" i="8"/>
  <c r="CP164" i="8"/>
  <c r="CP165" i="8"/>
  <c r="CP166" i="8"/>
  <c r="CP167" i="8"/>
  <c r="CP168" i="8"/>
  <c r="CP169" i="8"/>
  <c r="CP170" i="8"/>
  <c r="CP171" i="8"/>
  <c r="CP172" i="8"/>
  <c r="CP173" i="8"/>
  <c r="CP174" i="8"/>
  <c r="CP175" i="8"/>
  <c r="CP176" i="8"/>
  <c r="CP177" i="8"/>
  <c r="CP178" i="8"/>
  <c r="CP179" i="8"/>
  <c r="CP180" i="8"/>
  <c r="CP181" i="8"/>
  <c r="CP182" i="8"/>
  <c r="CP183" i="8"/>
  <c r="CP184" i="8"/>
  <c r="CP185" i="8"/>
  <c r="CP186" i="8"/>
  <c r="CP187" i="8"/>
  <c r="CP188" i="8"/>
  <c r="CP189" i="8"/>
  <c r="CP190" i="8"/>
  <c r="CP191" i="8"/>
  <c r="CP192" i="8"/>
  <c r="CP193" i="8"/>
  <c r="CP194" i="8"/>
  <c r="CP195" i="8"/>
  <c r="CP196" i="8"/>
  <c r="CP197" i="8"/>
  <c r="CP198" i="8"/>
  <c r="CP199" i="8"/>
  <c r="CP200" i="8"/>
  <c r="CP201" i="8"/>
  <c r="CP202" i="8"/>
  <c r="CP203" i="8"/>
  <c r="CP204" i="8"/>
  <c r="CP205" i="8"/>
  <c r="CP206" i="8"/>
  <c r="CP207" i="8"/>
  <c r="CP208" i="8"/>
  <c r="CP209" i="8"/>
  <c r="CP210" i="8"/>
  <c r="CP211" i="8"/>
  <c r="CP212" i="8"/>
  <c r="CP213" i="8"/>
  <c r="CP214" i="8"/>
  <c r="CP215" i="8"/>
  <c r="CP216" i="8"/>
  <c r="CP217" i="8"/>
  <c r="CP218" i="8"/>
  <c r="CP219" i="8"/>
  <c r="CP220" i="8"/>
  <c r="CP221" i="8"/>
  <c r="CP222" i="8"/>
  <c r="CP223" i="8"/>
  <c r="CP224" i="8"/>
  <c r="CP225" i="8"/>
  <c r="CP226" i="8"/>
  <c r="CP227" i="8"/>
  <c r="CP228" i="8"/>
  <c r="CP229" i="8"/>
  <c r="CP230" i="8"/>
  <c r="CP231" i="8"/>
  <c r="CP232" i="8"/>
  <c r="CP233" i="8"/>
  <c r="CP234" i="8"/>
  <c r="CP235" i="8"/>
  <c r="CP236" i="8"/>
  <c r="CP237" i="8"/>
  <c r="CP238" i="8"/>
  <c r="CP239" i="8"/>
  <c r="CP240" i="8"/>
  <c r="CP241" i="8"/>
  <c r="CP242" i="8"/>
  <c r="CP243" i="8"/>
  <c r="CP244" i="8"/>
  <c r="CP245" i="8"/>
  <c r="CP246" i="8"/>
  <c r="CP247" i="8"/>
  <c r="CP248" i="8"/>
  <c r="CP249" i="8"/>
  <c r="CP250" i="8"/>
  <c r="CP251" i="8"/>
  <c r="CP252" i="8"/>
  <c r="CP253" i="8"/>
  <c r="CP254" i="8"/>
  <c r="CP255" i="8"/>
  <c r="CP256" i="8"/>
  <c r="CP257" i="8"/>
  <c r="CP258" i="8"/>
  <c r="CP259" i="8"/>
  <c r="CP260" i="8"/>
  <c r="CP261" i="8"/>
  <c r="CP262" i="8"/>
  <c r="CP263" i="8"/>
  <c r="CP264" i="8"/>
  <c r="CP265" i="8"/>
  <c r="CP266" i="8"/>
  <c r="CP267" i="8"/>
  <c r="CP268" i="8"/>
  <c r="CP269" i="8"/>
  <c r="CP270" i="8"/>
  <c r="CP271" i="8"/>
  <c r="CP272" i="8"/>
  <c r="CP273" i="8"/>
  <c r="CP274" i="8"/>
  <c r="CP275" i="8"/>
  <c r="CP276" i="8"/>
  <c r="CP277" i="8"/>
  <c r="CP278" i="8"/>
  <c r="CP279" i="8"/>
  <c r="CP280" i="8"/>
  <c r="CP281" i="8"/>
  <c r="CP282" i="8"/>
  <c r="CP283" i="8"/>
  <c r="CP284" i="8"/>
  <c r="CP285" i="8"/>
  <c r="CP286" i="8"/>
  <c r="CP287" i="8"/>
  <c r="CP288" i="8"/>
  <c r="CP289" i="8"/>
  <c r="CP290" i="8"/>
  <c r="CP291" i="8"/>
  <c r="CP292" i="8"/>
  <c r="CP293" i="8"/>
  <c r="CP294" i="8"/>
  <c r="CP295" i="8"/>
  <c r="CP296" i="8"/>
  <c r="CP297" i="8"/>
  <c r="CP298" i="8"/>
  <c r="CP299" i="8"/>
  <c r="CP300" i="8"/>
  <c r="CP301" i="8"/>
  <c r="CP302" i="8"/>
  <c r="CP303" i="8"/>
  <c r="CP304" i="8"/>
  <c r="CP305" i="8"/>
  <c r="CP306" i="8"/>
  <c r="CP307" i="8"/>
  <c r="CP308" i="8"/>
  <c r="CP309" i="8"/>
  <c r="CP310" i="8"/>
  <c r="CP311" i="8"/>
  <c r="CP312" i="8"/>
  <c r="CP313" i="8"/>
  <c r="CP314" i="8"/>
  <c r="CP315" i="8"/>
  <c r="CP316" i="8"/>
  <c r="CP317" i="8"/>
  <c r="CP318" i="8"/>
  <c r="CP319" i="8"/>
  <c r="CP320" i="8"/>
  <c r="CP321" i="8"/>
  <c r="CP322" i="8"/>
  <c r="CP323" i="8"/>
  <c r="CP324" i="8"/>
  <c r="CP325" i="8"/>
  <c r="CP326" i="8"/>
  <c r="CP327" i="8"/>
  <c r="CP328" i="8"/>
  <c r="CP329" i="8"/>
  <c r="CP330" i="8"/>
  <c r="CP331" i="8"/>
  <c r="CP332" i="8"/>
  <c r="CP333" i="8"/>
  <c r="CP334" i="8"/>
  <c r="CP335" i="8"/>
  <c r="CP336" i="8"/>
  <c r="CP337" i="8"/>
  <c r="CP338" i="8"/>
  <c r="CP339" i="8"/>
  <c r="CP340" i="8"/>
  <c r="CP341" i="8"/>
  <c r="CP342" i="8"/>
  <c r="CP343" i="8"/>
  <c r="CP344" i="8"/>
  <c r="CP345" i="8"/>
  <c r="CP346" i="8"/>
  <c r="CP347" i="8"/>
  <c r="CP348" i="8"/>
  <c r="CP349" i="8"/>
  <c r="CP350" i="8"/>
  <c r="CP351" i="8"/>
  <c r="CP352" i="8"/>
  <c r="CP353" i="8"/>
  <c r="CP354" i="8"/>
  <c r="CP355" i="8"/>
  <c r="CP356" i="8"/>
  <c r="CP357" i="8"/>
  <c r="CP358" i="8"/>
  <c r="CP359" i="8"/>
  <c r="CP360" i="8"/>
  <c r="CP361" i="8"/>
  <c r="CP362" i="8"/>
  <c r="CP363" i="8"/>
  <c r="CP364" i="8"/>
  <c r="CP365" i="8"/>
  <c r="CP366" i="8"/>
  <c r="CP367" i="8"/>
  <c r="CP368" i="8"/>
  <c r="CP369" i="8"/>
  <c r="CP370" i="8"/>
  <c r="CP371" i="8"/>
  <c r="CP372" i="8"/>
  <c r="CP373" i="8"/>
  <c r="CP374" i="8"/>
  <c r="CP375" i="8"/>
  <c r="CP376" i="8"/>
  <c r="CP377" i="8"/>
  <c r="CP378" i="8"/>
  <c r="CP379" i="8"/>
  <c r="CP380" i="8"/>
  <c r="CP381" i="8"/>
  <c r="CP382" i="8"/>
  <c r="CP383" i="8"/>
  <c r="CP384" i="8"/>
  <c r="CP385" i="8"/>
  <c r="CP386" i="8"/>
  <c r="CP387" i="8"/>
  <c r="CP388" i="8"/>
  <c r="CP389" i="8"/>
  <c r="CP390" i="8"/>
  <c r="CP391" i="8"/>
  <c r="CP392" i="8"/>
  <c r="CP393" i="8"/>
  <c r="CP394" i="8"/>
  <c r="CP395" i="8"/>
  <c r="CP396" i="8"/>
  <c r="CP397" i="8"/>
  <c r="CP398" i="8"/>
  <c r="CP399" i="8"/>
  <c r="CP400" i="8"/>
  <c r="CP401" i="8"/>
  <c r="CP402" i="8"/>
  <c r="CP403" i="8"/>
  <c r="CP404" i="8"/>
  <c r="CP405" i="8"/>
  <c r="CP406" i="8"/>
  <c r="CP407" i="8"/>
  <c r="CP408" i="8"/>
  <c r="CP409" i="8"/>
  <c r="CP410" i="8"/>
  <c r="CP411" i="8"/>
  <c r="CP412" i="8"/>
  <c r="CP413" i="8"/>
  <c r="CP414" i="8"/>
  <c r="CP415" i="8"/>
  <c r="CP416" i="8"/>
  <c r="CP417" i="8"/>
  <c r="CP418" i="8"/>
  <c r="CP419" i="8"/>
  <c r="CP420" i="8"/>
  <c r="CP421" i="8"/>
  <c r="CP422" i="8"/>
  <c r="CP423" i="8"/>
  <c r="CP424" i="8"/>
  <c r="CP425" i="8"/>
  <c r="CP426" i="8"/>
  <c r="CP427" i="8"/>
  <c r="CP428" i="8"/>
  <c r="CP429" i="8"/>
  <c r="CP430" i="8"/>
  <c r="CP431" i="8"/>
  <c r="CP432" i="8"/>
  <c r="CP433" i="8"/>
  <c r="CP434" i="8"/>
  <c r="CP435" i="8"/>
  <c r="CP436" i="8"/>
  <c r="CP437" i="8"/>
  <c r="CP438" i="8"/>
  <c r="CP439" i="8"/>
  <c r="CP440" i="8"/>
  <c r="CP441" i="8"/>
  <c r="CP442" i="8"/>
  <c r="CP443" i="8"/>
  <c r="CP444" i="8"/>
  <c r="CP445" i="8"/>
  <c r="CP446" i="8"/>
  <c r="CP447" i="8"/>
  <c r="CP448" i="8"/>
  <c r="CP449" i="8"/>
  <c r="CP450" i="8"/>
  <c r="CP451" i="8"/>
  <c r="CP452" i="8"/>
  <c r="CP453" i="8"/>
  <c r="CP454" i="8"/>
  <c r="CP455" i="8"/>
  <c r="CP456" i="8"/>
  <c r="CP457" i="8"/>
  <c r="CP458" i="8"/>
  <c r="CP459" i="8"/>
  <c r="CP460" i="8"/>
  <c r="CP461" i="8"/>
  <c r="CP462" i="8"/>
  <c r="CP463" i="8"/>
  <c r="CP464" i="8"/>
  <c r="CP465" i="8"/>
  <c r="CP466" i="8"/>
  <c r="CP467" i="8"/>
  <c r="CP468" i="8"/>
  <c r="CP469" i="8"/>
  <c r="CP470" i="8"/>
  <c r="CP471" i="8"/>
  <c r="CP472" i="8"/>
  <c r="CP473" i="8"/>
  <c r="CP474" i="8"/>
  <c r="CP475" i="8"/>
  <c r="CP476" i="8"/>
  <c r="CP477" i="8"/>
  <c r="CP478" i="8"/>
  <c r="CP479" i="8"/>
  <c r="CP480" i="8"/>
  <c r="CP481" i="8"/>
  <c r="CP482" i="8"/>
  <c r="CP483" i="8"/>
  <c r="CP484" i="8"/>
  <c r="CP485" i="8"/>
  <c r="CP486" i="8"/>
  <c r="CP487" i="8"/>
  <c r="CP488" i="8"/>
  <c r="CP489" i="8"/>
  <c r="CP490" i="8"/>
  <c r="CP491" i="8"/>
  <c r="CP492" i="8"/>
  <c r="CP493" i="8"/>
  <c r="CP494" i="8"/>
  <c r="CP495" i="8"/>
  <c r="CP496" i="8"/>
  <c r="CP497" i="8"/>
  <c r="CP498" i="8"/>
  <c r="CP499" i="8"/>
  <c r="CP500" i="8"/>
  <c r="CP501" i="8"/>
  <c r="CP502" i="8"/>
  <c r="CP503" i="8"/>
  <c r="CP504" i="8"/>
  <c r="CP505" i="8"/>
  <c r="CP506" i="8"/>
  <c r="CP507" i="8"/>
  <c r="CP508" i="8"/>
  <c r="CP509" i="8"/>
  <c r="CP510" i="8"/>
  <c r="CP511" i="8"/>
  <c r="CP512" i="8"/>
  <c r="CP513" i="8"/>
  <c r="CP514" i="8"/>
  <c r="CP515" i="8"/>
  <c r="CP516" i="8"/>
  <c r="CP517" i="8"/>
  <c r="CP518" i="8"/>
  <c r="CP519" i="8"/>
  <c r="CP520" i="8"/>
  <c r="CP521" i="8"/>
  <c r="CP522" i="8"/>
  <c r="CP523" i="8"/>
  <c r="CP524" i="8"/>
  <c r="CP525" i="8"/>
  <c r="CP526" i="8"/>
  <c r="CP527" i="8"/>
  <c r="CP528" i="8"/>
  <c r="CP529" i="8"/>
  <c r="CP530" i="8"/>
  <c r="CP531" i="8"/>
  <c r="CP532" i="8"/>
  <c r="CP533" i="8"/>
  <c r="CP534" i="8"/>
  <c r="CP535" i="8"/>
  <c r="CP536" i="8"/>
  <c r="CP537" i="8"/>
  <c r="CP538" i="8"/>
  <c r="CP539" i="8"/>
  <c r="CP540" i="8"/>
  <c r="CP541" i="8"/>
  <c r="CP542" i="8"/>
  <c r="CP543" i="8"/>
  <c r="CP544" i="8"/>
  <c r="CP545" i="8"/>
  <c r="CP546" i="8"/>
  <c r="CP547" i="8"/>
  <c r="CP548" i="8"/>
  <c r="CP549" i="8"/>
  <c r="CP550" i="8"/>
  <c r="CP551" i="8"/>
  <c r="CP552" i="8"/>
  <c r="CP553" i="8"/>
  <c r="CP554" i="8"/>
  <c r="CP555" i="8"/>
  <c r="CP556" i="8"/>
  <c r="CP557" i="8"/>
  <c r="CP558" i="8"/>
  <c r="CP559" i="8"/>
  <c r="CP560" i="8"/>
  <c r="CP561" i="8"/>
  <c r="CP562" i="8"/>
  <c r="CP563" i="8"/>
  <c r="CP564" i="8"/>
  <c r="CP565" i="8"/>
  <c r="CP566" i="8"/>
  <c r="CP567" i="8"/>
  <c r="CP568" i="8"/>
  <c r="CP569" i="8"/>
  <c r="CP570" i="8"/>
  <c r="CP571" i="8"/>
  <c r="CP572" i="8"/>
  <c r="CP573" i="8"/>
  <c r="CP574" i="8"/>
  <c r="CP575" i="8"/>
  <c r="CP576" i="8"/>
  <c r="CP577" i="8"/>
  <c r="CP578" i="8"/>
  <c r="CP579" i="8"/>
  <c r="CP580" i="8"/>
  <c r="CP581" i="8"/>
  <c r="CP582" i="8"/>
  <c r="CP583" i="8"/>
  <c r="CP584" i="8"/>
  <c r="CP585" i="8"/>
  <c r="CP586" i="8"/>
  <c r="CP587" i="8"/>
  <c r="CP588" i="8"/>
  <c r="CP589" i="8"/>
  <c r="CP590" i="8"/>
  <c r="CP591" i="8"/>
  <c r="CP592" i="8"/>
  <c r="CP593" i="8"/>
  <c r="CP594" i="8"/>
  <c r="CP595" i="8"/>
  <c r="CP596" i="8"/>
  <c r="CP597" i="8"/>
  <c r="CP598" i="8"/>
  <c r="CP599" i="8"/>
  <c r="CP600" i="8"/>
  <c r="CP601" i="8"/>
  <c r="CP602" i="8"/>
  <c r="CP603" i="8"/>
  <c r="CP604" i="8"/>
  <c r="CP605" i="8"/>
  <c r="CP606" i="8"/>
  <c r="CP607" i="8"/>
  <c r="CP608" i="8"/>
  <c r="CP609" i="8"/>
  <c r="CP610" i="8"/>
  <c r="CP611" i="8"/>
  <c r="CP612" i="8"/>
  <c r="CP613" i="8"/>
  <c r="CP614" i="8"/>
  <c r="CP615" i="8"/>
  <c r="CP616" i="8"/>
  <c r="CP617" i="8"/>
  <c r="CP618" i="8"/>
  <c r="CP619" i="8"/>
  <c r="CP620" i="8"/>
  <c r="CP621" i="8"/>
  <c r="CP622" i="8"/>
  <c r="CP623" i="8"/>
  <c r="CP624" i="8"/>
  <c r="CP625" i="8"/>
  <c r="CP626" i="8"/>
  <c r="CP627" i="8"/>
  <c r="CP628" i="8"/>
  <c r="CP629" i="8"/>
  <c r="CP630" i="8"/>
  <c r="CP631" i="8"/>
  <c r="CP632" i="8"/>
  <c r="CP633" i="8"/>
  <c r="CP634" i="8"/>
  <c r="CP635" i="8"/>
  <c r="CP636" i="8"/>
  <c r="CP637" i="8"/>
  <c r="CP638" i="8"/>
  <c r="CP639" i="8"/>
  <c r="CP640" i="8"/>
  <c r="CP641" i="8"/>
  <c r="CP642" i="8"/>
  <c r="CP643" i="8"/>
  <c r="CP644" i="8"/>
  <c r="CP645" i="8"/>
  <c r="CP646" i="8"/>
  <c r="CP647" i="8"/>
  <c r="CP648" i="8"/>
  <c r="CP649" i="8"/>
  <c r="CP650" i="8"/>
  <c r="CP651" i="8"/>
  <c r="CP652" i="8"/>
  <c r="CP653" i="8"/>
  <c r="CP654" i="8"/>
  <c r="CP655" i="8"/>
  <c r="CP656" i="8"/>
  <c r="CP657" i="8"/>
  <c r="CP658" i="8"/>
  <c r="CP659" i="8"/>
  <c r="CP660" i="8"/>
  <c r="CP661" i="8"/>
  <c r="CP662" i="8"/>
  <c r="CP663" i="8"/>
  <c r="CP664" i="8"/>
  <c r="CP665" i="8"/>
  <c r="CP666" i="8"/>
  <c r="CP667" i="8"/>
  <c r="CP668" i="8"/>
  <c r="CP669" i="8"/>
  <c r="CP670" i="8"/>
  <c r="CP671" i="8"/>
  <c r="CP672" i="8"/>
  <c r="CP673" i="8"/>
  <c r="CP674" i="8"/>
  <c r="CP675" i="8"/>
  <c r="CP676" i="8"/>
  <c r="CP677" i="8"/>
  <c r="CP678" i="8"/>
  <c r="CP679" i="8"/>
  <c r="CP680" i="8"/>
  <c r="CP681" i="8"/>
  <c r="CP682" i="8"/>
  <c r="CP683" i="8"/>
  <c r="CP684" i="8"/>
  <c r="CP685" i="8"/>
  <c r="CP686" i="8"/>
  <c r="CP687" i="8"/>
  <c r="CP688" i="8"/>
  <c r="CP689" i="8"/>
  <c r="CP690" i="8"/>
  <c r="CP691" i="8"/>
  <c r="CP692" i="8"/>
  <c r="CP693" i="8"/>
  <c r="CP694" i="8"/>
  <c r="CP695" i="8"/>
  <c r="CP696" i="8"/>
  <c r="CP697" i="8"/>
  <c r="CP698" i="8"/>
  <c r="CP699" i="8"/>
  <c r="CP700" i="8"/>
  <c r="CP701" i="8"/>
  <c r="CP702" i="8"/>
  <c r="CP703" i="8"/>
  <c r="CP704" i="8"/>
  <c r="CP705" i="8"/>
  <c r="CP706" i="8"/>
  <c r="CP707" i="8"/>
  <c r="CP708" i="8"/>
  <c r="CP709" i="8"/>
  <c r="CP710" i="8"/>
  <c r="CP711" i="8"/>
  <c r="CP712" i="8"/>
  <c r="CP713" i="8"/>
  <c r="CP714" i="8"/>
  <c r="CP715" i="8"/>
  <c r="CP716" i="8"/>
  <c r="CP717" i="8"/>
  <c r="CP718" i="8"/>
  <c r="CP719" i="8"/>
  <c r="CP720" i="8"/>
  <c r="CP721" i="8"/>
  <c r="CP722" i="8"/>
  <c r="CP723" i="8"/>
  <c r="CP724" i="8"/>
  <c r="CP725" i="8"/>
  <c r="CP726" i="8"/>
  <c r="CP727" i="8"/>
  <c r="CP728" i="8"/>
  <c r="CP729" i="8"/>
  <c r="CP730" i="8"/>
  <c r="CP731" i="8"/>
  <c r="CP732" i="8"/>
  <c r="CP733" i="8"/>
  <c r="CP734" i="8"/>
  <c r="CP735" i="8"/>
  <c r="CP736" i="8"/>
  <c r="CP737" i="8"/>
  <c r="CP738" i="8"/>
  <c r="CP739" i="8"/>
  <c r="CP740" i="8"/>
  <c r="CP741" i="8"/>
  <c r="CP742" i="8"/>
  <c r="CP743" i="8"/>
  <c r="CP744" i="8"/>
  <c r="CP745" i="8"/>
  <c r="CP746" i="8"/>
  <c r="CP747" i="8"/>
  <c r="CP748" i="8"/>
  <c r="CP749" i="8"/>
  <c r="CP750" i="8"/>
  <c r="CP751" i="8"/>
  <c r="CP752" i="8"/>
  <c r="CP753" i="8"/>
  <c r="CP754" i="8"/>
  <c r="CP755" i="8"/>
  <c r="CP756" i="8"/>
  <c r="CP757" i="8"/>
  <c r="CP758" i="8"/>
  <c r="CP759" i="8"/>
  <c r="CP760" i="8"/>
  <c r="CP761" i="8"/>
  <c r="CP762" i="8"/>
  <c r="CP763" i="8"/>
  <c r="CP764" i="8"/>
  <c r="CP765" i="8"/>
  <c r="CP766" i="8"/>
  <c r="CP767" i="8"/>
  <c r="CP768" i="8"/>
  <c r="CP769" i="8"/>
  <c r="CP770" i="8"/>
  <c r="CP771" i="8"/>
  <c r="CP772" i="8"/>
  <c r="CP773" i="8"/>
  <c r="CP774" i="8"/>
  <c r="CP775" i="8"/>
  <c r="CP776" i="8"/>
  <c r="CP777" i="8"/>
  <c r="CP778" i="8"/>
  <c r="CP779" i="8"/>
  <c r="CP780" i="8"/>
  <c r="CP781" i="8"/>
  <c r="CP782" i="8"/>
  <c r="CP783" i="8"/>
  <c r="CP784" i="8"/>
  <c r="CP785" i="8"/>
  <c r="CP786" i="8"/>
  <c r="CP787" i="8"/>
  <c r="CP788" i="8"/>
  <c r="CP789" i="8"/>
  <c r="CP790" i="8"/>
  <c r="CP791" i="8"/>
  <c r="CP792" i="8"/>
  <c r="CP793" i="8"/>
  <c r="CP794" i="8"/>
  <c r="CP9" i="8"/>
  <c r="CM10" i="8"/>
  <c r="CM11" i="8"/>
  <c r="CM12" i="8"/>
  <c r="CM13" i="8"/>
  <c r="CM14" i="8"/>
  <c r="CM15" i="8"/>
  <c r="CM16" i="8"/>
  <c r="CM17" i="8"/>
  <c r="CM18" i="8"/>
  <c r="CM19" i="8"/>
  <c r="CM20" i="8"/>
  <c r="CM21" i="8"/>
  <c r="CM22" i="8"/>
  <c r="CM23" i="8"/>
  <c r="CM24" i="8"/>
  <c r="CM25" i="8"/>
  <c r="CM26" i="8"/>
  <c r="CM27" i="8"/>
  <c r="CM28" i="8"/>
  <c r="CM29" i="8"/>
  <c r="CM30" i="8"/>
  <c r="CM31" i="8"/>
  <c r="CM32" i="8"/>
  <c r="CM33" i="8"/>
  <c r="CM34" i="8"/>
  <c r="CM35" i="8"/>
  <c r="CM36" i="8"/>
  <c r="CM37" i="8"/>
  <c r="CM38" i="8"/>
  <c r="CM39" i="8"/>
  <c r="CM40" i="8"/>
  <c r="CM41" i="8"/>
  <c r="CM42" i="8"/>
  <c r="CM43" i="8"/>
  <c r="CM44" i="8"/>
  <c r="CM45" i="8"/>
  <c r="CM46" i="8"/>
  <c r="CM47" i="8"/>
  <c r="CM48" i="8"/>
  <c r="CM49" i="8"/>
  <c r="CM50" i="8"/>
  <c r="CM51" i="8"/>
  <c r="CM52" i="8"/>
  <c r="CM53" i="8"/>
  <c r="CM54" i="8"/>
  <c r="CM55" i="8"/>
  <c r="CM56" i="8"/>
  <c r="CM57" i="8"/>
  <c r="CM58" i="8"/>
  <c r="CM59" i="8"/>
  <c r="CM60" i="8"/>
  <c r="CM61" i="8"/>
  <c r="CM62" i="8"/>
  <c r="CM63" i="8"/>
  <c r="CM64" i="8"/>
  <c r="CM65" i="8"/>
  <c r="CM66" i="8"/>
  <c r="CM67" i="8"/>
  <c r="CM68" i="8"/>
  <c r="CM69" i="8"/>
  <c r="CM70" i="8"/>
  <c r="CM71" i="8"/>
  <c r="CM72" i="8"/>
  <c r="CM73" i="8"/>
  <c r="CM74" i="8"/>
  <c r="CM75" i="8"/>
  <c r="CM76" i="8"/>
  <c r="CM77" i="8"/>
  <c r="CM78" i="8"/>
  <c r="CM79" i="8"/>
  <c r="CM80" i="8"/>
  <c r="CM81" i="8"/>
  <c r="CM82" i="8"/>
  <c r="CM83" i="8"/>
  <c r="CM84" i="8"/>
  <c r="CM85" i="8"/>
  <c r="CM86" i="8"/>
  <c r="CM87" i="8"/>
  <c r="CM88" i="8"/>
  <c r="CM89" i="8"/>
  <c r="CM90" i="8"/>
  <c r="CM91" i="8"/>
  <c r="CM92" i="8"/>
  <c r="CM93" i="8"/>
  <c r="CM94" i="8"/>
  <c r="CM95" i="8"/>
  <c r="CM96" i="8"/>
  <c r="CM97" i="8"/>
  <c r="CM98" i="8"/>
  <c r="CM99" i="8"/>
  <c r="CM100" i="8"/>
  <c r="CM101" i="8"/>
  <c r="CM102" i="8"/>
  <c r="CM103" i="8"/>
  <c r="CM104" i="8"/>
  <c r="CM105" i="8"/>
  <c r="CM106" i="8"/>
  <c r="CM107" i="8"/>
  <c r="CM108" i="8"/>
  <c r="CM109" i="8"/>
  <c r="CM110" i="8"/>
  <c r="CM111" i="8"/>
  <c r="CM112" i="8"/>
  <c r="CM113" i="8"/>
  <c r="CM114" i="8"/>
  <c r="CM115" i="8"/>
  <c r="CM116" i="8"/>
  <c r="CM117" i="8"/>
  <c r="CM118" i="8"/>
  <c r="CM119" i="8"/>
  <c r="CM120" i="8"/>
  <c r="CM121" i="8"/>
  <c r="CM122" i="8"/>
  <c r="CM123" i="8"/>
  <c r="CM124" i="8"/>
  <c r="CM125" i="8"/>
  <c r="CM126" i="8"/>
  <c r="CM127" i="8"/>
  <c r="CM128" i="8"/>
  <c r="CM129" i="8"/>
  <c r="CM130" i="8"/>
  <c r="CM131" i="8"/>
  <c r="CM132" i="8"/>
  <c r="CM133" i="8"/>
  <c r="CM134" i="8"/>
  <c r="CM135" i="8"/>
  <c r="CM136" i="8"/>
  <c r="CM137" i="8"/>
  <c r="CM138" i="8"/>
  <c r="CM139" i="8"/>
  <c r="CM140" i="8"/>
  <c r="CM141" i="8"/>
  <c r="CM142" i="8"/>
  <c r="CM143" i="8"/>
  <c r="CM144" i="8"/>
  <c r="CM145" i="8"/>
  <c r="CM146" i="8"/>
  <c r="CM147" i="8"/>
  <c r="CM148" i="8"/>
  <c r="CM149" i="8"/>
  <c r="CM150" i="8"/>
  <c r="CM151" i="8"/>
  <c r="CM152" i="8"/>
  <c r="CM153" i="8"/>
  <c r="CM154" i="8"/>
  <c r="CM155" i="8"/>
  <c r="CM156" i="8"/>
  <c r="CM157" i="8"/>
  <c r="CM158" i="8"/>
  <c r="CM159" i="8"/>
  <c r="CM160" i="8"/>
  <c r="CM161" i="8"/>
  <c r="CM162" i="8"/>
  <c r="CM163" i="8"/>
  <c r="CM164" i="8"/>
  <c r="CM165" i="8"/>
  <c r="CM166" i="8"/>
  <c r="CM167" i="8"/>
  <c r="CM168" i="8"/>
  <c r="CM169" i="8"/>
  <c r="CM170" i="8"/>
  <c r="CM171" i="8"/>
  <c r="CM172" i="8"/>
  <c r="CM173" i="8"/>
  <c r="CM174" i="8"/>
  <c r="CM175" i="8"/>
  <c r="CM176" i="8"/>
  <c r="CM177" i="8"/>
  <c r="CM178" i="8"/>
  <c r="CM179" i="8"/>
  <c r="CM180" i="8"/>
  <c r="CM181" i="8"/>
  <c r="CM182" i="8"/>
  <c r="CM183" i="8"/>
  <c r="CM184" i="8"/>
  <c r="CM185" i="8"/>
  <c r="CM186" i="8"/>
  <c r="CM187" i="8"/>
  <c r="CM188" i="8"/>
  <c r="CM189" i="8"/>
  <c r="CM190" i="8"/>
  <c r="CM191" i="8"/>
  <c r="CM192" i="8"/>
  <c r="CM193" i="8"/>
  <c r="CM194" i="8"/>
  <c r="CM195" i="8"/>
  <c r="CM196" i="8"/>
  <c r="CM197" i="8"/>
  <c r="CM198" i="8"/>
  <c r="CM199" i="8"/>
  <c r="CM200" i="8"/>
  <c r="CM201" i="8"/>
  <c r="CM202" i="8"/>
  <c r="CM203" i="8"/>
  <c r="CM204" i="8"/>
  <c r="CM205" i="8"/>
  <c r="CM206" i="8"/>
  <c r="CM207" i="8"/>
  <c r="CM208" i="8"/>
  <c r="CM209" i="8"/>
  <c r="CM210" i="8"/>
  <c r="CM211" i="8"/>
  <c r="CM212" i="8"/>
  <c r="CM213" i="8"/>
  <c r="CM214" i="8"/>
  <c r="CM215" i="8"/>
  <c r="CM216" i="8"/>
  <c r="CM217" i="8"/>
  <c r="CM218" i="8"/>
  <c r="CM219" i="8"/>
  <c r="CM220" i="8"/>
  <c r="CM221" i="8"/>
  <c r="CM222" i="8"/>
  <c r="CM223" i="8"/>
  <c r="CM224" i="8"/>
  <c r="CM225" i="8"/>
  <c r="CM226" i="8"/>
  <c r="CM227" i="8"/>
  <c r="CM228" i="8"/>
  <c r="CM229" i="8"/>
  <c r="CM230" i="8"/>
  <c r="CM231" i="8"/>
  <c r="CM232" i="8"/>
  <c r="CM233" i="8"/>
  <c r="CM234" i="8"/>
  <c r="CM235" i="8"/>
  <c r="CM236" i="8"/>
  <c r="CM237" i="8"/>
  <c r="CM238" i="8"/>
  <c r="CM239" i="8"/>
  <c r="CM240" i="8"/>
  <c r="CM241" i="8"/>
  <c r="CM242" i="8"/>
  <c r="CM243" i="8"/>
  <c r="CM244" i="8"/>
  <c r="CM245" i="8"/>
  <c r="CM246" i="8"/>
  <c r="CM247" i="8"/>
  <c r="CM248" i="8"/>
  <c r="CM249" i="8"/>
  <c r="CM250" i="8"/>
  <c r="CM251" i="8"/>
  <c r="CM252" i="8"/>
  <c r="CM253" i="8"/>
  <c r="CM254" i="8"/>
  <c r="CM255" i="8"/>
  <c r="CM256" i="8"/>
  <c r="CM257" i="8"/>
  <c r="CM258" i="8"/>
  <c r="CM259" i="8"/>
  <c r="CM260" i="8"/>
  <c r="CM261" i="8"/>
  <c r="CM262" i="8"/>
  <c r="CM263" i="8"/>
  <c r="CM264" i="8"/>
  <c r="CM265" i="8"/>
  <c r="CM266" i="8"/>
  <c r="CM267" i="8"/>
  <c r="CM268" i="8"/>
  <c r="CM269" i="8"/>
  <c r="CM270" i="8"/>
  <c r="CM271" i="8"/>
  <c r="CM272" i="8"/>
  <c r="CM273" i="8"/>
  <c r="CM274" i="8"/>
  <c r="CM275" i="8"/>
  <c r="CM276" i="8"/>
  <c r="CM277" i="8"/>
  <c r="CM278" i="8"/>
  <c r="CM279" i="8"/>
  <c r="CM280" i="8"/>
  <c r="CM281" i="8"/>
  <c r="CM282" i="8"/>
  <c r="CM283" i="8"/>
  <c r="CM284" i="8"/>
  <c r="CM285" i="8"/>
  <c r="CM286" i="8"/>
  <c r="CM287" i="8"/>
  <c r="CM288" i="8"/>
  <c r="CM289" i="8"/>
  <c r="CM290" i="8"/>
  <c r="CM291" i="8"/>
  <c r="CM292" i="8"/>
  <c r="CM293" i="8"/>
  <c r="CM294" i="8"/>
  <c r="CM295" i="8"/>
  <c r="CM296" i="8"/>
  <c r="CM297" i="8"/>
  <c r="CM298" i="8"/>
  <c r="CM299" i="8"/>
  <c r="CM300" i="8"/>
  <c r="CM301" i="8"/>
  <c r="CM302" i="8"/>
  <c r="CM303" i="8"/>
  <c r="CM304" i="8"/>
  <c r="CM305" i="8"/>
  <c r="CM306" i="8"/>
  <c r="CM307" i="8"/>
  <c r="CM308" i="8"/>
  <c r="CM309" i="8"/>
  <c r="CM310" i="8"/>
  <c r="CM311" i="8"/>
  <c r="CM312" i="8"/>
  <c r="CM313" i="8"/>
  <c r="CM314" i="8"/>
  <c r="CM315" i="8"/>
  <c r="CM316" i="8"/>
  <c r="CM317" i="8"/>
  <c r="CM318" i="8"/>
  <c r="CM319" i="8"/>
  <c r="CM320" i="8"/>
  <c r="CM321" i="8"/>
  <c r="CM322" i="8"/>
  <c r="CM323" i="8"/>
  <c r="CM324" i="8"/>
  <c r="CM325" i="8"/>
  <c r="CM326" i="8"/>
  <c r="CM327" i="8"/>
  <c r="CM328" i="8"/>
  <c r="CM329" i="8"/>
  <c r="CM330" i="8"/>
  <c r="CM331" i="8"/>
  <c r="CM332" i="8"/>
  <c r="CM333" i="8"/>
  <c r="CM334" i="8"/>
  <c r="CM335" i="8"/>
  <c r="CM336" i="8"/>
  <c r="CM337" i="8"/>
  <c r="CM338" i="8"/>
  <c r="CM339" i="8"/>
  <c r="CM340" i="8"/>
  <c r="CM341" i="8"/>
  <c r="CM342" i="8"/>
  <c r="CM343" i="8"/>
  <c r="CM344" i="8"/>
  <c r="CM345" i="8"/>
  <c r="CM346" i="8"/>
  <c r="CM347" i="8"/>
  <c r="CM348" i="8"/>
  <c r="CM349" i="8"/>
  <c r="CM350" i="8"/>
  <c r="CM351" i="8"/>
  <c r="CM352" i="8"/>
  <c r="CM353" i="8"/>
  <c r="CM354" i="8"/>
  <c r="CM355" i="8"/>
  <c r="CM356" i="8"/>
  <c r="CM357" i="8"/>
  <c r="CM358" i="8"/>
  <c r="CM359" i="8"/>
  <c r="CM360" i="8"/>
  <c r="CM361" i="8"/>
  <c r="CM362" i="8"/>
  <c r="CM363" i="8"/>
  <c r="CM364" i="8"/>
  <c r="CM365" i="8"/>
  <c r="CM366" i="8"/>
  <c r="CM367" i="8"/>
  <c r="CM368" i="8"/>
  <c r="CM369" i="8"/>
  <c r="CM370" i="8"/>
  <c r="CM371" i="8"/>
  <c r="CM372" i="8"/>
  <c r="CM373" i="8"/>
  <c r="CM374" i="8"/>
  <c r="CM375" i="8"/>
  <c r="CM376" i="8"/>
  <c r="CM377" i="8"/>
  <c r="CM378" i="8"/>
  <c r="CM379" i="8"/>
  <c r="CM380" i="8"/>
  <c r="CM381" i="8"/>
  <c r="CM382" i="8"/>
  <c r="CM383" i="8"/>
  <c r="CM384" i="8"/>
  <c r="CM385" i="8"/>
  <c r="CM386" i="8"/>
  <c r="CM387" i="8"/>
  <c r="CM388" i="8"/>
  <c r="CM389" i="8"/>
  <c r="CM390" i="8"/>
  <c r="CM391" i="8"/>
  <c r="CM392" i="8"/>
  <c r="CM393" i="8"/>
  <c r="CM394" i="8"/>
  <c r="CM395" i="8"/>
  <c r="CM396" i="8"/>
  <c r="CM397" i="8"/>
  <c r="CM398" i="8"/>
  <c r="CM399" i="8"/>
  <c r="CM400" i="8"/>
  <c r="CM401" i="8"/>
  <c r="CM402" i="8"/>
  <c r="CM403" i="8"/>
  <c r="CM404" i="8"/>
  <c r="CM405" i="8"/>
  <c r="CM406" i="8"/>
  <c r="CM407" i="8"/>
  <c r="CM408" i="8"/>
  <c r="CM409" i="8"/>
  <c r="CM410" i="8"/>
  <c r="CM411" i="8"/>
  <c r="CM412" i="8"/>
  <c r="CM413" i="8"/>
  <c r="CM414" i="8"/>
  <c r="CM415" i="8"/>
  <c r="CM416" i="8"/>
  <c r="CM417" i="8"/>
  <c r="CM418" i="8"/>
  <c r="CM419" i="8"/>
  <c r="CM420" i="8"/>
  <c r="CM421" i="8"/>
  <c r="CM422" i="8"/>
  <c r="CM423" i="8"/>
  <c r="CM424" i="8"/>
  <c r="CM425" i="8"/>
  <c r="CM426" i="8"/>
  <c r="CM427" i="8"/>
  <c r="CM428" i="8"/>
  <c r="CM429" i="8"/>
  <c r="CM430" i="8"/>
  <c r="CM431" i="8"/>
  <c r="CM432" i="8"/>
  <c r="CM433" i="8"/>
  <c r="CM434" i="8"/>
  <c r="CM435" i="8"/>
  <c r="CM436" i="8"/>
  <c r="CM437" i="8"/>
  <c r="CM438" i="8"/>
  <c r="CM439" i="8"/>
  <c r="CM440" i="8"/>
  <c r="CM441" i="8"/>
  <c r="CM442" i="8"/>
  <c r="CM443" i="8"/>
  <c r="CM444" i="8"/>
  <c r="CM445" i="8"/>
  <c r="CM446" i="8"/>
  <c r="CM447" i="8"/>
  <c r="CM448" i="8"/>
  <c r="CM449" i="8"/>
  <c r="CM450" i="8"/>
  <c r="CM451" i="8"/>
  <c r="CM452" i="8"/>
  <c r="CM453" i="8"/>
  <c r="CM454" i="8"/>
  <c r="CM455" i="8"/>
  <c r="CM456" i="8"/>
  <c r="CM457" i="8"/>
  <c r="CM458" i="8"/>
  <c r="CM459" i="8"/>
  <c r="CM460" i="8"/>
  <c r="CM461" i="8"/>
  <c r="CM462" i="8"/>
  <c r="CM463" i="8"/>
  <c r="CM464" i="8"/>
  <c r="CM465" i="8"/>
  <c r="CM466" i="8"/>
  <c r="CM467" i="8"/>
  <c r="CM468" i="8"/>
  <c r="CM469" i="8"/>
  <c r="CM470" i="8"/>
  <c r="CM471" i="8"/>
  <c r="CM472" i="8"/>
  <c r="CM473" i="8"/>
  <c r="CM474" i="8"/>
  <c r="CM475" i="8"/>
  <c r="CM476" i="8"/>
  <c r="CM477" i="8"/>
  <c r="CM478" i="8"/>
  <c r="CM479" i="8"/>
  <c r="CM480" i="8"/>
  <c r="CM481" i="8"/>
  <c r="CM482" i="8"/>
  <c r="CM483" i="8"/>
  <c r="CM484" i="8"/>
  <c r="CM485" i="8"/>
  <c r="CM486" i="8"/>
  <c r="CM487" i="8"/>
  <c r="CM488" i="8"/>
  <c r="CM489" i="8"/>
  <c r="CM490" i="8"/>
  <c r="CM491" i="8"/>
  <c r="CM492" i="8"/>
  <c r="CM493" i="8"/>
  <c r="CM494" i="8"/>
  <c r="CM495" i="8"/>
  <c r="CM496" i="8"/>
  <c r="CM497" i="8"/>
  <c r="CM498" i="8"/>
  <c r="CM499" i="8"/>
  <c r="CM500" i="8"/>
  <c r="CM501" i="8"/>
  <c r="CM502" i="8"/>
  <c r="CM503" i="8"/>
  <c r="CM504" i="8"/>
  <c r="CM505" i="8"/>
  <c r="CM506" i="8"/>
  <c r="CM507" i="8"/>
  <c r="CM508" i="8"/>
  <c r="CM509" i="8"/>
  <c r="CM510" i="8"/>
  <c r="CM511" i="8"/>
  <c r="CM512" i="8"/>
  <c r="CM513" i="8"/>
  <c r="CM514" i="8"/>
  <c r="CM515" i="8"/>
  <c r="CM516" i="8"/>
  <c r="CM517" i="8"/>
  <c r="CM518" i="8"/>
  <c r="CM519" i="8"/>
  <c r="CM520" i="8"/>
  <c r="CM521" i="8"/>
  <c r="CM522" i="8"/>
  <c r="CM523" i="8"/>
  <c r="CM524" i="8"/>
  <c r="CM525" i="8"/>
  <c r="CM526" i="8"/>
  <c r="CM527" i="8"/>
  <c r="CM528" i="8"/>
  <c r="CM529" i="8"/>
  <c r="CM530" i="8"/>
  <c r="CM531" i="8"/>
  <c r="CM532" i="8"/>
  <c r="CM533" i="8"/>
  <c r="CM534" i="8"/>
  <c r="CM535" i="8"/>
  <c r="CM536" i="8"/>
  <c r="CM537" i="8"/>
  <c r="CM538" i="8"/>
  <c r="CM539" i="8"/>
  <c r="CM540" i="8"/>
  <c r="CM541" i="8"/>
  <c r="CM542" i="8"/>
  <c r="CM543" i="8"/>
  <c r="CM544" i="8"/>
  <c r="CM545" i="8"/>
  <c r="CM546" i="8"/>
  <c r="CM547" i="8"/>
  <c r="CM548" i="8"/>
  <c r="CM549" i="8"/>
  <c r="CM550" i="8"/>
  <c r="CM551" i="8"/>
  <c r="CM552" i="8"/>
  <c r="CM553" i="8"/>
  <c r="CM554" i="8"/>
  <c r="CM555" i="8"/>
  <c r="CM556" i="8"/>
  <c r="CM557" i="8"/>
  <c r="CM558" i="8"/>
  <c r="CM559" i="8"/>
  <c r="CM560" i="8"/>
  <c r="CM561" i="8"/>
  <c r="CM562" i="8"/>
  <c r="CM563" i="8"/>
  <c r="CM564" i="8"/>
  <c r="CM565" i="8"/>
  <c r="CM566" i="8"/>
  <c r="CM567" i="8"/>
  <c r="CM568" i="8"/>
  <c r="CM569" i="8"/>
  <c r="CM570" i="8"/>
  <c r="CM571" i="8"/>
  <c r="CM572" i="8"/>
  <c r="CM573" i="8"/>
  <c r="CM574" i="8"/>
  <c r="CM575" i="8"/>
  <c r="CM576" i="8"/>
  <c r="CM577" i="8"/>
  <c r="CM578" i="8"/>
  <c r="CM579" i="8"/>
  <c r="CM580" i="8"/>
  <c r="CM581" i="8"/>
  <c r="CM582" i="8"/>
  <c r="CM583" i="8"/>
  <c r="CM584" i="8"/>
  <c r="CM585" i="8"/>
  <c r="CM586" i="8"/>
  <c r="CM587" i="8"/>
  <c r="CM588" i="8"/>
  <c r="CM589" i="8"/>
  <c r="CM590" i="8"/>
  <c r="CM591" i="8"/>
  <c r="CM592" i="8"/>
  <c r="CM593" i="8"/>
  <c r="CM594" i="8"/>
  <c r="CM595" i="8"/>
  <c r="CM596" i="8"/>
  <c r="CM597" i="8"/>
  <c r="CM598" i="8"/>
  <c r="CM599" i="8"/>
  <c r="CM600" i="8"/>
  <c r="CM601" i="8"/>
  <c r="CM602" i="8"/>
  <c r="CM603" i="8"/>
  <c r="CM604" i="8"/>
  <c r="CM605" i="8"/>
  <c r="CM606" i="8"/>
  <c r="CM607" i="8"/>
  <c r="CM608" i="8"/>
  <c r="CM609" i="8"/>
  <c r="CM610" i="8"/>
  <c r="CM611" i="8"/>
  <c r="CM612" i="8"/>
  <c r="CM613" i="8"/>
  <c r="CM614" i="8"/>
  <c r="CM615" i="8"/>
  <c r="CM616" i="8"/>
  <c r="CM617" i="8"/>
  <c r="CM618" i="8"/>
  <c r="CM619" i="8"/>
  <c r="CM620" i="8"/>
  <c r="CM621" i="8"/>
  <c r="CM622" i="8"/>
  <c r="CM623" i="8"/>
  <c r="CM624" i="8"/>
  <c r="CM625" i="8"/>
  <c r="CM626" i="8"/>
  <c r="CM627" i="8"/>
  <c r="CM628" i="8"/>
  <c r="CM629" i="8"/>
  <c r="CM630" i="8"/>
  <c r="CM631" i="8"/>
  <c r="CM632" i="8"/>
  <c r="CM633" i="8"/>
  <c r="CM634" i="8"/>
  <c r="CM635" i="8"/>
  <c r="CM636" i="8"/>
  <c r="CM637" i="8"/>
  <c r="CM638" i="8"/>
  <c r="CM639" i="8"/>
  <c r="CM640" i="8"/>
  <c r="CM641" i="8"/>
  <c r="CM642" i="8"/>
  <c r="CM643" i="8"/>
  <c r="CM644" i="8"/>
  <c r="CM645" i="8"/>
  <c r="CM646" i="8"/>
  <c r="CM647" i="8"/>
  <c r="CM648" i="8"/>
  <c r="CM649" i="8"/>
  <c r="CM650" i="8"/>
  <c r="CM651" i="8"/>
  <c r="CM652" i="8"/>
  <c r="CM653" i="8"/>
  <c r="CM654" i="8"/>
  <c r="CM655" i="8"/>
  <c r="CM656" i="8"/>
  <c r="CM657" i="8"/>
  <c r="CM658" i="8"/>
  <c r="CM659" i="8"/>
  <c r="CM660" i="8"/>
  <c r="CM661" i="8"/>
  <c r="CM662" i="8"/>
  <c r="CM663" i="8"/>
  <c r="CM664" i="8"/>
  <c r="CM665" i="8"/>
  <c r="CM666" i="8"/>
  <c r="CM667" i="8"/>
  <c r="CM668" i="8"/>
  <c r="CM669" i="8"/>
  <c r="CM670" i="8"/>
  <c r="CM671" i="8"/>
  <c r="CM672" i="8"/>
  <c r="CM673" i="8"/>
  <c r="CM674" i="8"/>
  <c r="CM675" i="8"/>
  <c r="CM676" i="8"/>
  <c r="CM677" i="8"/>
  <c r="CM678" i="8"/>
  <c r="CM679" i="8"/>
  <c r="CM680" i="8"/>
  <c r="CM681" i="8"/>
  <c r="CM682" i="8"/>
  <c r="CM683" i="8"/>
  <c r="CM684" i="8"/>
  <c r="CM685" i="8"/>
  <c r="CM686" i="8"/>
  <c r="CM687" i="8"/>
  <c r="CM688" i="8"/>
  <c r="CM689" i="8"/>
  <c r="CM690" i="8"/>
  <c r="CM691" i="8"/>
  <c r="CM692" i="8"/>
  <c r="CM693" i="8"/>
  <c r="CM694" i="8"/>
  <c r="CM695" i="8"/>
  <c r="CM696" i="8"/>
  <c r="CM697" i="8"/>
  <c r="CM698" i="8"/>
  <c r="CM699" i="8"/>
  <c r="CM700" i="8"/>
  <c r="CM701" i="8"/>
  <c r="CM702" i="8"/>
  <c r="CM703" i="8"/>
  <c r="CM704" i="8"/>
  <c r="CM705" i="8"/>
  <c r="CM706" i="8"/>
  <c r="CM707" i="8"/>
  <c r="CM708" i="8"/>
  <c r="CM709" i="8"/>
  <c r="CM710" i="8"/>
  <c r="CM711" i="8"/>
  <c r="CM712" i="8"/>
  <c r="CM713" i="8"/>
  <c r="CM714" i="8"/>
  <c r="CM715" i="8"/>
  <c r="CM716" i="8"/>
  <c r="CM717" i="8"/>
  <c r="CM718" i="8"/>
  <c r="CM719" i="8"/>
  <c r="CM720" i="8"/>
  <c r="CM721" i="8"/>
  <c r="CM722" i="8"/>
  <c r="CM723" i="8"/>
  <c r="CM724" i="8"/>
  <c r="CM725" i="8"/>
  <c r="CM726" i="8"/>
  <c r="CM727" i="8"/>
  <c r="CM728" i="8"/>
  <c r="CM729" i="8"/>
  <c r="CM730" i="8"/>
  <c r="CM731" i="8"/>
  <c r="CM732" i="8"/>
  <c r="CM733" i="8"/>
  <c r="CM734" i="8"/>
  <c r="CM735" i="8"/>
  <c r="CM736" i="8"/>
  <c r="CM737" i="8"/>
  <c r="CM738" i="8"/>
  <c r="CM739" i="8"/>
  <c r="CM740" i="8"/>
  <c r="CM741" i="8"/>
  <c r="CM742" i="8"/>
  <c r="CM743" i="8"/>
  <c r="CM744" i="8"/>
  <c r="CM745" i="8"/>
  <c r="CM746" i="8"/>
  <c r="CM747" i="8"/>
  <c r="CM748" i="8"/>
  <c r="CM749" i="8"/>
  <c r="CM750" i="8"/>
  <c r="CM751" i="8"/>
  <c r="CM752" i="8"/>
  <c r="CM753" i="8"/>
  <c r="CM754" i="8"/>
  <c r="CM755" i="8"/>
  <c r="CM756" i="8"/>
  <c r="CM757" i="8"/>
  <c r="CM758" i="8"/>
  <c r="CM759" i="8"/>
  <c r="CM760" i="8"/>
  <c r="CM761" i="8"/>
  <c r="CM762" i="8"/>
  <c r="CM763" i="8"/>
  <c r="CM764" i="8"/>
  <c r="CM765" i="8"/>
  <c r="CM766" i="8"/>
  <c r="CM767" i="8"/>
  <c r="CM768" i="8"/>
  <c r="CM769" i="8"/>
  <c r="CM770" i="8"/>
  <c r="CM771" i="8"/>
  <c r="CM772" i="8"/>
  <c r="CM773" i="8"/>
  <c r="CM774" i="8"/>
  <c r="CM775" i="8"/>
  <c r="CM776" i="8"/>
  <c r="CM777" i="8"/>
  <c r="CM778" i="8"/>
  <c r="CM779" i="8"/>
  <c r="CM780" i="8"/>
  <c r="CM781" i="8"/>
  <c r="CM782" i="8"/>
  <c r="CM783" i="8"/>
  <c r="CM784" i="8"/>
  <c r="CM785" i="8"/>
  <c r="CM786" i="8"/>
  <c r="CM787" i="8"/>
  <c r="CM788" i="8"/>
  <c r="CM789" i="8"/>
  <c r="CM790" i="8"/>
  <c r="CM791" i="8"/>
  <c r="CM792" i="8"/>
  <c r="CM793" i="8"/>
  <c r="CM794" i="8"/>
  <c r="CM9" i="8"/>
  <c r="AG6" i="8"/>
  <c r="AG7" i="8"/>
  <c r="AG8" i="8"/>
  <c r="AG9" i="8"/>
  <c r="AG10" i="8"/>
  <c r="AG11" i="8"/>
  <c r="AG12" i="8"/>
  <c r="AG13" i="8"/>
  <c r="AG14" i="8"/>
  <c r="AG15" i="8"/>
  <c r="AG16" i="8"/>
  <c r="AG17" i="8"/>
  <c r="AG18" i="8"/>
  <c r="AG19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69" i="8"/>
  <c r="AG70" i="8"/>
  <c r="AG71" i="8"/>
  <c r="AG72" i="8"/>
  <c r="AG73" i="8"/>
  <c r="AG74" i="8"/>
  <c r="AG75" i="8"/>
  <c r="AG76" i="8"/>
  <c r="AG77" i="8"/>
  <c r="AG78" i="8"/>
  <c r="AG79" i="8"/>
  <c r="AG80" i="8"/>
  <c r="AG81" i="8"/>
  <c r="AG82" i="8"/>
  <c r="AG83" i="8"/>
  <c r="AG84" i="8"/>
  <c r="AG85" i="8"/>
  <c r="AG86" i="8"/>
  <c r="AG87" i="8"/>
  <c r="AG88" i="8"/>
  <c r="AG89" i="8"/>
  <c r="AG90" i="8"/>
  <c r="AG91" i="8"/>
  <c r="AG92" i="8"/>
  <c r="AG93" i="8"/>
  <c r="AG94" i="8"/>
  <c r="AG95" i="8"/>
  <c r="AG96" i="8"/>
  <c r="AG97" i="8"/>
  <c r="AG98" i="8"/>
  <c r="AG99" i="8"/>
  <c r="AG100" i="8"/>
  <c r="AG101" i="8"/>
  <c r="AG102" i="8"/>
  <c r="AG103" i="8"/>
  <c r="AG104" i="8"/>
  <c r="AG105" i="8"/>
  <c r="AG106" i="8"/>
  <c r="AG107" i="8"/>
  <c r="AG108" i="8"/>
  <c r="AG109" i="8"/>
  <c r="AG110" i="8"/>
  <c r="AG111" i="8"/>
  <c r="AG112" i="8"/>
  <c r="AG113" i="8"/>
  <c r="AG114" i="8"/>
  <c r="AG115" i="8"/>
  <c r="AG116" i="8"/>
  <c r="AG117" i="8"/>
  <c r="AG118" i="8"/>
  <c r="AG119" i="8"/>
  <c r="AG120" i="8"/>
  <c r="AG121" i="8"/>
  <c r="AG122" i="8"/>
  <c r="AG123" i="8"/>
  <c r="AG124" i="8"/>
  <c r="AG125" i="8"/>
  <c r="AG126" i="8"/>
  <c r="AG127" i="8"/>
  <c r="AG128" i="8"/>
  <c r="AG129" i="8"/>
  <c r="AG130" i="8"/>
  <c r="AG131" i="8"/>
  <c r="AG132" i="8"/>
  <c r="AG133" i="8"/>
  <c r="AG134" i="8"/>
  <c r="AG135" i="8"/>
  <c r="AG136" i="8"/>
  <c r="AG137" i="8"/>
  <c r="AG138" i="8"/>
  <c r="AG139" i="8"/>
  <c r="AG140" i="8"/>
  <c r="AG141" i="8"/>
  <c r="AG142" i="8"/>
  <c r="AG143" i="8"/>
  <c r="AG144" i="8"/>
  <c r="AG145" i="8"/>
  <c r="AG146" i="8"/>
  <c r="AG147" i="8"/>
  <c r="AG148" i="8"/>
  <c r="AG149" i="8"/>
  <c r="AG150" i="8"/>
  <c r="AG151" i="8"/>
  <c r="AG152" i="8"/>
  <c r="AG153" i="8"/>
  <c r="AG154" i="8"/>
  <c r="AG155" i="8"/>
  <c r="AG156" i="8"/>
  <c r="AG157" i="8"/>
  <c r="AG158" i="8"/>
  <c r="AG159" i="8"/>
  <c r="AG160" i="8"/>
  <c r="AG161" i="8"/>
  <c r="AG162" i="8"/>
  <c r="AG163" i="8"/>
  <c r="AG164" i="8"/>
  <c r="AG165" i="8"/>
  <c r="AG166" i="8"/>
  <c r="AG167" i="8"/>
  <c r="AG168" i="8"/>
  <c r="AG169" i="8"/>
  <c r="AG170" i="8"/>
  <c r="AG171" i="8"/>
  <c r="AG172" i="8"/>
  <c r="AG173" i="8"/>
  <c r="AG174" i="8"/>
  <c r="AG175" i="8"/>
  <c r="AG176" i="8"/>
  <c r="AG177" i="8"/>
  <c r="AG178" i="8"/>
  <c r="AG179" i="8"/>
  <c r="AG180" i="8"/>
  <c r="AG181" i="8"/>
  <c r="AG182" i="8"/>
  <c r="AG183" i="8"/>
  <c r="AG184" i="8"/>
  <c r="AG185" i="8"/>
  <c r="AG186" i="8"/>
  <c r="AG187" i="8"/>
  <c r="AG188" i="8"/>
  <c r="AG189" i="8"/>
  <c r="AG190" i="8"/>
  <c r="AG191" i="8"/>
  <c r="AG192" i="8"/>
  <c r="AG193" i="8"/>
  <c r="AG194" i="8"/>
  <c r="AG195" i="8"/>
  <c r="AG196" i="8"/>
  <c r="AG197" i="8"/>
  <c r="AG198" i="8"/>
  <c r="AG199" i="8"/>
  <c r="AG200" i="8"/>
  <c r="AG201" i="8"/>
  <c r="AG202" i="8"/>
  <c r="AG203" i="8"/>
  <c r="AG204" i="8"/>
  <c r="AG205" i="8"/>
  <c r="AG206" i="8"/>
  <c r="AG207" i="8"/>
  <c r="AG208" i="8"/>
  <c r="AG209" i="8"/>
  <c r="AG210" i="8"/>
  <c r="AG211" i="8"/>
  <c r="AG212" i="8"/>
  <c r="AG213" i="8"/>
  <c r="AG214" i="8"/>
  <c r="AG215" i="8"/>
  <c r="AG216" i="8"/>
  <c r="AG217" i="8"/>
  <c r="AG218" i="8"/>
  <c r="AG219" i="8"/>
  <c r="AG220" i="8"/>
  <c r="AG221" i="8"/>
  <c r="AG222" i="8"/>
  <c r="AG223" i="8"/>
  <c r="AG224" i="8"/>
  <c r="AG225" i="8"/>
  <c r="AG226" i="8"/>
  <c r="AG227" i="8"/>
  <c r="AG228" i="8"/>
  <c r="AG229" i="8"/>
  <c r="AG230" i="8"/>
  <c r="AG231" i="8"/>
  <c r="AG232" i="8"/>
  <c r="AG233" i="8"/>
  <c r="AG234" i="8"/>
  <c r="AG235" i="8"/>
  <c r="AG236" i="8"/>
  <c r="AG237" i="8"/>
  <c r="AG238" i="8"/>
  <c r="AG239" i="8"/>
  <c r="AG240" i="8"/>
  <c r="AG241" i="8"/>
  <c r="AG242" i="8"/>
  <c r="AG243" i="8"/>
  <c r="AG244" i="8"/>
  <c r="AG245" i="8"/>
  <c r="AG246" i="8"/>
  <c r="AG247" i="8"/>
  <c r="AG248" i="8"/>
  <c r="AG249" i="8"/>
  <c r="AG250" i="8"/>
  <c r="AG251" i="8"/>
  <c r="AG252" i="8"/>
  <c r="AG253" i="8"/>
  <c r="AG254" i="8"/>
  <c r="AG255" i="8"/>
  <c r="AG256" i="8"/>
  <c r="AG257" i="8"/>
  <c r="AG258" i="8"/>
  <c r="AG259" i="8"/>
  <c r="AG260" i="8"/>
  <c r="AG261" i="8"/>
  <c r="AG262" i="8"/>
  <c r="AG263" i="8"/>
  <c r="AG264" i="8"/>
  <c r="AG265" i="8"/>
  <c r="AG266" i="8"/>
  <c r="AG267" i="8"/>
  <c r="AG268" i="8"/>
  <c r="AG269" i="8"/>
  <c r="AG270" i="8"/>
  <c r="AG271" i="8"/>
  <c r="AG272" i="8"/>
  <c r="AG273" i="8"/>
  <c r="AG274" i="8"/>
  <c r="AG275" i="8"/>
  <c r="AG276" i="8"/>
  <c r="AG277" i="8"/>
  <c r="AG278" i="8"/>
  <c r="AG279" i="8"/>
  <c r="AG280" i="8"/>
  <c r="AG281" i="8"/>
  <c r="AG282" i="8"/>
  <c r="AG283" i="8"/>
  <c r="AG284" i="8"/>
  <c r="AG285" i="8"/>
  <c r="AG286" i="8"/>
  <c r="AG287" i="8"/>
  <c r="AG288" i="8"/>
  <c r="AG289" i="8"/>
  <c r="AG290" i="8"/>
  <c r="AG291" i="8"/>
  <c r="AG292" i="8"/>
  <c r="AG293" i="8"/>
  <c r="AG294" i="8"/>
  <c r="AG295" i="8"/>
  <c r="AG296" i="8"/>
  <c r="AG297" i="8"/>
  <c r="AG298" i="8"/>
  <c r="AG299" i="8"/>
  <c r="AG300" i="8"/>
  <c r="AG301" i="8"/>
  <c r="AG302" i="8"/>
  <c r="AG303" i="8"/>
  <c r="AG304" i="8"/>
  <c r="AG305" i="8"/>
  <c r="AG306" i="8"/>
  <c r="AG307" i="8"/>
  <c r="AG308" i="8"/>
  <c r="AG309" i="8"/>
  <c r="AG310" i="8"/>
  <c r="AG311" i="8"/>
  <c r="AG312" i="8"/>
  <c r="AG313" i="8"/>
  <c r="AG314" i="8"/>
  <c r="AG315" i="8"/>
  <c r="AG316" i="8"/>
  <c r="AG317" i="8"/>
  <c r="AG318" i="8"/>
  <c r="AG319" i="8"/>
  <c r="AG320" i="8"/>
  <c r="AG321" i="8"/>
  <c r="AG322" i="8"/>
  <c r="AG323" i="8"/>
  <c r="AG324" i="8"/>
  <c r="AG325" i="8"/>
  <c r="AG326" i="8"/>
  <c r="AG327" i="8"/>
  <c r="AG328" i="8"/>
  <c r="AG329" i="8"/>
  <c r="AG330" i="8"/>
  <c r="AG331" i="8"/>
  <c r="AG332" i="8"/>
  <c r="AG333" i="8"/>
  <c r="AG334" i="8"/>
  <c r="AG335" i="8"/>
  <c r="AG336" i="8"/>
  <c r="AG337" i="8"/>
  <c r="AG338" i="8"/>
  <c r="AG339" i="8"/>
  <c r="AG340" i="8"/>
  <c r="AG341" i="8"/>
  <c r="AG342" i="8"/>
  <c r="AG343" i="8"/>
  <c r="AG344" i="8"/>
  <c r="AG345" i="8"/>
  <c r="AG346" i="8"/>
  <c r="AG347" i="8"/>
  <c r="AG348" i="8"/>
  <c r="AG349" i="8"/>
  <c r="AG350" i="8"/>
  <c r="AG351" i="8"/>
  <c r="AG352" i="8"/>
  <c r="AG353" i="8"/>
  <c r="AG354" i="8"/>
  <c r="AG355" i="8"/>
  <c r="AG356" i="8"/>
  <c r="AG357" i="8"/>
  <c r="AG358" i="8"/>
  <c r="AG359" i="8"/>
  <c r="AG360" i="8"/>
  <c r="AG361" i="8"/>
  <c r="AG362" i="8"/>
  <c r="AG363" i="8"/>
  <c r="AG364" i="8"/>
  <c r="AG365" i="8"/>
  <c r="AG366" i="8"/>
  <c r="AG367" i="8"/>
  <c r="AG368" i="8"/>
  <c r="AG369" i="8"/>
  <c r="AG370" i="8"/>
  <c r="AG371" i="8"/>
  <c r="AG372" i="8"/>
  <c r="AG373" i="8"/>
  <c r="AG374" i="8"/>
  <c r="AG375" i="8"/>
  <c r="AG376" i="8"/>
  <c r="AG377" i="8"/>
  <c r="AG378" i="8"/>
  <c r="AG379" i="8"/>
  <c r="AG380" i="8"/>
  <c r="AG381" i="8"/>
  <c r="AG382" i="8"/>
  <c r="AG383" i="8"/>
  <c r="AG384" i="8"/>
  <c r="AG385" i="8"/>
  <c r="AG386" i="8"/>
  <c r="AG387" i="8"/>
  <c r="AG388" i="8"/>
  <c r="AG389" i="8"/>
  <c r="AG390" i="8"/>
  <c r="AG391" i="8"/>
  <c r="AG392" i="8"/>
  <c r="AG393" i="8"/>
  <c r="AG394" i="8"/>
  <c r="AG395" i="8"/>
  <c r="AG396" i="8"/>
  <c r="AG397" i="8"/>
  <c r="AG398" i="8"/>
  <c r="AG399" i="8"/>
  <c r="AG400" i="8"/>
  <c r="AG401" i="8"/>
  <c r="AG402" i="8"/>
  <c r="AG403" i="8"/>
  <c r="AG404" i="8"/>
  <c r="AG405" i="8"/>
  <c r="AG406" i="8"/>
  <c r="AG407" i="8"/>
  <c r="AG408" i="8"/>
  <c r="AG409" i="8"/>
  <c r="AG410" i="8"/>
  <c r="AG411" i="8"/>
  <c r="AG412" i="8"/>
  <c r="AG413" i="8"/>
  <c r="AG414" i="8"/>
  <c r="AG415" i="8"/>
  <c r="AG416" i="8"/>
  <c r="AG417" i="8"/>
  <c r="AG418" i="8"/>
  <c r="AG419" i="8"/>
  <c r="AG420" i="8"/>
  <c r="AG421" i="8"/>
  <c r="AG422" i="8"/>
  <c r="AG423" i="8"/>
  <c r="AG424" i="8"/>
  <c r="AG425" i="8"/>
  <c r="AG426" i="8"/>
  <c r="AG427" i="8"/>
  <c r="AG428" i="8"/>
  <c r="AG429" i="8"/>
  <c r="AG430" i="8"/>
  <c r="AG431" i="8"/>
  <c r="AG432" i="8"/>
  <c r="AG433" i="8"/>
  <c r="AG434" i="8"/>
  <c r="AG435" i="8"/>
  <c r="AG436" i="8"/>
  <c r="AG437" i="8"/>
  <c r="AG438" i="8"/>
  <c r="AG439" i="8"/>
  <c r="AG440" i="8"/>
  <c r="AG441" i="8"/>
  <c r="AG442" i="8"/>
  <c r="AG443" i="8"/>
  <c r="AG444" i="8"/>
  <c r="AG445" i="8"/>
  <c r="AG446" i="8"/>
  <c r="AG447" i="8"/>
  <c r="AG448" i="8"/>
  <c r="AG449" i="8"/>
  <c r="AG450" i="8"/>
  <c r="AG451" i="8"/>
  <c r="AG452" i="8"/>
  <c r="AG453" i="8"/>
  <c r="AG454" i="8"/>
  <c r="AG455" i="8"/>
  <c r="AG456" i="8"/>
  <c r="AG457" i="8"/>
  <c r="AG458" i="8"/>
  <c r="AG459" i="8"/>
  <c r="AG460" i="8"/>
  <c r="AG461" i="8"/>
  <c r="AG462" i="8"/>
  <c r="AG463" i="8"/>
  <c r="AG464" i="8"/>
  <c r="AG465" i="8"/>
  <c r="AG466" i="8"/>
  <c r="AG467" i="8"/>
  <c r="AG468" i="8"/>
  <c r="AG469" i="8"/>
  <c r="AG470" i="8"/>
  <c r="AG471" i="8"/>
  <c r="AG472" i="8"/>
  <c r="AG473" i="8"/>
  <c r="AG474" i="8"/>
  <c r="AG475" i="8"/>
  <c r="AG476" i="8"/>
  <c r="AG477" i="8"/>
  <c r="AG478" i="8"/>
  <c r="AG479" i="8"/>
  <c r="AG480" i="8"/>
  <c r="AG481" i="8"/>
  <c r="AG482" i="8"/>
  <c r="AG483" i="8"/>
  <c r="AG484" i="8"/>
  <c r="AG485" i="8"/>
  <c r="AG486" i="8"/>
  <c r="AG487" i="8"/>
  <c r="AG488" i="8"/>
  <c r="AG489" i="8"/>
  <c r="AG490" i="8"/>
  <c r="AG491" i="8"/>
  <c r="AG492" i="8"/>
  <c r="AG493" i="8"/>
  <c r="AG494" i="8"/>
  <c r="AG495" i="8"/>
  <c r="AG496" i="8"/>
  <c r="AG497" i="8"/>
  <c r="AG498" i="8"/>
  <c r="AG499" i="8"/>
  <c r="AG500" i="8"/>
  <c r="AG501" i="8"/>
  <c r="AG502" i="8"/>
  <c r="AG503" i="8"/>
  <c r="AG504" i="8"/>
  <c r="AG505" i="8"/>
  <c r="AG506" i="8"/>
  <c r="AG507" i="8"/>
  <c r="AG508" i="8"/>
  <c r="AG509" i="8"/>
  <c r="AG510" i="8"/>
  <c r="AG511" i="8"/>
  <c r="AG512" i="8"/>
  <c r="AG513" i="8"/>
  <c r="AG514" i="8"/>
  <c r="AG515" i="8"/>
  <c r="AG516" i="8"/>
  <c r="AG517" i="8"/>
  <c r="AG518" i="8"/>
  <c r="AG519" i="8"/>
  <c r="AG520" i="8"/>
  <c r="AG521" i="8"/>
  <c r="AG522" i="8"/>
  <c r="AG523" i="8"/>
  <c r="AG524" i="8"/>
  <c r="AG525" i="8"/>
  <c r="AG526" i="8"/>
  <c r="AG527" i="8"/>
  <c r="AG528" i="8"/>
  <c r="AG529" i="8"/>
  <c r="AG530" i="8"/>
  <c r="AG531" i="8"/>
  <c r="AG532" i="8"/>
  <c r="AG533" i="8"/>
  <c r="AG534" i="8"/>
  <c r="AG535" i="8"/>
  <c r="AG536" i="8"/>
  <c r="AG537" i="8"/>
  <c r="AG538" i="8"/>
  <c r="AG539" i="8"/>
  <c r="AG540" i="8"/>
  <c r="AG541" i="8"/>
  <c r="AG542" i="8"/>
  <c r="AG543" i="8"/>
  <c r="AG544" i="8"/>
  <c r="AG545" i="8"/>
  <c r="AG546" i="8"/>
  <c r="AG547" i="8"/>
  <c r="AG548" i="8"/>
  <c r="AG549" i="8"/>
  <c r="AG550" i="8"/>
  <c r="AG551" i="8"/>
  <c r="AG552" i="8"/>
  <c r="AG553" i="8"/>
  <c r="AG554" i="8"/>
  <c r="AG555" i="8"/>
  <c r="AG556" i="8"/>
  <c r="AG557" i="8"/>
  <c r="AG558" i="8"/>
  <c r="AG559" i="8"/>
  <c r="AG560" i="8"/>
  <c r="AG561" i="8"/>
  <c r="AG562" i="8"/>
  <c r="AG563" i="8"/>
  <c r="AG564" i="8"/>
  <c r="AG565" i="8"/>
  <c r="AG566" i="8"/>
  <c r="AG567" i="8"/>
  <c r="AG568" i="8"/>
  <c r="AG569" i="8"/>
  <c r="AG570" i="8"/>
  <c r="AG571" i="8"/>
  <c r="AG572" i="8"/>
  <c r="AG573" i="8"/>
  <c r="AG574" i="8"/>
  <c r="AG575" i="8"/>
  <c r="AG576" i="8"/>
  <c r="AG577" i="8"/>
  <c r="AG578" i="8"/>
  <c r="AG579" i="8"/>
  <c r="AG580" i="8"/>
  <c r="AG581" i="8"/>
  <c r="AG582" i="8"/>
  <c r="AG583" i="8"/>
  <c r="AG584" i="8"/>
  <c r="AG585" i="8"/>
  <c r="AG586" i="8"/>
  <c r="AG587" i="8"/>
  <c r="AG588" i="8"/>
  <c r="AG589" i="8"/>
  <c r="AG590" i="8"/>
  <c r="AG591" i="8"/>
  <c r="AG592" i="8"/>
  <c r="AG593" i="8"/>
  <c r="AG594" i="8"/>
  <c r="AG595" i="8"/>
  <c r="AG596" i="8"/>
  <c r="AG597" i="8"/>
  <c r="AG598" i="8"/>
  <c r="AG599" i="8"/>
  <c r="AG600" i="8"/>
  <c r="AG601" i="8"/>
  <c r="AG602" i="8"/>
  <c r="AG603" i="8"/>
  <c r="AG604" i="8"/>
  <c r="AG605" i="8"/>
  <c r="AG606" i="8"/>
  <c r="AG607" i="8"/>
  <c r="AG608" i="8"/>
  <c r="AG609" i="8"/>
  <c r="AG610" i="8"/>
  <c r="AG611" i="8"/>
  <c r="AG612" i="8"/>
  <c r="AG613" i="8"/>
  <c r="AG614" i="8"/>
  <c r="AG615" i="8"/>
  <c r="AG616" i="8"/>
  <c r="AG617" i="8"/>
  <c r="AG618" i="8"/>
  <c r="AG619" i="8"/>
  <c r="AG620" i="8"/>
  <c r="AG621" i="8"/>
  <c r="AG622" i="8"/>
  <c r="AG623" i="8"/>
  <c r="AG624" i="8"/>
  <c r="AG625" i="8"/>
  <c r="AG626" i="8"/>
  <c r="AG627" i="8"/>
  <c r="AG628" i="8"/>
  <c r="AG629" i="8"/>
  <c r="AG630" i="8"/>
  <c r="AG631" i="8"/>
  <c r="AG632" i="8"/>
  <c r="AG633" i="8"/>
  <c r="AG634" i="8"/>
  <c r="AG635" i="8"/>
  <c r="AG636" i="8"/>
  <c r="AG637" i="8"/>
  <c r="AG638" i="8"/>
  <c r="AG639" i="8"/>
  <c r="AG640" i="8"/>
  <c r="AG641" i="8"/>
  <c r="AG642" i="8"/>
  <c r="AG643" i="8"/>
  <c r="AG644" i="8"/>
  <c r="AG645" i="8"/>
  <c r="AG646" i="8"/>
  <c r="AG647" i="8"/>
  <c r="AG648" i="8"/>
  <c r="AG649" i="8"/>
  <c r="AG650" i="8"/>
  <c r="AG651" i="8"/>
  <c r="AG652" i="8"/>
  <c r="AG653" i="8"/>
  <c r="AG654" i="8"/>
  <c r="AG655" i="8"/>
  <c r="AG656" i="8"/>
  <c r="AG657" i="8"/>
  <c r="AG658" i="8"/>
  <c r="AG659" i="8"/>
  <c r="AG660" i="8"/>
  <c r="AG661" i="8"/>
  <c r="AG662" i="8"/>
  <c r="AG663" i="8"/>
  <c r="AG664" i="8"/>
  <c r="AG665" i="8"/>
  <c r="AG666" i="8"/>
  <c r="AG667" i="8"/>
  <c r="AG668" i="8"/>
  <c r="AG669" i="8"/>
  <c r="AG670" i="8"/>
  <c r="AG671" i="8"/>
  <c r="AG672" i="8"/>
  <c r="AG673" i="8"/>
  <c r="AG674" i="8"/>
  <c r="AG675" i="8"/>
  <c r="AG676" i="8"/>
  <c r="AG677" i="8"/>
  <c r="AG678" i="8"/>
  <c r="AG679" i="8"/>
  <c r="AG680" i="8"/>
  <c r="AG681" i="8"/>
  <c r="AG682" i="8"/>
  <c r="AG683" i="8"/>
  <c r="AG684" i="8"/>
  <c r="AG685" i="8"/>
  <c r="AG686" i="8"/>
  <c r="AG687" i="8"/>
  <c r="AG688" i="8"/>
  <c r="AG689" i="8"/>
  <c r="AG690" i="8"/>
  <c r="AG691" i="8"/>
  <c r="AG692" i="8"/>
  <c r="AG693" i="8"/>
  <c r="AG694" i="8"/>
  <c r="AG695" i="8"/>
  <c r="AG696" i="8"/>
  <c r="AG697" i="8"/>
  <c r="AG698" i="8"/>
  <c r="AG699" i="8"/>
  <c r="AG700" i="8"/>
  <c r="AG701" i="8"/>
  <c r="AG702" i="8"/>
  <c r="AG703" i="8"/>
  <c r="AG704" i="8"/>
  <c r="AG705" i="8"/>
  <c r="AG706" i="8"/>
  <c r="AG707" i="8"/>
  <c r="AG708" i="8"/>
  <c r="AG709" i="8"/>
  <c r="AG710" i="8"/>
  <c r="AG711" i="8"/>
  <c r="AG712" i="8"/>
  <c r="AG713" i="8"/>
  <c r="AG714" i="8"/>
  <c r="AG715" i="8"/>
  <c r="AG716" i="8"/>
  <c r="AG717" i="8"/>
  <c r="AG718" i="8"/>
  <c r="AG719" i="8"/>
  <c r="AG720" i="8"/>
  <c r="AG721" i="8"/>
  <c r="AG722" i="8"/>
  <c r="AG723" i="8"/>
  <c r="AG724" i="8"/>
  <c r="AG725" i="8"/>
  <c r="AG726" i="8"/>
  <c r="AG727" i="8"/>
  <c r="AG728" i="8"/>
  <c r="AG729" i="8"/>
  <c r="AG730" i="8"/>
  <c r="AG731" i="8"/>
  <c r="AG732" i="8"/>
  <c r="AG733" i="8"/>
  <c r="AG734" i="8"/>
  <c r="AG735" i="8"/>
  <c r="AG736" i="8"/>
  <c r="AG737" i="8"/>
  <c r="AG738" i="8"/>
  <c r="AG739" i="8"/>
  <c r="AG740" i="8"/>
  <c r="AG741" i="8"/>
  <c r="AG742" i="8"/>
  <c r="AG743" i="8"/>
  <c r="AG744" i="8"/>
  <c r="AG745" i="8"/>
  <c r="AG746" i="8"/>
  <c r="AG747" i="8"/>
  <c r="AG748" i="8"/>
  <c r="AG749" i="8"/>
  <c r="AG750" i="8"/>
  <c r="AG751" i="8"/>
  <c r="AG752" i="8"/>
  <c r="AG753" i="8"/>
  <c r="AG754" i="8"/>
  <c r="AG755" i="8"/>
  <c r="AG756" i="8"/>
  <c r="AG757" i="8"/>
  <c r="AG758" i="8"/>
  <c r="AG759" i="8"/>
  <c r="AG760" i="8"/>
  <c r="AG761" i="8"/>
  <c r="AG762" i="8"/>
  <c r="AG763" i="8"/>
  <c r="AG764" i="8"/>
  <c r="AG765" i="8"/>
  <c r="AG766" i="8"/>
  <c r="AG767" i="8"/>
  <c r="AG768" i="8"/>
  <c r="AG769" i="8"/>
  <c r="AG770" i="8"/>
  <c r="AG771" i="8"/>
  <c r="AG772" i="8"/>
  <c r="AG773" i="8"/>
  <c r="AG774" i="8"/>
  <c r="AG775" i="8"/>
  <c r="AG776" i="8"/>
  <c r="AG777" i="8"/>
  <c r="AG778" i="8"/>
  <c r="AG779" i="8"/>
  <c r="AG780" i="8"/>
  <c r="AG781" i="8"/>
  <c r="AG782" i="8"/>
  <c r="AG783" i="8"/>
  <c r="AG784" i="8"/>
  <c r="AG785" i="8"/>
  <c r="AG786" i="8"/>
  <c r="AG787" i="8"/>
  <c r="AG788" i="8"/>
  <c r="AG789" i="8"/>
  <c r="AG790" i="8"/>
  <c r="AG791" i="8"/>
  <c r="AG792" i="8"/>
  <c r="AG793" i="8"/>
  <c r="AG794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87" i="8"/>
  <c r="AF88" i="8"/>
  <c r="AF89" i="8"/>
  <c r="AF90" i="8"/>
  <c r="AF91" i="8"/>
  <c r="AF92" i="8"/>
  <c r="AF93" i="8"/>
  <c r="AF94" i="8"/>
  <c r="AF95" i="8"/>
  <c r="AF96" i="8"/>
  <c r="AF97" i="8"/>
  <c r="AF98" i="8"/>
  <c r="AF99" i="8"/>
  <c r="AF100" i="8"/>
  <c r="AF101" i="8"/>
  <c r="AF102" i="8"/>
  <c r="AF103" i="8"/>
  <c r="AF104" i="8"/>
  <c r="AF105" i="8"/>
  <c r="AF106" i="8"/>
  <c r="AF107" i="8"/>
  <c r="AF108" i="8"/>
  <c r="AF109" i="8"/>
  <c r="AF110" i="8"/>
  <c r="AF111" i="8"/>
  <c r="AF112" i="8"/>
  <c r="AF113" i="8"/>
  <c r="AF114" i="8"/>
  <c r="AF115" i="8"/>
  <c r="AF116" i="8"/>
  <c r="AF117" i="8"/>
  <c r="AF118" i="8"/>
  <c r="AF119" i="8"/>
  <c r="AF120" i="8"/>
  <c r="AF121" i="8"/>
  <c r="AF122" i="8"/>
  <c r="AF123" i="8"/>
  <c r="AF124" i="8"/>
  <c r="AF125" i="8"/>
  <c r="AF126" i="8"/>
  <c r="AF127" i="8"/>
  <c r="AF128" i="8"/>
  <c r="AF129" i="8"/>
  <c r="AF130" i="8"/>
  <c r="AF131" i="8"/>
  <c r="AF132" i="8"/>
  <c r="AF133" i="8"/>
  <c r="AF134" i="8"/>
  <c r="AF135" i="8"/>
  <c r="AF136" i="8"/>
  <c r="AF137" i="8"/>
  <c r="AF138" i="8"/>
  <c r="AF139" i="8"/>
  <c r="AF140" i="8"/>
  <c r="AF141" i="8"/>
  <c r="AF142" i="8"/>
  <c r="AF143" i="8"/>
  <c r="AF144" i="8"/>
  <c r="AF145" i="8"/>
  <c r="AF146" i="8"/>
  <c r="AF147" i="8"/>
  <c r="AF148" i="8"/>
  <c r="AF149" i="8"/>
  <c r="AF150" i="8"/>
  <c r="AF151" i="8"/>
  <c r="AF152" i="8"/>
  <c r="AF153" i="8"/>
  <c r="AF154" i="8"/>
  <c r="AF155" i="8"/>
  <c r="AF156" i="8"/>
  <c r="AF157" i="8"/>
  <c r="AF158" i="8"/>
  <c r="AF159" i="8"/>
  <c r="AF160" i="8"/>
  <c r="AF161" i="8"/>
  <c r="AF162" i="8"/>
  <c r="AF163" i="8"/>
  <c r="AF164" i="8"/>
  <c r="AF165" i="8"/>
  <c r="AF166" i="8"/>
  <c r="AF167" i="8"/>
  <c r="AF168" i="8"/>
  <c r="AF169" i="8"/>
  <c r="AF170" i="8"/>
  <c r="AF171" i="8"/>
  <c r="AF172" i="8"/>
  <c r="AF173" i="8"/>
  <c r="AF174" i="8"/>
  <c r="AF175" i="8"/>
  <c r="AF176" i="8"/>
  <c r="AF177" i="8"/>
  <c r="AF178" i="8"/>
  <c r="AF179" i="8"/>
  <c r="AF180" i="8"/>
  <c r="AF181" i="8"/>
  <c r="AF182" i="8"/>
  <c r="AF183" i="8"/>
  <c r="AF184" i="8"/>
  <c r="AF185" i="8"/>
  <c r="AF186" i="8"/>
  <c r="AF187" i="8"/>
  <c r="AF188" i="8"/>
  <c r="AF189" i="8"/>
  <c r="AF190" i="8"/>
  <c r="AF191" i="8"/>
  <c r="AF192" i="8"/>
  <c r="AF193" i="8"/>
  <c r="AF194" i="8"/>
  <c r="AF195" i="8"/>
  <c r="AF196" i="8"/>
  <c r="AF197" i="8"/>
  <c r="AF198" i="8"/>
  <c r="AF199" i="8"/>
  <c r="AF200" i="8"/>
  <c r="AF201" i="8"/>
  <c r="AF202" i="8"/>
  <c r="AF203" i="8"/>
  <c r="AF204" i="8"/>
  <c r="AF205" i="8"/>
  <c r="AF206" i="8"/>
  <c r="AF207" i="8"/>
  <c r="AF208" i="8"/>
  <c r="AF209" i="8"/>
  <c r="AF210" i="8"/>
  <c r="AF211" i="8"/>
  <c r="AF212" i="8"/>
  <c r="AF213" i="8"/>
  <c r="AF214" i="8"/>
  <c r="AF215" i="8"/>
  <c r="AF216" i="8"/>
  <c r="AF217" i="8"/>
  <c r="AF218" i="8"/>
  <c r="AF219" i="8"/>
  <c r="AF220" i="8"/>
  <c r="AF221" i="8"/>
  <c r="AF222" i="8"/>
  <c r="AF223" i="8"/>
  <c r="AF224" i="8"/>
  <c r="AF225" i="8"/>
  <c r="AF226" i="8"/>
  <c r="AF227" i="8"/>
  <c r="AF228" i="8"/>
  <c r="AF229" i="8"/>
  <c r="AF230" i="8"/>
  <c r="AF231" i="8"/>
  <c r="AF232" i="8"/>
  <c r="AF233" i="8"/>
  <c r="AF234" i="8"/>
  <c r="AF235" i="8"/>
  <c r="AF236" i="8"/>
  <c r="AF237" i="8"/>
  <c r="AF238" i="8"/>
  <c r="AF239" i="8"/>
  <c r="AF240" i="8"/>
  <c r="AF241" i="8"/>
  <c r="AF242" i="8"/>
  <c r="AF243" i="8"/>
  <c r="AF244" i="8"/>
  <c r="AF245" i="8"/>
  <c r="AF246" i="8"/>
  <c r="AF247" i="8"/>
  <c r="AF248" i="8"/>
  <c r="AF249" i="8"/>
  <c r="AF250" i="8"/>
  <c r="AF251" i="8"/>
  <c r="AF252" i="8"/>
  <c r="AF253" i="8"/>
  <c r="AF254" i="8"/>
  <c r="AF255" i="8"/>
  <c r="AF256" i="8"/>
  <c r="AF257" i="8"/>
  <c r="AF258" i="8"/>
  <c r="AF259" i="8"/>
  <c r="AF260" i="8"/>
  <c r="AF261" i="8"/>
  <c r="AF262" i="8"/>
  <c r="AF263" i="8"/>
  <c r="AF264" i="8"/>
  <c r="AF265" i="8"/>
  <c r="AF266" i="8"/>
  <c r="AF267" i="8"/>
  <c r="AF268" i="8"/>
  <c r="AF269" i="8"/>
  <c r="AF270" i="8"/>
  <c r="AF271" i="8"/>
  <c r="AF272" i="8"/>
  <c r="AF273" i="8"/>
  <c r="AF274" i="8"/>
  <c r="AF275" i="8"/>
  <c r="AF276" i="8"/>
  <c r="AF277" i="8"/>
  <c r="AF278" i="8"/>
  <c r="AF279" i="8"/>
  <c r="AF280" i="8"/>
  <c r="AF281" i="8"/>
  <c r="AF282" i="8"/>
  <c r="AF283" i="8"/>
  <c r="AF284" i="8"/>
  <c r="AF285" i="8"/>
  <c r="AF286" i="8"/>
  <c r="AF287" i="8"/>
  <c r="AF288" i="8"/>
  <c r="AF289" i="8"/>
  <c r="AF290" i="8"/>
  <c r="AF291" i="8"/>
  <c r="AF292" i="8"/>
  <c r="AF293" i="8"/>
  <c r="AF294" i="8"/>
  <c r="AF295" i="8"/>
  <c r="AF296" i="8"/>
  <c r="AF297" i="8"/>
  <c r="AF298" i="8"/>
  <c r="AF299" i="8"/>
  <c r="AF300" i="8"/>
  <c r="AF301" i="8"/>
  <c r="AF302" i="8"/>
  <c r="AF303" i="8"/>
  <c r="AF304" i="8"/>
  <c r="AF305" i="8"/>
  <c r="AF306" i="8"/>
  <c r="AF307" i="8"/>
  <c r="AF308" i="8"/>
  <c r="AF309" i="8"/>
  <c r="AF310" i="8"/>
  <c r="AF311" i="8"/>
  <c r="AF312" i="8"/>
  <c r="AF313" i="8"/>
  <c r="AF314" i="8"/>
  <c r="AF315" i="8"/>
  <c r="AF316" i="8"/>
  <c r="AF317" i="8"/>
  <c r="AF318" i="8"/>
  <c r="AF319" i="8"/>
  <c r="AF320" i="8"/>
  <c r="AF321" i="8"/>
  <c r="AF322" i="8"/>
  <c r="AF323" i="8"/>
  <c r="AF324" i="8"/>
  <c r="AF325" i="8"/>
  <c r="AF326" i="8"/>
  <c r="AF327" i="8"/>
  <c r="AF328" i="8"/>
  <c r="AF329" i="8"/>
  <c r="AF330" i="8"/>
  <c r="AF331" i="8"/>
  <c r="AF332" i="8"/>
  <c r="AF333" i="8"/>
  <c r="AF334" i="8"/>
  <c r="AF335" i="8"/>
  <c r="AF336" i="8"/>
  <c r="AF337" i="8"/>
  <c r="AF338" i="8"/>
  <c r="AF339" i="8"/>
  <c r="AF340" i="8"/>
  <c r="AF341" i="8"/>
  <c r="AF342" i="8"/>
  <c r="AF343" i="8"/>
  <c r="AF344" i="8"/>
  <c r="AF345" i="8"/>
  <c r="AF346" i="8"/>
  <c r="AF347" i="8"/>
  <c r="AF348" i="8"/>
  <c r="AF349" i="8"/>
  <c r="AF350" i="8"/>
  <c r="AF351" i="8"/>
  <c r="AF352" i="8"/>
  <c r="AF353" i="8"/>
  <c r="AF354" i="8"/>
  <c r="AF355" i="8"/>
  <c r="AF356" i="8"/>
  <c r="AF357" i="8"/>
  <c r="AF358" i="8"/>
  <c r="AF359" i="8"/>
  <c r="AF360" i="8"/>
  <c r="AF361" i="8"/>
  <c r="AF362" i="8"/>
  <c r="AF363" i="8"/>
  <c r="AF364" i="8"/>
  <c r="AF365" i="8"/>
  <c r="AF366" i="8"/>
  <c r="AF367" i="8"/>
  <c r="AF368" i="8"/>
  <c r="AF369" i="8"/>
  <c r="AF370" i="8"/>
  <c r="AF371" i="8"/>
  <c r="AF372" i="8"/>
  <c r="AF373" i="8"/>
  <c r="AF374" i="8"/>
  <c r="AF375" i="8"/>
  <c r="AF376" i="8"/>
  <c r="AF377" i="8"/>
  <c r="AF378" i="8"/>
  <c r="AF379" i="8"/>
  <c r="AF380" i="8"/>
  <c r="AF381" i="8"/>
  <c r="AF382" i="8"/>
  <c r="AF383" i="8"/>
  <c r="AF384" i="8"/>
  <c r="AF385" i="8"/>
  <c r="AF386" i="8"/>
  <c r="AF387" i="8"/>
  <c r="AF388" i="8"/>
  <c r="AF389" i="8"/>
  <c r="AF390" i="8"/>
  <c r="AF391" i="8"/>
  <c r="AF392" i="8"/>
  <c r="AF393" i="8"/>
  <c r="AF394" i="8"/>
  <c r="AF395" i="8"/>
  <c r="AF396" i="8"/>
  <c r="AF397" i="8"/>
  <c r="AF398" i="8"/>
  <c r="AF399" i="8"/>
  <c r="AF400" i="8"/>
  <c r="AF401" i="8"/>
  <c r="AF402" i="8"/>
  <c r="AF403" i="8"/>
  <c r="AF404" i="8"/>
  <c r="AF405" i="8"/>
  <c r="AF406" i="8"/>
  <c r="AF407" i="8"/>
  <c r="AF408" i="8"/>
  <c r="AF409" i="8"/>
  <c r="AF410" i="8"/>
  <c r="AF411" i="8"/>
  <c r="AF412" i="8"/>
  <c r="AF413" i="8"/>
  <c r="AF414" i="8"/>
  <c r="AF415" i="8"/>
  <c r="AF416" i="8"/>
  <c r="AF417" i="8"/>
  <c r="AF418" i="8"/>
  <c r="AF419" i="8"/>
  <c r="AF420" i="8"/>
  <c r="AF421" i="8"/>
  <c r="AF422" i="8"/>
  <c r="AF423" i="8"/>
  <c r="AF424" i="8"/>
  <c r="AF425" i="8"/>
  <c r="AF426" i="8"/>
  <c r="AF427" i="8"/>
  <c r="AF428" i="8"/>
  <c r="AF429" i="8"/>
  <c r="AF430" i="8"/>
  <c r="AF431" i="8"/>
  <c r="AF432" i="8"/>
  <c r="AF433" i="8"/>
  <c r="AF434" i="8"/>
  <c r="AF435" i="8"/>
  <c r="AF436" i="8"/>
  <c r="AF437" i="8"/>
  <c r="AF438" i="8"/>
  <c r="AF439" i="8"/>
  <c r="AF440" i="8"/>
  <c r="AF441" i="8"/>
  <c r="AF442" i="8"/>
  <c r="AF443" i="8"/>
  <c r="AF444" i="8"/>
  <c r="AF445" i="8"/>
  <c r="AF446" i="8"/>
  <c r="AF447" i="8"/>
  <c r="AF448" i="8"/>
  <c r="AF449" i="8"/>
  <c r="AF450" i="8"/>
  <c r="AF451" i="8"/>
  <c r="AF452" i="8"/>
  <c r="AF453" i="8"/>
  <c r="AF454" i="8"/>
  <c r="AF455" i="8"/>
  <c r="AF456" i="8"/>
  <c r="AF457" i="8"/>
  <c r="AF458" i="8"/>
  <c r="AF459" i="8"/>
  <c r="AF460" i="8"/>
  <c r="AF461" i="8"/>
  <c r="AF462" i="8"/>
  <c r="AF463" i="8"/>
  <c r="AF464" i="8"/>
  <c r="AF465" i="8"/>
  <c r="AF466" i="8"/>
  <c r="AF467" i="8"/>
  <c r="AF468" i="8"/>
  <c r="AF469" i="8"/>
  <c r="AF470" i="8"/>
  <c r="AF471" i="8"/>
  <c r="AF472" i="8"/>
  <c r="AF473" i="8"/>
  <c r="AF474" i="8"/>
  <c r="AF475" i="8"/>
  <c r="AF476" i="8"/>
  <c r="AF477" i="8"/>
  <c r="AF478" i="8"/>
  <c r="AF479" i="8"/>
  <c r="AF480" i="8"/>
  <c r="AF481" i="8"/>
  <c r="AF482" i="8"/>
  <c r="AF483" i="8"/>
  <c r="AF484" i="8"/>
  <c r="AF485" i="8"/>
  <c r="AF486" i="8"/>
  <c r="AF487" i="8"/>
  <c r="AF488" i="8"/>
  <c r="AF489" i="8"/>
  <c r="AF490" i="8"/>
  <c r="AF491" i="8"/>
  <c r="AF492" i="8"/>
  <c r="AF493" i="8"/>
  <c r="AF494" i="8"/>
  <c r="AF495" i="8"/>
  <c r="AF496" i="8"/>
  <c r="AF497" i="8"/>
  <c r="AF498" i="8"/>
  <c r="AF499" i="8"/>
  <c r="AF500" i="8"/>
  <c r="AF501" i="8"/>
  <c r="AF502" i="8"/>
  <c r="AF503" i="8"/>
  <c r="AF504" i="8"/>
  <c r="AF505" i="8"/>
  <c r="AF506" i="8"/>
  <c r="AF507" i="8"/>
  <c r="AF508" i="8"/>
  <c r="AF509" i="8"/>
  <c r="AF510" i="8"/>
  <c r="AF511" i="8"/>
  <c r="AF512" i="8"/>
  <c r="AF513" i="8"/>
  <c r="AF514" i="8"/>
  <c r="AF515" i="8"/>
  <c r="AF516" i="8"/>
  <c r="AF517" i="8"/>
  <c r="AF518" i="8"/>
  <c r="AF519" i="8"/>
  <c r="AF520" i="8"/>
  <c r="AF521" i="8"/>
  <c r="AF522" i="8"/>
  <c r="AF523" i="8"/>
  <c r="AF524" i="8"/>
  <c r="AF525" i="8"/>
  <c r="AF526" i="8"/>
  <c r="AF527" i="8"/>
  <c r="AF528" i="8"/>
  <c r="AF529" i="8"/>
  <c r="AF530" i="8"/>
  <c r="AF531" i="8"/>
  <c r="AF532" i="8"/>
  <c r="AF533" i="8"/>
  <c r="AF534" i="8"/>
  <c r="AF535" i="8"/>
  <c r="AF536" i="8"/>
  <c r="AF537" i="8"/>
  <c r="AF538" i="8"/>
  <c r="AF539" i="8"/>
  <c r="AF540" i="8"/>
  <c r="AF541" i="8"/>
  <c r="AF542" i="8"/>
  <c r="AF543" i="8"/>
  <c r="AF544" i="8"/>
  <c r="AF545" i="8"/>
  <c r="AF546" i="8"/>
  <c r="AF547" i="8"/>
  <c r="AF548" i="8"/>
  <c r="AF549" i="8"/>
  <c r="AF550" i="8"/>
  <c r="AF551" i="8"/>
  <c r="AF552" i="8"/>
  <c r="AF553" i="8"/>
  <c r="AF554" i="8"/>
  <c r="AF555" i="8"/>
  <c r="AF556" i="8"/>
  <c r="AF557" i="8"/>
  <c r="AF558" i="8"/>
  <c r="AF559" i="8"/>
  <c r="AF560" i="8"/>
  <c r="AF561" i="8"/>
  <c r="AF562" i="8"/>
  <c r="AF563" i="8"/>
  <c r="AF564" i="8"/>
  <c r="AF565" i="8"/>
  <c r="AF566" i="8"/>
  <c r="AF567" i="8"/>
  <c r="AF568" i="8"/>
  <c r="AF569" i="8"/>
  <c r="AF570" i="8"/>
  <c r="AF571" i="8"/>
  <c r="AF572" i="8"/>
  <c r="AF573" i="8"/>
  <c r="AF574" i="8"/>
  <c r="AF575" i="8"/>
  <c r="AF576" i="8"/>
  <c r="AF577" i="8"/>
  <c r="AF578" i="8"/>
  <c r="AF579" i="8"/>
  <c r="AF580" i="8"/>
  <c r="AF581" i="8"/>
  <c r="AF582" i="8"/>
  <c r="AF583" i="8"/>
  <c r="AF584" i="8"/>
  <c r="AF585" i="8"/>
  <c r="AF586" i="8"/>
  <c r="AF587" i="8"/>
  <c r="AF588" i="8"/>
  <c r="AF589" i="8"/>
  <c r="AF590" i="8"/>
  <c r="AF591" i="8"/>
  <c r="AF592" i="8"/>
  <c r="AF593" i="8"/>
  <c r="AF594" i="8"/>
  <c r="AF595" i="8"/>
  <c r="AF596" i="8"/>
  <c r="AF597" i="8"/>
  <c r="AF598" i="8"/>
  <c r="AF599" i="8"/>
  <c r="AF600" i="8"/>
  <c r="AF601" i="8"/>
  <c r="AF602" i="8"/>
  <c r="AF603" i="8"/>
  <c r="AF604" i="8"/>
  <c r="AF605" i="8"/>
  <c r="AF606" i="8"/>
  <c r="AF607" i="8"/>
  <c r="AF608" i="8"/>
  <c r="AF609" i="8"/>
  <c r="AF610" i="8"/>
  <c r="AF611" i="8"/>
  <c r="AF612" i="8"/>
  <c r="AF613" i="8"/>
  <c r="AF614" i="8"/>
  <c r="AF615" i="8"/>
  <c r="AF616" i="8"/>
  <c r="AF617" i="8"/>
  <c r="AF618" i="8"/>
  <c r="AF619" i="8"/>
  <c r="AF620" i="8"/>
  <c r="AF621" i="8"/>
  <c r="AF622" i="8"/>
  <c r="AF623" i="8"/>
  <c r="AF624" i="8"/>
  <c r="AF625" i="8"/>
  <c r="AF626" i="8"/>
  <c r="AF627" i="8"/>
  <c r="AF628" i="8"/>
  <c r="AF629" i="8"/>
  <c r="AF630" i="8"/>
  <c r="AF631" i="8"/>
  <c r="AF632" i="8"/>
  <c r="AF633" i="8"/>
  <c r="AF634" i="8"/>
  <c r="AF635" i="8"/>
  <c r="AF636" i="8"/>
  <c r="AF637" i="8"/>
  <c r="AF638" i="8"/>
  <c r="AF639" i="8"/>
  <c r="AF640" i="8"/>
  <c r="AF641" i="8"/>
  <c r="AF642" i="8"/>
  <c r="AF643" i="8"/>
  <c r="AF644" i="8"/>
  <c r="AF645" i="8"/>
  <c r="AF646" i="8"/>
  <c r="AF647" i="8"/>
  <c r="AF648" i="8"/>
  <c r="AF649" i="8"/>
  <c r="AF650" i="8"/>
  <c r="AF651" i="8"/>
  <c r="AF652" i="8"/>
  <c r="AF653" i="8"/>
  <c r="AF654" i="8"/>
  <c r="AF655" i="8"/>
  <c r="AF656" i="8"/>
  <c r="AF657" i="8"/>
  <c r="AF658" i="8"/>
  <c r="AF659" i="8"/>
  <c r="AF660" i="8"/>
  <c r="AF661" i="8"/>
  <c r="AF662" i="8"/>
  <c r="AF663" i="8"/>
  <c r="AF664" i="8"/>
  <c r="AF665" i="8"/>
  <c r="AF666" i="8"/>
  <c r="AF667" i="8"/>
  <c r="AF668" i="8"/>
  <c r="AF669" i="8"/>
  <c r="AF670" i="8"/>
  <c r="AF671" i="8"/>
  <c r="AF672" i="8"/>
  <c r="AF673" i="8"/>
  <c r="AF674" i="8"/>
  <c r="AF675" i="8"/>
  <c r="AF676" i="8"/>
  <c r="AF677" i="8"/>
  <c r="AF678" i="8"/>
  <c r="AF679" i="8"/>
  <c r="AF680" i="8"/>
  <c r="AF681" i="8"/>
  <c r="AF682" i="8"/>
  <c r="AF683" i="8"/>
  <c r="AF684" i="8"/>
  <c r="AF685" i="8"/>
  <c r="AF686" i="8"/>
  <c r="AF687" i="8"/>
  <c r="AF688" i="8"/>
  <c r="AF689" i="8"/>
  <c r="AF690" i="8"/>
  <c r="AF691" i="8"/>
  <c r="AF692" i="8"/>
  <c r="AF693" i="8"/>
  <c r="AF694" i="8"/>
  <c r="AF695" i="8"/>
  <c r="AF696" i="8"/>
  <c r="AF697" i="8"/>
  <c r="AF698" i="8"/>
  <c r="AF699" i="8"/>
  <c r="AF700" i="8"/>
  <c r="AF701" i="8"/>
  <c r="AF702" i="8"/>
  <c r="AF703" i="8"/>
  <c r="AF704" i="8"/>
  <c r="AF705" i="8"/>
  <c r="AF706" i="8"/>
  <c r="AF707" i="8"/>
  <c r="AF708" i="8"/>
  <c r="AF709" i="8"/>
  <c r="AF710" i="8"/>
  <c r="AF711" i="8"/>
  <c r="AF712" i="8"/>
  <c r="AF713" i="8"/>
  <c r="AF714" i="8"/>
  <c r="AF715" i="8"/>
  <c r="AF716" i="8"/>
  <c r="AF717" i="8"/>
  <c r="AF718" i="8"/>
  <c r="AF719" i="8"/>
  <c r="AF720" i="8"/>
  <c r="AF721" i="8"/>
  <c r="AF722" i="8"/>
  <c r="AF723" i="8"/>
  <c r="AF724" i="8"/>
  <c r="AF725" i="8"/>
  <c r="AF726" i="8"/>
  <c r="AF727" i="8"/>
  <c r="AF728" i="8"/>
  <c r="AF729" i="8"/>
  <c r="AF730" i="8"/>
  <c r="AF731" i="8"/>
  <c r="AF732" i="8"/>
  <c r="AF733" i="8"/>
  <c r="AF734" i="8"/>
  <c r="AF735" i="8"/>
  <c r="AF736" i="8"/>
  <c r="AF737" i="8"/>
  <c r="AF738" i="8"/>
  <c r="AF739" i="8"/>
  <c r="AF740" i="8"/>
  <c r="AF741" i="8"/>
  <c r="AF742" i="8"/>
  <c r="AF743" i="8"/>
  <c r="AF744" i="8"/>
  <c r="AF745" i="8"/>
  <c r="AF746" i="8"/>
  <c r="AF747" i="8"/>
  <c r="AF748" i="8"/>
  <c r="AF749" i="8"/>
  <c r="AF750" i="8"/>
  <c r="AF751" i="8"/>
  <c r="AF752" i="8"/>
  <c r="AF753" i="8"/>
  <c r="AF754" i="8"/>
  <c r="AF755" i="8"/>
  <c r="AF756" i="8"/>
  <c r="AF757" i="8"/>
  <c r="AF758" i="8"/>
  <c r="AF759" i="8"/>
  <c r="AF760" i="8"/>
  <c r="AF761" i="8"/>
  <c r="AF762" i="8"/>
  <c r="AF763" i="8"/>
  <c r="AF764" i="8"/>
  <c r="AF765" i="8"/>
  <c r="AF766" i="8"/>
  <c r="AF767" i="8"/>
  <c r="AF768" i="8"/>
  <c r="AF769" i="8"/>
  <c r="AF770" i="8"/>
  <c r="AF771" i="8"/>
  <c r="AF772" i="8"/>
  <c r="AF773" i="8"/>
  <c r="AF774" i="8"/>
  <c r="AF775" i="8"/>
  <c r="AF776" i="8"/>
  <c r="AF777" i="8"/>
  <c r="AF778" i="8"/>
  <c r="AF779" i="8"/>
  <c r="AF780" i="8"/>
  <c r="AF781" i="8"/>
  <c r="AF782" i="8"/>
  <c r="AF783" i="8"/>
  <c r="AF784" i="8"/>
  <c r="AF785" i="8"/>
  <c r="AF786" i="8"/>
  <c r="AF787" i="8"/>
  <c r="AF788" i="8"/>
  <c r="AF789" i="8"/>
  <c r="AF790" i="8"/>
  <c r="AF791" i="8"/>
  <c r="AF792" i="8"/>
  <c r="AF793" i="8"/>
  <c r="AF794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E89" i="8"/>
  <c r="AE90" i="8"/>
  <c r="AE91" i="8"/>
  <c r="AE92" i="8"/>
  <c r="AE93" i="8"/>
  <c r="AE94" i="8"/>
  <c r="AE95" i="8"/>
  <c r="AE96" i="8"/>
  <c r="AE97" i="8"/>
  <c r="AE98" i="8"/>
  <c r="AE99" i="8"/>
  <c r="AE100" i="8"/>
  <c r="AE101" i="8"/>
  <c r="AE102" i="8"/>
  <c r="AE103" i="8"/>
  <c r="AE104" i="8"/>
  <c r="AE105" i="8"/>
  <c r="AE106" i="8"/>
  <c r="AE107" i="8"/>
  <c r="AE108" i="8"/>
  <c r="AE109" i="8"/>
  <c r="AE110" i="8"/>
  <c r="AE111" i="8"/>
  <c r="AE112" i="8"/>
  <c r="AE113" i="8"/>
  <c r="AE114" i="8"/>
  <c r="AE115" i="8"/>
  <c r="AE116" i="8"/>
  <c r="AE117" i="8"/>
  <c r="AE118" i="8"/>
  <c r="AE119" i="8"/>
  <c r="AE120" i="8"/>
  <c r="AE121" i="8"/>
  <c r="AE122" i="8"/>
  <c r="AE123" i="8"/>
  <c r="AE124" i="8"/>
  <c r="AE125" i="8"/>
  <c r="AE126" i="8"/>
  <c r="AE127" i="8"/>
  <c r="AE128" i="8"/>
  <c r="AE129" i="8"/>
  <c r="AE130" i="8"/>
  <c r="AE131" i="8"/>
  <c r="AE132" i="8"/>
  <c r="AE133" i="8"/>
  <c r="AE134" i="8"/>
  <c r="AE135" i="8"/>
  <c r="AE136" i="8"/>
  <c r="AE137" i="8"/>
  <c r="AE138" i="8"/>
  <c r="AE139" i="8"/>
  <c r="AE140" i="8"/>
  <c r="AE141" i="8"/>
  <c r="AE142" i="8"/>
  <c r="AE143" i="8"/>
  <c r="AE144" i="8"/>
  <c r="AE145" i="8"/>
  <c r="AE146" i="8"/>
  <c r="AE147" i="8"/>
  <c r="AE148" i="8"/>
  <c r="AE149" i="8"/>
  <c r="AE150" i="8"/>
  <c r="AE151" i="8"/>
  <c r="AE152" i="8"/>
  <c r="AE153" i="8"/>
  <c r="AE154" i="8"/>
  <c r="AE155" i="8"/>
  <c r="AE156" i="8"/>
  <c r="AE157" i="8"/>
  <c r="AE158" i="8"/>
  <c r="AE159" i="8"/>
  <c r="AE160" i="8"/>
  <c r="AE161" i="8"/>
  <c r="AE162" i="8"/>
  <c r="AE163" i="8"/>
  <c r="AE164" i="8"/>
  <c r="AE165" i="8"/>
  <c r="AE166" i="8"/>
  <c r="AE167" i="8"/>
  <c r="AE168" i="8"/>
  <c r="AE169" i="8"/>
  <c r="AE170" i="8"/>
  <c r="AE171" i="8"/>
  <c r="AE172" i="8"/>
  <c r="AE173" i="8"/>
  <c r="AE174" i="8"/>
  <c r="AE175" i="8"/>
  <c r="AE176" i="8"/>
  <c r="AE177" i="8"/>
  <c r="AE178" i="8"/>
  <c r="AE179" i="8"/>
  <c r="AE180" i="8"/>
  <c r="AE181" i="8"/>
  <c r="AE182" i="8"/>
  <c r="AE183" i="8"/>
  <c r="AE184" i="8"/>
  <c r="AE185" i="8"/>
  <c r="AE186" i="8"/>
  <c r="AE187" i="8"/>
  <c r="AE188" i="8"/>
  <c r="AE189" i="8"/>
  <c r="AE190" i="8"/>
  <c r="AE191" i="8"/>
  <c r="AE192" i="8"/>
  <c r="AE193" i="8"/>
  <c r="AE194" i="8"/>
  <c r="AE195" i="8"/>
  <c r="AE196" i="8"/>
  <c r="AE197" i="8"/>
  <c r="AE198" i="8"/>
  <c r="AE199" i="8"/>
  <c r="AE200" i="8"/>
  <c r="AE201" i="8"/>
  <c r="AE202" i="8"/>
  <c r="AE203" i="8"/>
  <c r="AE204" i="8"/>
  <c r="AE205" i="8"/>
  <c r="AE206" i="8"/>
  <c r="AE207" i="8"/>
  <c r="AE208" i="8"/>
  <c r="AE209" i="8"/>
  <c r="AE210" i="8"/>
  <c r="AE211" i="8"/>
  <c r="AE212" i="8"/>
  <c r="AE213" i="8"/>
  <c r="AE214" i="8"/>
  <c r="AE215" i="8"/>
  <c r="AE216" i="8"/>
  <c r="AE217" i="8"/>
  <c r="AE218" i="8"/>
  <c r="AE219" i="8"/>
  <c r="AE220" i="8"/>
  <c r="AE221" i="8"/>
  <c r="AE222" i="8"/>
  <c r="AE223" i="8"/>
  <c r="AE224" i="8"/>
  <c r="AE225" i="8"/>
  <c r="AE226" i="8"/>
  <c r="AE227" i="8"/>
  <c r="AE228" i="8"/>
  <c r="AE229" i="8"/>
  <c r="AE230" i="8"/>
  <c r="AE231" i="8"/>
  <c r="AE232" i="8"/>
  <c r="AE233" i="8"/>
  <c r="AE234" i="8"/>
  <c r="AE235" i="8"/>
  <c r="AE236" i="8"/>
  <c r="AE237" i="8"/>
  <c r="AE238" i="8"/>
  <c r="AE239" i="8"/>
  <c r="AE240" i="8"/>
  <c r="AE241" i="8"/>
  <c r="AE242" i="8"/>
  <c r="AE243" i="8"/>
  <c r="AE244" i="8"/>
  <c r="AE245" i="8"/>
  <c r="AE246" i="8"/>
  <c r="AE247" i="8"/>
  <c r="AE248" i="8"/>
  <c r="AE249" i="8"/>
  <c r="AE250" i="8"/>
  <c r="AE251" i="8"/>
  <c r="AE252" i="8"/>
  <c r="AE253" i="8"/>
  <c r="AE254" i="8"/>
  <c r="AE255" i="8"/>
  <c r="AE256" i="8"/>
  <c r="AE257" i="8"/>
  <c r="AE258" i="8"/>
  <c r="AE259" i="8"/>
  <c r="AE260" i="8"/>
  <c r="AE261" i="8"/>
  <c r="AE262" i="8"/>
  <c r="AE263" i="8"/>
  <c r="AE264" i="8"/>
  <c r="AE265" i="8"/>
  <c r="AE266" i="8"/>
  <c r="AE267" i="8"/>
  <c r="AE268" i="8"/>
  <c r="AE269" i="8"/>
  <c r="AE270" i="8"/>
  <c r="AE271" i="8"/>
  <c r="AE272" i="8"/>
  <c r="AE273" i="8"/>
  <c r="AE274" i="8"/>
  <c r="AE275" i="8"/>
  <c r="AE276" i="8"/>
  <c r="AE277" i="8"/>
  <c r="AE278" i="8"/>
  <c r="AE279" i="8"/>
  <c r="AE280" i="8"/>
  <c r="AE281" i="8"/>
  <c r="AE282" i="8"/>
  <c r="AE283" i="8"/>
  <c r="AE284" i="8"/>
  <c r="AE285" i="8"/>
  <c r="AE286" i="8"/>
  <c r="AE287" i="8"/>
  <c r="AE288" i="8"/>
  <c r="AE289" i="8"/>
  <c r="AE290" i="8"/>
  <c r="AE291" i="8"/>
  <c r="AE292" i="8"/>
  <c r="AE293" i="8"/>
  <c r="AE294" i="8"/>
  <c r="AE295" i="8"/>
  <c r="AE296" i="8"/>
  <c r="AE297" i="8"/>
  <c r="AE298" i="8"/>
  <c r="AE299" i="8"/>
  <c r="AE300" i="8"/>
  <c r="AE301" i="8"/>
  <c r="AE302" i="8"/>
  <c r="AE303" i="8"/>
  <c r="AE304" i="8"/>
  <c r="AE305" i="8"/>
  <c r="AE306" i="8"/>
  <c r="AE307" i="8"/>
  <c r="AE308" i="8"/>
  <c r="AE309" i="8"/>
  <c r="AE310" i="8"/>
  <c r="AE311" i="8"/>
  <c r="AE312" i="8"/>
  <c r="AE313" i="8"/>
  <c r="AE314" i="8"/>
  <c r="AE315" i="8"/>
  <c r="AE316" i="8"/>
  <c r="AE317" i="8"/>
  <c r="AE318" i="8"/>
  <c r="AE319" i="8"/>
  <c r="AE320" i="8"/>
  <c r="AE321" i="8"/>
  <c r="AE322" i="8"/>
  <c r="AE323" i="8"/>
  <c r="AE324" i="8"/>
  <c r="AE325" i="8"/>
  <c r="AE326" i="8"/>
  <c r="AE327" i="8"/>
  <c r="AE328" i="8"/>
  <c r="AE329" i="8"/>
  <c r="AE330" i="8"/>
  <c r="AE331" i="8"/>
  <c r="AE332" i="8"/>
  <c r="AE333" i="8"/>
  <c r="AE334" i="8"/>
  <c r="AE335" i="8"/>
  <c r="AE336" i="8"/>
  <c r="AE337" i="8"/>
  <c r="AE338" i="8"/>
  <c r="AE339" i="8"/>
  <c r="AE340" i="8"/>
  <c r="AE341" i="8"/>
  <c r="AE342" i="8"/>
  <c r="AE343" i="8"/>
  <c r="AE344" i="8"/>
  <c r="AE345" i="8"/>
  <c r="AE346" i="8"/>
  <c r="AE347" i="8"/>
  <c r="AE348" i="8"/>
  <c r="AE349" i="8"/>
  <c r="AE350" i="8"/>
  <c r="AE351" i="8"/>
  <c r="AE352" i="8"/>
  <c r="AE353" i="8"/>
  <c r="AE354" i="8"/>
  <c r="AE355" i="8"/>
  <c r="AE356" i="8"/>
  <c r="AE357" i="8"/>
  <c r="AE358" i="8"/>
  <c r="AE359" i="8"/>
  <c r="AE360" i="8"/>
  <c r="AE361" i="8"/>
  <c r="AE362" i="8"/>
  <c r="AE363" i="8"/>
  <c r="AE364" i="8"/>
  <c r="AE365" i="8"/>
  <c r="AE366" i="8"/>
  <c r="AE367" i="8"/>
  <c r="AE368" i="8"/>
  <c r="AE369" i="8"/>
  <c r="AE370" i="8"/>
  <c r="AE371" i="8"/>
  <c r="AE372" i="8"/>
  <c r="AE373" i="8"/>
  <c r="AE374" i="8"/>
  <c r="AE375" i="8"/>
  <c r="AE376" i="8"/>
  <c r="AE377" i="8"/>
  <c r="AE378" i="8"/>
  <c r="AE379" i="8"/>
  <c r="AE380" i="8"/>
  <c r="AE381" i="8"/>
  <c r="AE382" i="8"/>
  <c r="AE383" i="8"/>
  <c r="AE384" i="8"/>
  <c r="AE385" i="8"/>
  <c r="AE386" i="8"/>
  <c r="AE387" i="8"/>
  <c r="AE388" i="8"/>
  <c r="AE389" i="8"/>
  <c r="AE390" i="8"/>
  <c r="AE391" i="8"/>
  <c r="AE392" i="8"/>
  <c r="AE393" i="8"/>
  <c r="AE394" i="8"/>
  <c r="AE395" i="8"/>
  <c r="AE396" i="8"/>
  <c r="AE397" i="8"/>
  <c r="AE398" i="8"/>
  <c r="AE399" i="8"/>
  <c r="AE400" i="8"/>
  <c r="AE401" i="8"/>
  <c r="AE402" i="8"/>
  <c r="AE403" i="8"/>
  <c r="AE404" i="8"/>
  <c r="AE405" i="8"/>
  <c r="AE406" i="8"/>
  <c r="AE407" i="8"/>
  <c r="AE408" i="8"/>
  <c r="AE409" i="8"/>
  <c r="AE410" i="8"/>
  <c r="AE411" i="8"/>
  <c r="AE412" i="8"/>
  <c r="AE413" i="8"/>
  <c r="AE414" i="8"/>
  <c r="AE415" i="8"/>
  <c r="AE416" i="8"/>
  <c r="AE417" i="8"/>
  <c r="AE418" i="8"/>
  <c r="AE419" i="8"/>
  <c r="AE420" i="8"/>
  <c r="AE421" i="8"/>
  <c r="AE422" i="8"/>
  <c r="AE423" i="8"/>
  <c r="AE424" i="8"/>
  <c r="AE425" i="8"/>
  <c r="AE426" i="8"/>
  <c r="AE427" i="8"/>
  <c r="AE428" i="8"/>
  <c r="AE429" i="8"/>
  <c r="AE430" i="8"/>
  <c r="AE431" i="8"/>
  <c r="AE432" i="8"/>
  <c r="AE433" i="8"/>
  <c r="AE434" i="8"/>
  <c r="AE435" i="8"/>
  <c r="AE436" i="8"/>
  <c r="AE437" i="8"/>
  <c r="AE438" i="8"/>
  <c r="AE439" i="8"/>
  <c r="AE440" i="8"/>
  <c r="AE441" i="8"/>
  <c r="AE442" i="8"/>
  <c r="AE443" i="8"/>
  <c r="AE444" i="8"/>
  <c r="AE445" i="8"/>
  <c r="AE446" i="8"/>
  <c r="AE447" i="8"/>
  <c r="AE448" i="8"/>
  <c r="AE449" i="8"/>
  <c r="AE450" i="8"/>
  <c r="AE451" i="8"/>
  <c r="AE452" i="8"/>
  <c r="AE453" i="8"/>
  <c r="AE454" i="8"/>
  <c r="AE455" i="8"/>
  <c r="AE456" i="8"/>
  <c r="AE457" i="8"/>
  <c r="AE458" i="8"/>
  <c r="AE459" i="8"/>
  <c r="AE460" i="8"/>
  <c r="AE461" i="8"/>
  <c r="AE462" i="8"/>
  <c r="AE463" i="8"/>
  <c r="AE464" i="8"/>
  <c r="AE465" i="8"/>
  <c r="AE466" i="8"/>
  <c r="AE467" i="8"/>
  <c r="AE468" i="8"/>
  <c r="AE469" i="8"/>
  <c r="AE470" i="8"/>
  <c r="AE471" i="8"/>
  <c r="AE472" i="8"/>
  <c r="AE473" i="8"/>
  <c r="AE474" i="8"/>
  <c r="AE475" i="8"/>
  <c r="AE476" i="8"/>
  <c r="AE477" i="8"/>
  <c r="AE478" i="8"/>
  <c r="AE479" i="8"/>
  <c r="AE480" i="8"/>
  <c r="AE481" i="8"/>
  <c r="AE482" i="8"/>
  <c r="AE483" i="8"/>
  <c r="AE484" i="8"/>
  <c r="AE485" i="8"/>
  <c r="AE486" i="8"/>
  <c r="AE487" i="8"/>
  <c r="AE488" i="8"/>
  <c r="AE489" i="8"/>
  <c r="AE490" i="8"/>
  <c r="AE491" i="8"/>
  <c r="AE492" i="8"/>
  <c r="AE493" i="8"/>
  <c r="AE494" i="8"/>
  <c r="AE495" i="8"/>
  <c r="AE496" i="8"/>
  <c r="AE497" i="8"/>
  <c r="AE498" i="8"/>
  <c r="AE499" i="8"/>
  <c r="AE500" i="8"/>
  <c r="AE501" i="8"/>
  <c r="AE502" i="8"/>
  <c r="AE503" i="8"/>
  <c r="AE504" i="8"/>
  <c r="AE505" i="8"/>
  <c r="AE506" i="8"/>
  <c r="AE507" i="8"/>
  <c r="AE508" i="8"/>
  <c r="AE509" i="8"/>
  <c r="AE510" i="8"/>
  <c r="AE511" i="8"/>
  <c r="AE512" i="8"/>
  <c r="AE513" i="8"/>
  <c r="AE514" i="8"/>
  <c r="AE515" i="8"/>
  <c r="AE516" i="8"/>
  <c r="AE517" i="8"/>
  <c r="AE518" i="8"/>
  <c r="AE519" i="8"/>
  <c r="AE520" i="8"/>
  <c r="AE521" i="8"/>
  <c r="AE522" i="8"/>
  <c r="AE523" i="8"/>
  <c r="AE524" i="8"/>
  <c r="AE525" i="8"/>
  <c r="AE526" i="8"/>
  <c r="AE527" i="8"/>
  <c r="AE528" i="8"/>
  <c r="AE529" i="8"/>
  <c r="AE530" i="8"/>
  <c r="AE531" i="8"/>
  <c r="AE532" i="8"/>
  <c r="AE533" i="8"/>
  <c r="AE534" i="8"/>
  <c r="AE535" i="8"/>
  <c r="AE536" i="8"/>
  <c r="AE537" i="8"/>
  <c r="AE538" i="8"/>
  <c r="AE539" i="8"/>
  <c r="AE540" i="8"/>
  <c r="AE541" i="8"/>
  <c r="AE542" i="8"/>
  <c r="AE543" i="8"/>
  <c r="AE544" i="8"/>
  <c r="AE545" i="8"/>
  <c r="AE546" i="8"/>
  <c r="AE547" i="8"/>
  <c r="AE548" i="8"/>
  <c r="AE549" i="8"/>
  <c r="AE550" i="8"/>
  <c r="AE551" i="8"/>
  <c r="AE552" i="8"/>
  <c r="AE553" i="8"/>
  <c r="AE554" i="8"/>
  <c r="AE555" i="8"/>
  <c r="AE556" i="8"/>
  <c r="AE557" i="8"/>
  <c r="AE558" i="8"/>
  <c r="AE559" i="8"/>
  <c r="AE560" i="8"/>
  <c r="AE561" i="8"/>
  <c r="AE562" i="8"/>
  <c r="AE563" i="8"/>
  <c r="AE564" i="8"/>
  <c r="AE565" i="8"/>
  <c r="AE566" i="8"/>
  <c r="AE567" i="8"/>
  <c r="AE568" i="8"/>
  <c r="AE569" i="8"/>
  <c r="AE570" i="8"/>
  <c r="AE571" i="8"/>
  <c r="AE572" i="8"/>
  <c r="AE573" i="8"/>
  <c r="AE574" i="8"/>
  <c r="AE575" i="8"/>
  <c r="AE576" i="8"/>
  <c r="AE577" i="8"/>
  <c r="AE578" i="8"/>
  <c r="AE579" i="8"/>
  <c r="AE580" i="8"/>
  <c r="AE581" i="8"/>
  <c r="AE582" i="8"/>
  <c r="AE583" i="8"/>
  <c r="AE584" i="8"/>
  <c r="AE585" i="8"/>
  <c r="AE586" i="8"/>
  <c r="AE587" i="8"/>
  <c r="AE588" i="8"/>
  <c r="AE589" i="8"/>
  <c r="AE590" i="8"/>
  <c r="AE591" i="8"/>
  <c r="AE592" i="8"/>
  <c r="AE593" i="8"/>
  <c r="AE594" i="8"/>
  <c r="AE595" i="8"/>
  <c r="AE596" i="8"/>
  <c r="AE597" i="8"/>
  <c r="AE598" i="8"/>
  <c r="AE599" i="8"/>
  <c r="AE600" i="8"/>
  <c r="AE601" i="8"/>
  <c r="AE602" i="8"/>
  <c r="AE603" i="8"/>
  <c r="AE604" i="8"/>
  <c r="AE605" i="8"/>
  <c r="AE606" i="8"/>
  <c r="AE607" i="8"/>
  <c r="AE608" i="8"/>
  <c r="AE609" i="8"/>
  <c r="AE610" i="8"/>
  <c r="AE611" i="8"/>
  <c r="AE612" i="8"/>
  <c r="AE613" i="8"/>
  <c r="AE614" i="8"/>
  <c r="AE615" i="8"/>
  <c r="AE616" i="8"/>
  <c r="AE617" i="8"/>
  <c r="AE618" i="8"/>
  <c r="AE619" i="8"/>
  <c r="AE620" i="8"/>
  <c r="AE621" i="8"/>
  <c r="AE622" i="8"/>
  <c r="AE623" i="8"/>
  <c r="AE624" i="8"/>
  <c r="AE625" i="8"/>
  <c r="AE626" i="8"/>
  <c r="AE627" i="8"/>
  <c r="AE628" i="8"/>
  <c r="AE629" i="8"/>
  <c r="AE630" i="8"/>
  <c r="AE631" i="8"/>
  <c r="AE632" i="8"/>
  <c r="AE633" i="8"/>
  <c r="AE634" i="8"/>
  <c r="AE635" i="8"/>
  <c r="AE636" i="8"/>
  <c r="AE637" i="8"/>
  <c r="AE638" i="8"/>
  <c r="AE639" i="8"/>
  <c r="AE640" i="8"/>
  <c r="AE641" i="8"/>
  <c r="AE642" i="8"/>
  <c r="AE643" i="8"/>
  <c r="AE644" i="8"/>
  <c r="AE645" i="8"/>
  <c r="AE646" i="8"/>
  <c r="AE647" i="8"/>
  <c r="AE648" i="8"/>
  <c r="AE649" i="8"/>
  <c r="AE650" i="8"/>
  <c r="AE651" i="8"/>
  <c r="AE652" i="8"/>
  <c r="AE653" i="8"/>
  <c r="AE654" i="8"/>
  <c r="AE655" i="8"/>
  <c r="AE656" i="8"/>
  <c r="AE657" i="8"/>
  <c r="AE658" i="8"/>
  <c r="AE659" i="8"/>
  <c r="AE660" i="8"/>
  <c r="AE661" i="8"/>
  <c r="AE662" i="8"/>
  <c r="AE663" i="8"/>
  <c r="AE664" i="8"/>
  <c r="AE665" i="8"/>
  <c r="AE666" i="8"/>
  <c r="AE667" i="8"/>
  <c r="AE668" i="8"/>
  <c r="AE669" i="8"/>
  <c r="AE670" i="8"/>
  <c r="AE671" i="8"/>
  <c r="AE672" i="8"/>
  <c r="AE673" i="8"/>
  <c r="AE674" i="8"/>
  <c r="AE675" i="8"/>
  <c r="AE676" i="8"/>
  <c r="AE677" i="8"/>
  <c r="AE678" i="8"/>
  <c r="AE679" i="8"/>
  <c r="AE680" i="8"/>
  <c r="AE681" i="8"/>
  <c r="AE682" i="8"/>
  <c r="AE683" i="8"/>
  <c r="AE684" i="8"/>
  <c r="AE685" i="8"/>
  <c r="AE686" i="8"/>
  <c r="AE687" i="8"/>
  <c r="AE688" i="8"/>
  <c r="AE689" i="8"/>
  <c r="AE690" i="8"/>
  <c r="AE691" i="8"/>
  <c r="AE692" i="8"/>
  <c r="AE693" i="8"/>
  <c r="AE694" i="8"/>
  <c r="AE695" i="8"/>
  <c r="AE696" i="8"/>
  <c r="AE697" i="8"/>
  <c r="AE698" i="8"/>
  <c r="AE699" i="8"/>
  <c r="AE700" i="8"/>
  <c r="AE701" i="8"/>
  <c r="AE702" i="8"/>
  <c r="AE703" i="8"/>
  <c r="AE704" i="8"/>
  <c r="AE705" i="8"/>
  <c r="AE706" i="8"/>
  <c r="AE707" i="8"/>
  <c r="AE708" i="8"/>
  <c r="AE709" i="8"/>
  <c r="AE710" i="8"/>
  <c r="AE711" i="8"/>
  <c r="AE712" i="8"/>
  <c r="AE713" i="8"/>
  <c r="AE714" i="8"/>
  <c r="AE715" i="8"/>
  <c r="AE716" i="8"/>
  <c r="AE717" i="8"/>
  <c r="AE718" i="8"/>
  <c r="AE719" i="8"/>
  <c r="AE720" i="8"/>
  <c r="AE721" i="8"/>
  <c r="AE722" i="8"/>
  <c r="AE723" i="8"/>
  <c r="AE724" i="8"/>
  <c r="AE725" i="8"/>
  <c r="AE726" i="8"/>
  <c r="AE727" i="8"/>
  <c r="AE728" i="8"/>
  <c r="AE729" i="8"/>
  <c r="AE730" i="8"/>
  <c r="AE731" i="8"/>
  <c r="AE732" i="8"/>
  <c r="AE733" i="8"/>
  <c r="AE734" i="8"/>
  <c r="AE735" i="8"/>
  <c r="AE736" i="8"/>
  <c r="AE737" i="8"/>
  <c r="AE738" i="8"/>
  <c r="AE739" i="8"/>
  <c r="AE740" i="8"/>
  <c r="AE741" i="8"/>
  <c r="AE742" i="8"/>
  <c r="AE743" i="8"/>
  <c r="AE744" i="8"/>
  <c r="AE745" i="8"/>
  <c r="AE746" i="8"/>
  <c r="AE747" i="8"/>
  <c r="AE748" i="8"/>
  <c r="AE749" i="8"/>
  <c r="AE750" i="8"/>
  <c r="AE751" i="8"/>
  <c r="AE752" i="8"/>
  <c r="AE753" i="8"/>
  <c r="AE754" i="8"/>
  <c r="AE755" i="8"/>
  <c r="AE756" i="8"/>
  <c r="AE757" i="8"/>
  <c r="AE758" i="8"/>
  <c r="AE759" i="8"/>
  <c r="AE760" i="8"/>
  <c r="AE761" i="8"/>
  <c r="AE762" i="8"/>
  <c r="AE763" i="8"/>
  <c r="AE764" i="8"/>
  <c r="AE765" i="8"/>
  <c r="AE766" i="8"/>
  <c r="AE767" i="8"/>
  <c r="AE768" i="8"/>
  <c r="AE769" i="8"/>
  <c r="AE770" i="8"/>
  <c r="AE771" i="8"/>
  <c r="AE772" i="8"/>
  <c r="AE773" i="8"/>
  <c r="AE774" i="8"/>
  <c r="AE775" i="8"/>
  <c r="AE776" i="8"/>
  <c r="AE777" i="8"/>
  <c r="AE778" i="8"/>
  <c r="AE779" i="8"/>
  <c r="AE780" i="8"/>
  <c r="AE781" i="8"/>
  <c r="AE782" i="8"/>
  <c r="AE783" i="8"/>
  <c r="AE784" i="8"/>
  <c r="AE785" i="8"/>
  <c r="AE786" i="8"/>
  <c r="AE787" i="8"/>
  <c r="AE788" i="8"/>
  <c r="AE789" i="8"/>
  <c r="AE790" i="8"/>
  <c r="AE791" i="8"/>
  <c r="AE792" i="8"/>
  <c r="AE793" i="8"/>
  <c r="AE794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91" i="8"/>
  <c r="AD92" i="8"/>
  <c r="AD93" i="8"/>
  <c r="AD94" i="8"/>
  <c r="AD95" i="8"/>
  <c r="AD96" i="8"/>
  <c r="AD97" i="8"/>
  <c r="AD98" i="8"/>
  <c r="AD99" i="8"/>
  <c r="AD100" i="8"/>
  <c r="AD101" i="8"/>
  <c r="AD102" i="8"/>
  <c r="AD103" i="8"/>
  <c r="AD104" i="8"/>
  <c r="AD105" i="8"/>
  <c r="AD106" i="8"/>
  <c r="AD107" i="8"/>
  <c r="AD108" i="8"/>
  <c r="AD109" i="8"/>
  <c r="AD110" i="8"/>
  <c r="AD111" i="8"/>
  <c r="AD112" i="8"/>
  <c r="AD113" i="8"/>
  <c r="AD114" i="8"/>
  <c r="AD115" i="8"/>
  <c r="AD116" i="8"/>
  <c r="AD117" i="8"/>
  <c r="AD118" i="8"/>
  <c r="AD119" i="8"/>
  <c r="AD120" i="8"/>
  <c r="AD121" i="8"/>
  <c r="AD122" i="8"/>
  <c r="AD123" i="8"/>
  <c r="AD124" i="8"/>
  <c r="AD125" i="8"/>
  <c r="AD126" i="8"/>
  <c r="AD127" i="8"/>
  <c r="AD128" i="8"/>
  <c r="AD129" i="8"/>
  <c r="AD130" i="8"/>
  <c r="AD131" i="8"/>
  <c r="AD132" i="8"/>
  <c r="AD133" i="8"/>
  <c r="AD134" i="8"/>
  <c r="AD135" i="8"/>
  <c r="AD136" i="8"/>
  <c r="AD137" i="8"/>
  <c r="AD138" i="8"/>
  <c r="AD139" i="8"/>
  <c r="AD140" i="8"/>
  <c r="AD141" i="8"/>
  <c r="AD142" i="8"/>
  <c r="AD143" i="8"/>
  <c r="AD144" i="8"/>
  <c r="AD145" i="8"/>
  <c r="AD146" i="8"/>
  <c r="AD147" i="8"/>
  <c r="AD148" i="8"/>
  <c r="AD149" i="8"/>
  <c r="AD150" i="8"/>
  <c r="AD151" i="8"/>
  <c r="AD152" i="8"/>
  <c r="AD153" i="8"/>
  <c r="AD154" i="8"/>
  <c r="AD155" i="8"/>
  <c r="AD156" i="8"/>
  <c r="AD157" i="8"/>
  <c r="AD158" i="8"/>
  <c r="AD159" i="8"/>
  <c r="AD160" i="8"/>
  <c r="AD161" i="8"/>
  <c r="AD162" i="8"/>
  <c r="AD163" i="8"/>
  <c r="AD164" i="8"/>
  <c r="AD165" i="8"/>
  <c r="AD166" i="8"/>
  <c r="AD167" i="8"/>
  <c r="AD168" i="8"/>
  <c r="AD169" i="8"/>
  <c r="AD170" i="8"/>
  <c r="AD171" i="8"/>
  <c r="AD172" i="8"/>
  <c r="AD173" i="8"/>
  <c r="AD174" i="8"/>
  <c r="AD175" i="8"/>
  <c r="AD176" i="8"/>
  <c r="AD177" i="8"/>
  <c r="AD178" i="8"/>
  <c r="AD179" i="8"/>
  <c r="AD180" i="8"/>
  <c r="AD181" i="8"/>
  <c r="AD182" i="8"/>
  <c r="AD183" i="8"/>
  <c r="AD184" i="8"/>
  <c r="AD185" i="8"/>
  <c r="AD186" i="8"/>
  <c r="AD187" i="8"/>
  <c r="AD188" i="8"/>
  <c r="AD189" i="8"/>
  <c r="AD190" i="8"/>
  <c r="AD191" i="8"/>
  <c r="AD192" i="8"/>
  <c r="AD193" i="8"/>
  <c r="AD194" i="8"/>
  <c r="AD195" i="8"/>
  <c r="AD196" i="8"/>
  <c r="AD197" i="8"/>
  <c r="AD198" i="8"/>
  <c r="AD199" i="8"/>
  <c r="AD200" i="8"/>
  <c r="AD201" i="8"/>
  <c r="AD202" i="8"/>
  <c r="AD203" i="8"/>
  <c r="AD204" i="8"/>
  <c r="AD205" i="8"/>
  <c r="AD206" i="8"/>
  <c r="AD207" i="8"/>
  <c r="AD208" i="8"/>
  <c r="AD209" i="8"/>
  <c r="AD210" i="8"/>
  <c r="AD211" i="8"/>
  <c r="AD212" i="8"/>
  <c r="AD213" i="8"/>
  <c r="AD214" i="8"/>
  <c r="AD215" i="8"/>
  <c r="AD216" i="8"/>
  <c r="AD217" i="8"/>
  <c r="AD218" i="8"/>
  <c r="AD219" i="8"/>
  <c r="AD220" i="8"/>
  <c r="AD221" i="8"/>
  <c r="AD222" i="8"/>
  <c r="AD223" i="8"/>
  <c r="AD224" i="8"/>
  <c r="AD225" i="8"/>
  <c r="AD226" i="8"/>
  <c r="AD227" i="8"/>
  <c r="AD228" i="8"/>
  <c r="AD229" i="8"/>
  <c r="AD230" i="8"/>
  <c r="AD231" i="8"/>
  <c r="AD232" i="8"/>
  <c r="AD233" i="8"/>
  <c r="AD234" i="8"/>
  <c r="AD235" i="8"/>
  <c r="AD236" i="8"/>
  <c r="AD237" i="8"/>
  <c r="AD238" i="8"/>
  <c r="AD239" i="8"/>
  <c r="AD240" i="8"/>
  <c r="AD241" i="8"/>
  <c r="AD242" i="8"/>
  <c r="AD243" i="8"/>
  <c r="AD244" i="8"/>
  <c r="AD245" i="8"/>
  <c r="AD246" i="8"/>
  <c r="AD247" i="8"/>
  <c r="AD248" i="8"/>
  <c r="AD249" i="8"/>
  <c r="AD250" i="8"/>
  <c r="AD251" i="8"/>
  <c r="AD252" i="8"/>
  <c r="AD253" i="8"/>
  <c r="AD254" i="8"/>
  <c r="AD255" i="8"/>
  <c r="AD256" i="8"/>
  <c r="AD257" i="8"/>
  <c r="AD258" i="8"/>
  <c r="AD259" i="8"/>
  <c r="AD260" i="8"/>
  <c r="AD261" i="8"/>
  <c r="AD262" i="8"/>
  <c r="AD263" i="8"/>
  <c r="AD264" i="8"/>
  <c r="AD265" i="8"/>
  <c r="AD266" i="8"/>
  <c r="AD267" i="8"/>
  <c r="AD268" i="8"/>
  <c r="AD269" i="8"/>
  <c r="AD270" i="8"/>
  <c r="AD271" i="8"/>
  <c r="AD272" i="8"/>
  <c r="AD273" i="8"/>
  <c r="AD274" i="8"/>
  <c r="AD275" i="8"/>
  <c r="AD276" i="8"/>
  <c r="AD277" i="8"/>
  <c r="AD278" i="8"/>
  <c r="AD279" i="8"/>
  <c r="AD280" i="8"/>
  <c r="AD281" i="8"/>
  <c r="AD282" i="8"/>
  <c r="AD283" i="8"/>
  <c r="AD284" i="8"/>
  <c r="AD285" i="8"/>
  <c r="AD286" i="8"/>
  <c r="AD287" i="8"/>
  <c r="AD288" i="8"/>
  <c r="AD289" i="8"/>
  <c r="AD290" i="8"/>
  <c r="AD291" i="8"/>
  <c r="AD292" i="8"/>
  <c r="AD293" i="8"/>
  <c r="AD294" i="8"/>
  <c r="AD295" i="8"/>
  <c r="AD296" i="8"/>
  <c r="AD297" i="8"/>
  <c r="AD298" i="8"/>
  <c r="AD299" i="8"/>
  <c r="AD300" i="8"/>
  <c r="AD301" i="8"/>
  <c r="AD302" i="8"/>
  <c r="AD303" i="8"/>
  <c r="AD304" i="8"/>
  <c r="AD305" i="8"/>
  <c r="AD306" i="8"/>
  <c r="AD307" i="8"/>
  <c r="AD308" i="8"/>
  <c r="AD309" i="8"/>
  <c r="AD310" i="8"/>
  <c r="AD311" i="8"/>
  <c r="AD312" i="8"/>
  <c r="AD313" i="8"/>
  <c r="AD314" i="8"/>
  <c r="AD315" i="8"/>
  <c r="AD316" i="8"/>
  <c r="AD317" i="8"/>
  <c r="AD318" i="8"/>
  <c r="AD319" i="8"/>
  <c r="AD320" i="8"/>
  <c r="AD321" i="8"/>
  <c r="AD322" i="8"/>
  <c r="AD323" i="8"/>
  <c r="AD324" i="8"/>
  <c r="AD325" i="8"/>
  <c r="AD326" i="8"/>
  <c r="AD327" i="8"/>
  <c r="AD328" i="8"/>
  <c r="AD329" i="8"/>
  <c r="AD330" i="8"/>
  <c r="AD331" i="8"/>
  <c r="AD332" i="8"/>
  <c r="AD333" i="8"/>
  <c r="AD334" i="8"/>
  <c r="AD335" i="8"/>
  <c r="AD336" i="8"/>
  <c r="AD337" i="8"/>
  <c r="AD338" i="8"/>
  <c r="AD339" i="8"/>
  <c r="AD340" i="8"/>
  <c r="AD341" i="8"/>
  <c r="AD342" i="8"/>
  <c r="AD343" i="8"/>
  <c r="AD344" i="8"/>
  <c r="AD345" i="8"/>
  <c r="AD346" i="8"/>
  <c r="AD347" i="8"/>
  <c r="AD348" i="8"/>
  <c r="AD349" i="8"/>
  <c r="AD350" i="8"/>
  <c r="AD351" i="8"/>
  <c r="AD352" i="8"/>
  <c r="AD353" i="8"/>
  <c r="AD354" i="8"/>
  <c r="AD355" i="8"/>
  <c r="AD356" i="8"/>
  <c r="AD357" i="8"/>
  <c r="AD358" i="8"/>
  <c r="AD359" i="8"/>
  <c r="AD360" i="8"/>
  <c r="AD361" i="8"/>
  <c r="AD362" i="8"/>
  <c r="AD363" i="8"/>
  <c r="AD364" i="8"/>
  <c r="AD365" i="8"/>
  <c r="AD366" i="8"/>
  <c r="AD367" i="8"/>
  <c r="AD368" i="8"/>
  <c r="AD369" i="8"/>
  <c r="AD370" i="8"/>
  <c r="AD371" i="8"/>
  <c r="AD372" i="8"/>
  <c r="AD373" i="8"/>
  <c r="AD374" i="8"/>
  <c r="AD375" i="8"/>
  <c r="AD376" i="8"/>
  <c r="AD377" i="8"/>
  <c r="AD378" i="8"/>
  <c r="AD379" i="8"/>
  <c r="AD380" i="8"/>
  <c r="AD381" i="8"/>
  <c r="AD382" i="8"/>
  <c r="AD383" i="8"/>
  <c r="AD384" i="8"/>
  <c r="AD385" i="8"/>
  <c r="AD386" i="8"/>
  <c r="AD387" i="8"/>
  <c r="AD388" i="8"/>
  <c r="AD389" i="8"/>
  <c r="AD390" i="8"/>
  <c r="AD391" i="8"/>
  <c r="AD392" i="8"/>
  <c r="AD393" i="8"/>
  <c r="AD394" i="8"/>
  <c r="AD395" i="8"/>
  <c r="AD396" i="8"/>
  <c r="AD397" i="8"/>
  <c r="AD398" i="8"/>
  <c r="AD399" i="8"/>
  <c r="AD400" i="8"/>
  <c r="AD401" i="8"/>
  <c r="AD402" i="8"/>
  <c r="AD403" i="8"/>
  <c r="AD404" i="8"/>
  <c r="AD405" i="8"/>
  <c r="AD406" i="8"/>
  <c r="AD407" i="8"/>
  <c r="AD408" i="8"/>
  <c r="AD409" i="8"/>
  <c r="AD410" i="8"/>
  <c r="AD411" i="8"/>
  <c r="AD412" i="8"/>
  <c r="AD413" i="8"/>
  <c r="AD414" i="8"/>
  <c r="AD415" i="8"/>
  <c r="AD416" i="8"/>
  <c r="AD417" i="8"/>
  <c r="AD418" i="8"/>
  <c r="AD419" i="8"/>
  <c r="AD420" i="8"/>
  <c r="AD421" i="8"/>
  <c r="AD422" i="8"/>
  <c r="AD423" i="8"/>
  <c r="AD424" i="8"/>
  <c r="AD425" i="8"/>
  <c r="AD426" i="8"/>
  <c r="AD427" i="8"/>
  <c r="AD428" i="8"/>
  <c r="AD429" i="8"/>
  <c r="AD430" i="8"/>
  <c r="AD431" i="8"/>
  <c r="AD432" i="8"/>
  <c r="AD433" i="8"/>
  <c r="AD434" i="8"/>
  <c r="AD435" i="8"/>
  <c r="AD436" i="8"/>
  <c r="AD437" i="8"/>
  <c r="AD438" i="8"/>
  <c r="AD439" i="8"/>
  <c r="AD440" i="8"/>
  <c r="AD441" i="8"/>
  <c r="AD442" i="8"/>
  <c r="AD443" i="8"/>
  <c r="AD444" i="8"/>
  <c r="AD445" i="8"/>
  <c r="AD446" i="8"/>
  <c r="AD447" i="8"/>
  <c r="AD448" i="8"/>
  <c r="AD449" i="8"/>
  <c r="AD450" i="8"/>
  <c r="AD451" i="8"/>
  <c r="AD452" i="8"/>
  <c r="AD453" i="8"/>
  <c r="AD454" i="8"/>
  <c r="AD455" i="8"/>
  <c r="AD456" i="8"/>
  <c r="AD457" i="8"/>
  <c r="AD458" i="8"/>
  <c r="AD459" i="8"/>
  <c r="AD460" i="8"/>
  <c r="AD461" i="8"/>
  <c r="AD462" i="8"/>
  <c r="AD463" i="8"/>
  <c r="AD464" i="8"/>
  <c r="AD465" i="8"/>
  <c r="AD466" i="8"/>
  <c r="AD467" i="8"/>
  <c r="AD468" i="8"/>
  <c r="AD469" i="8"/>
  <c r="AD470" i="8"/>
  <c r="AD471" i="8"/>
  <c r="AD472" i="8"/>
  <c r="AD473" i="8"/>
  <c r="AD474" i="8"/>
  <c r="AD475" i="8"/>
  <c r="AD476" i="8"/>
  <c r="AD477" i="8"/>
  <c r="AD478" i="8"/>
  <c r="AD479" i="8"/>
  <c r="AD480" i="8"/>
  <c r="AD481" i="8"/>
  <c r="AD482" i="8"/>
  <c r="AD483" i="8"/>
  <c r="AD484" i="8"/>
  <c r="AD485" i="8"/>
  <c r="AD486" i="8"/>
  <c r="AD487" i="8"/>
  <c r="AD488" i="8"/>
  <c r="AD489" i="8"/>
  <c r="AD490" i="8"/>
  <c r="AD491" i="8"/>
  <c r="AD492" i="8"/>
  <c r="AD493" i="8"/>
  <c r="AD494" i="8"/>
  <c r="AD495" i="8"/>
  <c r="AD496" i="8"/>
  <c r="AD497" i="8"/>
  <c r="AD498" i="8"/>
  <c r="AD499" i="8"/>
  <c r="AD500" i="8"/>
  <c r="AD501" i="8"/>
  <c r="AD502" i="8"/>
  <c r="AD503" i="8"/>
  <c r="AD504" i="8"/>
  <c r="AD505" i="8"/>
  <c r="AD506" i="8"/>
  <c r="AD507" i="8"/>
  <c r="AD508" i="8"/>
  <c r="AD509" i="8"/>
  <c r="AD510" i="8"/>
  <c r="AD511" i="8"/>
  <c r="AD512" i="8"/>
  <c r="AD513" i="8"/>
  <c r="AD514" i="8"/>
  <c r="AD515" i="8"/>
  <c r="AD516" i="8"/>
  <c r="AD517" i="8"/>
  <c r="AD518" i="8"/>
  <c r="AD519" i="8"/>
  <c r="AD520" i="8"/>
  <c r="AD521" i="8"/>
  <c r="AD522" i="8"/>
  <c r="AD523" i="8"/>
  <c r="AD524" i="8"/>
  <c r="AD525" i="8"/>
  <c r="AD526" i="8"/>
  <c r="AD527" i="8"/>
  <c r="AD528" i="8"/>
  <c r="AD529" i="8"/>
  <c r="AD530" i="8"/>
  <c r="AD531" i="8"/>
  <c r="AD532" i="8"/>
  <c r="AD533" i="8"/>
  <c r="AD534" i="8"/>
  <c r="AD535" i="8"/>
  <c r="AD536" i="8"/>
  <c r="AD537" i="8"/>
  <c r="AD538" i="8"/>
  <c r="AD539" i="8"/>
  <c r="AD540" i="8"/>
  <c r="AD541" i="8"/>
  <c r="AD542" i="8"/>
  <c r="AD543" i="8"/>
  <c r="AD544" i="8"/>
  <c r="AD545" i="8"/>
  <c r="AD546" i="8"/>
  <c r="AD547" i="8"/>
  <c r="AD548" i="8"/>
  <c r="AD549" i="8"/>
  <c r="AD550" i="8"/>
  <c r="AD551" i="8"/>
  <c r="AD552" i="8"/>
  <c r="AD553" i="8"/>
  <c r="AD554" i="8"/>
  <c r="AD555" i="8"/>
  <c r="AD556" i="8"/>
  <c r="AD557" i="8"/>
  <c r="AD558" i="8"/>
  <c r="AD559" i="8"/>
  <c r="AD560" i="8"/>
  <c r="AD561" i="8"/>
  <c r="AD562" i="8"/>
  <c r="AD563" i="8"/>
  <c r="AD564" i="8"/>
  <c r="AD565" i="8"/>
  <c r="AD566" i="8"/>
  <c r="AD567" i="8"/>
  <c r="AD568" i="8"/>
  <c r="AD569" i="8"/>
  <c r="AD570" i="8"/>
  <c r="AD571" i="8"/>
  <c r="AD572" i="8"/>
  <c r="AD573" i="8"/>
  <c r="AD574" i="8"/>
  <c r="AD575" i="8"/>
  <c r="AD576" i="8"/>
  <c r="AD577" i="8"/>
  <c r="AD578" i="8"/>
  <c r="AD579" i="8"/>
  <c r="AD580" i="8"/>
  <c r="AD581" i="8"/>
  <c r="AD582" i="8"/>
  <c r="AD583" i="8"/>
  <c r="AD584" i="8"/>
  <c r="AD585" i="8"/>
  <c r="AD586" i="8"/>
  <c r="AD587" i="8"/>
  <c r="AD588" i="8"/>
  <c r="AD589" i="8"/>
  <c r="AD590" i="8"/>
  <c r="AD591" i="8"/>
  <c r="AD592" i="8"/>
  <c r="AD593" i="8"/>
  <c r="AD594" i="8"/>
  <c r="AD595" i="8"/>
  <c r="AD596" i="8"/>
  <c r="AD597" i="8"/>
  <c r="AD598" i="8"/>
  <c r="AD599" i="8"/>
  <c r="AD600" i="8"/>
  <c r="AD601" i="8"/>
  <c r="AD602" i="8"/>
  <c r="AD603" i="8"/>
  <c r="AD604" i="8"/>
  <c r="AD605" i="8"/>
  <c r="AD606" i="8"/>
  <c r="AD607" i="8"/>
  <c r="AD608" i="8"/>
  <c r="AD609" i="8"/>
  <c r="AD610" i="8"/>
  <c r="AD611" i="8"/>
  <c r="AD612" i="8"/>
  <c r="AD613" i="8"/>
  <c r="AD614" i="8"/>
  <c r="AD615" i="8"/>
  <c r="AD616" i="8"/>
  <c r="AD617" i="8"/>
  <c r="AD618" i="8"/>
  <c r="AD619" i="8"/>
  <c r="AD620" i="8"/>
  <c r="AD621" i="8"/>
  <c r="AD622" i="8"/>
  <c r="AD623" i="8"/>
  <c r="AD624" i="8"/>
  <c r="AD625" i="8"/>
  <c r="AD626" i="8"/>
  <c r="AD627" i="8"/>
  <c r="AD628" i="8"/>
  <c r="AD629" i="8"/>
  <c r="AD630" i="8"/>
  <c r="AD631" i="8"/>
  <c r="AD632" i="8"/>
  <c r="AD633" i="8"/>
  <c r="AD634" i="8"/>
  <c r="AD635" i="8"/>
  <c r="AD636" i="8"/>
  <c r="AD637" i="8"/>
  <c r="AD638" i="8"/>
  <c r="AD639" i="8"/>
  <c r="AD640" i="8"/>
  <c r="AD641" i="8"/>
  <c r="AD642" i="8"/>
  <c r="AD643" i="8"/>
  <c r="AD644" i="8"/>
  <c r="AD645" i="8"/>
  <c r="AD646" i="8"/>
  <c r="AD647" i="8"/>
  <c r="AD648" i="8"/>
  <c r="AD649" i="8"/>
  <c r="AD650" i="8"/>
  <c r="AD651" i="8"/>
  <c r="AD652" i="8"/>
  <c r="AD653" i="8"/>
  <c r="AD654" i="8"/>
  <c r="AD655" i="8"/>
  <c r="AD656" i="8"/>
  <c r="AD657" i="8"/>
  <c r="AD658" i="8"/>
  <c r="AD659" i="8"/>
  <c r="AD660" i="8"/>
  <c r="AD661" i="8"/>
  <c r="AD662" i="8"/>
  <c r="AD663" i="8"/>
  <c r="AD664" i="8"/>
  <c r="AD665" i="8"/>
  <c r="AD666" i="8"/>
  <c r="AD667" i="8"/>
  <c r="AD668" i="8"/>
  <c r="AD669" i="8"/>
  <c r="AD670" i="8"/>
  <c r="AD671" i="8"/>
  <c r="AD672" i="8"/>
  <c r="AD673" i="8"/>
  <c r="AD674" i="8"/>
  <c r="AD675" i="8"/>
  <c r="AD676" i="8"/>
  <c r="AD677" i="8"/>
  <c r="AD678" i="8"/>
  <c r="AD679" i="8"/>
  <c r="AD680" i="8"/>
  <c r="AD681" i="8"/>
  <c r="AD682" i="8"/>
  <c r="AD683" i="8"/>
  <c r="AD684" i="8"/>
  <c r="AD685" i="8"/>
  <c r="AD686" i="8"/>
  <c r="AD687" i="8"/>
  <c r="AD688" i="8"/>
  <c r="AD689" i="8"/>
  <c r="AD690" i="8"/>
  <c r="AD691" i="8"/>
  <c r="AD692" i="8"/>
  <c r="AD693" i="8"/>
  <c r="AD694" i="8"/>
  <c r="AD695" i="8"/>
  <c r="AD696" i="8"/>
  <c r="AD697" i="8"/>
  <c r="AD698" i="8"/>
  <c r="AD699" i="8"/>
  <c r="AD700" i="8"/>
  <c r="AD701" i="8"/>
  <c r="AD702" i="8"/>
  <c r="AD703" i="8"/>
  <c r="AD704" i="8"/>
  <c r="AD705" i="8"/>
  <c r="AD706" i="8"/>
  <c r="AD707" i="8"/>
  <c r="AD708" i="8"/>
  <c r="AD709" i="8"/>
  <c r="AD710" i="8"/>
  <c r="AD711" i="8"/>
  <c r="AD712" i="8"/>
  <c r="AD713" i="8"/>
  <c r="AD714" i="8"/>
  <c r="AD715" i="8"/>
  <c r="AD716" i="8"/>
  <c r="AD717" i="8"/>
  <c r="AD718" i="8"/>
  <c r="AD719" i="8"/>
  <c r="AD720" i="8"/>
  <c r="AD721" i="8"/>
  <c r="AD722" i="8"/>
  <c r="AD723" i="8"/>
  <c r="AD724" i="8"/>
  <c r="AD725" i="8"/>
  <c r="AD726" i="8"/>
  <c r="AD727" i="8"/>
  <c r="AD728" i="8"/>
  <c r="AD729" i="8"/>
  <c r="AD730" i="8"/>
  <c r="AD731" i="8"/>
  <c r="AD732" i="8"/>
  <c r="AD733" i="8"/>
  <c r="AD734" i="8"/>
  <c r="AD735" i="8"/>
  <c r="AD736" i="8"/>
  <c r="AD737" i="8"/>
  <c r="AD738" i="8"/>
  <c r="AD739" i="8"/>
  <c r="AD740" i="8"/>
  <c r="AD741" i="8"/>
  <c r="AD742" i="8"/>
  <c r="AD743" i="8"/>
  <c r="AD744" i="8"/>
  <c r="AD745" i="8"/>
  <c r="AD746" i="8"/>
  <c r="AD747" i="8"/>
  <c r="AD748" i="8"/>
  <c r="AD749" i="8"/>
  <c r="AD750" i="8"/>
  <c r="AD751" i="8"/>
  <c r="AD752" i="8"/>
  <c r="AD753" i="8"/>
  <c r="AD754" i="8"/>
  <c r="AD755" i="8"/>
  <c r="AD756" i="8"/>
  <c r="AD757" i="8"/>
  <c r="AD758" i="8"/>
  <c r="AD759" i="8"/>
  <c r="AD760" i="8"/>
  <c r="AD761" i="8"/>
  <c r="AD762" i="8"/>
  <c r="AD763" i="8"/>
  <c r="AD764" i="8"/>
  <c r="AD765" i="8"/>
  <c r="AD766" i="8"/>
  <c r="AD767" i="8"/>
  <c r="AD768" i="8"/>
  <c r="AD769" i="8"/>
  <c r="AD770" i="8"/>
  <c r="AD771" i="8"/>
  <c r="AD772" i="8"/>
  <c r="AD773" i="8"/>
  <c r="AD774" i="8"/>
  <c r="AD775" i="8"/>
  <c r="AD776" i="8"/>
  <c r="AD777" i="8"/>
  <c r="AD778" i="8"/>
  <c r="AD779" i="8"/>
  <c r="AD780" i="8"/>
  <c r="AD781" i="8"/>
  <c r="AD782" i="8"/>
  <c r="AD783" i="8"/>
  <c r="AD784" i="8"/>
  <c r="AD785" i="8"/>
  <c r="AD786" i="8"/>
  <c r="AD787" i="8"/>
  <c r="AD788" i="8"/>
  <c r="AD789" i="8"/>
  <c r="AD790" i="8"/>
  <c r="AD791" i="8"/>
  <c r="AD792" i="8"/>
  <c r="AD793" i="8"/>
  <c r="AD794" i="8"/>
  <c r="BK758" i="26" l="1"/>
  <c r="BK28" i="26"/>
  <c r="BL294" i="26"/>
  <c r="H45" i="38"/>
  <c r="B59" i="25" l="1"/>
  <c r="B60" i="25"/>
  <c r="B61" i="25"/>
  <c r="B62" i="25"/>
  <c r="E62" i="25"/>
  <c r="B63" i="25"/>
  <c r="E63" i="25"/>
  <c r="B64" i="25"/>
  <c r="E64" i="25"/>
  <c r="B65" i="25"/>
  <c r="E65" i="25"/>
  <c r="B70" i="25"/>
  <c r="F70" i="25" s="1"/>
  <c r="B71" i="25"/>
  <c r="F71" i="25" s="1"/>
  <c r="B72" i="25"/>
  <c r="F72" i="25" s="1"/>
  <c r="B73" i="25"/>
  <c r="B74" i="25"/>
  <c r="B83" i="25"/>
  <c r="B84" i="25"/>
  <c r="B85" i="25"/>
  <c r="B86" i="25"/>
  <c r="BB8" i="26"/>
  <c r="AY8" i="26"/>
  <c r="AV8" i="26"/>
  <c r="BB9" i="26"/>
  <c r="BB10" i="26"/>
  <c r="BB11" i="26"/>
  <c r="BB12" i="26"/>
  <c r="BB13" i="26"/>
  <c r="BB14" i="26"/>
  <c r="BB15" i="26"/>
  <c r="BB16" i="26"/>
  <c r="BB17" i="26"/>
  <c r="BB18" i="26"/>
  <c r="BB19" i="26"/>
  <c r="BB20" i="26"/>
  <c r="BB21" i="26"/>
  <c r="BB22" i="26"/>
  <c r="BB23" i="26"/>
  <c r="BB24" i="26"/>
  <c r="BB25" i="26"/>
  <c r="BB26" i="26"/>
  <c r="BB27" i="26"/>
  <c r="BB28" i="26"/>
  <c r="BB29" i="26"/>
  <c r="BB30" i="26"/>
  <c r="BB31" i="26"/>
  <c r="BB32" i="26"/>
  <c r="BB33" i="26"/>
  <c r="BB34" i="26"/>
  <c r="BB35" i="26"/>
  <c r="BB37" i="26"/>
  <c r="BB38" i="26"/>
  <c r="BB39" i="26"/>
  <c r="BB40" i="26"/>
  <c r="BB41" i="26"/>
  <c r="BB42" i="26"/>
  <c r="BB43" i="26"/>
  <c r="BB44" i="26"/>
  <c r="BB45" i="26"/>
  <c r="BB46" i="26"/>
  <c r="BB47" i="26"/>
  <c r="BB48" i="26"/>
  <c r="BB49" i="26"/>
  <c r="BB50" i="26"/>
  <c r="BB51" i="26"/>
  <c r="BB52" i="26"/>
  <c r="BB53" i="26"/>
  <c r="BB54" i="26"/>
  <c r="BB55" i="26"/>
  <c r="BB56" i="26"/>
  <c r="BB57" i="26"/>
  <c r="BB59" i="26"/>
  <c r="BB60" i="26"/>
  <c r="BB61" i="26"/>
  <c r="BB62" i="26"/>
  <c r="BB63" i="26"/>
  <c r="BB64" i="26"/>
  <c r="BB65" i="26"/>
  <c r="BB66" i="26"/>
  <c r="BB67" i="26"/>
  <c r="BB68" i="26"/>
  <c r="BB69" i="26"/>
  <c r="BB70" i="26"/>
  <c r="BB71" i="26"/>
  <c r="BB72" i="26"/>
  <c r="BB73" i="26"/>
  <c r="BB74" i="26"/>
  <c r="BB75" i="26"/>
  <c r="BB76" i="26"/>
  <c r="BB77" i="26"/>
  <c r="BB78" i="26"/>
  <c r="BB79" i="26"/>
  <c r="BB80" i="26"/>
  <c r="BB81" i="26"/>
  <c r="BB82" i="26"/>
  <c r="BB83" i="26"/>
  <c r="BB84" i="26"/>
  <c r="BB85" i="26"/>
  <c r="BB86" i="26"/>
  <c r="BB87" i="26"/>
  <c r="BB88" i="26"/>
  <c r="BB89" i="26"/>
  <c r="BB90" i="26"/>
  <c r="BB91" i="26"/>
  <c r="BB92" i="26"/>
  <c r="BB93" i="26"/>
  <c r="BB94" i="26"/>
  <c r="BB95" i="26"/>
  <c r="BB96" i="26"/>
  <c r="BB97" i="26"/>
  <c r="BB98" i="26"/>
  <c r="BB99" i="26"/>
  <c r="BB100" i="26"/>
  <c r="BB101" i="26"/>
  <c r="BB102" i="26"/>
  <c r="BB103" i="26"/>
  <c r="BB104" i="26"/>
  <c r="BB105" i="26"/>
  <c r="BB106" i="26"/>
  <c r="BB107" i="26"/>
  <c r="BB108" i="26"/>
  <c r="BB109" i="26"/>
  <c r="BB110" i="26"/>
  <c r="BB111" i="26"/>
  <c r="BB112" i="26"/>
  <c r="BB113" i="26"/>
  <c r="BB114" i="26"/>
  <c r="BB115" i="26"/>
  <c r="BB116" i="26"/>
  <c r="BB117" i="26"/>
  <c r="BB118" i="26"/>
  <c r="BB119" i="26"/>
  <c r="BB120" i="26"/>
  <c r="BB121" i="26"/>
  <c r="BB122" i="26"/>
  <c r="BB123" i="26"/>
  <c r="BB124" i="26"/>
  <c r="BB125" i="26"/>
  <c r="BB126" i="26"/>
  <c r="BB127" i="26"/>
  <c r="BB128" i="26"/>
  <c r="BB129" i="26"/>
  <c r="BB130" i="26"/>
  <c r="BB131" i="26"/>
  <c r="BB132" i="26"/>
  <c r="BB133" i="26"/>
  <c r="BB134" i="26"/>
  <c r="BB135" i="26"/>
  <c r="BB136" i="26"/>
  <c r="BB137" i="26"/>
  <c r="BB138" i="26"/>
  <c r="BB139" i="26"/>
  <c r="BB140" i="26"/>
  <c r="BB141" i="26"/>
  <c r="BB142" i="26"/>
  <c r="BB143" i="26"/>
  <c r="BB144" i="26"/>
  <c r="BB145" i="26"/>
  <c r="BB146" i="26"/>
  <c r="BB147" i="26"/>
  <c r="BB148" i="26"/>
  <c r="BB149" i="26"/>
  <c r="BB150" i="26"/>
  <c r="BB151" i="26"/>
  <c r="BB152" i="26"/>
  <c r="BB153" i="26"/>
  <c r="BB154" i="26"/>
  <c r="BB155" i="26"/>
  <c r="BB156" i="26"/>
  <c r="BB157" i="26"/>
  <c r="BB158" i="26"/>
  <c r="BB159" i="26"/>
  <c r="BB160" i="26"/>
  <c r="BB161" i="26"/>
  <c r="BB162" i="26"/>
  <c r="BB163" i="26"/>
  <c r="BB164" i="26"/>
  <c r="BB165" i="26"/>
  <c r="BB166" i="26"/>
  <c r="BB167" i="26"/>
  <c r="BB168" i="26"/>
  <c r="BB169" i="26"/>
  <c r="BB170" i="26"/>
  <c r="BB171" i="26"/>
  <c r="BB172" i="26"/>
  <c r="BB173" i="26"/>
  <c r="BB174" i="26"/>
  <c r="BB175" i="26"/>
  <c r="BB176" i="26"/>
  <c r="BB177" i="26"/>
  <c r="BB178" i="26"/>
  <c r="BB179" i="26"/>
  <c r="BB180" i="26"/>
  <c r="BB181" i="26"/>
  <c r="BB182" i="26"/>
  <c r="BB183" i="26"/>
  <c r="BB184" i="26"/>
  <c r="BB185" i="26"/>
  <c r="BB186" i="26"/>
  <c r="BB187" i="26"/>
  <c r="BB188" i="26"/>
  <c r="BB189" i="26"/>
  <c r="BB190" i="26"/>
  <c r="BB191" i="26"/>
  <c r="BB192" i="26"/>
  <c r="BB193" i="26"/>
  <c r="BB194" i="26"/>
  <c r="BB195" i="26"/>
  <c r="BB197" i="26"/>
  <c r="BB198" i="26"/>
  <c r="BB199" i="26"/>
  <c r="BB200" i="26"/>
  <c r="BB201" i="26"/>
  <c r="BB202" i="26"/>
  <c r="BB203" i="26"/>
  <c r="BB204" i="26"/>
  <c r="BB205" i="26"/>
  <c r="BB206" i="26"/>
  <c r="BB207" i="26"/>
  <c r="BB208" i="26"/>
  <c r="BB209" i="26"/>
  <c r="BB210" i="26"/>
  <c r="BB211" i="26"/>
  <c r="BB212" i="26"/>
  <c r="BB213" i="26"/>
  <c r="BB214" i="26"/>
  <c r="BB215" i="26"/>
  <c r="BB216" i="26"/>
  <c r="BB217" i="26"/>
  <c r="BB218" i="26"/>
  <c r="BB219" i="26"/>
  <c r="BB220" i="26"/>
  <c r="BB221" i="26"/>
  <c r="BB222" i="26"/>
  <c r="BB223" i="26"/>
  <c r="BB224" i="26"/>
  <c r="BB226" i="26"/>
  <c r="BB227" i="26"/>
  <c r="BB228" i="26"/>
  <c r="BB229" i="26"/>
  <c r="BB230" i="26"/>
  <c r="BB231" i="26"/>
  <c r="BB232" i="26"/>
  <c r="BB234" i="26"/>
  <c r="BB235" i="26"/>
  <c r="BB236" i="26"/>
  <c r="BB237" i="26"/>
  <c r="BB238" i="26"/>
  <c r="BB239" i="26"/>
  <c r="BB241" i="26"/>
  <c r="BB242" i="26"/>
  <c r="BB243" i="26"/>
  <c r="BB244" i="26"/>
  <c r="BB245" i="26"/>
  <c r="BB246" i="26"/>
  <c r="BB247" i="26"/>
  <c r="BB248" i="26"/>
  <c r="BB249" i="26"/>
  <c r="BB250" i="26"/>
  <c r="BB251" i="26"/>
  <c r="BB252" i="26"/>
  <c r="BB253" i="26"/>
  <c r="BB254" i="26"/>
  <c r="BB255" i="26"/>
  <c r="BB256" i="26"/>
  <c r="BB257" i="26"/>
  <c r="BB258" i="26"/>
  <c r="BB259" i="26"/>
  <c r="BB260" i="26"/>
  <c r="BB261" i="26"/>
  <c r="BB262" i="26"/>
  <c r="BB263" i="26"/>
  <c r="BB264" i="26"/>
  <c r="BB265" i="26"/>
  <c r="BB266" i="26"/>
  <c r="BB267" i="26"/>
  <c r="BB268" i="26"/>
  <c r="BB269" i="26"/>
  <c r="BB270" i="26"/>
  <c r="BB271" i="26"/>
  <c r="BB272" i="26"/>
  <c r="BB273" i="26"/>
  <c r="BB274" i="26"/>
  <c r="BB275" i="26"/>
  <c r="BB276" i="26"/>
  <c r="BB277" i="26"/>
  <c r="BB278" i="26"/>
  <c r="BB279" i="26"/>
  <c r="BB280" i="26"/>
  <c r="BB281" i="26"/>
  <c r="BB282" i="26"/>
  <c r="BB283" i="26"/>
  <c r="BB284" i="26"/>
  <c r="BB285" i="26"/>
  <c r="BB286" i="26"/>
  <c r="BB287" i="26"/>
  <c r="BB288" i="26"/>
  <c r="BB289" i="26"/>
  <c r="BB290" i="26"/>
  <c r="BB291" i="26"/>
  <c r="BB292" i="26"/>
  <c r="BB293" i="26"/>
  <c r="BB294" i="26"/>
  <c r="BB295" i="26"/>
  <c r="BB296" i="26"/>
  <c r="BB297" i="26"/>
  <c r="BB298" i="26"/>
  <c r="BB299" i="26"/>
  <c r="BB300" i="26"/>
  <c r="BB301" i="26"/>
  <c r="BB302" i="26"/>
  <c r="BB303" i="26"/>
  <c r="BB304" i="26"/>
  <c r="BB305" i="26"/>
  <c r="BB306" i="26"/>
  <c r="BB307" i="26"/>
  <c r="BB308" i="26"/>
  <c r="BB309" i="26"/>
  <c r="BB310" i="26"/>
  <c r="BB311" i="26"/>
  <c r="BB312" i="26"/>
  <c r="BB313" i="26"/>
  <c r="BB314" i="26"/>
  <c r="BB315" i="26"/>
  <c r="BB316" i="26"/>
  <c r="BB317" i="26"/>
  <c r="BB318" i="26"/>
  <c r="BB319" i="26"/>
  <c r="BB320" i="26"/>
  <c r="BB321" i="26"/>
  <c r="BB322" i="26"/>
  <c r="BB323" i="26"/>
  <c r="BB324" i="26"/>
  <c r="BB325" i="26"/>
  <c r="BB326" i="26"/>
  <c r="BB327" i="26"/>
  <c r="BB328" i="26"/>
  <c r="BB329" i="26"/>
  <c r="BB330" i="26"/>
  <c r="BB331" i="26"/>
  <c r="BB332" i="26"/>
  <c r="BB333" i="26"/>
  <c r="BB334" i="26"/>
  <c r="BB335" i="26"/>
  <c r="BB336" i="26"/>
  <c r="BB337" i="26"/>
  <c r="BB338" i="26"/>
  <c r="BB339" i="26"/>
  <c r="BB340" i="26"/>
  <c r="BB341" i="26"/>
  <c r="BB342" i="26"/>
  <c r="BB343" i="26"/>
  <c r="BB344" i="26"/>
  <c r="BB345" i="26"/>
  <c r="BB346" i="26"/>
  <c r="BB347" i="26"/>
  <c r="BB348" i="26"/>
  <c r="BB349" i="26"/>
  <c r="BB350" i="26"/>
  <c r="BB351" i="26"/>
  <c r="BB352" i="26"/>
  <c r="BB353" i="26"/>
  <c r="BB354" i="26"/>
  <c r="BB355" i="26"/>
  <c r="BB356" i="26"/>
  <c r="BB357" i="26"/>
  <c r="BB358" i="26"/>
  <c r="BB359" i="26"/>
  <c r="BB360" i="26"/>
  <c r="BB361" i="26"/>
  <c r="BB362" i="26"/>
  <c r="BB363" i="26"/>
  <c r="BB364" i="26"/>
  <c r="BB365" i="26"/>
  <c r="BB366" i="26"/>
  <c r="BB367" i="26"/>
  <c r="BB368" i="26"/>
  <c r="BB369" i="26"/>
  <c r="BB370" i="26"/>
  <c r="BB371" i="26"/>
  <c r="BB372" i="26"/>
  <c r="BB373" i="26"/>
  <c r="BB374" i="26"/>
  <c r="BB375" i="26"/>
  <c r="BB376" i="26"/>
  <c r="BB377" i="26"/>
  <c r="BB378" i="26"/>
  <c r="BB379" i="26"/>
  <c r="BB380" i="26"/>
  <c r="BB381" i="26"/>
  <c r="BB382" i="26"/>
  <c r="BB383" i="26"/>
  <c r="BB384" i="26"/>
  <c r="BB385" i="26"/>
  <c r="BB386" i="26"/>
  <c r="BB387" i="26"/>
  <c r="BB388" i="26"/>
  <c r="BB389" i="26"/>
  <c r="BB390" i="26"/>
  <c r="BB391" i="26"/>
  <c r="BB392" i="26"/>
  <c r="BB393" i="26"/>
  <c r="BB394" i="26"/>
  <c r="BB395" i="26"/>
  <c r="BB396" i="26"/>
  <c r="BB397" i="26"/>
  <c r="BB398" i="26"/>
  <c r="BB399" i="26"/>
  <c r="BB400" i="26"/>
  <c r="BB401" i="26"/>
  <c r="BB402" i="26"/>
  <c r="BB403" i="26"/>
  <c r="BB404" i="26"/>
  <c r="BB405" i="26"/>
  <c r="BB406" i="26"/>
  <c r="BB407" i="26"/>
  <c r="BB408" i="26"/>
  <c r="BB409" i="26"/>
  <c r="BB410" i="26"/>
  <c r="BB411" i="26"/>
  <c r="BB412" i="26"/>
  <c r="BB413" i="26"/>
  <c r="BB414" i="26"/>
  <c r="BB415" i="26"/>
  <c r="BB416" i="26"/>
  <c r="BB417" i="26"/>
  <c r="BB418" i="26"/>
  <c r="BB419" i="26"/>
  <c r="BB420" i="26"/>
  <c r="BB421" i="26"/>
  <c r="BB422" i="26"/>
  <c r="BB423" i="26"/>
  <c r="BB424" i="26"/>
  <c r="BB425" i="26"/>
  <c r="BB426" i="26"/>
  <c r="BB427" i="26"/>
  <c r="BB428" i="26"/>
  <c r="BB429" i="26"/>
  <c r="BB430" i="26"/>
  <c r="BB431" i="26"/>
  <c r="BB432" i="26"/>
  <c r="BB433" i="26"/>
  <c r="BB434" i="26"/>
  <c r="BB435" i="26"/>
  <c r="BB436" i="26"/>
  <c r="BB437" i="26"/>
  <c r="BB438" i="26"/>
  <c r="BB439" i="26"/>
  <c r="BB440" i="26"/>
  <c r="BB441" i="26"/>
  <c r="BB442" i="26"/>
  <c r="BB443" i="26"/>
  <c r="BB444" i="26"/>
  <c r="BB445" i="26"/>
  <c r="BB446" i="26"/>
  <c r="BB447" i="26"/>
  <c r="BB448" i="26"/>
  <c r="BB449" i="26"/>
  <c r="BB450" i="26"/>
  <c r="BB451" i="26"/>
  <c r="BB452" i="26"/>
  <c r="BB453" i="26"/>
  <c r="BB454" i="26"/>
  <c r="BB455" i="26"/>
  <c r="BB456" i="26"/>
  <c r="BB457" i="26"/>
  <c r="BB458" i="26"/>
  <c r="BB459" i="26"/>
  <c r="BB460" i="26"/>
  <c r="BB461" i="26"/>
  <c r="BB462" i="26"/>
  <c r="BB463" i="26"/>
  <c r="BB464" i="26"/>
  <c r="BB465" i="26"/>
  <c r="BB466" i="26"/>
  <c r="BB467" i="26"/>
  <c r="BB468" i="26"/>
  <c r="BB469" i="26"/>
  <c r="BB470" i="26"/>
  <c r="BB471" i="26"/>
  <c r="BB472" i="26"/>
  <c r="BB473" i="26"/>
  <c r="BB474" i="26"/>
  <c r="BB475" i="26"/>
  <c r="BB476" i="26"/>
  <c r="BB477" i="26"/>
  <c r="BB478" i="26"/>
  <c r="BB479" i="26"/>
  <c r="BB480" i="26"/>
  <c r="BB481" i="26"/>
  <c r="BB482" i="26"/>
  <c r="BB483" i="26"/>
  <c r="BB484" i="26"/>
  <c r="BB485" i="26"/>
  <c r="BB486" i="26"/>
  <c r="BB487" i="26"/>
  <c r="BB488" i="26"/>
  <c r="BB489" i="26"/>
  <c r="BB490" i="26"/>
  <c r="BB491" i="26"/>
  <c r="BB492" i="26"/>
  <c r="BB493" i="26"/>
  <c r="BB494" i="26"/>
  <c r="BB495" i="26"/>
  <c r="BB496" i="26"/>
  <c r="BB497" i="26"/>
  <c r="BB498" i="26"/>
  <c r="BB499" i="26"/>
  <c r="BB500" i="26"/>
  <c r="BB501" i="26"/>
  <c r="BB502" i="26"/>
  <c r="BB503" i="26"/>
  <c r="BB504" i="26"/>
  <c r="BB505" i="26"/>
  <c r="BB506" i="26"/>
  <c r="BB507" i="26"/>
  <c r="BB508" i="26"/>
  <c r="BB509" i="26"/>
  <c r="BB510" i="26"/>
  <c r="BB511" i="26"/>
  <c r="BB512" i="26"/>
  <c r="BB513" i="26"/>
  <c r="BB514" i="26"/>
  <c r="BB515" i="26"/>
  <c r="BB516" i="26"/>
  <c r="BB517" i="26"/>
  <c r="BB518" i="26"/>
  <c r="BB519" i="26"/>
  <c r="BB520" i="26"/>
  <c r="BB521" i="26"/>
  <c r="BB522" i="26"/>
  <c r="BB523" i="26"/>
  <c r="BB524" i="26"/>
  <c r="BB525" i="26"/>
  <c r="BB526" i="26"/>
  <c r="BB527" i="26"/>
  <c r="BB528" i="26"/>
  <c r="BB529" i="26"/>
  <c r="BB530" i="26"/>
  <c r="BB531" i="26"/>
  <c r="BB532" i="26"/>
  <c r="BB533" i="26"/>
  <c r="BB534" i="26"/>
  <c r="BB535" i="26"/>
  <c r="BB536" i="26"/>
  <c r="BB537" i="26"/>
  <c r="BB538" i="26"/>
  <c r="BB539" i="26"/>
  <c r="BB540" i="26"/>
  <c r="BB541" i="26"/>
  <c r="BB542" i="26"/>
  <c r="BB543" i="26"/>
  <c r="BB544" i="26"/>
  <c r="BB545" i="26"/>
  <c r="BB546" i="26"/>
  <c r="BB547" i="26"/>
  <c r="BB548" i="26"/>
  <c r="BB549" i="26"/>
  <c r="BB550" i="26"/>
  <c r="BB551" i="26"/>
  <c r="BB552" i="26"/>
  <c r="BB553" i="26"/>
  <c r="BB554" i="26"/>
  <c r="BB555" i="26"/>
  <c r="BB556" i="26"/>
  <c r="BB557" i="26"/>
  <c r="BB558" i="26"/>
  <c r="BB559" i="26"/>
  <c r="BB560" i="26"/>
  <c r="BB561" i="26"/>
  <c r="BB562" i="26"/>
  <c r="BB563" i="26"/>
  <c r="BB564" i="26"/>
  <c r="BB565" i="26"/>
  <c r="BB566" i="26"/>
  <c r="BB567" i="26"/>
  <c r="BB568" i="26"/>
  <c r="BB569" i="26"/>
  <c r="BB570" i="26"/>
  <c r="BB571" i="26"/>
  <c r="BB572" i="26"/>
  <c r="BB573" i="26"/>
  <c r="BB574" i="26"/>
  <c r="BB575" i="26"/>
  <c r="BB576" i="26"/>
  <c r="BB577" i="26"/>
  <c r="BB578" i="26"/>
  <c r="BB579" i="26"/>
  <c r="BB580" i="26"/>
  <c r="BB581" i="26"/>
  <c r="BB582" i="26"/>
  <c r="BB583" i="26"/>
  <c r="BB584" i="26"/>
  <c r="BB585" i="26"/>
  <c r="BB586" i="26"/>
  <c r="BB587" i="26"/>
  <c r="BB588" i="26"/>
  <c r="BB589" i="26"/>
  <c r="BB590" i="26"/>
  <c r="BB591" i="26"/>
  <c r="BB592" i="26"/>
  <c r="BB593" i="26"/>
  <c r="BB594" i="26"/>
  <c r="BB595" i="26"/>
  <c r="BB596" i="26"/>
  <c r="BB597" i="26"/>
  <c r="BB598" i="26"/>
  <c r="BB599" i="26"/>
  <c r="BB600" i="26"/>
  <c r="BB601" i="26"/>
  <c r="BB602" i="26"/>
  <c r="BB603" i="26"/>
  <c r="BB604" i="26"/>
  <c r="BB605" i="26"/>
  <c r="BB606" i="26"/>
  <c r="BB607" i="26"/>
  <c r="BB608" i="26"/>
  <c r="BB609" i="26"/>
  <c r="BB610" i="26"/>
  <c r="BB611" i="26"/>
  <c r="BB612" i="26"/>
  <c r="BB613" i="26"/>
  <c r="BB614" i="26"/>
  <c r="BB615" i="26"/>
  <c r="BB616" i="26"/>
  <c r="BB617" i="26"/>
  <c r="BB618" i="26"/>
  <c r="BB619" i="26"/>
  <c r="BB620" i="26"/>
  <c r="BB621" i="26"/>
  <c r="BB622" i="26"/>
  <c r="BB623" i="26"/>
  <c r="BB624" i="26"/>
  <c r="BB625" i="26"/>
  <c r="BB626" i="26"/>
  <c r="BB627" i="26"/>
  <c r="BB628" i="26"/>
  <c r="BB629" i="26"/>
  <c r="BB630" i="26"/>
  <c r="BB631" i="26"/>
  <c r="BB632" i="26"/>
  <c r="BB633" i="26"/>
  <c r="BB634" i="26"/>
  <c r="BB635" i="26"/>
  <c r="BB636" i="26"/>
  <c r="BB637" i="26"/>
  <c r="BB638" i="26"/>
  <c r="BB639" i="26"/>
  <c r="BB640" i="26"/>
  <c r="BB641" i="26"/>
  <c r="BB642" i="26"/>
  <c r="BB643" i="26"/>
  <c r="BB644" i="26"/>
  <c r="BB645" i="26"/>
  <c r="BB646" i="26"/>
  <c r="BB647" i="26"/>
  <c r="BB648" i="26"/>
  <c r="BB649" i="26"/>
  <c r="BB650" i="26"/>
  <c r="BB651" i="26"/>
  <c r="BB652" i="26"/>
  <c r="BB653" i="26"/>
  <c r="BB654" i="26"/>
  <c r="BB655" i="26"/>
  <c r="BB656" i="26"/>
  <c r="BB657" i="26"/>
  <c r="BB658" i="26"/>
  <c r="BB659" i="26"/>
  <c r="BB660" i="26"/>
  <c r="BB661" i="26"/>
  <c r="BB662" i="26"/>
  <c r="BB663" i="26"/>
  <c r="BB664" i="26"/>
  <c r="BB665" i="26"/>
  <c r="BB666" i="26"/>
  <c r="BB667" i="26"/>
  <c r="BB668" i="26"/>
  <c r="BB669" i="26"/>
  <c r="BB670" i="26"/>
  <c r="BB671" i="26"/>
  <c r="BB672" i="26"/>
  <c r="BB673" i="26"/>
  <c r="BB674" i="26"/>
  <c r="BB675" i="26"/>
  <c r="BB676" i="26"/>
  <c r="BB677" i="26"/>
  <c r="BB678" i="26"/>
  <c r="BB679" i="26"/>
  <c r="BB680" i="26"/>
  <c r="BB681" i="26"/>
  <c r="BB682" i="26"/>
  <c r="BB683" i="26"/>
  <c r="BB684" i="26"/>
  <c r="BB685" i="26"/>
  <c r="BB686" i="26"/>
  <c r="BB687" i="26"/>
  <c r="BB688" i="26"/>
  <c r="BB689" i="26"/>
  <c r="BB690" i="26"/>
  <c r="BB691" i="26"/>
  <c r="BB692" i="26"/>
  <c r="BB693" i="26"/>
  <c r="BB694" i="26"/>
  <c r="BB695" i="26"/>
  <c r="BB696" i="26"/>
  <c r="BB697" i="26"/>
  <c r="BB698" i="26"/>
  <c r="BB699" i="26"/>
  <c r="BB700" i="26"/>
  <c r="BB701" i="26"/>
  <c r="BB702" i="26"/>
  <c r="BB703" i="26"/>
  <c r="BB704" i="26"/>
  <c r="BB705" i="26"/>
  <c r="BB706" i="26"/>
  <c r="BB707" i="26"/>
  <c r="BB708" i="26"/>
  <c r="BB709" i="26"/>
  <c r="BB710" i="26"/>
  <c r="BB711" i="26"/>
  <c r="BB712" i="26"/>
  <c r="BB713" i="26"/>
  <c r="BB714" i="26"/>
  <c r="BB715" i="26"/>
  <c r="BB716" i="26"/>
  <c r="BB717" i="26"/>
  <c r="BB718" i="26"/>
  <c r="BB719" i="26"/>
  <c r="BB720" i="26"/>
  <c r="BB721" i="26"/>
  <c r="BB722" i="26"/>
  <c r="BB723" i="26"/>
  <c r="BB724" i="26"/>
  <c r="BB725" i="26"/>
  <c r="BB726" i="26"/>
  <c r="BB727" i="26"/>
  <c r="BB728" i="26"/>
  <c r="BB729" i="26"/>
  <c r="BB730" i="26"/>
  <c r="BB731" i="26"/>
  <c r="BB732" i="26"/>
  <c r="BB733" i="26"/>
  <c r="BB734" i="26"/>
  <c r="BB735" i="26"/>
  <c r="BB736" i="26"/>
  <c r="BB737" i="26"/>
  <c r="BB738" i="26"/>
  <c r="BB739" i="26"/>
  <c r="BB740" i="26"/>
  <c r="BB741" i="26"/>
  <c r="BB742" i="26"/>
  <c r="BB743" i="26"/>
  <c r="BB744" i="26"/>
  <c r="BB745" i="26"/>
  <c r="BB746" i="26"/>
  <c r="BB747" i="26"/>
  <c r="BB748" i="26"/>
  <c r="BB749" i="26"/>
  <c r="BB750" i="26"/>
  <c r="BB751" i="26"/>
  <c r="BB752" i="26"/>
  <c r="BB753" i="26"/>
  <c r="BB754" i="26"/>
  <c r="BB755" i="26"/>
  <c r="BB756" i="26"/>
  <c r="BB757" i="26"/>
  <c r="BB758" i="26"/>
  <c r="BB759" i="26"/>
  <c r="BB760" i="26"/>
  <c r="BB761" i="26"/>
  <c r="BB762" i="26"/>
  <c r="BB763" i="26"/>
  <c r="BB764" i="26"/>
  <c r="BB765" i="26"/>
  <c r="BB766" i="26"/>
  <c r="BB767" i="26"/>
  <c r="BB768" i="26"/>
  <c r="BB769" i="26"/>
  <c r="BB770" i="26"/>
  <c r="BB771" i="26"/>
  <c r="BB772" i="26"/>
  <c r="BB773" i="26"/>
  <c r="BB774" i="26"/>
  <c r="BB775" i="26"/>
  <c r="BB776" i="26"/>
  <c r="BB777" i="26"/>
  <c r="BB778" i="26"/>
  <c r="BB779" i="26"/>
  <c r="BB780" i="26"/>
  <c r="BB781" i="26"/>
  <c r="BB782" i="26"/>
  <c r="BB783" i="26"/>
  <c r="BB784" i="26"/>
  <c r="BB785" i="26"/>
  <c r="BB786" i="26"/>
  <c r="BB787" i="26"/>
  <c r="BB788" i="26"/>
  <c r="BB789" i="26"/>
  <c r="BB790" i="26"/>
  <c r="BB791" i="26"/>
  <c r="BB792" i="26"/>
  <c r="BB793" i="26"/>
  <c r="BB794" i="26"/>
  <c r="BB795" i="26"/>
  <c r="BB796" i="26"/>
  <c r="AY9" i="26"/>
  <c r="AY10" i="26"/>
  <c r="AY11" i="26"/>
  <c r="AY12" i="26"/>
  <c r="AY13" i="26"/>
  <c r="AY14" i="26"/>
  <c r="AY15" i="26"/>
  <c r="AY16" i="26"/>
  <c r="AY17" i="26"/>
  <c r="AY18" i="26"/>
  <c r="AY19" i="26"/>
  <c r="AY20" i="26"/>
  <c r="AY21" i="26"/>
  <c r="AY22" i="26"/>
  <c r="AY23" i="26"/>
  <c r="AY24" i="26"/>
  <c r="AY25" i="26"/>
  <c r="AY26" i="26"/>
  <c r="AY27" i="26"/>
  <c r="AY28" i="26"/>
  <c r="AY29" i="26"/>
  <c r="AY30" i="26"/>
  <c r="AY31" i="26"/>
  <c r="AY32" i="26"/>
  <c r="AY33" i="26"/>
  <c r="AY34" i="26"/>
  <c r="AY35" i="26"/>
  <c r="AY36" i="26"/>
  <c r="AY37" i="26"/>
  <c r="AY38" i="26"/>
  <c r="AY39" i="26"/>
  <c r="AY40" i="26"/>
  <c r="AY41" i="26"/>
  <c r="AY42" i="26"/>
  <c r="AY43" i="26"/>
  <c r="AY44" i="26"/>
  <c r="AY45" i="26"/>
  <c r="AY46" i="26"/>
  <c r="AY47" i="26"/>
  <c r="AY48" i="26"/>
  <c r="AY49" i="26"/>
  <c r="AY50" i="26"/>
  <c r="AY51" i="26"/>
  <c r="AY52" i="26"/>
  <c r="AY53" i="26"/>
  <c r="AY54" i="26"/>
  <c r="AY55" i="26"/>
  <c r="AY56" i="26"/>
  <c r="AY57" i="26"/>
  <c r="AY58" i="26"/>
  <c r="AY59" i="26"/>
  <c r="AY60" i="26"/>
  <c r="AY61" i="26"/>
  <c r="AY62" i="26"/>
  <c r="AY63" i="26"/>
  <c r="AY64" i="26"/>
  <c r="AY65" i="26"/>
  <c r="AY66" i="26"/>
  <c r="AY67" i="26"/>
  <c r="AY68" i="26"/>
  <c r="AY69" i="26"/>
  <c r="AY70" i="26"/>
  <c r="AY71" i="26"/>
  <c r="AY72" i="26"/>
  <c r="AY73" i="26"/>
  <c r="AY74" i="26"/>
  <c r="AY75" i="26"/>
  <c r="AY76" i="26"/>
  <c r="AY77" i="26"/>
  <c r="AY78" i="26"/>
  <c r="AY79" i="26"/>
  <c r="AY80" i="26"/>
  <c r="AY81" i="26"/>
  <c r="AY82" i="26"/>
  <c r="AY83" i="26"/>
  <c r="AY84" i="26"/>
  <c r="AY85" i="26"/>
  <c r="AY86" i="26"/>
  <c r="AY87" i="26"/>
  <c r="AY88" i="26"/>
  <c r="AY89" i="26"/>
  <c r="AY90" i="26"/>
  <c r="AY91" i="26"/>
  <c r="AY92" i="26"/>
  <c r="AY93" i="26"/>
  <c r="AY94" i="26"/>
  <c r="AY95" i="26"/>
  <c r="AY96" i="26"/>
  <c r="AY97" i="26"/>
  <c r="AY98" i="26"/>
  <c r="AY99" i="26"/>
  <c r="AY100" i="26"/>
  <c r="AY101" i="26"/>
  <c r="AY102" i="26"/>
  <c r="AY103" i="26"/>
  <c r="AY104" i="26"/>
  <c r="AY105" i="26"/>
  <c r="AY106" i="26"/>
  <c r="AY107" i="26"/>
  <c r="AY108" i="26"/>
  <c r="AY109" i="26"/>
  <c r="AY110" i="26"/>
  <c r="AY111" i="26"/>
  <c r="AY112" i="26"/>
  <c r="AY113" i="26"/>
  <c r="AY114" i="26"/>
  <c r="AY115" i="26"/>
  <c r="AY116" i="26"/>
  <c r="AY117" i="26"/>
  <c r="AY118" i="26"/>
  <c r="AY119" i="26"/>
  <c r="AY120" i="26"/>
  <c r="AY121" i="26"/>
  <c r="AY122" i="26"/>
  <c r="AY123" i="26"/>
  <c r="AY124" i="26"/>
  <c r="AY125" i="26"/>
  <c r="AY126" i="26"/>
  <c r="AY127" i="26"/>
  <c r="AY128" i="26"/>
  <c r="AY129" i="26"/>
  <c r="AY130" i="26"/>
  <c r="AY131" i="26"/>
  <c r="AY132" i="26"/>
  <c r="AY133" i="26"/>
  <c r="AY134" i="26"/>
  <c r="AY135" i="26"/>
  <c r="AY136" i="26"/>
  <c r="AY137" i="26"/>
  <c r="AY138" i="26"/>
  <c r="AY139" i="26"/>
  <c r="AY140" i="26"/>
  <c r="AY141" i="26"/>
  <c r="AY142" i="26"/>
  <c r="AY143" i="26"/>
  <c r="AY144" i="26"/>
  <c r="AY145" i="26"/>
  <c r="AY146" i="26"/>
  <c r="AY147" i="26"/>
  <c r="AY148" i="26"/>
  <c r="AY149" i="26"/>
  <c r="AY150" i="26"/>
  <c r="AY151" i="26"/>
  <c r="AY152" i="26"/>
  <c r="AY153" i="26"/>
  <c r="AY154" i="26"/>
  <c r="AY155" i="26"/>
  <c r="AY156" i="26"/>
  <c r="AY157" i="26"/>
  <c r="AY158" i="26"/>
  <c r="AY159" i="26"/>
  <c r="AY160" i="26"/>
  <c r="AY161" i="26"/>
  <c r="AY162" i="26"/>
  <c r="AY163" i="26"/>
  <c r="AY164" i="26"/>
  <c r="AY165" i="26"/>
  <c r="AY166" i="26"/>
  <c r="AY167" i="26"/>
  <c r="AY168" i="26"/>
  <c r="AY169" i="26"/>
  <c r="AY170" i="26"/>
  <c r="AY171" i="26"/>
  <c r="AY172" i="26"/>
  <c r="AY173" i="26"/>
  <c r="AY174" i="26"/>
  <c r="AY175" i="26"/>
  <c r="AY176" i="26"/>
  <c r="AY177" i="26"/>
  <c r="AY178" i="26"/>
  <c r="AY179" i="26"/>
  <c r="AY180" i="26"/>
  <c r="AY181" i="26"/>
  <c r="AY182" i="26"/>
  <c r="AY183" i="26"/>
  <c r="AY184" i="26"/>
  <c r="AY185" i="26"/>
  <c r="AY186" i="26"/>
  <c r="AY187" i="26"/>
  <c r="AY188" i="26"/>
  <c r="AY189" i="26"/>
  <c r="AY190" i="26"/>
  <c r="AY191" i="26"/>
  <c r="AY192" i="26"/>
  <c r="AY193" i="26"/>
  <c r="AY194" i="26"/>
  <c r="AY195" i="26"/>
  <c r="AY196" i="26"/>
  <c r="AY197" i="26"/>
  <c r="AY198" i="26"/>
  <c r="AY199" i="26"/>
  <c r="AY200" i="26"/>
  <c r="AY201" i="26"/>
  <c r="AY202" i="26"/>
  <c r="AY203" i="26"/>
  <c r="AY204" i="26"/>
  <c r="AY205" i="26"/>
  <c r="AY206" i="26"/>
  <c r="AY207" i="26"/>
  <c r="AY208" i="26"/>
  <c r="AY209" i="26"/>
  <c r="AY210" i="26"/>
  <c r="AY211" i="26"/>
  <c r="AY212" i="26"/>
  <c r="AY213" i="26"/>
  <c r="AY214" i="26"/>
  <c r="AY215" i="26"/>
  <c r="AY216" i="26"/>
  <c r="AY217" i="26"/>
  <c r="AY218" i="26"/>
  <c r="AY219" i="26"/>
  <c r="AY220" i="26"/>
  <c r="AY221" i="26"/>
  <c r="AY222" i="26"/>
  <c r="AY223" i="26"/>
  <c r="AY224" i="26"/>
  <c r="AY225" i="26"/>
  <c r="AY226" i="26"/>
  <c r="AY227" i="26"/>
  <c r="AY228" i="26"/>
  <c r="AY229" i="26"/>
  <c r="AY230" i="26"/>
  <c r="AY231" i="26"/>
  <c r="AY232" i="26"/>
  <c r="AY233" i="26"/>
  <c r="AY234" i="26"/>
  <c r="AY235" i="26"/>
  <c r="AY236" i="26"/>
  <c r="AY237" i="26"/>
  <c r="AY238" i="26"/>
  <c r="AY239" i="26"/>
  <c r="AY240" i="26"/>
  <c r="AY241" i="26"/>
  <c r="AY242" i="26"/>
  <c r="AY243" i="26"/>
  <c r="AY244" i="26"/>
  <c r="AY245" i="26"/>
  <c r="AY246" i="26"/>
  <c r="AY247" i="26"/>
  <c r="AY248" i="26"/>
  <c r="AY249" i="26"/>
  <c r="AY250" i="26"/>
  <c r="AY251" i="26"/>
  <c r="AY252" i="26"/>
  <c r="AY253" i="26"/>
  <c r="AY254" i="26"/>
  <c r="AY255" i="26"/>
  <c r="AY256" i="26"/>
  <c r="AY257" i="26"/>
  <c r="AY258" i="26"/>
  <c r="AY259" i="26"/>
  <c r="AY260" i="26"/>
  <c r="AY261" i="26"/>
  <c r="AY262" i="26"/>
  <c r="AY263" i="26"/>
  <c r="AY264" i="26"/>
  <c r="AY265" i="26"/>
  <c r="AY266" i="26"/>
  <c r="AY267" i="26"/>
  <c r="AY268" i="26"/>
  <c r="AY269" i="26"/>
  <c r="AY270" i="26"/>
  <c r="AY271" i="26"/>
  <c r="AY272" i="26"/>
  <c r="AY273" i="26"/>
  <c r="AY274" i="26"/>
  <c r="AY275" i="26"/>
  <c r="AY276" i="26"/>
  <c r="AY277" i="26"/>
  <c r="AY278" i="26"/>
  <c r="AY279" i="26"/>
  <c r="AY280" i="26"/>
  <c r="AY281" i="26"/>
  <c r="AY282" i="26"/>
  <c r="AY283" i="26"/>
  <c r="AY284" i="26"/>
  <c r="AY285" i="26"/>
  <c r="AY286" i="26"/>
  <c r="AY287" i="26"/>
  <c r="AY288" i="26"/>
  <c r="AY289" i="26"/>
  <c r="AY290" i="26"/>
  <c r="AY291" i="26"/>
  <c r="AY292" i="26"/>
  <c r="AY293" i="26"/>
  <c r="AY294" i="26"/>
  <c r="AY295" i="26"/>
  <c r="AY296" i="26"/>
  <c r="AY297" i="26"/>
  <c r="AY298" i="26"/>
  <c r="AY299" i="26"/>
  <c r="AY300" i="26"/>
  <c r="AY301" i="26"/>
  <c r="AY302" i="26"/>
  <c r="AY303" i="26"/>
  <c r="AY304" i="26"/>
  <c r="AY305" i="26"/>
  <c r="AY306" i="26"/>
  <c r="AY307" i="26"/>
  <c r="AY308" i="26"/>
  <c r="AY309" i="26"/>
  <c r="AY310" i="26"/>
  <c r="AY311" i="26"/>
  <c r="AY312" i="26"/>
  <c r="AY313" i="26"/>
  <c r="AY314" i="26"/>
  <c r="AY315" i="26"/>
  <c r="AY316" i="26"/>
  <c r="AY317" i="26"/>
  <c r="AY318" i="26"/>
  <c r="AY319" i="26"/>
  <c r="AY320" i="26"/>
  <c r="AY321" i="26"/>
  <c r="AY322" i="26"/>
  <c r="AY323" i="26"/>
  <c r="AY324" i="26"/>
  <c r="AY325" i="26"/>
  <c r="AY326" i="26"/>
  <c r="AY327" i="26"/>
  <c r="AY328" i="26"/>
  <c r="AY329" i="26"/>
  <c r="AY330" i="26"/>
  <c r="AY331" i="26"/>
  <c r="AY332" i="26"/>
  <c r="AY333" i="26"/>
  <c r="AY334" i="26"/>
  <c r="AY335" i="26"/>
  <c r="AY336" i="26"/>
  <c r="AY337" i="26"/>
  <c r="AY338" i="26"/>
  <c r="AY339" i="26"/>
  <c r="AY340" i="26"/>
  <c r="AY341" i="26"/>
  <c r="AY342" i="26"/>
  <c r="AY343" i="26"/>
  <c r="AY344" i="26"/>
  <c r="AY345" i="26"/>
  <c r="AY346" i="26"/>
  <c r="AY347" i="26"/>
  <c r="AY348" i="26"/>
  <c r="AY349" i="26"/>
  <c r="AY350" i="26"/>
  <c r="AY351" i="26"/>
  <c r="AY352" i="26"/>
  <c r="AY353" i="26"/>
  <c r="AY354" i="26"/>
  <c r="AY355" i="26"/>
  <c r="AY356" i="26"/>
  <c r="AY357" i="26"/>
  <c r="AY358" i="26"/>
  <c r="AY359" i="26"/>
  <c r="AY360" i="26"/>
  <c r="AY361" i="26"/>
  <c r="AY362" i="26"/>
  <c r="AY363" i="26"/>
  <c r="AY364" i="26"/>
  <c r="AY365" i="26"/>
  <c r="AY366" i="26"/>
  <c r="AY367" i="26"/>
  <c r="AY368" i="26"/>
  <c r="AY369" i="26"/>
  <c r="AY370" i="26"/>
  <c r="AY371" i="26"/>
  <c r="AY372" i="26"/>
  <c r="AY373" i="26"/>
  <c r="AY374" i="26"/>
  <c r="AY375" i="26"/>
  <c r="AY376" i="26"/>
  <c r="AY377" i="26"/>
  <c r="AY378" i="26"/>
  <c r="AY379" i="26"/>
  <c r="AY380" i="26"/>
  <c r="AY381" i="26"/>
  <c r="AY382" i="26"/>
  <c r="AY383" i="26"/>
  <c r="AY384" i="26"/>
  <c r="AY385" i="26"/>
  <c r="AY386" i="26"/>
  <c r="AY387" i="26"/>
  <c r="AY388" i="26"/>
  <c r="AY389" i="26"/>
  <c r="AY390" i="26"/>
  <c r="AY391" i="26"/>
  <c r="AY392" i="26"/>
  <c r="AY393" i="26"/>
  <c r="AY394" i="26"/>
  <c r="AY395" i="26"/>
  <c r="AY396" i="26"/>
  <c r="AY397" i="26"/>
  <c r="AY398" i="26"/>
  <c r="AY399" i="26"/>
  <c r="AY400" i="26"/>
  <c r="AY401" i="26"/>
  <c r="AY402" i="26"/>
  <c r="AY403" i="26"/>
  <c r="AY404" i="26"/>
  <c r="AY405" i="26"/>
  <c r="AY406" i="26"/>
  <c r="AY407" i="26"/>
  <c r="AY408" i="26"/>
  <c r="AY409" i="26"/>
  <c r="AY410" i="26"/>
  <c r="AY411" i="26"/>
  <c r="AY412" i="26"/>
  <c r="AY413" i="26"/>
  <c r="AY414" i="26"/>
  <c r="AY415" i="26"/>
  <c r="AY416" i="26"/>
  <c r="AY417" i="26"/>
  <c r="AY418" i="26"/>
  <c r="AY419" i="26"/>
  <c r="AY420" i="26"/>
  <c r="AY421" i="26"/>
  <c r="AY422" i="26"/>
  <c r="AY423" i="26"/>
  <c r="AY424" i="26"/>
  <c r="AY425" i="26"/>
  <c r="AY426" i="26"/>
  <c r="AY427" i="26"/>
  <c r="AY428" i="26"/>
  <c r="AY429" i="26"/>
  <c r="AY430" i="26"/>
  <c r="AY431" i="26"/>
  <c r="AY432" i="26"/>
  <c r="AY433" i="26"/>
  <c r="AY434" i="26"/>
  <c r="AY435" i="26"/>
  <c r="AY436" i="26"/>
  <c r="AY437" i="26"/>
  <c r="AY438" i="26"/>
  <c r="AY439" i="26"/>
  <c r="AY440" i="26"/>
  <c r="AY441" i="26"/>
  <c r="AY442" i="26"/>
  <c r="AY443" i="26"/>
  <c r="AY444" i="26"/>
  <c r="AY445" i="26"/>
  <c r="AY446" i="26"/>
  <c r="AY447" i="26"/>
  <c r="AY448" i="26"/>
  <c r="AY449" i="26"/>
  <c r="AY450" i="26"/>
  <c r="AY451" i="26"/>
  <c r="AY452" i="26"/>
  <c r="AY453" i="26"/>
  <c r="AY454" i="26"/>
  <c r="AY455" i="26"/>
  <c r="AY456" i="26"/>
  <c r="AY457" i="26"/>
  <c r="AY458" i="26"/>
  <c r="AY459" i="26"/>
  <c r="AY460" i="26"/>
  <c r="AY461" i="26"/>
  <c r="AY462" i="26"/>
  <c r="AY463" i="26"/>
  <c r="AY464" i="26"/>
  <c r="AY465" i="26"/>
  <c r="AY466" i="26"/>
  <c r="AY467" i="26"/>
  <c r="AY468" i="26"/>
  <c r="AY469" i="26"/>
  <c r="AY470" i="26"/>
  <c r="AY471" i="26"/>
  <c r="AY472" i="26"/>
  <c r="AY473" i="26"/>
  <c r="AY474" i="26"/>
  <c r="AY475" i="26"/>
  <c r="AY476" i="26"/>
  <c r="AY477" i="26"/>
  <c r="AY478" i="26"/>
  <c r="AY479" i="26"/>
  <c r="AY480" i="26"/>
  <c r="AY481" i="26"/>
  <c r="AY482" i="26"/>
  <c r="AY483" i="26"/>
  <c r="AY484" i="26"/>
  <c r="AY485" i="26"/>
  <c r="AY486" i="26"/>
  <c r="AY487" i="26"/>
  <c r="AY488" i="26"/>
  <c r="AY489" i="26"/>
  <c r="AY490" i="26"/>
  <c r="AY491" i="26"/>
  <c r="AY492" i="26"/>
  <c r="AY493" i="26"/>
  <c r="AY494" i="26"/>
  <c r="AY495" i="26"/>
  <c r="AY496" i="26"/>
  <c r="AY497" i="26"/>
  <c r="AY498" i="26"/>
  <c r="AY499" i="26"/>
  <c r="AY500" i="26"/>
  <c r="AY501" i="26"/>
  <c r="AY502" i="26"/>
  <c r="AY503" i="26"/>
  <c r="AY504" i="26"/>
  <c r="AY505" i="26"/>
  <c r="AY506" i="26"/>
  <c r="AY507" i="26"/>
  <c r="AY508" i="26"/>
  <c r="AY509" i="26"/>
  <c r="AY510" i="26"/>
  <c r="AY511" i="26"/>
  <c r="AY512" i="26"/>
  <c r="AY513" i="26"/>
  <c r="AY514" i="26"/>
  <c r="AY515" i="26"/>
  <c r="AY516" i="26"/>
  <c r="AY517" i="26"/>
  <c r="AY518" i="26"/>
  <c r="AY519" i="26"/>
  <c r="AY520" i="26"/>
  <c r="AY521" i="26"/>
  <c r="AY522" i="26"/>
  <c r="AY523" i="26"/>
  <c r="AY524" i="26"/>
  <c r="AY525" i="26"/>
  <c r="AY526" i="26"/>
  <c r="AY527" i="26"/>
  <c r="AY528" i="26"/>
  <c r="AY529" i="26"/>
  <c r="AY530" i="26"/>
  <c r="AY531" i="26"/>
  <c r="AY532" i="26"/>
  <c r="AY533" i="26"/>
  <c r="AY534" i="26"/>
  <c r="AY535" i="26"/>
  <c r="AY536" i="26"/>
  <c r="AY537" i="26"/>
  <c r="AY538" i="26"/>
  <c r="AY539" i="26"/>
  <c r="AY540" i="26"/>
  <c r="AY541" i="26"/>
  <c r="AY542" i="26"/>
  <c r="AY543" i="26"/>
  <c r="AY544" i="26"/>
  <c r="AY545" i="26"/>
  <c r="AY546" i="26"/>
  <c r="AY547" i="26"/>
  <c r="AY548" i="26"/>
  <c r="AY549" i="26"/>
  <c r="AY550" i="26"/>
  <c r="AY551" i="26"/>
  <c r="AY552" i="26"/>
  <c r="AY553" i="26"/>
  <c r="AY554" i="26"/>
  <c r="AY555" i="26"/>
  <c r="AY556" i="26"/>
  <c r="AY557" i="26"/>
  <c r="AY558" i="26"/>
  <c r="AY559" i="26"/>
  <c r="AY560" i="26"/>
  <c r="AY561" i="26"/>
  <c r="AY562" i="26"/>
  <c r="AY563" i="26"/>
  <c r="AY564" i="26"/>
  <c r="AY565" i="26"/>
  <c r="AY566" i="26"/>
  <c r="AY567" i="26"/>
  <c r="AY568" i="26"/>
  <c r="AY569" i="26"/>
  <c r="AY570" i="26"/>
  <c r="AY571" i="26"/>
  <c r="AY572" i="26"/>
  <c r="AY573" i="26"/>
  <c r="AY574" i="26"/>
  <c r="AY575" i="26"/>
  <c r="AY576" i="26"/>
  <c r="AY577" i="26"/>
  <c r="AY578" i="26"/>
  <c r="AY579" i="26"/>
  <c r="AY580" i="26"/>
  <c r="AY581" i="26"/>
  <c r="AY582" i="26"/>
  <c r="AY583" i="26"/>
  <c r="AY584" i="26"/>
  <c r="AY585" i="26"/>
  <c r="AY586" i="26"/>
  <c r="AY587" i="26"/>
  <c r="AY588" i="26"/>
  <c r="AY589" i="26"/>
  <c r="AY590" i="26"/>
  <c r="AY591" i="26"/>
  <c r="AY592" i="26"/>
  <c r="AY593" i="26"/>
  <c r="AY594" i="26"/>
  <c r="AY595" i="26"/>
  <c r="AY596" i="26"/>
  <c r="AY597" i="26"/>
  <c r="AY598" i="26"/>
  <c r="AY599" i="26"/>
  <c r="AY600" i="26"/>
  <c r="AY601" i="26"/>
  <c r="AY602" i="26"/>
  <c r="AY603" i="26"/>
  <c r="AY604" i="26"/>
  <c r="AY605" i="26"/>
  <c r="AY606" i="26"/>
  <c r="AY607" i="26"/>
  <c r="AY608" i="26"/>
  <c r="AY609" i="26"/>
  <c r="AY610" i="26"/>
  <c r="AY611" i="26"/>
  <c r="AY612" i="26"/>
  <c r="AY613" i="26"/>
  <c r="AY614" i="26"/>
  <c r="AY615" i="26"/>
  <c r="AY616" i="26"/>
  <c r="AY617" i="26"/>
  <c r="AY618" i="26"/>
  <c r="AY619" i="26"/>
  <c r="AY620" i="26"/>
  <c r="AY621" i="26"/>
  <c r="AY622" i="26"/>
  <c r="AY623" i="26"/>
  <c r="AY624" i="26"/>
  <c r="AY625" i="26"/>
  <c r="AY626" i="26"/>
  <c r="AY627" i="26"/>
  <c r="AY628" i="26"/>
  <c r="AY629" i="26"/>
  <c r="AY630" i="26"/>
  <c r="AY631" i="26"/>
  <c r="AY632" i="26"/>
  <c r="AY633" i="26"/>
  <c r="AY634" i="26"/>
  <c r="AY635" i="26"/>
  <c r="AY636" i="26"/>
  <c r="AY637" i="26"/>
  <c r="AY638" i="26"/>
  <c r="AY639" i="26"/>
  <c r="AY640" i="26"/>
  <c r="AY641" i="26"/>
  <c r="AY642" i="26"/>
  <c r="AY643" i="26"/>
  <c r="AY644" i="26"/>
  <c r="AY645" i="26"/>
  <c r="AY646" i="26"/>
  <c r="AY647" i="26"/>
  <c r="AY648" i="26"/>
  <c r="AY649" i="26"/>
  <c r="AY650" i="26"/>
  <c r="AY651" i="26"/>
  <c r="AY652" i="26"/>
  <c r="AY653" i="26"/>
  <c r="AY654" i="26"/>
  <c r="AY655" i="26"/>
  <c r="AY656" i="26"/>
  <c r="AY657" i="26"/>
  <c r="AY658" i="26"/>
  <c r="AY659" i="26"/>
  <c r="AY660" i="26"/>
  <c r="AY661" i="26"/>
  <c r="AY662" i="26"/>
  <c r="AY663" i="26"/>
  <c r="AY664" i="26"/>
  <c r="AY665" i="26"/>
  <c r="AY666" i="26"/>
  <c r="AY667" i="26"/>
  <c r="AY668" i="26"/>
  <c r="AY669" i="26"/>
  <c r="AY670" i="26"/>
  <c r="AY671" i="26"/>
  <c r="AY672" i="26"/>
  <c r="AY673" i="26"/>
  <c r="AY674" i="26"/>
  <c r="AY675" i="26"/>
  <c r="AY676" i="26"/>
  <c r="AY677" i="26"/>
  <c r="AY678" i="26"/>
  <c r="AY679" i="26"/>
  <c r="AY680" i="26"/>
  <c r="AY681" i="26"/>
  <c r="AY682" i="26"/>
  <c r="AY683" i="26"/>
  <c r="AY684" i="26"/>
  <c r="AY685" i="26"/>
  <c r="AY686" i="26"/>
  <c r="AY687" i="26"/>
  <c r="AY688" i="26"/>
  <c r="AY689" i="26"/>
  <c r="AY690" i="26"/>
  <c r="AY691" i="26"/>
  <c r="AY692" i="26"/>
  <c r="AY693" i="26"/>
  <c r="AY694" i="26"/>
  <c r="AY695" i="26"/>
  <c r="AY696" i="26"/>
  <c r="AY697" i="26"/>
  <c r="AY698" i="26"/>
  <c r="AY699" i="26"/>
  <c r="AY700" i="26"/>
  <c r="AY701" i="26"/>
  <c r="AY702" i="26"/>
  <c r="AY703" i="26"/>
  <c r="AY704" i="26"/>
  <c r="AY705" i="26"/>
  <c r="AY706" i="26"/>
  <c r="AY707" i="26"/>
  <c r="AY708" i="26"/>
  <c r="AY709" i="26"/>
  <c r="AY710" i="26"/>
  <c r="AY711" i="26"/>
  <c r="AY712" i="26"/>
  <c r="AY713" i="26"/>
  <c r="AY714" i="26"/>
  <c r="AY715" i="26"/>
  <c r="AY716" i="26"/>
  <c r="AY717" i="26"/>
  <c r="AY718" i="26"/>
  <c r="AY719" i="26"/>
  <c r="AY720" i="26"/>
  <c r="AY721" i="26"/>
  <c r="AY722" i="26"/>
  <c r="AY723" i="26"/>
  <c r="AY724" i="26"/>
  <c r="AY725" i="26"/>
  <c r="AY726" i="26"/>
  <c r="AY727" i="26"/>
  <c r="AY728" i="26"/>
  <c r="AY729" i="26"/>
  <c r="AY730" i="26"/>
  <c r="AY731" i="26"/>
  <c r="AY732" i="26"/>
  <c r="AY733" i="26"/>
  <c r="AY734" i="26"/>
  <c r="AY735" i="26"/>
  <c r="AY736" i="26"/>
  <c r="AY737" i="26"/>
  <c r="AY738" i="26"/>
  <c r="AY739" i="26"/>
  <c r="AY740" i="26"/>
  <c r="AY741" i="26"/>
  <c r="AY742" i="26"/>
  <c r="AY743" i="26"/>
  <c r="AY744" i="26"/>
  <c r="AY745" i="26"/>
  <c r="AY746" i="26"/>
  <c r="AY747" i="26"/>
  <c r="AY748" i="26"/>
  <c r="AY749" i="26"/>
  <c r="AY750" i="26"/>
  <c r="AY751" i="26"/>
  <c r="AY752" i="26"/>
  <c r="AY753" i="26"/>
  <c r="AY754" i="26"/>
  <c r="AY755" i="26"/>
  <c r="AY756" i="26"/>
  <c r="AY757" i="26"/>
  <c r="AY758" i="26"/>
  <c r="AY759" i="26"/>
  <c r="AY760" i="26"/>
  <c r="AY761" i="26"/>
  <c r="AY762" i="26"/>
  <c r="AY763" i="26"/>
  <c r="AY764" i="26"/>
  <c r="AY765" i="26"/>
  <c r="AY766" i="26"/>
  <c r="AY767" i="26"/>
  <c r="AY768" i="26"/>
  <c r="AY769" i="26"/>
  <c r="AY770" i="26"/>
  <c r="AY771" i="26"/>
  <c r="AY772" i="26"/>
  <c r="AY773" i="26"/>
  <c r="AY774" i="26"/>
  <c r="AY775" i="26"/>
  <c r="AY776" i="26"/>
  <c r="AY777" i="26"/>
  <c r="AY778" i="26"/>
  <c r="AY779" i="26"/>
  <c r="AY780" i="26"/>
  <c r="AY781" i="26"/>
  <c r="AY782" i="26"/>
  <c r="AY783" i="26"/>
  <c r="AY784" i="26"/>
  <c r="AY785" i="26"/>
  <c r="AY786" i="26"/>
  <c r="AY787" i="26"/>
  <c r="AY788" i="26"/>
  <c r="AY789" i="26"/>
  <c r="AY790" i="26"/>
  <c r="AY791" i="26"/>
  <c r="AY792" i="26"/>
  <c r="AY793" i="26"/>
  <c r="AY794" i="26"/>
  <c r="AY795" i="26"/>
  <c r="AY796" i="26"/>
  <c r="AV9" i="26"/>
  <c r="AV10" i="26"/>
  <c r="AV11" i="26"/>
  <c r="AV12" i="26"/>
  <c r="AV13" i="26"/>
  <c r="AV14" i="26"/>
  <c r="AV15" i="26"/>
  <c r="AV16" i="26"/>
  <c r="AV17" i="26"/>
  <c r="AV18" i="26"/>
  <c r="AV19" i="26"/>
  <c r="AV20" i="26"/>
  <c r="AV21" i="26"/>
  <c r="AV22" i="26"/>
  <c r="AV23" i="26"/>
  <c r="AV24" i="26"/>
  <c r="AV25" i="26"/>
  <c r="AV26" i="26"/>
  <c r="AV27" i="26"/>
  <c r="AV28" i="26"/>
  <c r="AV29" i="26"/>
  <c r="AV30" i="26"/>
  <c r="AV31" i="26"/>
  <c r="AV32" i="26"/>
  <c r="AV33" i="26"/>
  <c r="AV34" i="26"/>
  <c r="AV35" i="26"/>
  <c r="AV36" i="26"/>
  <c r="AV37" i="26"/>
  <c r="AV38" i="26"/>
  <c r="AV39" i="26"/>
  <c r="AV40" i="26"/>
  <c r="AV41" i="26"/>
  <c r="AV42" i="26"/>
  <c r="AV43" i="26"/>
  <c r="AV44" i="26"/>
  <c r="AV45" i="26"/>
  <c r="AV46" i="26"/>
  <c r="AV47" i="26"/>
  <c r="AV48" i="26"/>
  <c r="AV49" i="26"/>
  <c r="AV50" i="26"/>
  <c r="AV51" i="26"/>
  <c r="AV52" i="26"/>
  <c r="AV53" i="26"/>
  <c r="AV54" i="26"/>
  <c r="AV55" i="26"/>
  <c r="AV56" i="26"/>
  <c r="AV57" i="26"/>
  <c r="AV58" i="26"/>
  <c r="AV59" i="26"/>
  <c r="AV60" i="26"/>
  <c r="AV61" i="26"/>
  <c r="AV62" i="26"/>
  <c r="AV63" i="26"/>
  <c r="AV64" i="26"/>
  <c r="AV65" i="26"/>
  <c r="AV66" i="26"/>
  <c r="AV67" i="26"/>
  <c r="AV68" i="26"/>
  <c r="AV69" i="26"/>
  <c r="AV70" i="26"/>
  <c r="AV71" i="26"/>
  <c r="AV72" i="26"/>
  <c r="AV73" i="26"/>
  <c r="AV74" i="26"/>
  <c r="AV75" i="26"/>
  <c r="AV76" i="26"/>
  <c r="AV77" i="26"/>
  <c r="AV78" i="26"/>
  <c r="AV79" i="26"/>
  <c r="AV80" i="26"/>
  <c r="AV81" i="26"/>
  <c r="AV82" i="26"/>
  <c r="AV83" i="26"/>
  <c r="AV84" i="26"/>
  <c r="AV85" i="26"/>
  <c r="AV86" i="26"/>
  <c r="AV87" i="26"/>
  <c r="AV88" i="26"/>
  <c r="AV89" i="26"/>
  <c r="AV90" i="26"/>
  <c r="AV91" i="26"/>
  <c r="AV92" i="26"/>
  <c r="AV93" i="26"/>
  <c r="AV94" i="26"/>
  <c r="AV95" i="26"/>
  <c r="AV96" i="26"/>
  <c r="AV97" i="26"/>
  <c r="AV98" i="26"/>
  <c r="AV99" i="26"/>
  <c r="AV100" i="26"/>
  <c r="AV101" i="26"/>
  <c r="AV102" i="26"/>
  <c r="AV103" i="26"/>
  <c r="AV104" i="26"/>
  <c r="AV105" i="26"/>
  <c r="AV106" i="26"/>
  <c r="AV107" i="26"/>
  <c r="AV108" i="26"/>
  <c r="AV109" i="26"/>
  <c r="AV110" i="26"/>
  <c r="AV111" i="26"/>
  <c r="AV112" i="26"/>
  <c r="AV113" i="26"/>
  <c r="AV114" i="26"/>
  <c r="AV115" i="26"/>
  <c r="AV116" i="26"/>
  <c r="AV117" i="26"/>
  <c r="AV118" i="26"/>
  <c r="AV119" i="26"/>
  <c r="AV120" i="26"/>
  <c r="AV121" i="26"/>
  <c r="AV122" i="26"/>
  <c r="AV123" i="26"/>
  <c r="AV124" i="26"/>
  <c r="AV125" i="26"/>
  <c r="AV126" i="26"/>
  <c r="AV127" i="26"/>
  <c r="AV128" i="26"/>
  <c r="AV129" i="26"/>
  <c r="AV130" i="26"/>
  <c r="AV131" i="26"/>
  <c r="AV132" i="26"/>
  <c r="AV133" i="26"/>
  <c r="AV134" i="26"/>
  <c r="AV135" i="26"/>
  <c r="AV136" i="26"/>
  <c r="AV137" i="26"/>
  <c r="AV138" i="26"/>
  <c r="AV139" i="26"/>
  <c r="AV140" i="26"/>
  <c r="AV141" i="26"/>
  <c r="AV142" i="26"/>
  <c r="AV143" i="26"/>
  <c r="AV144" i="26"/>
  <c r="AV145" i="26"/>
  <c r="AV146" i="26"/>
  <c r="AV147" i="26"/>
  <c r="AV148" i="26"/>
  <c r="AV149" i="26"/>
  <c r="AV150" i="26"/>
  <c r="AV151" i="26"/>
  <c r="AV152" i="26"/>
  <c r="AV153" i="26"/>
  <c r="AV154" i="26"/>
  <c r="AV155" i="26"/>
  <c r="AV156" i="26"/>
  <c r="AV157" i="26"/>
  <c r="AV158" i="26"/>
  <c r="AV159" i="26"/>
  <c r="AV160" i="26"/>
  <c r="AV161" i="26"/>
  <c r="AV162" i="26"/>
  <c r="AV163" i="26"/>
  <c r="AV164" i="26"/>
  <c r="AV165" i="26"/>
  <c r="AV166" i="26"/>
  <c r="AV167" i="26"/>
  <c r="AV168" i="26"/>
  <c r="AV169" i="26"/>
  <c r="AV170" i="26"/>
  <c r="AV171" i="26"/>
  <c r="AV172" i="26"/>
  <c r="AV173" i="26"/>
  <c r="AV174" i="26"/>
  <c r="AV175" i="26"/>
  <c r="AV176" i="26"/>
  <c r="AV177" i="26"/>
  <c r="AV178" i="26"/>
  <c r="AV179" i="26"/>
  <c r="AV180" i="26"/>
  <c r="AV181" i="26"/>
  <c r="AV182" i="26"/>
  <c r="AV183" i="26"/>
  <c r="AV184" i="26"/>
  <c r="AV185" i="26"/>
  <c r="AV186" i="26"/>
  <c r="AV187" i="26"/>
  <c r="AV188" i="26"/>
  <c r="AV189" i="26"/>
  <c r="AV190" i="26"/>
  <c r="AV191" i="26"/>
  <c r="AV192" i="26"/>
  <c r="AV193" i="26"/>
  <c r="AV194" i="26"/>
  <c r="AV195" i="26"/>
  <c r="AV196" i="26"/>
  <c r="AV197" i="26"/>
  <c r="AV198" i="26"/>
  <c r="AV199" i="26"/>
  <c r="AV200" i="26"/>
  <c r="AV201" i="26"/>
  <c r="AV202" i="26"/>
  <c r="AV203" i="26"/>
  <c r="AV204" i="26"/>
  <c r="AV205" i="26"/>
  <c r="AV206" i="26"/>
  <c r="AV207" i="26"/>
  <c r="AV208" i="26"/>
  <c r="AV209" i="26"/>
  <c r="AV210" i="26"/>
  <c r="AV211" i="26"/>
  <c r="AV212" i="26"/>
  <c r="AV213" i="26"/>
  <c r="AV214" i="26"/>
  <c r="AV215" i="26"/>
  <c r="AV216" i="26"/>
  <c r="AV217" i="26"/>
  <c r="AV218" i="26"/>
  <c r="AV219" i="26"/>
  <c r="AV220" i="26"/>
  <c r="AV221" i="26"/>
  <c r="AV222" i="26"/>
  <c r="AV223" i="26"/>
  <c r="AV224" i="26"/>
  <c r="AV225" i="26"/>
  <c r="AV226" i="26"/>
  <c r="AV227" i="26"/>
  <c r="AV228" i="26"/>
  <c r="AV229" i="26"/>
  <c r="AV230" i="26"/>
  <c r="AV231" i="26"/>
  <c r="AV232" i="26"/>
  <c r="AV233" i="26"/>
  <c r="AV234" i="26"/>
  <c r="AV235" i="26"/>
  <c r="AV236" i="26"/>
  <c r="AV237" i="26"/>
  <c r="AV238" i="26"/>
  <c r="AV239" i="26"/>
  <c r="AV240" i="26"/>
  <c r="AV241" i="26"/>
  <c r="AV242" i="26"/>
  <c r="AV243" i="26"/>
  <c r="AV244" i="26"/>
  <c r="AV245" i="26"/>
  <c r="AV246" i="26"/>
  <c r="AV247" i="26"/>
  <c r="AV248" i="26"/>
  <c r="AV249" i="26"/>
  <c r="AV250" i="26"/>
  <c r="AV251" i="26"/>
  <c r="AV252" i="26"/>
  <c r="AV253" i="26"/>
  <c r="AV254" i="26"/>
  <c r="AV255" i="26"/>
  <c r="AV256" i="26"/>
  <c r="AV257" i="26"/>
  <c r="AV258" i="26"/>
  <c r="AV259" i="26"/>
  <c r="AV260" i="26"/>
  <c r="AV261" i="26"/>
  <c r="AV262" i="26"/>
  <c r="AV263" i="26"/>
  <c r="AV264" i="26"/>
  <c r="AV265" i="26"/>
  <c r="AV266" i="26"/>
  <c r="AV267" i="26"/>
  <c r="AV268" i="26"/>
  <c r="AV269" i="26"/>
  <c r="AV270" i="26"/>
  <c r="AV271" i="26"/>
  <c r="AV272" i="26"/>
  <c r="AV273" i="26"/>
  <c r="AV274" i="26"/>
  <c r="AV275" i="26"/>
  <c r="AV276" i="26"/>
  <c r="AV277" i="26"/>
  <c r="AV278" i="26"/>
  <c r="AV279" i="26"/>
  <c r="AV280" i="26"/>
  <c r="AV281" i="26"/>
  <c r="AV282" i="26"/>
  <c r="AV283" i="26"/>
  <c r="AV284" i="26"/>
  <c r="AV285" i="26"/>
  <c r="AV286" i="26"/>
  <c r="AV287" i="26"/>
  <c r="AV288" i="26"/>
  <c r="AV289" i="26"/>
  <c r="AV290" i="26"/>
  <c r="AV291" i="26"/>
  <c r="AV292" i="26"/>
  <c r="AV293" i="26"/>
  <c r="AV294" i="26"/>
  <c r="AV295" i="26"/>
  <c r="AV296" i="26"/>
  <c r="AV297" i="26"/>
  <c r="AV298" i="26"/>
  <c r="AV299" i="26"/>
  <c r="AV300" i="26"/>
  <c r="AV301" i="26"/>
  <c r="AV302" i="26"/>
  <c r="AV303" i="26"/>
  <c r="AV304" i="26"/>
  <c r="AV305" i="26"/>
  <c r="AV306" i="26"/>
  <c r="AV307" i="26"/>
  <c r="AV308" i="26"/>
  <c r="AV309" i="26"/>
  <c r="AV310" i="26"/>
  <c r="AV311" i="26"/>
  <c r="AV312" i="26"/>
  <c r="AV313" i="26"/>
  <c r="AV314" i="26"/>
  <c r="AV315" i="26"/>
  <c r="AV316" i="26"/>
  <c r="AV317" i="26"/>
  <c r="AV318" i="26"/>
  <c r="AV319" i="26"/>
  <c r="AV320" i="26"/>
  <c r="AV321" i="26"/>
  <c r="AV322" i="26"/>
  <c r="AV323" i="26"/>
  <c r="AV324" i="26"/>
  <c r="AV325" i="26"/>
  <c r="AV326" i="26"/>
  <c r="AV327" i="26"/>
  <c r="AV328" i="26"/>
  <c r="AV329" i="26"/>
  <c r="AV330" i="26"/>
  <c r="AV331" i="26"/>
  <c r="AV332" i="26"/>
  <c r="AV333" i="26"/>
  <c r="AV334" i="26"/>
  <c r="AV335" i="26"/>
  <c r="AV336" i="26"/>
  <c r="AV337" i="26"/>
  <c r="AV338" i="26"/>
  <c r="AV339" i="26"/>
  <c r="AV340" i="26"/>
  <c r="AV341" i="26"/>
  <c r="AV342" i="26"/>
  <c r="AV343" i="26"/>
  <c r="AV344" i="26"/>
  <c r="AV345" i="26"/>
  <c r="AV346" i="26"/>
  <c r="AV347" i="26"/>
  <c r="AV348" i="26"/>
  <c r="AV349" i="26"/>
  <c r="AV350" i="26"/>
  <c r="AV351" i="26"/>
  <c r="AV352" i="26"/>
  <c r="AV353" i="26"/>
  <c r="AV354" i="26"/>
  <c r="AV355" i="26"/>
  <c r="AV356" i="26"/>
  <c r="AV357" i="26"/>
  <c r="AV358" i="26"/>
  <c r="AV359" i="26"/>
  <c r="AV360" i="26"/>
  <c r="AV361" i="26"/>
  <c r="AV362" i="26"/>
  <c r="AV363" i="26"/>
  <c r="AV364" i="26"/>
  <c r="AV365" i="26"/>
  <c r="AV366" i="26"/>
  <c r="AV367" i="26"/>
  <c r="AV368" i="26"/>
  <c r="AV369" i="26"/>
  <c r="AV370" i="26"/>
  <c r="AV371" i="26"/>
  <c r="AV372" i="26"/>
  <c r="AV373" i="26"/>
  <c r="AV374" i="26"/>
  <c r="AV375" i="26"/>
  <c r="AV376" i="26"/>
  <c r="AV377" i="26"/>
  <c r="AV378" i="26"/>
  <c r="AV379" i="26"/>
  <c r="AV380" i="26"/>
  <c r="AV381" i="26"/>
  <c r="AV382" i="26"/>
  <c r="AV383" i="26"/>
  <c r="AV384" i="26"/>
  <c r="AV385" i="26"/>
  <c r="AV386" i="26"/>
  <c r="AV387" i="26"/>
  <c r="AV388" i="26"/>
  <c r="AV389" i="26"/>
  <c r="AV390" i="26"/>
  <c r="AV391" i="26"/>
  <c r="AV392" i="26"/>
  <c r="AV393" i="26"/>
  <c r="AV394" i="26"/>
  <c r="AV395" i="26"/>
  <c r="AV396" i="26"/>
  <c r="AV397" i="26"/>
  <c r="AV398" i="26"/>
  <c r="AV399" i="26"/>
  <c r="AV400" i="26"/>
  <c r="AV401" i="26"/>
  <c r="AV402" i="26"/>
  <c r="AV403" i="26"/>
  <c r="AV404" i="26"/>
  <c r="AV405" i="26"/>
  <c r="AV406" i="26"/>
  <c r="AV407" i="26"/>
  <c r="AV408" i="26"/>
  <c r="AV409" i="26"/>
  <c r="AV410" i="26"/>
  <c r="AV411" i="26"/>
  <c r="AV412" i="26"/>
  <c r="AV413" i="26"/>
  <c r="AV414" i="26"/>
  <c r="AV415" i="26"/>
  <c r="AV416" i="26"/>
  <c r="AV417" i="26"/>
  <c r="AV418" i="26"/>
  <c r="AV419" i="26"/>
  <c r="AV420" i="26"/>
  <c r="AV421" i="26"/>
  <c r="AV422" i="26"/>
  <c r="AV423" i="26"/>
  <c r="AV424" i="26"/>
  <c r="AV425" i="26"/>
  <c r="AV426" i="26"/>
  <c r="AV427" i="26"/>
  <c r="AV428" i="26"/>
  <c r="AV429" i="26"/>
  <c r="AV430" i="26"/>
  <c r="AV431" i="26"/>
  <c r="AV432" i="26"/>
  <c r="AV433" i="26"/>
  <c r="AV434" i="26"/>
  <c r="AV435" i="26"/>
  <c r="AV436" i="26"/>
  <c r="AV437" i="26"/>
  <c r="AV438" i="26"/>
  <c r="AV439" i="26"/>
  <c r="AV440" i="26"/>
  <c r="AV441" i="26"/>
  <c r="AV442" i="26"/>
  <c r="AV443" i="26"/>
  <c r="AV444" i="26"/>
  <c r="AV445" i="26"/>
  <c r="AV446" i="26"/>
  <c r="AV447" i="26"/>
  <c r="AV448" i="26"/>
  <c r="AV449" i="26"/>
  <c r="AV450" i="26"/>
  <c r="AV451" i="26"/>
  <c r="AV452" i="26"/>
  <c r="AV453" i="26"/>
  <c r="AV454" i="26"/>
  <c r="AV455" i="26"/>
  <c r="AV456" i="26"/>
  <c r="AV457" i="26"/>
  <c r="AV458" i="26"/>
  <c r="AV459" i="26"/>
  <c r="AV460" i="26"/>
  <c r="AV461" i="26"/>
  <c r="AV462" i="26"/>
  <c r="AV463" i="26"/>
  <c r="AV464" i="26"/>
  <c r="AV465" i="26"/>
  <c r="AV466" i="26"/>
  <c r="AV467" i="26"/>
  <c r="AV468" i="26"/>
  <c r="AV469" i="26"/>
  <c r="AV470" i="26"/>
  <c r="AV471" i="26"/>
  <c r="AV472" i="26"/>
  <c r="AV473" i="26"/>
  <c r="AV474" i="26"/>
  <c r="AV475" i="26"/>
  <c r="AV476" i="26"/>
  <c r="AV477" i="26"/>
  <c r="AV478" i="26"/>
  <c r="AV479" i="26"/>
  <c r="AV480" i="26"/>
  <c r="AV481" i="26"/>
  <c r="AV482" i="26"/>
  <c r="AV483" i="26"/>
  <c r="AV484" i="26"/>
  <c r="AV485" i="26"/>
  <c r="AV486" i="26"/>
  <c r="AV487" i="26"/>
  <c r="AV488" i="26"/>
  <c r="AV489" i="26"/>
  <c r="AV490" i="26"/>
  <c r="AV491" i="26"/>
  <c r="AV492" i="26"/>
  <c r="AV493" i="26"/>
  <c r="AV494" i="26"/>
  <c r="AV495" i="26"/>
  <c r="AV496" i="26"/>
  <c r="AV497" i="26"/>
  <c r="AV498" i="26"/>
  <c r="AV499" i="26"/>
  <c r="AV500" i="26"/>
  <c r="AV501" i="26"/>
  <c r="AV502" i="26"/>
  <c r="AV503" i="26"/>
  <c r="AV504" i="26"/>
  <c r="AV505" i="26"/>
  <c r="AV506" i="26"/>
  <c r="AV507" i="26"/>
  <c r="AV508" i="26"/>
  <c r="AV509" i="26"/>
  <c r="AV510" i="26"/>
  <c r="AV511" i="26"/>
  <c r="AV512" i="26"/>
  <c r="AV513" i="26"/>
  <c r="AV514" i="26"/>
  <c r="AV515" i="26"/>
  <c r="AV516" i="26"/>
  <c r="AV517" i="26"/>
  <c r="AV518" i="26"/>
  <c r="AV519" i="26"/>
  <c r="AV520" i="26"/>
  <c r="AV521" i="26"/>
  <c r="AV522" i="26"/>
  <c r="AV523" i="26"/>
  <c r="AV524" i="26"/>
  <c r="AV525" i="26"/>
  <c r="AV526" i="26"/>
  <c r="AV527" i="26"/>
  <c r="AV528" i="26"/>
  <c r="AV529" i="26"/>
  <c r="AV530" i="26"/>
  <c r="AV531" i="26"/>
  <c r="AV532" i="26"/>
  <c r="AV533" i="26"/>
  <c r="AV534" i="26"/>
  <c r="AV535" i="26"/>
  <c r="AV536" i="26"/>
  <c r="AV537" i="26"/>
  <c r="AV538" i="26"/>
  <c r="AV539" i="26"/>
  <c r="AV540" i="26"/>
  <c r="AV541" i="26"/>
  <c r="AV542" i="26"/>
  <c r="AV543" i="26"/>
  <c r="AV544" i="26"/>
  <c r="AV545" i="26"/>
  <c r="AV546" i="26"/>
  <c r="AV547" i="26"/>
  <c r="AV548" i="26"/>
  <c r="AV549" i="26"/>
  <c r="AV550" i="26"/>
  <c r="AV551" i="26"/>
  <c r="AV552" i="26"/>
  <c r="AV553" i="26"/>
  <c r="AV554" i="26"/>
  <c r="AV555" i="26"/>
  <c r="AV556" i="26"/>
  <c r="AV557" i="26"/>
  <c r="AV558" i="26"/>
  <c r="AV559" i="26"/>
  <c r="AV560" i="26"/>
  <c r="AV561" i="26"/>
  <c r="AV562" i="26"/>
  <c r="AV563" i="26"/>
  <c r="AV564" i="26"/>
  <c r="AV565" i="26"/>
  <c r="AV566" i="26"/>
  <c r="AV567" i="26"/>
  <c r="AV568" i="26"/>
  <c r="AV569" i="26"/>
  <c r="AV570" i="26"/>
  <c r="AV571" i="26"/>
  <c r="AV572" i="26"/>
  <c r="AV573" i="26"/>
  <c r="AV574" i="26"/>
  <c r="AV575" i="26"/>
  <c r="AV576" i="26"/>
  <c r="AV577" i="26"/>
  <c r="AV578" i="26"/>
  <c r="AV579" i="26"/>
  <c r="AV580" i="26"/>
  <c r="AV581" i="26"/>
  <c r="AV582" i="26"/>
  <c r="AV583" i="26"/>
  <c r="AV584" i="26"/>
  <c r="AV585" i="26"/>
  <c r="AV586" i="26"/>
  <c r="AV587" i="26"/>
  <c r="AV588" i="26"/>
  <c r="AV589" i="26"/>
  <c r="AV590" i="26"/>
  <c r="AV591" i="26"/>
  <c r="AV592" i="26"/>
  <c r="AV593" i="26"/>
  <c r="AV594" i="26"/>
  <c r="AV595" i="26"/>
  <c r="AV596" i="26"/>
  <c r="AV597" i="26"/>
  <c r="AV598" i="26"/>
  <c r="AV599" i="26"/>
  <c r="AV600" i="26"/>
  <c r="AV601" i="26"/>
  <c r="AV602" i="26"/>
  <c r="AV603" i="26"/>
  <c r="AV604" i="26"/>
  <c r="AV605" i="26"/>
  <c r="AV606" i="26"/>
  <c r="AV607" i="26"/>
  <c r="AV608" i="26"/>
  <c r="AV609" i="26"/>
  <c r="AV610" i="26"/>
  <c r="AV611" i="26"/>
  <c r="AV612" i="26"/>
  <c r="AV613" i="26"/>
  <c r="AV614" i="26"/>
  <c r="AV615" i="26"/>
  <c r="AV616" i="26"/>
  <c r="AV617" i="26"/>
  <c r="AV618" i="26"/>
  <c r="AV619" i="26"/>
  <c r="AV620" i="26"/>
  <c r="AV621" i="26"/>
  <c r="AV622" i="26"/>
  <c r="AV623" i="26"/>
  <c r="AV624" i="26"/>
  <c r="AV625" i="26"/>
  <c r="AV626" i="26"/>
  <c r="AV627" i="26"/>
  <c r="AV628" i="26"/>
  <c r="AV629" i="26"/>
  <c r="AV630" i="26"/>
  <c r="AV631" i="26"/>
  <c r="AV632" i="26"/>
  <c r="AV633" i="26"/>
  <c r="AV634" i="26"/>
  <c r="AV635" i="26"/>
  <c r="AV636" i="26"/>
  <c r="AV637" i="26"/>
  <c r="AV638" i="26"/>
  <c r="AV639" i="26"/>
  <c r="AV640" i="26"/>
  <c r="AV641" i="26"/>
  <c r="AV642" i="26"/>
  <c r="AV643" i="26"/>
  <c r="AV644" i="26"/>
  <c r="AV645" i="26"/>
  <c r="AV646" i="26"/>
  <c r="AV647" i="26"/>
  <c r="AV648" i="26"/>
  <c r="AV649" i="26"/>
  <c r="AV650" i="26"/>
  <c r="AV651" i="26"/>
  <c r="AV652" i="26"/>
  <c r="AV653" i="26"/>
  <c r="AV654" i="26"/>
  <c r="AV655" i="26"/>
  <c r="AV656" i="26"/>
  <c r="AV657" i="26"/>
  <c r="AV658" i="26"/>
  <c r="AV659" i="26"/>
  <c r="AV660" i="26"/>
  <c r="AV661" i="26"/>
  <c r="AV662" i="26"/>
  <c r="AV663" i="26"/>
  <c r="AV664" i="26"/>
  <c r="AV665" i="26"/>
  <c r="AV666" i="26"/>
  <c r="AV667" i="26"/>
  <c r="AV668" i="26"/>
  <c r="AV669" i="26"/>
  <c r="AV670" i="26"/>
  <c r="AV671" i="26"/>
  <c r="AV672" i="26"/>
  <c r="AV673" i="26"/>
  <c r="AV674" i="26"/>
  <c r="AV675" i="26"/>
  <c r="AV676" i="26"/>
  <c r="AV677" i="26"/>
  <c r="AV678" i="26"/>
  <c r="AV679" i="26"/>
  <c r="AV680" i="26"/>
  <c r="AV681" i="26"/>
  <c r="AV682" i="26"/>
  <c r="AV683" i="26"/>
  <c r="AV684" i="26"/>
  <c r="AV685" i="26"/>
  <c r="AV686" i="26"/>
  <c r="AV687" i="26"/>
  <c r="AV688" i="26"/>
  <c r="AV689" i="26"/>
  <c r="AV690" i="26"/>
  <c r="AV691" i="26"/>
  <c r="AV692" i="26"/>
  <c r="AV693" i="26"/>
  <c r="AV694" i="26"/>
  <c r="AV695" i="26"/>
  <c r="AV696" i="26"/>
  <c r="AV697" i="26"/>
  <c r="AV698" i="26"/>
  <c r="AV699" i="26"/>
  <c r="AV700" i="26"/>
  <c r="AV701" i="26"/>
  <c r="AV702" i="26"/>
  <c r="AV703" i="26"/>
  <c r="AV704" i="26"/>
  <c r="AV705" i="26"/>
  <c r="AV706" i="26"/>
  <c r="AV707" i="26"/>
  <c r="AV708" i="26"/>
  <c r="AV709" i="26"/>
  <c r="AV710" i="26"/>
  <c r="AV711" i="26"/>
  <c r="AV712" i="26"/>
  <c r="AV713" i="26"/>
  <c r="AV714" i="26"/>
  <c r="AV715" i="26"/>
  <c r="AV716" i="26"/>
  <c r="AV717" i="26"/>
  <c r="AV718" i="26"/>
  <c r="AV719" i="26"/>
  <c r="AV720" i="26"/>
  <c r="AV721" i="26"/>
  <c r="AV722" i="26"/>
  <c r="AV723" i="26"/>
  <c r="AV724" i="26"/>
  <c r="AV725" i="26"/>
  <c r="AV726" i="26"/>
  <c r="AV727" i="26"/>
  <c r="AV728" i="26"/>
  <c r="AV729" i="26"/>
  <c r="AV730" i="26"/>
  <c r="AV731" i="26"/>
  <c r="AV732" i="26"/>
  <c r="AV733" i="26"/>
  <c r="AV734" i="26"/>
  <c r="AV735" i="26"/>
  <c r="AV736" i="26"/>
  <c r="AV737" i="26"/>
  <c r="AV738" i="26"/>
  <c r="AV739" i="26"/>
  <c r="AV740" i="26"/>
  <c r="AV741" i="26"/>
  <c r="AV742" i="26"/>
  <c r="AV743" i="26"/>
  <c r="AV744" i="26"/>
  <c r="AV745" i="26"/>
  <c r="AV746" i="26"/>
  <c r="AV747" i="26"/>
  <c r="AV748" i="26"/>
  <c r="AV749" i="26"/>
  <c r="AV750" i="26"/>
  <c r="AV751" i="26"/>
  <c r="AV752" i="26"/>
  <c r="AV753" i="26"/>
  <c r="AV754" i="26"/>
  <c r="AV755" i="26"/>
  <c r="AV756" i="26"/>
  <c r="AV757" i="26"/>
  <c r="AV758" i="26"/>
  <c r="AV759" i="26"/>
  <c r="AV760" i="26"/>
  <c r="AV761" i="26"/>
  <c r="AV763" i="26"/>
  <c r="AV764" i="26"/>
  <c r="AV765" i="26"/>
  <c r="AV766" i="26"/>
  <c r="AV767" i="26"/>
  <c r="AV768" i="26"/>
  <c r="AV769" i="26"/>
  <c r="AV770" i="26"/>
  <c r="AV771" i="26"/>
  <c r="AV772" i="26"/>
  <c r="AV773" i="26"/>
  <c r="AV774" i="26"/>
  <c r="AV775" i="26"/>
  <c r="AV776" i="26"/>
  <c r="AV777" i="26"/>
  <c r="AV778" i="26"/>
  <c r="AV779" i="26"/>
  <c r="AV780" i="26"/>
  <c r="AV781" i="26"/>
  <c r="AV782" i="26"/>
  <c r="AV783" i="26"/>
  <c r="AV784" i="26"/>
  <c r="AV785" i="26"/>
  <c r="AV786" i="26"/>
  <c r="AV787" i="26"/>
  <c r="AV788" i="26"/>
  <c r="AV789" i="26"/>
  <c r="AV790" i="26"/>
  <c r="AV791" i="26"/>
  <c r="AV792" i="26"/>
  <c r="AV793" i="26"/>
  <c r="AV794" i="26"/>
  <c r="AV795" i="26"/>
  <c r="AV796" i="26"/>
  <c r="BK2" i="26"/>
  <c r="BA796" i="26"/>
  <c r="AZ796" i="26"/>
  <c r="AX796" i="26"/>
  <c r="AW796" i="26"/>
  <c r="AU796" i="26"/>
  <c r="AT796" i="26"/>
  <c r="BA795" i="26"/>
  <c r="AZ795" i="26"/>
  <c r="AX795" i="26"/>
  <c r="AW795" i="26"/>
  <c r="AU795" i="26"/>
  <c r="AT795" i="26"/>
  <c r="BA794" i="26"/>
  <c r="AZ794" i="26"/>
  <c r="AX794" i="26"/>
  <c r="AW794" i="26"/>
  <c r="AU794" i="26"/>
  <c r="AT794" i="26"/>
  <c r="BA793" i="26"/>
  <c r="AZ793" i="26"/>
  <c r="AX793" i="26"/>
  <c r="AW793" i="26"/>
  <c r="AU793" i="26"/>
  <c r="AT793" i="26"/>
  <c r="BA792" i="26"/>
  <c r="AZ792" i="26"/>
  <c r="AX792" i="26"/>
  <c r="AW792" i="26"/>
  <c r="AU792" i="26"/>
  <c r="AT792" i="26"/>
  <c r="BA791" i="26"/>
  <c r="AZ791" i="26"/>
  <c r="AX791" i="26"/>
  <c r="AW791" i="26"/>
  <c r="AU791" i="26"/>
  <c r="AT791" i="26"/>
  <c r="BA790" i="26"/>
  <c r="AZ790" i="26"/>
  <c r="AX790" i="26"/>
  <c r="AW790" i="26"/>
  <c r="AU790" i="26"/>
  <c r="AT790" i="26"/>
  <c r="BA789" i="26"/>
  <c r="AZ789" i="26"/>
  <c r="AX789" i="26"/>
  <c r="AW789" i="26"/>
  <c r="AU789" i="26"/>
  <c r="AT789" i="26"/>
  <c r="BA788" i="26"/>
  <c r="AZ788" i="26"/>
  <c r="AX788" i="26"/>
  <c r="AW788" i="26"/>
  <c r="AU788" i="26"/>
  <c r="AT788" i="26"/>
  <c r="BA787" i="26"/>
  <c r="AZ787" i="26"/>
  <c r="AX787" i="26"/>
  <c r="AW787" i="26"/>
  <c r="AU787" i="26"/>
  <c r="AT787" i="26"/>
  <c r="BA786" i="26"/>
  <c r="AZ786" i="26"/>
  <c r="AX786" i="26"/>
  <c r="AW786" i="26"/>
  <c r="AU786" i="26"/>
  <c r="AT786" i="26"/>
  <c r="BA785" i="26"/>
  <c r="AZ785" i="26"/>
  <c r="AX785" i="26"/>
  <c r="AW785" i="26"/>
  <c r="AU785" i="26"/>
  <c r="AT785" i="26"/>
  <c r="BA784" i="26"/>
  <c r="AZ784" i="26"/>
  <c r="AX784" i="26"/>
  <c r="AW784" i="26"/>
  <c r="AU784" i="26"/>
  <c r="AT784" i="26"/>
  <c r="BA783" i="26"/>
  <c r="AZ783" i="26"/>
  <c r="AX783" i="26"/>
  <c r="AW783" i="26"/>
  <c r="AU783" i="26"/>
  <c r="AT783" i="26"/>
  <c r="BA782" i="26"/>
  <c r="AZ782" i="26"/>
  <c r="AX782" i="26"/>
  <c r="AW782" i="26"/>
  <c r="AU782" i="26"/>
  <c r="AT782" i="26"/>
  <c r="BA781" i="26"/>
  <c r="AZ781" i="26"/>
  <c r="AX781" i="26"/>
  <c r="AW781" i="26"/>
  <c r="AU781" i="26"/>
  <c r="AT781" i="26"/>
  <c r="BA780" i="26"/>
  <c r="AZ780" i="26"/>
  <c r="AX780" i="26"/>
  <c r="AW780" i="26"/>
  <c r="AU780" i="26"/>
  <c r="AT780" i="26"/>
  <c r="BA779" i="26"/>
  <c r="AZ779" i="26"/>
  <c r="AX779" i="26"/>
  <c r="AW779" i="26"/>
  <c r="AU779" i="26"/>
  <c r="AT779" i="26"/>
  <c r="BA778" i="26"/>
  <c r="AZ778" i="26"/>
  <c r="AX778" i="26"/>
  <c r="AW778" i="26"/>
  <c r="AU778" i="26"/>
  <c r="AT778" i="26"/>
  <c r="BA777" i="26"/>
  <c r="AZ777" i="26"/>
  <c r="AX777" i="26"/>
  <c r="AW777" i="26"/>
  <c r="AU777" i="26"/>
  <c r="AT777" i="26"/>
  <c r="BA776" i="26"/>
  <c r="AZ776" i="26"/>
  <c r="AX776" i="26"/>
  <c r="AW776" i="26"/>
  <c r="AU776" i="26"/>
  <c r="AT776" i="26"/>
  <c r="BA775" i="26"/>
  <c r="AZ775" i="26"/>
  <c r="AX775" i="26"/>
  <c r="AW775" i="26"/>
  <c r="AU775" i="26"/>
  <c r="AT775" i="26"/>
  <c r="BA774" i="26"/>
  <c r="AZ774" i="26"/>
  <c r="AX774" i="26"/>
  <c r="AW774" i="26"/>
  <c r="AU774" i="26"/>
  <c r="AT774" i="26"/>
  <c r="BA773" i="26"/>
  <c r="AZ773" i="26"/>
  <c r="AX773" i="26"/>
  <c r="AW773" i="26"/>
  <c r="AU773" i="26"/>
  <c r="AT773" i="26"/>
  <c r="BA772" i="26"/>
  <c r="AZ772" i="26"/>
  <c r="BE772" i="26" s="1"/>
  <c r="AX772" i="26"/>
  <c r="AW772" i="26"/>
  <c r="AU772" i="26"/>
  <c r="AT772" i="26"/>
  <c r="BA771" i="26"/>
  <c r="AZ771" i="26"/>
  <c r="AX771" i="26"/>
  <c r="AW771" i="26"/>
  <c r="AU771" i="26"/>
  <c r="AT771" i="26"/>
  <c r="BA770" i="26"/>
  <c r="AZ770" i="26"/>
  <c r="BE770" i="26" s="1"/>
  <c r="AX770" i="26"/>
  <c r="AW770" i="26"/>
  <c r="AU770" i="26"/>
  <c r="AT770" i="26"/>
  <c r="BA769" i="26"/>
  <c r="AZ769" i="26"/>
  <c r="AX769" i="26"/>
  <c r="AW769" i="26"/>
  <c r="AU769" i="26"/>
  <c r="AT769" i="26"/>
  <c r="BA768" i="26"/>
  <c r="AZ768" i="26"/>
  <c r="AX768" i="26"/>
  <c r="AW768" i="26"/>
  <c r="AU768" i="26"/>
  <c r="AT768" i="26"/>
  <c r="BA767" i="26"/>
  <c r="AZ767" i="26"/>
  <c r="AX767" i="26"/>
  <c r="AW767" i="26"/>
  <c r="AU767" i="26"/>
  <c r="AT767" i="26"/>
  <c r="BA766" i="26"/>
  <c r="AZ766" i="26"/>
  <c r="AX766" i="26"/>
  <c r="AW766" i="26"/>
  <c r="AU766" i="26"/>
  <c r="AT766" i="26"/>
  <c r="BA765" i="26"/>
  <c r="AZ765" i="26"/>
  <c r="AX765" i="26"/>
  <c r="AW765" i="26"/>
  <c r="AU765" i="26"/>
  <c r="AT765" i="26"/>
  <c r="BA764" i="26"/>
  <c r="AZ764" i="26"/>
  <c r="AX764" i="26"/>
  <c r="AW764" i="26"/>
  <c r="AU764" i="26"/>
  <c r="AT764" i="26"/>
  <c r="BA763" i="26"/>
  <c r="AZ763" i="26"/>
  <c r="AX763" i="26"/>
  <c r="AW763" i="26"/>
  <c r="AU763" i="26"/>
  <c r="AT763" i="26"/>
  <c r="BA762" i="26"/>
  <c r="AZ762" i="26"/>
  <c r="AX762" i="26"/>
  <c r="AW762" i="26"/>
  <c r="AV762" i="26"/>
  <c r="AU762" i="26"/>
  <c r="AT762" i="26"/>
  <c r="BA761" i="26"/>
  <c r="AZ761" i="26"/>
  <c r="AX761" i="26"/>
  <c r="AW761" i="26"/>
  <c r="AU761" i="26"/>
  <c r="AT761" i="26"/>
  <c r="BA760" i="26"/>
  <c r="AZ760" i="26"/>
  <c r="AX760" i="26"/>
  <c r="AW760" i="26"/>
  <c r="AU760" i="26"/>
  <c r="AT760" i="26"/>
  <c r="BA759" i="26"/>
  <c r="AZ759" i="26"/>
  <c r="AX759" i="26"/>
  <c r="AW759" i="26"/>
  <c r="AU759" i="26"/>
  <c r="AT759" i="26"/>
  <c r="BA758" i="26"/>
  <c r="AZ758" i="26"/>
  <c r="AX758" i="26"/>
  <c r="AW758" i="26"/>
  <c r="AU758" i="26"/>
  <c r="AT758" i="26"/>
  <c r="BA757" i="26"/>
  <c r="AZ757" i="26"/>
  <c r="AX757" i="26"/>
  <c r="AW757" i="26"/>
  <c r="AU757" i="26"/>
  <c r="AT757" i="26"/>
  <c r="BA756" i="26"/>
  <c r="AZ756" i="26"/>
  <c r="AX756" i="26"/>
  <c r="AW756" i="26"/>
  <c r="AU756" i="26"/>
  <c r="AT756" i="26"/>
  <c r="BA755" i="26"/>
  <c r="AZ755" i="26"/>
  <c r="AX755" i="26"/>
  <c r="AW755" i="26"/>
  <c r="AU755" i="26"/>
  <c r="AT755" i="26"/>
  <c r="BA754" i="26"/>
  <c r="AZ754" i="26"/>
  <c r="AX754" i="26"/>
  <c r="AW754" i="26"/>
  <c r="AU754" i="26"/>
  <c r="AT754" i="26"/>
  <c r="BA753" i="26"/>
  <c r="AZ753" i="26"/>
  <c r="AX753" i="26"/>
  <c r="AW753" i="26"/>
  <c r="AU753" i="26"/>
  <c r="AT753" i="26"/>
  <c r="BA752" i="26"/>
  <c r="AZ752" i="26"/>
  <c r="AX752" i="26"/>
  <c r="AW752" i="26"/>
  <c r="AU752" i="26"/>
  <c r="AT752" i="26"/>
  <c r="BA751" i="26"/>
  <c r="AZ751" i="26"/>
  <c r="AX751" i="26"/>
  <c r="AW751" i="26"/>
  <c r="AU751" i="26"/>
  <c r="AT751" i="26"/>
  <c r="BA750" i="26"/>
  <c r="AZ750" i="26"/>
  <c r="AX750" i="26"/>
  <c r="AW750" i="26"/>
  <c r="AU750" i="26"/>
  <c r="AT750" i="26"/>
  <c r="BA749" i="26"/>
  <c r="AZ749" i="26"/>
  <c r="AX749" i="26"/>
  <c r="AW749" i="26"/>
  <c r="AU749" i="26"/>
  <c r="AT749" i="26"/>
  <c r="BA748" i="26"/>
  <c r="AZ748" i="26"/>
  <c r="AX748" i="26"/>
  <c r="AW748" i="26"/>
  <c r="AU748" i="26"/>
  <c r="AT748" i="26"/>
  <c r="BA747" i="26"/>
  <c r="AZ747" i="26"/>
  <c r="AX747" i="26"/>
  <c r="AW747" i="26"/>
  <c r="AU747" i="26"/>
  <c r="AT747" i="26"/>
  <c r="BA746" i="26"/>
  <c r="AZ746" i="26"/>
  <c r="AX746" i="26"/>
  <c r="AW746" i="26"/>
  <c r="AU746" i="26"/>
  <c r="AT746" i="26"/>
  <c r="BA745" i="26"/>
  <c r="AZ745" i="26"/>
  <c r="AX745" i="26"/>
  <c r="AW745" i="26"/>
  <c r="AU745" i="26"/>
  <c r="AT745" i="26"/>
  <c r="BA744" i="26"/>
  <c r="AZ744" i="26"/>
  <c r="AX744" i="26"/>
  <c r="AW744" i="26"/>
  <c r="AU744" i="26"/>
  <c r="AT744" i="26"/>
  <c r="BA743" i="26"/>
  <c r="AZ743" i="26"/>
  <c r="AX743" i="26"/>
  <c r="AW743" i="26"/>
  <c r="AU743" i="26"/>
  <c r="AT743" i="26"/>
  <c r="BA742" i="26"/>
  <c r="AZ742" i="26"/>
  <c r="AX742" i="26"/>
  <c r="AW742" i="26"/>
  <c r="AU742" i="26"/>
  <c r="AT742" i="26"/>
  <c r="BA741" i="26"/>
  <c r="AZ741" i="26"/>
  <c r="BE741" i="26" s="1"/>
  <c r="AX741" i="26"/>
  <c r="AW741" i="26"/>
  <c r="AU741" i="26"/>
  <c r="AT741" i="26"/>
  <c r="BA740" i="26"/>
  <c r="AZ740" i="26"/>
  <c r="AX740" i="26"/>
  <c r="AW740" i="26"/>
  <c r="AU740" i="26"/>
  <c r="AT740" i="26"/>
  <c r="BA739" i="26"/>
  <c r="AZ739" i="26"/>
  <c r="AX739" i="26"/>
  <c r="AW739" i="26"/>
  <c r="AU739" i="26"/>
  <c r="AT739" i="26"/>
  <c r="BA738" i="26"/>
  <c r="AZ738" i="26"/>
  <c r="AX738" i="26"/>
  <c r="AW738" i="26"/>
  <c r="AU738" i="26"/>
  <c r="AT738" i="26"/>
  <c r="BA737" i="26"/>
  <c r="AZ737" i="26"/>
  <c r="AX737" i="26"/>
  <c r="AW737" i="26"/>
  <c r="AU737" i="26"/>
  <c r="AT737" i="26"/>
  <c r="BA736" i="26"/>
  <c r="AZ736" i="26"/>
  <c r="AX736" i="26"/>
  <c r="AW736" i="26"/>
  <c r="AU736" i="26"/>
  <c r="AT736" i="26"/>
  <c r="BA735" i="26"/>
  <c r="AZ735" i="26"/>
  <c r="AX735" i="26"/>
  <c r="AW735" i="26"/>
  <c r="AU735" i="26"/>
  <c r="AT735" i="26"/>
  <c r="BA734" i="26"/>
  <c r="AZ734" i="26"/>
  <c r="AX734" i="26"/>
  <c r="AW734" i="26"/>
  <c r="AU734" i="26"/>
  <c r="AT734" i="26"/>
  <c r="BA733" i="26"/>
  <c r="AZ733" i="26"/>
  <c r="AX733" i="26"/>
  <c r="AW733" i="26"/>
  <c r="AU733" i="26"/>
  <c r="AT733" i="26"/>
  <c r="BA732" i="26"/>
  <c r="AZ732" i="26"/>
  <c r="AX732" i="26"/>
  <c r="AW732" i="26"/>
  <c r="AU732" i="26"/>
  <c r="AT732" i="26"/>
  <c r="BA731" i="26"/>
  <c r="AZ731" i="26"/>
  <c r="AX731" i="26"/>
  <c r="AW731" i="26"/>
  <c r="AU731" i="26"/>
  <c r="AT731" i="26"/>
  <c r="BA730" i="26"/>
  <c r="AZ730" i="26"/>
  <c r="AX730" i="26"/>
  <c r="AW730" i="26"/>
  <c r="AU730" i="26"/>
  <c r="AT730" i="26"/>
  <c r="BA729" i="26"/>
  <c r="AZ729" i="26"/>
  <c r="AX729" i="26"/>
  <c r="AW729" i="26"/>
  <c r="AU729" i="26"/>
  <c r="AT729" i="26"/>
  <c r="BA728" i="26"/>
  <c r="AZ728" i="26"/>
  <c r="AX728" i="26"/>
  <c r="AW728" i="26"/>
  <c r="AU728" i="26"/>
  <c r="AT728" i="26"/>
  <c r="BA727" i="26"/>
  <c r="AZ727" i="26"/>
  <c r="AX727" i="26"/>
  <c r="AW727" i="26"/>
  <c r="AU727" i="26"/>
  <c r="AT727" i="26"/>
  <c r="BA726" i="26"/>
  <c r="AZ726" i="26"/>
  <c r="AX726" i="26"/>
  <c r="AW726" i="26"/>
  <c r="AU726" i="26"/>
  <c r="AT726" i="26"/>
  <c r="BA725" i="26"/>
  <c r="AZ725" i="26"/>
  <c r="AX725" i="26"/>
  <c r="AW725" i="26"/>
  <c r="AU725" i="26"/>
  <c r="AT725" i="26"/>
  <c r="BA724" i="26"/>
  <c r="AZ724" i="26"/>
  <c r="AX724" i="26"/>
  <c r="AW724" i="26"/>
  <c r="AU724" i="26"/>
  <c r="AT724" i="26"/>
  <c r="BA723" i="26"/>
  <c r="AZ723" i="26"/>
  <c r="AX723" i="26"/>
  <c r="AW723" i="26"/>
  <c r="AU723" i="26"/>
  <c r="AT723" i="26"/>
  <c r="BA722" i="26"/>
  <c r="AZ722" i="26"/>
  <c r="AX722" i="26"/>
  <c r="AW722" i="26"/>
  <c r="AU722" i="26"/>
  <c r="AT722" i="26"/>
  <c r="BA721" i="26"/>
  <c r="AZ721" i="26"/>
  <c r="AX721" i="26"/>
  <c r="AW721" i="26"/>
  <c r="AU721" i="26"/>
  <c r="AT721" i="26"/>
  <c r="BA720" i="26"/>
  <c r="AZ720" i="26"/>
  <c r="AX720" i="26"/>
  <c r="AW720" i="26"/>
  <c r="AU720" i="26"/>
  <c r="AT720" i="26"/>
  <c r="BA719" i="26"/>
  <c r="AZ719" i="26"/>
  <c r="AX719" i="26"/>
  <c r="AW719" i="26"/>
  <c r="AU719" i="26"/>
  <c r="AT719" i="26"/>
  <c r="BA718" i="26"/>
  <c r="AZ718" i="26"/>
  <c r="AX718" i="26"/>
  <c r="AW718" i="26"/>
  <c r="AU718" i="26"/>
  <c r="AT718" i="26"/>
  <c r="BA717" i="26"/>
  <c r="AZ717" i="26"/>
  <c r="AX717" i="26"/>
  <c r="AW717" i="26"/>
  <c r="AU717" i="26"/>
  <c r="AT717" i="26"/>
  <c r="BA716" i="26"/>
  <c r="AZ716" i="26"/>
  <c r="AX716" i="26"/>
  <c r="AW716" i="26"/>
  <c r="AU716" i="26"/>
  <c r="AT716" i="26"/>
  <c r="BA715" i="26"/>
  <c r="AZ715" i="26"/>
  <c r="AX715" i="26"/>
  <c r="AW715" i="26"/>
  <c r="AU715" i="26"/>
  <c r="AT715" i="26"/>
  <c r="BA714" i="26"/>
  <c r="AZ714" i="26"/>
  <c r="AX714" i="26"/>
  <c r="AW714" i="26"/>
  <c r="AU714" i="26"/>
  <c r="AT714" i="26"/>
  <c r="BA713" i="26"/>
  <c r="AZ713" i="26"/>
  <c r="AX713" i="26"/>
  <c r="AW713" i="26"/>
  <c r="AU713" i="26"/>
  <c r="AT713" i="26"/>
  <c r="BA712" i="26"/>
  <c r="AZ712" i="26"/>
  <c r="AX712" i="26"/>
  <c r="AW712" i="26"/>
  <c r="AU712" i="26"/>
  <c r="AT712" i="26"/>
  <c r="BA711" i="26"/>
  <c r="AZ711" i="26"/>
  <c r="AX711" i="26"/>
  <c r="AW711" i="26"/>
  <c r="AU711" i="26"/>
  <c r="AT711" i="26"/>
  <c r="BA710" i="26"/>
  <c r="AZ710" i="26"/>
  <c r="AX710" i="26"/>
  <c r="AW710" i="26"/>
  <c r="AU710" i="26"/>
  <c r="AT710" i="26"/>
  <c r="BA709" i="26"/>
  <c r="AZ709" i="26"/>
  <c r="AX709" i="26"/>
  <c r="AW709" i="26"/>
  <c r="AU709" i="26"/>
  <c r="AT709" i="26"/>
  <c r="BA708" i="26"/>
  <c r="AZ708" i="26"/>
  <c r="AX708" i="26"/>
  <c r="AW708" i="26"/>
  <c r="AU708" i="26"/>
  <c r="AT708" i="26"/>
  <c r="BA707" i="26"/>
  <c r="AZ707" i="26"/>
  <c r="AX707" i="26"/>
  <c r="AW707" i="26"/>
  <c r="AU707" i="26"/>
  <c r="AT707" i="26"/>
  <c r="BA706" i="26"/>
  <c r="AZ706" i="26"/>
  <c r="AX706" i="26"/>
  <c r="AW706" i="26"/>
  <c r="AU706" i="26"/>
  <c r="AT706" i="26"/>
  <c r="BA705" i="26"/>
  <c r="AZ705" i="26"/>
  <c r="AX705" i="26"/>
  <c r="AW705" i="26"/>
  <c r="AU705" i="26"/>
  <c r="AT705" i="26"/>
  <c r="BA704" i="26"/>
  <c r="AZ704" i="26"/>
  <c r="AX704" i="26"/>
  <c r="AW704" i="26"/>
  <c r="AU704" i="26"/>
  <c r="AT704" i="26"/>
  <c r="BA703" i="26"/>
  <c r="AZ703" i="26"/>
  <c r="AX703" i="26"/>
  <c r="AW703" i="26"/>
  <c r="AU703" i="26"/>
  <c r="AT703" i="26"/>
  <c r="BA702" i="26"/>
  <c r="AZ702" i="26"/>
  <c r="AX702" i="26"/>
  <c r="AW702" i="26"/>
  <c r="AU702" i="26"/>
  <c r="AT702" i="26"/>
  <c r="BA701" i="26"/>
  <c r="AZ701" i="26"/>
  <c r="BE701" i="26" s="1"/>
  <c r="AX701" i="26"/>
  <c r="AW701" i="26"/>
  <c r="AU701" i="26"/>
  <c r="AT701" i="26"/>
  <c r="BA700" i="26"/>
  <c r="AZ700" i="26"/>
  <c r="AX700" i="26"/>
  <c r="AW700" i="26"/>
  <c r="AU700" i="26"/>
  <c r="AT700" i="26"/>
  <c r="BA699" i="26"/>
  <c r="AZ699" i="26"/>
  <c r="AX699" i="26"/>
  <c r="AW699" i="26"/>
  <c r="AU699" i="26"/>
  <c r="AT699" i="26"/>
  <c r="BA698" i="26"/>
  <c r="AZ698" i="26"/>
  <c r="AX698" i="26"/>
  <c r="AW698" i="26"/>
  <c r="AU698" i="26"/>
  <c r="AT698" i="26"/>
  <c r="BA697" i="26"/>
  <c r="AZ697" i="26"/>
  <c r="AX697" i="26"/>
  <c r="AW697" i="26"/>
  <c r="AU697" i="26"/>
  <c r="AT697" i="26"/>
  <c r="BA696" i="26"/>
  <c r="AZ696" i="26"/>
  <c r="AX696" i="26"/>
  <c r="AW696" i="26"/>
  <c r="AU696" i="26"/>
  <c r="AT696" i="26"/>
  <c r="BA695" i="26"/>
  <c r="AZ695" i="26"/>
  <c r="AX695" i="26"/>
  <c r="AW695" i="26"/>
  <c r="AU695" i="26"/>
  <c r="AT695" i="26"/>
  <c r="BA694" i="26"/>
  <c r="AZ694" i="26"/>
  <c r="AX694" i="26"/>
  <c r="AW694" i="26"/>
  <c r="AU694" i="26"/>
  <c r="AT694" i="26"/>
  <c r="BA693" i="26"/>
  <c r="AZ693" i="26"/>
  <c r="BE693" i="26" s="1"/>
  <c r="AX693" i="26"/>
  <c r="AW693" i="26"/>
  <c r="AU693" i="26"/>
  <c r="AT693" i="26"/>
  <c r="BA692" i="26"/>
  <c r="AZ692" i="26"/>
  <c r="AX692" i="26"/>
  <c r="AW692" i="26"/>
  <c r="AU692" i="26"/>
  <c r="AT692" i="26"/>
  <c r="BA691" i="26"/>
  <c r="AZ691" i="26"/>
  <c r="AX691" i="26"/>
  <c r="AW691" i="26"/>
  <c r="AU691" i="26"/>
  <c r="AT691" i="26"/>
  <c r="BA690" i="26"/>
  <c r="AZ690" i="26"/>
  <c r="AX690" i="26"/>
  <c r="AW690" i="26"/>
  <c r="AU690" i="26"/>
  <c r="AT690" i="26"/>
  <c r="BA689" i="26"/>
  <c r="AZ689" i="26"/>
  <c r="AX689" i="26"/>
  <c r="AW689" i="26"/>
  <c r="AU689" i="26"/>
  <c r="AT689" i="26"/>
  <c r="BA688" i="26"/>
  <c r="AZ688" i="26"/>
  <c r="AX688" i="26"/>
  <c r="AW688" i="26"/>
  <c r="AU688" i="26"/>
  <c r="AT688" i="26"/>
  <c r="BA687" i="26"/>
  <c r="AZ687" i="26"/>
  <c r="AX687" i="26"/>
  <c r="AW687" i="26"/>
  <c r="AU687" i="26"/>
  <c r="AT687" i="26"/>
  <c r="BA686" i="26"/>
  <c r="AZ686" i="26"/>
  <c r="AX686" i="26"/>
  <c r="AW686" i="26"/>
  <c r="AU686" i="26"/>
  <c r="AT686" i="26"/>
  <c r="BA685" i="26"/>
  <c r="AZ685" i="26"/>
  <c r="AX685" i="26"/>
  <c r="AW685" i="26"/>
  <c r="AU685" i="26"/>
  <c r="AT685" i="26"/>
  <c r="BA684" i="26"/>
  <c r="AZ684" i="26"/>
  <c r="AX684" i="26"/>
  <c r="AW684" i="26"/>
  <c r="AU684" i="26"/>
  <c r="AT684" i="26"/>
  <c r="BA683" i="26"/>
  <c r="AZ683" i="26"/>
  <c r="AX683" i="26"/>
  <c r="AW683" i="26"/>
  <c r="AU683" i="26"/>
  <c r="AT683" i="26"/>
  <c r="BA682" i="26"/>
  <c r="AZ682" i="26"/>
  <c r="AX682" i="26"/>
  <c r="AW682" i="26"/>
  <c r="AU682" i="26"/>
  <c r="AT682" i="26"/>
  <c r="BA681" i="26"/>
  <c r="AZ681" i="26"/>
  <c r="AX681" i="26"/>
  <c r="AW681" i="26"/>
  <c r="AU681" i="26"/>
  <c r="AT681" i="26"/>
  <c r="BA680" i="26"/>
  <c r="AZ680" i="26"/>
  <c r="AX680" i="26"/>
  <c r="AW680" i="26"/>
  <c r="AU680" i="26"/>
  <c r="AT680" i="26"/>
  <c r="BA679" i="26"/>
  <c r="AZ679" i="26"/>
  <c r="AX679" i="26"/>
  <c r="AW679" i="26"/>
  <c r="AU679" i="26"/>
  <c r="AT679" i="26"/>
  <c r="BA678" i="26"/>
  <c r="AZ678" i="26"/>
  <c r="AX678" i="26"/>
  <c r="AW678" i="26"/>
  <c r="AU678" i="26"/>
  <c r="AT678" i="26"/>
  <c r="BA677" i="26"/>
  <c r="AZ677" i="26"/>
  <c r="BE677" i="26" s="1"/>
  <c r="AX677" i="26"/>
  <c r="AW677" i="26"/>
  <c r="AU677" i="26"/>
  <c r="AT677" i="26"/>
  <c r="BA676" i="26"/>
  <c r="AZ676" i="26"/>
  <c r="AX676" i="26"/>
  <c r="AW676" i="26"/>
  <c r="AU676" i="26"/>
  <c r="AT676" i="26"/>
  <c r="BA675" i="26"/>
  <c r="AZ675" i="26"/>
  <c r="AX675" i="26"/>
  <c r="AW675" i="26"/>
  <c r="AU675" i="26"/>
  <c r="AT675" i="26"/>
  <c r="BA674" i="26"/>
  <c r="AZ674" i="26"/>
  <c r="AX674" i="26"/>
  <c r="AW674" i="26"/>
  <c r="AU674" i="26"/>
  <c r="AT674" i="26"/>
  <c r="BA673" i="26"/>
  <c r="AZ673" i="26"/>
  <c r="AX673" i="26"/>
  <c r="AW673" i="26"/>
  <c r="AU673" i="26"/>
  <c r="AT673" i="26"/>
  <c r="BA672" i="26"/>
  <c r="AZ672" i="26"/>
  <c r="AX672" i="26"/>
  <c r="AW672" i="26"/>
  <c r="AU672" i="26"/>
  <c r="AT672" i="26"/>
  <c r="BA671" i="26"/>
  <c r="AZ671" i="26"/>
  <c r="AX671" i="26"/>
  <c r="AW671" i="26"/>
  <c r="AU671" i="26"/>
  <c r="AT671" i="26"/>
  <c r="BA670" i="26"/>
  <c r="AZ670" i="26"/>
  <c r="AX670" i="26"/>
  <c r="AW670" i="26"/>
  <c r="AU670" i="26"/>
  <c r="AT670" i="26"/>
  <c r="BA669" i="26"/>
  <c r="AZ669" i="26"/>
  <c r="AX669" i="26"/>
  <c r="AW669" i="26"/>
  <c r="AU669" i="26"/>
  <c r="AT669" i="26"/>
  <c r="BA668" i="26"/>
  <c r="AZ668" i="26"/>
  <c r="AX668" i="26"/>
  <c r="AW668" i="26"/>
  <c r="AU668" i="26"/>
  <c r="AT668" i="26"/>
  <c r="BA667" i="26"/>
  <c r="AZ667" i="26"/>
  <c r="AX667" i="26"/>
  <c r="AW667" i="26"/>
  <c r="AU667" i="26"/>
  <c r="AT667" i="26"/>
  <c r="BA666" i="26"/>
  <c r="AZ666" i="26"/>
  <c r="AX666" i="26"/>
  <c r="AW666" i="26"/>
  <c r="AU666" i="26"/>
  <c r="AT666" i="26"/>
  <c r="BA665" i="26"/>
  <c r="AZ665" i="26"/>
  <c r="AX665" i="26"/>
  <c r="AW665" i="26"/>
  <c r="AU665" i="26"/>
  <c r="AT665" i="26"/>
  <c r="BA664" i="26"/>
  <c r="AZ664" i="26"/>
  <c r="AX664" i="26"/>
  <c r="AW664" i="26"/>
  <c r="AU664" i="26"/>
  <c r="AT664" i="26"/>
  <c r="BA663" i="26"/>
  <c r="AZ663" i="26"/>
  <c r="AX663" i="26"/>
  <c r="AW663" i="26"/>
  <c r="AU663" i="26"/>
  <c r="AT663" i="26"/>
  <c r="BA662" i="26"/>
  <c r="AZ662" i="26"/>
  <c r="AX662" i="26"/>
  <c r="AW662" i="26"/>
  <c r="AU662" i="26"/>
  <c r="AT662" i="26"/>
  <c r="BA661" i="26"/>
  <c r="AZ661" i="26"/>
  <c r="AX661" i="26"/>
  <c r="AW661" i="26"/>
  <c r="AU661" i="26"/>
  <c r="AT661" i="26"/>
  <c r="BA660" i="26"/>
  <c r="AZ660" i="26"/>
  <c r="AX660" i="26"/>
  <c r="AW660" i="26"/>
  <c r="AU660" i="26"/>
  <c r="AT660" i="26"/>
  <c r="BA659" i="26"/>
  <c r="AZ659" i="26"/>
  <c r="AX659" i="26"/>
  <c r="AW659" i="26"/>
  <c r="AU659" i="26"/>
  <c r="AT659" i="26"/>
  <c r="BA658" i="26"/>
  <c r="AZ658" i="26"/>
  <c r="AX658" i="26"/>
  <c r="AW658" i="26"/>
  <c r="AU658" i="26"/>
  <c r="AT658" i="26"/>
  <c r="BA657" i="26"/>
  <c r="AZ657" i="26"/>
  <c r="AX657" i="26"/>
  <c r="AW657" i="26"/>
  <c r="AU657" i="26"/>
  <c r="AT657" i="26"/>
  <c r="BA656" i="26"/>
  <c r="AZ656" i="26"/>
  <c r="AX656" i="26"/>
  <c r="AW656" i="26"/>
  <c r="AU656" i="26"/>
  <c r="AT656" i="26"/>
  <c r="BA655" i="26"/>
  <c r="AZ655" i="26"/>
  <c r="AX655" i="26"/>
  <c r="AW655" i="26"/>
  <c r="AU655" i="26"/>
  <c r="AT655" i="26"/>
  <c r="BA654" i="26"/>
  <c r="AZ654" i="26"/>
  <c r="AX654" i="26"/>
  <c r="AW654" i="26"/>
  <c r="AU654" i="26"/>
  <c r="AT654" i="26"/>
  <c r="BA653" i="26"/>
  <c r="AZ653" i="26"/>
  <c r="AX653" i="26"/>
  <c r="AW653" i="26"/>
  <c r="AU653" i="26"/>
  <c r="AT653" i="26"/>
  <c r="BA652" i="26"/>
  <c r="AZ652" i="26"/>
  <c r="AX652" i="26"/>
  <c r="AW652" i="26"/>
  <c r="AU652" i="26"/>
  <c r="AT652" i="26"/>
  <c r="BA651" i="26"/>
  <c r="AZ651" i="26"/>
  <c r="AX651" i="26"/>
  <c r="AW651" i="26"/>
  <c r="AU651" i="26"/>
  <c r="AT651" i="26"/>
  <c r="BA650" i="26"/>
  <c r="AZ650" i="26"/>
  <c r="AX650" i="26"/>
  <c r="AW650" i="26"/>
  <c r="AU650" i="26"/>
  <c r="AT650" i="26"/>
  <c r="BA649" i="26"/>
  <c r="AZ649" i="26"/>
  <c r="AX649" i="26"/>
  <c r="AW649" i="26"/>
  <c r="AU649" i="26"/>
  <c r="AT649" i="26"/>
  <c r="BA648" i="26"/>
  <c r="AZ648" i="26"/>
  <c r="AX648" i="26"/>
  <c r="AW648" i="26"/>
  <c r="AU648" i="26"/>
  <c r="AT648" i="26"/>
  <c r="BA647" i="26"/>
  <c r="AZ647" i="26"/>
  <c r="AX647" i="26"/>
  <c r="AW647" i="26"/>
  <c r="AU647" i="26"/>
  <c r="AT647" i="26"/>
  <c r="BA646" i="26"/>
  <c r="AZ646" i="26"/>
  <c r="AX646" i="26"/>
  <c r="AW646" i="26"/>
  <c r="AU646" i="26"/>
  <c r="AT646" i="26"/>
  <c r="BA645" i="26"/>
  <c r="AZ645" i="26"/>
  <c r="AX645" i="26"/>
  <c r="AW645" i="26"/>
  <c r="AU645" i="26"/>
  <c r="AT645" i="26"/>
  <c r="BA644" i="26"/>
  <c r="AZ644" i="26"/>
  <c r="AX644" i="26"/>
  <c r="AW644" i="26"/>
  <c r="AU644" i="26"/>
  <c r="AT644" i="26"/>
  <c r="BA643" i="26"/>
  <c r="AZ643" i="26"/>
  <c r="AX643" i="26"/>
  <c r="AW643" i="26"/>
  <c r="AU643" i="26"/>
  <c r="AT643" i="26"/>
  <c r="BA642" i="26"/>
  <c r="AZ642" i="26"/>
  <c r="AX642" i="26"/>
  <c r="AW642" i="26"/>
  <c r="AU642" i="26"/>
  <c r="AT642" i="26"/>
  <c r="BA641" i="26"/>
  <c r="AZ641" i="26"/>
  <c r="AX641" i="26"/>
  <c r="AW641" i="26"/>
  <c r="AU641" i="26"/>
  <c r="AT641" i="26"/>
  <c r="BA640" i="26"/>
  <c r="AZ640" i="26"/>
  <c r="AX640" i="26"/>
  <c r="AW640" i="26"/>
  <c r="AU640" i="26"/>
  <c r="AT640" i="26"/>
  <c r="BA639" i="26"/>
  <c r="AZ639" i="26"/>
  <c r="AX639" i="26"/>
  <c r="AW639" i="26"/>
  <c r="AU639" i="26"/>
  <c r="AT639" i="26"/>
  <c r="BA638" i="26"/>
  <c r="AZ638" i="26"/>
  <c r="AX638" i="26"/>
  <c r="AW638" i="26"/>
  <c r="AU638" i="26"/>
  <c r="AT638" i="26"/>
  <c r="BA637" i="26"/>
  <c r="AZ637" i="26"/>
  <c r="AX637" i="26"/>
  <c r="AW637" i="26"/>
  <c r="AU637" i="26"/>
  <c r="AT637" i="26"/>
  <c r="BA636" i="26"/>
  <c r="AZ636" i="26"/>
  <c r="AX636" i="26"/>
  <c r="AW636" i="26"/>
  <c r="AU636" i="26"/>
  <c r="AT636" i="26"/>
  <c r="BA635" i="26"/>
  <c r="AZ635" i="26"/>
  <c r="AX635" i="26"/>
  <c r="AW635" i="26"/>
  <c r="AU635" i="26"/>
  <c r="AT635" i="26"/>
  <c r="BA634" i="26"/>
  <c r="AZ634" i="26"/>
  <c r="AX634" i="26"/>
  <c r="AW634" i="26"/>
  <c r="AU634" i="26"/>
  <c r="AT634" i="26"/>
  <c r="BA633" i="26"/>
  <c r="AZ633" i="26"/>
  <c r="AX633" i="26"/>
  <c r="AW633" i="26"/>
  <c r="AU633" i="26"/>
  <c r="AT633" i="26"/>
  <c r="BA632" i="26"/>
  <c r="AZ632" i="26"/>
  <c r="AX632" i="26"/>
  <c r="AW632" i="26"/>
  <c r="AU632" i="26"/>
  <c r="AT632" i="26"/>
  <c r="BA631" i="26"/>
  <c r="AZ631" i="26"/>
  <c r="AX631" i="26"/>
  <c r="AW631" i="26"/>
  <c r="AU631" i="26"/>
  <c r="AT631" i="26"/>
  <c r="BA630" i="26"/>
  <c r="AZ630" i="26"/>
  <c r="AX630" i="26"/>
  <c r="AW630" i="26"/>
  <c r="AU630" i="26"/>
  <c r="AT630" i="26"/>
  <c r="BA629" i="26"/>
  <c r="AZ629" i="26"/>
  <c r="AX629" i="26"/>
  <c r="AW629" i="26"/>
  <c r="AU629" i="26"/>
  <c r="AT629" i="26"/>
  <c r="BA628" i="26"/>
  <c r="AZ628" i="26"/>
  <c r="AX628" i="26"/>
  <c r="AW628" i="26"/>
  <c r="AU628" i="26"/>
  <c r="AT628" i="26"/>
  <c r="BA627" i="26"/>
  <c r="AZ627" i="26"/>
  <c r="AX627" i="26"/>
  <c r="AW627" i="26"/>
  <c r="AU627" i="26"/>
  <c r="AT627" i="26"/>
  <c r="BA626" i="26"/>
  <c r="AZ626" i="26"/>
  <c r="AX626" i="26"/>
  <c r="AW626" i="26"/>
  <c r="AU626" i="26"/>
  <c r="AT626" i="26"/>
  <c r="BA625" i="26"/>
  <c r="AZ625" i="26"/>
  <c r="AX625" i="26"/>
  <c r="AW625" i="26"/>
  <c r="AU625" i="26"/>
  <c r="AT625" i="26"/>
  <c r="BA624" i="26"/>
  <c r="AZ624" i="26"/>
  <c r="AX624" i="26"/>
  <c r="AW624" i="26"/>
  <c r="AU624" i="26"/>
  <c r="AT624" i="26"/>
  <c r="BA623" i="26"/>
  <c r="AZ623" i="26"/>
  <c r="AX623" i="26"/>
  <c r="AW623" i="26"/>
  <c r="AU623" i="26"/>
  <c r="AT623" i="26"/>
  <c r="BA622" i="26"/>
  <c r="AZ622" i="26"/>
  <c r="AX622" i="26"/>
  <c r="AW622" i="26"/>
  <c r="AU622" i="26"/>
  <c r="AT622" i="26"/>
  <c r="BA621" i="26"/>
  <c r="AZ621" i="26"/>
  <c r="BE621" i="26" s="1"/>
  <c r="AX621" i="26"/>
  <c r="AW621" i="26"/>
  <c r="AU621" i="26"/>
  <c r="AT621" i="26"/>
  <c r="BA620" i="26"/>
  <c r="AZ620" i="26"/>
  <c r="AX620" i="26"/>
  <c r="AW620" i="26"/>
  <c r="AU620" i="26"/>
  <c r="AT620" i="26"/>
  <c r="BA619" i="26"/>
  <c r="AZ619" i="26"/>
  <c r="AX619" i="26"/>
  <c r="AW619" i="26"/>
  <c r="AU619" i="26"/>
  <c r="AT619" i="26"/>
  <c r="BA618" i="26"/>
  <c r="AZ618" i="26"/>
  <c r="AX618" i="26"/>
  <c r="AW618" i="26"/>
  <c r="AU618" i="26"/>
  <c r="AT618" i="26"/>
  <c r="BA617" i="26"/>
  <c r="AZ617" i="26"/>
  <c r="AX617" i="26"/>
  <c r="AW617" i="26"/>
  <c r="AU617" i="26"/>
  <c r="AT617" i="26"/>
  <c r="BA616" i="26"/>
  <c r="AZ616" i="26"/>
  <c r="AX616" i="26"/>
  <c r="AW616" i="26"/>
  <c r="AU616" i="26"/>
  <c r="AT616" i="26"/>
  <c r="BA615" i="26"/>
  <c r="AZ615" i="26"/>
  <c r="AX615" i="26"/>
  <c r="AW615" i="26"/>
  <c r="AU615" i="26"/>
  <c r="AT615" i="26"/>
  <c r="BA614" i="26"/>
  <c r="AZ614" i="26"/>
  <c r="AX614" i="26"/>
  <c r="AW614" i="26"/>
  <c r="AU614" i="26"/>
  <c r="AT614" i="26"/>
  <c r="BA613" i="26"/>
  <c r="AZ613" i="26"/>
  <c r="BE613" i="26" s="1"/>
  <c r="AX613" i="26"/>
  <c r="AW613" i="26"/>
  <c r="AU613" i="26"/>
  <c r="AT613" i="26"/>
  <c r="BA612" i="26"/>
  <c r="AZ612" i="26"/>
  <c r="AX612" i="26"/>
  <c r="AW612" i="26"/>
  <c r="AU612" i="26"/>
  <c r="AT612" i="26"/>
  <c r="BA611" i="26"/>
  <c r="AZ611" i="26"/>
  <c r="AX611" i="26"/>
  <c r="AW611" i="26"/>
  <c r="AU611" i="26"/>
  <c r="AT611" i="26"/>
  <c r="BA610" i="26"/>
  <c r="AZ610" i="26"/>
  <c r="AX610" i="26"/>
  <c r="AW610" i="26"/>
  <c r="AU610" i="26"/>
  <c r="AT610" i="26"/>
  <c r="BA609" i="26"/>
  <c r="AZ609" i="26"/>
  <c r="AX609" i="26"/>
  <c r="AW609" i="26"/>
  <c r="AU609" i="26"/>
  <c r="AT609" i="26"/>
  <c r="BA608" i="26"/>
  <c r="AZ608" i="26"/>
  <c r="AX608" i="26"/>
  <c r="AW608" i="26"/>
  <c r="AU608" i="26"/>
  <c r="AT608" i="26"/>
  <c r="BA607" i="26"/>
  <c r="AZ607" i="26"/>
  <c r="AX607" i="26"/>
  <c r="AW607" i="26"/>
  <c r="AU607" i="26"/>
  <c r="AT607" i="26"/>
  <c r="BA606" i="26"/>
  <c r="AZ606" i="26"/>
  <c r="AX606" i="26"/>
  <c r="AW606" i="26"/>
  <c r="AU606" i="26"/>
  <c r="AT606" i="26"/>
  <c r="BA605" i="26"/>
  <c r="AZ605" i="26"/>
  <c r="AX605" i="26"/>
  <c r="AW605" i="26"/>
  <c r="AU605" i="26"/>
  <c r="AT605" i="26"/>
  <c r="BA604" i="26"/>
  <c r="AZ604" i="26"/>
  <c r="AX604" i="26"/>
  <c r="AW604" i="26"/>
  <c r="AU604" i="26"/>
  <c r="AT604" i="26"/>
  <c r="BA603" i="26"/>
  <c r="AZ603" i="26"/>
  <c r="AX603" i="26"/>
  <c r="AW603" i="26"/>
  <c r="AU603" i="26"/>
  <c r="AT603" i="26"/>
  <c r="BA602" i="26"/>
  <c r="AZ602" i="26"/>
  <c r="AX602" i="26"/>
  <c r="AW602" i="26"/>
  <c r="AU602" i="26"/>
  <c r="AT602" i="26"/>
  <c r="BA601" i="26"/>
  <c r="AZ601" i="26"/>
  <c r="AX601" i="26"/>
  <c r="AW601" i="26"/>
  <c r="AU601" i="26"/>
  <c r="AT601" i="26"/>
  <c r="BA600" i="26"/>
  <c r="AZ600" i="26"/>
  <c r="AX600" i="26"/>
  <c r="AW600" i="26"/>
  <c r="AU600" i="26"/>
  <c r="AT600" i="26"/>
  <c r="BA599" i="26"/>
  <c r="AZ599" i="26"/>
  <c r="AX599" i="26"/>
  <c r="AW599" i="26"/>
  <c r="AU599" i="26"/>
  <c r="AT599" i="26"/>
  <c r="BA598" i="26"/>
  <c r="AZ598" i="26"/>
  <c r="AX598" i="26"/>
  <c r="AW598" i="26"/>
  <c r="AU598" i="26"/>
  <c r="AT598" i="26"/>
  <c r="BA597" i="26"/>
  <c r="AZ597" i="26"/>
  <c r="BE597" i="26" s="1"/>
  <c r="AX597" i="26"/>
  <c r="AW597" i="26"/>
  <c r="AU597" i="26"/>
  <c r="AT597" i="26"/>
  <c r="BA596" i="26"/>
  <c r="AZ596" i="26"/>
  <c r="AX596" i="26"/>
  <c r="AW596" i="26"/>
  <c r="AU596" i="26"/>
  <c r="AT596" i="26"/>
  <c r="BA595" i="26"/>
  <c r="AZ595" i="26"/>
  <c r="AX595" i="26"/>
  <c r="AW595" i="26"/>
  <c r="AU595" i="26"/>
  <c r="AT595" i="26"/>
  <c r="BA594" i="26"/>
  <c r="AZ594" i="26"/>
  <c r="AX594" i="26"/>
  <c r="AW594" i="26"/>
  <c r="AU594" i="26"/>
  <c r="AT594" i="26"/>
  <c r="BA593" i="26"/>
  <c r="AZ593" i="26"/>
  <c r="AX593" i="26"/>
  <c r="AW593" i="26"/>
  <c r="AU593" i="26"/>
  <c r="AT593" i="26"/>
  <c r="BA592" i="26"/>
  <c r="AZ592" i="26"/>
  <c r="AX592" i="26"/>
  <c r="AW592" i="26"/>
  <c r="AU592" i="26"/>
  <c r="AT592" i="26"/>
  <c r="BA591" i="26"/>
  <c r="AZ591" i="26"/>
  <c r="AX591" i="26"/>
  <c r="AW591" i="26"/>
  <c r="AU591" i="26"/>
  <c r="AT591" i="26"/>
  <c r="BA590" i="26"/>
  <c r="AZ590" i="26"/>
  <c r="AX590" i="26"/>
  <c r="AW590" i="26"/>
  <c r="AU590" i="26"/>
  <c r="AT590" i="26"/>
  <c r="BA589" i="26"/>
  <c r="AZ589" i="26"/>
  <c r="AX589" i="26"/>
  <c r="AW589" i="26"/>
  <c r="AU589" i="26"/>
  <c r="AT589" i="26"/>
  <c r="BA588" i="26"/>
  <c r="AZ588" i="26"/>
  <c r="AX588" i="26"/>
  <c r="AW588" i="26"/>
  <c r="AU588" i="26"/>
  <c r="AT588" i="26"/>
  <c r="BA587" i="26"/>
  <c r="AZ587" i="26"/>
  <c r="AX587" i="26"/>
  <c r="AW587" i="26"/>
  <c r="AU587" i="26"/>
  <c r="AT587" i="26"/>
  <c r="BA586" i="26"/>
  <c r="AZ586" i="26"/>
  <c r="AX586" i="26"/>
  <c r="AW586" i="26"/>
  <c r="AU586" i="26"/>
  <c r="AT586" i="26"/>
  <c r="BA585" i="26"/>
  <c r="AZ585" i="26"/>
  <c r="AX585" i="26"/>
  <c r="AW585" i="26"/>
  <c r="AU585" i="26"/>
  <c r="AT585" i="26"/>
  <c r="BA584" i="26"/>
  <c r="AZ584" i="26"/>
  <c r="AX584" i="26"/>
  <c r="AW584" i="26"/>
  <c r="AU584" i="26"/>
  <c r="AT584" i="26"/>
  <c r="BA583" i="26"/>
  <c r="AZ583" i="26"/>
  <c r="AX583" i="26"/>
  <c r="AW583" i="26"/>
  <c r="AU583" i="26"/>
  <c r="AT583" i="26"/>
  <c r="BA582" i="26"/>
  <c r="AZ582" i="26"/>
  <c r="AX582" i="26"/>
  <c r="AW582" i="26"/>
  <c r="AU582" i="26"/>
  <c r="AT582" i="26"/>
  <c r="BA581" i="26"/>
  <c r="AZ581" i="26"/>
  <c r="BE581" i="26" s="1"/>
  <c r="AX581" i="26"/>
  <c r="AW581" i="26"/>
  <c r="AU581" i="26"/>
  <c r="AT581" i="26"/>
  <c r="BA580" i="26"/>
  <c r="AZ580" i="26"/>
  <c r="AX580" i="26"/>
  <c r="AW580" i="26"/>
  <c r="AU580" i="26"/>
  <c r="AT580" i="26"/>
  <c r="BA579" i="26"/>
  <c r="AZ579" i="26"/>
  <c r="AX579" i="26"/>
  <c r="AW579" i="26"/>
  <c r="AU579" i="26"/>
  <c r="AT579" i="26"/>
  <c r="BA578" i="26"/>
  <c r="AZ578" i="26"/>
  <c r="AX578" i="26"/>
  <c r="AW578" i="26"/>
  <c r="AU578" i="26"/>
  <c r="AT578" i="26"/>
  <c r="BA577" i="26"/>
  <c r="AZ577" i="26"/>
  <c r="AX577" i="26"/>
  <c r="AW577" i="26"/>
  <c r="AU577" i="26"/>
  <c r="AT577" i="26"/>
  <c r="BA576" i="26"/>
  <c r="AZ576" i="26"/>
  <c r="AX576" i="26"/>
  <c r="AW576" i="26"/>
  <c r="AU576" i="26"/>
  <c r="AT576" i="26"/>
  <c r="BA575" i="26"/>
  <c r="AZ575" i="26"/>
  <c r="AX575" i="26"/>
  <c r="AW575" i="26"/>
  <c r="AU575" i="26"/>
  <c r="AT575" i="26"/>
  <c r="BA574" i="26"/>
  <c r="AZ574" i="26"/>
  <c r="AX574" i="26"/>
  <c r="AW574" i="26"/>
  <c r="AU574" i="26"/>
  <c r="AT574" i="26"/>
  <c r="BA573" i="26"/>
  <c r="AZ573" i="26"/>
  <c r="BE573" i="26" s="1"/>
  <c r="AX573" i="26"/>
  <c r="AW573" i="26"/>
  <c r="AU573" i="26"/>
  <c r="AT573" i="26"/>
  <c r="BA572" i="26"/>
  <c r="AZ572" i="26"/>
  <c r="AX572" i="26"/>
  <c r="AW572" i="26"/>
  <c r="AU572" i="26"/>
  <c r="AT572" i="26"/>
  <c r="BA571" i="26"/>
  <c r="AZ571" i="26"/>
  <c r="AX571" i="26"/>
  <c r="AW571" i="26"/>
  <c r="AU571" i="26"/>
  <c r="AT571" i="26"/>
  <c r="BA570" i="26"/>
  <c r="AZ570" i="26"/>
  <c r="AX570" i="26"/>
  <c r="AW570" i="26"/>
  <c r="AU570" i="26"/>
  <c r="AT570" i="26"/>
  <c r="BA569" i="26"/>
  <c r="AZ569" i="26"/>
  <c r="AX569" i="26"/>
  <c r="AW569" i="26"/>
  <c r="AU569" i="26"/>
  <c r="AT569" i="26"/>
  <c r="BA568" i="26"/>
  <c r="AZ568" i="26"/>
  <c r="AX568" i="26"/>
  <c r="AW568" i="26"/>
  <c r="AU568" i="26"/>
  <c r="AT568" i="26"/>
  <c r="BA567" i="26"/>
  <c r="AZ567" i="26"/>
  <c r="AX567" i="26"/>
  <c r="AW567" i="26"/>
  <c r="AU567" i="26"/>
  <c r="AT567" i="26"/>
  <c r="BA566" i="26"/>
  <c r="AZ566" i="26"/>
  <c r="AX566" i="26"/>
  <c r="AW566" i="26"/>
  <c r="AU566" i="26"/>
  <c r="AT566" i="26"/>
  <c r="BA565" i="26"/>
  <c r="AZ565" i="26"/>
  <c r="BE565" i="26" s="1"/>
  <c r="AX565" i="26"/>
  <c r="AW565" i="26"/>
  <c r="AU565" i="26"/>
  <c r="AT565" i="26"/>
  <c r="BA564" i="26"/>
  <c r="AZ564" i="26"/>
  <c r="AX564" i="26"/>
  <c r="AW564" i="26"/>
  <c r="AU564" i="26"/>
  <c r="AT564" i="26"/>
  <c r="BA563" i="26"/>
  <c r="AZ563" i="26"/>
  <c r="AX563" i="26"/>
  <c r="AW563" i="26"/>
  <c r="AU563" i="26"/>
  <c r="AT563" i="26"/>
  <c r="BA562" i="26"/>
  <c r="AZ562" i="26"/>
  <c r="AX562" i="26"/>
  <c r="AW562" i="26"/>
  <c r="AU562" i="26"/>
  <c r="AT562" i="26"/>
  <c r="BA561" i="26"/>
  <c r="AZ561" i="26"/>
  <c r="AX561" i="26"/>
  <c r="AW561" i="26"/>
  <c r="AU561" i="26"/>
  <c r="AT561" i="26"/>
  <c r="BA560" i="26"/>
  <c r="AZ560" i="26"/>
  <c r="AX560" i="26"/>
  <c r="AW560" i="26"/>
  <c r="AU560" i="26"/>
  <c r="AT560" i="26"/>
  <c r="BA559" i="26"/>
  <c r="AZ559" i="26"/>
  <c r="AX559" i="26"/>
  <c r="AW559" i="26"/>
  <c r="AU559" i="26"/>
  <c r="AT559" i="26"/>
  <c r="BA558" i="26"/>
  <c r="AZ558" i="26"/>
  <c r="AX558" i="26"/>
  <c r="AW558" i="26"/>
  <c r="AU558" i="26"/>
  <c r="AT558" i="26"/>
  <c r="BA557" i="26"/>
  <c r="AZ557" i="26"/>
  <c r="BE557" i="26" s="1"/>
  <c r="AX557" i="26"/>
  <c r="AW557" i="26"/>
  <c r="AU557" i="26"/>
  <c r="AT557" i="26"/>
  <c r="BA556" i="26"/>
  <c r="AZ556" i="26"/>
  <c r="AX556" i="26"/>
  <c r="AW556" i="26"/>
  <c r="AU556" i="26"/>
  <c r="AT556" i="26"/>
  <c r="BA555" i="26"/>
  <c r="AZ555" i="26"/>
  <c r="AX555" i="26"/>
  <c r="AW555" i="26"/>
  <c r="AU555" i="26"/>
  <c r="AT555" i="26"/>
  <c r="BA554" i="26"/>
  <c r="AZ554" i="26"/>
  <c r="AX554" i="26"/>
  <c r="AW554" i="26"/>
  <c r="AU554" i="26"/>
  <c r="AT554" i="26"/>
  <c r="BA553" i="26"/>
  <c r="AZ553" i="26"/>
  <c r="AX553" i="26"/>
  <c r="AW553" i="26"/>
  <c r="AU553" i="26"/>
  <c r="AT553" i="26"/>
  <c r="BA552" i="26"/>
  <c r="AZ552" i="26"/>
  <c r="AX552" i="26"/>
  <c r="AW552" i="26"/>
  <c r="AU552" i="26"/>
  <c r="AT552" i="26"/>
  <c r="BA551" i="26"/>
  <c r="AZ551" i="26"/>
  <c r="AX551" i="26"/>
  <c r="AW551" i="26"/>
  <c r="AU551" i="26"/>
  <c r="AT551" i="26"/>
  <c r="BA550" i="26"/>
  <c r="AZ550" i="26"/>
  <c r="AX550" i="26"/>
  <c r="AW550" i="26"/>
  <c r="AU550" i="26"/>
  <c r="AT550" i="26"/>
  <c r="BA549" i="26"/>
  <c r="AZ549" i="26"/>
  <c r="AX549" i="26"/>
  <c r="AW549" i="26"/>
  <c r="AU549" i="26"/>
  <c r="AT549" i="26"/>
  <c r="BA548" i="26"/>
  <c r="AZ548" i="26"/>
  <c r="AX548" i="26"/>
  <c r="AW548" i="26"/>
  <c r="AU548" i="26"/>
  <c r="AT548" i="26"/>
  <c r="BA547" i="26"/>
  <c r="AZ547" i="26"/>
  <c r="AX547" i="26"/>
  <c r="AW547" i="26"/>
  <c r="AU547" i="26"/>
  <c r="AT547" i="26"/>
  <c r="BA546" i="26"/>
  <c r="AZ546" i="26"/>
  <c r="AX546" i="26"/>
  <c r="AW546" i="26"/>
  <c r="AU546" i="26"/>
  <c r="AT546" i="26"/>
  <c r="BA545" i="26"/>
  <c r="AZ545" i="26"/>
  <c r="AX545" i="26"/>
  <c r="AW545" i="26"/>
  <c r="AU545" i="26"/>
  <c r="AT545" i="26"/>
  <c r="BA544" i="26"/>
  <c r="AZ544" i="26"/>
  <c r="AX544" i="26"/>
  <c r="AW544" i="26"/>
  <c r="AU544" i="26"/>
  <c r="AT544" i="26"/>
  <c r="BA543" i="26"/>
  <c r="AZ543" i="26"/>
  <c r="AX543" i="26"/>
  <c r="AW543" i="26"/>
  <c r="AU543" i="26"/>
  <c r="AT543" i="26"/>
  <c r="BA542" i="26"/>
  <c r="AZ542" i="26"/>
  <c r="AX542" i="26"/>
  <c r="AW542" i="26"/>
  <c r="AU542" i="26"/>
  <c r="AT542" i="26"/>
  <c r="BA541" i="26"/>
  <c r="AZ541" i="26"/>
  <c r="AX541" i="26"/>
  <c r="AW541" i="26"/>
  <c r="AU541" i="26"/>
  <c r="AT541" i="26"/>
  <c r="BA540" i="26"/>
  <c r="AZ540" i="26"/>
  <c r="AX540" i="26"/>
  <c r="AW540" i="26"/>
  <c r="AU540" i="26"/>
  <c r="AT540" i="26"/>
  <c r="BA539" i="26"/>
  <c r="AZ539" i="26"/>
  <c r="AX539" i="26"/>
  <c r="AW539" i="26"/>
  <c r="AU539" i="26"/>
  <c r="AT539" i="26"/>
  <c r="BA538" i="26"/>
  <c r="AZ538" i="26"/>
  <c r="AX538" i="26"/>
  <c r="AW538" i="26"/>
  <c r="AU538" i="26"/>
  <c r="AT538" i="26"/>
  <c r="BA537" i="26"/>
  <c r="AZ537" i="26"/>
  <c r="AX537" i="26"/>
  <c r="AW537" i="26"/>
  <c r="AU537" i="26"/>
  <c r="AT537" i="26"/>
  <c r="BA536" i="26"/>
  <c r="AZ536" i="26"/>
  <c r="AX536" i="26"/>
  <c r="AW536" i="26"/>
  <c r="AU536" i="26"/>
  <c r="AT536" i="26"/>
  <c r="BA535" i="26"/>
  <c r="AZ535" i="26"/>
  <c r="AX535" i="26"/>
  <c r="AW535" i="26"/>
  <c r="AU535" i="26"/>
  <c r="AT535" i="26"/>
  <c r="BA534" i="26"/>
  <c r="AZ534" i="26"/>
  <c r="AX534" i="26"/>
  <c r="AW534" i="26"/>
  <c r="AU534" i="26"/>
  <c r="AT534" i="26"/>
  <c r="BA533" i="26"/>
  <c r="AZ533" i="26"/>
  <c r="AX533" i="26"/>
  <c r="AW533" i="26"/>
  <c r="AU533" i="26"/>
  <c r="AT533" i="26"/>
  <c r="BA532" i="26"/>
  <c r="AZ532" i="26"/>
  <c r="AX532" i="26"/>
  <c r="AW532" i="26"/>
  <c r="AU532" i="26"/>
  <c r="AT532" i="26"/>
  <c r="BA531" i="26"/>
  <c r="AZ531" i="26"/>
  <c r="AX531" i="26"/>
  <c r="AW531" i="26"/>
  <c r="AU531" i="26"/>
  <c r="AT531" i="26"/>
  <c r="BA530" i="26"/>
  <c r="AZ530" i="26"/>
  <c r="AX530" i="26"/>
  <c r="AW530" i="26"/>
  <c r="AU530" i="26"/>
  <c r="AT530" i="26"/>
  <c r="BA529" i="26"/>
  <c r="AZ529" i="26"/>
  <c r="AX529" i="26"/>
  <c r="AW529" i="26"/>
  <c r="AU529" i="26"/>
  <c r="AT529" i="26"/>
  <c r="BA528" i="26"/>
  <c r="AZ528" i="26"/>
  <c r="AX528" i="26"/>
  <c r="AW528" i="26"/>
  <c r="AU528" i="26"/>
  <c r="AT528" i="26"/>
  <c r="BA527" i="26"/>
  <c r="AZ527" i="26"/>
  <c r="AX527" i="26"/>
  <c r="AW527" i="26"/>
  <c r="AU527" i="26"/>
  <c r="AT527" i="26"/>
  <c r="BA526" i="26"/>
  <c r="AZ526" i="26"/>
  <c r="AX526" i="26"/>
  <c r="AW526" i="26"/>
  <c r="AU526" i="26"/>
  <c r="AT526" i="26"/>
  <c r="BA525" i="26"/>
  <c r="AZ525" i="26"/>
  <c r="AX525" i="26"/>
  <c r="AW525" i="26"/>
  <c r="AU525" i="26"/>
  <c r="AT525" i="26"/>
  <c r="BA524" i="26"/>
  <c r="AZ524" i="26"/>
  <c r="AX524" i="26"/>
  <c r="AW524" i="26"/>
  <c r="AU524" i="26"/>
  <c r="AT524" i="26"/>
  <c r="BA523" i="26"/>
  <c r="AZ523" i="26"/>
  <c r="AX523" i="26"/>
  <c r="AW523" i="26"/>
  <c r="AU523" i="26"/>
  <c r="AT523" i="26"/>
  <c r="BA522" i="26"/>
  <c r="AZ522" i="26"/>
  <c r="AX522" i="26"/>
  <c r="AW522" i="26"/>
  <c r="AU522" i="26"/>
  <c r="AT522" i="26"/>
  <c r="BA521" i="26"/>
  <c r="AZ521" i="26"/>
  <c r="AX521" i="26"/>
  <c r="AW521" i="26"/>
  <c r="AU521" i="26"/>
  <c r="AT521" i="26"/>
  <c r="BA520" i="26"/>
  <c r="AZ520" i="26"/>
  <c r="AX520" i="26"/>
  <c r="AW520" i="26"/>
  <c r="AU520" i="26"/>
  <c r="AT520" i="26"/>
  <c r="BA519" i="26"/>
  <c r="AZ519" i="26"/>
  <c r="AX519" i="26"/>
  <c r="AW519" i="26"/>
  <c r="AU519" i="26"/>
  <c r="AT519" i="26"/>
  <c r="BA518" i="26"/>
  <c r="AZ518" i="26"/>
  <c r="AX518" i="26"/>
  <c r="AW518" i="26"/>
  <c r="AU518" i="26"/>
  <c r="AT518" i="26"/>
  <c r="BA517" i="26"/>
  <c r="AZ517" i="26"/>
  <c r="AX517" i="26"/>
  <c r="AW517" i="26"/>
  <c r="AU517" i="26"/>
  <c r="AT517" i="26"/>
  <c r="BA516" i="26"/>
  <c r="AZ516" i="26"/>
  <c r="AX516" i="26"/>
  <c r="AW516" i="26"/>
  <c r="AU516" i="26"/>
  <c r="AT516" i="26"/>
  <c r="BA515" i="26"/>
  <c r="AZ515" i="26"/>
  <c r="AX515" i="26"/>
  <c r="AW515" i="26"/>
  <c r="AU515" i="26"/>
  <c r="AT515" i="26"/>
  <c r="BA514" i="26"/>
  <c r="AZ514" i="26"/>
  <c r="AX514" i="26"/>
  <c r="AW514" i="26"/>
  <c r="AU514" i="26"/>
  <c r="AT514" i="26"/>
  <c r="BA513" i="26"/>
  <c r="AZ513" i="26"/>
  <c r="AX513" i="26"/>
  <c r="AW513" i="26"/>
  <c r="AU513" i="26"/>
  <c r="AT513" i="26"/>
  <c r="BA512" i="26"/>
  <c r="AZ512" i="26"/>
  <c r="AX512" i="26"/>
  <c r="AW512" i="26"/>
  <c r="AU512" i="26"/>
  <c r="AT512" i="26"/>
  <c r="BA511" i="26"/>
  <c r="AZ511" i="26"/>
  <c r="AX511" i="26"/>
  <c r="AW511" i="26"/>
  <c r="AU511" i="26"/>
  <c r="AT511" i="26"/>
  <c r="BA510" i="26"/>
  <c r="AZ510" i="26"/>
  <c r="AX510" i="26"/>
  <c r="AW510" i="26"/>
  <c r="AU510" i="26"/>
  <c r="AT510" i="26"/>
  <c r="BA509" i="26"/>
  <c r="AZ509" i="26"/>
  <c r="AX509" i="26"/>
  <c r="AW509" i="26"/>
  <c r="AU509" i="26"/>
  <c r="AT509" i="26"/>
  <c r="BA508" i="26"/>
  <c r="AZ508" i="26"/>
  <c r="AX508" i="26"/>
  <c r="AW508" i="26"/>
  <c r="AU508" i="26"/>
  <c r="AT508" i="26"/>
  <c r="BA507" i="26"/>
  <c r="AZ507" i="26"/>
  <c r="AX507" i="26"/>
  <c r="AW507" i="26"/>
  <c r="AU507" i="26"/>
  <c r="AT507" i="26"/>
  <c r="BA506" i="26"/>
  <c r="AZ506" i="26"/>
  <c r="AX506" i="26"/>
  <c r="AW506" i="26"/>
  <c r="AU506" i="26"/>
  <c r="AT506" i="26"/>
  <c r="BA505" i="26"/>
  <c r="AZ505" i="26"/>
  <c r="AX505" i="26"/>
  <c r="AW505" i="26"/>
  <c r="AU505" i="26"/>
  <c r="AT505" i="26"/>
  <c r="BA504" i="26"/>
  <c r="AZ504" i="26"/>
  <c r="AX504" i="26"/>
  <c r="AW504" i="26"/>
  <c r="AU504" i="26"/>
  <c r="AT504" i="26"/>
  <c r="BA503" i="26"/>
  <c r="AZ503" i="26"/>
  <c r="AX503" i="26"/>
  <c r="AW503" i="26"/>
  <c r="AU503" i="26"/>
  <c r="AT503" i="26"/>
  <c r="BA502" i="26"/>
  <c r="AZ502" i="26"/>
  <c r="AX502" i="26"/>
  <c r="AW502" i="26"/>
  <c r="AU502" i="26"/>
  <c r="AT502" i="26"/>
  <c r="BA501" i="26"/>
  <c r="AZ501" i="26"/>
  <c r="AX501" i="26"/>
  <c r="AW501" i="26"/>
  <c r="AU501" i="26"/>
  <c r="AT501" i="26"/>
  <c r="BA500" i="26"/>
  <c r="AZ500" i="26"/>
  <c r="AX500" i="26"/>
  <c r="AW500" i="26"/>
  <c r="AU500" i="26"/>
  <c r="AT500" i="26"/>
  <c r="BA499" i="26"/>
  <c r="AZ499" i="26"/>
  <c r="AX499" i="26"/>
  <c r="AW499" i="26"/>
  <c r="AU499" i="26"/>
  <c r="AT499" i="26"/>
  <c r="BA498" i="26"/>
  <c r="AZ498" i="26"/>
  <c r="AX498" i="26"/>
  <c r="AW498" i="26"/>
  <c r="AU498" i="26"/>
  <c r="AT498" i="26"/>
  <c r="BA497" i="26"/>
  <c r="AZ497" i="26"/>
  <c r="AX497" i="26"/>
  <c r="AW497" i="26"/>
  <c r="AU497" i="26"/>
  <c r="AT497" i="26"/>
  <c r="BA496" i="26"/>
  <c r="AZ496" i="26"/>
  <c r="AX496" i="26"/>
  <c r="AW496" i="26"/>
  <c r="AU496" i="26"/>
  <c r="AT496" i="26"/>
  <c r="BA495" i="26"/>
  <c r="AZ495" i="26"/>
  <c r="AX495" i="26"/>
  <c r="AW495" i="26"/>
  <c r="AU495" i="26"/>
  <c r="AT495" i="26"/>
  <c r="BA494" i="26"/>
  <c r="AZ494" i="26"/>
  <c r="AX494" i="26"/>
  <c r="AW494" i="26"/>
  <c r="AU494" i="26"/>
  <c r="AT494" i="26"/>
  <c r="BA493" i="26"/>
  <c r="AZ493" i="26"/>
  <c r="AX493" i="26"/>
  <c r="AW493" i="26"/>
  <c r="AU493" i="26"/>
  <c r="AT493" i="26"/>
  <c r="BA492" i="26"/>
  <c r="AZ492" i="26"/>
  <c r="AX492" i="26"/>
  <c r="AW492" i="26"/>
  <c r="AU492" i="26"/>
  <c r="AT492" i="26"/>
  <c r="BA491" i="26"/>
  <c r="AZ491" i="26"/>
  <c r="AX491" i="26"/>
  <c r="AW491" i="26"/>
  <c r="AU491" i="26"/>
  <c r="AT491" i="26"/>
  <c r="BA490" i="26"/>
  <c r="AZ490" i="26"/>
  <c r="AX490" i="26"/>
  <c r="AW490" i="26"/>
  <c r="AU490" i="26"/>
  <c r="AT490" i="26"/>
  <c r="BA489" i="26"/>
  <c r="AZ489" i="26"/>
  <c r="AX489" i="26"/>
  <c r="AW489" i="26"/>
  <c r="AU489" i="26"/>
  <c r="AT489" i="26"/>
  <c r="BA488" i="26"/>
  <c r="AZ488" i="26"/>
  <c r="AX488" i="26"/>
  <c r="AW488" i="26"/>
  <c r="AU488" i="26"/>
  <c r="AT488" i="26"/>
  <c r="BA487" i="26"/>
  <c r="AZ487" i="26"/>
  <c r="AX487" i="26"/>
  <c r="AW487" i="26"/>
  <c r="AU487" i="26"/>
  <c r="AT487" i="26"/>
  <c r="BA486" i="26"/>
  <c r="AZ486" i="26"/>
  <c r="AX486" i="26"/>
  <c r="AW486" i="26"/>
  <c r="AU486" i="26"/>
  <c r="AT486" i="26"/>
  <c r="BA485" i="26"/>
  <c r="AZ485" i="26"/>
  <c r="AX485" i="26"/>
  <c r="AW485" i="26"/>
  <c r="AU485" i="26"/>
  <c r="AT485" i="26"/>
  <c r="BA484" i="26"/>
  <c r="AZ484" i="26"/>
  <c r="AX484" i="26"/>
  <c r="AW484" i="26"/>
  <c r="AU484" i="26"/>
  <c r="AT484" i="26"/>
  <c r="BA483" i="26"/>
  <c r="AZ483" i="26"/>
  <c r="AX483" i="26"/>
  <c r="AW483" i="26"/>
  <c r="AU483" i="26"/>
  <c r="AT483" i="26"/>
  <c r="BA482" i="26"/>
  <c r="AZ482" i="26"/>
  <c r="AX482" i="26"/>
  <c r="AW482" i="26"/>
  <c r="AU482" i="26"/>
  <c r="AT482" i="26"/>
  <c r="BA481" i="26"/>
  <c r="AZ481" i="26"/>
  <c r="AX481" i="26"/>
  <c r="AW481" i="26"/>
  <c r="AU481" i="26"/>
  <c r="AT481" i="26"/>
  <c r="BA480" i="26"/>
  <c r="AZ480" i="26"/>
  <c r="AX480" i="26"/>
  <c r="AW480" i="26"/>
  <c r="AU480" i="26"/>
  <c r="AT480" i="26"/>
  <c r="BA479" i="26"/>
  <c r="AZ479" i="26"/>
  <c r="AX479" i="26"/>
  <c r="AW479" i="26"/>
  <c r="AU479" i="26"/>
  <c r="AT479" i="26"/>
  <c r="BA478" i="26"/>
  <c r="AZ478" i="26"/>
  <c r="AX478" i="26"/>
  <c r="AW478" i="26"/>
  <c r="AU478" i="26"/>
  <c r="AT478" i="26"/>
  <c r="BA477" i="26"/>
  <c r="AZ477" i="26"/>
  <c r="AX477" i="26"/>
  <c r="AW477" i="26"/>
  <c r="AU477" i="26"/>
  <c r="AT477" i="26"/>
  <c r="BA476" i="26"/>
  <c r="AZ476" i="26"/>
  <c r="AX476" i="26"/>
  <c r="AW476" i="26"/>
  <c r="AU476" i="26"/>
  <c r="AT476" i="26"/>
  <c r="BA475" i="26"/>
  <c r="AZ475" i="26"/>
  <c r="AX475" i="26"/>
  <c r="AW475" i="26"/>
  <c r="AU475" i="26"/>
  <c r="AT475" i="26"/>
  <c r="BA474" i="26"/>
  <c r="AZ474" i="26"/>
  <c r="AX474" i="26"/>
  <c r="AW474" i="26"/>
  <c r="AU474" i="26"/>
  <c r="AT474" i="26"/>
  <c r="BA473" i="26"/>
  <c r="AZ473" i="26"/>
  <c r="AX473" i="26"/>
  <c r="AW473" i="26"/>
  <c r="AU473" i="26"/>
  <c r="AT473" i="26"/>
  <c r="BA472" i="26"/>
  <c r="AZ472" i="26"/>
  <c r="AX472" i="26"/>
  <c r="AW472" i="26"/>
  <c r="AU472" i="26"/>
  <c r="AT472" i="26"/>
  <c r="BA471" i="26"/>
  <c r="AZ471" i="26"/>
  <c r="AX471" i="26"/>
  <c r="AW471" i="26"/>
  <c r="AU471" i="26"/>
  <c r="AT471" i="26"/>
  <c r="BA470" i="26"/>
  <c r="AZ470" i="26"/>
  <c r="AX470" i="26"/>
  <c r="AW470" i="26"/>
  <c r="AU470" i="26"/>
  <c r="AT470" i="26"/>
  <c r="BA469" i="26"/>
  <c r="AZ469" i="26"/>
  <c r="AX469" i="26"/>
  <c r="AW469" i="26"/>
  <c r="AU469" i="26"/>
  <c r="AT469" i="26"/>
  <c r="BA468" i="26"/>
  <c r="AZ468" i="26"/>
  <c r="AX468" i="26"/>
  <c r="AW468" i="26"/>
  <c r="AU468" i="26"/>
  <c r="AT468" i="26"/>
  <c r="BA467" i="26"/>
  <c r="AZ467" i="26"/>
  <c r="AX467" i="26"/>
  <c r="AW467" i="26"/>
  <c r="AU467" i="26"/>
  <c r="AT467" i="26"/>
  <c r="BA466" i="26"/>
  <c r="AZ466" i="26"/>
  <c r="AX466" i="26"/>
  <c r="AW466" i="26"/>
  <c r="AU466" i="26"/>
  <c r="AT466" i="26"/>
  <c r="BA465" i="26"/>
  <c r="AZ465" i="26"/>
  <c r="AX465" i="26"/>
  <c r="AW465" i="26"/>
  <c r="AU465" i="26"/>
  <c r="AT465" i="26"/>
  <c r="BA464" i="26"/>
  <c r="AZ464" i="26"/>
  <c r="AX464" i="26"/>
  <c r="AW464" i="26"/>
  <c r="AU464" i="26"/>
  <c r="AT464" i="26"/>
  <c r="BA463" i="26"/>
  <c r="AZ463" i="26"/>
  <c r="AX463" i="26"/>
  <c r="AW463" i="26"/>
  <c r="AU463" i="26"/>
  <c r="AT463" i="26"/>
  <c r="BA462" i="26"/>
  <c r="AZ462" i="26"/>
  <c r="AX462" i="26"/>
  <c r="AW462" i="26"/>
  <c r="AU462" i="26"/>
  <c r="AT462" i="26"/>
  <c r="BA461" i="26"/>
  <c r="AZ461" i="26"/>
  <c r="AX461" i="26"/>
  <c r="AW461" i="26"/>
  <c r="AU461" i="26"/>
  <c r="AT461" i="26"/>
  <c r="BA460" i="26"/>
  <c r="AZ460" i="26"/>
  <c r="AX460" i="26"/>
  <c r="AW460" i="26"/>
  <c r="AU460" i="26"/>
  <c r="AT460" i="26"/>
  <c r="BA459" i="26"/>
  <c r="AZ459" i="26"/>
  <c r="AX459" i="26"/>
  <c r="AW459" i="26"/>
  <c r="AU459" i="26"/>
  <c r="AT459" i="26"/>
  <c r="BA458" i="26"/>
  <c r="AZ458" i="26"/>
  <c r="AX458" i="26"/>
  <c r="AW458" i="26"/>
  <c r="AU458" i="26"/>
  <c r="AT458" i="26"/>
  <c r="BA457" i="26"/>
  <c r="AZ457" i="26"/>
  <c r="AX457" i="26"/>
  <c r="AW457" i="26"/>
  <c r="AU457" i="26"/>
  <c r="AT457" i="26"/>
  <c r="BA456" i="26"/>
  <c r="AZ456" i="26"/>
  <c r="AX456" i="26"/>
  <c r="AW456" i="26"/>
  <c r="AU456" i="26"/>
  <c r="AT456" i="26"/>
  <c r="BA455" i="26"/>
  <c r="AZ455" i="26"/>
  <c r="AX455" i="26"/>
  <c r="AW455" i="26"/>
  <c r="AU455" i="26"/>
  <c r="AT455" i="26"/>
  <c r="BA454" i="26"/>
  <c r="AZ454" i="26"/>
  <c r="AX454" i="26"/>
  <c r="AW454" i="26"/>
  <c r="AU454" i="26"/>
  <c r="AT454" i="26"/>
  <c r="BA453" i="26"/>
  <c r="AZ453" i="26"/>
  <c r="AX453" i="26"/>
  <c r="AW453" i="26"/>
  <c r="AU453" i="26"/>
  <c r="AT453" i="26"/>
  <c r="BA452" i="26"/>
  <c r="AZ452" i="26"/>
  <c r="AX452" i="26"/>
  <c r="AW452" i="26"/>
  <c r="AU452" i="26"/>
  <c r="AT452" i="26"/>
  <c r="BA451" i="26"/>
  <c r="AZ451" i="26"/>
  <c r="AX451" i="26"/>
  <c r="AW451" i="26"/>
  <c r="AU451" i="26"/>
  <c r="AT451" i="26"/>
  <c r="BA450" i="26"/>
  <c r="AZ450" i="26"/>
  <c r="AX450" i="26"/>
  <c r="AW450" i="26"/>
  <c r="AU450" i="26"/>
  <c r="AT450" i="26"/>
  <c r="BA449" i="26"/>
  <c r="AZ449" i="26"/>
  <c r="AX449" i="26"/>
  <c r="AW449" i="26"/>
  <c r="AU449" i="26"/>
  <c r="AT449" i="26"/>
  <c r="BA448" i="26"/>
  <c r="AZ448" i="26"/>
  <c r="AX448" i="26"/>
  <c r="AW448" i="26"/>
  <c r="AU448" i="26"/>
  <c r="AT448" i="26"/>
  <c r="BA447" i="26"/>
  <c r="AZ447" i="26"/>
  <c r="AX447" i="26"/>
  <c r="AW447" i="26"/>
  <c r="AU447" i="26"/>
  <c r="AT447" i="26"/>
  <c r="BA446" i="26"/>
  <c r="AZ446" i="26"/>
  <c r="AX446" i="26"/>
  <c r="AW446" i="26"/>
  <c r="AU446" i="26"/>
  <c r="AT446" i="26"/>
  <c r="BA445" i="26"/>
  <c r="AZ445" i="26"/>
  <c r="BE445" i="26" s="1"/>
  <c r="AX445" i="26"/>
  <c r="AW445" i="26"/>
  <c r="AU445" i="26"/>
  <c r="AT445" i="26"/>
  <c r="BA444" i="26"/>
  <c r="AZ444" i="26"/>
  <c r="AX444" i="26"/>
  <c r="AW444" i="26"/>
  <c r="AU444" i="26"/>
  <c r="AT444" i="26"/>
  <c r="BA443" i="26"/>
  <c r="AZ443" i="26"/>
  <c r="AX443" i="26"/>
  <c r="AW443" i="26"/>
  <c r="AU443" i="26"/>
  <c r="AT443" i="26"/>
  <c r="BA442" i="26"/>
  <c r="AZ442" i="26"/>
  <c r="AX442" i="26"/>
  <c r="AW442" i="26"/>
  <c r="AU442" i="26"/>
  <c r="AT442" i="26"/>
  <c r="BA441" i="26"/>
  <c r="AZ441" i="26"/>
  <c r="AX441" i="26"/>
  <c r="AW441" i="26"/>
  <c r="AU441" i="26"/>
  <c r="AT441" i="26"/>
  <c r="BA440" i="26"/>
  <c r="AZ440" i="26"/>
  <c r="AX440" i="26"/>
  <c r="AW440" i="26"/>
  <c r="AU440" i="26"/>
  <c r="AT440" i="26"/>
  <c r="BA439" i="26"/>
  <c r="AZ439" i="26"/>
  <c r="AX439" i="26"/>
  <c r="AW439" i="26"/>
  <c r="AU439" i="26"/>
  <c r="AT439" i="26"/>
  <c r="BA438" i="26"/>
  <c r="AZ438" i="26"/>
  <c r="AX438" i="26"/>
  <c r="AW438" i="26"/>
  <c r="AU438" i="26"/>
  <c r="AT438" i="26"/>
  <c r="BA437" i="26"/>
  <c r="AZ437" i="26"/>
  <c r="AX437" i="26"/>
  <c r="AW437" i="26"/>
  <c r="AU437" i="26"/>
  <c r="AT437" i="26"/>
  <c r="BA436" i="26"/>
  <c r="AZ436" i="26"/>
  <c r="AX436" i="26"/>
  <c r="AW436" i="26"/>
  <c r="AU436" i="26"/>
  <c r="AT436" i="26"/>
  <c r="BA435" i="26"/>
  <c r="AZ435" i="26"/>
  <c r="AX435" i="26"/>
  <c r="AW435" i="26"/>
  <c r="AU435" i="26"/>
  <c r="AT435" i="26"/>
  <c r="BA434" i="26"/>
  <c r="AZ434" i="26"/>
  <c r="AX434" i="26"/>
  <c r="AW434" i="26"/>
  <c r="AU434" i="26"/>
  <c r="AT434" i="26"/>
  <c r="BA433" i="26"/>
  <c r="AZ433" i="26"/>
  <c r="AX433" i="26"/>
  <c r="AW433" i="26"/>
  <c r="AU433" i="26"/>
  <c r="AT433" i="26"/>
  <c r="BA432" i="26"/>
  <c r="AZ432" i="26"/>
  <c r="AX432" i="26"/>
  <c r="AW432" i="26"/>
  <c r="AU432" i="26"/>
  <c r="AT432" i="26"/>
  <c r="BA431" i="26"/>
  <c r="AZ431" i="26"/>
  <c r="AX431" i="26"/>
  <c r="AW431" i="26"/>
  <c r="AU431" i="26"/>
  <c r="AT431" i="26"/>
  <c r="BA430" i="26"/>
  <c r="AZ430" i="26"/>
  <c r="AX430" i="26"/>
  <c r="AW430" i="26"/>
  <c r="AU430" i="26"/>
  <c r="AT430" i="26"/>
  <c r="BA429" i="26"/>
  <c r="AZ429" i="26"/>
  <c r="BE429" i="26" s="1"/>
  <c r="AX429" i="26"/>
  <c r="AW429" i="26"/>
  <c r="AU429" i="26"/>
  <c r="AT429" i="26"/>
  <c r="BA428" i="26"/>
  <c r="AZ428" i="26"/>
  <c r="AX428" i="26"/>
  <c r="AW428" i="26"/>
  <c r="AU428" i="26"/>
  <c r="AT428" i="26"/>
  <c r="BA427" i="26"/>
  <c r="AZ427" i="26"/>
  <c r="AX427" i="26"/>
  <c r="AW427" i="26"/>
  <c r="AU427" i="26"/>
  <c r="AT427" i="26"/>
  <c r="BA426" i="26"/>
  <c r="AZ426" i="26"/>
  <c r="AX426" i="26"/>
  <c r="AW426" i="26"/>
  <c r="AU426" i="26"/>
  <c r="AT426" i="26"/>
  <c r="BA425" i="26"/>
  <c r="AZ425" i="26"/>
  <c r="AX425" i="26"/>
  <c r="AW425" i="26"/>
  <c r="AU425" i="26"/>
  <c r="AT425" i="26"/>
  <c r="BA424" i="26"/>
  <c r="AZ424" i="26"/>
  <c r="AX424" i="26"/>
  <c r="AW424" i="26"/>
  <c r="AU424" i="26"/>
  <c r="AT424" i="26"/>
  <c r="BA423" i="26"/>
  <c r="AZ423" i="26"/>
  <c r="AX423" i="26"/>
  <c r="AW423" i="26"/>
  <c r="AU423" i="26"/>
  <c r="AT423" i="26"/>
  <c r="BA422" i="26"/>
  <c r="AZ422" i="26"/>
  <c r="AX422" i="26"/>
  <c r="AW422" i="26"/>
  <c r="AU422" i="26"/>
  <c r="AT422" i="26"/>
  <c r="BA421" i="26"/>
  <c r="AZ421" i="26"/>
  <c r="AX421" i="26"/>
  <c r="AW421" i="26"/>
  <c r="AU421" i="26"/>
  <c r="AT421" i="26"/>
  <c r="BA420" i="26"/>
  <c r="AZ420" i="26"/>
  <c r="AX420" i="26"/>
  <c r="AW420" i="26"/>
  <c r="AU420" i="26"/>
  <c r="AT420" i="26"/>
  <c r="BA419" i="26"/>
  <c r="AZ419" i="26"/>
  <c r="BE419" i="26" s="1"/>
  <c r="AX419" i="26"/>
  <c r="AW419" i="26"/>
  <c r="AU419" i="26"/>
  <c r="AT419" i="26"/>
  <c r="BA418" i="26"/>
  <c r="AZ418" i="26"/>
  <c r="AX418" i="26"/>
  <c r="AW418" i="26"/>
  <c r="AU418" i="26"/>
  <c r="AT418" i="26"/>
  <c r="BA417" i="26"/>
  <c r="AZ417" i="26"/>
  <c r="AX417" i="26"/>
  <c r="AW417" i="26"/>
  <c r="AU417" i="26"/>
  <c r="AT417" i="26"/>
  <c r="BA416" i="26"/>
  <c r="AZ416" i="26"/>
  <c r="AX416" i="26"/>
  <c r="AW416" i="26"/>
  <c r="AU416" i="26"/>
  <c r="AT416" i="26"/>
  <c r="BA415" i="26"/>
  <c r="AZ415" i="26"/>
  <c r="AX415" i="26"/>
  <c r="AW415" i="26"/>
  <c r="AU415" i="26"/>
  <c r="AT415" i="26"/>
  <c r="BA414" i="26"/>
  <c r="AZ414" i="26"/>
  <c r="AX414" i="26"/>
  <c r="AW414" i="26"/>
  <c r="AU414" i="26"/>
  <c r="AT414" i="26"/>
  <c r="BA413" i="26"/>
  <c r="AZ413" i="26"/>
  <c r="BE413" i="26" s="1"/>
  <c r="AX413" i="26"/>
  <c r="AW413" i="26"/>
  <c r="AU413" i="26"/>
  <c r="AT413" i="26"/>
  <c r="BA412" i="26"/>
  <c r="AZ412" i="26"/>
  <c r="AX412" i="26"/>
  <c r="AW412" i="26"/>
  <c r="AU412" i="26"/>
  <c r="AT412" i="26"/>
  <c r="BA411" i="26"/>
  <c r="AZ411" i="26"/>
  <c r="BE411" i="26" s="1"/>
  <c r="AX411" i="26"/>
  <c r="AW411" i="26"/>
  <c r="AU411" i="26"/>
  <c r="AT411" i="26"/>
  <c r="BA410" i="26"/>
  <c r="AZ410" i="26"/>
  <c r="AX410" i="26"/>
  <c r="AW410" i="26"/>
  <c r="AU410" i="26"/>
  <c r="AT410" i="26"/>
  <c r="BA409" i="26"/>
  <c r="AZ409" i="26"/>
  <c r="AX409" i="26"/>
  <c r="AW409" i="26"/>
  <c r="AU409" i="26"/>
  <c r="AT409" i="26"/>
  <c r="BA408" i="26"/>
  <c r="AZ408" i="26"/>
  <c r="AX408" i="26"/>
  <c r="AW408" i="26"/>
  <c r="AU408" i="26"/>
  <c r="AT408" i="26"/>
  <c r="BA407" i="26"/>
  <c r="AZ407" i="26"/>
  <c r="AX407" i="26"/>
  <c r="AW407" i="26"/>
  <c r="AU407" i="26"/>
  <c r="AT407" i="26"/>
  <c r="BA406" i="26"/>
  <c r="AZ406" i="26"/>
  <c r="AX406" i="26"/>
  <c r="AW406" i="26"/>
  <c r="AU406" i="26"/>
  <c r="AT406" i="26"/>
  <c r="BA405" i="26"/>
  <c r="AZ405" i="26"/>
  <c r="AX405" i="26"/>
  <c r="AW405" i="26"/>
  <c r="AU405" i="26"/>
  <c r="AT405" i="26"/>
  <c r="BA404" i="26"/>
  <c r="AZ404" i="26"/>
  <c r="AX404" i="26"/>
  <c r="AW404" i="26"/>
  <c r="AU404" i="26"/>
  <c r="AT404" i="26"/>
  <c r="BA403" i="26"/>
  <c r="AZ403" i="26"/>
  <c r="AX403" i="26"/>
  <c r="AW403" i="26"/>
  <c r="AU403" i="26"/>
  <c r="AT403" i="26"/>
  <c r="BA402" i="26"/>
  <c r="AZ402" i="26"/>
  <c r="AX402" i="26"/>
  <c r="AW402" i="26"/>
  <c r="AU402" i="26"/>
  <c r="AT402" i="26"/>
  <c r="BA401" i="26"/>
  <c r="AZ401" i="26"/>
  <c r="BE401" i="26" s="1"/>
  <c r="AX401" i="26"/>
  <c r="AW401" i="26"/>
  <c r="AU401" i="26"/>
  <c r="AT401" i="26"/>
  <c r="BA400" i="26"/>
  <c r="AZ400" i="26"/>
  <c r="AX400" i="26"/>
  <c r="AW400" i="26"/>
  <c r="AU400" i="26"/>
  <c r="AT400" i="26"/>
  <c r="BA399" i="26"/>
  <c r="AZ399" i="26"/>
  <c r="AX399" i="26"/>
  <c r="AW399" i="26"/>
  <c r="AU399" i="26"/>
  <c r="AT399" i="26"/>
  <c r="BA398" i="26"/>
  <c r="AZ398" i="26"/>
  <c r="AX398" i="26"/>
  <c r="AW398" i="26"/>
  <c r="AU398" i="26"/>
  <c r="AT398" i="26"/>
  <c r="BA397" i="26"/>
  <c r="AZ397" i="26"/>
  <c r="AX397" i="26"/>
  <c r="AW397" i="26"/>
  <c r="AU397" i="26"/>
  <c r="AT397" i="26"/>
  <c r="BA396" i="26"/>
  <c r="AZ396" i="26"/>
  <c r="AX396" i="26"/>
  <c r="AW396" i="26"/>
  <c r="AU396" i="26"/>
  <c r="AT396" i="26"/>
  <c r="BA395" i="26"/>
  <c r="AZ395" i="26"/>
  <c r="AX395" i="26"/>
  <c r="AW395" i="26"/>
  <c r="AU395" i="26"/>
  <c r="AT395" i="26"/>
  <c r="BA394" i="26"/>
  <c r="AZ394" i="26"/>
  <c r="AX394" i="26"/>
  <c r="AW394" i="26"/>
  <c r="AU394" i="26"/>
  <c r="AT394" i="26"/>
  <c r="BA393" i="26"/>
  <c r="AZ393" i="26"/>
  <c r="AX393" i="26"/>
  <c r="AW393" i="26"/>
  <c r="AU393" i="26"/>
  <c r="AT393" i="26"/>
  <c r="BA392" i="26"/>
  <c r="AZ392" i="26"/>
  <c r="AX392" i="26"/>
  <c r="AW392" i="26"/>
  <c r="AU392" i="26"/>
  <c r="AT392" i="26"/>
  <c r="BA391" i="26"/>
  <c r="AZ391" i="26"/>
  <c r="AX391" i="26"/>
  <c r="AW391" i="26"/>
  <c r="AU391" i="26"/>
  <c r="AT391" i="26"/>
  <c r="BA390" i="26"/>
  <c r="AZ390" i="26"/>
  <c r="AX390" i="26"/>
  <c r="AW390" i="26"/>
  <c r="AU390" i="26"/>
  <c r="AT390" i="26"/>
  <c r="BA389" i="26"/>
  <c r="AZ389" i="26"/>
  <c r="BE389" i="26" s="1"/>
  <c r="AX389" i="26"/>
  <c r="AW389" i="26"/>
  <c r="AU389" i="26"/>
  <c r="AT389" i="26"/>
  <c r="BA388" i="26"/>
  <c r="AZ388" i="26"/>
  <c r="AX388" i="26"/>
  <c r="AW388" i="26"/>
  <c r="AU388" i="26"/>
  <c r="AT388" i="26"/>
  <c r="BA387" i="26"/>
  <c r="AZ387" i="26"/>
  <c r="AX387" i="26"/>
  <c r="AW387" i="26"/>
  <c r="AU387" i="26"/>
  <c r="AT387" i="26"/>
  <c r="BA386" i="26"/>
  <c r="AZ386" i="26"/>
  <c r="AX386" i="26"/>
  <c r="AW386" i="26"/>
  <c r="AU386" i="26"/>
  <c r="AT386" i="26"/>
  <c r="BA385" i="26"/>
  <c r="AZ385" i="26"/>
  <c r="BE385" i="26" s="1"/>
  <c r="AX385" i="26"/>
  <c r="AW385" i="26"/>
  <c r="AU385" i="26"/>
  <c r="AT385" i="26"/>
  <c r="BA384" i="26"/>
  <c r="AZ384" i="26"/>
  <c r="AX384" i="26"/>
  <c r="AW384" i="26"/>
  <c r="AU384" i="26"/>
  <c r="AT384" i="26"/>
  <c r="BA383" i="26"/>
  <c r="AZ383" i="26"/>
  <c r="AX383" i="26"/>
  <c r="AW383" i="26"/>
  <c r="AU383" i="26"/>
  <c r="AT383" i="26"/>
  <c r="BA382" i="26"/>
  <c r="AZ382" i="26"/>
  <c r="AX382" i="26"/>
  <c r="AW382" i="26"/>
  <c r="AU382" i="26"/>
  <c r="AT382" i="26"/>
  <c r="BA381" i="26"/>
  <c r="AZ381" i="26"/>
  <c r="AX381" i="26"/>
  <c r="AW381" i="26"/>
  <c r="AU381" i="26"/>
  <c r="AT381" i="26"/>
  <c r="BA380" i="26"/>
  <c r="AZ380" i="26"/>
  <c r="AX380" i="26"/>
  <c r="AW380" i="26"/>
  <c r="AU380" i="26"/>
  <c r="AT380" i="26"/>
  <c r="BA379" i="26"/>
  <c r="AZ379" i="26"/>
  <c r="AX379" i="26"/>
  <c r="AW379" i="26"/>
  <c r="AU379" i="26"/>
  <c r="AT379" i="26"/>
  <c r="BA378" i="26"/>
  <c r="AZ378" i="26"/>
  <c r="AX378" i="26"/>
  <c r="AW378" i="26"/>
  <c r="AU378" i="26"/>
  <c r="AT378" i="26"/>
  <c r="BA377" i="26"/>
  <c r="AZ377" i="26"/>
  <c r="AX377" i="26"/>
  <c r="AW377" i="26"/>
  <c r="AU377" i="26"/>
  <c r="AT377" i="26"/>
  <c r="BA376" i="26"/>
  <c r="AZ376" i="26"/>
  <c r="AX376" i="26"/>
  <c r="AW376" i="26"/>
  <c r="AU376" i="26"/>
  <c r="AT376" i="26"/>
  <c r="BA375" i="26"/>
  <c r="AZ375" i="26"/>
  <c r="AX375" i="26"/>
  <c r="AW375" i="26"/>
  <c r="AU375" i="26"/>
  <c r="AT375" i="26"/>
  <c r="BA374" i="26"/>
  <c r="AZ374" i="26"/>
  <c r="AX374" i="26"/>
  <c r="AW374" i="26"/>
  <c r="AU374" i="26"/>
  <c r="AT374" i="26"/>
  <c r="BA373" i="26"/>
  <c r="AZ373" i="26"/>
  <c r="AX373" i="26"/>
  <c r="AW373" i="26"/>
  <c r="AU373" i="26"/>
  <c r="AT373" i="26"/>
  <c r="BA372" i="26"/>
  <c r="AZ372" i="26"/>
  <c r="AX372" i="26"/>
  <c r="AW372" i="26"/>
  <c r="AU372" i="26"/>
  <c r="AT372" i="26"/>
  <c r="BA371" i="26"/>
  <c r="AZ371" i="26"/>
  <c r="AX371" i="26"/>
  <c r="AW371" i="26"/>
  <c r="AU371" i="26"/>
  <c r="AT371" i="26"/>
  <c r="BA370" i="26"/>
  <c r="AZ370" i="26"/>
  <c r="AX370" i="26"/>
  <c r="AW370" i="26"/>
  <c r="AU370" i="26"/>
  <c r="AT370" i="26"/>
  <c r="BA369" i="26"/>
  <c r="AZ369" i="26"/>
  <c r="AX369" i="26"/>
  <c r="AW369" i="26"/>
  <c r="AU369" i="26"/>
  <c r="AT369" i="26"/>
  <c r="BA368" i="26"/>
  <c r="AZ368" i="26"/>
  <c r="AX368" i="26"/>
  <c r="AW368" i="26"/>
  <c r="AU368" i="26"/>
  <c r="AT368" i="26"/>
  <c r="BA367" i="26"/>
  <c r="AZ367" i="26"/>
  <c r="AX367" i="26"/>
  <c r="AW367" i="26"/>
  <c r="AU367" i="26"/>
  <c r="AT367" i="26"/>
  <c r="BA366" i="26"/>
  <c r="AZ366" i="26"/>
  <c r="AX366" i="26"/>
  <c r="AW366" i="26"/>
  <c r="AU366" i="26"/>
  <c r="AT366" i="26"/>
  <c r="BA365" i="26"/>
  <c r="AZ365" i="26"/>
  <c r="AX365" i="26"/>
  <c r="AW365" i="26"/>
  <c r="AU365" i="26"/>
  <c r="AT365" i="26"/>
  <c r="BA364" i="26"/>
  <c r="AZ364" i="26"/>
  <c r="AX364" i="26"/>
  <c r="AW364" i="26"/>
  <c r="AU364" i="26"/>
  <c r="AT364" i="26"/>
  <c r="BA363" i="26"/>
  <c r="AZ363" i="26"/>
  <c r="AX363" i="26"/>
  <c r="AW363" i="26"/>
  <c r="AU363" i="26"/>
  <c r="AT363" i="26"/>
  <c r="BA362" i="26"/>
  <c r="AZ362" i="26"/>
  <c r="AX362" i="26"/>
  <c r="AW362" i="26"/>
  <c r="AU362" i="26"/>
  <c r="AT362" i="26"/>
  <c r="BA361" i="26"/>
  <c r="AZ361" i="26"/>
  <c r="AX361" i="26"/>
  <c r="AW361" i="26"/>
  <c r="AU361" i="26"/>
  <c r="AT361" i="26"/>
  <c r="BA360" i="26"/>
  <c r="AZ360" i="26"/>
  <c r="BE360" i="26" s="1"/>
  <c r="AX360" i="26"/>
  <c r="AW360" i="26"/>
  <c r="AU360" i="26"/>
  <c r="AT360" i="26"/>
  <c r="BA359" i="26"/>
  <c r="AZ359" i="26"/>
  <c r="AX359" i="26"/>
  <c r="AW359" i="26"/>
  <c r="AU359" i="26"/>
  <c r="AT359" i="26"/>
  <c r="BA358" i="26"/>
  <c r="AZ358" i="26"/>
  <c r="AX358" i="26"/>
  <c r="AW358" i="26"/>
  <c r="AU358" i="26"/>
  <c r="AT358" i="26"/>
  <c r="BA357" i="26"/>
  <c r="AZ357" i="26"/>
  <c r="AX357" i="26"/>
  <c r="AW357" i="26"/>
  <c r="AU357" i="26"/>
  <c r="AT357" i="26"/>
  <c r="BA356" i="26"/>
  <c r="AZ356" i="26"/>
  <c r="AX356" i="26"/>
  <c r="AW356" i="26"/>
  <c r="AU356" i="26"/>
  <c r="AT356" i="26"/>
  <c r="BA355" i="26"/>
  <c r="AZ355" i="26"/>
  <c r="AX355" i="26"/>
  <c r="AW355" i="26"/>
  <c r="AU355" i="26"/>
  <c r="AT355" i="26"/>
  <c r="BA354" i="26"/>
  <c r="AZ354" i="26"/>
  <c r="AX354" i="26"/>
  <c r="AW354" i="26"/>
  <c r="AU354" i="26"/>
  <c r="AT354" i="26"/>
  <c r="BA353" i="26"/>
  <c r="AZ353" i="26"/>
  <c r="AX353" i="26"/>
  <c r="AW353" i="26"/>
  <c r="AU353" i="26"/>
  <c r="AT353" i="26"/>
  <c r="BA352" i="26"/>
  <c r="AZ352" i="26"/>
  <c r="AX352" i="26"/>
  <c r="AW352" i="26"/>
  <c r="AU352" i="26"/>
  <c r="AT352" i="26"/>
  <c r="BA351" i="26"/>
  <c r="AZ351" i="26"/>
  <c r="AX351" i="26"/>
  <c r="AW351" i="26"/>
  <c r="AU351" i="26"/>
  <c r="AT351" i="26"/>
  <c r="BA350" i="26"/>
  <c r="AZ350" i="26"/>
  <c r="AX350" i="26"/>
  <c r="AW350" i="26"/>
  <c r="AU350" i="26"/>
  <c r="AT350" i="26"/>
  <c r="BA349" i="26"/>
  <c r="AZ349" i="26"/>
  <c r="BE349" i="26" s="1"/>
  <c r="AX349" i="26"/>
  <c r="AW349" i="26"/>
  <c r="AU349" i="26"/>
  <c r="AT349" i="26"/>
  <c r="BA348" i="26"/>
  <c r="AZ348" i="26"/>
  <c r="AX348" i="26"/>
  <c r="AW348" i="26"/>
  <c r="AU348" i="26"/>
  <c r="AT348" i="26"/>
  <c r="BA347" i="26"/>
  <c r="AZ347" i="26"/>
  <c r="AX347" i="26"/>
  <c r="AW347" i="26"/>
  <c r="AU347" i="26"/>
  <c r="AT347" i="26"/>
  <c r="BA346" i="26"/>
  <c r="AZ346" i="26"/>
  <c r="AX346" i="26"/>
  <c r="AW346" i="26"/>
  <c r="AU346" i="26"/>
  <c r="AT346" i="26"/>
  <c r="BA345" i="26"/>
  <c r="AZ345" i="26"/>
  <c r="AX345" i="26"/>
  <c r="AW345" i="26"/>
  <c r="AU345" i="26"/>
  <c r="AT345" i="26"/>
  <c r="BA344" i="26"/>
  <c r="AZ344" i="26"/>
  <c r="AX344" i="26"/>
  <c r="AW344" i="26"/>
  <c r="AU344" i="26"/>
  <c r="AT344" i="26"/>
  <c r="BA343" i="26"/>
  <c r="AZ343" i="26"/>
  <c r="AX343" i="26"/>
  <c r="AW343" i="26"/>
  <c r="AU343" i="26"/>
  <c r="AT343" i="26"/>
  <c r="BA342" i="26"/>
  <c r="AZ342" i="26"/>
  <c r="AX342" i="26"/>
  <c r="AW342" i="26"/>
  <c r="AU342" i="26"/>
  <c r="AT342" i="26"/>
  <c r="BA341" i="26"/>
  <c r="AZ341" i="26"/>
  <c r="AX341" i="26"/>
  <c r="AW341" i="26"/>
  <c r="AU341" i="26"/>
  <c r="AT341" i="26"/>
  <c r="BA340" i="26"/>
  <c r="AZ340" i="26"/>
  <c r="AX340" i="26"/>
  <c r="AW340" i="26"/>
  <c r="AU340" i="26"/>
  <c r="AT340" i="26"/>
  <c r="BA339" i="26"/>
  <c r="AZ339" i="26"/>
  <c r="AX339" i="26"/>
  <c r="AW339" i="26"/>
  <c r="AU339" i="26"/>
  <c r="AT339" i="26"/>
  <c r="BA338" i="26"/>
  <c r="AZ338" i="26"/>
  <c r="AX338" i="26"/>
  <c r="AW338" i="26"/>
  <c r="AU338" i="26"/>
  <c r="AT338" i="26"/>
  <c r="BA337" i="26"/>
  <c r="AZ337" i="26"/>
  <c r="AX337" i="26"/>
  <c r="AW337" i="26"/>
  <c r="AU337" i="26"/>
  <c r="AT337" i="26"/>
  <c r="BA336" i="26"/>
  <c r="AZ336" i="26"/>
  <c r="BE336" i="26" s="1"/>
  <c r="AX336" i="26"/>
  <c r="AW336" i="26"/>
  <c r="AU336" i="26"/>
  <c r="AT336" i="26"/>
  <c r="BA335" i="26"/>
  <c r="AZ335" i="26"/>
  <c r="AX335" i="26"/>
  <c r="AW335" i="26"/>
  <c r="AU335" i="26"/>
  <c r="AT335" i="26"/>
  <c r="BA334" i="26"/>
  <c r="AZ334" i="26"/>
  <c r="AX334" i="26"/>
  <c r="AW334" i="26"/>
  <c r="AU334" i="26"/>
  <c r="AT334" i="26"/>
  <c r="BA333" i="26"/>
  <c r="AZ333" i="26"/>
  <c r="AX333" i="26"/>
  <c r="AW333" i="26"/>
  <c r="AU333" i="26"/>
  <c r="AT333" i="26"/>
  <c r="BA332" i="26"/>
  <c r="AZ332" i="26"/>
  <c r="AX332" i="26"/>
  <c r="AW332" i="26"/>
  <c r="AU332" i="26"/>
  <c r="AT332" i="26"/>
  <c r="BA331" i="26"/>
  <c r="AZ331" i="26"/>
  <c r="AX331" i="26"/>
  <c r="AW331" i="26"/>
  <c r="AU331" i="26"/>
  <c r="AT331" i="26"/>
  <c r="BA330" i="26"/>
  <c r="AZ330" i="26"/>
  <c r="AX330" i="26"/>
  <c r="AW330" i="26"/>
  <c r="AU330" i="26"/>
  <c r="AT330" i="26"/>
  <c r="BA329" i="26"/>
  <c r="AZ329" i="26"/>
  <c r="AX329" i="26"/>
  <c r="AW329" i="26"/>
  <c r="AU329" i="26"/>
  <c r="AT329" i="26"/>
  <c r="BA328" i="26"/>
  <c r="AZ328" i="26"/>
  <c r="AX328" i="26"/>
  <c r="AW328" i="26"/>
  <c r="AU328" i="26"/>
  <c r="AT328" i="26"/>
  <c r="BA327" i="26"/>
  <c r="AZ327" i="26"/>
  <c r="AX327" i="26"/>
  <c r="AW327" i="26"/>
  <c r="AU327" i="26"/>
  <c r="AT327" i="26"/>
  <c r="BA326" i="26"/>
  <c r="AZ326" i="26"/>
  <c r="AX326" i="26"/>
  <c r="AW326" i="26"/>
  <c r="AU326" i="26"/>
  <c r="AT326" i="26"/>
  <c r="BA325" i="26"/>
  <c r="AZ325" i="26"/>
  <c r="AX325" i="26"/>
  <c r="AW325" i="26"/>
  <c r="AU325" i="26"/>
  <c r="AT325" i="26"/>
  <c r="BA324" i="26"/>
  <c r="AZ324" i="26"/>
  <c r="AX324" i="26"/>
  <c r="AW324" i="26"/>
  <c r="AU324" i="26"/>
  <c r="AT324" i="26"/>
  <c r="BA323" i="26"/>
  <c r="AZ323" i="26"/>
  <c r="AX323" i="26"/>
  <c r="AW323" i="26"/>
  <c r="AU323" i="26"/>
  <c r="AT323" i="26"/>
  <c r="BA322" i="26"/>
  <c r="AZ322" i="26"/>
  <c r="AX322" i="26"/>
  <c r="AW322" i="26"/>
  <c r="AU322" i="26"/>
  <c r="AT322" i="26"/>
  <c r="BA321" i="26"/>
  <c r="AZ321" i="26"/>
  <c r="AX321" i="26"/>
  <c r="AW321" i="26"/>
  <c r="AU321" i="26"/>
  <c r="AT321" i="26"/>
  <c r="BA320" i="26"/>
  <c r="AZ320" i="26"/>
  <c r="AX320" i="26"/>
  <c r="AW320" i="26"/>
  <c r="AU320" i="26"/>
  <c r="AT320" i="26"/>
  <c r="BA319" i="26"/>
  <c r="AZ319" i="26"/>
  <c r="AX319" i="26"/>
  <c r="AW319" i="26"/>
  <c r="AU319" i="26"/>
  <c r="AT319" i="26"/>
  <c r="BA318" i="26"/>
  <c r="AZ318" i="26"/>
  <c r="AX318" i="26"/>
  <c r="AW318" i="26"/>
  <c r="AU318" i="26"/>
  <c r="AT318" i="26"/>
  <c r="BA317" i="26"/>
  <c r="AZ317" i="26"/>
  <c r="AX317" i="26"/>
  <c r="AW317" i="26"/>
  <c r="AU317" i="26"/>
  <c r="AT317" i="26"/>
  <c r="BA316" i="26"/>
  <c r="AZ316" i="26"/>
  <c r="AX316" i="26"/>
  <c r="AW316" i="26"/>
  <c r="AU316" i="26"/>
  <c r="AT316" i="26"/>
  <c r="BA315" i="26"/>
  <c r="AZ315" i="26"/>
  <c r="AX315" i="26"/>
  <c r="AW315" i="26"/>
  <c r="AU315" i="26"/>
  <c r="AT315" i="26"/>
  <c r="BA314" i="26"/>
  <c r="AZ314" i="26"/>
  <c r="AX314" i="26"/>
  <c r="AW314" i="26"/>
  <c r="AU314" i="26"/>
  <c r="AT314" i="26"/>
  <c r="BA313" i="26"/>
  <c r="AZ313" i="26"/>
  <c r="BE313" i="26" s="1"/>
  <c r="AX313" i="26"/>
  <c r="AW313" i="26"/>
  <c r="AU313" i="26"/>
  <c r="AT313" i="26"/>
  <c r="BA312" i="26"/>
  <c r="AZ312" i="26"/>
  <c r="AX312" i="26"/>
  <c r="AW312" i="26"/>
  <c r="AU312" i="26"/>
  <c r="AT312" i="26"/>
  <c r="BA311" i="26"/>
  <c r="AZ311" i="26"/>
  <c r="AX311" i="26"/>
  <c r="AW311" i="26"/>
  <c r="AU311" i="26"/>
  <c r="AT311" i="26"/>
  <c r="BA310" i="26"/>
  <c r="AZ310" i="26"/>
  <c r="AX310" i="26"/>
  <c r="AW310" i="26"/>
  <c r="AU310" i="26"/>
  <c r="AT310" i="26"/>
  <c r="BA309" i="26"/>
  <c r="AZ309" i="26"/>
  <c r="AX309" i="26"/>
  <c r="AW309" i="26"/>
  <c r="AU309" i="26"/>
  <c r="AT309" i="26"/>
  <c r="BA308" i="26"/>
  <c r="AZ308" i="26"/>
  <c r="AX308" i="26"/>
  <c r="AW308" i="26"/>
  <c r="AU308" i="26"/>
  <c r="AT308" i="26"/>
  <c r="BA307" i="26"/>
  <c r="AZ307" i="26"/>
  <c r="AX307" i="26"/>
  <c r="AW307" i="26"/>
  <c r="AU307" i="26"/>
  <c r="AT307" i="26"/>
  <c r="BA306" i="26"/>
  <c r="AZ306" i="26"/>
  <c r="AX306" i="26"/>
  <c r="AW306" i="26"/>
  <c r="AU306" i="26"/>
  <c r="AT306" i="26"/>
  <c r="BA305" i="26"/>
  <c r="AZ305" i="26"/>
  <c r="AX305" i="26"/>
  <c r="AW305" i="26"/>
  <c r="AU305" i="26"/>
  <c r="AT305" i="26"/>
  <c r="BA304" i="26"/>
  <c r="AZ304" i="26"/>
  <c r="AX304" i="26"/>
  <c r="AW304" i="26"/>
  <c r="AU304" i="26"/>
  <c r="AT304" i="26"/>
  <c r="BA303" i="26"/>
  <c r="AZ303" i="26"/>
  <c r="AX303" i="26"/>
  <c r="AW303" i="26"/>
  <c r="AU303" i="26"/>
  <c r="AT303" i="26"/>
  <c r="BA302" i="26"/>
  <c r="AZ302" i="26"/>
  <c r="AX302" i="26"/>
  <c r="AW302" i="26"/>
  <c r="AU302" i="26"/>
  <c r="AT302" i="26"/>
  <c r="BA301" i="26"/>
  <c r="AZ301" i="26"/>
  <c r="AX301" i="26"/>
  <c r="AW301" i="26"/>
  <c r="AU301" i="26"/>
  <c r="AT301" i="26"/>
  <c r="BA300" i="26"/>
  <c r="AZ300" i="26"/>
  <c r="AX300" i="26"/>
  <c r="AW300" i="26"/>
  <c r="AU300" i="26"/>
  <c r="AT300" i="26"/>
  <c r="BA299" i="26"/>
  <c r="AZ299" i="26"/>
  <c r="AX299" i="26"/>
  <c r="AW299" i="26"/>
  <c r="AU299" i="26"/>
  <c r="AT299" i="26"/>
  <c r="BA298" i="26"/>
  <c r="AZ298" i="26"/>
  <c r="AX298" i="26"/>
  <c r="AW298" i="26"/>
  <c r="AU298" i="26"/>
  <c r="AT298" i="26"/>
  <c r="BA297" i="26"/>
  <c r="AZ297" i="26"/>
  <c r="AX297" i="26"/>
  <c r="AW297" i="26"/>
  <c r="AU297" i="26"/>
  <c r="AT297" i="26"/>
  <c r="BA296" i="26"/>
  <c r="AZ296" i="26"/>
  <c r="AX296" i="26"/>
  <c r="AW296" i="26"/>
  <c r="AU296" i="26"/>
  <c r="AT296" i="26"/>
  <c r="BA295" i="26"/>
  <c r="AZ295" i="26"/>
  <c r="AX295" i="26"/>
  <c r="AW295" i="26"/>
  <c r="AU295" i="26"/>
  <c r="AT295" i="26"/>
  <c r="BA294" i="26"/>
  <c r="AZ294" i="26"/>
  <c r="AX294" i="26"/>
  <c r="AW294" i="26"/>
  <c r="AU294" i="26"/>
  <c r="AT294" i="26"/>
  <c r="BA293" i="26"/>
  <c r="AZ293" i="26"/>
  <c r="AX293" i="26"/>
  <c r="AW293" i="26"/>
  <c r="AU293" i="26"/>
  <c r="AT293" i="26"/>
  <c r="BA292" i="26"/>
  <c r="AZ292" i="26"/>
  <c r="AX292" i="26"/>
  <c r="AW292" i="26"/>
  <c r="AU292" i="26"/>
  <c r="AT292" i="26"/>
  <c r="BA291" i="26"/>
  <c r="AZ291" i="26"/>
  <c r="AX291" i="26"/>
  <c r="AW291" i="26"/>
  <c r="AU291" i="26"/>
  <c r="AT291" i="26"/>
  <c r="BA290" i="26"/>
  <c r="AZ290" i="26"/>
  <c r="AX290" i="26"/>
  <c r="AW290" i="26"/>
  <c r="AU290" i="26"/>
  <c r="AT290" i="26"/>
  <c r="BA289" i="26"/>
  <c r="AZ289" i="26"/>
  <c r="AX289" i="26"/>
  <c r="AW289" i="26"/>
  <c r="AU289" i="26"/>
  <c r="AT289" i="26"/>
  <c r="BA288" i="26"/>
  <c r="AZ288" i="26"/>
  <c r="AX288" i="26"/>
  <c r="AW288" i="26"/>
  <c r="AU288" i="26"/>
  <c r="AT288" i="26"/>
  <c r="BA287" i="26"/>
  <c r="AZ287" i="26"/>
  <c r="AX287" i="26"/>
  <c r="AW287" i="26"/>
  <c r="AU287" i="26"/>
  <c r="AT287" i="26"/>
  <c r="BA286" i="26"/>
  <c r="AZ286" i="26"/>
  <c r="AX286" i="26"/>
  <c r="AW286" i="26"/>
  <c r="AU286" i="26"/>
  <c r="AT286" i="26"/>
  <c r="BA285" i="26"/>
  <c r="AZ285" i="26"/>
  <c r="AX285" i="26"/>
  <c r="AW285" i="26"/>
  <c r="AU285" i="26"/>
  <c r="AT285" i="26"/>
  <c r="BA284" i="26"/>
  <c r="AZ284" i="26"/>
  <c r="AX284" i="26"/>
  <c r="AW284" i="26"/>
  <c r="AU284" i="26"/>
  <c r="AT284" i="26"/>
  <c r="BA283" i="26"/>
  <c r="AZ283" i="26"/>
  <c r="AX283" i="26"/>
  <c r="AW283" i="26"/>
  <c r="AU283" i="26"/>
  <c r="AT283" i="26"/>
  <c r="BA282" i="26"/>
  <c r="AZ282" i="26"/>
  <c r="AX282" i="26"/>
  <c r="AW282" i="26"/>
  <c r="AU282" i="26"/>
  <c r="AT282" i="26"/>
  <c r="BA281" i="26"/>
  <c r="AZ281" i="26"/>
  <c r="BE281" i="26" s="1"/>
  <c r="AX281" i="26"/>
  <c r="AW281" i="26"/>
  <c r="AU281" i="26"/>
  <c r="AT281" i="26"/>
  <c r="BA280" i="26"/>
  <c r="AZ280" i="26"/>
  <c r="AX280" i="26"/>
  <c r="AW280" i="26"/>
  <c r="AU280" i="26"/>
  <c r="AT280" i="26"/>
  <c r="BA279" i="26"/>
  <c r="AZ279" i="26"/>
  <c r="AX279" i="26"/>
  <c r="AW279" i="26"/>
  <c r="AU279" i="26"/>
  <c r="AT279" i="26"/>
  <c r="BA278" i="26"/>
  <c r="AZ278" i="26"/>
  <c r="AX278" i="26"/>
  <c r="AW278" i="26"/>
  <c r="AU278" i="26"/>
  <c r="AT278" i="26"/>
  <c r="BA277" i="26"/>
  <c r="AZ277" i="26"/>
  <c r="AX277" i="26"/>
  <c r="AW277" i="26"/>
  <c r="AU277" i="26"/>
  <c r="AT277" i="26"/>
  <c r="BA276" i="26"/>
  <c r="AZ276" i="26"/>
  <c r="AX276" i="26"/>
  <c r="AW276" i="26"/>
  <c r="AU276" i="26"/>
  <c r="AT276" i="26"/>
  <c r="BA275" i="26"/>
  <c r="AZ275" i="26"/>
  <c r="AX275" i="26"/>
  <c r="AW275" i="26"/>
  <c r="AU275" i="26"/>
  <c r="AT275" i="26"/>
  <c r="BA274" i="26"/>
  <c r="AZ274" i="26"/>
  <c r="AX274" i="26"/>
  <c r="AW274" i="26"/>
  <c r="AU274" i="26"/>
  <c r="AT274" i="26"/>
  <c r="BA273" i="26"/>
  <c r="AZ273" i="26"/>
  <c r="AX273" i="26"/>
  <c r="AW273" i="26"/>
  <c r="AU273" i="26"/>
  <c r="AT273" i="26"/>
  <c r="BA272" i="26"/>
  <c r="AZ272" i="26"/>
  <c r="AX272" i="26"/>
  <c r="AW272" i="26"/>
  <c r="AU272" i="26"/>
  <c r="AT272" i="26"/>
  <c r="BA271" i="26"/>
  <c r="AZ271" i="26"/>
  <c r="AX271" i="26"/>
  <c r="AW271" i="26"/>
  <c r="AU271" i="26"/>
  <c r="AT271" i="26"/>
  <c r="BA270" i="26"/>
  <c r="AZ270" i="26"/>
  <c r="AX270" i="26"/>
  <c r="AW270" i="26"/>
  <c r="AU270" i="26"/>
  <c r="AT270" i="26"/>
  <c r="BA269" i="26"/>
  <c r="AZ269" i="26"/>
  <c r="AX269" i="26"/>
  <c r="AW269" i="26"/>
  <c r="AU269" i="26"/>
  <c r="AT269" i="26"/>
  <c r="BA268" i="26"/>
  <c r="AZ268" i="26"/>
  <c r="AX268" i="26"/>
  <c r="AW268" i="26"/>
  <c r="AU268" i="26"/>
  <c r="AT268" i="26"/>
  <c r="BA267" i="26"/>
  <c r="AZ267" i="26"/>
  <c r="AX267" i="26"/>
  <c r="AW267" i="26"/>
  <c r="AU267" i="26"/>
  <c r="AT267" i="26"/>
  <c r="BA266" i="26"/>
  <c r="AZ266" i="26"/>
  <c r="AX266" i="26"/>
  <c r="AW266" i="26"/>
  <c r="AU266" i="26"/>
  <c r="AT266" i="26"/>
  <c r="BA265" i="26"/>
  <c r="AZ265" i="26"/>
  <c r="AX265" i="26"/>
  <c r="AW265" i="26"/>
  <c r="AU265" i="26"/>
  <c r="AT265" i="26"/>
  <c r="BA264" i="26"/>
  <c r="AZ264" i="26"/>
  <c r="AX264" i="26"/>
  <c r="AW264" i="26"/>
  <c r="AU264" i="26"/>
  <c r="AT264" i="26"/>
  <c r="BA263" i="26"/>
  <c r="AZ263" i="26"/>
  <c r="AX263" i="26"/>
  <c r="AW263" i="26"/>
  <c r="AU263" i="26"/>
  <c r="AT263" i="26"/>
  <c r="BA262" i="26"/>
  <c r="AZ262" i="26"/>
  <c r="AX262" i="26"/>
  <c r="AW262" i="26"/>
  <c r="AU262" i="26"/>
  <c r="AT262" i="26"/>
  <c r="BA261" i="26"/>
  <c r="AZ261" i="26"/>
  <c r="AX261" i="26"/>
  <c r="AW261" i="26"/>
  <c r="AU261" i="26"/>
  <c r="AT261" i="26"/>
  <c r="BA260" i="26"/>
  <c r="AZ260" i="26"/>
  <c r="AX260" i="26"/>
  <c r="AW260" i="26"/>
  <c r="AU260" i="26"/>
  <c r="AT260" i="26"/>
  <c r="BA259" i="26"/>
  <c r="AZ259" i="26"/>
  <c r="AX259" i="26"/>
  <c r="AW259" i="26"/>
  <c r="AU259" i="26"/>
  <c r="AT259" i="26"/>
  <c r="BA258" i="26"/>
  <c r="AZ258" i="26"/>
  <c r="AX258" i="26"/>
  <c r="AW258" i="26"/>
  <c r="AU258" i="26"/>
  <c r="AT258" i="26"/>
  <c r="BA257" i="26"/>
  <c r="AZ257" i="26"/>
  <c r="AX257" i="26"/>
  <c r="AW257" i="26"/>
  <c r="AU257" i="26"/>
  <c r="AT257" i="26"/>
  <c r="BA256" i="26"/>
  <c r="AZ256" i="26"/>
  <c r="AX256" i="26"/>
  <c r="AW256" i="26"/>
  <c r="AU256" i="26"/>
  <c r="AT256" i="26"/>
  <c r="BA255" i="26"/>
  <c r="AZ255" i="26"/>
  <c r="AX255" i="26"/>
  <c r="AW255" i="26"/>
  <c r="AU255" i="26"/>
  <c r="AT255" i="26"/>
  <c r="BA254" i="26"/>
  <c r="AZ254" i="26"/>
  <c r="AX254" i="26"/>
  <c r="AW254" i="26"/>
  <c r="AU254" i="26"/>
  <c r="AT254" i="26"/>
  <c r="BA253" i="26"/>
  <c r="AZ253" i="26"/>
  <c r="AX253" i="26"/>
  <c r="AW253" i="26"/>
  <c r="AU253" i="26"/>
  <c r="AT253" i="26"/>
  <c r="BA252" i="26"/>
  <c r="AZ252" i="26"/>
  <c r="AX252" i="26"/>
  <c r="AW252" i="26"/>
  <c r="AU252" i="26"/>
  <c r="AT252" i="26"/>
  <c r="BA251" i="26"/>
  <c r="AZ251" i="26"/>
  <c r="AX251" i="26"/>
  <c r="AW251" i="26"/>
  <c r="AU251" i="26"/>
  <c r="AT251" i="26"/>
  <c r="BA250" i="26"/>
  <c r="AZ250" i="26"/>
  <c r="AX250" i="26"/>
  <c r="AW250" i="26"/>
  <c r="AU250" i="26"/>
  <c r="AT250" i="26"/>
  <c r="BA249" i="26"/>
  <c r="AZ249" i="26"/>
  <c r="AX249" i="26"/>
  <c r="AW249" i="26"/>
  <c r="AU249" i="26"/>
  <c r="AT249" i="26"/>
  <c r="BA248" i="26"/>
  <c r="AZ248" i="26"/>
  <c r="AX248" i="26"/>
  <c r="AW248" i="26"/>
  <c r="AU248" i="26"/>
  <c r="AT248" i="26"/>
  <c r="BA247" i="26"/>
  <c r="AZ247" i="26"/>
  <c r="AX247" i="26"/>
  <c r="AW247" i="26"/>
  <c r="AU247" i="26"/>
  <c r="AT247" i="26"/>
  <c r="BA246" i="26"/>
  <c r="AZ246" i="26"/>
  <c r="AX246" i="26"/>
  <c r="AW246" i="26"/>
  <c r="AU246" i="26"/>
  <c r="AT246" i="26"/>
  <c r="BA245" i="26"/>
  <c r="AZ245" i="26"/>
  <c r="AX245" i="26"/>
  <c r="AW245" i="26"/>
  <c r="AU245" i="26"/>
  <c r="AT245" i="26"/>
  <c r="BA244" i="26"/>
  <c r="AZ244" i="26"/>
  <c r="AX244" i="26"/>
  <c r="AW244" i="26"/>
  <c r="AU244" i="26"/>
  <c r="AT244" i="26"/>
  <c r="BA243" i="26"/>
  <c r="AZ243" i="26"/>
  <c r="AX243" i="26"/>
  <c r="AW243" i="26"/>
  <c r="AU243" i="26"/>
  <c r="AT243" i="26"/>
  <c r="BA242" i="26"/>
  <c r="AZ242" i="26"/>
  <c r="AX242" i="26"/>
  <c r="AW242" i="26"/>
  <c r="AU242" i="26"/>
  <c r="AT242" i="26"/>
  <c r="BA241" i="26"/>
  <c r="AZ241" i="26"/>
  <c r="AX241" i="26"/>
  <c r="AW241" i="26"/>
  <c r="AU241" i="26"/>
  <c r="AT241" i="26"/>
  <c r="BB240" i="26"/>
  <c r="BA240" i="26"/>
  <c r="AZ240" i="26"/>
  <c r="AX240" i="26"/>
  <c r="AW240" i="26"/>
  <c r="AU240" i="26"/>
  <c r="AT240" i="26"/>
  <c r="BA239" i="26"/>
  <c r="AZ239" i="26"/>
  <c r="AX239" i="26"/>
  <c r="AW239" i="26"/>
  <c r="AU239" i="26"/>
  <c r="AT239" i="26"/>
  <c r="BA238" i="26"/>
  <c r="AZ238" i="26"/>
  <c r="AX238" i="26"/>
  <c r="AW238" i="26"/>
  <c r="AU238" i="26"/>
  <c r="AT238" i="26"/>
  <c r="BA237" i="26"/>
  <c r="AZ237" i="26"/>
  <c r="AX237" i="26"/>
  <c r="AW237" i="26"/>
  <c r="AU237" i="26"/>
  <c r="AT237" i="26"/>
  <c r="BA236" i="26"/>
  <c r="AZ236" i="26"/>
  <c r="BE236" i="26" s="1"/>
  <c r="AX236" i="26"/>
  <c r="AW236" i="26"/>
  <c r="AU236" i="26"/>
  <c r="AT236" i="26"/>
  <c r="BA235" i="26"/>
  <c r="AZ235" i="26"/>
  <c r="AX235" i="26"/>
  <c r="AW235" i="26"/>
  <c r="AU235" i="26"/>
  <c r="AT235" i="26"/>
  <c r="BA234" i="26"/>
  <c r="AZ234" i="26"/>
  <c r="AX234" i="26"/>
  <c r="AW234" i="26"/>
  <c r="AU234" i="26"/>
  <c r="AT234" i="26"/>
  <c r="BB233" i="26"/>
  <c r="BA233" i="26"/>
  <c r="AZ233" i="26"/>
  <c r="AX233" i="26"/>
  <c r="AW233" i="26"/>
  <c r="AU233" i="26"/>
  <c r="AT233" i="26"/>
  <c r="BA232" i="26"/>
  <c r="AZ232" i="26"/>
  <c r="AX232" i="26"/>
  <c r="AW232" i="26"/>
  <c r="AU232" i="26"/>
  <c r="AT232" i="26"/>
  <c r="BA231" i="26"/>
  <c r="AZ231" i="26"/>
  <c r="AX231" i="26"/>
  <c r="AW231" i="26"/>
  <c r="AU231" i="26"/>
  <c r="AT231" i="26"/>
  <c r="BA230" i="26"/>
  <c r="AZ230" i="26"/>
  <c r="AX230" i="26"/>
  <c r="AW230" i="26"/>
  <c r="AU230" i="26"/>
  <c r="AT230" i="26"/>
  <c r="BA229" i="26"/>
  <c r="AZ229" i="26"/>
  <c r="AX229" i="26"/>
  <c r="AW229" i="26"/>
  <c r="AU229" i="26"/>
  <c r="AT229" i="26"/>
  <c r="BA228" i="26"/>
  <c r="AZ228" i="26"/>
  <c r="AX228" i="26"/>
  <c r="AW228" i="26"/>
  <c r="AU228" i="26"/>
  <c r="AT228" i="26"/>
  <c r="BA227" i="26"/>
  <c r="AZ227" i="26"/>
  <c r="AX227" i="26"/>
  <c r="AW227" i="26"/>
  <c r="AU227" i="26"/>
  <c r="AT227" i="26"/>
  <c r="BA226" i="26"/>
  <c r="AZ226" i="26"/>
  <c r="AX226" i="26"/>
  <c r="AW226" i="26"/>
  <c r="AU226" i="26"/>
  <c r="AT226" i="26"/>
  <c r="BB225" i="26"/>
  <c r="BA225" i="26"/>
  <c r="AZ225" i="26"/>
  <c r="AX225" i="26"/>
  <c r="AW225" i="26"/>
  <c r="AU225" i="26"/>
  <c r="AT225" i="26"/>
  <c r="BA224" i="26"/>
  <c r="AZ224" i="26"/>
  <c r="AX224" i="26"/>
  <c r="AW224" i="26"/>
  <c r="AU224" i="26"/>
  <c r="AT224" i="26"/>
  <c r="BA223" i="26"/>
  <c r="AZ223" i="26"/>
  <c r="AX223" i="26"/>
  <c r="AW223" i="26"/>
  <c r="AU223" i="26"/>
  <c r="AT223" i="26"/>
  <c r="BA222" i="26"/>
  <c r="AZ222" i="26"/>
  <c r="AX222" i="26"/>
  <c r="AW222" i="26"/>
  <c r="AU222" i="26"/>
  <c r="AT222" i="26"/>
  <c r="BA221" i="26"/>
  <c r="AZ221" i="26"/>
  <c r="AX221" i="26"/>
  <c r="AW221" i="26"/>
  <c r="AU221" i="26"/>
  <c r="AT221" i="26"/>
  <c r="BA220" i="26"/>
  <c r="AZ220" i="26"/>
  <c r="AX220" i="26"/>
  <c r="AW220" i="26"/>
  <c r="AU220" i="26"/>
  <c r="AT220" i="26"/>
  <c r="BA219" i="26"/>
  <c r="AZ219" i="26"/>
  <c r="AX219" i="26"/>
  <c r="AW219" i="26"/>
  <c r="AU219" i="26"/>
  <c r="AT219" i="26"/>
  <c r="BA218" i="26"/>
  <c r="AZ218" i="26"/>
  <c r="BE218" i="26" s="1"/>
  <c r="AX218" i="26"/>
  <c r="AW218" i="26"/>
  <c r="AU218" i="26"/>
  <c r="AT218" i="26"/>
  <c r="BA217" i="26"/>
  <c r="AZ217" i="26"/>
  <c r="AX217" i="26"/>
  <c r="AW217" i="26"/>
  <c r="AU217" i="26"/>
  <c r="AT217" i="26"/>
  <c r="BA216" i="26"/>
  <c r="AZ216" i="26"/>
  <c r="AX216" i="26"/>
  <c r="AW216" i="26"/>
  <c r="AU216" i="26"/>
  <c r="AT216" i="26"/>
  <c r="BA215" i="26"/>
  <c r="AZ215" i="26"/>
  <c r="AX215" i="26"/>
  <c r="AW215" i="26"/>
  <c r="AU215" i="26"/>
  <c r="AT215" i="26"/>
  <c r="BA214" i="26"/>
  <c r="AZ214" i="26"/>
  <c r="AX214" i="26"/>
  <c r="AW214" i="26"/>
  <c r="AU214" i="26"/>
  <c r="AT214" i="26"/>
  <c r="BA213" i="26"/>
  <c r="AZ213" i="26"/>
  <c r="AX213" i="26"/>
  <c r="AW213" i="26"/>
  <c r="AU213" i="26"/>
  <c r="AT213" i="26"/>
  <c r="BA212" i="26"/>
  <c r="AZ212" i="26"/>
  <c r="AX212" i="26"/>
  <c r="AW212" i="26"/>
  <c r="AU212" i="26"/>
  <c r="AT212" i="26"/>
  <c r="BA211" i="26"/>
  <c r="AZ211" i="26"/>
  <c r="AX211" i="26"/>
  <c r="AW211" i="26"/>
  <c r="AU211" i="26"/>
  <c r="AT211" i="26"/>
  <c r="BA210" i="26"/>
  <c r="AZ210" i="26"/>
  <c r="AX210" i="26"/>
  <c r="AW210" i="26"/>
  <c r="AU210" i="26"/>
  <c r="AT210" i="26"/>
  <c r="BA209" i="26"/>
  <c r="AZ209" i="26"/>
  <c r="AX209" i="26"/>
  <c r="AW209" i="26"/>
  <c r="AU209" i="26"/>
  <c r="AT209" i="26"/>
  <c r="BA208" i="26"/>
  <c r="AZ208" i="26"/>
  <c r="AX208" i="26"/>
  <c r="AW208" i="26"/>
  <c r="AU208" i="26"/>
  <c r="AT208" i="26"/>
  <c r="BA207" i="26"/>
  <c r="AZ207" i="26"/>
  <c r="AX207" i="26"/>
  <c r="AW207" i="26"/>
  <c r="AU207" i="26"/>
  <c r="AT207" i="26"/>
  <c r="BA206" i="26"/>
  <c r="AZ206" i="26"/>
  <c r="AX206" i="26"/>
  <c r="AW206" i="26"/>
  <c r="AU206" i="26"/>
  <c r="AT206" i="26"/>
  <c r="BA205" i="26"/>
  <c r="AZ205" i="26"/>
  <c r="AX205" i="26"/>
  <c r="AW205" i="26"/>
  <c r="AU205" i="26"/>
  <c r="AT205" i="26"/>
  <c r="BA204" i="26"/>
  <c r="AZ204" i="26"/>
  <c r="AX204" i="26"/>
  <c r="AW204" i="26"/>
  <c r="AU204" i="26"/>
  <c r="AT204" i="26"/>
  <c r="BA203" i="26"/>
  <c r="AZ203" i="26"/>
  <c r="AX203" i="26"/>
  <c r="AW203" i="26"/>
  <c r="AU203" i="26"/>
  <c r="AT203" i="26"/>
  <c r="BA202" i="26"/>
  <c r="AZ202" i="26"/>
  <c r="AX202" i="26"/>
  <c r="AW202" i="26"/>
  <c r="AU202" i="26"/>
  <c r="AT202" i="26"/>
  <c r="BA201" i="26"/>
  <c r="AZ201" i="26"/>
  <c r="AX201" i="26"/>
  <c r="AW201" i="26"/>
  <c r="AU201" i="26"/>
  <c r="AT201" i="26"/>
  <c r="BA200" i="26"/>
  <c r="AZ200" i="26"/>
  <c r="AX200" i="26"/>
  <c r="AW200" i="26"/>
  <c r="AU200" i="26"/>
  <c r="AT200" i="26"/>
  <c r="BA199" i="26"/>
  <c r="AZ199" i="26"/>
  <c r="AX199" i="26"/>
  <c r="AW199" i="26"/>
  <c r="AU199" i="26"/>
  <c r="AT199" i="26"/>
  <c r="BA198" i="26"/>
  <c r="AZ198" i="26"/>
  <c r="AX198" i="26"/>
  <c r="AW198" i="26"/>
  <c r="AU198" i="26"/>
  <c r="AT198" i="26"/>
  <c r="BA197" i="26"/>
  <c r="AZ197" i="26"/>
  <c r="AX197" i="26"/>
  <c r="AW197" i="26"/>
  <c r="AU197" i="26"/>
  <c r="AT197" i="26"/>
  <c r="BB196" i="26"/>
  <c r="BA196" i="26"/>
  <c r="AZ196" i="26"/>
  <c r="AX196" i="26"/>
  <c r="AW196" i="26"/>
  <c r="AU196" i="26"/>
  <c r="AT196" i="26"/>
  <c r="BA195" i="26"/>
  <c r="AZ195" i="26"/>
  <c r="AX195" i="26"/>
  <c r="AW195" i="26"/>
  <c r="AU195" i="26"/>
  <c r="AT195" i="26"/>
  <c r="BA194" i="26"/>
  <c r="AZ194" i="26"/>
  <c r="AX194" i="26"/>
  <c r="AW194" i="26"/>
  <c r="AU194" i="26"/>
  <c r="AT194" i="26"/>
  <c r="BA193" i="26"/>
  <c r="AZ193" i="26"/>
  <c r="AX193" i="26"/>
  <c r="AW193" i="26"/>
  <c r="AU193" i="26"/>
  <c r="AT193" i="26"/>
  <c r="BA192" i="26"/>
  <c r="AZ192" i="26"/>
  <c r="AX192" i="26"/>
  <c r="AW192" i="26"/>
  <c r="AU192" i="26"/>
  <c r="AT192" i="26"/>
  <c r="BA191" i="26"/>
  <c r="AZ191" i="26"/>
  <c r="AX191" i="26"/>
  <c r="AW191" i="26"/>
  <c r="AU191" i="26"/>
  <c r="AT191" i="26"/>
  <c r="BA190" i="26"/>
  <c r="AZ190" i="26"/>
  <c r="AX190" i="26"/>
  <c r="AW190" i="26"/>
  <c r="AU190" i="26"/>
  <c r="AT190" i="26"/>
  <c r="BA189" i="26"/>
  <c r="AZ189" i="26"/>
  <c r="AX189" i="26"/>
  <c r="AW189" i="26"/>
  <c r="AU189" i="26"/>
  <c r="AT189" i="26"/>
  <c r="BA188" i="26"/>
  <c r="AZ188" i="26"/>
  <c r="AX188" i="26"/>
  <c r="AW188" i="26"/>
  <c r="AU188" i="26"/>
  <c r="AT188" i="26"/>
  <c r="BA187" i="26"/>
  <c r="AZ187" i="26"/>
  <c r="AX187" i="26"/>
  <c r="AW187" i="26"/>
  <c r="AU187" i="26"/>
  <c r="AT187" i="26"/>
  <c r="BA186" i="26"/>
  <c r="AZ186" i="26"/>
  <c r="AX186" i="26"/>
  <c r="AW186" i="26"/>
  <c r="AU186" i="26"/>
  <c r="AT186" i="26"/>
  <c r="BA185" i="26"/>
  <c r="AZ185" i="26"/>
  <c r="AX185" i="26"/>
  <c r="AW185" i="26"/>
  <c r="AU185" i="26"/>
  <c r="AT185" i="26"/>
  <c r="BA184" i="26"/>
  <c r="AZ184" i="26"/>
  <c r="AX184" i="26"/>
  <c r="AW184" i="26"/>
  <c r="AU184" i="26"/>
  <c r="AT184" i="26"/>
  <c r="BA183" i="26"/>
  <c r="AZ183" i="26"/>
  <c r="AX183" i="26"/>
  <c r="AW183" i="26"/>
  <c r="AU183" i="26"/>
  <c r="AT183" i="26"/>
  <c r="BA182" i="26"/>
  <c r="AZ182" i="26"/>
  <c r="AX182" i="26"/>
  <c r="AW182" i="26"/>
  <c r="AU182" i="26"/>
  <c r="AT182" i="26"/>
  <c r="BA181" i="26"/>
  <c r="AZ181" i="26"/>
  <c r="AX181" i="26"/>
  <c r="AW181" i="26"/>
  <c r="AU181" i="26"/>
  <c r="AT181" i="26"/>
  <c r="BA180" i="26"/>
  <c r="AZ180" i="26"/>
  <c r="AX180" i="26"/>
  <c r="AW180" i="26"/>
  <c r="AU180" i="26"/>
  <c r="AT180" i="26"/>
  <c r="BA179" i="26"/>
  <c r="AZ179" i="26"/>
  <c r="AX179" i="26"/>
  <c r="AW179" i="26"/>
  <c r="AU179" i="26"/>
  <c r="AT179" i="26"/>
  <c r="BA178" i="26"/>
  <c r="AZ178" i="26"/>
  <c r="AX178" i="26"/>
  <c r="AW178" i="26"/>
  <c r="AU178" i="26"/>
  <c r="AT178" i="26"/>
  <c r="BA177" i="26"/>
  <c r="AZ177" i="26"/>
  <c r="AX177" i="26"/>
  <c r="AW177" i="26"/>
  <c r="AU177" i="26"/>
  <c r="AT177" i="26"/>
  <c r="BA176" i="26"/>
  <c r="AZ176" i="26"/>
  <c r="AX176" i="26"/>
  <c r="AW176" i="26"/>
  <c r="AU176" i="26"/>
  <c r="AT176" i="26"/>
  <c r="BA175" i="26"/>
  <c r="AZ175" i="26"/>
  <c r="AX175" i="26"/>
  <c r="AW175" i="26"/>
  <c r="AU175" i="26"/>
  <c r="AT175" i="26"/>
  <c r="BA174" i="26"/>
  <c r="AZ174" i="26"/>
  <c r="AX174" i="26"/>
  <c r="AW174" i="26"/>
  <c r="AU174" i="26"/>
  <c r="AT174" i="26"/>
  <c r="BA173" i="26"/>
  <c r="AZ173" i="26"/>
  <c r="AX173" i="26"/>
  <c r="AW173" i="26"/>
  <c r="AU173" i="26"/>
  <c r="AT173" i="26"/>
  <c r="BA172" i="26"/>
  <c r="AZ172" i="26"/>
  <c r="AX172" i="26"/>
  <c r="AW172" i="26"/>
  <c r="AU172" i="26"/>
  <c r="AT172" i="26"/>
  <c r="BA171" i="26"/>
  <c r="AZ171" i="26"/>
  <c r="AX171" i="26"/>
  <c r="AW171" i="26"/>
  <c r="AU171" i="26"/>
  <c r="AT171" i="26"/>
  <c r="BA170" i="26"/>
  <c r="AZ170" i="26"/>
  <c r="AX170" i="26"/>
  <c r="AW170" i="26"/>
  <c r="AU170" i="26"/>
  <c r="AT170" i="26"/>
  <c r="BA169" i="26"/>
  <c r="AZ169" i="26"/>
  <c r="AX169" i="26"/>
  <c r="AW169" i="26"/>
  <c r="AU169" i="26"/>
  <c r="AT169" i="26"/>
  <c r="BA168" i="26"/>
  <c r="AZ168" i="26"/>
  <c r="AX168" i="26"/>
  <c r="AW168" i="26"/>
  <c r="AU168" i="26"/>
  <c r="AT168" i="26"/>
  <c r="BA167" i="26"/>
  <c r="AZ167" i="26"/>
  <c r="AX167" i="26"/>
  <c r="AW167" i="26"/>
  <c r="AU167" i="26"/>
  <c r="AT167" i="26"/>
  <c r="BA166" i="26"/>
  <c r="AZ166" i="26"/>
  <c r="BE166" i="26" s="1"/>
  <c r="AX166" i="26"/>
  <c r="AW166" i="26"/>
  <c r="AU166" i="26"/>
  <c r="AT166" i="26"/>
  <c r="BA165" i="26"/>
  <c r="AZ165" i="26"/>
  <c r="AX165" i="26"/>
  <c r="AW165" i="26"/>
  <c r="AU165" i="26"/>
  <c r="AT165" i="26"/>
  <c r="BA164" i="26"/>
  <c r="AZ164" i="26"/>
  <c r="AX164" i="26"/>
  <c r="AW164" i="26"/>
  <c r="AU164" i="26"/>
  <c r="AT164" i="26"/>
  <c r="BA163" i="26"/>
  <c r="AZ163" i="26"/>
  <c r="AX163" i="26"/>
  <c r="AW163" i="26"/>
  <c r="AU163" i="26"/>
  <c r="AT163" i="26"/>
  <c r="BA162" i="26"/>
  <c r="AZ162" i="26"/>
  <c r="AX162" i="26"/>
  <c r="AW162" i="26"/>
  <c r="AU162" i="26"/>
  <c r="AT162" i="26"/>
  <c r="BA161" i="26"/>
  <c r="AZ161" i="26"/>
  <c r="AX161" i="26"/>
  <c r="AW161" i="26"/>
  <c r="AU161" i="26"/>
  <c r="AT161" i="26"/>
  <c r="BA160" i="26"/>
  <c r="AZ160" i="26"/>
  <c r="AX160" i="26"/>
  <c r="AW160" i="26"/>
  <c r="AU160" i="26"/>
  <c r="AT160" i="26"/>
  <c r="BA159" i="26"/>
  <c r="AZ159" i="26"/>
  <c r="AX159" i="26"/>
  <c r="AW159" i="26"/>
  <c r="AU159" i="26"/>
  <c r="AT159" i="26"/>
  <c r="BA158" i="26"/>
  <c r="AZ158" i="26"/>
  <c r="AX158" i="26"/>
  <c r="AW158" i="26"/>
  <c r="AU158" i="26"/>
  <c r="AT158" i="26"/>
  <c r="BA157" i="26"/>
  <c r="AZ157" i="26"/>
  <c r="AX157" i="26"/>
  <c r="AW157" i="26"/>
  <c r="AU157" i="26"/>
  <c r="AT157" i="26"/>
  <c r="BA156" i="26"/>
  <c r="AZ156" i="26"/>
  <c r="AX156" i="26"/>
  <c r="AW156" i="26"/>
  <c r="AU156" i="26"/>
  <c r="AT156" i="26"/>
  <c r="BA155" i="26"/>
  <c r="AZ155" i="26"/>
  <c r="AX155" i="26"/>
  <c r="AW155" i="26"/>
  <c r="AU155" i="26"/>
  <c r="AT155" i="26"/>
  <c r="BA154" i="26"/>
  <c r="AZ154" i="26"/>
  <c r="AX154" i="26"/>
  <c r="AW154" i="26"/>
  <c r="AU154" i="26"/>
  <c r="AT154" i="26"/>
  <c r="BA153" i="26"/>
  <c r="AZ153" i="26"/>
  <c r="AX153" i="26"/>
  <c r="AW153" i="26"/>
  <c r="AU153" i="26"/>
  <c r="AT153" i="26"/>
  <c r="BA152" i="26"/>
  <c r="AZ152" i="26"/>
  <c r="AX152" i="26"/>
  <c r="AW152" i="26"/>
  <c r="AU152" i="26"/>
  <c r="AT152" i="26"/>
  <c r="BA151" i="26"/>
  <c r="AZ151" i="26"/>
  <c r="AX151" i="26"/>
  <c r="AW151" i="26"/>
  <c r="AU151" i="26"/>
  <c r="AT151" i="26"/>
  <c r="BA150" i="26"/>
  <c r="AZ150" i="26"/>
  <c r="AX150" i="26"/>
  <c r="AW150" i="26"/>
  <c r="AU150" i="26"/>
  <c r="AT150" i="26"/>
  <c r="BA149" i="26"/>
  <c r="AZ149" i="26"/>
  <c r="AX149" i="26"/>
  <c r="AW149" i="26"/>
  <c r="AU149" i="26"/>
  <c r="AT149" i="26"/>
  <c r="BA148" i="26"/>
  <c r="AZ148" i="26"/>
  <c r="AX148" i="26"/>
  <c r="AW148" i="26"/>
  <c r="AU148" i="26"/>
  <c r="AT148" i="26"/>
  <c r="BA147" i="26"/>
  <c r="AZ147" i="26"/>
  <c r="AX147" i="26"/>
  <c r="AW147" i="26"/>
  <c r="AU147" i="26"/>
  <c r="AT147" i="26"/>
  <c r="BA146" i="26"/>
  <c r="AZ146" i="26"/>
  <c r="AX146" i="26"/>
  <c r="AW146" i="26"/>
  <c r="AU146" i="26"/>
  <c r="AT146" i="26"/>
  <c r="BA145" i="26"/>
  <c r="AZ145" i="26"/>
  <c r="AX145" i="26"/>
  <c r="AW145" i="26"/>
  <c r="AU145" i="26"/>
  <c r="AT145" i="26"/>
  <c r="BA144" i="26"/>
  <c r="AZ144" i="26"/>
  <c r="AX144" i="26"/>
  <c r="AW144" i="26"/>
  <c r="AU144" i="26"/>
  <c r="AT144" i="26"/>
  <c r="BA143" i="26"/>
  <c r="AZ143" i="26"/>
  <c r="AX143" i="26"/>
  <c r="AW143" i="26"/>
  <c r="AU143" i="26"/>
  <c r="AT143" i="26"/>
  <c r="BA142" i="26"/>
  <c r="AZ142" i="26"/>
  <c r="AX142" i="26"/>
  <c r="AW142" i="26"/>
  <c r="AU142" i="26"/>
  <c r="AT142" i="26"/>
  <c r="BA141" i="26"/>
  <c r="AZ141" i="26"/>
  <c r="AX141" i="26"/>
  <c r="AW141" i="26"/>
  <c r="AU141" i="26"/>
  <c r="AT141" i="26"/>
  <c r="BA140" i="26"/>
  <c r="AZ140" i="26"/>
  <c r="AX140" i="26"/>
  <c r="AW140" i="26"/>
  <c r="AU140" i="26"/>
  <c r="AT140" i="26"/>
  <c r="BA139" i="26"/>
  <c r="AZ139" i="26"/>
  <c r="AX139" i="26"/>
  <c r="AW139" i="26"/>
  <c r="AU139" i="26"/>
  <c r="AT139" i="26"/>
  <c r="BA138" i="26"/>
  <c r="AZ138" i="26"/>
  <c r="AX138" i="26"/>
  <c r="AW138" i="26"/>
  <c r="AU138" i="26"/>
  <c r="AT138" i="26"/>
  <c r="BA137" i="26"/>
  <c r="AZ137" i="26"/>
  <c r="AX137" i="26"/>
  <c r="AW137" i="26"/>
  <c r="AU137" i="26"/>
  <c r="AT137" i="26"/>
  <c r="BA136" i="26"/>
  <c r="AZ136" i="26"/>
  <c r="AX136" i="26"/>
  <c r="AW136" i="26"/>
  <c r="AU136" i="26"/>
  <c r="AT136" i="26"/>
  <c r="BA135" i="26"/>
  <c r="AZ135" i="26"/>
  <c r="AX135" i="26"/>
  <c r="AW135" i="26"/>
  <c r="AU135" i="26"/>
  <c r="AT135" i="26"/>
  <c r="BA134" i="26"/>
  <c r="AZ134" i="26"/>
  <c r="AX134" i="26"/>
  <c r="AW134" i="26"/>
  <c r="AU134" i="26"/>
  <c r="AT134" i="26"/>
  <c r="BA133" i="26"/>
  <c r="AZ133" i="26"/>
  <c r="AX133" i="26"/>
  <c r="AW133" i="26"/>
  <c r="AU133" i="26"/>
  <c r="AT133" i="26"/>
  <c r="BA132" i="26"/>
  <c r="AZ132" i="26"/>
  <c r="AX132" i="26"/>
  <c r="AW132" i="26"/>
  <c r="AU132" i="26"/>
  <c r="AT132" i="26"/>
  <c r="BA131" i="26"/>
  <c r="AZ131" i="26"/>
  <c r="AX131" i="26"/>
  <c r="AW131" i="26"/>
  <c r="AU131" i="26"/>
  <c r="AT131" i="26"/>
  <c r="BA130" i="26"/>
  <c r="AZ130" i="26"/>
  <c r="AX130" i="26"/>
  <c r="AW130" i="26"/>
  <c r="AU130" i="26"/>
  <c r="AT130" i="26"/>
  <c r="BA129" i="26"/>
  <c r="AZ129" i="26"/>
  <c r="AX129" i="26"/>
  <c r="AW129" i="26"/>
  <c r="AU129" i="26"/>
  <c r="AT129" i="26"/>
  <c r="BA128" i="26"/>
  <c r="AZ128" i="26"/>
  <c r="AX128" i="26"/>
  <c r="AW128" i="26"/>
  <c r="AU128" i="26"/>
  <c r="AT128" i="26"/>
  <c r="BA127" i="26"/>
  <c r="AZ127" i="26"/>
  <c r="AX127" i="26"/>
  <c r="AW127" i="26"/>
  <c r="AU127" i="26"/>
  <c r="AT127" i="26"/>
  <c r="BA126" i="26"/>
  <c r="AZ126" i="26"/>
  <c r="AX126" i="26"/>
  <c r="AW126" i="26"/>
  <c r="AU126" i="26"/>
  <c r="AT126" i="26"/>
  <c r="BA125" i="26"/>
  <c r="AZ125" i="26"/>
  <c r="AX125" i="26"/>
  <c r="AW125" i="26"/>
  <c r="AU125" i="26"/>
  <c r="AT125" i="26"/>
  <c r="BA124" i="26"/>
  <c r="AZ124" i="26"/>
  <c r="AX124" i="26"/>
  <c r="AW124" i="26"/>
  <c r="AU124" i="26"/>
  <c r="AT124" i="26"/>
  <c r="BA123" i="26"/>
  <c r="AZ123" i="26"/>
  <c r="AX123" i="26"/>
  <c r="AW123" i="26"/>
  <c r="AU123" i="26"/>
  <c r="AT123" i="26"/>
  <c r="BA122" i="26"/>
  <c r="AZ122" i="26"/>
  <c r="AX122" i="26"/>
  <c r="AW122" i="26"/>
  <c r="AU122" i="26"/>
  <c r="AT122" i="26"/>
  <c r="BA121" i="26"/>
  <c r="AZ121" i="26"/>
  <c r="AX121" i="26"/>
  <c r="AW121" i="26"/>
  <c r="AU121" i="26"/>
  <c r="AT121" i="26"/>
  <c r="BA120" i="26"/>
  <c r="AZ120" i="26"/>
  <c r="AX120" i="26"/>
  <c r="AW120" i="26"/>
  <c r="AU120" i="26"/>
  <c r="AT120" i="26"/>
  <c r="BA119" i="26"/>
  <c r="AZ119" i="26"/>
  <c r="AX119" i="26"/>
  <c r="AW119" i="26"/>
  <c r="AU119" i="26"/>
  <c r="AT119" i="26"/>
  <c r="BA118" i="26"/>
  <c r="AZ118" i="26"/>
  <c r="AX118" i="26"/>
  <c r="AW118" i="26"/>
  <c r="AU118" i="26"/>
  <c r="AT118" i="26"/>
  <c r="BA117" i="26"/>
  <c r="AZ117" i="26"/>
  <c r="AX117" i="26"/>
  <c r="AW117" i="26"/>
  <c r="AU117" i="26"/>
  <c r="AT117" i="26"/>
  <c r="BA116" i="26"/>
  <c r="AZ116" i="26"/>
  <c r="AX116" i="26"/>
  <c r="AW116" i="26"/>
  <c r="AU116" i="26"/>
  <c r="AT116" i="26"/>
  <c r="BA115" i="26"/>
  <c r="AZ115" i="26"/>
  <c r="AX115" i="26"/>
  <c r="AW115" i="26"/>
  <c r="AU115" i="26"/>
  <c r="AT115" i="26"/>
  <c r="BA114" i="26"/>
  <c r="AZ114" i="26"/>
  <c r="AX114" i="26"/>
  <c r="AW114" i="26"/>
  <c r="AU114" i="26"/>
  <c r="AT114" i="26"/>
  <c r="BA113" i="26"/>
  <c r="AZ113" i="26"/>
  <c r="AX113" i="26"/>
  <c r="AW113" i="26"/>
  <c r="AU113" i="26"/>
  <c r="AT113" i="26"/>
  <c r="BA112" i="26"/>
  <c r="AZ112" i="26"/>
  <c r="AX112" i="26"/>
  <c r="AW112" i="26"/>
  <c r="AU112" i="26"/>
  <c r="AT112" i="26"/>
  <c r="BA111" i="26"/>
  <c r="AZ111" i="26"/>
  <c r="AX111" i="26"/>
  <c r="AW111" i="26"/>
  <c r="AU111" i="26"/>
  <c r="AT111" i="26"/>
  <c r="BA110" i="26"/>
  <c r="AZ110" i="26"/>
  <c r="AX110" i="26"/>
  <c r="AW110" i="26"/>
  <c r="AU110" i="26"/>
  <c r="AT110" i="26"/>
  <c r="BA109" i="26"/>
  <c r="AZ109" i="26"/>
  <c r="AX109" i="26"/>
  <c r="AW109" i="26"/>
  <c r="AU109" i="26"/>
  <c r="AT109" i="26"/>
  <c r="BA108" i="26"/>
  <c r="AZ108" i="26"/>
  <c r="AX108" i="26"/>
  <c r="AW108" i="26"/>
  <c r="AU108" i="26"/>
  <c r="AT108" i="26"/>
  <c r="BA107" i="26"/>
  <c r="AZ107" i="26"/>
  <c r="AX107" i="26"/>
  <c r="AW107" i="26"/>
  <c r="AU107" i="26"/>
  <c r="AT107" i="26"/>
  <c r="BA106" i="26"/>
  <c r="AZ106" i="26"/>
  <c r="AX106" i="26"/>
  <c r="AW106" i="26"/>
  <c r="AU106" i="26"/>
  <c r="AT106" i="26"/>
  <c r="BA105" i="26"/>
  <c r="AZ105" i="26"/>
  <c r="AX105" i="26"/>
  <c r="AW105" i="26"/>
  <c r="AU105" i="26"/>
  <c r="AT105" i="26"/>
  <c r="BA104" i="26"/>
  <c r="AZ104" i="26"/>
  <c r="AX104" i="26"/>
  <c r="AW104" i="26"/>
  <c r="AU104" i="26"/>
  <c r="AT104" i="26"/>
  <c r="BA103" i="26"/>
  <c r="AZ103" i="26"/>
  <c r="AX103" i="26"/>
  <c r="AW103" i="26"/>
  <c r="AU103" i="26"/>
  <c r="AT103" i="26"/>
  <c r="BA102" i="26"/>
  <c r="AZ102" i="26"/>
  <c r="AX102" i="26"/>
  <c r="AW102" i="26"/>
  <c r="AU102" i="26"/>
  <c r="AT102" i="26"/>
  <c r="BA101" i="26"/>
  <c r="AZ101" i="26"/>
  <c r="AX101" i="26"/>
  <c r="AW101" i="26"/>
  <c r="AU101" i="26"/>
  <c r="AT101" i="26"/>
  <c r="BA100" i="26"/>
  <c r="AZ100" i="26"/>
  <c r="AX100" i="26"/>
  <c r="AW100" i="26"/>
  <c r="AU100" i="26"/>
  <c r="AT100" i="26"/>
  <c r="BA99" i="26"/>
  <c r="AZ99" i="26"/>
  <c r="AX99" i="26"/>
  <c r="AW99" i="26"/>
  <c r="AU99" i="26"/>
  <c r="AT99" i="26"/>
  <c r="BA98" i="26"/>
  <c r="AZ98" i="26"/>
  <c r="AX98" i="26"/>
  <c r="AW98" i="26"/>
  <c r="AU98" i="26"/>
  <c r="AT98" i="26"/>
  <c r="BA97" i="26"/>
  <c r="AZ97" i="26"/>
  <c r="AX97" i="26"/>
  <c r="AW97" i="26"/>
  <c r="AU97" i="26"/>
  <c r="AT97" i="26"/>
  <c r="BA96" i="26"/>
  <c r="AZ96" i="26"/>
  <c r="AX96" i="26"/>
  <c r="AW96" i="26"/>
  <c r="AU96" i="26"/>
  <c r="AT96" i="26"/>
  <c r="BA95" i="26"/>
  <c r="AZ95" i="26"/>
  <c r="AX95" i="26"/>
  <c r="AW95" i="26"/>
  <c r="AU95" i="26"/>
  <c r="AT95" i="26"/>
  <c r="BA94" i="26"/>
  <c r="AZ94" i="26"/>
  <c r="BE94" i="26" s="1"/>
  <c r="AX94" i="26"/>
  <c r="AW94" i="26"/>
  <c r="AU94" i="26"/>
  <c r="AT94" i="26"/>
  <c r="BA93" i="26"/>
  <c r="AZ93" i="26"/>
  <c r="AX93" i="26"/>
  <c r="AW93" i="26"/>
  <c r="AU93" i="26"/>
  <c r="AT93" i="26"/>
  <c r="BA92" i="26"/>
  <c r="AZ92" i="26"/>
  <c r="AX92" i="26"/>
  <c r="AW92" i="26"/>
  <c r="AU92" i="26"/>
  <c r="AT92" i="26"/>
  <c r="BA91" i="26"/>
  <c r="AZ91" i="26"/>
  <c r="AX91" i="26"/>
  <c r="AW91" i="26"/>
  <c r="AU91" i="26"/>
  <c r="AT91" i="26"/>
  <c r="BA90" i="26"/>
  <c r="AZ90" i="26"/>
  <c r="AX90" i="26"/>
  <c r="AW90" i="26"/>
  <c r="AU90" i="26"/>
  <c r="AT90" i="26"/>
  <c r="BA89" i="26"/>
  <c r="AZ89" i="26"/>
  <c r="AX89" i="26"/>
  <c r="AW89" i="26"/>
  <c r="AU89" i="26"/>
  <c r="AT89" i="26"/>
  <c r="BA88" i="26"/>
  <c r="AZ88" i="26"/>
  <c r="AX88" i="26"/>
  <c r="AW88" i="26"/>
  <c r="AU88" i="26"/>
  <c r="AT88" i="26"/>
  <c r="BA87" i="26"/>
  <c r="AZ87" i="26"/>
  <c r="AX87" i="26"/>
  <c r="AW87" i="26"/>
  <c r="AU87" i="26"/>
  <c r="AT87" i="26"/>
  <c r="BA86" i="26"/>
  <c r="AZ86" i="26"/>
  <c r="AX86" i="26"/>
  <c r="AW86" i="26"/>
  <c r="AU86" i="26"/>
  <c r="AT86" i="26"/>
  <c r="BA85" i="26"/>
  <c r="AZ85" i="26"/>
  <c r="AX85" i="26"/>
  <c r="AW85" i="26"/>
  <c r="AU85" i="26"/>
  <c r="AT85" i="26"/>
  <c r="BA84" i="26"/>
  <c r="AZ84" i="26"/>
  <c r="AX84" i="26"/>
  <c r="AW84" i="26"/>
  <c r="AU84" i="26"/>
  <c r="AT84" i="26"/>
  <c r="BA83" i="26"/>
  <c r="AZ83" i="26"/>
  <c r="AX83" i="26"/>
  <c r="AW83" i="26"/>
  <c r="AU83" i="26"/>
  <c r="AT83" i="26"/>
  <c r="BA82" i="26"/>
  <c r="AZ82" i="26"/>
  <c r="AX82" i="26"/>
  <c r="AW82" i="26"/>
  <c r="AU82" i="26"/>
  <c r="AT82" i="26"/>
  <c r="BA81" i="26"/>
  <c r="AZ81" i="26"/>
  <c r="AX81" i="26"/>
  <c r="AW81" i="26"/>
  <c r="AU81" i="26"/>
  <c r="AT81" i="26"/>
  <c r="BA80" i="26"/>
  <c r="AZ80" i="26"/>
  <c r="AX80" i="26"/>
  <c r="AW80" i="26"/>
  <c r="AU80" i="26"/>
  <c r="AT80" i="26"/>
  <c r="BA79" i="26"/>
  <c r="AZ79" i="26"/>
  <c r="AX79" i="26"/>
  <c r="AW79" i="26"/>
  <c r="AU79" i="26"/>
  <c r="AT79" i="26"/>
  <c r="BA78" i="26"/>
  <c r="AZ78" i="26"/>
  <c r="AX78" i="26"/>
  <c r="AW78" i="26"/>
  <c r="AU78" i="26"/>
  <c r="AT78" i="26"/>
  <c r="BA77" i="26"/>
  <c r="AZ77" i="26"/>
  <c r="AX77" i="26"/>
  <c r="AW77" i="26"/>
  <c r="AU77" i="26"/>
  <c r="AT77" i="26"/>
  <c r="BA76" i="26"/>
  <c r="AZ76" i="26"/>
  <c r="AX76" i="26"/>
  <c r="AW76" i="26"/>
  <c r="AU76" i="26"/>
  <c r="AT76" i="26"/>
  <c r="BA75" i="26"/>
  <c r="AZ75" i="26"/>
  <c r="AX75" i="26"/>
  <c r="AW75" i="26"/>
  <c r="AU75" i="26"/>
  <c r="AT75" i="26"/>
  <c r="BA74" i="26"/>
  <c r="AZ74" i="26"/>
  <c r="AX74" i="26"/>
  <c r="AW74" i="26"/>
  <c r="AU74" i="26"/>
  <c r="AT74" i="26"/>
  <c r="BA73" i="26"/>
  <c r="AZ73" i="26"/>
  <c r="AX73" i="26"/>
  <c r="AW73" i="26"/>
  <c r="AU73" i="26"/>
  <c r="AT73" i="26"/>
  <c r="BA72" i="26"/>
  <c r="AZ72" i="26"/>
  <c r="AX72" i="26"/>
  <c r="AW72" i="26"/>
  <c r="AU72" i="26"/>
  <c r="AT72" i="26"/>
  <c r="BA71" i="26"/>
  <c r="AZ71" i="26"/>
  <c r="AX71" i="26"/>
  <c r="AW71" i="26"/>
  <c r="AU71" i="26"/>
  <c r="AT71" i="26"/>
  <c r="BA70" i="26"/>
  <c r="AZ70" i="26"/>
  <c r="BE70" i="26" s="1"/>
  <c r="AX70" i="26"/>
  <c r="AW70" i="26"/>
  <c r="AU70" i="26"/>
  <c r="AT70" i="26"/>
  <c r="BA69" i="26"/>
  <c r="AZ69" i="26"/>
  <c r="AX69" i="26"/>
  <c r="AW69" i="26"/>
  <c r="AU69" i="26"/>
  <c r="AT69" i="26"/>
  <c r="BA68" i="26"/>
  <c r="AZ68" i="26"/>
  <c r="AX68" i="26"/>
  <c r="AW68" i="26"/>
  <c r="AU68" i="26"/>
  <c r="AT68" i="26"/>
  <c r="BA67" i="26"/>
  <c r="AZ67" i="26"/>
  <c r="AX67" i="26"/>
  <c r="AW67" i="26"/>
  <c r="AU67" i="26"/>
  <c r="AT67" i="26"/>
  <c r="BA66" i="26"/>
  <c r="AZ66" i="26"/>
  <c r="AX66" i="26"/>
  <c r="AW66" i="26"/>
  <c r="AU66" i="26"/>
  <c r="AT66" i="26"/>
  <c r="BA65" i="26"/>
  <c r="AZ65" i="26"/>
  <c r="AX65" i="26"/>
  <c r="AW65" i="26"/>
  <c r="AU65" i="26"/>
  <c r="AT65" i="26"/>
  <c r="BA64" i="26"/>
  <c r="AZ64" i="26"/>
  <c r="AX64" i="26"/>
  <c r="AW64" i="26"/>
  <c r="AU64" i="26"/>
  <c r="AT64" i="26"/>
  <c r="BA63" i="26"/>
  <c r="AZ63" i="26"/>
  <c r="AX63" i="26"/>
  <c r="AW63" i="26"/>
  <c r="AU63" i="26"/>
  <c r="AT63" i="26"/>
  <c r="BA62" i="26"/>
  <c r="AZ62" i="26"/>
  <c r="AX62" i="26"/>
  <c r="AW62" i="26"/>
  <c r="AU62" i="26"/>
  <c r="AT62" i="26"/>
  <c r="BA61" i="26"/>
  <c r="AZ61" i="26"/>
  <c r="AX61" i="26"/>
  <c r="AW61" i="26"/>
  <c r="AU61" i="26"/>
  <c r="AT61" i="26"/>
  <c r="BA60" i="26"/>
  <c r="AZ60" i="26"/>
  <c r="AX60" i="26"/>
  <c r="AW60" i="26"/>
  <c r="AU60" i="26"/>
  <c r="AT60" i="26"/>
  <c r="BA59" i="26"/>
  <c r="AZ59" i="26"/>
  <c r="AX59" i="26"/>
  <c r="AW59" i="26"/>
  <c r="AU59" i="26"/>
  <c r="AT59" i="26"/>
  <c r="BB58" i="26"/>
  <c r="BA58" i="26"/>
  <c r="AZ58" i="26"/>
  <c r="AX58" i="26"/>
  <c r="AW58" i="26"/>
  <c r="AU58" i="26"/>
  <c r="AT58" i="26"/>
  <c r="BA57" i="26"/>
  <c r="AZ57" i="26"/>
  <c r="AX57" i="26"/>
  <c r="AW57" i="26"/>
  <c r="AU57" i="26"/>
  <c r="AT57" i="26"/>
  <c r="BA56" i="26"/>
  <c r="AZ56" i="26"/>
  <c r="AX56" i="26"/>
  <c r="AW56" i="26"/>
  <c r="AU56" i="26"/>
  <c r="AT56" i="26"/>
  <c r="BA55" i="26"/>
  <c r="AZ55" i="26"/>
  <c r="AX55" i="26"/>
  <c r="AW55" i="26"/>
  <c r="AU55" i="26"/>
  <c r="AT55" i="26"/>
  <c r="BA54" i="26"/>
  <c r="AZ54" i="26"/>
  <c r="AX54" i="26"/>
  <c r="AW54" i="26"/>
  <c r="AU54" i="26"/>
  <c r="AT54" i="26"/>
  <c r="BA53" i="26"/>
  <c r="AZ53" i="26"/>
  <c r="AX53" i="26"/>
  <c r="AW53" i="26"/>
  <c r="AU53" i="26"/>
  <c r="AT53" i="26"/>
  <c r="BA52" i="26"/>
  <c r="AZ52" i="26"/>
  <c r="AX52" i="26"/>
  <c r="AW52" i="26"/>
  <c r="AU52" i="26"/>
  <c r="AT52" i="26"/>
  <c r="BA51" i="26"/>
  <c r="AZ51" i="26"/>
  <c r="AX51" i="26"/>
  <c r="AW51" i="26"/>
  <c r="AU51" i="26"/>
  <c r="AT51" i="26"/>
  <c r="BA50" i="26"/>
  <c r="AZ50" i="26"/>
  <c r="AX50" i="26"/>
  <c r="AW50" i="26"/>
  <c r="AU50" i="26"/>
  <c r="AT50" i="26"/>
  <c r="BA49" i="26"/>
  <c r="AZ49" i="26"/>
  <c r="AX49" i="26"/>
  <c r="AW49" i="26"/>
  <c r="AU49" i="26"/>
  <c r="AT49" i="26"/>
  <c r="BA48" i="26"/>
  <c r="AZ48" i="26"/>
  <c r="AX48" i="26"/>
  <c r="AW48" i="26"/>
  <c r="AU48" i="26"/>
  <c r="AT48" i="26"/>
  <c r="BA47" i="26"/>
  <c r="AZ47" i="26"/>
  <c r="AX47" i="26"/>
  <c r="AW47" i="26"/>
  <c r="AU47" i="26"/>
  <c r="AT47" i="26"/>
  <c r="BA46" i="26"/>
  <c r="AZ46" i="26"/>
  <c r="AX46" i="26"/>
  <c r="AW46" i="26"/>
  <c r="AU46" i="26"/>
  <c r="AT46" i="26"/>
  <c r="BA45" i="26"/>
  <c r="AZ45" i="26"/>
  <c r="AX45" i="26"/>
  <c r="AW45" i="26"/>
  <c r="AU45" i="26"/>
  <c r="AT45" i="26"/>
  <c r="BA44" i="26"/>
  <c r="AZ44" i="26"/>
  <c r="AX44" i="26"/>
  <c r="AW44" i="26"/>
  <c r="AU44" i="26"/>
  <c r="AT44" i="26"/>
  <c r="BA43" i="26"/>
  <c r="AZ43" i="26"/>
  <c r="AX43" i="26"/>
  <c r="AW43" i="26"/>
  <c r="AU43" i="26"/>
  <c r="AT43" i="26"/>
  <c r="BA42" i="26"/>
  <c r="AZ42" i="26"/>
  <c r="BE42" i="26" s="1"/>
  <c r="AX42" i="26"/>
  <c r="AW42" i="26"/>
  <c r="AU42" i="26"/>
  <c r="AT42" i="26"/>
  <c r="BA41" i="26"/>
  <c r="AZ41" i="26"/>
  <c r="AX41" i="26"/>
  <c r="AW41" i="26"/>
  <c r="AU41" i="26"/>
  <c r="AT41" i="26"/>
  <c r="BA40" i="26"/>
  <c r="AZ40" i="26"/>
  <c r="AX40" i="26"/>
  <c r="AW40" i="26"/>
  <c r="AU40" i="26"/>
  <c r="AT40" i="26"/>
  <c r="BA39" i="26"/>
  <c r="AZ39" i="26"/>
  <c r="AX39" i="26"/>
  <c r="AW39" i="26"/>
  <c r="AU39" i="26"/>
  <c r="AT39" i="26"/>
  <c r="BA38" i="26"/>
  <c r="AZ38" i="26"/>
  <c r="AX38" i="26"/>
  <c r="AW38" i="26"/>
  <c r="AU38" i="26"/>
  <c r="AT38" i="26"/>
  <c r="BA37" i="26"/>
  <c r="AZ37" i="26"/>
  <c r="AX37" i="26"/>
  <c r="AW37" i="26"/>
  <c r="AU37" i="26"/>
  <c r="AT37" i="26"/>
  <c r="BB36" i="26"/>
  <c r="BA36" i="26"/>
  <c r="AZ36" i="26"/>
  <c r="AX36" i="26"/>
  <c r="AW36" i="26"/>
  <c r="AU36" i="26"/>
  <c r="AT36" i="26"/>
  <c r="BA35" i="26"/>
  <c r="AZ35" i="26"/>
  <c r="AX35" i="26"/>
  <c r="AW35" i="26"/>
  <c r="AU35" i="26"/>
  <c r="AT35" i="26"/>
  <c r="BA34" i="26"/>
  <c r="AZ34" i="26"/>
  <c r="AX34" i="26"/>
  <c r="AW34" i="26"/>
  <c r="AU34" i="26"/>
  <c r="AT34" i="26"/>
  <c r="BA33" i="26"/>
  <c r="AZ33" i="26"/>
  <c r="AX33" i="26"/>
  <c r="AW33" i="26"/>
  <c r="AU33" i="26"/>
  <c r="AT33" i="26"/>
  <c r="BA32" i="26"/>
  <c r="AZ32" i="26"/>
  <c r="AX32" i="26"/>
  <c r="AW32" i="26"/>
  <c r="AU32" i="26"/>
  <c r="AT32" i="26"/>
  <c r="BA31" i="26"/>
  <c r="AZ31" i="26"/>
  <c r="AX31" i="26"/>
  <c r="AW31" i="26"/>
  <c r="AU31" i="26"/>
  <c r="AT31" i="26"/>
  <c r="BA30" i="26"/>
  <c r="AZ30" i="26"/>
  <c r="AX30" i="26"/>
  <c r="AW30" i="26"/>
  <c r="AU30" i="26"/>
  <c r="AT30" i="26"/>
  <c r="BA29" i="26"/>
  <c r="AZ29" i="26"/>
  <c r="AX29" i="26"/>
  <c r="AW29" i="26"/>
  <c r="AU29" i="26"/>
  <c r="AT29" i="26"/>
  <c r="BA28" i="26"/>
  <c r="AZ28" i="26"/>
  <c r="AX28" i="26"/>
  <c r="AW28" i="26"/>
  <c r="AU28" i="26"/>
  <c r="AT28" i="26"/>
  <c r="BA27" i="26"/>
  <c r="AZ27" i="26"/>
  <c r="AX27" i="26"/>
  <c r="AW27" i="26"/>
  <c r="AU27" i="26"/>
  <c r="AT27" i="26"/>
  <c r="BA26" i="26"/>
  <c r="AZ26" i="26"/>
  <c r="AX26" i="26"/>
  <c r="AW26" i="26"/>
  <c r="AU26" i="26"/>
  <c r="AT26" i="26"/>
  <c r="BA25" i="26"/>
  <c r="AZ25" i="26"/>
  <c r="AX25" i="26"/>
  <c r="AW25" i="26"/>
  <c r="AU25" i="26"/>
  <c r="AT25" i="26"/>
  <c r="BA24" i="26"/>
  <c r="AZ24" i="26"/>
  <c r="AX24" i="26"/>
  <c r="AW24" i="26"/>
  <c r="AU24" i="26"/>
  <c r="AT24" i="26"/>
  <c r="BA23" i="26"/>
  <c r="AZ23" i="26"/>
  <c r="AX23" i="26"/>
  <c r="AW23" i="26"/>
  <c r="AU23" i="26"/>
  <c r="AT23" i="26"/>
  <c r="BA22" i="26"/>
  <c r="AZ22" i="26"/>
  <c r="AX22" i="26"/>
  <c r="AW22" i="26"/>
  <c r="AU22" i="26"/>
  <c r="AT22" i="26"/>
  <c r="BA21" i="26"/>
  <c r="AZ21" i="26"/>
  <c r="AX21" i="26"/>
  <c r="AW21" i="26"/>
  <c r="AU21" i="26"/>
  <c r="AT21" i="26"/>
  <c r="BA20" i="26"/>
  <c r="AZ20" i="26"/>
  <c r="AX20" i="26"/>
  <c r="AW20" i="26"/>
  <c r="AU20" i="26"/>
  <c r="AT20" i="26"/>
  <c r="BA19" i="26"/>
  <c r="AZ19" i="26"/>
  <c r="AX19" i="26"/>
  <c r="AW19" i="26"/>
  <c r="AU19" i="26"/>
  <c r="AT19" i="26"/>
  <c r="BA18" i="26"/>
  <c r="AZ18" i="26"/>
  <c r="AX18" i="26"/>
  <c r="AW18" i="26"/>
  <c r="AU18" i="26"/>
  <c r="AT18" i="26"/>
  <c r="BA17" i="26"/>
  <c r="AZ17" i="26"/>
  <c r="AX17" i="26"/>
  <c r="AW17" i="26"/>
  <c r="AU17" i="26"/>
  <c r="AT17" i="26"/>
  <c r="BA16" i="26"/>
  <c r="AZ16" i="26"/>
  <c r="AX16" i="26"/>
  <c r="AW16" i="26"/>
  <c r="AU16" i="26"/>
  <c r="AT16" i="26"/>
  <c r="BA15" i="26"/>
  <c r="AZ15" i="26"/>
  <c r="AX15" i="26"/>
  <c r="AW15" i="26"/>
  <c r="AU15" i="26"/>
  <c r="AT15" i="26"/>
  <c r="BA14" i="26"/>
  <c r="AZ14" i="26"/>
  <c r="AX14" i="26"/>
  <c r="AW14" i="26"/>
  <c r="AU14" i="26"/>
  <c r="AT14" i="26"/>
  <c r="BA13" i="26"/>
  <c r="AZ13" i="26"/>
  <c r="AX13" i="26"/>
  <c r="AW13" i="26"/>
  <c r="AU13" i="26"/>
  <c r="AT13" i="26"/>
  <c r="BA12" i="26"/>
  <c r="AZ12" i="26"/>
  <c r="AX12" i="26"/>
  <c r="AW12" i="26"/>
  <c r="AU12" i="26"/>
  <c r="AT12" i="26"/>
  <c r="BA11" i="26"/>
  <c r="AZ11" i="26"/>
  <c r="AX11" i="26"/>
  <c r="AW11" i="26"/>
  <c r="AU11" i="26"/>
  <c r="AT11" i="26"/>
  <c r="BA10" i="26"/>
  <c r="AZ10" i="26"/>
  <c r="AX10" i="26"/>
  <c r="AW10" i="26"/>
  <c r="AU10" i="26"/>
  <c r="AT10" i="26"/>
  <c r="BA9" i="26"/>
  <c r="AZ9" i="26"/>
  <c r="AX9" i="26"/>
  <c r="AW9" i="26"/>
  <c r="AU9" i="26"/>
  <c r="AT9" i="26"/>
  <c r="BA8" i="26"/>
  <c r="AZ8" i="26"/>
  <c r="AX8" i="26"/>
  <c r="AW8" i="26"/>
  <c r="AU8" i="26"/>
  <c r="AT8" i="26"/>
  <c r="A793" i="26"/>
  <c r="B793" i="26"/>
  <c r="C793" i="26"/>
  <c r="D793" i="26"/>
  <c r="E793" i="26"/>
  <c r="F793" i="26"/>
  <c r="G793" i="26"/>
  <c r="H793" i="26"/>
  <c r="M793" i="26"/>
  <c r="A794" i="26"/>
  <c r="B794" i="26"/>
  <c r="C794" i="26"/>
  <c r="D794" i="26"/>
  <c r="E794" i="26"/>
  <c r="F794" i="26"/>
  <c r="G794" i="26"/>
  <c r="H794" i="26"/>
  <c r="M794" i="26"/>
  <c r="A795" i="26"/>
  <c r="B795" i="26"/>
  <c r="C795" i="26"/>
  <c r="D795" i="26"/>
  <c r="E795" i="26"/>
  <c r="F795" i="26"/>
  <c r="G795" i="26"/>
  <c r="H795" i="26"/>
  <c r="M795" i="26"/>
  <c r="A796" i="26"/>
  <c r="B796" i="26"/>
  <c r="C796" i="26"/>
  <c r="D796" i="26"/>
  <c r="E796" i="26"/>
  <c r="F796" i="26"/>
  <c r="G796" i="26"/>
  <c r="H796" i="26"/>
  <c r="M796" i="26"/>
  <c r="A775" i="26"/>
  <c r="B775" i="26"/>
  <c r="C775" i="26"/>
  <c r="D775" i="26"/>
  <c r="E775" i="26"/>
  <c r="F775" i="26"/>
  <c r="G775" i="26"/>
  <c r="H775" i="26"/>
  <c r="M775" i="26"/>
  <c r="A776" i="26"/>
  <c r="B776" i="26"/>
  <c r="C776" i="26"/>
  <c r="D776" i="26"/>
  <c r="E776" i="26"/>
  <c r="F776" i="26"/>
  <c r="G776" i="26"/>
  <c r="H776" i="26"/>
  <c r="M776" i="26"/>
  <c r="A777" i="26"/>
  <c r="B777" i="26"/>
  <c r="C777" i="26"/>
  <c r="D777" i="26"/>
  <c r="E777" i="26"/>
  <c r="F777" i="26"/>
  <c r="G777" i="26"/>
  <c r="H777" i="26"/>
  <c r="M777" i="26"/>
  <c r="A778" i="26"/>
  <c r="B778" i="26"/>
  <c r="C778" i="26"/>
  <c r="D778" i="26"/>
  <c r="E778" i="26"/>
  <c r="F778" i="26"/>
  <c r="G778" i="26"/>
  <c r="H778" i="26"/>
  <c r="M778" i="26"/>
  <c r="A779" i="26"/>
  <c r="B779" i="26"/>
  <c r="C779" i="26"/>
  <c r="D779" i="26"/>
  <c r="E779" i="26"/>
  <c r="F779" i="26"/>
  <c r="G779" i="26"/>
  <c r="H779" i="26"/>
  <c r="M779" i="26"/>
  <c r="A780" i="26"/>
  <c r="B780" i="26"/>
  <c r="C780" i="26"/>
  <c r="D780" i="26"/>
  <c r="E780" i="26"/>
  <c r="AK780" i="26" s="1"/>
  <c r="BU780" i="26" s="1"/>
  <c r="BV780" i="26" s="1"/>
  <c r="F780" i="26"/>
  <c r="G780" i="26"/>
  <c r="H780" i="26"/>
  <c r="M780" i="26"/>
  <c r="A781" i="26"/>
  <c r="B781" i="26"/>
  <c r="C781" i="26"/>
  <c r="D781" i="26"/>
  <c r="E781" i="26"/>
  <c r="F781" i="26"/>
  <c r="G781" i="26"/>
  <c r="H781" i="26"/>
  <c r="M781" i="26"/>
  <c r="A782" i="26"/>
  <c r="B782" i="26"/>
  <c r="C782" i="26"/>
  <c r="D782" i="26"/>
  <c r="E782" i="26"/>
  <c r="F782" i="26"/>
  <c r="G782" i="26"/>
  <c r="H782" i="26"/>
  <c r="M782" i="26"/>
  <c r="A783" i="26"/>
  <c r="B783" i="26"/>
  <c r="C783" i="26"/>
  <c r="D783" i="26"/>
  <c r="E783" i="26"/>
  <c r="F783" i="26"/>
  <c r="G783" i="26"/>
  <c r="H783" i="26"/>
  <c r="M783" i="26"/>
  <c r="A784" i="26"/>
  <c r="B784" i="26"/>
  <c r="C784" i="26"/>
  <c r="D784" i="26"/>
  <c r="E784" i="26"/>
  <c r="F784" i="26"/>
  <c r="G784" i="26"/>
  <c r="H784" i="26"/>
  <c r="M784" i="26"/>
  <c r="A785" i="26"/>
  <c r="B785" i="26"/>
  <c r="C785" i="26"/>
  <c r="D785" i="26"/>
  <c r="E785" i="26"/>
  <c r="F785" i="26"/>
  <c r="G785" i="26"/>
  <c r="H785" i="26"/>
  <c r="M785" i="26"/>
  <c r="A786" i="26"/>
  <c r="B786" i="26"/>
  <c r="C786" i="26"/>
  <c r="D786" i="26"/>
  <c r="E786" i="26"/>
  <c r="F786" i="26"/>
  <c r="G786" i="26"/>
  <c r="H786" i="26"/>
  <c r="M786" i="26"/>
  <c r="A787" i="26"/>
  <c r="B787" i="26"/>
  <c r="C787" i="26"/>
  <c r="D787" i="26"/>
  <c r="E787" i="26"/>
  <c r="F787" i="26"/>
  <c r="G787" i="26"/>
  <c r="H787" i="26"/>
  <c r="M787" i="26"/>
  <c r="A788" i="26"/>
  <c r="B788" i="26"/>
  <c r="C788" i="26"/>
  <c r="D788" i="26"/>
  <c r="E788" i="26"/>
  <c r="F788" i="26"/>
  <c r="G788" i="26"/>
  <c r="H788" i="26"/>
  <c r="M788" i="26"/>
  <c r="A789" i="26"/>
  <c r="B789" i="26"/>
  <c r="C789" i="26"/>
  <c r="D789" i="26"/>
  <c r="E789" i="26"/>
  <c r="F789" i="26"/>
  <c r="G789" i="26"/>
  <c r="H789" i="26"/>
  <c r="M789" i="26"/>
  <c r="A790" i="26"/>
  <c r="B790" i="26"/>
  <c r="C790" i="26"/>
  <c r="D790" i="26"/>
  <c r="E790" i="26"/>
  <c r="F790" i="26"/>
  <c r="G790" i="26"/>
  <c r="H790" i="26"/>
  <c r="M790" i="26"/>
  <c r="A791" i="26"/>
  <c r="B791" i="26"/>
  <c r="C791" i="26"/>
  <c r="D791" i="26"/>
  <c r="E791" i="26"/>
  <c r="F791" i="26"/>
  <c r="G791" i="26"/>
  <c r="H791" i="26"/>
  <c r="M791" i="26"/>
  <c r="A792" i="26"/>
  <c r="B792" i="26"/>
  <c r="C792" i="26"/>
  <c r="D792" i="26"/>
  <c r="E792" i="26"/>
  <c r="F792" i="26"/>
  <c r="G792" i="26"/>
  <c r="H792" i="26"/>
  <c r="M792" i="26"/>
  <c r="A757" i="26"/>
  <c r="B757" i="26"/>
  <c r="C757" i="26"/>
  <c r="D757" i="26"/>
  <c r="E757" i="26"/>
  <c r="F757" i="26"/>
  <c r="G757" i="26"/>
  <c r="H757" i="26"/>
  <c r="M757" i="26"/>
  <c r="A758" i="26"/>
  <c r="B758" i="26"/>
  <c r="C758" i="26"/>
  <c r="D758" i="26"/>
  <c r="E758" i="26"/>
  <c r="F758" i="26"/>
  <c r="G758" i="26"/>
  <c r="H758" i="26"/>
  <c r="M758" i="26"/>
  <c r="A759" i="26"/>
  <c r="B759" i="26"/>
  <c r="C759" i="26"/>
  <c r="D759" i="26"/>
  <c r="E759" i="26"/>
  <c r="F759" i="26"/>
  <c r="G759" i="26"/>
  <c r="H759" i="26"/>
  <c r="M759" i="26"/>
  <c r="A760" i="26"/>
  <c r="B760" i="26"/>
  <c r="C760" i="26"/>
  <c r="D760" i="26"/>
  <c r="E760" i="26"/>
  <c r="F760" i="26"/>
  <c r="G760" i="26"/>
  <c r="H760" i="26"/>
  <c r="M760" i="26"/>
  <c r="A761" i="26"/>
  <c r="B761" i="26"/>
  <c r="C761" i="26"/>
  <c r="D761" i="26"/>
  <c r="E761" i="26"/>
  <c r="F761" i="26"/>
  <c r="G761" i="26"/>
  <c r="H761" i="26"/>
  <c r="M761" i="26"/>
  <c r="A762" i="26"/>
  <c r="B762" i="26"/>
  <c r="C762" i="26"/>
  <c r="D762" i="26"/>
  <c r="E762" i="26"/>
  <c r="F762" i="26"/>
  <c r="G762" i="26"/>
  <c r="H762" i="26"/>
  <c r="M762" i="26"/>
  <c r="A763" i="26"/>
  <c r="B763" i="26"/>
  <c r="C763" i="26"/>
  <c r="D763" i="26"/>
  <c r="E763" i="26"/>
  <c r="F763" i="26"/>
  <c r="G763" i="26"/>
  <c r="H763" i="26"/>
  <c r="M763" i="26"/>
  <c r="A764" i="26"/>
  <c r="B764" i="26"/>
  <c r="C764" i="26"/>
  <c r="D764" i="26"/>
  <c r="E764" i="26"/>
  <c r="F764" i="26"/>
  <c r="G764" i="26"/>
  <c r="H764" i="26"/>
  <c r="M764" i="26"/>
  <c r="A765" i="26"/>
  <c r="B765" i="26"/>
  <c r="C765" i="26"/>
  <c r="D765" i="26"/>
  <c r="E765" i="26"/>
  <c r="F765" i="26"/>
  <c r="G765" i="26"/>
  <c r="H765" i="26"/>
  <c r="M765" i="26"/>
  <c r="A766" i="26"/>
  <c r="B766" i="26"/>
  <c r="C766" i="26"/>
  <c r="D766" i="26"/>
  <c r="E766" i="26"/>
  <c r="F766" i="26"/>
  <c r="G766" i="26"/>
  <c r="H766" i="26"/>
  <c r="M766" i="26"/>
  <c r="A767" i="26"/>
  <c r="B767" i="26"/>
  <c r="C767" i="26"/>
  <c r="D767" i="26"/>
  <c r="E767" i="26"/>
  <c r="F767" i="26"/>
  <c r="G767" i="26"/>
  <c r="H767" i="26"/>
  <c r="M767" i="26"/>
  <c r="A768" i="26"/>
  <c r="B768" i="26"/>
  <c r="C768" i="26"/>
  <c r="D768" i="26"/>
  <c r="E768" i="26"/>
  <c r="F768" i="26"/>
  <c r="G768" i="26"/>
  <c r="H768" i="26"/>
  <c r="M768" i="26"/>
  <c r="A769" i="26"/>
  <c r="B769" i="26"/>
  <c r="C769" i="26"/>
  <c r="D769" i="26"/>
  <c r="E769" i="26"/>
  <c r="F769" i="26"/>
  <c r="G769" i="26"/>
  <c r="H769" i="26"/>
  <c r="M769" i="26"/>
  <c r="A770" i="26"/>
  <c r="B770" i="26"/>
  <c r="C770" i="26"/>
  <c r="D770" i="26"/>
  <c r="E770" i="26"/>
  <c r="F770" i="26"/>
  <c r="G770" i="26"/>
  <c r="H770" i="26"/>
  <c r="M770" i="26"/>
  <c r="A771" i="26"/>
  <c r="B771" i="26"/>
  <c r="C771" i="26"/>
  <c r="D771" i="26"/>
  <c r="E771" i="26"/>
  <c r="F771" i="26"/>
  <c r="G771" i="26"/>
  <c r="H771" i="26"/>
  <c r="M771" i="26"/>
  <c r="A772" i="26"/>
  <c r="B772" i="26"/>
  <c r="C772" i="26"/>
  <c r="D772" i="26"/>
  <c r="E772" i="26"/>
  <c r="F772" i="26"/>
  <c r="G772" i="26"/>
  <c r="H772" i="26"/>
  <c r="M772" i="26"/>
  <c r="A773" i="26"/>
  <c r="B773" i="26"/>
  <c r="C773" i="26"/>
  <c r="D773" i="26"/>
  <c r="E773" i="26"/>
  <c r="F773" i="26"/>
  <c r="G773" i="26"/>
  <c r="H773" i="26"/>
  <c r="M773" i="26"/>
  <c r="A774" i="26"/>
  <c r="B774" i="26"/>
  <c r="C774" i="26"/>
  <c r="D774" i="26"/>
  <c r="E774" i="26"/>
  <c r="F774" i="26"/>
  <c r="G774" i="26"/>
  <c r="H774" i="26"/>
  <c r="M774" i="26"/>
  <c r="A739" i="26"/>
  <c r="B739" i="26"/>
  <c r="C739" i="26"/>
  <c r="D739" i="26"/>
  <c r="E739" i="26"/>
  <c r="F739" i="26"/>
  <c r="G739" i="26"/>
  <c r="H739" i="26"/>
  <c r="M739" i="26"/>
  <c r="A740" i="26"/>
  <c r="B740" i="26"/>
  <c r="C740" i="26"/>
  <c r="D740" i="26"/>
  <c r="E740" i="26"/>
  <c r="F740" i="26"/>
  <c r="G740" i="26"/>
  <c r="H740" i="26"/>
  <c r="M740" i="26"/>
  <c r="A741" i="26"/>
  <c r="B741" i="26"/>
  <c r="C741" i="26"/>
  <c r="D741" i="26"/>
  <c r="E741" i="26"/>
  <c r="F741" i="26"/>
  <c r="G741" i="26"/>
  <c r="H741" i="26"/>
  <c r="M741" i="26"/>
  <c r="A742" i="26"/>
  <c r="B742" i="26"/>
  <c r="C742" i="26"/>
  <c r="D742" i="26"/>
  <c r="E742" i="26"/>
  <c r="F742" i="26"/>
  <c r="G742" i="26"/>
  <c r="H742" i="26"/>
  <c r="M742" i="26"/>
  <c r="A743" i="26"/>
  <c r="B743" i="26"/>
  <c r="C743" i="26"/>
  <c r="D743" i="26"/>
  <c r="E743" i="26"/>
  <c r="F743" i="26"/>
  <c r="G743" i="26"/>
  <c r="H743" i="26"/>
  <c r="M743" i="26"/>
  <c r="A744" i="26"/>
  <c r="B744" i="26"/>
  <c r="C744" i="26"/>
  <c r="D744" i="26"/>
  <c r="E744" i="26"/>
  <c r="F744" i="26"/>
  <c r="G744" i="26"/>
  <c r="H744" i="26"/>
  <c r="M744" i="26"/>
  <c r="A745" i="26"/>
  <c r="B745" i="26"/>
  <c r="C745" i="26"/>
  <c r="D745" i="26"/>
  <c r="E745" i="26"/>
  <c r="F745" i="26"/>
  <c r="G745" i="26"/>
  <c r="H745" i="26"/>
  <c r="M745" i="26"/>
  <c r="A746" i="26"/>
  <c r="B746" i="26"/>
  <c r="C746" i="26"/>
  <c r="D746" i="26"/>
  <c r="E746" i="26"/>
  <c r="F746" i="26"/>
  <c r="G746" i="26"/>
  <c r="H746" i="26"/>
  <c r="M746" i="26"/>
  <c r="A747" i="26"/>
  <c r="B747" i="26"/>
  <c r="C747" i="26"/>
  <c r="D747" i="26"/>
  <c r="E747" i="26"/>
  <c r="F747" i="26"/>
  <c r="G747" i="26"/>
  <c r="H747" i="26"/>
  <c r="M747" i="26"/>
  <c r="A748" i="26"/>
  <c r="B748" i="26"/>
  <c r="C748" i="26"/>
  <c r="D748" i="26"/>
  <c r="E748" i="26"/>
  <c r="F748" i="26"/>
  <c r="G748" i="26"/>
  <c r="H748" i="26"/>
  <c r="M748" i="26"/>
  <c r="A749" i="26"/>
  <c r="B749" i="26"/>
  <c r="C749" i="26"/>
  <c r="D749" i="26"/>
  <c r="E749" i="26"/>
  <c r="F749" i="26"/>
  <c r="G749" i="26"/>
  <c r="H749" i="26"/>
  <c r="M749" i="26"/>
  <c r="A750" i="26"/>
  <c r="B750" i="26"/>
  <c r="C750" i="26"/>
  <c r="D750" i="26"/>
  <c r="E750" i="26"/>
  <c r="F750" i="26"/>
  <c r="G750" i="26"/>
  <c r="H750" i="26"/>
  <c r="M750" i="26"/>
  <c r="A751" i="26"/>
  <c r="B751" i="26"/>
  <c r="C751" i="26"/>
  <c r="D751" i="26"/>
  <c r="E751" i="26"/>
  <c r="F751" i="26"/>
  <c r="G751" i="26"/>
  <c r="H751" i="26"/>
  <c r="M751" i="26"/>
  <c r="A752" i="26"/>
  <c r="B752" i="26"/>
  <c r="C752" i="26"/>
  <c r="D752" i="26"/>
  <c r="E752" i="26"/>
  <c r="F752" i="26"/>
  <c r="G752" i="26"/>
  <c r="H752" i="26"/>
  <c r="M752" i="26"/>
  <c r="A753" i="26"/>
  <c r="B753" i="26"/>
  <c r="C753" i="26"/>
  <c r="D753" i="26"/>
  <c r="E753" i="26"/>
  <c r="F753" i="26"/>
  <c r="G753" i="26"/>
  <c r="H753" i="26"/>
  <c r="M753" i="26"/>
  <c r="A754" i="26"/>
  <c r="B754" i="26"/>
  <c r="C754" i="26"/>
  <c r="D754" i="26"/>
  <c r="E754" i="26"/>
  <c r="F754" i="26"/>
  <c r="G754" i="26"/>
  <c r="H754" i="26"/>
  <c r="M754" i="26"/>
  <c r="A755" i="26"/>
  <c r="B755" i="26"/>
  <c r="C755" i="26"/>
  <c r="D755" i="26"/>
  <c r="E755" i="26"/>
  <c r="F755" i="26"/>
  <c r="G755" i="26"/>
  <c r="H755" i="26"/>
  <c r="M755" i="26"/>
  <c r="A756" i="26"/>
  <c r="B756" i="26"/>
  <c r="C756" i="26"/>
  <c r="D756" i="26"/>
  <c r="E756" i="26"/>
  <c r="F756" i="26"/>
  <c r="G756" i="26"/>
  <c r="H756" i="26"/>
  <c r="M756" i="26"/>
  <c r="A721" i="26"/>
  <c r="B721" i="26"/>
  <c r="C721" i="26"/>
  <c r="D721" i="26"/>
  <c r="E721" i="26"/>
  <c r="F721" i="26"/>
  <c r="G721" i="26"/>
  <c r="H721" i="26"/>
  <c r="M721" i="26"/>
  <c r="A722" i="26"/>
  <c r="B722" i="26"/>
  <c r="C722" i="26"/>
  <c r="D722" i="26"/>
  <c r="E722" i="26"/>
  <c r="F722" i="26"/>
  <c r="G722" i="26"/>
  <c r="H722" i="26"/>
  <c r="M722" i="26"/>
  <c r="A723" i="26"/>
  <c r="B723" i="26"/>
  <c r="C723" i="26"/>
  <c r="D723" i="26"/>
  <c r="E723" i="26"/>
  <c r="F723" i="26"/>
  <c r="G723" i="26"/>
  <c r="H723" i="26"/>
  <c r="M723" i="26"/>
  <c r="A724" i="26"/>
  <c r="B724" i="26"/>
  <c r="C724" i="26"/>
  <c r="D724" i="26"/>
  <c r="E724" i="26"/>
  <c r="F724" i="26"/>
  <c r="G724" i="26"/>
  <c r="H724" i="26"/>
  <c r="M724" i="26"/>
  <c r="A725" i="26"/>
  <c r="B725" i="26"/>
  <c r="C725" i="26"/>
  <c r="D725" i="26"/>
  <c r="E725" i="26"/>
  <c r="F725" i="26"/>
  <c r="G725" i="26"/>
  <c r="H725" i="26"/>
  <c r="M725" i="26"/>
  <c r="A726" i="26"/>
  <c r="B726" i="26"/>
  <c r="C726" i="26"/>
  <c r="D726" i="26"/>
  <c r="E726" i="26"/>
  <c r="F726" i="26"/>
  <c r="G726" i="26"/>
  <c r="H726" i="26"/>
  <c r="M726" i="26"/>
  <c r="A727" i="26"/>
  <c r="B727" i="26"/>
  <c r="C727" i="26"/>
  <c r="D727" i="26"/>
  <c r="E727" i="26"/>
  <c r="F727" i="26"/>
  <c r="G727" i="26"/>
  <c r="H727" i="26"/>
  <c r="M727" i="26"/>
  <c r="A728" i="26"/>
  <c r="B728" i="26"/>
  <c r="C728" i="26"/>
  <c r="D728" i="26"/>
  <c r="E728" i="26"/>
  <c r="F728" i="26"/>
  <c r="G728" i="26"/>
  <c r="H728" i="26"/>
  <c r="M728" i="26"/>
  <c r="A729" i="26"/>
  <c r="B729" i="26"/>
  <c r="C729" i="26"/>
  <c r="D729" i="26"/>
  <c r="E729" i="26"/>
  <c r="F729" i="26"/>
  <c r="G729" i="26"/>
  <c r="H729" i="26"/>
  <c r="M729" i="26"/>
  <c r="A730" i="26"/>
  <c r="B730" i="26"/>
  <c r="C730" i="26"/>
  <c r="D730" i="26"/>
  <c r="E730" i="26"/>
  <c r="F730" i="26"/>
  <c r="G730" i="26"/>
  <c r="H730" i="26"/>
  <c r="M730" i="26"/>
  <c r="A731" i="26"/>
  <c r="B731" i="26"/>
  <c r="C731" i="26"/>
  <c r="D731" i="26"/>
  <c r="E731" i="26"/>
  <c r="F731" i="26"/>
  <c r="G731" i="26"/>
  <c r="H731" i="26"/>
  <c r="M731" i="26"/>
  <c r="A732" i="26"/>
  <c r="B732" i="26"/>
  <c r="C732" i="26"/>
  <c r="D732" i="26"/>
  <c r="E732" i="26"/>
  <c r="F732" i="26"/>
  <c r="G732" i="26"/>
  <c r="H732" i="26"/>
  <c r="M732" i="26"/>
  <c r="A733" i="26"/>
  <c r="B733" i="26"/>
  <c r="C733" i="26"/>
  <c r="D733" i="26"/>
  <c r="E733" i="26"/>
  <c r="F733" i="26"/>
  <c r="G733" i="26"/>
  <c r="H733" i="26"/>
  <c r="M733" i="26"/>
  <c r="A734" i="26"/>
  <c r="B734" i="26"/>
  <c r="C734" i="26"/>
  <c r="D734" i="26"/>
  <c r="E734" i="26"/>
  <c r="F734" i="26"/>
  <c r="G734" i="26"/>
  <c r="H734" i="26"/>
  <c r="M734" i="26"/>
  <c r="A735" i="26"/>
  <c r="B735" i="26"/>
  <c r="C735" i="26"/>
  <c r="D735" i="26"/>
  <c r="E735" i="26"/>
  <c r="F735" i="26"/>
  <c r="G735" i="26"/>
  <c r="H735" i="26"/>
  <c r="M735" i="26"/>
  <c r="A736" i="26"/>
  <c r="B736" i="26"/>
  <c r="C736" i="26"/>
  <c r="D736" i="26"/>
  <c r="E736" i="26"/>
  <c r="F736" i="26"/>
  <c r="G736" i="26"/>
  <c r="H736" i="26"/>
  <c r="M736" i="26"/>
  <c r="A737" i="26"/>
  <c r="B737" i="26"/>
  <c r="C737" i="26"/>
  <c r="D737" i="26"/>
  <c r="E737" i="26"/>
  <c r="F737" i="26"/>
  <c r="G737" i="26"/>
  <c r="H737" i="26"/>
  <c r="M737" i="26"/>
  <c r="A738" i="26"/>
  <c r="B738" i="26"/>
  <c r="C738" i="26"/>
  <c r="D738" i="26"/>
  <c r="E738" i="26"/>
  <c r="F738" i="26"/>
  <c r="G738" i="26"/>
  <c r="H738" i="26"/>
  <c r="M738" i="26"/>
  <c r="A703" i="26"/>
  <c r="B703" i="26"/>
  <c r="C703" i="26"/>
  <c r="D703" i="26"/>
  <c r="E703" i="26"/>
  <c r="F703" i="26"/>
  <c r="G703" i="26"/>
  <c r="H703" i="26"/>
  <c r="M703" i="26"/>
  <c r="A704" i="26"/>
  <c r="B704" i="26"/>
  <c r="C704" i="26"/>
  <c r="D704" i="26"/>
  <c r="E704" i="26"/>
  <c r="F704" i="26"/>
  <c r="G704" i="26"/>
  <c r="H704" i="26"/>
  <c r="M704" i="26"/>
  <c r="A705" i="26"/>
  <c r="B705" i="26"/>
  <c r="C705" i="26"/>
  <c r="D705" i="26"/>
  <c r="E705" i="26"/>
  <c r="F705" i="26"/>
  <c r="G705" i="26"/>
  <c r="H705" i="26"/>
  <c r="M705" i="26"/>
  <c r="A706" i="26"/>
  <c r="B706" i="26"/>
  <c r="C706" i="26"/>
  <c r="D706" i="26"/>
  <c r="E706" i="26"/>
  <c r="F706" i="26"/>
  <c r="G706" i="26"/>
  <c r="H706" i="26"/>
  <c r="M706" i="26"/>
  <c r="A707" i="26"/>
  <c r="B707" i="26"/>
  <c r="C707" i="26"/>
  <c r="D707" i="26"/>
  <c r="E707" i="26"/>
  <c r="F707" i="26"/>
  <c r="G707" i="26"/>
  <c r="H707" i="26"/>
  <c r="M707" i="26"/>
  <c r="A708" i="26"/>
  <c r="B708" i="26"/>
  <c r="C708" i="26"/>
  <c r="D708" i="26"/>
  <c r="E708" i="26"/>
  <c r="F708" i="26"/>
  <c r="G708" i="26"/>
  <c r="H708" i="26"/>
  <c r="M708" i="26"/>
  <c r="A709" i="26"/>
  <c r="B709" i="26"/>
  <c r="C709" i="26"/>
  <c r="D709" i="26"/>
  <c r="E709" i="26"/>
  <c r="F709" i="26"/>
  <c r="G709" i="26"/>
  <c r="H709" i="26"/>
  <c r="M709" i="26"/>
  <c r="A710" i="26"/>
  <c r="B710" i="26"/>
  <c r="C710" i="26"/>
  <c r="D710" i="26"/>
  <c r="E710" i="26"/>
  <c r="F710" i="26"/>
  <c r="G710" i="26"/>
  <c r="H710" i="26"/>
  <c r="M710" i="26"/>
  <c r="A711" i="26"/>
  <c r="B711" i="26"/>
  <c r="C711" i="26"/>
  <c r="D711" i="26"/>
  <c r="E711" i="26"/>
  <c r="F711" i="26"/>
  <c r="G711" i="26"/>
  <c r="H711" i="26"/>
  <c r="M711" i="26"/>
  <c r="A712" i="26"/>
  <c r="B712" i="26"/>
  <c r="C712" i="26"/>
  <c r="D712" i="26"/>
  <c r="E712" i="26"/>
  <c r="F712" i="26"/>
  <c r="G712" i="26"/>
  <c r="H712" i="26"/>
  <c r="M712" i="26"/>
  <c r="A713" i="26"/>
  <c r="B713" i="26"/>
  <c r="C713" i="26"/>
  <c r="D713" i="26"/>
  <c r="E713" i="26"/>
  <c r="F713" i="26"/>
  <c r="G713" i="26"/>
  <c r="H713" i="26"/>
  <c r="M713" i="26"/>
  <c r="A714" i="26"/>
  <c r="B714" i="26"/>
  <c r="C714" i="26"/>
  <c r="D714" i="26"/>
  <c r="E714" i="26"/>
  <c r="F714" i="26"/>
  <c r="G714" i="26"/>
  <c r="H714" i="26"/>
  <c r="M714" i="26"/>
  <c r="A715" i="26"/>
  <c r="B715" i="26"/>
  <c r="C715" i="26"/>
  <c r="D715" i="26"/>
  <c r="E715" i="26"/>
  <c r="F715" i="26"/>
  <c r="G715" i="26"/>
  <c r="H715" i="26"/>
  <c r="M715" i="26"/>
  <c r="A716" i="26"/>
  <c r="B716" i="26"/>
  <c r="C716" i="26"/>
  <c r="D716" i="26"/>
  <c r="E716" i="26"/>
  <c r="F716" i="26"/>
  <c r="G716" i="26"/>
  <c r="H716" i="26"/>
  <c r="M716" i="26"/>
  <c r="A717" i="26"/>
  <c r="B717" i="26"/>
  <c r="C717" i="26"/>
  <c r="D717" i="26"/>
  <c r="E717" i="26"/>
  <c r="F717" i="26"/>
  <c r="G717" i="26"/>
  <c r="H717" i="26"/>
  <c r="M717" i="26"/>
  <c r="A718" i="26"/>
  <c r="B718" i="26"/>
  <c r="C718" i="26"/>
  <c r="D718" i="26"/>
  <c r="E718" i="26"/>
  <c r="F718" i="26"/>
  <c r="G718" i="26"/>
  <c r="H718" i="26"/>
  <c r="M718" i="26"/>
  <c r="A719" i="26"/>
  <c r="B719" i="26"/>
  <c r="C719" i="26"/>
  <c r="D719" i="26"/>
  <c r="E719" i="26"/>
  <c r="F719" i="26"/>
  <c r="G719" i="26"/>
  <c r="H719" i="26"/>
  <c r="M719" i="26"/>
  <c r="A720" i="26"/>
  <c r="B720" i="26"/>
  <c r="C720" i="26"/>
  <c r="D720" i="26"/>
  <c r="E720" i="26"/>
  <c r="F720" i="26"/>
  <c r="G720" i="26"/>
  <c r="H720" i="26"/>
  <c r="M720" i="26"/>
  <c r="A685" i="26"/>
  <c r="B685" i="26"/>
  <c r="C685" i="26"/>
  <c r="D685" i="26"/>
  <c r="E685" i="26"/>
  <c r="F685" i="26"/>
  <c r="G685" i="26"/>
  <c r="H685" i="26"/>
  <c r="M685" i="26"/>
  <c r="A686" i="26"/>
  <c r="B686" i="26"/>
  <c r="C686" i="26"/>
  <c r="D686" i="26"/>
  <c r="E686" i="26"/>
  <c r="F686" i="26"/>
  <c r="G686" i="26"/>
  <c r="H686" i="26"/>
  <c r="M686" i="26"/>
  <c r="A687" i="26"/>
  <c r="B687" i="26"/>
  <c r="C687" i="26"/>
  <c r="D687" i="26"/>
  <c r="E687" i="26"/>
  <c r="F687" i="26"/>
  <c r="G687" i="26"/>
  <c r="H687" i="26"/>
  <c r="M687" i="26"/>
  <c r="A688" i="26"/>
  <c r="B688" i="26"/>
  <c r="C688" i="26"/>
  <c r="D688" i="26"/>
  <c r="E688" i="26"/>
  <c r="F688" i="26"/>
  <c r="G688" i="26"/>
  <c r="H688" i="26"/>
  <c r="M688" i="26"/>
  <c r="A689" i="26"/>
  <c r="B689" i="26"/>
  <c r="C689" i="26"/>
  <c r="D689" i="26"/>
  <c r="E689" i="26"/>
  <c r="F689" i="26"/>
  <c r="G689" i="26"/>
  <c r="H689" i="26"/>
  <c r="M689" i="26"/>
  <c r="A690" i="26"/>
  <c r="B690" i="26"/>
  <c r="C690" i="26"/>
  <c r="D690" i="26"/>
  <c r="E690" i="26"/>
  <c r="F690" i="26"/>
  <c r="G690" i="26"/>
  <c r="H690" i="26"/>
  <c r="M690" i="26"/>
  <c r="A691" i="26"/>
  <c r="B691" i="26"/>
  <c r="C691" i="26"/>
  <c r="D691" i="26"/>
  <c r="E691" i="26"/>
  <c r="F691" i="26"/>
  <c r="G691" i="26"/>
  <c r="H691" i="26"/>
  <c r="M691" i="26"/>
  <c r="A692" i="26"/>
  <c r="B692" i="26"/>
  <c r="C692" i="26"/>
  <c r="D692" i="26"/>
  <c r="E692" i="26"/>
  <c r="F692" i="26"/>
  <c r="G692" i="26"/>
  <c r="H692" i="26"/>
  <c r="M692" i="26"/>
  <c r="A693" i="26"/>
  <c r="B693" i="26"/>
  <c r="C693" i="26"/>
  <c r="D693" i="26"/>
  <c r="E693" i="26"/>
  <c r="F693" i="26"/>
  <c r="G693" i="26"/>
  <c r="H693" i="26"/>
  <c r="M693" i="26"/>
  <c r="A694" i="26"/>
  <c r="B694" i="26"/>
  <c r="C694" i="26"/>
  <c r="D694" i="26"/>
  <c r="E694" i="26"/>
  <c r="F694" i="26"/>
  <c r="G694" i="26"/>
  <c r="H694" i="26"/>
  <c r="M694" i="26"/>
  <c r="A695" i="26"/>
  <c r="B695" i="26"/>
  <c r="C695" i="26"/>
  <c r="D695" i="26"/>
  <c r="E695" i="26"/>
  <c r="F695" i="26"/>
  <c r="G695" i="26"/>
  <c r="H695" i="26"/>
  <c r="M695" i="26"/>
  <c r="A696" i="26"/>
  <c r="B696" i="26"/>
  <c r="C696" i="26"/>
  <c r="D696" i="26"/>
  <c r="E696" i="26"/>
  <c r="F696" i="26"/>
  <c r="G696" i="26"/>
  <c r="H696" i="26"/>
  <c r="M696" i="26"/>
  <c r="A697" i="26"/>
  <c r="B697" i="26"/>
  <c r="C697" i="26"/>
  <c r="D697" i="26"/>
  <c r="E697" i="26"/>
  <c r="F697" i="26"/>
  <c r="G697" i="26"/>
  <c r="H697" i="26"/>
  <c r="M697" i="26"/>
  <c r="A698" i="26"/>
  <c r="B698" i="26"/>
  <c r="C698" i="26"/>
  <c r="D698" i="26"/>
  <c r="E698" i="26"/>
  <c r="F698" i="26"/>
  <c r="G698" i="26"/>
  <c r="H698" i="26"/>
  <c r="M698" i="26"/>
  <c r="A699" i="26"/>
  <c r="B699" i="26"/>
  <c r="C699" i="26"/>
  <c r="D699" i="26"/>
  <c r="E699" i="26"/>
  <c r="F699" i="26"/>
  <c r="G699" i="26"/>
  <c r="H699" i="26"/>
  <c r="M699" i="26"/>
  <c r="A700" i="26"/>
  <c r="B700" i="26"/>
  <c r="C700" i="26"/>
  <c r="D700" i="26"/>
  <c r="E700" i="26"/>
  <c r="F700" i="26"/>
  <c r="G700" i="26"/>
  <c r="H700" i="26"/>
  <c r="M700" i="26"/>
  <c r="A701" i="26"/>
  <c r="B701" i="26"/>
  <c r="C701" i="26"/>
  <c r="D701" i="26"/>
  <c r="E701" i="26"/>
  <c r="F701" i="26"/>
  <c r="G701" i="26"/>
  <c r="H701" i="26"/>
  <c r="M701" i="26"/>
  <c r="A702" i="26"/>
  <c r="B702" i="26"/>
  <c r="C702" i="26"/>
  <c r="D702" i="26"/>
  <c r="E702" i="26"/>
  <c r="F702" i="26"/>
  <c r="G702" i="26"/>
  <c r="H702" i="26"/>
  <c r="M702" i="26"/>
  <c r="A667" i="26"/>
  <c r="B667" i="26"/>
  <c r="C667" i="26"/>
  <c r="D667" i="26"/>
  <c r="E667" i="26"/>
  <c r="F667" i="26"/>
  <c r="G667" i="26"/>
  <c r="H667" i="26"/>
  <c r="M667" i="26"/>
  <c r="A668" i="26"/>
  <c r="B668" i="26"/>
  <c r="C668" i="26"/>
  <c r="D668" i="26"/>
  <c r="E668" i="26"/>
  <c r="F668" i="26"/>
  <c r="G668" i="26"/>
  <c r="H668" i="26"/>
  <c r="M668" i="26"/>
  <c r="A669" i="26"/>
  <c r="B669" i="26"/>
  <c r="C669" i="26"/>
  <c r="D669" i="26"/>
  <c r="E669" i="26"/>
  <c r="F669" i="26"/>
  <c r="G669" i="26"/>
  <c r="H669" i="26"/>
  <c r="M669" i="26"/>
  <c r="A670" i="26"/>
  <c r="B670" i="26"/>
  <c r="C670" i="26"/>
  <c r="D670" i="26"/>
  <c r="E670" i="26"/>
  <c r="AK670" i="26" s="1"/>
  <c r="BU670" i="26" s="1"/>
  <c r="BV670" i="26" s="1"/>
  <c r="F670" i="26"/>
  <c r="G670" i="26"/>
  <c r="H670" i="26"/>
  <c r="M670" i="26"/>
  <c r="A671" i="26"/>
  <c r="B671" i="26"/>
  <c r="C671" i="26"/>
  <c r="D671" i="26"/>
  <c r="E671" i="26"/>
  <c r="F671" i="26"/>
  <c r="G671" i="26"/>
  <c r="H671" i="26"/>
  <c r="M671" i="26"/>
  <c r="A672" i="26"/>
  <c r="B672" i="26"/>
  <c r="C672" i="26"/>
  <c r="D672" i="26"/>
  <c r="E672" i="26"/>
  <c r="F672" i="26"/>
  <c r="G672" i="26"/>
  <c r="H672" i="26"/>
  <c r="M672" i="26"/>
  <c r="A673" i="26"/>
  <c r="B673" i="26"/>
  <c r="C673" i="26"/>
  <c r="D673" i="26"/>
  <c r="E673" i="26"/>
  <c r="F673" i="26"/>
  <c r="G673" i="26"/>
  <c r="H673" i="26"/>
  <c r="M673" i="26"/>
  <c r="A674" i="26"/>
  <c r="B674" i="26"/>
  <c r="C674" i="26"/>
  <c r="D674" i="26"/>
  <c r="E674" i="26"/>
  <c r="F674" i="26"/>
  <c r="G674" i="26"/>
  <c r="H674" i="26"/>
  <c r="M674" i="26"/>
  <c r="A675" i="26"/>
  <c r="B675" i="26"/>
  <c r="C675" i="26"/>
  <c r="D675" i="26"/>
  <c r="E675" i="26"/>
  <c r="F675" i="26"/>
  <c r="G675" i="26"/>
  <c r="H675" i="26"/>
  <c r="M675" i="26"/>
  <c r="A676" i="26"/>
  <c r="B676" i="26"/>
  <c r="C676" i="26"/>
  <c r="D676" i="26"/>
  <c r="E676" i="26"/>
  <c r="F676" i="26"/>
  <c r="G676" i="26"/>
  <c r="H676" i="26"/>
  <c r="M676" i="26"/>
  <c r="A677" i="26"/>
  <c r="B677" i="26"/>
  <c r="C677" i="26"/>
  <c r="D677" i="26"/>
  <c r="E677" i="26"/>
  <c r="AK677" i="26" s="1"/>
  <c r="BU677" i="26" s="1"/>
  <c r="BV677" i="26" s="1"/>
  <c r="F677" i="26"/>
  <c r="G677" i="26"/>
  <c r="H677" i="26"/>
  <c r="M677" i="26"/>
  <c r="A678" i="26"/>
  <c r="B678" i="26"/>
  <c r="C678" i="26"/>
  <c r="D678" i="26"/>
  <c r="E678" i="26"/>
  <c r="F678" i="26"/>
  <c r="G678" i="26"/>
  <c r="H678" i="26"/>
  <c r="M678" i="26"/>
  <c r="A679" i="26"/>
  <c r="B679" i="26"/>
  <c r="C679" i="26"/>
  <c r="D679" i="26"/>
  <c r="E679" i="26"/>
  <c r="F679" i="26"/>
  <c r="G679" i="26"/>
  <c r="H679" i="26"/>
  <c r="M679" i="26"/>
  <c r="A680" i="26"/>
  <c r="B680" i="26"/>
  <c r="C680" i="26"/>
  <c r="D680" i="26"/>
  <c r="E680" i="26"/>
  <c r="F680" i="26"/>
  <c r="G680" i="26"/>
  <c r="H680" i="26"/>
  <c r="M680" i="26"/>
  <c r="A681" i="26"/>
  <c r="B681" i="26"/>
  <c r="C681" i="26"/>
  <c r="D681" i="26"/>
  <c r="E681" i="26"/>
  <c r="F681" i="26"/>
  <c r="G681" i="26"/>
  <c r="H681" i="26"/>
  <c r="M681" i="26"/>
  <c r="A682" i="26"/>
  <c r="B682" i="26"/>
  <c r="C682" i="26"/>
  <c r="D682" i="26"/>
  <c r="E682" i="26"/>
  <c r="F682" i="26"/>
  <c r="G682" i="26"/>
  <c r="H682" i="26"/>
  <c r="M682" i="26"/>
  <c r="A683" i="26"/>
  <c r="B683" i="26"/>
  <c r="C683" i="26"/>
  <c r="D683" i="26"/>
  <c r="E683" i="26"/>
  <c r="F683" i="26"/>
  <c r="G683" i="26"/>
  <c r="H683" i="26"/>
  <c r="M683" i="26"/>
  <c r="A684" i="26"/>
  <c r="B684" i="26"/>
  <c r="C684" i="26"/>
  <c r="D684" i="26"/>
  <c r="E684" i="26"/>
  <c r="F684" i="26"/>
  <c r="G684" i="26"/>
  <c r="H684" i="26"/>
  <c r="M684" i="26"/>
  <c r="A649" i="26"/>
  <c r="B649" i="26"/>
  <c r="C649" i="26"/>
  <c r="D649" i="26"/>
  <c r="E649" i="26"/>
  <c r="F649" i="26"/>
  <c r="G649" i="26"/>
  <c r="H649" i="26"/>
  <c r="M649" i="26"/>
  <c r="A650" i="26"/>
  <c r="B650" i="26"/>
  <c r="C650" i="26"/>
  <c r="D650" i="26"/>
  <c r="E650" i="26"/>
  <c r="F650" i="26"/>
  <c r="G650" i="26"/>
  <c r="H650" i="26"/>
  <c r="M650" i="26"/>
  <c r="A651" i="26"/>
  <c r="B651" i="26"/>
  <c r="C651" i="26"/>
  <c r="D651" i="26"/>
  <c r="E651" i="26"/>
  <c r="F651" i="26"/>
  <c r="G651" i="26"/>
  <c r="H651" i="26"/>
  <c r="M651" i="26"/>
  <c r="A652" i="26"/>
  <c r="B652" i="26"/>
  <c r="C652" i="26"/>
  <c r="D652" i="26"/>
  <c r="E652" i="26"/>
  <c r="F652" i="26"/>
  <c r="G652" i="26"/>
  <c r="H652" i="26"/>
  <c r="M652" i="26"/>
  <c r="A653" i="26"/>
  <c r="B653" i="26"/>
  <c r="C653" i="26"/>
  <c r="D653" i="26"/>
  <c r="E653" i="26"/>
  <c r="F653" i="26"/>
  <c r="G653" i="26"/>
  <c r="H653" i="26"/>
  <c r="M653" i="26"/>
  <c r="A654" i="26"/>
  <c r="B654" i="26"/>
  <c r="C654" i="26"/>
  <c r="D654" i="26"/>
  <c r="E654" i="26"/>
  <c r="F654" i="26"/>
  <c r="G654" i="26"/>
  <c r="H654" i="26"/>
  <c r="M654" i="26"/>
  <c r="A655" i="26"/>
  <c r="B655" i="26"/>
  <c r="C655" i="26"/>
  <c r="D655" i="26"/>
  <c r="E655" i="26"/>
  <c r="AK655" i="26" s="1"/>
  <c r="BU655" i="26" s="1"/>
  <c r="BV655" i="26" s="1"/>
  <c r="F655" i="26"/>
  <c r="G655" i="26"/>
  <c r="H655" i="26"/>
  <c r="M655" i="26"/>
  <c r="A656" i="26"/>
  <c r="B656" i="26"/>
  <c r="C656" i="26"/>
  <c r="D656" i="26"/>
  <c r="E656" i="26"/>
  <c r="F656" i="26"/>
  <c r="G656" i="26"/>
  <c r="H656" i="26"/>
  <c r="M656" i="26"/>
  <c r="A657" i="26"/>
  <c r="B657" i="26"/>
  <c r="C657" i="26"/>
  <c r="D657" i="26"/>
  <c r="E657" i="26"/>
  <c r="F657" i="26"/>
  <c r="G657" i="26"/>
  <c r="H657" i="26"/>
  <c r="M657" i="26"/>
  <c r="A658" i="26"/>
  <c r="B658" i="26"/>
  <c r="C658" i="26"/>
  <c r="D658" i="26"/>
  <c r="E658" i="26"/>
  <c r="F658" i="26"/>
  <c r="G658" i="26"/>
  <c r="H658" i="26"/>
  <c r="M658" i="26"/>
  <c r="A659" i="26"/>
  <c r="B659" i="26"/>
  <c r="C659" i="26"/>
  <c r="D659" i="26"/>
  <c r="E659" i="26"/>
  <c r="F659" i="26"/>
  <c r="G659" i="26"/>
  <c r="H659" i="26"/>
  <c r="M659" i="26"/>
  <c r="A660" i="26"/>
  <c r="B660" i="26"/>
  <c r="C660" i="26"/>
  <c r="D660" i="26"/>
  <c r="E660" i="26"/>
  <c r="F660" i="26"/>
  <c r="G660" i="26"/>
  <c r="H660" i="26"/>
  <c r="M660" i="26"/>
  <c r="A661" i="26"/>
  <c r="B661" i="26"/>
  <c r="C661" i="26"/>
  <c r="D661" i="26"/>
  <c r="E661" i="26"/>
  <c r="F661" i="26"/>
  <c r="G661" i="26"/>
  <c r="H661" i="26"/>
  <c r="M661" i="26"/>
  <c r="A662" i="26"/>
  <c r="B662" i="26"/>
  <c r="C662" i="26"/>
  <c r="D662" i="26"/>
  <c r="E662" i="26"/>
  <c r="F662" i="26"/>
  <c r="G662" i="26"/>
  <c r="H662" i="26"/>
  <c r="M662" i="26"/>
  <c r="A663" i="26"/>
  <c r="B663" i="26"/>
  <c r="C663" i="26"/>
  <c r="D663" i="26"/>
  <c r="E663" i="26"/>
  <c r="F663" i="26"/>
  <c r="G663" i="26"/>
  <c r="H663" i="26"/>
  <c r="M663" i="26"/>
  <c r="A664" i="26"/>
  <c r="B664" i="26"/>
  <c r="C664" i="26"/>
  <c r="D664" i="26"/>
  <c r="E664" i="26"/>
  <c r="F664" i="26"/>
  <c r="G664" i="26"/>
  <c r="H664" i="26"/>
  <c r="M664" i="26"/>
  <c r="A665" i="26"/>
  <c r="B665" i="26"/>
  <c r="C665" i="26"/>
  <c r="D665" i="26"/>
  <c r="E665" i="26"/>
  <c r="F665" i="26"/>
  <c r="G665" i="26"/>
  <c r="H665" i="26"/>
  <c r="M665" i="26"/>
  <c r="A666" i="26"/>
  <c r="B666" i="26"/>
  <c r="C666" i="26"/>
  <c r="D666" i="26"/>
  <c r="E666" i="26"/>
  <c r="F666" i="26"/>
  <c r="G666" i="26"/>
  <c r="H666" i="26"/>
  <c r="M666" i="26"/>
  <c r="A631" i="26"/>
  <c r="B631" i="26"/>
  <c r="C631" i="26"/>
  <c r="D631" i="26"/>
  <c r="E631" i="26"/>
  <c r="F631" i="26"/>
  <c r="G631" i="26"/>
  <c r="H631" i="26"/>
  <c r="M631" i="26"/>
  <c r="A632" i="26"/>
  <c r="B632" i="26"/>
  <c r="C632" i="26"/>
  <c r="D632" i="26"/>
  <c r="E632" i="26"/>
  <c r="F632" i="26"/>
  <c r="G632" i="26"/>
  <c r="H632" i="26"/>
  <c r="M632" i="26"/>
  <c r="A633" i="26"/>
  <c r="B633" i="26"/>
  <c r="C633" i="26"/>
  <c r="D633" i="26"/>
  <c r="E633" i="26"/>
  <c r="F633" i="26"/>
  <c r="G633" i="26"/>
  <c r="H633" i="26"/>
  <c r="M633" i="26"/>
  <c r="A634" i="26"/>
  <c r="B634" i="26"/>
  <c r="C634" i="26"/>
  <c r="D634" i="26"/>
  <c r="E634" i="26"/>
  <c r="F634" i="26"/>
  <c r="G634" i="26"/>
  <c r="H634" i="26"/>
  <c r="M634" i="26"/>
  <c r="A635" i="26"/>
  <c r="B635" i="26"/>
  <c r="C635" i="26"/>
  <c r="D635" i="26"/>
  <c r="E635" i="26"/>
  <c r="F635" i="26"/>
  <c r="G635" i="26"/>
  <c r="H635" i="26"/>
  <c r="M635" i="26"/>
  <c r="A636" i="26"/>
  <c r="B636" i="26"/>
  <c r="C636" i="26"/>
  <c r="D636" i="26"/>
  <c r="E636" i="26"/>
  <c r="F636" i="26"/>
  <c r="G636" i="26"/>
  <c r="H636" i="26"/>
  <c r="M636" i="26"/>
  <c r="A637" i="26"/>
  <c r="B637" i="26"/>
  <c r="C637" i="26"/>
  <c r="D637" i="26"/>
  <c r="E637" i="26"/>
  <c r="F637" i="26"/>
  <c r="G637" i="26"/>
  <c r="H637" i="26"/>
  <c r="M637" i="26"/>
  <c r="A638" i="26"/>
  <c r="B638" i="26"/>
  <c r="C638" i="26"/>
  <c r="D638" i="26"/>
  <c r="E638" i="26"/>
  <c r="F638" i="26"/>
  <c r="G638" i="26"/>
  <c r="H638" i="26"/>
  <c r="M638" i="26"/>
  <c r="A639" i="26"/>
  <c r="B639" i="26"/>
  <c r="C639" i="26"/>
  <c r="D639" i="26"/>
  <c r="E639" i="26"/>
  <c r="F639" i="26"/>
  <c r="G639" i="26"/>
  <c r="H639" i="26"/>
  <c r="M639" i="26"/>
  <c r="A640" i="26"/>
  <c r="B640" i="26"/>
  <c r="C640" i="26"/>
  <c r="D640" i="26"/>
  <c r="E640" i="26"/>
  <c r="F640" i="26"/>
  <c r="G640" i="26"/>
  <c r="H640" i="26"/>
  <c r="M640" i="26"/>
  <c r="A641" i="26"/>
  <c r="B641" i="26"/>
  <c r="C641" i="26"/>
  <c r="D641" i="26"/>
  <c r="E641" i="26"/>
  <c r="F641" i="26"/>
  <c r="G641" i="26"/>
  <c r="H641" i="26"/>
  <c r="M641" i="26"/>
  <c r="A642" i="26"/>
  <c r="B642" i="26"/>
  <c r="C642" i="26"/>
  <c r="D642" i="26"/>
  <c r="E642" i="26"/>
  <c r="F642" i="26"/>
  <c r="G642" i="26"/>
  <c r="H642" i="26"/>
  <c r="M642" i="26"/>
  <c r="A643" i="26"/>
  <c r="B643" i="26"/>
  <c r="C643" i="26"/>
  <c r="D643" i="26"/>
  <c r="E643" i="26"/>
  <c r="AK643" i="26" s="1"/>
  <c r="BU643" i="26" s="1"/>
  <c r="BV643" i="26" s="1"/>
  <c r="F643" i="26"/>
  <c r="G643" i="26"/>
  <c r="H643" i="26"/>
  <c r="M643" i="26"/>
  <c r="A644" i="26"/>
  <c r="B644" i="26"/>
  <c r="C644" i="26"/>
  <c r="D644" i="26"/>
  <c r="E644" i="26"/>
  <c r="F644" i="26"/>
  <c r="G644" i="26"/>
  <c r="H644" i="26"/>
  <c r="M644" i="26"/>
  <c r="A645" i="26"/>
  <c r="B645" i="26"/>
  <c r="C645" i="26"/>
  <c r="D645" i="26"/>
  <c r="E645" i="26"/>
  <c r="F645" i="26"/>
  <c r="G645" i="26"/>
  <c r="H645" i="26"/>
  <c r="M645" i="26"/>
  <c r="A646" i="26"/>
  <c r="B646" i="26"/>
  <c r="C646" i="26"/>
  <c r="D646" i="26"/>
  <c r="E646" i="26"/>
  <c r="F646" i="26"/>
  <c r="G646" i="26"/>
  <c r="H646" i="26"/>
  <c r="M646" i="26"/>
  <c r="A647" i="26"/>
  <c r="B647" i="26"/>
  <c r="C647" i="26"/>
  <c r="D647" i="26"/>
  <c r="E647" i="26"/>
  <c r="F647" i="26"/>
  <c r="G647" i="26"/>
  <c r="H647" i="26"/>
  <c r="M647" i="26"/>
  <c r="A648" i="26"/>
  <c r="B648" i="26"/>
  <c r="C648" i="26"/>
  <c r="D648" i="26"/>
  <c r="E648" i="26"/>
  <c r="F648" i="26"/>
  <c r="G648" i="26"/>
  <c r="H648" i="26"/>
  <c r="M648" i="26"/>
  <c r="A613" i="26"/>
  <c r="B613" i="26"/>
  <c r="C613" i="26"/>
  <c r="D613" i="26"/>
  <c r="E613" i="26"/>
  <c r="F613" i="26"/>
  <c r="G613" i="26"/>
  <c r="H613" i="26"/>
  <c r="M613" i="26"/>
  <c r="A614" i="26"/>
  <c r="B614" i="26"/>
  <c r="C614" i="26"/>
  <c r="D614" i="26"/>
  <c r="E614" i="26"/>
  <c r="F614" i="26"/>
  <c r="G614" i="26"/>
  <c r="H614" i="26"/>
  <c r="M614" i="26"/>
  <c r="A615" i="26"/>
  <c r="B615" i="26"/>
  <c r="C615" i="26"/>
  <c r="D615" i="26"/>
  <c r="E615" i="26"/>
  <c r="F615" i="26"/>
  <c r="G615" i="26"/>
  <c r="H615" i="26"/>
  <c r="M615" i="26"/>
  <c r="A616" i="26"/>
  <c r="B616" i="26"/>
  <c r="C616" i="26"/>
  <c r="D616" i="26"/>
  <c r="E616" i="26"/>
  <c r="F616" i="26"/>
  <c r="G616" i="26"/>
  <c r="H616" i="26"/>
  <c r="M616" i="26"/>
  <c r="A617" i="26"/>
  <c r="B617" i="26"/>
  <c r="C617" i="26"/>
  <c r="D617" i="26"/>
  <c r="E617" i="26"/>
  <c r="F617" i="26"/>
  <c r="G617" i="26"/>
  <c r="H617" i="26"/>
  <c r="M617" i="26"/>
  <c r="A618" i="26"/>
  <c r="B618" i="26"/>
  <c r="C618" i="26"/>
  <c r="D618" i="26"/>
  <c r="E618" i="26"/>
  <c r="F618" i="26"/>
  <c r="G618" i="26"/>
  <c r="H618" i="26"/>
  <c r="M618" i="26"/>
  <c r="A619" i="26"/>
  <c r="B619" i="26"/>
  <c r="C619" i="26"/>
  <c r="D619" i="26"/>
  <c r="E619" i="26"/>
  <c r="F619" i="26"/>
  <c r="G619" i="26"/>
  <c r="H619" i="26"/>
  <c r="M619" i="26"/>
  <c r="A620" i="26"/>
  <c r="B620" i="26"/>
  <c r="C620" i="26"/>
  <c r="D620" i="26"/>
  <c r="E620" i="26"/>
  <c r="F620" i="26"/>
  <c r="G620" i="26"/>
  <c r="H620" i="26"/>
  <c r="M620" i="26"/>
  <c r="A621" i="26"/>
  <c r="B621" i="26"/>
  <c r="C621" i="26"/>
  <c r="D621" i="26"/>
  <c r="E621" i="26"/>
  <c r="F621" i="26"/>
  <c r="G621" i="26"/>
  <c r="H621" i="26"/>
  <c r="M621" i="26"/>
  <c r="A622" i="26"/>
  <c r="B622" i="26"/>
  <c r="C622" i="26"/>
  <c r="D622" i="26"/>
  <c r="E622" i="26"/>
  <c r="F622" i="26"/>
  <c r="G622" i="26"/>
  <c r="H622" i="26"/>
  <c r="M622" i="26"/>
  <c r="A623" i="26"/>
  <c r="B623" i="26"/>
  <c r="C623" i="26"/>
  <c r="D623" i="26"/>
  <c r="E623" i="26"/>
  <c r="F623" i="26"/>
  <c r="G623" i="26"/>
  <c r="H623" i="26"/>
  <c r="M623" i="26"/>
  <c r="A624" i="26"/>
  <c r="B624" i="26"/>
  <c r="C624" i="26"/>
  <c r="D624" i="26"/>
  <c r="E624" i="26"/>
  <c r="F624" i="26"/>
  <c r="G624" i="26"/>
  <c r="H624" i="26"/>
  <c r="M624" i="26"/>
  <c r="A625" i="26"/>
  <c r="B625" i="26"/>
  <c r="C625" i="26"/>
  <c r="D625" i="26"/>
  <c r="E625" i="26"/>
  <c r="F625" i="26"/>
  <c r="G625" i="26"/>
  <c r="H625" i="26"/>
  <c r="M625" i="26"/>
  <c r="A626" i="26"/>
  <c r="B626" i="26"/>
  <c r="C626" i="26"/>
  <c r="D626" i="26"/>
  <c r="E626" i="26"/>
  <c r="F626" i="26"/>
  <c r="G626" i="26"/>
  <c r="H626" i="26"/>
  <c r="M626" i="26"/>
  <c r="A627" i="26"/>
  <c r="B627" i="26"/>
  <c r="C627" i="26"/>
  <c r="D627" i="26"/>
  <c r="E627" i="26"/>
  <c r="F627" i="26"/>
  <c r="G627" i="26"/>
  <c r="H627" i="26"/>
  <c r="M627" i="26"/>
  <c r="A628" i="26"/>
  <c r="B628" i="26"/>
  <c r="C628" i="26"/>
  <c r="D628" i="26"/>
  <c r="E628" i="26"/>
  <c r="F628" i="26"/>
  <c r="G628" i="26"/>
  <c r="H628" i="26"/>
  <c r="M628" i="26"/>
  <c r="A629" i="26"/>
  <c r="B629" i="26"/>
  <c r="C629" i="26"/>
  <c r="D629" i="26"/>
  <c r="E629" i="26"/>
  <c r="F629" i="26"/>
  <c r="G629" i="26"/>
  <c r="H629" i="26"/>
  <c r="M629" i="26"/>
  <c r="A630" i="26"/>
  <c r="B630" i="26"/>
  <c r="C630" i="26"/>
  <c r="D630" i="26"/>
  <c r="E630" i="26"/>
  <c r="F630" i="26"/>
  <c r="G630" i="26"/>
  <c r="H630" i="26"/>
  <c r="M630" i="26"/>
  <c r="A595" i="26"/>
  <c r="B595" i="26"/>
  <c r="C595" i="26"/>
  <c r="D595" i="26"/>
  <c r="E595" i="26"/>
  <c r="F595" i="26"/>
  <c r="G595" i="26"/>
  <c r="H595" i="26"/>
  <c r="M595" i="26"/>
  <c r="A596" i="26"/>
  <c r="B596" i="26"/>
  <c r="C596" i="26"/>
  <c r="D596" i="26"/>
  <c r="E596" i="26"/>
  <c r="F596" i="26"/>
  <c r="G596" i="26"/>
  <c r="H596" i="26"/>
  <c r="M596" i="26"/>
  <c r="A597" i="26"/>
  <c r="B597" i="26"/>
  <c r="C597" i="26"/>
  <c r="D597" i="26"/>
  <c r="E597" i="26"/>
  <c r="F597" i="26"/>
  <c r="G597" i="26"/>
  <c r="H597" i="26"/>
  <c r="M597" i="26"/>
  <c r="A598" i="26"/>
  <c r="B598" i="26"/>
  <c r="C598" i="26"/>
  <c r="D598" i="26"/>
  <c r="E598" i="26"/>
  <c r="F598" i="26"/>
  <c r="G598" i="26"/>
  <c r="H598" i="26"/>
  <c r="M598" i="26"/>
  <c r="A599" i="26"/>
  <c r="B599" i="26"/>
  <c r="C599" i="26"/>
  <c r="D599" i="26"/>
  <c r="E599" i="26"/>
  <c r="F599" i="26"/>
  <c r="G599" i="26"/>
  <c r="H599" i="26"/>
  <c r="M599" i="26"/>
  <c r="A600" i="26"/>
  <c r="B600" i="26"/>
  <c r="C600" i="26"/>
  <c r="D600" i="26"/>
  <c r="E600" i="26"/>
  <c r="F600" i="26"/>
  <c r="G600" i="26"/>
  <c r="H600" i="26"/>
  <c r="M600" i="26"/>
  <c r="A601" i="26"/>
  <c r="B601" i="26"/>
  <c r="C601" i="26"/>
  <c r="D601" i="26"/>
  <c r="E601" i="26"/>
  <c r="F601" i="26"/>
  <c r="G601" i="26"/>
  <c r="H601" i="26"/>
  <c r="M601" i="26"/>
  <c r="A602" i="26"/>
  <c r="B602" i="26"/>
  <c r="C602" i="26"/>
  <c r="D602" i="26"/>
  <c r="E602" i="26"/>
  <c r="F602" i="26"/>
  <c r="G602" i="26"/>
  <c r="H602" i="26"/>
  <c r="M602" i="26"/>
  <c r="A603" i="26"/>
  <c r="B603" i="26"/>
  <c r="C603" i="26"/>
  <c r="D603" i="26"/>
  <c r="E603" i="26"/>
  <c r="F603" i="26"/>
  <c r="G603" i="26"/>
  <c r="H603" i="26"/>
  <c r="M603" i="26"/>
  <c r="A604" i="26"/>
  <c r="B604" i="26"/>
  <c r="C604" i="26"/>
  <c r="D604" i="26"/>
  <c r="E604" i="26"/>
  <c r="F604" i="26"/>
  <c r="G604" i="26"/>
  <c r="H604" i="26"/>
  <c r="M604" i="26"/>
  <c r="A605" i="26"/>
  <c r="B605" i="26"/>
  <c r="C605" i="26"/>
  <c r="D605" i="26"/>
  <c r="E605" i="26"/>
  <c r="F605" i="26"/>
  <c r="G605" i="26"/>
  <c r="H605" i="26"/>
  <c r="M605" i="26"/>
  <c r="A606" i="26"/>
  <c r="B606" i="26"/>
  <c r="C606" i="26"/>
  <c r="D606" i="26"/>
  <c r="E606" i="26"/>
  <c r="F606" i="26"/>
  <c r="G606" i="26"/>
  <c r="H606" i="26"/>
  <c r="M606" i="26"/>
  <c r="A607" i="26"/>
  <c r="B607" i="26"/>
  <c r="C607" i="26"/>
  <c r="D607" i="26"/>
  <c r="E607" i="26"/>
  <c r="F607" i="26"/>
  <c r="G607" i="26"/>
  <c r="H607" i="26"/>
  <c r="M607" i="26"/>
  <c r="A608" i="26"/>
  <c r="B608" i="26"/>
  <c r="C608" i="26"/>
  <c r="D608" i="26"/>
  <c r="E608" i="26"/>
  <c r="F608" i="26"/>
  <c r="G608" i="26"/>
  <c r="H608" i="26"/>
  <c r="M608" i="26"/>
  <c r="A609" i="26"/>
  <c r="B609" i="26"/>
  <c r="C609" i="26"/>
  <c r="D609" i="26"/>
  <c r="E609" i="26"/>
  <c r="F609" i="26"/>
  <c r="G609" i="26"/>
  <c r="H609" i="26"/>
  <c r="M609" i="26"/>
  <c r="A610" i="26"/>
  <c r="B610" i="26"/>
  <c r="C610" i="26"/>
  <c r="D610" i="26"/>
  <c r="E610" i="26"/>
  <c r="F610" i="26"/>
  <c r="G610" i="26"/>
  <c r="H610" i="26"/>
  <c r="M610" i="26"/>
  <c r="A611" i="26"/>
  <c r="B611" i="26"/>
  <c r="C611" i="26"/>
  <c r="D611" i="26"/>
  <c r="E611" i="26"/>
  <c r="F611" i="26"/>
  <c r="G611" i="26"/>
  <c r="H611" i="26"/>
  <c r="M611" i="26"/>
  <c r="A612" i="26"/>
  <c r="B612" i="26"/>
  <c r="C612" i="26"/>
  <c r="D612" i="26"/>
  <c r="E612" i="26"/>
  <c r="F612" i="26"/>
  <c r="G612" i="26"/>
  <c r="H612" i="26"/>
  <c r="M612" i="26"/>
  <c r="A577" i="26"/>
  <c r="B577" i="26"/>
  <c r="C577" i="26"/>
  <c r="D577" i="26"/>
  <c r="E577" i="26"/>
  <c r="F577" i="26"/>
  <c r="G577" i="26"/>
  <c r="H577" i="26"/>
  <c r="M577" i="26"/>
  <c r="A578" i="26"/>
  <c r="B578" i="26"/>
  <c r="C578" i="26"/>
  <c r="D578" i="26"/>
  <c r="E578" i="26"/>
  <c r="F578" i="26"/>
  <c r="G578" i="26"/>
  <c r="H578" i="26"/>
  <c r="M578" i="26"/>
  <c r="A579" i="26"/>
  <c r="B579" i="26"/>
  <c r="C579" i="26"/>
  <c r="D579" i="26"/>
  <c r="E579" i="26"/>
  <c r="F579" i="26"/>
  <c r="G579" i="26"/>
  <c r="H579" i="26"/>
  <c r="M579" i="26"/>
  <c r="A580" i="26"/>
  <c r="B580" i="26"/>
  <c r="C580" i="26"/>
  <c r="D580" i="26"/>
  <c r="E580" i="26"/>
  <c r="F580" i="26"/>
  <c r="G580" i="26"/>
  <c r="H580" i="26"/>
  <c r="M580" i="26"/>
  <c r="A581" i="26"/>
  <c r="B581" i="26"/>
  <c r="C581" i="26"/>
  <c r="D581" i="26"/>
  <c r="E581" i="26"/>
  <c r="F581" i="26"/>
  <c r="G581" i="26"/>
  <c r="H581" i="26"/>
  <c r="M581" i="26"/>
  <c r="A582" i="26"/>
  <c r="B582" i="26"/>
  <c r="C582" i="26"/>
  <c r="D582" i="26"/>
  <c r="E582" i="26"/>
  <c r="F582" i="26"/>
  <c r="G582" i="26"/>
  <c r="H582" i="26"/>
  <c r="M582" i="26"/>
  <c r="A583" i="26"/>
  <c r="B583" i="26"/>
  <c r="C583" i="26"/>
  <c r="D583" i="26"/>
  <c r="E583" i="26"/>
  <c r="F583" i="26"/>
  <c r="G583" i="26"/>
  <c r="H583" i="26"/>
  <c r="M583" i="26"/>
  <c r="A584" i="26"/>
  <c r="B584" i="26"/>
  <c r="C584" i="26"/>
  <c r="D584" i="26"/>
  <c r="E584" i="26"/>
  <c r="F584" i="26"/>
  <c r="G584" i="26"/>
  <c r="H584" i="26"/>
  <c r="M584" i="26"/>
  <c r="A585" i="26"/>
  <c r="B585" i="26"/>
  <c r="C585" i="26"/>
  <c r="D585" i="26"/>
  <c r="E585" i="26"/>
  <c r="F585" i="26"/>
  <c r="G585" i="26"/>
  <c r="H585" i="26"/>
  <c r="M585" i="26"/>
  <c r="A586" i="26"/>
  <c r="B586" i="26"/>
  <c r="C586" i="26"/>
  <c r="D586" i="26"/>
  <c r="E586" i="26"/>
  <c r="F586" i="26"/>
  <c r="G586" i="26"/>
  <c r="H586" i="26"/>
  <c r="M586" i="26"/>
  <c r="A587" i="26"/>
  <c r="B587" i="26"/>
  <c r="C587" i="26"/>
  <c r="D587" i="26"/>
  <c r="E587" i="26"/>
  <c r="F587" i="26"/>
  <c r="G587" i="26"/>
  <c r="H587" i="26"/>
  <c r="M587" i="26"/>
  <c r="A588" i="26"/>
  <c r="B588" i="26"/>
  <c r="C588" i="26"/>
  <c r="D588" i="26"/>
  <c r="E588" i="26"/>
  <c r="F588" i="26"/>
  <c r="G588" i="26"/>
  <c r="H588" i="26"/>
  <c r="M588" i="26"/>
  <c r="A589" i="26"/>
  <c r="B589" i="26"/>
  <c r="C589" i="26"/>
  <c r="D589" i="26"/>
  <c r="E589" i="26"/>
  <c r="F589" i="26"/>
  <c r="G589" i="26"/>
  <c r="H589" i="26"/>
  <c r="M589" i="26"/>
  <c r="A590" i="26"/>
  <c r="B590" i="26"/>
  <c r="C590" i="26"/>
  <c r="D590" i="26"/>
  <c r="E590" i="26"/>
  <c r="F590" i="26"/>
  <c r="G590" i="26"/>
  <c r="H590" i="26"/>
  <c r="M590" i="26"/>
  <c r="A591" i="26"/>
  <c r="B591" i="26"/>
  <c r="C591" i="26"/>
  <c r="D591" i="26"/>
  <c r="E591" i="26"/>
  <c r="F591" i="26"/>
  <c r="G591" i="26"/>
  <c r="H591" i="26"/>
  <c r="M591" i="26"/>
  <c r="A592" i="26"/>
  <c r="B592" i="26"/>
  <c r="C592" i="26"/>
  <c r="D592" i="26"/>
  <c r="E592" i="26"/>
  <c r="F592" i="26"/>
  <c r="G592" i="26"/>
  <c r="H592" i="26"/>
  <c r="M592" i="26"/>
  <c r="A593" i="26"/>
  <c r="B593" i="26"/>
  <c r="C593" i="26"/>
  <c r="D593" i="26"/>
  <c r="E593" i="26"/>
  <c r="F593" i="26"/>
  <c r="G593" i="26"/>
  <c r="H593" i="26"/>
  <c r="M593" i="26"/>
  <c r="A594" i="26"/>
  <c r="B594" i="26"/>
  <c r="C594" i="26"/>
  <c r="D594" i="26"/>
  <c r="E594" i="26"/>
  <c r="F594" i="26"/>
  <c r="G594" i="26"/>
  <c r="H594" i="26"/>
  <c r="M594" i="26"/>
  <c r="A559" i="26"/>
  <c r="B559" i="26"/>
  <c r="C559" i="26"/>
  <c r="D559" i="26"/>
  <c r="E559" i="26"/>
  <c r="F559" i="26"/>
  <c r="G559" i="26"/>
  <c r="H559" i="26"/>
  <c r="M559" i="26"/>
  <c r="A560" i="26"/>
  <c r="B560" i="26"/>
  <c r="C560" i="26"/>
  <c r="D560" i="26"/>
  <c r="E560" i="26"/>
  <c r="F560" i="26"/>
  <c r="G560" i="26"/>
  <c r="H560" i="26"/>
  <c r="M560" i="26"/>
  <c r="A561" i="26"/>
  <c r="B561" i="26"/>
  <c r="C561" i="26"/>
  <c r="D561" i="26"/>
  <c r="E561" i="26"/>
  <c r="F561" i="26"/>
  <c r="G561" i="26"/>
  <c r="H561" i="26"/>
  <c r="M561" i="26"/>
  <c r="A562" i="26"/>
  <c r="B562" i="26"/>
  <c r="C562" i="26"/>
  <c r="D562" i="26"/>
  <c r="E562" i="26"/>
  <c r="F562" i="26"/>
  <c r="G562" i="26"/>
  <c r="H562" i="26"/>
  <c r="M562" i="26"/>
  <c r="A563" i="26"/>
  <c r="B563" i="26"/>
  <c r="C563" i="26"/>
  <c r="D563" i="26"/>
  <c r="E563" i="26"/>
  <c r="F563" i="26"/>
  <c r="G563" i="26"/>
  <c r="H563" i="26"/>
  <c r="M563" i="26"/>
  <c r="A564" i="26"/>
  <c r="B564" i="26"/>
  <c r="C564" i="26"/>
  <c r="D564" i="26"/>
  <c r="E564" i="26"/>
  <c r="F564" i="26"/>
  <c r="G564" i="26"/>
  <c r="H564" i="26"/>
  <c r="M564" i="26"/>
  <c r="A565" i="26"/>
  <c r="B565" i="26"/>
  <c r="C565" i="26"/>
  <c r="D565" i="26"/>
  <c r="E565" i="26"/>
  <c r="F565" i="26"/>
  <c r="G565" i="26"/>
  <c r="H565" i="26"/>
  <c r="M565" i="26"/>
  <c r="A566" i="26"/>
  <c r="B566" i="26"/>
  <c r="C566" i="26"/>
  <c r="D566" i="26"/>
  <c r="E566" i="26"/>
  <c r="F566" i="26"/>
  <c r="G566" i="26"/>
  <c r="H566" i="26"/>
  <c r="M566" i="26"/>
  <c r="A567" i="26"/>
  <c r="B567" i="26"/>
  <c r="C567" i="26"/>
  <c r="D567" i="26"/>
  <c r="E567" i="26"/>
  <c r="F567" i="26"/>
  <c r="G567" i="26"/>
  <c r="H567" i="26"/>
  <c r="M567" i="26"/>
  <c r="A568" i="26"/>
  <c r="B568" i="26"/>
  <c r="C568" i="26"/>
  <c r="D568" i="26"/>
  <c r="E568" i="26"/>
  <c r="F568" i="26"/>
  <c r="G568" i="26"/>
  <c r="H568" i="26"/>
  <c r="M568" i="26"/>
  <c r="A569" i="26"/>
  <c r="B569" i="26"/>
  <c r="C569" i="26"/>
  <c r="D569" i="26"/>
  <c r="E569" i="26"/>
  <c r="F569" i="26"/>
  <c r="G569" i="26"/>
  <c r="H569" i="26"/>
  <c r="M569" i="26"/>
  <c r="A570" i="26"/>
  <c r="B570" i="26"/>
  <c r="C570" i="26"/>
  <c r="D570" i="26"/>
  <c r="E570" i="26"/>
  <c r="F570" i="26"/>
  <c r="G570" i="26"/>
  <c r="H570" i="26"/>
  <c r="M570" i="26"/>
  <c r="A571" i="26"/>
  <c r="B571" i="26"/>
  <c r="C571" i="26"/>
  <c r="D571" i="26"/>
  <c r="E571" i="26"/>
  <c r="F571" i="26"/>
  <c r="G571" i="26"/>
  <c r="H571" i="26"/>
  <c r="M571" i="26"/>
  <c r="A572" i="26"/>
  <c r="B572" i="26"/>
  <c r="C572" i="26"/>
  <c r="D572" i="26"/>
  <c r="E572" i="26"/>
  <c r="F572" i="26"/>
  <c r="G572" i="26"/>
  <c r="H572" i="26"/>
  <c r="M572" i="26"/>
  <c r="A573" i="26"/>
  <c r="B573" i="26"/>
  <c r="C573" i="26"/>
  <c r="D573" i="26"/>
  <c r="E573" i="26"/>
  <c r="F573" i="26"/>
  <c r="G573" i="26"/>
  <c r="H573" i="26"/>
  <c r="M573" i="26"/>
  <c r="A574" i="26"/>
  <c r="B574" i="26"/>
  <c r="C574" i="26"/>
  <c r="D574" i="26"/>
  <c r="E574" i="26"/>
  <c r="F574" i="26"/>
  <c r="G574" i="26"/>
  <c r="H574" i="26"/>
  <c r="M574" i="26"/>
  <c r="A575" i="26"/>
  <c r="B575" i="26"/>
  <c r="C575" i="26"/>
  <c r="D575" i="26"/>
  <c r="E575" i="26"/>
  <c r="F575" i="26"/>
  <c r="G575" i="26"/>
  <c r="H575" i="26"/>
  <c r="M575" i="26"/>
  <c r="A576" i="26"/>
  <c r="B576" i="26"/>
  <c r="C576" i="26"/>
  <c r="D576" i="26"/>
  <c r="E576" i="26"/>
  <c r="F576" i="26"/>
  <c r="G576" i="26"/>
  <c r="H576" i="26"/>
  <c r="M576" i="26"/>
  <c r="A541" i="26"/>
  <c r="B541" i="26"/>
  <c r="C541" i="26"/>
  <c r="D541" i="26"/>
  <c r="E541" i="26"/>
  <c r="F541" i="26"/>
  <c r="G541" i="26"/>
  <c r="H541" i="26"/>
  <c r="M541" i="26"/>
  <c r="A542" i="26"/>
  <c r="B542" i="26"/>
  <c r="C542" i="26"/>
  <c r="D542" i="26"/>
  <c r="E542" i="26"/>
  <c r="F542" i="26"/>
  <c r="G542" i="26"/>
  <c r="H542" i="26"/>
  <c r="M542" i="26"/>
  <c r="A543" i="26"/>
  <c r="B543" i="26"/>
  <c r="C543" i="26"/>
  <c r="D543" i="26"/>
  <c r="E543" i="26"/>
  <c r="F543" i="26"/>
  <c r="G543" i="26"/>
  <c r="H543" i="26"/>
  <c r="M543" i="26"/>
  <c r="A544" i="26"/>
  <c r="B544" i="26"/>
  <c r="C544" i="26"/>
  <c r="D544" i="26"/>
  <c r="E544" i="26"/>
  <c r="F544" i="26"/>
  <c r="G544" i="26"/>
  <c r="H544" i="26"/>
  <c r="M544" i="26"/>
  <c r="A545" i="26"/>
  <c r="B545" i="26"/>
  <c r="C545" i="26"/>
  <c r="D545" i="26"/>
  <c r="E545" i="26"/>
  <c r="F545" i="26"/>
  <c r="G545" i="26"/>
  <c r="H545" i="26"/>
  <c r="M545" i="26"/>
  <c r="A546" i="26"/>
  <c r="B546" i="26"/>
  <c r="C546" i="26"/>
  <c r="D546" i="26"/>
  <c r="E546" i="26"/>
  <c r="F546" i="26"/>
  <c r="G546" i="26"/>
  <c r="H546" i="26"/>
  <c r="M546" i="26"/>
  <c r="A547" i="26"/>
  <c r="B547" i="26"/>
  <c r="C547" i="26"/>
  <c r="D547" i="26"/>
  <c r="E547" i="26"/>
  <c r="F547" i="26"/>
  <c r="G547" i="26"/>
  <c r="H547" i="26"/>
  <c r="M547" i="26"/>
  <c r="A548" i="26"/>
  <c r="B548" i="26"/>
  <c r="C548" i="26"/>
  <c r="D548" i="26"/>
  <c r="E548" i="26"/>
  <c r="F548" i="26"/>
  <c r="G548" i="26"/>
  <c r="H548" i="26"/>
  <c r="M548" i="26"/>
  <c r="A549" i="26"/>
  <c r="B549" i="26"/>
  <c r="C549" i="26"/>
  <c r="D549" i="26"/>
  <c r="E549" i="26"/>
  <c r="F549" i="26"/>
  <c r="G549" i="26"/>
  <c r="H549" i="26"/>
  <c r="M549" i="26"/>
  <c r="A550" i="26"/>
  <c r="B550" i="26"/>
  <c r="C550" i="26"/>
  <c r="D550" i="26"/>
  <c r="E550" i="26"/>
  <c r="F550" i="26"/>
  <c r="G550" i="26"/>
  <c r="H550" i="26"/>
  <c r="M550" i="26"/>
  <c r="A551" i="26"/>
  <c r="B551" i="26"/>
  <c r="C551" i="26"/>
  <c r="D551" i="26"/>
  <c r="E551" i="26"/>
  <c r="F551" i="26"/>
  <c r="G551" i="26"/>
  <c r="H551" i="26"/>
  <c r="M551" i="26"/>
  <c r="A552" i="26"/>
  <c r="B552" i="26"/>
  <c r="C552" i="26"/>
  <c r="D552" i="26"/>
  <c r="E552" i="26"/>
  <c r="F552" i="26"/>
  <c r="G552" i="26"/>
  <c r="H552" i="26"/>
  <c r="M552" i="26"/>
  <c r="A553" i="26"/>
  <c r="B553" i="26"/>
  <c r="C553" i="26"/>
  <c r="D553" i="26"/>
  <c r="E553" i="26"/>
  <c r="F553" i="26"/>
  <c r="G553" i="26"/>
  <c r="H553" i="26"/>
  <c r="M553" i="26"/>
  <c r="A554" i="26"/>
  <c r="B554" i="26"/>
  <c r="C554" i="26"/>
  <c r="D554" i="26"/>
  <c r="E554" i="26"/>
  <c r="F554" i="26"/>
  <c r="G554" i="26"/>
  <c r="H554" i="26"/>
  <c r="M554" i="26"/>
  <c r="A555" i="26"/>
  <c r="B555" i="26"/>
  <c r="C555" i="26"/>
  <c r="D555" i="26"/>
  <c r="E555" i="26"/>
  <c r="F555" i="26"/>
  <c r="G555" i="26"/>
  <c r="H555" i="26"/>
  <c r="M555" i="26"/>
  <c r="A556" i="26"/>
  <c r="B556" i="26"/>
  <c r="C556" i="26"/>
  <c r="D556" i="26"/>
  <c r="E556" i="26"/>
  <c r="F556" i="26"/>
  <c r="G556" i="26"/>
  <c r="H556" i="26"/>
  <c r="M556" i="26"/>
  <c r="A557" i="26"/>
  <c r="B557" i="26"/>
  <c r="C557" i="26"/>
  <c r="D557" i="26"/>
  <c r="E557" i="26"/>
  <c r="F557" i="26"/>
  <c r="G557" i="26"/>
  <c r="H557" i="26"/>
  <c r="M557" i="26"/>
  <c r="A558" i="26"/>
  <c r="B558" i="26"/>
  <c r="C558" i="26"/>
  <c r="D558" i="26"/>
  <c r="E558" i="26"/>
  <c r="F558" i="26"/>
  <c r="G558" i="26"/>
  <c r="H558" i="26"/>
  <c r="M558" i="26"/>
  <c r="A523" i="26"/>
  <c r="B523" i="26"/>
  <c r="C523" i="26"/>
  <c r="D523" i="26"/>
  <c r="E523" i="26"/>
  <c r="F523" i="26"/>
  <c r="G523" i="26"/>
  <c r="H523" i="26"/>
  <c r="M523" i="26"/>
  <c r="A524" i="26"/>
  <c r="B524" i="26"/>
  <c r="C524" i="26"/>
  <c r="D524" i="26"/>
  <c r="E524" i="26"/>
  <c r="F524" i="26"/>
  <c r="G524" i="26"/>
  <c r="H524" i="26"/>
  <c r="M524" i="26"/>
  <c r="A525" i="26"/>
  <c r="B525" i="26"/>
  <c r="C525" i="26"/>
  <c r="D525" i="26"/>
  <c r="E525" i="26"/>
  <c r="F525" i="26"/>
  <c r="G525" i="26"/>
  <c r="H525" i="26"/>
  <c r="M525" i="26"/>
  <c r="A526" i="26"/>
  <c r="B526" i="26"/>
  <c r="C526" i="26"/>
  <c r="D526" i="26"/>
  <c r="E526" i="26"/>
  <c r="F526" i="26"/>
  <c r="G526" i="26"/>
  <c r="H526" i="26"/>
  <c r="M526" i="26"/>
  <c r="A527" i="26"/>
  <c r="B527" i="26"/>
  <c r="C527" i="26"/>
  <c r="D527" i="26"/>
  <c r="E527" i="26"/>
  <c r="F527" i="26"/>
  <c r="G527" i="26"/>
  <c r="H527" i="26"/>
  <c r="M527" i="26"/>
  <c r="A528" i="26"/>
  <c r="B528" i="26"/>
  <c r="C528" i="26"/>
  <c r="D528" i="26"/>
  <c r="E528" i="26"/>
  <c r="F528" i="26"/>
  <c r="G528" i="26"/>
  <c r="H528" i="26"/>
  <c r="M528" i="26"/>
  <c r="A529" i="26"/>
  <c r="B529" i="26"/>
  <c r="C529" i="26"/>
  <c r="D529" i="26"/>
  <c r="E529" i="26"/>
  <c r="F529" i="26"/>
  <c r="G529" i="26"/>
  <c r="H529" i="26"/>
  <c r="M529" i="26"/>
  <c r="A530" i="26"/>
  <c r="B530" i="26"/>
  <c r="C530" i="26"/>
  <c r="D530" i="26"/>
  <c r="E530" i="26"/>
  <c r="F530" i="26"/>
  <c r="G530" i="26"/>
  <c r="H530" i="26"/>
  <c r="M530" i="26"/>
  <c r="A531" i="26"/>
  <c r="B531" i="26"/>
  <c r="C531" i="26"/>
  <c r="D531" i="26"/>
  <c r="E531" i="26"/>
  <c r="F531" i="26"/>
  <c r="G531" i="26"/>
  <c r="H531" i="26"/>
  <c r="M531" i="26"/>
  <c r="A532" i="26"/>
  <c r="B532" i="26"/>
  <c r="C532" i="26"/>
  <c r="D532" i="26"/>
  <c r="E532" i="26"/>
  <c r="F532" i="26"/>
  <c r="G532" i="26"/>
  <c r="H532" i="26"/>
  <c r="M532" i="26"/>
  <c r="A533" i="26"/>
  <c r="B533" i="26"/>
  <c r="C533" i="26"/>
  <c r="D533" i="26"/>
  <c r="E533" i="26"/>
  <c r="F533" i="26"/>
  <c r="G533" i="26"/>
  <c r="H533" i="26"/>
  <c r="M533" i="26"/>
  <c r="A534" i="26"/>
  <c r="B534" i="26"/>
  <c r="C534" i="26"/>
  <c r="D534" i="26"/>
  <c r="E534" i="26"/>
  <c r="F534" i="26"/>
  <c r="G534" i="26"/>
  <c r="H534" i="26"/>
  <c r="M534" i="26"/>
  <c r="A535" i="26"/>
  <c r="B535" i="26"/>
  <c r="C535" i="26"/>
  <c r="D535" i="26"/>
  <c r="E535" i="26"/>
  <c r="F535" i="26"/>
  <c r="G535" i="26"/>
  <c r="H535" i="26"/>
  <c r="M535" i="26"/>
  <c r="A536" i="26"/>
  <c r="B536" i="26"/>
  <c r="C536" i="26"/>
  <c r="D536" i="26"/>
  <c r="E536" i="26"/>
  <c r="F536" i="26"/>
  <c r="G536" i="26"/>
  <c r="H536" i="26"/>
  <c r="M536" i="26"/>
  <c r="A537" i="26"/>
  <c r="B537" i="26"/>
  <c r="C537" i="26"/>
  <c r="D537" i="26"/>
  <c r="E537" i="26"/>
  <c r="F537" i="26"/>
  <c r="G537" i="26"/>
  <c r="H537" i="26"/>
  <c r="M537" i="26"/>
  <c r="A538" i="26"/>
  <c r="B538" i="26"/>
  <c r="C538" i="26"/>
  <c r="D538" i="26"/>
  <c r="E538" i="26"/>
  <c r="F538" i="26"/>
  <c r="G538" i="26"/>
  <c r="H538" i="26"/>
  <c r="M538" i="26"/>
  <c r="A539" i="26"/>
  <c r="B539" i="26"/>
  <c r="C539" i="26"/>
  <c r="D539" i="26"/>
  <c r="E539" i="26"/>
  <c r="F539" i="26"/>
  <c r="G539" i="26"/>
  <c r="H539" i="26"/>
  <c r="M539" i="26"/>
  <c r="A540" i="26"/>
  <c r="B540" i="26"/>
  <c r="C540" i="26"/>
  <c r="D540" i="26"/>
  <c r="E540" i="26"/>
  <c r="F540" i="26"/>
  <c r="G540" i="26"/>
  <c r="H540" i="26"/>
  <c r="M540" i="26"/>
  <c r="A505" i="26"/>
  <c r="B505" i="26"/>
  <c r="C505" i="26"/>
  <c r="D505" i="26"/>
  <c r="E505" i="26"/>
  <c r="F505" i="26"/>
  <c r="G505" i="26"/>
  <c r="H505" i="26"/>
  <c r="M505" i="26"/>
  <c r="A506" i="26"/>
  <c r="B506" i="26"/>
  <c r="C506" i="26"/>
  <c r="D506" i="26"/>
  <c r="E506" i="26"/>
  <c r="F506" i="26"/>
  <c r="G506" i="26"/>
  <c r="H506" i="26"/>
  <c r="M506" i="26"/>
  <c r="A507" i="26"/>
  <c r="B507" i="26"/>
  <c r="C507" i="26"/>
  <c r="D507" i="26"/>
  <c r="E507" i="26"/>
  <c r="F507" i="26"/>
  <c r="G507" i="26"/>
  <c r="H507" i="26"/>
  <c r="M507" i="26"/>
  <c r="A508" i="26"/>
  <c r="B508" i="26"/>
  <c r="C508" i="26"/>
  <c r="D508" i="26"/>
  <c r="E508" i="26"/>
  <c r="F508" i="26"/>
  <c r="G508" i="26"/>
  <c r="H508" i="26"/>
  <c r="M508" i="26"/>
  <c r="A509" i="26"/>
  <c r="B509" i="26"/>
  <c r="C509" i="26"/>
  <c r="D509" i="26"/>
  <c r="E509" i="26"/>
  <c r="F509" i="26"/>
  <c r="G509" i="26"/>
  <c r="H509" i="26"/>
  <c r="M509" i="26"/>
  <c r="A510" i="26"/>
  <c r="B510" i="26"/>
  <c r="C510" i="26"/>
  <c r="D510" i="26"/>
  <c r="E510" i="26"/>
  <c r="F510" i="26"/>
  <c r="G510" i="26"/>
  <c r="H510" i="26"/>
  <c r="M510" i="26"/>
  <c r="A511" i="26"/>
  <c r="B511" i="26"/>
  <c r="C511" i="26"/>
  <c r="D511" i="26"/>
  <c r="E511" i="26"/>
  <c r="F511" i="26"/>
  <c r="G511" i="26"/>
  <c r="H511" i="26"/>
  <c r="M511" i="26"/>
  <c r="A512" i="26"/>
  <c r="B512" i="26"/>
  <c r="C512" i="26"/>
  <c r="D512" i="26"/>
  <c r="E512" i="26"/>
  <c r="F512" i="26"/>
  <c r="G512" i="26"/>
  <c r="H512" i="26"/>
  <c r="M512" i="26"/>
  <c r="A513" i="26"/>
  <c r="B513" i="26"/>
  <c r="C513" i="26"/>
  <c r="D513" i="26"/>
  <c r="E513" i="26"/>
  <c r="F513" i="26"/>
  <c r="G513" i="26"/>
  <c r="H513" i="26"/>
  <c r="M513" i="26"/>
  <c r="A514" i="26"/>
  <c r="B514" i="26"/>
  <c r="C514" i="26"/>
  <c r="D514" i="26"/>
  <c r="E514" i="26"/>
  <c r="F514" i="26"/>
  <c r="G514" i="26"/>
  <c r="H514" i="26"/>
  <c r="M514" i="26"/>
  <c r="A515" i="26"/>
  <c r="B515" i="26"/>
  <c r="C515" i="26"/>
  <c r="D515" i="26"/>
  <c r="E515" i="26"/>
  <c r="F515" i="26"/>
  <c r="G515" i="26"/>
  <c r="H515" i="26"/>
  <c r="M515" i="26"/>
  <c r="A516" i="26"/>
  <c r="B516" i="26"/>
  <c r="C516" i="26"/>
  <c r="D516" i="26"/>
  <c r="E516" i="26"/>
  <c r="F516" i="26"/>
  <c r="G516" i="26"/>
  <c r="H516" i="26"/>
  <c r="M516" i="26"/>
  <c r="A517" i="26"/>
  <c r="B517" i="26"/>
  <c r="C517" i="26"/>
  <c r="D517" i="26"/>
  <c r="E517" i="26"/>
  <c r="F517" i="26"/>
  <c r="G517" i="26"/>
  <c r="H517" i="26"/>
  <c r="M517" i="26"/>
  <c r="A518" i="26"/>
  <c r="B518" i="26"/>
  <c r="C518" i="26"/>
  <c r="D518" i="26"/>
  <c r="E518" i="26"/>
  <c r="F518" i="26"/>
  <c r="G518" i="26"/>
  <c r="H518" i="26"/>
  <c r="M518" i="26"/>
  <c r="A519" i="26"/>
  <c r="B519" i="26"/>
  <c r="C519" i="26"/>
  <c r="D519" i="26"/>
  <c r="E519" i="26"/>
  <c r="F519" i="26"/>
  <c r="G519" i="26"/>
  <c r="H519" i="26"/>
  <c r="M519" i="26"/>
  <c r="A520" i="26"/>
  <c r="B520" i="26"/>
  <c r="C520" i="26"/>
  <c r="D520" i="26"/>
  <c r="E520" i="26"/>
  <c r="F520" i="26"/>
  <c r="G520" i="26"/>
  <c r="H520" i="26"/>
  <c r="M520" i="26"/>
  <c r="A521" i="26"/>
  <c r="B521" i="26"/>
  <c r="C521" i="26"/>
  <c r="D521" i="26"/>
  <c r="E521" i="26"/>
  <c r="F521" i="26"/>
  <c r="G521" i="26"/>
  <c r="H521" i="26"/>
  <c r="M521" i="26"/>
  <c r="A522" i="26"/>
  <c r="B522" i="26"/>
  <c r="C522" i="26"/>
  <c r="D522" i="26"/>
  <c r="E522" i="26"/>
  <c r="F522" i="26"/>
  <c r="G522" i="26"/>
  <c r="H522" i="26"/>
  <c r="M522" i="26"/>
  <c r="A487" i="26"/>
  <c r="B487" i="26"/>
  <c r="C487" i="26"/>
  <c r="D487" i="26"/>
  <c r="E487" i="26"/>
  <c r="F487" i="26"/>
  <c r="G487" i="26"/>
  <c r="H487" i="26"/>
  <c r="M487" i="26"/>
  <c r="A488" i="26"/>
  <c r="B488" i="26"/>
  <c r="C488" i="26"/>
  <c r="D488" i="26"/>
  <c r="E488" i="26"/>
  <c r="F488" i="26"/>
  <c r="G488" i="26"/>
  <c r="H488" i="26"/>
  <c r="M488" i="26"/>
  <c r="A489" i="26"/>
  <c r="B489" i="26"/>
  <c r="C489" i="26"/>
  <c r="D489" i="26"/>
  <c r="E489" i="26"/>
  <c r="F489" i="26"/>
  <c r="G489" i="26"/>
  <c r="H489" i="26"/>
  <c r="M489" i="26"/>
  <c r="A490" i="26"/>
  <c r="B490" i="26"/>
  <c r="C490" i="26"/>
  <c r="D490" i="26"/>
  <c r="E490" i="26"/>
  <c r="F490" i="26"/>
  <c r="G490" i="26"/>
  <c r="H490" i="26"/>
  <c r="M490" i="26"/>
  <c r="A491" i="26"/>
  <c r="B491" i="26"/>
  <c r="C491" i="26"/>
  <c r="D491" i="26"/>
  <c r="E491" i="26"/>
  <c r="F491" i="26"/>
  <c r="G491" i="26"/>
  <c r="H491" i="26"/>
  <c r="M491" i="26"/>
  <c r="A492" i="26"/>
  <c r="B492" i="26"/>
  <c r="C492" i="26"/>
  <c r="D492" i="26"/>
  <c r="E492" i="26"/>
  <c r="F492" i="26"/>
  <c r="G492" i="26"/>
  <c r="H492" i="26"/>
  <c r="M492" i="26"/>
  <c r="A493" i="26"/>
  <c r="B493" i="26"/>
  <c r="C493" i="26"/>
  <c r="D493" i="26"/>
  <c r="E493" i="26"/>
  <c r="F493" i="26"/>
  <c r="G493" i="26"/>
  <c r="H493" i="26"/>
  <c r="M493" i="26"/>
  <c r="A494" i="26"/>
  <c r="B494" i="26"/>
  <c r="C494" i="26"/>
  <c r="D494" i="26"/>
  <c r="E494" i="26"/>
  <c r="F494" i="26"/>
  <c r="G494" i="26"/>
  <c r="H494" i="26"/>
  <c r="M494" i="26"/>
  <c r="A495" i="26"/>
  <c r="B495" i="26"/>
  <c r="C495" i="26"/>
  <c r="D495" i="26"/>
  <c r="E495" i="26"/>
  <c r="F495" i="26"/>
  <c r="G495" i="26"/>
  <c r="H495" i="26"/>
  <c r="M495" i="26"/>
  <c r="A496" i="26"/>
  <c r="B496" i="26"/>
  <c r="C496" i="26"/>
  <c r="D496" i="26"/>
  <c r="E496" i="26"/>
  <c r="F496" i="26"/>
  <c r="G496" i="26"/>
  <c r="H496" i="26"/>
  <c r="M496" i="26"/>
  <c r="A497" i="26"/>
  <c r="B497" i="26"/>
  <c r="C497" i="26"/>
  <c r="D497" i="26"/>
  <c r="E497" i="26"/>
  <c r="F497" i="26"/>
  <c r="G497" i="26"/>
  <c r="H497" i="26"/>
  <c r="M497" i="26"/>
  <c r="A498" i="26"/>
  <c r="B498" i="26"/>
  <c r="C498" i="26"/>
  <c r="D498" i="26"/>
  <c r="E498" i="26"/>
  <c r="F498" i="26"/>
  <c r="G498" i="26"/>
  <c r="H498" i="26"/>
  <c r="M498" i="26"/>
  <c r="A499" i="26"/>
  <c r="B499" i="26"/>
  <c r="C499" i="26"/>
  <c r="D499" i="26"/>
  <c r="E499" i="26"/>
  <c r="F499" i="26"/>
  <c r="G499" i="26"/>
  <c r="H499" i="26"/>
  <c r="M499" i="26"/>
  <c r="A500" i="26"/>
  <c r="B500" i="26"/>
  <c r="C500" i="26"/>
  <c r="D500" i="26"/>
  <c r="E500" i="26"/>
  <c r="F500" i="26"/>
  <c r="G500" i="26"/>
  <c r="H500" i="26"/>
  <c r="M500" i="26"/>
  <c r="A501" i="26"/>
  <c r="B501" i="26"/>
  <c r="C501" i="26"/>
  <c r="D501" i="26"/>
  <c r="E501" i="26"/>
  <c r="F501" i="26"/>
  <c r="G501" i="26"/>
  <c r="H501" i="26"/>
  <c r="M501" i="26"/>
  <c r="A502" i="26"/>
  <c r="B502" i="26"/>
  <c r="C502" i="26"/>
  <c r="D502" i="26"/>
  <c r="E502" i="26"/>
  <c r="F502" i="26"/>
  <c r="G502" i="26"/>
  <c r="H502" i="26"/>
  <c r="M502" i="26"/>
  <c r="A503" i="26"/>
  <c r="B503" i="26"/>
  <c r="C503" i="26"/>
  <c r="D503" i="26"/>
  <c r="E503" i="26"/>
  <c r="F503" i="26"/>
  <c r="G503" i="26"/>
  <c r="H503" i="26"/>
  <c r="M503" i="26"/>
  <c r="A504" i="26"/>
  <c r="B504" i="26"/>
  <c r="C504" i="26"/>
  <c r="D504" i="26"/>
  <c r="E504" i="26"/>
  <c r="F504" i="26"/>
  <c r="G504" i="26"/>
  <c r="H504" i="26"/>
  <c r="M504" i="26"/>
  <c r="A469" i="26"/>
  <c r="B469" i="26"/>
  <c r="C469" i="26"/>
  <c r="D469" i="26"/>
  <c r="E469" i="26"/>
  <c r="F469" i="26"/>
  <c r="G469" i="26"/>
  <c r="H469" i="26"/>
  <c r="M469" i="26"/>
  <c r="A470" i="26"/>
  <c r="B470" i="26"/>
  <c r="C470" i="26"/>
  <c r="D470" i="26"/>
  <c r="E470" i="26"/>
  <c r="F470" i="26"/>
  <c r="G470" i="26"/>
  <c r="H470" i="26"/>
  <c r="M470" i="26"/>
  <c r="A471" i="26"/>
  <c r="B471" i="26"/>
  <c r="C471" i="26"/>
  <c r="D471" i="26"/>
  <c r="E471" i="26"/>
  <c r="F471" i="26"/>
  <c r="G471" i="26"/>
  <c r="H471" i="26"/>
  <c r="M471" i="26"/>
  <c r="A472" i="26"/>
  <c r="B472" i="26"/>
  <c r="C472" i="26"/>
  <c r="D472" i="26"/>
  <c r="E472" i="26"/>
  <c r="F472" i="26"/>
  <c r="G472" i="26"/>
  <c r="H472" i="26"/>
  <c r="M472" i="26"/>
  <c r="A473" i="26"/>
  <c r="B473" i="26"/>
  <c r="C473" i="26"/>
  <c r="D473" i="26"/>
  <c r="E473" i="26"/>
  <c r="F473" i="26"/>
  <c r="G473" i="26"/>
  <c r="H473" i="26"/>
  <c r="M473" i="26"/>
  <c r="A474" i="26"/>
  <c r="B474" i="26"/>
  <c r="C474" i="26"/>
  <c r="D474" i="26"/>
  <c r="E474" i="26"/>
  <c r="F474" i="26"/>
  <c r="G474" i="26"/>
  <c r="H474" i="26"/>
  <c r="M474" i="26"/>
  <c r="A475" i="26"/>
  <c r="B475" i="26"/>
  <c r="C475" i="26"/>
  <c r="D475" i="26"/>
  <c r="E475" i="26"/>
  <c r="F475" i="26"/>
  <c r="G475" i="26"/>
  <c r="H475" i="26"/>
  <c r="M475" i="26"/>
  <c r="A476" i="26"/>
  <c r="B476" i="26"/>
  <c r="C476" i="26"/>
  <c r="D476" i="26"/>
  <c r="E476" i="26"/>
  <c r="F476" i="26"/>
  <c r="G476" i="26"/>
  <c r="H476" i="26"/>
  <c r="M476" i="26"/>
  <c r="A477" i="26"/>
  <c r="B477" i="26"/>
  <c r="C477" i="26"/>
  <c r="D477" i="26"/>
  <c r="E477" i="26"/>
  <c r="F477" i="26"/>
  <c r="G477" i="26"/>
  <c r="H477" i="26"/>
  <c r="M477" i="26"/>
  <c r="A478" i="26"/>
  <c r="B478" i="26"/>
  <c r="C478" i="26"/>
  <c r="D478" i="26"/>
  <c r="E478" i="26"/>
  <c r="F478" i="26"/>
  <c r="G478" i="26"/>
  <c r="H478" i="26"/>
  <c r="M478" i="26"/>
  <c r="A479" i="26"/>
  <c r="B479" i="26"/>
  <c r="C479" i="26"/>
  <c r="D479" i="26"/>
  <c r="E479" i="26"/>
  <c r="F479" i="26"/>
  <c r="G479" i="26"/>
  <c r="H479" i="26"/>
  <c r="M479" i="26"/>
  <c r="A480" i="26"/>
  <c r="B480" i="26"/>
  <c r="C480" i="26"/>
  <c r="D480" i="26"/>
  <c r="E480" i="26"/>
  <c r="F480" i="26"/>
  <c r="G480" i="26"/>
  <c r="H480" i="26"/>
  <c r="M480" i="26"/>
  <c r="A481" i="26"/>
  <c r="B481" i="26"/>
  <c r="C481" i="26"/>
  <c r="D481" i="26"/>
  <c r="E481" i="26"/>
  <c r="F481" i="26"/>
  <c r="G481" i="26"/>
  <c r="H481" i="26"/>
  <c r="M481" i="26"/>
  <c r="A482" i="26"/>
  <c r="B482" i="26"/>
  <c r="C482" i="26"/>
  <c r="D482" i="26"/>
  <c r="E482" i="26"/>
  <c r="F482" i="26"/>
  <c r="G482" i="26"/>
  <c r="H482" i="26"/>
  <c r="M482" i="26"/>
  <c r="A483" i="26"/>
  <c r="B483" i="26"/>
  <c r="C483" i="26"/>
  <c r="D483" i="26"/>
  <c r="E483" i="26"/>
  <c r="F483" i="26"/>
  <c r="G483" i="26"/>
  <c r="H483" i="26"/>
  <c r="M483" i="26"/>
  <c r="A484" i="26"/>
  <c r="B484" i="26"/>
  <c r="C484" i="26"/>
  <c r="D484" i="26"/>
  <c r="E484" i="26"/>
  <c r="F484" i="26"/>
  <c r="G484" i="26"/>
  <c r="H484" i="26"/>
  <c r="M484" i="26"/>
  <c r="A485" i="26"/>
  <c r="B485" i="26"/>
  <c r="C485" i="26"/>
  <c r="D485" i="26"/>
  <c r="E485" i="26"/>
  <c r="F485" i="26"/>
  <c r="G485" i="26"/>
  <c r="H485" i="26"/>
  <c r="M485" i="26"/>
  <c r="A486" i="26"/>
  <c r="B486" i="26"/>
  <c r="C486" i="26"/>
  <c r="D486" i="26"/>
  <c r="E486" i="26"/>
  <c r="F486" i="26"/>
  <c r="G486" i="26"/>
  <c r="H486" i="26"/>
  <c r="M486" i="26"/>
  <c r="A451" i="26"/>
  <c r="B451" i="26"/>
  <c r="C451" i="26"/>
  <c r="D451" i="26"/>
  <c r="E451" i="26"/>
  <c r="F451" i="26"/>
  <c r="G451" i="26"/>
  <c r="H451" i="26"/>
  <c r="M451" i="26"/>
  <c r="A452" i="26"/>
  <c r="B452" i="26"/>
  <c r="C452" i="26"/>
  <c r="D452" i="26"/>
  <c r="E452" i="26"/>
  <c r="F452" i="26"/>
  <c r="G452" i="26"/>
  <c r="H452" i="26"/>
  <c r="M452" i="26"/>
  <c r="A453" i="26"/>
  <c r="B453" i="26"/>
  <c r="C453" i="26"/>
  <c r="D453" i="26"/>
  <c r="E453" i="26"/>
  <c r="F453" i="26"/>
  <c r="G453" i="26"/>
  <c r="H453" i="26"/>
  <c r="M453" i="26"/>
  <c r="A454" i="26"/>
  <c r="B454" i="26"/>
  <c r="C454" i="26"/>
  <c r="D454" i="26"/>
  <c r="E454" i="26"/>
  <c r="F454" i="26"/>
  <c r="G454" i="26"/>
  <c r="H454" i="26"/>
  <c r="M454" i="26"/>
  <c r="A455" i="26"/>
  <c r="B455" i="26"/>
  <c r="C455" i="26"/>
  <c r="D455" i="26"/>
  <c r="E455" i="26"/>
  <c r="F455" i="26"/>
  <c r="G455" i="26"/>
  <c r="H455" i="26"/>
  <c r="M455" i="26"/>
  <c r="A456" i="26"/>
  <c r="B456" i="26"/>
  <c r="C456" i="26"/>
  <c r="D456" i="26"/>
  <c r="E456" i="26"/>
  <c r="F456" i="26"/>
  <c r="G456" i="26"/>
  <c r="H456" i="26"/>
  <c r="M456" i="26"/>
  <c r="A457" i="26"/>
  <c r="B457" i="26"/>
  <c r="C457" i="26"/>
  <c r="D457" i="26"/>
  <c r="E457" i="26"/>
  <c r="F457" i="26"/>
  <c r="G457" i="26"/>
  <c r="H457" i="26"/>
  <c r="M457" i="26"/>
  <c r="A458" i="26"/>
  <c r="B458" i="26"/>
  <c r="C458" i="26"/>
  <c r="D458" i="26"/>
  <c r="E458" i="26"/>
  <c r="F458" i="26"/>
  <c r="G458" i="26"/>
  <c r="H458" i="26"/>
  <c r="M458" i="26"/>
  <c r="A459" i="26"/>
  <c r="B459" i="26"/>
  <c r="C459" i="26"/>
  <c r="D459" i="26"/>
  <c r="E459" i="26"/>
  <c r="F459" i="26"/>
  <c r="G459" i="26"/>
  <c r="H459" i="26"/>
  <c r="M459" i="26"/>
  <c r="A460" i="26"/>
  <c r="B460" i="26"/>
  <c r="C460" i="26"/>
  <c r="D460" i="26"/>
  <c r="E460" i="26"/>
  <c r="F460" i="26"/>
  <c r="G460" i="26"/>
  <c r="H460" i="26"/>
  <c r="M460" i="26"/>
  <c r="A461" i="26"/>
  <c r="B461" i="26"/>
  <c r="C461" i="26"/>
  <c r="D461" i="26"/>
  <c r="E461" i="26"/>
  <c r="F461" i="26"/>
  <c r="G461" i="26"/>
  <c r="H461" i="26"/>
  <c r="M461" i="26"/>
  <c r="A462" i="26"/>
  <c r="B462" i="26"/>
  <c r="C462" i="26"/>
  <c r="D462" i="26"/>
  <c r="E462" i="26"/>
  <c r="F462" i="26"/>
  <c r="G462" i="26"/>
  <c r="H462" i="26"/>
  <c r="M462" i="26"/>
  <c r="A463" i="26"/>
  <c r="B463" i="26"/>
  <c r="C463" i="26"/>
  <c r="D463" i="26"/>
  <c r="E463" i="26"/>
  <c r="F463" i="26"/>
  <c r="G463" i="26"/>
  <c r="H463" i="26"/>
  <c r="M463" i="26"/>
  <c r="A464" i="26"/>
  <c r="B464" i="26"/>
  <c r="C464" i="26"/>
  <c r="D464" i="26"/>
  <c r="E464" i="26"/>
  <c r="F464" i="26"/>
  <c r="G464" i="26"/>
  <c r="H464" i="26"/>
  <c r="M464" i="26"/>
  <c r="A465" i="26"/>
  <c r="B465" i="26"/>
  <c r="C465" i="26"/>
  <c r="D465" i="26"/>
  <c r="E465" i="26"/>
  <c r="F465" i="26"/>
  <c r="G465" i="26"/>
  <c r="H465" i="26"/>
  <c r="M465" i="26"/>
  <c r="A466" i="26"/>
  <c r="B466" i="26"/>
  <c r="C466" i="26"/>
  <c r="D466" i="26"/>
  <c r="E466" i="26"/>
  <c r="F466" i="26"/>
  <c r="G466" i="26"/>
  <c r="H466" i="26"/>
  <c r="M466" i="26"/>
  <c r="A467" i="26"/>
  <c r="B467" i="26"/>
  <c r="C467" i="26"/>
  <c r="D467" i="26"/>
  <c r="E467" i="26"/>
  <c r="F467" i="26"/>
  <c r="G467" i="26"/>
  <c r="H467" i="26"/>
  <c r="M467" i="26"/>
  <c r="A468" i="26"/>
  <c r="B468" i="26"/>
  <c r="C468" i="26"/>
  <c r="D468" i="26"/>
  <c r="E468" i="26"/>
  <c r="F468" i="26"/>
  <c r="G468" i="26"/>
  <c r="H468" i="26"/>
  <c r="M468" i="26"/>
  <c r="A433" i="26"/>
  <c r="B433" i="26"/>
  <c r="C433" i="26"/>
  <c r="D433" i="26"/>
  <c r="E433" i="26"/>
  <c r="F433" i="26"/>
  <c r="G433" i="26"/>
  <c r="H433" i="26"/>
  <c r="M433" i="26"/>
  <c r="A434" i="26"/>
  <c r="B434" i="26"/>
  <c r="C434" i="26"/>
  <c r="D434" i="26"/>
  <c r="E434" i="26"/>
  <c r="F434" i="26"/>
  <c r="G434" i="26"/>
  <c r="H434" i="26"/>
  <c r="M434" i="26"/>
  <c r="A435" i="26"/>
  <c r="B435" i="26"/>
  <c r="C435" i="26"/>
  <c r="D435" i="26"/>
  <c r="E435" i="26"/>
  <c r="F435" i="26"/>
  <c r="G435" i="26"/>
  <c r="H435" i="26"/>
  <c r="M435" i="26"/>
  <c r="A436" i="26"/>
  <c r="B436" i="26"/>
  <c r="C436" i="26"/>
  <c r="D436" i="26"/>
  <c r="E436" i="26"/>
  <c r="F436" i="26"/>
  <c r="G436" i="26"/>
  <c r="H436" i="26"/>
  <c r="M436" i="26"/>
  <c r="A437" i="26"/>
  <c r="B437" i="26"/>
  <c r="C437" i="26"/>
  <c r="D437" i="26"/>
  <c r="E437" i="26"/>
  <c r="F437" i="26"/>
  <c r="G437" i="26"/>
  <c r="H437" i="26"/>
  <c r="M437" i="26"/>
  <c r="A438" i="26"/>
  <c r="B438" i="26"/>
  <c r="C438" i="26"/>
  <c r="D438" i="26"/>
  <c r="E438" i="26"/>
  <c r="F438" i="26"/>
  <c r="G438" i="26"/>
  <c r="H438" i="26"/>
  <c r="M438" i="26"/>
  <c r="A439" i="26"/>
  <c r="B439" i="26"/>
  <c r="C439" i="26"/>
  <c r="D439" i="26"/>
  <c r="E439" i="26"/>
  <c r="F439" i="26"/>
  <c r="G439" i="26"/>
  <c r="H439" i="26"/>
  <c r="M439" i="26"/>
  <c r="A440" i="26"/>
  <c r="B440" i="26"/>
  <c r="C440" i="26"/>
  <c r="D440" i="26"/>
  <c r="E440" i="26"/>
  <c r="F440" i="26"/>
  <c r="G440" i="26"/>
  <c r="H440" i="26"/>
  <c r="M440" i="26"/>
  <c r="A441" i="26"/>
  <c r="B441" i="26"/>
  <c r="C441" i="26"/>
  <c r="D441" i="26"/>
  <c r="E441" i="26"/>
  <c r="F441" i="26"/>
  <c r="G441" i="26"/>
  <c r="H441" i="26"/>
  <c r="M441" i="26"/>
  <c r="A442" i="26"/>
  <c r="B442" i="26"/>
  <c r="C442" i="26"/>
  <c r="D442" i="26"/>
  <c r="E442" i="26"/>
  <c r="F442" i="26"/>
  <c r="G442" i="26"/>
  <c r="H442" i="26"/>
  <c r="M442" i="26"/>
  <c r="A443" i="26"/>
  <c r="B443" i="26"/>
  <c r="C443" i="26"/>
  <c r="D443" i="26"/>
  <c r="E443" i="26"/>
  <c r="F443" i="26"/>
  <c r="G443" i="26"/>
  <c r="H443" i="26"/>
  <c r="M443" i="26"/>
  <c r="A444" i="26"/>
  <c r="B444" i="26"/>
  <c r="C444" i="26"/>
  <c r="D444" i="26"/>
  <c r="E444" i="26"/>
  <c r="F444" i="26"/>
  <c r="G444" i="26"/>
  <c r="H444" i="26"/>
  <c r="M444" i="26"/>
  <c r="A445" i="26"/>
  <c r="B445" i="26"/>
  <c r="C445" i="26"/>
  <c r="D445" i="26"/>
  <c r="E445" i="26"/>
  <c r="F445" i="26"/>
  <c r="G445" i="26"/>
  <c r="H445" i="26"/>
  <c r="M445" i="26"/>
  <c r="A446" i="26"/>
  <c r="B446" i="26"/>
  <c r="C446" i="26"/>
  <c r="D446" i="26"/>
  <c r="E446" i="26"/>
  <c r="F446" i="26"/>
  <c r="G446" i="26"/>
  <c r="H446" i="26"/>
  <c r="M446" i="26"/>
  <c r="A447" i="26"/>
  <c r="B447" i="26"/>
  <c r="C447" i="26"/>
  <c r="D447" i="26"/>
  <c r="E447" i="26"/>
  <c r="F447" i="26"/>
  <c r="G447" i="26"/>
  <c r="H447" i="26"/>
  <c r="M447" i="26"/>
  <c r="A448" i="26"/>
  <c r="B448" i="26"/>
  <c r="C448" i="26"/>
  <c r="D448" i="26"/>
  <c r="E448" i="26"/>
  <c r="F448" i="26"/>
  <c r="G448" i="26"/>
  <c r="H448" i="26"/>
  <c r="M448" i="26"/>
  <c r="A449" i="26"/>
  <c r="B449" i="26"/>
  <c r="C449" i="26"/>
  <c r="D449" i="26"/>
  <c r="E449" i="26"/>
  <c r="F449" i="26"/>
  <c r="G449" i="26"/>
  <c r="H449" i="26"/>
  <c r="M449" i="26"/>
  <c r="A450" i="26"/>
  <c r="B450" i="26"/>
  <c r="C450" i="26"/>
  <c r="D450" i="26"/>
  <c r="E450" i="26"/>
  <c r="F450" i="26"/>
  <c r="G450" i="26"/>
  <c r="H450" i="26"/>
  <c r="M450" i="26"/>
  <c r="A415" i="26"/>
  <c r="B415" i="26"/>
  <c r="C415" i="26"/>
  <c r="D415" i="26"/>
  <c r="E415" i="26"/>
  <c r="F415" i="26"/>
  <c r="G415" i="26"/>
  <c r="H415" i="26"/>
  <c r="M415" i="26"/>
  <c r="A416" i="26"/>
  <c r="B416" i="26"/>
  <c r="C416" i="26"/>
  <c r="D416" i="26"/>
  <c r="E416" i="26"/>
  <c r="F416" i="26"/>
  <c r="G416" i="26"/>
  <c r="H416" i="26"/>
  <c r="M416" i="26"/>
  <c r="A417" i="26"/>
  <c r="B417" i="26"/>
  <c r="C417" i="26"/>
  <c r="D417" i="26"/>
  <c r="E417" i="26"/>
  <c r="F417" i="26"/>
  <c r="G417" i="26"/>
  <c r="H417" i="26"/>
  <c r="M417" i="26"/>
  <c r="A418" i="26"/>
  <c r="B418" i="26"/>
  <c r="C418" i="26"/>
  <c r="D418" i="26"/>
  <c r="E418" i="26"/>
  <c r="F418" i="26"/>
  <c r="G418" i="26"/>
  <c r="H418" i="26"/>
  <c r="M418" i="26"/>
  <c r="A419" i="26"/>
  <c r="B419" i="26"/>
  <c r="C419" i="26"/>
  <c r="D419" i="26"/>
  <c r="E419" i="26"/>
  <c r="F419" i="26"/>
  <c r="G419" i="26"/>
  <c r="H419" i="26"/>
  <c r="M419" i="26"/>
  <c r="A420" i="26"/>
  <c r="B420" i="26"/>
  <c r="C420" i="26"/>
  <c r="D420" i="26"/>
  <c r="E420" i="26"/>
  <c r="F420" i="26"/>
  <c r="G420" i="26"/>
  <c r="H420" i="26"/>
  <c r="M420" i="26"/>
  <c r="A421" i="26"/>
  <c r="B421" i="26"/>
  <c r="C421" i="26"/>
  <c r="D421" i="26"/>
  <c r="E421" i="26"/>
  <c r="F421" i="26"/>
  <c r="G421" i="26"/>
  <c r="H421" i="26"/>
  <c r="M421" i="26"/>
  <c r="A422" i="26"/>
  <c r="B422" i="26"/>
  <c r="C422" i="26"/>
  <c r="D422" i="26"/>
  <c r="E422" i="26"/>
  <c r="F422" i="26"/>
  <c r="G422" i="26"/>
  <c r="H422" i="26"/>
  <c r="M422" i="26"/>
  <c r="A423" i="26"/>
  <c r="B423" i="26"/>
  <c r="C423" i="26"/>
  <c r="D423" i="26"/>
  <c r="E423" i="26"/>
  <c r="F423" i="26"/>
  <c r="G423" i="26"/>
  <c r="H423" i="26"/>
  <c r="M423" i="26"/>
  <c r="A424" i="26"/>
  <c r="B424" i="26"/>
  <c r="C424" i="26"/>
  <c r="D424" i="26"/>
  <c r="E424" i="26"/>
  <c r="F424" i="26"/>
  <c r="G424" i="26"/>
  <c r="H424" i="26"/>
  <c r="M424" i="26"/>
  <c r="A425" i="26"/>
  <c r="B425" i="26"/>
  <c r="C425" i="26"/>
  <c r="D425" i="26"/>
  <c r="E425" i="26"/>
  <c r="F425" i="26"/>
  <c r="G425" i="26"/>
  <c r="H425" i="26"/>
  <c r="M425" i="26"/>
  <c r="A426" i="26"/>
  <c r="B426" i="26"/>
  <c r="C426" i="26"/>
  <c r="D426" i="26"/>
  <c r="E426" i="26"/>
  <c r="F426" i="26"/>
  <c r="G426" i="26"/>
  <c r="H426" i="26"/>
  <c r="M426" i="26"/>
  <c r="A427" i="26"/>
  <c r="B427" i="26"/>
  <c r="C427" i="26"/>
  <c r="D427" i="26"/>
  <c r="E427" i="26"/>
  <c r="F427" i="26"/>
  <c r="G427" i="26"/>
  <c r="H427" i="26"/>
  <c r="M427" i="26"/>
  <c r="A428" i="26"/>
  <c r="B428" i="26"/>
  <c r="C428" i="26"/>
  <c r="D428" i="26"/>
  <c r="E428" i="26"/>
  <c r="F428" i="26"/>
  <c r="G428" i="26"/>
  <c r="H428" i="26"/>
  <c r="M428" i="26"/>
  <c r="A429" i="26"/>
  <c r="B429" i="26"/>
  <c r="C429" i="26"/>
  <c r="D429" i="26"/>
  <c r="E429" i="26"/>
  <c r="F429" i="26"/>
  <c r="G429" i="26"/>
  <c r="H429" i="26"/>
  <c r="M429" i="26"/>
  <c r="A430" i="26"/>
  <c r="B430" i="26"/>
  <c r="C430" i="26"/>
  <c r="D430" i="26"/>
  <c r="E430" i="26"/>
  <c r="F430" i="26"/>
  <c r="G430" i="26"/>
  <c r="H430" i="26"/>
  <c r="M430" i="26"/>
  <c r="A431" i="26"/>
  <c r="B431" i="26"/>
  <c r="C431" i="26"/>
  <c r="D431" i="26"/>
  <c r="E431" i="26"/>
  <c r="F431" i="26"/>
  <c r="G431" i="26"/>
  <c r="H431" i="26"/>
  <c r="M431" i="26"/>
  <c r="A432" i="26"/>
  <c r="B432" i="26"/>
  <c r="C432" i="26"/>
  <c r="D432" i="26"/>
  <c r="E432" i="26"/>
  <c r="F432" i="26"/>
  <c r="G432" i="26"/>
  <c r="H432" i="26"/>
  <c r="M432" i="26"/>
  <c r="A397" i="26"/>
  <c r="B397" i="26"/>
  <c r="C397" i="26"/>
  <c r="D397" i="26"/>
  <c r="E397" i="26"/>
  <c r="F397" i="26"/>
  <c r="G397" i="26"/>
  <c r="H397" i="26"/>
  <c r="M397" i="26"/>
  <c r="A398" i="26"/>
  <c r="B398" i="26"/>
  <c r="C398" i="26"/>
  <c r="D398" i="26"/>
  <c r="E398" i="26"/>
  <c r="F398" i="26"/>
  <c r="G398" i="26"/>
  <c r="H398" i="26"/>
  <c r="M398" i="26"/>
  <c r="A399" i="26"/>
  <c r="B399" i="26"/>
  <c r="C399" i="26"/>
  <c r="D399" i="26"/>
  <c r="E399" i="26"/>
  <c r="F399" i="26"/>
  <c r="G399" i="26"/>
  <c r="H399" i="26"/>
  <c r="M399" i="26"/>
  <c r="A400" i="26"/>
  <c r="B400" i="26"/>
  <c r="C400" i="26"/>
  <c r="D400" i="26"/>
  <c r="E400" i="26"/>
  <c r="F400" i="26"/>
  <c r="G400" i="26"/>
  <c r="H400" i="26"/>
  <c r="M400" i="26"/>
  <c r="A401" i="26"/>
  <c r="B401" i="26"/>
  <c r="C401" i="26"/>
  <c r="D401" i="26"/>
  <c r="E401" i="26"/>
  <c r="F401" i="26"/>
  <c r="G401" i="26"/>
  <c r="H401" i="26"/>
  <c r="M401" i="26"/>
  <c r="A402" i="26"/>
  <c r="B402" i="26"/>
  <c r="C402" i="26"/>
  <c r="D402" i="26"/>
  <c r="E402" i="26"/>
  <c r="F402" i="26"/>
  <c r="G402" i="26"/>
  <c r="H402" i="26"/>
  <c r="M402" i="26"/>
  <c r="A403" i="26"/>
  <c r="B403" i="26"/>
  <c r="C403" i="26"/>
  <c r="D403" i="26"/>
  <c r="E403" i="26"/>
  <c r="F403" i="26"/>
  <c r="G403" i="26"/>
  <c r="H403" i="26"/>
  <c r="M403" i="26"/>
  <c r="A404" i="26"/>
  <c r="B404" i="26"/>
  <c r="C404" i="26"/>
  <c r="D404" i="26"/>
  <c r="E404" i="26"/>
  <c r="AK404" i="26" s="1"/>
  <c r="BU404" i="26" s="1"/>
  <c r="BV404" i="26" s="1"/>
  <c r="F404" i="26"/>
  <c r="G404" i="26"/>
  <c r="H404" i="26"/>
  <c r="M404" i="26"/>
  <c r="A405" i="26"/>
  <c r="B405" i="26"/>
  <c r="C405" i="26"/>
  <c r="D405" i="26"/>
  <c r="E405" i="26"/>
  <c r="F405" i="26"/>
  <c r="G405" i="26"/>
  <c r="H405" i="26"/>
  <c r="M405" i="26"/>
  <c r="A406" i="26"/>
  <c r="B406" i="26"/>
  <c r="C406" i="26"/>
  <c r="D406" i="26"/>
  <c r="E406" i="26"/>
  <c r="F406" i="26"/>
  <c r="G406" i="26"/>
  <c r="H406" i="26"/>
  <c r="M406" i="26"/>
  <c r="A407" i="26"/>
  <c r="B407" i="26"/>
  <c r="C407" i="26"/>
  <c r="D407" i="26"/>
  <c r="E407" i="26"/>
  <c r="F407" i="26"/>
  <c r="G407" i="26"/>
  <c r="H407" i="26"/>
  <c r="M407" i="26"/>
  <c r="A408" i="26"/>
  <c r="B408" i="26"/>
  <c r="C408" i="26"/>
  <c r="D408" i="26"/>
  <c r="E408" i="26"/>
  <c r="F408" i="26"/>
  <c r="G408" i="26"/>
  <c r="H408" i="26"/>
  <c r="M408" i="26"/>
  <c r="A409" i="26"/>
  <c r="B409" i="26"/>
  <c r="C409" i="26"/>
  <c r="D409" i="26"/>
  <c r="E409" i="26"/>
  <c r="F409" i="26"/>
  <c r="G409" i="26"/>
  <c r="H409" i="26"/>
  <c r="M409" i="26"/>
  <c r="A410" i="26"/>
  <c r="B410" i="26"/>
  <c r="C410" i="26"/>
  <c r="D410" i="26"/>
  <c r="E410" i="26"/>
  <c r="F410" i="26"/>
  <c r="G410" i="26"/>
  <c r="H410" i="26"/>
  <c r="M410" i="26"/>
  <c r="A411" i="26"/>
  <c r="B411" i="26"/>
  <c r="C411" i="26"/>
  <c r="D411" i="26"/>
  <c r="E411" i="26"/>
  <c r="F411" i="26"/>
  <c r="G411" i="26"/>
  <c r="H411" i="26"/>
  <c r="M411" i="26"/>
  <c r="A412" i="26"/>
  <c r="B412" i="26"/>
  <c r="C412" i="26"/>
  <c r="D412" i="26"/>
  <c r="E412" i="26"/>
  <c r="F412" i="26"/>
  <c r="G412" i="26"/>
  <c r="H412" i="26"/>
  <c r="M412" i="26"/>
  <c r="A413" i="26"/>
  <c r="B413" i="26"/>
  <c r="C413" i="26"/>
  <c r="D413" i="26"/>
  <c r="E413" i="26"/>
  <c r="F413" i="26"/>
  <c r="G413" i="26"/>
  <c r="H413" i="26"/>
  <c r="M413" i="26"/>
  <c r="A414" i="26"/>
  <c r="B414" i="26"/>
  <c r="C414" i="26"/>
  <c r="D414" i="26"/>
  <c r="E414" i="26"/>
  <c r="F414" i="26"/>
  <c r="G414" i="26"/>
  <c r="H414" i="26"/>
  <c r="M414" i="26"/>
  <c r="A379" i="26"/>
  <c r="B379" i="26"/>
  <c r="C379" i="26"/>
  <c r="D379" i="26"/>
  <c r="E379" i="26"/>
  <c r="F379" i="26"/>
  <c r="G379" i="26"/>
  <c r="H379" i="26"/>
  <c r="M379" i="26"/>
  <c r="A380" i="26"/>
  <c r="B380" i="26"/>
  <c r="C380" i="26"/>
  <c r="D380" i="26"/>
  <c r="E380" i="26"/>
  <c r="F380" i="26"/>
  <c r="G380" i="26"/>
  <c r="H380" i="26"/>
  <c r="M380" i="26"/>
  <c r="A381" i="26"/>
  <c r="B381" i="26"/>
  <c r="C381" i="26"/>
  <c r="D381" i="26"/>
  <c r="E381" i="26"/>
  <c r="F381" i="26"/>
  <c r="G381" i="26"/>
  <c r="H381" i="26"/>
  <c r="M381" i="26"/>
  <c r="A382" i="26"/>
  <c r="B382" i="26"/>
  <c r="C382" i="26"/>
  <c r="D382" i="26"/>
  <c r="E382" i="26"/>
  <c r="F382" i="26"/>
  <c r="G382" i="26"/>
  <c r="H382" i="26"/>
  <c r="M382" i="26"/>
  <c r="A383" i="26"/>
  <c r="B383" i="26"/>
  <c r="C383" i="26"/>
  <c r="D383" i="26"/>
  <c r="E383" i="26"/>
  <c r="F383" i="26"/>
  <c r="G383" i="26"/>
  <c r="H383" i="26"/>
  <c r="M383" i="26"/>
  <c r="A384" i="26"/>
  <c r="B384" i="26"/>
  <c r="C384" i="26"/>
  <c r="D384" i="26"/>
  <c r="E384" i="26"/>
  <c r="F384" i="26"/>
  <c r="G384" i="26"/>
  <c r="H384" i="26"/>
  <c r="M384" i="26"/>
  <c r="A385" i="26"/>
  <c r="B385" i="26"/>
  <c r="C385" i="26"/>
  <c r="D385" i="26"/>
  <c r="E385" i="26"/>
  <c r="F385" i="26"/>
  <c r="G385" i="26"/>
  <c r="H385" i="26"/>
  <c r="M385" i="26"/>
  <c r="A386" i="26"/>
  <c r="B386" i="26"/>
  <c r="C386" i="26"/>
  <c r="D386" i="26"/>
  <c r="E386" i="26"/>
  <c r="F386" i="26"/>
  <c r="G386" i="26"/>
  <c r="H386" i="26"/>
  <c r="M386" i="26"/>
  <c r="A387" i="26"/>
  <c r="B387" i="26"/>
  <c r="C387" i="26"/>
  <c r="D387" i="26"/>
  <c r="E387" i="26"/>
  <c r="F387" i="26"/>
  <c r="G387" i="26"/>
  <c r="H387" i="26"/>
  <c r="M387" i="26"/>
  <c r="A388" i="26"/>
  <c r="B388" i="26"/>
  <c r="C388" i="26"/>
  <c r="D388" i="26"/>
  <c r="E388" i="26"/>
  <c r="F388" i="26"/>
  <c r="G388" i="26"/>
  <c r="H388" i="26"/>
  <c r="M388" i="26"/>
  <c r="A389" i="26"/>
  <c r="B389" i="26"/>
  <c r="C389" i="26"/>
  <c r="D389" i="26"/>
  <c r="E389" i="26"/>
  <c r="F389" i="26"/>
  <c r="G389" i="26"/>
  <c r="H389" i="26"/>
  <c r="M389" i="26"/>
  <c r="A390" i="26"/>
  <c r="B390" i="26"/>
  <c r="C390" i="26"/>
  <c r="D390" i="26"/>
  <c r="E390" i="26"/>
  <c r="F390" i="26"/>
  <c r="G390" i="26"/>
  <c r="H390" i="26"/>
  <c r="M390" i="26"/>
  <c r="A391" i="26"/>
  <c r="B391" i="26"/>
  <c r="C391" i="26"/>
  <c r="D391" i="26"/>
  <c r="E391" i="26"/>
  <c r="F391" i="26"/>
  <c r="G391" i="26"/>
  <c r="H391" i="26"/>
  <c r="M391" i="26"/>
  <c r="A392" i="26"/>
  <c r="B392" i="26"/>
  <c r="C392" i="26"/>
  <c r="D392" i="26"/>
  <c r="E392" i="26"/>
  <c r="F392" i="26"/>
  <c r="G392" i="26"/>
  <c r="H392" i="26"/>
  <c r="M392" i="26"/>
  <c r="A393" i="26"/>
  <c r="B393" i="26"/>
  <c r="C393" i="26"/>
  <c r="D393" i="26"/>
  <c r="E393" i="26"/>
  <c r="F393" i="26"/>
  <c r="G393" i="26"/>
  <c r="H393" i="26"/>
  <c r="M393" i="26"/>
  <c r="A394" i="26"/>
  <c r="B394" i="26"/>
  <c r="C394" i="26"/>
  <c r="D394" i="26"/>
  <c r="E394" i="26"/>
  <c r="F394" i="26"/>
  <c r="G394" i="26"/>
  <c r="H394" i="26"/>
  <c r="M394" i="26"/>
  <c r="A395" i="26"/>
  <c r="B395" i="26"/>
  <c r="C395" i="26"/>
  <c r="D395" i="26"/>
  <c r="E395" i="26"/>
  <c r="F395" i="26"/>
  <c r="G395" i="26"/>
  <c r="H395" i="26"/>
  <c r="M395" i="26"/>
  <c r="A396" i="26"/>
  <c r="B396" i="26"/>
  <c r="C396" i="26"/>
  <c r="D396" i="26"/>
  <c r="E396" i="26"/>
  <c r="F396" i="26"/>
  <c r="G396" i="26"/>
  <c r="H396" i="26"/>
  <c r="M396" i="26"/>
  <c r="A361" i="26"/>
  <c r="B361" i="26"/>
  <c r="C361" i="26"/>
  <c r="D361" i="26"/>
  <c r="E361" i="26"/>
  <c r="F361" i="26"/>
  <c r="G361" i="26"/>
  <c r="H361" i="26"/>
  <c r="M361" i="26"/>
  <c r="A362" i="26"/>
  <c r="B362" i="26"/>
  <c r="C362" i="26"/>
  <c r="D362" i="26"/>
  <c r="E362" i="26"/>
  <c r="F362" i="26"/>
  <c r="G362" i="26"/>
  <c r="H362" i="26"/>
  <c r="M362" i="26"/>
  <c r="A363" i="26"/>
  <c r="B363" i="26"/>
  <c r="C363" i="26"/>
  <c r="D363" i="26"/>
  <c r="E363" i="26"/>
  <c r="F363" i="26"/>
  <c r="G363" i="26"/>
  <c r="H363" i="26"/>
  <c r="M363" i="26"/>
  <c r="A364" i="26"/>
  <c r="B364" i="26"/>
  <c r="C364" i="26"/>
  <c r="D364" i="26"/>
  <c r="E364" i="26"/>
  <c r="F364" i="26"/>
  <c r="G364" i="26"/>
  <c r="H364" i="26"/>
  <c r="M364" i="26"/>
  <c r="A365" i="26"/>
  <c r="B365" i="26"/>
  <c r="C365" i="26"/>
  <c r="D365" i="26"/>
  <c r="E365" i="26"/>
  <c r="F365" i="26"/>
  <c r="G365" i="26"/>
  <c r="H365" i="26"/>
  <c r="M365" i="26"/>
  <c r="A366" i="26"/>
  <c r="B366" i="26"/>
  <c r="C366" i="26"/>
  <c r="D366" i="26"/>
  <c r="E366" i="26"/>
  <c r="F366" i="26"/>
  <c r="G366" i="26"/>
  <c r="H366" i="26"/>
  <c r="M366" i="26"/>
  <c r="A367" i="26"/>
  <c r="B367" i="26"/>
  <c r="C367" i="26"/>
  <c r="D367" i="26"/>
  <c r="E367" i="26"/>
  <c r="F367" i="26"/>
  <c r="G367" i="26"/>
  <c r="H367" i="26"/>
  <c r="M367" i="26"/>
  <c r="A368" i="26"/>
  <c r="B368" i="26"/>
  <c r="C368" i="26"/>
  <c r="D368" i="26"/>
  <c r="E368" i="26"/>
  <c r="F368" i="26"/>
  <c r="G368" i="26"/>
  <c r="H368" i="26"/>
  <c r="M368" i="26"/>
  <c r="A369" i="26"/>
  <c r="B369" i="26"/>
  <c r="C369" i="26"/>
  <c r="D369" i="26"/>
  <c r="E369" i="26"/>
  <c r="F369" i="26"/>
  <c r="G369" i="26"/>
  <c r="H369" i="26"/>
  <c r="M369" i="26"/>
  <c r="A370" i="26"/>
  <c r="B370" i="26"/>
  <c r="C370" i="26"/>
  <c r="D370" i="26"/>
  <c r="E370" i="26"/>
  <c r="F370" i="26"/>
  <c r="G370" i="26"/>
  <c r="H370" i="26"/>
  <c r="M370" i="26"/>
  <c r="A371" i="26"/>
  <c r="B371" i="26"/>
  <c r="C371" i="26"/>
  <c r="D371" i="26"/>
  <c r="E371" i="26"/>
  <c r="F371" i="26"/>
  <c r="G371" i="26"/>
  <c r="H371" i="26"/>
  <c r="M371" i="26"/>
  <c r="A372" i="26"/>
  <c r="B372" i="26"/>
  <c r="C372" i="26"/>
  <c r="D372" i="26"/>
  <c r="E372" i="26"/>
  <c r="F372" i="26"/>
  <c r="G372" i="26"/>
  <c r="H372" i="26"/>
  <c r="M372" i="26"/>
  <c r="A373" i="26"/>
  <c r="B373" i="26"/>
  <c r="C373" i="26"/>
  <c r="D373" i="26"/>
  <c r="E373" i="26"/>
  <c r="F373" i="26"/>
  <c r="G373" i="26"/>
  <c r="H373" i="26"/>
  <c r="M373" i="26"/>
  <c r="A374" i="26"/>
  <c r="B374" i="26"/>
  <c r="C374" i="26"/>
  <c r="D374" i="26"/>
  <c r="E374" i="26"/>
  <c r="F374" i="26"/>
  <c r="G374" i="26"/>
  <c r="H374" i="26"/>
  <c r="M374" i="26"/>
  <c r="A375" i="26"/>
  <c r="B375" i="26"/>
  <c r="C375" i="26"/>
  <c r="D375" i="26"/>
  <c r="E375" i="26"/>
  <c r="F375" i="26"/>
  <c r="G375" i="26"/>
  <c r="H375" i="26"/>
  <c r="M375" i="26"/>
  <c r="A376" i="26"/>
  <c r="B376" i="26"/>
  <c r="C376" i="26"/>
  <c r="D376" i="26"/>
  <c r="E376" i="26"/>
  <c r="F376" i="26"/>
  <c r="G376" i="26"/>
  <c r="H376" i="26"/>
  <c r="M376" i="26"/>
  <c r="A377" i="26"/>
  <c r="B377" i="26"/>
  <c r="C377" i="26"/>
  <c r="D377" i="26"/>
  <c r="E377" i="26"/>
  <c r="F377" i="26"/>
  <c r="G377" i="26"/>
  <c r="H377" i="26"/>
  <c r="M377" i="26"/>
  <c r="A378" i="26"/>
  <c r="B378" i="26"/>
  <c r="C378" i="26"/>
  <c r="D378" i="26"/>
  <c r="E378" i="26"/>
  <c r="F378" i="26"/>
  <c r="G378" i="26"/>
  <c r="H378" i="26"/>
  <c r="M378" i="26"/>
  <c r="A343" i="26"/>
  <c r="B343" i="26"/>
  <c r="C343" i="26"/>
  <c r="D343" i="26"/>
  <c r="E343" i="26"/>
  <c r="F343" i="26"/>
  <c r="G343" i="26"/>
  <c r="H343" i="26"/>
  <c r="M343" i="26"/>
  <c r="A344" i="26"/>
  <c r="B344" i="26"/>
  <c r="C344" i="26"/>
  <c r="D344" i="26"/>
  <c r="E344" i="26"/>
  <c r="F344" i="26"/>
  <c r="G344" i="26"/>
  <c r="H344" i="26"/>
  <c r="M344" i="26"/>
  <c r="A345" i="26"/>
  <c r="B345" i="26"/>
  <c r="C345" i="26"/>
  <c r="D345" i="26"/>
  <c r="E345" i="26"/>
  <c r="F345" i="26"/>
  <c r="G345" i="26"/>
  <c r="H345" i="26"/>
  <c r="M345" i="26"/>
  <c r="A346" i="26"/>
  <c r="B346" i="26"/>
  <c r="C346" i="26"/>
  <c r="D346" i="26"/>
  <c r="E346" i="26"/>
  <c r="F346" i="26"/>
  <c r="G346" i="26"/>
  <c r="H346" i="26"/>
  <c r="M346" i="26"/>
  <c r="A347" i="26"/>
  <c r="B347" i="26"/>
  <c r="C347" i="26"/>
  <c r="D347" i="26"/>
  <c r="E347" i="26"/>
  <c r="F347" i="26"/>
  <c r="G347" i="26"/>
  <c r="H347" i="26"/>
  <c r="M347" i="26"/>
  <c r="A348" i="26"/>
  <c r="B348" i="26"/>
  <c r="C348" i="26"/>
  <c r="D348" i="26"/>
  <c r="E348" i="26"/>
  <c r="F348" i="26"/>
  <c r="G348" i="26"/>
  <c r="H348" i="26"/>
  <c r="M348" i="26"/>
  <c r="A349" i="26"/>
  <c r="B349" i="26"/>
  <c r="C349" i="26"/>
  <c r="D349" i="26"/>
  <c r="E349" i="26"/>
  <c r="F349" i="26"/>
  <c r="G349" i="26"/>
  <c r="H349" i="26"/>
  <c r="M349" i="26"/>
  <c r="A350" i="26"/>
  <c r="B350" i="26"/>
  <c r="C350" i="26"/>
  <c r="D350" i="26"/>
  <c r="E350" i="26"/>
  <c r="F350" i="26"/>
  <c r="G350" i="26"/>
  <c r="H350" i="26"/>
  <c r="M350" i="26"/>
  <c r="A351" i="26"/>
  <c r="B351" i="26"/>
  <c r="C351" i="26"/>
  <c r="D351" i="26"/>
  <c r="E351" i="26"/>
  <c r="F351" i="26"/>
  <c r="G351" i="26"/>
  <c r="H351" i="26"/>
  <c r="M351" i="26"/>
  <c r="A352" i="26"/>
  <c r="B352" i="26"/>
  <c r="C352" i="26"/>
  <c r="D352" i="26"/>
  <c r="E352" i="26"/>
  <c r="F352" i="26"/>
  <c r="G352" i="26"/>
  <c r="H352" i="26"/>
  <c r="M352" i="26"/>
  <c r="A353" i="26"/>
  <c r="B353" i="26"/>
  <c r="C353" i="26"/>
  <c r="D353" i="26"/>
  <c r="E353" i="26"/>
  <c r="F353" i="26"/>
  <c r="G353" i="26"/>
  <c r="H353" i="26"/>
  <c r="M353" i="26"/>
  <c r="A354" i="26"/>
  <c r="B354" i="26"/>
  <c r="C354" i="26"/>
  <c r="D354" i="26"/>
  <c r="E354" i="26"/>
  <c r="F354" i="26"/>
  <c r="G354" i="26"/>
  <c r="H354" i="26"/>
  <c r="M354" i="26"/>
  <c r="A355" i="26"/>
  <c r="B355" i="26"/>
  <c r="C355" i="26"/>
  <c r="D355" i="26"/>
  <c r="E355" i="26"/>
  <c r="F355" i="26"/>
  <c r="G355" i="26"/>
  <c r="H355" i="26"/>
  <c r="M355" i="26"/>
  <c r="A356" i="26"/>
  <c r="B356" i="26"/>
  <c r="C356" i="26"/>
  <c r="D356" i="26"/>
  <c r="E356" i="26"/>
  <c r="F356" i="26"/>
  <c r="G356" i="26"/>
  <c r="H356" i="26"/>
  <c r="M356" i="26"/>
  <c r="A357" i="26"/>
  <c r="B357" i="26"/>
  <c r="C357" i="26"/>
  <c r="D357" i="26"/>
  <c r="E357" i="26"/>
  <c r="F357" i="26"/>
  <c r="G357" i="26"/>
  <c r="H357" i="26"/>
  <c r="M357" i="26"/>
  <c r="A358" i="26"/>
  <c r="B358" i="26"/>
  <c r="C358" i="26"/>
  <c r="D358" i="26"/>
  <c r="E358" i="26"/>
  <c r="F358" i="26"/>
  <c r="G358" i="26"/>
  <c r="H358" i="26"/>
  <c r="M358" i="26"/>
  <c r="A359" i="26"/>
  <c r="B359" i="26"/>
  <c r="C359" i="26"/>
  <c r="D359" i="26"/>
  <c r="E359" i="26"/>
  <c r="F359" i="26"/>
  <c r="G359" i="26"/>
  <c r="H359" i="26"/>
  <c r="M359" i="26"/>
  <c r="A360" i="26"/>
  <c r="B360" i="26"/>
  <c r="C360" i="26"/>
  <c r="D360" i="26"/>
  <c r="E360" i="26"/>
  <c r="F360" i="26"/>
  <c r="G360" i="26"/>
  <c r="H360" i="26"/>
  <c r="M360" i="26"/>
  <c r="A325" i="26"/>
  <c r="B325" i="26"/>
  <c r="C325" i="26"/>
  <c r="D325" i="26"/>
  <c r="E325" i="26"/>
  <c r="F325" i="26"/>
  <c r="G325" i="26"/>
  <c r="H325" i="26"/>
  <c r="M325" i="26"/>
  <c r="A326" i="26"/>
  <c r="B326" i="26"/>
  <c r="C326" i="26"/>
  <c r="D326" i="26"/>
  <c r="E326" i="26"/>
  <c r="F326" i="26"/>
  <c r="G326" i="26"/>
  <c r="H326" i="26"/>
  <c r="M326" i="26"/>
  <c r="A327" i="26"/>
  <c r="B327" i="26"/>
  <c r="C327" i="26"/>
  <c r="D327" i="26"/>
  <c r="E327" i="26"/>
  <c r="F327" i="26"/>
  <c r="G327" i="26"/>
  <c r="H327" i="26"/>
  <c r="M327" i="26"/>
  <c r="A328" i="26"/>
  <c r="B328" i="26"/>
  <c r="C328" i="26"/>
  <c r="D328" i="26"/>
  <c r="E328" i="26"/>
  <c r="F328" i="26"/>
  <c r="G328" i="26"/>
  <c r="H328" i="26"/>
  <c r="M328" i="26"/>
  <c r="A329" i="26"/>
  <c r="B329" i="26"/>
  <c r="C329" i="26"/>
  <c r="D329" i="26"/>
  <c r="E329" i="26"/>
  <c r="F329" i="26"/>
  <c r="G329" i="26"/>
  <c r="H329" i="26"/>
  <c r="M329" i="26"/>
  <c r="A330" i="26"/>
  <c r="B330" i="26"/>
  <c r="C330" i="26"/>
  <c r="D330" i="26"/>
  <c r="E330" i="26"/>
  <c r="F330" i="26"/>
  <c r="G330" i="26"/>
  <c r="H330" i="26"/>
  <c r="M330" i="26"/>
  <c r="A331" i="26"/>
  <c r="B331" i="26"/>
  <c r="C331" i="26"/>
  <c r="D331" i="26"/>
  <c r="E331" i="26"/>
  <c r="F331" i="26"/>
  <c r="G331" i="26"/>
  <c r="H331" i="26"/>
  <c r="M331" i="26"/>
  <c r="A332" i="26"/>
  <c r="B332" i="26"/>
  <c r="C332" i="26"/>
  <c r="D332" i="26"/>
  <c r="E332" i="26"/>
  <c r="F332" i="26"/>
  <c r="G332" i="26"/>
  <c r="H332" i="26"/>
  <c r="M332" i="26"/>
  <c r="A333" i="26"/>
  <c r="B333" i="26"/>
  <c r="C333" i="26"/>
  <c r="D333" i="26"/>
  <c r="E333" i="26"/>
  <c r="F333" i="26"/>
  <c r="G333" i="26"/>
  <c r="H333" i="26"/>
  <c r="M333" i="26"/>
  <c r="A334" i="26"/>
  <c r="B334" i="26"/>
  <c r="C334" i="26"/>
  <c r="D334" i="26"/>
  <c r="E334" i="26"/>
  <c r="F334" i="26"/>
  <c r="G334" i="26"/>
  <c r="H334" i="26"/>
  <c r="M334" i="26"/>
  <c r="A335" i="26"/>
  <c r="B335" i="26"/>
  <c r="C335" i="26"/>
  <c r="D335" i="26"/>
  <c r="E335" i="26"/>
  <c r="F335" i="26"/>
  <c r="G335" i="26"/>
  <c r="H335" i="26"/>
  <c r="M335" i="26"/>
  <c r="A336" i="26"/>
  <c r="B336" i="26"/>
  <c r="C336" i="26"/>
  <c r="D336" i="26"/>
  <c r="E336" i="26"/>
  <c r="F336" i="26"/>
  <c r="G336" i="26"/>
  <c r="H336" i="26"/>
  <c r="M336" i="26"/>
  <c r="A337" i="26"/>
  <c r="B337" i="26"/>
  <c r="C337" i="26"/>
  <c r="D337" i="26"/>
  <c r="E337" i="26"/>
  <c r="F337" i="26"/>
  <c r="G337" i="26"/>
  <c r="H337" i="26"/>
  <c r="M337" i="26"/>
  <c r="A338" i="26"/>
  <c r="B338" i="26"/>
  <c r="C338" i="26"/>
  <c r="D338" i="26"/>
  <c r="E338" i="26"/>
  <c r="F338" i="26"/>
  <c r="G338" i="26"/>
  <c r="H338" i="26"/>
  <c r="M338" i="26"/>
  <c r="A339" i="26"/>
  <c r="B339" i="26"/>
  <c r="C339" i="26"/>
  <c r="D339" i="26"/>
  <c r="E339" i="26"/>
  <c r="F339" i="26"/>
  <c r="G339" i="26"/>
  <c r="H339" i="26"/>
  <c r="M339" i="26"/>
  <c r="A340" i="26"/>
  <c r="B340" i="26"/>
  <c r="C340" i="26"/>
  <c r="D340" i="26"/>
  <c r="E340" i="26"/>
  <c r="F340" i="26"/>
  <c r="G340" i="26"/>
  <c r="H340" i="26"/>
  <c r="M340" i="26"/>
  <c r="A341" i="26"/>
  <c r="B341" i="26"/>
  <c r="C341" i="26"/>
  <c r="D341" i="26"/>
  <c r="E341" i="26"/>
  <c r="F341" i="26"/>
  <c r="G341" i="26"/>
  <c r="H341" i="26"/>
  <c r="M341" i="26"/>
  <c r="A342" i="26"/>
  <c r="B342" i="26"/>
  <c r="C342" i="26"/>
  <c r="D342" i="26"/>
  <c r="E342" i="26"/>
  <c r="F342" i="26"/>
  <c r="G342" i="26"/>
  <c r="H342" i="26"/>
  <c r="M342" i="26"/>
  <c r="A307" i="26"/>
  <c r="B307" i="26"/>
  <c r="C307" i="26"/>
  <c r="D307" i="26"/>
  <c r="E307" i="26"/>
  <c r="F307" i="26"/>
  <c r="G307" i="26"/>
  <c r="H307" i="26"/>
  <c r="M307" i="26"/>
  <c r="A308" i="26"/>
  <c r="B308" i="26"/>
  <c r="C308" i="26"/>
  <c r="D308" i="26"/>
  <c r="E308" i="26"/>
  <c r="F308" i="26"/>
  <c r="G308" i="26"/>
  <c r="H308" i="26"/>
  <c r="M308" i="26"/>
  <c r="A309" i="26"/>
  <c r="B309" i="26"/>
  <c r="C309" i="26"/>
  <c r="D309" i="26"/>
  <c r="E309" i="26"/>
  <c r="F309" i="26"/>
  <c r="G309" i="26"/>
  <c r="H309" i="26"/>
  <c r="M309" i="26"/>
  <c r="A310" i="26"/>
  <c r="B310" i="26"/>
  <c r="C310" i="26"/>
  <c r="D310" i="26"/>
  <c r="E310" i="26"/>
  <c r="F310" i="26"/>
  <c r="G310" i="26"/>
  <c r="H310" i="26"/>
  <c r="M310" i="26"/>
  <c r="A311" i="26"/>
  <c r="B311" i="26"/>
  <c r="C311" i="26"/>
  <c r="D311" i="26"/>
  <c r="E311" i="26"/>
  <c r="F311" i="26"/>
  <c r="G311" i="26"/>
  <c r="H311" i="26"/>
  <c r="M311" i="26"/>
  <c r="A312" i="26"/>
  <c r="B312" i="26"/>
  <c r="C312" i="26"/>
  <c r="D312" i="26"/>
  <c r="E312" i="26"/>
  <c r="F312" i="26"/>
  <c r="G312" i="26"/>
  <c r="H312" i="26"/>
  <c r="M312" i="26"/>
  <c r="A313" i="26"/>
  <c r="B313" i="26"/>
  <c r="C313" i="26"/>
  <c r="D313" i="26"/>
  <c r="E313" i="26"/>
  <c r="F313" i="26"/>
  <c r="G313" i="26"/>
  <c r="H313" i="26"/>
  <c r="M313" i="26"/>
  <c r="A314" i="26"/>
  <c r="B314" i="26"/>
  <c r="C314" i="26"/>
  <c r="D314" i="26"/>
  <c r="E314" i="26"/>
  <c r="F314" i="26"/>
  <c r="G314" i="26"/>
  <c r="H314" i="26"/>
  <c r="M314" i="26"/>
  <c r="A315" i="26"/>
  <c r="B315" i="26"/>
  <c r="C315" i="26"/>
  <c r="D315" i="26"/>
  <c r="E315" i="26"/>
  <c r="F315" i="26"/>
  <c r="G315" i="26"/>
  <c r="H315" i="26"/>
  <c r="M315" i="26"/>
  <c r="A316" i="26"/>
  <c r="B316" i="26"/>
  <c r="C316" i="26"/>
  <c r="D316" i="26"/>
  <c r="E316" i="26"/>
  <c r="F316" i="26"/>
  <c r="G316" i="26"/>
  <c r="H316" i="26"/>
  <c r="M316" i="26"/>
  <c r="A317" i="26"/>
  <c r="B317" i="26"/>
  <c r="C317" i="26"/>
  <c r="D317" i="26"/>
  <c r="E317" i="26"/>
  <c r="F317" i="26"/>
  <c r="G317" i="26"/>
  <c r="H317" i="26"/>
  <c r="M317" i="26"/>
  <c r="A318" i="26"/>
  <c r="B318" i="26"/>
  <c r="C318" i="26"/>
  <c r="D318" i="26"/>
  <c r="E318" i="26"/>
  <c r="F318" i="26"/>
  <c r="G318" i="26"/>
  <c r="H318" i="26"/>
  <c r="M318" i="26"/>
  <c r="A319" i="26"/>
  <c r="B319" i="26"/>
  <c r="C319" i="26"/>
  <c r="D319" i="26"/>
  <c r="E319" i="26"/>
  <c r="F319" i="26"/>
  <c r="G319" i="26"/>
  <c r="H319" i="26"/>
  <c r="M319" i="26"/>
  <c r="A320" i="26"/>
  <c r="B320" i="26"/>
  <c r="C320" i="26"/>
  <c r="D320" i="26"/>
  <c r="E320" i="26"/>
  <c r="F320" i="26"/>
  <c r="G320" i="26"/>
  <c r="H320" i="26"/>
  <c r="M320" i="26"/>
  <c r="A321" i="26"/>
  <c r="B321" i="26"/>
  <c r="C321" i="26"/>
  <c r="D321" i="26"/>
  <c r="E321" i="26"/>
  <c r="F321" i="26"/>
  <c r="G321" i="26"/>
  <c r="H321" i="26"/>
  <c r="M321" i="26"/>
  <c r="A322" i="26"/>
  <c r="B322" i="26"/>
  <c r="C322" i="26"/>
  <c r="D322" i="26"/>
  <c r="E322" i="26"/>
  <c r="F322" i="26"/>
  <c r="G322" i="26"/>
  <c r="H322" i="26"/>
  <c r="M322" i="26"/>
  <c r="A323" i="26"/>
  <c r="B323" i="26"/>
  <c r="C323" i="26"/>
  <c r="D323" i="26"/>
  <c r="E323" i="26"/>
  <c r="F323" i="26"/>
  <c r="G323" i="26"/>
  <c r="H323" i="26"/>
  <c r="M323" i="26"/>
  <c r="A324" i="26"/>
  <c r="B324" i="26"/>
  <c r="C324" i="26"/>
  <c r="D324" i="26"/>
  <c r="E324" i="26"/>
  <c r="F324" i="26"/>
  <c r="G324" i="26"/>
  <c r="H324" i="26"/>
  <c r="M324" i="26"/>
  <c r="A289" i="26"/>
  <c r="B289" i="26"/>
  <c r="C289" i="26"/>
  <c r="D289" i="26"/>
  <c r="E289" i="26"/>
  <c r="F289" i="26"/>
  <c r="G289" i="26"/>
  <c r="H289" i="26"/>
  <c r="M289" i="26"/>
  <c r="A290" i="26"/>
  <c r="B290" i="26"/>
  <c r="C290" i="26"/>
  <c r="D290" i="26"/>
  <c r="E290" i="26"/>
  <c r="F290" i="26"/>
  <c r="G290" i="26"/>
  <c r="H290" i="26"/>
  <c r="M290" i="26"/>
  <c r="A291" i="26"/>
  <c r="B291" i="26"/>
  <c r="C291" i="26"/>
  <c r="D291" i="26"/>
  <c r="E291" i="26"/>
  <c r="F291" i="26"/>
  <c r="G291" i="26"/>
  <c r="H291" i="26"/>
  <c r="M291" i="26"/>
  <c r="A292" i="26"/>
  <c r="B292" i="26"/>
  <c r="C292" i="26"/>
  <c r="D292" i="26"/>
  <c r="E292" i="26"/>
  <c r="F292" i="26"/>
  <c r="G292" i="26"/>
  <c r="H292" i="26"/>
  <c r="M292" i="26"/>
  <c r="A293" i="26"/>
  <c r="B293" i="26"/>
  <c r="C293" i="26"/>
  <c r="D293" i="26"/>
  <c r="E293" i="26"/>
  <c r="F293" i="26"/>
  <c r="G293" i="26"/>
  <c r="H293" i="26"/>
  <c r="M293" i="26"/>
  <c r="A294" i="26"/>
  <c r="B294" i="26"/>
  <c r="C294" i="26"/>
  <c r="D294" i="26"/>
  <c r="E294" i="26"/>
  <c r="F294" i="26"/>
  <c r="G294" i="26"/>
  <c r="H294" i="26"/>
  <c r="M294" i="26"/>
  <c r="A295" i="26"/>
  <c r="B295" i="26"/>
  <c r="C295" i="26"/>
  <c r="D295" i="26"/>
  <c r="E295" i="26"/>
  <c r="F295" i="26"/>
  <c r="G295" i="26"/>
  <c r="H295" i="26"/>
  <c r="M295" i="26"/>
  <c r="A296" i="26"/>
  <c r="B296" i="26"/>
  <c r="C296" i="26"/>
  <c r="D296" i="26"/>
  <c r="E296" i="26"/>
  <c r="F296" i="26"/>
  <c r="G296" i="26"/>
  <c r="H296" i="26"/>
  <c r="M296" i="26"/>
  <c r="A297" i="26"/>
  <c r="B297" i="26"/>
  <c r="C297" i="26"/>
  <c r="D297" i="26"/>
  <c r="E297" i="26"/>
  <c r="F297" i="26"/>
  <c r="G297" i="26"/>
  <c r="H297" i="26"/>
  <c r="M297" i="26"/>
  <c r="A298" i="26"/>
  <c r="B298" i="26"/>
  <c r="C298" i="26"/>
  <c r="D298" i="26"/>
  <c r="E298" i="26"/>
  <c r="F298" i="26"/>
  <c r="G298" i="26"/>
  <c r="H298" i="26"/>
  <c r="M298" i="26"/>
  <c r="A299" i="26"/>
  <c r="B299" i="26"/>
  <c r="C299" i="26"/>
  <c r="D299" i="26"/>
  <c r="E299" i="26"/>
  <c r="F299" i="26"/>
  <c r="G299" i="26"/>
  <c r="H299" i="26"/>
  <c r="M299" i="26"/>
  <c r="A300" i="26"/>
  <c r="B300" i="26"/>
  <c r="C300" i="26"/>
  <c r="D300" i="26"/>
  <c r="E300" i="26"/>
  <c r="F300" i="26"/>
  <c r="G300" i="26"/>
  <c r="H300" i="26"/>
  <c r="M300" i="26"/>
  <c r="A301" i="26"/>
  <c r="B301" i="26"/>
  <c r="C301" i="26"/>
  <c r="D301" i="26"/>
  <c r="E301" i="26"/>
  <c r="F301" i="26"/>
  <c r="G301" i="26"/>
  <c r="H301" i="26"/>
  <c r="M301" i="26"/>
  <c r="A302" i="26"/>
  <c r="B302" i="26"/>
  <c r="C302" i="26"/>
  <c r="D302" i="26"/>
  <c r="E302" i="26"/>
  <c r="F302" i="26"/>
  <c r="G302" i="26"/>
  <c r="H302" i="26"/>
  <c r="M302" i="26"/>
  <c r="A303" i="26"/>
  <c r="B303" i="26"/>
  <c r="C303" i="26"/>
  <c r="D303" i="26"/>
  <c r="E303" i="26"/>
  <c r="F303" i="26"/>
  <c r="G303" i="26"/>
  <c r="H303" i="26"/>
  <c r="M303" i="26"/>
  <c r="A304" i="26"/>
  <c r="B304" i="26"/>
  <c r="C304" i="26"/>
  <c r="D304" i="26"/>
  <c r="E304" i="26"/>
  <c r="F304" i="26"/>
  <c r="G304" i="26"/>
  <c r="H304" i="26"/>
  <c r="M304" i="26"/>
  <c r="A305" i="26"/>
  <c r="B305" i="26"/>
  <c r="C305" i="26"/>
  <c r="D305" i="26"/>
  <c r="E305" i="26"/>
  <c r="F305" i="26"/>
  <c r="G305" i="26"/>
  <c r="H305" i="26"/>
  <c r="M305" i="26"/>
  <c r="A306" i="26"/>
  <c r="B306" i="26"/>
  <c r="C306" i="26"/>
  <c r="D306" i="26"/>
  <c r="E306" i="26"/>
  <c r="F306" i="26"/>
  <c r="G306" i="26"/>
  <c r="H306" i="26"/>
  <c r="M306" i="26"/>
  <c r="A271" i="26"/>
  <c r="B271" i="26"/>
  <c r="C271" i="26"/>
  <c r="D271" i="26"/>
  <c r="E271" i="26"/>
  <c r="F271" i="26"/>
  <c r="G271" i="26"/>
  <c r="H271" i="26"/>
  <c r="M271" i="26"/>
  <c r="A272" i="26"/>
  <c r="B272" i="26"/>
  <c r="C272" i="26"/>
  <c r="D272" i="26"/>
  <c r="E272" i="26"/>
  <c r="F272" i="26"/>
  <c r="G272" i="26"/>
  <c r="H272" i="26"/>
  <c r="M272" i="26"/>
  <c r="A273" i="26"/>
  <c r="B273" i="26"/>
  <c r="C273" i="26"/>
  <c r="D273" i="26"/>
  <c r="E273" i="26"/>
  <c r="F273" i="26"/>
  <c r="G273" i="26"/>
  <c r="H273" i="26"/>
  <c r="M273" i="26"/>
  <c r="A274" i="26"/>
  <c r="B274" i="26"/>
  <c r="C274" i="26"/>
  <c r="D274" i="26"/>
  <c r="E274" i="26"/>
  <c r="F274" i="26"/>
  <c r="G274" i="26"/>
  <c r="H274" i="26"/>
  <c r="M274" i="26"/>
  <c r="A275" i="26"/>
  <c r="B275" i="26"/>
  <c r="C275" i="26"/>
  <c r="D275" i="26"/>
  <c r="E275" i="26"/>
  <c r="F275" i="26"/>
  <c r="G275" i="26"/>
  <c r="H275" i="26"/>
  <c r="M275" i="26"/>
  <c r="A276" i="26"/>
  <c r="B276" i="26"/>
  <c r="C276" i="26"/>
  <c r="D276" i="26"/>
  <c r="E276" i="26"/>
  <c r="F276" i="26"/>
  <c r="G276" i="26"/>
  <c r="H276" i="26"/>
  <c r="M276" i="26"/>
  <c r="A277" i="26"/>
  <c r="B277" i="26"/>
  <c r="C277" i="26"/>
  <c r="D277" i="26"/>
  <c r="E277" i="26"/>
  <c r="F277" i="26"/>
  <c r="G277" i="26"/>
  <c r="H277" i="26"/>
  <c r="M277" i="26"/>
  <c r="A278" i="26"/>
  <c r="B278" i="26"/>
  <c r="C278" i="26"/>
  <c r="D278" i="26"/>
  <c r="E278" i="26"/>
  <c r="F278" i="26"/>
  <c r="G278" i="26"/>
  <c r="H278" i="26"/>
  <c r="M278" i="26"/>
  <c r="A279" i="26"/>
  <c r="B279" i="26"/>
  <c r="C279" i="26"/>
  <c r="D279" i="26"/>
  <c r="E279" i="26"/>
  <c r="F279" i="26"/>
  <c r="G279" i="26"/>
  <c r="H279" i="26"/>
  <c r="M279" i="26"/>
  <c r="A280" i="26"/>
  <c r="B280" i="26"/>
  <c r="C280" i="26"/>
  <c r="D280" i="26"/>
  <c r="E280" i="26"/>
  <c r="F280" i="26"/>
  <c r="G280" i="26"/>
  <c r="H280" i="26"/>
  <c r="M280" i="26"/>
  <c r="A281" i="26"/>
  <c r="B281" i="26"/>
  <c r="C281" i="26"/>
  <c r="D281" i="26"/>
  <c r="E281" i="26"/>
  <c r="F281" i="26"/>
  <c r="G281" i="26"/>
  <c r="H281" i="26"/>
  <c r="M281" i="26"/>
  <c r="A282" i="26"/>
  <c r="B282" i="26"/>
  <c r="C282" i="26"/>
  <c r="D282" i="26"/>
  <c r="E282" i="26"/>
  <c r="F282" i="26"/>
  <c r="G282" i="26"/>
  <c r="H282" i="26"/>
  <c r="M282" i="26"/>
  <c r="A283" i="26"/>
  <c r="B283" i="26"/>
  <c r="C283" i="26"/>
  <c r="D283" i="26"/>
  <c r="E283" i="26"/>
  <c r="F283" i="26"/>
  <c r="G283" i="26"/>
  <c r="H283" i="26"/>
  <c r="M283" i="26"/>
  <c r="A284" i="26"/>
  <c r="B284" i="26"/>
  <c r="C284" i="26"/>
  <c r="D284" i="26"/>
  <c r="E284" i="26"/>
  <c r="F284" i="26"/>
  <c r="G284" i="26"/>
  <c r="H284" i="26"/>
  <c r="M284" i="26"/>
  <c r="A285" i="26"/>
  <c r="B285" i="26"/>
  <c r="C285" i="26"/>
  <c r="D285" i="26"/>
  <c r="E285" i="26"/>
  <c r="F285" i="26"/>
  <c r="G285" i="26"/>
  <c r="H285" i="26"/>
  <c r="M285" i="26"/>
  <c r="A286" i="26"/>
  <c r="B286" i="26"/>
  <c r="C286" i="26"/>
  <c r="D286" i="26"/>
  <c r="E286" i="26"/>
  <c r="F286" i="26"/>
  <c r="G286" i="26"/>
  <c r="H286" i="26"/>
  <c r="M286" i="26"/>
  <c r="A287" i="26"/>
  <c r="B287" i="26"/>
  <c r="C287" i="26"/>
  <c r="D287" i="26"/>
  <c r="E287" i="26"/>
  <c r="F287" i="26"/>
  <c r="G287" i="26"/>
  <c r="H287" i="26"/>
  <c r="M287" i="26"/>
  <c r="A288" i="26"/>
  <c r="B288" i="26"/>
  <c r="C288" i="26"/>
  <c r="D288" i="26"/>
  <c r="E288" i="26"/>
  <c r="F288" i="26"/>
  <c r="G288" i="26"/>
  <c r="H288" i="26"/>
  <c r="M288" i="26"/>
  <c r="A253" i="26"/>
  <c r="B253" i="26"/>
  <c r="C253" i="26"/>
  <c r="D253" i="26"/>
  <c r="E253" i="26"/>
  <c r="F253" i="26"/>
  <c r="G253" i="26"/>
  <c r="H253" i="26"/>
  <c r="M253" i="26"/>
  <c r="A254" i="26"/>
  <c r="B254" i="26"/>
  <c r="C254" i="26"/>
  <c r="D254" i="26"/>
  <c r="E254" i="26"/>
  <c r="F254" i="26"/>
  <c r="G254" i="26"/>
  <c r="H254" i="26"/>
  <c r="M254" i="26"/>
  <c r="A255" i="26"/>
  <c r="B255" i="26"/>
  <c r="C255" i="26"/>
  <c r="D255" i="26"/>
  <c r="E255" i="26"/>
  <c r="F255" i="26"/>
  <c r="G255" i="26"/>
  <c r="H255" i="26"/>
  <c r="M255" i="26"/>
  <c r="A256" i="26"/>
  <c r="B256" i="26"/>
  <c r="C256" i="26"/>
  <c r="D256" i="26"/>
  <c r="E256" i="26"/>
  <c r="F256" i="26"/>
  <c r="G256" i="26"/>
  <c r="H256" i="26"/>
  <c r="M256" i="26"/>
  <c r="A257" i="26"/>
  <c r="B257" i="26"/>
  <c r="C257" i="26"/>
  <c r="D257" i="26"/>
  <c r="E257" i="26"/>
  <c r="F257" i="26"/>
  <c r="G257" i="26"/>
  <c r="H257" i="26"/>
  <c r="M257" i="26"/>
  <c r="A258" i="26"/>
  <c r="B258" i="26"/>
  <c r="C258" i="26"/>
  <c r="D258" i="26"/>
  <c r="E258" i="26"/>
  <c r="F258" i="26"/>
  <c r="G258" i="26"/>
  <c r="H258" i="26"/>
  <c r="M258" i="26"/>
  <c r="A259" i="26"/>
  <c r="B259" i="26"/>
  <c r="C259" i="26"/>
  <c r="D259" i="26"/>
  <c r="E259" i="26"/>
  <c r="F259" i="26"/>
  <c r="G259" i="26"/>
  <c r="H259" i="26"/>
  <c r="M259" i="26"/>
  <c r="A260" i="26"/>
  <c r="B260" i="26"/>
  <c r="C260" i="26"/>
  <c r="D260" i="26"/>
  <c r="E260" i="26"/>
  <c r="F260" i="26"/>
  <c r="G260" i="26"/>
  <c r="H260" i="26"/>
  <c r="M260" i="26"/>
  <c r="A261" i="26"/>
  <c r="B261" i="26"/>
  <c r="C261" i="26"/>
  <c r="D261" i="26"/>
  <c r="E261" i="26"/>
  <c r="F261" i="26"/>
  <c r="G261" i="26"/>
  <c r="H261" i="26"/>
  <c r="M261" i="26"/>
  <c r="A262" i="26"/>
  <c r="B262" i="26"/>
  <c r="C262" i="26"/>
  <c r="D262" i="26"/>
  <c r="E262" i="26"/>
  <c r="F262" i="26"/>
  <c r="G262" i="26"/>
  <c r="H262" i="26"/>
  <c r="M262" i="26"/>
  <c r="A263" i="26"/>
  <c r="B263" i="26"/>
  <c r="C263" i="26"/>
  <c r="D263" i="26"/>
  <c r="E263" i="26"/>
  <c r="F263" i="26"/>
  <c r="G263" i="26"/>
  <c r="H263" i="26"/>
  <c r="M263" i="26"/>
  <c r="A264" i="26"/>
  <c r="B264" i="26"/>
  <c r="C264" i="26"/>
  <c r="D264" i="26"/>
  <c r="E264" i="26"/>
  <c r="F264" i="26"/>
  <c r="G264" i="26"/>
  <c r="H264" i="26"/>
  <c r="M264" i="26"/>
  <c r="A265" i="26"/>
  <c r="B265" i="26"/>
  <c r="C265" i="26"/>
  <c r="D265" i="26"/>
  <c r="E265" i="26"/>
  <c r="F265" i="26"/>
  <c r="G265" i="26"/>
  <c r="H265" i="26"/>
  <c r="M265" i="26"/>
  <c r="A266" i="26"/>
  <c r="B266" i="26"/>
  <c r="C266" i="26"/>
  <c r="D266" i="26"/>
  <c r="E266" i="26"/>
  <c r="F266" i="26"/>
  <c r="G266" i="26"/>
  <c r="H266" i="26"/>
  <c r="M266" i="26"/>
  <c r="A267" i="26"/>
  <c r="B267" i="26"/>
  <c r="C267" i="26"/>
  <c r="D267" i="26"/>
  <c r="E267" i="26"/>
  <c r="F267" i="26"/>
  <c r="G267" i="26"/>
  <c r="H267" i="26"/>
  <c r="M267" i="26"/>
  <c r="A268" i="26"/>
  <c r="B268" i="26"/>
  <c r="C268" i="26"/>
  <c r="D268" i="26"/>
  <c r="E268" i="26"/>
  <c r="F268" i="26"/>
  <c r="G268" i="26"/>
  <c r="H268" i="26"/>
  <c r="M268" i="26"/>
  <c r="A269" i="26"/>
  <c r="B269" i="26"/>
  <c r="C269" i="26"/>
  <c r="D269" i="26"/>
  <c r="E269" i="26"/>
  <c r="F269" i="26"/>
  <c r="G269" i="26"/>
  <c r="H269" i="26"/>
  <c r="M269" i="26"/>
  <c r="A270" i="26"/>
  <c r="B270" i="26"/>
  <c r="C270" i="26"/>
  <c r="D270" i="26"/>
  <c r="E270" i="26"/>
  <c r="F270" i="26"/>
  <c r="G270" i="26"/>
  <c r="H270" i="26"/>
  <c r="M270" i="26"/>
  <c r="A235" i="26"/>
  <c r="B235" i="26"/>
  <c r="C235" i="26"/>
  <c r="D235" i="26"/>
  <c r="E235" i="26"/>
  <c r="F235" i="26"/>
  <c r="G235" i="26"/>
  <c r="H235" i="26"/>
  <c r="M235" i="26"/>
  <c r="A236" i="26"/>
  <c r="B236" i="26"/>
  <c r="C236" i="26"/>
  <c r="D236" i="26"/>
  <c r="E236" i="26"/>
  <c r="F236" i="26"/>
  <c r="G236" i="26"/>
  <c r="H236" i="26"/>
  <c r="M236" i="26"/>
  <c r="A237" i="26"/>
  <c r="B237" i="26"/>
  <c r="C237" i="26"/>
  <c r="D237" i="26"/>
  <c r="E237" i="26"/>
  <c r="F237" i="26"/>
  <c r="G237" i="26"/>
  <c r="H237" i="26"/>
  <c r="M237" i="26"/>
  <c r="A238" i="26"/>
  <c r="B238" i="26"/>
  <c r="C238" i="26"/>
  <c r="D238" i="26"/>
  <c r="E238" i="26"/>
  <c r="F238" i="26"/>
  <c r="G238" i="26"/>
  <c r="H238" i="26"/>
  <c r="M238" i="26"/>
  <c r="A239" i="26"/>
  <c r="B239" i="26"/>
  <c r="C239" i="26"/>
  <c r="D239" i="26"/>
  <c r="E239" i="26"/>
  <c r="F239" i="26"/>
  <c r="G239" i="26"/>
  <c r="H239" i="26"/>
  <c r="M239" i="26"/>
  <c r="A240" i="26"/>
  <c r="B240" i="26"/>
  <c r="C240" i="26"/>
  <c r="D240" i="26"/>
  <c r="E240" i="26"/>
  <c r="F240" i="26"/>
  <c r="G240" i="26"/>
  <c r="H240" i="26"/>
  <c r="M240" i="26"/>
  <c r="A241" i="26"/>
  <c r="B241" i="26"/>
  <c r="C241" i="26"/>
  <c r="D241" i="26"/>
  <c r="E241" i="26"/>
  <c r="F241" i="26"/>
  <c r="G241" i="26"/>
  <c r="H241" i="26"/>
  <c r="M241" i="26"/>
  <c r="A242" i="26"/>
  <c r="B242" i="26"/>
  <c r="C242" i="26"/>
  <c r="D242" i="26"/>
  <c r="E242" i="26"/>
  <c r="F242" i="26"/>
  <c r="G242" i="26"/>
  <c r="H242" i="26"/>
  <c r="M242" i="26"/>
  <c r="A243" i="26"/>
  <c r="B243" i="26"/>
  <c r="C243" i="26"/>
  <c r="D243" i="26"/>
  <c r="E243" i="26"/>
  <c r="F243" i="26"/>
  <c r="G243" i="26"/>
  <c r="H243" i="26"/>
  <c r="M243" i="26"/>
  <c r="A244" i="26"/>
  <c r="B244" i="26"/>
  <c r="C244" i="26"/>
  <c r="D244" i="26"/>
  <c r="E244" i="26"/>
  <c r="F244" i="26"/>
  <c r="G244" i="26"/>
  <c r="H244" i="26"/>
  <c r="M244" i="26"/>
  <c r="A245" i="26"/>
  <c r="B245" i="26"/>
  <c r="C245" i="26"/>
  <c r="D245" i="26"/>
  <c r="E245" i="26"/>
  <c r="F245" i="26"/>
  <c r="G245" i="26"/>
  <c r="H245" i="26"/>
  <c r="M245" i="26"/>
  <c r="A246" i="26"/>
  <c r="B246" i="26"/>
  <c r="C246" i="26"/>
  <c r="D246" i="26"/>
  <c r="E246" i="26"/>
  <c r="F246" i="26"/>
  <c r="G246" i="26"/>
  <c r="H246" i="26"/>
  <c r="M246" i="26"/>
  <c r="A247" i="26"/>
  <c r="B247" i="26"/>
  <c r="C247" i="26"/>
  <c r="D247" i="26"/>
  <c r="E247" i="26"/>
  <c r="F247" i="26"/>
  <c r="G247" i="26"/>
  <c r="H247" i="26"/>
  <c r="M247" i="26"/>
  <c r="A248" i="26"/>
  <c r="B248" i="26"/>
  <c r="C248" i="26"/>
  <c r="D248" i="26"/>
  <c r="E248" i="26"/>
  <c r="F248" i="26"/>
  <c r="G248" i="26"/>
  <c r="H248" i="26"/>
  <c r="M248" i="26"/>
  <c r="A249" i="26"/>
  <c r="B249" i="26"/>
  <c r="C249" i="26"/>
  <c r="D249" i="26"/>
  <c r="E249" i="26"/>
  <c r="F249" i="26"/>
  <c r="G249" i="26"/>
  <c r="H249" i="26"/>
  <c r="M249" i="26"/>
  <c r="A250" i="26"/>
  <c r="B250" i="26"/>
  <c r="C250" i="26"/>
  <c r="D250" i="26"/>
  <c r="E250" i="26"/>
  <c r="F250" i="26"/>
  <c r="G250" i="26"/>
  <c r="H250" i="26"/>
  <c r="M250" i="26"/>
  <c r="A251" i="26"/>
  <c r="B251" i="26"/>
  <c r="C251" i="26"/>
  <c r="D251" i="26"/>
  <c r="E251" i="26"/>
  <c r="F251" i="26"/>
  <c r="G251" i="26"/>
  <c r="H251" i="26"/>
  <c r="M251" i="26"/>
  <c r="A252" i="26"/>
  <c r="B252" i="26"/>
  <c r="C252" i="26"/>
  <c r="D252" i="26"/>
  <c r="E252" i="26"/>
  <c r="F252" i="26"/>
  <c r="G252" i="26"/>
  <c r="H252" i="26"/>
  <c r="M252" i="26"/>
  <c r="A217" i="26"/>
  <c r="B217" i="26"/>
  <c r="C217" i="26"/>
  <c r="D217" i="26"/>
  <c r="E217" i="26"/>
  <c r="F217" i="26"/>
  <c r="G217" i="26"/>
  <c r="H217" i="26"/>
  <c r="M217" i="26"/>
  <c r="A218" i="26"/>
  <c r="B218" i="26"/>
  <c r="C218" i="26"/>
  <c r="D218" i="26"/>
  <c r="E218" i="26"/>
  <c r="F218" i="26"/>
  <c r="G218" i="26"/>
  <c r="H218" i="26"/>
  <c r="M218" i="26"/>
  <c r="A219" i="26"/>
  <c r="B219" i="26"/>
  <c r="C219" i="26"/>
  <c r="D219" i="26"/>
  <c r="E219" i="26"/>
  <c r="F219" i="26"/>
  <c r="G219" i="26"/>
  <c r="H219" i="26"/>
  <c r="M219" i="26"/>
  <c r="A220" i="26"/>
  <c r="B220" i="26"/>
  <c r="C220" i="26"/>
  <c r="D220" i="26"/>
  <c r="E220" i="26"/>
  <c r="F220" i="26"/>
  <c r="G220" i="26"/>
  <c r="H220" i="26"/>
  <c r="M220" i="26"/>
  <c r="A221" i="26"/>
  <c r="B221" i="26"/>
  <c r="C221" i="26"/>
  <c r="D221" i="26"/>
  <c r="E221" i="26"/>
  <c r="F221" i="26"/>
  <c r="G221" i="26"/>
  <c r="H221" i="26"/>
  <c r="M221" i="26"/>
  <c r="A222" i="26"/>
  <c r="B222" i="26"/>
  <c r="C222" i="26"/>
  <c r="D222" i="26"/>
  <c r="E222" i="26"/>
  <c r="F222" i="26"/>
  <c r="G222" i="26"/>
  <c r="H222" i="26"/>
  <c r="M222" i="26"/>
  <c r="A223" i="26"/>
  <c r="B223" i="26"/>
  <c r="C223" i="26"/>
  <c r="D223" i="26"/>
  <c r="E223" i="26"/>
  <c r="F223" i="26"/>
  <c r="G223" i="26"/>
  <c r="H223" i="26"/>
  <c r="M223" i="26"/>
  <c r="A224" i="26"/>
  <c r="B224" i="26"/>
  <c r="C224" i="26"/>
  <c r="D224" i="26"/>
  <c r="E224" i="26"/>
  <c r="F224" i="26"/>
  <c r="G224" i="26"/>
  <c r="H224" i="26"/>
  <c r="M224" i="26"/>
  <c r="A225" i="26"/>
  <c r="B225" i="26"/>
  <c r="C225" i="26"/>
  <c r="D225" i="26"/>
  <c r="E225" i="26"/>
  <c r="F225" i="26"/>
  <c r="G225" i="26"/>
  <c r="H225" i="26"/>
  <c r="M225" i="26"/>
  <c r="A226" i="26"/>
  <c r="B226" i="26"/>
  <c r="C226" i="26"/>
  <c r="D226" i="26"/>
  <c r="E226" i="26"/>
  <c r="F226" i="26"/>
  <c r="G226" i="26"/>
  <c r="H226" i="26"/>
  <c r="M226" i="26"/>
  <c r="A227" i="26"/>
  <c r="B227" i="26"/>
  <c r="C227" i="26"/>
  <c r="D227" i="26"/>
  <c r="E227" i="26"/>
  <c r="F227" i="26"/>
  <c r="G227" i="26"/>
  <c r="H227" i="26"/>
  <c r="M227" i="26"/>
  <c r="A228" i="26"/>
  <c r="B228" i="26"/>
  <c r="C228" i="26"/>
  <c r="D228" i="26"/>
  <c r="E228" i="26"/>
  <c r="F228" i="26"/>
  <c r="G228" i="26"/>
  <c r="H228" i="26"/>
  <c r="M228" i="26"/>
  <c r="A229" i="26"/>
  <c r="B229" i="26"/>
  <c r="C229" i="26"/>
  <c r="D229" i="26"/>
  <c r="E229" i="26"/>
  <c r="F229" i="26"/>
  <c r="G229" i="26"/>
  <c r="H229" i="26"/>
  <c r="M229" i="26"/>
  <c r="A230" i="26"/>
  <c r="B230" i="26"/>
  <c r="C230" i="26"/>
  <c r="D230" i="26"/>
  <c r="E230" i="26"/>
  <c r="F230" i="26"/>
  <c r="G230" i="26"/>
  <c r="H230" i="26"/>
  <c r="M230" i="26"/>
  <c r="A231" i="26"/>
  <c r="B231" i="26"/>
  <c r="C231" i="26"/>
  <c r="D231" i="26"/>
  <c r="E231" i="26"/>
  <c r="F231" i="26"/>
  <c r="G231" i="26"/>
  <c r="H231" i="26"/>
  <c r="M231" i="26"/>
  <c r="A232" i="26"/>
  <c r="B232" i="26"/>
  <c r="C232" i="26"/>
  <c r="D232" i="26"/>
  <c r="E232" i="26"/>
  <c r="F232" i="26"/>
  <c r="G232" i="26"/>
  <c r="H232" i="26"/>
  <c r="M232" i="26"/>
  <c r="A233" i="26"/>
  <c r="B233" i="26"/>
  <c r="C233" i="26"/>
  <c r="D233" i="26"/>
  <c r="E233" i="26"/>
  <c r="F233" i="26"/>
  <c r="G233" i="26"/>
  <c r="H233" i="26"/>
  <c r="M233" i="26"/>
  <c r="A234" i="26"/>
  <c r="B234" i="26"/>
  <c r="C234" i="26"/>
  <c r="D234" i="26"/>
  <c r="E234" i="26"/>
  <c r="F234" i="26"/>
  <c r="G234" i="26"/>
  <c r="H234" i="26"/>
  <c r="M234" i="26"/>
  <c r="A199" i="26"/>
  <c r="B199" i="26"/>
  <c r="C199" i="26"/>
  <c r="D199" i="26"/>
  <c r="E199" i="26"/>
  <c r="F199" i="26"/>
  <c r="G199" i="26"/>
  <c r="H199" i="26"/>
  <c r="M199" i="26"/>
  <c r="A200" i="26"/>
  <c r="B200" i="26"/>
  <c r="C200" i="26"/>
  <c r="D200" i="26"/>
  <c r="E200" i="26"/>
  <c r="F200" i="26"/>
  <c r="G200" i="26"/>
  <c r="H200" i="26"/>
  <c r="M200" i="26"/>
  <c r="A201" i="26"/>
  <c r="B201" i="26"/>
  <c r="C201" i="26"/>
  <c r="D201" i="26"/>
  <c r="E201" i="26"/>
  <c r="F201" i="26"/>
  <c r="G201" i="26"/>
  <c r="H201" i="26"/>
  <c r="M201" i="26"/>
  <c r="A202" i="26"/>
  <c r="B202" i="26"/>
  <c r="C202" i="26"/>
  <c r="D202" i="26"/>
  <c r="E202" i="26"/>
  <c r="F202" i="26"/>
  <c r="G202" i="26"/>
  <c r="H202" i="26"/>
  <c r="M202" i="26"/>
  <c r="A203" i="26"/>
  <c r="B203" i="26"/>
  <c r="C203" i="26"/>
  <c r="D203" i="26"/>
  <c r="E203" i="26"/>
  <c r="F203" i="26"/>
  <c r="G203" i="26"/>
  <c r="H203" i="26"/>
  <c r="M203" i="26"/>
  <c r="A204" i="26"/>
  <c r="B204" i="26"/>
  <c r="C204" i="26"/>
  <c r="D204" i="26"/>
  <c r="E204" i="26"/>
  <c r="F204" i="26"/>
  <c r="G204" i="26"/>
  <c r="H204" i="26"/>
  <c r="M204" i="26"/>
  <c r="A205" i="26"/>
  <c r="B205" i="26"/>
  <c r="C205" i="26"/>
  <c r="D205" i="26"/>
  <c r="E205" i="26"/>
  <c r="F205" i="26"/>
  <c r="G205" i="26"/>
  <c r="H205" i="26"/>
  <c r="M205" i="26"/>
  <c r="A206" i="26"/>
  <c r="B206" i="26"/>
  <c r="C206" i="26"/>
  <c r="D206" i="26"/>
  <c r="E206" i="26"/>
  <c r="F206" i="26"/>
  <c r="G206" i="26"/>
  <c r="H206" i="26"/>
  <c r="M206" i="26"/>
  <c r="A207" i="26"/>
  <c r="B207" i="26"/>
  <c r="C207" i="26"/>
  <c r="D207" i="26"/>
  <c r="E207" i="26"/>
  <c r="F207" i="26"/>
  <c r="G207" i="26"/>
  <c r="H207" i="26"/>
  <c r="M207" i="26"/>
  <c r="A208" i="26"/>
  <c r="B208" i="26"/>
  <c r="C208" i="26"/>
  <c r="D208" i="26"/>
  <c r="E208" i="26"/>
  <c r="F208" i="26"/>
  <c r="G208" i="26"/>
  <c r="H208" i="26"/>
  <c r="M208" i="26"/>
  <c r="A209" i="26"/>
  <c r="B209" i="26"/>
  <c r="C209" i="26"/>
  <c r="D209" i="26"/>
  <c r="E209" i="26"/>
  <c r="F209" i="26"/>
  <c r="G209" i="26"/>
  <c r="H209" i="26"/>
  <c r="M209" i="26"/>
  <c r="A210" i="26"/>
  <c r="B210" i="26"/>
  <c r="C210" i="26"/>
  <c r="D210" i="26"/>
  <c r="E210" i="26"/>
  <c r="F210" i="26"/>
  <c r="G210" i="26"/>
  <c r="H210" i="26"/>
  <c r="M210" i="26"/>
  <c r="A211" i="26"/>
  <c r="B211" i="26"/>
  <c r="C211" i="26"/>
  <c r="D211" i="26"/>
  <c r="E211" i="26"/>
  <c r="F211" i="26"/>
  <c r="G211" i="26"/>
  <c r="H211" i="26"/>
  <c r="M211" i="26"/>
  <c r="A212" i="26"/>
  <c r="B212" i="26"/>
  <c r="C212" i="26"/>
  <c r="D212" i="26"/>
  <c r="E212" i="26"/>
  <c r="F212" i="26"/>
  <c r="G212" i="26"/>
  <c r="H212" i="26"/>
  <c r="M212" i="26"/>
  <c r="A213" i="26"/>
  <c r="B213" i="26"/>
  <c r="C213" i="26"/>
  <c r="D213" i="26"/>
  <c r="E213" i="26"/>
  <c r="F213" i="26"/>
  <c r="G213" i="26"/>
  <c r="H213" i="26"/>
  <c r="M213" i="26"/>
  <c r="A214" i="26"/>
  <c r="B214" i="26"/>
  <c r="C214" i="26"/>
  <c r="D214" i="26"/>
  <c r="E214" i="26"/>
  <c r="F214" i="26"/>
  <c r="G214" i="26"/>
  <c r="H214" i="26"/>
  <c r="M214" i="26"/>
  <c r="A215" i="26"/>
  <c r="B215" i="26"/>
  <c r="C215" i="26"/>
  <c r="D215" i="26"/>
  <c r="E215" i="26"/>
  <c r="F215" i="26"/>
  <c r="G215" i="26"/>
  <c r="H215" i="26"/>
  <c r="M215" i="26"/>
  <c r="A216" i="26"/>
  <c r="B216" i="26"/>
  <c r="C216" i="26"/>
  <c r="D216" i="26"/>
  <c r="E216" i="26"/>
  <c r="F216" i="26"/>
  <c r="G216" i="26"/>
  <c r="H216" i="26"/>
  <c r="M216" i="26"/>
  <c r="A181" i="26"/>
  <c r="B181" i="26"/>
  <c r="C181" i="26"/>
  <c r="D181" i="26"/>
  <c r="E181" i="26"/>
  <c r="F181" i="26"/>
  <c r="G181" i="26"/>
  <c r="H181" i="26"/>
  <c r="M181" i="26"/>
  <c r="A182" i="26"/>
  <c r="B182" i="26"/>
  <c r="C182" i="26"/>
  <c r="D182" i="26"/>
  <c r="E182" i="26"/>
  <c r="F182" i="26"/>
  <c r="G182" i="26"/>
  <c r="H182" i="26"/>
  <c r="M182" i="26"/>
  <c r="A183" i="26"/>
  <c r="B183" i="26"/>
  <c r="C183" i="26"/>
  <c r="D183" i="26"/>
  <c r="E183" i="26"/>
  <c r="F183" i="26"/>
  <c r="G183" i="26"/>
  <c r="H183" i="26"/>
  <c r="M183" i="26"/>
  <c r="A184" i="26"/>
  <c r="B184" i="26"/>
  <c r="C184" i="26"/>
  <c r="D184" i="26"/>
  <c r="E184" i="26"/>
  <c r="F184" i="26"/>
  <c r="G184" i="26"/>
  <c r="H184" i="26"/>
  <c r="M184" i="26"/>
  <c r="A185" i="26"/>
  <c r="B185" i="26"/>
  <c r="C185" i="26"/>
  <c r="D185" i="26"/>
  <c r="E185" i="26"/>
  <c r="F185" i="26"/>
  <c r="G185" i="26"/>
  <c r="H185" i="26"/>
  <c r="M185" i="26"/>
  <c r="A186" i="26"/>
  <c r="B186" i="26"/>
  <c r="C186" i="26"/>
  <c r="D186" i="26"/>
  <c r="E186" i="26"/>
  <c r="F186" i="26"/>
  <c r="G186" i="26"/>
  <c r="H186" i="26"/>
  <c r="M186" i="26"/>
  <c r="A187" i="26"/>
  <c r="B187" i="26"/>
  <c r="C187" i="26"/>
  <c r="D187" i="26"/>
  <c r="E187" i="26"/>
  <c r="F187" i="26"/>
  <c r="G187" i="26"/>
  <c r="H187" i="26"/>
  <c r="M187" i="26"/>
  <c r="A188" i="26"/>
  <c r="B188" i="26"/>
  <c r="C188" i="26"/>
  <c r="D188" i="26"/>
  <c r="E188" i="26"/>
  <c r="F188" i="26"/>
  <c r="G188" i="26"/>
  <c r="H188" i="26"/>
  <c r="M188" i="26"/>
  <c r="A189" i="26"/>
  <c r="B189" i="26"/>
  <c r="C189" i="26"/>
  <c r="D189" i="26"/>
  <c r="E189" i="26"/>
  <c r="F189" i="26"/>
  <c r="G189" i="26"/>
  <c r="H189" i="26"/>
  <c r="M189" i="26"/>
  <c r="A190" i="26"/>
  <c r="B190" i="26"/>
  <c r="C190" i="26"/>
  <c r="D190" i="26"/>
  <c r="E190" i="26"/>
  <c r="F190" i="26"/>
  <c r="G190" i="26"/>
  <c r="H190" i="26"/>
  <c r="M190" i="26"/>
  <c r="A191" i="26"/>
  <c r="B191" i="26"/>
  <c r="C191" i="26"/>
  <c r="D191" i="26"/>
  <c r="E191" i="26"/>
  <c r="F191" i="26"/>
  <c r="G191" i="26"/>
  <c r="H191" i="26"/>
  <c r="M191" i="26"/>
  <c r="A192" i="26"/>
  <c r="B192" i="26"/>
  <c r="C192" i="26"/>
  <c r="D192" i="26"/>
  <c r="E192" i="26"/>
  <c r="F192" i="26"/>
  <c r="G192" i="26"/>
  <c r="H192" i="26"/>
  <c r="M192" i="26"/>
  <c r="A193" i="26"/>
  <c r="B193" i="26"/>
  <c r="C193" i="26"/>
  <c r="D193" i="26"/>
  <c r="E193" i="26"/>
  <c r="F193" i="26"/>
  <c r="G193" i="26"/>
  <c r="H193" i="26"/>
  <c r="M193" i="26"/>
  <c r="A194" i="26"/>
  <c r="B194" i="26"/>
  <c r="C194" i="26"/>
  <c r="D194" i="26"/>
  <c r="E194" i="26"/>
  <c r="F194" i="26"/>
  <c r="G194" i="26"/>
  <c r="H194" i="26"/>
  <c r="M194" i="26"/>
  <c r="A195" i="26"/>
  <c r="B195" i="26"/>
  <c r="C195" i="26"/>
  <c r="D195" i="26"/>
  <c r="E195" i="26"/>
  <c r="F195" i="26"/>
  <c r="G195" i="26"/>
  <c r="H195" i="26"/>
  <c r="M195" i="26"/>
  <c r="A196" i="26"/>
  <c r="B196" i="26"/>
  <c r="C196" i="26"/>
  <c r="D196" i="26"/>
  <c r="E196" i="26"/>
  <c r="F196" i="26"/>
  <c r="G196" i="26"/>
  <c r="H196" i="26"/>
  <c r="M196" i="26"/>
  <c r="A197" i="26"/>
  <c r="B197" i="26"/>
  <c r="C197" i="26"/>
  <c r="D197" i="26"/>
  <c r="E197" i="26"/>
  <c r="F197" i="26"/>
  <c r="G197" i="26"/>
  <c r="H197" i="26"/>
  <c r="M197" i="26"/>
  <c r="A198" i="26"/>
  <c r="B198" i="26"/>
  <c r="C198" i="26"/>
  <c r="D198" i="26"/>
  <c r="E198" i="26"/>
  <c r="F198" i="26"/>
  <c r="G198" i="26"/>
  <c r="H198" i="26"/>
  <c r="M198" i="26"/>
  <c r="A163" i="26"/>
  <c r="B163" i="26"/>
  <c r="C163" i="26"/>
  <c r="D163" i="26"/>
  <c r="E163" i="26"/>
  <c r="F163" i="26"/>
  <c r="G163" i="26"/>
  <c r="H163" i="26"/>
  <c r="M163" i="26"/>
  <c r="A164" i="26"/>
  <c r="B164" i="26"/>
  <c r="C164" i="26"/>
  <c r="D164" i="26"/>
  <c r="E164" i="26"/>
  <c r="F164" i="26"/>
  <c r="G164" i="26"/>
  <c r="H164" i="26"/>
  <c r="M164" i="26"/>
  <c r="A165" i="26"/>
  <c r="B165" i="26"/>
  <c r="C165" i="26"/>
  <c r="D165" i="26"/>
  <c r="E165" i="26"/>
  <c r="F165" i="26"/>
  <c r="G165" i="26"/>
  <c r="H165" i="26"/>
  <c r="M165" i="26"/>
  <c r="A166" i="26"/>
  <c r="B166" i="26"/>
  <c r="C166" i="26"/>
  <c r="D166" i="26"/>
  <c r="E166" i="26"/>
  <c r="F166" i="26"/>
  <c r="G166" i="26"/>
  <c r="H166" i="26"/>
  <c r="M166" i="26"/>
  <c r="A167" i="26"/>
  <c r="B167" i="26"/>
  <c r="C167" i="26"/>
  <c r="D167" i="26"/>
  <c r="E167" i="26"/>
  <c r="F167" i="26"/>
  <c r="G167" i="26"/>
  <c r="H167" i="26"/>
  <c r="M167" i="26"/>
  <c r="A168" i="26"/>
  <c r="B168" i="26"/>
  <c r="C168" i="26"/>
  <c r="D168" i="26"/>
  <c r="E168" i="26"/>
  <c r="F168" i="26"/>
  <c r="G168" i="26"/>
  <c r="H168" i="26"/>
  <c r="M168" i="26"/>
  <c r="A169" i="26"/>
  <c r="B169" i="26"/>
  <c r="C169" i="26"/>
  <c r="D169" i="26"/>
  <c r="E169" i="26"/>
  <c r="F169" i="26"/>
  <c r="G169" i="26"/>
  <c r="H169" i="26"/>
  <c r="M169" i="26"/>
  <c r="A170" i="26"/>
  <c r="B170" i="26"/>
  <c r="C170" i="26"/>
  <c r="D170" i="26"/>
  <c r="E170" i="26"/>
  <c r="F170" i="26"/>
  <c r="G170" i="26"/>
  <c r="H170" i="26"/>
  <c r="M170" i="26"/>
  <c r="A171" i="26"/>
  <c r="B171" i="26"/>
  <c r="C171" i="26"/>
  <c r="D171" i="26"/>
  <c r="E171" i="26"/>
  <c r="F171" i="26"/>
  <c r="G171" i="26"/>
  <c r="H171" i="26"/>
  <c r="M171" i="26"/>
  <c r="A172" i="26"/>
  <c r="B172" i="26"/>
  <c r="C172" i="26"/>
  <c r="D172" i="26"/>
  <c r="E172" i="26"/>
  <c r="F172" i="26"/>
  <c r="G172" i="26"/>
  <c r="H172" i="26"/>
  <c r="M172" i="26"/>
  <c r="A173" i="26"/>
  <c r="B173" i="26"/>
  <c r="C173" i="26"/>
  <c r="D173" i="26"/>
  <c r="E173" i="26"/>
  <c r="F173" i="26"/>
  <c r="G173" i="26"/>
  <c r="H173" i="26"/>
  <c r="M173" i="26"/>
  <c r="A174" i="26"/>
  <c r="B174" i="26"/>
  <c r="C174" i="26"/>
  <c r="D174" i="26"/>
  <c r="E174" i="26"/>
  <c r="F174" i="26"/>
  <c r="G174" i="26"/>
  <c r="H174" i="26"/>
  <c r="M174" i="26"/>
  <c r="A175" i="26"/>
  <c r="B175" i="26"/>
  <c r="C175" i="26"/>
  <c r="D175" i="26"/>
  <c r="E175" i="26"/>
  <c r="F175" i="26"/>
  <c r="G175" i="26"/>
  <c r="H175" i="26"/>
  <c r="M175" i="26"/>
  <c r="A176" i="26"/>
  <c r="B176" i="26"/>
  <c r="C176" i="26"/>
  <c r="D176" i="26"/>
  <c r="E176" i="26"/>
  <c r="F176" i="26"/>
  <c r="G176" i="26"/>
  <c r="H176" i="26"/>
  <c r="M176" i="26"/>
  <c r="A177" i="26"/>
  <c r="B177" i="26"/>
  <c r="C177" i="26"/>
  <c r="D177" i="26"/>
  <c r="E177" i="26"/>
  <c r="F177" i="26"/>
  <c r="G177" i="26"/>
  <c r="H177" i="26"/>
  <c r="M177" i="26"/>
  <c r="A178" i="26"/>
  <c r="B178" i="26"/>
  <c r="C178" i="26"/>
  <c r="D178" i="26"/>
  <c r="E178" i="26"/>
  <c r="AK178" i="26" s="1"/>
  <c r="BU178" i="26" s="1"/>
  <c r="BV178" i="26" s="1"/>
  <c r="F178" i="26"/>
  <c r="G178" i="26"/>
  <c r="H178" i="26"/>
  <c r="M178" i="26"/>
  <c r="A179" i="26"/>
  <c r="B179" i="26"/>
  <c r="C179" i="26"/>
  <c r="D179" i="26"/>
  <c r="E179" i="26"/>
  <c r="F179" i="26"/>
  <c r="G179" i="26"/>
  <c r="H179" i="26"/>
  <c r="M179" i="26"/>
  <c r="A180" i="26"/>
  <c r="B180" i="26"/>
  <c r="C180" i="26"/>
  <c r="D180" i="26"/>
  <c r="E180" i="26"/>
  <c r="F180" i="26"/>
  <c r="G180" i="26"/>
  <c r="H180" i="26"/>
  <c r="M180" i="26"/>
  <c r="A145" i="26"/>
  <c r="B145" i="26"/>
  <c r="C145" i="26"/>
  <c r="D145" i="26"/>
  <c r="E145" i="26"/>
  <c r="F145" i="26"/>
  <c r="G145" i="26"/>
  <c r="H145" i="26"/>
  <c r="M145" i="26"/>
  <c r="A146" i="26"/>
  <c r="B146" i="26"/>
  <c r="C146" i="26"/>
  <c r="D146" i="26"/>
  <c r="E146" i="26"/>
  <c r="F146" i="26"/>
  <c r="G146" i="26"/>
  <c r="H146" i="26"/>
  <c r="M146" i="26"/>
  <c r="A147" i="26"/>
  <c r="B147" i="26"/>
  <c r="C147" i="26"/>
  <c r="D147" i="26"/>
  <c r="E147" i="26"/>
  <c r="F147" i="26"/>
  <c r="G147" i="26"/>
  <c r="H147" i="26"/>
  <c r="M147" i="26"/>
  <c r="A148" i="26"/>
  <c r="B148" i="26"/>
  <c r="C148" i="26"/>
  <c r="D148" i="26"/>
  <c r="E148" i="26"/>
  <c r="F148" i="26"/>
  <c r="G148" i="26"/>
  <c r="H148" i="26"/>
  <c r="M148" i="26"/>
  <c r="A149" i="26"/>
  <c r="B149" i="26"/>
  <c r="C149" i="26"/>
  <c r="D149" i="26"/>
  <c r="E149" i="26"/>
  <c r="F149" i="26"/>
  <c r="G149" i="26"/>
  <c r="H149" i="26"/>
  <c r="M149" i="26"/>
  <c r="A150" i="26"/>
  <c r="B150" i="26"/>
  <c r="C150" i="26"/>
  <c r="D150" i="26"/>
  <c r="E150" i="26"/>
  <c r="F150" i="26"/>
  <c r="G150" i="26"/>
  <c r="H150" i="26"/>
  <c r="M150" i="26"/>
  <c r="A151" i="26"/>
  <c r="B151" i="26"/>
  <c r="C151" i="26"/>
  <c r="D151" i="26"/>
  <c r="E151" i="26"/>
  <c r="F151" i="26"/>
  <c r="G151" i="26"/>
  <c r="H151" i="26"/>
  <c r="M151" i="26"/>
  <c r="A152" i="26"/>
  <c r="B152" i="26"/>
  <c r="C152" i="26"/>
  <c r="D152" i="26"/>
  <c r="E152" i="26"/>
  <c r="F152" i="26"/>
  <c r="G152" i="26"/>
  <c r="H152" i="26"/>
  <c r="M152" i="26"/>
  <c r="A153" i="26"/>
  <c r="B153" i="26"/>
  <c r="C153" i="26"/>
  <c r="D153" i="26"/>
  <c r="E153" i="26"/>
  <c r="F153" i="26"/>
  <c r="G153" i="26"/>
  <c r="H153" i="26"/>
  <c r="M153" i="26"/>
  <c r="A154" i="26"/>
  <c r="B154" i="26"/>
  <c r="C154" i="26"/>
  <c r="D154" i="26"/>
  <c r="E154" i="26"/>
  <c r="F154" i="26"/>
  <c r="G154" i="26"/>
  <c r="H154" i="26"/>
  <c r="M154" i="26"/>
  <c r="A155" i="26"/>
  <c r="B155" i="26"/>
  <c r="C155" i="26"/>
  <c r="D155" i="26"/>
  <c r="E155" i="26"/>
  <c r="F155" i="26"/>
  <c r="G155" i="26"/>
  <c r="H155" i="26"/>
  <c r="M155" i="26"/>
  <c r="A156" i="26"/>
  <c r="B156" i="26"/>
  <c r="C156" i="26"/>
  <c r="D156" i="26"/>
  <c r="E156" i="26"/>
  <c r="F156" i="26"/>
  <c r="G156" i="26"/>
  <c r="H156" i="26"/>
  <c r="M156" i="26"/>
  <c r="A157" i="26"/>
  <c r="B157" i="26"/>
  <c r="C157" i="26"/>
  <c r="D157" i="26"/>
  <c r="E157" i="26"/>
  <c r="F157" i="26"/>
  <c r="G157" i="26"/>
  <c r="H157" i="26"/>
  <c r="M157" i="26"/>
  <c r="A158" i="26"/>
  <c r="B158" i="26"/>
  <c r="C158" i="26"/>
  <c r="D158" i="26"/>
  <c r="E158" i="26"/>
  <c r="F158" i="26"/>
  <c r="G158" i="26"/>
  <c r="H158" i="26"/>
  <c r="M158" i="26"/>
  <c r="A159" i="26"/>
  <c r="B159" i="26"/>
  <c r="C159" i="26"/>
  <c r="D159" i="26"/>
  <c r="E159" i="26"/>
  <c r="F159" i="26"/>
  <c r="G159" i="26"/>
  <c r="H159" i="26"/>
  <c r="M159" i="26"/>
  <c r="A160" i="26"/>
  <c r="B160" i="26"/>
  <c r="C160" i="26"/>
  <c r="D160" i="26"/>
  <c r="E160" i="26"/>
  <c r="F160" i="26"/>
  <c r="G160" i="26"/>
  <c r="H160" i="26"/>
  <c r="M160" i="26"/>
  <c r="A161" i="26"/>
  <c r="B161" i="26"/>
  <c r="C161" i="26"/>
  <c r="D161" i="26"/>
  <c r="E161" i="26"/>
  <c r="F161" i="26"/>
  <c r="G161" i="26"/>
  <c r="H161" i="26"/>
  <c r="M161" i="26"/>
  <c r="A162" i="26"/>
  <c r="B162" i="26"/>
  <c r="C162" i="26"/>
  <c r="D162" i="26"/>
  <c r="E162" i="26"/>
  <c r="F162" i="26"/>
  <c r="G162" i="26"/>
  <c r="H162" i="26"/>
  <c r="M162" i="26"/>
  <c r="A127" i="26"/>
  <c r="B127" i="26"/>
  <c r="C127" i="26"/>
  <c r="D127" i="26"/>
  <c r="E127" i="26"/>
  <c r="F127" i="26"/>
  <c r="G127" i="26"/>
  <c r="H127" i="26"/>
  <c r="M127" i="26"/>
  <c r="A128" i="26"/>
  <c r="B128" i="26"/>
  <c r="C128" i="26"/>
  <c r="D128" i="26"/>
  <c r="E128" i="26"/>
  <c r="F128" i="26"/>
  <c r="G128" i="26"/>
  <c r="H128" i="26"/>
  <c r="M128" i="26"/>
  <c r="A129" i="26"/>
  <c r="B129" i="26"/>
  <c r="C129" i="26"/>
  <c r="D129" i="26"/>
  <c r="E129" i="26"/>
  <c r="F129" i="26"/>
  <c r="G129" i="26"/>
  <c r="H129" i="26"/>
  <c r="M129" i="26"/>
  <c r="A130" i="26"/>
  <c r="B130" i="26"/>
  <c r="C130" i="26"/>
  <c r="D130" i="26"/>
  <c r="E130" i="26"/>
  <c r="F130" i="26"/>
  <c r="G130" i="26"/>
  <c r="H130" i="26"/>
  <c r="M130" i="26"/>
  <c r="A131" i="26"/>
  <c r="B131" i="26"/>
  <c r="C131" i="26"/>
  <c r="D131" i="26"/>
  <c r="E131" i="26"/>
  <c r="F131" i="26"/>
  <c r="G131" i="26"/>
  <c r="H131" i="26"/>
  <c r="M131" i="26"/>
  <c r="A132" i="26"/>
  <c r="B132" i="26"/>
  <c r="C132" i="26"/>
  <c r="D132" i="26"/>
  <c r="E132" i="26"/>
  <c r="F132" i="26"/>
  <c r="G132" i="26"/>
  <c r="H132" i="26"/>
  <c r="M132" i="26"/>
  <c r="A133" i="26"/>
  <c r="B133" i="26"/>
  <c r="C133" i="26"/>
  <c r="D133" i="26"/>
  <c r="E133" i="26"/>
  <c r="F133" i="26"/>
  <c r="G133" i="26"/>
  <c r="H133" i="26"/>
  <c r="M133" i="26"/>
  <c r="A134" i="26"/>
  <c r="B134" i="26"/>
  <c r="C134" i="26"/>
  <c r="D134" i="26"/>
  <c r="E134" i="26"/>
  <c r="F134" i="26"/>
  <c r="G134" i="26"/>
  <c r="H134" i="26"/>
  <c r="M134" i="26"/>
  <c r="A135" i="26"/>
  <c r="B135" i="26"/>
  <c r="C135" i="26"/>
  <c r="D135" i="26"/>
  <c r="E135" i="26"/>
  <c r="F135" i="26"/>
  <c r="G135" i="26"/>
  <c r="H135" i="26"/>
  <c r="M135" i="26"/>
  <c r="A136" i="26"/>
  <c r="B136" i="26"/>
  <c r="C136" i="26"/>
  <c r="D136" i="26"/>
  <c r="E136" i="26"/>
  <c r="F136" i="26"/>
  <c r="G136" i="26"/>
  <c r="H136" i="26"/>
  <c r="M136" i="26"/>
  <c r="A137" i="26"/>
  <c r="B137" i="26"/>
  <c r="C137" i="26"/>
  <c r="D137" i="26"/>
  <c r="E137" i="26"/>
  <c r="F137" i="26"/>
  <c r="G137" i="26"/>
  <c r="H137" i="26"/>
  <c r="M137" i="26"/>
  <c r="A138" i="26"/>
  <c r="B138" i="26"/>
  <c r="C138" i="26"/>
  <c r="D138" i="26"/>
  <c r="E138" i="26"/>
  <c r="F138" i="26"/>
  <c r="G138" i="26"/>
  <c r="H138" i="26"/>
  <c r="M138" i="26"/>
  <c r="A139" i="26"/>
  <c r="B139" i="26"/>
  <c r="C139" i="26"/>
  <c r="D139" i="26"/>
  <c r="E139" i="26"/>
  <c r="F139" i="26"/>
  <c r="G139" i="26"/>
  <c r="H139" i="26"/>
  <c r="M139" i="26"/>
  <c r="A140" i="26"/>
  <c r="B140" i="26"/>
  <c r="C140" i="26"/>
  <c r="D140" i="26"/>
  <c r="E140" i="26"/>
  <c r="F140" i="26"/>
  <c r="G140" i="26"/>
  <c r="H140" i="26"/>
  <c r="M140" i="26"/>
  <c r="A141" i="26"/>
  <c r="B141" i="26"/>
  <c r="C141" i="26"/>
  <c r="D141" i="26"/>
  <c r="E141" i="26"/>
  <c r="F141" i="26"/>
  <c r="G141" i="26"/>
  <c r="H141" i="26"/>
  <c r="M141" i="26"/>
  <c r="A142" i="26"/>
  <c r="B142" i="26"/>
  <c r="C142" i="26"/>
  <c r="D142" i="26"/>
  <c r="E142" i="26"/>
  <c r="F142" i="26"/>
  <c r="G142" i="26"/>
  <c r="H142" i="26"/>
  <c r="M142" i="26"/>
  <c r="A143" i="26"/>
  <c r="B143" i="26"/>
  <c r="C143" i="26"/>
  <c r="D143" i="26"/>
  <c r="E143" i="26"/>
  <c r="F143" i="26"/>
  <c r="G143" i="26"/>
  <c r="H143" i="26"/>
  <c r="M143" i="26"/>
  <c r="A144" i="26"/>
  <c r="B144" i="26"/>
  <c r="C144" i="26"/>
  <c r="D144" i="26"/>
  <c r="E144" i="26"/>
  <c r="F144" i="26"/>
  <c r="G144" i="26"/>
  <c r="H144" i="26"/>
  <c r="M144" i="26"/>
  <c r="A109" i="26"/>
  <c r="B109" i="26"/>
  <c r="C109" i="26"/>
  <c r="D109" i="26"/>
  <c r="E109" i="26"/>
  <c r="F109" i="26"/>
  <c r="G109" i="26"/>
  <c r="H109" i="26"/>
  <c r="M109" i="26"/>
  <c r="A110" i="26"/>
  <c r="B110" i="26"/>
  <c r="C110" i="26"/>
  <c r="D110" i="26"/>
  <c r="E110" i="26"/>
  <c r="F110" i="26"/>
  <c r="G110" i="26"/>
  <c r="H110" i="26"/>
  <c r="M110" i="26"/>
  <c r="A111" i="26"/>
  <c r="B111" i="26"/>
  <c r="C111" i="26"/>
  <c r="D111" i="26"/>
  <c r="E111" i="26"/>
  <c r="F111" i="26"/>
  <c r="G111" i="26"/>
  <c r="H111" i="26"/>
  <c r="M111" i="26"/>
  <c r="A112" i="26"/>
  <c r="B112" i="26"/>
  <c r="C112" i="26"/>
  <c r="D112" i="26"/>
  <c r="E112" i="26"/>
  <c r="F112" i="26"/>
  <c r="G112" i="26"/>
  <c r="H112" i="26"/>
  <c r="M112" i="26"/>
  <c r="A113" i="26"/>
  <c r="B113" i="26"/>
  <c r="C113" i="26"/>
  <c r="D113" i="26"/>
  <c r="E113" i="26"/>
  <c r="F113" i="26"/>
  <c r="G113" i="26"/>
  <c r="H113" i="26"/>
  <c r="M113" i="26"/>
  <c r="A114" i="26"/>
  <c r="B114" i="26"/>
  <c r="C114" i="26"/>
  <c r="D114" i="26"/>
  <c r="E114" i="26"/>
  <c r="F114" i="26"/>
  <c r="G114" i="26"/>
  <c r="H114" i="26"/>
  <c r="M114" i="26"/>
  <c r="A115" i="26"/>
  <c r="B115" i="26"/>
  <c r="C115" i="26"/>
  <c r="D115" i="26"/>
  <c r="E115" i="26"/>
  <c r="F115" i="26"/>
  <c r="G115" i="26"/>
  <c r="H115" i="26"/>
  <c r="M115" i="26"/>
  <c r="A116" i="26"/>
  <c r="B116" i="26"/>
  <c r="C116" i="26"/>
  <c r="D116" i="26"/>
  <c r="E116" i="26"/>
  <c r="F116" i="26"/>
  <c r="G116" i="26"/>
  <c r="H116" i="26"/>
  <c r="M116" i="26"/>
  <c r="A117" i="26"/>
  <c r="B117" i="26"/>
  <c r="C117" i="26"/>
  <c r="D117" i="26"/>
  <c r="E117" i="26"/>
  <c r="F117" i="26"/>
  <c r="G117" i="26"/>
  <c r="H117" i="26"/>
  <c r="M117" i="26"/>
  <c r="A118" i="26"/>
  <c r="B118" i="26"/>
  <c r="C118" i="26"/>
  <c r="D118" i="26"/>
  <c r="E118" i="26"/>
  <c r="F118" i="26"/>
  <c r="G118" i="26"/>
  <c r="H118" i="26"/>
  <c r="M118" i="26"/>
  <c r="A119" i="26"/>
  <c r="B119" i="26"/>
  <c r="C119" i="26"/>
  <c r="D119" i="26"/>
  <c r="E119" i="26"/>
  <c r="F119" i="26"/>
  <c r="G119" i="26"/>
  <c r="H119" i="26"/>
  <c r="M119" i="26"/>
  <c r="A120" i="26"/>
  <c r="B120" i="26"/>
  <c r="C120" i="26"/>
  <c r="D120" i="26"/>
  <c r="E120" i="26"/>
  <c r="F120" i="26"/>
  <c r="G120" i="26"/>
  <c r="H120" i="26"/>
  <c r="M120" i="26"/>
  <c r="A121" i="26"/>
  <c r="B121" i="26"/>
  <c r="C121" i="26"/>
  <c r="D121" i="26"/>
  <c r="E121" i="26"/>
  <c r="F121" i="26"/>
  <c r="G121" i="26"/>
  <c r="H121" i="26"/>
  <c r="M121" i="26"/>
  <c r="A122" i="26"/>
  <c r="B122" i="26"/>
  <c r="C122" i="26"/>
  <c r="D122" i="26"/>
  <c r="E122" i="26"/>
  <c r="F122" i="26"/>
  <c r="G122" i="26"/>
  <c r="H122" i="26"/>
  <c r="M122" i="26"/>
  <c r="A123" i="26"/>
  <c r="B123" i="26"/>
  <c r="C123" i="26"/>
  <c r="D123" i="26"/>
  <c r="E123" i="26"/>
  <c r="F123" i="26"/>
  <c r="G123" i="26"/>
  <c r="H123" i="26"/>
  <c r="M123" i="26"/>
  <c r="A124" i="26"/>
  <c r="B124" i="26"/>
  <c r="C124" i="26"/>
  <c r="D124" i="26"/>
  <c r="E124" i="26"/>
  <c r="F124" i="26"/>
  <c r="G124" i="26"/>
  <c r="H124" i="26"/>
  <c r="M124" i="26"/>
  <c r="A125" i="26"/>
  <c r="B125" i="26"/>
  <c r="C125" i="26"/>
  <c r="D125" i="26"/>
  <c r="E125" i="26"/>
  <c r="F125" i="26"/>
  <c r="G125" i="26"/>
  <c r="H125" i="26"/>
  <c r="M125" i="26"/>
  <c r="A126" i="26"/>
  <c r="B126" i="26"/>
  <c r="C126" i="26"/>
  <c r="D126" i="26"/>
  <c r="E126" i="26"/>
  <c r="F126" i="26"/>
  <c r="G126" i="26"/>
  <c r="H126" i="26"/>
  <c r="M126" i="26"/>
  <c r="A91" i="26"/>
  <c r="B91" i="26"/>
  <c r="C91" i="26"/>
  <c r="D91" i="26"/>
  <c r="E91" i="26"/>
  <c r="F91" i="26"/>
  <c r="G91" i="26"/>
  <c r="H91" i="26"/>
  <c r="M91" i="26"/>
  <c r="A92" i="26"/>
  <c r="B92" i="26"/>
  <c r="C92" i="26"/>
  <c r="D92" i="26"/>
  <c r="E92" i="26"/>
  <c r="F92" i="26"/>
  <c r="G92" i="26"/>
  <c r="H92" i="26"/>
  <c r="M92" i="26"/>
  <c r="A93" i="26"/>
  <c r="B93" i="26"/>
  <c r="C93" i="26"/>
  <c r="D93" i="26"/>
  <c r="E93" i="26"/>
  <c r="F93" i="26"/>
  <c r="G93" i="26"/>
  <c r="H93" i="26"/>
  <c r="M93" i="26"/>
  <c r="A94" i="26"/>
  <c r="B94" i="26"/>
  <c r="C94" i="26"/>
  <c r="D94" i="26"/>
  <c r="E94" i="26"/>
  <c r="F94" i="26"/>
  <c r="G94" i="26"/>
  <c r="H94" i="26"/>
  <c r="M94" i="26"/>
  <c r="A95" i="26"/>
  <c r="B95" i="26"/>
  <c r="C95" i="26"/>
  <c r="D95" i="26"/>
  <c r="E95" i="26"/>
  <c r="F95" i="26"/>
  <c r="G95" i="26"/>
  <c r="H95" i="26"/>
  <c r="M95" i="26"/>
  <c r="A96" i="26"/>
  <c r="B96" i="26"/>
  <c r="C96" i="26"/>
  <c r="D96" i="26"/>
  <c r="E96" i="26"/>
  <c r="F96" i="26"/>
  <c r="G96" i="26"/>
  <c r="H96" i="26"/>
  <c r="M96" i="26"/>
  <c r="A97" i="26"/>
  <c r="B97" i="26"/>
  <c r="C97" i="26"/>
  <c r="D97" i="26"/>
  <c r="E97" i="26"/>
  <c r="F97" i="26"/>
  <c r="G97" i="26"/>
  <c r="H97" i="26"/>
  <c r="M97" i="26"/>
  <c r="A98" i="26"/>
  <c r="B98" i="26"/>
  <c r="C98" i="26"/>
  <c r="D98" i="26"/>
  <c r="E98" i="26"/>
  <c r="F98" i="26"/>
  <c r="G98" i="26"/>
  <c r="H98" i="26"/>
  <c r="M98" i="26"/>
  <c r="A99" i="26"/>
  <c r="B99" i="26"/>
  <c r="C99" i="26"/>
  <c r="D99" i="26"/>
  <c r="E99" i="26"/>
  <c r="F99" i="26"/>
  <c r="G99" i="26"/>
  <c r="H99" i="26"/>
  <c r="M99" i="26"/>
  <c r="A100" i="26"/>
  <c r="B100" i="26"/>
  <c r="C100" i="26"/>
  <c r="D100" i="26"/>
  <c r="E100" i="26"/>
  <c r="F100" i="26"/>
  <c r="G100" i="26"/>
  <c r="H100" i="26"/>
  <c r="M100" i="26"/>
  <c r="A101" i="26"/>
  <c r="B101" i="26"/>
  <c r="C101" i="26"/>
  <c r="D101" i="26"/>
  <c r="E101" i="26"/>
  <c r="F101" i="26"/>
  <c r="G101" i="26"/>
  <c r="H101" i="26"/>
  <c r="M101" i="26"/>
  <c r="A102" i="26"/>
  <c r="B102" i="26"/>
  <c r="C102" i="26"/>
  <c r="D102" i="26"/>
  <c r="E102" i="26"/>
  <c r="F102" i="26"/>
  <c r="G102" i="26"/>
  <c r="H102" i="26"/>
  <c r="M102" i="26"/>
  <c r="A103" i="26"/>
  <c r="B103" i="26"/>
  <c r="C103" i="26"/>
  <c r="D103" i="26"/>
  <c r="E103" i="26"/>
  <c r="F103" i="26"/>
  <c r="G103" i="26"/>
  <c r="H103" i="26"/>
  <c r="M103" i="26"/>
  <c r="A104" i="26"/>
  <c r="B104" i="26"/>
  <c r="C104" i="26"/>
  <c r="D104" i="26"/>
  <c r="E104" i="26"/>
  <c r="F104" i="26"/>
  <c r="G104" i="26"/>
  <c r="H104" i="26"/>
  <c r="M104" i="26"/>
  <c r="A105" i="26"/>
  <c r="B105" i="26"/>
  <c r="C105" i="26"/>
  <c r="D105" i="26"/>
  <c r="E105" i="26"/>
  <c r="F105" i="26"/>
  <c r="G105" i="26"/>
  <c r="H105" i="26"/>
  <c r="M105" i="26"/>
  <c r="A106" i="26"/>
  <c r="B106" i="26"/>
  <c r="C106" i="26"/>
  <c r="D106" i="26"/>
  <c r="E106" i="26"/>
  <c r="F106" i="26"/>
  <c r="G106" i="26"/>
  <c r="H106" i="26"/>
  <c r="M106" i="26"/>
  <c r="A107" i="26"/>
  <c r="B107" i="26"/>
  <c r="C107" i="26"/>
  <c r="D107" i="26"/>
  <c r="E107" i="26"/>
  <c r="F107" i="26"/>
  <c r="G107" i="26"/>
  <c r="H107" i="26"/>
  <c r="M107" i="26"/>
  <c r="A108" i="26"/>
  <c r="B108" i="26"/>
  <c r="C108" i="26"/>
  <c r="D108" i="26"/>
  <c r="E108" i="26"/>
  <c r="F108" i="26"/>
  <c r="G108" i="26"/>
  <c r="H108" i="26"/>
  <c r="M108" i="26"/>
  <c r="A73" i="26"/>
  <c r="B73" i="26"/>
  <c r="C73" i="26"/>
  <c r="D73" i="26"/>
  <c r="E73" i="26"/>
  <c r="F73" i="26"/>
  <c r="G73" i="26"/>
  <c r="H73" i="26"/>
  <c r="M73" i="26"/>
  <c r="A74" i="26"/>
  <c r="B74" i="26"/>
  <c r="C74" i="26"/>
  <c r="D74" i="26"/>
  <c r="E74" i="26"/>
  <c r="F74" i="26"/>
  <c r="G74" i="26"/>
  <c r="H74" i="26"/>
  <c r="M74" i="26"/>
  <c r="A75" i="26"/>
  <c r="B75" i="26"/>
  <c r="C75" i="26"/>
  <c r="D75" i="26"/>
  <c r="E75" i="26"/>
  <c r="F75" i="26"/>
  <c r="G75" i="26"/>
  <c r="H75" i="26"/>
  <c r="M75" i="26"/>
  <c r="A76" i="26"/>
  <c r="B76" i="26"/>
  <c r="C76" i="26"/>
  <c r="D76" i="26"/>
  <c r="E76" i="26"/>
  <c r="F76" i="26"/>
  <c r="G76" i="26"/>
  <c r="H76" i="26"/>
  <c r="M76" i="26"/>
  <c r="A77" i="26"/>
  <c r="B77" i="26"/>
  <c r="C77" i="26"/>
  <c r="D77" i="26"/>
  <c r="E77" i="26"/>
  <c r="F77" i="26"/>
  <c r="G77" i="26"/>
  <c r="H77" i="26"/>
  <c r="M77" i="26"/>
  <c r="A78" i="26"/>
  <c r="B78" i="26"/>
  <c r="C78" i="26"/>
  <c r="D78" i="26"/>
  <c r="E78" i="26"/>
  <c r="F78" i="26"/>
  <c r="G78" i="26"/>
  <c r="H78" i="26"/>
  <c r="M78" i="26"/>
  <c r="A79" i="26"/>
  <c r="B79" i="26"/>
  <c r="C79" i="26"/>
  <c r="D79" i="26"/>
  <c r="E79" i="26"/>
  <c r="F79" i="26"/>
  <c r="G79" i="26"/>
  <c r="H79" i="26"/>
  <c r="M79" i="26"/>
  <c r="A80" i="26"/>
  <c r="B80" i="26"/>
  <c r="C80" i="26"/>
  <c r="D80" i="26"/>
  <c r="E80" i="26"/>
  <c r="F80" i="26"/>
  <c r="G80" i="26"/>
  <c r="H80" i="26"/>
  <c r="M80" i="26"/>
  <c r="A81" i="26"/>
  <c r="B81" i="26"/>
  <c r="C81" i="26"/>
  <c r="D81" i="26"/>
  <c r="E81" i="26"/>
  <c r="F81" i="26"/>
  <c r="G81" i="26"/>
  <c r="H81" i="26"/>
  <c r="M81" i="26"/>
  <c r="A82" i="26"/>
  <c r="B82" i="26"/>
  <c r="C82" i="26"/>
  <c r="D82" i="26"/>
  <c r="E82" i="26"/>
  <c r="F82" i="26"/>
  <c r="G82" i="26"/>
  <c r="H82" i="26"/>
  <c r="M82" i="26"/>
  <c r="A83" i="26"/>
  <c r="B83" i="26"/>
  <c r="C83" i="26"/>
  <c r="D83" i="26"/>
  <c r="E83" i="26"/>
  <c r="F83" i="26"/>
  <c r="G83" i="26"/>
  <c r="H83" i="26"/>
  <c r="M83" i="26"/>
  <c r="A84" i="26"/>
  <c r="B84" i="26"/>
  <c r="C84" i="26"/>
  <c r="D84" i="26"/>
  <c r="E84" i="26"/>
  <c r="F84" i="26"/>
  <c r="G84" i="26"/>
  <c r="H84" i="26"/>
  <c r="M84" i="26"/>
  <c r="A85" i="26"/>
  <c r="B85" i="26"/>
  <c r="C85" i="26"/>
  <c r="D85" i="26"/>
  <c r="E85" i="26"/>
  <c r="F85" i="26"/>
  <c r="G85" i="26"/>
  <c r="H85" i="26"/>
  <c r="M85" i="26"/>
  <c r="A86" i="26"/>
  <c r="B86" i="26"/>
  <c r="C86" i="26"/>
  <c r="D86" i="26"/>
  <c r="E86" i="26"/>
  <c r="F86" i="26"/>
  <c r="G86" i="26"/>
  <c r="H86" i="26"/>
  <c r="M86" i="26"/>
  <c r="A87" i="26"/>
  <c r="B87" i="26"/>
  <c r="C87" i="26"/>
  <c r="D87" i="26"/>
  <c r="E87" i="26"/>
  <c r="F87" i="26"/>
  <c r="G87" i="26"/>
  <c r="H87" i="26"/>
  <c r="M87" i="26"/>
  <c r="A88" i="26"/>
  <c r="B88" i="26"/>
  <c r="C88" i="26"/>
  <c r="D88" i="26"/>
  <c r="E88" i="26"/>
  <c r="F88" i="26"/>
  <c r="G88" i="26"/>
  <c r="H88" i="26"/>
  <c r="M88" i="26"/>
  <c r="A89" i="26"/>
  <c r="B89" i="26"/>
  <c r="C89" i="26"/>
  <c r="D89" i="26"/>
  <c r="E89" i="26"/>
  <c r="F89" i="26"/>
  <c r="G89" i="26"/>
  <c r="H89" i="26"/>
  <c r="M89" i="26"/>
  <c r="A90" i="26"/>
  <c r="B90" i="26"/>
  <c r="C90" i="26"/>
  <c r="D90" i="26"/>
  <c r="E90" i="26"/>
  <c r="F90" i="26"/>
  <c r="G90" i="26"/>
  <c r="H90" i="26"/>
  <c r="M90" i="26"/>
  <c r="A55" i="26"/>
  <c r="B55" i="26"/>
  <c r="C55" i="26"/>
  <c r="D55" i="26"/>
  <c r="E55" i="26"/>
  <c r="F55" i="26"/>
  <c r="G55" i="26"/>
  <c r="H55" i="26"/>
  <c r="M55" i="26"/>
  <c r="A56" i="26"/>
  <c r="B56" i="26"/>
  <c r="C56" i="26"/>
  <c r="D56" i="26"/>
  <c r="E56" i="26"/>
  <c r="F56" i="26"/>
  <c r="G56" i="26"/>
  <c r="H56" i="26"/>
  <c r="M56" i="26"/>
  <c r="A57" i="26"/>
  <c r="B57" i="26"/>
  <c r="C57" i="26"/>
  <c r="D57" i="26"/>
  <c r="E57" i="26"/>
  <c r="F57" i="26"/>
  <c r="G57" i="26"/>
  <c r="H57" i="26"/>
  <c r="M57" i="26"/>
  <c r="A58" i="26"/>
  <c r="B58" i="26"/>
  <c r="C58" i="26"/>
  <c r="D58" i="26"/>
  <c r="E58" i="26"/>
  <c r="F58" i="26"/>
  <c r="G58" i="26"/>
  <c r="H58" i="26"/>
  <c r="M58" i="26"/>
  <c r="A59" i="26"/>
  <c r="B59" i="26"/>
  <c r="C59" i="26"/>
  <c r="D59" i="26"/>
  <c r="E59" i="26"/>
  <c r="F59" i="26"/>
  <c r="G59" i="26"/>
  <c r="H59" i="26"/>
  <c r="M59" i="26"/>
  <c r="A60" i="26"/>
  <c r="B60" i="26"/>
  <c r="C60" i="26"/>
  <c r="D60" i="26"/>
  <c r="E60" i="26"/>
  <c r="F60" i="26"/>
  <c r="G60" i="26"/>
  <c r="H60" i="26"/>
  <c r="M60" i="26"/>
  <c r="A61" i="26"/>
  <c r="B61" i="26"/>
  <c r="C61" i="26"/>
  <c r="D61" i="26"/>
  <c r="E61" i="26"/>
  <c r="F61" i="26"/>
  <c r="G61" i="26"/>
  <c r="H61" i="26"/>
  <c r="M61" i="26"/>
  <c r="A62" i="26"/>
  <c r="B62" i="26"/>
  <c r="C62" i="26"/>
  <c r="D62" i="26"/>
  <c r="E62" i="26"/>
  <c r="F62" i="26"/>
  <c r="G62" i="26"/>
  <c r="H62" i="26"/>
  <c r="M62" i="26"/>
  <c r="A63" i="26"/>
  <c r="B63" i="26"/>
  <c r="C63" i="26"/>
  <c r="D63" i="26"/>
  <c r="E63" i="26"/>
  <c r="F63" i="26"/>
  <c r="G63" i="26"/>
  <c r="H63" i="26"/>
  <c r="M63" i="26"/>
  <c r="A64" i="26"/>
  <c r="B64" i="26"/>
  <c r="C64" i="26"/>
  <c r="D64" i="26"/>
  <c r="E64" i="26"/>
  <c r="F64" i="26"/>
  <c r="G64" i="26"/>
  <c r="H64" i="26"/>
  <c r="M64" i="26"/>
  <c r="A65" i="26"/>
  <c r="B65" i="26"/>
  <c r="C65" i="26"/>
  <c r="D65" i="26"/>
  <c r="E65" i="26"/>
  <c r="F65" i="26"/>
  <c r="G65" i="26"/>
  <c r="H65" i="26"/>
  <c r="M65" i="26"/>
  <c r="A66" i="26"/>
  <c r="B66" i="26"/>
  <c r="C66" i="26"/>
  <c r="D66" i="26"/>
  <c r="E66" i="26"/>
  <c r="F66" i="26"/>
  <c r="G66" i="26"/>
  <c r="H66" i="26"/>
  <c r="M66" i="26"/>
  <c r="A67" i="26"/>
  <c r="B67" i="26"/>
  <c r="C67" i="26"/>
  <c r="D67" i="26"/>
  <c r="E67" i="26"/>
  <c r="F67" i="26"/>
  <c r="G67" i="26"/>
  <c r="H67" i="26"/>
  <c r="M67" i="26"/>
  <c r="A68" i="26"/>
  <c r="B68" i="26"/>
  <c r="C68" i="26"/>
  <c r="D68" i="26"/>
  <c r="E68" i="26"/>
  <c r="F68" i="26"/>
  <c r="G68" i="26"/>
  <c r="H68" i="26"/>
  <c r="M68" i="26"/>
  <c r="A69" i="26"/>
  <c r="B69" i="26"/>
  <c r="C69" i="26"/>
  <c r="D69" i="26"/>
  <c r="E69" i="26"/>
  <c r="F69" i="26"/>
  <c r="G69" i="26"/>
  <c r="H69" i="26"/>
  <c r="M69" i="26"/>
  <c r="A70" i="26"/>
  <c r="B70" i="26"/>
  <c r="C70" i="26"/>
  <c r="D70" i="26"/>
  <c r="E70" i="26"/>
  <c r="F70" i="26"/>
  <c r="G70" i="26"/>
  <c r="H70" i="26"/>
  <c r="M70" i="26"/>
  <c r="A71" i="26"/>
  <c r="B71" i="26"/>
  <c r="C71" i="26"/>
  <c r="D71" i="26"/>
  <c r="E71" i="26"/>
  <c r="F71" i="26"/>
  <c r="G71" i="26"/>
  <c r="H71" i="26"/>
  <c r="M71" i="26"/>
  <c r="A72" i="26"/>
  <c r="B72" i="26"/>
  <c r="C72" i="26"/>
  <c r="D72" i="26"/>
  <c r="E72" i="26"/>
  <c r="F72" i="26"/>
  <c r="G72" i="26"/>
  <c r="H72" i="26"/>
  <c r="M72" i="26"/>
  <c r="A37" i="26"/>
  <c r="B37" i="26"/>
  <c r="C37" i="26"/>
  <c r="D37" i="26"/>
  <c r="E37" i="26"/>
  <c r="F37" i="26"/>
  <c r="G37" i="26"/>
  <c r="H37" i="26"/>
  <c r="M37" i="26"/>
  <c r="A38" i="26"/>
  <c r="B38" i="26"/>
  <c r="C38" i="26"/>
  <c r="D38" i="26"/>
  <c r="E38" i="26"/>
  <c r="F38" i="26"/>
  <c r="G38" i="26"/>
  <c r="H38" i="26"/>
  <c r="M38" i="26"/>
  <c r="A39" i="26"/>
  <c r="B39" i="26"/>
  <c r="C39" i="26"/>
  <c r="D39" i="26"/>
  <c r="E39" i="26"/>
  <c r="F39" i="26"/>
  <c r="G39" i="26"/>
  <c r="H39" i="26"/>
  <c r="M39" i="26"/>
  <c r="A40" i="26"/>
  <c r="B40" i="26"/>
  <c r="C40" i="26"/>
  <c r="D40" i="26"/>
  <c r="E40" i="26"/>
  <c r="F40" i="26"/>
  <c r="G40" i="26"/>
  <c r="H40" i="26"/>
  <c r="M40" i="26"/>
  <c r="A41" i="26"/>
  <c r="B41" i="26"/>
  <c r="C41" i="26"/>
  <c r="D41" i="26"/>
  <c r="E41" i="26"/>
  <c r="F41" i="26"/>
  <c r="G41" i="26"/>
  <c r="H41" i="26"/>
  <c r="M41" i="26"/>
  <c r="A42" i="26"/>
  <c r="B42" i="26"/>
  <c r="C42" i="26"/>
  <c r="D42" i="26"/>
  <c r="E42" i="26"/>
  <c r="F42" i="26"/>
  <c r="G42" i="26"/>
  <c r="H42" i="26"/>
  <c r="M42" i="26"/>
  <c r="A43" i="26"/>
  <c r="B43" i="26"/>
  <c r="C43" i="26"/>
  <c r="D43" i="26"/>
  <c r="E43" i="26"/>
  <c r="F43" i="26"/>
  <c r="G43" i="26"/>
  <c r="H43" i="26"/>
  <c r="M43" i="26"/>
  <c r="A44" i="26"/>
  <c r="B44" i="26"/>
  <c r="C44" i="26"/>
  <c r="D44" i="26"/>
  <c r="E44" i="26"/>
  <c r="F44" i="26"/>
  <c r="G44" i="26"/>
  <c r="H44" i="26"/>
  <c r="M44" i="26"/>
  <c r="A45" i="26"/>
  <c r="B45" i="26"/>
  <c r="C45" i="26"/>
  <c r="D45" i="26"/>
  <c r="E45" i="26"/>
  <c r="F45" i="26"/>
  <c r="G45" i="26"/>
  <c r="H45" i="26"/>
  <c r="M45" i="26"/>
  <c r="A46" i="26"/>
  <c r="B46" i="26"/>
  <c r="C46" i="26"/>
  <c r="D46" i="26"/>
  <c r="E46" i="26"/>
  <c r="F46" i="26"/>
  <c r="G46" i="26"/>
  <c r="H46" i="26"/>
  <c r="M46" i="26"/>
  <c r="A47" i="26"/>
  <c r="B47" i="26"/>
  <c r="C47" i="26"/>
  <c r="D47" i="26"/>
  <c r="E47" i="26"/>
  <c r="F47" i="26"/>
  <c r="G47" i="26"/>
  <c r="H47" i="26"/>
  <c r="M47" i="26"/>
  <c r="A48" i="26"/>
  <c r="B48" i="26"/>
  <c r="C48" i="26"/>
  <c r="D48" i="26"/>
  <c r="E48" i="26"/>
  <c r="F48" i="26"/>
  <c r="G48" i="26"/>
  <c r="H48" i="26"/>
  <c r="M48" i="26"/>
  <c r="A49" i="26"/>
  <c r="B49" i="26"/>
  <c r="C49" i="26"/>
  <c r="D49" i="26"/>
  <c r="E49" i="26"/>
  <c r="F49" i="26"/>
  <c r="G49" i="26"/>
  <c r="H49" i="26"/>
  <c r="M49" i="26"/>
  <c r="A50" i="26"/>
  <c r="B50" i="26"/>
  <c r="C50" i="26"/>
  <c r="D50" i="26"/>
  <c r="E50" i="26"/>
  <c r="F50" i="26"/>
  <c r="G50" i="26"/>
  <c r="H50" i="26"/>
  <c r="M50" i="26"/>
  <c r="A51" i="26"/>
  <c r="B51" i="26"/>
  <c r="C51" i="26"/>
  <c r="D51" i="26"/>
  <c r="E51" i="26"/>
  <c r="F51" i="26"/>
  <c r="G51" i="26"/>
  <c r="H51" i="26"/>
  <c r="M51" i="26"/>
  <c r="A52" i="26"/>
  <c r="B52" i="26"/>
  <c r="C52" i="26"/>
  <c r="D52" i="26"/>
  <c r="E52" i="26"/>
  <c r="F52" i="26"/>
  <c r="G52" i="26"/>
  <c r="H52" i="26"/>
  <c r="M52" i="26"/>
  <c r="A53" i="26"/>
  <c r="B53" i="26"/>
  <c r="C53" i="26"/>
  <c r="D53" i="26"/>
  <c r="E53" i="26"/>
  <c r="F53" i="26"/>
  <c r="G53" i="26"/>
  <c r="H53" i="26"/>
  <c r="M53" i="26"/>
  <c r="A54" i="26"/>
  <c r="B54" i="26"/>
  <c r="C54" i="26"/>
  <c r="D54" i="26"/>
  <c r="E54" i="26"/>
  <c r="F54" i="26"/>
  <c r="G54" i="26"/>
  <c r="H54" i="26"/>
  <c r="M54" i="26"/>
  <c r="A19" i="26"/>
  <c r="B19" i="26"/>
  <c r="C19" i="26"/>
  <c r="D19" i="26"/>
  <c r="E19" i="26"/>
  <c r="F19" i="26"/>
  <c r="G19" i="26"/>
  <c r="H19" i="26"/>
  <c r="M19" i="26"/>
  <c r="A20" i="26"/>
  <c r="B20" i="26"/>
  <c r="C20" i="26"/>
  <c r="D20" i="26"/>
  <c r="E20" i="26"/>
  <c r="F20" i="26"/>
  <c r="G20" i="26"/>
  <c r="H20" i="26"/>
  <c r="M20" i="26"/>
  <c r="A21" i="26"/>
  <c r="B21" i="26"/>
  <c r="C21" i="26"/>
  <c r="D21" i="26"/>
  <c r="E21" i="26"/>
  <c r="F21" i="26"/>
  <c r="G21" i="26"/>
  <c r="H21" i="26"/>
  <c r="M21" i="26"/>
  <c r="A22" i="26"/>
  <c r="B22" i="26"/>
  <c r="C22" i="26"/>
  <c r="D22" i="26"/>
  <c r="E22" i="26"/>
  <c r="F22" i="26"/>
  <c r="G22" i="26"/>
  <c r="H22" i="26"/>
  <c r="M22" i="26"/>
  <c r="A23" i="26"/>
  <c r="B23" i="26"/>
  <c r="C23" i="26"/>
  <c r="D23" i="26"/>
  <c r="E23" i="26"/>
  <c r="F23" i="26"/>
  <c r="G23" i="26"/>
  <c r="H23" i="26"/>
  <c r="M23" i="26"/>
  <c r="A24" i="26"/>
  <c r="B24" i="26"/>
  <c r="C24" i="26"/>
  <c r="D24" i="26"/>
  <c r="E24" i="26"/>
  <c r="F24" i="26"/>
  <c r="G24" i="26"/>
  <c r="H24" i="26"/>
  <c r="M24" i="26"/>
  <c r="A25" i="26"/>
  <c r="B25" i="26"/>
  <c r="C25" i="26"/>
  <c r="D25" i="26"/>
  <c r="E25" i="26"/>
  <c r="F25" i="26"/>
  <c r="G25" i="26"/>
  <c r="H25" i="26"/>
  <c r="M25" i="26"/>
  <c r="A26" i="26"/>
  <c r="B26" i="26"/>
  <c r="C26" i="26"/>
  <c r="D26" i="26"/>
  <c r="E26" i="26"/>
  <c r="F26" i="26"/>
  <c r="G26" i="26"/>
  <c r="H26" i="26"/>
  <c r="M26" i="26"/>
  <c r="A27" i="26"/>
  <c r="B27" i="26"/>
  <c r="C27" i="26"/>
  <c r="D27" i="26"/>
  <c r="E27" i="26"/>
  <c r="F27" i="26"/>
  <c r="G27" i="26"/>
  <c r="H27" i="26"/>
  <c r="M27" i="26"/>
  <c r="A28" i="26"/>
  <c r="B28" i="26"/>
  <c r="C28" i="26"/>
  <c r="D28" i="26"/>
  <c r="E28" i="26"/>
  <c r="F28" i="26"/>
  <c r="G28" i="26"/>
  <c r="H28" i="26"/>
  <c r="M28" i="26"/>
  <c r="A29" i="26"/>
  <c r="B29" i="26"/>
  <c r="C29" i="26"/>
  <c r="D29" i="26"/>
  <c r="E29" i="26"/>
  <c r="F29" i="26"/>
  <c r="G29" i="26"/>
  <c r="H29" i="26"/>
  <c r="M29" i="26"/>
  <c r="A30" i="26"/>
  <c r="B30" i="26"/>
  <c r="C30" i="26"/>
  <c r="D30" i="26"/>
  <c r="E30" i="26"/>
  <c r="F30" i="26"/>
  <c r="G30" i="26"/>
  <c r="H30" i="26"/>
  <c r="M30" i="26"/>
  <c r="A31" i="26"/>
  <c r="B31" i="26"/>
  <c r="C31" i="26"/>
  <c r="D31" i="26"/>
  <c r="E31" i="26"/>
  <c r="F31" i="26"/>
  <c r="G31" i="26"/>
  <c r="H31" i="26"/>
  <c r="M31" i="26"/>
  <c r="A32" i="26"/>
  <c r="B32" i="26"/>
  <c r="C32" i="26"/>
  <c r="D32" i="26"/>
  <c r="E32" i="26"/>
  <c r="F32" i="26"/>
  <c r="G32" i="26"/>
  <c r="H32" i="26"/>
  <c r="M32" i="26"/>
  <c r="A33" i="26"/>
  <c r="B33" i="26"/>
  <c r="C33" i="26"/>
  <c r="D33" i="26"/>
  <c r="E33" i="26"/>
  <c r="F33" i="26"/>
  <c r="G33" i="26"/>
  <c r="H33" i="26"/>
  <c r="M33" i="26"/>
  <c r="A34" i="26"/>
  <c r="B34" i="26"/>
  <c r="C34" i="26"/>
  <c r="D34" i="26"/>
  <c r="E34" i="26"/>
  <c r="F34" i="26"/>
  <c r="G34" i="26"/>
  <c r="H34" i="26"/>
  <c r="M34" i="26"/>
  <c r="A35" i="26"/>
  <c r="B35" i="26"/>
  <c r="C35" i="26"/>
  <c r="D35" i="26"/>
  <c r="E35" i="26"/>
  <c r="F35" i="26"/>
  <c r="G35" i="26"/>
  <c r="H35" i="26"/>
  <c r="M35" i="26"/>
  <c r="A36" i="26"/>
  <c r="B36" i="26"/>
  <c r="C36" i="26"/>
  <c r="D36" i="26"/>
  <c r="E36" i="26"/>
  <c r="F36" i="26"/>
  <c r="G36" i="26"/>
  <c r="H36" i="26"/>
  <c r="M36" i="26"/>
  <c r="BV3" i="26"/>
  <c r="A8" i="26"/>
  <c r="B8" i="26"/>
  <c r="C8" i="26"/>
  <c r="D8" i="26"/>
  <c r="E8" i="26"/>
  <c r="F8" i="26"/>
  <c r="G8" i="26"/>
  <c r="H8" i="26"/>
  <c r="M8" i="26"/>
  <c r="A9" i="26"/>
  <c r="B9" i="26"/>
  <c r="C9" i="26"/>
  <c r="D9" i="26"/>
  <c r="E9" i="26"/>
  <c r="F9" i="26"/>
  <c r="G9" i="26"/>
  <c r="H9" i="26"/>
  <c r="M9" i="26"/>
  <c r="A10" i="26"/>
  <c r="B10" i="26"/>
  <c r="C10" i="26"/>
  <c r="D10" i="26"/>
  <c r="E10" i="26"/>
  <c r="F10" i="26"/>
  <c r="G10" i="26"/>
  <c r="H10" i="26"/>
  <c r="M10" i="26"/>
  <c r="A11" i="26"/>
  <c r="B11" i="26"/>
  <c r="C11" i="26"/>
  <c r="D11" i="26"/>
  <c r="E11" i="26"/>
  <c r="F11" i="26"/>
  <c r="G11" i="26"/>
  <c r="H11" i="26"/>
  <c r="M11" i="26"/>
  <c r="A12" i="26"/>
  <c r="B12" i="26"/>
  <c r="C12" i="26"/>
  <c r="D12" i="26"/>
  <c r="E12" i="26"/>
  <c r="F12" i="26"/>
  <c r="G12" i="26"/>
  <c r="H12" i="26"/>
  <c r="M12" i="26"/>
  <c r="A13" i="26"/>
  <c r="B13" i="26"/>
  <c r="C13" i="26"/>
  <c r="D13" i="26"/>
  <c r="E13" i="26"/>
  <c r="F13" i="26"/>
  <c r="G13" i="26"/>
  <c r="H13" i="26"/>
  <c r="M13" i="26"/>
  <c r="A14" i="26"/>
  <c r="B14" i="26"/>
  <c r="C14" i="26"/>
  <c r="D14" i="26"/>
  <c r="E14" i="26"/>
  <c r="F14" i="26"/>
  <c r="G14" i="26"/>
  <c r="H14" i="26"/>
  <c r="M14" i="26"/>
  <c r="A15" i="26"/>
  <c r="B15" i="26"/>
  <c r="C15" i="26"/>
  <c r="D15" i="26"/>
  <c r="E15" i="26"/>
  <c r="F15" i="26"/>
  <c r="G15" i="26"/>
  <c r="H15" i="26"/>
  <c r="M15" i="26"/>
  <c r="A16" i="26"/>
  <c r="B16" i="26"/>
  <c r="C16" i="26"/>
  <c r="D16" i="26"/>
  <c r="E16" i="26"/>
  <c r="F16" i="26"/>
  <c r="G16" i="26"/>
  <c r="H16" i="26"/>
  <c r="M16" i="26"/>
  <c r="A17" i="26"/>
  <c r="B17" i="26"/>
  <c r="C17" i="26"/>
  <c r="D17" i="26"/>
  <c r="E17" i="26"/>
  <c r="F17" i="26"/>
  <c r="G17" i="26"/>
  <c r="H17" i="26"/>
  <c r="M17" i="26"/>
  <c r="A18" i="26"/>
  <c r="B18" i="26"/>
  <c r="C18" i="26"/>
  <c r="D18" i="26"/>
  <c r="E18" i="26"/>
  <c r="F18" i="26"/>
  <c r="G18" i="26"/>
  <c r="H18" i="26"/>
  <c r="M18" i="26"/>
  <c r="CV76" i="16"/>
  <c r="CV75" i="16"/>
  <c r="CV74" i="16"/>
  <c r="CV67" i="16"/>
  <c r="CV66" i="16"/>
  <c r="CV65" i="16"/>
  <c r="CV68" i="16" s="1"/>
  <c r="CV59" i="16"/>
  <c r="CV58" i="16"/>
  <c r="CV57" i="16"/>
  <c r="CV56" i="16"/>
  <c r="CV55" i="16"/>
  <c r="CV54" i="16"/>
  <c r="CV52" i="16"/>
  <c r="CV51" i="16"/>
  <c r="CV53" i="16" s="1"/>
  <c r="CV45" i="16"/>
  <c r="CV44" i="16"/>
  <c r="CV43" i="16"/>
  <c r="CV42" i="16"/>
  <c r="CV41" i="16"/>
  <c r="CV46" i="16" s="1"/>
  <c r="CV37" i="16"/>
  <c r="CV35" i="16"/>
  <c r="J61" i="22" s="1"/>
  <c r="CV34" i="16"/>
  <c r="I61" i="22" s="1"/>
  <c r="CV33" i="16"/>
  <c r="CV30" i="16"/>
  <c r="CV31" i="16" s="1"/>
  <c r="G61" i="22" s="1"/>
  <c r="CV29" i="16"/>
  <c r="CR76" i="16"/>
  <c r="CR75" i="16"/>
  <c r="CR74" i="16"/>
  <c r="CR67" i="16"/>
  <c r="CR66" i="16"/>
  <c r="CR65" i="16"/>
  <c r="CR59" i="16"/>
  <c r="CR58" i="16"/>
  <c r="CR57" i="16"/>
  <c r="CR56" i="16"/>
  <c r="CR55" i="16"/>
  <c r="CR54" i="16"/>
  <c r="CR276" i="16" s="1"/>
  <c r="N60" i="22" s="1"/>
  <c r="CR53" i="16"/>
  <c r="CR52" i="16"/>
  <c r="CR51" i="16"/>
  <c r="CR45" i="16"/>
  <c r="CR44" i="16"/>
  <c r="CR43" i="16"/>
  <c r="CR46" i="16" s="1"/>
  <c r="CR42" i="16"/>
  <c r="CR41" i="16"/>
  <c r="CR37" i="16"/>
  <c r="CR35" i="16"/>
  <c r="CR34" i="16"/>
  <c r="CR33" i="16"/>
  <c r="CR30" i="16"/>
  <c r="CR29" i="16"/>
  <c r="CP76" i="16"/>
  <c r="CP75" i="16"/>
  <c r="CP74" i="16"/>
  <c r="CP67" i="16"/>
  <c r="CP66" i="16"/>
  <c r="CP65" i="16"/>
  <c r="CP59" i="16"/>
  <c r="CP58" i="16"/>
  <c r="CP57" i="16"/>
  <c r="CP56" i="16"/>
  <c r="CP55" i="16"/>
  <c r="CP54" i="16"/>
  <c r="CP52" i="16"/>
  <c r="CP51" i="16"/>
  <c r="CP53" i="16" s="1"/>
  <c r="CP45" i="16"/>
  <c r="CP44" i="16"/>
  <c r="CP276" i="16" s="1"/>
  <c r="N59" i="22" s="1"/>
  <c r="CP43" i="16"/>
  <c r="CP42" i="16"/>
  <c r="CP46" i="16" s="1"/>
  <c r="CP41" i="16"/>
  <c r="CP37" i="16"/>
  <c r="CP35" i="16"/>
  <c r="CP34" i="16"/>
  <c r="CP33" i="16"/>
  <c r="CP30" i="16"/>
  <c r="F59" i="22" s="1"/>
  <c r="CP29" i="16"/>
  <c r="CN76" i="16"/>
  <c r="CN75" i="16"/>
  <c r="CN74" i="16"/>
  <c r="CN67" i="16"/>
  <c r="CN66" i="16"/>
  <c r="CN65" i="16"/>
  <c r="CN59" i="16"/>
  <c r="CN58" i="16"/>
  <c r="CN57" i="16"/>
  <c r="CN56" i="16"/>
  <c r="CN55" i="16"/>
  <c r="CN54" i="16"/>
  <c r="CN52" i="16"/>
  <c r="CN51" i="16"/>
  <c r="CN53" i="16" s="1"/>
  <c r="CN45" i="16"/>
  <c r="CN44" i="16"/>
  <c r="CN43" i="16"/>
  <c r="CN42" i="16"/>
  <c r="CN41" i="16"/>
  <c r="CN37" i="16"/>
  <c r="CN35" i="16"/>
  <c r="CN34" i="16"/>
  <c r="CN33" i="16"/>
  <c r="H58" i="22" s="1"/>
  <c r="CN30" i="16"/>
  <c r="CN29" i="16"/>
  <c r="E58" i="22" s="1"/>
  <c r="CL76" i="16"/>
  <c r="CL75" i="16"/>
  <c r="CL74" i="16"/>
  <c r="CL67" i="16"/>
  <c r="CL66" i="16"/>
  <c r="CL65" i="16"/>
  <c r="CL59" i="16"/>
  <c r="CL58" i="16"/>
  <c r="CL57" i="16"/>
  <c r="CL56" i="16"/>
  <c r="CL55" i="16"/>
  <c r="CL54" i="16"/>
  <c r="CL52" i="16"/>
  <c r="CL51" i="16"/>
  <c r="CL45" i="16"/>
  <c r="CL44" i="16"/>
  <c r="CL43" i="16"/>
  <c r="CL42" i="16"/>
  <c r="CL41" i="16"/>
  <c r="CL37" i="16"/>
  <c r="CL35" i="16"/>
  <c r="CL34" i="16"/>
  <c r="I57" i="22" s="1"/>
  <c r="CL33" i="16"/>
  <c r="CL30" i="16"/>
  <c r="F57" i="22" s="1"/>
  <c r="CL29" i="16"/>
  <c r="CL31" i="16" s="1"/>
  <c r="G57" i="22" s="1"/>
  <c r="CK76" i="16"/>
  <c r="CK75" i="16"/>
  <c r="CK74" i="16"/>
  <c r="CK67" i="16"/>
  <c r="CK66" i="16"/>
  <c r="CK65" i="16"/>
  <c r="CK59" i="16"/>
  <c r="CK58" i="16"/>
  <c r="CK57" i="16"/>
  <c r="CK56" i="16"/>
  <c r="CK55" i="16"/>
  <c r="CK54" i="16"/>
  <c r="CK52" i="16"/>
  <c r="CK51" i="16"/>
  <c r="CK45" i="16"/>
  <c r="CK44" i="16"/>
  <c r="CK43" i="16"/>
  <c r="CK42" i="16"/>
  <c r="CK41" i="16"/>
  <c r="CK37" i="16"/>
  <c r="CK35" i="16"/>
  <c r="CK34" i="16"/>
  <c r="CK33" i="16"/>
  <c r="H56" i="22" s="1"/>
  <c r="CK30" i="16"/>
  <c r="F56" i="22" s="1"/>
  <c r="CK29" i="16"/>
  <c r="CF76" i="16"/>
  <c r="CF75" i="16"/>
  <c r="CF74" i="16"/>
  <c r="CF67" i="16"/>
  <c r="CF66" i="16"/>
  <c r="CF65" i="16"/>
  <c r="CF59" i="16"/>
  <c r="CF58" i="16"/>
  <c r="CF57" i="16"/>
  <c r="CF56" i="16"/>
  <c r="CF55" i="16"/>
  <c r="CF54" i="16"/>
  <c r="CF52" i="16"/>
  <c r="CF51" i="16"/>
  <c r="CF53" i="16" s="1"/>
  <c r="CF45" i="16"/>
  <c r="CF44" i="16"/>
  <c r="CF43" i="16"/>
  <c r="CF42" i="16"/>
  <c r="CF41" i="16"/>
  <c r="CF37" i="16"/>
  <c r="CF35" i="16"/>
  <c r="CF34" i="16"/>
  <c r="I55" i="22" s="1"/>
  <c r="CF33" i="16"/>
  <c r="CF30" i="16"/>
  <c r="CF29" i="16"/>
  <c r="CF31" i="16" s="1"/>
  <c r="G55" i="22" s="1"/>
  <c r="CE76" i="16"/>
  <c r="CE75" i="16"/>
  <c r="CE74" i="16"/>
  <c r="CE67" i="16"/>
  <c r="CE66" i="16"/>
  <c r="CE65" i="16"/>
  <c r="CE59" i="16"/>
  <c r="CE58" i="16"/>
  <c r="CE57" i="16"/>
  <c r="CE56" i="16"/>
  <c r="CE55" i="16"/>
  <c r="CE54" i="16"/>
  <c r="CE52" i="16"/>
  <c r="CE51" i="16"/>
  <c r="CE45" i="16"/>
  <c r="CE44" i="16"/>
  <c r="CE43" i="16"/>
  <c r="CE42" i="16"/>
  <c r="CE41" i="16"/>
  <c r="CE37" i="16"/>
  <c r="CE35" i="16"/>
  <c r="J54" i="22" s="1"/>
  <c r="CE34" i="16"/>
  <c r="CE33" i="16"/>
  <c r="CE30" i="16"/>
  <c r="F54" i="22" s="1"/>
  <c r="CE29" i="16"/>
  <c r="CD76" i="16"/>
  <c r="CD75" i="16"/>
  <c r="CD74" i="16"/>
  <c r="CD67" i="16"/>
  <c r="CD66" i="16"/>
  <c r="CD65" i="16"/>
  <c r="CD59" i="16"/>
  <c r="CD58" i="16"/>
  <c r="CD57" i="16"/>
  <c r="CD56" i="16"/>
  <c r="CD55" i="16"/>
  <c r="CD54" i="16"/>
  <c r="CD52" i="16"/>
  <c r="CD51" i="16"/>
  <c r="CD45" i="16"/>
  <c r="CD44" i="16"/>
  <c r="CD43" i="16"/>
  <c r="CD42" i="16"/>
  <c r="CD41" i="16"/>
  <c r="CD37" i="16"/>
  <c r="CD35" i="16"/>
  <c r="CD34" i="16"/>
  <c r="CD33" i="16"/>
  <c r="CD36" i="16" s="1"/>
  <c r="CD30" i="16"/>
  <c r="CD29" i="16"/>
  <c r="CB76" i="16"/>
  <c r="CB75" i="16"/>
  <c r="CB74" i="16"/>
  <c r="CB68" i="16"/>
  <c r="CB67" i="16"/>
  <c r="CB66" i="16"/>
  <c r="CB65" i="16"/>
  <c r="CB59" i="16"/>
  <c r="CB58" i="16"/>
  <c r="CB57" i="16"/>
  <c r="CB56" i="16"/>
  <c r="CB55" i="16"/>
  <c r="CB54" i="16"/>
  <c r="CB52" i="16"/>
  <c r="CB51" i="16"/>
  <c r="CB45" i="16"/>
  <c r="CB44" i="16"/>
  <c r="CB43" i="16"/>
  <c r="CB42" i="16"/>
  <c r="CB41" i="16"/>
  <c r="CB37" i="16"/>
  <c r="CB39" i="16" s="1"/>
  <c r="CB35" i="16"/>
  <c r="CB34" i="16"/>
  <c r="CB33" i="16"/>
  <c r="CB36" i="16" s="1"/>
  <c r="CB30" i="16"/>
  <c r="F52" i="22" s="1"/>
  <c r="CB29" i="16"/>
  <c r="BZ76" i="16"/>
  <c r="BZ75" i="16"/>
  <c r="BZ74" i="16"/>
  <c r="BZ67" i="16"/>
  <c r="BZ66" i="16"/>
  <c r="BZ65" i="16"/>
  <c r="BZ59" i="16"/>
  <c r="BZ58" i="16"/>
  <c r="BZ57" i="16"/>
  <c r="BZ56" i="16"/>
  <c r="BZ55" i="16"/>
  <c r="BZ54" i="16"/>
  <c r="BZ52" i="16"/>
  <c r="BZ51" i="16"/>
  <c r="BZ53" i="16" s="1"/>
  <c r="BZ45" i="16"/>
  <c r="BZ44" i="16"/>
  <c r="BZ43" i="16"/>
  <c r="BZ42" i="16"/>
  <c r="BZ41" i="16"/>
  <c r="BZ37" i="16"/>
  <c r="BZ39" i="16" s="1"/>
  <c r="BZ35" i="16"/>
  <c r="BZ34" i="16"/>
  <c r="I51" i="22" s="1"/>
  <c r="BZ33" i="16"/>
  <c r="BZ36" i="16" s="1"/>
  <c r="BZ30" i="16"/>
  <c r="F51" i="22" s="1"/>
  <c r="BZ29" i="16"/>
  <c r="BZ31" i="16" s="1"/>
  <c r="G51" i="22" s="1"/>
  <c r="BY76" i="16"/>
  <c r="BY75" i="16"/>
  <c r="BY74" i="16"/>
  <c r="BY67" i="16"/>
  <c r="BY66" i="16"/>
  <c r="BY65" i="16"/>
  <c r="BY59" i="16"/>
  <c r="BY58" i="16"/>
  <c r="BY57" i="16"/>
  <c r="BY56" i="16"/>
  <c r="BY55" i="16"/>
  <c r="BY54" i="16"/>
  <c r="BY52" i="16"/>
  <c r="BY51" i="16"/>
  <c r="BY45" i="16"/>
  <c r="BY44" i="16"/>
  <c r="BY43" i="16"/>
  <c r="BY42" i="16"/>
  <c r="BY41" i="16"/>
  <c r="BY37" i="16"/>
  <c r="BY35" i="16"/>
  <c r="J50" i="22" s="1"/>
  <c r="BY34" i="16"/>
  <c r="I50" i="22" s="1"/>
  <c r="BY33" i="16"/>
  <c r="BY30" i="16"/>
  <c r="BY29" i="16"/>
  <c r="BX76" i="16"/>
  <c r="BX75" i="16"/>
  <c r="BX74" i="16"/>
  <c r="BX67" i="16"/>
  <c r="BX66" i="16"/>
  <c r="BX65" i="16"/>
  <c r="BX59" i="16"/>
  <c r="BX58" i="16"/>
  <c r="BX57" i="16"/>
  <c r="BX56" i="16"/>
  <c r="BX55" i="16"/>
  <c r="BX54" i="16"/>
  <c r="BX52" i="16"/>
  <c r="BX51" i="16"/>
  <c r="BX45" i="16"/>
  <c r="BX44" i="16"/>
  <c r="BX43" i="16"/>
  <c r="BX42" i="16"/>
  <c r="BX41" i="16"/>
  <c r="BX37" i="16"/>
  <c r="BX35" i="16"/>
  <c r="BX34" i="16"/>
  <c r="I49" i="22" s="1"/>
  <c r="BX33" i="16"/>
  <c r="H49" i="22" s="1"/>
  <c r="BX30" i="16"/>
  <c r="F49" i="22" s="1"/>
  <c r="BX29" i="16"/>
  <c r="BV76" i="16"/>
  <c r="BV75" i="16"/>
  <c r="BV74" i="16"/>
  <c r="BV67" i="16"/>
  <c r="BV66" i="16"/>
  <c r="BV65" i="16"/>
  <c r="BV59" i="16"/>
  <c r="BV58" i="16"/>
  <c r="BV57" i="16"/>
  <c r="BV56" i="16"/>
  <c r="BV55" i="16"/>
  <c r="BV54" i="16"/>
  <c r="BV52" i="16"/>
  <c r="BV51" i="16"/>
  <c r="BV45" i="16"/>
  <c r="BV276" i="16" s="1"/>
  <c r="N48" i="22" s="1"/>
  <c r="BV44" i="16"/>
  <c r="BV43" i="16"/>
  <c r="BV42" i="16"/>
  <c r="BV41" i="16"/>
  <c r="BV37" i="16"/>
  <c r="BV35" i="16"/>
  <c r="J48" i="22" s="1"/>
  <c r="BV34" i="16"/>
  <c r="I48" i="22" s="1"/>
  <c r="BV33" i="16"/>
  <c r="H48" i="22" s="1"/>
  <c r="BV30" i="16"/>
  <c r="F48" i="22" s="1"/>
  <c r="BV29" i="16"/>
  <c r="BU76" i="16"/>
  <c r="BU75" i="16"/>
  <c r="BU74" i="16"/>
  <c r="BU67" i="16"/>
  <c r="BU66" i="16"/>
  <c r="BU65" i="16"/>
  <c r="BU59" i="16"/>
  <c r="BU58" i="16"/>
  <c r="BU57" i="16"/>
  <c r="BU56" i="16"/>
  <c r="BU55" i="16"/>
  <c r="BU54" i="16"/>
  <c r="BU53" i="16"/>
  <c r="BU52" i="16"/>
  <c r="BU51" i="16"/>
  <c r="BU45" i="16"/>
  <c r="BU44" i="16"/>
  <c r="BU43" i="16"/>
  <c r="BU42" i="16"/>
  <c r="BU41" i="16"/>
  <c r="BU37" i="16"/>
  <c r="BU39" i="16" s="1"/>
  <c r="BU36" i="16"/>
  <c r="BU35" i="16"/>
  <c r="BU34" i="16"/>
  <c r="BU33" i="16"/>
  <c r="BU30" i="16"/>
  <c r="F47" i="22" s="1"/>
  <c r="BU29" i="16"/>
  <c r="BU31" i="16" s="1"/>
  <c r="G47" i="22" s="1"/>
  <c r="BS76" i="16"/>
  <c r="BS75" i="16"/>
  <c r="BS74" i="16"/>
  <c r="BS67" i="16"/>
  <c r="BS66" i="16"/>
  <c r="BS65" i="16"/>
  <c r="BS59" i="16"/>
  <c r="BS58" i="16"/>
  <c r="BS57" i="16"/>
  <c r="BS56" i="16"/>
  <c r="BS55" i="16"/>
  <c r="BS54" i="16"/>
  <c r="BS52" i="16"/>
  <c r="BS51" i="16"/>
  <c r="BS53" i="16" s="1"/>
  <c r="BS45" i="16"/>
  <c r="BS44" i="16"/>
  <c r="BS276" i="16" s="1"/>
  <c r="N46" i="22" s="1"/>
  <c r="BS43" i="16"/>
  <c r="BS42" i="16"/>
  <c r="BS41" i="16"/>
  <c r="BS37" i="16"/>
  <c r="BS35" i="16"/>
  <c r="J46" i="22" s="1"/>
  <c r="BS34" i="16"/>
  <c r="BS33" i="16"/>
  <c r="BS30" i="16"/>
  <c r="BS29" i="16"/>
  <c r="BN76" i="16"/>
  <c r="BN75" i="16"/>
  <c r="BN74" i="16"/>
  <c r="BN67" i="16"/>
  <c r="BN66" i="16"/>
  <c r="BN65" i="16"/>
  <c r="BN59" i="16"/>
  <c r="BN58" i="16"/>
  <c r="BN57" i="16"/>
  <c r="BN56" i="16"/>
  <c r="BN55" i="16"/>
  <c r="BN54" i="16"/>
  <c r="BN52" i="16"/>
  <c r="BN51" i="16"/>
  <c r="BN45" i="16"/>
  <c r="BN44" i="16"/>
  <c r="BN43" i="16"/>
  <c r="BN42" i="16"/>
  <c r="BN41" i="16"/>
  <c r="BN37" i="16"/>
  <c r="BN35" i="16"/>
  <c r="J45" i="22" s="1"/>
  <c r="BN34" i="16"/>
  <c r="I45" i="22" s="1"/>
  <c r="BN33" i="16"/>
  <c r="BN30" i="16"/>
  <c r="BN29" i="16"/>
  <c r="BN31" i="16" s="1"/>
  <c r="G45" i="22" s="1"/>
  <c r="BM76" i="16"/>
  <c r="BM75" i="16"/>
  <c r="BM74" i="16"/>
  <c r="BM67" i="16"/>
  <c r="BM66" i="16"/>
  <c r="BM65" i="16"/>
  <c r="BM59" i="16"/>
  <c r="BM58" i="16"/>
  <c r="BM57" i="16"/>
  <c r="BM56" i="16"/>
  <c r="BM55" i="16"/>
  <c r="BM54" i="16"/>
  <c r="BM52" i="16"/>
  <c r="BM51" i="16"/>
  <c r="BM53" i="16" s="1"/>
  <c r="BM45" i="16"/>
  <c r="BM44" i="16"/>
  <c r="BM43" i="16"/>
  <c r="BM42" i="16"/>
  <c r="BM41" i="16"/>
  <c r="BM37" i="16"/>
  <c r="BM35" i="16"/>
  <c r="BM34" i="16"/>
  <c r="BM33" i="16"/>
  <c r="BM30" i="16"/>
  <c r="F44" i="22" s="1"/>
  <c r="BM29" i="16"/>
  <c r="BL76" i="16"/>
  <c r="BL75" i="16"/>
  <c r="BL74" i="16"/>
  <c r="BL67" i="16"/>
  <c r="BL66" i="16"/>
  <c r="BL65" i="16"/>
  <c r="BL59" i="16"/>
  <c r="BL58" i="16"/>
  <c r="BL57" i="16"/>
  <c r="BL56" i="16"/>
  <c r="BL55" i="16"/>
  <c r="BL54" i="16"/>
  <c r="BL52" i="16"/>
  <c r="BL51" i="16"/>
  <c r="BL53" i="16" s="1"/>
  <c r="BL46" i="16"/>
  <c r="BL45" i="16"/>
  <c r="BL44" i="16"/>
  <c r="BL43" i="16"/>
  <c r="BL42" i="16"/>
  <c r="BL41" i="16"/>
  <c r="BL37" i="16"/>
  <c r="BL35" i="16"/>
  <c r="BL36" i="16" s="1"/>
  <c r="BL38" i="16" s="1"/>
  <c r="L43" i="22" s="1"/>
  <c r="BL34" i="16"/>
  <c r="I43" i="22" s="1"/>
  <c r="BL33" i="16"/>
  <c r="BL30" i="16"/>
  <c r="BL29" i="16"/>
  <c r="BJ76" i="16"/>
  <c r="BJ75" i="16"/>
  <c r="BJ74" i="16"/>
  <c r="BJ67" i="16"/>
  <c r="BJ68" i="16" s="1"/>
  <c r="BJ66" i="16"/>
  <c r="BJ65" i="16"/>
  <c r="BJ59" i="16"/>
  <c r="BJ58" i="16"/>
  <c r="BJ57" i="16"/>
  <c r="BJ56" i="16"/>
  <c r="BJ55" i="16"/>
  <c r="BJ54" i="16"/>
  <c r="BJ52" i="16"/>
  <c r="BJ51" i="16"/>
  <c r="BJ45" i="16"/>
  <c r="BJ44" i="16"/>
  <c r="BJ43" i="16"/>
  <c r="BJ42" i="16"/>
  <c r="BJ41" i="16"/>
  <c r="BJ37" i="16"/>
  <c r="BJ35" i="16"/>
  <c r="BJ34" i="16"/>
  <c r="I42" i="22" s="1"/>
  <c r="BJ33" i="16"/>
  <c r="BJ30" i="16"/>
  <c r="BJ29" i="16"/>
  <c r="E42" i="22" s="1"/>
  <c r="BH76" i="16"/>
  <c r="BH75" i="16"/>
  <c r="BH74" i="16"/>
  <c r="BH67" i="16"/>
  <c r="BH66" i="16"/>
  <c r="BH65" i="16"/>
  <c r="BH59" i="16"/>
  <c r="BH58" i="16"/>
  <c r="BH57" i="16"/>
  <c r="BH56" i="16"/>
  <c r="BH55" i="16"/>
  <c r="BH54" i="16"/>
  <c r="BH52" i="16"/>
  <c r="BH51" i="16"/>
  <c r="BH45" i="16"/>
  <c r="BH44" i="16"/>
  <c r="BH43" i="16"/>
  <c r="BH42" i="16"/>
  <c r="BH41" i="16"/>
  <c r="BH37" i="16"/>
  <c r="BH35" i="16"/>
  <c r="BH34" i="16"/>
  <c r="BH33" i="16"/>
  <c r="BH30" i="16"/>
  <c r="BH29" i="16"/>
  <c r="BH31" i="16" s="1"/>
  <c r="G41" i="22" s="1"/>
  <c r="BF76" i="16"/>
  <c r="BF75" i="16"/>
  <c r="BF74" i="16"/>
  <c r="BF67" i="16"/>
  <c r="BF66" i="16"/>
  <c r="BF65" i="16"/>
  <c r="BF68" i="16" s="1"/>
  <c r="BF59" i="16"/>
  <c r="BF276" i="16" s="1"/>
  <c r="N40" i="22" s="1"/>
  <c r="BF58" i="16"/>
  <c r="BF57" i="16"/>
  <c r="BF56" i="16"/>
  <c r="BF55" i="16"/>
  <c r="BF54" i="16"/>
  <c r="BF52" i="16"/>
  <c r="BF51" i="16"/>
  <c r="BF45" i="16"/>
  <c r="BF44" i="16"/>
  <c r="BF43" i="16"/>
  <c r="BF46" i="16" s="1"/>
  <c r="BF42" i="16"/>
  <c r="BF41" i="16"/>
  <c r="BF37" i="16"/>
  <c r="BF35" i="16"/>
  <c r="J40" i="22" s="1"/>
  <c r="BF34" i="16"/>
  <c r="I40" i="22" s="1"/>
  <c r="BF33" i="16"/>
  <c r="H40" i="22" s="1"/>
  <c r="BF30" i="16"/>
  <c r="F40" i="22" s="1"/>
  <c r="BF29" i="16"/>
  <c r="BF31" i="16" s="1"/>
  <c r="G40" i="22" s="1"/>
  <c r="BD76" i="16"/>
  <c r="BD75" i="16"/>
  <c r="BD74" i="16"/>
  <c r="BD67" i="16"/>
  <c r="BD66" i="16"/>
  <c r="BD65" i="16"/>
  <c r="BD59" i="16"/>
  <c r="BD58" i="16"/>
  <c r="BD57" i="16"/>
  <c r="BD56" i="16"/>
  <c r="BD55" i="16"/>
  <c r="BD54" i="16"/>
  <c r="BD52" i="16"/>
  <c r="BD51" i="16"/>
  <c r="BD53" i="16" s="1"/>
  <c r="BD45" i="16"/>
  <c r="BD44" i="16"/>
  <c r="BD43" i="16"/>
  <c r="BD42" i="16"/>
  <c r="BD41" i="16"/>
  <c r="BD37" i="16"/>
  <c r="BD35" i="16"/>
  <c r="BD34" i="16"/>
  <c r="BD33" i="16"/>
  <c r="H39" i="22" s="1"/>
  <c r="BD30" i="16"/>
  <c r="F39" i="22" s="1"/>
  <c r="BD29" i="16"/>
  <c r="E39" i="22" s="1"/>
  <c r="BB76" i="16"/>
  <c r="BB75" i="16"/>
  <c r="BB74" i="16"/>
  <c r="BB67" i="16"/>
  <c r="BB66" i="16"/>
  <c r="BB65" i="16"/>
  <c r="BB59" i="16"/>
  <c r="BB58" i="16"/>
  <c r="BB57" i="16"/>
  <c r="BB56" i="16"/>
  <c r="BB55" i="16"/>
  <c r="BB54" i="16"/>
  <c r="BB52" i="16"/>
  <c r="BB51" i="16"/>
  <c r="BB53" i="16" s="1"/>
  <c r="BB46" i="16"/>
  <c r="BB45" i="16"/>
  <c r="BB44" i="16"/>
  <c r="BB43" i="16"/>
  <c r="BB42" i="16"/>
  <c r="BB41" i="16"/>
  <c r="BB37" i="16"/>
  <c r="BB35" i="16"/>
  <c r="BB36" i="16" s="1"/>
  <c r="BB34" i="16"/>
  <c r="BB33" i="16"/>
  <c r="BB30" i="16"/>
  <c r="BB29" i="16"/>
  <c r="AZ76" i="16"/>
  <c r="AZ75" i="16"/>
  <c r="AZ74" i="16"/>
  <c r="AZ67" i="16"/>
  <c r="AZ66" i="16"/>
  <c r="AZ65" i="16"/>
  <c r="AZ276" i="16" s="1"/>
  <c r="N37" i="22" s="1"/>
  <c r="AZ59" i="16"/>
  <c r="AZ58" i="16"/>
  <c r="AZ57" i="16"/>
  <c r="AZ56" i="16"/>
  <c r="AZ55" i="16"/>
  <c r="AZ54" i="16"/>
  <c r="AZ52" i="16"/>
  <c r="AZ51" i="16"/>
  <c r="AZ53" i="16" s="1"/>
  <c r="AZ45" i="16"/>
  <c r="AZ44" i="16"/>
  <c r="AZ43" i="16"/>
  <c r="AZ42" i="16"/>
  <c r="AZ41" i="16"/>
  <c r="AZ46" i="16" s="1"/>
  <c r="AZ37" i="16"/>
  <c r="AZ35" i="16"/>
  <c r="J37" i="22" s="1"/>
  <c r="AZ34" i="16"/>
  <c r="AZ33" i="16"/>
  <c r="H37" i="22" s="1"/>
  <c r="AZ30" i="16"/>
  <c r="F37" i="22" s="1"/>
  <c r="AZ29" i="16"/>
  <c r="E37" i="22" s="1"/>
  <c r="AY76" i="16"/>
  <c r="AY75" i="16"/>
  <c r="AY74" i="16"/>
  <c r="AY67" i="16"/>
  <c r="AY66" i="16"/>
  <c r="AY65" i="16"/>
  <c r="AY59" i="16"/>
  <c r="AY58" i="16"/>
  <c r="AY57" i="16"/>
  <c r="AY56" i="16"/>
  <c r="AY55" i="16"/>
  <c r="AY54" i="16"/>
  <c r="AY52" i="16"/>
  <c r="AY51" i="16"/>
  <c r="AY53" i="16" s="1"/>
  <c r="AY45" i="16"/>
  <c r="AY44" i="16"/>
  <c r="AY43" i="16"/>
  <c r="AY42" i="16"/>
  <c r="AY41" i="16"/>
  <c r="AY37" i="16"/>
  <c r="AY35" i="16"/>
  <c r="J36" i="22" s="1"/>
  <c r="AY34" i="16"/>
  <c r="AY33" i="16"/>
  <c r="AY30" i="16"/>
  <c r="AY29" i="16"/>
  <c r="E36" i="22" s="1"/>
  <c r="AX76" i="16"/>
  <c r="AX75" i="16"/>
  <c r="AX74" i="16"/>
  <c r="AX67" i="16"/>
  <c r="AX66" i="16"/>
  <c r="AX65" i="16"/>
  <c r="AX59" i="16"/>
  <c r="AX58" i="16"/>
  <c r="AX57" i="16"/>
  <c r="AX56" i="16"/>
  <c r="AX55" i="16"/>
  <c r="AX54" i="16"/>
  <c r="AX52" i="16"/>
  <c r="AX51" i="16"/>
  <c r="AX45" i="16"/>
  <c r="AX44" i="16"/>
  <c r="AX276" i="16" s="1"/>
  <c r="N35" i="22" s="1"/>
  <c r="AX43" i="16"/>
  <c r="AX42" i="16"/>
  <c r="AX41" i="16"/>
  <c r="AX37" i="16"/>
  <c r="AX35" i="16"/>
  <c r="J35" i="22" s="1"/>
  <c r="AX34" i="16"/>
  <c r="I35" i="22" s="1"/>
  <c r="AX33" i="16"/>
  <c r="AX30" i="16"/>
  <c r="AX29" i="16"/>
  <c r="E35" i="22" s="1"/>
  <c r="AW76" i="16"/>
  <c r="AW75" i="16"/>
  <c r="AW74" i="16"/>
  <c r="AW67" i="16"/>
  <c r="AW66" i="16"/>
  <c r="AW65" i="16"/>
  <c r="AW59" i="16"/>
  <c r="AW58" i="16"/>
  <c r="AW57" i="16"/>
  <c r="AW56" i="16"/>
  <c r="AW55" i="16"/>
  <c r="AW54" i="16"/>
  <c r="AW60" i="16" s="1"/>
  <c r="AW52" i="16"/>
  <c r="AW51" i="16"/>
  <c r="AW53" i="16" s="1"/>
  <c r="AW45" i="16"/>
  <c r="AW44" i="16"/>
  <c r="AW43" i="16"/>
  <c r="AW42" i="16"/>
  <c r="AW41" i="16"/>
  <c r="AW37" i="16"/>
  <c r="AW35" i="16"/>
  <c r="AW34" i="16"/>
  <c r="I34" i="22" s="1"/>
  <c r="AW33" i="16"/>
  <c r="AW30" i="16"/>
  <c r="AW29" i="16"/>
  <c r="AV76" i="16"/>
  <c r="AV75" i="16"/>
  <c r="AV74" i="16"/>
  <c r="AV67" i="16"/>
  <c r="AV66" i="16"/>
  <c r="AV65" i="16"/>
  <c r="AV59" i="16"/>
  <c r="AV58" i="16"/>
  <c r="AV57" i="16"/>
  <c r="AV56" i="16"/>
  <c r="AV55" i="16"/>
  <c r="AV54" i="16"/>
  <c r="AV53" i="16"/>
  <c r="AV52" i="16"/>
  <c r="AV51" i="16"/>
  <c r="AV45" i="16"/>
  <c r="AV44" i="16"/>
  <c r="AV43" i="16"/>
  <c r="AV42" i="16"/>
  <c r="AV41" i="16"/>
  <c r="AV37" i="16"/>
  <c r="AV35" i="16"/>
  <c r="J33" i="22" s="1"/>
  <c r="AV34" i="16"/>
  <c r="AV33" i="16"/>
  <c r="H33" i="22" s="1"/>
  <c r="AV31" i="16"/>
  <c r="G33" i="22" s="1"/>
  <c r="AV30" i="16"/>
  <c r="AV29" i="16"/>
  <c r="AU76" i="16"/>
  <c r="AU75" i="16"/>
  <c r="AU74" i="16"/>
  <c r="AU67" i="16"/>
  <c r="AU66" i="16"/>
  <c r="AU65" i="16"/>
  <c r="AU68" i="16" s="1"/>
  <c r="AU59" i="16"/>
  <c r="AU276" i="16" s="1"/>
  <c r="N32" i="22" s="1"/>
  <c r="AU58" i="16"/>
  <c r="AU57" i="16"/>
  <c r="AU56" i="16"/>
  <c r="AU55" i="16"/>
  <c r="AU54" i="16"/>
  <c r="AU52" i="16"/>
  <c r="AU51" i="16"/>
  <c r="AU45" i="16"/>
  <c r="AU44" i="16"/>
  <c r="AU43" i="16"/>
  <c r="AU42" i="16"/>
  <c r="AU41" i="16"/>
  <c r="AU37" i="16"/>
  <c r="AU35" i="16"/>
  <c r="AU34" i="16"/>
  <c r="AU33" i="16"/>
  <c r="AU36" i="16" s="1"/>
  <c r="AU30" i="16"/>
  <c r="F32" i="22" s="1"/>
  <c r="AU29" i="16"/>
  <c r="AU31" i="16" s="1"/>
  <c r="G32" i="22" s="1"/>
  <c r="AP76" i="16"/>
  <c r="AP75" i="16"/>
  <c r="AP74" i="16"/>
  <c r="AP67" i="16"/>
  <c r="AP66" i="16"/>
  <c r="AP65" i="16"/>
  <c r="AP59" i="16"/>
  <c r="AP58" i="16"/>
  <c r="AP57" i="16"/>
  <c r="AP56" i="16"/>
  <c r="AP55" i="16"/>
  <c r="AP54" i="16"/>
  <c r="AP52" i="16"/>
  <c r="AP51" i="16"/>
  <c r="AP53" i="16" s="1"/>
  <c r="AP45" i="16"/>
  <c r="AP44" i="16"/>
  <c r="AP43" i="16"/>
  <c r="AP42" i="16"/>
  <c r="AP41" i="16"/>
  <c r="AP46" i="16" s="1"/>
  <c r="AP37" i="16"/>
  <c r="AP35" i="16"/>
  <c r="J31" i="22" s="1"/>
  <c r="AP34" i="16"/>
  <c r="AP33" i="16"/>
  <c r="AP30" i="16"/>
  <c r="AP29" i="16"/>
  <c r="AN76" i="16"/>
  <c r="AN75" i="16"/>
  <c r="AN74" i="16"/>
  <c r="AN67" i="16"/>
  <c r="AN66" i="16"/>
  <c r="AN65" i="16"/>
  <c r="AN59" i="16"/>
  <c r="AN58" i="16"/>
  <c r="AN57" i="16"/>
  <c r="AN56" i="16"/>
  <c r="AN55" i="16"/>
  <c r="AN54" i="16"/>
  <c r="AN52" i="16"/>
  <c r="AN51" i="16"/>
  <c r="AN53" i="16" s="1"/>
  <c r="AN45" i="16"/>
  <c r="AN44" i="16"/>
  <c r="AN43" i="16"/>
  <c r="AN42" i="16"/>
  <c r="AN41" i="16"/>
  <c r="AN37" i="16"/>
  <c r="AN35" i="16"/>
  <c r="J30" i="22" s="1"/>
  <c r="AN34" i="16"/>
  <c r="AN33" i="16"/>
  <c r="H30" i="22" s="1"/>
  <c r="AN30" i="16"/>
  <c r="F30" i="22" s="1"/>
  <c r="AN29" i="16"/>
  <c r="AM76" i="16"/>
  <c r="AM75" i="16"/>
  <c r="AM74" i="16"/>
  <c r="AM67" i="16"/>
  <c r="AM66" i="16"/>
  <c r="AM65" i="16"/>
  <c r="AM59" i="16"/>
  <c r="AM58" i="16"/>
  <c r="AM57" i="16"/>
  <c r="AM56" i="16"/>
  <c r="AM55" i="16"/>
  <c r="AM54" i="16"/>
  <c r="AM52" i="16"/>
  <c r="AM51" i="16"/>
  <c r="AM53" i="16" s="1"/>
  <c r="AM45" i="16"/>
  <c r="AM44" i="16"/>
  <c r="AM43" i="16"/>
  <c r="AM42" i="16"/>
  <c r="AM41" i="16"/>
  <c r="AM37" i="16"/>
  <c r="AM35" i="16"/>
  <c r="AM34" i="16"/>
  <c r="AM33" i="16"/>
  <c r="AM30" i="16"/>
  <c r="AM29" i="16"/>
  <c r="AM31" i="16" s="1"/>
  <c r="G29" i="22" s="1"/>
  <c r="AK76" i="16"/>
  <c r="AK75" i="16"/>
  <c r="AK74" i="16"/>
  <c r="AK67" i="16"/>
  <c r="AK66" i="16"/>
  <c r="AK65" i="16"/>
  <c r="AK59" i="16"/>
  <c r="AK58" i="16"/>
  <c r="AK57" i="16"/>
  <c r="AK56" i="16"/>
  <c r="AK55" i="16"/>
  <c r="AK54" i="16"/>
  <c r="AK52" i="16"/>
  <c r="AK51" i="16"/>
  <c r="AK45" i="16"/>
  <c r="AK44" i="16"/>
  <c r="AK276" i="16" s="1"/>
  <c r="N28" i="22" s="1"/>
  <c r="AK43" i="16"/>
  <c r="AK42" i="16"/>
  <c r="AK41" i="16"/>
  <c r="AK37" i="16"/>
  <c r="AK35" i="16"/>
  <c r="J28" i="22" s="1"/>
  <c r="AK34" i="16"/>
  <c r="AK33" i="16"/>
  <c r="AK30" i="16"/>
  <c r="AK29" i="16"/>
  <c r="AK31" i="16" s="1"/>
  <c r="G28" i="22" s="1"/>
  <c r="AJ76" i="16"/>
  <c r="AJ75" i="16"/>
  <c r="AJ74" i="16"/>
  <c r="AJ67" i="16"/>
  <c r="AJ66" i="16"/>
  <c r="AJ65" i="16"/>
  <c r="AJ59" i="16"/>
  <c r="AJ58" i="16"/>
  <c r="AJ57" i="16"/>
  <c r="AJ56" i="16"/>
  <c r="AJ55" i="16"/>
  <c r="AJ54" i="16"/>
  <c r="AJ52" i="16"/>
  <c r="AJ51" i="16"/>
  <c r="AJ45" i="16"/>
  <c r="AJ44" i="16"/>
  <c r="AJ43" i="16"/>
  <c r="AJ42" i="16"/>
  <c r="AJ41" i="16"/>
  <c r="AJ37" i="16"/>
  <c r="AJ35" i="16"/>
  <c r="AJ34" i="16"/>
  <c r="AJ33" i="16"/>
  <c r="AJ31" i="16"/>
  <c r="G27" i="22" s="1"/>
  <c r="AJ30" i="16"/>
  <c r="AJ29" i="16"/>
  <c r="E27" i="22" s="1"/>
  <c r="AI76" i="16"/>
  <c r="AI75" i="16"/>
  <c r="AI74" i="16"/>
  <c r="AI67" i="16"/>
  <c r="AI66" i="16"/>
  <c r="AI65" i="16"/>
  <c r="AI59" i="16"/>
  <c r="AI58" i="16"/>
  <c r="AI57" i="16"/>
  <c r="AI56" i="16"/>
  <c r="AI55" i="16"/>
  <c r="AI54" i="16"/>
  <c r="AI52" i="16"/>
  <c r="AI51" i="16"/>
  <c r="AI53" i="16" s="1"/>
  <c r="AI45" i="16"/>
  <c r="AI44" i="16"/>
  <c r="AI43" i="16"/>
  <c r="AI42" i="16"/>
  <c r="AI41" i="16"/>
  <c r="AI37" i="16"/>
  <c r="AI35" i="16"/>
  <c r="J26" i="22" s="1"/>
  <c r="AI34" i="16"/>
  <c r="I26" i="22" s="1"/>
  <c r="AI33" i="16"/>
  <c r="AI30" i="16"/>
  <c r="F26" i="22" s="1"/>
  <c r="AI29" i="16"/>
  <c r="AH76" i="16"/>
  <c r="AH75" i="16"/>
  <c r="AH74" i="16"/>
  <c r="AH67" i="16"/>
  <c r="AH66" i="16"/>
  <c r="AH65" i="16"/>
  <c r="AH59" i="16"/>
  <c r="AH58" i="16"/>
  <c r="AH57" i="16"/>
  <c r="AH56" i="16"/>
  <c r="AH55" i="16"/>
  <c r="AH54" i="16"/>
  <c r="AH52" i="16"/>
  <c r="AH51" i="16"/>
  <c r="AH53" i="16" s="1"/>
  <c r="AH45" i="16"/>
  <c r="AH44" i="16"/>
  <c r="AH43" i="16"/>
  <c r="AH42" i="16"/>
  <c r="AH41" i="16"/>
  <c r="AH46" i="16" s="1"/>
  <c r="AH37" i="16"/>
  <c r="AH35" i="16"/>
  <c r="AH34" i="16"/>
  <c r="AH33" i="16"/>
  <c r="AH30" i="16"/>
  <c r="F25" i="22" s="1"/>
  <c r="AH29" i="16"/>
  <c r="AH31" i="16" s="1"/>
  <c r="G25" i="22" s="1"/>
  <c r="AG76" i="16"/>
  <c r="AG75" i="16"/>
  <c r="AG74" i="16"/>
  <c r="AG67" i="16"/>
  <c r="AG66" i="16"/>
  <c r="AG65" i="16"/>
  <c r="AG59" i="16"/>
  <c r="AG58" i="16"/>
  <c r="AG57" i="16"/>
  <c r="AG56" i="16"/>
  <c r="AG55" i="16"/>
  <c r="AG54" i="16"/>
  <c r="AG52" i="16"/>
  <c r="AG51" i="16"/>
  <c r="AG45" i="16"/>
  <c r="AG44" i="16"/>
  <c r="AG43" i="16"/>
  <c r="AG42" i="16"/>
  <c r="AG41" i="16"/>
  <c r="AG37" i="16"/>
  <c r="AG35" i="16"/>
  <c r="J24" i="22" s="1"/>
  <c r="AG34" i="16"/>
  <c r="I24" i="22" s="1"/>
  <c r="AG33" i="16"/>
  <c r="AG30" i="16"/>
  <c r="AG29" i="16"/>
  <c r="AF76" i="16"/>
  <c r="AF75" i="16"/>
  <c r="AF74" i="16"/>
  <c r="AF67" i="16"/>
  <c r="AF66" i="16"/>
  <c r="AF65" i="16"/>
  <c r="AF59" i="16"/>
  <c r="AF58" i="16"/>
  <c r="AF57" i="16"/>
  <c r="AF56" i="16"/>
  <c r="AF55" i="16"/>
  <c r="AF54" i="16"/>
  <c r="AF276" i="16" s="1"/>
  <c r="N23" i="22" s="1"/>
  <c r="AF52" i="16"/>
  <c r="AF51" i="16"/>
  <c r="AF45" i="16"/>
  <c r="AF44" i="16"/>
  <c r="AF43" i="16"/>
  <c r="AF42" i="16"/>
  <c r="AF41" i="16"/>
  <c r="AF37" i="16"/>
  <c r="AF35" i="16"/>
  <c r="J23" i="22" s="1"/>
  <c r="AF34" i="16"/>
  <c r="AF33" i="16"/>
  <c r="H23" i="22" s="1"/>
  <c r="AF30" i="16"/>
  <c r="F23" i="22" s="1"/>
  <c r="AF29" i="16"/>
  <c r="AD76" i="16"/>
  <c r="AD75" i="16"/>
  <c r="AD74" i="16"/>
  <c r="AD67" i="16"/>
  <c r="AD66" i="16"/>
  <c r="AD65" i="16"/>
  <c r="AD59" i="16"/>
  <c r="AD58" i="16"/>
  <c r="AD57" i="16"/>
  <c r="AD56" i="16"/>
  <c r="AD55" i="16"/>
  <c r="AD54" i="16"/>
  <c r="AD52" i="16"/>
  <c r="AD51" i="16"/>
  <c r="AD45" i="16"/>
  <c r="AD44" i="16"/>
  <c r="AD43" i="16"/>
  <c r="AD42" i="16"/>
  <c r="AD41" i="16"/>
  <c r="AD37" i="16"/>
  <c r="AD35" i="16"/>
  <c r="J22" i="22" s="1"/>
  <c r="AD34" i="16"/>
  <c r="I22" i="22" s="1"/>
  <c r="AD33" i="16"/>
  <c r="AD30" i="16"/>
  <c r="AD29" i="16"/>
  <c r="E22" i="22" s="1"/>
  <c r="AC76" i="16"/>
  <c r="AC75" i="16"/>
  <c r="AC74" i="16"/>
  <c r="AC67" i="16"/>
  <c r="AC66" i="16"/>
  <c r="AC65" i="16"/>
  <c r="AC59" i="16"/>
  <c r="AC58" i="16"/>
  <c r="AC57" i="16"/>
  <c r="AC56" i="16"/>
  <c r="AC55" i="16"/>
  <c r="AC54" i="16"/>
  <c r="AC52" i="16"/>
  <c r="AC51" i="16"/>
  <c r="AC53" i="16" s="1"/>
  <c r="AC45" i="16"/>
  <c r="AC44" i="16"/>
  <c r="AC276" i="16" s="1"/>
  <c r="N21" i="22" s="1"/>
  <c r="AC43" i="16"/>
  <c r="AC42" i="16"/>
  <c r="AC41" i="16"/>
  <c r="AC37" i="16"/>
  <c r="AC35" i="16"/>
  <c r="J21" i="22" s="1"/>
  <c r="AC34" i="16"/>
  <c r="AC33" i="16"/>
  <c r="AC30" i="16"/>
  <c r="AC29" i="16"/>
  <c r="AB76" i="16"/>
  <c r="AB75" i="16"/>
  <c r="AB74" i="16"/>
  <c r="AB67" i="16"/>
  <c r="AB66" i="16"/>
  <c r="AB65" i="16"/>
  <c r="AB59" i="16"/>
  <c r="AB58" i="16"/>
  <c r="AB57" i="16"/>
  <c r="AB56" i="16"/>
  <c r="AB55" i="16"/>
  <c r="AB54" i="16"/>
  <c r="AB52" i="16"/>
  <c r="AB51" i="16"/>
  <c r="AB45" i="16"/>
  <c r="AB44" i="16"/>
  <c r="AB43" i="16"/>
  <c r="AB42" i="16"/>
  <c r="AB41" i="16"/>
  <c r="AB37" i="16"/>
  <c r="AB35" i="16"/>
  <c r="J20" i="22" s="1"/>
  <c r="AB34" i="16"/>
  <c r="AB33" i="16"/>
  <c r="H20" i="22" s="1"/>
  <c r="AB30" i="16"/>
  <c r="AB29" i="16"/>
  <c r="AB31" i="16" s="1"/>
  <c r="G20" i="22" s="1"/>
  <c r="AA76" i="16"/>
  <c r="AA75" i="16"/>
  <c r="AA74" i="16"/>
  <c r="AA67" i="16"/>
  <c r="AA66" i="16"/>
  <c r="AA65" i="16"/>
  <c r="AA59" i="16"/>
  <c r="AA58" i="16"/>
  <c r="AA57" i="16"/>
  <c r="AA56" i="16"/>
  <c r="AA55" i="16"/>
  <c r="AA54" i="16"/>
  <c r="AA276" i="16" s="1"/>
  <c r="N19" i="22" s="1"/>
  <c r="AA52" i="16"/>
  <c r="AA51" i="16"/>
  <c r="AA53" i="16" s="1"/>
  <c r="AA45" i="16"/>
  <c r="AA44" i="16"/>
  <c r="AA43" i="16"/>
  <c r="AA42" i="16"/>
  <c r="AA41" i="16"/>
  <c r="AA37" i="16"/>
  <c r="AA35" i="16"/>
  <c r="J19" i="22" s="1"/>
  <c r="AA34" i="16"/>
  <c r="AA33" i="16"/>
  <c r="AA30" i="16"/>
  <c r="AA29" i="16"/>
  <c r="Z76" i="16"/>
  <c r="Z75" i="16"/>
  <c r="Z74" i="16"/>
  <c r="Z67" i="16"/>
  <c r="Z66" i="16"/>
  <c r="Z65" i="16"/>
  <c r="Z59" i="16"/>
  <c r="Z58" i="16"/>
  <c r="Z57" i="16"/>
  <c r="Z56" i="16"/>
  <c r="Z55" i="16"/>
  <c r="Z54" i="16"/>
  <c r="Z52" i="16"/>
  <c r="Z51" i="16"/>
  <c r="Z45" i="16"/>
  <c r="Z44" i="16"/>
  <c r="Z276" i="16" s="1"/>
  <c r="N18" i="22" s="1"/>
  <c r="Z43" i="16"/>
  <c r="Z42" i="16"/>
  <c r="Z41" i="16"/>
  <c r="Z37" i="16"/>
  <c r="Z35" i="16"/>
  <c r="J18" i="22" s="1"/>
  <c r="Z34" i="16"/>
  <c r="Z33" i="16"/>
  <c r="Z30" i="16"/>
  <c r="F18" i="22" s="1"/>
  <c r="Z29" i="16"/>
  <c r="Y76" i="16"/>
  <c r="Y75" i="16"/>
  <c r="Y74" i="16"/>
  <c r="Y67" i="16"/>
  <c r="Y66" i="16"/>
  <c r="Y65" i="16"/>
  <c r="Y68" i="16" s="1"/>
  <c r="Y59" i="16"/>
  <c r="Y58" i="16"/>
  <c r="Y57" i="16"/>
  <c r="Y56" i="16"/>
  <c r="Y55" i="16"/>
  <c r="Y54" i="16"/>
  <c r="Y52" i="16"/>
  <c r="Y51" i="16"/>
  <c r="Y45" i="16"/>
  <c r="Y44" i="16"/>
  <c r="Y43" i="16"/>
  <c r="Y42" i="16"/>
  <c r="Y41" i="16"/>
  <c r="Y37" i="16"/>
  <c r="Y35" i="16"/>
  <c r="J17" i="22" s="1"/>
  <c r="Y34" i="16"/>
  <c r="I17" i="22" s="1"/>
  <c r="Y33" i="16"/>
  <c r="Y30" i="16"/>
  <c r="F17" i="22" s="1"/>
  <c r="Y29" i="16"/>
  <c r="X76" i="16"/>
  <c r="X75" i="16"/>
  <c r="X74" i="16"/>
  <c r="X67" i="16"/>
  <c r="X66" i="16"/>
  <c r="X65" i="16"/>
  <c r="X59" i="16"/>
  <c r="X58" i="16"/>
  <c r="X57" i="16"/>
  <c r="X56" i="16"/>
  <c r="X55" i="16"/>
  <c r="X54" i="16"/>
  <c r="X52" i="16"/>
  <c r="X51" i="16"/>
  <c r="X45" i="16"/>
  <c r="X44" i="16"/>
  <c r="X43" i="16"/>
  <c r="X42" i="16"/>
  <c r="X41" i="16"/>
  <c r="X37" i="16"/>
  <c r="X35" i="16"/>
  <c r="J16" i="22" s="1"/>
  <c r="X34" i="16"/>
  <c r="X33" i="16"/>
  <c r="X30" i="16"/>
  <c r="X29" i="16"/>
  <c r="W76" i="16"/>
  <c r="W75" i="16"/>
  <c r="W74" i="16"/>
  <c r="W67" i="16"/>
  <c r="W68" i="16" s="1"/>
  <c r="W66" i="16"/>
  <c r="W65" i="16"/>
  <c r="W59" i="16"/>
  <c r="W58" i="16"/>
  <c r="W57" i="16"/>
  <c r="W56" i="16"/>
  <c r="W55" i="16"/>
  <c r="W54" i="16"/>
  <c r="W52" i="16"/>
  <c r="W51" i="16"/>
  <c r="W53" i="16" s="1"/>
  <c r="W45" i="16"/>
  <c r="W44" i="16"/>
  <c r="W43" i="16"/>
  <c r="W42" i="16"/>
  <c r="W41" i="16"/>
  <c r="W37" i="16"/>
  <c r="W35" i="16"/>
  <c r="W34" i="16"/>
  <c r="I15" i="22" s="1"/>
  <c r="W33" i="16"/>
  <c r="W30" i="16"/>
  <c r="W29" i="16"/>
  <c r="W31" i="16" s="1"/>
  <c r="G15" i="22" s="1"/>
  <c r="V76" i="16"/>
  <c r="V75" i="16"/>
  <c r="V74" i="16"/>
  <c r="V67" i="16"/>
  <c r="V66" i="16"/>
  <c r="V65" i="16"/>
  <c r="V59" i="16"/>
  <c r="V58" i="16"/>
  <c r="V57" i="16"/>
  <c r="V56" i="16"/>
  <c r="V55" i="16"/>
  <c r="V54" i="16"/>
  <c r="V52" i="16"/>
  <c r="V51" i="16"/>
  <c r="V53" i="16" s="1"/>
  <c r="V45" i="16"/>
  <c r="V44" i="16"/>
  <c r="V43" i="16"/>
  <c r="V42" i="16"/>
  <c r="V41" i="16"/>
  <c r="V37" i="16"/>
  <c r="V35" i="16"/>
  <c r="J14" i="22" s="1"/>
  <c r="V34" i="16"/>
  <c r="V33" i="16"/>
  <c r="V30" i="16"/>
  <c r="F14" i="22" s="1"/>
  <c r="V29" i="16"/>
  <c r="E14" i="22" s="1"/>
  <c r="U76" i="16"/>
  <c r="U75" i="16"/>
  <c r="U74" i="16"/>
  <c r="U67" i="16"/>
  <c r="U66" i="16"/>
  <c r="U65" i="16"/>
  <c r="U59" i="16"/>
  <c r="U58" i="16"/>
  <c r="U57" i="16"/>
  <c r="U56" i="16"/>
  <c r="U55" i="16"/>
  <c r="U54" i="16"/>
  <c r="U52" i="16"/>
  <c r="U51" i="16"/>
  <c r="U53" i="16" s="1"/>
  <c r="U45" i="16"/>
  <c r="U44" i="16"/>
  <c r="U43" i="16"/>
  <c r="U42" i="16"/>
  <c r="U41" i="16"/>
  <c r="U37" i="16"/>
  <c r="U35" i="16"/>
  <c r="U34" i="16"/>
  <c r="I13" i="22" s="1"/>
  <c r="U33" i="16"/>
  <c r="U30" i="16"/>
  <c r="F13" i="22" s="1"/>
  <c r="U29" i="16"/>
  <c r="S76" i="16"/>
  <c r="S75" i="16"/>
  <c r="S74" i="16"/>
  <c r="S67" i="16"/>
  <c r="S66" i="16"/>
  <c r="S65" i="16"/>
  <c r="S68" i="16" s="1"/>
  <c r="S59" i="16"/>
  <c r="S58" i="16"/>
  <c r="S57" i="16"/>
  <c r="S56" i="16"/>
  <c r="S55" i="16"/>
  <c r="S54" i="16"/>
  <c r="S52" i="16"/>
  <c r="S51" i="16"/>
  <c r="S45" i="16"/>
  <c r="S44" i="16"/>
  <c r="S43" i="16"/>
  <c r="S42" i="16"/>
  <c r="S41" i="16"/>
  <c r="S37" i="16"/>
  <c r="S35" i="16"/>
  <c r="S34" i="16"/>
  <c r="I12" i="22" s="1"/>
  <c r="S33" i="16"/>
  <c r="H12" i="22" s="1"/>
  <c r="S31" i="16"/>
  <c r="G12" i="22" s="1"/>
  <c r="S30" i="16"/>
  <c r="S29" i="16"/>
  <c r="R76" i="16"/>
  <c r="R75" i="16"/>
  <c r="R74" i="16"/>
  <c r="R67" i="16"/>
  <c r="R66" i="16"/>
  <c r="R65" i="16"/>
  <c r="R59" i="16"/>
  <c r="R58" i="16"/>
  <c r="R57" i="16"/>
  <c r="R56" i="16"/>
  <c r="R55" i="16"/>
  <c r="R54" i="16"/>
  <c r="R53" i="16"/>
  <c r="R52" i="16"/>
  <c r="R51" i="16"/>
  <c r="R45" i="16"/>
  <c r="R44" i="16"/>
  <c r="R43" i="16"/>
  <c r="R42" i="16"/>
  <c r="R41" i="16"/>
  <c r="R37" i="16"/>
  <c r="R35" i="16"/>
  <c r="J11" i="22" s="1"/>
  <c r="R34" i="16"/>
  <c r="R33" i="16"/>
  <c r="H11" i="22" s="1"/>
  <c r="R30" i="16"/>
  <c r="F11" i="22" s="1"/>
  <c r="R29" i="16"/>
  <c r="Q76" i="16"/>
  <c r="Q75" i="16"/>
  <c r="Q74" i="16"/>
  <c r="Q67" i="16"/>
  <c r="Q66" i="16"/>
  <c r="Q65" i="16"/>
  <c r="Q59" i="16"/>
  <c r="Q276" i="16" s="1"/>
  <c r="N10" i="22" s="1"/>
  <c r="Q58" i="16"/>
  <c r="Q57" i="16"/>
  <c r="Q56" i="16"/>
  <c r="Q55" i="16"/>
  <c r="Q54" i="16"/>
  <c r="Q52" i="16"/>
  <c r="Q51" i="16"/>
  <c r="Q45" i="16"/>
  <c r="Q44" i="16"/>
  <c r="Q43" i="16"/>
  <c r="Q42" i="16"/>
  <c r="Q41" i="16"/>
  <c r="Q46" i="16" s="1"/>
  <c r="Q37" i="16"/>
  <c r="Q35" i="16"/>
  <c r="J10" i="22" s="1"/>
  <c r="Q34" i="16"/>
  <c r="I10" i="22" s="1"/>
  <c r="Q33" i="16"/>
  <c r="Q30" i="16"/>
  <c r="F10" i="22" s="1"/>
  <c r="Q29" i="16"/>
  <c r="O76" i="16"/>
  <c r="O75" i="16"/>
  <c r="O74" i="16"/>
  <c r="O67" i="16"/>
  <c r="O66" i="16"/>
  <c r="O65" i="16"/>
  <c r="O59" i="16"/>
  <c r="O58" i="16"/>
  <c r="O57" i="16"/>
  <c r="O56" i="16"/>
  <c r="O55" i="16"/>
  <c r="O54" i="16"/>
  <c r="O52" i="16"/>
  <c r="O51" i="16"/>
  <c r="O53" i="16" s="1"/>
  <c r="O60" i="16" s="1"/>
  <c r="O45" i="16"/>
  <c r="O44" i="16"/>
  <c r="O43" i="16"/>
  <c r="O42" i="16"/>
  <c r="O41" i="16"/>
  <c r="O37" i="16"/>
  <c r="O35" i="16"/>
  <c r="J9" i="22" s="1"/>
  <c r="O34" i="16"/>
  <c r="O33" i="16"/>
  <c r="O30" i="16"/>
  <c r="F9" i="22" s="1"/>
  <c r="O29" i="16"/>
  <c r="E9" i="22" s="1"/>
  <c r="N76" i="16"/>
  <c r="N75" i="16"/>
  <c r="N74" i="16"/>
  <c r="N67" i="16"/>
  <c r="N66" i="16"/>
  <c r="N65" i="16"/>
  <c r="N59" i="16"/>
  <c r="N58" i="16"/>
  <c r="N57" i="16"/>
  <c r="N56" i="16"/>
  <c r="N55" i="16"/>
  <c r="N54" i="16"/>
  <c r="N52" i="16"/>
  <c r="N51" i="16"/>
  <c r="N53" i="16" s="1"/>
  <c r="N45" i="16"/>
  <c r="N44" i="16"/>
  <c r="N43" i="16"/>
  <c r="N42" i="16"/>
  <c r="N41" i="16"/>
  <c r="N37" i="16"/>
  <c r="N35" i="16"/>
  <c r="N36" i="16" s="1"/>
  <c r="N34" i="16"/>
  <c r="N33" i="16"/>
  <c r="H8" i="22" s="1"/>
  <c r="N30" i="16"/>
  <c r="N29" i="16"/>
  <c r="M76" i="16"/>
  <c r="M75" i="16"/>
  <c r="M74" i="16"/>
  <c r="M67" i="16"/>
  <c r="M66" i="16"/>
  <c r="M65" i="16"/>
  <c r="M59" i="16"/>
  <c r="M58" i="16"/>
  <c r="M57" i="16"/>
  <c r="M56" i="16"/>
  <c r="M55" i="16"/>
  <c r="M54" i="16"/>
  <c r="M52" i="16"/>
  <c r="M51" i="16"/>
  <c r="M45" i="16"/>
  <c r="M44" i="16"/>
  <c r="M43" i="16"/>
  <c r="M42" i="16"/>
  <c r="M41" i="16"/>
  <c r="M37" i="16"/>
  <c r="M35" i="16"/>
  <c r="J7" i="22" s="1"/>
  <c r="M34" i="16"/>
  <c r="I7" i="22" s="1"/>
  <c r="M33" i="16"/>
  <c r="M30" i="16"/>
  <c r="M29" i="16"/>
  <c r="L76" i="16"/>
  <c r="L75" i="16"/>
  <c r="L74" i="16"/>
  <c r="L67" i="16"/>
  <c r="L66" i="16"/>
  <c r="L65" i="16"/>
  <c r="L59" i="16"/>
  <c r="L58" i="16"/>
  <c r="L57" i="16"/>
  <c r="L56" i="16"/>
  <c r="L55" i="16"/>
  <c r="L54" i="16"/>
  <c r="L53" i="16"/>
  <c r="L52" i="16"/>
  <c r="L51" i="16"/>
  <c r="L45" i="16"/>
  <c r="L44" i="16"/>
  <c r="L276" i="16" s="1"/>
  <c r="N6" i="22" s="1"/>
  <c r="L43" i="16"/>
  <c r="L42" i="16"/>
  <c r="L41" i="16"/>
  <c r="L37" i="16"/>
  <c r="L35" i="16"/>
  <c r="L34" i="16"/>
  <c r="L33" i="16"/>
  <c r="L36" i="16" s="1"/>
  <c r="L39" i="16" s="1"/>
  <c r="L30" i="16"/>
  <c r="F6" i="22" s="1"/>
  <c r="L29" i="16"/>
  <c r="K76" i="16"/>
  <c r="K75" i="16"/>
  <c r="K74" i="16"/>
  <c r="K67" i="16"/>
  <c r="K66" i="16"/>
  <c r="K65" i="16"/>
  <c r="K59" i="16"/>
  <c r="K58" i="16"/>
  <c r="K57" i="16"/>
  <c r="K56" i="16"/>
  <c r="K55" i="16"/>
  <c r="K54" i="16"/>
  <c r="K52" i="16"/>
  <c r="K51" i="16"/>
  <c r="K53" i="16" s="1"/>
  <c r="K45" i="16"/>
  <c r="K44" i="16"/>
  <c r="K43" i="16"/>
  <c r="K42" i="16"/>
  <c r="K41" i="16"/>
  <c r="K37" i="16"/>
  <c r="K35" i="16"/>
  <c r="J5" i="22" s="1"/>
  <c r="K34" i="16"/>
  <c r="K33" i="16"/>
  <c r="H5" i="22" s="1"/>
  <c r="K30" i="16"/>
  <c r="F5" i="22" s="1"/>
  <c r="K29" i="16"/>
  <c r="J76" i="16"/>
  <c r="J75" i="16"/>
  <c r="J74" i="16"/>
  <c r="J67" i="16"/>
  <c r="J66" i="16"/>
  <c r="J65" i="16"/>
  <c r="J59" i="16"/>
  <c r="J58" i="16"/>
  <c r="J57" i="16"/>
  <c r="J56" i="16"/>
  <c r="J55" i="16"/>
  <c r="J54" i="16"/>
  <c r="J52" i="16"/>
  <c r="J51" i="16"/>
  <c r="J45" i="16"/>
  <c r="J46" i="16" s="1"/>
  <c r="J44" i="16"/>
  <c r="J43" i="16"/>
  <c r="J42" i="16"/>
  <c r="J41" i="16"/>
  <c r="J37" i="16"/>
  <c r="J35" i="16"/>
  <c r="J4" i="22" s="1"/>
  <c r="J34" i="16"/>
  <c r="I4" i="22" s="1"/>
  <c r="J33" i="16"/>
  <c r="J30" i="16"/>
  <c r="J29" i="16"/>
  <c r="J31" i="16" s="1"/>
  <c r="G4" i="22" s="1"/>
  <c r="I76" i="16"/>
  <c r="I75" i="16"/>
  <c r="I74" i="16"/>
  <c r="I67" i="16"/>
  <c r="I66" i="16"/>
  <c r="I65" i="16"/>
  <c r="I59" i="16"/>
  <c r="I58" i="16"/>
  <c r="I57" i="16"/>
  <c r="I56" i="16"/>
  <c r="I55" i="16"/>
  <c r="I54" i="16"/>
  <c r="I52" i="16"/>
  <c r="I51" i="16"/>
  <c r="I45" i="16"/>
  <c r="I44" i="16"/>
  <c r="I43" i="16"/>
  <c r="I42" i="16"/>
  <c r="I41" i="16"/>
  <c r="I37" i="16"/>
  <c r="I35" i="16"/>
  <c r="J3" i="22" s="1"/>
  <c r="I34" i="16"/>
  <c r="I33" i="16"/>
  <c r="I30" i="16"/>
  <c r="F3" i="22" s="1"/>
  <c r="I29" i="16"/>
  <c r="E3" i="22" s="1"/>
  <c r="H29" i="16"/>
  <c r="E2" i="22" s="1"/>
  <c r="H74" i="16"/>
  <c r="H75" i="16"/>
  <c r="H76" i="16"/>
  <c r="H65" i="16"/>
  <c r="H66" i="16"/>
  <c r="H68" i="16" s="1"/>
  <c r="H67" i="16"/>
  <c r="H51" i="16"/>
  <c r="H53" i="16" s="1"/>
  <c r="H52" i="16"/>
  <c r="H54" i="16"/>
  <c r="H55" i="16"/>
  <c r="H56" i="16"/>
  <c r="H57" i="16"/>
  <c r="H58" i="16"/>
  <c r="H59" i="16"/>
  <c r="H41" i="16"/>
  <c r="H42" i="16"/>
  <c r="H43" i="16"/>
  <c r="H44" i="16"/>
  <c r="H45" i="16"/>
  <c r="H33" i="16"/>
  <c r="H34" i="16"/>
  <c r="I2" i="22" s="1"/>
  <c r="H35" i="16"/>
  <c r="H37" i="16"/>
  <c r="H30" i="16"/>
  <c r="CX276" i="16"/>
  <c r="CW276" i="16"/>
  <c r="CU276" i="16"/>
  <c r="CT276" i="16"/>
  <c r="CS276" i="16"/>
  <c r="CQ276" i="16"/>
  <c r="CO276" i="16"/>
  <c r="CM276" i="16"/>
  <c r="CH276" i="16"/>
  <c r="CG276" i="16"/>
  <c r="CE276" i="16"/>
  <c r="N54" i="22" s="1"/>
  <c r="CC276" i="16"/>
  <c r="CA276" i="16"/>
  <c r="BW276" i="16"/>
  <c r="BT276" i="16"/>
  <c r="BP276" i="16"/>
  <c r="BO276" i="16"/>
  <c r="BN276" i="16"/>
  <c r="N45" i="22" s="1"/>
  <c r="BM276" i="16"/>
  <c r="N44" i="22" s="1"/>
  <c r="BK276" i="16"/>
  <c r="BI276" i="16"/>
  <c r="BG276" i="16"/>
  <c r="BE276" i="16"/>
  <c r="BC276" i="16"/>
  <c r="BA276" i="16"/>
  <c r="AR276" i="16"/>
  <c r="AQ276" i="16"/>
  <c r="AP276" i="16"/>
  <c r="N31" i="22" s="1"/>
  <c r="AO276" i="16"/>
  <c r="AL276" i="16"/>
  <c r="AE276" i="16"/>
  <c r="T276" i="16"/>
  <c r="P276" i="16"/>
  <c r="O276" i="16"/>
  <c r="N9" i="22" s="1"/>
  <c r="AR277" i="16"/>
  <c r="A2" i="22"/>
  <c r="B2" i="22"/>
  <c r="C2" i="22"/>
  <c r="D2" i="22"/>
  <c r="F2" i="22"/>
  <c r="H2" i="22"/>
  <c r="J2" i="22"/>
  <c r="A3" i="22"/>
  <c r="B3" i="22"/>
  <c r="C3" i="22"/>
  <c r="D3" i="22"/>
  <c r="I3" i="22"/>
  <c r="A4" i="22"/>
  <c r="B4" i="22"/>
  <c r="C4" i="22"/>
  <c r="D4" i="22"/>
  <c r="F4" i="22"/>
  <c r="H4" i="22"/>
  <c r="A5" i="22"/>
  <c r="B5" i="22"/>
  <c r="C5" i="22"/>
  <c r="D5" i="22"/>
  <c r="E5" i="22"/>
  <c r="I5" i="22"/>
  <c r="A6" i="22"/>
  <c r="B6" i="22"/>
  <c r="C6" i="22"/>
  <c r="D6" i="22"/>
  <c r="I6" i="22"/>
  <c r="J6" i="22"/>
  <c r="A7" i="22"/>
  <c r="B7" i="22"/>
  <c r="C7" i="22"/>
  <c r="D7" i="22"/>
  <c r="E7" i="22"/>
  <c r="F7" i="22"/>
  <c r="A8" i="22"/>
  <c r="B8" i="22"/>
  <c r="C8" i="22"/>
  <c r="D8" i="22"/>
  <c r="E8" i="22"/>
  <c r="F8" i="22"/>
  <c r="I8" i="22"/>
  <c r="A9" i="22"/>
  <c r="B9" i="22"/>
  <c r="C9" i="22"/>
  <c r="D9" i="22"/>
  <c r="H9" i="22"/>
  <c r="I9" i="22"/>
  <c r="A10" i="22"/>
  <c r="B10" i="22"/>
  <c r="C10" i="22"/>
  <c r="D10" i="22"/>
  <c r="A11" i="22"/>
  <c r="B11" i="22"/>
  <c r="C11" i="22"/>
  <c r="D11" i="22"/>
  <c r="E11" i="22"/>
  <c r="I11" i="22"/>
  <c r="A12" i="22"/>
  <c r="B12" i="22"/>
  <c r="C12" i="22"/>
  <c r="D12" i="22"/>
  <c r="E12" i="22"/>
  <c r="F12" i="22"/>
  <c r="J12" i="22"/>
  <c r="A13" i="22"/>
  <c r="B13" i="22"/>
  <c r="C13" i="22"/>
  <c r="D13" i="22"/>
  <c r="J13" i="22"/>
  <c r="A14" i="22"/>
  <c r="B14" i="22"/>
  <c r="C14" i="22"/>
  <c r="D14" i="22"/>
  <c r="H14" i="22"/>
  <c r="A15" i="22"/>
  <c r="B15" i="22"/>
  <c r="C15" i="22"/>
  <c r="D15" i="22"/>
  <c r="F15" i="22"/>
  <c r="H15" i="22"/>
  <c r="A16" i="22"/>
  <c r="B16" i="22"/>
  <c r="C16" i="22"/>
  <c r="D16" i="22"/>
  <c r="E16" i="22"/>
  <c r="F16" i="22"/>
  <c r="I16" i="22"/>
  <c r="A17" i="22"/>
  <c r="B17" i="22"/>
  <c r="C17" i="22"/>
  <c r="D17" i="22"/>
  <c r="E17" i="22"/>
  <c r="A18" i="22"/>
  <c r="B18" i="22"/>
  <c r="C18" i="22"/>
  <c r="D18" i="22"/>
  <c r="E18" i="22"/>
  <c r="H18" i="22"/>
  <c r="I18" i="22"/>
  <c r="A19" i="22"/>
  <c r="B19" i="22"/>
  <c r="C19" i="22"/>
  <c r="D19" i="22"/>
  <c r="F19" i="22"/>
  <c r="H19" i="22"/>
  <c r="I19" i="22"/>
  <c r="A20" i="22"/>
  <c r="B20" i="22"/>
  <c r="C20" i="22"/>
  <c r="D20" i="22"/>
  <c r="E20" i="22"/>
  <c r="F20" i="22"/>
  <c r="I20" i="22"/>
  <c r="A21" i="22"/>
  <c r="B21" i="22"/>
  <c r="C21" i="22"/>
  <c r="D21" i="22"/>
  <c r="E21" i="22"/>
  <c r="F21" i="22"/>
  <c r="I21" i="22"/>
  <c r="A22" i="22"/>
  <c r="B22" i="22"/>
  <c r="C22" i="22"/>
  <c r="D22" i="22"/>
  <c r="F22" i="22"/>
  <c r="A23" i="22"/>
  <c r="B23" i="22"/>
  <c r="C23" i="22"/>
  <c r="D23" i="22"/>
  <c r="E23" i="22"/>
  <c r="I23" i="22"/>
  <c r="A24" i="22"/>
  <c r="B24" i="22"/>
  <c r="C24" i="22"/>
  <c r="D24" i="22"/>
  <c r="E24" i="22"/>
  <c r="A25" i="22"/>
  <c r="B25" i="22"/>
  <c r="C25" i="22"/>
  <c r="D25" i="22"/>
  <c r="H25" i="22"/>
  <c r="I25" i="22"/>
  <c r="J25" i="22"/>
  <c r="A26" i="22"/>
  <c r="B26" i="22"/>
  <c r="C26" i="22"/>
  <c r="D26" i="22"/>
  <c r="E26" i="22"/>
  <c r="A27" i="22"/>
  <c r="B27" i="22"/>
  <c r="C27" i="22"/>
  <c r="D27" i="22"/>
  <c r="F27" i="22"/>
  <c r="H27" i="22"/>
  <c r="I27" i="22"/>
  <c r="J27" i="22"/>
  <c r="A28" i="22"/>
  <c r="B28" i="22"/>
  <c r="C28" i="22"/>
  <c r="D28" i="22"/>
  <c r="F28" i="22"/>
  <c r="I28" i="22"/>
  <c r="A29" i="22"/>
  <c r="B29" i="22"/>
  <c r="C29" i="22"/>
  <c r="D29" i="22"/>
  <c r="F29" i="22"/>
  <c r="H29" i="22"/>
  <c r="I29" i="22"/>
  <c r="J29" i="22"/>
  <c r="A30" i="22"/>
  <c r="B30" i="22"/>
  <c r="C30" i="22"/>
  <c r="D30" i="22"/>
  <c r="E30" i="22"/>
  <c r="I30" i="22"/>
  <c r="A31" i="22"/>
  <c r="B31" i="22"/>
  <c r="C31" i="22"/>
  <c r="D31" i="22"/>
  <c r="E31" i="22"/>
  <c r="F31" i="22"/>
  <c r="I31" i="22"/>
  <c r="A32" i="22"/>
  <c r="B32" i="22"/>
  <c r="C32" i="22"/>
  <c r="D32" i="22"/>
  <c r="I32" i="22"/>
  <c r="J32" i="22"/>
  <c r="A33" i="22"/>
  <c r="B33" i="22"/>
  <c r="C33" i="22"/>
  <c r="D33" i="22"/>
  <c r="E33" i="22"/>
  <c r="F33" i="22"/>
  <c r="A34" i="22"/>
  <c r="B34" i="22"/>
  <c r="C34" i="22"/>
  <c r="D34" i="22"/>
  <c r="E34" i="22"/>
  <c r="F34" i="22"/>
  <c r="H34" i="22"/>
  <c r="J34" i="22"/>
  <c r="A35" i="22"/>
  <c r="B35" i="22"/>
  <c r="C35" i="22"/>
  <c r="D35" i="22"/>
  <c r="A36" i="22"/>
  <c r="B36" i="22"/>
  <c r="C36" i="22"/>
  <c r="D36" i="22"/>
  <c r="F36" i="22"/>
  <c r="H36" i="22"/>
  <c r="A37" i="22"/>
  <c r="B37" i="22"/>
  <c r="C37" i="22"/>
  <c r="D37" i="22"/>
  <c r="I37" i="22"/>
  <c r="A38" i="22"/>
  <c r="B38" i="22"/>
  <c r="C38" i="22"/>
  <c r="D38" i="22"/>
  <c r="E38" i="22"/>
  <c r="F38" i="22"/>
  <c r="H38" i="22"/>
  <c r="I38" i="22"/>
  <c r="J38" i="22"/>
  <c r="A39" i="22"/>
  <c r="B39" i="22"/>
  <c r="C39" i="22"/>
  <c r="D39" i="22"/>
  <c r="I39" i="22"/>
  <c r="J39" i="22"/>
  <c r="A40" i="22"/>
  <c r="B40" i="22"/>
  <c r="C40" i="22"/>
  <c r="D40" i="22"/>
  <c r="A41" i="22"/>
  <c r="B41" i="22"/>
  <c r="C41" i="22"/>
  <c r="D41" i="22"/>
  <c r="F41" i="22"/>
  <c r="H41" i="22"/>
  <c r="I41" i="22"/>
  <c r="J41" i="22"/>
  <c r="A42" i="22"/>
  <c r="B42" i="22"/>
  <c r="C42" i="22"/>
  <c r="D42" i="22"/>
  <c r="F42" i="22"/>
  <c r="H42" i="22"/>
  <c r="J42" i="22"/>
  <c r="A43" i="22"/>
  <c r="B43" i="22"/>
  <c r="C43" i="22"/>
  <c r="D43" i="22"/>
  <c r="E43" i="22"/>
  <c r="F43" i="22"/>
  <c r="H43" i="22"/>
  <c r="J43" i="22"/>
  <c r="A44" i="22"/>
  <c r="B44" i="22"/>
  <c r="C44" i="22"/>
  <c r="D44" i="22"/>
  <c r="E44" i="22"/>
  <c r="H44" i="22"/>
  <c r="I44" i="22"/>
  <c r="J44" i="22"/>
  <c r="A45" i="22"/>
  <c r="B45" i="22"/>
  <c r="C45" i="22"/>
  <c r="D45" i="22"/>
  <c r="F45" i="22"/>
  <c r="H45" i="22"/>
  <c r="A46" i="22"/>
  <c r="B46" i="22"/>
  <c r="C46" i="22"/>
  <c r="D46" i="22"/>
  <c r="E46" i="22"/>
  <c r="F46" i="22"/>
  <c r="H46" i="22"/>
  <c r="I46" i="22"/>
  <c r="A47" i="22"/>
  <c r="B47" i="22"/>
  <c r="C47" i="22"/>
  <c r="D47" i="22"/>
  <c r="H47" i="22"/>
  <c r="I47" i="22"/>
  <c r="J47" i="22"/>
  <c r="K47" i="22"/>
  <c r="A48" i="22"/>
  <c r="B48" i="22"/>
  <c r="C48" i="22"/>
  <c r="D48" i="22"/>
  <c r="E48" i="22"/>
  <c r="A49" i="22"/>
  <c r="B49" i="22"/>
  <c r="C49" i="22"/>
  <c r="D49" i="22"/>
  <c r="E49" i="22"/>
  <c r="J49" i="22"/>
  <c r="A50" i="22"/>
  <c r="B50" i="22"/>
  <c r="C50" i="22"/>
  <c r="D50" i="22"/>
  <c r="E50" i="22"/>
  <c r="F50" i="22"/>
  <c r="H50" i="22"/>
  <c r="A51" i="22"/>
  <c r="B51" i="22"/>
  <c r="C51" i="22"/>
  <c r="D51" i="22"/>
  <c r="J51" i="22"/>
  <c r="A52" i="22"/>
  <c r="B52" i="22"/>
  <c r="C52" i="22"/>
  <c r="D52" i="22"/>
  <c r="I52" i="22"/>
  <c r="J52" i="22"/>
  <c r="A53" i="22"/>
  <c r="B53" i="22"/>
  <c r="C53" i="22"/>
  <c r="D53" i="22"/>
  <c r="E53" i="22"/>
  <c r="F53" i="22"/>
  <c r="H53" i="22"/>
  <c r="I53" i="22"/>
  <c r="J53" i="22"/>
  <c r="A54" i="22"/>
  <c r="B54" i="22"/>
  <c r="C54" i="22"/>
  <c r="D54" i="22"/>
  <c r="I54" i="22"/>
  <c r="A55" i="22"/>
  <c r="B55" i="22"/>
  <c r="C55" i="22"/>
  <c r="D55" i="22"/>
  <c r="E55" i="22"/>
  <c r="F55" i="22"/>
  <c r="H55" i="22"/>
  <c r="A56" i="22"/>
  <c r="B56" i="22"/>
  <c r="C56" i="22"/>
  <c r="D56" i="22"/>
  <c r="J56" i="22"/>
  <c r="A57" i="22"/>
  <c r="B57" i="22"/>
  <c r="C57" i="22"/>
  <c r="D57" i="22"/>
  <c r="H57" i="22"/>
  <c r="J57" i="22"/>
  <c r="A58" i="22"/>
  <c r="B58" i="22"/>
  <c r="C58" i="22"/>
  <c r="D58" i="22"/>
  <c r="I58" i="22"/>
  <c r="A59" i="22"/>
  <c r="B59" i="22"/>
  <c r="C59" i="22"/>
  <c r="D59" i="22"/>
  <c r="E59" i="22"/>
  <c r="I59" i="22"/>
  <c r="J59" i="22"/>
  <c r="A60" i="22"/>
  <c r="B60" i="22"/>
  <c r="C60" i="22"/>
  <c r="D60" i="22"/>
  <c r="E60" i="22"/>
  <c r="F60" i="22"/>
  <c r="H60" i="22"/>
  <c r="I60" i="22"/>
  <c r="J60" i="22"/>
  <c r="A61" i="22"/>
  <c r="B61" i="22"/>
  <c r="C61" i="22"/>
  <c r="D61" i="22"/>
  <c r="E61" i="22"/>
  <c r="B27" i="25" l="1" a="1"/>
  <c r="I25" i="25"/>
  <c r="I12" i="25"/>
  <c r="C12" i="25" a="1"/>
  <c r="I24" i="25"/>
  <c r="I11" i="25"/>
  <c r="H10" i="25" a="1"/>
  <c r="I26" i="25"/>
  <c r="C24" i="25" a="1"/>
  <c r="I27" i="25"/>
  <c r="H26" i="25" a="1"/>
  <c r="H25" i="25" a="1"/>
  <c r="C13" i="25" a="1"/>
  <c r="B11" i="25" a="1"/>
  <c r="B25" i="25" a="1"/>
  <c r="I10" i="25"/>
  <c r="B12" i="25" a="1"/>
  <c r="C10" i="25" a="1"/>
  <c r="B10" i="25" a="1"/>
  <c r="I13" i="25"/>
  <c r="C26" i="25" a="1"/>
  <c r="B24" i="25" a="1"/>
  <c r="C11" i="25" a="1"/>
  <c r="C25" i="25" a="1"/>
  <c r="H12" i="25" a="1"/>
  <c r="B13" i="25" a="1"/>
  <c r="C27" i="25" a="1"/>
  <c r="H24" i="25" a="1"/>
  <c r="H27" i="25" a="1"/>
  <c r="B26" i="25" a="1"/>
  <c r="H13" i="25" a="1"/>
  <c r="H11" i="25" a="1"/>
  <c r="BB38" i="16"/>
  <c r="L38" i="22" s="1"/>
  <c r="K38" i="22"/>
  <c r="CL39" i="16"/>
  <c r="J68" i="16"/>
  <c r="V68" i="16"/>
  <c r="V70" i="16" s="1"/>
  <c r="V77" i="16" s="1"/>
  <c r="W276" i="16"/>
  <c r="N15" i="22" s="1"/>
  <c r="X31" i="16"/>
  <c r="G16" i="22" s="1"/>
  <c r="AI39" i="16"/>
  <c r="AM276" i="16"/>
  <c r="N29" i="22" s="1"/>
  <c r="O29" i="22" s="1"/>
  <c r="AY68" i="16"/>
  <c r="BB31" i="16"/>
  <c r="G38" i="22" s="1"/>
  <c r="BH276" i="16"/>
  <c r="N41" i="22" s="1"/>
  <c r="BJ276" i="16"/>
  <c r="N42" i="22" s="1"/>
  <c r="BL31" i="16"/>
  <c r="G43" i="22" s="1"/>
  <c r="BU276" i="16"/>
  <c r="N47" i="22" s="1"/>
  <c r="BY276" i="16"/>
  <c r="N50" i="22" s="1"/>
  <c r="CB53" i="16"/>
  <c r="CN36" i="16"/>
  <c r="V39" i="16"/>
  <c r="AB276" i="16"/>
  <c r="N20" i="22" s="1"/>
  <c r="AN60" i="16"/>
  <c r="BL39" i="16"/>
  <c r="BB48" i="16"/>
  <c r="BB49" i="16" s="1"/>
  <c r="E15" i="22"/>
  <c r="H46" i="16"/>
  <c r="N31" i="16"/>
  <c r="G8" i="22" s="1"/>
  <c r="Q53" i="16"/>
  <c r="V46" i="16"/>
  <c r="X36" i="16"/>
  <c r="AD53" i="16"/>
  <c r="AD60" i="16" s="1"/>
  <c r="AG276" i="16"/>
  <c r="N24" i="22" s="1"/>
  <c r="AV36" i="16"/>
  <c r="AV276" i="16"/>
  <c r="N33" i="22" s="1"/>
  <c r="BJ53" i="16"/>
  <c r="BJ60" i="16" s="1"/>
  <c r="CD68" i="16"/>
  <c r="CD70" i="16" s="1"/>
  <c r="CN46" i="16"/>
  <c r="BJ70" i="16"/>
  <c r="R276" i="16"/>
  <c r="N11" i="22" s="1"/>
  <c r="S276" i="16"/>
  <c r="N12" i="22" s="1"/>
  <c r="U31" i="16"/>
  <c r="G13" i="22" s="1"/>
  <c r="Y276" i="16"/>
  <c r="N17" i="22" s="1"/>
  <c r="AC46" i="16"/>
  <c r="AG53" i="16"/>
  <c r="AV68" i="16"/>
  <c r="BH46" i="16"/>
  <c r="BS46" i="16"/>
  <c r="BX276" i="16"/>
  <c r="N49" i="22" s="1"/>
  <c r="BY31" i="16"/>
  <c r="G50" i="22" s="1"/>
  <c r="CF60" i="16"/>
  <c r="CK276" i="16"/>
  <c r="N56" i="22" s="1"/>
  <c r="BE26" i="26"/>
  <c r="BE34" i="26"/>
  <c r="BE71" i="26"/>
  <c r="BE228" i="26"/>
  <c r="I36" i="16"/>
  <c r="AI46" i="16"/>
  <c r="AV39" i="16"/>
  <c r="BU60" i="16"/>
  <c r="BV68" i="16"/>
  <c r="CD39" i="16"/>
  <c r="CE53" i="16"/>
  <c r="BL48" i="16"/>
  <c r="BL49" i="16" s="1"/>
  <c r="L68" i="16"/>
  <c r="N68" i="16"/>
  <c r="Q31" i="16"/>
  <c r="G10" i="22" s="1"/>
  <c r="R46" i="16"/>
  <c r="R68" i="16"/>
  <c r="S53" i="16"/>
  <c r="S60" i="16" s="1"/>
  <c r="U36" i="16"/>
  <c r="K13" i="22" s="1"/>
  <c r="X39" i="16"/>
  <c r="AH68" i="16"/>
  <c r="AY46" i="16"/>
  <c r="BB68" i="16"/>
  <c r="BB70" i="16" s="1"/>
  <c r="BB77" i="16" s="1"/>
  <c r="BB78" i="16" s="1"/>
  <c r="BD276" i="16"/>
  <c r="N39" i="22" s="1"/>
  <c r="BL68" i="16"/>
  <c r="BX53" i="16"/>
  <c r="BZ46" i="16"/>
  <c r="CB31" i="16"/>
  <c r="G52" i="22" s="1"/>
  <c r="CF36" i="16"/>
  <c r="K55" i="22" s="1"/>
  <c r="CK53" i="16"/>
  <c r="CL36" i="16"/>
  <c r="K57" i="22" s="1"/>
  <c r="CP31" i="16"/>
  <c r="G59" i="22" s="1"/>
  <c r="I39" i="16"/>
  <c r="N39" i="16"/>
  <c r="Q36" i="16"/>
  <c r="Q39" i="16" s="1"/>
  <c r="Q60" i="16"/>
  <c r="CF46" i="16"/>
  <c r="CP36" i="16"/>
  <c r="U39" i="16"/>
  <c r="Z46" i="16"/>
  <c r="AC60" i="16"/>
  <c r="AD36" i="16"/>
  <c r="AD39" i="16" s="1"/>
  <c r="AD276" i="16"/>
  <c r="N22" i="22" s="1"/>
  <c r="BJ31" i="16"/>
  <c r="G42" i="22" s="1"/>
  <c r="BN68" i="16"/>
  <c r="CE31" i="16"/>
  <c r="G54" i="22" s="1"/>
  <c r="BE48" i="26"/>
  <c r="BE56" i="26"/>
  <c r="J53" i="16"/>
  <c r="K68" i="16"/>
  <c r="M31" i="16"/>
  <c r="G7" i="22" s="1"/>
  <c r="X276" i="16"/>
  <c r="N16" i="22" s="1"/>
  <c r="AD68" i="16"/>
  <c r="AJ36" i="16"/>
  <c r="AJ38" i="16" s="1"/>
  <c r="L27" i="22" s="1"/>
  <c r="AJ68" i="16"/>
  <c r="AK53" i="16"/>
  <c r="AM36" i="16"/>
  <c r="AM39" i="16" s="1"/>
  <c r="AN276" i="16"/>
  <c r="N30" i="22" s="1"/>
  <c r="AU39" i="16"/>
  <c r="CD276" i="16"/>
  <c r="N53" i="22" s="1"/>
  <c r="CN276" i="16"/>
  <c r="N58" i="22" s="1"/>
  <c r="H60" i="16"/>
  <c r="AB46" i="16"/>
  <c r="AF53" i="16"/>
  <c r="AF60" i="16" s="1"/>
  <c r="AH276" i="16"/>
  <c r="N25" i="22" s="1"/>
  <c r="BB276" i="16"/>
  <c r="N38" i="22" s="1"/>
  <c r="BL276" i="16"/>
  <c r="N43" i="22" s="1"/>
  <c r="BN46" i="16"/>
  <c r="CD53" i="16"/>
  <c r="CD60" i="16" s="1"/>
  <c r="CE36" i="16"/>
  <c r="CE39" i="16" s="1"/>
  <c r="CP39" i="16"/>
  <c r="CV36" i="16"/>
  <c r="I276" i="16"/>
  <c r="N3" i="22" s="1"/>
  <c r="N46" i="16"/>
  <c r="X53" i="16"/>
  <c r="Y36" i="16"/>
  <c r="AA31" i="16"/>
  <c r="G19" i="22" s="1"/>
  <c r="AI31" i="16"/>
  <c r="G26" i="22" s="1"/>
  <c r="BM31" i="16"/>
  <c r="G44" i="22" s="1"/>
  <c r="BU38" i="16"/>
  <c r="CV276" i="16"/>
  <c r="N61" i="22" s="1"/>
  <c r="E4" i="22"/>
  <c r="AW276" i="16"/>
  <c r="N34" i="22" s="1"/>
  <c r="H36" i="16"/>
  <c r="H39" i="16" s="1"/>
  <c r="N60" i="16"/>
  <c r="Z53" i="16"/>
  <c r="AC31" i="16"/>
  <c r="G21" i="22" s="1"/>
  <c r="AI36" i="16"/>
  <c r="AI60" i="16"/>
  <c r="BB60" i="16"/>
  <c r="BL60" i="16"/>
  <c r="BX68" i="16"/>
  <c r="CK36" i="16"/>
  <c r="CK39" i="16" s="1"/>
  <c r="CK68" i="16"/>
  <c r="CL276" i="16"/>
  <c r="N57" i="22" s="1"/>
  <c r="CV39" i="16"/>
  <c r="M276" i="16"/>
  <c r="N7" i="22" s="1"/>
  <c r="H276" i="16"/>
  <c r="N2" i="22" s="1"/>
  <c r="I53" i="16"/>
  <c r="I60" i="16" s="1"/>
  <c r="Y39" i="16"/>
  <c r="AI68" i="16"/>
  <c r="AI70" i="16" s="1"/>
  <c r="AI77" i="16" s="1"/>
  <c r="AJ276" i="16"/>
  <c r="N27" i="22" s="1"/>
  <c r="BM68" i="16"/>
  <c r="BS31" i="16"/>
  <c r="G46" i="22" s="1"/>
  <c r="BZ60" i="16"/>
  <c r="CB276" i="16"/>
  <c r="N52" i="22" s="1"/>
  <c r="CE46" i="16"/>
  <c r="CN60" i="16"/>
  <c r="U276" i="16"/>
  <c r="N13" i="22" s="1"/>
  <c r="J276" i="16"/>
  <c r="N4" i="22" s="1"/>
  <c r="K276" i="16"/>
  <c r="N5" i="22" s="1"/>
  <c r="L31" i="16"/>
  <c r="G6" i="22" s="1"/>
  <c r="M46" i="16"/>
  <c r="O68" i="16"/>
  <c r="O70" i="16" s="1"/>
  <c r="V36" i="16"/>
  <c r="V276" i="16"/>
  <c r="N14" i="22" s="1"/>
  <c r="W46" i="16"/>
  <c r="AB53" i="16"/>
  <c r="AU53" i="16"/>
  <c r="AU60" i="16" s="1"/>
  <c r="AW68" i="16"/>
  <c r="AW70" i="16" s="1"/>
  <c r="AY36" i="16"/>
  <c r="AY39" i="16" s="1"/>
  <c r="BF53" i="16"/>
  <c r="BF60" i="16" s="1"/>
  <c r="BJ46" i="16"/>
  <c r="BS36" i="16"/>
  <c r="K46" i="22" s="1"/>
  <c r="BZ68" i="16"/>
  <c r="BZ70" i="16" s="1"/>
  <c r="CD31" i="16"/>
  <c r="G53" i="22" s="1"/>
  <c r="CN68" i="16"/>
  <c r="BE28" i="26"/>
  <c r="BE89" i="26"/>
  <c r="BE153" i="26"/>
  <c r="BE185" i="26"/>
  <c r="BE291" i="26"/>
  <c r="BE427" i="26"/>
  <c r="BE459" i="26"/>
  <c r="BE739" i="26"/>
  <c r="AY38" i="16"/>
  <c r="L36" i="22" s="1"/>
  <c r="CN38" i="16"/>
  <c r="L58" i="22" s="1"/>
  <c r="K58" i="22"/>
  <c r="CD38" i="16"/>
  <c r="L53" i="22" s="1"/>
  <c r="K53" i="22"/>
  <c r="CN39" i="16"/>
  <c r="X38" i="16"/>
  <c r="L16" i="22" s="1"/>
  <c r="K16" i="22"/>
  <c r="AV38" i="16"/>
  <c r="L33" i="22" s="1"/>
  <c r="K33" i="22"/>
  <c r="CN48" i="16"/>
  <c r="CN49" i="16" s="1"/>
  <c r="CF39" i="16"/>
  <c r="K2" i="22"/>
  <c r="S70" i="16"/>
  <c r="E41" i="22"/>
  <c r="H31" i="16"/>
  <c r="G2" i="22" s="1"/>
  <c r="AM60" i="16"/>
  <c r="BL30" i="26"/>
  <c r="BN30" i="26"/>
  <c r="BM30" i="26"/>
  <c r="BK30" i="26"/>
  <c r="BN214" i="26"/>
  <c r="BL214" i="26"/>
  <c r="BM214" i="26"/>
  <c r="BK214" i="26"/>
  <c r="BL522" i="26"/>
  <c r="BN522" i="26"/>
  <c r="BM522" i="26"/>
  <c r="BK522" i="26"/>
  <c r="BK526" i="26"/>
  <c r="BM526" i="26"/>
  <c r="BN526" i="26"/>
  <c r="BL526" i="26"/>
  <c r="BN566" i="26"/>
  <c r="BL566" i="26"/>
  <c r="BM566" i="26"/>
  <c r="BK566" i="26"/>
  <c r="BL606" i="26"/>
  <c r="BM606" i="26"/>
  <c r="BK606" i="26"/>
  <c r="BN606" i="26"/>
  <c r="BN770" i="26"/>
  <c r="BL770" i="26"/>
  <c r="BK770" i="26"/>
  <c r="BM770" i="26"/>
  <c r="BN790" i="26"/>
  <c r="BK790" i="26"/>
  <c r="BL790" i="26"/>
  <c r="BM790" i="26"/>
  <c r="I56" i="22"/>
  <c r="H13" i="22"/>
  <c r="AI276" i="16"/>
  <c r="N26" i="22" s="1"/>
  <c r="O31" i="16"/>
  <c r="G9" i="22" s="1"/>
  <c r="Q68" i="16"/>
  <c r="Q70" i="16" s="1"/>
  <c r="AH60" i="16"/>
  <c r="AK60" i="16"/>
  <c r="BD31" i="16"/>
  <c r="G39" i="22" s="1"/>
  <c r="BF70" i="16"/>
  <c r="BS60" i="16"/>
  <c r="CR31" i="16"/>
  <c r="G60" i="22" s="1"/>
  <c r="BM15" i="26"/>
  <c r="BK15" i="26"/>
  <c r="BN15" i="26"/>
  <c r="BL15" i="26"/>
  <c r="BK21" i="26"/>
  <c r="BL21" i="26"/>
  <c r="BM21" i="26"/>
  <c r="BN21" i="26"/>
  <c r="BN41" i="26"/>
  <c r="BL41" i="26"/>
  <c r="BK41" i="26"/>
  <c r="BM41" i="26"/>
  <c r="BK61" i="26"/>
  <c r="BN61" i="26"/>
  <c r="BM61" i="26"/>
  <c r="BL61" i="26"/>
  <c r="BM81" i="26"/>
  <c r="BN81" i="26"/>
  <c r="BL81" i="26"/>
  <c r="BK81" i="26"/>
  <c r="BK121" i="26"/>
  <c r="BN121" i="26"/>
  <c r="BM121" i="26"/>
  <c r="BL121" i="26"/>
  <c r="BK161" i="26"/>
  <c r="BM161" i="26"/>
  <c r="BL161" i="26"/>
  <c r="BN161" i="26"/>
  <c r="BK165" i="26"/>
  <c r="BL165" i="26"/>
  <c r="BN165" i="26"/>
  <c r="BM165" i="26"/>
  <c r="BM185" i="26"/>
  <c r="BL185" i="26"/>
  <c r="BN185" i="26"/>
  <c r="BK185" i="26"/>
  <c r="BK205" i="26"/>
  <c r="BN205" i="26"/>
  <c r="BL205" i="26"/>
  <c r="BM205" i="26"/>
  <c r="BK225" i="26"/>
  <c r="BL225" i="26"/>
  <c r="BN225" i="26"/>
  <c r="BM225" i="26"/>
  <c r="BL265" i="26"/>
  <c r="BN265" i="26"/>
  <c r="BM265" i="26"/>
  <c r="BK265" i="26"/>
  <c r="BK285" i="26"/>
  <c r="BL285" i="26"/>
  <c r="BM285" i="26"/>
  <c r="BN285" i="26"/>
  <c r="BL305" i="26"/>
  <c r="BM305" i="26"/>
  <c r="BN305" i="26"/>
  <c r="BK305" i="26"/>
  <c r="BL289" i="26"/>
  <c r="BM289" i="26"/>
  <c r="BN289" i="26"/>
  <c r="BK289" i="26"/>
  <c r="BK309" i="26"/>
  <c r="BN309" i="26"/>
  <c r="BL309" i="26"/>
  <c r="BM309" i="26"/>
  <c r="BM329" i="26"/>
  <c r="BN329" i="26"/>
  <c r="BK329" i="26"/>
  <c r="BL329" i="26"/>
  <c r="BK349" i="26"/>
  <c r="BL349" i="26"/>
  <c r="BN349" i="26"/>
  <c r="BM349" i="26"/>
  <c r="BM369" i="26"/>
  <c r="BN369" i="26"/>
  <c r="BK369" i="26"/>
  <c r="BL369" i="26"/>
  <c r="BK389" i="26"/>
  <c r="BL389" i="26"/>
  <c r="BM389" i="26"/>
  <c r="BN389" i="26"/>
  <c r="BL409" i="26"/>
  <c r="BM409" i="26"/>
  <c r="BN409" i="26"/>
  <c r="BK409" i="26"/>
  <c r="BM429" i="26"/>
  <c r="BN429" i="26"/>
  <c r="BK429" i="26"/>
  <c r="BL429" i="26"/>
  <c r="BK449" i="26"/>
  <c r="BL449" i="26"/>
  <c r="BN449" i="26"/>
  <c r="BM449" i="26"/>
  <c r="BN433" i="26"/>
  <c r="BK433" i="26"/>
  <c r="BL433" i="26"/>
  <c r="BM433" i="26"/>
  <c r="BM453" i="26"/>
  <c r="BK453" i="26"/>
  <c r="BN453" i="26"/>
  <c r="BL453" i="26"/>
  <c r="BN473" i="26"/>
  <c r="BK473" i="26"/>
  <c r="BL473" i="26"/>
  <c r="BM473" i="26"/>
  <c r="BK493" i="26"/>
  <c r="BM493" i="26"/>
  <c r="BL493" i="26"/>
  <c r="BN493" i="26"/>
  <c r="BK533" i="26"/>
  <c r="BN533" i="26"/>
  <c r="BM533" i="26"/>
  <c r="BL533" i="26"/>
  <c r="BM573" i="26"/>
  <c r="BN573" i="26"/>
  <c r="BL573" i="26"/>
  <c r="BK573" i="26"/>
  <c r="BN593" i="26"/>
  <c r="BL593" i="26"/>
  <c r="BM593" i="26"/>
  <c r="BK593" i="26"/>
  <c r="BK577" i="26"/>
  <c r="BL577" i="26"/>
  <c r="BM577" i="26"/>
  <c r="BN577" i="26"/>
  <c r="BM597" i="26"/>
  <c r="BK597" i="26"/>
  <c r="BL597" i="26"/>
  <c r="BN597" i="26"/>
  <c r="BL617" i="26"/>
  <c r="BK617" i="26"/>
  <c r="BM617" i="26"/>
  <c r="BN617" i="26"/>
  <c r="BK657" i="26"/>
  <c r="BL657" i="26"/>
  <c r="BM657" i="26"/>
  <c r="BN657" i="26"/>
  <c r="BL697" i="26"/>
  <c r="BM697" i="26"/>
  <c r="BK697" i="26"/>
  <c r="BN697" i="26"/>
  <c r="BM717" i="26"/>
  <c r="BL717" i="26"/>
  <c r="BN717" i="26"/>
  <c r="BK717" i="26"/>
  <c r="BM737" i="26"/>
  <c r="BN737" i="26"/>
  <c r="BL737" i="26"/>
  <c r="BK737" i="26"/>
  <c r="BM721" i="26"/>
  <c r="BN721" i="26"/>
  <c r="BK721" i="26"/>
  <c r="BL721" i="26"/>
  <c r="BK741" i="26"/>
  <c r="BN741" i="26"/>
  <c r="BM741" i="26"/>
  <c r="BL741" i="26"/>
  <c r="BN761" i="26"/>
  <c r="BL761" i="26"/>
  <c r="BM761" i="26"/>
  <c r="BK761" i="26"/>
  <c r="E32" i="22"/>
  <c r="O36" i="16"/>
  <c r="O39" i="16" s="1"/>
  <c r="U68" i="16"/>
  <c r="AA36" i="16"/>
  <c r="AA39" i="16" s="1"/>
  <c r="AD46" i="16"/>
  <c r="AH36" i="16"/>
  <c r="AH39" i="16" s="1"/>
  <c r="AM68" i="16"/>
  <c r="AP31" i="16"/>
  <c r="G31" i="22" s="1"/>
  <c r="BM36" i="16"/>
  <c r="BM39" i="16" s="1"/>
  <c r="BY36" i="16"/>
  <c r="BY39" i="16" s="1"/>
  <c r="CR36" i="16"/>
  <c r="CR39" i="16" s="1"/>
  <c r="CR60" i="16"/>
  <c r="BK48" i="26"/>
  <c r="BM48" i="26"/>
  <c r="BN48" i="26"/>
  <c r="BL48" i="26"/>
  <c r="BL68" i="26"/>
  <c r="BM68" i="26"/>
  <c r="BK68" i="26"/>
  <c r="BN68" i="26"/>
  <c r="BL88" i="26"/>
  <c r="BK88" i="26"/>
  <c r="BN88" i="26"/>
  <c r="BM88" i="26"/>
  <c r="BK108" i="26"/>
  <c r="BN108" i="26"/>
  <c r="BM108" i="26"/>
  <c r="BL108" i="26"/>
  <c r="BK92" i="26"/>
  <c r="BN92" i="26"/>
  <c r="BM92" i="26"/>
  <c r="BL92" i="26"/>
  <c r="BK112" i="26"/>
  <c r="BM112" i="26"/>
  <c r="BN112" i="26"/>
  <c r="BL112" i="26"/>
  <c r="BK132" i="26"/>
  <c r="BM132" i="26"/>
  <c r="BL132" i="26"/>
  <c r="BN132" i="26"/>
  <c r="BK152" i="26"/>
  <c r="BN152" i="26"/>
  <c r="BL152" i="26"/>
  <c r="BM152" i="26"/>
  <c r="BM172" i="26"/>
  <c r="BL172" i="26"/>
  <c r="BK172" i="26"/>
  <c r="BN172" i="26"/>
  <c r="BK192" i="26"/>
  <c r="BN192" i="26"/>
  <c r="BL192" i="26"/>
  <c r="BM192" i="26"/>
  <c r="BK212" i="26"/>
  <c r="BM212" i="26"/>
  <c r="BN212" i="26"/>
  <c r="BL212" i="26"/>
  <c r="BL232" i="26"/>
  <c r="BM232" i="26"/>
  <c r="BN232" i="26"/>
  <c r="BK232" i="26"/>
  <c r="BM252" i="26"/>
  <c r="BN252" i="26"/>
  <c r="BK252" i="26"/>
  <c r="BL252" i="26"/>
  <c r="BM236" i="26"/>
  <c r="BL236" i="26"/>
  <c r="BN236" i="26"/>
  <c r="BK236" i="26"/>
  <c r="BK276" i="26"/>
  <c r="BM276" i="26"/>
  <c r="BL276" i="26"/>
  <c r="BN276" i="26"/>
  <c r="BM296" i="26"/>
  <c r="BN296" i="26"/>
  <c r="BL296" i="26"/>
  <c r="BK296" i="26"/>
  <c r="BK316" i="26"/>
  <c r="BN316" i="26"/>
  <c r="BM316" i="26"/>
  <c r="BL316" i="26"/>
  <c r="BK336" i="26"/>
  <c r="BN336" i="26"/>
  <c r="BL336" i="26"/>
  <c r="BM336" i="26"/>
  <c r="BK356" i="26"/>
  <c r="BN356" i="26"/>
  <c r="BL356" i="26"/>
  <c r="BM356" i="26"/>
  <c r="BL376" i="26"/>
  <c r="BK376" i="26"/>
  <c r="BM376" i="26"/>
  <c r="BN376" i="26"/>
  <c r="BK396" i="26"/>
  <c r="BL396" i="26"/>
  <c r="BN396" i="26"/>
  <c r="BM396" i="26"/>
  <c r="BN380" i="26"/>
  <c r="BL380" i="26"/>
  <c r="BM380" i="26"/>
  <c r="BK380" i="26"/>
  <c r="BK400" i="26"/>
  <c r="BM400" i="26"/>
  <c r="BN400" i="26"/>
  <c r="BL400" i="26"/>
  <c r="BK420" i="26"/>
  <c r="BM420" i="26"/>
  <c r="BN420" i="26"/>
  <c r="BL420" i="26"/>
  <c r="BK440" i="26"/>
  <c r="BL440" i="26"/>
  <c r="BM440" i="26"/>
  <c r="BN440" i="26"/>
  <c r="BL460" i="26"/>
  <c r="BK460" i="26"/>
  <c r="BM460" i="26"/>
  <c r="BN460" i="26"/>
  <c r="BK480" i="26"/>
  <c r="BL480" i="26"/>
  <c r="BM480" i="26"/>
  <c r="BN480" i="26"/>
  <c r="BL500" i="26"/>
  <c r="BK500" i="26"/>
  <c r="BM500" i="26"/>
  <c r="BN500" i="26"/>
  <c r="BL520" i="26"/>
  <c r="BK520" i="26"/>
  <c r="BN520" i="26"/>
  <c r="BM520" i="26"/>
  <c r="BK540" i="26"/>
  <c r="BN540" i="26"/>
  <c r="BM540" i="26"/>
  <c r="BL540" i="26"/>
  <c r="BM524" i="26"/>
  <c r="BN524" i="26"/>
  <c r="BK524" i="26"/>
  <c r="BL524" i="26"/>
  <c r="BN564" i="26"/>
  <c r="BL564" i="26"/>
  <c r="BM564" i="26"/>
  <c r="BK564" i="26"/>
  <c r="BK584" i="26"/>
  <c r="BM584" i="26"/>
  <c r="BN584" i="26"/>
  <c r="BL584" i="26"/>
  <c r="BN604" i="26"/>
  <c r="BK604" i="26"/>
  <c r="BL604" i="26"/>
  <c r="BM604" i="26"/>
  <c r="BM644" i="26"/>
  <c r="BN644" i="26"/>
  <c r="BK644" i="26"/>
  <c r="BL644" i="26"/>
  <c r="BK664" i="26"/>
  <c r="BN664" i="26"/>
  <c r="BM664" i="26"/>
  <c r="BL664" i="26"/>
  <c r="BL684" i="26"/>
  <c r="BN684" i="26"/>
  <c r="BK684" i="26"/>
  <c r="BM684" i="26"/>
  <c r="BM668" i="26"/>
  <c r="BN668" i="26"/>
  <c r="BL668" i="26"/>
  <c r="BK668" i="26"/>
  <c r="BK688" i="26"/>
  <c r="BN688" i="26"/>
  <c r="BL688" i="26"/>
  <c r="BM688" i="26"/>
  <c r="BN708" i="26"/>
  <c r="BL708" i="26"/>
  <c r="BM708" i="26"/>
  <c r="BK708" i="26"/>
  <c r="BL728" i="26"/>
  <c r="BK728" i="26"/>
  <c r="BM728" i="26"/>
  <c r="BN728" i="26"/>
  <c r="BM748" i="26"/>
  <c r="BN748" i="26"/>
  <c r="BK748" i="26"/>
  <c r="BL748" i="26"/>
  <c r="BM768" i="26"/>
  <c r="BK768" i="26"/>
  <c r="BN768" i="26"/>
  <c r="BL768" i="26"/>
  <c r="BN788" i="26"/>
  <c r="BK788" i="26"/>
  <c r="BL788" i="26"/>
  <c r="BM788" i="26"/>
  <c r="BE61" i="26"/>
  <c r="BE343" i="26"/>
  <c r="BE351" i="26"/>
  <c r="BE399" i="26"/>
  <c r="H16" i="22"/>
  <c r="E13" i="22"/>
  <c r="H3" i="22"/>
  <c r="I68" i="16"/>
  <c r="W60" i="16"/>
  <c r="X60" i="16"/>
  <c r="Y46" i="16"/>
  <c r="AA68" i="16"/>
  <c r="AJ53" i="16"/>
  <c r="AJ60" i="16" s="1"/>
  <c r="AV46" i="16"/>
  <c r="BN53" i="16"/>
  <c r="BN60" i="16" s="1"/>
  <c r="BN70" i="16" s="1"/>
  <c r="BN77" i="16" s="1"/>
  <c r="CB60" i="16"/>
  <c r="CE68" i="16"/>
  <c r="BK13" i="26"/>
  <c r="BL13" i="26"/>
  <c r="BN13" i="26"/>
  <c r="BM13" i="26"/>
  <c r="BL35" i="26"/>
  <c r="BM35" i="26"/>
  <c r="BK35" i="26"/>
  <c r="BN35" i="26"/>
  <c r="BN19" i="26"/>
  <c r="BM19" i="26"/>
  <c r="BL19" i="26"/>
  <c r="BK19" i="26"/>
  <c r="BL39" i="26"/>
  <c r="BK39" i="26"/>
  <c r="BM39" i="26"/>
  <c r="BN39" i="26"/>
  <c r="BL59" i="26"/>
  <c r="BK59" i="26"/>
  <c r="BM59" i="26"/>
  <c r="BN59" i="26"/>
  <c r="BK79" i="26"/>
  <c r="BN79" i="26"/>
  <c r="BM79" i="26"/>
  <c r="BL79" i="26"/>
  <c r="BK99" i="26"/>
  <c r="BL99" i="26"/>
  <c r="BN99" i="26"/>
  <c r="BM99" i="26"/>
  <c r="BN119" i="26"/>
  <c r="BL119" i="26"/>
  <c r="BM119" i="26"/>
  <c r="BK119" i="26"/>
  <c r="BM139" i="26"/>
  <c r="BN139" i="26"/>
  <c r="BK139" i="26"/>
  <c r="BL139" i="26"/>
  <c r="BK179" i="26"/>
  <c r="BM179" i="26"/>
  <c r="BL179" i="26"/>
  <c r="BN179" i="26"/>
  <c r="BK163" i="26"/>
  <c r="BL163" i="26"/>
  <c r="BN163" i="26"/>
  <c r="BM163" i="26"/>
  <c r="BL183" i="26"/>
  <c r="BN183" i="26"/>
  <c r="BM183" i="26"/>
  <c r="BK183" i="26"/>
  <c r="BL203" i="26"/>
  <c r="BN203" i="26"/>
  <c r="BK203" i="26"/>
  <c r="BM203" i="26"/>
  <c r="BK223" i="26"/>
  <c r="BM223" i="26"/>
  <c r="BL223" i="26"/>
  <c r="BN223" i="26"/>
  <c r="BM263" i="26"/>
  <c r="BN263" i="26"/>
  <c r="BK263" i="26"/>
  <c r="BL263" i="26"/>
  <c r="BM283" i="26"/>
  <c r="BL283" i="26"/>
  <c r="BK283" i="26"/>
  <c r="BN283" i="26"/>
  <c r="BK303" i="26"/>
  <c r="BM303" i="26"/>
  <c r="BL303" i="26"/>
  <c r="BN303" i="26"/>
  <c r="BM323" i="26"/>
  <c r="BK323" i="26"/>
  <c r="BL323" i="26"/>
  <c r="BN323" i="26"/>
  <c r="BN307" i="26"/>
  <c r="BM307" i="26"/>
  <c r="BK307" i="26"/>
  <c r="BL307" i="26"/>
  <c r="BN327" i="26"/>
  <c r="BK327" i="26"/>
  <c r="BM327" i="26"/>
  <c r="BL327" i="26"/>
  <c r="BK347" i="26"/>
  <c r="BL347" i="26"/>
  <c r="BM347" i="26"/>
  <c r="BN347" i="26"/>
  <c r="BL367" i="26"/>
  <c r="BN367" i="26"/>
  <c r="BK367" i="26"/>
  <c r="BM367" i="26"/>
  <c r="BK387" i="26"/>
  <c r="BL387" i="26"/>
  <c r="BN387" i="26"/>
  <c r="BM387" i="26"/>
  <c r="BN407" i="26"/>
  <c r="BK407" i="26"/>
  <c r="BL407" i="26"/>
  <c r="BM407" i="26"/>
  <c r="BM427" i="26"/>
  <c r="BN427" i="26"/>
  <c r="BL427" i="26"/>
  <c r="BK427" i="26"/>
  <c r="BM447" i="26"/>
  <c r="BK447" i="26"/>
  <c r="BL447" i="26"/>
  <c r="BN447" i="26"/>
  <c r="BL467" i="26"/>
  <c r="BN467" i="26"/>
  <c r="BM467" i="26"/>
  <c r="BK467" i="26"/>
  <c r="BM451" i="26"/>
  <c r="BK451" i="26"/>
  <c r="BL451" i="26"/>
  <c r="BN451" i="26"/>
  <c r="BL491" i="26"/>
  <c r="BN491" i="26"/>
  <c r="BM491" i="26"/>
  <c r="BK491" i="26"/>
  <c r="BN571" i="26"/>
  <c r="BM571" i="26"/>
  <c r="BL571" i="26"/>
  <c r="BK571" i="26"/>
  <c r="BM591" i="26"/>
  <c r="BL591" i="26"/>
  <c r="BN591" i="26"/>
  <c r="BK591" i="26"/>
  <c r="BM611" i="26"/>
  <c r="BN611" i="26"/>
  <c r="BK611" i="26"/>
  <c r="BL611" i="26"/>
  <c r="BM595" i="26"/>
  <c r="BK595" i="26"/>
  <c r="BL595" i="26"/>
  <c r="BN595" i="26"/>
  <c r="BN615" i="26"/>
  <c r="BM615" i="26"/>
  <c r="BK615" i="26"/>
  <c r="BL615" i="26"/>
  <c r="BL635" i="26"/>
  <c r="BK635" i="26"/>
  <c r="BN635" i="26"/>
  <c r="BM635" i="26"/>
  <c r="BM695" i="26"/>
  <c r="BN695" i="26"/>
  <c r="BL695" i="26"/>
  <c r="BK695" i="26"/>
  <c r="BM715" i="26"/>
  <c r="BK715" i="26"/>
  <c r="BN715" i="26"/>
  <c r="BL715" i="26"/>
  <c r="BL735" i="26"/>
  <c r="BM735" i="26"/>
  <c r="BN735" i="26"/>
  <c r="BK735" i="26"/>
  <c r="BK755" i="26"/>
  <c r="BL755" i="26"/>
  <c r="BN755" i="26"/>
  <c r="BM755" i="26"/>
  <c r="BN739" i="26"/>
  <c r="BL739" i="26"/>
  <c r="BK739" i="26"/>
  <c r="BM739" i="26"/>
  <c r="BL26" i="26"/>
  <c r="BK26" i="26"/>
  <c r="BM26" i="26"/>
  <c r="BN26" i="26"/>
  <c r="BK46" i="26"/>
  <c r="BN46" i="26"/>
  <c r="BL46" i="26"/>
  <c r="BM46" i="26"/>
  <c r="BK66" i="26"/>
  <c r="BN66" i="26"/>
  <c r="BM66" i="26"/>
  <c r="BL66" i="26"/>
  <c r="BN86" i="26"/>
  <c r="BK86" i="26"/>
  <c r="BL86" i="26"/>
  <c r="BM86" i="26"/>
  <c r="BK106" i="26"/>
  <c r="BM106" i="26"/>
  <c r="BL106" i="26"/>
  <c r="BN106" i="26"/>
  <c r="BN126" i="26"/>
  <c r="BK126" i="26"/>
  <c r="BM126" i="26"/>
  <c r="BL126" i="26"/>
  <c r="BN110" i="26"/>
  <c r="BM110" i="26"/>
  <c r="BK110" i="26"/>
  <c r="BL110" i="26"/>
  <c r="BK130" i="26"/>
  <c r="BM130" i="26"/>
  <c r="BL130" i="26"/>
  <c r="BN130" i="26"/>
  <c r="BK150" i="26"/>
  <c r="BN150" i="26"/>
  <c r="BM150" i="26"/>
  <c r="BL150" i="26"/>
  <c r="BL170" i="26"/>
  <c r="BK170" i="26"/>
  <c r="BM170" i="26"/>
  <c r="BN170" i="26"/>
  <c r="BM190" i="26"/>
  <c r="BK190" i="26"/>
  <c r="BL190" i="26"/>
  <c r="BN190" i="26"/>
  <c r="BL210" i="26"/>
  <c r="BK210" i="26"/>
  <c r="BM210" i="26"/>
  <c r="BN210" i="26"/>
  <c r="BM230" i="26"/>
  <c r="BN230" i="26"/>
  <c r="BK230" i="26"/>
  <c r="BL230" i="26"/>
  <c r="BK250" i="26"/>
  <c r="BN250" i="26"/>
  <c r="BL250" i="26"/>
  <c r="BM250" i="26"/>
  <c r="BM270" i="26"/>
  <c r="BK270" i="26"/>
  <c r="BL270" i="26"/>
  <c r="BN270" i="26"/>
  <c r="BK274" i="26"/>
  <c r="BN274" i="26"/>
  <c r="BL274" i="26"/>
  <c r="BM274" i="26"/>
  <c r="BK314" i="26"/>
  <c r="BM314" i="26"/>
  <c r="BL314" i="26"/>
  <c r="BN314" i="26"/>
  <c r="BM334" i="26"/>
  <c r="BN334" i="26"/>
  <c r="BL334" i="26"/>
  <c r="BK334" i="26"/>
  <c r="BK354" i="26"/>
  <c r="BN354" i="26"/>
  <c r="BL354" i="26"/>
  <c r="BM354" i="26"/>
  <c r="BM374" i="26"/>
  <c r="BL374" i="26"/>
  <c r="BK374" i="26"/>
  <c r="BN374" i="26"/>
  <c r="BK394" i="26"/>
  <c r="BM394" i="26"/>
  <c r="BL394" i="26"/>
  <c r="BN394" i="26"/>
  <c r="BN414" i="26"/>
  <c r="BL414" i="26"/>
  <c r="BM414" i="26"/>
  <c r="BK414" i="26"/>
  <c r="BN418" i="26"/>
  <c r="BL418" i="26"/>
  <c r="BK418" i="26"/>
  <c r="BM418" i="26"/>
  <c r="BL438" i="26"/>
  <c r="BK438" i="26"/>
  <c r="BN438" i="26"/>
  <c r="BM438" i="26"/>
  <c r="BL458" i="26"/>
  <c r="BN458" i="26"/>
  <c r="BK458" i="26"/>
  <c r="BM458" i="26"/>
  <c r="BK478" i="26"/>
  <c r="BL478" i="26"/>
  <c r="BN478" i="26"/>
  <c r="BM478" i="26"/>
  <c r="BK498" i="26"/>
  <c r="BM498" i="26"/>
  <c r="BN498" i="26"/>
  <c r="BL498" i="26"/>
  <c r="BK518" i="26"/>
  <c r="BN518" i="26"/>
  <c r="BL518" i="26"/>
  <c r="BM518" i="26"/>
  <c r="BM538" i="26"/>
  <c r="BL538" i="26"/>
  <c r="BN538" i="26"/>
  <c r="BK538" i="26"/>
  <c r="BK582" i="26"/>
  <c r="BL582" i="26"/>
  <c r="BM582" i="26"/>
  <c r="BN582" i="26"/>
  <c r="BL602" i="26"/>
  <c r="BN602" i="26"/>
  <c r="BM602" i="26"/>
  <c r="BK602" i="26"/>
  <c r="BN682" i="26"/>
  <c r="BM682" i="26"/>
  <c r="BK682" i="26"/>
  <c r="BL682" i="26"/>
  <c r="BK702" i="26"/>
  <c r="BN702" i="26"/>
  <c r="BL702" i="26"/>
  <c r="BM702" i="26"/>
  <c r="BL706" i="26"/>
  <c r="BM706" i="26"/>
  <c r="BN706" i="26"/>
  <c r="BK706" i="26"/>
  <c r="BM726" i="26"/>
  <c r="BN726" i="26"/>
  <c r="BK726" i="26"/>
  <c r="BL726" i="26"/>
  <c r="BL746" i="26"/>
  <c r="BM746" i="26"/>
  <c r="BN746" i="26"/>
  <c r="BK746" i="26"/>
  <c r="BK766" i="26"/>
  <c r="BN766" i="26"/>
  <c r="BM766" i="26"/>
  <c r="BL766" i="26"/>
  <c r="BM786" i="26"/>
  <c r="BL786" i="26"/>
  <c r="BN786" i="26"/>
  <c r="BK786" i="26"/>
  <c r="BE11" i="26"/>
  <c r="BE35" i="26"/>
  <c r="BE136" i="26"/>
  <c r="BE160" i="26"/>
  <c r="BE266" i="26"/>
  <c r="BE274" i="26"/>
  <c r="BE314" i="26"/>
  <c r="BE362" i="26"/>
  <c r="H51" i="22"/>
  <c r="J8" i="22"/>
  <c r="I31" i="16"/>
  <c r="G3" i="22" s="1"/>
  <c r="AJ46" i="16"/>
  <c r="CE60" i="16"/>
  <c r="E51" i="22"/>
  <c r="H61" i="22"/>
  <c r="H54" i="22"/>
  <c r="I33" i="22"/>
  <c r="K60" i="16"/>
  <c r="L46" i="16"/>
  <c r="R60" i="16"/>
  <c r="R70" i="16" s="1"/>
  <c r="R77" i="16" s="1"/>
  <c r="U46" i="16"/>
  <c r="AC36" i="16"/>
  <c r="AC39" i="16" s="1"/>
  <c r="AM46" i="16"/>
  <c r="AP36" i="16"/>
  <c r="AU70" i="16"/>
  <c r="AY48" i="16"/>
  <c r="AY49" i="16" s="1"/>
  <c r="AZ60" i="16"/>
  <c r="BD60" i="16"/>
  <c r="BU68" i="16"/>
  <c r="BU70" i="16" s="1"/>
  <c r="BZ77" i="16"/>
  <c r="CL46" i="16"/>
  <c r="CR68" i="16"/>
  <c r="CR70" i="16" s="1"/>
  <c r="BB39" i="16"/>
  <c r="F61" i="22"/>
  <c r="E47" i="22"/>
  <c r="H21" i="22"/>
  <c r="H6" i="22"/>
  <c r="K31" i="16"/>
  <c r="G5" i="22" s="1"/>
  <c r="M53" i="16"/>
  <c r="M60" i="16" s="1"/>
  <c r="S36" i="16"/>
  <c r="S39" i="16" s="1"/>
  <c r="AW31" i="16"/>
  <c r="G34" i="22" s="1"/>
  <c r="AX68" i="16"/>
  <c r="BD36" i="16"/>
  <c r="BD68" i="16"/>
  <c r="BH53" i="16"/>
  <c r="BH60" i="16" s="1"/>
  <c r="BM46" i="16"/>
  <c r="BV46" i="16"/>
  <c r="BX31" i="16"/>
  <c r="G49" i="22" s="1"/>
  <c r="BY68" i="16"/>
  <c r="CL68" i="16"/>
  <c r="BM11" i="26"/>
  <c r="BK11" i="26"/>
  <c r="BN11" i="26"/>
  <c r="BL11" i="26"/>
  <c r="BL33" i="26"/>
  <c r="BM33" i="26"/>
  <c r="BN33" i="26"/>
  <c r="BK33" i="26"/>
  <c r="BM53" i="26"/>
  <c r="BL53" i="26"/>
  <c r="BK53" i="26"/>
  <c r="BN53" i="26"/>
  <c r="BL57" i="26"/>
  <c r="BN57" i="26"/>
  <c r="BK57" i="26"/>
  <c r="BM57" i="26"/>
  <c r="BK77" i="26"/>
  <c r="BN77" i="26"/>
  <c r="BM77" i="26"/>
  <c r="BL77" i="26"/>
  <c r="BM117" i="26"/>
  <c r="BK117" i="26"/>
  <c r="BN117" i="26"/>
  <c r="BL117" i="26"/>
  <c r="BN137" i="26"/>
  <c r="BM137" i="26"/>
  <c r="BK137" i="26"/>
  <c r="BL137" i="26"/>
  <c r="BL157" i="26"/>
  <c r="BN157" i="26"/>
  <c r="BK157" i="26"/>
  <c r="BM157" i="26"/>
  <c r="BN177" i="26"/>
  <c r="BL177" i="26"/>
  <c r="BK177" i="26"/>
  <c r="BM177" i="26"/>
  <c r="BL181" i="26"/>
  <c r="BM181" i="26"/>
  <c r="BK181" i="26"/>
  <c r="BN181" i="26"/>
  <c r="BL221" i="26"/>
  <c r="BK221" i="26"/>
  <c r="BM221" i="26"/>
  <c r="BN221" i="26"/>
  <c r="BM241" i="26"/>
  <c r="BN241" i="26"/>
  <c r="BL241" i="26"/>
  <c r="BK241" i="26"/>
  <c r="BM261" i="26"/>
  <c r="BN261" i="26"/>
  <c r="BL261" i="26"/>
  <c r="BK261" i="26"/>
  <c r="BN281" i="26"/>
  <c r="BL281" i="26"/>
  <c r="BK281" i="26"/>
  <c r="BM281" i="26"/>
  <c r="BM301" i="26"/>
  <c r="BL301" i="26"/>
  <c r="BN301" i="26"/>
  <c r="BK301" i="26"/>
  <c r="BK321" i="26"/>
  <c r="BN321" i="26"/>
  <c r="BL321" i="26"/>
  <c r="BM321" i="26"/>
  <c r="BN341" i="26"/>
  <c r="BL341" i="26"/>
  <c r="BK341" i="26"/>
  <c r="BM341" i="26"/>
  <c r="BK325" i="26"/>
  <c r="BN325" i="26"/>
  <c r="BL325" i="26"/>
  <c r="BM325" i="26"/>
  <c r="BN345" i="26"/>
  <c r="BK345" i="26"/>
  <c r="BM345" i="26"/>
  <c r="BL345" i="26"/>
  <c r="BK365" i="26"/>
  <c r="BL365" i="26"/>
  <c r="BM365" i="26"/>
  <c r="BN365" i="26"/>
  <c r="BM385" i="26"/>
  <c r="BN385" i="26"/>
  <c r="BK385" i="26"/>
  <c r="BL385" i="26"/>
  <c r="BM425" i="26"/>
  <c r="BN425" i="26"/>
  <c r="BK425" i="26"/>
  <c r="BL425" i="26"/>
  <c r="BN445" i="26"/>
  <c r="BK445" i="26"/>
  <c r="BL445" i="26"/>
  <c r="BM445" i="26"/>
  <c r="BM465" i="26"/>
  <c r="BL465" i="26"/>
  <c r="BK465" i="26"/>
  <c r="BN465" i="26"/>
  <c r="BL485" i="26"/>
  <c r="BK485" i="26"/>
  <c r="BM485" i="26"/>
  <c r="BN485" i="26"/>
  <c r="BK489" i="26"/>
  <c r="BN489" i="26"/>
  <c r="BL489" i="26"/>
  <c r="BM489" i="26"/>
  <c r="BM509" i="26"/>
  <c r="BK509" i="26"/>
  <c r="BL509" i="26"/>
  <c r="BN509" i="26"/>
  <c r="BL529" i="26"/>
  <c r="BK529" i="26"/>
  <c r="BM529" i="26"/>
  <c r="BN529" i="26"/>
  <c r="BK549" i="26"/>
  <c r="BM549" i="26"/>
  <c r="BN549" i="26"/>
  <c r="BL549" i="26"/>
  <c r="BL589" i="26"/>
  <c r="BN589" i="26"/>
  <c r="BK589" i="26"/>
  <c r="BM589" i="26"/>
  <c r="BL609" i="26"/>
  <c r="BM609" i="26"/>
  <c r="BN609" i="26"/>
  <c r="BK609" i="26"/>
  <c r="BM629" i="26"/>
  <c r="BN629" i="26"/>
  <c r="BL629" i="26"/>
  <c r="BK629" i="26"/>
  <c r="BL613" i="26"/>
  <c r="BN613" i="26"/>
  <c r="BK613" i="26"/>
  <c r="BM613" i="26"/>
  <c r="BL673" i="26"/>
  <c r="BM673" i="26"/>
  <c r="BK673" i="26"/>
  <c r="BN673" i="26"/>
  <c r="BK693" i="26"/>
  <c r="BL693" i="26"/>
  <c r="BM693" i="26"/>
  <c r="BN693" i="26"/>
  <c r="BM713" i="26"/>
  <c r="BK713" i="26"/>
  <c r="BL713" i="26"/>
  <c r="BN713" i="26"/>
  <c r="BK733" i="26"/>
  <c r="BN733" i="26"/>
  <c r="BL733" i="26"/>
  <c r="BM733" i="26"/>
  <c r="BN753" i="26"/>
  <c r="BM753" i="26"/>
  <c r="BL753" i="26"/>
  <c r="BK753" i="26"/>
  <c r="BK773" i="26"/>
  <c r="BL773" i="26"/>
  <c r="BM773" i="26"/>
  <c r="BN773" i="26"/>
  <c r="H32" i="22"/>
  <c r="AF46" i="16"/>
  <c r="BH68" i="16"/>
  <c r="BM70" i="26"/>
  <c r="BL70" i="26"/>
  <c r="BN70" i="26"/>
  <c r="BK70" i="26"/>
  <c r="BK74" i="26"/>
  <c r="BL74" i="26"/>
  <c r="BM74" i="26"/>
  <c r="BN74" i="26"/>
  <c r="BL94" i="26"/>
  <c r="BN94" i="26"/>
  <c r="BM94" i="26"/>
  <c r="BK94" i="26"/>
  <c r="BN234" i="26"/>
  <c r="BL234" i="26"/>
  <c r="BK234" i="26"/>
  <c r="BM234" i="26"/>
  <c r="BN218" i="26"/>
  <c r="BK218" i="26"/>
  <c r="BM218" i="26"/>
  <c r="BL218" i="26"/>
  <c r="BN258" i="26"/>
  <c r="BM258" i="26"/>
  <c r="BL258" i="26"/>
  <c r="BK258" i="26"/>
  <c r="BL278" i="26"/>
  <c r="BK278" i="26"/>
  <c r="BN278" i="26"/>
  <c r="BM278" i="26"/>
  <c r="BM358" i="26"/>
  <c r="BK358" i="26"/>
  <c r="BN358" i="26"/>
  <c r="BL358" i="26"/>
  <c r="BK378" i="26"/>
  <c r="BM378" i="26"/>
  <c r="BN378" i="26"/>
  <c r="BL378" i="26"/>
  <c r="BN382" i="26"/>
  <c r="BK382" i="26"/>
  <c r="BL382" i="26"/>
  <c r="BM382" i="26"/>
  <c r="BN402" i="26"/>
  <c r="BL402" i="26"/>
  <c r="BK402" i="26"/>
  <c r="BM402" i="26"/>
  <c r="BL442" i="26"/>
  <c r="BK442" i="26"/>
  <c r="BN442" i="26"/>
  <c r="BM442" i="26"/>
  <c r="BK482" i="26"/>
  <c r="BM482" i="26"/>
  <c r="BN482" i="26"/>
  <c r="BL482" i="26"/>
  <c r="BL502" i="26"/>
  <c r="BK502" i="26"/>
  <c r="BN502" i="26"/>
  <c r="BM502" i="26"/>
  <c r="BM546" i="26"/>
  <c r="BL546" i="26"/>
  <c r="BN546" i="26"/>
  <c r="BK546" i="26"/>
  <c r="H59" i="22"/>
  <c r="I14" i="22"/>
  <c r="I46" i="16"/>
  <c r="V60" i="16"/>
  <c r="X68" i="16"/>
  <c r="AA46" i="16"/>
  <c r="AC68" i="16"/>
  <c r="AP60" i="16"/>
  <c r="BL18" i="26"/>
  <c r="BK18" i="26"/>
  <c r="BM18" i="26"/>
  <c r="BN18" i="26"/>
  <c r="BK44" i="26"/>
  <c r="BM44" i="26"/>
  <c r="BL44" i="26"/>
  <c r="BN44" i="26"/>
  <c r="BK64" i="26"/>
  <c r="BN64" i="26"/>
  <c r="BM64" i="26"/>
  <c r="BL64" i="26"/>
  <c r="BN84" i="26"/>
  <c r="BK84" i="26"/>
  <c r="BL84" i="26"/>
  <c r="BM84" i="26"/>
  <c r="BK144" i="26"/>
  <c r="BM144" i="26"/>
  <c r="BL144" i="26"/>
  <c r="BN144" i="26"/>
  <c r="BK128" i="26"/>
  <c r="BM128" i="26"/>
  <c r="BL128" i="26"/>
  <c r="BN128" i="26"/>
  <c r="BK148" i="26"/>
  <c r="BN148" i="26"/>
  <c r="BM148" i="26"/>
  <c r="BL148" i="26"/>
  <c r="BM188" i="26"/>
  <c r="BK188" i="26"/>
  <c r="BN188" i="26"/>
  <c r="BL188" i="26"/>
  <c r="BN208" i="26"/>
  <c r="BL208" i="26"/>
  <c r="BK208" i="26"/>
  <c r="BM208" i="26"/>
  <c r="BM228" i="26"/>
  <c r="BL228" i="26"/>
  <c r="BK228" i="26"/>
  <c r="BN228" i="26"/>
  <c r="BM248" i="26"/>
  <c r="BN248" i="26"/>
  <c r="BL248" i="26"/>
  <c r="BK248" i="26"/>
  <c r="BM268" i="26"/>
  <c r="BN268" i="26"/>
  <c r="BK268" i="26"/>
  <c r="BL268" i="26"/>
  <c r="BK288" i="26"/>
  <c r="BN288" i="26"/>
  <c r="BM288" i="26"/>
  <c r="BL288" i="26"/>
  <c r="BN272" i="26"/>
  <c r="BK272" i="26"/>
  <c r="BL272" i="26"/>
  <c r="BM272" i="26"/>
  <c r="BM312" i="26"/>
  <c r="BN312" i="26"/>
  <c r="BK312" i="26"/>
  <c r="BL312" i="26"/>
  <c r="BN332" i="26"/>
  <c r="BM332" i="26"/>
  <c r="BL332" i="26"/>
  <c r="BK332" i="26"/>
  <c r="BN352" i="26"/>
  <c r="BL352" i="26"/>
  <c r="BK352" i="26"/>
  <c r="BM352" i="26"/>
  <c r="BN372" i="26"/>
  <c r="BK372" i="26"/>
  <c r="BL372" i="26"/>
  <c r="BM372" i="26"/>
  <c r="BK412" i="26"/>
  <c r="BM412" i="26"/>
  <c r="BL412" i="26"/>
  <c r="BN412" i="26"/>
  <c r="BL432" i="26"/>
  <c r="BK432" i="26"/>
  <c r="BM432" i="26"/>
  <c r="BN432" i="26"/>
  <c r="BM416" i="26"/>
  <c r="BL416" i="26"/>
  <c r="BK416" i="26"/>
  <c r="BN416" i="26"/>
  <c r="BN436" i="26"/>
  <c r="BL436" i="26"/>
  <c r="BK436" i="26"/>
  <c r="BM436" i="26"/>
  <c r="BN456" i="26"/>
  <c r="BM456" i="26"/>
  <c r="BL456" i="26"/>
  <c r="BK456" i="26"/>
  <c r="BL476" i="26"/>
  <c r="BM476" i="26"/>
  <c r="BK476" i="26"/>
  <c r="BN476" i="26"/>
  <c r="BK496" i="26"/>
  <c r="BM496" i="26"/>
  <c r="BL496" i="26"/>
  <c r="BN496" i="26"/>
  <c r="BL536" i="26"/>
  <c r="BK536" i="26"/>
  <c r="BM536" i="26"/>
  <c r="BN536" i="26"/>
  <c r="BN576" i="26"/>
  <c r="BM576" i="26"/>
  <c r="BK576" i="26"/>
  <c r="BL576" i="26"/>
  <c r="BL580" i="26"/>
  <c r="BM580" i="26"/>
  <c r="BN580" i="26"/>
  <c r="BK580" i="26"/>
  <c r="BM600" i="26"/>
  <c r="BN600" i="26"/>
  <c r="BL600" i="26"/>
  <c r="BK600" i="26"/>
  <c r="BN620" i="26"/>
  <c r="BK620" i="26"/>
  <c r="BL620" i="26"/>
  <c r="BM620" i="26"/>
  <c r="BK660" i="26"/>
  <c r="BN660" i="26"/>
  <c r="BM660" i="26"/>
  <c r="BL660" i="26"/>
  <c r="BM680" i="26"/>
  <c r="BL680" i="26"/>
  <c r="BN680" i="26"/>
  <c r="BK680" i="26"/>
  <c r="BK700" i="26"/>
  <c r="BM700" i="26"/>
  <c r="BL700" i="26"/>
  <c r="BN700" i="26"/>
  <c r="BL720" i="26"/>
  <c r="BN720" i="26"/>
  <c r="BM720" i="26"/>
  <c r="BK720" i="26"/>
  <c r="BM704" i="26"/>
  <c r="BN704" i="26"/>
  <c r="BL704" i="26"/>
  <c r="BK704" i="26"/>
  <c r="BN724" i="26"/>
  <c r="BL724" i="26"/>
  <c r="BM724" i="26"/>
  <c r="BK724" i="26"/>
  <c r="BK764" i="26"/>
  <c r="BN764" i="26"/>
  <c r="BM764" i="26"/>
  <c r="BL764" i="26"/>
  <c r="BK784" i="26"/>
  <c r="BM784" i="26"/>
  <c r="BN784" i="26"/>
  <c r="BL784" i="26"/>
  <c r="BK76" i="26"/>
  <c r="BM76" i="26"/>
  <c r="BN76" i="26"/>
  <c r="BL76" i="26"/>
  <c r="BL220" i="26"/>
  <c r="BN220" i="26"/>
  <c r="BM220" i="26"/>
  <c r="BK220" i="26"/>
  <c r="BM340" i="26"/>
  <c r="BK340" i="26"/>
  <c r="BN340" i="26"/>
  <c r="BL340" i="26"/>
  <c r="BN484" i="26"/>
  <c r="BL484" i="26"/>
  <c r="BM484" i="26"/>
  <c r="BK484" i="26"/>
  <c r="BK792" i="26"/>
  <c r="BL792" i="26"/>
  <c r="BM792" i="26"/>
  <c r="BN792" i="26"/>
  <c r="J36" i="16"/>
  <c r="BN23" i="26"/>
  <c r="BL23" i="26"/>
  <c r="BM23" i="26"/>
  <c r="BK23" i="26"/>
  <c r="BM475" i="26"/>
  <c r="BN475" i="26"/>
  <c r="BK475" i="26"/>
  <c r="BL475" i="26"/>
  <c r="BL619" i="26"/>
  <c r="BM619" i="26"/>
  <c r="BN619" i="26"/>
  <c r="BK619" i="26"/>
  <c r="BK703" i="26"/>
  <c r="BL703" i="26"/>
  <c r="BN703" i="26"/>
  <c r="BM703" i="26"/>
  <c r="BK723" i="26"/>
  <c r="BN723" i="26"/>
  <c r="BL723" i="26"/>
  <c r="BM723" i="26"/>
  <c r="E10" i="22"/>
  <c r="M68" i="16"/>
  <c r="BF36" i="16"/>
  <c r="BF39" i="16" s="1"/>
  <c r="BK50" i="26"/>
  <c r="BM50" i="26"/>
  <c r="BN50" i="26"/>
  <c r="BL50" i="26"/>
  <c r="BK90" i="26"/>
  <c r="BN90" i="26"/>
  <c r="BL90" i="26"/>
  <c r="BM90" i="26"/>
  <c r="BK114" i="26"/>
  <c r="BM114" i="26"/>
  <c r="BL114" i="26"/>
  <c r="BN114" i="26"/>
  <c r="BM154" i="26"/>
  <c r="BK154" i="26"/>
  <c r="BN154" i="26"/>
  <c r="BL154" i="26"/>
  <c r="BK174" i="26"/>
  <c r="BM174" i="26"/>
  <c r="BN174" i="26"/>
  <c r="BL174" i="26"/>
  <c r="BM194" i="26"/>
  <c r="BN194" i="26"/>
  <c r="BK194" i="26"/>
  <c r="BL194" i="26"/>
  <c r="BN298" i="26"/>
  <c r="BK298" i="26"/>
  <c r="BL298" i="26"/>
  <c r="BM298" i="26"/>
  <c r="BK318" i="26"/>
  <c r="BM318" i="26"/>
  <c r="BN318" i="26"/>
  <c r="BL318" i="26"/>
  <c r="BM362" i="26"/>
  <c r="BK362" i="26"/>
  <c r="BN362" i="26"/>
  <c r="BL362" i="26"/>
  <c r="E54" i="22"/>
  <c r="E25" i="22"/>
  <c r="O46" i="16"/>
  <c r="Z60" i="16"/>
  <c r="AG60" i="16"/>
  <c r="AK36" i="16"/>
  <c r="AK39" i="16" s="1"/>
  <c r="BU46" i="16"/>
  <c r="BX60" i="16"/>
  <c r="BY46" i="16"/>
  <c r="CP60" i="16"/>
  <c r="BK24" i="26"/>
  <c r="BN24" i="26"/>
  <c r="BM24" i="26"/>
  <c r="BL24" i="26"/>
  <c r="BK124" i="26"/>
  <c r="BM124" i="26"/>
  <c r="BL124" i="26"/>
  <c r="BN124" i="26"/>
  <c r="BK168" i="26"/>
  <c r="BL168" i="26"/>
  <c r="BN168" i="26"/>
  <c r="BM168" i="26"/>
  <c r="H52" i="22"/>
  <c r="K43" i="22"/>
  <c r="H28" i="22"/>
  <c r="E6" i="22"/>
  <c r="K36" i="16"/>
  <c r="K39" i="16" s="1"/>
  <c r="R31" i="16"/>
  <c r="G11" i="22" s="1"/>
  <c r="Y53" i="16"/>
  <c r="Y60" i="16" s="1"/>
  <c r="Y70" i="16" s="1"/>
  <c r="Y77" i="16" s="1"/>
  <c r="Z31" i="16"/>
  <c r="G18" i="22" s="1"/>
  <c r="AF31" i="16"/>
  <c r="G23" i="22" s="1"/>
  <c r="AK68" i="16"/>
  <c r="AN31" i="16"/>
  <c r="G30" i="22" s="1"/>
  <c r="AP68" i="16"/>
  <c r="AU46" i="16"/>
  <c r="AW36" i="16"/>
  <c r="AW39" i="16" s="1"/>
  <c r="AX46" i="16"/>
  <c r="AZ31" i="16"/>
  <c r="G37" i="22" s="1"/>
  <c r="BJ36" i="16"/>
  <c r="BV53" i="16"/>
  <c r="BV60" i="16" s="1"/>
  <c r="BX36" i="16"/>
  <c r="BX39" i="16" s="1"/>
  <c r="CK60" i="16"/>
  <c r="BN31" i="26"/>
  <c r="BL31" i="26"/>
  <c r="BK31" i="26"/>
  <c r="BM31" i="26"/>
  <c r="BK51" i="26"/>
  <c r="BM51" i="26"/>
  <c r="BL51" i="26"/>
  <c r="BN51" i="26"/>
  <c r="BL71" i="26"/>
  <c r="BM71" i="26"/>
  <c r="BN71" i="26"/>
  <c r="BK71" i="26"/>
  <c r="BL55" i="26"/>
  <c r="BK55" i="26"/>
  <c r="BN55" i="26"/>
  <c r="BM55" i="26"/>
  <c r="BN75" i="26"/>
  <c r="BM75" i="26"/>
  <c r="BL75" i="26"/>
  <c r="BK75" i="26"/>
  <c r="BN95" i="26"/>
  <c r="BL95" i="26"/>
  <c r="BK95" i="26"/>
  <c r="BM95" i="26"/>
  <c r="BN155" i="26"/>
  <c r="BM155" i="26"/>
  <c r="BL155" i="26"/>
  <c r="BK155" i="26"/>
  <c r="BK175" i="26"/>
  <c r="BL175" i="26"/>
  <c r="BM175" i="26"/>
  <c r="BN175" i="26"/>
  <c r="BN195" i="26"/>
  <c r="BL195" i="26"/>
  <c r="BM195" i="26"/>
  <c r="BK195" i="26"/>
  <c r="BL215" i="26"/>
  <c r="BM215" i="26"/>
  <c r="BN215" i="26"/>
  <c r="BK215" i="26"/>
  <c r="BN219" i="26"/>
  <c r="BL219" i="26"/>
  <c r="BK219" i="26"/>
  <c r="BM219" i="26"/>
  <c r="BN239" i="26"/>
  <c r="BL239" i="26"/>
  <c r="BM239" i="26"/>
  <c r="BK239" i="26"/>
  <c r="BM259" i="26"/>
  <c r="BL259" i="26"/>
  <c r="BN259" i="26"/>
  <c r="BK259" i="26"/>
  <c r="BM279" i="26"/>
  <c r="BN279" i="26"/>
  <c r="BK279" i="26"/>
  <c r="BL279" i="26"/>
  <c r="BK319" i="26"/>
  <c r="BN319" i="26"/>
  <c r="BL319" i="26"/>
  <c r="BM319" i="26"/>
  <c r="BM339" i="26"/>
  <c r="BL339" i="26"/>
  <c r="BN339" i="26"/>
  <c r="BK339" i="26"/>
  <c r="BM359" i="26"/>
  <c r="BK359" i="26"/>
  <c r="BL359" i="26"/>
  <c r="BN359" i="26"/>
  <c r="BM343" i="26"/>
  <c r="BK343" i="26"/>
  <c r="BN343" i="26"/>
  <c r="BL343" i="26"/>
  <c r="BM363" i="26"/>
  <c r="BL363" i="26"/>
  <c r="BK363" i="26"/>
  <c r="BN363" i="26"/>
  <c r="BN383" i="26"/>
  <c r="BL383" i="26"/>
  <c r="BK383" i="26"/>
  <c r="BM383" i="26"/>
  <c r="BL403" i="26"/>
  <c r="BK403" i="26"/>
  <c r="BN403" i="26"/>
  <c r="BM403" i="26"/>
  <c r="BM443" i="26"/>
  <c r="BL443" i="26"/>
  <c r="BK443" i="26"/>
  <c r="BN443" i="26"/>
  <c r="BL463" i="26"/>
  <c r="BM463" i="26"/>
  <c r="BN463" i="26"/>
  <c r="BK463" i="26"/>
  <c r="BN483" i="26"/>
  <c r="BL483" i="26"/>
  <c r="BM483" i="26"/>
  <c r="BK483" i="26"/>
  <c r="BL503" i="26"/>
  <c r="BM503" i="26"/>
  <c r="BN503" i="26"/>
  <c r="BK503" i="26"/>
  <c r="BL487" i="26"/>
  <c r="BM487" i="26"/>
  <c r="BN487" i="26"/>
  <c r="BK487" i="26"/>
  <c r="BL547" i="26"/>
  <c r="BK547" i="26"/>
  <c r="BN547" i="26"/>
  <c r="BM547" i="26"/>
  <c r="BL567" i="26"/>
  <c r="BK567" i="26"/>
  <c r="BM567" i="26"/>
  <c r="BN567" i="26"/>
  <c r="BK587" i="26"/>
  <c r="BM587" i="26"/>
  <c r="BL587" i="26"/>
  <c r="BN587" i="26"/>
  <c r="BM607" i="26"/>
  <c r="BL607" i="26"/>
  <c r="BN607" i="26"/>
  <c r="BK607" i="26"/>
  <c r="BM627" i="26"/>
  <c r="BK627" i="26"/>
  <c r="BL627" i="26"/>
  <c r="BN627" i="26"/>
  <c r="BN631" i="26"/>
  <c r="BL631" i="26"/>
  <c r="BK631" i="26"/>
  <c r="BM631" i="26"/>
  <c r="BK651" i="26"/>
  <c r="BN651" i="26"/>
  <c r="BL651" i="26"/>
  <c r="BM651" i="26"/>
  <c r="BM691" i="26"/>
  <c r="BN691" i="26"/>
  <c r="BK691" i="26"/>
  <c r="BL691" i="26"/>
  <c r="BN711" i="26"/>
  <c r="BL711" i="26"/>
  <c r="BK711" i="26"/>
  <c r="BM711" i="26"/>
  <c r="BN731" i="26"/>
  <c r="BM731" i="26"/>
  <c r="BK731" i="26"/>
  <c r="BL731" i="26"/>
  <c r="BK771" i="26"/>
  <c r="BL771" i="26"/>
  <c r="BN771" i="26"/>
  <c r="BM771" i="26"/>
  <c r="BK791" i="26"/>
  <c r="BL791" i="26"/>
  <c r="BM791" i="26"/>
  <c r="BN791" i="26"/>
  <c r="BM775" i="26"/>
  <c r="BK775" i="26"/>
  <c r="BL775" i="26"/>
  <c r="BN775" i="26"/>
  <c r="BE38" i="26"/>
  <c r="J55" i="22"/>
  <c r="E52" i="22"/>
  <c r="E19" i="22"/>
  <c r="S46" i="16"/>
  <c r="U60" i="16"/>
  <c r="V31" i="16"/>
  <c r="G14" i="22" s="1"/>
  <c r="Z36" i="16"/>
  <c r="Z39" i="16" s="1"/>
  <c r="AF36" i="16"/>
  <c r="AF39" i="16" s="1"/>
  <c r="AG46" i="16"/>
  <c r="AG68" i="16"/>
  <c r="AN36" i="16"/>
  <c r="AN39" i="16" s="1"/>
  <c r="AZ36" i="16"/>
  <c r="AZ39" i="16" s="1"/>
  <c r="BM60" i="16"/>
  <c r="BM70" i="16" s="1"/>
  <c r="BS68" i="16"/>
  <c r="BK29" i="26"/>
  <c r="BN29" i="26"/>
  <c r="BM29" i="26"/>
  <c r="BL29" i="26"/>
  <c r="BM89" i="26"/>
  <c r="BL89" i="26"/>
  <c r="BN89" i="26"/>
  <c r="BK89" i="26"/>
  <c r="BM73" i="26"/>
  <c r="BL73" i="26"/>
  <c r="BN73" i="26"/>
  <c r="BK73" i="26"/>
  <c r="BK93" i="26"/>
  <c r="BN93" i="26"/>
  <c r="BL93" i="26"/>
  <c r="BM93" i="26"/>
  <c r="BM113" i="26"/>
  <c r="BN113" i="26"/>
  <c r="BK113" i="26"/>
  <c r="BL113" i="26"/>
  <c r="BM153" i="26"/>
  <c r="BK153" i="26"/>
  <c r="BN153" i="26"/>
  <c r="BL153" i="26"/>
  <c r="BN173" i="26"/>
  <c r="BK173" i="26"/>
  <c r="BL173" i="26"/>
  <c r="BM173" i="26"/>
  <c r="BM193" i="26"/>
  <c r="BK193" i="26"/>
  <c r="BN193" i="26"/>
  <c r="BL193" i="26"/>
  <c r="BM213" i="26"/>
  <c r="BN213" i="26"/>
  <c r="BL213" i="26"/>
  <c r="BK213" i="26"/>
  <c r="BL233" i="26"/>
  <c r="BK233" i="26"/>
  <c r="BM233" i="26"/>
  <c r="BN233" i="26"/>
  <c r="BK217" i="26"/>
  <c r="BN217" i="26"/>
  <c r="BM217" i="26"/>
  <c r="BL217" i="26"/>
  <c r="BL257" i="26"/>
  <c r="BM257" i="26"/>
  <c r="BK257" i="26"/>
  <c r="BN257" i="26"/>
  <c r="BK277" i="26"/>
  <c r="BN277" i="26"/>
  <c r="BL277" i="26"/>
  <c r="BM277" i="26"/>
  <c r="BN297" i="26"/>
  <c r="BM297" i="26"/>
  <c r="BK297" i="26"/>
  <c r="BL297" i="26"/>
  <c r="BL317" i="26"/>
  <c r="BM317" i="26"/>
  <c r="BN317" i="26"/>
  <c r="BK317" i="26"/>
  <c r="BK337" i="26"/>
  <c r="BN337" i="26"/>
  <c r="BM337" i="26"/>
  <c r="BL337" i="26"/>
  <c r="BL357" i="26"/>
  <c r="BM357" i="26"/>
  <c r="BN357" i="26"/>
  <c r="BK357" i="26"/>
  <c r="BN377" i="26"/>
  <c r="BM377" i="26"/>
  <c r="BK377" i="26"/>
  <c r="BL377" i="26"/>
  <c r="BL361" i="26"/>
  <c r="BN361" i="26"/>
  <c r="BM361" i="26"/>
  <c r="BK361" i="26"/>
  <c r="BL381" i="26"/>
  <c r="BN381" i="26"/>
  <c r="BM381" i="26"/>
  <c r="BK381" i="26"/>
  <c r="BM441" i="26"/>
  <c r="BN441" i="26"/>
  <c r="BK441" i="26"/>
  <c r="BL441" i="26"/>
  <c r="BL461" i="26"/>
  <c r="BN461" i="26"/>
  <c r="BM461" i="26"/>
  <c r="BK461" i="26"/>
  <c r="BL481" i="26"/>
  <c r="BK481" i="26"/>
  <c r="BM481" i="26"/>
  <c r="BN481" i="26"/>
  <c r="BM501" i="26"/>
  <c r="BN501" i="26"/>
  <c r="BL501" i="26"/>
  <c r="BK501" i="26"/>
  <c r="BK521" i="26"/>
  <c r="BL521" i="26"/>
  <c r="BM521" i="26"/>
  <c r="BN521" i="26"/>
  <c r="BN565" i="26"/>
  <c r="BK565" i="26"/>
  <c r="BM565" i="26"/>
  <c r="BL565" i="26"/>
  <c r="BK585" i="26"/>
  <c r="BL585" i="26"/>
  <c r="BN585" i="26"/>
  <c r="BM585" i="26"/>
  <c r="BN605" i="26"/>
  <c r="BK605" i="26"/>
  <c r="BL605" i="26"/>
  <c r="BM605" i="26"/>
  <c r="BL625" i="26"/>
  <c r="BM625" i="26"/>
  <c r="BK625" i="26"/>
  <c r="BN625" i="26"/>
  <c r="BN645" i="26"/>
  <c r="BK645" i="26"/>
  <c r="BL645" i="26"/>
  <c r="BM645" i="26"/>
  <c r="BL665" i="26"/>
  <c r="BK665" i="26"/>
  <c r="BM665" i="26"/>
  <c r="BN665" i="26"/>
  <c r="BN669" i="26"/>
  <c r="BK669" i="26"/>
  <c r="BL669" i="26"/>
  <c r="BM669" i="26"/>
  <c r="BM689" i="26"/>
  <c r="BN689" i="26"/>
  <c r="BK689" i="26"/>
  <c r="BL689" i="26"/>
  <c r="BL709" i="26"/>
  <c r="BM709" i="26"/>
  <c r="BK709" i="26"/>
  <c r="BN709" i="26"/>
  <c r="BL729" i="26"/>
  <c r="BK729" i="26"/>
  <c r="BN729" i="26"/>
  <c r="BM729" i="26"/>
  <c r="BN749" i="26"/>
  <c r="BM749" i="26"/>
  <c r="BK749" i="26"/>
  <c r="BL749" i="26"/>
  <c r="BK789" i="26"/>
  <c r="BN789" i="26"/>
  <c r="BM789" i="26"/>
  <c r="BL789" i="26"/>
  <c r="J58" i="22"/>
  <c r="H10" i="22"/>
  <c r="AW77" i="16"/>
  <c r="BM156" i="26"/>
  <c r="BK156" i="26"/>
  <c r="BN156" i="26"/>
  <c r="BL156" i="26"/>
  <c r="BK240" i="26"/>
  <c r="BL240" i="26"/>
  <c r="BN240" i="26"/>
  <c r="BM240" i="26"/>
  <c r="BM280" i="26"/>
  <c r="BN280" i="26"/>
  <c r="BL280" i="26"/>
  <c r="BK280" i="26"/>
  <c r="BN320" i="26"/>
  <c r="BL320" i="26"/>
  <c r="BK320" i="26"/>
  <c r="BM320" i="26"/>
  <c r="BK344" i="26"/>
  <c r="BM344" i="26"/>
  <c r="BL344" i="26"/>
  <c r="BN344" i="26"/>
  <c r="BN364" i="26"/>
  <c r="BM364" i="26"/>
  <c r="BL364" i="26"/>
  <c r="BK364" i="26"/>
  <c r="BK444" i="26"/>
  <c r="BM444" i="26"/>
  <c r="BN444" i="26"/>
  <c r="BL444" i="26"/>
  <c r="BK488" i="26"/>
  <c r="BL488" i="26"/>
  <c r="BM488" i="26"/>
  <c r="BN488" i="26"/>
  <c r="BK568" i="26"/>
  <c r="BM568" i="26"/>
  <c r="BN568" i="26"/>
  <c r="BL568" i="26"/>
  <c r="BN672" i="26"/>
  <c r="BL672" i="26"/>
  <c r="BM672" i="26"/>
  <c r="BK672" i="26"/>
  <c r="BN692" i="26"/>
  <c r="BK692" i="26"/>
  <c r="BL692" i="26"/>
  <c r="BM692" i="26"/>
  <c r="BN772" i="26"/>
  <c r="BL772" i="26"/>
  <c r="BK772" i="26"/>
  <c r="BM772" i="26"/>
  <c r="BL776" i="26"/>
  <c r="BM776" i="26"/>
  <c r="BK776" i="26"/>
  <c r="BN776" i="26"/>
  <c r="AW46" i="16"/>
  <c r="BV36" i="16"/>
  <c r="BV39" i="16" s="1"/>
  <c r="CN70" i="16"/>
  <c r="BM17" i="26"/>
  <c r="BK17" i="26"/>
  <c r="BL17" i="26"/>
  <c r="BN17" i="26"/>
  <c r="BN187" i="26"/>
  <c r="BL187" i="26"/>
  <c r="BM187" i="26"/>
  <c r="BK187" i="26"/>
  <c r="BM331" i="26"/>
  <c r="BN331" i="26"/>
  <c r="BL331" i="26"/>
  <c r="BK331" i="26"/>
  <c r="BM495" i="26"/>
  <c r="BL495" i="26"/>
  <c r="BK495" i="26"/>
  <c r="BN495" i="26"/>
  <c r="BL535" i="26"/>
  <c r="BM535" i="26"/>
  <c r="BK535" i="26"/>
  <c r="BN535" i="26"/>
  <c r="BM659" i="26"/>
  <c r="BL659" i="26"/>
  <c r="BK659" i="26"/>
  <c r="BN659" i="26"/>
  <c r="BN699" i="26"/>
  <c r="BM699" i="26"/>
  <c r="BK699" i="26"/>
  <c r="BL699" i="26"/>
  <c r="BL719" i="26"/>
  <c r="BK719" i="26"/>
  <c r="BN719" i="26"/>
  <c r="BM719" i="26"/>
  <c r="BN783" i="26"/>
  <c r="BL783" i="26"/>
  <c r="BM783" i="26"/>
  <c r="BK783" i="26"/>
  <c r="BL70" i="16"/>
  <c r="BL16" i="26"/>
  <c r="BN16" i="26"/>
  <c r="BK16" i="26"/>
  <c r="BM16" i="26"/>
  <c r="BL22" i="26"/>
  <c r="BM22" i="26"/>
  <c r="BK22" i="26"/>
  <c r="BN22" i="26"/>
  <c r="BK42" i="26"/>
  <c r="BM42" i="26"/>
  <c r="BL42" i="26"/>
  <c r="BN42" i="26"/>
  <c r="BM62" i="26"/>
  <c r="BL62" i="26"/>
  <c r="BK62" i="26"/>
  <c r="BN62" i="26"/>
  <c r="BK82" i="26"/>
  <c r="BN82" i="26"/>
  <c r="BM82" i="26"/>
  <c r="BL82" i="26"/>
  <c r="BN102" i="26"/>
  <c r="BL102" i="26"/>
  <c r="BK102" i="26"/>
  <c r="BM102" i="26"/>
  <c r="BK122" i="26"/>
  <c r="BM122" i="26"/>
  <c r="BL122" i="26"/>
  <c r="BN122" i="26"/>
  <c r="BK142" i="26"/>
  <c r="BM142" i="26"/>
  <c r="BL142" i="26"/>
  <c r="BN142" i="26"/>
  <c r="BL166" i="26"/>
  <c r="BK166" i="26"/>
  <c r="BN166" i="26"/>
  <c r="BM166" i="26"/>
  <c r="BK186" i="26"/>
  <c r="BL186" i="26"/>
  <c r="BM186" i="26"/>
  <c r="BN186" i="26"/>
  <c r="BM206" i="26"/>
  <c r="BN206" i="26"/>
  <c r="BK206" i="26"/>
  <c r="BL206" i="26"/>
  <c r="BK226" i="26"/>
  <c r="BN226" i="26"/>
  <c r="BM226" i="26"/>
  <c r="BL226" i="26"/>
  <c r="BL266" i="26"/>
  <c r="BN266" i="26"/>
  <c r="BK266" i="26"/>
  <c r="BM266" i="26"/>
  <c r="BK286" i="26"/>
  <c r="BM286" i="26"/>
  <c r="BN286" i="26"/>
  <c r="BL286" i="26"/>
  <c r="BN306" i="26"/>
  <c r="BK306" i="26"/>
  <c r="BL306" i="26"/>
  <c r="BM306" i="26"/>
  <c r="BK290" i="26"/>
  <c r="BM290" i="26"/>
  <c r="BN290" i="26"/>
  <c r="BL290" i="26"/>
  <c r="BL310" i="26"/>
  <c r="BN310" i="26"/>
  <c r="BM310" i="26"/>
  <c r="BK310" i="26"/>
  <c r="BK330" i="26"/>
  <c r="BM330" i="26"/>
  <c r="BN330" i="26"/>
  <c r="BL330" i="26"/>
  <c r="BM350" i="26"/>
  <c r="BK350" i="26"/>
  <c r="BN350" i="26"/>
  <c r="BL350" i="26"/>
  <c r="BK370" i="26"/>
  <c r="BN370" i="26"/>
  <c r="BL370" i="26"/>
  <c r="BM370" i="26"/>
  <c r="BM410" i="26"/>
  <c r="BK410" i="26"/>
  <c r="BN410" i="26"/>
  <c r="BL410" i="26"/>
  <c r="BL450" i="26"/>
  <c r="BM450" i="26"/>
  <c r="BK450" i="26"/>
  <c r="BN450" i="26"/>
  <c r="BL454" i="26"/>
  <c r="BM454" i="26"/>
  <c r="BN454" i="26"/>
  <c r="BK454" i="26"/>
  <c r="BK474" i="26"/>
  <c r="BM474" i="26"/>
  <c r="BL474" i="26"/>
  <c r="BN474" i="26"/>
  <c r="BL494" i="26"/>
  <c r="BN494" i="26"/>
  <c r="BM494" i="26"/>
  <c r="BK494" i="26"/>
  <c r="BM514" i="26"/>
  <c r="BN514" i="26"/>
  <c r="BK514" i="26"/>
  <c r="BL514" i="26"/>
  <c r="BN534" i="26"/>
  <c r="BL534" i="26"/>
  <c r="BK534" i="26"/>
  <c r="BM534" i="26"/>
  <c r="BK574" i="26"/>
  <c r="BL574" i="26"/>
  <c r="BM574" i="26"/>
  <c r="BN574" i="26"/>
  <c r="BK594" i="26"/>
  <c r="BN594" i="26"/>
  <c r="BM594" i="26"/>
  <c r="BL594" i="26"/>
  <c r="BK578" i="26"/>
  <c r="BL578" i="26"/>
  <c r="BM578" i="26"/>
  <c r="BN578" i="26"/>
  <c r="BL598" i="26"/>
  <c r="BM598" i="26"/>
  <c r="BN598" i="26"/>
  <c r="BK598" i="26"/>
  <c r="BM618" i="26"/>
  <c r="BK618" i="26"/>
  <c r="BL618" i="26"/>
  <c r="BN618" i="26"/>
  <c r="BM658" i="26"/>
  <c r="BN658" i="26"/>
  <c r="BL658" i="26"/>
  <c r="BK658" i="26"/>
  <c r="BN678" i="26"/>
  <c r="BM678" i="26"/>
  <c r="BK678" i="26"/>
  <c r="BL678" i="26"/>
  <c r="BM698" i="26"/>
  <c r="BN698" i="26"/>
  <c r="BL698" i="26"/>
  <c r="BK698" i="26"/>
  <c r="BK718" i="26"/>
  <c r="BN718" i="26"/>
  <c r="BL718" i="26"/>
  <c r="BM718" i="26"/>
  <c r="BN738" i="26"/>
  <c r="BL738" i="26"/>
  <c r="BM738" i="26"/>
  <c r="BK738" i="26"/>
  <c r="BM722" i="26"/>
  <c r="BN722" i="26"/>
  <c r="BL722" i="26"/>
  <c r="BK722" i="26"/>
  <c r="BN762" i="26"/>
  <c r="BM762" i="26"/>
  <c r="BL762" i="26"/>
  <c r="BK762" i="26"/>
  <c r="BL782" i="26"/>
  <c r="BN782" i="26"/>
  <c r="BM782" i="26"/>
  <c r="BK782" i="26"/>
  <c r="E45" i="22"/>
  <c r="H31" i="22"/>
  <c r="E28" i="22"/>
  <c r="H17" i="22"/>
  <c r="R36" i="16"/>
  <c r="R39" i="16" s="1"/>
  <c r="E57" i="22"/>
  <c r="E40" i="22"/>
  <c r="X46" i="16"/>
  <c r="X48" i="16" s="1"/>
  <c r="X49" i="16" s="1"/>
  <c r="Z68" i="16"/>
  <c r="AK46" i="16"/>
  <c r="AY31" i="16"/>
  <c r="G36" i="22" s="1"/>
  <c r="BD46" i="16"/>
  <c r="BH36" i="16"/>
  <c r="BH39" i="16" s="1"/>
  <c r="BN36" i="16"/>
  <c r="BN39" i="16" s="1"/>
  <c r="BV31" i="16"/>
  <c r="G48" i="22" s="1"/>
  <c r="CL53" i="16"/>
  <c r="CL60" i="16" s="1"/>
  <c r="CP68" i="16"/>
  <c r="BL14" i="26"/>
  <c r="BN14" i="26"/>
  <c r="BK14" i="26"/>
  <c r="BM14" i="26"/>
  <c r="BM36" i="26"/>
  <c r="BL36" i="26"/>
  <c r="BN36" i="26"/>
  <c r="BK36" i="26"/>
  <c r="BM20" i="26"/>
  <c r="BN20" i="26"/>
  <c r="BL20" i="26"/>
  <c r="BK20" i="26"/>
  <c r="BL40" i="26"/>
  <c r="BK40" i="26"/>
  <c r="BM40" i="26"/>
  <c r="BN40" i="26"/>
  <c r="BK60" i="26"/>
  <c r="BM60" i="26"/>
  <c r="BL60" i="26"/>
  <c r="BN60" i="26"/>
  <c r="BK80" i="26"/>
  <c r="BN80" i="26"/>
  <c r="BM80" i="26"/>
  <c r="BL80" i="26"/>
  <c r="BM120" i="26"/>
  <c r="BL120" i="26"/>
  <c r="BK120" i="26"/>
  <c r="BN120" i="26"/>
  <c r="BK140" i="26"/>
  <c r="BM140" i="26"/>
  <c r="BN140" i="26"/>
  <c r="BL140" i="26"/>
  <c r="BL160" i="26"/>
  <c r="BM160" i="26"/>
  <c r="BK160" i="26"/>
  <c r="BN160" i="26"/>
  <c r="BN180" i="26"/>
  <c r="BK180" i="26"/>
  <c r="BL180" i="26"/>
  <c r="BM180" i="26"/>
  <c r="BL164" i="26"/>
  <c r="BN164" i="26"/>
  <c r="BM164" i="26"/>
  <c r="BK164" i="26"/>
  <c r="BN184" i="26"/>
  <c r="BL184" i="26"/>
  <c r="BK184" i="26"/>
  <c r="BM184" i="26"/>
  <c r="BK204" i="26"/>
  <c r="BN204" i="26"/>
  <c r="BL204" i="26"/>
  <c r="BM204" i="26"/>
  <c r="BM224" i="26"/>
  <c r="BK224" i="26"/>
  <c r="BN224" i="26"/>
  <c r="BL224" i="26"/>
  <c r="BL244" i="26"/>
  <c r="BK244" i="26"/>
  <c r="BM244" i="26"/>
  <c r="BN244" i="26"/>
  <c r="BK264" i="26"/>
  <c r="BM264" i="26"/>
  <c r="BN264" i="26"/>
  <c r="BL264" i="26"/>
  <c r="BN284" i="26"/>
  <c r="BL284" i="26"/>
  <c r="BK284" i="26"/>
  <c r="BM284" i="26"/>
  <c r="BL304" i="26"/>
  <c r="BK304" i="26"/>
  <c r="BN304" i="26"/>
  <c r="BM304" i="26"/>
  <c r="BM324" i="26"/>
  <c r="BN324" i="26"/>
  <c r="BL324" i="26"/>
  <c r="BK324" i="26"/>
  <c r="BM308" i="26"/>
  <c r="BL308" i="26"/>
  <c r="BN308" i="26"/>
  <c r="BK308" i="26"/>
  <c r="BK328" i="26"/>
  <c r="BL328" i="26"/>
  <c r="BM328" i="26"/>
  <c r="BN328" i="26"/>
  <c r="BN348" i="26"/>
  <c r="BK348" i="26"/>
  <c r="BL348" i="26"/>
  <c r="BM348" i="26"/>
  <c r="BN368" i="26"/>
  <c r="BL368" i="26"/>
  <c r="BK368" i="26"/>
  <c r="BM368" i="26"/>
  <c r="BN388" i="26"/>
  <c r="BK388" i="26"/>
  <c r="BL388" i="26"/>
  <c r="BM388" i="26"/>
  <c r="BK408" i="26"/>
  <c r="BM408" i="26"/>
  <c r="BN408" i="26"/>
  <c r="BL408" i="26"/>
  <c r="BN428" i="26"/>
  <c r="BM428" i="26"/>
  <c r="BK428" i="26"/>
  <c r="BL428" i="26"/>
  <c r="BL448" i="26"/>
  <c r="BN448" i="26"/>
  <c r="BK448" i="26"/>
  <c r="BM448" i="26"/>
  <c r="BN468" i="26"/>
  <c r="BL468" i="26"/>
  <c r="BM468" i="26"/>
  <c r="BK468" i="26"/>
  <c r="BN452" i="26"/>
  <c r="BL452" i="26"/>
  <c r="BM452" i="26"/>
  <c r="BK452" i="26"/>
  <c r="BK472" i="26"/>
  <c r="BM472" i="26"/>
  <c r="BL472" i="26"/>
  <c r="BN472" i="26"/>
  <c r="BL492" i="26"/>
  <c r="BM492" i="26"/>
  <c r="BK492" i="26"/>
  <c r="BN492" i="26"/>
  <c r="BM572" i="26"/>
  <c r="BK572" i="26"/>
  <c r="BN572" i="26"/>
  <c r="BL572" i="26"/>
  <c r="BM592" i="26"/>
  <c r="BK592" i="26"/>
  <c r="BL592" i="26"/>
  <c r="BN592" i="26"/>
  <c r="BL612" i="26"/>
  <c r="BM612" i="26"/>
  <c r="BK612" i="26"/>
  <c r="BN612" i="26"/>
  <c r="BL596" i="26"/>
  <c r="BK596" i="26"/>
  <c r="BM596" i="26"/>
  <c r="BN596" i="26"/>
  <c r="BK616" i="26"/>
  <c r="BN616" i="26"/>
  <c r="BL616" i="26"/>
  <c r="BM616" i="26"/>
  <c r="BL656" i="26"/>
  <c r="BN656" i="26"/>
  <c r="BM656" i="26"/>
  <c r="BK656" i="26"/>
  <c r="BL676" i="26"/>
  <c r="BM676" i="26"/>
  <c r="BN676" i="26"/>
  <c r="BK676" i="26"/>
  <c r="BL696" i="26"/>
  <c r="BN696" i="26"/>
  <c r="BM696" i="26"/>
  <c r="BK696" i="26"/>
  <c r="BN716" i="26"/>
  <c r="BK716" i="26"/>
  <c r="BM716" i="26"/>
  <c r="BL716" i="26"/>
  <c r="BN736" i="26"/>
  <c r="BL736" i="26"/>
  <c r="BM736" i="26"/>
  <c r="BK736" i="26"/>
  <c r="BN740" i="26"/>
  <c r="BL740" i="26"/>
  <c r="BK740" i="26"/>
  <c r="BM740" i="26"/>
  <c r="BK760" i="26"/>
  <c r="BL760" i="26"/>
  <c r="BM760" i="26"/>
  <c r="BN760" i="26"/>
  <c r="BL27" i="26"/>
  <c r="BK27" i="26"/>
  <c r="BM27" i="26"/>
  <c r="BN27" i="26"/>
  <c r="BN47" i="26"/>
  <c r="BM47" i="26"/>
  <c r="BK47" i="26"/>
  <c r="BL47" i="26"/>
  <c r="BK67" i="26"/>
  <c r="BN67" i="26"/>
  <c r="BM67" i="26"/>
  <c r="BL67" i="26"/>
  <c r="BK87" i="26"/>
  <c r="BM87" i="26"/>
  <c r="BL87" i="26"/>
  <c r="BN87" i="26"/>
  <c r="BM107" i="26"/>
  <c r="BN107" i="26"/>
  <c r="BK107" i="26"/>
  <c r="BL107" i="26"/>
  <c r="BK91" i="26"/>
  <c r="BN91" i="26"/>
  <c r="BM91" i="26"/>
  <c r="BL91" i="26"/>
  <c r="BN111" i="26"/>
  <c r="BL111" i="26"/>
  <c r="BK111" i="26"/>
  <c r="BM111" i="26"/>
  <c r="BK131" i="26"/>
  <c r="BL131" i="26"/>
  <c r="BN131" i="26"/>
  <c r="BM131" i="26"/>
  <c r="BM151" i="26"/>
  <c r="BK151" i="26"/>
  <c r="BL151" i="26"/>
  <c r="BN151" i="26"/>
  <c r="BM171" i="26"/>
  <c r="BN171" i="26"/>
  <c r="BK171" i="26"/>
  <c r="BL171" i="26"/>
  <c r="BL191" i="26"/>
  <c r="BN191" i="26"/>
  <c r="BM191" i="26"/>
  <c r="BK191" i="26"/>
  <c r="BL211" i="26"/>
  <c r="BN211" i="26"/>
  <c r="BM211" i="26"/>
  <c r="BK211" i="26"/>
  <c r="BN231" i="26"/>
  <c r="BM231" i="26"/>
  <c r="BL231" i="26"/>
  <c r="BK231" i="26"/>
  <c r="BL251" i="26"/>
  <c r="BN251" i="26"/>
  <c r="BK251" i="26"/>
  <c r="BM251" i="26"/>
  <c r="BN235" i="26"/>
  <c r="BL235" i="26"/>
  <c r="BM235" i="26"/>
  <c r="BK235" i="26"/>
  <c r="BK255" i="26"/>
  <c r="BM255" i="26"/>
  <c r="BL255" i="26"/>
  <c r="BN255" i="26"/>
  <c r="BL275" i="26"/>
  <c r="BK275" i="26"/>
  <c r="BN275" i="26"/>
  <c r="BM275" i="26"/>
  <c r="BL295" i="26"/>
  <c r="BM295" i="26"/>
  <c r="BN295" i="26"/>
  <c r="BK295" i="26"/>
  <c r="BL315" i="26"/>
  <c r="BK315" i="26"/>
  <c r="BN315" i="26"/>
  <c r="BM315" i="26"/>
  <c r="BL335" i="26"/>
  <c r="BN335" i="26"/>
  <c r="BM335" i="26"/>
  <c r="BK335" i="26"/>
  <c r="BM355" i="26"/>
  <c r="BL355" i="26"/>
  <c r="BK355" i="26"/>
  <c r="BN355" i="26"/>
  <c r="BL375" i="26"/>
  <c r="BK375" i="26"/>
  <c r="BN375" i="26"/>
  <c r="BM375" i="26"/>
  <c r="BM395" i="26"/>
  <c r="BN395" i="26"/>
  <c r="BK395" i="26"/>
  <c r="BL395" i="26"/>
  <c r="BL379" i="26"/>
  <c r="BK379" i="26"/>
  <c r="BM379" i="26"/>
  <c r="BN379" i="26"/>
  <c r="BN399" i="26"/>
  <c r="BL399" i="26"/>
  <c r="BM399" i="26"/>
  <c r="BK399" i="26"/>
  <c r="BN419" i="26"/>
  <c r="BK419" i="26"/>
  <c r="BL419" i="26"/>
  <c r="BM419" i="26"/>
  <c r="BK439" i="26"/>
  <c r="BL439" i="26"/>
  <c r="BM439" i="26"/>
  <c r="BN439" i="26"/>
  <c r="BM459" i="26"/>
  <c r="BK459" i="26"/>
  <c r="BN459" i="26"/>
  <c r="BL459" i="26"/>
  <c r="BN479" i="26"/>
  <c r="BM479" i="26"/>
  <c r="BL479" i="26"/>
  <c r="BK479" i="26"/>
  <c r="BL499" i="26"/>
  <c r="BN499" i="26"/>
  <c r="BM499" i="26"/>
  <c r="BK499" i="26"/>
  <c r="BL519" i="26"/>
  <c r="BK519" i="26"/>
  <c r="BM519" i="26"/>
  <c r="BN519" i="26"/>
  <c r="BN539" i="26"/>
  <c r="BL539" i="26"/>
  <c r="BK539" i="26"/>
  <c r="BM539" i="26"/>
  <c r="BN563" i="26"/>
  <c r="BK563" i="26"/>
  <c r="BM563" i="26"/>
  <c r="BL563" i="26"/>
  <c r="BM583" i="26"/>
  <c r="BK583" i="26"/>
  <c r="BL583" i="26"/>
  <c r="BN583" i="26"/>
  <c r="BL603" i="26"/>
  <c r="BK603" i="26"/>
  <c r="BN603" i="26"/>
  <c r="BM603" i="26"/>
  <c r="BN623" i="26"/>
  <c r="BL623" i="26"/>
  <c r="BK623" i="26"/>
  <c r="BM623" i="26"/>
  <c r="BN663" i="26"/>
  <c r="BK663" i="26"/>
  <c r="BL663" i="26"/>
  <c r="BM663" i="26"/>
  <c r="BL683" i="26"/>
  <c r="BM683" i="26"/>
  <c r="BK683" i="26"/>
  <c r="BN683" i="26"/>
  <c r="BL667" i="26"/>
  <c r="BK667" i="26"/>
  <c r="BN667" i="26"/>
  <c r="BM667" i="26"/>
  <c r="BL687" i="26"/>
  <c r="BN687" i="26"/>
  <c r="BK687" i="26"/>
  <c r="BM687" i="26"/>
  <c r="BK707" i="26"/>
  <c r="BL707" i="26"/>
  <c r="BN707" i="26"/>
  <c r="BM707" i="26"/>
  <c r="BK727" i="26"/>
  <c r="BL727" i="26"/>
  <c r="BN727" i="26"/>
  <c r="BM727" i="26"/>
  <c r="BM747" i="26"/>
  <c r="BN747" i="26"/>
  <c r="BL747" i="26"/>
  <c r="BK747" i="26"/>
  <c r="BN767" i="26"/>
  <c r="BM767" i="26"/>
  <c r="BL767" i="26"/>
  <c r="BK767" i="26"/>
  <c r="BM787" i="26"/>
  <c r="BK787" i="26"/>
  <c r="BN787" i="26"/>
  <c r="BL787" i="26"/>
  <c r="BE787" i="26"/>
  <c r="CB70" i="16"/>
  <c r="BL52" i="26"/>
  <c r="BN52" i="26"/>
  <c r="BK52" i="26"/>
  <c r="BM52" i="26"/>
  <c r="BM72" i="26"/>
  <c r="BN72" i="26"/>
  <c r="BL72" i="26"/>
  <c r="BK72" i="26"/>
  <c r="BK96" i="26"/>
  <c r="BN96" i="26"/>
  <c r="BL96" i="26"/>
  <c r="BM96" i="26"/>
  <c r="BN136" i="26"/>
  <c r="BL136" i="26"/>
  <c r="BK136" i="26"/>
  <c r="BM136" i="26"/>
  <c r="BM176" i="26"/>
  <c r="BN176" i="26"/>
  <c r="BL176" i="26"/>
  <c r="BK176" i="26"/>
  <c r="BN648" i="26"/>
  <c r="BK648" i="26"/>
  <c r="BL648" i="26"/>
  <c r="BM648" i="26"/>
  <c r="BL103" i="26"/>
  <c r="BM103" i="26"/>
  <c r="BN103" i="26"/>
  <c r="BK103" i="26"/>
  <c r="BL123" i="26"/>
  <c r="BK123" i="26"/>
  <c r="BM123" i="26"/>
  <c r="BN123" i="26"/>
  <c r="BM207" i="26"/>
  <c r="BK207" i="26"/>
  <c r="BN207" i="26"/>
  <c r="BL207" i="26"/>
  <c r="BK291" i="26"/>
  <c r="BN291" i="26"/>
  <c r="BM291" i="26"/>
  <c r="BL291" i="26"/>
  <c r="BZ276" i="16"/>
  <c r="N51" i="22" s="1"/>
  <c r="I36" i="22"/>
  <c r="H26" i="22"/>
  <c r="L60" i="16"/>
  <c r="M36" i="16"/>
  <c r="M39" i="16" s="1"/>
  <c r="AB36" i="16"/>
  <c r="AB39" i="16" s="1"/>
  <c r="AB60" i="16"/>
  <c r="AV60" i="16"/>
  <c r="AZ68" i="16"/>
  <c r="AZ70" i="16" s="1"/>
  <c r="CK46" i="16"/>
  <c r="H22" i="22"/>
  <c r="H7" i="22"/>
  <c r="N276" i="16"/>
  <c r="N8" i="22" s="1"/>
  <c r="J60" i="16"/>
  <c r="Y31" i="16"/>
  <c r="G17" i="22" s="1"/>
  <c r="AB68" i="16"/>
  <c r="AD31" i="16"/>
  <c r="G22" i="22" s="1"/>
  <c r="AF68" i="16"/>
  <c r="AF70" i="16" s="1"/>
  <c r="AN68" i="16"/>
  <c r="AN70" i="16" s="1"/>
  <c r="AX53" i="16"/>
  <c r="AX60" i="16" s="1"/>
  <c r="BX46" i="16"/>
  <c r="BY53" i="16"/>
  <c r="BY60" i="16" s="1"/>
  <c r="CB46" i="16"/>
  <c r="CD46" i="16"/>
  <c r="CD48" i="16" s="1"/>
  <c r="CD49" i="16" s="1"/>
  <c r="BN12" i="26"/>
  <c r="BM12" i="26"/>
  <c r="BL12" i="26"/>
  <c r="BK12" i="26"/>
  <c r="BN34" i="26"/>
  <c r="BM34" i="26"/>
  <c r="BK34" i="26"/>
  <c r="BL34" i="26"/>
  <c r="BM54" i="26"/>
  <c r="BK54" i="26"/>
  <c r="BN54" i="26"/>
  <c r="BL54" i="26"/>
  <c r="BL38" i="26"/>
  <c r="BM38" i="26"/>
  <c r="BN38" i="26"/>
  <c r="BK38" i="26"/>
  <c r="BK58" i="26"/>
  <c r="BN58" i="26"/>
  <c r="BM58" i="26"/>
  <c r="BL58" i="26"/>
  <c r="BL78" i="26"/>
  <c r="BN78" i="26"/>
  <c r="BM78" i="26"/>
  <c r="BK78" i="26"/>
  <c r="BK98" i="26"/>
  <c r="BM98" i="26"/>
  <c r="BL98" i="26"/>
  <c r="BN98" i="26"/>
  <c r="BK118" i="26"/>
  <c r="BM118" i="26"/>
  <c r="BN118" i="26"/>
  <c r="BL118" i="26"/>
  <c r="BM138" i="26"/>
  <c r="BL138" i="26"/>
  <c r="BN138" i="26"/>
  <c r="BK138" i="26"/>
  <c r="BM158" i="26"/>
  <c r="BK158" i="26"/>
  <c r="BL158" i="26"/>
  <c r="BN158" i="26"/>
  <c r="BN182" i="26"/>
  <c r="BK182" i="26"/>
  <c r="BL182" i="26"/>
  <c r="BM182" i="26"/>
  <c r="BK222" i="26"/>
  <c r="BM222" i="26"/>
  <c r="BL222" i="26"/>
  <c r="BN222" i="26"/>
  <c r="BM242" i="26"/>
  <c r="BK242" i="26"/>
  <c r="BN242" i="26"/>
  <c r="BL242" i="26"/>
  <c r="BL262" i="26"/>
  <c r="BK262" i="26"/>
  <c r="BM262" i="26"/>
  <c r="BN262" i="26"/>
  <c r="BL282" i="26"/>
  <c r="BM282" i="26"/>
  <c r="BK282" i="26"/>
  <c r="BN282" i="26"/>
  <c r="BL302" i="26"/>
  <c r="BK302" i="26"/>
  <c r="BM302" i="26"/>
  <c r="BN302" i="26"/>
  <c r="BM322" i="26"/>
  <c r="BL322" i="26"/>
  <c r="BK322" i="26"/>
  <c r="BN322" i="26"/>
  <c r="BK342" i="26"/>
  <c r="BM342" i="26"/>
  <c r="BN342" i="26"/>
  <c r="BL342" i="26"/>
  <c r="BM326" i="26"/>
  <c r="BK326" i="26"/>
  <c r="BN326" i="26"/>
  <c r="BL326" i="26"/>
  <c r="BL346" i="26"/>
  <c r="BM346" i="26"/>
  <c r="BK346" i="26"/>
  <c r="BN346" i="26"/>
  <c r="BL366" i="26"/>
  <c r="BK366" i="26"/>
  <c r="BN366" i="26"/>
  <c r="BM366" i="26"/>
  <c r="BM406" i="26"/>
  <c r="BL406" i="26"/>
  <c r="BN406" i="26"/>
  <c r="BK406" i="26"/>
  <c r="BN426" i="26"/>
  <c r="BL426" i="26"/>
  <c r="BK426" i="26"/>
  <c r="BM426" i="26"/>
  <c r="BN446" i="26"/>
  <c r="BK446" i="26"/>
  <c r="BL446" i="26"/>
  <c r="BM446" i="26"/>
  <c r="BK466" i="26"/>
  <c r="BM466" i="26"/>
  <c r="BN466" i="26"/>
  <c r="BL466" i="26"/>
  <c r="BK486" i="26"/>
  <c r="BN486" i="26"/>
  <c r="BL486" i="26"/>
  <c r="BM486" i="26"/>
  <c r="BK470" i="26"/>
  <c r="BN470" i="26"/>
  <c r="BL470" i="26"/>
  <c r="BM470" i="26"/>
  <c r="BK490" i="26"/>
  <c r="BN490" i="26"/>
  <c r="BM490" i="26"/>
  <c r="BL490" i="26"/>
  <c r="BL570" i="26"/>
  <c r="BN570" i="26"/>
  <c r="BM570" i="26"/>
  <c r="BK570" i="26"/>
  <c r="BM590" i="26"/>
  <c r="BK590" i="26"/>
  <c r="BN590" i="26"/>
  <c r="BL590" i="26"/>
  <c r="BL610" i="26"/>
  <c r="BK610" i="26"/>
  <c r="BN610" i="26"/>
  <c r="BM610" i="26"/>
  <c r="BN630" i="26"/>
  <c r="BK630" i="26"/>
  <c r="BM630" i="26"/>
  <c r="BL630" i="26"/>
  <c r="BM614" i="26"/>
  <c r="BK614" i="26"/>
  <c r="BL614" i="26"/>
  <c r="BN614" i="26"/>
  <c r="BN674" i="26"/>
  <c r="BL674" i="26"/>
  <c r="BM674" i="26"/>
  <c r="BK674" i="26"/>
  <c r="BL694" i="26"/>
  <c r="BM694" i="26"/>
  <c r="BN694" i="26"/>
  <c r="BK694" i="26"/>
  <c r="BM714" i="26"/>
  <c r="BL714" i="26"/>
  <c r="BK714" i="26"/>
  <c r="BN714" i="26"/>
  <c r="BN734" i="26"/>
  <c r="BM734" i="26"/>
  <c r="BK734" i="26"/>
  <c r="BL734" i="26"/>
  <c r="BM754" i="26"/>
  <c r="BN754" i="26"/>
  <c r="BK754" i="26"/>
  <c r="BL754" i="26"/>
  <c r="BN774" i="26"/>
  <c r="BK774" i="26"/>
  <c r="BM774" i="26"/>
  <c r="BL774" i="26"/>
  <c r="BK25" i="26"/>
  <c r="BL25" i="26"/>
  <c r="BN25" i="26"/>
  <c r="BM25" i="26"/>
  <c r="BK45" i="26"/>
  <c r="BL45" i="26"/>
  <c r="BN45" i="26"/>
  <c r="BM45" i="26"/>
  <c r="BL65" i="26"/>
  <c r="BK65" i="26"/>
  <c r="BM65" i="26"/>
  <c r="BN65" i="26"/>
  <c r="BN85" i="26"/>
  <c r="BM85" i="26"/>
  <c r="BL85" i="26"/>
  <c r="BK85" i="26"/>
  <c r="BK125" i="26"/>
  <c r="BN125" i="26"/>
  <c r="BL125" i="26"/>
  <c r="BM125" i="26"/>
  <c r="BK109" i="26"/>
  <c r="BN109" i="26"/>
  <c r="BL109" i="26"/>
  <c r="BM109" i="26"/>
  <c r="BN129" i="26"/>
  <c r="BK129" i="26"/>
  <c r="BM129" i="26"/>
  <c r="BL129" i="26"/>
  <c r="BM149" i="26"/>
  <c r="BK149" i="26"/>
  <c r="BL149" i="26"/>
  <c r="BN149" i="26"/>
  <c r="BM169" i="26"/>
  <c r="BL169" i="26"/>
  <c r="BN169" i="26"/>
  <c r="BK169" i="26"/>
  <c r="BL189" i="26"/>
  <c r="BN189" i="26"/>
  <c r="BM189" i="26"/>
  <c r="BK189" i="26"/>
  <c r="BM209" i="26"/>
  <c r="BK209" i="26"/>
  <c r="BN209" i="26"/>
  <c r="BL209" i="26"/>
  <c r="BN229" i="26"/>
  <c r="BM229" i="26"/>
  <c r="BK229" i="26"/>
  <c r="BL229" i="26"/>
  <c r="BL249" i="26"/>
  <c r="BK249" i="26"/>
  <c r="BM249" i="26"/>
  <c r="BN249" i="26"/>
  <c r="BM269" i="26"/>
  <c r="BL269" i="26"/>
  <c r="BK269" i="26"/>
  <c r="BN269" i="26"/>
  <c r="BL253" i="26"/>
  <c r="BM253" i="26"/>
  <c r="BK253" i="26"/>
  <c r="BN253" i="26"/>
  <c r="BM273" i="26"/>
  <c r="BN273" i="26"/>
  <c r="BL273" i="26"/>
  <c r="BK273" i="26"/>
  <c r="BL313" i="26"/>
  <c r="BN313" i="26"/>
  <c r="BM313" i="26"/>
  <c r="BK313" i="26"/>
  <c r="BK333" i="26"/>
  <c r="BM333" i="26"/>
  <c r="BL333" i="26"/>
  <c r="BN333" i="26"/>
  <c r="BM353" i="26"/>
  <c r="BN353" i="26"/>
  <c r="BK353" i="26"/>
  <c r="BL353" i="26"/>
  <c r="BL373" i="26"/>
  <c r="BM373" i="26"/>
  <c r="BN373" i="26"/>
  <c r="BK373" i="26"/>
  <c r="BN393" i="26"/>
  <c r="BK393" i="26"/>
  <c r="BM393" i="26"/>
  <c r="BL393" i="26"/>
  <c r="BM413" i="26"/>
  <c r="BN413" i="26"/>
  <c r="BK413" i="26"/>
  <c r="BL413" i="26"/>
  <c r="BK397" i="26"/>
  <c r="BN397" i="26"/>
  <c r="BM397" i="26"/>
  <c r="BL397" i="26"/>
  <c r="BK437" i="26"/>
  <c r="BM437" i="26"/>
  <c r="BN437" i="26"/>
  <c r="BL437" i="26"/>
  <c r="BM457" i="26"/>
  <c r="BK457" i="26"/>
  <c r="BN457" i="26"/>
  <c r="BL457" i="26"/>
  <c r="BK477" i="26"/>
  <c r="BM477" i="26"/>
  <c r="BL477" i="26"/>
  <c r="BN477" i="26"/>
  <c r="BL497" i="26"/>
  <c r="BM497" i="26"/>
  <c r="BK497" i="26"/>
  <c r="BN497" i="26"/>
  <c r="BL537" i="26"/>
  <c r="BM537" i="26"/>
  <c r="BN537" i="26"/>
  <c r="BK537" i="26"/>
  <c r="BN541" i="26"/>
  <c r="BM541" i="26"/>
  <c r="BL541" i="26"/>
  <c r="BK541" i="26"/>
  <c r="BK561" i="26"/>
  <c r="BN561" i="26"/>
  <c r="BL561" i="26"/>
  <c r="BM561" i="26"/>
  <c r="BM581" i="26"/>
  <c r="BK581" i="26"/>
  <c r="BN581" i="26"/>
  <c r="BL581" i="26"/>
  <c r="BL601" i="26"/>
  <c r="BN601" i="26"/>
  <c r="BM601" i="26"/>
  <c r="BK601" i="26"/>
  <c r="BK621" i="26"/>
  <c r="BL621" i="26"/>
  <c r="BN621" i="26"/>
  <c r="BM621" i="26"/>
  <c r="BN661" i="26"/>
  <c r="BK661" i="26"/>
  <c r="BL661" i="26"/>
  <c r="BM661" i="26"/>
  <c r="BN681" i="26"/>
  <c r="BK681" i="26"/>
  <c r="BM681" i="26"/>
  <c r="BL681" i="26"/>
  <c r="BL701" i="26"/>
  <c r="BM701" i="26"/>
  <c r="BN701" i="26"/>
  <c r="BK701" i="26"/>
  <c r="BK685" i="26"/>
  <c r="BL685" i="26"/>
  <c r="BM685" i="26"/>
  <c r="BN685" i="26"/>
  <c r="BK725" i="26"/>
  <c r="BM725" i="26"/>
  <c r="BN725" i="26"/>
  <c r="BL725" i="26"/>
  <c r="BN745" i="26"/>
  <c r="BM745" i="26"/>
  <c r="BK745" i="26"/>
  <c r="BL745" i="26"/>
  <c r="BN765" i="26"/>
  <c r="BK765" i="26"/>
  <c r="BM765" i="26"/>
  <c r="BL765" i="26"/>
  <c r="BM785" i="26"/>
  <c r="BL785" i="26"/>
  <c r="BK785" i="26"/>
  <c r="BN785" i="26"/>
  <c r="CV60" i="16"/>
  <c r="AN46" i="16"/>
  <c r="AY60" i="16"/>
  <c r="AY62" i="16" s="1"/>
  <c r="AY63" i="16" s="1"/>
  <c r="BK360" i="26"/>
  <c r="BN360" i="26"/>
  <c r="BL360" i="26"/>
  <c r="BM360" i="26"/>
  <c r="CF276" i="16"/>
  <c r="N55" i="22" s="1"/>
  <c r="K46" i="16"/>
  <c r="BK116" i="26"/>
  <c r="BN116" i="26"/>
  <c r="BL116" i="26"/>
  <c r="BM116" i="26"/>
  <c r="BK384" i="26"/>
  <c r="BM384" i="26"/>
  <c r="BL384" i="26"/>
  <c r="BN384" i="26"/>
  <c r="BL608" i="26"/>
  <c r="BM608" i="26"/>
  <c r="BN608" i="26"/>
  <c r="BK608" i="26"/>
  <c r="BM628" i="26"/>
  <c r="BK628" i="26"/>
  <c r="BN628" i="26"/>
  <c r="BL628" i="26"/>
  <c r="AY276" i="16"/>
  <c r="N36" i="22" s="1"/>
  <c r="AV70" i="16"/>
  <c r="AV77" i="16" s="1"/>
  <c r="BV70" i="16"/>
  <c r="BL43" i="26"/>
  <c r="BM43" i="26"/>
  <c r="BK43" i="26"/>
  <c r="BN43" i="26"/>
  <c r="BL63" i="26"/>
  <c r="BM63" i="26"/>
  <c r="BN63" i="26"/>
  <c r="BK63" i="26"/>
  <c r="BL227" i="26"/>
  <c r="BN227" i="26"/>
  <c r="BM227" i="26"/>
  <c r="BK227" i="26"/>
  <c r="BN311" i="26"/>
  <c r="BL311" i="26"/>
  <c r="BM311" i="26"/>
  <c r="BK311" i="26"/>
  <c r="BK371" i="26"/>
  <c r="BL371" i="26"/>
  <c r="BN371" i="26"/>
  <c r="BM371" i="26"/>
  <c r="BK411" i="26"/>
  <c r="BM411" i="26"/>
  <c r="BN411" i="26"/>
  <c r="BL411" i="26"/>
  <c r="BL455" i="26"/>
  <c r="BM455" i="26"/>
  <c r="BK455" i="26"/>
  <c r="BN455" i="26"/>
  <c r="AA60" i="16"/>
  <c r="BM32" i="26"/>
  <c r="BK32" i="26"/>
  <c r="BN32" i="26"/>
  <c r="BL32" i="26"/>
  <c r="BL56" i="26"/>
  <c r="BK56" i="26"/>
  <c r="BM56" i="26"/>
  <c r="BN56" i="26"/>
  <c r="BN196" i="26"/>
  <c r="BL196" i="26"/>
  <c r="BK196" i="26"/>
  <c r="BM196" i="26"/>
  <c r="BL260" i="26"/>
  <c r="BK260" i="26"/>
  <c r="BM260" i="26"/>
  <c r="BN260" i="26"/>
  <c r="BK300" i="26"/>
  <c r="BN300" i="26"/>
  <c r="BL300" i="26"/>
  <c r="BM300" i="26"/>
  <c r="BK424" i="26"/>
  <c r="BL424" i="26"/>
  <c r="BN424" i="26"/>
  <c r="BM424" i="26"/>
  <c r="BM504" i="26"/>
  <c r="BL504" i="26"/>
  <c r="BK504" i="26"/>
  <c r="BN504" i="26"/>
  <c r="BK588" i="26"/>
  <c r="BL588" i="26"/>
  <c r="BN588" i="26"/>
  <c r="BM588" i="26"/>
  <c r="E29" i="22"/>
  <c r="BK83" i="26"/>
  <c r="BN83" i="26"/>
  <c r="BL83" i="26"/>
  <c r="BM83" i="26"/>
  <c r="BM143" i="26"/>
  <c r="BL143" i="26"/>
  <c r="BK143" i="26"/>
  <c r="BN143" i="26"/>
  <c r="BN127" i="26"/>
  <c r="BK127" i="26"/>
  <c r="BL127" i="26"/>
  <c r="BM127" i="26"/>
  <c r="BL167" i="26"/>
  <c r="BN167" i="26"/>
  <c r="BK167" i="26"/>
  <c r="BM167" i="26"/>
  <c r="BK287" i="26"/>
  <c r="BM287" i="26"/>
  <c r="BL287" i="26"/>
  <c r="BN287" i="26"/>
  <c r="BM271" i="26"/>
  <c r="BK271" i="26"/>
  <c r="BL271" i="26"/>
  <c r="BN271" i="26"/>
  <c r="BL351" i="26"/>
  <c r="BK351" i="26"/>
  <c r="BN351" i="26"/>
  <c r="BM351" i="26"/>
  <c r="BK391" i="26"/>
  <c r="BL391" i="26"/>
  <c r="BN391" i="26"/>
  <c r="BM391" i="26"/>
  <c r="BN431" i="26"/>
  <c r="BL431" i="26"/>
  <c r="BM431" i="26"/>
  <c r="BK431" i="26"/>
  <c r="BM415" i="26"/>
  <c r="BK415" i="26"/>
  <c r="BL415" i="26"/>
  <c r="BN415" i="26"/>
  <c r="BM435" i="26"/>
  <c r="BK435" i="26"/>
  <c r="BL435" i="26"/>
  <c r="BN435" i="26"/>
  <c r="BL515" i="26"/>
  <c r="BK515" i="26"/>
  <c r="BN515" i="26"/>
  <c r="BM515" i="26"/>
  <c r="BK575" i="26"/>
  <c r="BM575" i="26"/>
  <c r="BL575" i="26"/>
  <c r="BN575" i="26"/>
  <c r="BN579" i="26"/>
  <c r="BK579" i="26"/>
  <c r="BM579" i="26"/>
  <c r="BL579" i="26"/>
  <c r="BL599" i="26"/>
  <c r="BN599" i="26"/>
  <c r="BK599" i="26"/>
  <c r="BM599" i="26"/>
  <c r="BN679" i="26"/>
  <c r="BL679" i="26"/>
  <c r="BM679" i="26"/>
  <c r="BK679" i="26"/>
  <c r="BL743" i="26"/>
  <c r="BK743" i="26"/>
  <c r="BM743" i="26"/>
  <c r="BN743" i="26"/>
  <c r="BM763" i="26"/>
  <c r="BN763" i="26"/>
  <c r="BL763" i="26"/>
  <c r="BK763" i="26"/>
  <c r="CF68" i="16"/>
  <c r="CF70" i="16" s="1"/>
  <c r="BL586" i="26"/>
  <c r="BK586" i="26"/>
  <c r="BM586" i="26"/>
  <c r="BN586" i="26"/>
  <c r="BL666" i="26"/>
  <c r="BM666" i="26"/>
  <c r="BN666" i="26"/>
  <c r="BK666" i="26"/>
  <c r="BM710" i="26"/>
  <c r="BN710" i="26"/>
  <c r="BL710" i="26"/>
  <c r="BK710" i="26"/>
  <c r="BM730" i="26"/>
  <c r="BK730" i="26"/>
  <c r="BN730" i="26"/>
  <c r="BL730" i="26"/>
  <c r="BL750" i="26"/>
  <c r="BM750" i="26"/>
  <c r="BK750" i="26"/>
  <c r="BN750" i="26"/>
  <c r="BE135" i="26"/>
  <c r="BE589" i="26"/>
  <c r="BE184" i="26"/>
  <c r="BE176" i="26"/>
  <c r="BE653" i="26"/>
  <c r="BE629" i="26"/>
  <c r="BE451" i="26"/>
  <c r="BE437" i="26"/>
  <c r="BE226" i="26"/>
  <c r="BE211" i="26"/>
  <c r="I17" i="25"/>
  <c r="I18" i="25"/>
  <c r="C18" i="25" a="1"/>
  <c r="C19" i="25" a="1"/>
  <c r="B20" i="25" a="1"/>
  <c r="B19" i="25" a="1"/>
  <c r="B18" i="25" a="1"/>
  <c r="B17" i="25" a="1"/>
  <c r="H20" i="25" a="1"/>
  <c r="H19" i="25" a="1"/>
  <c r="C20" i="25" a="1"/>
  <c r="B33" i="25" a="1"/>
  <c r="C17" i="25" a="1"/>
  <c r="H18" i="25" a="1"/>
  <c r="I19" i="25"/>
  <c r="I20" i="25"/>
  <c r="H17" i="25" a="1"/>
  <c r="P8" i="38" a="1"/>
  <c r="BE81" i="26"/>
  <c r="BE63" i="26"/>
  <c r="BE466" i="26"/>
  <c r="BE474" i="26"/>
  <c r="BE482" i="26"/>
  <c r="BE490" i="26"/>
  <c r="BE506" i="26"/>
  <c r="BE514" i="26"/>
  <c r="BE530" i="26"/>
  <c r="BE538" i="26"/>
  <c r="BE546" i="26"/>
  <c r="BE562" i="26"/>
  <c r="BE570" i="26"/>
  <c r="BE578" i="26"/>
  <c r="BE586" i="26"/>
  <c r="BE594" i="26"/>
  <c r="BE626" i="26"/>
  <c r="BE650" i="26"/>
  <c r="BE658" i="26"/>
  <c r="BE666" i="26"/>
  <c r="BE674" i="26"/>
  <c r="BE706" i="26"/>
  <c r="BE714" i="26"/>
  <c r="BE722" i="26"/>
  <c r="BE754" i="26"/>
  <c r="BE14" i="26"/>
  <c r="BE131" i="26"/>
  <c r="BE709" i="26"/>
  <c r="BE749" i="26"/>
  <c r="BE57" i="26"/>
  <c r="BE84" i="26"/>
  <c r="BE124" i="26"/>
  <c r="BE188" i="26"/>
  <c r="BE246" i="26"/>
  <c r="BE734" i="26"/>
  <c r="BE758" i="26"/>
  <c r="BE47" i="26"/>
  <c r="BE790" i="26"/>
  <c r="BE13" i="26"/>
  <c r="BE21" i="26"/>
  <c r="BE106" i="26"/>
  <c r="BE138" i="26"/>
  <c r="BE252" i="26"/>
  <c r="BE300" i="26"/>
  <c r="BE308" i="26"/>
  <c r="BE324" i="26"/>
  <c r="BE740" i="26"/>
  <c r="BE756" i="26"/>
  <c r="BE733" i="26"/>
  <c r="BE661" i="26"/>
  <c r="BE730" i="26"/>
  <c r="BE774" i="26"/>
  <c r="BE685" i="26"/>
  <c r="BE690" i="26"/>
  <c r="BE746" i="26"/>
  <c r="BE301" i="26"/>
  <c r="BE297" i="26"/>
  <c r="BE287" i="26"/>
  <c r="BE285" i="26"/>
  <c r="BE280" i="26"/>
  <c r="BE259" i="26"/>
  <c r="BE229" i="26"/>
  <c r="BE141" i="26"/>
  <c r="BE134" i="26"/>
  <c r="BE776" i="26"/>
  <c r="BE522" i="26"/>
  <c r="BE605" i="26"/>
  <c r="BE421" i="26"/>
  <c r="BE40" i="26"/>
  <c r="BC468" i="26"/>
  <c r="BD468" i="26" s="1"/>
  <c r="BC473" i="26"/>
  <c r="BD473" i="26" s="1"/>
  <c r="BC476" i="26"/>
  <c r="BD476" i="26" s="1"/>
  <c r="BC477" i="26"/>
  <c r="BD477" i="26" s="1"/>
  <c r="BC480" i="26"/>
  <c r="BD480" i="26" s="1"/>
  <c r="BC483" i="26"/>
  <c r="BD483" i="26" s="1"/>
  <c r="BC486" i="26"/>
  <c r="BD486" i="26" s="1"/>
  <c r="BC488" i="26"/>
  <c r="BD488" i="26" s="1"/>
  <c r="BC490" i="26"/>
  <c r="BD490" i="26" s="1"/>
  <c r="BC493" i="26"/>
  <c r="BD493" i="26" s="1"/>
  <c r="BC496" i="26"/>
  <c r="BD496" i="26" s="1"/>
  <c r="BC499" i="26"/>
  <c r="BD499" i="26" s="1"/>
  <c r="BC502" i="26"/>
  <c r="BD502" i="26" s="1"/>
  <c r="BC504" i="26"/>
  <c r="BD504" i="26" s="1"/>
  <c r="BC507" i="26"/>
  <c r="BD507" i="26" s="1"/>
  <c r="BC510" i="26"/>
  <c r="BD510" i="26" s="1"/>
  <c r="BC513" i="26"/>
  <c r="BD513" i="26" s="1"/>
  <c r="BC516" i="26"/>
  <c r="BD516" i="26" s="1"/>
  <c r="BC517" i="26"/>
  <c r="BD517" i="26" s="1"/>
  <c r="BC520" i="26"/>
  <c r="BD520" i="26" s="1"/>
  <c r="BC523" i="26"/>
  <c r="BD523" i="26" s="1"/>
  <c r="BC526" i="26"/>
  <c r="BD526" i="26" s="1"/>
  <c r="BC529" i="26"/>
  <c r="BD529" i="26" s="1"/>
  <c r="BC531" i="26"/>
  <c r="BD531" i="26" s="1"/>
  <c r="BC534" i="26"/>
  <c r="BD534" i="26" s="1"/>
  <c r="BC537" i="26"/>
  <c r="BD537" i="26" s="1"/>
  <c r="BC541" i="26"/>
  <c r="BD541" i="26" s="1"/>
  <c r="BC545" i="26"/>
  <c r="BD545" i="26" s="1"/>
  <c r="BC549" i="26"/>
  <c r="BD549" i="26" s="1"/>
  <c r="BC552" i="26"/>
  <c r="BD552" i="26" s="1"/>
  <c r="BC556" i="26"/>
  <c r="BD556" i="26" s="1"/>
  <c r="BC560" i="26"/>
  <c r="BD560" i="26" s="1"/>
  <c r="BC563" i="26"/>
  <c r="BD563" i="26" s="1"/>
  <c r="BC470" i="26"/>
  <c r="BD470" i="26" s="1"/>
  <c r="BC475" i="26"/>
  <c r="BD475" i="26" s="1"/>
  <c r="BC479" i="26"/>
  <c r="BD479" i="26" s="1"/>
  <c r="BC482" i="26"/>
  <c r="BD482" i="26" s="1"/>
  <c r="BC485" i="26"/>
  <c r="BD485" i="26" s="1"/>
  <c r="BC487" i="26"/>
  <c r="BD487" i="26" s="1"/>
  <c r="BC491" i="26"/>
  <c r="BD491" i="26" s="1"/>
  <c r="BC494" i="26"/>
  <c r="BD494" i="26" s="1"/>
  <c r="BC497" i="26"/>
  <c r="BD497" i="26" s="1"/>
  <c r="BC500" i="26"/>
  <c r="BD500" i="26" s="1"/>
  <c r="BC503" i="26"/>
  <c r="BD503" i="26" s="1"/>
  <c r="BC506" i="26"/>
  <c r="BD506" i="26" s="1"/>
  <c r="BC509" i="26"/>
  <c r="BD509" i="26" s="1"/>
  <c r="BC512" i="26"/>
  <c r="BD512" i="26" s="1"/>
  <c r="BC515" i="26"/>
  <c r="BD515" i="26" s="1"/>
  <c r="BC519" i="26"/>
  <c r="BD519" i="26" s="1"/>
  <c r="BC522" i="26"/>
  <c r="BD522" i="26" s="1"/>
  <c r="BC525" i="26"/>
  <c r="BD525" i="26" s="1"/>
  <c r="BC528" i="26"/>
  <c r="BD528" i="26" s="1"/>
  <c r="BC532" i="26"/>
  <c r="BD532" i="26" s="1"/>
  <c r="BC536" i="26"/>
  <c r="BD536" i="26" s="1"/>
  <c r="BC540" i="26"/>
  <c r="BD540" i="26" s="1"/>
  <c r="BC544" i="26"/>
  <c r="BD544" i="26" s="1"/>
  <c r="BC548" i="26"/>
  <c r="BD548" i="26" s="1"/>
  <c r="BC553" i="26"/>
  <c r="BD553" i="26" s="1"/>
  <c r="BC557" i="26"/>
  <c r="BD557" i="26" s="1"/>
  <c r="BC561" i="26"/>
  <c r="BD561" i="26" s="1"/>
  <c r="BE391" i="26"/>
  <c r="BC471" i="26"/>
  <c r="BD471" i="26" s="1"/>
  <c r="BC474" i="26"/>
  <c r="BD474" i="26" s="1"/>
  <c r="BC478" i="26"/>
  <c r="BD478" i="26" s="1"/>
  <c r="BC481" i="26"/>
  <c r="BD481" i="26" s="1"/>
  <c r="BC484" i="26"/>
  <c r="BD484" i="26" s="1"/>
  <c r="BC489" i="26"/>
  <c r="BD489" i="26" s="1"/>
  <c r="BC492" i="26"/>
  <c r="BD492" i="26" s="1"/>
  <c r="BC495" i="26"/>
  <c r="BD495" i="26" s="1"/>
  <c r="BC498" i="26"/>
  <c r="BD498" i="26" s="1"/>
  <c r="BC501" i="26"/>
  <c r="BD501" i="26" s="1"/>
  <c r="BC505" i="26"/>
  <c r="BD505" i="26" s="1"/>
  <c r="BC508" i="26"/>
  <c r="BD508" i="26" s="1"/>
  <c r="BC511" i="26"/>
  <c r="BD511" i="26" s="1"/>
  <c r="BC514" i="26"/>
  <c r="BD514" i="26" s="1"/>
  <c r="BC518" i="26"/>
  <c r="BD518" i="26" s="1"/>
  <c r="BC521" i="26"/>
  <c r="BD521" i="26" s="1"/>
  <c r="BC524" i="26"/>
  <c r="BD524" i="26" s="1"/>
  <c r="BC527" i="26"/>
  <c r="BD527" i="26" s="1"/>
  <c r="BC530" i="26"/>
  <c r="BD530" i="26" s="1"/>
  <c r="BC535" i="26"/>
  <c r="BD535" i="26" s="1"/>
  <c r="BC539" i="26"/>
  <c r="BD539" i="26" s="1"/>
  <c r="BC542" i="26"/>
  <c r="BD542" i="26" s="1"/>
  <c r="BC546" i="26"/>
  <c r="BD546" i="26" s="1"/>
  <c r="BC550" i="26"/>
  <c r="BD550" i="26" s="1"/>
  <c r="BC554" i="26"/>
  <c r="BD554" i="26" s="1"/>
  <c r="BC558" i="26"/>
  <c r="BD558" i="26" s="1"/>
  <c r="BC562" i="26"/>
  <c r="BD562" i="26" s="1"/>
  <c r="BC175" i="26"/>
  <c r="BD175" i="26" s="1"/>
  <c r="BC176" i="26"/>
  <c r="BD176" i="26" s="1"/>
  <c r="BC177" i="26"/>
  <c r="BD177" i="26" s="1"/>
  <c r="BC178" i="26"/>
  <c r="BD178" i="26" s="1"/>
  <c r="BC179" i="26"/>
  <c r="BD179" i="26" s="1"/>
  <c r="BC180" i="26"/>
  <c r="BD180" i="26" s="1"/>
  <c r="BC181" i="26"/>
  <c r="BD181" i="26" s="1"/>
  <c r="BC182" i="26"/>
  <c r="BD182" i="26" s="1"/>
  <c r="BC183" i="26"/>
  <c r="BD183" i="26" s="1"/>
  <c r="BC184" i="26"/>
  <c r="BD184" i="26" s="1"/>
  <c r="BC185" i="26"/>
  <c r="BD185" i="26" s="1"/>
  <c r="BC186" i="26"/>
  <c r="BD186" i="26" s="1"/>
  <c r="BC187" i="26"/>
  <c r="BD187" i="26" s="1"/>
  <c r="BC188" i="26"/>
  <c r="BD188" i="26" s="1"/>
  <c r="BC189" i="26"/>
  <c r="BD189" i="26" s="1"/>
  <c r="BC190" i="26"/>
  <c r="BD190" i="26" s="1"/>
  <c r="BC191" i="26"/>
  <c r="BD191" i="26" s="1"/>
  <c r="BC192" i="26"/>
  <c r="BD192" i="26" s="1"/>
  <c r="BC193" i="26"/>
  <c r="BD193" i="26" s="1"/>
  <c r="BC194" i="26"/>
  <c r="BD194" i="26" s="1"/>
  <c r="BC195" i="26"/>
  <c r="BD195" i="26" s="1"/>
  <c r="BC196" i="26"/>
  <c r="BD196" i="26" s="1"/>
  <c r="BC197" i="26"/>
  <c r="BD197" i="26" s="1"/>
  <c r="BC198" i="26"/>
  <c r="BD198" i="26" s="1"/>
  <c r="BC199" i="26"/>
  <c r="BD199" i="26" s="1"/>
  <c r="BC200" i="26"/>
  <c r="BD200" i="26" s="1"/>
  <c r="BC201" i="26"/>
  <c r="BD201" i="26" s="1"/>
  <c r="BC202" i="26"/>
  <c r="BD202" i="26" s="1"/>
  <c r="BC203" i="26"/>
  <c r="BD203" i="26" s="1"/>
  <c r="BC204" i="26"/>
  <c r="BD204" i="26" s="1"/>
  <c r="BC205" i="26"/>
  <c r="BD205" i="26" s="1"/>
  <c r="BC206" i="26"/>
  <c r="BD206" i="26" s="1"/>
  <c r="BC207" i="26"/>
  <c r="BD207" i="26" s="1"/>
  <c r="BC208" i="26"/>
  <c r="BD208" i="26" s="1"/>
  <c r="BC209" i="26"/>
  <c r="BD209" i="26" s="1"/>
  <c r="BC210" i="26"/>
  <c r="BD210" i="26" s="1"/>
  <c r="BC211" i="26"/>
  <c r="BD211" i="26" s="1"/>
  <c r="BC212" i="26"/>
  <c r="BD212" i="26" s="1"/>
  <c r="BC213" i="26"/>
  <c r="BD213" i="26" s="1"/>
  <c r="BC214" i="26"/>
  <c r="BD214" i="26" s="1"/>
  <c r="BC215" i="26"/>
  <c r="BD215" i="26" s="1"/>
  <c r="BC216" i="26"/>
  <c r="BD216" i="26" s="1"/>
  <c r="BC217" i="26"/>
  <c r="BD217" i="26" s="1"/>
  <c r="BC218" i="26"/>
  <c r="BD218" i="26" s="1"/>
  <c r="BC219" i="26"/>
  <c r="BD219" i="26" s="1"/>
  <c r="BC220" i="26"/>
  <c r="BD220" i="26" s="1"/>
  <c r="BC221" i="26"/>
  <c r="BD221" i="26" s="1"/>
  <c r="BC222" i="26"/>
  <c r="BD222" i="26" s="1"/>
  <c r="BC223" i="26"/>
  <c r="BD223" i="26" s="1"/>
  <c r="BC224" i="26"/>
  <c r="BD224" i="26" s="1"/>
  <c r="BC225" i="26"/>
  <c r="BD225" i="26" s="1"/>
  <c r="BC226" i="26"/>
  <c r="BD226" i="26" s="1"/>
  <c r="BC227" i="26"/>
  <c r="BD227" i="26" s="1"/>
  <c r="BC228" i="26"/>
  <c r="BD228" i="26" s="1"/>
  <c r="BC229" i="26"/>
  <c r="BD229" i="26" s="1"/>
  <c r="BC230" i="26"/>
  <c r="BD230" i="26" s="1"/>
  <c r="BC231" i="26"/>
  <c r="BD231" i="26" s="1"/>
  <c r="BC232" i="26"/>
  <c r="BD232" i="26" s="1"/>
  <c r="BC233" i="26"/>
  <c r="BD233" i="26" s="1"/>
  <c r="BC234" i="26"/>
  <c r="BD234" i="26" s="1"/>
  <c r="BC235" i="26"/>
  <c r="BD235" i="26" s="1"/>
  <c r="BC236" i="26"/>
  <c r="BD236" i="26" s="1"/>
  <c r="BC237" i="26"/>
  <c r="BD237" i="26" s="1"/>
  <c r="BC238" i="26"/>
  <c r="BD238" i="26" s="1"/>
  <c r="BC239" i="26"/>
  <c r="BD239" i="26" s="1"/>
  <c r="BC240" i="26"/>
  <c r="BD240" i="26" s="1"/>
  <c r="BC241" i="26"/>
  <c r="BD241" i="26" s="1"/>
  <c r="BC242" i="26"/>
  <c r="BD242" i="26" s="1"/>
  <c r="BC243" i="26"/>
  <c r="BD243" i="26" s="1"/>
  <c r="BC244" i="26"/>
  <c r="BD244" i="26" s="1"/>
  <c r="BC245" i="26"/>
  <c r="BD245" i="26" s="1"/>
  <c r="BC246" i="26"/>
  <c r="BD246" i="26" s="1"/>
  <c r="BC247" i="26"/>
  <c r="BD247" i="26" s="1"/>
  <c r="BC248" i="26"/>
  <c r="BD248" i="26" s="1"/>
  <c r="BC249" i="26"/>
  <c r="BD249" i="26" s="1"/>
  <c r="BC250" i="26"/>
  <c r="BD250" i="26" s="1"/>
  <c r="BC251" i="26"/>
  <c r="BD251" i="26" s="1"/>
  <c r="BC252" i="26"/>
  <c r="BD252" i="26" s="1"/>
  <c r="BC253" i="26"/>
  <c r="BD253" i="26" s="1"/>
  <c r="BC254" i="26"/>
  <c r="BD254" i="26" s="1"/>
  <c r="BC255" i="26"/>
  <c r="BD255" i="26" s="1"/>
  <c r="BC256" i="26"/>
  <c r="BD256" i="26" s="1"/>
  <c r="BC257" i="26"/>
  <c r="BD257" i="26" s="1"/>
  <c r="BC258" i="26"/>
  <c r="BD258" i="26" s="1"/>
  <c r="BC469" i="26"/>
  <c r="BD469" i="26" s="1"/>
  <c r="BC472" i="26"/>
  <c r="BD472" i="26" s="1"/>
  <c r="BC533" i="26"/>
  <c r="BD533" i="26" s="1"/>
  <c r="BC538" i="26"/>
  <c r="BD538" i="26" s="1"/>
  <c r="BC543" i="26"/>
  <c r="BD543" i="26" s="1"/>
  <c r="BC547" i="26"/>
  <c r="BD547" i="26" s="1"/>
  <c r="BC551" i="26"/>
  <c r="BD551" i="26" s="1"/>
  <c r="BC555" i="26"/>
  <c r="BD555" i="26" s="1"/>
  <c r="BC559" i="26"/>
  <c r="BD559" i="26" s="1"/>
  <c r="BC564" i="26"/>
  <c r="BD564" i="26" s="1"/>
  <c r="BC762" i="26"/>
  <c r="BD762" i="26" s="1"/>
  <c r="BE405" i="26"/>
  <c r="BE90" i="26"/>
  <c r="BC13" i="26"/>
  <c r="BD13" i="26" s="1"/>
  <c r="BC21" i="26"/>
  <c r="BD21" i="26" s="1"/>
  <c r="BC27" i="26"/>
  <c r="BD27" i="26" s="1"/>
  <c r="BC32" i="26"/>
  <c r="BD32" i="26" s="1"/>
  <c r="BC37" i="26"/>
  <c r="BD37" i="26" s="1"/>
  <c r="BC43" i="26"/>
  <c r="BD43" i="26" s="1"/>
  <c r="BC48" i="26"/>
  <c r="BD48" i="26" s="1"/>
  <c r="BC53" i="26"/>
  <c r="BD53" i="26" s="1"/>
  <c r="BC57" i="26"/>
  <c r="BD57" i="26" s="1"/>
  <c r="BC62" i="26"/>
  <c r="BD62" i="26" s="1"/>
  <c r="BC67" i="26"/>
  <c r="BD67" i="26" s="1"/>
  <c r="BC72" i="26"/>
  <c r="BD72" i="26" s="1"/>
  <c r="BC77" i="26"/>
  <c r="BD77" i="26" s="1"/>
  <c r="BC83" i="26"/>
  <c r="BD83" i="26" s="1"/>
  <c r="BC88" i="26"/>
  <c r="BD88" i="26" s="1"/>
  <c r="BC91" i="26"/>
  <c r="BD91" i="26" s="1"/>
  <c r="BC95" i="26"/>
  <c r="BD95" i="26" s="1"/>
  <c r="BC99" i="26"/>
  <c r="BD99" i="26" s="1"/>
  <c r="BC104" i="26"/>
  <c r="BD104" i="26" s="1"/>
  <c r="BC109" i="26"/>
  <c r="BD109" i="26" s="1"/>
  <c r="BC114" i="26"/>
  <c r="BD114" i="26" s="1"/>
  <c r="BC118" i="26"/>
  <c r="BD118" i="26" s="1"/>
  <c r="BC124" i="26"/>
  <c r="BD124" i="26" s="1"/>
  <c r="BC131" i="26"/>
  <c r="BD131" i="26" s="1"/>
  <c r="BC137" i="26"/>
  <c r="BD137" i="26" s="1"/>
  <c r="BC141" i="26"/>
  <c r="BD141" i="26" s="1"/>
  <c r="BC146" i="26"/>
  <c r="BD146" i="26" s="1"/>
  <c r="BC152" i="26"/>
  <c r="BD152" i="26" s="1"/>
  <c r="BC155" i="26"/>
  <c r="BD155" i="26" s="1"/>
  <c r="BC160" i="26"/>
  <c r="BD160" i="26" s="1"/>
  <c r="BC167" i="26"/>
  <c r="BD167" i="26" s="1"/>
  <c r="BC172" i="26"/>
  <c r="BD172" i="26" s="1"/>
  <c r="BC259" i="26"/>
  <c r="BD259" i="26" s="1"/>
  <c r="BC264" i="26"/>
  <c r="BD264" i="26" s="1"/>
  <c r="BC268" i="26"/>
  <c r="BD268" i="26" s="1"/>
  <c r="BC273" i="26"/>
  <c r="BD273" i="26" s="1"/>
  <c r="BC277" i="26"/>
  <c r="BD277" i="26" s="1"/>
  <c r="BC281" i="26"/>
  <c r="BD281" i="26" s="1"/>
  <c r="BC285" i="26"/>
  <c r="BD285" i="26" s="1"/>
  <c r="BC290" i="26"/>
  <c r="BD290" i="26" s="1"/>
  <c r="BC294" i="26"/>
  <c r="BD294" i="26" s="1"/>
  <c r="BC298" i="26"/>
  <c r="BD298" i="26" s="1"/>
  <c r="BC301" i="26"/>
  <c r="BD301" i="26" s="1"/>
  <c r="BC306" i="26"/>
  <c r="BD306" i="26" s="1"/>
  <c r="BC311" i="26"/>
  <c r="BD311" i="26" s="1"/>
  <c r="BC316" i="26"/>
  <c r="BD316" i="26" s="1"/>
  <c r="BC321" i="26"/>
  <c r="BD321" i="26" s="1"/>
  <c r="BC326" i="26"/>
  <c r="BD326" i="26" s="1"/>
  <c r="BC330" i="26"/>
  <c r="BD330" i="26" s="1"/>
  <c r="BC335" i="26"/>
  <c r="BD335" i="26" s="1"/>
  <c r="BC340" i="26"/>
  <c r="BD340" i="26" s="1"/>
  <c r="BC346" i="26"/>
  <c r="BD346" i="26" s="1"/>
  <c r="BC351" i="26"/>
  <c r="BD351" i="26" s="1"/>
  <c r="BC356" i="26"/>
  <c r="BD356" i="26" s="1"/>
  <c r="BC363" i="26"/>
  <c r="BD363" i="26" s="1"/>
  <c r="BC368" i="26"/>
  <c r="BD368" i="26" s="1"/>
  <c r="BC373" i="26"/>
  <c r="BD373" i="26" s="1"/>
  <c r="BC378" i="26"/>
  <c r="BD378" i="26" s="1"/>
  <c r="BC384" i="26"/>
  <c r="BD384" i="26" s="1"/>
  <c r="BC389" i="26"/>
  <c r="BD389" i="26" s="1"/>
  <c r="BC393" i="26"/>
  <c r="BD393" i="26" s="1"/>
  <c r="BC397" i="26"/>
  <c r="BD397" i="26" s="1"/>
  <c r="BC401" i="26"/>
  <c r="BD401" i="26" s="1"/>
  <c r="BC406" i="26"/>
  <c r="BD406" i="26" s="1"/>
  <c r="BC411" i="26"/>
  <c r="BD411" i="26" s="1"/>
  <c r="BC416" i="26"/>
  <c r="BD416" i="26" s="1"/>
  <c r="BC421" i="26"/>
  <c r="BD421" i="26" s="1"/>
  <c r="BC426" i="26"/>
  <c r="BD426" i="26" s="1"/>
  <c r="BC431" i="26"/>
  <c r="BD431" i="26" s="1"/>
  <c r="BC436" i="26"/>
  <c r="BD436" i="26" s="1"/>
  <c r="BC441" i="26"/>
  <c r="BD441" i="26" s="1"/>
  <c r="BC447" i="26"/>
  <c r="BD447" i="26" s="1"/>
  <c r="BC453" i="26"/>
  <c r="BD453" i="26" s="1"/>
  <c r="BC458" i="26"/>
  <c r="BD458" i="26" s="1"/>
  <c r="BC464" i="26"/>
  <c r="BD464" i="26" s="1"/>
  <c r="BC565" i="26"/>
  <c r="BD565" i="26" s="1"/>
  <c r="BC570" i="26"/>
  <c r="BD570" i="26" s="1"/>
  <c r="BC574" i="26"/>
  <c r="BD574" i="26" s="1"/>
  <c r="BC578" i="26"/>
  <c r="BD578" i="26" s="1"/>
  <c r="BC582" i="26"/>
  <c r="BD582" i="26" s="1"/>
  <c r="BC585" i="26"/>
  <c r="BD585" i="26" s="1"/>
  <c r="BC589" i="26"/>
  <c r="BD589" i="26" s="1"/>
  <c r="BC592" i="26"/>
  <c r="BD592" i="26" s="1"/>
  <c r="BC597" i="26"/>
  <c r="BD597" i="26" s="1"/>
  <c r="BC600" i="26"/>
  <c r="BD600" i="26" s="1"/>
  <c r="BC602" i="26"/>
  <c r="BD602" i="26" s="1"/>
  <c r="BC735" i="26"/>
  <c r="BD735" i="26" s="1"/>
  <c r="BC743" i="26"/>
  <c r="BD743" i="26" s="1"/>
  <c r="BC748" i="26"/>
  <c r="BD748" i="26" s="1"/>
  <c r="BC754" i="26"/>
  <c r="BD754" i="26" s="1"/>
  <c r="BC759" i="26"/>
  <c r="BD759" i="26" s="1"/>
  <c r="BC766" i="26"/>
  <c r="BD766" i="26" s="1"/>
  <c r="BC772" i="26"/>
  <c r="BD772" i="26" s="1"/>
  <c r="BC778" i="26"/>
  <c r="BD778" i="26" s="1"/>
  <c r="BC783" i="26"/>
  <c r="BD783" i="26" s="1"/>
  <c r="BC788" i="26"/>
  <c r="BD788" i="26" s="1"/>
  <c r="BC793" i="26"/>
  <c r="BD793" i="26" s="1"/>
  <c r="BC8" i="26"/>
  <c r="BD8" i="26" s="1"/>
  <c r="BC11" i="26"/>
  <c r="BD11" i="26" s="1"/>
  <c r="BC16" i="26"/>
  <c r="BD16" i="26" s="1"/>
  <c r="BC17" i="26"/>
  <c r="BD17" i="26" s="1"/>
  <c r="BC22" i="26"/>
  <c r="BD22" i="26" s="1"/>
  <c r="BC26" i="26"/>
  <c r="BD26" i="26" s="1"/>
  <c r="BC31" i="26"/>
  <c r="BD31" i="26" s="1"/>
  <c r="BC36" i="26"/>
  <c r="BD36" i="26" s="1"/>
  <c r="BC41" i="26"/>
  <c r="BD41" i="26" s="1"/>
  <c r="BC46" i="26"/>
  <c r="BD46" i="26" s="1"/>
  <c r="BC52" i="26"/>
  <c r="BD52" i="26" s="1"/>
  <c r="BC59" i="26"/>
  <c r="BD59" i="26" s="1"/>
  <c r="BC63" i="26"/>
  <c r="BD63" i="26" s="1"/>
  <c r="BC68" i="26"/>
  <c r="BD68" i="26" s="1"/>
  <c r="BC73" i="26"/>
  <c r="BD73" i="26" s="1"/>
  <c r="BC78" i="26"/>
  <c r="BD78" i="26" s="1"/>
  <c r="BC82" i="26"/>
  <c r="BD82" i="26" s="1"/>
  <c r="BC87" i="26"/>
  <c r="BD87" i="26" s="1"/>
  <c r="BC92" i="26"/>
  <c r="BD92" i="26" s="1"/>
  <c r="BC96" i="26"/>
  <c r="BD96" i="26" s="1"/>
  <c r="BC100" i="26"/>
  <c r="BD100" i="26" s="1"/>
  <c r="BC105" i="26"/>
  <c r="BD105" i="26" s="1"/>
  <c r="BC110" i="26"/>
  <c r="BD110" i="26" s="1"/>
  <c r="BC116" i="26"/>
  <c r="BD116" i="26" s="1"/>
  <c r="BC121" i="26"/>
  <c r="BD121" i="26" s="1"/>
  <c r="BC125" i="26"/>
  <c r="BD125" i="26" s="1"/>
  <c r="BC130" i="26"/>
  <c r="BD130" i="26" s="1"/>
  <c r="BC135" i="26"/>
  <c r="BD135" i="26" s="1"/>
  <c r="BC140" i="26"/>
  <c r="BD140" i="26" s="1"/>
  <c r="BC145" i="26"/>
  <c r="BD145" i="26" s="1"/>
  <c r="BC150" i="26"/>
  <c r="BD150" i="26" s="1"/>
  <c r="BC153" i="26"/>
  <c r="BD153" i="26" s="1"/>
  <c r="BC158" i="26"/>
  <c r="BD158" i="26" s="1"/>
  <c r="BC163" i="26"/>
  <c r="BD163" i="26" s="1"/>
  <c r="BC168" i="26"/>
  <c r="BD168" i="26" s="1"/>
  <c r="BC263" i="26"/>
  <c r="BD263" i="26" s="1"/>
  <c r="BC267" i="26"/>
  <c r="BD267" i="26" s="1"/>
  <c r="BC271" i="26"/>
  <c r="BD271" i="26" s="1"/>
  <c r="BC275" i="26"/>
  <c r="BD275" i="26" s="1"/>
  <c r="BC278" i="26"/>
  <c r="BD278" i="26" s="1"/>
  <c r="BC284" i="26"/>
  <c r="BD284" i="26" s="1"/>
  <c r="BC289" i="26"/>
  <c r="BD289" i="26" s="1"/>
  <c r="BC293" i="26"/>
  <c r="BD293" i="26" s="1"/>
  <c r="BC297" i="26"/>
  <c r="BD297" i="26" s="1"/>
  <c r="BC303" i="26"/>
  <c r="BD303" i="26" s="1"/>
  <c r="BC308" i="26"/>
  <c r="BD308" i="26" s="1"/>
  <c r="BC313" i="26"/>
  <c r="BD313" i="26" s="1"/>
  <c r="BC318" i="26"/>
  <c r="BD318" i="26" s="1"/>
  <c r="BC323" i="26"/>
  <c r="BD323" i="26" s="1"/>
  <c r="BC327" i="26"/>
  <c r="BD327" i="26" s="1"/>
  <c r="BC333" i="26"/>
  <c r="BD333" i="26" s="1"/>
  <c r="BC336" i="26"/>
  <c r="BD336" i="26" s="1"/>
  <c r="BC341" i="26"/>
  <c r="BD341" i="26" s="1"/>
  <c r="BC347" i="26"/>
  <c r="BD347" i="26" s="1"/>
  <c r="BC352" i="26"/>
  <c r="BD352" i="26" s="1"/>
  <c r="BC355" i="26"/>
  <c r="BD355" i="26" s="1"/>
  <c r="BC360" i="26"/>
  <c r="BD360" i="26" s="1"/>
  <c r="BC365" i="26"/>
  <c r="BD365" i="26" s="1"/>
  <c r="BC370" i="26"/>
  <c r="BD370" i="26" s="1"/>
  <c r="BC374" i="26"/>
  <c r="BD374" i="26" s="1"/>
  <c r="BC379" i="26"/>
  <c r="BD379" i="26" s="1"/>
  <c r="BC382" i="26"/>
  <c r="BD382" i="26" s="1"/>
  <c r="BC387" i="26"/>
  <c r="BD387" i="26" s="1"/>
  <c r="BC391" i="26"/>
  <c r="BD391" i="26" s="1"/>
  <c r="BC395" i="26"/>
  <c r="BD395" i="26" s="1"/>
  <c r="BC399" i="26"/>
  <c r="BD399" i="26" s="1"/>
  <c r="BC403" i="26"/>
  <c r="BD403" i="26" s="1"/>
  <c r="BC407" i="26"/>
  <c r="BD407" i="26" s="1"/>
  <c r="BC412" i="26"/>
  <c r="BD412" i="26" s="1"/>
  <c r="BC417" i="26"/>
  <c r="BD417" i="26" s="1"/>
  <c r="BC422" i="26"/>
  <c r="BD422" i="26" s="1"/>
  <c r="BC425" i="26"/>
  <c r="BD425" i="26" s="1"/>
  <c r="BC430" i="26"/>
  <c r="BD430" i="26" s="1"/>
  <c r="BC435" i="26"/>
  <c r="BD435" i="26" s="1"/>
  <c r="BC443" i="26"/>
  <c r="BD443" i="26" s="1"/>
  <c r="BC448" i="26"/>
  <c r="BD448" i="26" s="1"/>
  <c r="BC452" i="26"/>
  <c r="BD452" i="26" s="1"/>
  <c r="BC457" i="26"/>
  <c r="BD457" i="26" s="1"/>
  <c r="BC462" i="26"/>
  <c r="BD462" i="26" s="1"/>
  <c r="BC465" i="26"/>
  <c r="BD465" i="26" s="1"/>
  <c r="BC568" i="26"/>
  <c r="BD568" i="26" s="1"/>
  <c r="BC571" i="26"/>
  <c r="BD571" i="26" s="1"/>
  <c r="BC575" i="26"/>
  <c r="BD575" i="26" s="1"/>
  <c r="BC580" i="26"/>
  <c r="BD580" i="26" s="1"/>
  <c r="BC588" i="26"/>
  <c r="BD588" i="26" s="1"/>
  <c r="BC595" i="26"/>
  <c r="BD595" i="26" s="1"/>
  <c r="BC603" i="26"/>
  <c r="BD603" i="26" s="1"/>
  <c r="BC605" i="26"/>
  <c r="BD605" i="26" s="1"/>
  <c r="BC607" i="26"/>
  <c r="BD607" i="26" s="1"/>
  <c r="BC610" i="26"/>
  <c r="BD610" i="26" s="1"/>
  <c r="BC611" i="26"/>
  <c r="BD611" i="26" s="1"/>
  <c r="BC612" i="26"/>
  <c r="BD612" i="26" s="1"/>
  <c r="BC614" i="26"/>
  <c r="BD614" i="26" s="1"/>
  <c r="BC616" i="26"/>
  <c r="BD616" i="26" s="1"/>
  <c r="BC638" i="26"/>
  <c r="BD638" i="26" s="1"/>
  <c r="BC643" i="26"/>
  <c r="BD643" i="26" s="1"/>
  <c r="BC646" i="26"/>
  <c r="BD646" i="26" s="1"/>
  <c r="BC649" i="26"/>
  <c r="BD649" i="26" s="1"/>
  <c r="BC653" i="26"/>
  <c r="BD653" i="26" s="1"/>
  <c r="BC656" i="26"/>
  <c r="BD656" i="26" s="1"/>
  <c r="BC659" i="26"/>
  <c r="BD659" i="26" s="1"/>
  <c r="BC662" i="26"/>
  <c r="BD662" i="26" s="1"/>
  <c r="BC665" i="26"/>
  <c r="BD665" i="26" s="1"/>
  <c r="BC667" i="26"/>
  <c r="BD667" i="26" s="1"/>
  <c r="BC669" i="26"/>
  <c r="BD669" i="26" s="1"/>
  <c r="BC672" i="26"/>
  <c r="BD672" i="26" s="1"/>
  <c r="BC675" i="26"/>
  <c r="BD675" i="26" s="1"/>
  <c r="BC679" i="26"/>
  <c r="BD679" i="26" s="1"/>
  <c r="BC682" i="26"/>
  <c r="BD682" i="26" s="1"/>
  <c r="BC685" i="26"/>
  <c r="BD685" i="26" s="1"/>
  <c r="BC687" i="26"/>
  <c r="BD687" i="26" s="1"/>
  <c r="BC691" i="26"/>
  <c r="BD691" i="26" s="1"/>
  <c r="BC696" i="26"/>
  <c r="BD696" i="26" s="1"/>
  <c r="BC701" i="26"/>
  <c r="BD701" i="26" s="1"/>
  <c r="BC705" i="26"/>
  <c r="BD705" i="26" s="1"/>
  <c r="BC709" i="26"/>
  <c r="BD709" i="26" s="1"/>
  <c r="BC713" i="26"/>
  <c r="BD713" i="26" s="1"/>
  <c r="BC717" i="26"/>
  <c r="BD717" i="26" s="1"/>
  <c r="BC720" i="26"/>
  <c r="BD720" i="26" s="1"/>
  <c r="BC724" i="26"/>
  <c r="BD724" i="26" s="1"/>
  <c r="BC728" i="26"/>
  <c r="BD728" i="26" s="1"/>
  <c r="BC732" i="26"/>
  <c r="BD732" i="26" s="1"/>
  <c r="BC737" i="26"/>
  <c r="BD737" i="26" s="1"/>
  <c r="BC740" i="26"/>
  <c r="BD740" i="26" s="1"/>
  <c r="BC745" i="26"/>
  <c r="BD745" i="26" s="1"/>
  <c r="BC750" i="26"/>
  <c r="BD750" i="26" s="1"/>
  <c r="BC755" i="26"/>
  <c r="BD755" i="26" s="1"/>
  <c r="BC763" i="26"/>
  <c r="BD763" i="26" s="1"/>
  <c r="BC767" i="26"/>
  <c r="BD767" i="26" s="1"/>
  <c r="BC771" i="26"/>
  <c r="BD771" i="26" s="1"/>
  <c r="BC777" i="26"/>
  <c r="BD777" i="26" s="1"/>
  <c r="BC782" i="26"/>
  <c r="BD782" i="26" s="1"/>
  <c r="BC787" i="26"/>
  <c r="BD787" i="26" s="1"/>
  <c r="BC792" i="26"/>
  <c r="BD792" i="26" s="1"/>
  <c r="BC12" i="26"/>
  <c r="BD12" i="26" s="1"/>
  <c r="BC14" i="26"/>
  <c r="BD14" i="26" s="1"/>
  <c r="BC20" i="26"/>
  <c r="BD20" i="26" s="1"/>
  <c r="BC23" i="26"/>
  <c r="BD23" i="26" s="1"/>
  <c r="BC28" i="26"/>
  <c r="BD28" i="26" s="1"/>
  <c r="BC35" i="26"/>
  <c r="BD35" i="26" s="1"/>
  <c r="BC40" i="26"/>
  <c r="BD40" i="26" s="1"/>
  <c r="BC45" i="26"/>
  <c r="BD45" i="26" s="1"/>
  <c r="BC50" i="26"/>
  <c r="BD50" i="26" s="1"/>
  <c r="BC55" i="26"/>
  <c r="BD55" i="26" s="1"/>
  <c r="BC60" i="26"/>
  <c r="BD60" i="26" s="1"/>
  <c r="BC66" i="26"/>
  <c r="BD66" i="26" s="1"/>
  <c r="BC71" i="26"/>
  <c r="BD71" i="26" s="1"/>
  <c r="BC76" i="26"/>
  <c r="BD76" i="26" s="1"/>
  <c r="BC81" i="26"/>
  <c r="BD81" i="26" s="1"/>
  <c r="BC86" i="26"/>
  <c r="BD86" i="26" s="1"/>
  <c r="BC103" i="26"/>
  <c r="BD103" i="26" s="1"/>
  <c r="BC108" i="26"/>
  <c r="BD108" i="26" s="1"/>
  <c r="BC115" i="26"/>
  <c r="BD115" i="26" s="1"/>
  <c r="BC120" i="26"/>
  <c r="BD120" i="26" s="1"/>
  <c r="BC126" i="26"/>
  <c r="BD126" i="26" s="1"/>
  <c r="BC129" i="26"/>
  <c r="BD129" i="26" s="1"/>
  <c r="BC134" i="26"/>
  <c r="BD134" i="26" s="1"/>
  <c r="BC139" i="26"/>
  <c r="BD139" i="26" s="1"/>
  <c r="BC143" i="26"/>
  <c r="BD143" i="26" s="1"/>
  <c r="BC148" i="26"/>
  <c r="BD148" i="26" s="1"/>
  <c r="BC154" i="26"/>
  <c r="BD154" i="26" s="1"/>
  <c r="BC159" i="26"/>
  <c r="BD159" i="26" s="1"/>
  <c r="BC164" i="26"/>
  <c r="BD164" i="26" s="1"/>
  <c r="BC169" i="26"/>
  <c r="BD169" i="26" s="1"/>
  <c r="BC173" i="26"/>
  <c r="BD173" i="26" s="1"/>
  <c r="BC262" i="26"/>
  <c r="BD262" i="26" s="1"/>
  <c r="BC266" i="26"/>
  <c r="BD266" i="26" s="1"/>
  <c r="BC270" i="26"/>
  <c r="BD270" i="26" s="1"/>
  <c r="BC274" i="26"/>
  <c r="BD274" i="26" s="1"/>
  <c r="BC279" i="26"/>
  <c r="BD279" i="26" s="1"/>
  <c r="BC282" i="26"/>
  <c r="BD282" i="26" s="1"/>
  <c r="BC288" i="26"/>
  <c r="BD288" i="26" s="1"/>
  <c r="BC291" i="26"/>
  <c r="BD291" i="26" s="1"/>
  <c r="BC296" i="26"/>
  <c r="BD296" i="26" s="1"/>
  <c r="BC302" i="26"/>
  <c r="BD302" i="26" s="1"/>
  <c r="BC307" i="26"/>
  <c r="BD307" i="26" s="1"/>
  <c r="BC312" i="26"/>
  <c r="BD312" i="26" s="1"/>
  <c r="BC317" i="26"/>
  <c r="BD317" i="26" s="1"/>
  <c r="BC322" i="26"/>
  <c r="BD322" i="26" s="1"/>
  <c r="BC329" i="26"/>
  <c r="BD329" i="26" s="1"/>
  <c r="BC334" i="26"/>
  <c r="BD334" i="26" s="1"/>
  <c r="BC339" i="26"/>
  <c r="BD339" i="26" s="1"/>
  <c r="BC344" i="26"/>
  <c r="BD344" i="26" s="1"/>
  <c r="BC348" i="26"/>
  <c r="BD348" i="26" s="1"/>
  <c r="BC353" i="26"/>
  <c r="BD353" i="26" s="1"/>
  <c r="BC357" i="26"/>
  <c r="BD357" i="26" s="1"/>
  <c r="BC361" i="26"/>
  <c r="BD361" i="26" s="1"/>
  <c r="BC366" i="26"/>
  <c r="BD366" i="26" s="1"/>
  <c r="BC371" i="26"/>
  <c r="BD371" i="26" s="1"/>
  <c r="BC376" i="26"/>
  <c r="BD376" i="26" s="1"/>
  <c r="BC381" i="26"/>
  <c r="BD381" i="26" s="1"/>
  <c r="BC386" i="26"/>
  <c r="BD386" i="26" s="1"/>
  <c r="BC405" i="26"/>
  <c r="BD405" i="26" s="1"/>
  <c r="BC410" i="26"/>
  <c r="BD410" i="26" s="1"/>
  <c r="BC414" i="26"/>
  <c r="BD414" i="26" s="1"/>
  <c r="BC419" i="26"/>
  <c r="BD419" i="26" s="1"/>
  <c r="BC424" i="26"/>
  <c r="BD424" i="26" s="1"/>
  <c r="BC429" i="26"/>
  <c r="BD429" i="26" s="1"/>
  <c r="BC433" i="26"/>
  <c r="BD433" i="26" s="1"/>
  <c r="BC437" i="26"/>
  <c r="BD437" i="26" s="1"/>
  <c r="BC440" i="26"/>
  <c r="BD440" i="26" s="1"/>
  <c r="BC444" i="26"/>
  <c r="BD444" i="26" s="1"/>
  <c r="BC450" i="26"/>
  <c r="BD450" i="26" s="1"/>
  <c r="BC455" i="26"/>
  <c r="BD455" i="26" s="1"/>
  <c r="BC460" i="26"/>
  <c r="BD460" i="26" s="1"/>
  <c r="BC467" i="26"/>
  <c r="BD467" i="26" s="1"/>
  <c r="BC567" i="26"/>
  <c r="BD567" i="26" s="1"/>
  <c r="BC572" i="26"/>
  <c r="BD572" i="26" s="1"/>
  <c r="BC577" i="26"/>
  <c r="BD577" i="26" s="1"/>
  <c r="BC579" i="26"/>
  <c r="BD579" i="26" s="1"/>
  <c r="BC583" i="26"/>
  <c r="BD583" i="26" s="1"/>
  <c r="BC586" i="26"/>
  <c r="BD586" i="26" s="1"/>
  <c r="BC590" i="26"/>
  <c r="BD590" i="26" s="1"/>
  <c r="BC593" i="26"/>
  <c r="BD593" i="26" s="1"/>
  <c r="BC598" i="26"/>
  <c r="BD598" i="26" s="1"/>
  <c r="BC599" i="26"/>
  <c r="BD599" i="26" s="1"/>
  <c r="BC601" i="26"/>
  <c r="BD601" i="26" s="1"/>
  <c r="BC604" i="26"/>
  <c r="BD604" i="26" s="1"/>
  <c r="BC606" i="26"/>
  <c r="BD606" i="26" s="1"/>
  <c r="BC608" i="26"/>
  <c r="BD608" i="26" s="1"/>
  <c r="BC689" i="26"/>
  <c r="BD689" i="26" s="1"/>
  <c r="BC693" i="26"/>
  <c r="BD693" i="26" s="1"/>
  <c r="BC697" i="26"/>
  <c r="BD697" i="26" s="1"/>
  <c r="BC700" i="26"/>
  <c r="BD700" i="26" s="1"/>
  <c r="BC704" i="26"/>
  <c r="BD704" i="26" s="1"/>
  <c r="BC708" i="26"/>
  <c r="BD708" i="26" s="1"/>
  <c r="BC712" i="26"/>
  <c r="BD712" i="26" s="1"/>
  <c r="BC715" i="26"/>
  <c r="BD715" i="26" s="1"/>
  <c r="BC719" i="26"/>
  <c r="BD719" i="26" s="1"/>
  <c r="BC723" i="26"/>
  <c r="BD723" i="26" s="1"/>
  <c r="BC727" i="26"/>
  <c r="BD727" i="26" s="1"/>
  <c r="BC731" i="26"/>
  <c r="BD731" i="26" s="1"/>
  <c r="BC736" i="26"/>
  <c r="BD736" i="26" s="1"/>
  <c r="BC741" i="26"/>
  <c r="BD741" i="26" s="1"/>
  <c r="BC747" i="26"/>
  <c r="BD747" i="26" s="1"/>
  <c r="BC752" i="26"/>
  <c r="BD752" i="26" s="1"/>
  <c r="BC757" i="26"/>
  <c r="BD757" i="26" s="1"/>
  <c r="BC761" i="26"/>
  <c r="BD761" i="26" s="1"/>
  <c r="BC768" i="26"/>
  <c r="BD768" i="26" s="1"/>
  <c r="BC773" i="26"/>
  <c r="BD773" i="26" s="1"/>
  <c r="BC776" i="26"/>
  <c r="BD776" i="26" s="1"/>
  <c r="BC781" i="26"/>
  <c r="BD781" i="26" s="1"/>
  <c r="BC784" i="26"/>
  <c r="BD784" i="26" s="1"/>
  <c r="BC789" i="26"/>
  <c r="BD789" i="26" s="1"/>
  <c r="BC794" i="26"/>
  <c r="BD794" i="26" s="1"/>
  <c r="BE642" i="26"/>
  <c r="BC10" i="26"/>
  <c r="BD10" i="26" s="1"/>
  <c r="BC18" i="26"/>
  <c r="BD18" i="26" s="1"/>
  <c r="BC25" i="26"/>
  <c r="BD25" i="26" s="1"/>
  <c r="BC30" i="26"/>
  <c r="BD30" i="26" s="1"/>
  <c r="BC34" i="26"/>
  <c r="BD34" i="26" s="1"/>
  <c r="BC39" i="26"/>
  <c r="BD39" i="26" s="1"/>
  <c r="BC44" i="26"/>
  <c r="BD44" i="26" s="1"/>
  <c r="BC49" i="26"/>
  <c r="BD49" i="26" s="1"/>
  <c r="BC54" i="26"/>
  <c r="BD54" i="26" s="1"/>
  <c r="BC58" i="26"/>
  <c r="BD58" i="26" s="1"/>
  <c r="BC64" i="26"/>
  <c r="BD64" i="26" s="1"/>
  <c r="BC69" i="26"/>
  <c r="BD69" i="26" s="1"/>
  <c r="BC74" i="26"/>
  <c r="BD74" i="26" s="1"/>
  <c r="BC79" i="26"/>
  <c r="BD79" i="26" s="1"/>
  <c r="BC84" i="26"/>
  <c r="BD84" i="26" s="1"/>
  <c r="BC89" i="26"/>
  <c r="BD89" i="26" s="1"/>
  <c r="BC93" i="26"/>
  <c r="BD93" i="26" s="1"/>
  <c r="BC98" i="26"/>
  <c r="BD98" i="26" s="1"/>
  <c r="BC101" i="26"/>
  <c r="BD101" i="26" s="1"/>
  <c r="BC107" i="26"/>
  <c r="BD107" i="26" s="1"/>
  <c r="BC112" i="26"/>
  <c r="BD112" i="26" s="1"/>
  <c r="BC117" i="26"/>
  <c r="BD117" i="26" s="1"/>
  <c r="BC122" i="26"/>
  <c r="BD122" i="26" s="1"/>
  <c r="BC127" i="26"/>
  <c r="BD127" i="26" s="1"/>
  <c r="BC132" i="26"/>
  <c r="BD132" i="26" s="1"/>
  <c r="BC136" i="26"/>
  <c r="BD136" i="26" s="1"/>
  <c r="BC142" i="26"/>
  <c r="BD142" i="26" s="1"/>
  <c r="BC147" i="26"/>
  <c r="BD147" i="26" s="1"/>
  <c r="BC151" i="26"/>
  <c r="BD151" i="26" s="1"/>
  <c r="BC157" i="26"/>
  <c r="BD157" i="26" s="1"/>
  <c r="BC162" i="26"/>
  <c r="BD162" i="26" s="1"/>
  <c r="BC166" i="26"/>
  <c r="BD166" i="26" s="1"/>
  <c r="BC171" i="26"/>
  <c r="BD171" i="26" s="1"/>
  <c r="BC174" i="26"/>
  <c r="BD174" i="26" s="1"/>
  <c r="BC286" i="26"/>
  <c r="BD286" i="26" s="1"/>
  <c r="BC299" i="26"/>
  <c r="BD299" i="26" s="1"/>
  <c r="BC304" i="26"/>
  <c r="BD304" i="26" s="1"/>
  <c r="BC309" i="26"/>
  <c r="BD309" i="26" s="1"/>
  <c r="BC314" i="26"/>
  <c r="BD314" i="26" s="1"/>
  <c r="BC319" i="26"/>
  <c r="BD319" i="26" s="1"/>
  <c r="BC324" i="26"/>
  <c r="BD324" i="26" s="1"/>
  <c r="BC328" i="26"/>
  <c r="BD328" i="26" s="1"/>
  <c r="BC332" i="26"/>
  <c r="BD332" i="26" s="1"/>
  <c r="BC337" i="26"/>
  <c r="BD337" i="26" s="1"/>
  <c r="BC342" i="26"/>
  <c r="BD342" i="26" s="1"/>
  <c r="BC345" i="26"/>
  <c r="BD345" i="26" s="1"/>
  <c r="BC350" i="26"/>
  <c r="BD350" i="26" s="1"/>
  <c r="BC358" i="26"/>
  <c r="BD358" i="26" s="1"/>
  <c r="BC362" i="26"/>
  <c r="BD362" i="26" s="1"/>
  <c r="BC367" i="26"/>
  <c r="BD367" i="26" s="1"/>
  <c r="BC372" i="26"/>
  <c r="BD372" i="26" s="1"/>
  <c r="BC377" i="26"/>
  <c r="BD377" i="26" s="1"/>
  <c r="BC383" i="26"/>
  <c r="BD383" i="26" s="1"/>
  <c r="BC388" i="26"/>
  <c r="BD388" i="26" s="1"/>
  <c r="BC392" i="26"/>
  <c r="BD392" i="26" s="1"/>
  <c r="BC396" i="26"/>
  <c r="BD396" i="26" s="1"/>
  <c r="BC400" i="26"/>
  <c r="BD400" i="26" s="1"/>
  <c r="BC404" i="26"/>
  <c r="BD404" i="26" s="1"/>
  <c r="BC409" i="26"/>
  <c r="BD409" i="26" s="1"/>
  <c r="BC415" i="26"/>
  <c r="BD415" i="26" s="1"/>
  <c r="BC420" i="26"/>
  <c r="BD420" i="26" s="1"/>
  <c r="BC428" i="26"/>
  <c r="BD428" i="26" s="1"/>
  <c r="BC434" i="26"/>
  <c r="BD434" i="26" s="1"/>
  <c r="BC439" i="26"/>
  <c r="BD439" i="26" s="1"/>
  <c r="BC445" i="26"/>
  <c r="BD445" i="26" s="1"/>
  <c r="BC449" i="26"/>
  <c r="BD449" i="26" s="1"/>
  <c r="BC454" i="26"/>
  <c r="BD454" i="26" s="1"/>
  <c r="BC459" i="26"/>
  <c r="BD459" i="26" s="1"/>
  <c r="BC463" i="26"/>
  <c r="BD463" i="26" s="1"/>
  <c r="BC566" i="26"/>
  <c r="BD566" i="26" s="1"/>
  <c r="BC569" i="26"/>
  <c r="BD569" i="26" s="1"/>
  <c r="BC573" i="26"/>
  <c r="BD573" i="26" s="1"/>
  <c r="BC576" i="26"/>
  <c r="BD576" i="26" s="1"/>
  <c r="BC581" i="26"/>
  <c r="BD581" i="26" s="1"/>
  <c r="BC584" i="26"/>
  <c r="BD584" i="26" s="1"/>
  <c r="BC587" i="26"/>
  <c r="BD587" i="26" s="1"/>
  <c r="BC591" i="26"/>
  <c r="BD591" i="26" s="1"/>
  <c r="BC594" i="26"/>
  <c r="BD594" i="26" s="1"/>
  <c r="BC596" i="26"/>
  <c r="BD596" i="26" s="1"/>
  <c r="BC620" i="26"/>
  <c r="BD620" i="26" s="1"/>
  <c r="BC622" i="26"/>
  <c r="BD622" i="26" s="1"/>
  <c r="BC624" i="26"/>
  <c r="BD624" i="26" s="1"/>
  <c r="BC626" i="26"/>
  <c r="BD626" i="26" s="1"/>
  <c r="BC627" i="26"/>
  <c r="BD627" i="26" s="1"/>
  <c r="BC630" i="26"/>
  <c r="BD630" i="26" s="1"/>
  <c r="BC632" i="26"/>
  <c r="BD632" i="26" s="1"/>
  <c r="BC637" i="26"/>
  <c r="BD637" i="26" s="1"/>
  <c r="BC640" i="26"/>
  <c r="BD640" i="26" s="1"/>
  <c r="BC642" i="26"/>
  <c r="BD642" i="26" s="1"/>
  <c r="BC645" i="26"/>
  <c r="BD645" i="26" s="1"/>
  <c r="BC650" i="26"/>
  <c r="BD650" i="26" s="1"/>
  <c r="BC652" i="26"/>
  <c r="BD652" i="26" s="1"/>
  <c r="BC655" i="26"/>
  <c r="BD655" i="26" s="1"/>
  <c r="BC657" i="26"/>
  <c r="BD657" i="26" s="1"/>
  <c r="BC660" i="26"/>
  <c r="BD660" i="26" s="1"/>
  <c r="BC663" i="26"/>
  <c r="BD663" i="26" s="1"/>
  <c r="BC666" i="26"/>
  <c r="BD666" i="26" s="1"/>
  <c r="BC670" i="26"/>
  <c r="BD670" i="26" s="1"/>
  <c r="BC674" i="26"/>
  <c r="BD674" i="26" s="1"/>
  <c r="BC677" i="26"/>
  <c r="BD677" i="26" s="1"/>
  <c r="BC680" i="26"/>
  <c r="BD680" i="26" s="1"/>
  <c r="BC683" i="26"/>
  <c r="BD683" i="26" s="1"/>
  <c r="BC686" i="26"/>
  <c r="BD686" i="26" s="1"/>
  <c r="BC690" i="26"/>
  <c r="BD690" i="26" s="1"/>
  <c r="BC694" i="26"/>
  <c r="BD694" i="26" s="1"/>
  <c r="BC698" i="26"/>
  <c r="BD698" i="26" s="1"/>
  <c r="BC702" i="26"/>
  <c r="BD702" i="26" s="1"/>
  <c r="BC706" i="26"/>
  <c r="BD706" i="26" s="1"/>
  <c r="BC711" i="26"/>
  <c r="BD711" i="26" s="1"/>
  <c r="BC716" i="26"/>
  <c r="BD716" i="26" s="1"/>
  <c r="BC721" i="26"/>
  <c r="BD721" i="26" s="1"/>
  <c r="BC725" i="26"/>
  <c r="BD725" i="26" s="1"/>
  <c r="BC730" i="26"/>
  <c r="BD730" i="26" s="1"/>
  <c r="BC734" i="26"/>
  <c r="BD734" i="26" s="1"/>
  <c r="BC739" i="26"/>
  <c r="BD739" i="26" s="1"/>
  <c r="BC744" i="26"/>
  <c r="BD744" i="26" s="1"/>
  <c r="BC749" i="26"/>
  <c r="BD749" i="26" s="1"/>
  <c r="BC753" i="26"/>
  <c r="BD753" i="26" s="1"/>
  <c r="BC758" i="26"/>
  <c r="BD758" i="26" s="1"/>
  <c r="BC764" i="26"/>
  <c r="BD764" i="26" s="1"/>
  <c r="BC770" i="26"/>
  <c r="BD770" i="26" s="1"/>
  <c r="BC775" i="26"/>
  <c r="BD775" i="26" s="1"/>
  <c r="BC780" i="26"/>
  <c r="BD780" i="26" s="1"/>
  <c r="BC785" i="26"/>
  <c r="BD785" i="26" s="1"/>
  <c r="BC790" i="26"/>
  <c r="BD790" i="26" s="1"/>
  <c r="BC795" i="26"/>
  <c r="BD795" i="26" s="1"/>
  <c r="BC9" i="26"/>
  <c r="BD9" i="26" s="1"/>
  <c r="BC15" i="26"/>
  <c r="BD15" i="26" s="1"/>
  <c r="BC19" i="26"/>
  <c r="BD19" i="26" s="1"/>
  <c r="BC24" i="26"/>
  <c r="BD24" i="26" s="1"/>
  <c r="BC29" i="26"/>
  <c r="BD29" i="26" s="1"/>
  <c r="BC33" i="26"/>
  <c r="BD33" i="26" s="1"/>
  <c r="BC38" i="26"/>
  <c r="BD38" i="26" s="1"/>
  <c r="BC42" i="26"/>
  <c r="BD42" i="26" s="1"/>
  <c r="BC47" i="26"/>
  <c r="BD47" i="26" s="1"/>
  <c r="BC51" i="26"/>
  <c r="BD51" i="26" s="1"/>
  <c r="BC56" i="26"/>
  <c r="BD56" i="26" s="1"/>
  <c r="BC61" i="26"/>
  <c r="BD61" i="26" s="1"/>
  <c r="BC65" i="26"/>
  <c r="BD65" i="26" s="1"/>
  <c r="BC70" i="26"/>
  <c r="BD70" i="26" s="1"/>
  <c r="BC75" i="26"/>
  <c r="BD75" i="26" s="1"/>
  <c r="BC80" i="26"/>
  <c r="BD80" i="26" s="1"/>
  <c r="BC85" i="26"/>
  <c r="BD85" i="26" s="1"/>
  <c r="BC90" i="26"/>
  <c r="BD90" i="26" s="1"/>
  <c r="BC94" i="26"/>
  <c r="BD94" i="26" s="1"/>
  <c r="BC97" i="26"/>
  <c r="BD97" i="26" s="1"/>
  <c r="BC102" i="26"/>
  <c r="BD102" i="26" s="1"/>
  <c r="BC106" i="26"/>
  <c r="BD106" i="26" s="1"/>
  <c r="BC111" i="26"/>
  <c r="BD111" i="26" s="1"/>
  <c r="BC113" i="26"/>
  <c r="BD113" i="26" s="1"/>
  <c r="BC119" i="26"/>
  <c r="BD119" i="26" s="1"/>
  <c r="BC123" i="26"/>
  <c r="BD123" i="26" s="1"/>
  <c r="BC128" i="26"/>
  <c r="BD128" i="26" s="1"/>
  <c r="BC133" i="26"/>
  <c r="BD133" i="26" s="1"/>
  <c r="BC138" i="26"/>
  <c r="BD138" i="26" s="1"/>
  <c r="BC144" i="26"/>
  <c r="BD144" i="26" s="1"/>
  <c r="BC149" i="26"/>
  <c r="BD149" i="26" s="1"/>
  <c r="BC156" i="26"/>
  <c r="BD156" i="26" s="1"/>
  <c r="BC161" i="26"/>
  <c r="BD161" i="26" s="1"/>
  <c r="BC165" i="26"/>
  <c r="BD165" i="26" s="1"/>
  <c r="BC170" i="26"/>
  <c r="BD170" i="26" s="1"/>
  <c r="BC260" i="26"/>
  <c r="BD260" i="26" s="1"/>
  <c r="BC261" i="26"/>
  <c r="BD261" i="26" s="1"/>
  <c r="BC265" i="26"/>
  <c r="BD265" i="26" s="1"/>
  <c r="BC269" i="26"/>
  <c r="BD269" i="26" s="1"/>
  <c r="BC272" i="26"/>
  <c r="BD272" i="26" s="1"/>
  <c r="BC276" i="26"/>
  <c r="BD276" i="26" s="1"/>
  <c r="BC280" i="26"/>
  <c r="BD280" i="26" s="1"/>
  <c r="BC283" i="26"/>
  <c r="BD283" i="26" s="1"/>
  <c r="BC287" i="26"/>
  <c r="BD287" i="26" s="1"/>
  <c r="BC292" i="26"/>
  <c r="BD292" i="26" s="1"/>
  <c r="BC295" i="26"/>
  <c r="BD295" i="26" s="1"/>
  <c r="BC300" i="26"/>
  <c r="BD300" i="26" s="1"/>
  <c r="BC305" i="26"/>
  <c r="BD305" i="26" s="1"/>
  <c r="BC310" i="26"/>
  <c r="BD310" i="26" s="1"/>
  <c r="BC315" i="26"/>
  <c r="BD315" i="26" s="1"/>
  <c r="BC320" i="26"/>
  <c r="BD320" i="26" s="1"/>
  <c r="BC325" i="26"/>
  <c r="BD325" i="26" s="1"/>
  <c r="BC331" i="26"/>
  <c r="BD331" i="26" s="1"/>
  <c r="BC338" i="26"/>
  <c r="BD338" i="26" s="1"/>
  <c r="BC343" i="26"/>
  <c r="BD343" i="26" s="1"/>
  <c r="BC349" i="26"/>
  <c r="BD349" i="26" s="1"/>
  <c r="BC354" i="26"/>
  <c r="BD354" i="26" s="1"/>
  <c r="BC359" i="26"/>
  <c r="BD359" i="26" s="1"/>
  <c r="BC364" i="26"/>
  <c r="BD364" i="26" s="1"/>
  <c r="BC369" i="26"/>
  <c r="BD369" i="26" s="1"/>
  <c r="BC375" i="26"/>
  <c r="BD375" i="26" s="1"/>
  <c r="BC380" i="26"/>
  <c r="BD380" i="26" s="1"/>
  <c r="BC385" i="26"/>
  <c r="BD385" i="26" s="1"/>
  <c r="BC390" i="26"/>
  <c r="BD390" i="26" s="1"/>
  <c r="BC394" i="26"/>
  <c r="BD394" i="26" s="1"/>
  <c r="BC398" i="26"/>
  <c r="BD398" i="26" s="1"/>
  <c r="BC402" i="26"/>
  <c r="BD402" i="26" s="1"/>
  <c r="BC408" i="26"/>
  <c r="BD408" i="26" s="1"/>
  <c r="BC413" i="26"/>
  <c r="BD413" i="26" s="1"/>
  <c r="BC418" i="26"/>
  <c r="BD418" i="26" s="1"/>
  <c r="BC423" i="26"/>
  <c r="BD423" i="26" s="1"/>
  <c r="BC427" i="26"/>
  <c r="BD427" i="26" s="1"/>
  <c r="BC432" i="26"/>
  <c r="BD432" i="26" s="1"/>
  <c r="BC438" i="26"/>
  <c r="BD438" i="26" s="1"/>
  <c r="BC442" i="26"/>
  <c r="BD442" i="26" s="1"/>
  <c r="BC446" i="26"/>
  <c r="BD446" i="26" s="1"/>
  <c r="BC451" i="26"/>
  <c r="BD451" i="26" s="1"/>
  <c r="BC456" i="26"/>
  <c r="BD456" i="26" s="1"/>
  <c r="BC461" i="26"/>
  <c r="BD461" i="26" s="1"/>
  <c r="BC466" i="26"/>
  <c r="BD466" i="26" s="1"/>
  <c r="BC609" i="26"/>
  <c r="BD609" i="26" s="1"/>
  <c r="BC613" i="26"/>
  <c r="BD613" i="26" s="1"/>
  <c r="BC615" i="26"/>
  <c r="BD615" i="26" s="1"/>
  <c r="BC617" i="26"/>
  <c r="BD617" i="26" s="1"/>
  <c r="BC618" i="26"/>
  <c r="BD618" i="26" s="1"/>
  <c r="BC619" i="26"/>
  <c r="BD619" i="26" s="1"/>
  <c r="BC621" i="26"/>
  <c r="BD621" i="26" s="1"/>
  <c r="BC623" i="26"/>
  <c r="BD623" i="26" s="1"/>
  <c r="BC625" i="26"/>
  <c r="BD625" i="26" s="1"/>
  <c r="BC628" i="26"/>
  <c r="BD628" i="26" s="1"/>
  <c r="BC629" i="26"/>
  <c r="BD629" i="26" s="1"/>
  <c r="BC631" i="26"/>
  <c r="BD631" i="26" s="1"/>
  <c r="BC633" i="26"/>
  <c r="BD633" i="26" s="1"/>
  <c r="BC634" i="26"/>
  <c r="BD634" i="26" s="1"/>
  <c r="BC635" i="26"/>
  <c r="BD635" i="26" s="1"/>
  <c r="BC636" i="26"/>
  <c r="BD636" i="26" s="1"/>
  <c r="BC639" i="26"/>
  <c r="BD639" i="26" s="1"/>
  <c r="BC641" i="26"/>
  <c r="BD641" i="26" s="1"/>
  <c r="BC644" i="26"/>
  <c r="BD644" i="26" s="1"/>
  <c r="BC647" i="26"/>
  <c r="BD647" i="26" s="1"/>
  <c r="BC648" i="26"/>
  <c r="BD648" i="26" s="1"/>
  <c r="BC651" i="26"/>
  <c r="BD651" i="26" s="1"/>
  <c r="BC654" i="26"/>
  <c r="BD654" i="26" s="1"/>
  <c r="BC658" i="26"/>
  <c r="BD658" i="26" s="1"/>
  <c r="BC661" i="26"/>
  <c r="BD661" i="26" s="1"/>
  <c r="BC664" i="26"/>
  <c r="BD664" i="26" s="1"/>
  <c r="BC668" i="26"/>
  <c r="BD668" i="26" s="1"/>
  <c r="BC671" i="26"/>
  <c r="BD671" i="26" s="1"/>
  <c r="BC673" i="26"/>
  <c r="BD673" i="26" s="1"/>
  <c r="BC676" i="26"/>
  <c r="BD676" i="26" s="1"/>
  <c r="BC678" i="26"/>
  <c r="BD678" i="26" s="1"/>
  <c r="BC681" i="26"/>
  <c r="BD681" i="26" s="1"/>
  <c r="BC684" i="26"/>
  <c r="BD684" i="26" s="1"/>
  <c r="BC688" i="26"/>
  <c r="BD688" i="26" s="1"/>
  <c r="BC692" i="26"/>
  <c r="BD692" i="26" s="1"/>
  <c r="BC695" i="26"/>
  <c r="BD695" i="26" s="1"/>
  <c r="BC699" i="26"/>
  <c r="BD699" i="26" s="1"/>
  <c r="BC703" i="26"/>
  <c r="BD703" i="26" s="1"/>
  <c r="BC707" i="26"/>
  <c r="BD707" i="26" s="1"/>
  <c r="BC710" i="26"/>
  <c r="BD710" i="26" s="1"/>
  <c r="BC714" i="26"/>
  <c r="BD714" i="26" s="1"/>
  <c r="BC718" i="26"/>
  <c r="BD718" i="26" s="1"/>
  <c r="BC722" i="26"/>
  <c r="BD722" i="26" s="1"/>
  <c r="BC726" i="26"/>
  <c r="BD726" i="26" s="1"/>
  <c r="BC729" i="26"/>
  <c r="BD729" i="26" s="1"/>
  <c r="BC733" i="26"/>
  <c r="BD733" i="26" s="1"/>
  <c r="BC738" i="26"/>
  <c r="BD738" i="26" s="1"/>
  <c r="BC742" i="26"/>
  <c r="BD742" i="26" s="1"/>
  <c r="BC746" i="26"/>
  <c r="BD746" i="26" s="1"/>
  <c r="BC751" i="26"/>
  <c r="BD751" i="26" s="1"/>
  <c r="BC756" i="26"/>
  <c r="BD756" i="26" s="1"/>
  <c r="BC760" i="26"/>
  <c r="BD760" i="26" s="1"/>
  <c r="BC765" i="26"/>
  <c r="BD765" i="26" s="1"/>
  <c r="BC769" i="26"/>
  <c r="BD769" i="26" s="1"/>
  <c r="BC774" i="26"/>
  <c r="BD774" i="26" s="1"/>
  <c r="BC779" i="26"/>
  <c r="BD779" i="26" s="1"/>
  <c r="BC786" i="26"/>
  <c r="BD786" i="26" s="1"/>
  <c r="BC791" i="26"/>
  <c r="BD791" i="26" s="1"/>
  <c r="BC796" i="26"/>
  <c r="BD796" i="26" s="1"/>
  <c r="E33" i="25" a="1"/>
  <c r="B36" i="25" a="1"/>
  <c r="C34" i="25" a="1"/>
  <c r="D33" i="25" a="1"/>
  <c r="B34" i="25" a="1"/>
  <c r="D35" i="25" a="1"/>
  <c r="D36" i="25" a="1"/>
  <c r="E36" i="25" a="1"/>
  <c r="C36" i="25" a="1"/>
  <c r="D34" i="25" a="1"/>
  <c r="E35" i="25" a="1"/>
  <c r="E34" i="25" a="1"/>
  <c r="C35" i="25" a="1"/>
  <c r="B35" i="25" a="1"/>
  <c r="C33" i="25" a="1"/>
  <c r="BE221" i="26"/>
  <c r="BE169" i="26"/>
  <c r="BE100" i="26"/>
  <c r="BE140" i="26"/>
  <c r="BE346" i="26"/>
  <c r="BE357" i="26"/>
  <c r="BE682" i="26"/>
  <c r="BE244" i="26"/>
  <c r="BE232" i="26"/>
  <c r="BE231" i="26"/>
  <c r="BE102" i="26"/>
  <c r="BE37" i="26"/>
  <c r="BE212" i="26"/>
  <c r="BE116" i="26"/>
  <c r="BE19" i="26"/>
  <c r="BE22" i="26"/>
  <c r="AK755" i="26"/>
  <c r="BU755" i="26" s="1"/>
  <c r="BV755" i="26" s="1"/>
  <c r="AK505" i="26"/>
  <c r="BU505" i="26" s="1"/>
  <c r="BV505" i="26" s="1"/>
  <c r="AK758" i="26"/>
  <c r="BU758" i="26" s="1"/>
  <c r="BV758" i="26" s="1"/>
  <c r="AK37" i="26"/>
  <c r="BU37" i="26" s="1"/>
  <c r="BV37" i="26" s="1"/>
  <c r="AK654" i="26"/>
  <c r="BU654" i="26" s="1"/>
  <c r="BV654" i="26" s="1"/>
  <c r="BE64" i="26"/>
  <c r="BE148" i="26"/>
  <c r="BE253" i="26"/>
  <c r="BE350" i="26"/>
  <c r="BE781" i="26"/>
  <c r="BE789" i="26"/>
  <c r="AK634" i="26"/>
  <c r="BU634" i="26" s="1"/>
  <c r="BV634" i="26" s="1"/>
  <c r="BE33" i="26"/>
  <c r="BE67" i="26"/>
  <c r="BE112" i="26"/>
  <c r="BE133" i="26"/>
  <c r="BE159" i="26"/>
  <c r="BE183" i="26"/>
  <c r="BE196" i="26"/>
  <c r="BE217" i="26"/>
  <c r="BE269" i="26"/>
  <c r="BE369" i="26"/>
  <c r="BE382" i="26"/>
  <c r="BE398" i="26"/>
  <c r="BE406" i="26"/>
  <c r="AK647" i="26"/>
  <c r="BU647" i="26" s="1"/>
  <c r="BV647" i="26" s="1"/>
  <c r="AK560" i="26"/>
  <c r="BU560" i="26" s="1"/>
  <c r="BV560" i="26" s="1"/>
  <c r="BE10" i="26"/>
  <c r="BE80" i="26"/>
  <c r="BE242" i="26"/>
  <c r="BE273" i="26"/>
  <c r="BE320" i="26"/>
  <c r="BE375" i="26"/>
  <c r="BE380" i="26"/>
  <c r="BE396" i="26"/>
  <c r="BE417" i="26"/>
  <c r="BE425" i="26"/>
  <c r="BE433" i="26"/>
  <c r="BE441" i="26"/>
  <c r="BE449" i="26"/>
  <c r="BE457" i="26"/>
  <c r="BE465" i="26"/>
  <c r="BE473" i="26"/>
  <c r="BE481" i="26"/>
  <c r="BE489" i="26"/>
  <c r="BE497" i="26"/>
  <c r="BE505" i="26"/>
  <c r="BE513" i="26"/>
  <c r="BE521" i="26"/>
  <c r="BE529" i="26"/>
  <c r="BE537" i="26"/>
  <c r="BE545" i="26"/>
  <c r="BE553" i="26"/>
  <c r="BE561" i="26"/>
  <c r="BE569" i="26"/>
  <c r="BE577" i="26"/>
  <c r="BE585" i="26"/>
  <c r="BE593" i="26"/>
  <c r="BE601" i="26"/>
  <c r="BE609" i="26"/>
  <c r="BE617" i="26"/>
  <c r="BE625" i="26"/>
  <c r="BE633" i="26"/>
  <c r="BE641" i="26"/>
  <c r="BE649" i="26"/>
  <c r="BE657" i="26"/>
  <c r="BE665" i="26"/>
  <c r="BE673" i="26"/>
  <c r="BE681" i="26"/>
  <c r="BE697" i="26"/>
  <c r="BE705" i="26"/>
  <c r="BE713" i="26"/>
  <c r="BE721" i="26"/>
  <c r="BE729" i="26"/>
  <c r="BE753" i="26"/>
  <c r="BE766" i="26"/>
  <c r="BE795" i="26"/>
  <c r="AK559" i="26"/>
  <c r="BU559" i="26" s="1"/>
  <c r="BV559" i="26" s="1"/>
  <c r="BE268" i="26"/>
  <c r="BE748" i="26"/>
  <c r="AK189" i="26"/>
  <c r="BU189" i="26" s="1"/>
  <c r="BV189" i="26" s="1"/>
  <c r="AK754" i="26"/>
  <c r="BU754" i="26" s="1"/>
  <c r="BV754" i="26" s="1"/>
  <c r="BE8" i="26"/>
  <c r="BE52" i="26"/>
  <c r="BE65" i="26"/>
  <c r="BE86" i="26"/>
  <c r="BE180" i="26"/>
  <c r="BE214" i="26"/>
  <c r="BE222" i="26"/>
  <c r="BE271" i="26"/>
  <c r="BE365" i="26"/>
  <c r="BE463" i="26"/>
  <c r="BE471" i="26"/>
  <c r="BE479" i="26"/>
  <c r="BE487" i="26"/>
  <c r="BE495" i="26"/>
  <c r="BE503" i="26"/>
  <c r="BE511" i="26"/>
  <c r="BE519" i="26"/>
  <c r="BE527" i="26"/>
  <c r="BE535" i="26"/>
  <c r="BE543" i="26"/>
  <c r="BE559" i="26"/>
  <c r="BE567" i="26"/>
  <c r="BE575" i="26"/>
  <c r="BE583" i="26"/>
  <c r="BE591" i="26"/>
  <c r="BE599" i="26"/>
  <c r="BE607" i="26"/>
  <c r="BE615" i="26"/>
  <c r="BE623" i="26"/>
  <c r="BE631" i="26"/>
  <c r="BE639" i="26"/>
  <c r="BE647" i="26"/>
  <c r="BE655" i="26"/>
  <c r="BE663" i="26"/>
  <c r="BE671" i="26"/>
  <c r="BE679" i="26"/>
  <c r="BE687" i="26"/>
  <c r="BE695" i="26"/>
  <c r="BE703" i="26"/>
  <c r="BE711" i="26"/>
  <c r="BE719" i="26"/>
  <c r="BE727" i="26"/>
  <c r="AK792" i="26"/>
  <c r="BU792" i="26" s="1"/>
  <c r="BV792" i="26" s="1"/>
  <c r="BE50" i="26"/>
  <c r="BE154" i="26"/>
  <c r="BE178" i="26"/>
  <c r="BE334" i="26"/>
  <c r="AK793" i="26"/>
  <c r="BU793" i="26" s="1"/>
  <c r="BV793" i="26" s="1"/>
  <c r="BE45" i="26"/>
  <c r="BE778" i="26"/>
  <c r="BE79" i="26"/>
  <c r="BE87" i="26"/>
  <c r="BE108" i="26"/>
  <c r="BE181" i="26"/>
  <c r="BE223" i="26"/>
  <c r="BE241" i="26"/>
  <c r="BE319" i="26"/>
  <c r="BE327" i="26"/>
  <c r="BE332" i="26"/>
  <c r="BE387" i="26"/>
  <c r="BE403" i="26"/>
  <c r="BE424" i="26"/>
  <c r="BE432" i="26"/>
  <c r="BE440" i="26"/>
  <c r="BE448" i="26"/>
  <c r="BE456" i="26"/>
  <c r="BE752" i="26"/>
  <c r="AK781" i="26"/>
  <c r="BU781" i="26" s="1"/>
  <c r="BV781" i="26" s="1"/>
  <c r="AK386" i="26"/>
  <c r="BU386" i="26" s="1"/>
  <c r="BV386" i="26" s="1"/>
  <c r="BE93" i="26"/>
  <c r="BE129" i="26"/>
  <c r="BE317" i="26"/>
  <c r="AK680" i="26"/>
  <c r="BU680" i="26" s="1"/>
  <c r="BV680" i="26" s="1"/>
  <c r="BE551" i="26"/>
  <c r="BE292" i="26"/>
  <c r="AK752" i="26"/>
  <c r="BU752" i="26" s="1"/>
  <c r="BV752" i="26" s="1"/>
  <c r="AK633" i="26"/>
  <c r="BU633" i="26" s="1"/>
  <c r="BV633" i="26" s="1"/>
  <c r="BE618" i="26"/>
  <c r="BE634" i="26"/>
  <c r="AK159" i="26"/>
  <c r="BU159" i="26" s="1"/>
  <c r="BV159" i="26" s="1"/>
  <c r="AK757" i="26"/>
  <c r="BU757" i="26" s="1"/>
  <c r="BV757" i="26" s="1"/>
  <c r="AK646" i="26"/>
  <c r="BU646" i="26" s="1"/>
  <c r="BV646" i="26" s="1"/>
  <c r="AK653" i="26"/>
  <c r="BU653" i="26" s="1"/>
  <c r="BV653" i="26" s="1"/>
  <c r="BE51" i="26"/>
  <c r="BE101" i="26"/>
  <c r="BE119" i="26"/>
  <c r="BE127" i="26"/>
  <c r="BE132" i="26"/>
  <c r="BE137" i="26"/>
  <c r="BE142" i="26"/>
  <c r="BE191" i="26"/>
  <c r="BE255" i="26"/>
  <c r="BE260" i="26"/>
  <c r="BE290" i="26"/>
  <c r="BE305" i="26"/>
  <c r="BE392" i="26"/>
  <c r="BE400" i="26"/>
  <c r="BE751" i="26"/>
  <c r="BE785" i="26"/>
  <c r="BE12" i="26"/>
  <c r="BE29" i="26"/>
  <c r="BE68" i="26"/>
  <c r="BE105" i="26"/>
  <c r="BE110" i="26"/>
  <c r="BE147" i="26"/>
  <c r="BE190" i="26"/>
  <c r="BE195" i="26"/>
  <c r="BE205" i="26"/>
  <c r="BE245" i="26"/>
  <c r="BE250" i="26"/>
  <c r="BE338" i="26"/>
  <c r="BE412" i="26"/>
  <c r="BE420" i="26"/>
  <c r="BE428" i="26"/>
  <c r="BE436" i="26"/>
  <c r="BE444" i="26"/>
  <c r="BE452" i="26"/>
  <c r="BE460" i="26"/>
  <c r="BE468" i="26"/>
  <c r="BE476" i="26"/>
  <c r="BE484" i="26"/>
  <c r="BE492" i="26"/>
  <c r="BE500" i="26"/>
  <c r="BE508" i="26"/>
  <c r="BE516" i="26"/>
  <c r="BE524" i="26"/>
  <c r="BE532" i="26"/>
  <c r="BE540" i="26"/>
  <c r="BE548" i="26"/>
  <c r="BE556" i="26"/>
  <c r="BE564" i="26"/>
  <c r="BE572" i="26"/>
  <c r="BE580" i="26"/>
  <c r="BE588" i="26"/>
  <c r="BE596" i="26"/>
  <c r="BE604" i="26"/>
  <c r="BE612" i="26"/>
  <c r="BE620" i="26"/>
  <c r="BE628" i="26"/>
  <c r="BE636" i="26"/>
  <c r="BE644" i="26"/>
  <c r="BE652" i="26"/>
  <c r="BE660" i="26"/>
  <c r="BE668" i="26"/>
  <c r="BE676" i="26"/>
  <c r="BE684" i="26"/>
  <c r="BE692" i="26"/>
  <c r="BE700" i="26"/>
  <c r="BE708" i="26"/>
  <c r="BE716" i="26"/>
  <c r="BE724" i="26"/>
  <c r="BE794" i="26"/>
  <c r="AK795" i="26"/>
  <c r="BU795" i="26" s="1"/>
  <c r="BV795" i="26" s="1"/>
  <c r="BE49" i="26"/>
  <c r="BE76" i="26"/>
  <c r="BE98" i="26"/>
  <c r="BE150" i="26"/>
  <c r="BE193" i="26"/>
  <c r="BE213" i="26"/>
  <c r="BE233" i="26"/>
  <c r="BE238" i="26"/>
  <c r="BE243" i="26"/>
  <c r="BE248" i="26"/>
  <c r="BE374" i="26"/>
  <c r="BE771" i="26"/>
  <c r="AK550" i="26"/>
  <c r="BU550" i="26" s="1"/>
  <c r="BV550" i="26" s="1"/>
  <c r="AK525" i="26"/>
  <c r="BU525" i="26" s="1"/>
  <c r="BV525" i="26" s="1"/>
  <c r="AK791" i="26"/>
  <c r="BU791" i="26" s="1"/>
  <c r="BV791" i="26" s="1"/>
  <c r="BE77" i="26"/>
  <c r="BE82" i="26"/>
  <c r="BE303" i="26"/>
  <c r="AK796" i="26"/>
  <c r="BU796" i="26" s="1"/>
  <c r="BV796" i="26" s="1"/>
  <c r="AK794" i="26"/>
  <c r="BU794" i="26" s="1"/>
  <c r="BV794" i="26" s="1"/>
  <c r="AK553" i="26"/>
  <c r="BU553" i="26" s="1"/>
  <c r="BV553" i="26" s="1"/>
  <c r="AK506" i="26"/>
  <c r="BU506" i="26" s="1"/>
  <c r="BV506" i="26" s="1"/>
  <c r="BE276" i="26"/>
  <c r="BE55" i="26"/>
  <c r="BE202" i="26"/>
  <c r="BE207" i="26"/>
  <c r="BE247" i="26"/>
  <c r="BE306" i="26"/>
  <c r="AK626" i="26"/>
  <c r="BU626" i="26" s="1"/>
  <c r="BV626" i="26" s="1"/>
  <c r="AK507" i="26"/>
  <c r="BU507" i="26" s="1"/>
  <c r="BV507" i="26" s="1"/>
  <c r="BE95" i="26"/>
  <c r="BE689" i="26"/>
  <c r="AK652" i="26"/>
  <c r="BU652" i="26" s="1"/>
  <c r="BV652" i="26" s="1"/>
  <c r="BE17" i="26"/>
  <c r="BE24" i="26"/>
  <c r="BE36" i="26"/>
  <c r="BE78" i="26"/>
  <c r="BE117" i="26"/>
  <c r="BE157" i="26"/>
  <c r="BE162" i="26"/>
  <c r="BE167" i="26"/>
  <c r="BE172" i="26"/>
  <c r="BE177" i="26"/>
  <c r="BE200" i="26"/>
  <c r="BE220" i="26"/>
  <c r="BE240" i="26"/>
  <c r="BE289" i="26"/>
  <c r="BE304" i="26"/>
  <c r="BE311" i="26"/>
  <c r="BE328" i="26"/>
  <c r="BE333" i="26"/>
  <c r="BE353" i="26"/>
  <c r="BE358" i="26"/>
  <c r="BE363" i="26"/>
  <c r="BE386" i="26"/>
  <c r="BE737" i="26"/>
  <c r="BE786" i="26"/>
  <c r="BJ716" i="26"/>
  <c r="AK569" i="26"/>
  <c r="BU569" i="26" s="1"/>
  <c r="BV569" i="26" s="1"/>
  <c r="AK464" i="26"/>
  <c r="BU464" i="26" s="1"/>
  <c r="BV464" i="26" s="1"/>
  <c r="AK759" i="26"/>
  <c r="BU759" i="26" s="1"/>
  <c r="BV759" i="26" s="1"/>
  <c r="AK246" i="26"/>
  <c r="BU246" i="26" s="1"/>
  <c r="BV246" i="26" s="1"/>
  <c r="AK516" i="26"/>
  <c r="BU516" i="26" s="1"/>
  <c r="BV516" i="26" s="1"/>
  <c r="AK531" i="26"/>
  <c r="BU531" i="26" s="1"/>
  <c r="BV531" i="26" s="1"/>
  <c r="BE27" i="26"/>
  <c r="BE41" i="26"/>
  <c r="BE104" i="26"/>
  <c r="BE125" i="26"/>
  <c r="BE146" i="26"/>
  <c r="BE158" i="26"/>
  <c r="BE165" i="26"/>
  <c r="BE170" i="26"/>
  <c r="BE189" i="26"/>
  <c r="BE208" i="26"/>
  <c r="BE323" i="26"/>
  <c r="BE337" i="26"/>
  <c r="BE378" i="26"/>
  <c r="BE390" i="26"/>
  <c r="BE407" i="26"/>
  <c r="AK649" i="26"/>
  <c r="BU649" i="26" s="1"/>
  <c r="BV649" i="26" s="1"/>
  <c r="AK756" i="26"/>
  <c r="BU756" i="26" s="1"/>
  <c r="BV756" i="26" s="1"/>
  <c r="AK147" i="26"/>
  <c r="BU147" i="26" s="1"/>
  <c r="BV147" i="26" s="1"/>
  <c r="AK238" i="26"/>
  <c r="BU238" i="26" s="1"/>
  <c r="BV238" i="26" s="1"/>
  <c r="AK542" i="26"/>
  <c r="BU542" i="26" s="1"/>
  <c r="BV542" i="26" s="1"/>
  <c r="AK636" i="26"/>
  <c r="BU636" i="26" s="1"/>
  <c r="BV636" i="26" s="1"/>
  <c r="AK650" i="26"/>
  <c r="BU650" i="26" s="1"/>
  <c r="BV650" i="26" s="1"/>
  <c r="AK237" i="26"/>
  <c r="BU237" i="26" s="1"/>
  <c r="BV237" i="26" s="1"/>
  <c r="AK417" i="26"/>
  <c r="BU417" i="26" s="1"/>
  <c r="BV417" i="26" s="1"/>
  <c r="BE18" i="26"/>
  <c r="BE25" i="26"/>
  <c r="BE168" i="26"/>
  <c r="BE199" i="26"/>
  <c r="BE206" i="26"/>
  <c r="BE225" i="26"/>
  <c r="BE237" i="26"/>
  <c r="BE249" i="26"/>
  <c r="BE270" i="26"/>
  <c r="BE293" i="26"/>
  <c r="BE307" i="26"/>
  <c r="BE321" i="26"/>
  <c r="BE335" i="26"/>
  <c r="BE376" i="26"/>
  <c r="BE732" i="26"/>
  <c r="BE792" i="26"/>
  <c r="BJ781" i="26"/>
  <c r="AK243" i="26"/>
  <c r="BU243" i="26" s="1"/>
  <c r="BV243" i="26" s="1"/>
  <c r="AK247" i="26"/>
  <c r="BU247" i="26" s="1"/>
  <c r="BV247" i="26" s="1"/>
  <c r="AK290" i="26"/>
  <c r="BU290" i="26" s="1"/>
  <c r="BV290" i="26" s="1"/>
  <c r="AK551" i="26"/>
  <c r="BU551" i="26" s="1"/>
  <c r="BV551" i="26" s="1"/>
  <c r="BE9" i="26"/>
  <c r="BE109" i="26"/>
  <c r="BE130" i="26"/>
  <c r="BE163" i="26"/>
  <c r="BE230" i="26"/>
  <c r="BE256" i="26"/>
  <c r="BE277" i="26"/>
  <c r="BE284" i="26"/>
  <c r="BE298" i="26"/>
  <c r="BE312" i="26"/>
  <c r="BE359" i="26"/>
  <c r="BE366" i="26"/>
  <c r="BE415" i="26"/>
  <c r="BE423" i="26"/>
  <c r="BE431" i="26"/>
  <c r="BE439" i="26"/>
  <c r="BE447" i="26"/>
  <c r="BE455" i="26"/>
  <c r="AK245" i="26"/>
  <c r="BU245" i="26" s="1"/>
  <c r="BV245" i="26" s="1"/>
  <c r="AK346" i="26"/>
  <c r="BU346" i="26" s="1"/>
  <c r="BV346" i="26" s="1"/>
  <c r="AK632" i="26"/>
  <c r="BU632" i="26" s="1"/>
  <c r="BV632" i="26" s="1"/>
  <c r="AK753" i="26"/>
  <c r="BU753" i="26" s="1"/>
  <c r="BV753" i="26" s="1"/>
  <c r="BE44" i="26"/>
  <c r="BE58" i="26"/>
  <c r="BE72" i="26"/>
  <c r="BE128" i="26"/>
  <c r="BE161" i="26"/>
  <c r="BE173" i="26"/>
  <c r="BE192" i="26"/>
  <c r="BE254" i="26"/>
  <c r="BE261" i="26"/>
  <c r="BE275" i="26"/>
  <c r="BE282" i="26"/>
  <c r="BE296" i="26"/>
  <c r="BE340" i="26"/>
  <c r="BE345" i="26"/>
  <c r="BE364" i="26"/>
  <c r="BE381" i="26"/>
  <c r="BE418" i="26"/>
  <c r="BE426" i="26"/>
  <c r="BE434" i="26"/>
  <c r="BE442" i="26"/>
  <c r="BE450" i="26"/>
  <c r="BE458" i="26"/>
  <c r="BE775" i="26"/>
  <c r="BE780" i="26"/>
  <c r="BE498" i="26"/>
  <c r="BE554" i="26"/>
  <c r="BE602" i="26"/>
  <c r="BE610" i="26"/>
  <c r="BE698" i="26"/>
  <c r="BE637" i="26"/>
  <c r="BE645" i="26"/>
  <c r="BE769" i="26"/>
  <c r="BE464" i="26"/>
  <c r="BE472" i="26"/>
  <c r="BE480" i="26"/>
  <c r="BE488" i="26"/>
  <c r="BE496" i="26"/>
  <c r="BE504" i="26"/>
  <c r="BE512" i="26"/>
  <c r="BE520" i="26"/>
  <c r="BE528" i="26"/>
  <c r="BE536" i="26"/>
  <c r="BE544" i="26"/>
  <c r="BE552" i="26"/>
  <c r="BE560" i="26"/>
  <c r="BE568" i="26"/>
  <c r="BE576" i="26"/>
  <c r="BE584" i="26"/>
  <c r="BE592" i="26"/>
  <c r="BE600" i="26"/>
  <c r="BE608" i="26"/>
  <c r="BE616" i="26"/>
  <c r="BE624" i="26"/>
  <c r="BE632" i="26"/>
  <c r="BE640" i="26"/>
  <c r="BE648" i="26"/>
  <c r="BE656" i="26"/>
  <c r="BE664" i="26"/>
  <c r="BE672" i="26"/>
  <c r="BE680" i="26"/>
  <c r="BE688" i="26"/>
  <c r="BE696" i="26"/>
  <c r="BE704" i="26"/>
  <c r="BE712" i="26"/>
  <c r="BE720" i="26"/>
  <c r="BE728" i="26"/>
  <c r="BE750" i="26"/>
  <c r="BE757" i="26"/>
  <c r="BJ427" i="26"/>
  <c r="BO607" i="26" a="1"/>
  <c r="BJ775" i="26"/>
  <c r="BJ783" i="26"/>
  <c r="BE467" i="26"/>
  <c r="BE475" i="26"/>
  <c r="BE491" i="26"/>
  <c r="BE499" i="26"/>
  <c r="BE507" i="26"/>
  <c r="BE515" i="26"/>
  <c r="BE523" i="26"/>
  <c r="BE531" i="26"/>
  <c r="BE539" i="26"/>
  <c r="BE547" i="26"/>
  <c r="BE579" i="26"/>
  <c r="BE587" i="26"/>
  <c r="BE595" i="26"/>
  <c r="BE603" i="26"/>
  <c r="BE611" i="26"/>
  <c r="BE619" i="26"/>
  <c r="BE627" i="26"/>
  <c r="BE635" i="26"/>
  <c r="BE643" i="26"/>
  <c r="BE651" i="26"/>
  <c r="BE659" i="26"/>
  <c r="BE667" i="26"/>
  <c r="BE675" i="26"/>
  <c r="BE683" i="26"/>
  <c r="BE691" i="26"/>
  <c r="BE699" i="26"/>
  <c r="BE715" i="26"/>
  <c r="BE736" i="26"/>
  <c r="BE791" i="26"/>
  <c r="AK254" i="26"/>
  <c r="BU254" i="26" s="1"/>
  <c r="BV254" i="26" s="1"/>
  <c r="AK422" i="26"/>
  <c r="BU422" i="26" s="1"/>
  <c r="BV422" i="26" s="1"/>
  <c r="AK401" i="26"/>
  <c r="BU401" i="26" s="1"/>
  <c r="BV401" i="26" s="1"/>
  <c r="BE143" i="26"/>
  <c r="BE224" i="26"/>
  <c r="BE759" i="26"/>
  <c r="BE764" i="26"/>
  <c r="AK511" i="26"/>
  <c r="BU511" i="26" s="1"/>
  <c r="BV511" i="26" s="1"/>
  <c r="AK778" i="26"/>
  <c r="BU778" i="26" s="1"/>
  <c r="BV778" i="26" s="1"/>
  <c r="AK556" i="26"/>
  <c r="BU556" i="26" s="1"/>
  <c r="BV556" i="26" s="1"/>
  <c r="BE120" i="26"/>
  <c r="BE210" i="26"/>
  <c r="BE215" i="26"/>
  <c r="AK293" i="26"/>
  <c r="BU293" i="26" s="1"/>
  <c r="BV293" i="26" s="1"/>
  <c r="AK712" i="26"/>
  <c r="BU712" i="26" s="1"/>
  <c r="BV712" i="26" s="1"/>
  <c r="AK545" i="26"/>
  <c r="BU545" i="26" s="1"/>
  <c r="BV545" i="26" s="1"/>
  <c r="AK299" i="26"/>
  <c r="BU299" i="26" s="1"/>
  <c r="BV299" i="26" s="1"/>
  <c r="AK544" i="26"/>
  <c r="BU544" i="26" s="1"/>
  <c r="BV544" i="26" s="1"/>
  <c r="BE99" i="26"/>
  <c r="BE113" i="26"/>
  <c r="BE201" i="26"/>
  <c r="AK639" i="26"/>
  <c r="BU639" i="26" s="1"/>
  <c r="BV639" i="26" s="1"/>
  <c r="AK640" i="26"/>
  <c r="BU640" i="26" s="1"/>
  <c r="BV640" i="26" s="1"/>
  <c r="AK141" i="26"/>
  <c r="BU141" i="26" s="1"/>
  <c r="BV141" i="26" s="1"/>
  <c r="AK421" i="26"/>
  <c r="BU421" i="26" s="1"/>
  <c r="BV421" i="26" s="1"/>
  <c r="AK512" i="26"/>
  <c r="BU512" i="26" s="1"/>
  <c r="BV512" i="26" s="1"/>
  <c r="BE23" i="26"/>
  <c r="BE46" i="26"/>
  <c r="BE69" i="26"/>
  <c r="BE83" i="26"/>
  <c r="BE97" i="26"/>
  <c r="BE111" i="26"/>
  <c r="BE118" i="26"/>
  <c r="BE182" i="26"/>
  <c r="BE272" i="26"/>
  <c r="BE279" i="26"/>
  <c r="BE302" i="26"/>
  <c r="BE325" i="26"/>
  <c r="BE339" i="26"/>
  <c r="AK562" i="26"/>
  <c r="BU562" i="26" s="1"/>
  <c r="BV562" i="26" s="1"/>
  <c r="AK471" i="26"/>
  <c r="BU471" i="26" s="1"/>
  <c r="BV471" i="26" s="1"/>
  <c r="AK732" i="26"/>
  <c r="BU732" i="26" s="1"/>
  <c r="BV732" i="26" s="1"/>
  <c r="AK162" i="26"/>
  <c r="BU162" i="26" s="1"/>
  <c r="BV162" i="26" s="1"/>
  <c r="AK692" i="26"/>
  <c r="BU692" i="26" s="1"/>
  <c r="BV692" i="26" s="1"/>
  <c r="BE30" i="26"/>
  <c r="BE53" i="26"/>
  <c r="BE60" i="26"/>
  <c r="BE74" i="26"/>
  <c r="BE88" i="26"/>
  <c r="BE194" i="26"/>
  <c r="BE263" i="26"/>
  <c r="BE286" i="26"/>
  <c r="BE309" i="26"/>
  <c r="BE316" i="26"/>
  <c r="BE330" i="26"/>
  <c r="BE344" i="26"/>
  <c r="BE15" i="26"/>
  <c r="BE31" i="26"/>
  <c r="BE54" i="26"/>
  <c r="BE114" i="26"/>
  <c r="BE121" i="26"/>
  <c r="BE144" i="26"/>
  <c r="BE151" i="26"/>
  <c r="BE174" i="26"/>
  <c r="BE197" i="26"/>
  <c r="BE204" i="26"/>
  <c r="BE227" i="26"/>
  <c r="BE234" i="26"/>
  <c r="BE257" i="26"/>
  <c r="BE264" i="26"/>
  <c r="BE373" i="26"/>
  <c r="BE743" i="26"/>
  <c r="BE755" i="26"/>
  <c r="BE762" i="26"/>
  <c r="BE784" i="26"/>
  <c r="BE796" i="26"/>
  <c r="BE20" i="26"/>
  <c r="BE66" i="26"/>
  <c r="BE73" i="26"/>
  <c r="BE96" i="26"/>
  <c r="BE103" i="26"/>
  <c r="BE126" i="26"/>
  <c r="BE149" i="26"/>
  <c r="BE156" i="26"/>
  <c r="BE179" i="26"/>
  <c r="BE186" i="26"/>
  <c r="BE209" i="26"/>
  <c r="BE216" i="26"/>
  <c r="BE239" i="26"/>
  <c r="BE322" i="26"/>
  <c r="BE329" i="26"/>
  <c r="BE352" i="26"/>
  <c r="BE371" i="26"/>
  <c r="BE782" i="26"/>
  <c r="AK462" i="26"/>
  <c r="BU462" i="26" s="1"/>
  <c r="BV462" i="26" s="1"/>
  <c r="AK641" i="26"/>
  <c r="BU641" i="26" s="1"/>
  <c r="BV641" i="26" s="1"/>
  <c r="AK146" i="26"/>
  <c r="BU146" i="26" s="1"/>
  <c r="BV146" i="26" s="1"/>
  <c r="AK405" i="26"/>
  <c r="BU405" i="26" s="1"/>
  <c r="BV405" i="26" s="1"/>
  <c r="AK548" i="26"/>
  <c r="BU548" i="26" s="1"/>
  <c r="BV548" i="26" s="1"/>
  <c r="AK624" i="26"/>
  <c r="BU624" i="26" s="1"/>
  <c r="BV624" i="26" s="1"/>
  <c r="AK642" i="26"/>
  <c r="BU642" i="26" s="1"/>
  <c r="BV642" i="26" s="1"/>
  <c r="AK751" i="26"/>
  <c r="BU751" i="26" s="1"/>
  <c r="BV751" i="26" s="1"/>
  <c r="AK789" i="26"/>
  <c r="BU789" i="26" s="1"/>
  <c r="BV789" i="26" s="1"/>
  <c r="BE16" i="26"/>
  <c r="BE32" i="26"/>
  <c r="BE39" i="26"/>
  <c r="BE62" i="26"/>
  <c r="BE85" i="26"/>
  <c r="BE92" i="26"/>
  <c r="BE115" i="26"/>
  <c r="BE122" i="26"/>
  <c r="BE145" i="26"/>
  <c r="BE152" i="26"/>
  <c r="BE175" i="26"/>
  <c r="BE198" i="26"/>
  <c r="BE258" i="26"/>
  <c r="BE265" i="26"/>
  <c r="BE288" i="26"/>
  <c r="BE295" i="26"/>
  <c r="BE318" i="26"/>
  <c r="BE341" i="26"/>
  <c r="BE348" i="26"/>
  <c r="BE355" i="26"/>
  <c r="BE262" i="26"/>
  <c r="BE278" i="26"/>
  <c r="BE294" i="26"/>
  <c r="BE310" i="26"/>
  <c r="BE326" i="26"/>
  <c r="BE342" i="26"/>
  <c r="BE384" i="26"/>
  <c r="BE410" i="26"/>
  <c r="BE768" i="26"/>
  <c r="BO228" i="26" a="1"/>
  <c r="BO424" i="26" a="1"/>
  <c r="BJ428" i="26"/>
  <c r="BE164" i="26"/>
  <c r="BE43" i="26"/>
  <c r="BE59" i="26"/>
  <c r="BE75" i="26"/>
  <c r="BE91" i="26"/>
  <c r="BE107" i="26"/>
  <c r="BE123" i="26"/>
  <c r="BE139" i="26"/>
  <c r="BE155" i="26"/>
  <c r="BE171" i="26"/>
  <c r="BE187" i="26"/>
  <c r="BE203" i="26"/>
  <c r="BE219" i="26"/>
  <c r="BE235" i="26"/>
  <c r="BE251" i="26"/>
  <c r="BE267" i="26"/>
  <c r="BE283" i="26"/>
  <c r="BE299" i="26"/>
  <c r="BE315" i="26"/>
  <c r="BE331" i="26"/>
  <c r="BE347" i="26"/>
  <c r="BE368" i="26"/>
  <c r="BE394" i="26"/>
  <c r="BE773" i="26"/>
  <c r="BE408" i="26"/>
  <c r="BE744" i="26"/>
  <c r="BE760" i="26"/>
  <c r="BE367" i="26"/>
  <c r="BE383" i="26"/>
  <c r="BE453" i="26"/>
  <c r="BE461" i="26"/>
  <c r="BE469" i="26"/>
  <c r="BE477" i="26"/>
  <c r="BE485" i="26"/>
  <c r="BE493" i="26"/>
  <c r="BE501" i="26"/>
  <c r="BE509" i="26"/>
  <c r="BE517" i="26"/>
  <c r="BE525" i="26"/>
  <c r="BE533" i="26"/>
  <c r="BE541" i="26"/>
  <c r="BE549" i="26"/>
  <c r="BE669" i="26"/>
  <c r="BE717" i="26"/>
  <c r="BE725" i="26"/>
  <c r="BE735" i="26"/>
  <c r="BE767" i="26"/>
  <c r="BE783" i="26"/>
  <c r="BE742" i="26"/>
  <c r="BJ501" i="26"/>
  <c r="BE397" i="26"/>
  <c r="BE765" i="26"/>
  <c r="BE356" i="26"/>
  <c r="BE372" i="26"/>
  <c r="BE388" i="26"/>
  <c r="BE404" i="26"/>
  <c r="BE788" i="26"/>
  <c r="BE379" i="26"/>
  <c r="BE395" i="26"/>
  <c r="BE435" i="26"/>
  <c r="BE443" i="26"/>
  <c r="BE483" i="26"/>
  <c r="BE555" i="26"/>
  <c r="BE563" i="26"/>
  <c r="BE571" i="26"/>
  <c r="BE707" i="26"/>
  <c r="BE723" i="26"/>
  <c r="BE731" i="26"/>
  <c r="BE747" i="26"/>
  <c r="BE763" i="26"/>
  <c r="BE779" i="26"/>
  <c r="BE354" i="26"/>
  <c r="BE370" i="26"/>
  <c r="BE402" i="26"/>
  <c r="BE738" i="26"/>
  <c r="BO246" i="26" a="1"/>
  <c r="BJ762" i="26"/>
  <c r="BE361" i="26"/>
  <c r="BE377" i="26"/>
  <c r="BE393" i="26"/>
  <c r="BE409" i="26"/>
  <c r="BE414" i="26"/>
  <c r="BE422" i="26"/>
  <c r="BE430" i="26"/>
  <c r="BE438" i="26"/>
  <c r="BE446" i="26"/>
  <c r="BE454" i="26"/>
  <c r="BE462" i="26"/>
  <c r="BE470" i="26"/>
  <c r="BE478" i="26"/>
  <c r="BE486" i="26"/>
  <c r="BE494" i="26"/>
  <c r="BE502" i="26"/>
  <c r="BE510" i="26"/>
  <c r="BE518" i="26"/>
  <c r="BE526" i="26"/>
  <c r="BE534" i="26"/>
  <c r="BE542" i="26"/>
  <c r="BE550" i="26"/>
  <c r="BE558" i="26"/>
  <c r="BE566" i="26"/>
  <c r="BE574" i="26"/>
  <c r="BE582" i="26"/>
  <c r="BE590" i="26"/>
  <c r="BE598" i="26"/>
  <c r="BE606" i="26"/>
  <c r="BE614" i="26"/>
  <c r="BE622" i="26"/>
  <c r="BE630" i="26"/>
  <c r="BE638" i="26"/>
  <c r="BE646" i="26"/>
  <c r="BE654" i="26"/>
  <c r="BE662" i="26"/>
  <c r="BE670" i="26"/>
  <c r="BE678" i="26"/>
  <c r="BE686" i="26"/>
  <c r="BE694" i="26"/>
  <c r="BE702" i="26"/>
  <c r="BE710" i="26"/>
  <c r="BE718" i="26"/>
  <c r="BE726" i="26"/>
  <c r="BE745" i="26"/>
  <c r="BE761" i="26"/>
  <c r="BE777" i="26"/>
  <c r="BE793" i="26"/>
  <c r="J114" i="25"/>
  <c r="J113" i="25"/>
  <c r="J112" i="25"/>
  <c r="I113" i="25" a="1"/>
  <c r="I114" i="25" a="1"/>
  <c r="H114" i="25" a="1"/>
  <c r="G114" i="25" a="1"/>
  <c r="BE416" i="26"/>
  <c r="BO39" i="26" a="1"/>
  <c r="BJ39" i="26"/>
  <c r="BJ8" i="26"/>
  <c r="BO8" i="26" a="1"/>
  <c r="AK788" i="26"/>
  <c r="BU788" i="26" s="1"/>
  <c r="BV788" i="26" s="1"/>
  <c r="AK790" i="26"/>
  <c r="BU790" i="26" s="1"/>
  <c r="BV790" i="26" s="1"/>
  <c r="AK398" i="26"/>
  <c r="BU398" i="26" s="1"/>
  <c r="BV398" i="26" s="1"/>
  <c r="BO796" i="26" a="1"/>
  <c r="BJ796" i="26"/>
  <c r="BO795" i="26" a="1"/>
  <c r="BJ795" i="26"/>
  <c r="BO794" i="26" a="1"/>
  <c r="BJ794" i="26"/>
  <c r="BO793" i="26" a="1"/>
  <c r="BJ793" i="26"/>
  <c r="BO792" i="26" a="1"/>
  <c r="BJ792" i="26"/>
  <c r="BO791" i="26" a="1"/>
  <c r="BJ791" i="26"/>
  <c r="BO790" i="26" a="1"/>
  <c r="BJ790" i="26"/>
  <c r="BO789" i="26" a="1"/>
  <c r="BJ789" i="26"/>
  <c r="BO788" i="26" a="1"/>
  <c r="BJ788" i="26"/>
  <c r="BO787" i="26" a="1"/>
  <c r="BJ787" i="26"/>
  <c r="BO786" i="26" a="1"/>
  <c r="BJ786" i="26"/>
  <c r="BO785" i="26" a="1"/>
  <c r="BJ785" i="26"/>
  <c r="BJ784" i="26"/>
  <c r="BO784" i="26" a="1"/>
  <c r="BO783" i="26" a="1"/>
  <c r="BJ782" i="26"/>
  <c r="BO782" i="26" a="1"/>
  <c r="BO781" i="26" a="1"/>
  <c r="BJ780" i="26"/>
  <c r="BO780" i="26" a="1"/>
  <c r="BO779" i="26" a="1"/>
  <c r="BJ779" i="26"/>
  <c r="BO778" i="26" a="1"/>
  <c r="BJ778" i="26"/>
  <c r="BJ777" i="26"/>
  <c r="BO777" i="26" a="1"/>
  <c r="BO776" i="26" a="1"/>
  <c r="BJ776" i="26"/>
  <c r="BO775" i="26" a="1"/>
  <c r="BJ774" i="26"/>
  <c r="BO774" i="26" a="1"/>
  <c r="BO773" i="26" a="1"/>
  <c r="BJ773" i="26"/>
  <c r="BO772" i="26" a="1"/>
  <c r="BJ772" i="26"/>
  <c r="BJ771" i="26"/>
  <c r="BO771" i="26" a="1"/>
  <c r="BJ770" i="26"/>
  <c r="BO770" i="26" a="1"/>
  <c r="BJ769" i="26"/>
  <c r="BO769" i="26" a="1"/>
  <c r="BJ768" i="26"/>
  <c r="BO768" i="26" a="1"/>
  <c r="BJ767" i="26"/>
  <c r="BO767" i="26" a="1"/>
  <c r="BO766" i="26" a="1"/>
  <c r="BJ766" i="26"/>
  <c r="BO765" i="26" a="1"/>
  <c r="BJ765" i="26"/>
  <c r="BO764" i="26" a="1"/>
  <c r="BJ764" i="26"/>
  <c r="BO763" i="26" a="1"/>
  <c r="BJ763" i="26"/>
  <c r="BO762" i="26" a="1"/>
  <c r="BO761" i="26" a="1"/>
  <c r="BJ761" i="26"/>
  <c r="BJ760" i="26"/>
  <c r="BO760" i="26" a="1"/>
  <c r="BJ759" i="26"/>
  <c r="BO759" i="26" a="1"/>
  <c r="BJ758" i="26"/>
  <c r="BO758" i="26" a="1"/>
  <c r="BJ757" i="26"/>
  <c r="BO757" i="26" a="1"/>
  <c r="BJ756" i="26"/>
  <c r="BO756" i="26" a="1"/>
  <c r="BJ755" i="26"/>
  <c r="BO755" i="26" a="1"/>
  <c r="BO754" i="26" a="1"/>
  <c r="BJ754" i="26"/>
  <c r="BJ753" i="26"/>
  <c r="BO753" i="26" a="1"/>
  <c r="BJ752" i="26"/>
  <c r="BO752" i="26" a="1"/>
  <c r="BO751" i="26" a="1"/>
  <c r="BJ751" i="26"/>
  <c r="BO750" i="26" a="1"/>
  <c r="BJ750" i="26"/>
  <c r="BO749" i="26" a="1"/>
  <c r="BJ749" i="26"/>
  <c r="BO748" i="26" a="1"/>
  <c r="BJ748" i="26"/>
  <c r="BJ747" i="26"/>
  <c r="BO747" i="26" a="1"/>
  <c r="BO746" i="26" a="1"/>
  <c r="BJ746" i="26"/>
  <c r="BO745" i="26" a="1"/>
  <c r="BJ745" i="26"/>
  <c r="BJ744" i="26"/>
  <c r="BO744" i="26" a="1"/>
  <c r="BJ743" i="26"/>
  <c r="BO743" i="26" a="1"/>
  <c r="BJ742" i="26"/>
  <c r="BO742" i="26" a="1"/>
  <c r="BO741" i="26" a="1"/>
  <c r="BJ741" i="26"/>
  <c r="BO740" i="26" a="1"/>
  <c r="BJ740" i="26"/>
  <c r="BO739" i="26" a="1"/>
  <c r="BJ739" i="26"/>
  <c r="BO738" i="26" a="1"/>
  <c r="BJ738" i="26"/>
  <c r="BO737" i="26" a="1"/>
  <c r="BJ737" i="26"/>
  <c r="BJ736" i="26"/>
  <c r="BO736" i="26" a="1"/>
  <c r="BO735" i="26" a="1"/>
  <c r="BJ735" i="26"/>
  <c r="BO734" i="26" a="1"/>
  <c r="BJ734" i="26"/>
  <c r="BO733" i="26" a="1"/>
  <c r="BJ733" i="26"/>
  <c r="BJ732" i="26"/>
  <c r="BO732" i="26" a="1"/>
  <c r="BO731" i="26" a="1"/>
  <c r="BJ731" i="26"/>
  <c r="BO730" i="26" a="1"/>
  <c r="BJ730" i="26"/>
  <c r="BJ729" i="26"/>
  <c r="BO729" i="26" a="1"/>
  <c r="BJ728" i="26"/>
  <c r="BO728" i="26" a="1"/>
  <c r="BO727" i="26" a="1"/>
  <c r="BJ727" i="26"/>
  <c r="BO726" i="26" a="1"/>
  <c r="BJ726" i="26"/>
  <c r="BO725" i="26" a="1"/>
  <c r="BJ725" i="26"/>
  <c r="BJ724" i="26"/>
  <c r="BO724" i="26" a="1"/>
  <c r="BJ723" i="26"/>
  <c r="BO723" i="26" a="1"/>
  <c r="BJ722" i="26"/>
  <c r="BO722" i="26" a="1"/>
  <c r="BJ721" i="26"/>
  <c r="BO721" i="26" a="1"/>
  <c r="BO720" i="26" a="1"/>
  <c r="BJ720" i="26"/>
  <c r="BJ719" i="26"/>
  <c r="BO719" i="26" a="1"/>
  <c r="BJ718" i="26"/>
  <c r="BO718" i="26" a="1"/>
  <c r="BJ717" i="26"/>
  <c r="BO717" i="26" a="1"/>
  <c r="BO716" i="26" a="1"/>
  <c r="BO715" i="26" a="1"/>
  <c r="BJ715" i="26"/>
  <c r="BO714" i="26" a="1"/>
  <c r="BJ714" i="26"/>
  <c r="BO713" i="26" a="1"/>
  <c r="BJ713" i="26"/>
  <c r="BO712" i="26" a="1"/>
  <c r="BJ712" i="26"/>
  <c r="BJ711" i="26"/>
  <c r="BO711" i="26" a="1"/>
  <c r="BJ710" i="26"/>
  <c r="BO710" i="26" a="1"/>
  <c r="BO709" i="26" a="1"/>
  <c r="BJ709" i="26"/>
  <c r="BJ708" i="26"/>
  <c r="BO708" i="26" a="1"/>
  <c r="BJ707" i="26"/>
  <c r="BO707" i="26" a="1"/>
  <c r="BJ706" i="26"/>
  <c r="BO706" i="26" a="1"/>
  <c r="BO705" i="26" a="1"/>
  <c r="BJ705" i="26"/>
  <c r="BJ704" i="26"/>
  <c r="BO704" i="26" a="1"/>
  <c r="BJ703" i="26"/>
  <c r="BO703" i="26" a="1"/>
  <c r="BO702" i="26" a="1"/>
  <c r="BJ702" i="26"/>
  <c r="BO701" i="26" a="1"/>
  <c r="BJ701" i="26"/>
  <c r="BJ700" i="26"/>
  <c r="BO700" i="26" a="1"/>
  <c r="BJ699" i="26"/>
  <c r="BO699" i="26" a="1"/>
  <c r="BJ698" i="26"/>
  <c r="BO698" i="26" a="1"/>
  <c r="BO697" i="26" a="1"/>
  <c r="BJ697" i="26"/>
  <c r="BO696" i="26" a="1"/>
  <c r="BJ696" i="26"/>
  <c r="BJ695" i="26"/>
  <c r="BO695" i="26" a="1"/>
  <c r="BJ694" i="26"/>
  <c r="BO694" i="26" a="1"/>
  <c r="BO693" i="26" a="1"/>
  <c r="BJ693" i="26"/>
  <c r="BO692" i="26" a="1"/>
  <c r="BJ692" i="26"/>
  <c r="BO691" i="26" a="1"/>
  <c r="BJ691" i="26"/>
  <c r="BO690" i="26" a="1"/>
  <c r="BJ690" i="26"/>
  <c r="BO689" i="26" a="1"/>
  <c r="BJ689" i="26"/>
  <c r="BO688" i="26" a="1"/>
  <c r="BJ688" i="26"/>
  <c r="BJ687" i="26"/>
  <c r="BO687" i="26" a="1"/>
  <c r="BJ686" i="26"/>
  <c r="BO686" i="26" a="1"/>
  <c r="BJ685" i="26"/>
  <c r="BO685" i="26" a="1"/>
  <c r="BO684" i="26" a="1"/>
  <c r="BJ684" i="26"/>
  <c r="BO683" i="26" a="1"/>
  <c r="BJ683" i="26"/>
  <c r="BJ682" i="26"/>
  <c r="BO682" i="26" a="1"/>
  <c r="BO681" i="26" a="1"/>
  <c r="BJ681" i="26"/>
  <c r="BO680" i="26" a="1"/>
  <c r="BJ680" i="26"/>
  <c r="BJ679" i="26"/>
  <c r="BO679" i="26" a="1"/>
  <c r="BJ678" i="26"/>
  <c r="BO678" i="26" a="1"/>
  <c r="BJ677" i="26"/>
  <c r="BO677" i="26" a="1"/>
  <c r="BJ676" i="26"/>
  <c r="BO676" i="26" a="1"/>
  <c r="BO675" i="26" a="1"/>
  <c r="BJ675" i="26"/>
  <c r="BJ674" i="26"/>
  <c r="BO674" i="26" a="1"/>
  <c r="BJ673" i="26"/>
  <c r="BO673" i="26" a="1"/>
  <c r="BJ672" i="26"/>
  <c r="BO672" i="26" a="1"/>
  <c r="BO671" i="26" a="1"/>
  <c r="BJ671" i="26"/>
  <c r="BJ670" i="26"/>
  <c r="BO670" i="26" a="1"/>
  <c r="BO669" i="26" a="1"/>
  <c r="BJ669" i="26"/>
  <c r="BO668" i="26" a="1"/>
  <c r="BJ668" i="26"/>
  <c r="BO667" i="26" a="1"/>
  <c r="BJ667" i="26"/>
  <c r="BJ666" i="26"/>
  <c r="BO666" i="26" a="1"/>
  <c r="BJ665" i="26"/>
  <c r="BO665" i="26" a="1"/>
  <c r="BJ664" i="26"/>
  <c r="BO664" i="26" a="1"/>
  <c r="BJ663" i="26"/>
  <c r="BO663" i="26" a="1"/>
  <c r="BO662" i="26" a="1"/>
  <c r="BJ662" i="26"/>
  <c r="BO661" i="26" a="1"/>
  <c r="BJ661" i="26"/>
  <c r="BO660" i="26" a="1"/>
  <c r="BJ660" i="26"/>
  <c r="BO659" i="26" a="1"/>
  <c r="BJ659" i="26"/>
  <c r="BJ658" i="26"/>
  <c r="BO658" i="26" a="1"/>
  <c r="BO657" i="26" a="1"/>
  <c r="BJ657" i="26"/>
  <c r="BJ656" i="26"/>
  <c r="BO656" i="26" a="1"/>
  <c r="BO655" i="26" a="1"/>
  <c r="BJ655" i="26"/>
  <c r="BO654" i="26" a="1"/>
  <c r="BJ654" i="26"/>
  <c r="BJ653" i="26"/>
  <c r="BO653" i="26" a="1"/>
  <c r="BJ652" i="26"/>
  <c r="BO652" i="26" a="1"/>
  <c r="BO651" i="26" a="1"/>
  <c r="BJ651" i="26"/>
  <c r="BJ650" i="26"/>
  <c r="BO650" i="26" a="1"/>
  <c r="BJ649" i="26"/>
  <c r="BO649" i="26" a="1"/>
  <c r="BJ648" i="26"/>
  <c r="BO648" i="26" a="1"/>
  <c r="BJ647" i="26"/>
  <c r="BO647" i="26" a="1"/>
  <c r="BJ646" i="26"/>
  <c r="BO646" i="26" a="1"/>
  <c r="BJ645" i="26"/>
  <c r="BO645" i="26" a="1"/>
  <c r="BJ644" i="26"/>
  <c r="BO644" i="26" a="1"/>
  <c r="BJ643" i="26"/>
  <c r="BO643" i="26" a="1"/>
  <c r="BO642" i="26" a="1"/>
  <c r="BJ642" i="26"/>
  <c r="BO641" i="26" a="1"/>
  <c r="BJ641" i="26"/>
  <c r="BO640" i="26" a="1"/>
  <c r="BJ640" i="26"/>
  <c r="BJ639" i="26"/>
  <c r="BO639" i="26" a="1"/>
  <c r="BO638" i="26" a="1"/>
  <c r="BJ638" i="26"/>
  <c r="BJ637" i="26"/>
  <c r="BO637" i="26" a="1"/>
  <c r="BJ636" i="26"/>
  <c r="BO636" i="26" a="1"/>
  <c r="BJ635" i="26"/>
  <c r="BO635" i="26" a="1"/>
  <c r="BJ634" i="26"/>
  <c r="BO634" i="26" a="1"/>
  <c r="BO633" i="26" a="1"/>
  <c r="BJ633" i="26"/>
  <c r="BO632" i="26" a="1"/>
  <c r="BJ632" i="26"/>
  <c r="BO631" i="26" a="1"/>
  <c r="BJ631" i="26"/>
  <c r="BJ630" i="26"/>
  <c r="BO630" i="26" a="1"/>
  <c r="BJ629" i="26"/>
  <c r="BO629" i="26" a="1"/>
  <c r="BJ628" i="26"/>
  <c r="BO628" i="26" a="1"/>
  <c r="BO627" i="26" a="1"/>
  <c r="BJ627" i="26"/>
  <c r="BO626" i="26" a="1"/>
  <c r="BJ626" i="26"/>
  <c r="BJ625" i="26"/>
  <c r="BO625" i="26" a="1"/>
  <c r="BJ624" i="26"/>
  <c r="BO624" i="26" a="1"/>
  <c r="BJ623" i="26"/>
  <c r="BO623" i="26" a="1"/>
  <c r="BO622" i="26" a="1"/>
  <c r="BJ622" i="26"/>
  <c r="BJ621" i="26"/>
  <c r="BO621" i="26" a="1"/>
  <c r="BO620" i="26" a="1"/>
  <c r="BJ620" i="26"/>
  <c r="BJ619" i="26"/>
  <c r="BO619" i="26" a="1"/>
  <c r="BO618" i="26" a="1"/>
  <c r="BJ618" i="26"/>
  <c r="BJ617" i="26"/>
  <c r="BO617" i="26" a="1"/>
  <c r="BO616" i="26" a="1"/>
  <c r="BJ616" i="26"/>
  <c r="BO615" i="26" a="1"/>
  <c r="BJ615" i="26"/>
  <c r="BO614" i="26" a="1"/>
  <c r="BJ614" i="26"/>
  <c r="BO613" i="26" a="1"/>
  <c r="BJ613" i="26"/>
  <c r="BJ612" i="26"/>
  <c r="BO612" i="26" a="1"/>
  <c r="BJ611" i="26"/>
  <c r="BO611" i="26" a="1"/>
  <c r="BO610" i="26" a="1"/>
  <c r="BJ610" i="26"/>
  <c r="BJ609" i="26"/>
  <c r="BO609" i="26" a="1"/>
  <c r="BJ608" i="26"/>
  <c r="BO608" i="26" a="1"/>
  <c r="BJ607" i="26"/>
  <c r="BO606" i="26" a="1"/>
  <c r="BJ606" i="26"/>
  <c r="BO605" i="26" a="1"/>
  <c r="BJ605" i="26"/>
  <c r="BO604" i="26" a="1"/>
  <c r="BJ604" i="26"/>
  <c r="BO603" i="26" a="1"/>
  <c r="BJ603" i="26"/>
  <c r="BJ602" i="26"/>
  <c r="BO602" i="26" a="1"/>
  <c r="BO601" i="26" a="1"/>
  <c r="BJ601" i="26"/>
  <c r="BO600" i="26" a="1"/>
  <c r="BJ600" i="26"/>
  <c r="BO599" i="26" a="1"/>
  <c r="BJ599" i="26"/>
  <c r="BJ598" i="26"/>
  <c r="BO598" i="26" a="1"/>
  <c r="BO597" i="26" a="1"/>
  <c r="BJ597" i="26"/>
  <c r="BJ596" i="26"/>
  <c r="BO596" i="26" a="1"/>
  <c r="BO595" i="26" a="1"/>
  <c r="BJ595" i="26"/>
  <c r="BO594" i="26" a="1"/>
  <c r="BJ594" i="26"/>
  <c r="BJ593" i="26"/>
  <c r="BO593" i="26" a="1"/>
  <c r="BJ592" i="26"/>
  <c r="BO592" i="26" a="1"/>
  <c r="BO591" i="26" a="1"/>
  <c r="BJ591" i="26"/>
  <c r="BO590" i="26" a="1"/>
  <c r="BJ590" i="26"/>
  <c r="BJ589" i="26"/>
  <c r="BO589" i="26" a="1"/>
  <c r="BJ588" i="26"/>
  <c r="BO588" i="26" a="1"/>
  <c r="BO587" i="26" a="1"/>
  <c r="BJ587" i="26"/>
  <c r="BJ586" i="26"/>
  <c r="BO586" i="26" a="1"/>
  <c r="BJ585" i="26"/>
  <c r="BO585" i="26" a="1"/>
  <c r="BO584" i="26" a="1"/>
  <c r="BJ584" i="26"/>
  <c r="BO583" i="26" a="1"/>
  <c r="BJ583" i="26"/>
  <c r="BJ582" i="26"/>
  <c r="BO582" i="26" a="1"/>
  <c r="BO581" i="26" a="1"/>
  <c r="BJ581" i="26"/>
  <c r="BJ580" i="26"/>
  <c r="BO580" i="26" a="1"/>
  <c r="BJ579" i="26"/>
  <c r="BO579" i="26" a="1"/>
  <c r="BO578" i="26" a="1"/>
  <c r="BJ578" i="26"/>
  <c r="BO577" i="26" a="1"/>
  <c r="BJ577" i="26"/>
  <c r="BJ576" i="26"/>
  <c r="BO576" i="26" a="1"/>
  <c r="BJ575" i="26"/>
  <c r="BO575" i="26" a="1"/>
  <c r="BO574" i="26" a="1"/>
  <c r="BJ574" i="26"/>
  <c r="BO573" i="26" a="1"/>
  <c r="BJ573" i="26"/>
  <c r="BO572" i="26" a="1"/>
  <c r="BJ572" i="26"/>
  <c r="BJ571" i="26"/>
  <c r="BO571" i="26" a="1"/>
  <c r="BJ570" i="26"/>
  <c r="BO570" i="26" a="1"/>
  <c r="BJ569" i="26"/>
  <c r="BO569" i="26" a="1"/>
  <c r="BO568" i="26" a="1"/>
  <c r="BJ568" i="26"/>
  <c r="BJ567" i="26"/>
  <c r="BO567" i="26" a="1"/>
  <c r="BJ566" i="26"/>
  <c r="BO566" i="26" a="1"/>
  <c r="BO565" i="26" a="1"/>
  <c r="BJ565" i="26"/>
  <c r="BJ564" i="26"/>
  <c r="BO564" i="26" a="1"/>
  <c r="BO563" i="26" a="1"/>
  <c r="BJ563" i="26"/>
  <c r="BJ562" i="26"/>
  <c r="BO562" i="26" a="1"/>
  <c r="BO561" i="26" a="1"/>
  <c r="BJ561" i="26"/>
  <c r="BJ560" i="26"/>
  <c r="BO560" i="26" a="1"/>
  <c r="BJ559" i="26"/>
  <c r="BO559" i="26" a="1"/>
  <c r="BO558" i="26" a="1"/>
  <c r="BJ558" i="26"/>
  <c r="BO557" i="26" a="1"/>
  <c r="BJ557" i="26"/>
  <c r="BO556" i="26" a="1"/>
  <c r="BJ556" i="26"/>
  <c r="BO555" i="26" a="1"/>
  <c r="BJ555" i="26"/>
  <c r="BJ554" i="26"/>
  <c r="BO554" i="26" a="1"/>
  <c r="BO553" i="26" a="1"/>
  <c r="BJ553" i="26"/>
  <c r="BJ552" i="26"/>
  <c r="BO552" i="26" a="1"/>
  <c r="BO551" i="26" a="1"/>
  <c r="BJ551" i="26"/>
  <c r="BO550" i="26" a="1"/>
  <c r="BJ550" i="26"/>
  <c r="BO549" i="26" a="1"/>
  <c r="BJ549" i="26"/>
  <c r="BO548" i="26" a="1"/>
  <c r="BJ548" i="26"/>
  <c r="BJ547" i="26"/>
  <c r="BO547" i="26" a="1"/>
  <c r="BJ546" i="26"/>
  <c r="BO546" i="26" a="1"/>
  <c r="BO545" i="26" a="1"/>
  <c r="BJ545" i="26"/>
  <c r="BO544" i="26" a="1"/>
  <c r="BJ544" i="26"/>
  <c r="BO543" i="26" a="1"/>
  <c r="BJ543" i="26"/>
  <c r="BJ542" i="26"/>
  <c r="BO542" i="26" a="1"/>
  <c r="BO541" i="26" a="1"/>
  <c r="BJ541" i="26"/>
  <c r="BO540" i="26" a="1"/>
  <c r="BJ540" i="26"/>
  <c r="BO539" i="26" a="1"/>
  <c r="BJ539" i="26"/>
  <c r="BJ538" i="26"/>
  <c r="BO538" i="26" a="1"/>
  <c r="BO537" i="26" a="1"/>
  <c r="BJ537" i="26"/>
  <c r="BO536" i="26" a="1"/>
  <c r="BJ536" i="26"/>
  <c r="BO535" i="26" a="1"/>
  <c r="BJ535" i="26"/>
  <c r="BJ534" i="26"/>
  <c r="BO534" i="26" a="1"/>
  <c r="BO533" i="26" a="1"/>
  <c r="BJ533" i="26"/>
  <c r="BJ532" i="26"/>
  <c r="BO532" i="26" a="1"/>
  <c r="BJ531" i="26"/>
  <c r="BO531" i="26" a="1"/>
  <c r="BJ530" i="26"/>
  <c r="BO530" i="26" a="1"/>
  <c r="BJ529" i="26"/>
  <c r="BO529" i="26" a="1"/>
  <c r="BO528" i="26" a="1"/>
  <c r="BJ528" i="26"/>
  <c r="BJ527" i="26"/>
  <c r="BO527" i="26" a="1"/>
  <c r="BJ526" i="26"/>
  <c r="BO526" i="26" a="1"/>
  <c r="BO525" i="26" a="1"/>
  <c r="BJ525" i="26"/>
  <c r="BJ524" i="26"/>
  <c r="BO524" i="26" a="1"/>
  <c r="BJ523" i="26"/>
  <c r="BO523" i="26" a="1"/>
  <c r="BJ522" i="26"/>
  <c r="BO522" i="26" a="1"/>
  <c r="BO521" i="26" a="1"/>
  <c r="BJ521" i="26"/>
  <c r="BO520" i="26" a="1"/>
  <c r="BJ520" i="26"/>
  <c r="BO519" i="26" a="1"/>
  <c r="BJ519" i="26"/>
  <c r="BO518" i="26" a="1"/>
  <c r="BJ518" i="26"/>
  <c r="BJ517" i="26"/>
  <c r="BO517" i="26" a="1"/>
  <c r="BO516" i="26" a="1"/>
  <c r="BJ516" i="26"/>
  <c r="BJ515" i="26"/>
  <c r="BO515" i="26" a="1"/>
  <c r="BO514" i="26" a="1"/>
  <c r="BJ514" i="26"/>
  <c r="BJ513" i="26"/>
  <c r="BO513" i="26" a="1"/>
  <c r="BJ512" i="26"/>
  <c r="BO512" i="26" a="1"/>
  <c r="BO511" i="26" a="1"/>
  <c r="BJ511" i="26"/>
  <c r="BJ510" i="26"/>
  <c r="BO510" i="26" a="1"/>
  <c r="BO509" i="26" a="1"/>
  <c r="BJ509" i="26"/>
  <c r="BO508" i="26" a="1"/>
  <c r="BJ508" i="26"/>
  <c r="BJ507" i="26"/>
  <c r="BO507" i="26" a="1"/>
  <c r="BO506" i="26" a="1"/>
  <c r="BJ506" i="26"/>
  <c r="BJ505" i="26"/>
  <c r="BO505" i="26" a="1"/>
  <c r="BJ504" i="26"/>
  <c r="BO504" i="26" a="1"/>
  <c r="BO503" i="26" a="1"/>
  <c r="BJ503" i="26"/>
  <c r="BJ502" i="26"/>
  <c r="BO502" i="26" a="1"/>
  <c r="BO501" i="26" a="1"/>
  <c r="BJ500" i="26"/>
  <c r="BO500" i="26" a="1"/>
  <c r="BJ499" i="26"/>
  <c r="BO499" i="26" a="1"/>
  <c r="BJ498" i="26"/>
  <c r="BO498" i="26" a="1"/>
  <c r="BJ497" i="26"/>
  <c r="BO497" i="26" a="1"/>
  <c r="BJ496" i="26"/>
  <c r="BO496" i="26" a="1"/>
  <c r="BJ495" i="26"/>
  <c r="BO495" i="26" a="1"/>
  <c r="BJ494" i="26"/>
  <c r="BO494" i="26" a="1"/>
  <c r="BJ493" i="26"/>
  <c r="BO493" i="26" a="1"/>
  <c r="BO492" i="26" a="1"/>
  <c r="BJ492" i="26"/>
  <c r="BO491" i="26" a="1"/>
  <c r="BJ491" i="26"/>
  <c r="BO490" i="26" a="1"/>
  <c r="BJ490" i="26"/>
  <c r="BO489" i="26" a="1"/>
  <c r="BJ489" i="26"/>
  <c r="BJ488" i="26"/>
  <c r="BO488" i="26" a="1"/>
  <c r="BJ487" i="26"/>
  <c r="BO487" i="26" a="1"/>
  <c r="BJ486" i="26"/>
  <c r="BO486" i="26" a="1"/>
  <c r="BO485" i="26" a="1"/>
  <c r="BJ485" i="26"/>
  <c r="BO484" i="26" a="1"/>
  <c r="BJ484" i="26"/>
  <c r="BJ483" i="26"/>
  <c r="BO483" i="26" a="1"/>
  <c r="BO482" i="26" a="1"/>
  <c r="BJ482" i="26"/>
  <c r="BO481" i="26" a="1"/>
  <c r="BJ481" i="26"/>
  <c r="BJ480" i="26"/>
  <c r="BO480" i="26" a="1"/>
  <c r="BO479" i="26" a="1"/>
  <c r="BJ479" i="26"/>
  <c r="BJ478" i="26"/>
  <c r="BO478" i="26" a="1"/>
  <c r="BO477" i="26" a="1"/>
  <c r="BJ477" i="26"/>
  <c r="BO476" i="26" a="1"/>
  <c r="BJ476" i="26"/>
  <c r="BO475" i="26" a="1"/>
  <c r="BJ475" i="26"/>
  <c r="BO474" i="26" a="1"/>
  <c r="BJ474" i="26"/>
  <c r="BJ473" i="26"/>
  <c r="BO473" i="26" a="1"/>
  <c r="BJ472" i="26"/>
  <c r="BO472" i="26" a="1"/>
  <c r="BJ471" i="26"/>
  <c r="BO471" i="26" a="1"/>
  <c r="BJ470" i="26"/>
  <c r="BO470" i="26" a="1"/>
  <c r="BO469" i="26" a="1"/>
  <c r="BJ469" i="26"/>
  <c r="BJ468" i="26"/>
  <c r="BO468" i="26" a="1"/>
  <c r="BJ467" i="26"/>
  <c r="BO467" i="26" a="1"/>
  <c r="BO466" i="26" a="1"/>
  <c r="BJ466" i="26"/>
  <c r="BO465" i="26" a="1"/>
  <c r="BJ465" i="26"/>
  <c r="BJ464" i="26"/>
  <c r="BO464" i="26" a="1"/>
  <c r="BO463" i="26" a="1"/>
  <c r="BJ463" i="26"/>
  <c r="BO462" i="26" a="1"/>
  <c r="BJ462" i="26"/>
  <c r="BO461" i="26" a="1"/>
  <c r="BJ461" i="26"/>
  <c r="BJ460" i="26"/>
  <c r="BO460" i="26" a="1"/>
  <c r="BJ459" i="26"/>
  <c r="BO459" i="26" a="1"/>
  <c r="BO458" i="26" a="1"/>
  <c r="BJ458" i="26"/>
  <c r="BJ457" i="26"/>
  <c r="BO457" i="26" a="1"/>
  <c r="BO456" i="26" a="1"/>
  <c r="BJ456" i="26"/>
  <c r="BJ455" i="26"/>
  <c r="BO455" i="26" a="1"/>
  <c r="BJ454" i="26"/>
  <c r="BO454" i="26" a="1"/>
  <c r="BJ453" i="26"/>
  <c r="BO453" i="26" a="1"/>
  <c r="BJ452" i="26"/>
  <c r="BO452" i="26" a="1"/>
  <c r="BO451" i="26" a="1"/>
  <c r="BJ451" i="26"/>
  <c r="BJ450" i="26"/>
  <c r="BO450" i="26" a="1"/>
  <c r="BJ449" i="26"/>
  <c r="BO449" i="26" a="1"/>
  <c r="BO448" i="26" a="1"/>
  <c r="BJ448" i="26"/>
  <c r="BJ447" i="26"/>
  <c r="BO447" i="26" a="1"/>
  <c r="BO446" i="26" a="1"/>
  <c r="BJ446" i="26"/>
  <c r="BJ445" i="26"/>
  <c r="BO445" i="26" a="1"/>
  <c r="BO444" i="26" a="1"/>
  <c r="BJ444" i="26"/>
  <c r="BJ443" i="26"/>
  <c r="BO443" i="26" a="1"/>
  <c r="BJ442" i="26"/>
  <c r="BO442" i="26" a="1"/>
  <c r="BO441" i="26" a="1"/>
  <c r="BJ441" i="26"/>
  <c r="BJ440" i="26"/>
  <c r="BO440" i="26" a="1"/>
  <c r="BJ439" i="26"/>
  <c r="BO439" i="26" a="1"/>
  <c r="BJ438" i="26"/>
  <c r="BO438" i="26" a="1"/>
  <c r="BJ437" i="26"/>
  <c r="BO437" i="26" a="1"/>
  <c r="BJ436" i="26"/>
  <c r="BO436" i="26" a="1"/>
  <c r="BJ435" i="26"/>
  <c r="BO435" i="26" a="1"/>
  <c r="BO434" i="26" a="1"/>
  <c r="BJ434" i="26"/>
  <c r="BJ433" i="26"/>
  <c r="BO433" i="26" a="1"/>
  <c r="BJ432" i="26"/>
  <c r="BO432" i="26" a="1"/>
  <c r="BJ431" i="26"/>
  <c r="BO431" i="26" a="1"/>
  <c r="BJ430" i="26"/>
  <c r="BO430" i="26" a="1"/>
  <c r="BJ429" i="26"/>
  <c r="BO429" i="26" a="1"/>
  <c r="BO428" i="26" a="1"/>
  <c r="BO427" i="26" a="1"/>
  <c r="BO426" i="26" a="1"/>
  <c r="BJ426" i="26"/>
  <c r="BJ425" i="26"/>
  <c r="BO425" i="26" a="1"/>
  <c r="BJ424" i="26"/>
  <c r="BJ423" i="26"/>
  <c r="BO423" i="26" a="1"/>
  <c r="BO422" i="26" a="1"/>
  <c r="BJ422" i="26"/>
  <c r="BO421" i="26" a="1"/>
  <c r="BJ421" i="26"/>
  <c r="BJ420" i="26"/>
  <c r="BO420" i="26" a="1"/>
  <c r="BO419" i="26" a="1"/>
  <c r="BJ419" i="26"/>
  <c r="BO418" i="26" a="1"/>
  <c r="BJ418" i="26"/>
  <c r="BJ417" i="26"/>
  <c r="BO417" i="26" a="1"/>
  <c r="BO416" i="26" a="1"/>
  <c r="BJ416" i="26"/>
  <c r="BO415" i="26" a="1"/>
  <c r="BJ415" i="26"/>
  <c r="BO414" i="26" a="1"/>
  <c r="BJ414" i="26"/>
  <c r="BO413" i="26" a="1"/>
  <c r="BJ413" i="26"/>
  <c r="BJ412" i="26"/>
  <c r="BO412" i="26" a="1"/>
  <c r="BJ411" i="26"/>
  <c r="BO411" i="26" a="1"/>
  <c r="BJ410" i="26"/>
  <c r="BO410" i="26" a="1"/>
  <c r="BO409" i="26" a="1"/>
  <c r="BJ409" i="26"/>
  <c r="BO408" i="26" a="1"/>
  <c r="BJ408" i="26"/>
  <c r="BJ407" i="26"/>
  <c r="BO407" i="26" a="1"/>
  <c r="BO406" i="26" a="1"/>
  <c r="BJ406" i="26"/>
  <c r="BO405" i="26" a="1"/>
  <c r="BJ405" i="26"/>
  <c r="BO404" i="26" a="1"/>
  <c r="BJ404" i="26"/>
  <c r="BO403" i="26" a="1"/>
  <c r="BJ403" i="26"/>
  <c r="BO402" i="26" a="1"/>
  <c r="BJ402" i="26"/>
  <c r="BJ401" i="26"/>
  <c r="BO401" i="26" a="1"/>
  <c r="BO400" i="26" a="1"/>
  <c r="BJ400" i="26"/>
  <c r="BO399" i="26" a="1"/>
  <c r="BJ399" i="26"/>
  <c r="BO398" i="26" a="1"/>
  <c r="BJ398" i="26"/>
  <c r="BO397" i="26" a="1"/>
  <c r="BJ397" i="26"/>
  <c r="BO396" i="26" a="1"/>
  <c r="BJ396" i="26"/>
  <c r="BO395" i="26" a="1"/>
  <c r="BJ395" i="26"/>
  <c r="BO394" i="26" a="1"/>
  <c r="BJ394" i="26"/>
  <c r="BO393" i="26" a="1"/>
  <c r="BJ393" i="26"/>
  <c r="BO392" i="26" a="1"/>
  <c r="BJ392" i="26"/>
  <c r="BO391" i="26" a="1"/>
  <c r="BJ391" i="26"/>
  <c r="BO390" i="26" a="1"/>
  <c r="BJ390" i="26"/>
  <c r="BJ389" i="26"/>
  <c r="BO389" i="26" a="1"/>
  <c r="BJ388" i="26"/>
  <c r="BO388" i="26" a="1"/>
  <c r="BO387" i="26" a="1"/>
  <c r="BJ387" i="26"/>
  <c r="BO386" i="26" a="1"/>
  <c r="BJ386" i="26"/>
  <c r="BO385" i="26" a="1"/>
  <c r="BJ385" i="26"/>
  <c r="BJ384" i="26"/>
  <c r="BO384" i="26" a="1"/>
  <c r="BO383" i="26" a="1"/>
  <c r="BJ383" i="26"/>
  <c r="BO382" i="26" a="1"/>
  <c r="BJ382" i="26"/>
  <c r="BJ381" i="26"/>
  <c r="BO381" i="26" a="1"/>
  <c r="BO380" i="26" a="1"/>
  <c r="BJ380" i="26"/>
  <c r="BO379" i="26" a="1"/>
  <c r="BJ379" i="26"/>
  <c r="BO378" i="26" a="1"/>
  <c r="BJ378" i="26"/>
  <c r="BO377" i="26" a="1"/>
  <c r="BJ377" i="26"/>
  <c r="BO376" i="26" a="1"/>
  <c r="BJ376" i="26"/>
  <c r="BJ375" i="26"/>
  <c r="BO375" i="26" a="1"/>
  <c r="BJ374" i="26"/>
  <c r="BO374" i="26" a="1"/>
  <c r="BO373" i="26" a="1"/>
  <c r="BJ373" i="26"/>
  <c r="BO372" i="26" a="1"/>
  <c r="BJ372" i="26"/>
  <c r="BO371" i="26" a="1"/>
  <c r="BJ371" i="26"/>
  <c r="BJ370" i="26"/>
  <c r="BO370" i="26" a="1"/>
  <c r="BO369" i="26" a="1"/>
  <c r="BJ369" i="26"/>
  <c r="BO368" i="26" a="1"/>
  <c r="BJ368" i="26"/>
  <c r="BO367" i="26" a="1"/>
  <c r="BJ367" i="26"/>
  <c r="BO366" i="26" a="1"/>
  <c r="BJ366" i="26"/>
  <c r="BO365" i="26" a="1"/>
  <c r="BJ365" i="26"/>
  <c r="BO364" i="26" a="1"/>
  <c r="BJ364" i="26"/>
  <c r="BO363" i="26" a="1"/>
  <c r="BJ363" i="26"/>
  <c r="BO362" i="26" a="1"/>
  <c r="BJ362" i="26"/>
  <c r="BJ361" i="26"/>
  <c r="BO361" i="26" a="1"/>
  <c r="BO360" i="26" a="1"/>
  <c r="BJ360" i="26"/>
  <c r="BJ359" i="26"/>
  <c r="BO359" i="26" a="1"/>
  <c r="BJ358" i="26"/>
  <c r="BO358" i="26" a="1"/>
  <c r="BJ357" i="26"/>
  <c r="BO357" i="26" a="1"/>
  <c r="BO356" i="26" a="1"/>
  <c r="BJ356" i="26"/>
  <c r="BO355" i="26" a="1"/>
  <c r="BJ355" i="26"/>
  <c r="BJ354" i="26"/>
  <c r="BO354" i="26" a="1"/>
  <c r="BJ353" i="26"/>
  <c r="BO353" i="26" a="1"/>
  <c r="BO352" i="26" a="1"/>
  <c r="BJ352" i="26"/>
  <c r="BO351" i="26" a="1"/>
  <c r="BJ351" i="26"/>
  <c r="BO350" i="26" a="1"/>
  <c r="BJ350" i="26"/>
  <c r="BJ349" i="26"/>
  <c r="BO349" i="26" a="1"/>
  <c r="BO348" i="26" a="1"/>
  <c r="BJ348" i="26"/>
  <c r="BJ347" i="26"/>
  <c r="BO347" i="26" a="1"/>
  <c r="BO346" i="26" a="1"/>
  <c r="BJ346" i="26"/>
  <c r="BJ345" i="26"/>
  <c r="BO345" i="26" a="1"/>
  <c r="BJ344" i="26"/>
  <c r="BO344" i="26" a="1"/>
  <c r="BO343" i="26" a="1"/>
  <c r="BJ343" i="26"/>
  <c r="BO342" i="26" a="1"/>
  <c r="BJ342" i="26"/>
  <c r="BO341" i="26" a="1"/>
  <c r="BJ341" i="26"/>
  <c r="BO340" i="26" a="1"/>
  <c r="BJ340" i="26"/>
  <c r="BO339" i="26" a="1"/>
  <c r="BJ339" i="26"/>
  <c r="BO338" i="26" a="1"/>
  <c r="BJ338" i="26"/>
  <c r="BJ337" i="26"/>
  <c r="BO337" i="26" a="1"/>
  <c r="BO336" i="26" a="1"/>
  <c r="BJ336" i="26"/>
  <c r="BO335" i="26" a="1"/>
  <c r="BJ335" i="26"/>
  <c r="BJ334" i="26"/>
  <c r="BO334" i="26" a="1"/>
  <c r="BJ333" i="26"/>
  <c r="BO333" i="26" a="1"/>
  <c r="BO332" i="26" a="1"/>
  <c r="BJ332" i="26"/>
  <c r="BO331" i="26" a="1"/>
  <c r="BJ331" i="26"/>
  <c r="BO330" i="26" a="1"/>
  <c r="BJ330" i="26"/>
  <c r="BJ329" i="26"/>
  <c r="BO329" i="26" a="1"/>
  <c r="BO328" i="26" a="1"/>
  <c r="BJ328" i="26"/>
  <c r="BO327" i="26" a="1"/>
  <c r="BJ327" i="26"/>
  <c r="BO326" i="26" a="1"/>
  <c r="BJ326" i="26"/>
  <c r="BJ325" i="26"/>
  <c r="BO325" i="26" a="1"/>
  <c r="BJ324" i="26"/>
  <c r="BO324" i="26" a="1"/>
  <c r="BO323" i="26" a="1"/>
  <c r="BJ323" i="26"/>
  <c r="BO322" i="26" a="1"/>
  <c r="BJ322" i="26"/>
  <c r="BJ321" i="26"/>
  <c r="BO321" i="26" a="1"/>
  <c r="BJ320" i="26"/>
  <c r="BO320" i="26" a="1"/>
  <c r="BJ319" i="26"/>
  <c r="BO319" i="26" a="1"/>
  <c r="BO318" i="26" a="1"/>
  <c r="BJ318" i="26"/>
  <c r="BJ317" i="26"/>
  <c r="BO317" i="26" a="1"/>
  <c r="BJ316" i="26"/>
  <c r="BO316" i="26" a="1"/>
  <c r="BJ315" i="26"/>
  <c r="BO315" i="26" a="1"/>
  <c r="BO314" i="26" a="1"/>
  <c r="BJ314" i="26"/>
  <c r="BJ313" i="26"/>
  <c r="BO313" i="26" a="1"/>
  <c r="BJ312" i="26"/>
  <c r="BO312" i="26" a="1"/>
  <c r="BO311" i="26" a="1"/>
  <c r="BJ311" i="26"/>
  <c r="BO310" i="26" a="1"/>
  <c r="BJ310" i="26"/>
  <c r="BJ309" i="26"/>
  <c r="BO309" i="26" a="1"/>
  <c r="BO308" i="26" a="1"/>
  <c r="BJ308" i="26"/>
  <c r="BJ307" i="26"/>
  <c r="BO307" i="26" a="1"/>
  <c r="BJ306" i="26"/>
  <c r="BO306" i="26" a="1"/>
  <c r="BO305" i="26" a="1"/>
  <c r="BJ305" i="26"/>
  <c r="BJ304" i="26"/>
  <c r="BO304" i="26" a="1"/>
  <c r="BO303" i="26" a="1"/>
  <c r="BJ303" i="26"/>
  <c r="BO302" i="26" a="1"/>
  <c r="BJ302" i="26"/>
  <c r="BO301" i="26" a="1"/>
  <c r="BJ301" i="26"/>
  <c r="BO300" i="26" a="1"/>
  <c r="BJ300" i="26"/>
  <c r="BJ299" i="26"/>
  <c r="BO299" i="26" a="1"/>
  <c r="BO298" i="26" a="1"/>
  <c r="BJ298" i="26"/>
  <c r="BO297" i="26" a="1"/>
  <c r="BJ297" i="26"/>
  <c r="BO296" i="26" a="1"/>
  <c r="BJ296" i="26"/>
  <c r="BJ295" i="26"/>
  <c r="BO295" i="26" a="1"/>
  <c r="BO294" i="26" a="1"/>
  <c r="BJ294" i="26"/>
  <c r="BO293" i="26" a="1"/>
  <c r="BJ293" i="26"/>
  <c r="BO292" i="26" a="1"/>
  <c r="BJ292" i="26"/>
  <c r="BO291" i="26" a="1"/>
  <c r="BJ291" i="26"/>
  <c r="BJ290" i="26"/>
  <c r="BO290" i="26" a="1"/>
  <c r="BO289" i="26" a="1"/>
  <c r="BJ289" i="26"/>
  <c r="BO288" i="26" a="1"/>
  <c r="BJ288" i="26"/>
  <c r="BO287" i="26" a="1"/>
  <c r="BJ287" i="26"/>
  <c r="BJ286" i="26"/>
  <c r="BO286" i="26" a="1"/>
  <c r="BO285" i="26" a="1"/>
  <c r="BJ285" i="26"/>
  <c r="BJ284" i="26"/>
  <c r="BO284" i="26" a="1"/>
  <c r="BJ283" i="26"/>
  <c r="BO283" i="26" a="1"/>
  <c r="BO282" i="26" a="1"/>
  <c r="BJ282" i="26"/>
  <c r="BO281" i="26" a="1"/>
  <c r="BJ281" i="26"/>
  <c r="BO280" i="26" a="1"/>
  <c r="BJ280" i="26"/>
  <c r="BO279" i="26" a="1"/>
  <c r="BJ279" i="26"/>
  <c r="BO278" i="26" a="1"/>
  <c r="BJ278" i="26"/>
  <c r="BJ277" i="26"/>
  <c r="BO277" i="26" a="1"/>
  <c r="BJ276" i="26"/>
  <c r="BO276" i="26" a="1"/>
  <c r="BO275" i="26" a="1"/>
  <c r="BJ275" i="26"/>
  <c r="BJ274" i="26"/>
  <c r="BO274" i="26" a="1"/>
  <c r="BO273" i="26" a="1"/>
  <c r="BJ273" i="26"/>
  <c r="BJ272" i="26"/>
  <c r="BO272" i="26" a="1"/>
  <c r="BO271" i="26" a="1"/>
  <c r="BJ271" i="26"/>
  <c r="BO270" i="26" a="1"/>
  <c r="BJ270" i="26"/>
  <c r="BJ269" i="26"/>
  <c r="BO269" i="26" a="1"/>
  <c r="BJ268" i="26"/>
  <c r="BO268" i="26" a="1"/>
  <c r="BJ267" i="26"/>
  <c r="BO267" i="26" a="1"/>
  <c r="BJ266" i="26"/>
  <c r="BO266" i="26" a="1"/>
  <c r="BO265" i="26" a="1"/>
  <c r="BJ265" i="26"/>
  <c r="BJ264" i="26"/>
  <c r="BO264" i="26" a="1"/>
  <c r="BJ263" i="26"/>
  <c r="BO263" i="26" a="1"/>
  <c r="BJ262" i="26"/>
  <c r="BO262" i="26" a="1"/>
  <c r="BJ261" i="26"/>
  <c r="BO261" i="26" a="1"/>
  <c r="BO260" i="26" a="1"/>
  <c r="BJ260" i="26"/>
  <c r="BO259" i="26" a="1"/>
  <c r="BJ259" i="26"/>
  <c r="BO258" i="26" a="1"/>
  <c r="BJ258" i="26"/>
  <c r="BO257" i="26" a="1"/>
  <c r="BJ257" i="26"/>
  <c r="BJ256" i="26"/>
  <c r="BO256" i="26" a="1"/>
  <c r="BO255" i="26" a="1"/>
  <c r="BJ255" i="26"/>
  <c r="BO254" i="26" a="1"/>
  <c r="BJ254" i="26"/>
  <c r="BO253" i="26" a="1"/>
  <c r="BJ253" i="26"/>
  <c r="BJ252" i="26"/>
  <c r="BO252" i="26" a="1"/>
  <c r="BO251" i="26" a="1"/>
  <c r="BJ251" i="26"/>
  <c r="BO250" i="26" a="1"/>
  <c r="BJ250" i="26"/>
  <c r="BO249" i="26" a="1"/>
  <c r="BJ249" i="26"/>
  <c r="BJ248" i="26"/>
  <c r="BO248" i="26" a="1"/>
  <c r="BO247" i="26" a="1"/>
  <c r="BJ247" i="26"/>
  <c r="BJ246" i="26"/>
  <c r="BO245" i="26" a="1"/>
  <c r="BJ245" i="26"/>
  <c r="BJ244" i="26"/>
  <c r="BO244" i="26" a="1"/>
  <c r="BJ243" i="26"/>
  <c r="BO243" i="26" a="1"/>
  <c r="BO242" i="26" a="1"/>
  <c r="BJ242" i="26"/>
  <c r="BO241" i="26" a="1"/>
  <c r="BJ241" i="26"/>
  <c r="BO240" i="26" a="1"/>
  <c r="BJ240" i="26"/>
  <c r="BO239" i="26" a="1"/>
  <c r="BJ239" i="26"/>
  <c r="BJ238" i="26"/>
  <c r="BO238" i="26" a="1"/>
  <c r="BJ237" i="26"/>
  <c r="BO237" i="26" a="1"/>
  <c r="BJ236" i="26"/>
  <c r="BO236" i="26" a="1"/>
  <c r="BJ235" i="26"/>
  <c r="BO235" i="26" a="1"/>
  <c r="BO234" i="26" a="1"/>
  <c r="BJ234" i="26"/>
  <c r="BJ233" i="26"/>
  <c r="BO233" i="26" a="1"/>
  <c r="BJ232" i="26"/>
  <c r="BO232" i="26" a="1"/>
  <c r="BO231" i="26" a="1"/>
  <c r="BJ231" i="26"/>
  <c r="BJ230" i="26"/>
  <c r="BO230" i="26" a="1"/>
  <c r="BJ229" i="26"/>
  <c r="BO229" i="26" a="1"/>
  <c r="BJ228" i="26"/>
  <c r="BJ227" i="26"/>
  <c r="BO227" i="26" a="1"/>
  <c r="BO226" i="26" a="1"/>
  <c r="BJ226" i="26"/>
  <c r="BO225" i="26" a="1"/>
  <c r="BJ225" i="26"/>
  <c r="BO224" i="26" a="1"/>
  <c r="BJ224" i="26"/>
  <c r="BO223" i="26" a="1"/>
  <c r="BJ223" i="26"/>
  <c r="BJ222" i="26"/>
  <c r="BO222" i="26" a="1"/>
  <c r="BO221" i="26" a="1"/>
  <c r="BJ221" i="26"/>
  <c r="BO220" i="26" a="1"/>
  <c r="BJ220" i="26"/>
  <c r="BJ219" i="26"/>
  <c r="BO219" i="26" a="1"/>
  <c r="BJ218" i="26"/>
  <c r="BO218" i="26" a="1"/>
  <c r="BJ217" i="26"/>
  <c r="BO217" i="26" a="1"/>
  <c r="BO216" i="26" a="1"/>
  <c r="BJ216" i="26"/>
  <c r="BO215" i="26" a="1"/>
  <c r="BJ215" i="26"/>
  <c r="BO214" i="26" a="1"/>
  <c r="BJ214" i="26"/>
  <c r="BJ213" i="26"/>
  <c r="BO213" i="26" a="1"/>
  <c r="BJ212" i="26"/>
  <c r="BO212" i="26" a="1"/>
  <c r="BJ211" i="26"/>
  <c r="BO211" i="26" a="1"/>
  <c r="BO210" i="26" a="1"/>
  <c r="BJ210" i="26"/>
  <c r="BO209" i="26" a="1"/>
  <c r="BJ209" i="26"/>
  <c r="BJ208" i="26"/>
  <c r="BO208" i="26" a="1"/>
  <c r="BO207" i="26" a="1"/>
  <c r="BJ207" i="26"/>
  <c r="BJ206" i="26"/>
  <c r="BO206" i="26" a="1"/>
  <c r="BJ205" i="26"/>
  <c r="BO205" i="26" a="1"/>
  <c r="BO204" i="26" a="1"/>
  <c r="BJ204" i="26"/>
  <c r="BJ203" i="26"/>
  <c r="BO203" i="26" a="1"/>
  <c r="BO202" i="26" a="1"/>
  <c r="BJ202" i="26"/>
  <c r="BO201" i="26" a="1"/>
  <c r="BJ201" i="26"/>
  <c r="BO200" i="26" a="1"/>
  <c r="BJ200" i="26"/>
  <c r="BO199" i="26" a="1"/>
  <c r="BJ199" i="26"/>
  <c r="BO198" i="26" a="1"/>
  <c r="BJ198" i="26"/>
  <c r="BO197" i="26" a="1"/>
  <c r="BJ197" i="26"/>
  <c r="BO196" i="26" a="1"/>
  <c r="BJ196" i="26"/>
  <c r="BJ195" i="26"/>
  <c r="BO195" i="26" a="1"/>
  <c r="BO194" i="26" a="1"/>
  <c r="BJ194" i="26"/>
  <c r="BO193" i="26" a="1"/>
  <c r="BJ193" i="26"/>
  <c r="BJ192" i="26"/>
  <c r="BO192" i="26" a="1"/>
  <c r="BO191" i="26" a="1"/>
  <c r="BJ191" i="26"/>
  <c r="BJ190" i="26"/>
  <c r="BO190" i="26" a="1"/>
  <c r="BJ189" i="26"/>
  <c r="BO189" i="26" a="1"/>
  <c r="BO188" i="26" a="1"/>
  <c r="BJ188" i="26"/>
  <c r="BO187" i="26" a="1"/>
  <c r="BJ187" i="26"/>
  <c r="BJ186" i="26"/>
  <c r="BO186" i="26" a="1"/>
  <c r="BO185" i="26" a="1"/>
  <c r="BJ185" i="26"/>
  <c r="BO184" i="26" a="1"/>
  <c r="BJ184" i="26"/>
  <c r="BJ183" i="26"/>
  <c r="BO183" i="26" a="1"/>
  <c r="BO182" i="26" a="1"/>
  <c r="BJ182" i="26"/>
  <c r="BO181" i="26" a="1"/>
  <c r="BJ181" i="26"/>
  <c r="BJ180" i="26"/>
  <c r="BO180" i="26" a="1"/>
  <c r="BJ179" i="26"/>
  <c r="BO179" i="26" a="1"/>
  <c r="BJ178" i="26"/>
  <c r="BO178" i="26" a="1"/>
  <c r="BJ177" i="26"/>
  <c r="BO177" i="26" a="1"/>
  <c r="BJ176" i="26"/>
  <c r="BO176" i="26" a="1"/>
  <c r="BO175" i="26" a="1"/>
  <c r="BJ175" i="26"/>
  <c r="BO174" i="26" a="1"/>
  <c r="BJ174" i="26"/>
  <c r="BO173" i="26" a="1"/>
  <c r="BJ173" i="26"/>
  <c r="BO172" i="26" a="1"/>
  <c r="BJ172" i="26"/>
  <c r="BO171" i="26" a="1"/>
  <c r="BJ171" i="26"/>
  <c r="BO170" i="26" a="1"/>
  <c r="BJ170" i="26"/>
  <c r="BO169" i="26" a="1"/>
  <c r="BJ169" i="26"/>
  <c r="BJ168" i="26"/>
  <c r="BO168" i="26" a="1"/>
  <c r="BJ167" i="26"/>
  <c r="BO167" i="26" a="1"/>
  <c r="BO166" i="26" a="1"/>
  <c r="BJ166" i="26"/>
  <c r="BO165" i="26" a="1"/>
  <c r="BJ165" i="26"/>
  <c r="BJ164" i="26"/>
  <c r="BO164" i="26" a="1"/>
  <c r="BO163" i="26" a="1"/>
  <c r="BJ163" i="26"/>
  <c r="BO162" i="26" a="1"/>
  <c r="BJ162" i="26"/>
  <c r="BO161" i="26" a="1"/>
  <c r="BJ161" i="26"/>
  <c r="BJ160" i="26"/>
  <c r="BO160" i="26" a="1"/>
  <c r="BJ159" i="26"/>
  <c r="BO159" i="26" a="1"/>
  <c r="BJ158" i="26"/>
  <c r="BO158" i="26" a="1"/>
  <c r="BO157" i="26" a="1"/>
  <c r="BJ157" i="26"/>
  <c r="BO156" i="26" a="1"/>
  <c r="BJ156" i="26"/>
  <c r="BJ155" i="26"/>
  <c r="BO155" i="26" a="1"/>
  <c r="BJ154" i="26"/>
  <c r="BO154" i="26" a="1"/>
  <c r="BO153" i="26" a="1"/>
  <c r="BJ153" i="26"/>
  <c r="BO152" i="26" a="1"/>
  <c r="BJ152" i="26"/>
  <c r="BJ151" i="26"/>
  <c r="BO151" i="26" a="1"/>
  <c r="BO150" i="26" a="1"/>
  <c r="BJ150" i="26"/>
  <c r="BO149" i="26" a="1"/>
  <c r="BJ149" i="26"/>
  <c r="BJ148" i="26"/>
  <c r="BO148" i="26" a="1"/>
  <c r="BO147" i="26" a="1"/>
  <c r="BJ147" i="26"/>
  <c r="BJ146" i="26"/>
  <c r="BO146" i="26" a="1"/>
  <c r="BJ145" i="26"/>
  <c r="BO145" i="26" a="1"/>
  <c r="BO144" i="26" a="1"/>
  <c r="BJ144" i="26"/>
  <c r="BJ143" i="26"/>
  <c r="BO143" i="26" a="1"/>
  <c r="BO142" i="26" a="1"/>
  <c r="BJ142" i="26"/>
  <c r="BO141" i="26" a="1"/>
  <c r="BJ141" i="26"/>
  <c r="BO140" i="26" a="1"/>
  <c r="BJ140" i="26"/>
  <c r="BO139" i="26" a="1"/>
  <c r="BJ139" i="26"/>
  <c r="BO138" i="26" a="1"/>
  <c r="BJ138" i="26"/>
  <c r="BO137" i="26" a="1"/>
  <c r="BJ137" i="26"/>
  <c r="BJ136" i="26"/>
  <c r="BO136" i="26" a="1"/>
  <c r="BO135" i="26" a="1"/>
  <c r="BJ135" i="26"/>
  <c r="BJ134" i="26"/>
  <c r="BO134" i="26" a="1"/>
  <c r="BJ133" i="26"/>
  <c r="BO133" i="26" a="1"/>
  <c r="BO132" i="26" a="1"/>
  <c r="BJ132" i="26"/>
  <c r="BO131" i="26" a="1"/>
  <c r="BJ131" i="26"/>
  <c r="BJ130" i="26"/>
  <c r="BO130" i="26" a="1"/>
  <c r="BO129" i="26" a="1"/>
  <c r="BJ129" i="26"/>
  <c r="BO128" i="26" a="1"/>
  <c r="BJ128" i="26"/>
  <c r="BJ127" i="26"/>
  <c r="BO127" i="26" a="1"/>
  <c r="BJ126" i="26"/>
  <c r="BO126" i="26" a="1"/>
  <c r="BO125" i="26" a="1"/>
  <c r="BJ125" i="26"/>
  <c r="BO124" i="26" a="1"/>
  <c r="BJ124" i="26"/>
  <c r="BJ123" i="26"/>
  <c r="BO123" i="26" a="1"/>
  <c r="BJ122" i="26"/>
  <c r="BO122" i="26" a="1"/>
  <c r="BJ121" i="26"/>
  <c r="BO121" i="26" a="1"/>
  <c r="BO120" i="26" a="1"/>
  <c r="BJ120" i="26"/>
  <c r="BO119" i="26" a="1"/>
  <c r="BJ119" i="26"/>
  <c r="BJ118" i="26"/>
  <c r="BO118" i="26" a="1"/>
  <c r="BO117" i="26" a="1"/>
  <c r="BJ117" i="26"/>
  <c r="BO116" i="26" a="1"/>
  <c r="BJ116" i="26"/>
  <c r="BJ115" i="26"/>
  <c r="BO115" i="26" a="1"/>
  <c r="BO114" i="26" a="1"/>
  <c r="BJ114" i="26"/>
  <c r="BJ113" i="26"/>
  <c r="BO113" i="26" a="1"/>
  <c r="BJ112" i="26"/>
  <c r="BO112" i="26" a="1"/>
  <c r="BJ111" i="26"/>
  <c r="BO111" i="26" a="1"/>
  <c r="BO110" i="26" a="1"/>
  <c r="BJ110" i="26"/>
  <c r="BO109" i="26" a="1"/>
  <c r="BJ109" i="26"/>
  <c r="BO108" i="26" a="1"/>
  <c r="BJ108" i="26"/>
  <c r="BO107" i="26" a="1"/>
  <c r="BJ107" i="26"/>
  <c r="BO106" i="26" a="1"/>
  <c r="BJ106" i="26"/>
  <c r="BO105" i="26" a="1"/>
  <c r="BJ105" i="26"/>
  <c r="BJ104" i="26"/>
  <c r="BO104" i="26" a="1"/>
  <c r="BJ103" i="26"/>
  <c r="BO103" i="26" a="1"/>
  <c r="BO102" i="26" a="1"/>
  <c r="BJ102" i="26"/>
  <c r="BO101" i="26" a="1"/>
  <c r="BJ101" i="26"/>
  <c r="BJ100" i="26"/>
  <c r="BO100" i="26" a="1"/>
  <c r="BO99" i="26" a="1"/>
  <c r="BJ99" i="26"/>
  <c r="BO98" i="26" a="1"/>
  <c r="BJ98" i="26"/>
  <c r="BJ97" i="26"/>
  <c r="BO97" i="26" a="1"/>
  <c r="BO96" i="26" a="1"/>
  <c r="BJ96" i="26"/>
  <c r="BO95" i="26" a="1"/>
  <c r="BJ95" i="26"/>
  <c r="BO94" i="26" a="1"/>
  <c r="BJ94" i="26"/>
  <c r="BO93" i="26" a="1"/>
  <c r="BJ93" i="26"/>
  <c r="BJ92" i="26"/>
  <c r="BO92" i="26" a="1"/>
  <c r="BO91" i="26" a="1"/>
  <c r="BJ91" i="26"/>
  <c r="BO90" i="26" a="1"/>
  <c r="BJ90" i="26"/>
  <c r="BO89" i="26" a="1"/>
  <c r="BJ89" i="26"/>
  <c r="BJ88" i="26"/>
  <c r="BO88" i="26" a="1"/>
  <c r="BJ87" i="26"/>
  <c r="BO87" i="26" a="1"/>
  <c r="BJ86" i="26"/>
  <c r="BO86" i="26" a="1"/>
  <c r="BJ85" i="26"/>
  <c r="BO85" i="26" a="1"/>
  <c r="BJ84" i="26"/>
  <c r="BO84" i="26" a="1"/>
  <c r="BO83" i="26" a="1"/>
  <c r="BJ83" i="26"/>
  <c r="BJ82" i="26"/>
  <c r="BO82" i="26" a="1"/>
  <c r="BO81" i="26" a="1"/>
  <c r="BJ81" i="26"/>
  <c r="BO80" i="26" a="1"/>
  <c r="BJ80" i="26"/>
  <c r="BO79" i="26" a="1"/>
  <c r="BJ79" i="26"/>
  <c r="BJ78" i="26"/>
  <c r="BO78" i="26" a="1"/>
  <c r="BJ77" i="26"/>
  <c r="BO77" i="26" a="1"/>
  <c r="BJ76" i="26"/>
  <c r="BO76" i="26" a="1"/>
  <c r="BO75" i="26" a="1"/>
  <c r="BJ75" i="26"/>
  <c r="BJ74" i="26"/>
  <c r="BO74" i="26" a="1"/>
  <c r="BO73" i="26" a="1"/>
  <c r="BJ73" i="26"/>
  <c r="BO72" i="26" a="1"/>
  <c r="BJ72" i="26"/>
  <c r="BO71" i="26" a="1"/>
  <c r="BJ71" i="26"/>
  <c r="BO70" i="26" a="1"/>
  <c r="BJ70" i="26"/>
  <c r="BO69" i="26" a="1"/>
  <c r="BJ69" i="26"/>
  <c r="BO68" i="26" a="1"/>
  <c r="BJ68" i="26"/>
  <c r="BJ67" i="26"/>
  <c r="BO67" i="26" a="1"/>
  <c r="BJ66" i="26"/>
  <c r="BO66" i="26" a="1"/>
  <c r="BJ65" i="26"/>
  <c r="BO65" i="26" a="1"/>
  <c r="BO64" i="26" a="1"/>
  <c r="BJ64" i="26"/>
  <c r="BJ63" i="26"/>
  <c r="BO63" i="26" a="1"/>
  <c r="BO62" i="26" a="1"/>
  <c r="BJ62" i="26"/>
  <c r="BO61" i="26" a="1"/>
  <c r="BJ61" i="26"/>
  <c r="BJ60" i="26"/>
  <c r="BO60" i="26" a="1"/>
  <c r="BO59" i="26" a="1"/>
  <c r="BJ59" i="26"/>
  <c r="BJ58" i="26"/>
  <c r="BO58" i="26" a="1"/>
  <c r="BJ57" i="26"/>
  <c r="BO57" i="26" a="1"/>
  <c r="BO56" i="26" a="1"/>
  <c r="BJ56" i="26"/>
  <c r="BO55" i="26" a="1"/>
  <c r="BJ55" i="26"/>
  <c r="BJ54" i="26"/>
  <c r="BO54" i="26" a="1"/>
  <c r="BJ53" i="26"/>
  <c r="BO53" i="26" a="1"/>
  <c r="BO52" i="26" a="1"/>
  <c r="BJ52" i="26"/>
  <c r="BO51" i="26" a="1"/>
  <c r="BJ51" i="26"/>
  <c r="BO50" i="26" a="1"/>
  <c r="BJ50" i="26"/>
  <c r="BO49" i="26" a="1"/>
  <c r="BJ49" i="26"/>
  <c r="BJ48" i="26"/>
  <c r="BO48" i="26" a="1"/>
  <c r="BJ47" i="26"/>
  <c r="BO47" i="26" a="1"/>
  <c r="BO46" i="26" a="1"/>
  <c r="BJ46" i="26"/>
  <c r="BJ45" i="26"/>
  <c r="BO45" i="26" a="1"/>
  <c r="BO44" i="26" a="1"/>
  <c r="BJ44" i="26"/>
  <c r="BJ43" i="26"/>
  <c r="BO43" i="26" a="1"/>
  <c r="BJ42" i="26"/>
  <c r="BO42" i="26" a="1"/>
  <c r="BJ41" i="26"/>
  <c r="BO41" i="26" a="1"/>
  <c r="BO40" i="26" a="1"/>
  <c r="BJ40" i="26"/>
  <c r="BO38" i="26" a="1"/>
  <c r="BJ38" i="26"/>
  <c r="BO37" i="26" a="1"/>
  <c r="BJ37" i="26"/>
  <c r="BJ36" i="26"/>
  <c r="BO36" i="26" a="1"/>
  <c r="BO35" i="26" a="1"/>
  <c r="BJ35" i="26"/>
  <c r="BO34" i="26" a="1"/>
  <c r="BJ34" i="26"/>
  <c r="BJ33" i="26"/>
  <c r="BO33" i="26" a="1"/>
  <c r="BO32" i="26" a="1"/>
  <c r="BJ32" i="26"/>
  <c r="BO31" i="26" a="1"/>
  <c r="BJ31" i="26"/>
  <c r="BJ30" i="26"/>
  <c r="BO30" i="26" a="1"/>
  <c r="BO29" i="26" a="1"/>
  <c r="BJ29" i="26"/>
  <c r="BJ28" i="26"/>
  <c r="BO28" i="26" a="1"/>
  <c r="BO27" i="26" a="1"/>
  <c r="BJ27" i="26"/>
  <c r="BO26" i="26" a="1"/>
  <c r="BJ26" i="26"/>
  <c r="BJ25" i="26"/>
  <c r="BO25" i="26" a="1"/>
  <c r="BJ24" i="26"/>
  <c r="BO24" i="26" a="1"/>
  <c r="BJ23" i="26"/>
  <c r="BO23" i="26" a="1"/>
  <c r="BJ22" i="26"/>
  <c r="BO22" i="26" a="1"/>
  <c r="BO21" i="26" a="1"/>
  <c r="BJ21" i="26"/>
  <c r="BO20" i="26" a="1"/>
  <c r="BJ20" i="26"/>
  <c r="BO19" i="26" a="1"/>
  <c r="BJ19" i="26"/>
  <c r="BO18" i="26" a="1"/>
  <c r="BJ18" i="26"/>
  <c r="BO17" i="26" a="1"/>
  <c r="BJ17" i="26"/>
  <c r="BJ16" i="26"/>
  <c r="BO16" i="26" a="1"/>
  <c r="BO15" i="26" a="1"/>
  <c r="BJ15" i="26"/>
  <c r="BO14" i="26" a="1"/>
  <c r="BJ14" i="26"/>
  <c r="BO13" i="26" a="1"/>
  <c r="BJ13" i="26"/>
  <c r="BJ12" i="26"/>
  <c r="BO12" i="26" a="1"/>
  <c r="BO11" i="26" a="1"/>
  <c r="BJ11" i="26"/>
  <c r="BO10" i="26" a="1"/>
  <c r="BJ10" i="26"/>
  <c r="BJ9" i="26"/>
  <c r="BO9" i="26" a="1"/>
  <c r="AK394" i="26"/>
  <c r="BU394" i="26" s="1"/>
  <c r="BV394" i="26" s="1"/>
  <c r="AK115" i="26"/>
  <c r="BU115" i="26" s="1"/>
  <c r="BV115" i="26" s="1"/>
  <c r="N64" i="22"/>
  <c r="U103" i="8"/>
  <c r="U104" i="8"/>
  <c r="U107" i="8"/>
  <c r="U689" i="8"/>
  <c r="U690" i="8"/>
  <c r="U284" i="8"/>
  <c r="U670" i="8"/>
  <c r="U283" i="8"/>
  <c r="U242" i="8"/>
  <c r="U282" i="8"/>
  <c r="U672" i="8"/>
  <c r="U671" i="8"/>
  <c r="U200" i="8"/>
  <c r="U688" i="8"/>
  <c r="U241" i="8"/>
  <c r="U696" i="8"/>
  <c r="V700" i="8"/>
  <c r="V704" i="8"/>
  <c r="U707" i="8"/>
  <c r="V710" i="8"/>
  <c r="U714" i="8"/>
  <c r="V716" i="8"/>
  <c r="U720" i="8"/>
  <c r="V723" i="8"/>
  <c r="U727" i="8"/>
  <c r="V730" i="8"/>
  <c r="V733" i="8"/>
  <c r="V737" i="8"/>
  <c r="V741" i="8"/>
  <c r="U757" i="8"/>
  <c r="U763" i="8"/>
  <c r="W776" i="8"/>
  <c r="AM778" i="26" s="1"/>
  <c r="W778" i="8"/>
  <c r="U793" i="8"/>
  <c r="U145" i="8"/>
  <c r="V244" i="8"/>
  <c r="U285" i="8"/>
  <c r="U669" i="8"/>
  <c r="V692" i="8"/>
  <c r="V695" i="8"/>
  <c r="V698" i="8"/>
  <c r="V701" i="8"/>
  <c r="U704" i="8"/>
  <c r="V706" i="8"/>
  <c r="V709" i="8"/>
  <c r="U713" i="8"/>
  <c r="U717" i="8"/>
  <c r="V720" i="8"/>
  <c r="U723" i="8"/>
  <c r="V727" i="8"/>
  <c r="U731" i="8"/>
  <c r="U734" i="8"/>
  <c r="U737" i="8"/>
  <c r="V740" i="8"/>
  <c r="V750" i="8"/>
  <c r="U759" i="8"/>
  <c r="U766" i="8"/>
  <c r="V777" i="8"/>
  <c r="X778" i="8"/>
  <c r="W793" i="8"/>
  <c r="U144" i="8"/>
  <c r="W145" i="8"/>
  <c r="W176" i="8"/>
  <c r="AM178" i="26" s="1"/>
  <c r="W236" i="8"/>
  <c r="U243" i="8"/>
  <c r="U244" i="8"/>
  <c r="V245" i="8"/>
  <c r="V291" i="8"/>
  <c r="W669" i="8"/>
  <c r="AM671" i="26" s="1"/>
  <c r="W691" i="8"/>
  <c r="AM693" i="26" s="1"/>
  <c r="U693" i="8"/>
  <c r="U697" i="8"/>
  <c r="V699" i="8"/>
  <c r="V702" i="8"/>
  <c r="V705" i="8"/>
  <c r="U708" i="8"/>
  <c r="V711" i="8"/>
  <c r="V714" i="8"/>
  <c r="U716" i="8"/>
  <c r="U719" i="8"/>
  <c r="V722" i="8"/>
  <c r="V725" i="8"/>
  <c r="V729" i="8"/>
  <c r="U732" i="8"/>
  <c r="V735" i="8"/>
  <c r="U739" i="8"/>
  <c r="V742" i="8"/>
  <c r="W757" i="8"/>
  <c r="U761" i="8"/>
  <c r="V776" i="8"/>
  <c r="U778" i="8"/>
  <c r="X792" i="8"/>
  <c r="V794" i="8"/>
  <c r="U694" i="8"/>
  <c r="V719" i="8"/>
  <c r="U724" i="8"/>
  <c r="U728" i="8"/>
  <c r="V734" i="8"/>
  <c r="V738" i="8"/>
  <c r="U750" i="8"/>
  <c r="U758" i="8"/>
  <c r="U765" i="8"/>
  <c r="U777" i="8"/>
  <c r="U792" i="8"/>
  <c r="X793" i="8"/>
  <c r="W144" i="8"/>
  <c r="X145" i="8"/>
  <c r="X176" i="8"/>
  <c r="X236" i="8"/>
  <c r="V241" i="8"/>
  <c r="V243" i="8"/>
  <c r="W244" i="8"/>
  <c r="W245" i="8"/>
  <c r="AM247" i="26" s="1"/>
  <c r="W291" i="8"/>
  <c r="U691" i="8"/>
  <c r="U692" i="8"/>
  <c r="V693" i="8"/>
  <c r="V696" i="8"/>
  <c r="U699" i="8"/>
  <c r="U702" i="8"/>
  <c r="U705" i="8"/>
  <c r="V708" i="8"/>
  <c r="U711" i="8"/>
  <c r="V713" i="8"/>
  <c r="V718" i="8"/>
  <c r="U722" i="8"/>
  <c r="U725" i="8"/>
  <c r="V728" i="8"/>
  <c r="V731" i="8"/>
  <c r="U735" i="8"/>
  <c r="U738" i="8"/>
  <c r="U741" i="8"/>
  <c r="V757" i="8"/>
  <c r="U762" i="8"/>
  <c r="U776" i="8"/>
  <c r="X777" i="8"/>
  <c r="W792" i="8"/>
  <c r="U794" i="8"/>
  <c r="X144" i="8"/>
  <c r="U176" i="8"/>
  <c r="V236" i="8"/>
  <c r="W241" i="8"/>
  <c r="X243" i="8"/>
  <c r="U245" i="8"/>
  <c r="U291" i="8"/>
  <c r="X669" i="8"/>
  <c r="V691" i="8"/>
  <c r="W692" i="8"/>
  <c r="AM694" i="26" s="1"/>
  <c r="V694" i="8"/>
  <c r="V697" i="8"/>
  <c r="U700" i="8"/>
  <c r="U703" i="8"/>
  <c r="U706" i="8"/>
  <c r="U709" i="8"/>
  <c r="U712" i="8"/>
  <c r="U715" i="8"/>
  <c r="V717" i="8"/>
  <c r="V721" i="8"/>
  <c r="U726" i="8"/>
  <c r="U729" i="8"/>
  <c r="V732" i="8"/>
  <c r="U736" i="8"/>
  <c r="U740" i="8"/>
  <c r="W750" i="8"/>
  <c r="U760" i="8"/>
  <c r="U767" i="8"/>
  <c r="W777" i="8"/>
  <c r="V792" i="8"/>
  <c r="X794" i="8"/>
  <c r="V144" i="8"/>
  <c r="V145" i="8"/>
  <c r="V176" i="8"/>
  <c r="U236" i="8"/>
  <c r="X241" i="8"/>
  <c r="W243" i="8"/>
  <c r="AM245" i="26" s="1"/>
  <c r="X244" i="8"/>
  <c r="X245" i="8"/>
  <c r="X291" i="8"/>
  <c r="V669" i="8"/>
  <c r="X691" i="8"/>
  <c r="X692" i="8"/>
  <c r="U695" i="8"/>
  <c r="U698" i="8"/>
  <c r="U701" i="8"/>
  <c r="V703" i="8"/>
  <c r="V707" i="8"/>
  <c r="U710" i="8"/>
  <c r="V712" i="8"/>
  <c r="V715" i="8"/>
  <c r="U718" i="8"/>
  <c r="U721" i="8"/>
  <c r="V724" i="8"/>
  <c r="V726" i="8"/>
  <c r="U730" i="8"/>
  <c r="U733" i="8"/>
  <c r="V736" i="8"/>
  <c r="V739" i="8"/>
  <c r="U742" i="8"/>
  <c r="X750" i="8"/>
  <c r="X757" i="8"/>
  <c r="U764" i="8"/>
  <c r="X776" i="8"/>
  <c r="V778" i="8"/>
  <c r="V793" i="8"/>
  <c r="W794" i="8"/>
  <c r="K61" i="22"/>
  <c r="CV38" i="16"/>
  <c r="L61" i="22" s="1"/>
  <c r="U745" i="8"/>
  <c r="U749" i="8"/>
  <c r="U747" i="8"/>
  <c r="U746" i="8"/>
  <c r="U748" i="8"/>
  <c r="U744" i="8"/>
  <c r="U743" i="8"/>
  <c r="CR77" i="16"/>
  <c r="U787" i="8"/>
  <c r="U786" i="8"/>
  <c r="U789" i="8"/>
  <c r="U788" i="8"/>
  <c r="U791" i="8"/>
  <c r="U790" i="8"/>
  <c r="CR38" i="16"/>
  <c r="L60" i="22" s="1"/>
  <c r="P60" i="22" s="1"/>
  <c r="K60" i="22"/>
  <c r="CP70" i="16"/>
  <c r="CP77" i="16" s="1"/>
  <c r="U752" i="8"/>
  <c r="U751" i="8"/>
  <c r="U755" i="8"/>
  <c r="U754" i="8"/>
  <c r="U756" i="8"/>
  <c r="U753" i="8"/>
  <c r="CP38" i="16"/>
  <c r="L59" i="22" s="1"/>
  <c r="M59" i="22" s="1"/>
  <c r="K59" i="22"/>
  <c r="U785" i="8"/>
  <c r="U784" i="8"/>
  <c r="U783" i="8"/>
  <c r="U782" i="8"/>
  <c r="U781" i="8"/>
  <c r="U780" i="8"/>
  <c r="U779" i="8"/>
  <c r="O58" i="22"/>
  <c r="CN31" i="16"/>
  <c r="G58" i="22" s="1"/>
  <c r="F58" i="22"/>
  <c r="CL38" i="16"/>
  <c r="U773" i="8"/>
  <c r="U768" i="8"/>
  <c r="U774" i="8"/>
  <c r="U775" i="8"/>
  <c r="U769" i="8"/>
  <c r="U772" i="8"/>
  <c r="U771" i="8"/>
  <c r="U770" i="8"/>
  <c r="CK70" i="16"/>
  <c r="CK38" i="16"/>
  <c r="K56" i="22"/>
  <c r="CK31" i="16"/>
  <c r="G56" i="22" s="1"/>
  <c r="E56" i="22"/>
  <c r="CF77" i="16"/>
  <c r="CF38" i="16"/>
  <c r="L55" i="22" s="1"/>
  <c r="P55" i="22" s="1"/>
  <c r="X242" i="8" s="1"/>
  <c r="CE70" i="16"/>
  <c r="CE77" i="16" s="1"/>
  <c r="U238" i="8"/>
  <c r="U240" i="8"/>
  <c r="U237" i="8"/>
  <c r="U239" i="8"/>
  <c r="O54" i="22"/>
  <c r="CE38" i="16"/>
  <c r="L54" i="22" s="1"/>
  <c r="M54" i="22" s="1"/>
  <c r="K54" i="22"/>
  <c r="CD71" i="16"/>
  <c r="CD72" i="16" s="1"/>
  <c r="CD77" i="16"/>
  <c r="CD78" i="16" s="1"/>
  <c r="U234" i="8"/>
  <c r="U229" i="8"/>
  <c r="U226" i="8"/>
  <c r="U224" i="8"/>
  <c r="U232" i="8"/>
  <c r="U227" i="8"/>
  <c r="U231" i="8"/>
  <c r="U228" i="8"/>
  <c r="U235" i="8"/>
  <c r="U233" i="8"/>
  <c r="U225" i="8"/>
  <c r="U223" i="8"/>
  <c r="U230" i="8"/>
  <c r="O53" i="22"/>
  <c r="U172" i="8"/>
  <c r="U166" i="8"/>
  <c r="U160" i="8"/>
  <c r="U153" i="8"/>
  <c r="U175" i="8"/>
  <c r="U169" i="8"/>
  <c r="U162" i="8"/>
  <c r="U155" i="8"/>
  <c r="U173" i="8"/>
  <c r="U165" i="8"/>
  <c r="U159" i="8"/>
  <c r="U152" i="8"/>
  <c r="U170" i="8"/>
  <c r="U163" i="8"/>
  <c r="U157" i="8"/>
  <c r="U150" i="8"/>
  <c r="U148" i="8"/>
  <c r="U167" i="8"/>
  <c r="U174" i="8"/>
  <c r="U168" i="8"/>
  <c r="U161" i="8"/>
  <c r="U156" i="8"/>
  <c r="U151" i="8"/>
  <c r="U149" i="8"/>
  <c r="U146" i="8"/>
  <c r="U171" i="8"/>
  <c r="U164" i="8"/>
  <c r="U158" i="8"/>
  <c r="U154" i="8"/>
  <c r="U147" i="8"/>
  <c r="CB38" i="16"/>
  <c r="L52" i="22" s="1"/>
  <c r="M52" i="22" s="1"/>
  <c r="K52" i="22"/>
  <c r="O51" i="22"/>
  <c r="U218" i="8"/>
  <c r="U222" i="8"/>
  <c r="U216" i="8"/>
  <c r="U221" i="8"/>
  <c r="U215" i="8"/>
  <c r="U220" i="8"/>
  <c r="U217" i="8"/>
  <c r="U219" i="8"/>
  <c r="BZ38" i="16"/>
  <c r="L51" i="22" s="1"/>
  <c r="P51" i="22" s="1"/>
  <c r="K51" i="22"/>
  <c r="U214" i="8"/>
  <c r="O50" i="22"/>
  <c r="V214" i="8" s="1"/>
  <c r="BY38" i="16"/>
  <c r="K50" i="22"/>
  <c r="BX70" i="16"/>
  <c r="U203" i="8"/>
  <c r="U211" i="8"/>
  <c r="U205" i="8"/>
  <c r="U212" i="8"/>
  <c r="U202" i="8"/>
  <c r="U206" i="8"/>
  <c r="U204" i="8"/>
  <c r="U207" i="8"/>
  <c r="U213" i="8"/>
  <c r="U201" i="8"/>
  <c r="U210" i="8"/>
  <c r="U209" i="8"/>
  <c r="U208" i="8"/>
  <c r="BX38" i="16"/>
  <c r="L49" i="22" s="1"/>
  <c r="M49" i="22" s="1"/>
  <c r="K49" i="22"/>
  <c r="BV77" i="16"/>
  <c r="BU71" i="16"/>
  <c r="BU72" i="16" s="1"/>
  <c r="BU77" i="16"/>
  <c r="BU78" i="16" s="1"/>
  <c r="O47" i="22"/>
  <c r="BU48" i="16"/>
  <c r="BU62" i="16" s="1"/>
  <c r="BU63" i="16" s="1"/>
  <c r="L47" i="22"/>
  <c r="U196" i="8"/>
  <c r="U191" i="8"/>
  <c r="U186" i="8"/>
  <c r="U180" i="8"/>
  <c r="U195" i="8"/>
  <c r="U189" i="8"/>
  <c r="U184" i="8"/>
  <c r="U179" i="8"/>
  <c r="U194" i="8"/>
  <c r="U190" i="8"/>
  <c r="U185" i="8"/>
  <c r="U177" i="8"/>
  <c r="U198" i="8"/>
  <c r="U197" i="8"/>
  <c r="U192" i="8"/>
  <c r="U187" i="8"/>
  <c r="U181" i="8"/>
  <c r="U199" i="8"/>
  <c r="U193" i="8"/>
  <c r="U188" i="8"/>
  <c r="U183" i="8"/>
  <c r="U178" i="8"/>
  <c r="U182" i="8"/>
  <c r="BS70" i="16"/>
  <c r="BS77" i="16" s="1"/>
  <c r="U139" i="8"/>
  <c r="U140" i="8"/>
  <c r="U143" i="8"/>
  <c r="U135" i="8"/>
  <c r="U137" i="8"/>
  <c r="U136" i="8"/>
  <c r="U134" i="8"/>
  <c r="U138" i="8"/>
  <c r="U141" i="8"/>
  <c r="U142" i="8"/>
  <c r="O46" i="22"/>
  <c r="BN38" i="16"/>
  <c r="L45" i="22" s="1"/>
  <c r="M45" i="22" s="1"/>
  <c r="W107" i="8" s="1"/>
  <c r="K45" i="22"/>
  <c r="U106" i="8"/>
  <c r="U105" i="8"/>
  <c r="BM38" i="16"/>
  <c r="L44" i="22" s="1"/>
  <c r="K44" i="22"/>
  <c r="BL71" i="16"/>
  <c r="BL72" i="16" s="1"/>
  <c r="BL77" i="16"/>
  <c r="BL78" i="16" s="1"/>
  <c r="O43" i="22"/>
  <c r="V104" i="8" s="1"/>
  <c r="BJ77" i="16"/>
  <c r="U11" i="8"/>
  <c r="U13" i="8"/>
  <c r="U12" i="8"/>
  <c r="BJ38" i="16"/>
  <c r="L42" i="22" s="1"/>
  <c r="BH70" i="16"/>
  <c r="U127" i="8"/>
  <c r="U131" i="8"/>
  <c r="U123" i="8"/>
  <c r="U126" i="8"/>
  <c r="U122" i="8"/>
  <c r="U116" i="8"/>
  <c r="U113" i="8"/>
  <c r="U130" i="8"/>
  <c r="U118" i="8"/>
  <c r="U133" i="8"/>
  <c r="U129" i="8"/>
  <c r="U114" i="8"/>
  <c r="U111" i="8"/>
  <c r="U132" i="8"/>
  <c r="U128" i="8"/>
  <c r="U124" i="8"/>
  <c r="U119" i="8"/>
  <c r="U115" i="8"/>
  <c r="U121" i="8"/>
  <c r="U117" i="8"/>
  <c r="U112" i="8"/>
  <c r="U125" i="8"/>
  <c r="U120" i="8"/>
  <c r="O41" i="22"/>
  <c r="BH38" i="16"/>
  <c r="K41" i="22"/>
  <c r="U108" i="8"/>
  <c r="U109" i="8"/>
  <c r="U110" i="8"/>
  <c r="O40" i="22"/>
  <c r="BD70" i="16"/>
  <c r="O39" i="22"/>
  <c r="U9" i="8"/>
  <c r="U10" i="8"/>
  <c r="U7" i="8"/>
  <c r="U8" i="8"/>
  <c r="U6" i="8"/>
  <c r="O38" i="22"/>
  <c r="AZ77" i="16"/>
  <c r="U100" i="8"/>
  <c r="U98" i="8"/>
  <c r="U94" i="8"/>
  <c r="U96" i="8"/>
  <c r="U102" i="8"/>
  <c r="U99" i="8"/>
  <c r="U95" i="8"/>
  <c r="U101" i="8"/>
  <c r="U97" i="8"/>
  <c r="U93" i="8"/>
  <c r="K37" i="22"/>
  <c r="AZ38" i="16"/>
  <c r="L37" i="22" s="1"/>
  <c r="AY70" i="16"/>
  <c r="U90" i="8"/>
  <c r="U87" i="8"/>
  <c r="U85" i="8"/>
  <c r="U82" i="8"/>
  <c r="U79" i="8"/>
  <c r="U75" i="8"/>
  <c r="U91" i="8"/>
  <c r="U88" i="8"/>
  <c r="U84" i="8"/>
  <c r="U81" i="8"/>
  <c r="U77" i="8"/>
  <c r="U92" i="8"/>
  <c r="U89" i="8"/>
  <c r="U86" i="8"/>
  <c r="U83" i="8"/>
  <c r="U80" i="8"/>
  <c r="U78" i="8"/>
  <c r="U76" i="8"/>
  <c r="U67" i="8"/>
  <c r="U62" i="8"/>
  <c r="U61" i="8"/>
  <c r="U56" i="8"/>
  <c r="U51" i="8"/>
  <c r="U48" i="8"/>
  <c r="U70" i="8"/>
  <c r="U66" i="8"/>
  <c r="U59" i="8"/>
  <c r="U55" i="8"/>
  <c r="U49" i="8"/>
  <c r="U72" i="8"/>
  <c r="U71" i="8"/>
  <c r="U65" i="8"/>
  <c r="U60" i="8"/>
  <c r="U54" i="8"/>
  <c r="U50" i="8"/>
  <c r="U74" i="8"/>
  <c r="U69" i="8"/>
  <c r="U64" i="8"/>
  <c r="U57" i="8"/>
  <c r="U53" i="8"/>
  <c r="U73" i="8"/>
  <c r="U68" i="8"/>
  <c r="U63" i="8"/>
  <c r="U58" i="8"/>
  <c r="U52" i="8"/>
  <c r="H35" i="22"/>
  <c r="AX36" i="16"/>
  <c r="F35" i="22"/>
  <c r="AX31" i="16"/>
  <c r="G35" i="22" s="1"/>
  <c r="AW38" i="16"/>
  <c r="L34" i="22" s="1"/>
  <c r="K34" i="22"/>
  <c r="U46" i="8"/>
  <c r="U40" i="8"/>
  <c r="U47" i="8"/>
  <c r="U43" i="8"/>
  <c r="U39" i="8"/>
  <c r="U36" i="8"/>
  <c r="U45" i="8"/>
  <c r="U42" i="8"/>
  <c r="U37" i="8"/>
  <c r="U44" i="8"/>
  <c r="U41" i="8"/>
  <c r="U38" i="8"/>
  <c r="O34" i="22"/>
  <c r="AU77" i="16"/>
  <c r="AU38" i="16"/>
  <c r="L32" i="22" s="1"/>
  <c r="K32" i="22"/>
  <c r="U27" i="8"/>
  <c r="U32" i="8"/>
  <c r="U14" i="8"/>
  <c r="U15" i="8"/>
  <c r="U19" i="8"/>
  <c r="U21" i="8"/>
  <c r="U28" i="8"/>
  <c r="U33" i="8"/>
  <c r="U23" i="8"/>
  <c r="U22" i="8"/>
  <c r="U25" i="8"/>
  <c r="U34" i="8"/>
  <c r="U17" i="8"/>
  <c r="U29" i="8"/>
  <c r="U35" i="8"/>
  <c r="U18" i="8"/>
  <c r="U24" i="8"/>
  <c r="U30" i="8"/>
  <c r="U16" i="8"/>
  <c r="U20" i="8"/>
  <c r="U26" i="8"/>
  <c r="U31" i="8"/>
  <c r="AP70" i="16"/>
  <c r="AP77" i="16" s="1"/>
  <c r="AP38" i="16"/>
  <c r="U289" i="8"/>
  <c r="U290" i="8"/>
  <c r="U287" i="8"/>
  <c r="U288" i="8"/>
  <c r="U286" i="8"/>
  <c r="AN77" i="16"/>
  <c r="O30" i="22"/>
  <c r="U297" i="8"/>
  <c r="U296" i="8"/>
  <c r="U293" i="8"/>
  <c r="U294" i="8"/>
  <c r="U292" i="8"/>
  <c r="U295" i="8"/>
  <c r="AN38" i="16"/>
  <c r="L30" i="22" s="1"/>
  <c r="K30" i="22"/>
  <c r="AM38" i="16"/>
  <c r="L29" i="22" s="1"/>
  <c r="K29" i="22"/>
  <c r="AK70" i="16"/>
  <c r="AK38" i="16"/>
  <c r="L28" i="22" s="1"/>
  <c r="K28" i="22"/>
  <c r="AI38" i="16"/>
  <c r="L26" i="22" s="1"/>
  <c r="K26" i="22"/>
  <c r="AH38" i="16"/>
  <c r="K25" i="22"/>
  <c r="AG70" i="16"/>
  <c r="U270" i="8"/>
  <c r="U278" i="8"/>
  <c r="U271" i="8"/>
  <c r="U275" i="8"/>
  <c r="U280" i="8"/>
  <c r="U281" i="8"/>
  <c r="U273" i="8"/>
  <c r="U274" i="8"/>
  <c r="U268" i="8"/>
  <c r="U276" i="8"/>
  <c r="U269" i="8"/>
  <c r="U279" i="8"/>
  <c r="U272" i="8"/>
  <c r="U277" i="8"/>
  <c r="O24" i="22"/>
  <c r="AG36" i="16"/>
  <c r="AG39" i="16" s="1"/>
  <c r="H24" i="22"/>
  <c r="AG31" i="16"/>
  <c r="G24" i="22" s="1"/>
  <c r="F24" i="22"/>
  <c r="AF77" i="16"/>
  <c r="U259" i="8"/>
  <c r="U251" i="8"/>
  <c r="U255" i="8"/>
  <c r="U248" i="8"/>
  <c r="U258" i="8"/>
  <c r="U249" i="8"/>
  <c r="U260" i="8"/>
  <c r="U250" i="8"/>
  <c r="U265" i="8"/>
  <c r="U252" i="8"/>
  <c r="U266" i="8"/>
  <c r="U256" i="8"/>
  <c r="U247" i="8"/>
  <c r="U262" i="8"/>
  <c r="U261" i="8"/>
  <c r="U264" i="8"/>
  <c r="U253" i="8"/>
  <c r="U246" i="8"/>
  <c r="U267" i="8"/>
  <c r="U254" i="8"/>
  <c r="U257" i="8"/>
  <c r="U263" i="8"/>
  <c r="AF38" i="16"/>
  <c r="L23" i="22" s="1"/>
  <c r="K23" i="22"/>
  <c r="AD70" i="16"/>
  <c r="AD77" i="16" s="1"/>
  <c r="AD38" i="16"/>
  <c r="K22" i="22"/>
  <c r="AC70" i="16"/>
  <c r="AC77" i="16" s="1"/>
  <c r="AC38" i="16"/>
  <c r="K21" i="22"/>
  <c r="AB70" i="16"/>
  <c r="U682" i="8"/>
  <c r="U683" i="8"/>
  <c r="AB38" i="16"/>
  <c r="L20" i="22" s="1"/>
  <c r="K20" i="22"/>
  <c r="AA70" i="16"/>
  <c r="AA38" i="16"/>
  <c r="K19" i="22"/>
  <c r="U518" i="8"/>
  <c r="U500" i="8"/>
  <c r="U494" i="8"/>
  <c r="U493" i="8"/>
  <c r="U492" i="8"/>
  <c r="U491" i="8"/>
  <c r="U490" i="8"/>
  <c r="U489" i="8"/>
  <c r="U488" i="8"/>
  <c r="U487" i="8"/>
  <c r="U486" i="8"/>
  <c r="U485" i="8"/>
  <c r="U530" i="8"/>
  <c r="U523" i="8"/>
  <c r="U516" i="8"/>
  <c r="U509" i="8"/>
  <c r="U502" i="8"/>
  <c r="U495" i="8"/>
  <c r="U525" i="8"/>
  <c r="U512" i="8"/>
  <c r="U503" i="8"/>
  <c r="U519" i="8"/>
  <c r="U513" i="8"/>
  <c r="U506" i="8"/>
  <c r="U526" i="8"/>
  <c r="U520" i="8"/>
  <c r="U521" i="8"/>
  <c r="U514" i="8"/>
  <c r="U497" i="8"/>
  <c r="U527" i="8"/>
  <c r="U507" i="8"/>
  <c r="U511" i="8"/>
  <c r="U505" i="8"/>
  <c r="U499" i="8"/>
  <c r="U524" i="8"/>
  <c r="U517" i="8"/>
  <c r="U528" i="8"/>
  <c r="U504" i="8"/>
  <c r="U498" i="8"/>
  <c r="U510" i="8"/>
  <c r="U529" i="8"/>
  <c r="U522" i="8"/>
  <c r="U515" i="8"/>
  <c r="U508" i="8"/>
  <c r="U501" i="8"/>
  <c r="U496" i="8"/>
  <c r="O19" i="22"/>
  <c r="Z70" i="16"/>
  <c r="Z38" i="16"/>
  <c r="K18" i="22"/>
  <c r="Y38" i="16"/>
  <c r="L17" i="22" s="1"/>
  <c r="K17" i="22"/>
  <c r="X70" i="16"/>
  <c r="U484" i="8"/>
  <c r="U483" i="8"/>
  <c r="U482" i="8"/>
  <c r="U481" i="8"/>
  <c r="U480" i="8"/>
  <c r="U479" i="8"/>
  <c r="U478" i="8"/>
  <c r="U477" i="8"/>
  <c r="U476" i="8"/>
  <c r="U475" i="8"/>
  <c r="U474" i="8"/>
  <c r="U473" i="8"/>
  <c r="U472" i="8"/>
  <c r="U471" i="8"/>
  <c r="U470" i="8"/>
  <c r="U469" i="8"/>
  <c r="U468" i="8"/>
  <c r="U467" i="8"/>
  <c r="U466" i="8"/>
  <c r="U465" i="8"/>
  <c r="U464" i="8"/>
  <c r="U463" i="8"/>
  <c r="U455" i="8"/>
  <c r="U434" i="8"/>
  <c r="U427" i="8"/>
  <c r="U462" i="8"/>
  <c r="U433" i="8"/>
  <c r="U458" i="8"/>
  <c r="U451" i="8"/>
  <c r="U438" i="8"/>
  <c r="U431" i="8"/>
  <c r="U425" i="8"/>
  <c r="U453" i="8"/>
  <c r="U448" i="8"/>
  <c r="U443" i="8"/>
  <c r="U437" i="8"/>
  <c r="U422" i="8"/>
  <c r="U449" i="8"/>
  <c r="U442" i="8"/>
  <c r="U429" i="8"/>
  <c r="U444" i="8"/>
  <c r="U430" i="8"/>
  <c r="U424" i="8"/>
  <c r="U460" i="8"/>
  <c r="U452" i="8"/>
  <c r="U446" i="8"/>
  <c r="U459" i="8"/>
  <c r="U445" i="8"/>
  <c r="U439" i="8"/>
  <c r="U432" i="8"/>
  <c r="U426" i="8"/>
  <c r="U456" i="8"/>
  <c r="U436" i="8"/>
  <c r="U457" i="8"/>
  <c r="U450" i="8"/>
  <c r="U440" i="8"/>
  <c r="U461" i="8"/>
  <c r="U447" i="8"/>
  <c r="U441" i="8"/>
  <c r="U435" i="8"/>
  <c r="U428" i="8"/>
  <c r="U423" i="8"/>
  <c r="U454" i="8"/>
  <c r="O16" i="22"/>
  <c r="W70" i="16"/>
  <c r="J15" i="22"/>
  <c r="W36" i="16"/>
  <c r="W39" i="16" s="1"/>
  <c r="O14" i="22"/>
  <c r="U665" i="8"/>
  <c r="U666" i="8"/>
  <c r="U667" i="8"/>
  <c r="U668" i="8"/>
  <c r="K14" i="22"/>
  <c r="V38" i="16"/>
  <c r="L14" i="22" s="1"/>
  <c r="U38" i="16"/>
  <c r="U402" i="8"/>
  <c r="U398" i="8"/>
  <c r="U392" i="8"/>
  <c r="U383" i="8"/>
  <c r="U379" i="8"/>
  <c r="U369" i="8"/>
  <c r="U364" i="8"/>
  <c r="U359" i="8"/>
  <c r="U349" i="8"/>
  <c r="U339" i="8"/>
  <c r="U396" i="8"/>
  <c r="U391" i="8"/>
  <c r="U386" i="8"/>
  <c r="U371" i="8"/>
  <c r="U360" i="8"/>
  <c r="U354" i="8"/>
  <c r="U344" i="8"/>
  <c r="U335" i="8"/>
  <c r="U403" i="8"/>
  <c r="U399" i="8"/>
  <c r="U394" i="8"/>
  <c r="U382" i="8"/>
  <c r="U368" i="8"/>
  <c r="U363" i="8"/>
  <c r="U343" i="8"/>
  <c r="U338" i="8"/>
  <c r="U373" i="8"/>
  <c r="U356" i="8"/>
  <c r="U340" i="8"/>
  <c r="U400" i="8"/>
  <c r="U380" i="8"/>
  <c r="U374" i="8"/>
  <c r="U358" i="8"/>
  <c r="U352" i="8"/>
  <c r="U342" i="8"/>
  <c r="U372" i="8"/>
  <c r="U366" i="8"/>
  <c r="U355" i="8"/>
  <c r="U345" i="8"/>
  <c r="U341" i="8"/>
  <c r="U336" i="8"/>
  <c r="U401" i="8"/>
  <c r="U388" i="8"/>
  <c r="U378" i="8"/>
  <c r="U367" i="8"/>
  <c r="U362" i="8"/>
  <c r="U351" i="8"/>
  <c r="U397" i="8"/>
  <c r="U387" i="8"/>
  <c r="U377" i="8"/>
  <c r="U347" i="8"/>
  <c r="U393" i="8"/>
  <c r="U395" i="8"/>
  <c r="U357" i="8"/>
  <c r="U389" i="8"/>
  <c r="U384" i="8"/>
  <c r="U375" i="8"/>
  <c r="U365" i="8"/>
  <c r="U361" i="8"/>
  <c r="U353" i="8"/>
  <c r="U348" i="8"/>
  <c r="U390" i="8"/>
  <c r="U385" i="8"/>
  <c r="U381" i="8"/>
  <c r="U376" i="8"/>
  <c r="U370" i="8"/>
  <c r="U350" i="8"/>
  <c r="U346" i="8"/>
  <c r="U337" i="8"/>
  <c r="O13" i="22"/>
  <c r="S77" i="16"/>
  <c r="S38" i="16"/>
  <c r="K12" i="22"/>
  <c r="R38" i="16"/>
  <c r="K11" i="22"/>
  <c r="U681" i="8"/>
  <c r="U680" i="8"/>
  <c r="Q77" i="16"/>
  <c r="Q38" i="16"/>
  <c r="K10" i="22"/>
  <c r="O77" i="16"/>
  <c r="U660" i="8"/>
  <c r="U661" i="8"/>
  <c r="U662" i="8"/>
  <c r="U663" i="8"/>
  <c r="U664" i="8"/>
  <c r="O38" i="16"/>
  <c r="K9" i="22"/>
  <c r="U638" i="8"/>
  <c r="U639" i="8"/>
  <c r="U640" i="8"/>
  <c r="U641" i="8"/>
  <c r="U642" i="8"/>
  <c r="U643" i="8"/>
  <c r="U644" i="8"/>
  <c r="U645" i="8"/>
  <c r="U646" i="8"/>
  <c r="U647" i="8"/>
  <c r="U648" i="8"/>
  <c r="U649" i="8"/>
  <c r="U650" i="8"/>
  <c r="U651" i="8"/>
  <c r="U652" i="8"/>
  <c r="U653" i="8"/>
  <c r="U654" i="8"/>
  <c r="U655" i="8"/>
  <c r="U656" i="8"/>
  <c r="U657" i="8"/>
  <c r="U658" i="8"/>
  <c r="U659" i="8"/>
  <c r="U684" i="8"/>
  <c r="U685" i="8"/>
  <c r="U686" i="8"/>
  <c r="U687" i="8"/>
  <c r="K8" i="22"/>
  <c r="N38" i="16"/>
  <c r="L8" i="22" s="1"/>
  <c r="M70" i="16"/>
  <c r="M38" i="16"/>
  <c r="K7" i="22"/>
  <c r="U573" i="8"/>
  <c r="U589" i="8"/>
  <c r="U602" i="8"/>
  <c r="U613" i="8"/>
  <c r="U614" i="8"/>
  <c r="U615" i="8"/>
  <c r="U616" i="8"/>
  <c r="U617" i="8"/>
  <c r="U618" i="8"/>
  <c r="U619" i="8"/>
  <c r="U620" i="8"/>
  <c r="U621" i="8"/>
  <c r="U622" i="8"/>
  <c r="U623" i="8"/>
  <c r="U624" i="8"/>
  <c r="U625" i="8"/>
  <c r="U626" i="8"/>
  <c r="U627" i="8"/>
  <c r="U628" i="8"/>
  <c r="U629" i="8"/>
  <c r="U630" i="8"/>
  <c r="U631" i="8"/>
  <c r="U632" i="8"/>
  <c r="U633" i="8"/>
  <c r="U634" i="8"/>
  <c r="U635" i="8"/>
  <c r="U636" i="8"/>
  <c r="U637" i="8"/>
  <c r="U577" i="8"/>
  <c r="U607" i="8"/>
  <c r="U578" i="8"/>
  <c r="U601" i="8"/>
  <c r="U572" i="8"/>
  <c r="U586" i="8"/>
  <c r="U594" i="8"/>
  <c r="U606" i="8"/>
  <c r="U575" i="8"/>
  <c r="U585" i="8"/>
  <c r="U595" i="8"/>
  <c r="U609" i="8"/>
  <c r="U574" i="8"/>
  <c r="U570" i="8"/>
  <c r="U579" i="8"/>
  <c r="U588" i="8"/>
  <c r="U597" i="8"/>
  <c r="U610" i="8"/>
  <c r="U569" i="8"/>
  <c r="U582" i="8"/>
  <c r="U590" i="8"/>
  <c r="U599" i="8"/>
  <c r="U611" i="8"/>
  <c r="U568" i="8"/>
  <c r="U581" i="8"/>
  <c r="U593" i="8"/>
  <c r="U605" i="8"/>
  <c r="U592" i="8"/>
  <c r="U604" i="8"/>
  <c r="U576" i="8"/>
  <c r="U587" i="8"/>
  <c r="U596" i="8"/>
  <c r="U603" i="8"/>
  <c r="U612" i="8"/>
  <c r="U571" i="8"/>
  <c r="U583" i="8"/>
  <c r="U591" i="8"/>
  <c r="U598" i="8"/>
  <c r="U608" i="8"/>
  <c r="U580" i="8"/>
  <c r="U600" i="8"/>
  <c r="U584" i="8"/>
  <c r="L70" i="16"/>
  <c r="L38" i="16"/>
  <c r="K6" i="22"/>
  <c r="U564" i="8"/>
  <c r="U553" i="8"/>
  <c r="U540" i="8"/>
  <c r="U565" i="8"/>
  <c r="U552" i="8"/>
  <c r="U541" i="8"/>
  <c r="U560" i="8"/>
  <c r="U548" i="8"/>
  <c r="U535" i="8"/>
  <c r="U562" i="8"/>
  <c r="U550" i="8"/>
  <c r="U537" i="8"/>
  <c r="U566" i="8"/>
  <c r="U551" i="8"/>
  <c r="U539" i="8"/>
  <c r="U559" i="8"/>
  <c r="U547" i="8"/>
  <c r="U533" i="8"/>
  <c r="U567" i="8"/>
  <c r="U554" i="8"/>
  <c r="U543" i="8"/>
  <c r="U531" i="8"/>
  <c r="U561" i="8"/>
  <c r="U549" i="8"/>
  <c r="U536" i="8"/>
  <c r="U557" i="8"/>
  <c r="U545" i="8"/>
  <c r="U532" i="8"/>
  <c r="U563" i="8"/>
  <c r="U555" i="8"/>
  <c r="U544" i="8"/>
  <c r="U534" i="8"/>
  <c r="U558" i="8"/>
  <c r="U546" i="8"/>
  <c r="U538" i="8"/>
  <c r="U556" i="8"/>
  <c r="U542" i="8"/>
  <c r="K70" i="16"/>
  <c r="U679" i="8"/>
  <c r="U678" i="8"/>
  <c r="U677" i="8"/>
  <c r="U676" i="8"/>
  <c r="U675" i="8"/>
  <c r="U674" i="8"/>
  <c r="U673" i="8"/>
  <c r="K38" i="16"/>
  <c r="L5" i="22" s="1"/>
  <c r="M5" i="22" s="1"/>
  <c r="K5" i="22"/>
  <c r="J70" i="16"/>
  <c r="I70" i="16"/>
  <c r="I38" i="16"/>
  <c r="K3" i="22"/>
  <c r="O3" i="22"/>
  <c r="V407" i="8" s="1"/>
  <c r="U410" i="8"/>
  <c r="U404" i="8"/>
  <c r="U406" i="8"/>
  <c r="U408" i="8"/>
  <c r="U409" i="8"/>
  <c r="U420" i="8"/>
  <c r="U407" i="8"/>
  <c r="U412" i="8"/>
  <c r="U405" i="8"/>
  <c r="U413" i="8"/>
  <c r="U414" i="8"/>
  <c r="U418" i="8"/>
  <c r="U421" i="8"/>
  <c r="U417" i="8"/>
  <c r="U415" i="8"/>
  <c r="U419" i="8"/>
  <c r="U411" i="8"/>
  <c r="U416" i="8"/>
  <c r="H38" i="16"/>
  <c r="U316" i="8"/>
  <c r="U320" i="8"/>
  <c r="U317" i="8"/>
  <c r="U298" i="8"/>
  <c r="U305" i="8"/>
  <c r="U315" i="8"/>
  <c r="U330" i="8"/>
  <c r="U310" i="8"/>
  <c r="U327" i="8"/>
  <c r="U333" i="8"/>
  <c r="U301" i="8"/>
  <c r="U306" i="8"/>
  <c r="U311" i="8"/>
  <c r="U302" i="8"/>
  <c r="U314" i="8"/>
  <c r="U323" i="8"/>
  <c r="U308" i="8"/>
  <c r="U307" i="8"/>
  <c r="U312" i="8"/>
  <c r="U321" i="8"/>
  <c r="U325" i="8"/>
  <c r="U328" i="8"/>
  <c r="U331" i="8"/>
  <c r="U322" i="8"/>
  <c r="U304" i="8"/>
  <c r="U313" i="8"/>
  <c r="U318" i="8"/>
  <c r="U300" i="8"/>
  <c r="U326" i="8"/>
  <c r="U332" i="8"/>
  <c r="U329" i="8"/>
  <c r="U309" i="8"/>
  <c r="U319" i="8"/>
  <c r="U324" i="8"/>
  <c r="U334" i="8"/>
  <c r="U299" i="8"/>
  <c r="U303" i="8"/>
  <c r="H70" i="16"/>
  <c r="H77" i="16" s="1"/>
  <c r="O26" i="22"/>
  <c r="V283" i="8" s="1"/>
  <c r="O10" i="22"/>
  <c r="O48" i="22"/>
  <c r="V200" i="8" s="1"/>
  <c r="O32" i="22"/>
  <c r="O49" i="22"/>
  <c r="M38" i="22"/>
  <c r="O33" i="22"/>
  <c r="V103" i="8" s="1"/>
  <c r="M33" i="22"/>
  <c r="W103" i="8" s="1"/>
  <c r="O31" i="22"/>
  <c r="O55" i="22"/>
  <c r="V242" i="8" s="1"/>
  <c r="O18" i="22"/>
  <c r="V672" i="8" s="1"/>
  <c r="O56" i="22"/>
  <c r="O61" i="22"/>
  <c r="O21" i="22"/>
  <c r="V688" i="8" s="1"/>
  <c r="M16" i="22"/>
  <c r="O5" i="22"/>
  <c r="O45" i="22"/>
  <c r="V107" i="8" s="1"/>
  <c r="O37" i="22"/>
  <c r="O57" i="22"/>
  <c r="O25" i="22"/>
  <c r="V282" i="8" s="1"/>
  <c r="O22" i="22"/>
  <c r="V689" i="8" s="1"/>
  <c r="O17" i="22"/>
  <c r="O9" i="22"/>
  <c r="M53" i="22"/>
  <c r="O23" i="22"/>
  <c r="O15" i="22"/>
  <c r="V670" i="8" s="1"/>
  <c r="O7" i="22"/>
  <c r="O42" i="22"/>
  <c r="O59" i="22"/>
  <c r="O27" i="22"/>
  <c r="V284" i="8" s="1"/>
  <c r="O11" i="22"/>
  <c r="O44" i="22"/>
  <c r="O36" i="22"/>
  <c r="O4" i="22"/>
  <c r="V671" i="8" s="1"/>
  <c r="O35" i="22"/>
  <c r="O60" i="22"/>
  <c r="O28" i="22"/>
  <c r="V285" i="8" s="1"/>
  <c r="O20" i="22"/>
  <c r="O12" i="22"/>
  <c r="V690" i="8" s="1"/>
  <c r="M58" i="22"/>
  <c r="O2" i="22"/>
  <c r="M43" i="22"/>
  <c r="W104" i="8" s="1"/>
  <c r="O52" i="22"/>
  <c r="M36" i="22"/>
  <c r="M61" i="22"/>
  <c r="O6" i="22"/>
  <c r="P38" i="22"/>
  <c r="O8" i="22"/>
  <c r="M60" i="22"/>
  <c r="P33" i="22"/>
  <c r="X103" i="8" s="1"/>
  <c r="P43" i="22"/>
  <c r="X104" i="8" s="1"/>
  <c r="P61" i="22"/>
  <c r="P53" i="22"/>
  <c r="P36" i="22"/>
  <c r="P58" i="22"/>
  <c r="P16" i="22"/>
  <c r="P27" i="22" l="1"/>
  <c r="X284" i="8" s="1"/>
  <c r="M27" i="22"/>
  <c r="W284" i="8" s="1"/>
  <c r="BS39" i="16"/>
  <c r="AJ39" i="16"/>
  <c r="BS38" i="16"/>
  <c r="L46" i="22" s="1"/>
  <c r="AJ62" i="16"/>
  <c r="AJ63" i="16" s="1"/>
  <c r="K27" i="22"/>
  <c r="K36" i="22"/>
  <c r="V413" i="8"/>
  <c r="BU49" i="16"/>
  <c r="AJ48" i="16"/>
  <c r="AJ49" i="16" s="1"/>
  <c r="CN62" i="16"/>
  <c r="CN63" i="16" s="1"/>
  <c r="V412" i="8"/>
  <c r="BL62" i="16"/>
  <c r="BL63" i="16" s="1"/>
  <c r="BB71" i="16"/>
  <c r="BB72" i="16" s="1"/>
  <c r="BB62" i="16"/>
  <c r="BB63" i="16" s="1"/>
  <c r="N70" i="16"/>
  <c r="N77" i="16" s="1"/>
  <c r="CE78" i="16"/>
  <c r="BM77" i="16"/>
  <c r="K42" i="22"/>
  <c r="BJ39" i="16"/>
  <c r="BD38" i="16"/>
  <c r="BD48" i="16" s="1"/>
  <c r="K39" i="22"/>
  <c r="BZ48" i="16"/>
  <c r="CD62" i="16"/>
  <c r="CD63" i="16" s="1"/>
  <c r="BD39" i="16"/>
  <c r="M51" i="22"/>
  <c r="AX70" i="16"/>
  <c r="AX77" i="16" s="1"/>
  <c r="AV48" i="16"/>
  <c r="AV49" i="16" s="1"/>
  <c r="AZ48" i="16"/>
  <c r="AX48" i="16"/>
  <c r="BX71" i="16"/>
  <c r="BX72" i="16" s="1"/>
  <c r="BX77" i="16"/>
  <c r="Q53" i="22"/>
  <c r="CD79" i="16"/>
  <c r="CB48" i="16"/>
  <c r="P45" i="22"/>
  <c r="X107" i="8" s="1"/>
  <c r="CK77" i="16"/>
  <c r="AU48" i="16"/>
  <c r="AA77" i="16"/>
  <c r="CV48" i="16"/>
  <c r="CV62" i="16" s="1"/>
  <c r="CV63" i="16" s="1"/>
  <c r="Y48" i="16"/>
  <c r="AM70" i="16"/>
  <c r="AM77" i="16" s="1"/>
  <c r="AJ70" i="16"/>
  <c r="V78" i="16"/>
  <c r="AK77" i="16"/>
  <c r="L50" i="22"/>
  <c r="BX48" i="16"/>
  <c r="BX49" i="16" s="1"/>
  <c r="CB71" i="16"/>
  <c r="CB72" i="16" s="1"/>
  <c r="CB77" i="16"/>
  <c r="CR48" i="16"/>
  <c r="X62" i="16"/>
  <c r="X63" i="16" s="1"/>
  <c r="N48" i="16"/>
  <c r="N49" i="16" s="1"/>
  <c r="L41" i="22"/>
  <c r="BH49" i="16"/>
  <c r="BH48" i="16"/>
  <c r="BH62" i="16" s="1"/>
  <c r="BH63" i="16" s="1"/>
  <c r="CP48" i="16"/>
  <c r="CP49" i="16" s="1"/>
  <c r="K31" i="22"/>
  <c r="AP39" i="16"/>
  <c r="Q38" i="22"/>
  <c r="BB79" i="16"/>
  <c r="V406" i="8"/>
  <c r="K35" i="22"/>
  <c r="AX38" i="16"/>
  <c r="L35" i="22" s="1"/>
  <c r="Z77" i="16"/>
  <c r="J38" i="16"/>
  <c r="J39" i="16"/>
  <c r="K4" i="22"/>
  <c r="AM48" i="16"/>
  <c r="AM62" i="16" s="1"/>
  <c r="AM63" i="16" s="1"/>
  <c r="Q47" i="22"/>
  <c r="BU79" i="16"/>
  <c r="CP71" i="16"/>
  <c r="CP72" i="16" s="1"/>
  <c r="AY71" i="16"/>
  <c r="AY72" i="16" s="1"/>
  <c r="AY77" i="16"/>
  <c r="AY78" i="16" s="1"/>
  <c r="AN48" i="16"/>
  <c r="AN78" i="16" s="1"/>
  <c r="AI78" i="16"/>
  <c r="U70" i="16"/>
  <c r="M55" i="22"/>
  <c r="W242" i="8" s="1"/>
  <c r="AM244" i="26" s="1"/>
  <c r="CL70" i="16"/>
  <c r="CL77" i="16" s="1"/>
  <c r="AI48" i="16"/>
  <c r="AH70" i="16"/>
  <c r="AH77" i="16" s="1"/>
  <c r="V48" i="16"/>
  <c r="V49" i="16" s="1"/>
  <c r="CF78" i="16"/>
  <c r="P49" i="22"/>
  <c r="Q43" i="22"/>
  <c r="BL79" i="16"/>
  <c r="Y62" i="16"/>
  <c r="Y63" i="16" s="1"/>
  <c r="BY70" i="16"/>
  <c r="BY77" i="16" s="1"/>
  <c r="CR78" i="16"/>
  <c r="AK48" i="16"/>
  <c r="AK49" i="16" s="1"/>
  <c r="CN71" i="16"/>
  <c r="CN72" i="16" s="1"/>
  <c r="CN77" i="16"/>
  <c r="CN78" i="16" s="1"/>
  <c r="AF48" i="16"/>
  <c r="CE48" i="16"/>
  <c r="CE49" i="16" s="1"/>
  <c r="K24" i="22"/>
  <c r="AG38" i="16"/>
  <c r="K48" i="22"/>
  <c r="BV38" i="16"/>
  <c r="L77" i="16"/>
  <c r="BV48" i="16"/>
  <c r="AX39" i="16"/>
  <c r="BN48" i="16"/>
  <c r="AV71" i="16"/>
  <c r="AV72" i="16" s="1"/>
  <c r="AW48" i="16"/>
  <c r="AW78" i="16" s="1"/>
  <c r="CV70" i="16"/>
  <c r="CV77" i="16" s="1"/>
  <c r="BM48" i="16"/>
  <c r="BM62" i="16" s="1"/>
  <c r="BM63" i="16" s="1"/>
  <c r="AI71" i="16"/>
  <c r="AI72" i="16" s="1"/>
  <c r="AB48" i="16"/>
  <c r="AB49" i="16" s="1"/>
  <c r="BF38" i="16"/>
  <c r="K40" i="22"/>
  <c r="BF77" i="16"/>
  <c r="CF48" i="16"/>
  <c r="BJ48" i="16"/>
  <c r="K48" i="16"/>
  <c r="K49" i="16" s="1"/>
  <c r="BY48" i="16"/>
  <c r="BY49" i="16" s="1"/>
  <c r="BZ78" i="16"/>
  <c r="CR62" i="16"/>
  <c r="CR63" i="16" s="1"/>
  <c r="BS48" i="16"/>
  <c r="BS49" i="16" s="1"/>
  <c r="G14" i="38"/>
  <c r="G9" i="38"/>
  <c r="D11" i="38"/>
  <c r="D12" i="38"/>
  <c r="D21" i="38"/>
  <c r="D22" i="38"/>
  <c r="D23" i="38"/>
  <c r="C24" i="38"/>
  <c r="G24" i="38"/>
  <c r="C25" i="38"/>
  <c r="D9" i="38"/>
  <c r="G13" i="38"/>
  <c r="E14" i="38"/>
  <c r="E20" i="38"/>
  <c r="C21" i="38"/>
  <c r="C22" i="38"/>
  <c r="G22" i="38"/>
  <c r="E23" i="38"/>
  <c r="D25" i="38"/>
  <c r="E9" i="38"/>
  <c r="F10" i="38"/>
  <c r="D20" i="38"/>
  <c r="G21" i="38"/>
  <c r="F23" i="38"/>
  <c r="E24" i="38"/>
  <c r="E25" i="38"/>
  <c r="F9" i="38"/>
  <c r="E10" i="38"/>
  <c r="E11" i="38"/>
  <c r="F12" i="38"/>
  <c r="D13" i="38"/>
  <c r="F13" i="38"/>
  <c r="D14" i="38"/>
  <c r="C20" i="38"/>
  <c r="H20" i="38"/>
  <c r="H21" i="38"/>
  <c r="C23" i="38"/>
  <c r="D24" i="38"/>
  <c r="F25" i="38"/>
  <c r="B4" i="38"/>
  <c r="D10" i="38"/>
  <c r="F11" i="38"/>
  <c r="E12" i="38"/>
  <c r="F20" i="38"/>
  <c r="E21" i="38"/>
  <c r="F22" i="38"/>
  <c r="H23" i="38"/>
  <c r="H24" i="38"/>
  <c r="H25" i="38"/>
  <c r="G10" i="38"/>
  <c r="G11" i="38"/>
  <c r="H11" i="38" s="1"/>
  <c r="G12" i="38"/>
  <c r="H12" i="38" s="1"/>
  <c r="E13" i="38"/>
  <c r="F14" i="38"/>
  <c r="G20" i="38"/>
  <c r="F21" i="38"/>
  <c r="E22" i="38"/>
  <c r="H22" i="38"/>
  <c r="G23" i="38"/>
  <c r="F24" i="38"/>
  <c r="G25" i="38"/>
  <c r="AN693" i="26"/>
  <c r="AO693" i="26" s="1"/>
  <c r="AP693" i="26" s="1"/>
  <c r="AN794" i="26"/>
  <c r="AM794" i="26"/>
  <c r="AM759" i="26"/>
  <c r="AN759" i="26"/>
  <c r="AM779" i="26"/>
  <c r="AN779" i="26"/>
  <c r="AO779" i="26" s="1"/>
  <c r="AM286" i="26"/>
  <c r="AN286" i="26"/>
  <c r="AO286" i="26" s="1"/>
  <c r="AM243" i="26"/>
  <c r="AN243" i="26"/>
  <c r="AM147" i="26"/>
  <c r="AN147" i="26"/>
  <c r="AM796" i="26"/>
  <c r="AN796" i="26"/>
  <c r="AM105" i="26"/>
  <c r="AN105" i="26"/>
  <c r="AM795" i="26"/>
  <c r="AN795" i="26"/>
  <c r="AM146" i="26"/>
  <c r="AN146" i="26"/>
  <c r="AN244" i="26"/>
  <c r="AO244" i="26" s="1"/>
  <c r="AN671" i="26"/>
  <c r="AO671" i="26" s="1"/>
  <c r="AN694" i="26"/>
  <c r="AO694" i="26" s="1"/>
  <c r="AM752" i="26"/>
  <c r="AN752" i="26"/>
  <c r="AN245" i="26"/>
  <c r="AO245" i="26" s="1"/>
  <c r="AM293" i="26"/>
  <c r="AN293" i="26"/>
  <c r="AO293" i="26" s="1"/>
  <c r="AN247" i="26"/>
  <c r="AO247" i="26" s="1"/>
  <c r="AN106" i="26"/>
  <c r="AM106" i="26"/>
  <c r="AM780" i="26"/>
  <c r="AN780" i="26"/>
  <c r="AO780" i="26" s="1"/>
  <c r="AM109" i="26"/>
  <c r="AN109" i="26"/>
  <c r="AM246" i="26"/>
  <c r="AN246" i="26"/>
  <c r="AM238" i="26"/>
  <c r="AN238" i="26"/>
  <c r="AN778" i="26"/>
  <c r="AO778" i="26" s="1"/>
  <c r="AN178" i="26"/>
  <c r="AO178" i="26" s="1"/>
  <c r="I111" i="25" a="1"/>
  <c r="H111" i="25" a="1"/>
  <c r="G113" i="25" a="1"/>
  <c r="G112" i="25" a="1"/>
  <c r="I112" i="25" a="1"/>
  <c r="J111" i="25"/>
  <c r="G111" i="25" a="1"/>
  <c r="H113" i="25" a="1"/>
  <c r="H112" i="25" a="1"/>
  <c r="P59" i="22"/>
  <c r="X752" i="8" s="1"/>
  <c r="P5" i="22"/>
  <c r="X676" i="8" s="1"/>
  <c r="V411" i="8"/>
  <c r="V410" i="8"/>
  <c r="P52" i="22"/>
  <c r="X157" i="8" s="1"/>
  <c r="V409" i="8"/>
  <c r="P54" i="22"/>
  <c r="X239" i="8" s="1"/>
  <c r="V408" i="8"/>
  <c r="P47" i="22"/>
  <c r="X199" i="8" s="1"/>
  <c r="M47" i="22"/>
  <c r="W190" i="8" s="1"/>
  <c r="P44" i="22"/>
  <c r="M44" i="22"/>
  <c r="P42" i="22"/>
  <c r="X12" i="8" s="1"/>
  <c r="M42" i="22"/>
  <c r="W12" i="8" s="1"/>
  <c r="M41" i="22"/>
  <c r="W131" i="8" s="1"/>
  <c r="P41" i="22"/>
  <c r="X126" i="8" s="1"/>
  <c r="M37" i="22"/>
  <c r="W102" i="8" s="1"/>
  <c r="P37" i="22"/>
  <c r="X98" i="8" s="1"/>
  <c r="M34" i="22"/>
  <c r="W37" i="8" s="1"/>
  <c r="P34" i="22"/>
  <c r="X44" i="8" s="1"/>
  <c r="M32" i="22"/>
  <c r="W28" i="8" s="1"/>
  <c r="P32" i="22"/>
  <c r="X27" i="8" s="1"/>
  <c r="M30" i="22"/>
  <c r="W296" i="8" s="1"/>
  <c r="P30" i="22"/>
  <c r="X296" i="8" s="1"/>
  <c r="M29" i="22"/>
  <c r="W731" i="8" s="1"/>
  <c r="P29" i="22"/>
  <c r="X695" i="8" s="1"/>
  <c r="M28" i="22"/>
  <c r="W285" i="8" s="1"/>
  <c r="P28" i="22"/>
  <c r="X285" i="8" s="1"/>
  <c r="P26" i="22"/>
  <c r="X283" i="8" s="1"/>
  <c r="M26" i="22"/>
  <c r="W283" i="8" s="1"/>
  <c r="M23" i="22"/>
  <c r="W250" i="8" s="1"/>
  <c r="P23" i="22"/>
  <c r="X249" i="8" s="1"/>
  <c r="M20" i="22"/>
  <c r="W682" i="8" s="1"/>
  <c r="P20" i="22"/>
  <c r="X683" i="8" s="1"/>
  <c r="M17" i="22"/>
  <c r="P17" i="22"/>
  <c r="M14" i="22"/>
  <c r="W666" i="8" s="1"/>
  <c r="P14" i="22"/>
  <c r="X667" i="8" s="1"/>
  <c r="V9" i="8"/>
  <c r="V10" i="8"/>
  <c r="V6" i="8"/>
  <c r="V7" i="8"/>
  <c r="V8" i="8"/>
  <c r="P8" i="22"/>
  <c r="M8" i="22"/>
  <c r="W686" i="8" s="1"/>
  <c r="V785" i="8"/>
  <c r="V784" i="8"/>
  <c r="V783" i="8"/>
  <c r="V782" i="8"/>
  <c r="V781" i="8"/>
  <c r="V780" i="8"/>
  <c r="V779" i="8"/>
  <c r="CL48" i="16"/>
  <c r="CL71" i="16" s="1"/>
  <c r="CL72" i="16" s="1"/>
  <c r="L57" i="22"/>
  <c r="CK48" i="16"/>
  <c r="CK62" i="16" s="1"/>
  <c r="CK63" i="16" s="1"/>
  <c r="CK49" i="16"/>
  <c r="L56" i="22"/>
  <c r="V240" i="8"/>
  <c r="V239" i="8"/>
  <c r="V238" i="8"/>
  <c r="V237" i="8"/>
  <c r="V228" i="8"/>
  <c r="V231" i="8"/>
  <c r="V235" i="8"/>
  <c r="V229" i="8"/>
  <c r="V224" i="8"/>
  <c r="V233" i="8"/>
  <c r="V225" i="8"/>
  <c r="V223" i="8"/>
  <c r="V230" i="8"/>
  <c r="V227" i="8"/>
  <c r="V234" i="8"/>
  <c r="V232" i="8"/>
  <c r="V226" i="8"/>
  <c r="V222" i="8"/>
  <c r="V218" i="8"/>
  <c r="V219" i="8"/>
  <c r="V221" i="8"/>
  <c r="V215" i="8"/>
  <c r="V220" i="8"/>
  <c r="V216" i="8"/>
  <c r="V217" i="8"/>
  <c r="V180" i="8"/>
  <c r="V198" i="8"/>
  <c r="V193" i="8"/>
  <c r="V188" i="8"/>
  <c r="V184" i="8"/>
  <c r="V194" i="8"/>
  <c r="V189" i="8"/>
  <c r="V183" i="8"/>
  <c r="V178" i="8"/>
  <c r="V195" i="8"/>
  <c r="V190" i="8"/>
  <c r="V185" i="8"/>
  <c r="V181" i="8"/>
  <c r="V199" i="8"/>
  <c r="V179" i="8"/>
  <c r="V197" i="8"/>
  <c r="V192" i="8"/>
  <c r="V187" i="8"/>
  <c r="V182" i="8"/>
  <c r="V177" i="8"/>
  <c r="V196" i="8"/>
  <c r="V191" i="8"/>
  <c r="V186" i="8"/>
  <c r="V141" i="8"/>
  <c r="V143" i="8"/>
  <c r="V134" i="8"/>
  <c r="V135" i="8"/>
  <c r="V138" i="8"/>
  <c r="V142" i="8"/>
  <c r="V140" i="8"/>
  <c r="V139" i="8"/>
  <c r="V137" i="8"/>
  <c r="V136" i="8"/>
  <c r="BH77" i="16"/>
  <c r="BH78" i="16" s="1"/>
  <c r="BH71" i="16"/>
  <c r="BH72" i="16" s="1"/>
  <c r="V131" i="8"/>
  <c r="V123" i="8"/>
  <c r="V112" i="8"/>
  <c r="V127" i="8"/>
  <c r="V113" i="8"/>
  <c r="V130" i="8"/>
  <c r="V118" i="8"/>
  <c r="V133" i="8"/>
  <c r="V126" i="8"/>
  <c r="V122" i="8"/>
  <c r="V125" i="8"/>
  <c r="V120" i="8"/>
  <c r="V117" i="8"/>
  <c r="V121" i="8"/>
  <c r="V116" i="8"/>
  <c r="V111" i="8"/>
  <c r="V132" i="8"/>
  <c r="V128" i="8"/>
  <c r="V124" i="8"/>
  <c r="V119" i="8"/>
  <c r="V114" i="8"/>
  <c r="V129" i="8"/>
  <c r="V115" i="8"/>
  <c r="V110" i="8"/>
  <c r="V108" i="8"/>
  <c r="V109" i="8"/>
  <c r="BD77" i="16"/>
  <c r="W38" i="8"/>
  <c r="W43" i="8"/>
  <c r="W40" i="8"/>
  <c r="V42" i="8"/>
  <c r="V36" i="8"/>
  <c r="V46" i="8"/>
  <c r="V43" i="8"/>
  <c r="V39" i="8"/>
  <c r="V45" i="8"/>
  <c r="V37" i="8"/>
  <c r="V40" i="8"/>
  <c r="V47" i="8"/>
  <c r="V44" i="8"/>
  <c r="V41" i="8"/>
  <c r="V38" i="8"/>
  <c r="AP48" i="16"/>
  <c r="AP71" i="16" s="1"/>
  <c r="AP72" i="16" s="1"/>
  <c r="L31" i="22"/>
  <c r="V295" i="8"/>
  <c r="V293" i="8"/>
  <c r="V297" i="8"/>
  <c r="V294" i="8"/>
  <c r="V296" i="8"/>
  <c r="V292" i="8"/>
  <c r="L25" i="22"/>
  <c r="AH48" i="16"/>
  <c r="AH62" i="16" s="1"/>
  <c r="AH63" i="16" s="1"/>
  <c r="AG77" i="16"/>
  <c r="V278" i="8"/>
  <c r="V277" i="8"/>
  <c r="V271" i="8"/>
  <c r="V273" i="8"/>
  <c r="V281" i="8"/>
  <c r="V274" i="8"/>
  <c r="V268" i="8"/>
  <c r="V280" i="8"/>
  <c r="V276" i="8"/>
  <c r="V269" i="8"/>
  <c r="V275" i="8"/>
  <c r="V279" i="8"/>
  <c r="V272" i="8"/>
  <c r="V270" i="8"/>
  <c r="AD48" i="16"/>
  <c r="AD62" i="16" s="1"/>
  <c r="AD63" i="16" s="1"/>
  <c r="L22" i="22"/>
  <c r="AC48" i="16"/>
  <c r="AC62" i="16" s="1"/>
  <c r="AC63" i="16" s="1"/>
  <c r="AC49" i="16"/>
  <c r="L21" i="22"/>
  <c r="AB77" i="16"/>
  <c r="AB78" i="16" s="1"/>
  <c r="AB71" i="16"/>
  <c r="AB72" i="16" s="1"/>
  <c r="AA48" i="16"/>
  <c r="AA49" i="16" s="1"/>
  <c r="L19" i="22"/>
  <c r="V524" i="8"/>
  <c r="V512" i="8"/>
  <c r="V505" i="8"/>
  <c r="V493" i="8"/>
  <c r="V492" i="8"/>
  <c r="V491" i="8"/>
  <c r="V490" i="8"/>
  <c r="V489" i="8"/>
  <c r="V488" i="8"/>
  <c r="V487" i="8"/>
  <c r="V486" i="8"/>
  <c r="V485" i="8"/>
  <c r="V518" i="8"/>
  <c r="V495" i="8"/>
  <c r="V526" i="8"/>
  <c r="V519" i="8"/>
  <c r="V508" i="8"/>
  <c r="V525" i="8"/>
  <c r="V498" i="8"/>
  <c r="V514" i="8"/>
  <c r="V510" i="8"/>
  <c r="V506" i="8"/>
  <c r="V500" i="8"/>
  <c r="V494" i="8"/>
  <c r="V527" i="8"/>
  <c r="V507" i="8"/>
  <c r="V502" i="8"/>
  <c r="V520" i="8"/>
  <c r="V513" i="8"/>
  <c r="V501" i="8"/>
  <c r="V496" i="8"/>
  <c r="V528" i="8"/>
  <c r="V522" i="8"/>
  <c r="V516" i="8"/>
  <c r="V529" i="8"/>
  <c r="V511" i="8"/>
  <c r="V504" i="8"/>
  <c r="V499" i="8"/>
  <c r="V521" i="8"/>
  <c r="V515" i="8"/>
  <c r="V509" i="8"/>
  <c r="V530" i="8"/>
  <c r="V523" i="8"/>
  <c r="V517" i="8"/>
  <c r="V503" i="8"/>
  <c r="V497" i="8"/>
  <c r="Z48" i="16"/>
  <c r="Z62" i="16" s="1"/>
  <c r="Z63" i="16" s="1"/>
  <c r="Z49" i="16"/>
  <c r="L18" i="22"/>
  <c r="X77" i="16"/>
  <c r="X78" i="16" s="1"/>
  <c r="X71" i="16"/>
  <c r="X72" i="16" s="1"/>
  <c r="V484" i="8"/>
  <c r="V483" i="8"/>
  <c r="V482" i="8"/>
  <c r="V481" i="8"/>
  <c r="V480" i="8"/>
  <c r="V479" i="8"/>
  <c r="V478" i="8"/>
  <c r="V477" i="8"/>
  <c r="V476" i="8"/>
  <c r="V475" i="8"/>
  <c r="V474" i="8"/>
  <c r="V473" i="8"/>
  <c r="V472" i="8"/>
  <c r="V471" i="8"/>
  <c r="V470" i="8"/>
  <c r="V469" i="8"/>
  <c r="V468" i="8"/>
  <c r="V467" i="8"/>
  <c r="V466" i="8"/>
  <c r="V465" i="8"/>
  <c r="V464" i="8"/>
  <c r="V463" i="8"/>
  <c r="V461" i="8"/>
  <c r="V447" i="8"/>
  <c r="V440" i="8"/>
  <c r="V455" i="8"/>
  <c r="V448" i="8"/>
  <c r="V441" i="8"/>
  <c r="V444" i="8"/>
  <c r="V458" i="8"/>
  <c r="V431" i="8"/>
  <c r="V427" i="8"/>
  <c r="V456" i="8"/>
  <c r="V435" i="8"/>
  <c r="V422" i="8"/>
  <c r="V457" i="8"/>
  <c r="V450" i="8"/>
  <c r="V436" i="8"/>
  <c r="V459" i="8"/>
  <c r="V452" i="8"/>
  <c r="V445" i="8"/>
  <c r="V438" i="8"/>
  <c r="V432" i="8"/>
  <c r="V425" i="8"/>
  <c r="V439" i="8"/>
  <c r="V433" i="8"/>
  <c r="V426" i="8"/>
  <c r="V451" i="8"/>
  <c r="V449" i="8"/>
  <c r="V442" i="8"/>
  <c r="V429" i="8"/>
  <c r="V443" i="8"/>
  <c r="V437" i="8"/>
  <c r="V430" i="8"/>
  <c r="V424" i="8"/>
  <c r="V460" i="8"/>
  <c r="V453" i="8"/>
  <c r="V446" i="8"/>
  <c r="V434" i="8"/>
  <c r="V428" i="8"/>
  <c r="V423" i="8"/>
  <c r="V454" i="8"/>
  <c r="V462" i="8"/>
  <c r="W77" i="16"/>
  <c r="W38" i="16"/>
  <c r="K15" i="22"/>
  <c r="V668" i="8"/>
  <c r="V667" i="8"/>
  <c r="V666" i="8"/>
  <c r="V665" i="8"/>
  <c r="U48" i="16"/>
  <c r="U62" i="16" s="1"/>
  <c r="U63" i="16" s="1"/>
  <c r="L13" i="22"/>
  <c r="V388" i="8"/>
  <c r="V373" i="8"/>
  <c r="V353" i="8"/>
  <c r="V343" i="8"/>
  <c r="V400" i="8"/>
  <c r="V381" i="8"/>
  <c r="V376" i="8"/>
  <c r="V365" i="8"/>
  <c r="V349" i="8"/>
  <c r="V340" i="8"/>
  <c r="V390" i="8"/>
  <c r="V386" i="8"/>
  <c r="V377" i="8"/>
  <c r="V371" i="8"/>
  <c r="V357" i="8"/>
  <c r="V352" i="8"/>
  <c r="V348" i="8"/>
  <c r="V403" i="8"/>
  <c r="V398" i="8"/>
  <c r="V393" i="8"/>
  <c r="V389" i="8"/>
  <c r="V382" i="8"/>
  <c r="V378" i="8"/>
  <c r="V367" i="8"/>
  <c r="V362" i="8"/>
  <c r="V351" i="8"/>
  <c r="V345" i="8"/>
  <c r="V368" i="8"/>
  <c r="V363" i="8"/>
  <c r="V347" i="8"/>
  <c r="V338" i="8"/>
  <c r="V361" i="8"/>
  <c r="V350" i="8"/>
  <c r="V396" i="8"/>
  <c r="V391" i="8"/>
  <c r="V383" i="8"/>
  <c r="V372" i="8"/>
  <c r="V355" i="8"/>
  <c r="V346" i="8"/>
  <c r="V339" i="8"/>
  <c r="V387" i="8"/>
  <c r="V379" i="8"/>
  <c r="V369" i="8"/>
  <c r="V359" i="8"/>
  <c r="V344" i="8"/>
  <c r="V336" i="8"/>
  <c r="V395" i="8"/>
  <c r="V366" i="8"/>
  <c r="V356" i="8"/>
  <c r="V335" i="8"/>
  <c r="V402" i="8"/>
  <c r="V384" i="8"/>
  <c r="V374" i="8"/>
  <c r="V358" i="8"/>
  <c r="V385" i="8"/>
  <c r="V375" i="8"/>
  <c r="V401" i="8"/>
  <c r="V397" i="8"/>
  <c r="V392" i="8"/>
  <c r="V380" i="8"/>
  <c r="V370" i="8"/>
  <c r="V342" i="8"/>
  <c r="V337" i="8"/>
  <c r="V399" i="8"/>
  <c r="V394" i="8"/>
  <c r="V364" i="8"/>
  <c r="V360" i="8"/>
  <c r="V354" i="8"/>
  <c r="V341" i="8"/>
  <c r="S48" i="16"/>
  <c r="S49" i="16" s="1"/>
  <c r="L12" i="22"/>
  <c r="R48" i="16"/>
  <c r="R71" i="16" s="1"/>
  <c r="R72" i="16" s="1"/>
  <c r="L11" i="22"/>
  <c r="L10" i="22"/>
  <c r="Q48" i="16"/>
  <c r="Q49" i="16" s="1"/>
  <c r="O48" i="16"/>
  <c r="O49" i="16" s="1"/>
  <c r="L9" i="22"/>
  <c r="X685" i="8"/>
  <c r="X684" i="8"/>
  <c r="X687" i="8"/>
  <c r="X686" i="8"/>
  <c r="M77" i="16"/>
  <c r="M48" i="16"/>
  <c r="M62" i="16" s="1"/>
  <c r="M63" i="16" s="1"/>
  <c r="L7" i="22"/>
  <c r="L48" i="16"/>
  <c r="L71" i="16" s="1"/>
  <c r="L72" i="16" s="1"/>
  <c r="L49" i="16"/>
  <c r="L6" i="22"/>
  <c r="K77" i="16"/>
  <c r="K78" i="16" s="1"/>
  <c r="K71" i="16"/>
  <c r="K72" i="16" s="1"/>
  <c r="J77" i="16"/>
  <c r="I77" i="16"/>
  <c r="I78" i="16" s="1"/>
  <c r="I48" i="16"/>
  <c r="I62" i="16" s="1"/>
  <c r="I63" i="16" s="1"/>
  <c r="L3" i="22"/>
  <c r="V405" i="8"/>
  <c r="V420" i="8"/>
  <c r="V414" i="8"/>
  <c r="V421" i="8"/>
  <c r="V418" i="8"/>
  <c r="V404" i="8"/>
  <c r="V417" i="8"/>
  <c r="V416" i="8"/>
  <c r="V419" i="8"/>
  <c r="V415" i="8"/>
  <c r="H48" i="16"/>
  <c r="H49" i="16" s="1"/>
  <c r="L2" i="22"/>
  <c r="V662" i="8"/>
  <c r="V660" i="8"/>
  <c r="V663" i="8"/>
  <c r="V661" i="8"/>
  <c r="V664" i="8"/>
  <c r="V30" i="8"/>
  <c r="V26" i="8"/>
  <c r="V16" i="8"/>
  <c r="V21" i="8"/>
  <c r="V23" i="8"/>
  <c r="V34" i="8"/>
  <c r="V15" i="8"/>
  <c r="V25" i="8"/>
  <c r="V24" i="8"/>
  <c r="V31" i="8"/>
  <c r="V32" i="8"/>
  <c r="V35" i="8"/>
  <c r="V28" i="8"/>
  <c r="V18" i="8"/>
  <c r="V29" i="8"/>
  <c r="V33" i="8"/>
  <c r="V22" i="8"/>
  <c r="V20" i="8"/>
  <c r="V17" i="8"/>
  <c r="V27" i="8"/>
  <c r="V19" i="8"/>
  <c r="V14" i="8"/>
  <c r="W239" i="8"/>
  <c r="W237" i="8"/>
  <c r="W240" i="8"/>
  <c r="W238" i="8"/>
  <c r="V213" i="8"/>
  <c r="V212" i="8"/>
  <c r="V207" i="8"/>
  <c r="V205" i="8"/>
  <c r="V210" i="8"/>
  <c r="V206" i="8"/>
  <c r="V201" i="8"/>
  <c r="V203" i="8"/>
  <c r="V208" i="8"/>
  <c r="V204" i="8"/>
  <c r="V211" i="8"/>
  <c r="V202" i="8"/>
  <c r="V209" i="8"/>
  <c r="W6" i="8"/>
  <c r="W8" i="8"/>
  <c r="W7" i="8"/>
  <c r="W213" i="8"/>
  <c r="W209" i="8"/>
  <c r="W212" i="8"/>
  <c r="W208" i="8"/>
  <c r="W205" i="8"/>
  <c r="W202" i="8"/>
  <c r="W211" i="8"/>
  <c r="W210" i="8"/>
  <c r="W207" i="8"/>
  <c r="W201" i="8"/>
  <c r="W203" i="8"/>
  <c r="W204" i="8"/>
  <c r="W206" i="8"/>
  <c r="V288" i="8"/>
  <c r="V287" i="8"/>
  <c r="V286" i="8"/>
  <c r="V289" i="8"/>
  <c r="V290" i="8"/>
  <c r="V762" i="8"/>
  <c r="V767" i="8"/>
  <c r="V764" i="8"/>
  <c r="V760" i="8"/>
  <c r="V766" i="8"/>
  <c r="V759" i="8"/>
  <c r="V758" i="8"/>
  <c r="V763" i="8"/>
  <c r="V765" i="8"/>
  <c r="V761" i="8"/>
  <c r="V743" i="8"/>
  <c r="V744" i="8"/>
  <c r="V749" i="8"/>
  <c r="V747" i="8"/>
  <c r="V746" i="8"/>
  <c r="V748" i="8"/>
  <c r="V745" i="8"/>
  <c r="W683" i="8"/>
  <c r="W433" i="8"/>
  <c r="W432" i="8"/>
  <c r="W431" i="8"/>
  <c r="W462" i="8"/>
  <c r="W463" i="8"/>
  <c r="W464" i="8"/>
  <c r="W465" i="8"/>
  <c r="W470" i="8"/>
  <c r="W430" i="8"/>
  <c r="W429" i="8"/>
  <c r="W428" i="8"/>
  <c r="W427" i="8"/>
  <c r="W426" i="8"/>
  <c r="W425" i="8"/>
  <c r="W477" i="8"/>
  <c r="W424" i="8"/>
  <c r="W466" i="8"/>
  <c r="W467" i="8"/>
  <c r="W423" i="8"/>
  <c r="W422" i="8"/>
  <c r="W458" i="8"/>
  <c r="W478" i="8"/>
  <c r="W459" i="8"/>
  <c r="W460" i="8"/>
  <c r="W476" i="8"/>
  <c r="W434" i="8"/>
  <c r="W435" i="8"/>
  <c r="W471" i="8"/>
  <c r="W484" i="8"/>
  <c r="W479" i="8"/>
  <c r="W475" i="8"/>
  <c r="W480" i="8"/>
  <c r="W436" i="8"/>
  <c r="W437" i="8"/>
  <c r="W474" i="8"/>
  <c r="W438" i="8"/>
  <c r="W469" i="8"/>
  <c r="W439" i="8"/>
  <c r="W482" i="8"/>
  <c r="W473" i="8"/>
  <c r="W483" i="8"/>
  <c r="W440" i="8"/>
  <c r="W441" i="8"/>
  <c r="W442" i="8"/>
  <c r="W443" i="8"/>
  <c r="W444" i="8"/>
  <c r="W445" i="8"/>
  <c r="W446" i="8"/>
  <c r="W447" i="8"/>
  <c r="W468" i="8"/>
  <c r="W448" i="8"/>
  <c r="W449" i="8"/>
  <c r="W450" i="8"/>
  <c r="W451" i="8"/>
  <c r="W481" i="8"/>
  <c r="W452" i="8"/>
  <c r="W453" i="8"/>
  <c r="W454" i="8"/>
  <c r="W455" i="8"/>
  <c r="W472" i="8"/>
  <c r="W461" i="8"/>
  <c r="W456" i="8"/>
  <c r="W457" i="8"/>
  <c r="W684" i="8"/>
  <c r="W687" i="8"/>
  <c r="V676" i="8"/>
  <c r="V675" i="8"/>
  <c r="V674" i="8"/>
  <c r="V673" i="8"/>
  <c r="V679" i="8"/>
  <c r="V677" i="8"/>
  <c r="V678" i="8"/>
  <c r="V97" i="8"/>
  <c r="V98" i="8"/>
  <c r="V96" i="8"/>
  <c r="V99" i="8"/>
  <c r="V95" i="8"/>
  <c r="V93" i="8"/>
  <c r="V102" i="8"/>
  <c r="V94" i="8"/>
  <c r="V101" i="8"/>
  <c r="V100" i="8"/>
  <c r="V769" i="8"/>
  <c r="V770" i="8"/>
  <c r="V773" i="8"/>
  <c r="V768" i="8"/>
  <c r="V775" i="8"/>
  <c r="V771" i="8"/>
  <c r="V774" i="8"/>
  <c r="V772" i="8"/>
  <c r="V644" i="8"/>
  <c r="V655" i="8"/>
  <c r="V646" i="8"/>
  <c r="V640" i="8"/>
  <c r="V638" i="8"/>
  <c r="V657" i="8"/>
  <c r="V658" i="8"/>
  <c r="V639" i="8"/>
  <c r="V654" i="8"/>
  <c r="V641" i="8"/>
  <c r="V653" i="8"/>
  <c r="V656" i="8"/>
  <c r="V642" i="8"/>
  <c r="V659" i="8"/>
  <c r="V643" i="8"/>
  <c r="V652" i="8"/>
  <c r="V651" i="8"/>
  <c r="V645" i="8"/>
  <c r="V647" i="8"/>
  <c r="V649" i="8"/>
  <c r="V648" i="8"/>
  <c r="V650" i="8"/>
  <c r="W229" i="8"/>
  <c r="W224" i="8"/>
  <c r="W234" i="8"/>
  <c r="W233" i="8"/>
  <c r="W228" i="8"/>
  <c r="W230" i="8"/>
  <c r="W225" i="8"/>
  <c r="W226" i="8"/>
  <c r="W227" i="8"/>
  <c r="W235" i="8"/>
  <c r="W231" i="8"/>
  <c r="W223" i="8"/>
  <c r="W232" i="8"/>
  <c r="W292" i="8"/>
  <c r="V256" i="8"/>
  <c r="V259" i="8"/>
  <c r="V261" i="8"/>
  <c r="V251" i="8"/>
  <c r="V267" i="8"/>
  <c r="V265" i="8"/>
  <c r="V264" i="8"/>
  <c r="V254" i="8"/>
  <c r="V257" i="8"/>
  <c r="V260" i="8"/>
  <c r="V262" i="8"/>
  <c r="V258" i="8"/>
  <c r="V247" i="8"/>
  <c r="V252" i="8"/>
  <c r="V255" i="8"/>
  <c r="V250" i="8"/>
  <c r="V249" i="8"/>
  <c r="V248" i="8"/>
  <c r="V253" i="8"/>
  <c r="V266" i="8"/>
  <c r="V263" i="8"/>
  <c r="V246" i="8"/>
  <c r="V623" i="8"/>
  <c r="V622" i="8"/>
  <c r="V621" i="8"/>
  <c r="V620" i="8"/>
  <c r="V619" i="8"/>
  <c r="V618" i="8"/>
  <c r="V617" i="8"/>
  <c r="V616" i="8"/>
  <c r="V615" i="8"/>
  <c r="V614" i="8"/>
  <c r="V613" i="8"/>
  <c r="V612" i="8"/>
  <c r="V582" i="8"/>
  <c r="V611" i="8"/>
  <c r="V610" i="8"/>
  <c r="V599" i="8"/>
  <c r="V602" i="8"/>
  <c r="V596" i="8"/>
  <c r="V609" i="8"/>
  <c r="V608" i="8"/>
  <c r="V607" i="8"/>
  <c r="V606" i="8"/>
  <c r="V605" i="8"/>
  <c r="V578" i="8"/>
  <c r="V589" i="8"/>
  <c r="V601" i="8"/>
  <c r="V597" i="8"/>
  <c r="V586" i="8"/>
  <c r="V569" i="8"/>
  <c r="V583" i="8"/>
  <c r="V580" i="8"/>
  <c r="V594" i="8"/>
  <c r="V600" i="8"/>
  <c r="V603" i="8"/>
  <c r="V591" i="8"/>
  <c r="V576" i="8"/>
  <c r="V573" i="8"/>
  <c r="V577" i="8"/>
  <c r="V572" i="8"/>
  <c r="V585" i="8"/>
  <c r="V588" i="8"/>
  <c r="V595" i="8"/>
  <c r="V598" i="8"/>
  <c r="V584" i="8"/>
  <c r="V592" i="8"/>
  <c r="V570" i="8"/>
  <c r="V579" i="8"/>
  <c r="V593" i="8"/>
  <c r="V604" i="8"/>
  <c r="V575" i="8"/>
  <c r="V590" i="8"/>
  <c r="V587" i="8"/>
  <c r="V581" i="8"/>
  <c r="V637" i="8"/>
  <c r="V571" i="8"/>
  <c r="V636" i="8"/>
  <c r="V574" i="8"/>
  <c r="V568" i="8"/>
  <c r="V635" i="8"/>
  <c r="V634" i="8"/>
  <c r="V633" i="8"/>
  <c r="V632" i="8"/>
  <c r="V631" i="8"/>
  <c r="V630" i="8"/>
  <c r="V629" i="8"/>
  <c r="V628" i="8"/>
  <c r="V627" i="8"/>
  <c r="V626" i="8"/>
  <c r="V625" i="8"/>
  <c r="V624" i="8"/>
  <c r="X182" i="8"/>
  <c r="X189" i="8"/>
  <c r="X197" i="8"/>
  <c r="X184" i="8"/>
  <c r="X177" i="8"/>
  <c r="X185" i="8"/>
  <c r="X188" i="8"/>
  <c r="X178" i="8"/>
  <c r="X190" i="8"/>
  <c r="X179" i="8"/>
  <c r="X191" i="8"/>
  <c r="X187" i="8"/>
  <c r="X181" i="8"/>
  <c r="X194" i="8"/>
  <c r="V13" i="8"/>
  <c r="V11" i="8"/>
  <c r="V12" i="8"/>
  <c r="V755" i="8"/>
  <c r="V754" i="8"/>
  <c r="V752" i="8"/>
  <c r="V753" i="8"/>
  <c r="V756" i="8"/>
  <c r="V751" i="8"/>
  <c r="V681" i="8"/>
  <c r="V680" i="8"/>
  <c r="W186" i="8"/>
  <c r="W199" i="8"/>
  <c r="W183" i="8"/>
  <c r="W197" i="8"/>
  <c r="W189" i="8"/>
  <c r="W191" i="8"/>
  <c r="W196" i="8"/>
  <c r="W182" i="8"/>
  <c r="W181" i="8"/>
  <c r="V105" i="8"/>
  <c r="V106" i="8"/>
  <c r="V85" i="8"/>
  <c r="V86" i="8"/>
  <c r="V81" i="8"/>
  <c r="V77" i="8"/>
  <c r="V82" i="8"/>
  <c r="V78" i="8"/>
  <c r="V89" i="8"/>
  <c r="V87" i="8"/>
  <c r="V75" i="8"/>
  <c r="V83" i="8"/>
  <c r="V91" i="8"/>
  <c r="V76" i="8"/>
  <c r="V92" i="8"/>
  <c r="V84" i="8"/>
  <c r="V79" i="8"/>
  <c r="V90" i="8"/>
  <c r="V80" i="8"/>
  <c r="V88" i="8"/>
  <c r="X13" i="8"/>
  <c r="V48" i="8"/>
  <c r="V53" i="8"/>
  <c r="V74" i="8"/>
  <c r="V62" i="8"/>
  <c r="V70" i="8"/>
  <c r="V52" i="8"/>
  <c r="V51" i="8"/>
  <c r="V50" i="8"/>
  <c r="V56" i="8"/>
  <c r="V60" i="8"/>
  <c r="V66" i="8"/>
  <c r="V72" i="8"/>
  <c r="V65" i="8"/>
  <c r="V54" i="8"/>
  <c r="V73" i="8"/>
  <c r="V58" i="8"/>
  <c r="V61" i="8"/>
  <c r="V68" i="8"/>
  <c r="V64" i="8"/>
  <c r="V67" i="8"/>
  <c r="V59" i="8"/>
  <c r="V69" i="8"/>
  <c r="V57" i="8"/>
  <c r="V55" i="8"/>
  <c r="V49" i="8"/>
  <c r="V71" i="8"/>
  <c r="V63" i="8"/>
  <c r="V790" i="8"/>
  <c r="V786" i="8"/>
  <c r="V791" i="8"/>
  <c r="V789" i="8"/>
  <c r="V787" i="8"/>
  <c r="V788" i="8"/>
  <c r="W756" i="8"/>
  <c r="W753" i="8"/>
  <c r="W752" i="8"/>
  <c r="W751" i="8"/>
  <c r="W755" i="8"/>
  <c r="W754" i="8"/>
  <c r="V683" i="8"/>
  <c r="V682" i="8"/>
  <c r="W123" i="8"/>
  <c r="X755" i="8"/>
  <c r="X756" i="8"/>
  <c r="X754" i="8"/>
  <c r="X753" i="8"/>
  <c r="W782" i="8"/>
  <c r="W785" i="8"/>
  <c r="W781" i="8"/>
  <c r="W783" i="8"/>
  <c r="W784" i="8"/>
  <c r="W780" i="8"/>
  <c r="W779" i="8"/>
  <c r="V316" i="8"/>
  <c r="V329" i="8"/>
  <c r="V306" i="8"/>
  <c r="V298" i="8"/>
  <c r="V303" i="8"/>
  <c r="V302" i="8"/>
  <c r="V321" i="8"/>
  <c r="V300" i="8"/>
  <c r="V299" i="8"/>
  <c r="V309" i="8"/>
  <c r="V315" i="8"/>
  <c r="V328" i="8"/>
  <c r="V305" i="8"/>
  <c r="V312" i="8"/>
  <c r="V301" i="8"/>
  <c r="V319" i="8"/>
  <c r="V324" i="8"/>
  <c r="V311" i="8"/>
  <c r="V326" i="8"/>
  <c r="V308" i="8"/>
  <c r="V327" i="8"/>
  <c r="V333" i="8"/>
  <c r="V310" i="8"/>
  <c r="V325" i="8"/>
  <c r="V323" i="8"/>
  <c r="V320" i="8"/>
  <c r="V307" i="8"/>
  <c r="V318" i="8"/>
  <c r="V304" i="8"/>
  <c r="V317" i="8"/>
  <c r="V313" i="8"/>
  <c r="V314" i="8"/>
  <c r="V332" i="8"/>
  <c r="V322" i="8"/>
  <c r="V331" i="8"/>
  <c r="V330" i="8"/>
  <c r="V334" i="8"/>
  <c r="X175" i="8"/>
  <c r="X168" i="8"/>
  <c r="X170" i="8"/>
  <c r="X146" i="8"/>
  <c r="X150" i="8"/>
  <c r="W221" i="8"/>
  <c r="W218" i="8"/>
  <c r="W219" i="8"/>
  <c r="W217" i="8"/>
  <c r="W220" i="8"/>
  <c r="W222" i="8"/>
  <c r="W215" i="8"/>
  <c r="W216" i="8"/>
  <c r="X105" i="8"/>
  <c r="X106" i="8"/>
  <c r="V171" i="8"/>
  <c r="V150" i="8"/>
  <c r="V175" i="8"/>
  <c r="V155" i="8"/>
  <c r="V149" i="8"/>
  <c r="V159" i="8"/>
  <c r="V158" i="8"/>
  <c r="V163" i="8"/>
  <c r="V165" i="8"/>
  <c r="V164" i="8"/>
  <c r="V168" i="8"/>
  <c r="V170" i="8"/>
  <c r="V174" i="8"/>
  <c r="V153" i="8"/>
  <c r="V161" i="8"/>
  <c r="V169" i="8"/>
  <c r="V156" i="8"/>
  <c r="V162" i="8"/>
  <c r="V152" i="8"/>
  <c r="V167" i="8"/>
  <c r="V151" i="8"/>
  <c r="V147" i="8"/>
  <c r="V146" i="8"/>
  <c r="V157" i="8"/>
  <c r="V160" i="8"/>
  <c r="V166" i="8"/>
  <c r="V173" i="8"/>
  <c r="V154" i="8"/>
  <c r="V148" i="8"/>
  <c r="V172" i="8"/>
  <c r="X791" i="8"/>
  <c r="X789" i="8"/>
  <c r="X787" i="8"/>
  <c r="X788" i="8"/>
  <c r="X790" i="8"/>
  <c r="X786" i="8"/>
  <c r="W147" i="8"/>
  <c r="W169" i="8"/>
  <c r="W172" i="8"/>
  <c r="W159" i="8"/>
  <c r="W174" i="8"/>
  <c r="W163" i="8"/>
  <c r="W162" i="8"/>
  <c r="W167" i="8"/>
  <c r="W146" i="8"/>
  <c r="W156" i="8"/>
  <c r="W155" i="8"/>
  <c r="W170" i="8"/>
  <c r="W160" i="8"/>
  <c r="W151" i="8"/>
  <c r="W173" i="8"/>
  <c r="W148" i="8"/>
  <c r="W161" i="8"/>
  <c r="W166" i="8"/>
  <c r="W153" i="8"/>
  <c r="W164" i="8"/>
  <c r="W158" i="8"/>
  <c r="W149" i="8"/>
  <c r="W154" i="8"/>
  <c r="W175" i="8"/>
  <c r="W171" i="8"/>
  <c r="W152" i="8"/>
  <c r="W165" i="8"/>
  <c r="W168" i="8"/>
  <c r="W150" i="8"/>
  <c r="W157" i="8"/>
  <c r="W106" i="8"/>
  <c r="W105" i="8"/>
  <c r="W91" i="8"/>
  <c r="W86" i="8"/>
  <c r="W88" i="8"/>
  <c r="W90" i="8"/>
  <c r="W92" i="8"/>
  <c r="W89" i="8"/>
  <c r="W87" i="8"/>
  <c r="W77" i="8"/>
  <c r="W82" i="8"/>
  <c r="W84" i="8"/>
  <c r="W80" i="8"/>
  <c r="W81" i="8"/>
  <c r="W85" i="8"/>
  <c r="W83" i="8"/>
  <c r="W75" i="8"/>
  <c r="W76" i="8"/>
  <c r="W78" i="8"/>
  <c r="W79" i="8"/>
  <c r="W745" i="8"/>
  <c r="W749" i="8"/>
  <c r="W743" i="8"/>
  <c r="W747" i="8"/>
  <c r="W748" i="8"/>
  <c r="W746" i="8"/>
  <c r="W744" i="8"/>
  <c r="W705" i="8"/>
  <c r="W713" i="8"/>
  <c r="W702" i="8"/>
  <c r="W699" i="8"/>
  <c r="W712" i="8"/>
  <c r="W701" i="8"/>
  <c r="W729" i="8"/>
  <c r="W711" i="8"/>
  <c r="W728" i="8"/>
  <c r="W735" i="8"/>
  <c r="W710" i="8"/>
  <c r="W708" i="8"/>
  <c r="W725" i="8"/>
  <c r="W724" i="8"/>
  <c r="W723" i="8"/>
  <c r="W741" i="8"/>
  <c r="W722" i="8"/>
  <c r="W721" i="8"/>
  <c r="W720" i="8"/>
  <c r="W718" i="8"/>
  <c r="W717" i="8"/>
  <c r="W716" i="8"/>
  <c r="W719" i="8"/>
  <c r="W734" i="8"/>
  <c r="W737" i="8"/>
  <c r="W740" i="8"/>
  <c r="W736" i="8"/>
  <c r="W732" i="8"/>
  <c r="W730" i="8"/>
  <c r="W693" i="8"/>
  <c r="W707" i="8"/>
  <c r="W694" i="8"/>
  <c r="W706" i="8"/>
  <c r="W703" i="8"/>
  <c r="W698" i="8"/>
  <c r="W677" i="8"/>
  <c r="W678" i="8"/>
  <c r="W679" i="8"/>
  <c r="W673" i="8"/>
  <c r="W676" i="8"/>
  <c r="W675" i="8"/>
  <c r="W674" i="8"/>
  <c r="V545" i="8"/>
  <c r="V557" i="8"/>
  <c r="V548" i="8"/>
  <c r="V554" i="8"/>
  <c r="V543" i="8"/>
  <c r="V534" i="8"/>
  <c r="V553" i="8"/>
  <c r="V561" i="8"/>
  <c r="V541" i="8"/>
  <c r="V537" i="8"/>
  <c r="V560" i="8"/>
  <c r="V535" i="8"/>
  <c r="V567" i="8"/>
  <c r="V551" i="8"/>
  <c r="V536" i="8"/>
  <c r="V546" i="8"/>
  <c r="V542" i="8"/>
  <c r="V544" i="8"/>
  <c r="V538" i="8"/>
  <c r="V549" i="8"/>
  <c r="V565" i="8"/>
  <c r="V566" i="8"/>
  <c r="V563" i="8"/>
  <c r="V558" i="8"/>
  <c r="V562" i="8"/>
  <c r="V552" i="8"/>
  <c r="V540" i="8"/>
  <c r="V550" i="8"/>
  <c r="V547" i="8"/>
  <c r="V555" i="8"/>
  <c r="V533" i="8"/>
  <c r="V531" i="8"/>
  <c r="V559" i="8"/>
  <c r="V539" i="8"/>
  <c r="V564" i="8"/>
  <c r="V532" i="8"/>
  <c r="V556" i="8"/>
  <c r="X6" i="8"/>
  <c r="X7" i="8"/>
  <c r="X8" i="8"/>
  <c r="V685" i="8"/>
  <c r="V686" i="8"/>
  <c r="V687" i="8"/>
  <c r="V684" i="8"/>
  <c r="W791" i="8"/>
  <c r="W789" i="8"/>
  <c r="W790" i="8"/>
  <c r="W786" i="8"/>
  <c r="W788" i="8"/>
  <c r="W787" i="8"/>
  <c r="X129" i="8"/>
  <c r="X124" i="8"/>
  <c r="X132" i="8"/>
  <c r="X117" i="8"/>
  <c r="X114" i="8"/>
  <c r="X121" i="8"/>
  <c r="X125" i="8"/>
  <c r="X119" i="8"/>
  <c r="X748" i="8"/>
  <c r="X747" i="8"/>
  <c r="X744" i="8"/>
  <c r="X745" i="8"/>
  <c r="X746" i="8"/>
  <c r="X749" i="8"/>
  <c r="X743" i="8"/>
  <c r="X205" i="8"/>
  <c r="X213" i="8"/>
  <c r="X212" i="8"/>
  <c r="X211" i="8"/>
  <c r="X210" i="8"/>
  <c r="X209" i="8"/>
  <c r="X204" i="8"/>
  <c r="X202" i="8"/>
  <c r="X203" i="8"/>
  <c r="X208" i="8"/>
  <c r="X207" i="8"/>
  <c r="X201" i="8"/>
  <c r="X206" i="8"/>
  <c r="X221" i="8"/>
  <c r="X220" i="8"/>
  <c r="X219" i="8"/>
  <c r="X216" i="8"/>
  <c r="X222" i="8"/>
  <c r="X218" i="8"/>
  <c r="X217" i="8"/>
  <c r="X215" i="8"/>
  <c r="X45" i="8"/>
  <c r="X47" i="8"/>
  <c r="X226" i="8"/>
  <c r="X233" i="8"/>
  <c r="X232" i="8"/>
  <c r="X235" i="8"/>
  <c r="X230" i="8"/>
  <c r="X229" i="8"/>
  <c r="X227" i="8"/>
  <c r="X234" i="8"/>
  <c r="X228" i="8"/>
  <c r="X225" i="8"/>
  <c r="X224" i="8"/>
  <c r="X223" i="8"/>
  <c r="X231" i="8"/>
  <c r="X76" i="8"/>
  <c r="X89" i="8"/>
  <c r="X91" i="8"/>
  <c r="X85" i="8"/>
  <c r="X77" i="8"/>
  <c r="X75" i="8"/>
  <c r="X92" i="8"/>
  <c r="X81" i="8"/>
  <c r="X78" i="8"/>
  <c r="X82" i="8"/>
  <c r="X84" i="8"/>
  <c r="X88" i="8"/>
  <c r="X90" i="8"/>
  <c r="X83" i="8"/>
  <c r="X80" i="8"/>
  <c r="X86" i="8"/>
  <c r="X87" i="8"/>
  <c r="X79" i="8"/>
  <c r="X247" i="8"/>
  <c r="X258" i="8"/>
  <c r="X246" i="8"/>
  <c r="X260" i="8"/>
  <c r="X251" i="8"/>
  <c r="X254" i="8"/>
  <c r="X780" i="8"/>
  <c r="X784" i="8"/>
  <c r="X783" i="8"/>
  <c r="X781" i="8"/>
  <c r="X779" i="8"/>
  <c r="X785" i="8"/>
  <c r="X782" i="8"/>
  <c r="X457" i="8"/>
  <c r="X424" i="8"/>
  <c r="X423" i="8"/>
  <c r="X422" i="8"/>
  <c r="X456" i="8"/>
  <c r="X455" i="8"/>
  <c r="X454" i="8"/>
  <c r="X453" i="8"/>
  <c r="X481" i="8"/>
  <c r="X452" i="8"/>
  <c r="X482" i="8"/>
  <c r="X451" i="8"/>
  <c r="X450" i="8"/>
  <c r="X479" i="8"/>
  <c r="X449" i="8"/>
  <c r="X448" i="8"/>
  <c r="X447" i="8"/>
  <c r="X446" i="8"/>
  <c r="X445" i="8"/>
  <c r="X444" i="8"/>
  <c r="X443" i="8"/>
  <c r="X442" i="8"/>
  <c r="X441" i="8"/>
  <c r="X440" i="8"/>
  <c r="X478" i="8"/>
  <c r="X477" i="8"/>
  <c r="X476" i="8"/>
  <c r="X483" i="8"/>
  <c r="X475" i="8"/>
  <c r="X439" i="8"/>
  <c r="X474" i="8"/>
  <c r="X438" i="8"/>
  <c r="X484" i="8"/>
  <c r="X473" i="8"/>
  <c r="X472" i="8"/>
  <c r="X437" i="8"/>
  <c r="X436" i="8"/>
  <c r="X435" i="8"/>
  <c r="X434" i="8"/>
  <c r="X471" i="8"/>
  <c r="X470" i="8"/>
  <c r="X469" i="8"/>
  <c r="X468" i="8"/>
  <c r="X467" i="8"/>
  <c r="X466" i="8"/>
  <c r="X432" i="8"/>
  <c r="X431" i="8"/>
  <c r="X465" i="8"/>
  <c r="X464" i="8"/>
  <c r="X430" i="8"/>
  <c r="X429" i="8"/>
  <c r="X428" i="8"/>
  <c r="X463" i="8"/>
  <c r="X480" i="8"/>
  <c r="X427" i="8"/>
  <c r="X462" i="8"/>
  <c r="X461" i="8"/>
  <c r="X460" i="8"/>
  <c r="X459" i="8"/>
  <c r="X458" i="8"/>
  <c r="X426" i="8"/>
  <c r="X433" i="8"/>
  <c r="X425" i="8"/>
  <c r="X733" i="8"/>
  <c r="X724" i="8"/>
  <c r="X723" i="8"/>
  <c r="X727" i="8"/>
  <c r="X722" i="8"/>
  <c r="X741" i="8"/>
  <c r="X705" i="8"/>
  <c r="X734" i="8"/>
  <c r="X698" i="8"/>
  <c r="X742" i="8"/>
  <c r="X731" i="8"/>
  <c r="X702" i="8"/>
  <c r="X735" i="8"/>
  <c r="X711" i="8"/>
  <c r="X710" i="8"/>
  <c r="X738" i="8"/>
  <c r="X709" i="8"/>
  <c r="X708" i="8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D71" i="16" l="1"/>
  <c r="BD72" i="16" s="1"/>
  <c r="BD62" i="16"/>
  <c r="BD63" i="16" s="1"/>
  <c r="W124" i="8"/>
  <c r="W685" i="8"/>
  <c r="U49" i="16"/>
  <c r="X677" i="8"/>
  <c r="W128" i="8"/>
  <c r="X678" i="8"/>
  <c r="W251" i="8"/>
  <c r="W125" i="8"/>
  <c r="BY62" i="16"/>
  <c r="BY63" i="16" s="1"/>
  <c r="X674" i="8"/>
  <c r="W260" i="8"/>
  <c r="W117" i="8"/>
  <c r="X673" i="8"/>
  <c r="W258" i="8"/>
  <c r="X675" i="8"/>
  <c r="W256" i="8"/>
  <c r="X679" i="8"/>
  <c r="W266" i="8"/>
  <c r="R62" i="16"/>
  <c r="R63" i="16" s="1"/>
  <c r="BS71" i="16"/>
  <c r="BS72" i="16" s="1"/>
  <c r="BX62" i="16"/>
  <c r="BX63" i="16" s="1"/>
  <c r="W261" i="8"/>
  <c r="W259" i="8"/>
  <c r="W246" i="8"/>
  <c r="W132" i="8"/>
  <c r="P46" i="22"/>
  <c r="M46" i="22"/>
  <c r="W249" i="8"/>
  <c r="W133" i="8"/>
  <c r="AM135" i="26" s="1"/>
  <c r="BS78" i="16"/>
  <c r="W257" i="8"/>
  <c r="W118" i="8"/>
  <c r="K62" i="16"/>
  <c r="K63" i="16" s="1"/>
  <c r="BM78" i="16"/>
  <c r="BM79" i="16" s="1"/>
  <c r="W262" i="8"/>
  <c r="W127" i="8"/>
  <c r="M78" i="16"/>
  <c r="AP49" i="16"/>
  <c r="AM78" i="16"/>
  <c r="W126" i="8"/>
  <c r="X11" i="8"/>
  <c r="BS62" i="16"/>
  <c r="BS63" i="16" s="1"/>
  <c r="W121" i="8"/>
  <c r="BD78" i="16"/>
  <c r="Q39" i="22" s="1"/>
  <c r="X712" i="8"/>
  <c r="X697" i="8"/>
  <c r="X725" i="8"/>
  <c r="W195" i="8"/>
  <c r="W185" i="8"/>
  <c r="O62" i="16"/>
  <c r="O63" i="16" s="1"/>
  <c r="O71" i="16"/>
  <c r="O72" i="16" s="1"/>
  <c r="AB79" i="16"/>
  <c r="Q20" i="22"/>
  <c r="BJ71" i="16"/>
  <c r="BJ72" i="16" s="1"/>
  <c r="BJ62" i="16"/>
  <c r="BJ63" i="16" s="1"/>
  <c r="AF49" i="16"/>
  <c r="AF62" i="16"/>
  <c r="AF63" i="16" s="1"/>
  <c r="AF71" i="16"/>
  <c r="AF72" i="16" s="1"/>
  <c r="CL62" i="16"/>
  <c r="CL63" i="16" s="1"/>
  <c r="X713" i="8"/>
  <c r="X703" i="8"/>
  <c r="X726" i="8"/>
  <c r="W179" i="8"/>
  <c r="W193" i="8"/>
  <c r="W27" i="8"/>
  <c r="W42" i="8"/>
  <c r="CF49" i="16"/>
  <c r="CF62" i="16"/>
  <c r="CF63" i="16" s="1"/>
  <c r="CF71" i="16"/>
  <c r="CF72" i="16" s="1"/>
  <c r="BN49" i="16"/>
  <c r="BN71" i="16"/>
  <c r="BN72" i="16" s="1"/>
  <c r="Q58" i="22"/>
  <c r="CN79" i="16"/>
  <c r="CK78" i="16"/>
  <c r="AN79" i="16"/>
  <c r="Q30" i="22"/>
  <c r="W15" i="8"/>
  <c r="Q5" i="22"/>
  <c r="K79" i="16"/>
  <c r="Q78" i="16"/>
  <c r="Q62" i="16"/>
  <c r="Q63" i="16" s="1"/>
  <c r="Q71" i="16"/>
  <c r="Q72" i="16" s="1"/>
  <c r="CL49" i="16"/>
  <c r="N78" i="16"/>
  <c r="J48" i="16"/>
  <c r="J78" i="16" s="1"/>
  <c r="L4" i="22"/>
  <c r="AB62" i="16"/>
  <c r="AB63" i="16" s="1"/>
  <c r="X714" i="8"/>
  <c r="X704" i="8"/>
  <c r="X728" i="8"/>
  <c r="X294" i="8"/>
  <c r="W192" i="8"/>
  <c r="W180" i="8"/>
  <c r="U71" i="16"/>
  <c r="U72" i="16" s="1"/>
  <c r="U77" i="16"/>
  <c r="U78" i="16" s="1"/>
  <c r="Z78" i="16"/>
  <c r="AP62" i="16"/>
  <c r="AP63" i="16" s="1"/>
  <c r="P50" i="22"/>
  <c r="X214" i="8" s="1"/>
  <c r="M50" i="22"/>
  <c r="W214" i="8" s="1"/>
  <c r="X694" i="8"/>
  <c r="X715" i="8"/>
  <c r="X721" i="8"/>
  <c r="X729" i="8"/>
  <c r="X261" i="8"/>
  <c r="X297" i="8"/>
  <c r="W697" i="8"/>
  <c r="W714" i="8"/>
  <c r="W726" i="8"/>
  <c r="W177" i="8"/>
  <c r="X192" i="8"/>
  <c r="X183" i="8"/>
  <c r="W297" i="8"/>
  <c r="CR79" i="16"/>
  <c r="Q60" i="22"/>
  <c r="Q26" i="22"/>
  <c r="AI79" i="16"/>
  <c r="L62" i="16"/>
  <c r="L63" i="16" s="1"/>
  <c r="BJ49" i="16"/>
  <c r="CK71" i="16"/>
  <c r="CK72" i="16" s="1"/>
  <c r="AX49" i="16"/>
  <c r="AX71" i="16"/>
  <c r="AX72" i="16" s="1"/>
  <c r="BS79" i="16"/>
  <c r="Q46" i="22"/>
  <c r="X740" i="8"/>
  <c r="X716" i="8"/>
  <c r="X700" i="8"/>
  <c r="X730" i="8"/>
  <c r="X30" i="8"/>
  <c r="X262" i="8"/>
  <c r="X292" i="8"/>
  <c r="W704" i="8"/>
  <c r="AM706" i="26" s="1"/>
  <c r="W738" i="8"/>
  <c r="W727" i="8"/>
  <c r="W188" i="8"/>
  <c r="X195" i="8"/>
  <c r="X193" i="8"/>
  <c r="W295" i="8"/>
  <c r="R49" i="16"/>
  <c r="AD49" i="16"/>
  <c r="L40" i="22"/>
  <c r="BF48" i="16"/>
  <c r="BV62" i="16"/>
  <c r="BV63" i="16" s="1"/>
  <c r="BV71" i="16"/>
  <c r="BV72" i="16" s="1"/>
  <c r="BJ78" i="16"/>
  <c r="AK78" i="16"/>
  <c r="S78" i="16"/>
  <c r="AZ71" i="16"/>
  <c r="AZ72" i="16" s="1"/>
  <c r="AZ62" i="16"/>
  <c r="AZ63" i="16" s="1"/>
  <c r="CP78" i="16"/>
  <c r="X706" i="8"/>
  <c r="X717" i="8"/>
  <c r="X732" i="8"/>
  <c r="X16" i="8"/>
  <c r="X263" i="8"/>
  <c r="X293" i="8"/>
  <c r="W696" i="8"/>
  <c r="W742" i="8"/>
  <c r="W709" i="8"/>
  <c r="X160" i="8"/>
  <c r="W198" i="8"/>
  <c r="X186" i="8"/>
  <c r="X198" i="8"/>
  <c r="W294" i="8"/>
  <c r="CP62" i="16"/>
  <c r="CP63" i="16" s="1"/>
  <c r="L78" i="16"/>
  <c r="AN49" i="16"/>
  <c r="AN62" i="16"/>
  <c r="AN63" i="16" s="1"/>
  <c r="AN71" i="16"/>
  <c r="AN72" i="16" s="1"/>
  <c r="AZ78" i="16"/>
  <c r="AK71" i="16"/>
  <c r="AK72" i="16" s="1"/>
  <c r="AP78" i="16"/>
  <c r="X736" i="8"/>
  <c r="X737" i="8"/>
  <c r="X739" i="8"/>
  <c r="X259" i="8"/>
  <c r="X295" i="8"/>
  <c r="W700" i="8"/>
  <c r="W733" i="8"/>
  <c r="W739" i="8"/>
  <c r="X151" i="8"/>
  <c r="W178" i="8"/>
  <c r="X196" i="8"/>
  <c r="X180" i="8"/>
  <c r="W293" i="8"/>
  <c r="AH49" i="16"/>
  <c r="AH71" i="16"/>
  <c r="AH72" i="16" s="1"/>
  <c r="L48" i="22"/>
  <c r="BV49" i="16"/>
  <c r="S43" i="22"/>
  <c r="R43" i="22"/>
  <c r="AY79" i="16"/>
  <c r="Q36" i="22"/>
  <c r="P35" i="22"/>
  <c r="M35" i="22"/>
  <c r="V79" i="16"/>
  <c r="Q14" i="22"/>
  <c r="BN78" i="16"/>
  <c r="X693" i="8"/>
  <c r="X718" i="8"/>
  <c r="X707" i="8"/>
  <c r="W695" i="8"/>
  <c r="W715" i="8"/>
  <c r="X147" i="8"/>
  <c r="W194" i="8"/>
  <c r="M71" i="16"/>
  <c r="M72" i="16" s="1"/>
  <c r="AA62" i="16"/>
  <c r="AA63" i="16" s="1"/>
  <c r="AA71" i="16"/>
  <c r="AA72" i="16" s="1"/>
  <c r="AX78" i="16"/>
  <c r="Q7" i="22"/>
  <c r="M79" i="16"/>
  <c r="S62" i="16"/>
  <c r="S63" i="16" s="1"/>
  <c r="S71" i="16"/>
  <c r="S72" i="16" s="1"/>
  <c r="CE71" i="16"/>
  <c r="CE72" i="16" s="1"/>
  <c r="O78" i="16"/>
  <c r="AF78" i="16"/>
  <c r="AZ49" i="16"/>
  <c r="AJ71" i="16"/>
  <c r="AJ72" i="16" s="1"/>
  <c r="AJ77" i="16"/>
  <c r="AJ78" i="16" s="1"/>
  <c r="BM71" i="16"/>
  <c r="BM72" i="16" s="1"/>
  <c r="X699" i="8"/>
  <c r="X719" i="8"/>
  <c r="X696" i="8"/>
  <c r="X751" i="8"/>
  <c r="W184" i="8"/>
  <c r="AM186" i="26" s="1"/>
  <c r="I49" i="16"/>
  <c r="Q16" i="22"/>
  <c r="X79" i="16"/>
  <c r="L24" i="22"/>
  <c r="AG48" i="16"/>
  <c r="AG78" i="16" s="1"/>
  <c r="Q55" i="22"/>
  <c r="CF79" i="16"/>
  <c r="N71" i="16"/>
  <c r="N72" i="16" s="1"/>
  <c r="N62" i="16"/>
  <c r="N63" i="16" s="1"/>
  <c r="AM79" i="16"/>
  <c r="Q29" i="22"/>
  <c r="AW79" i="16"/>
  <c r="Q34" i="22"/>
  <c r="Q54" i="22"/>
  <c r="CE79" i="16"/>
  <c r="BN62" i="16"/>
  <c r="BN63" i="16" s="1"/>
  <c r="AD71" i="16"/>
  <c r="AD72" i="16" s="1"/>
  <c r="BV78" i="16"/>
  <c r="Y49" i="16"/>
  <c r="Y78" i="16"/>
  <c r="Y71" i="16"/>
  <c r="Y72" i="16" s="1"/>
  <c r="AV62" i="16"/>
  <c r="AV63" i="16" s="1"/>
  <c r="AX62" i="16"/>
  <c r="AX63" i="16" s="1"/>
  <c r="M49" i="16"/>
  <c r="V71" i="16"/>
  <c r="V72" i="16" s="1"/>
  <c r="V62" i="16"/>
  <c r="V63" i="16" s="1"/>
  <c r="S47" i="22"/>
  <c r="R47" i="22"/>
  <c r="BM49" i="16"/>
  <c r="CE62" i="16"/>
  <c r="CE63" i="16" s="1"/>
  <c r="CB49" i="16"/>
  <c r="CB62" i="16"/>
  <c r="CB63" i="16" s="1"/>
  <c r="AK62" i="16"/>
  <c r="AK63" i="16" s="1"/>
  <c r="R78" i="16"/>
  <c r="X720" i="8"/>
  <c r="X701" i="8"/>
  <c r="X46" i="8"/>
  <c r="W187" i="8"/>
  <c r="I71" i="16"/>
  <c r="I72" i="16" s="1"/>
  <c r="BZ79" i="16"/>
  <c r="Q51" i="22"/>
  <c r="AH78" i="16"/>
  <c r="Z71" i="16"/>
  <c r="Z72" i="16" s="1"/>
  <c r="CV49" i="16"/>
  <c r="CV78" i="16"/>
  <c r="CV71" i="16"/>
  <c r="CV72" i="16" s="1"/>
  <c r="R53" i="22"/>
  <c r="S53" i="22"/>
  <c r="BZ49" i="16"/>
  <c r="BZ62" i="16"/>
  <c r="BZ63" i="16" s="1"/>
  <c r="BZ71" i="16"/>
  <c r="BZ72" i="16" s="1"/>
  <c r="AD78" i="16"/>
  <c r="I79" i="16"/>
  <c r="Q3" i="22"/>
  <c r="BY78" i="16"/>
  <c r="BY71" i="16"/>
  <c r="BY72" i="16" s="1"/>
  <c r="AW49" i="16"/>
  <c r="AW71" i="16"/>
  <c r="AW72" i="16" s="1"/>
  <c r="AW62" i="16"/>
  <c r="AW63" i="16" s="1"/>
  <c r="AC71" i="16"/>
  <c r="AC72" i="16" s="1"/>
  <c r="AI49" i="16"/>
  <c r="AI62" i="16"/>
  <c r="AI63" i="16" s="1"/>
  <c r="R38" i="22"/>
  <c r="S38" i="22"/>
  <c r="CR49" i="16"/>
  <c r="CR71" i="16"/>
  <c r="CR72" i="16" s="1"/>
  <c r="AA78" i="16"/>
  <c r="AC78" i="16"/>
  <c r="BH79" i="16"/>
  <c r="Q41" i="22"/>
  <c r="CL78" i="16"/>
  <c r="AM49" i="16"/>
  <c r="AM71" i="16"/>
  <c r="AM72" i="16" s="1"/>
  <c r="CB78" i="16"/>
  <c r="AU49" i="16"/>
  <c r="AU78" i="16"/>
  <c r="AU62" i="16"/>
  <c r="AU63" i="16" s="1"/>
  <c r="AU71" i="16"/>
  <c r="AU72" i="16" s="1"/>
  <c r="BX78" i="16"/>
  <c r="L39" i="22"/>
  <c r="BD49" i="16"/>
  <c r="AV78" i="16"/>
  <c r="H10" i="38"/>
  <c r="H9" i="38"/>
  <c r="H14" i="38"/>
  <c r="H13" i="38"/>
  <c r="AO105" i="26"/>
  <c r="AS693" i="26"/>
  <c r="AO106" i="26"/>
  <c r="AS106" i="26" s="1"/>
  <c r="AO146" i="26"/>
  <c r="AO795" i="26"/>
  <c r="AP795" i="26" s="1"/>
  <c r="AO794" i="26"/>
  <c r="AS794" i="26" s="1"/>
  <c r="AO752" i="26"/>
  <c r="AO238" i="26"/>
  <c r="AS238" i="26" s="1"/>
  <c r="AO246" i="26"/>
  <c r="AP246" i="26" s="1"/>
  <c r="AM721" i="26"/>
  <c r="AM158" i="26"/>
  <c r="AM441" i="26"/>
  <c r="AM173" i="26"/>
  <c r="AM252" i="26"/>
  <c r="AM221" i="26"/>
  <c r="AM781" i="26"/>
  <c r="AN782" i="26"/>
  <c r="AN784" i="26"/>
  <c r="AN783" i="26"/>
  <c r="AN787" i="26"/>
  <c r="AN781" i="26"/>
  <c r="AO781" i="26" s="1"/>
  <c r="AN785" i="26"/>
  <c r="AN786" i="26"/>
  <c r="AM480" i="26"/>
  <c r="AM220" i="26"/>
  <c r="AM782" i="26"/>
  <c r="AM471" i="26"/>
  <c r="AM465" i="26"/>
  <c r="AM133" i="26"/>
  <c r="AM464" i="26"/>
  <c r="AM156" i="26"/>
  <c r="AM689" i="26"/>
  <c r="AM425" i="26"/>
  <c r="AM91" i="26"/>
  <c r="AM687" i="26"/>
  <c r="AM434" i="26"/>
  <c r="AM160" i="26"/>
  <c r="AM130" i="26"/>
  <c r="AM449" i="26"/>
  <c r="AM435" i="26"/>
  <c r="AM207" i="26"/>
  <c r="AM751" i="26"/>
  <c r="AM127" i="26"/>
  <c r="AM482" i="26"/>
  <c r="AM685" i="26"/>
  <c r="AM791" i="26"/>
  <c r="AM264" i="26"/>
  <c r="AM169" i="26"/>
  <c r="AM226" i="26"/>
  <c r="AM440" i="26"/>
  <c r="AM14" i="26"/>
  <c r="AM785" i="26"/>
  <c r="AM450" i="26"/>
  <c r="AM213" i="26"/>
  <c r="AM749" i="26"/>
  <c r="AM126" i="26"/>
  <c r="AM287" i="26"/>
  <c r="AN287" i="26"/>
  <c r="AM193" i="26"/>
  <c r="AM459" i="26"/>
  <c r="AM479" i="26"/>
  <c r="AM214" i="26"/>
  <c r="AM707" i="26"/>
  <c r="AM203" i="26"/>
  <c r="AN209" i="26"/>
  <c r="AN208" i="26"/>
  <c r="AN211" i="26"/>
  <c r="AN210" i="26"/>
  <c r="AN203" i="26"/>
  <c r="AN205" i="26"/>
  <c r="AN207" i="26"/>
  <c r="AN204" i="26"/>
  <c r="AN212" i="26"/>
  <c r="AN213" i="26"/>
  <c r="AN206" i="26"/>
  <c r="AN215" i="26"/>
  <c r="AN214" i="26"/>
  <c r="AM84" i="26"/>
  <c r="AM740" i="26"/>
  <c r="AM177" i="26"/>
  <c r="AM223" i="26"/>
  <c r="AM200" i="26"/>
  <c r="AM790" i="26"/>
  <c r="AM783" i="26"/>
  <c r="AM733" i="26"/>
  <c r="AM298" i="26"/>
  <c r="AM438" i="26"/>
  <c r="AM708" i="26"/>
  <c r="AM712" i="26"/>
  <c r="AM161" i="26"/>
  <c r="AM253" i="26"/>
  <c r="AM696" i="26"/>
  <c r="AM119" i="26"/>
  <c r="AM477" i="26"/>
  <c r="AM236" i="26"/>
  <c r="AM123" i="26"/>
  <c r="AM125" i="26"/>
  <c r="AM476" i="26"/>
  <c r="AM433" i="26"/>
  <c r="AM741" i="26"/>
  <c r="AM165" i="26"/>
  <c r="AM788" i="26"/>
  <c r="AN792" i="26"/>
  <c r="AN791" i="26"/>
  <c r="AN793" i="26"/>
  <c r="AN789" i="26"/>
  <c r="AN790" i="26"/>
  <c r="AN788" i="26"/>
  <c r="AM196" i="26"/>
  <c r="AM686" i="26"/>
  <c r="AN689" i="26"/>
  <c r="AN688" i="26"/>
  <c r="AN686" i="26"/>
  <c r="AN687" i="26"/>
  <c r="AM792" i="26"/>
  <c r="AM784" i="26"/>
  <c r="AM688" i="26"/>
  <c r="AM719" i="26"/>
  <c r="AM174" i="26"/>
  <c r="AM705" i="26"/>
  <c r="AM86" i="26"/>
  <c r="AM746" i="26"/>
  <c r="AM460" i="26"/>
  <c r="AM209" i="26"/>
  <c r="AM297" i="26"/>
  <c r="AM451" i="26"/>
  <c r="AM285" i="26"/>
  <c r="AN285" i="26"/>
  <c r="AM698" i="26"/>
  <c r="AM89" i="26"/>
  <c r="AM164" i="26"/>
  <c r="AM231" i="26"/>
  <c r="AN746" i="26"/>
  <c r="AM745" i="26"/>
  <c r="AN745" i="26"/>
  <c r="AN751" i="26"/>
  <c r="AO751" i="26" s="1"/>
  <c r="AN747" i="26"/>
  <c r="AN748" i="26"/>
  <c r="AN749" i="26"/>
  <c r="AN750" i="26"/>
  <c r="AM176" i="26"/>
  <c r="AM787" i="26"/>
  <c r="AM294" i="26"/>
  <c r="AM747" i="26"/>
  <c r="AM710" i="26"/>
  <c r="AM129" i="26"/>
  <c r="AM194" i="26"/>
  <c r="AM235" i="26"/>
  <c r="AM453" i="26"/>
  <c r="AM466" i="26"/>
  <c r="AM148" i="26"/>
  <c r="AN148" i="26"/>
  <c r="AN157" i="26"/>
  <c r="AN175" i="26"/>
  <c r="AN176" i="26"/>
  <c r="AN149" i="26"/>
  <c r="AN168" i="26"/>
  <c r="AN158" i="26"/>
  <c r="AN150" i="26"/>
  <c r="AN151" i="26"/>
  <c r="AN170" i="26"/>
  <c r="AN156" i="26"/>
  <c r="AN153" i="26"/>
  <c r="AN162" i="26"/>
  <c r="AN159" i="26"/>
  <c r="AN173" i="26"/>
  <c r="AN155" i="26"/>
  <c r="AN169" i="26"/>
  <c r="AN177" i="26"/>
  <c r="AN165" i="26"/>
  <c r="AN166" i="26"/>
  <c r="AN171" i="26"/>
  <c r="AN160" i="26"/>
  <c r="AN167" i="26"/>
  <c r="AN152" i="26"/>
  <c r="AN164" i="26"/>
  <c r="AN172" i="26"/>
  <c r="AN163" i="26"/>
  <c r="AN154" i="26"/>
  <c r="AN161" i="26"/>
  <c r="AN174" i="26"/>
  <c r="AM79" i="26"/>
  <c r="AN464" i="26"/>
  <c r="AM424" i="26"/>
  <c r="AN439" i="26"/>
  <c r="AN438" i="26"/>
  <c r="AN427" i="26"/>
  <c r="AN485" i="26"/>
  <c r="AN466" i="26"/>
  <c r="AN437" i="26"/>
  <c r="AN426" i="26"/>
  <c r="AN445" i="26"/>
  <c r="AN428" i="26"/>
  <c r="AN484" i="26"/>
  <c r="AN457" i="26"/>
  <c r="AN456" i="26"/>
  <c r="AN476" i="26"/>
  <c r="AN486" i="26"/>
  <c r="AN469" i="26"/>
  <c r="AN446" i="26"/>
  <c r="AN477" i="26"/>
  <c r="AN465" i="26"/>
  <c r="AN483" i="26"/>
  <c r="AN449" i="26"/>
  <c r="AN463" i="26"/>
  <c r="AN471" i="26"/>
  <c r="AN434" i="26"/>
  <c r="AN442" i="26"/>
  <c r="AN452" i="26"/>
  <c r="AN461" i="26"/>
  <c r="AN447" i="26"/>
  <c r="AN479" i="26"/>
  <c r="AN468" i="26"/>
  <c r="AN470" i="26"/>
  <c r="AN425" i="26"/>
  <c r="AN482" i="26"/>
  <c r="AN467" i="26"/>
  <c r="AN429" i="26"/>
  <c r="AN436" i="26"/>
  <c r="AN460" i="26"/>
  <c r="AN475" i="26"/>
  <c r="AN444" i="26"/>
  <c r="AN454" i="26"/>
  <c r="AN481" i="26"/>
  <c r="AN455" i="26"/>
  <c r="AN430" i="26"/>
  <c r="AN440" i="26"/>
  <c r="AN478" i="26"/>
  <c r="AN451" i="26"/>
  <c r="AN433" i="26"/>
  <c r="AN458" i="26"/>
  <c r="AN473" i="26"/>
  <c r="AN435" i="26"/>
  <c r="AN424" i="26"/>
  <c r="AN480" i="26"/>
  <c r="AN431" i="26"/>
  <c r="AN441" i="26"/>
  <c r="AN450" i="26"/>
  <c r="AN453" i="26"/>
  <c r="AN459" i="26"/>
  <c r="AN443" i="26"/>
  <c r="AN432" i="26"/>
  <c r="AN474" i="26"/>
  <c r="AN448" i="26"/>
  <c r="AN462" i="26"/>
  <c r="AN472" i="26"/>
  <c r="AM750" i="26"/>
  <c r="AM151" i="26"/>
  <c r="AM470" i="26"/>
  <c r="AM469" i="26"/>
  <c r="AM204" i="26"/>
  <c r="AM94" i="26"/>
  <c r="AM166" i="26"/>
  <c r="AM426" i="26"/>
  <c r="AM90" i="26"/>
  <c r="AM154" i="26"/>
  <c r="AM128" i="26"/>
  <c r="AM452" i="26"/>
  <c r="AM748" i="26"/>
  <c r="AM786" i="26"/>
  <c r="AM212" i="26"/>
  <c r="AM789" i="26"/>
  <c r="AM439" i="26"/>
  <c r="AM468" i="26"/>
  <c r="AM718" i="26"/>
  <c r="AM92" i="26"/>
  <c r="AM448" i="26"/>
  <c r="AM210" i="26"/>
  <c r="AM737" i="26"/>
  <c r="AM155" i="26"/>
  <c r="AM234" i="26"/>
  <c r="AM447" i="26"/>
  <c r="AM793" i="26"/>
  <c r="AM262" i="26"/>
  <c r="AM676" i="26"/>
  <c r="AM709" i="26"/>
  <c r="AM720" i="26"/>
  <c r="AM730" i="26"/>
  <c r="AM81" i="26"/>
  <c r="AM88" i="26"/>
  <c r="AM168" i="26"/>
  <c r="AM171" i="26"/>
  <c r="AM191" i="26"/>
  <c r="AM225" i="26"/>
  <c r="AN229" i="26"/>
  <c r="AN228" i="26"/>
  <c r="AN237" i="26"/>
  <c r="AN230" i="26"/>
  <c r="AN235" i="26"/>
  <c r="AN234" i="26"/>
  <c r="AN231" i="26"/>
  <c r="AN232" i="26"/>
  <c r="AN226" i="26"/>
  <c r="AN233" i="26"/>
  <c r="AN227" i="26"/>
  <c r="AN236" i="26"/>
  <c r="AN225" i="26"/>
  <c r="AM458" i="26"/>
  <c r="AM446" i="26"/>
  <c r="AM481" i="26"/>
  <c r="AM427" i="26"/>
  <c r="AM211" i="26"/>
  <c r="AM260" i="26"/>
  <c r="AM677" i="26"/>
  <c r="AM695" i="26"/>
  <c r="AM722" i="26"/>
  <c r="AM713" i="26"/>
  <c r="AM80" i="26"/>
  <c r="AM93" i="26"/>
  <c r="AM163" i="26"/>
  <c r="AM149" i="26"/>
  <c r="AM199" i="26"/>
  <c r="AM233" i="26"/>
  <c r="AM463" i="26"/>
  <c r="AM445" i="26"/>
  <c r="AM486" i="26"/>
  <c r="AM428" i="26"/>
  <c r="AM215" i="26"/>
  <c r="AM258" i="26"/>
  <c r="AM678" i="26"/>
  <c r="AM732" i="26"/>
  <c r="AM723" i="26"/>
  <c r="AM731" i="26"/>
  <c r="AM78" i="26"/>
  <c r="AM107" i="26"/>
  <c r="AN108" i="26"/>
  <c r="AN107" i="26"/>
  <c r="AM150" i="26"/>
  <c r="AM756" i="26"/>
  <c r="AM189" i="26"/>
  <c r="AM192" i="26"/>
  <c r="AM237" i="26"/>
  <c r="AM474" i="26"/>
  <c r="AM444" i="26"/>
  <c r="AM473" i="26"/>
  <c r="AM429" i="26"/>
  <c r="AM9" i="26"/>
  <c r="AM240" i="26"/>
  <c r="AM268" i="26"/>
  <c r="AM675" i="26"/>
  <c r="AN679" i="26"/>
  <c r="AN678" i="26"/>
  <c r="AN677" i="26"/>
  <c r="AO677" i="26" s="1"/>
  <c r="AN680" i="26"/>
  <c r="AN681" i="26"/>
  <c r="AN676" i="26"/>
  <c r="AN675" i="26"/>
  <c r="AM734" i="26"/>
  <c r="AM724" i="26"/>
  <c r="AM703" i="26"/>
  <c r="AN77" i="26"/>
  <c r="AN85" i="26"/>
  <c r="AN79" i="26"/>
  <c r="AN86" i="26"/>
  <c r="AM77" i="26"/>
  <c r="AN78" i="26"/>
  <c r="AN84" i="26"/>
  <c r="AN80" i="26"/>
  <c r="AN90" i="26"/>
  <c r="AN82" i="26"/>
  <c r="AN89" i="26"/>
  <c r="AN94" i="26"/>
  <c r="AN83" i="26"/>
  <c r="AN81" i="26"/>
  <c r="AN92" i="26"/>
  <c r="AN88" i="26"/>
  <c r="AN93" i="26"/>
  <c r="AN87" i="26"/>
  <c r="AN91" i="26"/>
  <c r="AM108" i="26"/>
  <c r="AM175" i="26"/>
  <c r="AM218" i="26"/>
  <c r="AM757" i="26"/>
  <c r="AM183" i="26"/>
  <c r="AM185" i="26"/>
  <c r="AM229" i="26"/>
  <c r="AM457" i="26"/>
  <c r="AM443" i="26"/>
  <c r="AM437" i="26"/>
  <c r="AM430" i="26"/>
  <c r="AM10" i="26"/>
  <c r="AM242" i="26"/>
  <c r="AM42" i="26"/>
  <c r="AM668" i="26"/>
  <c r="AM30" i="26"/>
  <c r="AM263" i="26"/>
  <c r="AM681" i="26"/>
  <c r="AM738" i="26"/>
  <c r="AM743" i="26"/>
  <c r="AM714" i="26"/>
  <c r="AM85" i="26"/>
  <c r="AM159" i="26"/>
  <c r="AM153" i="26"/>
  <c r="AM217" i="26"/>
  <c r="AN220" i="26"/>
  <c r="AN222" i="26"/>
  <c r="AN221" i="26"/>
  <c r="AN218" i="26"/>
  <c r="AN219" i="26"/>
  <c r="AN217" i="26"/>
  <c r="AN223" i="26"/>
  <c r="AN224" i="26"/>
  <c r="AN753" i="26"/>
  <c r="AN758" i="26"/>
  <c r="AN757" i="26"/>
  <c r="AN755" i="26"/>
  <c r="AN754" i="26"/>
  <c r="AN756" i="26"/>
  <c r="AM753" i="26"/>
  <c r="AM184" i="26"/>
  <c r="AM201" i="26"/>
  <c r="AM228" i="26"/>
  <c r="AM456" i="26"/>
  <c r="AM442" i="26"/>
  <c r="AM436" i="26"/>
  <c r="AM431" i="26"/>
  <c r="AM8" i="26"/>
  <c r="AN8" i="26"/>
  <c r="AN9" i="26"/>
  <c r="AN10" i="26"/>
  <c r="AM239" i="26"/>
  <c r="AN239" i="26"/>
  <c r="AN240" i="26"/>
  <c r="AN242" i="26"/>
  <c r="AN241" i="26"/>
  <c r="AM45" i="26"/>
  <c r="AM261" i="26"/>
  <c r="AM680" i="26"/>
  <c r="AM742" i="26"/>
  <c r="AM725" i="26"/>
  <c r="AM701" i="26"/>
  <c r="AM87" i="26"/>
  <c r="AM152" i="26"/>
  <c r="AM162" i="26"/>
  <c r="AM224" i="26"/>
  <c r="AM134" i="26"/>
  <c r="AM754" i="26"/>
  <c r="AM197" i="26"/>
  <c r="AM187" i="26"/>
  <c r="AM227" i="26"/>
  <c r="AM455" i="26"/>
  <c r="AM485" i="26"/>
  <c r="AM478" i="26"/>
  <c r="AM432" i="26"/>
  <c r="AM208" i="26"/>
  <c r="AM241" i="26"/>
  <c r="AM40" i="26"/>
  <c r="AM39" i="26"/>
  <c r="AS178" i="26"/>
  <c r="AP178" i="26"/>
  <c r="AM248" i="26"/>
  <c r="AM679" i="26"/>
  <c r="AM739" i="26"/>
  <c r="AM726" i="26"/>
  <c r="AM704" i="26"/>
  <c r="AM83" i="26"/>
  <c r="AM170" i="26"/>
  <c r="AM172" i="26"/>
  <c r="AM222" i="26"/>
  <c r="AM755" i="26"/>
  <c r="AM232" i="26"/>
  <c r="AM454" i="26"/>
  <c r="AM475" i="26"/>
  <c r="AM462" i="26"/>
  <c r="AM472" i="26"/>
  <c r="AM206" i="26"/>
  <c r="AS778" i="26"/>
  <c r="AP778" i="26"/>
  <c r="AM700" i="26"/>
  <c r="AM736" i="26"/>
  <c r="AM727" i="26"/>
  <c r="AM715" i="26"/>
  <c r="AM82" i="26"/>
  <c r="AM167" i="26"/>
  <c r="AM157" i="26"/>
  <c r="AM219" i="26"/>
  <c r="AM758" i="26"/>
  <c r="AM198" i="26"/>
  <c r="AM188" i="26"/>
  <c r="AM230" i="26"/>
  <c r="AM483" i="26"/>
  <c r="AM484" i="26"/>
  <c r="AM461" i="26"/>
  <c r="AM467" i="26"/>
  <c r="AM205" i="26"/>
  <c r="AM684" i="26"/>
  <c r="AN685" i="26"/>
  <c r="AN684" i="26"/>
  <c r="AM104" i="26"/>
  <c r="AP779" i="26"/>
  <c r="AS779" i="26"/>
  <c r="AO109" i="26"/>
  <c r="AS244" i="26"/>
  <c r="AP244" i="26"/>
  <c r="AS780" i="26"/>
  <c r="AP780" i="26"/>
  <c r="AS671" i="26"/>
  <c r="AP671" i="26"/>
  <c r="AS245" i="26"/>
  <c r="AP245" i="26"/>
  <c r="AP247" i="26"/>
  <c r="AS247" i="26"/>
  <c r="AS694" i="26"/>
  <c r="AP694" i="26"/>
  <c r="AO147" i="26"/>
  <c r="AS293" i="26"/>
  <c r="AP293" i="26"/>
  <c r="AO243" i="26"/>
  <c r="AP286" i="26"/>
  <c r="AS286" i="26"/>
  <c r="AO796" i="26"/>
  <c r="AO759" i="26"/>
  <c r="X35" i="8"/>
  <c r="X173" i="8"/>
  <c r="X164" i="8"/>
  <c r="W35" i="8"/>
  <c r="W29" i="8"/>
  <c r="W665" i="8"/>
  <c r="X96" i="8"/>
  <c r="W112" i="8"/>
  <c r="W668" i="8"/>
  <c r="X23" i="8"/>
  <c r="X248" i="8"/>
  <c r="X42" i="8"/>
  <c r="X95" i="8"/>
  <c r="X123" i="8"/>
  <c r="W267" i="8"/>
  <c r="X169" i="8"/>
  <c r="X149" i="8"/>
  <c r="W122" i="8"/>
  <c r="W667" i="8"/>
  <c r="W101" i="8"/>
  <c r="W30" i="8"/>
  <c r="W20" i="8"/>
  <c r="W46" i="8"/>
  <c r="X34" i="8"/>
  <c r="X18" i="8"/>
  <c r="X240" i="8"/>
  <c r="X171" i="8"/>
  <c r="X167" i="8"/>
  <c r="X155" i="8"/>
  <c r="W23" i="8"/>
  <c r="X29" i="8"/>
  <c r="X252" i="8"/>
  <c r="X40" i="8"/>
  <c r="X94" i="8"/>
  <c r="X128" i="8"/>
  <c r="X113" i="8"/>
  <c r="W13" i="8"/>
  <c r="W264" i="8"/>
  <c r="X158" i="8"/>
  <c r="W119" i="8"/>
  <c r="W99" i="8"/>
  <c r="W16" i="8"/>
  <c r="W18" i="8"/>
  <c r="W39" i="8"/>
  <c r="X20" i="8"/>
  <c r="X24" i="8"/>
  <c r="X17" i="8"/>
  <c r="X665" i="8"/>
  <c r="W45" i="8"/>
  <c r="X101" i="8"/>
  <c r="X31" i="8"/>
  <c r="X668" i="8"/>
  <c r="X19" i="8"/>
  <c r="W247" i="8"/>
  <c r="X161" i="8"/>
  <c r="X28" i="8"/>
  <c r="X267" i="8"/>
  <c r="X39" i="8"/>
  <c r="X102" i="8"/>
  <c r="X133" i="8"/>
  <c r="X116" i="8"/>
  <c r="W11" i="8"/>
  <c r="W252" i="8"/>
  <c r="X162" i="8"/>
  <c r="W115" i="8"/>
  <c r="W95" i="8"/>
  <c r="W26" i="8"/>
  <c r="W17" i="8"/>
  <c r="W41" i="8"/>
  <c r="W21" i="8"/>
  <c r="W31" i="8"/>
  <c r="X154" i="8"/>
  <c r="W22" i="8"/>
  <c r="X100" i="8"/>
  <c r="X111" i="8"/>
  <c r="X156" i="8"/>
  <c r="W14" i="8"/>
  <c r="X130" i="8"/>
  <c r="W94" i="8"/>
  <c r="W25" i="8"/>
  <c r="X26" i="8"/>
  <c r="X265" i="8"/>
  <c r="X36" i="8"/>
  <c r="X99" i="8"/>
  <c r="X120" i="8"/>
  <c r="X112" i="8"/>
  <c r="W253" i="8"/>
  <c r="X172" i="8"/>
  <c r="X148" i="8"/>
  <c r="W113" i="8"/>
  <c r="W116" i="8"/>
  <c r="W98" i="8"/>
  <c r="W24" i="8"/>
  <c r="W34" i="8"/>
  <c r="W44" i="8"/>
  <c r="X43" i="8"/>
  <c r="X238" i="8"/>
  <c r="X15" i="8"/>
  <c r="X237" i="8"/>
  <c r="X21" i="8"/>
  <c r="W97" i="8"/>
  <c r="X264" i="8"/>
  <c r="X14" i="8"/>
  <c r="X253" i="8"/>
  <c r="X256" i="8"/>
  <c r="X37" i="8"/>
  <c r="X97" i="8"/>
  <c r="X127" i="8"/>
  <c r="X115" i="8"/>
  <c r="X682" i="8"/>
  <c r="W248" i="8"/>
  <c r="W255" i="8"/>
  <c r="X159" i="8"/>
  <c r="X152" i="8"/>
  <c r="W114" i="8"/>
  <c r="W129" i="8"/>
  <c r="W100" i="8"/>
  <c r="W33" i="8"/>
  <c r="W19" i="8"/>
  <c r="W47" i="8"/>
  <c r="X41" i="8"/>
  <c r="X166" i="8"/>
  <c r="X255" i="8"/>
  <c r="X163" i="8"/>
  <c r="X32" i="8"/>
  <c r="X266" i="8"/>
  <c r="X250" i="8"/>
  <c r="X38" i="8"/>
  <c r="X93" i="8"/>
  <c r="X122" i="8"/>
  <c r="X118" i="8"/>
  <c r="W254" i="8"/>
  <c r="W263" i="8"/>
  <c r="X165" i="8"/>
  <c r="X153" i="8"/>
  <c r="W111" i="8"/>
  <c r="W130" i="8"/>
  <c r="W96" i="8"/>
  <c r="W32" i="8"/>
  <c r="W36" i="8"/>
  <c r="X25" i="8"/>
  <c r="X22" i="8"/>
  <c r="X33" i="8"/>
  <c r="X666" i="8"/>
  <c r="W93" i="8"/>
  <c r="X257" i="8"/>
  <c r="X131" i="8"/>
  <c r="W265" i="8"/>
  <c r="X174" i="8"/>
  <c r="W120" i="8"/>
  <c r="P57" i="22"/>
  <c r="M57" i="22"/>
  <c r="P56" i="22"/>
  <c r="M56" i="22"/>
  <c r="M31" i="22"/>
  <c r="P31" i="22"/>
  <c r="P25" i="22"/>
  <c r="X282" i="8" s="1"/>
  <c r="M25" i="22"/>
  <c r="W282" i="8" s="1"/>
  <c r="M22" i="22"/>
  <c r="W689" i="8" s="1"/>
  <c r="P22" i="22"/>
  <c r="X689" i="8" s="1"/>
  <c r="M21" i="22"/>
  <c r="W688" i="8" s="1"/>
  <c r="P21" i="22"/>
  <c r="X688" i="8" s="1"/>
  <c r="P19" i="22"/>
  <c r="M19" i="22"/>
  <c r="P18" i="22"/>
  <c r="X672" i="8" s="1"/>
  <c r="M18" i="22"/>
  <c r="W672" i="8" s="1"/>
  <c r="W48" i="16"/>
  <c r="W49" i="16"/>
  <c r="L15" i="22"/>
  <c r="L64" i="22" s="1"/>
  <c r="N65" i="22" s="1"/>
  <c r="M13" i="22"/>
  <c r="P13" i="22"/>
  <c r="P12" i="22"/>
  <c r="X690" i="8" s="1"/>
  <c r="M12" i="22"/>
  <c r="W690" i="8" s="1"/>
  <c r="M11" i="22"/>
  <c r="P11" i="22"/>
  <c r="P10" i="22"/>
  <c r="M10" i="22"/>
  <c r="P9" i="22"/>
  <c r="M9" i="22"/>
  <c r="M7" i="22"/>
  <c r="P7" i="22"/>
  <c r="P6" i="22"/>
  <c r="M6" i="22"/>
  <c r="P3" i="22"/>
  <c r="M3" i="22"/>
  <c r="H78" i="16"/>
  <c r="H62" i="16"/>
  <c r="H63" i="16" s="1"/>
  <c r="H71" i="16"/>
  <c r="H72" i="16" s="1"/>
  <c r="P2" i="22"/>
  <c r="M2" i="22"/>
  <c r="CQ8" i="1"/>
  <c r="BF8" i="1"/>
  <c r="CT8" i="1"/>
  <c r="CR8" i="1"/>
  <c r="CG8" i="1"/>
  <c r="CL8" i="1"/>
  <c r="CS8" i="1"/>
  <c r="CU8" i="1"/>
  <c r="BE8" i="1"/>
  <c r="CN8" i="1"/>
  <c r="CE8" i="1"/>
  <c r="CO8" i="1"/>
  <c r="CM8" i="1"/>
  <c r="CV8" i="1"/>
  <c r="CK8" i="1"/>
  <c r="CP8" i="1"/>
  <c r="CI8" i="1"/>
  <c r="CJ8" i="1"/>
  <c r="CH8" i="1"/>
  <c r="CF8" i="1"/>
  <c r="CJ10" i="1"/>
  <c r="CP10" i="1"/>
  <c r="CS10" i="1"/>
  <c r="CH10" i="1"/>
  <c r="CT10" i="1"/>
  <c r="CL10" i="1"/>
  <c r="CF10" i="1"/>
  <c r="CK10" i="1"/>
  <c r="CN10" i="1"/>
  <c r="CU10" i="1"/>
  <c r="CQ10" i="1"/>
  <c r="CE10" i="1"/>
  <c r="CM10" i="1"/>
  <c r="CR10" i="1"/>
  <c r="BE10" i="1"/>
  <c r="CV10" i="1"/>
  <c r="CI10" i="1"/>
  <c r="BF10" i="1"/>
  <c r="CG10" i="1"/>
  <c r="CO10" i="1"/>
  <c r="CQ11" i="1"/>
  <c r="CN11" i="1"/>
  <c r="CJ11" i="1"/>
  <c r="CG11" i="1"/>
  <c r="BF11" i="1"/>
  <c r="BE11" i="1"/>
  <c r="CO11" i="1"/>
  <c r="CK11" i="1"/>
  <c r="CV11" i="1"/>
  <c r="CF11" i="1"/>
  <c r="CR11" i="1"/>
  <c r="CM11" i="1"/>
  <c r="CH11" i="1"/>
  <c r="CU11" i="1"/>
  <c r="CP11" i="1"/>
  <c r="CL11" i="1"/>
  <c r="CI11" i="1"/>
  <c r="CE11" i="1"/>
  <c r="CS11" i="1"/>
  <c r="CT11" i="1"/>
  <c r="CH12" i="1"/>
  <c r="CS12" i="1"/>
  <c r="CJ12" i="1"/>
  <c r="CE12" i="1"/>
  <c r="CO12" i="1"/>
  <c r="BE12" i="1"/>
  <c r="CM12" i="1"/>
  <c r="CQ12" i="1"/>
  <c r="CU12" i="1"/>
  <c r="CF12" i="1"/>
  <c r="CP12" i="1"/>
  <c r="CI12" i="1"/>
  <c r="CL12" i="1"/>
  <c r="CT12" i="1"/>
  <c r="CK12" i="1"/>
  <c r="CG12" i="1"/>
  <c r="CR12" i="1"/>
  <c r="CV12" i="1"/>
  <c r="CN12" i="1"/>
  <c r="BF12" i="1"/>
  <c r="CV13" i="1"/>
  <c r="CP13" i="1"/>
  <c r="CK13" i="1"/>
  <c r="CO13" i="1"/>
  <c r="BF13" i="1"/>
  <c r="CU13" i="1"/>
  <c r="CM13" i="1"/>
  <c r="CS13" i="1"/>
  <c r="CH13" i="1"/>
  <c r="CJ13" i="1"/>
  <c r="CL13" i="1"/>
  <c r="CR13" i="1"/>
  <c r="CT13" i="1"/>
  <c r="CF13" i="1"/>
  <c r="CG13" i="1"/>
  <c r="CN13" i="1"/>
  <c r="CE13" i="1"/>
  <c r="CI13" i="1"/>
  <c r="CQ13" i="1"/>
  <c r="BE13" i="1"/>
  <c r="CQ9" i="1"/>
  <c r="CG9" i="1"/>
  <c r="CK9" i="1"/>
  <c r="CP9" i="1"/>
  <c r="CE9" i="1"/>
  <c r="CT9" i="1"/>
  <c r="CR9" i="1"/>
  <c r="CN9" i="1"/>
  <c r="CI9" i="1"/>
  <c r="BE9" i="1"/>
  <c r="CF9" i="1"/>
  <c r="CJ9" i="1"/>
  <c r="CS9" i="1"/>
  <c r="CH9" i="1"/>
  <c r="CU9" i="1"/>
  <c r="CL9" i="1"/>
  <c r="CV9" i="1"/>
  <c r="CO9" i="1"/>
  <c r="BF9" i="1"/>
  <c r="CM9" i="1"/>
  <c r="CU14" i="1"/>
  <c r="CN14" i="1"/>
  <c r="CV14" i="1"/>
  <c r="CQ14" i="1"/>
  <c r="BE14" i="1"/>
  <c r="BF14" i="1"/>
  <c r="CJ14" i="1"/>
  <c r="CG14" i="1"/>
  <c r="CT14" i="1"/>
  <c r="CK14" i="1"/>
  <c r="CE14" i="1"/>
  <c r="CR14" i="1"/>
  <c r="CI14" i="1"/>
  <c r="CL14" i="1"/>
  <c r="CF14" i="1"/>
  <c r="CP14" i="1"/>
  <c r="CO14" i="1"/>
  <c r="CH14" i="1"/>
  <c r="CS14" i="1"/>
  <c r="CM14" i="1"/>
  <c r="CI15" i="1"/>
  <c r="CT15" i="1"/>
  <c r="CR15" i="1"/>
  <c r="CG15" i="1"/>
  <c r="CF15" i="1"/>
  <c r="CQ15" i="1"/>
  <c r="CM15" i="1"/>
  <c r="CU15" i="1"/>
  <c r="CP15" i="1"/>
  <c r="CV15" i="1"/>
  <c r="CL15" i="1"/>
  <c r="CE15" i="1"/>
  <c r="CJ15" i="1"/>
  <c r="BF15" i="1"/>
  <c r="CK15" i="1"/>
  <c r="CS15" i="1"/>
  <c r="CO15" i="1"/>
  <c r="CH15" i="1"/>
  <c r="BE15" i="1"/>
  <c r="CN15" i="1"/>
  <c r="CG16" i="1"/>
  <c r="CL16" i="1"/>
  <c r="CI16" i="1"/>
  <c r="BF16" i="1"/>
  <c r="CM16" i="1"/>
  <c r="CJ16" i="1"/>
  <c r="CF16" i="1"/>
  <c r="CP16" i="1"/>
  <c r="CV16" i="1"/>
  <c r="CR16" i="1"/>
  <c r="CK16" i="1"/>
  <c r="CE16" i="1"/>
  <c r="CN16" i="1"/>
  <c r="BE16" i="1"/>
  <c r="CT16" i="1"/>
  <c r="CH16" i="1"/>
  <c r="CQ16" i="1"/>
  <c r="CU16" i="1"/>
  <c r="CS16" i="1"/>
  <c r="CO16" i="1"/>
  <c r="CE17" i="1"/>
  <c r="CS17" i="1"/>
  <c r="CR17" i="1"/>
  <c r="CJ17" i="1"/>
  <c r="CU17" i="1"/>
  <c r="BF17" i="1"/>
  <c r="CH17" i="1"/>
  <c r="CM17" i="1"/>
  <c r="CO17" i="1"/>
  <c r="CK17" i="1"/>
  <c r="CQ17" i="1"/>
  <c r="BE17" i="1"/>
  <c r="CI17" i="1"/>
  <c r="CG17" i="1"/>
  <c r="CL17" i="1"/>
  <c r="CP17" i="1"/>
  <c r="CV17" i="1"/>
  <c r="CT17" i="1"/>
  <c r="CF17" i="1"/>
  <c r="CN17" i="1"/>
  <c r="CU18" i="1"/>
  <c r="CR18" i="1"/>
  <c r="CI18" i="1"/>
  <c r="CO18" i="1"/>
  <c r="CJ18" i="1"/>
  <c r="CM18" i="1"/>
  <c r="CP18" i="1"/>
  <c r="CL18" i="1"/>
  <c r="CV18" i="1"/>
  <c r="BF18" i="1"/>
  <c r="CH18" i="1"/>
  <c r="CK18" i="1"/>
  <c r="CQ18" i="1"/>
  <c r="CG18" i="1"/>
  <c r="CE18" i="1"/>
  <c r="CF18" i="1"/>
  <c r="CN18" i="1"/>
  <c r="CT18" i="1"/>
  <c r="CS18" i="1"/>
  <c r="BE18" i="1"/>
  <c r="CM19" i="1"/>
  <c r="CP19" i="1"/>
  <c r="CT19" i="1"/>
  <c r="CK19" i="1"/>
  <c r="CV19" i="1"/>
  <c r="CQ19" i="1"/>
  <c r="CN19" i="1"/>
  <c r="CU19" i="1"/>
  <c r="CR19" i="1"/>
  <c r="CH19" i="1"/>
  <c r="BE19" i="1"/>
  <c r="CL19" i="1"/>
  <c r="BF19" i="1"/>
  <c r="CS19" i="1"/>
  <c r="CO19" i="1"/>
  <c r="CE19" i="1"/>
  <c r="CG19" i="1"/>
  <c r="CJ19" i="1"/>
  <c r="CF19" i="1"/>
  <c r="CI19" i="1"/>
  <c r="BE32" i="1"/>
  <c r="CH32" i="1"/>
  <c r="CV32" i="1"/>
  <c r="CN32" i="1"/>
  <c r="CQ32" i="1"/>
  <c r="BF32" i="1"/>
  <c r="CR32" i="1"/>
  <c r="CE32" i="1"/>
  <c r="CG32" i="1"/>
  <c r="CL32" i="1"/>
  <c r="CK32" i="1"/>
  <c r="CS32" i="1"/>
  <c r="CI32" i="1"/>
  <c r="CU32" i="1"/>
  <c r="CP32" i="1"/>
  <c r="CF32" i="1"/>
  <c r="CT32" i="1"/>
  <c r="CO32" i="1"/>
  <c r="CJ32" i="1"/>
  <c r="CM32" i="1"/>
  <c r="CV33" i="1"/>
  <c r="CQ33" i="1"/>
  <c r="CO33" i="1"/>
  <c r="CH33" i="1"/>
  <c r="BF33" i="1"/>
  <c r="CK33" i="1"/>
  <c r="CT33" i="1"/>
  <c r="CM33" i="1"/>
  <c r="CF33" i="1"/>
  <c r="CE33" i="1"/>
  <c r="CJ33" i="1"/>
  <c r="CR33" i="1"/>
  <c r="CU33" i="1"/>
  <c r="CL33" i="1"/>
  <c r="CN33" i="1"/>
  <c r="BE33" i="1"/>
  <c r="CP33" i="1"/>
  <c r="CG33" i="1"/>
  <c r="CI33" i="1"/>
  <c r="CS33" i="1"/>
  <c r="CL23" i="1"/>
  <c r="CG23" i="1"/>
  <c r="CS23" i="1"/>
  <c r="CU23" i="1"/>
  <c r="CQ23" i="1"/>
  <c r="CK23" i="1"/>
  <c r="CV23" i="1"/>
  <c r="CO23" i="1"/>
  <c r="CH23" i="1"/>
  <c r="CM23" i="1"/>
  <c r="CJ23" i="1"/>
  <c r="CE23" i="1"/>
  <c r="CR23" i="1"/>
  <c r="CN23" i="1"/>
  <c r="CI23" i="1"/>
  <c r="BF23" i="1"/>
  <c r="CF23" i="1"/>
  <c r="BE23" i="1"/>
  <c r="CT23" i="1"/>
  <c r="CP23" i="1"/>
  <c r="CJ31" i="1"/>
  <c r="CN31" i="1"/>
  <c r="CH31" i="1"/>
  <c r="CO31" i="1"/>
  <c r="CT31" i="1"/>
  <c r="CR31" i="1"/>
  <c r="BF31" i="1"/>
  <c r="CG31" i="1"/>
  <c r="CM31" i="1"/>
  <c r="CP31" i="1"/>
  <c r="CU31" i="1"/>
  <c r="CQ31" i="1"/>
  <c r="CV31" i="1"/>
  <c r="CS31" i="1"/>
  <c r="CI31" i="1"/>
  <c r="CE31" i="1"/>
  <c r="BE31" i="1"/>
  <c r="CK31" i="1"/>
  <c r="CL31" i="1"/>
  <c r="CF31" i="1"/>
  <c r="CF24" i="1"/>
  <c r="CS24" i="1"/>
  <c r="CM24" i="1"/>
  <c r="CJ24" i="1"/>
  <c r="CN24" i="1"/>
  <c r="CV24" i="1"/>
  <c r="CE24" i="1"/>
  <c r="CG24" i="1"/>
  <c r="CQ24" i="1"/>
  <c r="CI24" i="1"/>
  <c r="BF24" i="1"/>
  <c r="BE24" i="1"/>
  <c r="CH24" i="1"/>
  <c r="CK24" i="1"/>
  <c r="CO24" i="1"/>
  <c r="CR24" i="1"/>
  <c r="CU24" i="1"/>
  <c r="CL24" i="1"/>
  <c r="CP24" i="1"/>
  <c r="CT24" i="1"/>
  <c r="CG25" i="1"/>
  <c r="CM25" i="1"/>
  <c r="CS25" i="1"/>
  <c r="CL25" i="1"/>
  <c r="CO25" i="1"/>
  <c r="CR25" i="1"/>
  <c r="CV25" i="1"/>
  <c r="CK25" i="1"/>
  <c r="BE25" i="1"/>
  <c r="CJ25" i="1"/>
  <c r="CE25" i="1"/>
  <c r="CQ25" i="1"/>
  <c r="CI25" i="1"/>
  <c r="CN25" i="1"/>
  <c r="CF25" i="1"/>
  <c r="CT25" i="1"/>
  <c r="CH25" i="1"/>
  <c r="CU25" i="1"/>
  <c r="CP25" i="1"/>
  <c r="BF25" i="1"/>
  <c r="CJ20" i="1"/>
  <c r="CP20" i="1"/>
  <c r="CV20" i="1"/>
  <c r="CG20" i="1"/>
  <c r="BE20" i="1"/>
  <c r="CO20" i="1"/>
  <c r="CS20" i="1"/>
  <c r="CN20" i="1"/>
  <c r="CQ20" i="1"/>
  <c r="CT20" i="1"/>
  <c r="CR20" i="1"/>
  <c r="CK20" i="1"/>
  <c r="CH20" i="1"/>
  <c r="CM20" i="1"/>
  <c r="CI20" i="1"/>
  <c r="CF20" i="1"/>
  <c r="CL20" i="1"/>
  <c r="BF20" i="1"/>
  <c r="CE20" i="1"/>
  <c r="CU20" i="1"/>
  <c r="CK21" i="1"/>
  <c r="CU21" i="1"/>
  <c r="CH21" i="1"/>
  <c r="CL21" i="1"/>
  <c r="CQ21" i="1"/>
  <c r="CR21" i="1"/>
  <c r="CO21" i="1"/>
  <c r="CM21" i="1"/>
  <c r="CI21" i="1"/>
  <c r="CG21" i="1"/>
  <c r="CJ21" i="1"/>
  <c r="BF21" i="1"/>
  <c r="CE21" i="1"/>
  <c r="BE21" i="1"/>
  <c r="CP21" i="1"/>
  <c r="CN21" i="1"/>
  <c r="CV21" i="1"/>
  <c r="CT21" i="1"/>
  <c r="CF21" i="1"/>
  <c r="CS21" i="1"/>
  <c r="CN22" i="1"/>
  <c r="CQ22" i="1"/>
  <c r="CL22" i="1"/>
  <c r="CP22" i="1"/>
  <c r="CV22" i="1"/>
  <c r="CR22" i="1"/>
  <c r="CM22" i="1"/>
  <c r="BF22" i="1"/>
  <c r="CG22" i="1"/>
  <c r="CS22" i="1"/>
  <c r="CT22" i="1"/>
  <c r="CH22" i="1"/>
  <c r="CE22" i="1"/>
  <c r="CK22" i="1"/>
  <c r="BE22" i="1"/>
  <c r="CJ22" i="1"/>
  <c r="CF22" i="1"/>
  <c r="CI22" i="1"/>
  <c r="CO22" i="1"/>
  <c r="CU22" i="1"/>
  <c r="CU26" i="1"/>
  <c r="CI26" i="1"/>
  <c r="CQ26" i="1"/>
  <c r="BF26" i="1"/>
  <c r="CF26" i="1"/>
  <c r="CV26" i="1"/>
  <c r="CK26" i="1"/>
  <c r="CS26" i="1"/>
  <c r="CE26" i="1"/>
  <c r="CT26" i="1"/>
  <c r="CN26" i="1"/>
  <c r="CR26" i="1"/>
  <c r="CO26" i="1"/>
  <c r="CH26" i="1"/>
  <c r="BE26" i="1"/>
  <c r="CJ26" i="1"/>
  <c r="CM26" i="1"/>
  <c r="CG26" i="1"/>
  <c r="CL26" i="1"/>
  <c r="CP26" i="1"/>
  <c r="CP27" i="1"/>
  <c r="CE27" i="1"/>
  <c r="BE27" i="1"/>
  <c r="CM27" i="1"/>
  <c r="CJ27" i="1"/>
  <c r="CG27" i="1"/>
  <c r="CT27" i="1"/>
  <c r="CQ27" i="1"/>
  <c r="CN27" i="1"/>
  <c r="BF27" i="1"/>
  <c r="CI27" i="1"/>
  <c r="CF27" i="1"/>
  <c r="CR27" i="1"/>
  <c r="CO27" i="1"/>
  <c r="CL27" i="1"/>
  <c r="CU27" i="1"/>
  <c r="CV27" i="1"/>
  <c r="CK27" i="1"/>
  <c r="CH27" i="1"/>
  <c r="CS27" i="1"/>
  <c r="CV28" i="1"/>
  <c r="CK28" i="1"/>
  <c r="CO28" i="1"/>
  <c r="CQ28" i="1"/>
  <c r="CU28" i="1"/>
  <c r="CI28" i="1"/>
  <c r="CL28" i="1"/>
  <c r="CF28" i="1"/>
  <c r="CG28" i="1"/>
  <c r="CE28" i="1"/>
  <c r="BE28" i="1"/>
  <c r="CP28" i="1"/>
  <c r="CJ28" i="1"/>
  <c r="CR28" i="1"/>
  <c r="CN28" i="1"/>
  <c r="CM28" i="1"/>
  <c r="CS28" i="1"/>
  <c r="CT28" i="1"/>
  <c r="CH28" i="1"/>
  <c r="BF28" i="1"/>
  <c r="CG29" i="1"/>
  <c r="CO29" i="1"/>
  <c r="BE29" i="1"/>
  <c r="CJ29" i="1"/>
  <c r="CP29" i="1"/>
  <c r="CT29" i="1"/>
  <c r="CI29" i="1"/>
  <c r="CL29" i="1"/>
  <c r="CU29" i="1"/>
  <c r="CQ29" i="1"/>
  <c r="CR29" i="1"/>
  <c r="CN29" i="1"/>
  <c r="CK29" i="1"/>
  <c r="CF29" i="1"/>
  <c r="BF29" i="1"/>
  <c r="CH29" i="1"/>
  <c r="CM29" i="1"/>
  <c r="CV29" i="1"/>
  <c r="CE29" i="1"/>
  <c r="CS29" i="1"/>
  <c r="CK30" i="1"/>
  <c r="BF30" i="1"/>
  <c r="CL30" i="1"/>
  <c r="CJ30" i="1"/>
  <c r="CS30" i="1"/>
  <c r="CH30" i="1"/>
  <c r="CR30" i="1"/>
  <c r="BE30" i="1"/>
  <c r="CU30" i="1"/>
  <c r="CG30" i="1"/>
  <c r="CE30" i="1"/>
  <c r="CT30" i="1"/>
  <c r="CP30" i="1"/>
  <c r="CM30" i="1"/>
  <c r="CF30" i="1"/>
  <c r="CO30" i="1"/>
  <c r="CV30" i="1"/>
  <c r="CQ30" i="1"/>
  <c r="CI30" i="1"/>
  <c r="CN30" i="1"/>
  <c r="BF54" i="1"/>
  <c r="CN54" i="1"/>
  <c r="CO54" i="1"/>
  <c r="CJ54" i="1"/>
  <c r="CL54" i="1"/>
  <c r="CP54" i="1"/>
  <c r="CS54" i="1"/>
  <c r="CT54" i="1"/>
  <c r="CF54" i="1"/>
  <c r="CQ54" i="1"/>
  <c r="CE54" i="1"/>
  <c r="CU54" i="1"/>
  <c r="CH54" i="1"/>
  <c r="CK54" i="1"/>
  <c r="CV54" i="1"/>
  <c r="BE54" i="1"/>
  <c r="CR54" i="1"/>
  <c r="CM54" i="1"/>
  <c r="CI54" i="1"/>
  <c r="CG54" i="1"/>
  <c r="CK65" i="1"/>
  <c r="CT5" i="1"/>
  <c r="CR5" i="1"/>
  <c r="CN5" i="1"/>
  <c r="CL5" i="1"/>
  <c r="CI5" i="1"/>
  <c r="CG5" i="1"/>
  <c r="CO5" i="1"/>
  <c r="BE5" i="1"/>
  <c r="CM5" i="1"/>
  <c r="CP5" i="1"/>
  <c r="CV5" i="1"/>
  <c r="CS5" i="1"/>
  <c r="CQ5" i="1"/>
  <c r="CK5" i="1"/>
  <c r="CH5" i="1"/>
  <c r="CF5" i="1"/>
  <c r="BF5" i="1"/>
  <c r="CJ5" i="1"/>
  <c r="CE5" i="1"/>
  <c r="CU5" i="1"/>
  <c r="BE6" i="1"/>
  <c r="CN6" i="1"/>
  <c r="CL6" i="1"/>
  <c r="CO6" i="1"/>
  <c r="CQ6" i="1"/>
  <c r="CV6" i="1"/>
  <c r="CJ6" i="1"/>
  <c r="CF6" i="1"/>
  <c r="CT6" i="1"/>
  <c r="CI6" i="1"/>
  <c r="CU6" i="1"/>
  <c r="CS6" i="1"/>
  <c r="CM6" i="1"/>
  <c r="CG6" i="1"/>
  <c r="CK6" i="1"/>
  <c r="CP6" i="1"/>
  <c r="CR6" i="1"/>
  <c r="CH6" i="1"/>
  <c r="CE6" i="1"/>
  <c r="BF6" i="1"/>
  <c r="CH7" i="1"/>
  <c r="CG7" i="1"/>
  <c r="CO7" i="1"/>
  <c r="CM7" i="1"/>
  <c r="BF7" i="1"/>
  <c r="CP7" i="1"/>
  <c r="CJ7" i="1"/>
  <c r="CF7" i="1"/>
  <c r="CV7" i="1"/>
  <c r="CS7" i="1"/>
  <c r="CQ7" i="1"/>
  <c r="CL7" i="1"/>
  <c r="CK7" i="1"/>
  <c r="CI7" i="1"/>
  <c r="CT7" i="1"/>
  <c r="CN7" i="1"/>
  <c r="CE7" i="1"/>
  <c r="BE7" i="1"/>
  <c r="CU7" i="1"/>
  <c r="CR7" i="1"/>
  <c r="CK34" i="1"/>
  <c r="CE34" i="1"/>
  <c r="CF34" i="1"/>
  <c r="CM34" i="1"/>
  <c r="BE34" i="1"/>
  <c r="BF34" i="1"/>
  <c r="CG34" i="1"/>
  <c r="CH34" i="1"/>
  <c r="CI34" i="1"/>
  <c r="CJ34" i="1"/>
  <c r="CV34" i="1"/>
  <c r="CU34" i="1"/>
  <c r="CL34" i="1"/>
  <c r="CT34" i="1"/>
  <c r="CS34" i="1"/>
  <c r="CR34" i="1"/>
  <c r="CQ34" i="1"/>
  <c r="CP34" i="1"/>
  <c r="CO34" i="1"/>
  <c r="CN34" i="1"/>
  <c r="CT35" i="1"/>
  <c r="CL35" i="1"/>
  <c r="BE35" i="1"/>
  <c r="BF35" i="1"/>
  <c r="CE35" i="1"/>
  <c r="CF35" i="1"/>
  <c r="CG35" i="1"/>
  <c r="CH35" i="1"/>
  <c r="CI35" i="1"/>
  <c r="CJ35" i="1"/>
  <c r="CV35" i="1"/>
  <c r="CM35" i="1"/>
  <c r="CN35" i="1"/>
  <c r="CO35" i="1"/>
  <c r="CP35" i="1"/>
  <c r="CQ35" i="1"/>
  <c r="CR35" i="1"/>
  <c r="CS35" i="1"/>
  <c r="CU35" i="1"/>
  <c r="CK35" i="1"/>
  <c r="CV36" i="1"/>
  <c r="CK36" i="1"/>
  <c r="CJ36" i="1"/>
  <c r="CI36" i="1"/>
  <c r="CH36" i="1"/>
  <c r="CG36" i="1"/>
  <c r="CF36" i="1"/>
  <c r="CE36" i="1"/>
  <c r="BF36" i="1"/>
  <c r="BE36" i="1"/>
  <c r="CL36" i="1"/>
  <c r="CU36" i="1"/>
  <c r="CT36" i="1"/>
  <c r="CS36" i="1"/>
  <c r="CR36" i="1"/>
  <c r="CQ36" i="1"/>
  <c r="CP36" i="1"/>
  <c r="CN36" i="1"/>
  <c r="CM36" i="1"/>
  <c r="CO36" i="1"/>
  <c r="CL37" i="1"/>
  <c r="CM37" i="1"/>
  <c r="CN37" i="1"/>
  <c r="CO37" i="1"/>
  <c r="CP37" i="1"/>
  <c r="CQ37" i="1"/>
  <c r="CR37" i="1"/>
  <c r="CS37" i="1"/>
  <c r="CT37" i="1"/>
  <c r="CV37" i="1"/>
  <c r="CU37" i="1"/>
  <c r="BE37" i="1"/>
  <c r="BF37" i="1"/>
  <c r="CE37" i="1"/>
  <c r="CF37" i="1"/>
  <c r="CG37" i="1"/>
  <c r="CH37" i="1"/>
  <c r="CI37" i="1"/>
  <c r="CJ37" i="1"/>
  <c r="CK37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BE38" i="1"/>
  <c r="BF38" i="1"/>
  <c r="CE38" i="1"/>
  <c r="CF38" i="1"/>
  <c r="CG38" i="1"/>
  <c r="CH38" i="1"/>
  <c r="BE39" i="1"/>
  <c r="BF39" i="1"/>
  <c r="CE39" i="1"/>
  <c r="CF39" i="1"/>
  <c r="CG39" i="1"/>
  <c r="CH39" i="1"/>
  <c r="CI39" i="1"/>
  <c r="CJ39" i="1"/>
  <c r="CK39" i="1"/>
  <c r="CL39" i="1"/>
  <c r="CM39" i="1"/>
  <c r="CP39" i="1"/>
  <c r="CO39" i="1"/>
  <c r="CN39" i="1"/>
  <c r="CV39" i="1"/>
  <c r="CS39" i="1"/>
  <c r="CU39" i="1"/>
  <c r="CT39" i="1"/>
  <c r="CR39" i="1"/>
  <c r="CQ39" i="1"/>
  <c r="CQ40" i="1"/>
  <c r="CG40" i="1"/>
  <c r="CK40" i="1"/>
  <c r="CP40" i="1"/>
  <c r="CO40" i="1"/>
  <c r="CM40" i="1"/>
  <c r="CL40" i="1"/>
  <c r="CJ40" i="1"/>
  <c r="CI40" i="1"/>
  <c r="CH40" i="1"/>
  <c r="CE40" i="1"/>
  <c r="CT40" i="1"/>
  <c r="BF40" i="1"/>
  <c r="BE40" i="1"/>
  <c r="CF40" i="1"/>
  <c r="CV40" i="1"/>
  <c r="CN40" i="1"/>
  <c r="CU40" i="1"/>
  <c r="CS40" i="1"/>
  <c r="CR40" i="1"/>
  <c r="CM41" i="1"/>
  <c r="CE41" i="1"/>
  <c r="CR41" i="1"/>
  <c r="BF41" i="1"/>
  <c r="CF41" i="1"/>
  <c r="CS41" i="1"/>
  <c r="CU41" i="1"/>
  <c r="CL41" i="1"/>
  <c r="CV41" i="1"/>
  <c r="CN41" i="1"/>
  <c r="CQ41" i="1"/>
  <c r="CO41" i="1"/>
  <c r="CP41" i="1"/>
  <c r="CG41" i="1"/>
  <c r="CI41" i="1"/>
  <c r="BE41" i="1"/>
  <c r="CT41" i="1"/>
  <c r="CJ41" i="1"/>
  <c r="CH41" i="1"/>
  <c r="CK41" i="1"/>
  <c r="CL42" i="1"/>
  <c r="CM42" i="1"/>
  <c r="CN42" i="1"/>
  <c r="CO42" i="1"/>
  <c r="CV42" i="1"/>
  <c r="CU42" i="1"/>
  <c r="CT42" i="1"/>
  <c r="CR42" i="1"/>
  <c r="CS42" i="1"/>
  <c r="CQ42" i="1"/>
  <c r="CE42" i="1"/>
  <c r="BE42" i="1"/>
  <c r="BF42" i="1"/>
  <c r="CF42" i="1"/>
  <c r="CP42" i="1"/>
  <c r="CG42" i="1"/>
  <c r="CH42" i="1"/>
  <c r="CI42" i="1"/>
  <c r="CJ42" i="1"/>
  <c r="CK42" i="1"/>
  <c r="CF56" i="1"/>
  <c r="CE56" i="1"/>
  <c r="CG56" i="1"/>
  <c r="CH56" i="1"/>
  <c r="CI56" i="1"/>
  <c r="BF56" i="1"/>
  <c r="BE56" i="1"/>
  <c r="CM56" i="1"/>
  <c r="CK56" i="1"/>
  <c r="CL56" i="1"/>
  <c r="CN56" i="1"/>
  <c r="CO56" i="1"/>
  <c r="CP56" i="1"/>
  <c r="CQ56" i="1"/>
  <c r="CR56" i="1"/>
  <c r="CS56" i="1"/>
  <c r="CT56" i="1"/>
  <c r="CU56" i="1"/>
  <c r="CV56" i="1"/>
  <c r="CJ56" i="1"/>
  <c r="CM58" i="1"/>
  <c r="CL58" i="1"/>
  <c r="CK58" i="1"/>
  <c r="CJ58" i="1"/>
  <c r="CI58" i="1"/>
  <c r="CH58" i="1"/>
  <c r="CG58" i="1"/>
  <c r="CF58" i="1"/>
  <c r="CE58" i="1"/>
  <c r="BF58" i="1"/>
  <c r="BE58" i="1"/>
  <c r="CV58" i="1"/>
  <c r="CU58" i="1"/>
  <c r="CS58" i="1"/>
  <c r="CR58" i="1"/>
  <c r="CQ58" i="1"/>
  <c r="CP58" i="1"/>
  <c r="CO58" i="1"/>
  <c r="CT58" i="1"/>
  <c r="CN58" i="1"/>
  <c r="CR43" i="1"/>
  <c r="CH43" i="1"/>
  <c r="CU43" i="1"/>
  <c r="CG43" i="1"/>
  <c r="CQ43" i="1"/>
  <c r="CP43" i="1"/>
  <c r="CO43" i="1"/>
  <c r="BE43" i="1"/>
  <c r="BF43" i="1"/>
  <c r="CE43" i="1"/>
  <c r="CI43" i="1"/>
  <c r="CF43" i="1"/>
  <c r="CV43" i="1"/>
  <c r="CT43" i="1"/>
  <c r="CJ43" i="1"/>
  <c r="CK43" i="1"/>
  <c r="CL43" i="1"/>
  <c r="CM43" i="1"/>
  <c r="CN43" i="1"/>
  <c r="CS43" i="1"/>
  <c r="BE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BF59" i="1"/>
  <c r="CV44" i="1"/>
  <c r="BE44" i="1"/>
  <c r="CK44" i="1"/>
  <c r="CJ44" i="1"/>
  <c r="CH44" i="1"/>
  <c r="CS44" i="1"/>
  <c r="CG44" i="1"/>
  <c r="CF44" i="1"/>
  <c r="CE44" i="1"/>
  <c r="BF44" i="1"/>
  <c r="CU44" i="1"/>
  <c r="CT44" i="1"/>
  <c r="CR44" i="1"/>
  <c r="CQ44" i="1"/>
  <c r="CP44" i="1"/>
  <c r="CO44" i="1"/>
  <c r="CI44" i="1"/>
  <c r="CN44" i="1"/>
  <c r="CM44" i="1"/>
  <c r="CL44" i="1"/>
  <c r="CL62" i="1"/>
  <c r="CM62" i="1"/>
  <c r="CN62" i="1"/>
  <c r="CO62" i="1"/>
  <c r="CP62" i="1"/>
  <c r="CQ62" i="1"/>
  <c r="CR62" i="1"/>
  <c r="CS62" i="1"/>
  <c r="CT62" i="1"/>
  <c r="CU62" i="1"/>
  <c r="CV62" i="1"/>
  <c r="BE62" i="1"/>
  <c r="BF62" i="1"/>
  <c r="CE62" i="1"/>
  <c r="CF62" i="1"/>
  <c r="CG62" i="1"/>
  <c r="CH62" i="1"/>
  <c r="CI62" i="1"/>
  <c r="CJ62" i="1"/>
  <c r="CK62" i="1"/>
  <c r="CG64" i="1"/>
  <c r="CF64" i="1"/>
  <c r="CE64" i="1"/>
  <c r="BF64" i="1"/>
  <c r="BE64" i="1"/>
  <c r="CL64" i="1"/>
  <c r="CV64" i="1"/>
  <c r="CU64" i="1"/>
  <c r="CT64" i="1"/>
  <c r="CS64" i="1"/>
  <c r="CR64" i="1"/>
  <c r="CQ64" i="1"/>
  <c r="CP64" i="1"/>
  <c r="CO64" i="1"/>
  <c r="CN64" i="1"/>
  <c r="CM64" i="1"/>
  <c r="CK64" i="1"/>
  <c r="CJ64" i="1"/>
  <c r="CI64" i="1"/>
  <c r="CH64" i="1"/>
  <c r="CN47" i="1"/>
  <c r="CV47" i="1"/>
  <c r="CO47" i="1"/>
  <c r="CP47" i="1"/>
  <c r="CQ47" i="1"/>
  <c r="CR47" i="1"/>
  <c r="CS47" i="1"/>
  <c r="CT47" i="1"/>
  <c r="CU47" i="1"/>
  <c r="BE47" i="1"/>
  <c r="BF47" i="1"/>
  <c r="CE47" i="1"/>
  <c r="CF47" i="1"/>
  <c r="CG47" i="1"/>
  <c r="CH47" i="1"/>
  <c r="CI47" i="1"/>
  <c r="CJ47" i="1"/>
  <c r="CK47" i="1"/>
  <c r="CL47" i="1"/>
  <c r="CM47" i="1"/>
  <c r="BF48" i="1"/>
  <c r="CH48" i="1"/>
  <c r="CI48" i="1"/>
  <c r="CJ48" i="1"/>
  <c r="CK48" i="1"/>
  <c r="CM48" i="1"/>
  <c r="CN48" i="1"/>
  <c r="CO48" i="1"/>
  <c r="CP48" i="1"/>
  <c r="BE48" i="1"/>
  <c r="CL48" i="1"/>
  <c r="CQ48" i="1"/>
  <c r="CR48" i="1"/>
  <c r="CS48" i="1"/>
  <c r="CT48" i="1"/>
  <c r="CU48" i="1"/>
  <c r="CV48" i="1"/>
  <c r="CG48" i="1"/>
  <c r="CF48" i="1"/>
  <c r="CE48" i="1"/>
  <c r="CN50" i="1"/>
  <c r="BF50" i="1"/>
  <c r="CE50" i="1"/>
  <c r="CF50" i="1"/>
  <c r="CG50" i="1"/>
  <c r="CH50" i="1"/>
  <c r="CI50" i="1"/>
  <c r="CJ50" i="1"/>
  <c r="CL50" i="1"/>
  <c r="CM50" i="1"/>
  <c r="BE50" i="1"/>
  <c r="CQ50" i="1"/>
  <c r="CR50" i="1"/>
  <c r="CS50" i="1"/>
  <c r="CT50" i="1"/>
  <c r="CU50" i="1"/>
  <c r="CV50" i="1"/>
  <c r="CK50" i="1"/>
  <c r="CO50" i="1"/>
  <c r="CP50" i="1"/>
  <c r="CL51" i="1"/>
  <c r="CM51" i="1"/>
  <c r="CN51" i="1"/>
  <c r="CP51" i="1"/>
  <c r="CQ51" i="1"/>
  <c r="CR51" i="1"/>
  <c r="CS51" i="1"/>
  <c r="BE51" i="1"/>
  <c r="BF51" i="1"/>
  <c r="CT51" i="1"/>
  <c r="CF51" i="1"/>
  <c r="CG51" i="1"/>
  <c r="CH51" i="1"/>
  <c r="CI51" i="1"/>
  <c r="CJ51" i="1"/>
  <c r="CK51" i="1"/>
  <c r="CO51" i="1"/>
  <c r="CU51" i="1"/>
  <c r="CV51" i="1"/>
  <c r="CE51" i="1"/>
  <c r="CH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G60" i="1"/>
  <c r="CF60" i="1"/>
  <c r="CE60" i="1"/>
  <c r="BF60" i="1"/>
  <c r="BE60" i="1"/>
  <c r="CT55" i="1"/>
  <c r="CS55" i="1"/>
  <c r="CR55" i="1"/>
  <c r="CO55" i="1"/>
  <c r="CN55" i="1"/>
  <c r="CM55" i="1"/>
  <c r="CQ55" i="1"/>
  <c r="BE55" i="1"/>
  <c r="CL55" i="1"/>
  <c r="CK55" i="1"/>
  <c r="CV55" i="1"/>
  <c r="CP55" i="1"/>
  <c r="CI55" i="1"/>
  <c r="CH55" i="1"/>
  <c r="CG55" i="1"/>
  <c r="CF55" i="1"/>
  <c r="CE55" i="1"/>
  <c r="BF55" i="1"/>
  <c r="CU55" i="1"/>
  <c r="CJ55" i="1"/>
  <c r="CM61" i="1"/>
  <c r="CN61" i="1"/>
  <c r="CO61" i="1"/>
  <c r="CP61" i="1"/>
  <c r="CQ61" i="1"/>
  <c r="CR61" i="1"/>
  <c r="CS61" i="1"/>
  <c r="CT61" i="1"/>
  <c r="CU61" i="1"/>
  <c r="CV61" i="1"/>
  <c r="CJ61" i="1"/>
  <c r="CH61" i="1"/>
  <c r="BE61" i="1"/>
  <c r="CG61" i="1"/>
  <c r="CF61" i="1"/>
  <c r="CE61" i="1"/>
  <c r="BF61" i="1"/>
  <c r="CI61" i="1"/>
  <c r="CK61" i="1"/>
  <c r="CL61" i="1"/>
  <c r="BE45" i="1"/>
  <c r="BF45" i="1"/>
  <c r="CE45" i="1"/>
  <c r="CF45" i="1"/>
  <c r="CG45" i="1"/>
  <c r="CI45" i="1"/>
  <c r="CJ45" i="1"/>
  <c r="CK45" i="1"/>
  <c r="CL45" i="1"/>
  <c r="CM45" i="1"/>
  <c r="CN45" i="1"/>
  <c r="CO45" i="1"/>
  <c r="CH45" i="1"/>
  <c r="CP45" i="1"/>
  <c r="CQ45" i="1"/>
  <c r="CR45" i="1"/>
  <c r="CS45" i="1"/>
  <c r="CT45" i="1"/>
  <c r="CU45" i="1"/>
  <c r="CV45" i="1"/>
  <c r="CL63" i="1"/>
  <c r="CK63" i="1"/>
  <c r="CJ63" i="1"/>
  <c r="CI63" i="1"/>
  <c r="CH63" i="1"/>
  <c r="CG63" i="1"/>
  <c r="CF63" i="1"/>
  <c r="CE63" i="1"/>
  <c r="BE63" i="1"/>
  <c r="BF63" i="1"/>
  <c r="CV63" i="1"/>
  <c r="CU63" i="1"/>
  <c r="CT63" i="1"/>
  <c r="CS63" i="1"/>
  <c r="CR63" i="1"/>
  <c r="CQ63" i="1"/>
  <c r="CP63" i="1"/>
  <c r="CO63" i="1"/>
  <c r="CN63" i="1"/>
  <c r="CM63" i="1"/>
  <c r="CM46" i="1"/>
  <c r="CJ46" i="1"/>
  <c r="CN46" i="1"/>
  <c r="BF46" i="1"/>
  <c r="CU46" i="1"/>
  <c r="CV46" i="1"/>
  <c r="CT46" i="1"/>
  <c r="CS46" i="1"/>
  <c r="CR46" i="1"/>
  <c r="CQ46" i="1"/>
  <c r="CP46" i="1"/>
  <c r="CO46" i="1"/>
  <c r="BE46" i="1"/>
  <c r="CE46" i="1"/>
  <c r="CF46" i="1"/>
  <c r="CG46" i="1"/>
  <c r="CH46" i="1"/>
  <c r="CI46" i="1"/>
  <c r="CK46" i="1"/>
  <c r="CL46" i="1"/>
  <c r="CT52" i="1"/>
  <c r="CQ52" i="1"/>
  <c r="CP52" i="1"/>
  <c r="CO52" i="1"/>
  <c r="CN52" i="1"/>
  <c r="CM52" i="1"/>
  <c r="CL52" i="1"/>
  <c r="BE52" i="1"/>
  <c r="CJ52" i="1"/>
  <c r="BF52" i="1"/>
  <c r="CE52" i="1"/>
  <c r="CF52" i="1"/>
  <c r="CG52" i="1"/>
  <c r="CH52" i="1"/>
  <c r="CI52" i="1"/>
  <c r="CK52" i="1"/>
  <c r="CV52" i="1"/>
  <c r="CU52" i="1"/>
  <c r="CS52" i="1"/>
  <c r="CR52" i="1"/>
  <c r="CU65" i="1"/>
  <c r="CV65" i="1"/>
  <c r="CT65" i="1"/>
  <c r="BE65" i="1"/>
  <c r="BF65" i="1"/>
  <c r="CE65" i="1"/>
  <c r="CF65" i="1"/>
  <c r="CG65" i="1"/>
  <c r="CN65" i="1"/>
  <c r="CM65" i="1"/>
  <c r="CH65" i="1"/>
  <c r="CJ65" i="1"/>
  <c r="CO65" i="1"/>
  <c r="CP65" i="1"/>
  <c r="CQ65" i="1"/>
  <c r="CR65" i="1"/>
  <c r="CS65" i="1"/>
  <c r="CI65" i="1"/>
  <c r="CL65" i="1"/>
  <c r="CV49" i="1"/>
  <c r="CG49" i="1"/>
  <c r="CF49" i="1"/>
  <c r="CE49" i="1"/>
  <c r="BF49" i="1"/>
  <c r="CK49" i="1"/>
  <c r="CL49" i="1"/>
  <c r="CJ49" i="1"/>
  <c r="CM49" i="1"/>
  <c r="CN49" i="1"/>
  <c r="CS49" i="1"/>
  <c r="CO49" i="1"/>
  <c r="CP49" i="1"/>
  <c r="CQ49" i="1"/>
  <c r="CR49" i="1"/>
  <c r="CT49" i="1"/>
  <c r="CI49" i="1"/>
  <c r="CH49" i="1"/>
  <c r="CU49" i="1"/>
  <c r="BE49" i="1"/>
  <c r="CU66" i="1"/>
  <c r="CS66" i="1"/>
  <c r="CQ66" i="1"/>
  <c r="CP66" i="1"/>
  <c r="CN66" i="1"/>
  <c r="CL66" i="1"/>
  <c r="CJ66" i="1"/>
  <c r="CH66" i="1"/>
  <c r="CF66" i="1"/>
  <c r="CV66" i="1"/>
  <c r="CT66" i="1"/>
  <c r="CR66" i="1"/>
  <c r="CO66" i="1"/>
  <c r="CM66" i="1"/>
  <c r="CK66" i="1"/>
  <c r="CI66" i="1"/>
  <c r="CG66" i="1"/>
  <c r="CE66" i="1"/>
  <c r="BF66" i="1"/>
  <c r="BE66" i="1"/>
  <c r="CK67" i="1"/>
  <c r="CV67" i="1"/>
  <c r="CU67" i="1"/>
  <c r="CT67" i="1"/>
  <c r="CS67" i="1"/>
  <c r="CR67" i="1"/>
  <c r="CQ67" i="1"/>
  <c r="CP67" i="1"/>
  <c r="CO67" i="1"/>
  <c r="CN67" i="1"/>
  <c r="CM67" i="1"/>
  <c r="CL67" i="1"/>
  <c r="BE67" i="1"/>
  <c r="CJ67" i="1"/>
  <c r="CI67" i="1"/>
  <c r="CH67" i="1"/>
  <c r="CG67" i="1"/>
  <c r="CF67" i="1"/>
  <c r="CE67" i="1"/>
  <c r="BF67" i="1"/>
  <c r="BF53" i="1"/>
  <c r="CE53" i="1"/>
  <c r="CS53" i="1"/>
  <c r="CT53" i="1"/>
  <c r="CU53" i="1"/>
  <c r="CV53" i="1"/>
  <c r="CI53" i="1"/>
  <c r="BE53" i="1"/>
  <c r="CR53" i="1"/>
  <c r="CQ53" i="1"/>
  <c r="CP53" i="1"/>
  <c r="CO53" i="1"/>
  <c r="CN53" i="1"/>
  <c r="CM53" i="1"/>
  <c r="CL53" i="1"/>
  <c r="CK53" i="1"/>
  <c r="CJ53" i="1"/>
  <c r="CH53" i="1"/>
  <c r="CG53" i="1"/>
  <c r="CF53" i="1"/>
  <c r="BE68" i="1"/>
  <c r="CV68" i="1"/>
  <c r="BF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57" i="1"/>
  <c r="CU57" i="1"/>
  <c r="CN57" i="1"/>
  <c r="CO57" i="1"/>
  <c r="CP57" i="1"/>
  <c r="CM57" i="1"/>
  <c r="CL57" i="1"/>
  <c r="CK57" i="1"/>
  <c r="CJ57" i="1"/>
  <c r="CI57" i="1"/>
  <c r="CH57" i="1"/>
  <c r="CG57" i="1"/>
  <c r="CF57" i="1"/>
  <c r="CE57" i="1"/>
  <c r="BF57" i="1"/>
  <c r="BE57" i="1"/>
  <c r="CQ57" i="1"/>
  <c r="CR57" i="1"/>
  <c r="CS57" i="1"/>
  <c r="CT57" i="1"/>
  <c r="CV69" i="1"/>
  <c r="BF69" i="1"/>
  <c r="BE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R69" i="1"/>
  <c r="CS69" i="1"/>
  <c r="CT69" i="1"/>
  <c r="CU69" i="1"/>
  <c r="CQ69" i="1"/>
  <c r="CQ81" i="1"/>
  <c r="BE81" i="1"/>
  <c r="BF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R81" i="1"/>
  <c r="CS81" i="1"/>
  <c r="CT81" i="1"/>
  <c r="CU81" i="1"/>
  <c r="CV81" i="1"/>
  <c r="CS70" i="1"/>
  <c r="CJ70" i="1"/>
  <c r="CK70" i="1"/>
  <c r="CL70" i="1"/>
  <c r="CM70" i="1"/>
  <c r="CT70" i="1"/>
  <c r="CO70" i="1"/>
  <c r="CP70" i="1"/>
  <c r="CQ70" i="1"/>
  <c r="CR70" i="1"/>
  <c r="CU70" i="1"/>
  <c r="CV70" i="1"/>
  <c r="CN70" i="1"/>
  <c r="BE70" i="1"/>
  <c r="BF70" i="1"/>
  <c r="CE70" i="1"/>
  <c r="CF70" i="1"/>
  <c r="CG70" i="1"/>
  <c r="CH70" i="1"/>
  <c r="CI70" i="1"/>
  <c r="CQ76" i="1"/>
  <c r="CP76" i="1"/>
  <c r="CO76" i="1"/>
  <c r="CN76" i="1"/>
  <c r="CM76" i="1"/>
  <c r="CL76" i="1"/>
  <c r="CK76" i="1"/>
  <c r="CJ76" i="1"/>
  <c r="CI76" i="1"/>
  <c r="CH76" i="1"/>
  <c r="CF76" i="1"/>
  <c r="CE76" i="1"/>
  <c r="BF76" i="1"/>
  <c r="BE76" i="1"/>
  <c r="CR76" i="1"/>
  <c r="CV76" i="1"/>
  <c r="CU76" i="1"/>
  <c r="CT76" i="1"/>
  <c r="CG76" i="1"/>
  <c r="CS76" i="1"/>
  <c r="BE71" i="1"/>
  <c r="CJ71" i="1"/>
  <c r="CK71" i="1"/>
  <c r="CL71" i="1"/>
  <c r="CN71" i="1"/>
  <c r="CO71" i="1"/>
  <c r="CP71" i="1"/>
  <c r="CQ71" i="1"/>
  <c r="CR71" i="1"/>
  <c r="CS71" i="1"/>
  <c r="CH71" i="1"/>
  <c r="CV71" i="1"/>
  <c r="CU71" i="1"/>
  <c r="CM71" i="1"/>
  <c r="CG71" i="1"/>
  <c r="BF71" i="1"/>
  <c r="CE71" i="1"/>
  <c r="CF71" i="1"/>
  <c r="CT71" i="1"/>
  <c r="CI71" i="1"/>
  <c r="BF72" i="1"/>
  <c r="CE72" i="1"/>
  <c r="CS72" i="1"/>
  <c r="CV72" i="1"/>
  <c r="CU72" i="1"/>
  <c r="CT72" i="1"/>
  <c r="CJ72" i="1"/>
  <c r="CG72" i="1"/>
  <c r="CH72" i="1"/>
  <c r="CI72" i="1"/>
  <c r="CO72" i="1"/>
  <c r="CK72" i="1"/>
  <c r="CL72" i="1"/>
  <c r="CM72" i="1"/>
  <c r="CN72" i="1"/>
  <c r="BE72" i="1"/>
  <c r="CP72" i="1"/>
  <c r="CQ72" i="1"/>
  <c r="CR72" i="1"/>
  <c r="CF72" i="1"/>
  <c r="CP77" i="1"/>
  <c r="CO77" i="1"/>
  <c r="CN77" i="1"/>
  <c r="CM77" i="1"/>
  <c r="CL77" i="1"/>
  <c r="CK77" i="1"/>
  <c r="CI77" i="1"/>
  <c r="CH77" i="1"/>
  <c r="CR77" i="1"/>
  <c r="CT77" i="1"/>
  <c r="BE77" i="1"/>
  <c r="CF77" i="1"/>
  <c r="CQ77" i="1"/>
  <c r="BF77" i="1"/>
  <c r="CE77" i="1"/>
  <c r="CS77" i="1"/>
  <c r="CV77" i="1"/>
  <c r="CG77" i="1"/>
  <c r="CJ77" i="1"/>
  <c r="CU77" i="1"/>
  <c r="CQ75" i="1"/>
  <c r="BE75" i="1"/>
  <c r="BF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R75" i="1"/>
  <c r="CS75" i="1"/>
  <c r="CT75" i="1"/>
  <c r="CU75" i="1"/>
  <c r="CV75" i="1"/>
  <c r="BE78" i="1"/>
  <c r="BF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S73" i="1"/>
  <c r="CT73" i="1"/>
  <c r="CU73" i="1"/>
  <c r="CV73" i="1"/>
  <c r="CR73" i="1"/>
  <c r="CK73" i="1"/>
  <c r="CL73" i="1"/>
  <c r="CM73" i="1"/>
  <c r="CO73" i="1"/>
  <c r="CN73" i="1"/>
  <c r="CQ73" i="1"/>
  <c r="CP73" i="1"/>
  <c r="BE73" i="1"/>
  <c r="BF73" i="1"/>
  <c r="CE73" i="1"/>
  <c r="CF73" i="1"/>
  <c r="CG73" i="1"/>
  <c r="CH73" i="1"/>
  <c r="CI73" i="1"/>
  <c r="CJ73" i="1"/>
  <c r="BE74" i="1"/>
  <c r="BF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O79" i="1"/>
  <c r="CG79" i="1"/>
  <c r="CH79" i="1"/>
  <c r="CI79" i="1"/>
  <c r="BE79" i="1"/>
  <c r="CK79" i="1"/>
  <c r="CL79" i="1"/>
  <c r="CJ79" i="1"/>
  <c r="CV79" i="1"/>
  <c r="CU79" i="1"/>
  <c r="CT79" i="1"/>
  <c r="CS79" i="1"/>
  <c r="CR79" i="1"/>
  <c r="CQ79" i="1"/>
  <c r="CM79" i="1"/>
  <c r="CN79" i="1"/>
  <c r="CP79" i="1"/>
  <c r="CF79" i="1"/>
  <c r="CE79" i="1"/>
  <c r="BF79" i="1"/>
  <c r="CM80" i="1"/>
  <c r="CL80" i="1"/>
  <c r="CK80" i="1"/>
  <c r="CJ80" i="1"/>
  <c r="CI80" i="1"/>
  <c r="CH80" i="1"/>
  <c r="CF80" i="1"/>
  <c r="CE80" i="1"/>
  <c r="BF80" i="1"/>
  <c r="BE80" i="1"/>
  <c r="CS80" i="1"/>
  <c r="CQ80" i="1"/>
  <c r="CV80" i="1"/>
  <c r="CU80" i="1"/>
  <c r="CG80" i="1"/>
  <c r="CR80" i="1"/>
  <c r="CO80" i="1"/>
  <c r="CN80" i="1"/>
  <c r="CP80" i="1"/>
  <c r="CT80" i="1"/>
  <c r="BE82" i="1"/>
  <c r="CM82" i="1"/>
  <c r="CL82" i="1"/>
  <c r="CK82" i="1"/>
  <c r="CJ82" i="1"/>
  <c r="CS82" i="1"/>
  <c r="CI82" i="1"/>
  <c r="CO82" i="1"/>
  <c r="CV82" i="1"/>
  <c r="CP82" i="1"/>
  <c r="CQ82" i="1"/>
  <c r="CR82" i="1"/>
  <c r="CN82" i="1"/>
  <c r="CU82" i="1"/>
  <c r="CT82" i="1"/>
  <c r="CF82" i="1"/>
  <c r="CH82" i="1"/>
  <c r="CG82" i="1"/>
  <c r="CE82" i="1"/>
  <c r="BF82" i="1"/>
  <c r="BG30" i="1"/>
  <c r="BG37" i="1"/>
  <c r="BG38" i="1"/>
  <c r="BG40" i="1"/>
  <c r="BG54" i="1"/>
  <c r="BG58" i="1"/>
  <c r="BG43" i="1"/>
  <c r="BG8" i="1"/>
  <c r="BG10" i="1"/>
  <c r="BG11" i="1"/>
  <c r="BG12" i="1"/>
  <c r="BG17" i="1"/>
  <c r="BG18" i="1"/>
  <c r="BG32" i="1"/>
  <c r="BG33" i="1"/>
  <c r="BG23" i="1"/>
  <c r="BG31" i="1"/>
  <c r="BG24" i="1"/>
  <c r="BG22" i="1"/>
  <c r="BG34" i="1"/>
  <c r="BG35" i="1"/>
  <c r="BG27" i="1"/>
  <c r="BG36" i="1"/>
  <c r="BG28" i="1"/>
  <c r="AM251" i="26" l="1"/>
  <c r="AM259" i="26"/>
  <c r="AM120" i="26"/>
  <c r="AN295" i="26"/>
  <c r="AN199" i="26"/>
  <c r="AN698" i="26"/>
  <c r="AO698" i="26" s="1"/>
  <c r="AM181" i="26"/>
  <c r="AM195" i="26"/>
  <c r="AM29" i="26"/>
  <c r="AM182" i="26"/>
  <c r="AM716" i="26"/>
  <c r="AM728" i="26"/>
  <c r="AM179" i="26"/>
  <c r="AN189" i="26"/>
  <c r="AO189" i="26" s="1"/>
  <c r="AP189" i="26" s="1"/>
  <c r="AN186" i="26"/>
  <c r="AO186" i="26" s="1"/>
  <c r="AP186" i="26" s="1"/>
  <c r="AM299" i="26"/>
  <c r="AM729" i="26"/>
  <c r="AM744" i="26"/>
  <c r="AM702" i="26"/>
  <c r="AM295" i="26"/>
  <c r="AN728" i="26"/>
  <c r="AO728" i="26" s="1"/>
  <c r="AP728" i="26" s="1"/>
  <c r="AM717" i="26"/>
  <c r="AM296" i="26"/>
  <c r="AM697" i="26"/>
  <c r="Q44" i="22"/>
  <c r="W140" i="8"/>
  <c r="W143" i="8"/>
  <c r="W135" i="8"/>
  <c r="W141" i="8"/>
  <c r="W136" i="8"/>
  <c r="W134" i="8"/>
  <c r="W137" i="8"/>
  <c r="W138" i="8"/>
  <c r="W139" i="8"/>
  <c r="W142" i="8"/>
  <c r="AN737" i="26"/>
  <c r="AO737" i="26" s="1"/>
  <c r="AS737" i="26" s="1"/>
  <c r="X138" i="8"/>
  <c r="X136" i="8"/>
  <c r="X141" i="8"/>
  <c r="X139" i="8"/>
  <c r="X134" i="8"/>
  <c r="X137" i="8"/>
  <c r="X140" i="8"/>
  <c r="X142" i="8"/>
  <c r="X143" i="8"/>
  <c r="X135" i="8"/>
  <c r="AN183" i="26"/>
  <c r="AO183" i="26" s="1"/>
  <c r="AO93" i="26"/>
  <c r="AN734" i="26"/>
  <c r="AO148" i="26"/>
  <c r="BD79" i="16"/>
  <c r="AN735" i="26"/>
  <c r="AN696" i="26"/>
  <c r="AO696" i="26" s="1"/>
  <c r="AN703" i="26"/>
  <c r="AO703" i="26" s="1"/>
  <c r="AN299" i="26"/>
  <c r="AM699" i="26"/>
  <c r="AN695" i="26"/>
  <c r="AO695" i="26" s="1"/>
  <c r="AP695" i="26" s="1"/>
  <c r="Q24" i="22"/>
  <c r="AG79" i="16"/>
  <c r="AN714" i="26"/>
  <c r="AO714" i="26" s="1"/>
  <c r="AN741" i="26"/>
  <c r="AO741" i="26" s="1"/>
  <c r="AP741" i="26" s="1"/>
  <c r="AN697" i="26"/>
  <c r="AO697" i="26" s="1"/>
  <c r="AP697" i="26" s="1"/>
  <c r="AN184" i="26"/>
  <c r="AO184" i="26" s="1"/>
  <c r="AS184" i="26" s="1"/>
  <c r="CV79" i="16"/>
  <c r="Q61" i="22"/>
  <c r="AM216" i="26"/>
  <c r="AN216" i="26"/>
  <c r="AO216" i="26" s="1"/>
  <c r="AP216" i="26" s="1"/>
  <c r="AN719" i="26"/>
  <c r="AO719" i="26" s="1"/>
  <c r="AS719" i="26" s="1"/>
  <c r="AN743" i="26"/>
  <c r="AO743" i="26" s="1"/>
  <c r="AN744" i="26"/>
  <c r="AO744" i="26" s="1"/>
  <c r="AS744" i="26" s="1"/>
  <c r="AN187" i="26"/>
  <c r="AO187" i="26" s="1"/>
  <c r="AP187" i="26" s="1"/>
  <c r="BY79" i="16"/>
  <c r="Q50" i="22"/>
  <c r="Q27" i="22"/>
  <c r="AJ79" i="16"/>
  <c r="S79" i="16"/>
  <c r="Q12" i="22"/>
  <c r="S46" i="22"/>
  <c r="R46" i="22"/>
  <c r="W78" i="16"/>
  <c r="W71" i="16"/>
  <c r="W72" i="16" s="1"/>
  <c r="W62" i="16"/>
  <c r="W63" i="16" s="1"/>
  <c r="AO8" i="26"/>
  <c r="AN702" i="26"/>
  <c r="AO702" i="26" s="1"/>
  <c r="AN733" i="26"/>
  <c r="AO733" i="26" s="1"/>
  <c r="AN717" i="26"/>
  <c r="AO717" i="26" s="1"/>
  <c r="AN182" i="26"/>
  <c r="AO182" i="26" s="1"/>
  <c r="AV79" i="16"/>
  <c r="Q33" i="22"/>
  <c r="R54" i="22"/>
  <c r="S54" i="22"/>
  <c r="S44" i="22"/>
  <c r="R44" i="22"/>
  <c r="Q31" i="22"/>
  <c r="AP79" i="16"/>
  <c r="AK79" i="16"/>
  <c r="Q28" i="22"/>
  <c r="AN710" i="26"/>
  <c r="AO710" i="26" s="1"/>
  <c r="AN724" i="26"/>
  <c r="AO724" i="26" s="1"/>
  <c r="AN709" i="26"/>
  <c r="AO709" i="26" s="1"/>
  <c r="AS709" i="26" s="1"/>
  <c r="AN181" i="26"/>
  <c r="AO181" i="26" s="1"/>
  <c r="AM711" i="26"/>
  <c r="R3" i="22"/>
  <c r="S3" i="22"/>
  <c r="Q25" i="22"/>
  <c r="AH79" i="16"/>
  <c r="Q11" i="22"/>
  <c r="R79" i="16"/>
  <c r="S16" i="22"/>
  <c r="R16" i="22"/>
  <c r="AX79" i="16"/>
  <c r="Q35" i="22"/>
  <c r="BN79" i="16"/>
  <c r="Q45" i="22"/>
  <c r="Q42" i="22"/>
  <c r="BJ79" i="16"/>
  <c r="Z79" i="16"/>
  <c r="Q18" i="22"/>
  <c r="R20" i="22"/>
  <c r="S20" i="22"/>
  <c r="AN711" i="26"/>
  <c r="AO711" i="26" s="1"/>
  <c r="AN712" i="26"/>
  <c r="AO712" i="26" s="1"/>
  <c r="AN716" i="26"/>
  <c r="AO716" i="26" s="1"/>
  <c r="AN196" i="26"/>
  <c r="AO196" i="26" s="1"/>
  <c r="AN294" i="26"/>
  <c r="AO294" i="26" s="1"/>
  <c r="M39" i="22"/>
  <c r="P39" i="22"/>
  <c r="Q21" i="22"/>
  <c r="AC79" i="16"/>
  <c r="Q23" i="22"/>
  <c r="AF79" i="16"/>
  <c r="Q37" i="22"/>
  <c r="AZ79" i="16"/>
  <c r="U79" i="16"/>
  <c r="Q13" i="22"/>
  <c r="M4" i="22"/>
  <c r="W671" i="8" s="1"/>
  <c r="P4" i="22"/>
  <c r="X671" i="8" s="1"/>
  <c r="AN705" i="26"/>
  <c r="AO705" i="26" s="1"/>
  <c r="AP705" i="26" s="1"/>
  <c r="AN726" i="26"/>
  <c r="AO726" i="26" s="1"/>
  <c r="AN718" i="26"/>
  <c r="AO718" i="26" s="1"/>
  <c r="AM180" i="26"/>
  <c r="AN192" i="26"/>
  <c r="AO192" i="26" s="1"/>
  <c r="AN188" i="26"/>
  <c r="AO188" i="26" s="1"/>
  <c r="AN298" i="26"/>
  <c r="AO298" i="26" s="1"/>
  <c r="BX79" i="16"/>
  <c r="Q49" i="22"/>
  <c r="AA79" i="16"/>
  <c r="Q19" i="22"/>
  <c r="R51" i="22"/>
  <c r="S51" i="22"/>
  <c r="R34" i="22"/>
  <c r="S34" i="22"/>
  <c r="Q9" i="22"/>
  <c r="O79" i="16"/>
  <c r="S14" i="22"/>
  <c r="R14" i="22"/>
  <c r="J49" i="16"/>
  <c r="J62" i="16"/>
  <c r="J63" i="16" s="1"/>
  <c r="J71" i="16"/>
  <c r="J72" i="16" s="1"/>
  <c r="W54" i="8"/>
  <c r="W74" i="8"/>
  <c r="W59" i="8"/>
  <c r="W70" i="8"/>
  <c r="W48" i="8"/>
  <c r="W63" i="8"/>
  <c r="W72" i="8"/>
  <c r="W62" i="8"/>
  <c r="W52" i="8"/>
  <c r="W69" i="8"/>
  <c r="W53" i="8"/>
  <c r="W68" i="8"/>
  <c r="W65" i="8"/>
  <c r="W49" i="8"/>
  <c r="W58" i="8"/>
  <c r="W50" i="8"/>
  <c r="W55" i="8"/>
  <c r="W60" i="8"/>
  <c r="W61" i="8"/>
  <c r="W73" i="8"/>
  <c r="W66" i="8"/>
  <c r="W67" i="8"/>
  <c r="W64" i="8"/>
  <c r="W51" i="8"/>
  <c r="W57" i="8"/>
  <c r="W56" i="8"/>
  <c r="W71" i="8"/>
  <c r="BF49" i="16"/>
  <c r="BF62" i="16"/>
  <c r="BF63" i="16" s="1"/>
  <c r="BF71" i="16"/>
  <c r="BF72" i="16" s="1"/>
  <c r="R39" i="22"/>
  <c r="S39" i="22"/>
  <c r="Q8" i="22"/>
  <c r="N79" i="16"/>
  <c r="Q4" i="22"/>
  <c r="J79" i="16"/>
  <c r="AM17" i="26"/>
  <c r="AN715" i="26"/>
  <c r="AO715" i="26" s="1"/>
  <c r="AN730" i="26"/>
  <c r="AO730" i="26" s="1"/>
  <c r="AN721" i="26"/>
  <c r="AO721" i="26" s="1"/>
  <c r="AN195" i="26"/>
  <c r="AO195" i="26" s="1"/>
  <c r="AN197" i="26"/>
  <c r="AO197" i="26" s="1"/>
  <c r="AN296" i="26"/>
  <c r="AO296" i="26" s="1"/>
  <c r="AS296" i="26" s="1"/>
  <c r="AM735" i="26"/>
  <c r="S29" i="22"/>
  <c r="R29" i="22"/>
  <c r="X74" i="8"/>
  <c r="X70" i="8"/>
  <c r="X61" i="8"/>
  <c r="X71" i="8"/>
  <c r="X58" i="8"/>
  <c r="X72" i="8"/>
  <c r="X68" i="8"/>
  <c r="X53" i="8"/>
  <c r="X64" i="8"/>
  <c r="X67" i="8"/>
  <c r="X63" i="8"/>
  <c r="X60" i="8"/>
  <c r="X56" i="8"/>
  <c r="X55" i="8"/>
  <c r="X52" i="8"/>
  <c r="X54" i="8"/>
  <c r="X51" i="8"/>
  <c r="X59" i="8"/>
  <c r="X50" i="8"/>
  <c r="X57" i="8"/>
  <c r="X49" i="8"/>
  <c r="X65" i="8"/>
  <c r="X73" i="8"/>
  <c r="X62" i="8"/>
  <c r="X48" i="8"/>
  <c r="X66" i="8"/>
  <c r="X69" i="8"/>
  <c r="M40" i="22"/>
  <c r="P40" i="22"/>
  <c r="S26" i="22"/>
  <c r="R26" i="22"/>
  <c r="S30" i="22"/>
  <c r="R30" i="22"/>
  <c r="AN725" i="26"/>
  <c r="AO725" i="26" s="1"/>
  <c r="AN699" i="26"/>
  <c r="AO699" i="26" s="1"/>
  <c r="AS699" i="26" s="1"/>
  <c r="AN727" i="26"/>
  <c r="AO727" i="26" s="1"/>
  <c r="AS727" i="26" s="1"/>
  <c r="AN180" i="26"/>
  <c r="AN201" i="26"/>
  <c r="AO201" i="26" s="1"/>
  <c r="AN297" i="26"/>
  <c r="AO297" i="26" s="1"/>
  <c r="Q32" i="22"/>
  <c r="AU79" i="16"/>
  <c r="Y79" i="16"/>
  <c r="Q17" i="22"/>
  <c r="Q6" i="22"/>
  <c r="L79" i="16"/>
  <c r="BF78" i="16"/>
  <c r="Q56" i="22"/>
  <c r="CK79" i="16"/>
  <c r="AN713" i="26"/>
  <c r="AO713" i="26" s="1"/>
  <c r="AN720" i="26"/>
  <c r="AO720" i="26" s="1"/>
  <c r="AN738" i="26"/>
  <c r="AO738" i="26" s="1"/>
  <c r="AN194" i="26"/>
  <c r="AO194" i="26" s="1"/>
  <c r="AP194" i="26" s="1"/>
  <c r="AN190" i="26"/>
  <c r="Q22" i="22"/>
  <c r="AD79" i="16"/>
  <c r="R36" i="22"/>
  <c r="S36" i="22"/>
  <c r="S58" i="22"/>
  <c r="R58" i="22"/>
  <c r="AN731" i="26"/>
  <c r="AO731" i="26" s="1"/>
  <c r="AS731" i="26" s="1"/>
  <c r="AN740" i="26"/>
  <c r="AO740" i="26" s="1"/>
  <c r="AP740" i="26" s="1"/>
  <c r="AN729" i="26"/>
  <c r="AN179" i="26"/>
  <c r="AN200" i="26"/>
  <c r="AO200" i="26" s="1"/>
  <c r="CB79" i="16"/>
  <c r="Q52" i="22"/>
  <c r="Q48" i="22"/>
  <c r="BV79" i="16"/>
  <c r="R55" i="22"/>
  <c r="S55" i="22"/>
  <c r="R7" i="22"/>
  <c r="S7" i="22"/>
  <c r="S60" i="22"/>
  <c r="R60" i="22"/>
  <c r="AN742" i="26"/>
  <c r="AO742" i="26" s="1"/>
  <c r="AP742" i="26" s="1"/>
  <c r="AN707" i="26"/>
  <c r="AO707" i="26" s="1"/>
  <c r="AS707" i="26" s="1"/>
  <c r="AN736" i="26"/>
  <c r="AN198" i="26"/>
  <c r="AO198" i="26" s="1"/>
  <c r="AP198" i="26" s="1"/>
  <c r="AN191" i="26"/>
  <c r="AG62" i="16"/>
  <c r="AG63" i="16" s="1"/>
  <c r="AG71" i="16"/>
  <c r="AG72" i="16" s="1"/>
  <c r="AN723" i="26"/>
  <c r="AO723" i="26" s="1"/>
  <c r="AP723" i="26" s="1"/>
  <c r="AN700" i="26"/>
  <c r="AO700" i="26" s="1"/>
  <c r="AS700" i="26" s="1"/>
  <c r="AN185" i="26"/>
  <c r="AM190" i="26"/>
  <c r="Q57" i="22"/>
  <c r="CL79" i="16"/>
  <c r="AG49" i="16"/>
  <c r="M48" i="22"/>
  <c r="W200" i="8" s="1"/>
  <c r="P48" i="22"/>
  <c r="X200" i="8" s="1"/>
  <c r="Q10" i="22"/>
  <c r="Q79" i="16"/>
  <c r="AM44" i="26"/>
  <c r="AN722" i="26"/>
  <c r="AO722" i="26" s="1"/>
  <c r="AN739" i="26"/>
  <c r="AO739" i="26" s="1"/>
  <c r="AN704" i="26"/>
  <c r="AN708" i="26"/>
  <c r="AN193" i="26"/>
  <c r="P24" i="22"/>
  <c r="M24" i="22"/>
  <c r="Q59" i="22"/>
  <c r="CP79" i="16"/>
  <c r="R5" i="22"/>
  <c r="S5" i="22"/>
  <c r="H79" i="16"/>
  <c r="Q2" i="22"/>
  <c r="AN701" i="26"/>
  <c r="AO701" i="26" s="1"/>
  <c r="AP701" i="26" s="1"/>
  <c r="AN706" i="26"/>
  <c r="AN732" i="26"/>
  <c r="AO732" i="26" s="1"/>
  <c r="R41" i="22"/>
  <c r="S41" i="22"/>
  <c r="AO466" i="26"/>
  <c r="AS105" i="26"/>
  <c r="AP105" i="26"/>
  <c r="AS795" i="26"/>
  <c r="AO689" i="26"/>
  <c r="AO86" i="26"/>
  <c r="AO477" i="26"/>
  <c r="AO471" i="26"/>
  <c r="AO440" i="26"/>
  <c r="AS440" i="26" s="1"/>
  <c r="AO451" i="26"/>
  <c r="AS451" i="26" s="1"/>
  <c r="AO424" i="26"/>
  <c r="AO750" i="26"/>
  <c r="AO236" i="26"/>
  <c r="AP146" i="26"/>
  <c r="AS146" i="26"/>
  <c r="AP752" i="26"/>
  <c r="AS752" i="26"/>
  <c r="AP106" i="26"/>
  <c r="AO782" i="26"/>
  <c r="AO476" i="26"/>
  <c r="AP476" i="26" s="1"/>
  <c r="AO791" i="26"/>
  <c r="AS791" i="26" s="1"/>
  <c r="AO441" i="26"/>
  <c r="AP441" i="26" s="1"/>
  <c r="AO465" i="26"/>
  <c r="AS465" i="26" s="1"/>
  <c r="AO685" i="26"/>
  <c r="AS685" i="26" s="1"/>
  <c r="AO468" i="26"/>
  <c r="AS468" i="26" s="1"/>
  <c r="AO287" i="26"/>
  <c r="AS287" i="26" s="1"/>
  <c r="AO746" i="26"/>
  <c r="AS746" i="26" s="1"/>
  <c r="AO790" i="26"/>
  <c r="AS790" i="26" s="1"/>
  <c r="AO224" i="26"/>
  <c r="AS224" i="26" s="1"/>
  <c r="AO94" i="26"/>
  <c r="AS94" i="26" s="1"/>
  <c r="AO736" i="26"/>
  <c r="AP736" i="26" s="1"/>
  <c r="AO235" i="26"/>
  <c r="AS235" i="26" s="1"/>
  <c r="AO191" i="26"/>
  <c r="AP191" i="26" s="1"/>
  <c r="AO462" i="26"/>
  <c r="AS462" i="26" s="1"/>
  <c r="AO160" i="26"/>
  <c r="AS160" i="26" s="1"/>
  <c r="AO789" i="26"/>
  <c r="AS789" i="26" s="1"/>
  <c r="AO206" i="26"/>
  <c r="AP206" i="26" s="1"/>
  <c r="AO240" i="26"/>
  <c r="AS240" i="26" s="1"/>
  <c r="AO223" i="26"/>
  <c r="AS223" i="26" s="1"/>
  <c r="AO89" i="26"/>
  <c r="AP89" i="26" s="1"/>
  <c r="AO230" i="26"/>
  <c r="AS230" i="26" s="1"/>
  <c r="AO478" i="26"/>
  <c r="AP478" i="26" s="1"/>
  <c r="AO479" i="26"/>
  <c r="AP479" i="26" s="1"/>
  <c r="AO171" i="26"/>
  <c r="AP171" i="26" s="1"/>
  <c r="AO149" i="26"/>
  <c r="AP149" i="26" s="1"/>
  <c r="AO793" i="26"/>
  <c r="AP793" i="26" s="1"/>
  <c r="AO213" i="26"/>
  <c r="AS213" i="26" s="1"/>
  <c r="AO239" i="26"/>
  <c r="AP239" i="26" s="1"/>
  <c r="AO217" i="26"/>
  <c r="AS217" i="26" s="1"/>
  <c r="AO82" i="26"/>
  <c r="AP82" i="26" s="1"/>
  <c r="AO237" i="26"/>
  <c r="AS237" i="26" s="1"/>
  <c r="AO185" i="26"/>
  <c r="AP185" i="26" s="1"/>
  <c r="AO474" i="26"/>
  <c r="AP474" i="26" s="1"/>
  <c r="AO457" i="26"/>
  <c r="AP457" i="26" s="1"/>
  <c r="AO166" i="26"/>
  <c r="AS166" i="26" s="1"/>
  <c r="AO176" i="26"/>
  <c r="AS176" i="26" s="1"/>
  <c r="AO219" i="26"/>
  <c r="AP219" i="26" s="1"/>
  <c r="AO90" i="26"/>
  <c r="AP90" i="26" s="1"/>
  <c r="AO675" i="26"/>
  <c r="AS675" i="26" s="1"/>
  <c r="AO708" i="26"/>
  <c r="AS708" i="26" s="1"/>
  <c r="AO193" i="26"/>
  <c r="AP193" i="26" s="1"/>
  <c r="AO432" i="26"/>
  <c r="AS432" i="26" s="1"/>
  <c r="AO461" i="26"/>
  <c r="AP461" i="26" s="1"/>
  <c r="AO165" i="26"/>
  <c r="AP165" i="26" s="1"/>
  <c r="AO80" i="26"/>
  <c r="AS80" i="26" s="1"/>
  <c r="AO676" i="26"/>
  <c r="AP676" i="26" s="1"/>
  <c r="AO229" i="26"/>
  <c r="AP229" i="26" s="1"/>
  <c r="AO443" i="26"/>
  <c r="AP443" i="26" s="1"/>
  <c r="AO452" i="26"/>
  <c r="AP452" i="26" s="1"/>
  <c r="AO428" i="26"/>
  <c r="AS428" i="26" s="1"/>
  <c r="AO482" i="26"/>
  <c r="AS482" i="26" s="1"/>
  <c r="AO221" i="26"/>
  <c r="AS221" i="26" s="1"/>
  <c r="AO84" i="26"/>
  <c r="AP84" i="26" s="1"/>
  <c r="AO681" i="26"/>
  <c r="AP681" i="26" s="1"/>
  <c r="AO459" i="26"/>
  <c r="AO442" i="26"/>
  <c r="AP442" i="26" s="1"/>
  <c r="AO445" i="26"/>
  <c r="AP445" i="26" s="1"/>
  <c r="AO169" i="26"/>
  <c r="AP169" i="26" s="1"/>
  <c r="AO686" i="26"/>
  <c r="AP686" i="26" s="1"/>
  <c r="AO241" i="26"/>
  <c r="AS241" i="26" s="1"/>
  <c r="AO680" i="26"/>
  <c r="AS680" i="26" s="1"/>
  <c r="AO107" i="26"/>
  <c r="AS107" i="26" s="1"/>
  <c r="AO453" i="26"/>
  <c r="AS453" i="26" s="1"/>
  <c r="AO426" i="26"/>
  <c r="AS426" i="26" s="1"/>
  <c r="AO688" i="26"/>
  <c r="AP688" i="26" s="1"/>
  <c r="AO203" i="26"/>
  <c r="AS203" i="26" s="1"/>
  <c r="AO785" i="26"/>
  <c r="AP785" i="26" s="1"/>
  <c r="AO242" i="26"/>
  <c r="AP242" i="26" s="1"/>
  <c r="AP794" i="26"/>
  <c r="AP238" i="26"/>
  <c r="AO157" i="26"/>
  <c r="AP157" i="26" s="1"/>
  <c r="AO749" i="26"/>
  <c r="AS749" i="26" s="1"/>
  <c r="AO87" i="26"/>
  <c r="AP87" i="26" s="1"/>
  <c r="AO704" i="26"/>
  <c r="AS704" i="26" s="1"/>
  <c r="AO156" i="26"/>
  <c r="AS156" i="26" s="1"/>
  <c r="AO747" i="26"/>
  <c r="AS747" i="26" s="1"/>
  <c r="AO484" i="26"/>
  <c r="AP484" i="26" s="1"/>
  <c r="AS246" i="26"/>
  <c r="AO232" i="26"/>
  <c r="AS232" i="26" s="1"/>
  <c r="AO168" i="26"/>
  <c r="AS168" i="26" s="1"/>
  <c r="AO83" i="26"/>
  <c r="AP83" i="26" s="1"/>
  <c r="AO234" i="26"/>
  <c r="AS234" i="26" s="1"/>
  <c r="AO470" i="26"/>
  <c r="AS470" i="26" s="1"/>
  <c r="AP241" i="26"/>
  <c r="AS759" i="26"/>
  <c r="AP759" i="26"/>
  <c r="AP796" i="26"/>
  <c r="AS796" i="26"/>
  <c r="AO792" i="26"/>
  <c r="AM124" i="26"/>
  <c r="AS193" i="26"/>
  <c r="AO175" i="26"/>
  <c r="AM257" i="26"/>
  <c r="AM250" i="26"/>
  <c r="AN256" i="26"/>
  <c r="AN248" i="26"/>
  <c r="AO248" i="26" s="1"/>
  <c r="AN251" i="26"/>
  <c r="AO251" i="26" s="1"/>
  <c r="AN258" i="26"/>
  <c r="AO258" i="26" s="1"/>
  <c r="AN257" i="26"/>
  <c r="AN262" i="26"/>
  <c r="AO262" i="26" s="1"/>
  <c r="AM46" i="26"/>
  <c r="AM96" i="26"/>
  <c r="AM254" i="26"/>
  <c r="AM269" i="26"/>
  <c r="AM284" i="26"/>
  <c r="AN284" i="26"/>
  <c r="AM25" i="26"/>
  <c r="AM16" i="26"/>
  <c r="AN250" i="26"/>
  <c r="AM95" i="26"/>
  <c r="AN97" i="26"/>
  <c r="AN99" i="26"/>
  <c r="AN98" i="26"/>
  <c r="AN102" i="26"/>
  <c r="AN104" i="26"/>
  <c r="AO104" i="26" s="1"/>
  <c r="AN100" i="26"/>
  <c r="AN95" i="26"/>
  <c r="AN103" i="26"/>
  <c r="AN101" i="26"/>
  <c r="AN96" i="26"/>
  <c r="AM47" i="26"/>
  <c r="AS109" i="26"/>
  <c r="AP109" i="26"/>
  <c r="AO177" i="26"/>
  <c r="AO204" i="26"/>
  <c r="AS242" i="26"/>
  <c r="AO448" i="26"/>
  <c r="AM97" i="26"/>
  <c r="AN269" i="26"/>
  <c r="AO212" i="26"/>
  <c r="AN690" i="26"/>
  <c r="AM690" i="26"/>
  <c r="AO228" i="26"/>
  <c r="AO199" i="26"/>
  <c r="AM691" i="26"/>
  <c r="AN691" i="26"/>
  <c r="AP451" i="26"/>
  <c r="AO456" i="26"/>
  <c r="AO447" i="26"/>
  <c r="AM117" i="26"/>
  <c r="AM27" i="26"/>
  <c r="AO430" i="26"/>
  <c r="AO455" i="26"/>
  <c r="AO687" i="26"/>
  <c r="AO207" i="26"/>
  <c r="AM36" i="26"/>
  <c r="AN13" i="26"/>
  <c r="AM13" i="26"/>
  <c r="AN14" i="26"/>
  <c r="AO14" i="26" s="1"/>
  <c r="AN15" i="26"/>
  <c r="AN255" i="26"/>
  <c r="AM692" i="26"/>
  <c r="AN692" i="26"/>
  <c r="AN254" i="26"/>
  <c r="AN252" i="26"/>
  <c r="AO252" i="26" s="1"/>
  <c r="AN265" i="26"/>
  <c r="AO786" i="26"/>
  <c r="AO454" i="26"/>
  <c r="AO155" i="26"/>
  <c r="AM34" i="26"/>
  <c r="AM118" i="26"/>
  <c r="AM20" i="26"/>
  <c r="AN261" i="26"/>
  <c r="AO261" i="26" s="1"/>
  <c r="AO9" i="26"/>
  <c r="AO222" i="26"/>
  <c r="AO78" i="26"/>
  <c r="AO450" i="26"/>
  <c r="AO444" i="26"/>
  <c r="AO437" i="26"/>
  <c r="AO173" i="26"/>
  <c r="AO210" i="26"/>
  <c r="AP781" i="26"/>
  <c r="AS781" i="26"/>
  <c r="AN46" i="26"/>
  <c r="AN45" i="26"/>
  <c r="AO45" i="26" s="1"/>
  <c r="AN47" i="26"/>
  <c r="AN44" i="26"/>
  <c r="AN38" i="26"/>
  <c r="AM38" i="26"/>
  <c r="AN41" i="26"/>
  <c r="AN48" i="26"/>
  <c r="AN42" i="26"/>
  <c r="AO42" i="26" s="1"/>
  <c r="AN43" i="26"/>
  <c r="AN49" i="26"/>
  <c r="AN40" i="26"/>
  <c r="AO40" i="26" s="1"/>
  <c r="AN39" i="26"/>
  <c r="AO39" i="26" s="1"/>
  <c r="AM100" i="26"/>
  <c r="AM41" i="26"/>
  <c r="AM98" i="26"/>
  <c r="AM115" i="26"/>
  <c r="AM18" i="26"/>
  <c r="AN264" i="26"/>
  <c r="AO264" i="26" s="1"/>
  <c r="AN249" i="26"/>
  <c r="AO220" i="26"/>
  <c r="AP677" i="26"/>
  <c r="AS677" i="26"/>
  <c r="AO108" i="26"/>
  <c r="AO475" i="26"/>
  <c r="AO463" i="26"/>
  <c r="AO174" i="26"/>
  <c r="AO159" i="26"/>
  <c r="AO211" i="26"/>
  <c r="AO787" i="26"/>
  <c r="AO434" i="26"/>
  <c r="AM132" i="26"/>
  <c r="AM24" i="26"/>
  <c r="AM101" i="26"/>
  <c r="AM670" i="26"/>
  <c r="AN259" i="26"/>
  <c r="AO259" i="26" s="1"/>
  <c r="AN267" i="26"/>
  <c r="AO678" i="26"/>
  <c r="AO225" i="26"/>
  <c r="AO431" i="26"/>
  <c r="AO460" i="26"/>
  <c r="AO449" i="26"/>
  <c r="AO485" i="26"/>
  <c r="AO161" i="26"/>
  <c r="AO162" i="26"/>
  <c r="AO208" i="26"/>
  <c r="AO783" i="26"/>
  <c r="AO10" i="26"/>
  <c r="AM113" i="26"/>
  <c r="AN125" i="26"/>
  <c r="AO125" i="26" s="1"/>
  <c r="AN118" i="26"/>
  <c r="AN117" i="26"/>
  <c r="AN126" i="26"/>
  <c r="AO126" i="26" s="1"/>
  <c r="AN131" i="26"/>
  <c r="AN130" i="26"/>
  <c r="AO130" i="26" s="1"/>
  <c r="AN129" i="26"/>
  <c r="AO129" i="26" s="1"/>
  <c r="AN119" i="26"/>
  <c r="AO119" i="26" s="1"/>
  <c r="AN116" i="26"/>
  <c r="AN113" i="26"/>
  <c r="AN128" i="26"/>
  <c r="AO128" i="26" s="1"/>
  <c r="AN123" i="26"/>
  <c r="AO123" i="26" s="1"/>
  <c r="AN127" i="26"/>
  <c r="AO127" i="26" s="1"/>
  <c r="AN133" i="26"/>
  <c r="AO133" i="26" s="1"/>
  <c r="AN114" i="26"/>
  <c r="AN135" i="26"/>
  <c r="AO135" i="26" s="1"/>
  <c r="AN132" i="26"/>
  <c r="AN124" i="26"/>
  <c r="AN115" i="26"/>
  <c r="AN120" i="26"/>
  <c r="AO120" i="26" s="1"/>
  <c r="AN134" i="26"/>
  <c r="AO134" i="26" s="1"/>
  <c r="AN121" i="26"/>
  <c r="AN122" i="26"/>
  <c r="AM49" i="26"/>
  <c r="AM121" i="26"/>
  <c r="AM114" i="26"/>
  <c r="AN268" i="26"/>
  <c r="AO268" i="26" s="1"/>
  <c r="AO756" i="26"/>
  <c r="AO91" i="26"/>
  <c r="AO79" i="26"/>
  <c r="AO679" i="26"/>
  <c r="AO480" i="26"/>
  <c r="AO436" i="26"/>
  <c r="AO483" i="26"/>
  <c r="AO427" i="26"/>
  <c r="AO154" i="26"/>
  <c r="AO153" i="26"/>
  <c r="AO295" i="26"/>
  <c r="AO748" i="26"/>
  <c r="AO209" i="26"/>
  <c r="AO784" i="26"/>
  <c r="AM255" i="26"/>
  <c r="AM33" i="26"/>
  <c r="AM48" i="26"/>
  <c r="AO754" i="26"/>
  <c r="AO85" i="26"/>
  <c r="AO227" i="26"/>
  <c r="AO429" i="26"/>
  <c r="AO438" i="26"/>
  <c r="AO163" i="26"/>
  <c r="AM674" i="26"/>
  <c r="AN674" i="26"/>
  <c r="AM122" i="26"/>
  <c r="AM35" i="26"/>
  <c r="AM23" i="26"/>
  <c r="AM249" i="26"/>
  <c r="AM266" i="26"/>
  <c r="AM22" i="26"/>
  <c r="AM667" i="26"/>
  <c r="AN668" i="26"/>
  <c r="AO668" i="26" s="1"/>
  <c r="AN669" i="26"/>
  <c r="AN670" i="26"/>
  <c r="AN667" i="26"/>
  <c r="AN263" i="26"/>
  <c r="AO263" i="26" s="1"/>
  <c r="AN266" i="26"/>
  <c r="AO755" i="26"/>
  <c r="AP93" i="26"/>
  <c r="AS93" i="26"/>
  <c r="AO77" i="26"/>
  <c r="AO734" i="26"/>
  <c r="AO233" i="26"/>
  <c r="AO435" i="26"/>
  <c r="AO467" i="26"/>
  <c r="AO439" i="26"/>
  <c r="AO172" i="26"/>
  <c r="AO170" i="26"/>
  <c r="AS751" i="26"/>
  <c r="AP751" i="26"/>
  <c r="AM21" i="26"/>
  <c r="AM265" i="26"/>
  <c r="AM102" i="26"/>
  <c r="AM99" i="26"/>
  <c r="AM43" i="26"/>
  <c r="AM15" i="26"/>
  <c r="AM32" i="26"/>
  <c r="AM31" i="26"/>
  <c r="AN260" i="26"/>
  <c r="AO260" i="26" s="1"/>
  <c r="AO757" i="26"/>
  <c r="AO88" i="26"/>
  <c r="AO226" i="26"/>
  <c r="AO473" i="26"/>
  <c r="AO446" i="26"/>
  <c r="AO164" i="26"/>
  <c r="AO151" i="26"/>
  <c r="AO299" i="26"/>
  <c r="AO745" i="26"/>
  <c r="AO218" i="26"/>
  <c r="AO706" i="26"/>
  <c r="AM267" i="26"/>
  <c r="AM256" i="26"/>
  <c r="AM131" i="26"/>
  <c r="AM19" i="26"/>
  <c r="AM103" i="26"/>
  <c r="AM37" i="26"/>
  <c r="AO758" i="26"/>
  <c r="AO92" i="26"/>
  <c r="AO458" i="26"/>
  <c r="AO425" i="26"/>
  <c r="AO469" i="26"/>
  <c r="AO464" i="26"/>
  <c r="AO152" i="26"/>
  <c r="AO150" i="26"/>
  <c r="AO285" i="26"/>
  <c r="AO788" i="26"/>
  <c r="AO214" i="26"/>
  <c r="AO481" i="26"/>
  <c r="AS148" i="26"/>
  <c r="AP148" i="26"/>
  <c r="AO205" i="26"/>
  <c r="AM116" i="26"/>
  <c r="AM28" i="26"/>
  <c r="AM669" i="26"/>
  <c r="AP243" i="26"/>
  <c r="AS243" i="26"/>
  <c r="AS147" i="26"/>
  <c r="AP147" i="26"/>
  <c r="AO684" i="26"/>
  <c r="AN253" i="26"/>
  <c r="AO253" i="26" s="1"/>
  <c r="AO753" i="26"/>
  <c r="AO81" i="26"/>
  <c r="AO231" i="26"/>
  <c r="AO472" i="26"/>
  <c r="AO433" i="26"/>
  <c r="AO486" i="26"/>
  <c r="AO167" i="26"/>
  <c r="AO158" i="26"/>
  <c r="AO215" i="26"/>
  <c r="AN37" i="26"/>
  <c r="AN19" i="26"/>
  <c r="AN20" i="26"/>
  <c r="AN21" i="26"/>
  <c r="AN22" i="26"/>
  <c r="AN23" i="26"/>
  <c r="AN24" i="26"/>
  <c r="AN25" i="26"/>
  <c r="AM26" i="26"/>
  <c r="AN26" i="26"/>
  <c r="AN27" i="26"/>
  <c r="AN28" i="26"/>
  <c r="AN29" i="26"/>
  <c r="AO29" i="26" s="1"/>
  <c r="AN30" i="26"/>
  <c r="AO30" i="26" s="1"/>
  <c r="AN31" i="26"/>
  <c r="AN32" i="26"/>
  <c r="AN33" i="26"/>
  <c r="AN34" i="26"/>
  <c r="AN35" i="26"/>
  <c r="AN36" i="26"/>
  <c r="AN16" i="26"/>
  <c r="AN17" i="26"/>
  <c r="AN18" i="26"/>
  <c r="G134" i="25"/>
  <c r="C113" i="25" a="1"/>
  <c r="C111" i="25" a="1"/>
  <c r="B111" i="25" a="1"/>
  <c r="B112" i="25" a="1"/>
  <c r="C114" i="25" a="1"/>
  <c r="B114" i="25" a="1"/>
  <c r="C112" i="25" a="1"/>
  <c r="B113" i="25" a="1"/>
  <c r="D114" i="25" a="1"/>
  <c r="E111" i="25" a="1"/>
  <c r="D111" i="25" a="1"/>
  <c r="E112" i="25" a="1"/>
  <c r="D113" i="25" a="1"/>
  <c r="E113" i="25" a="1"/>
  <c r="D112" i="25" a="1"/>
  <c r="E114" i="25" a="1"/>
  <c r="H134" i="25"/>
  <c r="X775" i="8"/>
  <c r="X773" i="8"/>
  <c r="X769" i="8"/>
  <c r="X772" i="8"/>
  <c r="X770" i="8"/>
  <c r="X774" i="8"/>
  <c r="X768" i="8"/>
  <c r="X771" i="8"/>
  <c r="W773" i="8"/>
  <c r="W770" i="8"/>
  <c r="W769" i="8"/>
  <c r="W768" i="8"/>
  <c r="W775" i="8"/>
  <c r="W772" i="8"/>
  <c r="W771" i="8"/>
  <c r="W774" i="8"/>
  <c r="X767" i="8"/>
  <c r="X766" i="8"/>
  <c r="X758" i="8"/>
  <c r="X764" i="8"/>
  <c r="X759" i="8"/>
  <c r="X761" i="8"/>
  <c r="X765" i="8"/>
  <c r="X760" i="8"/>
  <c r="X762" i="8"/>
  <c r="X763" i="8"/>
  <c r="W759" i="8"/>
  <c r="W766" i="8"/>
  <c r="W764" i="8"/>
  <c r="W765" i="8"/>
  <c r="W762" i="8"/>
  <c r="W763" i="8"/>
  <c r="W758" i="8"/>
  <c r="W760" i="8"/>
  <c r="W767" i="8"/>
  <c r="W761" i="8"/>
  <c r="W288" i="8"/>
  <c r="W290" i="8"/>
  <c r="W286" i="8"/>
  <c r="W289" i="8"/>
  <c r="W287" i="8"/>
  <c r="X290" i="8"/>
  <c r="X288" i="8"/>
  <c r="X287" i="8"/>
  <c r="X286" i="8"/>
  <c r="X289" i="8"/>
  <c r="X490" i="8"/>
  <c r="X515" i="8"/>
  <c r="X494" i="8"/>
  <c r="X512" i="8"/>
  <c r="X514" i="8"/>
  <c r="X522" i="8"/>
  <c r="X529" i="8"/>
  <c r="X493" i="8"/>
  <c r="X495" i="8"/>
  <c r="X528" i="8"/>
  <c r="X506" i="8"/>
  <c r="X513" i="8"/>
  <c r="X507" i="8"/>
  <c r="X488" i="8"/>
  <c r="X499" i="8"/>
  <c r="X510" i="8"/>
  <c r="X519" i="8"/>
  <c r="X498" i="8"/>
  <c r="X525" i="8"/>
  <c r="X523" i="8"/>
  <c r="X527" i="8"/>
  <c r="X489" i="8"/>
  <c r="X509" i="8"/>
  <c r="X503" i="8"/>
  <c r="X517" i="8"/>
  <c r="X487" i="8"/>
  <c r="X492" i="8"/>
  <c r="X518" i="8"/>
  <c r="X508" i="8"/>
  <c r="X497" i="8"/>
  <c r="X486" i="8"/>
  <c r="X491" i="8"/>
  <c r="X511" i="8"/>
  <c r="X496" i="8"/>
  <c r="X524" i="8"/>
  <c r="X502" i="8"/>
  <c r="X530" i="8"/>
  <c r="X501" i="8"/>
  <c r="X526" i="8"/>
  <c r="X520" i="8"/>
  <c r="X485" i="8"/>
  <c r="X504" i="8"/>
  <c r="X516" i="8"/>
  <c r="X505" i="8"/>
  <c r="X500" i="8"/>
  <c r="X521" i="8"/>
  <c r="W503" i="8"/>
  <c r="W500" i="8"/>
  <c r="W530" i="8"/>
  <c r="W487" i="8"/>
  <c r="W485" i="8"/>
  <c r="W496" i="8"/>
  <c r="W497" i="8"/>
  <c r="W493" i="8"/>
  <c r="W516" i="8"/>
  <c r="W521" i="8"/>
  <c r="W510" i="8"/>
  <c r="W505" i="8"/>
  <c r="W526" i="8"/>
  <c r="W514" i="8"/>
  <c r="W520" i="8"/>
  <c r="W518" i="8"/>
  <c r="W508" i="8"/>
  <c r="W524" i="8"/>
  <c r="W488" i="8"/>
  <c r="W515" i="8"/>
  <c r="W495" i="8"/>
  <c r="W490" i="8"/>
  <c r="W509" i="8"/>
  <c r="W529" i="8"/>
  <c r="W498" i="8"/>
  <c r="W504" i="8"/>
  <c r="W501" i="8"/>
  <c r="W527" i="8"/>
  <c r="W512" i="8"/>
  <c r="W499" i="8"/>
  <c r="W494" i="8"/>
  <c r="W511" i="8"/>
  <c r="W491" i="8"/>
  <c r="W502" i="8"/>
  <c r="W489" i="8"/>
  <c r="W513" i="8"/>
  <c r="W506" i="8"/>
  <c r="W522" i="8"/>
  <c r="W528" i="8"/>
  <c r="W525" i="8"/>
  <c r="W492" i="8"/>
  <c r="W517" i="8"/>
  <c r="W523" i="8"/>
  <c r="W486" i="8"/>
  <c r="W507" i="8"/>
  <c r="W519" i="8"/>
  <c r="M15" i="22"/>
  <c r="W670" i="8" s="1"/>
  <c r="P15" i="22"/>
  <c r="X670" i="8" s="1"/>
  <c r="W402" i="8"/>
  <c r="W399" i="8"/>
  <c r="W396" i="8"/>
  <c r="W393" i="8"/>
  <c r="W382" i="8"/>
  <c r="W379" i="8"/>
  <c r="W373" i="8"/>
  <c r="W370" i="8"/>
  <c r="W366" i="8"/>
  <c r="W359" i="8"/>
  <c r="W390" i="8"/>
  <c r="W389" i="8"/>
  <c r="W372" i="8"/>
  <c r="W375" i="8"/>
  <c r="W388" i="8"/>
  <c r="W364" i="8"/>
  <c r="W358" i="8"/>
  <c r="W353" i="8"/>
  <c r="W392" i="8"/>
  <c r="W363" i="8"/>
  <c r="W362" i="8"/>
  <c r="W335" i="8"/>
  <c r="W394" i="8"/>
  <c r="W395" i="8"/>
  <c r="W344" i="8"/>
  <c r="W341" i="8"/>
  <c r="W342" i="8"/>
  <c r="W385" i="8"/>
  <c r="W384" i="8"/>
  <c r="W376" i="8"/>
  <c r="W391" i="8"/>
  <c r="W380" i="8"/>
  <c r="W378" i="8"/>
  <c r="W397" i="8"/>
  <c r="W400" i="8"/>
  <c r="W339" i="8"/>
  <c r="W338" i="8"/>
  <c r="W403" i="8"/>
  <c r="W398" i="8"/>
  <c r="W401" i="8"/>
  <c r="W377" i="8"/>
  <c r="W369" i="8"/>
  <c r="W361" i="8"/>
  <c r="W354" i="8"/>
  <c r="W346" i="8"/>
  <c r="W337" i="8"/>
  <c r="W351" i="8"/>
  <c r="W365" i="8"/>
  <c r="W350" i="8"/>
  <c r="W356" i="8"/>
  <c r="W349" i="8"/>
  <c r="W347" i="8"/>
  <c r="W340" i="8"/>
  <c r="W357" i="8"/>
  <c r="W383" i="8"/>
  <c r="W345" i="8"/>
  <c r="W336" i="8"/>
  <c r="W367" i="8"/>
  <c r="W386" i="8"/>
  <c r="W360" i="8"/>
  <c r="W387" i="8"/>
  <c r="W381" i="8"/>
  <c r="W374" i="8"/>
  <c r="W371" i="8"/>
  <c r="W368" i="8"/>
  <c r="W343" i="8"/>
  <c r="W355" i="8"/>
  <c r="W352" i="8"/>
  <c r="W348" i="8"/>
  <c r="X351" i="8"/>
  <c r="X397" i="8"/>
  <c r="X380" i="8"/>
  <c r="X360" i="8"/>
  <c r="X341" i="8"/>
  <c r="X387" i="8"/>
  <c r="X340" i="8"/>
  <c r="X377" i="8"/>
  <c r="X356" i="8"/>
  <c r="X378" i="8"/>
  <c r="X373" i="8"/>
  <c r="X383" i="8"/>
  <c r="X369" i="8"/>
  <c r="X381" i="8"/>
  <c r="X354" i="8"/>
  <c r="X402" i="8"/>
  <c r="X386" i="8"/>
  <c r="X384" i="8"/>
  <c r="X344" i="8"/>
  <c r="X379" i="8"/>
  <c r="X374" i="8"/>
  <c r="X394" i="8"/>
  <c r="X345" i="8"/>
  <c r="X358" i="8"/>
  <c r="X382" i="8"/>
  <c r="X371" i="8"/>
  <c r="X343" i="8"/>
  <c r="X391" i="8"/>
  <c r="X403" i="8"/>
  <c r="X366" i="8"/>
  <c r="X350" i="8"/>
  <c r="X398" i="8"/>
  <c r="X352" i="8"/>
  <c r="X400" i="8"/>
  <c r="X363" i="8"/>
  <c r="X339" i="8"/>
  <c r="X376" i="8"/>
  <c r="X359" i="8"/>
  <c r="X367" i="8"/>
  <c r="X364" i="8"/>
  <c r="X335" i="8"/>
  <c r="X361" i="8"/>
  <c r="X393" i="8"/>
  <c r="X365" i="8"/>
  <c r="X375" i="8"/>
  <c r="X342" i="8"/>
  <c r="X396" i="8"/>
  <c r="X385" i="8"/>
  <c r="X368" i="8"/>
  <c r="X349" i="8"/>
  <c r="X399" i="8"/>
  <c r="X388" i="8"/>
  <c r="X357" i="8"/>
  <c r="X347" i="8"/>
  <c r="X336" i="8"/>
  <c r="X370" i="8"/>
  <c r="X389" i="8"/>
  <c r="X372" i="8"/>
  <c r="X392" i="8"/>
  <c r="X348" i="8"/>
  <c r="X346" i="8"/>
  <c r="X338" i="8"/>
  <c r="X362" i="8"/>
  <c r="X395" i="8"/>
  <c r="X337" i="8"/>
  <c r="X353" i="8"/>
  <c r="X390" i="8"/>
  <c r="X355" i="8"/>
  <c r="X401" i="8"/>
  <c r="W681" i="8"/>
  <c r="W680" i="8"/>
  <c r="X681" i="8"/>
  <c r="X680" i="8"/>
  <c r="X661" i="8"/>
  <c r="X664" i="8"/>
  <c r="X662" i="8"/>
  <c r="X663" i="8"/>
  <c r="X660" i="8"/>
  <c r="W664" i="8"/>
  <c r="W660" i="8"/>
  <c r="W663" i="8"/>
  <c r="W661" i="8"/>
  <c r="W662" i="8"/>
  <c r="X653" i="8"/>
  <c r="X638" i="8"/>
  <c r="X654" i="8"/>
  <c r="X646" i="8"/>
  <c r="X644" i="8"/>
  <c r="X648" i="8"/>
  <c r="X647" i="8"/>
  <c r="X642" i="8"/>
  <c r="X641" i="8"/>
  <c r="X657" i="8"/>
  <c r="X652" i="8"/>
  <c r="X651" i="8"/>
  <c r="X655" i="8"/>
  <c r="X639" i="8"/>
  <c r="X656" i="8"/>
  <c r="X649" i="8"/>
  <c r="X659" i="8"/>
  <c r="X643" i="8"/>
  <c r="X658" i="8"/>
  <c r="X645" i="8"/>
  <c r="X640" i="8"/>
  <c r="X650" i="8"/>
  <c r="W659" i="8"/>
  <c r="W658" i="8"/>
  <c r="W657" i="8"/>
  <c r="W656" i="8"/>
  <c r="W655" i="8"/>
  <c r="W654" i="8"/>
  <c r="W653" i="8"/>
  <c r="W652" i="8"/>
  <c r="W651" i="8"/>
  <c r="W650" i="8"/>
  <c r="W649" i="8"/>
  <c r="W648" i="8"/>
  <c r="W647" i="8"/>
  <c r="W646" i="8"/>
  <c r="W645" i="8"/>
  <c r="W644" i="8"/>
  <c r="W643" i="8"/>
  <c r="W642" i="8"/>
  <c r="W641" i="8"/>
  <c r="W640" i="8"/>
  <c r="W639" i="8"/>
  <c r="W638" i="8"/>
  <c r="W611" i="8"/>
  <c r="W615" i="8"/>
  <c r="W568" i="8"/>
  <c r="W618" i="8"/>
  <c r="W606" i="8"/>
  <c r="W609" i="8"/>
  <c r="W610" i="8"/>
  <c r="W616" i="8"/>
  <c r="W623" i="8"/>
  <c r="W607" i="8"/>
  <c r="W591" i="8"/>
  <c r="W571" i="8"/>
  <c r="W593" i="8"/>
  <c r="W617" i="8"/>
  <c r="W625" i="8"/>
  <c r="W601" i="8"/>
  <c r="W595" i="8"/>
  <c r="W633" i="8"/>
  <c r="W629" i="8"/>
  <c r="W621" i="8"/>
  <c r="W599" i="8"/>
  <c r="W605" i="8"/>
  <c r="W585" i="8"/>
  <c r="W594" i="8"/>
  <c r="W635" i="8"/>
  <c r="W613" i="8"/>
  <c r="W622" i="8"/>
  <c r="W619" i="8"/>
  <c r="W627" i="8"/>
  <c r="W590" i="8"/>
  <c r="W612" i="8"/>
  <c r="W624" i="8"/>
  <c r="W628" i="8"/>
  <c r="W632" i="8"/>
  <c r="W584" i="8"/>
  <c r="W631" i="8"/>
  <c r="W573" i="8"/>
  <c r="W575" i="8"/>
  <c r="W589" i="8"/>
  <c r="W637" i="8"/>
  <c r="W577" i="8"/>
  <c r="W579" i="8"/>
  <c r="W626" i="8"/>
  <c r="W603" i="8"/>
  <c r="W596" i="8"/>
  <c r="W614" i="8"/>
  <c r="W569" i="8"/>
  <c r="W630" i="8"/>
  <c r="W634" i="8"/>
  <c r="W604" i="8"/>
  <c r="W572" i="8"/>
  <c r="W600" i="8"/>
  <c r="W636" i="8"/>
  <c r="W581" i="8"/>
  <c r="W582" i="8"/>
  <c r="W588" i="8"/>
  <c r="W587" i="8"/>
  <c r="W592" i="8"/>
  <c r="W574" i="8"/>
  <c r="W583" i="8"/>
  <c r="W620" i="8"/>
  <c r="W597" i="8"/>
  <c r="W570" i="8"/>
  <c r="W598" i="8"/>
  <c r="W602" i="8"/>
  <c r="W586" i="8"/>
  <c r="W576" i="8"/>
  <c r="W608" i="8"/>
  <c r="W580" i="8"/>
  <c r="W578" i="8"/>
  <c r="X623" i="8"/>
  <c r="X597" i="8"/>
  <c r="X615" i="8"/>
  <c r="X577" i="8"/>
  <c r="X576" i="8"/>
  <c r="X630" i="8"/>
  <c r="X608" i="8"/>
  <c r="X581" i="8"/>
  <c r="X592" i="8"/>
  <c r="X619" i="8"/>
  <c r="X632" i="8"/>
  <c r="X624" i="8"/>
  <c r="X601" i="8"/>
  <c r="X604" i="8"/>
  <c r="X568" i="8"/>
  <c r="X616" i="8"/>
  <c r="X583" i="8"/>
  <c r="X612" i="8"/>
  <c r="X575" i="8"/>
  <c r="X627" i="8"/>
  <c r="X593" i="8"/>
  <c r="X636" i="8"/>
  <c r="X596" i="8"/>
  <c r="X585" i="8"/>
  <c r="X569" i="8"/>
  <c r="X578" i="8"/>
  <c r="X634" i="8"/>
  <c r="X635" i="8"/>
  <c r="X598" i="8"/>
  <c r="X617" i="8"/>
  <c r="X626" i="8"/>
  <c r="X602" i="8"/>
  <c r="X629" i="8"/>
  <c r="X591" i="8"/>
  <c r="X621" i="8"/>
  <c r="X618" i="8"/>
  <c r="X610" i="8"/>
  <c r="X614" i="8"/>
  <c r="X588" i="8"/>
  <c r="X603" i="8"/>
  <c r="X637" i="8"/>
  <c r="X572" i="8"/>
  <c r="X570" i="8"/>
  <c r="X590" i="8"/>
  <c r="X622" i="8"/>
  <c r="X574" i="8"/>
  <c r="X594" i="8"/>
  <c r="X571" i="8"/>
  <c r="X600" i="8"/>
  <c r="X620" i="8"/>
  <c r="X579" i="8"/>
  <c r="X599" i="8"/>
  <c r="X609" i="8"/>
  <c r="X605" i="8"/>
  <c r="X586" i="8"/>
  <c r="X625" i="8"/>
  <c r="X587" i="8"/>
  <c r="X584" i="8"/>
  <c r="X580" i="8"/>
  <c r="X607" i="8"/>
  <c r="X606" i="8"/>
  <c r="X589" i="8"/>
  <c r="X611" i="8"/>
  <c r="X628" i="8"/>
  <c r="X595" i="8"/>
  <c r="X633" i="8"/>
  <c r="X613" i="8"/>
  <c r="X631" i="8"/>
  <c r="X582" i="8"/>
  <c r="X573" i="8"/>
  <c r="X536" i="8"/>
  <c r="X542" i="8"/>
  <c r="X567" i="8"/>
  <c r="X533" i="8"/>
  <c r="X537" i="8"/>
  <c r="X548" i="8"/>
  <c r="X564" i="8"/>
  <c r="X555" i="8"/>
  <c r="X547" i="8"/>
  <c r="X544" i="8"/>
  <c r="X541" i="8"/>
  <c r="X534" i="8"/>
  <c r="X531" i="8"/>
  <c r="X538" i="8"/>
  <c r="X562" i="8"/>
  <c r="X551" i="8"/>
  <c r="X558" i="8"/>
  <c r="X550" i="8"/>
  <c r="X545" i="8"/>
  <c r="X552" i="8"/>
  <c r="X539" i="8"/>
  <c r="X566" i="8"/>
  <c r="X546" i="8"/>
  <c r="X563" i="8"/>
  <c r="X553" i="8"/>
  <c r="X560" i="8"/>
  <c r="X535" i="8"/>
  <c r="X557" i="8"/>
  <c r="X565" i="8"/>
  <c r="X549" i="8"/>
  <c r="X556" i="8"/>
  <c r="X532" i="8"/>
  <c r="X561" i="8"/>
  <c r="X554" i="8"/>
  <c r="X559" i="8"/>
  <c r="X540" i="8"/>
  <c r="X543" i="8"/>
  <c r="W546" i="8"/>
  <c r="W557" i="8"/>
  <c r="W543" i="8"/>
  <c r="W539" i="8"/>
  <c r="W537" i="8"/>
  <c r="W552" i="8"/>
  <c r="W554" i="8"/>
  <c r="W535" i="8"/>
  <c r="W540" i="8"/>
  <c r="W551" i="8"/>
  <c r="W532" i="8"/>
  <c r="W541" i="8"/>
  <c r="W560" i="8"/>
  <c r="W565" i="8"/>
  <c r="W567" i="8"/>
  <c r="W561" i="8"/>
  <c r="W544" i="8"/>
  <c r="W559" i="8"/>
  <c r="W549" i="8"/>
  <c r="W563" i="8"/>
  <c r="W538" i="8"/>
  <c r="W545" i="8"/>
  <c r="W547" i="8"/>
  <c r="W534" i="8"/>
  <c r="W553" i="8"/>
  <c r="W564" i="8"/>
  <c r="W550" i="8"/>
  <c r="W542" i="8"/>
  <c r="W548" i="8"/>
  <c r="W536" i="8"/>
  <c r="W558" i="8"/>
  <c r="W555" i="8"/>
  <c r="W533" i="8"/>
  <c r="W566" i="8"/>
  <c r="W556" i="8"/>
  <c r="W562" i="8"/>
  <c r="W531" i="8"/>
  <c r="X404" i="8"/>
  <c r="X411" i="8"/>
  <c r="X408" i="8"/>
  <c r="X407" i="8"/>
  <c r="X420" i="8"/>
  <c r="X405" i="8"/>
  <c r="X419" i="8"/>
  <c r="X409" i="8"/>
  <c r="X410" i="8"/>
  <c r="X413" i="8"/>
  <c r="X406" i="8"/>
  <c r="X421" i="8"/>
  <c r="X418" i="8"/>
  <c r="X417" i="8"/>
  <c r="X412" i="8"/>
  <c r="X414" i="8"/>
  <c r="X415" i="8"/>
  <c r="X416" i="8"/>
  <c r="W406" i="8"/>
  <c r="W412" i="8"/>
  <c r="W407" i="8"/>
  <c r="W410" i="8"/>
  <c r="W409" i="8"/>
  <c r="W408" i="8"/>
  <c r="W411" i="8"/>
  <c r="W419" i="8"/>
  <c r="W415" i="8"/>
  <c r="W421" i="8"/>
  <c r="W418" i="8"/>
  <c r="W413" i="8"/>
  <c r="W416" i="8"/>
  <c r="W405" i="8"/>
  <c r="W404" i="8"/>
  <c r="W420" i="8"/>
  <c r="W417" i="8"/>
  <c r="W414" i="8"/>
  <c r="X324" i="8"/>
  <c r="X322" i="8"/>
  <c r="X320" i="8"/>
  <c r="X317" i="8"/>
  <c r="X316" i="8"/>
  <c r="X332" i="8"/>
  <c r="X326" i="8"/>
  <c r="X321" i="8"/>
  <c r="X325" i="8"/>
  <c r="X311" i="8"/>
  <c r="X327" i="8"/>
  <c r="X302" i="8"/>
  <c r="X298" i="8"/>
  <c r="X313" i="8"/>
  <c r="X307" i="8"/>
  <c r="X329" i="8"/>
  <c r="X318" i="8"/>
  <c r="X334" i="8"/>
  <c r="X314" i="8"/>
  <c r="X299" i="8"/>
  <c r="X305" i="8"/>
  <c r="X300" i="8"/>
  <c r="X333" i="8"/>
  <c r="X319" i="8"/>
  <c r="X306" i="8"/>
  <c r="X331" i="8"/>
  <c r="X330" i="8"/>
  <c r="X308" i="8"/>
  <c r="X301" i="8"/>
  <c r="X315" i="8"/>
  <c r="X328" i="8"/>
  <c r="X304" i="8"/>
  <c r="X310" i="8"/>
  <c r="X303" i="8"/>
  <c r="X312" i="8"/>
  <c r="X323" i="8"/>
  <c r="X309" i="8"/>
  <c r="W329" i="8"/>
  <c r="W311" i="8"/>
  <c r="W305" i="8"/>
  <c r="W302" i="8"/>
  <c r="W317" i="8"/>
  <c r="W328" i="8"/>
  <c r="W313" i="8"/>
  <c r="W301" i="8"/>
  <c r="W312" i="8"/>
  <c r="W307" i="8"/>
  <c r="W330" i="8"/>
  <c r="W321" i="8"/>
  <c r="W308" i="8"/>
  <c r="W324" i="8"/>
  <c r="W304" i="8"/>
  <c r="W316" i="8"/>
  <c r="W299" i="8"/>
  <c r="W332" i="8"/>
  <c r="W326" i="8"/>
  <c r="W318" i="8"/>
  <c r="W309" i="8"/>
  <c r="W331" i="8"/>
  <c r="W322" i="8"/>
  <c r="W315" i="8"/>
  <c r="W298" i="8"/>
  <c r="W323" i="8"/>
  <c r="W319" i="8"/>
  <c r="W314" i="8"/>
  <c r="W303" i="8"/>
  <c r="W334" i="8"/>
  <c r="W325" i="8"/>
  <c r="W320" i="8"/>
  <c r="W310" i="8"/>
  <c r="W300" i="8"/>
  <c r="W333" i="8"/>
  <c r="W327" i="8"/>
  <c r="W306" i="8"/>
  <c r="BG44" i="1"/>
  <c r="BG48" i="1"/>
  <c r="BG46" i="1"/>
  <c r="BG49" i="1"/>
  <c r="BG81" i="1"/>
  <c r="BG75" i="1"/>
  <c r="BG73" i="1"/>
  <c r="BG29" i="1"/>
  <c r="BG7" i="1"/>
  <c r="BG16" i="1"/>
  <c r="BG25" i="1"/>
  <c r="BG59" i="1"/>
  <c r="BG55" i="1"/>
  <c r="BG67" i="1"/>
  <c r="BG57" i="1"/>
  <c r="BG72" i="1"/>
  <c r="BG9" i="1"/>
  <c r="BG14" i="1"/>
  <c r="BG15" i="1"/>
  <c r="BG47" i="1"/>
  <c r="BG63" i="1"/>
  <c r="BG76" i="1"/>
  <c r="BG78" i="1"/>
  <c r="BG79" i="1"/>
  <c r="BG19" i="1"/>
  <c r="BG50" i="1"/>
  <c r="BG45" i="1"/>
  <c r="BG52" i="1"/>
  <c r="BG70" i="1"/>
  <c r="BG77" i="1"/>
  <c r="BG74" i="1"/>
  <c r="BG82" i="1"/>
  <c r="BG13" i="1"/>
  <c r="BG21" i="1"/>
  <c r="BG64" i="1"/>
  <c r="BG51" i="1"/>
  <c r="BG61" i="1"/>
  <c r="BG65" i="1"/>
  <c r="BG53" i="1"/>
  <c r="BG69" i="1"/>
  <c r="BG71" i="1"/>
  <c r="BG80" i="1"/>
  <c r="BG39" i="1"/>
  <c r="BG41" i="1"/>
  <c r="BG56" i="1"/>
  <c r="BG5" i="1"/>
  <c r="BG26" i="1"/>
  <c r="BG62" i="1"/>
  <c r="BG60" i="1"/>
  <c r="BG68" i="1"/>
  <c r="BG42" i="1"/>
  <c r="BG6" i="1"/>
  <c r="BG20" i="1"/>
  <c r="BG66" i="1"/>
  <c r="AO729" i="26" l="1"/>
  <c r="AP729" i="26" s="1"/>
  <c r="AO179" i="26"/>
  <c r="AO44" i="26"/>
  <c r="AP8" i="26"/>
  <c r="AS8" i="26"/>
  <c r="AM139" i="26"/>
  <c r="AM136" i="26"/>
  <c r="AN139" i="26"/>
  <c r="AO139" i="26" s="1"/>
  <c r="AN138" i="26"/>
  <c r="AN140" i="26"/>
  <c r="AN137" i="26"/>
  <c r="AN136" i="26"/>
  <c r="AO136" i="26" s="1"/>
  <c r="AS136" i="26" s="1"/>
  <c r="AN141" i="26"/>
  <c r="AN145" i="26"/>
  <c r="AN142" i="26"/>
  <c r="AN144" i="26"/>
  <c r="AN143" i="26"/>
  <c r="AM138" i="26"/>
  <c r="AP440" i="26"/>
  <c r="AO190" i="26"/>
  <c r="AP190" i="26" s="1"/>
  <c r="AM143" i="26"/>
  <c r="AM137" i="26"/>
  <c r="AM145" i="26"/>
  <c r="AM142" i="26"/>
  <c r="AM144" i="26"/>
  <c r="AO17" i="26"/>
  <c r="AO180" i="26"/>
  <c r="AO735" i="26"/>
  <c r="AM141" i="26"/>
  <c r="AM140" i="26"/>
  <c r="W270" i="8"/>
  <c r="W268" i="8"/>
  <c r="W279" i="8"/>
  <c r="W271" i="8"/>
  <c r="W277" i="8"/>
  <c r="W275" i="8"/>
  <c r="W272" i="8"/>
  <c r="W273" i="8"/>
  <c r="W281" i="8"/>
  <c r="W278" i="8"/>
  <c r="W280" i="8"/>
  <c r="W276" i="8"/>
  <c r="W269" i="8"/>
  <c r="W274" i="8"/>
  <c r="AM66" i="26"/>
  <c r="AM74" i="26"/>
  <c r="R9" i="22"/>
  <c r="S9" i="22"/>
  <c r="R23" i="22"/>
  <c r="S23" i="22"/>
  <c r="S45" i="22"/>
  <c r="R45" i="22"/>
  <c r="S31" i="22"/>
  <c r="R31" i="22"/>
  <c r="S27" i="22"/>
  <c r="R27" i="22"/>
  <c r="X281" i="8"/>
  <c r="X278" i="8"/>
  <c r="X274" i="8"/>
  <c r="X276" i="8"/>
  <c r="X270" i="8"/>
  <c r="X269" i="8"/>
  <c r="X271" i="8"/>
  <c r="X275" i="8"/>
  <c r="X268" i="8"/>
  <c r="X273" i="8"/>
  <c r="X279" i="8"/>
  <c r="X277" i="8"/>
  <c r="X272" i="8"/>
  <c r="X280" i="8"/>
  <c r="AM69" i="26"/>
  <c r="AM65" i="26"/>
  <c r="S17" i="22"/>
  <c r="R17" i="22"/>
  <c r="AM68" i="26"/>
  <c r="AN57" i="26"/>
  <c r="AN69" i="26"/>
  <c r="AO69" i="26" s="1"/>
  <c r="AP69" i="26" s="1"/>
  <c r="AN53" i="26"/>
  <c r="AN56" i="26"/>
  <c r="AN58" i="26"/>
  <c r="AN64" i="26"/>
  <c r="AN72" i="26"/>
  <c r="AN50" i="26"/>
  <c r="AN54" i="26"/>
  <c r="AN61" i="26"/>
  <c r="AN52" i="26"/>
  <c r="AN71" i="26"/>
  <c r="AN76" i="26"/>
  <c r="AN60" i="26"/>
  <c r="AN70" i="26"/>
  <c r="AN59" i="26"/>
  <c r="AN62" i="26"/>
  <c r="AN75" i="26"/>
  <c r="AN68" i="26"/>
  <c r="AN73" i="26"/>
  <c r="AM50" i="26"/>
  <c r="AN63" i="26"/>
  <c r="AN67" i="26"/>
  <c r="AN74" i="26"/>
  <c r="AO74" i="26" s="1"/>
  <c r="AN66" i="26"/>
  <c r="AO66" i="26" s="1"/>
  <c r="AS66" i="26" s="1"/>
  <c r="AN55" i="26"/>
  <c r="AN65" i="26"/>
  <c r="AN51" i="26"/>
  <c r="R21" i="22"/>
  <c r="S21" i="22"/>
  <c r="R35" i="22"/>
  <c r="S35" i="22"/>
  <c r="S32" i="22"/>
  <c r="R32" i="22"/>
  <c r="R4" i="22"/>
  <c r="S4" i="22"/>
  <c r="AM75" i="26"/>
  <c r="AM72" i="26"/>
  <c r="R50" i="22"/>
  <c r="S50" i="22"/>
  <c r="AM63" i="26"/>
  <c r="AM61" i="26"/>
  <c r="X10" i="8"/>
  <c r="X9" i="8"/>
  <c r="S61" i="22"/>
  <c r="R61" i="22"/>
  <c r="AS216" i="26"/>
  <c r="R8" i="22"/>
  <c r="S8" i="22"/>
  <c r="AM62" i="26"/>
  <c r="AM76" i="26"/>
  <c r="W10" i="8"/>
  <c r="W9" i="8"/>
  <c r="S11" i="22"/>
  <c r="R11" i="22"/>
  <c r="S10" i="22"/>
  <c r="R10" i="22"/>
  <c r="AM57" i="26"/>
  <c r="AM56" i="26"/>
  <c r="AM52" i="26"/>
  <c r="R19" i="22"/>
  <c r="S19" i="22"/>
  <c r="R25" i="22"/>
  <c r="S25" i="22"/>
  <c r="S33" i="22"/>
  <c r="R33" i="22"/>
  <c r="AM60" i="26"/>
  <c r="AN202" i="26"/>
  <c r="AM202" i="26"/>
  <c r="S48" i="22"/>
  <c r="R48" i="22"/>
  <c r="X108" i="8"/>
  <c r="X109" i="8"/>
  <c r="X110" i="8"/>
  <c r="AM51" i="26"/>
  <c r="S49" i="22"/>
  <c r="R49" i="22"/>
  <c r="W109" i="8"/>
  <c r="W110" i="8"/>
  <c r="W108" i="8"/>
  <c r="AM67" i="26"/>
  <c r="AO67" i="26" s="1"/>
  <c r="AS67" i="26" s="1"/>
  <c r="AP709" i="26"/>
  <c r="R57" i="22"/>
  <c r="S57" i="22"/>
  <c r="AM70" i="26"/>
  <c r="AM673" i="26"/>
  <c r="AN673" i="26"/>
  <c r="R24" i="22"/>
  <c r="S24" i="22"/>
  <c r="AO56" i="26"/>
  <c r="AP56" i="26" s="1"/>
  <c r="R52" i="22"/>
  <c r="S52" i="22"/>
  <c r="R56" i="22"/>
  <c r="S56" i="22"/>
  <c r="AM73" i="26"/>
  <c r="AM55" i="26"/>
  <c r="R18" i="22"/>
  <c r="S18" i="22"/>
  <c r="AM58" i="26"/>
  <c r="AM71" i="26"/>
  <c r="S13" i="22"/>
  <c r="R13" i="22"/>
  <c r="S42" i="22"/>
  <c r="R42" i="22"/>
  <c r="R2" i="22"/>
  <c r="S2" i="22"/>
  <c r="S59" i="22"/>
  <c r="R59" i="22"/>
  <c r="Q40" i="22"/>
  <c r="BF79" i="16"/>
  <c r="AM59" i="26"/>
  <c r="AM54" i="26"/>
  <c r="R37" i="22"/>
  <c r="S37" i="22"/>
  <c r="R22" i="22"/>
  <c r="S22" i="22"/>
  <c r="R6" i="22"/>
  <c r="S6" i="22"/>
  <c r="AM53" i="26"/>
  <c r="AM64" i="26"/>
  <c r="S28" i="22"/>
  <c r="R28" i="22"/>
  <c r="Q15" i="22"/>
  <c r="W79" i="16"/>
  <c r="S12" i="22"/>
  <c r="R12" i="22"/>
  <c r="AP791" i="26"/>
  <c r="AP237" i="26"/>
  <c r="AP466" i="26"/>
  <c r="AS466" i="26"/>
  <c r="AS689" i="26"/>
  <c r="AP689" i="26"/>
  <c r="AS182" i="26"/>
  <c r="AP182" i="26"/>
  <c r="AP86" i="26"/>
  <c r="AS86" i="26"/>
  <c r="AP477" i="26"/>
  <c r="AS477" i="26"/>
  <c r="AP200" i="26"/>
  <c r="AS200" i="26"/>
  <c r="AS476" i="26"/>
  <c r="AS194" i="26"/>
  <c r="AS191" i="26"/>
  <c r="AS471" i="26"/>
  <c r="AP471" i="26"/>
  <c r="AS196" i="26"/>
  <c r="AP196" i="26"/>
  <c r="AS424" i="26"/>
  <c r="AP424" i="26"/>
  <c r="AS750" i="26"/>
  <c r="AP750" i="26"/>
  <c r="AP236" i="26"/>
  <c r="AS236" i="26"/>
  <c r="AS698" i="26"/>
  <c r="AP698" i="26"/>
  <c r="AS711" i="26"/>
  <c r="AP711" i="26"/>
  <c r="AP782" i="26"/>
  <c r="AS782" i="26"/>
  <c r="AS721" i="26"/>
  <c r="AP721" i="26"/>
  <c r="AS183" i="26"/>
  <c r="AP183" i="26"/>
  <c r="AP459" i="26"/>
  <c r="AS459" i="26"/>
  <c r="AS697" i="26"/>
  <c r="AP744" i="26"/>
  <c r="AP462" i="26"/>
  <c r="AP156" i="26"/>
  <c r="AS741" i="26"/>
  <c r="AP160" i="26"/>
  <c r="AS441" i="26"/>
  <c r="AS87" i="26"/>
  <c r="AS198" i="26"/>
  <c r="AS169" i="26"/>
  <c r="AS723" i="26"/>
  <c r="AP482" i="26"/>
  <c r="AS185" i="26"/>
  <c r="AP453" i="26"/>
  <c r="AP749" i="26"/>
  <c r="AP94" i="26"/>
  <c r="AS478" i="26"/>
  <c r="AS785" i="26"/>
  <c r="AS742" i="26"/>
  <c r="AP468" i="26"/>
  <c r="AS83" i="26"/>
  <c r="AO284" i="26"/>
  <c r="AO121" i="26"/>
  <c r="AP121" i="26" s="1"/>
  <c r="AP287" i="26"/>
  <c r="AO99" i="26"/>
  <c r="AS740" i="26"/>
  <c r="AS229" i="26"/>
  <c r="AS442" i="26"/>
  <c r="AO674" i="26"/>
  <c r="AS674" i="26" s="1"/>
  <c r="AP680" i="26"/>
  <c r="AP213" i="26"/>
  <c r="AP470" i="26"/>
  <c r="AP737" i="26"/>
  <c r="AP221" i="26"/>
  <c r="AS157" i="26"/>
  <c r="AP731" i="26"/>
  <c r="AP217" i="26"/>
  <c r="AS461" i="26"/>
  <c r="AP685" i="26"/>
  <c r="AO33" i="26"/>
  <c r="AS33" i="26" s="1"/>
  <c r="AP700" i="26"/>
  <c r="AO132" i="26"/>
  <c r="AP132" i="26" s="1"/>
  <c r="AO47" i="26"/>
  <c r="AP47" i="26" s="1"/>
  <c r="AS171" i="26"/>
  <c r="AS149" i="26"/>
  <c r="AP707" i="26"/>
  <c r="AP465" i="26"/>
  <c r="AS701" i="26"/>
  <c r="AO691" i="26"/>
  <c r="AS691" i="26" s="1"/>
  <c r="AS695" i="26"/>
  <c r="AP168" i="26"/>
  <c r="AO46" i="26"/>
  <c r="AP46" i="26" s="1"/>
  <c r="AS165" i="26"/>
  <c r="AS186" i="26"/>
  <c r="AS82" i="26"/>
  <c r="AP699" i="26"/>
  <c r="AS793" i="26"/>
  <c r="AP224" i="26"/>
  <c r="AS443" i="26"/>
  <c r="AO95" i="26"/>
  <c r="AP95" i="26" s="1"/>
  <c r="AS445" i="26"/>
  <c r="AO669" i="26"/>
  <c r="AS669" i="26" s="1"/>
  <c r="AS452" i="26"/>
  <c r="AP432" i="26"/>
  <c r="AS736" i="26"/>
  <c r="AP235" i="26"/>
  <c r="AS239" i="26"/>
  <c r="AO16" i="26"/>
  <c r="AP16" i="26" s="1"/>
  <c r="AS686" i="26"/>
  <c r="AS479" i="26"/>
  <c r="AS189" i="26"/>
  <c r="AP428" i="26"/>
  <c r="AO98" i="26"/>
  <c r="AS98" i="26" s="1"/>
  <c r="AO100" i="26"/>
  <c r="AP100" i="26" s="1"/>
  <c r="AS206" i="26"/>
  <c r="AO18" i="26"/>
  <c r="AP719" i="26"/>
  <c r="AP789" i="26"/>
  <c r="AS89" i="26"/>
  <c r="AP790" i="26"/>
  <c r="AP232" i="26"/>
  <c r="AS676" i="26"/>
  <c r="AS681" i="26"/>
  <c r="AS728" i="26"/>
  <c r="AO690" i="26"/>
  <c r="AP708" i="26"/>
  <c r="AO36" i="26"/>
  <c r="AP36" i="26" s="1"/>
  <c r="AP727" i="26"/>
  <c r="AS84" i="26"/>
  <c r="AP107" i="26"/>
  <c r="AP203" i="26"/>
  <c r="AP230" i="26"/>
  <c r="AP746" i="26"/>
  <c r="AP296" i="26"/>
  <c r="AP80" i="26"/>
  <c r="AP166" i="26"/>
  <c r="AO24" i="26"/>
  <c r="AS24" i="26" s="1"/>
  <c r="AO19" i="26"/>
  <c r="AO41" i="26"/>
  <c r="AS688" i="26"/>
  <c r="AS90" i="26"/>
  <c r="AO37" i="26"/>
  <c r="AO266" i="26"/>
  <c r="AP747" i="26"/>
  <c r="AP223" i="26"/>
  <c r="AP675" i="26"/>
  <c r="AS457" i="26"/>
  <c r="AP426" i="26"/>
  <c r="AP176" i="26"/>
  <c r="AP240" i="26"/>
  <c r="AO31" i="26"/>
  <c r="AS31" i="26" s="1"/>
  <c r="AP184" i="26"/>
  <c r="AS219" i="26"/>
  <c r="AS474" i="26"/>
  <c r="AO269" i="26"/>
  <c r="AS269" i="26" s="1"/>
  <c r="AP234" i="26"/>
  <c r="AS187" i="26"/>
  <c r="AO27" i="26"/>
  <c r="AS27" i="26" s="1"/>
  <c r="AO117" i="26"/>
  <c r="AS117" i="26" s="1"/>
  <c r="AO249" i="26"/>
  <c r="AO13" i="26"/>
  <c r="AS13" i="26" s="1"/>
  <c r="AS484" i="26"/>
  <c r="AP704" i="26"/>
  <c r="AO670" i="26"/>
  <c r="AS670" i="26" s="1"/>
  <c r="AO124" i="26"/>
  <c r="AP124" i="26" s="1"/>
  <c r="AO118" i="26"/>
  <c r="AP118" i="26" s="1"/>
  <c r="AO96" i="26"/>
  <c r="AP96" i="26" s="1"/>
  <c r="AO257" i="26"/>
  <c r="AS257" i="26" s="1"/>
  <c r="AO23" i="26"/>
  <c r="AO114" i="26"/>
  <c r="AS114" i="26" s="1"/>
  <c r="AO265" i="26"/>
  <c r="AP265" i="26" s="1"/>
  <c r="AO103" i="26"/>
  <c r="AS103" i="26" s="1"/>
  <c r="AO21" i="26"/>
  <c r="AP21" i="26" s="1"/>
  <c r="AO49" i="26"/>
  <c r="AS49" i="26" s="1"/>
  <c r="AO35" i="26"/>
  <c r="AP35" i="26" s="1"/>
  <c r="AO20" i="26"/>
  <c r="AP20" i="26" s="1"/>
  <c r="AS705" i="26"/>
  <c r="AO43" i="26"/>
  <c r="AS43" i="26" s="1"/>
  <c r="AS729" i="26"/>
  <c r="AO25" i="26"/>
  <c r="AS25" i="26" s="1"/>
  <c r="AM610" i="26"/>
  <c r="AS159" i="26"/>
  <c r="AP159" i="26"/>
  <c r="AS130" i="26"/>
  <c r="AP130" i="26"/>
  <c r="AP722" i="26"/>
  <c r="AS722" i="26"/>
  <c r="AS134" i="26"/>
  <c r="AP134" i="26"/>
  <c r="AM309" i="26"/>
  <c r="AM504" i="26"/>
  <c r="AM526" i="26"/>
  <c r="AP210" i="26"/>
  <c r="AS210" i="26"/>
  <c r="AM300" i="26"/>
  <c r="AN327" i="26"/>
  <c r="AN304" i="26"/>
  <c r="AN317" i="26"/>
  <c r="AN329" i="26"/>
  <c r="AN316" i="26"/>
  <c r="AN309" i="26"/>
  <c r="AN308" i="26"/>
  <c r="AN307" i="26"/>
  <c r="AN336" i="26"/>
  <c r="AN315" i="26"/>
  <c r="AN306" i="26"/>
  <c r="AN324" i="26"/>
  <c r="AN318" i="26"/>
  <c r="AN335" i="26"/>
  <c r="AN305" i="26"/>
  <c r="AN323" i="26"/>
  <c r="AN328" i="26"/>
  <c r="AN310" i="26"/>
  <c r="AN312" i="26"/>
  <c r="AN334" i="26"/>
  <c r="AN313" i="26"/>
  <c r="AN331" i="26"/>
  <c r="AN333" i="26"/>
  <c r="AN302" i="26"/>
  <c r="AN322" i="26"/>
  <c r="AN320" i="26"/>
  <c r="AN300" i="26"/>
  <c r="AN330" i="26"/>
  <c r="AN301" i="26"/>
  <c r="AN314" i="26"/>
  <c r="AN319" i="26"/>
  <c r="AN326" i="26"/>
  <c r="AN325" i="26"/>
  <c r="AN303" i="26"/>
  <c r="AN321" i="26"/>
  <c r="AN311" i="26"/>
  <c r="AN332" i="26"/>
  <c r="AM639" i="26"/>
  <c r="AM646" i="26"/>
  <c r="AM367" i="26"/>
  <c r="AM366" i="26"/>
  <c r="AP733" i="26"/>
  <c r="AS733" i="26"/>
  <c r="AM324" i="26"/>
  <c r="AS684" i="26"/>
  <c r="AP684" i="26"/>
  <c r="AO267" i="26"/>
  <c r="AP431" i="26"/>
  <c r="AS431" i="26"/>
  <c r="AS214" i="26"/>
  <c r="AP214" i="26"/>
  <c r="AP480" i="26"/>
  <c r="AS480" i="26"/>
  <c r="AO131" i="26"/>
  <c r="AP438" i="26"/>
  <c r="AS438" i="26"/>
  <c r="AP188" i="26"/>
  <c r="AS188" i="26"/>
  <c r="AP463" i="26"/>
  <c r="AS463" i="26"/>
  <c r="AM625" i="26"/>
  <c r="AM370" i="26"/>
  <c r="AM763" i="26"/>
  <c r="AS40" i="26"/>
  <c r="AP40" i="26"/>
  <c r="AM556" i="26"/>
  <c r="AM590" i="26"/>
  <c r="AM618" i="26"/>
  <c r="AM382" i="26"/>
  <c r="AS205" i="26"/>
  <c r="AP205" i="26"/>
  <c r="AP717" i="26"/>
  <c r="AS717" i="26"/>
  <c r="AS753" i="26"/>
  <c r="AP753" i="26"/>
  <c r="AM583" i="26"/>
  <c r="AM611" i="26"/>
  <c r="AM383" i="26"/>
  <c r="AM339" i="26"/>
  <c r="AM377" i="26"/>
  <c r="AM760" i="26"/>
  <c r="AN765" i="26"/>
  <c r="AN768" i="26"/>
  <c r="AN763" i="26"/>
  <c r="AN761" i="26"/>
  <c r="AN767" i="26"/>
  <c r="AN762" i="26"/>
  <c r="AN769" i="26"/>
  <c r="AN764" i="26"/>
  <c r="AN760" i="26"/>
  <c r="AN766" i="26"/>
  <c r="AM308" i="26"/>
  <c r="AM311" i="26"/>
  <c r="AM415" i="26"/>
  <c r="AM545" i="26"/>
  <c r="AM623" i="26"/>
  <c r="AM620" i="26"/>
  <c r="AP732" i="26"/>
  <c r="AS732" i="26"/>
  <c r="AS703" i="26"/>
  <c r="AP703" i="26"/>
  <c r="AP669" i="26"/>
  <c r="AS79" i="26"/>
  <c r="AP79" i="26"/>
  <c r="AO115" i="26"/>
  <c r="AS434" i="26"/>
  <c r="AP434" i="26"/>
  <c r="AM422" i="26"/>
  <c r="AM549" i="26"/>
  <c r="AM596" i="26"/>
  <c r="AN567" i="26"/>
  <c r="AN560" i="26"/>
  <c r="AN569" i="26"/>
  <c r="AN541" i="26"/>
  <c r="AN552" i="26"/>
  <c r="AM533" i="26"/>
  <c r="AN551" i="26"/>
  <c r="AN550" i="26"/>
  <c r="AN540" i="26"/>
  <c r="AN559" i="26"/>
  <c r="AN568" i="26"/>
  <c r="AN534" i="26"/>
  <c r="AN533" i="26"/>
  <c r="AN536" i="26"/>
  <c r="AN565" i="26"/>
  <c r="AN563" i="26"/>
  <c r="AN546" i="26"/>
  <c r="AN556" i="26"/>
  <c r="AN553" i="26"/>
  <c r="AN561" i="26"/>
  <c r="AN537" i="26"/>
  <c r="AN557" i="26"/>
  <c r="AN558" i="26"/>
  <c r="AN554" i="26"/>
  <c r="AN547" i="26"/>
  <c r="AN543" i="26"/>
  <c r="AN542" i="26"/>
  <c r="AN566" i="26"/>
  <c r="AN539" i="26"/>
  <c r="AN535" i="26"/>
  <c r="AN555" i="26"/>
  <c r="AN538" i="26"/>
  <c r="AN562" i="26"/>
  <c r="AN548" i="26"/>
  <c r="AN564" i="26"/>
  <c r="AN545" i="26"/>
  <c r="AN544" i="26"/>
  <c r="AN549" i="26"/>
  <c r="AM607" i="26"/>
  <c r="AP472" i="26"/>
  <c r="AS472" i="26"/>
  <c r="AS446" i="26"/>
  <c r="AP446" i="26"/>
  <c r="AM327" i="26"/>
  <c r="AM306" i="26"/>
  <c r="AM410" i="26"/>
  <c r="AM550" i="26"/>
  <c r="AM562" i="26"/>
  <c r="AM599" i="26"/>
  <c r="AM616" i="26"/>
  <c r="AM592" i="26"/>
  <c r="AM619" i="26"/>
  <c r="AN650" i="26"/>
  <c r="AM640" i="26"/>
  <c r="AN646" i="26"/>
  <c r="AN645" i="26"/>
  <c r="AN644" i="26"/>
  <c r="AN651" i="26"/>
  <c r="AN653" i="26"/>
  <c r="AN647" i="26"/>
  <c r="AN652" i="26"/>
  <c r="AN640" i="26"/>
  <c r="AN642" i="26"/>
  <c r="AN649" i="26"/>
  <c r="AN658" i="26"/>
  <c r="AN654" i="26"/>
  <c r="AN643" i="26"/>
  <c r="AN641" i="26"/>
  <c r="AN659" i="26"/>
  <c r="AN648" i="26"/>
  <c r="AN660" i="26"/>
  <c r="AN656" i="26"/>
  <c r="AN657" i="26"/>
  <c r="AN655" i="26"/>
  <c r="AN661" i="26"/>
  <c r="AM656" i="26"/>
  <c r="AM666" i="26"/>
  <c r="AM359" i="26"/>
  <c r="AM405" i="26"/>
  <c r="AN369" i="26"/>
  <c r="AN348" i="26"/>
  <c r="AN350" i="26"/>
  <c r="AN390" i="26"/>
  <c r="AN355" i="26"/>
  <c r="AN389" i="26"/>
  <c r="AN368" i="26"/>
  <c r="AN347" i="26"/>
  <c r="AM337" i="26"/>
  <c r="AN399" i="26"/>
  <c r="AN376" i="26"/>
  <c r="AN379" i="26"/>
  <c r="AN337" i="26"/>
  <c r="AO337" i="26" s="1"/>
  <c r="AN387" i="26"/>
  <c r="AN349" i="26"/>
  <c r="AN388" i="26"/>
  <c r="AN367" i="26"/>
  <c r="AN357" i="26"/>
  <c r="AN375" i="26"/>
  <c r="AN380" i="26"/>
  <c r="AN356" i="26"/>
  <c r="AN381" i="26"/>
  <c r="AN396" i="26"/>
  <c r="AN395" i="26"/>
  <c r="AN353" i="26"/>
  <c r="AN360" i="26"/>
  <c r="AN384" i="26"/>
  <c r="AN365" i="26"/>
  <c r="AN354" i="26"/>
  <c r="AN393" i="26"/>
  <c r="AN402" i="26"/>
  <c r="AN344" i="26"/>
  <c r="AN397" i="26"/>
  <c r="AN377" i="26"/>
  <c r="AN351" i="26"/>
  <c r="AN364" i="26"/>
  <c r="AN372" i="26"/>
  <c r="AN391" i="26"/>
  <c r="AN361" i="26"/>
  <c r="AN392" i="26"/>
  <c r="AN341" i="26"/>
  <c r="AN343" i="26"/>
  <c r="AN359" i="26"/>
  <c r="AN385" i="26"/>
  <c r="AN342" i="26"/>
  <c r="AN405" i="26"/>
  <c r="AN403" i="26"/>
  <c r="AN382" i="26"/>
  <c r="AN373" i="26"/>
  <c r="AN383" i="26"/>
  <c r="AN401" i="26"/>
  <c r="AN394" i="26"/>
  <c r="AN378" i="26"/>
  <c r="AN345" i="26"/>
  <c r="AN362" i="26"/>
  <c r="AN386" i="26"/>
  <c r="AN338" i="26"/>
  <c r="AN400" i="26"/>
  <c r="AN340" i="26"/>
  <c r="AN339" i="26"/>
  <c r="AN404" i="26"/>
  <c r="AN363" i="26"/>
  <c r="AN371" i="26"/>
  <c r="AN374" i="26"/>
  <c r="AN370" i="26"/>
  <c r="AN398" i="26"/>
  <c r="AN358" i="26"/>
  <c r="AN352" i="26"/>
  <c r="AN366" i="26"/>
  <c r="AN346" i="26"/>
  <c r="AM381" i="26"/>
  <c r="AM530" i="26"/>
  <c r="AM511" i="26"/>
  <c r="AM499" i="26"/>
  <c r="AM290" i="26"/>
  <c r="AM775" i="26"/>
  <c r="AM325" i="26"/>
  <c r="AM315" i="26"/>
  <c r="AM407" i="26"/>
  <c r="AM540" i="26"/>
  <c r="AM539" i="26"/>
  <c r="AM522" i="26"/>
  <c r="AM319" i="26"/>
  <c r="AM682" i="26"/>
  <c r="AN682" i="26"/>
  <c r="AN683" i="26"/>
  <c r="AM509" i="26"/>
  <c r="AM528" i="26"/>
  <c r="AM336" i="26"/>
  <c r="AM326" i="26"/>
  <c r="AM544" i="26"/>
  <c r="AM543" i="26"/>
  <c r="AM622" i="26"/>
  <c r="AM598" i="26"/>
  <c r="AM629" i="26"/>
  <c r="AM595" i="26"/>
  <c r="AM641" i="26"/>
  <c r="AM657" i="26"/>
  <c r="AM350" i="26"/>
  <c r="AM342" i="26"/>
  <c r="AM340" i="26"/>
  <c r="AM364" i="26"/>
  <c r="AM384" i="26"/>
  <c r="AM524" i="26"/>
  <c r="AM492" i="26"/>
  <c r="AM498" i="26"/>
  <c r="AP429" i="26"/>
  <c r="AS429" i="26"/>
  <c r="AS756" i="26"/>
  <c r="AP756" i="26"/>
  <c r="AS125" i="26"/>
  <c r="AP125" i="26"/>
  <c r="AS786" i="26"/>
  <c r="AP786" i="26"/>
  <c r="AM419" i="26"/>
  <c r="AM536" i="26"/>
  <c r="AM637" i="26"/>
  <c r="AM661" i="26"/>
  <c r="AM360" i="26"/>
  <c r="AS252" i="26"/>
  <c r="AP252" i="26"/>
  <c r="AM314" i="26"/>
  <c r="AP92" i="26"/>
  <c r="AS92" i="26"/>
  <c r="AM577" i="26"/>
  <c r="AM648" i="26"/>
  <c r="AM496" i="26"/>
  <c r="AM551" i="26"/>
  <c r="AM633" i="26"/>
  <c r="AM650" i="26"/>
  <c r="AM534" i="26"/>
  <c r="AM585" i="26"/>
  <c r="AM354" i="26"/>
  <c r="AM349" i="26"/>
  <c r="AM341" i="26"/>
  <c r="AM365" i="26"/>
  <c r="AM395" i="26"/>
  <c r="AM508" i="26"/>
  <c r="AM579" i="26"/>
  <c r="AM352" i="26"/>
  <c r="AM404" i="26"/>
  <c r="AM502" i="26"/>
  <c r="AM373" i="26"/>
  <c r="AS258" i="26"/>
  <c r="AP258" i="26"/>
  <c r="AS175" i="26"/>
  <c r="AP175" i="26"/>
  <c r="AM378" i="26"/>
  <c r="AM602" i="26"/>
  <c r="AM411" i="26"/>
  <c r="AM305" i="26"/>
  <c r="AM310" i="26"/>
  <c r="AM412" i="26"/>
  <c r="AM552" i="26"/>
  <c r="AM605" i="26"/>
  <c r="AM621" i="26"/>
  <c r="AM573" i="26"/>
  <c r="AM642" i="26"/>
  <c r="AM658" i="26"/>
  <c r="AM497" i="26"/>
  <c r="AN489" i="26"/>
  <c r="AN532" i="26"/>
  <c r="AN497" i="26"/>
  <c r="AN496" i="26"/>
  <c r="AN525" i="26"/>
  <c r="AN524" i="26"/>
  <c r="AN488" i="26"/>
  <c r="AN487" i="26"/>
  <c r="AN507" i="26"/>
  <c r="AN506" i="26"/>
  <c r="AN517" i="26"/>
  <c r="AN495" i="26"/>
  <c r="AN526" i="26"/>
  <c r="AN505" i="26"/>
  <c r="AN504" i="26"/>
  <c r="AM487" i="26"/>
  <c r="AN516" i="26"/>
  <c r="AN515" i="26"/>
  <c r="AN503" i="26"/>
  <c r="AN501" i="26"/>
  <c r="AN512" i="26"/>
  <c r="AN522" i="26"/>
  <c r="AN492" i="26"/>
  <c r="AN499" i="26"/>
  <c r="AN520" i="26"/>
  <c r="AN508" i="26"/>
  <c r="AN490" i="26"/>
  <c r="AN514" i="26"/>
  <c r="AN502" i="26"/>
  <c r="AN530" i="26"/>
  <c r="AN529" i="26"/>
  <c r="AN510" i="26"/>
  <c r="AN528" i="26"/>
  <c r="AN491" i="26"/>
  <c r="AN494" i="26"/>
  <c r="AN521" i="26"/>
  <c r="AN498" i="26"/>
  <c r="AN519" i="26"/>
  <c r="AN513" i="26"/>
  <c r="AN523" i="26"/>
  <c r="AN509" i="26"/>
  <c r="AN500" i="26"/>
  <c r="AN531" i="26"/>
  <c r="AN511" i="26"/>
  <c r="AN493" i="26"/>
  <c r="AN527" i="26"/>
  <c r="AN518" i="26"/>
  <c r="AM316" i="26"/>
  <c r="AM323" i="26"/>
  <c r="AM409" i="26"/>
  <c r="AM566" i="26"/>
  <c r="AM553" i="26"/>
  <c r="AM576" i="26"/>
  <c r="AM628" i="26"/>
  <c r="AM624" i="26"/>
  <c r="AM593" i="26"/>
  <c r="AM643" i="26"/>
  <c r="AM659" i="26"/>
  <c r="AM357" i="26"/>
  <c r="AM351" i="26"/>
  <c r="AM402" i="26"/>
  <c r="AM394" i="26"/>
  <c r="AM398" i="26"/>
  <c r="AM515" i="26"/>
  <c r="AM517" i="26"/>
  <c r="AM489" i="26"/>
  <c r="AP152" i="26"/>
  <c r="AS152" i="26"/>
  <c r="AS435" i="26"/>
  <c r="AP435" i="26"/>
  <c r="AM408" i="26"/>
  <c r="AM537" i="26"/>
  <c r="AM589" i="26"/>
  <c r="AM645" i="26"/>
  <c r="AM380" i="26"/>
  <c r="AP195" i="26"/>
  <c r="AS195" i="26"/>
  <c r="AS207" i="26"/>
  <c r="AP207" i="26"/>
  <c r="AM493" i="26"/>
  <c r="AM510" i="26"/>
  <c r="AM505" i="26"/>
  <c r="AM769" i="26"/>
  <c r="AP425" i="26"/>
  <c r="AS425" i="26"/>
  <c r="AS251" i="26"/>
  <c r="AP251" i="26"/>
  <c r="AM580" i="26"/>
  <c r="AM558" i="26"/>
  <c r="AM362" i="26"/>
  <c r="AM356" i="26"/>
  <c r="AM387" i="26"/>
  <c r="AM391" i="26"/>
  <c r="AM514" i="26"/>
  <c r="AM764" i="26"/>
  <c r="AM773" i="26"/>
  <c r="AS212" i="26"/>
  <c r="AP212" i="26"/>
  <c r="AM321" i="26"/>
  <c r="AM332" i="26"/>
  <c r="AM416" i="26"/>
  <c r="AM414" i="26"/>
  <c r="AM555" i="26"/>
  <c r="AM542" i="26"/>
  <c r="AM594" i="26"/>
  <c r="AM581" i="26"/>
  <c r="AM615" i="26"/>
  <c r="AM609" i="26"/>
  <c r="AM644" i="26"/>
  <c r="AM660" i="26"/>
  <c r="AM345" i="26"/>
  <c r="AM358" i="26"/>
  <c r="AM399" i="26"/>
  <c r="AM355" i="26"/>
  <c r="AM401" i="26"/>
  <c r="AM491" i="26"/>
  <c r="AM490" i="26"/>
  <c r="AM532" i="26"/>
  <c r="AP464" i="26"/>
  <c r="AS464" i="26"/>
  <c r="AP725" i="26"/>
  <c r="AS725" i="26"/>
  <c r="AP218" i="26"/>
  <c r="AS218" i="26"/>
  <c r="AS433" i="26"/>
  <c r="AP433" i="26"/>
  <c r="AP81" i="26"/>
  <c r="AS81" i="26"/>
  <c r="AP469" i="26"/>
  <c r="AS469" i="26"/>
  <c r="AS467" i="26"/>
  <c r="AP467" i="26"/>
  <c r="AP734" i="26"/>
  <c r="AS734" i="26"/>
  <c r="AS668" i="26"/>
  <c r="AP668" i="26"/>
  <c r="AP192" i="26"/>
  <c r="AS192" i="26"/>
  <c r="AP679" i="26"/>
  <c r="AS679" i="26"/>
  <c r="AP120" i="26"/>
  <c r="AS120" i="26"/>
  <c r="AS126" i="26"/>
  <c r="AP126" i="26"/>
  <c r="AS259" i="26"/>
  <c r="AP259" i="26"/>
  <c r="AP174" i="26"/>
  <c r="AS174" i="26"/>
  <c r="AS702" i="26"/>
  <c r="AP702" i="26"/>
  <c r="AS199" i="26"/>
  <c r="AP199" i="26"/>
  <c r="AP248" i="26"/>
  <c r="AS248" i="26"/>
  <c r="AS108" i="26"/>
  <c r="AP108" i="26"/>
  <c r="AP42" i="26"/>
  <c r="AS42" i="26"/>
  <c r="AS173" i="26"/>
  <c r="AP173" i="26"/>
  <c r="AP743" i="26"/>
  <c r="AS743" i="26"/>
  <c r="AP228" i="26"/>
  <c r="AS228" i="26"/>
  <c r="AS104" i="26"/>
  <c r="AP104" i="26"/>
  <c r="AO256" i="26"/>
  <c r="AP696" i="26"/>
  <c r="AS696" i="26"/>
  <c r="AO22" i="26"/>
  <c r="AS22" i="26" s="1"/>
  <c r="AP253" i="26"/>
  <c r="AS253" i="26"/>
  <c r="AP458" i="26"/>
  <c r="AS458" i="26"/>
  <c r="AS226" i="26"/>
  <c r="AP226" i="26"/>
  <c r="AS197" i="26"/>
  <c r="AP197" i="26"/>
  <c r="AP85" i="26"/>
  <c r="AS85" i="26"/>
  <c r="AP91" i="26"/>
  <c r="AS91" i="26"/>
  <c r="AO48" i="26"/>
  <c r="AS437" i="26"/>
  <c r="AP437" i="26"/>
  <c r="AS739" i="26"/>
  <c r="AP739" i="26"/>
  <c r="AO102" i="26"/>
  <c r="AS179" i="26"/>
  <c r="AP179" i="26"/>
  <c r="AP481" i="26"/>
  <c r="AS481" i="26"/>
  <c r="AP758" i="26"/>
  <c r="AS758" i="26"/>
  <c r="AP745" i="26"/>
  <c r="AS745" i="26"/>
  <c r="AP77" i="26"/>
  <c r="AS77" i="26"/>
  <c r="AS268" i="26"/>
  <c r="AP268" i="26"/>
  <c r="AS135" i="26"/>
  <c r="AP135" i="26"/>
  <c r="AP714" i="26"/>
  <c r="AS714" i="26"/>
  <c r="AP475" i="26"/>
  <c r="AS475" i="26"/>
  <c r="AO254" i="26"/>
  <c r="AS687" i="26"/>
  <c r="AP687" i="26"/>
  <c r="AP447" i="26"/>
  <c r="AS447" i="26"/>
  <c r="AM317" i="26"/>
  <c r="AM303" i="26"/>
  <c r="AN417" i="26"/>
  <c r="AN416" i="26"/>
  <c r="AM406" i="26"/>
  <c r="AN418" i="26"/>
  <c r="AN419" i="26"/>
  <c r="AN408" i="26"/>
  <c r="AN407" i="26"/>
  <c r="AN415" i="26"/>
  <c r="AN406" i="26"/>
  <c r="AN413" i="26"/>
  <c r="AN421" i="26"/>
  <c r="AN412" i="26"/>
  <c r="AN409" i="26"/>
  <c r="AN420" i="26"/>
  <c r="AN411" i="26"/>
  <c r="AN423" i="26"/>
  <c r="AN414" i="26"/>
  <c r="AN410" i="26"/>
  <c r="AN422" i="26"/>
  <c r="AM547" i="26"/>
  <c r="AM554" i="26"/>
  <c r="AM584" i="26"/>
  <c r="AM591" i="26"/>
  <c r="AM587" i="26"/>
  <c r="AM612" i="26"/>
  <c r="AM647" i="26"/>
  <c r="AM376" i="26"/>
  <c r="AM353" i="26"/>
  <c r="AM393" i="26"/>
  <c r="AM390" i="26"/>
  <c r="AM513" i="26"/>
  <c r="AM520" i="26"/>
  <c r="AM762" i="26"/>
  <c r="AO34" i="26"/>
  <c r="AP34" i="26" s="1"/>
  <c r="AP215" i="26"/>
  <c r="AS215" i="26"/>
  <c r="AS299" i="26"/>
  <c r="AP299" i="26"/>
  <c r="AP730" i="26"/>
  <c r="AS730" i="26"/>
  <c r="AS754" i="26"/>
  <c r="AP754" i="26"/>
  <c r="AS784" i="26"/>
  <c r="AP784" i="26"/>
  <c r="AP783" i="26"/>
  <c r="AS783" i="26"/>
  <c r="AS225" i="26"/>
  <c r="AP225" i="26"/>
  <c r="AS220" i="26"/>
  <c r="AP220" i="26"/>
  <c r="AO38" i="26"/>
  <c r="AP444" i="26"/>
  <c r="AS444" i="26"/>
  <c r="AS456" i="26"/>
  <c r="AP456" i="26"/>
  <c r="AO97" i="26"/>
  <c r="AP151" i="26"/>
  <c r="AS151" i="26"/>
  <c r="AS715" i="26"/>
  <c r="AP715" i="26"/>
  <c r="AP209" i="26"/>
  <c r="AS209" i="26"/>
  <c r="AS133" i="26"/>
  <c r="AP133" i="26"/>
  <c r="AP208" i="26"/>
  <c r="AS208" i="26"/>
  <c r="AP44" i="26"/>
  <c r="AS44" i="26"/>
  <c r="AS450" i="26"/>
  <c r="AP450" i="26"/>
  <c r="AM333" i="26"/>
  <c r="AM330" i="26"/>
  <c r="AM418" i="26"/>
  <c r="AM564" i="26"/>
  <c r="AM565" i="26"/>
  <c r="AM541" i="26"/>
  <c r="AM582" i="26"/>
  <c r="AM638" i="26"/>
  <c r="AM575" i="26"/>
  <c r="AM601" i="26"/>
  <c r="AM608" i="26"/>
  <c r="AM649" i="26"/>
  <c r="AM389" i="26"/>
  <c r="AM348" i="26"/>
  <c r="AM386" i="26"/>
  <c r="AM374" i="26"/>
  <c r="AM521" i="26"/>
  <c r="AM501" i="26"/>
  <c r="AM516" i="26"/>
  <c r="AM765" i="26"/>
  <c r="AM776" i="26"/>
  <c r="AO32" i="26"/>
  <c r="AS32" i="26" s="1"/>
  <c r="AP164" i="26"/>
  <c r="AS164" i="26"/>
  <c r="AP755" i="26"/>
  <c r="AS755" i="26"/>
  <c r="AS748" i="26"/>
  <c r="AP748" i="26"/>
  <c r="AS127" i="26"/>
  <c r="AP127" i="26"/>
  <c r="AP181" i="26"/>
  <c r="AS181" i="26"/>
  <c r="AO692" i="26"/>
  <c r="AS455" i="26"/>
  <c r="AP455" i="26"/>
  <c r="AP295" i="26"/>
  <c r="AS295" i="26"/>
  <c r="AS716" i="26"/>
  <c r="AP716" i="26"/>
  <c r="AS123" i="26"/>
  <c r="AP123" i="26"/>
  <c r="AS724" i="26"/>
  <c r="AP724" i="26"/>
  <c r="AP45" i="26"/>
  <c r="AS45" i="26"/>
  <c r="AP155" i="26"/>
  <c r="AS155" i="26"/>
  <c r="AM329" i="26"/>
  <c r="AM320" i="26"/>
  <c r="AM304" i="26"/>
  <c r="AM420" i="26"/>
  <c r="AM568" i="26"/>
  <c r="AM561" i="26"/>
  <c r="AM559" i="26"/>
  <c r="AM578" i="26"/>
  <c r="AM574" i="26"/>
  <c r="AM586" i="26"/>
  <c r="AM631" i="26"/>
  <c r="AN632" i="26"/>
  <c r="AM570" i="26"/>
  <c r="AN636" i="26"/>
  <c r="AN606" i="26"/>
  <c r="AN635" i="26"/>
  <c r="AN599" i="26"/>
  <c r="AN627" i="26"/>
  <c r="AN617" i="26"/>
  <c r="AN579" i="26"/>
  <c r="AN600" i="26"/>
  <c r="AN634" i="26"/>
  <c r="AN598" i="26"/>
  <c r="AN587" i="26"/>
  <c r="AN633" i="26"/>
  <c r="AN619" i="26"/>
  <c r="AN608" i="26"/>
  <c r="AN586" i="26"/>
  <c r="AN576" i="26"/>
  <c r="AN594" i="26"/>
  <c r="AN626" i="26"/>
  <c r="AN618" i="26"/>
  <c r="AN607" i="26"/>
  <c r="AN628" i="26"/>
  <c r="AN570" i="26"/>
  <c r="AN578" i="26"/>
  <c r="AN621" i="26"/>
  <c r="AN612" i="26"/>
  <c r="AN583" i="26"/>
  <c r="AN609" i="26"/>
  <c r="AN624" i="26"/>
  <c r="AN590" i="26"/>
  <c r="AN597" i="26"/>
  <c r="AN613" i="26"/>
  <c r="AN623" i="26"/>
  <c r="AN593" i="26"/>
  <c r="AN589" i="26"/>
  <c r="AN591" i="26"/>
  <c r="AN588" i="26"/>
  <c r="AN614" i="26"/>
  <c r="AN639" i="26"/>
  <c r="AN631" i="26"/>
  <c r="AN604" i="26"/>
  <c r="AN601" i="26"/>
  <c r="AN592" i="26"/>
  <c r="AN615" i="26"/>
  <c r="AN616" i="26"/>
  <c r="AN582" i="26"/>
  <c r="AN580" i="26"/>
  <c r="AN575" i="26"/>
  <c r="AN629" i="26"/>
  <c r="AN573" i="26"/>
  <c r="AN602" i="26"/>
  <c r="AN620" i="26"/>
  <c r="AN581" i="26"/>
  <c r="AN611" i="26"/>
  <c r="AN638" i="26"/>
  <c r="AN596" i="26"/>
  <c r="AN622" i="26"/>
  <c r="AN605" i="26"/>
  <c r="AN584" i="26"/>
  <c r="AN577" i="26"/>
  <c r="AN572" i="26"/>
  <c r="AN574" i="26"/>
  <c r="AN610" i="26"/>
  <c r="AN637" i="26"/>
  <c r="AN625" i="26"/>
  <c r="AN571" i="26"/>
  <c r="AN595" i="26"/>
  <c r="AN585" i="26"/>
  <c r="AN603" i="26"/>
  <c r="AN630" i="26"/>
  <c r="AM651" i="26"/>
  <c r="AM683" i="26"/>
  <c r="AM388" i="26"/>
  <c r="AM363" i="26"/>
  <c r="AM344" i="26"/>
  <c r="AM392" i="26"/>
  <c r="AM488" i="26"/>
  <c r="AM529" i="26"/>
  <c r="AM507" i="26"/>
  <c r="AM767" i="26"/>
  <c r="AM774" i="26"/>
  <c r="AP788" i="26"/>
  <c r="AS788" i="26"/>
  <c r="AP706" i="26"/>
  <c r="AS706" i="26"/>
  <c r="AS88" i="26"/>
  <c r="AP88" i="26"/>
  <c r="AS263" i="26"/>
  <c r="AP263" i="26"/>
  <c r="AS153" i="26"/>
  <c r="AP153" i="26"/>
  <c r="AP712" i="26"/>
  <c r="AS712" i="26"/>
  <c r="AS128" i="26"/>
  <c r="AP128" i="26"/>
  <c r="AS162" i="26"/>
  <c r="AP162" i="26"/>
  <c r="AP710" i="26"/>
  <c r="AS710" i="26"/>
  <c r="AP264" i="26"/>
  <c r="AS264" i="26"/>
  <c r="AS454" i="26"/>
  <c r="AP454" i="26"/>
  <c r="AS430" i="26"/>
  <c r="AP430" i="26"/>
  <c r="AO250" i="26"/>
  <c r="AM335" i="26"/>
  <c r="AM328" i="26"/>
  <c r="AM307" i="26"/>
  <c r="AM423" i="26"/>
  <c r="AM535" i="26"/>
  <c r="AM546" i="26"/>
  <c r="AM548" i="26"/>
  <c r="AM588" i="26"/>
  <c r="AM606" i="26"/>
  <c r="AM634" i="26"/>
  <c r="AM635" i="26"/>
  <c r="AM617" i="26"/>
  <c r="AM652" i="26"/>
  <c r="AM664" i="26"/>
  <c r="AM369" i="26"/>
  <c r="AM371" i="26"/>
  <c r="AM343" i="26"/>
  <c r="AM361" i="26"/>
  <c r="AM525" i="26"/>
  <c r="AM503" i="26"/>
  <c r="AM512" i="26"/>
  <c r="AM289" i="26"/>
  <c r="AM766" i="26"/>
  <c r="AM777" i="26"/>
  <c r="AP297" i="26"/>
  <c r="AS297" i="26"/>
  <c r="AS231" i="26"/>
  <c r="AP231" i="26"/>
  <c r="AS285" i="26"/>
  <c r="AP285" i="26"/>
  <c r="AP757" i="26"/>
  <c r="AS757" i="26"/>
  <c r="AP298" i="26"/>
  <c r="AS298" i="26"/>
  <c r="AS294" i="26"/>
  <c r="AP294" i="26"/>
  <c r="AS154" i="26"/>
  <c r="AP154" i="26"/>
  <c r="AO113" i="26"/>
  <c r="AS161" i="26"/>
  <c r="AP161" i="26"/>
  <c r="AP78" i="26"/>
  <c r="AS78" i="26"/>
  <c r="AO255" i="26"/>
  <c r="AS448" i="26"/>
  <c r="AP448" i="26"/>
  <c r="AP204" i="26"/>
  <c r="AS204" i="26"/>
  <c r="AM302" i="26"/>
  <c r="AM334" i="26"/>
  <c r="AM313" i="26"/>
  <c r="AM417" i="26"/>
  <c r="AM557" i="26"/>
  <c r="AM563" i="26"/>
  <c r="AM604" i="26"/>
  <c r="AM636" i="26"/>
  <c r="AM630" i="26"/>
  <c r="AM597" i="26"/>
  <c r="AM613" i="26"/>
  <c r="AM653" i="26"/>
  <c r="AM663" i="26"/>
  <c r="AM338" i="26"/>
  <c r="AM379" i="26"/>
  <c r="AM346" i="26"/>
  <c r="AM368" i="26"/>
  <c r="AM672" i="26"/>
  <c r="AN672" i="26"/>
  <c r="AM519" i="26"/>
  <c r="AM506" i="26"/>
  <c r="AM523" i="26"/>
  <c r="AM291" i="26"/>
  <c r="AM768" i="26"/>
  <c r="AM770" i="26"/>
  <c r="AN772" i="26"/>
  <c r="AN773" i="26"/>
  <c r="AN774" i="26"/>
  <c r="AN776" i="26"/>
  <c r="AN770" i="26"/>
  <c r="AN775" i="26"/>
  <c r="AN771" i="26"/>
  <c r="AN777" i="26"/>
  <c r="AO28" i="26"/>
  <c r="AP28" i="26" s="1"/>
  <c r="AP158" i="26"/>
  <c r="AS158" i="26"/>
  <c r="AP738" i="26"/>
  <c r="AS738" i="26"/>
  <c r="AP473" i="26"/>
  <c r="AS473" i="26"/>
  <c r="AS260" i="26"/>
  <c r="AP260" i="26"/>
  <c r="AS170" i="26"/>
  <c r="AP170" i="26"/>
  <c r="AP227" i="26"/>
  <c r="AS227" i="26"/>
  <c r="AP427" i="26"/>
  <c r="AS427" i="26"/>
  <c r="AO116" i="26"/>
  <c r="AS485" i="26"/>
  <c r="AP485" i="26"/>
  <c r="AP787" i="26"/>
  <c r="AS787" i="26"/>
  <c r="AS222" i="26"/>
  <c r="AP222" i="26"/>
  <c r="AO15" i="26"/>
  <c r="AM312" i="26"/>
  <c r="AM301" i="26"/>
  <c r="AM331" i="26"/>
  <c r="AM421" i="26"/>
  <c r="AM560" i="26"/>
  <c r="AM569" i="26"/>
  <c r="AM600" i="26"/>
  <c r="AM632" i="26"/>
  <c r="AM626" i="26"/>
  <c r="AM603" i="26"/>
  <c r="AM654" i="26"/>
  <c r="AM665" i="26"/>
  <c r="AM347" i="26"/>
  <c r="AM403" i="26"/>
  <c r="AM397" i="26"/>
  <c r="AM372" i="26"/>
  <c r="AM494" i="26"/>
  <c r="AM500" i="26"/>
  <c r="AM518" i="26"/>
  <c r="AM288" i="26"/>
  <c r="AN289" i="26"/>
  <c r="AN291" i="26"/>
  <c r="AN290" i="26"/>
  <c r="AN288" i="26"/>
  <c r="AN292" i="26"/>
  <c r="AM761" i="26"/>
  <c r="AM771" i="26"/>
  <c r="AP167" i="26"/>
  <c r="AS167" i="26"/>
  <c r="AS720" i="26"/>
  <c r="AP720" i="26"/>
  <c r="AP201" i="26"/>
  <c r="AS201" i="26"/>
  <c r="AS172" i="26"/>
  <c r="AP172" i="26"/>
  <c r="AS233" i="26"/>
  <c r="AP233" i="26"/>
  <c r="AP718" i="26"/>
  <c r="AS718" i="26"/>
  <c r="AS483" i="26"/>
  <c r="AP483" i="26"/>
  <c r="AP119" i="26"/>
  <c r="AS119" i="26"/>
  <c r="AP449" i="26"/>
  <c r="AS449" i="26"/>
  <c r="AP678" i="26"/>
  <c r="AS678" i="26"/>
  <c r="AS211" i="26"/>
  <c r="AP211" i="26"/>
  <c r="AS9" i="26"/>
  <c r="AP9" i="26"/>
  <c r="AP14" i="26"/>
  <c r="AS14" i="26"/>
  <c r="AS177" i="26"/>
  <c r="AP177" i="26"/>
  <c r="AS262" i="26"/>
  <c r="AP262" i="26"/>
  <c r="AP792" i="26"/>
  <c r="AS792" i="26"/>
  <c r="AM322" i="26"/>
  <c r="AM318" i="26"/>
  <c r="AM413" i="26"/>
  <c r="AM538" i="26"/>
  <c r="AM567" i="26"/>
  <c r="AM572" i="26"/>
  <c r="AM571" i="26"/>
  <c r="AM614" i="26"/>
  <c r="AM627" i="26"/>
  <c r="AM655" i="26"/>
  <c r="AM662" i="26"/>
  <c r="AN662" i="26"/>
  <c r="AN663" i="26"/>
  <c r="AN665" i="26"/>
  <c r="AN666" i="26"/>
  <c r="AN664" i="26"/>
  <c r="AM385" i="26"/>
  <c r="AM400" i="26"/>
  <c r="AM396" i="26"/>
  <c r="AM375" i="26"/>
  <c r="AM527" i="26"/>
  <c r="AM531" i="26"/>
  <c r="AM495" i="26"/>
  <c r="AM292" i="26"/>
  <c r="AM772" i="26"/>
  <c r="AO26" i="26"/>
  <c r="AS486" i="26"/>
  <c r="AP486" i="26"/>
  <c r="AS713" i="26"/>
  <c r="AP713" i="26"/>
  <c r="AP150" i="26"/>
  <c r="AS150" i="26"/>
  <c r="AP439" i="26"/>
  <c r="AS439" i="26"/>
  <c r="AO667" i="26"/>
  <c r="AS163" i="26"/>
  <c r="AP163" i="26"/>
  <c r="AP726" i="26"/>
  <c r="AS726" i="26"/>
  <c r="AP436" i="26"/>
  <c r="AS436" i="26"/>
  <c r="AO122" i="26"/>
  <c r="AS129" i="26"/>
  <c r="AP129" i="26"/>
  <c r="AP10" i="26"/>
  <c r="AS10" i="26"/>
  <c r="AP460" i="26"/>
  <c r="AS460" i="26"/>
  <c r="AS39" i="26"/>
  <c r="AP39" i="26"/>
  <c r="AS261" i="26"/>
  <c r="AP261" i="26"/>
  <c r="AO101" i="26"/>
  <c r="AS29" i="26"/>
  <c r="AP29" i="26"/>
  <c r="AP30" i="26"/>
  <c r="AS30" i="26"/>
  <c r="BH66" i="1"/>
  <c r="BH77" i="1"/>
  <c r="BH68" i="1"/>
  <c r="BH63" i="1"/>
  <c r="BH47" i="1"/>
  <c r="BH76" i="1"/>
  <c r="BH73" i="1"/>
  <c r="BH70" i="1"/>
  <c r="BH49" i="1"/>
  <c r="BH81" i="1"/>
  <c r="BH65" i="1"/>
  <c r="BH51" i="1"/>
  <c r="BH55" i="1"/>
  <c r="BH60" i="1"/>
  <c r="BH59" i="1"/>
  <c r="BH79" i="1"/>
  <c r="BH44" i="1"/>
  <c r="BH78" i="1"/>
  <c r="BH69" i="1"/>
  <c r="BH52" i="1"/>
  <c r="BH50" i="1"/>
  <c r="BH74" i="1"/>
  <c r="BH75" i="1"/>
  <c r="BH57" i="1"/>
  <c r="BH46" i="1"/>
  <c r="BH48" i="1"/>
  <c r="BH82" i="1"/>
  <c r="BH72" i="1"/>
  <c r="BH53" i="1"/>
  <c r="BH45" i="1"/>
  <c r="BH64" i="1"/>
  <c r="BH71" i="1"/>
  <c r="BH67" i="1"/>
  <c r="BH62" i="1"/>
  <c r="BH80" i="1"/>
  <c r="BH61" i="1"/>
  <c r="BH37" i="1"/>
  <c r="BH34" i="1"/>
  <c r="BH43" i="1"/>
  <c r="BH18" i="1"/>
  <c r="BH12" i="1"/>
  <c r="BH22" i="1"/>
  <c r="BH35" i="1"/>
  <c r="BH40" i="1"/>
  <c r="BH10" i="1"/>
  <c r="BH31" i="1"/>
  <c r="BH54" i="1"/>
  <c r="BH23" i="1"/>
  <c r="BH38" i="1"/>
  <c r="BH30" i="1"/>
  <c r="BH41" i="1"/>
  <c r="BH42" i="1"/>
  <c r="BH27" i="1"/>
  <c r="BH39" i="1"/>
  <c r="BH56" i="1"/>
  <c r="BH29" i="1"/>
  <c r="BH58" i="1"/>
  <c r="BH5" i="1"/>
  <c r="BH11" i="1"/>
  <c r="BH24" i="1"/>
  <c r="BH9" i="1"/>
  <c r="BH14" i="1"/>
  <c r="BH16" i="1"/>
  <c r="BH25" i="1"/>
  <c r="BH20" i="1"/>
  <c r="BH28" i="1"/>
  <c r="BH7" i="1"/>
  <c r="BH8" i="1"/>
  <c r="BH17" i="1"/>
  <c r="BH32" i="1"/>
  <c r="BH33" i="1"/>
  <c r="BH21" i="1"/>
  <c r="BH19" i="1"/>
  <c r="BH26" i="1"/>
  <c r="BH6" i="1"/>
  <c r="BH13" i="1"/>
  <c r="BH15" i="1"/>
  <c r="BH36" i="1"/>
  <c r="AP17" i="26" l="1"/>
  <c r="AS17" i="26"/>
  <c r="AS180" i="26"/>
  <c r="AP180" i="26"/>
  <c r="AP735" i="26"/>
  <c r="AS735" i="26"/>
  <c r="AO141" i="26"/>
  <c r="AO145" i="26"/>
  <c r="AO143" i="26"/>
  <c r="AO58" i="26"/>
  <c r="AO64" i="26"/>
  <c r="AO50" i="26"/>
  <c r="AO54" i="26"/>
  <c r="AS54" i="26" s="1"/>
  <c r="AO63" i="26"/>
  <c r="AO55" i="26"/>
  <c r="AP55" i="26" s="1"/>
  <c r="AS63" i="26"/>
  <c r="AP63" i="26"/>
  <c r="AO65" i="26"/>
  <c r="AP145" i="26"/>
  <c r="AS145" i="26"/>
  <c r="AS141" i="26"/>
  <c r="AP141" i="26"/>
  <c r="AO202" i="26"/>
  <c r="AO75" i="26"/>
  <c r="AO62" i="26"/>
  <c r="AO137" i="26"/>
  <c r="AO59" i="26"/>
  <c r="AO72" i="26"/>
  <c r="AS72" i="26" s="1"/>
  <c r="AO57" i="26"/>
  <c r="AO70" i="26"/>
  <c r="AO140" i="26"/>
  <c r="AP66" i="26"/>
  <c r="AS56" i="26"/>
  <c r="AO138" i="26"/>
  <c r="AP139" i="26"/>
  <c r="AS139" i="26"/>
  <c r="AO61" i="26"/>
  <c r="AP136" i="26"/>
  <c r="AS190" i="26"/>
  <c r="AS55" i="26"/>
  <c r="AO144" i="26"/>
  <c r="AO142" i="26"/>
  <c r="AP67" i="26"/>
  <c r="AP74" i="26"/>
  <c r="AS74" i="26"/>
  <c r="AS61" i="26"/>
  <c r="AP61" i="26"/>
  <c r="AS58" i="26"/>
  <c r="AP58" i="26"/>
  <c r="AP202" i="26"/>
  <c r="AS202" i="26"/>
  <c r="AS50" i="26"/>
  <c r="AP50" i="26"/>
  <c r="AP57" i="26"/>
  <c r="AS57" i="26"/>
  <c r="AO73" i="26"/>
  <c r="AO52" i="26"/>
  <c r="AM271" i="26"/>
  <c r="AO53" i="26"/>
  <c r="AM278" i="26"/>
  <c r="AO68" i="26"/>
  <c r="AM282" i="26"/>
  <c r="AM280" i="26"/>
  <c r="AM283" i="26"/>
  <c r="AN11" i="26"/>
  <c r="AO11" i="26" s="1"/>
  <c r="AM11" i="26"/>
  <c r="AN12" i="26"/>
  <c r="AM275" i="26"/>
  <c r="S15" i="22"/>
  <c r="R15" i="22"/>
  <c r="AM12" i="26"/>
  <c r="W8" i="38" s="1" a="1"/>
  <c r="AM274" i="26"/>
  <c r="AM277" i="26"/>
  <c r="AM279" i="26"/>
  <c r="AS69" i="26"/>
  <c r="AM273" i="26"/>
  <c r="AO60" i="26"/>
  <c r="AM281" i="26"/>
  <c r="R40" i="22"/>
  <c r="S40" i="22"/>
  <c r="AM110" i="26"/>
  <c r="AN111" i="26"/>
  <c r="AN110" i="26"/>
  <c r="AO110" i="26" s="1"/>
  <c r="AN112" i="26"/>
  <c r="AO76" i="26"/>
  <c r="AN272" i="26"/>
  <c r="AN274" i="26"/>
  <c r="AN275" i="26"/>
  <c r="AN270" i="26"/>
  <c r="AN283" i="26"/>
  <c r="AN273" i="26"/>
  <c r="AN271" i="26"/>
  <c r="AM270" i="26"/>
  <c r="AN276" i="26"/>
  <c r="AN278" i="26"/>
  <c r="AO278" i="26" s="1"/>
  <c r="AN277" i="26"/>
  <c r="AN281" i="26"/>
  <c r="AO281" i="26" s="1"/>
  <c r="AN282" i="26"/>
  <c r="AO282" i="26" s="1"/>
  <c r="AN280" i="26"/>
  <c r="AN279" i="26"/>
  <c r="AO279" i="26" s="1"/>
  <c r="AM112" i="26"/>
  <c r="AM272" i="26"/>
  <c r="AP54" i="26"/>
  <c r="AM111" i="26"/>
  <c r="AO51" i="26"/>
  <c r="AO673" i="26"/>
  <c r="AO71" i="26"/>
  <c r="AM276" i="26"/>
  <c r="AP103" i="26"/>
  <c r="AP13" i="26"/>
  <c r="AS249" i="26"/>
  <c r="AP249" i="26"/>
  <c r="AS284" i="26"/>
  <c r="AP284" i="26"/>
  <c r="AP99" i="26"/>
  <c r="AS99" i="26"/>
  <c r="AP18" i="26"/>
  <c r="AS18" i="26"/>
  <c r="AP690" i="26"/>
  <c r="AS690" i="26"/>
  <c r="AS19" i="26"/>
  <c r="AP19" i="26"/>
  <c r="AS41" i="26"/>
  <c r="AP41" i="26"/>
  <c r="AP37" i="26"/>
  <c r="AS37" i="26"/>
  <c r="AP266" i="26"/>
  <c r="AS266" i="26"/>
  <c r="AP23" i="26"/>
  <c r="AS23" i="26"/>
  <c r="AS121" i="26"/>
  <c r="AO509" i="26"/>
  <c r="AO411" i="26"/>
  <c r="AP411" i="26" s="1"/>
  <c r="AP24" i="26"/>
  <c r="AS100" i="26"/>
  <c r="AO367" i="26"/>
  <c r="AS36" i="26"/>
  <c r="AO526" i="26"/>
  <c r="AP670" i="26"/>
  <c r="AO383" i="26"/>
  <c r="AP383" i="26" s="1"/>
  <c r="AO402" i="26"/>
  <c r="AO545" i="26"/>
  <c r="AP545" i="26" s="1"/>
  <c r="AO541" i="26"/>
  <c r="AP33" i="26"/>
  <c r="AP674" i="26"/>
  <c r="AS16" i="26"/>
  <c r="AO354" i="26"/>
  <c r="AS354" i="26" s="1"/>
  <c r="AO615" i="26"/>
  <c r="AS95" i="26"/>
  <c r="AO672" i="26"/>
  <c r="AP672" i="26" s="1"/>
  <c r="AO626" i="26"/>
  <c r="AP626" i="26" s="1"/>
  <c r="AS118" i="26"/>
  <c r="AO487" i="26"/>
  <c r="AS487" i="26" s="1"/>
  <c r="AO492" i="26"/>
  <c r="AS492" i="26" s="1"/>
  <c r="AS124" i="26"/>
  <c r="AO561" i="26"/>
  <c r="AS47" i="26"/>
  <c r="AO420" i="26"/>
  <c r="AP32" i="26"/>
  <c r="AO291" i="26"/>
  <c r="AP291" i="26" s="1"/>
  <c r="AS46" i="26"/>
  <c r="AO412" i="26"/>
  <c r="AS412" i="26" s="1"/>
  <c r="AO556" i="26"/>
  <c r="AO598" i="26"/>
  <c r="AP598" i="26" s="1"/>
  <c r="AO421" i="26"/>
  <c r="AP421" i="26" s="1"/>
  <c r="AO605" i="26"/>
  <c r="AP605" i="26" s="1"/>
  <c r="AO601" i="26"/>
  <c r="AS601" i="26" s="1"/>
  <c r="AO634" i="26"/>
  <c r="AO413" i="26"/>
  <c r="AO379" i="26"/>
  <c r="AS379" i="26" s="1"/>
  <c r="AO771" i="26"/>
  <c r="AP771" i="26" s="1"/>
  <c r="AO622" i="26"/>
  <c r="AP622" i="26" s="1"/>
  <c r="AO604" i="26"/>
  <c r="AP604" i="26" s="1"/>
  <c r="AO406" i="26"/>
  <c r="AS406" i="26" s="1"/>
  <c r="AO596" i="26"/>
  <c r="AO631" i="26"/>
  <c r="AO579" i="26"/>
  <c r="AS28" i="26"/>
  <c r="AO770" i="26"/>
  <c r="AS770" i="26" s="1"/>
  <c r="AP691" i="26"/>
  <c r="AO638" i="26"/>
  <c r="AP638" i="26" s="1"/>
  <c r="AO639" i="26"/>
  <c r="AS639" i="26" s="1"/>
  <c r="AO570" i="26"/>
  <c r="AP570" i="26" s="1"/>
  <c r="AO617" i="26"/>
  <c r="AO610" i="26"/>
  <c r="AO776" i="26"/>
  <c r="AP776" i="26" s="1"/>
  <c r="AO630" i="26"/>
  <c r="AS630" i="26" s="1"/>
  <c r="AO628" i="26"/>
  <c r="AP628" i="26" s="1"/>
  <c r="AP98" i="26"/>
  <c r="AP25" i="26"/>
  <c r="AS132" i="26"/>
  <c r="AO635" i="26"/>
  <c r="AS635" i="26" s="1"/>
  <c r="AO531" i="26"/>
  <c r="AS531" i="26" s="1"/>
  <c r="AO517" i="26"/>
  <c r="AS517" i="26" s="1"/>
  <c r="AO344" i="26"/>
  <c r="AP344" i="26" s="1"/>
  <c r="AO659" i="26"/>
  <c r="AS659" i="26" s="1"/>
  <c r="AO761" i="26"/>
  <c r="AP761" i="26" s="1"/>
  <c r="AS265" i="26"/>
  <c r="AP269" i="26"/>
  <c r="AO309" i="26"/>
  <c r="AP309" i="26" s="1"/>
  <c r="AP31" i="26"/>
  <c r="AO491" i="26"/>
  <c r="AP491" i="26" s="1"/>
  <c r="AO593" i="26"/>
  <c r="AP593" i="26" s="1"/>
  <c r="AO543" i="26"/>
  <c r="AP543" i="26" s="1"/>
  <c r="AO760" i="26"/>
  <c r="AS760" i="26" s="1"/>
  <c r="AP114" i="26"/>
  <c r="AO422" i="26"/>
  <c r="AS422" i="26" s="1"/>
  <c r="AO764" i="26"/>
  <c r="AP764" i="26" s="1"/>
  <c r="AO325" i="26"/>
  <c r="AP325" i="26" s="1"/>
  <c r="AO327" i="26"/>
  <c r="AS327" i="26" s="1"/>
  <c r="AO415" i="26"/>
  <c r="AS96" i="26"/>
  <c r="AO585" i="26"/>
  <c r="AO416" i="26"/>
  <c r="AO530" i="26"/>
  <c r="AS530" i="26" s="1"/>
  <c r="AO350" i="26"/>
  <c r="AO769" i="26"/>
  <c r="AO326" i="26"/>
  <c r="AO323" i="26"/>
  <c r="AO493" i="26"/>
  <c r="AO502" i="26"/>
  <c r="AP502" i="26" s="1"/>
  <c r="AO398" i="26"/>
  <c r="AP398" i="26" s="1"/>
  <c r="AO348" i="26"/>
  <c r="AP348" i="26" s="1"/>
  <c r="AO660" i="26"/>
  <c r="AS660" i="26" s="1"/>
  <c r="AO646" i="26"/>
  <c r="AP646" i="26" s="1"/>
  <c r="AO558" i="26"/>
  <c r="AP558" i="26" s="1"/>
  <c r="AO551" i="26"/>
  <c r="AS551" i="26" s="1"/>
  <c r="AO762" i="26"/>
  <c r="AS762" i="26" s="1"/>
  <c r="AP49" i="26"/>
  <c r="AO319" i="26"/>
  <c r="AS21" i="26"/>
  <c r="AO511" i="26"/>
  <c r="AO514" i="26"/>
  <c r="AO495" i="26"/>
  <c r="AO370" i="26"/>
  <c r="AS370" i="26" s="1"/>
  <c r="AO397" i="26"/>
  <c r="AO369" i="26"/>
  <c r="AP369" i="26" s="1"/>
  <c r="AO648" i="26"/>
  <c r="AS648" i="26" s="1"/>
  <c r="AO549" i="26"/>
  <c r="AP549" i="26" s="1"/>
  <c r="AO557" i="26"/>
  <c r="AP557" i="26" s="1"/>
  <c r="AO767" i="26"/>
  <c r="AS767" i="26" s="1"/>
  <c r="AO621" i="26"/>
  <c r="AP621" i="26" s="1"/>
  <c r="AP27" i="26"/>
  <c r="AO616" i="26"/>
  <c r="AS616" i="26" s="1"/>
  <c r="AO624" i="26"/>
  <c r="AS624" i="26" s="1"/>
  <c r="AO490" i="26"/>
  <c r="AS490" i="26" s="1"/>
  <c r="AO374" i="26"/>
  <c r="AS374" i="26" s="1"/>
  <c r="AO388" i="26"/>
  <c r="AS388" i="26" s="1"/>
  <c r="AO544" i="26"/>
  <c r="AS544" i="26" s="1"/>
  <c r="AO552" i="26"/>
  <c r="AP257" i="26"/>
  <c r="AO609" i="26"/>
  <c r="AO349" i="26"/>
  <c r="AO763" i="26"/>
  <c r="AO289" i="26"/>
  <c r="AS289" i="26" s="1"/>
  <c r="AO584" i="26"/>
  <c r="AP584" i="26" s="1"/>
  <c r="AO592" i="26"/>
  <c r="AS592" i="26" s="1"/>
  <c r="AO583" i="26"/>
  <c r="AO409" i="26"/>
  <c r="AO363" i="26"/>
  <c r="AS363" i="26" s="1"/>
  <c r="AO387" i="26"/>
  <c r="AO643" i="26"/>
  <c r="AO768" i="26"/>
  <c r="AO403" i="26"/>
  <c r="AS403" i="26" s="1"/>
  <c r="AO523" i="26"/>
  <c r="AP523" i="26" s="1"/>
  <c r="AS20" i="26"/>
  <c r="AO774" i="26"/>
  <c r="AP774" i="26" s="1"/>
  <c r="AO603" i="26"/>
  <c r="AP603" i="26" s="1"/>
  <c r="AO581" i="26"/>
  <c r="AP581" i="26" s="1"/>
  <c r="AO599" i="26"/>
  <c r="AP599" i="26" s="1"/>
  <c r="AO407" i="26"/>
  <c r="AS407" i="26" s="1"/>
  <c r="AO606" i="26"/>
  <c r="AP606" i="26" s="1"/>
  <c r="AP117" i="26"/>
  <c r="AO564" i="26"/>
  <c r="AS564" i="26" s="1"/>
  <c r="AO666" i="26"/>
  <c r="AP666" i="26" s="1"/>
  <c r="AO636" i="26"/>
  <c r="AS636" i="26" s="1"/>
  <c r="AO515" i="26"/>
  <c r="AS515" i="26" s="1"/>
  <c r="AO361" i="26"/>
  <c r="AS361" i="26" s="1"/>
  <c r="AO647" i="26"/>
  <c r="AP647" i="26" s="1"/>
  <c r="AO611" i="26"/>
  <c r="AS611" i="26" s="1"/>
  <c r="AS35" i="26"/>
  <c r="AP22" i="26"/>
  <c r="AO683" i="26"/>
  <c r="AP683" i="26" s="1"/>
  <c r="AO663" i="26"/>
  <c r="AS663" i="26" s="1"/>
  <c r="AO586" i="26"/>
  <c r="AS586" i="26" s="1"/>
  <c r="AP43" i="26"/>
  <c r="AO366" i="26"/>
  <c r="AS366" i="26" s="1"/>
  <c r="AO372" i="26"/>
  <c r="AP372" i="26" s="1"/>
  <c r="AO355" i="26"/>
  <c r="AP355" i="26" s="1"/>
  <c r="AO311" i="26"/>
  <c r="AS311" i="26" s="1"/>
  <c r="AO334" i="26"/>
  <c r="AS334" i="26" s="1"/>
  <c r="AO329" i="26"/>
  <c r="AP329" i="26" s="1"/>
  <c r="AS34" i="26"/>
  <c r="AO518" i="26"/>
  <c r="AS518" i="26" s="1"/>
  <c r="AO529" i="26"/>
  <c r="AP529" i="26" s="1"/>
  <c r="AO504" i="26"/>
  <c r="AP504" i="26" s="1"/>
  <c r="AO352" i="26"/>
  <c r="AS352" i="26" s="1"/>
  <c r="AO394" i="26"/>
  <c r="AS394" i="26" s="1"/>
  <c r="AO364" i="26"/>
  <c r="AS364" i="26" s="1"/>
  <c r="AO380" i="26"/>
  <c r="AS380" i="26" s="1"/>
  <c r="AO390" i="26"/>
  <c r="AS390" i="26" s="1"/>
  <c r="AO657" i="26"/>
  <c r="AP657" i="26" s="1"/>
  <c r="AO644" i="26"/>
  <c r="AS644" i="26" s="1"/>
  <c r="AO547" i="26"/>
  <c r="AS547" i="26" s="1"/>
  <c r="AO540" i="26"/>
  <c r="AS540" i="26" s="1"/>
  <c r="AO766" i="26"/>
  <c r="AP766" i="26" s="1"/>
  <c r="AO321" i="26"/>
  <c r="AS321" i="26" s="1"/>
  <c r="AO312" i="26"/>
  <c r="AS312" i="26" s="1"/>
  <c r="AO317" i="26"/>
  <c r="AS317" i="26" s="1"/>
  <c r="AO600" i="26"/>
  <c r="AO590" i="26"/>
  <c r="AP590" i="26" s="1"/>
  <c r="AO527" i="26"/>
  <c r="AS527" i="26" s="1"/>
  <c r="AO358" i="26"/>
  <c r="AP358" i="26" s="1"/>
  <c r="AO401" i="26"/>
  <c r="AS401" i="26" s="1"/>
  <c r="AO375" i="26"/>
  <c r="AS375" i="26" s="1"/>
  <c r="AO656" i="26"/>
  <c r="AO645" i="26"/>
  <c r="AS645" i="26" s="1"/>
  <c r="AO554" i="26"/>
  <c r="AP554" i="26" s="1"/>
  <c r="AO550" i="26"/>
  <c r="AP550" i="26" s="1"/>
  <c r="AO303" i="26"/>
  <c r="AP303" i="26" s="1"/>
  <c r="AO310" i="26"/>
  <c r="AP310" i="26" s="1"/>
  <c r="AO304" i="26"/>
  <c r="AS304" i="26" s="1"/>
  <c r="AO775" i="26"/>
  <c r="AO578" i="26"/>
  <c r="AS15" i="26"/>
  <c r="AP15" i="26"/>
  <c r="AS26" i="26"/>
  <c r="AP26" i="26"/>
  <c r="AO377" i="26"/>
  <c r="AS101" i="26"/>
  <c r="AP101" i="26"/>
  <c r="AO612" i="26"/>
  <c r="AO537" i="26"/>
  <c r="AO505" i="26"/>
  <c r="AO351" i="26"/>
  <c r="AO382" i="26"/>
  <c r="AO777" i="26"/>
  <c r="AO373" i="26"/>
  <c r="AS38" i="26"/>
  <c r="AP38" i="26"/>
  <c r="AO357" i="26"/>
  <c r="AO328" i="26"/>
  <c r="AO650" i="26"/>
  <c r="AP667" i="26"/>
  <c r="AS667" i="26"/>
  <c r="AO614" i="26"/>
  <c r="AO627" i="26"/>
  <c r="AO500" i="26"/>
  <c r="AO508" i="26"/>
  <c r="AO506" i="26"/>
  <c r="AO371" i="26"/>
  <c r="AO641" i="26"/>
  <c r="AO305" i="26"/>
  <c r="AO314" i="26"/>
  <c r="AO335" i="26"/>
  <c r="AP255" i="26"/>
  <c r="AS255" i="26"/>
  <c r="AO588" i="26"/>
  <c r="AO607" i="26"/>
  <c r="AO520" i="26"/>
  <c r="AO507" i="26"/>
  <c r="AO405" i="26"/>
  <c r="AO393" i="26"/>
  <c r="AO553" i="26"/>
  <c r="AO569" i="26"/>
  <c r="AS115" i="26"/>
  <c r="AP115" i="26"/>
  <c r="AO773" i="26"/>
  <c r="AO620" i="26"/>
  <c r="AO591" i="26"/>
  <c r="AO618" i="26"/>
  <c r="AO499" i="26"/>
  <c r="AO404" i="26"/>
  <c r="AO342" i="26"/>
  <c r="AS337" i="26"/>
  <c r="AP337" i="26"/>
  <c r="AO654" i="26"/>
  <c r="AO548" i="26"/>
  <c r="AO560" i="26"/>
  <c r="AO301" i="26"/>
  <c r="AO318" i="26"/>
  <c r="AO664" i="26"/>
  <c r="AO772" i="26"/>
  <c r="AO595" i="26"/>
  <c r="AO602" i="26"/>
  <c r="AO589" i="26"/>
  <c r="AP102" i="26"/>
  <c r="AS102" i="26"/>
  <c r="AS256" i="26"/>
  <c r="AP256" i="26"/>
  <c r="AO513" i="26"/>
  <c r="AO488" i="26"/>
  <c r="AO339" i="26"/>
  <c r="AO385" i="26"/>
  <c r="AO365" i="26"/>
  <c r="AO658" i="26"/>
  <c r="AO562" i="26"/>
  <c r="AO546" i="26"/>
  <c r="AO567" i="26"/>
  <c r="AO330" i="26"/>
  <c r="AO324" i="26"/>
  <c r="AO682" i="26"/>
  <c r="AO340" i="26"/>
  <c r="AO359" i="26"/>
  <c r="AO384" i="26"/>
  <c r="AO376" i="26"/>
  <c r="AO649" i="26"/>
  <c r="AO538" i="26"/>
  <c r="AO563" i="26"/>
  <c r="AO765" i="26"/>
  <c r="AO300" i="26"/>
  <c r="AO306" i="26"/>
  <c r="AO665" i="26"/>
  <c r="AO625" i="26"/>
  <c r="AO629" i="26"/>
  <c r="AO623" i="26"/>
  <c r="AO576" i="26"/>
  <c r="AP97" i="26"/>
  <c r="AS97" i="26"/>
  <c r="AO419" i="26"/>
  <c r="AO498" i="26"/>
  <c r="AO512" i="26"/>
  <c r="AO525" i="26"/>
  <c r="AO400" i="26"/>
  <c r="AO343" i="26"/>
  <c r="AO360" i="26"/>
  <c r="AO399" i="26"/>
  <c r="AO642" i="26"/>
  <c r="AO555" i="26"/>
  <c r="AO565" i="26"/>
  <c r="AO320" i="26"/>
  <c r="AO315" i="26"/>
  <c r="AO573" i="26"/>
  <c r="AO594" i="26"/>
  <c r="AO519" i="26"/>
  <c r="AO522" i="26"/>
  <c r="AO524" i="26"/>
  <c r="AO637" i="26"/>
  <c r="AO575" i="26"/>
  <c r="AO613" i="26"/>
  <c r="AO632" i="26"/>
  <c r="AP692" i="26"/>
  <c r="AS692" i="26"/>
  <c r="AO418" i="26"/>
  <c r="AO521" i="26"/>
  <c r="AO501" i="26"/>
  <c r="AO496" i="26"/>
  <c r="AO338" i="26"/>
  <c r="AO341" i="26"/>
  <c r="AO353" i="26"/>
  <c r="AO640" i="26"/>
  <c r="AO535" i="26"/>
  <c r="AO536" i="26"/>
  <c r="AO322" i="26"/>
  <c r="AO336" i="26"/>
  <c r="AS250" i="26"/>
  <c r="AP250" i="26"/>
  <c r="AO571" i="26"/>
  <c r="AO408" i="26"/>
  <c r="AO662" i="26"/>
  <c r="AO292" i="26"/>
  <c r="AS116" i="26"/>
  <c r="AP116" i="26"/>
  <c r="AO580" i="26"/>
  <c r="AO597" i="26"/>
  <c r="AO608" i="26"/>
  <c r="AO494" i="26"/>
  <c r="AO503" i="26"/>
  <c r="AO497" i="26"/>
  <c r="AO386" i="26"/>
  <c r="AO392" i="26"/>
  <c r="AO395" i="26"/>
  <c r="AO347" i="26"/>
  <c r="AO652" i="26"/>
  <c r="AO539" i="26"/>
  <c r="AO533" i="26"/>
  <c r="AS267" i="26"/>
  <c r="AP267" i="26"/>
  <c r="AO302" i="26"/>
  <c r="AO307" i="26"/>
  <c r="AO288" i="26"/>
  <c r="AS113" i="26"/>
  <c r="AP113" i="26"/>
  <c r="AO574" i="26"/>
  <c r="AO582" i="26"/>
  <c r="AO619" i="26"/>
  <c r="AO410" i="26"/>
  <c r="AO532" i="26"/>
  <c r="AO362" i="26"/>
  <c r="AO396" i="26"/>
  <c r="AO368" i="26"/>
  <c r="AO566" i="26"/>
  <c r="AO534" i="26"/>
  <c r="AS131" i="26"/>
  <c r="AP131" i="26"/>
  <c r="AO333" i="26"/>
  <c r="AO308" i="26"/>
  <c r="AP122" i="26"/>
  <c r="AS122" i="26"/>
  <c r="AO290" i="26"/>
  <c r="AO572" i="26"/>
  <c r="AO633" i="26"/>
  <c r="AO414" i="26"/>
  <c r="AO417" i="26"/>
  <c r="AS254" i="26"/>
  <c r="AP254" i="26"/>
  <c r="AO528" i="26"/>
  <c r="AO516" i="26"/>
  <c r="AO489" i="26"/>
  <c r="AO346" i="26"/>
  <c r="AO345" i="26"/>
  <c r="AO391" i="26"/>
  <c r="AO381" i="26"/>
  <c r="AO389" i="26"/>
  <c r="AO661" i="26"/>
  <c r="AO653" i="26"/>
  <c r="AO542" i="26"/>
  <c r="AO568" i="26"/>
  <c r="AO331" i="26"/>
  <c r="AO577" i="26"/>
  <c r="AO587" i="26"/>
  <c r="AO423" i="26"/>
  <c r="AS48" i="26"/>
  <c r="AP48" i="26"/>
  <c r="AO510" i="26"/>
  <c r="AO378" i="26"/>
  <c r="AO356" i="26"/>
  <c r="AO655" i="26"/>
  <c r="AO651" i="26"/>
  <c r="AO559" i="26"/>
  <c r="AO332" i="26"/>
  <c r="AO313" i="26"/>
  <c r="AO316" i="26"/>
  <c r="AS634" i="26" l="1"/>
  <c r="AP634" i="26"/>
  <c r="AS143" i="26"/>
  <c r="AP143" i="26"/>
  <c r="AS64" i="26"/>
  <c r="AP64" i="26"/>
  <c r="AO112" i="26"/>
  <c r="AO272" i="26"/>
  <c r="AO283" i="26"/>
  <c r="AO273" i="26"/>
  <c r="AO271" i="26"/>
  <c r="AS413" i="26"/>
  <c r="AP413" i="26"/>
  <c r="AO274" i="26"/>
  <c r="AO275" i="26"/>
  <c r="AP75" i="26"/>
  <c r="AS75" i="26"/>
  <c r="AO276" i="26"/>
  <c r="AS140" i="26"/>
  <c r="AP140" i="26"/>
  <c r="AS70" i="26"/>
  <c r="AP70" i="26"/>
  <c r="AS142" i="26"/>
  <c r="AP142" i="26"/>
  <c r="AP144" i="26"/>
  <c r="AS144" i="26"/>
  <c r="AS59" i="26"/>
  <c r="AP59" i="26"/>
  <c r="AP65" i="26"/>
  <c r="AS65" i="26"/>
  <c r="AP138" i="26"/>
  <c r="AS138" i="26"/>
  <c r="AO280" i="26"/>
  <c r="AS137" i="26"/>
  <c r="AP137" i="26"/>
  <c r="AO270" i="26"/>
  <c r="AP72" i="26"/>
  <c r="AP62" i="26"/>
  <c r="AS62" i="26"/>
  <c r="AS282" i="26"/>
  <c r="AP282" i="26"/>
  <c r="AS11" i="26"/>
  <c r="AP11" i="26"/>
  <c r="AS110" i="26"/>
  <c r="AP110" i="26"/>
  <c r="AS278" i="26"/>
  <c r="AP278" i="26"/>
  <c r="AS281" i="26"/>
  <c r="AP281" i="26"/>
  <c r="AS272" i="26"/>
  <c r="AP272" i="26"/>
  <c r="AS283" i="26"/>
  <c r="AP283" i="26"/>
  <c r="AS112" i="26"/>
  <c r="AP112" i="26"/>
  <c r="AS273" i="26"/>
  <c r="AP273" i="26"/>
  <c r="F111" i="25" a="1"/>
  <c r="F112" i="25" a="1"/>
  <c r="F114" i="25" a="1"/>
  <c r="F113" i="25" a="1"/>
  <c r="AP51" i="26"/>
  <c r="AS51" i="26"/>
  <c r="AP68" i="26"/>
  <c r="AS68" i="26"/>
  <c r="AS71" i="26"/>
  <c r="AP71" i="26"/>
  <c r="AO277" i="26"/>
  <c r="AO12" i="26"/>
  <c r="AP271" i="26"/>
  <c r="AS271" i="26"/>
  <c r="AP279" i="26"/>
  <c r="AS279" i="26"/>
  <c r="AP76" i="26"/>
  <c r="AS76" i="26"/>
  <c r="AP52" i="26"/>
  <c r="AS52" i="26"/>
  <c r="AS60" i="26"/>
  <c r="AP60" i="26"/>
  <c r="AS73" i="26"/>
  <c r="AP73" i="26"/>
  <c r="AS53" i="26"/>
  <c r="AP53" i="26"/>
  <c r="AS673" i="26"/>
  <c r="AP673" i="26"/>
  <c r="AO111" i="26"/>
  <c r="AS411" i="26"/>
  <c r="AS402" i="26"/>
  <c r="AP402" i="26"/>
  <c r="AP541" i="26"/>
  <c r="AS541" i="26"/>
  <c r="AS561" i="26"/>
  <c r="AP561" i="26"/>
  <c r="AP579" i="26"/>
  <c r="AS579" i="26"/>
  <c r="AP416" i="26"/>
  <c r="AS416" i="26"/>
  <c r="AP610" i="26"/>
  <c r="AS610" i="26"/>
  <c r="AS319" i="26"/>
  <c r="AP319" i="26"/>
  <c r="AS509" i="26"/>
  <c r="AP509" i="26"/>
  <c r="AS556" i="26"/>
  <c r="AP556" i="26"/>
  <c r="AS596" i="26"/>
  <c r="AP596" i="26"/>
  <c r="AS631" i="26"/>
  <c r="AP631" i="26"/>
  <c r="AS415" i="26"/>
  <c r="AP415" i="26"/>
  <c r="AP585" i="26"/>
  <c r="AS585" i="26"/>
  <c r="AS326" i="26"/>
  <c r="AP326" i="26"/>
  <c r="AS493" i="26"/>
  <c r="AP493" i="26"/>
  <c r="AP349" i="26"/>
  <c r="AS349" i="26"/>
  <c r="AS763" i="26"/>
  <c r="AP763" i="26"/>
  <c r="AP768" i="26"/>
  <c r="AS768" i="26"/>
  <c r="AP600" i="26"/>
  <c r="AS600" i="26"/>
  <c r="AS615" i="26"/>
  <c r="AP615" i="26"/>
  <c r="AP617" i="26"/>
  <c r="AS617" i="26"/>
  <c r="AP609" i="26"/>
  <c r="AS609" i="26"/>
  <c r="AP387" i="26"/>
  <c r="AS387" i="26"/>
  <c r="AP643" i="26"/>
  <c r="AS643" i="26"/>
  <c r="AP367" i="26"/>
  <c r="AS367" i="26"/>
  <c r="AP526" i="26"/>
  <c r="AS526" i="26"/>
  <c r="AS420" i="26"/>
  <c r="AP420" i="26"/>
  <c r="AS350" i="26"/>
  <c r="AP350" i="26"/>
  <c r="AP769" i="26"/>
  <c r="AS769" i="26"/>
  <c r="AP323" i="26"/>
  <c r="AS323" i="26"/>
  <c r="AP511" i="26"/>
  <c r="AS511" i="26"/>
  <c r="AS514" i="26"/>
  <c r="AP514" i="26"/>
  <c r="AP495" i="26"/>
  <c r="AS495" i="26"/>
  <c r="AS397" i="26"/>
  <c r="AP397" i="26"/>
  <c r="AP552" i="26"/>
  <c r="AS552" i="26"/>
  <c r="AP583" i="26"/>
  <c r="AS583" i="26"/>
  <c r="AP409" i="26"/>
  <c r="AS409" i="26"/>
  <c r="AP656" i="26"/>
  <c r="AS656" i="26"/>
  <c r="AS383" i="26"/>
  <c r="AP517" i="26"/>
  <c r="AP364" i="26"/>
  <c r="AP354" i="26"/>
  <c r="AP564" i="26"/>
  <c r="AP492" i="26"/>
  <c r="AP390" i="26"/>
  <c r="AS761" i="26"/>
  <c r="AS628" i="26"/>
  <c r="AP406" i="26"/>
  <c r="AP363" i="26"/>
  <c r="AS545" i="26"/>
  <c r="AS672" i="26"/>
  <c r="AP407" i="26"/>
  <c r="AP487" i="26"/>
  <c r="AS599" i="26"/>
  <c r="AP611" i="26"/>
  <c r="AP530" i="26"/>
  <c r="AP630" i="26"/>
  <c r="AS626" i="26"/>
  <c r="AP586" i="26"/>
  <c r="AP379" i="26"/>
  <c r="AP770" i="26"/>
  <c r="AS774" i="26"/>
  <c r="AP544" i="26"/>
  <c r="AS570" i="26"/>
  <c r="AP551" i="26"/>
  <c r="AP639" i="26"/>
  <c r="AS646" i="26"/>
  <c r="AP412" i="26"/>
  <c r="AS638" i="26"/>
  <c r="AS622" i="26"/>
  <c r="AS605" i="26"/>
  <c r="AS309" i="26"/>
  <c r="AP663" i="26"/>
  <c r="AS776" i="26"/>
  <c r="AS771" i="26"/>
  <c r="AP659" i="26"/>
  <c r="AS598" i="26"/>
  <c r="AP531" i="26"/>
  <c r="AS291" i="26"/>
  <c r="AP635" i="26"/>
  <c r="AP403" i="26"/>
  <c r="AP601" i="26"/>
  <c r="AP762" i="26"/>
  <c r="AS543" i="26"/>
  <c r="AS491" i="26"/>
  <c r="AP592" i="26"/>
  <c r="AS604" i="26"/>
  <c r="AS421" i="26"/>
  <c r="AP370" i="26"/>
  <c r="AS557" i="26"/>
  <c r="AP547" i="26"/>
  <c r="AS344" i="26"/>
  <c r="AP422" i="26"/>
  <c r="AS369" i="26"/>
  <c r="AP394" i="26"/>
  <c r="AP304" i="26"/>
  <c r="AS584" i="26"/>
  <c r="AS358" i="26"/>
  <c r="AP636" i="26"/>
  <c r="AS372" i="26"/>
  <c r="AS590" i="26"/>
  <c r="AS593" i="26"/>
  <c r="AS502" i="26"/>
  <c r="AP540" i="26"/>
  <c r="AP366" i="26"/>
  <c r="AP624" i="26"/>
  <c r="AS581" i="26"/>
  <c r="AS325" i="26"/>
  <c r="AS657" i="26"/>
  <c r="AS621" i="26"/>
  <c r="AS558" i="26"/>
  <c r="AP388" i="26"/>
  <c r="AP767" i="26"/>
  <c r="AP490" i="26"/>
  <c r="AP616" i="26"/>
  <c r="AP361" i="26"/>
  <c r="AP660" i="26"/>
  <c r="AS523" i="26"/>
  <c r="AP289" i="26"/>
  <c r="AS603" i="26"/>
  <c r="AP374" i="26"/>
  <c r="AS348" i="26"/>
  <c r="AP380" i="26"/>
  <c r="AP645" i="26"/>
  <c r="AP311" i="26"/>
  <c r="AS549" i="26"/>
  <c r="AP327" i="26"/>
  <c r="AS666" i="26"/>
  <c r="AS647" i="26"/>
  <c r="AS398" i="26"/>
  <c r="AS355" i="26"/>
  <c r="AP644" i="26"/>
  <c r="AP515" i="26"/>
  <c r="AS764" i="26"/>
  <c r="AP760" i="26"/>
  <c r="AP648" i="26"/>
  <c r="AS683" i="26"/>
  <c r="AS504" i="26"/>
  <c r="AS529" i="26"/>
  <c r="AP334" i="26"/>
  <c r="AS310" i="26"/>
  <c r="AP401" i="26"/>
  <c r="AS606" i="26"/>
  <c r="AP352" i="26"/>
  <c r="AS329" i="26"/>
  <c r="AP321" i="26"/>
  <c r="AS303" i="26"/>
  <c r="AP375" i="26"/>
  <c r="AS550" i="26"/>
  <c r="AP527" i="26"/>
  <c r="AP518" i="26"/>
  <c r="AS766" i="26"/>
  <c r="AP317" i="26"/>
  <c r="AS554" i="26"/>
  <c r="AP312" i="26"/>
  <c r="AP625" i="26"/>
  <c r="AS625" i="26"/>
  <c r="AP331" i="26"/>
  <c r="AS331" i="26"/>
  <c r="AS619" i="26"/>
  <c r="AP619" i="26"/>
  <c r="AP765" i="26"/>
  <c r="AS765" i="26"/>
  <c r="AS620" i="26"/>
  <c r="AP620" i="26"/>
  <c r="AS396" i="26"/>
  <c r="AP396" i="26"/>
  <c r="AP395" i="26"/>
  <c r="AS395" i="26"/>
  <c r="AS522" i="26"/>
  <c r="AP522" i="26"/>
  <c r="AS385" i="26"/>
  <c r="AP385" i="26"/>
  <c r="AS301" i="26"/>
  <c r="AP301" i="26"/>
  <c r="AP305" i="26"/>
  <c r="AS305" i="26"/>
  <c r="AP351" i="26"/>
  <c r="AS351" i="26"/>
  <c r="AS316" i="26"/>
  <c r="AP316" i="26"/>
  <c r="AP510" i="26"/>
  <c r="AS510" i="26"/>
  <c r="AS389" i="26"/>
  <c r="AP389" i="26"/>
  <c r="AP392" i="26"/>
  <c r="AS392" i="26"/>
  <c r="AS292" i="26"/>
  <c r="AP292" i="26"/>
  <c r="AP353" i="26"/>
  <c r="AS353" i="26"/>
  <c r="AP519" i="26"/>
  <c r="AS519" i="26"/>
  <c r="AS512" i="26"/>
  <c r="AP512" i="26"/>
  <c r="AS384" i="26"/>
  <c r="AP384" i="26"/>
  <c r="AP339" i="26"/>
  <c r="AS339" i="26"/>
  <c r="AS357" i="26"/>
  <c r="AP357" i="26"/>
  <c r="AS377" i="26"/>
  <c r="AP377" i="26"/>
  <c r="AS577" i="26"/>
  <c r="AP577" i="26"/>
  <c r="AS555" i="26"/>
  <c r="AP555" i="26"/>
  <c r="AP546" i="26"/>
  <c r="AS546" i="26"/>
  <c r="AS618" i="26"/>
  <c r="AP618" i="26"/>
  <c r="AP417" i="26"/>
  <c r="AS417" i="26"/>
  <c r="AP597" i="26"/>
  <c r="AS597" i="26"/>
  <c r="AS300" i="26"/>
  <c r="AP300" i="26"/>
  <c r="AS591" i="26"/>
  <c r="AP591" i="26"/>
  <c r="AP641" i="26"/>
  <c r="AS641" i="26"/>
  <c r="AP536" i="26"/>
  <c r="AS536" i="26"/>
  <c r="AS582" i="26"/>
  <c r="AP582" i="26"/>
  <c r="AP535" i="26"/>
  <c r="AS535" i="26"/>
  <c r="AP400" i="26"/>
  <c r="AS400" i="26"/>
  <c r="AS318" i="26"/>
  <c r="AP318" i="26"/>
  <c r="AS661" i="26"/>
  <c r="AP661" i="26"/>
  <c r="AS574" i="26"/>
  <c r="AP574" i="26"/>
  <c r="AS640" i="26"/>
  <c r="AP640" i="26"/>
  <c r="AP525" i="26"/>
  <c r="AS525" i="26"/>
  <c r="AS376" i="26"/>
  <c r="AP376" i="26"/>
  <c r="AS499" i="26"/>
  <c r="AP499" i="26"/>
  <c r="AS313" i="26"/>
  <c r="AP313" i="26"/>
  <c r="AS381" i="26"/>
  <c r="AP381" i="26"/>
  <c r="AP572" i="26"/>
  <c r="AS572" i="26"/>
  <c r="AS386" i="26"/>
  <c r="AP386" i="26"/>
  <c r="AS662" i="26"/>
  <c r="AP662" i="26"/>
  <c r="AS571" i="26"/>
  <c r="AP571" i="26"/>
  <c r="AS341" i="26"/>
  <c r="AP341" i="26"/>
  <c r="AP594" i="26"/>
  <c r="AS594" i="26"/>
  <c r="AP498" i="26"/>
  <c r="AS498" i="26"/>
  <c r="AS359" i="26"/>
  <c r="AP359" i="26"/>
  <c r="AS589" i="26"/>
  <c r="AP589" i="26"/>
  <c r="AP569" i="26"/>
  <c r="AS569" i="26"/>
  <c r="AP371" i="26"/>
  <c r="AS371" i="26"/>
  <c r="AP373" i="26"/>
  <c r="AS373" i="26"/>
  <c r="AS302" i="26"/>
  <c r="AP302" i="26"/>
  <c r="AS565" i="26"/>
  <c r="AP565" i="26"/>
  <c r="AS306" i="26"/>
  <c r="AP306" i="26"/>
  <c r="AP393" i="26"/>
  <c r="AS393" i="26"/>
  <c r="AP328" i="26"/>
  <c r="AS328" i="26"/>
  <c r="AS642" i="26"/>
  <c r="AP642" i="26"/>
  <c r="AS568" i="26"/>
  <c r="AP568" i="26"/>
  <c r="AS633" i="26"/>
  <c r="AP633" i="26"/>
  <c r="AS539" i="26"/>
  <c r="AP539" i="26"/>
  <c r="AS408" i="26"/>
  <c r="AP408" i="26"/>
  <c r="AS613" i="26"/>
  <c r="AP613" i="26"/>
  <c r="AP542" i="26"/>
  <c r="AS542" i="26"/>
  <c r="AP652" i="26"/>
  <c r="AS652" i="26"/>
  <c r="AP575" i="26"/>
  <c r="AS575" i="26"/>
  <c r="AS335" i="26"/>
  <c r="AP335" i="26"/>
  <c r="AP368" i="26"/>
  <c r="AS368" i="26"/>
  <c r="AP524" i="26"/>
  <c r="AS524" i="26"/>
  <c r="AS773" i="26"/>
  <c r="AP773" i="26"/>
  <c r="AS332" i="26"/>
  <c r="AP332" i="26"/>
  <c r="AS391" i="26"/>
  <c r="AP391" i="26"/>
  <c r="AS290" i="26"/>
  <c r="AP290" i="26"/>
  <c r="AS362" i="26"/>
  <c r="AP362" i="26"/>
  <c r="AS288" i="26"/>
  <c r="AP288" i="26"/>
  <c r="AS497" i="26"/>
  <c r="AP497" i="26"/>
  <c r="AS338" i="26"/>
  <c r="AP338" i="26"/>
  <c r="AS573" i="26"/>
  <c r="AP573" i="26"/>
  <c r="AS419" i="26"/>
  <c r="AP419" i="26"/>
  <c r="AP340" i="26"/>
  <c r="AS340" i="26"/>
  <c r="AP602" i="26"/>
  <c r="AS602" i="26"/>
  <c r="AS560" i="26"/>
  <c r="AP560" i="26"/>
  <c r="AP553" i="26"/>
  <c r="AS553" i="26"/>
  <c r="AP506" i="26"/>
  <c r="AS506" i="26"/>
  <c r="AS505" i="26"/>
  <c r="AP505" i="26"/>
  <c r="AP567" i="26"/>
  <c r="AS567" i="26"/>
  <c r="AS537" i="26"/>
  <c r="AP537" i="26"/>
  <c r="AS534" i="26"/>
  <c r="AP534" i="26"/>
  <c r="AP336" i="26"/>
  <c r="AS336" i="26"/>
  <c r="AS562" i="26"/>
  <c r="AP562" i="26"/>
  <c r="AP414" i="26"/>
  <c r="AS414" i="26"/>
  <c r="AP566" i="26"/>
  <c r="AS566" i="26"/>
  <c r="AS580" i="26"/>
  <c r="AP580" i="26"/>
  <c r="AP399" i="26"/>
  <c r="AS399" i="26"/>
  <c r="AS658" i="26"/>
  <c r="AP658" i="26"/>
  <c r="AP342" i="26"/>
  <c r="AS342" i="26"/>
  <c r="AS507" i="26"/>
  <c r="AP507" i="26"/>
  <c r="AS650" i="26"/>
  <c r="AP650" i="26"/>
  <c r="AP587" i="26"/>
  <c r="AS587" i="26"/>
  <c r="AS346" i="26"/>
  <c r="AP346" i="26"/>
  <c r="AS494" i="26"/>
  <c r="AP494" i="26"/>
  <c r="AS501" i="26"/>
  <c r="AP501" i="26"/>
  <c r="AS324" i="26"/>
  <c r="AP324" i="26"/>
  <c r="AS772" i="26"/>
  <c r="AP772" i="26"/>
  <c r="AS588" i="26"/>
  <c r="AP588" i="26"/>
  <c r="AP500" i="26"/>
  <c r="AS500" i="26"/>
  <c r="AS578" i="26"/>
  <c r="AP578" i="26"/>
  <c r="AS360" i="26"/>
  <c r="AP360" i="26"/>
  <c r="AP563" i="26"/>
  <c r="AS563" i="26"/>
  <c r="AS404" i="26"/>
  <c r="AP404" i="26"/>
  <c r="AP520" i="26"/>
  <c r="AS520" i="26"/>
  <c r="AS378" i="26"/>
  <c r="AP378" i="26"/>
  <c r="AS538" i="26"/>
  <c r="AP538" i="26"/>
  <c r="AP653" i="26"/>
  <c r="AS653" i="26"/>
  <c r="AS347" i="26"/>
  <c r="AP347" i="26"/>
  <c r="AS637" i="26"/>
  <c r="AP637" i="26"/>
  <c r="AP649" i="26"/>
  <c r="AS649" i="26"/>
  <c r="AP382" i="26"/>
  <c r="AS382" i="26"/>
  <c r="AS559" i="26"/>
  <c r="AP559" i="26"/>
  <c r="AS532" i="26"/>
  <c r="AP532" i="26"/>
  <c r="AP503" i="26"/>
  <c r="AS503" i="26"/>
  <c r="AP682" i="26"/>
  <c r="AS682" i="26"/>
  <c r="AP488" i="26"/>
  <c r="AS488" i="26"/>
  <c r="AP607" i="26"/>
  <c r="AS607" i="26"/>
  <c r="AS508" i="26"/>
  <c r="AP508" i="26"/>
  <c r="AS489" i="26"/>
  <c r="AP489" i="26"/>
  <c r="AS521" i="26"/>
  <c r="AP521" i="26"/>
  <c r="AP576" i="26"/>
  <c r="AS576" i="26"/>
  <c r="AS330" i="26"/>
  <c r="AP330" i="26"/>
  <c r="AS664" i="26"/>
  <c r="AP664" i="26"/>
  <c r="AP548" i="26"/>
  <c r="AS548" i="26"/>
  <c r="AP775" i="26"/>
  <c r="AS775" i="26"/>
  <c r="AS410" i="26"/>
  <c r="AP410" i="26"/>
  <c r="AS405" i="26"/>
  <c r="AP405" i="26"/>
  <c r="AP614" i="26"/>
  <c r="AS614" i="26"/>
  <c r="AS533" i="26"/>
  <c r="AP533" i="26"/>
  <c r="AP322" i="26"/>
  <c r="AS322" i="26"/>
  <c r="AS365" i="26"/>
  <c r="AP365" i="26"/>
  <c r="AP423" i="26"/>
  <c r="AS423" i="26"/>
  <c r="AP345" i="26"/>
  <c r="AS345" i="26"/>
  <c r="AS496" i="26"/>
  <c r="AP496" i="26"/>
  <c r="AS595" i="26"/>
  <c r="AP595" i="26"/>
  <c r="AS651" i="26"/>
  <c r="AP651" i="26"/>
  <c r="AS516" i="26"/>
  <c r="AP516" i="26"/>
  <c r="AP308" i="26"/>
  <c r="AS308" i="26"/>
  <c r="AS418" i="26"/>
  <c r="AP418" i="26"/>
  <c r="AS315" i="26"/>
  <c r="AP315" i="26"/>
  <c r="AP623" i="26"/>
  <c r="AS623" i="26"/>
  <c r="AS513" i="26"/>
  <c r="AP513" i="26"/>
  <c r="AS654" i="26"/>
  <c r="AP654" i="26"/>
  <c r="AP777" i="26"/>
  <c r="AS777" i="26"/>
  <c r="AS608" i="26"/>
  <c r="AP608" i="26"/>
  <c r="AS632" i="26"/>
  <c r="AP632" i="26"/>
  <c r="AS665" i="26"/>
  <c r="AP665" i="26"/>
  <c r="AS356" i="26"/>
  <c r="AP356" i="26"/>
  <c r="AS343" i="26"/>
  <c r="AP343" i="26"/>
  <c r="AS314" i="26"/>
  <c r="AP314" i="26"/>
  <c r="AP655" i="26"/>
  <c r="AS655" i="26"/>
  <c r="AS528" i="26"/>
  <c r="AP528" i="26"/>
  <c r="AP333" i="26"/>
  <c r="AS333" i="26"/>
  <c r="AS307" i="26"/>
  <c r="AP307" i="26"/>
  <c r="AS320" i="26"/>
  <c r="AP320" i="26"/>
  <c r="AS629" i="26"/>
  <c r="AP629" i="26"/>
  <c r="AS627" i="26"/>
  <c r="AP627" i="26"/>
  <c r="AP612" i="26"/>
  <c r="AS612" i="26"/>
  <c r="D139" i="25"/>
  <c r="B139" i="25"/>
  <c r="C139" i="25"/>
  <c r="B141" i="25"/>
  <c r="C141" i="25"/>
  <c r="D141" i="25"/>
  <c r="D140" i="25"/>
  <c r="B140" i="25"/>
  <c r="C140" i="25"/>
  <c r="B131" i="25"/>
  <c r="E132" i="25"/>
  <c r="D138" i="25"/>
  <c r="G129" i="25"/>
  <c r="H130" i="25"/>
  <c r="B132" i="25"/>
  <c r="H131" i="25"/>
  <c r="H132" i="25"/>
  <c r="B128" i="25"/>
  <c r="D131" i="25"/>
  <c r="B133" i="25"/>
  <c r="G133" i="25"/>
  <c r="C138" i="25"/>
  <c r="B130" i="25"/>
  <c r="G130" i="25"/>
  <c r="G132" i="25"/>
  <c r="B138" i="25"/>
  <c r="H129" i="25"/>
  <c r="G128" i="25"/>
  <c r="H128" i="25"/>
  <c r="E131" i="25"/>
  <c r="H133" i="25"/>
  <c r="B129" i="25"/>
  <c r="G131" i="25"/>
  <c r="D132" i="25"/>
  <c r="J25" i="25" l="1" a="1"/>
  <c r="J26" i="25" a="1"/>
  <c r="J12" i="25" a="1"/>
  <c r="J11" i="25" a="1"/>
  <c r="J24" i="25" a="1"/>
  <c r="J27" i="25" a="1"/>
  <c r="J13" i="25" a="1"/>
  <c r="J10" i="25" a="1"/>
  <c r="AS274" i="26"/>
  <c r="AP274" i="26"/>
  <c r="AP275" i="26"/>
  <c r="AS275" i="26"/>
  <c r="AP276" i="26"/>
  <c r="AS276" i="26"/>
  <c r="AP280" i="26"/>
  <c r="AS280" i="26"/>
  <c r="AS270" i="26"/>
  <c r="AP270" i="26"/>
  <c r="X8" i="38" a="1"/>
  <c r="AS277" i="26"/>
  <c r="AP277" i="26"/>
  <c r="AP111" i="26"/>
  <c r="AS111" i="26"/>
  <c r="AS12" i="26"/>
  <c r="AP12" i="26"/>
  <c r="J18" i="25" s="1" a="1"/>
  <c r="J19" i="25" a="1"/>
  <c r="J17" i="25" a="1"/>
  <c r="J20" i="25" a="1"/>
  <c r="E133" i="25"/>
  <c r="D133" i="25"/>
  <c r="F132" i="25"/>
  <c r="E129" i="25"/>
  <c r="F131" i="25"/>
  <c r="E130" i="25"/>
  <c r="E128" i="25"/>
  <c r="C128" i="25"/>
  <c r="B134" i="25"/>
  <c r="C129" i="25"/>
  <c r="C130" i="25"/>
  <c r="C132" i="25"/>
  <c r="E140" i="25"/>
  <c r="F140" i="25" s="1"/>
  <c r="E141" i="25"/>
  <c r="F141" i="25" s="1"/>
  <c r="C133" i="25"/>
  <c r="E139" i="25"/>
  <c r="F139" i="25" s="1"/>
  <c r="C131" i="25"/>
  <c r="E138" i="25"/>
  <c r="F138" i="25" s="1"/>
  <c r="G141" i="25"/>
  <c r="G140" i="25"/>
  <c r="D128" i="25"/>
  <c r="D130" i="25"/>
  <c r="G138" i="25"/>
  <c r="D129" i="25"/>
  <c r="G139" i="25"/>
  <c r="F133" i="25" l="1"/>
  <c r="F129" i="25"/>
  <c r="F130" i="25"/>
  <c r="E134" i="25"/>
  <c r="D134" i="25"/>
  <c r="F128" i="25"/>
  <c r="C134" i="25"/>
  <c r="F134" i="25" l="1"/>
  <c r="C62" i="25" l="1"/>
  <c r="C61" i="25"/>
  <c r="C63" i="25"/>
  <c r="C64" i="25" l="1"/>
  <c r="F59" i="25"/>
  <c r="F64" i="25"/>
  <c r="F62" i="25"/>
  <c r="F65" i="25"/>
  <c r="F61" i="25"/>
  <c r="F60" i="25"/>
  <c r="F76" i="25"/>
  <c r="C60" i="25"/>
  <c r="C65" i="25"/>
  <c r="C59" i="25"/>
  <c r="F63" i="25"/>
  <c r="E74" i="25"/>
  <c r="E76" i="25"/>
  <c r="C75" i="25"/>
  <c r="E60" i="25" l="1"/>
  <c r="C76" i="25"/>
  <c r="C74" i="25"/>
  <c r="F75" i="25"/>
  <c r="E72" i="25"/>
  <c r="E75" i="25"/>
  <c r="F73" i="25"/>
  <c r="E71" i="25"/>
  <c r="C70" i="25"/>
  <c r="C71" i="25"/>
  <c r="E73" i="25"/>
  <c r="E70" i="25"/>
  <c r="F74" i="25"/>
  <c r="C72" i="25"/>
  <c r="C73" i="25"/>
  <c r="E61" i="25"/>
  <c r="E59" i="25"/>
  <c r="C66" i="25"/>
  <c r="E66" i="25" l="1"/>
  <c r="C77" i="25"/>
  <c r="D63" i="25"/>
  <c r="D60" i="25"/>
  <c r="D64" i="25"/>
  <c r="D65" i="25"/>
  <c r="D62" i="25"/>
  <c r="D61" i="25"/>
  <c r="D59" i="25"/>
  <c r="D66" i="25" l="1"/>
  <c r="D71" i="25"/>
  <c r="D73" i="25"/>
  <c r="D76" i="25"/>
  <c r="D72" i="25"/>
  <c r="D70" i="25"/>
  <c r="D75" i="25"/>
  <c r="D74" i="25"/>
  <c r="D77" i="25" l="1"/>
  <c r="BP796" i="26" s="1"/>
  <c r="BP792" i="26" s="1"/>
  <c r="BP791" i="26" s="1"/>
  <c r="BP790" i="26" s="1"/>
  <c r="BP789" i="26" s="1"/>
  <c r="BP788" i="26" s="1"/>
  <c r="BP787" i="26" s="1"/>
  <c r="BP786" i="26" s="1"/>
  <c r="BP785" i="26" s="1"/>
  <c r="BP784" i="26" s="1"/>
  <c r="BP783" i="26" s="1"/>
  <c r="BP782" i="26" s="1"/>
  <c r="BP776" i="26" s="1"/>
  <c r="BP775" i="26" s="1"/>
  <c r="BP774" i="26" s="1"/>
  <c r="BP773" i="26" s="1"/>
  <c r="BP772" i="26" s="1"/>
  <c r="BP771" i="26" s="1"/>
  <c r="BP770" i="26" s="1"/>
  <c r="BP768" i="26" s="1"/>
  <c r="BP767" i="26" s="1"/>
  <c r="BP766" i="26" s="1"/>
  <c r="BP765" i="26" s="1"/>
  <c r="BP764" i="26" s="1"/>
  <c r="BP763" i="26" s="1"/>
  <c r="BP762" i="26" s="1"/>
  <c r="BP761" i="26" s="1"/>
  <c r="BP760" i="26" s="1"/>
  <c r="BP755" i="26" s="1"/>
  <c r="BP754" i="26" s="1"/>
  <c r="BP753" i="26" s="1"/>
  <c r="BP750" i="26" s="1"/>
  <c r="BP749" i="26" s="1"/>
  <c r="BP748" i="26" s="1"/>
  <c r="BP747" i="26" s="1"/>
  <c r="BP746" i="26" s="1"/>
  <c r="BP745" i="26" s="1"/>
  <c r="BP744" i="26" s="1"/>
  <c r="BP743" i="26" s="1"/>
  <c r="BP742" i="26" s="1"/>
  <c r="BP741" i="26" s="1"/>
  <c r="BP740" i="26" s="1"/>
  <c r="BP739" i="26" s="1"/>
  <c r="BP738" i="26" s="1"/>
  <c r="BP737" i="26" s="1"/>
  <c r="BP736" i="26" s="1"/>
  <c r="BP735" i="26" s="1"/>
  <c r="BP734" i="26" s="1"/>
  <c r="BP733" i="26" s="1"/>
  <c r="BP731" i="26" s="1"/>
  <c r="BP730" i="26" s="1"/>
  <c r="BP729" i="26" s="1"/>
  <c r="BP728" i="26" s="1"/>
  <c r="BP727" i="26" s="1"/>
  <c r="BP726" i="26" s="1"/>
  <c r="BP725" i="26" s="1"/>
  <c r="BP724" i="26" s="1"/>
  <c r="BP723" i="26" s="1"/>
  <c r="BP722" i="26" s="1"/>
  <c r="BP721" i="26" s="1"/>
  <c r="BP720" i="26" s="1"/>
  <c r="BP719" i="26" s="1"/>
  <c r="BP718" i="26" s="1"/>
  <c r="BP717" i="26" s="1"/>
  <c r="BP716" i="26" s="1"/>
  <c r="BP715" i="26" s="1"/>
  <c r="BP714" i="26" s="1"/>
  <c r="BP713" i="26" s="1"/>
  <c r="BP711" i="26" s="1"/>
  <c r="BP710" i="26" s="1"/>
  <c r="BP709" i="26" s="1"/>
  <c r="BP708" i="26" s="1"/>
  <c r="BP707" i="26" s="1"/>
  <c r="BP706" i="26" s="1"/>
  <c r="BP704" i="26" s="1"/>
  <c r="BP703" i="26" s="1"/>
  <c r="BP702" i="26" s="1"/>
  <c r="BP701" i="26" s="1"/>
  <c r="BP700" i="26" s="1"/>
  <c r="BP699" i="26" s="1"/>
  <c r="BP698" i="26" s="1"/>
  <c r="BP697" i="26" s="1"/>
  <c r="BP696" i="26" s="1"/>
  <c r="BP695" i="26" s="1"/>
  <c r="BP694" i="26" s="1"/>
  <c r="BP693" i="26" s="1"/>
  <c r="BP691" i="26" s="1"/>
  <c r="BP689" i="26" s="1"/>
  <c r="BP688" i="26" s="1"/>
  <c r="BP687" i="26" s="1"/>
  <c r="BP685" i="26" s="1"/>
  <c r="BP684" i="26" s="1"/>
  <c r="BP683" i="26" s="1"/>
  <c r="BP682" i="26" s="1"/>
  <c r="BP681" i="26" s="1"/>
  <c r="BP680" i="26" s="1"/>
  <c r="BP679" i="26" s="1"/>
  <c r="BP678" i="26" s="1"/>
  <c r="BP676" i="26" s="1"/>
  <c r="BP674" i="26" s="1"/>
  <c r="BP673" i="26" s="1"/>
  <c r="BP672" i="26" s="1"/>
  <c r="BP669" i="26" s="1"/>
  <c r="BP668" i="26" s="1"/>
  <c r="BP667" i="26" s="1"/>
  <c r="BP666" i="26" s="1"/>
  <c r="BP665" i="26" s="1"/>
  <c r="BP664" i="26" s="1"/>
  <c r="BP663" i="26" s="1"/>
  <c r="BP661" i="26" s="1"/>
  <c r="BP660" i="26" s="1"/>
  <c r="BP659" i="26" s="1"/>
  <c r="BP658" i="26" s="1"/>
  <c r="BP657" i="26" s="1"/>
  <c r="BP656" i="26" s="1"/>
  <c r="BP651" i="26" s="1"/>
  <c r="BP648" i="26" s="1"/>
  <c r="BP645" i="26" s="1"/>
  <c r="BP644" i="26" s="1"/>
  <c r="BP635" i="26" s="1"/>
  <c r="BP631" i="26" s="1"/>
  <c r="BP630" i="26" s="1"/>
  <c r="BP629" i="26" s="1"/>
  <c r="BP628" i="26" s="1"/>
  <c r="BP627" i="26" s="1"/>
  <c r="BP625" i="26" s="1"/>
  <c r="BP623" i="26" s="1"/>
  <c r="BP621" i="26" s="1"/>
  <c r="BP620" i="26" s="1"/>
  <c r="BP619" i="26" s="1"/>
  <c r="BP618" i="26" s="1"/>
  <c r="BP617" i="26" s="1"/>
  <c r="BP616" i="26" s="1"/>
  <c r="BP615" i="26" s="1"/>
  <c r="BP614" i="26" s="1"/>
  <c r="BP613" i="26" s="1"/>
  <c r="BP612" i="26" s="1"/>
  <c r="BP611" i="26" s="1"/>
  <c r="BP610" i="26" s="1"/>
  <c r="BP609" i="26" s="1"/>
  <c r="BP608" i="26" s="1"/>
  <c r="BP607" i="26" s="1"/>
  <c r="BP606" i="26" s="1"/>
  <c r="BP605" i="26" s="1"/>
  <c r="BP604" i="26" s="1"/>
  <c r="BP603" i="26" s="1"/>
  <c r="BP602" i="26" s="1"/>
  <c r="BP601" i="26" s="1"/>
  <c r="BP600" i="26" s="1"/>
  <c r="BP599" i="26" s="1"/>
  <c r="BP598" i="26" s="1"/>
  <c r="BP597" i="26" s="1"/>
  <c r="BP596" i="26" s="1"/>
  <c r="BP595" i="26" s="1"/>
  <c r="BP594" i="26" s="1"/>
  <c r="BP593" i="26" s="1"/>
  <c r="BP592" i="26" s="1"/>
  <c r="BP591" i="26" s="1"/>
  <c r="BP590" i="26" s="1"/>
  <c r="BP589" i="26" s="1"/>
  <c r="BP588" i="26" s="1"/>
  <c r="BP587" i="26" s="1"/>
  <c r="BP586" i="26" s="1"/>
  <c r="BP585" i="26" s="1"/>
  <c r="BP584" i="26" s="1"/>
  <c r="BP583" i="26" s="1"/>
  <c r="BP582" i="26" s="1"/>
  <c r="BP581" i="26" s="1"/>
  <c r="BP580" i="26" s="1"/>
  <c r="BP579" i="26" s="1"/>
  <c r="BP578" i="26" s="1"/>
  <c r="BP577" i="26" s="1"/>
  <c r="BP576" i="26" s="1"/>
  <c r="BP575" i="26" s="1"/>
  <c r="BP574" i="26" s="1"/>
  <c r="BP573" i="26" s="1"/>
  <c r="BP572" i="26" s="1"/>
  <c r="BP571" i="26" s="1"/>
  <c r="BP570" i="26" s="1"/>
  <c r="BP568" i="26" s="1"/>
  <c r="BP567" i="26" s="1"/>
  <c r="BP566" i="26" s="1"/>
  <c r="BP565" i="26" s="1"/>
  <c r="BP564" i="26" s="1"/>
  <c r="BP563" i="26" s="1"/>
  <c r="BP561" i="26" s="1"/>
  <c r="BP549" i="26" s="1"/>
  <c r="BP547" i="26" s="1"/>
  <c r="BP546" i="26" s="1"/>
  <c r="BP541" i="26" s="1"/>
  <c r="BP540" i="26" s="1"/>
  <c r="BP539" i="26" s="1"/>
  <c r="BP538" i="26" s="1"/>
  <c r="BP537" i="26" s="1"/>
  <c r="BP536" i="26" s="1"/>
  <c r="BP535" i="26" s="1"/>
  <c r="BP534" i="26" s="1"/>
  <c r="BP533" i="26" s="1"/>
  <c r="BP529" i="26" s="1"/>
  <c r="BP526" i="26" s="1"/>
  <c r="BP524" i="26" s="1"/>
  <c r="BP522" i="26" s="1"/>
  <c r="BP521" i="26" s="1"/>
  <c r="BP520" i="26" s="1"/>
  <c r="BP519" i="26" s="1"/>
  <c r="BP518" i="26" s="1"/>
  <c r="BP515" i="26" s="1"/>
  <c r="BP514" i="26" s="1"/>
  <c r="BP509" i="26" s="1"/>
  <c r="BP504" i="26" s="1"/>
  <c r="BP503" i="26" s="1"/>
  <c r="BP502" i="26" s="1"/>
  <c r="BP501" i="26" s="1"/>
  <c r="BP500" i="26" s="1"/>
  <c r="BP499" i="26" s="1"/>
  <c r="BP498" i="26" s="1"/>
  <c r="BP497" i="26" s="1"/>
  <c r="BP496" i="26" s="1"/>
  <c r="BP495" i="26" s="1"/>
  <c r="BP494" i="26" s="1"/>
  <c r="BP493" i="26" s="1"/>
  <c r="BP492" i="26" s="1"/>
  <c r="BP491" i="26" s="1"/>
  <c r="BP490" i="26" s="1"/>
  <c r="BP489" i="26" s="1"/>
  <c r="BP488" i="26" s="1"/>
  <c r="BP487" i="26" s="1"/>
  <c r="BP486" i="26" s="1"/>
  <c r="BP485" i="26" s="1"/>
  <c r="BP484" i="26" s="1"/>
  <c r="BP483" i="26" s="1"/>
  <c r="BP482" i="26" s="1"/>
  <c r="BP481" i="26" s="1"/>
  <c r="BP480" i="26" s="1"/>
  <c r="BP479" i="26" s="1"/>
  <c r="BP478" i="26" s="1"/>
  <c r="BP477" i="26" s="1"/>
  <c r="BP476" i="26" s="1"/>
  <c r="BP475" i="26" s="1"/>
  <c r="BP474" i="26" s="1"/>
  <c r="BP473" i="26" s="1"/>
  <c r="BP472" i="26" s="1"/>
  <c r="BP470" i="26" s="1"/>
  <c r="BP468" i="26" s="1"/>
  <c r="BP467" i="26" s="1"/>
  <c r="BP466" i="26" s="1"/>
  <c r="BP465" i="26" s="1"/>
  <c r="BP463" i="26" s="1"/>
  <c r="BP461" i="26" s="1"/>
  <c r="BP460" i="26" s="1"/>
  <c r="BP459" i="26" s="1"/>
  <c r="BP458" i="26" s="1"/>
  <c r="BP457" i="26" s="1"/>
  <c r="BP456" i="26" s="1"/>
  <c r="BP455" i="26" s="1"/>
  <c r="BP454" i="26" s="1"/>
  <c r="BP453" i="26" s="1"/>
  <c r="BP452" i="26" s="1"/>
  <c r="BP451" i="26" s="1"/>
  <c r="BP450" i="26" s="1"/>
  <c r="BP449" i="26" s="1"/>
  <c r="BP448" i="26" s="1"/>
  <c r="BP447" i="26" s="1"/>
  <c r="BP446" i="26" s="1"/>
  <c r="BP445" i="26" s="1"/>
  <c r="BP444" i="26" s="1"/>
  <c r="BP443" i="26" s="1"/>
  <c r="BP442" i="26" s="1"/>
  <c r="BP441" i="26" s="1"/>
  <c r="BP440" i="26" s="1"/>
  <c r="BP439" i="26" s="1"/>
  <c r="BP438" i="26" s="1"/>
  <c r="BP437" i="26" s="1"/>
  <c r="BP436" i="26" s="1"/>
  <c r="BP435" i="26" s="1"/>
  <c r="BP433" i="26" s="1"/>
  <c r="BP432" i="26" s="1"/>
  <c r="BP431" i="26" s="1"/>
  <c r="BP429" i="26" s="1"/>
  <c r="BP428" i="26" s="1"/>
  <c r="BP427" i="26" s="1"/>
  <c r="BP426" i="26" s="1"/>
  <c r="BP425" i="26" s="1"/>
  <c r="BP424" i="26" s="1"/>
  <c r="BP420" i="26" s="1"/>
  <c r="BP419" i="26" s="1"/>
  <c r="BP418" i="26" s="1"/>
  <c r="BP416" i="26" s="1"/>
  <c r="BP415" i="26" s="1"/>
  <c r="BP414" i="26" s="1"/>
  <c r="BP413" i="26" s="1"/>
  <c r="BP412" i="26" s="1"/>
  <c r="BP411" i="26" s="1"/>
  <c r="BP410" i="26" s="1"/>
  <c r="BP409" i="26" s="1"/>
  <c r="BP408" i="26" s="1"/>
  <c r="BP407" i="26" s="1"/>
  <c r="BP406" i="26" s="1"/>
  <c r="BP403" i="26" s="1"/>
  <c r="BP402" i="26" s="1"/>
  <c r="BP400" i="26" s="1"/>
  <c r="BP399" i="26" s="1"/>
  <c r="BP397" i="26" s="1"/>
  <c r="BP396" i="26" s="1"/>
  <c r="BP395" i="26" s="1"/>
  <c r="BP394" i="26" s="1"/>
  <c r="BP393" i="26" s="1"/>
  <c r="BP391" i="26" s="1"/>
  <c r="BP389" i="26" s="1"/>
  <c r="BP388" i="26" s="1"/>
  <c r="BP387" i="26" s="1"/>
  <c r="BP385" i="26" s="1"/>
  <c r="BP384" i="26" s="1"/>
  <c r="BP383" i="26" s="1"/>
  <c r="BP382" i="26" s="1"/>
  <c r="BP381" i="26" s="1"/>
  <c r="BP380" i="26" s="1"/>
  <c r="BP379" i="26" s="1"/>
  <c r="BP378" i="26" s="1"/>
  <c r="BP377" i="26" s="1"/>
  <c r="BP376" i="26" s="1"/>
  <c r="BP375" i="26" s="1"/>
  <c r="BP374" i="26" s="1"/>
  <c r="BP373" i="26" s="1"/>
  <c r="BP372" i="26" s="1"/>
  <c r="BP371" i="26" s="1"/>
  <c r="BP370" i="26" s="1"/>
  <c r="BP369" i="26" s="1"/>
  <c r="BP368" i="26" s="1"/>
  <c r="BP367" i="26" s="1"/>
  <c r="BP366" i="26" s="1"/>
  <c r="BP365" i="26" s="1"/>
  <c r="BP364" i="26" s="1"/>
  <c r="BP363" i="26" s="1"/>
  <c r="BP362" i="26" s="1"/>
  <c r="BP361" i="26" s="1"/>
  <c r="BP360" i="26" s="1"/>
  <c r="BP359" i="26" s="1"/>
  <c r="BP358" i="26" s="1"/>
  <c r="BP357" i="26" s="1"/>
  <c r="BP356" i="26" s="1"/>
  <c r="BP355" i="26" s="1"/>
  <c r="BP354" i="26" s="1"/>
  <c r="BP353" i="26" s="1"/>
  <c r="BP352" i="26" s="1"/>
  <c r="BP351" i="26" s="1"/>
  <c r="BP350" i="26" s="1"/>
  <c r="BP349" i="26" s="1"/>
  <c r="BP348" i="26" s="1"/>
  <c r="BP347" i="26" s="1"/>
  <c r="BP346" i="26" s="1"/>
  <c r="BP345" i="26" s="1"/>
  <c r="BP344" i="26" s="1"/>
  <c r="BP343" i="26" s="1"/>
  <c r="BP342" i="26" s="1"/>
  <c r="BP341" i="26" s="1"/>
  <c r="BP340" i="26" s="1"/>
  <c r="BP339" i="26" s="1"/>
  <c r="BP337" i="26" s="1"/>
  <c r="BP336" i="26" s="1"/>
  <c r="BP335" i="26" s="1"/>
  <c r="BP334" i="26" s="1"/>
  <c r="BP333" i="26" s="1"/>
  <c r="BP332" i="26" s="1"/>
  <c r="BP331" i="26" s="1"/>
  <c r="BP330" i="26" s="1"/>
  <c r="BP329" i="26" s="1"/>
  <c r="BP328" i="26" s="1"/>
  <c r="BP327" i="26" s="1"/>
  <c r="BP326" i="26" s="1"/>
  <c r="BP325" i="26" s="1"/>
  <c r="BP324" i="26" s="1"/>
  <c r="BP323" i="26" s="1"/>
  <c r="BP322" i="26" s="1"/>
  <c r="BP321" i="26" s="1"/>
  <c r="BP320" i="26" s="1"/>
  <c r="BP319" i="26" s="1"/>
  <c r="BP318" i="26" s="1"/>
  <c r="BP317" i="26" s="1"/>
  <c r="BP316" i="26" s="1"/>
  <c r="BP315" i="26" s="1"/>
  <c r="BP314" i="26" s="1"/>
  <c r="BP313" i="26" s="1"/>
  <c r="BP312" i="26" s="1"/>
  <c r="BP311" i="26" s="1"/>
  <c r="BP310" i="26" s="1"/>
  <c r="BP309" i="26" s="1"/>
  <c r="BP308" i="26" s="1"/>
  <c r="BP307" i="26" s="1"/>
  <c r="BP306" i="26" s="1"/>
  <c r="BP305" i="26" s="1"/>
  <c r="BP304" i="26" s="1"/>
  <c r="BP303" i="26" s="1"/>
  <c r="BP302" i="26" s="1"/>
  <c r="BP301" i="26" s="1"/>
  <c r="BP300" i="26" s="1"/>
  <c r="BP298" i="26" s="1"/>
  <c r="BP297" i="26" s="1"/>
  <c r="BP296" i="26" s="1"/>
  <c r="BP295" i="26" s="1"/>
  <c r="BP291" i="26" s="1"/>
  <c r="BP290" i="26" s="1"/>
  <c r="BP289" i="26" s="1"/>
  <c r="BP288" i="26" s="1"/>
  <c r="BP287" i="26" s="1"/>
  <c r="BP286" i="26" s="1"/>
  <c r="BP285" i="26" s="1"/>
  <c r="BP284" i="26" s="1"/>
  <c r="BP283" i="26" s="1"/>
  <c r="BP282" i="26" s="1"/>
  <c r="BP281" i="26" s="1"/>
  <c r="BP280" i="26" s="1"/>
  <c r="BP279" i="26" s="1"/>
  <c r="BP278" i="26" s="1"/>
  <c r="BP277" i="26" s="1"/>
  <c r="BP276" i="26" s="1"/>
  <c r="BP275" i="26" s="1"/>
  <c r="BP274" i="26" s="1"/>
  <c r="BP273" i="26" s="1"/>
  <c r="BP272" i="26" s="1"/>
  <c r="BP271" i="26" s="1"/>
  <c r="BP270" i="26" s="1"/>
  <c r="BP269" i="26" s="1"/>
  <c r="BP268" i="26" s="1"/>
  <c r="BP266" i="26" s="1"/>
  <c r="BP265" i="26" s="1"/>
  <c r="BP264" i="26" s="1"/>
  <c r="BP263" i="26" s="1"/>
  <c r="BP262" i="26" s="1"/>
  <c r="BP261" i="26" s="1"/>
  <c r="BP260" i="26" s="1"/>
  <c r="BP259" i="26" s="1"/>
  <c r="BP258" i="26" s="1"/>
  <c r="BP257" i="26" s="1"/>
  <c r="BP255" i="26" s="1"/>
  <c r="BP253" i="26" s="1"/>
  <c r="BP252" i="26" s="1"/>
  <c r="BP251" i="26" s="1"/>
  <c r="BP250" i="26" s="1"/>
  <c r="BP249" i="26" s="1"/>
  <c r="BP248" i="26" s="1"/>
  <c r="BP244" i="26" s="1"/>
  <c r="BP242" i="26" s="1"/>
  <c r="BP241" i="26" s="1"/>
  <c r="BP240" i="26" s="1"/>
  <c r="BP239" i="26" s="1"/>
  <c r="BP236" i="26" s="1"/>
  <c r="BP235" i="26" s="1"/>
  <c r="BP234" i="26" s="1"/>
  <c r="BP233" i="26" s="1"/>
  <c r="BP232" i="26" s="1"/>
  <c r="BP231" i="26" s="1"/>
  <c r="BP230" i="26" s="1"/>
  <c r="BP229" i="26" s="1"/>
  <c r="BP228" i="26" s="1"/>
  <c r="BP227" i="26" s="1"/>
  <c r="BP226" i="26" s="1"/>
  <c r="BP225" i="26" s="1"/>
  <c r="BP224" i="26" s="1"/>
  <c r="BP223" i="26" s="1"/>
  <c r="BP222" i="26" s="1"/>
  <c r="BP221" i="26" s="1"/>
  <c r="BP220" i="26" s="1"/>
  <c r="BP219" i="26" s="1"/>
  <c r="BP218" i="26" s="1"/>
  <c r="BP217" i="26" s="1"/>
  <c r="BP215" i="26" s="1"/>
  <c r="BP214" i="26" s="1"/>
  <c r="BP213" i="26" s="1"/>
  <c r="BP212" i="26" s="1"/>
  <c r="BP211" i="26" s="1"/>
  <c r="BP210" i="26" s="1"/>
  <c r="BP209" i="26" s="1"/>
  <c r="BP208" i="26" s="1"/>
  <c r="BP207" i="26" s="1"/>
  <c r="BP206" i="26" s="1"/>
  <c r="BP205" i="26" s="1"/>
  <c r="BP204" i="26" s="1"/>
  <c r="BP203" i="26" s="1"/>
  <c r="BP196" i="26" s="1"/>
  <c r="BP195" i="26" s="1"/>
  <c r="BP194" i="26" s="1"/>
  <c r="BP193" i="26" s="1"/>
  <c r="BP192" i="26" s="1"/>
  <c r="BP191" i="26" s="1"/>
  <c r="BP190" i="26" s="1"/>
  <c r="BP189" i="26" s="1"/>
  <c r="BP188" i="26" s="1"/>
  <c r="BP187" i="26" s="1"/>
  <c r="BP186" i="26" s="1"/>
  <c r="BP185" i="26" s="1"/>
  <c r="BP184" i="26" s="1"/>
  <c r="BP183" i="26" s="1"/>
  <c r="BP182" i="26" s="1"/>
  <c r="BP181" i="26" s="1"/>
  <c r="BP180" i="26" s="1"/>
  <c r="BP179" i="26" s="1"/>
  <c r="BP177" i="26" s="1"/>
  <c r="BP176" i="26" s="1"/>
  <c r="BP175" i="26" s="1"/>
  <c r="BP174" i="26" s="1"/>
  <c r="BP173" i="26" s="1"/>
  <c r="BP172" i="26" s="1"/>
  <c r="BP171" i="26" s="1"/>
  <c r="BP170" i="26" s="1"/>
  <c r="BP169" i="26" s="1"/>
  <c r="BP168" i="26" s="1"/>
  <c r="BP167" i="26" s="1"/>
  <c r="BP166" i="26" s="1"/>
  <c r="BP165" i="26" s="1"/>
  <c r="BP164" i="26" s="1"/>
  <c r="BP163" i="26" s="1"/>
  <c r="BP161" i="26" s="1"/>
  <c r="BP160" i="26" s="1"/>
  <c r="BP158" i="26" s="1"/>
  <c r="BP157" i="26" s="1"/>
  <c r="BP156" i="26" s="1"/>
  <c r="BP155" i="26" s="1"/>
  <c r="BP154" i="26" s="1"/>
  <c r="BP153" i="26" s="1"/>
  <c r="BP152" i="26" s="1"/>
  <c r="BP151" i="26" s="1"/>
  <c r="BP150" i="26" s="1"/>
  <c r="BP149" i="26" s="1"/>
  <c r="BP148" i="26" s="1"/>
  <c r="BP144" i="26" s="1"/>
  <c r="BP143" i="26" s="1"/>
  <c r="BP142" i="26" s="1"/>
  <c r="BP140" i="26" s="1"/>
  <c r="BP139" i="26" s="1"/>
  <c r="BP138" i="26" s="1"/>
  <c r="BP137" i="26" s="1"/>
  <c r="BP136" i="26" s="1"/>
  <c r="BP132" i="26" s="1"/>
  <c r="BP131" i="26" s="1"/>
  <c r="BP130" i="26" s="1"/>
  <c r="BP129" i="26" s="1"/>
  <c r="BP128" i="26" s="1"/>
  <c r="BP127" i="26" s="1"/>
  <c r="BP126" i="26" s="1"/>
  <c r="BP125" i="26" s="1"/>
  <c r="BP124" i="26" s="1"/>
  <c r="BP123" i="26" s="1"/>
  <c r="BP122" i="26" s="1"/>
  <c r="BP121" i="26" s="1"/>
  <c r="BP120" i="26" s="1"/>
  <c r="BP119" i="26" s="1"/>
  <c r="BP118" i="26" s="1"/>
  <c r="BP117" i="26" s="1"/>
  <c r="BP116" i="26" s="1"/>
  <c r="BP114" i="26" s="1"/>
  <c r="BP112" i="26" s="1"/>
  <c r="BP111" i="26" s="1"/>
  <c r="BP110" i="26" s="1"/>
  <c r="BP109" i="26" s="1"/>
  <c r="BP108" i="26" s="1"/>
  <c r="BP107" i="26" s="1"/>
  <c r="BP106" i="26" s="1"/>
  <c r="BP94" i="26" s="1"/>
  <c r="BP93" i="26" s="1"/>
  <c r="BP92" i="26" s="1"/>
  <c r="BP91" i="26" s="1"/>
  <c r="BP90" i="26" s="1"/>
  <c r="BP89" i="26" s="1"/>
  <c r="BP88" i="26" s="1"/>
  <c r="BP87" i="26" s="1"/>
  <c r="BP86" i="26" s="1"/>
  <c r="BP85" i="26" s="1"/>
  <c r="BP84" i="26" s="1"/>
  <c r="BP83" i="26" s="1"/>
  <c r="BP82" i="26" s="1"/>
  <c r="BP81" i="26" s="1"/>
  <c r="BP80" i="26" s="1"/>
  <c r="BP79" i="26" s="1"/>
  <c r="BP78" i="26" s="1"/>
  <c r="BP77" i="26" s="1"/>
  <c r="BP76" i="26" s="1"/>
  <c r="BP75" i="26" s="1"/>
  <c r="BP74" i="26" s="1"/>
  <c r="BP73" i="26" s="1"/>
  <c r="BP72" i="26" s="1"/>
  <c r="BP71" i="26" s="1"/>
  <c r="BP70" i="26" s="1"/>
  <c r="BP68" i="26" s="1"/>
  <c r="BP67" i="26" s="1"/>
  <c r="BP66" i="26" s="1"/>
  <c r="BP65" i="26" s="1"/>
  <c r="BP64" i="26" s="1"/>
  <c r="BP63" i="26" s="1"/>
  <c r="BP62" i="26" s="1"/>
  <c r="BP61" i="26" s="1"/>
  <c r="BP60" i="26" s="1"/>
  <c r="BP59" i="26" s="1"/>
  <c r="BP58" i="26" s="1"/>
  <c r="BP57" i="26" s="1"/>
  <c r="BP56" i="26" s="1"/>
  <c r="BP55" i="26" s="1"/>
  <c r="BP54" i="26" s="1"/>
  <c r="BP53" i="26" s="1"/>
  <c r="BP52" i="26" s="1"/>
  <c r="BP51" i="26" s="1"/>
  <c r="BP50" i="26" s="1"/>
  <c r="BP48" i="26" s="1"/>
  <c r="BP47" i="26" s="1"/>
  <c r="BP46" i="26" s="1"/>
  <c r="BP45" i="26" s="1"/>
  <c r="BP44" i="26" s="1"/>
  <c r="BP43" i="26" s="1"/>
  <c r="BP42" i="26" s="1"/>
  <c r="BP41" i="26" s="1"/>
  <c r="BP40" i="26" s="1"/>
  <c r="BP39" i="26" s="1"/>
  <c r="BP38" i="26" s="1"/>
  <c r="BP36" i="26" s="1"/>
  <c r="BP35" i="26" s="1"/>
  <c r="BP34" i="26" s="1"/>
  <c r="BP33" i="26" s="1"/>
  <c r="BP32" i="26" s="1"/>
  <c r="BP31" i="26" s="1"/>
  <c r="BP30" i="26" s="1"/>
  <c r="BP29" i="26" s="1"/>
  <c r="BP27" i="26" s="1"/>
  <c r="BP26" i="26" s="1"/>
  <c r="BP25" i="26" s="1"/>
  <c r="BP24" i="26" s="1"/>
  <c r="BP23" i="26" s="1"/>
  <c r="BP22" i="26" s="1"/>
  <c r="BP21" i="26" s="1"/>
  <c r="BP20" i="26" s="1"/>
  <c r="BP19" i="26" s="1"/>
  <c r="BP18" i="26" s="1"/>
  <c r="BP17" i="26" s="1"/>
  <c r="BP16" i="26" s="1"/>
  <c r="BP15" i="26" s="1"/>
  <c r="BP14" i="26" s="1"/>
  <c r="BP13" i="26" s="1"/>
  <c r="BP12" i="26" s="1"/>
  <c r="BP11" i="26" s="1"/>
  <c r="BQ89" i="26" l="1"/>
  <c r="BS89" i="26"/>
  <c r="BQ689" i="26"/>
  <c r="BS689" i="26"/>
  <c r="BS15" i="26"/>
  <c r="BQ15" i="26"/>
  <c r="BS23" i="26"/>
  <c r="BQ23" i="26"/>
  <c r="BS31" i="26"/>
  <c r="BQ31" i="26"/>
  <c r="BQ39" i="26"/>
  <c r="BS39" i="26"/>
  <c r="BS47" i="26"/>
  <c r="BQ47" i="26"/>
  <c r="BS55" i="26"/>
  <c r="BQ55" i="26"/>
  <c r="BS63" i="26"/>
  <c r="BQ63" i="26"/>
  <c r="BS71" i="26"/>
  <c r="BQ71" i="26"/>
  <c r="BS79" i="26"/>
  <c r="BQ79" i="26"/>
  <c r="BQ87" i="26"/>
  <c r="BS87" i="26"/>
  <c r="BQ111" i="26"/>
  <c r="BS111" i="26"/>
  <c r="BS119" i="26"/>
  <c r="BQ119" i="26"/>
  <c r="BQ127" i="26"/>
  <c r="BS127" i="26"/>
  <c r="BS143" i="26"/>
  <c r="BQ143" i="26"/>
  <c r="BQ151" i="26"/>
  <c r="BS151" i="26"/>
  <c r="BQ167" i="26"/>
  <c r="BS167" i="26"/>
  <c r="BQ175" i="26"/>
  <c r="BS175" i="26"/>
  <c r="BQ183" i="26"/>
  <c r="BS183" i="26"/>
  <c r="BS191" i="26"/>
  <c r="BQ191" i="26"/>
  <c r="BQ207" i="26"/>
  <c r="BS207" i="26"/>
  <c r="BS215" i="26"/>
  <c r="BQ215" i="26"/>
  <c r="BS223" i="26"/>
  <c r="BQ223" i="26"/>
  <c r="BS231" i="26"/>
  <c r="BQ231" i="26"/>
  <c r="BS239" i="26"/>
  <c r="BQ239" i="26"/>
  <c r="BQ255" i="26"/>
  <c r="BS255" i="26"/>
  <c r="BS263" i="26"/>
  <c r="BQ263" i="26"/>
  <c r="BQ271" i="26"/>
  <c r="BS271" i="26"/>
  <c r="BS279" i="26"/>
  <c r="BQ279" i="26"/>
  <c r="BQ287" i="26"/>
  <c r="BS287" i="26"/>
  <c r="BQ295" i="26"/>
  <c r="BS295" i="26"/>
  <c r="BQ303" i="26"/>
  <c r="BS303" i="26"/>
  <c r="BQ311" i="26"/>
  <c r="BS311" i="26"/>
  <c r="BQ319" i="26"/>
  <c r="BS319" i="26"/>
  <c r="BQ327" i="26"/>
  <c r="BS327" i="26"/>
  <c r="BQ335" i="26"/>
  <c r="BS335" i="26"/>
  <c r="BQ343" i="26"/>
  <c r="BS343" i="26"/>
  <c r="BS351" i="26"/>
  <c r="BQ351" i="26"/>
  <c r="BS359" i="26"/>
  <c r="BQ359" i="26"/>
  <c r="BS367" i="26"/>
  <c r="BQ367" i="26"/>
  <c r="BS375" i="26"/>
  <c r="BQ375" i="26"/>
  <c r="BS383" i="26"/>
  <c r="BQ383" i="26"/>
  <c r="BQ391" i="26"/>
  <c r="BS391" i="26"/>
  <c r="BS399" i="26"/>
  <c r="BQ399" i="26"/>
  <c r="BS407" i="26"/>
  <c r="BQ407" i="26"/>
  <c r="BQ415" i="26"/>
  <c r="BS415" i="26"/>
  <c r="BQ431" i="26"/>
  <c r="BS431" i="26"/>
  <c r="BQ439" i="26"/>
  <c r="BS439" i="26"/>
  <c r="BS447" i="26"/>
  <c r="BQ447" i="26"/>
  <c r="BQ455" i="26"/>
  <c r="BS455" i="26"/>
  <c r="BS463" i="26"/>
  <c r="BQ463" i="26"/>
  <c r="BQ479" i="26"/>
  <c r="BS479" i="26"/>
  <c r="BQ487" i="26"/>
  <c r="BS487" i="26"/>
  <c r="BS495" i="26"/>
  <c r="BQ495" i="26"/>
  <c r="BQ503" i="26"/>
  <c r="BS503" i="26"/>
  <c r="BS519" i="26"/>
  <c r="BQ519" i="26"/>
  <c r="BQ535" i="26"/>
  <c r="BS535" i="26"/>
  <c r="BQ567" i="26"/>
  <c r="BS567" i="26"/>
  <c r="BQ575" i="26"/>
  <c r="BS575" i="26"/>
  <c r="BS583" i="26"/>
  <c r="BQ583" i="26"/>
  <c r="BS591" i="26"/>
  <c r="BQ591" i="26"/>
  <c r="BQ599" i="26"/>
  <c r="BS599" i="26"/>
  <c r="BS607" i="26"/>
  <c r="BQ607" i="26"/>
  <c r="BS615" i="26"/>
  <c r="BQ615" i="26"/>
  <c r="BS623" i="26"/>
  <c r="BQ623" i="26"/>
  <c r="BQ631" i="26"/>
  <c r="BS631" i="26"/>
  <c r="BQ663" i="26"/>
  <c r="BS663" i="26"/>
  <c r="BS679" i="26"/>
  <c r="BQ679" i="26"/>
  <c r="BS687" i="26"/>
  <c r="BQ687" i="26"/>
  <c r="BQ695" i="26"/>
  <c r="BS695" i="26"/>
  <c r="BQ703" i="26"/>
  <c r="BS703" i="26"/>
  <c r="BS711" i="26"/>
  <c r="BQ711" i="26"/>
  <c r="BQ719" i="26"/>
  <c r="BS719" i="26"/>
  <c r="BS727" i="26"/>
  <c r="BQ727" i="26"/>
  <c r="BQ735" i="26"/>
  <c r="BS735" i="26"/>
  <c r="BS743" i="26"/>
  <c r="BQ743" i="26"/>
  <c r="BS767" i="26"/>
  <c r="BQ767" i="26"/>
  <c r="BQ775" i="26"/>
  <c r="BS775" i="26"/>
  <c r="BQ783" i="26"/>
  <c r="BS783" i="26"/>
  <c r="BS791" i="26"/>
  <c r="BQ791" i="26"/>
  <c r="S18" i="26"/>
  <c r="Z18" i="26" s="1"/>
  <c r="AG18" i="26" s="1"/>
  <c r="S10" i="26"/>
  <c r="Z10" i="26" s="1"/>
  <c r="AG10" i="26" s="1"/>
  <c r="S14" i="26"/>
  <c r="Z14" i="26" s="1"/>
  <c r="AG14" i="26" s="1"/>
  <c r="S16" i="26"/>
  <c r="Z16" i="26" s="1"/>
  <c r="AG16" i="26" s="1"/>
  <c r="S17" i="26"/>
  <c r="Z17" i="26" s="1"/>
  <c r="AG17" i="26" s="1"/>
  <c r="S9" i="26"/>
  <c r="Z9" i="26" s="1"/>
  <c r="AG9" i="26" s="1"/>
  <c r="S11" i="26"/>
  <c r="Z11" i="26" s="1"/>
  <c r="AG11" i="26" s="1"/>
  <c r="S12" i="26"/>
  <c r="Z12" i="26" s="1"/>
  <c r="AG12" i="26" s="1"/>
  <c r="S13" i="26"/>
  <c r="Z13" i="26" s="1"/>
  <c r="AG13" i="26" s="1"/>
  <c r="S15" i="26"/>
  <c r="Z15" i="26" s="1"/>
  <c r="AG15" i="26" s="1"/>
  <c r="S124" i="26"/>
  <c r="Z124" i="26" s="1"/>
  <c r="AG124" i="26" s="1"/>
  <c r="S114" i="26"/>
  <c r="Z114" i="26" s="1"/>
  <c r="AG114" i="26" s="1"/>
  <c r="S84" i="26"/>
  <c r="Z84" i="26" s="1"/>
  <c r="AG84" i="26" s="1"/>
  <c r="S95" i="26"/>
  <c r="Z95" i="26" s="1"/>
  <c r="AG95" i="26" s="1"/>
  <c r="S50" i="26"/>
  <c r="Z50" i="26" s="1"/>
  <c r="AG50" i="26" s="1"/>
  <c r="S8" i="26"/>
  <c r="Z8" i="26" s="1"/>
  <c r="AG8" i="26" s="1"/>
  <c r="S96" i="26"/>
  <c r="Z96" i="26" s="1"/>
  <c r="AG96" i="26" s="1"/>
  <c r="S36" i="26"/>
  <c r="Z36" i="26" s="1"/>
  <c r="AG36" i="26" s="1"/>
  <c r="S110" i="26"/>
  <c r="Z110" i="26" s="1"/>
  <c r="AG110" i="26" s="1"/>
  <c r="S42" i="26"/>
  <c r="Z42" i="26" s="1"/>
  <c r="AG42" i="26" s="1"/>
  <c r="S85" i="26"/>
  <c r="Z85" i="26" s="1"/>
  <c r="AG85" i="26" s="1"/>
  <c r="S135" i="26"/>
  <c r="Z135" i="26" s="1"/>
  <c r="AG135" i="26" s="1"/>
  <c r="S66" i="26"/>
  <c r="Z66" i="26" s="1"/>
  <c r="AG66" i="26" s="1"/>
  <c r="S94" i="26"/>
  <c r="Z94" i="26" s="1"/>
  <c r="AG94" i="26" s="1"/>
  <c r="S108" i="26"/>
  <c r="Z108" i="26" s="1"/>
  <c r="AG108" i="26" s="1"/>
  <c r="S63" i="26"/>
  <c r="Z63" i="26" s="1"/>
  <c r="AG63" i="26" s="1"/>
  <c r="S62" i="26"/>
  <c r="Z62" i="26" s="1"/>
  <c r="AG62" i="26" s="1"/>
  <c r="S71" i="26"/>
  <c r="Z71" i="26" s="1"/>
  <c r="AG71" i="26" s="1"/>
  <c r="S54" i="26"/>
  <c r="Z54" i="26" s="1"/>
  <c r="AG54" i="26" s="1"/>
  <c r="S90" i="26"/>
  <c r="Z90" i="26" s="1"/>
  <c r="AG90" i="26" s="1"/>
  <c r="S102" i="26"/>
  <c r="Z102" i="26" s="1"/>
  <c r="AG102" i="26" s="1"/>
  <c r="S56" i="26"/>
  <c r="Z56" i="26" s="1"/>
  <c r="AG56" i="26" s="1"/>
  <c r="S134" i="26"/>
  <c r="Z134" i="26" s="1"/>
  <c r="AG134" i="26" s="1"/>
  <c r="S125" i="26"/>
  <c r="Z125" i="26" s="1"/>
  <c r="AG125" i="26" s="1"/>
  <c r="S120" i="26"/>
  <c r="Z120" i="26" s="1"/>
  <c r="AG120" i="26" s="1"/>
  <c r="S126" i="26"/>
  <c r="Z126" i="26" s="1"/>
  <c r="AG126" i="26" s="1"/>
  <c r="S86" i="26"/>
  <c r="Z86" i="26" s="1"/>
  <c r="AG86" i="26" s="1"/>
  <c r="S43" i="26"/>
  <c r="Z43" i="26" s="1"/>
  <c r="AG43" i="26" s="1"/>
  <c r="S55" i="26"/>
  <c r="Z55" i="26" s="1"/>
  <c r="AG55" i="26" s="1"/>
  <c r="S89" i="26"/>
  <c r="Z89" i="26" s="1"/>
  <c r="AG89" i="26" s="1"/>
  <c r="S99" i="26"/>
  <c r="Z99" i="26" s="1"/>
  <c r="AG99" i="26" s="1"/>
  <c r="S58" i="26"/>
  <c r="Z58" i="26" s="1"/>
  <c r="AG58" i="26" s="1"/>
  <c r="S61" i="26"/>
  <c r="Z61" i="26" s="1"/>
  <c r="AG61" i="26" s="1"/>
  <c r="S118" i="26"/>
  <c r="Z118" i="26" s="1"/>
  <c r="AG118" i="26" s="1"/>
  <c r="S68" i="26"/>
  <c r="Z68" i="26" s="1"/>
  <c r="AG68" i="26" s="1"/>
  <c r="S59" i="26"/>
  <c r="Z59" i="26" s="1"/>
  <c r="AG59" i="26" s="1"/>
  <c r="S81" i="26"/>
  <c r="Z81" i="26" s="1"/>
  <c r="AG81" i="26" s="1"/>
  <c r="S116" i="26"/>
  <c r="Z116" i="26" s="1"/>
  <c r="AG116" i="26" s="1"/>
  <c r="S109" i="26"/>
  <c r="Z109" i="26" s="1"/>
  <c r="AG109" i="26" s="1"/>
  <c r="S119" i="26"/>
  <c r="Z119" i="26" s="1"/>
  <c r="AG119" i="26" s="1"/>
  <c r="S130" i="26"/>
  <c r="Z130" i="26" s="1"/>
  <c r="AG130" i="26" s="1"/>
  <c r="S21" i="26"/>
  <c r="Z21" i="26" s="1"/>
  <c r="AG21" i="26" s="1"/>
  <c r="S92" i="26"/>
  <c r="Z92" i="26" s="1"/>
  <c r="AG92" i="26" s="1"/>
  <c r="S117" i="26"/>
  <c r="Z117" i="26" s="1"/>
  <c r="AG117" i="26" s="1"/>
  <c r="S74" i="26"/>
  <c r="Z74" i="26" s="1"/>
  <c r="AG74" i="26" s="1"/>
  <c r="S51" i="26"/>
  <c r="Z51" i="26" s="1"/>
  <c r="AG51" i="26" s="1"/>
  <c r="S26" i="26"/>
  <c r="Z26" i="26" s="1"/>
  <c r="AG26" i="26" s="1"/>
  <c r="S115" i="26"/>
  <c r="Z115" i="26" s="1"/>
  <c r="AG115" i="26" s="1"/>
  <c r="S40" i="26"/>
  <c r="Z40" i="26" s="1"/>
  <c r="AG40" i="26" s="1"/>
  <c r="S87" i="26"/>
  <c r="Z87" i="26" s="1"/>
  <c r="AG87" i="26" s="1"/>
  <c r="S100" i="26"/>
  <c r="Z100" i="26" s="1"/>
  <c r="AG100" i="26" s="1"/>
  <c r="S106" i="26"/>
  <c r="Z106" i="26" s="1"/>
  <c r="AG106" i="26" s="1"/>
  <c r="S113" i="26"/>
  <c r="Z113" i="26" s="1"/>
  <c r="AG113" i="26" s="1"/>
  <c r="S122" i="26"/>
  <c r="Z122" i="26" s="1"/>
  <c r="AG122" i="26" s="1"/>
  <c r="S32" i="26"/>
  <c r="Z32" i="26" s="1"/>
  <c r="AG32" i="26" s="1"/>
  <c r="S72" i="26"/>
  <c r="Z72" i="26" s="1"/>
  <c r="AG72" i="26" s="1"/>
  <c r="S91" i="26"/>
  <c r="Z91" i="26" s="1"/>
  <c r="AG91" i="26" s="1"/>
  <c r="S112" i="26"/>
  <c r="Z112" i="26" s="1"/>
  <c r="AG112" i="26" s="1"/>
  <c r="S121" i="26"/>
  <c r="Z121" i="26" s="1"/>
  <c r="AG121" i="26" s="1"/>
  <c r="S49" i="26"/>
  <c r="Z49" i="26" s="1"/>
  <c r="AG49" i="26" s="1"/>
  <c r="S131" i="26"/>
  <c r="Z131" i="26" s="1"/>
  <c r="AG131" i="26" s="1"/>
  <c r="S133" i="26"/>
  <c r="Z133" i="26" s="1"/>
  <c r="AG133" i="26" s="1"/>
  <c r="S111" i="26"/>
  <c r="Z111" i="26" s="1"/>
  <c r="AG111" i="26" s="1"/>
  <c r="S39" i="26"/>
  <c r="Z39" i="26" s="1"/>
  <c r="AG39" i="26" s="1"/>
  <c r="S82" i="26"/>
  <c r="Z82" i="26" s="1"/>
  <c r="AG82" i="26" s="1"/>
  <c r="S98" i="26"/>
  <c r="Z98" i="26" s="1"/>
  <c r="AG98" i="26" s="1"/>
  <c r="S34" i="26"/>
  <c r="Z34" i="26" s="1"/>
  <c r="AG34" i="26" s="1"/>
  <c r="S73" i="26"/>
  <c r="Z73" i="26" s="1"/>
  <c r="AG73" i="26" s="1"/>
  <c r="S129" i="26"/>
  <c r="Z129" i="26" s="1"/>
  <c r="AG129" i="26" s="1"/>
  <c r="S48" i="26"/>
  <c r="Z48" i="26" s="1"/>
  <c r="AG48" i="26" s="1"/>
  <c r="S97" i="26"/>
  <c r="Z97" i="26" s="1"/>
  <c r="AG97" i="26" s="1"/>
  <c r="S78" i="26"/>
  <c r="Z78" i="26" s="1"/>
  <c r="AG78" i="26" s="1"/>
  <c r="S23" i="26"/>
  <c r="Z23" i="26" s="1"/>
  <c r="AG23" i="26" s="1"/>
  <c r="S70" i="26"/>
  <c r="Z70" i="26" s="1"/>
  <c r="AG70" i="26" s="1"/>
  <c r="S47" i="26"/>
  <c r="Z47" i="26" s="1"/>
  <c r="AG47" i="26" s="1"/>
  <c r="S25" i="26"/>
  <c r="Z25" i="26" s="1"/>
  <c r="AG25" i="26" s="1"/>
  <c r="S80" i="26"/>
  <c r="Z80" i="26" s="1"/>
  <c r="AG80" i="26" s="1"/>
  <c r="S105" i="26"/>
  <c r="Z105" i="26" s="1"/>
  <c r="AG105" i="26" s="1"/>
  <c r="S31" i="26"/>
  <c r="Z31" i="26" s="1"/>
  <c r="AG31" i="26" s="1"/>
  <c r="S104" i="26"/>
  <c r="Z104" i="26" s="1"/>
  <c r="AG104" i="26" s="1"/>
  <c r="S38" i="26"/>
  <c r="Z38" i="26" s="1"/>
  <c r="AG38" i="26" s="1"/>
  <c r="S19" i="26"/>
  <c r="Z19" i="26" s="1"/>
  <c r="AG19" i="26" s="1"/>
  <c r="S77" i="26"/>
  <c r="Z77" i="26" s="1"/>
  <c r="AG77" i="26" s="1"/>
  <c r="S107" i="26"/>
  <c r="Z107" i="26" s="1"/>
  <c r="AG107" i="26" s="1"/>
  <c r="S75" i="26"/>
  <c r="Z75" i="26" s="1"/>
  <c r="AG75" i="26" s="1"/>
  <c r="S83" i="26"/>
  <c r="Z83" i="26" s="1"/>
  <c r="AG83" i="26" s="1"/>
  <c r="S22" i="26"/>
  <c r="Z22" i="26" s="1"/>
  <c r="AG22" i="26" s="1"/>
  <c r="S64" i="26"/>
  <c r="Z64" i="26" s="1"/>
  <c r="AG64" i="26" s="1"/>
  <c r="S57" i="26"/>
  <c r="Z57" i="26" s="1"/>
  <c r="AG57" i="26" s="1"/>
  <c r="S65" i="26"/>
  <c r="Z65" i="26" s="1"/>
  <c r="AG65" i="26" s="1"/>
  <c r="S37" i="26"/>
  <c r="Z37" i="26" s="1"/>
  <c r="AG37" i="26" s="1"/>
  <c r="S69" i="26"/>
  <c r="Z69" i="26" s="1"/>
  <c r="AG69" i="26" s="1"/>
  <c r="S93" i="26"/>
  <c r="Z93" i="26" s="1"/>
  <c r="AG93" i="26" s="1"/>
  <c r="S123" i="26"/>
  <c r="Z123" i="26" s="1"/>
  <c r="AG123" i="26" s="1"/>
  <c r="S53" i="26"/>
  <c r="Z53" i="26" s="1"/>
  <c r="AG53" i="26" s="1"/>
  <c r="S24" i="26"/>
  <c r="Z24" i="26" s="1"/>
  <c r="AG24" i="26" s="1"/>
  <c r="S27" i="26"/>
  <c r="Z27" i="26" s="1"/>
  <c r="AG27" i="26" s="1"/>
  <c r="S29" i="26"/>
  <c r="Z29" i="26" s="1"/>
  <c r="AG29" i="26" s="1"/>
  <c r="S30" i="26"/>
  <c r="Z30" i="26" s="1"/>
  <c r="AG30" i="26" s="1"/>
  <c r="S33" i="26"/>
  <c r="Z33" i="26" s="1"/>
  <c r="AG33" i="26" s="1"/>
  <c r="S79" i="26"/>
  <c r="Z79" i="26" s="1"/>
  <c r="AG79" i="26" s="1"/>
  <c r="S52" i="26"/>
  <c r="Z52" i="26" s="1"/>
  <c r="AG52" i="26" s="1"/>
  <c r="S132" i="26"/>
  <c r="Z132" i="26" s="1"/>
  <c r="AG132" i="26" s="1"/>
  <c r="S46" i="26"/>
  <c r="Z46" i="26" s="1"/>
  <c r="AG46" i="26" s="1"/>
  <c r="S28" i="26"/>
  <c r="Z28" i="26" s="1"/>
  <c r="AG28" i="26" s="1"/>
  <c r="S127" i="26"/>
  <c r="Z127" i="26" s="1"/>
  <c r="AG127" i="26" s="1"/>
  <c r="S76" i="26"/>
  <c r="Z76" i="26" s="1"/>
  <c r="AG76" i="26" s="1"/>
  <c r="S44" i="26"/>
  <c r="Z44" i="26" s="1"/>
  <c r="AG44" i="26" s="1"/>
  <c r="S45" i="26"/>
  <c r="Z45" i="26" s="1"/>
  <c r="AG45" i="26" s="1"/>
  <c r="S88" i="26"/>
  <c r="Z88" i="26" s="1"/>
  <c r="AG88" i="26" s="1"/>
  <c r="S67" i="26"/>
  <c r="Z67" i="26" s="1"/>
  <c r="AG67" i="26" s="1"/>
  <c r="S128" i="26"/>
  <c r="Z128" i="26" s="1"/>
  <c r="AG128" i="26" s="1"/>
  <c r="S103" i="26"/>
  <c r="Z103" i="26" s="1"/>
  <c r="AG103" i="26" s="1"/>
  <c r="S41" i="26"/>
  <c r="Z41" i="26" s="1"/>
  <c r="AG41" i="26" s="1"/>
  <c r="S101" i="26"/>
  <c r="Z101" i="26" s="1"/>
  <c r="AG101" i="26" s="1"/>
  <c r="S60" i="26"/>
  <c r="Z60" i="26" s="1"/>
  <c r="AG60" i="26" s="1"/>
  <c r="S20" i="26"/>
  <c r="Z20" i="26" s="1"/>
  <c r="AG20" i="26" s="1"/>
  <c r="S35" i="26"/>
  <c r="Z35" i="26" s="1"/>
  <c r="AG35" i="26" s="1"/>
  <c r="S700" i="26"/>
  <c r="Z700" i="26" s="1"/>
  <c r="AG700" i="26" s="1"/>
  <c r="S680" i="26"/>
  <c r="Z680" i="26" s="1"/>
  <c r="AG680" i="26" s="1"/>
  <c r="S660" i="26"/>
  <c r="Z660" i="26" s="1"/>
  <c r="AG660" i="26" s="1"/>
  <c r="S640" i="26"/>
  <c r="Z640" i="26" s="1"/>
  <c r="AG640" i="26" s="1"/>
  <c r="S549" i="26"/>
  <c r="Z549" i="26" s="1"/>
  <c r="AG549" i="26" s="1"/>
  <c r="S619" i="26"/>
  <c r="Z619" i="26" s="1"/>
  <c r="AG619" i="26" s="1"/>
  <c r="S599" i="26"/>
  <c r="Z599" i="26" s="1"/>
  <c r="AG599" i="26" s="1"/>
  <c r="S579" i="26"/>
  <c r="Z579" i="26" s="1"/>
  <c r="AG579" i="26" s="1"/>
  <c r="S559" i="26"/>
  <c r="Z559" i="26" s="1"/>
  <c r="AG559" i="26" s="1"/>
  <c r="S575" i="26"/>
  <c r="Z575" i="26" s="1"/>
  <c r="AG575" i="26" s="1"/>
  <c r="S492" i="26"/>
  <c r="Z492" i="26" s="1"/>
  <c r="AG492" i="26" s="1"/>
  <c r="S525" i="26"/>
  <c r="Z525" i="26" s="1"/>
  <c r="AG525" i="26" s="1"/>
  <c r="S505" i="26"/>
  <c r="Z505" i="26" s="1"/>
  <c r="AG505" i="26" s="1"/>
  <c r="S501" i="26"/>
  <c r="Z501" i="26" s="1"/>
  <c r="AG501" i="26" s="1"/>
  <c r="S437" i="26"/>
  <c r="Z437" i="26" s="1"/>
  <c r="AG437" i="26" s="1"/>
  <c r="S417" i="26"/>
  <c r="Z417" i="26" s="1"/>
  <c r="AG417" i="26" s="1"/>
  <c r="S397" i="26"/>
  <c r="Z397" i="26" s="1"/>
  <c r="AG397" i="26" s="1"/>
  <c r="S702" i="26"/>
  <c r="Z702" i="26" s="1"/>
  <c r="AG702" i="26" s="1"/>
  <c r="S682" i="26"/>
  <c r="Z682" i="26" s="1"/>
  <c r="AG682" i="26" s="1"/>
  <c r="S662" i="26"/>
  <c r="Z662" i="26" s="1"/>
  <c r="AG662" i="26" s="1"/>
  <c r="S642" i="26"/>
  <c r="Z642" i="26" s="1"/>
  <c r="AG642" i="26" s="1"/>
  <c r="S551" i="26"/>
  <c r="Z551" i="26" s="1"/>
  <c r="AG551" i="26" s="1"/>
  <c r="S621" i="26"/>
  <c r="Z621" i="26" s="1"/>
  <c r="AG621" i="26" s="1"/>
  <c r="S601" i="26"/>
  <c r="Z601" i="26" s="1"/>
  <c r="AG601" i="26" s="1"/>
  <c r="S667" i="26"/>
  <c r="Z667" i="26" s="1"/>
  <c r="AG667" i="26" s="1"/>
  <c r="S683" i="26"/>
  <c r="Z683" i="26" s="1"/>
  <c r="AG683" i="26" s="1"/>
  <c r="S663" i="26"/>
  <c r="Z663" i="26" s="1"/>
  <c r="AG663" i="26" s="1"/>
  <c r="S643" i="26"/>
  <c r="Z643" i="26" s="1"/>
  <c r="AG643" i="26" s="1"/>
  <c r="S554" i="26"/>
  <c r="Z554" i="26" s="1"/>
  <c r="AG554" i="26" s="1"/>
  <c r="S622" i="26"/>
  <c r="Z622" i="26" s="1"/>
  <c r="AG622" i="26" s="1"/>
  <c r="S602" i="26"/>
  <c r="Z602" i="26" s="1"/>
  <c r="AG602" i="26" s="1"/>
  <c r="S582" i="26"/>
  <c r="Z582" i="26" s="1"/>
  <c r="AG582" i="26" s="1"/>
  <c r="S562" i="26"/>
  <c r="Z562" i="26" s="1"/>
  <c r="AG562" i="26" s="1"/>
  <c r="S542" i="26"/>
  <c r="Z542" i="26" s="1"/>
  <c r="AG542" i="26" s="1"/>
  <c r="S498" i="26"/>
  <c r="Z498" i="26" s="1"/>
  <c r="AG498" i="26" s="1"/>
  <c r="S528" i="26"/>
  <c r="Z528" i="26" s="1"/>
  <c r="AG528" i="26" s="1"/>
  <c r="S508" i="26"/>
  <c r="Z508" i="26" s="1"/>
  <c r="AG508" i="26" s="1"/>
  <c r="S474" i="26"/>
  <c r="Z474" i="26" s="1"/>
  <c r="AG474" i="26" s="1"/>
  <c r="S440" i="26"/>
  <c r="Z440" i="26" s="1"/>
  <c r="AG440" i="26" s="1"/>
  <c r="S420" i="26"/>
  <c r="Z420" i="26" s="1"/>
  <c r="AG420" i="26" s="1"/>
  <c r="S400" i="26"/>
  <c r="Z400" i="26" s="1"/>
  <c r="AG400" i="26" s="1"/>
  <c r="S380" i="26"/>
  <c r="Z380" i="26" s="1"/>
  <c r="AG380" i="26" s="1"/>
  <c r="S396" i="26"/>
  <c r="Z396" i="26" s="1"/>
  <c r="AG396" i="26" s="1"/>
  <c r="S374" i="26"/>
  <c r="Z374" i="26" s="1"/>
  <c r="AG374" i="26" s="1"/>
  <c r="S353" i="26"/>
  <c r="Z353" i="26" s="1"/>
  <c r="AG353" i="26" s="1"/>
  <c r="S727" i="26"/>
  <c r="Z727" i="26" s="1"/>
  <c r="AG727" i="26" s="1"/>
  <c r="S307" i="26"/>
  <c r="Z307" i="26" s="1"/>
  <c r="AG307" i="26" s="1"/>
  <c r="S319" i="26"/>
  <c r="Z319" i="26" s="1"/>
  <c r="AG319" i="26" s="1"/>
  <c r="S296" i="26"/>
  <c r="Z296" i="26" s="1"/>
  <c r="AG296" i="26" s="1"/>
  <c r="S276" i="26"/>
  <c r="Z276" i="26" s="1"/>
  <c r="AG276" i="26" s="1"/>
  <c r="S253" i="26"/>
  <c r="Z253" i="26" s="1"/>
  <c r="AG253" i="26" s="1"/>
  <c r="S267" i="26"/>
  <c r="Z267" i="26" s="1"/>
  <c r="AG267" i="26" s="1"/>
  <c r="S726" i="26"/>
  <c r="Z726" i="26" s="1"/>
  <c r="AG726" i="26" s="1"/>
  <c r="S460" i="26"/>
  <c r="Z460" i="26" s="1"/>
  <c r="AG460" i="26" s="1"/>
  <c r="S687" i="26"/>
  <c r="Z687" i="26" s="1"/>
  <c r="AG687" i="26" s="1"/>
  <c r="S668" i="26"/>
  <c r="Z668" i="26" s="1"/>
  <c r="AG668" i="26" s="1"/>
  <c r="S684" i="26"/>
  <c r="Z684" i="26" s="1"/>
  <c r="AG684" i="26" s="1"/>
  <c r="S664" i="26"/>
  <c r="Z664" i="26" s="1"/>
  <c r="AG664" i="26" s="1"/>
  <c r="S644" i="26"/>
  <c r="Z644" i="26" s="1"/>
  <c r="AG644" i="26" s="1"/>
  <c r="S557" i="26"/>
  <c r="Z557" i="26" s="1"/>
  <c r="AG557" i="26" s="1"/>
  <c r="S623" i="26"/>
  <c r="Z623" i="26" s="1"/>
  <c r="AG623" i="26" s="1"/>
  <c r="S603" i="26"/>
  <c r="Z603" i="26" s="1"/>
  <c r="AG603" i="26" s="1"/>
  <c r="S583" i="26"/>
  <c r="Z583" i="26" s="1"/>
  <c r="AG583" i="26" s="1"/>
  <c r="S563" i="26"/>
  <c r="Z563" i="26" s="1"/>
  <c r="AG563" i="26" s="1"/>
  <c r="S543" i="26"/>
  <c r="Z543" i="26" s="1"/>
  <c r="AG543" i="26" s="1"/>
  <c r="S499" i="26"/>
  <c r="Z499" i="26" s="1"/>
  <c r="AG499" i="26" s="1"/>
  <c r="S529" i="26"/>
  <c r="Z529" i="26" s="1"/>
  <c r="AG529" i="26" s="1"/>
  <c r="S509" i="26"/>
  <c r="Z509" i="26" s="1"/>
  <c r="AG509" i="26" s="1"/>
  <c r="S476" i="26"/>
  <c r="Z476" i="26" s="1"/>
  <c r="AG476" i="26" s="1"/>
  <c r="S441" i="26"/>
  <c r="Z441" i="26" s="1"/>
  <c r="AG441" i="26" s="1"/>
  <c r="S421" i="26"/>
  <c r="Z421" i="26" s="1"/>
  <c r="AG421" i="26" s="1"/>
  <c r="S401" i="26"/>
  <c r="Z401" i="26" s="1"/>
  <c r="AG401" i="26" s="1"/>
  <c r="S381" i="26"/>
  <c r="Z381" i="26" s="1"/>
  <c r="AG381" i="26" s="1"/>
  <c r="S361" i="26"/>
  <c r="Z361" i="26" s="1"/>
  <c r="AG361" i="26" s="1"/>
  <c r="S375" i="26"/>
  <c r="Z375" i="26" s="1"/>
  <c r="AG375" i="26" s="1"/>
  <c r="S354" i="26"/>
  <c r="Z354" i="26" s="1"/>
  <c r="AG354" i="26" s="1"/>
  <c r="S331" i="26"/>
  <c r="Z331" i="26" s="1"/>
  <c r="AG331" i="26" s="1"/>
  <c r="S308" i="26"/>
  <c r="Z308" i="26" s="1"/>
  <c r="AG308" i="26" s="1"/>
  <c r="S482" i="26"/>
  <c r="Z482" i="26" s="1"/>
  <c r="AG482" i="26" s="1"/>
  <c r="S297" i="26"/>
  <c r="Z297" i="26" s="1"/>
  <c r="AG297" i="26" s="1"/>
  <c r="S277" i="26"/>
  <c r="Z277" i="26" s="1"/>
  <c r="AG277" i="26" s="1"/>
  <c r="S254" i="26"/>
  <c r="Z254" i="26" s="1"/>
  <c r="AG254" i="26" s="1"/>
  <c r="S728" i="26"/>
  <c r="Z728" i="26" s="1"/>
  <c r="AG728" i="26" s="1"/>
  <c r="S708" i="26"/>
  <c r="Z708" i="26" s="1"/>
  <c r="AG708" i="26" s="1"/>
  <c r="S461" i="26"/>
  <c r="Z461" i="26" s="1"/>
  <c r="AG461" i="26" s="1"/>
  <c r="S688" i="26"/>
  <c r="Z688" i="26" s="1"/>
  <c r="AG688" i="26" s="1"/>
  <c r="S669" i="26"/>
  <c r="Z669" i="26" s="1"/>
  <c r="AG669" i="26" s="1"/>
  <c r="S649" i="26"/>
  <c r="Z649" i="26" s="1"/>
  <c r="AG649" i="26" s="1"/>
  <c r="S665" i="26"/>
  <c r="Z665" i="26" s="1"/>
  <c r="AG665" i="26" s="1"/>
  <c r="S646" i="26"/>
  <c r="Z646" i="26" s="1"/>
  <c r="AG646" i="26" s="1"/>
  <c r="S519" i="26"/>
  <c r="Z519" i="26" s="1"/>
  <c r="AG519" i="26" s="1"/>
  <c r="S624" i="26"/>
  <c r="Z624" i="26" s="1"/>
  <c r="AG624" i="26" s="1"/>
  <c r="S604" i="26"/>
  <c r="Z604" i="26" s="1"/>
  <c r="AG604" i="26" s="1"/>
  <c r="S584" i="26"/>
  <c r="Z584" i="26" s="1"/>
  <c r="AG584" i="26" s="1"/>
  <c r="S564" i="26"/>
  <c r="Z564" i="26" s="1"/>
  <c r="AG564" i="26" s="1"/>
  <c r="S544" i="26"/>
  <c r="Z544" i="26" s="1"/>
  <c r="AG544" i="26" s="1"/>
  <c r="S500" i="26"/>
  <c r="Z500" i="26" s="1"/>
  <c r="AG500" i="26" s="1"/>
  <c r="S530" i="26"/>
  <c r="Z530" i="26" s="1"/>
  <c r="AG530" i="26" s="1"/>
  <c r="S510" i="26"/>
  <c r="Z510" i="26" s="1"/>
  <c r="AG510" i="26" s="1"/>
  <c r="S451" i="26"/>
  <c r="Z451" i="26" s="1"/>
  <c r="AG451" i="26" s="1"/>
  <c r="S442" i="26"/>
  <c r="Z442" i="26" s="1"/>
  <c r="AG442" i="26" s="1"/>
  <c r="S422" i="26"/>
  <c r="Z422" i="26" s="1"/>
  <c r="AG422" i="26" s="1"/>
  <c r="S402" i="26"/>
  <c r="Z402" i="26" s="1"/>
  <c r="AG402" i="26" s="1"/>
  <c r="S692" i="26"/>
  <c r="Z692" i="26" s="1"/>
  <c r="AG692" i="26" s="1"/>
  <c r="S677" i="26"/>
  <c r="Z677" i="26" s="1"/>
  <c r="AG677" i="26" s="1"/>
  <c r="S631" i="26"/>
  <c r="Z631" i="26" s="1"/>
  <c r="AG631" i="26" s="1"/>
  <c r="S617" i="26"/>
  <c r="Z617" i="26" s="1"/>
  <c r="AG617" i="26" s="1"/>
  <c r="S625" i="26"/>
  <c r="Z625" i="26" s="1"/>
  <c r="AG625" i="26" s="1"/>
  <c r="S610" i="26"/>
  <c r="Z610" i="26" s="1"/>
  <c r="AG610" i="26" s="1"/>
  <c r="S594" i="26"/>
  <c r="Z594" i="26" s="1"/>
  <c r="AG594" i="26" s="1"/>
  <c r="S552" i="26"/>
  <c r="Z552" i="26" s="1"/>
  <c r="AG552" i="26" s="1"/>
  <c r="S485" i="26"/>
  <c r="Z485" i="26" s="1"/>
  <c r="AG485" i="26" s="1"/>
  <c r="S540" i="26"/>
  <c r="Z540" i="26" s="1"/>
  <c r="AG540" i="26" s="1"/>
  <c r="S464" i="26"/>
  <c r="Z464" i="26" s="1"/>
  <c r="AG464" i="26" s="1"/>
  <c r="S448" i="26"/>
  <c r="Z448" i="26" s="1"/>
  <c r="AG448" i="26" s="1"/>
  <c r="S432" i="26"/>
  <c r="Z432" i="26" s="1"/>
  <c r="AG432" i="26" s="1"/>
  <c r="S382" i="26"/>
  <c r="Z382" i="26" s="1"/>
  <c r="AG382" i="26" s="1"/>
  <c r="S364" i="26"/>
  <c r="Z364" i="26" s="1"/>
  <c r="AG364" i="26" s="1"/>
  <c r="S343" i="26"/>
  <c r="Z343" i="26" s="1"/>
  <c r="AG343" i="26" s="1"/>
  <c r="S325" i="26"/>
  <c r="Z325" i="26" s="1"/>
  <c r="AG325" i="26" s="1"/>
  <c r="S338" i="26"/>
  <c r="Z338" i="26" s="1"/>
  <c r="AG338" i="26" s="1"/>
  <c r="S315" i="26"/>
  <c r="Z315" i="26" s="1"/>
  <c r="AG315" i="26" s="1"/>
  <c r="S294" i="26"/>
  <c r="Z294" i="26" s="1"/>
  <c r="AG294" i="26" s="1"/>
  <c r="S278" i="26"/>
  <c r="Z278" i="26" s="1"/>
  <c r="AG278" i="26" s="1"/>
  <c r="S257" i="26"/>
  <c r="Z257" i="26" s="1"/>
  <c r="AG257" i="26" s="1"/>
  <c r="S734" i="26"/>
  <c r="Z734" i="26" s="1"/>
  <c r="AG734" i="26" s="1"/>
  <c r="S490" i="26"/>
  <c r="Z490" i="26" s="1"/>
  <c r="AG490" i="26" s="1"/>
  <c r="S720" i="26"/>
  <c r="Z720" i="26" s="1"/>
  <c r="AG720" i="26" s="1"/>
  <c r="S696" i="26"/>
  <c r="Z696" i="26" s="1"/>
  <c r="AG696" i="26" s="1"/>
  <c r="S650" i="26"/>
  <c r="Z650" i="26" s="1"/>
  <c r="AG650" i="26" s="1"/>
  <c r="S635" i="26"/>
  <c r="Z635" i="26" s="1"/>
  <c r="AG635" i="26" s="1"/>
  <c r="S550" i="26"/>
  <c r="Z550" i="26" s="1"/>
  <c r="AG550" i="26" s="1"/>
  <c r="S629" i="26"/>
  <c r="Z629" i="26" s="1"/>
  <c r="AG629" i="26" s="1"/>
  <c r="S578" i="26"/>
  <c r="Z578" i="26" s="1"/>
  <c r="AG578" i="26" s="1"/>
  <c r="S566" i="26"/>
  <c r="Z566" i="26" s="1"/>
  <c r="AG566" i="26" s="1"/>
  <c r="S558" i="26"/>
  <c r="Z558" i="26" s="1"/>
  <c r="AG558" i="26" s="1"/>
  <c r="S524" i="26"/>
  <c r="Z524" i="26" s="1"/>
  <c r="AG524" i="26" s="1"/>
  <c r="S512" i="26"/>
  <c r="Z512" i="26" s="1"/>
  <c r="AG512" i="26" s="1"/>
  <c r="S468" i="26"/>
  <c r="Z468" i="26" s="1"/>
  <c r="AG468" i="26" s="1"/>
  <c r="S416" i="26"/>
  <c r="Z416" i="26" s="1"/>
  <c r="AG416" i="26" s="1"/>
  <c r="S404" i="26"/>
  <c r="Z404" i="26" s="1"/>
  <c r="AG404" i="26" s="1"/>
  <c r="S386" i="26"/>
  <c r="Z386" i="26" s="1"/>
  <c r="AG386" i="26" s="1"/>
  <c r="S368" i="26"/>
  <c r="Z368" i="26" s="1"/>
  <c r="AG368" i="26" s="1"/>
  <c r="S347" i="26"/>
  <c r="Z347" i="26" s="1"/>
  <c r="AG347" i="26" s="1"/>
  <c r="S724" i="26"/>
  <c r="Z724" i="26" s="1"/>
  <c r="AG724" i="26" s="1"/>
  <c r="S341" i="26"/>
  <c r="Z341" i="26" s="1"/>
  <c r="AG341" i="26" s="1"/>
  <c r="S484" i="26"/>
  <c r="Z484" i="26" s="1"/>
  <c r="AG484" i="26" s="1"/>
  <c r="S300" i="26"/>
  <c r="Z300" i="26" s="1"/>
  <c r="AG300" i="26" s="1"/>
  <c r="S281" i="26"/>
  <c r="Z281" i="26" s="1"/>
  <c r="AG281" i="26" s="1"/>
  <c r="S721" i="26"/>
  <c r="Z721" i="26" s="1"/>
  <c r="AG721" i="26" s="1"/>
  <c r="S249" i="26"/>
  <c r="Z249" i="26" s="1"/>
  <c r="AG249" i="26" s="1"/>
  <c r="S469" i="26"/>
  <c r="Z469" i="26" s="1"/>
  <c r="AG469" i="26" s="1"/>
  <c r="S486" i="26"/>
  <c r="Z486" i="26" s="1"/>
  <c r="AG486" i="26" s="1"/>
  <c r="S697" i="26"/>
  <c r="Z697" i="26" s="1"/>
  <c r="AG697" i="26" s="1"/>
  <c r="S651" i="26"/>
  <c r="Z651" i="26" s="1"/>
  <c r="AG651" i="26" s="1"/>
  <c r="S636" i="26"/>
  <c r="Z636" i="26" s="1"/>
  <c r="AG636" i="26" s="1"/>
  <c r="S488" i="26"/>
  <c r="Z488" i="26" s="1"/>
  <c r="AG488" i="26" s="1"/>
  <c r="S630" i="26"/>
  <c r="Z630" i="26" s="1"/>
  <c r="AG630" i="26" s="1"/>
  <c r="S580" i="26"/>
  <c r="Z580" i="26" s="1"/>
  <c r="AG580" i="26" s="1"/>
  <c r="S567" i="26"/>
  <c r="Z567" i="26" s="1"/>
  <c r="AG567" i="26" s="1"/>
  <c r="S520" i="26"/>
  <c r="Z520" i="26" s="1"/>
  <c r="AG520" i="26" s="1"/>
  <c r="S526" i="26"/>
  <c r="Z526" i="26" s="1"/>
  <c r="AG526" i="26" s="1"/>
  <c r="S513" i="26"/>
  <c r="Z513" i="26" s="1"/>
  <c r="AG513" i="26" s="1"/>
  <c r="S433" i="26"/>
  <c r="Z433" i="26" s="1"/>
  <c r="AG433" i="26" s="1"/>
  <c r="S418" i="26"/>
  <c r="Z418" i="26" s="1"/>
  <c r="AG418" i="26" s="1"/>
  <c r="S405" i="26"/>
  <c r="Z405" i="26" s="1"/>
  <c r="AG405" i="26" s="1"/>
  <c r="S387" i="26"/>
  <c r="Z387" i="26" s="1"/>
  <c r="AG387" i="26" s="1"/>
  <c r="S369" i="26"/>
  <c r="Z369" i="26" s="1"/>
  <c r="AG369" i="26" s="1"/>
  <c r="S348" i="26"/>
  <c r="Z348" i="26" s="1"/>
  <c r="AG348" i="26" s="1"/>
  <c r="S725" i="26"/>
  <c r="Z725" i="26" s="1"/>
  <c r="AG725" i="26" s="1"/>
  <c r="S342" i="26"/>
  <c r="Z342" i="26" s="1"/>
  <c r="AG342" i="26" s="1"/>
  <c r="S320" i="26"/>
  <c r="Z320" i="26" s="1"/>
  <c r="AG320" i="26" s="1"/>
  <c r="S301" i="26"/>
  <c r="Z301" i="26" s="1"/>
  <c r="AG301" i="26" s="1"/>
  <c r="S742" i="26"/>
  <c r="Z742" i="26" s="1"/>
  <c r="AG742" i="26" s="1"/>
  <c r="S261" i="26"/>
  <c r="Z261" i="26" s="1"/>
  <c r="AG261" i="26" s="1"/>
  <c r="S250" i="26"/>
  <c r="Z250" i="26" s="1"/>
  <c r="AG250" i="26" s="1"/>
  <c r="S470" i="26"/>
  <c r="Z470" i="26" s="1"/>
  <c r="AG470" i="26" s="1"/>
  <c r="S452" i="26"/>
  <c r="Z452" i="26" s="1"/>
  <c r="AG452" i="26" s="1"/>
  <c r="S673" i="26"/>
  <c r="Z673" i="26" s="1"/>
  <c r="AG673" i="26" s="1"/>
  <c r="S666" i="26"/>
  <c r="Z666" i="26" s="1"/>
  <c r="AG666" i="26" s="1"/>
  <c r="S548" i="26"/>
  <c r="Z548" i="26" s="1"/>
  <c r="AG548" i="26" s="1"/>
  <c r="S597" i="26"/>
  <c r="Z597" i="26" s="1"/>
  <c r="AG597" i="26" s="1"/>
  <c r="S589" i="26"/>
  <c r="Z589" i="26" s="1"/>
  <c r="AG589" i="26" s="1"/>
  <c r="S541" i="26"/>
  <c r="Z541" i="26" s="1"/>
  <c r="AG541" i="26" s="1"/>
  <c r="S462" i="26"/>
  <c r="Z462" i="26" s="1"/>
  <c r="AG462" i="26" s="1"/>
  <c r="S515" i="26"/>
  <c r="Z515" i="26" s="1"/>
  <c r="AG515" i="26" s="1"/>
  <c r="S439" i="26"/>
  <c r="Z439" i="26" s="1"/>
  <c r="AG439" i="26" s="1"/>
  <c r="S429" i="26"/>
  <c r="Z429" i="26" s="1"/>
  <c r="AG429" i="26" s="1"/>
  <c r="S383" i="26"/>
  <c r="Z383" i="26" s="1"/>
  <c r="AG383" i="26" s="1"/>
  <c r="S739" i="26"/>
  <c r="Z739" i="26" s="1"/>
  <c r="AG739" i="26" s="1"/>
  <c r="S352" i="26"/>
  <c r="Z352" i="26" s="1"/>
  <c r="AG352" i="26" s="1"/>
  <c r="S336" i="26"/>
  <c r="Z336" i="26" s="1"/>
  <c r="AG336" i="26" s="1"/>
  <c r="S645" i="26"/>
  <c r="Z645" i="26" s="1"/>
  <c r="AG645" i="26" s="1"/>
  <c r="S299" i="26"/>
  <c r="Z299" i="26" s="1"/>
  <c r="AG299" i="26" s="1"/>
  <c r="S743" i="26"/>
  <c r="Z743" i="26" s="1"/>
  <c r="AG743" i="26" s="1"/>
  <c r="S266" i="26"/>
  <c r="Z266" i="26" s="1"/>
  <c r="AG266" i="26" s="1"/>
  <c r="S711" i="26"/>
  <c r="Z711" i="26" s="1"/>
  <c r="AG711" i="26" s="1"/>
  <c r="S685" i="26"/>
  <c r="Z685" i="26" s="1"/>
  <c r="AG685" i="26" s="1"/>
  <c r="S674" i="26"/>
  <c r="Z674" i="26" s="1"/>
  <c r="AG674" i="26" s="1"/>
  <c r="S632" i="26"/>
  <c r="Z632" i="26" s="1"/>
  <c r="AG632" i="26" s="1"/>
  <c r="S489" i="26"/>
  <c r="Z489" i="26" s="1"/>
  <c r="AG489" i="26" s="1"/>
  <c r="S598" i="26"/>
  <c r="Z598" i="26" s="1"/>
  <c r="AG598" i="26" s="1"/>
  <c r="S590" i="26"/>
  <c r="Z590" i="26" s="1"/>
  <c r="AG590" i="26" s="1"/>
  <c r="S546" i="26"/>
  <c r="Z546" i="26" s="1"/>
  <c r="AG546" i="26" s="1"/>
  <c r="S523" i="26"/>
  <c r="Z523" i="26" s="1"/>
  <c r="AG523" i="26" s="1"/>
  <c r="S516" i="26"/>
  <c r="Z516" i="26" s="1"/>
  <c r="AG516" i="26" s="1"/>
  <c r="S443" i="26"/>
  <c r="Z443" i="26" s="1"/>
  <c r="AG443" i="26" s="1"/>
  <c r="S430" i="26"/>
  <c r="Z430" i="26" s="1"/>
  <c r="AG430" i="26" s="1"/>
  <c r="S384" i="26"/>
  <c r="Z384" i="26" s="1"/>
  <c r="AG384" i="26" s="1"/>
  <c r="S370" i="26"/>
  <c r="Z370" i="26" s="1"/>
  <c r="AG370" i="26" s="1"/>
  <c r="S355" i="26"/>
  <c r="Z355" i="26" s="1"/>
  <c r="AG355" i="26" s="1"/>
  <c r="S337" i="26"/>
  <c r="Z337" i="26" s="1"/>
  <c r="AG337" i="26" s="1"/>
  <c r="S316" i="26"/>
  <c r="Z316" i="26" s="1"/>
  <c r="AG316" i="26" s="1"/>
  <c r="S302" i="26"/>
  <c r="Z302" i="26" s="1"/>
  <c r="AG302" i="26" s="1"/>
  <c r="S284" i="26"/>
  <c r="Z284" i="26" s="1"/>
  <c r="AG284" i="26" s="1"/>
  <c r="S268" i="26"/>
  <c r="Z268" i="26" s="1"/>
  <c r="AG268" i="26" s="1"/>
  <c r="S712" i="26"/>
  <c r="Z712" i="26" s="1"/>
  <c r="AG712" i="26" s="1"/>
  <c r="S686" i="26"/>
  <c r="Z686" i="26" s="1"/>
  <c r="AG686" i="26" s="1"/>
  <c r="S675" i="26"/>
  <c r="Z675" i="26" s="1"/>
  <c r="AG675" i="26" s="1"/>
  <c r="S633" i="26"/>
  <c r="Z633" i="26" s="1"/>
  <c r="AG633" i="26" s="1"/>
  <c r="S491" i="26"/>
  <c r="Z491" i="26" s="1"/>
  <c r="AG491" i="26" s="1"/>
  <c r="S600" i="26"/>
  <c r="Z600" i="26" s="1"/>
  <c r="AG600" i="26" s="1"/>
  <c r="S591" i="26"/>
  <c r="Z591" i="26" s="1"/>
  <c r="AG591" i="26" s="1"/>
  <c r="S553" i="26"/>
  <c r="Z553" i="26" s="1"/>
  <c r="AG553" i="26" s="1"/>
  <c r="S527" i="26"/>
  <c r="Z527" i="26" s="1"/>
  <c r="AG527" i="26" s="1"/>
  <c r="S517" i="26"/>
  <c r="Z517" i="26" s="1"/>
  <c r="AG517" i="26" s="1"/>
  <c r="S444" i="26"/>
  <c r="Z444" i="26" s="1"/>
  <c r="AG444" i="26" s="1"/>
  <c r="S431" i="26"/>
  <c r="Z431" i="26" s="1"/>
  <c r="AG431" i="26" s="1"/>
  <c r="S385" i="26"/>
  <c r="Z385" i="26" s="1"/>
  <c r="AG385" i="26" s="1"/>
  <c r="S371" i="26"/>
  <c r="Z371" i="26" s="1"/>
  <c r="AG371" i="26" s="1"/>
  <c r="S356" i="26"/>
  <c r="Z356" i="26" s="1"/>
  <c r="AG356" i="26" s="1"/>
  <c r="S732" i="26"/>
  <c r="Z732" i="26" s="1"/>
  <c r="AG732" i="26" s="1"/>
  <c r="S317" i="26"/>
  <c r="Z317" i="26" s="1"/>
  <c r="AG317" i="26" s="1"/>
  <c r="S303" i="26"/>
  <c r="Z303" i="26" s="1"/>
  <c r="AG303" i="26" s="1"/>
  <c r="S285" i="26"/>
  <c r="Z285" i="26" s="1"/>
  <c r="AG285" i="26" s="1"/>
  <c r="S729" i="26"/>
  <c r="Z729" i="26" s="1"/>
  <c r="AG729" i="26" s="1"/>
  <c r="S738" i="26"/>
  <c r="Z738" i="26" s="1"/>
  <c r="AG738" i="26" s="1"/>
  <c r="S459" i="26"/>
  <c r="Z459" i="26" s="1"/>
  <c r="AG459" i="26" s="1"/>
  <c r="S676" i="26"/>
  <c r="Z676" i="26" s="1"/>
  <c r="AG676" i="26" s="1"/>
  <c r="S634" i="26"/>
  <c r="Z634" i="26" s="1"/>
  <c r="AG634" i="26" s="1"/>
  <c r="S471" i="26"/>
  <c r="Z471" i="26" s="1"/>
  <c r="AG471" i="26" s="1"/>
  <c r="S605" i="26"/>
  <c r="Z605" i="26" s="1"/>
  <c r="AG605" i="26" s="1"/>
  <c r="S592" i="26"/>
  <c r="Z592" i="26" s="1"/>
  <c r="AG592" i="26" s="1"/>
  <c r="S555" i="26"/>
  <c r="Z555" i="26" s="1"/>
  <c r="AG555" i="26" s="1"/>
  <c r="S531" i="26"/>
  <c r="Z531" i="26" s="1"/>
  <c r="AG531" i="26" s="1"/>
  <c r="S518" i="26"/>
  <c r="Z518" i="26" s="1"/>
  <c r="AG518" i="26" s="1"/>
  <c r="S445" i="26"/>
  <c r="Z445" i="26" s="1"/>
  <c r="AG445" i="26" s="1"/>
  <c r="S398" i="26"/>
  <c r="Z398" i="26" s="1"/>
  <c r="AG398" i="26" s="1"/>
  <c r="S388" i="26"/>
  <c r="Z388" i="26" s="1"/>
  <c r="AG388" i="26" s="1"/>
  <c r="S372" i="26"/>
  <c r="Z372" i="26" s="1"/>
  <c r="AG372" i="26" s="1"/>
  <c r="S357" i="26"/>
  <c r="Z357" i="26" s="1"/>
  <c r="AG357" i="26" s="1"/>
  <c r="S733" i="26"/>
  <c r="Z733" i="26" s="1"/>
  <c r="AG733" i="26" s="1"/>
  <c r="S318" i="26"/>
  <c r="Z318" i="26" s="1"/>
  <c r="AG318" i="26" s="1"/>
  <c r="S304" i="26"/>
  <c r="Z304" i="26" s="1"/>
  <c r="AG304" i="26" s="1"/>
  <c r="S286" i="26"/>
  <c r="Z286" i="26" s="1"/>
  <c r="AG286" i="26" s="1"/>
  <c r="S731" i="26"/>
  <c r="Z731" i="26" s="1"/>
  <c r="AG731" i="26" s="1"/>
  <c r="S707" i="26"/>
  <c r="Z707" i="26" s="1"/>
  <c r="AG707" i="26" s="1"/>
  <c r="S689" i="26"/>
  <c r="Z689" i="26" s="1"/>
  <c r="AG689" i="26" s="1"/>
  <c r="S690" i="26"/>
  <c r="Z690" i="26" s="1"/>
  <c r="AG690" i="26" s="1"/>
  <c r="S679" i="26"/>
  <c r="Z679" i="26" s="1"/>
  <c r="AG679" i="26" s="1"/>
  <c r="S638" i="26"/>
  <c r="Z638" i="26" s="1"/>
  <c r="AG638" i="26" s="1"/>
  <c r="S478" i="26"/>
  <c r="Z478" i="26" s="1"/>
  <c r="AG478" i="26" s="1"/>
  <c r="S607" i="26"/>
  <c r="Z607" i="26" s="1"/>
  <c r="AG607" i="26" s="1"/>
  <c r="S560" i="26"/>
  <c r="Z560" i="26" s="1"/>
  <c r="AG560" i="26" s="1"/>
  <c r="S521" i="26"/>
  <c r="Z521" i="26" s="1"/>
  <c r="AG521" i="26" s="1"/>
  <c r="S533" i="26"/>
  <c r="Z533" i="26" s="1"/>
  <c r="AG533" i="26" s="1"/>
  <c r="S497" i="26"/>
  <c r="Z497" i="26" s="1"/>
  <c r="AG497" i="26" s="1"/>
  <c r="S447" i="26"/>
  <c r="Z447" i="26" s="1"/>
  <c r="AG447" i="26" s="1"/>
  <c r="S403" i="26"/>
  <c r="Z403" i="26" s="1"/>
  <c r="AG403" i="26" s="1"/>
  <c r="S390" i="26"/>
  <c r="Z390" i="26" s="1"/>
  <c r="AG390" i="26" s="1"/>
  <c r="S741" i="26"/>
  <c r="Z741" i="26" s="1"/>
  <c r="AG741" i="26" s="1"/>
  <c r="S359" i="26"/>
  <c r="Z359" i="26" s="1"/>
  <c r="AG359" i="26" s="1"/>
  <c r="S736" i="26"/>
  <c r="Z736" i="26" s="1"/>
  <c r="AG736" i="26" s="1"/>
  <c r="S454" i="26"/>
  <c r="Z454" i="26" s="1"/>
  <c r="AG454" i="26" s="1"/>
  <c r="S306" i="26"/>
  <c r="Z306" i="26" s="1"/>
  <c r="AG306" i="26" s="1"/>
  <c r="S288" i="26"/>
  <c r="Z288" i="26" s="1"/>
  <c r="AG288" i="26" s="1"/>
  <c r="S270" i="26"/>
  <c r="Z270" i="26" s="1"/>
  <c r="AG270" i="26" s="1"/>
  <c r="S457" i="26"/>
  <c r="Z457" i="26" s="1"/>
  <c r="AG457" i="26" s="1"/>
  <c r="S670" i="26"/>
  <c r="Z670" i="26" s="1"/>
  <c r="AG670" i="26" s="1"/>
  <c r="S658" i="26"/>
  <c r="Z658" i="26" s="1"/>
  <c r="AG658" i="26" s="1"/>
  <c r="S616" i="26"/>
  <c r="Z616" i="26" s="1"/>
  <c r="AG616" i="26" s="1"/>
  <c r="S628" i="26"/>
  <c r="Z628" i="26" s="1"/>
  <c r="AG628" i="26" s="1"/>
  <c r="S586" i="26"/>
  <c r="Z586" i="26" s="1"/>
  <c r="AG586" i="26" s="1"/>
  <c r="S573" i="26"/>
  <c r="Z573" i="26" s="1"/>
  <c r="AG573" i="26" s="1"/>
  <c r="S480" i="26"/>
  <c r="Z480" i="26" s="1"/>
  <c r="AG480" i="26" s="1"/>
  <c r="S507" i="26"/>
  <c r="Z507" i="26" s="1"/>
  <c r="AG507" i="26" s="1"/>
  <c r="S435" i="26"/>
  <c r="Z435" i="26" s="1"/>
  <c r="AG435" i="26" s="1"/>
  <c r="S426" i="26"/>
  <c r="Z426" i="26" s="1"/>
  <c r="AG426" i="26" s="1"/>
  <c r="S413" i="26"/>
  <c r="Z413" i="26" s="1"/>
  <c r="AG413" i="26" s="1"/>
  <c r="S365" i="26"/>
  <c r="Z365" i="26" s="1"/>
  <c r="AG365" i="26" s="1"/>
  <c r="S349" i="26"/>
  <c r="Z349" i="26" s="1"/>
  <c r="AG349" i="26" s="1"/>
  <c r="S333" i="26"/>
  <c r="Z333" i="26" s="1"/>
  <c r="AG333" i="26" s="1"/>
  <c r="S312" i="26"/>
  <c r="Z312" i="26" s="1"/>
  <c r="AG312" i="26" s="1"/>
  <c r="S293" i="26"/>
  <c r="Z293" i="26" s="1"/>
  <c r="AG293" i="26" s="1"/>
  <c r="S280" i="26"/>
  <c r="Z280" i="26" s="1"/>
  <c r="AG280" i="26" s="1"/>
  <c r="S263" i="26"/>
  <c r="Z263" i="26" s="1"/>
  <c r="AG263" i="26" s="1"/>
  <c r="S709" i="26"/>
  <c r="Z709" i="26" s="1"/>
  <c r="AG709" i="26" s="1"/>
  <c r="S718" i="26"/>
  <c r="Z718" i="26" s="1"/>
  <c r="AG718" i="26" s="1"/>
  <c r="S671" i="26"/>
  <c r="Z671" i="26" s="1"/>
  <c r="AG671" i="26" s="1"/>
  <c r="S659" i="26"/>
  <c r="Z659" i="26" s="1"/>
  <c r="AG659" i="26" s="1"/>
  <c r="S545" i="26"/>
  <c r="Z545" i="26" s="1"/>
  <c r="AG545" i="26" s="1"/>
  <c r="S595" i="26"/>
  <c r="Z595" i="26" s="1"/>
  <c r="AG595" i="26" s="1"/>
  <c r="S587" i="26"/>
  <c r="Z587" i="26" s="1"/>
  <c r="AG587" i="26" s="1"/>
  <c r="S574" i="26"/>
  <c r="Z574" i="26" s="1"/>
  <c r="AG574" i="26" s="1"/>
  <c r="S481" i="26"/>
  <c r="Z481" i="26" s="1"/>
  <c r="AG481" i="26" s="1"/>
  <c r="S511" i="26"/>
  <c r="Z511" i="26" s="1"/>
  <c r="AG511" i="26" s="1"/>
  <c r="S436" i="26"/>
  <c r="Z436" i="26" s="1"/>
  <c r="AG436" i="26" s="1"/>
  <c r="S427" i="26"/>
  <c r="Z427" i="26" s="1"/>
  <c r="AG427" i="26" s="1"/>
  <c r="S414" i="26"/>
  <c r="Z414" i="26" s="1"/>
  <c r="AG414" i="26" s="1"/>
  <c r="S366" i="26"/>
  <c r="Z366" i="26" s="1"/>
  <c r="AG366" i="26" s="1"/>
  <c r="S350" i="26"/>
  <c r="Z350" i="26" s="1"/>
  <c r="AG350" i="26" s="1"/>
  <c r="S334" i="26"/>
  <c r="Z334" i="26" s="1"/>
  <c r="AG334" i="26" s="1"/>
  <c r="S313" i="26"/>
  <c r="Z313" i="26" s="1"/>
  <c r="AG313" i="26" s="1"/>
  <c r="S295" i="26"/>
  <c r="Z295" i="26" s="1"/>
  <c r="AG295" i="26" s="1"/>
  <c r="S282" i="26"/>
  <c r="Z282" i="26" s="1"/>
  <c r="AG282" i="26" s="1"/>
  <c r="S264" i="26"/>
  <c r="Z264" i="26" s="1"/>
  <c r="AG264" i="26" s="1"/>
  <c r="S710" i="26"/>
  <c r="Z710" i="26" s="1"/>
  <c r="AG710" i="26" s="1"/>
  <c r="S719" i="26"/>
  <c r="Z719" i="26" s="1"/>
  <c r="AG719" i="26" s="1"/>
  <c r="S652" i="26"/>
  <c r="Z652" i="26" s="1"/>
  <c r="AG652" i="26" s="1"/>
  <c r="S473" i="26"/>
  <c r="Z473" i="26" s="1"/>
  <c r="AG473" i="26" s="1"/>
  <c r="S585" i="26"/>
  <c r="Z585" i="26" s="1"/>
  <c r="AG585" i="26" s="1"/>
  <c r="S472" i="26"/>
  <c r="Z472" i="26" s="1"/>
  <c r="AG472" i="26" s="1"/>
  <c r="S453" i="26"/>
  <c r="Z453" i="26" s="1"/>
  <c r="AG453" i="26" s="1"/>
  <c r="S406" i="26"/>
  <c r="Z406" i="26" s="1"/>
  <c r="AG406" i="26" s="1"/>
  <c r="S367" i="26"/>
  <c r="Z367" i="26" s="1"/>
  <c r="AG367" i="26" s="1"/>
  <c r="S330" i="26"/>
  <c r="Z330" i="26" s="1"/>
  <c r="AG330" i="26" s="1"/>
  <c r="S289" i="26"/>
  <c r="Z289" i="26" s="1"/>
  <c r="AG289" i="26" s="1"/>
  <c r="S256" i="26"/>
  <c r="Z256" i="26" s="1"/>
  <c r="AG256" i="26" s="1"/>
  <c r="S495" i="26"/>
  <c r="Z495" i="26" s="1"/>
  <c r="AG495" i="26" s="1"/>
  <c r="S653" i="26"/>
  <c r="Z653" i="26" s="1"/>
  <c r="AG653" i="26" s="1"/>
  <c r="S483" i="26"/>
  <c r="Z483" i="26" s="1"/>
  <c r="AG483" i="26" s="1"/>
  <c r="S588" i="26"/>
  <c r="Z588" i="26" s="1"/>
  <c r="AG588" i="26" s="1"/>
  <c r="S475" i="26"/>
  <c r="Z475" i="26" s="1"/>
  <c r="AG475" i="26" s="1"/>
  <c r="S465" i="26"/>
  <c r="Z465" i="26" s="1"/>
  <c r="AG465" i="26" s="1"/>
  <c r="S407" i="26"/>
  <c r="Z407" i="26" s="1"/>
  <c r="AG407" i="26" s="1"/>
  <c r="S373" i="26"/>
  <c r="Z373" i="26" s="1"/>
  <c r="AG373" i="26" s="1"/>
  <c r="S332" i="26"/>
  <c r="Z332" i="26" s="1"/>
  <c r="AG332" i="26" s="1"/>
  <c r="S290" i="26"/>
  <c r="Z290" i="26" s="1"/>
  <c r="AG290" i="26" s="1"/>
  <c r="S258" i="26"/>
  <c r="Z258" i="26" s="1"/>
  <c r="AG258" i="26" s="1"/>
  <c r="S503" i="26"/>
  <c r="Z503" i="26" s="1"/>
  <c r="AG503" i="26" s="1"/>
  <c r="S654" i="26"/>
  <c r="Z654" i="26" s="1"/>
  <c r="AG654" i="26" s="1"/>
  <c r="S455" i="26"/>
  <c r="Z455" i="26" s="1"/>
  <c r="AG455" i="26" s="1"/>
  <c r="S593" i="26"/>
  <c r="Z593" i="26" s="1"/>
  <c r="AG593" i="26" s="1"/>
  <c r="S477" i="26"/>
  <c r="Z477" i="26" s="1"/>
  <c r="AG477" i="26" s="1"/>
  <c r="S466" i="26"/>
  <c r="Z466" i="26" s="1"/>
  <c r="AG466" i="26" s="1"/>
  <c r="S408" i="26"/>
  <c r="Z408" i="26" s="1"/>
  <c r="AG408" i="26" s="1"/>
  <c r="S376" i="26"/>
  <c r="Z376" i="26" s="1"/>
  <c r="AG376" i="26" s="1"/>
  <c r="S335" i="26"/>
  <c r="Z335" i="26" s="1"/>
  <c r="AG335" i="26" s="1"/>
  <c r="S291" i="26"/>
  <c r="Z291" i="26" s="1"/>
  <c r="AG291" i="26" s="1"/>
  <c r="S259" i="26"/>
  <c r="Z259" i="26" s="1"/>
  <c r="AG259" i="26" s="1"/>
  <c r="S463" i="26"/>
  <c r="Z463" i="26" s="1"/>
  <c r="AG463" i="26" s="1"/>
  <c r="S655" i="26"/>
  <c r="Z655" i="26" s="1"/>
  <c r="AG655" i="26" s="1"/>
  <c r="S458" i="26"/>
  <c r="Z458" i="26" s="1"/>
  <c r="AG458" i="26" s="1"/>
  <c r="S561" i="26"/>
  <c r="Z561" i="26" s="1"/>
  <c r="AG561" i="26" s="1"/>
  <c r="S456" i="26"/>
  <c r="Z456" i="26" s="1"/>
  <c r="AG456" i="26" s="1"/>
  <c r="S467" i="26"/>
  <c r="Z467" i="26" s="1"/>
  <c r="AG467" i="26" s="1"/>
  <c r="S409" i="26"/>
  <c r="Z409" i="26" s="1"/>
  <c r="AG409" i="26" s="1"/>
  <c r="S377" i="26"/>
  <c r="Z377" i="26" s="1"/>
  <c r="AG377" i="26" s="1"/>
  <c r="S339" i="26"/>
  <c r="Z339" i="26" s="1"/>
  <c r="AG339" i="26" s="1"/>
  <c r="S292" i="26"/>
  <c r="Z292" i="26" s="1"/>
  <c r="AG292" i="26" s="1"/>
  <c r="S260" i="26"/>
  <c r="Z260" i="26" s="1"/>
  <c r="AG260" i="26" s="1"/>
  <c r="S713" i="26"/>
  <c r="Z713" i="26" s="1"/>
  <c r="AG713" i="26" s="1"/>
  <c r="S656" i="26"/>
  <c r="Z656" i="26" s="1"/>
  <c r="AG656" i="26" s="1"/>
  <c r="S618" i="26"/>
  <c r="Z618" i="26" s="1"/>
  <c r="AG618" i="26" s="1"/>
  <c r="S565" i="26"/>
  <c r="Z565" i="26" s="1"/>
  <c r="AG565" i="26" s="1"/>
  <c r="S532" i="26"/>
  <c r="Z532" i="26" s="1"/>
  <c r="AG532" i="26" s="1"/>
  <c r="S434" i="26"/>
  <c r="Z434" i="26" s="1"/>
  <c r="AG434" i="26" s="1"/>
  <c r="S410" i="26"/>
  <c r="Z410" i="26" s="1"/>
  <c r="AG410" i="26" s="1"/>
  <c r="S744" i="26"/>
  <c r="Z744" i="26" s="1"/>
  <c r="AG744" i="26" s="1"/>
  <c r="S340" i="26"/>
  <c r="Z340" i="26" s="1"/>
  <c r="AG340" i="26" s="1"/>
  <c r="S298" i="26"/>
  <c r="Z298" i="26" s="1"/>
  <c r="AG298" i="26" s="1"/>
  <c r="S722" i="26"/>
  <c r="Z722" i="26" s="1"/>
  <c r="AG722" i="26" s="1"/>
  <c r="S714" i="26"/>
  <c r="Z714" i="26" s="1"/>
  <c r="AG714" i="26" s="1"/>
  <c r="S672" i="26"/>
  <c r="Z672" i="26" s="1"/>
  <c r="AG672" i="26" s="1"/>
  <c r="S614" i="26"/>
  <c r="Z614" i="26" s="1"/>
  <c r="AG614" i="26" s="1"/>
  <c r="S612" i="26"/>
  <c r="Z612" i="26" s="1"/>
  <c r="AG612" i="26" s="1"/>
  <c r="S487" i="26"/>
  <c r="Z487" i="26" s="1"/>
  <c r="AG487" i="26" s="1"/>
  <c r="S493" i="26"/>
  <c r="Z493" i="26" s="1"/>
  <c r="AG493" i="26" s="1"/>
  <c r="S425" i="26"/>
  <c r="Z425" i="26" s="1"/>
  <c r="AG425" i="26" s="1"/>
  <c r="S395" i="26"/>
  <c r="Z395" i="26" s="1"/>
  <c r="AG395" i="26" s="1"/>
  <c r="S327" i="26"/>
  <c r="Z327" i="26" s="1"/>
  <c r="AG327" i="26" s="1"/>
  <c r="S322" i="26"/>
  <c r="Z322" i="26" s="1"/>
  <c r="AG322" i="26" s="1"/>
  <c r="S283" i="26"/>
  <c r="Z283" i="26" s="1"/>
  <c r="AG283" i="26" s="1"/>
  <c r="S723" i="26"/>
  <c r="Z723" i="26" s="1"/>
  <c r="AG723" i="26" s="1"/>
  <c r="S678" i="26"/>
  <c r="Z678" i="26" s="1"/>
  <c r="AG678" i="26" s="1"/>
  <c r="S615" i="26"/>
  <c r="Z615" i="26" s="1"/>
  <c r="AG615" i="26" s="1"/>
  <c r="S577" i="26"/>
  <c r="Z577" i="26" s="1"/>
  <c r="AG577" i="26" s="1"/>
  <c r="S494" i="26"/>
  <c r="Z494" i="26" s="1"/>
  <c r="AG494" i="26" s="1"/>
  <c r="S502" i="26"/>
  <c r="Z502" i="26" s="1"/>
  <c r="AG502" i="26" s="1"/>
  <c r="S428" i="26"/>
  <c r="Z428" i="26" s="1"/>
  <c r="AG428" i="26" s="1"/>
  <c r="S362" i="26"/>
  <c r="Z362" i="26" s="1"/>
  <c r="AG362" i="26" s="1"/>
  <c r="S328" i="26"/>
  <c r="Z328" i="26" s="1"/>
  <c r="AG328" i="26" s="1"/>
  <c r="S323" i="26"/>
  <c r="Z323" i="26" s="1"/>
  <c r="AG323" i="26" s="1"/>
  <c r="S287" i="26"/>
  <c r="Z287" i="26" s="1"/>
  <c r="AG287" i="26" s="1"/>
  <c r="S730" i="26"/>
  <c r="Z730" i="26" s="1"/>
  <c r="AG730" i="26" s="1"/>
  <c r="S648" i="26"/>
  <c r="Z648" i="26" s="1"/>
  <c r="AG648" i="26" s="1"/>
  <c r="S572" i="26"/>
  <c r="Z572" i="26" s="1"/>
  <c r="AG572" i="26" s="1"/>
  <c r="S449" i="26"/>
  <c r="Z449" i="26" s="1"/>
  <c r="AG449" i="26" s="1"/>
  <c r="S378" i="26"/>
  <c r="Z378" i="26" s="1"/>
  <c r="AG378" i="26" s="1"/>
  <c r="S321" i="26"/>
  <c r="Z321" i="26" s="1"/>
  <c r="AG321" i="26" s="1"/>
  <c r="S706" i="26"/>
  <c r="Z706" i="26" s="1"/>
  <c r="AG706" i="26" s="1"/>
  <c r="S613" i="26"/>
  <c r="Z613" i="26" s="1"/>
  <c r="AG613" i="26" s="1"/>
  <c r="S576" i="26"/>
  <c r="Z576" i="26" s="1"/>
  <c r="AG576" i="26" s="1"/>
  <c r="S450" i="26"/>
  <c r="Z450" i="26" s="1"/>
  <c r="AG450" i="26" s="1"/>
  <c r="S344" i="26"/>
  <c r="Z344" i="26" s="1"/>
  <c r="AG344" i="26" s="1"/>
  <c r="S324" i="26"/>
  <c r="Z324" i="26" s="1"/>
  <c r="AG324" i="26" s="1"/>
  <c r="S251" i="26"/>
  <c r="Z251" i="26" s="1"/>
  <c r="AG251" i="26" s="1"/>
  <c r="S691" i="26"/>
  <c r="Z691" i="26" s="1"/>
  <c r="AG691" i="26" s="1"/>
  <c r="S547" i="26"/>
  <c r="Z547" i="26" s="1"/>
  <c r="AG547" i="26" s="1"/>
  <c r="S556" i="26"/>
  <c r="Z556" i="26" s="1"/>
  <c r="AG556" i="26" s="1"/>
  <c r="S415" i="26"/>
  <c r="Z415" i="26" s="1"/>
  <c r="AG415" i="26" s="1"/>
  <c r="S345" i="26"/>
  <c r="Z345" i="26" s="1"/>
  <c r="AG345" i="26" s="1"/>
  <c r="S305" i="26"/>
  <c r="Z305" i="26" s="1"/>
  <c r="AG305" i="26" s="1"/>
  <c r="S252" i="26"/>
  <c r="Z252" i="26" s="1"/>
  <c r="AG252" i="26" s="1"/>
  <c r="S693" i="26"/>
  <c r="Z693" i="26" s="1"/>
  <c r="AG693" i="26" s="1"/>
  <c r="S620" i="26"/>
  <c r="Z620" i="26" s="1"/>
  <c r="AG620" i="26" s="1"/>
  <c r="S522" i="26"/>
  <c r="Z522" i="26" s="1"/>
  <c r="AG522" i="26" s="1"/>
  <c r="S419" i="26"/>
  <c r="Z419" i="26" s="1"/>
  <c r="AG419" i="26" s="1"/>
  <c r="S346" i="26"/>
  <c r="Z346" i="26" s="1"/>
  <c r="AG346" i="26" s="1"/>
  <c r="S271" i="26"/>
  <c r="Z271" i="26" s="1"/>
  <c r="AG271" i="26" s="1"/>
  <c r="S735" i="26"/>
  <c r="Z735" i="26" s="1"/>
  <c r="AG735" i="26" s="1"/>
  <c r="S694" i="26"/>
  <c r="Z694" i="26" s="1"/>
  <c r="AG694" i="26" s="1"/>
  <c r="S626" i="26"/>
  <c r="Z626" i="26" s="1"/>
  <c r="AG626" i="26" s="1"/>
  <c r="S496" i="26"/>
  <c r="Z496" i="26" s="1"/>
  <c r="AG496" i="26" s="1"/>
  <c r="S423" i="26"/>
  <c r="Z423" i="26" s="1"/>
  <c r="AG423" i="26" s="1"/>
  <c r="S351" i="26"/>
  <c r="Z351" i="26" s="1"/>
  <c r="AG351" i="26" s="1"/>
  <c r="S272" i="26"/>
  <c r="Z272" i="26" s="1"/>
  <c r="AG272" i="26" s="1"/>
  <c r="S715" i="26"/>
  <c r="Z715" i="26" s="1"/>
  <c r="AG715" i="26" s="1"/>
  <c r="S695" i="26"/>
  <c r="Z695" i="26" s="1"/>
  <c r="AG695" i="26" s="1"/>
  <c r="S627" i="26"/>
  <c r="Z627" i="26" s="1"/>
  <c r="AG627" i="26" s="1"/>
  <c r="S534" i="26"/>
  <c r="Z534" i="26" s="1"/>
  <c r="AG534" i="26" s="1"/>
  <c r="S424" i="26"/>
  <c r="Z424" i="26" s="1"/>
  <c r="AG424" i="26" s="1"/>
  <c r="S358" i="26"/>
  <c r="Z358" i="26" s="1"/>
  <c r="AG358" i="26" s="1"/>
  <c r="S273" i="26"/>
  <c r="Z273" i="26" s="1"/>
  <c r="AG273" i="26" s="1"/>
  <c r="S716" i="26"/>
  <c r="Z716" i="26" s="1"/>
  <c r="AG716" i="26" s="1"/>
  <c r="S698" i="26"/>
  <c r="Z698" i="26" s="1"/>
  <c r="AG698" i="26" s="1"/>
  <c r="S596" i="26"/>
  <c r="Z596" i="26" s="1"/>
  <c r="AG596" i="26" s="1"/>
  <c r="S535" i="26"/>
  <c r="Z535" i="26" s="1"/>
  <c r="AG535" i="26" s="1"/>
  <c r="S399" i="26"/>
  <c r="Z399" i="26" s="1"/>
  <c r="AG399" i="26" s="1"/>
  <c r="S360" i="26"/>
  <c r="Z360" i="26" s="1"/>
  <c r="AG360" i="26" s="1"/>
  <c r="S274" i="26"/>
  <c r="Z274" i="26" s="1"/>
  <c r="AG274" i="26" s="1"/>
  <c r="S717" i="26"/>
  <c r="Z717" i="26" s="1"/>
  <c r="AG717" i="26" s="1"/>
  <c r="S639" i="26"/>
  <c r="Z639" i="26" s="1"/>
  <c r="AG639" i="26" s="1"/>
  <c r="S569" i="26"/>
  <c r="Z569" i="26" s="1"/>
  <c r="AG569" i="26" s="1"/>
  <c r="S504" i="26"/>
  <c r="Z504" i="26" s="1"/>
  <c r="AG504" i="26" s="1"/>
  <c r="S393" i="26"/>
  <c r="Z393" i="26" s="1"/>
  <c r="AG393" i="26" s="1"/>
  <c r="S704" i="26"/>
  <c r="Z704" i="26" s="1"/>
  <c r="AG704" i="26" s="1"/>
  <c r="S269" i="26"/>
  <c r="Z269" i="26" s="1"/>
  <c r="AG269" i="26" s="1"/>
  <c r="S701" i="26"/>
  <c r="Z701" i="26" s="1"/>
  <c r="AG701" i="26" s="1"/>
  <c r="S537" i="26"/>
  <c r="Z537" i="26" s="1"/>
  <c r="AG537" i="26" s="1"/>
  <c r="S329" i="26"/>
  <c r="Z329" i="26" s="1"/>
  <c r="AG329" i="26" s="1"/>
  <c r="S379" i="26"/>
  <c r="Z379" i="26" s="1"/>
  <c r="AG379" i="26" s="1"/>
  <c r="S681" i="26"/>
  <c r="Z681" i="26" s="1"/>
  <c r="AG681" i="26" s="1"/>
  <c r="S538" i="26"/>
  <c r="Z538" i="26" s="1"/>
  <c r="AG538" i="26" s="1"/>
  <c r="S309" i="26"/>
  <c r="Z309" i="26" s="1"/>
  <c r="AG309" i="26" s="1"/>
  <c r="S657" i="26"/>
  <c r="Z657" i="26" s="1"/>
  <c r="AG657" i="26" s="1"/>
  <c r="S539" i="26"/>
  <c r="Z539" i="26" s="1"/>
  <c r="AG539" i="26" s="1"/>
  <c r="S310" i="26"/>
  <c r="Z310" i="26" s="1"/>
  <c r="AG310" i="26" s="1"/>
  <c r="S661" i="26"/>
  <c r="Z661" i="26" s="1"/>
  <c r="AG661" i="26" s="1"/>
  <c r="S506" i="26"/>
  <c r="Z506" i="26" s="1"/>
  <c r="AG506" i="26" s="1"/>
  <c r="S703" i="26"/>
  <c r="Z703" i="26" s="1"/>
  <c r="AG703" i="26" s="1"/>
  <c r="S637" i="26"/>
  <c r="Z637" i="26" s="1"/>
  <c r="AG637" i="26" s="1"/>
  <c r="S514" i="26"/>
  <c r="Z514" i="26" s="1"/>
  <c r="AG514" i="26" s="1"/>
  <c r="S311" i="26"/>
  <c r="Z311" i="26" s="1"/>
  <c r="AG311" i="26" s="1"/>
  <c r="S412" i="26"/>
  <c r="Z412" i="26" s="1"/>
  <c r="AG412" i="26" s="1"/>
  <c r="S641" i="26"/>
  <c r="Z641" i="26" s="1"/>
  <c r="AG641" i="26" s="1"/>
  <c r="S438" i="26"/>
  <c r="Z438" i="26" s="1"/>
  <c r="AG438" i="26" s="1"/>
  <c r="S705" i="26"/>
  <c r="Z705" i="26" s="1"/>
  <c r="AG705" i="26" s="1"/>
  <c r="S609" i="26"/>
  <c r="Z609" i="26" s="1"/>
  <c r="AG609" i="26" s="1"/>
  <c r="S279" i="26"/>
  <c r="Z279" i="26" s="1"/>
  <c r="AG279" i="26" s="1"/>
  <c r="S647" i="26"/>
  <c r="Z647" i="26" s="1"/>
  <c r="AG647" i="26" s="1"/>
  <c r="S446" i="26"/>
  <c r="Z446" i="26" s="1"/>
  <c r="AG446" i="26" s="1"/>
  <c r="S314" i="26"/>
  <c r="Z314" i="26" s="1"/>
  <c r="AG314" i="26" s="1"/>
  <c r="S608" i="26"/>
  <c r="Z608" i="26" s="1"/>
  <c r="AG608" i="26" s="1"/>
  <c r="S611" i="26"/>
  <c r="Z611" i="26" s="1"/>
  <c r="AG611" i="26" s="1"/>
  <c r="S606" i="26"/>
  <c r="Z606" i="26" s="1"/>
  <c r="AG606" i="26" s="1"/>
  <c r="S411" i="26"/>
  <c r="Z411" i="26" s="1"/>
  <c r="AG411" i="26" s="1"/>
  <c r="S275" i="26"/>
  <c r="Z275" i="26" s="1"/>
  <c r="AG275" i="26" s="1"/>
  <c r="S740" i="26"/>
  <c r="Z740" i="26" s="1"/>
  <c r="AG740" i="26" s="1"/>
  <c r="S389" i="26"/>
  <c r="Z389" i="26" s="1"/>
  <c r="AG389" i="26" s="1"/>
  <c r="S255" i="26"/>
  <c r="Z255" i="26" s="1"/>
  <c r="AG255" i="26" s="1"/>
  <c r="S581" i="26"/>
  <c r="Z581" i="26" s="1"/>
  <c r="AG581" i="26" s="1"/>
  <c r="S391" i="26"/>
  <c r="Z391" i="26" s="1"/>
  <c r="AG391" i="26" s="1"/>
  <c r="S262" i="26"/>
  <c r="Z262" i="26" s="1"/>
  <c r="AG262" i="26" s="1"/>
  <c r="S568" i="26"/>
  <c r="Z568" i="26" s="1"/>
  <c r="AG568" i="26" s="1"/>
  <c r="S392" i="26"/>
  <c r="Z392" i="26" s="1"/>
  <c r="AG392" i="26" s="1"/>
  <c r="S265" i="26"/>
  <c r="Z265" i="26" s="1"/>
  <c r="AG265" i="26" s="1"/>
  <c r="S570" i="26"/>
  <c r="Z570" i="26" s="1"/>
  <c r="AG570" i="26" s="1"/>
  <c r="S394" i="26"/>
  <c r="Z394" i="26" s="1"/>
  <c r="AG394" i="26" s="1"/>
  <c r="S737" i="26"/>
  <c r="Z737" i="26" s="1"/>
  <c r="AG737" i="26" s="1"/>
  <c r="S571" i="26"/>
  <c r="Z571" i="26" s="1"/>
  <c r="AG571" i="26" s="1"/>
  <c r="S363" i="26"/>
  <c r="Z363" i="26" s="1"/>
  <c r="AG363" i="26" s="1"/>
  <c r="S248" i="26"/>
  <c r="Z248" i="26" s="1"/>
  <c r="AG248" i="26" s="1"/>
  <c r="S699" i="26"/>
  <c r="Z699" i="26" s="1"/>
  <c r="AG699" i="26" s="1"/>
  <c r="S536" i="26"/>
  <c r="Z536" i="26" s="1"/>
  <c r="AG536" i="26" s="1"/>
  <c r="S326" i="26"/>
  <c r="Z326" i="26" s="1"/>
  <c r="AG326" i="26" s="1"/>
  <c r="S479" i="26"/>
  <c r="Z479" i="26" s="1"/>
  <c r="AG479" i="26" s="1"/>
  <c r="E8" i="38"/>
  <c r="B23" i="38"/>
  <c r="I23" i="38" s="1" a="1"/>
  <c r="D19" i="38"/>
  <c r="G8" i="38"/>
  <c r="B20" i="38"/>
  <c r="I20" i="38" s="1" a="1"/>
  <c r="F8" i="38"/>
  <c r="D8" i="38"/>
  <c r="C19" i="38"/>
  <c r="G19" i="38"/>
  <c r="F19" i="38"/>
  <c r="B22" i="38"/>
  <c r="I22" i="38" s="1" a="1"/>
  <c r="H19" i="38"/>
  <c r="B21" i="38"/>
  <c r="I21" i="38" s="1" a="1"/>
  <c r="B19" i="38"/>
  <c r="B25" i="38"/>
  <c r="I25" i="38" s="1" a="1"/>
  <c r="B24" i="38"/>
  <c r="I24" i="38" s="1" a="1"/>
  <c r="E19" i="38"/>
  <c r="J8" i="38"/>
  <c r="I8" i="38"/>
  <c r="T52" i="26"/>
  <c r="AA52" i="26" s="1"/>
  <c r="AH52" i="26" s="1"/>
  <c r="T30" i="26"/>
  <c r="AA30" i="26" s="1"/>
  <c r="AH30" i="26" s="1"/>
  <c r="T62" i="26"/>
  <c r="AA62" i="26" s="1"/>
  <c r="AH62" i="26" s="1"/>
  <c r="T71" i="26"/>
  <c r="AA71" i="26" s="1"/>
  <c r="AH71" i="26" s="1"/>
  <c r="T121" i="26"/>
  <c r="AA121" i="26" s="1"/>
  <c r="AH121" i="26" s="1"/>
  <c r="T40" i="26"/>
  <c r="AA40" i="26" s="1"/>
  <c r="AH40" i="26" s="1"/>
  <c r="T42" i="26"/>
  <c r="AA42" i="26" s="1"/>
  <c r="AH42" i="26" s="1"/>
  <c r="T46" i="26"/>
  <c r="AA46" i="26" s="1"/>
  <c r="AH46" i="26" s="1"/>
  <c r="T53" i="26"/>
  <c r="AA53" i="26" s="1"/>
  <c r="AH53" i="26" s="1"/>
  <c r="T31" i="26"/>
  <c r="AA31" i="26" s="1"/>
  <c r="AH31" i="26" s="1"/>
  <c r="T79" i="26"/>
  <c r="AA79" i="26" s="1"/>
  <c r="AH79" i="26" s="1"/>
  <c r="T74" i="26"/>
  <c r="AA74" i="26" s="1"/>
  <c r="AH74" i="26" s="1"/>
  <c r="T16" i="26"/>
  <c r="AA16" i="26" s="1"/>
  <c r="AH16" i="26" s="1"/>
  <c r="T110" i="26"/>
  <c r="AA110" i="26" s="1"/>
  <c r="AH110" i="26" s="1"/>
  <c r="T93" i="26"/>
  <c r="AA93" i="26" s="1"/>
  <c r="AH93" i="26" s="1"/>
  <c r="T84" i="26"/>
  <c r="AA84" i="26" s="1"/>
  <c r="AH84" i="26" s="1"/>
  <c r="T22" i="26"/>
  <c r="AA22" i="26" s="1"/>
  <c r="AH22" i="26" s="1"/>
  <c r="T82" i="26"/>
  <c r="AA82" i="26" s="1"/>
  <c r="AH82" i="26" s="1"/>
  <c r="T76" i="26"/>
  <c r="AA76" i="26" s="1"/>
  <c r="AH76" i="26" s="1"/>
  <c r="T106" i="26"/>
  <c r="AA106" i="26" s="1"/>
  <c r="AH106" i="26" s="1"/>
  <c r="T109" i="26"/>
  <c r="AA109" i="26" s="1"/>
  <c r="AH109" i="26" s="1"/>
  <c r="T95" i="26"/>
  <c r="AA95" i="26" s="1"/>
  <c r="AH95" i="26" s="1"/>
  <c r="T89" i="26"/>
  <c r="AA89" i="26" s="1"/>
  <c r="AH89" i="26" s="1"/>
  <c r="T58" i="26"/>
  <c r="AA58" i="26" s="1"/>
  <c r="AH58" i="26" s="1"/>
  <c r="T32" i="26"/>
  <c r="AA32" i="26" s="1"/>
  <c r="AH32" i="26" s="1"/>
  <c r="T65" i="26"/>
  <c r="AA65" i="26" s="1"/>
  <c r="AH65" i="26" s="1"/>
  <c r="T37" i="26"/>
  <c r="AA37" i="26" s="1"/>
  <c r="AH37" i="26" s="1"/>
  <c r="T133" i="26"/>
  <c r="AA133" i="26" s="1"/>
  <c r="AH133" i="26" s="1"/>
  <c r="T92" i="26"/>
  <c r="AA92" i="26" s="1"/>
  <c r="AH92" i="26" s="1"/>
  <c r="T48" i="26"/>
  <c r="AA48" i="26" s="1"/>
  <c r="AH48" i="26" s="1"/>
  <c r="T33" i="26"/>
  <c r="AA33" i="26" s="1"/>
  <c r="AH33" i="26" s="1"/>
  <c r="T66" i="26"/>
  <c r="AA66" i="26" s="1"/>
  <c r="AH66" i="26" s="1"/>
  <c r="T117" i="26"/>
  <c r="AA117" i="26" s="1"/>
  <c r="AH117" i="26" s="1"/>
  <c r="T134" i="26"/>
  <c r="AA134" i="26" s="1"/>
  <c r="AH134" i="26" s="1"/>
  <c r="T94" i="26"/>
  <c r="AA94" i="26" s="1"/>
  <c r="AH94" i="26" s="1"/>
  <c r="T90" i="26"/>
  <c r="AA90" i="26" s="1"/>
  <c r="AH90" i="26" s="1"/>
  <c r="T34" i="26"/>
  <c r="AA34" i="26" s="1"/>
  <c r="AH34" i="26" s="1"/>
  <c r="T87" i="26"/>
  <c r="AA87" i="26" s="1"/>
  <c r="AH87" i="26" s="1"/>
  <c r="T9" i="26"/>
  <c r="AA9" i="26" s="1"/>
  <c r="AH9" i="26" s="1"/>
  <c r="T135" i="26"/>
  <c r="AA135" i="26" s="1"/>
  <c r="AH135" i="26" s="1"/>
  <c r="T96" i="26"/>
  <c r="AA96" i="26" s="1"/>
  <c r="AH96" i="26" s="1"/>
  <c r="T49" i="26"/>
  <c r="AA49" i="26" s="1"/>
  <c r="AH49" i="26" s="1"/>
  <c r="T54" i="26"/>
  <c r="AA54" i="26" s="1"/>
  <c r="AH54" i="26" s="1"/>
  <c r="T35" i="26"/>
  <c r="AA35" i="26" s="1"/>
  <c r="AH35" i="26" s="1"/>
  <c r="T67" i="26"/>
  <c r="AA67" i="26" s="1"/>
  <c r="AH67" i="26" s="1"/>
  <c r="T8" i="26"/>
  <c r="AA8" i="26" s="1"/>
  <c r="AH8" i="26" s="1"/>
  <c r="T111" i="26"/>
  <c r="AA111" i="26" s="1"/>
  <c r="AH111" i="26" s="1"/>
  <c r="T97" i="26"/>
  <c r="AA97" i="26" s="1"/>
  <c r="AH97" i="26" s="1"/>
  <c r="T10" i="26"/>
  <c r="AA10" i="26" s="1"/>
  <c r="AH10" i="26" s="1"/>
  <c r="T19" i="26"/>
  <c r="AA19" i="26" s="1"/>
  <c r="AH19" i="26" s="1"/>
  <c r="T36" i="26"/>
  <c r="AA36" i="26" s="1"/>
  <c r="AH36" i="26" s="1"/>
  <c r="T68" i="26"/>
  <c r="AA68" i="26" s="1"/>
  <c r="AH68" i="26" s="1"/>
  <c r="T114" i="26"/>
  <c r="AA114" i="26" s="1"/>
  <c r="AH114" i="26" s="1"/>
  <c r="T113" i="26"/>
  <c r="AA113" i="26" s="1"/>
  <c r="AH113" i="26" s="1"/>
  <c r="T98" i="26"/>
  <c r="AA98" i="26" s="1"/>
  <c r="AH98" i="26" s="1"/>
  <c r="T83" i="26"/>
  <c r="AA83" i="26" s="1"/>
  <c r="AH83" i="26" s="1"/>
  <c r="T20" i="26"/>
  <c r="AA20" i="26" s="1"/>
  <c r="AH20" i="26" s="1"/>
  <c r="T18" i="26"/>
  <c r="AA18" i="26" s="1"/>
  <c r="AH18" i="26" s="1"/>
  <c r="T75" i="26"/>
  <c r="AA75" i="26" s="1"/>
  <c r="AH75" i="26" s="1"/>
  <c r="T119" i="26"/>
  <c r="AA119" i="26" s="1"/>
  <c r="AH119" i="26" s="1"/>
  <c r="T41" i="26"/>
  <c r="AA41" i="26" s="1"/>
  <c r="AH41" i="26" s="1"/>
  <c r="T99" i="26"/>
  <c r="AA99" i="26" s="1"/>
  <c r="AH99" i="26" s="1"/>
  <c r="T50" i="26"/>
  <c r="AA50" i="26" s="1"/>
  <c r="AH50" i="26" s="1"/>
  <c r="T55" i="26"/>
  <c r="AA55" i="26" s="1"/>
  <c r="AH55" i="26" s="1"/>
  <c r="T59" i="26"/>
  <c r="AA59" i="26" s="1"/>
  <c r="AH59" i="26" s="1"/>
  <c r="T112" i="26"/>
  <c r="AA112" i="26" s="1"/>
  <c r="AH112" i="26" s="1"/>
  <c r="T15" i="26"/>
  <c r="AA15" i="26" s="1"/>
  <c r="AH15" i="26" s="1"/>
  <c r="T116" i="26"/>
  <c r="AA116" i="26" s="1"/>
  <c r="AH116" i="26" s="1"/>
  <c r="T105" i="26"/>
  <c r="AA105" i="26" s="1"/>
  <c r="AH105" i="26" s="1"/>
  <c r="T11" i="26"/>
  <c r="AA11" i="26" s="1"/>
  <c r="AH11" i="26" s="1"/>
  <c r="T28" i="26"/>
  <c r="AA28" i="26" s="1"/>
  <c r="AH28" i="26" s="1"/>
  <c r="T64" i="26"/>
  <c r="AA64" i="26" s="1"/>
  <c r="AH64" i="26" s="1"/>
  <c r="T17" i="26"/>
  <c r="AA17" i="26" s="1"/>
  <c r="AH17" i="26" s="1"/>
  <c r="T130" i="26"/>
  <c r="AA130" i="26" s="1"/>
  <c r="AH130" i="26" s="1"/>
  <c r="T125" i="26"/>
  <c r="AA125" i="26" s="1"/>
  <c r="AH125" i="26" s="1"/>
  <c r="T45" i="26"/>
  <c r="AA45" i="26" s="1"/>
  <c r="AH45" i="26" s="1"/>
  <c r="T81" i="26"/>
  <c r="AA81" i="26" s="1"/>
  <c r="AH81" i="26" s="1"/>
  <c r="T127" i="26"/>
  <c r="AA127" i="26" s="1"/>
  <c r="AH127" i="26" s="1"/>
  <c r="T101" i="26"/>
  <c r="AA101" i="26" s="1"/>
  <c r="AH101" i="26" s="1"/>
  <c r="T13" i="26"/>
  <c r="AA13" i="26" s="1"/>
  <c r="AH13" i="26" s="1"/>
  <c r="T61" i="26"/>
  <c r="AA61" i="26" s="1"/>
  <c r="AH61" i="26" s="1"/>
  <c r="T118" i="26"/>
  <c r="AA118" i="26" s="1"/>
  <c r="AH118" i="26" s="1"/>
  <c r="T43" i="26"/>
  <c r="AA43" i="26" s="1"/>
  <c r="AH43" i="26" s="1"/>
  <c r="T80" i="26"/>
  <c r="AA80" i="26" s="1"/>
  <c r="AH80" i="26" s="1"/>
  <c r="T128" i="26"/>
  <c r="AA128" i="26" s="1"/>
  <c r="AH128" i="26" s="1"/>
  <c r="T102" i="26"/>
  <c r="AA102" i="26" s="1"/>
  <c r="AH102" i="26" s="1"/>
  <c r="T88" i="26"/>
  <c r="AA88" i="26" s="1"/>
  <c r="AH88" i="26" s="1"/>
  <c r="T86" i="26"/>
  <c r="AA86" i="26" s="1"/>
  <c r="AH86" i="26" s="1"/>
  <c r="T39" i="26"/>
  <c r="AA39" i="26" s="1"/>
  <c r="AH39" i="26" s="1"/>
  <c r="T103" i="26"/>
  <c r="AA103" i="26" s="1"/>
  <c r="AH103" i="26" s="1"/>
  <c r="T63" i="26"/>
  <c r="AA63" i="26" s="1"/>
  <c r="AH63" i="26" s="1"/>
  <c r="T129" i="26"/>
  <c r="AA129" i="26" s="1"/>
  <c r="AH129" i="26" s="1"/>
  <c r="T104" i="26"/>
  <c r="AA104" i="26" s="1"/>
  <c r="AH104" i="26" s="1"/>
  <c r="T70" i="26"/>
  <c r="AA70" i="26" s="1"/>
  <c r="AH70" i="26" s="1"/>
  <c r="T78" i="26"/>
  <c r="AA78" i="26" s="1"/>
  <c r="AH78" i="26" s="1"/>
  <c r="T131" i="26"/>
  <c r="AA131" i="26" s="1"/>
  <c r="AH131" i="26" s="1"/>
  <c r="T47" i="26"/>
  <c r="AA47" i="26" s="1"/>
  <c r="AH47" i="26" s="1"/>
  <c r="T56" i="26"/>
  <c r="AA56" i="26" s="1"/>
  <c r="AH56" i="26" s="1"/>
  <c r="T23" i="26"/>
  <c r="AA23" i="26" s="1"/>
  <c r="AH23" i="26" s="1"/>
  <c r="T77" i="26"/>
  <c r="AA77" i="26" s="1"/>
  <c r="AH77" i="26" s="1"/>
  <c r="T132" i="26"/>
  <c r="AA132" i="26" s="1"/>
  <c r="AH132" i="26" s="1"/>
  <c r="T44" i="26"/>
  <c r="AA44" i="26" s="1"/>
  <c r="AH44" i="26" s="1"/>
  <c r="T51" i="26"/>
  <c r="AA51" i="26" s="1"/>
  <c r="AH51" i="26" s="1"/>
  <c r="T26" i="26"/>
  <c r="AA26" i="26" s="1"/>
  <c r="AH26" i="26" s="1"/>
  <c r="T21" i="26"/>
  <c r="AA21" i="26" s="1"/>
  <c r="AH21" i="26" s="1"/>
  <c r="T69" i="26"/>
  <c r="AA69" i="26" s="1"/>
  <c r="AH69" i="26" s="1"/>
  <c r="T122" i="26"/>
  <c r="AA122" i="26" s="1"/>
  <c r="AH122" i="26" s="1"/>
  <c r="T12" i="26"/>
  <c r="AA12" i="26" s="1"/>
  <c r="AH12" i="26" s="1"/>
  <c r="T25" i="26"/>
  <c r="AA25" i="26" s="1"/>
  <c r="AH25" i="26" s="1"/>
  <c r="T85" i="26"/>
  <c r="AA85" i="26" s="1"/>
  <c r="AH85" i="26" s="1"/>
  <c r="T73" i="26"/>
  <c r="AA73" i="26" s="1"/>
  <c r="AH73" i="26" s="1"/>
  <c r="T123" i="26"/>
  <c r="AA123" i="26" s="1"/>
  <c r="AH123" i="26" s="1"/>
  <c r="T14" i="26"/>
  <c r="AA14" i="26" s="1"/>
  <c r="AH14" i="26" s="1"/>
  <c r="T24" i="26"/>
  <c r="AA24" i="26" s="1"/>
  <c r="AH24" i="26" s="1"/>
  <c r="T72" i="26"/>
  <c r="AA72" i="26" s="1"/>
  <c r="AH72" i="26" s="1"/>
  <c r="T120" i="26"/>
  <c r="AA120" i="26" s="1"/>
  <c r="AH120" i="26" s="1"/>
  <c r="T27" i="26"/>
  <c r="AA27" i="26" s="1"/>
  <c r="AH27" i="26" s="1"/>
  <c r="T108" i="26"/>
  <c r="AA108" i="26" s="1"/>
  <c r="AH108" i="26" s="1"/>
  <c r="T124" i="26"/>
  <c r="AA124" i="26" s="1"/>
  <c r="AH124" i="26" s="1"/>
  <c r="T29" i="26"/>
  <c r="AA29" i="26" s="1"/>
  <c r="AH29" i="26" s="1"/>
  <c r="T107" i="26"/>
  <c r="AA107" i="26" s="1"/>
  <c r="AH107" i="26" s="1"/>
  <c r="T126" i="26"/>
  <c r="AA126" i="26" s="1"/>
  <c r="AH126" i="26" s="1"/>
  <c r="T57" i="26"/>
  <c r="AA57" i="26" s="1"/>
  <c r="AH57" i="26" s="1"/>
  <c r="T115" i="26"/>
  <c r="AA115" i="26" s="1"/>
  <c r="AH115" i="26" s="1"/>
  <c r="T91" i="26"/>
  <c r="AA91" i="26" s="1"/>
  <c r="AH91" i="26" s="1"/>
  <c r="T60" i="26"/>
  <c r="AA60" i="26" s="1"/>
  <c r="AH60" i="26" s="1"/>
  <c r="T38" i="26"/>
  <c r="AA38" i="26" s="1"/>
  <c r="AH38" i="26" s="1"/>
  <c r="T100" i="26"/>
  <c r="AA100" i="26" s="1"/>
  <c r="AH100" i="26" s="1"/>
  <c r="T669" i="26"/>
  <c r="AA669" i="26" s="1"/>
  <c r="AH669" i="26" s="1"/>
  <c r="T535" i="26"/>
  <c r="AA535" i="26" s="1"/>
  <c r="AH535" i="26" s="1"/>
  <c r="T699" i="26"/>
  <c r="AA699" i="26" s="1"/>
  <c r="AH699" i="26" s="1"/>
  <c r="T695" i="26"/>
  <c r="AA695" i="26" s="1"/>
  <c r="AH695" i="26" s="1"/>
  <c r="T691" i="26"/>
  <c r="AA691" i="26" s="1"/>
  <c r="AH691" i="26" s="1"/>
  <c r="T548" i="26"/>
  <c r="AA548" i="26" s="1"/>
  <c r="AH548" i="26" s="1"/>
  <c r="T413" i="26"/>
  <c r="AA413" i="26" s="1"/>
  <c r="AH413" i="26" s="1"/>
  <c r="T336" i="26"/>
  <c r="AA336" i="26" s="1"/>
  <c r="AH336" i="26" s="1"/>
  <c r="T717" i="26"/>
  <c r="AA717" i="26" s="1"/>
  <c r="AH717" i="26" s="1"/>
  <c r="T593" i="26"/>
  <c r="AA593" i="26" s="1"/>
  <c r="AH593" i="26" s="1"/>
  <c r="T588" i="26"/>
  <c r="AA588" i="26" s="1"/>
  <c r="AH588" i="26" s="1"/>
  <c r="T426" i="26"/>
  <c r="AA426" i="26" s="1"/>
  <c r="AH426" i="26" s="1"/>
  <c r="T280" i="26"/>
  <c r="AA280" i="26" s="1"/>
  <c r="AH280" i="26" s="1"/>
  <c r="T282" i="26"/>
  <c r="AA282" i="26" s="1"/>
  <c r="AH282" i="26" s="1"/>
  <c r="T529" i="26"/>
  <c r="AA529" i="26" s="1"/>
  <c r="AH529" i="26" s="1"/>
  <c r="T286" i="26"/>
  <c r="AA286" i="26" s="1"/>
  <c r="AH286" i="26" s="1"/>
  <c r="T497" i="26"/>
  <c r="AA497" i="26" s="1"/>
  <c r="AH497" i="26" s="1"/>
  <c r="T687" i="26"/>
  <c r="AA687" i="26" s="1"/>
  <c r="AH687" i="26" s="1"/>
  <c r="T316" i="26"/>
  <c r="AA316" i="26" s="1"/>
  <c r="AH316" i="26" s="1"/>
  <c r="T408" i="26"/>
  <c r="AA408" i="26" s="1"/>
  <c r="AH408" i="26" s="1"/>
  <c r="T561" i="26"/>
  <c r="AA561" i="26" s="1"/>
  <c r="AH561" i="26" s="1"/>
  <c r="T590" i="26"/>
  <c r="AA590" i="26" s="1"/>
  <c r="AH590" i="26" s="1"/>
  <c r="T456" i="26"/>
  <c r="AA456" i="26" s="1"/>
  <c r="AH456" i="26" s="1"/>
  <c r="T470" i="26"/>
  <c r="AA470" i="26" s="1"/>
  <c r="AH470" i="26" s="1"/>
  <c r="T420" i="26"/>
  <c r="AA420" i="26" s="1"/>
  <c r="AH420" i="26" s="1"/>
  <c r="T492" i="26"/>
  <c r="AA492" i="26" s="1"/>
  <c r="AH492" i="26" s="1"/>
  <c r="T706" i="26"/>
  <c r="AA706" i="26" s="1"/>
  <c r="AH706" i="26" s="1"/>
  <c r="T490" i="26"/>
  <c r="AA490" i="26" s="1"/>
  <c r="AH490" i="26" s="1"/>
  <c r="T439" i="26"/>
  <c r="AA439" i="26" s="1"/>
  <c r="AH439" i="26" s="1"/>
  <c r="T741" i="26"/>
  <c r="AA741" i="26" s="1"/>
  <c r="AH741" i="26" s="1"/>
  <c r="T491" i="26"/>
  <c r="AA491" i="26" s="1"/>
  <c r="AH491" i="26" s="1"/>
  <c r="T729" i="26"/>
  <c r="AA729" i="26" s="1"/>
  <c r="AH729" i="26" s="1"/>
  <c r="T617" i="26"/>
  <c r="AA617" i="26" s="1"/>
  <c r="AH617" i="26" s="1"/>
  <c r="T517" i="26"/>
  <c r="AA517" i="26" s="1"/>
  <c r="AH517" i="26" s="1"/>
  <c r="T311" i="26"/>
  <c r="AA311" i="26" s="1"/>
  <c r="AH311" i="26" s="1"/>
  <c r="T634" i="26"/>
  <c r="AA634" i="26" s="1"/>
  <c r="AH634" i="26" s="1"/>
  <c r="T663" i="26"/>
  <c r="AA663" i="26" s="1"/>
  <c r="AH663" i="26" s="1"/>
  <c r="T296" i="26"/>
  <c r="AA296" i="26" s="1"/>
  <c r="AH296" i="26" s="1"/>
  <c r="T299" i="26"/>
  <c r="AA299" i="26" s="1"/>
  <c r="AH299" i="26" s="1"/>
  <c r="T346" i="26"/>
  <c r="AA346" i="26" s="1"/>
  <c r="AH346" i="26" s="1"/>
  <c r="T375" i="26"/>
  <c r="AA375" i="26" s="1"/>
  <c r="AH375" i="26" s="1"/>
  <c r="T673" i="26"/>
  <c r="AA673" i="26" s="1"/>
  <c r="AH673" i="26" s="1"/>
  <c r="T364" i="26"/>
  <c r="AA364" i="26" s="1"/>
  <c r="AH364" i="26" s="1"/>
  <c r="T281" i="26"/>
  <c r="AA281" i="26" s="1"/>
  <c r="AH281" i="26" s="1"/>
  <c r="T534" i="26"/>
  <c r="AA534" i="26" s="1"/>
  <c r="AH534" i="26" s="1"/>
  <c r="T338" i="26"/>
  <c r="AA338" i="26" s="1"/>
  <c r="AH338" i="26" s="1"/>
  <c r="T459" i="26"/>
  <c r="AA459" i="26" s="1"/>
  <c r="AH459" i="26" s="1"/>
  <c r="T288" i="26"/>
  <c r="AA288" i="26" s="1"/>
  <c r="AH288" i="26" s="1"/>
  <c r="T544" i="26"/>
  <c r="AA544" i="26" s="1"/>
  <c r="AH544" i="26" s="1"/>
  <c r="T412" i="26"/>
  <c r="AA412" i="26" s="1"/>
  <c r="AH412" i="26" s="1"/>
  <c r="T566" i="26"/>
  <c r="AA566" i="26" s="1"/>
  <c r="AH566" i="26" s="1"/>
  <c r="T559" i="26"/>
  <c r="AA559" i="26" s="1"/>
  <c r="AH559" i="26" s="1"/>
  <c r="T398" i="26"/>
  <c r="AA398" i="26" s="1"/>
  <c r="AH398" i="26" s="1"/>
  <c r="T586" i="26"/>
  <c r="AA586" i="26" s="1"/>
  <c r="AH586" i="26" s="1"/>
  <c r="T579" i="26"/>
  <c r="AA579" i="26" s="1"/>
  <c r="AH579" i="26" s="1"/>
  <c r="T419" i="26"/>
  <c r="AA419" i="26" s="1"/>
  <c r="AH419" i="26" s="1"/>
  <c r="T732" i="26"/>
  <c r="AA732" i="26" s="1"/>
  <c r="AH732" i="26" s="1"/>
  <c r="T445" i="26"/>
  <c r="AA445" i="26" s="1"/>
  <c r="AH445" i="26" s="1"/>
  <c r="T477" i="26"/>
  <c r="AA477" i="26" s="1"/>
  <c r="AH477" i="26" s="1"/>
  <c r="T438" i="26"/>
  <c r="AA438" i="26" s="1"/>
  <c r="AH438" i="26" s="1"/>
  <c r="T466" i="26"/>
  <c r="AA466" i="26" s="1"/>
  <c r="AH466" i="26" s="1"/>
  <c r="T249" i="26"/>
  <c r="AA249" i="26" s="1"/>
  <c r="AH249" i="26" s="1"/>
  <c r="T332" i="26"/>
  <c r="AA332" i="26" s="1"/>
  <c r="AH332" i="26" s="1"/>
  <c r="T615" i="26"/>
  <c r="AA615" i="26" s="1"/>
  <c r="AH615" i="26" s="1"/>
  <c r="T516" i="26"/>
  <c r="AA516" i="26" s="1"/>
  <c r="AH516" i="26" s="1"/>
  <c r="T582" i="26"/>
  <c r="AA582" i="26" s="1"/>
  <c r="AH582" i="26" s="1"/>
  <c r="T464" i="26"/>
  <c r="AA464" i="26" s="1"/>
  <c r="AH464" i="26" s="1"/>
  <c r="T662" i="26"/>
  <c r="AA662" i="26" s="1"/>
  <c r="AH662" i="26" s="1"/>
  <c r="T656" i="26"/>
  <c r="AA656" i="26" s="1"/>
  <c r="AH656" i="26" s="1"/>
  <c r="T349" i="26"/>
  <c r="AA349" i="26" s="1"/>
  <c r="AH349" i="26" s="1"/>
  <c r="T679" i="26"/>
  <c r="AA679" i="26" s="1"/>
  <c r="AH679" i="26" s="1"/>
  <c r="T373" i="26"/>
  <c r="AA373" i="26" s="1"/>
  <c r="AH373" i="26" s="1"/>
  <c r="T672" i="26"/>
  <c r="AA672" i="26" s="1"/>
  <c r="AH672" i="26" s="1"/>
  <c r="T505" i="26"/>
  <c r="AA505" i="26" s="1"/>
  <c r="AH505" i="26" s="1"/>
  <c r="T702" i="26"/>
  <c r="AA702" i="26" s="1"/>
  <c r="AH702" i="26" s="1"/>
  <c r="T527" i="26"/>
  <c r="AA527" i="26" s="1"/>
  <c r="AH527" i="26" s="1"/>
  <c r="T453" i="26"/>
  <c r="AA453" i="26" s="1"/>
  <c r="AH453" i="26" s="1"/>
  <c r="T558" i="26"/>
  <c r="AA558" i="26" s="1"/>
  <c r="AH558" i="26" s="1"/>
  <c r="T254" i="26"/>
  <c r="AA254" i="26" s="1"/>
  <c r="AH254" i="26" s="1"/>
  <c r="T573" i="26"/>
  <c r="AA573" i="26" s="1"/>
  <c r="AH573" i="26" s="1"/>
  <c r="T407" i="26"/>
  <c r="AA407" i="26" s="1"/>
  <c r="AH407" i="26" s="1"/>
  <c r="T260" i="26"/>
  <c r="AA260" i="26" s="1"/>
  <c r="AH260" i="26" s="1"/>
  <c r="T589" i="26"/>
  <c r="AA589" i="26" s="1"/>
  <c r="AH589" i="26" s="1"/>
  <c r="T333" i="26"/>
  <c r="AA333" i="26" s="1"/>
  <c r="AH333" i="26" s="1"/>
  <c r="T578" i="26"/>
  <c r="AA578" i="26" s="1"/>
  <c r="AH578" i="26" s="1"/>
  <c r="T608" i="26"/>
  <c r="AA608" i="26" s="1"/>
  <c r="AH608" i="26" s="1"/>
  <c r="T601" i="26"/>
  <c r="AA601" i="26" s="1"/>
  <c r="AH601" i="26" s="1"/>
  <c r="T595" i="26"/>
  <c r="AA595" i="26" s="1"/>
  <c r="AH595" i="26" s="1"/>
  <c r="T625" i="26"/>
  <c r="AA625" i="26" s="1"/>
  <c r="AH625" i="26" s="1"/>
  <c r="T437" i="26"/>
  <c r="AA437" i="26" s="1"/>
  <c r="AH437" i="26" s="1"/>
  <c r="T744" i="26"/>
  <c r="AA744" i="26" s="1"/>
  <c r="AH744" i="26" s="1"/>
  <c r="T479" i="26"/>
  <c r="AA479" i="26" s="1"/>
  <c r="AH479" i="26" s="1"/>
  <c r="T552" i="26"/>
  <c r="AA552" i="26" s="1"/>
  <c r="AH552" i="26" s="1"/>
  <c r="T324" i="26"/>
  <c r="AA324" i="26" s="1"/>
  <c r="AH324" i="26" s="1"/>
  <c r="T515" i="26"/>
  <c r="AA515" i="26" s="1"/>
  <c r="AH515" i="26" s="1"/>
  <c r="T638" i="26"/>
  <c r="AA638" i="26" s="1"/>
  <c r="AH638" i="26" s="1"/>
  <c r="T632" i="26"/>
  <c r="AA632" i="26" s="1"/>
  <c r="AH632" i="26" s="1"/>
  <c r="T358" i="26"/>
  <c r="AA358" i="26" s="1"/>
  <c r="AH358" i="26" s="1"/>
  <c r="T655" i="26"/>
  <c r="AA655" i="26" s="1"/>
  <c r="AH655" i="26" s="1"/>
  <c r="T348" i="26"/>
  <c r="AA348" i="26" s="1"/>
  <c r="AH348" i="26" s="1"/>
  <c r="T303" i="26"/>
  <c r="AA303" i="26" s="1"/>
  <c r="AH303" i="26" s="1"/>
  <c r="T271" i="26"/>
  <c r="AA271" i="26" s="1"/>
  <c r="AH271" i="26" s="1"/>
  <c r="T369" i="26"/>
  <c r="AA369" i="26" s="1"/>
  <c r="AH369" i="26" s="1"/>
  <c r="T538" i="26"/>
  <c r="AA538" i="26" s="1"/>
  <c r="AH538" i="26" s="1"/>
  <c r="T700" i="26"/>
  <c r="AA700" i="26" s="1"/>
  <c r="AH700" i="26" s="1"/>
  <c r="T461" i="26"/>
  <c r="AA461" i="26" s="1"/>
  <c r="AH461" i="26" s="1"/>
  <c r="T555" i="26"/>
  <c r="AA555" i="26" s="1"/>
  <c r="AH555" i="26" s="1"/>
  <c r="T337" i="26"/>
  <c r="AA337" i="26" s="1"/>
  <c r="AH337" i="26" s="1"/>
  <c r="T569" i="26"/>
  <c r="AA569" i="26" s="1"/>
  <c r="AH569" i="26" s="1"/>
  <c r="T560" i="26"/>
  <c r="AA560" i="26" s="1"/>
  <c r="AH560" i="26" s="1"/>
  <c r="T263" i="26"/>
  <c r="AA263" i="26" s="1"/>
  <c r="AH263" i="26" s="1"/>
  <c r="T583" i="26"/>
  <c r="AA583" i="26" s="1"/>
  <c r="AH583" i="26" s="1"/>
  <c r="T323" i="26"/>
  <c r="AA323" i="26" s="1"/>
  <c r="AH323" i="26" s="1"/>
  <c r="T603" i="26"/>
  <c r="AA603" i="26" s="1"/>
  <c r="AH603" i="26" s="1"/>
  <c r="T704" i="26"/>
  <c r="AA704" i="26" s="1"/>
  <c r="AH704" i="26" s="1"/>
  <c r="T623" i="26"/>
  <c r="AA623" i="26" s="1"/>
  <c r="AH623" i="26" s="1"/>
  <c r="T482" i="26"/>
  <c r="AA482" i="26" s="1"/>
  <c r="AH482" i="26" s="1"/>
  <c r="T723" i="26"/>
  <c r="AA723" i="26" s="1"/>
  <c r="AH723" i="26" s="1"/>
  <c r="T504" i="26"/>
  <c r="AA504" i="26" s="1"/>
  <c r="AH504" i="26" s="1"/>
  <c r="T710" i="26"/>
  <c r="AA710" i="26" s="1"/>
  <c r="AH710" i="26" s="1"/>
  <c r="T480" i="26"/>
  <c r="AA480" i="26" s="1"/>
  <c r="AH480" i="26" s="1"/>
  <c r="T635" i="26"/>
  <c r="AA635" i="26" s="1"/>
  <c r="AH635" i="26" s="1"/>
  <c r="T313" i="26"/>
  <c r="AA313" i="26" s="1"/>
  <c r="AH313" i="26" s="1"/>
  <c r="T654" i="26"/>
  <c r="AA654" i="26" s="1"/>
  <c r="AH654" i="26" s="1"/>
  <c r="T347" i="26"/>
  <c r="AA347" i="26" s="1"/>
  <c r="AH347" i="26" s="1"/>
  <c r="T376" i="26"/>
  <c r="AA376" i="26" s="1"/>
  <c r="AH376" i="26" s="1"/>
  <c r="T275" i="26"/>
  <c r="AA275" i="26" s="1"/>
  <c r="AH275" i="26" s="1"/>
  <c r="T506" i="26"/>
  <c r="AA506" i="26" s="1"/>
  <c r="AH506" i="26" s="1"/>
  <c r="T701" i="26"/>
  <c r="AA701" i="26" s="1"/>
  <c r="AH701" i="26" s="1"/>
  <c r="T524" i="26"/>
  <c r="AA524" i="26" s="1"/>
  <c r="AH524" i="26" s="1"/>
  <c r="T500" i="26"/>
  <c r="AA500" i="26" s="1"/>
  <c r="AH500" i="26" s="1"/>
  <c r="T380" i="26"/>
  <c r="AA380" i="26" s="1"/>
  <c r="AH380" i="26" s="1"/>
  <c r="T572" i="26"/>
  <c r="AA572" i="26" s="1"/>
  <c r="AH572" i="26" s="1"/>
  <c r="T404" i="26"/>
  <c r="AA404" i="26" s="1"/>
  <c r="AH404" i="26" s="1"/>
  <c r="T322" i="26"/>
  <c r="AA322" i="26" s="1"/>
  <c r="AH322" i="26" s="1"/>
  <c r="T454" i="26"/>
  <c r="AA454" i="26" s="1"/>
  <c r="AH454" i="26" s="1"/>
  <c r="T423" i="26"/>
  <c r="AA423" i="26" s="1"/>
  <c r="AH423" i="26" s="1"/>
  <c r="T417" i="26"/>
  <c r="AA417" i="26" s="1"/>
  <c r="AH417" i="26" s="1"/>
  <c r="T599" i="26"/>
  <c r="AA599" i="26" s="1"/>
  <c r="AH599" i="26" s="1"/>
  <c r="T712" i="26"/>
  <c r="AA712" i="26" s="1"/>
  <c r="AH712" i="26" s="1"/>
  <c r="T463" i="26"/>
  <c r="AA463" i="26" s="1"/>
  <c r="AH463" i="26" s="1"/>
  <c r="T503" i="26"/>
  <c r="AA503" i="26" s="1"/>
  <c r="AH503" i="26" s="1"/>
  <c r="T519" i="26"/>
  <c r="AA519" i="26" s="1"/>
  <c r="AH519" i="26" s="1"/>
  <c r="T545" i="26"/>
  <c r="AA545" i="26" s="1"/>
  <c r="AH545" i="26" s="1"/>
  <c r="T646" i="26"/>
  <c r="AA646" i="26" s="1"/>
  <c r="AH646" i="26" s="1"/>
  <c r="T451" i="26"/>
  <c r="AA451" i="26" s="1"/>
  <c r="AH451" i="26" s="1"/>
  <c r="T326" i="26"/>
  <c r="AA326" i="26" s="1"/>
  <c r="AH326" i="26" s="1"/>
  <c r="T356" i="26"/>
  <c r="AA356" i="26" s="1"/>
  <c r="AH356" i="26" s="1"/>
  <c r="T350" i="26"/>
  <c r="AA350" i="26" s="1"/>
  <c r="AH350" i="26" s="1"/>
  <c r="T343" i="26"/>
  <c r="AA343" i="26" s="1"/>
  <c r="AH343" i="26" s="1"/>
  <c r="T674" i="26"/>
  <c r="AA674" i="26" s="1"/>
  <c r="AH674" i="26" s="1"/>
  <c r="T278" i="26"/>
  <c r="AA278" i="26" s="1"/>
  <c r="AH278" i="26" s="1"/>
  <c r="T395" i="26"/>
  <c r="AA395" i="26" s="1"/>
  <c r="AH395" i="26" s="1"/>
  <c r="T528" i="26"/>
  <c r="AA528" i="26" s="1"/>
  <c r="AH528" i="26" s="1"/>
  <c r="T385" i="26"/>
  <c r="AA385" i="26" s="1"/>
  <c r="AH385" i="26" s="1"/>
  <c r="T549" i="26"/>
  <c r="AA549" i="26" s="1"/>
  <c r="AH549" i="26" s="1"/>
  <c r="T411" i="26"/>
  <c r="AA411" i="26" s="1"/>
  <c r="AH411" i="26" s="1"/>
  <c r="T259" i="26"/>
  <c r="AA259" i="26" s="1"/>
  <c r="AH259" i="26" s="1"/>
  <c r="T262" i="26"/>
  <c r="AA262" i="26" s="1"/>
  <c r="AH262" i="26" s="1"/>
  <c r="T266" i="26"/>
  <c r="AA266" i="26" s="1"/>
  <c r="AH266" i="26" s="1"/>
  <c r="T269" i="26"/>
  <c r="AA269" i="26" s="1"/>
  <c r="AH269" i="26" s="1"/>
  <c r="T733" i="26"/>
  <c r="AA733" i="26" s="1"/>
  <c r="AH733" i="26" s="1"/>
  <c r="T737" i="26"/>
  <c r="AA737" i="26" s="1"/>
  <c r="AH737" i="26" s="1"/>
  <c r="T619" i="26"/>
  <c r="AA619" i="26" s="1"/>
  <c r="AH619" i="26" s="1"/>
  <c r="T499" i="26"/>
  <c r="AA499" i="26" s="1"/>
  <c r="AH499" i="26" s="1"/>
  <c r="T250" i="26"/>
  <c r="AA250" i="26" s="1"/>
  <c r="AH250" i="26" s="1"/>
  <c r="T614" i="26"/>
  <c r="AA614" i="26" s="1"/>
  <c r="AH614" i="26" s="1"/>
  <c r="T481" i="26"/>
  <c r="AA481" i="26" s="1"/>
  <c r="AH481" i="26" s="1"/>
  <c r="T460" i="26"/>
  <c r="AA460" i="26" s="1"/>
  <c r="AH460" i="26" s="1"/>
  <c r="T659" i="26"/>
  <c r="AA659" i="26" s="1"/>
  <c r="AH659" i="26" s="1"/>
  <c r="T651" i="26"/>
  <c r="AA651" i="26" s="1"/>
  <c r="AH651" i="26" s="1"/>
  <c r="T318" i="26"/>
  <c r="AA318" i="26" s="1"/>
  <c r="AH318" i="26" s="1"/>
  <c r="T667" i="26"/>
  <c r="AA667" i="26" s="1"/>
  <c r="AH667" i="26" s="1"/>
  <c r="T389" i="26"/>
  <c r="AA389" i="26" s="1"/>
  <c r="AH389" i="26" s="1"/>
  <c r="T287" i="26"/>
  <c r="AA287" i="26" s="1"/>
  <c r="AH287" i="26" s="1"/>
  <c r="T688" i="26"/>
  <c r="AA688" i="26" s="1"/>
  <c r="AH688" i="26" s="1"/>
  <c r="T410" i="26"/>
  <c r="AA410" i="26" s="1"/>
  <c r="AH410" i="26" s="1"/>
  <c r="T403" i="26"/>
  <c r="AA403" i="26" s="1"/>
  <c r="AH403" i="26" s="1"/>
  <c r="T399" i="26"/>
  <c r="AA399" i="26" s="1"/>
  <c r="AH399" i="26" s="1"/>
  <c r="T425" i="26"/>
  <c r="AA425" i="26" s="1"/>
  <c r="AH425" i="26" s="1"/>
  <c r="T610" i="26"/>
  <c r="AA610" i="26" s="1"/>
  <c r="AH610" i="26" s="1"/>
  <c r="T449" i="26"/>
  <c r="AA449" i="26" s="1"/>
  <c r="AH449" i="26" s="1"/>
  <c r="T711" i="26"/>
  <c r="AA711" i="26" s="1"/>
  <c r="AH711" i="26" s="1"/>
  <c r="T618" i="26"/>
  <c r="AA618" i="26" s="1"/>
  <c r="AH618" i="26" s="1"/>
  <c r="T498" i="26"/>
  <c r="AA498" i="26" s="1"/>
  <c r="AH498" i="26" s="1"/>
  <c r="T553" i="26"/>
  <c r="AA553" i="26" s="1"/>
  <c r="AH553" i="26" s="1"/>
  <c r="T613" i="26"/>
  <c r="AA613" i="26" s="1"/>
  <c r="AH613" i="26" s="1"/>
  <c r="T641" i="26"/>
  <c r="AA641" i="26" s="1"/>
  <c r="AH641" i="26" s="1"/>
  <c r="T327" i="26"/>
  <c r="AA327" i="26" s="1"/>
  <c r="AH327" i="26" s="1"/>
  <c r="T295" i="26"/>
  <c r="AA295" i="26" s="1"/>
  <c r="AH295" i="26" s="1"/>
  <c r="T650" i="26"/>
  <c r="AA650" i="26" s="1"/>
  <c r="AH650" i="26" s="1"/>
  <c r="T678" i="26"/>
  <c r="AA678" i="26" s="1"/>
  <c r="AH678" i="26" s="1"/>
  <c r="T537" i="26"/>
  <c r="AA537" i="26" s="1"/>
  <c r="AH537" i="26" s="1"/>
  <c r="T526" i="26"/>
  <c r="AA526" i="26" s="1"/>
  <c r="AH526" i="26" s="1"/>
  <c r="T478" i="26"/>
  <c r="AA478" i="26" s="1"/>
  <c r="AH478" i="26" s="1"/>
  <c r="T547" i="26"/>
  <c r="AA547" i="26" s="1"/>
  <c r="AH547" i="26" s="1"/>
  <c r="T571" i="26"/>
  <c r="AA571" i="26" s="1"/>
  <c r="AH571" i="26" s="1"/>
  <c r="T716" i="26"/>
  <c r="AA716" i="26" s="1"/>
  <c r="AH716" i="26" s="1"/>
  <c r="T397" i="26"/>
  <c r="AA397" i="26" s="1"/>
  <c r="AH397" i="26" s="1"/>
  <c r="T509" i="26"/>
  <c r="AA509" i="26" s="1"/>
  <c r="AH509" i="26" s="1"/>
  <c r="T609" i="26"/>
  <c r="AA609" i="26" s="1"/>
  <c r="AH609" i="26" s="1"/>
  <c r="T600" i="26"/>
  <c r="AA600" i="26" s="1"/>
  <c r="AH600" i="26" s="1"/>
  <c r="T627" i="26"/>
  <c r="AA627" i="26" s="1"/>
  <c r="AH627" i="26" s="1"/>
  <c r="T725" i="26"/>
  <c r="AA725" i="26" s="1"/>
  <c r="AH725" i="26" s="1"/>
  <c r="T721" i="26"/>
  <c r="AA721" i="26" s="1"/>
  <c r="AH721" i="26" s="1"/>
  <c r="T473" i="26"/>
  <c r="AA473" i="26" s="1"/>
  <c r="AH473" i="26" s="1"/>
  <c r="T289" i="26"/>
  <c r="AA289" i="26" s="1"/>
  <c r="AH289" i="26" s="1"/>
  <c r="T511" i="26"/>
  <c r="AA511" i="26" s="1"/>
  <c r="AH511" i="26" s="1"/>
  <c r="T394" i="26"/>
  <c r="AA394" i="26" s="1"/>
  <c r="AH394" i="26" s="1"/>
  <c r="T698" i="26"/>
  <c r="AA698" i="26" s="1"/>
  <c r="AH698" i="26" s="1"/>
  <c r="T384" i="26"/>
  <c r="AA384" i="26" s="1"/>
  <c r="AH384" i="26" s="1"/>
  <c r="T379" i="26"/>
  <c r="AA379" i="26" s="1"/>
  <c r="AH379" i="26" s="1"/>
  <c r="T256" i="26"/>
  <c r="AA256" i="26" s="1"/>
  <c r="AH256" i="26" s="1"/>
  <c r="T562" i="26"/>
  <c r="AA562" i="26" s="1"/>
  <c r="AH562" i="26" s="1"/>
  <c r="T432" i="26"/>
  <c r="AA432" i="26" s="1"/>
  <c r="AH432" i="26" s="1"/>
  <c r="T472" i="26"/>
  <c r="AA472" i="26" s="1"/>
  <c r="AH472" i="26" s="1"/>
  <c r="T270" i="26"/>
  <c r="AA270" i="26" s="1"/>
  <c r="AH270" i="26" s="1"/>
  <c r="T734" i="26"/>
  <c r="AA734" i="26" s="1"/>
  <c r="AH734" i="26" s="1"/>
  <c r="T443" i="26"/>
  <c r="AA443" i="26" s="1"/>
  <c r="AH443" i="26" s="1"/>
  <c r="T436" i="26"/>
  <c r="AA436" i="26" s="1"/>
  <c r="AH436" i="26" s="1"/>
  <c r="T248" i="26"/>
  <c r="AA248" i="26" s="1"/>
  <c r="AH248" i="26" s="1"/>
  <c r="T550" i="26"/>
  <c r="AA550" i="26" s="1"/>
  <c r="AH550" i="26" s="1"/>
  <c r="T648" i="26"/>
  <c r="AA648" i="26" s="1"/>
  <c r="AH648" i="26" s="1"/>
  <c r="T640" i="26"/>
  <c r="AA640" i="26" s="1"/>
  <c r="AH640" i="26" s="1"/>
  <c r="T666" i="26"/>
  <c r="AA666" i="26" s="1"/>
  <c r="AH666" i="26" s="1"/>
  <c r="T355" i="26"/>
  <c r="AA355" i="26" s="1"/>
  <c r="AH355" i="26" s="1"/>
  <c r="T536" i="26"/>
  <c r="AA536" i="26" s="1"/>
  <c r="AH536" i="26" s="1"/>
  <c r="T697" i="26"/>
  <c r="AA697" i="26" s="1"/>
  <c r="AH697" i="26" s="1"/>
  <c r="T471" i="26"/>
  <c r="AA471" i="26" s="1"/>
  <c r="AH471" i="26" s="1"/>
  <c r="T543" i="26"/>
  <c r="AA543" i="26" s="1"/>
  <c r="AH543" i="26" s="1"/>
  <c r="T409" i="26"/>
  <c r="AA409" i="26" s="1"/>
  <c r="AH409" i="26" s="1"/>
  <c r="T715" i="26"/>
  <c r="AA715" i="26" s="1"/>
  <c r="AH715" i="26" s="1"/>
  <c r="T431" i="26"/>
  <c r="AA431" i="26" s="1"/>
  <c r="AH431" i="26" s="1"/>
  <c r="T267" i="26"/>
  <c r="AA267" i="26" s="1"/>
  <c r="AH267" i="26" s="1"/>
  <c r="T418" i="26"/>
  <c r="AA418" i="26" s="1"/>
  <c r="AH418" i="26" s="1"/>
  <c r="T735" i="26"/>
  <c r="AA735" i="26" s="1"/>
  <c r="AH735" i="26" s="1"/>
  <c r="T626" i="26"/>
  <c r="AA626" i="26" s="1"/>
  <c r="AH626" i="26" s="1"/>
  <c r="T435" i="26"/>
  <c r="AA435" i="26" s="1"/>
  <c r="AH435" i="26" s="1"/>
  <c r="T496" i="26"/>
  <c r="AA496" i="26" s="1"/>
  <c r="AH496" i="26" s="1"/>
  <c r="T331" i="26"/>
  <c r="AA331" i="26" s="1"/>
  <c r="AH331" i="26" s="1"/>
  <c r="T330" i="26"/>
  <c r="AA330" i="26" s="1"/>
  <c r="AH330" i="26" s="1"/>
  <c r="T329" i="26"/>
  <c r="AA329" i="26" s="1"/>
  <c r="AH329" i="26" s="1"/>
  <c r="T291" i="26"/>
  <c r="AA291" i="26" s="1"/>
  <c r="AH291" i="26" s="1"/>
  <c r="T354" i="26"/>
  <c r="AA354" i="26" s="1"/>
  <c r="AH354" i="26" s="1"/>
  <c r="T684" i="26"/>
  <c r="AA684" i="26" s="1"/>
  <c r="AH684" i="26" s="1"/>
  <c r="T377" i="26"/>
  <c r="AA377" i="26" s="1"/>
  <c r="AH377" i="26" s="1"/>
  <c r="T276" i="26"/>
  <c r="AA276" i="26" s="1"/>
  <c r="AH276" i="26" s="1"/>
  <c r="T396" i="26"/>
  <c r="AA396" i="26" s="1"/>
  <c r="AH396" i="26" s="1"/>
  <c r="T530" i="26"/>
  <c r="AA530" i="26" s="1"/>
  <c r="AH530" i="26" s="1"/>
  <c r="T694" i="26"/>
  <c r="AA694" i="26" s="1"/>
  <c r="AH694" i="26" s="1"/>
  <c r="T381" i="26"/>
  <c r="AA381" i="26" s="1"/>
  <c r="AH381" i="26" s="1"/>
  <c r="T719" i="26"/>
  <c r="AA719" i="26" s="1"/>
  <c r="AH719" i="26" s="1"/>
  <c r="T565" i="26"/>
  <c r="AA565" i="26" s="1"/>
  <c r="AH565" i="26" s="1"/>
  <c r="T591" i="26"/>
  <c r="AA591" i="26" s="1"/>
  <c r="AH591" i="26" s="1"/>
  <c r="T585" i="26"/>
  <c r="AA585" i="26" s="1"/>
  <c r="AH585" i="26" s="1"/>
  <c r="T421" i="26"/>
  <c r="AA421" i="26" s="1"/>
  <c r="AH421" i="26" s="1"/>
  <c r="T602" i="26"/>
  <c r="AA602" i="26" s="1"/>
  <c r="AH602" i="26" s="1"/>
  <c r="T629" i="26"/>
  <c r="AA629" i="26" s="1"/>
  <c r="AH629" i="26" s="1"/>
  <c r="T440" i="26"/>
  <c r="AA440" i="26" s="1"/>
  <c r="AH440" i="26" s="1"/>
  <c r="T465" i="26"/>
  <c r="AA465" i="26" s="1"/>
  <c r="AH465" i="26" s="1"/>
  <c r="T557" i="26"/>
  <c r="AA557" i="26" s="1"/>
  <c r="AH557" i="26" s="1"/>
  <c r="T520" i="26"/>
  <c r="AA520" i="26" s="1"/>
  <c r="AH520" i="26" s="1"/>
  <c r="T513" i="26"/>
  <c r="AA513" i="26" s="1"/>
  <c r="AH513" i="26" s="1"/>
  <c r="T290" i="26"/>
  <c r="AA290" i="26" s="1"/>
  <c r="AH290" i="26" s="1"/>
  <c r="T294" i="26"/>
  <c r="AA294" i="26" s="1"/>
  <c r="AH294" i="26" s="1"/>
  <c r="T652" i="26"/>
  <c r="AA652" i="26" s="1"/>
  <c r="AH652" i="26" s="1"/>
  <c r="T302" i="26"/>
  <c r="AA302" i="26" s="1"/>
  <c r="AH302" i="26" s="1"/>
  <c r="T372" i="26"/>
  <c r="AA372" i="26" s="1"/>
  <c r="AH372" i="26" s="1"/>
  <c r="T365" i="26"/>
  <c r="AA365" i="26" s="1"/>
  <c r="AH365" i="26" s="1"/>
  <c r="T539" i="26"/>
  <c r="AA539" i="26" s="1"/>
  <c r="AH539" i="26" s="1"/>
  <c r="T390" i="26"/>
  <c r="AA390" i="26" s="1"/>
  <c r="AH390" i="26" s="1"/>
  <c r="T693" i="26"/>
  <c r="AA693" i="26" s="1"/>
  <c r="AH693" i="26" s="1"/>
  <c r="T253" i="26"/>
  <c r="AA253" i="26" s="1"/>
  <c r="AH253" i="26" s="1"/>
  <c r="T255" i="26"/>
  <c r="AA255" i="26" s="1"/>
  <c r="AH255" i="26" s="1"/>
  <c r="T564" i="26"/>
  <c r="AA564" i="26" s="1"/>
  <c r="AH564" i="26" s="1"/>
  <c r="T713" i="26"/>
  <c r="AA713" i="26" s="1"/>
  <c r="AH713" i="26" s="1"/>
  <c r="T584" i="26"/>
  <c r="AA584" i="26" s="1"/>
  <c r="AH584" i="26" s="1"/>
  <c r="T501" i="26"/>
  <c r="AA501" i="26" s="1"/>
  <c r="AH501" i="26" s="1"/>
  <c r="T730" i="26"/>
  <c r="AA730" i="26" s="1"/>
  <c r="AH730" i="26" s="1"/>
  <c r="T444" i="26"/>
  <c r="AA444" i="26" s="1"/>
  <c r="AH444" i="26" s="1"/>
  <c r="T727" i="26"/>
  <c r="AA727" i="26" s="1"/>
  <c r="AH727" i="26" s="1"/>
  <c r="T458" i="26"/>
  <c r="AA458" i="26" s="1"/>
  <c r="AH458" i="26" s="1"/>
  <c r="T556" i="26"/>
  <c r="AA556" i="26" s="1"/>
  <c r="AH556" i="26" s="1"/>
  <c r="T252" i="26"/>
  <c r="AA252" i="26" s="1"/>
  <c r="AH252" i="26" s="1"/>
  <c r="T512" i="26"/>
  <c r="AA512" i="26" s="1"/>
  <c r="AH512" i="26" s="1"/>
  <c r="T510" i="26"/>
  <c r="AA510" i="26" s="1"/>
  <c r="AH510" i="26" s="1"/>
  <c r="T660" i="26"/>
  <c r="AA660" i="26" s="1"/>
  <c r="AH660" i="26" s="1"/>
  <c r="T298" i="26"/>
  <c r="AA298" i="26" s="1"/>
  <c r="AH298" i="26" s="1"/>
  <c r="T344" i="26"/>
  <c r="AA344" i="26" s="1"/>
  <c r="AH344" i="26" s="1"/>
  <c r="T342" i="26"/>
  <c r="AA342" i="26" s="1"/>
  <c r="AH342" i="26" s="1"/>
  <c r="T283" i="26"/>
  <c r="AA283" i="26" s="1"/>
  <c r="AH283" i="26" s="1"/>
  <c r="T692" i="26"/>
  <c r="AA692" i="26" s="1"/>
  <c r="AH692" i="26" s="1"/>
  <c r="T720" i="26"/>
  <c r="AA720" i="26" s="1"/>
  <c r="AH720" i="26" s="1"/>
  <c r="T400" i="26"/>
  <c r="AA400" i="26" s="1"/>
  <c r="AH400" i="26" s="1"/>
  <c r="T424" i="26"/>
  <c r="AA424" i="26" s="1"/>
  <c r="AH424" i="26" s="1"/>
  <c r="T447" i="26"/>
  <c r="AA447" i="26" s="1"/>
  <c r="AH447" i="26" s="1"/>
  <c r="T620" i="26"/>
  <c r="AA620" i="26" s="1"/>
  <c r="AH620" i="26" s="1"/>
  <c r="T474" i="26"/>
  <c r="AA474" i="26" s="1"/>
  <c r="AH474" i="26" s="1"/>
  <c r="T645" i="26"/>
  <c r="AA645" i="26" s="1"/>
  <c r="AH645" i="26" s="1"/>
  <c r="T325" i="26"/>
  <c r="AA325" i="26" s="1"/>
  <c r="AH325" i="26" s="1"/>
  <c r="T317" i="26"/>
  <c r="AA317" i="26" s="1"/>
  <c r="AH317" i="26" s="1"/>
  <c r="T677" i="26"/>
  <c r="AA677" i="26" s="1"/>
  <c r="AH677" i="26" s="1"/>
  <c r="T671" i="26"/>
  <c r="AA671" i="26" s="1"/>
  <c r="AH671" i="26" s="1"/>
  <c r="T533" i="26"/>
  <c r="AA533" i="26" s="1"/>
  <c r="AH533" i="26" s="1"/>
  <c r="T383" i="26"/>
  <c r="AA383" i="26" s="1"/>
  <c r="AH383" i="26" s="1"/>
  <c r="T574" i="26"/>
  <c r="AA574" i="26" s="1"/>
  <c r="AH574" i="26" s="1"/>
  <c r="T714" i="26"/>
  <c r="AA714" i="26" s="1"/>
  <c r="AH714" i="26" s="1"/>
  <c r="T577" i="26"/>
  <c r="AA577" i="26" s="1"/>
  <c r="AH577" i="26" s="1"/>
  <c r="T446" i="26"/>
  <c r="AA446" i="26" s="1"/>
  <c r="AH446" i="26" s="1"/>
  <c r="T434" i="26"/>
  <c r="AA434" i="26" s="1"/>
  <c r="AH434" i="26" s="1"/>
  <c r="T726" i="26"/>
  <c r="AA726" i="26" s="1"/>
  <c r="AH726" i="26" s="1"/>
  <c r="T644" i="26"/>
  <c r="AA644" i="26" s="1"/>
  <c r="AH644" i="26" s="1"/>
  <c r="T360" i="26"/>
  <c r="AA360" i="26" s="1"/>
  <c r="AH360" i="26" s="1"/>
  <c r="T351" i="26"/>
  <c r="AA351" i="26" s="1"/>
  <c r="AH351" i="26" s="1"/>
  <c r="T676" i="26"/>
  <c r="AA676" i="26" s="1"/>
  <c r="AH676" i="26" s="1"/>
  <c r="T340" i="26"/>
  <c r="AA340" i="26" s="1"/>
  <c r="AH340" i="26" s="1"/>
  <c r="T391" i="26"/>
  <c r="AA391" i="26" s="1"/>
  <c r="AH391" i="26" s="1"/>
  <c r="T495" i="26"/>
  <c r="AA495" i="26" s="1"/>
  <c r="AH495" i="26" s="1"/>
  <c r="T570" i="26"/>
  <c r="AA570" i="26" s="1"/>
  <c r="AH570" i="26" s="1"/>
  <c r="T592" i="26"/>
  <c r="AA592" i="26" s="1"/>
  <c r="AH592" i="26" s="1"/>
  <c r="T268" i="26"/>
  <c r="AA268" i="26" s="1"/>
  <c r="AH268" i="26" s="1"/>
  <c r="T597" i="26"/>
  <c r="AA597" i="26" s="1"/>
  <c r="AH597" i="26" s="1"/>
  <c r="T433" i="26"/>
  <c r="AA433" i="26" s="1"/>
  <c r="AH433" i="26" s="1"/>
  <c r="T728" i="26"/>
  <c r="AA728" i="26" s="1"/>
  <c r="AH728" i="26" s="1"/>
  <c r="T643" i="26"/>
  <c r="AA643" i="26" s="1"/>
  <c r="AH643" i="26" s="1"/>
  <c r="T292" i="26"/>
  <c r="AA292" i="26" s="1"/>
  <c r="AH292" i="26" s="1"/>
  <c r="T649" i="26"/>
  <c r="AA649" i="26" s="1"/>
  <c r="AH649" i="26" s="1"/>
  <c r="T306" i="26"/>
  <c r="AA306" i="26" s="1"/>
  <c r="AH306" i="26" s="1"/>
  <c r="T670" i="26"/>
  <c r="AA670" i="26" s="1"/>
  <c r="AH670" i="26" s="1"/>
  <c r="T532" i="26"/>
  <c r="AA532" i="26" s="1"/>
  <c r="AH532" i="26" s="1"/>
  <c r="T488" i="26"/>
  <c r="AA488" i="26" s="1"/>
  <c r="AH488" i="26" s="1"/>
  <c r="T718" i="26"/>
  <c r="AA718" i="26" s="1"/>
  <c r="AH718" i="26" s="1"/>
  <c r="T261" i="26"/>
  <c r="AA261" i="26" s="1"/>
  <c r="AH261" i="26" s="1"/>
  <c r="T612" i="26"/>
  <c r="AA612" i="26" s="1"/>
  <c r="AH612" i="26" s="1"/>
  <c r="T738" i="26"/>
  <c r="AA738" i="26" s="1"/>
  <c r="AH738" i="26" s="1"/>
  <c r="T739" i="26"/>
  <c r="AA739" i="26" s="1"/>
  <c r="AH739" i="26" s="1"/>
  <c r="T703" i="26"/>
  <c r="AA703" i="26" s="1"/>
  <c r="AH703" i="26" s="1"/>
  <c r="T514" i="26"/>
  <c r="AA514" i="26" s="1"/>
  <c r="AH514" i="26" s="1"/>
  <c r="T664" i="26"/>
  <c r="AA664" i="26" s="1"/>
  <c r="AH664" i="26" s="1"/>
  <c r="T300" i="26"/>
  <c r="AA300" i="26" s="1"/>
  <c r="AH300" i="26" s="1"/>
  <c r="T374" i="26"/>
  <c r="AA374" i="26" s="1"/>
  <c r="AH374" i="26" s="1"/>
  <c r="T366" i="26"/>
  <c r="AA366" i="26" s="1"/>
  <c r="AH366" i="26" s="1"/>
  <c r="T531" i="26"/>
  <c r="AA531" i="26" s="1"/>
  <c r="AH531" i="26" s="1"/>
  <c r="T690" i="26"/>
  <c r="AA690" i="26" s="1"/>
  <c r="AH690" i="26" s="1"/>
  <c r="T568" i="26"/>
  <c r="AA568" i="26" s="1"/>
  <c r="AH568" i="26" s="1"/>
  <c r="T264" i="26"/>
  <c r="AA264" i="26" s="1"/>
  <c r="AH264" i="26" s="1"/>
  <c r="T422" i="26"/>
  <c r="AA422" i="26" s="1"/>
  <c r="AH422" i="26" s="1"/>
  <c r="T596" i="26"/>
  <c r="AA596" i="26" s="1"/>
  <c r="AH596" i="26" s="1"/>
  <c r="T740" i="26"/>
  <c r="AA740" i="26" s="1"/>
  <c r="AH740" i="26" s="1"/>
  <c r="T494" i="26"/>
  <c r="AA494" i="26" s="1"/>
  <c r="AH494" i="26" s="1"/>
  <c r="T642" i="26"/>
  <c r="AA642" i="26" s="1"/>
  <c r="AH642" i="26" s="1"/>
  <c r="T359" i="26"/>
  <c r="AA359" i="26" s="1"/>
  <c r="AH359" i="26" s="1"/>
  <c r="T683" i="26"/>
  <c r="AA683" i="26" s="1"/>
  <c r="AH683" i="26" s="1"/>
  <c r="T272" i="26"/>
  <c r="AA272" i="26" s="1"/>
  <c r="AH272" i="26" s="1"/>
  <c r="T508" i="26"/>
  <c r="AA508" i="26" s="1"/>
  <c r="AH508" i="26" s="1"/>
  <c r="T284" i="26"/>
  <c r="AA284" i="26" s="1"/>
  <c r="AH284" i="26" s="1"/>
  <c r="T382" i="26"/>
  <c r="AA382" i="26" s="1"/>
  <c r="AH382" i="26" s="1"/>
  <c r="T257" i="26"/>
  <c r="AA257" i="26" s="1"/>
  <c r="AH257" i="26" s="1"/>
  <c r="T430" i="26"/>
  <c r="AA430" i="26" s="1"/>
  <c r="AH430" i="26" s="1"/>
  <c r="T611" i="26"/>
  <c r="AA611" i="26" s="1"/>
  <c r="AH611" i="26" s="1"/>
  <c r="T705" i="26"/>
  <c r="AA705" i="26" s="1"/>
  <c r="AH705" i="26" s="1"/>
  <c r="T468" i="26"/>
  <c r="AA468" i="26" s="1"/>
  <c r="AH468" i="26" s="1"/>
  <c r="T546" i="26"/>
  <c r="AA546" i="26" s="1"/>
  <c r="AH546" i="26" s="1"/>
  <c r="T639" i="26"/>
  <c r="AA639" i="26" s="1"/>
  <c r="AH639" i="26" s="1"/>
  <c r="T293" i="26"/>
  <c r="AA293" i="26" s="1"/>
  <c r="AH293" i="26" s="1"/>
  <c r="T308" i="26"/>
  <c r="AA308" i="26" s="1"/>
  <c r="AH308" i="26" s="1"/>
  <c r="T319" i="26"/>
  <c r="AA319" i="26" s="1"/>
  <c r="AH319" i="26" s="1"/>
  <c r="T279" i="26"/>
  <c r="AA279" i="26" s="1"/>
  <c r="AH279" i="26" s="1"/>
  <c r="T339" i="26"/>
  <c r="AA339" i="26" s="1"/>
  <c r="AH339" i="26" s="1"/>
  <c r="T689" i="26"/>
  <c r="AA689" i="26" s="1"/>
  <c r="AH689" i="26" s="1"/>
  <c r="T258" i="26"/>
  <c r="AA258" i="26" s="1"/>
  <c r="AH258" i="26" s="1"/>
  <c r="T429" i="26"/>
  <c r="AA429" i="26" s="1"/>
  <c r="AH429" i="26" s="1"/>
  <c r="T722" i="26"/>
  <c r="AA722" i="26" s="1"/>
  <c r="AH722" i="26" s="1"/>
  <c r="T630" i="26"/>
  <c r="AA630" i="26" s="1"/>
  <c r="AH630" i="26" s="1"/>
  <c r="T476" i="26"/>
  <c r="AA476" i="26" s="1"/>
  <c r="AH476" i="26" s="1"/>
  <c r="T707" i="26"/>
  <c r="AA707" i="26" s="1"/>
  <c r="AH707" i="26" s="1"/>
  <c r="T484" i="26"/>
  <c r="AA484" i="26" s="1"/>
  <c r="AH484" i="26" s="1"/>
  <c r="T661" i="26"/>
  <c r="AA661" i="26" s="1"/>
  <c r="AH661" i="26" s="1"/>
  <c r="T682" i="26"/>
  <c r="AA682" i="26" s="1"/>
  <c r="AH682" i="26" s="1"/>
  <c r="T675" i="26"/>
  <c r="AA675" i="26" s="1"/>
  <c r="AH675" i="26" s="1"/>
  <c r="T668" i="26"/>
  <c r="AA668" i="26" s="1"/>
  <c r="AH668" i="26" s="1"/>
  <c r="T386" i="26"/>
  <c r="AA386" i="26" s="1"/>
  <c r="AH386" i="26" s="1"/>
  <c r="T414" i="26"/>
  <c r="AA414" i="26" s="1"/>
  <c r="AH414" i="26" s="1"/>
  <c r="T335" i="26"/>
  <c r="AA335" i="26" s="1"/>
  <c r="AH335" i="26" s="1"/>
  <c r="T581" i="26"/>
  <c r="AA581" i="26" s="1"/>
  <c r="AH581" i="26" s="1"/>
  <c r="T604" i="26"/>
  <c r="AA604" i="26" s="1"/>
  <c r="AH604" i="26" s="1"/>
  <c r="T622" i="26"/>
  <c r="AA622" i="26" s="1"/>
  <c r="AH622" i="26" s="1"/>
  <c r="T522" i="26"/>
  <c r="AA522" i="26" s="1"/>
  <c r="AH522" i="26" s="1"/>
  <c r="T312" i="26"/>
  <c r="AA312" i="26" s="1"/>
  <c r="AH312" i="26" s="1"/>
  <c r="T633" i="26"/>
  <c r="AA633" i="26" s="1"/>
  <c r="AH633" i="26" s="1"/>
  <c r="T297" i="26"/>
  <c r="AA297" i="26" s="1"/>
  <c r="AH297" i="26" s="1"/>
  <c r="T304" i="26"/>
  <c r="AA304" i="26" s="1"/>
  <c r="AH304" i="26" s="1"/>
  <c r="T367" i="26"/>
  <c r="AA367" i="26" s="1"/>
  <c r="AH367" i="26" s="1"/>
  <c r="T285" i="26"/>
  <c r="AA285" i="26" s="1"/>
  <c r="AH285" i="26" s="1"/>
  <c r="T406" i="26"/>
  <c r="AA406" i="26" s="1"/>
  <c r="AH406" i="26" s="1"/>
  <c r="T606" i="26"/>
  <c r="AA606" i="26" s="1"/>
  <c r="AH606" i="26" s="1"/>
  <c r="T742" i="26"/>
  <c r="AA742" i="26" s="1"/>
  <c r="AH742" i="26" s="1"/>
  <c r="T452" i="26"/>
  <c r="AA452" i="26" s="1"/>
  <c r="AH452" i="26" s="1"/>
  <c r="T681" i="26"/>
  <c r="AA681" i="26" s="1"/>
  <c r="AH681" i="26" s="1"/>
  <c r="T362" i="26"/>
  <c r="AA362" i="26" s="1"/>
  <c r="AH362" i="26" s="1"/>
  <c r="T428" i="26"/>
  <c r="AA428" i="26" s="1"/>
  <c r="AH428" i="26" s="1"/>
  <c r="T743" i="26"/>
  <c r="AA743" i="26" s="1"/>
  <c r="AH743" i="26" s="1"/>
  <c r="T388" i="26"/>
  <c r="AA388" i="26" s="1"/>
  <c r="AH388" i="26" s="1"/>
  <c r="T405" i="26"/>
  <c r="AA405" i="26" s="1"/>
  <c r="AH405" i="26" s="1"/>
  <c r="T605" i="26"/>
  <c r="AA605" i="26" s="1"/>
  <c r="AH605" i="26" s="1"/>
  <c r="T502" i="26"/>
  <c r="AA502" i="26" s="1"/>
  <c r="AH502" i="26" s="1"/>
  <c r="T328" i="26"/>
  <c r="AA328" i="26" s="1"/>
  <c r="AH328" i="26" s="1"/>
  <c r="T301" i="26"/>
  <c r="AA301" i="26" s="1"/>
  <c r="AH301" i="26" s="1"/>
  <c r="T696" i="26"/>
  <c r="AA696" i="26" s="1"/>
  <c r="AH696" i="26" s="1"/>
  <c r="T563" i="26"/>
  <c r="AA563" i="26" s="1"/>
  <c r="AH563" i="26" s="1"/>
  <c r="T416" i="26"/>
  <c r="AA416" i="26" s="1"/>
  <c r="AH416" i="26" s="1"/>
  <c r="T483" i="26"/>
  <c r="AA483" i="26" s="1"/>
  <c r="AH483" i="26" s="1"/>
  <c r="T636" i="26"/>
  <c r="AA636" i="26" s="1"/>
  <c r="AH636" i="26" s="1"/>
  <c r="T680" i="26"/>
  <c r="AA680" i="26" s="1"/>
  <c r="AH680" i="26" s="1"/>
  <c r="T370" i="26"/>
  <c r="AA370" i="26" s="1"/>
  <c r="AH370" i="26" s="1"/>
  <c r="T387" i="26"/>
  <c r="AA387" i="26" s="1"/>
  <c r="AH387" i="26" s="1"/>
  <c r="T402" i="26"/>
  <c r="AA402" i="26" s="1"/>
  <c r="AH402" i="26" s="1"/>
  <c r="T415" i="26"/>
  <c r="AA415" i="26" s="1"/>
  <c r="AH415" i="26" s="1"/>
  <c r="T487" i="26"/>
  <c r="AA487" i="26" s="1"/>
  <c r="AH487" i="26" s="1"/>
  <c r="T455" i="26"/>
  <c r="AA455" i="26" s="1"/>
  <c r="AH455" i="26" s="1"/>
  <c r="T345" i="26"/>
  <c r="AA345" i="26" s="1"/>
  <c r="AH345" i="26" s="1"/>
  <c r="T523" i="26"/>
  <c r="AA523" i="26" s="1"/>
  <c r="AH523" i="26" s="1"/>
  <c r="T309" i="26"/>
  <c r="AA309" i="26" s="1"/>
  <c r="AH309" i="26" s="1"/>
  <c r="T450" i="26"/>
  <c r="AA450" i="26" s="1"/>
  <c r="AH450" i="26" s="1"/>
  <c r="T724" i="26"/>
  <c r="AA724" i="26" s="1"/>
  <c r="AH724" i="26" s="1"/>
  <c r="T457" i="26"/>
  <c r="AA457" i="26" s="1"/>
  <c r="AH457" i="26" s="1"/>
  <c r="T378" i="26"/>
  <c r="AA378" i="26" s="1"/>
  <c r="AH378" i="26" s="1"/>
  <c r="T551" i="26"/>
  <c r="AA551" i="26" s="1"/>
  <c r="AH551" i="26" s="1"/>
  <c r="T736" i="26"/>
  <c r="AA736" i="26" s="1"/>
  <c r="AH736" i="26" s="1"/>
  <c r="T462" i="26"/>
  <c r="AA462" i="26" s="1"/>
  <c r="AH462" i="26" s="1"/>
  <c r="T594" i="26"/>
  <c r="AA594" i="26" s="1"/>
  <c r="AH594" i="26" s="1"/>
  <c r="T489" i="26"/>
  <c r="AA489" i="26" s="1"/>
  <c r="AH489" i="26" s="1"/>
  <c r="T475" i="26"/>
  <c r="AA475" i="26" s="1"/>
  <c r="AH475" i="26" s="1"/>
  <c r="T631" i="26"/>
  <c r="AA631" i="26" s="1"/>
  <c r="AH631" i="26" s="1"/>
  <c r="T305" i="26"/>
  <c r="AA305" i="26" s="1"/>
  <c r="AH305" i="26" s="1"/>
  <c r="T507" i="26"/>
  <c r="AA507" i="26" s="1"/>
  <c r="AH507" i="26" s="1"/>
  <c r="T265" i="26"/>
  <c r="AA265" i="26" s="1"/>
  <c r="AH265" i="26" s="1"/>
  <c r="T371" i="26"/>
  <c r="AA371" i="26" s="1"/>
  <c r="AH371" i="26" s="1"/>
  <c r="T686" i="26"/>
  <c r="AA686" i="26" s="1"/>
  <c r="AH686" i="26" s="1"/>
  <c r="T731" i="26"/>
  <c r="AA731" i="26" s="1"/>
  <c r="AH731" i="26" s="1"/>
  <c r="T321" i="26"/>
  <c r="AA321" i="26" s="1"/>
  <c r="AH321" i="26" s="1"/>
  <c r="T401" i="26"/>
  <c r="AA401" i="26" s="1"/>
  <c r="AH401" i="26" s="1"/>
  <c r="T598" i="26"/>
  <c r="AA598" i="26" s="1"/>
  <c r="AH598" i="26" s="1"/>
  <c r="T521" i="26"/>
  <c r="AA521" i="26" s="1"/>
  <c r="AH521" i="26" s="1"/>
  <c r="T665" i="26"/>
  <c r="AA665" i="26" s="1"/>
  <c r="AH665" i="26" s="1"/>
  <c r="T307" i="26"/>
  <c r="AA307" i="26" s="1"/>
  <c r="AH307" i="26" s="1"/>
  <c r="T658" i="26"/>
  <c r="AA658" i="26" s="1"/>
  <c r="AH658" i="26" s="1"/>
  <c r="T363" i="26"/>
  <c r="AA363" i="26" s="1"/>
  <c r="AH363" i="26" s="1"/>
  <c r="T554" i="26"/>
  <c r="AA554" i="26" s="1"/>
  <c r="AH554" i="26" s="1"/>
  <c r="T587" i="26"/>
  <c r="AA587" i="26" s="1"/>
  <c r="AH587" i="26" s="1"/>
  <c r="T628" i="26"/>
  <c r="AA628" i="26" s="1"/>
  <c r="AH628" i="26" s="1"/>
  <c r="T251" i="26"/>
  <c r="AA251" i="26" s="1"/>
  <c r="AH251" i="26" s="1"/>
  <c r="T357" i="26"/>
  <c r="AA357" i="26" s="1"/>
  <c r="AH357" i="26" s="1"/>
  <c r="T273" i="26"/>
  <c r="AA273" i="26" s="1"/>
  <c r="AH273" i="26" s="1"/>
  <c r="T708" i="26"/>
  <c r="AA708" i="26" s="1"/>
  <c r="AH708" i="26" s="1"/>
  <c r="T657" i="26"/>
  <c r="AA657" i="26" s="1"/>
  <c r="AH657" i="26" s="1"/>
  <c r="T361" i="26"/>
  <c r="AA361" i="26" s="1"/>
  <c r="AH361" i="26" s="1"/>
  <c r="T685" i="26"/>
  <c r="AA685" i="26" s="1"/>
  <c r="AH685" i="26" s="1"/>
  <c r="T427" i="26"/>
  <c r="AA427" i="26" s="1"/>
  <c r="AH427" i="26" s="1"/>
  <c r="T624" i="26"/>
  <c r="AA624" i="26" s="1"/>
  <c r="AH624" i="26" s="1"/>
  <c r="T616" i="26"/>
  <c r="AA616" i="26" s="1"/>
  <c r="AH616" i="26" s="1"/>
  <c r="T310" i="26"/>
  <c r="AA310" i="26" s="1"/>
  <c r="AH310" i="26" s="1"/>
  <c r="T314" i="26"/>
  <c r="AA314" i="26" s="1"/>
  <c r="AH314" i="26" s="1"/>
  <c r="T540" i="26"/>
  <c r="AA540" i="26" s="1"/>
  <c r="AH540" i="26" s="1"/>
  <c r="T542" i="26"/>
  <c r="AA542" i="26" s="1"/>
  <c r="AH542" i="26" s="1"/>
  <c r="T334" i="26"/>
  <c r="AA334" i="26" s="1"/>
  <c r="AH334" i="26" s="1"/>
  <c r="T442" i="26"/>
  <c r="AA442" i="26" s="1"/>
  <c r="AH442" i="26" s="1"/>
  <c r="T709" i="26"/>
  <c r="AA709" i="26" s="1"/>
  <c r="AH709" i="26" s="1"/>
  <c r="T353" i="26"/>
  <c r="AA353" i="26" s="1"/>
  <c r="AH353" i="26" s="1"/>
  <c r="T274" i="26"/>
  <c r="AA274" i="26" s="1"/>
  <c r="AH274" i="26" s="1"/>
  <c r="T320" i="26"/>
  <c r="AA320" i="26" s="1"/>
  <c r="AH320" i="26" s="1"/>
  <c r="T541" i="26"/>
  <c r="AA541" i="26" s="1"/>
  <c r="AH541" i="26" s="1"/>
  <c r="T486" i="26"/>
  <c r="AA486" i="26" s="1"/>
  <c r="AH486" i="26" s="1"/>
  <c r="T441" i="26"/>
  <c r="AA441" i="26" s="1"/>
  <c r="AH441" i="26" s="1"/>
  <c r="T647" i="26"/>
  <c r="AA647" i="26" s="1"/>
  <c r="AH647" i="26" s="1"/>
  <c r="T448" i="26"/>
  <c r="AA448" i="26" s="1"/>
  <c r="AH448" i="26" s="1"/>
  <c r="T368" i="26"/>
  <c r="AA368" i="26" s="1"/>
  <c r="AH368" i="26" s="1"/>
  <c r="T393" i="26"/>
  <c r="AA393" i="26" s="1"/>
  <c r="AH393" i="26" s="1"/>
  <c r="T576" i="26"/>
  <c r="AA576" i="26" s="1"/>
  <c r="AH576" i="26" s="1"/>
  <c r="T469" i="26"/>
  <c r="AA469" i="26" s="1"/>
  <c r="AH469" i="26" s="1"/>
  <c r="T485" i="26"/>
  <c r="AA485" i="26" s="1"/>
  <c r="AH485" i="26" s="1"/>
  <c r="T518" i="26"/>
  <c r="AA518" i="26" s="1"/>
  <c r="AH518" i="26" s="1"/>
  <c r="T653" i="26"/>
  <c r="AA653" i="26" s="1"/>
  <c r="AH653" i="26" s="1"/>
  <c r="T341" i="26"/>
  <c r="AA341" i="26" s="1"/>
  <c r="AH341" i="26" s="1"/>
  <c r="T392" i="26"/>
  <c r="AA392" i="26" s="1"/>
  <c r="AH392" i="26" s="1"/>
  <c r="T575" i="26"/>
  <c r="AA575" i="26" s="1"/>
  <c r="AH575" i="26" s="1"/>
  <c r="T580" i="26"/>
  <c r="AA580" i="26" s="1"/>
  <c r="AH580" i="26" s="1"/>
  <c r="T621" i="26"/>
  <c r="AA621" i="26" s="1"/>
  <c r="AH621" i="26" s="1"/>
  <c r="T493" i="26"/>
  <c r="AA493" i="26" s="1"/>
  <c r="AH493" i="26" s="1"/>
  <c r="T352" i="26"/>
  <c r="AA352" i="26" s="1"/>
  <c r="AH352" i="26" s="1"/>
  <c r="T277" i="26"/>
  <c r="AA277" i="26" s="1"/>
  <c r="AH277" i="26" s="1"/>
  <c r="T525" i="26"/>
  <c r="AA525" i="26" s="1"/>
  <c r="AH525" i="26" s="1"/>
  <c r="T567" i="26"/>
  <c r="AA567" i="26" s="1"/>
  <c r="AH567" i="26" s="1"/>
  <c r="T607" i="26"/>
  <c r="AA607" i="26" s="1"/>
  <c r="AH607" i="26" s="1"/>
  <c r="T467" i="26"/>
  <c r="AA467" i="26" s="1"/>
  <c r="AH467" i="26" s="1"/>
  <c r="T637" i="26"/>
  <c r="AA637" i="26" s="1"/>
  <c r="AH637" i="26" s="1"/>
  <c r="T315" i="26"/>
  <c r="AA315" i="26" s="1"/>
  <c r="AH315" i="26" s="1"/>
  <c r="BS16" i="26"/>
  <c r="BQ16" i="26"/>
  <c r="BQ24" i="26"/>
  <c r="BS24" i="26"/>
  <c r="BQ32" i="26"/>
  <c r="BS32" i="26"/>
  <c r="BS40" i="26"/>
  <c r="BQ40" i="26"/>
  <c r="BQ48" i="26"/>
  <c r="BS48" i="26"/>
  <c r="BQ56" i="26"/>
  <c r="BS56" i="26"/>
  <c r="BS64" i="26"/>
  <c r="BQ64" i="26"/>
  <c r="BS72" i="26"/>
  <c r="BQ72" i="26"/>
  <c r="BS80" i="26"/>
  <c r="BQ80" i="26"/>
  <c r="BQ88" i="26"/>
  <c r="BS88" i="26"/>
  <c r="BQ112" i="26"/>
  <c r="BS112" i="26"/>
  <c r="BS120" i="26"/>
  <c r="BQ120" i="26"/>
  <c r="BS128" i="26"/>
  <c r="BQ128" i="26"/>
  <c r="BS136" i="26"/>
  <c r="BQ136" i="26"/>
  <c r="BQ144" i="26"/>
  <c r="BS144" i="26"/>
  <c r="BQ152" i="26"/>
  <c r="BS152" i="26"/>
  <c r="BQ160" i="26"/>
  <c r="BS160" i="26"/>
  <c r="BQ168" i="26"/>
  <c r="BS168" i="26"/>
  <c r="BS176" i="26"/>
  <c r="BQ176" i="26"/>
  <c r="BQ184" i="26"/>
  <c r="BS184" i="26"/>
  <c r="BQ192" i="26"/>
  <c r="BS192" i="26"/>
  <c r="BQ208" i="26"/>
  <c r="BS208" i="26"/>
  <c r="BS224" i="26"/>
  <c r="BQ224" i="26"/>
  <c r="BQ232" i="26"/>
  <c r="BS232" i="26"/>
  <c r="BS240" i="26"/>
  <c r="BQ240" i="26"/>
  <c r="BS248" i="26"/>
  <c r="BQ248" i="26"/>
  <c r="BS264" i="26"/>
  <c r="BQ264" i="26"/>
  <c r="BQ272" i="26"/>
  <c r="BS272" i="26"/>
  <c r="BS280" i="26"/>
  <c r="BQ280" i="26"/>
  <c r="BS288" i="26"/>
  <c r="BQ288" i="26"/>
  <c r="BQ296" i="26"/>
  <c r="BS296" i="26"/>
  <c r="BS304" i="26"/>
  <c r="BQ304" i="26"/>
  <c r="BS312" i="26"/>
  <c r="BQ312" i="26"/>
  <c r="BQ320" i="26"/>
  <c r="BS320" i="26"/>
  <c r="BQ328" i="26"/>
  <c r="BS328" i="26"/>
  <c r="BS336" i="26"/>
  <c r="BQ336" i="26"/>
  <c r="BQ344" i="26"/>
  <c r="BS344" i="26"/>
  <c r="BQ352" i="26"/>
  <c r="BS352" i="26"/>
  <c r="BQ360" i="26"/>
  <c r="BS360" i="26"/>
  <c r="BS368" i="26"/>
  <c r="BQ368" i="26"/>
  <c r="BQ376" i="26"/>
  <c r="BS376" i="26"/>
  <c r="BS384" i="26"/>
  <c r="BQ384" i="26"/>
  <c r="BS400" i="26"/>
  <c r="BQ400" i="26"/>
  <c r="BQ408" i="26"/>
  <c r="BS408" i="26"/>
  <c r="BQ416" i="26"/>
  <c r="BS416" i="26"/>
  <c r="BQ424" i="26"/>
  <c r="BS424" i="26"/>
  <c r="BS432" i="26"/>
  <c r="BQ432" i="26"/>
  <c r="BS440" i="26"/>
  <c r="BQ440" i="26"/>
  <c r="BS448" i="26"/>
  <c r="BQ448" i="26"/>
  <c r="BS456" i="26"/>
  <c r="BQ456" i="26"/>
  <c r="BQ472" i="26"/>
  <c r="BS472" i="26"/>
  <c r="BS480" i="26"/>
  <c r="BQ480" i="26"/>
  <c r="BS488" i="26"/>
  <c r="BQ488" i="26"/>
  <c r="BS496" i="26"/>
  <c r="BQ496" i="26"/>
  <c r="BQ504" i="26"/>
  <c r="BS504" i="26"/>
  <c r="BQ520" i="26"/>
  <c r="BS520" i="26"/>
  <c r="BS536" i="26"/>
  <c r="BQ536" i="26"/>
  <c r="BQ568" i="26"/>
  <c r="BS568" i="26"/>
  <c r="BQ576" i="26"/>
  <c r="BS576" i="26"/>
  <c r="BQ584" i="26"/>
  <c r="BS584" i="26"/>
  <c r="BQ592" i="26"/>
  <c r="BS592" i="26"/>
  <c r="BS600" i="26"/>
  <c r="BQ600" i="26"/>
  <c r="BS608" i="26"/>
  <c r="BQ608" i="26"/>
  <c r="BS616" i="26"/>
  <c r="BQ616" i="26"/>
  <c r="BQ648" i="26"/>
  <c r="BS648" i="26"/>
  <c r="BQ656" i="26"/>
  <c r="BS656" i="26"/>
  <c r="BQ664" i="26"/>
  <c r="BS664" i="26"/>
  <c r="BS672" i="26"/>
  <c r="BQ672" i="26"/>
  <c r="BQ680" i="26"/>
  <c r="BS680" i="26"/>
  <c r="BS688" i="26"/>
  <c r="BQ688" i="26"/>
  <c r="BS696" i="26"/>
  <c r="BQ696" i="26"/>
  <c r="BS704" i="26"/>
  <c r="BQ704" i="26"/>
  <c r="BS720" i="26"/>
  <c r="BQ720" i="26"/>
  <c r="BS728" i="26"/>
  <c r="BQ728" i="26"/>
  <c r="BQ736" i="26"/>
  <c r="BS736" i="26"/>
  <c r="BS744" i="26"/>
  <c r="BQ744" i="26"/>
  <c r="BS760" i="26"/>
  <c r="BQ760" i="26"/>
  <c r="BS768" i="26"/>
  <c r="BQ768" i="26"/>
  <c r="BQ776" i="26"/>
  <c r="BS776" i="26"/>
  <c r="BS784" i="26"/>
  <c r="BQ784" i="26"/>
  <c r="BQ792" i="26"/>
  <c r="BS792" i="26"/>
  <c r="J12" i="38"/>
  <c r="J10" i="38"/>
  <c r="J14" i="38"/>
  <c r="J9" i="38"/>
  <c r="J11" i="38"/>
  <c r="J13" i="38"/>
  <c r="AQ99" i="26"/>
  <c r="AR99" i="26" s="1"/>
  <c r="AQ116" i="26"/>
  <c r="AR116" i="26" s="1"/>
  <c r="AQ48" i="26"/>
  <c r="AR48" i="26" s="1"/>
  <c r="AQ127" i="26"/>
  <c r="AR127" i="26" s="1"/>
  <c r="AQ30" i="26"/>
  <c r="AR30" i="26" s="1"/>
  <c r="AQ63" i="26"/>
  <c r="AR63" i="26" s="1"/>
  <c r="AQ59" i="26"/>
  <c r="AR59" i="26" s="1"/>
  <c r="AQ71" i="26"/>
  <c r="AR71" i="26" s="1"/>
  <c r="AQ47" i="26"/>
  <c r="AR47" i="26" s="1"/>
  <c r="AQ80" i="26"/>
  <c r="AR80" i="26" s="1"/>
  <c r="AQ119" i="26"/>
  <c r="AR119" i="26" s="1"/>
  <c r="AQ68" i="26"/>
  <c r="AR68" i="26" s="1"/>
  <c r="AQ128" i="26"/>
  <c r="AR128" i="26" s="1"/>
  <c r="AQ94" i="26"/>
  <c r="AR94" i="26" s="1"/>
  <c r="AQ76" i="26"/>
  <c r="AR76" i="26" s="1"/>
  <c r="AQ114" i="26"/>
  <c r="AR114" i="26" s="1"/>
  <c r="AQ108" i="26"/>
  <c r="AR108" i="26" s="1"/>
  <c r="AQ20" i="26"/>
  <c r="AR20" i="26" s="1"/>
  <c r="AQ36" i="26"/>
  <c r="AR36" i="26" s="1"/>
  <c r="AQ133" i="26"/>
  <c r="AR133" i="26" s="1"/>
  <c r="AQ93" i="26"/>
  <c r="AR93" i="26" s="1"/>
  <c r="AQ24" i="26"/>
  <c r="AR24" i="26" s="1"/>
  <c r="AQ77" i="26"/>
  <c r="AR77" i="26" s="1"/>
  <c r="AQ46" i="26"/>
  <c r="AR46" i="26" s="1"/>
  <c r="AQ40" i="26"/>
  <c r="AR40" i="26" s="1"/>
  <c r="AQ85" i="26"/>
  <c r="AR85" i="26" s="1"/>
  <c r="AQ105" i="26"/>
  <c r="AR105" i="26" s="1"/>
  <c r="AQ135" i="26"/>
  <c r="AR135" i="26" s="1"/>
  <c r="AQ43" i="26"/>
  <c r="AR43" i="26" s="1"/>
  <c r="AQ8" i="26"/>
  <c r="AR8" i="26" s="1"/>
  <c r="AQ21" i="26"/>
  <c r="AR21" i="26" s="1"/>
  <c r="AQ27" i="26"/>
  <c r="AR27" i="26" s="1"/>
  <c r="AQ73" i="26"/>
  <c r="AR73" i="26" s="1"/>
  <c r="AQ110" i="26"/>
  <c r="AR110" i="26" s="1"/>
  <c r="AQ55" i="26"/>
  <c r="AR55" i="26" s="1"/>
  <c r="AQ129" i="26"/>
  <c r="AR129" i="26" s="1"/>
  <c r="AQ32" i="26"/>
  <c r="AR32" i="26" s="1"/>
  <c r="AQ118" i="26"/>
  <c r="AR118" i="26" s="1"/>
  <c r="AQ13" i="26"/>
  <c r="AR13" i="26" s="1"/>
  <c r="AQ104" i="26"/>
  <c r="AR104" i="26" s="1"/>
  <c r="AQ134" i="26"/>
  <c r="AR134" i="26" s="1"/>
  <c r="AQ23" i="26"/>
  <c r="AR23" i="26" s="1"/>
  <c r="AQ62" i="26"/>
  <c r="AR62" i="26" s="1"/>
  <c r="AQ12" i="26"/>
  <c r="AR12" i="26" s="1"/>
  <c r="AQ26" i="26"/>
  <c r="AR26" i="26" s="1"/>
  <c r="AQ86" i="26"/>
  <c r="AR86" i="26" s="1"/>
  <c r="AQ45" i="26"/>
  <c r="AR45" i="26" s="1"/>
  <c r="AQ15" i="26"/>
  <c r="AR15" i="26" s="1"/>
  <c r="AQ29" i="26"/>
  <c r="AR29" i="26" s="1"/>
  <c r="AQ115" i="26"/>
  <c r="AR115" i="26" s="1"/>
  <c r="AQ107" i="26"/>
  <c r="AR107" i="26" s="1"/>
  <c r="AQ117" i="26"/>
  <c r="AR117" i="26" s="1"/>
  <c r="AQ103" i="26"/>
  <c r="AR103" i="26" s="1"/>
  <c r="AQ72" i="26"/>
  <c r="AR72" i="26" s="1"/>
  <c r="AQ101" i="26"/>
  <c r="AR101" i="26" s="1"/>
  <c r="AQ131" i="26"/>
  <c r="AR131" i="26" s="1"/>
  <c r="AQ96" i="26"/>
  <c r="AR96" i="26" s="1"/>
  <c r="AQ90" i="26"/>
  <c r="AR90" i="26" s="1"/>
  <c r="AQ16" i="26"/>
  <c r="AR16" i="26" s="1"/>
  <c r="AQ19" i="26"/>
  <c r="AR19" i="26" s="1"/>
  <c r="AQ74" i="26"/>
  <c r="AR74" i="26" s="1"/>
  <c r="AQ9" i="26"/>
  <c r="AR9" i="26" s="1"/>
  <c r="AQ57" i="26"/>
  <c r="AR57" i="26" s="1"/>
  <c r="AQ67" i="26"/>
  <c r="AR67" i="26" s="1"/>
  <c r="AQ84" i="26"/>
  <c r="AR84" i="26" s="1"/>
  <c r="AQ53" i="26"/>
  <c r="AR53" i="26" s="1"/>
  <c r="AQ33" i="26"/>
  <c r="AR33" i="26" s="1"/>
  <c r="AQ82" i="26"/>
  <c r="AR82" i="26" s="1"/>
  <c r="AQ122" i="26"/>
  <c r="AR122" i="26" s="1"/>
  <c r="AQ52" i="26"/>
  <c r="AR52" i="26" s="1"/>
  <c r="AQ121" i="26"/>
  <c r="AR121" i="26" s="1"/>
  <c r="AQ49" i="26"/>
  <c r="AR49" i="26" s="1"/>
  <c r="AQ58" i="26"/>
  <c r="AR58" i="26" s="1"/>
  <c r="AQ91" i="26"/>
  <c r="AR91" i="26" s="1"/>
  <c r="AQ38" i="26"/>
  <c r="AR38" i="26" s="1"/>
  <c r="AQ120" i="26"/>
  <c r="AR120" i="26" s="1"/>
  <c r="AQ126" i="26"/>
  <c r="AR126" i="26" s="1"/>
  <c r="AQ79" i="26"/>
  <c r="AR79" i="26" s="1"/>
  <c r="AQ69" i="26"/>
  <c r="AR69" i="26" s="1"/>
  <c r="AQ25" i="26"/>
  <c r="AR25" i="26" s="1"/>
  <c r="AQ37" i="26"/>
  <c r="AR37" i="26" s="1"/>
  <c r="AQ81" i="26"/>
  <c r="AR81" i="26" s="1"/>
  <c r="AQ102" i="26"/>
  <c r="AR102" i="26" s="1"/>
  <c r="AQ132" i="26"/>
  <c r="AR132" i="26" s="1"/>
  <c r="AQ56" i="26"/>
  <c r="AR56" i="26" s="1"/>
  <c r="AQ95" i="26"/>
  <c r="AR95" i="26" s="1"/>
  <c r="AQ83" i="26"/>
  <c r="AR83" i="26" s="1"/>
  <c r="AQ123" i="26"/>
  <c r="AR123" i="26" s="1"/>
  <c r="AQ88" i="26"/>
  <c r="AR88" i="26" s="1"/>
  <c r="AQ65" i="26"/>
  <c r="AR65" i="26" s="1"/>
  <c r="AQ109" i="26"/>
  <c r="AR109" i="26" s="1"/>
  <c r="AQ66" i="26"/>
  <c r="AR66" i="26" s="1"/>
  <c r="AQ35" i="26"/>
  <c r="AR35" i="26" s="1"/>
  <c r="AQ14" i="26"/>
  <c r="AR14" i="26" s="1"/>
  <c r="AQ39" i="26"/>
  <c r="AR39" i="26" s="1"/>
  <c r="AQ51" i="26"/>
  <c r="AR51" i="26" s="1"/>
  <c r="AQ28" i="26"/>
  <c r="AR28" i="26" s="1"/>
  <c r="AQ70" i="26"/>
  <c r="AR70" i="26" s="1"/>
  <c r="AQ97" i="26"/>
  <c r="AR97" i="26" s="1"/>
  <c r="AQ10" i="26"/>
  <c r="AR10" i="26" s="1"/>
  <c r="AQ44" i="26"/>
  <c r="AR44" i="26" s="1"/>
  <c r="AQ31" i="26"/>
  <c r="AR31" i="26" s="1"/>
  <c r="AQ41" i="26"/>
  <c r="AR41" i="26" s="1"/>
  <c r="AQ112" i="26"/>
  <c r="AR112" i="26" s="1"/>
  <c r="AQ75" i="26"/>
  <c r="AR75" i="26" s="1"/>
  <c r="AQ89" i="26"/>
  <c r="AR89" i="26" s="1"/>
  <c r="AQ113" i="26"/>
  <c r="AR113" i="26" s="1"/>
  <c r="AQ98" i="26"/>
  <c r="AR98" i="26" s="1"/>
  <c r="AQ124" i="26"/>
  <c r="AR124" i="26" s="1"/>
  <c r="AQ92" i="26"/>
  <c r="AR92" i="26" s="1"/>
  <c r="AQ60" i="26"/>
  <c r="AR60" i="26" s="1"/>
  <c r="AQ61" i="26"/>
  <c r="AR61" i="26" s="1"/>
  <c r="AQ34" i="26"/>
  <c r="AR34" i="26" s="1"/>
  <c r="AQ17" i="26"/>
  <c r="AR17" i="26" s="1"/>
  <c r="AQ130" i="26"/>
  <c r="AR130" i="26" s="1"/>
  <c r="AQ54" i="26"/>
  <c r="AR54" i="26" s="1"/>
  <c r="AQ42" i="26"/>
  <c r="AR42" i="26" s="1"/>
  <c r="AQ125" i="26"/>
  <c r="AR125" i="26" s="1"/>
  <c r="AQ11" i="26"/>
  <c r="AR11" i="26" s="1"/>
  <c r="AQ106" i="26"/>
  <c r="AR106" i="26" s="1"/>
  <c r="AQ22" i="26"/>
  <c r="AR22" i="26" s="1"/>
  <c r="AQ100" i="26"/>
  <c r="AR100" i="26" s="1"/>
  <c r="AQ111" i="26"/>
  <c r="AR111" i="26" s="1"/>
  <c r="AQ50" i="26"/>
  <c r="AR50" i="26" s="1"/>
  <c r="AQ64" i="26"/>
  <c r="AR64" i="26" s="1"/>
  <c r="AQ78" i="26"/>
  <c r="AR78" i="26" s="1"/>
  <c r="AQ87" i="26"/>
  <c r="AR87" i="26" s="1"/>
  <c r="AQ18" i="26"/>
  <c r="AR18" i="26" s="1"/>
  <c r="AQ413" i="26"/>
  <c r="AR413" i="26" s="1"/>
  <c r="AQ686" i="26"/>
  <c r="AR686" i="26" s="1"/>
  <c r="AQ415" i="26"/>
  <c r="AR415" i="26" s="1"/>
  <c r="AQ576" i="26"/>
  <c r="AR576" i="26" s="1"/>
  <c r="AQ535" i="26"/>
  <c r="AR535" i="26" s="1"/>
  <c r="AQ405" i="26"/>
  <c r="AR405" i="26" s="1"/>
  <c r="AQ494" i="26"/>
  <c r="AR494" i="26" s="1"/>
  <c r="AQ280" i="26"/>
  <c r="AR280" i="26" s="1"/>
  <c r="AQ347" i="26"/>
  <c r="AR347" i="26" s="1"/>
  <c r="AQ509" i="26"/>
  <c r="AR509" i="26" s="1"/>
  <c r="AQ325" i="26"/>
  <c r="AR325" i="26" s="1"/>
  <c r="AQ420" i="26"/>
  <c r="AR420" i="26" s="1"/>
  <c r="AQ705" i="26"/>
  <c r="AR705" i="26" s="1"/>
  <c r="AQ589" i="26"/>
  <c r="AR589" i="26" s="1"/>
  <c r="AQ484" i="26"/>
  <c r="AR484" i="26" s="1"/>
  <c r="AQ319" i="26"/>
  <c r="AR319" i="26" s="1"/>
  <c r="AQ366" i="26"/>
  <c r="AR366" i="26" s="1"/>
  <c r="AQ700" i="26"/>
  <c r="AR700" i="26" s="1"/>
  <c r="AQ490" i="26"/>
  <c r="AR490" i="26" s="1"/>
  <c r="AQ572" i="26"/>
  <c r="AR572" i="26" s="1"/>
  <c r="AQ604" i="26"/>
  <c r="AR604" i="26" s="1"/>
  <c r="AQ340" i="26"/>
  <c r="AR340" i="26" s="1"/>
  <c r="AQ734" i="26"/>
  <c r="AR734" i="26" s="1"/>
  <c r="AQ260" i="26"/>
  <c r="AR260" i="26" s="1"/>
  <c r="AQ291" i="26"/>
  <c r="AR291" i="26" s="1"/>
  <c r="AQ533" i="26"/>
  <c r="AR533" i="26" s="1"/>
  <c r="AQ332" i="26"/>
  <c r="AR332" i="26" s="1"/>
  <c r="AQ594" i="26"/>
  <c r="AR594" i="26" s="1"/>
  <c r="AQ318" i="26"/>
  <c r="AR318" i="26" s="1"/>
  <c r="AQ483" i="26"/>
  <c r="AR483" i="26" s="1"/>
  <c r="AQ257" i="26"/>
  <c r="AR257" i="26" s="1"/>
  <c r="AQ408" i="26"/>
  <c r="AR408" i="26" s="1"/>
  <c r="AQ303" i="26"/>
  <c r="AR303" i="26" s="1"/>
  <c r="AQ592" i="26"/>
  <c r="AR592" i="26" s="1"/>
  <c r="AQ412" i="26"/>
  <c r="AR412" i="26" s="1"/>
  <c r="AQ270" i="26"/>
  <c r="AR270" i="26" s="1"/>
  <c r="AQ364" i="26"/>
  <c r="AR364" i="26" s="1"/>
  <c r="AQ541" i="26"/>
  <c r="AR541" i="26" s="1"/>
  <c r="AQ675" i="26"/>
  <c r="AR675" i="26" s="1"/>
  <c r="AQ487" i="26"/>
  <c r="AR487" i="26" s="1"/>
  <c r="AQ335" i="26"/>
  <c r="AR335" i="26" s="1"/>
  <c r="AQ732" i="26"/>
  <c r="AR732" i="26" s="1"/>
  <c r="AQ305" i="26"/>
  <c r="AR305" i="26" s="1"/>
  <c r="AQ680" i="26"/>
  <c r="AR680" i="26" s="1"/>
  <c r="AQ448" i="26"/>
  <c r="AR448" i="26" s="1"/>
  <c r="AQ322" i="26"/>
  <c r="AR322" i="26" s="1"/>
  <c r="AQ671" i="26"/>
  <c r="AR671" i="26" s="1"/>
  <c r="AQ668" i="26"/>
  <c r="AR668" i="26" s="1"/>
  <c r="AQ467" i="26"/>
  <c r="AR467" i="26" s="1"/>
  <c r="AQ516" i="26"/>
  <c r="AR516" i="26" s="1"/>
  <c r="AQ590" i="26"/>
  <c r="AR590" i="26" s="1"/>
  <c r="AQ489" i="26"/>
  <c r="AR489" i="26" s="1"/>
  <c r="AQ301" i="26"/>
  <c r="AR301" i="26" s="1"/>
  <c r="AQ249" i="26"/>
  <c r="AR249" i="26" s="1"/>
  <c r="AQ532" i="26"/>
  <c r="AR532" i="26" s="1"/>
  <c r="AQ273" i="26"/>
  <c r="AR273" i="26" s="1"/>
  <c r="AQ391" i="26"/>
  <c r="AR391" i="26" s="1"/>
  <c r="AQ461" i="26"/>
  <c r="AR461" i="26" s="1"/>
  <c r="AQ397" i="26"/>
  <c r="AR397" i="26" s="1"/>
  <c r="AQ293" i="26"/>
  <c r="AR293" i="26" s="1"/>
  <c r="AQ337" i="26"/>
  <c r="AR337" i="26" s="1"/>
  <c r="AQ521" i="26"/>
  <c r="AR521" i="26" s="1"/>
  <c r="AQ478" i="26"/>
  <c r="AR478" i="26" s="1"/>
  <c r="AQ624" i="26"/>
  <c r="AR624" i="26" s="1"/>
  <c r="AQ248" i="26"/>
  <c r="AR248" i="26" s="1"/>
  <c r="AQ377" i="26"/>
  <c r="AR377" i="26" s="1"/>
  <c r="AQ464" i="26"/>
  <c r="AR464" i="26" s="1"/>
  <c r="AQ552" i="26"/>
  <c r="AR552" i="26" s="1"/>
  <c r="AQ350" i="26"/>
  <c r="AR350" i="26" s="1"/>
  <c r="AQ299" i="26"/>
  <c r="AR299" i="26" s="1"/>
  <c r="AQ346" i="26"/>
  <c r="AR346" i="26" s="1"/>
  <c r="AQ657" i="26"/>
  <c r="AR657" i="26" s="1"/>
  <c r="AQ406" i="26"/>
  <c r="AR406" i="26" s="1"/>
  <c r="AQ376" i="26"/>
  <c r="AR376" i="26" s="1"/>
  <c r="AQ513" i="26"/>
  <c r="AR513" i="26" s="1"/>
  <c r="AQ619" i="26"/>
  <c r="AR619" i="26" s="1"/>
  <c r="AQ286" i="26"/>
  <c r="AR286" i="26" s="1"/>
  <c r="AQ419" i="26"/>
  <c r="AR419" i="26" s="1"/>
  <c r="AQ715" i="26"/>
  <c r="AR715" i="26" s="1"/>
  <c r="AQ417" i="26"/>
  <c r="AR417" i="26" s="1"/>
  <c r="AQ290" i="26"/>
  <c r="AR290" i="26" s="1"/>
  <c r="AQ375" i="26"/>
  <c r="AR375" i="26" s="1"/>
  <c r="AQ343" i="26"/>
  <c r="AR343" i="26" s="1"/>
  <c r="AQ652" i="26"/>
  <c r="AR652" i="26" s="1"/>
  <c r="AQ359" i="26"/>
  <c r="AR359" i="26" s="1"/>
  <c r="AQ602" i="26"/>
  <c r="AR602" i="26" s="1"/>
  <c r="AQ481" i="26"/>
  <c r="AR481" i="26" s="1"/>
  <c r="AQ356" i="26"/>
  <c r="AR356" i="26" s="1"/>
  <c r="AQ722" i="26"/>
  <c r="AR722" i="26" s="1"/>
  <c r="AQ599" i="26"/>
  <c r="AR599" i="26" s="1"/>
  <c r="AQ682" i="26"/>
  <c r="AR682" i="26" s="1"/>
  <c r="AQ300" i="26"/>
  <c r="AR300" i="26" s="1"/>
  <c r="AQ653" i="26"/>
  <c r="AR653" i="26" s="1"/>
  <c r="AQ554" i="26"/>
  <c r="AR554" i="26" s="1"/>
  <c r="AQ582" i="26"/>
  <c r="AR582" i="26" s="1"/>
  <c r="AQ696" i="26"/>
  <c r="AR696" i="26" s="1"/>
  <c r="AQ539" i="26"/>
  <c r="AR539" i="26" s="1"/>
  <c r="AQ660" i="26"/>
  <c r="AR660" i="26" s="1"/>
  <c r="AQ538" i="26"/>
  <c r="AR538" i="26" s="1"/>
  <c r="AQ565" i="26"/>
  <c r="AR565" i="26" s="1"/>
  <c r="AQ523" i="26"/>
  <c r="AR523" i="26" s="1"/>
  <c r="AQ473" i="26"/>
  <c r="AR473" i="26" s="1"/>
  <c r="AQ274" i="26"/>
  <c r="AR274" i="26" s="1"/>
  <c r="AQ627" i="26"/>
  <c r="AR627" i="26" s="1"/>
  <c r="AQ644" i="26"/>
  <c r="AR644" i="26" s="1"/>
  <c r="AQ617" i="26"/>
  <c r="AR617" i="26" s="1"/>
  <c r="AQ707" i="26"/>
  <c r="AR707" i="26" s="1"/>
  <c r="AQ285" i="26"/>
  <c r="AR285" i="26" s="1"/>
  <c r="AQ404" i="26"/>
  <c r="AR404" i="26" s="1"/>
  <c r="AQ388" i="26"/>
  <c r="AR388" i="26" s="1"/>
  <c r="AQ598" i="26"/>
  <c r="AR598" i="26" s="1"/>
  <c r="AQ294" i="26"/>
  <c r="AR294" i="26" s="1"/>
  <c r="AQ479" i="26"/>
  <c r="AR479" i="26" s="1"/>
  <c r="AQ327" i="26"/>
  <c r="AR327" i="26" s="1"/>
  <c r="AQ471" i="26"/>
  <c r="AR471" i="26" s="1"/>
  <c r="AQ689" i="26"/>
  <c r="AR689" i="26" s="1"/>
  <c r="AQ698" i="26"/>
  <c r="AR698" i="26" s="1"/>
  <c r="AQ719" i="26"/>
  <c r="AR719" i="26" s="1"/>
  <c r="AQ501" i="26"/>
  <c r="AR501" i="26" s="1"/>
  <c r="AQ253" i="26"/>
  <c r="AR253" i="26" s="1"/>
  <c r="AQ279" i="26"/>
  <c r="AR279" i="26" s="1"/>
  <c r="AQ326" i="26"/>
  <c r="AR326" i="26" s="1"/>
  <c r="AQ641" i="26"/>
  <c r="AR641" i="26" s="1"/>
  <c r="AQ269" i="26"/>
  <c r="AR269" i="26" s="1"/>
  <c r="AQ317" i="26"/>
  <c r="AR317" i="26" s="1"/>
  <c r="AQ428" i="26"/>
  <c r="AR428" i="26" s="1"/>
  <c r="AQ295" i="26"/>
  <c r="AR295" i="26" s="1"/>
  <c r="AQ495" i="26"/>
  <c r="AR495" i="26" s="1"/>
  <c r="AQ537" i="26"/>
  <c r="AR537" i="26" s="1"/>
  <c r="AQ553" i="26"/>
  <c r="AR553" i="26" s="1"/>
  <c r="AQ587" i="26"/>
  <c r="AR587" i="26" s="1"/>
  <c r="AQ628" i="26"/>
  <c r="AR628" i="26" s="1"/>
  <c r="AQ330" i="26"/>
  <c r="AR330" i="26" s="1"/>
  <c r="AQ522" i="26"/>
  <c r="AR522" i="26" s="1"/>
  <c r="AQ726" i="26"/>
  <c r="AR726" i="26" s="1"/>
  <c r="AQ369" i="26"/>
  <c r="AR369" i="26" s="1"/>
  <c r="AQ515" i="26"/>
  <c r="AR515" i="26" s="1"/>
  <c r="AQ414" i="26"/>
  <c r="AR414" i="26" s="1"/>
  <c r="AQ442" i="26"/>
  <c r="AR442" i="26" s="1"/>
  <c r="AQ508" i="26"/>
  <c r="AR508" i="26" s="1"/>
  <c r="AQ275" i="26"/>
  <c r="AR275" i="26" s="1"/>
  <c r="AQ454" i="26"/>
  <c r="AR454" i="26" s="1"/>
  <c r="AQ250" i="26"/>
  <c r="AR250" i="26" s="1"/>
  <c r="AQ476" i="26"/>
  <c r="AR476" i="26" s="1"/>
  <c r="AQ351" i="26"/>
  <c r="AR351" i="26" s="1"/>
  <c r="AQ743" i="26"/>
  <c r="AR743" i="26" s="1"/>
  <c r="AQ425" i="26"/>
  <c r="AR425" i="26" s="1"/>
  <c r="AQ563" i="26"/>
  <c r="AR563" i="26" s="1"/>
  <c r="AQ626" i="26"/>
  <c r="AR626" i="26" s="1"/>
  <c r="AQ265" i="26"/>
  <c r="AR265" i="26" s="1"/>
  <c r="AQ584" i="26"/>
  <c r="AR584" i="26" s="1"/>
  <c r="AQ321" i="26"/>
  <c r="AR321" i="26" s="1"/>
  <c r="AQ447" i="26"/>
  <c r="AR447" i="26" s="1"/>
  <c r="AQ355" i="26"/>
  <c r="AR355" i="26" s="1"/>
  <c r="AQ506" i="26"/>
  <c r="AR506" i="26" s="1"/>
  <c r="AQ667" i="26"/>
  <c r="AR667" i="26" s="1"/>
  <c r="AQ578" i="26"/>
  <c r="AR578" i="26" s="1"/>
  <c r="AQ407" i="26"/>
  <c r="AR407" i="26" s="1"/>
  <c r="AQ629" i="26"/>
  <c r="AR629" i="26" s="1"/>
  <c r="AQ440" i="26"/>
  <c r="AR440" i="26" s="1"/>
  <c r="AQ271" i="26"/>
  <c r="AR271" i="26" s="1"/>
  <c r="AQ465" i="26"/>
  <c r="AR465" i="26" s="1"/>
  <c r="AQ706" i="26"/>
  <c r="AR706" i="26" s="1"/>
  <c r="AQ690" i="26"/>
  <c r="AR690" i="26" s="1"/>
  <c r="AQ636" i="26"/>
  <c r="AR636" i="26" s="1"/>
  <c r="AQ697" i="26"/>
  <c r="AR697" i="26" s="1"/>
  <c r="AQ498" i="26"/>
  <c r="AR498" i="26" s="1"/>
  <c r="AQ261" i="26"/>
  <c r="AR261" i="26" s="1"/>
  <c r="AQ307" i="26"/>
  <c r="AR307" i="26" s="1"/>
  <c r="AQ623" i="26"/>
  <c r="AR623" i="26" s="1"/>
  <c r="AQ704" i="26"/>
  <c r="AR704" i="26" s="1"/>
  <c r="AQ259" i="26"/>
  <c r="AR259" i="26" s="1"/>
  <c r="AQ385" i="26"/>
  <c r="AR385" i="26" s="1"/>
  <c r="AQ681" i="26"/>
  <c r="AR681" i="26" s="1"/>
  <c r="AQ692" i="26"/>
  <c r="AR692" i="26" s="1"/>
  <c r="AQ444" i="26"/>
  <c r="AR444" i="26" s="1"/>
  <c r="AQ352" i="26"/>
  <c r="AR352" i="26" s="1"/>
  <c r="AQ256" i="26"/>
  <c r="AR256" i="26" s="1"/>
  <c r="AQ398" i="26"/>
  <c r="AR398" i="26" s="1"/>
  <c r="AQ558" i="26"/>
  <c r="AR558" i="26" s="1"/>
  <c r="AQ591" i="26"/>
  <c r="AR591" i="26" s="1"/>
  <c r="AQ272" i="26"/>
  <c r="AR272" i="26" s="1"/>
  <c r="AQ371" i="26"/>
  <c r="AR371" i="26" s="1"/>
  <c r="AQ561" i="26"/>
  <c r="AR561" i="26" s="1"/>
  <c r="AQ289" i="26"/>
  <c r="AR289" i="26" s="1"/>
  <c r="AQ395" i="26"/>
  <c r="AR395" i="26" s="1"/>
  <c r="AQ443" i="26"/>
  <c r="AR443" i="26" s="1"/>
  <c r="AQ493" i="26"/>
  <c r="AR493" i="26" s="1"/>
  <c r="AQ382" i="26"/>
  <c r="AR382" i="26" s="1"/>
  <c r="AQ342" i="26"/>
  <c r="AR342" i="26" s="1"/>
  <c r="AQ596" i="26"/>
  <c r="AR596" i="26" s="1"/>
  <c r="AQ526" i="26"/>
  <c r="AR526" i="26" s="1"/>
  <c r="AQ460" i="26"/>
  <c r="AR460" i="26" s="1"/>
  <c r="AQ433" i="26"/>
  <c r="AR433" i="26" s="1"/>
  <c r="AQ311" i="26"/>
  <c r="AR311" i="26" s="1"/>
  <c r="AQ693" i="26"/>
  <c r="AR693" i="26" s="1"/>
  <c r="AQ514" i="26"/>
  <c r="AR514" i="26" s="1"/>
  <c r="AQ283" i="26"/>
  <c r="AR283" i="26" s="1"/>
  <c r="AQ725" i="26"/>
  <c r="AR725" i="26" s="1"/>
  <c r="AQ540" i="26"/>
  <c r="AR540" i="26" s="1"/>
  <c r="AQ452" i="26"/>
  <c r="AR452" i="26" s="1"/>
  <c r="AQ507" i="26"/>
  <c r="AR507" i="26" s="1"/>
  <c r="AQ555" i="26"/>
  <c r="AR555" i="26" s="1"/>
  <c r="AQ381" i="26"/>
  <c r="AR381" i="26" s="1"/>
  <c r="AQ661" i="26"/>
  <c r="AR661" i="26" s="1"/>
  <c r="AQ723" i="26"/>
  <c r="AR723" i="26" s="1"/>
  <c r="AQ475" i="26"/>
  <c r="AR475" i="26" s="1"/>
  <c r="AQ324" i="26"/>
  <c r="AR324" i="26" s="1"/>
  <c r="AQ424" i="26"/>
  <c r="AR424" i="26" s="1"/>
  <c r="AQ308" i="26"/>
  <c r="AR308" i="26" s="1"/>
  <c r="AQ278" i="26"/>
  <c r="AR278" i="26" s="1"/>
  <c r="AQ570" i="26"/>
  <c r="AR570" i="26" s="1"/>
  <c r="AQ418" i="26"/>
  <c r="AR418" i="26" s="1"/>
  <c r="AQ409" i="26"/>
  <c r="AR409" i="26" s="1"/>
  <c r="AQ358" i="26"/>
  <c r="AR358" i="26" s="1"/>
  <c r="AQ323" i="26"/>
  <c r="AR323" i="26" s="1"/>
  <c r="AQ577" i="26"/>
  <c r="AR577" i="26" s="1"/>
  <c r="AQ672" i="26"/>
  <c r="AR672" i="26" s="1"/>
  <c r="AQ606" i="26"/>
  <c r="AR606" i="26" s="1"/>
  <c r="AQ365" i="26"/>
  <c r="AR365" i="26" s="1"/>
  <c r="AQ504" i="26"/>
  <c r="AR504" i="26" s="1"/>
  <c r="AQ512" i="26"/>
  <c r="AR512" i="26" s="1"/>
  <c r="AQ292" i="26"/>
  <c r="AR292" i="26" s="1"/>
  <c r="AQ386" i="26"/>
  <c r="AR386" i="26" s="1"/>
  <c r="AQ310" i="26"/>
  <c r="AR310" i="26" s="1"/>
  <c r="AQ468" i="26"/>
  <c r="AR468" i="26" s="1"/>
  <c r="AQ708" i="26"/>
  <c r="AR708" i="26" s="1"/>
  <c r="AQ298" i="26"/>
  <c r="AR298" i="26" s="1"/>
  <c r="AQ492" i="26"/>
  <c r="AR492" i="26" s="1"/>
  <c r="AQ474" i="26"/>
  <c r="AR474" i="26" s="1"/>
  <c r="AQ648" i="26"/>
  <c r="AR648" i="26" s="1"/>
  <c r="AQ709" i="26"/>
  <c r="AR709" i="26" s="1"/>
  <c r="AQ683" i="26"/>
  <c r="AR683" i="26" s="1"/>
  <c r="AQ457" i="26"/>
  <c r="AR457" i="26" s="1"/>
  <c r="AQ416" i="26"/>
  <c r="AR416" i="26" s="1"/>
  <c r="AQ368" i="26"/>
  <c r="AR368" i="26" s="1"/>
  <c r="AQ363" i="26"/>
  <c r="AR363" i="26" s="1"/>
  <c r="AQ477" i="26"/>
  <c r="AR477" i="26" s="1"/>
  <c r="AQ729" i="26"/>
  <c r="AR729" i="26" s="1"/>
  <c r="AQ679" i="26"/>
  <c r="AR679" i="26" s="1"/>
  <c r="AQ426" i="26"/>
  <c r="AR426" i="26" s="1"/>
  <c r="AQ728" i="26"/>
  <c r="AR728" i="26" s="1"/>
  <c r="AQ647" i="26"/>
  <c r="AR647" i="26" s="1"/>
  <c r="AQ685" i="26"/>
  <c r="AR685" i="26" s="1"/>
  <c r="AQ737" i="26"/>
  <c r="AR737" i="26" s="1"/>
  <c r="AQ384" i="26"/>
  <c r="AR384" i="26" s="1"/>
  <c r="AQ423" i="26"/>
  <c r="AR423" i="26" s="1"/>
  <c r="AQ557" i="26"/>
  <c r="AR557" i="26" s="1"/>
  <c r="AQ316" i="26"/>
  <c r="AR316" i="26" s="1"/>
  <c r="AQ650" i="26"/>
  <c r="AR650" i="26" s="1"/>
  <c r="AQ613" i="26"/>
  <c r="AR613" i="26" s="1"/>
  <c r="AQ436" i="26"/>
  <c r="AR436" i="26" s="1"/>
  <c r="AQ266" i="26"/>
  <c r="AR266" i="26" s="1"/>
  <c r="AQ410" i="26"/>
  <c r="AR410" i="26" s="1"/>
  <c r="AQ545" i="26"/>
  <c r="AR545" i="26" s="1"/>
  <c r="AQ564" i="26"/>
  <c r="AR564" i="26" s="1"/>
  <c r="AQ422" i="26"/>
  <c r="AR422" i="26" s="1"/>
  <c r="AQ710" i="26"/>
  <c r="AR710" i="26" s="1"/>
  <c r="AQ666" i="26"/>
  <c r="AR666" i="26" s="1"/>
  <c r="AQ714" i="26"/>
  <c r="AR714" i="26" s="1"/>
  <c r="AQ673" i="26"/>
  <c r="AR673" i="26" s="1"/>
  <c r="AQ396" i="26"/>
  <c r="AR396" i="26" s="1"/>
  <c r="AQ616" i="26"/>
  <c r="AR616" i="26" s="1"/>
  <c r="AQ687" i="26"/>
  <c r="AR687" i="26" s="1"/>
  <c r="AQ387" i="26"/>
  <c r="AR387" i="26" s="1"/>
  <c r="AQ733" i="26"/>
  <c r="AR733" i="26" s="1"/>
  <c r="AQ665" i="26"/>
  <c r="AR665" i="26" s="1"/>
  <c r="AQ472" i="26"/>
  <c r="AR472" i="26" s="1"/>
  <c r="AQ345" i="26"/>
  <c r="AR345" i="26" s="1"/>
  <c r="AQ727" i="26"/>
  <c r="AR727" i="26" s="1"/>
  <c r="AQ430" i="26"/>
  <c r="AR430" i="26" s="1"/>
  <c r="AQ499" i="26"/>
  <c r="AR499" i="26" s="1"/>
  <c r="AQ618" i="26"/>
  <c r="AR618" i="26" s="1"/>
  <c r="AQ288" i="26"/>
  <c r="AR288" i="26" s="1"/>
  <c r="AQ566" i="26"/>
  <c r="AR566" i="26" s="1"/>
  <c r="AQ677" i="26"/>
  <c r="AR677" i="26" s="1"/>
  <c r="AQ586" i="26"/>
  <c r="AR586" i="26" s="1"/>
  <c r="AQ543" i="26"/>
  <c r="AR543" i="26" s="1"/>
  <c r="AQ357" i="26"/>
  <c r="AR357" i="26" s="1"/>
  <c r="AQ264" i="26"/>
  <c r="AR264" i="26" s="1"/>
  <c r="AQ383" i="26"/>
  <c r="AR383" i="26" s="1"/>
  <c r="AQ662" i="26"/>
  <c r="AR662" i="26" s="1"/>
  <c r="AQ699" i="26"/>
  <c r="AR699" i="26" s="1"/>
  <c r="AQ511" i="26"/>
  <c r="AR511" i="26" s="1"/>
  <c r="AQ588" i="26"/>
  <c r="AR588" i="26" s="1"/>
  <c r="AQ651" i="26"/>
  <c r="AR651" i="26" s="1"/>
  <c r="AQ583" i="26"/>
  <c r="AR583" i="26" s="1"/>
  <c r="AQ438" i="26"/>
  <c r="AR438" i="26" s="1"/>
  <c r="AQ609" i="26"/>
  <c r="AR609" i="26" s="1"/>
  <c r="AQ716" i="26"/>
  <c r="AR716" i="26" s="1"/>
  <c r="AQ445" i="26"/>
  <c r="AR445" i="26" s="1"/>
  <c r="AQ620" i="26"/>
  <c r="AR620" i="26" s="1"/>
  <c r="AQ401" i="26"/>
  <c r="AR401" i="26" s="1"/>
  <c r="AQ251" i="26"/>
  <c r="AR251" i="26" s="1"/>
  <c r="AQ633" i="26"/>
  <c r="AR633" i="26" s="1"/>
  <c r="AQ574" i="26"/>
  <c r="AR574" i="26" s="1"/>
  <c r="AQ601" i="26"/>
  <c r="AR601" i="26" s="1"/>
  <c r="AQ341" i="26"/>
  <c r="AR341" i="26" s="1"/>
  <c r="AQ254" i="26"/>
  <c r="AR254" i="26" s="1"/>
  <c r="AQ744" i="26"/>
  <c r="AR744" i="26" s="1"/>
  <c r="AQ656" i="26"/>
  <c r="AR656" i="26" s="1"/>
  <c r="AQ669" i="26"/>
  <c r="AR669" i="26" s="1"/>
  <c r="AQ730" i="26"/>
  <c r="AR730" i="26" s="1"/>
  <c r="AQ684" i="26"/>
  <c r="AR684" i="26" s="1"/>
  <c r="AQ374" i="26"/>
  <c r="AR374" i="26" s="1"/>
  <c r="AQ738" i="26"/>
  <c r="AR738" i="26" s="1"/>
  <c r="AQ550" i="26"/>
  <c r="AR550" i="26" s="1"/>
  <c r="AQ595" i="26"/>
  <c r="AR595" i="26" s="1"/>
  <c r="AQ370" i="26"/>
  <c r="AR370" i="26" s="1"/>
  <c r="AQ654" i="26"/>
  <c r="AR654" i="26" s="1"/>
  <c r="AQ455" i="26"/>
  <c r="AR455" i="26" s="1"/>
  <c r="AQ338" i="26"/>
  <c r="AR338" i="26" s="1"/>
  <c r="AQ497" i="26"/>
  <c r="AR497" i="26" s="1"/>
  <c r="AQ547" i="26"/>
  <c r="AR547" i="26" s="1"/>
  <c r="AQ717" i="26"/>
  <c r="AR717" i="26" s="1"/>
  <c r="AQ721" i="26"/>
  <c r="AR721" i="26" s="1"/>
  <c r="AQ268" i="26"/>
  <c r="AR268" i="26" s="1"/>
  <c r="AQ736" i="26"/>
  <c r="AR736" i="26" s="1"/>
  <c r="AQ480" i="26"/>
  <c r="AR480" i="26" s="1"/>
  <c r="AQ640" i="26"/>
  <c r="AR640" i="26" s="1"/>
  <c r="AQ462" i="26"/>
  <c r="AR462" i="26" s="1"/>
  <c r="AQ459" i="26"/>
  <c r="AR459" i="26" s="1"/>
  <c r="AQ411" i="26"/>
  <c r="AR411" i="26" s="1"/>
  <c r="AQ718" i="26"/>
  <c r="AR718" i="26" s="1"/>
  <c r="AQ431" i="26"/>
  <c r="AR431" i="26" s="1"/>
  <c r="AQ593" i="26"/>
  <c r="AR593" i="26" s="1"/>
  <c r="AQ711" i="26"/>
  <c r="AR711" i="26" s="1"/>
  <c r="AQ622" i="26"/>
  <c r="AR622" i="26" s="1"/>
  <c r="AQ739" i="26"/>
  <c r="AR739" i="26" s="1"/>
  <c r="AQ470" i="26"/>
  <c r="AR470" i="26" s="1"/>
  <c r="AQ392" i="26"/>
  <c r="AR392" i="26" s="1"/>
  <c r="AQ378" i="26"/>
  <c r="AR378" i="26" s="1"/>
  <c r="AQ607" i="26"/>
  <c r="AR607" i="26" s="1"/>
  <c r="AQ394" i="26"/>
  <c r="AR394" i="26" s="1"/>
  <c r="AQ458" i="26"/>
  <c r="AR458" i="26" s="1"/>
  <c r="AQ649" i="26"/>
  <c r="AR649" i="26" s="1"/>
  <c r="AQ297" i="26"/>
  <c r="AR297" i="26" s="1"/>
  <c r="AQ500" i="26"/>
  <c r="AR500" i="26" s="1"/>
  <c r="AQ400" i="26"/>
  <c r="AR400" i="26" s="1"/>
  <c r="AQ630" i="26"/>
  <c r="AR630" i="26" s="1"/>
  <c r="AQ304" i="26"/>
  <c r="AR304" i="26" s="1"/>
  <c r="AQ519" i="26"/>
  <c r="AR519" i="26" s="1"/>
  <c r="AQ441" i="26"/>
  <c r="AR441" i="26" s="1"/>
  <c r="AQ638" i="26"/>
  <c r="AR638" i="26" s="1"/>
  <c r="AQ482" i="26"/>
  <c r="AR482" i="26" s="1"/>
  <c r="AQ510" i="26"/>
  <c r="AR510" i="26" s="1"/>
  <c r="AQ453" i="26"/>
  <c r="AR453" i="26" s="1"/>
  <c r="AQ559" i="26"/>
  <c r="AR559" i="26" s="1"/>
  <c r="AQ524" i="26"/>
  <c r="AR524" i="26" s="1"/>
  <c r="AQ315" i="26"/>
  <c r="AR315" i="26" s="1"/>
  <c r="AQ724" i="26"/>
  <c r="AR724" i="26" s="1"/>
  <c r="AQ585" i="26"/>
  <c r="AR585" i="26" s="1"/>
  <c r="AQ678" i="26"/>
  <c r="AR678" i="26" s="1"/>
  <c r="AQ655" i="26"/>
  <c r="AR655" i="26" s="1"/>
  <c r="AQ389" i="26"/>
  <c r="AR389" i="26" s="1"/>
  <c r="AQ575" i="26"/>
  <c r="AR575" i="26" s="1"/>
  <c r="AQ267" i="26"/>
  <c r="AR267" i="26" s="1"/>
  <c r="AQ573" i="26"/>
  <c r="AR573" i="26" s="1"/>
  <c r="AQ491" i="26"/>
  <c r="AR491" i="26" s="1"/>
  <c r="AQ639" i="26"/>
  <c r="AR639" i="26" s="1"/>
  <c r="AQ485" i="26"/>
  <c r="AR485" i="26" s="1"/>
  <c r="AQ362" i="26"/>
  <c r="AR362" i="26" s="1"/>
  <c r="AQ486" i="26"/>
  <c r="AR486" i="26" s="1"/>
  <c r="AQ399" i="26"/>
  <c r="AR399" i="26" s="1"/>
  <c r="AQ688" i="26"/>
  <c r="AR688" i="26" s="1"/>
  <c r="AQ742" i="26"/>
  <c r="AR742" i="26" s="1"/>
  <c r="AQ287" i="26"/>
  <c r="AR287" i="26" s="1"/>
  <c r="AQ329" i="26"/>
  <c r="AR329" i="26" s="1"/>
  <c r="AQ427" i="26"/>
  <c r="AR427" i="26" s="1"/>
  <c r="AQ393" i="26"/>
  <c r="AR393" i="26" s="1"/>
  <c r="AQ632" i="26"/>
  <c r="AR632" i="26" s="1"/>
  <c r="AQ284" i="26"/>
  <c r="AR284" i="26" s="1"/>
  <c r="AQ635" i="26"/>
  <c r="AR635" i="26" s="1"/>
  <c r="AQ373" i="26"/>
  <c r="AR373" i="26" s="1"/>
  <c r="AQ658" i="26"/>
  <c r="AR658" i="26" s="1"/>
  <c r="AQ549" i="26"/>
  <c r="AR549" i="26" s="1"/>
  <c r="AQ694" i="26"/>
  <c r="AR694" i="26" s="1"/>
  <c r="AQ439" i="26"/>
  <c r="AR439" i="26" s="1"/>
  <c r="AQ611" i="26"/>
  <c r="AR611" i="26" s="1"/>
  <c r="AQ548" i="26"/>
  <c r="AR548" i="26" s="1"/>
  <c r="AQ567" i="26"/>
  <c r="AR567" i="26" s="1"/>
  <c r="AQ546" i="26"/>
  <c r="AR546" i="26" s="1"/>
  <c r="AQ612" i="26"/>
  <c r="AR612" i="26" s="1"/>
  <c r="AQ367" i="26"/>
  <c r="AR367" i="26" s="1"/>
  <c r="AQ525" i="26"/>
  <c r="AR525" i="26" s="1"/>
  <c r="AQ663" i="26"/>
  <c r="AR663" i="26" s="1"/>
  <c r="AQ503" i="26"/>
  <c r="AR503" i="26" s="1"/>
  <c r="AQ353" i="26"/>
  <c r="AR353" i="26" s="1"/>
  <c r="AQ621" i="26"/>
  <c r="AR621" i="26" s="1"/>
  <c r="AQ597" i="26"/>
  <c r="AR597" i="26" s="1"/>
  <c r="AQ339" i="26"/>
  <c r="AR339" i="26" s="1"/>
  <c r="AQ435" i="26"/>
  <c r="AR435" i="26" s="1"/>
  <c r="AQ517" i="26"/>
  <c r="AR517" i="26" s="1"/>
  <c r="AQ735" i="26"/>
  <c r="AR735" i="26" s="1"/>
  <c r="AQ527" i="26"/>
  <c r="AR527" i="26" s="1"/>
  <c r="AQ379" i="26"/>
  <c r="AR379" i="26" s="1"/>
  <c r="AQ701" i="26"/>
  <c r="AR701" i="26" s="1"/>
  <c r="AQ571" i="26"/>
  <c r="AR571" i="26" s="1"/>
  <c r="AQ615" i="26"/>
  <c r="AR615" i="26" s="1"/>
  <c r="AQ695" i="26"/>
  <c r="AR695" i="26" s="1"/>
  <c r="AQ309" i="26"/>
  <c r="AR309" i="26" s="1"/>
  <c r="AQ542" i="26"/>
  <c r="AR542" i="26" s="1"/>
  <c r="AQ534" i="26"/>
  <c r="AR534" i="26" s="1"/>
  <c r="AQ581" i="26"/>
  <c r="AR581" i="26" s="1"/>
  <c r="AQ670" i="26"/>
  <c r="AR670" i="26" s="1"/>
  <c r="AQ496" i="26"/>
  <c r="AR496" i="26" s="1"/>
  <c r="AQ544" i="26"/>
  <c r="AR544" i="26" s="1"/>
  <c r="AQ659" i="26"/>
  <c r="AR659" i="26" s="1"/>
  <c r="AQ600" i="26"/>
  <c r="AR600" i="26" s="1"/>
  <c r="AQ643" i="26"/>
  <c r="AR643" i="26" s="1"/>
  <c r="AQ354" i="26"/>
  <c r="AR354" i="26" s="1"/>
  <c r="AQ313" i="26"/>
  <c r="AR313" i="26" s="1"/>
  <c r="AQ434" i="26"/>
  <c r="AR434" i="26" s="1"/>
  <c r="AQ432" i="26"/>
  <c r="AR432" i="26" s="1"/>
  <c r="AQ336" i="26"/>
  <c r="AR336" i="26" s="1"/>
  <c r="AQ631" i="26"/>
  <c r="AR631" i="26" s="1"/>
  <c r="AQ702" i="26"/>
  <c r="AR702" i="26" s="1"/>
  <c r="AQ502" i="26"/>
  <c r="AR502" i="26" s="1"/>
  <c r="AQ720" i="26"/>
  <c r="AR720" i="26" s="1"/>
  <c r="AQ646" i="26"/>
  <c r="AR646" i="26" s="1"/>
  <c r="AQ505" i="26"/>
  <c r="AR505" i="26" s="1"/>
  <c r="AQ348" i="26"/>
  <c r="AR348" i="26" s="1"/>
  <c r="AQ333" i="26"/>
  <c r="AR333" i="26" s="1"/>
  <c r="AQ360" i="26"/>
  <c r="AR360" i="26" s="1"/>
  <c r="AQ456" i="26"/>
  <c r="AR456" i="26" s="1"/>
  <c r="AQ372" i="26"/>
  <c r="AR372" i="26" s="1"/>
  <c r="AQ263" i="26"/>
  <c r="AR263" i="26" s="1"/>
  <c r="AQ449" i="26"/>
  <c r="AR449" i="26" s="1"/>
  <c r="AQ450" i="26"/>
  <c r="AR450" i="26" s="1"/>
  <c r="AQ469" i="26"/>
  <c r="AR469" i="26" s="1"/>
  <c r="AQ530" i="26"/>
  <c r="AR530" i="26" s="1"/>
  <c r="AQ580" i="26"/>
  <c r="AR580" i="26" s="1"/>
  <c r="AQ520" i="26"/>
  <c r="AR520" i="26" s="1"/>
  <c r="AQ446" i="26"/>
  <c r="AR446" i="26" s="1"/>
  <c r="AQ312" i="26"/>
  <c r="AR312" i="26" s="1"/>
  <c r="AQ610" i="26"/>
  <c r="AR610" i="26" s="1"/>
  <c r="AQ634" i="26"/>
  <c r="AR634" i="26" s="1"/>
  <c r="AQ421" i="26"/>
  <c r="AR421" i="26" s="1"/>
  <c r="AQ451" i="26"/>
  <c r="AR451" i="26" s="1"/>
  <c r="AQ605" i="26"/>
  <c r="AR605" i="26" s="1"/>
  <c r="AQ560" i="26"/>
  <c r="AR560" i="26" s="1"/>
  <c r="AQ740" i="26"/>
  <c r="AR740" i="26" s="1"/>
  <c r="AQ568" i="26"/>
  <c r="AR568" i="26" s="1"/>
  <c r="AQ276" i="26"/>
  <c r="AR276" i="26" s="1"/>
  <c r="AQ488" i="26"/>
  <c r="AR488" i="26" s="1"/>
  <c r="AQ691" i="26"/>
  <c r="AR691" i="26" s="1"/>
  <c r="AQ569" i="26"/>
  <c r="AR569" i="26" s="1"/>
  <c r="AQ306" i="26"/>
  <c r="AR306" i="26" s="1"/>
  <c r="AQ277" i="26"/>
  <c r="AR277" i="26" s="1"/>
  <c r="AQ282" i="26"/>
  <c r="AR282" i="26" s="1"/>
  <c r="AQ262" i="26"/>
  <c r="AR262" i="26" s="1"/>
  <c r="AQ712" i="26"/>
  <c r="AR712" i="26" s="1"/>
  <c r="AQ349" i="26"/>
  <c r="AR349" i="26" s="1"/>
  <c r="AQ645" i="26"/>
  <c r="AR645" i="26" s="1"/>
  <c r="AQ713" i="26"/>
  <c r="AR713" i="26" s="1"/>
  <c r="AQ518" i="26"/>
  <c r="AR518" i="26" s="1"/>
  <c r="AQ637" i="26"/>
  <c r="AR637" i="26" s="1"/>
  <c r="AQ344" i="26"/>
  <c r="AR344" i="26" s="1"/>
  <c r="AQ603" i="26"/>
  <c r="AR603" i="26" s="1"/>
  <c r="AQ281" i="26"/>
  <c r="AR281" i="26" s="1"/>
  <c r="AQ402" i="26"/>
  <c r="AR402" i="26" s="1"/>
  <c r="AQ625" i="26"/>
  <c r="AR625" i="26" s="1"/>
  <c r="AQ380" i="26"/>
  <c r="AR380" i="26" s="1"/>
  <c r="AQ731" i="26"/>
  <c r="AR731" i="26" s="1"/>
  <c r="AQ328" i="26"/>
  <c r="AR328" i="26" s="1"/>
  <c r="AQ529" i="26"/>
  <c r="AR529" i="26" s="1"/>
  <c r="AQ703" i="26"/>
  <c r="AR703" i="26" s="1"/>
  <c r="AQ255" i="26"/>
  <c r="AR255" i="26" s="1"/>
  <c r="AQ614" i="26"/>
  <c r="AR614" i="26" s="1"/>
  <c r="AQ536" i="26"/>
  <c r="AR536" i="26" s="1"/>
  <c r="AQ390" i="26"/>
  <c r="AR390" i="26" s="1"/>
  <c r="AQ528" i="26"/>
  <c r="AR528" i="26" s="1"/>
  <c r="AQ556" i="26"/>
  <c r="AR556" i="26" s="1"/>
  <c r="AQ531" i="26"/>
  <c r="AR531" i="26" s="1"/>
  <c r="AQ551" i="26"/>
  <c r="AR551" i="26" s="1"/>
  <c r="AQ296" i="26"/>
  <c r="AR296" i="26" s="1"/>
  <c r="AQ608" i="26"/>
  <c r="AR608" i="26" s="1"/>
  <c r="AQ361" i="26"/>
  <c r="AR361" i="26" s="1"/>
  <c r="AQ466" i="26"/>
  <c r="AR466" i="26" s="1"/>
  <c r="AQ437" i="26"/>
  <c r="AR437" i="26" s="1"/>
  <c r="AQ258" i="26"/>
  <c r="AR258" i="26" s="1"/>
  <c r="AQ642" i="26"/>
  <c r="AR642" i="26" s="1"/>
  <c r="AQ334" i="26"/>
  <c r="AR334" i="26" s="1"/>
  <c r="AQ664" i="26"/>
  <c r="AR664" i="26" s="1"/>
  <c r="AQ429" i="26"/>
  <c r="AR429" i="26" s="1"/>
  <c r="AQ302" i="26"/>
  <c r="AR302" i="26" s="1"/>
  <c r="AQ676" i="26"/>
  <c r="AR676" i="26" s="1"/>
  <c r="AQ674" i="26"/>
  <c r="AR674" i="26" s="1"/>
  <c r="AQ320" i="26"/>
  <c r="AR320" i="26" s="1"/>
  <c r="AQ463" i="26"/>
  <c r="AR463" i="26" s="1"/>
  <c r="AQ252" i="26"/>
  <c r="AR252" i="26" s="1"/>
  <c r="AQ314" i="26"/>
  <c r="AR314" i="26" s="1"/>
  <c r="AQ403" i="26"/>
  <c r="AR403" i="26" s="1"/>
  <c r="AQ331" i="26"/>
  <c r="AR331" i="26" s="1"/>
  <c r="AQ579" i="26"/>
  <c r="AR579" i="26" s="1"/>
  <c r="AQ741" i="26"/>
  <c r="AR741" i="26" s="1"/>
  <c r="AQ562" i="26"/>
  <c r="AR562" i="26" s="1"/>
  <c r="BQ73" i="26"/>
  <c r="BS73" i="26"/>
  <c r="BS137" i="26"/>
  <c r="BQ137" i="26"/>
  <c r="BS193" i="26"/>
  <c r="BQ193" i="26"/>
  <c r="BS249" i="26"/>
  <c r="BQ249" i="26"/>
  <c r="BS297" i="26"/>
  <c r="BQ297" i="26"/>
  <c r="BQ361" i="26"/>
  <c r="BS361" i="26"/>
  <c r="BS425" i="26"/>
  <c r="BQ425" i="26"/>
  <c r="BQ465" i="26"/>
  <c r="BS465" i="26"/>
  <c r="BS617" i="26"/>
  <c r="BQ617" i="26"/>
  <c r="BQ737" i="26"/>
  <c r="BS737" i="26"/>
  <c r="O159" i="26"/>
  <c r="V159" i="26" s="1"/>
  <c r="AC159" i="26" s="1"/>
  <c r="O233" i="26"/>
  <c r="V233" i="26" s="1"/>
  <c r="AC233" i="26" s="1"/>
  <c r="O239" i="26"/>
  <c r="V239" i="26" s="1"/>
  <c r="AC239" i="26" s="1"/>
  <c r="O147" i="26"/>
  <c r="V147" i="26" s="1"/>
  <c r="AC147" i="26" s="1"/>
  <c r="O143" i="26"/>
  <c r="V143" i="26" s="1"/>
  <c r="AC143" i="26" s="1"/>
  <c r="O219" i="26"/>
  <c r="V219" i="26" s="1"/>
  <c r="AC219" i="26" s="1"/>
  <c r="O222" i="26"/>
  <c r="V222" i="26" s="1"/>
  <c r="AC222" i="26" s="1"/>
  <c r="O165" i="26"/>
  <c r="V165" i="26" s="1"/>
  <c r="AC165" i="26" s="1"/>
  <c r="O195" i="26"/>
  <c r="V195" i="26" s="1"/>
  <c r="AC195" i="26" s="1"/>
  <c r="O150" i="26"/>
  <c r="V150" i="26" s="1"/>
  <c r="AC150" i="26" s="1"/>
  <c r="O230" i="26"/>
  <c r="V230" i="26" s="1"/>
  <c r="AC230" i="26" s="1"/>
  <c r="O225" i="26"/>
  <c r="V225" i="26" s="1"/>
  <c r="AC225" i="26" s="1"/>
  <c r="O139" i="26"/>
  <c r="V139" i="26" s="1"/>
  <c r="AC139" i="26" s="1"/>
  <c r="O175" i="26"/>
  <c r="V175" i="26" s="1"/>
  <c r="AC175" i="26" s="1"/>
  <c r="O198" i="26"/>
  <c r="V198" i="26" s="1"/>
  <c r="AC198" i="26" s="1"/>
  <c r="O154" i="26"/>
  <c r="V154" i="26" s="1"/>
  <c r="AC154" i="26" s="1"/>
  <c r="O240" i="26"/>
  <c r="V240" i="26" s="1"/>
  <c r="AC240" i="26" s="1"/>
  <c r="O244" i="26"/>
  <c r="V244" i="26" s="1"/>
  <c r="AC244" i="26" s="1"/>
  <c r="O214" i="26"/>
  <c r="V214" i="26" s="1"/>
  <c r="AC214" i="26" s="1"/>
  <c r="O220" i="26"/>
  <c r="V220" i="26" s="1"/>
  <c r="AC220" i="26" s="1"/>
  <c r="O216" i="26"/>
  <c r="V216" i="26" s="1"/>
  <c r="AC216" i="26" s="1"/>
  <c r="O224" i="26"/>
  <c r="V224" i="26" s="1"/>
  <c r="AC224" i="26" s="1"/>
  <c r="O210" i="26"/>
  <c r="V210" i="26" s="1"/>
  <c r="AC210" i="26" s="1"/>
  <c r="O158" i="26"/>
  <c r="V158" i="26" s="1"/>
  <c r="AC158" i="26" s="1"/>
  <c r="O235" i="26"/>
  <c r="V235" i="26" s="1"/>
  <c r="AC235" i="26" s="1"/>
  <c r="O201" i="26"/>
  <c r="V201" i="26" s="1"/>
  <c r="AC201" i="26" s="1"/>
  <c r="O245" i="26"/>
  <c r="V245" i="26" s="1"/>
  <c r="AC245" i="26" s="1"/>
  <c r="O160" i="26"/>
  <c r="V160" i="26" s="1"/>
  <c r="AC160" i="26" s="1"/>
  <c r="O182" i="26"/>
  <c r="V182" i="26" s="1"/>
  <c r="AC182" i="26" s="1"/>
  <c r="O247" i="26"/>
  <c r="V247" i="26" s="1"/>
  <c r="AC247" i="26" s="1"/>
  <c r="O157" i="26"/>
  <c r="V157" i="26" s="1"/>
  <c r="AC157" i="26" s="1"/>
  <c r="O232" i="26"/>
  <c r="V232" i="26" s="1"/>
  <c r="AC232" i="26" s="1"/>
  <c r="O236" i="26"/>
  <c r="V236" i="26" s="1"/>
  <c r="AC236" i="26" s="1"/>
  <c r="O199" i="26"/>
  <c r="V199" i="26" s="1"/>
  <c r="AC199" i="26" s="1"/>
  <c r="O189" i="26"/>
  <c r="V189" i="26" s="1"/>
  <c r="AC189" i="26" s="1"/>
  <c r="O187" i="26"/>
  <c r="V187" i="26" s="1"/>
  <c r="AC187" i="26" s="1"/>
  <c r="O167" i="26"/>
  <c r="V167" i="26" s="1"/>
  <c r="AC167" i="26" s="1"/>
  <c r="O234" i="26"/>
  <c r="V234" i="26" s="1"/>
  <c r="AC234" i="26" s="1"/>
  <c r="O194" i="26"/>
  <c r="V194" i="26" s="1"/>
  <c r="AC194" i="26" s="1"/>
  <c r="O191" i="26"/>
  <c r="V191" i="26" s="1"/>
  <c r="AC191" i="26" s="1"/>
  <c r="O169" i="26"/>
  <c r="V169" i="26" s="1"/>
  <c r="AC169" i="26" s="1"/>
  <c r="O166" i="26"/>
  <c r="V166" i="26" s="1"/>
  <c r="AC166" i="26" s="1"/>
  <c r="O152" i="26"/>
  <c r="V152" i="26" s="1"/>
  <c r="AC152" i="26" s="1"/>
  <c r="O190" i="26"/>
  <c r="V190" i="26" s="1"/>
  <c r="AC190" i="26" s="1"/>
  <c r="O164" i="26"/>
  <c r="V164" i="26" s="1"/>
  <c r="AC164" i="26" s="1"/>
  <c r="O138" i="26"/>
  <c r="V138" i="26" s="1"/>
  <c r="AC138" i="26" s="1"/>
  <c r="O209" i="26"/>
  <c r="V209" i="26" s="1"/>
  <c r="AC209" i="26" s="1"/>
  <c r="O243" i="26"/>
  <c r="V243" i="26" s="1"/>
  <c r="AC243" i="26" s="1"/>
  <c r="O174" i="26"/>
  <c r="V174" i="26" s="1"/>
  <c r="AC174" i="26" s="1"/>
  <c r="O184" i="26"/>
  <c r="V184" i="26" s="1"/>
  <c r="AC184" i="26" s="1"/>
  <c r="O212" i="26"/>
  <c r="V212" i="26" s="1"/>
  <c r="AC212" i="26" s="1"/>
  <c r="O241" i="26"/>
  <c r="V241" i="26" s="1"/>
  <c r="AC241" i="26" s="1"/>
  <c r="O144" i="26"/>
  <c r="V144" i="26" s="1"/>
  <c r="AC144" i="26" s="1"/>
  <c r="O172" i="26"/>
  <c r="V172" i="26" s="1"/>
  <c r="AC172" i="26" s="1"/>
  <c r="O202" i="26"/>
  <c r="V202" i="26" s="1"/>
  <c r="AC202" i="26" s="1"/>
  <c r="O207" i="26"/>
  <c r="V207" i="26" s="1"/>
  <c r="AC207" i="26" s="1"/>
  <c r="O180" i="26"/>
  <c r="V180" i="26" s="1"/>
  <c r="AC180" i="26" s="1"/>
  <c r="O181" i="26"/>
  <c r="V181" i="26" s="1"/>
  <c r="AC181" i="26" s="1"/>
  <c r="O197" i="26"/>
  <c r="V197" i="26" s="1"/>
  <c r="AC197" i="26" s="1"/>
  <c r="O149" i="26"/>
  <c r="V149" i="26" s="1"/>
  <c r="AC149" i="26" s="1"/>
  <c r="O179" i="26"/>
  <c r="V179" i="26" s="1"/>
  <c r="AC179" i="26" s="1"/>
  <c r="O217" i="26"/>
  <c r="V217" i="26" s="1"/>
  <c r="AC217" i="26" s="1"/>
  <c r="O211" i="26"/>
  <c r="V211" i="26" s="1"/>
  <c r="AC211" i="26" s="1"/>
  <c r="O242" i="26"/>
  <c r="V242" i="26" s="1"/>
  <c r="AC242" i="26" s="1"/>
  <c r="O203" i="26"/>
  <c r="V203" i="26" s="1"/>
  <c r="AC203" i="26" s="1"/>
  <c r="O140" i="26"/>
  <c r="V140" i="26" s="1"/>
  <c r="AC140" i="26" s="1"/>
  <c r="O156" i="26"/>
  <c r="V156" i="26" s="1"/>
  <c r="AC156" i="26" s="1"/>
  <c r="O206" i="26"/>
  <c r="V206" i="26" s="1"/>
  <c r="AC206" i="26" s="1"/>
  <c r="O142" i="26"/>
  <c r="V142" i="26" s="1"/>
  <c r="AC142" i="26" s="1"/>
  <c r="O171" i="26"/>
  <c r="V171" i="26" s="1"/>
  <c r="AC171" i="26" s="1"/>
  <c r="O155" i="26"/>
  <c r="V155" i="26" s="1"/>
  <c r="AC155" i="26" s="1"/>
  <c r="O148" i="26"/>
  <c r="V148" i="26" s="1"/>
  <c r="AC148" i="26" s="1"/>
  <c r="O136" i="26"/>
  <c r="V136" i="26" s="1"/>
  <c r="AC136" i="26" s="1"/>
  <c r="O223" i="26"/>
  <c r="V223" i="26" s="1"/>
  <c r="AC223" i="26" s="1"/>
  <c r="O208" i="26"/>
  <c r="V208" i="26" s="1"/>
  <c r="AC208" i="26" s="1"/>
  <c r="O173" i="26"/>
  <c r="V173" i="26" s="1"/>
  <c r="AC173" i="26" s="1"/>
  <c r="O238" i="26"/>
  <c r="V238" i="26" s="1"/>
  <c r="AC238" i="26" s="1"/>
  <c r="O221" i="26"/>
  <c r="V221" i="26" s="1"/>
  <c r="AC221" i="26" s="1"/>
  <c r="O193" i="26"/>
  <c r="V193" i="26" s="1"/>
  <c r="AC193" i="26" s="1"/>
  <c r="O161" i="26"/>
  <c r="V161" i="26" s="1"/>
  <c r="AC161" i="26" s="1"/>
  <c r="O229" i="26"/>
  <c r="V229" i="26" s="1"/>
  <c r="AC229" i="26" s="1"/>
  <c r="O141" i="26"/>
  <c r="V141" i="26" s="1"/>
  <c r="AC141" i="26" s="1"/>
  <c r="O192" i="26"/>
  <c r="V192" i="26" s="1"/>
  <c r="AC192" i="26" s="1"/>
  <c r="O186" i="26"/>
  <c r="V186" i="26" s="1"/>
  <c r="AC186" i="26" s="1"/>
  <c r="O200" i="26"/>
  <c r="V200" i="26" s="1"/>
  <c r="AC200" i="26" s="1"/>
  <c r="O185" i="26"/>
  <c r="V185" i="26" s="1"/>
  <c r="AC185" i="26" s="1"/>
  <c r="O205" i="26"/>
  <c r="V205" i="26" s="1"/>
  <c r="AC205" i="26" s="1"/>
  <c r="O176" i="26"/>
  <c r="V176" i="26" s="1"/>
  <c r="AC176" i="26" s="1"/>
  <c r="O213" i="26"/>
  <c r="V213" i="26" s="1"/>
  <c r="AC213" i="26" s="1"/>
  <c r="O228" i="26"/>
  <c r="V228" i="26" s="1"/>
  <c r="AC228" i="26" s="1"/>
  <c r="O227" i="26"/>
  <c r="V227" i="26" s="1"/>
  <c r="AC227" i="26" s="1"/>
  <c r="O177" i="26"/>
  <c r="V177" i="26" s="1"/>
  <c r="AC177" i="26" s="1"/>
  <c r="O196" i="26"/>
  <c r="V196" i="26" s="1"/>
  <c r="AC196" i="26" s="1"/>
  <c r="O162" i="26"/>
  <c r="V162" i="26" s="1"/>
  <c r="AC162" i="26" s="1"/>
  <c r="O153" i="26"/>
  <c r="V153" i="26" s="1"/>
  <c r="AC153" i="26" s="1"/>
  <c r="O170" i="26"/>
  <c r="V170" i="26" s="1"/>
  <c r="AC170" i="26" s="1"/>
  <c r="O237" i="26"/>
  <c r="V237" i="26" s="1"/>
  <c r="AC237" i="26" s="1"/>
  <c r="O215" i="26"/>
  <c r="V215" i="26" s="1"/>
  <c r="AC215" i="26" s="1"/>
  <c r="O151" i="26"/>
  <c r="V151" i="26" s="1"/>
  <c r="AC151" i="26" s="1"/>
  <c r="O231" i="26"/>
  <c r="V231" i="26" s="1"/>
  <c r="AC231" i="26" s="1"/>
  <c r="O226" i="26"/>
  <c r="V226" i="26" s="1"/>
  <c r="AC226" i="26" s="1"/>
  <c r="O163" i="26"/>
  <c r="V163" i="26" s="1"/>
  <c r="AC163" i="26" s="1"/>
  <c r="O246" i="26"/>
  <c r="V246" i="26" s="1"/>
  <c r="AC246" i="26" s="1"/>
  <c r="O146" i="26"/>
  <c r="V146" i="26" s="1"/>
  <c r="AC146" i="26" s="1"/>
  <c r="O137" i="26"/>
  <c r="V137" i="26" s="1"/>
  <c r="AC137" i="26" s="1"/>
  <c r="O145" i="26"/>
  <c r="V145" i="26" s="1"/>
  <c r="AC145" i="26" s="1"/>
  <c r="O204" i="26"/>
  <c r="V204" i="26" s="1"/>
  <c r="AC204" i="26" s="1"/>
  <c r="O168" i="26"/>
  <c r="V168" i="26" s="1"/>
  <c r="AC168" i="26" s="1"/>
  <c r="O188" i="26"/>
  <c r="V188" i="26" s="1"/>
  <c r="AC188" i="26" s="1"/>
  <c r="O218" i="26"/>
  <c r="V218" i="26" s="1"/>
  <c r="AC218" i="26" s="1"/>
  <c r="O178" i="26"/>
  <c r="V178" i="26" s="1"/>
  <c r="AC178" i="26" s="1"/>
  <c r="O183" i="26"/>
  <c r="V183" i="26" s="1"/>
  <c r="AC183" i="26" s="1"/>
  <c r="BS42" i="26"/>
  <c r="BQ42" i="26"/>
  <c r="BS106" i="26"/>
  <c r="BQ106" i="26"/>
  <c r="BS154" i="26"/>
  <c r="BQ154" i="26"/>
  <c r="BQ258" i="26"/>
  <c r="BS258" i="26"/>
  <c r="BQ322" i="26"/>
  <c r="BS322" i="26"/>
  <c r="BQ378" i="26"/>
  <c r="BS378" i="26"/>
  <c r="BQ442" i="26"/>
  <c r="BS442" i="26"/>
  <c r="BS498" i="26"/>
  <c r="BQ498" i="26"/>
  <c r="BQ570" i="26"/>
  <c r="BS570" i="26"/>
  <c r="BS698" i="26"/>
  <c r="BQ698" i="26"/>
  <c r="BQ770" i="26"/>
  <c r="BS770" i="26"/>
  <c r="Q206" i="26"/>
  <c r="X206" i="26" s="1"/>
  <c r="AE206" i="26" s="1"/>
  <c r="Q183" i="26"/>
  <c r="X183" i="26" s="1"/>
  <c r="AE183" i="26" s="1"/>
  <c r="Q147" i="26"/>
  <c r="X147" i="26" s="1"/>
  <c r="AE147" i="26" s="1"/>
  <c r="Q208" i="26"/>
  <c r="X208" i="26" s="1"/>
  <c r="AE208" i="26" s="1"/>
  <c r="Q169" i="26"/>
  <c r="X169" i="26" s="1"/>
  <c r="AE169" i="26" s="1"/>
  <c r="Q194" i="26"/>
  <c r="X194" i="26" s="1"/>
  <c r="AE194" i="26" s="1"/>
  <c r="Q173" i="26"/>
  <c r="X173" i="26" s="1"/>
  <c r="AE173" i="26" s="1"/>
  <c r="Q143" i="26"/>
  <c r="X143" i="26" s="1"/>
  <c r="AE143" i="26" s="1"/>
  <c r="Q180" i="26"/>
  <c r="X180" i="26" s="1"/>
  <c r="AE180" i="26" s="1"/>
  <c r="Q152" i="26"/>
  <c r="X152" i="26" s="1"/>
  <c r="AE152" i="26" s="1"/>
  <c r="Q168" i="26"/>
  <c r="X168" i="26" s="1"/>
  <c r="AE168" i="26" s="1"/>
  <c r="Q193" i="26"/>
  <c r="X193" i="26" s="1"/>
  <c r="AE193" i="26" s="1"/>
  <c r="Q234" i="26"/>
  <c r="X234" i="26" s="1"/>
  <c r="AE234" i="26" s="1"/>
  <c r="Q174" i="26"/>
  <c r="X174" i="26" s="1"/>
  <c r="AE174" i="26" s="1"/>
  <c r="Q224" i="26"/>
  <c r="X224" i="26" s="1"/>
  <c r="AE224" i="26" s="1"/>
  <c r="Q235" i="26"/>
  <c r="X235" i="26" s="1"/>
  <c r="AE235" i="26" s="1"/>
  <c r="Q214" i="26"/>
  <c r="X214" i="26" s="1"/>
  <c r="AE214" i="26" s="1"/>
  <c r="Q167" i="26"/>
  <c r="X167" i="26" s="1"/>
  <c r="AE167" i="26" s="1"/>
  <c r="Q230" i="26"/>
  <c r="X230" i="26" s="1"/>
  <c r="AE230" i="26" s="1"/>
  <c r="Q202" i="26"/>
  <c r="X202" i="26" s="1"/>
  <c r="AE202" i="26" s="1"/>
  <c r="Q154" i="26"/>
  <c r="X154" i="26" s="1"/>
  <c r="AE154" i="26" s="1"/>
  <c r="Q181" i="26"/>
  <c r="X181" i="26" s="1"/>
  <c r="AE181" i="26" s="1"/>
  <c r="Q136" i="26"/>
  <c r="X136" i="26" s="1"/>
  <c r="AE136" i="26" s="1"/>
  <c r="Q204" i="26"/>
  <c r="X204" i="26" s="1"/>
  <c r="AE204" i="26" s="1"/>
  <c r="Q220" i="26"/>
  <c r="X220" i="26" s="1"/>
  <c r="AE220" i="26" s="1"/>
  <c r="Q221" i="26"/>
  <c r="X221" i="26" s="1"/>
  <c r="AE221" i="26" s="1"/>
  <c r="Q179" i="26"/>
  <c r="X179" i="26" s="1"/>
  <c r="AE179" i="26" s="1"/>
  <c r="Q245" i="26"/>
  <c r="X245" i="26" s="1"/>
  <c r="AE245" i="26" s="1"/>
  <c r="Q192" i="26"/>
  <c r="X192" i="26" s="1"/>
  <c r="AE192" i="26" s="1"/>
  <c r="Q170" i="26"/>
  <c r="X170" i="26" s="1"/>
  <c r="AE170" i="26" s="1"/>
  <c r="Q213" i="26"/>
  <c r="X213" i="26" s="1"/>
  <c r="AE213" i="26" s="1"/>
  <c r="Q232" i="26"/>
  <c r="X232" i="26" s="1"/>
  <c r="AE232" i="26" s="1"/>
  <c r="Q240" i="26"/>
  <c r="X240" i="26" s="1"/>
  <c r="AE240" i="26" s="1"/>
  <c r="Q237" i="26"/>
  <c r="X237" i="26" s="1"/>
  <c r="AE237" i="26" s="1"/>
  <c r="Q191" i="26"/>
  <c r="X191" i="26" s="1"/>
  <c r="AE191" i="26" s="1"/>
  <c r="Q225" i="26"/>
  <c r="X225" i="26" s="1"/>
  <c r="AE225" i="26" s="1"/>
  <c r="Q155" i="26"/>
  <c r="X155" i="26" s="1"/>
  <c r="AE155" i="26" s="1"/>
  <c r="Q241" i="26"/>
  <c r="X241" i="26" s="1"/>
  <c r="AE241" i="26" s="1"/>
  <c r="Q197" i="26"/>
  <c r="X197" i="26" s="1"/>
  <c r="AE197" i="26" s="1"/>
  <c r="Q222" i="26"/>
  <c r="X222" i="26" s="1"/>
  <c r="AE222" i="26" s="1"/>
  <c r="Q176" i="26"/>
  <c r="X176" i="26" s="1"/>
  <c r="AE176" i="26" s="1"/>
  <c r="Q242" i="26"/>
  <c r="X242" i="26" s="1"/>
  <c r="AE242" i="26" s="1"/>
  <c r="Q178" i="26"/>
  <c r="X178" i="26" s="1"/>
  <c r="AE178" i="26" s="1"/>
  <c r="Q236" i="26"/>
  <c r="X236" i="26" s="1"/>
  <c r="AE236" i="26" s="1"/>
  <c r="Q244" i="26"/>
  <c r="X244" i="26" s="1"/>
  <c r="AE244" i="26" s="1"/>
  <c r="Q177" i="26"/>
  <c r="X177" i="26" s="1"/>
  <c r="AE177" i="26" s="1"/>
  <c r="Q146" i="26"/>
  <c r="X146" i="26" s="1"/>
  <c r="AE146" i="26" s="1"/>
  <c r="Q149" i="26"/>
  <c r="X149" i="26" s="1"/>
  <c r="AE149" i="26" s="1"/>
  <c r="Q190" i="26"/>
  <c r="X190" i="26" s="1"/>
  <c r="AE190" i="26" s="1"/>
  <c r="Q175" i="26"/>
  <c r="X175" i="26" s="1"/>
  <c r="AE175" i="26" s="1"/>
  <c r="Q138" i="26"/>
  <c r="X138" i="26" s="1"/>
  <c r="AE138" i="26" s="1"/>
  <c r="Q165" i="26"/>
  <c r="X165" i="26" s="1"/>
  <c r="AE165" i="26" s="1"/>
  <c r="Q188" i="26"/>
  <c r="X188" i="26" s="1"/>
  <c r="AE188" i="26" s="1"/>
  <c r="Q148" i="26"/>
  <c r="X148" i="26" s="1"/>
  <c r="AE148" i="26" s="1"/>
  <c r="Q239" i="26"/>
  <c r="X239" i="26" s="1"/>
  <c r="AE239" i="26" s="1"/>
  <c r="Q247" i="26"/>
  <c r="X247" i="26" s="1"/>
  <c r="AE247" i="26" s="1"/>
  <c r="Q231" i="26"/>
  <c r="X231" i="26" s="1"/>
  <c r="AE231" i="26" s="1"/>
  <c r="Q158" i="26"/>
  <c r="X158" i="26" s="1"/>
  <c r="AE158" i="26" s="1"/>
  <c r="Q233" i="26"/>
  <c r="X233" i="26" s="1"/>
  <c r="AE233" i="26" s="1"/>
  <c r="Q164" i="26"/>
  <c r="X164" i="26" s="1"/>
  <c r="AE164" i="26" s="1"/>
  <c r="Q217" i="26"/>
  <c r="X217" i="26" s="1"/>
  <c r="AE217" i="26" s="1"/>
  <c r="Q243" i="26"/>
  <c r="X243" i="26" s="1"/>
  <c r="AE243" i="26" s="1"/>
  <c r="Q141" i="26"/>
  <c r="X141" i="26" s="1"/>
  <c r="AE141" i="26" s="1"/>
  <c r="Q163" i="26"/>
  <c r="X163" i="26" s="1"/>
  <c r="AE163" i="26" s="1"/>
  <c r="Q171" i="26"/>
  <c r="X171" i="26" s="1"/>
  <c r="AE171" i="26" s="1"/>
  <c r="Q216" i="26"/>
  <c r="X216" i="26" s="1"/>
  <c r="AE216" i="26" s="1"/>
  <c r="Q200" i="26"/>
  <c r="X200" i="26" s="1"/>
  <c r="AE200" i="26" s="1"/>
  <c r="Q199" i="26"/>
  <c r="X199" i="26" s="1"/>
  <c r="AE199" i="26" s="1"/>
  <c r="Q144" i="26"/>
  <c r="X144" i="26" s="1"/>
  <c r="AE144" i="26" s="1"/>
  <c r="Q201" i="26"/>
  <c r="X201" i="26" s="1"/>
  <c r="AE201" i="26" s="1"/>
  <c r="Q219" i="26"/>
  <c r="X219" i="26" s="1"/>
  <c r="AE219" i="26" s="1"/>
  <c r="Q210" i="26"/>
  <c r="X210" i="26" s="1"/>
  <c r="AE210" i="26" s="1"/>
  <c r="Q207" i="26"/>
  <c r="X207" i="26" s="1"/>
  <c r="AE207" i="26" s="1"/>
  <c r="Q211" i="26"/>
  <c r="X211" i="26" s="1"/>
  <c r="AE211" i="26" s="1"/>
  <c r="Q215" i="26"/>
  <c r="X215" i="26" s="1"/>
  <c r="AE215" i="26" s="1"/>
  <c r="Q198" i="26"/>
  <c r="X198" i="26" s="1"/>
  <c r="AE198" i="26" s="1"/>
  <c r="Q162" i="26"/>
  <c r="X162" i="26" s="1"/>
  <c r="AE162" i="26" s="1"/>
  <c r="Q205" i="26"/>
  <c r="X205" i="26" s="1"/>
  <c r="AE205" i="26" s="1"/>
  <c r="Q238" i="26"/>
  <c r="X238" i="26" s="1"/>
  <c r="AE238" i="26" s="1"/>
  <c r="Q196" i="26"/>
  <c r="X196" i="26" s="1"/>
  <c r="AE196" i="26" s="1"/>
  <c r="Q153" i="26"/>
  <c r="X153" i="26" s="1"/>
  <c r="AE153" i="26" s="1"/>
  <c r="Q195" i="26"/>
  <c r="X195" i="26" s="1"/>
  <c r="AE195" i="26" s="1"/>
  <c r="Q156" i="26"/>
  <c r="X156" i="26" s="1"/>
  <c r="AE156" i="26" s="1"/>
  <c r="Q189" i="26"/>
  <c r="X189" i="26" s="1"/>
  <c r="AE189" i="26" s="1"/>
  <c r="Q229" i="26"/>
  <c r="X229" i="26" s="1"/>
  <c r="AE229" i="26" s="1"/>
  <c r="Q203" i="26"/>
  <c r="X203" i="26" s="1"/>
  <c r="AE203" i="26" s="1"/>
  <c r="Q139" i="26"/>
  <c r="X139" i="26" s="1"/>
  <c r="AE139" i="26" s="1"/>
  <c r="Q184" i="26"/>
  <c r="X184" i="26" s="1"/>
  <c r="AE184" i="26" s="1"/>
  <c r="Q212" i="26"/>
  <c r="X212" i="26" s="1"/>
  <c r="AE212" i="26" s="1"/>
  <c r="Q160" i="26"/>
  <c r="X160" i="26" s="1"/>
  <c r="AE160" i="26" s="1"/>
  <c r="Q172" i="26"/>
  <c r="X172" i="26" s="1"/>
  <c r="AE172" i="26" s="1"/>
  <c r="Q166" i="26"/>
  <c r="X166" i="26" s="1"/>
  <c r="AE166" i="26" s="1"/>
  <c r="Q151" i="26"/>
  <c r="X151" i="26" s="1"/>
  <c r="AE151" i="26" s="1"/>
  <c r="Q246" i="26"/>
  <c r="X246" i="26" s="1"/>
  <c r="AE246" i="26" s="1"/>
  <c r="Q228" i="26"/>
  <c r="X228" i="26" s="1"/>
  <c r="AE228" i="26" s="1"/>
  <c r="Q185" i="26"/>
  <c r="X185" i="26" s="1"/>
  <c r="AE185" i="26" s="1"/>
  <c r="Q227" i="26"/>
  <c r="X227" i="26" s="1"/>
  <c r="AE227" i="26" s="1"/>
  <c r="Q186" i="26"/>
  <c r="X186" i="26" s="1"/>
  <c r="AE186" i="26" s="1"/>
  <c r="Q182" i="26"/>
  <c r="X182" i="26" s="1"/>
  <c r="AE182" i="26" s="1"/>
  <c r="Q218" i="26"/>
  <c r="X218" i="26" s="1"/>
  <c r="AE218" i="26" s="1"/>
  <c r="Q223" i="26"/>
  <c r="X223" i="26" s="1"/>
  <c r="AE223" i="26" s="1"/>
  <c r="Q187" i="26"/>
  <c r="X187" i="26" s="1"/>
  <c r="AE187" i="26" s="1"/>
  <c r="Q209" i="26"/>
  <c r="X209" i="26" s="1"/>
  <c r="AE209" i="26" s="1"/>
  <c r="Q157" i="26"/>
  <c r="X157" i="26" s="1"/>
  <c r="AE157" i="26" s="1"/>
  <c r="Q140" i="26"/>
  <c r="X140" i="26" s="1"/>
  <c r="AE140" i="26" s="1"/>
  <c r="Q161" i="26"/>
  <c r="X161" i="26" s="1"/>
  <c r="AE161" i="26" s="1"/>
  <c r="Q159" i="26"/>
  <c r="X159" i="26" s="1"/>
  <c r="AE159" i="26" s="1"/>
  <c r="Q226" i="26"/>
  <c r="X226" i="26" s="1"/>
  <c r="AE226" i="26" s="1"/>
  <c r="Q150" i="26"/>
  <c r="X150" i="26" s="1"/>
  <c r="AE150" i="26" s="1"/>
  <c r="Q145" i="26"/>
  <c r="X145" i="26" s="1"/>
  <c r="AE145" i="26" s="1"/>
  <c r="Q142" i="26"/>
  <c r="X142" i="26" s="1"/>
  <c r="AE142" i="26" s="1"/>
  <c r="Q137" i="26"/>
  <c r="X137" i="26" s="1"/>
  <c r="AE137" i="26" s="1"/>
  <c r="BS35" i="26"/>
  <c r="BQ35" i="26"/>
  <c r="BS91" i="26"/>
  <c r="BQ91" i="26"/>
  <c r="BS155" i="26"/>
  <c r="BQ155" i="26"/>
  <c r="BS211" i="26"/>
  <c r="BQ211" i="26"/>
  <c r="BQ275" i="26"/>
  <c r="BS275" i="26"/>
  <c r="BQ331" i="26"/>
  <c r="BS331" i="26"/>
  <c r="BS395" i="26"/>
  <c r="BQ395" i="26"/>
  <c r="BS443" i="26"/>
  <c r="BQ443" i="26"/>
  <c r="BS483" i="26"/>
  <c r="BQ483" i="26"/>
  <c r="BQ579" i="26"/>
  <c r="BS579" i="26"/>
  <c r="BS635" i="26"/>
  <c r="BQ635" i="26"/>
  <c r="BS699" i="26"/>
  <c r="BQ699" i="26"/>
  <c r="BQ771" i="26"/>
  <c r="BS771" i="26"/>
  <c r="S753" i="26"/>
  <c r="Z753" i="26" s="1"/>
  <c r="AG753" i="26" s="1"/>
  <c r="S763" i="26"/>
  <c r="Z763" i="26" s="1"/>
  <c r="AG763" i="26" s="1"/>
  <c r="S783" i="26"/>
  <c r="Z783" i="26" s="1"/>
  <c r="AG783" i="26" s="1"/>
  <c r="S785" i="26"/>
  <c r="Z785" i="26" s="1"/>
  <c r="AG785" i="26" s="1"/>
  <c r="S749" i="26"/>
  <c r="Z749" i="26" s="1"/>
  <c r="AG749" i="26" s="1"/>
  <c r="S762" i="26"/>
  <c r="Z762" i="26" s="1"/>
  <c r="AG762" i="26" s="1"/>
  <c r="S776" i="26"/>
  <c r="Z776" i="26" s="1"/>
  <c r="AG776" i="26" s="1"/>
  <c r="S748" i="26"/>
  <c r="Z748" i="26" s="1"/>
  <c r="AG748" i="26" s="1"/>
  <c r="S779" i="26"/>
  <c r="Z779" i="26" s="1"/>
  <c r="AG779" i="26" s="1"/>
  <c r="S775" i="26"/>
  <c r="Z775" i="26" s="1"/>
  <c r="AG775" i="26" s="1"/>
  <c r="S746" i="26"/>
  <c r="Z746" i="26" s="1"/>
  <c r="AG746" i="26" s="1"/>
  <c r="S791" i="26"/>
  <c r="Z791" i="26" s="1"/>
  <c r="AG791" i="26" s="1"/>
  <c r="S792" i="26"/>
  <c r="Z792" i="26" s="1"/>
  <c r="AG792" i="26" s="1"/>
  <c r="S772" i="26"/>
  <c r="Z772" i="26" s="1"/>
  <c r="AG772" i="26" s="1"/>
  <c r="S759" i="26"/>
  <c r="Z759" i="26" s="1"/>
  <c r="AG759" i="26" s="1"/>
  <c r="S782" i="26"/>
  <c r="Z782" i="26" s="1"/>
  <c r="AG782" i="26" s="1"/>
  <c r="S747" i="26"/>
  <c r="Z747" i="26" s="1"/>
  <c r="AG747" i="26" s="1"/>
  <c r="S761" i="26"/>
  <c r="Z761" i="26" s="1"/>
  <c r="AG761" i="26" s="1"/>
  <c r="S764" i="26"/>
  <c r="Z764" i="26" s="1"/>
  <c r="AG764" i="26" s="1"/>
  <c r="S774" i="26"/>
  <c r="Z774" i="26" s="1"/>
  <c r="AG774" i="26" s="1"/>
  <c r="S778" i="26"/>
  <c r="Z778" i="26" s="1"/>
  <c r="AG778" i="26" s="1"/>
  <c r="S773" i="26"/>
  <c r="Z773" i="26" s="1"/>
  <c r="AG773" i="26" s="1"/>
  <c r="S751" i="26"/>
  <c r="Z751" i="26" s="1"/>
  <c r="AG751" i="26" s="1"/>
  <c r="S766" i="26"/>
  <c r="Z766" i="26" s="1"/>
  <c r="AG766" i="26" s="1"/>
  <c r="S752" i="26"/>
  <c r="Z752" i="26" s="1"/>
  <c r="AG752" i="26" s="1"/>
  <c r="S793" i="26"/>
  <c r="Z793" i="26" s="1"/>
  <c r="AG793" i="26" s="1"/>
  <c r="S789" i="26"/>
  <c r="Z789" i="26" s="1"/>
  <c r="AG789" i="26" s="1"/>
  <c r="S760" i="26"/>
  <c r="Z760" i="26" s="1"/>
  <c r="AG760" i="26" s="1"/>
  <c r="S794" i="26"/>
  <c r="Z794" i="26" s="1"/>
  <c r="AG794" i="26" s="1"/>
  <c r="S784" i="26"/>
  <c r="Z784" i="26" s="1"/>
  <c r="AG784" i="26" s="1"/>
  <c r="S781" i="26"/>
  <c r="Z781" i="26" s="1"/>
  <c r="AG781" i="26" s="1"/>
  <c r="S755" i="26"/>
  <c r="Z755" i="26" s="1"/>
  <c r="AG755" i="26" s="1"/>
  <c r="S780" i="26"/>
  <c r="Z780" i="26" s="1"/>
  <c r="AG780" i="26" s="1"/>
  <c r="S765" i="26"/>
  <c r="Z765" i="26" s="1"/>
  <c r="AG765" i="26" s="1"/>
  <c r="S767" i="26"/>
  <c r="Z767" i="26" s="1"/>
  <c r="AG767" i="26" s="1"/>
  <c r="S770" i="26"/>
  <c r="Z770" i="26" s="1"/>
  <c r="AG770" i="26" s="1"/>
  <c r="S769" i="26"/>
  <c r="Z769" i="26" s="1"/>
  <c r="AG769" i="26" s="1"/>
  <c r="S768" i="26"/>
  <c r="Z768" i="26" s="1"/>
  <c r="AG768" i="26" s="1"/>
  <c r="S788" i="26"/>
  <c r="Z788" i="26" s="1"/>
  <c r="AG788" i="26" s="1"/>
  <c r="S745" i="26"/>
  <c r="Z745" i="26" s="1"/>
  <c r="AG745" i="26" s="1"/>
  <c r="S758" i="26"/>
  <c r="Z758" i="26" s="1"/>
  <c r="AG758" i="26" s="1"/>
  <c r="S757" i="26"/>
  <c r="Z757" i="26" s="1"/>
  <c r="AG757" i="26" s="1"/>
  <c r="S750" i="26"/>
  <c r="Z750" i="26" s="1"/>
  <c r="AG750" i="26" s="1"/>
  <c r="S756" i="26"/>
  <c r="Z756" i="26" s="1"/>
  <c r="AG756" i="26" s="1"/>
  <c r="S787" i="26"/>
  <c r="Z787" i="26" s="1"/>
  <c r="AG787" i="26" s="1"/>
  <c r="S777" i="26"/>
  <c r="Z777" i="26" s="1"/>
  <c r="AG777" i="26" s="1"/>
  <c r="S790" i="26"/>
  <c r="Z790" i="26" s="1"/>
  <c r="AG790" i="26" s="1"/>
  <c r="S771" i="26"/>
  <c r="Z771" i="26" s="1"/>
  <c r="AG771" i="26" s="1"/>
  <c r="S786" i="26"/>
  <c r="Z786" i="26" s="1"/>
  <c r="AG786" i="26" s="1"/>
  <c r="S796" i="26"/>
  <c r="Z796" i="26" s="1"/>
  <c r="AG796" i="26" s="1"/>
  <c r="S754" i="26"/>
  <c r="Z754" i="26" s="1"/>
  <c r="AG754" i="26" s="1"/>
  <c r="S795" i="26"/>
  <c r="Z795" i="26" s="1"/>
  <c r="AG795" i="26" s="1"/>
  <c r="T155" i="26"/>
  <c r="AA155" i="26" s="1"/>
  <c r="AH155" i="26" s="1"/>
  <c r="T171" i="26"/>
  <c r="AA171" i="26" s="1"/>
  <c r="AH171" i="26" s="1"/>
  <c r="T211" i="26"/>
  <c r="AA211" i="26" s="1"/>
  <c r="AH211" i="26" s="1"/>
  <c r="T149" i="26"/>
  <c r="AA149" i="26" s="1"/>
  <c r="AH149" i="26" s="1"/>
  <c r="T183" i="26"/>
  <c r="AA183" i="26" s="1"/>
  <c r="AH183" i="26" s="1"/>
  <c r="T195" i="26"/>
  <c r="AA195" i="26" s="1"/>
  <c r="AH195" i="26" s="1"/>
  <c r="T154" i="26"/>
  <c r="AA154" i="26" s="1"/>
  <c r="AH154" i="26" s="1"/>
  <c r="T205" i="26"/>
  <c r="AA205" i="26" s="1"/>
  <c r="AH205" i="26" s="1"/>
  <c r="T230" i="26"/>
  <c r="AA230" i="26" s="1"/>
  <c r="AH230" i="26" s="1"/>
  <c r="T204" i="26"/>
  <c r="AA204" i="26" s="1"/>
  <c r="AH204" i="26" s="1"/>
  <c r="T191" i="26"/>
  <c r="AA191" i="26" s="1"/>
  <c r="AH191" i="26" s="1"/>
  <c r="T148" i="26"/>
  <c r="AA148" i="26" s="1"/>
  <c r="AH148" i="26" s="1"/>
  <c r="T141" i="26"/>
  <c r="AA141" i="26" s="1"/>
  <c r="AH141" i="26" s="1"/>
  <c r="T176" i="26"/>
  <c r="AA176" i="26" s="1"/>
  <c r="AH176" i="26" s="1"/>
  <c r="T166" i="26"/>
  <c r="AA166" i="26" s="1"/>
  <c r="AH166" i="26" s="1"/>
  <c r="T233" i="26"/>
  <c r="AA233" i="26" s="1"/>
  <c r="AH233" i="26" s="1"/>
  <c r="T206" i="26"/>
  <c r="AA206" i="26" s="1"/>
  <c r="AH206" i="26" s="1"/>
  <c r="T139" i="26"/>
  <c r="AA139" i="26" s="1"/>
  <c r="AH139" i="26" s="1"/>
  <c r="T168" i="26"/>
  <c r="AA168" i="26" s="1"/>
  <c r="AH168" i="26" s="1"/>
  <c r="T177" i="26"/>
  <c r="AA177" i="26" s="1"/>
  <c r="AH177" i="26" s="1"/>
  <c r="T213" i="26"/>
  <c r="AA213" i="26" s="1"/>
  <c r="AH213" i="26" s="1"/>
  <c r="T163" i="26"/>
  <c r="AA163" i="26" s="1"/>
  <c r="AH163" i="26" s="1"/>
  <c r="T202" i="26"/>
  <c r="AA202" i="26" s="1"/>
  <c r="AH202" i="26" s="1"/>
  <c r="T212" i="26"/>
  <c r="AA212" i="26" s="1"/>
  <c r="AH212" i="26" s="1"/>
  <c r="T241" i="26"/>
  <c r="AA241" i="26" s="1"/>
  <c r="AH241" i="26" s="1"/>
  <c r="T239" i="26"/>
  <c r="AA239" i="26" s="1"/>
  <c r="AH239" i="26" s="1"/>
  <c r="T173" i="26"/>
  <c r="AA173" i="26" s="1"/>
  <c r="AH173" i="26" s="1"/>
  <c r="T228" i="26"/>
  <c r="AA228" i="26" s="1"/>
  <c r="AH228" i="26" s="1"/>
  <c r="T203" i="26"/>
  <c r="AA203" i="26" s="1"/>
  <c r="AH203" i="26" s="1"/>
  <c r="T192" i="26"/>
  <c r="AA192" i="26" s="1"/>
  <c r="AH192" i="26" s="1"/>
  <c r="T137" i="26"/>
  <c r="AA137" i="26" s="1"/>
  <c r="AH137" i="26" s="1"/>
  <c r="T184" i="26"/>
  <c r="AA184" i="26" s="1"/>
  <c r="AH184" i="26" s="1"/>
  <c r="T188" i="26"/>
  <c r="AA188" i="26" s="1"/>
  <c r="AH188" i="26" s="1"/>
  <c r="T231" i="26"/>
  <c r="AA231" i="26" s="1"/>
  <c r="AH231" i="26" s="1"/>
  <c r="T207" i="26"/>
  <c r="AA207" i="26" s="1"/>
  <c r="AH207" i="26" s="1"/>
  <c r="T235" i="26"/>
  <c r="AA235" i="26" s="1"/>
  <c r="AH235" i="26" s="1"/>
  <c r="T194" i="26"/>
  <c r="AA194" i="26" s="1"/>
  <c r="AH194" i="26" s="1"/>
  <c r="T161" i="26"/>
  <c r="AA161" i="26" s="1"/>
  <c r="AH161" i="26" s="1"/>
  <c r="T245" i="26"/>
  <c r="AA245" i="26" s="1"/>
  <c r="AH245" i="26" s="1"/>
  <c r="T138" i="26"/>
  <c r="AA138" i="26" s="1"/>
  <c r="AH138" i="26" s="1"/>
  <c r="T150" i="26"/>
  <c r="AA150" i="26" s="1"/>
  <c r="AH150" i="26" s="1"/>
  <c r="T136" i="26"/>
  <c r="AA136" i="26" s="1"/>
  <c r="AH136" i="26" s="1"/>
  <c r="T172" i="26"/>
  <c r="AA172" i="26" s="1"/>
  <c r="AH172" i="26" s="1"/>
  <c r="T232" i="26"/>
  <c r="AA232" i="26" s="1"/>
  <c r="AH232" i="26" s="1"/>
  <c r="T208" i="26"/>
  <c r="AA208" i="26" s="1"/>
  <c r="AH208" i="26" s="1"/>
  <c r="T160" i="26"/>
  <c r="AA160" i="26" s="1"/>
  <c r="AH160" i="26" s="1"/>
  <c r="T180" i="26"/>
  <c r="AA180" i="26" s="1"/>
  <c r="AH180" i="26" s="1"/>
  <c r="T165" i="26"/>
  <c r="AA165" i="26" s="1"/>
  <c r="AH165" i="26" s="1"/>
  <c r="T219" i="26"/>
  <c r="AA219" i="26" s="1"/>
  <c r="AH219" i="26" s="1"/>
  <c r="T162" i="26"/>
  <c r="AA162" i="26" s="1"/>
  <c r="AH162" i="26" s="1"/>
  <c r="T216" i="26"/>
  <c r="AA216" i="26" s="1"/>
  <c r="AH216" i="26" s="1"/>
  <c r="T238" i="26"/>
  <c r="AA238" i="26" s="1"/>
  <c r="AH238" i="26" s="1"/>
  <c r="T236" i="26"/>
  <c r="AA236" i="26" s="1"/>
  <c r="AH236" i="26" s="1"/>
  <c r="T234" i="26"/>
  <c r="AA234" i="26" s="1"/>
  <c r="AH234" i="26" s="1"/>
  <c r="T242" i="26"/>
  <c r="AA242" i="26" s="1"/>
  <c r="AH242" i="26" s="1"/>
  <c r="T147" i="26"/>
  <c r="AA147" i="26" s="1"/>
  <c r="AH147" i="26" s="1"/>
  <c r="T179" i="26"/>
  <c r="AA179" i="26" s="1"/>
  <c r="AH179" i="26" s="1"/>
  <c r="T222" i="26"/>
  <c r="AA222" i="26" s="1"/>
  <c r="AH222" i="26" s="1"/>
  <c r="T143" i="26"/>
  <c r="AA143" i="26" s="1"/>
  <c r="AH143" i="26" s="1"/>
  <c r="T209" i="26"/>
  <c r="AA209" i="26" s="1"/>
  <c r="AH209" i="26" s="1"/>
  <c r="T146" i="26"/>
  <c r="AA146" i="26" s="1"/>
  <c r="AH146" i="26" s="1"/>
  <c r="T178" i="26"/>
  <c r="AA178" i="26" s="1"/>
  <c r="AH178" i="26" s="1"/>
  <c r="T223" i="26"/>
  <c r="AA223" i="26" s="1"/>
  <c r="AH223" i="26" s="1"/>
  <c r="T199" i="26"/>
  <c r="AA199" i="26" s="1"/>
  <c r="AH199" i="26" s="1"/>
  <c r="T210" i="26"/>
  <c r="AA210" i="26" s="1"/>
  <c r="AH210" i="26" s="1"/>
  <c r="T240" i="26"/>
  <c r="AA240" i="26" s="1"/>
  <c r="AH240" i="26" s="1"/>
  <c r="T185" i="26"/>
  <c r="AA185" i="26" s="1"/>
  <c r="AH185" i="26" s="1"/>
  <c r="T227" i="26"/>
  <c r="AA227" i="26" s="1"/>
  <c r="AH227" i="26" s="1"/>
  <c r="T159" i="26"/>
  <c r="AA159" i="26" s="1"/>
  <c r="AH159" i="26" s="1"/>
  <c r="T164" i="26"/>
  <c r="AA164" i="26" s="1"/>
  <c r="AH164" i="26" s="1"/>
  <c r="T145" i="26"/>
  <c r="AA145" i="26" s="1"/>
  <c r="AH145" i="26" s="1"/>
  <c r="T174" i="26"/>
  <c r="AA174" i="26" s="1"/>
  <c r="AH174" i="26" s="1"/>
  <c r="T224" i="26"/>
  <c r="AA224" i="26" s="1"/>
  <c r="AH224" i="26" s="1"/>
  <c r="T217" i="26"/>
  <c r="AA217" i="26" s="1"/>
  <c r="AH217" i="26" s="1"/>
  <c r="T237" i="26"/>
  <c r="AA237" i="26" s="1"/>
  <c r="AH237" i="26" s="1"/>
  <c r="T189" i="26"/>
  <c r="AA189" i="26" s="1"/>
  <c r="AH189" i="26" s="1"/>
  <c r="T215" i="26"/>
  <c r="AA215" i="26" s="1"/>
  <c r="AH215" i="26" s="1"/>
  <c r="T142" i="26"/>
  <c r="AA142" i="26" s="1"/>
  <c r="AH142" i="26" s="1"/>
  <c r="T247" i="26"/>
  <c r="AA247" i="26" s="1"/>
  <c r="AH247" i="26" s="1"/>
  <c r="T153" i="26"/>
  <c r="AA153" i="26" s="1"/>
  <c r="AH153" i="26" s="1"/>
  <c r="T221" i="26"/>
  <c r="AA221" i="26" s="1"/>
  <c r="AH221" i="26" s="1"/>
  <c r="T244" i="26"/>
  <c r="AA244" i="26" s="1"/>
  <c r="AH244" i="26" s="1"/>
  <c r="T225" i="26"/>
  <c r="AA225" i="26" s="1"/>
  <c r="AH225" i="26" s="1"/>
  <c r="T169" i="26"/>
  <c r="AA169" i="26" s="1"/>
  <c r="AH169" i="26" s="1"/>
  <c r="T175" i="26"/>
  <c r="AA175" i="26" s="1"/>
  <c r="AH175" i="26" s="1"/>
  <c r="T226" i="26"/>
  <c r="AA226" i="26" s="1"/>
  <c r="AH226" i="26" s="1"/>
  <c r="T152" i="26"/>
  <c r="AA152" i="26" s="1"/>
  <c r="AH152" i="26" s="1"/>
  <c r="T196" i="26"/>
  <c r="AA196" i="26" s="1"/>
  <c r="AH196" i="26" s="1"/>
  <c r="T246" i="26"/>
  <c r="AA246" i="26" s="1"/>
  <c r="AH246" i="26" s="1"/>
  <c r="T156" i="26"/>
  <c r="AA156" i="26" s="1"/>
  <c r="AH156" i="26" s="1"/>
  <c r="T187" i="26"/>
  <c r="AA187" i="26" s="1"/>
  <c r="AH187" i="26" s="1"/>
  <c r="T229" i="26"/>
  <c r="AA229" i="26" s="1"/>
  <c r="AH229" i="26" s="1"/>
  <c r="T151" i="26"/>
  <c r="AA151" i="26" s="1"/>
  <c r="AH151" i="26" s="1"/>
  <c r="T198" i="26"/>
  <c r="AA198" i="26" s="1"/>
  <c r="AH198" i="26" s="1"/>
  <c r="T157" i="26"/>
  <c r="AA157" i="26" s="1"/>
  <c r="AH157" i="26" s="1"/>
  <c r="T182" i="26"/>
  <c r="AA182" i="26" s="1"/>
  <c r="AH182" i="26" s="1"/>
  <c r="T214" i="26"/>
  <c r="AA214" i="26" s="1"/>
  <c r="AH214" i="26" s="1"/>
  <c r="T181" i="26"/>
  <c r="AA181" i="26" s="1"/>
  <c r="AH181" i="26" s="1"/>
  <c r="T200" i="26"/>
  <c r="AA200" i="26" s="1"/>
  <c r="AH200" i="26" s="1"/>
  <c r="T201" i="26"/>
  <c r="AA201" i="26" s="1"/>
  <c r="AH201" i="26" s="1"/>
  <c r="T140" i="26"/>
  <c r="AA140" i="26" s="1"/>
  <c r="AH140" i="26" s="1"/>
  <c r="T170" i="26"/>
  <c r="AA170" i="26" s="1"/>
  <c r="AH170" i="26" s="1"/>
  <c r="T193" i="26"/>
  <c r="AA193" i="26" s="1"/>
  <c r="AH193" i="26" s="1"/>
  <c r="T218" i="26"/>
  <c r="AA218" i="26" s="1"/>
  <c r="AH218" i="26" s="1"/>
  <c r="T167" i="26"/>
  <c r="AA167" i="26" s="1"/>
  <c r="AH167" i="26" s="1"/>
  <c r="T243" i="26"/>
  <c r="AA243" i="26" s="1"/>
  <c r="AH243" i="26" s="1"/>
  <c r="T158" i="26"/>
  <c r="AA158" i="26" s="1"/>
  <c r="AH158" i="26" s="1"/>
  <c r="T190" i="26"/>
  <c r="AA190" i="26" s="1"/>
  <c r="AH190" i="26" s="1"/>
  <c r="T144" i="26"/>
  <c r="AA144" i="26" s="1"/>
  <c r="AH144" i="26" s="1"/>
  <c r="T220" i="26"/>
  <c r="AA220" i="26" s="1"/>
  <c r="AH220" i="26" s="1"/>
  <c r="T197" i="26"/>
  <c r="AA197" i="26" s="1"/>
  <c r="AH197" i="26" s="1"/>
  <c r="T186" i="26"/>
  <c r="AA186" i="26" s="1"/>
  <c r="AH186" i="26" s="1"/>
  <c r="T767" i="26"/>
  <c r="AA767" i="26" s="1"/>
  <c r="AH767" i="26" s="1"/>
  <c r="T778" i="26"/>
  <c r="AA778" i="26" s="1"/>
  <c r="AH778" i="26" s="1"/>
  <c r="T759" i="26"/>
  <c r="AA759" i="26" s="1"/>
  <c r="AH759" i="26" s="1"/>
  <c r="T794" i="26"/>
  <c r="AA794" i="26" s="1"/>
  <c r="AH794" i="26" s="1"/>
  <c r="T781" i="26"/>
  <c r="AA781" i="26" s="1"/>
  <c r="AH781" i="26" s="1"/>
  <c r="T757" i="26"/>
  <c r="AA757" i="26" s="1"/>
  <c r="AH757" i="26" s="1"/>
  <c r="T768" i="26"/>
  <c r="AA768" i="26" s="1"/>
  <c r="AH768" i="26" s="1"/>
  <c r="T785" i="26"/>
  <c r="AA785" i="26" s="1"/>
  <c r="AH785" i="26" s="1"/>
  <c r="T758" i="26"/>
  <c r="AA758" i="26" s="1"/>
  <c r="AH758" i="26" s="1"/>
  <c r="T765" i="26"/>
  <c r="AA765" i="26" s="1"/>
  <c r="AH765" i="26" s="1"/>
  <c r="T747" i="26"/>
  <c r="AA747" i="26" s="1"/>
  <c r="AH747" i="26" s="1"/>
  <c r="T761" i="26"/>
  <c r="AA761" i="26" s="1"/>
  <c r="AH761" i="26" s="1"/>
  <c r="T762" i="26"/>
  <c r="AA762" i="26" s="1"/>
  <c r="AH762" i="26" s="1"/>
  <c r="T790" i="26"/>
  <c r="AA790" i="26" s="1"/>
  <c r="AH790" i="26" s="1"/>
  <c r="T745" i="26"/>
  <c r="AA745" i="26" s="1"/>
  <c r="AH745" i="26" s="1"/>
  <c r="T760" i="26"/>
  <c r="AA760" i="26" s="1"/>
  <c r="AH760" i="26" s="1"/>
  <c r="T770" i="26"/>
  <c r="AA770" i="26" s="1"/>
  <c r="AH770" i="26" s="1"/>
  <c r="T753" i="26"/>
  <c r="AA753" i="26" s="1"/>
  <c r="AH753" i="26" s="1"/>
  <c r="T776" i="26"/>
  <c r="AA776" i="26" s="1"/>
  <c r="AH776" i="26" s="1"/>
  <c r="T783" i="26"/>
  <c r="AA783" i="26" s="1"/>
  <c r="AH783" i="26" s="1"/>
  <c r="T750" i="26"/>
  <c r="AA750" i="26" s="1"/>
  <c r="AH750" i="26" s="1"/>
  <c r="T756" i="26"/>
  <c r="AA756" i="26" s="1"/>
  <c r="AH756" i="26" s="1"/>
  <c r="T782" i="26"/>
  <c r="AA782" i="26" s="1"/>
  <c r="AH782" i="26" s="1"/>
  <c r="T755" i="26"/>
  <c r="AA755" i="26" s="1"/>
  <c r="AH755" i="26" s="1"/>
  <c r="T766" i="26"/>
  <c r="AA766" i="26" s="1"/>
  <c r="AH766" i="26" s="1"/>
  <c r="T775" i="26"/>
  <c r="AA775" i="26" s="1"/>
  <c r="AH775" i="26" s="1"/>
  <c r="T748" i="26"/>
  <c r="AA748" i="26" s="1"/>
  <c r="AH748" i="26" s="1"/>
  <c r="T795" i="26"/>
  <c r="AA795" i="26" s="1"/>
  <c r="AH795" i="26" s="1"/>
  <c r="T769" i="26"/>
  <c r="AA769" i="26" s="1"/>
  <c r="AH769" i="26" s="1"/>
  <c r="T779" i="26"/>
  <c r="AA779" i="26" s="1"/>
  <c r="AH779" i="26" s="1"/>
  <c r="T789" i="26"/>
  <c r="AA789" i="26" s="1"/>
  <c r="AH789" i="26" s="1"/>
  <c r="T749" i="26"/>
  <c r="AA749" i="26" s="1"/>
  <c r="AH749" i="26" s="1"/>
  <c r="T791" i="26"/>
  <c r="AA791" i="26" s="1"/>
  <c r="AH791" i="26" s="1"/>
  <c r="T780" i="26"/>
  <c r="AA780" i="26" s="1"/>
  <c r="AH780" i="26" s="1"/>
  <c r="T784" i="26"/>
  <c r="AA784" i="26" s="1"/>
  <c r="AH784" i="26" s="1"/>
  <c r="T771" i="26"/>
  <c r="AA771" i="26" s="1"/>
  <c r="AH771" i="26" s="1"/>
  <c r="T754" i="26"/>
  <c r="AA754" i="26" s="1"/>
  <c r="AH754" i="26" s="1"/>
  <c r="T796" i="26"/>
  <c r="AA796" i="26" s="1"/>
  <c r="AH796" i="26" s="1"/>
  <c r="T751" i="26"/>
  <c r="AA751" i="26" s="1"/>
  <c r="AH751" i="26" s="1"/>
  <c r="T746" i="26"/>
  <c r="AA746" i="26" s="1"/>
  <c r="AH746" i="26" s="1"/>
  <c r="T786" i="26"/>
  <c r="AA786" i="26" s="1"/>
  <c r="AH786" i="26" s="1"/>
  <c r="T777" i="26"/>
  <c r="AA777" i="26" s="1"/>
  <c r="AH777" i="26" s="1"/>
  <c r="T752" i="26"/>
  <c r="AA752" i="26" s="1"/>
  <c r="AH752" i="26" s="1"/>
  <c r="T774" i="26"/>
  <c r="AA774" i="26" s="1"/>
  <c r="AH774" i="26" s="1"/>
  <c r="T763" i="26"/>
  <c r="AA763" i="26" s="1"/>
  <c r="AH763" i="26" s="1"/>
  <c r="T793" i="26"/>
  <c r="AA793" i="26" s="1"/>
  <c r="AH793" i="26" s="1"/>
  <c r="T788" i="26"/>
  <c r="AA788" i="26" s="1"/>
  <c r="AH788" i="26" s="1"/>
  <c r="T773" i="26"/>
  <c r="AA773" i="26" s="1"/>
  <c r="AH773" i="26" s="1"/>
  <c r="T772" i="26"/>
  <c r="AA772" i="26" s="1"/>
  <c r="AH772" i="26" s="1"/>
  <c r="T792" i="26"/>
  <c r="AA792" i="26" s="1"/>
  <c r="AH792" i="26" s="1"/>
  <c r="T764" i="26"/>
  <c r="AA764" i="26" s="1"/>
  <c r="AH764" i="26" s="1"/>
  <c r="T787" i="26"/>
  <c r="AA787" i="26" s="1"/>
  <c r="AH787" i="26" s="1"/>
  <c r="I12" i="38"/>
  <c r="I11" i="38"/>
  <c r="I10" i="38"/>
  <c r="I13" i="38"/>
  <c r="I9" i="38"/>
  <c r="I14" i="38"/>
  <c r="BS81" i="26"/>
  <c r="BQ81" i="26"/>
  <c r="BQ153" i="26"/>
  <c r="BS153" i="26"/>
  <c r="BS217" i="26"/>
  <c r="BQ217" i="26"/>
  <c r="BQ281" i="26"/>
  <c r="BS281" i="26"/>
  <c r="BS337" i="26"/>
  <c r="BQ337" i="26"/>
  <c r="BQ369" i="26"/>
  <c r="BS369" i="26"/>
  <c r="BS497" i="26"/>
  <c r="BQ497" i="26"/>
  <c r="BS577" i="26"/>
  <c r="BQ577" i="26"/>
  <c r="BQ657" i="26"/>
  <c r="BS657" i="26"/>
  <c r="BQ729" i="26"/>
  <c r="BS729" i="26"/>
  <c r="BS26" i="26"/>
  <c r="BQ26" i="26"/>
  <c r="BQ82" i="26"/>
  <c r="BS82" i="26"/>
  <c r="BQ138" i="26"/>
  <c r="BS138" i="26"/>
  <c r="BQ234" i="26"/>
  <c r="BS234" i="26"/>
  <c r="BS290" i="26"/>
  <c r="BQ290" i="26"/>
  <c r="BQ362" i="26"/>
  <c r="BS362" i="26"/>
  <c r="BQ418" i="26"/>
  <c r="BS418" i="26"/>
  <c r="BS474" i="26"/>
  <c r="BQ474" i="26"/>
  <c r="BQ514" i="26"/>
  <c r="BS514" i="26"/>
  <c r="BQ618" i="26"/>
  <c r="BS618" i="26"/>
  <c r="BQ706" i="26"/>
  <c r="BS706" i="26"/>
  <c r="BS754" i="26"/>
  <c r="BQ754" i="26"/>
  <c r="BS43" i="26"/>
  <c r="BQ43" i="26"/>
  <c r="BQ163" i="26"/>
  <c r="BS163" i="26"/>
  <c r="BS219" i="26"/>
  <c r="BQ219" i="26"/>
  <c r="BS291" i="26"/>
  <c r="BQ291" i="26"/>
  <c r="BS347" i="26"/>
  <c r="BQ347" i="26"/>
  <c r="BS403" i="26"/>
  <c r="BQ403" i="26"/>
  <c r="BQ451" i="26"/>
  <c r="BS451" i="26"/>
  <c r="BQ515" i="26"/>
  <c r="BS515" i="26"/>
  <c r="BS587" i="26"/>
  <c r="BQ587" i="26"/>
  <c r="BS651" i="26"/>
  <c r="BQ651" i="26"/>
  <c r="BQ755" i="26"/>
  <c r="BS755" i="26"/>
  <c r="BS12" i="26"/>
  <c r="BQ12" i="26"/>
  <c r="BS20" i="26"/>
  <c r="BQ20" i="26"/>
  <c r="BS36" i="26"/>
  <c r="BQ36" i="26"/>
  <c r="BS44" i="26"/>
  <c r="BQ44" i="26"/>
  <c r="BQ52" i="26"/>
  <c r="BS52" i="26"/>
  <c r="BQ60" i="26"/>
  <c r="BS60" i="26"/>
  <c r="BS68" i="26"/>
  <c r="BQ68" i="26"/>
  <c r="BQ76" i="26"/>
  <c r="BS76" i="26"/>
  <c r="BQ84" i="26"/>
  <c r="BS84" i="26"/>
  <c r="BS92" i="26"/>
  <c r="BQ92" i="26"/>
  <c r="BQ108" i="26"/>
  <c r="BS108" i="26"/>
  <c r="BS116" i="26"/>
  <c r="BQ116" i="26"/>
  <c r="BS124" i="26"/>
  <c r="BQ124" i="26"/>
  <c r="BQ132" i="26"/>
  <c r="BS132" i="26"/>
  <c r="BS140" i="26"/>
  <c r="BQ140" i="26"/>
  <c r="BS148" i="26"/>
  <c r="BQ148" i="26"/>
  <c r="BS156" i="26"/>
  <c r="BQ156" i="26"/>
  <c r="BQ164" i="26"/>
  <c r="BS164" i="26"/>
  <c r="BS172" i="26"/>
  <c r="BQ172" i="26"/>
  <c r="BS180" i="26"/>
  <c r="BQ180" i="26"/>
  <c r="BS188" i="26"/>
  <c r="BQ188" i="26"/>
  <c r="BS196" i="26"/>
  <c r="BQ196" i="26"/>
  <c r="BS204" i="26"/>
  <c r="BQ204" i="26"/>
  <c r="BS212" i="26"/>
  <c r="BQ212" i="26"/>
  <c r="BS220" i="26"/>
  <c r="BQ220" i="26"/>
  <c r="BQ228" i="26"/>
  <c r="BS228" i="26"/>
  <c r="BQ236" i="26"/>
  <c r="BS236" i="26"/>
  <c r="BQ244" i="26"/>
  <c r="BS244" i="26"/>
  <c r="BQ252" i="26"/>
  <c r="BS252" i="26"/>
  <c r="BS260" i="26"/>
  <c r="BQ260" i="26"/>
  <c r="BS268" i="26"/>
  <c r="BQ268" i="26"/>
  <c r="BS276" i="26"/>
  <c r="BQ276" i="26"/>
  <c r="BS284" i="26"/>
  <c r="BQ284" i="26"/>
  <c r="BQ300" i="26"/>
  <c r="BS300" i="26"/>
  <c r="BS308" i="26"/>
  <c r="BQ308" i="26"/>
  <c r="BQ316" i="26"/>
  <c r="BS316" i="26"/>
  <c r="BQ324" i="26"/>
  <c r="BS324" i="26"/>
  <c r="BS332" i="26"/>
  <c r="BQ332" i="26"/>
  <c r="BQ340" i="26"/>
  <c r="BS340" i="26"/>
  <c r="BS348" i="26"/>
  <c r="BQ348" i="26"/>
  <c r="BS356" i="26"/>
  <c r="BQ356" i="26"/>
  <c r="BQ364" i="26"/>
  <c r="BS364" i="26"/>
  <c r="BQ372" i="26"/>
  <c r="BS372" i="26"/>
  <c r="BQ380" i="26"/>
  <c r="BS380" i="26"/>
  <c r="BQ388" i="26"/>
  <c r="BS388" i="26"/>
  <c r="BS396" i="26"/>
  <c r="BQ396" i="26"/>
  <c r="BS412" i="26"/>
  <c r="BQ412" i="26"/>
  <c r="BQ420" i="26"/>
  <c r="BS420" i="26"/>
  <c r="BQ428" i="26"/>
  <c r="BS428" i="26"/>
  <c r="BS436" i="26"/>
  <c r="BQ436" i="26"/>
  <c r="BS444" i="26"/>
  <c r="BQ444" i="26"/>
  <c r="BQ452" i="26"/>
  <c r="BS452" i="26"/>
  <c r="BQ460" i="26"/>
  <c r="BS460" i="26"/>
  <c r="BS468" i="26"/>
  <c r="BQ468" i="26"/>
  <c r="BS476" i="26"/>
  <c r="BQ476" i="26"/>
  <c r="BS484" i="26"/>
  <c r="BQ484" i="26"/>
  <c r="BQ492" i="26"/>
  <c r="BS492" i="26"/>
  <c r="BS500" i="26"/>
  <c r="BQ500" i="26"/>
  <c r="BQ524" i="26"/>
  <c r="BS524" i="26"/>
  <c r="BQ540" i="26"/>
  <c r="BS540" i="26"/>
  <c r="BS564" i="26"/>
  <c r="BQ564" i="26"/>
  <c r="BS572" i="26"/>
  <c r="BQ572" i="26"/>
  <c r="BQ580" i="26"/>
  <c r="BS580" i="26"/>
  <c r="BS588" i="26"/>
  <c r="BQ588" i="26"/>
  <c r="BS596" i="26"/>
  <c r="BQ596" i="26"/>
  <c r="BS604" i="26"/>
  <c r="BQ604" i="26"/>
  <c r="BS612" i="26"/>
  <c r="BQ612" i="26"/>
  <c r="BQ620" i="26"/>
  <c r="BS620" i="26"/>
  <c r="BS628" i="26"/>
  <c r="BQ628" i="26"/>
  <c r="BS644" i="26"/>
  <c r="BQ644" i="26"/>
  <c r="BS660" i="26"/>
  <c r="BQ660" i="26"/>
  <c r="BQ668" i="26"/>
  <c r="BS668" i="26"/>
  <c r="BS676" i="26"/>
  <c r="BQ676" i="26"/>
  <c r="BS684" i="26"/>
  <c r="BQ684" i="26"/>
  <c r="BS700" i="26"/>
  <c r="BQ700" i="26"/>
  <c r="BS708" i="26"/>
  <c r="BQ708" i="26"/>
  <c r="BQ716" i="26"/>
  <c r="BS716" i="26"/>
  <c r="BS724" i="26"/>
  <c r="BQ724" i="26"/>
  <c r="BS740" i="26"/>
  <c r="BQ740" i="26"/>
  <c r="BQ748" i="26"/>
  <c r="BS748" i="26"/>
  <c r="BS764" i="26"/>
  <c r="BQ764" i="26"/>
  <c r="BQ772" i="26"/>
  <c r="BS772" i="26"/>
  <c r="BQ788" i="26"/>
  <c r="BS788" i="26"/>
  <c r="BP795" i="26"/>
  <c r="BS796" i="26"/>
  <c r="BQ796" i="26"/>
  <c r="AQ198" i="26"/>
  <c r="AR198" i="26" s="1"/>
  <c r="AQ244" i="26"/>
  <c r="AR244" i="26" s="1"/>
  <c r="AQ176" i="26"/>
  <c r="AR176" i="26" s="1"/>
  <c r="AQ235" i="26"/>
  <c r="AR235" i="26" s="1"/>
  <c r="AQ183" i="26"/>
  <c r="AR183" i="26" s="1"/>
  <c r="AQ146" i="26"/>
  <c r="AR146" i="26" s="1"/>
  <c r="AQ213" i="26"/>
  <c r="AR213" i="26" s="1"/>
  <c r="AQ138" i="26"/>
  <c r="AR138" i="26" s="1"/>
  <c r="AQ184" i="26"/>
  <c r="AR184" i="26" s="1"/>
  <c r="AQ203" i="26"/>
  <c r="AR203" i="26" s="1"/>
  <c r="AQ160" i="26"/>
  <c r="AR160" i="26" s="1"/>
  <c r="AQ204" i="26"/>
  <c r="AR204" i="26" s="1"/>
  <c r="AQ182" i="26"/>
  <c r="AR182" i="26" s="1"/>
  <c r="AQ221" i="26"/>
  <c r="AR221" i="26" s="1"/>
  <c r="AQ219" i="26"/>
  <c r="AR219" i="26" s="1"/>
  <c r="AQ193" i="26"/>
  <c r="AR193" i="26" s="1"/>
  <c r="AQ199" i="26"/>
  <c r="AR199" i="26" s="1"/>
  <c r="AQ223" i="26"/>
  <c r="AR223" i="26" s="1"/>
  <c r="AQ239" i="26"/>
  <c r="AR239" i="26" s="1"/>
  <c r="AQ190" i="26"/>
  <c r="AR190" i="26" s="1"/>
  <c r="AQ197" i="26"/>
  <c r="AR197" i="26" s="1"/>
  <c r="AQ173" i="26"/>
  <c r="AR173" i="26" s="1"/>
  <c r="AQ215" i="26"/>
  <c r="AR215" i="26" s="1"/>
  <c r="AQ231" i="26"/>
  <c r="AR231" i="26" s="1"/>
  <c r="AQ225" i="26"/>
  <c r="AR225" i="26" s="1"/>
  <c r="AQ233" i="26"/>
  <c r="AR233" i="26" s="1"/>
  <c r="AQ150" i="26"/>
  <c r="AR150" i="26" s="1"/>
  <c r="AQ202" i="26"/>
  <c r="AR202" i="26" s="1"/>
  <c r="AQ229" i="26"/>
  <c r="AR229" i="26" s="1"/>
  <c r="AQ161" i="26"/>
  <c r="AR161" i="26" s="1"/>
  <c r="AQ245" i="26"/>
  <c r="AR245" i="26" s="1"/>
  <c r="AQ214" i="26"/>
  <c r="AR214" i="26" s="1"/>
  <c r="AQ188" i="26"/>
  <c r="AR188" i="26" s="1"/>
  <c r="AQ181" i="26"/>
  <c r="AR181" i="26" s="1"/>
  <c r="AQ228" i="26"/>
  <c r="AR228" i="26" s="1"/>
  <c r="AQ139" i="26"/>
  <c r="AR139" i="26" s="1"/>
  <c r="AQ175" i="26"/>
  <c r="AR175" i="26" s="1"/>
  <c r="AQ179" i="26"/>
  <c r="AR179" i="26" s="1"/>
  <c r="AQ212" i="26"/>
  <c r="AR212" i="26" s="1"/>
  <c r="AQ136" i="26"/>
  <c r="AR136" i="26" s="1"/>
  <c r="AQ237" i="26"/>
  <c r="AR237" i="26" s="1"/>
  <c r="AQ207" i="26"/>
  <c r="AR207" i="26" s="1"/>
  <c r="AQ172" i="26"/>
  <c r="AR172" i="26" s="1"/>
  <c r="AQ227" i="26"/>
  <c r="AR227" i="26" s="1"/>
  <c r="AQ209" i="26"/>
  <c r="AR209" i="26" s="1"/>
  <c r="AQ187" i="26"/>
  <c r="AR187" i="26" s="1"/>
  <c r="AQ174" i="26"/>
  <c r="AR174" i="26" s="1"/>
  <c r="AQ224" i="26"/>
  <c r="AR224" i="26" s="1"/>
  <c r="AQ217" i="26"/>
  <c r="AR217" i="26" s="1"/>
  <c r="AQ168" i="26"/>
  <c r="AR168" i="26" s="1"/>
  <c r="AQ167" i="26"/>
  <c r="AR167" i="26" s="1"/>
  <c r="AQ238" i="26"/>
  <c r="AR238" i="26" s="1"/>
  <c r="AQ189" i="26"/>
  <c r="AR189" i="26" s="1"/>
  <c r="AQ145" i="26"/>
  <c r="AR145" i="26" s="1"/>
  <c r="AQ152" i="26"/>
  <c r="AR152" i="26" s="1"/>
  <c r="AQ206" i="26"/>
  <c r="AR206" i="26" s="1"/>
  <c r="AQ155" i="26"/>
  <c r="AR155" i="26" s="1"/>
  <c r="AQ216" i="26"/>
  <c r="AR216" i="26" s="1"/>
  <c r="AQ148" i="26"/>
  <c r="AR148" i="26" s="1"/>
  <c r="AQ241" i="26"/>
  <c r="AR241" i="26" s="1"/>
  <c r="AQ210" i="26"/>
  <c r="AR210" i="26" s="1"/>
  <c r="AQ171" i="26"/>
  <c r="AR171" i="26" s="1"/>
  <c r="AQ236" i="26"/>
  <c r="AR236" i="26" s="1"/>
  <c r="AQ180" i="26"/>
  <c r="AR180" i="26" s="1"/>
  <c r="AQ201" i="26"/>
  <c r="AR201" i="26" s="1"/>
  <c r="AQ234" i="26"/>
  <c r="AR234" i="26" s="1"/>
  <c r="AQ140" i="26"/>
  <c r="AR140" i="26" s="1"/>
  <c r="AQ186" i="26"/>
  <c r="AR186" i="26" s="1"/>
  <c r="AQ158" i="26"/>
  <c r="AR158" i="26" s="1"/>
  <c r="AQ164" i="26"/>
  <c r="AR164" i="26" s="1"/>
  <c r="AQ157" i="26"/>
  <c r="AR157" i="26" s="1"/>
  <c r="AQ149" i="26"/>
  <c r="AR149" i="26" s="1"/>
  <c r="AQ177" i="26"/>
  <c r="AR177" i="26" s="1"/>
  <c r="AQ196" i="26"/>
  <c r="AR196" i="26" s="1"/>
  <c r="AQ226" i="26"/>
  <c r="AR226" i="26" s="1"/>
  <c r="AQ169" i="26"/>
  <c r="AR169" i="26" s="1"/>
  <c r="AQ178" i="26"/>
  <c r="AR178" i="26" s="1"/>
  <c r="AQ141" i="26"/>
  <c r="AR141" i="26" s="1"/>
  <c r="AQ222" i="26"/>
  <c r="AR222" i="26" s="1"/>
  <c r="AQ143" i="26"/>
  <c r="AR143" i="26" s="1"/>
  <c r="AQ163" i="26"/>
  <c r="AR163" i="26" s="1"/>
  <c r="AQ170" i="26"/>
  <c r="AR170" i="26" s="1"/>
  <c r="AQ208" i="26"/>
  <c r="AR208" i="26" s="1"/>
  <c r="AQ240" i="26"/>
  <c r="AR240" i="26" s="1"/>
  <c r="AQ137" i="26"/>
  <c r="AR137" i="26" s="1"/>
  <c r="AQ192" i="26"/>
  <c r="AR192" i="26" s="1"/>
  <c r="AQ232" i="26"/>
  <c r="AR232" i="26" s="1"/>
  <c r="AQ205" i="26"/>
  <c r="AR205" i="26" s="1"/>
  <c r="AQ220" i="26"/>
  <c r="AR220" i="26" s="1"/>
  <c r="AQ153" i="26"/>
  <c r="AR153" i="26" s="1"/>
  <c r="AQ246" i="26"/>
  <c r="AR246" i="26" s="1"/>
  <c r="AQ166" i="26"/>
  <c r="AR166" i="26" s="1"/>
  <c r="AQ151" i="26"/>
  <c r="AR151" i="26" s="1"/>
  <c r="AQ147" i="26"/>
  <c r="AR147" i="26" s="1"/>
  <c r="AQ159" i="26"/>
  <c r="AR159" i="26" s="1"/>
  <c r="AQ218" i="26"/>
  <c r="AR218" i="26" s="1"/>
  <c r="AQ144" i="26"/>
  <c r="AR144" i="26" s="1"/>
  <c r="AQ154" i="26"/>
  <c r="AR154" i="26" s="1"/>
  <c r="AQ156" i="26"/>
  <c r="AR156" i="26" s="1"/>
  <c r="AQ165" i="26"/>
  <c r="AR165" i="26" s="1"/>
  <c r="AQ191" i="26"/>
  <c r="AR191" i="26" s="1"/>
  <c r="AQ142" i="26"/>
  <c r="AR142" i="26" s="1"/>
  <c r="AQ230" i="26"/>
  <c r="AR230" i="26" s="1"/>
  <c r="AQ194" i="26"/>
  <c r="AR194" i="26" s="1"/>
  <c r="AQ162" i="26"/>
  <c r="AR162" i="26" s="1"/>
  <c r="AQ185" i="26"/>
  <c r="AR185" i="26" s="1"/>
  <c r="AQ243" i="26"/>
  <c r="AR243" i="26" s="1"/>
  <c r="AQ195" i="26"/>
  <c r="AR195" i="26" s="1"/>
  <c r="AQ200" i="26"/>
  <c r="AR200" i="26" s="1"/>
  <c r="AQ247" i="26"/>
  <c r="AR247" i="26" s="1"/>
  <c r="AQ211" i="26"/>
  <c r="AR211" i="26" s="1"/>
  <c r="AQ242" i="26"/>
  <c r="AR242" i="26" s="1"/>
  <c r="AQ775" i="26"/>
  <c r="AR775" i="26" s="1"/>
  <c r="AQ790" i="26"/>
  <c r="AR790" i="26" s="1"/>
  <c r="AQ783" i="26"/>
  <c r="AR783" i="26" s="1"/>
  <c r="AQ787" i="26"/>
  <c r="AR787" i="26" s="1"/>
  <c r="AQ791" i="26"/>
  <c r="AR791" i="26" s="1"/>
  <c r="AQ749" i="26"/>
  <c r="AR749" i="26" s="1"/>
  <c r="AQ753" i="26"/>
  <c r="AR753" i="26" s="1"/>
  <c r="AQ765" i="26"/>
  <c r="AR765" i="26" s="1"/>
  <c r="AQ779" i="26"/>
  <c r="AR779" i="26" s="1"/>
  <c r="AQ796" i="26"/>
  <c r="AR796" i="26" s="1"/>
  <c r="AQ785" i="26"/>
  <c r="AR785" i="26" s="1"/>
  <c r="AQ786" i="26"/>
  <c r="AR786" i="26" s="1"/>
  <c r="AQ784" i="26"/>
  <c r="AR784" i="26" s="1"/>
  <c r="AQ795" i="26"/>
  <c r="AR795" i="26" s="1"/>
  <c r="AQ781" i="26"/>
  <c r="AR781" i="26" s="1"/>
  <c r="AQ764" i="26"/>
  <c r="AR764" i="26" s="1"/>
  <c r="AQ771" i="26"/>
  <c r="AR771" i="26" s="1"/>
  <c r="AQ750" i="26"/>
  <c r="AR750" i="26" s="1"/>
  <c r="AQ754" i="26"/>
  <c r="AR754" i="26" s="1"/>
  <c r="AQ782" i="26"/>
  <c r="AR782" i="26" s="1"/>
  <c r="AQ793" i="26"/>
  <c r="AR793" i="26" s="1"/>
  <c r="AQ758" i="26"/>
  <c r="AR758" i="26" s="1"/>
  <c r="AQ767" i="26"/>
  <c r="AR767" i="26" s="1"/>
  <c r="AQ789" i="26"/>
  <c r="AR789" i="26" s="1"/>
  <c r="AQ747" i="26"/>
  <c r="AR747" i="26" s="1"/>
  <c r="AQ757" i="26"/>
  <c r="AR757" i="26" s="1"/>
  <c r="AQ746" i="26"/>
  <c r="AR746" i="26" s="1"/>
  <c r="AQ755" i="26"/>
  <c r="AR755" i="26" s="1"/>
  <c r="AQ759" i="26"/>
  <c r="AR759" i="26" s="1"/>
  <c r="AQ788" i="26"/>
  <c r="AR788" i="26" s="1"/>
  <c r="AQ774" i="26"/>
  <c r="AR774" i="26" s="1"/>
  <c r="AQ769" i="26"/>
  <c r="AR769" i="26" s="1"/>
  <c r="AQ766" i="26"/>
  <c r="AR766" i="26" s="1"/>
  <c r="AQ772" i="26"/>
  <c r="AR772" i="26" s="1"/>
  <c r="AQ776" i="26"/>
  <c r="AR776" i="26" s="1"/>
  <c r="AQ751" i="26"/>
  <c r="AR751" i="26" s="1"/>
  <c r="AQ773" i="26"/>
  <c r="AR773" i="26" s="1"/>
  <c r="AQ770" i="26"/>
  <c r="AR770" i="26" s="1"/>
  <c r="AQ756" i="26"/>
  <c r="AR756" i="26" s="1"/>
  <c r="AQ792" i="26"/>
  <c r="AR792" i="26" s="1"/>
  <c r="AQ762" i="26"/>
  <c r="AR762" i="26" s="1"/>
  <c r="AQ760" i="26"/>
  <c r="AR760" i="26" s="1"/>
  <c r="AQ780" i="26"/>
  <c r="AR780" i="26" s="1"/>
  <c r="AQ745" i="26"/>
  <c r="AR745" i="26" s="1"/>
  <c r="AQ748" i="26"/>
  <c r="AR748" i="26" s="1"/>
  <c r="AQ752" i="26"/>
  <c r="AR752" i="26" s="1"/>
  <c r="AQ763" i="26"/>
  <c r="AR763" i="26" s="1"/>
  <c r="AQ778" i="26"/>
  <c r="AR778" i="26" s="1"/>
  <c r="AQ761" i="26"/>
  <c r="AR761" i="26" s="1"/>
  <c r="AQ777" i="26"/>
  <c r="AR777" i="26" s="1"/>
  <c r="AQ794" i="26"/>
  <c r="AR794" i="26" s="1"/>
  <c r="AQ768" i="26"/>
  <c r="AR768" i="26" s="1"/>
  <c r="BQ41" i="26"/>
  <c r="BS41" i="26"/>
  <c r="BS129" i="26"/>
  <c r="BQ129" i="26"/>
  <c r="BS185" i="26"/>
  <c r="BQ185" i="26"/>
  <c r="BS241" i="26"/>
  <c r="BQ241" i="26"/>
  <c r="BS305" i="26"/>
  <c r="BQ305" i="26"/>
  <c r="BS385" i="26"/>
  <c r="BQ385" i="26"/>
  <c r="BS449" i="26"/>
  <c r="BQ449" i="26"/>
  <c r="BS521" i="26"/>
  <c r="BQ521" i="26"/>
  <c r="BS585" i="26"/>
  <c r="BQ585" i="26"/>
  <c r="BS665" i="26"/>
  <c r="BQ665" i="26"/>
  <c r="BQ721" i="26"/>
  <c r="BS721" i="26"/>
  <c r="O761" i="26"/>
  <c r="V761" i="26" s="1"/>
  <c r="AC761" i="26" s="1"/>
  <c r="O790" i="26"/>
  <c r="V790" i="26" s="1"/>
  <c r="AC790" i="26" s="1"/>
  <c r="O771" i="26"/>
  <c r="V771" i="26" s="1"/>
  <c r="AC771" i="26" s="1"/>
  <c r="O769" i="26"/>
  <c r="V769" i="26" s="1"/>
  <c r="AC769" i="26" s="1"/>
  <c r="O766" i="26"/>
  <c r="V766" i="26" s="1"/>
  <c r="AC766" i="26" s="1"/>
  <c r="O762" i="26"/>
  <c r="V762" i="26" s="1"/>
  <c r="AC762" i="26" s="1"/>
  <c r="O792" i="26"/>
  <c r="V792" i="26" s="1"/>
  <c r="AC792" i="26" s="1"/>
  <c r="O752" i="26"/>
  <c r="V752" i="26" s="1"/>
  <c r="AC752" i="26" s="1"/>
  <c r="O776" i="26"/>
  <c r="V776" i="26" s="1"/>
  <c r="AC776" i="26" s="1"/>
  <c r="O770" i="26"/>
  <c r="V770" i="26" s="1"/>
  <c r="AC770" i="26" s="1"/>
  <c r="O760" i="26"/>
  <c r="V760" i="26" s="1"/>
  <c r="AC760" i="26" s="1"/>
  <c r="O791" i="26"/>
  <c r="V791" i="26" s="1"/>
  <c r="AC791" i="26" s="1"/>
  <c r="O779" i="26"/>
  <c r="V779" i="26" s="1"/>
  <c r="AC779" i="26" s="1"/>
  <c r="O777" i="26"/>
  <c r="V777" i="26" s="1"/>
  <c r="AC777" i="26" s="1"/>
  <c r="O795" i="26"/>
  <c r="V795" i="26" s="1"/>
  <c r="AC795" i="26" s="1"/>
  <c r="O763" i="26"/>
  <c r="V763" i="26" s="1"/>
  <c r="AC763" i="26" s="1"/>
  <c r="O768" i="26"/>
  <c r="V768" i="26" s="1"/>
  <c r="AC768" i="26" s="1"/>
  <c r="O781" i="26"/>
  <c r="V781" i="26" s="1"/>
  <c r="AC781" i="26" s="1"/>
  <c r="O755" i="26"/>
  <c r="V755" i="26" s="1"/>
  <c r="AC755" i="26" s="1"/>
  <c r="O785" i="26"/>
  <c r="V785" i="26" s="1"/>
  <c r="AC785" i="26" s="1"/>
  <c r="O767" i="26"/>
  <c r="V767" i="26" s="1"/>
  <c r="AC767" i="26" s="1"/>
  <c r="O772" i="26"/>
  <c r="V772" i="26" s="1"/>
  <c r="AC772" i="26" s="1"/>
  <c r="O745" i="26"/>
  <c r="V745" i="26" s="1"/>
  <c r="AC745" i="26" s="1"/>
  <c r="O783" i="26"/>
  <c r="V783" i="26" s="1"/>
  <c r="AC783" i="26" s="1"/>
  <c r="O796" i="26"/>
  <c r="V796" i="26" s="1"/>
  <c r="AC796" i="26" s="1"/>
  <c r="O747" i="26"/>
  <c r="V747" i="26" s="1"/>
  <c r="AC747" i="26" s="1"/>
  <c r="O759" i="26"/>
  <c r="V759" i="26" s="1"/>
  <c r="AC759" i="26" s="1"/>
  <c r="O753" i="26"/>
  <c r="V753" i="26" s="1"/>
  <c r="AC753" i="26" s="1"/>
  <c r="O746" i="26"/>
  <c r="V746" i="26" s="1"/>
  <c r="AC746" i="26" s="1"/>
  <c r="O754" i="26"/>
  <c r="V754" i="26" s="1"/>
  <c r="AC754" i="26" s="1"/>
  <c r="O748" i="26"/>
  <c r="V748" i="26" s="1"/>
  <c r="AC748" i="26" s="1"/>
  <c r="O782" i="26"/>
  <c r="V782" i="26" s="1"/>
  <c r="AC782" i="26" s="1"/>
  <c r="O775" i="26"/>
  <c r="V775" i="26" s="1"/>
  <c r="AC775" i="26" s="1"/>
  <c r="O784" i="26"/>
  <c r="V784" i="26" s="1"/>
  <c r="AC784" i="26" s="1"/>
  <c r="O788" i="26"/>
  <c r="V788" i="26" s="1"/>
  <c r="AC788" i="26" s="1"/>
  <c r="O787" i="26"/>
  <c r="V787" i="26" s="1"/>
  <c r="AC787" i="26" s="1"/>
  <c r="O750" i="26"/>
  <c r="V750" i="26" s="1"/>
  <c r="AC750" i="26" s="1"/>
  <c r="O793" i="26"/>
  <c r="V793" i="26" s="1"/>
  <c r="AC793" i="26" s="1"/>
  <c r="O749" i="26"/>
  <c r="V749" i="26" s="1"/>
  <c r="AC749" i="26" s="1"/>
  <c r="O764" i="26"/>
  <c r="V764" i="26" s="1"/>
  <c r="AC764" i="26" s="1"/>
  <c r="O778" i="26"/>
  <c r="V778" i="26" s="1"/>
  <c r="AC778" i="26" s="1"/>
  <c r="O786" i="26"/>
  <c r="V786" i="26" s="1"/>
  <c r="AC786" i="26" s="1"/>
  <c r="O765" i="26"/>
  <c r="V765" i="26" s="1"/>
  <c r="AC765" i="26" s="1"/>
  <c r="O756" i="26"/>
  <c r="V756" i="26" s="1"/>
  <c r="AC756" i="26" s="1"/>
  <c r="O757" i="26"/>
  <c r="V757" i="26" s="1"/>
  <c r="AC757" i="26" s="1"/>
  <c r="O758" i="26"/>
  <c r="V758" i="26" s="1"/>
  <c r="AC758" i="26" s="1"/>
  <c r="O751" i="26"/>
  <c r="V751" i="26" s="1"/>
  <c r="AC751" i="26" s="1"/>
  <c r="O774" i="26"/>
  <c r="V774" i="26" s="1"/>
  <c r="AC774" i="26" s="1"/>
  <c r="O773" i="26"/>
  <c r="V773" i="26" s="1"/>
  <c r="AC773" i="26" s="1"/>
  <c r="O789" i="26"/>
  <c r="V789" i="26" s="1"/>
  <c r="AC789" i="26" s="1"/>
  <c r="O794" i="26"/>
  <c r="V794" i="26" s="1"/>
  <c r="AC794" i="26" s="1"/>
  <c r="O780" i="26"/>
  <c r="V780" i="26" s="1"/>
  <c r="AC780" i="26" s="1"/>
  <c r="P781" i="26"/>
  <c r="W781" i="26" s="1"/>
  <c r="AD781" i="26" s="1"/>
  <c r="P754" i="26"/>
  <c r="W754" i="26" s="1"/>
  <c r="AD754" i="26" s="1"/>
  <c r="P747" i="26"/>
  <c r="W747" i="26" s="1"/>
  <c r="AD747" i="26" s="1"/>
  <c r="P757" i="26"/>
  <c r="W757" i="26" s="1"/>
  <c r="AD757" i="26" s="1"/>
  <c r="P746" i="26"/>
  <c r="W746" i="26" s="1"/>
  <c r="AD746" i="26" s="1"/>
  <c r="P788" i="26"/>
  <c r="W788" i="26" s="1"/>
  <c r="AD788" i="26" s="1"/>
  <c r="P770" i="26"/>
  <c r="W770" i="26" s="1"/>
  <c r="AD770" i="26" s="1"/>
  <c r="P794" i="26"/>
  <c r="W794" i="26" s="1"/>
  <c r="AD794" i="26" s="1"/>
  <c r="P765" i="26"/>
  <c r="W765" i="26" s="1"/>
  <c r="AD765" i="26" s="1"/>
  <c r="P751" i="26"/>
  <c r="W751" i="26" s="1"/>
  <c r="AD751" i="26" s="1"/>
  <c r="P764" i="26"/>
  <c r="W764" i="26" s="1"/>
  <c r="AD764" i="26" s="1"/>
  <c r="P750" i="26"/>
  <c r="W750" i="26" s="1"/>
  <c r="AD750" i="26" s="1"/>
  <c r="P784" i="26"/>
  <c r="W784" i="26" s="1"/>
  <c r="AD784" i="26" s="1"/>
  <c r="P772" i="26"/>
  <c r="W772" i="26" s="1"/>
  <c r="AD772" i="26" s="1"/>
  <c r="P795" i="26"/>
  <c r="W795" i="26" s="1"/>
  <c r="AD795" i="26" s="1"/>
  <c r="P745" i="26"/>
  <c r="W745" i="26" s="1"/>
  <c r="AD745" i="26" s="1"/>
  <c r="P756" i="26"/>
  <c r="W756" i="26" s="1"/>
  <c r="AD756" i="26" s="1"/>
  <c r="P785" i="26"/>
  <c r="W785" i="26" s="1"/>
  <c r="AD785" i="26" s="1"/>
  <c r="P752" i="26"/>
  <c r="W752" i="26" s="1"/>
  <c r="AD752" i="26" s="1"/>
  <c r="P769" i="26"/>
  <c r="W769" i="26" s="1"/>
  <c r="AD769" i="26" s="1"/>
  <c r="P777" i="26"/>
  <c r="W777" i="26" s="1"/>
  <c r="AD777" i="26" s="1"/>
  <c r="P771" i="26"/>
  <c r="W771" i="26" s="1"/>
  <c r="AD771" i="26" s="1"/>
  <c r="P758" i="26"/>
  <c r="W758" i="26" s="1"/>
  <c r="AD758" i="26" s="1"/>
  <c r="P780" i="26"/>
  <c r="W780" i="26" s="1"/>
  <c r="AD780" i="26" s="1"/>
  <c r="P768" i="26"/>
  <c r="W768" i="26" s="1"/>
  <c r="AD768" i="26" s="1"/>
  <c r="P786" i="26"/>
  <c r="W786" i="26" s="1"/>
  <c r="AD786" i="26" s="1"/>
  <c r="P755" i="26"/>
  <c r="W755" i="26" s="1"/>
  <c r="AD755" i="26" s="1"/>
  <c r="P774" i="26"/>
  <c r="W774" i="26" s="1"/>
  <c r="AD774" i="26" s="1"/>
  <c r="P759" i="26"/>
  <c r="W759" i="26" s="1"/>
  <c r="AD759" i="26" s="1"/>
  <c r="P753" i="26"/>
  <c r="W753" i="26" s="1"/>
  <c r="AD753" i="26" s="1"/>
  <c r="P767" i="26"/>
  <c r="W767" i="26" s="1"/>
  <c r="AD767" i="26" s="1"/>
  <c r="P763" i="26"/>
  <c r="W763" i="26" s="1"/>
  <c r="AD763" i="26" s="1"/>
  <c r="P789" i="26"/>
  <c r="W789" i="26" s="1"/>
  <c r="AD789" i="26" s="1"/>
  <c r="P782" i="26"/>
  <c r="W782" i="26" s="1"/>
  <c r="AD782" i="26" s="1"/>
  <c r="P776" i="26"/>
  <c r="W776" i="26" s="1"/>
  <c r="AD776" i="26" s="1"/>
  <c r="P796" i="26"/>
  <c r="W796" i="26" s="1"/>
  <c r="AD796" i="26" s="1"/>
  <c r="P766" i="26"/>
  <c r="W766" i="26" s="1"/>
  <c r="AD766" i="26" s="1"/>
  <c r="P760" i="26"/>
  <c r="W760" i="26" s="1"/>
  <c r="AD760" i="26" s="1"/>
  <c r="P748" i="26"/>
  <c r="W748" i="26" s="1"/>
  <c r="AD748" i="26" s="1"/>
  <c r="P761" i="26"/>
  <c r="W761" i="26" s="1"/>
  <c r="AD761" i="26" s="1"/>
  <c r="P762" i="26"/>
  <c r="W762" i="26" s="1"/>
  <c r="AD762" i="26" s="1"/>
  <c r="P783" i="26"/>
  <c r="W783" i="26" s="1"/>
  <c r="AD783" i="26" s="1"/>
  <c r="P790" i="26"/>
  <c r="W790" i="26" s="1"/>
  <c r="AD790" i="26" s="1"/>
  <c r="P793" i="26"/>
  <c r="W793" i="26" s="1"/>
  <c r="AD793" i="26" s="1"/>
  <c r="P749" i="26"/>
  <c r="W749" i="26" s="1"/>
  <c r="AD749" i="26" s="1"/>
  <c r="P773" i="26"/>
  <c r="W773" i="26" s="1"/>
  <c r="AD773" i="26" s="1"/>
  <c r="P779" i="26"/>
  <c r="W779" i="26" s="1"/>
  <c r="AD779" i="26" s="1"/>
  <c r="P775" i="26"/>
  <c r="W775" i="26" s="1"/>
  <c r="AD775" i="26" s="1"/>
  <c r="P787" i="26"/>
  <c r="W787" i="26" s="1"/>
  <c r="AD787" i="26" s="1"/>
  <c r="P791" i="26"/>
  <c r="W791" i="26" s="1"/>
  <c r="AD791" i="26" s="1"/>
  <c r="P778" i="26"/>
  <c r="W778" i="26" s="1"/>
  <c r="AD778" i="26" s="1"/>
  <c r="P792" i="26"/>
  <c r="W792" i="26" s="1"/>
  <c r="AD792" i="26" s="1"/>
  <c r="BQ66" i="26"/>
  <c r="BS66" i="26"/>
  <c r="BS122" i="26"/>
  <c r="BQ122" i="26"/>
  <c r="BS194" i="26"/>
  <c r="BQ194" i="26"/>
  <c r="BQ250" i="26"/>
  <c r="BS250" i="26"/>
  <c r="BQ314" i="26"/>
  <c r="BS314" i="26"/>
  <c r="BQ370" i="26"/>
  <c r="BS370" i="26"/>
  <c r="BS426" i="26"/>
  <c r="BQ426" i="26"/>
  <c r="BQ482" i="26"/>
  <c r="BS482" i="26"/>
  <c r="BS594" i="26"/>
  <c r="BQ594" i="26"/>
  <c r="BQ674" i="26"/>
  <c r="BS674" i="26"/>
  <c r="BQ738" i="26"/>
  <c r="BS738" i="26"/>
  <c r="Q787" i="26"/>
  <c r="X787" i="26" s="1"/>
  <c r="AE787" i="26" s="1"/>
  <c r="Q771" i="26"/>
  <c r="X771" i="26" s="1"/>
  <c r="AE771" i="26" s="1"/>
  <c r="Q780" i="26"/>
  <c r="X780" i="26" s="1"/>
  <c r="AE780" i="26" s="1"/>
  <c r="Q746" i="26"/>
  <c r="X746" i="26" s="1"/>
  <c r="AE746" i="26" s="1"/>
  <c r="Q763" i="26"/>
  <c r="X763" i="26" s="1"/>
  <c r="AE763" i="26" s="1"/>
  <c r="Q775" i="26"/>
  <c r="X775" i="26" s="1"/>
  <c r="AE775" i="26" s="1"/>
  <c r="Q758" i="26"/>
  <c r="X758" i="26" s="1"/>
  <c r="AE758" i="26" s="1"/>
  <c r="Q777" i="26"/>
  <c r="X777" i="26" s="1"/>
  <c r="AE777" i="26" s="1"/>
  <c r="Q756" i="26"/>
  <c r="X756" i="26" s="1"/>
  <c r="AE756" i="26" s="1"/>
  <c r="Q786" i="26"/>
  <c r="X786" i="26" s="1"/>
  <c r="AE786" i="26" s="1"/>
  <c r="Q748" i="26"/>
  <c r="X748" i="26" s="1"/>
  <c r="AE748" i="26" s="1"/>
  <c r="Q792" i="26"/>
  <c r="X792" i="26" s="1"/>
  <c r="AE792" i="26" s="1"/>
  <c r="Q785" i="26"/>
  <c r="X785" i="26" s="1"/>
  <c r="AE785" i="26" s="1"/>
  <c r="Q776" i="26"/>
  <c r="X776" i="26" s="1"/>
  <c r="AE776" i="26" s="1"/>
  <c r="Q754" i="26"/>
  <c r="X754" i="26" s="1"/>
  <c r="AE754" i="26" s="1"/>
  <c r="Q764" i="26"/>
  <c r="X764" i="26" s="1"/>
  <c r="AE764" i="26" s="1"/>
  <c r="Q795" i="26"/>
  <c r="X795" i="26" s="1"/>
  <c r="AE795" i="26" s="1"/>
  <c r="Q766" i="26"/>
  <c r="X766" i="26" s="1"/>
  <c r="AE766" i="26" s="1"/>
  <c r="Q794" i="26"/>
  <c r="X794" i="26" s="1"/>
  <c r="AE794" i="26" s="1"/>
  <c r="Q768" i="26"/>
  <c r="X768" i="26" s="1"/>
  <c r="AE768" i="26" s="1"/>
  <c r="Q781" i="26"/>
  <c r="X781" i="26" s="1"/>
  <c r="AE781" i="26" s="1"/>
  <c r="Q755" i="26"/>
  <c r="X755" i="26" s="1"/>
  <c r="AE755" i="26" s="1"/>
  <c r="Q788" i="26"/>
  <c r="X788" i="26" s="1"/>
  <c r="AE788" i="26" s="1"/>
  <c r="Q774" i="26"/>
  <c r="X774" i="26" s="1"/>
  <c r="AE774" i="26" s="1"/>
  <c r="Q783" i="26"/>
  <c r="X783" i="26" s="1"/>
  <c r="AE783" i="26" s="1"/>
  <c r="Q793" i="26"/>
  <c r="X793" i="26" s="1"/>
  <c r="AE793" i="26" s="1"/>
  <c r="Q770" i="26"/>
  <c r="X770" i="26" s="1"/>
  <c r="AE770" i="26" s="1"/>
  <c r="Q753" i="26"/>
  <c r="X753" i="26" s="1"/>
  <c r="AE753" i="26" s="1"/>
  <c r="Q791" i="26"/>
  <c r="X791" i="26" s="1"/>
  <c r="AE791" i="26" s="1"/>
  <c r="Q769" i="26"/>
  <c r="X769" i="26" s="1"/>
  <c r="AE769" i="26" s="1"/>
  <c r="Q772" i="26"/>
  <c r="X772" i="26" s="1"/>
  <c r="AE772" i="26" s="1"/>
  <c r="Q751" i="26"/>
  <c r="X751" i="26" s="1"/>
  <c r="AE751" i="26" s="1"/>
  <c r="Q759" i="26"/>
  <c r="X759" i="26" s="1"/>
  <c r="AE759" i="26" s="1"/>
  <c r="Q760" i="26"/>
  <c r="X760" i="26" s="1"/>
  <c r="AE760" i="26" s="1"/>
  <c r="Q782" i="26"/>
  <c r="X782" i="26" s="1"/>
  <c r="AE782" i="26" s="1"/>
  <c r="Q745" i="26"/>
  <c r="X745" i="26" s="1"/>
  <c r="AE745" i="26" s="1"/>
  <c r="Q765" i="26"/>
  <c r="X765" i="26" s="1"/>
  <c r="AE765" i="26" s="1"/>
  <c r="Q789" i="26"/>
  <c r="X789" i="26" s="1"/>
  <c r="AE789" i="26" s="1"/>
  <c r="Q747" i="26"/>
  <c r="X747" i="26" s="1"/>
  <c r="AE747" i="26" s="1"/>
  <c r="Q749" i="26"/>
  <c r="X749" i="26" s="1"/>
  <c r="AE749" i="26" s="1"/>
  <c r="Q750" i="26"/>
  <c r="X750" i="26" s="1"/>
  <c r="AE750" i="26" s="1"/>
  <c r="Q790" i="26"/>
  <c r="X790" i="26" s="1"/>
  <c r="AE790" i="26" s="1"/>
  <c r="Q767" i="26"/>
  <c r="X767" i="26" s="1"/>
  <c r="AE767" i="26" s="1"/>
  <c r="Q796" i="26"/>
  <c r="X796" i="26" s="1"/>
  <c r="AE796" i="26" s="1"/>
  <c r="Q752" i="26"/>
  <c r="X752" i="26" s="1"/>
  <c r="AE752" i="26" s="1"/>
  <c r="Q757" i="26"/>
  <c r="X757" i="26" s="1"/>
  <c r="AE757" i="26" s="1"/>
  <c r="Q762" i="26"/>
  <c r="X762" i="26" s="1"/>
  <c r="AE762" i="26" s="1"/>
  <c r="Q761" i="26"/>
  <c r="X761" i="26" s="1"/>
  <c r="AE761" i="26" s="1"/>
  <c r="Q779" i="26"/>
  <c r="X779" i="26" s="1"/>
  <c r="AE779" i="26" s="1"/>
  <c r="Q778" i="26"/>
  <c r="X778" i="26" s="1"/>
  <c r="AE778" i="26" s="1"/>
  <c r="Q784" i="26"/>
  <c r="X784" i="26" s="1"/>
  <c r="AE784" i="26" s="1"/>
  <c r="Q773" i="26"/>
  <c r="X773" i="26" s="1"/>
  <c r="AE773" i="26" s="1"/>
  <c r="BS59" i="26"/>
  <c r="BQ59" i="26"/>
  <c r="BS123" i="26"/>
  <c r="BQ123" i="26"/>
  <c r="BS179" i="26"/>
  <c r="BQ179" i="26"/>
  <c r="BS235" i="26"/>
  <c r="BQ235" i="26"/>
  <c r="BS323" i="26"/>
  <c r="BQ323" i="26"/>
  <c r="BQ371" i="26"/>
  <c r="BS371" i="26"/>
  <c r="BS419" i="26"/>
  <c r="BQ419" i="26"/>
  <c r="BS467" i="26"/>
  <c r="BQ467" i="26"/>
  <c r="BQ563" i="26"/>
  <c r="BS563" i="26"/>
  <c r="BQ611" i="26"/>
  <c r="BS611" i="26"/>
  <c r="BQ707" i="26"/>
  <c r="BS707" i="26"/>
  <c r="BQ787" i="26"/>
  <c r="BS787" i="26"/>
  <c r="N12" i="26"/>
  <c r="U12" i="26" s="1"/>
  <c r="N13" i="26"/>
  <c r="U13" i="26" s="1"/>
  <c r="N14" i="26"/>
  <c r="U14" i="26" s="1"/>
  <c r="N18" i="26"/>
  <c r="U18" i="26" s="1"/>
  <c r="N16" i="26"/>
  <c r="U16" i="26" s="1"/>
  <c r="N10" i="26"/>
  <c r="U10" i="26" s="1"/>
  <c r="N11" i="26"/>
  <c r="U11" i="26" s="1"/>
  <c r="N15" i="26"/>
  <c r="U15" i="26" s="1"/>
  <c r="N17" i="26"/>
  <c r="U17" i="26" s="1"/>
  <c r="N9" i="26"/>
  <c r="U9" i="26" s="1"/>
  <c r="N106" i="26"/>
  <c r="U106" i="26" s="1"/>
  <c r="N133" i="26"/>
  <c r="U133" i="26" s="1"/>
  <c r="N75" i="26"/>
  <c r="U75" i="26" s="1"/>
  <c r="N121" i="26"/>
  <c r="U121" i="26" s="1"/>
  <c r="N120" i="26"/>
  <c r="U120" i="26" s="1"/>
  <c r="N55" i="26"/>
  <c r="U55" i="26" s="1"/>
  <c r="N100" i="26"/>
  <c r="U100" i="26" s="1"/>
  <c r="N42" i="26"/>
  <c r="U42" i="26" s="1"/>
  <c r="N111" i="26"/>
  <c r="U111" i="26" s="1"/>
  <c r="N122" i="26"/>
  <c r="U122" i="26" s="1"/>
  <c r="N31" i="26"/>
  <c r="U31" i="26" s="1"/>
  <c r="N81" i="26"/>
  <c r="U81" i="26" s="1"/>
  <c r="N117" i="26"/>
  <c r="U117" i="26" s="1"/>
  <c r="N51" i="26"/>
  <c r="U51" i="26" s="1"/>
  <c r="N46" i="26"/>
  <c r="U46" i="26" s="1"/>
  <c r="N41" i="26"/>
  <c r="U41" i="26" s="1"/>
  <c r="N71" i="26"/>
  <c r="U71" i="26" s="1"/>
  <c r="N36" i="26"/>
  <c r="U36" i="26" s="1"/>
  <c r="N127" i="26"/>
  <c r="U127" i="26" s="1"/>
  <c r="N113" i="26"/>
  <c r="U113" i="26" s="1"/>
  <c r="N86" i="26"/>
  <c r="U86" i="26" s="1"/>
  <c r="N56" i="26"/>
  <c r="U56" i="26" s="1"/>
  <c r="N61" i="26"/>
  <c r="U61" i="26" s="1"/>
  <c r="N66" i="26"/>
  <c r="U66" i="26" s="1"/>
  <c r="N105" i="26"/>
  <c r="U105" i="26" s="1"/>
  <c r="N35" i="26"/>
  <c r="U35" i="26" s="1"/>
  <c r="N30" i="26"/>
  <c r="U30" i="26" s="1"/>
  <c r="N25" i="26"/>
  <c r="U25" i="26" s="1"/>
  <c r="N87" i="26"/>
  <c r="U87" i="26" s="1"/>
  <c r="N132" i="26"/>
  <c r="U132" i="26" s="1"/>
  <c r="N126" i="26"/>
  <c r="U126" i="26" s="1"/>
  <c r="N124" i="26"/>
  <c r="U124" i="26" s="1"/>
  <c r="N72" i="26"/>
  <c r="U72" i="26" s="1"/>
  <c r="N129" i="26"/>
  <c r="U129" i="26" s="1"/>
  <c r="N76" i="26"/>
  <c r="U76" i="26" s="1"/>
  <c r="N82" i="26"/>
  <c r="U82" i="26" s="1"/>
  <c r="N96" i="26"/>
  <c r="U96" i="26" s="1"/>
  <c r="N50" i="26"/>
  <c r="U50" i="26" s="1"/>
  <c r="N62" i="26"/>
  <c r="U62" i="26" s="1"/>
  <c r="N67" i="26"/>
  <c r="U67" i="26" s="1"/>
  <c r="N118" i="26"/>
  <c r="U118" i="26" s="1"/>
  <c r="N98" i="26"/>
  <c r="U98" i="26" s="1"/>
  <c r="N85" i="26"/>
  <c r="U85" i="26" s="1"/>
  <c r="N94" i="26"/>
  <c r="U94" i="26" s="1"/>
  <c r="N102" i="26"/>
  <c r="U102" i="26" s="1"/>
  <c r="N107" i="26"/>
  <c r="U107" i="26" s="1"/>
  <c r="N29" i="26"/>
  <c r="U29" i="26" s="1"/>
  <c r="N20" i="26"/>
  <c r="U20" i="26" s="1"/>
  <c r="N110" i="26"/>
  <c r="U110" i="26" s="1"/>
  <c r="N65" i="26"/>
  <c r="U65" i="26" s="1"/>
  <c r="N34" i="26"/>
  <c r="U34" i="26" s="1"/>
  <c r="N79" i="26"/>
  <c r="U79" i="26" s="1"/>
  <c r="N19" i="26"/>
  <c r="U19" i="26" s="1"/>
  <c r="N58" i="26"/>
  <c r="U58" i="26" s="1"/>
  <c r="N125" i="26"/>
  <c r="U125" i="26" s="1"/>
  <c r="N108" i="26"/>
  <c r="U108" i="26" s="1"/>
  <c r="N28" i="26"/>
  <c r="U28" i="26" s="1"/>
  <c r="N54" i="26"/>
  <c r="U54" i="26" s="1"/>
  <c r="N91" i="26"/>
  <c r="U91" i="26" s="1"/>
  <c r="N40" i="26"/>
  <c r="U40" i="26" s="1"/>
  <c r="N119" i="26"/>
  <c r="U119" i="26" s="1"/>
  <c r="N8" i="26"/>
  <c r="U8" i="26" s="1"/>
  <c r="N88" i="26"/>
  <c r="U88" i="26" s="1"/>
  <c r="N48" i="26"/>
  <c r="U48" i="26" s="1"/>
  <c r="N130" i="26"/>
  <c r="U130" i="26" s="1"/>
  <c r="N128" i="26"/>
  <c r="U128" i="26" s="1"/>
  <c r="N80" i="26"/>
  <c r="U80" i="26" s="1"/>
  <c r="N95" i="26"/>
  <c r="U95" i="26" s="1"/>
  <c r="N59" i="26"/>
  <c r="U59" i="26" s="1"/>
  <c r="N68" i="26"/>
  <c r="U68" i="26" s="1"/>
  <c r="N73" i="26"/>
  <c r="U73" i="26" s="1"/>
  <c r="N27" i="26"/>
  <c r="U27" i="26" s="1"/>
  <c r="N135" i="26"/>
  <c r="U135" i="26" s="1"/>
  <c r="N47" i="26"/>
  <c r="U47" i="26" s="1"/>
  <c r="N109" i="26"/>
  <c r="U109" i="26" s="1"/>
  <c r="N92" i="26"/>
  <c r="U92" i="26" s="1"/>
  <c r="N69" i="26"/>
  <c r="U69" i="26" s="1"/>
  <c r="N78" i="26"/>
  <c r="U78" i="26" s="1"/>
  <c r="N57" i="26"/>
  <c r="U57" i="26" s="1"/>
  <c r="N104" i="26"/>
  <c r="U104" i="26" s="1"/>
  <c r="N114" i="26"/>
  <c r="U114" i="26" s="1"/>
  <c r="N49" i="26"/>
  <c r="U49" i="26" s="1"/>
  <c r="N37" i="26"/>
  <c r="U37" i="26" s="1"/>
  <c r="N24" i="26"/>
  <c r="U24" i="26" s="1"/>
  <c r="N26" i="26"/>
  <c r="U26" i="26" s="1"/>
  <c r="N70" i="26"/>
  <c r="U70" i="26" s="1"/>
  <c r="N83" i="26"/>
  <c r="U83" i="26" s="1"/>
  <c r="N45" i="26"/>
  <c r="U45" i="26" s="1"/>
  <c r="N112" i="26"/>
  <c r="U112" i="26" s="1"/>
  <c r="N52" i="26"/>
  <c r="U52" i="26" s="1"/>
  <c r="N39" i="26"/>
  <c r="U39" i="26" s="1"/>
  <c r="N99" i="26"/>
  <c r="U99" i="26" s="1"/>
  <c r="N93" i="26"/>
  <c r="U93" i="26" s="1"/>
  <c r="N38" i="26"/>
  <c r="U38" i="26" s="1"/>
  <c r="N116" i="26"/>
  <c r="U116" i="26" s="1"/>
  <c r="N101" i="26"/>
  <c r="U101" i="26" s="1"/>
  <c r="N74" i="26"/>
  <c r="U74" i="26" s="1"/>
  <c r="N64" i="26"/>
  <c r="U64" i="26" s="1"/>
  <c r="N77" i="26"/>
  <c r="U77" i="26" s="1"/>
  <c r="N134" i="26"/>
  <c r="U134" i="26" s="1"/>
  <c r="N115" i="26"/>
  <c r="U115" i="26" s="1"/>
  <c r="N43" i="26"/>
  <c r="U43" i="26" s="1"/>
  <c r="N23" i="26"/>
  <c r="U23" i="26" s="1"/>
  <c r="N103" i="26"/>
  <c r="U103" i="26" s="1"/>
  <c r="N131" i="26"/>
  <c r="U131" i="26" s="1"/>
  <c r="N33" i="26"/>
  <c r="U33" i="26" s="1"/>
  <c r="N63" i="26"/>
  <c r="U63" i="26" s="1"/>
  <c r="N44" i="26"/>
  <c r="U44" i="26" s="1"/>
  <c r="N123" i="26"/>
  <c r="U123" i="26" s="1"/>
  <c r="N89" i="26"/>
  <c r="U89" i="26" s="1"/>
  <c r="N84" i="26"/>
  <c r="U84" i="26" s="1"/>
  <c r="N22" i="26"/>
  <c r="U22" i="26" s="1"/>
  <c r="N97" i="26"/>
  <c r="U97" i="26" s="1"/>
  <c r="N32" i="26"/>
  <c r="U32" i="26" s="1"/>
  <c r="N21" i="26"/>
  <c r="U21" i="26" s="1"/>
  <c r="N53" i="26"/>
  <c r="U53" i="26" s="1"/>
  <c r="N90" i="26"/>
  <c r="U90" i="26" s="1"/>
  <c r="N60" i="26"/>
  <c r="U60" i="26" s="1"/>
  <c r="N261" i="26"/>
  <c r="U261" i="26" s="1"/>
  <c r="N538" i="26"/>
  <c r="U538" i="26" s="1"/>
  <c r="N664" i="26"/>
  <c r="U664" i="26" s="1"/>
  <c r="N559" i="26"/>
  <c r="U559" i="26" s="1"/>
  <c r="N560" i="26"/>
  <c r="U560" i="26" s="1"/>
  <c r="N404" i="26"/>
  <c r="U404" i="26" s="1"/>
  <c r="N401" i="26"/>
  <c r="U401" i="26" s="1"/>
  <c r="N416" i="26"/>
  <c r="U416" i="26" s="1"/>
  <c r="N663" i="26"/>
  <c r="U663" i="26" s="1"/>
  <c r="N656" i="26"/>
  <c r="U656" i="26" s="1"/>
  <c r="N258" i="26"/>
  <c r="U258" i="26" s="1"/>
  <c r="N681" i="26"/>
  <c r="U681" i="26" s="1"/>
  <c r="N335" i="26"/>
  <c r="U335" i="26" s="1"/>
  <c r="N254" i="26"/>
  <c r="U254" i="26" s="1"/>
  <c r="N353" i="26"/>
  <c r="U353" i="26" s="1"/>
  <c r="N383" i="26"/>
  <c r="U383" i="26" s="1"/>
  <c r="N340" i="26"/>
  <c r="U340" i="26" s="1"/>
  <c r="N328" i="26"/>
  <c r="U328" i="26" s="1"/>
  <c r="N719" i="26"/>
  <c r="U719" i="26" s="1"/>
  <c r="N713" i="26"/>
  <c r="U713" i="26" s="1"/>
  <c r="N361" i="26"/>
  <c r="U361" i="26" s="1"/>
  <c r="N279" i="26"/>
  <c r="U279" i="26" s="1"/>
  <c r="N708" i="26"/>
  <c r="U708" i="26" s="1"/>
  <c r="N730" i="26"/>
  <c r="U730" i="26" s="1"/>
  <c r="N337" i="26"/>
  <c r="U337" i="26" s="1"/>
  <c r="N350" i="26"/>
  <c r="U350" i="26" s="1"/>
  <c r="N294" i="26"/>
  <c r="U294" i="26" s="1"/>
  <c r="N662" i="26"/>
  <c r="U662" i="26" s="1"/>
  <c r="N308" i="26"/>
  <c r="U308" i="26" s="1"/>
  <c r="N651" i="26"/>
  <c r="U651" i="26" s="1"/>
  <c r="N680" i="26"/>
  <c r="U680" i="26" s="1"/>
  <c r="N411" i="26"/>
  <c r="U411" i="26" s="1"/>
  <c r="N271" i="26"/>
  <c r="U271" i="26" s="1"/>
  <c r="N669" i="26"/>
  <c r="U669" i="26" s="1"/>
  <c r="N699" i="26"/>
  <c r="U699" i="26" s="1"/>
  <c r="N386" i="26"/>
  <c r="U386" i="26" s="1"/>
  <c r="N389" i="26"/>
  <c r="U389" i="26" s="1"/>
  <c r="N718" i="26"/>
  <c r="U718" i="26" s="1"/>
  <c r="N394" i="26"/>
  <c r="U394" i="26" s="1"/>
  <c r="N275" i="26"/>
  <c r="U275" i="26" s="1"/>
  <c r="N265" i="26"/>
  <c r="U265" i="26" s="1"/>
  <c r="N704" i="26"/>
  <c r="U704" i="26" s="1"/>
  <c r="N562" i="26"/>
  <c r="U562" i="26" s="1"/>
  <c r="N606" i="26"/>
  <c r="U606" i="26" s="1"/>
  <c r="N602" i="26"/>
  <c r="U602" i="26" s="1"/>
  <c r="N598" i="26"/>
  <c r="U598" i="26" s="1"/>
  <c r="N661" i="26"/>
  <c r="U661" i="26" s="1"/>
  <c r="N260" i="26"/>
  <c r="U260" i="26" s="1"/>
  <c r="N327" i="26"/>
  <c r="U327" i="26" s="1"/>
  <c r="N679" i="26"/>
  <c r="U679" i="26" s="1"/>
  <c r="N674" i="26"/>
  <c r="U674" i="26" s="1"/>
  <c r="N589" i="26"/>
  <c r="U589" i="26" s="1"/>
  <c r="N382" i="26"/>
  <c r="U382" i="26" s="1"/>
  <c r="N693" i="26"/>
  <c r="U693" i="26" s="1"/>
  <c r="N274" i="26"/>
  <c r="U274" i="26" s="1"/>
  <c r="N283" i="26"/>
  <c r="U283" i="26" s="1"/>
  <c r="N297" i="26"/>
  <c r="U297" i="26" s="1"/>
  <c r="N485" i="26"/>
  <c r="U485" i="26" s="1"/>
  <c r="N429" i="26"/>
  <c r="U429" i="26" s="1"/>
  <c r="N734" i="26"/>
  <c r="U734" i="26" s="1"/>
  <c r="N724" i="26"/>
  <c r="U724" i="26" s="1"/>
  <c r="N580" i="26"/>
  <c r="U580" i="26" s="1"/>
  <c r="N317" i="26"/>
  <c r="U317" i="26" s="1"/>
  <c r="N484" i="26"/>
  <c r="U484" i="26" s="1"/>
  <c r="N620" i="26"/>
  <c r="U620" i="26" s="1"/>
  <c r="N458" i="26"/>
  <c r="U458" i="26" s="1"/>
  <c r="N555" i="26"/>
  <c r="U555" i="26" s="1"/>
  <c r="N521" i="26"/>
  <c r="U521" i="26" s="1"/>
  <c r="N736" i="26"/>
  <c r="U736" i="26" s="1"/>
  <c r="N515" i="26"/>
  <c r="U515" i="26" s="1"/>
  <c r="N344" i="26"/>
  <c r="U344" i="26" s="1"/>
  <c r="N643" i="26"/>
  <c r="U643" i="26" s="1"/>
  <c r="N638" i="26"/>
  <c r="U638" i="26" s="1"/>
  <c r="N552" i="26"/>
  <c r="U552" i="26" s="1"/>
  <c r="N572" i="26"/>
  <c r="U572" i="26" s="1"/>
  <c r="N259" i="26"/>
  <c r="U259" i="26" s="1"/>
  <c r="N530" i="26"/>
  <c r="U530" i="26" s="1"/>
  <c r="N409" i="26"/>
  <c r="U409" i="26" s="1"/>
  <c r="N412" i="26"/>
  <c r="U412" i="26" s="1"/>
  <c r="N373" i="26"/>
  <c r="U373" i="26" s="1"/>
  <c r="N588" i="26"/>
  <c r="U588" i="26" s="1"/>
  <c r="N385" i="26"/>
  <c r="U385" i="26" s="1"/>
  <c r="N586" i="26"/>
  <c r="U586" i="26" s="1"/>
  <c r="N534" i="26"/>
  <c r="U534" i="26" s="1"/>
  <c r="N395" i="26"/>
  <c r="U395" i="26" s="1"/>
  <c r="N280" i="26"/>
  <c r="U280" i="26" s="1"/>
  <c r="N490" i="26"/>
  <c r="U490" i="26" s="1"/>
  <c r="N733" i="26"/>
  <c r="U733" i="26" s="1"/>
  <c r="N431" i="26"/>
  <c r="U431" i="26" s="1"/>
  <c r="N604" i="26"/>
  <c r="U604" i="26" s="1"/>
  <c r="N470" i="26"/>
  <c r="U470" i="26" s="1"/>
  <c r="N299" i="26"/>
  <c r="U299" i="26" s="1"/>
  <c r="N543" i="26"/>
  <c r="U543" i="26" s="1"/>
  <c r="N457" i="26"/>
  <c r="U457" i="26" s="1"/>
  <c r="N557" i="26"/>
  <c r="U557" i="26" s="1"/>
  <c r="N434" i="26"/>
  <c r="U434" i="26" s="1"/>
  <c r="N737" i="26"/>
  <c r="U737" i="26" s="1"/>
  <c r="N575" i="26"/>
  <c r="U575" i="26" s="1"/>
  <c r="N323" i="26"/>
  <c r="U323" i="26" s="1"/>
  <c r="N642" i="26"/>
  <c r="U642" i="26" s="1"/>
  <c r="N725" i="26"/>
  <c r="U725" i="26" s="1"/>
  <c r="N262" i="26"/>
  <c r="U262" i="26" s="1"/>
  <c r="N486" i="26"/>
  <c r="U486" i="26" s="1"/>
  <c r="N400" i="26"/>
  <c r="U400" i="26" s="1"/>
  <c r="N657" i="26"/>
  <c r="U657" i="26" s="1"/>
  <c r="N593" i="26"/>
  <c r="U593" i="26" s="1"/>
  <c r="N678" i="26"/>
  <c r="U678" i="26" s="1"/>
  <c r="N318" i="26"/>
  <c r="U318" i="26" s="1"/>
  <c r="N670" i="26"/>
  <c r="U670" i="26" s="1"/>
  <c r="N701" i="26"/>
  <c r="U701" i="26" s="1"/>
  <c r="N587" i="26"/>
  <c r="U587" i="26" s="1"/>
  <c r="N285" i="26"/>
  <c r="U285" i="26" s="1"/>
  <c r="N717" i="26"/>
  <c r="U717" i="26" s="1"/>
  <c r="N584" i="26"/>
  <c r="U584" i="26" s="1"/>
  <c r="N362" i="26"/>
  <c r="U362" i="26" s="1"/>
  <c r="N365" i="26"/>
  <c r="U365" i="26" s="1"/>
  <c r="N732" i="26"/>
  <c r="U732" i="26" s="1"/>
  <c r="N251" i="26"/>
  <c r="U251" i="26" s="1"/>
  <c r="N603" i="26"/>
  <c r="U603" i="26" s="1"/>
  <c r="N250" i="26"/>
  <c r="U250" i="26" s="1"/>
  <c r="N628" i="26"/>
  <c r="U628" i="26" s="1"/>
  <c r="N612" i="26"/>
  <c r="U612" i="26" s="1"/>
  <c r="N542" i="26"/>
  <c r="U542" i="26" s="1"/>
  <c r="N448" i="26"/>
  <c r="U448" i="26" s="1"/>
  <c r="N292" i="26"/>
  <c r="U292" i="26" s="1"/>
  <c r="N549" i="26"/>
  <c r="U549" i="26" s="1"/>
  <c r="N614" i="26"/>
  <c r="U614" i="26" s="1"/>
  <c r="N647" i="26"/>
  <c r="U647" i="26" s="1"/>
  <c r="N440" i="26"/>
  <c r="U440" i="26" s="1"/>
  <c r="N637" i="26"/>
  <c r="U637" i="26" s="1"/>
  <c r="N498" i="26"/>
  <c r="U498" i="26" s="1"/>
  <c r="N631" i="26"/>
  <c r="U631" i="26" s="1"/>
  <c r="N296" i="26"/>
  <c r="U296" i="26" s="1"/>
  <c r="N305" i="26"/>
  <c r="U305" i="26" s="1"/>
  <c r="N257" i="26"/>
  <c r="U257" i="26" s="1"/>
  <c r="N419" i="26"/>
  <c r="U419" i="26" s="1"/>
  <c r="N420" i="26"/>
  <c r="U420" i="26" s="1"/>
  <c r="N269" i="26"/>
  <c r="U269" i="26" s="1"/>
  <c r="N288" i="26"/>
  <c r="U288" i="26" s="1"/>
  <c r="N442" i="26"/>
  <c r="U442" i="26" s="1"/>
  <c r="N370" i="26"/>
  <c r="U370" i="26" s="1"/>
  <c r="N716" i="26"/>
  <c r="U716" i="26" s="1"/>
  <c r="N425" i="26"/>
  <c r="U425" i="26" s="1"/>
  <c r="N480" i="26"/>
  <c r="U480" i="26" s="1"/>
  <c r="N342" i="26"/>
  <c r="U342" i="26" s="1"/>
  <c r="N264" i="26"/>
  <c r="U264" i="26" s="1"/>
  <c r="N432" i="26"/>
  <c r="U432" i="26" s="1"/>
  <c r="N496" i="26"/>
  <c r="U496" i="26" s="1"/>
  <c r="N578" i="26"/>
  <c r="U578" i="26" s="1"/>
  <c r="N627" i="26"/>
  <c r="U627" i="26" s="1"/>
  <c r="N464" i="26"/>
  <c r="U464" i="26" s="1"/>
  <c r="N466" i="26"/>
  <c r="U466" i="26" s="1"/>
  <c r="N468" i="26"/>
  <c r="U468" i="26" s="1"/>
  <c r="N571" i="26"/>
  <c r="U571" i="26" s="1"/>
  <c r="N345" i="26"/>
  <c r="U345" i="26" s="1"/>
  <c r="N460" i="26"/>
  <c r="U460" i="26" s="1"/>
  <c r="N298" i="26"/>
  <c r="U298" i="26" s="1"/>
  <c r="N351" i="26"/>
  <c r="U351" i="26" s="1"/>
  <c r="N329" i="26"/>
  <c r="U329" i="26" s="1"/>
  <c r="N489" i="26"/>
  <c r="U489" i="26" s="1"/>
  <c r="N456" i="26"/>
  <c r="U456" i="26" s="1"/>
  <c r="N445" i="26"/>
  <c r="U445" i="26" s="1"/>
  <c r="N655" i="26"/>
  <c r="U655" i="26" s="1"/>
  <c r="N650" i="26"/>
  <c r="U650" i="26" s="1"/>
  <c r="N532" i="26"/>
  <c r="U532" i="26" s="1"/>
  <c r="N673" i="26"/>
  <c r="U673" i="26" s="1"/>
  <c r="N506" i="26"/>
  <c r="U506" i="26" s="1"/>
  <c r="N307" i="26"/>
  <c r="U307" i="26" s="1"/>
  <c r="N286" i="26"/>
  <c r="U286" i="26" s="1"/>
  <c r="N687" i="26"/>
  <c r="U687" i="26" s="1"/>
  <c r="N392" i="26"/>
  <c r="U392" i="26" s="1"/>
  <c r="N311" i="26"/>
  <c r="U311" i="26" s="1"/>
  <c r="N473" i="26"/>
  <c r="U473" i="26" s="1"/>
  <c r="N710" i="26"/>
  <c r="U710" i="26" s="1"/>
  <c r="N731" i="26"/>
  <c r="U731" i="26" s="1"/>
  <c r="N263" i="26"/>
  <c r="U263" i="26" s="1"/>
  <c r="N497" i="26"/>
  <c r="U497" i="26" s="1"/>
  <c r="N291" i="26"/>
  <c r="U291" i="26" s="1"/>
  <c r="N544" i="26"/>
  <c r="U544" i="26" s="1"/>
  <c r="N619" i="26"/>
  <c r="U619" i="26" s="1"/>
  <c r="N455" i="26"/>
  <c r="U455" i="26" s="1"/>
  <c r="N301" i="26"/>
  <c r="U301" i="26" s="1"/>
  <c r="N726" i="26"/>
  <c r="U726" i="26" s="1"/>
  <c r="N738" i="26"/>
  <c r="U738" i="26" s="1"/>
  <c r="N613" i="26"/>
  <c r="U613" i="26" s="1"/>
  <c r="N646" i="26"/>
  <c r="U646" i="26" s="1"/>
  <c r="N316" i="26"/>
  <c r="U316" i="26" s="1"/>
  <c r="N517" i="26"/>
  <c r="U517" i="26" s="1"/>
  <c r="N546" i="26"/>
  <c r="U546" i="26" s="1"/>
  <c r="N321" i="26"/>
  <c r="U321" i="26" s="1"/>
  <c r="N354" i="26"/>
  <c r="U354" i="26" s="1"/>
  <c r="N339" i="26"/>
  <c r="U339" i="26" s="1"/>
  <c r="N381" i="26"/>
  <c r="U381" i="26" s="1"/>
  <c r="N695" i="26"/>
  <c r="U695" i="26" s="1"/>
  <c r="N720" i="26"/>
  <c r="U720" i="26" s="1"/>
  <c r="N510" i="26"/>
  <c r="U510" i="26" s="1"/>
  <c r="N427" i="26"/>
  <c r="U427" i="26" s="1"/>
  <c r="N367" i="26"/>
  <c r="U367" i="26" s="1"/>
  <c r="N397" i="26"/>
  <c r="U397" i="26" s="1"/>
  <c r="N579" i="26"/>
  <c r="U579" i="26" s="1"/>
  <c r="N248" i="26"/>
  <c r="U248" i="26" s="1"/>
  <c r="N617" i="26"/>
  <c r="U617" i="26" s="1"/>
  <c r="N289" i="26"/>
  <c r="U289" i="26" s="1"/>
  <c r="N729" i="26"/>
  <c r="U729" i="26" s="1"/>
  <c r="N482" i="26"/>
  <c r="U482" i="26" s="1"/>
  <c r="N332" i="26"/>
  <c r="U332" i="26" s="1"/>
  <c r="N722" i="26"/>
  <c r="U722" i="26" s="1"/>
  <c r="N525" i="26"/>
  <c r="U525" i="26" s="1"/>
  <c r="N654" i="26"/>
  <c r="U654" i="26" s="1"/>
  <c r="N683" i="26"/>
  <c r="U683" i="26" s="1"/>
  <c r="N672" i="26"/>
  <c r="U672" i="26" s="1"/>
  <c r="N268" i="26"/>
  <c r="U268" i="26" s="1"/>
  <c r="N694" i="26"/>
  <c r="U694" i="26" s="1"/>
  <c r="N390" i="26"/>
  <c r="U390" i="26" s="1"/>
  <c r="N293" i="26"/>
  <c r="U293" i="26" s="1"/>
  <c r="N428" i="26"/>
  <c r="U428" i="26" s="1"/>
  <c r="N277" i="26"/>
  <c r="U277" i="26" s="1"/>
  <c r="N492" i="26"/>
  <c r="U492" i="26" s="1"/>
  <c r="N502" i="26"/>
  <c r="U502" i="26" s="1"/>
  <c r="N626" i="26"/>
  <c r="U626" i="26" s="1"/>
  <c r="N463" i="26"/>
  <c r="U463" i="26" s="1"/>
  <c r="N331" i="26"/>
  <c r="U331" i="26" s="1"/>
  <c r="N556" i="26"/>
  <c r="U556" i="26" s="1"/>
  <c r="N569" i="26"/>
  <c r="U569" i="26" s="1"/>
  <c r="N644" i="26"/>
  <c r="U644" i="26" s="1"/>
  <c r="N723" i="26"/>
  <c r="U723" i="26" s="1"/>
  <c r="N399" i="26"/>
  <c r="U399" i="26" s="1"/>
  <c r="N539" i="26"/>
  <c r="U539" i="26" s="1"/>
  <c r="N375" i="26"/>
  <c r="U375" i="26" s="1"/>
  <c r="N413" i="26"/>
  <c r="U413" i="26" s="1"/>
  <c r="N295" i="26"/>
  <c r="U295" i="26" s="1"/>
  <c r="N371" i="26"/>
  <c r="U371" i="26" s="1"/>
  <c r="N284" i="26"/>
  <c r="U284" i="26" s="1"/>
  <c r="N712" i="26"/>
  <c r="U712" i="26" s="1"/>
  <c r="N563" i="26"/>
  <c r="U563" i="26" s="1"/>
  <c r="N735" i="26"/>
  <c r="U735" i="26" s="1"/>
  <c r="N553" i="26"/>
  <c r="U553" i="26" s="1"/>
  <c r="N503" i="26"/>
  <c r="U503" i="26" s="1"/>
  <c r="N348" i="26"/>
  <c r="U348" i="26" s="1"/>
  <c r="N465" i="26"/>
  <c r="U465" i="26" s="1"/>
  <c r="N469" i="26"/>
  <c r="U469" i="26" s="1"/>
  <c r="N554" i="26"/>
  <c r="U554" i="26" s="1"/>
  <c r="N357" i="26"/>
  <c r="U357" i="26" s="1"/>
  <c r="N471" i="26"/>
  <c r="U471" i="26" s="1"/>
  <c r="N333" i="26"/>
  <c r="U333" i="26" s="1"/>
  <c r="N475" i="26"/>
  <c r="U475" i="26" s="1"/>
  <c r="N653" i="26"/>
  <c r="U653" i="26" s="1"/>
  <c r="N682" i="26"/>
  <c r="U682" i="26" s="1"/>
  <c r="N590" i="26"/>
  <c r="U590" i="26" s="1"/>
  <c r="N668" i="26"/>
  <c r="U668" i="26" s="1"/>
  <c r="N320" i="26"/>
  <c r="U320" i="26" s="1"/>
  <c r="N312" i="26"/>
  <c r="U312" i="26" s="1"/>
  <c r="N396" i="26"/>
  <c r="U396" i="26" s="1"/>
  <c r="N500" i="26"/>
  <c r="U500" i="26" s="1"/>
  <c r="N368" i="26"/>
  <c r="U368" i="26" s="1"/>
  <c r="N417" i="26"/>
  <c r="U417" i="26" s="1"/>
  <c r="N599" i="26"/>
  <c r="U599" i="26" s="1"/>
  <c r="N625" i="26"/>
  <c r="U625" i="26" s="1"/>
  <c r="N523" i="26"/>
  <c r="U523" i="26" s="1"/>
  <c r="N541" i="26"/>
  <c r="U541" i="26" s="1"/>
  <c r="N435" i="26"/>
  <c r="U435" i="26" s="1"/>
  <c r="N547" i="26"/>
  <c r="U547" i="26" s="1"/>
  <c r="N310" i="26"/>
  <c r="U310" i="26" s="1"/>
  <c r="N636" i="26"/>
  <c r="U636" i="26" s="1"/>
  <c r="N476" i="26"/>
  <c r="U476" i="26" s="1"/>
  <c r="N405" i="26"/>
  <c r="U405" i="26" s="1"/>
  <c r="N592" i="26"/>
  <c r="U592" i="26" s="1"/>
  <c r="N255" i="26"/>
  <c r="U255" i="26" s="1"/>
  <c r="N667" i="26"/>
  <c r="U667" i="26" s="1"/>
  <c r="N692" i="26"/>
  <c r="U692" i="26" s="1"/>
  <c r="N341" i="26"/>
  <c r="U341" i="26" s="1"/>
  <c r="N564" i="26"/>
  <c r="U564" i="26" s="1"/>
  <c r="N364" i="26"/>
  <c r="U364" i="26" s="1"/>
  <c r="N369" i="26"/>
  <c r="U369" i="26" s="1"/>
  <c r="N561" i="26"/>
  <c r="U561" i="26" s="1"/>
  <c r="N352" i="26"/>
  <c r="U352" i="26" s="1"/>
  <c r="N527" i="26"/>
  <c r="U527" i="26" s="1"/>
  <c r="N462" i="26"/>
  <c r="U462" i="26" s="1"/>
  <c r="N447" i="26"/>
  <c r="U447" i="26" s="1"/>
  <c r="N415" i="26"/>
  <c r="U415" i="26" s="1"/>
  <c r="N529" i="26"/>
  <c r="U529" i="26" s="1"/>
  <c r="N358" i="26"/>
  <c r="U358" i="26" s="1"/>
  <c r="N635" i="26"/>
  <c r="U635" i="26" s="1"/>
  <c r="N378" i="26"/>
  <c r="U378" i="26" s="1"/>
  <c r="N325" i="26"/>
  <c r="U325" i="26" s="1"/>
  <c r="N594" i="26"/>
  <c r="U594" i="26" s="1"/>
  <c r="N418" i="26"/>
  <c r="U418" i="26" s="1"/>
  <c r="N494" i="26"/>
  <c r="U494" i="26" s="1"/>
  <c r="N702" i="26"/>
  <c r="U702" i="26" s="1"/>
  <c r="N691" i="26"/>
  <c r="U691" i="26" s="1"/>
  <c r="N422" i="26"/>
  <c r="U422" i="26" s="1"/>
  <c r="N266" i="26"/>
  <c r="U266" i="26" s="1"/>
  <c r="N499" i="26"/>
  <c r="U499" i="26" s="1"/>
  <c r="N548" i="26"/>
  <c r="U548" i="26" s="1"/>
  <c r="N536" i="26"/>
  <c r="U536" i="26" s="1"/>
  <c r="N526" i="26"/>
  <c r="U526" i="26" s="1"/>
  <c r="N624" i="26"/>
  <c r="U624" i="26" s="1"/>
  <c r="N459" i="26"/>
  <c r="U459" i="26" s="1"/>
  <c r="N493" i="26"/>
  <c r="U493" i="26" s="1"/>
  <c r="N551" i="26"/>
  <c r="U551" i="26" s="1"/>
  <c r="N334" i="26"/>
  <c r="U334" i="26" s="1"/>
  <c r="N516" i="26"/>
  <c r="U516" i="26" s="1"/>
  <c r="N705" i="26"/>
  <c r="U705" i="26" s="1"/>
  <c r="N477" i="26"/>
  <c r="U477" i="26" s="1"/>
  <c r="N304" i="26"/>
  <c r="U304" i="26" s="1"/>
  <c r="N338" i="26"/>
  <c r="U338" i="26" s="1"/>
  <c r="N677" i="26"/>
  <c r="U677" i="26" s="1"/>
  <c r="N414" i="26"/>
  <c r="U414" i="26" s="1"/>
  <c r="N372" i="26"/>
  <c r="U372" i="26" s="1"/>
  <c r="N508" i="26"/>
  <c r="U508" i="26" s="1"/>
  <c r="N423" i="26"/>
  <c r="U423" i="26" s="1"/>
  <c r="N461" i="26"/>
  <c r="U461" i="26" s="1"/>
  <c r="N474" i="26"/>
  <c r="U474" i="26" s="1"/>
  <c r="N582" i="26"/>
  <c r="U582" i="26" s="1"/>
  <c r="N605" i="26"/>
  <c r="U605" i="26" s="1"/>
  <c r="N597" i="26"/>
  <c r="U597" i="26" s="1"/>
  <c r="N623" i="26"/>
  <c r="U623" i="26" s="1"/>
  <c r="N454" i="26"/>
  <c r="U454" i="26" s="1"/>
  <c r="N610" i="26"/>
  <c r="U610" i="26" s="1"/>
  <c r="N550" i="26"/>
  <c r="U550" i="26" s="1"/>
  <c r="N437" i="26"/>
  <c r="U437" i="26" s="1"/>
  <c r="N356" i="26"/>
  <c r="U356" i="26" s="1"/>
  <c r="N518" i="26"/>
  <c r="U518" i="26" s="1"/>
  <c r="N520" i="26"/>
  <c r="U520" i="26" s="1"/>
  <c r="N406" i="26"/>
  <c r="U406" i="26" s="1"/>
  <c r="N675" i="26"/>
  <c r="U675" i="26" s="1"/>
  <c r="N697" i="26"/>
  <c r="U697" i="26" s="1"/>
  <c r="N424" i="26"/>
  <c r="U424" i="26" s="1"/>
  <c r="N322" i="26"/>
  <c r="U322" i="26" s="1"/>
  <c r="N581" i="26"/>
  <c r="U581" i="26" s="1"/>
  <c r="N629" i="26"/>
  <c r="U629" i="26" s="1"/>
  <c r="N514" i="26"/>
  <c r="U514" i="26" s="1"/>
  <c r="N545" i="26"/>
  <c r="U545" i="26" s="1"/>
  <c r="N324" i="26"/>
  <c r="U324" i="26" s="1"/>
  <c r="N504" i="26"/>
  <c r="U504" i="26" s="1"/>
  <c r="N444" i="26"/>
  <c r="U444" i="26" s="1"/>
  <c r="N374" i="26"/>
  <c r="U374" i="26" s="1"/>
  <c r="N696" i="26"/>
  <c r="U696" i="26" s="1"/>
  <c r="N715" i="26"/>
  <c r="U715" i="26" s="1"/>
  <c r="N583" i="26"/>
  <c r="U583" i="26" s="1"/>
  <c r="N537" i="26"/>
  <c r="U537" i="26" s="1"/>
  <c r="N577" i="26"/>
  <c r="U577" i="26" s="1"/>
  <c r="N743" i="26"/>
  <c r="U743" i="26" s="1"/>
  <c r="N707" i="26"/>
  <c r="U707" i="26" s="1"/>
  <c r="N641" i="26"/>
  <c r="U641" i="26" s="1"/>
  <c r="N252" i="26"/>
  <c r="U252" i="26" s="1"/>
  <c r="N306" i="26"/>
  <c r="U306" i="26" s="1"/>
  <c r="N533" i="26"/>
  <c r="U533" i="26" s="1"/>
  <c r="N290" i="26"/>
  <c r="U290" i="26" s="1"/>
  <c r="N393" i="26"/>
  <c r="U393" i="26" s="1"/>
  <c r="N278" i="26"/>
  <c r="U278" i="26" s="1"/>
  <c r="N744" i="26"/>
  <c r="U744" i="26" s="1"/>
  <c r="N349" i="26"/>
  <c r="U349" i="26" s="1"/>
  <c r="N453" i="26"/>
  <c r="U453" i="26" s="1"/>
  <c r="N616" i="26"/>
  <c r="U616" i="26" s="1"/>
  <c r="N607" i="26"/>
  <c r="U607" i="26" s="1"/>
  <c r="N478" i="26"/>
  <c r="U478" i="26" s="1"/>
  <c r="N652" i="26"/>
  <c r="U652" i="26" s="1"/>
  <c r="N505" i="26"/>
  <c r="U505" i="26" s="1"/>
  <c r="N313" i="26"/>
  <c r="U313" i="26" s="1"/>
  <c r="N267" i="26"/>
  <c r="U267" i="26" s="1"/>
  <c r="N366" i="26"/>
  <c r="U366" i="26" s="1"/>
  <c r="N568" i="26"/>
  <c r="U568" i="26" s="1"/>
  <c r="N622" i="26"/>
  <c r="U622" i="26" s="1"/>
  <c r="N483" i="26"/>
  <c r="U483" i="26" s="1"/>
  <c r="N615" i="26"/>
  <c r="U615" i="26" s="1"/>
  <c r="N573" i="26"/>
  <c r="U573" i="26" s="1"/>
  <c r="N632" i="26"/>
  <c r="U632" i="26" s="1"/>
  <c r="N407" i="26"/>
  <c r="U407" i="26" s="1"/>
  <c r="N671" i="26"/>
  <c r="U671" i="26" s="1"/>
  <c r="N387" i="26"/>
  <c r="U387" i="26" s="1"/>
  <c r="N282" i="26"/>
  <c r="U282" i="26" s="1"/>
  <c r="N512" i="26"/>
  <c r="U512" i="26" s="1"/>
  <c r="N330" i="26"/>
  <c r="U330" i="26" s="1"/>
  <c r="N621" i="26"/>
  <c r="U621" i="26" s="1"/>
  <c r="N479" i="26"/>
  <c r="U479" i="26" s="1"/>
  <c r="N302" i="26"/>
  <c r="U302" i="26" s="1"/>
  <c r="N640" i="26"/>
  <c r="U640" i="26" s="1"/>
  <c r="N443" i="26"/>
  <c r="U443" i="26" s="1"/>
  <c r="N326" i="26"/>
  <c r="U326" i="26" s="1"/>
  <c r="N319" i="26"/>
  <c r="U319" i="26" s="1"/>
  <c r="N714" i="26"/>
  <c r="U714" i="26" s="1"/>
  <c r="N336" i="26"/>
  <c r="U336" i="26" s="1"/>
  <c r="N359" i="26"/>
  <c r="U359" i="26" s="1"/>
  <c r="N487" i="26"/>
  <c r="U487" i="26" s="1"/>
  <c r="N522" i="26"/>
  <c r="U522" i="26" s="1"/>
  <c r="N436" i="26"/>
  <c r="U436" i="26" s="1"/>
  <c r="N303" i="26"/>
  <c r="U303" i="26" s="1"/>
  <c r="N408" i="26"/>
  <c r="U408" i="26" s="1"/>
  <c r="N379" i="26"/>
  <c r="U379" i="26" s="1"/>
  <c r="N690" i="26"/>
  <c r="U690" i="26" s="1"/>
  <c r="N511" i="26"/>
  <c r="U511" i="26" s="1"/>
  <c r="N430" i="26"/>
  <c r="U430" i="26" s="1"/>
  <c r="N601" i="26"/>
  <c r="U601" i="26" s="1"/>
  <c r="N300" i="26"/>
  <c r="U300" i="26" s="1"/>
  <c r="N576" i="26"/>
  <c r="U576" i="26" s="1"/>
  <c r="N481" i="26"/>
  <c r="U481" i="26" s="1"/>
  <c r="N639" i="26"/>
  <c r="U639" i="26" s="1"/>
  <c r="N591" i="26"/>
  <c r="U591" i="26" s="1"/>
  <c r="N688" i="26"/>
  <c r="U688" i="26" s="1"/>
  <c r="N535" i="26"/>
  <c r="U535" i="26" s="1"/>
  <c r="N630" i="26"/>
  <c r="U630" i="26" s="1"/>
  <c r="N727" i="26"/>
  <c r="U727" i="26" s="1"/>
  <c r="N398" i="26"/>
  <c r="U398" i="26" s="1"/>
  <c r="N676" i="26"/>
  <c r="U676" i="26" s="1"/>
  <c r="N686" i="26"/>
  <c r="U686" i="26" s="1"/>
  <c r="N272" i="26"/>
  <c r="U272" i="26" s="1"/>
  <c r="N249" i="26"/>
  <c r="U249" i="26" s="1"/>
  <c r="N346" i="26"/>
  <c r="U346" i="26" s="1"/>
  <c r="N634" i="26"/>
  <c r="U634" i="26" s="1"/>
  <c r="N540" i="26"/>
  <c r="U540" i="26" s="1"/>
  <c r="N509" i="26"/>
  <c r="U509" i="26" s="1"/>
  <c r="N273" i="26"/>
  <c r="U273" i="26" s="1"/>
  <c r="N314" i="26"/>
  <c r="U314" i="26" s="1"/>
  <c r="N524" i="26"/>
  <c r="U524" i="26" s="1"/>
  <c r="N633" i="26"/>
  <c r="U633" i="26" s="1"/>
  <c r="N666" i="26"/>
  <c r="U666" i="26" s="1"/>
  <c r="N256" i="26"/>
  <c r="U256" i="26" s="1"/>
  <c r="N685" i="26"/>
  <c r="U685" i="26" s="1"/>
  <c r="N513" i="26"/>
  <c r="U513" i="26" s="1"/>
  <c r="N309" i="26"/>
  <c r="U309" i="26" s="1"/>
  <c r="N703" i="26"/>
  <c r="U703" i="26" s="1"/>
  <c r="N709" i="26"/>
  <c r="U709" i="26" s="1"/>
  <c r="N402" i="26"/>
  <c r="U402" i="26" s="1"/>
  <c r="N380" i="26"/>
  <c r="U380" i="26" s="1"/>
  <c r="N565" i="26"/>
  <c r="U565" i="26" s="1"/>
  <c r="N450" i="26"/>
  <c r="U450" i="26" s="1"/>
  <c r="N618" i="26"/>
  <c r="U618" i="26" s="1"/>
  <c r="N609" i="26"/>
  <c r="U609" i="26" s="1"/>
  <c r="N491" i="26"/>
  <c r="U491" i="26" s="1"/>
  <c r="N377" i="26"/>
  <c r="U377" i="26" s="1"/>
  <c r="N253" i="26"/>
  <c r="U253" i="26" s="1"/>
  <c r="N585" i="26"/>
  <c r="U585" i="26" s="1"/>
  <c r="N276" i="26"/>
  <c r="U276" i="26" s="1"/>
  <c r="N347" i="26"/>
  <c r="U347" i="26" s="1"/>
  <c r="N446" i="26"/>
  <c r="U446" i="26" s="1"/>
  <c r="N684" i="26"/>
  <c r="U684" i="26" s="1"/>
  <c r="N384" i="26"/>
  <c r="U384" i="26" s="1"/>
  <c r="N472" i="26"/>
  <c r="U472" i="26" s="1"/>
  <c r="N596" i="26"/>
  <c r="U596" i="26" s="1"/>
  <c r="N721" i="26"/>
  <c r="U721" i="26" s="1"/>
  <c r="N441" i="26"/>
  <c r="U441" i="26" s="1"/>
  <c r="N567" i="26"/>
  <c r="U567" i="26" s="1"/>
  <c r="N388" i="26"/>
  <c r="U388" i="26" s="1"/>
  <c r="N363" i="26"/>
  <c r="U363" i="26" s="1"/>
  <c r="N595" i="26"/>
  <c r="U595" i="26" s="1"/>
  <c r="N519" i="26"/>
  <c r="U519" i="26" s="1"/>
  <c r="N343" i="26"/>
  <c r="U343" i="26" s="1"/>
  <c r="N566" i="26"/>
  <c r="U566" i="26" s="1"/>
  <c r="N488" i="26"/>
  <c r="U488" i="26" s="1"/>
  <c r="N648" i="26"/>
  <c r="U648" i="26" s="1"/>
  <c r="N287" i="26"/>
  <c r="U287" i="26" s="1"/>
  <c r="N501" i="26"/>
  <c r="U501" i="26" s="1"/>
  <c r="N574" i="26"/>
  <c r="U574" i="26" s="1"/>
  <c r="N700" i="26"/>
  <c r="U700" i="26" s="1"/>
  <c r="N600" i="26"/>
  <c r="U600" i="26" s="1"/>
  <c r="N645" i="26"/>
  <c r="U645" i="26" s="1"/>
  <c r="N698" i="26"/>
  <c r="U698" i="26" s="1"/>
  <c r="N570" i="26"/>
  <c r="U570" i="26" s="1"/>
  <c r="N439" i="26"/>
  <c r="U439" i="26" s="1"/>
  <c r="N507" i="26"/>
  <c r="U507" i="26" s="1"/>
  <c r="N449" i="26"/>
  <c r="U449" i="26" s="1"/>
  <c r="N608" i="26"/>
  <c r="U608" i="26" s="1"/>
  <c r="N410" i="26"/>
  <c r="U410" i="26" s="1"/>
  <c r="N495" i="26"/>
  <c r="U495" i="26" s="1"/>
  <c r="N558" i="26"/>
  <c r="U558" i="26" s="1"/>
  <c r="N270" i="26"/>
  <c r="U270" i="26" s="1"/>
  <c r="N728" i="26"/>
  <c r="U728" i="26" s="1"/>
  <c r="N741" i="26"/>
  <c r="U741" i="26" s="1"/>
  <c r="N649" i="26"/>
  <c r="U649" i="26" s="1"/>
  <c r="N742" i="26"/>
  <c r="U742" i="26" s="1"/>
  <c r="N421" i="26"/>
  <c r="U421" i="26" s="1"/>
  <c r="N433" i="26"/>
  <c r="U433" i="26" s="1"/>
  <c r="N689" i="26"/>
  <c r="U689" i="26" s="1"/>
  <c r="N528" i="26"/>
  <c r="U528" i="26" s="1"/>
  <c r="N391" i="26"/>
  <c r="U391" i="26" s="1"/>
  <c r="N438" i="26"/>
  <c r="U438" i="26" s="1"/>
  <c r="N426" i="26"/>
  <c r="U426" i="26" s="1"/>
  <c r="N706" i="26"/>
  <c r="U706" i="26" s="1"/>
  <c r="N281" i="26"/>
  <c r="U281" i="26" s="1"/>
  <c r="N711" i="26"/>
  <c r="U711" i="26" s="1"/>
  <c r="N360" i="26"/>
  <c r="U360" i="26" s="1"/>
  <c r="N376" i="26"/>
  <c r="U376" i="26" s="1"/>
  <c r="N739" i="26"/>
  <c r="U739" i="26" s="1"/>
  <c r="N315" i="26"/>
  <c r="U315" i="26" s="1"/>
  <c r="N451" i="26"/>
  <c r="U451" i="26" s="1"/>
  <c r="N355" i="26"/>
  <c r="U355" i="26" s="1"/>
  <c r="N531" i="26"/>
  <c r="U531" i="26" s="1"/>
  <c r="N611" i="26"/>
  <c r="U611" i="26" s="1"/>
  <c r="N740" i="26"/>
  <c r="U740" i="26" s="1"/>
  <c r="N467" i="26"/>
  <c r="U467" i="26" s="1"/>
  <c r="N665" i="26"/>
  <c r="U665" i="26" s="1"/>
  <c r="N660" i="26"/>
  <c r="U660" i="26" s="1"/>
  <c r="N659" i="26"/>
  <c r="U659" i="26" s="1"/>
  <c r="N658" i="26"/>
  <c r="U658" i="26" s="1"/>
  <c r="N403" i="26"/>
  <c r="U403" i="26" s="1"/>
  <c r="N452" i="26"/>
  <c r="U452" i="26" s="1"/>
  <c r="N145" i="26"/>
  <c r="U145" i="26" s="1"/>
  <c r="N185" i="26"/>
  <c r="U185" i="26" s="1"/>
  <c r="N194" i="26"/>
  <c r="U194" i="26" s="1"/>
  <c r="N205" i="26"/>
  <c r="U205" i="26" s="1"/>
  <c r="N208" i="26"/>
  <c r="U208" i="26" s="1"/>
  <c r="N144" i="26"/>
  <c r="U144" i="26" s="1"/>
  <c r="N202" i="26"/>
  <c r="U202" i="26" s="1"/>
  <c r="N179" i="26"/>
  <c r="U179" i="26" s="1"/>
  <c r="N168" i="26"/>
  <c r="U168" i="26" s="1"/>
  <c r="N192" i="26"/>
  <c r="U192" i="26" s="1"/>
  <c r="N245" i="26"/>
  <c r="U245" i="26" s="1"/>
  <c r="N201" i="26"/>
  <c r="U201" i="26" s="1"/>
  <c r="N223" i="26"/>
  <c r="U223" i="26" s="1"/>
  <c r="N156" i="26"/>
  <c r="U156" i="26" s="1"/>
  <c r="N178" i="26"/>
  <c r="U178" i="26" s="1"/>
  <c r="N167" i="26"/>
  <c r="U167" i="26" s="1"/>
  <c r="N191" i="26"/>
  <c r="U191" i="26" s="1"/>
  <c r="N244" i="26"/>
  <c r="U244" i="26" s="1"/>
  <c r="N181" i="26"/>
  <c r="U181" i="26" s="1"/>
  <c r="N142" i="26"/>
  <c r="U142" i="26" s="1"/>
  <c r="N155" i="26"/>
  <c r="U155" i="26" s="1"/>
  <c r="N154" i="26"/>
  <c r="U154" i="26" s="1"/>
  <c r="N177" i="26"/>
  <c r="U177" i="26" s="1"/>
  <c r="N233" i="26"/>
  <c r="U233" i="26" s="1"/>
  <c r="N190" i="26"/>
  <c r="U190" i="26" s="1"/>
  <c r="N186" i="26"/>
  <c r="U186" i="26" s="1"/>
  <c r="N217" i="26"/>
  <c r="U217" i="26" s="1"/>
  <c r="N141" i="26"/>
  <c r="U141" i="26" s="1"/>
  <c r="N214" i="26"/>
  <c r="U214" i="26" s="1"/>
  <c r="N215" i="26"/>
  <c r="U215" i="26" s="1"/>
  <c r="N199" i="26"/>
  <c r="U199" i="26" s="1"/>
  <c r="N240" i="26"/>
  <c r="U240" i="26" s="1"/>
  <c r="N143" i="26"/>
  <c r="U143" i="26" s="1"/>
  <c r="N147" i="26"/>
  <c r="U147" i="26" s="1"/>
  <c r="N187" i="26"/>
  <c r="U187" i="26" s="1"/>
  <c r="N200" i="26"/>
  <c r="U200" i="26" s="1"/>
  <c r="N239" i="26"/>
  <c r="U239" i="26" s="1"/>
  <c r="N140" i="26"/>
  <c r="U140" i="26" s="1"/>
  <c r="N184" i="26"/>
  <c r="U184" i="26" s="1"/>
  <c r="N166" i="26"/>
  <c r="U166" i="26" s="1"/>
  <c r="N234" i="26"/>
  <c r="U234" i="26" s="1"/>
  <c r="N238" i="26"/>
  <c r="U238" i="26" s="1"/>
  <c r="N139" i="26"/>
  <c r="U139" i="26" s="1"/>
  <c r="N146" i="26"/>
  <c r="U146" i="26" s="1"/>
  <c r="N165" i="26"/>
  <c r="U165" i="26" s="1"/>
  <c r="N230" i="26"/>
  <c r="U230" i="26" s="1"/>
  <c r="N228" i="26"/>
  <c r="U228" i="26" s="1"/>
  <c r="N138" i="26"/>
  <c r="U138" i="26" s="1"/>
  <c r="N180" i="26"/>
  <c r="U180" i="26" s="1"/>
  <c r="N224" i="26"/>
  <c r="U224" i="26" s="1"/>
  <c r="N204" i="26"/>
  <c r="U204" i="26" s="1"/>
  <c r="N237" i="26"/>
  <c r="U237" i="26" s="1"/>
  <c r="N216" i="26"/>
  <c r="U216" i="26" s="1"/>
  <c r="N176" i="26"/>
  <c r="U176" i="26" s="1"/>
  <c r="N222" i="26"/>
  <c r="U222" i="26" s="1"/>
  <c r="N247" i="26"/>
  <c r="U247" i="26" s="1"/>
  <c r="N209" i="26"/>
  <c r="U209" i="26" s="1"/>
  <c r="N137" i="26"/>
  <c r="U137" i="26" s="1"/>
  <c r="N175" i="26"/>
  <c r="U175" i="26" s="1"/>
  <c r="N164" i="26"/>
  <c r="U164" i="26" s="1"/>
  <c r="N232" i="26"/>
  <c r="U232" i="26" s="1"/>
  <c r="N236" i="26"/>
  <c r="U236" i="26" s="1"/>
  <c r="N213" i="26"/>
  <c r="U213" i="26" s="1"/>
  <c r="N170" i="26"/>
  <c r="U170" i="26" s="1"/>
  <c r="N243" i="26"/>
  <c r="U243" i="26" s="1"/>
  <c r="N161" i="26"/>
  <c r="U161" i="26" s="1"/>
  <c r="N203" i="26"/>
  <c r="U203" i="26" s="1"/>
  <c r="N221" i="26"/>
  <c r="U221" i="26" s="1"/>
  <c r="N160" i="26"/>
  <c r="U160" i="26" s="1"/>
  <c r="N169" i="26"/>
  <c r="U169" i="26" s="1"/>
  <c r="N206" i="26"/>
  <c r="U206" i="26" s="1"/>
  <c r="N159" i="26"/>
  <c r="U159" i="26" s="1"/>
  <c r="N220" i="26"/>
  <c r="U220" i="26" s="1"/>
  <c r="N242" i="26"/>
  <c r="U242" i="26" s="1"/>
  <c r="N158" i="26"/>
  <c r="U158" i="26" s="1"/>
  <c r="N225" i="26"/>
  <c r="U225" i="26" s="1"/>
  <c r="N163" i="26"/>
  <c r="U163" i="26" s="1"/>
  <c r="N207" i="26"/>
  <c r="U207" i="26" s="1"/>
  <c r="N157" i="26"/>
  <c r="U157" i="26" s="1"/>
  <c r="N153" i="26"/>
  <c r="U153" i="26" s="1"/>
  <c r="N198" i="26"/>
  <c r="U198" i="26" s="1"/>
  <c r="N241" i="26"/>
  <c r="U241" i="26" s="1"/>
  <c r="N152" i="26"/>
  <c r="U152" i="26" s="1"/>
  <c r="N197" i="26"/>
  <c r="U197" i="26" s="1"/>
  <c r="N219" i="26"/>
  <c r="U219" i="26" s="1"/>
  <c r="N195" i="26"/>
  <c r="U195" i="26" s="1"/>
  <c r="N162" i="26"/>
  <c r="U162" i="26" s="1"/>
  <c r="N193" i="26"/>
  <c r="U193" i="26" s="1"/>
  <c r="N189" i="26"/>
  <c r="U189" i="26" s="1"/>
  <c r="N231" i="26"/>
  <c r="U231" i="26" s="1"/>
  <c r="N246" i="26"/>
  <c r="U246" i="26" s="1"/>
  <c r="N151" i="26"/>
  <c r="U151" i="26" s="1"/>
  <c r="N182" i="26"/>
  <c r="U182" i="26" s="1"/>
  <c r="N172" i="26"/>
  <c r="U172" i="26" s="1"/>
  <c r="N212" i="26"/>
  <c r="U212" i="26" s="1"/>
  <c r="N171" i="26"/>
  <c r="U171" i="26" s="1"/>
  <c r="N183" i="26"/>
  <c r="U183" i="26" s="1"/>
  <c r="N235" i="26"/>
  <c r="U235" i="26" s="1"/>
  <c r="N136" i="26"/>
  <c r="U136" i="26" s="1"/>
  <c r="N210" i="26"/>
  <c r="U210" i="26" s="1"/>
  <c r="N227" i="26"/>
  <c r="U227" i="26" s="1"/>
  <c r="N211" i="26"/>
  <c r="U211" i="26" s="1"/>
  <c r="N196" i="26"/>
  <c r="U196" i="26" s="1"/>
  <c r="N188" i="26"/>
  <c r="U188" i="26" s="1"/>
  <c r="N150" i="26"/>
  <c r="U150" i="26" s="1"/>
  <c r="N226" i="26"/>
  <c r="U226" i="26" s="1"/>
  <c r="N218" i="26"/>
  <c r="U218" i="26" s="1"/>
  <c r="N174" i="26"/>
  <c r="U174" i="26" s="1"/>
  <c r="N148" i="26"/>
  <c r="U148" i="26" s="1"/>
  <c r="N149" i="26"/>
  <c r="U149" i="26" s="1"/>
  <c r="N173" i="26"/>
  <c r="U173" i="26" s="1"/>
  <c r="N229" i="26"/>
  <c r="U229" i="26" s="1"/>
  <c r="BS57" i="26"/>
  <c r="BQ57" i="26"/>
  <c r="BS121" i="26"/>
  <c r="BQ121" i="26"/>
  <c r="BS161" i="26"/>
  <c r="BQ161" i="26"/>
  <c r="BS257" i="26"/>
  <c r="BQ257" i="26"/>
  <c r="BQ321" i="26"/>
  <c r="BS321" i="26"/>
  <c r="BQ377" i="26"/>
  <c r="BS377" i="26"/>
  <c r="BQ433" i="26"/>
  <c r="BS433" i="26"/>
  <c r="BQ481" i="26"/>
  <c r="BS481" i="26"/>
  <c r="BQ537" i="26"/>
  <c r="BS537" i="26"/>
  <c r="BQ625" i="26"/>
  <c r="BS625" i="26"/>
  <c r="BQ681" i="26"/>
  <c r="BS681" i="26"/>
  <c r="BS761" i="26"/>
  <c r="BQ761" i="26"/>
  <c r="BS50" i="26"/>
  <c r="BQ50" i="26"/>
  <c r="BQ114" i="26"/>
  <c r="BS114" i="26"/>
  <c r="BQ186" i="26"/>
  <c r="BS186" i="26"/>
  <c r="BQ242" i="26"/>
  <c r="BS242" i="26"/>
  <c r="BQ298" i="26"/>
  <c r="BS298" i="26"/>
  <c r="BQ354" i="26"/>
  <c r="BS354" i="26"/>
  <c r="BQ402" i="26"/>
  <c r="BS402" i="26"/>
  <c r="BQ490" i="26"/>
  <c r="BS490" i="26"/>
  <c r="BS546" i="26"/>
  <c r="BQ546" i="26"/>
  <c r="BQ610" i="26"/>
  <c r="BS610" i="26"/>
  <c r="BQ666" i="26"/>
  <c r="BS666" i="26"/>
  <c r="BS722" i="26"/>
  <c r="BQ722" i="26"/>
  <c r="BQ762" i="26"/>
  <c r="BS762" i="26"/>
  <c r="BQ27" i="26"/>
  <c r="BS27" i="26"/>
  <c r="BS75" i="26"/>
  <c r="BQ75" i="26"/>
  <c r="BQ171" i="26"/>
  <c r="BS171" i="26"/>
  <c r="BS227" i="26"/>
  <c r="BQ227" i="26"/>
  <c r="BS283" i="26"/>
  <c r="BQ283" i="26"/>
  <c r="BQ339" i="26"/>
  <c r="BS339" i="26"/>
  <c r="BS387" i="26"/>
  <c r="BQ387" i="26"/>
  <c r="BQ435" i="26"/>
  <c r="BS435" i="26"/>
  <c r="BS499" i="26"/>
  <c r="BQ499" i="26"/>
  <c r="BS547" i="26"/>
  <c r="BQ547" i="26"/>
  <c r="BS603" i="26"/>
  <c r="BQ603" i="26"/>
  <c r="BQ627" i="26"/>
  <c r="BS627" i="26"/>
  <c r="BS667" i="26"/>
  <c r="BQ667" i="26"/>
  <c r="BQ691" i="26"/>
  <c r="BS691" i="26"/>
  <c r="BQ715" i="26"/>
  <c r="BS715" i="26"/>
  <c r="BQ731" i="26"/>
  <c r="BS731" i="26"/>
  <c r="BQ747" i="26"/>
  <c r="BS747" i="26"/>
  <c r="BQ13" i="26"/>
  <c r="BS13" i="26"/>
  <c r="BQ21" i="26"/>
  <c r="BS21" i="26"/>
  <c r="BS29" i="26"/>
  <c r="BQ29" i="26"/>
  <c r="BQ45" i="26"/>
  <c r="BS45" i="26"/>
  <c r="BQ53" i="26"/>
  <c r="BS53" i="26"/>
  <c r="BS61" i="26"/>
  <c r="BQ61" i="26"/>
  <c r="BQ77" i="26"/>
  <c r="BS77" i="26"/>
  <c r="BQ85" i="26"/>
  <c r="BS85" i="26"/>
  <c r="BS93" i="26"/>
  <c r="BQ93" i="26"/>
  <c r="BQ109" i="26"/>
  <c r="BS109" i="26"/>
  <c r="BS117" i="26"/>
  <c r="BQ117" i="26"/>
  <c r="BQ125" i="26"/>
  <c r="BS125" i="26"/>
  <c r="BS149" i="26"/>
  <c r="BQ149" i="26"/>
  <c r="BQ157" i="26"/>
  <c r="BS157" i="26"/>
  <c r="BQ165" i="26"/>
  <c r="BS165" i="26"/>
  <c r="BS173" i="26"/>
  <c r="BQ173" i="26"/>
  <c r="BQ181" i="26"/>
  <c r="BS181" i="26"/>
  <c r="BS189" i="26"/>
  <c r="BQ189" i="26"/>
  <c r="BQ205" i="26"/>
  <c r="BS205" i="26"/>
  <c r="BQ213" i="26"/>
  <c r="BS213" i="26"/>
  <c r="BQ221" i="26"/>
  <c r="BS221" i="26"/>
  <c r="BS229" i="26"/>
  <c r="BQ229" i="26"/>
  <c r="BQ253" i="26"/>
  <c r="BS253" i="26"/>
  <c r="BQ261" i="26"/>
  <c r="BS261" i="26"/>
  <c r="BQ269" i="26"/>
  <c r="BS269" i="26"/>
  <c r="BQ277" i="26"/>
  <c r="BS277" i="26"/>
  <c r="BS285" i="26"/>
  <c r="BQ285" i="26"/>
  <c r="BQ301" i="26"/>
  <c r="BS301" i="26"/>
  <c r="BS309" i="26"/>
  <c r="BQ309" i="26"/>
  <c r="BQ317" i="26"/>
  <c r="BS317" i="26"/>
  <c r="BQ325" i="26"/>
  <c r="BS325" i="26"/>
  <c r="BS333" i="26"/>
  <c r="BQ333" i="26"/>
  <c r="BQ341" i="26"/>
  <c r="BS341" i="26"/>
  <c r="BS349" i="26"/>
  <c r="BQ349" i="26"/>
  <c r="BS357" i="26"/>
  <c r="BQ357" i="26"/>
  <c r="BQ365" i="26"/>
  <c r="BS365" i="26"/>
  <c r="BQ373" i="26"/>
  <c r="BS373" i="26"/>
  <c r="BS381" i="26"/>
  <c r="BQ381" i="26"/>
  <c r="BS389" i="26"/>
  <c r="BQ389" i="26"/>
  <c r="BS397" i="26"/>
  <c r="BQ397" i="26"/>
  <c r="BS413" i="26"/>
  <c r="BQ413" i="26"/>
  <c r="BS429" i="26"/>
  <c r="BQ429" i="26"/>
  <c r="BQ437" i="26"/>
  <c r="BS437" i="26"/>
  <c r="BQ445" i="26"/>
  <c r="BS445" i="26"/>
  <c r="BQ453" i="26"/>
  <c r="BS453" i="26"/>
  <c r="BS461" i="26"/>
  <c r="BQ461" i="26"/>
  <c r="BQ477" i="26"/>
  <c r="BS477" i="26"/>
  <c r="BS485" i="26"/>
  <c r="BQ485" i="26"/>
  <c r="BS493" i="26"/>
  <c r="BQ493" i="26"/>
  <c r="BS501" i="26"/>
  <c r="BQ501" i="26"/>
  <c r="BS509" i="26"/>
  <c r="BQ509" i="26"/>
  <c r="BS533" i="26"/>
  <c r="BQ533" i="26"/>
  <c r="BS541" i="26"/>
  <c r="BQ541" i="26"/>
  <c r="BS549" i="26"/>
  <c r="BQ549" i="26"/>
  <c r="BQ565" i="26"/>
  <c r="BS565" i="26"/>
  <c r="BS573" i="26"/>
  <c r="BQ573" i="26"/>
  <c r="BQ581" i="26"/>
  <c r="BS581" i="26"/>
  <c r="BS589" i="26"/>
  <c r="BQ589" i="26"/>
  <c r="BS597" i="26"/>
  <c r="BQ597" i="26"/>
  <c r="BQ605" i="26"/>
  <c r="BS605" i="26"/>
  <c r="BQ613" i="26"/>
  <c r="BS613" i="26"/>
  <c r="BS621" i="26"/>
  <c r="BQ621" i="26"/>
  <c r="BS629" i="26"/>
  <c r="BQ629" i="26"/>
  <c r="BS645" i="26"/>
  <c r="BQ645" i="26"/>
  <c r="BS661" i="26"/>
  <c r="BQ661" i="26"/>
  <c r="BQ669" i="26"/>
  <c r="BS669" i="26"/>
  <c r="BS685" i="26"/>
  <c r="BQ685" i="26"/>
  <c r="BS693" i="26"/>
  <c r="BQ693" i="26"/>
  <c r="BS701" i="26"/>
  <c r="BQ701" i="26"/>
  <c r="BS709" i="26"/>
  <c r="BQ709" i="26"/>
  <c r="BQ717" i="26"/>
  <c r="BS717" i="26"/>
  <c r="BS725" i="26"/>
  <c r="BQ725" i="26"/>
  <c r="BQ733" i="26"/>
  <c r="BS733" i="26"/>
  <c r="BS741" i="26"/>
  <c r="BQ741" i="26"/>
  <c r="BS749" i="26"/>
  <c r="BQ749" i="26"/>
  <c r="BS765" i="26"/>
  <c r="BQ765" i="26"/>
  <c r="BQ773" i="26"/>
  <c r="BS773" i="26"/>
  <c r="BS789" i="26"/>
  <c r="BQ789" i="26"/>
  <c r="O16" i="26"/>
  <c r="V16" i="26" s="1"/>
  <c r="AC16" i="26" s="1"/>
  <c r="O12" i="26"/>
  <c r="V12" i="26" s="1"/>
  <c r="AC12" i="26" s="1"/>
  <c r="O13" i="26"/>
  <c r="V13" i="26" s="1"/>
  <c r="AC13" i="26" s="1"/>
  <c r="O14" i="26"/>
  <c r="V14" i="26" s="1"/>
  <c r="AC14" i="26" s="1"/>
  <c r="O9" i="26"/>
  <c r="V9" i="26" s="1"/>
  <c r="AC9" i="26" s="1"/>
  <c r="O10" i="26"/>
  <c r="V10" i="26" s="1"/>
  <c r="AC10" i="26" s="1"/>
  <c r="O11" i="26"/>
  <c r="V11" i="26" s="1"/>
  <c r="AC11" i="26" s="1"/>
  <c r="O15" i="26"/>
  <c r="V15" i="26" s="1"/>
  <c r="AC15" i="26" s="1"/>
  <c r="O17" i="26"/>
  <c r="V17" i="26" s="1"/>
  <c r="AC17" i="26" s="1"/>
  <c r="O18" i="26"/>
  <c r="V18" i="26" s="1"/>
  <c r="AC18" i="26" s="1"/>
  <c r="O96" i="26"/>
  <c r="V96" i="26" s="1"/>
  <c r="AC96" i="26" s="1"/>
  <c r="O8" i="26"/>
  <c r="V8" i="26" s="1"/>
  <c r="AC8" i="26" s="1"/>
  <c r="O54" i="26"/>
  <c r="V54" i="26" s="1"/>
  <c r="AC54" i="26" s="1"/>
  <c r="O73" i="26"/>
  <c r="V73" i="26" s="1"/>
  <c r="AC73" i="26" s="1"/>
  <c r="O75" i="26"/>
  <c r="V75" i="26" s="1"/>
  <c r="AC75" i="26" s="1"/>
  <c r="O130" i="26"/>
  <c r="V130" i="26" s="1"/>
  <c r="AC130" i="26" s="1"/>
  <c r="O112" i="26"/>
  <c r="V112" i="26" s="1"/>
  <c r="AC112" i="26" s="1"/>
  <c r="O91" i="26"/>
  <c r="V91" i="26" s="1"/>
  <c r="AC91" i="26" s="1"/>
  <c r="O97" i="26"/>
  <c r="V97" i="26" s="1"/>
  <c r="AC97" i="26" s="1"/>
  <c r="O46" i="26"/>
  <c r="V46" i="26" s="1"/>
  <c r="AC46" i="26" s="1"/>
  <c r="O85" i="26"/>
  <c r="V85" i="26" s="1"/>
  <c r="AC85" i="26" s="1"/>
  <c r="O104" i="26"/>
  <c r="V104" i="26" s="1"/>
  <c r="AC104" i="26" s="1"/>
  <c r="O87" i="26"/>
  <c r="V87" i="26" s="1"/>
  <c r="AC87" i="26" s="1"/>
  <c r="O131" i="26"/>
  <c r="V131" i="26" s="1"/>
  <c r="AC131" i="26" s="1"/>
  <c r="O113" i="26"/>
  <c r="V113" i="26" s="1"/>
  <c r="AC113" i="26" s="1"/>
  <c r="O99" i="26"/>
  <c r="V99" i="26" s="1"/>
  <c r="AC99" i="26" s="1"/>
  <c r="O49" i="26"/>
  <c r="V49" i="26" s="1"/>
  <c r="AC49" i="26" s="1"/>
  <c r="O41" i="26"/>
  <c r="V41" i="26" s="1"/>
  <c r="AC41" i="26" s="1"/>
  <c r="O21" i="26"/>
  <c r="V21" i="26" s="1"/>
  <c r="AC21" i="26" s="1"/>
  <c r="O62" i="26"/>
  <c r="V62" i="26" s="1"/>
  <c r="AC62" i="26" s="1"/>
  <c r="O111" i="26"/>
  <c r="V111" i="26" s="1"/>
  <c r="AC111" i="26" s="1"/>
  <c r="O93" i="26"/>
  <c r="V93" i="26" s="1"/>
  <c r="AC93" i="26" s="1"/>
  <c r="O45" i="26"/>
  <c r="V45" i="26" s="1"/>
  <c r="AC45" i="26" s="1"/>
  <c r="O55" i="26"/>
  <c r="V55" i="26" s="1"/>
  <c r="AC55" i="26" s="1"/>
  <c r="O72" i="26"/>
  <c r="V72" i="26" s="1"/>
  <c r="AC72" i="26" s="1"/>
  <c r="O77" i="26"/>
  <c r="V77" i="26" s="1"/>
  <c r="AC77" i="26" s="1"/>
  <c r="O135" i="26"/>
  <c r="V135" i="26" s="1"/>
  <c r="AC135" i="26" s="1"/>
  <c r="O124" i="26"/>
  <c r="V124" i="26" s="1"/>
  <c r="AC124" i="26" s="1"/>
  <c r="O34" i="26"/>
  <c r="V34" i="26" s="1"/>
  <c r="AC34" i="26" s="1"/>
  <c r="O89" i="26"/>
  <c r="V89" i="26" s="1"/>
  <c r="AC89" i="26" s="1"/>
  <c r="O19" i="26"/>
  <c r="V19" i="26" s="1"/>
  <c r="AC19" i="26" s="1"/>
  <c r="O20" i="26"/>
  <c r="V20" i="26" s="1"/>
  <c r="AC20" i="26" s="1"/>
  <c r="O65" i="26"/>
  <c r="V65" i="26" s="1"/>
  <c r="AC65" i="26" s="1"/>
  <c r="O83" i="26"/>
  <c r="V83" i="26" s="1"/>
  <c r="AC83" i="26" s="1"/>
  <c r="O125" i="26"/>
  <c r="V125" i="26" s="1"/>
  <c r="AC125" i="26" s="1"/>
  <c r="O107" i="26"/>
  <c r="V107" i="26" s="1"/>
  <c r="AC107" i="26" s="1"/>
  <c r="O39" i="26"/>
  <c r="V39" i="26" s="1"/>
  <c r="AC39" i="26" s="1"/>
  <c r="O27" i="26"/>
  <c r="V27" i="26" s="1"/>
  <c r="AC27" i="26" s="1"/>
  <c r="O133" i="26"/>
  <c r="V133" i="26" s="1"/>
  <c r="AC133" i="26" s="1"/>
  <c r="O123" i="26"/>
  <c r="V123" i="26" s="1"/>
  <c r="AC123" i="26" s="1"/>
  <c r="O47" i="26"/>
  <c r="V47" i="26" s="1"/>
  <c r="AC47" i="26" s="1"/>
  <c r="O40" i="26"/>
  <c r="V40" i="26" s="1"/>
  <c r="AC40" i="26" s="1"/>
  <c r="O70" i="26"/>
  <c r="V70" i="26" s="1"/>
  <c r="AC70" i="26" s="1"/>
  <c r="O134" i="26"/>
  <c r="V134" i="26" s="1"/>
  <c r="AC134" i="26" s="1"/>
  <c r="O126" i="26"/>
  <c r="V126" i="26" s="1"/>
  <c r="AC126" i="26" s="1"/>
  <c r="O92" i="26"/>
  <c r="V92" i="26" s="1"/>
  <c r="AC92" i="26" s="1"/>
  <c r="O58" i="26"/>
  <c r="V58" i="26" s="1"/>
  <c r="AC58" i="26" s="1"/>
  <c r="O42" i="26"/>
  <c r="V42" i="26" s="1"/>
  <c r="AC42" i="26" s="1"/>
  <c r="O69" i="26"/>
  <c r="V69" i="26" s="1"/>
  <c r="AC69" i="26" s="1"/>
  <c r="O59" i="26"/>
  <c r="V59" i="26" s="1"/>
  <c r="AC59" i="26" s="1"/>
  <c r="O60" i="26"/>
  <c r="V60" i="26" s="1"/>
  <c r="AC60" i="26" s="1"/>
  <c r="O94" i="26"/>
  <c r="V94" i="26" s="1"/>
  <c r="AC94" i="26" s="1"/>
  <c r="O48" i="26"/>
  <c r="V48" i="26" s="1"/>
  <c r="AC48" i="26" s="1"/>
  <c r="O119" i="26"/>
  <c r="V119" i="26" s="1"/>
  <c r="AC119" i="26" s="1"/>
  <c r="O68" i="26"/>
  <c r="V68" i="26" s="1"/>
  <c r="AC68" i="26" s="1"/>
  <c r="O22" i="26"/>
  <c r="V22" i="26" s="1"/>
  <c r="AC22" i="26" s="1"/>
  <c r="O24" i="26"/>
  <c r="V24" i="26" s="1"/>
  <c r="AC24" i="26" s="1"/>
  <c r="O95" i="26"/>
  <c r="V95" i="26" s="1"/>
  <c r="AC95" i="26" s="1"/>
  <c r="O33" i="26"/>
  <c r="V33" i="26" s="1"/>
  <c r="AC33" i="26" s="1"/>
  <c r="O118" i="26"/>
  <c r="V118" i="26" s="1"/>
  <c r="AC118" i="26" s="1"/>
  <c r="O76" i="26"/>
  <c r="V76" i="26" s="1"/>
  <c r="AC76" i="26" s="1"/>
  <c r="O61" i="26"/>
  <c r="V61" i="26" s="1"/>
  <c r="AC61" i="26" s="1"/>
  <c r="O81" i="26"/>
  <c r="V81" i="26" s="1"/>
  <c r="AC81" i="26" s="1"/>
  <c r="O98" i="26"/>
  <c r="V98" i="26" s="1"/>
  <c r="AC98" i="26" s="1"/>
  <c r="O28" i="26"/>
  <c r="V28" i="26" s="1"/>
  <c r="AC28" i="26" s="1"/>
  <c r="O43" i="26"/>
  <c r="V43" i="26" s="1"/>
  <c r="AC43" i="26" s="1"/>
  <c r="O67" i="26"/>
  <c r="V67" i="26" s="1"/>
  <c r="AC67" i="26" s="1"/>
  <c r="O86" i="26"/>
  <c r="V86" i="26" s="1"/>
  <c r="AC86" i="26" s="1"/>
  <c r="O25" i="26"/>
  <c r="V25" i="26" s="1"/>
  <c r="AC25" i="26" s="1"/>
  <c r="O50" i="26"/>
  <c r="V50" i="26" s="1"/>
  <c r="AC50" i="26" s="1"/>
  <c r="O88" i="26"/>
  <c r="V88" i="26" s="1"/>
  <c r="AC88" i="26" s="1"/>
  <c r="O66" i="26"/>
  <c r="V66" i="26" s="1"/>
  <c r="AC66" i="26" s="1"/>
  <c r="O80" i="26"/>
  <c r="V80" i="26" s="1"/>
  <c r="AC80" i="26" s="1"/>
  <c r="O103" i="26"/>
  <c r="V103" i="26" s="1"/>
  <c r="AC103" i="26" s="1"/>
  <c r="O29" i="26"/>
  <c r="V29" i="26" s="1"/>
  <c r="AC29" i="26" s="1"/>
  <c r="O36" i="26"/>
  <c r="V36" i="26" s="1"/>
  <c r="AC36" i="26" s="1"/>
  <c r="O129" i="26"/>
  <c r="V129" i="26" s="1"/>
  <c r="AC129" i="26" s="1"/>
  <c r="O23" i="26"/>
  <c r="V23" i="26" s="1"/>
  <c r="AC23" i="26" s="1"/>
  <c r="O51" i="26"/>
  <c r="V51" i="26" s="1"/>
  <c r="AC51" i="26" s="1"/>
  <c r="O78" i="26"/>
  <c r="V78" i="26" s="1"/>
  <c r="AC78" i="26" s="1"/>
  <c r="O30" i="26"/>
  <c r="V30" i="26" s="1"/>
  <c r="AC30" i="26" s="1"/>
  <c r="O52" i="26"/>
  <c r="V52" i="26" s="1"/>
  <c r="AC52" i="26" s="1"/>
  <c r="O63" i="26"/>
  <c r="V63" i="26" s="1"/>
  <c r="AC63" i="26" s="1"/>
  <c r="O108" i="26"/>
  <c r="V108" i="26" s="1"/>
  <c r="AC108" i="26" s="1"/>
  <c r="O127" i="26"/>
  <c r="V127" i="26" s="1"/>
  <c r="AC127" i="26" s="1"/>
  <c r="O84" i="26"/>
  <c r="V84" i="26" s="1"/>
  <c r="AC84" i="26" s="1"/>
  <c r="O79" i="26"/>
  <c r="V79" i="26" s="1"/>
  <c r="AC79" i="26" s="1"/>
  <c r="O53" i="26"/>
  <c r="V53" i="26" s="1"/>
  <c r="AC53" i="26" s="1"/>
  <c r="O128" i="26"/>
  <c r="V128" i="26" s="1"/>
  <c r="AC128" i="26" s="1"/>
  <c r="O56" i="26"/>
  <c r="V56" i="26" s="1"/>
  <c r="AC56" i="26" s="1"/>
  <c r="O110" i="26"/>
  <c r="V110" i="26" s="1"/>
  <c r="AC110" i="26" s="1"/>
  <c r="O57" i="26"/>
  <c r="V57" i="26" s="1"/>
  <c r="AC57" i="26" s="1"/>
  <c r="O132" i="26"/>
  <c r="V132" i="26" s="1"/>
  <c r="AC132" i="26" s="1"/>
  <c r="O31" i="26"/>
  <c r="V31" i="26" s="1"/>
  <c r="AC31" i="26" s="1"/>
  <c r="O44" i="26"/>
  <c r="V44" i="26" s="1"/>
  <c r="AC44" i="26" s="1"/>
  <c r="O38" i="26"/>
  <c r="V38" i="26" s="1"/>
  <c r="AC38" i="26" s="1"/>
  <c r="O35" i="26"/>
  <c r="V35" i="26" s="1"/>
  <c r="AC35" i="26" s="1"/>
  <c r="O106" i="26"/>
  <c r="V106" i="26" s="1"/>
  <c r="AC106" i="26" s="1"/>
  <c r="O105" i="26"/>
  <c r="V105" i="26" s="1"/>
  <c r="AC105" i="26" s="1"/>
  <c r="O109" i="26"/>
  <c r="V109" i="26" s="1"/>
  <c r="AC109" i="26" s="1"/>
  <c r="O100" i="26"/>
  <c r="V100" i="26" s="1"/>
  <c r="AC100" i="26" s="1"/>
  <c r="O101" i="26"/>
  <c r="V101" i="26" s="1"/>
  <c r="AC101" i="26" s="1"/>
  <c r="O71" i="26"/>
  <c r="V71" i="26" s="1"/>
  <c r="AC71" i="26" s="1"/>
  <c r="O114" i="26"/>
  <c r="V114" i="26" s="1"/>
  <c r="AC114" i="26" s="1"/>
  <c r="O102" i="26"/>
  <c r="V102" i="26" s="1"/>
  <c r="AC102" i="26" s="1"/>
  <c r="O74" i="26"/>
  <c r="V74" i="26" s="1"/>
  <c r="AC74" i="26" s="1"/>
  <c r="O115" i="26"/>
  <c r="V115" i="26" s="1"/>
  <c r="AC115" i="26" s="1"/>
  <c r="O32" i="26"/>
  <c r="V32" i="26" s="1"/>
  <c r="AC32" i="26" s="1"/>
  <c r="O117" i="26"/>
  <c r="V117" i="26" s="1"/>
  <c r="AC117" i="26" s="1"/>
  <c r="O116" i="26"/>
  <c r="V116" i="26" s="1"/>
  <c r="AC116" i="26" s="1"/>
  <c r="O82" i="26"/>
  <c r="V82" i="26" s="1"/>
  <c r="AC82" i="26" s="1"/>
  <c r="O120" i="26"/>
  <c r="V120" i="26" s="1"/>
  <c r="AC120" i="26" s="1"/>
  <c r="O121" i="26"/>
  <c r="V121" i="26" s="1"/>
  <c r="AC121" i="26" s="1"/>
  <c r="O37" i="26"/>
  <c r="V37" i="26" s="1"/>
  <c r="AC37" i="26" s="1"/>
  <c r="O26" i="26"/>
  <c r="V26" i="26" s="1"/>
  <c r="AC26" i="26" s="1"/>
  <c r="O122" i="26"/>
  <c r="V122" i="26" s="1"/>
  <c r="AC122" i="26" s="1"/>
  <c r="O90" i="26"/>
  <c r="V90" i="26" s="1"/>
  <c r="AC90" i="26" s="1"/>
  <c r="O64" i="26"/>
  <c r="V64" i="26" s="1"/>
  <c r="AC64" i="26" s="1"/>
  <c r="O637" i="26"/>
  <c r="V637" i="26" s="1"/>
  <c r="AC637" i="26" s="1"/>
  <c r="O725" i="26"/>
  <c r="V725" i="26" s="1"/>
  <c r="AC725" i="26" s="1"/>
  <c r="O733" i="26"/>
  <c r="V733" i="26" s="1"/>
  <c r="AC733" i="26" s="1"/>
  <c r="O528" i="26"/>
  <c r="V528" i="26" s="1"/>
  <c r="AC528" i="26" s="1"/>
  <c r="O646" i="26"/>
  <c r="V646" i="26" s="1"/>
  <c r="AC646" i="26" s="1"/>
  <c r="O501" i="26"/>
  <c r="V501" i="26" s="1"/>
  <c r="AC501" i="26" s="1"/>
  <c r="O615" i="26"/>
  <c r="V615" i="26" s="1"/>
  <c r="AC615" i="26" s="1"/>
  <c r="O309" i="26"/>
  <c r="V309" i="26" s="1"/>
  <c r="AC309" i="26" s="1"/>
  <c r="O478" i="26"/>
  <c r="V478" i="26" s="1"/>
  <c r="AC478" i="26" s="1"/>
  <c r="O468" i="26"/>
  <c r="V468" i="26" s="1"/>
  <c r="AC468" i="26" s="1"/>
  <c r="O441" i="26"/>
  <c r="V441" i="26" s="1"/>
  <c r="AC441" i="26" s="1"/>
  <c r="O449" i="26"/>
  <c r="V449" i="26" s="1"/>
  <c r="AC449" i="26" s="1"/>
  <c r="O689" i="26"/>
  <c r="V689" i="26" s="1"/>
  <c r="AC689" i="26" s="1"/>
  <c r="O346" i="26"/>
  <c r="V346" i="26" s="1"/>
  <c r="AC346" i="26" s="1"/>
  <c r="O263" i="26"/>
  <c r="V263" i="26" s="1"/>
  <c r="AC263" i="26" s="1"/>
  <c r="O401" i="26"/>
  <c r="V401" i="26" s="1"/>
  <c r="AC401" i="26" s="1"/>
  <c r="O409" i="26"/>
  <c r="V409" i="26" s="1"/>
  <c r="AC409" i="26" s="1"/>
  <c r="O254" i="26"/>
  <c r="V254" i="26" s="1"/>
  <c r="AC254" i="26" s="1"/>
  <c r="O671" i="26"/>
  <c r="V671" i="26" s="1"/>
  <c r="AC671" i="26" s="1"/>
  <c r="O625" i="26"/>
  <c r="V625" i="26" s="1"/>
  <c r="AC625" i="26" s="1"/>
  <c r="O281" i="26"/>
  <c r="V281" i="26" s="1"/>
  <c r="AC281" i="26" s="1"/>
  <c r="O679" i="26"/>
  <c r="V679" i="26" s="1"/>
  <c r="AC679" i="26" s="1"/>
  <c r="O463" i="26"/>
  <c r="V463" i="26" s="1"/>
  <c r="AC463" i="26" s="1"/>
  <c r="O649" i="26"/>
  <c r="V649" i="26" s="1"/>
  <c r="AC649" i="26" s="1"/>
  <c r="O741" i="26"/>
  <c r="V741" i="26" s="1"/>
  <c r="AC741" i="26" s="1"/>
  <c r="O705" i="26"/>
  <c r="V705" i="26" s="1"/>
  <c r="AC705" i="26" s="1"/>
  <c r="O453" i="26"/>
  <c r="V453" i="26" s="1"/>
  <c r="AC453" i="26" s="1"/>
  <c r="O580" i="26"/>
  <c r="V580" i="26" s="1"/>
  <c r="AC580" i="26" s="1"/>
  <c r="O664" i="26"/>
  <c r="V664" i="26" s="1"/>
  <c r="AC664" i="26" s="1"/>
  <c r="O562" i="26"/>
  <c r="V562" i="26" s="1"/>
  <c r="AC562" i="26" s="1"/>
  <c r="O572" i="26"/>
  <c r="V572" i="26" s="1"/>
  <c r="AC572" i="26" s="1"/>
  <c r="O670" i="26"/>
  <c r="V670" i="26" s="1"/>
  <c r="AC670" i="26" s="1"/>
  <c r="O357" i="26"/>
  <c r="V357" i="26" s="1"/>
  <c r="AC357" i="26" s="1"/>
  <c r="O470" i="26"/>
  <c r="V470" i="26" s="1"/>
  <c r="AC470" i="26" s="1"/>
  <c r="O485" i="26"/>
  <c r="V485" i="26" s="1"/>
  <c r="AC485" i="26" s="1"/>
  <c r="O529" i="26"/>
  <c r="V529" i="26" s="1"/>
  <c r="AC529" i="26" s="1"/>
  <c r="O536" i="26"/>
  <c r="V536" i="26" s="1"/>
  <c r="AC536" i="26" s="1"/>
  <c r="O506" i="26"/>
  <c r="V506" i="26" s="1"/>
  <c r="AC506" i="26" s="1"/>
  <c r="O518" i="26"/>
  <c r="V518" i="26" s="1"/>
  <c r="AC518" i="26" s="1"/>
  <c r="O251" i="26"/>
  <c r="V251" i="26" s="1"/>
  <c r="AC251" i="26" s="1"/>
  <c r="O482" i="26"/>
  <c r="V482" i="26" s="1"/>
  <c r="AC482" i="26" s="1"/>
  <c r="O433" i="26"/>
  <c r="V433" i="26" s="1"/>
  <c r="AC433" i="26" s="1"/>
  <c r="O719" i="26"/>
  <c r="V719" i="26" s="1"/>
  <c r="AC719" i="26" s="1"/>
  <c r="O488" i="26"/>
  <c r="V488" i="26" s="1"/>
  <c r="AC488" i="26" s="1"/>
  <c r="O420" i="26"/>
  <c r="V420" i="26" s="1"/>
  <c r="AC420" i="26" s="1"/>
  <c r="O426" i="26"/>
  <c r="V426" i="26" s="1"/>
  <c r="AC426" i="26" s="1"/>
  <c r="O695" i="26"/>
  <c r="V695" i="26" s="1"/>
  <c r="AC695" i="26" s="1"/>
  <c r="O402" i="26"/>
  <c r="V402" i="26" s="1"/>
  <c r="AC402" i="26" s="1"/>
  <c r="O338" i="26"/>
  <c r="V338" i="26" s="1"/>
  <c r="AC338" i="26" s="1"/>
  <c r="O414" i="26"/>
  <c r="V414" i="26" s="1"/>
  <c r="AC414" i="26" s="1"/>
  <c r="O340" i="26"/>
  <c r="V340" i="26" s="1"/>
  <c r="AC340" i="26" s="1"/>
  <c r="O284" i="26"/>
  <c r="V284" i="26" s="1"/>
  <c r="AC284" i="26" s="1"/>
  <c r="O271" i="26"/>
  <c r="V271" i="26" s="1"/>
  <c r="AC271" i="26" s="1"/>
  <c r="O342" i="26"/>
  <c r="V342" i="26" s="1"/>
  <c r="AC342" i="26" s="1"/>
  <c r="O597" i="26"/>
  <c r="V597" i="26" s="1"/>
  <c r="AC597" i="26" s="1"/>
  <c r="O703" i="26"/>
  <c r="V703" i="26" s="1"/>
  <c r="AC703" i="26" s="1"/>
  <c r="O601" i="26"/>
  <c r="V601" i="26" s="1"/>
  <c r="AC601" i="26" s="1"/>
  <c r="O655" i="26"/>
  <c r="V655" i="26" s="1"/>
  <c r="AC655" i="26" s="1"/>
  <c r="O658" i="26"/>
  <c r="V658" i="26" s="1"/>
  <c r="AC658" i="26" s="1"/>
  <c r="O581" i="26"/>
  <c r="V581" i="26" s="1"/>
  <c r="AC581" i="26" s="1"/>
  <c r="O589" i="26"/>
  <c r="V589" i="26" s="1"/>
  <c r="AC589" i="26" s="1"/>
  <c r="O563" i="26"/>
  <c r="V563" i="26" s="1"/>
  <c r="AC563" i="26" s="1"/>
  <c r="O573" i="26"/>
  <c r="V573" i="26" s="1"/>
  <c r="AC573" i="26" s="1"/>
  <c r="O356" i="26"/>
  <c r="V356" i="26" s="1"/>
  <c r="AC356" i="26" s="1"/>
  <c r="O546" i="26"/>
  <c r="V546" i="26" s="1"/>
  <c r="AC546" i="26" s="1"/>
  <c r="O472" i="26"/>
  <c r="V472" i="26" s="1"/>
  <c r="AC472" i="26" s="1"/>
  <c r="O642" i="26"/>
  <c r="V642" i="26" s="1"/>
  <c r="AC642" i="26" s="1"/>
  <c r="O644" i="26"/>
  <c r="V644" i="26" s="1"/>
  <c r="AC644" i="26" s="1"/>
  <c r="O491" i="26"/>
  <c r="V491" i="26" s="1"/>
  <c r="AC491" i="26" s="1"/>
  <c r="O507" i="26"/>
  <c r="V507" i="26" s="1"/>
  <c r="AC507" i="26" s="1"/>
  <c r="O252" i="26"/>
  <c r="V252" i="26" s="1"/>
  <c r="AC252" i="26" s="1"/>
  <c r="O495" i="26"/>
  <c r="V495" i="26" s="1"/>
  <c r="AC495" i="26" s="1"/>
  <c r="O486" i="26"/>
  <c r="V486" i="26" s="1"/>
  <c r="AC486" i="26" s="1"/>
  <c r="O717" i="26"/>
  <c r="V717" i="26" s="1"/>
  <c r="AC717" i="26" s="1"/>
  <c r="O301" i="26"/>
  <c r="V301" i="26" s="1"/>
  <c r="AC301" i="26" s="1"/>
  <c r="O489" i="26"/>
  <c r="V489" i="26" s="1"/>
  <c r="AC489" i="26" s="1"/>
  <c r="O498" i="26"/>
  <c r="V498" i="26" s="1"/>
  <c r="AC498" i="26" s="1"/>
  <c r="O427" i="26"/>
  <c r="V427" i="26" s="1"/>
  <c r="AC427" i="26" s="1"/>
  <c r="O432" i="26"/>
  <c r="V432" i="26" s="1"/>
  <c r="AC432" i="26" s="1"/>
  <c r="O698" i="26"/>
  <c r="V698" i="26" s="1"/>
  <c r="AC698" i="26" s="1"/>
  <c r="O701" i="26"/>
  <c r="V701" i="26" s="1"/>
  <c r="AC701" i="26" s="1"/>
  <c r="O668" i="26"/>
  <c r="V668" i="26" s="1"/>
  <c r="AC668" i="26" s="1"/>
  <c r="O287" i="26"/>
  <c r="V287" i="26" s="1"/>
  <c r="AC287" i="26" s="1"/>
  <c r="O674" i="26"/>
  <c r="V674" i="26" s="1"/>
  <c r="AC674" i="26" s="1"/>
  <c r="O395" i="26"/>
  <c r="V395" i="26" s="1"/>
  <c r="AC395" i="26" s="1"/>
  <c r="O278" i="26"/>
  <c r="V278" i="26" s="1"/>
  <c r="AC278" i="26" s="1"/>
  <c r="O743" i="26"/>
  <c r="V743" i="26" s="1"/>
  <c r="AC743" i="26" s="1"/>
  <c r="O710" i="26"/>
  <c r="V710" i="26" s="1"/>
  <c r="AC710" i="26" s="1"/>
  <c r="O742" i="26"/>
  <c r="V742" i="26" s="1"/>
  <c r="AC742" i="26" s="1"/>
  <c r="O706" i="26"/>
  <c r="V706" i="26" s="1"/>
  <c r="AC706" i="26" s="1"/>
  <c r="O606" i="26"/>
  <c r="V606" i="26" s="1"/>
  <c r="AC606" i="26" s="1"/>
  <c r="O661" i="26"/>
  <c r="V661" i="26" s="1"/>
  <c r="AC661" i="26" s="1"/>
  <c r="O590" i="26"/>
  <c r="V590" i="26" s="1"/>
  <c r="AC590" i="26" s="1"/>
  <c r="O378" i="26"/>
  <c r="V378" i="26" s="1"/>
  <c r="AC378" i="26" s="1"/>
  <c r="O574" i="26"/>
  <c r="V574" i="26" s="1"/>
  <c r="AC574" i="26" s="1"/>
  <c r="O358" i="26"/>
  <c r="V358" i="26" s="1"/>
  <c r="AC358" i="26" s="1"/>
  <c r="O473" i="26"/>
  <c r="V473" i="26" s="1"/>
  <c r="AC473" i="26" s="1"/>
  <c r="O734" i="26"/>
  <c r="V734" i="26" s="1"/>
  <c r="AC734" i="26" s="1"/>
  <c r="O326" i="26"/>
  <c r="V326" i="26" s="1"/>
  <c r="AC326" i="26" s="1"/>
  <c r="O316" i="26"/>
  <c r="V316" i="26" s="1"/>
  <c r="AC316" i="26" s="1"/>
  <c r="O509" i="26"/>
  <c r="V509" i="26" s="1"/>
  <c r="AC509" i="26" s="1"/>
  <c r="O329" i="26"/>
  <c r="V329" i="26" s="1"/>
  <c r="AC329" i="26" s="1"/>
  <c r="O499" i="26"/>
  <c r="V499" i="26" s="1"/>
  <c r="AC499" i="26" s="1"/>
  <c r="O248" i="26"/>
  <c r="V248" i="26" s="1"/>
  <c r="AC248" i="26" s="1"/>
  <c r="O555" i="26"/>
  <c r="V555" i="26" s="1"/>
  <c r="AC555" i="26" s="1"/>
  <c r="O442" i="26"/>
  <c r="V442" i="26" s="1"/>
  <c r="AC442" i="26" s="1"/>
  <c r="O687" i="26"/>
  <c r="V687" i="26" s="1"/>
  <c r="AC687" i="26" s="1"/>
  <c r="O421" i="26"/>
  <c r="V421" i="26" s="1"/>
  <c r="AC421" i="26" s="1"/>
  <c r="O336" i="26"/>
  <c r="V336" i="26" s="1"/>
  <c r="AC336" i="26" s="1"/>
  <c r="O262" i="26"/>
  <c r="V262" i="26" s="1"/>
  <c r="AC262" i="26" s="1"/>
  <c r="O699" i="26"/>
  <c r="V699" i="26" s="1"/>
  <c r="AC699" i="26" s="1"/>
  <c r="O619" i="26"/>
  <c r="V619" i="26" s="1"/>
  <c r="AC619" i="26" s="1"/>
  <c r="O253" i="26"/>
  <c r="V253" i="26" s="1"/>
  <c r="AC253" i="26" s="1"/>
  <c r="O624" i="26"/>
  <c r="V624" i="26" s="1"/>
  <c r="AC624" i="26" s="1"/>
  <c r="O626" i="26"/>
  <c r="V626" i="26" s="1"/>
  <c r="AC626" i="26" s="1"/>
  <c r="O396" i="26"/>
  <c r="V396" i="26" s="1"/>
  <c r="AC396" i="26" s="1"/>
  <c r="O319" i="26"/>
  <c r="V319" i="26" s="1"/>
  <c r="AC319" i="26" s="1"/>
  <c r="O576" i="26"/>
  <c r="V576" i="26" s="1"/>
  <c r="AC576" i="26" s="1"/>
  <c r="O558" i="26"/>
  <c r="V558" i="26" s="1"/>
  <c r="AC558" i="26" s="1"/>
  <c r="O292" i="26"/>
  <c r="V292" i="26" s="1"/>
  <c r="AC292" i="26" s="1"/>
  <c r="O325" i="26"/>
  <c r="V325" i="26" s="1"/>
  <c r="AC325" i="26" s="1"/>
  <c r="O708" i="26"/>
  <c r="V708" i="26" s="1"/>
  <c r="AC708" i="26" s="1"/>
  <c r="O538" i="26"/>
  <c r="V538" i="26" s="1"/>
  <c r="AC538" i="26" s="1"/>
  <c r="O290" i="26"/>
  <c r="V290" i="26" s="1"/>
  <c r="AC290" i="26" s="1"/>
  <c r="O452" i="26"/>
  <c r="V452" i="26" s="1"/>
  <c r="AC452" i="26" s="1"/>
  <c r="O289" i="26"/>
  <c r="V289" i="26" s="1"/>
  <c r="AC289" i="26" s="1"/>
  <c r="O461" i="26"/>
  <c r="V461" i="26" s="1"/>
  <c r="AC461" i="26" s="1"/>
  <c r="O556" i="26"/>
  <c r="V556" i="26" s="1"/>
  <c r="AC556" i="26" s="1"/>
  <c r="O638" i="26"/>
  <c r="V638" i="26" s="1"/>
  <c r="AC638" i="26" s="1"/>
  <c r="O732" i="26"/>
  <c r="V732" i="26" s="1"/>
  <c r="AC732" i="26" s="1"/>
  <c r="O533" i="26"/>
  <c r="V533" i="26" s="1"/>
  <c r="AC533" i="26" s="1"/>
  <c r="O540" i="26"/>
  <c r="V540" i="26" s="1"/>
  <c r="AC540" i="26" s="1"/>
  <c r="O522" i="26"/>
  <c r="V522" i="26" s="1"/>
  <c r="AC522" i="26" s="1"/>
  <c r="O330" i="26"/>
  <c r="V330" i="26" s="1"/>
  <c r="AC330" i="26" s="1"/>
  <c r="O434" i="26"/>
  <c r="V434" i="26" s="1"/>
  <c r="AC434" i="26" s="1"/>
  <c r="O685" i="26"/>
  <c r="V685" i="26" s="1"/>
  <c r="AC685" i="26" s="1"/>
  <c r="O335" i="26"/>
  <c r="V335" i="26" s="1"/>
  <c r="AC335" i="26" s="1"/>
  <c r="O428" i="26"/>
  <c r="V428" i="26" s="1"/>
  <c r="AC428" i="26" s="1"/>
  <c r="O697" i="26"/>
  <c r="V697" i="26" s="1"/>
  <c r="AC697" i="26" s="1"/>
  <c r="O618" i="26"/>
  <c r="V618" i="26" s="1"/>
  <c r="AC618" i="26" s="1"/>
  <c r="O622" i="26"/>
  <c r="V622" i="26" s="1"/>
  <c r="AC622" i="26" s="1"/>
  <c r="O285" i="26"/>
  <c r="V285" i="26" s="1"/>
  <c r="AC285" i="26" s="1"/>
  <c r="O394" i="26"/>
  <c r="V394" i="26" s="1"/>
  <c r="AC394" i="26" s="1"/>
  <c r="O367" i="26"/>
  <c r="V367" i="26" s="1"/>
  <c r="AC367" i="26" s="1"/>
  <c r="O723" i="26"/>
  <c r="V723" i="26" s="1"/>
  <c r="AC723" i="26" s="1"/>
  <c r="O739" i="26"/>
  <c r="V739" i="26" s="1"/>
  <c r="AC739" i="26" s="1"/>
  <c r="O603" i="26"/>
  <c r="V603" i="26" s="1"/>
  <c r="AC603" i="26" s="1"/>
  <c r="O608" i="26"/>
  <c r="V608" i="26" s="1"/>
  <c r="AC608" i="26" s="1"/>
  <c r="O584" i="26"/>
  <c r="V584" i="26" s="1"/>
  <c r="AC584" i="26" s="1"/>
  <c r="O594" i="26"/>
  <c r="V594" i="26" s="1"/>
  <c r="AC594" i="26" s="1"/>
  <c r="O295" i="26"/>
  <c r="V295" i="26" s="1"/>
  <c r="AC295" i="26" s="1"/>
  <c r="O634" i="26"/>
  <c r="V634" i="26" s="1"/>
  <c r="AC634" i="26" s="1"/>
  <c r="O521" i="26"/>
  <c r="V521" i="26" s="1"/>
  <c r="AC521" i="26" s="1"/>
  <c r="O484" i="26"/>
  <c r="V484" i="26" s="1"/>
  <c r="AC484" i="26" s="1"/>
  <c r="O709" i="26"/>
  <c r="V709" i="26" s="1"/>
  <c r="AC709" i="26" s="1"/>
  <c r="O505" i="26"/>
  <c r="V505" i="26" s="1"/>
  <c r="AC505" i="26" s="1"/>
  <c r="O308" i="26"/>
  <c r="V308" i="26" s="1"/>
  <c r="AC308" i="26" s="1"/>
  <c r="O549" i="26"/>
  <c r="V549" i="26" s="1"/>
  <c r="AC549" i="26" s="1"/>
  <c r="O435" i="26"/>
  <c r="V435" i="26" s="1"/>
  <c r="AC435" i="26" s="1"/>
  <c r="O446" i="26"/>
  <c r="V446" i="26" s="1"/>
  <c r="AC446" i="26" s="1"/>
  <c r="O370" i="26"/>
  <c r="V370" i="26" s="1"/>
  <c r="AC370" i="26" s="1"/>
  <c r="O265" i="26"/>
  <c r="V265" i="26" s="1"/>
  <c r="AC265" i="26" s="1"/>
  <c r="O337" i="26"/>
  <c r="V337" i="26" s="1"/>
  <c r="AC337" i="26" s="1"/>
  <c r="O257" i="26"/>
  <c r="V257" i="26" s="1"/>
  <c r="AC257" i="26" s="1"/>
  <c r="O380" i="26"/>
  <c r="V380" i="26" s="1"/>
  <c r="AC380" i="26" s="1"/>
  <c r="O672" i="26"/>
  <c r="V672" i="26" s="1"/>
  <c r="AC672" i="26" s="1"/>
  <c r="O628" i="26"/>
  <c r="V628" i="26" s="1"/>
  <c r="AC628" i="26" s="1"/>
  <c r="O595" i="26"/>
  <c r="V595" i="26" s="1"/>
  <c r="AC595" i="26" s="1"/>
  <c r="O735" i="26"/>
  <c r="V735" i="26" s="1"/>
  <c r="AC735" i="26" s="1"/>
  <c r="O315" i="26"/>
  <c r="V315" i="26" s="1"/>
  <c r="AC315" i="26" s="1"/>
  <c r="O707" i="26"/>
  <c r="V707" i="26" s="1"/>
  <c r="AC707" i="26" s="1"/>
  <c r="O609" i="26"/>
  <c r="V609" i="26" s="1"/>
  <c r="AC609" i="26" s="1"/>
  <c r="O296" i="26"/>
  <c r="V296" i="26" s="1"/>
  <c r="AC296" i="26" s="1"/>
  <c r="O559" i="26"/>
  <c r="V559" i="26" s="1"/>
  <c r="AC559" i="26" s="1"/>
  <c r="O633" i="26"/>
  <c r="V633" i="26" s="1"/>
  <c r="AC633" i="26" s="1"/>
  <c r="O575" i="26"/>
  <c r="V575" i="26" s="1"/>
  <c r="AC575" i="26" s="1"/>
  <c r="O490" i="26"/>
  <c r="V490" i="26" s="1"/>
  <c r="AC490" i="26" s="1"/>
  <c r="O451" i="26"/>
  <c r="V451" i="26" s="1"/>
  <c r="AC451" i="26" s="1"/>
  <c r="O645" i="26"/>
  <c r="V645" i="26" s="1"/>
  <c r="AC645" i="26" s="1"/>
  <c r="O328" i="26"/>
  <c r="V328" i="26" s="1"/>
  <c r="AC328" i="26" s="1"/>
  <c r="O487" i="26"/>
  <c r="V487" i="26" s="1"/>
  <c r="AC487" i="26" s="1"/>
  <c r="O249" i="26"/>
  <c r="V249" i="26" s="1"/>
  <c r="AC249" i="26" s="1"/>
  <c r="O324" i="26"/>
  <c r="V324" i="26" s="1"/>
  <c r="AC324" i="26" s="1"/>
  <c r="O307" i="26"/>
  <c r="V307" i="26" s="1"/>
  <c r="AC307" i="26" s="1"/>
  <c r="O269" i="26"/>
  <c r="V269" i="26" s="1"/>
  <c r="AC269" i="26" s="1"/>
  <c r="O274" i="26"/>
  <c r="V274" i="26" s="1"/>
  <c r="AC274" i="26" s="1"/>
  <c r="O372" i="26"/>
  <c r="V372" i="26" s="1"/>
  <c r="AC372" i="26" s="1"/>
  <c r="O256" i="26"/>
  <c r="V256" i="26" s="1"/>
  <c r="AC256" i="26" s="1"/>
  <c r="O669" i="26"/>
  <c r="V669" i="26" s="1"/>
  <c r="AC669" i="26" s="1"/>
  <c r="O673" i="26"/>
  <c r="V673" i="26" s="1"/>
  <c r="AC673" i="26" s="1"/>
  <c r="O676" i="26"/>
  <c r="V676" i="26" s="1"/>
  <c r="AC676" i="26" s="1"/>
  <c r="O368" i="26"/>
  <c r="V368" i="26" s="1"/>
  <c r="AC368" i="26" s="1"/>
  <c r="O684" i="26"/>
  <c r="V684" i="26" s="1"/>
  <c r="AC684" i="26" s="1"/>
  <c r="O740" i="26"/>
  <c r="V740" i="26" s="1"/>
  <c r="AC740" i="26" s="1"/>
  <c r="O494" i="26"/>
  <c r="V494" i="26" s="1"/>
  <c r="AC494" i="26" s="1"/>
  <c r="O610" i="26"/>
  <c r="V610" i="26" s="1"/>
  <c r="AC610" i="26" s="1"/>
  <c r="O585" i="26"/>
  <c r="V585" i="26" s="1"/>
  <c r="AC585" i="26" s="1"/>
  <c r="O560" i="26"/>
  <c r="V560" i="26" s="1"/>
  <c r="AC560" i="26" s="1"/>
  <c r="O551" i="26"/>
  <c r="V551" i="26" s="1"/>
  <c r="AC551" i="26" s="1"/>
  <c r="O641" i="26"/>
  <c r="V641" i="26" s="1"/>
  <c r="AC641" i="26" s="1"/>
  <c r="O535" i="26"/>
  <c r="V535" i="26" s="1"/>
  <c r="AC535" i="26" s="1"/>
  <c r="O614" i="26"/>
  <c r="V614" i="26" s="1"/>
  <c r="AC614" i="26" s="1"/>
  <c r="O312" i="26"/>
  <c r="V312" i="26" s="1"/>
  <c r="AC312" i="26" s="1"/>
  <c r="O467" i="26"/>
  <c r="V467" i="26" s="1"/>
  <c r="AC467" i="26" s="1"/>
  <c r="O686" i="26"/>
  <c r="V686" i="26" s="1"/>
  <c r="AC686" i="26" s="1"/>
  <c r="O423" i="26"/>
  <c r="V423" i="26" s="1"/>
  <c r="AC423" i="26" s="1"/>
  <c r="O397" i="26"/>
  <c r="V397" i="26" s="1"/>
  <c r="AC397" i="26" s="1"/>
  <c r="O406" i="26"/>
  <c r="V406" i="26" s="1"/>
  <c r="AC406" i="26" s="1"/>
  <c r="O348" i="26"/>
  <c r="V348" i="26" s="1"/>
  <c r="AC348" i="26" s="1"/>
  <c r="O390" i="26"/>
  <c r="V390" i="26" s="1"/>
  <c r="AC390" i="26" s="1"/>
  <c r="O363" i="26"/>
  <c r="V363" i="26" s="1"/>
  <c r="AC363" i="26" s="1"/>
  <c r="O683" i="26"/>
  <c r="V683" i="26" s="1"/>
  <c r="AC683" i="26" s="1"/>
  <c r="O464" i="26"/>
  <c r="V464" i="26" s="1"/>
  <c r="AC464" i="26" s="1"/>
  <c r="O656" i="26"/>
  <c r="V656" i="26" s="1"/>
  <c r="AC656" i="26" s="1"/>
  <c r="O578" i="26"/>
  <c r="V578" i="26" s="1"/>
  <c r="AC578" i="26" s="1"/>
  <c r="O593" i="26"/>
  <c r="V593" i="26" s="1"/>
  <c r="AC593" i="26" s="1"/>
  <c r="O570" i="26"/>
  <c r="V570" i="26" s="1"/>
  <c r="AC570" i="26" s="1"/>
  <c r="O554" i="26"/>
  <c r="V554" i="26" s="1"/>
  <c r="AC554" i="26" s="1"/>
  <c r="O311" i="26"/>
  <c r="V311" i="26" s="1"/>
  <c r="AC311" i="26" s="1"/>
  <c r="O711" i="26"/>
  <c r="V711" i="26" s="1"/>
  <c r="AC711" i="26" s="1"/>
  <c r="O513" i="26"/>
  <c r="V513" i="26" s="1"/>
  <c r="AC513" i="26" s="1"/>
  <c r="O547" i="26"/>
  <c r="V547" i="26" s="1"/>
  <c r="AC547" i="26" s="1"/>
  <c r="O332" i="26"/>
  <c r="V332" i="26" s="1"/>
  <c r="AC332" i="26" s="1"/>
  <c r="O448" i="26"/>
  <c r="V448" i="26" s="1"/>
  <c r="AC448" i="26" s="1"/>
  <c r="O503" i="26"/>
  <c r="V503" i="26" s="1"/>
  <c r="AC503" i="26" s="1"/>
  <c r="O322" i="26"/>
  <c r="V322" i="26" s="1"/>
  <c r="AC322" i="26" s="1"/>
  <c r="O407" i="26"/>
  <c r="V407" i="26" s="1"/>
  <c r="AC407" i="26" s="1"/>
  <c r="O613" i="26"/>
  <c r="V613" i="26" s="1"/>
  <c r="AC613" i="26" s="1"/>
  <c r="O313" i="26"/>
  <c r="V313" i="26" s="1"/>
  <c r="AC313" i="26" s="1"/>
  <c r="O630" i="26"/>
  <c r="V630" i="26" s="1"/>
  <c r="AC630" i="26" s="1"/>
  <c r="O375" i="26"/>
  <c r="V375" i="26" s="1"/>
  <c r="AC375" i="26" s="1"/>
  <c r="O651" i="26"/>
  <c r="V651" i="26" s="1"/>
  <c r="AC651" i="26" s="1"/>
  <c r="O293" i="26"/>
  <c r="V293" i="26" s="1"/>
  <c r="AC293" i="26" s="1"/>
  <c r="O523" i="26"/>
  <c r="V523" i="26" s="1"/>
  <c r="AC523" i="26" s="1"/>
  <c r="O344" i="26"/>
  <c r="V344" i="26" s="1"/>
  <c r="AC344" i="26" s="1"/>
  <c r="O515" i="26"/>
  <c r="V515" i="26" s="1"/>
  <c r="AC515" i="26" s="1"/>
  <c r="O548" i="26"/>
  <c r="V548" i="26" s="1"/>
  <c r="AC548" i="26" s="1"/>
  <c r="O437" i="26"/>
  <c r="V437" i="26" s="1"/>
  <c r="AC437" i="26" s="1"/>
  <c r="O450" i="26"/>
  <c r="V450" i="26" s="1"/>
  <c r="AC450" i="26" s="1"/>
  <c r="O691" i="26"/>
  <c r="V691" i="26" s="1"/>
  <c r="AC691" i="26" s="1"/>
  <c r="O696" i="26"/>
  <c r="V696" i="26" s="1"/>
  <c r="AC696" i="26" s="1"/>
  <c r="O410" i="26"/>
  <c r="V410" i="26" s="1"/>
  <c r="AC410" i="26" s="1"/>
  <c r="O382" i="26"/>
  <c r="V382" i="26" s="1"/>
  <c r="AC382" i="26" s="1"/>
  <c r="O283" i="26"/>
  <c r="V283" i="26" s="1"/>
  <c r="AC283" i="26" s="1"/>
  <c r="O349" i="26"/>
  <c r="V349" i="26" s="1"/>
  <c r="AC349" i="26" s="1"/>
  <c r="O722" i="26"/>
  <c r="V722" i="26" s="1"/>
  <c r="AC722" i="26" s="1"/>
  <c r="O724" i="26"/>
  <c r="V724" i="26" s="1"/>
  <c r="AC724" i="26" s="1"/>
  <c r="O469" i="26"/>
  <c r="V469" i="26" s="1"/>
  <c r="AC469" i="26" s="1"/>
  <c r="O582" i="26"/>
  <c r="V582" i="26" s="1"/>
  <c r="AC582" i="26" s="1"/>
  <c r="O665" i="26"/>
  <c r="V665" i="26" s="1"/>
  <c r="AC665" i="26" s="1"/>
  <c r="O496" i="26"/>
  <c r="V496" i="26" s="1"/>
  <c r="AC496" i="26" s="1"/>
  <c r="O524" i="26"/>
  <c r="V524" i="26" s="1"/>
  <c r="AC524" i="26" s="1"/>
  <c r="O303" i="26"/>
  <c r="V303" i="26" s="1"/>
  <c r="AC303" i="26" s="1"/>
  <c r="O516" i="26"/>
  <c r="V516" i="26" s="1"/>
  <c r="AC516" i="26" s="1"/>
  <c r="O250" i="26"/>
  <c r="V250" i="26" s="1"/>
  <c r="AC250" i="26" s="1"/>
  <c r="O718" i="26"/>
  <c r="V718" i="26" s="1"/>
  <c r="AC718" i="26" s="1"/>
  <c r="O323" i="26"/>
  <c r="V323" i="26" s="1"/>
  <c r="AC323" i="26" s="1"/>
  <c r="O424" i="26"/>
  <c r="V424" i="26" s="1"/>
  <c r="AC424" i="26" s="1"/>
  <c r="O399" i="26"/>
  <c r="V399" i="26" s="1"/>
  <c r="AC399" i="26" s="1"/>
  <c r="O702" i="26"/>
  <c r="V702" i="26" s="1"/>
  <c r="AC702" i="26" s="1"/>
  <c r="O288" i="26"/>
  <c r="V288" i="26" s="1"/>
  <c r="AC288" i="26" s="1"/>
  <c r="O675" i="26"/>
  <c r="V675" i="26" s="1"/>
  <c r="AC675" i="26" s="1"/>
  <c r="O364" i="26"/>
  <c r="V364" i="26" s="1"/>
  <c r="AC364" i="26" s="1"/>
  <c r="O306" i="26"/>
  <c r="V306" i="26" s="1"/>
  <c r="AC306" i="26" s="1"/>
  <c r="O726" i="26"/>
  <c r="V726" i="26" s="1"/>
  <c r="AC726" i="26" s="1"/>
  <c r="O477" i="26"/>
  <c r="V477" i="26" s="1"/>
  <c r="AC477" i="26" s="1"/>
  <c r="O352" i="26"/>
  <c r="V352" i="26" s="1"/>
  <c r="AC352" i="26" s="1"/>
  <c r="O317" i="26"/>
  <c r="V317" i="26" s="1"/>
  <c r="AC317" i="26" s="1"/>
  <c r="O343" i="26"/>
  <c r="V343" i="26" s="1"/>
  <c r="AC343" i="26" s="1"/>
  <c r="O525" i="26"/>
  <c r="V525" i="26" s="1"/>
  <c r="AC525" i="26" s="1"/>
  <c r="O537" i="26"/>
  <c r="V537" i="26" s="1"/>
  <c r="AC537" i="26" s="1"/>
  <c r="O517" i="26"/>
  <c r="V517" i="26" s="1"/>
  <c r="AC517" i="26" s="1"/>
  <c r="O550" i="26"/>
  <c r="V550" i="26" s="1"/>
  <c r="AC550" i="26" s="1"/>
  <c r="O557" i="26"/>
  <c r="V557" i="26" s="1"/>
  <c r="AC557" i="26" s="1"/>
  <c r="O415" i="26"/>
  <c r="V415" i="26" s="1"/>
  <c r="AC415" i="26" s="1"/>
  <c r="O425" i="26"/>
  <c r="V425" i="26" s="1"/>
  <c r="AC425" i="26" s="1"/>
  <c r="O456" i="26"/>
  <c r="V456" i="26" s="1"/>
  <c r="AC456" i="26" s="1"/>
  <c r="O411" i="26"/>
  <c r="V411" i="26" s="1"/>
  <c r="AC411" i="26" s="1"/>
  <c r="O639" i="26"/>
  <c r="V639" i="26" s="1"/>
  <c r="AC639" i="26" s="1"/>
  <c r="O526" i="26"/>
  <c r="V526" i="26" s="1"/>
  <c r="AC526" i="26" s="1"/>
  <c r="O647" i="26"/>
  <c r="V647" i="26" s="1"/>
  <c r="AC647" i="26" s="1"/>
  <c r="O616" i="26"/>
  <c r="V616" i="26" s="1"/>
  <c r="AC616" i="26" s="1"/>
  <c r="O714" i="26"/>
  <c r="V714" i="26" s="1"/>
  <c r="AC714" i="26" s="1"/>
  <c r="O542" i="26"/>
  <c r="V542" i="26" s="1"/>
  <c r="AC542" i="26" s="1"/>
  <c r="O483" i="26"/>
  <c r="V483" i="26" s="1"/>
  <c r="AC483" i="26" s="1"/>
  <c r="O508" i="26"/>
  <c r="V508" i="26" s="1"/>
  <c r="AC508" i="26" s="1"/>
  <c r="O459" i="26"/>
  <c r="V459" i="26" s="1"/>
  <c r="AC459" i="26" s="1"/>
  <c r="O444" i="26"/>
  <c r="V444" i="26" s="1"/>
  <c r="AC444" i="26" s="1"/>
  <c r="O692" i="26"/>
  <c r="V692" i="26" s="1"/>
  <c r="AC692" i="26" s="1"/>
  <c r="O404" i="26"/>
  <c r="V404" i="26" s="1"/>
  <c r="AC404" i="26" s="1"/>
  <c r="O381" i="26"/>
  <c r="V381" i="26" s="1"/>
  <c r="AC381" i="26" s="1"/>
  <c r="O282" i="26"/>
  <c r="V282" i="26" s="1"/>
  <c r="AC282" i="26" s="1"/>
  <c r="O596" i="26"/>
  <c r="V596" i="26" s="1"/>
  <c r="AC596" i="26" s="1"/>
  <c r="O652" i="26"/>
  <c r="V652" i="26" s="1"/>
  <c r="AC652" i="26" s="1"/>
  <c r="O657" i="26"/>
  <c r="V657" i="26" s="1"/>
  <c r="AC657" i="26" s="1"/>
  <c r="O587" i="26"/>
  <c r="V587" i="26" s="1"/>
  <c r="AC587" i="26" s="1"/>
  <c r="O567" i="26"/>
  <c r="V567" i="26" s="1"/>
  <c r="AC567" i="26" s="1"/>
  <c r="O294" i="26"/>
  <c r="V294" i="26" s="1"/>
  <c r="AC294" i="26" s="1"/>
  <c r="O275" i="26"/>
  <c r="V275" i="26" s="1"/>
  <c r="AC275" i="26" s="1"/>
  <c r="O510" i="26"/>
  <c r="V510" i="26" s="1"/>
  <c r="AC510" i="26" s="1"/>
  <c r="O460" i="26"/>
  <c r="V460" i="26" s="1"/>
  <c r="AC460" i="26" s="1"/>
  <c r="O333" i="26"/>
  <c r="V333" i="26" s="1"/>
  <c r="AC333" i="26" s="1"/>
  <c r="O266" i="26"/>
  <c r="V266" i="26" s="1"/>
  <c r="AC266" i="26" s="1"/>
  <c r="O259" i="26"/>
  <c r="V259" i="26" s="1"/>
  <c r="AC259" i="26" s="1"/>
  <c r="O383" i="26"/>
  <c r="V383" i="26" s="1"/>
  <c r="AC383" i="26" s="1"/>
  <c r="O320" i="26"/>
  <c r="V320" i="26" s="1"/>
  <c r="AC320" i="26" s="1"/>
  <c r="O273" i="26"/>
  <c r="V273" i="26" s="1"/>
  <c r="AC273" i="26" s="1"/>
  <c r="O727" i="26"/>
  <c r="V727" i="26" s="1"/>
  <c r="AC727" i="26" s="1"/>
  <c r="O479" i="26"/>
  <c r="V479" i="26" s="1"/>
  <c r="AC479" i="26" s="1"/>
  <c r="O588" i="26"/>
  <c r="V588" i="26" s="1"/>
  <c r="AC588" i="26" s="1"/>
  <c r="O568" i="26"/>
  <c r="V568" i="26" s="1"/>
  <c r="AC568" i="26" s="1"/>
  <c r="O543" i="26"/>
  <c r="V543" i="26" s="1"/>
  <c r="AC543" i="26" s="1"/>
  <c r="O643" i="26"/>
  <c r="V643" i="26" s="1"/>
  <c r="AC643" i="26" s="1"/>
  <c r="O511" i="26"/>
  <c r="V511" i="26" s="1"/>
  <c r="AC511" i="26" s="1"/>
  <c r="O715" i="26"/>
  <c r="V715" i="26" s="1"/>
  <c r="AC715" i="26" s="1"/>
  <c r="O445" i="26"/>
  <c r="V445" i="26" s="1"/>
  <c r="AC445" i="26" s="1"/>
  <c r="O693" i="26"/>
  <c r="V693" i="26" s="1"/>
  <c r="AC693" i="26" s="1"/>
  <c r="O405" i="26"/>
  <c r="V405" i="26" s="1"/>
  <c r="AC405" i="26" s="1"/>
  <c r="O623" i="26"/>
  <c r="V623" i="26" s="1"/>
  <c r="AC623" i="26" s="1"/>
  <c r="O677" i="26"/>
  <c r="V677" i="26" s="1"/>
  <c r="AC677" i="26" s="1"/>
  <c r="O682" i="26"/>
  <c r="V682" i="26" s="1"/>
  <c r="AC682" i="26" s="1"/>
  <c r="O305" i="26"/>
  <c r="V305" i="26" s="1"/>
  <c r="AC305" i="26" s="1"/>
  <c r="O607" i="26"/>
  <c r="V607" i="26" s="1"/>
  <c r="AC607" i="26" s="1"/>
  <c r="O314" i="26"/>
  <c r="V314" i="26" s="1"/>
  <c r="AC314" i="26" s="1"/>
  <c r="O569" i="26"/>
  <c r="V569" i="26" s="1"/>
  <c r="AC569" i="26" s="1"/>
  <c r="O304" i="26"/>
  <c r="V304" i="26" s="1"/>
  <c r="AC304" i="26" s="1"/>
  <c r="O527" i="26"/>
  <c r="V527" i="26" s="1"/>
  <c r="AC527" i="26" s="1"/>
  <c r="O471" i="26"/>
  <c r="V471" i="26" s="1"/>
  <c r="AC471" i="26" s="1"/>
  <c r="O331" i="26"/>
  <c r="V331" i="26" s="1"/>
  <c r="AC331" i="26" s="1"/>
  <c r="O447" i="26"/>
  <c r="V447" i="26" s="1"/>
  <c r="AC447" i="26" s="1"/>
  <c r="O429" i="26"/>
  <c r="V429" i="26" s="1"/>
  <c r="AC429" i="26" s="1"/>
  <c r="O258" i="26"/>
  <c r="V258" i="26" s="1"/>
  <c r="AC258" i="26" s="1"/>
  <c r="O373" i="26"/>
  <c r="V373" i="26" s="1"/>
  <c r="AC373" i="26" s="1"/>
  <c r="O361" i="26"/>
  <c r="V361" i="26" s="1"/>
  <c r="AC361" i="26" s="1"/>
  <c r="O744" i="26"/>
  <c r="V744" i="26" s="1"/>
  <c r="AC744" i="26" s="1"/>
  <c r="O602" i="26"/>
  <c r="V602" i="26" s="1"/>
  <c r="AC602" i="26" s="1"/>
  <c r="O298" i="26"/>
  <c r="V298" i="26" s="1"/>
  <c r="AC298" i="26" s="1"/>
  <c r="O377" i="26"/>
  <c r="V377" i="26" s="1"/>
  <c r="AC377" i="26" s="1"/>
  <c r="O571" i="26"/>
  <c r="V571" i="26" s="1"/>
  <c r="AC571" i="26" s="1"/>
  <c r="O636" i="26"/>
  <c r="V636" i="26" s="1"/>
  <c r="AC636" i="26" s="1"/>
  <c r="O738" i="26"/>
  <c r="V738" i="26" s="1"/>
  <c r="AC738" i="26" s="1"/>
  <c r="O512" i="26"/>
  <c r="V512" i="26" s="1"/>
  <c r="AC512" i="26" s="1"/>
  <c r="O552" i="26"/>
  <c r="V552" i="26" s="1"/>
  <c r="AC552" i="26" s="1"/>
  <c r="O334" i="26"/>
  <c r="V334" i="26" s="1"/>
  <c r="AC334" i="26" s="1"/>
  <c r="O347" i="26"/>
  <c r="V347" i="26" s="1"/>
  <c r="AC347" i="26" s="1"/>
  <c r="O700" i="26"/>
  <c r="V700" i="26" s="1"/>
  <c r="AC700" i="26" s="1"/>
  <c r="O384" i="26"/>
  <c r="V384" i="26" s="1"/>
  <c r="AC384" i="26" s="1"/>
  <c r="O629" i="26"/>
  <c r="V629" i="26" s="1"/>
  <c r="AC629" i="26" s="1"/>
  <c r="O721" i="26"/>
  <c r="V721" i="26" s="1"/>
  <c r="AC721" i="26" s="1"/>
  <c r="O653" i="26"/>
  <c r="V653" i="26" s="1"/>
  <c r="AC653" i="26" s="1"/>
  <c r="O611" i="26"/>
  <c r="V611" i="26" s="1"/>
  <c r="AC611" i="26" s="1"/>
  <c r="O591" i="26"/>
  <c r="V591" i="26" s="1"/>
  <c r="AC591" i="26" s="1"/>
  <c r="O544" i="26"/>
  <c r="V544" i="26" s="1"/>
  <c r="AC544" i="26" s="1"/>
  <c r="O704" i="26"/>
  <c r="V704" i="26" s="1"/>
  <c r="AC704" i="26" s="1"/>
  <c r="O514" i="26"/>
  <c r="V514" i="26" s="1"/>
  <c r="AC514" i="26" s="1"/>
  <c r="O553" i="26"/>
  <c r="V553" i="26" s="1"/>
  <c r="AC553" i="26" s="1"/>
  <c r="O416" i="26"/>
  <c r="V416" i="26" s="1"/>
  <c r="AC416" i="26" s="1"/>
  <c r="O694" i="26"/>
  <c r="V694" i="26" s="1"/>
  <c r="AC694" i="26" s="1"/>
  <c r="O408" i="26"/>
  <c r="V408" i="26" s="1"/>
  <c r="AC408" i="26" s="1"/>
  <c r="O385" i="26"/>
  <c r="V385" i="26" s="1"/>
  <c r="AC385" i="26" s="1"/>
  <c r="O280" i="26"/>
  <c r="V280" i="26" s="1"/>
  <c r="AC280" i="26" s="1"/>
  <c r="O736" i="26"/>
  <c r="V736" i="26" s="1"/>
  <c r="AC736" i="26" s="1"/>
  <c r="O729" i="26"/>
  <c r="V729" i="26" s="1"/>
  <c r="AC729" i="26" s="1"/>
  <c r="O659" i="26"/>
  <c r="V659" i="26" s="1"/>
  <c r="AC659" i="26" s="1"/>
  <c r="O592" i="26"/>
  <c r="V592" i="26" s="1"/>
  <c r="AC592" i="26" s="1"/>
  <c r="O545" i="26"/>
  <c r="V545" i="26" s="1"/>
  <c r="AC545" i="26" s="1"/>
  <c r="O530" i="26"/>
  <c r="V530" i="26" s="1"/>
  <c r="AC530" i="26" s="1"/>
  <c r="O519" i="26"/>
  <c r="V519" i="26" s="1"/>
  <c r="AC519" i="26" s="1"/>
  <c r="O465" i="26"/>
  <c r="V465" i="26" s="1"/>
  <c r="AC465" i="26" s="1"/>
  <c r="O688" i="26"/>
  <c r="V688" i="26" s="1"/>
  <c r="AC688" i="26" s="1"/>
  <c r="O430" i="26"/>
  <c r="V430" i="26" s="1"/>
  <c r="AC430" i="26" s="1"/>
  <c r="O255" i="26"/>
  <c r="V255" i="26" s="1"/>
  <c r="AC255" i="26" s="1"/>
  <c r="O386" i="26"/>
  <c r="V386" i="26" s="1"/>
  <c r="AC386" i="26" s="1"/>
  <c r="O362" i="26"/>
  <c r="V362" i="26" s="1"/>
  <c r="AC362" i="26" s="1"/>
  <c r="O598" i="26"/>
  <c r="V598" i="26" s="1"/>
  <c r="AC598" i="26" s="1"/>
  <c r="O731" i="26"/>
  <c r="V731" i="26" s="1"/>
  <c r="AC731" i="26" s="1"/>
  <c r="O612" i="26"/>
  <c r="V612" i="26" s="1"/>
  <c r="AC612" i="26" s="1"/>
  <c r="O354" i="26"/>
  <c r="V354" i="26" s="1"/>
  <c r="AC354" i="26" s="1"/>
  <c r="O541" i="26"/>
  <c r="V541" i="26" s="1"/>
  <c r="AC541" i="26" s="1"/>
  <c r="O539" i="26"/>
  <c r="V539" i="26" s="1"/>
  <c r="AC539" i="26" s="1"/>
  <c r="O439" i="26"/>
  <c r="V439" i="26" s="1"/>
  <c r="AC439" i="26" s="1"/>
  <c r="O481" i="26"/>
  <c r="V481" i="26" s="1"/>
  <c r="AC481" i="26" s="1"/>
  <c r="O286" i="26"/>
  <c r="V286" i="26" s="1"/>
  <c r="AC286" i="26" s="1"/>
  <c r="O681" i="26"/>
  <c r="V681" i="26" s="1"/>
  <c r="AC681" i="26" s="1"/>
  <c r="O502" i="26"/>
  <c r="V502" i="26" s="1"/>
  <c r="AC502" i="26" s="1"/>
  <c r="O631" i="26"/>
  <c r="V631" i="26" s="1"/>
  <c r="AC631" i="26" s="1"/>
  <c r="O310" i="26"/>
  <c r="V310" i="26" s="1"/>
  <c r="AC310" i="26" s="1"/>
  <c r="O327" i="26"/>
  <c r="V327" i="26" s="1"/>
  <c r="AC327" i="26" s="1"/>
  <c r="O440" i="26"/>
  <c r="V440" i="26" s="1"/>
  <c r="AC440" i="26" s="1"/>
  <c r="O398" i="26"/>
  <c r="V398" i="26" s="1"/>
  <c r="AC398" i="26" s="1"/>
  <c r="O387" i="26"/>
  <c r="V387" i="26" s="1"/>
  <c r="AC387" i="26" s="1"/>
  <c r="O277" i="26"/>
  <c r="V277" i="26" s="1"/>
  <c r="AC277" i="26" s="1"/>
  <c r="O504" i="26"/>
  <c r="V504" i="26" s="1"/>
  <c r="AC504" i="26" s="1"/>
  <c r="O564" i="26"/>
  <c r="V564" i="26" s="1"/>
  <c r="AC564" i="26" s="1"/>
  <c r="O359" i="26"/>
  <c r="V359" i="26" s="1"/>
  <c r="AC359" i="26" s="1"/>
  <c r="O648" i="26"/>
  <c r="V648" i="26" s="1"/>
  <c r="AC648" i="26" s="1"/>
  <c r="O520" i="26"/>
  <c r="V520" i="26" s="1"/>
  <c r="AC520" i="26" s="1"/>
  <c r="O261" i="26"/>
  <c r="V261" i="26" s="1"/>
  <c r="AC261" i="26" s="1"/>
  <c r="O388" i="26"/>
  <c r="V388" i="26" s="1"/>
  <c r="AC388" i="26" s="1"/>
  <c r="O599" i="26"/>
  <c r="V599" i="26" s="1"/>
  <c r="AC599" i="26" s="1"/>
  <c r="O351" i="26"/>
  <c r="V351" i="26" s="1"/>
  <c r="AC351" i="26" s="1"/>
  <c r="O355" i="26"/>
  <c r="V355" i="26" s="1"/>
  <c r="AC355" i="26" s="1"/>
  <c r="O640" i="26"/>
  <c r="V640" i="26" s="1"/>
  <c r="AC640" i="26" s="1"/>
  <c r="O617" i="26"/>
  <c r="V617" i="26" s="1"/>
  <c r="AC617" i="26" s="1"/>
  <c r="O720" i="26"/>
  <c r="V720" i="26" s="1"/>
  <c r="AC720" i="26" s="1"/>
  <c r="O400" i="26"/>
  <c r="V400" i="26" s="1"/>
  <c r="AC400" i="26" s="1"/>
  <c r="O341" i="26"/>
  <c r="V341" i="26" s="1"/>
  <c r="AC341" i="26" s="1"/>
  <c r="O476" i="26"/>
  <c r="V476" i="26" s="1"/>
  <c r="AC476" i="26" s="1"/>
  <c r="O605" i="26"/>
  <c r="V605" i="26" s="1"/>
  <c r="AC605" i="26" s="1"/>
  <c r="O632" i="26"/>
  <c r="V632" i="26" s="1"/>
  <c r="AC632" i="26" s="1"/>
  <c r="O474" i="26"/>
  <c r="V474" i="26" s="1"/>
  <c r="AC474" i="26" s="1"/>
  <c r="O492" i="26"/>
  <c r="V492" i="26" s="1"/>
  <c r="AC492" i="26" s="1"/>
  <c r="O443" i="26"/>
  <c r="V443" i="26" s="1"/>
  <c r="AC443" i="26" s="1"/>
  <c r="O272" i="26"/>
  <c r="V272" i="26" s="1"/>
  <c r="AC272" i="26" s="1"/>
  <c r="O389" i="26"/>
  <c r="V389" i="26" s="1"/>
  <c r="AC389" i="26" s="1"/>
  <c r="O299" i="26"/>
  <c r="V299" i="26" s="1"/>
  <c r="AC299" i="26" s="1"/>
  <c r="O577" i="26"/>
  <c r="V577" i="26" s="1"/>
  <c r="AC577" i="26" s="1"/>
  <c r="O565" i="26"/>
  <c r="V565" i="26" s="1"/>
  <c r="AC565" i="26" s="1"/>
  <c r="O728" i="26"/>
  <c r="V728" i="26" s="1"/>
  <c r="AC728" i="26" s="1"/>
  <c r="O455" i="26"/>
  <c r="V455" i="26" s="1"/>
  <c r="AC455" i="26" s="1"/>
  <c r="O417" i="26"/>
  <c r="V417" i="26" s="1"/>
  <c r="AC417" i="26" s="1"/>
  <c r="O260" i="26"/>
  <c r="V260" i="26" s="1"/>
  <c r="AC260" i="26" s="1"/>
  <c r="O391" i="26"/>
  <c r="V391" i="26" s="1"/>
  <c r="AC391" i="26" s="1"/>
  <c r="O480" i="26"/>
  <c r="V480" i="26" s="1"/>
  <c r="AC480" i="26" s="1"/>
  <c r="O660" i="26"/>
  <c r="V660" i="26" s="1"/>
  <c r="AC660" i="26" s="1"/>
  <c r="O566" i="26"/>
  <c r="V566" i="26" s="1"/>
  <c r="AC566" i="26" s="1"/>
  <c r="O291" i="26"/>
  <c r="V291" i="26" s="1"/>
  <c r="AC291" i="26" s="1"/>
  <c r="O422" i="26"/>
  <c r="V422" i="26" s="1"/>
  <c r="AC422" i="26" s="1"/>
  <c r="O621" i="26"/>
  <c r="V621" i="26" s="1"/>
  <c r="AC621" i="26" s="1"/>
  <c r="O654" i="26"/>
  <c r="V654" i="26" s="1"/>
  <c r="AC654" i="26" s="1"/>
  <c r="O712" i="26"/>
  <c r="V712" i="26" s="1"/>
  <c r="AC712" i="26" s="1"/>
  <c r="O371" i="26"/>
  <c r="V371" i="26" s="1"/>
  <c r="AC371" i="26" s="1"/>
  <c r="O392" i="26"/>
  <c r="V392" i="26" s="1"/>
  <c r="AC392" i="26" s="1"/>
  <c r="O376" i="26"/>
  <c r="V376" i="26" s="1"/>
  <c r="AC376" i="26" s="1"/>
  <c r="O497" i="26"/>
  <c r="V497" i="26" s="1"/>
  <c r="AC497" i="26" s="1"/>
  <c r="O268" i="26"/>
  <c r="V268" i="26" s="1"/>
  <c r="AC268" i="26" s="1"/>
  <c r="O393" i="26"/>
  <c r="V393" i="26" s="1"/>
  <c r="AC393" i="26" s="1"/>
  <c r="O737" i="26"/>
  <c r="V737" i="26" s="1"/>
  <c r="AC737" i="26" s="1"/>
  <c r="O302" i="26"/>
  <c r="V302" i="26" s="1"/>
  <c r="AC302" i="26" s="1"/>
  <c r="O690" i="26"/>
  <c r="V690" i="26" s="1"/>
  <c r="AC690" i="26" s="1"/>
  <c r="O627" i="26"/>
  <c r="V627" i="26" s="1"/>
  <c r="AC627" i="26" s="1"/>
  <c r="O604" i="26"/>
  <c r="V604" i="26" s="1"/>
  <c r="AC604" i="26" s="1"/>
  <c r="O493" i="26"/>
  <c r="V493" i="26" s="1"/>
  <c r="AC493" i="26" s="1"/>
  <c r="O267" i="26"/>
  <c r="V267" i="26" s="1"/>
  <c r="AC267" i="26" s="1"/>
  <c r="O678" i="26"/>
  <c r="V678" i="26" s="1"/>
  <c r="AC678" i="26" s="1"/>
  <c r="O500" i="26"/>
  <c r="V500" i="26" s="1"/>
  <c r="AC500" i="26" s="1"/>
  <c r="O457" i="26"/>
  <c r="V457" i="26" s="1"/>
  <c r="AC457" i="26" s="1"/>
  <c r="O264" i="26"/>
  <c r="V264" i="26" s="1"/>
  <c r="AC264" i="26" s="1"/>
  <c r="O279" i="26"/>
  <c r="V279" i="26" s="1"/>
  <c r="AC279" i="26" s="1"/>
  <c r="O297" i="26"/>
  <c r="V297" i="26" s="1"/>
  <c r="AC297" i="26" s="1"/>
  <c r="O462" i="26"/>
  <c r="V462" i="26" s="1"/>
  <c r="AC462" i="26" s="1"/>
  <c r="O431" i="26"/>
  <c r="V431" i="26" s="1"/>
  <c r="AC431" i="26" s="1"/>
  <c r="O365" i="26"/>
  <c r="V365" i="26" s="1"/>
  <c r="AC365" i="26" s="1"/>
  <c r="O579" i="26"/>
  <c r="V579" i="26" s="1"/>
  <c r="AC579" i="26" s="1"/>
  <c r="O531" i="26"/>
  <c r="V531" i="26" s="1"/>
  <c r="AC531" i="26" s="1"/>
  <c r="O300" i="26"/>
  <c r="V300" i="26" s="1"/>
  <c r="AC300" i="26" s="1"/>
  <c r="O353" i="26"/>
  <c r="V353" i="26" s="1"/>
  <c r="AC353" i="26" s="1"/>
  <c r="O532" i="26"/>
  <c r="V532" i="26" s="1"/>
  <c r="AC532" i="26" s="1"/>
  <c r="O667" i="26"/>
  <c r="V667" i="26" s="1"/>
  <c r="AC667" i="26" s="1"/>
  <c r="O663" i="26"/>
  <c r="V663" i="26" s="1"/>
  <c r="AC663" i="26" s="1"/>
  <c r="O534" i="26"/>
  <c r="V534" i="26" s="1"/>
  <c r="AC534" i="26" s="1"/>
  <c r="O620" i="26"/>
  <c r="V620" i="26" s="1"/>
  <c r="AC620" i="26" s="1"/>
  <c r="O586" i="26"/>
  <c r="V586" i="26" s="1"/>
  <c r="AC586" i="26" s="1"/>
  <c r="O345" i="26"/>
  <c r="V345" i="26" s="1"/>
  <c r="AC345" i="26" s="1"/>
  <c r="O339" i="26"/>
  <c r="V339" i="26" s="1"/>
  <c r="AC339" i="26" s="1"/>
  <c r="O318" i="26"/>
  <c r="V318" i="26" s="1"/>
  <c r="AC318" i="26" s="1"/>
  <c r="O713" i="26"/>
  <c r="V713" i="26" s="1"/>
  <c r="AC713" i="26" s="1"/>
  <c r="O379" i="26"/>
  <c r="V379" i="26" s="1"/>
  <c r="AC379" i="26" s="1"/>
  <c r="O666" i="26"/>
  <c r="V666" i="26" s="1"/>
  <c r="AC666" i="26" s="1"/>
  <c r="O716" i="26"/>
  <c r="V716" i="26" s="1"/>
  <c r="AC716" i="26" s="1"/>
  <c r="O366" i="26"/>
  <c r="V366" i="26" s="1"/>
  <c r="AC366" i="26" s="1"/>
  <c r="O561" i="26"/>
  <c r="V561" i="26" s="1"/>
  <c r="AC561" i="26" s="1"/>
  <c r="O466" i="26"/>
  <c r="V466" i="26" s="1"/>
  <c r="AC466" i="26" s="1"/>
  <c r="O374" i="26"/>
  <c r="V374" i="26" s="1"/>
  <c r="AC374" i="26" s="1"/>
  <c r="O436" i="26"/>
  <c r="V436" i="26" s="1"/>
  <c r="AC436" i="26" s="1"/>
  <c r="O583" i="26"/>
  <c r="V583" i="26" s="1"/>
  <c r="AC583" i="26" s="1"/>
  <c r="O438" i="26"/>
  <c r="V438" i="26" s="1"/>
  <c r="AC438" i="26" s="1"/>
  <c r="O662" i="26"/>
  <c r="V662" i="26" s="1"/>
  <c r="AC662" i="26" s="1"/>
  <c r="O418" i="26"/>
  <c r="V418" i="26" s="1"/>
  <c r="AC418" i="26" s="1"/>
  <c r="O270" i="26"/>
  <c r="V270" i="26" s="1"/>
  <c r="AC270" i="26" s="1"/>
  <c r="O403" i="26"/>
  <c r="V403" i="26" s="1"/>
  <c r="AC403" i="26" s="1"/>
  <c r="O321" i="26"/>
  <c r="V321" i="26" s="1"/>
  <c r="AC321" i="26" s="1"/>
  <c r="O730" i="26"/>
  <c r="V730" i="26" s="1"/>
  <c r="AC730" i="26" s="1"/>
  <c r="O350" i="26"/>
  <c r="V350" i="26" s="1"/>
  <c r="AC350" i="26" s="1"/>
  <c r="O276" i="26"/>
  <c r="V276" i="26" s="1"/>
  <c r="AC276" i="26" s="1"/>
  <c r="O600" i="26"/>
  <c r="V600" i="26" s="1"/>
  <c r="AC600" i="26" s="1"/>
  <c r="O635" i="26"/>
  <c r="V635" i="26" s="1"/>
  <c r="AC635" i="26" s="1"/>
  <c r="O475" i="26"/>
  <c r="V475" i="26" s="1"/>
  <c r="AC475" i="26" s="1"/>
  <c r="O458" i="26"/>
  <c r="V458" i="26" s="1"/>
  <c r="AC458" i="26" s="1"/>
  <c r="O412" i="26"/>
  <c r="V412" i="26" s="1"/>
  <c r="AC412" i="26" s="1"/>
  <c r="O413" i="26"/>
  <c r="V413" i="26" s="1"/>
  <c r="AC413" i="26" s="1"/>
  <c r="O680" i="26"/>
  <c r="V680" i="26" s="1"/>
  <c r="AC680" i="26" s="1"/>
  <c r="O369" i="26"/>
  <c r="V369" i="26" s="1"/>
  <c r="AC369" i="26" s="1"/>
  <c r="O650" i="26"/>
  <c r="V650" i="26" s="1"/>
  <c r="AC650" i="26" s="1"/>
  <c r="O454" i="26"/>
  <c r="V454" i="26" s="1"/>
  <c r="AC454" i="26" s="1"/>
  <c r="O360" i="26"/>
  <c r="V360" i="26" s="1"/>
  <c r="AC360" i="26" s="1"/>
  <c r="O419" i="26"/>
  <c r="V419" i="26" s="1"/>
  <c r="AC419" i="26" s="1"/>
  <c r="BQ25" i="26"/>
  <c r="BS25" i="26"/>
  <c r="BQ65" i="26"/>
  <c r="BS65" i="26"/>
  <c r="BS209" i="26"/>
  <c r="BQ209" i="26"/>
  <c r="BS265" i="26"/>
  <c r="BQ265" i="26"/>
  <c r="BQ329" i="26"/>
  <c r="BS329" i="26"/>
  <c r="BQ393" i="26"/>
  <c r="BS393" i="26"/>
  <c r="BS457" i="26"/>
  <c r="BQ457" i="26"/>
  <c r="BQ529" i="26"/>
  <c r="BS529" i="26"/>
  <c r="BQ593" i="26"/>
  <c r="BS593" i="26"/>
  <c r="BQ673" i="26"/>
  <c r="BS673" i="26"/>
  <c r="BQ745" i="26"/>
  <c r="BS745" i="26"/>
  <c r="BQ34" i="26"/>
  <c r="BS34" i="26"/>
  <c r="BQ90" i="26"/>
  <c r="BS90" i="26"/>
  <c r="BQ210" i="26"/>
  <c r="BS210" i="26"/>
  <c r="BQ266" i="26"/>
  <c r="BS266" i="26"/>
  <c r="BS330" i="26"/>
  <c r="BQ330" i="26"/>
  <c r="BS394" i="26"/>
  <c r="BQ394" i="26"/>
  <c r="BQ466" i="26"/>
  <c r="BS466" i="26"/>
  <c r="BS538" i="26"/>
  <c r="BQ538" i="26"/>
  <c r="BQ602" i="26"/>
  <c r="BS602" i="26"/>
  <c r="BS682" i="26"/>
  <c r="BQ682" i="26"/>
  <c r="BS746" i="26"/>
  <c r="BQ746" i="26"/>
  <c r="R179" i="26"/>
  <c r="Y179" i="26" s="1"/>
  <c r="AF179" i="26" s="1"/>
  <c r="R204" i="26"/>
  <c r="Y204" i="26" s="1"/>
  <c r="AF204" i="26" s="1"/>
  <c r="R197" i="26"/>
  <c r="Y197" i="26" s="1"/>
  <c r="AF197" i="26" s="1"/>
  <c r="R206" i="26"/>
  <c r="Y206" i="26" s="1"/>
  <c r="AF206" i="26" s="1"/>
  <c r="R151" i="26"/>
  <c r="Y151" i="26" s="1"/>
  <c r="AF151" i="26" s="1"/>
  <c r="R159" i="26"/>
  <c r="Y159" i="26" s="1"/>
  <c r="AF159" i="26" s="1"/>
  <c r="R184" i="26"/>
  <c r="Y184" i="26" s="1"/>
  <c r="AF184" i="26" s="1"/>
  <c r="R246" i="26"/>
  <c r="Y246" i="26" s="1"/>
  <c r="AF246" i="26" s="1"/>
  <c r="R220" i="26"/>
  <c r="Y220" i="26" s="1"/>
  <c r="AF220" i="26" s="1"/>
  <c r="R143" i="26"/>
  <c r="Y143" i="26" s="1"/>
  <c r="AF143" i="26" s="1"/>
  <c r="R191" i="26"/>
  <c r="Y191" i="26" s="1"/>
  <c r="AF191" i="26" s="1"/>
  <c r="R205" i="26"/>
  <c r="Y205" i="26" s="1"/>
  <c r="AF205" i="26" s="1"/>
  <c r="R139" i="26"/>
  <c r="Y139" i="26" s="1"/>
  <c r="AF139" i="26" s="1"/>
  <c r="R237" i="26"/>
  <c r="Y237" i="26" s="1"/>
  <c r="AF237" i="26" s="1"/>
  <c r="R247" i="26"/>
  <c r="Y247" i="26" s="1"/>
  <c r="AF247" i="26" s="1"/>
  <c r="R202" i="26"/>
  <c r="Y202" i="26" s="1"/>
  <c r="AF202" i="26" s="1"/>
  <c r="R212" i="26"/>
  <c r="Y212" i="26" s="1"/>
  <c r="AF212" i="26" s="1"/>
  <c r="R218" i="26"/>
  <c r="Y218" i="26" s="1"/>
  <c r="AF218" i="26" s="1"/>
  <c r="R193" i="26"/>
  <c r="Y193" i="26" s="1"/>
  <c r="AF193" i="26" s="1"/>
  <c r="R140" i="26"/>
  <c r="Y140" i="26" s="1"/>
  <c r="AF140" i="26" s="1"/>
  <c r="R234" i="26"/>
  <c r="Y234" i="26" s="1"/>
  <c r="AF234" i="26" s="1"/>
  <c r="R225" i="26"/>
  <c r="Y225" i="26" s="1"/>
  <c r="AF225" i="26" s="1"/>
  <c r="R163" i="26"/>
  <c r="Y163" i="26" s="1"/>
  <c r="AF163" i="26" s="1"/>
  <c r="R192" i="26"/>
  <c r="Y192" i="26" s="1"/>
  <c r="AF192" i="26" s="1"/>
  <c r="R148" i="26"/>
  <c r="Y148" i="26" s="1"/>
  <c r="AF148" i="26" s="1"/>
  <c r="R239" i="26"/>
  <c r="Y239" i="26" s="1"/>
  <c r="AF239" i="26" s="1"/>
  <c r="R198" i="26"/>
  <c r="Y198" i="26" s="1"/>
  <c r="AF198" i="26" s="1"/>
  <c r="R195" i="26"/>
  <c r="Y195" i="26" s="1"/>
  <c r="AF195" i="26" s="1"/>
  <c r="R150" i="26"/>
  <c r="Y150" i="26" s="1"/>
  <c r="AF150" i="26" s="1"/>
  <c r="R208" i="26"/>
  <c r="Y208" i="26" s="1"/>
  <c r="AF208" i="26" s="1"/>
  <c r="R175" i="26"/>
  <c r="Y175" i="26" s="1"/>
  <c r="AF175" i="26" s="1"/>
  <c r="R207" i="26"/>
  <c r="Y207" i="26" s="1"/>
  <c r="AF207" i="26" s="1"/>
  <c r="R169" i="26"/>
  <c r="Y169" i="26" s="1"/>
  <c r="AF169" i="26" s="1"/>
  <c r="R203" i="26"/>
  <c r="Y203" i="26" s="1"/>
  <c r="AF203" i="26" s="1"/>
  <c r="R154" i="26"/>
  <c r="Y154" i="26" s="1"/>
  <c r="AF154" i="26" s="1"/>
  <c r="R161" i="26"/>
  <c r="Y161" i="26" s="1"/>
  <c r="AF161" i="26" s="1"/>
  <c r="R223" i="26"/>
  <c r="Y223" i="26" s="1"/>
  <c r="AF223" i="26" s="1"/>
  <c r="R145" i="26"/>
  <c r="Y145" i="26" s="1"/>
  <c r="AF145" i="26" s="1"/>
  <c r="R144" i="26"/>
  <c r="Y144" i="26" s="1"/>
  <c r="AF144" i="26" s="1"/>
  <c r="R232" i="26"/>
  <c r="Y232" i="26" s="1"/>
  <c r="AF232" i="26" s="1"/>
  <c r="R181" i="26"/>
  <c r="Y181" i="26" s="1"/>
  <c r="AF181" i="26" s="1"/>
  <c r="R147" i="26"/>
  <c r="Y147" i="26" s="1"/>
  <c r="AF147" i="26" s="1"/>
  <c r="R235" i="26"/>
  <c r="Y235" i="26" s="1"/>
  <c r="AF235" i="26" s="1"/>
  <c r="R213" i="26"/>
  <c r="Y213" i="26" s="1"/>
  <c r="AF213" i="26" s="1"/>
  <c r="R146" i="26"/>
  <c r="Y146" i="26" s="1"/>
  <c r="AF146" i="26" s="1"/>
  <c r="R215" i="26"/>
  <c r="Y215" i="26" s="1"/>
  <c r="AF215" i="26" s="1"/>
  <c r="R182" i="26"/>
  <c r="Y182" i="26" s="1"/>
  <c r="AF182" i="26" s="1"/>
  <c r="R222" i="26"/>
  <c r="Y222" i="26" s="1"/>
  <c r="AF222" i="26" s="1"/>
  <c r="R180" i="26"/>
  <c r="Y180" i="26" s="1"/>
  <c r="AF180" i="26" s="1"/>
  <c r="R228" i="26"/>
  <c r="Y228" i="26" s="1"/>
  <c r="AF228" i="26" s="1"/>
  <c r="R209" i="26"/>
  <c r="Y209" i="26" s="1"/>
  <c r="AF209" i="26" s="1"/>
  <c r="R174" i="26"/>
  <c r="Y174" i="26" s="1"/>
  <c r="AF174" i="26" s="1"/>
  <c r="R164" i="26"/>
  <c r="Y164" i="26" s="1"/>
  <c r="AF164" i="26" s="1"/>
  <c r="R170" i="26"/>
  <c r="Y170" i="26" s="1"/>
  <c r="AF170" i="26" s="1"/>
  <c r="R190" i="26"/>
  <c r="Y190" i="26" s="1"/>
  <c r="AF190" i="26" s="1"/>
  <c r="R231" i="26"/>
  <c r="Y231" i="26" s="1"/>
  <c r="AF231" i="26" s="1"/>
  <c r="R240" i="26"/>
  <c r="Y240" i="26" s="1"/>
  <c r="AF240" i="26" s="1"/>
  <c r="R186" i="26"/>
  <c r="Y186" i="26" s="1"/>
  <c r="AF186" i="26" s="1"/>
  <c r="R199" i="26"/>
  <c r="Y199" i="26" s="1"/>
  <c r="AF199" i="26" s="1"/>
  <c r="R166" i="26"/>
  <c r="Y166" i="26" s="1"/>
  <c r="AF166" i="26" s="1"/>
  <c r="R236" i="26"/>
  <c r="Y236" i="26" s="1"/>
  <c r="AF236" i="26" s="1"/>
  <c r="R187" i="26"/>
  <c r="Y187" i="26" s="1"/>
  <c r="AF187" i="26" s="1"/>
  <c r="R242" i="26"/>
  <c r="Y242" i="26" s="1"/>
  <c r="AF242" i="26" s="1"/>
  <c r="R194" i="26"/>
  <c r="Y194" i="26" s="1"/>
  <c r="AF194" i="26" s="1"/>
  <c r="R142" i="26"/>
  <c r="Y142" i="26" s="1"/>
  <c r="AF142" i="26" s="1"/>
  <c r="R156" i="26"/>
  <c r="Y156" i="26" s="1"/>
  <c r="AF156" i="26" s="1"/>
  <c r="R171" i="26"/>
  <c r="Y171" i="26" s="1"/>
  <c r="AF171" i="26" s="1"/>
  <c r="R157" i="26"/>
  <c r="Y157" i="26" s="1"/>
  <c r="AF157" i="26" s="1"/>
  <c r="R196" i="26"/>
  <c r="Y196" i="26" s="1"/>
  <c r="AF196" i="26" s="1"/>
  <c r="R138" i="26"/>
  <c r="Y138" i="26" s="1"/>
  <c r="AF138" i="26" s="1"/>
  <c r="R224" i="26"/>
  <c r="Y224" i="26" s="1"/>
  <c r="AF224" i="26" s="1"/>
  <c r="R168" i="26"/>
  <c r="Y168" i="26" s="1"/>
  <c r="AF168" i="26" s="1"/>
  <c r="R158" i="26"/>
  <c r="Y158" i="26" s="1"/>
  <c r="AF158" i="26" s="1"/>
  <c r="R185" i="26"/>
  <c r="Y185" i="26" s="1"/>
  <c r="AF185" i="26" s="1"/>
  <c r="R217" i="26"/>
  <c r="Y217" i="26" s="1"/>
  <c r="AF217" i="26" s="1"/>
  <c r="R136" i="26"/>
  <c r="Y136" i="26" s="1"/>
  <c r="AF136" i="26" s="1"/>
  <c r="R183" i="26"/>
  <c r="Y183" i="26" s="1"/>
  <c r="AF183" i="26" s="1"/>
  <c r="R178" i="26"/>
  <c r="Y178" i="26" s="1"/>
  <c r="AF178" i="26" s="1"/>
  <c r="R189" i="26"/>
  <c r="Y189" i="26" s="1"/>
  <c r="AF189" i="26" s="1"/>
  <c r="R243" i="26"/>
  <c r="Y243" i="26" s="1"/>
  <c r="AF243" i="26" s="1"/>
  <c r="R141" i="26"/>
  <c r="Y141" i="26" s="1"/>
  <c r="AF141" i="26" s="1"/>
  <c r="R137" i="26"/>
  <c r="Y137" i="26" s="1"/>
  <c r="AF137" i="26" s="1"/>
  <c r="R172" i="26"/>
  <c r="Y172" i="26" s="1"/>
  <c r="AF172" i="26" s="1"/>
  <c r="R188" i="26"/>
  <c r="Y188" i="26" s="1"/>
  <c r="AF188" i="26" s="1"/>
  <c r="R241" i="26"/>
  <c r="Y241" i="26" s="1"/>
  <c r="AF241" i="26" s="1"/>
  <c r="R153" i="26"/>
  <c r="Y153" i="26" s="1"/>
  <c r="AF153" i="26" s="1"/>
  <c r="R173" i="26"/>
  <c r="Y173" i="26" s="1"/>
  <c r="AF173" i="26" s="1"/>
  <c r="R219" i="26"/>
  <c r="Y219" i="26" s="1"/>
  <c r="AF219" i="26" s="1"/>
  <c r="R160" i="26"/>
  <c r="Y160" i="26" s="1"/>
  <c r="AF160" i="26" s="1"/>
  <c r="R226" i="26"/>
  <c r="Y226" i="26" s="1"/>
  <c r="AF226" i="26" s="1"/>
  <c r="R176" i="26"/>
  <c r="Y176" i="26" s="1"/>
  <c r="AF176" i="26" s="1"/>
  <c r="R227" i="26"/>
  <c r="Y227" i="26" s="1"/>
  <c r="AF227" i="26" s="1"/>
  <c r="R238" i="26"/>
  <c r="Y238" i="26" s="1"/>
  <c r="AF238" i="26" s="1"/>
  <c r="R211" i="26"/>
  <c r="Y211" i="26" s="1"/>
  <c r="AF211" i="26" s="1"/>
  <c r="R162" i="26"/>
  <c r="Y162" i="26" s="1"/>
  <c r="AF162" i="26" s="1"/>
  <c r="R214" i="26"/>
  <c r="Y214" i="26" s="1"/>
  <c r="AF214" i="26" s="1"/>
  <c r="R210" i="26"/>
  <c r="Y210" i="26" s="1"/>
  <c r="AF210" i="26" s="1"/>
  <c r="K18" i="25"/>
  <c r="R221" i="26"/>
  <c r="Y221" i="26" s="1"/>
  <c r="AF221" i="26" s="1"/>
  <c r="R244" i="26"/>
  <c r="Y244" i="26" s="1"/>
  <c r="AF244" i="26" s="1"/>
  <c r="R233" i="26"/>
  <c r="Y233" i="26" s="1"/>
  <c r="AF233" i="26" s="1"/>
  <c r="R165" i="26"/>
  <c r="Y165" i="26" s="1"/>
  <c r="AF165" i="26" s="1"/>
  <c r="R245" i="26"/>
  <c r="Y245" i="26" s="1"/>
  <c r="AF245" i="26" s="1"/>
  <c r="R155" i="26"/>
  <c r="Y155" i="26" s="1"/>
  <c r="AF155" i="26" s="1"/>
  <c r="R230" i="26"/>
  <c r="Y230" i="26" s="1"/>
  <c r="AF230" i="26" s="1"/>
  <c r="R149" i="26"/>
  <c r="Y149" i="26" s="1"/>
  <c r="AF149" i="26" s="1"/>
  <c r="R229" i="26"/>
  <c r="Y229" i="26" s="1"/>
  <c r="AF229" i="26" s="1"/>
  <c r="R200" i="26"/>
  <c r="Y200" i="26" s="1"/>
  <c r="AF200" i="26" s="1"/>
  <c r="R201" i="26"/>
  <c r="Y201" i="26" s="1"/>
  <c r="AF201" i="26" s="1"/>
  <c r="R167" i="26"/>
  <c r="Y167" i="26" s="1"/>
  <c r="AF167" i="26" s="1"/>
  <c r="R152" i="26"/>
  <c r="Y152" i="26" s="1"/>
  <c r="AF152" i="26" s="1"/>
  <c r="R216" i="26"/>
  <c r="Y216" i="26" s="1"/>
  <c r="AF216" i="26" s="1"/>
  <c r="R177" i="26"/>
  <c r="Y177" i="26" s="1"/>
  <c r="AF177" i="26" s="1"/>
  <c r="BS11" i="26"/>
  <c r="BQ11" i="26"/>
  <c r="BQ67" i="26"/>
  <c r="BS67" i="26"/>
  <c r="BQ131" i="26"/>
  <c r="BS131" i="26"/>
  <c r="BQ187" i="26"/>
  <c r="BS187" i="26"/>
  <c r="BS251" i="26"/>
  <c r="BQ251" i="26"/>
  <c r="BQ315" i="26"/>
  <c r="BS315" i="26"/>
  <c r="BS363" i="26"/>
  <c r="BQ363" i="26"/>
  <c r="BS427" i="26"/>
  <c r="BQ427" i="26"/>
  <c r="BQ491" i="26"/>
  <c r="BS491" i="26"/>
  <c r="BQ539" i="26"/>
  <c r="BS539" i="26"/>
  <c r="BS619" i="26"/>
  <c r="BQ619" i="26"/>
  <c r="BQ683" i="26"/>
  <c r="BS683" i="26"/>
  <c r="BQ763" i="26"/>
  <c r="BS763" i="26"/>
  <c r="S201" i="26"/>
  <c r="Z201" i="26" s="1"/>
  <c r="AG201" i="26" s="1"/>
  <c r="S152" i="26"/>
  <c r="Z152" i="26" s="1"/>
  <c r="AG152" i="26" s="1"/>
  <c r="S211" i="26"/>
  <c r="Z211" i="26" s="1"/>
  <c r="AG211" i="26" s="1"/>
  <c r="S222" i="26"/>
  <c r="Z222" i="26" s="1"/>
  <c r="AG222" i="26" s="1"/>
  <c r="S240" i="26"/>
  <c r="Z240" i="26" s="1"/>
  <c r="AG240" i="26" s="1"/>
  <c r="S190" i="26"/>
  <c r="Z190" i="26" s="1"/>
  <c r="AG190" i="26" s="1"/>
  <c r="S162" i="26"/>
  <c r="Z162" i="26" s="1"/>
  <c r="AG162" i="26" s="1"/>
  <c r="S197" i="26"/>
  <c r="Z197" i="26" s="1"/>
  <c r="AG197" i="26" s="1"/>
  <c r="S153" i="26"/>
  <c r="Z153" i="26" s="1"/>
  <c r="AG153" i="26" s="1"/>
  <c r="S156" i="26"/>
  <c r="Z156" i="26" s="1"/>
  <c r="AG156" i="26" s="1"/>
  <c r="S172" i="26"/>
  <c r="Z172" i="26" s="1"/>
  <c r="AG172" i="26" s="1"/>
  <c r="S188" i="26"/>
  <c r="Z188" i="26" s="1"/>
  <c r="AG188" i="26" s="1"/>
  <c r="S191" i="26"/>
  <c r="Z191" i="26" s="1"/>
  <c r="AG191" i="26" s="1"/>
  <c r="S232" i="26"/>
  <c r="Z232" i="26" s="1"/>
  <c r="AG232" i="26" s="1"/>
  <c r="S198" i="26"/>
  <c r="Z198" i="26" s="1"/>
  <c r="AG198" i="26" s="1"/>
  <c r="S154" i="26"/>
  <c r="Z154" i="26" s="1"/>
  <c r="AG154" i="26" s="1"/>
  <c r="S157" i="26"/>
  <c r="Z157" i="26" s="1"/>
  <c r="AG157" i="26" s="1"/>
  <c r="S235" i="26"/>
  <c r="Z235" i="26" s="1"/>
  <c r="AG235" i="26" s="1"/>
  <c r="S140" i="26"/>
  <c r="Z140" i="26" s="1"/>
  <c r="AG140" i="26" s="1"/>
  <c r="S237" i="26"/>
  <c r="Z237" i="26" s="1"/>
  <c r="AG237" i="26" s="1"/>
  <c r="S148" i="26"/>
  <c r="Z148" i="26" s="1"/>
  <c r="AG148" i="26" s="1"/>
  <c r="S203" i="26"/>
  <c r="Z203" i="26" s="1"/>
  <c r="AG203" i="26" s="1"/>
  <c r="S209" i="26"/>
  <c r="Z209" i="26" s="1"/>
  <c r="AG209" i="26" s="1"/>
  <c r="S214" i="26"/>
  <c r="Z214" i="26" s="1"/>
  <c r="AG214" i="26" s="1"/>
  <c r="S223" i="26"/>
  <c r="Z223" i="26" s="1"/>
  <c r="AG223" i="26" s="1"/>
  <c r="S189" i="26"/>
  <c r="Z189" i="26" s="1"/>
  <c r="AG189" i="26" s="1"/>
  <c r="S141" i="26"/>
  <c r="Z141" i="26" s="1"/>
  <c r="AG141" i="26" s="1"/>
  <c r="S220" i="26"/>
  <c r="Z220" i="26" s="1"/>
  <c r="AG220" i="26" s="1"/>
  <c r="S205" i="26"/>
  <c r="Z205" i="26" s="1"/>
  <c r="AG205" i="26" s="1"/>
  <c r="S212" i="26"/>
  <c r="Z212" i="26" s="1"/>
  <c r="AG212" i="26" s="1"/>
  <c r="S139" i="26"/>
  <c r="Z139" i="26" s="1"/>
  <c r="AG139" i="26" s="1"/>
  <c r="S227" i="26"/>
  <c r="Z227" i="26" s="1"/>
  <c r="AG227" i="26" s="1"/>
  <c r="S195" i="26"/>
  <c r="Z195" i="26" s="1"/>
  <c r="AG195" i="26" s="1"/>
  <c r="S164" i="26"/>
  <c r="Z164" i="26" s="1"/>
  <c r="AG164" i="26" s="1"/>
  <c r="S213" i="26"/>
  <c r="Z213" i="26" s="1"/>
  <c r="AG213" i="26" s="1"/>
  <c r="S241" i="26"/>
  <c r="Z241" i="26" s="1"/>
  <c r="AG241" i="26" s="1"/>
  <c r="S176" i="26"/>
  <c r="Z176" i="26" s="1"/>
  <c r="AG176" i="26" s="1"/>
  <c r="S149" i="26"/>
  <c r="Z149" i="26" s="1"/>
  <c r="AG149" i="26" s="1"/>
  <c r="S245" i="26"/>
  <c r="Z245" i="26" s="1"/>
  <c r="AG245" i="26" s="1"/>
  <c r="S196" i="26"/>
  <c r="Z196" i="26" s="1"/>
  <c r="AG196" i="26" s="1"/>
  <c r="S207" i="26"/>
  <c r="Z207" i="26" s="1"/>
  <c r="AG207" i="26" s="1"/>
  <c r="S138" i="26"/>
  <c r="Z138" i="26" s="1"/>
  <c r="AG138" i="26" s="1"/>
  <c r="S187" i="26"/>
  <c r="Z187" i="26" s="1"/>
  <c r="AG187" i="26" s="1"/>
  <c r="S161" i="26"/>
  <c r="Z161" i="26" s="1"/>
  <c r="AG161" i="26" s="1"/>
  <c r="S194" i="26"/>
  <c r="Z194" i="26" s="1"/>
  <c r="AG194" i="26" s="1"/>
  <c r="S246" i="26"/>
  <c r="Z246" i="26" s="1"/>
  <c r="AG246" i="26" s="1"/>
  <c r="S243" i="26"/>
  <c r="Z243" i="26" s="1"/>
  <c r="AG243" i="26" s="1"/>
  <c r="S242" i="26"/>
  <c r="Z242" i="26" s="1"/>
  <c r="AG242" i="26" s="1"/>
  <c r="S226" i="26"/>
  <c r="Z226" i="26" s="1"/>
  <c r="AG226" i="26" s="1"/>
  <c r="S147" i="26"/>
  <c r="Z147" i="26" s="1"/>
  <c r="AG147" i="26" s="1"/>
  <c r="S233" i="26"/>
  <c r="Z233" i="26" s="1"/>
  <c r="AG233" i="26" s="1"/>
  <c r="S163" i="26"/>
  <c r="Z163" i="26" s="1"/>
  <c r="AG163" i="26" s="1"/>
  <c r="S168" i="26"/>
  <c r="Z168" i="26" s="1"/>
  <c r="AG168" i="26" s="1"/>
  <c r="S159" i="26"/>
  <c r="Z159" i="26" s="1"/>
  <c r="AG159" i="26" s="1"/>
  <c r="S145" i="26"/>
  <c r="Z145" i="26" s="1"/>
  <c r="AG145" i="26" s="1"/>
  <c r="S192" i="26"/>
  <c r="Z192" i="26" s="1"/>
  <c r="AG192" i="26" s="1"/>
  <c r="S208" i="26"/>
  <c r="Z208" i="26" s="1"/>
  <c r="AG208" i="26" s="1"/>
  <c r="S216" i="26"/>
  <c r="Z216" i="26" s="1"/>
  <c r="AG216" i="26" s="1"/>
  <c r="S238" i="26"/>
  <c r="Z238" i="26" s="1"/>
  <c r="AG238" i="26" s="1"/>
  <c r="S231" i="26"/>
  <c r="Z231" i="26" s="1"/>
  <c r="AG231" i="26" s="1"/>
  <c r="S244" i="26"/>
  <c r="Z244" i="26" s="1"/>
  <c r="AG244" i="26" s="1"/>
  <c r="S178" i="26"/>
  <c r="Z178" i="26" s="1"/>
  <c r="AG178" i="26" s="1"/>
  <c r="S183" i="26"/>
  <c r="Z183" i="26" s="1"/>
  <c r="AG183" i="26" s="1"/>
  <c r="S193" i="26"/>
  <c r="Z193" i="26" s="1"/>
  <c r="AG193" i="26" s="1"/>
  <c r="S166" i="26"/>
  <c r="Z166" i="26" s="1"/>
  <c r="AG166" i="26" s="1"/>
  <c r="S179" i="26"/>
  <c r="Z179" i="26" s="1"/>
  <c r="AG179" i="26" s="1"/>
  <c r="S228" i="26"/>
  <c r="Z228" i="26" s="1"/>
  <c r="AG228" i="26" s="1"/>
  <c r="S234" i="26"/>
  <c r="Z234" i="26" s="1"/>
  <c r="AG234" i="26" s="1"/>
  <c r="S167" i="26"/>
  <c r="Z167" i="26" s="1"/>
  <c r="AG167" i="26" s="1"/>
  <c r="S142" i="26"/>
  <c r="Z142" i="26" s="1"/>
  <c r="AG142" i="26" s="1"/>
  <c r="S146" i="26"/>
  <c r="Z146" i="26" s="1"/>
  <c r="AG146" i="26" s="1"/>
  <c r="S199" i="26"/>
  <c r="Z199" i="26" s="1"/>
  <c r="AG199" i="26" s="1"/>
  <c r="S210" i="26"/>
  <c r="Z210" i="26" s="1"/>
  <c r="AG210" i="26" s="1"/>
  <c r="S173" i="26"/>
  <c r="Z173" i="26" s="1"/>
  <c r="AG173" i="26" s="1"/>
  <c r="S177" i="26"/>
  <c r="Z177" i="26" s="1"/>
  <c r="AG177" i="26" s="1"/>
  <c r="S200" i="26"/>
  <c r="Z200" i="26" s="1"/>
  <c r="AG200" i="26" s="1"/>
  <c r="S171" i="26"/>
  <c r="Z171" i="26" s="1"/>
  <c r="AG171" i="26" s="1"/>
  <c r="S175" i="26"/>
  <c r="Z175" i="26" s="1"/>
  <c r="AG175" i="26" s="1"/>
  <c r="S206" i="26"/>
  <c r="Z206" i="26" s="1"/>
  <c r="AG206" i="26" s="1"/>
  <c r="S158" i="26"/>
  <c r="Z158" i="26" s="1"/>
  <c r="AG158" i="26" s="1"/>
  <c r="S182" i="26"/>
  <c r="Z182" i="26" s="1"/>
  <c r="AG182" i="26" s="1"/>
  <c r="S165" i="26"/>
  <c r="Z165" i="26" s="1"/>
  <c r="AG165" i="26" s="1"/>
  <c r="S181" i="26"/>
  <c r="Z181" i="26" s="1"/>
  <c r="AG181" i="26" s="1"/>
  <c r="S155" i="26"/>
  <c r="Z155" i="26" s="1"/>
  <c r="AG155" i="26" s="1"/>
  <c r="S160" i="26"/>
  <c r="Z160" i="26" s="1"/>
  <c r="AG160" i="26" s="1"/>
  <c r="S136" i="26"/>
  <c r="Z136" i="26" s="1"/>
  <c r="AG136" i="26" s="1"/>
  <c r="S144" i="26"/>
  <c r="Z144" i="26" s="1"/>
  <c r="AG144" i="26" s="1"/>
  <c r="S169" i="26"/>
  <c r="Z169" i="26" s="1"/>
  <c r="AG169" i="26" s="1"/>
  <c r="S229" i="26"/>
  <c r="Z229" i="26" s="1"/>
  <c r="AG229" i="26" s="1"/>
  <c r="S137" i="26"/>
  <c r="Z137" i="26" s="1"/>
  <c r="AG137" i="26" s="1"/>
  <c r="S184" i="26"/>
  <c r="Z184" i="26" s="1"/>
  <c r="AG184" i="26" s="1"/>
  <c r="S170" i="26"/>
  <c r="Z170" i="26" s="1"/>
  <c r="AG170" i="26" s="1"/>
  <c r="S230" i="26"/>
  <c r="Z230" i="26" s="1"/>
  <c r="AG230" i="26" s="1"/>
  <c r="S221" i="26"/>
  <c r="Z221" i="26" s="1"/>
  <c r="AG221" i="26" s="1"/>
  <c r="S236" i="26"/>
  <c r="Z236" i="26" s="1"/>
  <c r="AG236" i="26" s="1"/>
  <c r="S151" i="26"/>
  <c r="Z151" i="26" s="1"/>
  <c r="AG151" i="26" s="1"/>
  <c r="S143" i="26"/>
  <c r="Z143" i="26" s="1"/>
  <c r="AG143" i="26" s="1"/>
  <c r="S219" i="26"/>
  <c r="Z219" i="26" s="1"/>
  <c r="AG219" i="26" s="1"/>
  <c r="S218" i="26"/>
  <c r="Z218" i="26" s="1"/>
  <c r="AG218" i="26" s="1"/>
  <c r="S150" i="26"/>
  <c r="Z150" i="26" s="1"/>
  <c r="AG150" i="26" s="1"/>
  <c r="S217" i="26"/>
  <c r="Z217" i="26" s="1"/>
  <c r="AG217" i="26" s="1"/>
  <c r="S202" i="26"/>
  <c r="Z202" i="26" s="1"/>
  <c r="AG202" i="26" s="1"/>
  <c r="S215" i="26"/>
  <c r="Z215" i="26" s="1"/>
  <c r="AG215" i="26" s="1"/>
  <c r="S247" i="26"/>
  <c r="Z247" i="26" s="1"/>
  <c r="AG247" i="26" s="1"/>
  <c r="S204" i="26"/>
  <c r="Z204" i="26" s="1"/>
  <c r="AG204" i="26" s="1"/>
  <c r="S185" i="26"/>
  <c r="Z185" i="26" s="1"/>
  <c r="AG185" i="26" s="1"/>
  <c r="S186" i="26"/>
  <c r="Z186" i="26" s="1"/>
  <c r="AG186" i="26" s="1"/>
  <c r="S224" i="26"/>
  <c r="Z224" i="26" s="1"/>
  <c r="AG224" i="26" s="1"/>
  <c r="S174" i="26"/>
  <c r="Z174" i="26" s="1"/>
  <c r="AG174" i="26" s="1"/>
  <c r="S180" i="26"/>
  <c r="Z180" i="26" s="1"/>
  <c r="AG180" i="26" s="1"/>
  <c r="S239" i="26"/>
  <c r="Z239" i="26" s="1"/>
  <c r="AG239" i="26" s="1"/>
  <c r="S225" i="26"/>
  <c r="Z225" i="26" s="1"/>
  <c r="AG225" i="26" s="1"/>
  <c r="P16" i="26"/>
  <c r="W16" i="26" s="1"/>
  <c r="AD16" i="26" s="1"/>
  <c r="P17" i="26"/>
  <c r="W17" i="26" s="1"/>
  <c r="AD17" i="26" s="1"/>
  <c r="P18" i="26"/>
  <c r="W18" i="26" s="1"/>
  <c r="AD18" i="26" s="1"/>
  <c r="P14" i="26"/>
  <c r="W14" i="26" s="1"/>
  <c r="AD14" i="26" s="1"/>
  <c r="P15" i="26"/>
  <c r="W15" i="26" s="1"/>
  <c r="AD15" i="26" s="1"/>
  <c r="P89" i="26"/>
  <c r="W89" i="26" s="1"/>
  <c r="AD89" i="26" s="1"/>
  <c r="P76" i="26"/>
  <c r="W76" i="26" s="1"/>
  <c r="AD76" i="26" s="1"/>
  <c r="P102" i="26"/>
  <c r="W102" i="26" s="1"/>
  <c r="AD102" i="26" s="1"/>
  <c r="P79" i="26"/>
  <c r="W79" i="26" s="1"/>
  <c r="AD79" i="26" s="1"/>
  <c r="P70" i="26"/>
  <c r="W70" i="26" s="1"/>
  <c r="AD70" i="26" s="1"/>
  <c r="P71" i="26"/>
  <c r="W71" i="26" s="1"/>
  <c r="AD71" i="26" s="1"/>
  <c r="P107" i="26"/>
  <c r="W107" i="26" s="1"/>
  <c r="AD107" i="26" s="1"/>
  <c r="P65" i="26"/>
  <c r="W65" i="26" s="1"/>
  <c r="AD65" i="26" s="1"/>
  <c r="P59" i="26"/>
  <c r="W59" i="26" s="1"/>
  <c r="AD59" i="26" s="1"/>
  <c r="P94" i="26"/>
  <c r="W94" i="26" s="1"/>
  <c r="AD94" i="26" s="1"/>
  <c r="P92" i="26"/>
  <c r="W92" i="26" s="1"/>
  <c r="AD92" i="26" s="1"/>
  <c r="P45" i="26"/>
  <c r="W45" i="26" s="1"/>
  <c r="AD45" i="26" s="1"/>
  <c r="P124" i="26"/>
  <c r="W124" i="26" s="1"/>
  <c r="AD124" i="26" s="1"/>
  <c r="P72" i="26"/>
  <c r="W72" i="26" s="1"/>
  <c r="AD72" i="26" s="1"/>
  <c r="P128" i="26"/>
  <c r="W128" i="26" s="1"/>
  <c r="AD128" i="26" s="1"/>
  <c r="P21" i="26"/>
  <c r="W21" i="26" s="1"/>
  <c r="AD21" i="26" s="1"/>
  <c r="P69" i="26"/>
  <c r="W69" i="26" s="1"/>
  <c r="AD69" i="26" s="1"/>
  <c r="P113" i="26"/>
  <c r="W113" i="26" s="1"/>
  <c r="AD113" i="26" s="1"/>
  <c r="P20" i="26"/>
  <c r="W20" i="26" s="1"/>
  <c r="AD20" i="26" s="1"/>
  <c r="P41" i="26"/>
  <c r="W41" i="26" s="1"/>
  <c r="AD41" i="26" s="1"/>
  <c r="P122" i="26"/>
  <c r="W122" i="26" s="1"/>
  <c r="AD122" i="26" s="1"/>
  <c r="P56" i="26"/>
  <c r="W56" i="26" s="1"/>
  <c r="AD56" i="26" s="1"/>
  <c r="P82" i="26"/>
  <c r="W82" i="26" s="1"/>
  <c r="AD82" i="26" s="1"/>
  <c r="P90" i="26"/>
  <c r="W90" i="26" s="1"/>
  <c r="AD90" i="26" s="1"/>
  <c r="P29" i="26"/>
  <c r="W29" i="26" s="1"/>
  <c r="AD29" i="26" s="1"/>
  <c r="P121" i="26"/>
  <c r="W121" i="26" s="1"/>
  <c r="AD121" i="26" s="1"/>
  <c r="P48" i="26"/>
  <c r="W48" i="26" s="1"/>
  <c r="AD48" i="26" s="1"/>
  <c r="P77" i="26"/>
  <c r="W77" i="26" s="1"/>
  <c r="AD77" i="26" s="1"/>
  <c r="P75" i="26"/>
  <c r="W75" i="26" s="1"/>
  <c r="AD75" i="26" s="1"/>
  <c r="P83" i="26"/>
  <c r="W83" i="26" s="1"/>
  <c r="AD83" i="26" s="1"/>
  <c r="P125" i="26"/>
  <c r="W125" i="26" s="1"/>
  <c r="AD125" i="26" s="1"/>
  <c r="P108" i="26"/>
  <c r="W108" i="26" s="1"/>
  <c r="AD108" i="26" s="1"/>
  <c r="P12" i="26"/>
  <c r="W12" i="26" s="1"/>
  <c r="AD12" i="26" s="1"/>
  <c r="P133" i="26"/>
  <c r="W133" i="26" s="1"/>
  <c r="AD133" i="26" s="1"/>
  <c r="P22" i="26"/>
  <c r="W22" i="26" s="1"/>
  <c r="AD22" i="26" s="1"/>
  <c r="P93" i="26"/>
  <c r="W93" i="26" s="1"/>
  <c r="AD93" i="26" s="1"/>
  <c r="P27" i="26"/>
  <c r="W27" i="26" s="1"/>
  <c r="AD27" i="26" s="1"/>
  <c r="P30" i="26"/>
  <c r="W30" i="26" s="1"/>
  <c r="AD30" i="26" s="1"/>
  <c r="P9" i="26"/>
  <c r="W9" i="26" s="1"/>
  <c r="AD9" i="26" s="1"/>
  <c r="P47" i="26"/>
  <c r="W47" i="26" s="1"/>
  <c r="AD47" i="26" s="1"/>
  <c r="P96" i="26"/>
  <c r="W96" i="26" s="1"/>
  <c r="AD96" i="26" s="1"/>
  <c r="P54" i="26"/>
  <c r="W54" i="26" s="1"/>
  <c r="AD54" i="26" s="1"/>
  <c r="P114" i="26"/>
  <c r="W114" i="26" s="1"/>
  <c r="AD114" i="26" s="1"/>
  <c r="P106" i="26"/>
  <c r="W106" i="26" s="1"/>
  <c r="AD106" i="26" s="1"/>
  <c r="P10" i="26"/>
  <c r="W10" i="26" s="1"/>
  <c r="AD10" i="26" s="1"/>
  <c r="P99" i="26"/>
  <c r="W99" i="26" s="1"/>
  <c r="AD99" i="26" s="1"/>
  <c r="P31" i="26"/>
  <c r="W31" i="26" s="1"/>
  <c r="AD31" i="26" s="1"/>
  <c r="P84" i="26"/>
  <c r="W84" i="26" s="1"/>
  <c r="AD84" i="26" s="1"/>
  <c r="P38" i="26"/>
  <c r="W38" i="26" s="1"/>
  <c r="AD38" i="26" s="1"/>
  <c r="P78" i="26"/>
  <c r="W78" i="26" s="1"/>
  <c r="AD78" i="26" s="1"/>
  <c r="P11" i="26"/>
  <c r="W11" i="26" s="1"/>
  <c r="AD11" i="26" s="1"/>
  <c r="P132" i="26"/>
  <c r="W132" i="26" s="1"/>
  <c r="AD132" i="26" s="1"/>
  <c r="P57" i="26"/>
  <c r="W57" i="26" s="1"/>
  <c r="AD57" i="26" s="1"/>
  <c r="P85" i="26"/>
  <c r="W85" i="26" s="1"/>
  <c r="AD85" i="26" s="1"/>
  <c r="P39" i="26"/>
  <c r="W39" i="26" s="1"/>
  <c r="AD39" i="26" s="1"/>
  <c r="P73" i="26"/>
  <c r="W73" i="26" s="1"/>
  <c r="AD73" i="26" s="1"/>
  <c r="P98" i="26"/>
  <c r="W98" i="26" s="1"/>
  <c r="AD98" i="26" s="1"/>
  <c r="P51" i="26"/>
  <c r="W51" i="26" s="1"/>
  <c r="AD51" i="26" s="1"/>
  <c r="P80" i="26"/>
  <c r="W80" i="26" s="1"/>
  <c r="AD80" i="26" s="1"/>
  <c r="P119" i="26"/>
  <c r="W119" i="26" s="1"/>
  <c r="AD119" i="26" s="1"/>
  <c r="P105" i="26"/>
  <c r="W105" i="26" s="1"/>
  <c r="AD105" i="26" s="1"/>
  <c r="P87" i="26"/>
  <c r="W87" i="26" s="1"/>
  <c r="AD87" i="26" s="1"/>
  <c r="P104" i="26"/>
  <c r="W104" i="26" s="1"/>
  <c r="AD104" i="26" s="1"/>
  <c r="P36" i="26"/>
  <c r="W36" i="26" s="1"/>
  <c r="AD36" i="26" s="1"/>
  <c r="P24" i="26"/>
  <c r="W24" i="26" s="1"/>
  <c r="AD24" i="26" s="1"/>
  <c r="P117" i="26"/>
  <c r="W117" i="26" s="1"/>
  <c r="AD117" i="26" s="1"/>
  <c r="P32" i="26"/>
  <c r="W32" i="26" s="1"/>
  <c r="AD32" i="26" s="1"/>
  <c r="P112" i="26"/>
  <c r="W112" i="26" s="1"/>
  <c r="AD112" i="26" s="1"/>
  <c r="P8" i="26"/>
  <c r="W8" i="26" s="1"/>
  <c r="AD8" i="26" s="1"/>
  <c r="P116" i="26"/>
  <c r="W116" i="26" s="1"/>
  <c r="AD116" i="26" s="1"/>
  <c r="P63" i="26"/>
  <c r="W63" i="26" s="1"/>
  <c r="AD63" i="26" s="1"/>
  <c r="P67" i="26"/>
  <c r="W67" i="26" s="1"/>
  <c r="AD67" i="26" s="1"/>
  <c r="P49" i="26"/>
  <c r="W49" i="26" s="1"/>
  <c r="AD49" i="26" s="1"/>
  <c r="P53" i="26"/>
  <c r="W53" i="26" s="1"/>
  <c r="AD53" i="26" s="1"/>
  <c r="P130" i="26"/>
  <c r="W130" i="26" s="1"/>
  <c r="AD130" i="26" s="1"/>
  <c r="P123" i="26"/>
  <c r="W123" i="26" s="1"/>
  <c r="AD123" i="26" s="1"/>
  <c r="P109" i="26"/>
  <c r="W109" i="26" s="1"/>
  <c r="AD109" i="26" s="1"/>
  <c r="P68" i="26"/>
  <c r="W68" i="26" s="1"/>
  <c r="AD68" i="26" s="1"/>
  <c r="P91" i="26"/>
  <c r="W91" i="26" s="1"/>
  <c r="AD91" i="26" s="1"/>
  <c r="P43" i="26"/>
  <c r="W43" i="26" s="1"/>
  <c r="AD43" i="26" s="1"/>
  <c r="P60" i="26"/>
  <c r="W60" i="26" s="1"/>
  <c r="AD60" i="26" s="1"/>
  <c r="P97" i="26"/>
  <c r="W97" i="26" s="1"/>
  <c r="AD97" i="26" s="1"/>
  <c r="P19" i="26"/>
  <c r="W19" i="26" s="1"/>
  <c r="AD19" i="26" s="1"/>
  <c r="P86" i="26"/>
  <c r="W86" i="26" s="1"/>
  <c r="AD86" i="26" s="1"/>
  <c r="P34" i="26"/>
  <c r="W34" i="26" s="1"/>
  <c r="AD34" i="26" s="1"/>
  <c r="P55" i="26"/>
  <c r="W55" i="26" s="1"/>
  <c r="AD55" i="26" s="1"/>
  <c r="P118" i="26"/>
  <c r="W118" i="26" s="1"/>
  <c r="AD118" i="26" s="1"/>
  <c r="P111" i="26"/>
  <c r="W111" i="26" s="1"/>
  <c r="AD111" i="26" s="1"/>
  <c r="P126" i="26"/>
  <c r="W126" i="26" s="1"/>
  <c r="AD126" i="26" s="1"/>
  <c r="P35" i="26"/>
  <c r="W35" i="26" s="1"/>
  <c r="AD35" i="26" s="1"/>
  <c r="P23" i="26"/>
  <c r="W23" i="26" s="1"/>
  <c r="AD23" i="26" s="1"/>
  <c r="P74" i="26"/>
  <c r="W74" i="26" s="1"/>
  <c r="AD74" i="26" s="1"/>
  <c r="P100" i="26"/>
  <c r="W100" i="26" s="1"/>
  <c r="AD100" i="26" s="1"/>
  <c r="P61" i="26"/>
  <c r="W61" i="26" s="1"/>
  <c r="AD61" i="26" s="1"/>
  <c r="P110" i="26"/>
  <c r="W110" i="26" s="1"/>
  <c r="AD110" i="26" s="1"/>
  <c r="P44" i="26"/>
  <c r="W44" i="26" s="1"/>
  <c r="AD44" i="26" s="1"/>
  <c r="P103" i="26"/>
  <c r="W103" i="26" s="1"/>
  <c r="AD103" i="26" s="1"/>
  <c r="P50" i="26"/>
  <c r="W50" i="26" s="1"/>
  <c r="AD50" i="26" s="1"/>
  <c r="P81" i="26"/>
  <c r="W81" i="26" s="1"/>
  <c r="AD81" i="26" s="1"/>
  <c r="P58" i="26"/>
  <c r="W58" i="26" s="1"/>
  <c r="AD58" i="26" s="1"/>
  <c r="P40" i="26"/>
  <c r="W40" i="26" s="1"/>
  <c r="AD40" i="26" s="1"/>
  <c r="P88" i="26"/>
  <c r="W88" i="26" s="1"/>
  <c r="AD88" i="26" s="1"/>
  <c r="P62" i="26"/>
  <c r="W62" i="26" s="1"/>
  <c r="AD62" i="26" s="1"/>
  <c r="P95" i="26"/>
  <c r="W95" i="26" s="1"/>
  <c r="AD95" i="26" s="1"/>
  <c r="P120" i="26"/>
  <c r="W120" i="26" s="1"/>
  <c r="AD120" i="26" s="1"/>
  <c r="P127" i="26"/>
  <c r="W127" i="26" s="1"/>
  <c r="AD127" i="26" s="1"/>
  <c r="P52" i="26"/>
  <c r="W52" i="26" s="1"/>
  <c r="AD52" i="26" s="1"/>
  <c r="P115" i="26"/>
  <c r="W115" i="26" s="1"/>
  <c r="AD115" i="26" s="1"/>
  <c r="P33" i="26"/>
  <c r="W33" i="26" s="1"/>
  <c r="AD33" i="26" s="1"/>
  <c r="P13" i="26"/>
  <c r="W13" i="26" s="1"/>
  <c r="AD13" i="26" s="1"/>
  <c r="P101" i="26"/>
  <c r="W101" i="26" s="1"/>
  <c r="AD101" i="26" s="1"/>
  <c r="P46" i="26"/>
  <c r="W46" i="26" s="1"/>
  <c r="AD46" i="26" s="1"/>
  <c r="P135" i="26"/>
  <c r="W135" i="26" s="1"/>
  <c r="AD135" i="26" s="1"/>
  <c r="P134" i="26"/>
  <c r="W134" i="26" s="1"/>
  <c r="AD134" i="26" s="1"/>
  <c r="P66" i="26"/>
  <c r="W66" i="26" s="1"/>
  <c r="AD66" i="26" s="1"/>
  <c r="P131" i="26"/>
  <c r="W131" i="26" s="1"/>
  <c r="AD131" i="26" s="1"/>
  <c r="P42" i="26"/>
  <c r="W42" i="26" s="1"/>
  <c r="AD42" i="26" s="1"/>
  <c r="P28" i="26"/>
  <c r="W28" i="26" s="1"/>
  <c r="AD28" i="26" s="1"/>
  <c r="P129" i="26"/>
  <c r="W129" i="26" s="1"/>
  <c r="AD129" i="26" s="1"/>
  <c r="P26" i="26"/>
  <c r="W26" i="26" s="1"/>
  <c r="AD26" i="26" s="1"/>
  <c r="P25" i="26"/>
  <c r="W25" i="26" s="1"/>
  <c r="AD25" i="26" s="1"/>
  <c r="P64" i="26"/>
  <c r="W64" i="26" s="1"/>
  <c r="AD64" i="26" s="1"/>
  <c r="P37" i="26"/>
  <c r="W37" i="26" s="1"/>
  <c r="AD37" i="26" s="1"/>
  <c r="P320" i="26"/>
  <c r="W320" i="26" s="1"/>
  <c r="AD320" i="26" s="1"/>
  <c r="P412" i="26"/>
  <c r="W412" i="26" s="1"/>
  <c r="AD412" i="26" s="1"/>
  <c r="P306" i="26"/>
  <c r="W306" i="26" s="1"/>
  <c r="AD306" i="26" s="1"/>
  <c r="P407" i="26"/>
  <c r="W407" i="26" s="1"/>
  <c r="AD407" i="26" s="1"/>
  <c r="P404" i="26"/>
  <c r="W404" i="26" s="1"/>
  <c r="AD404" i="26" s="1"/>
  <c r="P316" i="26"/>
  <c r="W316" i="26" s="1"/>
  <c r="AD316" i="26" s="1"/>
  <c r="P321" i="26"/>
  <c r="W321" i="26" s="1"/>
  <c r="AD321" i="26" s="1"/>
  <c r="P398" i="26"/>
  <c r="W398" i="26" s="1"/>
  <c r="AD398" i="26" s="1"/>
  <c r="P314" i="26"/>
  <c r="W314" i="26" s="1"/>
  <c r="AD314" i="26" s="1"/>
  <c r="P439" i="26"/>
  <c r="W439" i="26" s="1"/>
  <c r="AD439" i="26" s="1"/>
  <c r="P648" i="26"/>
  <c r="W648" i="26" s="1"/>
  <c r="AD648" i="26" s="1"/>
  <c r="P366" i="26"/>
  <c r="W366" i="26" s="1"/>
  <c r="AD366" i="26" s="1"/>
  <c r="P447" i="26"/>
  <c r="W447" i="26" s="1"/>
  <c r="AD447" i="26" s="1"/>
  <c r="P414" i="26"/>
  <c r="W414" i="26" s="1"/>
  <c r="AD414" i="26" s="1"/>
  <c r="P419" i="26"/>
  <c r="W419" i="26" s="1"/>
  <c r="AD419" i="26" s="1"/>
  <c r="P680" i="26"/>
  <c r="W680" i="26" s="1"/>
  <c r="AD680" i="26" s="1"/>
  <c r="P651" i="26"/>
  <c r="W651" i="26" s="1"/>
  <c r="AD651" i="26" s="1"/>
  <c r="P376" i="26"/>
  <c r="W376" i="26" s="1"/>
  <c r="AD376" i="26" s="1"/>
  <c r="P662" i="26"/>
  <c r="W662" i="26" s="1"/>
  <c r="AD662" i="26" s="1"/>
  <c r="P633" i="26"/>
  <c r="W633" i="26" s="1"/>
  <c r="AD633" i="26" s="1"/>
  <c r="P561" i="26"/>
  <c r="W561" i="26" s="1"/>
  <c r="AD561" i="26" s="1"/>
  <c r="P307" i="26"/>
  <c r="W307" i="26" s="1"/>
  <c r="AD307" i="26" s="1"/>
  <c r="P343" i="26"/>
  <c r="W343" i="26" s="1"/>
  <c r="AD343" i="26" s="1"/>
  <c r="P313" i="26"/>
  <c r="W313" i="26" s="1"/>
  <c r="AD313" i="26" s="1"/>
  <c r="P711" i="26"/>
  <c r="W711" i="26" s="1"/>
  <c r="AD711" i="26" s="1"/>
  <c r="P345" i="26"/>
  <c r="W345" i="26" s="1"/>
  <c r="AD345" i="26" s="1"/>
  <c r="P342" i="26"/>
  <c r="W342" i="26" s="1"/>
  <c r="AD342" i="26" s="1"/>
  <c r="P511" i="26"/>
  <c r="W511" i="26" s="1"/>
  <c r="AD511" i="26" s="1"/>
  <c r="P484" i="26"/>
  <c r="W484" i="26" s="1"/>
  <c r="AD484" i="26" s="1"/>
  <c r="P467" i="26"/>
  <c r="W467" i="26" s="1"/>
  <c r="AD467" i="26" s="1"/>
  <c r="P618" i="26"/>
  <c r="W618" i="26" s="1"/>
  <c r="AD618" i="26" s="1"/>
  <c r="P519" i="26"/>
  <c r="W519" i="26" s="1"/>
  <c r="AD519" i="26" s="1"/>
  <c r="P331" i="26"/>
  <c r="W331" i="26" s="1"/>
  <c r="AD331" i="26" s="1"/>
  <c r="P469" i="26"/>
  <c r="W469" i="26" s="1"/>
  <c r="AD469" i="26" s="1"/>
  <c r="P567" i="26"/>
  <c r="W567" i="26" s="1"/>
  <c r="AD567" i="26" s="1"/>
  <c r="P418" i="26"/>
  <c r="W418" i="26" s="1"/>
  <c r="AD418" i="26" s="1"/>
  <c r="P258" i="26"/>
  <c r="W258" i="26" s="1"/>
  <c r="AD258" i="26" s="1"/>
  <c r="P403" i="26"/>
  <c r="W403" i="26" s="1"/>
  <c r="AD403" i="26" s="1"/>
  <c r="P456" i="26"/>
  <c r="W456" i="26" s="1"/>
  <c r="AD456" i="26" s="1"/>
  <c r="P355" i="26"/>
  <c r="W355" i="26" s="1"/>
  <c r="AD355" i="26" s="1"/>
  <c r="P441" i="26"/>
  <c r="W441" i="26" s="1"/>
  <c r="AD441" i="26" s="1"/>
  <c r="P303" i="26"/>
  <c r="W303" i="26" s="1"/>
  <c r="AD303" i="26" s="1"/>
  <c r="P278" i="26"/>
  <c r="W278" i="26" s="1"/>
  <c r="AD278" i="26" s="1"/>
  <c r="P563" i="26"/>
  <c r="W563" i="26" s="1"/>
  <c r="AD563" i="26" s="1"/>
  <c r="P552" i="26"/>
  <c r="W552" i="26" s="1"/>
  <c r="AD552" i="26" s="1"/>
  <c r="P280" i="26"/>
  <c r="W280" i="26" s="1"/>
  <c r="AD280" i="26" s="1"/>
  <c r="P496" i="26"/>
  <c r="W496" i="26" s="1"/>
  <c r="AD496" i="26" s="1"/>
  <c r="P485" i="26"/>
  <c r="W485" i="26" s="1"/>
  <c r="AD485" i="26" s="1"/>
  <c r="P361" i="26"/>
  <c r="W361" i="26" s="1"/>
  <c r="AD361" i="26" s="1"/>
  <c r="P713" i="26"/>
  <c r="W713" i="26" s="1"/>
  <c r="AD713" i="26" s="1"/>
  <c r="P448" i="26"/>
  <c r="W448" i="26" s="1"/>
  <c r="AD448" i="26" s="1"/>
  <c r="P249" i="26"/>
  <c r="W249" i="26" s="1"/>
  <c r="AD249" i="26" s="1"/>
  <c r="P596" i="26"/>
  <c r="W596" i="26" s="1"/>
  <c r="AD596" i="26" s="1"/>
  <c r="P298" i="26"/>
  <c r="W298" i="26" s="1"/>
  <c r="AD298" i="26" s="1"/>
  <c r="P720" i="26"/>
  <c r="W720" i="26" s="1"/>
  <c r="AD720" i="26" s="1"/>
  <c r="P586" i="26"/>
  <c r="W586" i="26" s="1"/>
  <c r="AD586" i="26" s="1"/>
  <c r="P386" i="26"/>
  <c r="W386" i="26" s="1"/>
  <c r="AD386" i="26" s="1"/>
  <c r="P384" i="26"/>
  <c r="W384" i="26" s="1"/>
  <c r="AD384" i="26" s="1"/>
  <c r="P731" i="26"/>
  <c r="W731" i="26" s="1"/>
  <c r="AD731" i="26" s="1"/>
  <c r="P351" i="26"/>
  <c r="W351" i="26" s="1"/>
  <c r="AD351" i="26" s="1"/>
  <c r="P270" i="26"/>
  <c r="W270" i="26" s="1"/>
  <c r="AD270" i="26" s="1"/>
  <c r="P708" i="26"/>
  <c r="W708" i="26" s="1"/>
  <c r="AD708" i="26" s="1"/>
  <c r="P590" i="26"/>
  <c r="W590" i="26" s="1"/>
  <c r="AD590" i="26" s="1"/>
  <c r="P676" i="26"/>
  <c r="W676" i="26" s="1"/>
  <c r="AD676" i="26" s="1"/>
  <c r="P681" i="26"/>
  <c r="W681" i="26" s="1"/>
  <c r="AD681" i="26" s="1"/>
  <c r="P594" i="26"/>
  <c r="W594" i="26" s="1"/>
  <c r="AD594" i="26" s="1"/>
  <c r="P572" i="26"/>
  <c r="W572" i="26" s="1"/>
  <c r="AD572" i="26" s="1"/>
  <c r="P400" i="26"/>
  <c r="W400" i="26" s="1"/>
  <c r="AD400" i="26" s="1"/>
  <c r="P488" i="26"/>
  <c r="W488" i="26" s="1"/>
  <c r="AD488" i="26" s="1"/>
  <c r="P640" i="26"/>
  <c r="W640" i="26" s="1"/>
  <c r="AD640" i="26" s="1"/>
  <c r="P582" i="26"/>
  <c r="W582" i="26" s="1"/>
  <c r="AD582" i="26" s="1"/>
  <c r="P705" i="26"/>
  <c r="W705" i="26" s="1"/>
  <c r="AD705" i="26" s="1"/>
  <c r="P535" i="26"/>
  <c r="W535" i="26" s="1"/>
  <c r="AD535" i="26" s="1"/>
  <c r="P554" i="26"/>
  <c r="W554" i="26" s="1"/>
  <c r="AD554" i="26" s="1"/>
  <c r="P333" i="26"/>
  <c r="W333" i="26" s="1"/>
  <c r="AD333" i="26" s="1"/>
  <c r="P505" i="26"/>
  <c r="W505" i="26" s="1"/>
  <c r="AD505" i="26" s="1"/>
  <c r="P374" i="26"/>
  <c r="W374" i="26" s="1"/>
  <c r="AD374" i="26" s="1"/>
  <c r="P539" i="26"/>
  <c r="W539" i="26" s="1"/>
  <c r="AD539" i="26" s="1"/>
  <c r="P337" i="26"/>
  <c r="W337" i="26" s="1"/>
  <c r="AD337" i="26" s="1"/>
  <c r="P261" i="26"/>
  <c r="W261" i="26" s="1"/>
  <c r="AD261" i="26" s="1"/>
  <c r="P635" i="26"/>
  <c r="W635" i="26" s="1"/>
  <c r="AD635" i="26" s="1"/>
  <c r="P276" i="26"/>
  <c r="W276" i="26" s="1"/>
  <c r="AD276" i="26" s="1"/>
  <c r="P368" i="26"/>
  <c r="W368" i="26" s="1"/>
  <c r="AD368" i="26" s="1"/>
  <c r="P562" i="26"/>
  <c r="W562" i="26" s="1"/>
  <c r="AD562" i="26" s="1"/>
  <c r="P279" i="26"/>
  <c r="W279" i="26" s="1"/>
  <c r="AD279" i="26" s="1"/>
  <c r="P523" i="26"/>
  <c r="W523" i="26" s="1"/>
  <c r="AD523" i="26" s="1"/>
  <c r="P363" i="26"/>
  <c r="W363" i="26" s="1"/>
  <c r="AD363" i="26" s="1"/>
  <c r="P542" i="26"/>
  <c r="W542" i="26" s="1"/>
  <c r="AD542" i="26" s="1"/>
  <c r="P570" i="26"/>
  <c r="W570" i="26" s="1"/>
  <c r="AD570" i="26" s="1"/>
  <c r="P359" i="26"/>
  <c r="W359" i="26" s="1"/>
  <c r="AD359" i="26" s="1"/>
  <c r="P454" i="26"/>
  <c r="W454" i="26" s="1"/>
  <c r="AD454" i="26" s="1"/>
  <c r="P716" i="26"/>
  <c r="W716" i="26" s="1"/>
  <c r="AD716" i="26" s="1"/>
  <c r="P598" i="26"/>
  <c r="W598" i="26" s="1"/>
  <c r="AD598" i="26" s="1"/>
  <c r="P549" i="26"/>
  <c r="W549" i="26" s="1"/>
  <c r="AD549" i="26" s="1"/>
  <c r="P442" i="26"/>
  <c r="W442" i="26" s="1"/>
  <c r="AD442" i="26" s="1"/>
  <c r="P388" i="26"/>
  <c r="W388" i="26" s="1"/>
  <c r="AD388" i="26" s="1"/>
  <c r="P463" i="26"/>
  <c r="W463" i="26" s="1"/>
  <c r="AD463" i="26" s="1"/>
  <c r="P727" i="26"/>
  <c r="W727" i="26" s="1"/>
  <c r="AD727" i="26" s="1"/>
  <c r="P460" i="26"/>
  <c r="W460" i="26" s="1"/>
  <c r="AD460" i="26" s="1"/>
  <c r="P743" i="26"/>
  <c r="W743" i="26" s="1"/>
  <c r="AD743" i="26" s="1"/>
  <c r="P288" i="26"/>
  <c r="W288" i="26" s="1"/>
  <c r="AD288" i="26" s="1"/>
  <c r="P290" i="26"/>
  <c r="W290" i="26" s="1"/>
  <c r="AD290" i="26" s="1"/>
  <c r="P310" i="26"/>
  <c r="W310" i="26" s="1"/>
  <c r="AD310" i="26" s="1"/>
  <c r="P375" i="26"/>
  <c r="W375" i="26" s="1"/>
  <c r="AD375" i="26" s="1"/>
  <c r="P658" i="26"/>
  <c r="W658" i="26" s="1"/>
  <c r="AD658" i="26" s="1"/>
  <c r="P666" i="26"/>
  <c r="W666" i="26" s="1"/>
  <c r="AD666" i="26" s="1"/>
  <c r="P636" i="26"/>
  <c r="W636" i="26" s="1"/>
  <c r="AD636" i="26" s="1"/>
  <c r="P308" i="26"/>
  <c r="W308" i="26" s="1"/>
  <c r="AD308" i="26" s="1"/>
  <c r="P646" i="26"/>
  <c r="W646" i="26" s="1"/>
  <c r="AD646" i="26" s="1"/>
  <c r="P707" i="26"/>
  <c r="W707" i="26" s="1"/>
  <c r="AD707" i="26" s="1"/>
  <c r="P529" i="26"/>
  <c r="W529" i="26" s="1"/>
  <c r="AD529" i="26" s="1"/>
  <c r="P576" i="26"/>
  <c r="W576" i="26" s="1"/>
  <c r="AD576" i="26" s="1"/>
  <c r="P479" i="26"/>
  <c r="W479" i="26" s="1"/>
  <c r="AD479" i="26" s="1"/>
  <c r="P480" i="26"/>
  <c r="W480" i="26" s="1"/>
  <c r="AD480" i="26" s="1"/>
  <c r="P543" i="26"/>
  <c r="W543" i="26" s="1"/>
  <c r="AD543" i="26" s="1"/>
  <c r="P565" i="26"/>
  <c r="W565" i="26" s="1"/>
  <c r="AD565" i="26" s="1"/>
  <c r="P626" i="26"/>
  <c r="W626" i="26" s="1"/>
  <c r="AD626" i="26" s="1"/>
  <c r="P341" i="26"/>
  <c r="W341" i="26" s="1"/>
  <c r="AD341" i="26" s="1"/>
  <c r="P544" i="26"/>
  <c r="W544" i="26" s="1"/>
  <c r="AD544" i="26" s="1"/>
  <c r="P284" i="26"/>
  <c r="W284" i="26" s="1"/>
  <c r="AD284" i="26" s="1"/>
  <c r="P550" i="26"/>
  <c r="W550" i="26" s="1"/>
  <c r="AD550" i="26" s="1"/>
  <c r="P387" i="26"/>
  <c r="W387" i="26" s="1"/>
  <c r="AD387" i="26" s="1"/>
  <c r="P739" i="26"/>
  <c r="W739" i="26" s="1"/>
  <c r="AD739" i="26" s="1"/>
  <c r="P728" i="26"/>
  <c r="W728" i="26" s="1"/>
  <c r="AD728" i="26" s="1"/>
  <c r="P461" i="26"/>
  <c r="W461" i="26" s="1"/>
  <c r="AD461" i="26" s="1"/>
  <c r="P744" i="26"/>
  <c r="W744" i="26" s="1"/>
  <c r="AD744" i="26" s="1"/>
  <c r="P494" i="26"/>
  <c r="W494" i="26" s="1"/>
  <c r="AD494" i="26" s="1"/>
  <c r="P668" i="26"/>
  <c r="W668" i="26" s="1"/>
  <c r="AD668" i="26" s="1"/>
  <c r="P420" i="26"/>
  <c r="W420" i="26" s="1"/>
  <c r="AD420" i="26" s="1"/>
  <c r="P256" i="26"/>
  <c r="W256" i="26" s="1"/>
  <c r="AD256" i="26" s="1"/>
  <c r="P650" i="26"/>
  <c r="W650" i="26" s="1"/>
  <c r="AD650" i="26" s="1"/>
  <c r="P659" i="26"/>
  <c r="W659" i="26" s="1"/>
  <c r="AD659" i="26" s="1"/>
  <c r="P455" i="26"/>
  <c r="W455" i="26" s="1"/>
  <c r="AD455" i="26" s="1"/>
  <c r="P445" i="26"/>
  <c r="W445" i="26" s="1"/>
  <c r="AD445" i="26" s="1"/>
  <c r="P440" i="26"/>
  <c r="W440" i="26" s="1"/>
  <c r="AD440" i="26" s="1"/>
  <c r="P430" i="26"/>
  <c r="W430" i="26" s="1"/>
  <c r="AD430" i="26" s="1"/>
  <c r="P429" i="26"/>
  <c r="W429" i="26" s="1"/>
  <c r="AD429" i="26" s="1"/>
  <c r="P332" i="26"/>
  <c r="W332" i="26" s="1"/>
  <c r="AD332" i="26" s="1"/>
  <c r="P275" i="26"/>
  <c r="W275" i="26" s="1"/>
  <c r="AD275" i="26" s="1"/>
  <c r="P481" i="26"/>
  <c r="W481" i="26" s="1"/>
  <c r="AD481" i="26" s="1"/>
  <c r="P427" i="26"/>
  <c r="W427" i="26" s="1"/>
  <c r="AD427" i="26" s="1"/>
  <c r="P266" i="26"/>
  <c r="W266" i="26" s="1"/>
  <c r="AD266" i="26" s="1"/>
  <c r="P394" i="26"/>
  <c r="W394" i="26" s="1"/>
  <c r="AD394" i="26" s="1"/>
  <c r="P449" i="26"/>
  <c r="W449" i="26" s="1"/>
  <c r="AD449" i="26" s="1"/>
  <c r="P630" i="26"/>
  <c r="W630" i="26" s="1"/>
  <c r="AD630" i="26" s="1"/>
  <c r="P250" i="26"/>
  <c r="W250" i="26" s="1"/>
  <c r="AD250" i="26" s="1"/>
  <c r="P603" i="26"/>
  <c r="W603" i="26" s="1"/>
  <c r="AD603" i="26" s="1"/>
  <c r="P579" i="26"/>
  <c r="W579" i="26" s="1"/>
  <c r="AD579" i="26" s="1"/>
  <c r="P317" i="26"/>
  <c r="W317" i="26" s="1"/>
  <c r="AD317" i="26" s="1"/>
  <c r="P740" i="26"/>
  <c r="W740" i="26" s="1"/>
  <c r="AD740" i="26" s="1"/>
  <c r="P729" i="26"/>
  <c r="W729" i="26" s="1"/>
  <c r="AD729" i="26" s="1"/>
  <c r="P462" i="26"/>
  <c r="W462" i="26" s="1"/>
  <c r="AD462" i="26" s="1"/>
  <c r="P607" i="26"/>
  <c r="W607" i="26" s="1"/>
  <c r="AD607" i="26" s="1"/>
  <c r="P518" i="26"/>
  <c r="W518" i="26" s="1"/>
  <c r="AD518" i="26" s="1"/>
  <c r="P669" i="26"/>
  <c r="W669" i="26" s="1"/>
  <c r="AD669" i="26" s="1"/>
  <c r="P673" i="26"/>
  <c r="W673" i="26" s="1"/>
  <c r="AD673" i="26" s="1"/>
  <c r="P678" i="26"/>
  <c r="W678" i="26" s="1"/>
  <c r="AD678" i="26" s="1"/>
  <c r="P652" i="26"/>
  <c r="W652" i="26" s="1"/>
  <c r="AD652" i="26" s="1"/>
  <c r="P402" i="26"/>
  <c r="W402" i="26" s="1"/>
  <c r="AD402" i="26" s="1"/>
  <c r="P631" i="26"/>
  <c r="W631" i="26" s="1"/>
  <c r="AD631" i="26" s="1"/>
  <c r="P432" i="26"/>
  <c r="W432" i="26" s="1"/>
  <c r="AD432" i="26" s="1"/>
  <c r="P641" i="26"/>
  <c r="W641" i="26" s="1"/>
  <c r="AD641" i="26" s="1"/>
  <c r="P536" i="26"/>
  <c r="W536" i="26" s="1"/>
  <c r="AD536" i="26" s="1"/>
  <c r="P615" i="26"/>
  <c r="W615" i="26" s="1"/>
  <c r="AD615" i="26" s="1"/>
  <c r="P302" i="26"/>
  <c r="W302" i="26" s="1"/>
  <c r="AD302" i="26" s="1"/>
  <c r="P564" i="26"/>
  <c r="W564" i="26" s="1"/>
  <c r="AD564" i="26" s="1"/>
  <c r="P499" i="26"/>
  <c r="W499" i="26" s="1"/>
  <c r="AD499" i="26" s="1"/>
  <c r="P300" i="26"/>
  <c r="W300" i="26" s="1"/>
  <c r="AD300" i="26" s="1"/>
  <c r="P417" i="26"/>
  <c r="W417" i="26" s="1"/>
  <c r="AD417" i="26" s="1"/>
  <c r="P622" i="26"/>
  <c r="W622" i="26" s="1"/>
  <c r="AD622" i="26" s="1"/>
  <c r="P627" i="26"/>
  <c r="W627" i="26" s="1"/>
  <c r="AD627" i="26" s="1"/>
  <c r="P569" i="26"/>
  <c r="W569" i="26" s="1"/>
  <c r="AD569" i="26" s="1"/>
  <c r="P718" i="26"/>
  <c r="W718" i="26" s="1"/>
  <c r="AD718" i="26" s="1"/>
  <c r="P719" i="26"/>
  <c r="W719" i="26" s="1"/>
  <c r="AD719" i="26" s="1"/>
  <c r="P370" i="26"/>
  <c r="W370" i="26" s="1"/>
  <c r="AD370" i="26" s="1"/>
  <c r="P691" i="26"/>
  <c r="W691" i="26" s="1"/>
  <c r="AD691" i="26" s="1"/>
  <c r="P273" i="26"/>
  <c r="W273" i="26" s="1"/>
  <c r="AD273" i="26" s="1"/>
  <c r="P730" i="26"/>
  <c r="W730" i="26" s="1"/>
  <c r="AD730" i="26" s="1"/>
  <c r="P340" i="26"/>
  <c r="W340" i="26" s="1"/>
  <c r="AD340" i="26" s="1"/>
  <c r="P272" i="26"/>
  <c r="W272" i="26" s="1"/>
  <c r="AD272" i="26" s="1"/>
  <c r="P471" i="26"/>
  <c r="W471" i="26" s="1"/>
  <c r="AD471" i="26" s="1"/>
  <c r="P589" i="26"/>
  <c r="W589" i="26" s="1"/>
  <c r="AD589" i="26" s="1"/>
  <c r="P413" i="26"/>
  <c r="W413" i="26" s="1"/>
  <c r="AD413" i="26" s="1"/>
  <c r="P679" i="26"/>
  <c r="W679" i="26" s="1"/>
  <c r="AD679" i="26" s="1"/>
  <c r="P406" i="26"/>
  <c r="W406" i="26" s="1"/>
  <c r="AD406" i="26" s="1"/>
  <c r="P660" i="26"/>
  <c r="W660" i="26" s="1"/>
  <c r="AD660" i="26" s="1"/>
  <c r="P378" i="26"/>
  <c r="W378" i="26" s="1"/>
  <c r="AD378" i="26" s="1"/>
  <c r="P318" i="26"/>
  <c r="W318" i="26" s="1"/>
  <c r="AD318" i="26" s="1"/>
  <c r="P642" i="26"/>
  <c r="W642" i="26" s="1"/>
  <c r="AD642" i="26" s="1"/>
  <c r="P736" i="26"/>
  <c r="W736" i="26" s="1"/>
  <c r="AD736" i="26" s="1"/>
  <c r="P710" i="26"/>
  <c r="W710" i="26" s="1"/>
  <c r="AD710" i="26" s="1"/>
  <c r="P428" i="26"/>
  <c r="W428" i="26" s="1"/>
  <c r="AD428" i="26" s="1"/>
  <c r="P522" i="26"/>
  <c r="W522" i="26" s="1"/>
  <c r="AD522" i="26" s="1"/>
  <c r="P501" i="26"/>
  <c r="W501" i="26" s="1"/>
  <c r="AD501" i="26" s="1"/>
  <c r="P557" i="26"/>
  <c r="W557" i="26" s="1"/>
  <c r="AD557" i="26" s="1"/>
  <c r="P396" i="26"/>
  <c r="W396" i="26" s="1"/>
  <c r="AD396" i="26" s="1"/>
  <c r="P623" i="26"/>
  <c r="W623" i="26" s="1"/>
  <c r="AD623" i="26" s="1"/>
  <c r="P450" i="26"/>
  <c r="W450" i="26" s="1"/>
  <c r="AD450" i="26" s="1"/>
  <c r="P477" i="26"/>
  <c r="W477" i="26" s="1"/>
  <c r="AD477" i="26" s="1"/>
  <c r="P599" i="26"/>
  <c r="W599" i="26" s="1"/>
  <c r="AD599" i="26" s="1"/>
  <c r="P604" i="26"/>
  <c r="W604" i="26" s="1"/>
  <c r="AD604" i="26" s="1"/>
  <c r="P686" i="26"/>
  <c r="W686" i="26" s="1"/>
  <c r="AD686" i="26" s="1"/>
  <c r="P692" i="26"/>
  <c r="W692" i="26" s="1"/>
  <c r="AD692" i="26" s="1"/>
  <c r="P696" i="26"/>
  <c r="W696" i="26" s="1"/>
  <c r="AD696" i="26" s="1"/>
  <c r="P733" i="26"/>
  <c r="W733" i="26" s="1"/>
  <c r="AD733" i="26" s="1"/>
  <c r="P383" i="26"/>
  <c r="W383" i="26" s="1"/>
  <c r="AD383" i="26" s="1"/>
  <c r="P422" i="26"/>
  <c r="W422" i="26" s="1"/>
  <c r="AD422" i="26" s="1"/>
  <c r="P476" i="26"/>
  <c r="W476" i="26" s="1"/>
  <c r="AD476" i="26" s="1"/>
  <c r="P380" i="26"/>
  <c r="W380" i="26" s="1"/>
  <c r="AD380" i="26" s="1"/>
  <c r="P674" i="26"/>
  <c r="W674" i="26" s="1"/>
  <c r="AD674" i="26" s="1"/>
  <c r="P458" i="26"/>
  <c r="W458" i="26" s="1"/>
  <c r="AD458" i="26" s="1"/>
  <c r="P457" i="26"/>
  <c r="W457" i="26" s="1"/>
  <c r="AD457" i="26" s="1"/>
  <c r="P444" i="26"/>
  <c r="W444" i="26" s="1"/>
  <c r="AD444" i="26" s="1"/>
  <c r="P632" i="26"/>
  <c r="W632" i="26" s="1"/>
  <c r="AD632" i="26" s="1"/>
  <c r="P315" i="26"/>
  <c r="W315" i="26" s="1"/>
  <c r="AD315" i="26" s="1"/>
  <c r="P369" i="26"/>
  <c r="W369" i="26" s="1"/>
  <c r="AD369" i="26" s="1"/>
  <c r="P568" i="26"/>
  <c r="W568" i="26" s="1"/>
  <c r="AD568" i="26" s="1"/>
  <c r="P616" i="26"/>
  <c r="W616" i="26" s="1"/>
  <c r="AD616" i="26" s="1"/>
  <c r="P548" i="26"/>
  <c r="W548" i="26" s="1"/>
  <c r="AD548" i="26" s="1"/>
  <c r="P265" i="26"/>
  <c r="W265" i="26" s="1"/>
  <c r="AD265" i="26" s="1"/>
  <c r="P502" i="26"/>
  <c r="W502" i="26" s="1"/>
  <c r="AD502" i="26" s="1"/>
  <c r="P452" i="26"/>
  <c r="W452" i="26" s="1"/>
  <c r="AD452" i="26" s="1"/>
  <c r="P465" i="26"/>
  <c r="W465" i="26" s="1"/>
  <c r="AD465" i="26" s="1"/>
  <c r="P510" i="26"/>
  <c r="W510" i="26" s="1"/>
  <c r="AD510" i="26" s="1"/>
  <c r="P299" i="26"/>
  <c r="W299" i="26" s="1"/>
  <c r="AD299" i="26" s="1"/>
  <c r="P349" i="26"/>
  <c r="W349" i="26" s="1"/>
  <c r="AD349" i="26" s="1"/>
  <c r="P423" i="26"/>
  <c r="W423" i="26" s="1"/>
  <c r="AD423" i="26" s="1"/>
  <c r="P585" i="26"/>
  <c r="W585" i="26" s="1"/>
  <c r="AD585" i="26" s="1"/>
  <c r="P389" i="26"/>
  <c r="W389" i="26" s="1"/>
  <c r="AD389" i="26" s="1"/>
  <c r="P587" i="26"/>
  <c r="W587" i="26" s="1"/>
  <c r="AD587" i="26" s="1"/>
  <c r="P697" i="26"/>
  <c r="W697" i="26" s="1"/>
  <c r="AD697" i="26" s="1"/>
  <c r="P329" i="26"/>
  <c r="W329" i="26" s="1"/>
  <c r="AD329" i="26" s="1"/>
  <c r="P507" i="26"/>
  <c r="W507" i="26" s="1"/>
  <c r="AD507" i="26" s="1"/>
  <c r="P372" i="26"/>
  <c r="W372" i="26" s="1"/>
  <c r="AD372" i="26" s="1"/>
  <c r="P520" i="26"/>
  <c r="W520" i="26" s="1"/>
  <c r="AD520" i="26" s="1"/>
  <c r="P379" i="26"/>
  <c r="W379" i="26" s="1"/>
  <c r="AD379" i="26" s="1"/>
  <c r="P540" i="26"/>
  <c r="W540" i="26" s="1"/>
  <c r="AD540" i="26" s="1"/>
  <c r="P259" i="26"/>
  <c r="W259" i="26" s="1"/>
  <c r="AD259" i="26" s="1"/>
  <c r="P560" i="26"/>
  <c r="W560" i="26" s="1"/>
  <c r="AD560" i="26" s="1"/>
  <c r="P264" i="26"/>
  <c r="W264" i="26" s="1"/>
  <c r="AD264" i="26" s="1"/>
  <c r="P704" i="26"/>
  <c r="W704" i="26" s="1"/>
  <c r="AD704" i="26" s="1"/>
  <c r="P365" i="26"/>
  <c r="W365" i="26" s="1"/>
  <c r="AD365" i="26" s="1"/>
  <c r="P492" i="26"/>
  <c r="W492" i="26" s="1"/>
  <c r="AD492" i="26" s="1"/>
  <c r="P453" i="26"/>
  <c r="W453" i="26" s="1"/>
  <c r="AD453" i="26" s="1"/>
  <c r="P425" i="26"/>
  <c r="W425" i="26" s="1"/>
  <c r="AD425" i="26" s="1"/>
  <c r="P393" i="26"/>
  <c r="W393" i="26" s="1"/>
  <c r="AD393" i="26" s="1"/>
  <c r="P283" i="26"/>
  <c r="W283" i="26" s="1"/>
  <c r="AD283" i="26" s="1"/>
  <c r="P390" i="26"/>
  <c r="W390" i="26" s="1"/>
  <c r="AD390" i="26" s="1"/>
  <c r="P385" i="26"/>
  <c r="W385" i="26" s="1"/>
  <c r="AD385" i="26" s="1"/>
  <c r="P723" i="26"/>
  <c r="W723" i="26" s="1"/>
  <c r="AD723" i="26" s="1"/>
  <c r="P382" i="26"/>
  <c r="W382" i="26" s="1"/>
  <c r="AD382" i="26" s="1"/>
  <c r="P489" i="26"/>
  <c r="W489" i="26" s="1"/>
  <c r="AD489" i="26" s="1"/>
  <c r="P421" i="26"/>
  <c r="W421" i="26" s="1"/>
  <c r="AD421" i="26" s="1"/>
  <c r="P592" i="26"/>
  <c r="W592" i="26" s="1"/>
  <c r="AD592" i="26" s="1"/>
  <c r="P656" i="26"/>
  <c r="W656" i="26" s="1"/>
  <c r="AD656" i="26" s="1"/>
  <c r="P580" i="26"/>
  <c r="W580" i="26" s="1"/>
  <c r="AD580" i="26" s="1"/>
  <c r="P416" i="26"/>
  <c r="W416" i="26" s="1"/>
  <c r="AD416" i="26" s="1"/>
  <c r="P438" i="26"/>
  <c r="W438" i="26" s="1"/>
  <c r="AD438" i="26" s="1"/>
  <c r="P497" i="26"/>
  <c r="W497" i="26" s="1"/>
  <c r="AD497" i="26" s="1"/>
  <c r="P291" i="26"/>
  <c r="W291" i="26" s="1"/>
  <c r="AD291" i="26" s="1"/>
  <c r="P466" i="26"/>
  <c r="W466" i="26" s="1"/>
  <c r="AD466" i="26" s="1"/>
  <c r="P334" i="26"/>
  <c r="W334" i="26" s="1"/>
  <c r="AD334" i="26" s="1"/>
  <c r="P248" i="26"/>
  <c r="W248" i="26" s="1"/>
  <c r="AD248" i="26" s="1"/>
  <c r="P356" i="26"/>
  <c r="W356" i="26" s="1"/>
  <c r="AD356" i="26" s="1"/>
  <c r="P521" i="26"/>
  <c r="W521" i="26" s="1"/>
  <c r="AD521" i="26" s="1"/>
  <c r="P294" i="26"/>
  <c r="W294" i="26" s="1"/>
  <c r="AD294" i="26" s="1"/>
  <c r="P514" i="26"/>
  <c r="W514" i="26" s="1"/>
  <c r="AD514" i="26" s="1"/>
  <c r="P588" i="26"/>
  <c r="W588" i="26" s="1"/>
  <c r="AD588" i="26" s="1"/>
  <c r="P482" i="26"/>
  <c r="W482" i="26" s="1"/>
  <c r="AD482" i="26" s="1"/>
  <c r="P671" i="26"/>
  <c r="W671" i="26" s="1"/>
  <c r="AD671" i="26" s="1"/>
  <c r="P409" i="26"/>
  <c r="W409" i="26" s="1"/>
  <c r="AD409" i="26" s="1"/>
  <c r="P338" i="26"/>
  <c r="W338" i="26" s="1"/>
  <c r="AD338" i="26" s="1"/>
  <c r="P262" i="26"/>
  <c r="W262" i="26" s="1"/>
  <c r="AD262" i="26" s="1"/>
  <c r="P556" i="26"/>
  <c r="W556" i="26" s="1"/>
  <c r="AD556" i="26" s="1"/>
  <c r="P344" i="26"/>
  <c r="W344" i="26" s="1"/>
  <c r="AD344" i="26" s="1"/>
  <c r="P301" i="26"/>
  <c r="W301" i="26" s="1"/>
  <c r="AD301" i="26" s="1"/>
  <c r="P493" i="26"/>
  <c r="W493" i="26" s="1"/>
  <c r="AD493" i="26" s="1"/>
  <c r="P347" i="26"/>
  <c r="W347" i="26" s="1"/>
  <c r="AD347" i="26" s="1"/>
  <c r="P621" i="26"/>
  <c r="W621" i="26" s="1"/>
  <c r="AD621" i="26" s="1"/>
  <c r="P629" i="26"/>
  <c r="W629" i="26" s="1"/>
  <c r="AD629" i="26" s="1"/>
  <c r="P526" i="26"/>
  <c r="W526" i="26" s="1"/>
  <c r="AD526" i="26" s="1"/>
  <c r="P311" i="26"/>
  <c r="W311" i="26" s="1"/>
  <c r="AD311" i="26" s="1"/>
  <c r="P286" i="26"/>
  <c r="W286" i="26" s="1"/>
  <c r="AD286" i="26" s="1"/>
  <c r="P726" i="26"/>
  <c r="W726" i="26" s="1"/>
  <c r="AD726" i="26" s="1"/>
  <c r="P608" i="26"/>
  <c r="W608" i="26" s="1"/>
  <c r="AD608" i="26" s="1"/>
  <c r="P252" i="26"/>
  <c r="W252" i="26" s="1"/>
  <c r="AD252" i="26" s="1"/>
  <c r="P254" i="26"/>
  <c r="W254" i="26" s="1"/>
  <c r="AD254" i="26" s="1"/>
  <c r="P443" i="26"/>
  <c r="W443" i="26" s="1"/>
  <c r="AD443" i="26" s="1"/>
  <c r="P657" i="26"/>
  <c r="W657" i="26" s="1"/>
  <c r="AD657" i="26" s="1"/>
  <c r="P397" i="26"/>
  <c r="W397" i="26" s="1"/>
  <c r="AD397" i="26" s="1"/>
  <c r="P732" i="26"/>
  <c r="W732" i="26" s="1"/>
  <c r="AD732" i="26" s="1"/>
  <c r="P575" i="26"/>
  <c r="W575" i="26" s="1"/>
  <c r="AD575" i="26" s="1"/>
  <c r="P498" i="26"/>
  <c r="W498" i="26" s="1"/>
  <c r="AD498" i="26" s="1"/>
  <c r="P473" i="26"/>
  <c r="W473" i="26" s="1"/>
  <c r="AD473" i="26" s="1"/>
  <c r="P426" i="26"/>
  <c r="W426" i="26" s="1"/>
  <c r="AD426" i="26" s="1"/>
  <c r="P348" i="26"/>
  <c r="W348" i="26" s="1"/>
  <c r="AD348" i="26" s="1"/>
  <c r="P715" i="26"/>
  <c r="W715" i="26" s="1"/>
  <c r="AD715" i="26" s="1"/>
  <c r="P600" i="26"/>
  <c r="W600" i="26" s="1"/>
  <c r="AD600" i="26" s="1"/>
  <c r="P297" i="26"/>
  <c r="W297" i="26" s="1"/>
  <c r="AD297" i="26" s="1"/>
  <c r="P694" i="26"/>
  <c r="W694" i="26" s="1"/>
  <c r="AD694" i="26" s="1"/>
  <c r="P699" i="26"/>
  <c r="W699" i="26" s="1"/>
  <c r="AD699" i="26" s="1"/>
  <c r="P702" i="26"/>
  <c r="W702" i="26" s="1"/>
  <c r="AD702" i="26" s="1"/>
  <c r="P672" i="26"/>
  <c r="W672" i="26" s="1"/>
  <c r="AD672" i="26" s="1"/>
  <c r="P257" i="26"/>
  <c r="W257" i="26" s="1"/>
  <c r="AD257" i="26" s="1"/>
  <c r="P559" i="26"/>
  <c r="W559" i="26" s="1"/>
  <c r="AD559" i="26" s="1"/>
  <c r="P304" i="26"/>
  <c r="W304" i="26" s="1"/>
  <c r="AD304" i="26" s="1"/>
  <c r="P277" i="26"/>
  <c r="W277" i="26" s="1"/>
  <c r="AD277" i="26" s="1"/>
  <c r="P613" i="26"/>
  <c r="W613" i="26" s="1"/>
  <c r="AD613" i="26" s="1"/>
  <c r="P555" i="26"/>
  <c r="W555" i="26" s="1"/>
  <c r="AD555" i="26" s="1"/>
  <c r="P495" i="26"/>
  <c r="W495" i="26" s="1"/>
  <c r="AD495" i="26" s="1"/>
  <c r="P312" i="26"/>
  <c r="W312" i="26" s="1"/>
  <c r="AD312" i="26" s="1"/>
  <c r="P293" i="26"/>
  <c r="W293" i="26" s="1"/>
  <c r="AD293" i="26" s="1"/>
  <c r="P532" i="26"/>
  <c r="W532" i="26" s="1"/>
  <c r="AD532" i="26" s="1"/>
  <c r="P601" i="26"/>
  <c r="W601" i="26" s="1"/>
  <c r="AD601" i="26" s="1"/>
  <c r="P685" i="26"/>
  <c r="W685" i="26" s="1"/>
  <c r="AD685" i="26" s="1"/>
  <c r="P371" i="26"/>
  <c r="W371" i="26" s="1"/>
  <c r="AD371" i="26" s="1"/>
  <c r="P737" i="26"/>
  <c r="W737" i="26" s="1"/>
  <c r="AD737" i="26" s="1"/>
  <c r="P516" i="26"/>
  <c r="W516" i="26" s="1"/>
  <c r="AD516" i="26" s="1"/>
  <c r="P269" i="26"/>
  <c r="W269" i="26" s="1"/>
  <c r="AD269" i="26" s="1"/>
  <c r="P682" i="26"/>
  <c r="W682" i="26" s="1"/>
  <c r="AD682" i="26" s="1"/>
  <c r="P354" i="26"/>
  <c r="W354" i="26" s="1"/>
  <c r="AD354" i="26" s="1"/>
  <c r="P581" i="26"/>
  <c r="W581" i="26" s="1"/>
  <c r="AD581" i="26" s="1"/>
  <c r="P643" i="26"/>
  <c r="W643" i="26" s="1"/>
  <c r="AD643" i="26" s="1"/>
  <c r="P437" i="26"/>
  <c r="W437" i="26" s="1"/>
  <c r="AD437" i="26" s="1"/>
  <c r="P408" i="26"/>
  <c r="W408" i="26" s="1"/>
  <c r="AD408" i="26" s="1"/>
  <c r="P664" i="26"/>
  <c r="W664" i="26" s="1"/>
  <c r="AD664" i="26" s="1"/>
  <c r="P735" i="26"/>
  <c r="W735" i="26" s="1"/>
  <c r="AD735" i="26" s="1"/>
  <c r="P435" i="26"/>
  <c r="W435" i="26" s="1"/>
  <c r="AD435" i="26" s="1"/>
  <c r="P468" i="26"/>
  <c r="W468" i="26" s="1"/>
  <c r="AD468" i="26" s="1"/>
  <c r="P620" i="26"/>
  <c r="W620" i="26" s="1"/>
  <c r="AD620" i="26" s="1"/>
  <c r="P330" i="26"/>
  <c r="W330" i="26" s="1"/>
  <c r="AD330" i="26" s="1"/>
  <c r="P545" i="26"/>
  <c r="W545" i="26" s="1"/>
  <c r="AD545" i="26" s="1"/>
  <c r="P695" i="26"/>
  <c r="W695" i="26" s="1"/>
  <c r="AD695" i="26" s="1"/>
  <c r="P459" i="26"/>
  <c r="W459" i="26" s="1"/>
  <c r="AD459" i="26" s="1"/>
  <c r="P684" i="26"/>
  <c r="W684" i="26" s="1"/>
  <c r="AD684" i="26" s="1"/>
  <c r="P665" i="26"/>
  <c r="W665" i="26" s="1"/>
  <c r="AD665" i="26" s="1"/>
  <c r="P645" i="26"/>
  <c r="W645" i="26" s="1"/>
  <c r="AD645" i="26" s="1"/>
  <c r="P512" i="26"/>
  <c r="W512" i="26" s="1"/>
  <c r="AD512" i="26" s="1"/>
  <c r="P474" i="26"/>
  <c r="W474" i="26" s="1"/>
  <c r="AD474" i="26" s="1"/>
  <c r="P282" i="26"/>
  <c r="W282" i="26" s="1"/>
  <c r="AD282" i="26" s="1"/>
  <c r="P295" i="26"/>
  <c r="W295" i="26" s="1"/>
  <c r="AD295" i="26" s="1"/>
  <c r="P605" i="26"/>
  <c r="W605" i="26" s="1"/>
  <c r="AD605" i="26" s="1"/>
  <c r="P530" i="26"/>
  <c r="W530" i="26" s="1"/>
  <c r="AD530" i="26" s="1"/>
  <c r="P700" i="26"/>
  <c r="W700" i="26" s="1"/>
  <c r="AD700" i="26" s="1"/>
  <c r="P506" i="26"/>
  <c r="W506" i="26" s="1"/>
  <c r="AD506" i="26" s="1"/>
  <c r="P649" i="26"/>
  <c r="W649" i="26" s="1"/>
  <c r="AD649" i="26" s="1"/>
  <c r="P399" i="26"/>
  <c r="W399" i="26" s="1"/>
  <c r="AD399" i="26" s="1"/>
  <c r="P401" i="26"/>
  <c r="W401" i="26" s="1"/>
  <c r="AD401" i="26" s="1"/>
  <c r="P364" i="26"/>
  <c r="W364" i="26" s="1"/>
  <c r="AD364" i="26" s="1"/>
  <c r="P415" i="26"/>
  <c r="W415" i="26" s="1"/>
  <c r="AD415" i="26" s="1"/>
  <c r="P714" i="26"/>
  <c r="W714" i="26" s="1"/>
  <c r="AD714" i="26" s="1"/>
  <c r="P392" i="26"/>
  <c r="W392" i="26" s="1"/>
  <c r="AD392" i="26" s="1"/>
  <c r="P325" i="26"/>
  <c r="W325" i="26" s="1"/>
  <c r="AD325" i="26" s="1"/>
  <c r="P324" i="26"/>
  <c r="W324" i="26" s="1"/>
  <c r="AD324" i="26" s="1"/>
  <c r="P609" i="26"/>
  <c r="W609" i="26" s="1"/>
  <c r="AD609" i="26" s="1"/>
  <c r="P670" i="26"/>
  <c r="W670" i="26" s="1"/>
  <c r="AD670" i="26" s="1"/>
  <c r="P593" i="26"/>
  <c r="W593" i="26" s="1"/>
  <c r="AD593" i="26" s="1"/>
  <c r="P634" i="26"/>
  <c r="W634" i="26" s="1"/>
  <c r="AD634" i="26" s="1"/>
  <c r="P574" i="26"/>
  <c r="W574" i="26" s="1"/>
  <c r="AD574" i="26" s="1"/>
  <c r="P583" i="26"/>
  <c r="W583" i="26" s="1"/>
  <c r="AD583" i="26" s="1"/>
  <c r="P475" i="26"/>
  <c r="W475" i="26" s="1"/>
  <c r="AD475" i="26" s="1"/>
  <c r="P322" i="26"/>
  <c r="W322" i="26" s="1"/>
  <c r="AD322" i="26" s="1"/>
  <c r="P717" i="26"/>
  <c r="W717" i="26" s="1"/>
  <c r="AD717" i="26" s="1"/>
  <c r="P687" i="26"/>
  <c r="W687" i="26" s="1"/>
  <c r="AD687" i="26" s="1"/>
  <c r="P610" i="26"/>
  <c r="W610" i="26" s="1"/>
  <c r="AD610" i="26" s="1"/>
  <c r="P701" i="26"/>
  <c r="W701" i="26" s="1"/>
  <c r="AD701" i="26" s="1"/>
  <c r="P253" i="26"/>
  <c r="W253" i="26" s="1"/>
  <c r="AD253" i="26" s="1"/>
  <c r="P653" i="26"/>
  <c r="W653" i="26" s="1"/>
  <c r="AD653" i="26" s="1"/>
  <c r="P263" i="26"/>
  <c r="W263" i="26" s="1"/>
  <c r="AD263" i="26" s="1"/>
  <c r="P367" i="26"/>
  <c r="W367" i="26" s="1"/>
  <c r="AD367" i="26" s="1"/>
  <c r="P434" i="26"/>
  <c r="W434" i="26" s="1"/>
  <c r="AD434" i="26" s="1"/>
  <c r="P362" i="26"/>
  <c r="W362" i="26" s="1"/>
  <c r="AD362" i="26" s="1"/>
  <c r="P534" i="26"/>
  <c r="W534" i="26" s="1"/>
  <c r="AD534" i="26" s="1"/>
  <c r="P597" i="26"/>
  <c r="W597" i="26" s="1"/>
  <c r="AD597" i="26" s="1"/>
  <c r="P578" i="26"/>
  <c r="W578" i="26" s="1"/>
  <c r="AD578" i="26" s="1"/>
  <c r="P353" i="26"/>
  <c r="W353" i="26" s="1"/>
  <c r="AD353" i="26" s="1"/>
  <c r="P741" i="26"/>
  <c r="W741" i="26" s="1"/>
  <c r="AD741" i="26" s="1"/>
  <c r="P533" i="26"/>
  <c r="W533" i="26" s="1"/>
  <c r="AD533" i="26" s="1"/>
  <c r="P405" i="26"/>
  <c r="W405" i="26" s="1"/>
  <c r="AD405" i="26" s="1"/>
  <c r="P537" i="26"/>
  <c r="W537" i="26" s="1"/>
  <c r="AD537" i="26" s="1"/>
  <c r="P513" i="26"/>
  <c r="W513" i="26" s="1"/>
  <c r="AD513" i="26" s="1"/>
  <c r="P558" i="26"/>
  <c r="W558" i="26" s="1"/>
  <c r="AD558" i="26" s="1"/>
  <c r="P553" i="26"/>
  <c r="W553" i="26" s="1"/>
  <c r="AD553" i="26" s="1"/>
  <c r="P624" i="26"/>
  <c r="W624" i="26" s="1"/>
  <c r="AD624" i="26" s="1"/>
  <c r="P267" i="26"/>
  <c r="W267" i="26" s="1"/>
  <c r="AD267" i="26" s="1"/>
  <c r="P647" i="26"/>
  <c r="W647" i="26" s="1"/>
  <c r="AD647" i="26" s="1"/>
  <c r="P721" i="26"/>
  <c r="W721" i="26" s="1"/>
  <c r="AD721" i="26" s="1"/>
  <c r="P742" i="26"/>
  <c r="W742" i="26" s="1"/>
  <c r="AD742" i="26" s="1"/>
  <c r="P271" i="26"/>
  <c r="W271" i="26" s="1"/>
  <c r="AD271" i="26" s="1"/>
  <c r="P654" i="26"/>
  <c r="W654" i="26" s="1"/>
  <c r="AD654" i="26" s="1"/>
  <c r="P637" i="26"/>
  <c r="W637" i="26" s="1"/>
  <c r="AD637" i="26" s="1"/>
  <c r="P326" i="26"/>
  <c r="W326" i="26" s="1"/>
  <c r="AD326" i="26" s="1"/>
  <c r="P504" i="26"/>
  <c r="W504" i="26" s="1"/>
  <c r="AD504" i="26" s="1"/>
  <c r="P584" i="26"/>
  <c r="W584" i="26" s="1"/>
  <c r="AD584" i="26" s="1"/>
  <c r="P625" i="26"/>
  <c r="W625" i="26" s="1"/>
  <c r="AD625" i="26" s="1"/>
  <c r="P509" i="26"/>
  <c r="W509" i="26" s="1"/>
  <c r="AD509" i="26" s="1"/>
  <c r="P688" i="26"/>
  <c r="W688" i="26" s="1"/>
  <c r="AD688" i="26" s="1"/>
  <c r="P698" i="26"/>
  <c r="W698" i="26" s="1"/>
  <c r="AD698" i="26" s="1"/>
  <c r="P268" i="26"/>
  <c r="W268" i="26" s="1"/>
  <c r="AD268" i="26" s="1"/>
  <c r="P410" i="26"/>
  <c r="W410" i="26" s="1"/>
  <c r="AD410" i="26" s="1"/>
  <c r="P725" i="26"/>
  <c r="W725" i="26" s="1"/>
  <c r="AD725" i="26" s="1"/>
  <c r="P487" i="26"/>
  <c r="W487" i="26" s="1"/>
  <c r="AD487" i="26" s="1"/>
  <c r="P395" i="26"/>
  <c r="W395" i="26" s="1"/>
  <c r="AD395" i="26" s="1"/>
  <c r="P602" i="26"/>
  <c r="W602" i="26" s="1"/>
  <c r="AD602" i="26" s="1"/>
  <c r="P709" i="26"/>
  <c r="W709" i="26" s="1"/>
  <c r="AD709" i="26" s="1"/>
  <c r="P551" i="26"/>
  <c r="W551" i="26" s="1"/>
  <c r="AD551" i="26" s="1"/>
  <c r="P639" i="26"/>
  <c r="W639" i="26" s="1"/>
  <c r="AD639" i="26" s="1"/>
  <c r="P571" i="26"/>
  <c r="W571" i="26" s="1"/>
  <c r="AD571" i="26" s="1"/>
  <c r="P531" i="26"/>
  <c r="W531" i="26" s="1"/>
  <c r="AD531" i="26" s="1"/>
  <c r="P350" i="26"/>
  <c r="W350" i="26" s="1"/>
  <c r="AD350" i="26" s="1"/>
  <c r="P515" i="26"/>
  <c r="W515" i="26" s="1"/>
  <c r="AD515" i="26" s="1"/>
  <c r="P677" i="26"/>
  <c r="W677" i="26" s="1"/>
  <c r="AD677" i="26" s="1"/>
  <c r="P431" i="26"/>
  <c r="W431" i="26" s="1"/>
  <c r="AD431" i="26" s="1"/>
  <c r="P490" i="26"/>
  <c r="W490" i="26" s="1"/>
  <c r="AD490" i="26" s="1"/>
  <c r="P309" i="26"/>
  <c r="W309" i="26" s="1"/>
  <c r="AD309" i="26" s="1"/>
  <c r="P251" i="26"/>
  <c r="W251" i="26" s="1"/>
  <c r="AD251" i="26" s="1"/>
  <c r="P491" i="26"/>
  <c r="W491" i="26" s="1"/>
  <c r="AD491" i="26" s="1"/>
  <c r="P683" i="26"/>
  <c r="W683" i="26" s="1"/>
  <c r="AD683" i="26" s="1"/>
  <c r="P573" i="26"/>
  <c r="W573" i="26" s="1"/>
  <c r="AD573" i="26" s="1"/>
  <c r="P346" i="26"/>
  <c r="W346" i="26" s="1"/>
  <c r="AD346" i="26" s="1"/>
  <c r="P335" i="26"/>
  <c r="W335" i="26" s="1"/>
  <c r="AD335" i="26" s="1"/>
  <c r="P285" i="26"/>
  <c r="W285" i="26" s="1"/>
  <c r="AD285" i="26" s="1"/>
  <c r="P289" i="26"/>
  <c r="W289" i="26" s="1"/>
  <c r="AD289" i="26" s="1"/>
  <c r="P327" i="26"/>
  <c r="W327" i="26" s="1"/>
  <c r="AD327" i="26" s="1"/>
  <c r="P734" i="26"/>
  <c r="W734" i="26" s="1"/>
  <c r="AD734" i="26" s="1"/>
  <c r="P483" i="26"/>
  <c r="W483" i="26" s="1"/>
  <c r="AD483" i="26" s="1"/>
  <c r="P424" i="26"/>
  <c r="W424" i="26" s="1"/>
  <c r="AD424" i="26" s="1"/>
  <c r="P508" i="26"/>
  <c r="W508" i="26" s="1"/>
  <c r="AD508" i="26" s="1"/>
  <c r="P451" i="26"/>
  <c r="W451" i="26" s="1"/>
  <c r="AD451" i="26" s="1"/>
  <c r="P655" i="26"/>
  <c r="W655" i="26" s="1"/>
  <c r="AD655" i="26" s="1"/>
  <c r="P644" i="26"/>
  <c r="W644" i="26" s="1"/>
  <c r="AD644" i="26" s="1"/>
  <c r="P357" i="26"/>
  <c r="W357" i="26" s="1"/>
  <c r="AD357" i="26" s="1"/>
  <c r="P527" i="26"/>
  <c r="W527" i="26" s="1"/>
  <c r="AD527" i="26" s="1"/>
  <c r="P689" i="26"/>
  <c r="W689" i="26" s="1"/>
  <c r="AD689" i="26" s="1"/>
  <c r="P606" i="26"/>
  <c r="W606" i="26" s="1"/>
  <c r="AD606" i="26" s="1"/>
  <c r="P538" i="26"/>
  <c r="W538" i="26" s="1"/>
  <c r="AD538" i="26" s="1"/>
  <c r="P614" i="26"/>
  <c r="W614" i="26" s="1"/>
  <c r="AD614" i="26" s="1"/>
  <c r="P541" i="26"/>
  <c r="W541" i="26" s="1"/>
  <c r="AD541" i="26" s="1"/>
  <c r="P628" i="26"/>
  <c r="W628" i="26" s="1"/>
  <c r="AD628" i="26" s="1"/>
  <c r="P577" i="26"/>
  <c r="W577" i="26" s="1"/>
  <c r="AD577" i="26" s="1"/>
  <c r="P381" i="26"/>
  <c r="W381" i="26" s="1"/>
  <c r="AD381" i="26" s="1"/>
  <c r="P260" i="26"/>
  <c r="W260" i="26" s="1"/>
  <c r="AD260" i="26" s="1"/>
  <c r="P486" i="26"/>
  <c r="W486" i="26" s="1"/>
  <c r="AD486" i="26" s="1"/>
  <c r="P525" i="26"/>
  <c r="W525" i="26" s="1"/>
  <c r="AD525" i="26" s="1"/>
  <c r="P663" i="26"/>
  <c r="W663" i="26" s="1"/>
  <c r="AD663" i="26" s="1"/>
  <c r="P336" i="26"/>
  <c r="W336" i="26" s="1"/>
  <c r="AD336" i="26" s="1"/>
  <c r="P690" i="26"/>
  <c r="W690" i="26" s="1"/>
  <c r="AD690" i="26" s="1"/>
  <c r="P360" i="26"/>
  <c r="W360" i="26" s="1"/>
  <c r="AD360" i="26" s="1"/>
  <c r="P464" i="26"/>
  <c r="W464" i="26" s="1"/>
  <c r="AD464" i="26" s="1"/>
  <c r="P612" i="26"/>
  <c r="W612" i="26" s="1"/>
  <c r="AD612" i="26" s="1"/>
  <c r="P274" i="26"/>
  <c r="W274" i="26" s="1"/>
  <c r="AD274" i="26" s="1"/>
  <c r="P281" i="26"/>
  <c r="W281" i="26" s="1"/>
  <c r="AD281" i="26" s="1"/>
  <c r="P693" i="26"/>
  <c r="W693" i="26" s="1"/>
  <c r="AD693" i="26" s="1"/>
  <c r="P638" i="26"/>
  <c r="W638" i="26" s="1"/>
  <c r="AD638" i="26" s="1"/>
  <c r="P712" i="26"/>
  <c r="W712" i="26" s="1"/>
  <c r="AD712" i="26" s="1"/>
  <c r="P611" i="26"/>
  <c r="W611" i="26" s="1"/>
  <c r="AD611" i="26" s="1"/>
  <c r="P323" i="26"/>
  <c r="W323" i="26" s="1"/>
  <c r="AD323" i="26" s="1"/>
  <c r="P619" i="26"/>
  <c r="W619" i="26" s="1"/>
  <c r="AD619" i="26" s="1"/>
  <c r="P722" i="26"/>
  <c r="W722" i="26" s="1"/>
  <c r="AD722" i="26" s="1"/>
  <c r="P661" i="26"/>
  <c r="W661" i="26" s="1"/>
  <c r="AD661" i="26" s="1"/>
  <c r="P436" i="26"/>
  <c r="W436" i="26" s="1"/>
  <c r="AD436" i="26" s="1"/>
  <c r="P500" i="26"/>
  <c r="W500" i="26" s="1"/>
  <c r="AD500" i="26" s="1"/>
  <c r="P373" i="26"/>
  <c r="W373" i="26" s="1"/>
  <c r="AD373" i="26" s="1"/>
  <c r="P305" i="26"/>
  <c r="W305" i="26" s="1"/>
  <c r="AD305" i="26" s="1"/>
  <c r="P433" i="26"/>
  <c r="W433" i="26" s="1"/>
  <c r="AD433" i="26" s="1"/>
  <c r="P503" i="26"/>
  <c r="W503" i="26" s="1"/>
  <c r="AD503" i="26" s="1"/>
  <c r="P339" i="26"/>
  <c r="W339" i="26" s="1"/>
  <c r="AD339" i="26" s="1"/>
  <c r="P328" i="26"/>
  <c r="W328" i="26" s="1"/>
  <c r="AD328" i="26" s="1"/>
  <c r="P738" i="26"/>
  <c r="W738" i="26" s="1"/>
  <c r="AD738" i="26" s="1"/>
  <c r="P446" i="26"/>
  <c r="W446" i="26" s="1"/>
  <c r="AD446" i="26" s="1"/>
  <c r="P706" i="26"/>
  <c r="W706" i="26" s="1"/>
  <c r="AD706" i="26" s="1"/>
  <c r="P546" i="26"/>
  <c r="W546" i="26" s="1"/>
  <c r="AD546" i="26" s="1"/>
  <c r="P667" i="26"/>
  <c r="W667" i="26" s="1"/>
  <c r="AD667" i="26" s="1"/>
  <c r="P292" i="26"/>
  <c r="W292" i="26" s="1"/>
  <c r="AD292" i="26" s="1"/>
  <c r="P517" i="26"/>
  <c r="W517" i="26" s="1"/>
  <c r="AD517" i="26" s="1"/>
  <c r="P547" i="26"/>
  <c r="W547" i="26" s="1"/>
  <c r="AD547" i="26" s="1"/>
  <c r="P724" i="26"/>
  <c r="W724" i="26" s="1"/>
  <c r="AD724" i="26" s="1"/>
  <c r="P377" i="26"/>
  <c r="W377" i="26" s="1"/>
  <c r="AD377" i="26" s="1"/>
  <c r="P391" i="26"/>
  <c r="W391" i="26" s="1"/>
  <c r="AD391" i="26" s="1"/>
  <c r="P352" i="26"/>
  <c r="W352" i="26" s="1"/>
  <c r="AD352" i="26" s="1"/>
  <c r="P287" i="26"/>
  <c r="W287" i="26" s="1"/>
  <c r="AD287" i="26" s="1"/>
  <c r="P472" i="26"/>
  <c r="W472" i="26" s="1"/>
  <c r="AD472" i="26" s="1"/>
  <c r="P319" i="26"/>
  <c r="W319" i="26" s="1"/>
  <c r="AD319" i="26" s="1"/>
  <c r="P528" i="26"/>
  <c r="W528" i="26" s="1"/>
  <c r="AD528" i="26" s="1"/>
  <c r="P358" i="26"/>
  <c r="W358" i="26" s="1"/>
  <c r="AD358" i="26" s="1"/>
  <c r="P478" i="26"/>
  <c r="W478" i="26" s="1"/>
  <c r="AD478" i="26" s="1"/>
  <c r="P595" i="26"/>
  <c r="W595" i="26" s="1"/>
  <c r="AD595" i="26" s="1"/>
  <c r="P470" i="26"/>
  <c r="W470" i="26" s="1"/>
  <c r="AD470" i="26" s="1"/>
  <c r="P411" i="26"/>
  <c r="W411" i="26" s="1"/>
  <c r="AD411" i="26" s="1"/>
  <c r="P255" i="26"/>
  <c r="W255" i="26" s="1"/>
  <c r="AD255" i="26" s="1"/>
  <c r="P703" i="26"/>
  <c r="W703" i="26" s="1"/>
  <c r="AD703" i="26" s="1"/>
  <c r="P296" i="26"/>
  <c r="W296" i="26" s="1"/>
  <c r="AD296" i="26" s="1"/>
  <c r="P675" i="26"/>
  <c r="W675" i="26" s="1"/>
  <c r="AD675" i="26" s="1"/>
  <c r="P524" i="26"/>
  <c r="W524" i="26" s="1"/>
  <c r="AD524" i="26" s="1"/>
  <c r="P591" i="26"/>
  <c r="W591" i="26" s="1"/>
  <c r="AD591" i="26" s="1"/>
  <c r="P617" i="26"/>
  <c r="W617" i="26" s="1"/>
  <c r="AD617" i="26" s="1"/>
  <c r="P566" i="26"/>
  <c r="W566" i="26" s="1"/>
  <c r="AD566" i="26" s="1"/>
  <c r="N765" i="26"/>
  <c r="U765" i="26" s="1"/>
  <c r="N752" i="26"/>
  <c r="U752" i="26" s="1"/>
  <c r="N778" i="26"/>
  <c r="U778" i="26" s="1"/>
  <c r="N790" i="26"/>
  <c r="U790" i="26" s="1"/>
  <c r="N753" i="26"/>
  <c r="U753" i="26" s="1"/>
  <c r="N751" i="26"/>
  <c r="U751" i="26" s="1"/>
  <c r="N766" i="26"/>
  <c r="U766" i="26" s="1"/>
  <c r="N754" i="26"/>
  <c r="U754" i="26" s="1"/>
  <c r="N763" i="26"/>
  <c r="U763" i="26" s="1"/>
  <c r="N767" i="26"/>
  <c r="U767" i="26" s="1"/>
  <c r="N757" i="26"/>
  <c r="U757" i="26" s="1"/>
  <c r="N786" i="26"/>
  <c r="U786" i="26" s="1"/>
  <c r="N793" i="26"/>
  <c r="U793" i="26" s="1"/>
  <c r="N747" i="26"/>
  <c r="U747" i="26" s="1"/>
  <c r="N764" i="26"/>
  <c r="U764" i="26" s="1"/>
  <c r="N745" i="26"/>
  <c r="U745" i="26" s="1"/>
  <c r="N755" i="26"/>
  <c r="U755" i="26" s="1"/>
  <c r="N787" i="26"/>
  <c r="U787" i="26" s="1"/>
  <c r="N791" i="26"/>
  <c r="U791" i="26" s="1"/>
  <c r="N782" i="26"/>
  <c r="U782" i="26" s="1"/>
  <c r="N779" i="26"/>
  <c r="U779" i="26" s="1"/>
  <c r="N773" i="26"/>
  <c r="U773" i="26" s="1"/>
  <c r="N768" i="26"/>
  <c r="U768" i="26" s="1"/>
  <c r="N749" i="26"/>
  <c r="U749" i="26" s="1"/>
  <c r="N769" i="26"/>
  <c r="U769" i="26" s="1"/>
  <c r="N796" i="26"/>
  <c r="U796" i="26" s="1"/>
  <c r="N770" i="26"/>
  <c r="U770" i="26" s="1"/>
  <c r="N750" i="26"/>
  <c r="U750" i="26" s="1"/>
  <c r="N788" i="26"/>
  <c r="U788" i="26" s="1"/>
  <c r="N792" i="26"/>
  <c r="U792" i="26" s="1"/>
  <c r="N772" i="26"/>
  <c r="U772" i="26" s="1"/>
  <c r="N777" i="26"/>
  <c r="U777" i="26" s="1"/>
  <c r="N789" i="26"/>
  <c r="U789" i="26" s="1"/>
  <c r="N785" i="26"/>
  <c r="U785" i="26" s="1"/>
  <c r="N760" i="26"/>
  <c r="U760" i="26" s="1"/>
  <c r="N761" i="26"/>
  <c r="U761" i="26" s="1"/>
  <c r="N774" i="26"/>
  <c r="U774" i="26" s="1"/>
  <c r="N762" i="26"/>
  <c r="U762" i="26" s="1"/>
  <c r="N781" i="26"/>
  <c r="U781" i="26" s="1"/>
  <c r="N780" i="26"/>
  <c r="U780" i="26" s="1"/>
  <c r="N746" i="26"/>
  <c r="U746" i="26" s="1"/>
  <c r="N794" i="26"/>
  <c r="U794" i="26" s="1"/>
  <c r="N795" i="26"/>
  <c r="U795" i="26" s="1"/>
  <c r="N775" i="26"/>
  <c r="U775" i="26" s="1"/>
  <c r="N783" i="26"/>
  <c r="U783" i="26" s="1"/>
  <c r="N784" i="26"/>
  <c r="U784" i="26" s="1"/>
  <c r="N758" i="26"/>
  <c r="U758" i="26" s="1"/>
  <c r="N776" i="26"/>
  <c r="U776" i="26" s="1"/>
  <c r="N759" i="26"/>
  <c r="U759" i="26" s="1"/>
  <c r="N756" i="26"/>
  <c r="U756" i="26" s="1"/>
  <c r="N771" i="26"/>
  <c r="U771" i="26" s="1"/>
  <c r="N748" i="26"/>
  <c r="U748" i="26" s="1"/>
  <c r="BS33" i="26"/>
  <c r="BQ33" i="26"/>
  <c r="BS177" i="26"/>
  <c r="BQ177" i="26"/>
  <c r="BS233" i="26"/>
  <c r="BQ233" i="26"/>
  <c r="BQ289" i="26"/>
  <c r="BS289" i="26"/>
  <c r="BQ345" i="26"/>
  <c r="BS345" i="26"/>
  <c r="BS409" i="26"/>
  <c r="BQ409" i="26"/>
  <c r="BS489" i="26"/>
  <c r="BQ489" i="26"/>
  <c r="BS561" i="26"/>
  <c r="BQ561" i="26"/>
  <c r="BQ609" i="26"/>
  <c r="BS609" i="26"/>
  <c r="BQ697" i="26"/>
  <c r="BS697" i="26"/>
  <c r="BQ753" i="26"/>
  <c r="BS753" i="26"/>
  <c r="BS18" i="26"/>
  <c r="BQ18" i="26"/>
  <c r="BQ74" i="26"/>
  <c r="BS74" i="26"/>
  <c r="BQ130" i="26"/>
  <c r="BS130" i="26"/>
  <c r="BQ218" i="26"/>
  <c r="BS218" i="26"/>
  <c r="BQ274" i="26"/>
  <c r="BS274" i="26"/>
  <c r="BQ306" i="26"/>
  <c r="BS306" i="26"/>
  <c r="BS410" i="26"/>
  <c r="BQ410" i="26"/>
  <c r="BQ458" i="26"/>
  <c r="BS458" i="26"/>
  <c r="BQ578" i="26"/>
  <c r="BS578" i="26"/>
  <c r="BQ658" i="26"/>
  <c r="BS658" i="26"/>
  <c r="BQ714" i="26"/>
  <c r="BS714" i="26"/>
  <c r="BQ786" i="26"/>
  <c r="BS786" i="26"/>
  <c r="BQ51" i="26"/>
  <c r="BS51" i="26"/>
  <c r="BS107" i="26"/>
  <c r="BQ107" i="26"/>
  <c r="BS203" i="26"/>
  <c r="BQ203" i="26"/>
  <c r="BQ259" i="26"/>
  <c r="BS259" i="26"/>
  <c r="BS355" i="26"/>
  <c r="BQ355" i="26"/>
  <c r="BQ411" i="26"/>
  <c r="BS411" i="26"/>
  <c r="BQ475" i="26"/>
  <c r="BS475" i="26"/>
  <c r="BS595" i="26"/>
  <c r="BQ595" i="26"/>
  <c r="BS659" i="26"/>
  <c r="BQ659" i="26"/>
  <c r="BS723" i="26"/>
  <c r="BQ723" i="26"/>
  <c r="BS14" i="26"/>
  <c r="BQ14" i="26"/>
  <c r="BQ22" i="26"/>
  <c r="BS22" i="26"/>
  <c r="BQ30" i="26"/>
  <c r="BS30" i="26"/>
  <c r="BQ38" i="26"/>
  <c r="BS38" i="26"/>
  <c r="BS46" i="26"/>
  <c r="BQ46" i="26"/>
  <c r="BS54" i="26"/>
  <c r="BQ54" i="26"/>
  <c r="BS62" i="26"/>
  <c r="BQ62" i="26"/>
  <c r="BQ70" i="26"/>
  <c r="BS70" i="26"/>
  <c r="BQ78" i="26"/>
  <c r="BS78" i="26"/>
  <c r="BQ86" i="26"/>
  <c r="BS86" i="26"/>
  <c r="BS94" i="26"/>
  <c r="BQ94" i="26"/>
  <c r="BS110" i="26"/>
  <c r="BQ110" i="26"/>
  <c r="BS118" i="26"/>
  <c r="BQ118" i="26"/>
  <c r="BQ126" i="26"/>
  <c r="BS126" i="26"/>
  <c r="BS142" i="26"/>
  <c r="BQ142" i="26"/>
  <c r="BS150" i="26"/>
  <c r="BQ150" i="26"/>
  <c r="BS158" i="26"/>
  <c r="BQ158" i="26"/>
  <c r="BQ166" i="26"/>
  <c r="BS166" i="26"/>
  <c r="BQ174" i="26"/>
  <c r="BS174" i="26"/>
  <c r="BQ182" i="26"/>
  <c r="BS182" i="26"/>
  <c r="BQ190" i="26"/>
  <c r="BS190" i="26"/>
  <c r="BS206" i="26"/>
  <c r="BQ206" i="26"/>
  <c r="BS214" i="26"/>
  <c r="BQ214" i="26"/>
  <c r="BS222" i="26"/>
  <c r="BQ222" i="26"/>
  <c r="BQ230" i="26"/>
  <c r="BS230" i="26"/>
  <c r="BS262" i="26"/>
  <c r="BQ262" i="26"/>
  <c r="BQ270" i="26"/>
  <c r="BS270" i="26"/>
  <c r="BS278" i="26"/>
  <c r="BQ278" i="26"/>
  <c r="BS286" i="26"/>
  <c r="BQ286" i="26"/>
  <c r="BQ302" i="26"/>
  <c r="BS302" i="26"/>
  <c r="BS310" i="26"/>
  <c r="BQ310" i="26"/>
  <c r="BS318" i="26"/>
  <c r="BQ318" i="26"/>
  <c r="BQ326" i="26"/>
  <c r="BS326" i="26"/>
  <c r="BS334" i="26"/>
  <c r="BQ334" i="26"/>
  <c r="BS342" i="26"/>
  <c r="BQ342" i="26"/>
  <c r="BQ350" i="26"/>
  <c r="BS350" i="26"/>
  <c r="BS358" i="26"/>
  <c r="BQ358" i="26"/>
  <c r="BQ366" i="26"/>
  <c r="BS366" i="26"/>
  <c r="BQ374" i="26"/>
  <c r="BS374" i="26"/>
  <c r="BS382" i="26"/>
  <c r="BQ382" i="26"/>
  <c r="BQ406" i="26"/>
  <c r="BS406" i="26"/>
  <c r="BS414" i="26"/>
  <c r="BQ414" i="26"/>
  <c r="BS438" i="26"/>
  <c r="BQ438" i="26"/>
  <c r="BQ446" i="26"/>
  <c r="BS446" i="26"/>
  <c r="BS454" i="26"/>
  <c r="BQ454" i="26"/>
  <c r="BS470" i="26"/>
  <c r="BQ470" i="26"/>
  <c r="BQ478" i="26"/>
  <c r="BS478" i="26"/>
  <c r="BS486" i="26"/>
  <c r="BQ486" i="26"/>
  <c r="BQ494" i="26"/>
  <c r="BS494" i="26"/>
  <c r="BQ502" i="26"/>
  <c r="BS502" i="26"/>
  <c r="BS518" i="26"/>
  <c r="BQ518" i="26"/>
  <c r="BQ526" i="26"/>
  <c r="BS526" i="26"/>
  <c r="BQ534" i="26"/>
  <c r="BS534" i="26"/>
  <c r="BQ566" i="26"/>
  <c r="BS566" i="26"/>
  <c r="BS574" i="26"/>
  <c r="BQ574" i="26"/>
  <c r="BQ582" i="26"/>
  <c r="BS582" i="26"/>
  <c r="BS590" i="26"/>
  <c r="BQ590" i="26"/>
  <c r="BQ598" i="26"/>
  <c r="BS598" i="26"/>
  <c r="BQ606" i="26"/>
  <c r="BS606" i="26"/>
  <c r="BQ614" i="26"/>
  <c r="BS614" i="26"/>
  <c r="BS630" i="26"/>
  <c r="BQ630" i="26"/>
  <c r="BS678" i="26"/>
  <c r="BQ678" i="26"/>
  <c r="BS694" i="26"/>
  <c r="BQ694" i="26"/>
  <c r="BQ702" i="26"/>
  <c r="BS702" i="26"/>
  <c r="BS710" i="26"/>
  <c r="BQ710" i="26"/>
  <c r="BQ718" i="26"/>
  <c r="BS718" i="26"/>
  <c r="BQ726" i="26"/>
  <c r="BS726" i="26"/>
  <c r="BQ734" i="26"/>
  <c r="BS734" i="26"/>
  <c r="BQ742" i="26"/>
  <c r="BS742" i="26"/>
  <c r="BS750" i="26"/>
  <c r="BQ750" i="26"/>
  <c r="BQ766" i="26"/>
  <c r="BS766" i="26"/>
  <c r="BS774" i="26"/>
  <c r="BQ774" i="26"/>
  <c r="BQ782" i="26"/>
  <c r="BS782" i="26"/>
  <c r="BS790" i="26"/>
  <c r="BQ790" i="26"/>
  <c r="Q10" i="26"/>
  <c r="X10" i="26" s="1"/>
  <c r="AE10" i="26" s="1"/>
  <c r="Q12" i="26"/>
  <c r="X12" i="26" s="1"/>
  <c r="AE12" i="26" s="1"/>
  <c r="Q13" i="26"/>
  <c r="X13" i="26" s="1"/>
  <c r="AE13" i="26" s="1"/>
  <c r="Q16" i="26"/>
  <c r="X16" i="26" s="1"/>
  <c r="AE16" i="26" s="1"/>
  <c r="Q9" i="26"/>
  <c r="X9" i="26" s="1"/>
  <c r="AE9" i="26" s="1"/>
  <c r="Q11" i="26"/>
  <c r="X11" i="26" s="1"/>
  <c r="AE11" i="26" s="1"/>
  <c r="Q14" i="26"/>
  <c r="X14" i="26" s="1"/>
  <c r="AE14" i="26" s="1"/>
  <c r="Q15" i="26"/>
  <c r="X15" i="26" s="1"/>
  <c r="AE15" i="26" s="1"/>
  <c r="Q17" i="26"/>
  <c r="X17" i="26" s="1"/>
  <c r="AE17" i="26" s="1"/>
  <c r="Q18" i="26"/>
  <c r="X18" i="26" s="1"/>
  <c r="AE18" i="26" s="1"/>
  <c r="Q43" i="26"/>
  <c r="X43" i="26" s="1"/>
  <c r="AE43" i="26" s="1"/>
  <c r="Q23" i="26"/>
  <c r="X23" i="26" s="1"/>
  <c r="AE23" i="26" s="1"/>
  <c r="Q125" i="26"/>
  <c r="X125" i="26" s="1"/>
  <c r="AE125" i="26" s="1"/>
  <c r="Q130" i="26"/>
  <c r="X130" i="26" s="1"/>
  <c r="AE130" i="26" s="1"/>
  <c r="Q120" i="26"/>
  <c r="X120" i="26" s="1"/>
  <c r="AE120" i="26" s="1"/>
  <c r="Q26" i="26"/>
  <c r="X26" i="26" s="1"/>
  <c r="AE26" i="26" s="1"/>
  <c r="Q58" i="26"/>
  <c r="X58" i="26" s="1"/>
  <c r="AE58" i="26" s="1"/>
  <c r="Q40" i="26"/>
  <c r="X40" i="26" s="1"/>
  <c r="AE40" i="26" s="1"/>
  <c r="Q45" i="26"/>
  <c r="X45" i="26" s="1"/>
  <c r="AE45" i="26" s="1"/>
  <c r="Q28" i="26"/>
  <c r="X28" i="26" s="1"/>
  <c r="AE28" i="26" s="1"/>
  <c r="Q116" i="26"/>
  <c r="X116" i="26" s="1"/>
  <c r="AE116" i="26" s="1"/>
  <c r="Q114" i="26"/>
  <c r="X114" i="26" s="1"/>
  <c r="AE114" i="26" s="1"/>
  <c r="Q127" i="26"/>
  <c r="X127" i="26" s="1"/>
  <c r="AE127" i="26" s="1"/>
  <c r="Q80" i="26"/>
  <c r="X80" i="26" s="1"/>
  <c r="AE80" i="26" s="1"/>
  <c r="Q60" i="26"/>
  <c r="X60" i="26" s="1"/>
  <c r="AE60" i="26" s="1"/>
  <c r="Q46" i="26"/>
  <c r="X46" i="26" s="1"/>
  <c r="AE46" i="26" s="1"/>
  <c r="Q29" i="26"/>
  <c r="X29" i="26" s="1"/>
  <c r="AE29" i="26" s="1"/>
  <c r="Q126" i="26"/>
  <c r="X126" i="26" s="1"/>
  <c r="AE126" i="26" s="1"/>
  <c r="Q132" i="26"/>
  <c r="X132" i="26" s="1"/>
  <c r="AE132" i="26" s="1"/>
  <c r="Q101" i="26"/>
  <c r="X101" i="26" s="1"/>
  <c r="AE101" i="26" s="1"/>
  <c r="Q81" i="26"/>
  <c r="X81" i="26" s="1"/>
  <c r="AE81" i="26" s="1"/>
  <c r="Q61" i="26"/>
  <c r="X61" i="26" s="1"/>
  <c r="AE61" i="26" s="1"/>
  <c r="Q47" i="26"/>
  <c r="X47" i="26" s="1"/>
  <c r="AE47" i="26" s="1"/>
  <c r="Q30" i="26"/>
  <c r="X30" i="26" s="1"/>
  <c r="AE30" i="26" s="1"/>
  <c r="Q115" i="26"/>
  <c r="X115" i="26" s="1"/>
  <c r="AE115" i="26" s="1"/>
  <c r="Q133" i="26"/>
  <c r="X133" i="26" s="1"/>
  <c r="AE133" i="26" s="1"/>
  <c r="Q52" i="26"/>
  <c r="X52" i="26" s="1"/>
  <c r="AE52" i="26" s="1"/>
  <c r="Q123" i="26"/>
  <c r="X123" i="26" s="1"/>
  <c r="AE123" i="26" s="1"/>
  <c r="Q134" i="26"/>
  <c r="X134" i="26" s="1"/>
  <c r="AE134" i="26" s="1"/>
  <c r="Q106" i="26"/>
  <c r="X106" i="26" s="1"/>
  <c r="AE106" i="26" s="1"/>
  <c r="Q89" i="26"/>
  <c r="X89" i="26" s="1"/>
  <c r="AE89" i="26" s="1"/>
  <c r="Q37" i="26"/>
  <c r="X37" i="26" s="1"/>
  <c r="AE37" i="26" s="1"/>
  <c r="Q54" i="26"/>
  <c r="X54" i="26" s="1"/>
  <c r="AE54" i="26" s="1"/>
  <c r="Q124" i="26"/>
  <c r="X124" i="26" s="1"/>
  <c r="AE124" i="26" s="1"/>
  <c r="Q135" i="26"/>
  <c r="X135" i="26" s="1"/>
  <c r="AE135" i="26" s="1"/>
  <c r="Q108" i="26"/>
  <c r="X108" i="26" s="1"/>
  <c r="AE108" i="26" s="1"/>
  <c r="Q55" i="26"/>
  <c r="X55" i="26" s="1"/>
  <c r="AE55" i="26" s="1"/>
  <c r="Q19" i="26"/>
  <c r="X19" i="26" s="1"/>
  <c r="AE19" i="26" s="1"/>
  <c r="Q128" i="26"/>
  <c r="X128" i="26" s="1"/>
  <c r="AE128" i="26" s="1"/>
  <c r="Q109" i="26"/>
  <c r="X109" i="26" s="1"/>
  <c r="AE109" i="26" s="1"/>
  <c r="Q73" i="26"/>
  <c r="X73" i="26" s="1"/>
  <c r="AE73" i="26" s="1"/>
  <c r="Q56" i="26"/>
  <c r="X56" i="26" s="1"/>
  <c r="AE56" i="26" s="1"/>
  <c r="Q20" i="26"/>
  <c r="X20" i="26" s="1"/>
  <c r="AE20" i="26" s="1"/>
  <c r="Q91" i="26"/>
  <c r="X91" i="26" s="1"/>
  <c r="AE91" i="26" s="1"/>
  <c r="Q110" i="26"/>
  <c r="X110" i="26" s="1"/>
  <c r="AE110" i="26" s="1"/>
  <c r="Q74" i="26"/>
  <c r="X74" i="26" s="1"/>
  <c r="AE74" i="26" s="1"/>
  <c r="Q57" i="26"/>
  <c r="X57" i="26" s="1"/>
  <c r="AE57" i="26" s="1"/>
  <c r="Q21" i="26"/>
  <c r="X21" i="26" s="1"/>
  <c r="AE21" i="26" s="1"/>
  <c r="Q92" i="26"/>
  <c r="X92" i="26" s="1"/>
  <c r="AE92" i="26" s="1"/>
  <c r="Q111" i="26"/>
  <c r="X111" i="26" s="1"/>
  <c r="AE111" i="26" s="1"/>
  <c r="Q75" i="26"/>
  <c r="X75" i="26" s="1"/>
  <c r="AE75" i="26" s="1"/>
  <c r="Q59" i="26"/>
  <c r="X59" i="26" s="1"/>
  <c r="AE59" i="26" s="1"/>
  <c r="Q39" i="26"/>
  <c r="X39" i="26" s="1"/>
  <c r="AE39" i="26" s="1"/>
  <c r="Q35" i="26"/>
  <c r="X35" i="26" s="1"/>
  <c r="AE35" i="26" s="1"/>
  <c r="Q25" i="26"/>
  <c r="X25" i="26" s="1"/>
  <c r="AE25" i="26" s="1"/>
  <c r="Q84" i="26"/>
  <c r="X84" i="26" s="1"/>
  <c r="AE84" i="26" s="1"/>
  <c r="Q72" i="26"/>
  <c r="X72" i="26" s="1"/>
  <c r="AE72" i="26" s="1"/>
  <c r="Q118" i="26"/>
  <c r="X118" i="26" s="1"/>
  <c r="AE118" i="26" s="1"/>
  <c r="Q36" i="26"/>
  <c r="X36" i="26" s="1"/>
  <c r="AE36" i="26" s="1"/>
  <c r="Q112" i="26"/>
  <c r="X112" i="26" s="1"/>
  <c r="AE112" i="26" s="1"/>
  <c r="Q85" i="26"/>
  <c r="X85" i="26" s="1"/>
  <c r="AE85" i="26" s="1"/>
  <c r="Q41" i="26"/>
  <c r="X41" i="26" s="1"/>
  <c r="AE41" i="26" s="1"/>
  <c r="Q8" i="26"/>
  <c r="X8" i="26" s="1"/>
  <c r="AE8" i="26" s="1"/>
  <c r="Q113" i="26"/>
  <c r="X113" i="26" s="1"/>
  <c r="AE113" i="26" s="1"/>
  <c r="Q86" i="26"/>
  <c r="X86" i="26" s="1"/>
  <c r="AE86" i="26" s="1"/>
  <c r="Q42" i="26"/>
  <c r="X42" i="26" s="1"/>
  <c r="AE42" i="26" s="1"/>
  <c r="Q122" i="26"/>
  <c r="X122" i="26" s="1"/>
  <c r="AE122" i="26" s="1"/>
  <c r="Q27" i="26"/>
  <c r="X27" i="26" s="1"/>
  <c r="AE27" i="26" s="1"/>
  <c r="Q87" i="26"/>
  <c r="X87" i="26" s="1"/>
  <c r="AE87" i="26" s="1"/>
  <c r="Q44" i="26"/>
  <c r="X44" i="26" s="1"/>
  <c r="AE44" i="26" s="1"/>
  <c r="Q117" i="26"/>
  <c r="X117" i="26" s="1"/>
  <c r="AE117" i="26" s="1"/>
  <c r="Q119" i="26"/>
  <c r="X119" i="26" s="1"/>
  <c r="AE119" i="26" s="1"/>
  <c r="Q88" i="26"/>
  <c r="X88" i="26" s="1"/>
  <c r="AE88" i="26" s="1"/>
  <c r="Q48" i="26"/>
  <c r="X48" i="26" s="1"/>
  <c r="AE48" i="26" s="1"/>
  <c r="Q93" i="26"/>
  <c r="X93" i="26" s="1"/>
  <c r="AE93" i="26" s="1"/>
  <c r="Q121" i="26"/>
  <c r="X121" i="26" s="1"/>
  <c r="AE121" i="26" s="1"/>
  <c r="Q90" i="26"/>
  <c r="X90" i="26" s="1"/>
  <c r="AE90" i="26" s="1"/>
  <c r="Q49" i="26"/>
  <c r="X49" i="26" s="1"/>
  <c r="AE49" i="26" s="1"/>
  <c r="Q94" i="26"/>
  <c r="X94" i="26" s="1"/>
  <c r="AE94" i="26" s="1"/>
  <c r="Q102" i="26"/>
  <c r="X102" i="26" s="1"/>
  <c r="AE102" i="26" s="1"/>
  <c r="Q62" i="26"/>
  <c r="X62" i="26" s="1"/>
  <c r="AE62" i="26" s="1"/>
  <c r="Q97" i="26"/>
  <c r="X97" i="26" s="1"/>
  <c r="AE97" i="26" s="1"/>
  <c r="Q63" i="26"/>
  <c r="X63" i="26" s="1"/>
  <c r="AE63" i="26" s="1"/>
  <c r="Q98" i="26"/>
  <c r="X98" i="26" s="1"/>
  <c r="AE98" i="26" s="1"/>
  <c r="Q64" i="26"/>
  <c r="X64" i="26" s="1"/>
  <c r="AE64" i="26" s="1"/>
  <c r="Q99" i="26"/>
  <c r="X99" i="26" s="1"/>
  <c r="AE99" i="26" s="1"/>
  <c r="Q65" i="26"/>
  <c r="X65" i="26" s="1"/>
  <c r="AE65" i="26" s="1"/>
  <c r="Q100" i="26"/>
  <c r="X100" i="26" s="1"/>
  <c r="AE100" i="26" s="1"/>
  <c r="Q66" i="26"/>
  <c r="X66" i="26" s="1"/>
  <c r="AE66" i="26" s="1"/>
  <c r="Q50" i="26"/>
  <c r="X50" i="26" s="1"/>
  <c r="AE50" i="26" s="1"/>
  <c r="Q131" i="26"/>
  <c r="X131" i="26" s="1"/>
  <c r="AE131" i="26" s="1"/>
  <c r="Q68" i="26"/>
  <c r="X68" i="26" s="1"/>
  <c r="AE68" i="26" s="1"/>
  <c r="Q34" i="26"/>
  <c r="X34" i="26" s="1"/>
  <c r="AE34" i="26" s="1"/>
  <c r="Q78" i="26"/>
  <c r="X78" i="26" s="1"/>
  <c r="AE78" i="26" s="1"/>
  <c r="Q95" i="26"/>
  <c r="X95" i="26" s="1"/>
  <c r="AE95" i="26" s="1"/>
  <c r="Q82" i="26"/>
  <c r="X82" i="26" s="1"/>
  <c r="AE82" i="26" s="1"/>
  <c r="Q96" i="26"/>
  <c r="X96" i="26" s="1"/>
  <c r="AE96" i="26" s="1"/>
  <c r="Q129" i="26"/>
  <c r="X129" i="26" s="1"/>
  <c r="AE129" i="26" s="1"/>
  <c r="Q79" i="26"/>
  <c r="X79" i="26" s="1"/>
  <c r="AE79" i="26" s="1"/>
  <c r="Q103" i="26"/>
  <c r="X103" i="26" s="1"/>
  <c r="AE103" i="26" s="1"/>
  <c r="Q104" i="26"/>
  <c r="X104" i="26" s="1"/>
  <c r="AE104" i="26" s="1"/>
  <c r="Q31" i="26"/>
  <c r="X31" i="26" s="1"/>
  <c r="AE31" i="26" s="1"/>
  <c r="Q71" i="26"/>
  <c r="X71" i="26" s="1"/>
  <c r="AE71" i="26" s="1"/>
  <c r="Q32" i="26"/>
  <c r="X32" i="26" s="1"/>
  <c r="AE32" i="26" s="1"/>
  <c r="Q107" i="26"/>
  <c r="X107" i="26" s="1"/>
  <c r="AE107" i="26" s="1"/>
  <c r="Q76" i="26"/>
  <c r="X76" i="26" s="1"/>
  <c r="AE76" i="26" s="1"/>
  <c r="Q77" i="26"/>
  <c r="X77" i="26" s="1"/>
  <c r="AE77" i="26" s="1"/>
  <c r="Q83" i="26"/>
  <c r="X83" i="26" s="1"/>
  <c r="AE83" i="26" s="1"/>
  <c r="Q67" i="26"/>
  <c r="X67" i="26" s="1"/>
  <c r="AE67" i="26" s="1"/>
  <c r="Q69" i="26"/>
  <c r="X69" i="26" s="1"/>
  <c r="AE69" i="26" s="1"/>
  <c r="Q70" i="26"/>
  <c r="X70" i="26" s="1"/>
  <c r="AE70" i="26" s="1"/>
  <c r="Q24" i="26"/>
  <c r="X24" i="26" s="1"/>
  <c r="AE24" i="26" s="1"/>
  <c r="Q38" i="26"/>
  <c r="X38" i="26" s="1"/>
  <c r="AE38" i="26" s="1"/>
  <c r="Q51" i="26"/>
  <c r="X51" i="26" s="1"/>
  <c r="AE51" i="26" s="1"/>
  <c r="Q53" i="26"/>
  <c r="X53" i="26" s="1"/>
  <c r="AE53" i="26" s="1"/>
  <c r="Q22" i="26"/>
  <c r="X22" i="26" s="1"/>
  <c r="AE22" i="26" s="1"/>
  <c r="Q33" i="26"/>
  <c r="X33" i="26" s="1"/>
  <c r="AE33" i="26" s="1"/>
  <c r="Q105" i="26"/>
  <c r="X105" i="26" s="1"/>
  <c r="AE105" i="26" s="1"/>
  <c r="Q331" i="26"/>
  <c r="X331" i="26" s="1"/>
  <c r="AE331" i="26" s="1"/>
  <c r="Q492" i="26"/>
  <c r="X492" i="26" s="1"/>
  <c r="AE492" i="26" s="1"/>
  <c r="Q410" i="26"/>
  <c r="X410" i="26" s="1"/>
  <c r="AE410" i="26" s="1"/>
  <c r="Q385" i="26"/>
  <c r="X385" i="26" s="1"/>
  <c r="AE385" i="26" s="1"/>
  <c r="Q697" i="26"/>
  <c r="X697" i="26" s="1"/>
  <c r="AE697" i="26" s="1"/>
  <c r="Q379" i="26"/>
  <c r="X379" i="26" s="1"/>
  <c r="AE379" i="26" s="1"/>
  <c r="Q494" i="26"/>
  <c r="X494" i="26" s="1"/>
  <c r="AE494" i="26" s="1"/>
  <c r="Q714" i="26"/>
  <c r="X714" i="26" s="1"/>
  <c r="AE714" i="26" s="1"/>
  <c r="Q687" i="26"/>
  <c r="X687" i="26" s="1"/>
  <c r="AE687" i="26" s="1"/>
  <c r="Q698" i="26"/>
  <c r="X698" i="26" s="1"/>
  <c r="AE698" i="26" s="1"/>
  <c r="Q259" i="26"/>
  <c r="X259" i="26" s="1"/>
  <c r="AE259" i="26" s="1"/>
  <c r="Q260" i="26"/>
  <c r="X260" i="26" s="1"/>
  <c r="AE260" i="26" s="1"/>
  <c r="Q655" i="26"/>
  <c r="X655" i="26" s="1"/>
  <c r="AE655" i="26" s="1"/>
  <c r="Q665" i="26"/>
  <c r="X665" i="26" s="1"/>
  <c r="AE665" i="26" s="1"/>
  <c r="Q638" i="26"/>
  <c r="X638" i="26" s="1"/>
  <c r="AE638" i="26" s="1"/>
  <c r="Q646" i="26"/>
  <c r="X646" i="26" s="1"/>
  <c r="AE646" i="26" s="1"/>
  <c r="Q550" i="26"/>
  <c r="X550" i="26" s="1"/>
  <c r="AE550" i="26" s="1"/>
  <c r="Q729" i="26"/>
  <c r="X729" i="26" s="1"/>
  <c r="AE729" i="26" s="1"/>
  <c r="Q460" i="26"/>
  <c r="X460" i="26" s="1"/>
  <c r="AE460" i="26" s="1"/>
  <c r="Q736" i="26"/>
  <c r="X736" i="26" s="1"/>
  <c r="AE736" i="26" s="1"/>
  <c r="Q337" i="26"/>
  <c r="X337" i="26" s="1"/>
  <c r="AE337" i="26" s="1"/>
  <c r="Q686" i="26"/>
  <c r="X686" i="26" s="1"/>
  <c r="AE686" i="26" s="1"/>
  <c r="Q406" i="26"/>
  <c r="X406" i="26" s="1"/>
  <c r="AE406" i="26" s="1"/>
  <c r="Q387" i="26"/>
  <c r="X387" i="26" s="1"/>
  <c r="AE387" i="26" s="1"/>
  <c r="Q682" i="26"/>
  <c r="X682" i="26" s="1"/>
  <c r="AE682" i="26" s="1"/>
  <c r="Q657" i="26"/>
  <c r="X657" i="26" s="1"/>
  <c r="AE657" i="26" s="1"/>
  <c r="Q286" i="26"/>
  <c r="X286" i="26" s="1"/>
  <c r="AE286" i="26" s="1"/>
  <c r="Q349" i="26"/>
  <c r="X349" i="26" s="1"/>
  <c r="AE349" i="26" s="1"/>
  <c r="Q357" i="26"/>
  <c r="X357" i="26" s="1"/>
  <c r="AE357" i="26" s="1"/>
  <c r="Q520" i="26"/>
  <c r="X520" i="26" s="1"/>
  <c r="AE520" i="26" s="1"/>
  <c r="Q307" i="26"/>
  <c r="X307" i="26" s="1"/>
  <c r="AE307" i="26" s="1"/>
  <c r="Q618" i="26"/>
  <c r="X618" i="26" s="1"/>
  <c r="AE618" i="26" s="1"/>
  <c r="Q333" i="26"/>
  <c r="X333" i="26" s="1"/>
  <c r="AE333" i="26" s="1"/>
  <c r="Q599" i="26"/>
  <c r="X599" i="26" s="1"/>
  <c r="AE599" i="26" s="1"/>
  <c r="Q605" i="26"/>
  <c r="X605" i="26" s="1"/>
  <c r="AE605" i="26" s="1"/>
  <c r="Q448" i="26"/>
  <c r="X448" i="26" s="1"/>
  <c r="AE448" i="26" s="1"/>
  <c r="Q583" i="26"/>
  <c r="X583" i="26" s="1"/>
  <c r="AE583" i="26" s="1"/>
  <c r="Q301" i="26"/>
  <c r="X301" i="26" s="1"/>
  <c r="AE301" i="26" s="1"/>
  <c r="Q594" i="26"/>
  <c r="X594" i="26" s="1"/>
  <c r="AE594" i="26" s="1"/>
  <c r="Q571" i="26"/>
  <c r="X571" i="26" s="1"/>
  <c r="AE571" i="26" s="1"/>
  <c r="Q544" i="26"/>
  <c r="X544" i="26" s="1"/>
  <c r="AE544" i="26" s="1"/>
  <c r="Q482" i="26"/>
  <c r="X482" i="26" s="1"/>
  <c r="AE482" i="26" s="1"/>
  <c r="Q528" i="26"/>
  <c r="X528" i="26" s="1"/>
  <c r="AE528" i="26" s="1"/>
  <c r="Q506" i="26"/>
  <c r="X506" i="26" s="1"/>
  <c r="AE506" i="26" s="1"/>
  <c r="Q734" i="26"/>
  <c r="X734" i="26" s="1"/>
  <c r="AE734" i="26" s="1"/>
  <c r="Q517" i="26"/>
  <c r="X517" i="26" s="1"/>
  <c r="AE517" i="26" s="1"/>
  <c r="Q471" i="26"/>
  <c r="X471" i="26" s="1"/>
  <c r="AE471" i="26" s="1"/>
  <c r="Q381" i="26"/>
  <c r="X381" i="26" s="1"/>
  <c r="AE381" i="26" s="1"/>
  <c r="Q369" i="26"/>
  <c r="X369" i="26" s="1"/>
  <c r="AE369" i="26" s="1"/>
  <c r="Q738" i="26"/>
  <c r="X738" i="26" s="1"/>
  <c r="AE738" i="26" s="1"/>
  <c r="Q411" i="26"/>
  <c r="X411" i="26" s="1"/>
  <c r="AE411" i="26" s="1"/>
  <c r="Q408" i="26"/>
  <c r="X408" i="26" s="1"/>
  <c r="AE408" i="26" s="1"/>
  <c r="Q699" i="26"/>
  <c r="X699" i="26" s="1"/>
  <c r="AE699" i="26" s="1"/>
  <c r="Q672" i="26"/>
  <c r="X672" i="26" s="1"/>
  <c r="AE672" i="26" s="1"/>
  <c r="Q683" i="26"/>
  <c r="X683" i="26" s="1"/>
  <c r="AE683" i="26" s="1"/>
  <c r="Q400" i="26"/>
  <c r="X400" i="26" s="1"/>
  <c r="AE400" i="26" s="1"/>
  <c r="Q398" i="26"/>
  <c r="X398" i="26" s="1"/>
  <c r="AE398" i="26" s="1"/>
  <c r="Q639" i="26"/>
  <c r="X639" i="26" s="1"/>
  <c r="AE639" i="26" s="1"/>
  <c r="Q614" i="26"/>
  <c r="X614" i="26" s="1"/>
  <c r="AE614" i="26" s="1"/>
  <c r="Q306" i="26"/>
  <c r="X306" i="26" s="1"/>
  <c r="AE306" i="26" s="1"/>
  <c r="Q266" i="26"/>
  <c r="X266" i="26" s="1"/>
  <c r="AE266" i="26" s="1"/>
  <c r="Q422" i="26"/>
  <c r="X422" i="26" s="1"/>
  <c r="AE422" i="26" s="1"/>
  <c r="Q420" i="26"/>
  <c r="X420" i="26" s="1"/>
  <c r="AE420" i="26" s="1"/>
  <c r="Q600" i="26"/>
  <c r="X600" i="26" s="1"/>
  <c r="AE600" i="26" s="1"/>
  <c r="Q730" i="26"/>
  <c r="X730" i="26" s="1"/>
  <c r="AE730" i="26" s="1"/>
  <c r="Q447" i="26"/>
  <c r="X447" i="26" s="1"/>
  <c r="AE447" i="26" s="1"/>
  <c r="Q444" i="26"/>
  <c r="X444" i="26" s="1"/>
  <c r="AE444" i="26" s="1"/>
  <c r="Q589" i="26"/>
  <c r="X589" i="26" s="1"/>
  <c r="AE589" i="26" s="1"/>
  <c r="Q559" i="26"/>
  <c r="X559" i="26" s="1"/>
  <c r="AE559" i="26" s="1"/>
  <c r="Q572" i="26"/>
  <c r="X572" i="26" s="1"/>
  <c r="AE572" i="26" s="1"/>
  <c r="Q545" i="26"/>
  <c r="X545" i="26" s="1"/>
  <c r="AE545" i="26" s="1"/>
  <c r="Q351" i="26"/>
  <c r="X351" i="26" s="1"/>
  <c r="AE351" i="26" s="1"/>
  <c r="Q529" i="26"/>
  <c r="X529" i="26" s="1"/>
  <c r="AE529" i="26" s="1"/>
  <c r="Q507" i="26"/>
  <c r="X507" i="26" s="1"/>
  <c r="AE507" i="26" s="1"/>
  <c r="Q737" i="26"/>
  <c r="X737" i="26" s="1"/>
  <c r="AE737" i="26" s="1"/>
  <c r="Q284" i="26"/>
  <c r="X284" i="26" s="1"/>
  <c r="AE284" i="26" s="1"/>
  <c r="Q472" i="26"/>
  <c r="X472" i="26" s="1"/>
  <c r="AE472" i="26" s="1"/>
  <c r="Q303" i="26"/>
  <c r="X303" i="26" s="1"/>
  <c r="AE303" i="26" s="1"/>
  <c r="Q276" i="26"/>
  <c r="X276" i="26" s="1"/>
  <c r="AE276" i="26" s="1"/>
  <c r="Q298" i="26"/>
  <c r="X298" i="26" s="1"/>
  <c r="AE298" i="26" s="1"/>
  <c r="Q256" i="26"/>
  <c r="X256" i="26" s="1"/>
  <c r="AE256" i="26" s="1"/>
  <c r="Q354" i="26"/>
  <c r="X354" i="26" s="1"/>
  <c r="AE354" i="26" s="1"/>
  <c r="Q700" i="26"/>
  <c r="X700" i="26" s="1"/>
  <c r="AE700" i="26" s="1"/>
  <c r="Q404" i="26"/>
  <c r="X404" i="26" s="1"/>
  <c r="AE404" i="26" s="1"/>
  <c r="Q297" i="26"/>
  <c r="X297" i="26" s="1"/>
  <c r="AE297" i="26" s="1"/>
  <c r="Q295" i="26"/>
  <c r="X295" i="26" s="1"/>
  <c r="AE295" i="26" s="1"/>
  <c r="Q632" i="26"/>
  <c r="X632" i="26" s="1"/>
  <c r="AE632" i="26" s="1"/>
  <c r="Q640" i="26"/>
  <c r="X640" i="26" s="1"/>
  <c r="AE640" i="26" s="1"/>
  <c r="Q615" i="26"/>
  <c r="X615" i="26" s="1"/>
  <c r="AE615" i="26" s="1"/>
  <c r="Q521" i="26"/>
  <c r="X521" i="26" s="1"/>
  <c r="AE521" i="26" s="1"/>
  <c r="Q267" i="26"/>
  <c r="X267" i="26" s="1"/>
  <c r="AE267" i="26" s="1"/>
  <c r="Q619" i="26"/>
  <c r="X619" i="26" s="1"/>
  <c r="AE619" i="26" s="1"/>
  <c r="Q389" i="26"/>
  <c r="X389" i="26" s="1"/>
  <c r="AE389" i="26" s="1"/>
  <c r="Q384" i="26"/>
  <c r="X384" i="26" s="1"/>
  <c r="AE384" i="26" s="1"/>
  <c r="Q606" i="26"/>
  <c r="X606" i="26" s="1"/>
  <c r="AE606" i="26" s="1"/>
  <c r="Q308" i="26"/>
  <c r="X308" i="26" s="1"/>
  <c r="AE308" i="26" s="1"/>
  <c r="Q707" i="26"/>
  <c r="X707" i="26" s="1"/>
  <c r="AE707" i="26" s="1"/>
  <c r="Q348" i="26"/>
  <c r="X348" i="26" s="1"/>
  <c r="AE348" i="26" s="1"/>
  <c r="Q560" i="26"/>
  <c r="X560" i="26" s="1"/>
  <c r="AE560" i="26" s="1"/>
  <c r="Q437" i="26"/>
  <c r="X437" i="26" s="1"/>
  <c r="AE437" i="26" s="1"/>
  <c r="Q434" i="26"/>
  <c r="X434" i="26" s="1"/>
  <c r="AE434" i="26" s="1"/>
  <c r="Q468" i="26"/>
  <c r="X468" i="26" s="1"/>
  <c r="AE468" i="26" s="1"/>
  <c r="Q530" i="26"/>
  <c r="X530" i="26" s="1"/>
  <c r="AE530" i="26" s="1"/>
  <c r="Q508" i="26"/>
  <c r="X508" i="26" s="1"/>
  <c r="AE508" i="26" s="1"/>
  <c r="Q703" i="26"/>
  <c r="X703" i="26" s="1"/>
  <c r="AE703" i="26" s="1"/>
  <c r="Q491" i="26"/>
  <c r="X491" i="26" s="1"/>
  <c r="AE491" i="26" s="1"/>
  <c r="Q514" i="26"/>
  <c r="X514" i="26" s="1"/>
  <c r="AE514" i="26" s="1"/>
  <c r="Q278" i="26"/>
  <c r="X278" i="26" s="1"/>
  <c r="AE278" i="26" s="1"/>
  <c r="Q328" i="26"/>
  <c r="X328" i="26" s="1"/>
  <c r="AE328" i="26" s="1"/>
  <c r="Q390" i="26"/>
  <c r="X390" i="26" s="1"/>
  <c r="AE390" i="26" s="1"/>
  <c r="Q712" i="26"/>
  <c r="X712" i="26" s="1"/>
  <c r="AE712" i="26" s="1"/>
  <c r="Q289" i="26"/>
  <c r="X289" i="26" s="1"/>
  <c r="AE289" i="26" s="1"/>
  <c r="Q701" i="26"/>
  <c r="X701" i="26" s="1"/>
  <c r="AE701" i="26" s="1"/>
  <c r="Q673" i="26"/>
  <c r="X673" i="26" s="1"/>
  <c r="AE673" i="26" s="1"/>
  <c r="Q339" i="26"/>
  <c r="X339" i="26" s="1"/>
  <c r="AE339" i="26" s="1"/>
  <c r="Q658" i="26"/>
  <c r="X658" i="26" s="1"/>
  <c r="AE658" i="26" s="1"/>
  <c r="Q633" i="26"/>
  <c r="X633" i="26" s="1"/>
  <c r="AE633" i="26" s="1"/>
  <c r="Q430" i="26"/>
  <c r="X430" i="26" s="1"/>
  <c r="AE430" i="26" s="1"/>
  <c r="Q616" i="26"/>
  <c r="X616" i="26" s="1"/>
  <c r="AE616" i="26" s="1"/>
  <c r="Q344" i="26"/>
  <c r="X344" i="26" s="1"/>
  <c r="AE344" i="26" s="1"/>
  <c r="Q271" i="26"/>
  <c r="X271" i="26" s="1"/>
  <c r="AE271" i="26" s="1"/>
  <c r="Q620" i="26"/>
  <c r="X620" i="26" s="1"/>
  <c r="AE620" i="26" s="1"/>
  <c r="Q629" i="26"/>
  <c r="X629" i="26" s="1"/>
  <c r="AE629" i="26" s="1"/>
  <c r="Q724" i="26"/>
  <c r="X724" i="26" s="1"/>
  <c r="AE724" i="26" s="1"/>
  <c r="Q731" i="26"/>
  <c r="X731" i="26" s="1"/>
  <c r="AE731" i="26" s="1"/>
  <c r="Q446" i="26"/>
  <c r="X446" i="26" s="1"/>
  <c r="AE446" i="26" s="1"/>
  <c r="Q708" i="26"/>
  <c r="X708" i="26" s="1"/>
  <c r="AE708" i="26" s="1"/>
  <c r="Q441" i="26"/>
  <c r="X441" i="26" s="1"/>
  <c r="AE441" i="26" s="1"/>
  <c r="Q561" i="26"/>
  <c r="X561" i="26" s="1"/>
  <c r="AE561" i="26" s="1"/>
  <c r="Q436" i="26"/>
  <c r="X436" i="26" s="1"/>
  <c r="AE436" i="26" s="1"/>
  <c r="Q548" i="26"/>
  <c r="X548" i="26" s="1"/>
  <c r="AE548" i="26" s="1"/>
  <c r="Q740" i="26"/>
  <c r="X740" i="26" s="1"/>
  <c r="AE740" i="26" s="1"/>
  <c r="Q325" i="26"/>
  <c r="X325" i="26" s="1"/>
  <c r="AE325" i="26" s="1"/>
  <c r="Q452" i="26"/>
  <c r="X452" i="26" s="1"/>
  <c r="AE452" i="26" s="1"/>
  <c r="Q704" i="26"/>
  <c r="X704" i="26" s="1"/>
  <c r="AE704" i="26" s="1"/>
  <c r="Q280" i="26"/>
  <c r="X280" i="26" s="1"/>
  <c r="AE280" i="26" s="1"/>
  <c r="Q364" i="26"/>
  <c r="X364" i="26" s="1"/>
  <c r="AE364" i="26" s="1"/>
  <c r="Q300" i="26"/>
  <c r="X300" i="26" s="1"/>
  <c r="AE300" i="26" s="1"/>
  <c r="Q290" i="26"/>
  <c r="X290" i="26" s="1"/>
  <c r="AE290" i="26" s="1"/>
  <c r="Q413" i="26"/>
  <c r="X413" i="26" s="1"/>
  <c r="AE413" i="26" s="1"/>
  <c r="Q713" i="26"/>
  <c r="X713" i="26" s="1"/>
  <c r="AE713" i="26" s="1"/>
  <c r="Q257" i="26"/>
  <c r="X257" i="26" s="1"/>
  <c r="AE257" i="26" s="1"/>
  <c r="Q702" i="26"/>
  <c r="X702" i="26" s="1"/>
  <c r="AE702" i="26" s="1"/>
  <c r="Q302" i="26"/>
  <c r="X302" i="26" s="1"/>
  <c r="AE302" i="26" s="1"/>
  <c r="Q684" i="26"/>
  <c r="X684" i="26" s="1"/>
  <c r="AE684" i="26" s="1"/>
  <c r="Q399" i="26"/>
  <c r="X399" i="26" s="1"/>
  <c r="AE399" i="26" s="1"/>
  <c r="Q634" i="26"/>
  <c r="X634" i="26" s="1"/>
  <c r="AE634" i="26" s="1"/>
  <c r="Q641" i="26"/>
  <c r="X641" i="26" s="1"/>
  <c r="AE641" i="26" s="1"/>
  <c r="Q265" i="26"/>
  <c r="X265" i="26" s="1"/>
  <c r="AE265" i="26" s="1"/>
  <c r="Q294" i="26"/>
  <c r="X294" i="26" s="1"/>
  <c r="AE294" i="26" s="1"/>
  <c r="Q425" i="26"/>
  <c r="X425" i="26" s="1"/>
  <c r="AE425" i="26" s="1"/>
  <c r="Q299" i="26"/>
  <c r="X299" i="26" s="1"/>
  <c r="AE299" i="26" s="1"/>
  <c r="Q419" i="26"/>
  <c r="X419" i="26" s="1"/>
  <c r="AE419" i="26" s="1"/>
  <c r="Q416" i="26"/>
  <c r="X416" i="26" s="1"/>
  <c r="AE416" i="26" s="1"/>
  <c r="Q293" i="26"/>
  <c r="X293" i="26" s="1"/>
  <c r="AE293" i="26" s="1"/>
  <c r="Q611" i="26"/>
  <c r="X611" i="26" s="1"/>
  <c r="AE611" i="26" s="1"/>
  <c r="Q709" i="26"/>
  <c r="X709" i="26" s="1"/>
  <c r="AE709" i="26" s="1"/>
  <c r="Q453" i="26"/>
  <c r="X453" i="26" s="1"/>
  <c r="AE453" i="26" s="1"/>
  <c r="Q359" i="26"/>
  <c r="X359" i="26" s="1"/>
  <c r="AE359" i="26" s="1"/>
  <c r="Q396" i="26"/>
  <c r="X396" i="26" s="1"/>
  <c r="AE396" i="26" s="1"/>
  <c r="Q383" i="26"/>
  <c r="X383" i="26" s="1"/>
  <c r="AE383" i="26" s="1"/>
  <c r="Q484" i="26"/>
  <c r="X484" i="26" s="1"/>
  <c r="AE484" i="26" s="1"/>
  <c r="Q531" i="26"/>
  <c r="X531" i="26" s="1"/>
  <c r="AE531" i="26" s="1"/>
  <c r="Q451" i="26"/>
  <c r="X451" i="26" s="1"/>
  <c r="AE451" i="26" s="1"/>
  <c r="Q495" i="26"/>
  <c r="X495" i="26" s="1"/>
  <c r="AE495" i="26" s="1"/>
  <c r="Q326" i="26"/>
  <c r="X326" i="26" s="1"/>
  <c r="AE326" i="26" s="1"/>
  <c r="Q513" i="26"/>
  <c r="X513" i="26" s="1"/>
  <c r="AE513" i="26" s="1"/>
  <c r="Q338" i="26"/>
  <c r="X338" i="26" s="1"/>
  <c r="AE338" i="26" s="1"/>
  <c r="Q254" i="26"/>
  <c r="X254" i="26" s="1"/>
  <c r="AE254" i="26" s="1"/>
  <c r="Q706" i="26"/>
  <c r="X706" i="26" s="1"/>
  <c r="AE706" i="26" s="1"/>
  <c r="Q353" i="26"/>
  <c r="X353" i="26" s="1"/>
  <c r="AE353" i="26" s="1"/>
  <c r="Q688" i="26"/>
  <c r="X688" i="26" s="1"/>
  <c r="AE688" i="26" s="1"/>
  <c r="Q667" i="26"/>
  <c r="X667" i="26" s="1"/>
  <c r="AE667" i="26" s="1"/>
  <c r="Q376" i="26"/>
  <c r="X376" i="26" s="1"/>
  <c r="AE376" i="26" s="1"/>
  <c r="Q402" i="26"/>
  <c r="X402" i="26" s="1"/>
  <c r="AE402" i="26" s="1"/>
  <c r="Q659" i="26"/>
  <c r="X659" i="26" s="1"/>
  <c r="AE659" i="26" s="1"/>
  <c r="Q635" i="26"/>
  <c r="X635" i="26" s="1"/>
  <c r="AE635" i="26" s="1"/>
  <c r="Q642" i="26"/>
  <c r="X642" i="26" s="1"/>
  <c r="AE642" i="26" s="1"/>
  <c r="Q617" i="26"/>
  <c r="X617" i="26" s="1"/>
  <c r="AE617" i="26" s="1"/>
  <c r="Q487" i="26"/>
  <c r="X487" i="26" s="1"/>
  <c r="AE487" i="26" s="1"/>
  <c r="Q741" i="26"/>
  <c r="X741" i="26" s="1"/>
  <c r="AE741" i="26" s="1"/>
  <c r="Q621" i="26"/>
  <c r="X621" i="26" s="1"/>
  <c r="AE621" i="26" s="1"/>
  <c r="Q630" i="26"/>
  <c r="X630" i="26" s="1"/>
  <c r="AE630" i="26" s="1"/>
  <c r="Q725" i="26"/>
  <c r="X725" i="26" s="1"/>
  <c r="AE725" i="26" s="1"/>
  <c r="Q732" i="26"/>
  <c r="X732" i="26" s="1"/>
  <c r="AE732" i="26" s="1"/>
  <c r="Q612" i="26"/>
  <c r="X612" i="26" s="1"/>
  <c r="AE612" i="26" s="1"/>
  <c r="Q584" i="26"/>
  <c r="X584" i="26" s="1"/>
  <c r="AE584" i="26" s="1"/>
  <c r="Q590" i="26"/>
  <c r="X590" i="26" s="1"/>
  <c r="AE590" i="26" s="1"/>
  <c r="Q562" i="26"/>
  <c r="X562" i="26" s="1"/>
  <c r="AE562" i="26" s="1"/>
  <c r="Q573" i="26"/>
  <c r="X573" i="26" s="1"/>
  <c r="AE573" i="26" s="1"/>
  <c r="Q551" i="26"/>
  <c r="X551" i="26" s="1"/>
  <c r="AE551" i="26" s="1"/>
  <c r="Q464" i="26"/>
  <c r="X464" i="26" s="1"/>
  <c r="AE464" i="26" s="1"/>
  <c r="Q532" i="26"/>
  <c r="X532" i="26" s="1"/>
  <c r="AE532" i="26" s="1"/>
  <c r="Q316" i="26"/>
  <c r="X316" i="26" s="1"/>
  <c r="AE316" i="26" s="1"/>
  <c r="Q251" i="26"/>
  <c r="X251" i="26" s="1"/>
  <c r="AE251" i="26" s="1"/>
  <c r="Q516" i="26"/>
  <c r="X516" i="26" s="1"/>
  <c r="AE516" i="26" s="1"/>
  <c r="Q320" i="26"/>
  <c r="X320" i="26" s="1"/>
  <c r="AE320" i="26" s="1"/>
  <c r="Q511" i="26"/>
  <c r="X511" i="26" s="1"/>
  <c r="AE511" i="26" s="1"/>
  <c r="Q329" i="26"/>
  <c r="X329" i="26" s="1"/>
  <c r="AE329" i="26" s="1"/>
  <c r="Q412" i="26"/>
  <c r="X412" i="26" s="1"/>
  <c r="AE412" i="26" s="1"/>
  <c r="Q296" i="26"/>
  <c r="X296" i="26" s="1"/>
  <c r="AE296" i="26" s="1"/>
  <c r="Q689" i="26"/>
  <c r="X689" i="26" s="1"/>
  <c r="AE689" i="26" s="1"/>
  <c r="Q391" i="26"/>
  <c r="X391" i="26" s="1"/>
  <c r="AE391" i="26" s="1"/>
  <c r="Q674" i="26"/>
  <c r="X674" i="26" s="1"/>
  <c r="AE674" i="26" s="1"/>
  <c r="Q649" i="26"/>
  <c r="X649" i="26" s="1"/>
  <c r="AE649" i="26" s="1"/>
  <c r="Q335" i="26"/>
  <c r="X335" i="26" s="1"/>
  <c r="AE335" i="26" s="1"/>
  <c r="Q263" i="26"/>
  <c r="X263" i="26" s="1"/>
  <c r="AE263" i="26" s="1"/>
  <c r="Q643" i="26"/>
  <c r="X643" i="26" s="1"/>
  <c r="AE643" i="26" s="1"/>
  <c r="Q546" i="26"/>
  <c r="X546" i="26" s="1"/>
  <c r="AE546" i="26" s="1"/>
  <c r="Q488" i="26"/>
  <c r="X488" i="26" s="1"/>
  <c r="AE488" i="26" s="1"/>
  <c r="Q742" i="26"/>
  <c r="X742" i="26" s="1"/>
  <c r="AE742" i="26" s="1"/>
  <c r="Q622" i="26"/>
  <c r="X622" i="26" s="1"/>
  <c r="AE622" i="26" s="1"/>
  <c r="Q270" i="26"/>
  <c r="X270" i="26" s="1"/>
  <c r="AE270" i="26" s="1"/>
  <c r="Q601" i="26"/>
  <c r="X601" i="26" s="1"/>
  <c r="AE601" i="26" s="1"/>
  <c r="Q607" i="26"/>
  <c r="X607" i="26" s="1"/>
  <c r="AE607" i="26" s="1"/>
  <c r="Q577" i="26"/>
  <c r="X577" i="26" s="1"/>
  <c r="AE577" i="26" s="1"/>
  <c r="Q443" i="26"/>
  <c r="X443" i="26" s="1"/>
  <c r="AE443" i="26" s="1"/>
  <c r="Q591" i="26"/>
  <c r="X591" i="26" s="1"/>
  <c r="AE591" i="26" s="1"/>
  <c r="Q563" i="26"/>
  <c r="X563" i="26" s="1"/>
  <c r="AE563" i="26" s="1"/>
  <c r="Q574" i="26"/>
  <c r="X574" i="26" s="1"/>
  <c r="AE574" i="26" s="1"/>
  <c r="Q726" i="26"/>
  <c r="X726" i="26" s="1"/>
  <c r="AE726" i="26" s="1"/>
  <c r="Q486" i="26"/>
  <c r="X486" i="26" s="1"/>
  <c r="AE486" i="26" s="1"/>
  <c r="Q720" i="26"/>
  <c r="X720" i="26" s="1"/>
  <c r="AE720" i="26" s="1"/>
  <c r="Q304" i="26"/>
  <c r="X304" i="26" s="1"/>
  <c r="AE304" i="26" s="1"/>
  <c r="Q405" i="26"/>
  <c r="X405" i="26" s="1"/>
  <c r="AE405" i="26" s="1"/>
  <c r="Q679" i="26"/>
  <c r="X679" i="26" s="1"/>
  <c r="AE679" i="26" s="1"/>
  <c r="Q654" i="26"/>
  <c r="X654" i="26" s="1"/>
  <c r="AE654" i="26" s="1"/>
  <c r="Q262" i="26"/>
  <c r="X262" i="26" s="1"/>
  <c r="AE262" i="26" s="1"/>
  <c r="Q283" i="26"/>
  <c r="X283" i="26" s="1"/>
  <c r="AE283" i="26" s="1"/>
  <c r="Q648" i="26"/>
  <c r="X648" i="26" s="1"/>
  <c r="AE648" i="26" s="1"/>
  <c r="Q374" i="26"/>
  <c r="X374" i="26" s="1"/>
  <c r="AE374" i="26" s="1"/>
  <c r="Q474" i="26"/>
  <c r="X474" i="26" s="1"/>
  <c r="AE474" i="26" s="1"/>
  <c r="Q480" i="26"/>
  <c r="X480" i="26" s="1"/>
  <c r="AE480" i="26" s="1"/>
  <c r="Q626" i="26"/>
  <c r="X626" i="26" s="1"/>
  <c r="AE626" i="26" s="1"/>
  <c r="Q418" i="26"/>
  <c r="X418" i="26" s="1"/>
  <c r="AE418" i="26" s="1"/>
  <c r="Q393" i="26"/>
  <c r="X393" i="26" s="1"/>
  <c r="AE393" i="26" s="1"/>
  <c r="Q609" i="26"/>
  <c r="X609" i="26" s="1"/>
  <c r="AE609" i="26" s="1"/>
  <c r="Q581" i="26"/>
  <c r="X581" i="26" s="1"/>
  <c r="AE581" i="26" s="1"/>
  <c r="Q587" i="26"/>
  <c r="X587" i="26" s="1"/>
  <c r="AE587" i="26" s="1"/>
  <c r="Q439" i="26"/>
  <c r="X439" i="26" s="1"/>
  <c r="AE439" i="26" s="1"/>
  <c r="Q395" i="26"/>
  <c r="X395" i="26" s="1"/>
  <c r="AE395" i="26" s="1"/>
  <c r="Q542" i="26"/>
  <c r="X542" i="26" s="1"/>
  <c r="AE542" i="26" s="1"/>
  <c r="Q361" i="26"/>
  <c r="X361" i="26" s="1"/>
  <c r="AE361" i="26" s="1"/>
  <c r="Q527" i="26"/>
  <c r="X527" i="26" s="1"/>
  <c r="AE527" i="26" s="1"/>
  <c r="Q459" i="26"/>
  <c r="X459" i="26" s="1"/>
  <c r="AE459" i="26" s="1"/>
  <c r="Q473" i="26"/>
  <c r="X473" i="26" s="1"/>
  <c r="AE473" i="26" s="1"/>
  <c r="Q518" i="26"/>
  <c r="X518" i="26" s="1"/>
  <c r="AE518" i="26" s="1"/>
  <c r="Q288" i="26"/>
  <c r="X288" i="26" s="1"/>
  <c r="AE288" i="26" s="1"/>
  <c r="Q367" i="26"/>
  <c r="X367" i="26" s="1"/>
  <c r="AE367" i="26" s="1"/>
  <c r="Q461" i="26"/>
  <c r="X461" i="26" s="1"/>
  <c r="AE461" i="26" s="1"/>
  <c r="Q496" i="26"/>
  <c r="X496" i="26" s="1"/>
  <c r="AE496" i="26" s="1"/>
  <c r="Q407" i="26"/>
  <c r="X407" i="26" s="1"/>
  <c r="AE407" i="26" s="1"/>
  <c r="Q675" i="26"/>
  <c r="X675" i="26" s="1"/>
  <c r="AE675" i="26" s="1"/>
  <c r="Q661" i="26"/>
  <c r="X661" i="26" s="1"/>
  <c r="AE661" i="26" s="1"/>
  <c r="Q645" i="26"/>
  <c r="X645" i="26" s="1"/>
  <c r="AE645" i="26" s="1"/>
  <c r="Q427" i="26"/>
  <c r="X427" i="26" s="1"/>
  <c r="AE427" i="26" s="1"/>
  <c r="Q623" i="26"/>
  <c r="X623" i="26" s="1"/>
  <c r="AE623" i="26" s="1"/>
  <c r="Q311" i="26"/>
  <c r="X311" i="26" s="1"/>
  <c r="AE311" i="26" s="1"/>
  <c r="Q579" i="26"/>
  <c r="X579" i="26" s="1"/>
  <c r="AE579" i="26" s="1"/>
  <c r="Q456" i="26"/>
  <c r="X456" i="26" s="1"/>
  <c r="AE456" i="26" s="1"/>
  <c r="Q576" i="26"/>
  <c r="X576" i="26" s="1"/>
  <c r="AE576" i="26" s="1"/>
  <c r="Q523" i="26"/>
  <c r="X523" i="26" s="1"/>
  <c r="AE523" i="26" s="1"/>
  <c r="Q540" i="26"/>
  <c r="X540" i="26" s="1"/>
  <c r="AE540" i="26" s="1"/>
  <c r="Q519" i="26"/>
  <c r="X519" i="26" s="1"/>
  <c r="AE519" i="26" s="1"/>
  <c r="Q327" i="26"/>
  <c r="X327" i="26" s="1"/>
  <c r="AE327" i="26" s="1"/>
  <c r="Q330" i="26"/>
  <c r="X330" i="26" s="1"/>
  <c r="AE330" i="26" s="1"/>
  <c r="Q637" i="26"/>
  <c r="X637" i="26" s="1"/>
  <c r="AE637" i="26" s="1"/>
  <c r="Q317" i="26"/>
  <c r="X317" i="26" s="1"/>
  <c r="AE317" i="26" s="1"/>
  <c r="Q499" i="26"/>
  <c r="X499" i="26" s="1"/>
  <c r="AE499" i="26" s="1"/>
  <c r="Q691" i="26"/>
  <c r="X691" i="26" s="1"/>
  <c r="AE691" i="26" s="1"/>
  <c r="Q403" i="26"/>
  <c r="X403" i="26" s="1"/>
  <c r="AE403" i="26" s="1"/>
  <c r="Q662" i="26"/>
  <c r="X662" i="26" s="1"/>
  <c r="AE662" i="26" s="1"/>
  <c r="Q264" i="26"/>
  <c r="X264" i="26" s="1"/>
  <c r="AE264" i="26" s="1"/>
  <c r="Q497" i="26"/>
  <c r="X497" i="26" s="1"/>
  <c r="AE497" i="26" s="1"/>
  <c r="Q624" i="26"/>
  <c r="X624" i="26" s="1"/>
  <c r="AE624" i="26" s="1"/>
  <c r="Q602" i="26"/>
  <c r="X602" i="26" s="1"/>
  <c r="AE602" i="26" s="1"/>
  <c r="Q386" i="26"/>
  <c r="X386" i="26" s="1"/>
  <c r="AE386" i="26" s="1"/>
  <c r="Q440" i="26"/>
  <c r="X440" i="26" s="1"/>
  <c r="AE440" i="26" s="1"/>
  <c r="Q360" i="26"/>
  <c r="X360" i="26" s="1"/>
  <c r="AE360" i="26" s="1"/>
  <c r="Q524" i="26"/>
  <c r="X524" i="26" s="1"/>
  <c r="AE524" i="26" s="1"/>
  <c r="Q505" i="26"/>
  <c r="X505" i="26" s="1"/>
  <c r="AE505" i="26" s="1"/>
  <c r="Q382" i="26"/>
  <c r="X382" i="26" s="1"/>
  <c r="AE382" i="26" s="1"/>
  <c r="Q253" i="26"/>
  <c r="X253" i="26" s="1"/>
  <c r="AE253" i="26" s="1"/>
  <c r="Q352" i="26"/>
  <c r="X352" i="26" s="1"/>
  <c r="AE352" i="26" s="1"/>
  <c r="Q717" i="26"/>
  <c r="X717" i="26" s="1"/>
  <c r="AE717" i="26" s="1"/>
  <c r="Q595" i="26"/>
  <c r="X595" i="26" s="1"/>
  <c r="AE595" i="26" s="1"/>
  <c r="Q503" i="26"/>
  <c r="X503" i="26" s="1"/>
  <c r="AE503" i="26" s="1"/>
  <c r="Q500" i="26"/>
  <c r="X500" i="26" s="1"/>
  <c r="AE500" i="26" s="1"/>
  <c r="Q692" i="26"/>
  <c r="X692" i="26" s="1"/>
  <c r="AE692" i="26" s="1"/>
  <c r="Q676" i="26"/>
  <c r="X676" i="26" s="1"/>
  <c r="AE676" i="26" s="1"/>
  <c r="Q663" i="26"/>
  <c r="X663" i="26" s="1"/>
  <c r="AE663" i="26" s="1"/>
  <c r="Q429" i="26"/>
  <c r="X429" i="26" s="1"/>
  <c r="AE429" i="26" s="1"/>
  <c r="Q426" i="26"/>
  <c r="X426" i="26" s="1"/>
  <c r="AE426" i="26" s="1"/>
  <c r="Q625" i="26"/>
  <c r="X625" i="26" s="1"/>
  <c r="AE625" i="26" s="1"/>
  <c r="Q450" i="26"/>
  <c r="X450" i="26" s="1"/>
  <c r="AE450" i="26" s="1"/>
  <c r="Q445" i="26"/>
  <c r="X445" i="26" s="1"/>
  <c r="AE445" i="26" s="1"/>
  <c r="Q358" i="26"/>
  <c r="X358" i="26" s="1"/>
  <c r="AE358" i="26" s="1"/>
  <c r="Q292" i="26"/>
  <c r="X292" i="26" s="1"/>
  <c r="AE292" i="26" s="1"/>
  <c r="Q467" i="26"/>
  <c r="X467" i="26" s="1"/>
  <c r="AE467" i="26" s="1"/>
  <c r="Q314" i="26"/>
  <c r="X314" i="26" s="1"/>
  <c r="AE314" i="26" s="1"/>
  <c r="Q362" i="26"/>
  <c r="X362" i="26" s="1"/>
  <c r="AE362" i="26" s="1"/>
  <c r="Q366" i="26"/>
  <c r="X366" i="26" s="1"/>
  <c r="AE366" i="26" s="1"/>
  <c r="Q549" i="26"/>
  <c r="X549" i="26" s="1"/>
  <c r="AE549" i="26" s="1"/>
  <c r="Q342" i="26"/>
  <c r="X342" i="26" s="1"/>
  <c r="AE342" i="26" s="1"/>
  <c r="Q388" i="26"/>
  <c r="X388" i="26" s="1"/>
  <c r="AE388" i="26" s="1"/>
  <c r="Q693" i="26"/>
  <c r="X693" i="26" s="1"/>
  <c r="AE693" i="26" s="1"/>
  <c r="Q677" i="26"/>
  <c r="X677" i="26" s="1"/>
  <c r="AE677" i="26" s="1"/>
  <c r="Q305" i="26"/>
  <c r="X305" i="26" s="1"/>
  <c r="AE305" i="26" s="1"/>
  <c r="Q647" i="26"/>
  <c r="X647" i="26" s="1"/>
  <c r="AE647" i="26" s="1"/>
  <c r="Q504" i="26"/>
  <c r="X504" i="26" s="1"/>
  <c r="AE504" i="26" s="1"/>
  <c r="Q269" i="26"/>
  <c r="X269" i="26" s="1"/>
  <c r="AE269" i="26" s="1"/>
  <c r="Q603" i="26"/>
  <c r="X603" i="26" s="1"/>
  <c r="AE603" i="26" s="1"/>
  <c r="Q273" i="26"/>
  <c r="X273" i="26" s="1"/>
  <c r="AE273" i="26" s="1"/>
  <c r="Q592" i="26"/>
  <c r="X592" i="26" s="1"/>
  <c r="AE592" i="26" s="1"/>
  <c r="Q435" i="26"/>
  <c r="X435" i="26" s="1"/>
  <c r="AE435" i="26" s="1"/>
  <c r="Q525" i="26"/>
  <c r="X525" i="26" s="1"/>
  <c r="AE525" i="26" s="1"/>
  <c r="Q248" i="26"/>
  <c r="X248" i="26" s="1"/>
  <c r="AE248" i="26" s="1"/>
  <c r="Q489" i="26"/>
  <c r="X489" i="26" s="1"/>
  <c r="AE489" i="26" s="1"/>
  <c r="Q481" i="26"/>
  <c r="X481" i="26" s="1"/>
  <c r="AE481" i="26" s="1"/>
  <c r="Q502" i="26"/>
  <c r="X502" i="26" s="1"/>
  <c r="AE502" i="26" s="1"/>
  <c r="Q694" i="26"/>
  <c r="X694" i="26" s="1"/>
  <c r="AE694" i="26" s="1"/>
  <c r="Q678" i="26"/>
  <c r="X678" i="26" s="1"/>
  <c r="AE678" i="26" s="1"/>
  <c r="Q664" i="26"/>
  <c r="X664" i="26" s="1"/>
  <c r="AE664" i="26" s="1"/>
  <c r="Q312" i="26"/>
  <c r="X312" i="26" s="1"/>
  <c r="AE312" i="26" s="1"/>
  <c r="Q470" i="26"/>
  <c r="X470" i="26" s="1"/>
  <c r="AE470" i="26" s="1"/>
  <c r="Q421" i="26"/>
  <c r="X421" i="26" s="1"/>
  <c r="AE421" i="26" s="1"/>
  <c r="Q727" i="26"/>
  <c r="X727" i="26" s="1"/>
  <c r="AE727" i="26" s="1"/>
  <c r="Q580" i="26"/>
  <c r="X580" i="26" s="1"/>
  <c r="AE580" i="26" s="1"/>
  <c r="Q593" i="26"/>
  <c r="X593" i="26" s="1"/>
  <c r="AE593" i="26" s="1"/>
  <c r="Q541" i="26"/>
  <c r="X541" i="26" s="1"/>
  <c r="AE541" i="26" s="1"/>
  <c r="Q466" i="26"/>
  <c r="X466" i="26" s="1"/>
  <c r="AE466" i="26" s="1"/>
  <c r="Q722" i="26"/>
  <c r="X722" i="26" s="1"/>
  <c r="AE722" i="26" s="1"/>
  <c r="Q321" i="26"/>
  <c r="X321" i="26" s="1"/>
  <c r="AE321" i="26" s="1"/>
  <c r="Q483" i="26"/>
  <c r="X483" i="26" s="1"/>
  <c r="AE483" i="26" s="1"/>
  <c r="Q668" i="26"/>
  <c r="X668" i="26" s="1"/>
  <c r="AE668" i="26" s="1"/>
  <c r="Q424" i="26"/>
  <c r="X424" i="26" s="1"/>
  <c r="AE424" i="26" s="1"/>
  <c r="Q565" i="26"/>
  <c r="X565" i="26" s="1"/>
  <c r="AE565" i="26" s="1"/>
  <c r="Q363" i="26"/>
  <c r="X363" i="26" s="1"/>
  <c r="AE363" i="26" s="1"/>
  <c r="Q454" i="26"/>
  <c r="X454" i="26" s="1"/>
  <c r="AE454" i="26" s="1"/>
  <c r="Q695" i="26"/>
  <c r="X695" i="26" s="1"/>
  <c r="AE695" i="26" s="1"/>
  <c r="Q680" i="26"/>
  <c r="X680" i="26" s="1"/>
  <c r="AE680" i="26" s="1"/>
  <c r="Q666" i="26"/>
  <c r="X666" i="26" s="1"/>
  <c r="AE666" i="26" s="1"/>
  <c r="Q356" i="26"/>
  <c r="X356" i="26" s="1"/>
  <c r="AE356" i="26" s="1"/>
  <c r="Q739" i="26"/>
  <c r="X739" i="26" s="1"/>
  <c r="AE739" i="26" s="1"/>
  <c r="Q627" i="26"/>
  <c r="X627" i="26" s="1"/>
  <c r="AE627" i="26" s="1"/>
  <c r="Q604" i="26"/>
  <c r="X604" i="26" s="1"/>
  <c r="AE604" i="26" s="1"/>
  <c r="Q582" i="26"/>
  <c r="X582" i="26" s="1"/>
  <c r="AE582" i="26" s="1"/>
  <c r="Q438" i="26"/>
  <c r="X438" i="26" s="1"/>
  <c r="AE438" i="26" s="1"/>
  <c r="Q347" i="26"/>
  <c r="X347" i="26" s="1"/>
  <c r="AE347" i="26" s="1"/>
  <c r="Q291" i="26"/>
  <c r="X291" i="26" s="1"/>
  <c r="AE291" i="26" s="1"/>
  <c r="Q485" i="26"/>
  <c r="X485" i="26" s="1"/>
  <c r="AE485" i="26" s="1"/>
  <c r="Q340" i="26"/>
  <c r="X340" i="26" s="1"/>
  <c r="AE340" i="26" s="1"/>
  <c r="Q341" i="26"/>
  <c r="X341" i="26" s="1"/>
  <c r="AE341" i="26" s="1"/>
  <c r="Q716" i="26"/>
  <c r="X716" i="26" s="1"/>
  <c r="AE716" i="26" s="1"/>
  <c r="Q428" i="26"/>
  <c r="X428" i="26" s="1"/>
  <c r="AE428" i="26" s="1"/>
  <c r="Q371" i="26"/>
  <c r="X371" i="26" s="1"/>
  <c r="AE371" i="26" s="1"/>
  <c r="Q332" i="26"/>
  <c r="X332" i="26" s="1"/>
  <c r="AE332" i="26" s="1"/>
  <c r="Q652" i="26"/>
  <c r="X652" i="26" s="1"/>
  <c r="AE652" i="26" s="1"/>
  <c r="Q586" i="26"/>
  <c r="X586" i="26" s="1"/>
  <c r="AE586" i="26" s="1"/>
  <c r="Q457" i="26"/>
  <c r="X457" i="26" s="1"/>
  <c r="AE457" i="26" s="1"/>
  <c r="Q255" i="26"/>
  <c r="X255" i="26" s="1"/>
  <c r="AE255" i="26" s="1"/>
  <c r="Q696" i="26"/>
  <c r="X696" i="26" s="1"/>
  <c r="AE696" i="26" s="1"/>
  <c r="Q681" i="26"/>
  <c r="X681" i="26" s="1"/>
  <c r="AE681" i="26" s="1"/>
  <c r="Q631" i="26"/>
  <c r="X631" i="26" s="1"/>
  <c r="AE631" i="26" s="1"/>
  <c r="Q613" i="26"/>
  <c r="X613" i="26" s="1"/>
  <c r="AE613" i="26" s="1"/>
  <c r="Q475" i="26"/>
  <c r="X475" i="26" s="1"/>
  <c r="AE475" i="26" s="1"/>
  <c r="Q628" i="26"/>
  <c r="X628" i="26" s="1"/>
  <c r="AE628" i="26" s="1"/>
  <c r="Q449" i="26"/>
  <c r="X449" i="26" s="1"/>
  <c r="AE449" i="26" s="1"/>
  <c r="Q705" i="26"/>
  <c r="X705" i="26" s="1"/>
  <c r="AE705" i="26" s="1"/>
  <c r="Q463" i="26"/>
  <c r="X463" i="26" s="1"/>
  <c r="AE463" i="26" s="1"/>
  <c r="Q543" i="26"/>
  <c r="X543" i="26" s="1"/>
  <c r="AE543" i="26" s="1"/>
  <c r="Q526" i="26"/>
  <c r="X526" i="26" s="1"/>
  <c r="AE526" i="26" s="1"/>
  <c r="Q723" i="26"/>
  <c r="X723" i="26" s="1"/>
  <c r="AE723" i="26" s="1"/>
  <c r="Q501" i="26"/>
  <c r="X501" i="26" s="1"/>
  <c r="AE501" i="26" s="1"/>
  <c r="Q370" i="26"/>
  <c r="X370" i="26" s="1"/>
  <c r="AE370" i="26" s="1"/>
  <c r="Q636" i="26"/>
  <c r="X636" i="26" s="1"/>
  <c r="AE636" i="26" s="1"/>
  <c r="Q608" i="26"/>
  <c r="X608" i="26" s="1"/>
  <c r="AE608" i="26" s="1"/>
  <c r="Q744" i="26"/>
  <c r="X744" i="26" s="1"/>
  <c r="AE744" i="26" s="1"/>
  <c r="Q287" i="26"/>
  <c r="X287" i="26" s="1"/>
  <c r="AE287" i="26" s="1"/>
  <c r="Q533" i="26"/>
  <c r="X533" i="26" s="1"/>
  <c r="AE533" i="26" s="1"/>
  <c r="Q715" i="26"/>
  <c r="X715" i="26" s="1"/>
  <c r="AE715" i="26" s="1"/>
  <c r="Q258" i="26"/>
  <c r="X258" i="26" s="1"/>
  <c r="AE258" i="26" s="1"/>
  <c r="Q650" i="26"/>
  <c r="X650" i="26" s="1"/>
  <c r="AE650" i="26" s="1"/>
  <c r="Q319" i="26"/>
  <c r="X319" i="26" s="1"/>
  <c r="AE319" i="26" s="1"/>
  <c r="Q547" i="26"/>
  <c r="X547" i="26" s="1"/>
  <c r="AE547" i="26" s="1"/>
  <c r="Q476" i="26"/>
  <c r="X476" i="26" s="1"/>
  <c r="AE476" i="26" s="1"/>
  <c r="Q373" i="26"/>
  <c r="X373" i="26" s="1"/>
  <c r="AE373" i="26" s="1"/>
  <c r="Q394" i="26"/>
  <c r="X394" i="26" s="1"/>
  <c r="AE394" i="26" s="1"/>
  <c r="Q585" i="26"/>
  <c r="X585" i="26" s="1"/>
  <c r="AE585" i="26" s="1"/>
  <c r="Q564" i="26"/>
  <c r="X564" i="26" s="1"/>
  <c r="AE564" i="26" s="1"/>
  <c r="Q555" i="26"/>
  <c r="X555" i="26" s="1"/>
  <c r="AE555" i="26" s="1"/>
  <c r="Q465" i="26"/>
  <c r="X465" i="26" s="1"/>
  <c r="AE465" i="26" s="1"/>
  <c r="Q249" i="26"/>
  <c r="X249" i="26" s="1"/>
  <c r="AE249" i="26" s="1"/>
  <c r="Q515" i="26"/>
  <c r="X515" i="26" s="1"/>
  <c r="AE515" i="26" s="1"/>
  <c r="Q510" i="26"/>
  <c r="X510" i="26" s="1"/>
  <c r="AE510" i="26" s="1"/>
  <c r="Q651" i="26"/>
  <c r="X651" i="26" s="1"/>
  <c r="AE651" i="26" s="1"/>
  <c r="Q309" i="26"/>
  <c r="X309" i="26" s="1"/>
  <c r="AE309" i="26" s="1"/>
  <c r="Q557" i="26"/>
  <c r="X557" i="26" s="1"/>
  <c r="AE557" i="26" s="1"/>
  <c r="Q380" i="26"/>
  <c r="X380" i="26" s="1"/>
  <c r="AE380" i="26" s="1"/>
  <c r="Q336" i="26"/>
  <c r="X336" i="26" s="1"/>
  <c r="AE336" i="26" s="1"/>
  <c r="Q733" i="26"/>
  <c r="X733" i="26" s="1"/>
  <c r="AE733" i="26" s="1"/>
  <c r="Q250" i="26"/>
  <c r="X250" i="26" s="1"/>
  <c r="AE250" i="26" s="1"/>
  <c r="Q718" i="26"/>
  <c r="X718" i="26" s="1"/>
  <c r="AE718" i="26" s="1"/>
  <c r="Q322" i="26"/>
  <c r="X322" i="26" s="1"/>
  <c r="AE322" i="26" s="1"/>
  <c r="Q401" i="26"/>
  <c r="X401" i="26" s="1"/>
  <c r="AE401" i="26" s="1"/>
  <c r="Q397" i="26"/>
  <c r="X397" i="26" s="1"/>
  <c r="AE397" i="26" s="1"/>
  <c r="Q552" i="26"/>
  <c r="X552" i="26" s="1"/>
  <c r="AE552" i="26" s="1"/>
  <c r="Q479" i="26"/>
  <c r="X479" i="26" s="1"/>
  <c r="AE479" i="26" s="1"/>
  <c r="Q596" i="26"/>
  <c r="X596" i="26" s="1"/>
  <c r="AE596" i="26" s="1"/>
  <c r="Q372" i="26"/>
  <c r="X372" i="26" s="1"/>
  <c r="AE372" i="26" s="1"/>
  <c r="Q318" i="26"/>
  <c r="X318" i="26" s="1"/>
  <c r="AE318" i="26" s="1"/>
  <c r="Q566" i="26"/>
  <c r="X566" i="26" s="1"/>
  <c r="AE566" i="26" s="1"/>
  <c r="Q558" i="26"/>
  <c r="X558" i="26" s="1"/>
  <c r="AE558" i="26" s="1"/>
  <c r="Q534" i="26"/>
  <c r="X534" i="26" s="1"/>
  <c r="AE534" i="26" s="1"/>
  <c r="Q469" i="26"/>
  <c r="X469" i="26" s="1"/>
  <c r="AE469" i="26" s="1"/>
  <c r="Q279" i="26"/>
  <c r="X279" i="26" s="1"/>
  <c r="AE279" i="26" s="1"/>
  <c r="Q458" i="26"/>
  <c r="X458" i="26" s="1"/>
  <c r="AE458" i="26" s="1"/>
  <c r="Q277" i="26"/>
  <c r="X277" i="26" s="1"/>
  <c r="AE277" i="26" s="1"/>
  <c r="Q721" i="26"/>
  <c r="X721" i="26" s="1"/>
  <c r="AE721" i="26" s="1"/>
  <c r="Q719" i="26"/>
  <c r="X719" i="26" s="1"/>
  <c r="AE719" i="26" s="1"/>
  <c r="Q669" i="26"/>
  <c r="X669" i="26" s="1"/>
  <c r="AE669" i="26" s="1"/>
  <c r="Q653" i="26"/>
  <c r="X653" i="26" s="1"/>
  <c r="AE653" i="26" s="1"/>
  <c r="Q432" i="26"/>
  <c r="X432" i="26" s="1"/>
  <c r="AE432" i="26" s="1"/>
  <c r="Q553" i="26"/>
  <c r="X553" i="26" s="1"/>
  <c r="AE553" i="26" s="1"/>
  <c r="Q323" i="26"/>
  <c r="X323" i="26" s="1"/>
  <c r="AE323" i="26" s="1"/>
  <c r="Q597" i="26"/>
  <c r="X597" i="26" s="1"/>
  <c r="AE597" i="26" s="1"/>
  <c r="Q315" i="26"/>
  <c r="X315" i="26" s="1"/>
  <c r="AE315" i="26" s="1"/>
  <c r="Q282" i="26"/>
  <c r="X282" i="26" s="1"/>
  <c r="AE282" i="26" s="1"/>
  <c r="Q567" i="26"/>
  <c r="X567" i="26" s="1"/>
  <c r="AE567" i="26" s="1"/>
  <c r="Q498" i="26"/>
  <c r="X498" i="26" s="1"/>
  <c r="AE498" i="26" s="1"/>
  <c r="Q535" i="26"/>
  <c r="X535" i="26" s="1"/>
  <c r="AE535" i="26" s="1"/>
  <c r="Q490" i="26"/>
  <c r="X490" i="26" s="1"/>
  <c r="AE490" i="26" s="1"/>
  <c r="Q346" i="26"/>
  <c r="X346" i="26" s="1"/>
  <c r="AE346" i="26" s="1"/>
  <c r="Q378" i="26"/>
  <c r="X378" i="26" s="1"/>
  <c r="AE378" i="26" s="1"/>
  <c r="Q409" i="26"/>
  <c r="X409" i="26" s="1"/>
  <c r="AE409" i="26" s="1"/>
  <c r="Q670" i="26"/>
  <c r="X670" i="26" s="1"/>
  <c r="AE670" i="26" s="1"/>
  <c r="Q392" i="26"/>
  <c r="X392" i="26" s="1"/>
  <c r="AE392" i="26" s="1"/>
  <c r="Q375" i="26"/>
  <c r="X375" i="26" s="1"/>
  <c r="AE375" i="26" s="1"/>
  <c r="Q554" i="26"/>
  <c r="X554" i="26" s="1"/>
  <c r="AE554" i="26" s="1"/>
  <c r="Q313" i="26"/>
  <c r="X313" i="26" s="1"/>
  <c r="AE313" i="26" s="1"/>
  <c r="Q324" i="26"/>
  <c r="X324" i="26" s="1"/>
  <c r="AE324" i="26" s="1"/>
  <c r="Q272" i="26"/>
  <c r="X272" i="26" s="1"/>
  <c r="AE272" i="26" s="1"/>
  <c r="Q274" i="26"/>
  <c r="X274" i="26" s="1"/>
  <c r="AE274" i="26" s="1"/>
  <c r="Q568" i="26"/>
  <c r="X568" i="26" s="1"/>
  <c r="AE568" i="26" s="1"/>
  <c r="Q281" i="26"/>
  <c r="X281" i="26" s="1"/>
  <c r="AE281" i="26" s="1"/>
  <c r="Q536" i="26"/>
  <c r="X536" i="26" s="1"/>
  <c r="AE536" i="26" s="1"/>
  <c r="Q522" i="26"/>
  <c r="X522" i="26" s="1"/>
  <c r="AE522" i="26" s="1"/>
  <c r="Q350" i="26"/>
  <c r="X350" i="26" s="1"/>
  <c r="AE350" i="26" s="1"/>
  <c r="Q368" i="26"/>
  <c r="X368" i="26" s="1"/>
  <c r="AE368" i="26" s="1"/>
  <c r="Q414" i="26"/>
  <c r="X414" i="26" s="1"/>
  <c r="AE414" i="26" s="1"/>
  <c r="Q685" i="26"/>
  <c r="X685" i="26" s="1"/>
  <c r="AE685" i="26" s="1"/>
  <c r="Q671" i="26"/>
  <c r="X671" i="26" s="1"/>
  <c r="AE671" i="26" s="1"/>
  <c r="Q656" i="26"/>
  <c r="X656" i="26" s="1"/>
  <c r="AE656" i="26" s="1"/>
  <c r="Q334" i="26"/>
  <c r="X334" i="26" s="1"/>
  <c r="AE334" i="26" s="1"/>
  <c r="Q556" i="26"/>
  <c r="X556" i="26" s="1"/>
  <c r="AE556" i="26" s="1"/>
  <c r="Q423" i="26"/>
  <c r="X423" i="26" s="1"/>
  <c r="AE423" i="26" s="1"/>
  <c r="Q417" i="26"/>
  <c r="X417" i="26" s="1"/>
  <c r="AE417" i="26" s="1"/>
  <c r="Q735" i="26"/>
  <c r="X735" i="26" s="1"/>
  <c r="AE735" i="26" s="1"/>
  <c r="Q442" i="26"/>
  <c r="X442" i="26" s="1"/>
  <c r="AE442" i="26" s="1"/>
  <c r="Q569" i="26"/>
  <c r="X569" i="26" s="1"/>
  <c r="AE569" i="26" s="1"/>
  <c r="Q477" i="26"/>
  <c r="X477" i="26" s="1"/>
  <c r="AE477" i="26" s="1"/>
  <c r="Q537" i="26"/>
  <c r="X537" i="26" s="1"/>
  <c r="AE537" i="26" s="1"/>
  <c r="Q252" i="26"/>
  <c r="X252" i="26" s="1"/>
  <c r="AE252" i="26" s="1"/>
  <c r="Q365" i="26"/>
  <c r="X365" i="26" s="1"/>
  <c r="AE365" i="26" s="1"/>
  <c r="Q509" i="26"/>
  <c r="X509" i="26" s="1"/>
  <c r="AE509" i="26" s="1"/>
  <c r="Q728" i="26"/>
  <c r="X728" i="26" s="1"/>
  <c r="AE728" i="26" s="1"/>
  <c r="Q377" i="26"/>
  <c r="X377" i="26" s="1"/>
  <c r="AE377" i="26" s="1"/>
  <c r="Q310" i="26"/>
  <c r="X310" i="26" s="1"/>
  <c r="AE310" i="26" s="1"/>
  <c r="Q261" i="26"/>
  <c r="X261" i="26" s="1"/>
  <c r="AE261" i="26" s="1"/>
  <c r="Q431" i="26"/>
  <c r="X431" i="26" s="1"/>
  <c r="AE431" i="26" s="1"/>
  <c r="Q285" i="26"/>
  <c r="X285" i="26" s="1"/>
  <c r="AE285" i="26" s="1"/>
  <c r="Q462" i="26"/>
  <c r="X462" i="26" s="1"/>
  <c r="AE462" i="26" s="1"/>
  <c r="Q598" i="26"/>
  <c r="X598" i="26" s="1"/>
  <c r="AE598" i="26" s="1"/>
  <c r="Q610" i="26"/>
  <c r="X610" i="26" s="1"/>
  <c r="AE610" i="26" s="1"/>
  <c r="Q588" i="26"/>
  <c r="X588" i="26" s="1"/>
  <c r="AE588" i="26" s="1"/>
  <c r="Q570" i="26"/>
  <c r="X570" i="26" s="1"/>
  <c r="AE570" i="26" s="1"/>
  <c r="Q478" i="26"/>
  <c r="X478" i="26" s="1"/>
  <c r="AE478" i="26" s="1"/>
  <c r="Q538" i="26"/>
  <c r="X538" i="26" s="1"/>
  <c r="AE538" i="26" s="1"/>
  <c r="Q743" i="26"/>
  <c r="X743" i="26" s="1"/>
  <c r="AE743" i="26" s="1"/>
  <c r="Q512" i="26"/>
  <c r="X512" i="26" s="1"/>
  <c r="AE512" i="26" s="1"/>
  <c r="Q345" i="26"/>
  <c r="X345" i="26" s="1"/>
  <c r="AE345" i="26" s="1"/>
  <c r="Q711" i="26"/>
  <c r="X711" i="26" s="1"/>
  <c r="AE711" i="26" s="1"/>
  <c r="Q690" i="26"/>
  <c r="X690" i="26" s="1"/>
  <c r="AE690" i="26" s="1"/>
  <c r="Q355" i="26"/>
  <c r="X355" i="26" s="1"/>
  <c r="AE355" i="26" s="1"/>
  <c r="Q660" i="26"/>
  <c r="X660" i="26" s="1"/>
  <c r="AE660" i="26" s="1"/>
  <c r="Q644" i="26"/>
  <c r="X644" i="26" s="1"/>
  <c r="AE644" i="26" s="1"/>
  <c r="Q493" i="26"/>
  <c r="X493" i="26" s="1"/>
  <c r="AE493" i="26" s="1"/>
  <c r="Q268" i="26"/>
  <c r="X268" i="26" s="1"/>
  <c r="AE268" i="26" s="1"/>
  <c r="Q415" i="26"/>
  <c r="X415" i="26" s="1"/>
  <c r="AE415" i="26" s="1"/>
  <c r="Q578" i="26"/>
  <c r="X578" i="26" s="1"/>
  <c r="AE578" i="26" s="1"/>
  <c r="Q455" i="26"/>
  <c r="X455" i="26" s="1"/>
  <c r="AE455" i="26" s="1"/>
  <c r="Q575" i="26"/>
  <c r="X575" i="26" s="1"/>
  <c r="AE575" i="26" s="1"/>
  <c r="Q433" i="26"/>
  <c r="X433" i="26" s="1"/>
  <c r="AE433" i="26" s="1"/>
  <c r="Q539" i="26"/>
  <c r="X539" i="26" s="1"/>
  <c r="AE539" i="26" s="1"/>
  <c r="Q710" i="26"/>
  <c r="X710" i="26" s="1"/>
  <c r="AE710" i="26" s="1"/>
  <c r="Q275" i="26"/>
  <c r="X275" i="26" s="1"/>
  <c r="AE275" i="26" s="1"/>
  <c r="Q343" i="26"/>
  <c r="X343" i="26" s="1"/>
  <c r="AE343" i="26" s="1"/>
  <c r="BQ17" i="26"/>
  <c r="BS17" i="26"/>
  <c r="BQ169" i="26"/>
  <c r="BS169" i="26"/>
  <c r="BQ225" i="26"/>
  <c r="BS225" i="26"/>
  <c r="BQ273" i="26"/>
  <c r="BS273" i="26"/>
  <c r="BQ313" i="26"/>
  <c r="BS313" i="26"/>
  <c r="BQ353" i="26"/>
  <c r="BS353" i="26"/>
  <c r="BQ441" i="26"/>
  <c r="BS441" i="26"/>
  <c r="BQ473" i="26"/>
  <c r="BS473" i="26"/>
  <c r="BQ601" i="26"/>
  <c r="BS601" i="26"/>
  <c r="BQ713" i="26"/>
  <c r="BS713" i="26"/>
  <c r="BS785" i="26"/>
  <c r="BQ785" i="26"/>
  <c r="P224" i="26"/>
  <c r="W224" i="26" s="1"/>
  <c r="AD224" i="26" s="1"/>
  <c r="P241" i="26"/>
  <c r="W241" i="26" s="1"/>
  <c r="AD241" i="26" s="1"/>
  <c r="P173" i="26"/>
  <c r="W173" i="26" s="1"/>
  <c r="AD173" i="26" s="1"/>
  <c r="P245" i="26"/>
  <c r="W245" i="26" s="1"/>
  <c r="AD245" i="26" s="1"/>
  <c r="P139" i="26"/>
  <c r="W139" i="26" s="1"/>
  <c r="AD139" i="26" s="1"/>
  <c r="P211" i="26"/>
  <c r="W211" i="26" s="1"/>
  <c r="AD211" i="26" s="1"/>
  <c r="P185" i="26"/>
  <c r="W185" i="26" s="1"/>
  <c r="AD185" i="26" s="1"/>
  <c r="P182" i="26"/>
  <c r="W182" i="26" s="1"/>
  <c r="AD182" i="26" s="1"/>
  <c r="P146" i="26"/>
  <c r="W146" i="26" s="1"/>
  <c r="AD146" i="26" s="1"/>
  <c r="P172" i="26"/>
  <c r="W172" i="26" s="1"/>
  <c r="AD172" i="26" s="1"/>
  <c r="P246" i="26"/>
  <c r="W246" i="26" s="1"/>
  <c r="AD246" i="26" s="1"/>
  <c r="P154" i="26"/>
  <c r="W154" i="26" s="1"/>
  <c r="AD154" i="26" s="1"/>
  <c r="P192" i="26"/>
  <c r="W192" i="26" s="1"/>
  <c r="AD192" i="26" s="1"/>
  <c r="P143" i="26"/>
  <c r="W143" i="26" s="1"/>
  <c r="AD143" i="26" s="1"/>
  <c r="P145" i="26"/>
  <c r="W145" i="26" s="1"/>
  <c r="AD145" i="26" s="1"/>
  <c r="P244" i="26"/>
  <c r="W244" i="26" s="1"/>
  <c r="AD244" i="26" s="1"/>
  <c r="P205" i="26"/>
  <c r="W205" i="26" s="1"/>
  <c r="AD205" i="26" s="1"/>
  <c r="P162" i="26"/>
  <c r="W162" i="26" s="1"/>
  <c r="AD162" i="26" s="1"/>
  <c r="P212" i="26"/>
  <c r="W212" i="26" s="1"/>
  <c r="AD212" i="26" s="1"/>
  <c r="P231" i="26"/>
  <c r="W231" i="26" s="1"/>
  <c r="AD231" i="26" s="1"/>
  <c r="P156" i="26"/>
  <c r="W156" i="26" s="1"/>
  <c r="AD156" i="26" s="1"/>
  <c r="P178" i="26"/>
  <c r="W178" i="26" s="1"/>
  <c r="AD178" i="26" s="1"/>
  <c r="P213" i="26"/>
  <c r="W213" i="26" s="1"/>
  <c r="AD213" i="26" s="1"/>
  <c r="P209" i="26"/>
  <c r="W209" i="26" s="1"/>
  <c r="AD209" i="26" s="1"/>
  <c r="P193" i="26"/>
  <c r="W193" i="26" s="1"/>
  <c r="AD193" i="26" s="1"/>
  <c r="P201" i="26"/>
  <c r="W201" i="26" s="1"/>
  <c r="AD201" i="26" s="1"/>
  <c r="P142" i="26"/>
  <c r="W142" i="26" s="1"/>
  <c r="AD142" i="26" s="1"/>
  <c r="P243" i="26"/>
  <c r="W243" i="26" s="1"/>
  <c r="AD243" i="26" s="1"/>
  <c r="P167" i="26"/>
  <c r="W167" i="26" s="1"/>
  <c r="AD167" i="26" s="1"/>
  <c r="P247" i="26"/>
  <c r="W247" i="26" s="1"/>
  <c r="AD247" i="26" s="1"/>
  <c r="P191" i="26"/>
  <c r="W191" i="26" s="1"/>
  <c r="AD191" i="26" s="1"/>
  <c r="P136" i="26"/>
  <c r="W136" i="26" s="1"/>
  <c r="AD136" i="26" s="1"/>
  <c r="P220" i="26"/>
  <c r="W220" i="26" s="1"/>
  <c r="AD220" i="26" s="1"/>
  <c r="P238" i="26"/>
  <c r="W238" i="26" s="1"/>
  <c r="AD238" i="26" s="1"/>
  <c r="P225" i="26"/>
  <c r="W225" i="26" s="1"/>
  <c r="AD225" i="26" s="1"/>
  <c r="P204" i="26"/>
  <c r="W204" i="26" s="1"/>
  <c r="AD204" i="26" s="1"/>
  <c r="P221" i="26"/>
  <c r="W221" i="26" s="1"/>
  <c r="AD221" i="26" s="1"/>
  <c r="P187" i="26"/>
  <c r="W187" i="26" s="1"/>
  <c r="AD187" i="26" s="1"/>
  <c r="P179" i="26"/>
  <c r="W179" i="26" s="1"/>
  <c r="AD179" i="26" s="1"/>
  <c r="P166" i="26"/>
  <c r="W166" i="26" s="1"/>
  <c r="AD166" i="26" s="1"/>
  <c r="P196" i="26"/>
  <c r="W196" i="26" s="1"/>
  <c r="AD196" i="26" s="1"/>
  <c r="P137" i="26"/>
  <c r="W137" i="26" s="1"/>
  <c r="AD137" i="26" s="1"/>
  <c r="P242" i="26"/>
  <c r="W242" i="26" s="1"/>
  <c r="AD242" i="26" s="1"/>
  <c r="P237" i="26"/>
  <c r="W237" i="26" s="1"/>
  <c r="AD237" i="26" s="1"/>
  <c r="P181" i="26"/>
  <c r="W181" i="26" s="1"/>
  <c r="AD181" i="26" s="1"/>
  <c r="P184" i="26"/>
  <c r="W184" i="26" s="1"/>
  <c r="AD184" i="26" s="1"/>
  <c r="P206" i="26"/>
  <c r="W206" i="26" s="1"/>
  <c r="AD206" i="26" s="1"/>
  <c r="P233" i="26"/>
  <c r="W233" i="26" s="1"/>
  <c r="AD233" i="26" s="1"/>
  <c r="P195" i="26"/>
  <c r="W195" i="26" s="1"/>
  <c r="AD195" i="26" s="1"/>
  <c r="P155" i="26"/>
  <c r="W155" i="26" s="1"/>
  <c r="AD155" i="26" s="1"/>
  <c r="P160" i="26"/>
  <c r="W160" i="26" s="1"/>
  <c r="AD160" i="26" s="1"/>
  <c r="P177" i="26"/>
  <c r="W177" i="26" s="1"/>
  <c r="AD177" i="26" s="1"/>
  <c r="P152" i="26"/>
  <c r="W152" i="26" s="1"/>
  <c r="AD152" i="26" s="1"/>
  <c r="P202" i="26"/>
  <c r="W202" i="26" s="1"/>
  <c r="AD202" i="26" s="1"/>
  <c r="P186" i="26"/>
  <c r="W186" i="26" s="1"/>
  <c r="AD186" i="26" s="1"/>
  <c r="P222" i="26"/>
  <c r="W222" i="26" s="1"/>
  <c r="AD222" i="26" s="1"/>
  <c r="P229" i="26"/>
  <c r="W229" i="26" s="1"/>
  <c r="AD229" i="26" s="1"/>
  <c r="P214" i="26"/>
  <c r="W214" i="26" s="1"/>
  <c r="AD214" i="26" s="1"/>
  <c r="P194" i="26"/>
  <c r="W194" i="26" s="1"/>
  <c r="AD194" i="26" s="1"/>
  <c r="P203" i="26"/>
  <c r="W203" i="26" s="1"/>
  <c r="AD203" i="26" s="1"/>
  <c r="P159" i="26"/>
  <c r="W159" i="26" s="1"/>
  <c r="AD159" i="26" s="1"/>
  <c r="P176" i="26"/>
  <c r="W176" i="26" s="1"/>
  <c r="AD176" i="26" s="1"/>
  <c r="P140" i="26"/>
  <c r="W140" i="26" s="1"/>
  <c r="AD140" i="26" s="1"/>
  <c r="P151" i="26"/>
  <c r="W151" i="26" s="1"/>
  <c r="AD151" i="26" s="1"/>
  <c r="P216" i="26"/>
  <c r="W216" i="26" s="1"/>
  <c r="AD216" i="26" s="1"/>
  <c r="P215" i="26"/>
  <c r="W215" i="26" s="1"/>
  <c r="AD215" i="26" s="1"/>
  <c r="P175" i="26"/>
  <c r="W175" i="26" s="1"/>
  <c r="AD175" i="26" s="1"/>
  <c r="P165" i="26"/>
  <c r="W165" i="26" s="1"/>
  <c r="AD165" i="26" s="1"/>
  <c r="P147" i="26"/>
  <c r="W147" i="26" s="1"/>
  <c r="AD147" i="26" s="1"/>
  <c r="P163" i="26"/>
  <c r="W163" i="26" s="1"/>
  <c r="AD163" i="26" s="1"/>
  <c r="P217" i="26"/>
  <c r="W217" i="26" s="1"/>
  <c r="AD217" i="26" s="1"/>
  <c r="P235" i="26"/>
  <c r="W235" i="26" s="1"/>
  <c r="AD235" i="26" s="1"/>
  <c r="P158" i="26"/>
  <c r="W158" i="26" s="1"/>
  <c r="AD158" i="26" s="1"/>
  <c r="P144" i="26"/>
  <c r="W144" i="26" s="1"/>
  <c r="AD144" i="26" s="1"/>
  <c r="P180" i="26"/>
  <c r="W180" i="26" s="1"/>
  <c r="AD180" i="26" s="1"/>
  <c r="P198" i="26"/>
  <c r="W198" i="26" s="1"/>
  <c r="AD198" i="26" s="1"/>
  <c r="P188" i="26"/>
  <c r="W188" i="26" s="1"/>
  <c r="AD188" i="26" s="1"/>
  <c r="P174" i="26"/>
  <c r="W174" i="26" s="1"/>
  <c r="AD174" i="26" s="1"/>
  <c r="P208" i="26"/>
  <c r="W208" i="26" s="1"/>
  <c r="AD208" i="26" s="1"/>
  <c r="P189" i="26"/>
  <c r="W189" i="26" s="1"/>
  <c r="AD189" i="26" s="1"/>
  <c r="P227" i="26"/>
  <c r="W227" i="26" s="1"/>
  <c r="AD227" i="26" s="1"/>
  <c r="P197" i="26"/>
  <c r="W197" i="26" s="1"/>
  <c r="AD197" i="26" s="1"/>
  <c r="P232" i="26"/>
  <c r="W232" i="26" s="1"/>
  <c r="AD232" i="26" s="1"/>
  <c r="P171" i="26"/>
  <c r="W171" i="26" s="1"/>
  <c r="AD171" i="26" s="1"/>
  <c r="P157" i="26"/>
  <c r="W157" i="26" s="1"/>
  <c r="AD157" i="26" s="1"/>
  <c r="P153" i="26"/>
  <c r="W153" i="26" s="1"/>
  <c r="AD153" i="26" s="1"/>
  <c r="P169" i="26"/>
  <c r="W169" i="26" s="1"/>
  <c r="AD169" i="26" s="1"/>
  <c r="P218" i="26"/>
  <c r="W218" i="26" s="1"/>
  <c r="AD218" i="26" s="1"/>
  <c r="P168" i="26"/>
  <c r="W168" i="26" s="1"/>
  <c r="AD168" i="26" s="1"/>
  <c r="P183" i="26"/>
  <c r="W183" i="26" s="1"/>
  <c r="AD183" i="26" s="1"/>
  <c r="P164" i="26"/>
  <c r="W164" i="26" s="1"/>
  <c r="AD164" i="26" s="1"/>
  <c r="P228" i="26"/>
  <c r="W228" i="26" s="1"/>
  <c r="AD228" i="26" s="1"/>
  <c r="P234" i="26"/>
  <c r="W234" i="26" s="1"/>
  <c r="AD234" i="26" s="1"/>
  <c r="P219" i="26"/>
  <c r="W219" i="26" s="1"/>
  <c r="AD219" i="26" s="1"/>
  <c r="P150" i="26"/>
  <c r="W150" i="26" s="1"/>
  <c r="AD150" i="26" s="1"/>
  <c r="P161" i="26"/>
  <c r="W161" i="26" s="1"/>
  <c r="AD161" i="26" s="1"/>
  <c r="P239" i="26"/>
  <c r="W239" i="26" s="1"/>
  <c r="AD239" i="26" s="1"/>
  <c r="P210" i="26"/>
  <c r="W210" i="26" s="1"/>
  <c r="AD210" i="26" s="1"/>
  <c r="P149" i="26"/>
  <c r="W149" i="26" s="1"/>
  <c r="AD149" i="26" s="1"/>
  <c r="P148" i="26"/>
  <c r="W148" i="26" s="1"/>
  <c r="AD148" i="26" s="1"/>
  <c r="P240" i="26"/>
  <c r="W240" i="26" s="1"/>
  <c r="AD240" i="26" s="1"/>
  <c r="P207" i="26"/>
  <c r="W207" i="26" s="1"/>
  <c r="AD207" i="26" s="1"/>
  <c r="P141" i="26"/>
  <c r="W141" i="26" s="1"/>
  <c r="AD141" i="26" s="1"/>
  <c r="P236" i="26"/>
  <c r="W236" i="26" s="1"/>
  <c r="AD236" i="26" s="1"/>
  <c r="P190" i="26"/>
  <c r="W190" i="26" s="1"/>
  <c r="AD190" i="26" s="1"/>
  <c r="P200" i="26"/>
  <c r="W200" i="26" s="1"/>
  <c r="AD200" i="26" s="1"/>
  <c r="P223" i="26"/>
  <c r="W223" i="26" s="1"/>
  <c r="AD223" i="26" s="1"/>
  <c r="P138" i="26"/>
  <c r="W138" i="26" s="1"/>
  <c r="AD138" i="26" s="1"/>
  <c r="P230" i="26"/>
  <c r="W230" i="26" s="1"/>
  <c r="AD230" i="26" s="1"/>
  <c r="P170" i="26"/>
  <c r="W170" i="26" s="1"/>
  <c r="AD170" i="26" s="1"/>
  <c r="P199" i="26"/>
  <c r="W199" i="26" s="1"/>
  <c r="AD199" i="26" s="1"/>
  <c r="P226" i="26"/>
  <c r="W226" i="26" s="1"/>
  <c r="AD226" i="26" s="1"/>
  <c r="BQ58" i="26"/>
  <c r="BS58" i="26"/>
  <c r="BQ170" i="26"/>
  <c r="BS170" i="26"/>
  <c r="BS226" i="26"/>
  <c r="BQ226" i="26"/>
  <c r="BS282" i="26"/>
  <c r="BQ282" i="26"/>
  <c r="BS346" i="26"/>
  <c r="BQ346" i="26"/>
  <c r="BS450" i="26"/>
  <c r="BQ450" i="26"/>
  <c r="BS522" i="26"/>
  <c r="BQ522" i="26"/>
  <c r="BQ586" i="26"/>
  <c r="BS586" i="26"/>
  <c r="BS730" i="26"/>
  <c r="BQ730" i="26"/>
  <c r="R783" i="26"/>
  <c r="Y783" i="26" s="1"/>
  <c r="AF783" i="26" s="1"/>
  <c r="R760" i="26"/>
  <c r="Y760" i="26" s="1"/>
  <c r="AF760" i="26" s="1"/>
  <c r="R778" i="26"/>
  <c r="Y778" i="26" s="1"/>
  <c r="AF778" i="26" s="1"/>
  <c r="R781" i="26"/>
  <c r="Y781" i="26" s="1"/>
  <c r="AF781" i="26" s="1"/>
  <c r="R785" i="26"/>
  <c r="Y785" i="26" s="1"/>
  <c r="AF785" i="26" s="1"/>
  <c r="R762" i="26"/>
  <c r="Y762" i="26" s="1"/>
  <c r="AF762" i="26" s="1"/>
  <c r="R752" i="26"/>
  <c r="Y752" i="26" s="1"/>
  <c r="AF752" i="26" s="1"/>
  <c r="R782" i="26"/>
  <c r="Y782" i="26" s="1"/>
  <c r="AF782" i="26" s="1"/>
  <c r="R788" i="26"/>
  <c r="Y788" i="26" s="1"/>
  <c r="AF788" i="26" s="1"/>
  <c r="R773" i="26"/>
  <c r="Y773" i="26" s="1"/>
  <c r="AF773" i="26" s="1"/>
  <c r="R745" i="26"/>
  <c r="Y745" i="26" s="1"/>
  <c r="AF745" i="26" s="1"/>
  <c r="R791" i="26"/>
  <c r="Y791" i="26" s="1"/>
  <c r="AF791" i="26" s="1"/>
  <c r="R753" i="26"/>
  <c r="Y753" i="26" s="1"/>
  <c r="AF753" i="26" s="1"/>
  <c r="R751" i="26"/>
  <c r="Y751" i="26" s="1"/>
  <c r="AF751" i="26" s="1"/>
  <c r="R792" i="26"/>
  <c r="Y792" i="26" s="1"/>
  <c r="AF792" i="26" s="1"/>
  <c r="R747" i="26"/>
  <c r="Y747" i="26" s="1"/>
  <c r="AF747" i="26" s="1"/>
  <c r="R787" i="26"/>
  <c r="Y787" i="26" s="1"/>
  <c r="AF787" i="26" s="1"/>
  <c r="R746" i="26"/>
  <c r="Y746" i="26" s="1"/>
  <c r="AF746" i="26" s="1"/>
  <c r="R794" i="26"/>
  <c r="Y794" i="26" s="1"/>
  <c r="AF794" i="26" s="1"/>
  <c r="R775" i="26"/>
  <c r="Y775" i="26" s="1"/>
  <c r="AF775" i="26" s="1"/>
  <c r="R749" i="26"/>
  <c r="Y749" i="26" s="1"/>
  <c r="AF749" i="26" s="1"/>
  <c r="R761" i="26"/>
  <c r="Y761" i="26" s="1"/>
  <c r="AF761" i="26" s="1"/>
  <c r="R789" i="26"/>
  <c r="Y789" i="26" s="1"/>
  <c r="AF789" i="26" s="1"/>
  <c r="R750" i="26"/>
  <c r="Y750" i="26" s="1"/>
  <c r="AF750" i="26" s="1"/>
  <c r="R790" i="26"/>
  <c r="Y790" i="26" s="1"/>
  <c r="AF790" i="26" s="1"/>
  <c r="R755" i="26"/>
  <c r="Y755" i="26" s="1"/>
  <c r="AF755" i="26" s="1"/>
  <c r="R757" i="26"/>
  <c r="Y757" i="26" s="1"/>
  <c r="AF757" i="26" s="1"/>
  <c r="R795" i="26"/>
  <c r="Y795" i="26" s="1"/>
  <c r="AF795" i="26" s="1"/>
  <c r="R793" i="26"/>
  <c r="Y793" i="26" s="1"/>
  <c r="AF793" i="26" s="1"/>
  <c r="R766" i="26"/>
  <c r="Y766" i="26" s="1"/>
  <c r="AF766" i="26" s="1"/>
  <c r="R767" i="26"/>
  <c r="Y767" i="26" s="1"/>
  <c r="AF767" i="26" s="1"/>
  <c r="R771" i="26"/>
  <c r="Y771" i="26" s="1"/>
  <c r="AF771" i="26" s="1"/>
  <c r="R774" i="26"/>
  <c r="Y774" i="26" s="1"/>
  <c r="AF774" i="26" s="1"/>
  <c r="R768" i="26"/>
  <c r="Y768" i="26" s="1"/>
  <c r="AF768" i="26" s="1"/>
  <c r="R796" i="26"/>
  <c r="Y796" i="26" s="1"/>
  <c r="AF796" i="26" s="1"/>
  <c r="R769" i="26"/>
  <c r="Y769" i="26" s="1"/>
  <c r="AF769" i="26" s="1"/>
  <c r="R780" i="26"/>
  <c r="Y780" i="26" s="1"/>
  <c r="AF780" i="26" s="1"/>
  <c r="K20" i="25"/>
  <c r="R754" i="26"/>
  <c r="Y754" i="26" s="1"/>
  <c r="AF754" i="26" s="1"/>
  <c r="R784" i="26"/>
  <c r="Y784" i="26" s="1"/>
  <c r="AF784" i="26" s="1"/>
  <c r="R786" i="26"/>
  <c r="Y786" i="26" s="1"/>
  <c r="AF786" i="26" s="1"/>
  <c r="R758" i="26"/>
  <c r="Y758" i="26" s="1"/>
  <c r="AF758" i="26" s="1"/>
  <c r="R759" i="26"/>
  <c r="Y759" i="26" s="1"/>
  <c r="AF759" i="26" s="1"/>
  <c r="R776" i="26"/>
  <c r="Y776" i="26" s="1"/>
  <c r="AF776" i="26" s="1"/>
  <c r="R777" i="26"/>
  <c r="Y777" i="26" s="1"/>
  <c r="AF777" i="26" s="1"/>
  <c r="R763" i="26"/>
  <c r="Y763" i="26" s="1"/>
  <c r="AF763" i="26" s="1"/>
  <c r="R764" i="26"/>
  <c r="Y764" i="26" s="1"/>
  <c r="AF764" i="26" s="1"/>
  <c r="R765" i="26"/>
  <c r="Y765" i="26" s="1"/>
  <c r="AF765" i="26" s="1"/>
  <c r="R770" i="26"/>
  <c r="Y770" i="26" s="1"/>
  <c r="AF770" i="26" s="1"/>
  <c r="R779" i="26"/>
  <c r="Y779" i="26" s="1"/>
  <c r="AF779" i="26" s="1"/>
  <c r="R748" i="26"/>
  <c r="Y748" i="26" s="1"/>
  <c r="AF748" i="26" s="1"/>
  <c r="R772" i="26"/>
  <c r="Y772" i="26" s="1"/>
  <c r="AF772" i="26" s="1"/>
  <c r="R756" i="26"/>
  <c r="Y756" i="26" s="1"/>
  <c r="AF756" i="26" s="1"/>
  <c r="BQ19" i="26"/>
  <c r="BS19" i="26"/>
  <c r="BQ83" i="26"/>
  <c r="BS83" i="26"/>
  <c r="BS139" i="26"/>
  <c r="BQ139" i="26"/>
  <c r="BS195" i="26"/>
  <c r="BQ195" i="26"/>
  <c r="BQ307" i="26"/>
  <c r="BS307" i="26"/>
  <c r="BS379" i="26"/>
  <c r="BQ379" i="26"/>
  <c r="BQ459" i="26"/>
  <c r="BS459" i="26"/>
  <c r="BQ571" i="26"/>
  <c r="BS571" i="26"/>
  <c r="BQ739" i="26"/>
  <c r="BS739" i="26"/>
  <c r="R10" i="26"/>
  <c r="Y10" i="26" s="1"/>
  <c r="AF10" i="26" s="1"/>
  <c r="R9" i="26"/>
  <c r="Y9" i="26" s="1"/>
  <c r="AF9" i="26" s="1"/>
  <c r="R11" i="26"/>
  <c r="Y11" i="26" s="1"/>
  <c r="AF11" i="26" s="1"/>
  <c r="R12" i="26"/>
  <c r="Y12" i="26" s="1"/>
  <c r="AF12" i="26" s="1"/>
  <c r="R13" i="26"/>
  <c r="Y13" i="26" s="1"/>
  <c r="AF13" i="26" s="1"/>
  <c r="R14" i="26"/>
  <c r="Y14" i="26" s="1"/>
  <c r="AF14" i="26" s="1"/>
  <c r="R15" i="26"/>
  <c r="Y15" i="26" s="1"/>
  <c r="AF15" i="26" s="1"/>
  <c r="R17" i="26"/>
  <c r="Y17" i="26" s="1"/>
  <c r="AF17" i="26" s="1"/>
  <c r="R16" i="26"/>
  <c r="Y16" i="26" s="1"/>
  <c r="AF16" i="26" s="1"/>
  <c r="R18" i="26"/>
  <c r="Y18" i="26" s="1"/>
  <c r="AF18" i="26" s="1"/>
  <c r="R67" i="26"/>
  <c r="Y67" i="26" s="1"/>
  <c r="AF67" i="26" s="1"/>
  <c r="R91" i="26"/>
  <c r="Y91" i="26" s="1"/>
  <c r="AF91" i="26" s="1"/>
  <c r="R55" i="26"/>
  <c r="Y55" i="26" s="1"/>
  <c r="AF55" i="26" s="1"/>
  <c r="R20" i="26"/>
  <c r="Y20" i="26" s="1"/>
  <c r="AF20" i="26" s="1"/>
  <c r="R80" i="26"/>
  <c r="Y80" i="26" s="1"/>
  <c r="AF80" i="26" s="1"/>
  <c r="R32" i="26"/>
  <c r="Y32" i="26" s="1"/>
  <c r="AF32" i="26" s="1"/>
  <c r="R123" i="26"/>
  <c r="Y123" i="26" s="1"/>
  <c r="AF123" i="26" s="1"/>
  <c r="R41" i="26"/>
  <c r="Y41" i="26" s="1"/>
  <c r="AF41" i="26" s="1"/>
  <c r="R46" i="26"/>
  <c r="Y46" i="26" s="1"/>
  <c r="AF46" i="26" s="1"/>
  <c r="R116" i="26"/>
  <c r="Y116" i="26" s="1"/>
  <c r="AF116" i="26" s="1"/>
  <c r="R21" i="26"/>
  <c r="Y21" i="26" s="1"/>
  <c r="AF21" i="26" s="1"/>
  <c r="R117" i="26"/>
  <c r="Y117" i="26" s="1"/>
  <c r="AF117" i="26" s="1"/>
  <c r="R73" i="26"/>
  <c r="Y73" i="26" s="1"/>
  <c r="AF73" i="26" s="1"/>
  <c r="R112" i="26"/>
  <c r="Y112" i="26" s="1"/>
  <c r="AF112" i="26" s="1"/>
  <c r="R66" i="26"/>
  <c r="Y66" i="26" s="1"/>
  <c r="AF66" i="26" s="1"/>
  <c r="R61" i="26"/>
  <c r="Y61" i="26" s="1"/>
  <c r="AF61" i="26" s="1"/>
  <c r="R93" i="26"/>
  <c r="Y93" i="26" s="1"/>
  <c r="AF93" i="26" s="1"/>
  <c r="R85" i="26"/>
  <c r="Y85" i="26" s="1"/>
  <c r="AF85" i="26" s="1"/>
  <c r="R58" i="26"/>
  <c r="Y58" i="26" s="1"/>
  <c r="AF58" i="26" s="1"/>
  <c r="R135" i="26"/>
  <c r="Y135" i="26" s="1"/>
  <c r="AF135" i="26" s="1"/>
  <c r="R124" i="26"/>
  <c r="Y124" i="26" s="1"/>
  <c r="AF124" i="26" s="1"/>
  <c r="K17" i="25"/>
  <c r="R26" i="26"/>
  <c r="Y26" i="26" s="1"/>
  <c r="AF26" i="26" s="1"/>
  <c r="R92" i="26"/>
  <c r="Y92" i="26" s="1"/>
  <c r="AF92" i="26" s="1"/>
  <c r="R90" i="26"/>
  <c r="Y90" i="26" s="1"/>
  <c r="AF90" i="26" s="1"/>
  <c r="R95" i="26"/>
  <c r="Y95" i="26" s="1"/>
  <c r="AF95" i="26" s="1"/>
  <c r="R28" i="26"/>
  <c r="Y28" i="26" s="1"/>
  <c r="AF28" i="26" s="1"/>
  <c r="R108" i="26"/>
  <c r="Y108" i="26" s="1"/>
  <c r="AF108" i="26" s="1"/>
  <c r="R103" i="26"/>
  <c r="Y103" i="26" s="1"/>
  <c r="AF103" i="26" s="1"/>
  <c r="R70" i="26"/>
  <c r="Y70" i="26" s="1"/>
  <c r="AF70" i="26" s="1"/>
  <c r="R69" i="26"/>
  <c r="Y69" i="26" s="1"/>
  <c r="AF69" i="26" s="1"/>
  <c r="R44" i="26"/>
  <c r="Y44" i="26" s="1"/>
  <c r="AF44" i="26" s="1"/>
  <c r="R52" i="26"/>
  <c r="Y52" i="26" s="1"/>
  <c r="AF52" i="26" s="1"/>
  <c r="R83" i="26"/>
  <c r="Y83" i="26" s="1"/>
  <c r="AF83" i="26" s="1"/>
  <c r="R31" i="26"/>
  <c r="Y31" i="26" s="1"/>
  <c r="AF31" i="26" s="1"/>
  <c r="R128" i="26"/>
  <c r="Y128" i="26" s="1"/>
  <c r="AF128" i="26" s="1"/>
  <c r="R101" i="26"/>
  <c r="Y101" i="26" s="1"/>
  <c r="AF101" i="26" s="1"/>
  <c r="R38" i="26"/>
  <c r="Y38" i="26" s="1"/>
  <c r="AF38" i="26" s="1"/>
  <c r="R62" i="26"/>
  <c r="Y62" i="26" s="1"/>
  <c r="AF62" i="26" s="1"/>
  <c r="R89" i="26"/>
  <c r="Y89" i="26" s="1"/>
  <c r="AF89" i="26" s="1"/>
  <c r="R24" i="26"/>
  <c r="Y24" i="26" s="1"/>
  <c r="AF24" i="26" s="1"/>
  <c r="R113" i="26"/>
  <c r="Y113" i="26" s="1"/>
  <c r="AF113" i="26" s="1"/>
  <c r="R102" i="26"/>
  <c r="Y102" i="26" s="1"/>
  <c r="AF102" i="26" s="1"/>
  <c r="R68" i="26"/>
  <c r="Y68" i="26" s="1"/>
  <c r="AF68" i="26" s="1"/>
  <c r="R119" i="26"/>
  <c r="Y119" i="26" s="1"/>
  <c r="AF119" i="26" s="1"/>
  <c r="R53" i="26"/>
  <c r="Y53" i="26" s="1"/>
  <c r="AF53" i="26" s="1"/>
  <c r="R132" i="26"/>
  <c r="Y132" i="26" s="1"/>
  <c r="AF132" i="26" s="1"/>
  <c r="R33" i="26"/>
  <c r="Y33" i="26" s="1"/>
  <c r="AF33" i="26" s="1"/>
  <c r="R109" i="26"/>
  <c r="Y109" i="26" s="1"/>
  <c r="AF109" i="26" s="1"/>
  <c r="R111" i="26"/>
  <c r="Y111" i="26" s="1"/>
  <c r="AF111" i="26" s="1"/>
  <c r="R60" i="26"/>
  <c r="Y60" i="26" s="1"/>
  <c r="AF60" i="26" s="1"/>
  <c r="R88" i="26"/>
  <c r="Y88" i="26" s="1"/>
  <c r="AF88" i="26" s="1"/>
  <c r="R82" i="26"/>
  <c r="Y82" i="26" s="1"/>
  <c r="AF82" i="26" s="1"/>
  <c r="R34" i="26"/>
  <c r="Y34" i="26" s="1"/>
  <c r="AF34" i="26" s="1"/>
  <c r="R125" i="26"/>
  <c r="Y125" i="26" s="1"/>
  <c r="AF125" i="26" s="1"/>
  <c r="R39" i="26"/>
  <c r="Y39" i="26" s="1"/>
  <c r="AF39" i="26" s="1"/>
  <c r="R47" i="26"/>
  <c r="Y47" i="26" s="1"/>
  <c r="AF47" i="26" s="1"/>
  <c r="R54" i="26"/>
  <c r="Y54" i="26" s="1"/>
  <c r="AF54" i="26" s="1"/>
  <c r="R25" i="26"/>
  <c r="Y25" i="26" s="1"/>
  <c r="AF25" i="26" s="1"/>
  <c r="R98" i="26"/>
  <c r="Y98" i="26" s="1"/>
  <c r="AF98" i="26" s="1"/>
  <c r="R71" i="26"/>
  <c r="Y71" i="26" s="1"/>
  <c r="AF71" i="26" s="1"/>
  <c r="R63" i="26"/>
  <c r="Y63" i="26" s="1"/>
  <c r="AF63" i="26" s="1"/>
  <c r="R19" i="26"/>
  <c r="Y19" i="26" s="1"/>
  <c r="AF19" i="26" s="1"/>
  <c r="R30" i="26"/>
  <c r="Y30" i="26" s="1"/>
  <c r="AF30" i="26" s="1"/>
  <c r="R130" i="26"/>
  <c r="Y130" i="26" s="1"/>
  <c r="AF130" i="26" s="1"/>
  <c r="R87" i="26"/>
  <c r="Y87" i="26" s="1"/>
  <c r="AF87" i="26" s="1"/>
  <c r="R75" i="26"/>
  <c r="Y75" i="26" s="1"/>
  <c r="AF75" i="26" s="1"/>
  <c r="R45" i="26"/>
  <c r="Y45" i="26" s="1"/>
  <c r="AF45" i="26" s="1"/>
  <c r="R86" i="26"/>
  <c r="Y86" i="26" s="1"/>
  <c r="AF86" i="26" s="1"/>
  <c r="R27" i="26"/>
  <c r="Y27" i="26" s="1"/>
  <c r="AF27" i="26" s="1"/>
  <c r="R48" i="26"/>
  <c r="Y48" i="26" s="1"/>
  <c r="AF48" i="26" s="1"/>
  <c r="R110" i="26"/>
  <c r="Y110" i="26" s="1"/>
  <c r="AF110" i="26" s="1"/>
  <c r="R74" i="26"/>
  <c r="Y74" i="26" s="1"/>
  <c r="AF74" i="26" s="1"/>
  <c r="R131" i="26"/>
  <c r="Y131" i="26" s="1"/>
  <c r="AF131" i="26" s="1"/>
  <c r="R118" i="26"/>
  <c r="Y118" i="26" s="1"/>
  <c r="AF118" i="26" s="1"/>
  <c r="R115" i="26"/>
  <c r="Y115" i="26" s="1"/>
  <c r="AF115" i="26" s="1"/>
  <c r="R72" i="26"/>
  <c r="Y72" i="26" s="1"/>
  <c r="AF72" i="26" s="1"/>
  <c r="R59" i="26"/>
  <c r="Y59" i="26" s="1"/>
  <c r="AF59" i="26" s="1"/>
  <c r="R84" i="26"/>
  <c r="Y84" i="26" s="1"/>
  <c r="AF84" i="26" s="1"/>
  <c r="R107" i="26"/>
  <c r="Y107" i="26" s="1"/>
  <c r="AF107" i="26" s="1"/>
  <c r="R129" i="26"/>
  <c r="Y129" i="26" s="1"/>
  <c r="AF129" i="26" s="1"/>
  <c r="R49" i="26"/>
  <c r="Y49" i="26" s="1"/>
  <c r="AF49" i="26" s="1"/>
  <c r="R22" i="26"/>
  <c r="Y22" i="26" s="1"/>
  <c r="AF22" i="26" s="1"/>
  <c r="R35" i="26"/>
  <c r="Y35" i="26" s="1"/>
  <c r="AF35" i="26" s="1"/>
  <c r="R134" i="26"/>
  <c r="Y134" i="26" s="1"/>
  <c r="AF134" i="26" s="1"/>
  <c r="R133" i="26"/>
  <c r="Y133" i="26" s="1"/>
  <c r="AF133" i="26" s="1"/>
  <c r="R37" i="26"/>
  <c r="Y37" i="26" s="1"/>
  <c r="AF37" i="26" s="1"/>
  <c r="R94" i="26"/>
  <c r="Y94" i="26" s="1"/>
  <c r="AF94" i="26" s="1"/>
  <c r="R105" i="26"/>
  <c r="Y105" i="26" s="1"/>
  <c r="AF105" i="26" s="1"/>
  <c r="R126" i="26"/>
  <c r="Y126" i="26" s="1"/>
  <c r="AF126" i="26" s="1"/>
  <c r="R100" i="26"/>
  <c r="Y100" i="26" s="1"/>
  <c r="AF100" i="26" s="1"/>
  <c r="R104" i="26"/>
  <c r="Y104" i="26" s="1"/>
  <c r="AF104" i="26" s="1"/>
  <c r="R40" i="26"/>
  <c r="Y40" i="26" s="1"/>
  <c r="AF40" i="26" s="1"/>
  <c r="R23" i="26"/>
  <c r="Y23" i="26" s="1"/>
  <c r="AF23" i="26" s="1"/>
  <c r="R114" i="26"/>
  <c r="Y114" i="26" s="1"/>
  <c r="AF114" i="26" s="1"/>
  <c r="R42" i="26"/>
  <c r="Y42" i="26" s="1"/>
  <c r="AF42" i="26" s="1"/>
  <c r="R81" i="26"/>
  <c r="Y81" i="26" s="1"/>
  <c r="AF81" i="26" s="1"/>
  <c r="R77" i="26"/>
  <c r="Y77" i="26" s="1"/>
  <c r="AF77" i="26" s="1"/>
  <c r="R106" i="26"/>
  <c r="Y106" i="26" s="1"/>
  <c r="AF106" i="26" s="1"/>
  <c r="R56" i="26"/>
  <c r="Y56" i="26" s="1"/>
  <c r="AF56" i="26" s="1"/>
  <c r="R120" i="26"/>
  <c r="Y120" i="26" s="1"/>
  <c r="AF120" i="26" s="1"/>
  <c r="R79" i="26"/>
  <c r="Y79" i="26" s="1"/>
  <c r="AF79" i="26" s="1"/>
  <c r="R29" i="26"/>
  <c r="Y29" i="26" s="1"/>
  <c r="AF29" i="26" s="1"/>
  <c r="R78" i="26"/>
  <c r="Y78" i="26" s="1"/>
  <c r="AF78" i="26" s="1"/>
  <c r="R97" i="26"/>
  <c r="Y97" i="26" s="1"/>
  <c r="AF97" i="26" s="1"/>
  <c r="R8" i="26"/>
  <c r="Y8" i="26" s="1"/>
  <c r="AF8" i="26" s="1"/>
  <c r="R50" i="26"/>
  <c r="Y50" i="26" s="1"/>
  <c r="AF50" i="26" s="1"/>
  <c r="R51" i="26"/>
  <c r="Y51" i="26" s="1"/>
  <c r="AF51" i="26" s="1"/>
  <c r="R127" i="26"/>
  <c r="Y127" i="26" s="1"/>
  <c r="AF127" i="26" s="1"/>
  <c r="R64" i="26"/>
  <c r="Y64" i="26" s="1"/>
  <c r="AF64" i="26" s="1"/>
  <c r="R43" i="26"/>
  <c r="Y43" i="26" s="1"/>
  <c r="AF43" i="26" s="1"/>
  <c r="R57" i="26"/>
  <c r="Y57" i="26" s="1"/>
  <c r="AF57" i="26" s="1"/>
  <c r="R121" i="26"/>
  <c r="Y121" i="26" s="1"/>
  <c r="AF121" i="26" s="1"/>
  <c r="R96" i="26"/>
  <c r="Y96" i="26" s="1"/>
  <c r="AF96" i="26" s="1"/>
  <c r="R76" i="26"/>
  <c r="Y76" i="26" s="1"/>
  <c r="AF76" i="26" s="1"/>
  <c r="R99" i="26"/>
  <c r="Y99" i="26" s="1"/>
  <c r="AF99" i="26" s="1"/>
  <c r="R122" i="26"/>
  <c r="Y122" i="26" s="1"/>
  <c r="AF122" i="26" s="1"/>
  <c r="R65" i="26"/>
  <c r="Y65" i="26" s="1"/>
  <c r="AF65" i="26" s="1"/>
  <c r="R36" i="26"/>
  <c r="Y36" i="26" s="1"/>
  <c r="AF36" i="26" s="1"/>
  <c r="R301" i="26"/>
  <c r="Y301" i="26" s="1"/>
  <c r="AF301" i="26" s="1"/>
  <c r="R738" i="26"/>
  <c r="Y738" i="26" s="1"/>
  <c r="AF738" i="26" s="1"/>
  <c r="R564" i="26"/>
  <c r="Y564" i="26" s="1"/>
  <c r="AF564" i="26" s="1"/>
  <c r="R532" i="26"/>
  <c r="Y532" i="26" s="1"/>
  <c r="AF532" i="26" s="1"/>
  <c r="R492" i="26"/>
  <c r="Y492" i="26" s="1"/>
  <c r="AF492" i="26" s="1"/>
  <c r="R452" i="26"/>
  <c r="Y452" i="26" s="1"/>
  <c r="AF452" i="26" s="1"/>
  <c r="R298" i="26"/>
  <c r="Y298" i="26" s="1"/>
  <c r="AF298" i="26" s="1"/>
  <c r="R733" i="26"/>
  <c r="Y733" i="26" s="1"/>
  <c r="AF733" i="26" s="1"/>
  <c r="R614" i="26"/>
  <c r="Y614" i="26" s="1"/>
  <c r="AF614" i="26" s="1"/>
  <c r="R555" i="26"/>
  <c r="Y555" i="26" s="1"/>
  <c r="AF555" i="26" s="1"/>
  <c r="R487" i="26"/>
  <c r="Y487" i="26" s="1"/>
  <c r="AF487" i="26" s="1"/>
  <c r="R483" i="26"/>
  <c r="Y483" i="26" s="1"/>
  <c r="AF483" i="26" s="1"/>
  <c r="R293" i="26"/>
  <c r="Y293" i="26" s="1"/>
  <c r="AF293" i="26" s="1"/>
  <c r="K19" i="25"/>
  <c r="R432" i="26"/>
  <c r="Y432" i="26" s="1"/>
  <c r="AF432" i="26" s="1"/>
  <c r="R385" i="26"/>
  <c r="Y385" i="26" s="1"/>
  <c r="AF385" i="26" s="1"/>
  <c r="R384" i="26"/>
  <c r="Y384" i="26" s="1"/>
  <c r="AF384" i="26" s="1"/>
  <c r="R660" i="26"/>
  <c r="Y660" i="26" s="1"/>
  <c r="AF660" i="26" s="1"/>
  <c r="R269" i="26"/>
  <c r="Y269" i="26" s="1"/>
  <c r="AF269" i="26" s="1"/>
  <c r="R315" i="26"/>
  <c r="Y315" i="26" s="1"/>
  <c r="AF315" i="26" s="1"/>
  <c r="R666" i="26"/>
  <c r="Y666" i="26" s="1"/>
  <c r="AF666" i="26" s="1"/>
  <c r="R444" i="26"/>
  <c r="Y444" i="26" s="1"/>
  <c r="AF444" i="26" s="1"/>
  <c r="R410" i="26"/>
  <c r="Y410" i="26" s="1"/>
  <c r="AF410" i="26" s="1"/>
  <c r="R332" i="26"/>
  <c r="Y332" i="26" s="1"/>
  <c r="AF332" i="26" s="1"/>
  <c r="R433" i="26"/>
  <c r="Y433" i="26" s="1"/>
  <c r="AF433" i="26" s="1"/>
  <c r="R343" i="26"/>
  <c r="Y343" i="26" s="1"/>
  <c r="AF343" i="26" s="1"/>
  <c r="R259" i="26"/>
  <c r="Y259" i="26" s="1"/>
  <c r="AF259" i="26" s="1"/>
  <c r="R260" i="26"/>
  <c r="Y260" i="26" s="1"/>
  <c r="AF260" i="26" s="1"/>
  <c r="R692" i="26"/>
  <c r="Y692" i="26" s="1"/>
  <c r="AF692" i="26" s="1"/>
  <c r="R698" i="26"/>
  <c r="Y698" i="26" s="1"/>
  <c r="AF698" i="26" s="1"/>
  <c r="R667" i="26"/>
  <c r="Y667" i="26" s="1"/>
  <c r="AF667" i="26" s="1"/>
  <c r="R282" i="26"/>
  <c r="Y282" i="26" s="1"/>
  <c r="AF282" i="26" s="1"/>
  <c r="R303" i="26"/>
  <c r="Y303" i="26" s="1"/>
  <c r="AF303" i="26" s="1"/>
  <c r="R704" i="26"/>
  <c r="Y704" i="26" s="1"/>
  <c r="AF704" i="26" s="1"/>
  <c r="R566" i="26"/>
  <c r="Y566" i="26" s="1"/>
  <c r="AF566" i="26" s="1"/>
  <c r="R534" i="26"/>
  <c r="Y534" i="26" s="1"/>
  <c r="AF534" i="26" s="1"/>
  <c r="R494" i="26"/>
  <c r="Y494" i="26" s="1"/>
  <c r="AF494" i="26" s="1"/>
  <c r="R455" i="26"/>
  <c r="Y455" i="26" s="1"/>
  <c r="AF455" i="26" s="1"/>
  <c r="R300" i="26"/>
  <c r="Y300" i="26" s="1"/>
  <c r="AF300" i="26" s="1"/>
  <c r="R735" i="26"/>
  <c r="Y735" i="26" s="1"/>
  <c r="AF735" i="26" s="1"/>
  <c r="R616" i="26"/>
  <c r="Y616" i="26" s="1"/>
  <c r="AF616" i="26" s="1"/>
  <c r="R557" i="26"/>
  <c r="Y557" i="26" s="1"/>
  <c r="AF557" i="26" s="1"/>
  <c r="R489" i="26"/>
  <c r="Y489" i="26" s="1"/>
  <c r="AF489" i="26" s="1"/>
  <c r="R485" i="26"/>
  <c r="Y485" i="26" s="1"/>
  <c r="AF485" i="26" s="1"/>
  <c r="R295" i="26"/>
  <c r="Y295" i="26" s="1"/>
  <c r="AF295" i="26" s="1"/>
  <c r="R309" i="26"/>
  <c r="Y309" i="26" s="1"/>
  <c r="AF309" i="26" s="1"/>
  <c r="R653" i="26"/>
  <c r="Y653" i="26" s="1"/>
  <c r="AF653" i="26" s="1"/>
  <c r="R655" i="26"/>
  <c r="Y655" i="26" s="1"/>
  <c r="AF655" i="26" s="1"/>
  <c r="R383" i="26"/>
  <c r="Y383" i="26" s="1"/>
  <c r="AF383" i="26" s="1"/>
  <c r="R423" i="26"/>
  <c r="Y423" i="26" s="1"/>
  <c r="AF423" i="26" s="1"/>
  <c r="R419" i="26"/>
  <c r="Y419" i="26" s="1"/>
  <c r="AF419" i="26" s="1"/>
  <c r="R664" i="26"/>
  <c r="Y664" i="26" s="1"/>
  <c r="AF664" i="26" s="1"/>
  <c r="R291" i="26"/>
  <c r="Y291" i="26" s="1"/>
  <c r="AF291" i="26" s="1"/>
  <c r="R599" i="26"/>
  <c r="Y599" i="26" s="1"/>
  <c r="AF599" i="26" s="1"/>
  <c r="R600" i="26"/>
  <c r="Y600" i="26" s="1"/>
  <c r="AF600" i="26" s="1"/>
  <c r="R321" i="26"/>
  <c r="Y321" i="26" s="1"/>
  <c r="AF321" i="26" s="1"/>
  <c r="R325" i="26"/>
  <c r="Y325" i="26" s="1"/>
  <c r="AF325" i="26" s="1"/>
  <c r="R406" i="26"/>
  <c r="Y406" i="26" s="1"/>
  <c r="AF406" i="26" s="1"/>
  <c r="R331" i="26"/>
  <c r="Y331" i="26" s="1"/>
  <c r="AF331" i="26" s="1"/>
  <c r="R337" i="26"/>
  <c r="Y337" i="26" s="1"/>
  <c r="AF337" i="26" s="1"/>
  <c r="R693" i="26"/>
  <c r="Y693" i="26" s="1"/>
  <c r="AF693" i="26" s="1"/>
  <c r="R526" i="26"/>
  <c r="Y526" i="26" s="1"/>
  <c r="AF526" i="26" s="1"/>
  <c r="R582" i="26"/>
  <c r="Y582" i="26" s="1"/>
  <c r="AF582" i="26" s="1"/>
  <c r="R341" i="26"/>
  <c r="Y341" i="26" s="1"/>
  <c r="AF341" i="26" s="1"/>
  <c r="R305" i="26"/>
  <c r="Y305" i="26" s="1"/>
  <c r="AF305" i="26" s="1"/>
  <c r="R706" i="26"/>
  <c r="Y706" i="26" s="1"/>
  <c r="AF706" i="26" s="1"/>
  <c r="R568" i="26"/>
  <c r="Y568" i="26" s="1"/>
  <c r="AF568" i="26" s="1"/>
  <c r="R536" i="26"/>
  <c r="Y536" i="26" s="1"/>
  <c r="AF536" i="26" s="1"/>
  <c r="R496" i="26"/>
  <c r="Y496" i="26" s="1"/>
  <c r="AF496" i="26" s="1"/>
  <c r="R457" i="26"/>
  <c r="Y457" i="26" s="1"/>
  <c r="AF457" i="26" s="1"/>
  <c r="R302" i="26"/>
  <c r="Y302" i="26" s="1"/>
  <c r="AF302" i="26" s="1"/>
  <c r="R737" i="26"/>
  <c r="Y737" i="26" s="1"/>
  <c r="AF737" i="26" s="1"/>
  <c r="R563" i="26"/>
  <c r="Y563" i="26" s="1"/>
  <c r="AF563" i="26" s="1"/>
  <c r="R531" i="26"/>
  <c r="Y531" i="26" s="1"/>
  <c r="AF531" i="26" s="1"/>
  <c r="R491" i="26"/>
  <c r="Y491" i="26" s="1"/>
  <c r="AF491" i="26" s="1"/>
  <c r="R451" i="26"/>
  <c r="Y451" i="26" s="1"/>
  <c r="AF451" i="26" s="1"/>
  <c r="R400" i="26"/>
  <c r="Y400" i="26" s="1"/>
  <c r="AF400" i="26" s="1"/>
  <c r="R562" i="26"/>
  <c r="Y562" i="26" s="1"/>
  <c r="AF562" i="26" s="1"/>
  <c r="R429" i="26"/>
  <c r="Y429" i="26" s="1"/>
  <c r="AF429" i="26" s="1"/>
  <c r="R288" i="26"/>
  <c r="Y288" i="26" s="1"/>
  <c r="AF288" i="26" s="1"/>
  <c r="R675" i="26"/>
  <c r="Y675" i="26" s="1"/>
  <c r="AF675" i="26" s="1"/>
  <c r="R418" i="26"/>
  <c r="Y418" i="26" s="1"/>
  <c r="AF418" i="26" s="1"/>
  <c r="R529" i="26"/>
  <c r="Y529" i="26" s="1"/>
  <c r="AF529" i="26" s="1"/>
  <c r="R308" i="26"/>
  <c r="Y308" i="26" s="1"/>
  <c r="AF308" i="26" s="1"/>
  <c r="R275" i="26"/>
  <c r="Y275" i="26" s="1"/>
  <c r="AF275" i="26" s="1"/>
  <c r="R439" i="26"/>
  <c r="Y439" i="26" s="1"/>
  <c r="AF439" i="26" s="1"/>
  <c r="R602" i="26"/>
  <c r="Y602" i="26" s="1"/>
  <c r="AF602" i="26" s="1"/>
  <c r="R604" i="26"/>
  <c r="Y604" i="26" s="1"/>
  <c r="AF604" i="26" s="1"/>
  <c r="R720" i="26"/>
  <c r="Y720" i="26" s="1"/>
  <c r="AF720" i="26" s="1"/>
  <c r="R607" i="26"/>
  <c r="Y607" i="26" s="1"/>
  <c r="AF607" i="26" s="1"/>
  <c r="R609" i="26"/>
  <c r="Y609" i="26" s="1"/>
  <c r="AF609" i="26" s="1"/>
  <c r="R330" i="26"/>
  <c r="Y330" i="26" s="1"/>
  <c r="AF330" i="26" s="1"/>
  <c r="R699" i="26"/>
  <c r="Y699" i="26" s="1"/>
  <c r="AF699" i="26" s="1"/>
  <c r="R278" i="26"/>
  <c r="Y278" i="26" s="1"/>
  <c r="AF278" i="26" s="1"/>
  <c r="R670" i="26"/>
  <c r="Y670" i="26" s="1"/>
  <c r="AF670" i="26" s="1"/>
  <c r="R271" i="26"/>
  <c r="Y271" i="26" s="1"/>
  <c r="AF271" i="26" s="1"/>
  <c r="R708" i="26"/>
  <c r="Y708" i="26" s="1"/>
  <c r="AF708" i="26" s="1"/>
  <c r="R570" i="26"/>
  <c r="Y570" i="26" s="1"/>
  <c r="AF570" i="26" s="1"/>
  <c r="R538" i="26"/>
  <c r="Y538" i="26" s="1"/>
  <c r="AF538" i="26" s="1"/>
  <c r="R498" i="26"/>
  <c r="Y498" i="26" s="1"/>
  <c r="AF498" i="26" s="1"/>
  <c r="R459" i="26"/>
  <c r="Y459" i="26" s="1"/>
  <c r="AF459" i="26" s="1"/>
  <c r="R304" i="26"/>
  <c r="Y304" i="26" s="1"/>
  <c r="AF304" i="26" s="1"/>
  <c r="R703" i="26"/>
  <c r="Y703" i="26" s="1"/>
  <c r="AF703" i="26" s="1"/>
  <c r="R565" i="26"/>
  <c r="Y565" i="26" s="1"/>
  <c r="AF565" i="26" s="1"/>
  <c r="R533" i="26"/>
  <c r="Y533" i="26" s="1"/>
  <c r="AF533" i="26" s="1"/>
  <c r="R493" i="26"/>
  <c r="Y493" i="26" s="1"/>
  <c r="AF493" i="26" s="1"/>
  <c r="R453" i="26"/>
  <c r="Y453" i="26" s="1"/>
  <c r="AF453" i="26" s="1"/>
  <c r="R651" i="26"/>
  <c r="Y651" i="26" s="1"/>
  <c r="AF651" i="26" s="1"/>
  <c r="R336" i="26"/>
  <c r="Y336" i="26" s="1"/>
  <c r="AF336" i="26" s="1"/>
  <c r="R264" i="26"/>
  <c r="Y264" i="26" s="1"/>
  <c r="AF264" i="26" s="1"/>
  <c r="R382" i="26"/>
  <c r="Y382" i="26" s="1"/>
  <c r="AF382" i="26" s="1"/>
  <c r="R335" i="26"/>
  <c r="Y335" i="26" s="1"/>
  <c r="AF335" i="26" s="1"/>
  <c r="R334" i="26"/>
  <c r="Y334" i="26" s="1"/>
  <c r="AF334" i="26" s="1"/>
  <c r="R595" i="26"/>
  <c r="Y595" i="26" s="1"/>
  <c r="AF595" i="26" s="1"/>
  <c r="R631" i="26"/>
  <c r="Y631" i="26" s="1"/>
  <c r="AF631" i="26" s="1"/>
  <c r="R414" i="26"/>
  <c r="Y414" i="26" s="1"/>
  <c r="AF414" i="26" s="1"/>
  <c r="R713" i="26"/>
  <c r="Y713" i="26" s="1"/>
  <c r="AF713" i="26" s="1"/>
  <c r="R374" i="26"/>
  <c r="Y374" i="26" s="1"/>
  <c r="AF374" i="26" s="1"/>
  <c r="R324" i="26"/>
  <c r="Y324" i="26" s="1"/>
  <c r="AF324" i="26" s="1"/>
  <c r="R466" i="26"/>
  <c r="Y466" i="26" s="1"/>
  <c r="AF466" i="26" s="1"/>
  <c r="R684" i="26"/>
  <c r="Y684" i="26" s="1"/>
  <c r="AF684" i="26" s="1"/>
  <c r="R620" i="26"/>
  <c r="Y620" i="26" s="1"/>
  <c r="AF620" i="26" s="1"/>
  <c r="R344" i="26"/>
  <c r="Y344" i="26" s="1"/>
  <c r="AF344" i="26" s="1"/>
  <c r="R372" i="26"/>
  <c r="Y372" i="26" s="1"/>
  <c r="AF372" i="26" s="1"/>
  <c r="R279" i="26"/>
  <c r="Y279" i="26" s="1"/>
  <c r="AF279" i="26" s="1"/>
  <c r="R283" i="26"/>
  <c r="Y283" i="26" s="1"/>
  <c r="AF283" i="26" s="1"/>
  <c r="R454" i="26"/>
  <c r="Y454" i="26" s="1"/>
  <c r="AF454" i="26" s="1"/>
  <c r="R710" i="26"/>
  <c r="Y710" i="26" s="1"/>
  <c r="AF710" i="26" s="1"/>
  <c r="R572" i="26"/>
  <c r="Y572" i="26" s="1"/>
  <c r="AF572" i="26" s="1"/>
  <c r="R540" i="26"/>
  <c r="Y540" i="26" s="1"/>
  <c r="AF540" i="26" s="1"/>
  <c r="R500" i="26"/>
  <c r="Y500" i="26" s="1"/>
  <c r="AF500" i="26" s="1"/>
  <c r="R461" i="26"/>
  <c r="Y461" i="26" s="1"/>
  <c r="AF461" i="26" s="1"/>
  <c r="R306" i="26"/>
  <c r="Y306" i="26" s="1"/>
  <c r="AF306" i="26" s="1"/>
  <c r="R705" i="26"/>
  <c r="Y705" i="26" s="1"/>
  <c r="AF705" i="26" s="1"/>
  <c r="R567" i="26"/>
  <c r="Y567" i="26" s="1"/>
  <c r="AF567" i="26" s="1"/>
  <c r="R535" i="26"/>
  <c r="Y535" i="26" s="1"/>
  <c r="AF535" i="26" s="1"/>
  <c r="R495" i="26"/>
  <c r="Y495" i="26" s="1"/>
  <c r="AF495" i="26" s="1"/>
  <c r="R456" i="26"/>
  <c r="Y456" i="26" s="1"/>
  <c r="AF456" i="26" s="1"/>
  <c r="R399" i="26"/>
  <c r="Y399" i="26" s="1"/>
  <c r="AF399" i="26" s="1"/>
  <c r="R286" i="26"/>
  <c r="Y286" i="26" s="1"/>
  <c r="AF286" i="26" s="1"/>
  <c r="R624" i="26"/>
  <c r="Y624" i="26" s="1"/>
  <c r="AF624" i="26" s="1"/>
  <c r="R658" i="26"/>
  <c r="Y658" i="26" s="1"/>
  <c r="AF658" i="26" s="1"/>
  <c r="R268" i="26"/>
  <c r="Y268" i="26" s="1"/>
  <c r="AF268" i="26" s="1"/>
  <c r="R630" i="26"/>
  <c r="Y630" i="26" s="1"/>
  <c r="AF630" i="26" s="1"/>
  <c r="R354" i="26"/>
  <c r="Y354" i="26" s="1"/>
  <c r="AF354" i="26" s="1"/>
  <c r="R597" i="26"/>
  <c r="Y597" i="26" s="1"/>
  <c r="AF597" i="26" s="1"/>
  <c r="R413" i="26"/>
  <c r="Y413" i="26" s="1"/>
  <c r="AF413" i="26" s="1"/>
  <c r="R438" i="26"/>
  <c r="Y438" i="26" s="1"/>
  <c r="AF438" i="26" s="1"/>
  <c r="R592" i="26"/>
  <c r="Y592" i="26" s="1"/>
  <c r="AF592" i="26" s="1"/>
  <c r="R718" i="26"/>
  <c r="Y718" i="26" s="1"/>
  <c r="AF718" i="26" s="1"/>
  <c r="R370" i="26"/>
  <c r="Y370" i="26" s="1"/>
  <c r="AF370" i="26" s="1"/>
  <c r="R619" i="26"/>
  <c r="Y619" i="26" s="1"/>
  <c r="AF619" i="26" s="1"/>
  <c r="R327" i="26"/>
  <c r="Y327" i="26" s="1"/>
  <c r="AF327" i="26" s="1"/>
  <c r="R612" i="26"/>
  <c r="Y612" i="26" s="1"/>
  <c r="AF612" i="26" s="1"/>
  <c r="R580" i="26"/>
  <c r="Y580" i="26" s="1"/>
  <c r="AF580" i="26" s="1"/>
  <c r="R342" i="26"/>
  <c r="Y342" i="26" s="1"/>
  <c r="AF342" i="26" s="1"/>
  <c r="R284" i="26"/>
  <c r="Y284" i="26" s="1"/>
  <c r="AF284" i="26" s="1"/>
  <c r="R739" i="26"/>
  <c r="Y739" i="26" s="1"/>
  <c r="AF739" i="26" s="1"/>
  <c r="R633" i="26"/>
  <c r="Y633" i="26" s="1"/>
  <c r="AF633" i="26" s="1"/>
  <c r="R574" i="26"/>
  <c r="Y574" i="26" s="1"/>
  <c r="AF574" i="26" s="1"/>
  <c r="R506" i="26"/>
  <c r="Y506" i="26" s="1"/>
  <c r="AF506" i="26" s="1"/>
  <c r="R502" i="26"/>
  <c r="Y502" i="26" s="1"/>
  <c r="AF502" i="26" s="1"/>
  <c r="R463" i="26"/>
  <c r="Y463" i="26" s="1"/>
  <c r="AF463" i="26" s="1"/>
  <c r="R272" i="26"/>
  <c r="Y272" i="26" s="1"/>
  <c r="AF272" i="26" s="1"/>
  <c r="R707" i="26"/>
  <c r="Y707" i="26" s="1"/>
  <c r="AF707" i="26" s="1"/>
  <c r="R569" i="26"/>
  <c r="Y569" i="26" s="1"/>
  <c r="AF569" i="26" s="1"/>
  <c r="R537" i="26"/>
  <c r="Y537" i="26" s="1"/>
  <c r="AF537" i="26" s="1"/>
  <c r="R497" i="26"/>
  <c r="Y497" i="26" s="1"/>
  <c r="AF497" i="26" s="1"/>
  <c r="R458" i="26"/>
  <c r="Y458" i="26" s="1"/>
  <c r="AF458" i="26" s="1"/>
  <c r="R561" i="26"/>
  <c r="Y561" i="26" s="1"/>
  <c r="AF561" i="26" s="1"/>
  <c r="R263" i="26"/>
  <c r="Y263" i="26" s="1"/>
  <c r="AF263" i="26" s="1"/>
  <c r="R265" i="26"/>
  <c r="Y265" i="26" s="1"/>
  <c r="AF265" i="26" s="1"/>
  <c r="R376" i="26"/>
  <c r="Y376" i="26" s="1"/>
  <c r="AF376" i="26" s="1"/>
  <c r="R422" i="26"/>
  <c r="Y422" i="26" s="1"/>
  <c r="AF422" i="26" s="1"/>
  <c r="R381" i="26"/>
  <c r="Y381" i="26" s="1"/>
  <c r="AF381" i="26" s="1"/>
  <c r="R312" i="26"/>
  <c r="Y312" i="26" s="1"/>
  <c r="AF312" i="26" s="1"/>
  <c r="R328" i="26"/>
  <c r="Y328" i="26" s="1"/>
  <c r="AF328" i="26" s="1"/>
  <c r="R591" i="26"/>
  <c r="Y591" i="26" s="1"/>
  <c r="AF591" i="26" s="1"/>
  <c r="R679" i="26"/>
  <c r="Y679" i="26" s="1"/>
  <c r="AF679" i="26" s="1"/>
  <c r="R437" i="26"/>
  <c r="Y437" i="26" s="1"/>
  <c r="AF437" i="26" s="1"/>
  <c r="R468" i="26"/>
  <c r="Y468" i="26" s="1"/>
  <c r="AF468" i="26" s="1"/>
  <c r="R606" i="26"/>
  <c r="Y606" i="26" s="1"/>
  <c r="AF606" i="26" s="1"/>
  <c r="R375" i="26"/>
  <c r="Y375" i="26" s="1"/>
  <c r="AF375" i="26" s="1"/>
  <c r="R689" i="26"/>
  <c r="Y689" i="26" s="1"/>
  <c r="AF689" i="26" s="1"/>
  <c r="R694" i="26"/>
  <c r="Y694" i="26" s="1"/>
  <c r="AF694" i="26" s="1"/>
  <c r="R700" i="26"/>
  <c r="Y700" i="26" s="1"/>
  <c r="AF700" i="26" s="1"/>
  <c r="R252" i="26"/>
  <c r="Y252" i="26" s="1"/>
  <c r="AF252" i="26" s="1"/>
  <c r="R314" i="26"/>
  <c r="Y314" i="26" s="1"/>
  <c r="AF314" i="26" s="1"/>
  <c r="R742" i="26"/>
  <c r="Y742" i="26" s="1"/>
  <c r="AF742" i="26" s="1"/>
  <c r="R558" i="26"/>
  <c r="Y558" i="26" s="1"/>
  <c r="AF558" i="26" s="1"/>
  <c r="R576" i="26"/>
  <c r="Y576" i="26" s="1"/>
  <c r="AF576" i="26" s="1"/>
  <c r="R508" i="26"/>
  <c r="Y508" i="26" s="1"/>
  <c r="AF508" i="26" s="1"/>
  <c r="R504" i="26"/>
  <c r="Y504" i="26" s="1"/>
  <c r="AF504" i="26" s="1"/>
  <c r="R391" i="26"/>
  <c r="Y391" i="26" s="1"/>
  <c r="AF391" i="26" s="1"/>
  <c r="R273" i="26"/>
  <c r="Y273" i="26" s="1"/>
  <c r="AF273" i="26" s="1"/>
  <c r="R709" i="26"/>
  <c r="Y709" i="26" s="1"/>
  <c r="AF709" i="26" s="1"/>
  <c r="R571" i="26"/>
  <c r="Y571" i="26" s="1"/>
  <c r="AF571" i="26" s="1"/>
  <c r="R539" i="26"/>
  <c r="Y539" i="26" s="1"/>
  <c r="AF539" i="26" s="1"/>
  <c r="R499" i="26"/>
  <c r="Y499" i="26" s="1"/>
  <c r="AF499" i="26" s="1"/>
  <c r="R460" i="26"/>
  <c r="Y460" i="26" s="1"/>
  <c r="AF460" i="26" s="1"/>
  <c r="R744" i="26"/>
  <c r="Y744" i="26" s="1"/>
  <c r="AF744" i="26" s="1"/>
  <c r="R637" i="26"/>
  <c r="Y637" i="26" s="1"/>
  <c r="AF637" i="26" s="1"/>
  <c r="R542" i="26"/>
  <c r="Y542" i="26" s="1"/>
  <c r="AF542" i="26" s="1"/>
  <c r="R510" i="26"/>
  <c r="Y510" i="26" s="1"/>
  <c r="AF510" i="26" s="1"/>
  <c r="R470" i="26"/>
  <c r="Y470" i="26" s="1"/>
  <c r="AF470" i="26" s="1"/>
  <c r="R393" i="26"/>
  <c r="Y393" i="26" s="1"/>
  <c r="AF393" i="26" s="1"/>
  <c r="R740" i="26"/>
  <c r="Y740" i="26" s="1"/>
  <c r="AF740" i="26" s="1"/>
  <c r="R711" i="26"/>
  <c r="Y711" i="26" s="1"/>
  <c r="AF711" i="26" s="1"/>
  <c r="R573" i="26"/>
  <c r="Y573" i="26" s="1"/>
  <c r="AF573" i="26" s="1"/>
  <c r="R505" i="26"/>
  <c r="Y505" i="26" s="1"/>
  <c r="AF505" i="26" s="1"/>
  <c r="R501" i="26"/>
  <c r="Y501" i="26" s="1"/>
  <c r="AF501" i="26" s="1"/>
  <c r="R462" i="26"/>
  <c r="Y462" i="26" s="1"/>
  <c r="AF462" i="26" s="1"/>
  <c r="R672" i="26"/>
  <c r="Y672" i="26" s="1"/>
  <c r="AF672" i="26" s="1"/>
  <c r="R587" i="26"/>
  <c r="Y587" i="26" s="1"/>
  <c r="AF587" i="26" s="1"/>
  <c r="R355" i="26"/>
  <c r="Y355" i="26" s="1"/>
  <c r="AF355" i="26" s="1"/>
  <c r="R425" i="26"/>
  <c r="Y425" i="26" s="1"/>
  <c r="AF425" i="26" s="1"/>
  <c r="R253" i="26"/>
  <c r="Y253" i="26" s="1"/>
  <c r="AF253" i="26" s="1"/>
  <c r="R270" i="26"/>
  <c r="Y270" i="26" s="1"/>
  <c r="AF270" i="26" s="1"/>
  <c r="R254" i="26"/>
  <c r="Y254" i="26" s="1"/>
  <c r="AF254" i="26" s="1"/>
  <c r="R528" i="26"/>
  <c r="Y528" i="26" s="1"/>
  <c r="AF528" i="26" s="1"/>
  <c r="R412" i="26"/>
  <c r="Y412" i="26" s="1"/>
  <c r="AF412" i="26" s="1"/>
  <c r="R338" i="26"/>
  <c r="Y338" i="26" s="1"/>
  <c r="AF338" i="26" s="1"/>
  <c r="R350" i="26"/>
  <c r="Y350" i="26" s="1"/>
  <c r="AF350" i="26" s="1"/>
  <c r="R357" i="26"/>
  <c r="Y357" i="26" s="1"/>
  <c r="AF357" i="26" s="1"/>
  <c r="R683" i="26"/>
  <c r="Y683" i="26" s="1"/>
  <c r="AF683" i="26" s="1"/>
  <c r="R403" i="26"/>
  <c r="Y403" i="26" s="1"/>
  <c r="AF403" i="26" s="1"/>
  <c r="R560" i="26"/>
  <c r="Y560" i="26" s="1"/>
  <c r="AF560" i="26" s="1"/>
  <c r="R249" i="26"/>
  <c r="Y249" i="26" s="1"/>
  <c r="AF249" i="26" s="1"/>
  <c r="R701" i="26"/>
  <c r="Y701" i="26" s="1"/>
  <c r="AF701" i="26" s="1"/>
  <c r="R583" i="26"/>
  <c r="Y583" i="26" s="1"/>
  <c r="AF583" i="26" s="1"/>
  <c r="R389" i="26"/>
  <c r="Y389" i="26" s="1"/>
  <c r="AF389" i="26" s="1"/>
  <c r="R639" i="26"/>
  <c r="Y639" i="26" s="1"/>
  <c r="AF639" i="26" s="1"/>
  <c r="R512" i="26"/>
  <c r="Y512" i="26" s="1"/>
  <c r="AF512" i="26" s="1"/>
  <c r="R396" i="26"/>
  <c r="Y396" i="26" s="1"/>
  <c r="AF396" i="26" s="1"/>
  <c r="R634" i="26"/>
  <c r="Y634" i="26" s="1"/>
  <c r="AF634" i="26" s="1"/>
  <c r="R507" i="26"/>
  <c r="Y507" i="26" s="1"/>
  <c r="AF507" i="26" s="1"/>
  <c r="R390" i="26"/>
  <c r="Y390" i="26" s="1"/>
  <c r="AF390" i="26" s="1"/>
  <c r="R641" i="26"/>
  <c r="Y641" i="26" s="1"/>
  <c r="AF641" i="26" s="1"/>
  <c r="R514" i="26"/>
  <c r="Y514" i="26" s="1"/>
  <c r="AF514" i="26" s="1"/>
  <c r="R361" i="26"/>
  <c r="Y361" i="26" s="1"/>
  <c r="AF361" i="26" s="1"/>
  <c r="R636" i="26"/>
  <c r="Y636" i="26" s="1"/>
  <c r="AF636" i="26" s="1"/>
  <c r="R509" i="26"/>
  <c r="Y509" i="26" s="1"/>
  <c r="AF509" i="26" s="1"/>
  <c r="R392" i="26"/>
  <c r="Y392" i="26" s="1"/>
  <c r="AF392" i="26" s="1"/>
  <c r="R643" i="26"/>
  <c r="Y643" i="26" s="1"/>
  <c r="AF643" i="26" s="1"/>
  <c r="R516" i="26"/>
  <c r="Y516" i="26" s="1"/>
  <c r="AF516" i="26" s="1"/>
  <c r="R363" i="26"/>
  <c r="Y363" i="26" s="1"/>
  <c r="AF363" i="26" s="1"/>
  <c r="R638" i="26"/>
  <c r="Y638" i="26" s="1"/>
  <c r="AF638" i="26" s="1"/>
  <c r="R511" i="26"/>
  <c r="Y511" i="26" s="1"/>
  <c r="AF511" i="26" s="1"/>
  <c r="R394" i="26"/>
  <c r="Y394" i="26" s="1"/>
  <c r="AF394" i="26" s="1"/>
  <c r="R645" i="26"/>
  <c r="Y645" i="26" s="1"/>
  <c r="AF645" i="26" s="1"/>
  <c r="R518" i="26"/>
  <c r="Y518" i="26" s="1"/>
  <c r="AF518" i="26" s="1"/>
  <c r="R365" i="26"/>
  <c r="Y365" i="26" s="1"/>
  <c r="AF365" i="26" s="1"/>
  <c r="R640" i="26"/>
  <c r="Y640" i="26" s="1"/>
  <c r="AF640" i="26" s="1"/>
  <c r="R513" i="26"/>
  <c r="Y513" i="26" s="1"/>
  <c r="AF513" i="26" s="1"/>
  <c r="R395" i="26"/>
  <c r="Y395" i="26" s="1"/>
  <c r="AF395" i="26" s="1"/>
  <c r="R673" i="26"/>
  <c r="Y673" i="26" s="1"/>
  <c r="AF673" i="26" s="1"/>
  <c r="R656" i="26"/>
  <c r="Y656" i="26" s="1"/>
  <c r="AF656" i="26" s="1"/>
  <c r="R628" i="26"/>
  <c r="Y628" i="26" s="1"/>
  <c r="AF628" i="26" s="1"/>
  <c r="R415" i="26"/>
  <c r="Y415" i="26" s="1"/>
  <c r="AF415" i="26" s="1"/>
  <c r="R317" i="26"/>
  <c r="Y317" i="26" s="1"/>
  <c r="AF317" i="26" s="1"/>
  <c r="R347" i="26"/>
  <c r="Y347" i="26" s="1"/>
  <c r="AF347" i="26" s="1"/>
  <c r="R313" i="26"/>
  <c r="Y313" i="26" s="1"/>
  <c r="AF313" i="26" s="1"/>
  <c r="R404" i="26"/>
  <c r="Y404" i="26" s="1"/>
  <c r="AF404" i="26" s="1"/>
  <c r="R359" i="26"/>
  <c r="Y359" i="26" s="1"/>
  <c r="AF359" i="26" s="1"/>
  <c r="R276" i="26"/>
  <c r="Y276" i="26" s="1"/>
  <c r="AF276" i="26" s="1"/>
  <c r="R346" i="26"/>
  <c r="Y346" i="26" s="1"/>
  <c r="AF346" i="26" s="1"/>
  <c r="R647" i="26"/>
  <c r="Y647" i="26" s="1"/>
  <c r="AF647" i="26" s="1"/>
  <c r="R520" i="26"/>
  <c r="Y520" i="26" s="1"/>
  <c r="AF520" i="26" s="1"/>
  <c r="R367" i="26"/>
  <c r="Y367" i="26" s="1"/>
  <c r="AF367" i="26" s="1"/>
  <c r="R642" i="26"/>
  <c r="Y642" i="26" s="1"/>
  <c r="AF642" i="26" s="1"/>
  <c r="R515" i="26"/>
  <c r="Y515" i="26" s="1"/>
  <c r="AF515" i="26" s="1"/>
  <c r="R362" i="26"/>
  <c r="Y362" i="26" s="1"/>
  <c r="AF362" i="26" s="1"/>
  <c r="R622" i="26"/>
  <c r="Y622" i="26" s="1"/>
  <c r="AF622" i="26" s="1"/>
  <c r="R322" i="26"/>
  <c r="Y322" i="26" s="1"/>
  <c r="AF322" i="26" s="1"/>
  <c r="R323" i="26"/>
  <c r="Y323" i="26" s="1"/>
  <c r="AF323" i="26" s="1"/>
  <c r="R356" i="26"/>
  <c r="Y356" i="26" s="1"/>
  <c r="AF356" i="26" s="1"/>
  <c r="R598" i="26"/>
  <c r="Y598" i="26" s="1"/>
  <c r="AF598" i="26" s="1"/>
  <c r="R601" i="26"/>
  <c r="Y601" i="26" s="1"/>
  <c r="AF601" i="26" s="1"/>
  <c r="R605" i="26"/>
  <c r="Y605" i="26" s="1"/>
  <c r="AF605" i="26" s="1"/>
  <c r="R687" i="26"/>
  <c r="Y687" i="26" s="1"/>
  <c r="AF687" i="26" s="1"/>
  <c r="R611" i="26"/>
  <c r="Y611" i="26" s="1"/>
  <c r="AF611" i="26" s="1"/>
  <c r="R307" i="26"/>
  <c r="Y307" i="26" s="1"/>
  <c r="AF307" i="26" s="1"/>
  <c r="R285" i="26"/>
  <c r="Y285" i="26" s="1"/>
  <c r="AF285" i="26" s="1"/>
  <c r="R635" i="26"/>
  <c r="Y635" i="26" s="1"/>
  <c r="AF635" i="26" s="1"/>
  <c r="R613" i="26"/>
  <c r="Y613" i="26" s="1"/>
  <c r="AF613" i="26" s="1"/>
  <c r="R522" i="26"/>
  <c r="Y522" i="26" s="1"/>
  <c r="AF522" i="26" s="1"/>
  <c r="R369" i="26"/>
  <c r="Y369" i="26" s="1"/>
  <c r="AF369" i="26" s="1"/>
  <c r="R644" i="26"/>
  <c r="Y644" i="26" s="1"/>
  <c r="AF644" i="26" s="1"/>
  <c r="R517" i="26"/>
  <c r="Y517" i="26" s="1"/>
  <c r="AF517" i="26" s="1"/>
  <c r="R364" i="26"/>
  <c r="Y364" i="26" s="1"/>
  <c r="AF364" i="26" s="1"/>
  <c r="R397" i="26"/>
  <c r="Y397" i="26" s="1"/>
  <c r="AF397" i="26" s="1"/>
  <c r="R657" i="26"/>
  <c r="Y657" i="26" s="1"/>
  <c r="AF657" i="26" s="1"/>
  <c r="R420" i="26"/>
  <c r="Y420" i="26" s="1"/>
  <c r="AF420" i="26" s="1"/>
  <c r="R665" i="26"/>
  <c r="Y665" i="26" s="1"/>
  <c r="AF665" i="26" s="1"/>
  <c r="R445" i="26"/>
  <c r="Y445" i="26" s="1"/>
  <c r="AF445" i="26" s="1"/>
  <c r="R409" i="26"/>
  <c r="Y409" i="26" s="1"/>
  <c r="AF409" i="26" s="1"/>
  <c r="R467" i="26"/>
  <c r="Y467" i="26" s="1"/>
  <c r="AF467" i="26" s="1"/>
  <c r="R649" i="26"/>
  <c r="Y649" i="26" s="1"/>
  <c r="AF649" i="26" s="1"/>
  <c r="R371" i="26"/>
  <c r="Y371" i="26" s="1"/>
  <c r="AF371" i="26" s="1"/>
  <c r="R525" i="26"/>
  <c r="Y525" i="26" s="1"/>
  <c r="AF525" i="26" s="1"/>
  <c r="R353" i="26"/>
  <c r="Y353" i="26" s="1"/>
  <c r="AF353" i="26" s="1"/>
  <c r="R297" i="26"/>
  <c r="Y297" i="26" s="1"/>
  <c r="AF297" i="26" s="1"/>
  <c r="R615" i="26"/>
  <c r="Y615" i="26" s="1"/>
  <c r="AF615" i="26" s="1"/>
  <c r="R488" i="26"/>
  <c r="Y488" i="26" s="1"/>
  <c r="AF488" i="26" s="1"/>
  <c r="R294" i="26"/>
  <c r="Y294" i="26" s="1"/>
  <c r="AF294" i="26" s="1"/>
  <c r="R646" i="26"/>
  <c r="Y646" i="26" s="1"/>
  <c r="AF646" i="26" s="1"/>
  <c r="R519" i="26"/>
  <c r="Y519" i="26" s="1"/>
  <c r="AF519" i="26" s="1"/>
  <c r="R366" i="26"/>
  <c r="Y366" i="26" s="1"/>
  <c r="AF366" i="26" s="1"/>
  <c r="R734" i="26"/>
  <c r="Y734" i="26" s="1"/>
  <c r="AF734" i="26" s="1"/>
  <c r="R480" i="26"/>
  <c r="Y480" i="26" s="1"/>
  <c r="AF480" i="26" s="1"/>
  <c r="R543" i="26"/>
  <c r="Y543" i="26" s="1"/>
  <c r="AF543" i="26" s="1"/>
  <c r="R430" i="26"/>
  <c r="Y430" i="26" s="1"/>
  <c r="AF430" i="26" s="1"/>
  <c r="R320" i="26"/>
  <c r="Y320" i="26" s="1"/>
  <c r="AF320" i="26" s="1"/>
  <c r="R339" i="26"/>
  <c r="Y339" i="26" s="1"/>
  <c r="AF339" i="26" s="1"/>
  <c r="R441" i="26"/>
  <c r="Y441" i="26" s="1"/>
  <c r="AF441" i="26" s="1"/>
  <c r="R257" i="26"/>
  <c r="Y257" i="26" s="1"/>
  <c r="AF257" i="26" s="1"/>
  <c r="R685" i="26"/>
  <c r="Y685" i="26" s="1"/>
  <c r="AF685" i="26" s="1"/>
  <c r="R691" i="26"/>
  <c r="Y691" i="26" s="1"/>
  <c r="AF691" i="26" s="1"/>
  <c r="R524" i="26"/>
  <c r="Y524" i="26" s="1"/>
  <c r="AF524" i="26" s="1"/>
  <c r="R736" i="26"/>
  <c r="Y736" i="26" s="1"/>
  <c r="AF736" i="26" s="1"/>
  <c r="R482" i="26"/>
  <c r="Y482" i="26" s="1"/>
  <c r="AF482" i="26" s="1"/>
  <c r="R545" i="26"/>
  <c r="Y545" i="26" s="1"/>
  <c r="AF545" i="26" s="1"/>
  <c r="R387" i="26"/>
  <c r="Y387" i="26" s="1"/>
  <c r="AF387" i="26" s="1"/>
  <c r="R267" i="26"/>
  <c r="Y267" i="26" s="1"/>
  <c r="AF267" i="26" s="1"/>
  <c r="R450" i="26"/>
  <c r="Y450" i="26" s="1"/>
  <c r="AF450" i="26" s="1"/>
  <c r="R333" i="26"/>
  <c r="Y333" i="26" s="1"/>
  <c r="AF333" i="26" s="1"/>
  <c r="R681" i="26"/>
  <c r="Y681" i="26" s="1"/>
  <c r="AF681" i="26" s="1"/>
  <c r="R405" i="26"/>
  <c r="Y405" i="26" s="1"/>
  <c r="AF405" i="26" s="1"/>
  <c r="R248" i="26"/>
  <c r="Y248" i="26" s="1"/>
  <c r="AF248" i="26" s="1"/>
  <c r="R668" i="26"/>
  <c r="Y668" i="26" s="1"/>
  <c r="AF668" i="26" s="1"/>
  <c r="R617" i="26"/>
  <c r="Y617" i="26" s="1"/>
  <c r="AF617" i="26" s="1"/>
  <c r="R484" i="26"/>
  <c r="Y484" i="26" s="1"/>
  <c r="AF484" i="26" s="1"/>
  <c r="R547" i="26"/>
  <c r="Y547" i="26" s="1"/>
  <c r="AF547" i="26" s="1"/>
  <c r="R544" i="26"/>
  <c r="Y544" i="26" s="1"/>
  <c r="AF544" i="26" s="1"/>
  <c r="R486" i="26"/>
  <c r="Y486" i="26" s="1"/>
  <c r="AF486" i="26" s="1"/>
  <c r="R549" i="26"/>
  <c r="Y549" i="26" s="1"/>
  <c r="AF549" i="26" s="1"/>
  <c r="R386" i="26"/>
  <c r="Y386" i="26" s="1"/>
  <c r="AF386" i="26" s="1"/>
  <c r="R421" i="26"/>
  <c r="Y421" i="26" s="1"/>
  <c r="AF421" i="26" s="1"/>
  <c r="R590" i="26"/>
  <c r="Y590" i="26" s="1"/>
  <c r="AF590" i="26" s="1"/>
  <c r="R712" i="26"/>
  <c r="Y712" i="26" s="1"/>
  <c r="AF712" i="26" s="1"/>
  <c r="R593" i="26"/>
  <c r="Y593" i="26" s="1"/>
  <c r="AF593" i="26" s="1"/>
  <c r="R686" i="26"/>
  <c r="Y686" i="26" s="1"/>
  <c r="AF686" i="26" s="1"/>
  <c r="R577" i="26"/>
  <c r="Y577" i="26" s="1"/>
  <c r="AF577" i="26" s="1"/>
  <c r="R280" i="26"/>
  <c r="Y280" i="26" s="1"/>
  <c r="AF280" i="26" s="1"/>
  <c r="R546" i="26"/>
  <c r="Y546" i="26" s="1"/>
  <c r="AF546" i="26" s="1"/>
  <c r="R296" i="26"/>
  <c r="Y296" i="26" s="1"/>
  <c r="AF296" i="26" s="1"/>
  <c r="R551" i="26"/>
  <c r="Y551" i="26" s="1"/>
  <c r="AF551" i="26" s="1"/>
  <c r="R625" i="26"/>
  <c r="Y625" i="26" s="1"/>
  <c r="AF625" i="26" s="1"/>
  <c r="R661" i="26"/>
  <c r="Y661" i="26" s="1"/>
  <c r="AF661" i="26" s="1"/>
  <c r="R449" i="26"/>
  <c r="Y449" i="26" s="1"/>
  <c r="AF449" i="26" s="1"/>
  <c r="R411" i="26"/>
  <c r="Y411" i="26" s="1"/>
  <c r="AF411" i="26" s="1"/>
  <c r="R603" i="26"/>
  <c r="Y603" i="26" s="1"/>
  <c r="AF603" i="26" s="1"/>
  <c r="R618" i="26"/>
  <c r="Y618" i="26" s="1"/>
  <c r="AF618" i="26" s="1"/>
  <c r="R352" i="26"/>
  <c r="Y352" i="26" s="1"/>
  <c r="AF352" i="26" s="1"/>
  <c r="R281" i="26"/>
  <c r="Y281" i="26" s="1"/>
  <c r="AF281" i="26" s="1"/>
  <c r="R548" i="26"/>
  <c r="Y548" i="26" s="1"/>
  <c r="AF548" i="26" s="1"/>
  <c r="R741" i="26"/>
  <c r="Y741" i="26" s="1"/>
  <c r="AF741" i="26" s="1"/>
  <c r="R553" i="26"/>
  <c r="Y553" i="26" s="1"/>
  <c r="AF553" i="26" s="1"/>
  <c r="R261" i="26"/>
  <c r="Y261" i="26" s="1"/>
  <c r="AF261" i="26" s="1"/>
  <c r="R428" i="26"/>
  <c r="Y428" i="26" s="1"/>
  <c r="AF428" i="26" s="1"/>
  <c r="R629" i="26"/>
  <c r="Y629" i="26" s="1"/>
  <c r="AF629" i="26" s="1"/>
  <c r="R596" i="26"/>
  <c r="Y596" i="26" s="1"/>
  <c r="AF596" i="26" s="1"/>
  <c r="R440" i="26"/>
  <c r="Y440" i="26" s="1"/>
  <c r="AF440" i="26" s="1"/>
  <c r="R717" i="26"/>
  <c r="Y717" i="26" s="1"/>
  <c r="AF717" i="26" s="1"/>
  <c r="R464" i="26"/>
  <c r="Y464" i="26" s="1"/>
  <c r="AF464" i="26" s="1"/>
  <c r="R696" i="26"/>
  <c r="Y696" i="26" s="1"/>
  <c r="AF696" i="26" s="1"/>
  <c r="R373" i="26"/>
  <c r="Y373" i="26" s="1"/>
  <c r="AF373" i="26" s="1"/>
  <c r="R550" i="26"/>
  <c r="Y550" i="26" s="1"/>
  <c r="AF550" i="26" s="1"/>
  <c r="R743" i="26"/>
  <c r="Y743" i="26" s="1"/>
  <c r="AF743" i="26" s="1"/>
  <c r="R521" i="26"/>
  <c r="Y521" i="26" s="1"/>
  <c r="AF521" i="26" s="1"/>
  <c r="R586" i="26"/>
  <c r="Y586" i="26" s="1"/>
  <c r="AF586" i="26" s="1"/>
  <c r="R287" i="26"/>
  <c r="Y287" i="26" s="1"/>
  <c r="AF287" i="26" s="1"/>
  <c r="R676" i="26"/>
  <c r="Y676" i="26" s="1"/>
  <c r="AF676" i="26" s="1"/>
  <c r="R448" i="26"/>
  <c r="Y448" i="26" s="1"/>
  <c r="AF448" i="26" s="1"/>
  <c r="R378" i="26"/>
  <c r="Y378" i="26" s="1"/>
  <c r="AF378" i="26" s="1"/>
  <c r="R408" i="26"/>
  <c r="Y408" i="26" s="1"/>
  <c r="AF408" i="26" s="1"/>
  <c r="R402" i="26"/>
  <c r="Y402" i="26" s="1"/>
  <c r="AF402" i="26" s="1"/>
  <c r="R578" i="26"/>
  <c r="Y578" i="26" s="1"/>
  <c r="AF578" i="26" s="1"/>
  <c r="R292" i="26"/>
  <c r="Y292" i="26" s="1"/>
  <c r="AF292" i="26" s="1"/>
  <c r="R476" i="26"/>
  <c r="Y476" i="26" s="1"/>
  <c r="AF476" i="26" s="1"/>
  <c r="R477" i="26"/>
  <c r="Y477" i="26" s="1"/>
  <c r="AF477" i="26" s="1"/>
  <c r="R588" i="26"/>
  <c r="Y588" i="26" s="1"/>
  <c r="AF588" i="26" s="1"/>
  <c r="R318" i="26"/>
  <c r="Y318" i="26" s="1"/>
  <c r="AF318" i="26" s="1"/>
  <c r="R436" i="26"/>
  <c r="Y436" i="26" s="1"/>
  <c r="AF436" i="26" s="1"/>
  <c r="R608" i="26"/>
  <c r="Y608" i="26" s="1"/>
  <c r="AF608" i="26" s="1"/>
  <c r="R277" i="26"/>
  <c r="Y277" i="26" s="1"/>
  <c r="AF277" i="26" s="1"/>
  <c r="R478" i="26"/>
  <c r="Y478" i="26" s="1"/>
  <c r="AF478" i="26" s="1"/>
  <c r="R479" i="26"/>
  <c r="Y479" i="26" s="1"/>
  <c r="AF479" i="26" s="1"/>
  <c r="R266" i="26"/>
  <c r="Y266" i="26" s="1"/>
  <c r="AF266" i="26" s="1"/>
  <c r="R447" i="26"/>
  <c r="Y447" i="26" s="1"/>
  <c r="AF447" i="26" s="1"/>
  <c r="R716" i="26"/>
  <c r="Y716" i="26" s="1"/>
  <c r="AF716" i="26" s="1"/>
  <c r="R559" i="26"/>
  <c r="Y559" i="26" s="1"/>
  <c r="AF559" i="26" s="1"/>
  <c r="R584" i="26"/>
  <c r="Y584" i="26" s="1"/>
  <c r="AF584" i="26" s="1"/>
  <c r="R299" i="26"/>
  <c r="Y299" i="26" s="1"/>
  <c r="AF299" i="26" s="1"/>
  <c r="R721" i="26"/>
  <c r="Y721" i="26" s="1"/>
  <c r="AF721" i="26" s="1"/>
  <c r="R481" i="26"/>
  <c r="Y481" i="26" s="1"/>
  <c r="AF481" i="26" s="1"/>
  <c r="R398" i="26"/>
  <c r="Y398" i="26" s="1"/>
  <c r="AF398" i="26" s="1"/>
  <c r="R659" i="26"/>
  <c r="Y659" i="26" s="1"/>
  <c r="AF659" i="26" s="1"/>
  <c r="R677" i="26"/>
  <c r="Y677" i="26" s="1"/>
  <c r="AF677" i="26" s="1"/>
  <c r="R435" i="26"/>
  <c r="Y435" i="26" s="1"/>
  <c r="AF435" i="26" s="1"/>
  <c r="R650" i="26"/>
  <c r="Y650" i="26" s="1"/>
  <c r="AF650" i="26" s="1"/>
  <c r="R319" i="26"/>
  <c r="Y319" i="26" s="1"/>
  <c r="AF319" i="26" s="1"/>
  <c r="R722" i="26"/>
  <c r="Y722" i="26" s="1"/>
  <c r="AF722" i="26" s="1"/>
  <c r="R723" i="26"/>
  <c r="Y723" i="26" s="1"/>
  <c r="AF723" i="26" s="1"/>
  <c r="R368" i="26"/>
  <c r="Y368" i="26" s="1"/>
  <c r="AF368" i="26" s="1"/>
  <c r="R652" i="26"/>
  <c r="Y652" i="26" s="1"/>
  <c r="AF652" i="26" s="1"/>
  <c r="R289" i="26"/>
  <c r="Y289" i="26" s="1"/>
  <c r="AF289" i="26" s="1"/>
  <c r="R632" i="26"/>
  <c r="Y632" i="26" s="1"/>
  <c r="AF632" i="26" s="1"/>
  <c r="R434" i="26"/>
  <c r="Y434" i="26" s="1"/>
  <c r="AF434" i="26" s="1"/>
  <c r="R401" i="26"/>
  <c r="Y401" i="26" s="1"/>
  <c r="AF401" i="26" s="1"/>
  <c r="R669" i="26"/>
  <c r="Y669" i="26" s="1"/>
  <c r="AF669" i="26" s="1"/>
  <c r="R724" i="26"/>
  <c r="Y724" i="26" s="1"/>
  <c r="AF724" i="26" s="1"/>
  <c r="R725" i="26"/>
  <c r="Y725" i="26" s="1"/>
  <c r="AF725" i="26" s="1"/>
  <c r="R340" i="26"/>
  <c r="Y340" i="26" s="1"/>
  <c r="AF340" i="26" s="1"/>
  <c r="R627" i="26"/>
  <c r="Y627" i="26" s="1"/>
  <c r="AF627" i="26" s="1"/>
  <c r="R379" i="26"/>
  <c r="Y379" i="26" s="1"/>
  <c r="AF379" i="26" s="1"/>
  <c r="R719" i="26"/>
  <c r="Y719" i="26" s="1"/>
  <c r="AF719" i="26" s="1"/>
  <c r="R621" i="26"/>
  <c r="Y621" i="26" s="1"/>
  <c r="AF621" i="26" s="1"/>
  <c r="R585" i="26"/>
  <c r="Y585" i="26" s="1"/>
  <c r="AF585" i="26" s="1"/>
  <c r="R726" i="26"/>
  <c r="Y726" i="26" s="1"/>
  <c r="AF726" i="26" s="1"/>
  <c r="R727" i="26"/>
  <c r="Y727" i="26" s="1"/>
  <c r="AF727" i="26" s="1"/>
  <c r="R262" i="26"/>
  <c r="Y262" i="26" s="1"/>
  <c r="AF262" i="26" s="1"/>
  <c r="R424" i="26"/>
  <c r="Y424" i="26" s="1"/>
  <c r="AF424" i="26" s="1"/>
  <c r="R678" i="26"/>
  <c r="Y678" i="26" s="1"/>
  <c r="AF678" i="26" s="1"/>
  <c r="R310" i="26"/>
  <c r="Y310" i="26" s="1"/>
  <c r="AF310" i="26" s="1"/>
  <c r="R690" i="26"/>
  <c r="Y690" i="26" s="1"/>
  <c r="AF690" i="26" s="1"/>
  <c r="R388" i="26"/>
  <c r="Y388" i="26" s="1"/>
  <c r="AF388" i="26" s="1"/>
  <c r="R728" i="26"/>
  <c r="Y728" i="26" s="1"/>
  <c r="AF728" i="26" s="1"/>
  <c r="R729" i="26"/>
  <c r="Y729" i="26" s="1"/>
  <c r="AF729" i="26" s="1"/>
  <c r="R431" i="26"/>
  <c r="Y431" i="26" s="1"/>
  <c r="AF431" i="26" s="1"/>
  <c r="R662" i="26"/>
  <c r="Y662" i="26" s="1"/>
  <c r="AF662" i="26" s="1"/>
  <c r="R446" i="26"/>
  <c r="Y446" i="26" s="1"/>
  <c r="AF446" i="26" s="1"/>
  <c r="R682" i="26"/>
  <c r="Y682" i="26" s="1"/>
  <c r="AF682" i="26" s="1"/>
  <c r="R610" i="26"/>
  <c r="Y610" i="26" s="1"/>
  <c r="AF610" i="26" s="1"/>
  <c r="R671" i="26"/>
  <c r="Y671" i="26" s="1"/>
  <c r="AF671" i="26" s="1"/>
  <c r="R730" i="26"/>
  <c r="Y730" i="26" s="1"/>
  <c r="AF730" i="26" s="1"/>
  <c r="R473" i="26"/>
  <c r="Y473" i="26" s="1"/>
  <c r="AF473" i="26" s="1"/>
  <c r="R290" i="26"/>
  <c r="Y290" i="26" s="1"/>
  <c r="AF290" i="26" s="1"/>
  <c r="R416" i="26"/>
  <c r="Y416" i="26" s="1"/>
  <c r="AF416" i="26" s="1"/>
  <c r="R465" i="26"/>
  <c r="Y465" i="26" s="1"/>
  <c r="AF465" i="26" s="1"/>
  <c r="R731" i="26"/>
  <c r="Y731" i="26" s="1"/>
  <c r="AF731" i="26" s="1"/>
  <c r="R475" i="26"/>
  <c r="Y475" i="26" s="1"/>
  <c r="AF475" i="26" s="1"/>
  <c r="R623" i="26"/>
  <c r="Y623" i="26" s="1"/>
  <c r="AF623" i="26" s="1"/>
  <c r="R349" i="26"/>
  <c r="Y349" i="26" s="1"/>
  <c r="AF349" i="26" s="1"/>
  <c r="R594" i="26"/>
  <c r="Y594" i="26" s="1"/>
  <c r="AF594" i="26" s="1"/>
  <c r="R552" i="26"/>
  <c r="Y552" i="26" s="1"/>
  <c r="AF552" i="26" s="1"/>
  <c r="R358" i="26"/>
  <c r="Y358" i="26" s="1"/>
  <c r="AF358" i="26" s="1"/>
  <c r="R443" i="26"/>
  <c r="Y443" i="26" s="1"/>
  <c r="AF443" i="26" s="1"/>
  <c r="R360" i="26"/>
  <c r="Y360" i="26" s="1"/>
  <c r="AF360" i="26" s="1"/>
  <c r="R554" i="26"/>
  <c r="Y554" i="26" s="1"/>
  <c r="AF554" i="26" s="1"/>
  <c r="R654" i="26"/>
  <c r="Y654" i="26" s="1"/>
  <c r="AF654" i="26" s="1"/>
  <c r="R442" i="26"/>
  <c r="Y442" i="26" s="1"/>
  <c r="AF442" i="26" s="1"/>
  <c r="R688" i="26"/>
  <c r="Y688" i="26" s="1"/>
  <c r="AF688" i="26" s="1"/>
  <c r="R556" i="26"/>
  <c r="Y556" i="26" s="1"/>
  <c r="AF556" i="26" s="1"/>
  <c r="R348" i="26"/>
  <c r="Y348" i="26" s="1"/>
  <c r="AF348" i="26" s="1"/>
  <c r="R255" i="26"/>
  <c r="Y255" i="26" s="1"/>
  <c r="AF255" i="26" s="1"/>
  <c r="R695" i="26"/>
  <c r="Y695" i="26" s="1"/>
  <c r="AF695" i="26" s="1"/>
  <c r="R274" i="26"/>
  <c r="Y274" i="26" s="1"/>
  <c r="AF274" i="26" s="1"/>
  <c r="R427" i="26"/>
  <c r="Y427" i="26" s="1"/>
  <c r="AF427" i="26" s="1"/>
  <c r="R316" i="26"/>
  <c r="Y316" i="26" s="1"/>
  <c r="AF316" i="26" s="1"/>
  <c r="R250" i="26"/>
  <c r="Y250" i="26" s="1"/>
  <c r="AF250" i="26" s="1"/>
  <c r="R490" i="26"/>
  <c r="Y490" i="26" s="1"/>
  <c r="AF490" i="26" s="1"/>
  <c r="R472" i="26"/>
  <c r="Y472" i="26" s="1"/>
  <c r="AF472" i="26" s="1"/>
  <c r="R380" i="26"/>
  <c r="Y380" i="26" s="1"/>
  <c r="AF380" i="26" s="1"/>
  <c r="R251" i="26"/>
  <c r="Y251" i="26" s="1"/>
  <c r="AF251" i="26" s="1"/>
  <c r="R474" i="26"/>
  <c r="Y474" i="26" s="1"/>
  <c r="AF474" i="26" s="1"/>
  <c r="R256" i="26"/>
  <c r="Y256" i="26" s="1"/>
  <c r="AF256" i="26" s="1"/>
  <c r="R702" i="26"/>
  <c r="Y702" i="26" s="1"/>
  <c r="AF702" i="26" s="1"/>
  <c r="R732" i="26"/>
  <c r="Y732" i="26" s="1"/>
  <c r="AF732" i="26" s="1"/>
  <c r="R326" i="26"/>
  <c r="Y326" i="26" s="1"/>
  <c r="AF326" i="26" s="1"/>
  <c r="R648" i="26"/>
  <c r="Y648" i="26" s="1"/>
  <c r="AF648" i="26" s="1"/>
  <c r="R714" i="26"/>
  <c r="Y714" i="26" s="1"/>
  <c r="AF714" i="26" s="1"/>
  <c r="R575" i="26"/>
  <c r="Y575" i="26" s="1"/>
  <c r="AF575" i="26" s="1"/>
  <c r="R715" i="26"/>
  <c r="Y715" i="26" s="1"/>
  <c r="AF715" i="26" s="1"/>
  <c r="R541" i="26"/>
  <c r="Y541" i="26" s="1"/>
  <c r="AF541" i="26" s="1"/>
  <c r="R680" i="26"/>
  <c r="Y680" i="26" s="1"/>
  <c r="AF680" i="26" s="1"/>
  <c r="R503" i="26"/>
  <c r="Y503" i="26" s="1"/>
  <c r="AF503" i="26" s="1"/>
  <c r="R527" i="26"/>
  <c r="Y527" i="26" s="1"/>
  <c r="AF527" i="26" s="1"/>
  <c r="R469" i="26"/>
  <c r="Y469" i="26" s="1"/>
  <c r="AF469" i="26" s="1"/>
  <c r="R426" i="26"/>
  <c r="Y426" i="26" s="1"/>
  <c r="AF426" i="26" s="1"/>
  <c r="R581" i="26"/>
  <c r="Y581" i="26" s="1"/>
  <c r="AF581" i="26" s="1"/>
  <c r="R471" i="26"/>
  <c r="Y471" i="26" s="1"/>
  <c r="AF471" i="26" s="1"/>
  <c r="R626" i="26"/>
  <c r="Y626" i="26" s="1"/>
  <c r="AF626" i="26" s="1"/>
  <c r="R311" i="26"/>
  <c r="Y311" i="26" s="1"/>
  <c r="AF311" i="26" s="1"/>
  <c r="R417" i="26"/>
  <c r="Y417" i="26" s="1"/>
  <c r="AF417" i="26" s="1"/>
  <c r="R377" i="26"/>
  <c r="Y377" i="26" s="1"/>
  <c r="AF377" i="26" s="1"/>
  <c r="R530" i="26"/>
  <c r="Y530" i="26" s="1"/>
  <c r="AF530" i="26" s="1"/>
  <c r="R589" i="26"/>
  <c r="Y589" i="26" s="1"/>
  <c r="AF589" i="26" s="1"/>
  <c r="R523" i="26"/>
  <c r="Y523" i="26" s="1"/>
  <c r="AF523" i="26" s="1"/>
  <c r="R258" i="26"/>
  <c r="Y258" i="26" s="1"/>
  <c r="AF258" i="26" s="1"/>
  <c r="R351" i="26"/>
  <c r="Y351" i="26" s="1"/>
  <c r="AF351" i="26" s="1"/>
  <c r="R697" i="26"/>
  <c r="Y697" i="26" s="1"/>
  <c r="AF697" i="26" s="1"/>
  <c r="R345" i="26"/>
  <c r="Y345" i="26" s="1"/>
  <c r="AF345" i="26" s="1"/>
  <c r="R329" i="26"/>
  <c r="Y329" i="26" s="1"/>
  <c r="AF329" i="26" s="1"/>
  <c r="R674" i="26"/>
  <c r="Y674" i="26" s="1"/>
  <c r="AF674" i="26" s="1"/>
  <c r="R663" i="26"/>
  <c r="Y663" i="26" s="1"/>
  <c r="AF663" i="26" s="1"/>
  <c r="R407" i="26"/>
  <c r="Y407" i="26" s="1"/>
  <c r="AF407" i="26" s="1"/>
  <c r="R579" i="26"/>
  <c r="Y579" i="26" s="1"/>
  <c r="AF579" i="26" s="1"/>
  <c r="D41" i="38" l="1"/>
  <c r="D43" i="38"/>
  <c r="H8" i="38"/>
  <c r="D42" i="38"/>
  <c r="AB753" i="26"/>
  <c r="AB149" i="26"/>
  <c r="AB207" i="26"/>
  <c r="AB230" i="26"/>
  <c r="AB215" i="26"/>
  <c r="AB658" i="26"/>
  <c r="AB706" i="26"/>
  <c r="AB608" i="26"/>
  <c r="AB519" i="26"/>
  <c r="AB377" i="26"/>
  <c r="AB524" i="26"/>
  <c r="AB591" i="26"/>
  <c r="AB573" i="26"/>
  <c r="AB278" i="26"/>
  <c r="AB504" i="26"/>
  <c r="AB610" i="26"/>
  <c r="AB705" i="26"/>
  <c r="AB418" i="26"/>
  <c r="AB341" i="26"/>
  <c r="AB368" i="26"/>
  <c r="AB348" i="26"/>
  <c r="AB556" i="26"/>
  <c r="AB722" i="26"/>
  <c r="AB354" i="26"/>
  <c r="AB731" i="26"/>
  <c r="AB329" i="26"/>
  <c r="AB425" i="26"/>
  <c r="AB614" i="26"/>
  <c r="AB587" i="26"/>
  <c r="AB557" i="26"/>
  <c r="AB412" i="26"/>
  <c r="AB317" i="26"/>
  <c r="AB661" i="26"/>
  <c r="AB680" i="26"/>
  <c r="AB353" i="26"/>
  <c r="AB90" i="26"/>
  <c r="AB115" i="26"/>
  <c r="AB26" i="26"/>
  <c r="AB59" i="26"/>
  <c r="AB96" i="26"/>
  <c r="AB86" i="26"/>
  <c r="AB120" i="26"/>
  <c r="AB774" i="26"/>
  <c r="AB779" i="26"/>
  <c r="AB172" i="26"/>
  <c r="AB236" i="26"/>
  <c r="AB156" i="26"/>
  <c r="AB336" i="26"/>
  <c r="AB19" i="26"/>
  <c r="E40" i="38" s="1"/>
  <c r="AB748" i="26"/>
  <c r="AB761" i="26"/>
  <c r="AB782" i="26"/>
  <c r="AB790" i="26"/>
  <c r="AB148" i="26"/>
  <c r="AB182" i="26"/>
  <c r="AB163" i="26"/>
  <c r="AB232" i="26"/>
  <c r="AB165" i="26"/>
  <c r="AB214" i="26"/>
  <c r="AB223" i="26"/>
  <c r="AB659" i="26"/>
  <c r="AB426" i="26"/>
  <c r="AB449" i="26"/>
  <c r="AB595" i="26"/>
  <c r="AB491" i="26"/>
  <c r="AB314" i="26"/>
  <c r="AB639" i="26"/>
  <c r="AB714" i="26"/>
  <c r="AB615" i="26"/>
  <c r="AB393" i="26"/>
  <c r="AB324" i="26"/>
  <c r="AB454" i="26"/>
  <c r="AB516" i="26"/>
  <c r="AB594" i="26"/>
  <c r="AB692" i="26"/>
  <c r="AB500" i="26"/>
  <c r="AB503" i="26"/>
  <c r="AB331" i="26"/>
  <c r="AB332" i="26"/>
  <c r="AB321" i="26"/>
  <c r="AB710" i="26"/>
  <c r="AB351" i="26"/>
  <c r="AB716" i="26"/>
  <c r="AB549" i="26"/>
  <c r="AB701" i="26"/>
  <c r="AB457" i="26"/>
  <c r="AB409" i="26"/>
  <c r="AB580" i="26"/>
  <c r="AB598" i="26"/>
  <c r="AB651" i="26"/>
  <c r="AB254" i="26"/>
  <c r="AB53" i="26"/>
  <c r="AB134" i="26"/>
  <c r="AB24" i="26"/>
  <c r="AB95" i="26"/>
  <c r="AB79" i="26"/>
  <c r="AB82" i="26"/>
  <c r="AB113" i="26"/>
  <c r="AB121" i="26"/>
  <c r="D40" i="38"/>
  <c r="AB771" i="26"/>
  <c r="AB760" i="26"/>
  <c r="AB791" i="26"/>
  <c r="AB778" i="26"/>
  <c r="AB174" i="26"/>
  <c r="AB151" i="26"/>
  <c r="AB225" i="26"/>
  <c r="AB164" i="26"/>
  <c r="AB146" i="26"/>
  <c r="AB141" i="26"/>
  <c r="AB201" i="26"/>
  <c r="AB660" i="26"/>
  <c r="AB438" i="26"/>
  <c r="AB507" i="26"/>
  <c r="AB363" i="26"/>
  <c r="AB609" i="26"/>
  <c r="AB273" i="26"/>
  <c r="AB481" i="26"/>
  <c r="AB319" i="26"/>
  <c r="AB483" i="26"/>
  <c r="AB290" i="26"/>
  <c r="AB545" i="26"/>
  <c r="AB623" i="26"/>
  <c r="AB334" i="26"/>
  <c r="AB325" i="26"/>
  <c r="AB667" i="26"/>
  <c r="AB396" i="26"/>
  <c r="AB553" i="26"/>
  <c r="AB463" i="26"/>
  <c r="AB482" i="26"/>
  <c r="AB546" i="26"/>
  <c r="AB473" i="26"/>
  <c r="AB298" i="26"/>
  <c r="AB370" i="26"/>
  <c r="AB292" i="26"/>
  <c r="AB670" i="26"/>
  <c r="AB543" i="26"/>
  <c r="AB530" i="26"/>
  <c r="AB724" i="26"/>
  <c r="AB602" i="26"/>
  <c r="AB308" i="26"/>
  <c r="AB335" i="26"/>
  <c r="AB21" i="26"/>
  <c r="AB77" i="26"/>
  <c r="AB37" i="26"/>
  <c r="AB80" i="26"/>
  <c r="AB34" i="26"/>
  <c r="AB76" i="26"/>
  <c r="AB127" i="26"/>
  <c r="AB75" i="26"/>
  <c r="E41" i="38" s="1"/>
  <c r="AB752" i="26"/>
  <c r="AB218" i="26"/>
  <c r="AB246" i="26"/>
  <c r="AB158" i="26"/>
  <c r="AB175" i="26"/>
  <c r="AB139" i="26"/>
  <c r="AB217" i="26"/>
  <c r="AB245" i="26"/>
  <c r="AB665" i="26"/>
  <c r="AB391" i="26"/>
  <c r="AB439" i="26"/>
  <c r="AB388" i="26"/>
  <c r="AB618" i="26"/>
  <c r="AB509" i="26"/>
  <c r="AB576" i="26"/>
  <c r="AB326" i="26"/>
  <c r="AB622" i="26"/>
  <c r="AB533" i="26"/>
  <c r="AB514" i="26"/>
  <c r="AB597" i="26"/>
  <c r="AB551" i="26"/>
  <c r="AB378" i="26"/>
  <c r="AB255" i="26"/>
  <c r="AB312" i="26"/>
  <c r="AB735" i="26"/>
  <c r="AB626" i="26"/>
  <c r="AB729" i="26"/>
  <c r="AB517" i="26"/>
  <c r="AB311" i="26"/>
  <c r="AB460" i="26"/>
  <c r="AB442" i="26"/>
  <c r="AB448" i="26"/>
  <c r="AB318" i="26"/>
  <c r="AB299" i="26"/>
  <c r="AB259" i="26"/>
  <c r="AB734" i="26"/>
  <c r="AB606" i="26"/>
  <c r="AB662" i="26"/>
  <c r="AB681" i="26"/>
  <c r="AB32" i="26"/>
  <c r="AB64" i="26"/>
  <c r="AB49" i="26"/>
  <c r="AB128" i="26"/>
  <c r="AB65" i="26"/>
  <c r="AB129" i="26"/>
  <c r="AB36" i="26"/>
  <c r="AB133" i="26"/>
  <c r="AB759" i="26"/>
  <c r="AB789" i="26"/>
  <c r="AB755" i="26"/>
  <c r="AB765" i="26"/>
  <c r="AB226" i="26"/>
  <c r="AB231" i="26"/>
  <c r="AB242" i="26"/>
  <c r="AB137" i="26"/>
  <c r="AB238" i="26"/>
  <c r="AB186" i="26"/>
  <c r="AB192" i="26"/>
  <c r="AB467" i="26"/>
  <c r="AB528" i="26"/>
  <c r="AB570" i="26"/>
  <c r="AB567" i="26"/>
  <c r="AB450" i="26"/>
  <c r="AB540" i="26"/>
  <c r="AB300" i="26"/>
  <c r="AB443" i="26"/>
  <c r="AB568" i="26"/>
  <c r="AB306" i="26"/>
  <c r="AB629" i="26"/>
  <c r="AB605" i="26"/>
  <c r="AB493" i="26"/>
  <c r="AB635" i="26"/>
  <c r="AB592" i="26"/>
  <c r="AB320" i="26"/>
  <c r="AB563" i="26"/>
  <c r="AB502" i="26"/>
  <c r="AB289" i="26"/>
  <c r="AB316" i="26"/>
  <c r="AB392" i="26"/>
  <c r="AB345" i="26"/>
  <c r="AB288" i="26"/>
  <c r="AB542" i="26"/>
  <c r="AB678" i="26"/>
  <c r="AB470" i="26"/>
  <c r="AB572" i="26"/>
  <c r="AB429" i="26"/>
  <c r="AB562" i="26"/>
  <c r="AB294" i="26"/>
  <c r="AB258" i="26"/>
  <c r="AB97" i="26"/>
  <c r="AB74" i="26"/>
  <c r="AB114" i="26"/>
  <c r="AB130" i="26"/>
  <c r="AB110" i="26"/>
  <c r="AB72" i="26"/>
  <c r="AB71" i="26"/>
  <c r="AB106" i="26"/>
  <c r="AB777" i="26"/>
  <c r="AB220" i="26"/>
  <c r="AB190" i="26"/>
  <c r="AB689" i="26"/>
  <c r="AB565" i="26"/>
  <c r="AB366" i="26"/>
  <c r="AB358" i="26"/>
  <c r="AB646" i="26"/>
  <c r="AB612" i="26"/>
  <c r="AB552" i="26"/>
  <c r="AB350" i="26"/>
  <c r="AB48" i="26"/>
  <c r="AB41" i="26"/>
  <c r="AB764" i="26"/>
  <c r="AB193" i="26"/>
  <c r="AB233" i="26"/>
  <c r="AB721" i="26"/>
  <c r="AB302" i="26"/>
  <c r="AB474" i="26"/>
  <c r="AB284" i="26"/>
  <c r="AB420" i="26"/>
  <c r="AB265" i="26"/>
  <c r="AB116" i="26"/>
  <c r="AB126" i="26"/>
  <c r="AB787" i="26"/>
  <c r="AB776" i="26"/>
  <c r="AB150" i="26"/>
  <c r="AB209" i="26"/>
  <c r="AB168" i="26"/>
  <c r="AB698" i="26"/>
  <c r="AB634" i="26"/>
  <c r="AB581" i="26"/>
  <c r="AB405" i="26"/>
  <c r="AB492" i="26"/>
  <c r="AB571" i="26"/>
  <c r="AB604" i="26"/>
  <c r="AB656" i="26"/>
  <c r="AB124" i="26"/>
  <c r="AB611" i="26"/>
  <c r="AB704" i="26"/>
  <c r="AB22" i="26"/>
  <c r="AB20" i="26"/>
  <c r="AB758" i="26"/>
  <c r="AB188" i="26"/>
  <c r="AB166" i="26"/>
  <c r="AB645" i="26"/>
  <c r="AB430" i="26"/>
  <c r="AB322" i="26"/>
  <c r="AB590" i="26"/>
  <c r="AB468" i="26"/>
  <c r="AB638" i="26"/>
  <c r="AB84" i="26"/>
  <c r="AB29" i="26"/>
  <c r="AB784" i="26"/>
  <c r="AB421" i="26"/>
  <c r="AB682" i="26"/>
  <c r="AB15" i="26"/>
  <c r="AB785" i="26"/>
  <c r="AB745" i="26"/>
  <c r="AB189" i="26"/>
  <c r="AB234" i="26"/>
  <c r="AB740" i="26"/>
  <c r="AB441" i="26"/>
  <c r="AB601" i="26"/>
  <c r="AB252" i="26"/>
  <c r="AB459" i="26"/>
  <c r="AB668" i="26"/>
  <c r="AB617" i="26"/>
  <c r="AB269" i="26"/>
  <c r="AB485" i="26"/>
  <c r="AB104" i="26"/>
  <c r="AB9" i="26"/>
  <c r="BP794" i="26"/>
  <c r="BQ795" i="26"/>
  <c r="BS795" i="26"/>
  <c r="AB772" i="26"/>
  <c r="AB247" i="26"/>
  <c r="AB433" i="26"/>
  <c r="AB346" i="26"/>
  <c r="AB641" i="26"/>
  <c r="AB529" i="26"/>
  <c r="AB248" i="26"/>
  <c r="AB286" i="26"/>
  <c r="AB657" i="26"/>
  <c r="AB297" i="26"/>
  <c r="AB663" i="26"/>
  <c r="AB88" i="26"/>
  <c r="AB17" i="26"/>
  <c r="AB184" i="26"/>
  <c r="AB600" i="26"/>
  <c r="AB479" i="26"/>
  <c r="AB461" i="26"/>
  <c r="AB428" i="26"/>
  <c r="AB419" i="26"/>
  <c r="AB283" i="26"/>
  <c r="AB38" i="26"/>
  <c r="AB211" i="26"/>
  <c r="AB355" i="26"/>
  <c r="AB621" i="26"/>
  <c r="AB310" i="26"/>
  <c r="AB726" i="26"/>
  <c r="AB344" i="26"/>
  <c r="AB102" i="26"/>
  <c r="E39" i="38" s="1"/>
  <c r="AB775" i="26"/>
  <c r="AB750" i="26"/>
  <c r="AB786" i="26"/>
  <c r="AB227" i="26"/>
  <c r="AB219" i="26"/>
  <c r="AB160" i="26"/>
  <c r="AB216" i="26"/>
  <c r="AB239" i="26"/>
  <c r="AB155" i="26"/>
  <c r="AB208" i="26"/>
  <c r="AB451" i="26"/>
  <c r="AB649" i="26"/>
  <c r="AB574" i="26"/>
  <c r="AB384" i="26"/>
  <c r="AB703" i="26"/>
  <c r="AB686" i="26"/>
  <c r="AB379" i="26"/>
  <c r="AB330" i="26"/>
  <c r="AB652" i="26"/>
  <c r="AB577" i="26"/>
  <c r="AB675" i="26"/>
  <c r="AB508" i="26"/>
  <c r="AB548" i="26"/>
  <c r="AB462" i="26"/>
  <c r="AB547" i="26"/>
  <c r="AB475" i="26"/>
  <c r="AB413" i="26"/>
  <c r="AB390" i="26"/>
  <c r="AB367" i="26"/>
  <c r="AB301" i="26"/>
  <c r="AB673" i="26"/>
  <c r="AB627" i="26"/>
  <c r="AB305" i="26"/>
  <c r="AB251" i="26"/>
  <c r="AB262" i="26"/>
  <c r="AB280" i="26"/>
  <c r="AB515" i="26"/>
  <c r="AB693" i="26"/>
  <c r="AB718" i="26"/>
  <c r="AB279" i="26"/>
  <c r="AB404" i="26"/>
  <c r="AB44" i="26"/>
  <c r="AB99" i="26"/>
  <c r="AB92" i="26"/>
  <c r="AB40" i="26"/>
  <c r="AB94" i="26"/>
  <c r="AB25" i="26"/>
  <c r="AB81" i="26"/>
  <c r="AB10" i="26"/>
  <c r="AB756" i="26"/>
  <c r="AB640" i="26"/>
  <c r="AB582" i="26"/>
  <c r="AB712" i="26"/>
  <c r="AB687" i="26"/>
  <c r="AB593" i="26"/>
  <c r="AB101" i="26"/>
  <c r="AB159" i="26"/>
  <c r="AB179" i="26"/>
  <c r="AB380" i="26"/>
  <c r="AB267" i="26"/>
  <c r="AB624" i="26"/>
  <c r="AB476" i="26"/>
  <c r="AB277" i="26"/>
  <c r="AB613" i="26"/>
  <c r="AB628" i="26"/>
  <c r="AB431" i="26"/>
  <c r="AB337" i="26"/>
  <c r="AB57" i="26"/>
  <c r="AB46" i="26"/>
  <c r="AB792" i="26"/>
  <c r="AB196" i="26"/>
  <c r="AB177" i="26"/>
  <c r="AB596" i="26"/>
  <c r="AB313" i="26"/>
  <c r="AB415" i="26"/>
  <c r="AB579" i="26"/>
  <c r="AB250" i="26"/>
  <c r="AB730" i="26"/>
  <c r="AB78" i="26"/>
  <c r="AB51" i="26"/>
  <c r="AB793" i="26"/>
  <c r="AB169" i="26"/>
  <c r="AB472" i="26"/>
  <c r="AB697" i="26"/>
  <c r="AB397" i="26"/>
  <c r="AB394" i="26"/>
  <c r="AB119" i="26"/>
  <c r="AB795" i="26"/>
  <c r="AB770" i="26"/>
  <c r="AB757" i="26"/>
  <c r="AB210" i="26"/>
  <c r="AB197" i="26"/>
  <c r="AB221" i="26"/>
  <c r="AB237" i="26"/>
  <c r="AB200" i="26"/>
  <c r="AB142" i="26"/>
  <c r="AB205" i="26"/>
  <c r="AB315" i="26"/>
  <c r="AB741" i="26"/>
  <c r="AB501" i="26"/>
  <c r="AB684" i="26"/>
  <c r="AB309" i="26"/>
  <c r="AB676" i="26"/>
  <c r="AB408" i="26"/>
  <c r="AB512" i="26"/>
  <c r="AB478" i="26"/>
  <c r="AB537" i="26"/>
  <c r="AB406" i="26"/>
  <c r="AB372" i="26"/>
  <c r="AB499" i="26"/>
  <c r="AB527" i="26"/>
  <c r="AB435" i="26"/>
  <c r="AB333" i="26"/>
  <c r="AB375" i="26"/>
  <c r="AB694" i="26"/>
  <c r="AB427" i="26"/>
  <c r="AB455" i="26"/>
  <c r="AB532" i="26"/>
  <c r="AB578" i="26"/>
  <c r="AB296" i="26"/>
  <c r="AB732" i="26"/>
  <c r="AB725" i="26"/>
  <c r="AB395" i="26"/>
  <c r="AB736" i="26"/>
  <c r="AB382" i="26"/>
  <c r="AB389" i="26"/>
  <c r="AB361" i="26"/>
  <c r="AB560" i="26"/>
  <c r="AB63" i="26"/>
  <c r="AB39" i="26"/>
  <c r="AB109" i="26"/>
  <c r="AB91" i="26"/>
  <c r="AB85" i="26"/>
  <c r="AB30" i="26"/>
  <c r="AB31" i="26"/>
  <c r="AB16" i="26"/>
  <c r="D38" i="38"/>
  <c r="AB144" i="26"/>
  <c r="AB505" i="26"/>
  <c r="AB653" i="26"/>
  <c r="AB257" i="26"/>
  <c r="AB274" i="26"/>
  <c r="AB69" i="26"/>
  <c r="AB794" i="26"/>
  <c r="AB796" i="26"/>
  <c r="AB767" i="26"/>
  <c r="AB136" i="26"/>
  <c r="AB152" i="26"/>
  <c r="AB203" i="26"/>
  <c r="AB204" i="26"/>
  <c r="AB187" i="26"/>
  <c r="AB181" i="26"/>
  <c r="AB194" i="26"/>
  <c r="AB739" i="26"/>
  <c r="AB728" i="26"/>
  <c r="AB287" i="26"/>
  <c r="AB446" i="26"/>
  <c r="AB513" i="26"/>
  <c r="AB398" i="26"/>
  <c r="AB303" i="26"/>
  <c r="AB282" i="26"/>
  <c r="AB607" i="26"/>
  <c r="AB583" i="26"/>
  <c r="AB520" i="26"/>
  <c r="AB414" i="26"/>
  <c r="AB266" i="26"/>
  <c r="AB352" i="26"/>
  <c r="AB541" i="26"/>
  <c r="AB471" i="26"/>
  <c r="AB539" i="26"/>
  <c r="AB268" i="26"/>
  <c r="AB510" i="26"/>
  <c r="AB619" i="26"/>
  <c r="AB650" i="26"/>
  <c r="AB496" i="26"/>
  <c r="AB631" i="26"/>
  <c r="AB365" i="26"/>
  <c r="AB642" i="26"/>
  <c r="AB534" i="26"/>
  <c r="AB521" i="26"/>
  <c r="AB589" i="26"/>
  <c r="AB386" i="26"/>
  <c r="AB713" i="26"/>
  <c r="AB559" i="26"/>
  <c r="AB33" i="26"/>
  <c r="AB52" i="26"/>
  <c r="AB47" i="26"/>
  <c r="AB54" i="26"/>
  <c r="AB98" i="26"/>
  <c r="AB35" i="26"/>
  <c r="AB122" i="26"/>
  <c r="AB18" i="26"/>
  <c r="E42" i="38" s="1"/>
  <c r="AB206" i="26"/>
  <c r="AB202" i="26"/>
  <c r="AB402" i="26"/>
  <c r="AB424" i="26"/>
  <c r="AB371" i="26"/>
  <c r="AB466" i="26"/>
  <c r="AB733" i="26"/>
  <c r="AB416" i="26"/>
  <c r="AB107" i="26"/>
  <c r="AB788" i="26"/>
  <c r="AB154" i="26"/>
  <c r="AB272" i="26"/>
  <c r="AB447" i="26"/>
  <c r="AB506" i="26"/>
  <c r="AB490" i="26"/>
  <c r="AB93" i="26"/>
  <c r="AB746" i="26"/>
  <c r="AB769" i="26"/>
  <c r="AB763" i="26"/>
  <c r="AB235" i="26"/>
  <c r="AB241" i="26"/>
  <c r="AB161" i="26"/>
  <c r="AB224" i="26"/>
  <c r="AB147" i="26"/>
  <c r="AB244" i="26"/>
  <c r="AB185" i="26"/>
  <c r="AB376" i="26"/>
  <c r="AB270" i="26"/>
  <c r="AB648" i="26"/>
  <c r="AB347" i="26"/>
  <c r="AB685" i="26"/>
  <c r="AB727" i="26"/>
  <c r="AB436" i="26"/>
  <c r="AB387" i="26"/>
  <c r="AB616" i="26"/>
  <c r="AB715" i="26"/>
  <c r="AB518" i="26"/>
  <c r="AB677" i="26"/>
  <c r="AB422" i="26"/>
  <c r="AB561" i="26"/>
  <c r="AB523" i="26"/>
  <c r="AB357" i="26"/>
  <c r="AB399" i="26"/>
  <c r="AB672" i="26"/>
  <c r="AB720" i="26"/>
  <c r="AB544" i="26"/>
  <c r="AB655" i="26"/>
  <c r="AB432" i="26"/>
  <c r="AB498" i="26"/>
  <c r="AB362" i="26"/>
  <c r="AB323" i="26"/>
  <c r="AB586" i="26"/>
  <c r="AB555" i="26"/>
  <c r="AB674" i="26"/>
  <c r="AB699" i="26"/>
  <c r="AB719" i="26"/>
  <c r="AB664" i="26"/>
  <c r="AB131" i="26"/>
  <c r="AB112" i="26"/>
  <c r="AB135" i="26"/>
  <c r="AB28" i="26"/>
  <c r="AB118" i="26"/>
  <c r="AB105" i="26"/>
  <c r="AB111" i="26"/>
  <c r="AB14" i="26"/>
  <c r="AB162" i="26"/>
  <c r="AB531" i="26"/>
  <c r="AB249" i="26"/>
  <c r="AB526" i="26"/>
  <c r="AB307" i="26"/>
  <c r="AB643" i="26"/>
  <c r="AB89" i="26"/>
  <c r="AB132" i="26"/>
  <c r="AB176" i="26"/>
  <c r="AB700" i="26"/>
  <c r="AB690" i="26"/>
  <c r="AB423" i="26"/>
  <c r="AB295" i="26"/>
  <c r="AB603" i="26"/>
  <c r="AB708" i="26"/>
  <c r="AB87" i="26"/>
  <c r="AB780" i="26"/>
  <c r="AB749" i="26"/>
  <c r="AB754" i="26"/>
  <c r="AB183" i="26"/>
  <c r="AB198" i="26"/>
  <c r="AB243" i="26"/>
  <c r="AB180" i="26"/>
  <c r="AB143" i="26"/>
  <c r="AB191" i="26"/>
  <c r="AB145" i="26"/>
  <c r="AB360" i="26"/>
  <c r="AB558" i="26"/>
  <c r="AB488" i="26"/>
  <c r="AB276" i="26"/>
  <c r="AB256" i="26"/>
  <c r="AB630" i="26"/>
  <c r="AB522" i="26"/>
  <c r="AB671" i="26"/>
  <c r="AB453" i="26"/>
  <c r="AB696" i="26"/>
  <c r="AB356" i="26"/>
  <c r="AB338" i="26"/>
  <c r="AB691" i="26"/>
  <c r="AB369" i="26"/>
  <c r="AB625" i="26"/>
  <c r="AB554" i="26"/>
  <c r="AB723" i="26"/>
  <c r="AB683" i="26"/>
  <c r="AB695" i="26"/>
  <c r="AB291" i="26"/>
  <c r="AB445" i="26"/>
  <c r="AB264" i="26"/>
  <c r="AB637" i="26"/>
  <c r="AB584" i="26"/>
  <c r="AB575" i="26"/>
  <c r="AB385" i="26"/>
  <c r="AB458" i="26"/>
  <c r="AB679" i="26"/>
  <c r="AB669" i="26"/>
  <c r="AB328" i="26"/>
  <c r="AB538" i="26"/>
  <c r="AB103" i="26"/>
  <c r="AB45" i="26"/>
  <c r="AB27" i="26"/>
  <c r="AB108" i="26"/>
  <c r="AB67" i="26"/>
  <c r="AB66" i="26"/>
  <c r="AB42" i="26"/>
  <c r="AB13" i="26"/>
  <c r="E43" i="38" s="1"/>
  <c r="AB707" i="26"/>
  <c r="AB783" i="26"/>
  <c r="AB140" i="26"/>
  <c r="AB709" i="26"/>
  <c r="AB536" i="26"/>
  <c r="AB464" i="26"/>
  <c r="AB401" i="26"/>
  <c r="AB117" i="26"/>
  <c r="AB781" i="26"/>
  <c r="AB768" i="26"/>
  <c r="AB766" i="26"/>
  <c r="AB229" i="26"/>
  <c r="AB171" i="26"/>
  <c r="AB153" i="26"/>
  <c r="AB170" i="26"/>
  <c r="AB138" i="26"/>
  <c r="AB240" i="26"/>
  <c r="AB167" i="26"/>
  <c r="AB452" i="26"/>
  <c r="AB711" i="26"/>
  <c r="AB495" i="26"/>
  <c r="AB566" i="26"/>
  <c r="AB585" i="26"/>
  <c r="AB666" i="26"/>
  <c r="AB535" i="26"/>
  <c r="AB487" i="26"/>
  <c r="AB407" i="26"/>
  <c r="AB349" i="26"/>
  <c r="AB374" i="26"/>
  <c r="AB437" i="26"/>
  <c r="AB304" i="26"/>
  <c r="AB702" i="26"/>
  <c r="AB364" i="26"/>
  <c r="AB599" i="26"/>
  <c r="AB469" i="26"/>
  <c r="AB644" i="26"/>
  <c r="AB654" i="26"/>
  <c r="AB381" i="26"/>
  <c r="AB497" i="26"/>
  <c r="AB456" i="26"/>
  <c r="AB342" i="26"/>
  <c r="AB440" i="26"/>
  <c r="AB717" i="26"/>
  <c r="AB737" i="26"/>
  <c r="AB588" i="26"/>
  <c r="AB620" i="26"/>
  <c r="AB327" i="26"/>
  <c r="AB271" i="26"/>
  <c r="AB340" i="26"/>
  <c r="AB261" i="26"/>
  <c r="AB23" i="26"/>
  <c r="AB83" i="26"/>
  <c r="AB73" i="26"/>
  <c r="AB125" i="26"/>
  <c r="AB62" i="26"/>
  <c r="AB61" i="26"/>
  <c r="AB100" i="26"/>
  <c r="AB12" i="26"/>
  <c r="D44" i="38"/>
  <c r="E44" i="38" s="1"/>
  <c r="AB747" i="26"/>
  <c r="AB222" i="26"/>
  <c r="AB511" i="26"/>
  <c r="AB636" i="26"/>
  <c r="AB738" i="26"/>
  <c r="AB400" i="26"/>
  <c r="AB275" i="26"/>
  <c r="AB8" i="26"/>
  <c r="AB195" i="26"/>
  <c r="AB742" i="26"/>
  <c r="AB743" i="26"/>
  <c r="AB293" i="26"/>
  <c r="AB486" i="26"/>
  <c r="AB123" i="26"/>
  <c r="AB11" i="26"/>
  <c r="AB762" i="26"/>
  <c r="AB773" i="26"/>
  <c r="AB751" i="26"/>
  <c r="AB173" i="26"/>
  <c r="AB212" i="26"/>
  <c r="AB157" i="26"/>
  <c r="AB213" i="26"/>
  <c r="AB228" i="26"/>
  <c r="AB199" i="26"/>
  <c r="AB178" i="26"/>
  <c r="AB403" i="26"/>
  <c r="AB281" i="26"/>
  <c r="AB410" i="26"/>
  <c r="AB343" i="26"/>
  <c r="AB253" i="26"/>
  <c r="AB633" i="26"/>
  <c r="AB688" i="26"/>
  <c r="AB359" i="26"/>
  <c r="AB632" i="26"/>
  <c r="AB744" i="26"/>
  <c r="AB444" i="26"/>
  <c r="AB550" i="26"/>
  <c r="AB477" i="26"/>
  <c r="AB494" i="26"/>
  <c r="AB564" i="26"/>
  <c r="AB417" i="26"/>
  <c r="AB465" i="26"/>
  <c r="AB569" i="26"/>
  <c r="AB525" i="26"/>
  <c r="AB339" i="26"/>
  <c r="AB263" i="26"/>
  <c r="AB489" i="26"/>
  <c r="AB480" i="26"/>
  <c r="AB647" i="26"/>
  <c r="AB285" i="26"/>
  <c r="AB434" i="26"/>
  <c r="AB373" i="26"/>
  <c r="AB484" i="26"/>
  <c r="AB260" i="26"/>
  <c r="AB411" i="26"/>
  <c r="AB383" i="26"/>
  <c r="AB60" i="26"/>
  <c r="AB43" i="26"/>
  <c r="AB70" i="26"/>
  <c r="AB68" i="26"/>
  <c r="AB58" i="26"/>
  <c r="AB50" i="26"/>
  <c r="AB56" i="26"/>
  <c r="AB55" i="26"/>
  <c r="D39" i="38"/>
  <c r="I19" i="38" a="1"/>
  <c r="F42" i="38" l="1"/>
  <c r="F39" i="38"/>
  <c r="F41" i="38"/>
  <c r="F44" i="38"/>
  <c r="F40" i="38"/>
  <c r="F43" i="38"/>
  <c r="BP793" i="26"/>
  <c r="BS794" i="26"/>
  <c r="BQ794" i="26"/>
  <c r="F38" i="38"/>
  <c r="E38" i="38" s="1"/>
  <c r="G38" i="38" s="1"/>
  <c r="I38" i="38" l="1"/>
  <c r="F45" i="38"/>
  <c r="G40" i="38"/>
  <c r="I40" i="38" s="1"/>
  <c r="BP781" i="26"/>
  <c r="BQ793" i="26"/>
  <c r="BS793" i="26"/>
  <c r="G41" i="38"/>
  <c r="I41" i="38" s="1"/>
  <c r="G39" i="38"/>
  <c r="I39" i="38" s="1"/>
  <c r="K39" i="38" s="1"/>
  <c r="G42" i="38"/>
  <c r="I42" i="38" s="1"/>
  <c r="G43" i="38"/>
  <c r="I43" i="38" s="1"/>
  <c r="G44" i="38"/>
  <c r="I44" i="38" s="1"/>
  <c r="K44" i="38" s="1"/>
  <c r="K41" i="38" l="1"/>
  <c r="K40" i="38"/>
  <c r="AC3" i="26"/>
  <c r="M39" i="38"/>
  <c r="BP780" i="26"/>
  <c r="BS781" i="26"/>
  <c r="BQ781" i="26"/>
  <c r="M44" i="38"/>
  <c r="AH3" i="26"/>
  <c r="N44" i="38"/>
  <c r="K38" i="38"/>
  <c r="I45" i="38"/>
  <c r="K42" i="38"/>
  <c r="K43" i="38"/>
  <c r="G45" i="38"/>
  <c r="BP779" i="26" l="1"/>
  <c r="BQ780" i="26"/>
  <c r="BS780" i="26"/>
  <c r="N42" i="38"/>
  <c r="AF3" i="26"/>
  <c r="M42" i="38"/>
  <c r="N43" i="38"/>
  <c r="AG3" i="26"/>
  <c r="M43" i="38"/>
  <c r="N38" i="38"/>
  <c r="K45" i="38"/>
  <c r="M38" i="38"/>
  <c r="N39" i="38"/>
  <c r="AB3" i="26"/>
  <c r="N40" i="38"/>
  <c r="M40" i="38"/>
  <c r="AD3" i="26"/>
  <c r="N41" i="38"/>
  <c r="AE3" i="26"/>
  <c r="M41" i="38"/>
  <c r="BP778" i="26" l="1"/>
  <c r="BS779" i="26"/>
  <c r="BQ779" i="26"/>
  <c r="AB2" i="26"/>
  <c r="AI182" i="26" a="1"/>
  <c r="AI449" i="26" a="1"/>
  <c r="AJ449" i="26" s="1"/>
  <c r="AI324" i="26" a="1"/>
  <c r="AJ324" i="26" s="1"/>
  <c r="AI332" i="26" a="1"/>
  <c r="AJ332" i="26" s="1"/>
  <c r="AI409" i="26" a="1"/>
  <c r="AJ409" i="26" s="1"/>
  <c r="AI95" i="26" a="1"/>
  <c r="AJ95" i="26" s="1"/>
  <c r="AI245" i="26" a="1"/>
  <c r="AI326" i="26" a="1"/>
  <c r="AJ326" i="26" s="1"/>
  <c r="AI312" i="26" a="1"/>
  <c r="AJ312" i="26" s="1"/>
  <c r="AI448" i="26" a="1"/>
  <c r="AJ448" i="26" s="1"/>
  <c r="AI32" i="26" a="1"/>
  <c r="AJ32" i="26" s="1"/>
  <c r="AI641" i="26" a="1"/>
  <c r="AI17" i="26" a="1"/>
  <c r="AJ17" i="26" s="1"/>
  <c r="AI38" i="26" a="1"/>
  <c r="AJ38" i="26" s="1"/>
  <c r="AI239" i="26" a="1"/>
  <c r="AJ239" i="26" s="1"/>
  <c r="AI686" i="26" a="1"/>
  <c r="AJ686" i="26" s="1"/>
  <c r="AI462" i="26" a="1"/>
  <c r="AI627" i="26" a="1"/>
  <c r="AJ627" i="26" s="1"/>
  <c r="AI279" i="26" a="1"/>
  <c r="AJ279" i="26" s="1"/>
  <c r="AI81" i="26" a="1"/>
  <c r="AJ81" i="26" s="1"/>
  <c r="AI101" i="26" a="1"/>
  <c r="AJ101" i="26" s="1"/>
  <c r="AI613" i="26" a="1"/>
  <c r="AJ613" i="26" s="1"/>
  <c r="AI177" i="26" a="1"/>
  <c r="AJ177" i="26" s="1"/>
  <c r="AI51" i="26" a="1"/>
  <c r="AJ51" i="26" s="1"/>
  <c r="AI795" i="26" a="1"/>
  <c r="AI142" i="26" a="1"/>
  <c r="AJ142" i="26" s="1"/>
  <c r="AI408" i="26" a="1"/>
  <c r="AJ408" i="26" s="1"/>
  <c r="AI435" i="26" a="1"/>
  <c r="AJ435" i="26" s="1"/>
  <c r="AI296" i="26" a="1"/>
  <c r="AI560" i="26" a="1"/>
  <c r="AI16" i="26" a="1"/>
  <c r="AJ16" i="26" s="1"/>
  <c r="AI747" i="26" a="1"/>
  <c r="AJ747" i="26" s="1"/>
  <c r="AI195" i="26" a="1"/>
  <c r="AJ195" i="26" s="1"/>
  <c r="AI773" i="26" a="1"/>
  <c r="AJ773" i="26" s="1"/>
  <c r="AI178" i="26" a="1"/>
  <c r="AI359" i="26" a="1"/>
  <c r="AJ359" i="26" s="1"/>
  <c r="AI417" i="26" a="1"/>
  <c r="AI647" i="26" a="1"/>
  <c r="AI60" i="26" a="1"/>
  <c r="AJ60" i="26" s="1"/>
  <c r="AI353" i="26" a="1"/>
  <c r="AJ353" i="26" s="1"/>
  <c r="AI268" i="26" a="1"/>
  <c r="AJ268" i="26" s="1"/>
  <c r="AI357" i="26" a="1"/>
  <c r="AJ357" i="26" s="1"/>
  <c r="AI625" i="26" a="1"/>
  <c r="AJ625" i="26" s="1"/>
  <c r="AI170" i="26" a="1"/>
  <c r="AJ170" i="26" s="1"/>
  <c r="AI62" i="26" a="1"/>
  <c r="AJ62" i="26" s="1"/>
  <c r="AI753" i="26" a="1"/>
  <c r="AI519" i="26" a="1"/>
  <c r="AJ519" i="26" s="1"/>
  <c r="AI705" i="26" a="1"/>
  <c r="AJ705" i="26" s="1"/>
  <c r="AI731" i="26" a="1"/>
  <c r="AJ731" i="26" s="1"/>
  <c r="AI661" i="26" a="1"/>
  <c r="AJ661" i="26" s="1"/>
  <c r="AI86" i="26" a="1"/>
  <c r="AJ86" i="26" s="1"/>
  <c r="AI19" i="26" a="1"/>
  <c r="AJ19" i="26" s="1"/>
  <c r="AI778" i="26" a="1"/>
  <c r="AI660" i="26" a="1"/>
  <c r="AJ660" i="26" s="1"/>
  <c r="AI483" i="26" a="1"/>
  <c r="AJ483" i="26" s="1"/>
  <c r="AI553" i="26" a="1"/>
  <c r="AI670" i="26" a="1"/>
  <c r="AI77" i="26" a="1"/>
  <c r="AJ77" i="26" s="1"/>
  <c r="AI759" i="26" a="1"/>
  <c r="AI238" i="26" a="1"/>
  <c r="AI540" i="26" a="1"/>
  <c r="AI635" i="26" a="1"/>
  <c r="AJ635" i="26" s="1"/>
  <c r="AI345" i="26" a="1"/>
  <c r="AJ345" i="26" s="1"/>
  <c r="AI294" i="26" a="1"/>
  <c r="AJ294" i="26" s="1"/>
  <c r="AI71" i="26" a="1"/>
  <c r="AJ71" i="26" s="1"/>
  <c r="AI358" i="26" a="1"/>
  <c r="AJ358" i="26" s="1"/>
  <c r="AI193" i="26" a="1"/>
  <c r="AJ193" i="26" s="1"/>
  <c r="AI116" i="26" a="1"/>
  <c r="AJ116" i="26" s="1"/>
  <c r="AI634" i="26" a="1"/>
  <c r="AI611" i="26" a="1"/>
  <c r="AJ611" i="26" s="1"/>
  <c r="AI430" i="26" a="1"/>
  <c r="AJ430" i="26" s="1"/>
  <c r="AI421" i="26" a="1"/>
  <c r="AI441" i="26" a="1"/>
  <c r="AJ441" i="26" s="1"/>
  <c r="AI104" i="26" a="1"/>
  <c r="AJ104" i="26" s="1"/>
  <c r="AI796" i="26" a="1"/>
  <c r="AI194" i="26" a="1"/>
  <c r="AJ194" i="26" s="1"/>
  <c r="AI282" i="26" a="1"/>
  <c r="AJ282" i="26" s="1"/>
  <c r="AI471" i="26" a="1"/>
  <c r="AI365" i="26" a="1"/>
  <c r="AJ365" i="26" s="1"/>
  <c r="AI33" i="26" a="1"/>
  <c r="AJ33" i="26" s="1"/>
  <c r="AI416" i="26" a="1"/>
  <c r="AJ416" i="26" s="1"/>
  <c r="AI93" i="26" a="1"/>
  <c r="AJ93" i="26" s="1"/>
  <c r="AI147" i="26" a="1"/>
  <c r="AI727" i="26" a="1"/>
  <c r="AJ727" i="26" s="1"/>
  <c r="AI561" i="26" a="1"/>
  <c r="AJ561" i="26" s="1"/>
  <c r="AI432" i="26" a="1"/>
  <c r="AJ432" i="26" s="1"/>
  <c r="AI719" i="26" a="1"/>
  <c r="AJ719" i="26" s="1"/>
  <c r="AI111" i="26" a="1"/>
  <c r="AJ111" i="26" s="1"/>
  <c r="AI89" i="26" a="1"/>
  <c r="AJ89" i="26" s="1"/>
  <c r="AI708" i="26" a="1"/>
  <c r="AJ708" i="26" s="1"/>
  <c r="AI180" i="26" a="1"/>
  <c r="AJ180" i="26" s="1"/>
  <c r="AI256" i="26" a="1"/>
  <c r="AJ256" i="26" s="1"/>
  <c r="AI691" i="26" a="1"/>
  <c r="AJ691" i="26" s="1"/>
  <c r="AI445" i="26" a="1"/>
  <c r="AJ445" i="26" s="1"/>
  <c r="AI669" i="26" a="1"/>
  <c r="AJ669" i="26" s="1"/>
  <c r="AI66" i="26" a="1"/>
  <c r="AJ66" i="26" s="1"/>
  <c r="AI536" i="26" a="1"/>
  <c r="AJ536" i="26" s="1"/>
  <c r="AI171" i="26" a="1"/>
  <c r="AJ171" i="26" s="1"/>
  <c r="AI495" i="26" a="1"/>
  <c r="AJ495" i="26" s="1"/>
  <c r="AI374" i="26" a="1"/>
  <c r="AJ374" i="26" s="1"/>
  <c r="AI654" i="26" a="1"/>
  <c r="AI588" i="26" a="1"/>
  <c r="AJ588" i="26" s="1"/>
  <c r="AI73" i="26" a="1"/>
  <c r="AJ73" i="26" s="1"/>
  <c r="AI774" i="26" a="1"/>
  <c r="AJ774" i="26" s="1"/>
  <c r="AI583" i="26" a="1"/>
  <c r="AJ583" i="26" s="1"/>
  <c r="AI387" i="26" a="1"/>
  <c r="AJ387" i="26" s="1"/>
  <c r="AI780" i="26" a="1"/>
  <c r="AI401" i="26" a="1"/>
  <c r="AI327" i="26" a="1"/>
  <c r="AJ327" i="26" s="1"/>
  <c r="AI163" i="26" a="1"/>
  <c r="AJ163" i="26" s="1"/>
  <c r="AI595" i="26" a="1"/>
  <c r="AJ595" i="26" s="1"/>
  <c r="AI454" i="26" a="1"/>
  <c r="AJ454" i="26" s="1"/>
  <c r="AI321" i="26" a="1"/>
  <c r="AJ321" i="26" s="1"/>
  <c r="AI580" i="26" a="1"/>
  <c r="AJ580" i="26" s="1"/>
  <c r="AI79" i="26" a="1"/>
  <c r="AJ79" i="26" s="1"/>
  <c r="AI752" i="26" a="1"/>
  <c r="AI665" i="26" a="1"/>
  <c r="AJ665" i="26" s="1"/>
  <c r="AI622" i="26" a="1"/>
  <c r="AJ622" i="26" s="1"/>
  <c r="AI735" i="26" a="1"/>
  <c r="AJ735" i="26" s="1"/>
  <c r="AI318" i="26" a="1"/>
  <c r="AJ318" i="26" s="1"/>
  <c r="AI64" i="26" a="1"/>
  <c r="AJ64" i="26" s="1"/>
  <c r="AI529" i="26" a="1"/>
  <c r="AJ529" i="26" s="1"/>
  <c r="AI184" i="26" a="1"/>
  <c r="AJ184" i="26" s="1"/>
  <c r="AI211" i="26" a="1"/>
  <c r="AJ211" i="26" s="1"/>
  <c r="AI775" i="26" a="1"/>
  <c r="AJ775" i="26" s="1"/>
  <c r="AI155" i="26" a="1"/>
  <c r="AI379" i="26" a="1"/>
  <c r="AJ379" i="26" s="1"/>
  <c r="AI547" i="26" a="1"/>
  <c r="AJ547" i="26" s="1"/>
  <c r="AI305" i="26" a="1"/>
  <c r="AJ305" i="26" s="1"/>
  <c r="AI404" i="26" a="1"/>
  <c r="AI10" i="26" a="1"/>
  <c r="AJ10" i="26" s="1"/>
  <c r="AI159" i="26" a="1"/>
  <c r="AI628" i="26" a="1"/>
  <c r="AI596" i="26" a="1"/>
  <c r="AJ596" i="26" s="1"/>
  <c r="AI793" i="26" a="1"/>
  <c r="AI770" i="26" a="1"/>
  <c r="AJ770" i="26" s="1"/>
  <c r="AI205" i="26" a="1"/>
  <c r="AI512" i="26" a="1"/>
  <c r="AI333" i="26" a="1"/>
  <c r="AJ333" i="26" s="1"/>
  <c r="AI732" i="26" a="1"/>
  <c r="AI63" i="26" a="1"/>
  <c r="AJ63" i="26" s="1"/>
  <c r="AI222" i="26" a="1"/>
  <c r="AJ222" i="26" s="1"/>
  <c r="AI742" i="26" a="1"/>
  <c r="AJ742" i="26" s="1"/>
  <c r="AI751" i="26" a="1"/>
  <c r="AI403" i="26" a="1"/>
  <c r="AJ403" i="26" s="1"/>
  <c r="AI632" i="26" a="1"/>
  <c r="AI465" i="26" a="1"/>
  <c r="AJ465" i="26" s="1"/>
  <c r="AI285" i="26" a="1"/>
  <c r="AJ285" i="26" s="1"/>
  <c r="AI43" i="26" a="1"/>
  <c r="AJ43" i="26" s="1"/>
  <c r="AI524" i="26" a="1"/>
  <c r="AJ524" i="26" s="1"/>
  <c r="AI545" i="26" a="1"/>
  <c r="AI80" i="26" a="1"/>
  <c r="AJ80" i="26" s="1"/>
  <c r="AI443" i="26" a="1"/>
  <c r="AJ443" i="26" s="1"/>
  <c r="AI97" i="26" a="1"/>
  <c r="AJ97" i="26" s="1"/>
  <c r="AI721" i="26" a="1"/>
  <c r="AJ721" i="26" s="1"/>
  <c r="AI22" i="26" a="1"/>
  <c r="AJ22" i="26" s="1"/>
  <c r="AI15" i="26" a="1"/>
  <c r="AJ15" i="26" s="1"/>
  <c r="AI136" i="26" a="1"/>
  <c r="AJ136" i="26" s="1"/>
  <c r="AI47" i="26" a="1"/>
  <c r="AJ47" i="26" s="1"/>
  <c r="AI185" i="26" a="1"/>
  <c r="AJ185" i="26" s="1"/>
  <c r="AI162" i="26" a="1"/>
  <c r="AI522" i="26" a="1"/>
  <c r="AJ522" i="26" s="1"/>
  <c r="AI13" i="26" a="1"/>
  <c r="AJ13" i="26" s="1"/>
  <c r="AI497" i="26" a="1"/>
  <c r="AJ497" i="26" s="1"/>
  <c r="AI149" i="26" a="1"/>
  <c r="AJ149" i="26" s="1"/>
  <c r="AI377" i="26" a="1"/>
  <c r="AJ377" i="26" s="1"/>
  <c r="AI418" i="26" a="1"/>
  <c r="AJ418" i="26" s="1"/>
  <c r="AI329" i="26" a="1"/>
  <c r="AJ329" i="26" s="1"/>
  <c r="AI680" i="26" a="1"/>
  <c r="AI120" i="26" a="1"/>
  <c r="AJ120" i="26" s="1"/>
  <c r="AI174" i="26" a="1"/>
  <c r="AJ174" i="26" s="1"/>
  <c r="AI438" i="26" a="1"/>
  <c r="AJ438" i="26" s="1"/>
  <c r="AI290" i="26" a="1"/>
  <c r="AI463" i="26" a="1"/>
  <c r="AJ463" i="26" s="1"/>
  <c r="AI543" i="26" a="1"/>
  <c r="AJ543" i="26" s="1"/>
  <c r="AI37" i="26" a="1"/>
  <c r="AI789" i="26" a="1"/>
  <c r="AI186" i="26" a="1"/>
  <c r="AJ186" i="26" s="1"/>
  <c r="AI300" i="26" a="1"/>
  <c r="AJ300" i="26" s="1"/>
  <c r="AI592" i="26" a="1"/>
  <c r="AJ592" i="26" s="1"/>
  <c r="AI288" i="26" a="1"/>
  <c r="AJ288" i="26" s="1"/>
  <c r="AI258" i="26" a="1"/>
  <c r="AJ258" i="26" s="1"/>
  <c r="AI106" i="26" a="1"/>
  <c r="AJ106" i="26" s="1"/>
  <c r="AI646" i="26" a="1"/>
  <c r="AI233" i="26" a="1"/>
  <c r="AI126" i="26" a="1"/>
  <c r="AJ126" i="26" s="1"/>
  <c r="AI581" i="26" a="1"/>
  <c r="AJ581" i="26" s="1"/>
  <c r="AI704" i="26" a="1"/>
  <c r="AJ704" i="26" s="1"/>
  <c r="AI322" i="26" a="1"/>
  <c r="AJ322" i="26" s="1"/>
  <c r="AI682" i="26" a="1"/>
  <c r="AJ682" i="26" s="1"/>
  <c r="AI601" i="26" a="1"/>
  <c r="AJ601" i="26" s="1"/>
  <c r="AI9" i="26" a="1"/>
  <c r="AJ9" i="26" s="1"/>
  <c r="AI144" i="26" a="1"/>
  <c r="AJ144" i="26" s="1"/>
  <c r="AI767" i="26" a="1"/>
  <c r="AJ767" i="26" s="1"/>
  <c r="AI739" i="26" a="1"/>
  <c r="AI607" i="26" a="1"/>
  <c r="AJ607" i="26" s="1"/>
  <c r="AI539" i="26" a="1"/>
  <c r="AJ539" i="26" s="1"/>
  <c r="AI642" i="26" a="1"/>
  <c r="AI52" i="26" a="1"/>
  <c r="AJ52" i="26" s="1"/>
  <c r="AI206" i="26" a="1"/>
  <c r="AJ206" i="26" s="1"/>
  <c r="AI107" i="26" a="1"/>
  <c r="AJ107" i="26" s="1"/>
  <c r="AI746" i="26" a="1"/>
  <c r="AJ746" i="26" s="1"/>
  <c r="AI244" i="26" a="1"/>
  <c r="AJ244" i="26" s="1"/>
  <c r="AI436" i="26" a="1"/>
  <c r="AJ436" i="26" s="1"/>
  <c r="AI523" i="26" a="1"/>
  <c r="AJ523" i="26" s="1"/>
  <c r="AI498" i="26" a="1"/>
  <c r="AJ498" i="26" s="1"/>
  <c r="AI664" i="26" a="1"/>
  <c r="AJ664" i="26" s="1"/>
  <c r="AI14" i="26" a="1"/>
  <c r="AJ14" i="26" s="1"/>
  <c r="AI132" i="26" a="1"/>
  <c r="AJ132" i="26" s="1"/>
  <c r="AI87" i="26" a="1"/>
  <c r="AJ87" i="26" s="1"/>
  <c r="AI143" i="26" a="1"/>
  <c r="AJ143" i="26" s="1"/>
  <c r="AI630" i="26" a="1"/>
  <c r="AJ630" i="26" s="1"/>
  <c r="AI369" i="26" a="1"/>
  <c r="AJ369" i="26" s="1"/>
  <c r="AI264" i="26" a="1"/>
  <c r="AJ264" i="26" s="1"/>
  <c r="AI328" i="26" a="1"/>
  <c r="AJ328" i="26" s="1"/>
  <c r="AI42" i="26" a="1"/>
  <c r="AJ42" i="26" s="1"/>
  <c r="AI464" i="26" a="1"/>
  <c r="AI153" i="26" a="1"/>
  <c r="AJ153" i="26" s="1"/>
  <c r="AI566" i="26" a="1"/>
  <c r="AJ566" i="26" s="1"/>
  <c r="AI437" i="26" a="1"/>
  <c r="AJ437" i="26" s="1"/>
  <c r="AI381" i="26" a="1"/>
  <c r="AJ381" i="26" s="1"/>
  <c r="AI620" i="26" a="1"/>
  <c r="AJ620" i="26" s="1"/>
  <c r="AI125" i="26" a="1"/>
  <c r="AJ125" i="26" s="1"/>
  <c r="AI341" i="26" a="1"/>
  <c r="AJ341" i="26" s="1"/>
  <c r="AI507" i="26" a="1"/>
  <c r="AI530" i="26" a="1"/>
  <c r="AJ530" i="26" s="1"/>
  <c r="AI192" i="26" a="1"/>
  <c r="AI542" i="26" a="1"/>
  <c r="AI612" i="26" a="1"/>
  <c r="AJ612" i="26" s="1"/>
  <c r="AI405" i="26" a="1"/>
  <c r="AI252" i="26" a="1"/>
  <c r="AJ252" i="26" s="1"/>
  <c r="AI728" i="26" a="1"/>
  <c r="AJ728" i="26" s="1"/>
  <c r="AI202" i="26" a="1"/>
  <c r="AJ202" i="26" s="1"/>
  <c r="AI769" i="26" a="1"/>
  <c r="AJ769" i="26" s="1"/>
  <c r="AI131" i="26" a="1"/>
  <c r="AJ131" i="26" s="1"/>
  <c r="AI191" i="26" a="1"/>
  <c r="AJ191" i="26" s="1"/>
  <c r="AI538" i="26" a="1"/>
  <c r="AJ538" i="26" s="1"/>
  <c r="AI304" i="26" a="1"/>
  <c r="AJ304" i="26" s="1"/>
  <c r="AI232" i="26" a="1"/>
  <c r="AJ232" i="26" s="1"/>
  <c r="AI491" i="26" a="1"/>
  <c r="AJ491" i="26" s="1"/>
  <c r="AI516" i="26" a="1"/>
  <c r="AI710" i="26" a="1"/>
  <c r="AJ710" i="26" s="1"/>
  <c r="AI598" i="26" a="1"/>
  <c r="AJ598" i="26" s="1"/>
  <c r="AI82" i="26" a="1"/>
  <c r="AJ82" i="26" s="1"/>
  <c r="AI218" i="26" a="1"/>
  <c r="AI391" i="26" a="1"/>
  <c r="AJ391" i="26" s="1"/>
  <c r="AI533" i="26" a="1"/>
  <c r="AJ533" i="26" s="1"/>
  <c r="AI626" i="26" a="1"/>
  <c r="AI299" i="26" a="1"/>
  <c r="AI49" i="26" a="1"/>
  <c r="AJ49" i="26" s="1"/>
  <c r="AI248" i="26" a="1"/>
  <c r="AJ248" i="26" s="1"/>
  <c r="AI600" i="26" a="1"/>
  <c r="AJ600" i="26" s="1"/>
  <c r="AI355" i="26" a="1"/>
  <c r="AJ355" i="26" s="1"/>
  <c r="AI750" i="26" a="1"/>
  <c r="AJ750" i="26" s="1"/>
  <c r="AI208" i="26" a="1"/>
  <c r="AJ208" i="26" s="1"/>
  <c r="AI330" i="26" a="1"/>
  <c r="AJ330" i="26" s="1"/>
  <c r="AI475" i="26" a="1"/>
  <c r="AJ475" i="26" s="1"/>
  <c r="AI251" i="26" a="1"/>
  <c r="AJ251" i="26" s="1"/>
  <c r="AI44" i="26" a="1"/>
  <c r="AJ44" i="26" s="1"/>
  <c r="AI756" i="26" a="1"/>
  <c r="AI179" i="26" a="1"/>
  <c r="AJ179" i="26" s="1"/>
  <c r="AI431" i="26" a="1"/>
  <c r="AJ431" i="26" s="1"/>
  <c r="AI313" i="26" a="1"/>
  <c r="AJ313" i="26" s="1"/>
  <c r="AI169" i="26" a="1"/>
  <c r="AJ169" i="26" s="1"/>
  <c r="AI757" i="26" a="1"/>
  <c r="AI315" i="26" a="1"/>
  <c r="AI478" i="26" a="1"/>
  <c r="AJ478" i="26" s="1"/>
  <c r="AI375" i="26" a="1"/>
  <c r="AJ375" i="26" s="1"/>
  <c r="AI725" i="26" a="1"/>
  <c r="AJ725" i="26" s="1"/>
  <c r="AI39" i="26" a="1"/>
  <c r="AJ39" i="26" s="1"/>
  <c r="AI511" i="26" a="1"/>
  <c r="AI743" i="26" a="1"/>
  <c r="AJ743" i="26" s="1"/>
  <c r="AI173" i="26" a="1"/>
  <c r="AJ173" i="26" s="1"/>
  <c r="AI281" i="26" a="1"/>
  <c r="AJ281" i="26" s="1"/>
  <c r="AI744" i="26" a="1"/>
  <c r="AJ744" i="26" s="1"/>
  <c r="AI569" i="26" a="1"/>
  <c r="AI434" i="26" a="1"/>
  <c r="AJ434" i="26" s="1"/>
  <c r="AI70" i="26" a="1"/>
  <c r="AJ70" i="26" s="1"/>
  <c r="AI207" i="26" a="1"/>
  <c r="AJ207" i="26" s="1"/>
  <c r="AI425" i="26" a="1"/>
  <c r="AJ425" i="26" s="1"/>
  <c r="AI151" i="26" a="1"/>
  <c r="AJ151" i="26" s="1"/>
  <c r="AI482" i="26" a="1"/>
  <c r="AJ482" i="26" s="1"/>
  <c r="AI755" i="26" a="1"/>
  <c r="AI320" i="26" a="1"/>
  <c r="AJ320" i="26" s="1"/>
  <c r="AI777" i="26" a="1"/>
  <c r="AJ777" i="26" s="1"/>
  <c r="AI787" i="26" a="1"/>
  <c r="AJ787" i="26" s="1"/>
  <c r="AI590" i="26" a="1"/>
  <c r="AJ590" i="26" s="1"/>
  <c r="AI505" i="26" a="1"/>
  <c r="AI534" i="26" a="1"/>
  <c r="AI788" i="26" a="1"/>
  <c r="AI362" i="26" a="1"/>
  <c r="AJ362" i="26" s="1"/>
  <c r="AI176" i="26" a="1"/>
  <c r="AJ176" i="26" s="1"/>
  <c r="AI637" i="26" a="1"/>
  <c r="AJ637" i="26" s="1"/>
  <c r="AI585" i="26" a="1"/>
  <c r="AJ585" i="26" s="1"/>
  <c r="AI230" i="26" a="1"/>
  <c r="AJ230" i="26" s="1"/>
  <c r="AI591" i="26" a="1"/>
  <c r="AJ591" i="26" s="1"/>
  <c r="AI368" i="26" a="1"/>
  <c r="AJ368" i="26" s="1"/>
  <c r="AI614" i="26" a="1"/>
  <c r="AI90" i="26" a="1"/>
  <c r="AJ90" i="26" s="1"/>
  <c r="AI779" i="26" a="1"/>
  <c r="AJ779" i="26" s="1"/>
  <c r="AI225" i="26" a="1"/>
  <c r="AJ225" i="26" s="1"/>
  <c r="AI363" i="26" a="1"/>
  <c r="AI623" i="26" a="1"/>
  <c r="AJ623" i="26" s="1"/>
  <c r="AI546" i="26" a="1"/>
  <c r="AJ546" i="26" s="1"/>
  <c r="AI724" i="26" a="1"/>
  <c r="AJ724" i="26" s="1"/>
  <c r="AI34" i="26" a="1"/>
  <c r="AJ34" i="26" s="1"/>
  <c r="AI765" i="26" a="1"/>
  <c r="AJ765" i="26" s="1"/>
  <c r="AI467" i="26" a="1"/>
  <c r="AJ467" i="26" s="1"/>
  <c r="AI568" i="26" a="1"/>
  <c r="AJ568" i="26" s="1"/>
  <c r="AI563" i="26" a="1"/>
  <c r="AJ563" i="26" s="1"/>
  <c r="AI678" i="26" a="1"/>
  <c r="AJ678" i="26" s="1"/>
  <c r="AI74" i="26" a="1"/>
  <c r="AJ74" i="26" s="1"/>
  <c r="AI220" i="26" a="1"/>
  <c r="AJ220" i="26" s="1"/>
  <c r="AI552" i="26" a="1"/>
  <c r="AI302" i="26" a="1"/>
  <c r="AJ302" i="26" s="1"/>
  <c r="AI776" i="26" a="1"/>
  <c r="AJ776" i="26" s="1"/>
  <c r="AI492" i="26" a="1"/>
  <c r="AJ492" i="26" s="1"/>
  <c r="AI20" i="26" a="1"/>
  <c r="AJ20" i="26" s="1"/>
  <c r="AI468" i="26" a="1"/>
  <c r="AJ468" i="26" s="1"/>
  <c r="AI785" i="26" a="1"/>
  <c r="AJ785" i="26" s="1"/>
  <c r="AI459" i="26" a="1"/>
  <c r="AJ459" i="26" s="1"/>
  <c r="AI653" i="26" a="1"/>
  <c r="AI152" i="26" a="1"/>
  <c r="AJ152" i="26" s="1"/>
  <c r="AI287" i="26" a="1"/>
  <c r="AJ287" i="26" s="1"/>
  <c r="AI520" i="26" a="1"/>
  <c r="AJ520" i="26" s="1"/>
  <c r="AI510" i="26" a="1"/>
  <c r="AJ510" i="26" s="1"/>
  <c r="AI521" i="26" a="1"/>
  <c r="AJ521" i="26" s="1"/>
  <c r="AI54" i="26" a="1"/>
  <c r="AJ54" i="26" s="1"/>
  <c r="AI402" i="26" a="1"/>
  <c r="AJ402" i="26" s="1"/>
  <c r="AI154" i="26" a="1"/>
  <c r="AJ154" i="26" s="1"/>
  <c r="AI763" i="26" a="1"/>
  <c r="AJ763" i="26" s="1"/>
  <c r="AI376" i="26" a="1"/>
  <c r="AI616" i="26" a="1"/>
  <c r="AJ616" i="26" s="1"/>
  <c r="AI399" i="26" a="1"/>
  <c r="AJ399" i="26" s="1"/>
  <c r="AI323" i="26" a="1"/>
  <c r="AJ323" i="26" s="1"/>
  <c r="AI112" i="26" a="1"/>
  <c r="AJ112" i="26" s="1"/>
  <c r="AI531" i="26" a="1"/>
  <c r="AI700" i="26" a="1"/>
  <c r="AI749" i="26" a="1"/>
  <c r="AJ749" i="26" s="1"/>
  <c r="AI145" i="26" a="1"/>
  <c r="AI671" i="26" a="1"/>
  <c r="AJ671" i="26" s="1"/>
  <c r="AI554" i="26" a="1"/>
  <c r="AJ554" i="26" s="1"/>
  <c r="AI584" i="26" a="1"/>
  <c r="AJ584" i="26" s="1"/>
  <c r="AI103" i="26" a="1"/>
  <c r="AJ103" i="26" s="1"/>
  <c r="AI117" i="26" a="1"/>
  <c r="AJ117" i="26" s="1"/>
  <c r="AI138" i="26" a="1"/>
  <c r="AJ138" i="26" s="1"/>
  <c r="AI666" i="26" a="1"/>
  <c r="AJ666" i="26" s="1"/>
  <c r="AI702" i="26" a="1"/>
  <c r="AJ702" i="26" s="1"/>
  <c r="AI456" i="26" a="1"/>
  <c r="AJ456" i="26" s="1"/>
  <c r="AI271" i="26" a="1"/>
  <c r="AI61" i="26" a="1"/>
  <c r="AJ61" i="26" s="1"/>
  <c r="AI761" i="26" a="1"/>
  <c r="AJ761" i="26" s="1"/>
  <c r="AI214" i="26" a="1"/>
  <c r="AJ214" i="26" s="1"/>
  <c r="AI639" i="26" a="1"/>
  <c r="AI692" i="26" a="1"/>
  <c r="AI716" i="26" a="1"/>
  <c r="AJ716" i="26" s="1"/>
  <c r="AI254" i="26" a="1"/>
  <c r="AI121" i="26" a="1"/>
  <c r="AJ121" i="26" s="1"/>
  <c r="AI158" i="26" a="1"/>
  <c r="AI388" i="26" a="1"/>
  <c r="AJ388" i="26" s="1"/>
  <c r="AI597" i="26" a="1"/>
  <c r="AJ597" i="26" s="1"/>
  <c r="AI517" i="26" a="1"/>
  <c r="AJ517" i="26" s="1"/>
  <c r="AI734" i="26" a="1"/>
  <c r="AJ734" i="26" s="1"/>
  <c r="AI65" i="26" a="1"/>
  <c r="AJ65" i="26" s="1"/>
  <c r="AI772" i="26" a="1"/>
  <c r="AI657" i="26" a="1"/>
  <c r="AJ657" i="26" s="1"/>
  <c r="AI461" i="26" a="1"/>
  <c r="AJ461" i="26" s="1"/>
  <c r="AI310" i="26" a="1"/>
  <c r="AJ310" i="26" s="1"/>
  <c r="AI227" i="26" a="1"/>
  <c r="AJ227" i="26" s="1"/>
  <c r="AI649" i="26" a="1"/>
  <c r="AI577" i="26" a="1"/>
  <c r="AJ577" i="26" s="1"/>
  <c r="AI390" i="26" a="1"/>
  <c r="AI280" i="26" a="1"/>
  <c r="AJ280" i="26" s="1"/>
  <c r="AI92" i="26" a="1"/>
  <c r="AJ92" i="26" s="1"/>
  <c r="AI582" i="26" a="1"/>
  <c r="AJ582" i="26" s="1"/>
  <c r="AI267" i="26" a="1"/>
  <c r="AJ267" i="26" s="1"/>
  <c r="AI57" i="26" a="1"/>
  <c r="AJ57" i="26" s="1"/>
  <c r="AI579" i="26" a="1"/>
  <c r="AJ579" i="26" s="1"/>
  <c r="AI697" i="26" a="1"/>
  <c r="AJ697" i="26" s="1"/>
  <c r="AI197" i="26" a="1"/>
  <c r="AI501" i="26" a="1"/>
  <c r="AI406" i="26" a="1"/>
  <c r="AJ406" i="26" s="1"/>
  <c r="AI427" i="26" a="1"/>
  <c r="AJ427" i="26" s="1"/>
  <c r="AI736" i="26" a="1"/>
  <c r="AJ736" i="26" s="1"/>
  <c r="AI91" i="26" a="1"/>
  <c r="AJ91" i="26" s="1"/>
  <c r="AI782" i="26" a="1"/>
  <c r="AJ782" i="26" s="1"/>
  <c r="AI223" i="26" a="1"/>
  <c r="AJ223" i="26" s="1"/>
  <c r="AI714" i="26" a="1"/>
  <c r="AJ714" i="26" s="1"/>
  <c r="AI500" i="26" a="1"/>
  <c r="AJ500" i="26" s="1"/>
  <c r="AI549" i="26" a="1"/>
  <c r="AJ549" i="26" s="1"/>
  <c r="AI53" i="26" a="1"/>
  <c r="AJ53" i="26" s="1"/>
  <c r="AI175" i="26" a="1"/>
  <c r="AJ175" i="26" s="1"/>
  <c r="AI618" i="26" a="1"/>
  <c r="AJ618" i="26" s="1"/>
  <c r="AI551" i="26" a="1"/>
  <c r="AI311" i="26" a="1"/>
  <c r="AJ311" i="26" s="1"/>
  <c r="AI606" i="26" a="1"/>
  <c r="AJ606" i="26" s="1"/>
  <c r="AI129" i="26" a="1"/>
  <c r="AJ129" i="26" s="1"/>
  <c r="AI247" i="26" a="1"/>
  <c r="AI297" i="26" a="1"/>
  <c r="AJ297" i="26" s="1"/>
  <c r="AI428" i="26" a="1"/>
  <c r="AJ428" i="26" s="1"/>
  <c r="AI726" i="26" a="1"/>
  <c r="AJ726" i="26" s="1"/>
  <c r="AI219" i="26" a="1"/>
  <c r="AI574" i="26" a="1"/>
  <c r="AJ574" i="26" s="1"/>
  <c r="AI675" i="26" a="1"/>
  <c r="AJ675" i="26" s="1"/>
  <c r="AI367" i="26" a="1"/>
  <c r="AJ367" i="26" s="1"/>
  <c r="AI515" i="26" a="1"/>
  <c r="AJ515" i="26" s="1"/>
  <c r="AI40" i="26" a="1"/>
  <c r="AJ40" i="26" s="1"/>
  <c r="AI712" i="26" a="1"/>
  <c r="AI624" i="26" a="1"/>
  <c r="AI46" i="26" a="1"/>
  <c r="AJ46" i="26" s="1"/>
  <c r="AI250" i="26" a="1"/>
  <c r="AJ250" i="26" s="1"/>
  <c r="AI397" i="26" a="1"/>
  <c r="AJ397" i="26" s="1"/>
  <c r="AI221" i="26" a="1"/>
  <c r="AJ221" i="26" s="1"/>
  <c r="AI684" i="26" a="1"/>
  <c r="AJ684" i="26" s="1"/>
  <c r="AI372" i="26" a="1"/>
  <c r="AJ372" i="26" s="1"/>
  <c r="AI455" i="26" a="1"/>
  <c r="AJ455" i="26" s="1"/>
  <c r="AI382" i="26" a="1"/>
  <c r="AJ382" i="26" s="1"/>
  <c r="AI85" i="26" a="1"/>
  <c r="AJ85" i="26" s="1"/>
  <c r="AI400" i="26" a="1"/>
  <c r="AJ400" i="26" s="1"/>
  <c r="AI123" i="26" a="1"/>
  <c r="AJ123" i="26" s="1"/>
  <c r="AI213" i="26" a="1"/>
  <c r="AJ213" i="26" s="1"/>
  <c r="AI253" i="26" a="1"/>
  <c r="AJ253" i="26" s="1"/>
  <c r="AI477" i="26" a="1"/>
  <c r="AJ477" i="26" s="1"/>
  <c r="AI263" i="26" a="1"/>
  <c r="AJ263" i="26" s="1"/>
  <c r="AI260" i="26" a="1"/>
  <c r="AJ260" i="26" s="1"/>
  <c r="AI50" i="26" a="1"/>
  <c r="AJ50" i="26" s="1"/>
  <c r="AI204" i="26" a="1"/>
  <c r="AJ204" i="26" s="1"/>
  <c r="AI266" i="26" a="1"/>
  <c r="AJ266" i="26" s="1"/>
  <c r="AI386" i="26" a="1"/>
  <c r="AI35" i="26" a="1"/>
  <c r="AJ35" i="26" s="1"/>
  <c r="AI447" i="26" a="1"/>
  <c r="AJ447" i="26" s="1"/>
  <c r="AI241" i="26" a="1"/>
  <c r="AI648" i="26" a="1"/>
  <c r="AJ648" i="26" s="1"/>
  <c r="AI720" i="26" a="1"/>
  <c r="AJ720" i="26" s="1"/>
  <c r="AI555" i="26" a="1"/>
  <c r="AJ555" i="26" s="1"/>
  <c r="AI28" i="26" a="1"/>
  <c r="AJ28" i="26" s="1"/>
  <c r="AI423" i="26" a="1"/>
  <c r="AJ423" i="26" s="1"/>
  <c r="AI183" i="26" a="1"/>
  <c r="AJ183" i="26" s="1"/>
  <c r="AI558" i="26" a="1"/>
  <c r="AJ558" i="26" s="1"/>
  <c r="AI696" i="26" a="1"/>
  <c r="AJ696" i="26" s="1"/>
  <c r="AI385" i="26" a="1"/>
  <c r="AJ385" i="26" s="1"/>
  <c r="AI27" i="26" a="1"/>
  <c r="AJ27" i="26" s="1"/>
  <c r="AI783" i="26" a="1"/>
  <c r="AJ783" i="26" s="1"/>
  <c r="AI167" i="26" a="1"/>
  <c r="AJ167" i="26" s="1"/>
  <c r="AI487" i="26" a="1"/>
  <c r="AJ487" i="26" s="1"/>
  <c r="AI599" i="26" a="1"/>
  <c r="AJ599" i="26" s="1"/>
  <c r="AI261" i="26" a="1"/>
  <c r="AJ261" i="26" s="1"/>
  <c r="AI12" i="26" a="1"/>
  <c r="AI790" i="26" a="1"/>
  <c r="AI659" i="26" a="1"/>
  <c r="AJ659" i="26" s="1"/>
  <c r="AI615" i="26" a="1"/>
  <c r="AJ615" i="26" s="1"/>
  <c r="AI503" i="26" a="1"/>
  <c r="AJ503" i="26" s="1"/>
  <c r="AI701" i="26" a="1"/>
  <c r="AI134" i="26" a="1"/>
  <c r="AJ134" i="26" s="1"/>
  <c r="AI139" i="26" a="1"/>
  <c r="AJ139" i="26" s="1"/>
  <c r="AI378" i="26" a="1"/>
  <c r="AJ378" i="26" s="1"/>
  <c r="AI662" i="26" a="1"/>
  <c r="AJ662" i="26" s="1"/>
  <c r="AI663" i="26" a="1"/>
  <c r="AI344" i="26" a="1"/>
  <c r="AJ344" i="26" s="1"/>
  <c r="AI384" i="26" a="1"/>
  <c r="AJ384" i="26" s="1"/>
  <c r="AI301" i="26" a="1"/>
  <c r="AJ301" i="26" s="1"/>
  <c r="AI94" i="26" a="1"/>
  <c r="AJ94" i="26" s="1"/>
  <c r="AI687" i="26" a="1"/>
  <c r="AJ687" i="26" s="1"/>
  <c r="AI792" i="26" a="1"/>
  <c r="AI394" i="26" a="1"/>
  <c r="AI309" i="26" a="1"/>
  <c r="AJ309" i="26" s="1"/>
  <c r="AI532" i="26" a="1"/>
  <c r="AJ532" i="26" s="1"/>
  <c r="AI30" i="26" a="1"/>
  <c r="AJ30" i="26" s="1"/>
  <c r="AI275" i="26" a="1"/>
  <c r="AJ275" i="26" s="1"/>
  <c r="AI11" i="26" a="1"/>
  <c r="AJ11" i="26" s="1"/>
  <c r="AI658" i="26" a="1"/>
  <c r="AJ658" i="26" s="1"/>
  <c r="AI278" i="26" a="1"/>
  <c r="AJ278" i="26" s="1"/>
  <c r="AI556" i="26" a="1"/>
  <c r="AI557" i="26" a="1"/>
  <c r="AJ557" i="26" s="1"/>
  <c r="AI26" i="26" a="1"/>
  <c r="AJ26" i="26" s="1"/>
  <c r="AI236" i="26" a="1"/>
  <c r="AJ236" i="26" s="1"/>
  <c r="AI771" i="26" a="1"/>
  <c r="AJ771" i="26" s="1"/>
  <c r="AI146" i="26" a="1"/>
  <c r="AI273" i="26" a="1"/>
  <c r="AJ273" i="26" s="1"/>
  <c r="AI325" i="26" a="1"/>
  <c r="AJ325" i="26" s="1"/>
  <c r="AI298" i="26" a="1"/>
  <c r="AJ298" i="26" s="1"/>
  <c r="AI308" i="26" a="1"/>
  <c r="AJ308" i="26" s="1"/>
  <c r="AI127" i="26" a="1"/>
  <c r="AJ127" i="26" s="1"/>
  <c r="AI231" i="26" a="1"/>
  <c r="AJ231" i="26" s="1"/>
  <c r="AI570" i="26" a="1"/>
  <c r="AJ570" i="26" s="1"/>
  <c r="AI629" i="26" a="1"/>
  <c r="AJ629" i="26" s="1"/>
  <c r="AI289" i="26" a="1"/>
  <c r="AJ289" i="26" s="1"/>
  <c r="AI572" i="26" a="1"/>
  <c r="AJ572" i="26" s="1"/>
  <c r="AI130" i="26" a="1"/>
  <c r="AJ130" i="26" s="1"/>
  <c r="AI689" i="26" a="1"/>
  <c r="AJ689" i="26" s="1"/>
  <c r="AI48" i="26" a="1"/>
  <c r="AJ48" i="26" s="1"/>
  <c r="AI284" i="26" a="1"/>
  <c r="AJ284" i="26" s="1"/>
  <c r="AI209" i="26" a="1"/>
  <c r="AJ209" i="26" s="1"/>
  <c r="AI604" i="26" a="1"/>
  <c r="AJ604" i="26" s="1"/>
  <c r="AI188" i="26" a="1"/>
  <c r="AJ188" i="26" s="1"/>
  <c r="AI84" i="26" a="1"/>
  <c r="AJ84" i="26" s="1"/>
  <c r="AI189" i="26" a="1"/>
  <c r="AI617" i="26" a="1"/>
  <c r="AJ617" i="26" s="1"/>
  <c r="AI274" i="26" a="1"/>
  <c r="AJ274" i="26" s="1"/>
  <c r="AI513" i="26" a="1"/>
  <c r="AJ513" i="26" s="1"/>
  <c r="AI650" i="26" a="1"/>
  <c r="AI371" i="26" a="1"/>
  <c r="AJ371" i="26" s="1"/>
  <c r="AI518" i="26" a="1"/>
  <c r="AJ518" i="26" s="1"/>
  <c r="AI526" i="26" a="1"/>
  <c r="AJ526" i="26" s="1"/>
  <c r="AI683" i="26" a="1"/>
  <c r="AJ683" i="26" s="1"/>
  <c r="AI768" i="26" a="1"/>
  <c r="AJ768" i="26" s="1"/>
  <c r="AI440" i="26" a="1"/>
  <c r="AJ440" i="26" s="1"/>
  <c r="AI509" i="26" a="1"/>
  <c r="AJ509" i="26" s="1"/>
  <c r="AI460" i="26" a="1"/>
  <c r="AJ460" i="26" s="1"/>
  <c r="AI36" i="26" a="1"/>
  <c r="AJ36" i="26" s="1"/>
  <c r="AI433" i="26" a="1"/>
  <c r="AJ433" i="26" s="1"/>
  <c r="AI419" i="26" a="1"/>
  <c r="AJ419" i="26" s="1"/>
  <c r="AI160" i="26" a="1"/>
  <c r="AJ160" i="26" s="1"/>
  <c r="AI508" i="26" a="1"/>
  <c r="AJ508" i="26" s="1"/>
  <c r="AI693" i="26" a="1"/>
  <c r="AJ693" i="26" s="1"/>
  <c r="AI476" i="26" a="1"/>
  <c r="AJ476" i="26" s="1"/>
  <c r="AI730" i="26" a="1"/>
  <c r="AJ730" i="26" s="1"/>
  <c r="AI237" i="26" a="1"/>
  <c r="AI499" i="26" a="1"/>
  <c r="AJ499" i="26" s="1"/>
  <c r="AI389" i="26" a="1"/>
  <c r="AJ389" i="26" s="1"/>
  <c r="AI573" i="26" a="1"/>
  <c r="AI354" i="26" a="1"/>
  <c r="AJ354" i="26" s="1"/>
  <c r="AI165" i="26" a="1"/>
  <c r="AI473" i="26" a="1"/>
  <c r="AJ473" i="26" s="1"/>
  <c r="AI21" i="26" a="1"/>
  <c r="AJ21" i="26" s="1"/>
  <c r="AI246" i="26" a="1"/>
  <c r="AI190" i="26" a="1"/>
  <c r="AJ190" i="26" s="1"/>
  <c r="AI764" i="26" a="1"/>
  <c r="AJ764" i="26" s="1"/>
  <c r="AI234" i="26" a="1"/>
  <c r="AJ234" i="26" s="1"/>
  <c r="AI621" i="26" a="1"/>
  <c r="AJ621" i="26" s="1"/>
  <c r="AI216" i="26" a="1"/>
  <c r="AJ216" i="26" s="1"/>
  <c r="AI196" i="26" a="1"/>
  <c r="AJ196" i="26" s="1"/>
  <c r="AI31" i="26" a="1"/>
  <c r="AJ31" i="26" s="1"/>
  <c r="AI398" i="26" a="1"/>
  <c r="AI272" i="26" a="1"/>
  <c r="AJ272" i="26" s="1"/>
  <c r="AI224" i="26" a="1"/>
  <c r="AJ224" i="26" s="1"/>
  <c r="AI307" i="26" a="1"/>
  <c r="AJ307" i="26" s="1"/>
  <c r="AI717" i="26" a="1"/>
  <c r="AJ717" i="26" s="1"/>
  <c r="AI343" i="26" a="1"/>
  <c r="AJ343" i="26" s="1"/>
  <c r="AI58" i="26" a="1"/>
  <c r="AJ58" i="26" s="1"/>
  <c r="AI203" i="26" a="1"/>
  <c r="AJ203" i="26" s="1"/>
  <c r="AI135" i="26" a="1"/>
  <c r="AJ135" i="26" s="1"/>
  <c r="AI364" i="26" a="1"/>
  <c r="AJ364" i="26" s="1"/>
  <c r="AI212" i="26" a="1"/>
  <c r="AJ212" i="26" s="1"/>
  <c r="AI373" i="26" a="1"/>
  <c r="AJ373" i="26" s="1"/>
  <c r="AI56" i="26" a="1"/>
  <c r="AJ56" i="26" s="1"/>
  <c r="AI392" i="26" a="1"/>
  <c r="AJ392" i="26" s="1"/>
  <c r="AI420" i="26" a="1"/>
  <c r="AJ420" i="26" s="1"/>
  <c r="AI609" i="26" a="1"/>
  <c r="AJ609" i="26" s="1"/>
  <c r="AI703" i="26" a="1"/>
  <c r="AJ703" i="26" s="1"/>
  <c r="AI45" i="26" a="1"/>
  <c r="AJ45" i="26" s="1"/>
  <c r="AI444" i="26" a="1"/>
  <c r="AJ444" i="26" s="1"/>
  <c r="AI350" i="26" a="1"/>
  <c r="AJ350" i="26" s="1"/>
  <c r="AI109" i="26" a="1"/>
  <c r="AJ109" i="26" s="1"/>
  <c r="AI593" i="26" a="1"/>
  <c r="AJ593" i="26" s="1"/>
  <c r="AI603" i="26" a="1"/>
  <c r="AJ603" i="26" s="1"/>
  <c r="AI480" i="26" a="1"/>
  <c r="AJ480" i="26" s="1"/>
  <c r="AI351" i="26" a="1"/>
  <c r="AJ351" i="26" s="1"/>
  <c r="AI589" i="26" a="1"/>
  <c r="AJ589" i="26" s="1"/>
  <c r="AI338" i="26" a="1"/>
  <c r="AJ338" i="26" s="1"/>
  <c r="AI68" i="26" a="1"/>
  <c r="AJ68" i="26" s="1"/>
  <c r="AI502" i="26" a="1"/>
  <c r="AJ502" i="26" s="1"/>
  <c r="AI472" i="26" a="1"/>
  <c r="AJ472" i="26" s="1"/>
  <c r="AI115" i="26" a="1"/>
  <c r="AI336" i="26" a="1"/>
  <c r="AJ336" i="26" s="1"/>
  <c r="AI242" i="26" a="1"/>
  <c r="AJ242" i="26" s="1"/>
  <c r="AI150" i="26" a="1"/>
  <c r="AJ150" i="26" s="1"/>
  <c r="AI124" i="26" a="1"/>
  <c r="AJ124" i="26" s="1"/>
  <c r="AI88" i="26" a="1"/>
  <c r="AJ88" i="26" s="1"/>
  <c r="AI380" i="26" a="1"/>
  <c r="AJ380" i="26" s="1"/>
  <c r="AI395" i="26" a="1"/>
  <c r="AJ395" i="26" s="1"/>
  <c r="AI713" i="26" a="1"/>
  <c r="AJ713" i="26" s="1"/>
  <c r="AI715" i="26" a="1"/>
  <c r="AJ715" i="26" s="1"/>
  <c r="AI655" i="26" a="1"/>
  <c r="AI488" i="26" a="1"/>
  <c r="AJ488" i="26" s="1"/>
  <c r="AI781" i="26" a="1"/>
  <c r="AI711" i="26" a="1"/>
  <c r="AJ711" i="26" s="1"/>
  <c r="AI564" i="26" a="1"/>
  <c r="AJ564" i="26" s="1"/>
  <c r="AI25" i="26" a="1"/>
  <c r="AJ25" i="26" s="1"/>
  <c r="AI643" i="26" a="1"/>
  <c r="AI458" i="26" a="1"/>
  <c r="AJ458" i="26" s="1"/>
  <c r="AI737" i="26" a="1"/>
  <c r="AJ737" i="26" s="1"/>
  <c r="AI633" i="26" a="1"/>
  <c r="AI119" i="26" a="1"/>
  <c r="AJ119" i="26" s="1"/>
  <c r="AI677" i="26" a="1"/>
  <c r="AI679" i="26" a="1"/>
  <c r="AI484" i="26" a="1"/>
  <c r="AJ484" i="26" s="1"/>
  <c r="AI75" i="26" a="1"/>
  <c r="AJ75" i="26" s="1"/>
  <c r="AI413" i="26" a="1"/>
  <c r="AJ413" i="26" s="1"/>
  <c r="AI291" i="26" a="1"/>
  <c r="AJ291" i="26" s="1"/>
  <c r="AI199" i="26" a="1"/>
  <c r="AJ199" i="26" s="1"/>
  <c r="AI314" i="26" a="1"/>
  <c r="AI78" i="26" a="1"/>
  <c r="AJ78" i="26" s="1"/>
  <c r="AI407" i="26" a="1"/>
  <c r="AJ407" i="26" s="1"/>
  <c r="AI148" i="26" a="1"/>
  <c r="AI269" i="26" a="1"/>
  <c r="AJ269" i="26" s="1"/>
  <c r="AI709" i="26" a="1"/>
  <c r="AJ709" i="26" s="1"/>
  <c r="AI672" i="26" a="1"/>
  <c r="AJ672" i="26" s="1"/>
  <c r="AI349" i="26" a="1"/>
  <c r="AJ349" i="26" s="1"/>
  <c r="AI681" i="26" a="1"/>
  <c r="AJ681" i="26" s="1"/>
  <c r="AI342" i="26" a="1"/>
  <c r="AJ342" i="26" s="1"/>
  <c r="AI335" i="26" a="1"/>
  <c r="AJ335" i="26" s="1"/>
  <c r="AI18" i="26" a="1"/>
  <c r="AJ18" i="26" s="1"/>
  <c r="AI156" i="26" a="1"/>
  <c r="AI652" i="26" a="1"/>
  <c r="AI113" i="26" a="1"/>
  <c r="AJ113" i="26" s="1"/>
  <c r="AI141" i="26" a="1"/>
  <c r="AI128" i="26" a="1"/>
  <c r="AJ128" i="26" s="1"/>
  <c r="AI316" i="26" a="1"/>
  <c r="AJ316" i="26" s="1"/>
  <c r="AI638" i="26" a="1"/>
  <c r="AJ638" i="26" s="1"/>
  <c r="AI740" i="26" a="1"/>
  <c r="AJ740" i="26" s="1"/>
  <c r="AI527" i="26" a="1"/>
  <c r="AI303" i="26" a="1"/>
  <c r="AJ303" i="26" s="1"/>
  <c r="AI8" i="26" a="1"/>
  <c r="AJ8" i="26" s="1"/>
  <c r="AI168" i="26" a="1"/>
  <c r="AI723" i="26" a="1"/>
  <c r="AJ723" i="26" s="1"/>
  <c r="AI157" i="26" a="1"/>
  <c r="AJ157" i="26" s="1"/>
  <c r="AI676" i="26" a="1"/>
  <c r="AJ676" i="26" s="1"/>
  <c r="AI412" i="26" a="1"/>
  <c r="AJ412" i="26" s="1"/>
  <c r="AI255" i="26" a="1"/>
  <c r="AJ255" i="26" s="1"/>
  <c r="AI98" i="26" a="1"/>
  <c r="AJ98" i="26" s="1"/>
  <c r="AI140" i="26" a="1"/>
  <c r="AJ140" i="26" s="1"/>
  <c r="AI439" i="26" a="1"/>
  <c r="AJ439" i="26" s="1"/>
  <c r="AI166" i="26" a="1"/>
  <c r="AI317" i="26" a="1"/>
  <c r="AJ317" i="26" s="1"/>
  <c r="AI337" i="26" a="1"/>
  <c r="AJ337" i="26" s="1"/>
  <c r="AI685" i="26" a="1"/>
  <c r="AI23" i="26" a="1"/>
  <c r="AJ23" i="26" s="1"/>
  <c r="AI571" i="26" a="1"/>
  <c r="AJ571" i="26" s="1"/>
  <c r="AI356" i="26" a="1"/>
  <c r="AJ356" i="26" s="1"/>
  <c r="AI550" i="26" a="1"/>
  <c r="AI24" i="26" a="1"/>
  <c r="AJ24" i="26" s="1"/>
  <c r="AI485" i="26" a="1"/>
  <c r="AJ485" i="26" s="1"/>
  <c r="AI249" i="26" a="1"/>
  <c r="AJ249" i="26" s="1"/>
  <c r="AI360" i="26" a="1"/>
  <c r="AJ360" i="26" s="1"/>
  <c r="AI410" i="26" a="1"/>
  <c r="AJ410" i="26" s="1"/>
  <c r="AI319" i="26" a="1"/>
  <c r="AJ319" i="26" s="1"/>
  <c r="AI504" i="26" a="1"/>
  <c r="AJ504" i="26" s="1"/>
  <c r="AI457" i="26" a="1"/>
  <c r="AJ457" i="26" s="1"/>
  <c r="AI370" i="26" a="1"/>
  <c r="AJ370" i="26" s="1"/>
  <c r="AI442" i="26" a="1"/>
  <c r="AJ442" i="26" s="1"/>
  <c r="AI137" i="26" a="1"/>
  <c r="AJ137" i="26" s="1"/>
  <c r="AI565" i="26" a="1"/>
  <c r="AJ565" i="26" s="1"/>
  <c r="AI262" i="26" a="1"/>
  <c r="AJ262" i="26" s="1"/>
  <c r="AI741" i="26" a="1"/>
  <c r="AJ741" i="26" s="1"/>
  <c r="AI619" i="26" a="1"/>
  <c r="AJ619" i="26" s="1"/>
  <c r="AI559" i="26" a="1"/>
  <c r="AI506" i="26" a="1"/>
  <c r="AI754" i="26" a="1"/>
  <c r="AI276" i="26" a="1"/>
  <c r="AJ276" i="26" s="1"/>
  <c r="AI100" i="26" a="1"/>
  <c r="AJ100" i="26" s="1"/>
  <c r="AI766" i="26" a="1"/>
  <c r="AJ766" i="26" s="1"/>
  <c r="AI631" i="26" a="1"/>
  <c r="AJ631" i="26" s="1"/>
  <c r="AI339" i="26" a="1"/>
  <c r="AJ339" i="26" s="1"/>
  <c r="AI608" i="26" a="1"/>
  <c r="AJ608" i="26" s="1"/>
  <c r="AI396" i="26" a="1"/>
  <c r="AJ396" i="26" s="1"/>
  <c r="AI265" i="26" a="1"/>
  <c r="AJ265" i="26" s="1"/>
  <c r="AI352" i="26" a="1"/>
  <c r="AJ352" i="26" s="1"/>
  <c r="AI172" i="26" a="1"/>
  <c r="AJ172" i="26" s="1"/>
  <c r="AI122" i="26" a="1"/>
  <c r="AJ122" i="26" s="1"/>
  <c r="AI446" i="26" a="1"/>
  <c r="AJ446" i="26" s="1"/>
  <c r="AI762" i="26" a="1"/>
  <c r="AJ762" i="26" s="1"/>
  <c r="AI226" i="26" a="1"/>
  <c r="AJ226" i="26" s="1"/>
  <c r="AI738" i="26" a="1"/>
  <c r="AJ738" i="26" s="1"/>
  <c r="AI393" i="26" a="1"/>
  <c r="AI656" i="26" a="1"/>
  <c r="AJ656" i="26" s="1"/>
  <c r="AI452" i="26" a="1"/>
  <c r="AJ452" i="26" s="1"/>
  <c r="AI59" i="26" a="1"/>
  <c r="AJ59" i="26" s="1"/>
  <c r="AI594" i="26" a="1"/>
  <c r="AJ594" i="26" s="1"/>
  <c r="AI201" i="26" a="1"/>
  <c r="AJ201" i="26" s="1"/>
  <c r="AI514" i="26" a="1"/>
  <c r="AJ514" i="26" s="1"/>
  <c r="AI306" i="26" a="1"/>
  <c r="AI548" i="26" a="1"/>
  <c r="AI110" i="26" a="1"/>
  <c r="AJ110" i="26" s="1"/>
  <c r="AI243" i="26" a="1"/>
  <c r="AI331" i="26" a="1"/>
  <c r="AJ331" i="26" s="1"/>
  <c r="AI347" i="26" a="1"/>
  <c r="AJ347" i="26" s="1"/>
  <c r="AI383" i="26" a="1"/>
  <c r="AJ383" i="26" s="1"/>
  <c r="AI72" i="26" a="1"/>
  <c r="AJ72" i="26" s="1"/>
  <c r="AI674" i="26" a="1"/>
  <c r="AJ674" i="26" s="1"/>
  <c r="AI786" i="26" a="1"/>
  <c r="AJ786" i="26" s="1"/>
  <c r="AI645" i="26" a="1"/>
  <c r="AJ645" i="26" s="1"/>
  <c r="AI240" i="26" a="1"/>
  <c r="AJ240" i="26" s="1"/>
  <c r="AI429" i="26" a="1"/>
  <c r="AJ429" i="26" s="1"/>
  <c r="AI99" i="26" a="1"/>
  <c r="AJ99" i="26" s="1"/>
  <c r="AI200" i="26" a="1"/>
  <c r="AJ200" i="26" s="1"/>
  <c r="AI161" i="26" a="1"/>
  <c r="AI562" i="26" a="1"/>
  <c r="AI215" i="26" a="1"/>
  <c r="AI610" i="26" a="1"/>
  <c r="AJ610" i="26" s="1"/>
  <c r="AI426" i="26" a="1"/>
  <c r="AJ426" i="26" s="1"/>
  <c r="AI334" i="26" a="1"/>
  <c r="AJ334" i="26" s="1"/>
  <c r="AI292" i="26" a="1"/>
  <c r="AJ292" i="26" s="1"/>
  <c r="AI217" i="26" a="1"/>
  <c r="AJ217" i="26" s="1"/>
  <c r="AI114" i="26" a="1"/>
  <c r="AJ114" i="26" s="1"/>
  <c r="AI366" i="26" a="1"/>
  <c r="AJ366" i="26" s="1"/>
  <c r="AI29" i="26" a="1"/>
  <c r="AJ29" i="26" s="1"/>
  <c r="AI102" i="26" a="1"/>
  <c r="AJ102" i="26" s="1"/>
  <c r="AI451" i="26" a="1"/>
  <c r="AJ451" i="26" s="1"/>
  <c r="AI415" i="26" a="1"/>
  <c r="AJ415" i="26" s="1"/>
  <c r="AI187" i="26" a="1"/>
  <c r="AJ187" i="26" s="1"/>
  <c r="AI424" i="26" a="1"/>
  <c r="AJ424" i="26" s="1"/>
  <c r="AI490" i="26" a="1"/>
  <c r="AJ490" i="26" s="1"/>
  <c r="AI118" i="26" a="1"/>
  <c r="AJ118" i="26" s="1"/>
  <c r="AI469" i="26" a="1"/>
  <c r="AJ469" i="26" s="1"/>
  <c r="AI688" i="26" a="1"/>
  <c r="AI55" i="26" a="1"/>
  <c r="AJ55" i="26" s="1"/>
  <c r="AI667" i="26" a="1"/>
  <c r="AJ667" i="26" s="1"/>
  <c r="AI668" i="26" a="1"/>
  <c r="AJ668" i="26" s="1"/>
  <c r="AI690" i="26" a="1"/>
  <c r="AJ690" i="26" s="1"/>
  <c r="AI528" i="26" a="1"/>
  <c r="AJ528" i="26" s="1"/>
  <c r="AI453" i="26" a="1"/>
  <c r="AJ453" i="26" s="1"/>
  <c r="AI470" i="26" a="1"/>
  <c r="AJ470" i="26" s="1"/>
  <c r="AI69" i="26" a="1"/>
  <c r="AJ69" i="26" s="1"/>
  <c r="AI348" i="26" a="1"/>
  <c r="AJ348" i="26" s="1"/>
  <c r="AI295" i="26" a="1"/>
  <c r="AI286" i="26" a="1"/>
  <c r="AJ286" i="26" s="1"/>
  <c r="AI481" i="26" a="1"/>
  <c r="AJ481" i="26" s="1"/>
  <c r="AI541" i="26" a="1"/>
  <c r="AJ541" i="26" s="1"/>
  <c r="AI722" i="26" a="1"/>
  <c r="AJ722" i="26" s="1"/>
  <c r="AI729" i="26" a="1"/>
  <c r="AJ729" i="26" s="1"/>
  <c r="AI576" i="26" a="1"/>
  <c r="AJ576" i="26" s="1"/>
  <c r="AI544" i="26" a="1"/>
  <c r="AI587" i="26" a="1"/>
  <c r="AJ587" i="26" s="1"/>
  <c r="AI96" i="26" a="1"/>
  <c r="AJ96" i="26" s="1"/>
  <c r="AI748" i="26" a="1"/>
  <c r="AJ748" i="26" s="1"/>
  <c r="AI76" i="26" a="1"/>
  <c r="AJ76" i="26" s="1"/>
  <c r="AI474" i="26" a="1"/>
  <c r="AJ474" i="26" s="1"/>
  <c r="AI698" i="26" a="1"/>
  <c r="AJ698" i="26" s="1"/>
  <c r="AI479" i="26" a="1"/>
  <c r="AJ479" i="26" s="1"/>
  <c r="AI277" i="26" a="1"/>
  <c r="AJ277" i="26" s="1"/>
  <c r="AI361" i="26" a="1"/>
  <c r="AJ361" i="26" s="1"/>
  <c r="AI496" i="26" a="1"/>
  <c r="AJ496" i="26" s="1"/>
  <c r="AI270" i="26" a="1"/>
  <c r="AJ270" i="26" s="1"/>
  <c r="AI422" i="26" a="1"/>
  <c r="AI198" i="26" a="1"/>
  <c r="AJ198" i="26" s="1"/>
  <c r="AI707" i="26" a="1"/>
  <c r="AJ707" i="26" s="1"/>
  <c r="AI229" i="26" a="1"/>
  <c r="AJ229" i="26" s="1"/>
  <c r="AI525" i="26" a="1"/>
  <c r="AI228" i="26" a="1"/>
  <c r="AJ228" i="26" s="1"/>
  <c r="AI411" i="26" a="1"/>
  <c r="AJ411" i="26" s="1"/>
  <c r="AI259" i="26" a="1"/>
  <c r="AJ259" i="26" s="1"/>
  <c r="AI718" i="26" a="1"/>
  <c r="AJ718" i="26" s="1"/>
  <c r="AI466" i="26" a="1"/>
  <c r="AJ466" i="26" s="1"/>
  <c r="AI340" i="26" a="1"/>
  <c r="AJ340" i="26" s="1"/>
  <c r="AI493" i="26" a="1"/>
  <c r="AJ493" i="26" s="1"/>
  <c r="AI210" i="26" a="1"/>
  <c r="AJ210" i="26" s="1"/>
  <c r="AI733" i="26" a="1"/>
  <c r="AJ733" i="26" s="1"/>
  <c r="AI602" i="26" a="1"/>
  <c r="AJ602" i="26" s="1"/>
  <c r="AI235" i="26" a="1"/>
  <c r="AJ235" i="26" s="1"/>
  <c r="AI567" i="26" a="1"/>
  <c r="AI578" i="26" a="1"/>
  <c r="AJ578" i="26" s="1"/>
  <c r="AI699" i="26" a="1"/>
  <c r="AJ699" i="26" s="1"/>
  <c r="AI537" i="26" a="1"/>
  <c r="AJ537" i="26" s="1"/>
  <c r="AI83" i="26" a="1"/>
  <c r="AJ83" i="26" s="1"/>
  <c r="AI450" i="26" a="1"/>
  <c r="AJ450" i="26" s="1"/>
  <c r="AI673" i="26" a="1"/>
  <c r="AJ673" i="26" s="1"/>
  <c r="AI67" i="26" a="1"/>
  <c r="AJ67" i="26" s="1"/>
  <c r="AI760" i="26" a="1"/>
  <c r="AJ760" i="26" s="1"/>
  <c r="AI133" i="26" a="1"/>
  <c r="AJ133" i="26" s="1"/>
  <c r="AI605" i="26" a="1"/>
  <c r="AJ605" i="26" s="1"/>
  <c r="AI758" i="26" a="1"/>
  <c r="AI784" i="26" a="1"/>
  <c r="AJ784" i="26" s="1"/>
  <c r="AI346" i="26" a="1"/>
  <c r="AI640" i="26" a="1"/>
  <c r="AI694" i="26" a="1"/>
  <c r="AJ694" i="26" s="1"/>
  <c r="AI257" i="26" a="1"/>
  <c r="AJ257" i="26" s="1"/>
  <c r="AI181" i="26" a="1"/>
  <c r="AJ181" i="26" s="1"/>
  <c r="AI586" i="26" a="1"/>
  <c r="AJ586" i="26" s="1"/>
  <c r="AI105" i="26" a="1"/>
  <c r="AJ105" i="26" s="1"/>
  <c r="AI695" i="26" a="1"/>
  <c r="AJ695" i="26" s="1"/>
  <c r="AI535" i="26" a="1"/>
  <c r="AJ535" i="26" s="1"/>
  <c r="AI644" i="26" a="1"/>
  <c r="AJ644" i="26" s="1"/>
  <c r="AI293" i="26" a="1"/>
  <c r="AI706" i="26" a="1"/>
  <c r="AJ706" i="26" s="1"/>
  <c r="AI651" i="26" a="1"/>
  <c r="AJ651" i="26" s="1"/>
  <c r="AI414" i="26" a="1"/>
  <c r="AJ414" i="26" s="1"/>
  <c r="AI791" i="26" a="1"/>
  <c r="AI486" i="26" a="1"/>
  <c r="AJ486" i="26" s="1"/>
  <c r="AI283" i="26" a="1"/>
  <c r="AJ283" i="26" s="1"/>
  <c r="AI489" i="26" a="1"/>
  <c r="AJ489" i="26" s="1"/>
  <c r="AI794" i="26" a="1"/>
  <c r="AI636" i="26" a="1"/>
  <c r="AI745" i="26" a="1"/>
  <c r="AJ745" i="26" s="1"/>
  <c r="AI108" i="26" a="1"/>
  <c r="AJ108" i="26" s="1"/>
  <c r="AI41" i="26" a="1"/>
  <c r="AJ41" i="26" s="1"/>
  <c r="AI164" i="26" a="1"/>
  <c r="AJ164" i="26" s="1"/>
  <c r="AI575" i="26" a="1"/>
  <c r="AJ575" i="26" s="1"/>
  <c r="AI494" i="26" a="1"/>
  <c r="AJ494" i="26" s="1"/>
  <c r="BR470" i="26" l="1"/>
  <c r="AL470" i="26"/>
  <c r="AK470" i="26"/>
  <c r="BU470" i="26" s="1"/>
  <c r="BV470" i="26" s="1"/>
  <c r="AK342" i="26"/>
  <c r="BU342" i="26" s="1"/>
  <c r="BV342" i="26" s="1"/>
  <c r="BR342" i="26"/>
  <c r="AL342" i="26"/>
  <c r="AK260" i="26"/>
  <c r="BU260" i="26" s="1"/>
  <c r="BV260" i="26" s="1"/>
  <c r="AL260" i="26"/>
  <c r="BR260" i="26"/>
  <c r="AK151" i="26"/>
  <c r="BU151" i="26" s="1"/>
  <c r="BV151" i="26" s="1"/>
  <c r="BR151" i="26"/>
  <c r="AL151" i="26"/>
  <c r="AL443" i="26"/>
  <c r="BR443" i="26"/>
  <c r="AK443" i="26"/>
  <c r="BU443" i="26" s="1"/>
  <c r="BV443" i="26" s="1"/>
  <c r="AJ670" i="26" s="1"/>
  <c r="BR466" i="26"/>
  <c r="AL466" i="26"/>
  <c r="AK466" i="26"/>
  <c r="BU466" i="26" s="1"/>
  <c r="BV466" i="26" s="1"/>
  <c r="BR681" i="26"/>
  <c r="AK681" i="26"/>
  <c r="BU681" i="26" s="1"/>
  <c r="BV681" i="26" s="1"/>
  <c r="AL681" i="26"/>
  <c r="AK278" i="26"/>
  <c r="BU278" i="26" s="1"/>
  <c r="BV278" i="26" s="1"/>
  <c r="AL278" i="26"/>
  <c r="BR278" i="26"/>
  <c r="BR54" i="26"/>
  <c r="AL54" i="26"/>
  <c r="AK54" i="26"/>
  <c r="BU54" i="26" s="1"/>
  <c r="BV54" i="26" s="1"/>
  <c r="AL329" i="26"/>
  <c r="AK329" i="26"/>
  <c r="BU329" i="26" s="1"/>
  <c r="BV329" i="26" s="1"/>
  <c r="BR329" i="26"/>
  <c r="BT329" i="26" s="1"/>
  <c r="BW329" i="26" s="1"/>
  <c r="BR774" i="26"/>
  <c r="AL774" i="26"/>
  <c r="AK774" i="26"/>
  <c r="BU774" i="26" s="1"/>
  <c r="BV774" i="26" s="1"/>
  <c r="AK706" i="26"/>
  <c r="BU706" i="26" s="1"/>
  <c r="BV706" i="26" s="1"/>
  <c r="AL706" i="26"/>
  <c r="BR706" i="26"/>
  <c r="BR349" i="26"/>
  <c r="AK349" i="26"/>
  <c r="BU349" i="26" s="1"/>
  <c r="BV349" i="26" s="1"/>
  <c r="AL349" i="26"/>
  <c r="BR289" i="26"/>
  <c r="AK289" i="26"/>
  <c r="BU289" i="26" s="1"/>
  <c r="BV289" i="26" s="1"/>
  <c r="AL289" i="26"/>
  <c r="AL582" i="26"/>
  <c r="BR582" i="26"/>
  <c r="AK582" i="26"/>
  <c r="BU582" i="26" s="1"/>
  <c r="BV582" i="26" s="1"/>
  <c r="BR533" i="26"/>
  <c r="BT533" i="26" s="1"/>
  <c r="BW533" i="26" s="1"/>
  <c r="AK533" i="26"/>
  <c r="BU533" i="26" s="1"/>
  <c r="BV533" i="26" s="1"/>
  <c r="AL533" i="26"/>
  <c r="AJ793" i="26" s="1"/>
  <c r="AJ245" i="26" s="1"/>
  <c r="AL762" i="26"/>
  <c r="BR762" i="26"/>
  <c r="AK762" i="26"/>
  <c r="BU762" i="26" s="1"/>
  <c r="BV762" i="26" s="1"/>
  <c r="AJ237" i="26" s="1"/>
  <c r="AK588" i="26"/>
  <c r="BU588" i="26" s="1"/>
  <c r="BV588" i="26" s="1"/>
  <c r="BR588" i="26"/>
  <c r="AL588" i="26"/>
  <c r="BR369" i="26"/>
  <c r="AK369" i="26"/>
  <c r="BU369" i="26" s="1"/>
  <c r="BV369" i="26" s="1"/>
  <c r="AL369" i="26"/>
  <c r="AJ794" i="26" s="1"/>
  <c r="BR235" i="26"/>
  <c r="AK235" i="26"/>
  <c r="BU235" i="26" s="1"/>
  <c r="BV235" i="26" s="1"/>
  <c r="AL235" i="26"/>
  <c r="AL481" i="26"/>
  <c r="AK481" i="26"/>
  <c r="BU481" i="26" s="1"/>
  <c r="BV481" i="26" s="1"/>
  <c r="BR481" i="26"/>
  <c r="AL200" i="26"/>
  <c r="AK200" i="26"/>
  <c r="BU200" i="26" s="1"/>
  <c r="BR200" i="26"/>
  <c r="BR339" i="26"/>
  <c r="AL339" i="26"/>
  <c r="AK339" i="26"/>
  <c r="BU339" i="26" s="1"/>
  <c r="BV339" i="26" s="1"/>
  <c r="AL140" i="26"/>
  <c r="BR140" i="26"/>
  <c r="AK140" i="26"/>
  <c r="BU140" i="26" s="1"/>
  <c r="BV140" i="26" s="1"/>
  <c r="AK291" i="26"/>
  <c r="BU291" i="26" s="1"/>
  <c r="BV291" i="26" s="1"/>
  <c r="BR291" i="26"/>
  <c r="AL291" i="26"/>
  <c r="AK351" i="26"/>
  <c r="BU351" i="26" s="1"/>
  <c r="BV351" i="26" s="1"/>
  <c r="AL351" i="26"/>
  <c r="BR351" i="26"/>
  <c r="AJ246" i="26" s="1"/>
  <c r="AK604" i="26"/>
  <c r="BU604" i="26" s="1"/>
  <c r="BV604" i="26" s="1"/>
  <c r="AL604" i="26"/>
  <c r="BR604" i="26"/>
  <c r="AK94" i="26"/>
  <c r="BU94" i="26" s="1"/>
  <c r="BV94" i="26" s="1"/>
  <c r="BR94" i="26"/>
  <c r="AL94" i="26"/>
  <c r="AL35" i="26"/>
  <c r="BR35" i="26"/>
  <c r="AK35" i="26"/>
  <c r="BU35" i="26" s="1"/>
  <c r="BV35" i="26" s="1"/>
  <c r="AJ247" i="26" s="1"/>
  <c r="AL657" i="26"/>
  <c r="AK657" i="26"/>
  <c r="BU657" i="26" s="1"/>
  <c r="BV657" i="26" s="1"/>
  <c r="BR657" i="26"/>
  <c r="BR399" i="26"/>
  <c r="AL399" i="26"/>
  <c r="AK399" i="26"/>
  <c r="BU399" i="26" s="1"/>
  <c r="BV399" i="26" s="1"/>
  <c r="AK787" i="26"/>
  <c r="BU787" i="26" s="1"/>
  <c r="BV787" i="26" s="1"/>
  <c r="BR787" i="26"/>
  <c r="AL787" i="26"/>
  <c r="AK750" i="26"/>
  <c r="BU750" i="26" s="1"/>
  <c r="BV750" i="26" s="1"/>
  <c r="BR750" i="26"/>
  <c r="AL750" i="26"/>
  <c r="BR620" i="26"/>
  <c r="AK620" i="26"/>
  <c r="BU620" i="26" s="1"/>
  <c r="BV620" i="26" s="1"/>
  <c r="AL620" i="26"/>
  <c r="AL682" i="26"/>
  <c r="BR682" i="26"/>
  <c r="AK682" i="26"/>
  <c r="BU682" i="26" s="1"/>
  <c r="BV682" i="26" s="1"/>
  <c r="AL136" i="26"/>
  <c r="BR136" i="26"/>
  <c r="AK136" i="26"/>
  <c r="BU136" i="26" s="1"/>
  <c r="BV136" i="26" s="1"/>
  <c r="AJ155" i="26" s="1"/>
  <c r="BR445" i="26"/>
  <c r="AK445" i="26"/>
  <c r="BU445" i="26" s="1"/>
  <c r="BV445" i="26" s="1"/>
  <c r="AL445" i="26"/>
  <c r="AL635" i="26"/>
  <c r="BR635" i="26"/>
  <c r="AK635" i="26"/>
  <c r="BU635" i="26" s="1"/>
  <c r="BV635" i="26" s="1"/>
  <c r="AJ560" i="26" s="1"/>
  <c r="AL38" i="26"/>
  <c r="AK38" i="26"/>
  <c r="BU38" i="26" s="1"/>
  <c r="BV38" i="26" s="1"/>
  <c r="BR38" i="26"/>
  <c r="AK283" i="26"/>
  <c r="BU283" i="26" s="1"/>
  <c r="BV283" i="26" s="1"/>
  <c r="BR283" i="26"/>
  <c r="AL283" i="26"/>
  <c r="AJ346" i="26" s="1"/>
  <c r="BR733" i="26"/>
  <c r="AK733" i="26"/>
  <c r="BU733" i="26" s="1"/>
  <c r="BV733" i="26" s="1"/>
  <c r="AL733" i="26"/>
  <c r="AK361" i="26"/>
  <c r="BU361" i="26" s="1"/>
  <c r="BV361" i="26" s="1"/>
  <c r="AL361" i="26"/>
  <c r="BR361" i="26"/>
  <c r="AJ295" i="26"/>
  <c r="BR415" i="26"/>
  <c r="AK415" i="26"/>
  <c r="BU415" i="26" s="1"/>
  <c r="BV415" i="26" s="1"/>
  <c r="AL415" i="26"/>
  <c r="BR429" i="26"/>
  <c r="AL429" i="26"/>
  <c r="AK429" i="26"/>
  <c r="BU429" i="26" s="1"/>
  <c r="BV429" i="26" s="1"/>
  <c r="AK59" i="26"/>
  <c r="BU59" i="26" s="1"/>
  <c r="BV59" i="26" s="1"/>
  <c r="BR59" i="26"/>
  <c r="AL59" i="26"/>
  <c r="BR766" i="26"/>
  <c r="AK766" i="26"/>
  <c r="BU766" i="26" s="1"/>
  <c r="BV766" i="26" s="1"/>
  <c r="AL766" i="26"/>
  <c r="BR410" i="26"/>
  <c r="BT410" i="26" s="1"/>
  <c r="BW410" i="26" s="1"/>
  <c r="AL410" i="26"/>
  <c r="AK410" i="26"/>
  <c r="BU410" i="26" s="1"/>
  <c r="BV410" i="26" s="1"/>
  <c r="AK255" i="26"/>
  <c r="BU255" i="26" s="1"/>
  <c r="BV255" i="26" s="1"/>
  <c r="BR255" i="26"/>
  <c r="AL255" i="26"/>
  <c r="AJ156" i="26" s="1"/>
  <c r="BR75" i="26"/>
  <c r="AK75" i="26"/>
  <c r="BU75" i="26" s="1"/>
  <c r="BV75" i="26" s="1"/>
  <c r="AL75" i="26"/>
  <c r="AK713" i="26"/>
  <c r="BU713" i="26" s="1"/>
  <c r="BV713" i="26" s="1"/>
  <c r="BR713" i="26"/>
  <c r="AL713" i="26"/>
  <c r="AL603" i="26"/>
  <c r="AK603" i="26"/>
  <c r="BU603" i="26" s="1"/>
  <c r="BV603" i="26" s="1"/>
  <c r="BR603" i="26"/>
  <c r="BR58" i="26"/>
  <c r="AL58" i="26"/>
  <c r="AK58" i="26"/>
  <c r="BU58" i="26" s="1"/>
  <c r="BV58" i="26" s="1"/>
  <c r="AL473" i="26"/>
  <c r="AK473" i="26"/>
  <c r="BU473" i="26" s="1"/>
  <c r="BV473" i="26" s="1"/>
  <c r="BR473" i="26"/>
  <c r="BR509" i="26"/>
  <c r="BT509" i="26" s="1"/>
  <c r="BW509" i="26" s="1"/>
  <c r="AL509" i="26"/>
  <c r="AK509" i="26"/>
  <c r="BU509" i="26" s="1"/>
  <c r="BV509" i="26" s="1"/>
  <c r="AL284" i="26"/>
  <c r="BR284" i="26"/>
  <c r="AK284" i="26"/>
  <c r="BU284" i="26" s="1"/>
  <c r="BV284" i="26" s="1"/>
  <c r="AK236" i="26"/>
  <c r="BU236" i="26" s="1"/>
  <c r="BV236" i="26" s="1"/>
  <c r="BR236" i="26"/>
  <c r="AL236" i="26"/>
  <c r="AL384" i="26"/>
  <c r="BR384" i="26"/>
  <c r="AK384" i="26"/>
  <c r="BU384" i="26" s="1"/>
  <c r="BV384" i="26" s="1"/>
  <c r="AK167" i="26"/>
  <c r="BU167" i="26" s="1"/>
  <c r="BV167" i="26" s="1"/>
  <c r="BR167" i="26"/>
  <c r="AL167" i="26"/>
  <c r="BR266" i="26"/>
  <c r="AL266" i="26"/>
  <c r="AK266" i="26"/>
  <c r="BU266" i="26" s="1"/>
  <c r="BV266" i="26" s="1"/>
  <c r="BR397" i="26"/>
  <c r="AL397" i="26"/>
  <c r="AK397" i="26"/>
  <c r="BU397" i="26" s="1"/>
  <c r="BV397" i="26" s="1"/>
  <c r="AL606" i="26"/>
  <c r="AK606" i="26"/>
  <c r="BU606" i="26" s="1"/>
  <c r="BV606" i="26" s="1"/>
  <c r="BR606" i="26"/>
  <c r="AJ197" i="26"/>
  <c r="AL65" i="26"/>
  <c r="BR65" i="26"/>
  <c r="AK65" i="26"/>
  <c r="BU65" i="26" s="1"/>
  <c r="BV65" i="26" s="1"/>
  <c r="BR702" i="26"/>
  <c r="AL702" i="26"/>
  <c r="AK702" i="26"/>
  <c r="BU702" i="26" s="1"/>
  <c r="BV702" i="26" s="1"/>
  <c r="AJ376" i="26" s="1"/>
  <c r="AL776" i="26"/>
  <c r="BR776" i="26"/>
  <c r="AK776" i="26"/>
  <c r="BU776" i="26" s="1"/>
  <c r="BV776" i="26" s="1"/>
  <c r="BR779" i="26"/>
  <c r="BT779" i="26" s="1"/>
  <c r="BW779" i="26" s="1"/>
  <c r="AL779" i="26"/>
  <c r="AK779" i="26"/>
  <c r="BU779" i="26" s="1"/>
  <c r="BV779" i="26" s="1"/>
  <c r="BR320" i="26"/>
  <c r="BT320" i="26" s="1"/>
  <c r="BW320" i="26" s="1"/>
  <c r="AK320" i="26"/>
  <c r="BU320" i="26" s="1"/>
  <c r="BV320" i="26" s="1"/>
  <c r="AL320" i="26"/>
  <c r="AL375" i="26"/>
  <c r="BR375" i="26"/>
  <c r="AK375" i="26"/>
  <c r="BU375" i="26" s="1"/>
  <c r="BV375" i="26" s="1"/>
  <c r="BR600" i="26"/>
  <c r="AL600" i="26"/>
  <c r="AK600" i="26"/>
  <c r="BU600" i="26" s="1"/>
  <c r="BV600" i="26" s="1"/>
  <c r="AK191" i="26"/>
  <c r="BU191" i="26" s="1"/>
  <c r="BV191" i="26" s="1"/>
  <c r="BR191" i="26"/>
  <c r="AL191" i="26"/>
  <c r="BR437" i="26"/>
  <c r="AL437" i="26"/>
  <c r="AK437" i="26"/>
  <c r="BU437" i="26" s="1"/>
  <c r="BV437" i="26" s="1"/>
  <c r="BR436" i="26"/>
  <c r="AK436" i="26"/>
  <c r="BU436" i="26" s="1"/>
  <c r="BV436" i="26" s="1"/>
  <c r="AL436" i="26"/>
  <c r="AK704" i="26"/>
  <c r="BU704" i="26" s="1"/>
  <c r="BV704" i="26" s="1"/>
  <c r="BR704" i="26"/>
  <c r="AL704" i="26"/>
  <c r="AL438" i="26"/>
  <c r="AK438" i="26"/>
  <c r="BU438" i="26" s="1"/>
  <c r="BV438" i="26" s="1"/>
  <c r="BR438" i="26"/>
  <c r="BR22" i="26"/>
  <c r="AL22" i="26"/>
  <c r="AK22" i="26"/>
  <c r="BU22" i="26" s="1"/>
  <c r="BV22" i="26" s="1"/>
  <c r="AJ732" i="26" s="1"/>
  <c r="AL211" i="26"/>
  <c r="AK211" i="26"/>
  <c r="BU211" i="26" s="1"/>
  <c r="BV211" i="26" s="1"/>
  <c r="BR211" i="26"/>
  <c r="AJ401" i="26" s="1"/>
  <c r="BR256" i="26"/>
  <c r="AK256" i="26"/>
  <c r="BU256" i="26" s="1"/>
  <c r="AL256" i="26"/>
  <c r="AL194" i="26"/>
  <c r="BR194" i="26"/>
  <c r="AK194" i="26"/>
  <c r="BU194" i="26" s="1"/>
  <c r="BV194" i="26" s="1"/>
  <c r="AJ238" i="26" s="1"/>
  <c r="AL170" i="26"/>
  <c r="AK170" i="26"/>
  <c r="BU170" i="26" s="1"/>
  <c r="BV170" i="26" s="1"/>
  <c r="BR170" i="26"/>
  <c r="AL435" i="26"/>
  <c r="BR435" i="26"/>
  <c r="AK435" i="26"/>
  <c r="BU435" i="26" s="1"/>
  <c r="BV435" i="26" s="1"/>
  <c r="AJ641" i="26" s="1"/>
  <c r="BR414" i="26"/>
  <c r="AL414" i="26"/>
  <c r="AK414" i="26"/>
  <c r="BU414" i="26" s="1"/>
  <c r="BV414" i="26" s="1"/>
  <c r="AK485" i="26"/>
  <c r="BU485" i="26" s="1"/>
  <c r="BV485" i="26" s="1"/>
  <c r="BR485" i="26"/>
  <c r="AL485" i="26"/>
  <c r="AJ573" i="26" s="1"/>
  <c r="BR618" i="26"/>
  <c r="AK618" i="26"/>
  <c r="BU618" i="26" s="1"/>
  <c r="BV618" i="26" s="1"/>
  <c r="AL618" i="26"/>
  <c r="BR202" i="26"/>
  <c r="AL202" i="26"/>
  <c r="AK202" i="26"/>
  <c r="BU202" i="26" s="1"/>
  <c r="AK64" i="26"/>
  <c r="BU64" i="26" s="1"/>
  <c r="BV64" i="26" s="1"/>
  <c r="BR64" i="26"/>
  <c r="AL64" i="26"/>
  <c r="AL651" i="26"/>
  <c r="AK651" i="26"/>
  <c r="BU651" i="26" s="1"/>
  <c r="BV651" i="26" s="1"/>
  <c r="BR651" i="26"/>
  <c r="AK723" i="26"/>
  <c r="BU723" i="26" s="1"/>
  <c r="BV723" i="26" s="1"/>
  <c r="AL723" i="26"/>
  <c r="BR723" i="26"/>
  <c r="AL572" i="26"/>
  <c r="AK572" i="26"/>
  <c r="BU572" i="26" s="1"/>
  <c r="BV572" i="26" s="1"/>
  <c r="BR572" i="26"/>
  <c r="BR388" i="26"/>
  <c r="AL388" i="26"/>
  <c r="AK388" i="26"/>
  <c r="BU388" i="26" s="1"/>
  <c r="BV388" i="26" s="1"/>
  <c r="BR42" i="26"/>
  <c r="AL42" i="26"/>
  <c r="AK42" i="26"/>
  <c r="BU42" i="26" s="1"/>
  <c r="BV42" i="26" s="1"/>
  <c r="AK326" i="26"/>
  <c r="BU326" i="26" s="1"/>
  <c r="BV326" i="26" s="1"/>
  <c r="BR326" i="26"/>
  <c r="AL326" i="26"/>
  <c r="AK226" i="26"/>
  <c r="BU226" i="26" s="1"/>
  <c r="BV226" i="26" s="1"/>
  <c r="AL226" i="26"/>
  <c r="BR226" i="26"/>
  <c r="AJ633" i="26" s="1"/>
  <c r="BR139" i="26"/>
  <c r="AL139" i="26"/>
  <c r="AK139" i="26"/>
  <c r="BU139" i="26" s="1"/>
  <c r="BV139" i="26" s="1"/>
  <c r="BR521" i="26"/>
  <c r="AK521" i="26"/>
  <c r="BU521" i="26" s="1"/>
  <c r="BV521" i="26" s="1"/>
  <c r="AL521" i="26"/>
  <c r="BR252" i="26"/>
  <c r="AL252" i="26"/>
  <c r="AK252" i="26"/>
  <c r="BU252" i="26" s="1"/>
  <c r="BV252" i="26" s="1"/>
  <c r="AK430" i="26"/>
  <c r="BU430" i="26" s="1"/>
  <c r="AL430" i="26"/>
  <c r="BR430" i="26"/>
  <c r="AJ293" i="26" s="1"/>
  <c r="BR619" i="26"/>
  <c r="AL619" i="26"/>
  <c r="AK619" i="26"/>
  <c r="BU619" i="26" s="1"/>
  <c r="BV619" i="26" s="1"/>
  <c r="AJ398" i="26" s="1"/>
  <c r="AL253" i="26"/>
  <c r="BR253" i="26"/>
  <c r="AK253" i="26"/>
  <c r="BU253" i="26" s="1"/>
  <c r="BV253" i="26" s="1"/>
  <c r="AK510" i="26"/>
  <c r="BU510" i="26" s="1"/>
  <c r="AL510" i="26"/>
  <c r="BR510" i="26"/>
  <c r="BR432" i="26"/>
  <c r="AK432" i="26"/>
  <c r="BU432" i="26" s="1"/>
  <c r="BV432" i="26" s="1"/>
  <c r="AL432" i="26"/>
  <c r="AK486" i="26"/>
  <c r="BU486" i="26" s="1"/>
  <c r="BV486" i="26" s="1"/>
  <c r="AL486" i="26"/>
  <c r="BR486" i="26"/>
  <c r="BR784" i="26"/>
  <c r="AL784" i="26"/>
  <c r="AK784" i="26"/>
  <c r="BU784" i="26" s="1"/>
  <c r="BV784" i="26" s="1"/>
  <c r="BR210" i="26"/>
  <c r="AL210" i="26"/>
  <c r="AK210" i="26"/>
  <c r="BU210" i="26" s="1"/>
  <c r="BV210" i="26" s="1"/>
  <c r="BR277" i="26"/>
  <c r="AK277" i="26"/>
  <c r="BU277" i="26" s="1"/>
  <c r="BV277" i="26" s="1"/>
  <c r="AL277" i="26"/>
  <c r="BR348" i="26"/>
  <c r="AK348" i="26"/>
  <c r="BU348" i="26" s="1"/>
  <c r="BV348" i="26" s="1"/>
  <c r="AL348" i="26"/>
  <c r="BR451" i="26"/>
  <c r="AK451" i="26"/>
  <c r="BU451" i="26" s="1"/>
  <c r="BV451" i="26" s="1"/>
  <c r="AL451" i="26"/>
  <c r="AK240" i="26"/>
  <c r="BU240" i="26" s="1"/>
  <c r="BV240" i="26" s="1"/>
  <c r="BR240" i="26"/>
  <c r="AL240" i="26"/>
  <c r="AK452" i="26"/>
  <c r="BU452" i="26" s="1"/>
  <c r="BV452" i="26" s="1"/>
  <c r="BR452" i="26"/>
  <c r="AL452" i="26"/>
  <c r="AL100" i="26"/>
  <c r="AK100" i="26"/>
  <c r="BU100" i="26" s="1"/>
  <c r="BR100" i="26"/>
  <c r="BR360" i="26"/>
  <c r="AL360" i="26"/>
  <c r="AK360" i="26"/>
  <c r="BU360" i="26" s="1"/>
  <c r="BV360" i="26" s="1"/>
  <c r="AK412" i="26"/>
  <c r="BU412" i="26" s="1"/>
  <c r="BV412" i="26" s="1"/>
  <c r="AL412" i="26"/>
  <c r="BR412" i="26"/>
  <c r="BR18" i="26"/>
  <c r="AK18" i="26"/>
  <c r="BU18" i="26" s="1"/>
  <c r="BV18" i="26" s="1"/>
  <c r="AL18" i="26"/>
  <c r="BR484" i="26"/>
  <c r="AK484" i="26"/>
  <c r="BU484" i="26" s="1"/>
  <c r="BV484" i="26" s="1"/>
  <c r="AL484" i="26"/>
  <c r="BR395" i="26"/>
  <c r="AK395" i="26"/>
  <c r="BU395" i="26" s="1"/>
  <c r="BV395" i="26" s="1"/>
  <c r="AL395" i="26"/>
  <c r="BR593" i="26"/>
  <c r="AK593" i="26"/>
  <c r="BU593" i="26" s="1"/>
  <c r="BV593" i="26" s="1"/>
  <c r="AL593" i="26"/>
  <c r="AL343" i="26"/>
  <c r="BR343" i="26"/>
  <c r="AK343" i="26"/>
  <c r="BU343" i="26" s="1"/>
  <c r="BV343" i="26" s="1"/>
  <c r="AJ165" i="26" s="1"/>
  <c r="AK440" i="26"/>
  <c r="BU440" i="26" s="1"/>
  <c r="BV440" i="26" s="1"/>
  <c r="BR440" i="26"/>
  <c r="AL440" i="26"/>
  <c r="AK48" i="26"/>
  <c r="BU48" i="26" s="1"/>
  <c r="BV48" i="26" s="1"/>
  <c r="BR48" i="26"/>
  <c r="AL48" i="26"/>
  <c r="BR26" i="26"/>
  <c r="AL26" i="26"/>
  <c r="AK26" i="26"/>
  <c r="BU26" i="26" s="1"/>
  <c r="BV26" i="26" s="1"/>
  <c r="BR344" i="26"/>
  <c r="AK344" i="26"/>
  <c r="BU344" i="26" s="1"/>
  <c r="BV344" i="26" s="1"/>
  <c r="AL344" i="26"/>
  <c r="AL783" i="26"/>
  <c r="BR783" i="26"/>
  <c r="AK783" i="26"/>
  <c r="BU783" i="26" s="1"/>
  <c r="BV783" i="26" s="1"/>
  <c r="AL204" i="26"/>
  <c r="BR204" i="26"/>
  <c r="AK204" i="26"/>
  <c r="BU204" i="26" s="1"/>
  <c r="BV204" i="26" s="1"/>
  <c r="AL250" i="26"/>
  <c r="AK250" i="26"/>
  <c r="BU250" i="26" s="1"/>
  <c r="BV250" i="26" s="1"/>
  <c r="BR250" i="26"/>
  <c r="BR311" i="26"/>
  <c r="AK311" i="26"/>
  <c r="BU311" i="26" s="1"/>
  <c r="BV311" i="26" s="1"/>
  <c r="AL311" i="26"/>
  <c r="AL697" i="26"/>
  <c r="BR697" i="26"/>
  <c r="AK697" i="26"/>
  <c r="BU697" i="26" s="1"/>
  <c r="BV697" i="26" s="1"/>
  <c r="BR734" i="26"/>
  <c r="AK734" i="26"/>
  <c r="BU734" i="26" s="1"/>
  <c r="BV734" i="26" s="1"/>
  <c r="AL734" i="26"/>
  <c r="BR666" i="26"/>
  <c r="AK666" i="26"/>
  <c r="BU666" i="26" s="1"/>
  <c r="BV666" i="26" s="1"/>
  <c r="AL666" i="26"/>
  <c r="AL763" i="26"/>
  <c r="BR763" i="26"/>
  <c r="AK763" i="26"/>
  <c r="BU763" i="26" s="1"/>
  <c r="BV763" i="26" s="1"/>
  <c r="BR302" i="26"/>
  <c r="AK302" i="26"/>
  <c r="BU302" i="26" s="1"/>
  <c r="BV302" i="26" s="1"/>
  <c r="AL302" i="26"/>
  <c r="BR90" i="26"/>
  <c r="AL90" i="26"/>
  <c r="AK90" i="26"/>
  <c r="BU90" i="26" s="1"/>
  <c r="BV90" i="26" s="1"/>
  <c r="AJ755" i="26" s="1"/>
  <c r="AK478" i="26"/>
  <c r="BU478" i="26" s="1"/>
  <c r="BV478" i="26" s="1"/>
  <c r="AL478" i="26"/>
  <c r="BR478" i="26"/>
  <c r="AL248" i="26"/>
  <c r="AK248" i="26"/>
  <c r="BU248" i="26" s="1"/>
  <c r="BV248" i="26" s="1"/>
  <c r="BR248" i="26"/>
  <c r="BR131" i="26"/>
  <c r="AK131" i="26"/>
  <c r="BU131" i="26" s="1"/>
  <c r="BV131" i="26" s="1"/>
  <c r="AL131" i="26"/>
  <c r="BR566" i="26"/>
  <c r="AK566" i="26"/>
  <c r="BU566" i="26" s="1"/>
  <c r="BV566" i="26" s="1"/>
  <c r="AL566" i="26"/>
  <c r="AL244" i="26"/>
  <c r="AK244" i="26"/>
  <c r="BU244" i="26" s="1"/>
  <c r="BV244" i="26" s="1"/>
  <c r="BR244" i="26"/>
  <c r="AL581" i="26"/>
  <c r="BR581" i="26"/>
  <c r="AK581" i="26"/>
  <c r="BU581" i="26" s="1"/>
  <c r="BV581" i="26" s="1"/>
  <c r="BR174" i="26"/>
  <c r="AK174" i="26"/>
  <c r="BU174" i="26" s="1"/>
  <c r="BV174" i="26" s="1"/>
  <c r="AL174" i="26"/>
  <c r="BR721" i="26"/>
  <c r="AK721" i="26"/>
  <c r="BU721" i="26" s="1"/>
  <c r="BV721" i="26" s="1"/>
  <c r="AL721" i="26"/>
  <c r="AL333" i="26"/>
  <c r="AK333" i="26"/>
  <c r="BU333" i="26" s="1"/>
  <c r="BV333" i="26" s="1"/>
  <c r="BR333" i="26"/>
  <c r="BR184" i="26"/>
  <c r="AK184" i="26"/>
  <c r="BU184" i="26" s="1"/>
  <c r="BV184" i="26" s="1"/>
  <c r="AL184" i="26"/>
  <c r="AJ780" i="26" s="1"/>
  <c r="BR180" i="26"/>
  <c r="AK180" i="26"/>
  <c r="BU180" i="26" s="1"/>
  <c r="BV180" i="26" s="1"/>
  <c r="AL180" i="26"/>
  <c r="AJ796" i="26" s="1"/>
  <c r="AJ759" i="26" s="1"/>
  <c r="AL625" i="26"/>
  <c r="BR625" i="26"/>
  <c r="AK625" i="26"/>
  <c r="BU625" i="26" s="1"/>
  <c r="BV625" i="26" s="1"/>
  <c r="AK408" i="26"/>
  <c r="BU408" i="26" s="1"/>
  <c r="BV408" i="26" s="1"/>
  <c r="BR408" i="26"/>
  <c r="AL408" i="26"/>
  <c r="AK32" i="26"/>
  <c r="BU32" i="26" s="1"/>
  <c r="BV32" i="26" s="1"/>
  <c r="BR32" i="26"/>
  <c r="AL32" i="26"/>
  <c r="AJ791" i="26" s="1"/>
  <c r="AJ758" i="26" s="1"/>
  <c r="AK493" i="26"/>
  <c r="BU493" i="26" s="1"/>
  <c r="BV493" i="26" s="1"/>
  <c r="AL493" i="26"/>
  <c r="BR493" i="26"/>
  <c r="AK479" i="26"/>
  <c r="BU479" i="26" s="1"/>
  <c r="BV479" i="26" s="1"/>
  <c r="AL479" i="26"/>
  <c r="BR479" i="26"/>
  <c r="AL69" i="26"/>
  <c r="BR259" i="26" s="1"/>
  <c r="BR69" i="26"/>
  <c r="AK69" i="26"/>
  <c r="BU69" i="26" s="1"/>
  <c r="BR102" i="26"/>
  <c r="AL102" i="26"/>
  <c r="AK102" i="26"/>
  <c r="BU102" i="26" s="1"/>
  <c r="BR645" i="26"/>
  <c r="AK645" i="26"/>
  <c r="BU645" i="26" s="1"/>
  <c r="BV645" i="26" s="1"/>
  <c r="AL645" i="26"/>
  <c r="AL656" i="26"/>
  <c r="BR656" i="26"/>
  <c r="AK656" i="26"/>
  <c r="BU656" i="26" s="1"/>
  <c r="BV656" i="26" s="1"/>
  <c r="BR276" i="26"/>
  <c r="AL276" i="26"/>
  <c r="AK276" i="26"/>
  <c r="BU276" i="26" s="1"/>
  <c r="BV276" i="26" s="1"/>
  <c r="AK249" i="26"/>
  <c r="BU249" i="26" s="1"/>
  <c r="BV249" i="26" s="1"/>
  <c r="BR249" i="26"/>
  <c r="AL249" i="26"/>
  <c r="AL676" i="26"/>
  <c r="BR676" i="26"/>
  <c r="AK676" i="26"/>
  <c r="BU676" i="26" s="1"/>
  <c r="BV676" i="26" s="1"/>
  <c r="AL335" i="26"/>
  <c r="BR335" i="26"/>
  <c r="BT335" i="26" s="1"/>
  <c r="BW335" i="26" s="1"/>
  <c r="AK335" i="26"/>
  <c r="BU335" i="26" s="1"/>
  <c r="BV335" i="26" s="1"/>
  <c r="AJ679" i="26" s="1"/>
  <c r="AK380" i="26"/>
  <c r="BU380" i="26" s="1"/>
  <c r="BV380" i="26" s="1"/>
  <c r="AL380" i="26"/>
  <c r="BR380" i="26"/>
  <c r="AK109" i="26"/>
  <c r="BU109" i="26" s="1"/>
  <c r="BV109" i="26" s="1"/>
  <c r="BR109" i="26"/>
  <c r="AL109" i="26"/>
  <c r="AK717" i="26"/>
  <c r="BU717" i="26" s="1"/>
  <c r="BV717" i="26" s="1"/>
  <c r="AL717" i="26"/>
  <c r="BR717" i="26"/>
  <c r="AL354" i="26"/>
  <c r="BR354" i="26"/>
  <c r="AK354" i="26"/>
  <c r="BU354" i="26" s="1"/>
  <c r="BV354" i="26" s="1"/>
  <c r="AL768" i="26"/>
  <c r="BR768" i="26"/>
  <c r="AK768" i="26"/>
  <c r="BU768" i="26" s="1"/>
  <c r="BV768" i="26" s="1"/>
  <c r="AL689" i="26"/>
  <c r="BR689" i="26"/>
  <c r="AK689" i="26"/>
  <c r="BU689" i="26" s="1"/>
  <c r="BV689" i="26" s="1"/>
  <c r="AL557" i="26"/>
  <c r="AK557" i="26"/>
  <c r="BU557" i="26" s="1"/>
  <c r="BR557" i="26"/>
  <c r="AJ663" i="26" s="1"/>
  <c r="AK27" i="26"/>
  <c r="BU27" i="26" s="1"/>
  <c r="BV27" i="26" s="1"/>
  <c r="AL27" i="26"/>
  <c r="BR27" i="26"/>
  <c r="BR50" i="26"/>
  <c r="AK50" i="26"/>
  <c r="BU50" i="26" s="1"/>
  <c r="BV50" i="26" s="1"/>
  <c r="AL50" i="26"/>
  <c r="BR46" i="26"/>
  <c r="AK46" i="26"/>
  <c r="BU46" i="26" s="1"/>
  <c r="BV46" i="26" s="1"/>
  <c r="AL46" i="26"/>
  <c r="AJ551" i="26" s="1"/>
  <c r="AK579" i="26"/>
  <c r="BU579" i="26" s="1"/>
  <c r="BV579" i="26" s="1"/>
  <c r="BR579" i="26"/>
  <c r="AL579" i="26"/>
  <c r="BR517" i="26"/>
  <c r="AL517" i="26"/>
  <c r="AK517" i="26"/>
  <c r="BU517" i="26" s="1"/>
  <c r="BR138" i="26"/>
  <c r="AK138" i="26"/>
  <c r="BU138" i="26" s="1"/>
  <c r="BV138" i="26" s="1"/>
  <c r="AL138" i="26"/>
  <c r="BR154" i="26"/>
  <c r="AK154" i="26"/>
  <c r="BU154" i="26" s="1"/>
  <c r="BV154" i="26" s="1"/>
  <c r="AL154" i="26"/>
  <c r="AJ552" i="26" s="1"/>
  <c r="AJ614" i="26" s="1"/>
  <c r="AL482" i="26"/>
  <c r="BR482" i="26"/>
  <c r="AK482" i="26"/>
  <c r="BU482" i="26" s="1"/>
  <c r="BV482" i="26" s="1"/>
  <c r="AJ315" i="26" s="1"/>
  <c r="BR49" i="26"/>
  <c r="AL49" i="26"/>
  <c r="AK49" i="26"/>
  <c r="BU49" i="26" s="1"/>
  <c r="AL769" i="26"/>
  <c r="AK769" i="26"/>
  <c r="BU769" i="26" s="1"/>
  <c r="BR769" i="26"/>
  <c r="AK153" i="26"/>
  <c r="BU153" i="26" s="1"/>
  <c r="BV153" i="26" s="1"/>
  <c r="BR153" i="26"/>
  <c r="AL153" i="26"/>
  <c r="BR746" i="26"/>
  <c r="AL746" i="26"/>
  <c r="AK746" i="26"/>
  <c r="BU746" i="26" s="1"/>
  <c r="BV746" i="26" s="1"/>
  <c r="BR126" i="26"/>
  <c r="AK126" i="26"/>
  <c r="BU126" i="26" s="1"/>
  <c r="BV126" i="26" s="1"/>
  <c r="AL126" i="26"/>
  <c r="AL120" i="26"/>
  <c r="BR120" i="26"/>
  <c r="AK120" i="26"/>
  <c r="BU120" i="26" s="1"/>
  <c r="BV120" i="26" s="1"/>
  <c r="BR97" i="26"/>
  <c r="AK97" i="26"/>
  <c r="BU97" i="26" s="1"/>
  <c r="AL97" i="26"/>
  <c r="AJ512" i="26" s="1"/>
  <c r="BR529" i="26"/>
  <c r="AL529" i="26"/>
  <c r="AK529" i="26"/>
  <c r="BU529" i="26" s="1"/>
  <c r="BV529" i="26" s="1"/>
  <c r="BR387" i="26"/>
  <c r="AL387" i="26"/>
  <c r="AK387" i="26"/>
  <c r="BU387" i="26" s="1"/>
  <c r="BV387" i="26" s="1"/>
  <c r="BR708" i="26"/>
  <c r="AL708" i="26"/>
  <c r="AK708" i="26"/>
  <c r="BU708" i="26" s="1"/>
  <c r="BV708" i="26" s="1"/>
  <c r="AL104" i="26"/>
  <c r="AK104" i="26"/>
  <c r="BU104" i="26" s="1"/>
  <c r="BR104" i="26"/>
  <c r="AK77" i="26"/>
  <c r="BU77" i="26" s="1"/>
  <c r="BV77" i="26" s="1"/>
  <c r="BR77" i="26"/>
  <c r="AL77" i="26"/>
  <c r="AL357" i="26"/>
  <c r="BR357" i="26"/>
  <c r="AK357" i="26"/>
  <c r="BU357" i="26" s="1"/>
  <c r="BV357" i="26" s="1"/>
  <c r="BR142" i="26"/>
  <c r="AK142" i="26"/>
  <c r="BU142" i="26" s="1"/>
  <c r="BV142" i="26" s="1"/>
  <c r="AL142" i="26"/>
  <c r="BR448" i="26"/>
  <c r="AL448" i="26"/>
  <c r="AK448" i="26"/>
  <c r="BU448" i="26" s="1"/>
  <c r="BV448" i="26" s="1"/>
  <c r="AJ393" i="26" s="1"/>
  <c r="BR683" i="26"/>
  <c r="AK683" i="26"/>
  <c r="BU683" i="26" s="1"/>
  <c r="BV683" i="26" s="1"/>
  <c r="AL683" i="26"/>
  <c r="AL57" i="26"/>
  <c r="AK57" i="26"/>
  <c r="BU57" i="26" s="1"/>
  <c r="BV57" i="26" s="1"/>
  <c r="BR57" i="26"/>
  <c r="AL107" i="26"/>
  <c r="BR107" i="26"/>
  <c r="AK107" i="26"/>
  <c r="BU107" i="26" s="1"/>
  <c r="BV107" i="26" s="1"/>
  <c r="AK583" i="26"/>
  <c r="BU583" i="26" s="1"/>
  <c r="BV583" i="26" s="1"/>
  <c r="BR583" i="26"/>
  <c r="AL583" i="26"/>
  <c r="BR133" i="26"/>
  <c r="AL133" i="26"/>
  <c r="AK133" i="26"/>
  <c r="BU133" i="26" s="1"/>
  <c r="BR24" i="26"/>
  <c r="AL24" i="26"/>
  <c r="AK24" i="26"/>
  <c r="BU24" i="26" s="1"/>
  <c r="BV24" i="26" s="1"/>
  <c r="AK526" i="26"/>
  <c r="BU526" i="26" s="1"/>
  <c r="BV526" i="26" s="1"/>
  <c r="BR526" i="26"/>
  <c r="AL526" i="26"/>
  <c r="AJ712" i="26"/>
  <c r="AL425" i="26"/>
  <c r="BR425" i="26"/>
  <c r="AK425" i="26"/>
  <c r="BU425" i="26" s="1"/>
  <c r="BV425" i="26" s="1"/>
  <c r="AL770" i="26"/>
  <c r="BR770" i="26"/>
  <c r="AK770" i="26"/>
  <c r="BU770" i="26" s="1"/>
  <c r="BV770" i="26" s="1"/>
  <c r="AJ421" i="26" s="1"/>
  <c r="BR72" i="26"/>
  <c r="AK72" i="26"/>
  <c r="BU72" i="26" s="1"/>
  <c r="BV72" i="26" s="1"/>
  <c r="AL72" i="26"/>
  <c r="BR272" i="26"/>
  <c r="AL272" i="26"/>
  <c r="AK272" i="26"/>
  <c r="BU272" i="26" s="1"/>
  <c r="BV272" i="26" s="1"/>
  <c r="AL40" i="26"/>
  <c r="AK40" i="26"/>
  <c r="BU40" i="26" s="1"/>
  <c r="BV40" i="26" s="1"/>
  <c r="BR40" i="26"/>
  <c r="AJ158" i="26" s="1"/>
  <c r="AL328" i="26"/>
  <c r="BR328" i="26"/>
  <c r="AK328" i="26"/>
  <c r="BU328" i="26" s="1"/>
  <c r="BV328" i="26" s="1"/>
  <c r="AL483" i="26"/>
  <c r="AK483" i="26"/>
  <c r="BU483" i="26" s="1"/>
  <c r="BV483" i="26" s="1"/>
  <c r="BR483" i="26"/>
  <c r="AK383" i="26"/>
  <c r="BU383" i="26" s="1"/>
  <c r="BV383" i="26" s="1"/>
  <c r="AL383" i="26"/>
  <c r="BR383" i="26"/>
  <c r="BR703" i="26"/>
  <c r="AK703" i="26"/>
  <c r="BU703" i="26" s="1"/>
  <c r="BV703" i="26" s="1"/>
  <c r="AL703" i="26"/>
  <c r="BR183" i="26"/>
  <c r="AK183" i="26"/>
  <c r="BU183" i="26" s="1"/>
  <c r="BV183" i="26" s="1"/>
  <c r="AL183" i="26"/>
  <c r="BR121" i="26"/>
  <c r="AK121" i="26"/>
  <c r="BU121" i="26" s="1"/>
  <c r="BV121" i="26" s="1"/>
  <c r="AL121" i="26"/>
  <c r="AK431" i="26"/>
  <c r="BU431" i="26" s="1"/>
  <c r="BV431" i="26" s="1"/>
  <c r="AL431" i="26"/>
  <c r="BR431" i="26"/>
  <c r="AK377" i="26"/>
  <c r="BU377" i="26" s="1"/>
  <c r="BV377" i="26" s="1"/>
  <c r="AL377" i="26"/>
  <c r="BR377" i="26"/>
  <c r="AL613" i="26"/>
  <c r="AK613" i="26"/>
  <c r="BU613" i="26" s="1"/>
  <c r="BV613" i="26" s="1"/>
  <c r="BR613" i="26"/>
  <c r="AL673" i="26"/>
  <c r="AK673" i="26"/>
  <c r="BU673" i="26" s="1"/>
  <c r="BV673" i="26" s="1"/>
  <c r="BR673" i="26"/>
  <c r="BT673" i="26" s="1"/>
  <c r="BW673" i="26" s="1"/>
  <c r="AK347" i="26"/>
  <c r="BU347" i="26" s="1"/>
  <c r="BV347" i="26" s="1"/>
  <c r="BR347" i="26"/>
  <c r="AL347" i="26"/>
  <c r="BR709" i="26"/>
  <c r="AL709" i="26"/>
  <c r="AK709" i="26"/>
  <c r="BU709" i="26" s="1"/>
  <c r="BV709" i="26" s="1"/>
  <c r="BR730" i="26"/>
  <c r="AK730" i="26"/>
  <c r="BU730" i="26" s="1"/>
  <c r="BV730" i="26" s="1"/>
  <c r="AL730" i="26"/>
  <c r="AJ701" i="26" s="1"/>
  <c r="BR280" i="26"/>
  <c r="AL280" i="26"/>
  <c r="AK280" i="26"/>
  <c r="BU280" i="26" s="1"/>
  <c r="BV280" i="26" s="1"/>
  <c r="AL434" i="26"/>
  <c r="BR434" i="26"/>
  <c r="AK434" i="26"/>
  <c r="BU434" i="26" s="1"/>
  <c r="BR149" i="26"/>
  <c r="AK149" i="26"/>
  <c r="BU149" i="26" s="1"/>
  <c r="BV149" i="26" s="1"/>
  <c r="AL149" i="26"/>
  <c r="AL101" i="26"/>
  <c r="AK101" i="26"/>
  <c r="BU101" i="26" s="1"/>
  <c r="BR101" i="26"/>
  <c r="BR587" i="26"/>
  <c r="AL587" i="26"/>
  <c r="AK587" i="26"/>
  <c r="BU587" i="26" s="1"/>
  <c r="BV587" i="26" s="1"/>
  <c r="AL262" i="26"/>
  <c r="AK262" i="26"/>
  <c r="BU262" i="26" s="1"/>
  <c r="BV262" i="26" s="1"/>
  <c r="BR262" i="26"/>
  <c r="AJ643" i="26"/>
  <c r="AK231" i="26"/>
  <c r="BU231" i="26" s="1"/>
  <c r="BV231" i="26" s="1"/>
  <c r="AL231" i="26"/>
  <c r="BR231" i="26"/>
  <c r="AK714" i="26"/>
  <c r="BU714" i="26" s="1"/>
  <c r="BV714" i="26" s="1"/>
  <c r="AL714" i="26"/>
  <c r="BR714" i="26"/>
  <c r="BR467" i="26"/>
  <c r="AK467" i="26"/>
  <c r="BU467" i="26" s="1"/>
  <c r="BV467" i="26" s="1"/>
  <c r="AL467" i="26"/>
  <c r="AK630" i="26"/>
  <c r="BU630" i="26" s="1"/>
  <c r="BV630" i="26" s="1"/>
  <c r="BR630" i="26"/>
  <c r="AL630" i="26"/>
  <c r="AL332" i="26"/>
  <c r="BR332" i="26"/>
  <c r="BT332" i="26" s="1"/>
  <c r="BW332" i="26" s="1"/>
  <c r="AK332" i="26"/>
  <c r="BU332" i="26" s="1"/>
  <c r="BV332" i="26" s="1"/>
  <c r="AL164" i="26"/>
  <c r="BR164" i="26"/>
  <c r="AK164" i="26"/>
  <c r="BU164" i="26" s="1"/>
  <c r="BV164" i="26" s="1"/>
  <c r="BR695" i="26"/>
  <c r="AK695" i="26"/>
  <c r="BU695" i="26" s="1"/>
  <c r="BV695" i="26" s="1"/>
  <c r="AL695" i="26"/>
  <c r="BR83" i="26"/>
  <c r="AL83" i="26"/>
  <c r="AK83" i="26"/>
  <c r="BU83" i="26" s="1"/>
  <c r="BV83" i="26" s="1"/>
  <c r="AJ525" i="26"/>
  <c r="AJ544" i="26" s="1"/>
  <c r="BR55" i="26"/>
  <c r="AK55" i="26"/>
  <c r="BU55" i="26" s="1"/>
  <c r="BV55" i="26" s="1"/>
  <c r="AL55" i="26"/>
  <c r="BR426" i="26"/>
  <c r="AL426" i="26"/>
  <c r="AK426" i="26"/>
  <c r="BU426" i="26" s="1"/>
  <c r="BV426" i="26" s="1"/>
  <c r="AJ243" i="26" s="1"/>
  <c r="AL172" i="26"/>
  <c r="BR172" i="26"/>
  <c r="AK172" i="26"/>
  <c r="BU172" i="26" s="1"/>
  <c r="BV172" i="26" s="1"/>
  <c r="AK565" i="26"/>
  <c r="BU565" i="26" s="1"/>
  <c r="BV565" i="26" s="1"/>
  <c r="BR565" i="26"/>
  <c r="AL565" i="26"/>
  <c r="AJ685" i="26" s="1"/>
  <c r="BR740" i="26"/>
  <c r="AL740" i="26"/>
  <c r="AK740" i="26"/>
  <c r="BU740" i="26" s="1"/>
  <c r="BV740" i="26" s="1"/>
  <c r="AJ148" i="26" s="1"/>
  <c r="BR25" i="26"/>
  <c r="AK25" i="26"/>
  <c r="BU25" i="26" s="1"/>
  <c r="BV25" i="26" s="1"/>
  <c r="AL25" i="26"/>
  <c r="AL472" i="26"/>
  <c r="AK472" i="26"/>
  <c r="BU472" i="26" s="1"/>
  <c r="BV472" i="26" s="1"/>
  <c r="BR472" i="26"/>
  <c r="BR392" i="26"/>
  <c r="AK392" i="26"/>
  <c r="BU392" i="26" s="1"/>
  <c r="AL392" i="26"/>
  <c r="BR216" i="26"/>
  <c r="AL216" i="26"/>
  <c r="AK216" i="26"/>
  <c r="BU216" i="26" s="1"/>
  <c r="AL693" i="26"/>
  <c r="AK693" i="26"/>
  <c r="BU693" i="26" s="1"/>
  <c r="BV693" i="26" s="1"/>
  <c r="BR693" i="26"/>
  <c r="BT693" i="26" s="1"/>
  <c r="BW693" i="26" s="1"/>
  <c r="BR274" i="26"/>
  <c r="AL274" i="26"/>
  <c r="AK274" i="26"/>
  <c r="BU274" i="26" s="1"/>
  <c r="BV274" i="26" s="1"/>
  <c r="BR127" i="26"/>
  <c r="AL127" i="26"/>
  <c r="AK127" i="26"/>
  <c r="BU127" i="26" s="1"/>
  <c r="BV127" i="26" s="1"/>
  <c r="AL532" i="26"/>
  <c r="AK532" i="26"/>
  <c r="BU532" i="26" s="1"/>
  <c r="BR532" i="26"/>
  <c r="AK615" i="26"/>
  <c r="BU615" i="26" s="1"/>
  <c r="BV615" i="26" s="1"/>
  <c r="BR615" i="26"/>
  <c r="AL615" i="26"/>
  <c r="AK555" i="26"/>
  <c r="BU555" i="26" s="1"/>
  <c r="BR555" i="26"/>
  <c r="AL555" i="26"/>
  <c r="BR400" i="26"/>
  <c r="AL400" i="26"/>
  <c r="AK400" i="26"/>
  <c r="BU400" i="26" s="1"/>
  <c r="BV400" i="26" s="1"/>
  <c r="AL574" i="26"/>
  <c r="AK574" i="26"/>
  <c r="BU574" i="26" s="1"/>
  <c r="BV574" i="26" s="1"/>
  <c r="BR574" i="26"/>
  <c r="AK223" i="26"/>
  <c r="BU223" i="26" s="1"/>
  <c r="BV223" i="26" s="1"/>
  <c r="BR223" i="26"/>
  <c r="AL223" i="26"/>
  <c r="AL577" i="26"/>
  <c r="BR577" i="26"/>
  <c r="AK577" i="26"/>
  <c r="BU577" i="26" s="1"/>
  <c r="BV577" i="26" s="1"/>
  <c r="AJ692" i="26" s="1"/>
  <c r="AK749" i="26"/>
  <c r="BU749" i="26" s="1"/>
  <c r="BV749" i="26" s="1"/>
  <c r="AL749" i="26"/>
  <c r="BR749" i="26"/>
  <c r="BR152" i="26"/>
  <c r="AK152" i="26"/>
  <c r="BU152" i="26" s="1"/>
  <c r="BV152" i="26" s="1"/>
  <c r="AL152" i="26"/>
  <c r="BR765" i="26"/>
  <c r="AL765" i="26"/>
  <c r="AK765" i="26"/>
  <c r="BU765" i="26" s="1"/>
  <c r="BV765" i="26" s="1"/>
  <c r="BR362" i="26"/>
  <c r="AL362" i="26"/>
  <c r="AK362" i="26"/>
  <c r="BU362" i="26" s="1"/>
  <c r="BV362" i="26" s="1"/>
  <c r="BR744" i="26"/>
  <c r="BT744" i="26" s="1"/>
  <c r="BW744" i="26" s="1"/>
  <c r="AK744" i="26"/>
  <c r="BU744" i="26" s="1"/>
  <c r="BV744" i="26" s="1"/>
  <c r="AL744" i="26"/>
  <c r="BR44" i="26"/>
  <c r="AL44" i="26"/>
  <c r="AK44" i="26"/>
  <c r="BU44" i="26" s="1"/>
  <c r="BV44" i="26" s="1"/>
  <c r="BR598" i="26"/>
  <c r="AK598" i="26"/>
  <c r="BU598" i="26" s="1"/>
  <c r="BV598" i="26" s="1"/>
  <c r="AL598" i="26"/>
  <c r="AJ192" i="26" s="1"/>
  <c r="AL143" i="26"/>
  <c r="BR143" i="26"/>
  <c r="AK143" i="26"/>
  <c r="BU143" i="26" s="1"/>
  <c r="BV143" i="26" s="1"/>
  <c r="AJ739" i="26" s="1"/>
  <c r="BR300" i="26"/>
  <c r="AL300" i="26"/>
  <c r="AK300" i="26"/>
  <c r="BU300" i="26" s="1"/>
  <c r="BV300" i="26" s="1"/>
  <c r="AK13" i="26"/>
  <c r="BU13" i="26" s="1"/>
  <c r="BV13" i="26" s="1"/>
  <c r="BR13" i="26"/>
  <c r="AL13" i="26"/>
  <c r="AK465" i="26"/>
  <c r="BU465" i="26" s="1"/>
  <c r="BV465" i="26" s="1"/>
  <c r="BR465" i="26"/>
  <c r="AL465" i="26"/>
  <c r="AL10" i="26"/>
  <c r="AK10" i="26"/>
  <c r="BU10" i="26" s="1"/>
  <c r="BR10" i="26"/>
  <c r="BR79" i="26"/>
  <c r="AL79" i="26"/>
  <c r="AK79" i="26"/>
  <c r="BU79" i="26" s="1"/>
  <c r="BV79" i="26" s="1"/>
  <c r="BR495" i="26"/>
  <c r="AL495" i="26"/>
  <c r="AK495" i="26"/>
  <c r="BU495" i="26" s="1"/>
  <c r="BV495" i="26" s="1"/>
  <c r="AJ147" i="26" s="1"/>
  <c r="AL193" i="26"/>
  <c r="BR193" i="26"/>
  <c r="AK193" i="26"/>
  <c r="BU193" i="26" s="1"/>
  <c r="BV193" i="26" s="1"/>
  <c r="BR86" i="26"/>
  <c r="AL86" i="26"/>
  <c r="AK86" i="26"/>
  <c r="BU86" i="26" s="1"/>
  <c r="BV86" i="26" s="1"/>
  <c r="AJ178" i="26" s="1"/>
  <c r="BR279" i="26"/>
  <c r="AL279" i="26"/>
  <c r="AK279" i="26"/>
  <c r="BU279" i="26" s="1"/>
  <c r="BV279" i="26" s="1"/>
  <c r="BR324" i="26"/>
  <c r="BT324" i="26" s="1"/>
  <c r="BW324" i="26" s="1"/>
  <c r="AL324" i="26"/>
  <c r="AK324" i="26"/>
  <c r="BU324" i="26" s="1"/>
  <c r="BV324" i="26" s="1"/>
  <c r="BR605" i="26"/>
  <c r="AL605" i="26"/>
  <c r="AK605" i="26"/>
  <c r="BU605" i="26" s="1"/>
  <c r="BV605" i="26" s="1"/>
  <c r="AK157" i="26"/>
  <c r="BU157" i="26" s="1"/>
  <c r="BV157" i="26" s="1"/>
  <c r="BR157" i="26"/>
  <c r="AL157" i="26"/>
  <c r="AK130" i="26"/>
  <c r="BU130" i="26" s="1"/>
  <c r="BV130" i="26" s="1"/>
  <c r="BR130" i="26"/>
  <c r="AL130" i="26"/>
  <c r="BR597" i="26"/>
  <c r="AK597" i="26"/>
  <c r="BU597" i="26" s="1"/>
  <c r="BV597" i="26" s="1"/>
  <c r="AL597" i="26"/>
  <c r="AJ299" i="26" s="1"/>
  <c r="BR312" i="26"/>
  <c r="AL312" i="26"/>
  <c r="AK312" i="26"/>
  <c r="BU312" i="26" s="1"/>
  <c r="BV312" i="26" s="1"/>
  <c r="BR738" i="26"/>
  <c r="AL738" i="26"/>
  <c r="AK738" i="26"/>
  <c r="BU738" i="26" s="1"/>
  <c r="BV738" i="26" s="1"/>
  <c r="BR224" i="26"/>
  <c r="AK224" i="26"/>
  <c r="BU224" i="26" s="1"/>
  <c r="BV224" i="26" s="1"/>
  <c r="AL224" i="26"/>
  <c r="AK175" i="26"/>
  <c r="BU175" i="26" s="1"/>
  <c r="BV175" i="26" s="1"/>
  <c r="AL175" i="26"/>
  <c r="BR175" i="26"/>
  <c r="AL169" i="26"/>
  <c r="AK169" i="26"/>
  <c r="BU169" i="26" s="1"/>
  <c r="BV169" i="26" s="1"/>
  <c r="BR169" i="26"/>
  <c r="AJ646" i="26" s="1"/>
  <c r="BR111" i="26"/>
  <c r="AL111" i="26"/>
  <c r="AK111" i="26"/>
  <c r="BU111" i="26" s="1"/>
  <c r="BV111" i="26" s="1"/>
  <c r="BR76" i="26"/>
  <c r="AL76" i="26"/>
  <c r="AK76" i="26"/>
  <c r="BU76" i="26" s="1"/>
  <c r="BV76" i="26" s="1"/>
  <c r="AJ550" i="26" s="1"/>
  <c r="BR658" i="26"/>
  <c r="AK658" i="26"/>
  <c r="BU658" i="26" s="1"/>
  <c r="BV658" i="26" s="1"/>
  <c r="AL658" i="26"/>
  <c r="BR678" i="26"/>
  <c r="AK678" i="26"/>
  <c r="BU678" i="26" s="1"/>
  <c r="BV678" i="26" s="1"/>
  <c r="AL678" i="26"/>
  <c r="AK52" i="26"/>
  <c r="BU52" i="26" s="1"/>
  <c r="BV52" i="26" s="1"/>
  <c r="BR52" i="26"/>
  <c r="AL52" i="26"/>
  <c r="AK73" i="26"/>
  <c r="BU73" i="26" s="1"/>
  <c r="BV73" i="26" s="1"/>
  <c r="BR73" i="26"/>
  <c r="AL73" i="26"/>
  <c r="BR748" i="26"/>
  <c r="AK748" i="26"/>
  <c r="BU748" i="26" s="1"/>
  <c r="BV748" i="26" s="1"/>
  <c r="AL748" i="26"/>
  <c r="BR356" i="26"/>
  <c r="AK356" i="26"/>
  <c r="BU356" i="26" s="1"/>
  <c r="BV356" i="26" s="1"/>
  <c r="AL356" i="26"/>
  <c r="BR371" i="26"/>
  <c r="AL371" i="26"/>
  <c r="AK371" i="26"/>
  <c r="BU371" i="26" s="1"/>
  <c r="BV371" i="26" s="1"/>
  <c r="AL515" i="26"/>
  <c r="BR515" i="26"/>
  <c r="BT515" i="26" s="1"/>
  <c r="BW515" i="26" s="1"/>
  <c r="AK515" i="26"/>
  <c r="BU515" i="26" s="1"/>
  <c r="BV515" i="26" s="1"/>
  <c r="BR563" i="26"/>
  <c r="BT563" i="26" s="1"/>
  <c r="BW563" i="26" s="1"/>
  <c r="AK563" i="26"/>
  <c r="BU563" i="26" s="1"/>
  <c r="BV563" i="26" s="1"/>
  <c r="AL563" i="26"/>
  <c r="BR264" i="26"/>
  <c r="AL264" i="26"/>
  <c r="AK264" i="26"/>
  <c r="BU264" i="26" s="1"/>
  <c r="BV264" i="26" s="1"/>
  <c r="BR596" i="26"/>
  <c r="AL596" i="26"/>
  <c r="AK596" i="26"/>
  <c r="BU596" i="26" s="1"/>
  <c r="BV596" i="26" s="1"/>
  <c r="AJ647" i="26" s="1"/>
  <c r="BR411" i="26"/>
  <c r="AK411" i="26"/>
  <c r="BU411" i="26" s="1"/>
  <c r="BV411" i="26" s="1"/>
  <c r="AL411" i="26"/>
  <c r="BR446" i="26"/>
  <c r="AL446" i="26"/>
  <c r="AK446" i="26"/>
  <c r="BU446" i="26" s="1"/>
  <c r="BV446" i="26" s="1"/>
  <c r="AL458" i="26"/>
  <c r="BR458" i="26"/>
  <c r="AK458" i="26"/>
  <c r="BU458" i="26" s="1"/>
  <c r="BV458" i="26" s="1"/>
  <c r="AL570" i="26"/>
  <c r="AK570" i="26"/>
  <c r="BU570" i="26" s="1"/>
  <c r="BV570" i="26" s="1"/>
  <c r="BR570" i="26"/>
  <c r="BR367" i="26"/>
  <c r="AL367" i="26"/>
  <c r="AK367" i="26"/>
  <c r="BU367" i="26" s="1"/>
  <c r="BV367" i="26" s="1"/>
  <c r="BR520" i="26"/>
  <c r="AK520" i="26"/>
  <c r="BU520" i="26" s="1"/>
  <c r="BV520" i="26" s="1"/>
  <c r="AL520" i="26"/>
  <c r="BR612" i="26"/>
  <c r="AL612" i="26"/>
  <c r="AK612" i="26"/>
  <c r="BU612" i="26" s="1"/>
  <c r="BV612" i="26" s="1"/>
  <c r="AL665" i="26"/>
  <c r="BR665" i="26"/>
  <c r="AK665" i="26"/>
  <c r="BU665" i="26" s="1"/>
  <c r="BV665" i="26" s="1"/>
  <c r="AJ417" i="26" s="1"/>
  <c r="AL228" i="26"/>
  <c r="BR228" i="26"/>
  <c r="AK228" i="26"/>
  <c r="BU228" i="26" s="1"/>
  <c r="BV228" i="26" s="1"/>
  <c r="BR331" i="26"/>
  <c r="BT331" i="26" s="1"/>
  <c r="BW331" i="26" s="1"/>
  <c r="AL331" i="26"/>
  <c r="AK331" i="26"/>
  <c r="BU331" i="26" s="1"/>
  <c r="BV331" i="26" s="1"/>
  <c r="AJ527" i="26" s="1"/>
  <c r="AK196" i="26"/>
  <c r="BU196" i="26" s="1"/>
  <c r="BV196" i="26" s="1"/>
  <c r="AL196" i="26"/>
  <c r="BR196" i="26"/>
  <c r="BR503" i="26"/>
  <c r="BT503" i="26" s="1"/>
  <c r="BW503" i="26" s="1"/>
  <c r="AL503" i="26"/>
  <c r="AK503" i="26"/>
  <c r="BU503" i="26" s="1"/>
  <c r="BV503" i="26" s="1"/>
  <c r="AJ390" i="26" s="1"/>
  <c r="BR176" i="26"/>
  <c r="AL176" i="26"/>
  <c r="AK176" i="26"/>
  <c r="BU176" i="26" s="1"/>
  <c r="BV176" i="26" s="1"/>
  <c r="BR607" i="26"/>
  <c r="AL607" i="26"/>
  <c r="AK607" i="26"/>
  <c r="BU607" i="26" s="1"/>
  <c r="BV607" i="26" s="1"/>
  <c r="AK81" i="26"/>
  <c r="BU81" i="26" s="1"/>
  <c r="BV81" i="26" s="1"/>
  <c r="AL81" i="26"/>
  <c r="BR81" i="26"/>
  <c r="BR41" i="26"/>
  <c r="AK41" i="26"/>
  <c r="BU41" i="26" s="1"/>
  <c r="BV41" i="26" s="1"/>
  <c r="AL41" i="26"/>
  <c r="AK105" i="26"/>
  <c r="BU105" i="26" s="1"/>
  <c r="BR105" i="26"/>
  <c r="AL105" i="26"/>
  <c r="AL537" i="26"/>
  <c r="BR537" i="26"/>
  <c r="AK537" i="26"/>
  <c r="BU537" i="26" s="1"/>
  <c r="BV537" i="26" s="1"/>
  <c r="AL229" i="26"/>
  <c r="AK229" i="26"/>
  <c r="BU229" i="26" s="1"/>
  <c r="BV229" i="26" s="1"/>
  <c r="BR229" i="26"/>
  <c r="AL576" i="26"/>
  <c r="AK576" i="26"/>
  <c r="BU576" i="26" s="1"/>
  <c r="BV576" i="26" s="1"/>
  <c r="BR576" i="26"/>
  <c r="AJ688" i="26" s="1"/>
  <c r="BR610" i="26"/>
  <c r="AL610" i="26"/>
  <c r="AK610" i="26"/>
  <c r="BU610" i="26" s="1"/>
  <c r="BV610" i="26" s="1"/>
  <c r="BR110" i="26"/>
  <c r="AK110" i="26"/>
  <c r="BU110" i="26" s="1"/>
  <c r="BV110" i="26" s="1"/>
  <c r="AL110" i="26"/>
  <c r="BR352" i="26"/>
  <c r="AK352" i="26"/>
  <c r="BU352" i="26" s="1"/>
  <c r="BV352" i="26" s="1"/>
  <c r="AL352" i="26"/>
  <c r="AK137" i="26"/>
  <c r="BU137" i="26" s="1"/>
  <c r="BV137" i="26" s="1"/>
  <c r="BR137" i="26"/>
  <c r="AL137" i="26"/>
  <c r="AK337" i="26"/>
  <c r="BU337" i="26" s="1"/>
  <c r="BV337" i="26" s="1"/>
  <c r="BR337" i="26"/>
  <c r="AL337" i="26"/>
  <c r="AL638" i="26"/>
  <c r="AK638" i="26"/>
  <c r="BU638" i="26" s="1"/>
  <c r="BR638" i="26"/>
  <c r="BR407" i="26"/>
  <c r="AL407" i="26"/>
  <c r="AK407" i="26"/>
  <c r="BU407" i="26" s="1"/>
  <c r="BV407" i="26" s="1"/>
  <c r="BR564" i="26"/>
  <c r="BT564" i="26" s="1"/>
  <c r="BW564" i="26" s="1"/>
  <c r="AK564" i="26"/>
  <c r="BU564" i="26" s="1"/>
  <c r="BV564" i="26" s="1"/>
  <c r="AL564" i="26"/>
  <c r="BR502" i="26"/>
  <c r="AL502" i="26"/>
  <c r="AK502" i="26"/>
  <c r="BU502" i="26" s="1"/>
  <c r="BV502" i="26" s="1"/>
  <c r="BR56" i="26"/>
  <c r="AL56" i="26"/>
  <c r="AK56" i="26"/>
  <c r="BU56" i="26" s="1"/>
  <c r="BV56" i="26" s="1"/>
  <c r="BR621" i="26"/>
  <c r="BT621" i="26" s="1"/>
  <c r="BW621" i="26" s="1"/>
  <c r="AL621" i="26"/>
  <c r="AK621" i="26"/>
  <c r="BU621" i="26" s="1"/>
  <c r="BV621" i="26" s="1"/>
  <c r="BR508" i="26"/>
  <c r="AL508" i="26"/>
  <c r="AK508" i="26"/>
  <c r="BU508" i="26" s="1"/>
  <c r="AL617" i="26"/>
  <c r="BR617" i="26"/>
  <c r="AK617" i="26"/>
  <c r="BU617" i="26" s="1"/>
  <c r="BV617" i="26" s="1"/>
  <c r="BR308" i="26"/>
  <c r="AK308" i="26"/>
  <c r="BU308" i="26" s="1"/>
  <c r="BV308" i="26" s="1"/>
  <c r="AL308" i="26"/>
  <c r="BR309" i="26"/>
  <c r="AL309" i="26"/>
  <c r="AK309" i="26"/>
  <c r="BU309" i="26" s="1"/>
  <c r="BV309" i="26" s="1"/>
  <c r="AL659" i="26"/>
  <c r="BR659" i="26"/>
  <c r="BT659" i="26" s="1"/>
  <c r="BW659" i="26" s="1"/>
  <c r="AK659" i="26"/>
  <c r="BU659" i="26" s="1"/>
  <c r="BV659" i="26" s="1"/>
  <c r="BR720" i="26"/>
  <c r="AK720" i="26"/>
  <c r="BU720" i="26" s="1"/>
  <c r="BV720" i="26" s="1"/>
  <c r="AL720" i="26"/>
  <c r="BR85" i="26"/>
  <c r="AL85" i="26"/>
  <c r="AK85" i="26"/>
  <c r="BU85" i="26" s="1"/>
  <c r="BV85" i="26" s="1"/>
  <c r="AJ219" i="26" s="1"/>
  <c r="AK782" i="26"/>
  <c r="BU782" i="26" s="1"/>
  <c r="BV782" i="26" s="1"/>
  <c r="BR782" i="26"/>
  <c r="AL782" i="26"/>
  <c r="AJ649" i="26" s="1"/>
  <c r="AJ639" i="26" s="1"/>
  <c r="AJ700" i="26" s="1"/>
  <c r="AJ653" i="26" s="1"/>
  <c r="AL653" i="26" s="1"/>
  <c r="BR34" i="26"/>
  <c r="AK34" i="26"/>
  <c r="BU34" i="26" s="1"/>
  <c r="BV34" i="26" s="1"/>
  <c r="AL34" i="26"/>
  <c r="AJ788" i="26" s="1"/>
  <c r="BR281" i="26"/>
  <c r="AK281" i="26"/>
  <c r="BU281" i="26" s="1"/>
  <c r="BV281" i="26" s="1"/>
  <c r="AL281" i="26"/>
  <c r="AK251" i="26"/>
  <c r="BU251" i="26" s="1"/>
  <c r="BV251" i="26" s="1"/>
  <c r="AL251" i="26"/>
  <c r="BR251" i="26"/>
  <c r="BR710" i="26"/>
  <c r="AL710" i="26"/>
  <c r="AK710" i="26"/>
  <c r="BU710" i="26" s="1"/>
  <c r="BV710" i="26" s="1"/>
  <c r="AK530" i="26"/>
  <c r="BU530" i="26" s="1"/>
  <c r="AL530" i="26"/>
  <c r="BR530" i="26"/>
  <c r="BR87" i="26"/>
  <c r="AL87" i="26"/>
  <c r="AK87" i="26"/>
  <c r="BU87" i="26" s="1"/>
  <c r="BV87" i="26" s="1"/>
  <c r="AK767" i="26"/>
  <c r="BU767" i="26" s="1"/>
  <c r="BV767" i="26" s="1"/>
  <c r="BR767" i="26"/>
  <c r="AL767" i="26"/>
  <c r="AL186" i="26"/>
  <c r="BR186" i="26"/>
  <c r="AK186" i="26"/>
  <c r="BU186" i="26" s="1"/>
  <c r="BV186" i="26" s="1"/>
  <c r="AK522" i="26"/>
  <c r="BU522" i="26" s="1"/>
  <c r="BV522" i="26" s="1"/>
  <c r="AL522" i="26"/>
  <c r="BR522" i="26"/>
  <c r="AJ632" i="26" s="1"/>
  <c r="AJ404" i="26" s="1"/>
  <c r="AL580" i="26"/>
  <c r="AK580" i="26"/>
  <c r="BU580" i="26" s="1"/>
  <c r="BV580" i="26" s="1"/>
  <c r="BR580" i="26"/>
  <c r="BR171" i="26"/>
  <c r="AK171" i="26"/>
  <c r="BU171" i="26" s="1"/>
  <c r="BV171" i="26" s="1"/>
  <c r="AL171" i="26"/>
  <c r="AK93" i="26"/>
  <c r="BU93" i="26" s="1"/>
  <c r="BV93" i="26" s="1"/>
  <c r="AL93" i="26"/>
  <c r="BR93" i="26"/>
  <c r="AK358" i="26"/>
  <c r="BU358" i="26" s="1"/>
  <c r="BV358" i="26" s="1"/>
  <c r="BR358" i="26"/>
  <c r="AL358" i="26"/>
  <c r="BR661" i="26"/>
  <c r="AL661" i="26"/>
  <c r="AK661" i="26"/>
  <c r="BU661" i="26" s="1"/>
  <c r="BV661" i="26" s="1"/>
  <c r="AL773" i="26"/>
  <c r="BR773" i="26"/>
  <c r="AK773" i="26"/>
  <c r="BU773" i="26" s="1"/>
  <c r="BV773" i="26" s="1"/>
  <c r="AL627" i="26"/>
  <c r="AK627" i="26"/>
  <c r="BU627" i="26" s="1"/>
  <c r="BV627" i="26" s="1"/>
  <c r="BR627" i="26"/>
  <c r="AK449" i="26"/>
  <c r="BU449" i="26" s="1"/>
  <c r="BV449" i="26" s="1"/>
  <c r="BR449" i="26"/>
  <c r="AL449" i="26"/>
  <c r="AL340" i="26"/>
  <c r="BR340" i="26"/>
  <c r="AK340" i="26"/>
  <c r="BU340" i="26" s="1"/>
  <c r="BV340" i="26" s="1"/>
  <c r="AJ754" i="26" s="1"/>
  <c r="AL307" i="26"/>
  <c r="AK307" i="26"/>
  <c r="BU307" i="26" s="1"/>
  <c r="BV307" i="26" s="1"/>
  <c r="BR307" i="26"/>
  <c r="AJ624" i="26" s="1"/>
  <c r="BR368" i="26"/>
  <c r="AK368" i="26"/>
  <c r="BU368" i="26" s="1"/>
  <c r="BV368" i="26" s="1"/>
  <c r="AL368" i="26"/>
  <c r="AJ233" i="26" s="1"/>
  <c r="BR89" i="26"/>
  <c r="AL89" i="26"/>
  <c r="AK89" i="26"/>
  <c r="BU89" i="26" s="1"/>
  <c r="BV89" i="26" s="1"/>
  <c r="BR453" i="26"/>
  <c r="AL453" i="26"/>
  <c r="AK453" i="26"/>
  <c r="BU453" i="26" s="1"/>
  <c r="BV453" i="26" s="1"/>
  <c r="BR119" i="26"/>
  <c r="AL119" i="26"/>
  <c r="AK119" i="26"/>
  <c r="BU119" i="26" s="1"/>
  <c r="BV119" i="26" s="1"/>
  <c r="BR378" i="26"/>
  <c r="AK378" i="26"/>
  <c r="BU378" i="26" s="1"/>
  <c r="BV378" i="26" s="1"/>
  <c r="AL378" i="26"/>
  <c r="AL103" i="26"/>
  <c r="AK103" i="26"/>
  <c r="BU103" i="26" s="1"/>
  <c r="BR103" i="26"/>
  <c r="AK728" i="26"/>
  <c r="BU728" i="26" s="1"/>
  <c r="BV728" i="26" s="1"/>
  <c r="BR728" i="26"/>
  <c r="AL728" i="26"/>
  <c r="AK318" i="26"/>
  <c r="BU318" i="26" s="1"/>
  <c r="BV318" i="26" s="1"/>
  <c r="BR318" i="26"/>
  <c r="AL318" i="26"/>
  <c r="AK760" i="26"/>
  <c r="BU760" i="26" s="1"/>
  <c r="BV760" i="26" s="1"/>
  <c r="BR760" i="26"/>
  <c r="AL760" i="26"/>
  <c r="BR150" i="26"/>
  <c r="AK150" i="26"/>
  <c r="BU150" i="26" s="1"/>
  <c r="BV150" i="26" s="1"/>
  <c r="AL150" i="26"/>
  <c r="BR558" i="26"/>
  <c r="AL558" i="26"/>
  <c r="AK558" i="26"/>
  <c r="BU558" i="26" s="1"/>
  <c r="BR230" i="26"/>
  <c r="AL230" i="26"/>
  <c r="AK230" i="26"/>
  <c r="BU230" i="26" s="1"/>
  <c r="BV230" i="26" s="1"/>
  <c r="AL418" i="26"/>
  <c r="BR418" i="26"/>
  <c r="AK418" i="26"/>
  <c r="BU418" i="26" s="1"/>
  <c r="BV418" i="26" s="1"/>
  <c r="BR719" i="26"/>
  <c r="AL719" i="26"/>
  <c r="AK719" i="26"/>
  <c r="BU719" i="26" s="1"/>
  <c r="BV719" i="26" s="1"/>
  <c r="AK259" i="26"/>
  <c r="BU259" i="26" s="1"/>
  <c r="BV259" i="26" s="1"/>
  <c r="AL259" i="26"/>
  <c r="AL8" i="26"/>
  <c r="AK8" i="26"/>
  <c r="BU8" i="26" s="1"/>
  <c r="BR8" i="26"/>
  <c r="BR11" i="26"/>
  <c r="AK11" i="26"/>
  <c r="BU11" i="26" s="1"/>
  <c r="BV11" i="26" s="1"/>
  <c r="AL11" i="26"/>
  <c r="AL554" i="26"/>
  <c r="AK554" i="26"/>
  <c r="BU554" i="26" s="1"/>
  <c r="BR554" i="26"/>
  <c r="AL391" i="26"/>
  <c r="AK391" i="26"/>
  <c r="BU391" i="26" s="1"/>
  <c r="BV391" i="26" s="1"/>
  <c r="BR391" i="26"/>
  <c r="BR524" i="26"/>
  <c r="BT524" i="26" s="1"/>
  <c r="BW524" i="26" s="1"/>
  <c r="AL524" i="26"/>
  <c r="AK524" i="26"/>
  <c r="BU524" i="26" s="1"/>
  <c r="BV524" i="26" s="1"/>
  <c r="AK95" i="26"/>
  <c r="BU95" i="26" s="1"/>
  <c r="AL95" i="26"/>
  <c r="BR95" i="26"/>
  <c r="AK96" i="26"/>
  <c r="BU96" i="26" s="1"/>
  <c r="BR96" i="26"/>
  <c r="AL96" i="26"/>
  <c r="AL741" i="26"/>
  <c r="AK741" i="26"/>
  <c r="BU741" i="26" s="1"/>
  <c r="BV741" i="26" s="1"/>
  <c r="BR741" i="26"/>
  <c r="BR336" i="26"/>
  <c r="AL336" i="26"/>
  <c r="AK336" i="26"/>
  <c r="BU336" i="26" s="1"/>
  <c r="BV336" i="26" s="1"/>
  <c r="AL275" i="26"/>
  <c r="BR275" i="26"/>
  <c r="AK275" i="26"/>
  <c r="BU275" i="26" s="1"/>
  <c r="BV275" i="26" s="1"/>
  <c r="BR500" i="26"/>
  <c r="AL500" i="26"/>
  <c r="AK500" i="26"/>
  <c r="BU500" i="26" s="1"/>
  <c r="BV500" i="26" s="1"/>
  <c r="BR568" i="26"/>
  <c r="AL568" i="26"/>
  <c r="AK568" i="26"/>
  <c r="BU568" i="26" s="1"/>
  <c r="BV568" i="26" s="1"/>
  <c r="AL288" i="26"/>
  <c r="BR288" i="26"/>
  <c r="AK288" i="26"/>
  <c r="BU288" i="26" s="1"/>
  <c r="BV288" i="26" s="1"/>
  <c r="AK561" i="26"/>
  <c r="BU561" i="26" s="1"/>
  <c r="BV561" i="26" s="1"/>
  <c r="BR561" i="26"/>
  <c r="BT561" i="26" s="1"/>
  <c r="BW561" i="26" s="1"/>
  <c r="AL561" i="26"/>
  <c r="AJ634" i="26" s="1"/>
  <c r="AK575" i="26"/>
  <c r="BU575" i="26" s="1"/>
  <c r="BV575" i="26" s="1"/>
  <c r="BR575" i="26"/>
  <c r="AL575" i="26"/>
  <c r="AL667" i="26"/>
  <c r="BR667" i="26"/>
  <c r="AK667" i="26"/>
  <c r="BU667" i="26" s="1"/>
  <c r="BV667" i="26" s="1"/>
  <c r="AK23" i="26"/>
  <c r="BU23" i="26" s="1"/>
  <c r="BV23" i="26" s="1"/>
  <c r="BR23" i="26"/>
  <c r="AL23" i="26"/>
  <c r="AJ115" i="26" s="1"/>
  <c r="BR513" i="26"/>
  <c r="AL513" i="26"/>
  <c r="AK513" i="26"/>
  <c r="BU513" i="26" s="1"/>
  <c r="BR123" i="26"/>
  <c r="AL123" i="26"/>
  <c r="AK123" i="26"/>
  <c r="BU123" i="26" s="1"/>
  <c r="BV123" i="26" s="1"/>
  <c r="AK287" i="26"/>
  <c r="BU287" i="26" s="1"/>
  <c r="BV287" i="26" s="1"/>
  <c r="AL287" i="26"/>
  <c r="BR287" i="26"/>
  <c r="AJ756" i="26" s="1"/>
  <c r="AK497" i="26"/>
  <c r="BU497" i="26" s="1"/>
  <c r="BV497" i="26" s="1"/>
  <c r="BR497" i="26"/>
  <c r="AL497" i="26"/>
  <c r="AK374" i="26"/>
  <c r="BU374" i="26" s="1"/>
  <c r="BV374" i="26" s="1"/>
  <c r="AL374" i="26"/>
  <c r="BR374" i="26"/>
  <c r="BR359" i="26"/>
  <c r="AK359" i="26"/>
  <c r="BU359" i="26" s="1"/>
  <c r="BV359" i="26" s="1"/>
  <c r="AL359" i="26"/>
  <c r="BR108" i="26"/>
  <c r="AL108" i="26"/>
  <c r="AK108" i="26"/>
  <c r="BU108" i="26" s="1"/>
  <c r="BV108" i="26" s="1"/>
  <c r="AK586" i="26"/>
  <c r="BU586" i="26" s="1"/>
  <c r="BV586" i="26" s="1"/>
  <c r="AL586" i="26"/>
  <c r="BR586" i="26"/>
  <c r="BR699" i="26"/>
  <c r="AK699" i="26"/>
  <c r="BU699" i="26" s="1"/>
  <c r="BV699" i="26" s="1"/>
  <c r="AL699" i="26"/>
  <c r="AL707" i="26"/>
  <c r="BR707" i="26"/>
  <c r="AK707" i="26"/>
  <c r="BU707" i="26" s="1"/>
  <c r="BV707" i="26" s="1"/>
  <c r="AK729" i="26"/>
  <c r="BU729" i="26" s="1"/>
  <c r="BV729" i="26" s="1"/>
  <c r="BR729" i="26"/>
  <c r="AL729" i="26"/>
  <c r="BR469" i="26"/>
  <c r="AL469" i="26"/>
  <c r="AK469" i="26"/>
  <c r="BU469" i="26" s="1"/>
  <c r="AJ215" i="26" s="1"/>
  <c r="AJ548" i="26" s="1"/>
  <c r="BR265" i="26"/>
  <c r="AL265" i="26"/>
  <c r="AK265" i="26"/>
  <c r="BU265" i="26" s="1"/>
  <c r="BV265" i="26" s="1"/>
  <c r="BR442" i="26"/>
  <c r="AL442" i="26"/>
  <c r="AK442" i="26"/>
  <c r="BU442" i="26" s="1"/>
  <c r="BV442" i="26" s="1"/>
  <c r="BR317" i="26"/>
  <c r="BT317" i="26" s="1"/>
  <c r="BW317" i="26" s="1"/>
  <c r="AL317" i="26"/>
  <c r="AK317" i="26"/>
  <c r="BU317" i="26" s="1"/>
  <c r="BV317" i="26" s="1"/>
  <c r="BR316" i="26"/>
  <c r="BT316" i="26" s="1"/>
  <c r="BW316" i="26" s="1"/>
  <c r="AL316" i="26"/>
  <c r="AK316" i="26"/>
  <c r="BU316" i="26" s="1"/>
  <c r="BV316" i="26" s="1"/>
  <c r="AK78" i="26"/>
  <c r="BU78" i="26" s="1"/>
  <c r="BV78" i="26" s="1"/>
  <c r="AL78" i="26"/>
  <c r="BR78" i="26"/>
  <c r="BR711" i="26"/>
  <c r="AK711" i="26"/>
  <c r="BU711" i="26" s="1"/>
  <c r="BV711" i="26" s="1"/>
  <c r="AL711" i="26"/>
  <c r="AL68" i="26"/>
  <c r="BR68" i="26"/>
  <c r="AK68" i="26"/>
  <c r="BU68" i="26" s="1"/>
  <c r="BV68" i="26" s="1"/>
  <c r="BR373" i="26"/>
  <c r="AK373" i="26"/>
  <c r="BU373" i="26" s="1"/>
  <c r="BV373" i="26" s="1"/>
  <c r="AL373" i="26"/>
  <c r="AK234" i="26"/>
  <c r="BU234" i="26" s="1"/>
  <c r="BV234" i="26" s="1"/>
  <c r="AL234" i="26"/>
  <c r="BR234" i="26"/>
  <c r="BR160" i="26"/>
  <c r="AK160" i="26"/>
  <c r="BU160" i="26" s="1"/>
  <c r="BV160" i="26" s="1"/>
  <c r="AL160" i="26"/>
  <c r="AJ189" i="26" s="1"/>
  <c r="AK298" i="26"/>
  <c r="BU298" i="26" s="1"/>
  <c r="BV298" i="26" s="1"/>
  <c r="AL298" i="26"/>
  <c r="BR298" i="26"/>
  <c r="BT298" i="26" s="1"/>
  <c r="BW298" i="26" s="1"/>
  <c r="AJ394" i="26" s="1"/>
  <c r="AJ790" i="26" s="1"/>
  <c r="AL648" i="26"/>
  <c r="BR648" i="26"/>
  <c r="AK648" i="26"/>
  <c r="BU648" i="26" s="1"/>
  <c r="BV648" i="26" s="1"/>
  <c r="AL382" i="26"/>
  <c r="BR382" i="26"/>
  <c r="AK382" i="26"/>
  <c r="BU382" i="26" s="1"/>
  <c r="BV382" i="26" s="1"/>
  <c r="AL726" i="26"/>
  <c r="AK726" i="26"/>
  <c r="BU726" i="26" s="1"/>
  <c r="BV726" i="26" s="1"/>
  <c r="BR726" i="26"/>
  <c r="BT726" i="26" s="1"/>
  <c r="BW726" i="26" s="1"/>
  <c r="BR91" i="26"/>
  <c r="AK91" i="26"/>
  <c r="BU91" i="26" s="1"/>
  <c r="BV91" i="26" s="1"/>
  <c r="AL91" i="26"/>
  <c r="AK227" i="26"/>
  <c r="BU227" i="26" s="1"/>
  <c r="BV227" i="26" s="1"/>
  <c r="AL227" i="26"/>
  <c r="BR227" i="26"/>
  <c r="BR214" i="26"/>
  <c r="AL214" i="26"/>
  <c r="AK214" i="26"/>
  <c r="BU214" i="26" s="1"/>
  <c r="BV214" i="26" s="1"/>
  <c r="AJ531" i="26" s="1"/>
  <c r="BR459" i="26"/>
  <c r="AK459" i="26"/>
  <c r="BU459" i="26" s="1"/>
  <c r="BV459" i="26" s="1"/>
  <c r="AL459" i="26"/>
  <c r="AL724" i="26"/>
  <c r="BR724" i="26"/>
  <c r="AK724" i="26"/>
  <c r="BU724" i="26" s="1"/>
  <c r="BV724" i="26" s="1"/>
  <c r="AJ534" i="26" s="1"/>
  <c r="BR173" i="26"/>
  <c r="AL173" i="26"/>
  <c r="AK173" i="26"/>
  <c r="BU173" i="26" s="1"/>
  <c r="BV173" i="26" s="1"/>
  <c r="BR475" i="26"/>
  <c r="AL475" i="26"/>
  <c r="AK475" i="26"/>
  <c r="BU475" i="26" s="1"/>
  <c r="BV475" i="26" s="1"/>
  <c r="AJ516" i="26" s="1"/>
  <c r="AJ507" i="26" s="1"/>
  <c r="BR132" i="26"/>
  <c r="AK132" i="26"/>
  <c r="BU132" i="26" s="1"/>
  <c r="BV132" i="26" s="1"/>
  <c r="AL132" i="26"/>
  <c r="AK144" i="26"/>
  <c r="BU144" i="26" s="1"/>
  <c r="BV144" i="26" s="1"/>
  <c r="BR144" i="26"/>
  <c r="BT144" i="26" s="1"/>
  <c r="BW144" i="26" s="1"/>
  <c r="AL144" i="26"/>
  <c r="AJ789" i="26" s="1"/>
  <c r="AJ162" i="26" s="1"/>
  <c r="BR403" i="26"/>
  <c r="AK403" i="26"/>
  <c r="BU403" i="26" s="1"/>
  <c r="BV403" i="26" s="1"/>
  <c r="AL403" i="26"/>
  <c r="AL305" i="26"/>
  <c r="AK305" i="26"/>
  <c r="BU305" i="26" s="1"/>
  <c r="BV305" i="26" s="1"/>
  <c r="BR305" i="26"/>
  <c r="AL321" i="26"/>
  <c r="AK321" i="26"/>
  <c r="BU321" i="26" s="1"/>
  <c r="BV321" i="26" s="1"/>
  <c r="BR321" i="26"/>
  <c r="BR536" i="26"/>
  <c r="AK536" i="26"/>
  <c r="BU536" i="26" s="1"/>
  <c r="BV536" i="26" s="1"/>
  <c r="AL536" i="26"/>
  <c r="AK416" i="26"/>
  <c r="BU416" i="26" s="1"/>
  <c r="BV416" i="26" s="1"/>
  <c r="AL416" i="26"/>
  <c r="BR416" i="26"/>
  <c r="AK71" i="26"/>
  <c r="BU71" i="26" s="1"/>
  <c r="BV71" i="26" s="1"/>
  <c r="AL71" i="26"/>
  <c r="BR71" i="26"/>
  <c r="AL731" i="26"/>
  <c r="BR731" i="26"/>
  <c r="AK731" i="26"/>
  <c r="BU731" i="26" s="1"/>
  <c r="BV731" i="26" s="1"/>
  <c r="BR195" i="26"/>
  <c r="AL195" i="26"/>
  <c r="AK195" i="26"/>
  <c r="BU195" i="26" s="1"/>
  <c r="BV195" i="26" s="1"/>
  <c r="AJ462" i="26" s="1"/>
  <c r="AJ182" i="26" s="1"/>
  <c r="AK786" i="26"/>
  <c r="BU786" i="26" s="1"/>
  <c r="BV786" i="26" s="1"/>
  <c r="BR786" i="26"/>
  <c r="AL786" i="26"/>
  <c r="AJ677" i="26" s="1"/>
  <c r="BR662" i="26"/>
  <c r="AL662" i="26"/>
  <c r="AK662" i="26"/>
  <c r="BU662" i="26" s="1"/>
  <c r="BR402" i="26"/>
  <c r="AK402" i="26"/>
  <c r="BU402" i="26" s="1"/>
  <c r="BV402" i="26" s="1"/>
  <c r="AL402" i="26"/>
  <c r="AJ464" i="26" s="1"/>
  <c r="AL268" i="26"/>
  <c r="BR268" i="26"/>
  <c r="BT268" i="26" s="1"/>
  <c r="BW268" i="26" s="1"/>
  <c r="AK268" i="26"/>
  <c r="BU268" i="26" s="1"/>
  <c r="BV268" i="26" s="1"/>
  <c r="AK366" i="26"/>
  <c r="BU366" i="26" s="1"/>
  <c r="BV366" i="26" s="1"/>
  <c r="AL366" i="26"/>
  <c r="BR366" i="26"/>
  <c r="AL124" i="26"/>
  <c r="BR124" i="26"/>
  <c r="AK124" i="26"/>
  <c r="BU124" i="26" s="1"/>
  <c r="BV124" i="26" s="1"/>
  <c r="BR696" i="26"/>
  <c r="AL696" i="26"/>
  <c r="AK696" i="26"/>
  <c r="BU696" i="26" s="1"/>
  <c r="BV696" i="26" s="1"/>
  <c r="AK74" i="26"/>
  <c r="BU74" i="26" s="1"/>
  <c r="BV74" i="26" s="1"/>
  <c r="AL74" i="26"/>
  <c r="BR74" i="26"/>
  <c r="AJ626" i="26" s="1"/>
  <c r="AK353" i="26"/>
  <c r="BU353" i="26" s="1"/>
  <c r="BV353" i="26" s="1"/>
  <c r="AL353" i="26"/>
  <c r="BR353" i="26"/>
  <c r="AK718" i="26"/>
  <c r="BU718" i="26" s="1"/>
  <c r="BV718" i="26" s="1"/>
  <c r="AL718" i="26"/>
  <c r="BR718" i="26"/>
  <c r="AJ559" i="26" s="1"/>
  <c r="AL499" i="26"/>
  <c r="BR499" i="26"/>
  <c r="AK499" i="26"/>
  <c r="BU499" i="26" s="1"/>
  <c r="BV499" i="26" s="1"/>
  <c r="AK584" i="26"/>
  <c r="BU584" i="26" s="1"/>
  <c r="BV584" i="26" s="1"/>
  <c r="BR584" i="26"/>
  <c r="AL584" i="26"/>
  <c r="AL106" i="26"/>
  <c r="BR106" i="26"/>
  <c r="AK106" i="26"/>
  <c r="BU106" i="26" s="1"/>
  <c r="BV106" i="26" s="1"/>
  <c r="BR177" i="26"/>
  <c r="AL177" i="26"/>
  <c r="AK177" i="26"/>
  <c r="BU177" i="26" s="1"/>
  <c r="BV177" i="26" s="1"/>
  <c r="BR690" i="26"/>
  <c r="AL690" i="26"/>
  <c r="AK690" i="26"/>
  <c r="BU690" i="26" s="1"/>
  <c r="AL737" i="26"/>
  <c r="BR737" i="26"/>
  <c r="AK737" i="26"/>
  <c r="BU737" i="26" s="1"/>
  <c r="BV737" i="26" s="1"/>
  <c r="BR134" i="26"/>
  <c r="AK134" i="26"/>
  <c r="BU134" i="26" s="1"/>
  <c r="AL134" i="26"/>
  <c r="AL92" i="26"/>
  <c r="BR92" i="26"/>
  <c r="AK92" i="26"/>
  <c r="BU92" i="26" s="1"/>
  <c r="BV92" i="26" s="1"/>
  <c r="AK585" i="26"/>
  <c r="BU585" i="26" s="1"/>
  <c r="BV585" i="26" s="1"/>
  <c r="BR585" i="26"/>
  <c r="AL585" i="26"/>
  <c r="AJ405" i="26" s="1"/>
  <c r="AJ642" i="26" s="1"/>
  <c r="AK611" i="26"/>
  <c r="BU611" i="26" s="1"/>
  <c r="BV611" i="26" s="1"/>
  <c r="BR611" i="26"/>
  <c r="AL611" i="26"/>
  <c r="AK494" i="26"/>
  <c r="BU494" i="26" s="1"/>
  <c r="BV494" i="26" s="1"/>
  <c r="BR494" i="26"/>
  <c r="AL494" i="26"/>
  <c r="AK668" i="26"/>
  <c r="BU668" i="26" s="1"/>
  <c r="BV668" i="26" s="1"/>
  <c r="AL668" i="26"/>
  <c r="BR668" i="26"/>
  <c r="BT668" i="26" s="1"/>
  <c r="BW668" i="26" s="1"/>
  <c r="BR303" i="26"/>
  <c r="AL303" i="26"/>
  <c r="AK303" i="26"/>
  <c r="BU303" i="26" s="1"/>
  <c r="BV303" i="26" s="1"/>
  <c r="AK609" i="26"/>
  <c r="BU609" i="26" s="1"/>
  <c r="BV609" i="26" s="1"/>
  <c r="BR609" i="26"/>
  <c r="AL609" i="26"/>
  <c r="AJ650" i="26" s="1"/>
  <c r="AK213" i="26"/>
  <c r="BU213" i="26" s="1"/>
  <c r="BV213" i="26" s="1"/>
  <c r="AL213" i="26"/>
  <c r="BR213" i="26"/>
  <c r="AJ254" i="26" s="1"/>
  <c r="BR179" i="26"/>
  <c r="AL179" i="26"/>
  <c r="AK179" i="26"/>
  <c r="BU179" i="26" s="1"/>
  <c r="BV179" i="26" s="1"/>
  <c r="AK43" i="26"/>
  <c r="BU43" i="26" s="1"/>
  <c r="BV43" i="26" s="1"/>
  <c r="BR43" i="26"/>
  <c r="AL43" i="26"/>
  <c r="AJ654" i="26" s="1"/>
  <c r="AJ778" i="26" s="1"/>
  <c r="BR535" i="26"/>
  <c r="AL535" i="26"/>
  <c r="AK535" i="26"/>
  <c r="BU535" i="26" s="1"/>
  <c r="BV535" i="26" s="1"/>
  <c r="AL334" i="26"/>
  <c r="AK334" i="26"/>
  <c r="BU334" i="26" s="1"/>
  <c r="BV334" i="26" s="1"/>
  <c r="BR334" i="26"/>
  <c r="BT334" i="26" s="1"/>
  <c r="BW334" i="26" s="1"/>
  <c r="BR269" i="26"/>
  <c r="AL269" i="26"/>
  <c r="AK269" i="26"/>
  <c r="BU269" i="26" s="1"/>
  <c r="BV269" i="26" s="1"/>
  <c r="BR476" i="26"/>
  <c r="AK476" i="26"/>
  <c r="BU476" i="26" s="1"/>
  <c r="BV476" i="26" s="1"/>
  <c r="AL476" i="26"/>
  <c r="AK28" i="26"/>
  <c r="BU28" i="26" s="1"/>
  <c r="BR28" i="26"/>
  <c r="AL28" i="26"/>
  <c r="BR716" i="26"/>
  <c r="AK716" i="26"/>
  <c r="BU716" i="26" s="1"/>
  <c r="BV716" i="26" s="1"/>
  <c r="AL716" i="26"/>
  <c r="AJ569" i="26" s="1"/>
  <c r="AJ542" i="26" s="1"/>
  <c r="AL285" i="26"/>
  <c r="BR285" i="26"/>
  <c r="AK285" i="26"/>
  <c r="BU285" i="26" s="1"/>
  <c r="BV285" i="26" s="1"/>
  <c r="AK727" i="26"/>
  <c r="BU727" i="26" s="1"/>
  <c r="BV727" i="26" s="1"/>
  <c r="BR727" i="26"/>
  <c r="AL727" i="26"/>
  <c r="BR19" i="26"/>
  <c r="AL19" i="26"/>
  <c r="AK19" i="26"/>
  <c r="BU19" i="26" s="1"/>
  <c r="BV19" i="26" s="1"/>
  <c r="AL745" i="26"/>
  <c r="AK745" i="26"/>
  <c r="BU745" i="26" s="1"/>
  <c r="BV745" i="26" s="1"/>
  <c r="BR745" i="26"/>
  <c r="AL181" i="26"/>
  <c r="AK181" i="26"/>
  <c r="BU181" i="26" s="1"/>
  <c r="BV181" i="26" s="1"/>
  <c r="BR181" i="26"/>
  <c r="AL578" i="26"/>
  <c r="BR578" i="26"/>
  <c r="AK578" i="26"/>
  <c r="BU578" i="26" s="1"/>
  <c r="BV578" i="26" s="1"/>
  <c r="AL198" i="26"/>
  <c r="AK198" i="26"/>
  <c r="BU198" i="26" s="1"/>
  <c r="BR198" i="26"/>
  <c r="AL722" i="26"/>
  <c r="BR722" i="26"/>
  <c r="AK722" i="26"/>
  <c r="BU722" i="26" s="1"/>
  <c r="BV722" i="26" s="1"/>
  <c r="AL118" i="26"/>
  <c r="BR118" i="26"/>
  <c r="AK118" i="26"/>
  <c r="BU118" i="26" s="1"/>
  <c r="BV118" i="26" s="1"/>
  <c r="AJ562" i="26" s="1"/>
  <c r="AJ306" i="26" s="1"/>
  <c r="AK396" i="26"/>
  <c r="BU396" i="26" s="1"/>
  <c r="BV396" i="26" s="1"/>
  <c r="AL396" i="26"/>
  <c r="BR396" i="26"/>
  <c r="AL370" i="26"/>
  <c r="BR370" i="26"/>
  <c r="AK370" i="26"/>
  <c r="BU370" i="26" s="1"/>
  <c r="BV370" i="26" s="1"/>
  <c r="AJ166" i="26" s="1"/>
  <c r="AL128" i="26"/>
  <c r="BR128" i="26"/>
  <c r="AK128" i="26"/>
  <c r="BU128" i="26" s="1"/>
  <c r="BV128" i="26" s="1"/>
  <c r="AJ314" i="26"/>
  <c r="AJ781" i="26" s="1"/>
  <c r="AK338" i="26"/>
  <c r="BU338" i="26" s="1"/>
  <c r="BR338" i="26"/>
  <c r="AL338" i="26"/>
  <c r="AK212" i="26"/>
  <c r="BU212" i="26" s="1"/>
  <c r="BV212" i="26" s="1"/>
  <c r="AL212" i="26"/>
  <c r="BR212" i="26"/>
  <c r="AK764" i="26"/>
  <c r="BU764" i="26" s="1"/>
  <c r="BV764" i="26" s="1"/>
  <c r="BR764" i="26"/>
  <c r="AL764" i="26"/>
  <c r="AK419" i="26"/>
  <c r="BU419" i="26" s="1"/>
  <c r="BV419" i="26" s="1"/>
  <c r="BR419" i="26"/>
  <c r="AL419" i="26"/>
  <c r="BR84" i="26"/>
  <c r="AK84" i="26"/>
  <c r="BU84" i="26" s="1"/>
  <c r="BV84" i="26" s="1"/>
  <c r="AL84" i="26"/>
  <c r="BR325" i="26"/>
  <c r="AK325" i="26"/>
  <c r="BU325" i="26" s="1"/>
  <c r="BV325" i="26" s="1"/>
  <c r="AL325" i="26"/>
  <c r="AJ792" i="26" s="1"/>
  <c r="AJ12" i="26" s="1"/>
  <c r="AJ241" i="26" s="1"/>
  <c r="AL455" i="26"/>
  <c r="AK455" i="26"/>
  <c r="BU455" i="26" s="1"/>
  <c r="BV455" i="26" s="1"/>
  <c r="BR455" i="26"/>
  <c r="AK428" i="26"/>
  <c r="BU428" i="26" s="1"/>
  <c r="BV428" i="26" s="1"/>
  <c r="BR428" i="26"/>
  <c r="AL428" i="26"/>
  <c r="BR736" i="26"/>
  <c r="AL736" i="26"/>
  <c r="AK736" i="26"/>
  <c r="BU736" i="26" s="1"/>
  <c r="BV736" i="26" s="1"/>
  <c r="AK310" i="26"/>
  <c r="BU310" i="26" s="1"/>
  <c r="BV310" i="26" s="1"/>
  <c r="BR310" i="26"/>
  <c r="AL310" i="26"/>
  <c r="BR761" i="26"/>
  <c r="AK761" i="26"/>
  <c r="BU761" i="26" s="1"/>
  <c r="BV761" i="26" s="1"/>
  <c r="AL761" i="26"/>
  <c r="AK112" i="26"/>
  <c r="BU112" i="26" s="1"/>
  <c r="BV112" i="26" s="1"/>
  <c r="AL112" i="26"/>
  <c r="BR112" i="26"/>
  <c r="BR785" i="26"/>
  <c r="AK785" i="26"/>
  <c r="BU785" i="26" s="1"/>
  <c r="BV785" i="26" s="1"/>
  <c r="AL785" i="26"/>
  <c r="AK546" i="26"/>
  <c r="BU546" i="26" s="1"/>
  <c r="BV546" i="26" s="1"/>
  <c r="BR546" i="26"/>
  <c r="BT546" i="26" s="1"/>
  <c r="BW546" i="26" s="1"/>
  <c r="AL546" i="26"/>
  <c r="AJ505" i="26"/>
  <c r="AL743" i="26"/>
  <c r="AK743" i="26"/>
  <c r="BU743" i="26" s="1"/>
  <c r="BV743" i="26" s="1"/>
  <c r="BR743" i="26"/>
  <c r="BR330" i="26"/>
  <c r="BT330" i="26" s="1"/>
  <c r="BW330" i="26" s="1"/>
  <c r="AK330" i="26"/>
  <c r="BU330" i="26" s="1"/>
  <c r="BV330" i="26" s="1"/>
  <c r="AL330" i="26"/>
  <c r="BR491" i="26"/>
  <c r="AL491" i="26"/>
  <c r="AK491" i="26"/>
  <c r="BU491" i="26" s="1"/>
  <c r="BV491" i="26" s="1"/>
  <c r="AK341" i="26"/>
  <c r="BU341" i="26" s="1"/>
  <c r="BV341" i="26" s="1"/>
  <c r="AL341" i="26"/>
  <c r="BR341" i="26"/>
  <c r="BR14" i="26"/>
  <c r="AL14" i="26"/>
  <c r="AK14" i="26"/>
  <c r="BU14" i="26" s="1"/>
  <c r="BV14" i="26" s="1"/>
  <c r="AL9" i="26"/>
  <c r="BR9" i="26"/>
  <c r="AK9" i="26"/>
  <c r="BU9" i="26" s="1"/>
  <c r="AJ37" i="26" s="1"/>
  <c r="AK185" i="26"/>
  <c r="BU185" i="26" s="1"/>
  <c r="BV185" i="26" s="1"/>
  <c r="BR185" i="26"/>
  <c r="AL185" i="26"/>
  <c r="AJ751" i="26" s="1"/>
  <c r="BR547" i="26"/>
  <c r="BT547" i="26" s="1"/>
  <c r="BW547" i="26" s="1"/>
  <c r="AK547" i="26"/>
  <c r="BU547" i="26" s="1"/>
  <c r="BV547" i="26" s="1"/>
  <c r="AL547" i="26"/>
  <c r="BR454" i="26"/>
  <c r="AK454" i="26"/>
  <c r="BU454" i="26" s="1"/>
  <c r="BV454" i="26" s="1"/>
  <c r="AL454" i="26"/>
  <c r="AL66" i="26"/>
  <c r="AK66" i="26"/>
  <c r="BU66" i="26" s="1"/>
  <c r="BV66" i="26" s="1"/>
  <c r="BR66" i="26"/>
  <c r="AL33" i="26"/>
  <c r="BR33" i="26"/>
  <c r="AK33" i="26"/>
  <c r="BU33" i="26" s="1"/>
  <c r="BV33" i="26" s="1"/>
  <c r="BR294" i="26"/>
  <c r="AK294" i="26"/>
  <c r="BU294" i="26" s="1"/>
  <c r="AL294" i="26"/>
  <c r="AK705" i="26"/>
  <c r="BU705" i="26" s="1"/>
  <c r="BR705" i="26"/>
  <c r="AL705" i="26"/>
  <c r="BR747" i="26"/>
  <c r="AL747" i="26"/>
  <c r="AK747" i="26"/>
  <c r="BU747" i="26" s="1"/>
  <c r="BV747" i="26" s="1"/>
  <c r="BR686" i="26"/>
  <c r="AL686" i="26"/>
  <c r="AK686" i="26"/>
  <c r="BU686" i="26" s="1"/>
  <c r="BR698" i="26"/>
  <c r="AL698" i="26"/>
  <c r="AK698" i="26"/>
  <c r="BU698" i="26" s="1"/>
  <c r="BV698" i="26" s="1"/>
  <c r="BR88" i="26"/>
  <c r="AK88" i="26"/>
  <c r="BU88" i="26" s="1"/>
  <c r="BV88" i="26" s="1"/>
  <c r="AL88" i="26"/>
  <c r="AK385" i="26"/>
  <c r="BU385" i="26" s="1"/>
  <c r="BV385" i="26" s="1"/>
  <c r="BR385" i="26"/>
  <c r="AL385" i="26"/>
  <c r="BR220" i="26"/>
  <c r="AK220" i="26"/>
  <c r="BU220" i="26" s="1"/>
  <c r="BV220" i="26" s="1"/>
  <c r="AL220" i="26"/>
  <c r="AJ680" i="26" s="1"/>
  <c r="BR441" i="26"/>
  <c r="AK441" i="26"/>
  <c r="BU441" i="26" s="1"/>
  <c r="BV441" i="26" s="1"/>
  <c r="AL441" i="26"/>
  <c r="AK674" i="26"/>
  <c r="BU674" i="26" s="1"/>
  <c r="BV674" i="26" s="1"/>
  <c r="BR674" i="26"/>
  <c r="AL674" i="26"/>
  <c r="BR444" i="26"/>
  <c r="AL444" i="26"/>
  <c r="AK444" i="26"/>
  <c r="BU444" i="26" s="1"/>
  <c r="BV444" i="26" s="1"/>
  <c r="AL263" i="26"/>
  <c r="AK263" i="26"/>
  <c r="BU263" i="26" s="1"/>
  <c r="BV263" i="26" s="1"/>
  <c r="BR263" i="26"/>
  <c r="BR591" i="26"/>
  <c r="AK591" i="26"/>
  <c r="BU591" i="26" s="1"/>
  <c r="BV591" i="26" s="1"/>
  <c r="AL591" i="26"/>
  <c r="AK80" i="26"/>
  <c r="BU80" i="26" s="1"/>
  <c r="BV80" i="26" s="1"/>
  <c r="AL80" i="26"/>
  <c r="BR80" i="26"/>
  <c r="AJ553" i="26" s="1"/>
  <c r="AL528" i="26"/>
  <c r="BR528" i="26"/>
  <c r="AK528" i="26"/>
  <c r="BU528" i="26" s="1"/>
  <c r="BR45" i="26"/>
  <c r="AL45" i="26"/>
  <c r="AK45" i="26"/>
  <c r="BU45" i="26" s="1"/>
  <c r="BV45" i="26" s="1"/>
  <c r="BR477" i="26"/>
  <c r="AL477" i="26"/>
  <c r="AK477" i="26"/>
  <c r="BU477" i="26" s="1"/>
  <c r="BV477" i="26" s="1"/>
  <c r="AK207" i="26"/>
  <c r="BU207" i="26" s="1"/>
  <c r="BV207" i="26" s="1"/>
  <c r="BR207" i="26"/>
  <c r="AL207" i="26"/>
  <c r="AJ545" i="26" s="1"/>
  <c r="AL60" i="26"/>
  <c r="AK60" i="26"/>
  <c r="BU60" i="26" s="1"/>
  <c r="BV60" i="26" s="1"/>
  <c r="BR60" i="26"/>
  <c r="BR217" i="26"/>
  <c r="AL217" i="26"/>
  <c r="AK217" i="26"/>
  <c r="BU217" i="26" s="1"/>
  <c r="BV217" i="26" s="1"/>
  <c r="AK672" i="26"/>
  <c r="BU672" i="26" s="1"/>
  <c r="BV672" i="26" s="1"/>
  <c r="BR672" i="26"/>
  <c r="AL672" i="26"/>
  <c r="AK629" i="26"/>
  <c r="BU629" i="26" s="1"/>
  <c r="BV629" i="26" s="1"/>
  <c r="AL629" i="26"/>
  <c r="BR629" i="26"/>
  <c r="BR549" i="26"/>
  <c r="AL549" i="26"/>
  <c r="AK549" i="26"/>
  <c r="BU549" i="26" s="1"/>
  <c r="BV549" i="26" s="1"/>
  <c r="AL70" i="26"/>
  <c r="AK70" i="26"/>
  <c r="BU70" i="26" s="1"/>
  <c r="BV70" i="26" s="1"/>
  <c r="BR70" i="26"/>
  <c r="BR258" i="26"/>
  <c r="AK258" i="26"/>
  <c r="BU258" i="26" s="1"/>
  <c r="BV258" i="26" s="1"/>
  <c r="AL258" i="26"/>
  <c r="BR660" i="26"/>
  <c r="AL660" i="26"/>
  <c r="AK660" i="26"/>
  <c r="BU660" i="26" s="1"/>
  <c r="BV660" i="26" s="1"/>
  <c r="AK644" i="26"/>
  <c r="BU644" i="26" s="1"/>
  <c r="BV644" i="26" s="1"/>
  <c r="AL644" i="26"/>
  <c r="BR644" i="26"/>
  <c r="BT644" i="26" s="1"/>
  <c r="BW644" i="26" s="1"/>
  <c r="AL292" i="26"/>
  <c r="AK292" i="26"/>
  <c r="BU292" i="26" s="1"/>
  <c r="BR292" i="26"/>
  <c r="BR571" i="26"/>
  <c r="AL571" i="26"/>
  <c r="AK571" i="26"/>
  <c r="BU571" i="26" s="1"/>
  <c r="BV571" i="26" s="1"/>
  <c r="AK31" i="26"/>
  <c r="BU31" i="26" s="1"/>
  <c r="BV31" i="26" s="1"/>
  <c r="AL31" i="26"/>
  <c r="BR31" i="26"/>
  <c r="BR423" i="26"/>
  <c r="AL423" i="26"/>
  <c r="AK423" i="26"/>
  <c r="BU423" i="26" s="1"/>
  <c r="BR671" i="26"/>
  <c r="AL671" i="26"/>
  <c r="AK671" i="26"/>
  <c r="BU671" i="26" s="1"/>
  <c r="AK637" i="26"/>
  <c r="BU637" i="26" s="1"/>
  <c r="BR637" i="26"/>
  <c r="AL637" i="26"/>
  <c r="AJ218" i="26" s="1"/>
  <c r="AJ628" i="26" s="1"/>
  <c r="AK409" i="26"/>
  <c r="BU409" i="26" s="1"/>
  <c r="BV409" i="26" s="1"/>
  <c r="BR409" i="26"/>
  <c r="AL409" i="26"/>
  <c r="AK450" i="26"/>
  <c r="BU450" i="26" s="1"/>
  <c r="BV450" i="26" s="1"/>
  <c r="AL450" i="26"/>
  <c r="BR450" i="26"/>
  <c r="AK122" i="26"/>
  <c r="BU122" i="26" s="1"/>
  <c r="BV122" i="26" s="1"/>
  <c r="BR122" i="26"/>
  <c r="AL122" i="26"/>
  <c r="BR420" i="26"/>
  <c r="AL420" i="26"/>
  <c r="AK420" i="26"/>
  <c r="BU420" i="26" s="1"/>
  <c r="BV420" i="26" s="1"/>
  <c r="BR30" i="26"/>
  <c r="AL30" i="26"/>
  <c r="AK30" i="26"/>
  <c r="BU30" i="26" s="1"/>
  <c r="BV30" i="26" s="1"/>
  <c r="BR675" i="26"/>
  <c r="AL675" i="26"/>
  <c r="AK675" i="26"/>
  <c r="BU675" i="26" s="1"/>
  <c r="AJ145" i="26" s="1"/>
  <c r="BR82" i="26"/>
  <c r="AL82" i="26"/>
  <c r="AK82" i="26"/>
  <c r="BU82" i="26" s="1"/>
  <c r="BV82" i="26" s="1"/>
  <c r="AK592" i="26"/>
  <c r="BU592" i="26" s="1"/>
  <c r="BV592" i="26" s="1"/>
  <c r="BR592" i="26"/>
  <c r="AL592" i="26"/>
  <c r="AJ159" i="26"/>
  <c r="AJ752" i="26" s="1"/>
  <c r="AL116" i="26"/>
  <c r="AK116" i="26"/>
  <c r="BU116" i="26" s="1"/>
  <c r="BV116" i="26" s="1"/>
  <c r="BR116" i="26"/>
  <c r="AJ636" i="26" s="1"/>
  <c r="BR257" i="26"/>
  <c r="AL257" i="26"/>
  <c r="AK257" i="26"/>
  <c r="BU257" i="26" s="1"/>
  <c r="BV257" i="26" s="1"/>
  <c r="AJ567" i="26" s="1"/>
  <c r="AJ422" i="26" s="1"/>
  <c r="BR541" i="26"/>
  <c r="AL541" i="26"/>
  <c r="AK541" i="26"/>
  <c r="BU541" i="26" s="1"/>
  <c r="BV541" i="26" s="1"/>
  <c r="BR490" i="26"/>
  <c r="AK490" i="26"/>
  <c r="BU490" i="26" s="1"/>
  <c r="BV490" i="26" s="1"/>
  <c r="AL490" i="26"/>
  <c r="AJ161" i="26" s="1"/>
  <c r="BR514" i="26"/>
  <c r="AL514" i="26"/>
  <c r="AK514" i="26"/>
  <c r="BU514" i="26" s="1"/>
  <c r="BV514" i="26" s="1"/>
  <c r="BR608" i="26"/>
  <c r="AL608" i="26"/>
  <c r="AK608" i="26"/>
  <c r="BU608" i="26" s="1"/>
  <c r="BV608" i="26" s="1"/>
  <c r="AL457" i="26"/>
  <c r="AK457" i="26"/>
  <c r="BU457" i="26" s="1"/>
  <c r="BV457" i="26" s="1"/>
  <c r="BR457" i="26"/>
  <c r="AL439" i="26"/>
  <c r="AK439" i="26"/>
  <c r="BU439" i="26" s="1"/>
  <c r="BV439" i="26" s="1"/>
  <c r="BR439" i="26"/>
  <c r="AJ141" i="26"/>
  <c r="AL199" i="26"/>
  <c r="BR199" i="26"/>
  <c r="AK199" i="26"/>
  <c r="BU199" i="26" s="1"/>
  <c r="AK488" i="26"/>
  <c r="BU488" i="26" s="1"/>
  <c r="BV488" i="26" s="1"/>
  <c r="BR488" i="26"/>
  <c r="AL488" i="26"/>
  <c r="AL589" i="26"/>
  <c r="BR589" i="26"/>
  <c r="AK589" i="26"/>
  <c r="BU589" i="26" s="1"/>
  <c r="BV589" i="26" s="1"/>
  <c r="AL364" i="26"/>
  <c r="BR364" i="26"/>
  <c r="AK364" i="26"/>
  <c r="BU364" i="26" s="1"/>
  <c r="BV364" i="26" s="1"/>
  <c r="BR190" i="26"/>
  <c r="AL190" i="26"/>
  <c r="AK190" i="26"/>
  <c r="BU190" i="26" s="1"/>
  <c r="BV190" i="26" s="1"/>
  <c r="AL433" i="26"/>
  <c r="AK433" i="26"/>
  <c r="BU433" i="26" s="1"/>
  <c r="BV433" i="26" s="1"/>
  <c r="BR433" i="26"/>
  <c r="BR188" i="26"/>
  <c r="AL188" i="26"/>
  <c r="AK188" i="26"/>
  <c r="BU188" i="26" s="1"/>
  <c r="BV188" i="26" s="1"/>
  <c r="BR273" i="26"/>
  <c r="AK273" i="26"/>
  <c r="BU273" i="26" s="1"/>
  <c r="BV273" i="26" s="1"/>
  <c r="AL273" i="26"/>
  <c r="AK687" i="26"/>
  <c r="BU687" i="26" s="1"/>
  <c r="BV687" i="26" s="1"/>
  <c r="BR687" i="26"/>
  <c r="BT687" i="26" s="1"/>
  <c r="BW687" i="26" s="1"/>
  <c r="AL687" i="26"/>
  <c r="BR261" i="26"/>
  <c r="AL261" i="26"/>
  <c r="AK261" i="26"/>
  <c r="BU261" i="26" s="1"/>
  <c r="BV261" i="26" s="1"/>
  <c r="BR447" i="26"/>
  <c r="AK447" i="26"/>
  <c r="BU447" i="26" s="1"/>
  <c r="BV447" i="26" s="1"/>
  <c r="AL447" i="26"/>
  <c r="BR372" i="26"/>
  <c r="AK372" i="26"/>
  <c r="BU372" i="26" s="1"/>
  <c r="BV372" i="26" s="1"/>
  <c r="AL372" i="26"/>
  <c r="AK297" i="26"/>
  <c r="BU297" i="26" s="1"/>
  <c r="BV297" i="26" s="1"/>
  <c r="BR297" i="26"/>
  <c r="AL297" i="26"/>
  <c r="BR427" i="26"/>
  <c r="AK427" i="26"/>
  <c r="BU427" i="26" s="1"/>
  <c r="BV427" i="26" s="1"/>
  <c r="AL427" i="26"/>
  <c r="AK461" i="26"/>
  <c r="BU461" i="26" s="1"/>
  <c r="BV461" i="26" s="1"/>
  <c r="BR461" i="26"/>
  <c r="AL461" i="26"/>
  <c r="BR61" i="26"/>
  <c r="AL61" i="26"/>
  <c r="AK61" i="26"/>
  <c r="BU61" i="26" s="1"/>
  <c r="BV61" i="26" s="1"/>
  <c r="AK323" i="26"/>
  <c r="BU323" i="26" s="1"/>
  <c r="BV323" i="26" s="1"/>
  <c r="AL323" i="26"/>
  <c r="BR323" i="26"/>
  <c r="BR468" i="26"/>
  <c r="AK468" i="26"/>
  <c r="BU468" i="26" s="1"/>
  <c r="BV468" i="26" s="1"/>
  <c r="AL468" i="26"/>
  <c r="AK623" i="26"/>
  <c r="BU623" i="26" s="1"/>
  <c r="BV623" i="26" s="1"/>
  <c r="BR623" i="26"/>
  <c r="BT623" i="26" s="1"/>
  <c r="BW623" i="26" s="1"/>
  <c r="AL623" i="26"/>
  <c r="AK590" i="26"/>
  <c r="BU590" i="26" s="1"/>
  <c r="BV590" i="26" s="1"/>
  <c r="AL590" i="26"/>
  <c r="BR590" i="26"/>
  <c r="AJ511" i="26"/>
  <c r="AK208" i="26"/>
  <c r="BU208" i="26" s="1"/>
  <c r="BV208" i="26" s="1"/>
  <c r="BR208" i="26"/>
  <c r="AL208" i="26"/>
  <c r="AK232" i="26"/>
  <c r="BU232" i="26" s="1"/>
  <c r="BV232" i="26" s="1"/>
  <c r="BR232" i="26"/>
  <c r="AL232" i="26"/>
  <c r="BR125" i="26"/>
  <c r="AK125" i="26"/>
  <c r="BU125" i="26" s="1"/>
  <c r="BV125" i="26" s="1"/>
  <c r="AL125" i="26"/>
  <c r="AK664" i="26"/>
  <c r="BU664" i="26" s="1"/>
  <c r="BV664" i="26" s="1"/>
  <c r="BR664" i="26"/>
  <c r="AL664" i="26"/>
  <c r="BR601" i="26"/>
  <c r="AL601" i="26"/>
  <c r="AK601" i="26"/>
  <c r="BU601" i="26" s="1"/>
  <c r="BV601" i="26" s="1"/>
  <c r="BR543" i="26"/>
  <c r="AL543" i="26"/>
  <c r="AK543" i="26"/>
  <c r="BU543" i="26" s="1"/>
  <c r="BR47" i="26"/>
  <c r="AK47" i="26"/>
  <c r="BU47" i="26" s="1"/>
  <c r="BV47" i="26" s="1"/>
  <c r="AL47" i="26"/>
  <c r="AK742" i="26"/>
  <c r="BU742" i="26" s="1"/>
  <c r="BV742" i="26" s="1"/>
  <c r="BR742" i="26"/>
  <c r="BT742" i="26" s="1"/>
  <c r="BW742" i="26" s="1"/>
  <c r="AL742" i="26"/>
  <c r="BR379" i="26"/>
  <c r="AK379" i="26"/>
  <c r="BU379" i="26" s="1"/>
  <c r="BV379" i="26" s="1"/>
  <c r="AL379" i="26"/>
  <c r="BR595" i="26"/>
  <c r="AK595" i="26"/>
  <c r="BU595" i="26" s="1"/>
  <c r="BV595" i="26" s="1"/>
  <c r="AL595" i="26"/>
  <c r="AL669" i="26"/>
  <c r="BR669" i="26"/>
  <c r="AK669" i="26"/>
  <c r="BU669" i="26" s="1"/>
  <c r="BV669" i="26" s="1"/>
  <c r="AK365" i="26"/>
  <c r="BU365" i="26" s="1"/>
  <c r="BV365" i="26" s="1"/>
  <c r="AL365" i="26"/>
  <c r="BR365" i="26"/>
  <c r="BT365" i="26" s="1"/>
  <c r="BW365" i="26" s="1"/>
  <c r="AK345" i="26"/>
  <c r="BU345" i="26" s="1"/>
  <c r="BV345" i="26" s="1"/>
  <c r="BR345" i="26"/>
  <c r="AL345" i="26"/>
  <c r="BR519" i="26"/>
  <c r="AL519" i="26"/>
  <c r="AK519" i="26"/>
  <c r="BU519" i="26" s="1"/>
  <c r="BV519" i="26" s="1"/>
  <c r="AK16" i="26"/>
  <c r="BU16" i="26" s="1"/>
  <c r="BV16" i="26" s="1"/>
  <c r="BR16" i="26"/>
  <c r="AL16" i="26"/>
  <c r="AK239" i="26"/>
  <c r="BU239" i="26" s="1"/>
  <c r="BV239" i="26" s="1"/>
  <c r="AL239" i="26"/>
  <c r="BR239" i="26"/>
  <c r="AK29" i="26"/>
  <c r="BU29" i="26" s="1"/>
  <c r="BV29" i="26" s="1"/>
  <c r="AL29" i="26"/>
  <c r="BR29" i="26"/>
  <c r="BR350" i="26"/>
  <c r="AK350" i="26"/>
  <c r="BU350" i="26" s="1"/>
  <c r="BV350" i="26" s="1"/>
  <c r="AL350" i="26"/>
  <c r="AJ556" i="26" s="1"/>
  <c r="AL117" i="26"/>
  <c r="AK117" i="26"/>
  <c r="BU117" i="26" s="1"/>
  <c r="BV117" i="26" s="1"/>
  <c r="BR117" i="26"/>
  <c r="AJ757" i="26" s="1"/>
  <c r="AJ205" i="26" s="1"/>
  <c r="AJ795" i="26" s="1"/>
  <c r="AL474" i="26"/>
  <c r="AK474" i="26"/>
  <c r="BU474" i="26" s="1"/>
  <c r="BV474" i="26" s="1"/>
  <c r="BR474" i="26"/>
  <c r="AJ506" i="26" s="1"/>
  <c r="AK389" i="26"/>
  <c r="BU389" i="26" s="1"/>
  <c r="BV389" i="26" s="1"/>
  <c r="AL389" i="26"/>
  <c r="BR389" i="26"/>
  <c r="BR267" i="26"/>
  <c r="AL267" i="26"/>
  <c r="AK267" i="26"/>
  <c r="BU267" i="26" s="1"/>
  <c r="AK206" i="26"/>
  <c r="BU206" i="26" s="1"/>
  <c r="BV206" i="26" s="1"/>
  <c r="BR206" i="26"/>
  <c r="AL206" i="26"/>
  <c r="AL51" i="26"/>
  <c r="BR51" i="26"/>
  <c r="AK51" i="26"/>
  <c r="BU51" i="26" s="1"/>
  <c r="BV51" i="26" s="1"/>
  <c r="AL114" i="26"/>
  <c r="BR114" i="26"/>
  <c r="AK114" i="26"/>
  <c r="BU114" i="26" s="1"/>
  <c r="BV114" i="26" s="1"/>
  <c r="AJ168" i="26" s="1"/>
  <c r="BR518" i="26"/>
  <c r="AK518" i="26"/>
  <c r="BU518" i="26" s="1"/>
  <c r="BV518" i="26" s="1"/>
  <c r="AL518" i="26"/>
  <c r="BR53" i="26"/>
  <c r="AL53" i="26"/>
  <c r="AK53" i="26"/>
  <c r="BU53" i="26" s="1"/>
  <c r="BV53" i="26" s="1"/>
  <c r="AK313" i="26"/>
  <c r="BU313" i="26" s="1"/>
  <c r="BV313" i="26" s="1"/>
  <c r="AL313" i="26"/>
  <c r="BR313" i="26"/>
  <c r="AK735" i="26"/>
  <c r="BU735" i="26" s="1"/>
  <c r="BV735" i="26" s="1"/>
  <c r="AL735" i="26"/>
  <c r="BR735" i="26"/>
  <c r="AK67" i="26"/>
  <c r="BU67" i="26" s="1"/>
  <c r="BV67" i="26" s="1"/>
  <c r="BR67" i="26"/>
  <c r="AL67" i="26"/>
  <c r="BR242" i="26"/>
  <c r="AL242" i="26"/>
  <c r="AK242" i="26"/>
  <c r="BU242" i="26" s="1"/>
  <c r="BV242" i="26" s="1"/>
  <c r="BR622" i="26"/>
  <c r="AL622" i="26"/>
  <c r="AK622" i="26"/>
  <c r="BU622" i="26" s="1"/>
  <c r="AL539" i="26"/>
  <c r="AK539" i="26"/>
  <c r="BU539" i="26" s="1"/>
  <c r="BV539" i="26" s="1"/>
  <c r="BR539" i="26"/>
  <c r="AK694" i="26"/>
  <c r="BU694" i="26" s="1"/>
  <c r="BV694" i="26" s="1"/>
  <c r="AL694" i="26"/>
  <c r="BR694" i="26"/>
  <c r="BR270" i="26"/>
  <c r="AL270" i="26"/>
  <c r="AK270" i="26"/>
  <c r="BU270" i="26" s="1"/>
  <c r="BV270" i="26" s="1"/>
  <c r="BR424" i="26"/>
  <c r="AL424" i="26"/>
  <c r="AK424" i="26"/>
  <c r="BU424" i="26" s="1"/>
  <c r="BV424" i="26" s="1"/>
  <c r="AL201" i="26"/>
  <c r="BR201" i="26"/>
  <c r="AK201" i="26"/>
  <c r="BU201" i="26" s="1"/>
  <c r="AK504" i="26"/>
  <c r="BU504" i="26" s="1"/>
  <c r="BV504" i="26" s="1"/>
  <c r="BR504" i="26"/>
  <c r="AL504" i="26"/>
  <c r="AK113" i="26"/>
  <c r="BU113" i="26" s="1"/>
  <c r="BR113" i="26"/>
  <c r="AL113" i="26"/>
  <c r="AJ655" i="26" s="1"/>
  <c r="AL135" i="26"/>
  <c r="BR135" i="26"/>
  <c r="AK135" i="26"/>
  <c r="BU135" i="26" s="1"/>
  <c r="AL36" i="26"/>
  <c r="AK36" i="26"/>
  <c r="BU36" i="26" s="1"/>
  <c r="BV36" i="26" s="1"/>
  <c r="BR36" i="26"/>
  <c r="AJ146" i="26" s="1"/>
  <c r="AK599" i="26"/>
  <c r="BU599" i="26" s="1"/>
  <c r="BV599" i="26" s="1"/>
  <c r="AL599" i="26"/>
  <c r="BR599" i="26"/>
  <c r="BR684" i="26"/>
  <c r="AL684" i="26"/>
  <c r="AK684" i="26"/>
  <c r="BU684" i="26" s="1"/>
  <c r="BV684" i="26" s="1"/>
  <c r="BR406" i="26"/>
  <c r="AK406" i="26"/>
  <c r="BU406" i="26" s="1"/>
  <c r="BV406" i="26" s="1"/>
  <c r="AL406" i="26"/>
  <c r="AJ271" i="26" s="1"/>
  <c r="AL20" i="26"/>
  <c r="AK20" i="26"/>
  <c r="BU20" i="26" s="1"/>
  <c r="BV20" i="26" s="1"/>
  <c r="BR20" i="26"/>
  <c r="AJ363" i="26"/>
  <c r="AK39" i="26"/>
  <c r="BU39" i="26" s="1"/>
  <c r="BV39" i="26" s="1"/>
  <c r="BR39" i="26"/>
  <c r="AL39" i="26"/>
  <c r="AK304" i="26"/>
  <c r="BU304" i="26" s="1"/>
  <c r="BV304" i="26" s="1"/>
  <c r="AL304" i="26"/>
  <c r="BR304" i="26"/>
  <c r="AL498" i="26"/>
  <c r="BR498" i="26"/>
  <c r="AK498" i="26"/>
  <c r="BU498" i="26" s="1"/>
  <c r="BV498" i="26" s="1"/>
  <c r="BR463" i="26"/>
  <c r="AK463" i="26"/>
  <c r="BU463" i="26" s="1"/>
  <c r="BV463" i="26" s="1"/>
  <c r="AL463" i="26"/>
  <c r="BR222" i="26"/>
  <c r="AL222" i="26"/>
  <c r="AK222" i="26"/>
  <c r="BU222" i="26" s="1"/>
  <c r="BV222" i="26" s="1"/>
  <c r="BR163" i="26"/>
  <c r="AL163" i="26"/>
  <c r="AK163" i="26"/>
  <c r="BU163" i="26" s="1"/>
  <c r="BV163" i="26" s="1"/>
  <c r="AJ471" i="26" s="1"/>
  <c r="AJ753" i="26" s="1"/>
  <c r="AL489" i="26"/>
  <c r="BR489" i="26"/>
  <c r="AK489" i="26"/>
  <c r="BU489" i="26" s="1"/>
  <c r="BV489" i="26" s="1"/>
  <c r="AJ640" i="26" s="1"/>
  <c r="BR602" i="26"/>
  <c r="AK602" i="26"/>
  <c r="BU602" i="26" s="1"/>
  <c r="BV602" i="26" s="1"/>
  <c r="AL602" i="26"/>
  <c r="BR496" i="26"/>
  <c r="AK496" i="26"/>
  <c r="BU496" i="26" s="1"/>
  <c r="BV496" i="26" s="1"/>
  <c r="AL496" i="26"/>
  <c r="AL286" i="26"/>
  <c r="BR286" i="26"/>
  <c r="BT286" i="26" s="1"/>
  <c r="BW286" i="26" s="1"/>
  <c r="AK286" i="26"/>
  <c r="BU286" i="26" s="1"/>
  <c r="BV286" i="26" s="1"/>
  <c r="AK187" i="26"/>
  <c r="BU187" i="26" s="1"/>
  <c r="BV187" i="26" s="1"/>
  <c r="AL187" i="26"/>
  <c r="BR187" i="26"/>
  <c r="BR99" i="26"/>
  <c r="AL99" i="26"/>
  <c r="AK99" i="26"/>
  <c r="BU99" i="26" s="1"/>
  <c r="AL594" i="26"/>
  <c r="BR594" i="26"/>
  <c r="AK594" i="26"/>
  <c r="BU594" i="26" s="1"/>
  <c r="BV594" i="26" s="1"/>
  <c r="AL631" i="26"/>
  <c r="BR631" i="26"/>
  <c r="AK631" i="26"/>
  <c r="BU631" i="26" s="1"/>
  <c r="BV631" i="26" s="1"/>
  <c r="BR319" i="26"/>
  <c r="BT319" i="26" s="1"/>
  <c r="BW319" i="26" s="1"/>
  <c r="AL319" i="26"/>
  <c r="AK319" i="26"/>
  <c r="BU319" i="26" s="1"/>
  <c r="BV319" i="26" s="1"/>
  <c r="AK98" i="26"/>
  <c r="BU98" i="26" s="1"/>
  <c r="AL98" i="26"/>
  <c r="BR98" i="26"/>
  <c r="AJ652" i="26" s="1"/>
  <c r="AL413" i="26"/>
  <c r="BR413" i="26"/>
  <c r="AK413" i="26"/>
  <c r="BU413" i="26" s="1"/>
  <c r="BV413" i="26" s="1"/>
  <c r="BR715" i="26"/>
  <c r="AK715" i="26"/>
  <c r="BU715" i="26" s="1"/>
  <c r="BV715" i="26" s="1"/>
  <c r="AL715" i="26"/>
  <c r="BR480" i="26"/>
  <c r="AK480" i="26"/>
  <c r="BU480" i="26" s="1"/>
  <c r="BV480" i="26" s="1"/>
  <c r="AL480" i="26"/>
  <c r="BR203" i="26"/>
  <c r="AK203" i="26"/>
  <c r="BU203" i="26" s="1"/>
  <c r="BV203" i="26" s="1"/>
  <c r="AL203" i="26"/>
  <c r="BR21" i="26"/>
  <c r="AK21" i="26"/>
  <c r="BU21" i="26" s="1"/>
  <c r="BV21" i="26" s="1"/>
  <c r="AL21" i="26"/>
  <c r="AK460" i="26"/>
  <c r="BU460" i="26" s="1"/>
  <c r="BV460" i="26" s="1"/>
  <c r="AL460" i="26"/>
  <c r="BR460" i="26"/>
  <c r="AK209" i="26"/>
  <c r="BU209" i="26" s="1"/>
  <c r="BV209" i="26" s="1"/>
  <c r="AL209" i="26"/>
  <c r="BR209" i="26"/>
  <c r="BR771" i="26"/>
  <c r="AL771" i="26"/>
  <c r="AK771" i="26"/>
  <c r="BU771" i="26" s="1"/>
  <c r="BV771" i="26" s="1"/>
  <c r="BR301" i="26"/>
  <c r="BT301" i="26" s="1"/>
  <c r="BW301" i="26" s="1"/>
  <c r="AK301" i="26"/>
  <c r="BU301" i="26" s="1"/>
  <c r="BV301" i="26" s="1"/>
  <c r="AL301" i="26"/>
  <c r="AL487" i="26"/>
  <c r="BR487" i="26"/>
  <c r="AK487" i="26"/>
  <c r="BU487" i="26" s="1"/>
  <c r="BV487" i="26" s="1"/>
  <c r="AJ386" i="26" s="1"/>
  <c r="BR221" i="26"/>
  <c r="AK221" i="26"/>
  <c r="BU221" i="26" s="1"/>
  <c r="BV221" i="26" s="1"/>
  <c r="AL221" i="26"/>
  <c r="AL129" i="26"/>
  <c r="BR129" i="26"/>
  <c r="AK129" i="26"/>
  <c r="BU129" i="26" s="1"/>
  <c r="BV129" i="26" s="1"/>
  <c r="AJ501" i="26" s="1"/>
  <c r="AJ772" i="26" s="1"/>
  <c r="BR456" i="26"/>
  <c r="AK456" i="26"/>
  <c r="BU456" i="26" s="1"/>
  <c r="BV456" i="26" s="1"/>
  <c r="AL456" i="26"/>
  <c r="AL616" i="26"/>
  <c r="BR616" i="26"/>
  <c r="AK616" i="26"/>
  <c r="BU616" i="26" s="1"/>
  <c r="BV616" i="26" s="1"/>
  <c r="BR492" i="26"/>
  <c r="AK492" i="26"/>
  <c r="BU492" i="26" s="1"/>
  <c r="BV492" i="26" s="1"/>
  <c r="AL492" i="26"/>
  <c r="AK225" i="26"/>
  <c r="BU225" i="26" s="1"/>
  <c r="BV225" i="26" s="1"/>
  <c r="AL225" i="26"/>
  <c r="BR225" i="26"/>
  <c r="BR777" i="26"/>
  <c r="AL777" i="26"/>
  <c r="AK777" i="26"/>
  <c r="BU777" i="26" s="1"/>
  <c r="BR725" i="26"/>
  <c r="AL725" i="26"/>
  <c r="AK725" i="26"/>
  <c r="BU725" i="26" s="1"/>
  <c r="BV725" i="26" s="1"/>
  <c r="BR355" i="26"/>
  <c r="AL355" i="26"/>
  <c r="AK355" i="26"/>
  <c r="BU355" i="26" s="1"/>
  <c r="BV355" i="26" s="1"/>
  <c r="BR538" i="26"/>
  <c r="AK538" i="26"/>
  <c r="BU538" i="26" s="1"/>
  <c r="BV538" i="26" s="1"/>
  <c r="AL538" i="26"/>
  <c r="BR381" i="26"/>
  <c r="AK381" i="26"/>
  <c r="BU381" i="26" s="1"/>
  <c r="BV381" i="26" s="1"/>
  <c r="AL381" i="26"/>
  <c r="BR523" i="26"/>
  <c r="AL523" i="26"/>
  <c r="AK523" i="26"/>
  <c r="BU523" i="26" s="1"/>
  <c r="AL322" i="26"/>
  <c r="AK322" i="26"/>
  <c r="BU322" i="26" s="1"/>
  <c r="BV322" i="26" s="1"/>
  <c r="BR322" i="26"/>
  <c r="AJ290" i="26"/>
  <c r="AK15" i="26"/>
  <c r="BU15" i="26" s="1"/>
  <c r="BV15" i="26" s="1"/>
  <c r="BR15" i="26"/>
  <c r="AL15" i="26"/>
  <c r="BR63" i="26"/>
  <c r="AL63" i="26"/>
  <c r="AK63" i="26"/>
  <c r="BU63" i="26" s="1"/>
  <c r="BV63" i="26" s="1"/>
  <c r="BR775" i="26"/>
  <c r="AL775" i="26"/>
  <c r="AK775" i="26"/>
  <c r="BU775" i="26" s="1"/>
  <c r="BV775" i="26" s="1"/>
  <c r="AK327" i="26"/>
  <c r="BU327" i="26" s="1"/>
  <c r="BV327" i="26" s="1"/>
  <c r="AL327" i="26"/>
  <c r="BR327" i="26"/>
  <c r="BR691" i="26"/>
  <c r="AK691" i="26"/>
  <c r="BU691" i="26" s="1"/>
  <c r="BV691" i="26" s="1"/>
  <c r="AL691" i="26"/>
  <c r="AL282" i="26"/>
  <c r="AK282" i="26"/>
  <c r="BU282" i="26" s="1"/>
  <c r="BV282" i="26" s="1"/>
  <c r="BR282" i="26"/>
  <c r="AJ540" i="26" s="1"/>
  <c r="BR62" i="26"/>
  <c r="AK62" i="26"/>
  <c r="BU62" i="26" s="1"/>
  <c r="BV62" i="26" s="1"/>
  <c r="AL62" i="26"/>
  <c r="AJ296" i="26" s="1"/>
  <c r="BR17" i="26"/>
  <c r="AK17" i="26"/>
  <c r="BU17" i="26" s="1"/>
  <c r="BV17" i="26" s="1"/>
  <c r="AL17" i="26"/>
  <c r="BP777" i="26"/>
  <c r="BQ778" i="26"/>
  <c r="BS778" i="26"/>
  <c r="D84" i="25" l="1"/>
  <c r="D83" i="25"/>
  <c r="D86" i="25"/>
  <c r="D88" i="25"/>
  <c r="D85" i="25"/>
  <c r="D87" i="25"/>
  <c r="AL296" i="26"/>
  <c r="BR296" i="26"/>
  <c r="AK296" i="26"/>
  <c r="BU296" i="26" s="1"/>
  <c r="BV296" i="26" s="1"/>
  <c r="AL168" i="26"/>
  <c r="AK168" i="26"/>
  <c r="BU168" i="26" s="1"/>
  <c r="BV168" i="26" s="1"/>
  <c r="BR168" i="26"/>
  <c r="AL632" i="26"/>
  <c r="BR632" i="26"/>
  <c r="BR551" i="26"/>
  <c r="AL551" i="26"/>
  <c r="AL758" i="26"/>
  <c r="BR758" i="26"/>
  <c r="BR794" i="26"/>
  <c r="BT794" i="26" s="1"/>
  <c r="BW794" i="26" s="1"/>
  <c r="AL794" i="26"/>
  <c r="BR166" i="26"/>
  <c r="AL166" i="26"/>
  <c r="AK166" i="26"/>
  <c r="BU166" i="26" s="1"/>
  <c r="BV166" i="26" s="1"/>
  <c r="BR639" i="26"/>
  <c r="AL639" i="26"/>
  <c r="BR147" i="26"/>
  <c r="AL147" i="26"/>
  <c r="BR679" i="26"/>
  <c r="AL679" i="26"/>
  <c r="AK679" i="26"/>
  <c r="BU679" i="26" s="1"/>
  <c r="BV679" i="26" s="1"/>
  <c r="AL791" i="26"/>
  <c r="BR791" i="26"/>
  <c r="BT791" i="26" s="1"/>
  <c r="BW791" i="26" s="1"/>
  <c r="BR754" i="26"/>
  <c r="BT754" i="26" s="1"/>
  <c r="BW754" i="26" s="1"/>
  <c r="AL754" i="26"/>
  <c r="AL562" i="26"/>
  <c r="BR562" i="26"/>
  <c r="BR506" i="26"/>
  <c r="AL506" i="26"/>
  <c r="AL394" i="26"/>
  <c r="BR394" i="26"/>
  <c r="BT394" i="26" s="1"/>
  <c r="BW394" i="26" s="1"/>
  <c r="BR421" i="26"/>
  <c r="AL421" i="26"/>
  <c r="AL780" i="26"/>
  <c r="BR780" i="26"/>
  <c r="BT780" i="26" s="1"/>
  <c r="BW780" i="26" s="1"/>
  <c r="AK772" i="26"/>
  <c r="BU772" i="26" s="1"/>
  <c r="BV772" i="26" s="1"/>
  <c r="AL772" i="26"/>
  <c r="BR772" i="26"/>
  <c r="BR649" i="26"/>
  <c r="AL649" i="26"/>
  <c r="AK614" i="26"/>
  <c r="BU614" i="26" s="1"/>
  <c r="BV614" i="26" s="1"/>
  <c r="BR614" i="26"/>
  <c r="AL614" i="26"/>
  <c r="BR238" i="26"/>
  <c r="AL238" i="26"/>
  <c r="BR573" i="26"/>
  <c r="AK573" i="26"/>
  <c r="BU573" i="26" s="1"/>
  <c r="BV573" i="26" s="1"/>
  <c r="AL573" i="26"/>
  <c r="AK12" i="26"/>
  <c r="BU12" i="26" s="1"/>
  <c r="BV12" i="26" s="1"/>
  <c r="AL12" i="26"/>
  <c r="BR12" i="26"/>
  <c r="F66" i="25"/>
  <c r="E77" i="25"/>
  <c r="AL243" i="26"/>
  <c r="BR243" i="26"/>
  <c r="AL633" i="26"/>
  <c r="BR633" i="26"/>
  <c r="AL640" i="26"/>
  <c r="BR640" i="26"/>
  <c r="BR757" i="26"/>
  <c r="AL757" i="26"/>
  <c r="BR789" i="26"/>
  <c r="BT789" i="26" s="1"/>
  <c r="BW789" i="26" s="1"/>
  <c r="AL789" i="26"/>
  <c r="AK219" i="26"/>
  <c r="BU219" i="26" s="1"/>
  <c r="BV219" i="26" s="1"/>
  <c r="AL219" i="26"/>
  <c r="BR219" i="26"/>
  <c r="BR390" i="26"/>
  <c r="AL390" i="26"/>
  <c r="AK390" i="26"/>
  <c r="BU390" i="26" s="1"/>
  <c r="BR567" i="26"/>
  <c r="AK567" i="26"/>
  <c r="BU567" i="26" s="1"/>
  <c r="BV567" i="26" s="1"/>
  <c r="AL567" i="26"/>
  <c r="AL37" i="26"/>
  <c r="BR37" i="26"/>
  <c r="BR559" i="26"/>
  <c r="AL559" i="26"/>
  <c r="AL677" i="26"/>
  <c r="BR677" i="26"/>
  <c r="AL634" i="26"/>
  <c r="BR634" i="26"/>
  <c r="BR299" i="26"/>
  <c r="AL299" i="26"/>
  <c r="AL512" i="26"/>
  <c r="BR512" i="26"/>
  <c r="BR237" i="26"/>
  <c r="AL237" i="26"/>
  <c r="AK306" i="26"/>
  <c r="BU306" i="26" s="1"/>
  <c r="BV306" i="26" s="1"/>
  <c r="BR306" i="26"/>
  <c r="AL306" i="26"/>
  <c r="BR192" i="26"/>
  <c r="AL192" i="26"/>
  <c r="AK192" i="26"/>
  <c r="BU192" i="26" s="1"/>
  <c r="BV192" i="26" s="1"/>
  <c r="BR293" i="26"/>
  <c r="AL293" i="26"/>
  <c r="BR751" i="26"/>
  <c r="AL751" i="26"/>
  <c r="AK552" i="26"/>
  <c r="BU552" i="26" s="1"/>
  <c r="BR552" i="26"/>
  <c r="AL552" i="26"/>
  <c r="BR205" i="26"/>
  <c r="AK205" i="26"/>
  <c r="BU205" i="26" s="1"/>
  <c r="BV205" i="26" s="1"/>
  <c r="AL205" i="26"/>
  <c r="AL148" i="26"/>
  <c r="AK148" i="26"/>
  <c r="BU148" i="26" s="1"/>
  <c r="BV148" i="26" s="1"/>
  <c r="BR148" i="26"/>
  <c r="AK165" i="26"/>
  <c r="BU165" i="26" s="1"/>
  <c r="BV165" i="26" s="1"/>
  <c r="BR165" i="26"/>
  <c r="AL165" i="26"/>
  <c r="AL386" i="26"/>
  <c r="BR386" i="26"/>
  <c r="AL471" i="26"/>
  <c r="BR471" i="26"/>
  <c r="AL636" i="26"/>
  <c r="BR636" i="26"/>
  <c r="AL405" i="26"/>
  <c r="BR405" i="26"/>
  <c r="AL182" i="26"/>
  <c r="AK182" i="26"/>
  <c r="BU182" i="26" s="1"/>
  <c r="BV182" i="26" s="1"/>
  <c r="BR182" i="26"/>
  <c r="AK233" i="26"/>
  <c r="BU233" i="26" s="1"/>
  <c r="BV233" i="26" s="1"/>
  <c r="BR233" i="26"/>
  <c r="AL233" i="26"/>
  <c r="BR663" i="26"/>
  <c r="AK663" i="26"/>
  <c r="BU663" i="26" s="1"/>
  <c r="BV663" i="26" s="1"/>
  <c r="AL663" i="26"/>
  <c r="AL759" i="26"/>
  <c r="BR759" i="26"/>
  <c r="BR641" i="26"/>
  <c r="AL641" i="26"/>
  <c r="BR245" i="26"/>
  <c r="AL245" i="26"/>
  <c r="BR795" i="26"/>
  <c r="BT795" i="26" s="1"/>
  <c r="BW795" i="26" s="1"/>
  <c r="AL795" i="26"/>
  <c r="AL417" i="26"/>
  <c r="BR417" i="26"/>
  <c r="BR158" i="26"/>
  <c r="AK158" i="26"/>
  <c r="BU158" i="26" s="1"/>
  <c r="BV158" i="26" s="1"/>
  <c r="AL158" i="26"/>
  <c r="BR155" i="26"/>
  <c r="AK155" i="26"/>
  <c r="BU155" i="26" s="1"/>
  <c r="BV155" i="26" s="1"/>
  <c r="AL155" i="26"/>
  <c r="BR753" i="26"/>
  <c r="BT753" i="26" s="1"/>
  <c r="BW753" i="26" s="1"/>
  <c r="AL753" i="26"/>
  <c r="AL553" i="26"/>
  <c r="BR553" i="26"/>
  <c r="BR540" i="26"/>
  <c r="BT540" i="26" s="1"/>
  <c r="BW540" i="26" s="1"/>
  <c r="AL540" i="26"/>
  <c r="AK540" i="26"/>
  <c r="BU540" i="26" s="1"/>
  <c r="BV540" i="26" s="1"/>
  <c r="AL778" i="26"/>
  <c r="BR778" i="26"/>
  <c r="BT778" i="26" s="1"/>
  <c r="BW778" i="26" s="1"/>
  <c r="AL462" i="26"/>
  <c r="BR462" i="26"/>
  <c r="AL531" i="26"/>
  <c r="BR531" i="26"/>
  <c r="BR796" i="26"/>
  <c r="BT796" i="26" s="1"/>
  <c r="BW796" i="26" s="1"/>
  <c r="AL796" i="26"/>
  <c r="BR271" i="26"/>
  <c r="AK271" i="26"/>
  <c r="BU271" i="26" s="1"/>
  <c r="BV271" i="26" s="1"/>
  <c r="AL271" i="26"/>
  <c r="BR655" i="26"/>
  <c r="AL655" i="26"/>
  <c r="BR650" i="26"/>
  <c r="AL650" i="26"/>
  <c r="AL556" i="26"/>
  <c r="BR556" i="26"/>
  <c r="BR178" i="26"/>
  <c r="AL178" i="26"/>
  <c r="BR161" i="26"/>
  <c r="AK161" i="26"/>
  <c r="BU161" i="26" s="1"/>
  <c r="BV161" i="26" s="1"/>
  <c r="AL161" i="26"/>
  <c r="AL545" i="26"/>
  <c r="BR545" i="26"/>
  <c r="AL680" i="26"/>
  <c r="BR680" i="26"/>
  <c r="BT680" i="26" s="1"/>
  <c r="BW680" i="26" s="1"/>
  <c r="BR654" i="26"/>
  <c r="AL654" i="26"/>
  <c r="AL507" i="26"/>
  <c r="BR507" i="26"/>
  <c r="BR115" i="26"/>
  <c r="AL115" i="26"/>
  <c r="BR688" i="26"/>
  <c r="BT688" i="26" s="1"/>
  <c r="BW688" i="26" s="1"/>
  <c r="AL688" i="26"/>
  <c r="AK688" i="26"/>
  <c r="BU688" i="26" s="1"/>
  <c r="BV688" i="26" s="1"/>
  <c r="BR527" i="26"/>
  <c r="AL527" i="26"/>
  <c r="AK527" i="26"/>
  <c r="BU527" i="26" s="1"/>
  <c r="AL647" i="26"/>
  <c r="BR647" i="26"/>
  <c r="BR732" i="26"/>
  <c r="AL732" i="26"/>
  <c r="AL241" i="26"/>
  <c r="AK241" i="26"/>
  <c r="BU241" i="26" s="1"/>
  <c r="BV241" i="26" s="1"/>
  <c r="BR241" i="26"/>
  <c r="AL162" i="26"/>
  <c r="BR162" i="26"/>
  <c r="AL788" i="26"/>
  <c r="BR788" i="26"/>
  <c r="BT788" i="26" s="1"/>
  <c r="BW788" i="26" s="1"/>
  <c r="BR652" i="26"/>
  <c r="AL652" i="26"/>
  <c r="BR246" i="26"/>
  <c r="AL246" i="26"/>
  <c r="BR146" i="26"/>
  <c r="AL146" i="26"/>
  <c r="BR626" i="26"/>
  <c r="AL626" i="26"/>
  <c r="BR516" i="26"/>
  <c r="AL516" i="26"/>
  <c r="AL692" i="26"/>
  <c r="BR692" i="26"/>
  <c r="BR393" i="26"/>
  <c r="AL393" i="26"/>
  <c r="AK393" i="26"/>
  <c r="BU393" i="26" s="1"/>
  <c r="BV393" i="26" s="1"/>
  <c r="BR315" i="26"/>
  <c r="AL315" i="26"/>
  <c r="AK315" i="26"/>
  <c r="BU315" i="26" s="1"/>
  <c r="BV315" i="26" s="1"/>
  <c r="BR756" i="26"/>
  <c r="AL756" i="26"/>
  <c r="BR501" i="26"/>
  <c r="AK501" i="26"/>
  <c r="BU501" i="26" s="1"/>
  <c r="BV501" i="26" s="1"/>
  <c r="AL501" i="26"/>
  <c r="AK739" i="26"/>
  <c r="BU739" i="26" s="1"/>
  <c r="BV739" i="26" s="1"/>
  <c r="AL739" i="26"/>
  <c r="BR739" i="26"/>
  <c r="BR398" i="26"/>
  <c r="AL398" i="26"/>
  <c r="BR534" i="26"/>
  <c r="AK534" i="26"/>
  <c r="BU534" i="26" s="1"/>
  <c r="BV534" i="26" s="1"/>
  <c r="AL534" i="26"/>
  <c r="AL145" i="26"/>
  <c r="BR145" i="26"/>
  <c r="AK145" i="26"/>
  <c r="BU145" i="26" s="1"/>
  <c r="AL401" i="26"/>
  <c r="BR401" i="26"/>
  <c r="BR642" i="26"/>
  <c r="AL642" i="26"/>
  <c r="BR346" i="26"/>
  <c r="BT346" i="26" s="1"/>
  <c r="BW346" i="26" s="1"/>
  <c r="AL346" i="26"/>
  <c r="AK363" i="26"/>
  <c r="BU363" i="26" s="1"/>
  <c r="BV363" i="26" s="1"/>
  <c r="BR363" i="26"/>
  <c r="AL363" i="26"/>
  <c r="BR790" i="26"/>
  <c r="BT790" i="26" s="1"/>
  <c r="BW790" i="26" s="1"/>
  <c r="AL790" i="26"/>
  <c r="AL624" i="26"/>
  <c r="BR624" i="26"/>
  <c r="BR404" i="26"/>
  <c r="AL404" i="26"/>
  <c r="AK700" i="26"/>
  <c r="BU700" i="26" s="1"/>
  <c r="BV700" i="26" s="1"/>
  <c r="BR700" i="26"/>
  <c r="AL700" i="26"/>
  <c r="BR550" i="26"/>
  <c r="AL550" i="26"/>
  <c r="AL755" i="26"/>
  <c r="BR755" i="26"/>
  <c r="BT755" i="26" s="1"/>
  <c r="BW755" i="26" s="1"/>
  <c r="BR376" i="26"/>
  <c r="AL376" i="26"/>
  <c r="AK376" i="26"/>
  <c r="BU376" i="26" s="1"/>
  <c r="BV376" i="26" s="1"/>
  <c r="BR156" i="26"/>
  <c r="AL156" i="26"/>
  <c r="AK156" i="26"/>
  <c r="BU156" i="26" s="1"/>
  <c r="BV156" i="26" s="1"/>
  <c r="BR701" i="26"/>
  <c r="AK701" i="26"/>
  <c r="BU701" i="26" s="1"/>
  <c r="BV701" i="26" s="1"/>
  <c r="AL701" i="26"/>
  <c r="AK197" i="26"/>
  <c r="BU197" i="26" s="1"/>
  <c r="BR197" i="26"/>
  <c r="AL197" i="26"/>
  <c r="BR670" i="26"/>
  <c r="AL670" i="26"/>
  <c r="BP769" i="26"/>
  <c r="BQ777" i="26"/>
  <c r="BV777" i="26" s="1"/>
  <c r="BS777" i="26"/>
  <c r="BT777" i="26" s="1"/>
  <c r="BW777" i="26" s="1"/>
  <c r="AL159" i="26"/>
  <c r="BR159" i="26"/>
  <c r="BR781" i="26"/>
  <c r="BT781" i="26" s="1"/>
  <c r="BW781" i="26" s="1"/>
  <c r="AL781" i="26"/>
  <c r="AL569" i="26"/>
  <c r="BR569" i="26"/>
  <c r="AL685" i="26"/>
  <c r="BR685" i="26"/>
  <c r="BT685" i="26" s="1"/>
  <c r="BW685" i="26" s="1"/>
  <c r="AK685" i="26"/>
  <c r="BU685" i="26" s="1"/>
  <c r="BV685" i="26" s="1"/>
  <c r="BR544" i="26"/>
  <c r="AL544" i="26"/>
  <c r="BR422" i="26"/>
  <c r="AL422" i="26"/>
  <c r="AL314" i="26"/>
  <c r="BR314" i="26"/>
  <c r="AK314" i="26"/>
  <c r="BU314" i="26" s="1"/>
  <c r="BV314" i="26" s="1"/>
  <c r="AL646" i="26"/>
  <c r="BR646" i="26"/>
  <c r="BR525" i="26"/>
  <c r="AL525" i="26"/>
  <c r="AL141" i="26"/>
  <c r="BR141" i="26"/>
  <c r="BR628" i="26"/>
  <c r="AK628" i="26"/>
  <c r="BU628" i="26" s="1"/>
  <c r="BV628" i="26" s="1"/>
  <c r="AL628" i="26"/>
  <c r="BR792" i="26"/>
  <c r="BT792" i="26" s="1"/>
  <c r="BW792" i="26" s="1"/>
  <c r="AL792" i="26"/>
  <c r="AL464" i="26"/>
  <c r="BR464" i="26"/>
  <c r="AL189" i="26"/>
  <c r="BR189" i="26"/>
  <c r="BT189" i="26" s="1"/>
  <c r="BW189" i="26" s="1"/>
  <c r="BR548" i="26"/>
  <c r="AL548" i="26"/>
  <c r="BR643" i="26"/>
  <c r="AL643" i="26"/>
  <c r="AL712" i="26"/>
  <c r="BR712" i="26"/>
  <c r="BR247" i="26"/>
  <c r="AL247" i="26"/>
  <c r="BR290" i="26"/>
  <c r="BT290" i="26" s="1"/>
  <c r="BW290" i="26" s="1"/>
  <c r="AL290" i="26"/>
  <c r="BR511" i="26"/>
  <c r="AL511" i="26"/>
  <c r="AL752" i="26"/>
  <c r="BR752" i="26"/>
  <c r="AK218" i="26"/>
  <c r="BU218" i="26" s="1"/>
  <c r="BV218" i="26" s="1"/>
  <c r="BR218" i="26"/>
  <c r="AL218" i="26"/>
  <c r="AL505" i="26"/>
  <c r="BR505" i="26"/>
  <c r="BR542" i="26"/>
  <c r="AL542" i="26"/>
  <c r="BR254" i="26"/>
  <c r="AL254" i="26"/>
  <c r="AK215" i="26"/>
  <c r="BU215" i="26" s="1"/>
  <c r="BV215" i="26" s="1"/>
  <c r="AL215" i="26"/>
  <c r="BR215" i="26"/>
  <c r="AK295" i="26"/>
  <c r="BU295" i="26" s="1"/>
  <c r="BV295" i="26" s="1"/>
  <c r="BR295" i="26"/>
  <c r="AL295" i="26"/>
  <c r="BR560" i="26"/>
  <c r="AL560" i="26"/>
  <c r="BR793" i="26"/>
  <c r="BT793" i="26" s="1"/>
  <c r="BW793" i="26" s="1"/>
  <c r="AL793" i="26"/>
  <c r="BR653" i="26"/>
  <c r="D89" i="25" l="1"/>
  <c r="BS4" i="26"/>
  <c r="BP759" i="26"/>
  <c r="BS769" i="26"/>
  <c r="BT769" i="26" s="1"/>
  <c r="BW769" i="26" s="1"/>
  <c r="BQ769" i="26"/>
  <c r="BV769" i="26" s="1"/>
  <c r="E88" i="25" l="1"/>
  <c r="E84" i="25"/>
  <c r="E83" i="25"/>
  <c r="E85" i="25"/>
  <c r="E87" i="25"/>
  <c r="E86" i="25"/>
  <c r="BP758" i="26"/>
  <c r="BS759" i="26"/>
  <c r="BT759" i="26" s="1"/>
  <c r="BW759" i="26" s="1"/>
  <c r="BQ759" i="26"/>
  <c r="E89" i="25" l="1"/>
  <c r="BP757" i="26"/>
  <c r="BQ758" i="26"/>
  <c r="BS758" i="26"/>
  <c r="BT758" i="26" s="1"/>
  <c r="BW758" i="26" s="1"/>
  <c r="BP756" i="26" l="1"/>
  <c r="BQ757" i="26"/>
  <c r="BS757" i="26"/>
  <c r="BT757" i="26" s="1"/>
  <c r="BW757" i="26" s="1"/>
  <c r="BP752" i="26" l="1"/>
  <c r="BQ756" i="26"/>
  <c r="BS756" i="26"/>
  <c r="BT756" i="26" s="1"/>
  <c r="BW756" i="26" s="1"/>
  <c r="BP751" i="26" l="1"/>
  <c r="BQ752" i="26"/>
  <c r="BS752" i="26"/>
  <c r="BT752" i="26" s="1"/>
  <c r="BW752" i="26" s="1"/>
  <c r="BP732" i="26" l="1"/>
  <c r="BQ751" i="26"/>
  <c r="BS751" i="26"/>
  <c r="BT751" i="26" s="1"/>
  <c r="BW751" i="26" s="1"/>
  <c r="BP712" i="26" l="1"/>
  <c r="BQ732" i="26"/>
  <c r="BS732" i="26"/>
  <c r="BT732" i="26" s="1"/>
  <c r="BW732" i="26" s="1"/>
  <c r="BP705" i="26" l="1"/>
  <c r="BQ712" i="26"/>
  <c r="BS712" i="26"/>
  <c r="BT712" i="26" s="1"/>
  <c r="BW712" i="26" s="1"/>
  <c r="BP692" i="26" l="1"/>
  <c r="BQ705" i="26"/>
  <c r="BV705" i="26" s="1"/>
  <c r="BS705" i="26"/>
  <c r="BT705" i="26" s="1"/>
  <c r="BW705" i="26" s="1"/>
  <c r="BP690" i="26" l="1"/>
  <c r="BQ692" i="26"/>
  <c r="BS692" i="26"/>
  <c r="BT692" i="26" s="1"/>
  <c r="BW692" i="26" s="1"/>
  <c r="BP686" i="26" l="1"/>
  <c r="BS690" i="26"/>
  <c r="BT690" i="26" s="1"/>
  <c r="BW690" i="26" s="1"/>
  <c r="BQ690" i="26"/>
  <c r="BV690" i="26" s="1"/>
  <c r="BP677" i="26" l="1"/>
  <c r="BQ686" i="26"/>
  <c r="BV686" i="26" s="1"/>
  <c r="BS686" i="26"/>
  <c r="BT686" i="26" s="1"/>
  <c r="BW686" i="26" s="1"/>
  <c r="BP675" i="26" l="1"/>
  <c r="BQ677" i="26"/>
  <c r="BS677" i="26"/>
  <c r="BT677" i="26" s="1"/>
  <c r="BW677" i="26" s="1"/>
  <c r="BP671" i="26" l="1"/>
  <c r="BQ675" i="26"/>
  <c r="BV675" i="26" s="1"/>
  <c r="BS675" i="26"/>
  <c r="BT675" i="26" s="1"/>
  <c r="BW675" i="26" s="1"/>
  <c r="BP670" i="26" l="1"/>
  <c r="BQ671" i="26"/>
  <c r="BV671" i="26" s="1"/>
  <c r="BS671" i="26"/>
  <c r="BT671" i="26" s="1"/>
  <c r="BW671" i="26" s="1"/>
  <c r="BP662" i="26" l="1"/>
  <c r="BQ670" i="26"/>
  <c r="BS670" i="26"/>
  <c r="BT670" i="26" s="1"/>
  <c r="BW670" i="26" s="1"/>
  <c r="BP655" i="26" l="1"/>
  <c r="BQ662" i="26"/>
  <c r="BV662" i="26" s="1"/>
  <c r="BS662" i="26"/>
  <c r="BT662" i="26" s="1"/>
  <c r="BW662" i="26" s="1"/>
  <c r="BP654" i="26" l="1"/>
  <c r="BQ655" i="26"/>
  <c r="BS655" i="26"/>
  <c r="BT655" i="26" s="1"/>
  <c r="BW655" i="26" s="1"/>
  <c r="BP653" i="26" l="1"/>
  <c r="BQ654" i="26"/>
  <c r="BS654" i="26"/>
  <c r="BT654" i="26" s="1"/>
  <c r="BW654" i="26" s="1"/>
  <c r="BP652" i="26" l="1"/>
  <c r="BS653" i="26"/>
  <c r="BT653" i="26" s="1"/>
  <c r="BW653" i="26" s="1"/>
  <c r="BQ653" i="26"/>
  <c r="BP650" i="26" l="1"/>
  <c r="BS652" i="26"/>
  <c r="BT652" i="26" s="1"/>
  <c r="BW652" i="26" s="1"/>
  <c r="BQ652" i="26"/>
  <c r="BP649" i="26" l="1"/>
  <c r="BQ650" i="26"/>
  <c r="BS650" i="26"/>
  <c r="BT650" i="26" s="1"/>
  <c r="BW650" i="26" s="1"/>
  <c r="BP647" i="26" l="1"/>
  <c r="BQ649" i="26"/>
  <c r="BS649" i="26"/>
  <c r="BT649" i="26" s="1"/>
  <c r="BW649" i="26" s="1"/>
  <c r="BP646" i="26" l="1"/>
  <c r="BQ647" i="26"/>
  <c r="BS647" i="26"/>
  <c r="BT647" i="26" s="1"/>
  <c r="BW647" i="26" s="1"/>
  <c r="BP643" i="26" l="1"/>
  <c r="BQ646" i="26"/>
  <c r="BS646" i="26"/>
  <c r="BT646" i="26" s="1"/>
  <c r="BW646" i="26" s="1"/>
  <c r="BP642" i="26" l="1"/>
  <c r="BQ643" i="26"/>
  <c r="BS643" i="26"/>
  <c r="BT643" i="26" s="1"/>
  <c r="BW643" i="26" s="1"/>
  <c r="BP641" i="26" l="1"/>
  <c r="BQ642" i="26"/>
  <c r="BS642" i="26"/>
  <c r="BT642" i="26" s="1"/>
  <c r="BW642" i="26" s="1"/>
  <c r="BP640" i="26" l="1"/>
  <c r="BQ641" i="26"/>
  <c r="BS641" i="26"/>
  <c r="BT641" i="26" s="1"/>
  <c r="BW641" i="26" s="1"/>
  <c r="BP639" i="26" l="1"/>
  <c r="BS640" i="26"/>
  <c r="BT640" i="26" s="1"/>
  <c r="BW640" i="26" s="1"/>
  <c r="BQ640" i="26"/>
  <c r="BP638" i="26" l="1"/>
  <c r="BQ639" i="26"/>
  <c r="BS639" i="26"/>
  <c r="BT639" i="26" s="1"/>
  <c r="BW639" i="26" s="1"/>
  <c r="BP637" i="26" l="1"/>
  <c r="BQ638" i="26"/>
  <c r="BV638" i="26" s="1"/>
  <c r="BS638" i="26"/>
  <c r="BT638" i="26" s="1"/>
  <c r="BW638" i="26" s="1"/>
  <c r="BP636" i="26" l="1"/>
  <c r="BQ637" i="26"/>
  <c r="BV637" i="26" s="1"/>
  <c r="BS637" i="26"/>
  <c r="BT637" i="26" s="1"/>
  <c r="BW637" i="26" s="1"/>
  <c r="BP634" i="26" l="1"/>
  <c r="BQ636" i="26"/>
  <c r="BS636" i="26"/>
  <c r="BT636" i="26" s="1"/>
  <c r="BW636" i="26" s="1"/>
  <c r="BP633" i="26" l="1"/>
  <c r="BQ634" i="26"/>
  <c r="BS634" i="26"/>
  <c r="BT634" i="26" s="1"/>
  <c r="BW634" i="26" s="1"/>
  <c r="BP632" i="26" l="1"/>
  <c r="BS633" i="26"/>
  <c r="BT633" i="26" s="1"/>
  <c r="BW633" i="26" s="1"/>
  <c r="BQ633" i="26"/>
  <c r="BP626" i="26" l="1"/>
  <c r="BQ632" i="26"/>
  <c r="BS632" i="26"/>
  <c r="BT632" i="26" s="1"/>
  <c r="BW632" i="26" s="1"/>
  <c r="BP624" i="26" l="1"/>
  <c r="BQ626" i="26"/>
  <c r="BS626" i="26"/>
  <c r="BT626" i="26" s="1"/>
  <c r="BW626" i="26" s="1"/>
  <c r="BP622" i="26" l="1"/>
  <c r="BQ624" i="26"/>
  <c r="BS624" i="26"/>
  <c r="BT624" i="26" s="1"/>
  <c r="BW624" i="26" s="1"/>
  <c r="BP569" i="26" l="1"/>
  <c r="BS622" i="26"/>
  <c r="BT622" i="26" s="1"/>
  <c r="BW622" i="26" s="1"/>
  <c r="BQ622" i="26"/>
  <c r="BV622" i="26" s="1"/>
  <c r="BP562" i="26" l="1"/>
  <c r="BS569" i="26"/>
  <c r="BT569" i="26" s="1"/>
  <c r="BW569" i="26" s="1"/>
  <c r="BQ569" i="26"/>
  <c r="BP560" i="26" l="1"/>
  <c r="BQ562" i="26"/>
  <c r="BS562" i="26"/>
  <c r="BT562" i="26" s="1"/>
  <c r="BW562" i="26" s="1"/>
  <c r="BP559" i="26" l="1"/>
  <c r="BS560" i="26"/>
  <c r="BT560" i="26" s="1"/>
  <c r="BW560" i="26" s="1"/>
  <c r="BQ560" i="26"/>
  <c r="BP558" i="26" l="1"/>
  <c r="BQ559" i="26"/>
  <c r="BS559" i="26"/>
  <c r="BT559" i="26" s="1"/>
  <c r="BW559" i="26" s="1"/>
  <c r="BP557" i="26" l="1"/>
  <c r="BS558" i="26"/>
  <c r="BT558" i="26" s="1"/>
  <c r="BW558" i="26" s="1"/>
  <c r="BQ558" i="26"/>
  <c r="BV558" i="26" s="1"/>
  <c r="BP556" i="26" l="1"/>
  <c r="BQ557" i="26"/>
  <c r="BV557" i="26" s="1"/>
  <c r="BS557" i="26"/>
  <c r="BT557" i="26" s="1"/>
  <c r="BW557" i="26" s="1"/>
  <c r="BP555" i="26" l="1"/>
  <c r="BQ556" i="26"/>
  <c r="BS556" i="26"/>
  <c r="BT556" i="26" s="1"/>
  <c r="BW556" i="26" s="1"/>
  <c r="BP554" i="26" l="1"/>
  <c r="BQ555" i="26"/>
  <c r="BV555" i="26" s="1"/>
  <c r="BS555" i="26"/>
  <c r="BT555" i="26" s="1"/>
  <c r="BW555" i="26" s="1"/>
  <c r="BP553" i="26" l="1"/>
  <c r="BS554" i="26"/>
  <c r="BT554" i="26" s="1"/>
  <c r="BW554" i="26" s="1"/>
  <c r="BQ554" i="26"/>
  <c r="BV554" i="26" s="1"/>
  <c r="BP552" i="26" l="1"/>
  <c r="BQ553" i="26"/>
  <c r="BS553" i="26"/>
  <c r="BT553" i="26" s="1"/>
  <c r="BW553" i="26" s="1"/>
  <c r="BP551" i="26" l="1"/>
  <c r="BS552" i="26"/>
  <c r="BT552" i="26" s="1"/>
  <c r="BW552" i="26" s="1"/>
  <c r="BQ552" i="26"/>
  <c r="BV552" i="26" s="1"/>
  <c r="BP550" i="26" l="1"/>
  <c r="BQ551" i="26"/>
  <c r="BS551" i="26"/>
  <c r="BT551" i="26" s="1"/>
  <c r="BW551" i="26" s="1"/>
  <c r="BP548" i="26" l="1"/>
  <c r="BQ550" i="26"/>
  <c r="BS550" i="26"/>
  <c r="BT550" i="26" s="1"/>
  <c r="BW550" i="26" s="1"/>
  <c r="BP545" i="26" l="1"/>
  <c r="BQ548" i="26"/>
  <c r="BS548" i="26"/>
  <c r="BT548" i="26" s="1"/>
  <c r="BW548" i="26" s="1"/>
  <c r="BP544" i="26" l="1"/>
  <c r="BQ545" i="26"/>
  <c r="BS545" i="26"/>
  <c r="BT545" i="26" s="1"/>
  <c r="BW545" i="26" s="1"/>
  <c r="BP543" i="26" l="1"/>
  <c r="BQ544" i="26"/>
  <c r="BS544" i="26"/>
  <c r="BT544" i="26" s="1"/>
  <c r="BW544" i="26" s="1"/>
  <c r="BP542" i="26" l="1"/>
  <c r="BQ543" i="26"/>
  <c r="BV543" i="26" s="1"/>
  <c r="BS543" i="26"/>
  <c r="BT543" i="26" s="1"/>
  <c r="BW543" i="26" s="1"/>
  <c r="BP532" i="26" l="1"/>
  <c r="BQ542" i="26"/>
  <c r="BS542" i="26"/>
  <c r="BT542" i="26" s="1"/>
  <c r="BW542" i="26" s="1"/>
  <c r="BP531" i="26" l="1"/>
  <c r="BQ532" i="26"/>
  <c r="BV532" i="26" s="1"/>
  <c r="BS532" i="26"/>
  <c r="BT532" i="26" s="1"/>
  <c r="BW532" i="26" s="1"/>
  <c r="BP530" i="26" l="1"/>
  <c r="BQ531" i="26"/>
  <c r="BS531" i="26"/>
  <c r="BT531" i="26" s="1"/>
  <c r="BW531" i="26" s="1"/>
  <c r="BP528" i="26" l="1"/>
  <c r="BQ530" i="26"/>
  <c r="BV530" i="26" s="1"/>
  <c r="BS530" i="26"/>
  <c r="BT530" i="26" s="1"/>
  <c r="BW530" i="26" s="1"/>
  <c r="BP527" i="26" l="1"/>
  <c r="BQ528" i="26"/>
  <c r="BV528" i="26" s="1"/>
  <c r="BS528" i="26"/>
  <c r="BT528" i="26" s="1"/>
  <c r="BW528" i="26" s="1"/>
  <c r="BP525" i="26" l="1"/>
  <c r="BS527" i="26"/>
  <c r="BT527" i="26" s="1"/>
  <c r="BW527" i="26" s="1"/>
  <c r="BQ527" i="26"/>
  <c r="BV527" i="26" s="1"/>
  <c r="BP523" i="26" l="1"/>
  <c r="BQ525" i="26"/>
  <c r="BS525" i="26"/>
  <c r="BT525" i="26" s="1"/>
  <c r="BW525" i="26" s="1"/>
  <c r="BP517" i="26" l="1"/>
  <c r="BQ523" i="26"/>
  <c r="BV523" i="26" s="1"/>
  <c r="BS523" i="26"/>
  <c r="BT523" i="26" s="1"/>
  <c r="BW523" i="26" s="1"/>
  <c r="BP516" i="26" l="1"/>
  <c r="BQ517" i="26"/>
  <c r="BV517" i="26" s="1"/>
  <c r="BS517" i="26"/>
  <c r="BT517" i="26" s="1"/>
  <c r="BW517" i="26" s="1"/>
  <c r="BP513" i="26" l="1"/>
  <c r="BQ516" i="26"/>
  <c r="BS516" i="26"/>
  <c r="BT516" i="26" s="1"/>
  <c r="BW516" i="26" s="1"/>
  <c r="BP512" i="26" l="1"/>
  <c r="BS513" i="26"/>
  <c r="BT513" i="26" s="1"/>
  <c r="BW513" i="26" s="1"/>
  <c r="BQ513" i="26"/>
  <c r="BV513" i="26" s="1"/>
  <c r="BP511" i="26" l="1"/>
  <c r="BS512" i="26"/>
  <c r="BT512" i="26" s="1"/>
  <c r="BW512" i="26" s="1"/>
  <c r="BQ512" i="26"/>
  <c r="BP510" i="26" l="1"/>
  <c r="BQ511" i="26"/>
  <c r="BS511" i="26"/>
  <c r="BT511" i="26" s="1"/>
  <c r="BW511" i="26" s="1"/>
  <c r="BP508" i="26" l="1"/>
  <c r="BS510" i="26"/>
  <c r="BT510" i="26" s="1"/>
  <c r="BW510" i="26" s="1"/>
  <c r="BQ510" i="26"/>
  <c r="BV510" i="26" s="1"/>
  <c r="BP507" i="26" l="1"/>
  <c r="BQ508" i="26"/>
  <c r="BV508" i="26" s="1"/>
  <c r="BS508" i="26"/>
  <c r="BT508" i="26" s="1"/>
  <c r="BW508" i="26" s="1"/>
  <c r="BP506" i="26" l="1"/>
  <c r="BQ507" i="26"/>
  <c r="BS507" i="26"/>
  <c r="BT507" i="26" s="1"/>
  <c r="BW507" i="26" s="1"/>
  <c r="BP505" i="26" l="1"/>
  <c r="BQ506" i="26"/>
  <c r="BS506" i="26"/>
  <c r="BT506" i="26" s="1"/>
  <c r="BW506" i="26" s="1"/>
  <c r="BP471" i="26" l="1"/>
  <c r="BQ505" i="26"/>
  <c r="BS505" i="26"/>
  <c r="BT505" i="26" s="1"/>
  <c r="BW505" i="26" s="1"/>
  <c r="BP469" i="26" l="1"/>
  <c r="BQ471" i="26"/>
  <c r="BS471" i="26"/>
  <c r="BT471" i="26" s="1"/>
  <c r="BW471" i="26" s="1"/>
  <c r="BP464" i="26" l="1"/>
  <c r="BQ469" i="26"/>
  <c r="BV469" i="26" s="1"/>
  <c r="BS469" i="26"/>
  <c r="BT469" i="26" s="1"/>
  <c r="BW469" i="26" s="1"/>
  <c r="BP462" i="26" l="1"/>
  <c r="BQ464" i="26"/>
  <c r="BS464" i="26"/>
  <c r="BT464" i="26" s="1"/>
  <c r="BW464" i="26" s="1"/>
  <c r="BP434" i="26" l="1"/>
  <c r="BQ462" i="26"/>
  <c r="BS462" i="26"/>
  <c r="BT462" i="26" s="1"/>
  <c r="BW462" i="26" s="1"/>
  <c r="BP430" i="26" l="1"/>
  <c r="BQ434" i="26"/>
  <c r="BV434" i="26" s="1"/>
  <c r="BS434" i="26"/>
  <c r="BT434" i="26" s="1"/>
  <c r="BW434" i="26" s="1"/>
  <c r="BP423" i="26" l="1"/>
  <c r="BQ430" i="26"/>
  <c r="BV430" i="26" s="1"/>
  <c r="BS430" i="26"/>
  <c r="BT430" i="26" s="1"/>
  <c r="BW430" i="26" s="1"/>
  <c r="BP422" i="26" l="1"/>
  <c r="BQ423" i="26"/>
  <c r="BV423" i="26" s="1"/>
  <c r="BS423" i="26"/>
  <c r="BT423" i="26" s="1"/>
  <c r="BW423" i="26" s="1"/>
  <c r="BP421" i="26" l="1"/>
  <c r="BQ422" i="26"/>
  <c r="BS422" i="26"/>
  <c r="BT422" i="26" s="1"/>
  <c r="BW422" i="26" s="1"/>
  <c r="BP417" i="26" l="1"/>
  <c r="BS421" i="26"/>
  <c r="BT421" i="26" s="1"/>
  <c r="BW421" i="26" s="1"/>
  <c r="BQ421" i="26"/>
  <c r="BP405" i="26" l="1"/>
  <c r="BS417" i="26"/>
  <c r="BT417" i="26" s="1"/>
  <c r="BW417" i="26" s="1"/>
  <c r="BQ417" i="26"/>
  <c r="BP404" i="26" l="1"/>
  <c r="BQ405" i="26"/>
  <c r="BS405" i="26"/>
  <c r="BT405" i="26" s="1"/>
  <c r="BW405" i="26" s="1"/>
  <c r="BP401" i="26" l="1"/>
  <c r="BQ404" i="26"/>
  <c r="BS404" i="26"/>
  <c r="BT404" i="26" s="1"/>
  <c r="BW404" i="26" s="1"/>
  <c r="BP398" i="26" l="1"/>
  <c r="BQ401" i="26"/>
  <c r="BS401" i="26"/>
  <c r="BT401" i="26" s="1"/>
  <c r="BW401" i="26" s="1"/>
  <c r="BP392" i="26" l="1"/>
  <c r="BS398" i="26"/>
  <c r="BT398" i="26" s="1"/>
  <c r="BW398" i="26" s="1"/>
  <c r="BQ398" i="26"/>
  <c r="BP390" i="26" l="1"/>
  <c r="BQ392" i="26"/>
  <c r="BV392" i="26" s="1"/>
  <c r="BS392" i="26"/>
  <c r="BT392" i="26" s="1"/>
  <c r="BW392" i="26" s="1"/>
  <c r="BP386" i="26" l="1"/>
  <c r="BQ390" i="26"/>
  <c r="BV390" i="26" s="1"/>
  <c r="BS390" i="26"/>
  <c r="BT390" i="26" s="1"/>
  <c r="BW390" i="26" s="1"/>
  <c r="BP338" i="26" l="1"/>
  <c r="BQ386" i="26"/>
  <c r="BS386" i="26"/>
  <c r="BT386" i="26" s="1"/>
  <c r="BW386" i="26" s="1"/>
  <c r="BP299" i="26" l="1"/>
  <c r="BQ338" i="26"/>
  <c r="BV338" i="26" s="1"/>
  <c r="BS338" i="26"/>
  <c r="BT338" i="26" s="1"/>
  <c r="BW338" i="26" s="1"/>
  <c r="BP294" i="26" l="1"/>
  <c r="BQ299" i="26"/>
  <c r="BS299" i="26"/>
  <c r="BT299" i="26" s="1"/>
  <c r="BW299" i="26" s="1"/>
  <c r="BP293" i="26" l="1"/>
  <c r="BQ294" i="26"/>
  <c r="BV294" i="26" s="1"/>
  <c r="BS294" i="26"/>
  <c r="BT294" i="26" s="1"/>
  <c r="BW294" i="26" s="1"/>
  <c r="BP292" i="26" l="1"/>
  <c r="BQ293" i="26"/>
  <c r="BS293" i="26"/>
  <c r="BT293" i="26" s="1"/>
  <c r="BW293" i="26" s="1"/>
  <c r="BP267" i="26" l="1"/>
  <c r="BS292" i="26"/>
  <c r="BT292" i="26" s="1"/>
  <c r="BW292" i="26" s="1"/>
  <c r="BQ292" i="26"/>
  <c r="BV292" i="26" s="1"/>
  <c r="BP256" i="26" l="1"/>
  <c r="BS267" i="26"/>
  <c r="BT267" i="26" s="1"/>
  <c r="BW267" i="26" s="1"/>
  <c r="BQ267" i="26"/>
  <c r="BV267" i="26" s="1"/>
  <c r="BP254" i="26" l="1"/>
  <c r="BQ256" i="26"/>
  <c r="BV256" i="26" s="1"/>
  <c r="BS256" i="26"/>
  <c r="BT256" i="26" s="1"/>
  <c r="BW256" i="26" s="1"/>
  <c r="BP247" i="26" l="1"/>
  <c r="BS254" i="26"/>
  <c r="BT254" i="26" s="1"/>
  <c r="BW254" i="26" s="1"/>
  <c r="BQ254" i="26"/>
  <c r="BP246" i="26" l="1"/>
  <c r="BQ247" i="26"/>
  <c r="BS247" i="26"/>
  <c r="BT247" i="26" s="1"/>
  <c r="BW247" i="26" s="1"/>
  <c r="BP245" i="26" l="1"/>
  <c r="BS246" i="26"/>
  <c r="BT246" i="26" s="1"/>
  <c r="BW246" i="26" s="1"/>
  <c r="BQ246" i="26"/>
  <c r="BP243" i="26" l="1"/>
  <c r="BQ245" i="26"/>
  <c r="BS245" i="26"/>
  <c r="BT245" i="26" s="1"/>
  <c r="BW245" i="26" s="1"/>
  <c r="BP238" i="26" l="1"/>
  <c r="BS243" i="26"/>
  <c r="BT243" i="26" s="1"/>
  <c r="BW243" i="26" s="1"/>
  <c r="BQ243" i="26"/>
  <c r="BP237" i="26" l="1"/>
  <c r="BQ238" i="26"/>
  <c r="BS238" i="26"/>
  <c r="BT238" i="26" s="1"/>
  <c r="BW238" i="26" s="1"/>
  <c r="BP216" i="26" l="1"/>
  <c r="BQ237" i="26"/>
  <c r="BS237" i="26"/>
  <c r="BT237" i="26" s="1"/>
  <c r="BW237" i="26" s="1"/>
  <c r="BP202" i="26" l="1"/>
  <c r="BQ216" i="26"/>
  <c r="BV216" i="26" s="1"/>
  <c r="BS216" i="26"/>
  <c r="BT216" i="26" s="1"/>
  <c r="BW216" i="26" s="1"/>
  <c r="BP201" i="26" l="1"/>
  <c r="BQ202" i="26"/>
  <c r="BV202" i="26" s="1"/>
  <c r="BS202" i="26"/>
  <c r="BT202" i="26" s="1"/>
  <c r="BW202" i="26" s="1"/>
  <c r="BP200" i="26" l="1"/>
  <c r="BQ201" i="26"/>
  <c r="BV201" i="26" s="1"/>
  <c r="BS201" i="26"/>
  <c r="BT201" i="26" s="1"/>
  <c r="BW201" i="26" s="1"/>
  <c r="BP199" i="26" l="1"/>
  <c r="BS200" i="26"/>
  <c r="BT200" i="26" s="1"/>
  <c r="BW200" i="26" s="1"/>
  <c r="BQ200" i="26"/>
  <c r="BV200" i="26" s="1"/>
  <c r="BP198" i="26" l="1"/>
  <c r="BQ199" i="26"/>
  <c r="BV199" i="26" s="1"/>
  <c r="BS199" i="26"/>
  <c r="BT199" i="26" s="1"/>
  <c r="BW199" i="26" s="1"/>
  <c r="BP197" i="26" l="1"/>
  <c r="BQ198" i="26"/>
  <c r="BV198" i="26" s="1"/>
  <c r="BS198" i="26"/>
  <c r="BT198" i="26" s="1"/>
  <c r="BW198" i="26" s="1"/>
  <c r="BP178" i="26" l="1"/>
  <c r="BQ197" i="26"/>
  <c r="BV197" i="26" s="1"/>
  <c r="BS197" i="26"/>
  <c r="BT197" i="26" s="1"/>
  <c r="BW197" i="26" s="1"/>
  <c r="BP162" i="26" l="1"/>
  <c r="BQ178" i="26"/>
  <c r="BS178" i="26"/>
  <c r="BT178" i="26" s="1"/>
  <c r="BW178" i="26" s="1"/>
  <c r="BP159" i="26" l="1"/>
  <c r="BS162" i="26"/>
  <c r="BT162" i="26" s="1"/>
  <c r="BW162" i="26" s="1"/>
  <c r="BQ162" i="26"/>
  <c r="BP147" i="26" l="1"/>
  <c r="BQ159" i="26"/>
  <c r="BS159" i="26"/>
  <c r="BT159" i="26" s="1"/>
  <c r="BW159" i="26" s="1"/>
  <c r="BP146" i="26" l="1"/>
  <c r="BQ147" i="26"/>
  <c r="BS147" i="26"/>
  <c r="BT147" i="26" s="1"/>
  <c r="BW147" i="26" s="1"/>
  <c r="BP145" i="26" l="1"/>
  <c r="BQ146" i="26"/>
  <c r="BS146" i="26"/>
  <c r="BT146" i="26" s="1"/>
  <c r="BW146" i="26" s="1"/>
  <c r="BP141" i="26" l="1"/>
  <c r="BQ145" i="26"/>
  <c r="BV145" i="26" s="1"/>
  <c r="BS145" i="26"/>
  <c r="BT145" i="26" s="1"/>
  <c r="BW145" i="26" s="1"/>
  <c r="BP135" i="26" l="1"/>
  <c r="BS141" i="26"/>
  <c r="BT141" i="26" s="1"/>
  <c r="BW141" i="26" s="1"/>
  <c r="BQ141" i="26"/>
  <c r="BP134" i="26" l="1"/>
  <c r="BQ135" i="26"/>
  <c r="BV135" i="26" s="1"/>
  <c r="BS135" i="26"/>
  <c r="BT135" i="26" s="1"/>
  <c r="BW135" i="26" s="1"/>
  <c r="BP133" i="26" l="1"/>
  <c r="BQ134" i="26"/>
  <c r="BV134" i="26" s="1"/>
  <c r="BS134" i="26"/>
  <c r="BT134" i="26" s="1"/>
  <c r="BW134" i="26" s="1"/>
  <c r="BP115" i="26" l="1"/>
  <c r="BS133" i="26"/>
  <c r="BT133" i="26" s="1"/>
  <c r="BW133" i="26" s="1"/>
  <c r="BQ133" i="26"/>
  <c r="BV133" i="26" s="1"/>
  <c r="BP113" i="26" l="1"/>
  <c r="BS115" i="26"/>
  <c r="BT115" i="26" s="1"/>
  <c r="BW115" i="26" s="1"/>
  <c r="BQ115" i="26"/>
  <c r="BP105" i="26" l="1"/>
  <c r="BQ113" i="26"/>
  <c r="BV113" i="26" s="1"/>
  <c r="BS113" i="26"/>
  <c r="BT113" i="26" s="1"/>
  <c r="BW113" i="26" s="1"/>
  <c r="BP104" i="26" l="1"/>
  <c r="BQ105" i="26"/>
  <c r="BV105" i="26" s="1"/>
  <c r="BS105" i="26"/>
  <c r="BT105" i="26" s="1"/>
  <c r="BW105" i="26" s="1"/>
  <c r="BP103" i="26" l="1"/>
  <c r="BS104" i="26"/>
  <c r="BT104" i="26" s="1"/>
  <c r="BW104" i="26" s="1"/>
  <c r="BQ104" i="26"/>
  <c r="BV104" i="26" s="1"/>
  <c r="BP102" i="26" l="1"/>
  <c r="BQ103" i="26"/>
  <c r="BV103" i="26" s="1"/>
  <c r="BS103" i="26"/>
  <c r="BT103" i="26" s="1"/>
  <c r="BW103" i="26" s="1"/>
  <c r="BP101" i="26" l="1"/>
  <c r="BQ102" i="26"/>
  <c r="BV102" i="26" s="1"/>
  <c r="BS102" i="26"/>
  <c r="BT102" i="26" s="1"/>
  <c r="BW102" i="26" s="1"/>
  <c r="BP100" i="26" l="1"/>
  <c r="BQ101" i="26"/>
  <c r="BV101" i="26" s="1"/>
  <c r="BS101" i="26"/>
  <c r="BT101" i="26" s="1"/>
  <c r="BW101" i="26" s="1"/>
  <c r="BP99" i="26" l="1"/>
  <c r="BS100" i="26"/>
  <c r="BT100" i="26" s="1"/>
  <c r="BW100" i="26" s="1"/>
  <c r="BQ100" i="26"/>
  <c r="BV100" i="26" s="1"/>
  <c r="BP98" i="26" l="1"/>
  <c r="BQ99" i="26"/>
  <c r="BV99" i="26" s="1"/>
  <c r="BS99" i="26"/>
  <c r="BT99" i="26" s="1"/>
  <c r="BW99" i="26" s="1"/>
  <c r="BP97" i="26" l="1"/>
  <c r="BQ98" i="26"/>
  <c r="BV98" i="26" s="1"/>
  <c r="BS98" i="26"/>
  <c r="BT98" i="26" s="1"/>
  <c r="BW98" i="26" s="1"/>
  <c r="BP96" i="26" l="1"/>
  <c r="BQ97" i="26"/>
  <c r="BV97" i="26" s="1"/>
  <c r="BS97" i="26"/>
  <c r="BT97" i="26" s="1"/>
  <c r="BW97" i="26" s="1"/>
  <c r="BP95" i="26" l="1"/>
  <c r="BQ96" i="26"/>
  <c r="BV96" i="26" s="1"/>
  <c r="BS96" i="26"/>
  <c r="BT96" i="26" s="1"/>
  <c r="BW96" i="26" s="1"/>
  <c r="BP69" i="26" l="1"/>
  <c r="BS95" i="26"/>
  <c r="BT95" i="26" s="1"/>
  <c r="BW95" i="26" s="1"/>
  <c r="BQ95" i="26"/>
  <c r="BV95" i="26" s="1"/>
  <c r="BP49" i="26" l="1"/>
  <c r="BQ69" i="26"/>
  <c r="BV69" i="26" s="1"/>
  <c r="BS69" i="26"/>
  <c r="BT69" i="26" s="1"/>
  <c r="BW69" i="26" s="1"/>
  <c r="BP37" i="26" l="1"/>
  <c r="BQ49" i="26"/>
  <c r="BV49" i="26" s="1"/>
  <c r="BS49" i="26"/>
  <c r="BT49" i="26" s="1"/>
  <c r="BW49" i="26" s="1"/>
  <c r="BP28" i="26" l="1"/>
  <c r="BQ37" i="26"/>
  <c r="BS37" i="26"/>
  <c r="BT37" i="26" s="1"/>
  <c r="BW37" i="26" s="1"/>
  <c r="BP10" i="26" l="1"/>
  <c r="BQ28" i="26"/>
  <c r="BV28" i="26" s="1"/>
  <c r="BS28" i="26"/>
  <c r="BT28" i="26" s="1"/>
  <c r="BW28" i="26" s="1"/>
  <c r="BP9" i="26" l="1"/>
  <c r="BQ10" i="26"/>
  <c r="BV10" i="26" s="1"/>
  <c r="BS10" i="26"/>
  <c r="BT10" i="26" s="1"/>
  <c r="BW10" i="26" s="1"/>
  <c r="BP8" i="26" l="1"/>
  <c r="BQ9" i="26"/>
  <c r="BV9" i="26" s="1"/>
  <c r="BS9" i="26"/>
  <c r="BT9" i="26" s="1"/>
  <c r="BW9" i="26" s="1"/>
  <c r="BS8" i="26" l="1"/>
  <c r="BQ8" i="26"/>
  <c r="BV8" i="26" s="1"/>
  <c r="F77" i="25"/>
  <c r="BU4" i="26" l="1"/>
  <c r="BT8" i="26"/>
  <c r="BW8" i="26" s="1"/>
  <c r="BT772" i="26" l="1"/>
  <c r="BW772" i="26" s="1"/>
  <c r="BT182" i="26"/>
  <c r="BW182" i="26" s="1"/>
  <c r="BT739" i="26"/>
  <c r="BW739" i="26" s="1"/>
  <c r="BT363" i="26"/>
  <c r="BW363" i="26" s="1"/>
  <c r="BT296" i="26"/>
  <c r="BW296" i="26" s="1"/>
  <c r="BT218" i="26"/>
  <c r="BW218" i="26" s="1"/>
  <c r="BT156" i="26"/>
  <c r="BW156" i="26" s="1"/>
  <c r="BT158" i="26"/>
  <c r="BW158" i="26" s="1"/>
  <c r="BT271" i="26"/>
  <c r="BW271" i="26" s="1"/>
  <c r="BT161" i="26"/>
  <c r="BW161" i="26" s="1"/>
  <c r="BT628" i="26"/>
  <c r="BW628" i="26" s="1"/>
  <c r="BT155" i="26"/>
  <c r="BW155" i="26" s="1"/>
  <c r="BT168" i="26"/>
  <c r="BW168" i="26" s="1"/>
  <c r="BT205" i="26"/>
  <c r="BW205" i="26" s="1"/>
  <c r="BT233" i="26"/>
  <c r="BW233" i="26" s="1"/>
  <c r="BT192" i="26"/>
  <c r="BW192" i="26" s="1"/>
  <c r="BT314" i="26"/>
  <c r="BW314" i="26" s="1"/>
  <c r="BT371" i="26"/>
  <c r="BW371" i="26" s="1"/>
  <c r="BT734" i="26"/>
  <c r="BW734" i="26" s="1"/>
  <c r="BT457" i="26"/>
  <c r="BW457" i="26" s="1"/>
  <c r="BT715" i="26"/>
  <c r="BW715" i="26" s="1"/>
  <c r="BT287" i="26"/>
  <c r="BW287" i="26" s="1"/>
  <c r="BT631" i="26"/>
  <c r="BW631" i="26" s="1"/>
  <c r="BT57" i="26"/>
  <c r="BW57" i="26" s="1"/>
  <c r="BT370" i="26"/>
  <c r="BW370" i="26" s="1"/>
  <c r="BT208" i="26"/>
  <c r="BW208" i="26" s="1"/>
  <c r="BT766" i="26"/>
  <c r="BW766" i="26" s="1"/>
  <c r="BT499" i="26"/>
  <c r="BW499" i="26" s="1"/>
  <c r="BT406" i="26"/>
  <c r="BW406" i="26" s="1"/>
  <c r="BT691" i="26"/>
  <c r="BW691" i="26" s="1"/>
  <c r="BT309" i="26"/>
  <c r="BW309" i="26" s="1"/>
  <c r="BT344" i="26"/>
  <c r="BW344" i="26" s="1"/>
  <c r="BT498" i="26"/>
  <c r="BW498" i="26" s="1"/>
  <c r="BT620" i="26"/>
  <c r="BW620" i="26" s="1"/>
  <c r="BT615" i="26"/>
  <c r="BW615" i="26" s="1"/>
  <c r="BT71" i="26"/>
  <c r="BW71" i="26" s="1"/>
  <c r="BT473" i="26"/>
  <c r="BW473" i="26" s="1"/>
  <c r="BT664" i="26"/>
  <c r="BW664" i="26" s="1"/>
  <c r="BT439" i="26"/>
  <c r="BW439" i="26" s="1"/>
  <c r="BT493" i="26"/>
  <c r="BW493" i="26" s="1"/>
  <c r="BT348" i="26"/>
  <c r="BW348" i="26" s="1"/>
  <c r="BT60" i="26"/>
  <c r="BW60" i="26" s="1"/>
  <c r="BT322" i="26"/>
  <c r="BW322" i="26" s="1"/>
  <c r="BT56" i="26"/>
  <c r="BW56" i="26" s="1"/>
  <c r="BT456" i="26"/>
  <c r="BW456" i="26" s="1"/>
  <c r="BT340" i="26"/>
  <c r="BW340" i="26" s="1"/>
  <c r="BT582" i="26"/>
  <c r="BW582" i="26" s="1"/>
  <c r="BT706" i="26"/>
  <c r="BW706" i="26" s="1"/>
  <c r="BT251" i="26"/>
  <c r="BW251" i="26" s="1"/>
  <c r="BT112" i="26"/>
  <c r="BW112" i="26" s="1"/>
  <c r="BT409" i="26"/>
  <c r="BW409" i="26" s="1"/>
  <c r="BT25" i="26"/>
  <c r="BW25" i="26" s="1"/>
  <c r="BT609" i="26"/>
  <c r="BW609" i="26" s="1"/>
  <c r="BT209" i="26"/>
  <c r="BW209" i="26" s="1"/>
  <c r="BT48" i="26"/>
  <c r="BW48" i="26" s="1"/>
  <c r="BT176" i="26"/>
  <c r="BW176" i="26" s="1"/>
  <c r="BT383" i="26"/>
  <c r="BW383" i="26" s="1"/>
  <c r="BT125" i="26"/>
  <c r="BW125" i="26" s="1"/>
  <c r="BT90" i="26"/>
  <c r="BW90" i="26" s="1"/>
  <c r="BT771" i="26"/>
  <c r="BW771" i="26" s="1"/>
  <c r="BT185" i="26"/>
  <c r="BW185" i="26" s="1"/>
  <c r="BT262" i="26"/>
  <c r="BW262" i="26" s="1"/>
  <c r="BT682" i="26"/>
  <c r="BW682" i="26" s="1"/>
  <c r="BT172" i="26"/>
  <c r="BW172" i="26" s="1"/>
  <c r="BT300" i="26"/>
  <c r="BW300" i="26" s="1"/>
  <c r="BT743" i="26"/>
  <c r="BW743" i="26" s="1"/>
  <c r="BT577" i="26"/>
  <c r="BW577" i="26" s="1"/>
  <c r="BT20" i="26"/>
  <c r="BW20" i="26" s="1"/>
  <c r="BT169" i="26"/>
  <c r="BW169" i="26" s="1"/>
  <c r="BT443" i="26"/>
  <c r="BW443" i="26" s="1"/>
  <c r="BT440" i="26"/>
  <c r="BW440" i="26" s="1"/>
  <c r="BT297" i="26"/>
  <c r="BW297" i="26" s="1"/>
  <c r="BT128" i="26"/>
  <c r="BW128" i="26" s="1"/>
  <c r="BT78" i="26"/>
  <c r="BW78" i="26" s="1"/>
  <c r="BT277" i="26"/>
  <c r="BW277" i="26" s="1"/>
  <c r="BT604" i="26"/>
  <c r="BW604" i="26" s="1"/>
  <c r="BT217" i="26"/>
  <c r="BW217" i="26" s="1"/>
  <c r="BT571" i="26"/>
  <c r="BW571" i="26" s="1"/>
  <c r="BT117" i="26"/>
  <c r="BW117" i="26" s="1"/>
  <c r="BT58" i="26"/>
  <c r="BW58" i="26" s="1"/>
  <c r="BT221" i="26"/>
  <c r="BW221" i="26" s="1"/>
  <c r="BT575" i="26"/>
  <c r="BW575" i="26" s="1"/>
  <c r="BT67" i="26"/>
  <c r="BW67" i="26" s="1"/>
  <c r="BT295" i="26"/>
  <c r="BW295" i="26" s="1"/>
  <c r="BT567" i="26"/>
  <c r="BW567" i="26" s="1"/>
  <c r="BT191" i="26"/>
  <c r="BW191" i="26" s="1"/>
  <c r="BT599" i="26"/>
  <c r="BW599" i="26" s="1"/>
  <c r="BT345" i="26"/>
  <c r="BW345" i="26" s="1"/>
  <c r="BT484" i="26"/>
  <c r="BW484" i="26" s="1"/>
  <c r="BT487" i="26"/>
  <c r="BW487" i="26" s="1"/>
  <c r="BT123" i="26"/>
  <c r="BW123" i="26" s="1"/>
  <c r="BT785" i="26"/>
  <c r="BW785" i="26" s="1"/>
  <c r="BT226" i="26"/>
  <c r="BW226" i="26" s="1"/>
  <c r="BT669" i="26"/>
  <c r="BW669" i="26" s="1"/>
  <c r="BT619" i="26"/>
  <c r="BW619" i="26" s="1"/>
  <c r="BT163" i="26"/>
  <c r="BW163" i="26" s="1"/>
  <c r="BT174" i="26"/>
  <c r="BW174" i="26" s="1"/>
  <c r="BT648" i="26"/>
  <c r="BW648" i="26" s="1"/>
  <c r="BT86" i="26"/>
  <c r="BW86" i="26" s="1"/>
  <c r="BT737" i="26"/>
  <c r="BW737" i="26" s="1"/>
  <c r="BT171" i="26"/>
  <c r="BW171" i="26" s="1"/>
  <c r="BT593" i="26"/>
  <c r="BW593" i="26" s="1"/>
  <c r="BT601" i="26"/>
  <c r="BW601" i="26" s="1"/>
  <c r="BT483" i="26"/>
  <c r="BW483" i="26" s="1"/>
  <c r="BT572" i="26"/>
  <c r="BW572" i="26" s="1"/>
  <c r="BT318" i="26"/>
  <c r="BW318" i="26" s="1"/>
  <c r="BT50" i="26"/>
  <c r="BW50" i="26" s="1"/>
  <c r="BT258" i="26"/>
  <c r="BW258" i="26" s="1"/>
  <c r="BT566" i="26"/>
  <c r="BW566" i="26" s="1"/>
  <c r="BT502" i="26"/>
  <c r="BW502" i="26" s="1"/>
  <c r="BT160" i="26"/>
  <c r="BW160" i="26" s="1"/>
  <c r="BT618" i="26"/>
  <c r="BW618" i="26" s="1"/>
  <c r="BT414" i="26"/>
  <c r="BW414" i="26" s="1"/>
  <c r="BT223" i="26"/>
  <c r="BW223" i="26" s="1"/>
  <c r="BT627" i="26"/>
  <c r="BW627" i="26" s="1"/>
  <c r="BT106" i="26"/>
  <c r="BW106" i="26" s="1"/>
  <c r="BT467" i="26"/>
  <c r="BW467" i="26" s="1"/>
  <c r="BT477" i="26"/>
  <c r="BW477" i="26" s="1"/>
  <c r="BT285" i="26"/>
  <c r="BW285" i="26" s="1"/>
  <c r="BT273" i="26"/>
  <c r="BW273" i="26" s="1"/>
  <c r="BT239" i="26"/>
  <c r="BW239" i="26" s="1"/>
  <c r="BT140" i="26"/>
  <c r="BW140" i="26" s="1"/>
  <c r="BT629" i="26"/>
  <c r="BW629" i="26" s="1"/>
  <c r="BT488" i="26"/>
  <c r="BW488" i="26" s="1"/>
  <c r="BT195" i="26"/>
  <c r="BW195" i="26" s="1"/>
  <c r="BT387" i="26"/>
  <c r="BW387" i="26" s="1"/>
  <c r="BT321" i="26"/>
  <c r="BW321" i="26" s="1"/>
  <c r="BT59" i="26"/>
  <c r="BW59" i="26" s="1"/>
  <c r="BT747" i="26"/>
  <c r="BW747" i="26" s="1"/>
  <c r="BT347" i="26"/>
  <c r="BW347" i="26" s="1"/>
  <c r="BT625" i="26"/>
  <c r="BW625" i="26" s="1"/>
  <c r="BT118" i="26"/>
  <c r="BW118" i="26" s="1"/>
  <c r="BT263" i="26"/>
  <c r="BW263" i="26" s="1"/>
  <c r="BT120" i="26"/>
  <c r="BW120" i="26" s="1"/>
  <c r="BT385" i="26"/>
  <c r="BW385" i="26" s="1"/>
  <c r="BT264" i="26"/>
  <c r="BW264" i="26" s="1"/>
  <c r="BT92" i="26"/>
  <c r="BW92" i="26" s="1"/>
  <c r="BT22" i="26"/>
  <c r="BW22" i="26" s="1"/>
  <c r="BT733" i="26"/>
  <c r="BW733" i="26" s="1"/>
  <c r="BT82" i="26"/>
  <c r="BW82" i="26" s="1"/>
  <c r="BT461" i="26"/>
  <c r="BW461" i="26" s="1"/>
  <c r="BT485" i="26"/>
  <c r="BW485" i="26" s="1"/>
  <c r="BT400" i="26"/>
  <c r="BW400" i="26" s="1"/>
  <c r="BT230" i="26"/>
  <c r="BW230" i="26" s="1"/>
  <c r="BT501" i="26"/>
  <c r="BW501" i="26" s="1"/>
  <c r="BT425" i="26"/>
  <c r="BW425" i="26" s="1"/>
  <c r="BT179" i="26"/>
  <c r="BW179" i="26" s="1"/>
  <c r="BT749" i="26"/>
  <c r="BW749" i="26" s="1"/>
  <c r="BT565" i="26"/>
  <c r="BW565" i="26" s="1"/>
  <c r="BT435" i="26"/>
  <c r="BW435" i="26" s="1"/>
  <c r="BT204" i="26"/>
  <c r="BW204" i="26" s="1"/>
  <c r="BT584" i="26"/>
  <c r="BW584" i="26" s="1"/>
  <c r="BT408" i="26"/>
  <c r="BW408" i="26" s="1"/>
  <c r="BT614" i="26"/>
  <c r="BW614" i="26" s="1"/>
  <c r="BT315" i="26"/>
  <c r="BW315" i="26" s="1"/>
  <c r="BT33" i="26"/>
  <c r="BW33" i="26" s="1"/>
  <c r="BT275" i="26"/>
  <c r="BW275" i="26" s="1"/>
  <c r="BT137" i="26"/>
  <c r="BW137" i="26" s="1"/>
  <c r="BT231" i="26"/>
  <c r="BW231" i="26" s="1"/>
  <c r="BT378" i="26"/>
  <c r="BW378" i="26" s="1"/>
  <c r="BT350" i="26"/>
  <c r="BW350" i="26" s="1"/>
  <c r="BT588" i="26"/>
  <c r="BW588" i="26" s="1"/>
  <c r="BT597" i="26"/>
  <c r="BW597" i="26" s="1"/>
  <c r="BT54" i="26"/>
  <c r="BW54" i="26" s="1"/>
  <c r="BT157" i="26"/>
  <c r="BW157" i="26" s="1"/>
  <c r="BT535" i="26"/>
  <c r="BW535" i="26" s="1"/>
  <c r="BT416" i="26"/>
  <c r="BW416" i="26" s="1"/>
  <c r="BT333" i="26"/>
  <c r="BW333" i="26" s="1"/>
  <c r="BT74" i="26"/>
  <c r="BW74" i="26" s="1"/>
  <c r="BT717" i="26"/>
  <c r="BW717" i="26" s="1"/>
  <c r="BT266" i="26"/>
  <c r="BW266" i="26" s="1"/>
  <c r="BT175" i="26"/>
  <c r="BW175" i="26" s="1"/>
  <c r="BT427" i="26"/>
  <c r="BW427" i="26" s="1"/>
  <c r="BT606" i="26"/>
  <c r="BW606" i="26" s="1"/>
  <c r="BT580" i="26"/>
  <c r="BW580" i="26" s="1"/>
  <c r="BT248" i="26"/>
  <c r="BW248" i="26" s="1"/>
  <c r="BT418" i="26"/>
  <c r="BW418" i="26" s="1"/>
  <c r="BT281" i="26"/>
  <c r="BW281" i="26" s="1"/>
  <c r="BT504" i="26"/>
  <c r="BW504" i="26" s="1"/>
  <c r="BT657" i="26"/>
  <c r="BW657" i="26" s="1"/>
  <c r="BT229" i="26"/>
  <c r="BW229" i="26" s="1"/>
  <c r="BT674" i="26"/>
  <c r="BW674" i="26" s="1"/>
  <c r="BT108" i="26"/>
  <c r="BW108" i="26" s="1"/>
  <c r="BT522" i="26"/>
  <c r="BW522" i="26" s="1"/>
  <c r="BT598" i="26"/>
  <c r="BW598" i="26" s="1"/>
  <c r="BT470" i="26"/>
  <c r="BW470" i="26" s="1"/>
  <c r="BT446" i="26"/>
  <c r="BW446" i="26" s="1"/>
  <c r="BT583" i="26"/>
  <c r="BW583" i="26" s="1"/>
  <c r="BT526" i="26"/>
  <c r="BW526" i="26" s="1"/>
  <c r="BT466" i="26"/>
  <c r="BW466" i="26" s="1"/>
  <c r="BT745" i="26"/>
  <c r="BW745" i="26" s="1"/>
  <c r="BT460" i="26"/>
  <c r="BW460" i="26" s="1"/>
  <c r="BT109" i="26"/>
  <c r="BW109" i="26" s="1"/>
  <c r="BT750" i="26"/>
  <c r="BW750" i="26" s="1"/>
  <c r="BT364" i="26"/>
  <c r="BW364" i="26" s="1"/>
  <c r="BT34" i="26"/>
  <c r="BW34" i="26" s="1"/>
  <c r="BT541" i="26"/>
  <c r="BW541" i="26" s="1"/>
  <c r="BT43" i="26"/>
  <c r="BW43" i="26" s="1"/>
  <c r="BT475" i="26"/>
  <c r="BW475" i="26" s="1"/>
  <c r="BT775" i="26"/>
  <c r="BW775" i="26" s="1"/>
  <c r="BT362" i="26"/>
  <c r="BW362" i="26" s="1"/>
  <c r="BT27" i="26"/>
  <c r="BW27" i="26" s="1"/>
  <c r="BT773" i="26"/>
  <c r="BW773" i="26" s="1"/>
  <c r="BT23" i="26"/>
  <c r="BW23" i="26" s="1"/>
  <c r="BT452" i="26"/>
  <c r="BW452" i="26" s="1"/>
  <c r="BT426" i="26"/>
  <c r="BW426" i="26" s="1"/>
  <c r="BT122" i="26"/>
  <c r="BW122" i="26" s="1"/>
  <c r="BT568" i="26"/>
  <c r="BW568" i="26" s="1"/>
  <c r="BT291" i="26"/>
  <c r="BW291" i="26" s="1"/>
  <c r="BT121" i="26"/>
  <c r="BW121" i="26" s="1"/>
  <c r="BT704" i="26"/>
  <c r="BW704" i="26" s="1"/>
  <c r="BT282" i="26"/>
  <c r="BW282" i="26" s="1"/>
  <c r="BT663" i="26"/>
  <c r="BW663" i="26" s="1"/>
  <c r="BT18" i="26"/>
  <c r="BW18" i="26" s="1"/>
  <c r="BT73" i="26"/>
  <c r="BW73" i="26" s="1"/>
  <c r="BT302" i="26"/>
  <c r="BW302" i="26" s="1"/>
  <c r="BT114" i="26"/>
  <c r="BW114" i="26" s="1"/>
  <c r="BT84" i="26"/>
  <c r="BW84" i="26" s="1"/>
  <c r="BT396" i="26"/>
  <c r="BW396" i="26" s="1"/>
  <c r="BT479" i="26"/>
  <c r="BW479" i="26" s="1"/>
  <c r="BT590" i="26"/>
  <c r="BW590" i="26" s="1"/>
  <c r="BT30" i="26"/>
  <c r="BW30" i="26" s="1"/>
  <c r="BT702" i="26"/>
  <c r="BW702" i="26" s="1"/>
  <c r="BT465" i="26"/>
  <c r="BW465" i="26" s="1"/>
  <c r="BT388" i="26"/>
  <c r="BW388" i="26" s="1"/>
  <c r="BT480" i="26"/>
  <c r="BW480" i="26" s="1"/>
  <c r="BT783" i="26"/>
  <c r="BW783" i="26" s="1"/>
  <c r="BT16" i="26"/>
  <c r="BW16" i="26" s="1"/>
  <c r="BT165" i="26"/>
  <c r="BW165" i="26" s="1"/>
  <c r="BT166" i="26"/>
  <c r="BW166" i="26" s="1"/>
  <c r="BT356" i="26"/>
  <c r="BW356" i="26" s="1"/>
  <c r="BT236" i="26"/>
  <c r="BW236" i="26" s="1"/>
  <c r="BT490" i="26"/>
  <c r="BW490" i="26" s="1"/>
  <c r="BT93" i="26"/>
  <c r="BW93" i="26" s="1"/>
  <c r="BT190" i="26"/>
  <c r="BW190" i="26" s="1"/>
  <c r="BT349" i="26"/>
  <c r="BW349" i="26" s="1"/>
  <c r="BT36" i="26"/>
  <c r="BW36" i="26" s="1"/>
  <c r="BT187" i="26"/>
  <c r="BW187" i="26" s="1"/>
  <c r="BT328" i="26"/>
  <c r="BW328" i="26" s="1"/>
  <c r="BT672" i="26"/>
  <c r="BW672" i="26" s="1"/>
  <c r="BT211" i="26"/>
  <c r="BW211" i="26" s="1"/>
  <c r="BT310" i="26"/>
  <c r="BW310" i="26" s="1"/>
  <c r="BT170" i="26"/>
  <c r="BW170" i="26" s="1"/>
  <c r="BT280" i="26"/>
  <c r="BW280" i="26" s="1"/>
  <c r="BT587" i="26"/>
  <c r="BW587" i="26" s="1"/>
  <c r="BT694" i="26"/>
  <c r="BW694" i="26" s="1"/>
  <c r="BT689" i="26"/>
  <c r="BW689" i="26" s="1"/>
  <c r="BT323" i="26"/>
  <c r="BW323" i="26" s="1"/>
  <c r="BT336" i="26"/>
  <c r="BW336" i="26" s="1"/>
  <c r="BT666" i="26"/>
  <c r="BW666" i="26" s="1"/>
  <c r="BT29" i="26"/>
  <c r="BW29" i="26" s="1"/>
  <c r="BT39" i="26"/>
  <c r="BW39" i="26" s="1"/>
  <c r="BT429" i="26"/>
  <c r="BW429" i="26" s="1"/>
  <c r="BT312" i="26"/>
  <c r="BW312" i="26" s="1"/>
  <c r="BT131" i="26"/>
  <c r="BW131" i="26" s="1"/>
  <c r="BT311" i="26"/>
  <c r="BW311" i="26" s="1"/>
  <c r="BT367" i="26"/>
  <c r="BW367" i="26" s="1"/>
  <c r="BT72" i="26"/>
  <c r="BW72" i="26" s="1"/>
  <c r="BT11" i="26"/>
  <c r="BW11" i="26" s="1"/>
  <c r="BT684" i="26"/>
  <c r="BW684" i="26" s="1"/>
  <c r="BT75" i="26"/>
  <c r="BW75" i="26" s="1"/>
  <c r="BT514" i="26"/>
  <c r="BW514" i="26" s="1"/>
  <c r="BT380" i="26"/>
  <c r="BW380" i="26" s="1"/>
  <c r="BT274" i="26"/>
  <c r="BW274" i="26" s="1"/>
  <c r="BT699" i="26"/>
  <c r="BW699" i="26" s="1"/>
  <c r="BT342" i="26"/>
  <c r="BW342" i="26" s="1"/>
  <c r="BT708" i="26"/>
  <c r="BW708" i="26" s="1"/>
  <c r="BT549" i="26"/>
  <c r="BW549" i="26" s="1"/>
  <c r="BT164" i="26"/>
  <c r="BW164" i="26" s="1"/>
  <c r="BT265" i="26"/>
  <c r="BW265" i="26" s="1"/>
  <c r="BT437" i="26"/>
  <c r="BW437" i="26" s="1"/>
  <c r="BT107" i="26"/>
  <c r="BW107" i="26" s="1"/>
  <c r="BT339" i="26"/>
  <c r="BW339" i="26" s="1"/>
  <c r="BT413" i="26"/>
  <c r="BW413" i="26" s="1"/>
  <c r="BT661" i="26"/>
  <c r="BW661" i="26" s="1"/>
  <c r="BT40" i="26"/>
  <c r="BW40" i="26" s="1"/>
  <c r="BT12" i="26"/>
  <c r="BW12" i="26" s="1"/>
  <c r="BT538" i="26"/>
  <c r="BW538" i="26" s="1"/>
  <c r="BT403" i="26"/>
  <c r="BW403" i="26" s="1"/>
  <c r="BT738" i="26"/>
  <c r="BW738" i="26" s="1"/>
  <c r="BT26" i="26"/>
  <c r="BW26" i="26" s="1"/>
  <c r="BT184" i="26"/>
  <c r="BW184" i="26" s="1"/>
  <c r="BT592" i="26"/>
  <c r="BW592" i="26" s="1"/>
  <c r="BT219" i="26"/>
  <c r="BW219" i="26" s="1"/>
  <c r="BT537" i="26"/>
  <c r="BW537" i="26" s="1"/>
  <c r="BT68" i="26"/>
  <c r="BW68" i="26" s="1"/>
  <c r="BT284" i="26"/>
  <c r="BW284" i="26" s="1"/>
  <c r="BT227" i="26"/>
  <c r="BW227" i="26" s="1"/>
  <c r="BT492" i="26"/>
  <c r="BW492" i="26" s="1"/>
  <c r="BT35" i="26"/>
  <c r="BW35" i="26" s="1"/>
  <c r="BT724" i="26"/>
  <c r="BW724" i="26" s="1"/>
  <c r="BT678" i="26"/>
  <c r="BW678" i="26" s="1"/>
  <c r="BT111" i="26"/>
  <c r="BW111" i="26" s="1"/>
  <c r="BT719" i="26"/>
  <c r="BW719" i="26" s="1"/>
  <c r="BT451" i="26"/>
  <c r="BW451" i="26" s="1"/>
  <c r="BT304" i="26"/>
  <c r="BW304" i="26" s="1"/>
  <c r="BT736" i="26"/>
  <c r="BW736" i="26" s="1"/>
  <c r="BT65" i="26"/>
  <c r="BW65" i="26" s="1"/>
  <c r="BT447" i="26"/>
  <c r="BW447" i="26" s="1"/>
  <c r="BT148" i="26"/>
  <c r="BW148" i="26" s="1"/>
  <c r="BT376" i="26"/>
  <c r="BW376" i="26" s="1"/>
  <c r="BT762" i="26"/>
  <c r="BW762" i="26" s="1"/>
  <c r="BT474" i="26"/>
  <c r="BW474" i="26" s="1"/>
  <c r="BT222" i="26"/>
  <c r="BW222" i="26" s="1"/>
  <c r="BT232" i="26"/>
  <c r="BW232" i="26" s="1"/>
  <c r="BT494" i="26"/>
  <c r="BW494" i="26" s="1"/>
  <c r="BT207" i="26"/>
  <c r="BW207" i="26" s="1"/>
  <c r="BT14" i="26"/>
  <c r="BW14" i="26" s="1"/>
  <c r="BT667" i="26"/>
  <c r="BW667" i="26" s="1"/>
  <c r="BT203" i="26"/>
  <c r="BW203" i="26" s="1"/>
  <c r="BT455" i="26"/>
  <c r="BW455" i="26" s="1"/>
  <c r="BT729" i="26"/>
  <c r="BW729" i="26" s="1"/>
  <c r="BT617" i="26"/>
  <c r="BW617" i="26" s="1"/>
  <c r="BT735" i="26"/>
  <c r="BW735" i="26" s="1"/>
  <c r="BT395" i="26"/>
  <c r="BW395" i="26" s="1"/>
  <c r="BT436" i="26"/>
  <c r="BW436" i="26" s="1"/>
  <c r="BT368" i="26"/>
  <c r="BW368" i="26" s="1"/>
  <c r="BT352" i="26"/>
  <c r="BW352" i="26" s="1"/>
  <c r="BT173" i="26"/>
  <c r="BW173" i="26" s="1"/>
  <c r="BT259" i="26"/>
  <c r="BW259" i="26" s="1"/>
  <c r="BT210" i="26"/>
  <c r="BW210" i="26" s="1"/>
  <c r="BT269" i="26"/>
  <c r="BW269" i="26" s="1"/>
  <c r="BT420" i="26"/>
  <c r="BW420" i="26" s="1"/>
  <c r="BT276" i="26"/>
  <c r="BW276" i="26" s="1"/>
  <c r="BT454" i="26"/>
  <c r="BW454" i="26" s="1"/>
  <c r="BT91" i="26"/>
  <c r="BW91" i="26" s="1"/>
  <c r="BT389" i="26"/>
  <c r="BW389" i="26" s="1"/>
  <c r="BT351" i="26"/>
  <c r="BW351" i="26" s="1"/>
  <c r="BT497" i="26"/>
  <c r="BW497" i="26" s="1"/>
  <c r="BT776" i="26"/>
  <c r="BW776" i="26" s="1"/>
  <c r="BT402" i="26"/>
  <c r="BW402" i="26" s="1"/>
  <c r="BT77" i="26"/>
  <c r="BW77" i="26" s="1"/>
  <c r="BT353" i="26"/>
  <c r="BW353" i="26" s="1"/>
  <c r="BT152" i="26"/>
  <c r="BW152" i="26" s="1"/>
  <c r="BT127" i="26"/>
  <c r="BW127" i="26" s="1"/>
  <c r="BT337" i="26"/>
  <c r="BW337" i="26" s="1"/>
  <c r="BT225" i="26"/>
  <c r="BW225" i="26" s="1"/>
  <c r="BT784" i="26"/>
  <c r="BW784" i="26" s="1"/>
  <c r="BT177" i="26"/>
  <c r="BW177" i="26" s="1"/>
  <c r="BT495" i="26"/>
  <c r="BW495" i="26" s="1"/>
  <c r="BT441" i="26"/>
  <c r="BW441" i="26" s="1"/>
  <c r="BT700" i="26"/>
  <c r="BW700" i="26" s="1"/>
  <c r="BT94" i="26"/>
  <c r="BW94" i="26" s="1"/>
  <c r="BT21" i="26"/>
  <c r="BW21" i="26" s="1"/>
  <c r="BT70" i="26"/>
  <c r="BW70" i="26" s="1"/>
  <c r="BT76" i="26"/>
  <c r="BW76" i="26" s="1"/>
  <c r="BT591" i="26"/>
  <c r="BW591" i="26" s="1"/>
  <c r="BT244" i="26"/>
  <c r="BW244" i="26" s="1"/>
  <c r="BT19" i="26"/>
  <c r="BW19" i="26" s="1"/>
  <c r="BT787" i="26"/>
  <c r="BW787" i="26" s="1"/>
  <c r="BT585" i="26"/>
  <c r="BW585" i="26" s="1"/>
  <c r="BT453" i="26"/>
  <c r="BW453" i="26" s="1"/>
  <c r="BT491" i="26"/>
  <c r="BW491" i="26" s="1"/>
  <c r="BT374" i="26"/>
  <c r="BW374" i="26" s="1"/>
  <c r="BT384" i="26"/>
  <c r="BW384" i="26" s="1"/>
  <c r="BT431" i="26"/>
  <c r="BW431" i="26" s="1"/>
  <c r="BT326" i="26"/>
  <c r="BW326" i="26" s="1"/>
  <c r="BT608" i="26"/>
  <c r="BW608" i="26" s="1"/>
  <c r="BT79" i="26"/>
  <c r="BW79" i="26" s="1"/>
  <c r="BT710" i="26"/>
  <c r="BW710" i="26" s="1"/>
  <c r="BT306" i="26"/>
  <c r="BW306" i="26" s="1"/>
  <c r="BT740" i="26"/>
  <c r="BW740" i="26" s="1"/>
  <c r="BT373" i="26"/>
  <c r="BW373" i="26" s="1"/>
  <c r="BT651" i="26"/>
  <c r="BW651" i="26" s="1"/>
  <c r="BT51" i="26"/>
  <c r="BW51" i="26" s="1"/>
  <c r="BT62" i="26"/>
  <c r="BW62" i="26" s="1"/>
  <c r="BT126" i="26"/>
  <c r="BW126" i="26" s="1"/>
  <c r="BT468" i="26"/>
  <c r="BW468" i="26" s="1"/>
  <c r="BT716" i="26"/>
  <c r="BW716" i="26" s="1"/>
  <c r="BT774" i="26"/>
  <c r="BW774" i="26" s="1"/>
  <c r="BT534" i="26"/>
  <c r="BW534" i="26" s="1"/>
  <c r="BT305" i="26"/>
  <c r="BW305" i="26" s="1"/>
  <c r="BT714" i="26"/>
  <c r="BW714" i="26" s="1"/>
  <c r="BT393" i="26"/>
  <c r="BW393" i="26" s="1"/>
  <c r="BT761" i="26"/>
  <c r="BW761" i="26" s="1"/>
  <c r="BT278" i="26"/>
  <c r="BW278" i="26" s="1"/>
  <c r="BT38" i="26"/>
  <c r="BW38" i="26" s="1"/>
  <c r="BT17" i="26"/>
  <c r="BW17" i="26" s="1"/>
  <c r="BT212" i="26"/>
  <c r="BW212" i="26" s="1"/>
  <c r="BT458" i="26"/>
  <c r="BW458" i="26" s="1"/>
  <c r="BT381" i="26"/>
  <c r="BW381" i="26" s="1"/>
  <c r="BT676" i="26"/>
  <c r="BW676" i="26" s="1"/>
  <c r="BT153" i="26"/>
  <c r="BW153" i="26" s="1"/>
  <c r="BT253" i="26"/>
  <c r="BW253" i="26" s="1"/>
  <c r="BT521" i="26"/>
  <c r="BW521" i="26" s="1"/>
  <c r="BT45" i="26"/>
  <c r="BW45" i="26" s="1"/>
  <c r="BT87" i="26"/>
  <c r="BW87" i="26" s="1"/>
  <c r="BT412" i="26"/>
  <c r="BW412" i="26" s="1"/>
  <c r="BT589" i="26"/>
  <c r="BW589" i="26" s="1"/>
  <c r="BT359" i="26"/>
  <c r="BW359" i="26" s="1"/>
  <c r="BT478" i="26"/>
  <c r="BW478" i="26" s="1"/>
  <c r="BT13" i="26"/>
  <c r="BW13" i="26" s="1"/>
  <c r="BT213" i="26"/>
  <c r="BW213" i="26" s="1"/>
  <c r="BT728" i="26"/>
  <c r="BW728" i="26" s="1"/>
  <c r="BT193" i="26"/>
  <c r="BW193" i="26" s="1"/>
  <c r="BT250" i="26"/>
  <c r="BW250" i="26" s="1"/>
  <c r="BT52" i="26"/>
  <c r="BW52" i="26" s="1"/>
  <c r="BT536" i="26"/>
  <c r="BW536" i="26" s="1"/>
  <c r="BT428" i="26"/>
  <c r="BW428" i="26" s="1"/>
  <c r="BT594" i="26"/>
  <c r="BW594" i="26" s="1"/>
  <c r="BT576" i="26"/>
  <c r="BW576" i="26" s="1"/>
  <c r="BT139" i="26"/>
  <c r="BW139" i="26" s="1"/>
  <c r="BT228" i="26"/>
  <c r="BW228" i="26" s="1"/>
  <c r="BT600" i="26"/>
  <c r="BW600" i="26" s="1"/>
  <c r="BT595" i="26"/>
  <c r="BW595" i="26" s="1"/>
  <c r="BT283" i="26"/>
  <c r="BW283" i="26" s="1"/>
  <c r="BT46" i="26"/>
  <c r="BW46" i="26" s="1"/>
  <c r="BT196" i="26"/>
  <c r="BW196" i="26" s="1"/>
  <c r="BT573" i="26"/>
  <c r="BW573" i="26" s="1"/>
  <c r="BT206" i="26"/>
  <c r="BW206" i="26" s="1"/>
  <c r="BT748" i="26"/>
  <c r="BW748" i="26" s="1"/>
  <c r="BT220" i="26"/>
  <c r="BW220" i="26" s="1"/>
  <c r="BT327" i="26"/>
  <c r="BW327" i="26" s="1"/>
  <c r="BT313" i="26"/>
  <c r="BW313" i="26" s="1"/>
  <c r="BT24" i="26"/>
  <c r="BW24" i="26" s="1"/>
  <c r="BT341" i="26"/>
  <c r="BW341" i="26" s="1"/>
  <c r="BT445" i="26"/>
  <c r="BW445" i="26" s="1"/>
  <c r="BT656" i="26"/>
  <c r="BW656" i="26" s="1"/>
  <c r="BT167" i="26"/>
  <c r="BW167" i="26" s="1"/>
  <c r="BT768" i="26"/>
  <c r="BW768" i="26" s="1"/>
  <c r="BT711" i="26"/>
  <c r="BW711" i="26" s="1"/>
  <c r="BT129" i="26"/>
  <c r="BW129" i="26" s="1"/>
  <c r="BT411" i="26"/>
  <c r="BW411" i="26" s="1"/>
  <c r="BT570" i="26"/>
  <c r="BW570" i="26" s="1"/>
  <c r="BT357" i="26"/>
  <c r="BW357" i="26" s="1"/>
  <c r="BT496" i="26"/>
  <c r="BW496" i="26" s="1"/>
  <c r="BT764" i="26"/>
  <c r="BW764" i="26" s="1"/>
  <c r="BT307" i="26"/>
  <c r="BW307" i="26" s="1"/>
  <c r="BT150" i="26"/>
  <c r="BW150" i="26" s="1"/>
  <c r="BT727" i="26"/>
  <c r="BW727" i="26" s="1"/>
  <c r="BT361" i="26"/>
  <c r="BW361" i="26" s="1"/>
  <c r="BT360" i="26"/>
  <c r="BW360" i="26" s="1"/>
  <c r="BT658" i="26"/>
  <c r="BW658" i="26" s="1"/>
  <c r="BT459" i="26"/>
  <c r="BW459" i="26" s="1"/>
  <c r="BT701" i="26"/>
  <c r="BW701" i="26" s="1"/>
  <c r="BT88" i="26"/>
  <c r="BW88" i="26" s="1"/>
  <c r="BT80" i="26"/>
  <c r="BW80" i="26" s="1"/>
  <c r="BT635" i="26"/>
  <c r="BW635" i="26" s="1"/>
  <c r="BT42" i="26"/>
  <c r="BW42" i="26" s="1"/>
  <c r="BT586" i="26"/>
  <c r="BW586" i="26" s="1"/>
  <c r="BT463" i="26"/>
  <c r="BW463" i="26" s="1"/>
  <c r="BT41" i="26"/>
  <c r="BW41" i="26" s="1"/>
  <c r="BT149" i="26"/>
  <c r="BW149" i="26" s="1"/>
  <c r="BT119" i="26"/>
  <c r="BW119" i="26" s="1"/>
  <c r="BT433" i="26"/>
  <c r="BW433" i="26" s="1"/>
  <c r="BT697" i="26"/>
  <c r="BW697" i="26" s="1"/>
  <c r="BT489" i="26"/>
  <c r="BW489" i="26" s="1"/>
  <c r="BT472" i="26"/>
  <c r="BW472" i="26" s="1"/>
  <c r="BT325" i="26"/>
  <c r="BW325" i="26" s="1"/>
  <c r="BT519" i="26"/>
  <c r="BW519" i="26" s="1"/>
  <c r="BT476" i="26"/>
  <c r="BW476" i="26" s="1"/>
  <c r="BT44" i="26"/>
  <c r="BW44" i="26" s="1"/>
  <c r="BT698" i="26"/>
  <c r="BW698" i="26" s="1"/>
  <c r="BT696" i="26"/>
  <c r="BW696" i="26" s="1"/>
  <c r="BT520" i="26"/>
  <c r="BW520" i="26" s="1"/>
  <c r="BT379" i="26"/>
  <c r="BW379" i="26" s="1"/>
  <c r="BT252" i="26"/>
  <c r="BW252" i="26" s="1"/>
  <c r="BT607" i="26"/>
  <c r="BW607" i="26" s="1"/>
  <c r="BT581" i="26"/>
  <c r="BW581" i="26" s="1"/>
  <c r="BT399" i="26"/>
  <c r="BW399" i="26" s="1"/>
  <c r="BT343" i="26"/>
  <c r="BW343" i="26" s="1"/>
  <c r="BT449" i="26"/>
  <c r="BW449" i="26" s="1"/>
  <c r="BT132" i="26"/>
  <c r="BW132" i="26" s="1"/>
  <c r="BT482" i="26"/>
  <c r="BW482" i="26" s="1"/>
  <c r="BT366" i="26"/>
  <c r="BW366" i="26" s="1"/>
  <c r="BT630" i="26"/>
  <c r="BW630" i="26" s="1"/>
  <c r="BT180" i="26"/>
  <c r="BW180" i="26" s="1"/>
  <c r="BT782" i="26"/>
  <c r="BW782" i="26" s="1"/>
  <c r="BT181" i="26"/>
  <c r="BW181" i="26" s="1"/>
  <c r="BT215" i="26"/>
  <c r="BW215" i="26" s="1"/>
  <c r="BT695" i="26"/>
  <c r="BW695" i="26" s="1"/>
  <c r="BT355" i="26"/>
  <c r="BW355" i="26" s="1"/>
  <c r="BT486" i="26"/>
  <c r="BW486" i="26" s="1"/>
  <c r="BT124" i="26"/>
  <c r="BW124" i="26" s="1"/>
  <c r="BT529" i="26"/>
  <c r="BW529" i="26" s="1"/>
  <c r="BT424" i="26"/>
  <c r="BW424" i="26" s="1"/>
  <c r="BT188" i="26"/>
  <c r="BW188" i="26" s="1"/>
  <c r="BT709" i="26"/>
  <c r="BW709" i="26" s="1"/>
  <c r="BT721" i="26"/>
  <c r="BW721" i="26" s="1"/>
  <c r="BT66" i="26"/>
  <c r="BW66" i="26" s="1"/>
  <c r="BT611" i="26"/>
  <c r="BW611" i="26" s="1"/>
  <c r="BT438" i="26"/>
  <c r="BW438" i="26" s="1"/>
  <c r="BT214" i="26"/>
  <c r="BW214" i="26" s="1"/>
  <c r="BT720" i="26"/>
  <c r="BW720" i="26" s="1"/>
  <c r="BT419" i="26"/>
  <c r="BW419" i="26" s="1"/>
  <c r="BT142" i="26"/>
  <c r="BW142" i="26" s="1"/>
  <c r="BT261" i="26"/>
  <c r="BW261" i="26" s="1"/>
  <c r="BT61" i="26"/>
  <c r="BW61" i="26" s="1"/>
  <c r="BT391" i="26"/>
  <c r="BW391" i="26" s="1"/>
  <c r="BT270" i="26"/>
  <c r="BW270" i="26" s="1"/>
  <c r="BT760" i="26"/>
  <c r="BW760" i="26" s="1"/>
  <c r="BT240" i="26"/>
  <c r="BW240" i="26" s="1"/>
  <c r="BT136" i="26"/>
  <c r="BW136" i="26" s="1"/>
  <c r="BT85" i="26"/>
  <c r="BW85" i="26" s="1"/>
  <c r="BT89" i="26"/>
  <c r="BW89" i="26" s="1"/>
  <c r="BT539" i="26"/>
  <c r="BW539" i="26" s="1"/>
  <c r="BT130" i="26"/>
  <c r="BW130" i="26" s="1"/>
  <c r="BT375" i="26"/>
  <c r="BW375" i="26" s="1"/>
  <c r="BT194" i="26"/>
  <c r="BW194" i="26" s="1"/>
  <c r="BT713" i="26"/>
  <c r="BW713" i="26" s="1"/>
  <c r="BT257" i="26"/>
  <c r="BW257" i="26" s="1"/>
  <c r="BT765" i="26"/>
  <c r="BW765" i="26" s="1"/>
  <c r="BT610" i="26"/>
  <c r="BW610" i="26" s="1"/>
  <c r="BT718" i="26"/>
  <c r="BW718" i="26" s="1"/>
  <c r="BT444" i="26"/>
  <c r="BW444" i="26" s="1"/>
  <c r="BT55" i="26"/>
  <c r="BW55" i="26" s="1"/>
  <c r="BT602" i="26"/>
  <c r="BW602" i="26" s="1"/>
  <c r="BT116" i="26"/>
  <c r="BW116" i="26" s="1"/>
  <c r="BT767" i="26"/>
  <c r="BW767" i="26" s="1"/>
  <c r="BT707" i="26"/>
  <c r="BW707" i="26" s="1"/>
  <c r="BT665" i="26"/>
  <c r="BW665" i="26" s="1"/>
  <c r="BT303" i="26"/>
  <c r="BW303" i="26" s="1"/>
  <c r="BT272" i="26"/>
  <c r="BW272" i="26" s="1"/>
  <c r="BT616" i="26"/>
  <c r="BW616" i="26" s="1"/>
  <c r="BT786" i="26"/>
  <c r="BW786" i="26" s="1"/>
  <c r="BT746" i="26"/>
  <c r="BW746" i="26" s="1"/>
  <c r="BT255" i="26"/>
  <c r="BW255" i="26" s="1"/>
  <c r="BT679" i="26"/>
  <c r="BW679" i="26" s="1"/>
  <c r="BT260" i="26"/>
  <c r="BW260" i="26" s="1"/>
  <c r="BT500" i="26"/>
  <c r="BW500" i="26" s="1"/>
  <c r="BT224" i="26"/>
  <c r="BW224" i="26" s="1"/>
  <c r="BT730" i="26"/>
  <c r="BW730" i="26" s="1"/>
  <c r="BT681" i="26"/>
  <c r="BW681" i="26" s="1"/>
  <c r="BT578" i="26"/>
  <c r="BW578" i="26" s="1"/>
  <c r="BT151" i="26"/>
  <c r="BW151" i="26" s="1"/>
  <c r="BT63" i="26"/>
  <c r="BW63" i="26" s="1"/>
  <c r="BT574" i="26"/>
  <c r="BW574" i="26" s="1"/>
  <c r="BT613" i="26"/>
  <c r="BW613" i="26" s="1"/>
  <c r="BT138" i="26"/>
  <c r="BW138" i="26" s="1"/>
  <c r="BT448" i="26"/>
  <c r="BW448" i="26" s="1"/>
  <c r="BT64" i="26"/>
  <c r="BW64" i="26" s="1"/>
  <c r="BT358" i="26"/>
  <c r="BW358" i="26" s="1"/>
  <c r="BT731" i="26"/>
  <c r="BW731" i="26" s="1"/>
  <c r="BT186" i="26"/>
  <c r="BW186" i="26" s="1"/>
  <c r="BT605" i="26"/>
  <c r="BW605" i="26" s="1"/>
  <c r="BT450" i="26"/>
  <c r="BW450" i="26" s="1"/>
  <c r="BT53" i="26"/>
  <c r="BW53" i="26" s="1"/>
  <c r="BT308" i="26"/>
  <c r="BW308" i="26" s="1"/>
  <c r="BT725" i="26"/>
  <c r="BW725" i="26" s="1"/>
  <c r="BT143" i="26"/>
  <c r="BW143" i="26" s="1"/>
  <c r="BT288" i="26"/>
  <c r="BW288" i="26" s="1"/>
  <c r="BT382" i="26"/>
  <c r="BW382" i="26" s="1"/>
  <c r="BT763" i="26"/>
  <c r="BW763" i="26" s="1"/>
  <c r="BT154" i="26"/>
  <c r="BW154" i="26" s="1"/>
  <c r="BT481" i="26"/>
  <c r="BW481" i="26" s="1"/>
  <c r="BT110" i="26"/>
  <c r="BW110" i="26" s="1"/>
  <c r="BT242" i="26"/>
  <c r="BW242" i="26" s="1"/>
  <c r="BT83" i="26"/>
  <c r="BW83" i="26" s="1"/>
  <c r="BT723" i="26"/>
  <c r="BW723" i="26" s="1"/>
  <c r="BT32" i="26"/>
  <c r="BW32" i="26" s="1"/>
  <c r="BT645" i="26"/>
  <c r="BW645" i="26" s="1"/>
  <c r="BT612" i="26"/>
  <c r="BW612" i="26" s="1"/>
  <c r="BT432" i="26"/>
  <c r="BW432" i="26" s="1"/>
  <c r="BT372" i="26"/>
  <c r="BW372" i="26" s="1"/>
  <c r="BT47" i="26"/>
  <c r="BW47" i="26" s="1"/>
  <c r="BT235" i="26"/>
  <c r="BW235" i="26" s="1"/>
  <c r="BT249" i="26"/>
  <c r="BW249" i="26" s="1"/>
  <c r="BT603" i="26"/>
  <c r="BW603" i="26" s="1"/>
  <c r="BT289" i="26"/>
  <c r="BW289" i="26" s="1"/>
  <c r="BT660" i="26"/>
  <c r="BW660" i="26" s="1"/>
  <c r="BT722" i="26"/>
  <c r="BW722" i="26" s="1"/>
  <c r="BT407" i="26"/>
  <c r="BW407" i="26" s="1"/>
  <c r="BT397" i="26"/>
  <c r="BW397" i="26" s="1"/>
  <c r="BT241" i="26"/>
  <c r="BW241" i="26" s="1"/>
  <c r="BT15" i="26"/>
  <c r="BW15" i="26" s="1"/>
  <c r="BT770" i="26"/>
  <c r="BW770" i="26" s="1"/>
  <c r="BT579" i="26"/>
  <c r="BW579" i="26" s="1"/>
  <c r="BT377" i="26"/>
  <c r="BW377" i="26" s="1"/>
  <c r="BT81" i="26"/>
  <c r="BW81" i="26" s="1"/>
  <c r="BT683" i="26"/>
  <c r="BW683" i="26" s="1"/>
  <c r="BT741" i="26"/>
  <c r="BW741" i="26" s="1"/>
  <c r="BT279" i="26"/>
  <c r="BW279" i="26" s="1"/>
  <c r="BT442" i="26"/>
  <c r="BW442" i="26" s="1"/>
  <c r="BT703" i="26"/>
  <c r="BW703" i="26" s="1"/>
  <c r="BT596" i="26"/>
  <c r="BW596" i="26" s="1"/>
  <c r="BT518" i="26"/>
  <c r="BW518" i="26" s="1"/>
  <c r="BT234" i="26"/>
  <c r="BW234" i="26" s="1"/>
  <c r="BT183" i="26"/>
  <c r="BW183" i="26" s="1"/>
  <c r="BT415" i="26"/>
  <c r="BW415" i="26" s="1"/>
  <c r="BT369" i="26"/>
  <c r="BW369" i="26" s="1"/>
  <c r="BT31" i="26"/>
  <c r="BW31" i="26" s="1"/>
  <c r="BT354" i="26"/>
  <c r="BW354" i="26" s="1"/>
  <c r="BY2" i="26" l="1"/>
  <c r="CA2" i="26" s="1"/>
  <c r="BY4" i="26"/>
  <c r="BY3" i="26"/>
  <c r="BY5" i="26"/>
  <c r="CA3" i="26" l="1"/>
  <c r="BZ3" i="26"/>
  <c r="CA5" i="26"/>
  <c r="BZ5" i="26"/>
  <c r="BZ2" i="26"/>
  <c r="CA4" i="26"/>
  <c r="BZ4" i="26"/>
  <c r="CA6" i="2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  <author>Samantha Mote</author>
  </authors>
  <commentList>
    <comment ref="D15" authorId="0" shapeId="0" xr:uid="{803A2F17-038C-4EFB-86D5-FDA89B509DDD}">
      <text>
        <r>
          <rPr>
            <sz val="11"/>
            <color theme="1"/>
            <rFont val="Aptos Narrow"/>
            <family val="2"/>
            <scheme val="minor"/>
          </rPr>
          <t>Directo = costo/gasto cuyo driver es "Rutas": varía de forma directa si se agrega o elimina una ruta del canal Hogar (nómina de reparto, combustible, mtto. de camiones, supervisión de ventas, depreciación de unidades).
No Directo = costo cuyo driver es "Volumen CU" (costo de producto/COGS: producción, merma, fleteo primario, depreciación de fábrica; varía con las cajas movidas, no con el número de rutas) o "Venta $" (estructura comercial/administrativa que se prorratea como % de venta y no cambia al abrir o cerrar una ruta: comisiones, incidencia, DME, administración, back office, staff).</t>
        </r>
      </text>
    </comment>
    <comment ref="D24" authorId="0" shapeId="0" xr:uid="{58247C8A-31A9-45AD-9C27-4FD25CE757E4}">
      <text>
        <r>
          <rPr>
            <sz val="11"/>
            <color theme="1"/>
            <rFont val="Aptos Narrow"/>
            <family val="2"/>
            <scheme val="minor"/>
          </rPr>
          <t>Directo = costo/gasto cuyo driver es "Rutas": varía de forma directa si se agrega o elimina una ruta del canal Hogar (nómina de reparto, combustible, mtto. de camiones, supervisión de ventas, depreciación de unidades).
No Directo = costo cuyo driver es "Volumen CU" (costo de producto/COGS: producción, merma, fleteo primario, depreciación de fábrica; varía con las cajas movidas, no con el número de rutas) o "Venta $" (estructura comercial/administrativa que se prorratea como % de venta y no cambia al abrir o cerrar una ruta: comisiones, incidencia, DME, administración, back office, staff).</t>
        </r>
      </text>
    </comment>
    <comment ref="E37" authorId="1" shapeId="0" xr:uid="{46D206B8-9AD7-4D17-BDB9-2F9D428B9FCB}">
      <text>
        <r>
          <rPr>
            <b/>
            <sz val="9"/>
            <color indexed="81"/>
            <rFont val="Tahoma"/>
            <family val="2"/>
          </rPr>
          <t>Samantha Mote:</t>
        </r>
        <r>
          <rPr>
            <sz val="9"/>
            <color indexed="81"/>
            <rFont val="Tahoma"/>
            <family val="2"/>
          </rPr>
          <t xml:space="preserve">
Bonificaciones/descuentos otorgados sobre la venta. Ponderar por venta bruta del cedi.</t>
        </r>
      </text>
    </comment>
    <comment ref="E41" authorId="1" shapeId="0" xr:uid="{5930AD84-ACBC-4D33-A39B-367A673DAE22}">
      <text>
        <r>
          <rPr>
            <b/>
            <sz val="9"/>
            <color indexed="81"/>
            <rFont val="Tahoma"/>
            <family val="2"/>
          </rPr>
          <t>Costo de producto: unitario por caja. Ponderar por Cajas Unidad Totales del cedi.</t>
        </r>
      </text>
    </comment>
    <comment ref="E42" authorId="1" shapeId="0" xr:uid="{8ABA59AC-7A7D-418F-9D59-62CAA592C777}">
      <text>
        <r>
          <rPr>
            <b/>
            <sz val="9"/>
            <color indexed="81"/>
            <rFont val="Tahoma"/>
            <family val="2"/>
          </rPr>
          <t>Merma de envase: ligada a garrafones movidos. Ponderar por Cajas Unidad de Garrafón.</t>
        </r>
      </text>
    </comment>
    <comment ref="E43" authorId="1" shapeId="0" xr:uid="{C3338631-1E32-4F47-9604-CD0223F44427}">
      <text>
        <r>
          <rPr>
            <b/>
            <sz val="9"/>
            <color indexed="81"/>
            <rFont val="Tahoma"/>
            <family val="2"/>
          </rPr>
          <t>Incidencia: se calcula como % sobre venta bruta. Ponderar por venta bruta.</t>
        </r>
      </text>
    </comment>
    <comment ref="E44" authorId="1" shapeId="0" xr:uid="{3C213B2D-AB59-4B71-96D5-E94A8C8412CE}">
      <text>
        <r>
          <rPr>
            <b/>
            <sz val="9"/>
            <color indexed="81"/>
            <rFont val="Tahoma"/>
            <family val="2"/>
          </rPr>
          <t>Fleteo: traslado primario, escala con cajas transportadas. Ponderar por Cajas Unidad Totales. (Si el flete es por viaje dedicado, refinar con volumen x distancia al cedi).</t>
        </r>
      </text>
    </comment>
    <comment ref="E45" authorId="1" shapeId="0" xr:uid="{2C4C6872-153A-4A14-9DB4-528CCFC3B169}">
      <text>
        <r>
          <rPr>
            <b/>
            <sz val="9"/>
            <color indexed="81"/>
            <rFont val="Tahoma"/>
            <family val="2"/>
          </rPr>
          <t>Fleteo: traslado primario, escala con cajas transportadas. Ponderar por Cajas Unidad Totales. (Si el flete es por viaje dedicado, refinar con volumen x distancia al cedi).</t>
        </r>
      </text>
    </comment>
    <comment ref="E51" authorId="1" shapeId="0" xr:uid="{3101A5D3-DA5B-4FF1-99E8-1A97DB8B03DF}">
      <text>
        <r>
          <rPr>
            <b/>
            <sz val="9"/>
            <color indexed="81"/>
            <rFont val="Tahoma"/>
            <family val="2"/>
          </rPr>
          <t>Gasto de fábrica directo: capacidad de planta consumida por caja producida. Ponderar por Cajas Unidad.</t>
        </r>
      </text>
    </comment>
    <comment ref="E52" authorId="1" shapeId="0" xr:uid="{7C6D2D72-8854-4BFE-B719-26D6431D18FD}">
      <text>
        <r>
          <rPr>
            <b/>
            <sz val="9"/>
            <color indexed="81"/>
            <rFont val="Tahoma"/>
            <family val="2"/>
          </rPr>
          <t>Gasto de fábrica compartido: ponderar por Cajas Unidad.</t>
        </r>
      </text>
    </comment>
    <comment ref="E54" authorId="1" shapeId="0" xr:uid="{BCB25E5E-B991-4156-96CA-FB8F741EC7F1}">
      <text>
        <r>
          <rPr>
            <b/>
            <sz val="9"/>
            <color indexed="81"/>
            <rFont val="Tahoma"/>
            <family val="2"/>
          </rPr>
          <t>Gastos de Venta directos: sueldo y derivados de nómina del repartidor, combustible, mtto de eq. de transporte. Si se agrega/elimina una ruta el gasto cambia directo. Ponderar por número de rutas del cedi.</t>
        </r>
      </text>
    </comment>
    <comment ref="E55" authorId="1" shapeId="0" xr:uid="{0EC11D2A-0865-40C4-95DA-60F562D5ADEA}">
      <text>
        <r>
          <rPr>
            <b/>
            <sz val="9"/>
            <color indexed="81"/>
            <rFont val="Tahoma"/>
            <family val="2"/>
          </rPr>
          <t>Administración directa: estructura del cedi, no escala con rutas. Ponderar por venta.</t>
        </r>
      </text>
    </comment>
    <comment ref="E56" authorId="1" shapeId="0" xr:uid="{9CCC751E-4542-4B73-B7FD-FA05D8132891}">
      <text>
        <r>
          <rPr>
            <b/>
            <sz val="9"/>
            <color indexed="81"/>
            <rFont val="Tahoma"/>
            <family val="2"/>
          </rPr>
          <t>Staff México: overhead corporativo. Ponderar por venta.</t>
        </r>
      </text>
    </comment>
    <comment ref="E57" authorId="1" shapeId="0" xr:uid="{E65DC28E-2EAB-4B62-912B-F20432417DA0}">
      <text>
        <r>
          <rPr>
            <b/>
            <sz val="9"/>
            <color indexed="81"/>
            <rFont val="Tahoma"/>
            <family val="2"/>
          </rPr>
          <t>DME / Gastos de Mercado: inversión comercial asociada a la venta. Ponderar por venta bruta.</t>
        </r>
      </text>
    </comment>
    <comment ref="E58" authorId="1" shapeId="0" xr:uid="{0EDA92B0-33B2-4964-939C-B6722D558D06}">
      <text>
        <r>
          <rPr>
            <b/>
            <sz val="9"/>
            <color indexed="81"/>
            <rFont val="Tahoma"/>
            <family val="2"/>
          </rPr>
          <t>Obsequio de envase: ligado a garrafones colocados. Ponderar por Cajas Unidad de Garrafón.</t>
        </r>
      </text>
    </comment>
    <comment ref="E59" authorId="1" shapeId="0" xr:uid="{93E105FD-0590-43D1-8931-61BC429BE3F4}">
      <text>
        <r>
          <rPr>
            <b/>
            <sz val="9"/>
            <color indexed="81"/>
            <rFont val="Tahoma"/>
            <family val="2"/>
          </rPr>
          <t>Servicio de televenta: escala con órdenes/venta, no con rutas físicas. Ponderar por venta.</t>
        </r>
      </text>
    </comment>
    <comment ref="E65" authorId="1" shapeId="0" xr:uid="{36028A34-6B8F-49FC-8352-47A892830E4D}">
      <text>
        <r>
          <rPr>
            <b/>
            <sz val="9"/>
            <color indexed="81"/>
            <rFont val="Tahoma"/>
            <family val="2"/>
          </rPr>
          <t>Gastos de Venta compartidos: supervisión / jefatura de ventas. El tramo de control se define por número de rutas. Ponderar por rutas.</t>
        </r>
      </text>
    </comment>
    <comment ref="E66" authorId="1" shapeId="0" xr:uid="{96E49F3B-1D7B-402A-9105-EB2D428FA1CD}">
      <text>
        <r>
          <rPr>
            <b/>
            <sz val="9"/>
            <color indexed="81"/>
            <rFont val="Tahoma"/>
            <family val="2"/>
          </rPr>
          <t>Administración directa: estructura del cedi, no escala con rutas. Ponderar por venta.</t>
        </r>
      </text>
    </comment>
    <comment ref="E67" authorId="1" shapeId="0" xr:uid="{44AC1CE5-8976-40F1-8332-9B4D0527E341}">
      <text>
        <r>
          <rPr>
            <b/>
            <sz val="9"/>
            <color indexed="81"/>
            <rFont val="Tahoma"/>
            <family val="2"/>
          </rPr>
          <t>Staff México: overhead corporativo. Ponderar por venta.</t>
        </r>
      </text>
    </comment>
    <comment ref="E74" authorId="1" shapeId="0" xr:uid="{B619CBB0-2872-4ED4-9852-0BEE9F72C7D3}">
      <text>
        <r>
          <rPr>
            <b/>
            <sz val="9"/>
            <color indexed="81"/>
            <rFont val="Tahoma"/>
            <family val="2"/>
          </rPr>
          <t>Staff México: overhead corporativo. Ponderar por venta.</t>
        </r>
      </text>
    </comment>
    <comment ref="E75" authorId="1" shapeId="0" xr:uid="{11158FFD-ECC1-4F73-8B63-1A1B065156C1}">
      <text>
        <r>
          <rPr>
            <b/>
            <sz val="9"/>
            <color indexed="81"/>
            <rFont val="Tahoma"/>
            <family val="2"/>
          </rPr>
          <t>Staff Región: overhead regional, independiente del número de rutas. Ponderar por venta.</t>
        </r>
      </text>
    </comment>
    <comment ref="E76" authorId="1" shapeId="0" xr:uid="{443EBB8E-AFC9-403D-9E46-8AF6ED7A27F5}">
      <text>
        <r>
          <rPr>
            <b/>
            <sz val="9"/>
            <color indexed="81"/>
            <rFont val="Tahoma"/>
            <family val="2"/>
          </rPr>
          <t>Staff México: overhead corporativo. Ponderar por venta.</t>
        </r>
      </text>
    </comment>
    <comment ref="E83" authorId="1" shapeId="0" xr:uid="{E3C84A62-6C4B-4999-A8C1-4AF5AB80BC00}">
      <text>
        <r>
          <rPr>
            <b/>
            <sz val="9"/>
            <color indexed="81"/>
            <rFont val="Tahoma"/>
            <family val="2"/>
          </rPr>
          <t>Gastos no recurrentes: si son identificables por cedi, asignar directo; si no, ponderar por venta.</t>
        </r>
      </text>
    </comment>
    <comment ref="E84" authorId="1" shapeId="0" xr:uid="{2A045CE1-E36C-4CD7-9179-924DB5B7BAA7}">
      <text>
        <r>
          <rPr>
            <b/>
            <sz val="9"/>
            <color indexed="81"/>
            <rFont val="Tahoma"/>
            <family val="2"/>
          </rPr>
          <t>Otros ingresos: ponderar por venta.</t>
        </r>
      </text>
    </comment>
    <comment ref="E86" authorId="1" shapeId="0" xr:uid="{11B1FDBE-F893-42AA-946E-5245E77E438F}">
      <text>
        <r>
          <rPr>
            <b/>
            <sz val="9"/>
            <color indexed="81"/>
            <rFont val="Tahoma"/>
            <family val="2"/>
          </rPr>
          <t>Depreciación de ventas: unidades de reparto y equipo de venta, uno por ruta. Ponderar por rutas.</t>
        </r>
      </text>
    </comment>
    <comment ref="E87" authorId="1" shapeId="0" xr:uid="{2EC8ED0F-24BE-44D7-ADCC-7B9AEBBE97B3}">
      <text>
        <r>
          <rPr>
            <b/>
            <sz val="9"/>
            <color indexed="81"/>
            <rFont val="Tahoma"/>
            <family val="2"/>
          </rPr>
          <t>Depreciación de fábrica: activo fijo de planta consumido por caja. Ponderar por Cajas Unidad.</t>
        </r>
      </text>
    </comment>
    <comment ref="E88" authorId="1" shapeId="0" xr:uid="{69A1169E-AAEF-451F-9905-FDC15A7CA100}">
      <text>
        <r>
          <rPr>
            <b/>
            <sz val="9"/>
            <color indexed="81"/>
            <rFont val="Tahoma"/>
            <family val="2"/>
          </rPr>
          <t>Staff México: overhead corporativo. Ponderar por venta.</t>
        </r>
      </text>
    </comment>
    <comment ref="E89" authorId="1" shapeId="0" xr:uid="{3E544BCC-7EE7-41DF-9FB5-C110C1F6A20D}">
      <text>
        <r>
          <rPr>
            <b/>
            <sz val="9"/>
            <color indexed="81"/>
            <rFont val="Tahoma"/>
            <family val="2"/>
          </rPr>
          <t>Depreciación fábrica compartida: ponderar por Cajas Unidad.</t>
        </r>
      </text>
    </comment>
    <comment ref="E90" authorId="1" shapeId="0" xr:uid="{8F21086D-DFCE-4089-A2B1-8BBE98E3A185}">
      <text>
        <r>
          <rPr>
            <b/>
            <sz val="9"/>
            <color indexed="81"/>
            <rFont val="Tahoma"/>
            <family val="2"/>
          </rPr>
          <t>Depreciación fábrica compartida: ponderar por Cajas Unidad.</t>
        </r>
      </text>
    </comment>
    <comment ref="E91" authorId="1" shapeId="0" xr:uid="{82ECA052-2D96-40B0-8C8E-6566B766B08A}">
      <text>
        <r>
          <rPr>
            <b/>
            <sz val="9"/>
            <color indexed="81"/>
            <rFont val="Tahoma"/>
            <family val="2"/>
          </rPr>
          <t>Depreciación fábrica compartida OP: ponderar por Cajas Unidad de Otros Productos.</t>
        </r>
      </text>
    </comment>
    <comment ref="E92" authorId="1" shapeId="0" xr:uid="{A650D472-706D-4468-B0BA-84D1879B0095}">
      <text>
        <r>
          <rPr>
            <b/>
            <sz val="9"/>
            <color indexed="81"/>
            <rFont val="Tahoma"/>
            <family val="2"/>
          </rPr>
          <t>Depreciación GOD: equipo directo de la ruta. Ponderar por rutas.</t>
        </r>
      </text>
    </comment>
    <comment ref="E266" authorId="1" shapeId="0" xr:uid="{E6E937D3-7410-4152-BAB7-055C78327B20}">
      <text>
        <r>
          <rPr>
            <b/>
            <sz val="9"/>
            <color indexed="81"/>
            <rFont val="Tahoma"/>
            <family val="2"/>
          </rPr>
          <t>Fleteo: traslado primario, escala con cajas transportadas. Ponderar por Cajas Unidad Totales. (Si el flete es por viaje dedicado, refinar con volumen x distancia al cedi).</t>
        </r>
      </text>
    </comment>
    <comment ref="E267" authorId="1" shapeId="0" xr:uid="{00442D4E-6A48-4373-B199-5668588FC127}">
      <text>
        <r>
          <rPr>
            <b/>
            <sz val="9"/>
            <color indexed="81"/>
            <rFont val="Tahoma"/>
            <family val="2"/>
          </rPr>
          <t>Fleteo: traslado primario, escala con cajas transportadas. Ponderar por Cajas Unidad Totales. (Si el flete es por viaje dedicado, refinar con volumen x distancia al cedi).</t>
        </r>
      </text>
    </comment>
    <comment ref="E270" authorId="1" shapeId="0" xr:uid="{2048AC4A-629E-460A-8951-E53C6B499E18}">
      <text>
        <r>
          <rPr>
            <b/>
            <sz val="9"/>
            <color indexed="81"/>
            <rFont val="Tahoma"/>
            <family val="2"/>
          </rPr>
          <t>Gastos de Venta directos: sueldo y derivados de nómina del repartidor, combustible, mtto de eq. de transporte. Si se agrega/elimina una ruta el gasto cambia directo. Ponderar por número de rutas del cedi.</t>
        </r>
      </text>
    </comment>
    <comment ref="E271" authorId="1" shapeId="0" xr:uid="{E74414F3-2793-4796-BBDA-83E448CFE6DE}">
      <text>
        <r>
          <rPr>
            <b/>
            <sz val="9"/>
            <color indexed="81"/>
            <rFont val="Tahoma"/>
            <family val="2"/>
          </rPr>
          <t>Servicio de televenta: escala con órdenes/venta, no con rutas físicas. Ponderar por venta.</t>
        </r>
      </text>
    </comment>
    <comment ref="E274" authorId="1" shapeId="0" xr:uid="{17798BD8-0585-4984-8279-0572DCC8339A}">
      <text>
        <r>
          <rPr>
            <b/>
            <sz val="9"/>
            <color indexed="81"/>
            <rFont val="Tahoma"/>
            <family val="2"/>
          </rPr>
          <t>Gastos de Venta compartidos: supervisión / jefatura de ventas. El tramo de control se define por número de rutas. Ponderar por rutas.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Manuel Gutierrez</author>
  </authors>
  <commentList>
    <comment ref="U3" authorId="0" shapeId="0" xr:uid="{E3B51035-3784-4097-8AD2-2013849A6C72}">
      <text>
        <r>
          <rPr>
            <b/>
            <sz val="9"/>
            <color indexed="81"/>
            <rFont val="Tahoma"/>
            <family val="2"/>
          </rPr>
          <t>Luis Manuel Gutierrez:</t>
        </r>
        <r>
          <rPr>
            <sz val="9"/>
            <color indexed="81"/>
            <rFont val="Tahoma"/>
            <family val="2"/>
          </rPr>
          <t xml:space="preserve">
Corte de cumplimiento: debajo de este % el puntaje es 1.</t>
        </r>
      </text>
    </comment>
    <comment ref="V3" authorId="0" shapeId="0" xr:uid="{21DBFF0F-1135-409C-8A59-147502A788C1}">
      <text>
        <r>
          <rPr>
            <b/>
            <sz val="9"/>
            <color indexed="81"/>
            <rFont val="Tahoma"/>
            <family val="2"/>
          </rPr>
          <t>Luis Manuel Gutierrez:</t>
        </r>
        <r>
          <rPr>
            <sz val="9"/>
            <color indexed="81"/>
            <rFont val="Tahoma"/>
            <family val="2"/>
          </rPr>
          <t xml:space="preserve">
Corte de cumplimiento: puntaje 2 a partir de aquí.</t>
        </r>
      </text>
    </comment>
    <comment ref="W3" authorId="0" shapeId="0" xr:uid="{0D3A00DB-6995-4C74-8748-CBEC61356082}">
      <text>
        <r>
          <rPr>
            <b/>
            <sz val="9"/>
            <color indexed="81"/>
            <rFont val="Tahoma"/>
            <family val="2"/>
          </rPr>
          <t>Luis Manuel Gutierrez:</t>
        </r>
        <r>
          <rPr>
            <sz val="9"/>
            <color indexed="81"/>
            <rFont val="Tahoma"/>
            <family val="2"/>
          </rPr>
          <t xml:space="preserve">
Corte de cumplimiento: puntaje 3 a partir de aquí.</t>
        </r>
      </text>
    </comment>
    <comment ref="X3" authorId="0" shapeId="0" xr:uid="{428171C4-39CA-40B4-95DC-8EC027E5C832}">
      <text>
        <r>
          <rPr>
            <b/>
            <sz val="9"/>
            <color indexed="81"/>
            <rFont val="Tahoma"/>
            <family val="2"/>
          </rPr>
          <t>Luis Manuel Gutierrez:</t>
        </r>
        <r>
          <rPr>
            <sz val="9"/>
            <color indexed="81"/>
            <rFont val="Tahoma"/>
            <family val="2"/>
          </rPr>
          <t xml:space="preserve">
Corte de cumplimiento: puntaje 4 a partir de aquí; arriba de este valor es 5.</t>
        </r>
      </text>
    </comment>
    <comment ref="AB3" authorId="0" shapeId="0" xr:uid="{0A752AF5-3F75-450C-90E4-B1674EA4B944}">
      <text>
        <r>
          <rPr>
            <b/>
            <sz val="9"/>
            <color indexed="81"/>
            <rFont val="Tahoma"/>
            <family val="2"/>
          </rPr>
          <t>Pesos vinculados a la pestaña 'Análisis de KPIs' (sección D): 40% impacto en margen/venta + 20% no redundancia + 40% relevancia estratégica. Editar los inputs allá, no aquí.</t>
        </r>
      </text>
    </comment>
    <comment ref="AL3" authorId="0" shapeId="0" xr:uid="{1C8DA259-6CAF-4110-8A82-E701408FD68A}">
      <text>
        <r>
          <rPr>
            <b/>
            <sz val="9"/>
            <color indexed="81"/>
            <rFont val="Tahoma"/>
            <family val="2"/>
          </rPr>
          <t>Luis Manuel Gutierrez:</t>
        </r>
        <r>
          <rPr>
            <sz val="9"/>
            <color indexed="81"/>
            <rFont val="Tahoma"/>
            <family val="2"/>
          </rPr>
          <t xml:space="preserve">
Cobertura de datos &gt;= este valor -&gt; Confiabilidad Alta.</t>
        </r>
      </text>
    </comment>
    <comment ref="BK3" authorId="0" shapeId="0" xr:uid="{21AAFE03-0040-4C8B-BB80-FEBDB3495E2B}">
      <text>
        <r>
          <rPr>
            <b/>
            <sz val="9"/>
            <color indexed="81"/>
            <rFont val="Tahoma"/>
            <family val="2"/>
          </rPr>
          <t>Luis Manuel Gutierrez:</t>
        </r>
        <r>
          <rPr>
            <sz val="9"/>
            <color indexed="81"/>
            <rFont val="Tahoma"/>
            <family val="2"/>
          </rPr>
          <t xml:space="preserve">
Peso del criterio 'Hogares totales ABC+' en el Índice de Atractivo. Editable.</t>
        </r>
      </text>
    </comment>
    <comment ref="BL3" authorId="0" shapeId="0" xr:uid="{012CCFDD-B134-487F-A795-59F63D8CCE1B}">
      <text>
        <r>
          <rPr>
            <b/>
            <sz val="9"/>
            <color indexed="81"/>
            <rFont val="Tahoma"/>
            <family val="2"/>
          </rPr>
          <t>Peso del criterio 'Hogares potenciales a capturar'. Editable.</t>
        </r>
      </text>
    </comment>
    <comment ref="BM3" authorId="0" shapeId="0" xr:uid="{FCAE43E5-FA84-4E3E-A1C7-ABD7C3D0BC02}">
      <text>
        <r>
          <rPr>
            <b/>
            <sz val="9"/>
            <color indexed="81"/>
            <rFont val="Tahoma"/>
            <family val="2"/>
          </rPr>
          <t>Peso del criterio 'Potencial de Ingreso'. Editable.</t>
        </r>
      </text>
    </comment>
    <comment ref="BN3" authorId="0" shapeId="0" xr:uid="{65C22153-9809-45D7-94A2-EF2D118492AB}">
      <text>
        <r>
          <rPr>
            <b/>
            <sz val="9"/>
            <color indexed="81"/>
            <rFont val="Tahoma"/>
            <family val="2"/>
          </rPr>
          <t>Peso del criterio 'Potencial CU'. Editable.</t>
        </r>
      </text>
    </comment>
    <comment ref="BS3" authorId="0" shapeId="0" xr:uid="{45F5A65D-94E6-4827-B8FE-E202CDCE83EC}">
      <text>
        <r>
          <rPr>
            <b/>
            <sz val="9"/>
            <color indexed="81"/>
            <rFont val="Tahoma"/>
            <family val="2"/>
          </rPr>
          <t>Luis Manuel Gutierrez:</t>
        </r>
        <r>
          <rPr>
            <sz val="9"/>
            <color indexed="81"/>
            <rFont val="Tahoma"/>
            <family val="2"/>
          </rPr>
          <t xml:space="preserve">
Peso del Índice de Ejecución (AJ) en el eje Y de la ruta. Editable.</t>
        </r>
      </text>
    </comment>
    <comment ref="BU3" authorId="0" shapeId="0" xr:uid="{D20596A3-1BC9-4E0B-A130-A61B7A1DDE72}">
      <text>
        <r>
          <rPr>
            <b/>
            <sz val="9"/>
            <color indexed="81"/>
            <rFont val="Tahoma"/>
            <family val="2"/>
          </rPr>
          <t>Peso del Índice de Saturación en el eje Y de la ruta. Saturada = 100, No saturada = 0. Editable.</t>
        </r>
      </text>
    </comment>
    <comment ref="BV3" authorId="0" shapeId="0" xr:uid="{CC01AD62-5D3D-4C7E-A006-628F564A1423}">
      <text>
        <r>
          <rPr>
            <b/>
            <sz val="9"/>
            <color indexed="81"/>
            <rFont val="Tahoma"/>
            <family val="2"/>
          </rPr>
          <t>Luis Manuel Gutierrez:</t>
        </r>
        <r>
          <rPr>
            <sz val="9"/>
            <color indexed="81"/>
            <rFont val="Tahoma"/>
            <family val="2"/>
          </rPr>
          <t xml:space="preserve">
Suma de pesos del eje Y. Debe ser 100%.</t>
        </r>
      </text>
    </comment>
    <comment ref="AI4" authorId="0" shapeId="0" xr:uid="{6FCDA03D-4B72-4392-92C5-5C56F0EE0FAE}">
      <text>
        <r>
          <rPr>
            <b/>
            <sz val="9"/>
            <color indexed="81"/>
            <rFont val="Tahoma"/>
            <family val="2"/>
          </rPr>
          <t>Luis Manuel Gutierrez:</t>
        </r>
        <r>
          <rPr>
            <sz val="9"/>
            <color indexed="81"/>
            <rFont val="Tahoma"/>
            <family val="2"/>
          </rPr>
          <t xml:space="preserve">
Cobertura mínima de datos para calcular el Índice de Madurez. Debajo de esto la ruta no se clasifica.</t>
        </r>
      </text>
    </comment>
    <comment ref="AJ4" authorId="0" shapeId="0" xr:uid="{9C74EBF8-5F46-47AB-B19C-9D2EA9BFA3EA}">
      <text>
        <r>
          <rPr>
            <b/>
            <sz val="9"/>
            <color indexed="81"/>
            <rFont val="Tahoma"/>
            <family val="2"/>
          </rPr>
          <t>Luis Manuel Gutierrez:</t>
        </r>
        <r>
          <rPr>
            <sz val="9"/>
            <color indexed="81"/>
            <rFont val="Tahoma"/>
            <family val="2"/>
          </rPr>
          <t xml:space="preserve">
Índice de Madurez &gt;= este valor -&gt; ruta Madura.</t>
        </r>
      </text>
    </comment>
    <comment ref="AK4" authorId="0" shapeId="0" xr:uid="{AD29FF42-5A9E-4B8A-AB52-20AA5257A57F}">
      <text>
        <r>
          <rPr>
            <b/>
            <sz val="9"/>
            <color indexed="81"/>
            <rFont val="Tahoma"/>
            <family val="2"/>
          </rPr>
          <t>Luis Manuel Gutierrez:</t>
        </r>
        <r>
          <rPr>
            <sz val="9"/>
            <color indexed="81"/>
            <rFont val="Tahoma"/>
            <family val="2"/>
          </rPr>
          <t xml:space="preserve">
Índice de Madurez &lt; este valor -&gt; ruta Inmadura. En medio queda 'En desarrollo'.</t>
        </r>
      </text>
    </comment>
    <comment ref="AL4" authorId="0" shapeId="0" xr:uid="{7E914FCC-E993-40F8-BEAD-E577D076F188}">
      <text>
        <r>
          <rPr>
            <b/>
            <sz val="9"/>
            <color indexed="81"/>
            <rFont val="Tahoma"/>
            <family val="2"/>
          </rPr>
          <t>Luis Manuel Gutierrez:</t>
        </r>
        <r>
          <rPr>
            <sz val="9"/>
            <color indexed="81"/>
            <rFont val="Tahoma"/>
            <family val="2"/>
          </rPr>
          <t xml:space="preserve">
Cobertura de datos &gt;= este valor -&gt; Confiabilidad Media. Debajo es Baja.</t>
        </r>
      </text>
    </comment>
    <comment ref="AO4" authorId="0" shapeId="0" xr:uid="{65BC4E3A-2325-4C74-AA03-4196C5940D84}">
      <text>
        <r>
          <rPr>
            <b/>
            <sz val="9"/>
            <color indexed="81"/>
            <rFont val="Tahoma"/>
            <family val="2"/>
          </rPr>
          <t>Luis Manuel Gutierrez:</t>
        </r>
        <r>
          <rPr>
            <sz val="9"/>
            <color indexed="81"/>
            <rFont val="Tahoma"/>
            <family val="2"/>
          </rPr>
          <t xml:space="preserve">
%CDS asignado &gt;= este valor -&gt; la ruta se marca en riesgo y cae en Desestimar.</t>
        </r>
      </text>
    </comment>
    <comment ref="BC4" authorId="0" shapeId="0" xr:uid="{2FCB96A4-950C-48BC-AFD0-A0CC82EC9754}">
      <text>
        <r>
          <rPr>
            <b/>
            <sz val="9"/>
            <color indexed="81"/>
            <rFont val="Tahoma"/>
            <family val="2"/>
          </rPr>
          <t>Un delta menor o igual a este valor cuenta como 'sin holgura'. Con 1 sola señal sin holgura la ruta se marca Saturada.</t>
        </r>
      </text>
    </comment>
    <comment ref="BD4" authorId="0" shapeId="0" xr:uid="{FCE0C341-3101-4D56-8AE0-9CD96221A554}">
      <text>
        <r>
          <rPr>
            <b/>
            <sz val="9"/>
            <color indexed="81"/>
            <rFont val="Tahoma"/>
            <family val="2"/>
          </rPr>
          <t>Luis Manuel Gutierrez:</t>
        </r>
        <r>
          <rPr>
            <sz val="9"/>
            <color indexed="81"/>
            <rFont val="Tahoma"/>
            <family val="2"/>
          </rPr>
          <t xml:space="preserve">
Indicadores núcleo cumplidos &gt;= este valor -&gt; cerca del tope (Amarillo) -&gt; Mantener.</t>
        </r>
      </text>
    </comment>
    <comment ref="BE4" authorId="0" shapeId="0" xr:uid="{994C055F-888D-43F4-B310-FDD34AD5FFCC}">
      <text>
        <r>
          <rPr>
            <b/>
            <sz val="9"/>
            <color indexed="81"/>
            <rFont val="Tahoma"/>
            <family val="2"/>
          </rPr>
          <t>Luis Manuel Gutierrez:</t>
        </r>
        <r>
          <rPr>
            <sz val="9"/>
            <color indexed="81"/>
            <rFont val="Tahoma"/>
            <family val="2"/>
          </rPr>
          <t xml:space="preserve">
Capacidad adicional &lt;= este valor cuenta como señal de saturación: si a la ruta no le caben más clientes, no puede quedar como 'Con espacio'.</t>
        </r>
      </text>
    </comment>
    <comment ref="BO4" authorId="0" shapeId="0" xr:uid="{C28627DF-858D-4303-AF26-E4DF785F4AF0}">
      <text>
        <r>
          <rPr>
            <b/>
            <sz val="9"/>
            <color indexed="81"/>
            <rFont val="Tahoma"/>
            <family val="2"/>
          </rPr>
          <t>Luis Manuel Gutierrez:</t>
        </r>
        <r>
          <rPr>
            <sz val="9"/>
            <color indexed="81"/>
            <rFont val="Tahoma"/>
            <family val="2"/>
          </rPr>
          <t xml:space="preserve">
Cobertura mínima de datos de zona para calcular el Índice de Atractivo.</t>
        </r>
      </text>
    </comment>
    <comment ref="BP4" authorId="0" shapeId="0" xr:uid="{F0900050-5CA5-44A4-9096-C8A6D30A3F9E}">
      <text>
        <r>
          <rPr>
            <b/>
            <sz val="9"/>
            <color indexed="81"/>
            <rFont val="Tahoma"/>
            <family val="2"/>
          </rPr>
          <t>Luis Manuel Gutierrez:</t>
        </r>
        <r>
          <rPr>
            <sz val="9"/>
            <color indexed="81"/>
            <rFont val="Tahoma"/>
            <family val="2"/>
          </rPr>
          <t xml:space="preserve">
Índice de Atractivo &gt;= este valor -&gt; zona de atractivo Alto. 50 equivale a estar justo en el p75 de su región.</t>
        </r>
      </text>
    </comment>
    <comment ref="BQ4" authorId="0" shapeId="0" xr:uid="{9F19FAE8-BA2A-480E-A3B9-C008D0E8E3AA}">
      <text>
        <r>
          <rPr>
            <b/>
            <sz val="9"/>
            <color indexed="81"/>
            <rFont val="Tahoma"/>
            <family val="2"/>
          </rPr>
          <t>Índice de Atractivo &lt; este valor -&gt; zona de atractivo Bajo.</t>
        </r>
      </text>
    </comment>
    <comment ref="BS4" authorId="0" shapeId="0" xr:uid="{CE4596BD-83F6-47BD-988D-87A93333579F}">
      <text>
        <r>
          <rPr>
            <b/>
            <sz val="9"/>
            <color indexed="81"/>
            <rFont val="Tahoma"/>
            <family val="2"/>
          </rPr>
          <t>Luis Manuel Gutierrez:</t>
        </r>
        <r>
          <rPr>
            <sz val="9"/>
            <color indexed="81"/>
            <rFont val="Tahoma"/>
            <family val="2"/>
          </rPr>
          <t xml:space="preserve">
Corte horizontal del 2x2: por defecto la MEDIANA del eje Y de todas las rutas. Puedes escribir un valor fijo encima.</t>
        </r>
      </text>
    </comment>
    <comment ref="BU4" authorId="0" shapeId="0" xr:uid="{58E858AA-A76B-4289-9152-B20806CD421B}">
      <text>
        <r>
          <rPr>
            <b/>
            <sz val="9"/>
            <color indexed="81"/>
            <rFont val="Tahoma"/>
            <family val="2"/>
          </rPr>
          <t>Corte vertical del 2x2: por defecto la MEDIANA del eje X (atractividad). Puedes escribir un valor fijo encima. Vacío mientras no haya datos en CG:CJ de la base.</t>
        </r>
      </text>
    </comment>
    <comment ref="BR7" authorId="0" shapeId="0" xr:uid="{A85E56C7-5198-4F35-897B-FE2247F6E51F}">
      <text>
        <r>
          <rPr>
            <b/>
            <sz val="9"/>
            <color indexed="81"/>
            <rFont val="Tahoma"/>
            <family val="2"/>
          </rPr>
          <t>Luis Manuel Gutierrez:</t>
        </r>
        <r>
          <rPr>
            <sz val="9"/>
            <color indexed="81"/>
            <rFont val="Tahoma"/>
            <family val="2"/>
          </rPr>
          <t xml:space="preserve">
Homologado con el eje Y del CeDi: promedio ponderado del Índice de Ejecución (AJ) y del Índice de Saturación (AW/3*100), con los pesos de 'Matriz CeDis'!D10:D11.</t>
        </r>
      </text>
    </comment>
    <comment ref="BS7" authorId="0" shapeId="0" xr:uid="{51A59647-0098-4490-80C5-14E5923D9EB8}">
      <text>
        <r>
          <rPr>
            <b/>
            <sz val="9"/>
            <color indexed="81"/>
            <rFont val="Tahoma"/>
            <family val="2"/>
          </rPr>
          <t>Luis Manuel Gutierrez:</t>
        </r>
        <r>
          <rPr>
            <sz val="9"/>
            <color indexed="81"/>
            <rFont val="Tahoma"/>
            <family val="2"/>
          </rPr>
          <t xml:space="preserve">
Índice de Atractivo propio de la ruta (BL). Vacío cuando la cobertura de datos de zona no alcanza el mínimo.</t>
        </r>
      </text>
    </comment>
    <comment ref="BT7" authorId="0" shapeId="0" xr:uid="{7CA2883C-8E45-449C-897E-A24B795E14EC}">
      <text>
        <r>
          <rPr>
            <b/>
            <sz val="9"/>
            <color indexed="81"/>
            <rFont val="Tahoma"/>
            <family val="2"/>
          </rPr>
          <t>Luis Manuel Gutierrez:</t>
        </r>
        <r>
          <rPr>
            <sz val="9"/>
            <color indexed="81"/>
            <rFont val="Tahoma"/>
            <family val="2"/>
          </rPr>
          <t xml:space="preserve">
Cuadrante 2x2 de la ruta usando los MISMOS ejes y los MISMOS cortes que la matriz de CeDis ('Matriz CeDis'!D12 y D13). Comparable directamente con la P del CeDi.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<sst xmlns="http://schemas.openxmlformats.org/spreadsheetml/2006/main" count="18341" uniqueCount="1698">
  <si>
    <t>Identificación</t>
  </si>
  <si>
    <t>Rentabilidad y volumen (Costo de Servir)</t>
  </si>
  <si>
    <t>Potencial y palancas de crecimiento</t>
  </si>
  <si>
    <t>Saturación de rutas (agregado a CeDi)</t>
  </si>
  <si>
    <t>Llaves de cruce</t>
  </si>
  <si>
    <t>Rutas</t>
  </si>
  <si>
    <t>Volumen [CU]</t>
  </si>
  <si>
    <t>Costos</t>
  </si>
  <si>
    <t>Venta, CDS y cuadrante</t>
  </si>
  <si>
    <t>Operación de ruta</t>
  </si>
  <si>
    <t>Mezcla (%)</t>
  </si>
  <si>
    <t>Venta por producto y productividad</t>
  </si>
  <si>
    <t>Base de rutas</t>
  </si>
  <si>
    <t>Clientes</t>
  </si>
  <si>
    <t>Cobertura vs. benchmark</t>
  </si>
  <si>
    <t>Brecha de cobertura (escenario)</t>
  </si>
  <si>
    <t>Ingreso y uplift</t>
  </si>
  <si>
    <t>Potencial anualizado — cobertura</t>
  </si>
  <si>
    <t>Palanca de ticket</t>
  </si>
  <si>
    <t>Total palancas</t>
  </si>
  <si>
    <t>Conteo de rutas por zona</t>
  </si>
  <si>
    <t>Intensidad y holgura</t>
  </si>
  <si>
    <t>Promedios operativos</t>
  </si>
  <si>
    <t>Región</t>
  </si>
  <si>
    <t>Territorio EERR</t>
  </si>
  <si>
    <t>CeDi</t>
  </si>
  <si>
    <t>Rutas Hogar</t>
  </si>
  <si>
    <t>Cajas Unidad Garrafón</t>
  </si>
  <si>
    <t>Cajas Unidad Otros Productos</t>
  </si>
  <si>
    <t>Volumen Total en Cajas Unidad [CU]</t>
  </si>
  <si>
    <t>Costos de Venta Variable</t>
  </si>
  <si>
    <t>GOD</t>
  </si>
  <si>
    <t>GOC</t>
  </si>
  <si>
    <t>Costo-De-Servir</t>
  </si>
  <si>
    <t>Venta Neta</t>
  </si>
  <si>
    <t>%CDS vs. Venta Neta</t>
  </si>
  <si>
    <t>Cuadrante</t>
  </si>
  <si>
    <t>Número de clientes x ruta</t>
  </si>
  <si>
    <t>Frecuencia Conv. [/semana]</t>
  </si>
  <si>
    <t>Frecuencia Web [/semana]</t>
  </si>
  <si>
    <t>Camiones</t>
  </si>
  <si>
    <t xml:space="preserve">Pallets </t>
  </si>
  <si>
    <t>% Venta Conv.</t>
  </si>
  <si>
    <t>% Venta Web.</t>
  </si>
  <si>
    <t>% Venta GFN</t>
  </si>
  <si>
    <t>% Venta OP</t>
  </si>
  <si>
    <t>% Venta MC</t>
  </si>
  <si>
    <t>Venta GFN [MXN]</t>
  </si>
  <si>
    <t>Venta OP [MXN]</t>
  </si>
  <si>
    <t>Venta MC [MXN]</t>
  </si>
  <si>
    <t>Ingreso / Ruta</t>
  </si>
  <si>
    <t>Rutas activas</t>
  </si>
  <si>
    <t>Rutas con brecha de cobertura</t>
  </si>
  <si>
    <t>Ctes. programados</t>
  </si>
  <si>
    <t>Ctes. con compra</t>
  </si>
  <si>
    <t>Cobertura actual</t>
  </si>
  <si>
    <t>Benchmark p75 del CeDi</t>
  </si>
  <si>
    <t>Ctes. increm. (100%)</t>
  </si>
  <si>
    <t>Ctes. increm. (escenario)</t>
  </si>
  <si>
    <t>Cobertura objetivo (escenario)</t>
  </si>
  <si>
    <t>Ingreso actual (periodo)</t>
  </si>
  <si>
    <t>Ingreso increm. cobertura (periodo)</t>
  </si>
  <si>
    <t>Uplift cobertura %</t>
  </si>
  <si>
    <t>Anualizado cobertura</t>
  </si>
  <si>
    <t>% del potencial del canal</t>
  </si>
  <si>
    <t>Ranking por potencial</t>
  </si>
  <si>
    <t>Rutas con brecha de ticket</t>
  </si>
  <si>
    <t>Anualizado ticket</t>
  </si>
  <si>
    <t>Anualizado ambas palancas</t>
  </si>
  <si>
    <t>Rutas evaluadas</t>
  </si>
  <si>
    <t>Rutas saturadas (rojo)</t>
  </si>
  <si>
    <t>Rutas cerca del tope (amarillo)</t>
  </si>
  <si>
    <t>Rutas con espacio (verde)</t>
  </si>
  <si>
    <t>% rutas saturadas</t>
  </si>
  <si>
    <t>Capacidad adicional (clientes)</t>
  </si>
  <si>
    <t>Clientes atiende/día (prom.)</t>
  </si>
  <si>
    <t>Efectividad de compra (prom.)</t>
  </si>
  <si>
    <t>Volumen CU/día (prom.)</t>
  </si>
  <si>
    <t>Efectividad de compra</t>
  </si>
  <si>
    <t>Sc. Efectividad</t>
  </si>
  <si>
    <t>Clasificación de madurez</t>
  </si>
  <si>
    <t>Recomendación</t>
  </si>
  <si>
    <t>CeDis</t>
  </si>
  <si>
    <t>% del total</t>
  </si>
  <si>
    <t>Total</t>
  </si>
  <si>
    <t>Ticket x cliente</t>
  </si>
  <si>
    <t>Lectura</t>
  </si>
  <si>
    <t>Clientes/día</t>
  </si>
  <si>
    <t>Cumpl. Efectividad</t>
  </si>
  <si>
    <t>Cumpl. Ticket</t>
  </si>
  <si>
    <t>Sc. Ticket</t>
  </si>
  <si>
    <t>Cobertura de datos</t>
  </si>
  <si>
    <t>Noreste</t>
  </si>
  <si>
    <t>Norte</t>
  </si>
  <si>
    <t>Occidente</t>
  </si>
  <si>
    <t>Pacifico</t>
  </si>
  <si>
    <t>Confiabilidad del dato</t>
  </si>
  <si>
    <t>Sin datos - No evaluable</t>
  </si>
  <si>
    <t>Criterio</t>
  </si>
  <si>
    <t>Orden</t>
  </si>
  <si>
    <t>Ampliar cobertura</t>
  </si>
  <si>
    <t>Mantener</t>
  </si>
  <si>
    <t>Desarrollar</t>
  </si>
  <si>
    <t>Desestimar</t>
  </si>
  <si>
    <t>Base Maestra Rutas — Canal Hogar (789 rutas, ventana ene-2025 a may-2026)</t>
  </si>
  <si>
    <t>Saturación de rutas</t>
  </si>
  <si>
    <t>Llaves de cruce y calidad de dato</t>
  </si>
  <si>
    <t>Costos (heredado del CeDi)</t>
  </si>
  <si>
    <t>Efectividad vs. benchmark</t>
  </si>
  <si>
    <t>Brecha de Efectividad (escenario)</t>
  </si>
  <si>
    <t>Potencial anualizado — Efectividad</t>
  </si>
  <si>
    <t>Elegibilidad y comparación vs. estándar de su Territorio EERR</t>
  </si>
  <si>
    <t>Resultado</t>
  </si>
  <si>
    <t>Capacidad</t>
  </si>
  <si>
    <t>Ruta</t>
  </si>
  <si>
    <t>Ruta ID</t>
  </si>
  <si>
    <t>Estatus de ruta</t>
  </si>
  <si>
    <t>Código de ruta válido</t>
  </si>
  <si>
    <t>Elegible para estándar</t>
  </si>
  <si>
    <t>Rutas Hogar del CeDi</t>
  </si>
  <si>
    <t>Venta Ingreso</t>
  </si>
  <si>
    <t>CDS / Ruta</t>
  </si>
  <si>
    <t>Ctes. programados (periodo)</t>
  </si>
  <si>
    <t>Ctes. con compra (periodo)</t>
  </si>
  <si>
    <t>Efectividad actual</t>
  </si>
  <si>
    <t>Efectividad objetivo (escenario)</t>
  </si>
  <si>
    <t>Ingreso increm. Efectividad (periodo)</t>
  </si>
  <si>
    <t>Uplift Efectividad %</t>
  </si>
  <si>
    <t>Anualizado Efectividad</t>
  </si>
  <si>
    <t>Ticket $ / CC</t>
  </si>
  <si>
    <t>Ticket p75 de su CeDi</t>
  </si>
  <si>
    <t>Brecha de ticket ($/CC)</t>
  </si>
  <si>
    <t>Ruta con brecha de ticket</t>
  </si>
  <si>
    <t>Elegible (saturación)</t>
  </si>
  <si>
    <t>Clientes atiende/día (real)</t>
  </si>
  <si>
    <t>Estándar territorio (ideal) — clientes</t>
  </si>
  <si>
    <t>Cumple (clientes)</t>
  </si>
  <si>
    <t>Efectividad de compra (real)</t>
  </si>
  <si>
    <t>Estándar territorio (ideal) — efectividad</t>
  </si>
  <si>
    <t>Cumple (efectividad)</t>
  </si>
  <si>
    <t>Volumen CU/día (real)</t>
  </si>
  <si>
    <t>Estándar territorio (ideal) — volumen</t>
  </si>
  <si>
    <t>Cumple (volumen)</t>
  </si>
  <si>
    <t># Indicadores cumplidos (0-3)</t>
  </si>
  <si>
    <t>Zona de saturación</t>
  </si>
  <si>
    <t>Saturada (Sí/No)</t>
  </si>
  <si>
    <t>Laredo</t>
  </si>
  <si>
    <t>Suc. Nuevo Laredo</t>
  </si>
  <si>
    <t>Noreste|Suc. Nuevo Laredo|105300</t>
  </si>
  <si>
    <t>Activa</t>
  </si>
  <si>
    <t>Sí</t>
  </si>
  <si>
    <t>C4</t>
  </si>
  <si>
    <t>No</t>
  </si>
  <si>
    <t>Rojo - Saturada</t>
  </si>
  <si>
    <t>Noreste|Suc. Nuevo Laredo|105301</t>
  </si>
  <si>
    <t>Verde - Con espacio</t>
  </si>
  <si>
    <t>Noreste|Suc. Nuevo Laredo|105302</t>
  </si>
  <si>
    <t>Matamoros</t>
  </si>
  <si>
    <t>Planta Matamoros</t>
  </si>
  <si>
    <t>Noreste|Planta Matamoros|101340</t>
  </si>
  <si>
    <t>C3</t>
  </si>
  <si>
    <t>Amarillo - Cerca del tope</t>
  </si>
  <si>
    <t>Noreste|Planta Matamoros|101341</t>
  </si>
  <si>
    <t>Monclova</t>
  </si>
  <si>
    <t>Sucursal Monclova</t>
  </si>
  <si>
    <t>Noreste|Sucursal Monclova|206300</t>
  </si>
  <si>
    <t>Noreste|Sucursal Monclova|206301</t>
  </si>
  <si>
    <t>Noreste|Sucursal Monclova|206302</t>
  </si>
  <si>
    <t>Monterrey</t>
  </si>
  <si>
    <t>Planta Guadalupe</t>
  </si>
  <si>
    <t>Noreste|Planta Guadalupe|701300</t>
  </si>
  <si>
    <t>C2</t>
  </si>
  <si>
    <t>Noreste|Planta Guadalupe|701301</t>
  </si>
  <si>
    <t>Noreste|Planta Guadalupe|701302</t>
  </si>
  <si>
    <t>Noreste|Planta Guadalupe|701303</t>
  </si>
  <si>
    <t>Noreste|Planta Guadalupe|701304</t>
  </si>
  <si>
    <t>Noreste|Planta Guadalupe|701305</t>
  </si>
  <si>
    <t>Noreste|Planta Guadalupe|701306</t>
  </si>
  <si>
    <t>Noreste|Planta Guadalupe|701307</t>
  </si>
  <si>
    <t>Noreste|Planta Guadalupe|701308</t>
  </si>
  <si>
    <t>Noreste|Planta Guadalupe|701309</t>
  </si>
  <si>
    <t>Noreste|Planta Guadalupe|701310</t>
  </si>
  <si>
    <t>Noreste|Planta Guadalupe|701311</t>
  </si>
  <si>
    <t>Noreste|Planta Guadalupe|701312</t>
  </si>
  <si>
    <t>Noreste|Planta Guadalupe|701313</t>
  </si>
  <si>
    <t>Noreste|Planta Guadalupe|701314</t>
  </si>
  <si>
    <t>Noreste|Planta Guadalupe|701315</t>
  </si>
  <si>
    <t>Noreste|Planta Guadalupe|701316</t>
  </si>
  <si>
    <t>Noreste|Planta Guadalupe|701317</t>
  </si>
  <si>
    <t>Noreste|Planta Guadalupe|701318</t>
  </si>
  <si>
    <t>Noreste|Planta Guadalupe|701319</t>
  </si>
  <si>
    <t>Noreste|Planta Guadalupe|701320</t>
  </si>
  <si>
    <t>Noreste|Planta Guadalupe|701321</t>
  </si>
  <si>
    <t>Inactiva</t>
  </si>
  <si>
    <t/>
  </si>
  <si>
    <t>N/D</t>
  </si>
  <si>
    <t>Sucursal Juventud</t>
  </si>
  <si>
    <t>Noreste|Sucursal Juventud|704300</t>
  </si>
  <si>
    <t>Noreste|Sucursal Juventud|704301</t>
  </si>
  <si>
    <t>Noreste|Sucursal Juventud|704302</t>
  </si>
  <si>
    <t>Noreste|Sucursal Juventud|704303</t>
  </si>
  <si>
    <t>Noreste|Sucursal Juventud|704304</t>
  </si>
  <si>
    <t>Noreste|Sucursal Juventud|704305</t>
  </si>
  <si>
    <t>Noreste|Sucursal Juventud|704306</t>
  </si>
  <si>
    <t>Noreste|Sucursal Juventud|704307</t>
  </si>
  <si>
    <t>Noreste|Sucursal Juventud|704308</t>
  </si>
  <si>
    <t>Noreste|Sucursal Juventud|704309</t>
  </si>
  <si>
    <t>Noreste|Sucursal Juventud|704310</t>
  </si>
  <si>
    <t>Noreste|Sucursal Juventud|704311</t>
  </si>
  <si>
    <t>Sucursal Lincoln</t>
  </si>
  <si>
    <t>Noreste|Sucursal Lincoln|705300</t>
  </si>
  <si>
    <t>C1</t>
  </si>
  <si>
    <t>Noreste|Sucursal Lincoln|705301</t>
  </si>
  <si>
    <t>Noreste|Sucursal Lincoln|705302</t>
  </si>
  <si>
    <t>Noreste|Sucursal Lincoln|705303</t>
  </si>
  <si>
    <t>Noreste|Sucursal Lincoln|705304</t>
  </si>
  <si>
    <t>Noreste|Sucursal Lincoln|705305</t>
  </si>
  <si>
    <t>Noreste|Sucursal Lincoln|705306</t>
  </si>
  <si>
    <t>Noreste|Sucursal Lincoln|705307</t>
  </si>
  <si>
    <t>Noreste|Sucursal Lincoln|705308</t>
  </si>
  <si>
    <t>Noreste|Sucursal Lincoln|705309</t>
  </si>
  <si>
    <t>Noreste|Sucursal Lincoln|705310</t>
  </si>
  <si>
    <t>Noreste|Sucursal Lincoln|705311</t>
  </si>
  <si>
    <t>Noreste|Sucursal Lincoln|705312</t>
  </si>
  <si>
    <t>Noreste|Sucursal Lincoln|705313</t>
  </si>
  <si>
    <t>Noreste|Sucursal Lincoln|705314</t>
  </si>
  <si>
    <t>Noreste|Sucursal Lincoln|705315</t>
  </si>
  <si>
    <t>Noreste|Sucursal Lincoln|705316</t>
  </si>
  <si>
    <t>Noreste|Sucursal Lincoln|705317</t>
  </si>
  <si>
    <t>Noreste|Sucursal Lincoln|705318</t>
  </si>
  <si>
    <t>Noreste|Sucursal Lincoln|705319</t>
  </si>
  <si>
    <t>Noreste|Sucursal Lincoln|705320</t>
  </si>
  <si>
    <t>Noreste|Sucursal Lincoln|705322</t>
  </si>
  <si>
    <t>Noreste|Sucursal Lincoln|705323</t>
  </si>
  <si>
    <t>Noreste|Sucursal Lincoln|705324</t>
  </si>
  <si>
    <t>Noreste|Sucursal Lincoln|705325</t>
  </si>
  <si>
    <t>Noreste|Sucursal Lincoln|705326</t>
  </si>
  <si>
    <t>Noreste|Sucursal Lincoln|705327</t>
  </si>
  <si>
    <t>Sucursal Santa Catarina</t>
  </si>
  <si>
    <t>Noreste|Sucursal Santa Catarina|712300</t>
  </si>
  <si>
    <t>Noreste|Sucursal Santa Catarina|712302</t>
  </si>
  <si>
    <t>Noreste|Sucursal Santa Catarina|712303</t>
  </si>
  <si>
    <t>Noreste|Sucursal Santa Catarina|712304</t>
  </si>
  <si>
    <t>Noreste|Sucursal Santa Catarina|712305</t>
  </si>
  <si>
    <t>Noreste|Sucursal Santa Catarina|712306</t>
  </si>
  <si>
    <t>Noreste|Sucursal Santa Catarina|712307</t>
  </si>
  <si>
    <t>Noreste|Sucursal Santa Catarina|712308</t>
  </si>
  <si>
    <t>Noreste|Sucursal Santa Catarina|712309</t>
  </si>
  <si>
    <t>Noreste|Sucursal Santa Catarina|712310</t>
  </si>
  <si>
    <t>Noreste|Sucursal Santa Catarina|712311</t>
  </si>
  <si>
    <t>Noreste|Sucursal Santa Catarina|712312</t>
  </si>
  <si>
    <t>Noreste|Sucursal Santa Catarina|712313</t>
  </si>
  <si>
    <t>Noreste|Sucursal Santa Catarina|712314</t>
  </si>
  <si>
    <t>Noreste|Sucursal Santa Catarina|712315</t>
  </si>
  <si>
    <t>Noreste|Sucursal Santa Catarina|712317</t>
  </si>
  <si>
    <t>Noreste|Sucursal Santa Catarina|712318</t>
  </si>
  <si>
    <t>Noreste|Sucursal Santa Catarina|712319</t>
  </si>
  <si>
    <t>Sucursal Universidad</t>
  </si>
  <si>
    <t>Noreste|Sucursal Universidad|703300</t>
  </si>
  <si>
    <t>Noreste|Sucursal Universidad|703301</t>
  </si>
  <si>
    <t>Noreste|Sucursal Universidad|703302</t>
  </si>
  <si>
    <t>Noreste|Sucursal Universidad|703303</t>
  </si>
  <si>
    <t>Noreste|Sucursal Universidad|703304</t>
  </si>
  <si>
    <t>Noreste|Sucursal Universidad|703305</t>
  </si>
  <si>
    <t>Noreste|Sucursal Universidad|703306</t>
  </si>
  <si>
    <t>Noreste|Sucursal Universidad|703307</t>
  </si>
  <si>
    <t>Noreste|Sucursal Universidad|703308</t>
  </si>
  <si>
    <t>Noreste|Sucursal Universidad|703309</t>
  </si>
  <si>
    <t>Suc Montemorelos</t>
  </si>
  <si>
    <t>Noreste|Suc Montemorelos|706300</t>
  </si>
  <si>
    <t>Piedras Negras</t>
  </si>
  <si>
    <t>Suc. Acuña</t>
  </si>
  <si>
    <t>Noreste|Suc. Acuña|208300</t>
  </si>
  <si>
    <t>Suc. Piedras Negras</t>
  </si>
  <si>
    <t>Noreste|Suc. Piedras Negras|207300</t>
  </si>
  <si>
    <t>Noreste|Suc. Piedras Negras|207302</t>
  </si>
  <si>
    <t>Suc. Sabinas Coah.</t>
  </si>
  <si>
    <t>Noreste|Suc. Sabinas Coah.|209300</t>
  </si>
  <si>
    <t>Reynosa</t>
  </si>
  <si>
    <t>Sucursal Reynosa</t>
  </si>
  <si>
    <t>Noreste|Sucursal Reynosa|103340</t>
  </si>
  <si>
    <t>Noreste|Sucursal Reynosa|103341</t>
  </si>
  <si>
    <t>Noreste|Sucursal Reynosa|103342</t>
  </si>
  <si>
    <t>Saltillo</t>
  </si>
  <si>
    <t>Planta Agua y Hielo</t>
  </si>
  <si>
    <t>Noreste|Planta Agua y Hielo|203300</t>
  </si>
  <si>
    <t>Noreste|Planta Agua y Hielo|203301</t>
  </si>
  <si>
    <t>Noreste|Planta Agua y Hielo|203302</t>
  </si>
  <si>
    <t>Noreste|Planta Agua y Hielo|203303</t>
  </si>
  <si>
    <t>Noreste|Planta Agua y Hielo|203304</t>
  </si>
  <si>
    <t>Noreste|Planta Agua y Hielo|203305</t>
  </si>
  <si>
    <t>Noreste|Planta Agua y Hielo|203307</t>
  </si>
  <si>
    <t>Noreste|Planta Agua y Hielo|203309</t>
  </si>
  <si>
    <t>Noreste|Planta Agua y Hielo|203310</t>
  </si>
  <si>
    <t>Noreste|Planta Agua y Hielo|203311</t>
  </si>
  <si>
    <t>Noreste|Planta Agua y Hielo|203312</t>
  </si>
  <si>
    <t>Noreste|Planta Agua y Hielo|203313</t>
  </si>
  <si>
    <t>Noreste|Planta Agua y Hielo|203314</t>
  </si>
  <si>
    <t>Noreste|Planta Agua y Hielo|203315</t>
  </si>
  <si>
    <t>Noreste|Planta Agua y Hielo|203316</t>
  </si>
  <si>
    <t>Noreste|Planta Agua y Hielo|203318</t>
  </si>
  <si>
    <t>Noreste|Planta Agua y Hielo|203322</t>
  </si>
  <si>
    <t>Noreste|Planta Agua y Hielo|203323</t>
  </si>
  <si>
    <t>Noreste|Planta Agua y Hielo|203324</t>
  </si>
  <si>
    <t>Noreste|Planta Agua y Hielo|203325</t>
  </si>
  <si>
    <t>Noreste|Planta Agua y Hielo|203327</t>
  </si>
  <si>
    <t>Noreste|Planta Agua y Hielo|203329</t>
  </si>
  <si>
    <t>Noreste|Planta Agua y Hielo|203331</t>
  </si>
  <si>
    <t>Chihuahua</t>
  </si>
  <si>
    <t>Planta Chihuahua</t>
  </si>
  <si>
    <t>Norte|Planta Chihuahua|308340</t>
  </si>
  <si>
    <t>Norte|Planta Chihuahua|308341</t>
  </si>
  <si>
    <t>Norte|Planta Chihuahua|308342</t>
  </si>
  <si>
    <t>Norte|Planta Chihuahua|308343</t>
  </si>
  <si>
    <t>Norte|Planta Chihuahua|308344</t>
  </si>
  <si>
    <t>Norte|Planta Chihuahua|308345</t>
  </si>
  <si>
    <t>Norte|Planta Chihuahua|308346</t>
  </si>
  <si>
    <t>Norte|Planta Chihuahua|308347</t>
  </si>
  <si>
    <t>Norte|Planta Chihuahua|308348</t>
  </si>
  <si>
    <t>Norte|Planta Chihuahua|308349</t>
  </si>
  <si>
    <t>No está en EERR</t>
  </si>
  <si>
    <t>Sucursal Delicias</t>
  </si>
  <si>
    <t>#ERROR</t>
  </si>
  <si>
    <t>Norte|Sucursal Delicias|#ERROR</t>
  </si>
  <si>
    <t>Sin código</t>
  </si>
  <si>
    <t>Sucursal Parral</t>
  </si>
  <si>
    <t>Norte|Sucursal Parral|#ERROR</t>
  </si>
  <si>
    <t>Guadiana</t>
  </si>
  <si>
    <t>Planta Guadiana</t>
  </si>
  <si>
    <t>Norte|Planta Guadiana|931400</t>
  </si>
  <si>
    <t>Norte|Planta Guadiana|931401</t>
  </si>
  <si>
    <t>Norte|Planta Guadiana|931402</t>
  </si>
  <si>
    <t>Norte|Planta Guadiana|931403</t>
  </si>
  <si>
    <t>Norte|Planta Guadiana|931404</t>
  </si>
  <si>
    <t>Norte|Planta Guadiana|931405</t>
  </si>
  <si>
    <t>Norte|Planta Guadiana|931406</t>
  </si>
  <si>
    <t>Norte|Planta Guadiana|931407</t>
  </si>
  <si>
    <t>Norte|Planta Guadiana|931408</t>
  </si>
  <si>
    <t>Norte|Planta Guadiana|931410</t>
  </si>
  <si>
    <t>Norte|Planta Guadiana|931411</t>
  </si>
  <si>
    <t>Norte|Planta Guadiana|931412</t>
  </si>
  <si>
    <t>Norte|Planta Guadiana|931413</t>
  </si>
  <si>
    <t>Norte|Planta Guadiana|931415</t>
  </si>
  <si>
    <t>Norte|Planta Guadiana|931416</t>
  </si>
  <si>
    <t>Norte|Planta Guadiana|931417</t>
  </si>
  <si>
    <t>Norte|Planta Guadiana|931418</t>
  </si>
  <si>
    <t>Norte|Planta Guadiana|931419</t>
  </si>
  <si>
    <t>Norte|Planta Guadiana|931420</t>
  </si>
  <si>
    <t>Norte|Planta Guadiana|931421</t>
  </si>
  <si>
    <t>Norte|Planta Guadiana|931422</t>
  </si>
  <si>
    <t>Norte|Planta Guadiana|931423</t>
  </si>
  <si>
    <t>Norte|Planta Guadiana|931424</t>
  </si>
  <si>
    <t>Norte|Planta Guadiana|931425</t>
  </si>
  <si>
    <t>Norte|Planta Guadiana|931427</t>
  </si>
  <si>
    <t>Norte|Planta Guadiana|931428</t>
  </si>
  <si>
    <t>Norte|Planta Guadiana|931429</t>
  </si>
  <si>
    <t>Norte|Planta Guadiana|931430</t>
  </si>
  <si>
    <t>Norte|Planta Guadiana|931431</t>
  </si>
  <si>
    <t>Norte|Planta Guadiana|931432</t>
  </si>
  <si>
    <t>Suc. Vicente Guerrero</t>
  </si>
  <si>
    <t>Norte|Suc. Vicente Guerrero|#ERROR</t>
  </si>
  <si>
    <t>Juárez</t>
  </si>
  <si>
    <t>Planta Cd. Juárez</t>
  </si>
  <si>
    <t>Norte|Planta Cd. Juárez|301340</t>
  </si>
  <si>
    <t>Norte|Planta Cd. Juárez|301341</t>
  </si>
  <si>
    <t>Norte|Planta Cd. Juárez|301342</t>
  </si>
  <si>
    <t>Norte|Planta Cd. Juárez|301343</t>
  </si>
  <si>
    <t>Norte|Planta Cd. Juárez|301344</t>
  </si>
  <si>
    <t>Norte|Planta Cd. Juárez|301347</t>
  </si>
  <si>
    <t>Norte|Planta Cd. Juárez|301348</t>
  </si>
  <si>
    <t>Norte|Planta Cd. Juárez|301349</t>
  </si>
  <si>
    <t>Norte|Planta Cd. Juárez|301350</t>
  </si>
  <si>
    <t>Norte|Planta Cd. Juárez|301351</t>
  </si>
  <si>
    <t>Norte|Planta Cd. Juárez|301352</t>
  </si>
  <si>
    <t>Norte|Planta Cd. Juárez|301354</t>
  </si>
  <si>
    <t>Norte|Planta Cd. Juárez|301355</t>
  </si>
  <si>
    <t>Norte|Planta Cd. Juárez|301356</t>
  </si>
  <si>
    <t>Norte|Planta Cd. Juárez|301357</t>
  </si>
  <si>
    <t>Norte|Planta Cd. Juárez|301358</t>
  </si>
  <si>
    <t>Norte|Planta Cd. Juárez|301359</t>
  </si>
  <si>
    <t>Norte|Planta Cd. Juárez|301360</t>
  </si>
  <si>
    <t>Norte|Planta Cd. Juárez|301400</t>
  </si>
  <si>
    <t>Norte|Planta Cd. Juárez|301401</t>
  </si>
  <si>
    <t>Norte|Planta Cd. Juárez|301402</t>
  </si>
  <si>
    <t>Norte|Planta Cd. Juárez|301403</t>
  </si>
  <si>
    <t>Norte|Planta Cd. Juárez|301404</t>
  </si>
  <si>
    <t>Suc. Casas Grandes</t>
  </si>
  <si>
    <t>Norte|Suc. Casas Grandes|305400</t>
  </si>
  <si>
    <t>Comarca</t>
  </si>
  <si>
    <t>Suc. Estadio</t>
  </si>
  <si>
    <t>Norte|Suc. Estadio|217340</t>
  </si>
  <si>
    <t>Norte|Suc. Estadio|217341</t>
  </si>
  <si>
    <t>Norte|Suc. Estadio|217342</t>
  </si>
  <si>
    <t>Norte|Suc. Estadio|217343</t>
  </si>
  <si>
    <t>Norte|Suc. Estadio|217344</t>
  </si>
  <si>
    <t>Norte|Suc. Estadio|217346</t>
  </si>
  <si>
    <t>Norte|Suc. Estadio|217400</t>
  </si>
  <si>
    <t>Norte|Suc. Estadio|217401</t>
  </si>
  <si>
    <t>Norte|Suc. Estadio|217402</t>
  </si>
  <si>
    <t>Norte|Suc. Estadio|217403</t>
  </si>
  <si>
    <t>Norte|Suc. Estadio|217404</t>
  </si>
  <si>
    <t>Norte|Suc. Estadio|217405</t>
  </si>
  <si>
    <t>Norte|Suc. Estadio|217406</t>
  </si>
  <si>
    <t>Suc. San Pedro</t>
  </si>
  <si>
    <t>Norte|Suc. San Pedro|219340</t>
  </si>
  <si>
    <t>Suc. Santa Rita</t>
  </si>
  <si>
    <t>Norte|Suc. Santa Rita|220340</t>
  </si>
  <si>
    <t>Norte|Suc. Santa Rita|220341</t>
  </si>
  <si>
    <t>Norte|Suc. Santa Rita|220342</t>
  </si>
  <si>
    <t>Norte|Suc. Santa Rita|220343</t>
  </si>
  <si>
    <t>Norte|Suc. Santa Rita|220344</t>
  </si>
  <si>
    <t>Norte|Suc. Santa Rita|220345</t>
  </si>
  <si>
    <t>Norte|Suc. Santa Rita|220346</t>
  </si>
  <si>
    <t>Norte|Suc. Santa Rita|220347</t>
  </si>
  <si>
    <t>Zacatecas</t>
  </si>
  <si>
    <t>Planta Zacatecas</t>
  </si>
  <si>
    <t>Norte|Planta Zacatecas|946400</t>
  </si>
  <si>
    <t>Norte|Planta Zacatecas|946401</t>
  </si>
  <si>
    <t>Norte|Planta Zacatecas|946402</t>
  </si>
  <si>
    <t>Norte|Planta Zacatecas|946403</t>
  </si>
  <si>
    <t>Norte|Planta Zacatecas|946404</t>
  </si>
  <si>
    <t>Norte|Planta Zacatecas|946405</t>
  </si>
  <si>
    <t>Norte|Planta Zacatecas|946406</t>
  </si>
  <si>
    <t>Norte|Planta Zacatecas|946407</t>
  </si>
  <si>
    <t>Norte|Planta Zacatecas|946408</t>
  </si>
  <si>
    <t>Norte|Planta Zacatecas|946409</t>
  </si>
  <si>
    <t>Norte|Planta Zacatecas|946410</t>
  </si>
  <si>
    <t>Norte|Planta Zacatecas|946411</t>
  </si>
  <si>
    <t>Norte|Planta Zacatecas|#ERROR</t>
  </si>
  <si>
    <t>Suc. Colotlán</t>
  </si>
  <si>
    <t>Norte|Suc. Colotlán|#ERROR</t>
  </si>
  <si>
    <t>Suc. Fresnillo</t>
  </si>
  <si>
    <t>Norte|Suc. Fresnillo|950340</t>
  </si>
  <si>
    <t>Norte|Suc. Fresnillo|950341</t>
  </si>
  <si>
    <t>Norte|Suc. Fresnillo|950342</t>
  </si>
  <si>
    <t>Norte|Suc. Fresnillo|950344</t>
  </si>
  <si>
    <t>Suc. Miguel Auza</t>
  </si>
  <si>
    <t>Norte|Suc. Miguel Auza|#ERROR</t>
  </si>
  <si>
    <t>Suc. Ojocaliente</t>
  </si>
  <si>
    <t>Norte|Suc. Ojocaliente|948470</t>
  </si>
  <si>
    <t>Suc. Río Grande</t>
  </si>
  <si>
    <t>Norte|Suc. Río Grande|#ERROR</t>
  </si>
  <si>
    <t>Suc. Sánchez Román</t>
  </si>
  <si>
    <t>Norte|Suc. Sánchez Román|#ERROR</t>
  </si>
  <si>
    <t>Suc. Valparaíso</t>
  </si>
  <si>
    <t>Norte|Suc. Valparaíso|#ERROR</t>
  </si>
  <si>
    <t>Aguascalientes</t>
  </si>
  <si>
    <t>Planta Aguascalientes</t>
  </si>
  <si>
    <t>Occidente|Planta Aguascalientes|901340</t>
  </si>
  <si>
    <t>Occidente|Planta Aguascalientes|901341</t>
  </si>
  <si>
    <t>Occidente|Planta Aguascalientes|901342</t>
  </si>
  <si>
    <t>Occidente|Planta Aguascalientes|901343</t>
  </si>
  <si>
    <t>Occidente|Planta Aguascalientes|901344</t>
  </si>
  <si>
    <t>Occidente|Planta Aguascalientes|901345</t>
  </si>
  <si>
    <t>Occidente|Planta Aguascalientes|901346</t>
  </si>
  <si>
    <t>Occidente|Planta Aguascalientes|901401</t>
  </si>
  <si>
    <t>Occidente|Planta Aguascalientes|901402</t>
  </si>
  <si>
    <t>Occidente|Planta Aguascalientes|901403</t>
  </si>
  <si>
    <t>Occidente|Planta Aguascalientes|901404</t>
  </si>
  <si>
    <t>Occidente|Planta Aguascalientes|901405</t>
  </si>
  <si>
    <t>Occidente|Planta Aguascalientes|901406</t>
  </si>
  <si>
    <t>Occidente|Planta Aguascalientes|901407</t>
  </si>
  <si>
    <t>Occidente|Planta Aguascalientes|901409</t>
  </si>
  <si>
    <t>Occidente|Planta Aguascalientes|901411</t>
  </si>
  <si>
    <t>Occidente|Planta Aguascalientes|901412</t>
  </si>
  <si>
    <t>Occidente|Planta Aguascalientes|901414</t>
  </si>
  <si>
    <t>Occidente|Planta Aguascalientes|901415</t>
  </si>
  <si>
    <t>Occidente|Planta Aguascalientes|901416</t>
  </si>
  <si>
    <t>Occidente|Planta Aguascalientes|901417</t>
  </si>
  <si>
    <t>Occidente|Planta Aguascalientes|901418</t>
  </si>
  <si>
    <t>Planta Trojes</t>
  </si>
  <si>
    <t>Occidente|Planta Trojes|907341</t>
  </si>
  <si>
    <t>Occidente|Planta Trojes|907342</t>
  </si>
  <si>
    <t>Occidente|Planta Trojes|907343</t>
  </si>
  <si>
    <t>Occidente|Planta Trojes|907344</t>
  </si>
  <si>
    <t>Occidente|Planta Trojes|907345</t>
  </si>
  <si>
    <t>Occidente|Planta Trojes|907346</t>
  </si>
  <si>
    <t>Occidente|Planta Trojes|907347</t>
  </si>
  <si>
    <t>Occidente|Planta Trojes|907401</t>
  </si>
  <si>
    <t>Occidente|Planta Trojes|907402</t>
  </si>
  <si>
    <t>Occidente|Planta Trojes|907403</t>
  </si>
  <si>
    <t>Occidente|Planta Trojes|907405</t>
  </si>
  <si>
    <t>Occidente|Planta Trojes|907406</t>
  </si>
  <si>
    <t>Occidente|Planta Trojes|907407</t>
  </si>
  <si>
    <t>Occidente|Planta Trojes|907408</t>
  </si>
  <si>
    <t>Suc. Loreto</t>
  </si>
  <si>
    <t>Occidente|Suc. Loreto|908400</t>
  </si>
  <si>
    <t>Sucursal Jalpa</t>
  </si>
  <si>
    <t>Occidente|Sucursal Jalpa|903400</t>
  </si>
  <si>
    <t>Sucursal Juchipila</t>
  </si>
  <si>
    <t>Occidente|Sucursal Juchipila|904400</t>
  </si>
  <si>
    <t>Sucursal Teocaltiche</t>
  </si>
  <si>
    <t>Occidente|Sucursal Teocaltiche|906400</t>
  </si>
  <si>
    <t>Matehuala</t>
  </si>
  <si>
    <t>Planta Matehuala</t>
  </si>
  <si>
    <t>Occidente|Planta Matehuala|925300</t>
  </si>
  <si>
    <t>Occidente|Planta Matehuala|925301</t>
  </si>
  <si>
    <t>Occidente|Planta Matehuala|925302</t>
  </si>
  <si>
    <t>Occidente|Planta Matehuala|925303</t>
  </si>
  <si>
    <t>Occidente|Planta Matehuala|925399</t>
  </si>
  <si>
    <t>Suc. Charcas</t>
  </si>
  <si>
    <t>Occidente|Suc. Charcas|918399</t>
  </si>
  <si>
    <t>San Luis</t>
  </si>
  <si>
    <t>Suc. Río Verde</t>
  </si>
  <si>
    <t>Occidente|Suc. Río Verde|921399</t>
  </si>
  <si>
    <t>Occidente|Suc. Río Verde|921401</t>
  </si>
  <si>
    <t>Occidente|Suc. Río Verde|921402</t>
  </si>
  <si>
    <t>Occidente|Suc. Río Verde|921403</t>
  </si>
  <si>
    <t>Occidente|Suc. Río Verde|921404</t>
  </si>
  <si>
    <t>Occidente|Suc. Río Verde|921405</t>
  </si>
  <si>
    <t>Favorita</t>
  </si>
  <si>
    <t>Cedi Tonalá</t>
  </si>
  <si>
    <t>Occidente|Cedi Tonalá|810320</t>
  </si>
  <si>
    <t>Occidente|Cedi Tonalá|810321</t>
  </si>
  <si>
    <t>Occidente|Cedi Tonalá|810322</t>
  </si>
  <si>
    <t>Occidente|Cedi Tonalá|810323</t>
  </si>
  <si>
    <t>Occidente|Cedi Tonalá|810324</t>
  </si>
  <si>
    <t>Occidente|Cedi Tonalá|810325</t>
  </si>
  <si>
    <t>Occidente|Cedi Tonalá|810326</t>
  </si>
  <si>
    <t>Occidente|Cedi Tonalá|810327</t>
  </si>
  <si>
    <t>Occidente|Cedi Tonalá|810328</t>
  </si>
  <si>
    <t>Occidente|Cedi Tonalá|810329</t>
  </si>
  <si>
    <t>Occidente|Cedi Tonalá|810330</t>
  </si>
  <si>
    <t>Occidente|Cedi Tonalá|810331</t>
  </si>
  <si>
    <t>Occidente|Cedi Tonalá|810332</t>
  </si>
  <si>
    <t>Occidente|Cedi Tonalá|810333</t>
  </si>
  <si>
    <t>Occidente|Cedi Tonalá|810335</t>
  </si>
  <si>
    <t>Occidente|Cedi Tonalá|810336</t>
  </si>
  <si>
    <t>Occidente|Cedi Tonalá|810338</t>
  </si>
  <si>
    <t>Occidente|Cedi Tonalá|810339</t>
  </si>
  <si>
    <t>Occidente|Cedi Tonalá|810340</t>
  </si>
  <si>
    <t>Occidente|Cedi Tonalá|810342</t>
  </si>
  <si>
    <t>Occidente|Cedi Tonalá|810343</t>
  </si>
  <si>
    <t>Occidente|Cedi Tonalá|810344</t>
  </si>
  <si>
    <t>Occidente|Cedi Tonalá|810345</t>
  </si>
  <si>
    <t>Occidente|Cedi Tonalá|810346</t>
  </si>
  <si>
    <t>Occidente|Cedi Tonalá|810347</t>
  </si>
  <si>
    <t>Occidente|Cedi Tonalá|810348</t>
  </si>
  <si>
    <t>Occidente|Cedi Tonalá|810349</t>
  </si>
  <si>
    <t>Occidente|Cedi Tonalá|810350</t>
  </si>
  <si>
    <t>Occidente|Cedi Tonalá|810351</t>
  </si>
  <si>
    <t>Occidente|Cedi Tonalá|810352</t>
  </si>
  <si>
    <t>Occidente|Cedi Tonalá|810353</t>
  </si>
  <si>
    <t>Occidente|Cedi Tonalá|810354</t>
  </si>
  <si>
    <t>Occidente|Cedi Tonalá|810357</t>
  </si>
  <si>
    <t>Occidente|Cedi Tonalá|810358</t>
  </si>
  <si>
    <t>Occidente|Cedi Tonalá|810359</t>
  </si>
  <si>
    <t>Occidente|Cedi Tonalá|810360</t>
  </si>
  <si>
    <t>Occidente|Cedi Tonalá|810361</t>
  </si>
  <si>
    <t>Zapopan</t>
  </si>
  <si>
    <t>Planta Zapopan</t>
  </si>
  <si>
    <t>Occidente|Planta Zapopan|816327</t>
  </si>
  <si>
    <t>Occidente|Planta Zapopan|816328</t>
  </si>
  <si>
    <t>Occidente|Planta Zapopan|816329</t>
  </si>
  <si>
    <t>Occidente|Planta Zapopan|816330</t>
  </si>
  <si>
    <t>Occidente|Planta Zapopan|816331</t>
  </si>
  <si>
    <t>Occidente|Planta Zapopan|816332</t>
  </si>
  <si>
    <t>Occidente|Planta Zapopan|816333</t>
  </si>
  <si>
    <t>Occidente|Planta Zapopan|816334</t>
  </si>
  <si>
    <t>Occidente|Planta Zapopan|816335</t>
  </si>
  <si>
    <t>Occidente|Planta Zapopan|816336</t>
  </si>
  <si>
    <t>Occidente|Planta Zapopan|816337</t>
  </si>
  <si>
    <t>Occidente|Planta Zapopan|816338</t>
  </si>
  <si>
    <t>Occidente|Planta Zapopan|816339</t>
  </si>
  <si>
    <t>Occidente|Planta Zapopan|816340</t>
  </si>
  <si>
    <t>Occidente|Planta Zapopan|816341</t>
  </si>
  <si>
    <t>Occidente|Planta Zapopan|816342</t>
  </si>
  <si>
    <t>Occidente|Planta Zapopan|816343</t>
  </si>
  <si>
    <t>Occidente|Planta Zapopan|816344</t>
  </si>
  <si>
    <t>Occidente|Planta Zapopan|816345</t>
  </si>
  <si>
    <t>Occidente|Planta Zapopan|816346</t>
  </si>
  <si>
    <t>Occidente|Planta Zapopan|816347</t>
  </si>
  <si>
    <t>Occidente|Planta Zapopan|816348</t>
  </si>
  <si>
    <t>Occidente|Planta Zapopan|816349</t>
  </si>
  <si>
    <t>Occidente|Planta Zapopan|816350</t>
  </si>
  <si>
    <t>Occidente|Planta Zapopan|816351</t>
  </si>
  <si>
    <t>Occidente|Planta Zapopan|816352</t>
  </si>
  <si>
    <t>Occidente|Planta Zapopan|816353</t>
  </si>
  <si>
    <t>Occidente|Planta Zapopan|816354</t>
  </si>
  <si>
    <t>Occidente|Planta Zapopan|816355</t>
  </si>
  <si>
    <t>Occidente|Planta Zapopan|816356</t>
  </si>
  <si>
    <t>Occidente|Planta Zapopan|816357</t>
  </si>
  <si>
    <t>Occidente|Planta Zapopan|816358</t>
  </si>
  <si>
    <t>Occidente|Planta Zapopan|816359</t>
  </si>
  <si>
    <t>Occidente|Planta Zapopan|816360</t>
  </si>
  <si>
    <t>Occidente|Planta Zapopan|816361</t>
  </si>
  <si>
    <t>Occidente|Planta Zapopan|816362</t>
  </si>
  <si>
    <t>Occidente|Planta Zapopan|816363</t>
  </si>
  <si>
    <t>Occidente|Planta Zapopan|816364</t>
  </si>
  <si>
    <t>Occidente|Planta Zapopan|816365</t>
  </si>
  <si>
    <t>Occidente|Planta Zapopan|816366</t>
  </si>
  <si>
    <t>Occidente|Planta Zapopan|816367</t>
  </si>
  <si>
    <t>Occidente|Planta Zapopan|816368</t>
  </si>
  <si>
    <t>Occidente|Planta Zapopan|816369</t>
  </si>
  <si>
    <t>Occidente|Planta Zapopan|816371</t>
  </si>
  <si>
    <t>Occidente|Planta Zapopan|816372</t>
  </si>
  <si>
    <t>Occidente|Planta Zapopan|816373</t>
  </si>
  <si>
    <t>Occidente|Planta Zapopan|816374</t>
  </si>
  <si>
    <t>Occidente|Planta Zapopan|816375</t>
  </si>
  <si>
    <t>Occidente|Planta Zapopan|816376</t>
  </si>
  <si>
    <t>Occidente|Planta Zapopan|816381</t>
  </si>
  <si>
    <t>Occidente|Planta Zapopan|816382</t>
  </si>
  <si>
    <t>Occidente|Planta Zapopan|816383</t>
  </si>
  <si>
    <t>Occidente|Planta Zapopan|816384</t>
  </si>
  <si>
    <t>Occidente|Planta Zapopan|816385</t>
  </si>
  <si>
    <t>Occidente|Planta Zapopan|816386</t>
  </si>
  <si>
    <t>Occidente|Planta Zapopan|816387</t>
  </si>
  <si>
    <t>Occidente|Planta Zapopan|816388</t>
  </si>
  <si>
    <t>Occidente|Planta Zapopan|816389</t>
  </si>
  <si>
    <t>Occidente|Planta Zapopan|816390</t>
  </si>
  <si>
    <t>Occidente|Planta Zapopan|816391</t>
  </si>
  <si>
    <t>Occidente|Planta Zapopan|816392</t>
  </si>
  <si>
    <t>Occidente|Planta Zapopan|816393</t>
  </si>
  <si>
    <t>Occidente|Planta Zapopan|816394</t>
  </si>
  <si>
    <t>Occidente|Planta Zapopan|816395</t>
  </si>
  <si>
    <t>Occidente|Planta Zapopan|816396</t>
  </si>
  <si>
    <t>Occidente|Planta Zapopan|816397</t>
  </si>
  <si>
    <t>Occidente|Planta Zapopan|816398</t>
  </si>
  <si>
    <t>Occidente|Planta Zapopan|816399</t>
  </si>
  <si>
    <t>Occidente|Planta Zapopan|1300000276</t>
  </si>
  <si>
    <t>Suc. Alamo</t>
  </si>
  <si>
    <t>Occidente|Suc. Alamo|802340</t>
  </si>
  <si>
    <t>Occidente|Suc. Alamo|802341</t>
  </si>
  <si>
    <t>Occidente|Suc. Alamo|802342</t>
  </si>
  <si>
    <t>Occidente|Suc. Alamo|802343</t>
  </si>
  <si>
    <t>Occidente|Suc. Alamo|802344</t>
  </si>
  <si>
    <t>Occidente|Suc. Alamo|802345</t>
  </si>
  <si>
    <t>Occidente|Suc. Alamo|802346</t>
  </si>
  <si>
    <t>Occidente|Suc. Alamo|802347</t>
  </si>
  <si>
    <t>Occidente|Suc. Alamo|802348</t>
  </si>
  <si>
    <t>Occidente|Suc. Alamo|802349</t>
  </si>
  <si>
    <t>Occidente|Suc. Alamo|802350</t>
  </si>
  <si>
    <t>Occidente|Suc. Alamo|802399</t>
  </si>
  <si>
    <t>Occidente|Suc. Alamo|802401</t>
  </si>
  <si>
    <t>Occidente|Suc. Alamo|802402</t>
  </si>
  <si>
    <t>Occidente|Suc. Alamo|802403</t>
  </si>
  <si>
    <t>Occidente|Suc. Alamo|802404</t>
  </si>
  <si>
    <t>Occidente|Suc. Alamo|802407</t>
  </si>
  <si>
    <t>Occidente|Suc. Alamo|802414</t>
  </si>
  <si>
    <t>Suc. Belenes</t>
  </si>
  <si>
    <t>Occidente|Suc. Belenes|820340</t>
  </si>
  <si>
    <t>Occidente|Suc. Belenes|820341</t>
  </si>
  <si>
    <t>Occidente|Suc. Belenes|820342</t>
  </si>
  <si>
    <t>Occidente|Suc. Belenes|820343</t>
  </si>
  <si>
    <t>Occidente|Suc. Belenes|820344</t>
  </si>
  <si>
    <t>Occidente|Suc. Belenes|820345</t>
  </si>
  <si>
    <t>Occidente|Suc. Belenes|820346</t>
  </si>
  <si>
    <t>Occidente|Suc. Belenes|820347</t>
  </si>
  <si>
    <t>Occidente|Suc. Belenes|820348</t>
  </si>
  <si>
    <t>Occidente|Suc. Belenes|820349</t>
  </si>
  <si>
    <t>Occidente|Suc. Belenes|820350</t>
  </si>
  <si>
    <t>Occidente|Suc. Belenes|820351</t>
  </si>
  <si>
    <t>Occidente|Suc. Belenes|820352</t>
  </si>
  <si>
    <t>Occidente|Suc. Belenes|820353</t>
  </si>
  <si>
    <t>Occidente|Suc. Belenes|820354</t>
  </si>
  <si>
    <t>Occidente|Suc. Belenes|820355</t>
  </si>
  <si>
    <t>Occidente|Suc. Belenes|820356</t>
  </si>
  <si>
    <t>Occidente|Suc. Belenes|820357</t>
  </si>
  <si>
    <t>Occidente|Suc. Belenes|820358</t>
  </si>
  <si>
    <t>Occidente|Suc. Belenes|820359</t>
  </si>
  <si>
    <t>Occidente|Suc. Belenes|820360</t>
  </si>
  <si>
    <t>Occidente|Suc. Belenes|820361</t>
  </si>
  <si>
    <t>Occidente|Suc. Belenes|820362</t>
  </si>
  <si>
    <t>Occidente|Suc. Belenes|820363</t>
  </si>
  <si>
    <t>Occidente|Suc. Belenes|820364</t>
  </si>
  <si>
    <t>Occidente|Suc. Belenes|820365</t>
  </si>
  <si>
    <t>Occidente|Suc. Belenes|820366</t>
  </si>
  <si>
    <t>Occidente|Suc. Belenes|820367</t>
  </si>
  <si>
    <t>Occidente|Suc. Belenes|820368</t>
  </si>
  <si>
    <t>Occidente|Suc. Belenes|820369</t>
  </si>
  <si>
    <t>Occidente|Suc. Belenes|820370</t>
  </si>
  <si>
    <t>Occidente|Suc. Belenes|820371</t>
  </si>
  <si>
    <t>Occidente|Suc. Belenes|820372</t>
  </si>
  <si>
    <t>Occidente|Suc. Belenes|820373</t>
  </si>
  <si>
    <t>Occidente|Suc. Belenes|820374</t>
  </si>
  <si>
    <t>Occidente|Suc. Belenes|820375</t>
  </si>
  <si>
    <t>Occidente|Suc. Belenes|820376</t>
  </si>
  <si>
    <t>Occidente|Suc. Belenes|820377</t>
  </si>
  <si>
    <t>Occidente|Suc. Belenes|820378</t>
  </si>
  <si>
    <t>Occidente|Suc. Belenes|820379</t>
  </si>
  <si>
    <t>Occidente|Suc. Belenes|820399</t>
  </si>
  <si>
    <t>Occidente|Suc. Belenes|820401</t>
  </si>
  <si>
    <t>Occidente|Suc. Belenes|820404</t>
  </si>
  <si>
    <t>Occidente|Suc. Belenes|820409</t>
  </si>
  <si>
    <t>Occidente|Suc. Belenes|820410</t>
  </si>
  <si>
    <t>Occidente|Suc. Belenes|820411</t>
  </si>
  <si>
    <t>Occidente|Suc. Belenes|820412</t>
  </si>
  <si>
    <t>Occidente|Suc. Belenes|820413</t>
  </si>
  <si>
    <t>Occidente|Suc. Belenes|820414</t>
  </si>
  <si>
    <t>Occidente|Suc. Belenes|820418</t>
  </si>
  <si>
    <t>Occidente|Suc. Belenes|820422</t>
  </si>
  <si>
    <t>Occidente|Suc. Belenes|820423</t>
  </si>
  <si>
    <t>Occidente|Suc. Belenes|820424</t>
  </si>
  <si>
    <t>Occidente|Suc. Belenes|820425</t>
  </si>
  <si>
    <t>Occidente|Suc. Belenes|820426</t>
  </si>
  <si>
    <t>Occidente|Suc. Belenes|820427</t>
  </si>
  <si>
    <t>Occidente|Suc. Belenes|820428</t>
  </si>
  <si>
    <t>Occidente|Suc. Belenes|820429</t>
  </si>
  <si>
    <t>Occidente|Suc. Belenes|820430</t>
  </si>
  <si>
    <t>Occidente|Suc. Belenes|820431</t>
  </si>
  <si>
    <t>Occidente|Suc. Belenes|820432</t>
  </si>
  <si>
    <t>Occidente|Suc. Belenes|820433</t>
  </si>
  <si>
    <t>Occidente|Suc. Belenes|820434</t>
  </si>
  <si>
    <t>Suc. Huentitán</t>
  </si>
  <si>
    <t>Occidente|Suc. Huentitán|819340</t>
  </si>
  <si>
    <t>Occidente|Suc. Huentitán|819341</t>
  </si>
  <si>
    <t>Occidente|Suc. Huentitán|819343</t>
  </si>
  <si>
    <t>Occidente|Suc. Huentitán|819344</t>
  </si>
  <si>
    <t>Occidente|Suc. Huentitán|819345</t>
  </si>
  <si>
    <t>Occidente|Suc. Huentitán|819346</t>
  </si>
  <si>
    <t>Occidente|Suc. Huentitán|819347</t>
  </si>
  <si>
    <t>Occidente|Suc. Huentitán|819348</t>
  </si>
  <si>
    <t>Occidente|Suc. Huentitán|819349</t>
  </si>
  <si>
    <t>Occidente|Suc. Huentitán|819350</t>
  </si>
  <si>
    <t>Occidente|Suc. Huentitán|819351</t>
  </si>
  <si>
    <t>Occidente|Suc. Huentitán|819352</t>
  </si>
  <si>
    <t>Occidente|Suc. Huentitán|819353</t>
  </si>
  <si>
    <t>Occidente|Suc. Huentitán|819354</t>
  </si>
  <si>
    <t>Occidente|Suc. Huentitán|819355</t>
  </si>
  <si>
    <t>Occidente|Suc. Huentitán|819357</t>
  </si>
  <si>
    <t>Occidente|Suc. Huentitán|819358</t>
  </si>
  <si>
    <t>Occidente|Suc. Huentitán|819359</t>
  </si>
  <si>
    <t>Occidente|Suc. Huentitán|819401</t>
  </si>
  <si>
    <t>Occidente|Suc. Huentitán|819402</t>
  </si>
  <si>
    <t>Occidente|Suc. Huentitán|819403</t>
  </si>
  <si>
    <t>Occidente|Suc. Huentitán|819404</t>
  </si>
  <si>
    <t>Occidente|Suc. Huentitán|819406</t>
  </si>
  <si>
    <t>Occidente|Suc. Huentitán|819407</t>
  </si>
  <si>
    <t>Occidente|Suc. Huentitán|819408</t>
  </si>
  <si>
    <t>Occidente|Suc. Huentitán|819409</t>
  </si>
  <si>
    <t>Occidente|Suc. Huentitán|819410</t>
  </si>
  <si>
    <t>Occidente|Suc. Huentitán|819411</t>
  </si>
  <si>
    <t>Occidente|Suc. Huentitán|819413</t>
  </si>
  <si>
    <t>Occidente|Suc. Huentitán|819415</t>
  </si>
  <si>
    <t>Occidente|Suc. Huentitán|819416</t>
  </si>
  <si>
    <t>Occidente|Suc. Huentitán|819418</t>
  </si>
  <si>
    <t>Occidente|Suc. Huentitán|819419</t>
  </si>
  <si>
    <t>Occidente|Suc. Huentitán|819420</t>
  </si>
  <si>
    <t>Occidente|Suc. Huentitán|819421</t>
  </si>
  <si>
    <t>Occidente|Suc. Huentitán|819422</t>
  </si>
  <si>
    <t>Occidente|Suc. Huentitán|819423</t>
  </si>
  <si>
    <t>Occidente|Suc. Huentitán|819424</t>
  </si>
  <si>
    <t>Occidente|Suc. Huentitán|819425</t>
  </si>
  <si>
    <t>Occidente|Suc. Huentitán|819426</t>
  </si>
  <si>
    <t>Occidente|Suc. Huentitán|819427</t>
  </si>
  <si>
    <t>Occidente|Suc. Huentitán|819428</t>
  </si>
  <si>
    <t>Occidente|Suc. Huentitán|819429</t>
  </si>
  <si>
    <t>Occidente|Suc. Huentitán|819430</t>
  </si>
  <si>
    <t>Occidente|Suc. Huentitán|819431</t>
  </si>
  <si>
    <t>Occidente|Suc. Huentitán|819432</t>
  </si>
  <si>
    <t>Suc. San Rafael</t>
  </si>
  <si>
    <t>Occidente|Suc. San Rafael|803340</t>
  </si>
  <si>
    <t>Occidente|Suc. San Rafael|803341</t>
  </si>
  <si>
    <t>Occidente|Suc. San Rafael|803342</t>
  </si>
  <si>
    <t>Occidente|Suc. San Rafael|803343</t>
  </si>
  <si>
    <t>Occidente|Suc. San Rafael|803344</t>
  </si>
  <si>
    <t>Occidente|Suc. San Rafael|803345</t>
  </si>
  <si>
    <t>Occidente|Suc. San Rafael|803346</t>
  </si>
  <si>
    <t>Occidente|Suc. San Rafael|803347</t>
  </si>
  <si>
    <t>Occidente|Suc. San Rafael|803348</t>
  </si>
  <si>
    <t>Occidente|Suc. San Rafael|803349</t>
  </si>
  <si>
    <t>Occidente|Suc. San Rafael|803350</t>
  </si>
  <si>
    <t>Occidente|Suc. San Rafael|803351</t>
  </si>
  <si>
    <t>Occidente|Suc. San Rafael|803353</t>
  </si>
  <si>
    <t>Occidente|Suc. San Rafael|803354</t>
  </si>
  <si>
    <t>Occidente|Suc. San Rafael|803355</t>
  </si>
  <si>
    <t>Occidente|Suc. San Rafael|803356</t>
  </si>
  <si>
    <t>Occidente|Suc. San Rafael|803357</t>
  </si>
  <si>
    <t>Occidente|Suc. San Rafael|803358</t>
  </si>
  <si>
    <t>Occidente|Suc. San Rafael|803359</t>
  </si>
  <si>
    <t>Occidente|Suc. San Rafael|803360</t>
  </si>
  <si>
    <t>Occidente|Suc. San Rafael|803365</t>
  </si>
  <si>
    <t>Occidente|Suc. San Rafael|803368</t>
  </si>
  <si>
    <t>Occidente|Suc. San Rafael|803369</t>
  </si>
  <si>
    <t>Occidente|Suc. San Rafael|803370</t>
  </si>
  <si>
    <t>Occidente|Suc. San Rafael|803371</t>
  </si>
  <si>
    <t>Occidente|Suc. San Rafael|803373</t>
  </si>
  <si>
    <t>Occidente|Suc. San Rafael|803378</t>
  </si>
  <si>
    <t>Occidente|Suc. San Rafael|803379</t>
  </si>
  <si>
    <t>Occidente|Suc. San Rafael|803407</t>
  </si>
  <si>
    <t>Occidente|Suc. San Rafael|803408</t>
  </si>
  <si>
    <t>Occidente|Suc. San Rafael|803409</t>
  </si>
  <si>
    <t>Occidente|Suc. San Rafael|803410</t>
  </si>
  <si>
    <t>Occidente|Suc. San Rafael|803413</t>
  </si>
  <si>
    <t>Occidente|Suc. San Rafael|803414</t>
  </si>
  <si>
    <t>Occidente|Suc. San Rafael|803419</t>
  </si>
  <si>
    <t>Occidente|Suc. San Rafael|803422</t>
  </si>
  <si>
    <t>Occidente|Suc. San Rafael|803424</t>
  </si>
  <si>
    <t>Suc. Santa Maria</t>
  </si>
  <si>
    <t>Occidente|Suc. Santa Maria|809320</t>
  </si>
  <si>
    <t>Occidente|Suc. Santa Maria|809321</t>
  </si>
  <si>
    <t>Occidente|Suc. Santa Maria|809322</t>
  </si>
  <si>
    <t>Occidente|Suc. Santa Maria|809323</t>
  </si>
  <si>
    <t>Occidente|Suc. Santa Maria|809324</t>
  </si>
  <si>
    <t>Occidente|Suc. Santa Maria|809325</t>
  </si>
  <si>
    <t>Occidente|Suc. Santa Maria|809326</t>
  </si>
  <si>
    <t>Occidente|Suc. Santa Maria|809327</t>
  </si>
  <si>
    <t>Occidente|Suc. Santa Maria|809328</t>
  </si>
  <si>
    <t>Occidente|Suc. Santa Maria|809329</t>
  </si>
  <si>
    <t>Occidente|Suc. Santa Maria|809330</t>
  </si>
  <si>
    <t>Occidente|Suc. Santa Maria|809331</t>
  </si>
  <si>
    <t>Occidente|Suc. Santa Maria|809332</t>
  </si>
  <si>
    <t>Occidente|Suc. Santa Maria|809333</t>
  </si>
  <si>
    <t>Occidente|Suc. Santa Maria|809334</t>
  </si>
  <si>
    <t>Occidente|Suc. Santa Maria|809335</t>
  </si>
  <si>
    <t>Occidente|Suc. Santa Maria|809336</t>
  </si>
  <si>
    <t>Occidente|Suc. Santa Maria|809337</t>
  </si>
  <si>
    <t>Occidente|Suc. Santa Maria|809338</t>
  </si>
  <si>
    <t>Occidente|Suc. Santa Maria|809339</t>
  </si>
  <si>
    <t>Occidente|Suc. Santa Maria|809340</t>
  </si>
  <si>
    <t>Occidente|Suc. Santa Maria|809341</t>
  </si>
  <si>
    <t>Occidente|Suc. Santa Maria|809342</t>
  </si>
  <si>
    <t>Occidente|Suc. Santa Maria|809343</t>
  </si>
  <si>
    <t>Occidente|Suc. Santa Maria|809344</t>
  </si>
  <si>
    <t>Occidente|Suc. Santa Maria|809345</t>
  </si>
  <si>
    <t>Occidente|Suc. Santa Maria|809346</t>
  </si>
  <si>
    <t>Occidente|Suc. Santa Maria|809347</t>
  </si>
  <si>
    <t>Occidente|Suc. Santa Maria|809348</t>
  </si>
  <si>
    <t>Occidente|Suc. Santa Maria|809349</t>
  </si>
  <si>
    <t>Occidente|Suc. Santa Maria|809350</t>
  </si>
  <si>
    <t>Occidente|Suc. Santa Maria|809351</t>
  </si>
  <si>
    <t>Occidente|Suc. Santa Maria|809352</t>
  </si>
  <si>
    <t>Occidente|Suc. Santa Maria|809353</t>
  </si>
  <si>
    <t>Occidente|Suc. Santa Maria|809354</t>
  </si>
  <si>
    <t>Occidente|Suc. Santa Maria|809355</t>
  </si>
  <si>
    <t>Occidente|Suc. Santa Maria|809356</t>
  </si>
  <si>
    <t>Occidente|Suc. Santa Maria|809357</t>
  </si>
  <si>
    <t>Occidente|Suc. Santa Maria|809358</t>
  </si>
  <si>
    <t>Occidente|Suc. Santa Maria|809359</t>
  </si>
  <si>
    <t>Occidente|Suc. Santa Maria|809360</t>
  </si>
  <si>
    <t>Occidente|Suc. Santa Maria|809361</t>
  </si>
  <si>
    <t>Occidente|Suc. Santa Maria|809362</t>
  </si>
  <si>
    <t>Occidente|Suc. Santa Maria|809363</t>
  </si>
  <si>
    <t>Occidente|Suc. Santa Maria|809364</t>
  </si>
  <si>
    <t>Occidente|Suc. Santa Maria|809365</t>
  </si>
  <si>
    <t>Occidente|Suc. Santa Maria|809366</t>
  </si>
  <si>
    <t>Occidente|Suc. Santa Maria|809367</t>
  </si>
  <si>
    <t>Occidente|Suc. Santa Maria|809368</t>
  </si>
  <si>
    <t>Occidente|Suc. Santa Maria|809369</t>
  </si>
  <si>
    <t>Occidente|Suc. Santa Maria|809370</t>
  </si>
  <si>
    <t>Occidente|Suc. Santa Maria|809371</t>
  </si>
  <si>
    <t>Occidente|Suc. Santa Maria|809372</t>
  </si>
  <si>
    <t>Occidente|Suc. Santa Maria|809373</t>
  </si>
  <si>
    <t>Occidente|Suc. Santa Maria|809374</t>
  </si>
  <si>
    <t>Occidente|Suc. Santa Maria|809375</t>
  </si>
  <si>
    <t>Occidente|Suc. Santa Maria|809376</t>
  </si>
  <si>
    <t>Occidente|Suc. Santa Maria|809377</t>
  </si>
  <si>
    <t>Occidente|Suc. Santa Maria|809378</t>
  </si>
  <si>
    <t>Occidente|Suc. Santa Maria|809379</t>
  </si>
  <si>
    <t>Occidente|Suc. Santa Maria|809380</t>
  </si>
  <si>
    <t>Occidente|Suc. Santa Maria|809381</t>
  </si>
  <si>
    <t>Occidente|Suc. Santa Maria|809382</t>
  </si>
  <si>
    <t>Occidente|Suc. Santa Maria|809383</t>
  </si>
  <si>
    <t>Occidente|Suc. Santa Maria|809384</t>
  </si>
  <si>
    <t>Occidente|Suc. Santa Maria|809385</t>
  </si>
  <si>
    <t>Occidente|Suc. Santa Maria|809386</t>
  </si>
  <si>
    <t>Occidente|Suc. Santa Maria|809388</t>
  </si>
  <si>
    <t>Occidente|Suc. Santa Maria|809389</t>
  </si>
  <si>
    <t>Occidente|Suc. Santa Maria|809399</t>
  </si>
  <si>
    <t>Suc. Toluquilla</t>
  </si>
  <si>
    <t>Occidente|Suc. Toluquilla|804348</t>
  </si>
  <si>
    <t>Occidente|Suc. Toluquilla|804353</t>
  </si>
  <si>
    <t>Occidente|Suc. Toluquilla|804362</t>
  </si>
  <si>
    <t>Occidente|Suc. Toluquilla|804371</t>
  </si>
  <si>
    <t>Occidente|Suc. Toluquilla|804372</t>
  </si>
  <si>
    <t>Occidente|Suc. Toluquilla|804374</t>
  </si>
  <si>
    <t>Occidente|Suc. Toluquilla|804384</t>
  </si>
  <si>
    <t>Occidente|Suc. Toluquilla|804385</t>
  </si>
  <si>
    <t>Occidente|Suc. Toluquilla|804387</t>
  </si>
  <si>
    <t>Occidente|Suc. Toluquilla|804388</t>
  </si>
  <si>
    <t>Occidente|Suc. Toluquilla|804389</t>
  </si>
  <si>
    <t>Occidente|Suc. Toluquilla|804390</t>
  </si>
  <si>
    <t>Occidente|Suc. Toluquilla|804399</t>
  </si>
  <si>
    <t>Occidente|Suc. Toluquilla|804413</t>
  </si>
  <si>
    <t>Occidente|Suc. Toluquilla|804415</t>
  </si>
  <si>
    <t>Occidente|Suc. Toluquilla|804416</t>
  </si>
  <si>
    <t>Occidente|Suc. Toluquilla|804420</t>
  </si>
  <si>
    <t>Occidente|Suc. Toluquilla|804421</t>
  </si>
  <si>
    <t>Occidente|Suc. Toluquilla|804422</t>
  </si>
  <si>
    <t>Occidente|Suc. Toluquilla|804423</t>
  </si>
  <si>
    <t>Occidente|Suc. Toluquilla|804424</t>
  </si>
  <si>
    <t>Occidente|Suc. Toluquilla|804425</t>
  </si>
  <si>
    <t>Los Altos</t>
  </si>
  <si>
    <t>Planta Los Altos</t>
  </si>
  <si>
    <t>Occidente|Planta Los Altos|831399</t>
  </si>
  <si>
    <t>Occidente|Planta Los Altos|831400</t>
  </si>
  <si>
    <t>Occidente|Planta Los Altos|831401</t>
  </si>
  <si>
    <t>Occidente|Planta Los Altos|831402</t>
  </si>
  <si>
    <t>Occidente|Planta Los Altos|831403</t>
  </si>
  <si>
    <t>Suc. Ameca</t>
  </si>
  <si>
    <t>Occidente|Suc. Ameca|821401</t>
  </si>
  <si>
    <t>Occidente|Suc. Ameca|821402</t>
  </si>
  <si>
    <t>Occidente|Suc. Ameca|821470</t>
  </si>
  <si>
    <t>Occidente|Suc. Ameca|#ERROR</t>
  </si>
  <si>
    <t>Suc. Atotonilco</t>
  </si>
  <si>
    <t>Occidente|Suc. Atotonilco|833300</t>
  </si>
  <si>
    <t>Sin dato</t>
  </si>
  <si>
    <t>Suc. Autlán</t>
  </si>
  <si>
    <t>Occidente|Suc. Autlán|822300</t>
  </si>
  <si>
    <t>Suc. Cihuatlán</t>
  </si>
  <si>
    <t>Occidente|Suc. Cihuatlán|808300</t>
  </si>
  <si>
    <t>Suc. Cocula</t>
  </si>
  <si>
    <t>Occidente|Suc. Cocula|824300</t>
  </si>
  <si>
    <t>Suc. Manzanillo</t>
  </si>
  <si>
    <t>Occidente|Suc. Manzanillo|805399</t>
  </si>
  <si>
    <t>Occidente|Suc. Manzanillo|805401</t>
  </si>
  <si>
    <t>Occidente|Suc. Manzanillo|805402</t>
  </si>
  <si>
    <t>Occidente|Suc. Manzanillo|805403</t>
  </si>
  <si>
    <t>Occidente|Suc. Manzanillo|805404</t>
  </si>
  <si>
    <t>Occidente|Suc. Manzanillo|805405</t>
  </si>
  <si>
    <t>Occidente|Suc. Manzanillo|805406</t>
  </si>
  <si>
    <t>Suc. Ocotlan</t>
  </si>
  <si>
    <t>Occidente|Suc. Ocotlan|835400</t>
  </si>
  <si>
    <t>Occidente|Suc. Ocotlan|835401</t>
  </si>
  <si>
    <t>Suc. Tala</t>
  </si>
  <si>
    <t>Occidente|Suc. Tala|825301</t>
  </si>
  <si>
    <t>Occidente|Suc. Tala|825302</t>
  </si>
  <si>
    <t>Suc. Tecomán</t>
  </si>
  <si>
    <t>Occidente|Suc. Tecomán|806399</t>
  </si>
  <si>
    <t>Occidente|Suc. Tecomán|806400</t>
  </si>
  <si>
    <t>Occidente|Suc. Tecomán|806401</t>
  </si>
  <si>
    <t>Occidente|Suc. Tecomán|806402</t>
  </si>
  <si>
    <t>Suc. Tequila</t>
  </si>
  <si>
    <t>Occidente|Suc. Tequila|827301</t>
  </si>
  <si>
    <t>Suc. Zacoalco</t>
  </si>
  <si>
    <t>Occidente|Suc. Zacoalco|828301</t>
  </si>
  <si>
    <t>Suc. Zapotlanejo</t>
  </si>
  <si>
    <t>Occidente|Suc. Zapotlanejo|837400</t>
  </si>
  <si>
    <t>Sucursal Chapala</t>
  </si>
  <si>
    <t>Occidente|Sucursal Chapala|823301</t>
  </si>
  <si>
    <t>Occidente|Sucursal Chapala|823302</t>
  </si>
  <si>
    <t>Planta San Luis</t>
  </si>
  <si>
    <t>Occidente|Planta San Luis|916340</t>
  </si>
  <si>
    <t>Occidente|Planta San Luis|916341</t>
  </si>
  <si>
    <t>Occidente|Planta San Luis|916342</t>
  </si>
  <si>
    <t>Occidente|Planta San Luis|916343</t>
  </si>
  <si>
    <t>Occidente|Planta San Luis|916344</t>
  </si>
  <si>
    <t>Occidente|Planta San Luis|916345</t>
  </si>
  <si>
    <t>Occidente|Planta San Luis|916346</t>
  </si>
  <si>
    <t>Occidente|Planta San Luis|916347</t>
  </si>
  <si>
    <t>Occidente|Planta San Luis|916348</t>
  </si>
  <si>
    <t>Occidente|Planta San Luis|916349</t>
  </si>
  <si>
    <t>Occidente|Planta San Luis|916350</t>
  </si>
  <si>
    <t>Occidente|Planta San Luis|916351</t>
  </si>
  <si>
    <t>Occidente|Planta San Luis|916352</t>
  </si>
  <si>
    <t>Occidente|Planta San Luis|916353</t>
  </si>
  <si>
    <t>Occidente|Planta San Luis|916354</t>
  </si>
  <si>
    <t>Occidente|Planta San Luis|916355</t>
  </si>
  <si>
    <t>Occidente|Planta San Luis|916356</t>
  </si>
  <si>
    <t>Occidente|Planta San Luis|916399</t>
  </si>
  <si>
    <t>Occidente|Planta San Luis|916400</t>
  </si>
  <si>
    <t>Occidente|Planta San Luis|916401</t>
  </si>
  <si>
    <t>Occidente|Planta San Luis|916402</t>
  </si>
  <si>
    <t>Occidente|Planta San Luis|916403</t>
  </si>
  <si>
    <t>Occidente|Planta San Luis|916404</t>
  </si>
  <si>
    <t>Occidente|Planta San Luis|916405</t>
  </si>
  <si>
    <t>Occidente|Planta San Luis|916406</t>
  </si>
  <si>
    <t>Occidente|Planta San Luis|916407</t>
  </si>
  <si>
    <t>Occidente|Planta San Luis|916408</t>
  </si>
  <si>
    <t>Occidente|Planta San Luis|916409</t>
  </si>
  <si>
    <t>Occidente|Planta San Luis|916410</t>
  </si>
  <si>
    <t>Occidente|Planta San Luis|916411</t>
  </si>
  <si>
    <t>Occidente|Planta San Luis|916412</t>
  </si>
  <si>
    <t>Occidente|Planta San Luis|916413</t>
  </si>
  <si>
    <t>Occidente|Planta San Luis|916414</t>
  </si>
  <si>
    <t>Occidente|Planta San Luis|916415</t>
  </si>
  <si>
    <t>Occidente|Planta San Luis|916417</t>
  </si>
  <si>
    <t>Occidente|Planta San Luis|916418</t>
  </si>
  <si>
    <t>Occidente|Planta San Luis|916419</t>
  </si>
  <si>
    <t>Occidente|Planta San Luis|916420</t>
  </si>
  <si>
    <t>Occidente|Planta San Luis|916421</t>
  </si>
  <si>
    <t>Occidente|Planta San Luis|916422</t>
  </si>
  <si>
    <t>Occidente|Planta San Luis|916424</t>
  </si>
  <si>
    <t>Occidente|Planta San Luis|916425</t>
  </si>
  <si>
    <t>Occidente|Planta San Luis|916427</t>
  </si>
  <si>
    <t>Occidente|Planta San Luis|916428</t>
  </si>
  <si>
    <t>Occidente|Planta San Luis|916429</t>
  </si>
  <si>
    <t>Occidente|Planta San Luis|916430</t>
  </si>
  <si>
    <t>Occidente|Planta San Luis|916431</t>
  </si>
  <si>
    <t>Occidente|Planta San Luis|916432</t>
  </si>
  <si>
    <t>Occidente|Planta San Luis|916433</t>
  </si>
  <si>
    <t>Occidente|Planta San Luis|916434</t>
  </si>
  <si>
    <t>Culiacán</t>
  </si>
  <si>
    <t>Planta Aeropuerto</t>
  </si>
  <si>
    <t>Pacifico|Planta Aeropuerto|501300</t>
  </si>
  <si>
    <t>Pacifico|Planta Aeropuerto|501301</t>
  </si>
  <si>
    <t>Pacifico|Planta Aeropuerto|501302</t>
  </si>
  <si>
    <t>Pacifico|Planta Aeropuerto|501303</t>
  </si>
  <si>
    <t>Pacifico|Planta Aeropuerto|501304</t>
  </si>
  <si>
    <t>Pacifico|Planta Aeropuerto|501305</t>
  </si>
  <si>
    <t>Pacifico|Planta Aeropuerto|501306</t>
  </si>
  <si>
    <t>Sucursal Guamúchil</t>
  </si>
  <si>
    <t>Pacifico|Sucursal Guamúchil|502300</t>
  </si>
  <si>
    <t>Hermosillo</t>
  </si>
  <si>
    <t>Planta Hermosillo</t>
  </si>
  <si>
    <t>Pacifico|Planta Hermosillo|401300</t>
  </si>
  <si>
    <t>Pacifico|Planta Hermosillo|401301</t>
  </si>
  <si>
    <t>Pacifico|Planta Hermosillo|401302</t>
  </si>
  <si>
    <t>Pacifico|Planta Hermosillo|401306</t>
  </si>
  <si>
    <t>Pacifico|Planta Hermosillo|401307</t>
  </si>
  <si>
    <t>Pacifico|Planta Hermosillo|5000000311</t>
  </si>
  <si>
    <t>Suc. Caborca</t>
  </si>
  <si>
    <t>Pacifico|Suc. Caborca|402300</t>
  </si>
  <si>
    <t>La Paz</t>
  </si>
  <si>
    <t>Planta La Paz</t>
  </si>
  <si>
    <t>Pacifico|Planta La Paz|506300</t>
  </si>
  <si>
    <t>Pacifico|Planta La Paz|506301</t>
  </si>
  <si>
    <t>Pacifico|Planta La Paz|506302</t>
  </si>
  <si>
    <t>Pacifico|Planta La Paz|506303</t>
  </si>
  <si>
    <t>Pacifico|Planta La Paz|506304</t>
  </si>
  <si>
    <t>Pacifico|Planta La Paz|506305</t>
  </si>
  <si>
    <t>Pacifico|Planta La Paz|506306</t>
  </si>
  <si>
    <t>Pacifico|Planta La Paz|506307</t>
  </si>
  <si>
    <t>Pacifico|Planta La Paz|506308</t>
  </si>
  <si>
    <t>Pacifico|Planta La Paz|506309</t>
  </si>
  <si>
    <t>Suc. Cabo San Lucas</t>
  </si>
  <si>
    <t>Pacifico|Suc. Cabo San Lucas|507300</t>
  </si>
  <si>
    <t>Pacifico|Suc. Cabo San Lucas|507301</t>
  </si>
  <si>
    <t>Pacifico|Suc. Cabo San Lucas|507302</t>
  </si>
  <si>
    <t>Pacifico|Suc. Cabo San Lucas|507303</t>
  </si>
  <si>
    <t>Pacifico|Suc. Cabo San Lucas|507304</t>
  </si>
  <si>
    <t>Pacifico|Suc. Cabo San Lucas|507305</t>
  </si>
  <si>
    <t>Pacifico|Suc. Cabo San Lucas|507306</t>
  </si>
  <si>
    <t>Pacifico|Suc. Cabo San Lucas|507307</t>
  </si>
  <si>
    <t>Suc. Constitución</t>
  </si>
  <si>
    <t>Pacifico|Suc. Constitución|508302</t>
  </si>
  <si>
    <t>Planta Escuinapa</t>
  </si>
  <si>
    <t>Pacifico|Planta Escuinapa|504300</t>
  </si>
  <si>
    <t>Suc. La Cruz</t>
  </si>
  <si>
    <t>Pacifico|Suc. La Cruz|505300</t>
  </si>
  <si>
    <t>Mazatlán</t>
  </si>
  <si>
    <t>Sucursal Venadillo</t>
  </si>
  <si>
    <t>Pacifico|Sucursal Venadillo|503270</t>
  </si>
  <si>
    <t>Pacifico|Sucursal Venadillo|503300</t>
  </si>
  <si>
    <t>Pacifico|Sucursal Venadillo|503301</t>
  </si>
  <si>
    <t>Pacifico|Sucursal Venadillo|503302</t>
  </si>
  <si>
    <t>Pacifico|Sucursal Venadillo|503303</t>
  </si>
  <si>
    <t>Pacifico|Sucursal Venadillo|503304</t>
  </si>
  <si>
    <t>Pacifico|Sucursal Venadillo|503305</t>
  </si>
  <si>
    <t>Mexicali</t>
  </si>
  <si>
    <t>Planta Mexicali</t>
  </si>
  <si>
    <t>Pacifico|Planta Mexicali|407300</t>
  </si>
  <si>
    <t>Pacifico|Planta Mexicali|407301</t>
  </si>
  <si>
    <t>Pacifico|Planta Mexicali|407302</t>
  </si>
  <si>
    <t>Pacifico|Planta Mexicali|407303</t>
  </si>
  <si>
    <t>Pacifico|Planta Mexicali|407304</t>
  </si>
  <si>
    <t>Pacifico|Planta Mexicali|407307</t>
  </si>
  <si>
    <t>Suc. Puerto Peñasco</t>
  </si>
  <si>
    <t>Pacifico|Suc. Puerto Peñasco|#ERROR</t>
  </si>
  <si>
    <t>Sucursal Cajeme</t>
  </si>
  <si>
    <t>Pacifico|Sucursal Cajeme|404304</t>
  </si>
  <si>
    <t>Sucursal Guaymas</t>
  </si>
  <si>
    <t>Pacifico|Sucursal Guaymas|406300</t>
  </si>
  <si>
    <t>Estatus</t>
  </si>
  <si>
    <t>Elegible p/ estándar</t>
  </si>
  <si>
    <t>Venta Neta de la ruta</t>
  </si>
  <si>
    <t>Ingreso prom. x ruta del CeDi</t>
  </si>
  <si>
    <t>%CDS asignado a la ruta</t>
  </si>
  <si>
    <t>Margen estimado</t>
  </si>
  <si>
    <t>¿En riesgo?</t>
  </si>
  <si>
    <t>Categoría de ruta</t>
  </si>
  <si>
    <t>CeDi en ampliación</t>
  </si>
  <si>
    <t>CeDi en Mtto.</t>
  </si>
  <si>
    <t>CeDi en desarrollo</t>
  </si>
  <si>
    <t>CeDi en riesgo</t>
  </si>
  <si>
    <t>Categoría</t>
  </si>
  <si>
    <t>% de evaluadas</t>
  </si>
  <si>
    <t>Ruta inactiva</t>
  </si>
  <si>
    <t>No elegible</t>
  </si>
  <si>
    <t>Sin datos</t>
  </si>
  <si>
    <t>Recomendación del CeDi</t>
  </si>
  <si>
    <t>Caso por caso - mix sin categoría dominante</t>
  </si>
  <si>
    <t>Sin rutas evaluables</t>
  </si>
  <si>
    <t>Descripción de Mercado (+NSE)</t>
  </si>
  <si>
    <t>Manzanas</t>
  </si>
  <si>
    <t>Población</t>
  </si>
  <si>
    <t>Hogares</t>
  </si>
  <si>
    <t>Personas por hogar</t>
  </si>
  <si>
    <t>Hogares por manzana</t>
  </si>
  <si>
    <t>Hogares A/B</t>
  </si>
  <si>
    <t>Hogares C+</t>
  </si>
  <si>
    <t>Hogares A/B + C+</t>
  </si>
  <si>
    <t>% A/B + C+</t>
  </si>
  <si>
    <t>% NSE A/B</t>
  </si>
  <si>
    <t>% NSE C+</t>
  </si>
  <si>
    <t>% NSE C</t>
  </si>
  <si>
    <t>% NSE C-</t>
  </si>
  <si>
    <t>% NSE D+</t>
  </si>
  <si>
    <t>% NSE D</t>
  </si>
  <si>
    <t>% NSE E</t>
  </si>
  <si>
    <t>% NSE N/D</t>
  </si>
  <si>
    <t>Comercio detalle / 1000 hab</t>
  </si>
  <si>
    <t>Comercio proximidad / 1000 hab</t>
  </si>
  <si>
    <t>Matching y control de comparación Periodos 2025-2026</t>
  </si>
  <si>
    <t>Cobertura AC</t>
  </si>
  <si>
    <t>AS-IS (2026)</t>
  </si>
  <si>
    <t>TO-BE</t>
  </si>
  <si>
    <t>Caso P25 - CU x cliente</t>
  </si>
  <si>
    <t>Caso P25 - Vol. CU</t>
  </si>
  <si>
    <t>Caso P25 - Venta</t>
  </si>
  <si>
    <t>CeDi en archivo de potencial</t>
  </si>
  <si>
    <t>Venta 2026 anualizada (k MXN)</t>
  </si>
  <si>
    <t>CU 2026 anualizada (k CU)</t>
  </si>
  <si>
    <t>Ratio venta 2026 an. / venta neta 2025</t>
  </si>
  <si>
    <t>Comparabilidad entre periodos</t>
  </si>
  <si>
    <t>Clientes A/B + C+</t>
  </si>
  <si>
    <t>Cobertura A/B + C+</t>
  </si>
  <si>
    <t>CU hoy · zona con ruta</t>
  </si>
  <si>
    <t xml:space="preserve">   CU x cliente ACTUALES · hoy</t>
  </si>
  <si>
    <t>Venta actual</t>
  </si>
  <si>
    <t>Clientes NUEVOS · dentro de zona con ruta</t>
  </si>
  <si>
    <t>Hogares A/B + C+ atendidos · META</t>
  </si>
  <si>
    <t>Crecimiento de hogares A/B + C+ atendidos</t>
  </si>
  <si>
    <t>Hogares atendidos · META  (todos los NSE)</t>
  </si>
  <si>
    <t>Crecimiento de hogares atendidos  (todos los NSE)</t>
  </si>
  <si>
    <t xml:space="preserve">   CU x cliente NUEVOS dentro · caso P25</t>
  </si>
  <si>
    <t>CU x cliente · PROMEDIO caso P25</t>
  </si>
  <si>
    <t>Δ CU x cliente · PROMEDIO caso P25</t>
  </si>
  <si>
    <t>(+) CU de clientes actuales · caso P25</t>
  </si>
  <si>
    <t>(+) CU de clientes nuevos · caso P25</t>
  </si>
  <si>
    <t xml:space="preserve"> = CU · caso P25</t>
  </si>
  <si>
    <t>% crecimiento en CU · caso P25</t>
  </si>
  <si>
    <t>(+) Caso P25 · zona con ruta</t>
  </si>
  <si>
    <t xml:space="preserve"> = VENTA · caso P25</t>
  </si>
  <si>
    <t>% crecimiento · caso P25</t>
  </si>
  <si>
    <t>PLANTA MATAMOROS</t>
  </si>
  <si>
    <t>SUCURSAL MONCLOVA</t>
  </si>
  <si>
    <t>PLANTA GUADALUPE</t>
  </si>
  <si>
    <t>SUCURSAL JUVENTUD</t>
  </si>
  <si>
    <t>SUCURSAL LINCOLN</t>
  </si>
  <si>
    <t>SUCURSAL SANTA CATARINA</t>
  </si>
  <si>
    <t>SUCURSAL UNIVERSIDAD</t>
  </si>
  <si>
    <t>SUC ACUNA</t>
  </si>
  <si>
    <t>SUC PIEDRAS NEGRAS</t>
  </si>
  <si>
    <t>SUC SABINAS COAH</t>
  </si>
  <si>
    <t>SUCURSAL REYNOSA</t>
  </si>
  <si>
    <t>PLANTA AGUA Y HIELO</t>
  </si>
  <si>
    <t>PLANTA CHIHUAHUA</t>
  </si>
  <si>
    <t>SUC ESTADIO</t>
  </si>
  <si>
    <t>SUC SANTA RITA</t>
  </si>
  <si>
    <t>PLANTA GUADIANA</t>
  </si>
  <si>
    <t>PLANTA CD JUAREZ</t>
  </si>
  <si>
    <t>PLANTA ZACATECAS</t>
  </si>
  <si>
    <t>SUC FRESNILLO</t>
  </si>
  <si>
    <t>SUC OJOCALIENTE</t>
  </si>
  <si>
    <t>PLANTA AGUASCALIENTES</t>
  </si>
  <si>
    <t>PLANTA TROJES</t>
  </si>
  <si>
    <t>SUC LORETO</t>
  </si>
  <si>
    <t>SUCURSAL JALPA</t>
  </si>
  <si>
    <t>SUCURSAL JUCHIPILA</t>
  </si>
  <si>
    <t>SUCURSAL TEOCALTICHE</t>
  </si>
  <si>
    <t>CEDI TONALA</t>
  </si>
  <si>
    <t>SUC ALAMO</t>
  </si>
  <si>
    <t>SUC CIHUATLAN</t>
  </si>
  <si>
    <t>SUC MANZANILLO</t>
  </si>
  <si>
    <t>SUC SAN RAFAEL</t>
  </si>
  <si>
    <t>SUC SANTA MARIA</t>
  </si>
  <si>
    <t>SUC TECOMAN</t>
  </si>
  <si>
    <t>SUC TOLUQUILLA</t>
  </si>
  <si>
    <t>PLANTA LOS ALTOS</t>
  </si>
  <si>
    <t>SUC OCOTLAN</t>
  </si>
  <si>
    <t>PLANTA MATEHUALA</t>
  </si>
  <si>
    <t>PLANTA SAN LUIS</t>
  </si>
  <si>
    <t>SUC RIO VERDE</t>
  </si>
  <si>
    <t>PLANTA ZAPOPAN</t>
  </si>
  <si>
    <t>SUC AMECA</t>
  </si>
  <si>
    <t>SUC AUTLAN</t>
  </si>
  <si>
    <t>SUC BELENES</t>
  </si>
  <si>
    <t>SUC COCULA</t>
  </si>
  <si>
    <t>SUC HUENTITAN</t>
  </si>
  <si>
    <t>SUC TALA</t>
  </si>
  <si>
    <t>SUC ZACOALCO</t>
  </si>
  <si>
    <t>SUCURSAL CHAPALA</t>
  </si>
  <si>
    <t>PLANTA AEROPUERTO</t>
  </si>
  <si>
    <t>PLANTA HERMOSILLO</t>
  </si>
  <si>
    <t>PLANTA LA PAZ</t>
  </si>
  <si>
    <t>SUC CABO SAN LUCAS</t>
  </si>
  <si>
    <t>SUCURSAL VENADILLO</t>
  </si>
  <si>
    <t>PLANTA MEXICALI</t>
  </si>
  <si>
    <t>Alto</t>
  </si>
  <si>
    <t>Medio</t>
  </si>
  <si>
    <t>Bajo</t>
  </si>
  <si>
    <t>P1 - Expansión inmediata</t>
  </si>
  <si>
    <t>P2 - Expansión en siguiente ola</t>
  </si>
  <si>
    <t>P3 - Primero productividad</t>
  </si>
  <si>
    <t>P4 - Sin prioridad de expansión</t>
  </si>
  <si>
    <t>No aplica - ruta en riesgo</t>
  </si>
  <si>
    <t>Fuente del dato de zona</t>
  </si>
  <si>
    <t>Índice de Atractivo (0-100)</t>
  </si>
  <si>
    <t>Nivel de atractivo</t>
  </si>
  <si>
    <t>Índice de Atractivo prom.</t>
  </si>
  <si>
    <t>Prioridad</t>
  </si>
  <si>
    <t>Índice de Madurez prom.</t>
  </si>
  <si>
    <t>No aplica - fuera de evaluación</t>
  </si>
  <si>
    <t>Sin datos de zona - por confirmar</t>
  </si>
  <si>
    <t>1. Identificación</t>
  </si>
  <si>
    <t>2. Indicador actual de la ruta</t>
  </si>
  <si>
    <t>Referencia del modelo de madurez de rutas</t>
  </si>
  <si>
    <t>Los parámetros y umbrales editables viven en las filas 3 y 4 de la hoja 'Analisis de recomendación Rutas', justo arriba de la columna que gobiernan. Esta hoja sólo documenta y calcula lo que no cabe ahí.</t>
  </si>
  <si>
    <t>A. Estándar objetivo = percentil 75 de cada Región (sólo rutas elegibles). Se recalcula solo.</t>
  </si>
  <si>
    <t>Rutas elegibles</t>
  </si>
  <si>
    <t>PARÁMETROS DE CÁLCULO (editables) ▸</t>
  </si>
  <si>
    <t>◀ cortes para convertir cumplimiento en puntaje 1-5</t>
  </si>
  <si>
    <t>UMBRALES DE DECISIÓN (editables) ▸</t>
  </si>
  <si>
    <t>mín. datos</t>
  </si>
  <si>
    <t>= Madura</t>
  </si>
  <si>
    <t>&lt; Inmadura</t>
  </si>
  <si>
    <t>= riesgo</t>
  </si>
  <si>
    <t>= cerca tope</t>
  </si>
  <si>
    <t>= Alto</t>
  </si>
  <si>
    <t>&lt; Bajo</t>
  </si>
  <si>
    <t>◀ pesos del Índice de Madurez (suma 100%)</t>
  </si>
  <si>
    <t>◀ pesos del Índice de Atractivo</t>
  </si>
  <si>
    <t>3. Estándar objetivo = p75 de su Región</t>
  </si>
  <si>
    <t>4. Cumplimiento vs. estándar</t>
  </si>
  <si>
    <t>5. Puntaje 1-5</t>
  </si>
  <si>
    <t>Est. Clientes/día</t>
  </si>
  <si>
    <t>Est. Efectividad</t>
  </si>
  <si>
    <t>Est. Ticket</t>
  </si>
  <si>
    <t>Cumpl. Clientes/día</t>
  </si>
  <si>
    <t>Sc. Clientes/día</t>
  </si>
  <si>
    <t>6. Índice de Madurez</t>
  </si>
  <si>
    <t>7. Rentabilidad de la ruta</t>
  </si>
  <si>
    <t>Alta / Media</t>
  </si>
  <si>
    <t>Cobertura de datos de zona</t>
  </si>
  <si>
    <t>B. Estándar objetivo de atractivo = percentil 75 de cada Región. Mismo criterio y mismos cortes que la madurez.</t>
  </si>
  <si>
    <t>C. Qué significa cada categoría y qué se recomienda (el texto de la columna Recomendación sale de aquí)</t>
  </si>
  <si>
    <t>Ruta inactiva - fuera de evaluación</t>
  </si>
  <si>
    <t>Estatus distinto de Activa en la base</t>
  </si>
  <si>
    <t>No elegible - revisar código o estatus</t>
  </si>
  <si>
    <t>Sin código válido o marcada como no elegible para el estándar</t>
  </si>
  <si>
    <t>No alcanza la cobertura mínima de indicadores</t>
  </si>
  <si>
    <t>Desestimar - Ruta en riesgo por rentabilidad</t>
  </si>
  <si>
    <t>El costo de servir se come la venta: primero rentabilidad, no crecimiento</t>
  </si>
  <si>
    <t>Ampliar cobertura - Ruta saturada, mayor huella y más clientes</t>
  </si>
  <si>
    <t>Cumple los 3 indicadores núcleo: está en su máxima capacidad</t>
  </si>
  <si>
    <t>Mantener - Ruta madura, sostener indicadores</t>
  </si>
  <si>
    <t>Cerca del tope o índice de madurez alto: sólo requiere un pequeño push</t>
  </si>
  <si>
    <t>Desarrollar - Espacio para mejorar sin riesgo</t>
  </si>
  <si>
    <t>Hay margen para subir indicadores sin estar en riesgo (debería ser la mayoría)</t>
  </si>
  <si>
    <t>D. Matriz de priorización de expansión (categoría de ruta x atractivo de su zona)</t>
  </si>
  <si>
    <t>E. Resumen de rutas por categoría</t>
  </si>
  <si>
    <t>F. Resumen de prioridad de expansión</t>
  </si>
  <si>
    <t>G. Regla para el CeDi y resumen</t>
  </si>
  <si>
    <t>Concentración mínima de una categoría para definir al CeDi</t>
  </si>
  <si>
    <t>Si ninguna categoría supera este % de las rutas del CeDi, se marca 'Caso por caso'</t>
  </si>
  <si>
    <t>Categoría dominante de rutas</t>
  </si>
  <si>
    <t>&lt;= sin capacidad</t>
  </si>
  <si>
    <t>11. Cluster</t>
  </si>
  <si>
    <t>Eje: estado de la ruta</t>
  </si>
  <si>
    <t>Eje: potencial de la zona</t>
  </si>
  <si>
    <t>Margen p75 (bench)</t>
  </si>
  <si>
    <t>Margen bench = p75 de su Región</t>
  </si>
  <si>
    <t>Margen vs. bench (pp)</t>
  </si>
  <si>
    <t>H. Mapeo contra los criterios de priorización de la propuesta (pág. 12, 'Dimensionamiento táctico por clúster')</t>
  </si>
  <si>
    <t>Eje</t>
  </si>
  <si>
    <t>Criterio de la propuesta</t>
  </si>
  <si>
    <t>Cómo se mide hoy</t>
  </si>
  <si>
    <t>Estado</t>
  </si>
  <si>
    <t>Atractividad</t>
  </si>
  <si>
    <t>Nivel socioeconómico objetivo</t>
  </si>
  <si>
    <t>% hogares A/B + C+ de la zona de la ruta (col. BB), vs p75 de su Región</t>
  </si>
  <si>
    <t>Completo (643 de 789 rutas con dato propio, resto hereda del CeDi)</t>
  </si>
  <si>
    <t>Densidad de hogares</t>
  </si>
  <si>
    <t>Hogares por manzana (col. BC), vs p75 de su Región</t>
  </si>
  <si>
    <t>Completo (648 rutas)</t>
  </si>
  <si>
    <t>Potencial de venta</t>
  </si>
  <si>
    <t>% crecimiento en venta y en CU del caso P25, a nivel CeDi (cols. AZ y BA)</t>
  </si>
  <si>
    <t>Completo (53 de 78 CeDis con potencial horizontal cargado)</t>
  </si>
  <si>
    <t>Frecuencia de consumo</t>
  </si>
  <si>
    <t>PROXY: frecuencia de visita de la ruta (col. BD). No es frecuencia de consumo del hogar.</t>
  </si>
  <si>
    <t>Proxy - sustituir cuando llegue el dato de mercado. Peso editable en BJ3, ponlo en 0% para excluirlo.</t>
  </si>
  <si>
    <t>Complejidad</t>
  </si>
  <si>
    <t>Densidad / dispersión de territorios</t>
  </si>
  <si>
    <t>No implementado. Proxy posible: manzanas por hogar o población por manzana.</t>
  </si>
  <si>
    <t>Pendiente</t>
  </si>
  <si>
    <t>Facilidad de cobertura logística</t>
  </si>
  <si>
    <t>No implementado. Proxy posible: comercio de proximidad por 1000 hab (base de rutas col. CF, 643 rutas).</t>
  </si>
  <si>
    <t>Tiempo promedio en ruta</t>
  </si>
  <si>
    <t>No hay dato en ninguna de las dos bases.</t>
  </si>
  <si>
    <t>Falta el dato</t>
  </si>
  <si>
    <t>Índice delictivo / nivel de seguridad</t>
  </si>
  <si>
    <t>El eje de Complejidad no se implementó: 2 de sus 4 criterios no existen en las bases. Hoy la matriz 2x2 cruza Atractividad contra capacidad de crecer de la ruta (saturación). Cuando lleguen tiempo en ruta y seguridad se puede armar el cruce Atractividad x Complejidad de la propuesta.</t>
  </si>
  <si>
    <t>Atractivo</t>
  </si>
  <si>
    <t>Espacio</t>
  </si>
  <si>
    <t>P1 - Ampliar cobertura</t>
  </si>
  <si>
    <t>P2 - Mantener</t>
  </si>
  <si>
    <t>P3 - Desarrollar</t>
  </si>
  <si>
    <t>Índice de Ejecución (0-100)</t>
  </si>
  <si>
    <t>Eje Y ruta - Madurez y saturación</t>
  </si>
  <si>
    <t>Eje X ruta - Atractividad propia</t>
  </si>
  <si>
    <t>P homologada de la ruta</t>
  </si>
  <si>
    <t>EERR Información :</t>
  </si>
  <si>
    <t xml:space="preserve">Clasificación del Driver de Ponderación </t>
  </si>
  <si>
    <t>Hogar</t>
  </si>
  <si>
    <t>- Costo/gasto que se afecta directo si se agrega o elimina una ruta (nómina de reparto, combustible, mtto de eq. de transporte, supervisión de ventas, depreciación de unidades).</t>
  </si>
  <si>
    <t>Ruta Activa</t>
  </si>
  <si>
    <t>- Se pondera con: Rutas Hogar del cedi / Rutas Hogar del territorio</t>
  </si>
  <si>
    <t>Volumen CU</t>
  </si>
  <si>
    <t>Acum</t>
  </si>
  <si>
    <t>- Costo que escala con las cajas movidas y no con el número de rutas (producción, merma de envase, fleteo, gastos y depreciación de fábrica)</t>
  </si>
  <si>
    <t>Diciembre</t>
  </si>
  <si>
    <t xml:space="preserve">- Se pondera con: Cajas Unidad del cedi / Cajas Unidad del territorio </t>
  </si>
  <si>
    <t>Semanas</t>
  </si>
  <si>
    <t>Venta $</t>
  </si>
  <si>
    <t>Dias Lab. del Año</t>
  </si>
  <si>
    <t>- Estructura y gastos comerciales que no se afectan al agregar o quitar una ruta, o que se pagan como % de la venta (comisiones, bonificaciones, incidencia, DME, administración, back office, staff).</t>
  </si>
  <si>
    <t>Dias Lab. Mes</t>
  </si>
  <si>
    <t xml:space="preserve">- Se pondera con: Venta Bruta del cedi / Venta Bruta del territorio </t>
  </si>
  <si>
    <t>Indicadores Clave por ruta:</t>
  </si>
  <si>
    <t>Obregón</t>
  </si>
  <si>
    <t>Pacífico</t>
  </si>
  <si>
    <t>Suc. Chapala</t>
  </si>
  <si>
    <t>-</t>
  </si>
  <si>
    <t>Total Venta Bruta $</t>
  </si>
  <si>
    <t xml:space="preserve">     Proporción por Venta Bruta $</t>
  </si>
  <si>
    <t>Total Volumen CU</t>
  </si>
  <si>
    <t xml:space="preserve">     Proporción por Volumen CU</t>
  </si>
  <si>
    <t>Total Rutas</t>
  </si>
  <si>
    <t xml:space="preserve">     Proporción por Rutas</t>
  </si>
  <si>
    <t>Datos Financiero</t>
  </si>
  <si>
    <t>Clasificación Cost to Serve (Canal Hogar)</t>
  </si>
  <si>
    <t>Driver Ponderación</t>
  </si>
  <si>
    <t>Tipo de Garrafón</t>
  </si>
  <si>
    <t>20.0 L</t>
  </si>
  <si>
    <t>19.0 L</t>
  </si>
  <si>
    <t>N/A</t>
  </si>
  <si>
    <t>Garrafones</t>
  </si>
  <si>
    <t>Factor de Conversión</t>
  </si>
  <si>
    <t>Ventas Brutas</t>
  </si>
  <si>
    <t>Venta Bruta MC&amp;L</t>
  </si>
  <si>
    <t>Cajas Unidad</t>
  </si>
  <si>
    <t>Cajas Unidad Totales</t>
  </si>
  <si>
    <t>Venta Bruta GFN</t>
  </si>
  <si>
    <t>Venta Bruta OP</t>
  </si>
  <si>
    <t>Bonificaciones</t>
  </si>
  <si>
    <t>% Bonificaciones</t>
  </si>
  <si>
    <t>Costos Producción</t>
  </si>
  <si>
    <t>No Directo</t>
  </si>
  <si>
    <t>Costo de Producción</t>
  </si>
  <si>
    <t>Merma De Envase</t>
  </si>
  <si>
    <t>Incidencia</t>
  </si>
  <si>
    <t>Comisiones</t>
  </si>
  <si>
    <t>Fleteo</t>
  </si>
  <si>
    <t>Costo de Venta Variable</t>
  </si>
  <si>
    <t>Contribución Marginal</t>
  </si>
  <si>
    <t>% Contribución Marginal</t>
  </si>
  <si>
    <t>GOD Gastos Fábrica</t>
  </si>
  <si>
    <t>GF Directo</t>
  </si>
  <si>
    <t>GOC Gastos Fábrica</t>
  </si>
  <si>
    <t>GF Otros</t>
  </si>
  <si>
    <t>Gastos Fábrica</t>
  </si>
  <si>
    <t>Directo</t>
  </si>
  <si>
    <t>Gastos Ventas</t>
  </si>
  <si>
    <t>Generales</t>
  </si>
  <si>
    <t>Gastos Administración</t>
  </si>
  <si>
    <t>GOD Gastos Venta Staff México</t>
  </si>
  <si>
    <t>Staff México</t>
  </si>
  <si>
    <t>DME</t>
  </si>
  <si>
    <t>Gastos de Mercado</t>
  </si>
  <si>
    <t>Obsequio de Envase</t>
  </si>
  <si>
    <t>Servicio Televenta</t>
  </si>
  <si>
    <t>Gastos Dedicados</t>
  </si>
  <si>
    <t>Gastos de Operación Dedicados</t>
  </si>
  <si>
    <t>Utilidad Marginal Directa</t>
  </si>
  <si>
    <t>% Utilidad Marginal Directa</t>
  </si>
  <si>
    <t>Back Office</t>
  </si>
  <si>
    <t>Gastos de Operación Compartidos</t>
  </si>
  <si>
    <t>Total Gastos de Operación</t>
  </si>
  <si>
    <t>Utilidad de Operación EERR</t>
  </si>
  <si>
    <t>% Utilidad de Operación EERR</t>
  </si>
  <si>
    <t>Gastos de Venta</t>
  </si>
  <si>
    <t>Gastos de Venta (Staff Región)</t>
  </si>
  <si>
    <t>Utilidad de Operación</t>
  </si>
  <si>
    <t>% Utilidad de Operación</t>
  </si>
  <si>
    <t>Total Gastos de Operación (EERR)</t>
  </si>
  <si>
    <t>Gastos No Recurrentes</t>
  </si>
  <si>
    <t>Otros Ingresos</t>
  </si>
  <si>
    <t>UAFIR</t>
  </si>
  <si>
    <t>Depreciación de Ventas</t>
  </si>
  <si>
    <t>Depreciación de Fábrica</t>
  </si>
  <si>
    <t>Depreciación Staff México</t>
  </si>
  <si>
    <t>Dep Fab Compartida Adicional</t>
  </si>
  <si>
    <t>Dep Fab Compartida</t>
  </si>
  <si>
    <t>Dep Fab Compartida OP</t>
  </si>
  <si>
    <t>GOD Depreciación</t>
  </si>
  <si>
    <t>Depreciación</t>
  </si>
  <si>
    <t>EBITDA</t>
  </si>
  <si>
    <t>% EBITDA</t>
  </si>
  <si>
    <t>Directo → driver "Rutas" (varía con el # de rutas Hogar).</t>
  </si>
  <si>
    <t>No Directo → driver "Volumen CU" (costo de producto) o "Venta $" (overhead prorrateado).</t>
  </si>
  <si>
    <t>Gasto de Fábrica</t>
  </si>
  <si>
    <t>Sueldos y Salarios</t>
  </si>
  <si>
    <t>Derivados de Nómina</t>
  </si>
  <si>
    <t>Mtto de Edificio</t>
  </si>
  <si>
    <t>Mtto de Eq de Oficina y Cómputo</t>
  </si>
  <si>
    <t>Mtto de Maquinaria y Equipo</t>
  </si>
  <si>
    <t>Combustibles</t>
  </si>
  <si>
    <t>Mtto de Eq de Transporte</t>
  </si>
  <si>
    <t>Mtto de Eq de Venta</t>
  </si>
  <si>
    <t>Publicidad y Promoción</t>
  </si>
  <si>
    <t>Merma y Consumo Producto</t>
  </si>
  <si>
    <t>Arrendamientos</t>
  </si>
  <si>
    <t>Otros Gastos</t>
  </si>
  <si>
    <t>16 Depreciación</t>
  </si>
  <si>
    <t>Gastos de Fabrica x Ruta</t>
  </si>
  <si>
    <t>Gasto de Venta</t>
  </si>
  <si>
    <t>Gastos Ventas x Ruta</t>
  </si>
  <si>
    <t>Gastos Ventas x CeDi</t>
  </si>
  <si>
    <t>Gastos Ventas x Territorio</t>
  </si>
  <si>
    <t>Gasto de Administración</t>
  </si>
  <si>
    <t>Gastos Administración x Ruta</t>
  </si>
  <si>
    <t>PE x Ruta x dia $</t>
  </si>
  <si>
    <t>PE x Ruta + 10%</t>
  </si>
  <si>
    <t>PE x Ruta + 20%</t>
  </si>
  <si>
    <t>PE x Ruta + 30%</t>
  </si>
  <si>
    <t>Ingreso Mínimo</t>
  </si>
  <si>
    <t>Ingreso Perdida</t>
  </si>
  <si>
    <t>Ingreso Objetivo</t>
  </si>
  <si>
    <t>Ingreso Bueno</t>
  </si>
  <si>
    <t>Ingreso Excelente</t>
  </si>
  <si>
    <t>$PP Perdida</t>
  </si>
  <si>
    <t>$PP Objetivo</t>
  </si>
  <si>
    <t>$PP Bueno</t>
  </si>
  <si>
    <t>$PP Excelente</t>
  </si>
  <si>
    <t>Vol. GFN CO Prom. Diario (Real)</t>
  </si>
  <si>
    <t>Vol. OP CU Prom. Diario (Real)</t>
  </si>
  <si>
    <t>Vol. MC Pza Prom. Diario (Real)</t>
  </si>
  <si>
    <t>Ingresos Promedio diarios (Real)</t>
  </si>
  <si>
    <t xml:space="preserve">Oportunidad Ingresos </t>
  </si>
  <si>
    <t>Propuesta</t>
  </si>
  <si>
    <t>Garrafones x Rack</t>
  </si>
  <si>
    <t>Cantida de Racks x Camion</t>
  </si>
  <si>
    <t>Estandar GFN (CO)</t>
  </si>
  <si>
    <t>Estandar GFN (CU)</t>
  </si>
  <si>
    <t>Estandar OP (CU)</t>
  </si>
  <si>
    <t>Total (CU)</t>
  </si>
  <si>
    <t>Ingreso x GFN ($)</t>
  </si>
  <si>
    <t>Ingreso x OP ($)</t>
  </si>
  <si>
    <t>Ingreso Total</t>
  </si>
  <si>
    <t>Diferencia</t>
  </si>
  <si>
    <t>Simulador</t>
  </si>
  <si>
    <t>Nota: La venta de los garrafones es equitativo a la carga de los racks en el camión</t>
  </si>
  <si>
    <t>Ingreso por estandar GFN ($)</t>
  </si>
  <si>
    <t>Ingreso por estandar OP ($)</t>
  </si>
  <si>
    <t>Ingreso Minimo</t>
  </si>
  <si>
    <t>Volumen Promedio Comercial</t>
  </si>
  <si>
    <t>Volumen GFN (CO)</t>
  </si>
  <si>
    <t>Volumen GFN (CU)</t>
  </si>
  <si>
    <t>Volumen OP (CU)</t>
  </si>
  <si>
    <t xml:space="preserve">Volumen Total </t>
  </si>
  <si>
    <t>Abarrotes y Licores</t>
  </si>
  <si>
    <t>Piezas</t>
  </si>
  <si>
    <t>Multicategoria (Pza)</t>
  </si>
  <si>
    <t>Garrafón DTH</t>
  </si>
  <si>
    <t>CU - GFN</t>
  </si>
  <si>
    <t>Otros Productos</t>
  </si>
  <si>
    <t>CU - OP</t>
  </si>
  <si>
    <t>CU - Total</t>
  </si>
  <si>
    <t>GFN CO - Diario</t>
  </si>
  <si>
    <t>OP CU - Diario</t>
  </si>
  <si>
    <t>Precio Unitario GFN $</t>
  </si>
  <si>
    <t>Precio Unitario CO - GFN (LM)</t>
  </si>
  <si>
    <t>Precio Unitario CO - GFN</t>
  </si>
  <si>
    <t xml:space="preserve">Dif. Precio Promedio </t>
  </si>
  <si>
    <t>Precio Unitario CU</t>
  </si>
  <si>
    <t>Precio Unitario B Pza - MC&amp;L</t>
  </si>
  <si>
    <t>Precio Unitario B CO - GFN</t>
  </si>
  <si>
    <t>Precio Unitario B CU - GFN</t>
  </si>
  <si>
    <t>Precio Unitario B CU - OP</t>
  </si>
  <si>
    <t>Precio Unitario B CU - Total</t>
  </si>
  <si>
    <t>TOTAL</t>
  </si>
  <si>
    <t>GOD Gastos Ventas</t>
  </si>
  <si>
    <t>Total Costo-De-Servir  x  CeDi   (Total Territorio)</t>
  </si>
  <si>
    <t>CDS (sin costos compartidos)</t>
  </si>
  <si>
    <t>CDS (concostos compartidos)</t>
  </si>
  <si>
    <t>PE margen 10%</t>
  </si>
  <si>
    <t>PE solo costo de servir</t>
  </si>
  <si>
    <t xml:space="preserve">PE completo </t>
  </si>
  <si>
    <t>Margen</t>
  </si>
  <si>
    <t>GOD Gastos Administración</t>
  </si>
  <si>
    <t>GOC Gastos Ventas</t>
  </si>
  <si>
    <t>GOC Gastos Administración</t>
  </si>
  <si>
    <t>GOC Back Office</t>
  </si>
  <si>
    <t>Vol. &amp; Ing. Acum. EERR (Diciembre) - Miles</t>
  </si>
  <si>
    <t>C</t>
  </si>
  <si>
    <t>Índice de Saturación</t>
  </si>
  <si>
    <t>Saturación</t>
  </si>
  <si>
    <t>Costo-De-Servir (Cedis) (miles)</t>
  </si>
  <si>
    <t>% Venta GFN (ingreso)</t>
  </si>
  <si>
    <t>% Venta OP (ingreso)</t>
  </si>
  <si>
    <t>% Venta MC (ingreso)</t>
  </si>
  <si>
    <t>Venta ruta (promedio)</t>
  </si>
  <si>
    <t>CDS por ruta</t>
  </si>
  <si>
    <t>Venta ruta (promedio cedis)</t>
  </si>
  <si>
    <t xml:space="preserve">PARÁMETROS DEL CLUSTER DE RUTAS </t>
  </si>
  <si>
    <t>Costo-De-Servir x Cedis</t>
  </si>
  <si>
    <t>Margen (% UTOP)</t>
  </si>
  <si>
    <t>Utilidad operación</t>
  </si>
  <si>
    <t>% utilidad</t>
  </si>
  <si>
    <t>Potencial</t>
  </si>
  <si>
    <t>Clientes actuales</t>
  </si>
  <si>
    <t>Clientes potencial</t>
  </si>
  <si>
    <t>Horas actuales</t>
  </si>
  <si>
    <t>Jornada completa</t>
  </si>
  <si>
    <t>Delta clientes</t>
  </si>
  <si>
    <t>Delta Horas</t>
  </si>
  <si>
    <t>Capacidades</t>
  </si>
  <si>
    <t>Capacidad Utilizada</t>
  </si>
  <si>
    <t>Capacidad instalada</t>
  </si>
  <si>
    <t>Delta Capacidad</t>
  </si>
  <si>
    <t>Saturada</t>
  </si>
  <si>
    <t>Que tan saturada</t>
  </si>
  <si>
    <t>Hogares totales ABC+</t>
  </si>
  <si>
    <t>Hogares potenciales a captutrar</t>
  </si>
  <si>
    <t>Potencial de Ingreso</t>
  </si>
  <si>
    <t>Potencial CU</t>
  </si>
  <si>
    <t>Agregar</t>
  </si>
  <si>
    <t>8. Saturación (capacidad real de la ruta)</t>
  </si>
  <si>
    <t>Delta horas</t>
  </si>
  <si>
    <t>Capacidad utilizada</t>
  </si>
  <si>
    <t>Delta capacidad</t>
  </si>
  <si>
    <t>Señales sin holgura (0-3)</t>
  </si>
  <si>
    <t>% Utilización de capacidad</t>
  </si>
  <si>
    <t>&lt;= sin holgura</t>
  </si>
  <si>
    <t>9. Atractividad de la zona (4 criterios)</t>
  </si>
  <si>
    <t>Hogares potenciales a capturar</t>
  </si>
  <si>
    <t>Madurez y Recomendación por Ruta - Canal Hogar (v2)</t>
  </si>
  <si>
    <t>I. Cortes por Región para el Modelo de Servicio (Tradicional / Híbrido / Web). Alimenta la hoja 'web cds'. Se recalcula solo.</t>
  </si>
  <si>
    <t>Los terciles se calculan sobre las rutas elegibles de cada Región. Para fijar un corte manual, escríbelo en la fila 4 de la hoja 'web cds'.</t>
  </si>
  <si>
    <t>Costo Servir p33</t>
  </si>
  <si>
    <t>Costo Servir p66</t>
  </si>
  <si>
    <t>Digitalización p33</t>
  </si>
  <si>
    <t>Digitalización p66</t>
  </si>
  <si>
    <t>%CDS p75</t>
  </si>
  <si>
    <t>% Venta Web p75</t>
  </si>
  <si>
    <t>%OP CU p75</t>
  </si>
  <si>
    <t>Ticket p75</t>
  </si>
  <si>
    <t>Rutas eleg.</t>
  </si>
  <si>
    <t>Modelo de servicio</t>
  </si>
  <si>
    <t>Venta en riesgo ($)</t>
  </si>
  <si>
    <t>J. Qué significa cada modelo de servicio y qué se recomienda (el texto de la columna Recomendación de 'web cds' sale de aquí)</t>
  </si>
  <si>
    <t>Lectura / criterio</t>
  </si>
  <si>
    <t>Estatus distinto de Activa en la base de rutas</t>
  </si>
  <si>
    <t>Sin datos - no evaluable</t>
  </si>
  <si>
    <t>No alcanza la cobertura mínima de indicadores (umbral en AG4 de 'web cds')</t>
  </si>
  <si>
    <t>Tradicional</t>
  </si>
  <si>
    <t>Tradicional - mantener visita física completa</t>
  </si>
  <si>
    <t>Costo de servir bajo o sin señal digital: la visita se paga sola. Sostener frecuencia y empujar ticket.</t>
  </si>
  <si>
    <t>Híbrido</t>
  </si>
  <si>
    <t>Híbrido - reducir frecuencia y mover OP a web</t>
  </si>
  <si>
    <t>Costo de servir medio-alto o garrafón que ancla la visita. Conservar entrega física del garrafón y migrar el pedido de OP a web.</t>
  </si>
  <si>
    <t>Web</t>
  </si>
  <si>
    <t>Web - migrar a atención digital con entrega consolidada</t>
  </si>
  <si>
    <t>Costo de servir alto + digitalización alta + garrafón por debajo del umbral. La visita no se justifica.</t>
  </si>
  <si>
    <t>K. Resumen de rutas por modelo de servicio</t>
  </si>
  <si>
    <t>Modelo</t>
  </si>
  <si>
    <t>Ahorro CDS ($)</t>
  </si>
  <si>
    <t>Beneficio neto ($)</t>
  </si>
  <si>
    <t>Índice CDS prom.</t>
  </si>
  <si>
    <t>Índice Digit. prom.</t>
  </si>
  <si>
    <t>L. Resumen por Región y modelo de servicio</t>
  </si>
  <si>
    <t>Evaluadas</t>
  </si>
  <si>
    <t>% Híbrido + Web</t>
  </si>
  <si>
    <t>CU conv</t>
  </si>
  <si>
    <t>CU web</t>
  </si>
  <si>
    <t>Ing conv</t>
  </si>
  <si>
    <t>Ing web</t>
  </si>
  <si>
    <t>% Hogares totales ABC+</t>
  </si>
  <si>
    <t>Clientes actuales (Total)</t>
  </si>
  <si>
    <t>Clientes actuales (Foco)</t>
  </si>
  <si>
    <t>10. Resultados</t>
  </si>
  <si>
    <t xml:space="preserve">Mediana Madurez </t>
  </si>
  <si>
    <t>Mediana Atractividad</t>
  </si>
  <si>
    <t>Peso Saturación</t>
  </si>
  <si>
    <t>Peso Ejecución</t>
  </si>
  <si>
    <t>P4 - Evaluar</t>
  </si>
  <si>
    <t>SN</t>
  </si>
  <si>
    <t>SC</t>
  </si>
  <si>
    <t>Ingreso OP/día</t>
  </si>
  <si>
    <t>Ingreso GFN/día</t>
  </si>
  <si>
    <t>#CU GFN/día</t>
  </si>
  <si>
    <t>#CU OP/día</t>
  </si>
  <si>
    <t>Est. Ingreso OP/día</t>
  </si>
  <si>
    <t>Est. Ingreso GFN/día</t>
  </si>
  <si>
    <t>Est. #CU GFN/día</t>
  </si>
  <si>
    <t>Est. #CU OP/día</t>
  </si>
  <si>
    <t>Cumpl. Ingreso OP/día</t>
  </si>
  <si>
    <t>Cumpl. Ingreso GFN/día</t>
  </si>
  <si>
    <t>Cumpl. #CU GFN/día</t>
  </si>
  <si>
    <t>Cumpl. #CU OP/día</t>
  </si>
  <si>
    <t>Sc. Ingreso OP/día</t>
  </si>
  <si>
    <t>Sc. Ingreso GFN/día</t>
  </si>
  <si>
    <t>Sc. #CU GFN/día</t>
  </si>
  <si>
    <t>Sc. #CU OP/día</t>
  </si>
  <si>
    <t>P75</t>
  </si>
  <si>
    <t>Otro estandar</t>
  </si>
  <si>
    <t>Garrafones/día</t>
  </si>
  <si>
    <t>Volumen</t>
  </si>
  <si>
    <t>Ingreso</t>
  </si>
  <si>
    <t>Consumo</t>
  </si>
  <si>
    <t>CU por garrafón ▸</t>
  </si>
  <si>
    <t>Base filtrada: rutas activas y elegibles (alimenta los cálculos)</t>
  </si>
  <si>
    <t>Análisis de KPIs · Racional de ponderación del Índice de Madurez</t>
  </si>
  <si>
    <t>Base: rutas activas y elegibles de 'Analisis recomendación Rutas v2'. Pesos = combinación de evidencia en datos (impacto en rentabilidad y no redundancia) + relevancia estratégica de negocio.</t>
  </si>
  <si>
    <t>Rutas en la base de análisis</t>
  </si>
  <si>
    <t>A. Estadística descriptiva y relación con resultados</t>
  </si>
  <si>
    <t>KPI</t>
  </si>
  <si>
    <t>Bucket</t>
  </si>
  <si>
    <t># col. base</t>
  </si>
  <si>
    <t>N (con dato)</t>
  </si>
  <si>
    <t>Promedio</t>
  </si>
  <si>
    <t>Mediana</t>
  </si>
  <si>
    <t>Desv. Est.</t>
  </si>
  <si>
    <t>Coef. variación</t>
  </si>
  <si>
    <t>Corr. con Margen estimado</t>
  </si>
  <si>
    <t>Corr. con Venta Neta</t>
  </si>
  <si>
    <t>B. Matriz de correlación entre KPIs (redundancia: |r| alto = miden lo mismo)</t>
  </si>
  <si>
    <t>Redundancia prom. (|r| con los otros 6)</t>
  </si>
  <si>
    <t>C. Supuestos: peso de cada criterio (inputs editables)</t>
  </si>
  <si>
    <t>Peso</t>
  </si>
  <si>
    <t>Racional</t>
  </si>
  <si>
    <t>Impacto en resultados (datos)</t>
  </si>
  <si>
    <t>Promedio de |r| con Margen estimado y con Venta Neta: premia los KPIs que se mueven junto con la rentabilidad y la venta.</t>
  </si>
  <si>
    <t>No redundancia (datos)</t>
  </si>
  <si>
    <t>1 − |r| promedio con los otros KPIs: evita contar dos veces lo mismo (p.ej. Ingreso GFN y #CU GFN tienen r≈0.98).</t>
  </si>
  <si>
    <t>Relevancia estratégica (negocio)</t>
  </si>
  <si>
    <t>Calificación 1-5 de negocio: da peso a palancas que la operación quiere impulsar aunque hoy no expliquen el margen (p.ej. OP, efectividad).</t>
  </si>
  <si>
    <t>D. Cálculo del peso de cada KPI en el Índice de Madurez</t>
  </si>
  <si>
    <t>Relevancia estratégica (1-5)</t>
  </si>
  <si>
    <t>Racional estratégico</t>
  </si>
  <si>
    <t>Impacto (|r| prom.)</t>
  </si>
  <si>
    <t>No redundancia (1 − red.)</t>
  </si>
  <si>
    <t>% Impacto</t>
  </si>
  <si>
    <t>% No redundancia</t>
  </si>
  <si>
    <t>% Estratégico</t>
  </si>
  <si>
    <t>Peso final</t>
  </si>
  <si>
    <t>Peso anterior</t>
  </si>
  <si>
    <t>Δ vs anterior (pp)</t>
  </si>
  <si>
    <t>Peso bucket</t>
  </si>
  <si>
    <t>Base de la madurez: cuántos clientes atiende la ruta al día define su productividad.</t>
  </si>
  <si>
    <t>Calidad de ejecución: convertir visitas en compra; palanca operativa directa del vendedor.</t>
  </si>
  <si>
    <t>Profundidad de compra por cliente; dato muy disperso (CV &gt; 1), se modera.</t>
  </si>
  <si>
    <t>E. Lectura clave</t>
  </si>
  <si>
    <t>• Ingreso GFN vs #CU GFN y Ingreso OP vs #CU OP tienen r≈0.96-0.98 (matriz B): son casi el mismo dato, así que el criterio de no redundancia evita duplicar su peso.</t>
  </si>
  <si>
    <t>• Clientes/día es el KPI de Ruta con mayor relación con el margen; Efectividad no la muestra, pero se conserva por ser palanca operativa directa.</t>
  </si>
  <si>
    <t>• Ticket x cliente tiene la mayor dispersión (CV en H14) y no se relaciona con margen ni venta: queda con el peso más bajo.</t>
  </si>
  <si>
    <t>• Para ajustar: cambia los pesos de criterio (B30:B32) o la relevancia estratégica (C38:C44). Los pesos del índice (AB3:AH3 en la hoja de análisis) se actualizan solos.</t>
  </si>
  <si>
    <t>• Resultado por bucket (col. L): peso más balanceado entre Ruta, Ingreso y Volumen; Consumo queda como complemento.</t>
  </si>
  <si>
    <t>Relación de margen OP : GFN</t>
  </si>
  <si>
    <t>← reparte el peso de los buckets Ingreso y Volumen entre OP y GFN (OP deja más margen por producto)</t>
  </si>
  <si>
    <t>Peso base (criterios)</t>
  </si>
  <si>
    <t>Factor producto (OP:GFN)</t>
  </si>
  <si>
    <t>• El peso de los buckets Ingreso y Volumen sale de los criterios de datos + negocio; dentro de cada bucket se reparte OP:GFN = 3:2 (B34:C34) porque OP deja más margen por producto. El 'Margen estimado' de ruta (1 − %CDS) no distingue margen por producto, por eso este ajuste se hace como input.</t>
  </si>
  <si>
    <t>Palanca de crecimiento y mix (70-30) con mejor margen por producto: recibe 3/5 del bucket Ingreso.</t>
  </si>
  <si>
    <t>Negocio core y principal fuente de ingreso: recibe 2/5 del bucket Ingreso.</t>
  </si>
  <si>
    <t>Volumen core; recibe 2/5 del bucket Volumen.</t>
  </si>
  <si>
    <t>Volumen OP con mejor margen por producto: recibe 3/5 del bucket Volumen.</t>
  </si>
  <si>
    <t>Hogares actual + potencial</t>
  </si>
  <si>
    <t>potencial Ingreso /horar</t>
  </si>
  <si>
    <t>potencial CU/ hogar</t>
  </si>
  <si>
    <t>Hogares actual + potencial (%)</t>
  </si>
  <si>
    <t>Potencial Ingreso / hogar</t>
  </si>
  <si>
    <t>Potencial CU / hogar</t>
  </si>
  <si>
    <t>Sc. % Hogares ABC+</t>
  </si>
  <si>
    <t>Sc. Hogares act.+pot.</t>
  </si>
  <si>
    <t>Sc. Ingreso / hogar</t>
  </si>
  <si>
    <t>Sc. CU / hogar</t>
  </si>
  <si>
    <t>Score = quintil (1-5) de la ruta dentro de su CeDi</t>
  </si>
  <si>
    <t>Incremental</t>
  </si>
  <si>
    <t>Consolidado de escenarios — Promedio por ruta por día (tabla I35:N55 de cada Resumen Rutas SKU)</t>
  </si>
  <si>
    <t>Escenario Conservador</t>
  </si>
  <si>
    <t>Escenario Medio</t>
  </si>
  <si>
    <t>Escenario Ambicioso</t>
  </si>
  <si>
    <t>Caso</t>
  </si>
  <si>
    <t>CU/día</t>
  </si>
  <si>
    <t>Ingreso/día ($)</t>
  </si>
  <si>
    <t>CU OP/día</t>
  </si>
  <si>
    <t>CU Garrafón/día</t>
  </si>
  <si>
    <t>Ingreso OP/día ($)</t>
  </si>
  <si>
    <t>Ingreso Garrafón/día ($)</t>
  </si>
  <si>
    <t>HOY</t>
  </si>
  <si>
    <t>SIN TOPE</t>
  </si>
  <si>
    <t>CON TOPE</t>
  </si>
  <si>
    <t>CON CAPACIDAD</t>
  </si>
  <si>
    <t>Atractividad Caso 90</t>
  </si>
  <si>
    <t>Atractividad Caso 85</t>
  </si>
  <si>
    <t>Conservador</t>
  </si>
  <si>
    <t>Ambicioso</t>
  </si>
  <si>
    <t>Atractividad Caso 70</t>
  </si>
  <si>
    <t>Region</t>
  </si>
  <si>
    <t>Territorio</t>
  </si>
  <si>
    <t>Cedis</t>
  </si>
  <si>
    <t>Mix de categoría por región (target Conservador)</t>
  </si>
  <si>
    <t>% utilización OP (Venta CU)</t>
  </si>
  <si>
    <t>% utilización GFN (Venta CU)</t>
  </si>
  <si>
    <t>OP incremental (CU/día)</t>
  </si>
  <si>
    <t>GFN incremental (CU/día)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</si>
</sst>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8" formatCode="&quot;$&quot;#,##0.00_);[Red]\(&quot;$&quot;#,##0.00\)"/>
    <numFmt numFmtId="43" formatCode="_(* #,##0.00_);_(* \(#,##0.00\);_(* &quot;-&quot;??_);_(@_)"/>
    <numFmt numFmtId="164" formatCode="&quot;$&quot;#,##0;[Red]\-&quot;$&quot;#,##0"/>
    <numFmt numFmtId="165" formatCode="&quot;$&quot;#,##0.00;[Red]\-&quot;$&quot;#,##0.00"/>
    <numFmt numFmtId="166" formatCode="_-&quot;$&quot;* #,##0.00_-;\-&quot;$&quot;* #,##0.00_-;_-&quot;$&quot;* &quot;-&quot;??_-;_-@_-"/>
    <numFmt numFmtId="167" formatCode="#,##0;\(#,##0\);\-"/>
    <numFmt numFmtId="168" formatCode="#,##0.0;\(#,##0.0\);\-"/>
    <numFmt numFmtId="169" formatCode="&quot;$&quot;#,##0;\(&quot;$&quot;#,##0\);\-"/>
    <numFmt numFmtId="170" formatCode="0.0%;\(0.0%\);\-"/>
    <numFmt numFmtId="171" formatCode="0.0"/>
    <numFmt numFmtId="172" formatCode="&quot;$&quot;#,##0"/>
    <numFmt numFmtId="173" formatCode="0.0%"/>
    <numFmt numFmtId="174" formatCode="#,##0.0"/>
    <numFmt numFmtId="175" formatCode="\$#,##0"/>
    <numFmt numFmtId="176" formatCode="_-* #,##0_-;\-* #,##0_-;_-* &quot;-&quot;??_-;_-@_-"/>
    <numFmt numFmtId="177" formatCode="_-* #,##0.0_-;\-* #,##0.0_-;_-* &quot;-&quot;??_-;_-@_-"/>
    <numFmt numFmtId="178" formatCode="#,##0.0;[Red]\-#,##0.0"/>
    <numFmt numFmtId="179" formatCode="&quot;$&quot;#,##0.00"/>
    <numFmt numFmtId="180" formatCode="#,##0.0000;[Red]\-#,##0.0000"/>
    <numFmt numFmtId="181" formatCode="0.0%;[Red]\-0.0%"/>
    <numFmt numFmtId="182" formatCode="&quot;$&quot;#,##0.000;[Red]\-&quot;$&quot;#,##0.000"/>
    <numFmt numFmtId="183" formatCode="\+0.0%;[Red]\-0.0%"/>
    <numFmt numFmtId="184" formatCode="\+&quot;$&quot;#,##0;[Red]\-&quot;$&quot;#,##0"/>
    <numFmt numFmtId="185" formatCode="_(* #,##0_);_(* \(#,##0\);_(* &quot;-&quot;??_);_(@_)"/>
    <numFmt numFmtId="186" formatCode="&quot;$&quot;#,##0.0;[Red]\-&quot;$&quot;#,##0.0"/>
    <numFmt numFmtId="187" formatCode="0.00;\-0.00"/>
    <numFmt numFmtId="188" formatCode="\+0.0;\-0.0;\-"/>
    <numFmt numFmtId="189" formatCode="0&quot; OP&quot;"/>
    <numFmt numFmtId="190" formatCode="0&quot; GFN&quot;"/>
    <numFmt numFmtId="191" formatCode="0;\-0;\-"/>
  </numFmts>
  <fonts count="1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i/>
      <sz val="11"/>
      <color rgb="FFA6A6A6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rgb="FF9C6500"/>
      <name val="Aptos Narrow"/>
      <family val="2"/>
      <scheme val="minor"/>
    </font>
    <font>
      <b/>
      <sz val="13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i/>
      <sz val="11"/>
      <color rgb="FF9C6500"/>
      <name val="Aptos Narrow"/>
      <family val="2"/>
      <scheme val="minor"/>
    </font>
    <font>
      <b/>
      <sz val="11"/>
      <color rgb="FFFFFFFF"/>
      <name val="Aptos Narrow"/>
      <family val="2"/>
    </font>
    <font>
      <sz val="10"/>
      <color rgb="FF000000"/>
      <name val="Arial"/>
      <family val="2"/>
    </font>
    <font>
      <sz val="8"/>
      <color rgb="FF7F7F7F"/>
      <name val="Aptos Narrow"/>
      <family val="2"/>
      <scheme val="minor"/>
    </font>
    <font>
      <i/>
      <sz val="8"/>
      <color rgb="FF7F7F7F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 tint="-0.249977111117893"/>
      <name val="Aptos Narrow"/>
      <family val="2"/>
      <scheme val="minor"/>
    </font>
    <font>
      <sz val="8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1"/>
      <color rgb="FF375623"/>
      <name val="Aptos Narrow"/>
      <family val="2"/>
      <scheme val="minor"/>
    </font>
    <font>
      <b/>
      <i/>
      <sz val="8"/>
      <color rgb="FFC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rgb="FF000000"/>
      <name val="Arial"/>
      <family val="2"/>
    </font>
    <font>
      <b/>
      <sz val="10"/>
      <color rgb="FF833C00"/>
      <name val="Arial"/>
      <family val="2"/>
    </font>
    <font>
      <b/>
      <sz val="9"/>
      <color theme="1"/>
      <name val="Arial"/>
      <family val="2"/>
    </font>
    <font>
      <b/>
      <sz val="10"/>
      <color rgb="FF375623"/>
      <name val="Arial"/>
      <family val="2"/>
    </font>
    <font>
      <b/>
      <sz val="8"/>
      <name val="Arial"/>
      <family val="2"/>
    </font>
    <font>
      <b/>
      <sz val="10"/>
      <color rgb="FF1F4E79"/>
      <name val="Arial"/>
      <family val="2"/>
    </font>
    <font>
      <b/>
      <i/>
      <sz val="9"/>
      <color rgb="FF808080"/>
      <name val="Arial"/>
      <family val="2"/>
    </font>
    <font>
      <b/>
      <sz val="9"/>
      <color rgb="FF000000"/>
      <name val="Arial"/>
      <family val="2"/>
    </font>
    <font>
      <b/>
      <sz val="9"/>
      <color rgb="FF808080"/>
      <name val="Arial"/>
      <family val="2"/>
    </font>
    <font>
      <sz val="8"/>
      <color rgb="FF000000"/>
      <name val="Arial"/>
      <family val="2"/>
    </font>
    <font>
      <b/>
      <sz val="10"/>
      <color theme="0"/>
      <name val="Arial"/>
      <family val="2"/>
    </font>
    <font>
      <b/>
      <sz val="8"/>
      <color theme="1"/>
      <name val="Aptos Narrow"/>
      <family val="2"/>
      <scheme val="minor"/>
    </font>
    <font>
      <b/>
      <sz val="10"/>
      <name val="Arial"/>
      <family val="2"/>
    </font>
    <font>
      <b/>
      <sz val="8"/>
      <color theme="0" tint="-0.34998626667073579"/>
      <name val="Arial"/>
      <family val="2"/>
    </font>
    <font>
      <sz val="8"/>
      <color rgb="FFA6A6A6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b/>
      <sz val="8"/>
      <color rgb="FF0070C0"/>
      <name val="Arial"/>
      <family val="2"/>
    </font>
    <font>
      <b/>
      <sz val="10"/>
      <color theme="0" tint="-0.14999847407452621"/>
      <name val="Arial"/>
      <family val="2"/>
    </font>
    <font>
      <b/>
      <i/>
      <sz val="10"/>
      <color theme="0" tint="-0.249977111117893"/>
      <name val="Arial"/>
      <family val="2"/>
    </font>
    <font>
      <b/>
      <sz val="10"/>
      <color theme="0" tint="-0.249977111117893"/>
      <name val="Arial"/>
      <family val="2"/>
    </font>
    <font>
      <b/>
      <sz val="10"/>
      <color rgb="FFBFBFBF"/>
      <name val="Arial"/>
      <family val="2"/>
    </font>
    <font>
      <b/>
      <sz val="9"/>
      <color rgb="FF1F4E79"/>
      <name val="Arial"/>
      <family val="2"/>
    </font>
    <font>
      <b/>
      <sz val="9"/>
      <color theme="0" tint="-0.499984740745262"/>
      <name val="Arial"/>
      <family val="2"/>
    </font>
    <font>
      <b/>
      <sz val="8"/>
      <color theme="0" tint="-0.499984740745262"/>
      <name val="Arial"/>
      <family val="2"/>
    </font>
    <font>
      <b/>
      <i/>
      <sz val="9"/>
      <color theme="0" tint="-0.499984740745262"/>
      <name val="Arial"/>
      <family val="2"/>
    </font>
    <font>
      <sz val="9"/>
      <color rgb="FF7F7F7F"/>
      <name val="Arial"/>
      <family val="2"/>
    </font>
    <font>
      <b/>
      <sz val="9"/>
      <color rgb="FF375623"/>
      <name val="Arial"/>
      <family val="2"/>
    </font>
    <font>
      <b/>
      <sz val="10"/>
      <color theme="5" tint="-0.499984740745262"/>
      <name val="Arial"/>
      <family val="2"/>
    </font>
    <font>
      <b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b/>
      <sz val="10"/>
      <color theme="9" tint="0.59999389629810485"/>
      <name val="Arial"/>
      <family val="2"/>
    </font>
    <font>
      <b/>
      <sz val="8"/>
      <color theme="9" tint="0.59999389629810485"/>
      <name val="Arial"/>
      <family val="2"/>
    </font>
    <font>
      <b/>
      <sz val="10"/>
      <color rgb="FFB5E6A2"/>
      <name val="Arial"/>
      <family val="2"/>
    </font>
    <font>
      <b/>
      <i/>
      <sz val="10"/>
      <name val="Arial"/>
      <family val="2"/>
    </font>
    <font>
      <b/>
      <i/>
      <sz val="10"/>
      <color theme="1" tint="0.34998626667073579"/>
      <name val="Arial"/>
      <family val="2"/>
    </font>
    <font>
      <b/>
      <i/>
      <sz val="9"/>
      <color theme="0" tint="-0.249977111117893"/>
      <name val="Arial"/>
      <family val="2"/>
    </font>
    <font>
      <i/>
      <sz val="9"/>
      <color rgb="FFBFBFBF"/>
      <name val="Arial"/>
      <family val="2"/>
    </font>
    <font>
      <b/>
      <sz val="9"/>
      <color rgb="FF1F7A1F"/>
      <name val="Arial"/>
      <family val="2"/>
    </font>
    <font>
      <b/>
      <sz val="9"/>
      <color rgb="FF833C00"/>
      <name val="Arial"/>
      <family val="2"/>
    </font>
    <font>
      <sz val="10"/>
      <color rgb="FF0070C0"/>
      <name val="Arial"/>
      <family val="2"/>
    </font>
    <font>
      <b/>
      <sz val="10"/>
      <color theme="8" tint="0.39997558519241921"/>
      <name val="Arial"/>
      <family val="2"/>
    </font>
    <font>
      <b/>
      <sz val="8"/>
      <color theme="8" tint="0.39997558519241921"/>
      <name val="Arial"/>
      <family val="2"/>
    </font>
    <font>
      <sz val="10"/>
      <color rgb="FFD86DCD"/>
      <name val="Arial"/>
      <family val="2"/>
    </font>
    <font>
      <b/>
      <sz val="10"/>
      <color rgb="FFD86DCD"/>
      <name val="Arial"/>
      <family val="2"/>
    </font>
    <font>
      <b/>
      <sz val="8"/>
      <color theme="0" tint="-0.14999847407452621"/>
      <name val="Arial"/>
      <family val="2"/>
    </font>
    <font>
      <sz val="8"/>
      <color rgb="FFD9D9D9"/>
      <name val="Arial"/>
      <family val="2"/>
    </font>
    <font>
      <b/>
      <sz val="9"/>
      <color theme="0" tint="-0.14999847407452621"/>
      <name val="Arial"/>
      <family val="2"/>
    </font>
    <font>
      <i/>
      <sz val="9"/>
      <color rgb="FF1F7A1F"/>
      <name val="Arial"/>
      <family val="2"/>
    </font>
    <font>
      <i/>
      <sz val="9"/>
      <color rgb="FF7F7F7F"/>
      <name val="Arial"/>
      <family val="2"/>
    </font>
    <font>
      <b/>
      <sz val="9"/>
      <color theme="0" tint="-0.249977111117893"/>
      <name val="Arial"/>
      <family val="2"/>
    </font>
    <font>
      <b/>
      <sz val="11"/>
      <color theme="0" tint="-0.14999847407452621"/>
      <name val="Aptos Narrow"/>
      <family val="2"/>
      <scheme val="minor"/>
    </font>
    <font>
      <b/>
      <sz val="10"/>
      <color theme="1" tint="0.14999847407452621"/>
      <name val="Arial"/>
      <family val="2"/>
    </font>
    <font>
      <b/>
      <sz val="10"/>
      <color theme="3"/>
      <name val="Arial"/>
      <family val="2"/>
    </font>
    <font>
      <b/>
      <sz val="9"/>
      <color theme="9" tint="0.39997558519241921"/>
      <name val="Arial"/>
      <family val="2"/>
    </font>
    <font>
      <b/>
      <i/>
      <sz val="8"/>
      <color theme="0" tint="-4.9989318521683403E-2"/>
      <name val="Arial"/>
      <family val="2"/>
    </font>
    <font>
      <b/>
      <sz val="8"/>
      <color theme="0" tint="-0.249977111117893"/>
      <name val="Arial"/>
      <family val="2"/>
    </font>
    <font>
      <b/>
      <sz val="10"/>
      <color theme="1" tint="0.499984740745262"/>
      <name val="Arial"/>
      <family val="2"/>
    </font>
    <font>
      <sz val="9"/>
      <color rgb="FF000000"/>
      <name val="Arial"/>
      <family val="2"/>
    </font>
    <font>
      <b/>
      <sz val="12"/>
      <color theme="0"/>
      <name val="Arial"/>
      <family val="2"/>
    </font>
    <font>
      <b/>
      <sz val="8"/>
      <color theme="2" tint="-0.499984740745262"/>
      <name val="Arial"/>
      <family val="2"/>
    </font>
    <font>
      <b/>
      <sz val="8"/>
      <color theme="1" tint="0.499984740745262"/>
      <name val="Arial"/>
      <family val="2"/>
    </font>
    <font>
      <sz val="12"/>
      <color rgb="FF000000"/>
      <name val="Arial"/>
      <family val="2"/>
    </font>
    <font>
      <b/>
      <sz val="9"/>
      <name val="Arial"/>
      <family val="2"/>
    </font>
    <font>
      <b/>
      <sz val="9"/>
      <color theme="0" tint="-0.34998626667073579"/>
      <name val="Arial"/>
      <family val="2"/>
    </font>
    <font>
      <sz val="10"/>
      <color theme="1" tint="0.499984740745262"/>
      <name val="Arial"/>
      <family val="2"/>
    </font>
    <font>
      <b/>
      <sz val="12"/>
      <color theme="1"/>
      <name val="Arial"/>
      <family val="2"/>
    </font>
    <font>
      <b/>
      <sz val="12"/>
      <color theme="0" tint="-0.34998626667073579"/>
      <name val="Arial"/>
      <family val="2"/>
    </font>
    <font>
      <b/>
      <sz val="12"/>
      <color rgb="FF000000"/>
      <name val="Arial"/>
      <family val="2"/>
    </font>
    <font>
      <b/>
      <sz val="8"/>
      <color rgb="FFFF0000"/>
      <name val="Arial"/>
      <family val="2"/>
    </font>
    <font>
      <b/>
      <sz val="8"/>
      <color rgb="FFC00000"/>
      <name val="Arial"/>
      <family val="2"/>
    </font>
    <font>
      <b/>
      <sz val="10"/>
      <color rgb="FFC00000"/>
      <name val="Arial"/>
      <family val="2"/>
    </font>
    <font>
      <b/>
      <i/>
      <sz val="10"/>
      <color theme="1"/>
      <name val="Arial"/>
      <family val="2"/>
    </font>
    <font>
      <b/>
      <i/>
      <sz val="10"/>
      <color rgb="FF000000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ptos Narrow"/>
      <family val="2"/>
    </font>
    <font>
      <sz val="9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8000"/>
      <name val="Arial"/>
      <family val="2"/>
    </font>
    <font>
      <sz val="11"/>
      <color theme="1"/>
      <name val="Arial"/>
      <family val="2"/>
    </font>
    <font>
      <sz val="11"/>
      <color rgb="FF7F7F7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9"/>
      <color theme="1"/>
      <name val="Arial"/>
      <family val="2"/>
    </font>
    <font>
      <b/>
      <sz val="11"/>
      <color rgb="FF1F3864"/>
      <name val="Arial"/>
      <family val="2"/>
    </font>
    <font>
      <b/>
      <sz val="9"/>
      <color rgb="FFFFFFFF"/>
      <name val="Arial"/>
      <family val="2"/>
    </font>
    <font>
      <sz val="9"/>
      <color rgb="FF0000FF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9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5C8A"/>
        <bgColor indexed="64"/>
      </patternFill>
    </fill>
    <fill>
      <patternFill patternType="solid">
        <fgColor rgb="FF1E6B52"/>
        <bgColor indexed="64"/>
      </patternFill>
    </fill>
    <fill>
      <patternFill patternType="solid">
        <fgColor rgb="FF8A5A1E"/>
        <bgColor indexed="64"/>
      </patternFill>
    </fill>
    <fill>
      <patternFill patternType="solid">
        <fgColor rgb="FF3C5C93"/>
        <bgColor indexed="64"/>
      </patternFill>
    </fill>
    <fill>
      <patternFill patternType="solid">
        <fgColor rgb="FF4F79B0"/>
        <bgColor indexed="64"/>
      </patternFill>
    </fill>
    <fill>
      <patternFill patternType="solid">
        <fgColor rgb="FF5E88BE"/>
        <bgColor indexed="64"/>
      </patternFill>
    </fill>
    <fill>
      <patternFill patternType="solid">
        <fgColor rgb="FF2E8B6B"/>
        <bgColor indexed="64"/>
      </patternFill>
    </fill>
    <fill>
      <patternFill patternType="solid">
        <fgColor rgb="FF3FA07C"/>
        <bgColor indexed="64"/>
      </patternFill>
    </fill>
    <fill>
      <patternFill patternType="solid">
        <fgColor rgb="FFB07A33"/>
        <bgColor indexed="64"/>
      </patternFill>
    </fill>
    <fill>
      <patternFill patternType="solid">
        <fgColor rgb="FFC28C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A0C0C"/>
        <bgColor rgb="FF5C0A0A"/>
      </patternFill>
    </fill>
    <fill>
      <patternFill patternType="solid">
        <fgColor rgb="FFA6293A"/>
        <bgColor rgb="FF9C2B2B"/>
      </patternFill>
    </fill>
    <fill>
      <patternFill patternType="solid">
        <fgColor rgb="FF7B2D42"/>
        <bgColor rgb="FF9C2B2B"/>
      </patternFill>
    </fill>
    <fill>
      <patternFill patternType="solid">
        <fgColor rgb="FFB5451D"/>
        <bgColor rgb="FFC0392B"/>
      </patternFill>
    </fill>
    <fill>
      <patternFill patternType="solid">
        <fgColor rgb="FF9C2B2B"/>
        <bgColor rgb="FFA6293A"/>
      </patternFill>
    </fill>
    <fill>
      <patternFill patternType="solid">
        <fgColor rgb="FFC0392B"/>
        <bgColor rgb="FFB5451D"/>
      </patternFill>
    </fill>
    <fill>
      <patternFill patternType="solid">
        <fgColor rgb="FF9E3A54"/>
        <bgColor rgb="FFA6293A"/>
      </patternFill>
    </fill>
    <fill>
      <patternFill patternType="solid">
        <fgColor rgb="FFC96A3D"/>
        <bgColor rgb="FFB5451D"/>
      </patternFill>
    </fill>
    <fill>
      <patternFill patternType="solid">
        <fgColor rgb="FF5C0A0A"/>
        <bgColor rgb="FF7A0C0C"/>
      </patternFill>
    </fill>
    <fill>
      <patternFill patternType="solid">
        <fgColor rgb="FF8A0000"/>
        <bgColor rgb="FF800000"/>
      </patternFill>
    </fill>
    <fill>
      <patternFill patternType="solid">
        <fgColor rgb="FFFFC000"/>
        <bgColor rgb="FF800000"/>
      </patternFill>
    </fill>
    <fill>
      <patternFill patternType="solid">
        <fgColor rgb="FF92D050"/>
        <bgColor rgb="FF800000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BF4E4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rgb="FFFFB9B9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337945"/>
        <bgColor indexed="64"/>
      </patternFill>
    </fill>
    <fill>
      <patternFill patternType="solid">
        <fgColor rgb="FF337945"/>
        <bgColor rgb="FF000000"/>
      </patternFill>
    </fill>
    <fill>
      <patternFill patternType="solid">
        <fgColor rgb="FF78217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EE683"/>
        <bgColor indexed="64"/>
      </patternFill>
    </fill>
    <fill>
      <patternFill patternType="solid">
        <fgColor rgb="FFA5D69A"/>
        <bgColor indexed="64"/>
      </patternFill>
    </fill>
    <fill>
      <patternFill patternType="solid">
        <fgColor rgb="FF68C07F"/>
        <bgColor indexed="64"/>
      </patternFill>
    </fill>
    <fill>
      <patternFill patternType="solid">
        <fgColor rgb="FF419D5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rgb="FF5C0A0A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rgb="FF7A0C0C"/>
      </patternFill>
    </fill>
    <fill>
      <patternFill patternType="solid">
        <fgColor rgb="FF0C769E"/>
        <bgColor indexed="64"/>
      </patternFill>
    </fill>
    <fill>
      <patternFill patternType="solid">
        <fgColor rgb="FF1F4E78"/>
        <bgColor indexed="64"/>
      </patternFill>
    </fill>
  </fills>
  <borders count="12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FFFFFF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medium">
        <color theme="0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medium">
        <color rgb="FFFFFFF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medium">
        <color theme="0"/>
      </right>
      <top style="thin">
        <color rgb="FFBFBFBF"/>
      </top>
      <bottom style="thin">
        <color rgb="FFBFBFBF"/>
      </bottom>
      <diagonal/>
    </border>
    <border>
      <left/>
      <right style="medium">
        <color theme="0"/>
      </right>
      <top/>
      <bottom style="thin">
        <color rgb="FFBFBFBF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rgb="FFFFFFF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theme="0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theme="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FFFFF"/>
      </left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rgb="FFFFFFFF"/>
      </left>
      <right/>
      <top style="thin">
        <color theme="4" tint="0.39997558519241921"/>
      </top>
      <bottom/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/>
      <right style="medium">
        <color rgb="FFFFFFFF"/>
      </right>
      <top style="thin">
        <color theme="4" tint="0.39997558519241921"/>
      </top>
      <bottom/>
      <diagonal/>
    </border>
    <border>
      <left style="medium">
        <color rgb="FFFFFFFF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rgb="FFFFFFFF"/>
      </right>
      <top/>
      <bottom style="thin">
        <color theme="4" tint="0.39997558519241921"/>
      </bottom>
      <diagonal/>
    </border>
    <border>
      <left style="medium">
        <color rgb="FFFFFFFF"/>
      </left>
      <right/>
      <top/>
      <bottom style="thin">
        <color theme="4" tint="0.39997558519241921"/>
      </bottom>
      <diagonal/>
    </border>
    <border>
      <left style="medium">
        <color rgb="FF404040"/>
      </left>
      <right/>
      <top/>
      <bottom/>
      <diagonal/>
    </border>
    <border>
      <left style="medium">
        <color rgb="FF404040"/>
      </left>
      <right style="thin">
        <color rgb="FFD9D9D9"/>
      </right>
      <top/>
      <bottom style="thin">
        <color rgb="FFD9D9D9"/>
      </bottom>
      <diagonal/>
    </border>
    <border>
      <left style="medium">
        <color rgb="FF40404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404040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 style="medium">
        <color rgb="FF404040"/>
      </left>
      <right/>
      <top/>
      <bottom style="thin">
        <color rgb="FFD9D9D9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/>
      <right/>
      <top style="double">
        <color theme="0"/>
      </top>
      <bottom style="double">
        <color theme="0"/>
      </bottom>
      <diagonal/>
    </border>
    <border>
      <left/>
      <right style="double">
        <color theme="0" tint="-0.24994659260841701"/>
      </right>
      <top style="double">
        <color theme="0"/>
      </top>
      <bottom style="double">
        <color theme="0"/>
      </bottom>
      <diagonal/>
    </border>
    <border>
      <left style="double">
        <color rgb="FFFFFFFF"/>
      </left>
      <right/>
      <top style="double">
        <color rgb="FFFFFFFF"/>
      </top>
      <bottom style="double">
        <color rgb="FFFFFFFF"/>
      </bottom>
      <diagonal/>
    </border>
    <border>
      <left/>
      <right/>
      <top style="double">
        <color rgb="FFFFFFFF"/>
      </top>
      <bottom style="double">
        <color rgb="FFFFFFFF"/>
      </bottom>
      <diagonal/>
    </border>
    <border>
      <left/>
      <right style="double">
        <color theme="0"/>
      </right>
      <top style="double">
        <color rgb="FFFFFFFF"/>
      </top>
      <bottom style="double">
        <color theme="0"/>
      </bottom>
      <diagonal/>
    </border>
    <border>
      <left style="double">
        <color rgb="FFFFFFFF"/>
      </left>
      <right style="double">
        <color rgb="FFFFFFFF"/>
      </right>
      <top style="double">
        <color rgb="FFFFFFFF"/>
      </top>
      <bottom style="double">
        <color rgb="FFFFFFFF"/>
      </bottom>
      <diagonal/>
    </border>
    <border>
      <left/>
      <right style="double">
        <color rgb="FFFFFFFF"/>
      </right>
      <top style="double">
        <color rgb="FFFFFFFF"/>
      </top>
      <bottom style="double">
        <color rgb="FFFFFFFF"/>
      </bottom>
      <diagonal/>
    </border>
    <border>
      <left/>
      <right style="double">
        <color rgb="FFFFFFFF"/>
      </right>
      <top style="double">
        <color rgb="FFFFFFFF"/>
      </top>
      <bottom style="double">
        <color theme="0"/>
      </bottom>
      <diagonal/>
    </border>
    <border>
      <left style="double">
        <color theme="0" tint="-0.24994659260841701"/>
      </left>
      <right style="double">
        <color theme="0" tint="-0.24994659260841701"/>
      </right>
      <top/>
      <bottom/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/>
      </top>
      <bottom/>
      <diagonal/>
    </border>
    <border>
      <left/>
      <right/>
      <top/>
      <bottom style="double">
        <color rgb="FFFFFFFF"/>
      </bottom>
      <diagonal/>
    </border>
    <border>
      <left/>
      <right/>
      <top style="thin">
        <color theme="0" tint="-0.14996795556505021"/>
      </top>
      <bottom/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14996795556505021"/>
      </top>
      <bottom/>
      <diagonal/>
    </border>
    <border>
      <left style="double">
        <color theme="0" tint="-0.24994659260841701"/>
      </left>
      <right style="double">
        <color theme="0" tint="-0.24994659260841701"/>
      </right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3743705557422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indexed="64"/>
      </top>
      <bottom style="thin">
        <color indexed="64"/>
      </bottom>
      <diagonal/>
    </border>
    <border>
      <left style="double">
        <color theme="0" tint="-0.24994659260841701"/>
      </left>
      <right style="double">
        <color theme="0" tint="-0.24994659260841701"/>
      </right>
      <top/>
      <bottom style="thin">
        <color indexed="64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/>
      </top>
      <bottom style="double">
        <color theme="0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rgb="FFFFFFFF"/>
      </top>
      <bottom style="double">
        <color rgb="FFFFFFFF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indexed="64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 style="thin">
        <color indexed="64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 style="double">
        <color theme="0" tint="-0.24994659260841701"/>
      </left>
      <right style="double">
        <color theme="0" tint="-0.24994659260841701"/>
      </right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ck">
        <color auto="1"/>
      </left>
      <right/>
      <top style="thin">
        <color rgb="FFD9D9D9"/>
      </top>
      <bottom style="thin">
        <color rgb="FFD9D9D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rgb="FF404040"/>
      </right>
      <top/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404040"/>
      </left>
      <right/>
      <top style="thin">
        <color rgb="FFD9D9D9"/>
      </top>
      <bottom style="thin">
        <color rgb="FFD9D9D9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thin">
        <color rgb="FFD9D9D9"/>
      </bottom>
      <diagonal/>
    </border>
    <border>
      <left style="medium">
        <color theme="5"/>
      </left>
      <right style="medium">
        <color theme="5"/>
      </right>
      <top style="thin">
        <color rgb="FFD9D9D9"/>
      </top>
      <bottom style="thin">
        <color rgb="FFD9D9D9"/>
      </bottom>
      <diagonal/>
    </border>
    <border>
      <left style="medium">
        <color theme="5"/>
      </left>
      <right style="medium">
        <color theme="5"/>
      </right>
      <top style="thin">
        <color rgb="FFD9D9D9"/>
      </top>
      <bottom style="medium">
        <color theme="5"/>
      </bottom>
      <diagonal/>
    </border>
    <border>
      <left style="medium">
        <color theme="5"/>
      </left>
      <right style="medium">
        <color theme="5"/>
      </right>
      <top/>
      <bottom style="thin">
        <color rgb="FFD9D9D9"/>
      </bottom>
      <diagonal/>
    </border>
    <border>
      <left style="medium">
        <color theme="5"/>
      </left>
      <right style="medium">
        <color theme="5"/>
      </right>
      <top/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23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/>
    <xf numFmtId="9" fontId="1" fillId="0" borderId="0"/>
    <xf numFmtId="166" fontId="23" fillId="0" borderId="0"/>
    <xf numFmtId="9" fontId="1" fillId="0" borderId="0"/>
    <xf numFmtId="43" fontId="1" fillId="0" borderId="0"/>
  </cellStyleXfs>
  <cellXfs count="999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4" fillId="0" borderId="0" xfId="0" applyFont="1"/>
    <xf numFmtId="0" fontId="8" fillId="0" borderId="0" xfId="0" applyFont="1"/>
    <xf numFmtId="0" fontId="3" fillId="0" borderId="0" xfId="0" applyFont="1"/>
    <xf numFmtId="0" fontId="10" fillId="0" borderId="0" xfId="0" applyFont="1"/>
    <xf numFmtId="171" fontId="0" fillId="0" borderId="0" xfId="0" applyNumberFormat="1"/>
    <xf numFmtId="0" fontId="0" fillId="0" borderId="16" xfId="0" applyBorder="1"/>
    <xf numFmtId="171" fontId="3" fillId="0" borderId="18" xfId="0" applyNumberFormat="1" applyFont="1" applyBorder="1"/>
    <xf numFmtId="0" fontId="0" fillId="0" borderId="19" xfId="0" applyBorder="1"/>
    <xf numFmtId="173" fontId="0" fillId="0" borderId="0" xfId="0" applyNumberFormat="1"/>
    <xf numFmtId="0" fontId="0" fillId="0" borderId="15" xfId="0" applyBorder="1"/>
    <xf numFmtId="174" fontId="0" fillId="0" borderId="15" xfId="0" applyNumberFormat="1" applyBorder="1"/>
    <xf numFmtId="3" fontId="0" fillId="0" borderId="15" xfId="0" applyNumberFormat="1" applyBorder="1"/>
    <xf numFmtId="171" fontId="0" fillId="0" borderId="15" xfId="0" applyNumberFormat="1" applyBorder="1"/>
    <xf numFmtId="0" fontId="0" fillId="0" borderId="18" xfId="0" applyBorder="1"/>
    <xf numFmtId="174" fontId="0" fillId="0" borderId="18" xfId="0" applyNumberFormat="1" applyBorder="1"/>
    <xf numFmtId="3" fontId="0" fillId="0" borderId="18" xfId="0" applyNumberFormat="1" applyBorder="1"/>
    <xf numFmtId="0" fontId="0" fillId="0" borderId="14" xfId="0" applyBorder="1"/>
    <xf numFmtId="0" fontId="0" fillId="0" borderId="17" xfId="0" applyBorder="1"/>
    <xf numFmtId="0" fontId="3" fillId="0" borderId="18" xfId="0" applyFont="1" applyBorder="1"/>
    <xf numFmtId="173" fontId="0" fillId="0" borderId="15" xfId="0" applyNumberFormat="1" applyBorder="1"/>
    <xf numFmtId="172" fontId="0" fillId="0" borderId="15" xfId="0" applyNumberFormat="1" applyBorder="1"/>
    <xf numFmtId="173" fontId="0" fillId="0" borderId="16" xfId="0" applyNumberFormat="1" applyBorder="1"/>
    <xf numFmtId="173" fontId="0" fillId="0" borderId="18" xfId="0" applyNumberFormat="1" applyBorder="1"/>
    <xf numFmtId="172" fontId="0" fillId="0" borderId="18" xfId="0" applyNumberFormat="1" applyBorder="1"/>
    <xf numFmtId="171" fontId="0" fillId="0" borderId="16" xfId="0" applyNumberFormat="1" applyBorder="1"/>
    <xf numFmtId="0" fontId="3" fillId="0" borderId="17" xfId="0" applyFont="1" applyBorder="1"/>
    <xf numFmtId="3" fontId="3" fillId="0" borderId="18" xfId="0" applyNumberFormat="1" applyFont="1" applyBorder="1"/>
    <xf numFmtId="173" fontId="3" fillId="0" borderId="18" xfId="0" applyNumberFormat="1" applyFont="1" applyBorder="1"/>
    <xf numFmtId="171" fontId="3" fillId="0" borderId="19" xfId="0" applyNumberFormat="1" applyFont="1" applyBorder="1"/>
    <xf numFmtId="0" fontId="5" fillId="2" borderId="11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3" xfId="0" applyFont="1" applyFill="1" applyBorder="1" applyAlignment="1">
      <alignment wrapText="1"/>
    </xf>
    <xf numFmtId="0" fontId="13" fillId="0" borderId="14" xfId="0" applyFont="1" applyBorder="1"/>
    <xf numFmtId="0" fontId="16" fillId="0" borderId="0" xfId="0" applyFont="1"/>
    <xf numFmtId="0" fontId="20" fillId="0" borderId="0" xfId="0" applyFont="1"/>
    <xf numFmtId="0" fontId="20" fillId="0" borderId="3" xfId="0" applyFont="1" applyBorder="1"/>
    <xf numFmtId="3" fontId="20" fillId="0" borderId="3" xfId="0" applyNumberFormat="1" applyFont="1" applyBorder="1"/>
    <xf numFmtId="4" fontId="20" fillId="0" borderId="30" xfId="0" applyNumberFormat="1" applyFont="1" applyBorder="1"/>
    <xf numFmtId="4" fontId="20" fillId="0" borderId="0" xfId="0" applyNumberFormat="1" applyFont="1"/>
    <xf numFmtId="4" fontId="20" fillId="0" borderId="3" xfId="0" applyNumberFormat="1" applyFont="1" applyBorder="1"/>
    <xf numFmtId="3" fontId="20" fillId="0" borderId="0" xfId="0" applyNumberFormat="1" applyFont="1"/>
    <xf numFmtId="175" fontId="20" fillId="0" borderId="0" xfId="0" applyNumberFormat="1" applyFont="1"/>
    <xf numFmtId="175" fontId="20" fillId="0" borderId="3" xfId="0" applyNumberFormat="1" applyFont="1" applyBorder="1"/>
    <xf numFmtId="175" fontId="20" fillId="0" borderId="30" xfId="0" applyNumberFormat="1" applyFont="1" applyBorder="1"/>
    <xf numFmtId="173" fontId="20" fillId="0" borderId="0" xfId="0" applyNumberFormat="1" applyFont="1"/>
    <xf numFmtId="1" fontId="20" fillId="0" borderId="30" xfId="0" applyNumberFormat="1" applyFont="1" applyBorder="1"/>
    <xf numFmtId="173" fontId="20" fillId="0" borderId="30" xfId="0" applyNumberFormat="1" applyFont="1" applyBorder="1"/>
    <xf numFmtId="173" fontId="20" fillId="0" borderId="3" xfId="0" applyNumberFormat="1" applyFont="1" applyBorder="1"/>
    <xf numFmtId="3" fontId="20" fillId="0" borderId="30" xfId="0" applyNumberFormat="1" applyFont="1" applyBorder="1"/>
    <xf numFmtId="175" fontId="20" fillId="0" borderId="31" xfId="0" applyNumberFormat="1" applyFont="1" applyBorder="1"/>
    <xf numFmtId="173" fontId="3" fillId="0" borderId="19" xfId="0" applyNumberFormat="1" applyFont="1" applyBorder="1"/>
    <xf numFmtId="0" fontId="3" fillId="13" borderId="41" xfId="0" applyFont="1" applyFill="1" applyBorder="1" applyAlignment="1">
      <alignment horizontal="center" vertical="center" wrapText="1"/>
    </xf>
    <xf numFmtId="0" fontId="3" fillId="13" borderId="42" xfId="0" applyFont="1" applyFill="1" applyBorder="1" applyAlignment="1">
      <alignment horizontal="center" vertical="center" wrapText="1"/>
    </xf>
    <xf numFmtId="0" fontId="3" fillId="13" borderId="43" xfId="0" applyFont="1" applyFill="1" applyBorder="1" applyAlignment="1">
      <alignment horizontal="center" vertical="center" wrapText="1"/>
    </xf>
    <xf numFmtId="176" fontId="3" fillId="13" borderId="41" xfId="1" applyNumberFormat="1" applyFont="1" applyFill="1" applyBorder="1" applyAlignment="1">
      <alignment horizontal="center" vertical="center" wrapText="1"/>
    </xf>
    <xf numFmtId="176" fontId="3" fillId="13" borderId="42" xfId="1" applyNumberFormat="1" applyFont="1" applyFill="1" applyBorder="1" applyAlignment="1">
      <alignment horizontal="center" vertical="center" wrapText="1"/>
    </xf>
    <xf numFmtId="43" fontId="3" fillId="13" borderId="42" xfId="1" applyFont="1" applyFill="1" applyBorder="1" applyAlignment="1">
      <alignment horizontal="center" vertical="center" wrapText="1"/>
    </xf>
    <xf numFmtId="10" fontId="3" fillId="13" borderId="42" xfId="2" applyNumberFormat="1" applyFont="1" applyFill="1" applyBorder="1" applyAlignment="1">
      <alignment horizontal="center" vertical="center" wrapText="1"/>
    </xf>
    <xf numFmtId="43" fontId="3" fillId="13" borderId="44" xfId="1" applyFont="1" applyFill="1" applyBorder="1" applyAlignment="1">
      <alignment horizontal="center" vertical="center" wrapText="1"/>
    </xf>
    <xf numFmtId="176" fontId="3" fillId="13" borderId="45" xfId="1" applyNumberFormat="1" applyFont="1" applyFill="1" applyBorder="1" applyAlignment="1">
      <alignment horizontal="center" vertical="center" wrapText="1"/>
    </xf>
    <xf numFmtId="10" fontId="3" fillId="13" borderId="43" xfId="2" applyNumberFormat="1" applyFont="1" applyFill="1" applyBorder="1" applyAlignment="1">
      <alignment horizontal="center" vertical="center" wrapText="1"/>
    </xf>
    <xf numFmtId="0" fontId="3" fillId="13" borderId="39" xfId="0" applyFont="1" applyFill="1" applyBorder="1" applyAlignment="1">
      <alignment horizontal="center" vertical="center" wrapText="1"/>
    </xf>
    <xf numFmtId="0" fontId="3" fillId="13" borderId="30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center" vertical="center" wrapText="1"/>
    </xf>
    <xf numFmtId="0" fontId="3" fillId="33" borderId="3" xfId="0" applyFont="1" applyFill="1" applyBorder="1" applyAlignment="1">
      <alignment horizontal="center" vertical="center" wrapText="1"/>
    </xf>
    <xf numFmtId="0" fontId="3" fillId="33" borderId="40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left" vertical="center"/>
    </xf>
    <xf numFmtId="166" fontId="0" fillId="0" borderId="0" xfId="3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76" fontId="0" fillId="0" borderId="39" xfId="1" applyNumberFormat="1" applyFont="1" applyBorder="1" applyAlignment="1">
      <alignment horizontal="center" vertical="center"/>
    </xf>
    <xf numFmtId="176" fontId="0" fillId="0" borderId="0" xfId="1" applyNumberFormat="1" applyFont="1" applyBorder="1" applyAlignment="1">
      <alignment horizontal="center" vertical="center"/>
    </xf>
    <xf numFmtId="10" fontId="0" fillId="0" borderId="40" xfId="2" applyNumberFormat="1" applyFont="1" applyBorder="1" applyAlignment="1">
      <alignment horizontal="center" vertical="center"/>
    </xf>
    <xf numFmtId="173" fontId="0" fillId="0" borderId="0" xfId="2" applyNumberFormat="1" applyFont="1" applyAlignment="1">
      <alignment horizontal="right" vertical="center"/>
    </xf>
    <xf numFmtId="177" fontId="0" fillId="0" borderId="0" xfId="1" applyNumberFormat="1" applyFont="1" applyAlignment="1">
      <alignment horizontal="center" vertical="center"/>
    </xf>
    <xf numFmtId="176" fontId="0" fillId="0" borderId="30" xfId="1" applyNumberFormat="1" applyFont="1" applyBorder="1" applyAlignment="1">
      <alignment horizontal="center" vertical="center"/>
    </xf>
    <xf numFmtId="173" fontId="0" fillId="0" borderId="3" xfId="2" applyNumberFormat="1" applyFont="1" applyBorder="1" applyAlignment="1">
      <alignment horizontal="right" vertical="center"/>
    </xf>
    <xf numFmtId="16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39" xfId="0" applyNumberFormat="1" applyBorder="1" applyAlignment="1">
      <alignment horizontal="center" vertical="center"/>
    </xf>
    <xf numFmtId="173" fontId="0" fillId="0" borderId="0" xfId="2" applyNumberFormat="1" applyFont="1" applyBorder="1" applyAlignment="1">
      <alignment horizontal="right" vertical="center"/>
    </xf>
    <xf numFmtId="177" fontId="0" fillId="0" borderId="39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173" fontId="0" fillId="0" borderId="40" xfId="2" applyNumberFormat="1" applyFont="1" applyBorder="1" applyAlignment="1">
      <alignment horizontal="right" vertical="center"/>
    </xf>
    <xf numFmtId="0" fontId="2" fillId="13" borderId="47" xfId="0" applyFont="1" applyFill="1" applyBorder="1" applyAlignment="1">
      <alignment horizontal="center" vertical="center" wrapText="1"/>
    </xf>
    <xf numFmtId="0" fontId="2" fillId="13" borderId="48" xfId="0" applyFont="1" applyFill="1" applyBorder="1" applyAlignment="1">
      <alignment horizontal="center" vertical="center" wrapText="1"/>
    </xf>
    <xf numFmtId="0" fontId="2" fillId="13" borderId="49" xfId="0" applyFont="1" applyFill="1" applyBorder="1" applyAlignment="1">
      <alignment horizontal="center" vertical="center" wrapText="1"/>
    </xf>
    <xf numFmtId="0" fontId="2" fillId="13" borderId="50" xfId="0" applyFont="1" applyFill="1" applyBorder="1" applyAlignment="1">
      <alignment horizontal="center" vertical="center" wrapText="1"/>
    </xf>
    <xf numFmtId="0" fontId="0" fillId="14" borderId="47" xfId="0" applyFill="1" applyBorder="1" applyAlignment="1">
      <alignment horizontal="left" vertical="center"/>
    </xf>
    <xf numFmtId="167" fontId="0" fillId="14" borderId="48" xfId="0" applyNumberFormat="1" applyFill="1" applyBorder="1" applyAlignment="1">
      <alignment horizontal="center" vertical="center"/>
    </xf>
    <xf numFmtId="168" fontId="0" fillId="14" borderId="48" xfId="0" applyNumberFormat="1" applyFill="1" applyBorder="1" applyAlignment="1">
      <alignment horizontal="center" vertical="center"/>
    </xf>
    <xf numFmtId="168" fontId="0" fillId="14" borderId="47" xfId="0" applyNumberFormat="1" applyFill="1" applyBorder="1" applyAlignment="1">
      <alignment horizontal="center" vertical="center"/>
    </xf>
    <xf numFmtId="169" fontId="0" fillId="14" borderId="48" xfId="0" applyNumberFormat="1" applyFill="1" applyBorder="1" applyAlignment="1">
      <alignment horizontal="center" vertical="center"/>
    </xf>
    <xf numFmtId="169" fontId="0" fillId="14" borderId="47" xfId="0" applyNumberFormat="1" applyFill="1" applyBorder="1" applyAlignment="1">
      <alignment horizontal="center" vertical="center"/>
    </xf>
    <xf numFmtId="170" fontId="0" fillId="14" borderId="47" xfId="0" applyNumberFormat="1" applyFill="1" applyBorder="1" applyAlignment="1">
      <alignment horizontal="center" vertical="center"/>
    </xf>
    <xf numFmtId="0" fontId="0" fillId="14" borderId="47" xfId="0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167" fontId="0" fillId="14" borderId="47" xfId="0" applyNumberFormat="1" applyFill="1" applyBorder="1" applyAlignment="1">
      <alignment horizontal="center" vertical="center"/>
    </xf>
    <xf numFmtId="170" fontId="0" fillId="14" borderId="48" xfId="0" applyNumberFormat="1" applyFill="1" applyBorder="1" applyAlignment="1">
      <alignment horizontal="center" vertical="center"/>
    </xf>
    <xf numFmtId="168" fontId="0" fillId="14" borderId="50" xfId="0" applyNumberFormat="1" applyFill="1" applyBorder="1" applyAlignment="1">
      <alignment horizontal="center" vertical="center"/>
    </xf>
    <xf numFmtId="0" fontId="0" fillId="0" borderId="47" xfId="0" applyBorder="1" applyAlignment="1">
      <alignment horizontal="left" vertical="center"/>
    </xf>
    <xf numFmtId="167" fontId="0" fillId="0" borderId="48" xfId="0" applyNumberFormat="1" applyBorder="1" applyAlignment="1">
      <alignment horizontal="center" vertical="center"/>
    </xf>
    <xf numFmtId="168" fontId="0" fillId="0" borderId="48" xfId="0" applyNumberFormat="1" applyBorder="1" applyAlignment="1">
      <alignment horizontal="center" vertical="center"/>
    </xf>
    <xf numFmtId="168" fontId="0" fillId="0" borderId="47" xfId="0" applyNumberFormat="1" applyBorder="1" applyAlignment="1">
      <alignment horizontal="center" vertical="center"/>
    </xf>
    <xf numFmtId="169" fontId="0" fillId="0" borderId="48" xfId="0" applyNumberFormat="1" applyBorder="1" applyAlignment="1">
      <alignment horizontal="center" vertical="center"/>
    </xf>
    <xf numFmtId="169" fontId="0" fillId="0" borderId="47" xfId="0" applyNumberFormat="1" applyBorder="1" applyAlignment="1">
      <alignment horizontal="center" vertical="center"/>
    </xf>
    <xf numFmtId="170" fontId="0" fillId="0" borderId="47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70" fontId="0" fillId="0" borderId="49" xfId="0" applyNumberFormat="1" applyBorder="1" applyAlignment="1">
      <alignment horizontal="center" vertical="center"/>
    </xf>
    <xf numFmtId="167" fontId="0" fillId="0" borderId="47" xfId="0" applyNumberFormat="1" applyBorder="1" applyAlignment="1">
      <alignment horizontal="center" vertical="center"/>
    </xf>
    <xf numFmtId="170" fontId="0" fillId="0" borderId="48" xfId="0" applyNumberFormat="1" applyBorder="1" applyAlignment="1">
      <alignment horizontal="center" vertical="center"/>
    </xf>
    <xf numFmtId="168" fontId="0" fillId="0" borderId="50" xfId="0" applyNumberFormat="1" applyBorder="1" applyAlignment="1">
      <alignment horizontal="center" vertical="center"/>
    </xf>
    <xf numFmtId="170" fontId="0" fillId="14" borderId="49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7" fontId="0" fillId="0" borderId="51" xfId="0" applyNumberFormat="1" applyBorder="1" applyAlignment="1">
      <alignment horizontal="center" vertical="center"/>
    </xf>
    <xf numFmtId="168" fontId="0" fillId="0" borderId="51" xfId="0" applyNumberFormat="1" applyBorder="1" applyAlignment="1">
      <alignment horizontal="center" vertical="center"/>
    </xf>
    <xf numFmtId="168" fontId="0" fillId="0" borderId="4" xfId="0" applyNumberFormat="1" applyBorder="1" applyAlignment="1">
      <alignment horizontal="center" vertical="center"/>
    </xf>
    <xf numFmtId="169" fontId="0" fillId="0" borderId="51" xfId="0" applyNumberFormat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170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70" fontId="0" fillId="0" borderId="51" xfId="0" applyNumberFormat="1" applyBorder="1" applyAlignment="1">
      <alignment horizontal="center" vertical="center"/>
    </xf>
    <xf numFmtId="168" fontId="0" fillId="0" borderId="5" xfId="0" applyNumberFormat="1" applyBorder="1" applyAlignment="1">
      <alignment horizontal="center" vertical="center"/>
    </xf>
    <xf numFmtId="0" fontId="0" fillId="0" borderId="20" xfId="0" applyBorder="1"/>
    <xf numFmtId="9" fontId="9" fillId="35" borderId="0" xfId="0" applyNumberFormat="1" applyFont="1" applyFill="1" applyAlignment="1">
      <alignment horizontal="center"/>
    </xf>
    <xf numFmtId="0" fontId="25" fillId="0" borderId="0" xfId="0" applyFont="1"/>
    <xf numFmtId="0" fontId="24" fillId="0" borderId="0" xfId="0" applyFont="1" applyAlignment="1">
      <alignment horizontal="center"/>
    </xf>
    <xf numFmtId="0" fontId="0" fillId="39" borderId="0" xfId="0" applyFill="1"/>
    <xf numFmtId="9" fontId="9" fillId="39" borderId="0" xfId="0" applyNumberFormat="1" applyFont="1" applyFill="1" applyAlignment="1">
      <alignment horizontal="center"/>
    </xf>
    <xf numFmtId="0" fontId="25" fillId="39" borderId="0" xfId="0" applyFont="1" applyFill="1"/>
    <xf numFmtId="9" fontId="3" fillId="39" borderId="0" xfId="0" applyNumberFormat="1" applyFont="1" applyFill="1" applyAlignment="1">
      <alignment horizontal="center"/>
    </xf>
    <xf numFmtId="0" fontId="0" fillId="40" borderId="0" xfId="0" applyFill="1"/>
    <xf numFmtId="9" fontId="9" fillId="40" borderId="0" xfId="0" applyNumberFormat="1" applyFont="1" applyFill="1" applyAlignment="1">
      <alignment horizontal="center"/>
    </xf>
    <xf numFmtId="1" fontId="9" fillId="40" borderId="0" xfId="0" applyNumberFormat="1" applyFont="1" applyFill="1" applyAlignment="1">
      <alignment horizontal="center"/>
    </xf>
    <xf numFmtId="0" fontId="6" fillId="2" borderId="15" xfId="0" applyFont="1" applyFill="1" applyBorder="1" applyAlignment="1">
      <alignment horizontal="center" vertical="center" wrapText="1"/>
    </xf>
    <xf numFmtId="0" fontId="0" fillId="39" borderId="56" xfId="0" applyFill="1" applyBorder="1"/>
    <xf numFmtId="0" fontId="0" fillId="40" borderId="56" xfId="0" applyFill="1" applyBorder="1"/>
    <xf numFmtId="0" fontId="0" fillId="0" borderId="56" xfId="0" applyBorder="1"/>
    <xf numFmtId="9" fontId="9" fillId="39" borderId="56" xfId="0" applyNumberFormat="1" applyFont="1" applyFill="1" applyBorder="1" applyAlignment="1">
      <alignment horizontal="center"/>
    </xf>
    <xf numFmtId="0" fontId="25" fillId="0" borderId="56" xfId="0" applyFont="1" applyBorder="1"/>
    <xf numFmtId="9" fontId="9" fillId="40" borderId="56" xfId="0" applyNumberFormat="1" applyFont="1" applyFill="1" applyBorder="1" applyAlignment="1">
      <alignment horizontal="center"/>
    </xf>
    <xf numFmtId="0" fontId="24" fillId="0" borderId="56" xfId="0" applyFont="1" applyBorder="1" applyAlignment="1">
      <alignment horizontal="center"/>
    </xf>
    <xf numFmtId="3" fontId="0" fillId="0" borderId="16" xfId="0" applyNumberFormat="1" applyBorder="1"/>
    <xf numFmtId="3" fontId="0" fillId="0" borderId="19" xfId="0" applyNumberFormat="1" applyBorder="1"/>
    <xf numFmtId="0" fontId="0" fillId="0" borderId="60" xfId="0" applyBorder="1"/>
    <xf numFmtId="9" fontId="9" fillId="15" borderId="32" xfId="0" applyNumberFormat="1" applyFont="1" applyFill="1" applyBorder="1"/>
    <xf numFmtId="3" fontId="9" fillId="15" borderId="0" xfId="0" applyNumberFormat="1" applyFont="1" applyFill="1" applyAlignment="1">
      <alignment horizont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3" fillId="0" borderId="15" xfId="0" applyFont="1" applyBorder="1"/>
    <xf numFmtId="0" fontId="3" fillId="0" borderId="14" xfId="0" applyFont="1" applyBorder="1" applyAlignment="1">
      <alignment horizontal="center"/>
    </xf>
    <xf numFmtId="0" fontId="3" fillId="0" borderId="16" xfId="0" applyFont="1" applyBorder="1"/>
    <xf numFmtId="0" fontId="3" fillId="0" borderId="17" xfId="0" applyFont="1" applyBorder="1" applyAlignment="1">
      <alignment horizontal="center"/>
    </xf>
    <xf numFmtId="0" fontId="3" fillId="0" borderId="19" xfId="0" applyFont="1" applyBorder="1"/>
    <xf numFmtId="0" fontId="28" fillId="0" borderId="14" xfId="0" applyFont="1" applyBorder="1" applyAlignment="1">
      <alignment horizontal="center"/>
    </xf>
    <xf numFmtId="0" fontId="28" fillId="0" borderId="15" xfId="0" applyFont="1" applyBorder="1"/>
    <xf numFmtId="0" fontId="28" fillId="0" borderId="16" xfId="0" applyFont="1" applyBorder="1"/>
    <xf numFmtId="0" fontId="0" fillId="39" borderId="62" xfId="0" applyFill="1" applyBorder="1"/>
    <xf numFmtId="0" fontId="0" fillId="40" borderId="62" xfId="0" applyFill="1" applyBorder="1"/>
    <xf numFmtId="0" fontId="0" fillId="0" borderId="62" xfId="0" applyBorder="1"/>
    <xf numFmtId="0" fontId="6" fillId="2" borderId="9" xfId="0" applyFont="1" applyFill="1" applyBorder="1" applyAlignment="1">
      <alignment horizontal="center" vertical="center" wrapText="1"/>
    </xf>
    <xf numFmtId="0" fontId="30" fillId="16" borderId="0" xfId="0" applyFont="1" applyFill="1" applyAlignment="1">
      <alignment horizontal="center" vertical="center" wrapText="1"/>
    </xf>
    <xf numFmtId="0" fontId="31" fillId="0" borderId="14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6" fillId="38" borderId="57" xfId="0" applyFont="1" applyFill="1" applyBorder="1" applyAlignment="1">
      <alignment horizontal="center" vertical="center" wrapText="1"/>
    </xf>
    <xf numFmtId="0" fontId="7" fillId="0" borderId="0" xfId="0" applyFont="1"/>
    <xf numFmtId="0" fontId="32" fillId="0" borderId="0" xfId="4" applyFont="1"/>
    <xf numFmtId="0" fontId="33" fillId="0" borderId="0" xfId="4" applyFont="1"/>
    <xf numFmtId="0" fontId="34" fillId="0" borderId="0" xfId="4" applyFont="1" applyAlignment="1">
      <alignment horizontal="center"/>
    </xf>
    <xf numFmtId="0" fontId="35" fillId="0" borderId="0" xfId="4" applyFont="1" applyAlignment="1">
      <alignment horizontal="center"/>
    </xf>
    <xf numFmtId="0" fontId="36" fillId="0" borderId="0" xfId="4" applyFont="1"/>
    <xf numFmtId="0" fontId="33" fillId="43" borderId="0" xfId="4" applyFont="1" applyFill="1"/>
    <xf numFmtId="0" fontId="32" fillId="0" borderId="0" xfId="4" applyFont="1" applyAlignment="1">
      <alignment horizontal="center"/>
    </xf>
    <xf numFmtId="14" fontId="33" fillId="0" borderId="0" xfId="4" applyNumberFormat="1" applyFont="1"/>
    <xf numFmtId="14" fontId="35" fillId="0" borderId="0" xfId="4" applyNumberFormat="1" applyFont="1" applyAlignment="1">
      <alignment horizontal="center"/>
    </xf>
    <xf numFmtId="0" fontId="33" fillId="44" borderId="64" xfId="4" applyFont="1" applyFill="1" applyBorder="1" applyAlignment="1">
      <alignment horizontal="center"/>
    </xf>
    <xf numFmtId="0" fontId="37" fillId="19" borderId="0" xfId="4" applyFont="1" applyFill="1"/>
    <xf numFmtId="0" fontId="23" fillId="0" borderId="0" xfId="4"/>
    <xf numFmtId="0" fontId="38" fillId="0" borderId="0" xfId="4" applyFont="1"/>
    <xf numFmtId="14" fontId="33" fillId="0" borderId="0" xfId="4" applyNumberFormat="1" applyFont="1" applyAlignment="1">
      <alignment horizontal="left"/>
    </xf>
    <xf numFmtId="0" fontId="38" fillId="0" borderId="0" xfId="4" quotePrefix="1" applyFont="1"/>
    <xf numFmtId="0" fontId="39" fillId="45" borderId="0" xfId="4" quotePrefix="1" applyFont="1" applyFill="1"/>
    <xf numFmtId="0" fontId="3" fillId="44" borderId="65" xfId="4" applyFont="1" applyFill="1" applyBorder="1" applyAlignment="1">
      <alignment horizontal="center"/>
    </xf>
    <xf numFmtId="38" fontId="40" fillId="0" borderId="64" xfId="4" applyNumberFormat="1" applyFont="1" applyBorder="1" applyAlignment="1" applyProtection="1">
      <alignment horizontal="center" vertical="center"/>
      <protection hidden="1"/>
    </xf>
    <xf numFmtId="0" fontId="3" fillId="46" borderId="65" xfId="4" applyFont="1" applyFill="1" applyBorder="1" applyAlignment="1">
      <alignment horizontal="center"/>
    </xf>
    <xf numFmtId="0" fontId="41" fillId="47" borderId="0" xfId="4" quotePrefix="1" applyFont="1" applyFill="1"/>
    <xf numFmtId="178" fontId="40" fillId="0" borderId="64" xfId="4" applyNumberFormat="1" applyFont="1" applyBorder="1" applyAlignment="1" applyProtection="1">
      <alignment horizontal="center" vertical="center"/>
      <protection hidden="1"/>
    </xf>
    <xf numFmtId="178" fontId="40" fillId="0" borderId="66" xfId="4" applyNumberFormat="1" applyFont="1" applyBorder="1" applyAlignment="1">
      <alignment horizontal="center"/>
    </xf>
    <xf numFmtId="0" fontId="33" fillId="15" borderId="0" xfId="4" applyFont="1" applyFill="1"/>
    <xf numFmtId="0" fontId="42" fillId="0" borderId="0" xfId="4" applyFont="1"/>
    <xf numFmtId="0" fontId="43" fillId="0" borderId="0" xfId="4" applyFont="1" applyAlignment="1">
      <alignment horizontal="center" vertical="center"/>
    </xf>
    <xf numFmtId="0" fontId="38" fillId="0" borderId="0" xfId="4" applyFont="1" applyAlignment="1">
      <alignment horizontal="center" vertical="center"/>
    </xf>
    <xf numFmtId="0" fontId="44" fillId="0" borderId="0" xfId="4" applyFont="1" applyAlignment="1">
      <alignment horizontal="center" vertical="center"/>
    </xf>
    <xf numFmtId="0" fontId="44" fillId="15" borderId="0" xfId="4" applyFont="1" applyFill="1" applyAlignment="1">
      <alignment horizontal="center" vertical="center"/>
    </xf>
    <xf numFmtId="0" fontId="43" fillId="43" borderId="0" xfId="4" applyFont="1" applyFill="1" applyAlignment="1">
      <alignment horizontal="center" vertical="center"/>
    </xf>
    <xf numFmtId="0" fontId="43" fillId="15" borderId="0" xfId="4" applyFont="1" applyFill="1" applyAlignment="1">
      <alignment horizontal="center" vertical="center"/>
    </xf>
    <xf numFmtId="8" fontId="33" fillId="0" borderId="0" xfId="4" applyNumberFormat="1" applyFont="1"/>
    <xf numFmtId="8" fontId="45" fillId="0" borderId="0" xfId="4" applyNumberFormat="1" applyFont="1"/>
    <xf numFmtId="8" fontId="35" fillId="0" borderId="0" xfId="4" applyNumberFormat="1" applyFont="1" applyAlignment="1">
      <alignment horizontal="center"/>
    </xf>
    <xf numFmtId="0" fontId="46" fillId="48" borderId="67" xfId="4" quotePrefix="1" applyFont="1" applyFill="1" applyBorder="1" applyAlignment="1" applyProtection="1">
      <alignment horizontal="left" vertical="center" shrinkToFit="1"/>
      <protection hidden="1"/>
    </xf>
    <xf numFmtId="0" fontId="36" fillId="43" borderId="0" xfId="4" applyFont="1" applyFill="1"/>
    <xf numFmtId="0" fontId="46" fillId="34" borderId="68" xfId="4" quotePrefix="1" applyFont="1" applyFill="1" applyBorder="1" applyAlignment="1" applyProtection="1">
      <alignment vertical="center" shrinkToFit="1"/>
      <protection hidden="1"/>
    </xf>
    <xf numFmtId="0" fontId="46" fillId="34" borderId="69" xfId="4" quotePrefix="1" applyFont="1" applyFill="1" applyBorder="1" applyAlignment="1" applyProtection="1">
      <alignment horizontal="center" vertical="center" shrinkToFit="1"/>
      <protection hidden="1"/>
    </xf>
    <xf numFmtId="0" fontId="46" fillId="34" borderId="68" xfId="4" quotePrefix="1" applyFont="1" applyFill="1" applyBorder="1" applyAlignment="1" applyProtection="1">
      <alignment horizontal="center" vertical="center" shrinkToFit="1"/>
      <protection hidden="1"/>
    </xf>
    <xf numFmtId="0" fontId="46" fillId="34" borderId="67" xfId="4" quotePrefix="1" applyFont="1" applyFill="1" applyBorder="1" applyAlignment="1" applyProtection="1">
      <alignment horizontal="center" vertical="center" shrinkToFit="1"/>
      <protection hidden="1"/>
    </xf>
    <xf numFmtId="0" fontId="18" fillId="49" borderId="70" xfId="4" quotePrefix="1" applyFont="1" applyFill="1" applyBorder="1" applyAlignment="1" applyProtection="1">
      <alignment horizontal="center" vertical="center" shrinkToFit="1"/>
      <protection hidden="1"/>
    </xf>
    <xf numFmtId="0" fontId="18" fillId="49" borderId="71" xfId="4" quotePrefix="1" applyFont="1" applyFill="1" applyBorder="1" applyAlignment="1" applyProtection="1">
      <alignment horizontal="center" vertical="center" shrinkToFit="1"/>
      <protection hidden="1"/>
    </xf>
    <xf numFmtId="0" fontId="18" fillId="49" borderId="72" xfId="4" quotePrefix="1" applyFont="1" applyFill="1" applyBorder="1" applyAlignment="1" applyProtection="1">
      <alignment horizontal="center" vertical="center" shrinkToFit="1"/>
      <protection hidden="1"/>
    </xf>
    <xf numFmtId="0" fontId="18" fillId="49" borderId="73" xfId="4" quotePrefix="1" applyFont="1" applyFill="1" applyBorder="1" applyAlignment="1" applyProtection="1">
      <alignment horizontal="center" vertical="center" shrinkToFit="1"/>
      <protection hidden="1"/>
    </xf>
    <xf numFmtId="0" fontId="18" fillId="0" borderId="0" xfId="4" quotePrefix="1" applyFont="1" applyAlignment="1" applyProtection="1">
      <alignment horizontal="center" vertical="center" shrinkToFit="1"/>
      <protection hidden="1"/>
    </xf>
    <xf numFmtId="0" fontId="18" fillId="50" borderId="71" xfId="4" quotePrefix="1" applyFont="1" applyFill="1" applyBorder="1" applyAlignment="1" applyProtection="1">
      <alignment horizontal="center" vertical="center" shrinkToFit="1"/>
      <protection hidden="1"/>
    </xf>
    <xf numFmtId="0" fontId="18" fillId="50" borderId="74" xfId="4" quotePrefix="1" applyFont="1" applyFill="1" applyBorder="1" applyAlignment="1" applyProtection="1">
      <alignment horizontal="center" vertical="center" shrinkToFit="1"/>
      <protection hidden="1"/>
    </xf>
    <xf numFmtId="0" fontId="18" fillId="50" borderId="73" xfId="4" quotePrefix="1" applyFont="1" applyFill="1" applyBorder="1" applyAlignment="1" applyProtection="1">
      <alignment horizontal="center" vertical="center" shrinkToFit="1"/>
      <protection hidden="1"/>
    </xf>
    <xf numFmtId="0" fontId="18" fillId="51" borderId="71" xfId="4" quotePrefix="1" applyFont="1" applyFill="1" applyBorder="1" applyAlignment="1" applyProtection="1">
      <alignment horizontal="center" vertical="center" shrinkToFit="1"/>
      <protection hidden="1"/>
    </xf>
    <xf numFmtId="0" fontId="18" fillId="51" borderId="75" xfId="4" quotePrefix="1" applyFont="1" applyFill="1" applyBorder="1" applyAlignment="1" applyProtection="1">
      <alignment horizontal="center" vertical="center" shrinkToFit="1"/>
      <protection hidden="1"/>
    </xf>
    <xf numFmtId="0" fontId="18" fillId="51" borderId="73" xfId="4" quotePrefix="1" applyFont="1" applyFill="1" applyBorder="1" applyAlignment="1" applyProtection="1">
      <alignment horizontal="center" vertical="center" shrinkToFit="1"/>
      <protection hidden="1"/>
    </xf>
    <xf numFmtId="8" fontId="34" fillId="0" borderId="0" xfId="4" applyNumberFormat="1" applyFont="1" applyAlignment="1">
      <alignment horizontal="center"/>
    </xf>
    <xf numFmtId="0" fontId="47" fillId="0" borderId="0" xfId="4" applyFont="1"/>
    <xf numFmtId="177" fontId="40" fillId="43" borderId="0" xfId="4" applyNumberFormat="1" applyFont="1" applyFill="1" applyAlignment="1" applyProtection="1">
      <alignment horizontal="right" vertical="center"/>
      <protection hidden="1"/>
    </xf>
    <xf numFmtId="0" fontId="48" fillId="52" borderId="68" xfId="4" applyFont="1" applyFill="1" applyBorder="1" applyAlignment="1" applyProtection="1">
      <alignment horizontal="center" vertical="center" shrinkToFit="1"/>
      <protection hidden="1"/>
    </xf>
    <xf numFmtId="0" fontId="40" fillId="0" borderId="76" xfId="4" applyFont="1" applyBorder="1" applyAlignment="1" applyProtection="1">
      <alignment horizontal="center" vertical="center"/>
      <protection hidden="1"/>
    </xf>
    <xf numFmtId="178" fontId="40" fillId="0" borderId="76" xfId="4" applyNumberFormat="1" applyFont="1" applyBorder="1" applyAlignment="1" applyProtection="1">
      <alignment horizontal="center" vertical="center"/>
      <protection hidden="1"/>
    </xf>
    <xf numFmtId="178" fontId="40" fillId="0" borderId="77" xfId="4" applyNumberFormat="1" applyFont="1" applyBorder="1" applyAlignment="1" applyProtection="1">
      <alignment horizontal="center" vertical="center"/>
      <protection hidden="1"/>
    </xf>
    <xf numFmtId="0" fontId="49" fillId="0" borderId="0" xfId="4" applyFont="1" applyAlignment="1">
      <alignment horizontal="center" vertical="center"/>
    </xf>
    <xf numFmtId="0" fontId="48" fillId="53" borderId="78" xfId="4" quotePrefix="1" applyFont="1" applyFill="1" applyBorder="1" applyAlignment="1" applyProtection="1">
      <alignment horizontal="center" vertical="center" shrinkToFit="1"/>
      <protection hidden="1"/>
    </xf>
    <xf numFmtId="0" fontId="48" fillId="53" borderId="71" xfId="4" quotePrefix="1" applyFont="1" applyFill="1" applyBorder="1" applyAlignment="1" applyProtection="1">
      <alignment horizontal="center" vertical="center" shrinkToFit="1"/>
      <protection hidden="1"/>
    </xf>
    <xf numFmtId="0" fontId="48" fillId="54" borderId="71" xfId="4" quotePrefix="1" applyFont="1" applyFill="1" applyBorder="1" applyAlignment="1" applyProtection="1">
      <alignment horizontal="center" vertical="center" shrinkToFit="1"/>
      <protection hidden="1"/>
    </xf>
    <xf numFmtId="0" fontId="50" fillId="0" borderId="0" xfId="4" applyFont="1" applyAlignment="1">
      <alignment horizontal="center" vertical="center"/>
    </xf>
    <xf numFmtId="0" fontId="48" fillId="55" borderId="71" xfId="4" quotePrefix="1" applyFont="1" applyFill="1" applyBorder="1" applyAlignment="1" applyProtection="1">
      <alignment horizontal="center" vertical="center" shrinkToFit="1"/>
      <protection hidden="1"/>
    </xf>
    <xf numFmtId="0" fontId="48" fillId="56" borderId="71" xfId="4" quotePrefix="1" applyFont="1" applyFill="1" applyBorder="1" applyAlignment="1" applyProtection="1">
      <alignment horizontal="center" vertical="center" shrinkToFit="1"/>
      <protection hidden="1"/>
    </xf>
    <xf numFmtId="0" fontId="33" fillId="0" borderId="0" xfId="0" applyFont="1" applyAlignment="1">
      <alignment horizontal="center" vertical="center" wrapText="1"/>
    </xf>
    <xf numFmtId="0" fontId="51" fillId="0" borderId="0" xfId="4" applyFont="1" applyAlignment="1">
      <alignment horizontal="center"/>
    </xf>
    <xf numFmtId="178" fontId="40" fillId="0" borderId="0" xfId="4" applyNumberFormat="1" applyFont="1" applyAlignment="1" applyProtection="1">
      <alignment horizontal="center" vertical="center"/>
      <protection hidden="1"/>
    </xf>
    <xf numFmtId="0" fontId="35" fillId="0" borderId="79" xfId="4" applyFont="1" applyBorder="1" applyAlignment="1">
      <alignment horizontal="left"/>
    </xf>
    <xf numFmtId="179" fontId="52" fillId="0" borderId="79" xfId="3" applyNumberFormat="1" applyFont="1" applyBorder="1" applyAlignment="1" applyProtection="1">
      <alignment horizontal="center" vertical="center"/>
      <protection hidden="1"/>
    </xf>
    <xf numFmtId="164" fontId="40" fillId="0" borderId="80" xfId="4" applyNumberFormat="1" applyFont="1" applyBorder="1" applyAlignment="1" applyProtection="1">
      <alignment horizontal="center" vertical="center"/>
      <protection hidden="1"/>
    </xf>
    <xf numFmtId="164" fontId="49" fillId="0" borderId="0" xfId="4" applyNumberFormat="1" applyFont="1" applyAlignment="1">
      <alignment horizontal="center" vertical="center"/>
    </xf>
    <xf numFmtId="0" fontId="34" fillId="0" borderId="0" xfId="4" applyFont="1" applyAlignment="1">
      <alignment horizontal="left"/>
    </xf>
    <xf numFmtId="10" fontId="52" fillId="46" borderId="0" xfId="4" applyNumberFormat="1" applyFont="1" applyFill="1" applyAlignment="1" applyProtection="1">
      <alignment horizontal="center" vertical="center"/>
      <protection hidden="1"/>
    </xf>
    <xf numFmtId="173" fontId="40" fillId="0" borderId="76" xfId="2" applyNumberFormat="1" applyFont="1" applyBorder="1" applyAlignment="1" applyProtection="1">
      <alignment horizontal="center" vertical="center"/>
      <protection hidden="1"/>
    </xf>
    <xf numFmtId="173" fontId="40" fillId="0" borderId="81" xfId="2" applyNumberFormat="1" applyFont="1" applyBorder="1" applyAlignment="1" applyProtection="1">
      <alignment horizontal="center" vertical="center"/>
      <protection hidden="1"/>
    </xf>
    <xf numFmtId="177" fontId="40" fillId="43" borderId="79" xfId="4" applyNumberFormat="1" applyFont="1" applyFill="1" applyBorder="1" applyAlignment="1" applyProtection="1">
      <alignment horizontal="right" vertical="center"/>
      <protection hidden="1"/>
    </xf>
    <xf numFmtId="1" fontId="52" fillId="0" borderId="79" xfId="1" applyNumberFormat="1" applyFont="1" applyBorder="1" applyAlignment="1" applyProtection="1">
      <alignment horizontal="center" vertical="center"/>
      <protection hidden="1"/>
    </xf>
    <xf numFmtId="38" fontId="40" fillId="0" borderId="80" xfId="4" applyNumberFormat="1" applyFont="1" applyBorder="1" applyAlignment="1" applyProtection="1">
      <alignment horizontal="center" vertical="center"/>
      <protection hidden="1"/>
    </xf>
    <xf numFmtId="38" fontId="49" fillId="0" borderId="0" xfId="4" applyNumberFormat="1" applyFont="1" applyAlignment="1">
      <alignment horizontal="center" vertical="center"/>
    </xf>
    <xf numFmtId="0" fontId="34" fillId="0" borderId="82" xfId="4" applyFont="1" applyBorder="1" applyAlignment="1">
      <alignment horizontal="left"/>
    </xf>
    <xf numFmtId="177" fontId="40" fillId="43" borderId="82" xfId="4" applyNumberFormat="1" applyFont="1" applyFill="1" applyBorder="1" applyAlignment="1" applyProtection="1">
      <alignment horizontal="right" vertical="center"/>
      <protection hidden="1"/>
    </xf>
    <xf numFmtId="10" fontId="52" fillId="46" borderId="82" xfId="2" applyNumberFormat="1" applyFont="1" applyFill="1" applyBorder="1" applyAlignment="1" applyProtection="1">
      <alignment horizontal="center" vertical="center"/>
      <protection hidden="1"/>
    </xf>
    <xf numFmtId="1" fontId="52" fillId="0" borderId="79" xfId="4" applyNumberFormat="1" applyFont="1" applyBorder="1" applyAlignment="1" applyProtection="1">
      <alignment horizontal="center" vertical="center"/>
      <protection hidden="1"/>
    </xf>
    <xf numFmtId="0" fontId="34" fillId="0" borderId="83" xfId="4" applyFont="1" applyBorder="1" applyAlignment="1">
      <alignment horizontal="left"/>
    </xf>
    <xf numFmtId="177" fontId="40" fillId="43" borderId="83" xfId="4" applyNumberFormat="1" applyFont="1" applyFill="1" applyBorder="1" applyAlignment="1" applyProtection="1">
      <alignment horizontal="right" vertical="center"/>
      <protection hidden="1"/>
    </xf>
    <xf numFmtId="10" fontId="52" fillId="46" borderId="83" xfId="2" applyNumberFormat="1" applyFont="1" applyFill="1" applyBorder="1" applyAlignment="1" applyProtection="1">
      <alignment horizontal="center" vertical="center"/>
      <protection hidden="1"/>
    </xf>
    <xf numFmtId="0" fontId="14" fillId="34" borderId="24" xfId="4" applyFont="1" applyFill="1" applyBorder="1"/>
    <xf numFmtId="38" fontId="48" fillId="0" borderId="7" xfId="4" applyNumberFormat="1" applyFont="1" applyBorder="1" applyAlignment="1" applyProtection="1">
      <alignment horizontal="center" vertical="center"/>
      <protection hidden="1"/>
    </xf>
    <xf numFmtId="38" fontId="48" fillId="0" borderId="84" xfId="4" applyNumberFormat="1" applyFont="1" applyBorder="1" applyAlignment="1" applyProtection="1">
      <alignment horizontal="center" vertical="center"/>
      <protection hidden="1"/>
    </xf>
    <xf numFmtId="38" fontId="48" fillId="0" borderId="23" xfId="4" applyNumberFormat="1" applyFont="1" applyBorder="1" applyAlignment="1" applyProtection="1">
      <alignment horizontal="center" vertical="center"/>
      <protection hidden="1"/>
    </xf>
    <xf numFmtId="38" fontId="53" fillId="0" borderId="25" xfId="4" applyNumberFormat="1" applyFont="1" applyBorder="1" applyAlignment="1" applyProtection="1">
      <alignment horizontal="center" vertical="center"/>
      <protection hidden="1"/>
    </xf>
    <xf numFmtId="38" fontId="53" fillId="0" borderId="7" xfId="4" applyNumberFormat="1" applyFont="1" applyBorder="1" applyAlignment="1" applyProtection="1">
      <alignment horizontal="center" vertical="center"/>
      <protection hidden="1"/>
    </xf>
    <xf numFmtId="38" fontId="53" fillId="0" borderId="84" xfId="4" applyNumberFormat="1" applyFont="1" applyBorder="1" applyAlignment="1" applyProtection="1">
      <alignment horizontal="center" vertical="center"/>
      <protection hidden="1"/>
    </xf>
    <xf numFmtId="38" fontId="48" fillId="0" borderId="0" xfId="4" applyNumberFormat="1" applyFont="1" applyAlignment="1" applyProtection="1">
      <alignment horizontal="center" vertical="center"/>
      <protection hidden="1"/>
    </xf>
    <xf numFmtId="0" fontId="33" fillId="0" borderId="0" xfId="4" applyFont="1" applyAlignment="1">
      <alignment vertical="center"/>
    </xf>
    <xf numFmtId="0" fontId="38" fillId="17" borderId="0" xfId="4" applyFont="1" applyFill="1" applyAlignment="1">
      <alignment horizontal="center" vertical="center"/>
    </xf>
    <xf numFmtId="0" fontId="3" fillId="0" borderId="0" xfId="4" applyFont="1"/>
    <xf numFmtId="178" fontId="48" fillId="0" borderId="0" xfId="4" applyNumberFormat="1" applyFont="1" applyAlignment="1" applyProtection="1">
      <alignment horizontal="center" vertical="center"/>
      <protection hidden="1"/>
    </xf>
    <xf numFmtId="178" fontId="48" fillId="0" borderId="76" xfId="4" applyNumberFormat="1" applyFont="1" applyBorder="1" applyAlignment="1" applyProtection="1">
      <alignment horizontal="center" vertical="center"/>
      <protection hidden="1"/>
    </xf>
    <xf numFmtId="0" fontId="35" fillId="0" borderId="0" xfId="4" applyFont="1" applyAlignment="1">
      <alignment horizontal="center" vertical="center"/>
    </xf>
    <xf numFmtId="0" fontId="54" fillId="0" borderId="0" xfId="4" applyFont="1" applyAlignment="1" applyProtection="1">
      <alignment horizontal="left" vertical="center"/>
      <protection hidden="1"/>
    </xf>
    <xf numFmtId="177" fontId="55" fillId="43" borderId="0" xfId="4" applyNumberFormat="1" applyFont="1" applyFill="1" applyAlignment="1" applyProtection="1">
      <alignment horizontal="right" vertical="center"/>
      <protection hidden="1"/>
    </xf>
    <xf numFmtId="178" fontId="54" fillId="0" borderId="0" xfId="4" applyNumberFormat="1" applyFont="1" applyAlignment="1" applyProtection="1">
      <alignment horizontal="center" vertical="center"/>
      <protection hidden="1"/>
    </xf>
    <xf numFmtId="178" fontId="54" fillId="0" borderId="76" xfId="4" applyNumberFormat="1" applyFont="1" applyBorder="1" applyAlignment="1" applyProtection="1">
      <alignment horizontal="center" vertical="center"/>
      <protection hidden="1"/>
    </xf>
    <xf numFmtId="0" fontId="56" fillId="0" borderId="0" xfId="5" applyFont="1" applyAlignment="1" applyProtection="1">
      <alignment vertical="center"/>
      <protection hidden="1"/>
    </xf>
    <xf numFmtId="0" fontId="35" fillId="0" borderId="0" xfId="5" applyFont="1" applyAlignment="1" applyProtection="1">
      <alignment horizontal="center" vertical="center"/>
      <protection hidden="1"/>
    </xf>
    <xf numFmtId="0" fontId="48" fillId="0" borderId="0" xfId="4" applyFont="1" applyAlignment="1" applyProtection="1">
      <alignment horizontal="left" vertical="center"/>
      <protection hidden="1"/>
    </xf>
    <xf numFmtId="38" fontId="48" fillId="0" borderId="76" xfId="4" applyNumberFormat="1" applyFont="1" applyBorder="1" applyAlignment="1" applyProtection="1">
      <alignment horizontal="center" vertical="center"/>
      <protection hidden="1"/>
    </xf>
    <xf numFmtId="0" fontId="57" fillId="0" borderId="0" xfId="4" applyFont="1" applyAlignment="1" applyProtection="1">
      <alignment horizontal="left" vertical="center"/>
      <protection hidden="1"/>
    </xf>
    <xf numFmtId="180" fontId="58" fillId="0" borderId="0" xfId="4" applyNumberFormat="1" applyFont="1" applyAlignment="1" applyProtection="1">
      <alignment horizontal="center" vertical="center"/>
      <protection hidden="1"/>
    </xf>
    <xf numFmtId="180" fontId="58" fillId="0" borderId="76" xfId="4" applyNumberFormat="1" applyFont="1" applyBorder="1" applyAlignment="1" applyProtection="1">
      <alignment horizontal="center" vertical="center"/>
      <protection hidden="1"/>
    </xf>
    <xf numFmtId="180" fontId="59" fillId="0" borderId="0" xfId="4" applyNumberFormat="1" applyFont="1" applyAlignment="1" applyProtection="1">
      <alignment horizontal="center" vertical="center"/>
      <protection hidden="1"/>
    </xf>
    <xf numFmtId="180" fontId="59" fillId="0" borderId="76" xfId="4" applyNumberFormat="1" applyFont="1" applyBorder="1" applyAlignment="1" applyProtection="1">
      <alignment horizontal="center" vertical="center"/>
      <protection hidden="1"/>
    </xf>
    <xf numFmtId="164" fontId="48" fillId="57" borderId="0" xfId="4" applyNumberFormat="1" applyFont="1" applyFill="1" applyAlignment="1" applyProtection="1">
      <alignment vertical="center"/>
      <protection hidden="1"/>
    </xf>
    <xf numFmtId="164" fontId="40" fillId="43" borderId="0" xfId="4" applyNumberFormat="1" applyFont="1" applyFill="1" applyAlignment="1" applyProtection="1">
      <alignment vertical="center"/>
      <protection hidden="1"/>
    </xf>
    <xf numFmtId="38" fontId="3" fillId="57" borderId="0" xfId="1" applyNumberFormat="1" applyFont="1" applyFill="1" applyAlignment="1">
      <alignment horizontal="center"/>
    </xf>
    <xf numFmtId="38" fontId="3" fillId="57" borderId="76" xfId="1" applyNumberFormat="1" applyFont="1" applyFill="1" applyBorder="1" applyAlignment="1">
      <alignment horizontal="center"/>
    </xf>
    <xf numFmtId="38" fontId="23" fillId="58" borderId="0" xfId="1" applyNumberFormat="1" applyFont="1" applyFill="1" applyBorder="1" applyAlignment="1">
      <alignment horizontal="center"/>
    </xf>
    <xf numFmtId="38" fontId="23" fillId="58" borderId="76" xfId="1" applyNumberFormat="1" applyFont="1" applyFill="1" applyBorder="1" applyAlignment="1">
      <alignment horizontal="center"/>
    </xf>
    <xf numFmtId="38" fontId="23" fillId="0" borderId="0" xfId="1" applyNumberFormat="1" applyFont="1" applyFill="1" applyBorder="1" applyAlignment="1">
      <alignment horizontal="center"/>
    </xf>
    <xf numFmtId="164" fontId="48" fillId="59" borderId="0" xfId="4" applyNumberFormat="1" applyFont="1" applyFill="1" applyAlignment="1" applyProtection="1">
      <alignment vertical="center"/>
      <protection hidden="1"/>
    </xf>
    <xf numFmtId="38" fontId="3" fillId="59" borderId="0" xfId="1" applyNumberFormat="1" applyFont="1" applyFill="1" applyAlignment="1">
      <alignment horizontal="center"/>
    </xf>
    <xf numFmtId="38" fontId="3" fillId="59" borderId="76" xfId="1" applyNumberFormat="1" applyFont="1" applyFill="1" applyBorder="1" applyAlignment="1">
      <alignment horizontal="center"/>
    </xf>
    <xf numFmtId="38" fontId="23" fillId="60" borderId="0" xfId="1" applyNumberFormat="1" applyFont="1" applyFill="1" applyBorder="1" applyAlignment="1">
      <alignment horizontal="center"/>
    </xf>
    <xf numFmtId="38" fontId="23" fillId="60" borderId="76" xfId="1" applyNumberFormat="1" applyFont="1" applyFill="1" applyBorder="1" applyAlignment="1">
      <alignment horizontal="center"/>
    </xf>
    <xf numFmtId="0" fontId="48" fillId="0" borderId="6" xfId="4" applyFont="1" applyBorder="1" applyAlignment="1" applyProtection="1">
      <alignment vertical="center"/>
      <protection hidden="1"/>
    </xf>
    <xf numFmtId="177" fontId="40" fillId="43" borderId="0" xfId="4" applyNumberFormat="1" applyFont="1" applyFill="1" applyAlignment="1" applyProtection="1">
      <alignment vertical="center"/>
      <protection hidden="1"/>
    </xf>
    <xf numFmtId="38" fontId="3" fillId="20" borderId="6" xfId="1" applyNumberFormat="1" applyFont="1" applyFill="1" applyBorder="1" applyAlignment="1">
      <alignment horizontal="center"/>
    </xf>
    <xf numFmtId="38" fontId="3" fillId="20" borderId="85" xfId="1" applyNumberFormat="1" applyFont="1" applyFill="1" applyBorder="1" applyAlignment="1">
      <alignment horizontal="center"/>
    </xf>
    <xf numFmtId="38" fontId="23" fillId="61" borderId="6" xfId="1" applyNumberFormat="1" applyFont="1" applyFill="1" applyBorder="1" applyAlignment="1">
      <alignment horizontal="center"/>
    </xf>
    <xf numFmtId="38" fontId="23" fillId="61" borderId="85" xfId="1" applyNumberFormat="1" applyFont="1" applyFill="1" applyBorder="1" applyAlignment="1">
      <alignment horizontal="center"/>
    </xf>
    <xf numFmtId="0" fontId="48" fillId="0" borderId="0" xfId="5" applyFont="1" applyAlignment="1">
      <alignment horizontal="left" vertical="center"/>
    </xf>
    <xf numFmtId="38" fontId="35" fillId="0" borderId="0" xfId="4" applyNumberFormat="1" applyFont="1" applyAlignment="1" applyProtection="1">
      <alignment horizontal="center" vertical="center"/>
      <protection hidden="1"/>
    </xf>
    <xf numFmtId="0" fontId="33" fillId="62" borderId="0" xfId="4" applyFont="1" applyFill="1"/>
    <xf numFmtId="164" fontId="3" fillId="57" borderId="0" xfId="1" applyNumberFormat="1" applyFont="1" applyFill="1" applyAlignment="1">
      <alignment horizontal="center"/>
    </xf>
    <xf numFmtId="164" fontId="3" fillId="57" borderId="76" xfId="1" applyNumberFormat="1" applyFont="1" applyFill="1" applyBorder="1" applyAlignment="1">
      <alignment horizontal="center"/>
    </xf>
    <xf numFmtId="164" fontId="23" fillId="58" borderId="0" xfId="1" applyNumberFormat="1" applyFont="1" applyFill="1" applyBorder="1" applyAlignment="1">
      <alignment horizontal="center"/>
    </xf>
    <xf numFmtId="164" fontId="23" fillId="58" borderId="76" xfId="1" applyNumberFormat="1" applyFont="1" applyFill="1" applyBorder="1" applyAlignment="1">
      <alignment horizontal="center"/>
    </xf>
    <xf numFmtId="164" fontId="23" fillId="0" borderId="0" xfId="1" applyNumberFormat="1" applyFont="1" applyFill="1" applyBorder="1" applyAlignment="1">
      <alignment horizontal="center"/>
    </xf>
    <xf numFmtId="164" fontId="3" fillId="59" borderId="0" xfId="1" applyNumberFormat="1" applyFont="1" applyFill="1" applyAlignment="1">
      <alignment horizontal="center"/>
    </xf>
    <xf numFmtId="164" fontId="3" fillId="59" borderId="76" xfId="1" applyNumberFormat="1" applyFont="1" applyFill="1" applyBorder="1" applyAlignment="1">
      <alignment horizontal="center"/>
    </xf>
    <xf numFmtId="164" fontId="23" fillId="60" borderId="0" xfId="1" applyNumberFormat="1" applyFont="1" applyFill="1" applyBorder="1" applyAlignment="1">
      <alignment horizontal="center"/>
    </xf>
    <xf numFmtId="164" fontId="23" fillId="60" borderId="76" xfId="1" applyNumberFormat="1" applyFont="1" applyFill="1" applyBorder="1" applyAlignment="1">
      <alignment horizontal="center"/>
    </xf>
    <xf numFmtId="164" fontId="3" fillId="20" borderId="6" xfId="1" applyNumberFormat="1" applyFont="1" applyFill="1" applyBorder="1" applyAlignment="1">
      <alignment horizontal="center"/>
    </xf>
    <xf numFmtId="164" fontId="3" fillId="20" borderId="85" xfId="1" applyNumberFormat="1" applyFont="1" applyFill="1" applyBorder="1" applyAlignment="1">
      <alignment horizontal="center"/>
    </xf>
    <xf numFmtId="164" fontId="23" fillId="61" borderId="6" xfId="1" applyNumberFormat="1" applyFont="1" applyFill="1" applyBorder="1" applyAlignment="1">
      <alignment horizontal="center"/>
    </xf>
    <xf numFmtId="164" fontId="23" fillId="61" borderId="85" xfId="1" applyNumberFormat="1" applyFont="1" applyFill="1" applyBorder="1" applyAlignment="1">
      <alignment horizontal="center"/>
    </xf>
    <xf numFmtId="0" fontId="46" fillId="42" borderId="67" xfId="4" quotePrefix="1" applyFont="1" applyFill="1" applyBorder="1" applyAlignment="1" applyProtection="1">
      <alignment vertical="center"/>
      <protection hidden="1"/>
    </xf>
    <xf numFmtId="177" fontId="40" fillId="42" borderId="0" xfId="4" applyNumberFormat="1" applyFont="1" applyFill="1" applyAlignment="1" applyProtection="1">
      <alignment vertical="center"/>
      <protection hidden="1"/>
    </xf>
    <xf numFmtId="164" fontId="46" fillId="42" borderId="68" xfId="1" applyNumberFormat="1" applyFont="1" applyFill="1" applyBorder="1" applyAlignment="1" applyProtection="1">
      <alignment horizontal="center" vertical="center"/>
      <protection hidden="1"/>
    </xf>
    <xf numFmtId="164" fontId="46" fillId="42" borderId="86" xfId="1" quotePrefix="1" applyNumberFormat="1" applyFont="1" applyFill="1" applyBorder="1" applyAlignment="1" applyProtection="1">
      <alignment horizontal="center" vertical="center"/>
      <protection hidden="1"/>
    </xf>
    <xf numFmtId="164" fontId="46" fillId="42" borderId="68" xfId="1" quotePrefix="1" applyNumberFormat="1" applyFont="1" applyFill="1" applyBorder="1" applyAlignment="1" applyProtection="1">
      <alignment horizontal="center" vertical="center"/>
      <protection hidden="1"/>
    </xf>
    <xf numFmtId="164" fontId="46" fillId="42" borderId="67" xfId="1" quotePrefix="1" applyNumberFormat="1" applyFont="1" applyFill="1" applyBorder="1" applyAlignment="1" applyProtection="1">
      <alignment horizontal="center" vertical="center"/>
      <protection hidden="1"/>
    </xf>
    <xf numFmtId="164" fontId="18" fillId="63" borderId="87" xfId="1" quotePrefix="1" applyNumberFormat="1" applyFont="1" applyFill="1" applyBorder="1" applyAlignment="1" applyProtection="1">
      <alignment horizontal="center" vertical="center"/>
      <protection hidden="1"/>
    </xf>
    <xf numFmtId="164" fontId="18" fillId="63" borderId="73" xfId="1" quotePrefix="1" applyNumberFormat="1" applyFont="1" applyFill="1" applyBorder="1" applyAlignment="1" applyProtection="1">
      <alignment horizontal="center" vertical="center"/>
      <protection hidden="1"/>
    </xf>
    <xf numFmtId="164" fontId="18" fillId="0" borderId="0" xfId="1" quotePrefix="1" applyNumberFormat="1" applyFont="1" applyFill="1" applyBorder="1" applyAlignment="1" applyProtection="1">
      <alignment horizontal="center" vertical="center"/>
      <protection hidden="1"/>
    </xf>
    <xf numFmtId="0" fontId="60" fillId="47" borderId="0" xfId="5" applyFont="1" applyFill="1" applyAlignment="1" applyProtection="1">
      <alignment horizontal="center" vertical="center"/>
      <protection hidden="1"/>
    </xf>
    <xf numFmtId="0" fontId="48" fillId="0" borderId="6" xfId="5" applyFont="1" applyBorder="1" applyAlignment="1">
      <alignment horizontal="left" vertical="center"/>
    </xf>
    <xf numFmtId="164" fontId="48" fillId="0" borderId="6" xfId="4" applyNumberFormat="1" applyFont="1" applyBorder="1" applyAlignment="1" applyProtection="1">
      <alignment horizontal="center" vertical="center"/>
      <protection hidden="1"/>
    </xf>
    <xf numFmtId="164" fontId="48" fillId="0" borderId="85" xfId="4" applyNumberFormat="1" applyFont="1" applyBorder="1" applyAlignment="1" applyProtection="1">
      <alignment horizontal="center" vertical="center"/>
      <protection hidden="1"/>
    </xf>
    <xf numFmtId="164" fontId="48" fillId="0" borderId="0" xfId="4" applyNumberFormat="1" applyFont="1" applyAlignment="1" applyProtection="1">
      <alignment horizontal="center" vertical="center"/>
      <protection hidden="1"/>
    </xf>
    <xf numFmtId="0" fontId="33" fillId="62" borderId="0" xfId="4" applyFont="1" applyFill="1" applyAlignment="1">
      <alignment vertical="center"/>
    </xf>
    <xf numFmtId="0" fontId="23" fillId="0" borderId="0" xfId="4" applyAlignment="1">
      <alignment vertical="center"/>
    </xf>
    <xf numFmtId="0" fontId="46" fillId="64" borderId="67" xfId="4" quotePrefix="1" applyFont="1" applyFill="1" applyBorder="1" applyAlignment="1" applyProtection="1">
      <alignment vertical="center"/>
      <protection hidden="1"/>
    </xf>
    <xf numFmtId="164" fontId="46" fillId="64" borderId="68" xfId="1" applyNumberFormat="1" applyFont="1" applyFill="1" applyBorder="1" applyAlignment="1" applyProtection="1">
      <alignment horizontal="center" vertical="center"/>
      <protection hidden="1"/>
    </xf>
    <xf numFmtId="164" fontId="46" fillId="64" borderId="86" xfId="1" quotePrefix="1" applyNumberFormat="1" applyFont="1" applyFill="1" applyBorder="1" applyAlignment="1" applyProtection="1">
      <alignment horizontal="center" vertical="center"/>
      <protection hidden="1"/>
    </xf>
    <xf numFmtId="164" fontId="46" fillId="64" borderId="67" xfId="1" quotePrefix="1" applyNumberFormat="1" applyFont="1" applyFill="1" applyBorder="1" applyAlignment="1" applyProtection="1">
      <alignment horizontal="center" vertical="center"/>
      <protection hidden="1"/>
    </xf>
    <xf numFmtId="0" fontId="33" fillId="43" borderId="0" xfId="4" applyFont="1" applyFill="1" applyAlignment="1">
      <alignment vertical="center"/>
    </xf>
    <xf numFmtId="164" fontId="18" fillId="65" borderId="71" xfId="1" quotePrefix="1" applyNumberFormat="1" applyFont="1" applyFill="1" applyBorder="1" applyAlignment="1" applyProtection="1">
      <alignment horizontal="center" vertical="center"/>
      <protection hidden="1"/>
    </xf>
    <xf numFmtId="164" fontId="18" fillId="65" borderId="87" xfId="1" quotePrefix="1" applyNumberFormat="1" applyFont="1" applyFill="1" applyBorder="1" applyAlignment="1" applyProtection="1">
      <alignment horizontal="center" vertical="center"/>
      <protection hidden="1"/>
    </xf>
    <xf numFmtId="164" fontId="18" fillId="65" borderId="73" xfId="1" quotePrefix="1" applyNumberFormat="1" applyFont="1" applyFill="1" applyBorder="1" applyAlignment="1" applyProtection="1">
      <alignment horizontal="center" vertical="center"/>
      <protection hidden="1"/>
    </xf>
    <xf numFmtId="164" fontId="33" fillId="0" borderId="0" xfId="4" applyNumberFormat="1" applyFont="1" applyAlignment="1">
      <alignment vertical="center"/>
    </xf>
    <xf numFmtId="166" fontId="33" fillId="0" borderId="0" xfId="3" applyFont="1" applyAlignment="1">
      <alignment vertical="center"/>
    </xf>
    <xf numFmtId="165" fontId="33" fillId="0" borderId="0" xfId="4" applyNumberFormat="1" applyFont="1" applyAlignment="1">
      <alignment vertical="center"/>
    </xf>
    <xf numFmtId="0" fontId="61" fillId="0" borderId="0" xfId="5" applyFont="1" applyAlignment="1">
      <alignment vertical="center"/>
    </xf>
    <xf numFmtId="177" fontId="62" fillId="43" borderId="0" xfId="4" applyNumberFormat="1" applyFont="1" applyFill="1" applyAlignment="1" applyProtection="1">
      <alignment horizontal="right" vertical="center"/>
      <protection hidden="1"/>
    </xf>
    <xf numFmtId="181" fontId="63" fillId="20" borderId="0" xfId="2" applyNumberFormat="1" applyFont="1" applyFill="1" applyAlignment="1" applyProtection="1">
      <alignment horizontal="center" vertical="center"/>
      <protection hidden="1"/>
    </xf>
    <xf numFmtId="181" fontId="63" fillId="20" borderId="76" xfId="2" applyNumberFormat="1" applyFont="1" applyFill="1" applyBorder="1" applyAlignment="1" applyProtection="1">
      <alignment horizontal="center" vertical="center"/>
      <protection hidden="1"/>
    </xf>
    <xf numFmtId="181" fontId="42" fillId="61" borderId="76" xfId="2" applyNumberFormat="1" applyFont="1" applyFill="1" applyBorder="1" applyAlignment="1" applyProtection="1">
      <alignment horizontal="center" vertical="center"/>
      <protection hidden="1"/>
    </xf>
    <xf numFmtId="181" fontId="42" fillId="61" borderId="0" xfId="2" applyNumberFormat="1" applyFont="1" applyFill="1" applyBorder="1" applyAlignment="1" applyProtection="1">
      <alignment horizontal="center" vertical="center"/>
      <protection hidden="1"/>
    </xf>
    <xf numFmtId="181" fontId="42" fillId="0" borderId="0" xfId="2" applyNumberFormat="1" applyFont="1" applyFill="1" applyBorder="1" applyAlignment="1" applyProtection="1">
      <alignment horizontal="center" vertical="center"/>
      <protection hidden="1"/>
    </xf>
    <xf numFmtId="0" fontId="3" fillId="0" borderId="0" xfId="4" applyFont="1" applyAlignment="1">
      <alignment vertical="center"/>
    </xf>
    <xf numFmtId="164" fontId="48" fillId="0" borderId="76" xfId="4" applyNumberFormat="1" applyFont="1" applyBorder="1" applyAlignment="1" applyProtection="1">
      <alignment horizontal="center" vertical="center"/>
      <protection hidden="1"/>
    </xf>
    <xf numFmtId="164" fontId="53" fillId="0" borderId="0" xfId="4" applyNumberFormat="1" applyFont="1" applyAlignment="1" applyProtection="1">
      <alignment horizontal="center" vertical="center"/>
      <protection hidden="1"/>
    </xf>
    <xf numFmtId="164" fontId="53" fillId="0" borderId="76" xfId="4" applyNumberFormat="1" applyFont="1" applyBorder="1" applyAlignment="1" applyProtection="1">
      <alignment horizontal="center" vertical="center"/>
      <protection hidden="1"/>
    </xf>
    <xf numFmtId="0" fontId="56" fillId="0" borderId="0" xfId="5" applyFont="1" applyAlignment="1">
      <alignment vertical="center"/>
    </xf>
    <xf numFmtId="0" fontId="64" fillId="0" borderId="0" xfId="0" applyFont="1" applyAlignment="1">
      <alignment horizontal="center" vertical="center"/>
    </xf>
    <xf numFmtId="0" fontId="65" fillId="45" borderId="0" xfId="5" applyFont="1" applyFill="1" applyAlignment="1">
      <alignment horizontal="center" vertical="center"/>
    </xf>
    <xf numFmtId="0" fontId="35" fillId="0" borderId="0" xfId="5" applyFont="1" applyAlignment="1">
      <alignment horizontal="left" vertical="center" indent="1"/>
    </xf>
    <xf numFmtId="173" fontId="56" fillId="0" borderId="0" xfId="6" applyNumberFormat="1" applyFont="1" applyAlignment="1">
      <alignment vertical="center"/>
    </xf>
    <xf numFmtId="173" fontId="60" fillId="47" borderId="0" xfId="6" applyNumberFormat="1" applyFont="1" applyFill="1" applyAlignment="1">
      <alignment horizontal="center" vertical="center"/>
    </xf>
    <xf numFmtId="0" fontId="35" fillId="0" borderId="6" xfId="5" applyFont="1" applyBorder="1" applyAlignment="1">
      <alignment horizontal="left" vertical="center" indent="1"/>
    </xf>
    <xf numFmtId="164" fontId="53" fillId="0" borderId="6" xfId="4" applyNumberFormat="1" applyFont="1" applyBorder="1" applyAlignment="1" applyProtection="1">
      <alignment horizontal="center" vertical="center"/>
      <protection hidden="1"/>
    </xf>
    <xf numFmtId="164" fontId="53" fillId="0" borderId="85" xfId="4" applyNumberFormat="1" applyFont="1" applyBorder="1" applyAlignment="1" applyProtection="1">
      <alignment horizontal="center" vertical="center"/>
      <protection hidden="1"/>
    </xf>
    <xf numFmtId="164" fontId="48" fillId="20" borderId="0" xfId="4" applyNumberFormat="1" applyFont="1" applyFill="1" applyAlignment="1" applyProtection="1">
      <alignment horizontal="center" vertical="center"/>
      <protection hidden="1"/>
    </xf>
    <xf numFmtId="164" fontId="48" fillId="61" borderId="0" xfId="4" applyNumberFormat="1" applyFont="1" applyFill="1" applyAlignment="1" applyProtection="1">
      <alignment horizontal="center" vertical="center"/>
      <protection hidden="1"/>
    </xf>
    <xf numFmtId="164" fontId="48" fillId="0" borderId="8" xfId="4" applyNumberFormat="1" applyFont="1" applyBorder="1" applyAlignment="1" applyProtection="1">
      <alignment horizontal="center" vertical="center"/>
      <protection hidden="1"/>
    </xf>
    <xf numFmtId="164" fontId="48" fillId="0" borderId="88" xfId="4" applyNumberFormat="1" applyFont="1" applyBorder="1" applyAlignment="1" applyProtection="1">
      <alignment horizontal="center" vertical="center"/>
      <protection hidden="1"/>
    </xf>
    <xf numFmtId="164" fontId="48" fillId="61" borderId="8" xfId="4" applyNumberFormat="1" applyFont="1" applyFill="1" applyBorder="1" applyAlignment="1" applyProtection="1">
      <alignment horizontal="center" vertical="center"/>
      <protection hidden="1"/>
    </xf>
    <xf numFmtId="182" fontId="33" fillId="0" borderId="0" xfId="4" applyNumberFormat="1" applyFont="1" applyAlignment="1">
      <alignment vertical="center"/>
    </xf>
    <xf numFmtId="0" fontId="66" fillId="0" borderId="0" xfId="5" applyFont="1" applyAlignment="1">
      <alignment horizontal="left" vertical="center"/>
    </xf>
    <xf numFmtId="164" fontId="53" fillId="61" borderId="0" xfId="4" applyNumberFormat="1" applyFont="1" applyFill="1" applyAlignment="1" applyProtection="1">
      <alignment horizontal="center" vertical="center"/>
      <protection hidden="1"/>
    </xf>
    <xf numFmtId="0" fontId="46" fillId="38" borderId="67" xfId="4" quotePrefix="1" applyFont="1" applyFill="1" applyBorder="1" applyAlignment="1" applyProtection="1">
      <alignment vertical="center"/>
      <protection hidden="1"/>
    </xf>
    <xf numFmtId="164" fontId="46" fillId="41" borderId="68" xfId="1" applyNumberFormat="1" applyFont="1" applyFill="1" applyBorder="1" applyAlignment="1" applyProtection="1">
      <alignment horizontal="center" vertical="center"/>
      <protection hidden="1"/>
    </xf>
    <xf numFmtId="164" fontId="46" fillId="41" borderId="86" xfId="1" quotePrefix="1" applyNumberFormat="1" applyFont="1" applyFill="1" applyBorder="1" applyAlignment="1" applyProtection="1">
      <alignment horizontal="center" vertical="center"/>
      <protection hidden="1"/>
    </xf>
    <xf numFmtId="164" fontId="46" fillId="41" borderId="67" xfId="1" quotePrefix="1" applyNumberFormat="1" applyFont="1" applyFill="1" applyBorder="1" applyAlignment="1" applyProtection="1">
      <alignment horizontal="center" vertical="center"/>
      <protection hidden="1"/>
    </xf>
    <xf numFmtId="164" fontId="18" fillId="66" borderId="71" xfId="1" quotePrefix="1" applyNumberFormat="1" applyFont="1" applyFill="1" applyBorder="1" applyAlignment="1" applyProtection="1">
      <alignment horizontal="center" vertical="center"/>
      <protection hidden="1"/>
    </xf>
    <xf numFmtId="164" fontId="18" fillId="66" borderId="87" xfId="1" quotePrefix="1" applyNumberFormat="1" applyFont="1" applyFill="1" applyBorder="1" applyAlignment="1" applyProtection="1">
      <alignment horizontal="center" vertical="center"/>
      <protection hidden="1"/>
    </xf>
    <xf numFmtId="164" fontId="18" fillId="66" borderId="73" xfId="1" quotePrefix="1" applyNumberFormat="1" applyFont="1" applyFill="1" applyBorder="1" applyAlignment="1" applyProtection="1">
      <alignment horizontal="center" vertical="center"/>
      <protection hidden="1"/>
    </xf>
    <xf numFmtId="0" fontId="67" fillId="0" borderId="0" xfId="4" applyFont="1"/>
    <xf numFmtId="0" fontId="68" fillId="0" borderId="0" xfId="4" applyFont="1"/>
    <xf numFmtId="0" fontId="69" fillId="0" borderId="0" xfId="4" applyFont="1" applyAlignment="1">
      <alignment horizontal="left" vertical="center" indent="2"/>
    </xf>
    <xf numFmtId="177" fontId="70" fillId="43" borderId="0" xfId="4" applyNumberFormat="1" applyFont="1" applyFill="1" applyAlignment="1" applyProtection="1">
      <alignment horizontal="right" vertical="center"/>
      <protection hidden="1"/>
    </xf>
    <xf numFmtId="183" fontId="69" fillId="0" borderId="0" xfId="2" applyNumberFormat="1" applyFont="1" applyFill="1" applyAlignment="1" applyProtection="1">
      <alignment horizontal="center" vertical="center"/>
      <protection hidden="1"/>
    </xf>
    <xf numFmtId="183" fontId="69" fillId="0" borderId="76" xfId="2" applyNumberFormat="1" applyFont="1" applyFill="1" applyBorder="1" applyAlignment="1" applyProtection="1">
      <alignment horizontal="center" vertical="center"/>
      <protection hidden="1"/>
    </xf>
    <xf numFmtId="0" fontId="67" fillId="43" borderId="0" xfId="4" applyFont="1" applyFill="1"/>
    <xf numFmtId="183" fontId="71" fillId="0" borderId="0" xfId="2" applyNumberFormat="1" applyFont="1" applyFill="1" applyBorder="1" applyAlignment="1" applyProtection="1">
      <alignment horizontal="center" vertical="center"/>
      <protection hidden="1"/>
    </xf>
    <xf numFmtId="183" fontId="71" fillId="0" borderId="76" xfId="2" applyNumberFormat="1" applyFont="1" applyFill="1" applyBorder="1" applyAlignment="1" applyProtection="1">
      <alignment horizontal="center" vertical="center"/>
      <protection hidden="1"/>
    </xf>
    <xf numFmtId="0" fontId="3" fillId="0" borderId="0" xfId="4" applyFont="1" applyAlignment="1">
      <alignment horizontal="left" vertical="center"/>
    </xf>
    <xf numFmtId="177" fontId="40" fillId="43" borderId="0" xfId="4" applyNumberFormat="1" applyFont="1" applyFill="1" applyAlignment="1" applyProtection="1">
      <alignment horizontal="center" vertical="center"/>
      <protection hidden="1"/>
    </xf>
    <xf numFmtId="164" fontId="72" fillId="20" borderId="0" xfId="2" applyNumberFormat="1" applyFont="1" applyFill="1" applyAlignment="1" applyProtection="1">
      <alignment horizontal="center" vertical="center"/>
      <protection hidden="1"/>
    </xf>
    <xf numFmtId="164" fontId="72" fillId="20" borderId="76" xfId="2" applyNumberFormat="1" applyFont="1" applyFill="1" applyBorder="1" applyAlignment="1" applyProtection="1">
      <alignment horizontal="center" vertical="center"/>
      <protection hidden="1"/>
    </xf>
    <xf numFmtId="164" fontId="72" fillId="0" borderId="76" xfId="2" applyNumberFormat="1" applyFont="1" applyBorder="1" applyAlignment="1" applyProtection="1">
      <alignment horizontal="center" vertical="center"/>
      <protection hidden="1"/>
    </xf>
    <xf numFmtId="164" fontId="72" fillId="0" borderId="0" xfId="2" applyNumberFormat="1" applyFont="1" applyAlignment="1" applyProtection="1">
      <alignment horizontal="center" vertical="center"/>
      <protection hidden="1"/>
    </xf>
    <xf numFmtId="164" fontId="72" fillId="61" borderId="0" xfId="2" applyNumberFormat="1" applyFont="1" applyFill="1" applyBorder="1" applyAlignment="1" applyProtection="1">
      <alignment horizontal="center" vertical="center"/>
      <protection hidden="1"/>
    </xf>
    <xf numFmtId="164" fontId="72" fillId="61" borderId="76" xfId="2" applyNumberFormat="1" applyFont="1" applyFill="1" applyBorder="1" applyAlignment="1" applyProtection="1">
      <alignment horizontal="center" vertical="center"/>
      <protection hidden="1"/>
    </xf>
    <xf numFmtId="164" fontId="72" fillId="0" borderId="76" xfId="2" applyNumberFormat="1" applyFont="1" applyFill="1" applyBorder="1" applyAlignment="1" applyProtection="1">
      <alignment horizontal="center" vertical="center"/>
      <protection hidden="1"/>
    </xf>
    <xf numFmtId="164" fontId="72" fillId="0" borderId="0" xfId="2" applyNumberFormat="1" applyFont="1" applyFill="1" applyBorder="1" applyAlignment="1" applyProtection="1">
      <alignment horizontal="center" vertical="center"/>
      <protection hidden="1"/>
    </xf>
    <xf numFmtId="0" fontId="65" fillId="45" borderId="0" xfId="5" applyFont="1" applyFill="1" applyAlignment="1" applyProtection="1">
      <alignment horizontal="center" vertical="center"/>
      <protection hidden="1"/>
    </xf>
    <xf numFmtId="0" fontId="73" fillId="67" borderId="0" xfId="5" applyFont="1" applyFill="1" applyAlignment="1">
      <alignment horizontal="left" vertical="center" indent="2"/>
    </xf>
    <xf numFmtId="164" fontId="74" fillId="0" borderId="76" xfId="4" applyNumberFormat="1" applyFont="1" applyBorder="1" applyAlignment="1" applyProtection="1">
      <alignment horizontal="center" vertical="center"/>
      <protection hidden="1"/>
    </xf>
    <xf numFmtId="164" fontId="74" fillId="0" borderId="0" xfId="4" applyNumberFormat="1" applyFont="1" applyAlignment="1" applyProtection="1">
      <alignment horizontal="center" vertical="center"/>
      <protection hidden="1"/>
    </xf>
    <xf numFmtId="164" fontId="75" fillId="0" borderId="0" xfId="4" applyNumberFormat="1" applyFont="1" applyAlignment="1" applyProtection="1">
      <alignment horizontal="center" vertical="center"/>
      <protection hidden="1"/>
    </xf>
    <xf numFmtId="164" fontId="75" fillId="0" borderId="76" xfId="4" applyNumberFormat="1" applyFont="1" applyBorder="1" applyAlignment="1" applyProtection="1">
      <alignment horizontal="center" vertical="center"/>
      <protection hidden="1"/>
    </xf>
    <xf numFmtId="0" fontId="73" fillId="0" borderId="0" xfId="5" applyFont="1" applyAlignment="1">
      <alignment horizontal="left" vertical="center" indent="2"/>
    </xf>
    <xf numFmtId="0" fontId="76" fillId="0" borderId="0" xfId="0" applyFont="1" applyAlignment="1">
      <alignment horizontal="center" vertical="center"/>
    </xf>
    <xf numFmtId="0" fontId="77" fillId="19" borderId="0" xfId="5" applyFont="1" applyFill="1" applyAlignment="1" applyProtection="1">
      <alignment horizontal="center" vertical="center"/>
      <protection hidden="1"/>
    </xf>
    <xf numFmtId="0" fontId="35" fillId="67" borderId="0" xfId="5" applyFont="1" applyFill="1" applyAlignment="1">
      <alignment horizontal="left" vertical="center" indent="1"/>
    </xf>
    <xf numFmtId="0" fontId="60" fillId="68" borderId="0" xfId="5" applyFont="1" applyFill="1" applyAlignment="1" applyProtection="1">
      <alignment horizontal="center" vertical="center"/>
      <protection hidden="1"/>
    </xf>
    <xf numFmtId="0" fontId="48" fillId="43" borderId="0" xfId="5" applyFont="1" applyFill="1" applyAlignment="1">
      <alignment horizontal="left" vertical="center" indent="1"/>
    </xf>
    <xf numFmtId="0" fontId="48" fillId="0" borderId="6" xfId="5" applyFont="1" applyBorder="1" applyAlignment="1">
      <alignment horizontal="left" vertical="center" indent="1"/>
    </xf>
    <xf numFmtId="164" fontId="48" fillId="20" borderId="76" xfId="4" applyNumberFormat="1" applyFont="1" applyFill="1" applyBorder="1" applyAlignment="1" applyProtection="1">
      <alignment horizontal="center" vertical="center"/>
      <protection hidden="1"/>
    </xf>
    <xf numFmtId="164" fontId="48" fillId="61" borderId="76" xfId="4" applyNumberFormat="1" applyFont="1" applyFill="1" applyBorder="1" applyAlignment="1" applyProtection="1">
      <alignment horizontal="center" vertical="center"/>
      <protection hidden="1"/>
    </xf>
    <xf numFmtId="164" fontId="48" fillId="61" borderId="88" xfId="4" applyNumberFormat="1" applyFont="1" applyFill="1" applyBorder="1" applyAlignment="1" applyProtection="1">
      <alignment horizontal="center" vertical="center"/>
      <protection hidden="1"/>
    </xf>
    <xf numFmtId="173" fontId="72" fillId="20" borderId="0" xfId="2" applyNumberFormat="1" applyFont="1" applyFill="1" applyAlignment="1" applyProtection="1">
      <alignment horizontal="center" vertical="center"/>
      <protection hidden="1"/>
    </xf>
    <xf numFmtId="173" fontId="72" fillId="20" borderId="76" xfId="2" applyNumberFormat="1" applyFont="1" applyFill="1" applyBorder="1" applyAlignment="1" applyProtection="1">
      <alignment horizontal="center" vertical="center"/>
      <protection hidden="1"/>
    </xf>
    <xf numFmtId="173" fontId="72" fillId="61" borderId="0" xfId="2" applyNumberFormat="1" applyFont="1" applyFill="1" applyBorder="1" applyAlignment="1" applyProtection="1">
      <alignment horizontal="center" vertical="center"/>
      <protection hidden="1"/>
    </xf>
    <xf numFmtId="173" fontId="72" fillId="61" borderId="76" xfId="2" applyNumberFormat="1" applyFont="1" applyFill="1" applyBorder="1" applyAlignment="1" applyProtection="1">
      <alignment horizontal="center" vertical="center"/>
      <protection hidden="1"/>
    </xf>
    <xf numFmtId="173" fontId="72" fillId="0" borderId="0" xfId="2" applyNumberFormat="1" applyFont="1" applyFill="1" applyBorder="1" applyAlignment="1" applyProtection="1">
      <alignment horizontal="center" vertical="center"/>
      <protection hidden="1"/>
    </xf>
    <xf numFmtId="183" fontId="69" fillId="0" borderId="0" xfId="2" applyNumberFormat="1" applyFont="1" applyAlignment="1" applyProtection="1">
      <alignment horizontal="center" vertical="center"/>
      <protection hidden="1"/>
    </xf>
    <xf numFmtId="183" fontId="69" fillId="0" borderId="76" xfId="2" applyNumberFormat="1" applyFont="1" applyBorder="1" applyAlignment="1" applyProtection="1">
      <alignment horizontal="center" vertical="center"/>
      <protection hidden="1"/>
    </xf>
    <xf numFmtId="0" fontId="48" fillId="0" borderId="0" xfId="5" applyFont="1" applyAlignment="1">
      <alignment horizontal="left" vertical="center" indent="1"/>
    </xf>
    <xf numFmtId="164" fontId="48" fillId="15" borderId="0" xfId="4" applyNumberFormat="1" applyFont="1" applyFill="1" applyAlignment="1" applyProtection="1">
      <alignment horizontal="center" vertical="center"/>
      <protection hidden="1"/>
    </xf>
    <xf numFmtId="0" fontId="48" fillId="46" borderId="0" xfId="5" applyFont="1" applyFill="1" applyAlignment="1">
      <alignment horizontal="left" vertical="center"/>
    </xf>
    <xf numFmtId="164" fontId="48" fillId="46" borderId="0" xfId="4" applyNumberFormat="1" applyFont="1" applyFill="1" applyAlignment="1" applyProtection="1">
      <alignment horizontal="center" vertical="center"/>
      <protection hidden="1"/>
    </xf>
    <xf numFmtId="164" fontId="48" fillId="46" borderId="76" xfId="4" applyNumberFormat="1" applyFont="1" applyFill="1" applyBorder="1" applyAlignment="1" applyProtection="1">
      <alignment horizontal="center" vertical="center"/>
      <protection hidden="1"/>
    </xf>
    <xf numFmtId="164" fontId="53" fillId="69" borderId="0" xfId="4" applyNumberFormat="1" applyFont="1" applyFill="1" applyAlignment="1" applyProtection="1">
      <alignment horizontal="center" vertical="center"/>
      <protection hidden="1"/>
    </xf>
    <xf numFmtId="164" fontId="53" fillId="69" borderId="76" xfId="4" applyNumberFormat="1" applyFont="1" applyFill="1" applyBorder="1" applyAlignment="1" applyProtection="1">
      <alignment horizontal="center" vertical="center"/>
      <protection hidden="1"/>
    </xf>
    <xf numFmtId="164" fontId="48" fillId="69" borderId="0" xfId="4" applyNumberFormat="1" applyFont="1" applyFill="1" applyAlignment="1" applyProtection="1">
      <alignment horizontal="center" vertical="center"/>
      <protection hidden="1"/>
    </xf>
    <xf numFmtId="0" fontId="33" fillId="0" borderId="76" xfId="4" applyFont="1" applyBorder="1"/>
    <xf numFmtId="0" fontId="23" fillId="0" borderId="76" xfId="4" applyBorder="1"/>
    <xf numFmtId="0" fontId="33" fillId="0" borderId="0" xfId="4" applyFont="1" applyAlignment="1">
      <alignment horizontal="left"/>
    </xf>
    <xf numFmtId="0" fontId="54" fillId="0" borderId="0" xfId="4" applyFont="1" applyAlignment="1">
      <alignment vertical="center"/>
    </xf>
    <xf numFmtId="0" fontId="54" fillId="0" borderId="0" xfId="5" applyFont="1" applyAlignment="1" applyProtection="1">
      <alignment vertical="center"/>
      <protection hidden="1"/>
    </xf>
    <xf numFmtId="0" fontId="78" fillId="0" borderId="0" xfId="4" applyFont="1" applyAlignment="1">
      <alignment vertical="center"/>
    </xf>
    <xf numFmtId="0" fontId="79" fillId="0" borderId="0" xfId="4" applyFont="1" applyAlignment="1">
      <alignment horizontal="left"/>
    </xf>
    <xf numFmtId="177" fontId="80" fillId="43" borderId="0" xfId="4" applyNumberFormat="1" applyFont="1" applyFill="1" applyAlignment="1" applyProtection="1">
      <alignment horizontal="center" vertical="center"/>
      <protection hidden="1"/>
    </xf>
    <xf numFmtId="184" fontId="79" fillId="20" borderId="0" xfId="4" applyNumberFormat="1" applyFont="1" applyFill="1" applyAlignment="1" applyProtection="1">
      <alignment horizontal="center" vertical="center"/>
      <protection hidden="1"/>
    </xf>
    <xf numFmtId="184" fontId="79" fillId="20" borderId="76" xfId="4" applyNumberFormat="1" applyFont="1" applyFill="1" applyBorder="1" applyAlignment="1" applyProtection="1">
      <alignment horizontal="center" vertical="center"/>
      <protection hidden="1"/>
    </xf>
    <xf numFmtId="184" fontId="79" fillId="0" borderId="0" xfId="4" applyNumberFormat="1" applyFont="1" applyAlignment="1" applyProtection="1">
      <alignment horizontal="center" vertical="center"/>
      <protection hidden="1"/>
    </xf>
    <xf numFmtId="0" fontId="54" fillId="43" borderId="0" xfId="4" applyFont="1" applyFill="1" applyAlignment="1">
      <alignment vertical="center"/>
    </xf>
    <xf numFmtId="184" fontId="81" fillId="61" borderId="0" xfId="4" applyNumberFormat="1" applyFont="1" applyFill="1" applyAlignment="1" applyProtection="1">
      <alignment horizontal="center" vertical="center"/>
      <protection hidden="1"/>
    </xf>
    <xf numFmtId="184" fontId="81" fillId="61" borderId="76" xfId="4" applyNumberFormat="1" applyFont="1" applyFill="1" applyBorder="1" applyAlignment="1" applyProtection="1">
      <alignment horizontal="center" vertical="center"/>
      <protection hidden="1"/>
    </xf>
    <xf numFmtId="184" fontId="82" fillId="0" borderId="0" xfId="4" applyNumberFormat="1" applyFont="1" applyAlignment="1" applyProtection="1">
      <alignment horizontal="center" vertical="center"/>
      <protection hidden="1"/>
    </xf>
    <xf numFmtId="164" fontId="18" fillId="66" borderId="87" xfId="1" applyNumberFormat="1" applyFont="1" applyFill="1" applyBorder="1" applyAlignment="1" applyProtection="1">
      <alignment horizontal="center" vertical="center"/>
      <protection hidden="1"/>
    </xf>
    <xf numFmtId="10" fontId="67" fillId="0" borderId="0" xfId="4" applyNumberFormat="1" applyFont="1"/>
    <xf numFmtId="0" fontId="66" fillId="0" borderId="0" xfId="5" applyFont="1" applyAlignment="1">
      <alignment vertical="center"/>
    </xf>
    <xf numFmtId="40" fontId="48" fillId="20" borderId="0" xfId="4" applyNumberFormat="1" applyFont="1" applyFill="1" applyAlignment="1" applyProtection="1">
      <alignment horizontal="center" vertical="center"/>
      <protection hidden="1"/>
    </xf>
    <xf numFmtId="40" fontId="48" fillId="20" borderId="76" xfId="4" applyNumberFormat="1" applyFont="1" applyFill="1" applyBorder="1" applyAlignment="1" applyProtection="1">
      <alignment horizontal="center" vertical="center"/>
      <protection hidden="1"/>
    </xf>
    <xf numFmtId="40" fontId="48" fillId="61" borderId="0" xfId="4" applyNumberFormat="1" applyFont="1" applyFill="1" applyAlignment="1" applyProtection="1">
      <alignment horizontal="center" vertical="center"/>
      <protection hidden="1"/>
    </xf>
    <xf numFmtId="40" fontId="48" fillId="61" borderId="76" xfId="4" applyNumberFormat="1" applyFont="1" applyFill="1" applyBorder="1" applyAlignment="1" applyProtection="1">
      <alignment horizontal="center" vertical="center"/>
      <protection hidden="1"/>
    </xf>
    <xf numFmtId="0" fontId="83" fillId="0" borderId="27" xfId="5" applyFont="1" applyBorder="1" applyAlignment="1">
      <alignment horizontal="left" vertical="center"/>
    </xf>
    <xf numFmtId="177" fontId="40" fillId="43" borderId="8" xfId="4" applyNumberFormat="1" applyFont="1" applyFill="1" applyBorder="1" applyAlignment="1" applyProtection="1">
      <alignment horizontal="right" vertical="center"/>
      <protection hidden="1"/>
    </xf>
    <xf numFmtId="164" fontId="83" fillId="20" borderId="8" xfId="4" applyNumberFormat="1" applyFont="1" applyFill="1" applyBorder="1" applyAlignment="1" applyProtection="1">
      <alignment horizontal="center" vertical="center"/>
      <protection hidden="1"/>
    </xf>
    <xf numFmtId="164" fontId="83" fillId="20" borderId="88" xfId="4" applyNumberFormat="1" applyFont="1" applyFill="1" applyBorder="1" applyAlignment="1" applyProtection="1">
      <alignment horizontal="center" vertical="center"/>
      <protection hidden="1"/>
    </xf>
    <xf numFmtId="164" fontId="83" fillId="20" borderId="26" xfId="4" applyNumberFormat="1" applyFont="1" applyFill="1" applyBorder="1" applyAlignment="1" applyProtection="1">
      <alignment horizontal="center" vertical="center"/>
      <protection hidden="1"/>
    </xf>
    <xf numFmtId="164" fontId="84" fillId="61" borderId="8" xfId="4" applyNumberFormat="1" applyFont="1" applyFill="1" applyBorder="1" applyAlignment="1" applyProtection="1">
      <alignment horizontal="center" vertical="center"/>
      <protection hidden="1"/>
    </xf>
    <xf numFmtId="164" fontId="84" fillId="61" borderId="88" xfId="4" applyNumberFormat="1" applyFont="1" applyFill="1" applyBorder="1" applyAlignment="1" applyProtection="1">
      <alignment horizontal="center" vertical="center"/>
      <protection hidden="1"/>
    </xf>
    <xf numFmtId="164" fontId="84" fillId="61" borderId="26" xfId="4" applyNumberFormat="1" applyFont="1" applyFill="1" applyBorder="1" applyAlignment="1" applyProtection="1">
      <alignment horizontal="center" vertical="center"/>
      <protection hidden="1"/>
    </xf>
    <xf numFmtId="164" fontId="84" fillId="0" borderId="0" xfId="4" applyNumberFormat="1" applyFont="1" applyAlignment="1" applyProtection="1">
      <alignment horizontal="center" vertical="center"/>
      <protection hidden="1"/>
    </xf>
    <xf numFmtId="0" fontId="56" fillId="0" borderId="29" xfId="5" applyFont="1" applyBorder="1" applyAlignment="1">
      <alignment horizontal="left" vertical="center"/>
    </xf>
    <xf numFmtId="164" fontId="83" fillId="20" borderId="0" xfId="4" applyNumberFormat="1" applyFont="1" applyFill="1" applyAlignment="1" applyProtection="1">
      <alignment horizontal="center" vertical="center"/>
      <protection hidden="1"/>
    </xf>
    <xf numFmtId="164" fontId="83" fillId="20" borderId="76" xfId="4" applyNumberFormat="1" applyFont="1" applyFill="1" applyBorder="1" applyAlignment="1" applyProtection="1">
      <alignment horizontal="center" vertical="center"/>
      <protection hidden="1"/>
    </xf>
    <xf numFmtId="164" fontId="83" fillId="20" borderId="28" xfId="4" applyNumberFormat="1" applyFont="1" applyFill="1" applyBorder="1" applyAlignment="1" applyProtection="1">
      <alignment horizontal="center" vertical="center"/>
      <protection hidden="1"/>
    </xf>
    <xf numFmtId="164" fontId="84" fillId="61" borderId="0" xfId="4" applyNumberFormat="1" applyFont="1" applyFill="1" applyAlignment="1" applyProtection="1">
      <alignment horizontal="center" vertical="center"/>
      <protection hidden="1"/>
    </xf>
    <xf numFmtId="164" fontId="84" fillId="61" borderId="76" xfId="4" applyNumberFormat="1" applyFont="1" applyFill="1" applyBorder="1" applyAlignment="1" applyProtection="1">
      <alignment horizontal="center" vertical="center"/>
      <protection hidden="1"/>
    </xf>
    <xf numFmtId="164" fontId="84" fillId="61" borderId="28" xfId="4" applyNumberFormat="1" applyFont="1" applyFill="1" applyBorder="1" applyAlignment="1" applyProtection="1">
      <alignment horizontal="center" vertical="center"/>
      <protection hidden="1"/>
    </xf>
    <xf numFmtId="0" fontId="56" fillId="0" borderId="29" xfId="5" applyFont="1" applyBorder="1" applyAlignment="1">
      <alignment horizontal="left" vertical="center" indent="1"/>
    </xf>
    <xf numFmtId="164" fontId="83" fillId="15" borderId="0" xfId="4" applyNumberFormat="1" applyFont="1" applyFill="1" applyAlignment="1" applyProtection="1">
      <alignment horizontal="center" vertical="center"/>
      <protection hidden="1"/>
    </xf>
    <xf numFmtId="0" fontId="85" fillId="0" borderId="22" xfId="5" applyFont="1" applyBorder="1" applyAlignment="1">
      <alignment vertical="center"/>
    </xf>
    <xf numFmtId="177" fontId="40" fillId="43" borderId="6" xfId="4" applyNumberFormat="1" applyFont="1" applyFill="1" applyBorder="1" applyAlignment="1" applyProtection="1">
      <alignment horizontal="right" vertical="center"/>
      <protection hidden="1"/>
    </xf>
    <xf numFmtId="181" fontId="83" fillId="20" borderId="6" xfId="2" applyNumberFormat="1" applyFont="1" applyFill="1" applyBorder="1" applyAlignment="1" applyProtection="1">
      <alignment horizontal="center" vertical="center"/>
      <protection hidden="1"/>
    </xf>
    <xf numFmtId="181" fontId="83" fillId="20" borderId="85" xfId="2" applyNumberFormat="1" applyFont="1" applyFill="1" applyBorder="1" applyAlignment="1" applyProtection="1">
      <alignment horizontal="center" vertical="center"/>
      <protection hidden="1"/>
    </xf>
    <xf numFmtId="181" fontId="83" fillId="20" borderId="21" xfId="2" applyNumberFormat="1" applyFont="1" applyFill="1" applyBorder="1" applyAlignment="1" applyProtection="1">
      <alignment horizontal="center" vertical="center"/>
      <protection hidden="1"/>
    </xf>
    <xf numFmtId="181" fontId="84" fillId="61" borderId="6" xfId="2" applyNumberFormat="1" applyFont="1" applyFill="1" applyBorder="1" applyAlignment="1" applyProtection="1">
      <alignment horizontal="center" vertical="center"/>
      <protection hidden="1"/>
    </xf>
    <xf numFmtId="181" fontId="84" fillId="61" borderId="85" xfId="2" applyNumberFormat="1" applyFont="1" applyFill="1" applyBorder="1" applyAlignment="1" applyProtection="1">
      <alignment horizontal="center" vertical="center"/>
      <protection hidden="1"/>
    </xf>
    <xf numFmtId="181" fontId="84" fillId="61" borderId="21" xfId="2" applyNumberFormat="1" applyFont="1" applyFill="1" applyBorder="1" applyAlignment="1" applyProtection="1">
      <alignment horizontal="center" vertical="center"/>
      <protection hidden="1"/>
    </xf>
    <xf numFmtId="181" fontId="84" fillId="0" borderId="0" xfId="2" applyNumberFormat="1" applyFont="1" applyFill="1" applyBorder="1" applyAlignment="1" applyProtection="1">
      <alignment horizontal="center" vertical="center"/>
      <protection hidden="1"/>
    </xf>
    <xf numFmtId="0" fontId="86" fillId="0" borderId="0" xfId="0" applyFont="1"/>
    <xf numFmtId="0" fontId="85" fillId="0" borderId="0" xfId="5" applyFont="1" applyAlignment="1">
      <alignment vertical="center"/>
    </xf>
    <xf numFmtId="181" fontId="83" fillId="20" borderId="0" xfId="2" applyNumberFormat="1" applyFont="1" applyFill="1" applyBorder="1" applyAlignment="1" applyProtection="1">
      <alignment horizontal="center" vertical="center"/>
      <protection hidden="1"/>
    </xf>
    <xf numFmtId="181" fontId="83" fillId="20" borderId="76" xfId="2" applyNumberFormat="1" applyFont="1" applyFill="1" applyBorder="1" applyAlignment="1" applyProtection="1">
      <alignment horizontal="center" vertical="center"/>
      <protection hidden="1"/>
    </xf>
    <xf numFmtId="181" fontId="84" fillId="61" borderId="0" xfId="2" applyNumberFormat="1" applyFont="1" applyFill="1" applyBorder="1" applyAlignment="1" applyProtection="1">
      <alignment horizontal="center" vertical="center"/>
      <protection hidden="1"/>
    </xf>
    <xf numFmtId="181" fontId="84" fillId="61" borderId="76" xfId="2" applyNumberFormat="1" applyFont="1" applyFill="1" applyBorder="1" applyAlignment="1" applyProtection="1">
      <alignment horizontal="center" vertical="center"/>
      <protection hidden="1"/>
    </xf>
    <xf numFmtId="0" fontId="87" fillId="0" borderId="0" xfId="0" applyFont="1"/>
    <xf numFmtId="181" fontId="83" fillId="20" borderId="0" xfId="2" applyNumberFormat="1" applyFont="1" applyFill="1" applyAlignment="1" applyProtection="1">
      <alignment horizontal="center" vertical="center"/>
      <protection hidden="1"/>
    </xf>
    <xf numFmtId="0" fontId="33" fillId="0" borderId="76" xfId="4" applyFont="1" applyBorder="1" applyAlignment="1">
      <alignment vertical="center"/>
    </xf>
    <xf numFmtId="0" fontId="66" fillId="0" borderId="0" xfId="4" applyFont="1" applyAlignment="1" applyProtection="1">
      <alignment vertical="center"/>
      <protection hidden="1"/>
    </xf>
    <xf numFmtId="164" fontId="88" fillId="0" borderId="76" xfId="4" applyNumberFormat="1" applyFont="1" applyBorder="1" applyAlignment="1" applyProtection="1">
      <alignment horizontal="center" vertical="center"/>
      <protection hidden="1"/>
    </xf>
    <xf numFmtId="164" fontId="88" fillId="0" borderId="0" xfId="4" applyNumberFormat="1" applyFont="1" applyAlignment="1" applyProtection="1">
      <alignment horizontal="center" vertical="center"/>
      <protection hidden="1"/>
    </xf>
    <xf numFmtId="0" fontId="66" fillId="46" borderId="0" xfId="4" applyFont="1" applyFill="1" applyAlignment="1" applyProtection="1">
      <alignment vertical="center"/>
      <protection hidden="1"/>
    </xf>
    <xf numFmtId="0" fontId="89" fillId="20" borderId="0" xfId="4" applyFont="1" applyFill="1"/>
    <xf numFmtId="0" fontId="3" fillId="20" borderId="0" xfId="4" applyFont="1" applyFill="1" applyAlignment="1">
      <alignment horizontal="center"/>
    </xf>
    <xf numFmtId="185" fontId="48" fillId="57" borderId="0" xfId="7" applyNumberFormat="1" applyFont="1" applyFill="1" applyAlignment="1" applyProtection="1">
      <alignment horizontal="center" vertical="center"/>
      <protection hidden="1"/>
    </xf>
    <xf numFmtId="164" fontId="90" fillId="57" borderId="0" xfId="7" applyNumberFormat="1" applyFont="1" applyFill="1" applyAlignment="1" applyProtection="1">
      <alignment horizontal="center" vertical="center"/>
      <protection hidden="1"/>
    </xf>
    <xf numFmtId="164" fontId="90" fillId="57" borderId="76" xfId="7" applyNumberFormat="1" applyFont="1" applyFill="1" applyBorder="1" applyAlignment="1" applyProtection="1">
      <alignment horizontal="center" vertical="center"/>
      <protection hidden="1"/>
    </xf>
    <xf numFmtId="164" fontId="63" fillId="0" borderId="0" xfId="4" applyNumberFormat="1" applyFont="1" applyAlignment="1" applyProtection="1">
      <alignment horizontal="center" vertical="center"/>
      <protection hidden="1"/>
    </xf>
    <xf numFmtId="164" fontId="63" fillId="0" borderId="76" xfId="4" applyNumberFormat="1" applyFont="1" applyBorder="1" applyAlignment="1" applyProtection="1">
      <alignment horizontal="center" vertical="center"/>
      <protection hidden="1"/>
    </xf>
    <xf numFmtId="0" fontId="91" fillId="0" borderId="0" xfId="5" applyFont="1" applyAlignment="1" applyProtection="1">
      <alignment vertical="center"/>
      <protection hidden="1"/>
    </xf>
    <xf numFmtId="0" fontId="91" fillId="70" borderId="0" xfId="5" applyFont="1" applyFill="1" applyAlignment="1" applyProtection="1">
      <alignment vertical="center"/>
      <protection hidden="1"/>
    </xf>
    <xf numFmtId="0" fontId="23" fillId="70" borderId="0" xfId="4" applyFill="1" applyAlignment="1">
      <alignment vertical="center"/>
    </xf>
    <xf numFmtId="164" fontId="92" fillId="0" borderId="0" xfId="4" applyNumberFormat="1" applyFont="1" applyAlignment="1" applyProtection="1">
      <alignment horizontal="center" vertical="center"/>
      <protection hidden="1"/>
    </xf>
    <xf numFmtId="164" fontId="92" fillId="0" borderId="76" xfId="4" applyNumberFormat="1" applyFont="1" applyBorder="1" applyAlignment="1" applyProtection="1">
      <alignment horizontal="center" vertical="center"/>
      <protection hidden="1"/>
    </xf>
    <xf numFmtId="185" fontId="48" fillId="71" borderId="0" xfId="7" applyNumberFormat="1" applyFont="1" applyFill="1" applyAlignment="1" applyProtection="1">
      <alignment horizontal="center" vertical="center"/>
      <protection hidden="1"/>
    </xf>
    <xf numFmtId="164" fontId="90" fillId="71" borderId="0" xfId="7" applyNumberFormat="1" applyFont="1" applyFill="1" applyAlignment="1" applyProtection="1">
      <alignment horizontal="center" vertical="center"/>
      <protection hidden="1"/>
    </xf>
    <xf numFmtId="164" fontId="90" fillId="71" borderId="76" xfId="7" applyNumberFormat="1" applyFont="1" applyFill="1" applyBorder="1" applyAlignment="1" applyProtection="1">
      <alignment horizontal="center" vertical="center"/>
      <protection hidden="1"/>
    </xf>
    <xf numFmtId="185" fontId="48" fillId="70" borderId="0" xfId="7" applyNumberFormat="1" applyFont="1" applyFill="1" applyAlignment="1" applyProtection="1">
      <alignment horizontal="center" vertical="center"/>
      <protection hidden="1"/>
    </xf>
    <xf numFmtId="164" fontId="90" fillId="70" borderId="0" xfId="7" applyNumberFormat="1" applyFont="1" applyFill="1" applyAlignment="1" applyProtection="1">
      <alignment horizontal="center" vertical="center"/>
      <protection hidden="1"/>
    </xf>
    <xf numFmtId="164" fontId="90" fillId="70" borderId="76" xfId="7" applyNumberFormat="1" applyFont="1" applyFill="1" applyBorder="1" applyAlignment="1" applyProtection="1">
      <alignment horizontal="center" vertical="center"/>
      <protection hidden="1"/>
    </xf>
    <xf numFmtId="38" fontId="93" fillId="20" borderId="0" xfId="4" applyNumberFormat="1" applyFont="1" applyFill="1" applyAlignment="1" applyProtection="1">
      <alignment horizontal="center" vertical="center"/>
      <protection hidden="1"/>
    </xf>
    <xf numFmtId="38" fontId="93" fillId="20" borderId="76" xfId="4" applyNumberFormat="1" applyFont="1" applyFill="1" applyBorder="1" applyAlignment="1" applyProtection="1">
      <alignment horizontal="center" vertical="center"/>
      <protection hidden="1"/>
    </xf>
    <xf numFmtId="0" fontId="48" fillId="0" borderId="0" xfId="4" applyFont="1" applyAlignment="1" applyProtection="1">
      <alignment vertical="center"/>
      <protection hidden="1"/>
    </xf>
    <xf numFmtId="9" fontId="94" fillId="43" borderId="0" xfId="2" applyFont="1" applyFill="1" applyAlignment="1" applyProtection="1">
      <alignment vertical="center"/>
      <protection hidden="1"/>
    </xf>
    <xf numFmtId="0" fontId="35" fillId="72" borderId="0" xfId="4" applyFont="1" applyFill="1" applyAlignment="1">
      <alignment horizontal="center" vertical="center" wrapText="1"/>
    </xf>
    <xf numFmtId="164" fontId="35" fillId="72" borderId="0" xfId="4" applyNumberFormat="1" applyFont="1" applyFill="1" applyAlignment="1">
      <alignment horizontal="center" vertical="center" wrapText="1"/>
    </xf>
    <xf numFmtId="164" fontId="35" fillId="72" borderId="76" xfId="4" applyNumberFormat="1" applyFont="1" applyFill="1" applyBorder="1" applyAlignment="1">
      <alignment horizontal="center" vertical="center" wrapText="1"/>
    </xf>
    <xf numFmtId="0" fontId="35" fillId="73" borderId="0" xfId="4" applyFont="1" applyFill="1" applyAlignment="1">
      <alignment horizontal="center" vertical="center" wrapText="1"/>
    </xf>
    <xf numFmtId="164" fontId="35" fillId="73" borderId="0" xfId="4" applyNumberFormat="1" applyFont="1" applyFill="1" applyAlignment="1">
      <alignment horizontal="center" vertical="center" wrapText="1"/>
    </xf>
    <xf numFmtId="164" fontId="35" fillId="73" borderId="76" xfId="4" applyNumberFormat="1" applyFont="1" applyFill="1" applyBorder="1" applyAlignment="1">
      <alignment horizontal="center" vertical="center" wrapText="1"/>
    </xf>
    <xf numFmtId="0" fontId="35" fillId="74" borderId="0" xfId="4" applyFont="1" applyFill="1" applyAlignment="1">
      <alignment horizontal="center" vertical="center" wrapText="1"/>
    </xf>
    <xf numFmtId="164" fontId="35" fillId="74" borderId="0" xfId="4" applyNumberFormat="1" applyFont="1" applyFill="1" applyAlignment="1">
      <alignment horizontal="center" vertical="center" wrapText="1"/>
    </xf>
    <xf numFmtId="164" fontId="35" fillId="74" borderId="76" xfId="4" applyNumberFormat="1" applyFont="1" applyFill="1" applyBorder="1" applyAlignment="1">
      <alignment horizontal="center" vertical="center" wrapText="1"/>
    </xf>
    <xf numFmtId="0" fontId="35" fillId="75" borderId="0" xfId="4" applyFont="1" applyFill="1" applyAlignment="1">
      <alignment horizontal="center" vertical="center" wrapText="1"/>
    </xf>
    <xf numFmtId="164" fontId="35" fillId="75" borderId="0" xfId="4" applyNumberFormat="1" applyFont="1" applyFill="1" applyAlignment="1">
      <alignment horizontal="center" vertical="center" wrapText="1"/>
    </xf>
    <xf numFmtId="164" fontId="35" fillId="75" borderId="76" xfId="4" applyNumberFormat="1" applyFont="1" applyFill="1" applyBorder="1" applyAlignment="1">
      <alignment horizontal="center" vertical="center" wrapText="1"/>
    </xf>
    <xf numFmtId="9" fontId="58" fillId="72" borderId="0" xfId="2" applyFont="1" applyFill="1" applyAlignment="1">
      <alignment horizontal="center" vertical="center" wrapText="1"/>
    </xf>
    <xf numFmtId="9" fontId="35" fillId="72" borderId="0" xfId="2" applyFont="1" applyFill="1" applyAlignment="1">
      <alignment horizontal="center" vertical="center" wrapText="1"/>
    </xf>
    <xf numFmtId="186" fontId="35" fillId="72" borderId="0" xfId="4" applyNumberFormat="1" applyFont="1" applyFill="1" applyAlignment="1">
      <alignment horizontal="center" vertical="center" wrapText="1"/>
    </xf>
    <xf numFmtId="186" fontId="35" fillId="72" borderId="76" xfId="4" applyNumberFormat="1" applyFont="1" applyFill="1" applyBorder="1" applyAlignment="1">
      <alignment horizontal="center" vertical="center" wrapText="1"/>
    </xf>
    <xf numFmtId="9" fontId="58" fillId="73" borderId="0" xfId="2" applyFont="1" applyFill="1" applyAlignment="1">
      <alignment horizontal="center" vertical="center" wrapText="1"/>
    </xf>
    <xf numFmtId="9" fontId="35" fillId="73" borderId="0" xfId="2" applyFont="1" applyFill="1" applyAlignment="1">
      <alignment horizontal="center" vertical="center" wrapText="1"/>
    </xf>
    <xf numFmtId="186" fontId="35" fillId="73" borderId="0" xfId="4" applyNumberFormat="1" applyFont="1" applyFill="1" applyAlignment="1">
      <alignment horizontal="center" vertical="center" wrapText="1"/>
    </xf>
    <xf numFmtId="186" fontId="35" fillId="73" borderId="76" xfId="4" applyNumberFormat="1" applyFont="1" applyFill="1" applyBorder="1" applyAlignment="1">
      <alignment horizontal="center" vertical="center" wrapText="1"/>
    </xf>
    <xf numFmtId="9" fontId="58" fillId="74" borderId="0" xfId="2" applyFont="1" applyFill="1" applyAlignment="1">
      <alignment horizontal="center" vertical="center" wrapText="1"/>
    </xf>
    <xf numFmtId="9" fontId="35" fillId="74" borderId="0" xfId="2" applyFont="1" applyFill="1" applyAlignment="1">
      <alignment horizontal="center" vertical="center" wrapText="1"/>
    </xf>
    <xf numFmtId="186" fontId="35" fillId="74" borderId="0" xfId="4" applyNumberFormat="1" applyFont="1" applyFill="1" applyAlignment="1">
      <alignment horizontal="center" vertical="center" wrapText="1"/>
    </xf>
    <xf numFmtId="186" fontId="35" fillId="74" borderId="76" xfId="4" applyNumberFormat="1" applyFont="1" applyFill="1" applyBorder="1" applyAlignment="1">
      <alignment horizontal="center" vertical="center" wrapText="1"/>
    </xf>
    <xf numFmtId="9" fontId="58" fillId="75" borderId="0" xfId="2" applyFont="1" applyFill="1" applyAlignment="1">
      <alignment horizontal="center" vertical="center" wrapText="1"/>
    </xf>
    <xf numFmtId="9" fontId="35" fillId="75" borderId="0" xfId="2" applyFont="1" applyFill="1" applyAlignment="1">
      <alignment horizontal="center" vertical="center" wrapText="1"/>
    </xf>
    <xf numFmtId="186" fontId="35" fillId="75" borderId="0" xfId="4" applyNumberFormat="1" applyFont="1" applyFill="1" applyAlignment="1">
      <alignment horizontal="center" vertical="center" wrapText="1"/>
    </xf>
    <xf numFmtId="186" fontId="35" fillId="75" borderId="76" xfId="4" applyNumberFormat="1" applyFont="1" applyFill="1" applyBorder="1" applyAlignment="1">
      <alignment horizontal="center" vertical="center" wrapText="1"/>
    </xf>
    <xf numFmtId="176" fontId="40" fillId="43" borderId="0" xfId="4" applyNumberFormat="1" applyFont="1" applyFill="1" applyAlignment="1" applyProtection="1">
      <alignment horizontal="right" vertical="center"/>
      <protection hidden="1"/>
    </xf>
    <xf numFmtId="0" fontId="33" fillId="44" borderId="89" xfId="4" applyFont="1" applyFill="1" applyBorder="1"/>
    <xf numFmtId="38" fontId="49" fillId="43" borderId="0" xfId="4" applyNumberFormat="1" applyFont="1" applyFill="1" applyAlignment="1" applyProtection="1">
      <alignment vertical="center"/>
      <protection hidden="1"/>
    </xf>
    <xf numFmtId="38" fontId="3" fillId="46" borderId="0" xfId="1" applyNumberFormat="1" applyFont="1" applyFill="1" applyBorder="1" applyAlignment="1">
      <alignment horizontal="center" vertical="center"/>
    </xf>
    <xf numFmtId="38" fontId="3" fillId="46" borderId="76" xfId="1" applyNumberFormat="1" applyFont="1" applyFill="1" applyBorder="1" applyAlignment="1">
      <alignment horizontal="center" vertical="center"/>
    </xf>
    <xf numFmtId="0" fontId="95" fillId="0" borderId="0" xfId="4" applyFont="1"/>
    <xf numFmtId="176" fontId="33" fillId="0" borderId="0" xfId="4" applyNumberFormat="1" applyFont="1"/>
    <xf numFmtId="176" fontId="33" fillId="0" borderId="76" xfId="4" applyNumberFormat="1" applyFont="1" applyBorder="1"/>
    <xf numFmtId="0" fontId="46" fillId="34" borderId="86" xfId="4" quotePrefix="1" applyFont="1" applyFill="1" applyBorder="1" applyAlignment="1" applyProtection="1">
      <alignment horizontal="center" vertical="center" shrinkToFit="1"/>
      <protection hidden="1"/>
    </xf>
    <xf numFmtId="178" fontId="96" fillId="0" borderId="0" xfId="4" applyNumberFormat="1" applyFont="1" applyAlignment="1">
      <alignment horizontal="center" vertical="center"/>
    </xf>
    <xf numFmtId="38" fontId="48" fillId="0" borderId="24" xfId="4" applyNumberFormat="1" applyFont="1" applyBorder="1" applyAlignment="1" applyProtection="1">
      <alignment horizontal="center" vertical="center"/>
      <protection hidden="1"/>
    </xf>
    <xf numFmtId="0" fontId="97" fillId="34" borderId="90" xfId="4" applyFont="1" applyFill="1" applyBorder="1" applyAlignment="1" applyProtection="1">
      <alignment vertical="center"/>
      <protection hidden="1"/>
    </xf>
    <xf numFmtId="38" fontId="36" fillId="0" borderId="91" xfId="4" applyNumberFormat="1" applyFont="1" applyBorder="1" applyAlignment="1">
      <alignment vertical="center"/>
    </xf>
    <xf numFmtId="38" fontId="36" fillId="0" borderId="92" xfId="4" applyNumberFormat="1" applyFont="1" applyBorder="1" applyAlignment="1">
      <alignment vertical="center"/>
    </xf>
    <xf numFmtId="38" fontId="33" fillId="0" borderId="92" xfId="4" applyNumberFormat="1" applyFont="1" applyBorder="1"/>
    <xf numFmtId="38" fontId="33" fillId="0" borderId="91" xfId="4" applyNumberFormat="1" applyFont="1" applyBorder="1"/>
    <xf numFmtId="38" fontId="33" fillId="0" borderId="93" xfId="4" applyNumberFormat="1" applyFont="1" applyBorder="1"/>
    <xf numFmtId="0" fontId="98" fillId="0" borderId="94" xfId="4" applyFont="1" applyBorder="1" applyAlignment="1" applyProtection="1">
      <alignment vertical="center"/>
      <protection hidden="1"/>
    </xf>
    <xf numFmtId="38" fontId="98" fillId="46" borderId="0" xfId="4" applyNumberFormat="1" applyFont="1" applyFill="1" applyAlignment="1" applyProtection="1">
      <alignment horizontal="center" vertical="center"/>
      <protection hidden="1"/>
    </xf>
    <xf numFmtId="38" fontId="98" fillId="46" borderId="76" xfId="4" applyNumberFormat="1" applyFont="1" applyFill="1" applyBorder="1" applyAlignment="1" applyProtection="1">
      <alignment horizontal="center" vertical="center"/>
      <protection hidden="1"/>
    </xf>
    <xf numFmtId="38" fontId="98" fillId="46" borderId="95" xfId="4" applyNumberFormat="1" applyFont="1" applyFill="1" applyBorder="1" applyAlignment="1" applyProtection="1">
      <alignment horizontal="center" vertical="center"/>
      <protection hidden="1"/>
    </xf>
    <xf numFmtId="0" fontId="95" fillId="0" borderId="94" xfId="4" applyFont="1" applyBorder="1" applyAlignment="1" applyProtection="1">
      <alignment vertical="center"/>
      <protection hidden="1"/>
    </xf>
    <xf numFmtId="38" fontId="99" fillId="43" borderId="0" xfId="4" applyNumberFormat="1" applyFont="1" applyFill="1" applyAlignment="1" applyProtection="1">
      <alignment vertical="center"/>
      <protection hidden="1"/>
    </xf>
    <xf numFmtId="38" fontId="95" fillId="46" borderId="0" xfId="4" applyNumberFormat="1" applyFont="1" applyFill="1" applyAlignment="1" applyProtection="1">
      <alignment horizontal="center" vertical="center"/>
      <protection hidden="1"/>
    </xf>
    <xf numFmtId="38" fontId="95" fillId="46" borderId="76" xfId="4" applyNumberFormat="1" applyFont="1" applyFill="1" applyBorder="1" applyAlignment="1" applyProtection="1">
      <alignment horizontal="center" vertical="center"/>
      <protection hidden="1"/>
    </xf>
    <xf numFmtId="38" fontId="95" fillId="46" borderId="95" xfId="4" applyNumberFormat="1" applyFont="1" applyFill="1" applyBorder="1" applyAlignment="1" applyProtection="1">
      <alignment horizontal="center" vertical="center"/>
      <protection hidden="1"/>
    </xf>
    <xf numFmtId="0" fontId="95" fillId="43" borderId="0" xfId="4" applyFont="1" applyFill="1"/>
    <xf numFmtId="0" fontId="95" fillId="0" borderId="76" xfId="4" applyFont="1" applyBorder="1"/>
    <xf numFmtId="0" fontId="48" fillId="0" borderId="94" xfId="4" applyFont="1" applyBorder="1" applyProtection="1">
      <protection hidden="1"/>
    </xf>
    <xf numFmtId="38" fontId="49" fillId="43" borderId="0" xfId="4" applyNumberFormat="1" applyFont="1" applyFill="1" applyProtection="1">
      <protection hidden="1"/>
    </xf>
    <xf numFmtId="178" fontId="48" fillId="46" borderId="0" xfId="4" applyNumberFormat="1" applyFont="1" applyFill="1" applyAlignment="1" applyProtection="1">
      <alignment horizontal="center"/>
      <protection hidden="1"/>
    </xf>
    <xf numFmtId="178" fontId="48" fillId="46" borderId="76" xfId="4" applyNumberFormat="1" applyFont="1" applyFill="1" applyBorder="1" applyAlignment="1" applyProtection="1">
      <alignment horizontal="center"/>
      <protection hidden="1"/>
    </xf>
    <xf numFmtId="178" fontId="48" fillId="46" borderId="95" xfId="4" applyNumberFormat="1" applyFont="1" applyFill="1" applyBorder="1" applyAlignment="1" applyProtection="1">
      <alignment horizontal="center"/>
      <protection hidden="1"/>
    </xf>
    <xf numFmtId="0" fontId="100" fillId="0" borderId="0" xfId="4" applyFont="1"/>
    <xf numFmtId="178" fontId="38" fillId="0" borderId="0" xfId="4" applyNumberFormat="1" applyFont="1" applyAlignment="1">
      <alignment horizontal="center" vertical="center"/>
    </xf>
    <xf numFmtId="178" fontId="101" fillId="67" borderId="94" xfId="4" applyNumberFormat="1" applyFont="1" applyFill="1" applyBorder="1" applyAlignment="1" applyProtection="1">
      <alignment horizontal="center" vertical="center"/>
      <protection hidden="1"/>
    </xf>
    <xf numFmtId="178" fontId="102" fillId="43" borderId="0" xfId="4" applyNumberFormat="1" applyFont="1" applyFill="1" applyAlignment="1" applyProtection="1">
      <alignment horizontal="center" vertical="center"/>
      <protection hidden="1"/>
    </xf>
    <xf numFmtId="178" fontId="43" fillId="67" borderId="0" xfId="4" applyNumberFormat="1" applyFont="1" applyFill="1" applyAlignment="1">
      <alignment horizontal="center" vertical="center"/>
    </xf>
    <xf numFmtId="178" fontId="43" fillId="67" borderId="76" xfId="4" applyNumberFormat="1" applyFont="1" applyFill="1" applyBorder="1" applyAlignment="1">
      <alignment horizontal="center" vertical="center"/>
    </xf>
    <xf numFmtId="178" fontId="43" fillId="0" borderId="0" xfId="4" applyNumberFormat="1" applyFont="1" applyAlignment="1">
      <alignment horizontal="center" vertical="center"/>
    </xf>
    <xf numFmtId="178" fontId="43" fillId="43" borderId="0" xfId="4" applyNumberFormat="1" applyFont="1" applyFill="1" applyAlignment="1">
      <alignment horizontal="center" vertical="center"/>
    </xf>
    <xf numFmtId="178" fontId="43" fillId="0" borderId="76" xfId="4" applyNumberFormat="1" applyFont="1" applyBorder="1" applyAlignment="1">
      <alignment horizontal="center" vertical="center"/>
    </xf>
    <xf numFmtId="0" fontId="33" fillId="0" borderId="94" xfId="4" applyFont="1" applyBorder="1"/>
    <xf numFmtId="38" fontId="33" fillId="0" borderId="0" xfId="4" applyNumberFormat="1" applyFont="1"/>
    <xf numFmtId="38" fontId="33" fillId="0" borderId="76" xfId="4" applyNumberFormat="1" applyFont="1" applyBorder="1"/>
    <xf numFmtId="38" fontId="33" fillId="0" borderId="95" xfId="4" applyNumberFormat="1" applyFont="1" applyBorder="1"/>
    <xf numFmtId="0" fontId="48" fillId="0" borderId="0" xfId="4" applyFont="1"/>
    <xf numFmtId="0" fontId="48" fillId="0" borderId="94" xfId="4" applyFont="1" applyBorder="1" applyAlignment="1" applyProtection="1">
      <alignment vertical="center"/>
      <protection hidden="1"/>
    </xf>
    <xf numFmtId="38" fontId="3" fillId="0" borderId="0" xfId="1" applyNumberFormat="1" applyFont="1" applyBorder="1" applyAlignment="1">
      <alignment horizontal="center" vertical="center"/>
    </xf>
    <xf numFmtId="38" fontId="3" fillId="0" borderId="76" xfId="1" applyNumberFormat="1" applyFont="1" applyBorder="1" applyAlignment="1">
      <alignment horizontal="center" vertical="center"/>
    </xf>
    <xf numFmtId="38" fontId="3" fillId="0" borderId="95" xfId="1" applyNumberFormat="1" applyFont="1" applyBorder="1" applyAlignment="1">
      <alignment horizontal="center" vertical="center"/>
    </xf>
    <xf numFmtId="0" fontId="103" fillId="0" borderId="0" xfId="4" applyFont="1"/>
    <xf numFmtId="0" fontId="48" fillId="0" borderId="94" xfId="4" applyFont="1" applyBorder="1" applyAlignment="1" applyProtection="1">
      <alignment horizontal="center" vertical="center"/>
      <protection hidden="1"/>
    </xf>
    <xf numFmtId="38" fontId="33" fillId="0" borderId="8" xfId="4" applyNumberFormat="1" applyFont="1" applyBorder="1" applyAlignment="1">
      <alignment horizontal="center" vertical="top"/>
    </xf>
    <xf numFmtId="38" fontId="33" fillId="0" borderId="88" xfId="4" applyNumberFormat="1" applyFont="1" applyBorder="1" applyAlignment="1">
      <alignment horizontal="center" vertical="top"/>
    </xf>
    <xf numFmtId="38" fontId="33" fillId="0" borderId="96" xfId="4" applyNumberFormat="1" applyFont="1" applyBorder="1" applyAlignment="1">
      <alignment horizontal="center" vertical="top"/>
    </xf>
    <xf numFmtId="0" fontId="33" fillId="44" borderId="89" xfId="4" applyFont="1" applyFill="1" applyBorder="1" applyAlignment="1">
      <alignment horizontal="center"/>
    </xf>
    <xf numFmtId="0" fontId="33" fillId="0" borderId="97" xfId="4" applyFont="1" applyBorder="1" applyAlignment="1">
      <alignment horizontal="center"/>
    </xf>
    <xf numFmtId="38" fontId="33" fillId="0" borderId="98" xfId="4" applyNumberFormat="1" applyFont="1" applyBorder="1" applyAlignment="1">
      <alignment horizontal="center"/>
    </xf>
    <xf numFmtId="38" fontId="33" fillId="0" borderId="99" xfId="4" applyNumberFormat="1" applyFont="1" applyBorder="1" applyAlignment="1">
      <alignment horizontal="center"/>
    </xf>
    <xf numFmtId="38" fontId="33" fillId="0" borderId="100" xfId="4" applyNumberFormat="1" applyFont="1" applyBorder="1" applyAlignment="1">
      <alignment horizontal="center"/>
    </xf>
    <xf numFmtId="38" fontId="33" fillId="0" borderId="0" xfId="4" applyNumberFormat="1" applyFont="1" applyAlignment="1">
      <alignment horizontal="center"/>
    </xf>
    <xf numFmtId="38" fontId="33" fillId="0" borderId="76" xfId="4" applyNumberFormat="1" applyFont="1" applyBorder="1" applyAlignment="1">
      <alignment horizontal="center"/>
    </xf>
    <xf numFmtId="0" fontId="104" fillId="0" borderId="0" xfId="4" applyFont="1" applyAlignment="1">
      <alignment horizontal="center"/>
    </xf>
    <xf numFmtId="38" fontId="105" fillId="43" borderId="0" xfId="4" applyNumberFormat="1" applyFont="1" applyFill="1" applyAlignment="1" applyProtection="1">
      <alignment vertical="center"/>
      <protection hidden="1"/>
    </xf>
    <xf numFmtId="38" fontId="33" fillId="0" borderId="91" xfId="4" applyNumberFormat="1" applyFont="1" applyBorder="1" applyAlignment="1">
      <alignment vertical="center"/>
    </xf>
    <xf numFmtId="38" fontId="33" fillId="0" borderId="92" xfId="4" applyNumberFormat="1" applyFont="1" applyBorder="1" applyAlignment="1">
      <alignment vertical="center"/>
    </xf>
    <xf numFmtId="38" fontId="33" fillId="0" borderId="93" xfId="4" applyNumberFormat="1" applyFont="1" applyBorder="1" applyAlignment="1">
      <alignment vertical="center"/>
    </xf>
    <xf numFmtId="0" fontId="106" fillId="0" borderId="0" xfId="4" applyFont="1"/>
    <xf numFmtId="0" fontId="106" fillId="43" borderId="0" xfId="4" applyFont="1" applyFill="1"/>
    <xf numFmtId="0" fontId="106" fillId="0" borderId="76" xfId="4" applyFont="1" applyBorder="1"/>
    <xf numFmtId="0" fontId="23" fillId="0" borderId="0" xfId="4" applyAlignment="1">
      <alignment vertical="top"/>
    </xf>
    <xf numFmtId="0" fontId="40" fillId="0" borderId="94" xfId="4" applyFont="1" applyBorder="1" applyAlignment="1" applyProtection="1">
      <alignment vertical="center"/>
      <protection hidden="1"/>
    </xf>
    <xf numFmtId="38" fontId="40" fillId="43" borderId="0" xfId="4" applyNumberFormat="1" applyFont="1" applyFill="1" applyAlignment="1" applyProtection="1">
      <alignment vertical="center"/>
      <protection hidden="1"/>
    </xf>
    <xf numFmtId="38" fontId="40" fillId="44" borderId="101" xfId="4" applyNumberFormat="1" applyFont="1" applyFill="1" applyBorder="1" applyAlignment="1" applyProtection="1">
      <alignment horizontal="center" vertical="center"/>
      <protection hidden="1"/>
    </xf>
    <xf numFmtId="38" fontId="40" fillId="44" borderId="102" xfId="4" applyNumberFormat="1" applyFont="1" applyFill="1" applyBorder="1" applyAlignment="1" applyProtection="1">
      <alignment horizontal="center" vertical="center"/>
      <protection hidden="1"/>
    </xf>
    <xf numFmtId="38" fontId="40" fillId="44" borderId="103" xfId="4" applyNumberFormat="1" applyFont="1" applyFill="1" applyBorder="1" applyAlignment="1" applyProtection="1">
      <alignment horizontal="center" vertical="center"/>
      <protection hidden="1"/>
    </xf>
    <xf numFmtId="0" fontId="48" fillId="43" borderId="0" xfId="4" applyFont="1" applyFill="1"/>
    <xf numFmtId="0" fontId="48" fillId="0" borderId="76" xfId="4" applyFont="1" applyBorder="1"/>
    <xf numFmtId="38" fontId="95" fillId="46" borderId="0" xfId="4" applyNumberFormat="1" applyFont="1" applyFill="1" applyAlignment="1">
      <alignment horizontal="center"/>
    </xf>
    <xf numFmtId="38" fontId="95" fillId="46" borderId="76" xfId="4" applyNumberFormat="1" applyFont="1" applyFill="1" applyBorder="1" applyAlignment="1">
      <alignment horizontal="center"/>
    </xf>
    <xf numFmtId="38" fontId="95" fillId="46" borderId="95" xfId="4" applyNumberFormat="1" applyFont="1" applyFill="1" applyBorder="1" applyAlignment="1">
      <alignment horizontal="center"/>
    </xf>
    <xf numFmtId="178" fontId="48" fillId="44" borderId="0" xfId="4" applyNumberFormat="1" applyFont="1" applyFill="1" applyAlignment="1" applyProtection="1">
      <alignment horizontal="center"/>
      <protection hidden="1"/>
    </xf>
    <xf numFmtId="178" fontId="48" fillId="44" borderId="76" xfId="4" applyNumberFormat="1" applyFont="1" applyFill="1" applyBorder="1" applyAlignment="1" applyProtection="1">
      <alignment horizontal="center"/>
      <protection hidden="1"/>
    </xf>
    <xf numFmtId="0" fontId="35" fillId="0" borderId="0" xfId="4" applyFont="1" applyAlignment="1">
      <alignment horizontal="center" vertical="top"/>
    </xf>
    <xf numFmtId="0" fontId="33" fillId="0" borderId="0" xfId="4" applyFont="1" applyAlignment="1">
      <alignment vertical="top"/>
    </xf>
    <xf numFmtId="0" fontId="33" fillId="43" borderId="0" xfId="4" applyFont="1" applyFill="1" applyAlignment="1">
      <alignment vertical="top"/>
    </xf>
    <xf numFmtId="0" fontId="33" fillId="0" borderId="76" xfId="4" applyFont="1" applyBorder="1" applyAlignment="1">
      <alignment vertical="top"/>
    </xf>
    <xf numFmtId="38" fontId="3" fillId="44" borderId="0" xfId="1" applyNumberFormat="1" applyFont="1" applyFill="1" applyBorder="1" applyAlignment="1">
      <alignment horizontal="center" vertical="center"/>
    </xf>
    <xf numFmtId="38" fontId="3" fillId="44" borderId="76" xfId="1" applyNumberFormat="1" applyFont="1" applyFill="1" applyBorder="1" applyAlignment="1">
      <alignment horizontal="center" vertical="center"/>
    </xf>
    <xf numFmtId="38" fontId="3" fillId="44" borderId="95" xfId="1" applyNumberFormat="1" applyFont="1" applyFill="1" applyBorder="1" applyAlignment="1">
      <alignment horizontal="center" vertical="center"/>
    </xf>
    <xf numFmtId="0" fontId="107" fillId="0" borderId="0" xfId="4" applyFont="1" applyAlignment="1" applyProtection="1">
      <alignment vertical="center"/>
      <protection hidden="1"/>
    </xf>
    <xf numFmtId="0" fontId="95" fillId="0" borderId="0" xfId="4" applyFont="1" applyAlignment="1" applyProtection="1">
      <alignment vertical="center"/>
      <protection hidden="1"/>
    </xf>
    <xf numFmtId="177" fontId="99" fillId="43" borderId="0" xfId="4" applyNumberFormat="1" applyFont="1" applyFill="1" applyAlignment="1" applyProtection="1">
      <alignment vertical="center"/>
      <protection hidden="1"/>
    </xf>
    <xf numFmtId="178" fontId="95" fillId="0" borderId="0" xfId="4" applyNumberFormat="1" applyFont="1" applyAlignment="1" applyProtection="1">
      <alignment horizontal="center" vertical="center"/>
      <protection hidden="1"/>
    </xf>
    <xf numFmtId="178" fontId="95" fillId="0" borderId="76" xfId="4" applyNumberFormat="1" applyFont="1" applyBorder="1" applyAlignment="1" applyProtection="1">
      <alignment horizontal="center" vertical="center"/>
      <protection hidden="1"/>
    </xf>
    <xf numFmtId="173" fontId="40" fillId="43" borderId="0" xfId="2" applyNumberFormat="1" applyFont="1" applyFill="1" applyAlignment="1" applyProtection="1">
      <alignment horizontal="right" vertical="center"/>
      <protection hidden="1"/>
    </xf>
    <xf numFmtId="171" fontId="40" fillId="43" borderId="0" xfId="4" applyNumberFormat="1" applyFont="1" applyFill="1" applyAlignment="1" applyProtection="1">
      <alignment horizontal="right" vertical="center"/>
      <protection hidden="1"/>
    </xf>
    <xf numFmtId="0" fontId="3" fillId="67" borderId="0" xfId="4" applyFont="1" applyFill="1" applyAlignment="1">
      <alignment horizontal="center"/>
    </xf>
    <xf numFmtId="178" fontId="48" fillId="67" borderId="8" xfId="4" applyNumberFormat="1" applyFont="1" applyFill="1" applyBorder="1" applyAlignment="1" applyProtection="1">
      <alignment horizontal="center" vertical="center"/>
      <protection hidden="1"/>
    </xf>
    <xf numFmtId="178" fontId="48" fillId="67" borderId="88" xfId="4" applyNumberFormat="1" applyFont="1" applyFill="1" applyBorder="1" applyAlignment="1" applyProtection="1">
      <alignment horizontal="center" vertical="center"/>
      <protection hidden="1"/>
    </xf>
    <xf numFmtId="0" fontId="108" fillId="0" borderId="0" xfId="4" applyFont="1" applyAlignment="1" applyProtection="1">
      <alignment vertical="center"/>
      <protection hidden="1"/>
    </xf>
    <xf numFmtId="0" fontId="48" fillId="57" borderId="0" xfId="4" applyFont="1" applyFill="1" applyAlignment="1" applyProtection="1">
      <alignment vertical="center"/>
      <protection hidden="1"/>
    </xf>
    <xf numFmtId="0" fontId="48" fillId="59" borderId="0" xfId="4" applyFont="1" applyFill="1" applyAlignment="1" applyProtection="1">
      <alignment vertical="center"/>
      <protection hidden="1"/>
    </xf>
    <xf numFmtId="38" fontId="3" fillId="20" borderId="0" xfId="1" applyNumberFormat="1" applyFont="1" applyFill="1" applyAlignment="1">
      <alignment horizontal="center"/>
    </xf>
    <xf numFmtId="38" fontId="3" fillId="20" borderId="76" xfId="1" applyNumberFormat="1" applyFont="1" applyFill="1" applyBorder="1" applyAlignment="1">
      <alignment horizontal="center"/>
    </xf>
    <xf numFmtId="0" fontId="48" fillId="46" borderId="0" xfId="4" applyFont="1" applyFill="1" applyAlignment="1" applyProtection="1">
      <alignment vertical="center"/>
      <protection hidden="1"/>
    </xf>
    <xf numFmtId="38" fontId="3" fillId="46" borderId="8" xfId="1" applyNumberFormat="1" applyFont="1" applyFill="1" applyBorder="1" applyAlignment="1">
      <alignment horizontal="center"/>
    </xf>
    <xf numFmtId="38" fontId="3" fillId="46" borderId="88" xfId="1" applyNumberFormat="1" applyFont="1" applyFill="1" applyBorder="1" applyAlignment="1">
      <alignment horizontal="center"/>
    </xf>
    <xf numFmtId="0" fontId="72" fillId="46" borderId="0" xfId="4" applyFont="1" applyFill="1" applyAlignment="1" applyProtection="1">
      <alignment horizontal="center" vertical="center"/>
      <protection hidden="1"/>
    </xf>
    <xf numFmtId="176" fontId="40" fillId="43" borderId="0" xfId="4" applyNumberFormat="1" applyFont="1" applyFill="1" applyAlignment="1" applyProtection="1">
      <alignment vertical="center"/>
      <protection hidden="1"/>
    </xf>
    <xf numFmtId="38" fontId="3" fillId="46" borderId="0" xfId="1" applyNumberFormat="1" applyFont="1" applyFill="1" applyBorder="1" applyAlignment="1">
      <alignment horizontal="center"/>
    </xf>
    <xf numFmtId="38" fontId="3" fillId="46" borderId="76" xfId="1" applyNumberFormat="1" applyFont="1" applyFill="1" applyBorder="1" applyAlignment="1">
      <alignment horizontal="center"/>
    </xf>
    <xf numFmtId="186" fontId="33" fillId="0" borderId="0" xfId="4" applyNumberFormat="1" applyFont="1"/>
    <xf numFmtId="186" fontId="33" fillId="0" borderId="76" xfId="4" applyNumberFormat="1" applyFont="1" applyBorder="1"/>
    <xf numFmtId="0" fontId="109" fillId="46" borderId="0" xfId="4" applyFont="1" applyFill="1" applyAlignment="1" applyProtection="1">
      <alignment vertical="center"/>
      <protection hidden="1"/>
    </xf>
    <xf numFmtId="177" fontId="108" fillId="43" borderId="0" xfId="4" applyNumberFormat="1" applyFont="1" applyFill="1" applyAlignment="1" applyProtection="1">
      <alignment vertical="center"/>
      <protection hidden="1"/>
    </xf>
    <xf numFmtId="186" fontId="109" fillId="46" borderId="0" xfId="4" applyNumberFormat="1" applyFont="1" applyFill="1" applyAlignment="1">
      <alignment horizontal="center"/>
    </xf>
    <xf numFmtId="186" fontId="109" fillId="46" borderId="76" xfId="4" applyNumberFormat="1" applyFont="1" applyFill="1" applyBorder="1" applyAlignment="1">
      <alignment horizontal="center"/>
    </xf>
    <xf numFmtId="186" fontId="3" fillId="59" borderId="0" xfId="1" applyNumberFormat="1" applyFont="1" applyFill="1" applyAlignment="1">
      <alignment horizontal="center"/>
    </xf>
    <xf numFmtId="186" fontId="3" fillId="59" borderId="76" xfId="1" applyNumberFormat="1" applyFont="1" applyFill="1" applyBorder="1" applyAlignment="1">
      <alignment horizontal="center"/>
    </xf>
    <xf numFmtId="186" fontId="33" fillId="46" borderId="0" xfId="4" applyNumberFormat="1" applyFont="1" applyFill="1" applyAlignment="1">
      <alignment horizontal="center"/>
    </xf>
    <xf numFmtId="186" fontId="33" fillId="46" borderId="76" xfId="4" applyNumberFormat="1" applyFont="1" applyFill="1" applyBorder="1" applyAlignment="1">
      <alignment horizontal="center"/>
    </xf>
    <xf numFmtId="186" fontId="3" fillId="57" borderId="0" xfId="1" applyNumberFormat="1" applyFont="1" applyFill="1" applyAlignment="1">
      <alignment horizontal="center"/>
    </xf>
    <xf numFmtId="186" fontId="3" fillId="57" borderId="76" xfId="1" applyNumberFormat="1" applyFont="1" applyFill="1" applyBorder="1" applyAlignment="1">
      <alignment horizontal="center"/>
    </xf>
    <xf numFmtId="186" fontId="3" fillId="0" borderId="0" xfId="3" applyNumberFormat="1" applyFont="1" applyAlignment="1">
      <alignment horizontal="center"/>
    </xf>
    <xf numFmtId="186" fontId="3" fillId="0" borderId="76" xfId="3" applyNumberFormat="1" applyFont="1" applyBorder="1" applyAlignment="1">
      <alignment horizontal="center"/>
    </xf>
    <xf numFmtId="186" fontId="3" fillId="46" borderId="8" xfId="1" applyNumberFormat="1" applyFont="1" applyFill="1" applyBorder="1" applyAlignment="1">
      <alignment horizontal="center"/>
    </xf>
    <xf numFmtId="186" fontId="3" fillId="46" borderId="88" xfId="1" applyNumberFormat="1" applyFont="1" applyFill="1" applyBorder="1" applyAlignment="1">
      <alignment horizontal="center"/>
    </xf>
    <xf numFmtId="0" fontId="33" fillId="0" borderId="8" xfId="4" applyFont="1" applyBorder="1"/>
    <xf numFmtId="0" fontId="34" fillId="0" borderId="8" xfId="4" applyFont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6" fillId="0" borderId="8" xfId="4" applyFont="1" applyBorder="1"/>
    <xf numFmtId="0" fontId="33" fillId="0" borderId="88" xfId="4" applyFont="1" applyBorder="1"/>
    <xf numFmtId="164" fontId="23" fillId="0" borderId="0" xfId="4" applyNumberFormat="1"/>
    <xf numFmtId="164" fontId="23" fillId="46" borderId="76" xfId="4" applyNumberFormat="1" applyFill="1" applyBorder="1"/>
    <xf numFmtId="0" fontId="110" fillId="0" borderId="0" xfId="5" applyFont="1" applyAlignment="1">
      <alignment horizontal="right" vertical="center" indent="1"/>
    </xf>
    <xf numFmtId="164" fontId="33" fillId="0" borderId="0" xfId="4" applyNumberFormat="1" applyFont="1"/>
    <xf numFmtId="164" fontId="33" fillId="46" borderId="76" xfId="4" applyNumberFormat="1" applyFont="1" applyFill="1" applyBorder="1"/>
    <xf numFmtId="0" fontId="111" fillId="0" borderId="0" xfId="4" applyFont="1" applyAlignment="1">
      <alignment horizontal="right"/>
    </xf>
    <xf numFmtId="164" fontId="33" fillId="0" borderId="76" xfId="4" applyNumberFormat="1" applyFont="1" applyBorder="1"/>
    <xf numFmtId="0" fontId="112" fillId="76" borderId="0" xfId="4" applyFont="1" applyFill="1" applyAlignment="1">
      <alignment horizontal="right"/>
    </xf>
    <xf numFmtId="164" fontId="33" fillId="77" borderId="0" xfId="4" applyNumberFormat="1" applyFont="1" applyFill="1"/>
    <xf numFmtId="164" fontId="33" fillId="78" borderId="76" xfId="4" applyNumberFormat="1" applyFont="1" applyFill="1" applyBorder="1"/>
    <xf numFmtId="164" fontId="33" fillId="42" borderId="76" xfId="4" applyNumberFormat="1" applyFont="1" applyFill="1" applyBorder="1"/>
    <xf numFmtId="0" fontId="33" fillId="0" borderId="6" xfId="4" applyFont="1" applyBorder="1"/>
    <xf numFmtId="0" fontId="34" fillId="0" borderId="6" xfId="4" applyFont="1" applyBorder="1" applyAlignment="1">
      <alignment horizontal="center"/>
    </xf>
    <xf numFmtId="0" fontId="35" fillId="0" borderId="6" xfId="4" applyFont="1" applyBorder="1" applyAlignment="1">
      <alignment horizontal="center"/>
    </xf>
    <xf numFmtId="0" fontId="36" fillId="0" borderId="6" xfId="4" applyFont="1" applyBorder="1"/>
    <xf numFmtId="0" fontId="33" fillId="0" borderId="85" xfId="4" applyFont="1" applyBorder="1"/>
    <xf numFmtId="0" fontId="113" fillId="34" borderId="0" xfId="4" applyFont="1" applyFill="1" applyAlignment="1">
      <alignment horizontal="right" vertical="center"/>
    </xf>
    <xf numFmtId="164" fontId="33" fillId="52" borderId="76" xfId="4" applyNumberFormat="1" applyFont="1" applyFill="1" applyBorder="1"/>
    <xf numFmtId="173" fontId="33" fillId="0" borderId="0" xfId="2" applyNumberFormat="1" applyFont="1" applyBorder="1"/>
    <xf numFmtId="173" fontId="33" fillId="52" borderId="76" xfId="2" applyNumberFormat="1" applyFont="1" applyFill="1" applyBorder="1"/>
    <xf numFmtId="9" fontId="36" fillId="0" borderId="0" xfId="4" applyNumberFormat="1" applyFont="1"/>
    <xf numFmtId="173" fontId="33" fillId="0" borderId="0" xfId="2" applyNumberFormat="1" applyFont="1"/>
    <xf numFmtId="1" fontId="0" fillId="0" borderId="0" xfId="0" applyNumberFormat="1"/>
    <xf numFmtId="0" fontId="3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5" borderId="0" xfId="0" applyFill="1"/>
    <xf numFmtId="0" fontId="34" fillId="0" borderId="0" xfId="0" applyFont="1"/>
    <xf numFmtId="3" fontId="34" fillId="0" borderId="0" xfId="0" applyNumberFormat="1" applyFont="1"/>
    <xf numFmtId="164" fontId="34" fillId="0" borderId="0" xfId="0" applyNumberFormat="1" applyFont="1"/>
    <xf numFmtId="173" fontId="34" fillId="0" borderId="0" xfId="0" applyNumberFormat="1" applyFont="1"/>
    <xf numFmtId="164" fontId="33" fillId="0" borderId="85" xfId="4" applyNumberFormat="1" applyFont="1" applyBorder="1"/>
    <xf numFmtId="0" fontId="46" fillId="34" borderId="67" xfId="4" quotePrefix="1" applyFont="1" applyFill="1" applyBorder="1" applyAlignment="1" applyProtection="1">
      <alignment vertical="center"/>
      <protection hidden="1"/>
    </xf>
    <xf numFmtId="0" fontId="46" fillId="34" borderId="0" xfId="4" quotePrefix="1" applyFont="1" applyFill="1" applyAlignment="1" applyProtection="1">
      <alignment vertical="center"/>
      <protection hidden="1"/>
    </xf>
    <xf numFmtId="0" fontId="112" fillId="34" borderId="0" xfId="4" applyFont="1" applyFill="1" applyAlignment="1">
      <alignment horizontal="right"/>
    </xf>
    <xf numFmtId="0" fontId="112" fillId="79" borderId="0" xfId="0" applyFont="1" applyFill="1"/>
    <xf numFmtId="164" fontId="46" fillId="34" borderId="0" xfId="4" applyNumberFormat="1" applyFont="1" applyFill="1" applyAlignment="1" applyProtection="1">
      <alignment vertical="center"/>
      <protection hidden="1"/>
    </xf>
    <xf numFmtId="0" fontId="46" fillId="34" borderId="6" xfId="4" applyFont="1" applyFill="1" applyBorder="1" applyAlignment="1" applyProtection="1">
      <alignment vertical="center"/>
      <protection hidden="1"/>
    </xf>
    <xf numFmtId="0" fontId="46" fillId="34" borderId="0" xfId="5" applyFont="1" applyFill="1" applyAlignment="1">
      <alignment horizontal="left" vertical="center"/>
    </xf>
    <xf numFmtId="174" fontId="0" fillId="0" borderId="0" xfId="0" applyNumberFormat="1"/>
    <xf numFmtId="3" fontId="0" fillId="0" borderId="0" xfId="0" applyNumberFormat="1"/>
    <xf numFmtId="172" fontId="0" fillId="0" borderId="0" xfId="0" applyNumberFormat="1"/>
    <xf numFmtId="0" fontId="3" fillId="0" borderId="14" xfId="0" applyFont="1" applyBorder="1"/>
    <xf numFmtId="164" fontId="18" fillId="65" borderId="71" xfId="1" applyNumberFormat="1" applyFont="1" applyFill="1" applyBorder="1" applyAlignment="1" applyProtection="1">
      <alignment horizontal="center" vertical="center"/>
      <protection hidden="1"/>
    </xf>
    <xf numFmtId="164" fontId="18" fillId="66" borderId="71" xfId="1" applyNumberFormat="1" applyFont="1" applyFill="1" applyBorder="1" applyAlignment="1" applyProtection="1">
      <alignment horizontal="center" vertical="center"/>
      <protection hidden="1"/>
    </xf>
    <xf numFmtId="173" fontId="53" fillId="0" borderId="0" xfId="0" applyNumberFormat="1" applyFont="1"/>
    <xf numFmtId="164" fontId="0" fillId="0" borderId="0" xfId="0" applyNumberFormat="1"/>
    <xf numFmtId="49" fontId="24" fillId="0" borderId="0" xfId="0" quotePrefix="1" applyNumberFormat="1" applyFont="1" applyAlignment="1">
      <alignment horizontal="center"/>
    </xf>
    <xf numFmtId="9" fontId="9" fillId="39" borderId="0" xfId="0" applyNumberFormat="1" applyFont="1" applyFill="1"/>
    <xf numFmtId="49" fontId="0" fillId="0" borderId="0" xfId="0" applyNumberFormat="1"/>
    <xf numFmtId="0" fontId="9" fillId="40" borderId="0" xfId="0" applyFont="1" applyFill="1"/>
    <xf numFmtId="9" fontId="9" fillId="40" borderId="0" xfId="0" applyNumberFormat="1" applyFont="1" applyFill="1"/>
    <xf numFmtId="49" fontId="0" fillId="0" borderId="0" xfId="0" quotePrefix="1" applyNumberFormat="1"/>
    <xf numFmtId="49" fontId="24" fillId="0" borderId="0" xfId="0" applyNumberFormat="1" applyFont="1" applyAlignment="1">
      <alignment horizontal="center"/>
    </xf>
    <xf numFmtId="169" fontId="0" fillId="0" borderId="0" xfId="0" applyNumberFormat="1"/>
    <xf numFmtId="169" fontId="3" fillId="0" borderId="0" xfId="0" applyNumberFormat="1" applyFont="1"/>
    <xf numFmtId="0" fontId="116" fillId="0" borderId="0" xfId="0" applyFont="1"/>
    <xf numFmtId="0" fontId="117" fillId="0" borderId="0" xfId="0" applyFont="1"/>
    <xf numFmtId="0" fontId="118" fillId="2" borderId="0" xfId="0" applyFont="1" applyFill="1"/>
    <xf numFmtId="0" fontId="118" fillId="2" borderId="0" xfId="0" applyFont="1" applyFill="1" applyAlignment="1">
      <alignment horizontal="center"/>
    </xf>
    <xf numFmtId="0" fontId="119" fillId="0" borderId="0" xfId="0" applyFont="1"/>
    <xf numFmtId="3" fontId="3" fillId="0" borderId="0" xfId="0" applyNumberFormat="1" applyFont="1"/>
    <xf numFmtId="173" fontId="3" fillId="0" borderId="0" xfId="0" applyNumberFormat="1" applyFont="1"/>
    <xf numFmtId="174" fontId="3" fillId="0" borderId="0" xfId="0" applyNumberFormat="1" applyFont="1"/>
    <xf numFmtId="185" fontId="20" fillId="0" borderId="0" xfId="1" applyNumberFormat="1" applyFont="1" applyBorder="1"/>
    <xf numFmtId="0" fontId="20" fillId="82" borderId="0" xfId="0" applyFont="1" applyFill="1"/>
    <xf numFmtId="0" fontId="20" fillId="82" borderId="3" xfId="0" applyFont="1" applyFill="1" applyBorder="1"/>
    <xf numFmtId="3" fontId="20" fillId="82" borderId="3" xfId="0" applyNumberFormat="1" applyFont="1" applyFill="1" applyBorder="1"/>
    <xf numFmtId="4" fontId="20" fillId="82" borderId="30" xfId="0" applyNumberFormat="1" applyFont="1" applyFill="1" applyBorder="1"/>
    <xf numFmtId="4" fontId="20" fillId="82" borderId="0" xfId="0" applyNumberFormat="1" applyFont="1" applyFill="1"/>
    <xf numFmtId="4" fontId="20" fillId="82" borderId="3" xfId="0" applyNumberFormat="1" applyFont="1" applyFill="1" applyBorder="1"/>
    <xf numFmtId="3" fontId="20" fillId="82" borderId="0" xfId="0" applyNumberFormat="1" applyFont="1" applyFill="1"/>
    <xf numFmtId="175" fontId="20" fillId="82" borderId="0" xfId="0" applyNumberFormat="1" applyFont="1" applyFill="1"/>
    <xf numFmtId="175" fontId="20" fillId="82" borderId="3" xfId="0" applyNumberFormat="1" applyFont="1" applyFill="1" applyBorder="1"/>
    <xf numFmtId="175" fontId="20" fillId="82" borderId="30" xfId="0" applyNumberFormat="1" applyFont="1" applyFill="1" applyBorder="1"/>
    <xf numFmtId="173" fontId="20" fillId="82" borderId="0" xfId="0" applyNumberFormat="1" applyFont="1" applyFill="1"/>
    <xf numFmtId="1" fontId="20" fillId="82" borderId="30" xfId="0" applyNumberFormat="1" applyFont="1" applyFill="1" applyBorder="1"/>
    <xf numFmtId="173" fontId="20" fillId="82" borderId="30" xfId="0" applyNumberFormat="1" applyFont="1" applyFill="1" applyBorder="1"/>
    <xf numFmtId="173" fontId="20" fillId="82" borderId="3" xfId="0" applyNumberFormat="1" applyFont="1" applyFill="1" applyBorder="1"/>
    <xf numFmtId="185" fontId="20" fillId="82" borderId="0" xfId="1" applyNumberFormat="1" applyFont="1" applyFill="1" applyBorder="1"/>
    <xf numFmtId="3" fontId="20" fillId="82" borderId="30" xfId="0" applyNumberFormat="1" applyFont="1" applyFill="1" applyBorder="1"/>
    <xf numFmtId="175" fontId="20" fillId="82" borderId="31" xfId="0" applyNumberFormat="1" applyFont="1" applyFill="1" applyBorder="1"/>
    <xf numFmtId="0" fontId="22" fillId="30" borderId="105" xfId="0" applyFont="1" applyFill="1" applyBorder="1" applyAlignment="1">
      <alignment horizontal="center" vertical="center" wrapText="1"/>
    </xf>
    <xf numFmtId="0" fontId="18" fillId="26" borderId="105" xfId="0" applyFont="1" applyFill="1" applyBorder="1" applyAlignment="1">
      <alignment horizontal="center" vertical="center" wrapText="1"/>
    </xf>
    <xf numFmtId="0" fontId="18" fillId="27" borderId="105" xfId="0" applyFont="1" applyFill="1" applyBorder="1" applyAlignment="1">
      <alignment horizontal="center" vertical="center" wrapText="1"/>
    </xf>
    <xf numFmtId="0" fontId="18" fillId="28" borderId="105" xfId="0" applyFont="1" applyFill="1" applyBorder="1" applyAlignment="1">
      <alignment horizontal="center" vertical="center" wrapText="1"/>
    </xf>
    <xf numFmtId="0" fontId="19" fillId="29" borderId="105" xfId="0" applyFont="1" applyFill="1" applyBorder="1" applyAlignment="1">
      <alignment horizontal="center" vertical="center" wrapText="1"/>
    </xf>
    <xf numFmtId="0" fontId="30" fillId="16" borderId="0" xfId="0" applyFont="1" applyFill="1" applyAlignment="1">
      <alignment horizontal="left"/>
    </xf>
    <xf numFmtId="0" fontId="0" fillId="0" borderId="113" xfId="0" applyBorder="1"/>
    <xf numFmtId="0" fontId="0" fillId="0" borderId="114" xfId="0" applyBorder="1"/>
    <xf numFmtId="0" fontId="0" fillId="0" borderId="115" xfId="0" applyBorder="1"/>
    <xf numFmtId="9" fontId="9" fillId="0" borderId="0" xfId="0" applyNumberFormat="1" applyFont="1" applyAlignment="1">
      <alignment horizontal="center"/>
    </xf>
    <xf numFmtId="0" fontId="120" fillId="0" borderId="14" xfId="0" applyFont="1" applyBorder="1"/>
    <xf numFmtId="0" fontId="120" fillId="0" borderId="15" xfId="0" applyFont="1" applyBorder="1"/>
    <xf numFmtId="1" fontId="121" fillId="0" borderId="15" xfId="0" applyNumberFormat="1" applyFont="1" applyBorder="1"/>
    <xf numFmtId="0" fontId="121" fillId="0" borderId="15" xfId="0" applyFont="1" applyBorder="1" applyAlignment="1">
      <alignment horizontal="center"/>
    </xf>
    <xf numFmtId="0" fontId="121" fillId="0" borderId="16" xfId="0" applyFont="1" applyBorder="1" applyAlignment="1">
      <alignment horizontal="center"/>
    </xf>
    <xf numFmtId="174" fontId="121" fillId="0" borderId="58" xfId="0" applyNumberFormat="1" applyFont="1" applyBorder="1"/>
    <xf numFmtId="170" fontId="121" fillId="0" borderId="14" xfId="0" applyNumberFormat="1" applyFont="1" applyBorder="1"/>
    <xf numFmtId="169" fontId="121" fillId="0" borderId="15" xfId="0" applyNumberFormat="1" applyFont="1" applyBorder="1"/>
    <xf numFmtId="171" fontId="121" fillId="0" borderId="15" xfId="0" applyNumberFormat="1" applyFont="1" applyBorder="1"/>
    <xf numFmtId="170" fontId="121" fillId="0" borderId="16" xfId="0" applyNumberFormat="1" applyFont="1" applyBorder="1"/>
    <xf numFmtId="174" fontId="122" fillId="0" borderId="58" xfId="0" applyNumberFormat="1" applyFont="1" applyBorder="1"/>
    <xf numFmtId="170" fontId="122" fillId="0" borderId="15" xfId="0" applyNumberFormat="1" applyFont="1" applyBorder="1"/>
    <xf numFmtId="169" fontId="122" fillId="0" borderId="15" xfId="0" applyNumberFormat="1" applyFont="1" applyBorder="1"/>
    <xf numFmtId="171" fontId="122" fillId="0" borderId="15" xfId="0" applyNumberFormat="1" applyFont="1" applyBorder="1"/>
    <xf numFmtId="9" fontId="121" fillId="0" borderId="58" xfId="0" applyNumberFormat="1" applyFont="1" applyBorder="1"/>
    <xf numFmtId="9" fontId="121" fillId="0" borderId="15" xfId="0" applyNumberFormat="1" applyFont="1" applyBorder="1"/>
    <xf numFmtId="1" fontId="121" fillId="0" borderId="58" xfId="0" applyNumberFormat="1" applyFont="1" applyBorder="1" applyAlignment="1">
      <alignment horizontal="center"/>
    </xf>
    <xf numFmtId="1" fontId="121" fillId="0" borderId="15" xfId="0" applyNumberFormat="1" applyFont="1" applyBorder="1" applyAlignment="1">
      <alignment horizontal="center"/>
    </xf>
    <xf numFmtId="1" fontId="121" fillId="0" borderId="16" xfId="0" applyNumberFormat="1" applyFont="1" applyBorder="1" applyAlignment="1">
      <alignment horizontal="center"/>
    </xf>
    <xf numFmtId="169" fontId="121" fillId="0" borderId="58" xfId="0" applyNumberFormat="1" applyFont="1" applyBorder="1"/>
    <xf numFmtId="170" fontId="121" fillId="0" borderId="15" xfId="0" applyNumberFormat="1" applyFont="1" applyBorder="1"/>
    <xf numFmtId="168" fontId="121" fillId="0" borderId="104" xfId="0" applyNumberFormat="1" applyFont="1" applyBorder="1" applyAlignment="1">
      <alignment horizontal="center"/>
    </xf>
    <xf numFmtId="168" fontId="121" fillId="0" borderId="10" xfId="0" applyNumberFormat="1" applyFont="1" applyBorder="1" applyAlignment="1">
      <alignment horizontal="center"/>
    </xf>
    <xf numFmtId="168" fontId="121" fillId="0" borderId="0" xfId="0" applyNumberFormat="1" applyFont="1" applyAlignment="1">
      <alignment horizontal="center"/>
    </xf>
    <xf numFmtId="168" fontId="121" fillId="0" borderId="14" xfId="0" applyNumberFormat="1" applyFont="1" applyBorder="1"/>
    <xf numFmtId="0" fontId="121" fillId="0" borderId="15" xfId="0" applyFont="1" applyBorder="1"/>
    <xf numFmtId="173" fontId="121" fillId="0" borderId="16" xfId="0" applyNumberFormat="1" applyFont="1" applyBorder="1"/>
    <xf numFmtId="0" fontId="121" fillId="0" borderId="0" xfId="0" applyFont="1"/>
    <xf numFmtId="0" fontId="121" fillId="0" borderId="56" xfId="0" applyFont="1" applyBorder="1" applyAlignment="1">
      <alignment horizontal="center"/>
    </xf>
    <xf numFmtId="0" fontId="120" fillId="0" borderId="17" xfId="0" applyFont="1" applyBorder="1"/>
    <xf numFmtId="0" fontId="120" fillId="0" borderId="18" xfId="0" applyFont="1" applyBorder="1"/>
    <xf numFmtId="1" fontId="121" fillId="0" borderId="18" xfId="0" applyNumberFormat="1" applyFont="1" applyBorder="1"/>
    <xf numFmtId="0" fontId="121" fillId="0" borderId="18" xfId="0" applyFont="1" applyBorder="1" applyAlignment="1">
      <alignment horizontal="center"/>
    </xf>
    <xf numFmtId="0" fontId="121" fillId="0" borderId="19" xfId="0" applyFont="1" applyBorder="1" applyAlignment="1">
      <alignment horizontal="center"/>
    </xf>
    <xf numFmtId="174" fontId="121" fillId="0" borderId="59" xfId="0" applyNumberFormat="1" applyFont="1" applyBorder="1"/>
    <xf numFmtId="170" fontId="121" fillId="0" borderId="17" xfId="0" applyNumberFormat="1" applyFont="1" applyBorder="1"/>
    <xf numFmtId="169" fontId="121" fillId="0" borderId="18" xfId="0" applyNumberFormat="1" applyFont="1" applyBorder="1"/>
    <xf numFmtId="171" fontId="121" fillId="0" borderId="18" xfId="0" applyNumberFormat="1" applyFont="1" applyBorder="1"/>
    <xf numFmtId="0" fontId="48" fillId="39" borderId="112" xfId="0" applyFont="1" applyFill="1" applyBorder="1"/>
    <xf numFmtId="0" fontId="114" fillId="0" borderId="65" xfId="0" applyFont="1" applyBorder="1" applyAlignment="1">
      <alignment horizontal="left"/>
    </xf>
    <xf numFmtId="9" fontId="9" fillId="40" borderId="116" xfId="0" applyNumberFormat="1" applyFont="1" applyFill="1" applyBorder="1" applyAlignment="1">
      <alignment horizontal="center"/>
    </xf>
    <xf numFmtId="171" fontId="9" fillId="15" borderId="116" xfId="0" applyNumberFormat="1" applyFont="1" applyFill="1" applyBorder="1" applyAlignment="1">
      <alignment horizontal="center"/>
    </xf>
    <xf numFmtId="9" fontId="3" fillId="39" borderId="64" xfId="0" applyNumberFormat="1" applyFont="1" applyFill="1" applyBorder="1" applyAlignment="1">
      <alignment horizontal="center"/>
    </xf>
    <xf numFmtId="0" fontId="101" fillId="39" borderId="0" xfId="0" applyFont="1" applyFill="1" applyAlignment="1">
      <alignment horizontal="left"/>
    </xf>
    <xf numFmtId="0" fontId="101" fillId="40" borderId="0" xfId="0" applyFont="1" applyFill="1" applyAlignment="1">
      <alignment horizontal="left"/>
    </xf>
    <xf numFmtId="0" fontId="6" fillId="2" borderId="61" xfId="0" applyFont="1" applyFill="1" applyBorder="1" applyAlignment="1">
      <alignment horizontal="center" vertical="center" wrapText="1"/>
    </xf>
    <xf numFmtId="9" fontId="121" fillId="0" borderId="117" xfId="0" applyNumberFormat="1" applyFont="1" applyBorder="1"/>
    <xf numFmtId="0" fontId="121" fillId="0" borderId="14" xfId="0" applyFont="1" applyBorder="1" applyAlignment="1">
      <alignment horizontal="center"/>
    </xf>
    <xf numFmtId="171" fontId="123" fillId="0" borderId="119" xfId="0" applyNumberFormat="1" applyFont="1" applyBorder="1"/>
    <xf numFmtId="171" fontId="123" fillId="0" borderId="120" xfId="0" applyNumberFormat="1" applyFont="1" applyBorder="1"/>
    <xf numFmtId="0" fontId="6" fillId="2" borderId="118" xfId="0" applyFont="1" applyFill="1" applyBorder="1" applyAlignment="1">
      <alignment horizontal="center" vertical="center" wrapText="1"/>
    </xf>
    <xf numFmtId="171" fontId="121" fillId="0" borderId="120" xfId="0" applyNumberFormat="1" applyFont="1" applyBorder="1" applyAlignment="1">
      <alignment horizontal="center"/>
    </xf>
    <xf numFmtId="171" fontId="121" fillId="0" borderId="121" xfId="0" applyNumberFormat="1" applyFont="1" applyBorder="1" applyAlignment="1">
      <alignment horizontal="center"/>
    </xf>
    <xf numFmtId="171" fontId="121" fillId="0" borderId="122" xfId="0" applyNumberFormat="1" applyFont="1" applyBorder="1" applyAlignment="1">
      <alignment horizontal="center"/>
    </xf>
    <xf numFmtId="0" fontId="121" fillId="0" borderId="10" xfId="0" applyFont="1" applyBorder="1"/>
    <xf numFmtId="0" fontId="6" fillId="2" borderId="14" xfId="0" applyFont="1" applyFill="1" applyBorder="1" applyAlignment="1">
      <alignment horizontal="center" vertical="center" wrapText="1"/>
    </xf>
    <xf numFmtId="2" fontId="121" fillId="0" borderId="123" xfId="0" applyNumberFormat="1" applyFont="1" applyBorder="1"/>
    <xf numFmtId="0" fontId="121" fillId="0" borderId="123" xfId="0" applyFont="1" applyBorder="1"/>
    <xf numFmtId="9" fontId="0" fillId="0" borderId="0" xfId="2" applyFont="1"/>
    <xf numFmtId="9" fontId="3" fillId="0" borderId="0" xfId="2" applyFont="1"/>
    <xf numFmtId="0" fontId="115" fillId="81" borderId="109" xfId="0" applyFont="1" applyFill="1" applyBorder="1"/>
    <xf numFmtId="0" fontId="115" fillId="81" borderId="110" xfId="0" applyFont="1" applyFill="1" applyBorder="1"/>
    <xf numFmtId="1" fontId="121" fillId="0" borderId="10" xfId="0" applyNumberFormat="1" applyFont="1" applyBorder="1" applyAlignment="1">
      <alignment horizontal="center"/>
    </xf>
    <xf numFmtId="9" fontId="121" fillId="0" borderId="10" xfId="0" applyNumberFormat="1" applyFont="1" applyBorder="1"/>
    <xf numFmtId="2" fontId="121" fillId="0" borderId="123" xfId="0" applyNumberFormat="1" applyFont="1" applyBorder="1" applyAlignment="1">
      <alignment horizontal="left" indent="1"/>
    </xf>
    <xf numFmtId="0" fontId="0" fillId="20" borderId="0" xfId="0" applyFill="1"/>
    <xf numFmtId="1" fontId="121" fillId="0" borderId="9" xfId="0" applyNumberFormat="1" applyFont="1" applyBorder="1" applyAlignment="1">
      <alignment horizontal="center"/>
    </xf>
    <xf numFmtId="0" fontId="6" fillId="2" borderId="10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wrapText="1"/>
    </xf>
    <xf numFmtId="0" fontId="2" fillId="83" borderId="12" xfId="0" applyFont="1" applyFill="1" applyBorder="1" applyAlignment="1">
      <alignment wrapText="1"/>
    </xf>
    <xf numFmtId="0" fontId="2" fillId="84" borderId="11" xfId="0" applyFont="1" applyFill="1" applyBorder="1" applyAlignment="1">
      <alignment wrapText="1"/>
    </xf>
    <xf numFmtId="0" fontId="2" fillId="84" borderId="12" xfId="0" applyFont="1" applyFill="1" applyBorder="1" applyAlignment="1">
      <alignment wrapText="1"/>
    </xf>
    <xf numFmtId="4" fontId="0" fillId="0" borderId="0" xfId="0" applyNumberFormat="1"/>
    <xf numFmtId="9" fontId="0" fillId="0" borderId="0" xfId="0" applyNumberFormat="1"/>
    <xf numFmtId="0" fontId="0" fillId="87" borderId="0" xfId="0" applyFill="1"/>
    <xf numFmtId="0" fontId="9" fillId="0" borderId="0" xfId="0" applyFont="1"/>
    <xf numFmtId="0" fontId="0" fillId="0" borderId="0" xfId="0" applyAlignment="1">
      <alignment horizontal="right"/>
    </xf>
    <xf numFmtId="173" fontId="11" fillId="39" borderId="56" xfId="0" applyNumberFormat="1" applyFont="1" applyFill="1" applyBorder="1" applyAlignment="1">
      <alignment horizontal="center"/>
    </xf>
    <xf numFmtId="173" fontId="11" fillId="39" borderId="0" xfId="0" applyNumberFormat="1" applyFont="1" applyFill="1" applyAlignment="1">
      <alignment horizontal="center"/>
    </xf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3" fontId="124" fillId="0" borderId="0" xfId="0" applyNumberFormat="1" applyFont="1"/>
    <xf numFmtId="0" fontId="128" fillId="0" borderId="0" xfId="0" applyFont="1"/>
    <xf numFmtId="0" fontId="129" fillId="2" borderId="0" xfId="0" applyFont="1" applyFill="1" applyAlignment="1">
      <alignment horizontal="center" vertical="center" wrapText="1"/>
    </xf>
    <xf numFmtId="1" fontId="124" fillId="0" borderId="0" xfId="0" applyNumberFormat="1" applyFont="1"/>
    <xf numFmtId="174" fontId="124" fillId="0" borderId="0" xfId="0" applyNumberFormat="1" applyFont="1"/>
    <xf numFmtId="173" fontId="124" fillId="0" borderId="0" xfId="0" applyNumberFormat="1" applyFont="1"/>
    <xf numFmtId="2" fontId="124" fillId="0" borderId="0" xfId="0" applyNumberFormat="1" applyFont="1"/>
    <xf numFmtId="187" fontId="124" fillId="0" borderId="0" xfId="0" applyNumberFormat="1" applyFont="1"/>
    <xf numFmtId="9" fontId="124" fillId="0" borderId="0" xfId="0" applyNumberFormat="1" applyFont="1"/>
    <xf numFmtId="9" fontId="130" fillId="0" borderId="0" xfId="0" applyNumberFormat="1" applyFont="1"/>
    <xf numFmtId="0" fontId="127" fillId="0" borderId="8" xfId="0" applyFont="1" applyBorder="1"/>
    <xf numFmtId="173" fontId="127" fillId="0" borderId="8" xfId="0" applyNumberFormat="1" applyFont="1" applyBorder="1"/>
    <xf numFmtId="173" fontId="127" fillId="35" borderId="8" xfId="0" applyNumberFormat="1" applyFont="1" applyFill="1" applyBorder="1"/>
    <xf numFmtId="9" fontId="127" fillId="0" borderId="0" xfId="0" applyNumberFormat="1" applyFont="1"/>
    <xf numFmtId="172" fontId="124" fillId="0" borderId="0" xfId="0" applyNumberFormat="1" applyFont="1"/>
    <xf numFmtId="0" fontId="124" fillId="0" borderId="0" xfId="0" applyFont="1" applyAlignment="1">
      <alignment vertical="center"/>
    </xf>
    <xf numFmtId="0" fontId="130" fillId="0" borderId="0" xfId="0" applyFont="1" applyAlignment="1">
      <alignment vertical="center"/>
    </xf>
    <xf numFmtId="2" fontId="124" fillId="0" borderId="0" xfId="0" applyNumberFormat="1" applyFont="1" applyAlignment="1">
      <alignment vertical="center"/>
    </xf>
    <xf numFmtId="173" fontId="124" fillId="0" borderId="0" xfId="0" applyNumberFormat="1" applyFont="1" applyAlignment="1">
      <alignment vertical="center"/>
    </xf>
    <xf numFmtId="173" fontId="127" fillId="35" borderId="0" xfId="0" applyNumberFormat="1" applyFont="1" applyFill="1" applyAlignment="1">
      <alignment vertical="center"/>
    </xf>
    <xf numFmtId="173" fontId="130" fillId="0" borderId="0" xfId="0" applyNumberFormat="1" applyFont="1" applyAlignment="1">
      <alignment vertical="center"/>
    </xf>
    <xf numFmtId="188" fontId="124" fillId="0" borderId="0" xfId="0" applyNumberFormat="1" applyFont="1" applyAlignment="1">
      <alignment vertical="center"/>
    </xf>
    <xf numFmtId="0" fontId="124" fillId="0" borderId="0" xfId="0" applyFont="1" applyAlignment="1">
      <alignment horizontal="left" wrapText="1"/>
    </xf>
    <xf numFmtId="189" fontId="130" fillId="0" borderId="0" xfId="0" applyNumberFormat="1" applyFont="1"/>
    <xf numFmtId="190" fontId="130" fillId="0" borderId="0" xfId="0" applyNumberFormat="1" applyFont="1"/>
    <xf numFmtId="191" fontId="124" fillId="0" borderId="0" xfId="0" applyNumberFormat="1" applyFont="1" applyAlignment="1">
      <alignment horizontal="center" vertical="center"/>
    </xf>
    <xf numFmtId="0" fontId="19" fillId="88" borderId="105" xfId="0" applyFont="1" applyFill="1" applyBorder="1" applyAlignment="1">
      <alignment horizontal="center" vertical="center" wrapText="1"/>
    </xf>
    <xf numFmtId="173" fontId="121" fillId="0" borderId="58" xfId="0" applyNumberFormat="1" applyFont="1" applyBorder="1"/>
    <xf numFmtId="173" fontId="121" fillId="0" borderId="15" xfId="0" applyNumberFormat="1" applyFont="1" applyBorder="1"/>
    <xf numFmtId="179" fontId="121" fillId="0" borderId="15" xfId="0" applyNumberFormat="1" applyFont="1" applyBorder="1"/>
    <xf numFmtId="2" fontId="121" fillId="0" borderId="15" xfId="0" applyNumberFormat="1" applyFont="1" applyBorder="1"/>
    <xf numFmtId="0" fontId="5" fillId="2" borderId="0" xfId="0" applyFont="1" applyFill="1" applyAlignment="1">
      <alignment horizontal="center" wrapText="1"/>
    </xf>
    <xf numFmtId="0" fontId="5" fillId="0" borderId="0" xfId="0" applyFont="1" applyAlignment="1">
      <alignment horizontal="center" wrapText="1"/>
    </xf>
    <xf numFmtId="0" fontId="131" fillId="0" borderId="0" xfId="0" applyFont="1"/>
    <xf numFmtId="168" fontId="131" fillId="0" borderId="0" xfId="0" applyNumberFormat="1" applyFont="1"/>
    <xf numFmtId="169" fontId="131" fillId="0" borderId="0" xfId="0" applyNumberFormat="1" applyFont="1"/>
    <xf numFmtId="0" fontId="132" fillId="0" borderId="6" xfId="0" applyFont="1" applyBorder="1"/>
    <xf numFmtId="168" fontId="132" fillId="0" borderId="6" xfId="0" applyNumberFormat="1" applyFont="1" applyBorder="1"/>
    <xf numFmtId="169" fontId="132" fillId="0" borderId="6" xfId="0" applyNumberFormat="1" applyFont="1" applyBorder="1"/>
    <xf numFmtId="0" fontId="22" fillId="30" borderId="107" xfId="0" applyFont="1" applyFill="1" applyBorder="1" applyAlignment="1">
      <alignment horizontal="center" vertical="center" wrapText="1"/>
    </xf>
    <xf numFmtId="0" fontId="22" fillId="30" borderId="108" xfId="0" applyFont="1" applyFill="1" applyBorder="1" applyAlignment="1">
      <alignment horizontal="center" vertical="center" wrapText="1"/>
    </xf>
    <xf numFmtId="0" fontId="17" fillId="21" borderId="105" xfId="0" applyFont="1" applyFill="1" applyBorder="1" applyAlignment="1">
      <alignment horizontal="center" vertical="center"/>
    </xf>
    <xf numFmtId="0" fontId="17" fillId="22" borderId="105" xfId="0" applyFont="1" applyFill="1" applyBorder="1" applyAlignment="1">
      <alignment horizontal="center" vertical="center"/>
    </xf>
    <xf numFmtId="0" fontId="17" fillId="23" borderId="105" xfId="0" applyFont="1" applyFill="1" applyBorder="1" applyAlignment="1">
      <alignment horizontal="center" vertical="center"/>
    </xf>
    <xf numFmtId="0" fontId="17" fillId="24" borderId="105" xfId="0" applyFont="1" applyFill="1" applyBorder="1" applyAlignment="1">
      <alignment horizontal="center" vertical="center"/>
    </xf>
    <xf numFmtId="0" fontId="18" fillId="25" borderId="105" xfId="0" applyFont="1" applyFill="1" applyBorder="1" applyAlignment="1">
      <alignment horizontal="center" vertical="center" wrapText="1"/>
    </xf>
    <xf numFmtId="0" fontId="18" fillId="26" borderId="105" xfId="0" applyFont="1" applyFill="1" applyBorder="1" applyAlignment="1">
      <alignment horizontal="center" vertical="center" wrapText="1"/>
    </xf>
    <xf numFmtId="0" fontId="18" fillId="27" borderId="105" xfId="0" applyFont="1" applyFill="1" applyBorder="1" applyAlignment="1">
      <alignment horizontal="center" vertical="center" wrapText="1"/>
    </xf>
    <xf numFmtId="0" fontId="18" fillId="28" borderId="105" xfId="0" applyFont="1" applyFill="1" applyBorder="1" applyAlignment="1">
      <alignment horizontal="center" vertical="center" wrapText="1"/>
    </xf>
    <xf numFmtId="0" fontId="22" fillId="30" borderId="105" xfId="0" applyFont="1" applyFill="1" applyBorder="1" applyAlignment="1">
      <alignment horizontal="center" vertical="center" wrapText="1"/>
    </xf>
    <xf numFmtId="0" fontId="3" fillId="80" borderId="30" xfId="0" applyFont="1" applyFill="1" applyBorder="1" applyAlignment="1">
      <alignment horizontal="center"/>
    </xf>
    <xf numFmtId="0" fontId="3" fillId="80" borderId="0" xfId="0" applyFont="1" applyFill="1" applyAlignment="1">
      <alignment horizontal="center"/>
    </xf>
    <xf numFmtId="0" fontId="17" fillId="24" borderId="106" xfId="0" applyFont="1" applyFill="1" applyBorder="1" applyAlignment="1">
      <alignment horizontal="center" vertical="center"/>
    </xf>
    <xf numFmtId="0" fontId="17" fillId="24" borderId="107" xfId="0" applyFont="1" applyFill="1" applyBorder="1" applyAlignment="1">
      <alignment horizontal="center" vertical="center"/>
    </xf>
    <xf numFmtId="0" fontId="17" fillId="24" borderId="108" xfId="0" applyFont="1" applyFill="1" applyBorder="1" applyAlignment="1">
      <alignment horizontal="center" vertical="center"/>
    </xf>
    <xf numFmtId="0" fontId="22" fillId="30" borderId="30" xfId="0" applyFont="1" applyFill="1" applyBorder="1" applyAlignment="1">
      <alignment horizontal="center" vertical="center" wrapText="1"/>
    </xf>
    <xf numFmtId="0" fontId="22" fillId="30" borderId="0" xfId="0" applyFont="1" applyFill="1" applyAlignment="1">
      <alignment horizontal="center" vertical="center" wrapText="1"/>
    </xf>
    <xf numFmtId="0" fontId="22" fillId="30" borderId="40" xfId="0" applyFont="1" applyFill="1" applyBorder="1" applyAlignment="1">
      <alignment horizontal="center" vertical="center" wrapText="1"/>
    </xf>
    <xf numFmtId="0" fontId="22" fillId="30" borderId="33" xfId="0" applyFont="1" applyFill="1" applyBorder="1" applyAlignment="1">
      <alignment horizontal="center" vertical="center" wrapText="1"/>
    </xf>
    <xf numFmtId="0" fontId="22" fillId="30" borderId="34" xfId="0" applyFont="1" applyFill="1" applyBorder="1" applyAlignment="1">
      <alignment horizontal="center" vertical="center" wrapText="1"/>
    </xf>
    <xf numFmtId="0" fontId="22" fillId="30" borderId="38" xfId="0" applyFont="1" applyFill="1" applyBorder="1" applyAlignment="1">
      <alignment horizontal="center" vertical="center" wrapText="1"/>
    </xf>
    <xf numFmtId="0" fontId="22" fillId="31" borderId="33" xfId="0" applyFont="1" applyFill="1" applyBorder="1" applyAlignment="1">
      <alignment horizontal="center" vertical="center" wrapText="1"/>
    </xf>
    <xf numFmtId="0" fontId="22" fillId="31" borderId="34" xfId="0" applyFont="1" applyFill="1" applyBorder="1" applyAlignment="1">
      <alignment horizontal="center" vertical="center" wrapText="1"/>
    </xf>
    <xf numFmtId="0" fontId="22" fillId="31" borderId="38" xfId="0" applyFont="1" applyFill="1" applyBorder="1" applyAlignment="1">
      <alignment horizontal="center" vertical="center" wrapText="1"/>
    </xf>
    <xf numFmtId="0" fontId="22" fillId="32" borderId="39" xfId="0" applyFont="1" applyFill="1" applyBorder="1" applyAlignment="1">
      <alignment horizontal="center" vertical="center" wrapText="1"/>
    </xf>
    <xf numFmtId="0" fontId="22" fillId="32" borderId="0" xfId="0" applyFont="1" applyFill="1" applyAlignment="1">
      <alignment horizontal="center" vertical="center" wrapText="1"/>
    </xf>
    <xf numFmtId="0" fontId="22" fillId="32" borderId="40" xfId="0" applyFont="1" applyFill="1" applyBorder="1" applyAlignment="1">
      <alignment horizontal="center" vertical="center" wrapText="1"/>
    </xf>
    <xf numFmtId="0" fontId="22" fillId="30" borderId="39" xfId="0" applyFont="1" applyFill="1" applyBorder="1" applyAlignment="1">
      <alignment horizontal="center" vertical="center" wrapText="1"/>
    </xf>
    <xf numFmtId="0" fontId="22" fillId="30" borderId="3" xfId="0" applyFont="1" applyFill="1" applyBorder="1" applyAlignment="1">
      <alignment horizontal="center" vertical="center" wrapText="1"/>
    </xf>
    <xf numFmtId="0" fontId="22" fillId="30" borderId="35" xfId="0" applyFont="1" applyFill="1" applyBorder="1" applyAlignment="1">
      <alignment horizontal="center" vertical="center" wrapText="1"/>
    </xf>
    <xf numFmtId="0" fontId="22" fillId="30" borderId="36" xfId="0" applyFont="1" applyFill="1" applyBorder="1" applyAlignment="1">
      <alignment horizontal="center" vertical="center" wrapText="1"/>
    </xf>
    <xf numFmtId="0" fontId="22" fillId="30" borderId="37" xfId="0" applyFont="1" applyFill="1" applyBorder="1" applyAlignment="1">
      <alignment horizontal="center" vertical="center" wrapText="1"/>
    </xf>
    <xf numFmtId="0" fontId="6" fillId="7" borderId="55" xfId="0" applyFont="1" applyFill="1" applyBorder="1" applyAlignment="1">
      <alignment horizontal="center" vertical="center" wrapText="1"/>
    </xf>
    <xf numFmtId="0" fontId="6" fillId="7" borderId="53" xfId="0" applyFont="1" applyFill="1" applyBorder="1" applyAlignment="1">
      <alignment horizontal="center" vertical="center" wrapText="1"/>
    </xf>
    <xf numFmtId="0" fontId="6" fillId="7" borderId="54" xfId="0" applyFont="1" applyFill="1" applyBorder="1" applyAlignment="1">
      <alignment horizontal="center" vertical="center" wrapText="1"/>
    </xf>
    <xf numFmtId="0" fontId="6" fillId="9" borderId="55" xfId="0" applyFont="1" applyFill="1" applyBorder="1" applyAlignment="1">
      <alignment horizontal="center" vertical="center" wrapText="1"/>
    </xf>
    <xf numFmtId="0" fontId="6" fillId="9" borderId="54" xfId="0" applyFont="1" applyFill="1" applyBorder="1" applyAlignment="1">
      <alignment horizontal="center" vertical="center" wrapText="1"/>
    </xf>
    <xf numFmtId="0" fontId="6" fillId="10" borderId="55" xfId="0" applyFont="1" applyFill="1" applyBorder="1" applyAlignment="1">
      <alignment horizontal="center" vertical="center" wrapText="1"/>
    </xf>
    <xf numFmtId="0" fontId="6" fillId="10" borderId="54" xfId="0" applyFont="1" applyFill="1" applyBorder="1" applyAlignment="1">
      <alignment horizontal="center" vertical="center" wrapText="1"/>
    </xf>
    <xf numFmtId="0" fontId="6" fillId="10" borderId="53" xfId="0" applyFont="1" applyFill="1" applyBorder="1" applyAlignment="1">
      <alignment horizontal="center" vertical="center" wrapText="1"/>
    </xf>
    <xf numFmtId="0" fontId="6" fillId="9" borderId="53" xfId="0" applyFont="1" applyFill="1" applyBorder="1" applyAlignment="1">
      <alignment horizontal="center" vertical="center" wrapText="1"/>
    </xf>
    <xf numFmtId="0" fontId="6" fillId="11" borderId="55" xfId="0" applyFont="1" applyFill="1" applyBorder="1" applyAlignment="1">
      <alignment horizontal="center" vertical="center" wrapText="1"/>
    </xf>
    <xf numFmtId="0" fontId="6" fillId="11" borderId="53" xfId="0" applyFont="1" applyFill="1" applyBorder="1" applyAlignment="1">
      <alignment horizontal="center" vertical="center" wrapText="1"/>
    </xf>
    <xf numFmtId="0" fontId="6" fillId="11" borderId="54" xfId="0" applyFont="1" applyFill="1" applyBorder="1" applyAlignment="1">
      <alignment horizontal="center" vertical="center" wrapText="1"/>
    </xf>
    <xf numFmtId="0" fontId="6" fillId="12" borderId="55" xfId="0" applyFont="1" applyFill="1" applyBorder="1" applyAlignment="1">
      <alignment horizontal="center" vertical="center" wrapText="1"/>
    </xf>
    <xf numFmtId="0" fontId="6" fillId="12" borderId="5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46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46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53" xfId="0" applyFont="1" applyFill="1" applyBorder="1" applyAlignment="1">
      <alignment horizontal="center" vertical="center" wrapText="1"/>
    </xf>
    <xf numFmtId="0" fontId="6" fillId="6" borderId="54" xfId="0" applyFont="1" applyFill="1" applyBorder="1" applyAlignment="1">
      <alignment horizontal="center" vertical="center" wrapText="1"/>
    </xf>
    <xf numFmtId="0" fontId="6" fillId="8" borderId="55" xfId="0" applyFont="1" applyFill="1" applyBorder="1" applyAlignment="1">
      <alignment horizontal="center" vertical="center" wrapText="1"/>
    </xf>
    <xf numFmtId="0" fontId="6" fillId="8" borderId="53" xfId="0" applyFont="1" applyFill="1" applyBorder="1" applyAlignment="1">
      <alignment horizontal="center" vertical="center" wrapText="1"/>
    </xf>
    <xf numFmtId="0" fontId="6" fillId="8" borderId="54" xfId="0" applyFont="1" applyFill="1" applyBorder="1" applyAlignment="1">
      <alignment horizontal="center" vertical="center" wrapText="1"/>
    </xf>
    <xf numFmtId="0" fontId="6" fillId="8" borderId="52" xfId="0" applyFont="1" applyFill="1" applyBorder="1" applyAlignment="1">
      <alignment horizontal="center" vertical="center" wrapText="1"/>
    </xf>
    <xf numFmtId="0" fontId="124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1" fillId="35" borderId="0" xfId="0" applyFont="1" applyFill="1" applyAlignment="1">
      <alignment wrapText="1"/>
    </xf>
    <xf numFmtId="0" fontId="21" fillId="35" borderId="0" xfId="0" applyFont="1" applyFill="1"/>
    <xf numFmtId="0" fontId="5" fillId="89" borderId="0" xfId="0" applyFont="1" applyFill="1" applyAlignment="1">
      <alignment horizontal="center"/>
    </xf>
    <xf numFmtId="0" fontId="12" fillId="18" borderId="61" xfId="0" applyFont="1" applyFill="1" applyBorder="1" applyAlignment="1">
      <alignment horizontal="center"/>
    </xf>
    <xf numFmtId="0" fontId="12" fillId="18" borderId="56" xfId="0" applyFont="1" applyFill="1" applyBorder="1" applyAlignment="1">
      <alignment horizontal="center"/>
    </xf>
    <xf numFmtId="0" fontId="12" fillId="37" borderId="61" xfId="0" applyFont="1" applyFill="1" applyBorder="1" applyAlignment="1">
      <alignment horizontal="center"/>
    </xf>
    <xf numFmtId="9" fontId="3" fillId="39" borderId="0" xfId="0" applyNumberFormat="1" applyFont="1" applyFill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36" borderId="61" xfId="0" applyFont="1" applyFill="1" applyBorder="1" applyAlignment="1">
      <alignment horizontal="center"/>
    </xf>
    <xf numFmtId="0" fontId="12" fillId="18" borderId="9" xfId="0" applyFont="1" applyFill="1" applyBorder="1" applyAlignment="1">
      <alignment horizontal="center"/>
    </xf>
    <xf numFmtId="0" fontId="12" fillId="18" borderId="111" xfId="0" applyFont="1" applyFill="1" applyBorder="1" applyAlignment="1">
      <alignment horizontal="center"/>
    </xf>
    <xf numFmtId="0" fontId="12" fillId="36" borderId="9" xfId="0" applyFont="1" applyFill="1" applyBorder="1" applyAlignment="1">
      <alignment horizontal="center"/>
    </xf>
    <xf numFmtId="0" fontId="12" fillId="36" borderId="0" xfId="0" applyFont="1" applyFill="1" applyAlignment="1">
      <alignment horizontal="center"/>
    </xf>
    <xf numFmtId="0" fontId="12" fillId="36" borderId="111" xfId="0" applyFont="1" applyFill="1" applyBorder="1" applyAlignment="1">
      <alignment horizontal="center"/>
    </xf>
    <xf numFmtId="0" fontId="0" fillId="86" borderId="0" xfId="0" applyFill="1" applyAlignment="1">
      <alignment horizontal="center"/>
    </xf>
    <xf numFmtId="0" fontId="0" fillId="85" borderId="0" xfId="0" applyFill="1" applyAlignment="1">
      <alignment horizontal="center"/>
    </xf>
    <xf numFmtId="0" fontId="0" fillId="62" borderId="56" xfId="0" applyFill="1" applyBorder="1" applyAlignment="1">
      <alignment horizontal="center"/>
    </xf>
    <xf numFmtId="0" fontId="0" fillId="62" borderId="0" xfId="0" applyFill="1" applyAlignment="1">
      <alignment horizontal="center"/>
    </xf>
    <xf numFmtId="0" fontId="12" fillId="41" borderId="63" xfId="0" applyFont="1" applyFill="1" applyBorder="1" applyAlignment="1">
      <alignment horizontal="center"/>
    </xf>
    <xf numFmtId="0" fontId="12" fillId="37" borderId="9" xfId="0" applyFont="1" applyFill="1" applyBorder="1" applyAlignment="1">
      <alignment horizontal="center"/>
    </xf>
    <xf numFmtId="0" fontId="12" fillId="37" borderId="0" xfId="0" applyFont="1" applyFill="1" applyAlignment="1">
      <alignment horizontal="center"/>
    </xf>
    <xf numFmtId="0" fontId="12" fillId="37" borderId="111" xfId="0" applyFont="1" applyFill="1" applyBorder="1" applyAlignment="1">
      <alignment horizontal="center"/>
    </xf>
    <xf numFmtId="0" fontId="12" fillId="37" borderId="56" xfId="0" applyFont="1" applyFill="1" applyBorder="1" applyAlignment="1">
      <alignment horizontal="center"/>
    </xf>
    <xf numFmtId="9" fontId="9" fillId="35" borderId="0" xfId="0" applyNumberFormat="1" applyFont="1" applyFill="1" applyAlignment="1">
      <alignment horizontal="center"/>
    </xf>
    <xf numFmtId="0" fontId="133" fillId="0" borderId="0" xfId="0" applyFont="1"/>
    <xf numFmtId="0" fontId="5" fillId="90" borderId="0" xfId="0" applyFont="1" applyFill="1" applyAlignment="1">
      <alignment wrapText="1"/>
    </xf>
    <xf numFmtId="0" fontId="0" fillId="0" borderId="0" xfId="0" applyAlignment="1">
      <alignment horizontal="left" vertical="center" indent="1"/>
    </xf>
    <xf numFmtId="168" fontId="0" fillId="0" borderId="0" xfId="0" applyNumberFormat="1"/>
  </cellXfs>
  <cellStyles count="13">
    <cellStyle name="Comma" xfId="1" builtinId="3"/>
    <cellStyle name="Comma 2" xfId="8" xr:uid="{76DA93A8-B99B-4EAA-A7C5-13A18B11F507}"/>
    <cellStyle name="Currency 2" xfId="3" xr:uid="{82DE5177-65B5-48A8-B58A-C5B5BFC5D473}"/>
    <cellStyle name="Currency 2 2" xfId="10" xr:uid="{5F672554-CB95-4350-932F-A50B4F358C99}"/>
    <cellStyle name="Millares 10 2 2 2" xfId="7" xr:uid="{4B72EF43-A000-4B9B-B609-9B7555E3DA1E}"/>
    <cellStyle name="Millares 10 2 2 2 2" xfId="12" xr:uid="{50D9BEB4-01D4-4122-B253-8906F247D9C5}"/>
    <cellStyle name="Normal" xfId="0" builtinId="0"/>
    <cellStyle name="Normal 2 2" xfId="4" xr:uid="{DAF96DC3-431C-49AF-B036-F1A4F6E79F62}"/>
    <cellStyle name="Normal 2 3" xfId="5" xr:uid="{1C23D2A6-A861-4894-A5CF-32C3A0E6CC90}"/>
    <cellStyle name="Percent" xfId="2" builtinId="5"/>
    <cellStyle name="Percent 2" xfId="9" xr:uid="{F8195D04-EEC1-4E5E-8811-ED817C096B44}"/>
    <cellStyle name="Porcentaje 2 2" xfId="6" xr:uid="{DA648A12-0CD0-4C8B-B808-822CC7D1C832}"/>
    <cellStyle name="Porcentaje 2 2 2" xfId="11" xr:uid="{30B958D5-6D5C-4975-B963-44B65AD375CE}"/>
  </cellStyles>
  <dxfs count="411">
    <dxf>
      <font>
        <b/>
        <i val="0"/>
        <color rgb="FF808080"/>
      </font>
      <fill>
        <patternFill patternType="solid">
          <fgColor indexed="64"/>
          <bgColor rgb="FFF2F2F2"/>
        </patternFill>
      </fill>
    </dxf>
    <dxf>
      <font>
        <b/>
        <i val="0"/>
        <color rgb="FFFFFFFF"/>
      </font>
      <fill>
        <patternFill patternType="solid">
          <fgColor indexed="64"/>
          <bgColor rgb="FF7F7F7F"/>
        </patternFill>
      </fill>
    </dxf>
    <dxf>
      <font>
        <b/>
        <i val="0"/>
        <color rgb="FF000000"/>
      </font>
      <fill>
        <patternFill patternType="solid">
          <fgColor indexed="64"/>
          <bgColor rgb="FFFFC00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8A1F1F"/>
      </font>
      <fill>
        <patternFill patternType="solid">
          <fgColor indexed="64"/>
          <bgColor rgb="FFF9A0A0"/>
        </patternFill>
      </fill>
    </dxf>
    <dxf>
      <font>
        <b/>
        <i val="0"/>
        <color rgb="FF8A3D00"/>
      </font>
      <fill>
        <patternFill patternType="solid">
          <fgColor indexed="64"/>
          <bgColor rgb="FFF9A26C"/>
        </patternFill>
      </fill>
    </dxf>
    <dxf>
      <font>
        <b/>
        <i val="0"/>
        <color rgb="FF7A4A00"/>
      </font>
      <fill>
        <patternFill patternType="solid">
          <fgColor indexed="64"/>
          <bgColor rgb="FFFCD9A0"/>
        </patternFill>
      </fill>
    </dxf>
    <dxf>
      <font>
        <b/>
        <i val="0"/>
        <color rgb="FF15522A"/>
      </font>
      <fill>
        <patternFill patternType="solid">
          <fgColor indexed="64"/>
          <bgColor rgb="FFA8E6A3"/>
        </patternFill>
      </fill>
    </dxf>
    <dxf>
      <font>
        <color rgb="FF9C0006"/>
      </font>
      <fill>
        <patternFill patternType="solid">
          <fgColor indexed="64"/>
          <bgColor rgb="FFF5A3A3"/>
        </patternFill>
      </fill>
    </dxf>
    <dxf>
      <font>
        <color rgb="FF8A3B12"/>
      </font>
      <fill>
        <patternFill patternType="solid">
          <fgColor indexed="64"/>
          <bgColor rgb="FFF4926B"/>
        </patternFill>
      </fill>
    </dxf>
    <dxf>
      <font>
        <color rgb="FF8A5B00"/>
      </font>
      <fill>
        <patternFill patternType="solid">
          <fgColor indexed="64"/>
          <bgColor rgb="FFFBD5A0"/>
        </patternFill>
      </fill>
    </dxf>
    <dxf>
      <font>
        <color rgb="FF1D6F42"/>
      </font>
      <fill>
        <patternFill patternType="solid">
          <fgColor indexed="64"/>
          <bgColor rgb="FFA9DFBF"/>
        </patternFill>
      </fill>
    </dxf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833C00"/>
      </font>
      <fill>
        <patternFill patternType="solid">
          <fgColor indexed="64"/>
          <bgColor rgb="FFF8CBAD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ont>
        <color rgb="FF843C0C"/>
      </font>
      <fill>
        <patternFill patternType="solid">
          <fgColor indexed="64"/>
          <bgColor rgb="FFFCE4D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843C0C"/>
      </font>
      <fill>
        <patternFill patternType="solid">
          <fgColor indexed="64"/>
          <bgColor rgb="FFFCE4D6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A6A6A6"/>
      </font>
      <fill>
        <patternFill patternType="solid">
          <fgColor indexed="64"/>
          <bgColor rgb="FFF2F2F2"/>
        </patternFill>
      </fill>
    </dxf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theme="0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theme="0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0000"/>
      </font>
      <fill>
        <patternFill patternType="none">
          <bgColor auto="1"/>
        </patternFill>
      </fill>
    </dxf>
    <dxf>
      <font>
        <color rgb="FFFFFFFF"/>
      </font>
    </dxf>
    <dxf>
      <font>
        <color theme="0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  <fill>
        <patternFill>
          <bgColor rgb="FF419D59"/>
        </patternFill>
      </fill>
    </dxf>
    <dxf>
      <font>
        <b/>
        <i val="0"/>
      </font>
      <fill>
        <patternFill>
          <bgColor rgb="FF68C07F"/>
        </patternFill>
      </fill>
    </dxf>
    <dxf>
      <font>
        <b/>
        <i val="0"/>
      </font>
      <fill>
        <patternFill>
          <bgColor rgb="FFA5D69A"/>
        </patternFill>
      </fill>
    </dxf>
    <dxf>
      <font>
        <b/>
        <i val="0"/>
      </font>
      <fill>
        <patternFill>
          <bgColor rgb="FFEEE683"/>
        </patternFill>
      </fill>
    </dxf>
    <dxf>
      <font>
        <b/>
        <i val="0"/>
      </font>
      <fill>
        <patternFill>
          <bgColor rgb="FFF9806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auto="1"/>
      </font>
      <fill>
        <patternFill>
          <fgColor rgb="FFFFC000"/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ont>
        <color theme="0"/>
      </font>
    </dxf>
    <dxf>
      <font>
        <color theme="9" tint="0.79998168889431442"/>
      </font>
    </dxf>
    <dxf>
      <font>
        <color theme="9" tint="0.7999816888943144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9" tint="0.79998168889431442"/>
      </font>
    </dxf>
    <dxf>
      <font>
        <color auto="1"/>
      </font>
      <fill>
        <patternFill>
          <fgColor rgb="FFFFC000"/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</dxf>
    <dxf>
      <font>
        <color rgb="FF9C0006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rgb="FF404040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border diagonalUp="0" diagonalDown="0" outline="0">
        <left style="thick">
          <color auto="1"/>
        </left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border diagonalUp="0" diagonalDown="0">
        <left style="medium">
          <color theme="5"/>
        </left>
        <right style="medium">
          <color theme="5"/>
        </right>
        <vertical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border diagonalUp="0" diagonalDown="0">
        <left style="medium">
          <color theme="5"/>
        </left>
        <right style="medium">
          <color theme="5"/>
        </right>
        <vertical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border diagonalUp="0" diagonalDown="0">
        <left style="medium">
          <color theme="5"/>
        </left>
        <right style="medium">
          <color theme="5"/>
        </right>
        <vertical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79" formatCode="&quot;$&quot;#,##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74" formatCode="#,##0.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3" formatCode="#,##0"/>
      <border diagonalUp="0" diagonalDown="0" outline="0">
        <left style="medium">
          <color rgb="FF404040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3" formatCode="#,##0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" formatCode="0"/>
      <border diagonalUp="0" diagonalDown="0" outline="0">
        <left style="medium">
          <color rgb="FF404040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ck">
          <color auto="1"/>
        </left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70" formatCode="0.0%;\(0.0%\);\-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70" formatCode="0.0%;\(0.0%\);\-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70" formatCode="0.0%;\(0.0%\);\-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70" formatCode="0.0%;\(0.0%\);\-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9" formatCode="&quot;$&quot;#,##0;\(&quot;$&quot;#,##0\);\-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9" formatCode="&quot;$&quot;#,##0;\(&quot;$&quot;#,##0\);\-"/>
      <border diagonalUp="0" diagonalDown="0" outline="0">
        <left style="medium">
          <color rgb="FF404040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1" formatCode="0.0"/>
      <border diagonalUp="0" diagonalDown="0">
        <left style="medium">
          <color theme="5"/>
        </left>
        <right style="medium">
          <color theme="5"/>
        </right>
        <top style="thin">
          <color rgb="FFD9D9D9"/>
        </top>
        <bottom style="thin">
          <color rgb="FFD9D9D9"/>
        </bottom>
        <vertical/>
        <horizontal style="thin">
          <color rgb="FFD9D9D9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3" formatCode="0%"/>
      <border diagonalUp="0" diagonalDown="0">
        <left style="medium">
          <color rgb="FF404040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rgb="FF404040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3" formatCode="0%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3" formatCode="0%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3" formatCode="0%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3" formatCode="0%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3" formatCode="0%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3" formatCode="0%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3" formatCode="0%"/>
      <border diagonalUp="0" diagonalDown="0" outline="0">
        <left style="medium">
          <color rgb="FF404040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F7F7F"/>
        <name val="Arial"/>
        <family val="2"/>
        <scheme val="none"/>
      </font>
      <numFmt numFmtId="169" formatCode="&quot;$&quot;#,##0;\(&quot;$&quot;#,##0\);\-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F7F7F"/>
        <name val="Arial"/>
        <family val="2"/>
        <scheme val="none"/>
      </font>
      <numFmt numFmtId="171" formatCode="0.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F7F7F"/>
        <name val="Arial"/>
        <family val="2"/>
        <scheme val="none"/>
      </font>
      <numFmt numFmtId="171" formatCode="0.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F7F7F"/>
        <name val="Arial"/>
        <family val="2"/>
        <scheme val="none"/>
      </font>
      <numFmt numFmtId="171" formatCode="0.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F7F7F"/>
        <name val="Arial"/>
        <family val="2"/>
        <scheme val="none"/>
      </font>
      <numFmt numFmtId="171" formatCode="0.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F7F7F"/>
        <name val="Arial"/>
        <family val="2"/>
        <scheme val="none"/>
      </font>
      <numFmt numFmtId="170" formatCode="0.0%;\(0.0%\);\-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F7F7F"/>
        <name val="Arial"/>
        <family val="2"/>
        <scheme val="none"/>
      </font>
      <numFmt numFmtId="174" formatCode="#,##0.0"/>
      <border diagonalUp="0" diagonalDown="0" outline="0">
        <left style="medium">
          <color rgb="FF404040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9" formatCode="&quot;$&quot;#,##0;\(&quot;$&quot;#,##0\);\-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1" formatCode="0.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1" formatCode="0.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1" formatCode="0.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1" formatCode="0.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70" formatCode="0.0%;\(0.0%\);\-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74" formatCode="#,##0.0"/>
      <border diagonalUp="0" diagonalDown="0" outline="0">
        <left style="medium">
          <color rgb="FF404040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" formatCode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Arial"/>
        <family val="2"/>
        <scheme val="none"/>
      </font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top style="thin">
          <color rgb="FFD9D9D9"/>
        </top>
      </border>
    </dxf>
    <dxf>
      <border outline="0">
        <top style="thin">
          <color rgb="FFD9D9D9"/>
        </top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3" formatCode="0.0%"/>
      <alignment horizontal="right" vertical="center" textRotation="0" wrapText="0" indent="0" justifyLastLine="0" shrinkToFit="0" readingOrder="0"/>
      <border diagonalUp="0" diagonalDown="0">
        <left/>
        <right style="medium">
          <color theme="0"/>
        </right>
        <top/>
        <bottom/>
        <vertical/>
        <horizontal/>
      </border>
    </dxf>
    <dxf>
      <numFmt numFmtId="176" formatCode="_-* #,##0_-;\-* #,##0_-;_-* &quot;-&quot;??_-;_-@_-"/>
      <alignment horizontal="center" vertical="center" textRotation="0" wrapText="0" indent="0" justifyLastLine="0" shrinkToFit="0" readingOrder="0"/>
    </dxf>
    <dxf>
      <numFmt numFmtId="176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3" formatCode="0.0%"/>
      <alignment horizontal="right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6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6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6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7" formatCode="_-* #,##0.0_-;\-* #,##0.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7" formatCode="_-* #,##0.0_-;\-* #,##0.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7" formatCode="_-* #,##0.0_-;\-* #,##0.0_-;_-* &quot;-&quot;??_-;_-@_-"/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3" formatCode="0.0%"/>
      <alignment horizontal="right" vertical="center" textRotation="0" wrapText="0" indent="0" justifyLastLine="0" shrinkToFit="0" readingOrder="0"/>
    </dxf>
    <dxf>
      <numFmt numFmtId="176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3" formatCode="0.0%"/>
      <alignment horizontal="right" vertical="center" textRotation="0" wrapText="0" indent="0" justifyLastLine="0" shrinkToFit="0" readingOrder="0"/>
    </dxf>
    <dxf>
      <numFmt numFmtId="176" formatCode="_-* #,##0_-;\-* #,##0_-;_-* &quot;-&quot;??_-;_-@_-"/>
      <alignment horizontal="center" vertical="center" textRotation="0" wrapText="0" indent="0" justifyLastLine="0" shrinkToFit="0" readingOrder="0"/>
    </dxf>
    <dxf>
      <numFmt numFmtId="176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/>
        <top/>
        <bottom/>
        <vertical/>
        <horizontal/>
      </border>
    </dxf>
    <dxf>
      <numFmt numFmtId="176" formatCode="_-* #,##0_-;\-* #,##0_-;_-* &quot;-&quot;??_-;_-@_-"/>
      <alignment horizontal="center" vertical="center" textRotation="0" wrapText="0" indent="0" justifyLastLine="0" shrinkToFit="0" readingOrder="0"/>
    </dxf>
    <dxf>
      <numFmt numFmtId="176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6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/>
        <right style="medium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6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6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6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6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6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6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6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6" formatCode="_-* #,##0_-;\-* #,##0_-;_-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theme="0"/>
        </right>
        <top/>
        <bottom/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</dxf>
    <dxf>
      <numFmt numFmtId="177" formatCode="_-* #,##0.0_-;\-* #,##0.0_-;_-* &quot;-&quot;??_-;_-@_-"/>
      <alignment horizontal="center" vertical="center" textRotation="0" wrapText="0" indent="0" justifyLastLine="0" shrinkToFit="0" readingOrder="0"/>
    </dxf>
    <dxf>
      <numFmt numFmtId="166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medium">
          <color rgb="FFFFFFFF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#,##0.0;\(#,##0.0\);\-"/>
      <alignment horizontal="center" vertical="center" textRotation="0" wrapText="0" indent="0" justifyLastLine="0" shrinkToFit="0" readingOrder="0"/>
      <border diagonalUp="0" diagonalDown="0">
        <left/>
        <right style="medium">
          <color rgb="FFFFFFFF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0" formatCode="0.0%;\(0.0%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#,##0.0;\(#,##0.0\);\-"/>
      <alignment horizontal="center" vertical="center" textRotation="0" wrapText="0" indent="0" justifyLastLine="0" shrinkToFit="0" readingOrder="0"/>
      <border diagonalUp="0" diagonalDown="0">
        <left style="medium">
          <color rgb="FFFFFFFF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#,##0;\(#,##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0" formatCode="0.0%;\(0.0%\);\-"/>
      <alignment horizontal="center" vertical="center" textRotation="0" wrapText="0" indent="0" justifyLastLine="0" shrinkToFit="0" readingOrder="0"/>
      <border diagonalUp="0" diagonalDown="0">
        <left style="medium">
          <color rgb="FFFFFFFF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#,##0;\(#,##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#,##0;\(#,##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#,##0;\(#,##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#,##0;\(#,##0\);\-"/>
      <alignment horizontal="center" vertical="center" textRotation="0" wrapText="0" indent="0" justifyLastLine="0" shrinkToFit="0" readingOrder="0"/>
      <border diagonalUp="0" diagonalDown="0">
        <left style="medium">
          <color rgb="FFFFFFFF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&quot;$&quot;#,##0;\(&quot;$&quot;#,##0\);\-"/>
      <alignment horizontal="center" vertical="center" textRotation="0" wrapText="0" indent="0" justifyLastLine="0" shrinkToFit="0" readingOrder="0"/>
      <border diagonalUp="0" diagonalDown="0">
        <left style="medium">
          <color rgb="FFFFFFFF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&quot;$&quot;#,##0;\(&quot;$&quot;#,##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#,##0;\(#,##0\);\-"/>
      <alignment horizontal="center" vertical="center" textRotation="0" wrapText="0" indent="0" justifyLastLine="0" shrinkToFit="0" readingOrder="0"/>
      <border diagonalUp="0" diagonalDown="0">
        <left style="medium">
          <color rgb="FFFFFFFF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#,##0;\(#,##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0" formatCode="0.0%;\(0.0%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&quot;$&quot;#,##0;\(&quot;$&quot;#,##0\);\-"/>
      <alignment horizontal="center" vertical="center" textRotation="0" wrapText="0" indent="0" justifyLastLine="0" shrinkToFit="0" readingOrder="0"/>
      <border diagonalUp="0" diagonalDown="0">
        <left style="medium">
          <color rgb="FFFFFFFF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0" formatCode="0.0%;\(0.0%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&quot;$&quot;#,##0;\(&quot;$&quot;#,##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&quot;$&quot;#,##0;\(&quot;$&quot;#,##0\);\-"/>
      <alignment horizontal="center" vertical="center" textRotation="0" wrapText="0" indent="0" justifyLastLine="0" shrinkToFit="0" readingOrder="0"/>
      <border diagonalUp="0" diagonalDown="0">
        <left style="medium">
          <color rgb="FFFFFFFF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0" formatCode="0.0%;\(0.0%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#,##0;\(#,##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#,##0;\(#,##0\);\-"/>
      <alignment horizontal="center" vertical="center" textRotation="0" wrapText="0" indent="0" justifyLastLine="0" shrinkToFit="0" readingOrder="0"/>
      <border diagonalUp="0" diagonalDown="0">
        <left style="medium">
          <color rgb="FFFFFFFF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0" formatCode="0.0%;\(0.0%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0" formatCode="0.0%;\(0.0%\);\-"/>
      <alignment horizontal="center" vertical="center" textRotation="0" wrapText="0" indent="0" justifyLastLine="0" shrinkToFit="0" readingOrder="0"/>
      <border diagonalUp="0" diagonalDown="0">
        <left style="medium">
          <color rgb="FFFFFFFF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#,##0;\(#,##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#,##0;\(#,##0\);\-"/>
      <alignment horizontal="center" vertical="center" textRotation="0" wrapText="0" indent="0" justifyLastLine="0" shrinkToFit="0" readingOrder="0"/>
      <border diagonalUp="0" diagonalDown="0">
        <left style="medium">
          <color rgb="FFFFFFFF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#,##0;\(#,##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#,##0;\(#,##0\);\-"/>
      <alignment horizontal="center" vertical="center" textRotation="0" wrapText="0" indent="0" justifyLastLine="0" shrinkToFit="0" readingOrder="0"/>
      <border diagonalUp="0" diagonalDown="0">
        <left style="medium">
          <color rgb="FFFFFFFF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&quot;$&quot;#,##0;\(&quot;$&quot;#,##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&quot;$&quot;#,##0;\(&quot;$&quot;#,##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&quot;$&quot;#,##0;\(&quot;$&quot;#,##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&quot;$&quot;#,##0;\(&quot;$&quot;#,##0\);\-"/>
      <alignment horizontal="center" vertical="center" textRotation="0" wrapText="0" indent="0" justifyLastLine="0" shrinkToFit="0" readingOrder="0"/>
      <border diagonalUp="0" diagonalDown="0">
        <left style="medium">
          <color rgb="FFFFFFFF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0" formatCode="0.0%;\(0.0%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0" formatCode="0.0%;\(0.0%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0" formatCode="0.0%;\(0.0%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0" formatCode="0.0%;\(0.0%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rgb="FFFFFFFF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#,##0.0;\(#,##0.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#,##0.0;\(#,##0.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#,##0.0;\(#,##0.0\);\-"/>
      <alignment horizontal="center" vertical="center" textRotation="0" wrapText="0" indent="0" justifyLastLine="0" shrinkToFit="0" readingOrder="0"/>
      <border diagonalUp="0" diagonalDown="0">
        <left style="medium">
          <color rgb="FFFFFFFF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0" formatCode="0.0%;\(0.0%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&quot;$&quot;#,##0;\(&quot;$&quot;#,##0\);\-"/>
      <alignment horizontal="center" vertical="center" textRotation="0" wrapText="0" indent="0" justifyLastLine="0" shrinkToFit="0" readingOrder="0"/>
      <border diagonalUp="0" diagonalDown="0">
        <left style="medium">
          <color rgb="FFFFFFFF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&quot;$&quot;#,##0;\(&quot;$&quot;#,##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&quot;$&quot;#,##0;\(&quot;$&quot;#,##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&quot;$&quot;#,##0;\(&quot;$&quot;#,##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&quot;$&quot;#,##0;\(&quot;$&quot;#,##0\);\-"/>
      <alignment horizontal="center" vertical="center" textRotation="0" wrapText="0" indent="0" justifyLastLine="0" shrinkToFit="0" readingOrder="0"/>
      <border diagonalUp="0" diagonalDown="0">
        <left style="medium">
          <color rgb="FFFFFFFF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#,##0.0;\(#,##0.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#,##0.0;\(#,##0.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#,##0.0;\(#,##0.0\);\-"/>
      <alignment horizontal="center" vertical="center" textRotation="0" wrapText="0" indent="0" justifyLastLine="0" shrinkToFit="0" readingOrder="0"/>
      <border diagonalUp="0" diagonalDown="0">
        <left style="medium">
          <color rgb="FFFFFFFF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#,##0;\(#,##0\);\-"/>
      <alignment horizontal="center" vertical="center" textRotation="0" wrapText="0" indent="0" justifyLastLine="0" shrinkToFit="0" readingOrder="0"/>
      <border diagonalUp="0" diagonalDown="0">
        <left style="medium">
          <color rgb="FFFFFFFF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3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3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5" formatCode="\$#,##0"/>
      <border diagonalUp="0" diagonalDown="0">
        <left style="thin">
          <color theme="0"/>
        </left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5" formatCode="\$#,##0"/>
      <border diagonalUp="0" diagonalDown="0">
        <left/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5" formatCode="\$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5" formatCode="\$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5" formatCode="\$#,##0"/>
      <border diagonalUp="0" diagonalDown="0">
        <left style="thin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border diagonalUp="0" diagonalDown="0">
        <left/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3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5" formatCode="\$#,##0"/>
      <border diagonalUp="0" diagonalDown="0">
        <left style="thin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3" formatCode="0.0%"/>
      <border diagonalUp="0" diagonalDown="0">
        <left/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5" formatCode="\$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5" formatCode="\$#,##0"/>
      <border diagonalUp="0" diagonalDown="0">
        <left style="thin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3" formatCode="0.0%"/>
      <border diagonalUp="0" diagonalDown="0">
        <left/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border diagonalUp="0" diagonalDown="0">
        <left style="thin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3" formatCode="0.0%"/>
      <border diagonalUp="0" diagonalDown="0">
        <left/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3" formatCode="0.0%"/>
      <border diagonalUp="0" diagonalDown="0">
        <left style="thin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border diagonalUp="0" diagonalDown="0">
        <left/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border diagonalUp="0" diagonalDown="0">
        <left style="thin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3" formatCode="0.0%"/>
      <border diagonalUp="0" diagonalDown="0">
        <left/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3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3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8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8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8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8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3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3" formatCode="0.0%"/>
      <border diagonalUp="0" diagonalDown="0">
        <left style="thin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border diagonalUp="0" diagonalDown="0">
        <left/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" formatCode="0"/>
      <border diagonalUp="0" diagonalDown="0">
        <left style="thin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/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3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5" formatCode="\$#,##0"/>
      <border diagonalUp="0" diagonalDown="0">
        <left style="thin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5" formatCode="\$#,##0"/>
      <border diagonalUp="0" diagonalDown="0">
        <left/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5" formatCode="\$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5" formatCode="\$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5" formatCode="\$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5" formatCode="\$#,##0"/>
      <border diagonalUp="0" diagonalDown="0">
        <left style="thin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5" formatCode="\$#,##0"/>
      <border diagonalUp="0" diagonalDown="0">
        <left/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5" formatCode="\$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5" formatCode="\$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5" formatCode="\$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4" formatCode="#,##0.00"/>
      <border diagonalUp="0" diagonalDown="0">
        <left/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4" formatCode="#,##0.00"/>
      <border diagonalUp="0" diagonalDown="0">
        <left style="thin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border diagonalUp="0" diagonalDown="0">
        <left/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/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7A0C0C"/>
          <bgColor rgb="FF5C0A0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ntec-my.sharepoint.com/personal/beatriz_gomez_sintec_com/Documents/D2C%20Canal%20Hogar%20Arca%20(Mex)/Carpeta%20compartida%20Arca/RFI%20-%20Documentos%20compartidos%20por%20ARCA/7.5%20Productividad%20de%20Rutas/Analisis%20Rentabilidad%20Rutas%20-%202026.xlsx" TargetMode="External"/><Relationship Id="rId2" Type="http://schemas.microsoft.com/office/2019/04/relationships/externalLinkLongPath" Target="https://sintec-my.sharepoint.com/personal/beatriz_gomez_sintec_com/Documents/D2C%20Canal%20Hogar%20Arca%20(Mex)/Carpeta%20compartida%20Arca/RFI%20-%20Documentos%20compartidos%20por%20ARCA/7.5%20Productividad%20de%20Rutas/Analisis%20Rentabilidad%20Rutas%20-%202026.xlsx?55E4442D" TargetMode="External"/><Relationship Id="rId1" Type="http://schemas.openxmlformats.org/officeDocument/2006/relationships/externalLinkPath" Target="file:///\\55E4442D\Analisis%20Rentabilidad%20Rutas%20-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ntec-my.sharepoint.com/personal/beatriz_gomez_sintec_com/Documents/D2C%20Canal%20Hogar%20Arca%20(Mex)/03.%20Documentos%20del%20proyecto/3.7%20RTM%20ideal/RTM%20Ideal%20-%20Potencial%20y%20Rentabilidad%20x%20Cedis-Rutas.xlsx" TargetMode="External"/><Relationship Id="rId1" Type="http://schemas.openxmlformats.org/officeDocument/2006/relationships/externalLinkPath" Target="https://sintec-my.sharepoint.com/personal/beatriz_gomez_sintec_com/Documents/D2C%20Canal%20Hogar%20Arca%20(Mex)/03.%20Documentos%20del%20proyecto/3.7%20RTM%20ideal/RTM%20Ideal%20-%20Potencial%20y%20Rentabilidad%20x%20Cedis-Ruta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ntec-my.sharepoint.com/personal/beatriz_gomez_sintec_com/Documents/D2C%20Canal%20Hogar%20Arca%20(Mex)/03.%20Documentos%20del%20proyecto/3.7%20RTM%20ideal/Portafolio/An&#225;lisis%20segmento_con%20capacidad.xlsx" TargetMode="External"/><Relationship Id="rId1" Type="http://schemas.openxmlformats.org/officeDocument/2006/relationships/externalLinkPath" Target="https://sintec-my.sharepoint.com/personal/beatriz_gomez_sintec_com/Documents/D2C%20Canal%20Hogar%20Arca%20(Mex)/03.%20Documentos%20del%20proyecto/3.7%20RTM%20ideal/Portafolio/An&#225;lisis%20segmento_con%20capacid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entabilidad x Ruta"/>
      <sheetName val="Vol. &amp; Ing. GFN Puras"/>
      <sheetName val="Hoja1"/>
      <sheetName val="Vol. &amp; Ing. Hogar"/>
      <sheetName val="Mapeo"/>
      <sheetName val="Lista Maestra"/>
      <sheetName val="Rutas"/>
      <sheetName val="Gastos x CeCo"/>
      <sheetName val="BD Llenado"/>
    </sheetNames>
    <sheetDataSet>
      <sheetData sheetId="0">
        <row r="2">
          <cell r="D2" t="str">
            <v>Occidente</v>
          </cell>
        </row>
      </sheetData>
      <sheetData sheetId="1"/>
      <sheetData sheetId="2"/>
      <sheetData sheetId="3">
        <row r="4">
          <cell r="CP4" t="str">
            <v>Ingresos Totales</v>
          </cell>
        </row>
      </sheetData>
      <sheetData sheetId="4">
        <row r="4">
          <cell r="Q4" t="str">
            <v>20.0 L</v>
          </cell>
        </row>
      </sheetData>
      <sheetData sheetId="5">
        <row r="10">
          <cell r="E10" t="str">
            <v>Territorio</v>
          </cell>
        </row>
      </sheetData>
      <sheetData sheetId="6">
        <row r="3">
          <cell r="E3" t="str">
            <v>ID CeDi</v>
          </cell>
        </row>
      </sheetData>
      <sheetData sheetId="7">
        <row r="5">
          <cell r="E5" t="str">
            <v>Zona</v>
          </cell>
        </row>
      </sheetData>
      <sheetData sheetId="8">
        <row r="4">
          <cell r="AB4" t="str">
            <v>A</v>
          </cell>
        </row>
        <row r="6">
          <cell r="U6" t="str">
            <v>Tipo</v>
          </cell>
        </row>
        <row r="7">
          <cell r="U7">
            <v>2026</v>
          </cell>
        </row>
        <row r="8">
          <cell r="U8">
            <v>2026</v>
          </cell>
        </row>
        <row r="9">
          <cell r="U9">
            <v>2026</v>
          </cell>
        </row>
        <row r="10">
          <cell r="U10">
            <v>2026</v>
          </cell>
        </row>
        <row r="11">
          <cell r="U11">
            <v>2026</v>
          </cell>
        </row>
        <row r="12">
          <cell r="U12">
            <v>2026</v>
          </cell>
        </row>
        <row r="13">
          <cell r="U13">
            <v>2026</v>
          </cell>
        </row>
        <row r="14">
          <cell r="U14">
            <v>2026</v>
          </cell>
        </row>
        <row r="15">
          <cell r="U15">
            <v>2026</v>
          </cell>
        </row>
        <row r="16">
          <cell r="U16">
            <v>2026</v>
          </cell>
        </row>
        <row r="17">
          <cell r="U17">
            <v>2026</v>
          </cell>
        </row>
        <row r="18">
          <cell r="U18">
            <v>2026</v>
          </cell>
        </row>
        <row r="19">
          <cell r="U19">
            <v>2026</v>
          </cell>
        </row>
        <row r="20">
          <cell r="U20">
            <v>2026</v>
          </cell>
        </row>
        <row r="21">
          <cell r="U21">
            <v>2026</v>
          </cell>
        </row>
        <row r="22">
          <cell r="U22">
            <v>2026</v>
          </cell>
        </row>
        <row r="23">
          <cell r="U23">
            <v>2026</v>
          </cell>
        </row>
        <row r="24">
          <cell r="U24">
            <v>2026</v>
          </cell>
        </row>
        <row r="25">
          <cell r="U25">
            <v>2026</v>
          </cell>
        </row>
        <row r="26">
          <cell r="U26">
            <v>2026</v>
          </cell>
        </row>
        <row r="27">
          <cell r="U27">
            <v>2026</v>
          </cell>
        </row>
        <row r="28">
          <cell r="U28">
            <v>2026</v>
          </cell>
        </row>
        <row r="29">
          <cell r="U29">
            <v>2026</v>
          </cell>
        </row>
        <row r="30">
          <cell r="U30">
            <v>2026</v>
          </cell>
        </row>
        <row r="31">
          <cell r="U31">
            <v>2026</v>
          </cell>
        </row>
        <row r="32">
          <cell r="U32">
            <v>2026</v>
          </cell>
        </row>
        <row r="33">
          <cell r="U33">
            <v>2026</v>
          </cell>
        </row>
        <row r="34">
          <cell r="U34">
            <v>2026</v>
          </cell>
        </row>
        <row r="35">
          <cell r="U35">
            <v>2026</v>
          </cell>
        </row>
        <row r="36">
          <cell r="U36">
            <v>2026</v>
          </cell>
        </row>
        <row r="37">
          <cell r="U37">
            <v>2026</v>
          </cell>
        </row>
        <row r="38">
          <cell r="U38">
            <v>2026</v>
          </cell>
        </row>
        <row r="39">
          <cell r="U39">
            <v>2026</v>
          </cell>
        </row>
        <row r="40">
          <cell r="U40">
            <v>2026</v>
          </cell>
        </row>
        <row r="41">
          <cell r="U41">
            <v>2026</v>
          </cell>
        </row>
        <row r="42">
          <cell r="U42">
            <v>2026</v>
          </cell>
        </row>
        <row r="43">
          <cell r="U43">
            <v>2026</v>
          </cell>
        </row>
        <row r="44">
          <cell r="U44">
            <v>2026</v>
          </cell>
        </row>
        <row r="45">
          <cell r="U45">
            <v>2026</v>
          </cell>
        </row>
        <row r="46">
          <cell r="U46">
            <v>2026</v>
          </cell>
        </row>
        <row r="47">
          <cell r="U47">
            <v>2026</v>
          </cell>
        </row>
        <row r="48">
          <cell r="U48">
            <v>2026</v>
          </cell>
        </row>
        <row r="49">
          <cell r="U49">
            <v>2026</v>
          </cell>
        </row>
        <row r="50">
          <cell r="U50">
            <v>2026</v>
          </cell>
        </row>
        <row r="51">
          <cell r="U51">
            <v>2026</v>
          </cell>
        </row>
        <row r="52">
          <cell r="U52">
            <v>2026</v>
          </cell>
        </row>
        <row r="53">
          <cell r="U53">
            <v>2026</v>
          </cell>
        </row>
        <row r="54">
          <cell r="U54">
            <v>2026</v>
          </cell>
        </row>
        <row r="55">
          <cell r="U55">
            <v>2026</v>
          </cell>
        </row>
        <row r="56">
          <cell r="U56">
            <v>2026</v>
          </cell>
        </row>
        <row r="57">
          <cell r="U57">
            <v>2026</v>
          </cell>
        </row>
        <row r="58">
          <cell r="U58">
            <v>2026</v>
          </cell>
        </row>
        <row r="59">
          <cell r="U59">
            <v>2026</v>
          </cell>
        </row>
        <row r="60">
          <cell r="U60">
            <v>2026</v>
          </cell>
        </row>
        <row r="61">
          <cell r="U61">
            <v>2026</v>
          </cell>
        </row>
        <row r="62">
          <cell r="U62">
            <v>2026</v>
          </cell>
        </row>
        <row r="63">
          <cell r="U63">
            <v>2026</v>
          </cell>
        </row>
        <row r="64">
          <cell r="U64">
            <v>2026</v>
          </cell>
        </row>
        <row r="65">
          <cell r="U65">
            <v>2026</v>
          </cell>
        </row>
        <row r="66">
          <cell r="U66">
            <v>2026</v>
          </cell>
        </row>
        <row r="67">
          <cell r="U67">
            <v>2026</v>
          </cell>
        </row>
        <row r="68">
          <cell r="U68">
            <v>2026</v>
          </cell>
        </row>
        <row r="69">
          <cell r="U69">
            <v>2026</v>
          </cell>
        </row>
        <row r="70">
          <cell r="U70">
            <v>2026</v>
          </cell>
        </row>
        <row r="71">
          <cell r="U71">
            <v>2026</v>
          </cell>
        </row>
        <row r="72">
          <cell r="U72">
            <v>2026</v>
          </cell>
        </row>
        <row r="73">
          <cell r="U73">
            <v>2026</v>
          </cell>
        </row>
        <row r="74">
          <cell r="U74">
            <v>2026</v>
          </cell>
        </row>
        <row r="75">
          <cell r="U75">
            <v>2026</v>
          </cell>
        </row>
        <row r="76">
          <cell r="U76">
            <v>2026</v>
          </cell>
        </row>
        <row r="77">
          <cell r="U77">
            <v>2026</v>
          </cell>
        </row>
        <row r="78">
          <cell r="U78">
            <v>2026</v>
          </cell>
        </row>
        <row r="79">
          <cell r="U79">
            <v>2026</v>
          </cell>
        </row>
        <row r="80">
          <cell r="U80">
            <v>2026</v>
          </cell>
        </row>
        <row r="81">
          <cell r="U81">
            <v>2026</v>
          </cell>
        </row>
        <row r="82">
          <cell r="U82">
            <v>2026</v>
          </cell>
        </row>
        <row r="83">
          <cell r="U83">
            <v>2026</v>
          </cell>
        </row>
        <row r="84">
          <cell r="U84">
            <v>2026</v>
          </cell>
        </row>
        <row r="85">
          <cell r="U85">
            <v>2026</v>
          </cell>
        </row>
        <row r="86">
          <cell r="U86">
            <v>2026</v>
          </cell>
        </row>
        <row r="87">
          <cell r="U87">
            <v>2026</v>
          </cell>
        </row>
        <row r="88">
          <cell r="U88">
            <v>2026</v>
          </cell>
        </row>
        <row r="89">
          <cell r="U89">
            <v>2026</v>
          </cell>
        </row>
        <row r="90">
          <cell r="U90">
            <v>2026</v>
          </cell>
        </row>
        <row r="91">
          <cell r="U91">
            <v>2026</v>
          </cell>
        </row>
        <row r="92">
          <cell r="U92">
            <v>2026</v>
          </cell>
        </row>
        <row r="93">
          <cell r="U93">
            <v>2026</v>
          </cell>
        </row>
        <row r="94">
          <cell r="U94">
            <v>2026</v>
          </cell>
        </row>
        <row r="95">
          <cell r="U95">
            <v>2026</v>
          </cell>
        </row>
        <row r="96">
          <cell r="U96">
            <v>2026</v>
          </cell>
        </row>
        <row r="97">
          <cell r="U97">
            <v>2026</v>
          </cell>
        </row>
        <row r="98">
          <cell r="U98">
            <v>2026</v>
          </cell>
        </row>
        <row r="99">
          <cell r="U99">
            <v>2026</v>
          </cell>
        </row>
        <row r="100">
          <cell r="U100">
            <v>2026</v>
          </cell>
        </row>
        <row r="101">
          <cell r="U101">
            <v>2026</v>
          </cell>
        </row>
        <row r="102">
          <cell r="U102">
            <v>2026</v>
          </cell>
        </row>
        <row r="103">
          <cell r="U103">
            <v>2026</v>
          </cell>
        </row>
        <row r="104">
          <cell r="U104">
            <v>2026</v>
          </cell>
        </row>
        <row r="105">
          <cell r="U105">
            <v>2026</v>
          </cell>
        </row>
        <row r="106">
          <cell r="U106">
            <v>2026</v>
          </cell>
        </row>
        <row r="107">
          <cell r="U107">
            <v>2026</v>
          </cell>
        </row>
        <row r="108">
          <cell r="U108">
            <v>2026</v>
          </cell>
        </row>
        <row r="109">
          <cell r="U109">
            <v>2026</v>
          </cell>
        </row>
        <row r="110">
          <cell r="U110">
            <v>2026</v>
          </cell>
        </row>
        <row r="111">
          <cell r="U111">
            <v>2026</v>
          </cell>
        </row>
        <row r="112">
          <cell r="U112">
            <v>2026</v>
          </cell>
        </row>
        <row r="113">
          <cell r="U113">
            <v>2026</v>
          </cell>
        </row>
        <row r="114">
          <cell r="U114">
            <v>2026</v>
          </cell>
        </row>
        <row r="115">
          <cell r="U115">
            <v>2026</v>
          </cell>
        </row>
        <row r="116">
          <cell r="U116">
            <v>2026</v>
          </cell>
        </row>
        <row r="117">
          <cell r="U117">
            <v>2026</v>
          </cell>
        </row>
        <row r="118">
          <cell r="U118">
            <v>2026</v>
          </cell>
        </row>
        <row r="119">
          <cell r="U119">
            <v>2026</v>
          </cell>
        </row>
        <row r="120">
          <cell r="U120">
            <v>2026</v>
          </cell>
        </row>
        <row r="121">
          <cell r="U121">
            <v>2026</v>
          </cell>
        </row>
        <row r="122">
          <cell r="U122">
            <v>2026</v>
          </cell>
        </row>
        <row r="123">
          <cell r="U123">
            <v>2026</v>
          </cell>
        </row>
        <row r="124">
          <cell r="U124">
            <v>2026</v>
          </cell>
        </row>
        <row r="125">
          <cell r="U125">
            <v>2026</v>
          </cell>
        </row>
        <row r="126">
          <cell r="U126">
            <v>2026</v>
          </cell>
        </row>
        <row r="127">
          <cell r="U127">
            <v>2026</v>
          </cell>
        </row>
        <row r="128">
          <cell r="U128">
            <v>2026</v>
          </cell>
        </row>
        <row r="129">
          <cell r="U129">
            <v>2026</v>
          </cell>
        </row>
        <row r="130">
          <cell r="U130">
            <v>2026</v>
          </cell>
        </row>
        <row r="131">
          <cell r="U131">
            <v>2026</v>
          </cell>
        </row>
        <row r="132">
          <cell r="U132">
            <v>2026</v>
          </cell>
        </row>
        <row r="133">
          <cell r="U133">
            <v>2026</v>
          </cell>
        </row>
        <row r="134">
          <cell r="U134">
            <v>2026</v>
          </cell>
        </row>
        <row r="135">
          <cell r="U135">
            <v>2026</v>
          </cell>
        </row>
        <row r="136">
          <cell r="U136">
            <v>2026</v>
          </cell>
        </row>
        <row r="137">
          <cell r="U137">
            <v>2026</v>
          </cell>
        </row>
        <row r="138">
          <cell r="U138">
            <v>2026</v>
          </cell>
        </row>
        <row r="139">
          <cell r="U139">
            <v>2026</v>
          </cell>
        </row>
        <row r="140">
          <cell r="U140">
            <v>2026</v>
          </cell>
        </row>
        <row r="141">
          <cell r="U141">
            <v>2026</v>
          </cell>
        </row>
        <row r="142">
          <cell r="U142">
            <v>2026</v>
          </cell>
        </row>
        <row r="143">
          <cell r="U143">
            <v>2026</v>
          </cell>
        </row>
        <row r="144">
          <cell r="U144">
            <v>2026</v>
          </cell>
        </row>
        <row r="145">
          <cell r="U145">
            <v>2026</v>
          </cell>
        </row>
        <row r="146">
          <cell r="U146">
            <v>2026</v>
          </cell>
        </row>
        <row r="147">
          <cell r="U147">
            <v>2026</v>
          </cell>
        </row>
        <row r="148">
          <cell r="U148">
            <v>2026</v>
          </cell>
        </row>
        <row r="149">
          <cell r="U149">
            <v>2026</v>
          </cell>
        </row>
        <row r="150">
          <cell r="U150">
            <v>2026</v>
          </cell>
        </row>
        <row r="151">
          <cell r="U151">
            <v>2026</v>
          </cell>
        </row>
        <row r="152">
          <cell r="U152">
            <v>2026</v>
          </cell>
        </row>
        <row r="153">
          <cell r="U153">
            <v>2026</v>
          </cell>
        </row>
        <row r="154">
          <cell r="U154">
            <v>2026</v>
          </cell>
        </row>
        <row r="155">
          <cell r="U155">
            <v>2026</v>
          </cell>
        </row>
        <row r="156">
          <cell r="U156">
            <v>2026</v>
          </cell>
        </row>
        <row r="157">
          <cell r="U157">
            <v>2026</v>
          </cell>
        </row>
        <row r="158">
          <cell r="U158">
            <v>2026</v>
          </cell>
        </row>
        <row r="159">
          <cell r="U159">
            <v>2026</v>
          </cell>
        </row>
        <row r="160">
          <cell r="U160">
            <v>2026</v>
          </cell>
        </row>
        <row r="161">
          <cell r="U161">
            <v>2026</v>
          </cell>
        </row>
        <row r="162">
          <cell r="U162">
            <v>2026</v>
          </cell>
        </row>
        <row r="163">
          <cell r="U163">
            <v>2026</v>
          </cell>
        </row>
        <row r="164">
          <cell r="U164">
            <v>2026</v>
          </cell>
        </row>
        <row r="165">
          <cell r="U165">
            <v>2026</v>
          </cell>
        </row>
        <row r="166">
          <cell r="U166">
            <v>2026</v>
          </cell>
        </row>
        <row r="167">
          <cell r="U167">
            <v>2026</v>
          </cell>
        </row>
        <row r="168">
          <cell r="U168">
            <v>2026</v>
          </cell>
        </row>
        <row r="169">
          <cell r="U169">
            <v>2026</v>
          </cell>
        </row>
        <row r="170">
          <cell r="U170">
            <v>2026</v>
          </cell>
        </row>
        <row r="171">
          <cell r="U171">
            <v>2026</v>
          </cell>
        </row>
        <row r="172">
          <cell r="U172">
            <v>2026</v>
          </cell>
        </row>
        <row r="173">
          <cell r="U173">
            <v>2026</v>
          </cell>
        </row>
        <row r="174">
          <cell r="U174">
            <v>2026</v>
          </cell>
        </row>
        <row r="175">
          <cell r="U175">
            <v>2026</v>
          </cell>
        </row>
        <row r="176">
          <cell r="U176">
            <v>2026</v>
          </cell>
        </row>
        <row r="177">
          <cell r="U177">
            <v>2026</v>
          </cell>
        </row>
        <row r="178">
          <cell r="U178">
            <v>2026</v>
          </cell>
        </row>
        <row r="179">
          <cell r="U179">
            <v>2026</v>
          </cell>
        </row>
        <row r="180">
          <cell r="U180">
            <v>2026</v>
          </cell>
        </row>
        <row r="181">
          <cell r="U181">
            <v>2026</v>
          </cell>
        </row>
        <row r="182">
          <cell r="U182">
            <v>2026</v>
          </cell>
        </row>
        <row r="183">
          <cell r="U183">
            <v>2026</v>
          </cell>
        </row>
        <row r="184">
          <cell r="U184">
            <v>2026</v>
          </cell>
        </row>
        <row r="185">
          <cell r="U185">
            <v>2026</v>
          </cell>
        </row>
        <row r="186">
          <cell r="U186">
            <v>2026</v>
          </cell>
        </row>
        <row r="187">
          <cell r="U187">
            <v>2026</v>
          </cell>
        </row>
        <row r="188">
          <cell r="U188">
            <v>2026</v>
          </cell>
        </row>
        <row r="189">
          <cell r="U189">
            <v>2026</v>
          </cell>
        </row>
        <row r="190">
          <cell r="U190">
            <v>2026</v>
          </cell>
        </row>
        <row r="191">
          <cell r="U191">
            <v>2026</v>
          </cell>
        </row>
        <row r="192">
          <cell r="U192">
            <v>2026</v>
          </cell>
        </row>
        <row r="193">
          <cell r="U193">
            <v>2026</v>
          </cell>
        </row>
        <row r="194">
          <cell r="U194">
            <v>2026</v>
          </cell>
        </row>
        <row r="195">
          <cell r="U195">
            <v>2026</v>
          </cell>
        </row>
        <row r="196">
          <cell r="U196">
            <v>2026</v>
          </cell>
        </row>
        <row r="197">
          <cell r="U197">
            <v>2026</v>
          </cell>
        </row>
        <row r="198">
          <cell r="U198">
            <v>2026</v>
          </cell>
        </row>
        <row r="199">
          <cell r="U199">
            <v>2026</v>
          </cell>
        </row>
        <row r="200">
          <cell r="U200">
            <v>2026</v>
          </cell>
        </row>
        <row r="201">
          <cell r="U201">
            <v>2026</v>
          </cell>
        </row>
        <row r="202">
          <cell r="U202">
            <v>2026</v>
          </cell>
        </row>
        <row r="203">
          <cell r="U203">
            <v>2026</v>
          </cell>
        </row>
        <row r="204">
          <cell r="U204">
            <v>2026</v>
          </cell>
        </row>
        <row r="205">
          <cell r="U205">
            <v>2026</v>
          </cell>
        </row>
        <row r="206">
          <cell r="U206">
            <v>2026</v>
          </cell>
        </row>
        <row r="207">
          <cell r="U207">
            <v>2026</v>
          </cell>
        </row>
        <row r="208">
          <cell r="U208">
            <v>2026</v>
          </cell>
        </row>
        <row r="209">
          <cell r="U209">
            <v>2026</v>
          </cell>
        </row>
        <row r="210">
          <cell r="U210">
            <v>2026</v>
          </cell>
        </row>
        <row r="211">
          <cell r="U211">
            <v>2026</v>
          </cell>
        </row>
        <row r="212">
          <cell r="U212">
            <v>2026</v>
          </cell>
        </row>
        <row r="213">
          <cell r="U213">
            <v>2026</v>
          </cell>
        </row>
        <row r="214">
          <cell r="U214">
            <v>2026</v>
          </cell>
        </row>
        <row r="215">
          <cell r="U215">
            <v>2026</v>
          </cell>
        </row>
        <row r="216">
          <cell r="U216">
            <v>2026</v>
          </cell>
        </row>
        <row r="217">
          <cell r="U217">
            <v>2026</v>
          </cell>
        </row>
        <row r="218">
          <cell r="U218">
            <v>2026</v>
          </cell>
        </row>
        <row r="219">
          <cell r="U219">
            <v>2026</v>
          </cell>
        </row>
        <row r="220">
          <cell r="U220">
            <v>2026</v>
          </cell>
        </row>
        <row r="221">
          <cell r="U221">
            <v>2026</v>
          </cell>
        </row>
        <row r="222">
          <cell r="U222">
            <v>2026</v>
          </cell>
        </row>
        <row r="223">
          <cell r="U223">
            <v>2026</v>
          </cell>
        </row>
        <row r="224">
          <cell r="U224">
            <v>2026</v>
          </cell>
        </row>
        <row r="225">
          <cell r="U225">
            <v>2026</v>
          </cell>
        </row>
        <row r="226">
          <cell r="U226">
            <v>2026</v>
          </cell>
        </row>
        <row r="227">
          <cell r="U227">
            <v>2026</v>
          </cell>
        </row>
        <row r="228">
          <cell r="U228">
            <v>2026</v>
          </cell>
        </row>
        <row r="229">
          <cell r="U229">
            <v>2026</v>
          </cell>
        </row>
        <row r="230">
          <cell r="U230">
            <v>2026</v>
          </cell>
        </row>
        <row r="231">
          <cell r="U231">
            <v>2026</v>
          </cell>
        </row>
        <row r="232">
          <cell r="U232">
            <v>2026</v>
          </cell>
        </row>
        <row r="233">
          <cell r="U233">
            <v>2026</v>
          </cell>
        </row>
        <row r="234">
          <cell r="U234">
            <v>2026</v>
          </cell>
        </row>
        <row r="235">
          <cell r="U235">
            <v>2026</v>
          </cell>
        </row>
        <row r="236">
          <cell r="U236">
            <v>2026</v>
          </cell>
        </row>
        <row r="237">
          <cell r="U237">
            <v>2026</v>
          </cell>
        </row>
        <row r="238">
          <cell r="U238">
            <v>2026</v>
          </cell>
        </row>
        <row r="239">
          <cell r="U239">
            <v>2026</v>
          </cell>
        </row>
        <row r="240">
          <cell r="U240">
            <v>2026</v>
          </cell>
        </row>
        <row r="241">
          <cell r="U241">
            <v>2026</v>
          </cell>
        </row>
        <row r="242">
          <cell r="U242">
            <v>2026</v>
          </cell>
        </row>
        <row r="243">
          <cell r="U243">
            <v>2026</v>
          </cell>
        </row>
        <row r="244">
          <cell r="U244">
            <v>2026</v>
          </cell>
        </row>
        <row r="245">
          <cell r="U245">
            <v>2026</v>
          </cell>
        </row>
        <row r="246">
          <cell r="U246">
            <v>2026</v>
          </cell>
        </row>
        <row r="247">
          <cell r="U247">
            <v>2026</v>
          </cell>
        </row>
        <row r="248">
          <cell r="U248">
            <v>2026</v>
          </cell>
        </row>
        <row r="249">
          <cell r="U249">
            <v>2026</v>
          </cell>
        </row>
        <row r="250">
          <cell r="U250">
            <v>2026</v>
          </cell>
        </row>
        <row r="251">
          <cell r="U251">
            <v>2026</v>
          </cell>
        </row>
        <row r="252">
          <cell r="U252">
            <v>2026</v>
          </cell>
        </row>
        <row r="253">
          <cell r="U253">
            <v>2026</v>
          </cell>
        </row>
        <row r="254">
          <cell r="U254">
            <v>2026</v>
          </cell>
        </row>
        <row r="255">
          <cell r="U255">
            <v>2026</v>
          </cell>
        </row>
        <row r="256">
          <cell r="U256">
            <v>2026</v>
          </cell>
        </row>
        <row r="257">
          <cell r="U257">
            <v>2026</v>
          </cell>
        </row>
        <row r="258">
          <cell r="U258">
            <v>2026</v>
          </cell>
        </row>
        <row r="259">
          <cell r="U259">
            <v>2026</v>
          </cell>
        </row>
        <row r="260">
          <cell r="U260">
            <v>2026</v>
          </cell>
        </row>
        <row r="261">
          <cell r="U261">
            <v>2026</v>
          </cell>
        </row>
        <row r="262">
          <cell r="U262">
            <v>2026</v>
          </cell>
        </row>
        <row r="263">
          <cell r="U263">
            <v>2026</v>
          </cell>
        </row>
        <row r="264">
          <cell r="U264">
            <v>2026</v>
          </cell>
        </row>
        <row r="265">
          <cell r="U265">
            <v>2026</v>
          </cell>
        </row>
        <row r="266">
          <cell r="U266">
            <v>2026</v>
          </cell>
        </row>
        <row r="267">
          <cell r="U267">
            <v>2026</v>
          </cell>
        </row>
        <row r="268">
          <cell r="U268">
            <v>2026</v>
          </cell>
        </row>
        <row r="269">
          <cell r="U269">
            <v>2026</v>
          </cell>
        </row>
        <row r="270">
          <cell r="U270">
            <v>2026</v>
          </cell>
        </row>
        <row r="271">
          <cell r="U271">
            <v>2026</v>
          </cell>
        </row>
        <row r="272">
          <cell r="U272">
            <v>2026</v>
          </cell>
        </row>
        <row r="273">
          <cell r="U273">
            <v>2026</v>
          </cell>
        </row>
        <row r="274">
          <cell r="U274">
            <v>2026</v>
          </cell>
        </row>
        <row r="275">
          <cell r="U275">
            <v>2026</v>
          </cell>
        </row>
        <row r="276">
          <cell r="U276">
            <v>2026</v>
          </cell>
        </row>
        <row r="277">
          <cell r="U277">
            <v>2026</v>
          </cell>
        </row>
        <row r="278">
          <cell r="U278">
            <v>2026</v>
          </cell>
        </row>
        <row r="279">
          <cell r="U279">
            <v>2026</v>
          </cell>
        </row>
        <row r="280">
          <cell r="U280">
            <v>2026</v>
          </cell>
        </row>
        <row r="281">
          <cell r="U281">
            <v>2026</v>
          </cell>
        </row>
        <row r="282">
          <cell r="U282">
            <v>2026</v>
          </cell>
        </row>
        <row r="283">
          <cell r="U283">
            <v>2026</v>
          </cell>
        </row>
        <row r="284">
          <cell r="U284">
            <v>2026</v>
          </cell>
        </row>
        <row r="285">
          <cell r="U285">
            <v>2026</v>
          </cell>
        </row>
        <row r="286">
          <cell r="U286">
            <v>2026</v>
          </cell>
        </row>
        <row r="287">
          <cell r="U287">
            <v>2026</v>
          </cell>
        </row>
        <row r="288">
          <cell r="U288">
            <v>2026</v>
          </cell>
        </row>
        <row r="289">
          <cell r="U289">
            <v>2026</v>
          </cell>
        </row>
        <row r="290">
          <cell r="U290">
            <v>2026</v>
          </cell>
        </row>
        <row r="291">
          <cell r="U291">
            <v>2026</v>
          </cell>
        </row>
        <row r="292">
          <cell r="U292">
            <v>2026</v>
          </cell>
        </row>
        <row r="293">
          <cell r="U293">
            <v>2026</v>
          </cell>
        </row>
        <row r="294">
          <cell r="U294">
            <v>2026</v>
          </cell>
        </row>
        <row r="295">
          <cell r="U295">
            <v>2026</v>
          </cell>
        </row>
        <row r="296">
          <cell r="U296">
            <v>2026</v>
          </cell>
        </row>
        <row r="297">
          <cell r="U297">
            <v>2026</v>
          </cell>
        </row>
        <row r="298">
          <cell r="U298">
            <v>2026</v>
          </cell>
        </row>
        <row r="299">
          <cell r="U299">
            <v>2026</v>
          </cell>
        </row>
        <row r="300">
          <cell r="U300">
            <v>2026</v>
          </cell>
        </row>
        <row r="301">
          <cell r="U301">
            <v>2026</v>
          </cell>
        </row>
        <row r="302">
          <cell r="U302">
            <v>2026</v>
          </cell>
        </row>
        <row r="303">
          <cell r="U303">
            <v>2026</v>
          </cell>
        </row>
        <row r="304">
          <cell r="U304">
            <v>2026</v>
          </cell>
        </row>
        <row r="305">
          <cell r="U305">
            <v>2026</v>
          </cell>
        </row>
        <row r="306">
          <cell r="U306">
            <v>2026</v>
          </cell>
        </row>
        <row r="307">
          <cell r="U307">
            <v>2026</v>
          </cell>
        </row>
        <row r="308">
          <cell r="U308">
            <v>2026</v>
          </cell>
        </row>
        <row r="309">
          <cell r="U309">
            <v>2026</v>
          </cell>
        </row>
        <row r="310">
          <cell r="U310">
            <v>2026</v>
          </cell>
        </row>
        <row r="311">
          <cell r="U311">
            <v>2026</v>
          </cell>
        </row>
        <row r="312">
          <cell r="U312">
            <v>2026</v>
          </cell>
        </row>
        <row r="313">
          <cell r="U313">
            <v>2026</v>
          </cell>
        </row>
        <row r="314">
          <cell r="U314">
            <v>2026</v>
          </cell>
        </row>
        <row r="315">
          <cell r="U315">
            <v>2026</v>
          </cell>
        </row>
        <row r="316">
          <cell r="U316">
            <v>2026</v>
          </cell>
        </row>
        <row r="317">
          <cell r="U317">
            <v>2026</v>
          </cell>
        </row>
        <row r="318">
          <cell r="U318">
            <v>2026</v>
          </cell>
        </row>
        <row r="319">
          <cell r="U319">
            <v>2026</v>
          </cell>
        </row>
        <row r="320">
          <cell r="U320">
            <v>2026</v>
          </cell>
        </row>
        <row r="321">
          <cell r="U321">
            <v>2026</v>
          </cell>
        </row>
        <row r="322">
          <cell r="U322">
            <v>2026</v>
          </cell>
        </row>
        <row r="323">
          <cell r="U323">
            <v>2026</v>
          </cell>
        </row>
        <row r="324">
          <cell r="U324">
            <v>2026</v>
          </cell>
        </row>
        <row r="325">
          <cell r="U325">
            <v>2026</v>
          </cell>
        </row>
        <row r="326">
          <cell r="U326">
            <v>2026</v>
          </cell>
        </row>
        <row r="327">
          <cell r="U327">
            <v>2026</v>
          </cell>
        </row>
        <row r="328">
          <cell r="U328">
            <v>2026</v>
          </cell>
        </row>
        <row r="329">
          <cell r="U329">
            <v>2026</v>
          </cell>
        </row>
        <row r="330">
          <cell r="U330">
            <v>2026</v>
          </cell>
        </row>
        <row r="331">
          <cell r="U331">
            <v>2026</v>
          </cell>
        </row>
        <row r="332">
          <cell r="U332">
            <v>2026</v>
          </cell>
        </row>
        <row r="333">
          <cell r="U333">
            <v>2026</v>
          </cell>
        </row>
        <row r="334">
          <cell r="U334">
            <v>2026</v>
          </cell>
        </row>
        <row r="335">
          <cell r="U335">
            <v>2026</v>
          </cell>
        </row>
        <row r="336">
          <cell r="U336">
            <v>2026</v>
          </cell>
        </row>
        <row r="337">
          <cell r="U337">
            <v>2026</v>
          </cell>
        </row>
        <row r="338">
          <cell r="U338">
            <v>2026</v>
          </cell>
        </row>
        <row r="339">
          <cell r="U339">
            <v>2026</v>
          </cell>
        </row>
        <row r="340">
          <cell r="U340">
            <v>2026</v>
          </cell>
        </row>
        <row r="341">
          <cell r="U341">
            <v>2026</v>
          </cell>
        </row>
        <row r="342">
          <cell r="U342">
            <v>2026</v>
          </cell>
        </row>
        <row r="343">
          <cell r="U343">
            <v>2026</v>
          </cell>
        </row>
        <row r="344">
          <cell r="U344">
            <v>2026</v>
          </cell>
        </row>
        <row r="345">
          <cell r="U345">
            <v>2026</v>
          </cell>
        </row>
        <row r="346">
          <cell r="U346">
            <v>2026</v>
          </cell>
        </row>
        <row r="347">
          <cell r="U347">
            <v>2026</v>
          </cell>
        </row>
        <row r="348">
          <cell r="U348">
            <v>2026</v>
          </cell>
        </row>
        <row r="349">
          <cell r="U349">
            <v>2026</v>
          </cell>
        </row>
        <row r="350">
          <cell r="U350">
            <v>2026</v>
          </cell>
        </row>
        <row r="351">
          <cell r="U351">
            <v>2026</v>
          </cell>
        </row>
        <row r="352">
          <cell r="U352">
            <v>2026</v>
          </cell>
        </row>
        <row r="353">
          <cell r="U353">
            <v>2026</v>
          </cell>
        </row>
        <row r="354">
          <cell r="U354">
            <v>2026</v>
          </cell>
        </row>
        <row r="355">
          <cell r="U355">
            <v>2026</v>
          </cell>
        </row>
        <row r="356">
          <cell r="U356">
            <v>2026</v>
          </cell>
        </row>
        <row r="357">
          <cell r="U357">
            <v>2026</v>
          </cell>
        </row>
        <row r="358">
          <cell r="U358">
            <v>2026</v>
          </cell>
        </row>
        <row r="359">
          <cell r="U359">
            <v>2026</v>
          </cell>
        </row>
        <row r="360">
          <cell r="U360">
            <v>2026</v>
          </cell>
        </row>
        <row r="361">
          <cell r="U361">
            <v>2026</v>
          </cell>
        </row>
        <row r="362">
          <cell r="U362">
            <v>2026</v>
          </cell>
        </row>
        <row r="363">
          <cell r="U363">
            <v>2026</v>
          </cell>
        </row>
        <row r="364">
          <cell r="U364">
            <v>2026</v>
          </cell>
        </row>
        <row r="365">
          <cell r="U365">
            <v>2026</v>
          </cell>
        </row>
        <row r="366">
          <cell r="U366">
            <v>2026</v>
          </cell>
        </row>
        <row r="367">
          <cell r="U367">
            <v>2026</v>
          </cell>
        </row>
        <row r="368">
          <cell r="U368">
            <v>2026</v>
          </cell>
        </row>
        <row r="369">
          <cell r="U369">
            <v>2026</v>
          </cell>
        </row>
        <row r="370">
          <cell r="U370">
            <v>2026</v>
          </cell>
        </row>
        <row r="371">
          <cell r="U371">
            <v>2026</v>
          </cell>
        </row>
        <row r="372">
          <cell r="U372">
            <v>2026</v>
          </cell>
        </row>
        <row r="373">
          <cell r="U373">
            <v>2026</v>
          </cell>
        </row>
        <row r="374">
          <cell r="U374">
            <v>2026</v>
          </cell>
        </row>
        <row r="375">
          <cell r="U375">
            <v>2026</v>
          </cell>
        </row>
        <row r="376">
          <cell r="U376">
            <v>2026</v>
          </cell>
        </row>
        <row r="377">
          <cell r="U377">
            <v>2026</v>
          </cell>
        </row>
        <row r="378">
          <cell r="U378">
            <v>2026</v>
          </cell>
        </row>
        <row r="379">
          <cell r="U379">
            <v>2026</v>
          </cell>
        </row>
        <row r="380">
          <cell r="U380">
            <v>2026</v>
          </cell>
        </row>
        <row r="381">
          <cell r="U381">
            <v>2026</v>
          </cell>
        </row>
        <row r="382">
          <cell r="U382">
            <v>2026</v>
          </cell>
        </row>
        <row r="383">
          <cell r="U383">
            <v>2026</v>
          </cell>
        </row>
        <row r="384">
          <cell r="U384">
            <v>2026</v>
          </cell>
        </row>
        <row r="385">
          <cell r="U385">
            <v>2026</v>
          </cell>
        </row>
        <row r="386">
          <cell r="U386">
            <v>2026</v>
          </cell>
        </row>
        <row r="387">
          <cell r="U387">
            <v>2026</v>
          </cell>
        </row>
        <row r="388">
          <cell r="U388">
            <v>2026</v>
          </cell>
        </row>
        <row r="389">
          <cell r="U389">
            <v>2026</v>
          </cell>
        </row>
        <row r="390">
          <cell r="U390">
            <v>2026</v>
          </cell>
        </row>
        <row r="391">
          <cell r="U391">
            <v>2026</v>
          </cell>
        </row>
        <row r="392">
          <cell r="U392">
            <v>2026</v>
          </cell>
        </row>
        <row r="393">
          <cell r="U393">
            <v>2026</v>
          </cell>
        </row>
        <row r="394">
          <cell r="U394">
            <v>2026</v>
          </cell>
        </row>
        <row r="395">
          <cell r="U395">
            <v>2026</v>
          </cell>
        </row>
        <row r="396">
          <cell r="U396">
            <v>2026</v>
          </cell>
        </row>
        <row r="397">
          <cell r="U397">
            <v>2026</v>
          </cell>
        </row>
        <row r="398">
          <cell r="U398">
            <v>2026</v>
          </cell>
        </row>
        <row r="399">
          <cell r="U399">
            <v>2026</v>
          </cell>
        </row>
        <row r="400">
          <cell r="U400">
            <v>2026</v>
          </cell>
        </row>
        <row r="401">
          <cell r="U401">
            <v>2026</v>
          </cell>
        </row>
        <row r="402">
          <cell r="U402">
            <v>2026</v>
          </cell>
        </row>
        <row r="403">
          <cell r="U403">
            <v>2026</v>
          </cell>
        </row>
        <row r="404">
          <cell r="U404">
            <v>2026</v>
          </cell>
        </row>
        <row r="405">
          <cell r="U405">
            <v>2026</v>
          </cell>
        </row>
        <row r="406">
          <cell r="U406">
            <v>2026</v>
          </cell>
        </row>
        <row r="407">
          <cell r="U407">
            <v>2026</v>
          </cell>
        </row>
        <row r="408">
          <cell r="U408">
            <v>2026</v>
          </cell>
        </row>
        <row r="409">
          <cell r="U409">
            <v>2026</v>
          </cell>
        </row>
        <row r="410">
          <cell r="U410">
            <v>2026</v>
          </cell>
        </row>
        <row r="411">
          <cell r="U411">
            <v>2026</v>
          </cell>
        </row>
        <row r="412">
          <cell r="U412">
            <v>2026</v>
          </cell>
        </row>
        <row r="413">
          <cell r="U413">
            <v>2026</v>
          </cell>
        </row>
        <row r="414">
          <cell r="U414">
            <v>2026</v>
          </cell>
        </row>
        <row r="415">
          <cell r="U415">
            <v>2026</v>
          </cell>
        </row>
        <row r="416">
          <cell r="U416">
            <v>2026</v>
          </cell>
        </row>
        <row r="417">
          <cell r="U417">
            <v>2026</v>
          </cell>
        </row>
        <row r="418">
          <cell r="U418">
            <v>2026</v>
          </cell>
        </row>
        <row r="419">
          <cell r="U419">
            <v>2026</v>
          </cell>
        </row>
        <row r="420">
          <cell r="U420">
            <v>2026</v>
          </cell>
        </row>
        <row r="421">
          <cell r="U421">
            <v>2026</v>
          </cell>
        </row>
        <row r="422">
          <cell r="U422">
            <v>2026</v>
          </cell>
        </row>
        <row r="423">
          <cell r="U423">
            <v>2026</v>
          </cell>
        </row>
        <row r="424">
          <cell r="U424">
            <v>2026</v>
          </cell>
        </row>
        <row r="425">
          <cell r="U425">
            <v>2026</v>
          </cell>
        </row>
        <row r="426">
          <cell r="U426">
            <v>2026</v>
          </cell>
        </row>
        <row r="427">
          <cell r="U427">
            <v>2026</v>
          </cell>
        </row>
        <row r="428">
          <cell r="U428">
            <v>2026</v>
          </cell>
        </row>
        <row r="429">
          <cell r="U429">
            <v>2026</v>
          </cell>
        </row>
        <row r="430">
          <cell r="U430">
            <v>2026</v>
          </cell>
        </row>
        <row r="431">
          <cell r="U431">
            <v>2026</v>
          </cell>
        </row>
        <row r="432">
          <cell r="U432">
            <v>2026</v>
          </cell>
        </row>
        <row r="433">
          <cell r="U433">
            <v>2026</v>
          </cell>
        </row>
        <row r="434">
          <cell r="U434">
            <v>2026</v>
          </cell>
        </row>
        <row r="435">
          <cell r="U435">
            <v>2026</v>
          </cell>
        </row>
        <row r="436">
          <cell r="U436">
            <v>2026</v>
          </cell>
        </row>
        <row r="437">
          <cell r="U437">
            <v>2026</v>
          </cell>
        </row>
        <row r="438">
          <cell r="U438">
            <v>2026</v>
          </cell>
        </row>
        <row r="439">
          <cell r="U439">
            <v>2026</v>
          </cell>
        </row>
        <row r="440">
          <cell r="U440">
            <v>2026</v>
          </cell>
        </row>
        <row r="441">
          <cell r="U441">
            <v>2026</v>
          </cell>
        </row>
        <row r="442">
          <cell r="U442">
            <v>2026</v>
          </cell>
        </row>
        <row r="443">
          <cell r="U443">
            <v>2026</v>
          </cell>
        </row>
        <row r="444">
          <cell r="U444">
            <v>2026</v>
          </cell>
        </row>
        <row r="445">
          <cell r="U445">
            <v>2026</v>
          </cell>
        </row>
        <row r="446">
          <cell r="U446">
            <v>2026</v>
          </cell>
        </row>
        <row r="447">
          <cell r="U447">
            <v>2026</v>
          </cell>
        </row>
        <row r="448">
          <cell r="U448">
            <v>2026</v>
          </cell>
        </row>
        <row r="449">
          <cell r="U449">
            <v>2026</v>
          </cell>
        </row>
        <row r="450">
          <cell r="U450">
            <v>2026</v>
          </cell>
        </row>
        <row r="451">
          <cell r="U451">
            <v>2026</v>
          </cell>
        </row>
        <row r="452">
          <cell r="U452">
            <v>2026</v>
          </cell>
        </row>
        <row r="453">
          <cell r="U453">
            <v>2026</v>
          </cell>
        </row>
        <row r="454">
          <cell r="U454">
            <v>2026</v>
          </cell>
        </row>
        <row r="455">
          <cell r="U455">
            <v>2026</v>
          </cell>
        </row>
        <row r="456">
          <cell r="U456">
            <v>2026</v>
          </cell>
        </row>
        <row r="457">
          <cell r="U457">
            <v>2026</v>
          </cell>
        </row>
        <row r="458">
          <cell r="U458">
            <v>2026</v>
          </cell>
        </row>
        <row r="459">
          <cell r="U459">
            <v>2026</v>
          </cell>
        </row>
        <row r="460">
          <cell r="U460">
            <v>2026</v>
          </cell>
        </row>
        <row r="461">
          <cell r="U461">
            <v>2026</v>
          </cell>
        </row>
        <row r="462">
          <cell r="U462">
            <v>2026</v>
          </cell>
        </row>
        <row r="463">
          <cell r="U463">
            <v>2026</v>
          </cell>
        </row>
        <row r="464">
          <cell r="U464">
            <v>2026</v>
          </cell>
        </row>
        <row r="465">
          <cell r="U465">
            <v>2026</v>
          </cell>
        </row>
        <row r="466">
          <cell r="U466">
            <v>2026</v>
          </cell>
        </row>
        <row r="467">
          <cell r="U467">
            <v>2026</v>
          </cell>
        </row>
        <row r="468">
          <cell r="U468">
            <v>2026</v>
          </cell>
        </row>
        <row r="469">
          <cell r="U469">
            <v>2026</v>
          </cell>
        </row>
        <row r="470">
          <cell r="U470">
            <v>2026</v>
          </cell>
        </row>
        <row r="471">
          <cell r="U471">
            <v>2026</v>
          </cell>
        </row>
        <row r="472">
          <cell r="U472">
            <v>2026</v>
          </cell>
        </row>
        <row r="473">
          <cell r="U473">
            <v>2026</v>
          </cell>
        </row>
        <row r="474">
          <cell r="U474">
            <v>2026</v>
          </cell>
        </row>
        <row r="475">
          <cell r="U475">
            <v>2026</v>
          </cell>
        </row>
        <row r="476">
          <cell r="U476">
            <v>2026</v>
          </cell>
        </row>
        <row r="477">
          <cell r="U477">
            <v>2026</v>
          </cell>
        </row>
        <row r="478">
          <cell r="U478">
            <v>2026</v>
          </cell>
        </row>
        <row r="479">
          <cell r="U479">
            <v>2026</v>
          </cell>
        </row>
        <row r="480">
          <cell r="U480">
            <v>2026</v>
          </cell>
        </row>
        <row r="481">
          <cell r="U481">
            <v>2026</v>
          </cell>
        </row>
        <row r="482">
          <cell r="U482">
            <v>2026</v>
          </cell>
        </row>
        <row r="483">
          <cell r="U483">
            <v>2026</v>
          </cell>
        </row>
        <row r="484">
          <cell r="U484">
            <v>2026</v>
          </cell>
        </row>
        <row r="485">
          <cell r="U485">
            <v>2026</v>
          </cell>
        </row>
        <row r="486">
          <cell r="U486">
            <v>2026</v>
          </cell>
        </row>
        <row r="487">
          <cell r="U487">
            <v>2026</v>
          </cell>
        </row>
        <row r="488">
          <cell r="U488">
            <v>2026</v>
          </cell>
        </row>
        <row r="489">
          <cell r="U489">
            <v>2026</v>
          </cell>
        </row>
        <row r="490">
          <cell r="U490">
            <v>2026</v>
          </cell>
        </row>
        <row r="491">
          <cell r="U491">
            <v>2026</v>
          </cell>
        </row>
        <row r="492">
          <cell r="U492">
            <v>2026</v>
          </cell>
        </row>
        <row r="493">
          <cell r="U493">
            <v>2026</v>
          </cell>
        </row>
        <row r="494">
          <cell r="U494">
            <v>2026</v>
          </cell>
        </row>
        <row r="495">
          <cell r="U495">
            <v>2026</v>
          </cell>
        </row>
        <row r="496">
          <cell r="U496">
            <v>2026</v>
          </cell>
        </row>
        <row r="497">
          <cell r="U497">
            <v>2026</v>
          </cell>
        </row>
        <row r="498">
          <cell r="U498">
            <v>2026</v>
          </cell>
        </row>
        <row r="499">
          <cell r="U499">
            <v>2026</v>
          </cell>
        </row>
        <row r="500">
          <cell r="U500">
            <v>2026</v>
          </cell>
        </row>
        <row r="501">
          <cell r="U501">
            <v>2026</v>
          </cell>
        </row>
        <row r="502">
          <cell r="U502">
            <v>2026</v>
          </cell>
        </row>
        <row r="503">
          <cell r="U503">
            <v>2026</v>
          </cell>
        </row>
        <row r="504">
          <cell r="U504">
            <v>2026</v>
          </cell>
        </row>
        <row r="505">
          <cell r="U505">
            <v>2026</v>
          </cell>
        </row>
        <row r="506">
          <cell r="U506">
            <v>2026</v>
          </cell>
        </row>
        <row r="507">
          <cell r="U507">
            <v>2026</v>
          </cell>
        </row>
        <row r="508">
          <cell r="U508">
            <v>2026</v>
          </cell>
        </row>
        <row r="509">
          <cell r="U509">
            <v>2026</v>
          </cell>
        </row>
        <row r="510">
          <cell r="U510">
            <v>2026</v>
          </cell>
        </row>
        <row r="511">
          <cell r="U511">
            <v>2026</v>
          </cell>
        </row>
        <row r="512">
          <cell r="U512">
            <v>2026</v>
          </cell>
        </row>
        <row r="513">
          <cell r="U513">
            <v>2026</v>
          </cell>
        </row>
        <row r="514">
          <cell r="U514">
            <v>2026</v>
          </cell>
        </row>
        <row r="515">
          <cell r="U515">
            <v>2026</v>
          </cell>
        </row>
        <row r="516">
          <cell r="U516">
            <v>2026</v>
          </cell>
        </row>
        <row r="517">
          <cell r="U517">
            <v>2026</v>
          </cell>
        </row>
        <row r="518">
          <cell r="U518">
            <v>2026</v>
          </cell>
        </row>
        <row r="519">
          <cell r="U519">
            <v>2026</v>
          </cell>
        </row>
        <row r="520">
          <cell r="U520">
            <v>2026</v>
          </cell>
        </row>
        <row r="521">
          <cell r="U521">
            <v>2026</v>
          </cell>
        </row>
        <row r="522">
          <cell r="U522">
            <v>2026</v>
          </cell>
        </row>
        <row r="523">
          <cell r="U523">
            <v>2026</v>
          </cell>
        </row>
        <row r="524">
          <cell r="U524">
            <v>2026</v>
          </cell>
        </row>
        <row r="525">
          <cell r="U525">
            <v>2026</v>
          </cell>
        </row>
        <row r="526">
          <cell r="U526">
            <v>2026</v>
          </cell>
        </row>
        <row r="527">
          <cell r="U527">
            <v>2026</v>
          </cell>
        </row>
        <row r="528">
          <cell r="U528">
            <v>2026</v>
          </cell>
        </row>
        <row r="529">
          <cell r="U529">
            <v>2026</v>
          </cell>
        </row>
        <row r="530">
          <cell r="U530">
            <v>2026</v>
          </cell>
        </row>
        <row r="531">
          <cell r="U531">
            <v>2026</v>
          </cell>
        </row>
        <row r="532">
          <cell r="U532">
            <v>2026</v>
          </cell>
        </row>
        <row r="533">
          <cell r="U533">
            <v>2026</v>
          </cell>
        </row>
        <row r="534">
          <cell r="U534">
            <v>2026</v>
          </cell>
        </row>
        <row r="535">
          <cell r="U535">
            <v>2026</v>
          </cell>
        </row>
        <row r="536">
          <cell r="U536">
            <v>2026</v>
          </cell>
        </row>
        <row r="537">
          <cell r="U537">
            <v>2026</v>
          </cell>
        </row>
        <row r="538">
          <cell r="U538">
            <v>2026</v>
          </cell>
        </row>
        <row r="539">
          <cell r="U539">
            <v>2026</v>
          </cell>
        </row>
        <row r="540">
          <cell r="U540">
            <v>2026</v>
          </cell>
        </row>
        <row r="541">
          <cell r="U541">
            <v>2026</v>
          </cell>
        </row>
        <row r="542">
          <cell r="U542">
            <v>2026</v>
          </cell>
        </row>
        <row r="543">
          <cell r="U543">
            <v>2026</v>
          </cell>
        </row>
        <row r="544">
          <cell r="U544">
            <v>2026</v>
          </cell>
        </row>
        <row r="545">
          <cell r="U545">
            <v>2026</v>
          </cell>
        </row>
        <row r="546">
          <cell r="U546">
            <v>2026</v>
          </cell>
        </row>
        <row r="547">
          <cell r="U547">
            <v>2026</v>
          </cell>
        </row>
        <row r="548">
          <cell r="U548">
            <v>2026</v>
          </cell>
        </row>
        <row r="549">
          <cell r="U549">
            <v>2026</v>
          </cell>
        </row>
        <row r="550">
          <cell r="U550">
            <v>2026</v>
          </cell>
        </row>
        <row r="551">
          <cell r="U551">
            <v>2026</v>
          </cell>
        </row>
        <row r="552">
          <cell r="U552">
            <v>2026</v>
          </cell>
        </row>
        <row r="553">
          <cell r="U553">
            <v>2026</v>
          </cell>
        </row>
        <row r="554">
          <cell r="U554">
            <v>2026</v>
          </cell>
        </row>
        <row r="555">
          <cell r="U555">
            <v>2026</v>
          </cell>
        </row>
        <row r="556">
          <cell r="U556">
            <v>2026</v>
          </cell>
        </row>
        <row r="557">
          <cell r="U557">
            <v>2026</v>
          </cell>
        </row>
        <row r="558">
          <cell r="U558">
            <v>2026</v>
          </cell>
        </row>
        <row r="559">
          <cell r="U559">
            <v>2026</v>
          </cell>
        </row>
        <row r="560">
          <cell r="U560">
            <v>2026</v>
          </cell>
        </row>
        <row r="561">
          <cell r="U561">
            <v>2026</v>
          </cell>
        </row>
        <row r="562">
          <cell r="U562">
            <v>2026</v>
          </cell>
        </row>
        <row r="563">
          <cell r="U563">
            <v>2026</v>
          </cell>
        </row>
        <row r="564">
          <cell r="U564">
            <v>2026</v>
          </cell>
        </row>
        <row r="565">
          <cell r="U565">
            <v>2026</v>
          </cell>
        </row>
        <row r="566">
          <cell r="U566">
            <v>2026</v>
          </cell>
        </row>
        <row r="567">
          <cell r="U567">
            <v>2026</v>
          </cell>
        </row>
        <row r="568">
          <cell r="U568">
            <v>2026</v>
          </cell>
        </row>
        <row r="569">
          <cell r="U569">
            <v>2026</v>
          </cell>
        </row>
        <row r="570">
          <cell r="U570">
            <v>2026</v>
          </cell>
        </row>
        <row r="571">
          <cell r="U571">
            <v>2026</v>
          </cell>
        </row>
        <row r="572">
          <cell r="U572">
            <v>2026</v>
          </cell>
        </row>
        <row r="573">
          <cell r="U573">
            <v>2026</v>
          </cell>
        </row>
        <row r="574">
          <cell r="U574">
            <v>2026</v>
          </cell>
        </row>
        <row r="575">
          <cell r="U575">
            <v>2026</v>
          </cell>
        </row>
        <row r="576">
          <cell r="U576">
            <v>2026</v>
          </cell>
        </row>
        <row r="577">
          <cell r="U577">
            <v>2026</v>
          </cell>
        </row>
        <row r="578">
          <cell r="U578">
            <v>2026</v>
          </cell>
        </row>
        <row r="579">
          <cell r="U579">
            <v>2026</v>
          </cell>
        </row>
        <row r="580">
          <cell r="U580">
            <v>2026</v>
          </cell>
        </row>
        <row r="581">
          <cell r="U581">
            <v>2026</v>
          </cell>
        </row>
        <row r="582">
          <cell r="U582">
            <v>2026</v>
          </cell>
        </row>
        <row r="583">
          <cell r="U583">
            <v>2026</v>
          </cell>
        </row>
        <row r="584">
          <cell r="U584">
            <v>2026</v>
          </cell>
        </row>
        <row r="585">
          <cell r="U585">
            <v>2026</v>
          </cell>
        </row>
        <row r="586">
          <cell r="U586">
            <v>2026</v>
          </cell>
        </row>
        <row r="587">
          <cell r="U587">
            <v>2026</v>
          </cell>
        </row>
        <row r="588">
          <cell r="U588">
            <v>2026</v>
          </cell>
        </row>
        <row r="589">
          <cell r="U589">
            <v>2026</v>
          </cell>
        </row>
        <row r="590">
          <cell r="U590">
            <v>2026</v>
          </cell>
        </row>
        <row r="591">
          <cell r="U591">
            <v>2026</v>
          </cell>
        </row>
        <row r="592">
          <cell r="U592">
            <v>2026</v>
          </cell>
        </row>
        <row r="593">
          <cell r="U593">
            <v>2026</v>
          </cell>
        </row>
        <row r="594">
          <cell r="U594">
            <v>2026</v>
          </cell>
        </row>
        <row r="595">
          <cell r="U595">
            <v>2026</v>
          </cell>
        </row>
        <row r="596">
          <cell r="U596">
            <v>2026</v>
          </cell>
        </row>
        <row r="597">
          <cell r="U597">
            <v>2026</v>
          </cell>
        </row>
        <row r="598">
          <cell r="U598">
            <v>2026</v>
          </cell>
        </row>
        <row r="599">
          <cell r="U599">
            <v>2026</v>
          </cell>
        </row>
        <row r="600">
          <cell r="U600">
            <v>2026</v>
          </cell>
        </row>
        <row r="601">
          <cell r="U601">
            <v>2026</v>
          </cell>
        </row>
        <row r="602">
          <cell r="U602">
            <v>2026</v>
          </cell>
        </row>
        <row r="603">
          <cell r="U603">
            <v>2026</v>
          </cell>
        </row>
        <row r="604">
          <cell r="U604">
            <v>2026</v>
          </cell>
        </row>
        <row r="605">
          <cell r="U605">
            <v>2026</v>
          </cell>
        </row>
        <row r="606">
          <cell r="U606">
            <v>2026</v>
          </cell>
        </row>
        <row r="607">
          <cell r="U607">
            <v>2026</v>
          </cell>
        </row>
        <row r="608">
          <cell r="U608">
            <v>2026</v>
          </cell>
        </row>
        <row r="609">
          <cell r="U609">
            <v>2026</v>
          </cell>
        </row>
        <row r="610">
          <cell r="U610">
            <v>2026</v>
          </cell>
        </row>
        <row r="611">
          <cell r="U611">
            <v>2026</v>
          </cell>
        </row>
        <row r="612">
          <cell r="U612">
            <v>2026</v>
          </cell>
        </row>
        <row r="613">
          <cell r="U613">
            <v>2026</v>
          </cell>
        </row>
        <row r="614">
          <cell r="U614">
            <v>2026</v>
          </cell>
        </row>
        <row r="615">
          <cell r="U615">
            <v>2026</v>
          </cell>
        </row>
        <row r="616">
          <cell r="U616">
            <v>2026</v>
          </cell>
        </row>
        <row r="617">
          <cell r="U617">
            <v>2026</v>
          </cell>
        </row>
        <row r="618">
          <cell r="U618">
            <v>2026</v>
          </cell>
        </row>
        <row r="619">
          <cell r="U619">
            <v>2026</v>
          </cell>
        </row>
        <row r="620">
          <cell r="U620">
            <v>2026</v>
          </cell>
        </row>
        <row r="621">
          <cell r="U621">
            <v>2026</v>
          </cell>
        </row>
        <row r="622">
          <cell r="U622">
            <v>2026</v>
          </cell>
        </row>
        <row r="623">
          <cell r="U623">
            <v>2026</v>
          </cell>
        </row>
        <row r="624">
          <cell r="U624">
            <v>2026</v>
          </cell>
        </row>
        <row r="625">
          <cell r="U625">
            <v>2026</v>
          </cell>
        </row>
        <row r="626">
          <cell r="U626">
            <v>2026</v>
          </cell>
        </row>
        <row r="627">
          <cell r="U627">
            <v>2026</v>
          </cell>
        </row>
        <row r="628">
          <cell r="U628">
            <v>2026</v>
          </cell>
        </row>
        <row r="629">
          <cell r="U629">
            <v>2026</v>
          </cell>
        </row>
        <row r="630">
          <cell r="U630">
            <v>2026</v>
          </cell>
        </row>
        <row r="631">
          <cell r="U631">
            <v>2026</v>
          </cell>
        </row>
        <row r="632">
          <cell r="U632">
            <v>2026</v>
          </cell>
        </row>
        <row r="633">
          <cell r="U633">
            <v>2026</v>
          </cell>
        </row>
        <row r="634">
          <cell r="U634">
            <v>2026</v>
          </cell>
        </row>
        <row r="635">
          <cell r="U635">
            <v>2026</v>
          </cell>
        </row>
        <row r="636">
          <cell r="U636">
            <v>2026</v>
          </cell>
        </row>
        <row r="637">
          <cell r="U637">
            <v>2026</v>
          </cell>
        </row>
        <row r="638">
          <cell r="U638">
            <v>2026</v>
          </cell>
        </row>
        <row r="639">
          <cell r="U639">
            <v>2026</v>
          </cell>
        </row>
        <row r="640">
          <cell r="U640">
            <v>2026</v>
          </cell>
        </row>
        <row r="641">
          <cell r="U641">
            <v>2026</v>
          </cell>
        </row>
        <row r="642">
          <cell r="U642">
            <v>2026</v>
          </cell>
        </row>
        <row r="643">
          <cell r="U643">
            <v>2026</v>
          </cell>
        </row>
        <row r="644">
          <cell r="U644">
            <v>2026</v>
          </cell>
        </row>
        <row r="645">
          <cell r="U645">
            <v>2026</v>
          </cell>
        </row>
        <row r="646">
          <cell r="U646">
            <v>2026</v>
          </cell>
        </row>
        <row r="647">
          <cell r="U647">
            <v>2026</v>
          </cell>
        </row>
        <row r="648">
          <cell r="U648">
            <v>2026</v>
          </cell>
        </row>
        <row r="649">
          <cell r="U649">
            <v>2026</v>
          </cell>
        </row>
        <row r="650">
          <cell r="U650">
            <v>2026</v>
          </cell>
        </row>
        <row r="651">
          <cell r="U651">
            <v>2026</v>
          </cell>
        </row>
        <row r="652">
          <cell r="U652">
            <v>2026</v>
          </cell>
        </row>
        <row r="653">
          <cell r="U653">
            <v>2026</v>
          </cell>
        </row>
        <row r="654">
          <cell r="U654">
            <v>2026</v>
          </cell>
        </row>
        <row r="655">
          <cell r="U655">
            <v>2026</v>
          </cell>
        </row>
        <row r="656">
          <cell r="U656">
            <v>2026</v>
          </cell>
        </row>
        <row r="657">
          <cell r="U657">
            <v>2026</v>
          </cell>
        </row>
        <row r="658">
          <cell r="U658">
            <v>2026</v>
          </cell>
        </row>
        <row r="659">
          <cell r="U659">
            <v>2026</v>
          </cell>
        </row>
        <row r="660">
          <cell r="U660">
            <v>2026</v>
          </cell>
        </row>
        <row r="661">
          <cell r="U661">
            <v>2026</v>
          </cell>
        </row>
        <row r="662">
          <cell r="U662">
            <v>2026</v>
          </cell>
        </row>
        <row r="663">
          <cell r="U663">
            <v>2026</v>
          </cell>
        </row>
        <row r="664">
          <cell r="U664">
            <v>2026</v>
          </cell>
        </row>
        <row r="665">
          <cell r="U665">
            <v>2026</v>
          </cell>
        </row>
        <row r="666">
          <cell r="U666">
            <v>2026</v>
          </cell>
        </row>
        <row r="667">
          <cell r="U667">
            <v>2026</v>
          </cell>
        </row>
        <row r="668">
          <cell r="U668">
            <v>2026</v>
          </cell>
        </row>
        <row r="669">
          <cell r="U669">
            <v>2026</v>
          </cell>
        </row>
        <row r="670">
          <cell r="U670">
            <v>2026</v>
          </cell>
        </row>
        <row r="671">
          <cell r="U671">
            <v>2026</v>
          </cell>
        </row>
        <row r="672">
          <cell r="U672">
            <v>2026</v>
          </cell>
        </row>
        <row r="673">
          <cell r="U673">
            <v>2026</v>
          </cell>
        </row>
        <row r="674">
          <cell r="U674">
            <v>2026</v>
          </cell>
        </row>
        <row r="675">
          <cell r="U675">
            <v>2026</v>
          </cell>
        </row>
        <row r="676">
          <cell r="U676">
            <v>2026</v>
          </cell>
        </row>
        <row r="677">
          <cell r="U677">
            <v>2026</v>
          </cell>
        </row>
        <row r="678">
          <cell r="U678">
            <v>2026</v>
          </cell>
        </row>
        <row r="679">
          <cell r="U679">
            <v>2026</v>
          </cell>
        </row>
        <row r="680">
          <cell r="U680">
            <v>2026</v>
          </cell>
        </row>
        <row r="681">
          <cell r="U681">
            <v>2026</v>
          </cell>
        </row>
        <row r="682">
          <cell r="U682">
            <v>2026</v>
          </cell>
        </row>
        <row r="683">
          <cell r="U683">
            <v>2026</v>
          </cell>
        </row>
        <row r="684">
          <cell r="U684">
            <v>2026</v>
          </cell>
        </row>
        <row r="685">
          <cell r="U685">
            <v>2026</v>
          </cell>
        </row>
        <row r="686">
          <cell r="U686">
            <v>2026</v>
          </cell>
        </row>
        <row r="687">
          <cell r="U687">
            <v>2026</v>
          </cell>
        </row>
        <row r="688">
          <cell r="U688">
            <v>2026</v>
          </cell>
        </row>
        <row r="689">
          <cell r="U689">
            <v>2026</v>
          </cell>
        </row>
        <row r="690">
          <cell r="U690">
            <v>2026</v>
          </cell>
        </row>
        <row r="691">
          <cell r="U691">
            <v>2026</v>
          </cell>
        </row>
        <row r="692">
          <cell r="U692">
            <v>2026</v>
          </cell>
        </row>
        <row r="693">
          <cell r="U693">
            <v>2026</v>
          </cell>
        </row>
        <row r="694">
          <cell r="U694">
            <v>2026</v>
          </cell>
        </row>
        <row r="695">
          <cell r="U695">
            <v>2026</v>
          </cell>
        </row>
        <row r="696">
          <cell r="U696">
            <v>2026</v>
          </cell>
        </row>
        <row r="697">
          <cell r="U697">
            <v>2026</v>
          </cell>
        </row>
        <row r="698">
          <cell r="U698">
            <v>2026</v>
          </cell>
        </row>
        <row r="699">
          <cell r="U699">
            <v>2026</v>
          </cell>
        </row>
        <row r="700">
          <cell r="U700">
            <v>2026</v>
          </cell>
        </row>
        <row r="701">
          <cell r="U701">
            <v>2026</v>
          </cell>
        </row>
        <row r="702">
          <cell r="U702">
            <v>2026</v>
          </cell>
        </row>
        <row r="703">
          <cell r="U703">
            <v>2026</v>
          </cell>
        </row>
        <row r="704">
          <cell r="U704">
            <v>2026</v>
          </cell>
        </row>
        <row r="705">
          <cell r="U705">
            <v>2026</v>
          </cell>
        </row>
        <row r="706">
          <cell r="U706">
            <v>2026</v>
          </cell>
        </row>
        <row r="707">
          <cell r="U707">
            <v>2026</v>
          </cell>
        </row>
        <row r="708">
          <cell r="U708">
            <v>2026</v>
          </cell>
        </row>
        <row r="709">
          <cell r="U709">
            <v>2026</v>
          </cell>
        </row>
        <row r="710">
          <cell r="U710">
            <v>2026</v>
          </cell>
        </row>
        <row r="711">
          <cell r="U711">
            <v>2026</v>
          </cell>
        </row>
        <row r="712">
          <cell r="U712">
            <v>2026</v>
          </cell>
        </row>
        <row r="713">
          <cell r="U713">
            <v>2026</v>
          </cell>
        </row>
        <row r="714">
          <cell r="U714">
            <v>2026</v>
          </cell>
        </row>
        <row r="715">
          <cell r="U715">
            <v>2026</v>
          </cell>
        </row>
        <row r="716">
          <cell r="U716">
            <v>2026</v>
          </cell>
        </row>
        <row r="717">
          <cell r="U717">
            <v>2026</v>
          </cell>
        </row>
        <row r="718">
          <cell r="U718">
            <v>2026</v>
          </cell>
        </row>
        <row r="719">
          <cell r="U719">
            <v>2026</v>
          </cell>
        </row>
        <row r="720">
          <cell r="U720">
            <v>2026</v>
          </cell>
        </row>
        <row r="721">
          <cell r="U721">
            <v>2026</v>
          </cell>
        </row>
        <row r="722">
          <cell r="U722">
            <v>2026</v>
          </cell>
        </row>
        <row r="723">
          <cell r="U723">
            <v>2026</v>
          </cell>
        </row>
        <row r="724">
          <cell r="U724">
            <v>2026</v>
          </cell>
        </row>
        <row r="725">
          <cell r="U725">
            <v>2026</v>
          </cell>
        </row>
        <row r="726">
          <cell r="U726">
            <v>2026</v>
          </cell>
        </row>
        <row r="727">
          <cell r="U727">
            <v>2026</v>
          </cell>
        </row>
        <row r="728">
          <cell r="U728">
            <v>2026</v>
          </cell>
        </row>
        <row r="729">
          <cell r="U729">
            <v>2026</v>
          </cell>
        </row>
        <row r="730">
          <cell r="U730">
            <v>2026</v>
          </cell>
        </row>
        <row r="731">
          <cell r="U731">
            <v>2026</v>
          </cell>
        </row>
        <row r="732">
          <cell r="U732">
            <v>2026</v>
          </cell>
        </row>
        <row r="733">
          <cell r="U733">
            <v>2026</v>
          </cell>
        </row>
        <row r="734">
          <cell r="U734">
            <v>2026</v>
          </cell>
        </row>
        <row r="735">
          <cell r="U735">
            <v>2026</v>
          </cell>
        </row>
        <row r="736">
          <cell r="U736">
            <v>2026</v>
          </cell>
        </row>
        <row r="737">
          <cell r="U737">
            <v>2026</v>
          </cell>
        </row>
        <row r="738">
          <cell r="U738">
            <v>2026</v>
          </cell>
        </row>
        <row r="739">
          <cell r="U739">
            <v>2026</v>
          </cell>
        </row>
        <row r="740">
          <cell r="U740">
            <v>2026</v>
          </cell>
        </row>
        <row r="741">
          <cell r="U741">
            <v>2026</v>
          </cell>
        </row>
        <row r="742">
          <cell r="U742">
            <v>2026</v>
          </cell>
        </row>
        <row r="743">
          <cell r="U743">
            <v>2026</v>
          </cell>
        </row>
        <row r="744">
          <cell r="U744">
            <v>2026</v>
          </cell>
        </row>
        <row r="745">
          <cell r="U745">
            <v>2026</v>
          </cell>
        </row>
        <row r="746">
          <cell r="U746">
            <v>2026</v>
          </cell>
        </row>
        <row r="747">
          <cell r="U747">
            <v>2026</v>
          </cell>
        </row>
        <row r="748">
          <cell r="U748">
            <v>2026</v>
          </cell>
        </row>
        <row r="749">
          <cell r="U749">
            <v>2026</v>
          </cell>
        </row>
        <row r="750">
          <cell r="U750">
            <v>2026</v>
          </cell>
        </row>
        <row r="751">
          <cell r="U751">
            <v>2026</v>
          </cell>
        </row>
        <row r="752">
          <cell r="U752">
            <v>2026</v>
          </cell>
        </row>
        <row r="753">
          <cell r="U753">
            <v>2026</v>
          </cell>
        </row>
        <row r="754">
          <cell r="U754">
            <v>2026</v>
          </cell>
        </row>
        <row r="755">
          <cell r="U755">
            <v>2026</v>
          </cell>
        </row>
        <row r="756">
          <cell r="U756">
            <v>2026</v>
          </cell>
        </row>
        <row r="757">
          <cell r="U757">
            <v>2026</v>
          </cell>
        </row>
        <row r="758">
          <cell r="U758">
            <v>2026</v>
          </cell>
        </row>
        <row r="759">
          <cell r="U759">
            <v>2026</v>
          </cell>
        </row>
        <row r="760">
          <cell r="U760">
            <v>2026</v>
          </cell>
        </row>
        <row r="761">
          <cell r="U761">
            <v>2026</v>
          </cell>
        </row>
        <row r="762">
          <cell r="U762">
            <v>2026</v>
          </cell>
        </row>
        <row r="763">
          <cell r="U763">
            <v>2026</v>
          </cell>
        </row>
        <row r="764">
          <cell r="U764">
            <v>2026</v>
          </cell>
        </row>
        <row r="765">
          <cell r="U765">
            <v>2026</v>
          </cell>
        </row>
        <row r="766">
          <cell r="U766">
            <v>2026</v>
          </cell>
        </row>
        <row r="767">
          <cell r="U767">
            <v>2026</v>
          </cell>
        </row>
        <row r="768">
          <cell r="U768">
            <v>2026</v>
          </cell>
        </row>
        <row r="769">
          <cell r="U769">
            <v>2026</v>
          </cell>
        </row>
        <row r="770">
          <cell r="U770">
            <v>2026</v>
          </cell>
        </row>
        <row r="771">
          <cell r="U771">
            <v>2026</v>
          </cell>
        </row>
        <row r="772">
          <cell r="U772">
            <v>2026</v>
          </cell>
        </row>
        <row r="773">
          <cell r="U773">
            <v>2026</v>
          </cell>
        </row>
        <row r="774">
          <cell r="U774">
            <v>2026</v>
          </cell>
        </row>
        <row r="775">
          <cell r="U775">
            <v>2026</v>
          </cell>
        </row>
        <row r="776">
          <cell r="U776">
            <v>2026</v>
          </cell>
        </row>
        <row r="777">
          <cell r="U777">
            <v>2026</v>
          </cell>
        </row>
        <row r="778">
          <cell r="U778">
            <v>2026</v>
          </cell>
        </row>
        <row r="779">
          <cell r="U779">
            <v>2026</v>
          </cell>
        </row>
        <row r="780">
          <cell r="U780">
            <v>2026</v>
          </cell>
        </row>
        <row r="781">
          <cell r="U781">
            <v>2026</v>
          </cell>
        </row>
        <row r="782">
          <cell r="U782">
            <v>2026</v>
          </cell>
        </row>
        <row r="783">
          <cell r="U783">
            <v>2026</v>
          </cell>
        </row>
        <row r="784">
          <cell r="U784">
            <v>2026</v>
          </cell>
        </row>
        <row r="785">
          <cell r="U785">
            <v>2026</v>
          </cell>
        </row>
        <row r="786">
          <cell r="U786">
            <v>2026</v>
          </cell>
        </row>
        <row r="787">
          <cell r="U787">
            <v>2026</v>
          </cell>
        </row>
        <row r="788">
          <cell r="U788">
            <v>2026</v>
          </cell>
        </row>
        <row r="789">
          <cell r="U789">
            <v>2026</v>
          </cell>
        </row>
        <row r="790">
          <cell r="U790">
            <v>2026</v>
          </cell>
        </row>
        <row r="791">
          <cell r="U791">
            <v>2026</v>
          </cell>
        </row>
        <row r="792">
          <cell r="U792">
            <v>2026</v>
          </cell>
        </row>
        <row r="793">
          <cell r="U793">
            <v>2026</v>
          </cell>
        </row>
        <row r="794">
          <cell r="U794">
            <v>2026</v>
          </cell>
        </row>
        <row r="795">
          <cell r="U795">
            <v>2026</v>
          </cell>
        </row>
        <row r="796">
          <cell r="U796">
            <v>2026</v>
          </cell>
        </row>
        <row r="797">
          <cell r="U797">
            <v>2026</v>
          </cell>
        </row>
        <row r="798">
          <cell r="U798">
            <v>2026</v>
          </cell>
        </row>
        <row r="799">
          <cell r="U799">
            <v>2026</v>
          </cell>
        </row>
        <row r="800">
          <cell r="U800">
            <v>2026</v>
          </cell>
        </row>
        <row r="801">
          <cell r="U801">
            <v>2026</v>
          </cell>
        </row>
        <row r="802">
          <cell r="U802">
            <v>2026</v>
          </cell>
        </row>
        <row r="803">
          <cell r="U803">
            <v>2026</v>
          </cell>
        </row>
        <row r="804">
          <cell r="U804">
            <v>2026</v>
          </cell>
        </row>
        <row r="805">
          <cell r="U805">
            <v>2026</v>
          </cell>
        </row>
        <row r="806">
          <cell r="U806">
            <v>2026</v>
          </cell>
        </row>
        <row r="807">
          <cell r="U807">
            <v>2026</v>
          </cell>
        </row>
        <row r="808">
          <cell r="U808">
            <v>2026</v>
          </cell>
        </row>
        <row r="809">
          <cell r="U809">
            <v>2026</v>
          </cell>
        </row>
        <row r="810">
          <cell r="U810">
            <v>2026</v>
          </cell>
        </row>
        <row r="811">
          <cell r="U811">
            <v>2026</v>
          </cell>
        </row>
        <row r="812">
          <cell r="U812">
            <v>2026</v>
          </cell>
        </row>
        <row r="813">
          <cell r="U813">
            <v>2026</v>
          </cell>
        </row>
        <row r="814">
          <cell r="U814">
            <v>2026</v>
          </cell>
        </row>
        <row r="815">
          <cell r="U815">
            <v>2026</v>
          </cell>
        </row>
        <row r="816">
          <cell r="U816">
            <v>2026</v>
          </cell>
        </row>
        <row r="817">
          <cell r="U817">
            <v>2026</v>
          </cell>
        </row>
        <row r="818">
          <cell r="U818">
            <v>2026</v>
          </cell>
        </row>
        <row r="819">
          <cell r="U819">
            <v>2026</v>
          </cell>
        </row>
        <row r="820">
          <cell r="U820">
            <v>2026</v>
          </cell>
        </row>
        <row r="821">
          <cell r="U821">
            <v>2026</v>
          </cell>
        </row>
        <row r="822">
          <cell r="U822">
            <v>2026</v>
          </cell>
        </row>
        <row r="823">
          <cell r="U823">
            <v>2026</v>
          </cell>
        </row>
        <row r="824">
          <cell r="U824">
            <v>2026</v>
          </cell>
        </row>
        <row r="825">
          <cell r="U825">
            <v>2026</v>
          </cell>
        </row>
        <row r="826">
          <cell r="U826">
            <v>2026</v>
          </cell>
        </row>
        <row r="827">
          <cell r="U827">
            <v>2026</v>
          </cell>
        </row>
        <row r="828">
          <cell r="U828">
            <v>2026</v>
          </cell>
        </row>
        <row r="829">
          <cell r="U829">
            <v>2026</v>
          </cell>
        </row>
        <row r="830">
          <cell r="U830">
            <v>2026</v>
          </cell>
        </row>
        <row r="831">
          <cell r="U831">
            <v>2026</v>
          </cell>
        </row>
        <row r="832">
          <cell r="U832">
            <v>2026</v>
          </cell>
        </row>
        <row r="833">
          <cell r="U833">
            <v>2026</v>
          </cell>
        </row>
        <row r="834">
          <cell r="U834">
            <v>2026</v>
          </cell>
        </row>
        <row r="835">
          <cell r="U835">
            <v>2026</v>
          </cell>
        </row>
        <row r="836">
          <cell r="U836">
            <v>2026</v>
          </cell>
        </row>
        <row r="837">
          <cell r="U837">
            <v>2026</v>
          </cell>
        </row>
        <row r="838">
          <cell r="U838">
            <v>2026</v>
          </cell>
        </row>
        <row r="839">
          <cell r="U839">
            <v>2026</v>
          </cell>
        </row>
        <row r="840">
          <cell r="U840">
            <v>2026</v>
          </cell>
        </row>
        <row r="841">
          <cell r="U841">
            <v>2026</v>
          </cell>
        </row>
        <row r="842">
          <cell r="U842">
            <v>2026</v>
          </cell>
        </row>
        <row r="843">
          <cell r="U843">
            <v>2026</v>
          </cell>
        </row>
        <row r="844">
          <cell r="U844">
            <v>2026</v>
          </cell>
        </row>
        <row r="845">
          <cell r="U845">
            <v>2026</v>
          </cell>
        </row>
        <row r="846">
          <cell r="U846">
            <v>2026</v>
          </cell>
        </row>
        <row r="847">
          <cell r="U847">
            <v>2026</v>
          </cell>
        </row>
        <row r="848">
          <cell r="U848">
            <v>2026</v>
          </cell>
        </row>
        <row r="849">
          <cell r="U849">
            <v>2026</v>
          </cell>
        </row>
        <row r="850">
          <cell r="U850">
            <v>2026</v>
          </cell>
        </row>
        <row r="851">
          <cell r="U851">
            <v>2026</v>
          </cell>
        </row>
        <row r="852">
          <cell r="U852">
            <v>2026</v>
          </cell>
        </row>
        <row r="853">
          <cell r="U853">
            <v>2026</v>
          </cell>
        </row>
        <row r="854">
          <cell r="U854">
            <v>2026</v>
          </cell>
        </row>
        <row r="855">
          <cell r="U855">
            <v>2026</v>
          </cell>
        </row>
        <row r="856">
          <cell r="U856">
            <v>2026</v>
          </cell>
        </row>
        <row r="857">
          <cell r="U857">
            <v>2026</v>
          </cell>
        </row>
        <row r="858">
          <cell r="U858">
            <v>2026</v>
          </cell>
        </row>
        <row r="859">
          <cell r="U859">
            <v>2026</v>
          </cell>
        </row>
        <row r="860">
          <cell r="U860">
            <v>2026</v>
          </cell>
        </row>
        <row r="861">
          <cell r="U861">
            <v>2026</v>
          </cell>
        </row>
        <row r="862">
          <cell r="U862">
            <v>2026</v>
          </cell>
        </row>
        <row r="863">
          <cell r="U863">
            <v>2026</v>
          </cell>
        </row>
        <row r="864">
          <cell r="U864">
            <v>2026</v>
          </cell>
        </row>
        <row r="865">
          <cell r="U865">
            <v>2026</v>
          </cell>
        </row>
        <row r="866">
          <cell r="U866">
            <v>2026</v>
          </cell>
        </row>
        <row r="867">
          <cell r="U867">
            <v>2026</v>
          </cell>
        </row>
        <row r="868">
          <cell r="U868">
            <v>2026</v>
          </cell>
        </row>
        <row r="869">
          <cell r="U869">
            <v>2026</v>
          </cell>
        </row>
        <row r="870">
          <cell r="U870">
            <v>2026</v>
          </cell>
        </row>
        <row r="871">
          <cell r="U871">
            <v>2026</v>
          </cell>
        </row>
        <row r="872">
          <cell r="U872">
            <v>2026</v>
          </cell>
        </row>
        <row r="873">
          <cell r="U873">
            <v>2026</v>
          </cell>
        </row>
        <row r="874">
          <cell r="U874">
            <v>2026</v>
          </cell>
        </row>
        <row r="875">
          <cell r="U875">
            <v>2026</v>
          </cell>
        </row>
        <row r="876">
          <cell r="U876">
            <v>2026</v>
          </cell>
        </row>
        <row r="877">
          <cell r="U877">
            <v>2026</v>
          </cell>
        </row>
        <row r="878">
          <cell r="U878">
            <v>2026</v>
          </cell>
        </row>
        <row r="879">
          <cell r="U879">
            <v>2026</v>
          </cell>
        </row>
        <row r="880">
          <cell r="U880">
            <v>2026</v>
          </cell>
        </row>
        <row r="881">
          <cell r="U881">
            <v>2026</v>
          </cell>
        </row>
        <row r="882">
          <cell r="U882">
            <v>2026</v>
          </cell>
        </row>
        <row r="883">
          <cell r="U883">
            <v>2026</v>
          </cell>
        </row>
        <row r="884">
          <cell r="U884">
            <v>2026</v>
          </cell>
        </row>
        <row r="885">
          <cell r="U885">
            <v>2026</v>
          </cell>
        </row>
        <row r="886">
          <cell r="U886">
            <v>2026</v>
          </cell>
        </row>
        <row r="887">
          <cell r="U887">
            <v>2026</v>
          </cell>
        </row>
        <row r="888">
          <cell r="U888">
            <v>2026</v>
          </cell>
        </row>
        <row r="889">
          <cell r="U889">
            <v>2026</v>
          </cell>
        </row>
        <row r="890">
          <cell r="U890">
            <v>2026</v>
          </cell>
        </row>
        <row r="891">
          <cell r="U891">
            <v>2026</v>
          </cell>
        </row>
        <row r="892">
          <cell r="U892">
            <v>2026</v>
          </cell>
        </row>
        <row r="893">
          <cell r="U893">
            <v>2026</v>
          </cell>
        </row>
        <row r="894">
          <cell r="U894">
            <v>2026</v>
          </cell>
        </row>
        <row r="895">
          <cell r="U895">
            <v>2026</v>
          </cell>
        </row>
        <row r="896">
          <cell r="U896">
            <v>2026</v>
          </cell>
        </row>
        <row r="897">
          <cell r="U897">
            <v>2026</v>
          </cell>
        </row>
        <row r="898">
          <cell r="U898">
            <v>2026</v>
          </cell>
        </row>
        <row r="899">
          <cell r="U899">
            <v>2026</v>
          </cell>
        </row>
        <row r="900">
          <cell r="U900">
            <v>2026</v>
          </cell>
        </row>
        <row r="901">
          <cell r="U901">
            <v>2026</v>
          </cell>
        </row>
        <row r="902">
          <cell r="U902">
            <v>2026</v>
          </cell>
        </row>
        <row r="903">
          <cell r="U903">
            <v>2026</v>
          </cell>
        </row>
        <row r="904">
          <cell r="U904">
            <v>2026</v>
          </cell>
        </row>
        <row r="905">
          <cell r="U905">
            <v>2026</v>
          </cell>
        </row>
        <row r="906">
          <cell r="U906">
            <v>2026</v>
          </cell>
        </row>
        <row r="907">
          <cell r="U907">
            <v>2026</v>
          </cell>
        </row>
        <row r="908">
          <cell r="U908">
            <v>2026</v>
          </cell>
        </row>
        <row r="909">
          <cell r="U909">
            <v>2026</v>
          </cell>
        </row>
        <row r="910">
          <cell r="U910">
            <v>2026</v>
          </cell>
        </row>
        <row r="911">
          <cell r="U911">
            <v>2026</v>
          </cell>
        </row>
        <row r="912">
          <cell r="U912">
            <v>2026</v>
          </cell>
        </row>
        <row r="913">
          <cell r="U913">
            <v>2026</v>
          </cell>
        </row>
        <row r="914">
          <cell r="U914">
            <v>2026</v>
          </cell>
        </row>
        <row r="915">
          <cell r="U915">
            <v>2026</v>
          </cell>
        </row>
        <row r="916">
          <cell r="U916">
            <v>2026</v>
          </cell>
        </row>
        <row r="917">
          <cell r="U917">
            <v>2026</v>
          </cell>
        </row>
        <row r="918">
          <cell r="U918">
            <v>2026</v>
          </cell>
        </row>
        <row r="919">
          <cell r="U919">
            <v>2026</v>
          </cell>
        </row>
        <row r="920">
          <cell r="U920">
            <v>2026</v>
          </cell>
        </row>
        <row r="921">
          <cell r="U921">
            <v>2026</v>
          </cell>
        </row>
        <row r="922">
          <cell r="U922">
            <v>2026</v>
          </cell>
        </row>
        <row r="923">
          <cell r="U923">
            <v>2026</v>
          </cell>
        </row>
        <row r="924">
          <cell r="U924">
            <v>2026</v>
          </cell>
        </row>
        <row r="925">
          <cell r="U925">
            <v>2026</v>
          </cell>
        </row>
        <row r="926">
          <cell r="U926">
            <v>2026</v>
          </cell>
        </row>
        <row r="927">
          <cell r="U927">
            <v>2026</v>
          </cell>
        </row>
        <row r="928">
          <cell r="U928">
            <v>2026</v>
          </cell>
        </row>
        <row r="929">
          <cell r="U929">
            <v>2026</v>
          </cell>
        </row>
        <row r="930">
          <cell r="U930">
            <v>2026</v>
          </cell>
        </row>
        <row r="931">
          <cell r="U931">
            <v>2026</v>
          </cell>
        </row>
        <row r="932">
          <cell r="U932">
            <v>2026</v>
          </cell>
        </row>
        <row r="933">
          <cell r="U933">
            <v>2026</v>
          </cell>
        </row>
        <row r="934">
          <cell r="U934">
            <v>2026</v>
          </cell>
        </row>
        <row r="935">
          <cell r="U935">
            <v>2026</v>
          </cell>
        </row>
        <row r="936">
          <cell r="U936">
            <v>2026</v>
          </cell>
        </row>
        <row r="937">
          <cell r="U937">
            <v>2026</v>
          </cell>
        </row>
        <row r="938">
          <cell r="U938">
            <v>2026</v>
          </cell>
        </row>
        <row r="939">
          <cell r="U939">
            <v>2026</v>
          </cell>
        </row>
        <row r="940">
          <cell r="U940">
            <v>2026</v>
          </cell>
        </row>
        <row r="941">
          <cell r="U941">
            <v>2026</v>
          </cell>
        </row>
        <row r="942">
          <cell r="U942">
            <v>2026</v>
          </cell>
        </row>
        <row r="943">
          <cell r="U943">
            <v>2026</v>
          </cell>
        </row>
        <row r="944">
          <cell r="U944">
            <v>2026</v>
          </cell>
        </row>
        <row r="945">
          <cell r="U945">
            <v>2026</v>
          </cell>
        </row>
        <row r="946">
          <cell r="U946">
            <v>2026</v>
          </cell>
        </row>
        <row r="947">
          <cell r="U947">
            <v>2026</v>
          </cell>
        </row>
        <row r="948">
          <cell r="U948">
            <v>2026</v>
          </cell>
        </row>
        <row r="949">
          <cell r="U949">
            <v>2026</v>
          </cell>
        </row>
        <row r="950">
          <cell r="U950">
            <v>2026</v>
          </cell>
        </row>
        <row r="951">
          <cell r="U951">
            <v>2026</v>
          </cell>
        </row>
        <row r="952">
          <cell r="U952">
            <v>2026</v>
          </cell>
        </row>
        <row r="953">
          <cell r="U953">
            <v>2026</v>
          </cell>
        </row>
        <row r="954">
          <cell r="U954">
            <v>2026</v>
          </cell>
        </row>
        <row r="955">
          <cell r="U955">
            <v>2026</v>
          </cell>
        </row>
        <row r="956">
          <cell r="U956">
            <v>2026</v>
          </cell>
        </row>
        <row r="957">
          <cell r="U957">
            <v>2026</v>
          </cell>
        </row>
        <row r="958">
          <cell r="U958">
            <v>2026</v>
          </cell>
        </row>
        <row r="959">
          <cell r="U959">
            <v>2026</v>
          </cell>
        </row>
        <row r="960">
          <cell r="U960">
            <v>2026</v>
          </cell>
        </row>
        <row r="961">
          <cell r="U961">
            <v>2026</v>
          </cell>
        </row>
        <row r="962">
          <cell r="U962">
            <v>2026</v>
          </cell>
        </row>
        <row r="963">
          <cell r="U963">
            <v>2026</v>
          </cell>
        </row>
        <row r="964">
          <cell r="U964">
            <v>2026</v>
          </cell>
        </row>
        <row r="965">
          <cell r="U965">
            <v>2026</v>
          </cell>
        </row>
        <row r="966">
          <cell r="U966">
            <v>2026</v>
          </cell>
        </row>
        <row r="967">
          <cell r="U967">
            <v>2026</v>
          </cell>
        </row>
        <row r="968">
          <cell r="U968">
            <v>2026</v>
          </cell>
        </row>
        <row r="969">
          <cell r="U969">
            <v>2026</v>
          </cell>
        </row>
        <row r="970">
          <cell r="U970">
            <v>2026</v>
          </cell>
        </row>
        <row r="971">
          <cell r="U971">
            <v>2026</v>
          </cell>
        </row>
        <row r="972">
          <cell r="U972">
            <v>2026</v>
          </cell>
        </row>
        <row r="973">
          <cell r="U973">
            <v>2026</v>
          </cell>
        </row>
        <row r="974">
          <cell r="U974">
            <v>2026</v>
          </cell>
        </row>
        <row r="975">
          <cell r="U975">
            <v>2026</v>
          </cell>
        </row>
        <row r="976">
          <cell r="U976">
            <v>2026</v>
          </cell>
        </row>
        <row r="977">
          <cell r="U977">
            <v>2026</v>
          </cell>
        </row>
        <row r="978">
          <cell r="U978">
            <v>2026</v>
          </cell>
        </row>
        <row r="979">
          <cell r="U979">
            <v>2026</v>
          </cell>
        </row>
        <row r="980">
          <cell r="U980">
            <v>2026</v>
          </cell>
        </row>
        <row r="981">
          <cell r="U981">
            <v>2026</v>
          </cell>
        </row>
        <row r="982">
          <cell r="U982">
            <v>2026</v>
          </cell>
        </row>
        <row r="983">
          <cell r="U983">
            <v>2026</v>
          </cell>
        </row>
        <row r="984">
          <cell r="U984">
            <v>2026</v>
          </cell>
        </row>
        <row r="985">
          <cell r="U985">
            <v>2026</v>
          </cell>
        </row>
        <row r="986">
          <cell r="U986">
            <v>2026</v>
          </cell>
        </row>
        <row r="987">
          <cell r="U987">
            <v>2026</v>
          </cell>
        </row>
        <row r="988">
          <cell r="U988">
            <v>2026</v>
          </cell>
        </row>
        <row r="989">
          <cell r="U989">
            <v>2026</v>
          </cell>
        </row>
        <row r="990">
          <cell r="U990">
            <v>2026</v>
          </cell>
        </row>
        <row r="991">
          <cell r="U991">
            <v>2026</v>
          </cell>
        </row>
        <row r="992">
          <cell r="U992">
            <v>2026</v>
          </cell>
        </row>
        <row r="993">
          <cell r="U993">
            <v>2026</v>
          </cell>
        </row>
        <row r="994">
          <cell r="U994">
            <v>2026</v>
          </cell>
        </row>
        <row r="995">
          <cell r="U995">
            <v>2026</v>
          </cell>
        </row>
        <row r="996">
          <cell r="U996">
            <v>2026</v>
          </cell>
        </row>
        <row r="997">
          <cell r="U997">
            <v>2026</v>
          </cell>
        </row>
        <row r="998">
          <cell r="U998">
            <v>2026</v>
          </cell>
        </row>
        <row r="999">
          <cell r="U999">
            <v>2026</v>
          </cell>
        </row>
        <row r="1000">
          <cell r="U1000">
            <v>2026</v>
          </cell>
        </row>
        <row r="1001">
          <cell r="U1001">
            <v>2026</v>
          </cell>
        </row>
        <row r="1002">
          <cell r="U1002">
            <v>2026</v>
          </cell>
        </row>
        <row r="1003">
          <cell r="U1003">
            <v>2026</v>
          </cell>
        </row>
        <row r="1004">
          <cell r="U1004">
            <v>2026</v>
          </cell>
        </row>
        <row r="1005">
          <cell r="U1005">
            <v>2026</v>
          </cell>
        </row>
        <row r="1006">
          <cell r="U1006">
            <v>2026</v>
          </cell>
        </row>
        <row r="1007">
          <cell r="U1007">
            <v>2026</v>
          </cell>
        </row>
        <row r="1008">
          <cell r="U1008">
            <v>2026</v>
          </cell>
        </row>
        <row r="1009">
          <cell r="U1009">
            <v>2026</v>
          </cell>
        </row>
        <row r="1010">
          <cell r="U1010">
            <v>2026</v>
          </cell>
        </row>
        <row r="1011">
          <cell r="U1011">
            <v>2026</v>
          </cell>
        </row>
        <row r="1012">
          <cell r="U1012">
            <v>2026</v>
          </cell>
        </row>
        <row r="1013">
          <cell r="U1013">
            <v>2026</v>
          </cell>
        </row>
        <row r="1014">
          <cell r="U1014">
            <v>2026</v>
          </cell>
        </row>
        <row r="1015">
          <cell r="U1015">
            <v>2026</v>
          </cell>
        </row>
        <row r="1016">
          <cell r="U1016">
            <v>2026</v>
          </cell>
        </row>
        <row r="1017">
          <cell r="U1017">
            <v>2026</v>
          </cell>
        </row>
        <row r="1018">
          <cell r="U1018">
            <v>2026</v>
          </cell>
        </row>
        <row r="1019">
          <cell r="U1019">
            <v>2026</v>
          </cell>
        </row>
        <row r="1020">
          <cell r="U1020">
            <v>2026</v>
          </cell>
        </row>
        <row r="1021">
          <cell r="U1021">
            <v>2026</v>
          </cell>
        </row>
        <row r="1022">
          <cell r="U1022">
            <v>2026</v>
          </cell>
        </row>
        <row r="1023">
          <cell r="U1023">
            <v>2026</v>
          </cell>
        </row>
        <row r="1024">
          <cell r="U1024">
            <v>2026</v>
          </cell>
        </row>
        <row r="1025">
          <cell r="U1025">
            <v>2026</v>
          </cell>
        </row>
        <row r="1026">
          <cell r="U1026">
            <v>2026</v>
          </cell>
        </row>
        <row r="1027">
          <cell r="U1027">
            <v>2026</v>
          </cell>
        </row>
        <row r="1028">
          <cell r="U1028">
            <v>2026</v>
          </cell>
        </row>
        <row r="1029">
          <cell r="U1029">
            <v>2026</v>
          </cell>
        </row>
        <row r="1030">
          <cell r="U1030">
            <v>2026</v>
          </cell>
        </row>
        <row r="1031">
          <cell r="U1031">
            <v>2026</v>
          </cell>
        </row>
        <row r="1032">
          <cell r="U1032">
            <v>2026</v>
          </cell>
        </row>
        <row r="1033">
          <cell r="U1033">
            <v>2026</v>
          </cell>
        </row>
        <row r="1034">
          <cell r="U1034">
            <v>2026</v>
          </cell>
        </row>
        <row r="1035">
          <cell r="U1035">
            <v>2026</v>
          </cell>
        </row>
        <row r="1036">
          <cell r="U1036">
            <v>2026</v>
          </cell>
        </row>
        <row r="1037">
          <cell r="U1037">
            <v>2026</v>
          </cell>
        </row>
        <row r="1038">
          <cell r="U1038">
            <v>2026</v>
          </cell>
        </row>
        <row r="1039">
          <cell r="U1039">
            <v>2026</v>
          </cell>
        </row>
        <row r="1040">
          <cell r="U1040">
            <v>2026</v>
          </cell>
        </row>
        <row r="1041">
          <cell r="U1041">
            <v>2026</v>
          </cell>
        </row>
        <row r="1042">
          <cell r="U1042">
            <v>2026</v>
          </cell>
        </row>
        <row r="1043">
          <cell r="U1043">
            <v>2026</v>
          </cell>
        </row>
        <row r="1044">
          <cell r="U1044">
            <v>2026</v>
          </cell>
        </row>
        <row r="1045">
          <cell r="U1045">
            <v>2026</v>
          </cell>
        </row>
        <row r="1046">
          <cell r="U1046">
            <v>2026</v>
          </cell>
        </row>
        <row r="1047">
          <cell r="U1047">
            <v>2026</v>
          </cell>
        </row>
        <row r="1048">
          <cell r="U1048">
            <v>2026</v>
          </cell>
        </row>
        <row r="1049">
          <cell r="U1049">
            <v>2026</v>
          </cell>
        </row>
        <row r="1050">
          <cell r="U1050">
            <v>2026</v>
          </cell>
        </row>
        <row r="1051">
          <cell r="U1051">
            <v>2026</v>
          </cell>
        </row>
        <row r="1052">
          <cell r="U1052">
            <v>2026</v>
          </cell>
        </row>
        <row r="1053">
          <cell r="U1053">
            <v>2026</v>
          </cell>
        </row>
        <row r="1054">
          <cell r="U1054">
            <v>2026</v>
          </cell>
        </row>
        <row r="1055">
          <cell r="U1055">
            <v>2026</v>
          </cell>
        </row>
        <row r="1056">
          <cell r="U1056">
            <v>2026</v>
          </cell>
        </row>
        <row r="1057">
          <cell r="U1057">
            <v>2026</v>
          </cell>
        </row>
        <row r="1058">
          <cell r="U1058">
            <v>2026</v>
          </cell>
        </row>
        <row r="1059">
          <cell r="U1059">
            <v>2026</v>
          </cell>
        </row>
        <row r="1060">
          <cell r="U1060">
            <v>2026</v>
          </cell>
        </row>
        <row r="1061">
          <cell r="U1061">
            <v>2026</v>
          </cell>
        </row>
        <row r="1062">
          <cell r="U1062">
            <v>2026</v>
          </cell>
        </row>
        <row r="1063">
          <cell r="U1063">
            <v>2026</v>
          </cell>
        </row>
        <row r="1064">
          <cell r="U1064">
            <v>2026</v>
          </cell>
        </row>
        <row r="1065">
          <cell r="U1065">
            <v>2026</v>
          </cell>
        </row>
        <row r="1066">
          <cell r="U1066">
            <v>2026</v>
          </cell>
        </row>
        <row r="1067">
          <cell r="U1067">
            <v>2026</v>
          </cell>
        </row>
        <row r="1068">
          <cell r="U1068">
            <v>2026</v>
          </cell>
        </row>
        <row r="1069">
          <cell r="U1069">
            <v>2026</v>
          </cell>
        </row>
        <row r="1070">
          <cell r="U1070">
            <v>2026</v>
          </cell>
        </row>
        <row r="1071">
          <cell r="U1071">
            <v>2026</v>
          </cell>
        </row>
        <row r="1072">
          <cell r="U1072">
            <v>2026</v>
          </cell>
        </row>
        <row r="1073">
          <cell r="U1073">
            <v>2026</v>
          </cell>
        </row>
        <row r="1074">
          <cell r="U1074">
            <v>2026</v>
          </cell>
        </row>
        <row r="1075">
          <cell r="U1075">
            <v>2026</v>
          </cell>
        </row>
        <row r="1076">
          <cell r="U1076">
            <v>2026</v>
          </cell>
        </row>
        <row r="1077">
          <cell r="U1077">
            <v>2026</v>
          </cell>
        </row>
        <row r="1078">
          <cell r="U1078">
            <v>2026</v>
          </cell>
        </row>
        <row r="1079">
          <cell r="U1079">
            <v>2026</v>
          </cell>
        </row>
        <row r="1080">
          <cell r="U1080">
            <v>2026</v>
          </cell>
        </row>
        <row r="1081">
          <cell r="U1081">
            <v>2026</v>
          </cell>
        </row>
        <row r="1082">
          <cell r="U1082">
            <v>2026</v>
          </cell>
        </row>
        <row r="1083">
          <cell r="U1083">
            <v>2026</v>
          </cell>
        </row>
        <row r="1084">
          <cell r="U1084">
            <v>2026</v>
          </cell>
        </row>
        <row r="1085">
          <cell r="U1085">
            <v>2026</v>
          </cell>
        </row>
        <row r="1086">
          <cell r="U1086">
            <v>2026</v>
          </cell>
        </row>
        <row r="1087">
          <cell r="U1087">
            <v>2026</v>
          </cell>
        </row>
        <row r="1088">
          <cell r="U1088">
            <v>2026</v>
          </cell>
        </row>
        <row r="1089">
          <cell r="U1089">
            <v>2026</v>
          </cell>
        </row>
        <row r="1090">
          <cell r="U1090">
            <v>2026</v>
          </cell>
        </row>
        <row r="1091">
          <cell r="U1091">
            <v>2026</v>
          </cell>
        </row>
        <row r="1092">
          <cell r="U1092">
            <v>2026</v>
          </cell>
        </row>
        <row r="1093">
          <cell r="U1093">
            <v>2026</v>
          </cell>
        </row>
        <row r="1094">
          <cell r="U1094">
            <v>2026</v>
          </cell>
        </row>
        <row r="1095">
          <cell r="U1095">
            <v>2026</v>
          </cell>
        </row>
        <row r="1096">
          <cell r="U1096">
            <v>2026</v>
          </cell>
        </row>
        <row r="1097">
          <cell r="U1097">
            <v>2026</v>
          </cell>
        </row>
        <row r="1098">
          <cell r="U1098">
            <v>2026</v>
          </cell>
        </row>
        <row r="1099">
          <cell r="U1099">
            <v>2026</v>
          </cell>
        </row>
        <row r="1100">
          <cell r="U1100">
            <v>2026</v>
          </cell>
        </row>
        <row r="1101">
          <cell r="U1101">
            <v>2026</v>
          </cell>
        </row>
        <row r="1102">
          <cell r="U1102">
            <v>2026</v>
          </cell>
        </row>
        <row r="1103">
          <cell r="U1103">
            <v>2026</v>
          </cell>
        </row>
        <row r="1104">
          <cell r="U1104">
            <v>2026</v>
          </cell>
        </row>
        <row r="1105">
          <cell r="U1105">
            <v>2026</v>
          </cell>
        </row>
        <row r="1106">
          <cell r="U1106">
            <v>2026</v>
          </cell>
        </row>
        <row r="1107">
          <cell r="U1107">
            <v>2026</v>
          </cell>
        </row>
        <row r="1108">
          <cell r="U1108">
            <v>2026</v>
          </cell>
        </row>
        <row r="1109">
          <cell r="U1109">
            <v>2026</v>
          </cell>
        </row>
        <row r="1110">
          <cell r="U1110">
            <v>2026</v>
          </cell>
        </row>
        <row r="1111">
          <cell r="U1111">
            <v>2026</v>
          </cell>
        </row>
        <row r="1112">
          <cell r="U1112">
            <v>2026</v>
          </cell>
        </row>
        <row r="1113">
          <cell r="U1113">
            <v>2026</v>
          </cell>
        </row>
        <row r="1114">
          <cell r="U1114">
            <v>2026</v>
          </cell>
        </row>
        <row r="1115">
          <cell r="U1115">
            <v>2026</v>
          </cell>
        </row>
        <row r="1116">
          <cell r="U1116">
            <v>2026</v>
          </cell>
        </row>
        <row r="1117">
          <cell r="U1117">
            <v>2026</v>
          </cell>
        </row>
        <row r="1118">
          <cell r="U1118">
            <v>2026</v>
          </cell>
        </row>
        <row r="1119">
          <cell r="U1119">
            <v>2026</v>
          </cell>
        </row>
        <row r="1120">
          <cell r="U1120">
            <v>2026</v>
          </cell>
        </row>
        <row r="1121">
          <cell r="U1121">
            <v>2026</v>
          </cell>
        </row>
        <row r="1122">
          <cell r="U1122">
            <v>2026</v>
          </cell>
        </row>
        <row r="1123">
          <cell r="U1123">
            <v>2026</v>
          </cell>
        </row>
        <row r="1124">
          <cell r="U1124">
            <v>2026</v>
          </cell>
        </row>
        <row r="1125">
          <cell r="U1125">
            <v>2026</v>
          </cell>
        </row>
        <row r="1126">
          <cell r="U1126">
            <v>2026</v>
          </cell>
        </row>
        <row r="1127">
          <cell r="U1127">
            <v>2026</v>
          </cell>
        </row>
        <row r="1128">
          <cell r="U1128">
            <v>2026</v>
          </cell>
        </row>
        <row r="1129">
          <cell r="U1129">
            <v>2026</v>
          </cell>
        </row>
        <row r="1130">
          <cell r="U1130">
            <v>2026</v>
          </cell>
        </row>
        <row r="1131">
          <cell r="U1131">
            <v>2026</v>
          </cell>
        </row>
        <row r="1132">
          <cell r="U1132">
            <v>2026</v>
          </cell>
        </row>
        <row r="1133">
          <cell r="U1133">
            <v>2026</v>
          </cell>
        </row>
        <row r="1134">
          <cell r="U1134">
            <v>2026</v>
          </cell>
        </row>
        <row r="1135">
          <cell r="U1135">
            <v>2026</v>
          </cell>
        </row>
        <row r="1136">
          <cell r="U1136">
            <v>2026</v>
          </cell>
        </row>
        <row r="1137">
          <cell r="U1137">
            <v>2026</v>
          </cell>
        </row>
        <row r="1138">
          <cell r="U1138">
            <v>2026</v>
          </cell>
        </row>
        <row r="1139">
          <cell r="U1139">
            <v>2026</v>
          </cell>
        </row>
        <row r="1140">
          <cell r="U1140">
            <v>2026</v>
          </cell>
        </row>
        <row r="1141">
          <cell r="U1141">
            <v>2026</v>
          </cell>
        </row>
        <row r="1142">
          <cell r="U1142">
            <v>2026</v>
          </cell>
        </row>
        <row r="1143">
          <cell r="U1143">
            <v>2026</v>
          </cell>
        </row>
        <row r="1144">
          <cell r="U1144">
            <v>2026</v>
          </cell>
        </row>
        <row r="1145">
          <cell r="U1145">
            <v>2026</v>
          </cell>
        </row>
        <row r="1146">
          <cell r="U1146">
            <v>2026</v>
          </cell>
        </row>
        <row r="1147">
          <cell r="U1147">
            <v>2026</v>
          </cell>
        </row>
        <row r="1148">
          <cell r="U1148">
            <v>2026</v>
          </cell>
        </row>
        <row r="1149">
          <cell r="U1149">
            <v>2026</v>
          </cell>
        </row>
        <row r="1150">
          <cell r="U1150">
            <v>2026</v>
          </cell>
        </row>
        <row r="1151">
          <cell r="U1151">
            <v>2026</v>
          </cell>
        </row>
        <row r="1152">
          <cell r="U1152">
            <v>2026</v>
          </cell>
        </row>
        <row r="1153">
          <cell r="U1153">
            <v>2026</v>
          </cell>
        </row>
        <row r="1154">
          <cell r="U1154">
            <v>2026</v>
          </cell>
        </row>
        <row r="1155">
          <cell r="U1155">
            <v>2026</v>
          </cell>
        </row>
        <row r="1156">
          <cell r="U1156">
            <v>2026</v>
          </cell>
        </row>
        <row r="1157">
          <cell r="U1157">
            <v>2026</v>
          </cell>
        </row>
        <row r="1158">
          <cell r="U1158">
            <v>2026</v>
          </cell>
        </row>
        <row r="1159">
          <cell r="U1159">
            <v>2026</v>
          </cell>
        </row>
        <row r="1160">
          <cell r="U1160">
            <v>2026</v>
          </cell>
        </row>
        <row r="1161">
          <cell r="U1161">
            <v>2026</v>
          </cell>
        </row>
        <row r="1162">
          <cell r="U1162">
            <v>2026</v>
          </cell>
        </row>
        <row r="1163">
          <cell r="U1163">
            <v>2026</v>
          </cell>
        </row>
        <row r="1164">
          <cell r="U1164">
            <v>2026</v>
          </cell>
        </row>
        <row r="1165">
          <cell r="U1165">
            <v>2026</v>
          </cell>
        </row>
        <row r="1166">
          <cell r="U1166">
            <v>2026</v>
          </cell>
        </row>
        <row r="1167">
          <cell r="U1167">
            <v>2026</v>
          </cell>
        </row>
        <row r="1168">
          <cell r="U1168">
            <v>2026</v>
          </cell>
        </row>
        <row r="1169">
          <cell r="U1169">
            <v>2026</v>
          </cell>
        </row>
        <row r="1170">
          <cell r="U1170">
            <v>2026</v>
          </cell>
        </row>
        <row r="1171">
          <cell r="U1171">
            <v>2026</v>
          </cell>
        </row>
        <row r="1172">
          <cell r="U1172">
            <v>2026</v>
          </cell>
        </row>
        <row r="1173">
          <cell r="U1173">
            <v>2026</v>
          </cell>
        </row>
        <row r="1174">
          <cell r="U1174">
            <v>2026</v>
          </cell>
        </row>
        <row r="1175">
          <cell r="U1175">
            <v>2026</v>
          </cell>
        </row>
        <row r="1176">
          <cell r="U1176">
            <v>2026</v>
          </cell>
        </row>
        <row r="1177">
          <cell r="U1177">
            <v>2026</v>
          </cell>
        </row>
        <row r="1178">
          <cell r="U1178">
            <v>2026</v>
          </cell>
        </row>
        <row r="1179">
          <cell r="U1179">
            <v>2026</v>
          </cell>
        </row>
        <row r="1180">
          <cell r="U1180">
            <v>2026</v>
          </cell>
        </row>
        <row r="1181">
          <cell r="U1181">
            <v>2026</v>
          </cell>
        </row>
        <row r="1182">
          <cell r="U1182">
            <v>2026</v>
          </cell>
        </row>
        <row r="1183">
          <cell r="U1183">
            <v>2026</v>
          </cell>
        </row>
        <row r="1184">
          <cell r="U1184">
            <v>2026</v>
          </cell>
        </row>
        <row r="1185">
          <cell r="U1185">
            <v>2026</v>
          </cell>
        </row>
        <row r="1186">
          <cell r="U1186">
            <v>2026</v>
          </cell>
        </row>
        <row r="1187">
          <cell r="U1187">
            <v>2026</v>
          </cell>
        </row>
        <row r="1188">
          <cell r="U1188">
            <v>2026</v>
          </cell>
        </row>
        <row r="1189">
          <cell r="U1189">
            <v>2026</v>
          </cell>
        </row>
        <row r="1190">
          <cell r="U1190">
            <v>2026</v>
          </cell>
        </row>
        <row r="1191">
          <cell r="U1191">
            <v>2026</v>
          </cell>
        </row>
        <row r="1192">
          <cell r="U1192">
            <v>2026</v>
          </cell>
        </row>
        <row r="1193">
          <cell r="U1193">
            <v>2026</v>
          </cell>
        </row>
        <row r="1194">
          <cell r="U1194">
            <v>2026</v>
          </cell>
        </row>
        <row r="1195">
          <cell r="U1195">
            <v>2026</v>
          </cell>
        </row>
        <row r="1196">
          <cell r="U1196">
            <v>2026</v>
          </cell>
        </row>
        <row r="1197">
          <cell r="U1197">
            <v>2026</v>
          </cell>
        </row>
        <row r="1198">
          <cell r="U1198">
            <v>2026</v>
          </cell>
        </row>
        <row r="1199">
          <cell r="U1199">
            <v>2026</v>
          </cell>
        </row>
        <row r="1200">
          <cell r="U1200">
            <v>2026</v>
          </cell>
        </row>
        <row r="1201">
          <cell r="U1201">
            <v>2026</v>
          </cell>
        </row>
        <row r="1202">
          <cell r="U1202">
            <v>2026</v>
          </cell>
        </row>
        <row r="1203">
          <cell r="U1203">
            <v>2026</v>
          </cell>
        </row>
        <row r="1204">
          <cell r="U1204">
            <v>2026</v>
          </cell>
        </row>
        <row r="1205">
          <cell r="U1205">
            <v>2026</v>
          </cell>
        </row>
        <row r="1206">
          <cell r="U1206">
            <v>2026</v>
          </cell>
        </row>
        <row r="1207">
          <cell r="U1207">
            <v>2026</v>
          </cell>
        </row>
        <row r="1208">
          <cell r="U1208">
            <v>2026</v>
          </cell>
        </row>
        <row r="1209">
          <cell r="U1209">
            <v>2026</v>
          </cell>
        </row>
        <row r="1210">
          <cell r="U1210">
            <v>2026</v>
          </cell>
        </row>
        <row r="1211">
          <cell r="U1211">
            <v>2026</v>
          </cell>
        </row>
        <row r="1212">
          <cell r="U1212">
            <v>2026</v>
          </cell>
        </row>
        <row r="1213">
          <cell r="U1213">
            <v>2026</v>
          </cell>
        </row>
        <row r="1214">
          <cell r="U1214">
            <v>2026</v>
          </cell>
        </row>
        <row r="1215">
          <cell r="U1215">
            <v>2026</v>
          </cell>
        </row>
        <row r="1216">
          <cell r="U1216">
            <v>2026</v>
          </cell>
        </row>
        <row r="1217">
          <cell r="U1217">
            <v>2026</v>
          </cell>
        </row>
        <row r="1218">
          <cell r="U1218">
            <v>2026</v>
          </cell>
        </row>
        <row r="1219">
          <cell r="U1219">
            <v>2026</v>
          </cell>
        </row>
        <row r="1220">
          <cell r="U1220">
            <v>2026</v>
          </cell>
        </row>
        <row r="1221">
          <cell r="U1221">
            <v>2026</v>
          </cell>
        </row>
        <row r="1222">
          <cell r="U1222">
            <v>2026</v>
          </cell>
        </row>
        <row r="1223">
          <cell r="U1223">
            <v>2026</v>
          </cell>
        </row>
        <row r="1224">
          <cell r="U1224">
            <v>2026</v>
          </cell>
        </row>
        <row r="1225">
          <cell r="U1225">
            <v>2026</v>
          </cell>
        </row>
        <row r="1226">
          <cell r="U1226">
            <v>2026</v>
          </cell>
        </row>
        <row r="1227">
          <cell r="U1227">
            <v>2026</v>
          </cell>
        </row>
        <row r="1228">
          <cell r="U1228">
            <v>2026</v>
          </cell>
        </row>
        <row r="1229">
          <cell r="U1229">
            <v>2026</v>
          </cell>
        </row>
        <row r="1230">
          <cell r="U1230">
            <v>2026</v>
          </cell>
        </row>
        <row r="1231">
          <cell r="U1231">
            <v>2026</v>
          </cell>
        </row>
        <row r="1232">
          <cell r="U1232">
            <v>2026</v>
          </cell>
        </row>
        <row r="1233">
          <cell r="U1233">
            <v>2026</v>
          </cell>
        </row>
        <row r="1234">
          <cell r="U1234">
            <v>2026</v>
          </cell>
        </row>
        <row r="1235">
          <cell r="U1235">
            <v>2026</v>
          </cell>
        </row>
        <row r="1236">
          <cell r="U1236">
            <v>2026</v>
          </cell>
        </row>
        <row r="1237">
          <cell r="U1237">
            <v>2026</v>
          </cell>
        </row>
        <row r="1238">
          <cell r="U1238">
            <v>2026</v>
          </cell>
        </row>
        <row r="1239">
          <cell r="U1239">
            <v>2026</v>
          </cell>
        </row>
        <row r="1240">
          <cell r="U1240">
            <v>2026</v>
          </cell>
        </row>
        <row r="1241">
          <cell r="U1241">
            <v>2026</v>
          </cell>
        </row>
        <row r="1242">
          <cell r="U1242">
            <v>2026</v>
          </cell>
        </row>
        <row r="1243">
          <cell r="U1243">
            <v>2026</v>
          </cell>
        </row>
        <row r="1244">
          <cell r="U1244">
            <v>2026</v>
          </cell>
        </row>
        <row r="1245">
          <cell r="U1245">
            <v>2026</v>
          </cell>
        </row>
        <row r="1246">
          <cell r="U1246">
            <v>2026</v>
          </cell>
        </row>
        <row r="1247">
          <cell r="U1247">
            <v>2026</v>
          </cell>
        </row>
        <row r="1248">
          <cell r="U1248">
            <v>2026</v>
          </cell>
        </row>
        <row r="1249">
          <cell r="U1249">
            <v>2026</v>
          </cell>
        </row>
        <row r="1250">
          <cell r="U1250">
            <v>2026</v>
          </cell>
        </row>
        <row r="1251">
          <cell r="U1251">
            <v>2026</v>
          </cell>
        </row>
        <row r="1252">
          <cell r="U1252">
            <v>2026</v>
          </cell>
        </row>
        <row r="1253">
          <cell r="U1253">
            <v>2026</v>
          </cell>
        </row>
        <row r="1254">
          <cell r="U1254">
            <v>2026</v>
          </cell>
        </row>
        <row r="1255">
          <cell r="U1255">
            <v>2026</v>
          </cell>
        </row>
        <row r="1256">
          <cell r="U1256">
            <v>2026</v>
          </cell>
        </row>
        <row r="1257">
          <cell r="U1257">
            <v>2026</v>
          </cell>
        </row>
        <row r="1258">
          <cell r="U1258">
            <v>2026</v>
          </cell>
        </row>
        <row r="1259">
          <cell r="U1259">
            <v>2026</v>
          </cell>
        </row>
        <row r="1260">
          <cell r="U1260">
            <v>2026</v>
          </cell>
        </row>
        <row r="1261">
          <cell r="U1261">
            <v>2026</v>
          </cell>
        </row>
        <row r="1262">
          <cell r="U1262">
            <v>2026</v>
          </cell>
        </row>
        <row r="1263">
          <cell r="U1263">
            <v>2026</v>
          </cell>
        </row>
        <row r="1264">
          <cell r="U1264">
            <v>2026</v>
          </cell>
        </row>
        <row r="1265">
          <cell r="U1265">
            <v>2026</v>
          </cell>
        </row>
        <row r="1266">
          <cell r="U1266">
            <v>2026</v>
          </cell>
        </row>
        <row r="1267">
          <cell r="U1267">
            <v>2026</v>
          </cell>
        </row>
        <row r="1268">
          <cell r="U1268">
            <v>2026</v>
          </cell>
        </row>
        <row r="1269">
          <cell r="U1269">
            <v>2026</v>
          </cell>
        </row>
        <row r="1270">
          <cell r="U1270">
            <v>2026</v>
          </cell>
        </row>
        <row r="1271">
          <cell r="U1271">
            <v>2026</v>
          </cell>
        </row>
        <row r="1272">
          <cell r="U1272">
            <v>2026</v>
          </cell>
        </row>
        <row r="1273">
          <cell r="U1273">
            <v>2026</v>
          </cell>
        </row>
        <row r="1274">
          <cell r="U1274">
            <v>2026</v>
          </cell>
        </row>
        <row r="1275">
          <cell r="U1275">
            <v>2026</v>
          </cell>
        </row>
        <row r="1276">
          <cell r="U1276">
            <v>2026</v>
          </cell>
        </row>
        <row r="1277">
          <cell r="U1277">
            <v>2026</v>
          </cell>
        </row>
        <row r="1278">
          <cell r="U1278">
            <v>2026</v>
          </cell>
        </row>
        <row r="1279">
          <cell r="U1279">
            <v>2026</v>
          </cell>
        </row>
        <row r="1280">
          <cell r="U1280">
            <v>2026</v>
          </cell>
        </row>
        <row r="1281">
          <cell r="U1281">
            <v>2026</v>
          </cell>
        </row>
        <row r="1282">
          <cell r="U1282">
            <v>2026</v>
          </cell>
        </row>
        <row r="1283">
          <cell r="U1283">
            <v>2026</v>
          </cell>
        </row>
        <row r="1284">
          <cell r="U1284">
            <v>2026</v>
          </cell>
        </row>
        <row r="1285">
          <cell r="U1285">
            <v>2026</v>
          </cell>
        </row>
        <row r="1286">
          <cell r="U1286">
            <v>2026</v>
          </cell>
        </row>
        <row r="1287">
          <cell r="U1287">
            <v>2026</v>
          </cell>
        </row>
        <row r="1288">
          <cell r="U1288">
            <v>2026</v>
          </cell>
        </row>
        <row r="1289">
          <cell r="U1289">
            <v>2026</v>
          </cell>
        </row>
        <row r="1290">
          <cell r="U1290">
            <v>2026</v>
          </cell>
        </row>
        <row r="1291">
          <cell r="U1291">
            <v>2026</v>
          </cell>
        </row>
        <row r="1292">
          <cell r="U1292">
            <v>2026</v>
          </cell>
        </row>
        <row r="1293">
          <cell r="U1293">
            <v>2026</v>
          </cell>
        </row>
        <row r="1294">
          <cell r="U1294">
            <v>2026</v>
          </cell>
        </row>
        <row r="1295">
          <cell r="U1295">
            <v>2026</v>
          </cell>
        </row>
        <row r="1296">
          <cell r="U1296">
            <v>2026</v>
          </cell>
        </row>
        <row r="1297">
          <cell r="U1297">
            <v>2026</v>
          </cell>
        </row>
        <row r="1298">
          <cell r="U1298">
            <v>2026</v>
          </cell>
        </row>
        <row r="1299">
          <cell r="U1299">
            <v>2026</v>
          </cell>
        </row>
        <row r="1300">
          <cell r="U1300">
            <v>2026</v>
          </cell>
        </row>
        <row r="1301">
          <cell r="U1301">
            <v>2026</v>
          </cell>
        </row>
        <row r="1302">
          <cell r="U1302">
            <v>2026</v>
          </cell>
        </row>
        <row r="1303">
          <cell r="U1303">
            <v>2026</v>
          </cell>
        </row>
        <row r="1304">
          <cell r="U1304">
            <v>2026</v>
          </cell>
        </row>
        <row r="1305">
          <cell r="U1305">
            <v>2026</v>
          </cell>
        </row>
        <row r="1306">
          <cell r="U1306">
            <v>2026</v>
          </cell>
        </row>
        <row r="1307">
          <cell r="U1307">
            <v>2026</v>
          </cell>
        </row>
        <row r="1308">
          <cell r="U1308">
            <v>2026</v>
          </cell>
        </row>
        <row r="1309">
          <cell r="U1309">
            <v>2026</v>
          </cell>
        </row>
        <row r="1310">
          <cell r="U1310">
            <v>2026</v>
          </cell>
        </row>
        <row r="1311">
          <cell r="U1311">
            <v>2026</v>
          </cell>
        </row>
        <row r="1312">
          <cell r="U1312">
            <v>2026</v>
          </cell>
        </row>
        <row r="1313">
          <cell r="U1313">
            <v>2026</v>
          </cell>
        </row>
        <row r="1314">
          <cell r="U1314">
            <v>2026</v>
          </cell>
        </row>
        <row r="1315">
          <cell r="U1315">
            <v>2026</v>
          </cell>
        </row>
        <row r="1316">
          <cell r="U1316">
            <v>2026</v>
          </cell>
        </row>
        <row r="1317">
          <cell r="U1317">
            <v>2026</v>
          </cell>
        </row>
        <row r="1318">
          <cell r="U1318">
            <v>2026</v>
          </cell>
        </row>
        <row r="1319">
          <cell r="U1319">
            <v>2026</v>
          </cell>
        </row>
        <row r="1320">
          <cell r="U1320">
            <v>2026</v>
          </cell>
        </row>
        <row r="1321">
          <cell r="U1321">
            <v>2026</v>
          </cell>
        </row>
        <row r="1322">
          <cell r="U1322">
            <v>2026</v>
          </cell>
        </row>
        <row r="1323">
          <cell r="U1323">
            <v>2026</v>
          </cell>
        </row>
        <row r="1324">
          <cell r="U1324">
            <v>2026</v>
          </cell>
        </row>
        <row r="1325">
          <cell r="U1325">
            <v>2026</v>
          </cell>
        </row>
        <row r="1326">
          <cell r="U1326">
            <v>2026</v>
          </cell>
        </row>
        <row r="1327">
          <cell r="U1327">
            <v>2026</v>
          </cell>
        </row>
        <row r="1328">
          <cell r="U1328">
            <v>2026</v>
          </cell>
        </row>
        <row r="1329">
          <cell r="U1329">
            <v>2026</v>
          </cell>
        </row>
        <row r="1330">
          <cell r="U1330">
            <v>2026</v>
          </cell>
        </row>
        <row r="1331">
          <cell r="U1331">
            <v>2026</v>
          </cell>
        </row>
        <row r="1332">
          <cell r="U1332">
            <v>2026</v>
          </cell>
        </row>
        <row r="1333">
          <cell r="U1333">
            <v>2026</v>
          </cell>
        </row>
        <row r="1334">
          <cell r="U1334">
            <v>2026</v>
          </cell>
        </row>
        <row r="1335">
          <cell r="U1335">
            <v>2026</v>
          </cell>
        </row>
        <row r="1336">
          <cell r="U1336">
            <v>2026</v>
          </cell>
        </row>
        <row r="1337">
          <cell r="U1337">
            <v>2026</v>
          </cell>
        </row>
        <row r="1338">
          <cell r="U1338">
            <v>2026</v>
          </cell>
        </row>
        <row r="1339">
          <cell r="U1339">
            <v>2026</v>
          </cell>
        </row>
        <row r="1340">
          <cell r="U1340">
            <v>2026</v>
          </cell>
        </row>
        <row r="1341">
          <cell r="U1341">
            <v>2026</v>
          </cell>
        </row>
        <row r="1342">
          <cell r="U1342">
            <v>2026</v>
          </cell>
        </row>
        <row r="1343">
          <cell r="U1343">
            <v>2026</v>
          </cell>
        </row>
        <row r="1344">
          <cell r="U1344">
            <v>2026</v>
          </cell>
        </row>
        <row r="1345">
          <cell r="U1345">
            <v>2026</v>
          </cell>
        </row>
        <row r="1346">
          <cell r="U1346">
            <v>2026</v>
          </cell>
        </row>
        <row r="1347">
          <cell r="U1347">
            <v>2026</v>
          </cell>
        </row>
        <row r="1348">
          <cell r="U1348">
            <v>2026</v>
          </cell>
        </row>
        <row r="1349">
          <cell r="U1349">
            <v>2026</v>
          </cell>
        </row>
        <row r="1350">
          <cell r="U1350">
            <v>2026</v>
          </cell>
        </row>
        <row r="1351">
          <cell r="U1351">
            <v>2026</v>
          </cell>
        </row>
        <row r="1352">
          <cell r="U1352">
            <v>2026</v>
          </cell>
        </row>
        <row r="1353">
          <cell r="U1353">
            <v>2026</v>
          </cell>
        </row>
        <row r="1354">
          <cell r="U1354">
            <v>2026</v>
          </cell>
        </row>
        <row r="1355">
          <cell r="U1355">
            <v>2026</v>
          </cell>
        </row>
        <row r="1356">
          <cell r="U1356">
            <v>2026</v>
          </cell>
        </row>
        <row r="1357">
          <cell r="U1357">
            <v>2026</v>
          </cell>
        </row>
        <row r="1358">
          <cell r="U1358">
            <v>2026</v>
          </cell>
        </row>
        <row r="1359">
          <cell r="U1359">
            <v>2026</v>
          </cell>
        </row>
        <row r="1360">
          <cell r="U1360">
            <v>2026</v>
          </cell>
        </row>
        <row r="1361">
          <cell r="U1361">
            <v>2026</v>
          </cell>
        </row>
        <row r="1362">
          <cell r="U1362">
            <v>2026</v>
          </cell>
        </row>
        <row r="1363">
          <cell r="U1363">
            <v>2026</v>
          </cell>
        </row>
        <row r="1364">
          <cell r="U1364">
            <v>2026</v>
          </cell>
        </row>
        <row r="1365">
          <cell r="U1365">
            <v>2026</v>
          </cell>
        </row>
        <row r="1366">
          <cell r="U1366">
            <v>2026</v>
          </cell>
        </row>
        <row r="1367">
          <cell r="U1367">
            <v>2026</v>
          </cell>
        </row>
        <row r="1368">
          <cell r="U1368">
            <v>2026</v>
          </cell>
        </row>
        <row r="1369">
          <cell r="U1369">
            <v>2026</v>
          </cell>
        </row>
        <row r="1370">
          <cell r="U1370">
            <v>2026</v>
          </cell>
        </row>
        <row r="1371">
          <cell r="U1371">
            <v>2026</v>
          </cell>
        </row>
        <row r="1372">
          <cell r="U1372">
            <v>2026</v>
          </cell>
        </row>
        <row r="1373">
          <cell r="U1373">
            <v>2026</v>
          </cell>
        </row>
        <row r="1374">
          <cell r="U1374">
            <v>2026</v>
          </cell>
        </row>
        <row r="1375">
          <cell r="U1375">
            <v>2026</v>
          </cell>
        </row>
        <row r="1376">
          <cell r="U1376">
            <v>2026</v>
          </cell>
        </row>
        <row r="1377">
          <cell r="U1377">
            <v>2026</v>
          </cell>
        </row>
        <row r="1378">
          <cell r="U1378">
            <v>2026</v>
          </cell>
        </row>
        <row r="1379">
          <cell r="U1379">
            <v>2026</v>
          </cell>
        </row>
        <row r="1380">
          <cell r="U1380">
            <v>2026</v>
          </cell>
        </row>
        <row r="1381">
          <cell r="U1381">
            <v>2026</v>
          </cell>
        </row>
        <row r="1382">
          <cell r="U1382">
            <v>2026</v>
          </cell>
        </row>
        <row r="1383">
          <cell r="U1383">
            <v>2026</v>
          </cell>
        </row>
        <row r="1384">
          <cell r="U1384">
            <v>2026</v>
          </cell>
        </row>
        <row r="1385">
          <cell r="U1385">
            <v>2026</v>
          </cell>
        </row>
        <row r="1386">
          <cell r="U1386">
            <v>2026</v>
          </cell>
        </row>
        <row r="1387">
          <cell r="U1387">
            <v>2026</v>
          </cell>
        </row>
        <row r="1388">
          <cell r="U1388">
            <v>2026</v>
          </cell>
        </row>
        <row r="1389">
          <cell r="U1389">
            <v>2026</v>
          </cell>
        </row>
        <row r="1390">
          <cell r="U1390">
            <v>2026</v>
          </cell>
        </row>
        <row r="1391">
          <cell r="U1391">
            <v>2026</v>
          </cell>
        </row>
        <row r="1392">
          <cell r="U1392">
            <v>2026</v>
          </cell>
        </row>
        <row r="1393">
          <cell r="U1393">
            <v>2026</v>
          </cell>
        </row>
        <row r="1394">
          <cell r="U1394">
            <v>2026</v>
          </cell>
        </row>
        <row r="1395">
          <cell r="U1395">
            <v>2026</v>
          </cell>
        </row>
        <row r="1396">
          <cell r="U1396">
            <v>2026</v>
          </cell>
        </row>
        <row r="1397">
          <cell r="U1397">
            <v>2026</v>
          </cell>
        </row>
        <row r="1398">
          <cell r="U1398">
            <v>2026</v>
          </cell>
        </row>
        <row r="1399">
          <cell r="U1399">
            <v>2026</v>
          </cell>
        </row>
        <row r="1400">
          <cell r="U1400">
            <v>2026</v>
          </cell>
        </row>
        <row r="1401">
          <cell r="U1401">
            <v>2026</v>
          </cell>
        </row>
        <row r="1402">
          <cell r="U1402">
            <v>2026</v>
          </cell>
        </row>
        <row r="1403">
          <cell r="U1403">
            <v>2026</v>
          </cell>
        </row>
        <row r="1404">
          <cell r="U1404">
            <v>2026</v>
          </cell>
        </row>
        <row r="1405">
          <cell r="U1405">
            <v>2026</v>
          </cell>
        </row>
        <row r="1406">
          <cell r="U1406">
            <v>2026</v>
          </cell>
        </row>
        <row r="1407">
          <cell r="U1407">
            <v>2026</v>
          </cell>
        </row>
        <row r="1408">
          <cell r="U1408">
            <v>2026</v>
          </cell>
        </row>
        <row r="1409">
          <cell r="U1409">
            <v>2026</v>
          </cell>
        </row>
        <row r="1410">
          <cell r="U1410">
            <v>2026</v>
          </cell>
        </row>
        <row r="1411">
          <cell r="U1411">
            <v>2026</v>
          </cell>
        </row>
        <row r="1412">
          <cell r="U1412">
            <v>2026</v>
          </cell>
        </row>
        <row r="1413">
          <cell r="U1413">
            <v>2026</v>
          </cell>
        </row>
        <row r="1414">
          <cell r="U1414">
            <v>2026</v>
          </cell>
        </row>
        <row r="1415">
          <cell r="U1415">
            <v>2026</v>
          </cell>
        </row>
        <row r="1416">
          <cell r="U1416">
            <v>2026</v>
          </cell>
        </row>
        <row r="1417">
          <cell r="U1417">
            <v>2026</v>
          </cell>
        </row>
        <row r="1418">
          <cell r="U1418">
            <v>2026</v>
          </cell>
        </row>
        <row r="1419">
          <cell r="U1419">
            <v>2026</v>
          </cell>
        </row>
        <row r="1420">
          <cell r="U1420">
            <v>2026</v>
          </cell>
        </row>
        <row r="1421">
          <cell r="U1421">
            <v>2026</v>
          </cell>
        </row>
        <row r="1422">
          <cell r="U1422">
            <v>2026</v>
          </cell>
        </row>
        <row r="1423">
          <cell r="U1423">
            <v>2026</v>
          </cell>
        </row>
        <row r="1424">
          <cell r="U1424">
            <v>2026</v>
          </cell>
        </row>
        <row r="1425">
          <cell r="U1425">
            <v>2026</v>
          </cell>
        </row>
        <row r="1426">
          <cell r="U1426">
            <v>2026</v>
          </cell>
        </row>
        <row r="1427">
          <cell r="U1427">
            <v>2026</v>
          </cell>
        </row>
        <row r="1428">
          <cell r="U1428">
            <v>2026</v>
          </cell>
        </row>
        <row r="1429">
          <cell r="U1429">
            <v>2026</v>
          </cell>
        </row>
        <row r="1430">
          <cell r="U1430">
            <v>2026</v>
          </cell>
        </row>
        <row r="1431">
          <cell r="U1431">
            <v>2026</v>
          </cell>
        </row>
        <row r="1432">
          <cell r="U1432">
            <v>2026</v>
          </cell>
        </row>
        <row r="1433">
          <cell r="U1433">
            <v>2026</v>
          </cell>
        </row>
        <row r="1434">
          <cell r="U1434">
            <v>2026</v>
          </cell>
        </row>
        <row r="1435">
          <cell r="U1435">
            <v>2026</v>
          </cell>
        </row>
        <row r="1436">
          <cell r="U1436">
            <v>2026</v>
          </cell>
        </row>
        <row r="1437">
          <cell r="U1437">
            <v>2026</v>
          </cell>
        </row>
        <row r="1438">
          <cell r="U1438">
            <v>2026</v>
          </cell>
        </row>
        <row r="1439">
          <cell r="U1439">
            <v>2026</v>
          </cell>
        </row>
        <row r="1440">
          <cell r="U1440">
            <v>2026</v>
          </cell>
        </row>
        <row r="1441">
          <cell r="U1441">
            <v>2026</v>
          </cell>
        </row>
        <row r="1442">
          <cell r="U1442">
            <v>2026</v>
          </cell>
        </row>
        <row r="1443">
          <cell r="U1443">
            <v>2026</v>
          </cell>
        </row>
        <row r="1444">
          <cell r="U1444">
            <v>2026</v>
          </cell>
        </row>
        <row r="1445">
          <cell r="U1445">
            <v>2026</v>
          </cell>
        </row>
        <row r="1446">
          <cell r="U1446">
            <v>2026</v>
          </cell>
        </row>
        <row r="1447">
          <cell r="U1447">
            <v>2026</v>
          </cell>
        </row>
        <row r="1448">
          <cell r="U1448">
            <v>2026</v>
          </cell>
        </row>
        <row r="1449">
          <cell r="U1449">
            <v>2026</v>
          </cell>
        </row>
        <row r="1450">
          <cell r="U1450">
            <v>2026</v>
          </cell>
        </row>
        <row r="1451">
          <cell r="U1451">
            <v>2026</v>
          </cell>
        </row>
        <row r="1452">
          <cell r="U1452">
            <v>2026</v>
          </cell>
        </row>
        <row r="1453">
          <cell r="U1453">
            <v>2026</v>
          </cell>
        </row>
        <row r="1454">
          <cell r="U1454">
            <v>2026</v>
          </cell>
        </row>
        <row r="1455">
          <cell r="U1455">
            <v>2026</v>
          </cell>
        </row>
        <row r="1456">
          <cell r="U1456">
            <v>2026</v>
          </cell>
        </row>
        <row r="1457">
          <cell r="U1457">
            <v>2026</v>
          </cell>
        </row>
        <row r="1458">
          <cell r="U1458">
            <v>2026</v>
          </cell>
        </row>
        <row r="1459">
          <cell r="U1459">
            <v>2026</v>
          </cell>
        </row>
        <row r="1460">
          <cell r="U1460">
            <v>2026</v>
          </cell>
        </row>
        <row r="1461">
          <cell r="U1461">
            <v>2026</v>
          </cell>
        </row>
        <row r="1462">
          <cell r="U1462">
            <v>2026</v>
          </cell>
        </row>
        <row r="1463">
          <cell r="U1463">
            <v>2026</v>
          </cell>
        </row>
        <row r="1464">
          <cell r="U1464">
            <v>2026</v>
          </cell>
        </row>
        <row r="1465">
          <cell r="U1465">
            <v>2026</v>
          </cell>
        </row>
        <row r="1466">
          <cell r="U1466">
            <v>2026</v>
          </cell>
        </row>
        <row r="1467">
          <cell r="U1467">
            <v>2026</v>
          </cell>
        </row>
        <row r="1468">
          <cell r="U1468">
            <v>2026</v>
          </cell>
        </row>
        <row r="1469">
          <cell r="U1469">
            <v>2026</v>
          </cell>
        </row>
        <row r="1470">
          <cell r="U1470">
            <v>2026</v>
          </cell>
        </row>
        <row r="1471">
          <cell r="U1471">
            <v>2026</v>
          </cell>
        </row>
        <row r="1472">
          <cell r="U1472">
            <v>2026</v>
          </cell>
        </row>
        <row r="1473">
          <cell r="U1473">
            <v>2026</v>
          </cell>
        </row>
        <row r="1474">
          <cell r="U1474">
            <v>2026</v>
          </cell>
        </row>
        <row r="1475">
          <cell r="U1475">
            <v>2026</v>
          </cell>
        </row>
        <row r="1476">
          <cell r="U1476">
            <v>2026</v>
          </cell>
        </row>
        <row r="1477">
          <cell r="U1477">
            <v>2026</v>
          </cell>
        </row>
        <row r="1478">
          <cell r="U1478">
            <v>2026</v>
          </cell>
        </row>
        <row r="1479">
          <cell r="U1479">
            <v>2026</v>
          </cell>
        </row>
        <row r="1480">
          <cell r="U1480">
            <v>2026</v>
          </cell>
        </row>
        <row r="1481">
          <cell r="U1481">
            <v>2026</v>
          </cell>
        </row>
        <row r="1482">
          <cell r="U1482">
            <v>2026</v>
          </cell>
        </row>
        <row r="1483">
          <cell r="U1483">
            <v>2026</v>
          </cell>
        </row>
        <row r="1484">
          <cell r="U1484">
            <v>2026</v>
          </cell>
        </row>
        <row r="1485">
          <cell r="U1485">
            <v>2026</v>
          </cell>
        </row>
        <row r="1486">
          <cell r="U1486">
            <v>2026</v>
          </cell>
        </row>
        <row r="1487">
          <cell r="U1487">
            <v>2026</v>
          </cell>
        </row>
        <row r="1488">
          <cell r="U1488">
            <v>2026</v>
          </cell>
        </row>
        <row r="1489">
          <cell r="U1489">
            <v>2026</v>
          </cell>
        </row>
        <row r="1490">
          <cell r="U1490">
            <v>2026</v>
          </cell>
        </row>
        <row r="1491">
          <cell r="U1491">
            <v>2026</v>
          </cell>
        </row>
        <row r="1492">
          <cell r="U1492">
            <v>2026</v>
          </cell>
        </row>
        <row r="1493">
          <cell r="U1493">
            <v>2026</v>
          </cell>
        </row>
        <row r="1494">
          <cell r="U1494">
            <v>2026</v>
          </cell>
        </row>
        <row r="1495">
          <cell r="U1495">
            <v>2026</v>
          </cell>
        </row>
        <row r="1496">
          <cell r="U1496">
            <v>2026</v>
          </cell>
        </row>
        <row r="1497">
          <cell r="U1497">
            <v>2026</v>
          </cell>
        </row>
        <row r="1498">
          <cell r="U1498">
            <v>2026</v>
          </cell>
        </row>
        <row r="1499">
          <cell r="U1499">
            <v>2026</v>
          </cell>
        </row>
        <row r="1500">
          <cell r="U1500">
            <v>2026</v>
          </cell>
        </row>
        <row r="1501">
          <cell r="U1501">
            <v>2026</v>
          </cell>
        </row>
        <row r="1502">
          <cell r="U1502">
            <v>2026</v>
          </cell>
        </row>
        <row r="1503">
          <cell r="U1503">
            <v>2026</v>
          </cell>
        </row>
        <row r="1504">
          <cell r="U1504">
            <v>2026</v>
          </cell>
        </row>
        <row r="1505">
          <cell r="U1505">
            <v>2026</v>
          </cell>
        </row>
        <row r="1506">
          <cell r="U1506">
            <v>2026</v>
          </cell>
        </row>
        <row r="1507">
          <cell r="U1507">
            <v>2026</v>
          </cell>
        </row>
        <row r="1508">
          <cell r="U1508">
            <v>2026</v>
          </cell>
        </row>
        <row r="1509">
          <cell r="U1509">
            <v>2026</v>
          </cell>
        </row>
        <row r="1510">
          <cell r="U1510">
            <v>2026</v>
          </cell>
        </row>
        <row r="1511">
          <cell r="U1511">
            <v>2026</v>
          </cell>
        </row>
        <row r="1512">
          <cell r="U1512">
            <v>2026</v>
          </cell>
        </row>
        <row r="1513">
          <cell r="U1513">
            <v>2026</v>
          </cell>
        </row>
        <row r="1514">
          <cell r="U1514">
            <v>2026</v>
          </cell>
        </row>
        <row r="1515">
          <cell r="U1515">
            <v>2026</v>
          </cell>
        </row>
        <row r="1516">
          <cell r="U1516">
            <v>2026</v>
          </cell>
        </row>
        <row r="1517">
          <cell r="U1517">
            <v>2026</v>
          </cell>
        </row>
        <row r="1518">
          <cell r="U1518">
            <v>2026</v>
          </cell>
        </row>
        <row r="1519">
          <cell r="U1519">
            <v>2026</v>
          </cell>
        </row>
        <row r="1520">
          <cell r="U1520">
            <v>2026</v>
          </cell>
        </row>
        <row r="1521">
          <cell r="U1521">
            <v>2026</v>
          </cell>
        </row>
        <row r="1522">
          <cell r="U1522">
            <v>2026</v>
          </cell>
        </row>
        <row r="1523">
          <cell r="U1523">
            <v>2026</v>
          </cell>
        </row>
        <row r="1524">
          <cell r="U1524">
            <v>2026</v>
          </cell>
        </row>
        <row r="1525">
          <cell r="U1525">
            <v>2026</v>
          </cell>
        </row>
        <row r="1526">
          <cell r="U1526">
            <v>2026</v>
          </cell>
        </row>
        <row r="1527">
          <cell r="U1527">
            <v>2026</v>
          </cell>
        </row>
        <row r="1528">
          <cell r="U1528">
            <v>2026</v>
          </cell>
        </row>
        <row r="1529">
          <cell r="U1529">
            <v>2026</v>
          </cell>
        </row>
        <row r="1530">
          <cell r="U1530">
            <v>2026</v>
          </cell>
        </row>
        <row r="1531">
          <cell r="U1531">
            <v>2026</v>
          </cell>
        </row>
        <row r="1532">
          <cell r="U1532">
            <v>2026</v>
          </cell>
        </row>
        <row r="1533">
          <cell r="U1533">
            <v>2026</v>
          </cell>
        </row>
        <row r="1534">
          <cell r="U1534">
            <v>2026</v>
          </cell>
        </row>
        <row r="1535">
          <cell r="U1535">
            <v>2026</v>
          </cell>
        </row>
        <row r="1536">
          <cell r="U1536">
            <v>2026</v>
          </cell>
        </row>
        <row r="1537">
          <cell r="U1537">
            <v>2026</v>
          </cell>
        </row>
        <row r="1538">
          <cell r="U1538">
            <v>2026</v>
          </cell>
        </row>
        <row r="1539">
          <cell r="U1539">
            <v>2026</v>
          </cell>
        </row>
        <row r="1540">
          <cell r="U1540">
            <v>2026</v>
          </cell>
        </row>
        <row r="1541">
          <cell r="U1541">
            <v>2026</v>
          </cell>
        </row>
        <row r="1542">
          <cell r="U1542">
            <v>2026</v>
          </cell>
        </row>
        <row r="1543">
          <cell r="U1543">
            <v>2026</v>
          </cell>
        </row>
        <row r="1544">
          <cell r="U1544">
            <v>2026</v>
          </cell>
        </row>
        <row r="1545">
          <cell r="U1545">
            <v>2026</v>
          </cell>
        </row>
        <row r="1546">
          <cell r="U1546">
            <v>2026</v>
          </cell>
        </row>
        <row r="1547">
          <cell r="U1547">
            <v>2026</v>
          </cell>
        </row>
        <row r="1548">
          <cell r="U1548">
            <v>2026</v>
          </cell>
        </row>
        <row r="1549">
          <cell r="U1549">
            <v>2026</v>
          </cell>
        </row>
        <row r="1550">
          <cell r="U1550">
            <v>2026</v>
          </cell>
        </row>
        <row r="1551">
          <cell r="U1551">
            <v>2026</v>
          </cell>
        </row>
        <row r="1552">
          <cell r="U1552">
            <v>2026</v>
          </cell>
        </row>
        <row r="1553">
          <cell r="U1553">
            <v>2026</v>
          </cell>
        </row>
        <row r="1554">
          <cell r="U1554">
            <v>2026</v>
          </cell>
        </row>
        <row r="1555">
          <cell r="U1555">
            <v>2026</v>
          </cell>
        </row>
        <row r="1556">
          <cell r="U1556">
            <v>2026</v>
          </cell>
        </row>
        <row r="1557">
          <cell r="U1557">
            <v>2026</v>
          </cell>
        </row>
        <row r="1558">
          <cell r="U1558">
            <v>2026</v>
          </cell>
        </row>
        <row r="1559">
          <cell r="U1559">
            <v>2026</v>
          </cell>
        </row>
        <row r="1560">
          <cell r="U1560">
            <v>2026</v>
          </cell>
        </row>
        <row r="1561">
          <cell r="U1561">
            <v>2026</v>
          </cell>
        </row>
        <row r="1562">
          <cell r="U1562">
            <v>2026</v>
          </cell>
        </row>
        <row r="1563">
          <cell r="U1563">
            <v>2026</v>
          </cell>
        </row>
        <row r="1564">
          <cell r="U1564">
            <v>2026</v>
          </cell>
        </row>
        <row r="1565">
          <cell r="U1565">
            <v>2026</v>
          </cell>
        </row>
        <row r="1566">
          <cell r="U1566">
            <v>2026</v>
          </cell>
        </row>
        <row r="1567">
          <cell r="U1567">
            <v>2026</v>
          </cell>
        </row>
        <row r="1568">
          <cell r="U1568">
            <v>2026</v>
          </cell>
        </row>
        <row r="1569">
          <cell r="U1569">
            <v>2026</v>
          </cell>
        </row>
        <row r="1570">
          <cell r="U1570">
            <v>2026</v>
          </cell>
        </row>
        <row r="1571">
          <cell r="U1571">
            <v>2026</v>
          </cell>
        </row>
        <row r="1572">
          <cell r="U1572">
            <v>2026</v>
          </cell>
        </row>
        <row r="1573">
          <cell r="U1573">
            <v>2026</v>
          </cell>
        </row>
        <row r="1574">
          <cell r="U1574">
            <v>2026</v>
          </cell>
        </row>
        <row r="1575">
          <cell r="U1575">
            <v>2026</v>
          </cell>
        </row>
        <row r="1576">
          <cell r="U1576">
            <v>2026</v>
          </cell>
        </row>
        <row r="1577">
          <cell r="U1577">
            <v>2026</v>
          </cell>
        </row>
        <row r="1578">
          <cell r="U1578">
            <v>2026</v>
          </cell>
        </row>
        <row r="1579">
          <cell r="U1579">
            <v>2026</v>
          </cell>
        </row>
        <row r="1580">
          <cell r="U1580">
            <v>2026</v>
          </cell>
        </row>
        <row r="1581">
          <cell r="U1581">
            <v>2026</v>
          </cell>
        </row>
        <row r="1582">
          <cell r="U1582">
            <v>2026</v>
          </cell>
        </row>
        <row r="1583">
          <cell r="U1583">
            <v>2026</v>
          </cell>
        </row>
        <row r="1584">
          <cell r="U1584">
            <v>2026</v>
          </cell>
        </row>
        <row r="1585">
          <cell r="U1585">
            <v>2026</v>
          </cell>
        </row>
        <row r="1586">
          <cell r="U1586">
            <v>2026</v>
          </cell>
        </row>
        <row r="1587">
          <cell r="U1587">
            <v>2026</v>
          </cell>
        </row>
        <row r="1588">
          <cell r="U1588">
            <v>2026</v>
          </cell>
        </row>
        <row r="1589">
          <cell r="U1589">
            <v>2026</v>
          </cell>
        </row>
        <row r="1590">
          <cell r="U1590">
            <v>2026</v>
          </cell>
        </row>
        <row r="1591">
          <cell r="U1591">
            <v>2026</v>
          </cell>
        </row>
        <row r="1592">
          <cell r="U1592">
            <v>2026</v>
          </cell>
        </row>
        <row r="1593">
          <cell r="U1593">
            <v>2026</v>
          </cell>
        </row>
        <row r="1594">
          <cell r="U1594">
            <v>2026</v>
          </cell>
        </row>
        <row r="1595">
          <cell r="U1595">
            <v>2026</v>
          </cell>
        </row>
        <row r="1596">
          <cell r="U1596">
            <v>2026</v>
          </cell>
        </row>
        <row r="1597">
          <cell r="U1597">
            <v>2026</v>
          </cell>
        </row>
        <row r="1598">
          <cell r="U1598">
            <v>2026</v>
          </cell>
        </row>
        <row r="1599">
          <cell r="U1599">
            <v>2026</v>
          </cell>
        </row>
        <row r="1600">
          <cell r="U1600">
            <v>2026</v>
          </cell>
        </row>
        <row r="1601">
          <cell r="U1601">
            <v>2026</v>
          </cell>
        </row>
        <row r="1602">
          <cell r="U1602">
            <v>2026</v>
          </cell>
        </row>
        <row r="1603">
          <cell r="U1603">
            <v>2026</v>
          </cell>
        </row>
        <row r="1604">
          <cell r="U1604">
            <v>2026</v>
          </cell>
        </row>
        <row r="1605">
          <cell r="U1605">
            <v>2026</v>
          </cell>
        </row>
        <row r="1606">
          <cell r="U1606">
            <v>2026</v>
          </cell>
        </row>
        <row r="1607">
          <cell r="U1607">
            <v>2026</v>
          </cell>
        </row>
        <row r="1608">
          <cell r="U1608">
            <v>2026</v>
          </cell>
        </row>
        <row r="1609">
          <cell r="U1609">
            <v>2026</v>
          </cell>
        </row>
        <row r="1610">
          <cell r="U1610">
            <v>2026</v>
          </cell>
        </row>
        <row r="1611">
          <cell r="U1611">
            <v>2026</v>
          </cell>
        </row>
        <row r="1612">
          <cell r="U1612">
            <v>2026</v>
          </cell>
        </row>
        <row r="1613">
          <cell r="U1613">
            <v>2026</v>
          </cell>
        </row>
        <row r="1614">
          <cell r="U1614">
            <v>2026</v>
          </cell>
        </row>
        <row r="1615">
          <cell r="U1615">
            <v>2026</v>
          </cell>
        </row>
        <row r="1616">
          <cell r="U1616">
            <v>2026</v>
          </cell>
        </row>
        <row r="1617">
          <cell r="U1617">
            <v>2026</v>
          </cell>
        </row>
        <row r="1618">
          <cell r="U1618">
            <v>2026</v>
          </cell>
        </row>
        <row r="1619">
          <cell r="U1619">
            <v>2026</v>
          </cell>
        </row>
        <row r="1620">
          <cell r="U1620">
            <v>2026</v>
          </cell>
        </row>
        <row r="1621">
          <cell r="U1621">
            <v>2026</v>
          </cell>
        </row>
        <row r="1622">
          <cell r="U1622">
            <v>2026</v>
          </cell>
        </row>
        <row r="1623">
          <cell r="U1623">
            <v>2026</v>
          </cell>
        </row>
        <row r="1624">
          <cell r="U1624">
            <v>2026</v>
          </cell>
        </row>
        <row r="1625">
          <cell r="U1625">
            <v>2026</v>
          </cell>
        </row>
        <row r="1626">
          <cell r="U1626">
            <v>2026</v>
          </cell>
        </row>
        <row r="1627">
          <cell r="U1627">
            <v>2026</v>
          </cell>
        </row>
        <row r="1628">
          <cell r="U1628">
            <v>2026</v>
          </cell>
        </row>
        <row r="1629">
          <cell r="U1629">
            <v>2026</v>
          </cell>
        </row>
        <row r="1630">
          <cell r="U1630">
            <v>2026</v>
          </cell>
        </row>
        <row r="1631">
          <cell r="U1631">
            <v>2026</v>
          </cell>
        </row>
        <row r="1632">
          <cell r="U1632">
            <v>2026</v>
          </cell>
        </row>
        <row r="1633">
          <cell r="U1633">
            <v>2026</v>
          </cell>
        </row>
        <row r="1634">
          <cell r="U1634">
            <v>2026</v>
          </cell>
        </row>
        <row r="1635">
          <cell r="U1635">
            <v>2026</v>
          </cell>
        </row>
        <row r="1636">
          <cell r="U1636">
            <v>2026</v>
          </cell>
        </row>
        <row r="1637">
          <cell r="U1637">
            <v>2026</v>
          </cell>
        </row>
        <row r="1638">
          <cell r="U1638">
            <v>2026</v>
          </cell>
        </row>
        <row r="1639">
          <cell r="U1639">
            <v>2026</v>
          </cell>
        </row>
        <row r="1640">
          <cell r="U1640">
            <v>2026</v>
          </cell>
        </row>
        <row r="1641">
          <cell r="U1641">
            <v>2026</v>
          </cell>
        </row>
        <row r="1642">
          <cell r="U1642">
            <v>2026</v>
          </cell>
        </row>
        <row r="1643">
          <cell r="U1643">
            <v>2026</v>
          </cell>
        </row>
        <row r="1644">
          <cell r="U1644">
            <v>2026</v>
          </cell>
        </row>
        <row r="1645">
          <cell r="U1645">
            <v>2026</v>
          </cell>
        </row>
        <row r="1646">
          <cell r="U1646">
            <v>2026</v>
          </cell>
        </row>
        <row r="1647">
          <cell r="U1647">
            <v>2026</v>
          </cell>
        </row>
        <row r="1648">
          <cell r="U1648">
            <v>2026</v>
          </cell>
        </row>
        <row r="1649">
          <cell r="U1649">
            <v>2026</v>
          </cell>
        </row>
        <row r="1650">
          <cell r="U1650">
            <v>2026</v>
          </cell>
        </row>
        <row r="1651">
          <cell r="U1651">
            <v>2026</v>
          </cell>
        </row>
        <row r="1652">
          <cell r="U1652">
            <v>2026</v>
          </cell>
        </row>
        <row r="1653">
          <cell r="U1653">
            <v>2026</v>
          </cell>
        </row>
        <row r="1654">
          <cell r="U1654">
            <v>2026</v>
          </cell>
        </row>
        <row r="1655">
          <cell r="U1655">
            <v>2026</v>
          </cell>
        </row>
        <row r="1656">
          <cell r="U1656">
            <v>2026</v>
          </cell>
        </row>
        <row r="1657">
          <cell r="U1657">
            <v>2026</v>
          </cell>
        </row>
        <row r="1658">
          <cell r="U1658">
            <v>2026</v>
          </cell>
        </row>
        <row r="1659">
          <cell r="U1659">
            <v>2026</v>
          </cell>
        </row>
        <row r="1660">
          <cell r="U1660">
            <v>2026</v>
          </cell>
        </row>
        <row r="1661">
          <cell r="U1661">
            <v>2026</v>
          </cell>
        </row>
        <row r="1662">
          <cell r="U1662">
            <v>2026</v>
          </cell>
        </row>
        <row r="1663">
          <cell r="U1663">
            <v>2026</v>
          </cell>
        </row>
        <row r="1664">
          <cell r="U1664">
            <v>2026</v>
          </cell>
        </row>
        <row r="1665">
          <cell r="U1665">
            <v>2026</v>
          </cell>
        </row>
        <row r="1666">
          <cell r="U1666">
            <v>2026</v>
          </cell>
        </row>
        <row r="1667">
          <cell r="U1667">
            <v>2026</v>
          </cell>
        </row>
        <row r="1668">
          <cell r="U1668">
            <v>2026</v>
          </cell>
        </row>
        <row r="1669">
          <cell r="U1669">
            <v>2026</v>
          </cell>
        </row>
        <row r="1670">
          <cell r="U1670">
            <v>2026</v>
          </cell>
        </row>
        <row r="1671">
          <cell r="U1671">
            <v>2026</v>
          </cell>
        </row>
        <row r="1672">
          <cell r="U1672">
            <v>2026</v>
          </cell>
        </row>
        <row r="1673">
          <cell r="U1673">
            <v>2026</v>
          </cell>
        </row>
        <row r="1674">
          <cell r="U1674">
            <v>2026</v>
          </cell>
        </row>
        <row r="1675">
          <cell r="U1675">
            <v>2026</v>
          </cell>
        </row>
        <row r="1676">
          <cell r="U1676">
            <v>2026</v>
          </cell>
        </row>
        <row r="1677">
          <cell r="U1677">
            <v>2026</v>
          </cell>
        </row>
        <row r="1678">
          <cell r="U1678">
            <v>2026</v>
          </cell>
        </row>
        <row r="1679">
          <cell r="U1679">
            <v>2026</v>
          </cell>
        </row>
        <row r="1680">
          <cell r="U1680">
            <v>2026</v>
          </cell>
        </row>
        <row r="1681">
          <cell r="U1681">
            <v>2026</v>
          </cell>
        </row>
        <row r="1682">
          <cell r="U1682">
            <v>2026</v>
          </cell>
        </row>
        <row r="1683">
          <cell r="U1683">
            <v>2026</v>
          </cell>
        </row>
        <row r="1684">
          <cell r="U1684">
            <v>2026</v>
          </cell>
        </row>
        <row r="1685">
          <cell r="U1685">
            <v>2026</v>
          </cell>
        </row>
        <row r="1686">
          <cell r="U1686">
            <v>2026</v>
          </cell>
        </row>
        <row r="1687">
          <cell r="U1687">
            <v>2026</v>
          </cell>
        </row>
        <row r="1688">
          <cell r="U1688">
            <v>2026</v>
          </cell>
        </row>
        <row r="1689">
          <cell r="U1689">
            <v>2026</v>
          </cell>
        </row>
        <row r="1690">
          <cell r="U1690">
            <v>2026</v>
          </cell>
        </row>
        <row r="1691">
          <cell r="U1691">
            <v>2026</v>
          </cell>
        </row>
        <row r="1692">
          <cell r="U1692">
            <v>2026</v>
          </cell>
        </row>
        <row r="1693">
          <cell r="U1693">
            <v>2026</v>
          </cell>
        </row>
        <row r="1694">
          <cell r="U1694">
            <v>2026</v>
          </cell>
        </row>
        <row r="1695">
          <cell r="U1695">
            <v>2026</v>
          </cell>
        </row>
        <row r="1696">
          <cell r="U1696">
            <v>2026</v>
          </cell>
        </row>
        <row r="1697">
          <cell r="U1697">
            <v>2026</v>
          </cell>
        </row>
        <row r="1698">
          <cell r="U1698">
            <v>2026</v>
          </cell>
        </row>
        <row r="1699">
          <cell r="U1699">
            <v>2026</v>
          </cell>
        </row>
        <row r="1700">
          <cell r="U1700">
            <v>2026</v>
          </cell>
        </row>
        <row r="1701">
          <cell r="U1701">
            <v>2026</v>
          </cell>
        </row>
        <row r="1702">
          <cell r="U1702">
            <v>2026</v>
          </cell>
        </row>
        <row r="1703">
          <cell r="U1703">
            <v>2026</v>
          </cell>
        </row>
        <row r="1704">
          <cell r="U1704">
            <v>2026</v>
          </cell>
        </row>
        <row r="1705">
          <cell r="U1705">
            <v>2026</v>
          </cell>
        </row>
        <row r="1706">
          <cell r="U1706">
            <v>2026</v>
          </cell>
        </row>
        <row r="1707">
          <cell r="U1707">
            <v>2026</v>
          </cell>
        </row>
        <row r="1708">
          <cell r="U1708">
            <v>2026</v>
          </cell>
        </row>
        <row r="1709">
          <cell r="U1709">
            <v>2026</v>
          </cell>
        </row>
        <row r="1710">
          <cell r="U1710">
            <v>2026</v>
          </cell>
        </row>
        <row r="1711">
          <cell r="U1711">
            <v>2026</v>
          </cell>
        </row>
        <row r="1712">
          <cell r="U1712">
            <v>2026</v>
          </cell>
        </row>
        <row r="1713">
          <cell r="U1713">
            <v>2026</v>
          </cell>
        </row>
        <row r="1714">
          <cell r="U1714">
            <v>2026</v>
          </cell>
        </row>
        <row r="1715">
          <cell r="U1715">
            <v>2026</v>
          </cell>
        </row>
        <row r="1716">
          <cell r="U1716">
            <v>2026</v>
          </cell>
        </row>
        <row r="1717">
          <cell r="U1717">
            <v>2026</v>
          </cell>
        </row>
        <row r="1718">
          <cell r="U1718">
            <v>2026</v>
          </cell>
        </row>
        <row r="1719">
          <cell r="U1719">
            <v>2026</v>
          </cell>
        </row>
        <row r="1720">
          <cell r="U1720">
            <v>2026</v>
          </cell>
        </row>
        <row r="1721">
          <cell r="U1721">
            <v>2026</v>
          </cell>
        </row>
        <row r="1722">
          <cell r="U1722">
            <v>2026</v>
          </cell>
        </row>
        <row r="1723">
          <cell r="U1723">
            <v>2026</v>
          </cell>
        </row>
        <row r="1724">
          <cell r="U1724">
            <v>2026</v>
          </cell>
        </row>
        <row r="1725">
          <cell r="U1725">
            <v>2026</v>
          </cell>
        </row>
        <row r="1726">
          <cell r="U1726">
            <v>2026</v>
          </cell>
        </row>
        <row r="1727">
          <cell r="U1727">
            <v>2026</v>
          </cell>
        </row>
        <row r="1728">
          <cell r="U1728">
            <v>2026</v>
          </cell>
        </row>
        <row r="1729">
          <cell r="U1729">
            <v>2026</v>
          </cell>
        </row>
        <row r="1730">
          <cell r="U1730">
            <v>2026</v>
          </cell>
        </row>
        <row r="1731">
          <cell r="U1731">
            <v>2026</v>
          </cell>
        </row>
        <row r="1732">
          <cell r="U1732">
            <v>2026</v>
          </cell>
        </row>
        <row r="1733">
          <cell r="U1733">
            <v>2026</v>
          </cell>
        </row>
        <row r="1734">
          <cell r="U1734">
            <v>2026</v>
          </cell>
        </row>
        <row r="1735">
          <cell r="U1735">
            <v>2026</v>
          </cell>
        </row>
        <row r="1736">
          <cell r="U1736">
            <v>2026</v>
          </cell>
        </row>
        <row r="1737">
          <cell r="U1737">
            <v>2026</v>
          </cell>
        </row>
        <row r="1738">
          <cell r="U1738">
            <v>2026</v>
          </cell>
        </row>
        <row r="1739">
          <cell r="U1739">
            <v>2026</v>
          </cell>
        </row>
        <row r="1740">
          <cell r="U1740">
            <v>2026</v>
          </cell>
        </row>
        <row r="1741">
          <cell r="U1741">
            <v>2026</v>
          </cell>
        </row>
        <row r="1742">
          <cell r="U1742">
            <v>2026</v>
          </cell>
        </row>
        <row r="1743">
          <cell r="U1743">
            <v>2026</v>
          </cell>
        </row>
        <row r="1744">
          <cell r="U1744">
            <v>2026</v>
          </cell>
        </row>
        <row r="1745">
          <cell r="U1745">
            <v>2026</v>
          </cell>
        </row>
        <row r="1746">
          <cell r="U1746">
            <v>2026</v>
          </cell>
        </row>
        <row r="1747">
          <cell r="U1747">
            <v>2026</v>
          </cell>
        </row>
        <row r="1748">
          <cell r="U1748">
            <v>2026</v>
          </cell>
        </row>
        <row r="1749">
          <cell r="U1749">
            <v>2026</v>
          </cell>
        </row>
        <row r="1750">
          <cell r="U1750">
            <v>2026</v>
          </cell>
        </row>
        <row r="1751">
          <cell r="U1751">
            <v>2026</v>
          </cell>
        </row>
        <row r="1752">
          <cell r="U1752">
            <v>2026</v>
          </cell>
        </row>
        <row r="1753">
          <cell r="U1753">
            <v>2026</v>
          </cell>
        </row>
        <row r="1754">
          <cell r="U1754">
            <v>2026</v>
          </cell>
        </row>
        <row r="1755">
          <cell r="U1755">
            <v>2026</v>
          </cell>
        </row>
        <row r="1756">
          <cell r="U1756">
            <v>2026</v>
          </cell>
        </row>
        <row r="1757">
          <cell r="U1757">
            <v>2026</v>
          </cell>
        </row>
        <row r="1758">
          <cell r="U1758">
            <v>2026</v>
          </cell>
        </row>
        <row r="1759">
          <cell r="U1759">
            <v>2026</v>
          </cell>
        </row>
        <row r="1760">
          <cell r="U1760">
            <v>2026</v>
          </cell>
        </row>
        <row r="1761">
          <cell r="U1761">
            <v>2026</v>
          </cell>
        </row>
        <row r="1762">
          <cell r="U1762">
            <v>2026</v>
          </cell>
        </row>
        <row r="1763">
          <cell r="U1763">
            <v>2026</v>
          </cell>
        </row>
        <row r="1764">
          <cell r="U1764">
            <v>2026</v>
          </cell>
        </row>
        <row r="1765">
          <cell r="U1765">
            <v>2026</v>
          </cell>
        </row>
        <row r="1766">
          <cell r="U1766">
            <v>2026</v>
          </cell>
        </row>
        <row r="1767">
          <cell r="U1767">
            <v>2026</v>
          </cell>
        </row>
        <row r="1768">
          <cell r="U1768">
            <v>2026</v>
          </cell>
        </row>
        <row r="1769">
          <cell r="U1769">
            <v>2026</v>
          </cell>
        </row>
        <row r="1770">
          <cell r="U1770">
            <v>2026</v>
          </cell>
        </row>
        <row r="1771">
          <cell r="U1771">
            <v>2026</v>
          </cell>
        </row>
        <row r="1772">
          <cell r="U1772">
            <v>2026</v>
          </cell>
        </row>
        <row r="1773">
          <cell r="U1773">
            <v>2026</v>
          </cell>
        </row>
        <row r="1774">
          <cell r="U1774">
            <v>2026</v>
          </cell>
        </row>
        <row r="1775">
          <cell r="U1775">
            <v>2026</v>
          </cell>
        </row>
        <row r="1776">
          <cell r="U1776">
            <v>2026</v>
          </cell>
        </row>
        <row r="1777">
          <cell r="U1777">
            <v>2026</v>
          </cell>
        </row>
        <row r="1778">
          <cell r="U1778">
            <v>2026</v>
          </cell>
        </row>
        <row r="1779">
          <cell r="U1779">
            <v>2026</v>
          </cell>
        </row>
        <row r="1780">
          <cell r="U1780">
            <v>2026</v>
          </cell>
        </row>
        <row r="1781">
          <cell r="U1781">
            <v>2026</v>
          </cell>
        </row>
        <row r="1782">
          <cell r="U1782">
            <v>2026</v>
          </cell>
        </row>
        <row r="1783">
          <cell r="U1783">
            <v>2026</v>
          </cell>
        </row>
        <row r="1784">
          <cell r="U1784">
            <v>2026</v>
          </cell>
        </row>
        <row r="1785">
          <cell r="U1785">
            <v>2026</v>
          </cell>
        </row>
        <row r="1786">
          <cell r="U1786">
            <v>2026</v>
          </cell>
        </row>
        <row r="1787">
          <cell r="U1787">
            <v>2026</v>
          </cell>
        </row>
        <row r="1788">
          <cell r="U1788">
            <v>2026</v>
          </cell>
        </row>
        <row r="1789">
          <cell r="U1789">
            <v>2026</v>
          </cell>
        </row>
        <row r="1790">
          <cell r="U1790">
            <v>2026</v>
          </cell>
        </row>
        <row r="1791">
          <cell r="U1791">
            <v>2026</v>
          </cell>
        </row>
        <row r="1792">
          <cell r="U1792">
            <v>2026</v>
          </cell>
        </row>
        <row r="1793">
          <cell r="U1793">
            <v>2026</v>
          </cell>
        </row>
        <row r="1794">
          <cell r="U1794">
            <v>2026</v>
          </cell>
        </row>
        <row r="1795">
          <cell r="U1795">
            <v>2026</v>
          </cell>
        </row>
        <row r="1796">
          <cell r="U1796">
            <v>2026</v>
          </cell>
        </row>
        <row r="1797">
          <cell r="U1797">
            <v>2026</v>
          </cell>
        </row>
        <row r="1798">
          <cell r="U1798">
            <v>2026</v>
          </cell>
        </row>
        <row r="1799">
          <cell r="U1799">
            <v>2026</v>
          </cell>
        </row>
        <row r="1800">
          <cell r="U1800">
            <v>2026</v>
          </cell>
        </row>
        <row r="1801">
          <cell r="U1801">
            <v>2026</v>
          </cell>
        </row>
        <row r="1802">
          <cell r="U1802">
            <v>2026</v>
          </cell>
        </row>
        <row r="1803">
          <cell r="U1803">
            <v>2026</v>
          </cell>
        </row>
        <row r="1804">
          <cell r="U1804">
            <v>2026</v>
          </cell>
        </row>
        <row r="1805">
          <cell r="U1805">
            <v>2026</v>
          </cell>
        </row>
        <row r="1806">
          <cell r="U1806">
            <v>2026</v>
          </cell>
        </row>
        <row r="1807">
          <cell r="U1807">
            <v>2026</v>
          </cell>
        </row>
        <row r="1808">
          <cell r="U1808">
            <v>2026</v>
          </cell>
        </row>
        <row r="1809">
          <cell r="U1809">
            <v>2026</v>
          </cell>
        </row>
        <row r="1810">
          <cell r="U1810">
            <v>2026</v>
          </cell>
        </row>
        <row r="1811">
          <cell r="U1811">
            <v>2026</v>
          </cell>
        </row>
        <row r="1812">
          <cell r="U1812">
            <v>2026</v>
          </cell>
        </row>
        <row r="1813">
          <cell r="U1813">
            <v>2026</v>
          </cell>
        </row>
        <row r="1814">
          <cell r="U1814">
            <v>2026</v>
          </cell>
        </row>
        <row r="1815">
          <cell r="U1815">
            <v>2026</v>
          </cell>
        </row>
        <row r="1816">
          <cell r="U1816">
            <v>2026</v>
          </cell>
        </row>
        <row r="1817">
          <cell r="U1817">
            <v>2026</v>
          </cell>
        </row>
        <row r="1818">
          <cell r="U1818">
            <v>2026</v>
          </cell>
        </row>
        <row r="1819">
          <cell r="U1819">
            <v>2026</v>
          </cell>
        </row>
        <row r="1820">
          <cell r="U1820">
            <v>2026</v>
          </cell>
        </row>
        <row r="1821">
          <cell r="U1821">
            <v>2026</v>
          </cell>
        </row>
        <row r="1822">
          <cell r="U1822">
            <v>2026</v>
          </cell>
        </row>
        <row r="1823">
          <cell r="U1823">
            <v>2026</v>
          </cell>
        </row>
        <row r="1824">
          <cell r="U1824">
            <v>2026</v>
          </cell>
        </row>
        <row r="1825">
          <cell r="U1825">
            <v>2026</v>
          </cell>
        </row>
        <row r="1826">
          <cell r="U1826">
            <v>2026</v>
          </cell>
        </row>
        <row r="1827">
          <cell r="U1827">
            <v>2026</v>
          </cell>
        </row>
        <row r="1828">
          <cell r="U1828">
            <v>2026</v>
          </cell>
        </row>
        <row r="1829">
          <cell r="U1829">
            <v>2026</v>
          </cell>
        </row>
        <row r="1830">
          <cell r="U1830">
            <v>2026</v>
          </cell>
        </row>
        <row r="1831">
          <cell r="U1831">
            <v>2026</v>
          </cell>
        </row>
        <row r="1832">
          <cell r="U1832">
            <v>2026</v>
          </cell>
        </row>
        <row r="1833">
          <cell r="U1833">
            <v>2026</v>
          </cell>
        </row>
        <row r="1834">
          <cell r="U1834">
            <v>2026</v>
          </cell>
        </row>
        <row r="1835">
          <cell r="U1835">
            <v>2026</v>
          </cell>
        </row>
        <row r="1836">
          <cell r="U1836">
            <v>2026</v>
          </cell>
        </row>
        <row r="1837">
          <cell r="U1837">
            <v>2026</v>
          </cell>
        </row>
        <row r="1838">
          <cell r="U1838">
            <v>2026</v>
          </cell>
        </row>
        <row r="1839">
          <cell r="U1839">
            <v>2026</v>
          </cell>
        </row>
        <row r="1840">
          <cell r="U1840">
            <v>2026</v>
          </cell>
        </row>
        <row r="1841">
          <cell r="U1841">
            <v>2026</v>
          </cell>
        </row>
        <row r="1842">
          <cell r="U1842">
            <v>2026</v>
          </cell>
        </row>
        <row r="1843">
          <cell r="U1843">
            <v>2026</v>
          </cell>
        </row>
        <row r="1844">
          <cell r="U1844">
            <v>2026</v>
          </cell>
        </row>
        <row r="1845">
          <cell r="U1845">
            <v>2026</v>
          </cell>
        </row>
        <row r="1846">
          <cell r="U1846">
            <v>2026</v>
          </cell>
        </row>
        <row r="1847">
          <cell r="U1847">
            <v>2026</v>
          </cell>
        </row>
        <row r="1848">
          <cell r="U1848">
            <v>2026</v>
          </cell>
        </row>
        <row r="1849">
          <cell r="U1849">
            <v>2026</v>
          </cell>
        </row>
        <row r="1850">
          <cell r="U1850">
            <v>2026</v>
          </cell>
        </row>
        <row r="1851">
          <cell r="U1851">
            <v>2026</v>
          </cell>
        </row>
        <row r="1852">
          <cell r="U1852">
            <v>2026</v>
          </cell>
        </row>
        <row r="1853">
          <cell r="U1853">
            <v>2026</v>
          </cell>
        </row>
        <row r="1854">
          <cell r="U1854">
            <v>2026</v>
          </cell>
        </row>
        <row r="1855">
          <cell r="U1855">
            <v>2026</v>
          </cell>
        </row>
        <row r="1856">
          <cell r="U1856">
            <v>2026</v>
          </cell>
        </row>
        <row r="1857">
          <cell r="U1857">
            <v>2026</v>
          </cell>
        </row>
        <row r="1858">
          <cell r="U1858">
            <v>2026</v>
          </cell>
        </row>
        <row r="1859">
          <cell r="U1859">
            <v>2026</v>
          </cell>
        </row>
        <row r="1860">
          <cell r="U1860">
            <v>2026</v>
          </cell>
        </row>
        <row r="1861">
          <cell r="U1861">
            <v>2026</v>
          </cell>
        </row>
        <row r="1862">
          <cell r="U1862">
            <v>2026</v>
          </cell>
        </row>
        <row r="1863">
          <cell r="U1863">
            <v>2026</v>
          </cell>
        </row>
        <row r="1864">
          <cell r="U1864">
            <v>2026</v>
          </cell>
        </row>
        <row r="1865">
          <cell r="U1865">
            <v>2026</v>
          </cell>
        </row>
        <row r="1866">
          <cell r="U1866">
            <v>2026</v>
          </cell>
        </row>
        <row r="1867">
          <cell r="U1867">
            <v>2026</v>
          </cell>
        </row>
        <row r="1868">
          <cell r="U1868">
            <v>2026</v>
          </cell>
        </row>
        <row r="1869">
          <cell r="U1869">
            <v>2026</v>
          </cell>
        </row>
        <row r="1870">
          <cell r="U1870">
            <v>2026</v>
          </cell>
        </row>
        <row r="1871">
          <cell r="U1871">
            <v>2026</v>
          </cell>
        </row>
        <row r="1872">
          <cell r="U1872">
            <v>2026</v>
          </cell>
        </row>
        <row r="1873">
          <cell r="U1873">
            <v>2026</v>
          </cell>
        </row>
        <row r="1874">
          <cell r="U1874">
            <v>2026</v>
          </cell>
        </row>
        <row r="1875">
          <cell r="U1875">
            <v>2026</v>
          </cell>
        </row>
        <row r="1876">
          <cell r="U1876">
            <v>2026</v>
          </cell>
        </row>
        <row r="1877">
          <cell r="U1877">
            <v>2026</v>
          </cell>
        </row>
        <row r="1878">
          <cell r="U1878">
            <v>2026</v>
          </cell>
        </row>
        <row r="1879">
          <cell r="U1879">
            <v>2026</v>
          </cell>
        </row>
        <row r="1880">
          <cell r="U1880">
            <v>2026</v>
          </cell>
        </row>
        <row r="1881">
          <cell r="U1881">
            <v>2026</v>
          </cell>
        </row>
        <row r="1882">
          <cell r="U1882">
            <v>2026</v>
          </cell>
        </row>
        <row r="1883">
          <cell r="U1883">
            <v>2026</v>
          </cell>
        </row>
        <row r="1884">
          <cell r="U1884">
            <v>2026</v>
          </cell>
        </row>
        <row r="1885">
          <cell r="U1885">
            <v>2026</v>
          </cell>
        </row>
        <row r="1886">
          <cell r="U1886">
            <v>2026</v>
          </cell>
        </row>
        <row r="1887">
          <cell r="U1887">
            <v>2026</v>
          </cell>
        </row>
        <row r="1888">
          <cell r="U1888">
            <v>2026</v>
          </cell>
        </row>
        <row r="1889">
          <cell r="U1889">
            <v>2026</v>
          </cell>
        </row>
        <row r="1890">
          <cell r="U1890">
            <v>2026</v>
          </cell>
        </row>
        <row r="1891">
          <cell r="U1891">
            <v>2026</v>
          </cell>
        </row>
        <row r="1892">
          <cell r="U1892">
            <v>2026</v>
          </cell>
        </row>
        <row r="1893">
          <cell r="U1893">
            <v>2026</v>
          </cell>
        </row>
        <row r="1894">
          <cell r="U1894">
            <v>2026</v>
          </cell>
        </row>
        <row r="1895">
          <cell r="U1895">
            <v>2026</v>
          </cell>
        </row>
        <row r="1896">
          <cell r="U1896">
            <v>2026</v>
          </cell>
        </row>
        <row r="1897">
          <cell r="U1897">
            <v>2026</v>
          </cell>
        </row>
        <row r="1898">
          <cell r="U1898">
            <v>2026</v>
          </cell>
        </row>
        <row r="1899">
          <cell r="U1899">
            <v>2026</v>
          </cell>
        </row>
        <row r="1900">
          <cell r="U1900">
            <v>2026</v>
          </cell>
        </row>
        <row r="1901">
          <cell r="U1901">
            <v>2026</v>
          </cell>
        </row>
        <row r="1902">
          <cell r="U1902">
            <v>2026</v>
          </cell>
        </row>
        <row r="1903">
          <cell r="U1903">
            <v>2026</v>
          </cell>
        </row>
        <row r="1904">
          <cell r="U1904">
            <v>2026</v>
          </cell>
        </row>
        <row r="1905">
          <cell r="U1905">
            <v>2026</v>
          </cell>
        </row>
        <row r="1906">
          <cell r="U1906">
            <v>2026</v>
          </cell>
        </row>
        <row r="1907">
          <cell r="U1907">
            <v>2026</v>
          </cell>
        </row>
        <row r="1908">
          <cell r="U1908">
            <v>2026</v>
          </cell>
        </row>
        <row r="1909">
          <cell r="U1909">
            <v>2026</v>
          </cell>
        </row>
        <row r="1910">
          <cell r="U1910">
            <v>2026</v>
          </cell>
        </row>
        <row r="1911">
          <cell r="U1911">
            <v>2026</v>
          </cell>
        </row>
        <row r="1912">
          <cell r="U1912">
            <v>2026</v>
          </cell>
        </row>
        <row r="1913">
          <cell r="U1913">
            <v>2026</v>
          </cell>
        </row>
        <row r="1914">
          <cell r="U1914">
            <v>2026</v>
          </cell>
        </row>
        <row r="1915">
          <cell r="U1915">
            <v>2026</v>
          </cell>
        </row>
        <row r="1916">
          <cell r="U1916">
            <v>2026</v>
          </cell>
        </row>
        <row r="1917">
          <cell r="U1917">
            <v>2026</v>
          </cell>
        </row>
        <row r="1918">
          <cell r="U1918">
            <v>2026</v>
          </cell>
        </row>
        <row r="1919">
          <cell r="U1919">
            <v>2026</v>
          </cell>
        </row>
        <row r="1920">
          <cell r="U1920">
            <v>2026</v>
          </cell>
        </row>
        <row r="1921">
          <cell r="U1921">
            <v>2026</v>
          </cell>
        </row>
        <row r="1922">
          <cell r="U1922">
            <v>2026</v>
          </cell>
        </row>
        <row r="1923">
          <cell r="U1923">
            <v>2026</v>
          </cell>
        </row>
        <row r="1924">
          <cell r="U1924">
            <v>2026</v>
          </cell>
        </row>
        <row r="1925">
          <cell r="U1925">
            <v>2026</v>
          </cell>
        </row>
        <row r="1926">
          <cell r="U1926">
            <v>2026</v>
          </cell>
        </row>
        <row r="1927">
          <cell r="U1927">
            <v>2026</v>
          </cell>
        </row>
        <row r="1928">
          <cell r="U1928">
            <v>2026</v>
          </cell>
        </row>
        <row r="1929">
          <cell r="U1929">
            <v>2026</v>
          </cell>
        </row>
        <row r="1930">
          <cell r="U1930">
            <v>2026</v>
          </cell>
        </row>
        <row r="1931">
          <cell r="U1931">
            <v>2026</v>
          </cell>
        </row>
        <row r="1932">
          <cell r="U1932">
            <v>2026</v>
          </cell>
        </row>
        <row r="1933">
          <cell r="U1933">
            <v>2026</v>
          </cell>
        </row>
        <row r="1934">
          <cell r="U1934">
            <v>2026</v>
          </cell>
        </row>
        <row r="1935">
          <cell r="U1935">
            <v>2026</v>
          </cell>
        </row>
        <row r="1936">
          <cell r="U1936">
            <v>2026</v>
          </cell>
        </row>
        <row r="1937">
          <cell r="U1937">
            <v>2026</v>
          </cell>
        </row>
        <row r="1938">
          <cell r="U1938">
            <v>2026</v>
          </cell>
        </row>
        <row r="1939">
          <cell r="U1939">
            <v>2026</v>
          </cell>
        </row>
        <row r="1940">
          <cell r="U1940">
            <v>2026</v>
          </cell>
        </row>
        <row r="1941">
          <cell r="U1941">
            <v>2026</v>
          </cell>
        </row>
        <row r="1942">
          <cell r="U1942">
            <v>2026</v>
          </cell>
        </row>
        <row r="1943">
          <cell r="U1943">
            <v>2026</v>
          </cell>
        </row>
        <row r="1944">
          <cell r="U1944">
            <v>2026</v>
          </cell>
        </row>
        <row r="1945">
          <cell r="U1945">
            <v>2026</v>
          </cell>
        </row>
        <row r="1946">
          <cell r="U1946">
            <v>2026</v>
          </cell>
        </row>
        <row r="1947">
          <cell r="U1947">
            <v>2026</v>
          </cell>
        </row>
        <row r="1948">
          <cell r="U1948">
            <v>2026</v>
          </cell>
        </row>
        <row r="1949">
          <cell r="U1949">
            <v>2026</v>
          </cell>
        </row>
        <row r="1950">
          <cell r="U1950">
            <v>2026</v>
          </cell>
        </row>
        <row r="1951">
          <cell r="U1951">
            <v>2026</v>
          </cell>
        </row>
        <row r="1952">
          <cell r="U1952">
            <v>2026</v>
          </cell>
        </row>
        <row r="1953">
          <cell r="U1953">
            <v>2026</v>
          </cell>
        </row>
        <row r="1954">
          <cell r="U1954">
            <v>2026</v>
          </cell>
        </row>
        <row r="1955">
          <cell r="U1955">
            <v>2026</v>
          </cell>
        </row>
        <row r="1956">
          <cell r="U1956">
            <v>2026</v>
          </cell>
        </row>
        <row r="1957">
          <cell r="U1957">
            <v>2026</v>
          </cell>
        </row>
        <row r="1958">
          <cell r="U1958">
            <v>2026</v>
          </cell>
        </row>
        <row r="1959">
          <cell r="U1959">
            <v>2026</v>
          </cell>
        </row>
        <row r="1960">
          <cell r="U1960">
            <v>2026</v>
          </cell>
        </row>
        <row r="1961">
          <cell r="U1961">
            <v>2026</v>
          </cell>
        </row>
        <row r="1962">
          <cell r="U1962">
            <v>2026</v>
          </cell>
        </row>
        <row r="1963">
          <cell r="U1963">
            <v>2026</v>
          </cell>
        </row>
        <row r="1964">
          <cell r="U1964">
            <v>2026</v>
          </cell>
        </row>
        <row r="1965">
          <cell r="U1965">
            <v>2026</v>
          </cell>
        </row>
        <row r="1966">
          <cell r="U1966">
            <v>2026</v>
          </cell>
        </row>
        <row r="1967">
          <cell r="U1967">
            <v>2026</v>
          </cell>
        </row>
        <row r="1968">
          <cell r="U1968">
            <v>2026</v>
          </cell>
        </row>
        <row r="1969">
          <cell r="U1969">
            <v>2026</v>
          </cell>
        </row>
        <row r="1970">
          <cell r="U1970">
            <v>2026</v>
          </cell>
        </row>
        <row r="1971">
          <cell r="U1971">
            <v>2026</v>
          </cell>
        </row>
        <row r="1972">
          <cell r="U1972">
            <v>2026</v>
          </cell>
        </row>
        <row r="1973">
          <cell r="U1973">
            <v>2026</v>
          </cell>
        </row>
        <row r="1974">
          <cell r="U1974">
            <v>2026</v>
          </cell>
        </row>
        <row r="1975">
          <cell r="U1975">
            <v>2026</v>
          </cell>
        </row>
        <row r="1976">
          <cell r="U1976">
            <v>2026</v>
          </cell>
        </row>
        <row r="1977">
          <cell r="U1977">
            <v>2026</v>
          </cell>
        </row>
        <row r="1978">
          <cell r="U1978">
            <v>2026</v>
          </cell>
        </row>
        <row r="1979">
          <cell r="U1979">
            <v>2026</v>
          </cell>
        </row>
        <row r="1980">
          <cell r="U1980">
            <v>2026</v>
          </cell>
        </row>
        <row r="1981">
          <cell r="U1981">
            <v>2026</v>
          </cell>
        </row>
        <row r="1982">
          <cell r="U1982">
            <v>2026</v>
          </cell>
        </row>
        <row r="1983">
          <cell r="U1983">
            <v>2026</v>
          </cell>
        </row>
        <row r="1984">
          <cell r="U1984">
            <v>2026</v>
          </cell>
        </row>
        <row r="1985">
          <cell r="U1985">
            <v>2026</v>
          </cell>
        </row>
        <row r="1986">
          <cell r="U1986">
            <v>2026</v>
          </cell>
        </row>
        <row r="1987">
          <cell r="U1987">
            <v>2026</v>
          </cell>
        </row>
        <row r="1988">
          <cell r="U1988">
            <v>2026</v>
          </cell>
        </row>
        <row r="1989">
          <cell r="U1989">
            <v>2026</v>
          </cell>
        </row>
        <row r="1990">
          <cell r="U1990">
            <v>2026</v>
          </cell>
        </row>
        <row r="1991">
          <cell r="U1991">
            <v>2026</v>
          </cell>
        </row>
        <row r="1992">
          <cell r="U1992">
            <v>2026</v>
          </cell>
        </row>
        <row r="1993">
          <cell r="U1993">
            <v>2026</v>
          </cell>
        </row>
        <row r="1994">
          <cell r="U1994">
            <v>2026</v>
          </cell>
        </row>
        <row r="1995">
          <cell r="U1995">
            <v>2026</v>
          </cell>
        </row>
        <row r="1996">
          <cell r="U1996">
            <v>2026</v>
          </cell>
        </row>
        <row r="1997">
          <cell r="U1997">
            <v>2026</v>
          </cell>
        </row>
        <row r="1998">
          <cell r="U1998">
            <v>2026</v>
          </cell>
        </row>
        <row r="1999">
          <cell r="U1999">
            <v>2026</v>
          </cell>
        </row>
        <row r="2000">
          <cell r="U2000">
            <v>2026</v>
          </cell>
        </row>
        <row r="2001">
          <cell r="U2001">
            <v>2026</v>
          </cell>
        </row>
        <row r="2002">
          <cell r="U2002">
            <v>2026</v>
          </cell>
        </row>
        <row r="2003">
          <cell r="U2003">
            <v>2026</v>
          </cell>
        </row>
        <row r="2004">
          <cell r="U2004">
            <v>2026</v>
          </cell>
        </row>
        <row r="2005">
          <cell r="U2005">
            <v>2026</v>
          </cell>
        </row>
        <row r="2006">
          <cell r="U2006">
            <v>2026</v>
          </cell>
        </row>
        <row r="2007">
          <cell r="U2007">
            <v>2026</v>
          </cell>
        </row>
        <row r="2008">
          <cell r="U2008">
            <v>2026</v>
          </cell>
        </row>
        <row r="2009">
          <cell r="U2009">
            <v>2026</v>
          </cell>
        </row>
        <row r="2010">
          <cell r="U2010">
            <v>2026</v>
          </cell>
        </row>
        <row r="2011">
          <cell r="U2011">
            <v>2026</v>
          </cell>
        </row>
        <row r="2012">
          <cell r="U2012">
            <v>2026</v>
          </cell>
        </row>
        <row r="2013">
          <cell r="U2013">
            <v>2026</v>
          </cell>
        </row>
        <row r="2014">
          <cell r="U2014">
            <v>2026</v>
          </cell>
        </row>
        <row r="2015">
          <cell r="U2015">
            <v>2026</v>
          </cell>
        </row>
        <row r="2016">
          <cell r="U2016">
            <v>2026</v>
          </cell>
        </row>
        <row r="2017">
          <cell r="U2017">
            <v>2026</v>
          </cell>
        </row>
        <row r="2018">
          <cell r="U2018">
            <v>2026</v>
          </cell>
        </row>
        <row r="2019">
          <cell r="U2019">
            <v>2026</v>
          </cell>
        </row>
        <row r="2020">
          <cell r="U2020">
            <v>2026</v>
          </cell>
        </row>
        <row r="2021">
          <cell r="U2021">
            <v>2026</v>
          </cell>
        </row>
        <row r="2022">
          <cell r="U2022">
            <v>2026</v>
          </cell>
        </row>
        <row r="2023">
          <cell r="U2023">
            <v>2026</v>
          </cell>
        </row>
        <row r="2024">
          <cell r="U2024">
            <v>2026</v>
          </cell>
        </row>
        <row r="2025">
          <cell r="U2025">
            <v>2026</v>
          </cell>
        </row>
        <row r="2026">
          <cell r="U2026">
            <v>2026</v>
          </cell>
        </row>
        <row r="2027">
          <cell r="U2027">
            <v>2026</v>
          </cell>
        </row>
        <row r="2028">
          <cell r="U2028">
            <v>2026</v>
          </cell>
        </row>
        <row r="2029">
          <cell r="U2029">
            <v>2026</v>
          </cell>
        </row>
        <row r="2030">
          <cell r="U2030">
            <v>2026</v>
          </cell>
        </row>
        <row r="2031">
          <cell r="U2031">
            <v>2026</v>
          </cell>
        </row>
        <row r="2032">
          <cell r="U2032">
            <v>2026</v>
          </cell>
        </row>
        <row r="2033">
          <cell r="U2033">
            <v>2026</v>
          </cell>
        </row>
        <row r="2034">
          <cell r="U2034">
            <v>2026</v>
          </cell>
        </row>
        <row r="2035">
          <cell r="U2035">
            <v>2026</v>
          </cell>
        </row>
        <row r="2036">
          <cell r="U2036">
            <v>2026</v>
          </cell>
        </row>
        <row r="2037">
          <cell r="U2037">
            <v>2026</v>
          </cell>
        </row>
        <row r="2038">
          <cell r="U2038">
            <v>2026</v>
          </cell>
        </row>
        <row r="2039">
          <cell r="U2039">
            <v>2026</v>
          </cell>
        </row>
        <row r="2040">
          <cell r="U2040">
            <v>2026</v>
          </cell>
        </row>
        <row r="2041">
          <cell r="U2041">
            <v>2026</v>
          </cell>
        </row>
        <row r="2042">
          <cell r="U2042">
            <v>2026</v>
          </cell>
        </row>
        <row r="2043">
          <cell r="U2043">
            <v>2026</v>
          </cell>
        </row>
        <row r="2044">
          <cell r="U2044">
            <v>2026</v>
          </cell>
        </row>
        <row r="2045">
          <cell r="U2045">
            <v>2026</v>
          </cell>
        </row>
        <row r="2046">
          <cell r="U2046">
            <v>2026</v>
          </cell>
        </row>
        <row r="2047">
          <cell r="U2047">
            <v>2026</v>
          </cell>
        </row>
        <row r="2048">
          <cell r="U2048">
            <v>2026</v>
          </cell>
        </row>
        <row r="2049">
          <cell r="U2049">
            <v>2026</v>
          </cell>
        </row>
        <row r="2050">
          <cell r="U2050">
            <v>2026</v>
          </cell>
        </row>
        <row r="2051">
          <cell r="U2051">
            <v>2026</v>
          </cell>
        </row>
        <row r="2052">
          <cell r="U2052">
            <v>2026</v>
          </cell>
        </row>
        <row r="2053">
          <cell r="U2053">
            <v>2026</v>
          </cell>
        </row>
        <row r="2054">
          <cell r="U2054">
            <v>2026</v>
          </cell>
        </row>
        <row r="2055">
          <cell r="U2055">
            <v>2026</v>
          </cell>
        </row>
        <row r="2056">
          <cell r="U2056">
            <v>2026</v>
          </cell>
        </row>
        <row r="2057">
          <cell r="U2057">
            <v>2026</v>
          </cell>
        </row>
        <row r="2058">
          <cell r="U2058">
            <v>2026</v>
          </cell>
        </row>
        <row r="2059">
          <cell r="U2059">
            <v>2026</v>
          </cell>
        </row>
        <row r="2060">
          <cell r="U2060">
            <v>2026</v>
          </cell>
        </row>
        <row r="2061">
          <cell r="U2061">
            <v>2026</v>
          </cell>
        </row>
        <row r="2062">
          <cell r="U2062">
            <v>2026</v>
          </cell>
        </row>
        <row r="2063">
          <cell r="U2063">
            <v>2026</v>
          </cell>
        </row>
        <row r="2064">
          <cell r="U2064">
            <v>2026</v>
          </cell>
        </row>
        <row r="2065">
          <cell r="U2065">
            <v>2026</v>
          </cell>
        </row>
        <row r="2066">
          <cell r="U2066">
            <v>2026</v>
          </cell>
        </row>
        <row r="2067">
          <cell r="U2067">
            <v>2026</v>
          </cell>
        </row>
        <row r="2068">
          <cell r="U2068">
            <v>2026</v>
          </cell>
        </row>
        <row r="2069">
          <cell r="U2069">
            <v>2026</v>
          </cell>
        </row>
        <row r="2070">
          <cell r="U2070">
            <v>2026</v>
          </cell>
        </row>
        <row r="2071">
          <cell r="U2071">
            <v>2026</v>
          </cell>
        </row>
        <row r="2072">
          <cell r="U2072">
            <v>2026</v>
          </cell>
        </row>
        <row r="2073">
          <cell r="U2073">
            <v>2026</v>
          </cell>
        </row>
        <row r="2074">
          <cell r="U2074">
            <v>2026</v>
          </cell>
        </row>
        <row r="2075">
          <cell r="U2075">
            <v>2026</v>
          </cell>
        </row>
        <row r="2076">
          <cell r="U2076">
            <v>2026</v>
          </cell>
        </row>
        <row r="2077">
          <cell r="U2077">
            <v>2026</v>
          </cell>
        </row>
        <row r="2078">
          <cell r="U2078">
            <v>2026</v>
          </cell>
        </row>
        <row r="2079">
          <cell r="U2079">
            <v>2026</v>
          </cell>
        </row>
        <row r="2080">
          <cell r="U2080">
            <v>2026</v>
          </cell>
        </row>
        <row r="2081">
          <cell r="U2081">
            <v>2026</v>
          </cell>
        </row>
        <row r="2082">
          <cell r="U2082">
            <v>2026</v>
          </cell>
        </row>
        <row r="2083">
          <cell r="U2083">
            <v>2026</v>
          </cell>
        </row>
        <row r="2084">
          <cell r="U2084">
            <v>2026</v>
          </cell>
        </row>
        <row r="2085">
          <cell r="U2085">
            <v>2026</v>
          </cell>
        </row>
        <row r="2086">
          <cell r="U2086">
            <v>2026</v>
          </cell>
        </row>
        <row r="2087">
          <cell r="U2087">
            <v>2026</v>
          </cell>
        </row>
        <row r="2088">
          <cell r="U2088">
            <v>2026</v>
          </cell>
        </row>
        <row r="2089">
          <cell r="U2089">
            <v>2026</v>
          </cell>
        </row>
        <row r="2090">
          <cell r="U2090">
            <v>2026</v>
          </cell>
        </row>
        <row r="2091">
          <cell r="U2091">
            <v>2026</v>
          </cell>
        </row>
        <row r="2092">
          <cell r="U2092">
            <v>2026</v>
          </cell>
        </row>
        <row r="2093">
          <cell r="U2093">
            <v>2026</v>
          </cell>
        </row>
        <row r="2094">
          <cell r="U2094">
            <v>2026</v>
          </cell>
        </row>
        <row r="2095">
          <cell r="U2095">
            <v>2026</v>
          </cell>
        </row>
        <row r="2096">
          <cell r="U2096">
            <v>2026</v>
          </cell>
        </row>
        <row r="2097">
          <cell r="U2097">
            <v>2026</v>
          </cell>
        </row>
        <row r="2098">
          <cell r="U2098">
            <v>2026</v>
          </cell>
        </row>
        <row r="2099">
          <cell r="U2099">
            <v>2026</v>
          </cell>
        </row>
        <row r="2100">
          <cell r="U2100">
            <v>2026</v>
          </cell>
        </row>
        <row r="2101">
          <cell r="U2101">
            <v>2026</v>
          </cell>
        </row>
        <row r="2102">
          <cell r="U2102">
            <v>2026</v>
          </cell>
        </row>
        <row r="2103">
          <cell r="U2103">
            <v>2026</v>
          </cell>
        </row>
        <row r="2104">
          <cell r="U2104">
            <v>2026</v>
          </cell>
        </row>
        <row r="2105">
          <cell r="U2105">
            <v>2026</v>
          </cell>
        </row>
        <row r="2106">
          <cell r="U2106">
            <v>2026</v>
          </cell>
        </row>
        <row r="2107">
          <cell r="U2107">
            <v>2026</v>
          </cell>
        </row>
        <row r="2108">
          <cell r="U2108">
            <v>2026</v>
          </cell>
        </row>
        <row r="2109">
          <cell r="U2109">
            <v>2026</v>
          </cell>
        </row>
        <row r="2110">
          <cell r="U2110">
            <v>2026</v>
          </cell>
        </row>
        <row r="2111">
          <cell r="U2111">
            <v>2026</v>
          </cell>
        </row>
        <row r="2112">
          <cell r="U2112">
            <v>2026</v>
          </cell>
        </row>
        <row r="2113">
          <cell r="U2113">
            <v>2026</v>
          </cell>
        </row>
        <row r="2114">
          <cell r="U2114">
            <v>2026</v>
          </cell>
        </row>
        <row r="2115">
          <cell r="U2115">
            <v>2026</v>
          </cell>
        </row>
        <row r="2116">
          <cell r="U2116">
            <v>2026</v>
          </cell>
        </row>
        <row r="2117">
          <cell r="U2117">
            <v>2026</v>
          </cell>
        </row>
        <row r="2118">
          <cell r="U2118">
            <v>2026</v>
          </cell>
        </row>
        <row r="2119">
          <cell r="U2119">
            <v>2026</v>
          </cell>
        </row>
        <row r="2120">
          <cell r="U2120">
            <v>2026</v>
          </cell>
        </row>
        <row r="2121">
          <cell r="U2121">
            <v>2026</v>
          </cell>
        </row>
        <row r="2122">
          <cell r="U2122">
            <v>2026</v>
          </cell>
        </row>
        <row r="2123">
          <cell r="U2123">
            <v>2026</v>
          </cell>
        </row>
        <row r="2124">
          <cell r="U2124">
            <v>2026</v>
          </cell>
        </row>
        <row r="2125">
          <cell r="U2125">
            <v>2026</v>
          </cell>
        </row>
        <row r="2126">
          <cell r="U2126">
            <v>2026</v>
          </cell>
        </row>
        <row r="2127">
          <cell r="U2127">
            <v>2026</v>
          </cell>
        </row>
        <row r="2128">
          <cell r="U2128">
            <v>2026</v>
          </cell>
        </row>
        <row r="2129">
          <cell r="U2129">
            <v>2026</v>
          </cell>
        </row>
        <row r="2130">
          <cell r="U2130">
            <v>2026</v>
          </cell>
        </row>
        <row r="2131">
          <cell r="U2131">
            <v>2026</v>
          </cell>
        </row>
        <row r="2132">
          <cell r="U2132">
            <v>2026</v>
          </cell>
        </row>
        <row r="2133">
          <cell r="U2133">
            <v>2026</v>
          </cell>
        </row>
        <row r="2134">
          <cell r="U2134">
            <v>2026</v>
          </cell>
        </row>
        <row r="2135">
          <cell r="U2135">
            <v>2026</v>
          </cell>
        </row>
        <row r="2136">
          <cell r="U2136">
            <v>2026</v>
          </cell>
        </row>
        <row r="2137">
          <cell r="U2137">
            <v>2026</v>
          </cell>
        </row>
        <row r="2138">
          <cell r="U2138">
            <v>2026</v>
          </cell>
        </row>
        <row r="2139">
          <cell r="U2139">
            <v>2026</v>
          </cell>
        </row>
        <row r="2140">
          <cell r="U2140">
            <v>2026</v>
          </cell>
        </row>
        <row r="2141">
          <cell r="U2141">
            <v>2026</v>
          </cell>
        </row>
        <row r="2142">
          <cell r="U2142">
            <v>2026</v>
          </cell>
        </row>
        <row r="2143">
          <cell r="U2143">
            <v>2026</v>
          </cell>
        </row>
        <row r="2144">
          <cell r="U2144">
            <v>2026</v>
          </cell>
        </row>
        <row r="2145">
          <cell r="U2145">
            <v>2026</v>
          </cell>
        </row>
        <row r="2146">
          <cell r="U2146">
            <v>2026</v>
          </cell>
        </row>
        <row r="2147">
          <cell r="U2147">
            <v>2026</v>
          </cell>
        </row>
        <row r="2148">
          <cell r="U2148">
            <v>2026</v>
          </cell>
        </row>
        <row r="2149">
          <cell r="U2149">
            <v>2026</v>
          </cell>
        </row>
        <row r="2150">
          <cell r="U2150">
            <v>2026</v>
          </cell>
        </row>
        <row r="2151">
          <cell r="U2151">
            <v>2026</v>
          </cell>
        </row>
        <row r="2152">
          <cell r="U2152">
            <v>2026</v>
          </cell>
        </row>
        <row r="2153">
          <cell r="U2153">
            <v>2026</v>
          </cell>
        </row>
        <row r="2154">
          <cell r="U2154">
            <v>2026</v>
          </cell>
        </row>
        <row r="2155">
          <cell r="U2155">
            <v>2026</v>
          </cell>
        </row>
        <row r="2156">
          <cell r="U2156">
            <v>2026</v>
          </cell>
        </row>
        <row r="2157">
          <cell r="U2157">
            <v>2026</v>
          </cell>
        </row>
        <row r="2158">
          <cell r="U2158">
            <v>2026</v>
          </cell>
        </row>
        <row r="2159">
          <cell r="U2159">
            <v>2026</v>
          </cell>
        </row>
        <row r="2160">
          <cell r="U2160">
            <v>2026</v>
          </cell>
        </row>
        <row r="2161">
          <cell r="U2161">
            <v>2026</v>
          </cell>
        </row>
        <row r="2162">
          <cell r="U2162">
            <v>2026</v>
          </cell>
        </row>
        <row r="2163">
          <cell r="U2163">
            <v>2026</v>
          </cell>
        </row>
        <row r="2164">
          <cell r="U2164">
            <v>2026</v>
          </cell>
        </row>
        <row r="2165">
          <cell r="U2165">
            <v>2026</v>
          </cell>
        </row>
        <row r="2166">
          <cell r="U2166">
            <v>2026</v>
          </cell>
        </row>
        <row r="2167">
          <cell r="U2167">
            <v>2026</v>
          </cell>
        </row>
        <row r="2168">
          <cell r="U2168">
            <v>2026</v>
          </cell>
        </row>
        <row r="2169">
          <cell r="U2169">
            <v>2026</v>
          </cell>
        </row>
        <row r="2170">
          <cell r="U2170">
            <v>2026</v>
          </cell>
        </row>
        <row r="2171">
          <cell r="U2171">
            <v>2026</v>
          </cell>
        </row>
        <row r="2172">
          <cell r="U2172">
            <v>2026</v>
          </cell>
        </row>
        <row r="2173">
          <cell r="U2173">
            <v>2026</v>
          </cell>
        </row>
        <row r="2174">
          <cell r="U2174">
            <v>2026</v>
          </cell>
        </row>
        <row r="2175">
          <cell r="U2175">
            <v>2026</v>
          </cell>
        </row>
        <row r="2176">
          <cell r="U2176">
            <v>2026</v>
          </cell>
        </row>
        <row r="2177">
          <cell r="U2177">
            <v>2026</v>
          </cell>
        </row>
        <row r="2178">
          <cell r="U2178">
            <v>2026</v>
          </cell>
        </row>
        <row r="2179">
          <cell r="U2179">
            <v>2026</v>
          </cell>
        </row>
        <row r="2180">
          <cell r="U2180">
            <v>2026</v>
          </cell>
        </row>
        <row r="2181">
          <cell r="U2181">
            <v>2026</v>
          </cell>
        </row>
        <row r="2182">
          <cell r="U2182">
            <v>2026</v>
          </cell>
        </row>
        <row r="2183">
          <cell r="U2183">
            <v>2026</v>
          </cell>
        </row>
        <row r="2184">
          <cell r="U2184">
            <v>2026</v>
          </cell>
        </row>
        <row r="2185">
          <cell r="U2185">
            <v>2026</v>
          </cell>
        </row>
        <row r="2186">
          <cell r="U2186">
            <v>2026</v>
          </cell>
        </row>
        <row r="2187">
          <cell r="U2187">
            <v>2026</v>
          </cell>
        </row>
        <row r="2188">
          <cell r="U2188">
            <v>2026</v>
          </cell>
        </row>
        <row r="2189">
          <cell r="U2189">
            <v>2026</v>
          </cell>
        </row>
        <row r="2190">
          <cell r="U2190">
            <v>2026</v>
          </cell>
        </row>
        <row r="2191">
          <cell r="U2191">
            <v>2026</v>
          </cell>
        </row>
        <row r="2192">
          <cell r="U2192">
            <v>2026</v>
          </cell>
        </row>
        <row r="2193">
          <cell r="U2193">
            <v>2026</v>
          </cell>
        </row>
        <row r="2194">
          <cell r="U2194">
            <v>2026</v>
          </cell>
        </row>
        <row r="2195">
          <cell r="U2195">
            <v>2026</v>
          </cell>
        </row>
        <row r="2196">
          <cell r="U2196">
            <v>2026</v>
          </cell>
        </row>
        <row r="2197">
          <cell r="U2197">
            <v>2026</v>
          </cell>
        </row>
        <row r="2198">
          <cell r="U2198">
            <v>2026</v>
          </cell>
        </row>
        <row r="2199">
          <cell r="U2199">
            <v>2026</v>
          </cell>
        </row>
        <row r="2200">
          <cell r="U2200">
            <v>2026</v>
          </cell>
        </row>
        <row r="2201">
          <cell r="U2201">
            <v>2026</v>
          </cell>
        </row>
        <row r="2202">
          <cell r="U2202">
            <v>2026</v>
          </cell>
        </row>
        <row r="2203">
          <cell r="U2203">
            <v>2026</v>
          </cell>
        </row>
        <row r="2204">
          <cell r="U2204">
            <v>2026</v>
          </cell>
        </row>
        <row r="2205">
          <cell r="U2205">
            <v>2026</v>
          </cell>
        </row>
        <row r="2206">
          <cell r="U2206">
            <v>2026</v>
          </cell>
        </row>
        <row r="2207">
          <cell r="U2207">
            <v>2026</v>
          </cell>
        </row>
        <row r="2208">
          <cell r="U2208">
            <v>2026</v>
          </cell>
        </row>
        <row r="2209">
          <cell r="U2209">
            <v>2026</v>
          </cell>
        </row>
        <row r="2210">
          <cell r="U2210">
            <v>2026</v>
          </cell>
        </row>
        <row r="2211">
          <cell r="U2211">
            <v>2026</v>
          </cell>
        </row>
        <row r="2212">
          <cell r="U2212">
            <v>2026</v>
          </cell>
        </row>
        <row r="2213">
          <cell r="U2213">
            <v>2026</v>
          </cell>
        </row>
        <row r="2214">
          <cell r="U2214">
            <v>2026</v>
          </cell>
        </row>
        <row r="2215">
          <cell r="U2215">
            <v>2026</v>
          </cell>
        </row>
        <row r="2216">
          <cell r="U2216">
            <v>2026</v>
          </cell>
        </row>
        <row r="2217">
          <cell r="U2217">
            <v>2026</v>
          </cell>
        </row>
        <row r="2218">
          <cell r="U2218">
            <v>2026</v>
          </cell>
        </row>
        <row r="2219">
          <cell r="U2219">
            <v>2026</v>
          </cell>
        </row>
        <row r="2220">
          <cell r="U2220">
            <v>2026</v>
          </cell>
        </row>
        <row r="2221">
          <cell r="U2221">
            <v>2026</v>
          </cell>
        </row>
        <row r="2222">
          <cell r="U2222">
            <v>2026</v>
          </cell>
        </row>
        <row r="2223">
          <cell r="U2223">
            <v>2026</v>
          </cell>
        </row>
        <row r="2224">
          <cell r="U2224">
            <v>2026</v>
          </cell>
        </row>
        <row r="2225">
          <cell r="U2225">
            <v>2026</v>
          </cell>
        </row>
        <row r="2226">
          <cell r="U2226">
            <v>2026</v>
          </cell>
        </row>
        <row r="2227">
          <cell r="U2227">
            <v>2026</v>
          </cell>
        </row>
        <row r="2228">
          <cell r="U2228">
            <v>2026</v>
          </cell>
        </row>
        <row r="2229">
          <cell r="U2229">
            <v>2026</v>
          </cell>
        </row>
        <row r="2230">
          <cell r="U2230">
            <v>2026</v>
          </cell>
        </row>
        <row r="2231">
          <cell r="U2231">
            <v>2026</v>
          </cell>
        </row>
        <row r="2232">
          <cell r="U2232">
            <v>2026</v>
          </cell>
        </row>
        <row r="2233">
          <cell r="U2233">
            <v>2026</v>
          </cell>
        </row>
        <row r="2234">
          <cell r="U2234">
            <v>2026</v>
          </cell>
        </row>
        <row r="2235">
          <cell r="U2235">
            <v>2026</v>
          </cell>
        </row>
        <row r="2236">
          <cell r="U2236">
            <v>2026</v>
          </cell>
        </row>
        <row r="2237">
          <cell r="U2237">
            <v>2026</v>
          </cell>
        </row>
        <row r="2238">
          <cell r="U2238">
            <v>2026</v>
          </cell>
        </row>
        <row r="2239">
          <cell r="U2239">
            <v>2026</v>
          </cell>
        </row>
        <row r="2240">
          <cell r="U2240">
            <v>2026</v>
          </cell>
        </row>
        <row r="2241">
          <cell r="U2241">
            <v>2026</v>
          </cell>
        </row>
        <row r="2242">
          <cell r="U2242">
            <v>2026</v>
          </cell>
        </row>
        <row r="2243">
          <cell r="U2243">
            <v>2026</v>
          </cell>
        </row>
        <row r="2244">
          <cell r="U2244">
            <v>2026</v>
          </cell>
        </row>
        <row r="2245">
          <cell r="U2245">
            <v>2026</v>
          </cell>
        </row>
        <row r="2246">
          <cell r="U2246">
            <v>2026</v>
          </cell>
        </row>
        <row r="2247">
          <cell r="U2247">
            <v>2026</v>
          </cell>
        </row>
        <row r="2248">
          <cell r="U2248">
            <v>2026</v>
          </cell>
        </row>
        <row r="2249">
          <cell r="U2249">
            <v>2026</v>
          </cell>
        </row>
        <row r="2250">
          <cell r="U2250">
            <v>2026</v>
          </cell>
        </row>
        <row r="2251">
          <cell r="U2251">
            <v>2026</v>
          </cell>
        </row>
        <row r="2252">
          <cell r="U2252">
            <v>2026</v>
          </cell>
        </row>
        <row r="2253">
          <cell r="U2253">
            <v>2026</v>
          </cell>
        </row>
        <row r="2254">
          <cell r="U2254">
            <v>2026</v>
          </cell>
        </row>
        <row r="2255">
          <cell r="U2255">
            <v>2026</v>
          </cell>
        </row>
        <row r="2256">
          <cell r="U2256">
            <v>2026</v>
          </cell>
        </row>
        <row r="2257">
          <cell r="U2257">
            <v>2026</v>
          </cell>
        </row>
        <row r="2258">
          <cell r="U2258">
            <v>2026</v>
          </cell>
        </row>
        <row r="2259">
          <cell r="U2259">
            <v>2026</v>
          </cell>
        </row>
        <row r="2260">
          <cell r="U2260">
            <v>2026</v>
          </cell>
        </row>
        <row r="2261">
          <cell r="U2261">
            <v>2026</v>
          </cell>
        </row>
        <row r="2262">
          <cell r="U2262">
            <v>2026</v>
          </cell>
        </row>
        <row r="2263">
          <cell r="U2263">
            <v>2026</v>
          </cell>
        </row>
        <row r="2264">
          <cell r="U2264">
            <v>2026</v>
          </cell>
        </row>
        <row r="2265">
          <cell r="U2265">
            <v>2026</v>
          </cell>
        </row>
        <row r="2266">
          <cell r="U2266">
            <v>2026</v>
          </cell>
        </row>
        <row r="2267">
          <cell r="U2267">
            <v>2026</v>
          </cell>
        </row>
        <row r="2268">
          <cell r="U2268">
            <v>2026</v>
          </cell>
        </row>
        <row r="2269">
          <cell r="U2269">
            <v>2026</v>
          </cell>
        </row>
        <row r="2270">
          <cell r="U2270">
            <v>2026</v>
          </cell>
        </row>
        <row r="2271">
          <cell r="U2271">
            <v>2026</v>
          </cell>
        </row>
        <row r="2272">
          <cell r="U2272">
            <v>2026</v>
          </cell>
        </row>
        <row r="2273">
          <cell r="U2273">
            <v>2026</v>
          </cell>
        </row>
        <row r="2274">
          <cell r="U2274">
            <v>2026</v>
          </cell>
        </row>
        <row r="2275">
          <cell r="U2275">
            <v>2026</v>
          </cell>
        </row>
        <row r="2276">
          <cell r="U2276">
            <v>2026</v>
          </cell>
        </row>
        <row r="2277">
          <cell r="U2277">
            <v>2026</v>
          </cell>
        </row>
        <row r="2278">
          <cell r="U2278">
            <v>2026</v>
          </cell>
        </row>
        <row r="2279">
          <cell r="U2279">
            <v>2026</v>
          </cell>
        </row>
        <row r="2280">
          <cell r="U2280">
            <v>2026</v>
          </cell>
        </row>
        <row r="2281">
          <cell r="U2281">
            <v>2026</v>
          </cell>
        </row>
        <row r="2282">
          <cell r="U2282">
            <v>2026</v>
          </cell>
        </row>
        <row r="2283">
          <cell r="U2283">
            <v>2026</v>
          </cell>
        </row>
        <row r="2284">
          <cell r="U2284">
            <v>2026</v>
          </cell>
        </row>
        <row r="2285">
          <cell r="U2285">
            <v>2026</v>
          </cell>
        </row>
        <row r="2286">
          <cell r="U2286">
            <v>2026</v>
          </cell>
        </row>
        <row r="2287">
          <cell r="U2287">
            <v>2026</v>
          </cell>
        </row>
        <row r="2288">
          <cell r="U2288">
            <v>2026</v>
          </cell>
        </row>
        <row r="2289">
          <cell r="U2289">
            <v>2026</v>
          </cell>
        </row>
        <row r="2290">
          <cell r="U2290">
            <v>2026</v>
          </cell>
        </row>
        <row r="2291">
          <cell r="U2291">
            <v>2026</v>
          </cell>
        </row>
        <row r="2292">
          <cell r="U2292">
            <v>2026</v>
          </cell>
        </row>
        <row r="2293">
          <cell r="U2293">
            <v>2026</v>
          </cell>
        </row>
        <row r="2294">
          <cell r="U2294">
            <v>2026</v>
          </cell>
        </row>
        <row r="2295">
          <cell r="U2295">
            <v>2026</v>
          </cell>
        </row>
        <row r="2296">
          <cell r="U2296">
            <v>2026</v>
          </cell>
        </row>
        <row r="2297">
          <cell r="U2297">
            <v>2026</v>
          </cell>
        </row>
        <row r="2298">
          <cell r="U2298">
            <v>2026</v>
          </cell>
        </row>
        <row r="2299">
          <cell r="U2299">
            <v>2026</v>
          </cell>
        </row>
        <row r="2300">
          <cell r="U2300">
            <v>2026</v>
          </cell>
        </row>
        <row r="2301">
          <cell r="U2301">
            <v>2026</v>
          </cell>
        </row>
        <row r="2302">
          <cell r="U2302">
            <v>2026</v>
          </cell>
        </row>
        <row r="2303">
          <cell r="U2303">
            <v>2026</v>
          </cell>
        </row>
        <row r="2304">
          <cell r="U2304">
            <v>2026</v>
          </cell>
        </row>
        <row r="2305">
          <cell r="U2305">
            <v>2026</v>
          </cell>
        </row>
        <row r="2306">
          <cell r="U2306">
            <v>2026</v>
          </cell>
        </row>
        <row r="2307">
          <cell r="U2307">
            <v>2026</v>
          </cell>
        </row>
        <row r="2308">
          <cell r="U2308">
            <v>2026</v>
          </cell>
        </row>
        <row r="2309">
          <cell r="U2309">
            <v>2026</v>
          </cell>
        </row>
        <row r="2310">
          <cell r="U2310">
            <v>2026</v>
          </cell>
        </row>
        <row r="2311">
          <cell r="U2311">
            <v>2026</v>
          </cell>
        </row>
        <row r="2312">
          <cell r="U2312">
            <v>2026</v>
          </cell>
        </row>
        <row r="2313">
          <cell r="U2313">
            <v>2026</v>
          </cell>
        </row>
        <row r="2314">
          <cell r="U2314">
            <v>2026</v>
          </cell>
        </row>
        <row r="2315">
          <cell r="U2315">
            <v>2026</v>
          </cell>
        </row>
        <row r="2316">
          <cell r="U2316">
            <v>2026</v>
          </cell>
        </row>
        <row r="2317">
          <cell r="U2317">
            <v>2026</v>
          </cell>
        </row>
        <row r="2318">
          <cell r="U2318">
            <v>2026</v>
          </cell>
        </row>
        <row r="2319">
          <cell r="U2319">
            <v>2026</v>
          </cell>
        </row>
        <row r="2320">
          <cell r="U2320">
            <v>2026</v>
          </cell>
        </row>
        <row r="2321">
          <cell r="U2321">
            <v>2026</v>
          </cell>
        </row>
        <row r="2322">
          <cell r="U2322">
            <v>2026</v>
          </cell>
        </row>
        <row r="2323">
          <cell r="U2323">
            <v>2026</v>
          </cell>
        </row>
        <row r="2324">
          <cell r="U2324">
            <v>2026</v>
          </cell>
        </row>
        <row r="2325">
          <cell r="U2325">
            <v>2026</v>
          </cell>
        </row>
        <row r="2326">
          <cell r="U2326">
            <v>2026</v>
          </cell>
        </row>
        <row r="2327">
          <cell r="U2327">
            <v>2026</v>
          </cell>
        </row>
        <row r="2328">
          <cell r="U2328">
            <v>2026</v>
          </cell>
        </row>
        <row r="2329">
          <cell r="U2329">
            <v>2026</v>
          </cell>
        </row>
        <row r="2330">
          <cell r="U2330">
            <v>2026</v>
          </cell>
        </row>
        <row r="2331">
          <cell r="U2331">
            <v>2026</v>
          </cell>
        </row>
        <row r="2332">
          <cell r="U2332">
            <v>2026</v>
          </cell>
        </row>
        <row r="2333">
          <cell r="U2333">
            <v>2026</v>
          </cell>
        </row>
        <row r="2334">
          <cell r="U2334">
            <v>2026</v>
          </cell>
        </row>
        <row r="2335">
          <cell r="U2335">
            <v>2026</v>
          </cell>
        </row>
        <row r="2336">
          <cell r="U2336">
            <v>2026</v>
          </cell>
        </row>
        <row r="2337">
          <cell r="U2337">
            <v>2026</v>
          </cell>
        </row>
        <row r="2338">
          <cell r="U2338">
            <v>2026</v>
          </cell>
        </row>
        <row r="2339">
          <cell r="U2339">
            <v>2026</v>
          </cell>
        </row>
        <row r="2340">
          <cell r="U2340">
            <v>2026</v>
          </cell>
        </row>
        <row r="2341">
          <cell r="U2341">
            <v>2026</v>
          </cell>
        </row>
        <row r="2342">
          <cell r="U2342">
            <v>2026</v>
          </cell>
        </row>
        <row r="2343">
          <cell r="U2343">
            <v>2026</v>
          </cell>
        </row>
        <row r="2344">
          <cell r="U2344">
            <v>2026</v>
          </cell>
        </row>
        <row r="2345">
          <cell r="U2345">
            <v>2026</v>
          </cell>
        </row>
        <row r="2346">
          <cell r="U2346">
            <v>2026</v>
          </cell>
        </row>
        <row r="2347">
          <cell r="U2347">
            <v>2026</v>
          </cell>
        </row>
        <row r="2348">
          <cell r="U2348">
            <v>2026</v>
          </cell>
        </row>
        <row r="2349">
          <cell r="U2349">
            <v>2026</v>
          </cell>
        </row>
        <row r="2350">
          <cell r="U2350">
            <v>2026</v>
          </cell>
        </row>
        <row r="2351">
          <cell r="U2351">
            <v>2026</v>
          </cell>
        </row>
        <row r="2352">
          <cell r="U2352">
            <v>2026</v>
          </cell>
        </row>
        <row r="2353">
          <cell r="U2353">
            <v>2026</v>
          </cell>
        </row>
        <row r="2354">
          <cell r="U2354">
            <v>2026</v>
          </cell>
        </row>
        <row r="2355">
          <cell r="U2355">
            <v>2026</v>
          </cell>
        </row>
        <row r="2356">
          <cell r="U2356">
            <v>2026</v>
          </cell>
        </row>
        <row r="2357">
          <cell r="U2357">
            <v>2026</v>
          </cell>
        </row>
        <row r="2358">
          <cell r="U2358">
            <v>2026</v>
          </cell>
        </row>
        <row r="2359">
          <cell r="U2359">
            <v>2026</v>
          </cell>
        </row>
        <row r="2360">
          <cell r="U2360">
            <v>2026</v>
          </cell>
        </row>
        <row r="2361">
          <cell r="U2361">
            <v>2026</v>
          </cell>
        </row>
        <row r="2362">
          <cell r="U2362">
            <v>2026</v>
          </cell>
        </row>
        <row r="2363">
          <cell r="U2363">
            <v>2026</v>
          </cell>
        </row>
        <row r="2364">
          <cell r="U2364">
            <v>2026</v>
          </cell>
        </row>
        <row r="2365">
          <cell r="U2365">
            <v>2026</v>
          </cell>
        </row>
        <row r="2366">
          <cell r="U2366">
            <v>2026</v>
          </cell>
        </row>
        <row r="2367">
          <cell r="U2367">
            <v>2026</v>
          </cell>
        </row>
        <row r="2368">
          <cell r="U2368">
            <v>2026</v>
          </cell>
        </row>
        <row r="2369">
          <cell r="U2369">
            <v>2026</v>
          </cell>
        </row>
        <row r="2370">
          <cell r="U2370">
            <v>2026</v>
          </cell>
        </row>
        <row r="2371">
          <cell r="U2371">
            <v>2026</v>
          </cell>
        </row>
        <row r="2372">
          <cell r="U2372">
            <v>2026</v>
          </cell>
        </row>
        <row r="2373">
          <cell r="U2373">
            <v>2026</v>
          </cell>
        </row>
        <row r="2374">
          <cell r="U2374">
            <v>2026</v>
          </cell>
        </row>
        <row r="2375">
          <cell r="U2375">
            <v>2026</v>
          </cell>
        </row>
        <row r="2376">
          <cell r="U2376">
            <v>2026</v>
          </cell>
        </row>
        <row r="2377">
          <cell r="U2377">
            <v>2026</v>
          </cell>
        </row>
        <row r="2378">
          <cell r="U2378">
            <v>2026</v>
          </cell>
        </row>
        <row r="2379">
          <cell r="U2379">
            <v>2026</v>
          </cell>
        </row>
        <row r="2380">
          <cell r="U2380">
            <v>2026</v>
          </cell>
        </row>
        <row r="2381">
          <cell r="U2381">
            <v>2026</v>
          </cell>
        </row>
        <row r="2382">
          <cell r="U2382">
            <v>2026</v>
          </cell>
        </row>
        <row r="2383">
          <cell r="U2383">
            <v>2026</v>
          </cell>
        </row>
        <row r="2384">
          <cell r="U2384">
            <v>2026</v>
          </cell>
        </row>
        <row r="2385">
          <cell r="U2385">
            <v>2026</v>
          </cell>
        </row>
        <row r="2386">
          <cell r="U2386">
            <v>2026</v>
          </cell>
        </row>
        <row r="2387">
          <cell r="U2387">
            <v>2026</v>
          </cell>
        </row>
        <row r="2388">
          <cell r="U2388">
            <v>2026</v>
          </cell>
        </row>
        <row r="2389">
          <cell r="U2389">
            <v>2026</v>
          </cell>
        </row>
        <row r="2390">
          <cell r="U2390">
            <v>2026</v>
          </cell>
        </row>
        <row r="2391">
          <cell r="U2391">
            <v>2026</v>
          </cell>
        </row>
        <row r="2392">
          <cell r="U2392">
            <v>2026</v>
          </cell>
        </row>
        <row r="2393">
          <cell r="U2393">
            <v>2026</v>
          </cell>
        </row>
        <row r="2394">
          <cell r="U2394">
            <v>2026</v>
          </cell>
        </row>
        <row r="2395">
          <cell r="U2395">
            <v>2026</v>
          </cell>
        </row>
        <row r="2396">
          <cell r="U2396">
            <v>2026</v>
          </cell>
        </row>
        <row r="2397">
          <cell r="U2397">
            <v>2026</v>
          </cell>
        </row>
        <row r="2398">
          <cell r="U2398">
            <v>2026</v>
          </cell>
        </row>
        <row r="2399">
          <cell r="U2399">
            <v>2026</v>
          </cell>
        </row>
        <row r="2400">
          <cell r="U2400">
            <v>2026</v>
          </cell>
        </row>
        <row r="2401">
          <cell r="U2401">
            <v>2026</v>
          </cell>
        </row>
        <row r="2402">
          <cell r="U2402">
            <v>2026</v>
          </cell>
        </row>
        <row r="2403">
          <cell r="U2403">
            <v>2026</v>
          </cell>
        </row>
        <row r="2404">
          <cell r="U2404">
            <v>2026</v>
          </cell>
        </row>
        <row r="2405">
          <cell r="U2405">
            <v>2026</v>
          </cell>
        </row>
        <row r="2406">
          <cell r="U2406">
            <v>2026</v>
          </cell>
        </row>
        <row r="2407">
          <cell r="U2407">
            <v>2026</v>
          </cell>
        </row>
        <row r="2408">
          <cell r="U2408">
            <v>2026</v>
          </cell>
        </row>
        <row r="2409">
          <cell r="U2409">
            <v>2026</v>
          </cell>
        </row>
        <row r="2410">
          <cell r="U2410">
            <v>2026</v>
          </cell>
        </row>
        <row r="2411">
          <cell r="U2411">
            <v>2026</v>
          </cell>
        </row>
        <row r="2412">
          <cell r="U2412">
            <v>2026</v>
          </cell>
        </row>
        <row r="2413">
          <cell r="U2413">
            <v>2026</v>
          </cell>
        </row>
        <row r="2414">
          <cell r="U2414">
            <v>2026</v>
          </cell>
        </row>
        <row r="2415">
          <cell r="U2415">
            <v>2026</v>
          </cell>
        </row>
        <row r="2416">
          <cell r="U2416">
            <v>2026</v>
          </cell>
        </row>
        <row r="2417">
          <cell r="U2417">
            <v>2026</v>
          </cell>
        </row>
        <row r="2418">
          <cell r="U2418">
            <v>2026</v>
          </cell>
        </row>
        <row r="2419">
          <cell r="U2419">
            <v>2026</v>
          </cell>
        </row>
        <row r="2420">
          <cell r="U2420">
            <v>2026</v>
          </cell>
        </row>
        <row r="2421">
          <cell r="U2421">
            <v>2026</v>
          </cell>
        </row>
        <row r="2422">
          <cell r="U2422">
            <v>2026</v>
          </cell>
        </row>
        <row r="2423">
          <cell r="U2423">
            <v>2026</v>
          </cell>
        </row>
        <row r="2424">
          <cell r="U2424">
            <v>2026</v>
          </cell>
        </row>
        <row r="2425">
          <cell r="U2425">
            <v>2026</v>
          </cell>
        </row>
        <row r="2426">
          <cell r="U2426">
            <v>2026</v>
          </cell>
        </row>
        <row r="2427">
          <cell r="U2427">
            <v>2026</v>
          </cell>
        </row>
        <row r="2428">
          <cell r="U2428">
            <v>2026</v>
          </cell>
        </row>
        <row r="2429">
          <cell r="U2429">
            <v>2026</v>
          </cell>
        </row>
        <row r="2430">
          <cell r="U2430">
            <v>2026</v>
          </cell>
        </row>
        <row r="2431">
          <cell r="U2431">
            <v>2026</v>
          </cell>
        </row>
        <row r="2432">
          <cell r="U2432">
            <v>2026</v>
          </cell>
        </row>
        <row r="2433">
          <cell r="U2433">
            <v>2026</v>
          </cell>
        </row>
        <row r="2434">
          <cell r="U2434">
            <v>2026</v>
          </cell>
        </row>
        <row r="2435">
          <cell r="U2435">
            <v>2026</v>
          </cell>
        </row>
        <row r="2436">
          <cell r="U2436">
            <v>2026</v>
          </cell>
        </row>
        <row r="2437">
          <cell r="U2437">
            <v>2026</v>
          </cell>
        </row>
        <row r="2438">
          <cell r="U2438">
            <v>2026</v>
          </cell>
        </row>
        <row r="2439">
          <cell r="U2439">
            <v>2026</v>
          </cell>
        </row>
        <row r="2440">
          <cell r="U2440">
            <v>2026</v>
          </cell>
        </row>
        <row r="2441">
          <cell r="U2441">
            <v>2026</v>
          </cell>
        </row>
        <row r="2442">
          <cell r="U2442">
            <v>2026</v>
          </cell>
        </row>
        <row r="2443">
          <cell r="U2443">
            <v>2026</v>
          </cell>
        </row>
        <row r="2444">
          <cell r="U2444">
            <v>2026</v>
          </cell>
        </row>
        <row r="2445">
          <cell r="U2445">
            <v>2026</v>
          </cell>
        </row>
        <row r="2446">
          <cell r="U2446">
            <v>2026</v>
          </cell>
        </row>
        <row r="2447">
          <cell r="U2447">
            <v>2026</v>
          </cell>
        </row>
        <row r="2448">
          <cell r="U2448">
            <v>2026</v>
          </cell>
        </row>
        <row r="2449">
          <cell r="U2449">
            <v>2026</v>
          </cell>
        </row>
        <row r="2450">
          <cell r="U2450">
            <v>2026</v>
          </cell>
        </row>
        <row r="2451">
          <cell r="U2451">
            <v>2026</v>
          </cell>
        </row>
        <row r="2452">
          <cell r="U2452">
            <v>2026</v>
          </cell>
        </row>
        <row r="2453">
          <cell r="U2453">
            <v>2026</v>
          </cell>
        </row>
        <row r="2454">
          <cell r="U2454">
            <v>2026</v>
          </cell>
        </row>
        <row r="2455">
          <cell r="U2455">
            <v>2026</v>
          </cell>
        </row>
        <row r="2456">
          <cell r="U2456">
            <v>2026</v>
          </cell>
        </row>
        <row r="2457">
          <cell r="U2457">
            <v>2026</v>
          </cell>
        </row>
        <row r="2458">
          <cell r="U2458">
            <v>2026</v>
          </cell>
        </row>
        <row r="2459">
          <cell r="U2459">
            <v>2026</v>
          </cell>
        </row>
        <row r="2460">
          <cell r="U2460">
            <v>2026</v>
          </cell>
        </row>
        <row r="2461">
          <cell r="U2461">
            <v>2026</v>
          </cell>
        </row>
        <row r="2462">
          <cell r="U2462">
            <v>2026</v>
          </cell>
        </row>
        <row r="2463">
          <cell r="U2463">
            <v>2026</v>
          </cell>
        </row>
        <row r="2464">
          <cell r="U2464">
            <v>2026</v>
          </cell>
        </row>
        <row r="2465">
          <cell r="U2465">
            <v>2026</v>
          </cell>
        </row>
        <row r="2466">
          <cell r="U2466">
            <v>2026</v>
          </cell>
        </row>
        <row r="2467">
          <cell r="U2467">
            <v>2026</v>
          </cell>
        </row>
        <row r="2468">
          <cell r="U2468">
            <v>2026</v>
          </cell>
        </row>
        <row r="2469">
          <cell r="U2469">
            <v>2026</v>
          </cell>
        </row>
        <row r="2470">
          <cell r="U2470">
            <v>2026</v>
          </cell>
        </row>
        <row r="2471">
          <cell r="U2471">
            <v>2026</v>
          </cell>
        </row>
        <row r="2472">
          <cell r="U2472">
            <v>2026</v>
          </cell>
        </row>
        <row r="2473">
          <cell r="U2473">
            <v>2026</v>
          </cell>
        </row>
        <row r="2474">
          <cell r="U2474">
            <v>2026</v>
          </cell>
        </row>
        <row r="2475">
          <cell r="U2475">
            <v>2026</v>
          </cell>
        </row>
        <row r="2476">
          <cell r="U2476">
            <v>2026</v>
          </cell>
        </row>
        <row r="2477">
          <cell r="U2477">
            <v>2026</v>
          </cell>
        </row>
        <row r="2478">
          <cell r="U2478">
            <v>2026</v>
          </cell>
        </row>
        <row r="2479">
          <cell r="U2479">
            <v>2026</v>
          </cell>
        </row>
        <row r="2480">
          <cell r="U2480">
            <v>2026</v>
          </cell>
        </row>
        <row r="2481">
          <cell r="U2481">
            <v>2026</v>
          </cell>
        </row>
        <row r="2482">
          <cell r="U2482">
            <v>2026</v>
          </cell>
        </row>
        <row r="2483">
          <cell r="U2483">
            <v>2026</v>
          </cell>
        </row>
        <row r="2484">
          <cell r="U2484">
            <v>2026</v>
          </cell>
        </row>
        <row r="2485">
          <cell r="U2485">
            <v>2026</v>
          </cell>
        </row>
        <row r="2486">
          <cell r="U2486">
            <v>2026</v>
          </cell>
        </row>
        <row r="2487">
          <cell r="U2487">
            <v>2026</v>
          </cell>
        </row>
        <row r="2488">
          <cell r="U2488">
            <v>2026</v>
          </cell>
        </row>
        <row r="2489">
          <cell r="U2489">
            <v>2026</v>
          </cell>
        </row>
        <row r="2490">
          <cell r="U2490">
            <v>2026</v>
          </cell>
        </row>
        <row r="2491">
          <cell r="U2491">
            <v>2026</v>
          </cell>
        </row>
        <row r="2492">
          <cell r="U2492">
            <v>2026</v>
          </cell>
        </row>
        <row r="2493">
          <cell r="U2493">
            <v>2026</v>
          </cell>
        </row>
        <row r="2494">
          <cell r="U2494">
            <v>2026</v>
          </cell>
        </row>
        <row r="2495">
          <cell r="U2495">
            <v>2026</v>
          </cell>
        </row>
        <row r="2496">
          <cell r="U2496">
            <v>2026</v>
          </cell>
        </row>
        <row r="2497">
          <cell r="U2497">
            <v>2026</v>
          </cell>
        </row>
        <row r="2498">
          <cell r="U2498">
            <v>2026</v>
          </cell>
        </row>
        <row r="2499">
          <cell r="U2499">
            <v>2026</v>
          </cell>
        </row>
        <row r="2500">
          <cell r="U2500">
            <v>2026</v>
          </cell>
        </row>
        <row r="2501">
          <cell r="U2501">
            <v>2026</v>
          </cell>
        </row>
        <row r="2502">
          <cell r="U2502">
            <v>2026</v>
          </cell>
        </row>
        <row r="2503">
          <cell r="U2503">
            <v>2026</v>
          </cell>
        </row>
        <row r="2504">
          <cell r="U2504">
            <v>2026</v>
          </cell>
        </row>
        <row r="2505">
          <cell r="U2505">
            <v>2026</v>
          </cell>
        </row>
        <row r="2506">
          <cell r="U2506">
            <v>2026</v>
          </cell>
        </row>
        <row r="2507">
          <cell r="U2507">
            <v>2026</v>
          </cell>
        </row>
        <row r="2508">
          <cell r="U2508">
            <v>2026</v>
          </cell>
        </row>
        <row r="2509">
          <cell r="U2509">
            <v>2026</v>
          </cell>
        </row>
        <row r="2510">
          <cell r="U2510">
            <v>2026</v>
          </cell>
        </row>
        <row r="2511">
          <cell r="U2511">
            <v>2026</v>
          </cell>
        </row>
        <row r="2512">
          <cell r="U2512">
            <v>2026</v>
          </cell>
        </row>
        <row r="2513">
          <cell r="U2513">
            <v>2026</v>
          </cell>
        </row>
        <row r="2514">
          <cell r="U2514">
            <v>2026</v>
          </cell>
        </row>
        <row r="2515">
          <cell r="U2515">
            <v>2026</v>
          </cell>
        </row>
        <row r="2516">
          <cell r="U2516">
            <v>2026</v>
          </cell>
        </row>
        <row r="2517">
          <cell r="U2517">
            <v>2026</v>
          </cell>
        </row>
        <row r="2518">
          <cell r="U2518">
            <v>2026</v>
          </cell>
        </row>
        <row r="2519">
          <cell r="U2519">
            <v>2026</v>
          </cell>
        </row>
        <row r="2520">
          <cell r="U2520">
            <v>2026</v>
          </cell>
        </row>
        <row r="2521">
          <cell r="U2521">
            <v>2026</v>
          </cell>
        </row>
        <row r="2522">
          <cell r="U2522">
            <v>2026</v>
          </cell>
        </row>
        <row r="2523">
          <cell r="U2523">
            <v>2026</v>
          </cell>
        </row>
        <row r="2524">
          <cell r="U2524">
            <v>2026</v>
          </cell>
        </row>
        <row r="2525">
          <cell r="U2525">
            <v>2026</v>
          </cell>
        </row>
        <row r="2526">
          <cell r="U2526">
            <v>2026</v>
          </cell>
        </row>
        <row r="2527">
          <cell r="U2527">
            <v>2026</v>
          </cell>
        </row>
        <row r="2528">
          <cell r="U2528">
            <v>2026</v>
          </cell>
        </row>
        <row r="2529">
          <cell r="U2529">
            <v>2026</v>
          </cell>
        </row>
        <row r="2530">
          <cell r="U2530">
            <v>2026</v>
          </cell>
        </row>
        <row r="2531">
          <cell r="U2531">
            <v>2026</v>
          </cell>
        </row>
        <row r="2532">
          <cell r="U2532">
            <v>2026</v>
          </cell>
        </row>
        <row r="2533">
          <cell r="U2533">
            <v>2026</v>
          </cell>
        </row>
        <row r="2534">
          <cell r="U2534">
            <v>2026</v>
          </cell>
        </row>
        <row r="2535">
          <cell r="U2535">
            <v>2026</v>
          </cell>
        </row>
        <row r="2536">
          <cell r="U2536">
            <v>2026</v>
          </cell>
        </row>
        <row r="2537">
          <cell r="U2537">
            <v>2026</v>
          </cell>
        </row>
        <row r="2538">
          <cell r="U2538">
            <v>2026</v>
          </cell>
        </row>
        <row r="2539">
          <cell r="U2539">
            <v>2026</v>
          </cell>
        </row>
        <row r="2540">
          <cell r="U2540">
            <v>2026</v>
          </cell>
        </row>
        <row r="2541">
          <cell r="U2541">
            <v>2026</v>
          </cell>
        </row>
        <row r="2542">
          <cell r="U2542">
            <v>2026</v>
          </cell>
        </row>
        <row r="2543">
          <cell r="U2543">
            <v>2026</v>
          </cell>
        </row>
        <row r="2544">
          <cell r="U2544">
            <v>2026</v>
          </cell>
        </row>
        <row r="2545">
          <cell r="U2545">
            <v>2026</v>
          </cell>
        </row>
        <row r="2546">
          <cell r="U2546">
            <v>2026</v>
          </cell>
        </row>
        <row r="2547">
          <cell r="U2547">
            <v>2026</v>
          </cell>
        </row>
        <row r="2548">
          <cell r="U2548">
            <v>2026</v>
          </cell>
        </row>
        <row r="2549">
          <cell r="U2549">
            <v>2026</v>
          </cell>
        </row>
        <row r="2550">
          <cell r="U2550">
            <v>2026</v>
          </cell>
        </row>
        <row r="2551">
          <cell r="U2551">
            <v>2026</v>
          </cell>
        </row>
        <row r="2552">
          <cell r="U2552">
            <v>2026</v>
          </cell>
        </row>
        <row r="2553">
          <cell r="U2553">
            <v>2026</v>
          </cell>
        </row>
        <row r="2554">
          <cell r="U2554">
            <v>2026</v>
          </cell>
        </row>
        <row r="2555">
          <cell r="U2555">
            <v>2026</v>
          </cell>
        </row>
        <row r="2556">
          <cell r="U2556">
            <v>2026</v>
          </cell>
        </row>
        <row r="2557">
          <cell r="U2557">
            <v>2026</v>
          </cell>
        </row>
        <row r="2558">
          <cell r="U2558">
            <v>2026</v>
          </cell>
        </row>
        <row r="2559">
          <cell r="U2559">
            <v>2026</v>
          </cell>
        </row>
        <row r="2560">
          <cell r="U2560">
            <v>2026</v>
          </cell>
        </row>
        <row r="2561">
          <cell r="U2561">
            <v>2026</v>
          </cell>
        </row>
        <row r="2562">
          <cell r="U2562">
            <v>2026</v>
          </cell>
        </row>
        <row r="2563">
          <cell r="U2563">
            <v>2026</v>
          </cell>
        </row>
        <row r="2564">
          <cell r="U2564">
            <v>2026</v>
          </cell>
        </row>
        <row r="2565">
          <cell r="U2565">
            <v>2026</v>
          </cell>
        </row>
        <row r="2566">
          <cell r="U2566">
            <v>2026</v>
          </cell>
        </row>
        <row r="2567">
          <cell r="U2567">
            <v>2026</v>
          </cell>
        </row>
        <row r="2568">
          <cell r="U2568">
            <v>2026</v>
          </cell>
        </row>
        <row r="2569">
          <cell r="U2569">
            <v>2026</v>
          </cell>
        </row>
        <row r="2570">
          <cell r="U2570">
            <v>2026</v>
          </cell>
        </row>
        <row r="2571">
          <cell r="U2571">
            <v>2026</v>
          </cell>
        </row>
        <row r="2572">
          <cell r="U2572">
            <v>2026</v>
          </cell>
        </row>
        <row r="2573">
          <cell r="U2573">
            <v>2026</v>
          </cell>
        </row>
        <row r="2574">
          <cell r="U2574">
            <v>2026</v>
          </cell>
        </row>
        <row r="2575">
          <cell r="U2575">
            <v>2026</v>
          </cell>
        </row>
        <row r="2576">
          <cell r="U2576">
            <v>2026</v>
          </cell>
        </row>
        <row r="2577">
          <cell r="U2577">
            <v>2026</v>
          </cell>
        </row>
        <row r="2578">
          <cell r="U2578">
            <v>2026</v>
          </cell>
        </row>
        <row r="2579">
          <cell r="U2579">
            <v>2026</v>
          </cell>
        </row>
        <row r="2580">
          <cell r="U2580">
            <v>2026</v>
          </cell>
        </row>
        <row r="2581">
          <cell r="U2581">
            <v>2026</v>
          </cell>
        </row>
        <row r="2582">
          <cell r="U2582">
            <v>2026</v>
          </cell>
        </row>
        <row r="2583">
          <cell r="U2583">
            <v>2026</v>
          </cell>
        </row>
        <row r="2584">
          <cell r="U2584">
            <v>2026</v>
          </cell>
        </row>
        <row r="2585">
          <cell r="U2585">
            <v>2026</v>
          </cell>
        </row>
        <row r="2586">
          <cell r="U2586">
            <v>2026</v>
          </cell>
        </row>
        <row r="2587">
          <cell r="U2587">
            <v>2026</v>
          </cell>
        </row>
        <row r="2588">
          <cell r="U2588">
            <v>2026</v>
          </cell>
        </row>
        <row r="2589">
          <cell r="U2589">
            <v>2026</v>
          </cell>
        </row>
        <row r="2590">
          <cell r="U2590">
            <v>2026</v>
          </cell>
        </row>
        <row r="2591">
          <cell r="U2591">
            <v>2026</v>
          </cell>
        </row>
        <row r="2592">
          <cell r="U2592">
            <v>2026</v>
          </cell>
        </row>
        <row r="2593">
          <cell r="U2593">
            <v>2026</v>
          </cell>
        </row>
        <row r="2594">
          <cell r="U2594">
            <v>2026</v>
          </cell>
        </row>
        <row r="2595">
          <cell r="U2595">
            <v>2026</v>
          </cell>
        </row>
        <row r="2596">
          <cell r="U2596">
            <v>2026</v>
          </cell>
        </row>
        <row r="2597">
          <cell r="U2597">
            <v>2026</v>
          </cell>
        </row>
        <row r="2598">
          <cell r="U2598">
            <v>2026</v>
          </cell>
        </row>
        <row r="2599">
          <cell r="U2599">
            <v>2026</v>
          </cell>
        </row>
        <row r="2600">
          <cell r="U2600">
            <v>2026</v>
          </cell>
        </row>
        <row r="2601">
          <cell r="U2601">
            <v>2026</v>
          </cell>
        </row>
        <row r="2602">
          <cell r="U2602">
            <v>2026</v>
          </cell>
        </row>
        <row r="2603">
          <cell r="U2603">
            <v>2026</v>
          </cell>
        </row>
        <row r="2604">
          <cell r="U2604">
            <v>2026</v>
          </cell>
        </row>
        <row r="2605">
          <cell r="U2605">
            <v>2026</v>
          </cell>
        </row>
        <row r="2606">
          <cell r="U2606">
            <v>2026</v>
          </cell>
        </row>
        <row r="2607">
          <cell r="U2607">
            <v>2026</v>
          </cell>
        </row>
        <row r="2608">
          <cell r="U2608">
            <v>2026</v>
          </cell>
        </row>
        <row r="2609">
          <cell r="U2609">
            <v>2026</v>
          </cell>
        </row>
        <row r="2610">
          <cell r="U2610">
            <v>2026</v>
          </cell>
        </row>
        <row r="2611">
          <cell r="U2611">
            <v>2026</v>
          </cell>
        </row>
        <row r="2612">
          <cell r="U2612">
            <v>2026</v>
          </cell>
        </row>
        <row r="2613">
          <cell r="U2613">
            <v>2026</v>
          </cell>
        </row>
        <row r="2614">
          <cell r="U2614">
            <v>2026</v>
          </cell>
        </row>
        <row r="2615">
          <cell r="U2615">
            <v>2026</v>
          </cell>
        </row>
        <row r="2616">
          <cell r="U2616">
            <v>2026</v>
          </cell>
        </row>
        <row r="2617">
          <cell r="U2617">
            <v>2026</v>
          </cell>
        </row>
        <row r="2618">
          <cell r="U2618">
            <v>2026</v>
          </cell>
        </row>
        <row r="2619">
          <cell r="U2619">
            <v>2026</v>
          </cell>
        </row>
        <row r="2620">
          <cell r="U2620">
            <v>2026</v>
          </cell>
        </row>
        <row r="2621">
          <cell r="U2621">
            <v>2026</v>
          </cell>
        </row>
        <row r="2622">
          <cell r="U2622">
            <v>2026</v>
          </cell>
        </row>
        <row r="2623">
          <cell r="U2623">
            <v>2026</v>
          </cell>
        </row>
        <row r="2624">
          <cell r="U2624">
            <v>2026</v>
          </cell>
        </row>
        <row r="2625">
          <cell r="U2625">
            <v>2026</v>
          </cell>
        </row>
        <row r="2626">
          <cell r="U2626">
            <v>2026</v>
          </cell>
        </row>
        <row r="2627">
          <cell r="U2627">
            <v>2026</v>
          </cell>
        </row>
        <row r="2628">
          <cell r="U2628">
            <v>2026</v>
          </cell>
        </row>
        <row r="2629">
          <cell r="U2629">
            <v>2026</v>
          </cell>
        </row>
        <row r="2630">
          <cell r="U2630">
            <v>2026</v>
          </cell>
        </row>
        <row r="2631">
          <cell r="U2631">
            <v>2026</v>
          </cell>
        </row>
        <row r="2632">
          <cell r="U2632">
            <v>2026</v>
          </cell>
        </row>
        <row r="2633">
          <cell r="U2633">
            <v>2026</v>
          </cell>
        </row>
        <row r="2634">
          <cell r="U2634">
            <v>2026</v>
          </cell>
        </row>
        <row r="2635">
          <cell r="U2635">
            <v>2026</v>
          </cell>
        </row>
        <row r="2636">
          <cell r="U2636">
            <v>2026</v>
          </cell>
        </row>
        <row r="2637">
          <cell r="U2637">
            <v>2026</v>
          </cell>
        </row>
        <row r="2638">
          <cell r="U2638">
            <v>2026</v>
          </cell>
        </row>
        <row r="2639">
          <cell r="U2639">
            <v>2026</v>
          </cell>
        </row>
        <row r="2640">
          <cell r="U2640">
            <v>2026</v>
          </cell>
        </row>
        <row r="2641">
          <cell r="U2641" t="str">
            <v>Ppto 2026</v>
          </cell>
        </row>
        <row r="2642">
          <cell r="U2642" t="str">
            <v>Ppto 2026</v>
          </cell>
        </row>
        <row r="2643">
          <cell r="U2643" t="str">
            <v>Ppto 2026</v>
          </cell>
        </row>
        <row r="2644">
          <cell r="U2644" t="str">
            <v>Ppto 2026</v>
          </cell>
        </row>
        <row r="2645">
          <cell r="U2645" t="str">
            <v>Ppto 2026</v>
          </cell>
        </row>
        <row r="2646">
          <cell r="U2646" t="str">
            <v>Ppto 2026</v>
          </cell>
        </row>
        <row r="2647">
          <cell r="U2647" t="str">
            <v>Ppto 2026</v>
          </cell>
        </row>
        <row r="2648">
          <cell r="U2648" t="str">
            <v>Ppto 2026</v>
          </cell>
        </row>
        <row r="2649">
          <cell r="U2649" t="str">
            <v>Ppto 2026</v>
          </cell>
        </row>
        <row r="2650">
          <cell r="U2650" t="str">
            <v>Ppto 2026</v>
          </cell>
        </row>
        <row r="2651">
          <cell r="U2651" t="str">
            <v>Ppto 2026</v>
          </cell>
        </row>
        <row r="2652">
          <cell r="U2652" t="str">
            <v>Ppto 2026</v>
          </cell>
        </row>
        <row r="2653">
          <cell r="U2653" t="str">
            <v>Ppto 2026</v>
          </cell>
        </row>
        <row r="2654">
          <cell r="U2654" t="str">
            <v>Ppto 2026</v>
          </cell>
        </row>
        <row r="2655">
          <cell r="U2655" t="str">
            <v>Ppto 2026</v>
          </cell>
        </row>
        <row r="2656">
          <cell r="U2656" t="str">
            <v>Ppto 2026</v>
          </cell>
        </row>
        <row r="2657">
          <cell r="U2657" t="str">
            <v>Ppto 2026</v>
          </cell>
        </row>
        <row r="2658">
          <cell r="U2658" t="str">
            <v>Ppto 2026</v>
          </cell>
        </row>
        <row r="2659">
          <cell r="U2659" t="str">
            <v>Ppto 2026</v>
          </cell>
        </row>
        <row r="2660">
          <cell r="U2660" t="str">
            <v>Ppto 2026</v>
          </cell>
        </row>
        <row r="2661">
          <cell r="U2661" t="str">
            <v>Ppto 2026</v>
          </cell>
        </row>
        <row r="2662">
          <cell r="U2662" t="str">
            <v>Ppto 2026</v>
          </cell>
        </row>
        <row r="2663">
          <cell r="U2663" t="str">
            <v>Ppto 2026</v>
          </cell>
        </row>
        <row r="2664">
          <cell r="U2664" t="str">
            <v>Ppto 2026</v>
          </cell>
        </row>
        <row r="2665">
          <cell r="U2665" t="str">
            <v>Ppto 2026</v>
          </cell>
        </row>
        <row r="2666">
          <cell r="U2666" t="str">
            <v>Ppto 2026</v>
          </cell>
        </row>
        <row r="2667">
          <cell r="U2667" t="str">
            <v>Ppto 2026</v>
          </cell>
        </row>
        <row r="2668">
          <cell r="U2668" t="str">
            <v>Ppto 2026</v>
          </cell>
        </row>
        <row r="2669">
          <cell r="U2669" t="str">
            <v>Ppto 2026</v>
          </cell>
        </row>
        <row r="2670">
          <cell r="U2670" t="str">
            <v>Ppto 2026</v>
          </cell>
        </row>
        <row r="2671">
          <cell r="U2671" t="str">
            <v>Ppto 2026</v>
          </cell>
        </row>
        <row r="2672">
          <cell r="U2672" t="str">
            <v>Ppto 2026</v>
          </cell>
        </row>
        <row r="2673">
          <cell r="U2673" t="str">
            <v>Ppto 2026</v>
          </cell>
        </row>
        <row r="2674">
          <cell r="U2674" t="str">
            <v>Ppto 2026</v>
          </cell>
        </row>
        <row r="2675">
          <cell r="U2675" t="str">
            <v>Ppto 2026</v>
          </cell>
        </row>
        <row r="2676">
          <cell r="U2676" t="str">
            <v>Ppto 2026</v>
          </cell>
        </row>
        <row r="2677">
          <cell r="U2677" t="str">
            <v>Ppto 2026</v>
          </cell>
        </row>
        <row r="2678">
          <cell r="U2678" t="str">
            <v>Ppto 2026</v>
          </cell>
        </row>
        <row r="2679">
          <cell r="U2679" t="str">
            <v>Ppto 2026</v>
          </cell>
        </row>
        <row r="2680">
          <cell r="U2680" t="str">
            <v>Ppto 2026</v>
          </cell>
        </row>
        <row r="2681">
          <cell r="U2681" t="str">
            <v>Ppto 2026</v>
          </cell>
        </row>
        <row r="2682">
          <cell r="U2682" t="str">
            <v>Ppto 2026</v>
          </cell>
        </row>
        <row r="2683">
          <cell r="U2683" t="str">
            <v>Ppto 2026</v>
          </cell>
        </row>
        <row r="2684">
          <cell r="U2684" t="str">
            <v>Ppto 2026</v>
          </cell>
        </row>
        <row r="2685">
          <cell r="U2685" t="str">
            <v>Ppto 2026</v>
          </cell>
        </row>
        <row r="2686">
          <cell r="U2686" t="str">
            <v>Ppto 2026</v>
          </cell>
        </row>
        <row r="2687">
          <cell r="U2687" t="str">
            <v>Ppto 2026</v>
          </cell>
        </row>
        <row r="2688">
          <cell r="U2688" t="str">
            <v>Ppto 2026</v>
          </cell>
        </row>
        <row r="2689">
          <cell r="U2689" t="str">
            <v>Ppto 2026</v>
          </cell>
        </row>
        <row r="2690">
          <cell r="U2690" t="str">
            <v>Ppto 2026</v>
          </cell>
        </row>
        <row r="2691">
          <cell r="U2691" t="str">
            <v>Ppto 2026</v>
          </cell>
        </row>
        <row r="2692">
          <cell r="U2692" t="str">
            <v>Ppto 2026</v>
          </cell>
        </row>
        <row r="2693">
          <cell r="U2693" t="str">
            <v>Ppto 2026</v>
          </cell>
        </row>
        <row r="2694">
          <cell r="U2694" t="str">
            <v>Ppto 2026</v>
          </cell>
        </row>
        <row r="2695">
          <cell r="U2695" t="str">
            <v>Ppto 2026</v>
          </cell>
        </row>
        <row r="2696">
          <cell r="U2696" t="str">
            <v>Ppto 2026</v>
          </cell>
        </row>
        <row r="2697">
          <cell r="U2697" t="str">
            <v>Ppto 2026</v>
          </cell>
        </row>
        <row r="2698">
          <cell r="U2698" t="str">
            <v>Ppto 2026</v>
          </cell>
        </row>
        <row r="2699">
          <cell r="U2699" t="str">
            <v>Ppto 2026</v>
          </cell>
        </row>
        <row r="2700">
          <cell r="U2700" t="str">
            <v>Ppto 2026</v>
          </cell>
        </row>
        <row r="2701">
          <cell r="U2701" t="str">
            <v>Ppto 2026</v>
          </cell>
        </row>
        <row r="2702">
          <cell r="U2702" t="str">
            <v>Ppto 2026</v>
          </cell>
        </row>
        <row r="2703">
          <cell r="U2703" t="str">
            <v>Ppto 2026</v>
          </cell>
        </row>
        <row r="2704">
          <cell r="U2704" t="str">
            <v>Ppto 2026</v>
          </cell>
        </row>
        <row r="2705">
          <cell r="U2705" t="str">
            <v>Ppto 2026</v>
          </cell>
        </row>
        <row r="2706">
          <cell r="U2706" t="str">
            <v>Ppto 2026</v>
          </cell>
        </row>
        <row r="2707">
          <cell r="U2707" t="str">
            <v>Ppto 2026</v>
          </cell>
        </row>
        <row r="2708">
          <cell r="U2708" t="str">
            <v>Ppto 2026</v>
          </cell>
        </row>
        <row r="2709">
          <cell r="U2709" t="str">
            <v>Ppto 2026</v>
          </cell>
        </row>
        <row r="2710">
          <cell r="U2710" t="str">
            <v>Ppto 2026</v>
          </cell>
        </row>
        <row r="2711">
          <cell r="U2711" t="str">
            <v>Ppto 2026</v>
          </cell>
        </row>
        <row r="2712">
          <cell r="U2712" t="str">
            <v>Ppto 2026</v>
          </cell>
        </row>
        <row r="2713">
          <cell r="U2713" t="str">
            <v>Ppto 2026</v>
          </cell>
        </row>
        <row r="2714">
          <cell r="U2714" t="str">
            <v>Ppto 2026</v>
          </cell>
        </row>
        <row r="2715">
          <cell r="U2715" t="str">
            <v>Ppto 2026</v>
          </cell>
        </row>
        <row r="2716">
          <cell r="U2716" t="str">
            <v>Ppto 2026</v>
          </cell>
        </row>
        <row r="2717">
          <cell r="U2717" t="str">
            <v>Ppto 2026</v>
          </cell>
        </row>
        <row r="2718">
          <cell r="U2718" t="str">
            <v>Ppto 2026</v>
          </cell>
        </row>
        <row r="2719">
          <cell r="U2719" t="str">
            <v>Ppto 2026</v>
          </cell>
        </row>
        <row r="2720">
          <cell r="U2720" t="str">
            <v>Ppto 2026</v>
          </cell>
        </row>
        <row r="2721">
          <cell r="U2721" t="str">
            <v>Ppto 2026</v>
          </cell>
        </row>
        <row r="2722">
          <cell r="U2722" t="str">
            <v>Ppto 2026</v>
          </cell>
        </row>
        <row r="2723">
          <cell r="U2723" t="str">
            <v>Ppto 2026</v>
          </cell>
        </row>
        <row r="2724">
          <cell r="U2724" t="str">
            <v>Ppto 2026</v>
          </cell>
        </row>
        <row r="2725">
          <cell r="U2725" t="str">
            <v>Ppto 2026</v>
          </cell>
        </row>
        <row r="2726">
          <cell r="U2726" t="str">
            <v>Ppto 2026</v>
          </cell>
        </row>
        <row r="2727">
          <cell r="U2727" t="str">
            <v>Ppto 2026</v>
          </cell>
        </row>
        <row r="2728">
          <cell r="U2728" t="str">
            <v>Ppto 2026</v>
          </cell>
        </row>
        <row r="2729">
          <cell r="U2729" t="str">
            <v>Ppto 2026</v>
          </cell>
        </row>
        <row r="2730">
          <cell r="U2730" t="str">
            <v>Ppto 2026</v>
          </cell>
        </row>
        <row r="2731">
          <cell r="U2731" t="str">
            <v>Ppto 2026</v>
          </cell>
        </row>
        <row r="2732">
          <cell r="U2732" t="str">
            <v>Ppto 2026</v>
          </cell>
        </row>
        <row r="2733">
          <cell r="U2733" t="str">
            <v>Ppto 2026</v>
          </cell>
        </row>
        <row r="2734">
          <cell r="U2734" t="str">
            <v>Ppto 2026</v>
          </cell>
        </row>
        <row r="2735">
          <cell r="U2735" t="str">
            <v>Ppto 2026</v>
          </cell>
        </row>
        <row r="2736">
          <cell r="U2736" t="str">
            <v>Ppto 2026</v>
          </cell>
        </row>
        <row r="2737">
          <cell r="U2737" t="str">
            <v>Ppto 2026</v>
          </cell>
        </row>
        <row r="2738">
          <cell r="U2738" t="str">
            <v>Ppto 2026</v>
          </cell>
        </row>
        <row r="2739">
          <cell r="U2739" t="str">
            <v>Ppto 2026</v>
          </cell>
        </row>
        <row r="2740">
          <cell r="U2740" t="str">
            <v>Ppto 2026</v>
          </cell>
        </row>
        <row r="2741">
          <cell r="U2741" t="str">
            <v>Ppto 2026</v>
          </cell>
        </row>
        <row r="2742">
          <cell r="U2742" t="str">
            <v>Ppto 2026</v>
          </cell>
        </row>
        <row r="2743">
          <cell r="U2743" t="str">
            <v>Ppto 2026</v>
          </cell>
        </row>
        <row r="2744">
          <cell r="U2744" t="str">
            <v>Ppto 2026</v>
          </cell>
        </row>
        <row r="2745">
          <cell r="U2745" t="str">
            <v>Ppto 2026</v>
          </cell>
        </row>
        <row r="2746">
          <cell r="U2746" t="str">
            <v>Ppto 2026</v>
          </cell>
        </row>
        <row r="2747">
          <cell r="U2747" t="str">
            <v>Ppto 2026</v>
          </cell>
        </row>
        <row r="2748">
          <cell r="U2748" t="str">
            <v>Ppto 2026</v>
          </cell>
        </row>
        <row r="2749">
          <cell r="U2749" t="str">
            <v>Ppto 2026</v>
          </cell>
        </row>
        <row r="2750">
          <cell r="U2750" t="str">
            <v>Ppto 2026</v>
          </cell>
        </row>
        <row r="2751">
          <cell r="U2751" t="str">
            <v>Ppto 2026</v>
          </cell>
        </row>
        <row r="2752">
          <cell r="U2752" t="str">
            <v>Ppto 2026</v>
          </cell>
        </row>
        <row r="2753">
          <cell r="U2753" t="str">
            <v>Ppto 2026</v>
          </cell>
        </row>
        <row r="2754">
          <cell r="U2754" t="str">
            <v>Ppto 2026</v>
          </cell>
        </row>
        <row r="2755">
          <cell r="U2755" t="str">
            <v>Ppto 2026</v>
          </cell>
        </row>
        <row r="2756">
          <cell r="U2756" t="str">
            <v>Ppto 2026</v>
          </cell>
        </row>
        <row r="2757">
          <cell r="U2757" t="str">
            <v>Ppto 2026</v>
          </cell>
        </row>
        <row r="2758">
          <cell r="U2758" t="str">
            <v>Ppto 2026</v>
          </cell>
        </row>
        <row r="2759">
          <cell r="U2759" t="str">
            <v>Ppto 2026</v>
          </cell>
        </row>
        <row r="2760">
          <cell r="U2760" t="str">
            <v>Ppto 2026</v>
          </cell>
        </row>
        <row r="2761">
          <cell r="U2761" t="str">
            <v>Ppto 2026</v>
          </cell>
        </row>
        <row r="2762">
          <cell r="U2762" t="str">
            <v>Ppto 2026</v>
          </cell>
        </row>
        <row r="2763">
          <cell r="U2763" t="str">
            <v>Ppto 2026</v>
          </cell>
        </row>
        <row r="2764">
          <cell r="U2764" t="str">
            <v>Ppto 2026</v>
          </cell>
        </row>
        <row r="2765">
          <cell r="U2765" t="str">
            <v>Ppto 2026</v>
          </cell>
        </row>
        <row r="2766">
          <cell r="U2766" t="str">
            <v>Ppto 2026</v>
          </cell>
        </row>
        <row r="2767">
          <cell r="U2767" t="str">
            <v>Ppto 2026</v>
          </cell>
        </row>
        <row r="2768">
          <cell r="U2768" t="str">
            <v>Ppto 2026</v>
          </cell>
        </row>
        <row r="2769">
          <cell r="U2769" t="str">
            <v>Ppto 2026</v>
          </cell>
        </row>
        <row r="2770">
          <cell r="U2770" t="str">
            <v>Ppto 2026</v>
          </cell>
        </row>
        <row r="2771">
          <cell r="U2771" t="str">
            <v>Ppto 2026</v>
          </cell>
        </row>
        <row r="2772">
          <cell r="U2772" t="str">
            <v>Ppto 2026</v>
          </cell>
        </row>
        <row r="2773">
          <cell r="U2773" t="str">
            <v>Ppto 2026</v>
          </cell>
        </row>
        <row r="2774">
          <cell r="U2774" t="str">
            <v>Ppto 2026</v>
          </cell>
        </row>
        <row r="2775">
          <cell r="U2775" t="str">
            <v>Ppto 2026</v>
          </cell>
        </row>
        <row r="2776">
          <cell r="U2776" t="str">
            <v>Ppto 2026</v>
          </cell>
        </row>
        <row r="2777">
          <cell r="U2777" t="str">
            <v>Ppto 2026</v>
          </cell>
        </row>
        <row r="2778">
          <cell r="U2778" t="str">
            <v>Ppto 2026</v>
          </cell>
        </row>
        <row r="2779">
          <cell r="U2779" t="str">
            <v>Ppto 2026</v>
          </cell>
        </row>
        <row r="2780">
          <cell r="U2780" t="str">
            <v>Ppto 2026</v>
          </cell>
        </row>
        <row r="2781">
          <cell r="U2781" t="str">
            <v>Ppto 2026</v>
          </cell>
        </row>
        <row r="2782">
          <cell r="U2782" t="str">
            <v>Ppto 2026</v>
          </cell>
        </row>
        <row r="2783">
          <cell r="U2783" t="str">
            <v>Ppto 2026</v>
          </cell>
        </row>
        <row r="2784">
          <cell r="U2784" t="str">
            <v>Ppto 2026</v>
          </cell>
        </row>
        <row r="2785">
          <cell r="U2785" t="str">
            <v>Ppto 2026</v>
          </cell>
        </row>
        <row r="2786">
          <cell r="U2786" t="str">
            <v>Ppto 2026</v>
          </cell>
        </row>
        <row r="2787">
          <cell r="U2787" t="str">
            <v>Ppto 2026</v>
          </cell>
        </row>
        <row r="2788">
          <cell r="U2788" t="str">
            <v>Ppto 2026</v>
          </cell>
        </row>
        <row r="2789">
          <cell r="U2789" t="str">
            <v>Ppto 2026</v>
          </cell>
        </row>
        <row r="2790">
          <cell r="U2790" t="str">
            <v>Ppto 2026</v>
          </cell>
        </row>
        <row r="2791">
          <cell r="U2791" t="str">
            <v>Ppto 2026</v>
          </cell>
        </row>
        <row r="2792">
          <cell r="U2792" t="str">
            <v>Ppto 2026</v>
          </cell>
        </row>
        <row r="2793">
          <cell r="U2793" t="str">
            <v>Ppto 2026</v>
          </cell>
        </row>
        <row r="2794">
          <cell r="U2794" t="str">
            <v>Ppto 2026</v>
          </cell>
        </row>
        <row r="2795">
          <cell r="U2795" t="str">
            <v>Ppto 2026</v>
          </cell>
        </row>
        <row r="2796">
          <cell r="U2796" t="str">
            <v>Ppto 2026</v>
          </cell>
        </row>
        <row r="2797">
          <cell r="U2797" t="str">
            <v>Ppto 2026</v>
          </cell>
        </row>
        <row r="2798">
          <cell r="U2798" t="str">
            <v>Ppto 2026</v>
          </cell>
        </row>
        <row r="2799">
          <cell r="U2799" t="str">
            <v>Ppto 2026</v>
          </cell>
        </row>
        <row r="2800">
          <cell r="U2800" t="str">
            <v>Ppto 2026</v>
          </cell>
        </row>
        <row r="2801">
          <cell r="U2801" t="str">
            <v>Ppto 2026</v>
          </cell>
        </row>
        <row r="2802">
          <cell r="U2802" t="str">
            <v>Ppto 2026</v>
          </cell>
        </row>
        <row r="2803">
          <cell r="U2803" t="str">
            <v>Ppto 2026</v>
          </cell>
        </row>
        <row r="2804">
          <cell r="U2804" t="str">
            <v>Ppto 2026</v>
          </cell>
        </row>
        <row r="2805">
          <cell r="U2805" t="str">
            <v>Ppto 2026</v>
          </cell>
        </row>
        <row r="2806">
          <cell r="U2806" t="str">
            <v>Ppto 2026</v>
          </cell>
        </row>
        <row r="2807">
          <cell r="U2807" t="str">
            <v>Ppto 2026</v>
          </cell>
        </row>
        <row r="2808">
          <cell r="U2808" t="str">
            <v>Ppto 2026</v>
          </cell>
        </row>
        <row r="2809">
          <cell r="U2809" t="str">
            <v>Ppto 2026</v>
          </cell>
        </row>
        <row r="2810">
          <cell r="U2810" t="str">
            <v>Ppto 2026</v>
          </cell>
        </row>
        <row r="2811">
          <cell r="U2811" t="str">
            <v>Ppto 2026</v>
          </cell>
        </row>
        <row r="2812">
          <cell r="U2812" t="str">
            <v>Ppto 2026</v>
          </cell>
        </row>
        <row r="2813">
          <cell r="U2813" t="str">
            <v>Ppto 2026</v>
          </cell>
        </row>
        <row r="2814">
          <cell r="U2814" t="str">
            <v>Ppto 2026</v>
          </cell>
        </row>
        <row r="2815">
          <cell r="U2815" t="str">
            <v>Ppto 2026</v>
          </cell>
        </row>
        <row r="2816">
          <cell r="U2816" t="str">
            <v>Ppto 2026</v>
          </cell>
        </row>
        <row r="2817">
          <cell r="U2817" t="str">
            <v>Ppto 2026</v>
          </cell>
        </row>
        <row r="2818">
          <cell r="U2818" t="str">
            <v>Ppto 2026</v>
          </cell>
        </row>
        <row r="2819">
          <cell r="U2819" t="str">
            <v>Ppto 2026</v>
          </cell>
        </row>
        <row r="2820">
          <cell r="U2820" t="str">
            <v>Ppto 2026</v>
          </cell>
        </row>
        <row r="2821">
          <cell r="U2821" t="str">
            <v>Ppto 2026</v>
          </cell>
        </row>
        <row r="2822">
          <cell r="U2822" t="str">
            <v>Ppto 2026</v>
          </cell>
        </row>
        <row r="2823">
          <cell r="U2823" t="str">
            <v>Ppto 2026</v>
          </cell>
        </row>
        <row r="2824">
          <cell r="U2824" t="str">
            <v>Ppto 2026</v>
          </cell>
        </row>
        <row r="2825">
          <cell r="U2825" t="str">
            <v>Ppto 2026</v>
          </cell>
        </row>
        <row r="2826">
          <cell r="U2826" t="str">
            <v>Ppto 2026</v>
          </cell>
        </row>
        <row r="2827">
          <cell r="U2827" t="str">
            <v>Ppto 2026</v>
          </cell>
        </row>
        <row r="2828">
          <cell r="U2828" t="str">
            <v>Ppto 2026</v>
          </cell>
        </row>
        <row r="2829">
          <cell r="U2829" t="str">
            <v>Ppto 2026</v>
          </cell>
        </row>
        <row r="2830">
          <cell r="U2830" t="str">
            <v>Ppto 2026</v>
          </cell>
        </row>
        <row r="2831">
          <cell r="U2831" t="str">
            <v>Ppto 2026</v>
          </cell>
        </row>
        <row r="2832">
          <cell r="U2832" t="str">
            <v>Ppto 2026</v>
          </cell>
        </row>
        <row r="2833">
          <cell r="U2833" t="str">
            <v>Ppto 2026</v>
          </cell>
        </row>
        <row r="2834">
          <cell r="U2834" t="str">
            <v>Ppto 2026</v>
          </cell>
        </row>
        <row r="2835">
          <cell r="U2835" t="str">
            <v>Ppto 2026</v>
          </cell>
        </row>
        <row r="2836">
          <cell r="U2836" t="str">
            <v>Ppto 2026</v>
          </cell>
        </row>
        <row r="2837">
          <cell r="U2837" t="str">
            <v>Ppto 2026</v>
          </cell>
        </row>
        <row r="2838">
          <cell r="U2838" t="str">
            <v>Ppto 2026</v>
          </cell>
        </row>
        <row r="2839">
          <cell r="U2839" t="str">
            <v>Ppto 2026</v>
          </cell>
        </row>
        <row r="2840">
          <cell r="U2840" t="str">
            <v>Ppto 2026</v>
          </cell>
        </row>
        <row r="2841">
          <cell r="U2841" t="str">
            <v>Ppto 2026</v>
          </cell>
        </row>
        <row r="2842">
          <cell r="U2842" t="str">
            <v>Ppto 2026</v>
          </cell>
        </row>
        <row r="2843">
          <cell r="U2843" t="str">
            <v>Ppto 2026</v>
          </cell>
        </row>
        <row r="2844">
          <cell r="U2844" t="str">
            <v>Ppto 2026</v>
          </cell>
        </row>
        <row r="2845">
          <cell r="U2845" t="str">
            <v>Ppto 2026</v>
          </cell>
        </row>
        <row r="2846">
          <cell r="U2846" t="str">
            <v>Ppto 2026</v>
          </cell>
        </row>
        <row r="2847">
          <cell r="U2847" t="str">
            <v>Ppto 2026</v>
          </cell>
        </row>
        <row r="2848">
          <cell r="U2848" t="str">
            <v>Ppto 2026</v>
          </cell>
        </row>
        <row r="2849">
          <cell r="U2849" t="str">
            <v>Ppto 2026</v>
          </cell>
        </row>
        <row r="2850">
          <cell r="U2850" t="str">
            <v>Ppto 2026</v>
          </cell>
        </row>
        <row r="2851">
          <cell r="U2851" t="str">
            <v>Ppto 2026</v>
          </cell>
        </row>
        <row r="2852">
          <cell r="U2852" t="str">
            <v>Ppto 2026</v>
          </cell>
        </row>
        <row r="2853">
          <cell r="U2853" t="str">
            <v>Ppto 2026</v>
          </cell>
        </row>
        <row r="2854">
          <cell r="U2854" t="str">
            <v>Ppto 2026</v>
          </cell>
        </row>
        <row r="2855">
          <cell r="U2855" t="str">
            <v>Ppto 2026</v>
          </cell>
        </row>
        <row r="2856">
          <cell r="U2856" t="str">
            <v>Ppto 2026</v>
          </cell>
        </row>
        <row r="2857">
          <cell r="U2857" t="str">
            <v>Ppto 2026</v>
          </cell>
        </row>
        <row r="2858">
          <cell r="U2858" t="str">
            <v>Ppto 2026</v>
          </cell>
        </row>
        <row r="2859">
          <cell r="U2859" t="str">
            <v>Ppto 2026</v>
          </cell>
        </row>
        <row r="2860">
          <cell r="U2860" t="str">
            <v>Ppto 2026</v>
          </cell>
        </row>
        <row r="2861">
          <cell r="U2861" t="str">
            <v>Ppto 2026</v>
          </cell>
        </row>
        <row r="2862">
          <cell r="U2862" t="str">
            <v>Ppto 2026</v>
          </cell>
        </row>
        <row r="2863">
          <cell r="U2863" t="str">
            <v>Ppto 2026</v>
          </cell>
        </row>
        <row r="2864">
          <cell r="U2864" t="str">
            <v>Ppto 2026</v>
          </cell>
        </row>
        <row r="2865">
          <cell r="U2865" t="str">
            <v>Ppto 2026</v>
          </cell>
        </row>
        <row r="2866">
          <cell r="U2866" t="str">
            <v>Ppto 2026</v>
          </cell>
        </row>
        <row r="2867">
          <cell r="U2867" t="str">
            <v>Ppto 2026</v>
          </cell>
        </row>
        <row r="2868">
          <cell r="U2868" t="str">
            <v>Ppto 2026</v>
          </cell>
        </row>
        <row r="2869">
          <cell r="U2869" t="str">
            <v>Ppto 2026</v>
          </cell>
        </row>
        <row r="2870">
          <cell r="U2870" t="str">
            <v>Ppto 2026</v>
          </cell>
        </row>
        <row r="2871">
          <cell r="U2871" t="str">
            <v>Ppto 2026</v>
          </cell>
        </row>
        <row r="2872">
          <cell r="U2872" t="str">
            <v>Ppto 2026</v>
          </cell>
        </row>
        <row r="2873">
          <cell r="U2873" t="str">
            <v>Ppto 2026</v>
          </cell>
        </row>
        <row r="2874">
          <cell r="U2874" t="str">
            <v>Ppto 2026</v>
          </cell>
        </row>
        <row r="2875">
          <cell r="U2875" t="str">
            <v>Ppto 2026</v>
          </cell>
        </row>
        <row r="2876">
          <cell r="U2876" t="str">
            <v>Ppto 2026</v>
          </cell>
        </row>
        <row r="2877">
          <cell r="U2877" t="str">
            <v>Ppto 2026</v>
          </cell>
        </row>
        <row r="2878">
          <cell r="U2878" t="str">
            <v>Ppto 2026</v>
          </cell>
        </row>
        <row r="2879">
          <cell r="U2879" t="str">
            <v>Ppto 2026</v>
          </cell>
        </row>
        <row r="2880">
          <cell r="U2880" t="str">
            <v>Ppto 2026</v>
          </cell>
        </row>
        <row r="2881">
          <cell r="U2881" t="str">
            <v>Ppto 2026</v>
          </cell>
        </row>
        <row r="2882">
          <cell r="U2882" t="str">
            <v>Ppto 2026</v>
          </cell>
        </row>
        <row r="2883">
          <cell r="U2883" t="str">
            <v>Ppto 2026</v>
          </cell>
        </row>
        <row r="2884">
          <cell r="U2884" t="str">
            <v>Ppto 2026</v>
          </cell>
        </row>
        <row r="2885">
          <cell r="U2885" t="str">
            <v>Ppto 2026</v>
          </cell>
        </row>
        <row r="2886">
          <cell r="U2886" t="str">
            <v>Ppto 2026</v>
          </cell>
        </row>
        <row r="2887">
          <cell r="U2887" t="str">
            <v>Ppto 2026</v>
          </cell>
        </row>
        <row r="2888">
          <cell r="U2888" t="str">
            <v>Ppto 2026</v>
          </cell>
        </row>
        <row r="2889">
          <cell r="U2889" t="str">
            <v>Ppto 2026</v>
          </cell>
        </row>
        <row r="2890">
          <cell r="U2890" t="str">
            <v>Ppto 2026</v>
          </cell>
        </row>
        <row r="2891">
          <cell r="U2891" t="str">
            <v>Ppto 2026</v>
          </cell>
        </row>
        <row r="2892">
          <cell r="U2892" t="str">
            <v>Ppto 2026</v>
          </cell>
        </row>
        <row r="2893">
          <cell r="U2893" t="str">
            <v>Ppto 2026</v>
          </cell>
        </row>
        <row r="2894">
          <cell r="U2894" t="str">
            <v>Ppto 2026</v>
          </cell>
        </row>
        <row r="2895">
          <cell r="U2895" t="str">
            <v>Ppto 2026</v>
          </cell>
        </row>
        <row r="2896">
          <cell r="U2896" t="str">
            <v>Ppto 2026</v>
          </cell>
        </row>
        <row r="2897">
          <cell r="U2897" t="str">
            <v>Ppto 2026</v>
          </cell>
        </row>
        <row r="2898">
          <cell r="U2898" t="str">
            <v>Ppto 2026</v>
          </cell>
        </row>
        <row r="2899">
          <cell r="U2899" t="str">
            <v>Ppto 2026</v>
          </cell>
        </row>
        <row r="2900">
          <cell r="U2900" t="str">
            <v>Ppto 2026</v>
          </cell>
        </row>
        <row r="2901">
          <cell r="U2901" t="str">
            <v>Ppto 2026</v>
          </cell>
        </row>
        <row r="2902">
          <cell r="U2902" t="str">
            <v>Ppto 2026</v>
          </cell>
        </row>
        <row r="2903">
          <cell r="U2903" t="str">
            <v>Ppto 2026</v>
          </cell>
        </row>
        <row r="2904">
          <cell r="U2904" t="str">
            <v>Ppto 2026</v>
          </cell>
        </row>
        <row r="2905">
          <cell r="U2905" t="str">
            <v>Ppto 2026</v>
          </cell>
        </row>
        <row r="2906">
          <cell r="U2906" t="str">
            <v>Ppto 2026</v>
          </cell>
        </row>
        <row r="2907">
          <cell r="U2907" t="str">
            <v>Ppto 2026</v>
          </cell>
        </row>
        <row r="2908">
          <cell r="U2908" t="str">
            <v>Ppto 2026</v>
          </cell>
        </row>
        <row r="2909">
          <cell r="U2909" t="str">
            <v>Ppto 2026</v>
          </cell>
        </row>
        <row r="2910">
          <cell r="U2910" t="str">
            <v>Ppto 2026</v>
          </cell>
        </row>
        <row r="2911">
          <cell r="U2911" t="str">
            <v>Ppto 2026</v>
          </cell>
        </row>
        <row r="2912">
          <cell r="U2912" t="str">
            <v>Ppto 2026</v>
          </cell>
        </row>
        <row r="2913">
          <cell r="U2913" t="str">
            <v>Ppto 2026</v>
          </cell>
        </row>
        <row r="2914">
          <cell r="U2914" t="str">
            <v>Ppto 2026</v>
          </cell>
        </row>
        <row r="2915">
          <cell r="U2915" t="str">
            <v>Ppto 2026</v>
          </cell>
        </row>
        <row r="2916">
          <cell r="U2916" t="str">
            <v>Ppto 2026</v>
          </cell>
        </row>
        <row r="2917">
          <cell r="U2917" t="str">
            <v>Ppto 2026</v>
          </cell>
        </row>
        <row r="2918">
          <cell r="U2918" t="str">
            <v>Ppto 2026</v>
          </cell>
        </row>
        <row r="2919">
          <cell r="U2919" t="str">
            <v>Ppto 2026</v>
          </cell>
        </row>
        <row r="2920">
          <cell r="U2920" t="str">
            <v>Ppto 2026</v>
          </cell>
        </row>
        <row r="2921">
          <cell r="U2921" t="str">
            <v>Ppto 2026</v>
          </cell>
        </row>
        <row r="2922">
          <cell r="U2922" t="str">
            <v>Ppto 2026</v>
          </cell>
        </row>
        <row r="2923">
          <cell r="U2923" t="str">
            <v>Ppto 2026</v>
          </cell>
        </row>
        <row r="2924">
          <cell r="U2924" t="str">
            <v>Ppto 2026</v>
          </cell>
        </row>
        <row r="2925">
          <cell r="U2925" t="str">
            <v>Ppto 2026</v>
          </cell>
        </row>
        <row r="2926">
          <cell r="U2926" t="str">
            <v>Ppto 2026</v>
          </cell>
        </row>
        <row r="2927">
          <cell r="U2927" t="str">
            <v>Ppto 2026</v>
          </cell>
        </row>
        <row r="2928">
          <cell r="U2928" t="str">
            <v>Ppto 2026</v>
          </cell>
        </row>
        <row r="2929">
          <cell r="U2929" t="str">
            <v>Ppto 2026</v>
          </cell>
        </row>
        <row r="2930">
          <cell r="U2930" t="str">
            <v>Ppto 2026</v>
          </cell>
        </row>
        <row r="2931">
          <cell r="U2931" t="str">
            <v>Ppto 2026</v>
          </cell>
        </row>
        <row r="2932">
          <cell r="U2932" t="str">
            <v>Ppto 2026</v>
          </cell>
        </row>
        <row r="2933">
          <cell r="U2933" t="str">
            <v>Ppto 2026</v>
          </cell>
        </row>
        <row r="2934">
          <cell r="U2934" t="str">
            <v>Ppto 2026</v>
          </cell>
        </row>
        <row r="2935">
          <cell r="U2935" t="str">
            <v>Ppto 2026</v>
          </cell>
        </row>
        <row r="2936">
          <cell r="U2936" t="str">
            <v>Ppto 2026</v>
          </cell>
        </row>
        <row r="2937">
          <cell r="U2937" t="str">
            <v>Ppto 2026</v>
          </cell>
        </row>
        <row r="2938">
          <cell r="U2938" t="str">
            <v>Ppto 2026</v>
          </cell>
        </row>
        <row r="2939">
          <cell r="U2939" t="str">
            <v>Ppto 2026</v>
          </cell>
        </row>
        <row r="2940">
          <cell r="U2940" t="str">
            <v>Ppto 2026</v>
          </cell>
        </row>
        <row r="2941">
          <cell r="U2941" t="str">
            <v>Ppto 2026</v>
          </cell>
        </row>
        <row r="2942">
          <cell r="U2942" t="str">
            <v>Ppto 2026</v>
          </cell>
        </row>
        <row r="2943">
          <cell r="U2943" t="str">
            <v>Ppto 2026</v>
          </cell>
        </row>
        <row r="2944">
          <cell r="U2944" t="str">
            <v>Ppto 2026</v>
          </cell>
        </row>
        <row r="2945">
          <cell r="U2945" t="str">
            <v>Ppto 2026</v>
          </cell>
        </row>
        <row r="2946">
          <cell r="U2946" t="str">
            <v>Ppto 2026</v>
          </cell>
        </row>
        <row r="2947">
          <cell r="U2947" t="str">
            <v>Ppto 2026</v>
          </cell>
        </row>
        <row r="2948">
          <cell r="U2948" t="str">
            <v>Ppto 2026</v>
          </cell>
        </row>
        <row r="2949">
          <cell r="U2949" t="str">
            <v>Ppto 2026</v>
          </cell>
        </row>
        <row r="2950">
          <cell r="U2950" t="str">
            <v>Ppto 2026</v>
          </cell>
        </row>
        <row r="2951">
          <cell r="U2951" t="str">
            <v>Ppto 2026</v>
          </cell>
        </row>
        <row r="2952">
          <cell r="U2952" t="str">
            <v>Ppto 2026</v>
          </cell>
        </row>
        <row r="2953">
          <cell r="U2953" t="str">
            <v>Ppto 2026</v>
          </cell>
        </row>
        <row r="2954">
          <cell r="U2954" t="str">
            <v>Ppto 2026</v>
          </cell>
        </row>
        <row r="2955">
          <cell r="U2955" t="str">
            <v>Ppto 2026</v>
          </cell>
        </row>
        <row r="2956">
          <cell r="U2956" t="str">
            <v>Ppto 2026</v>
          </cell>
        </row>
        <row r="2957">
          <cell r="U2957" t="str">
            <v>Ppto 2026</v>
          </cell>
        </row>
        <row r="2958">
          <cell r="U2958" t="str">
            <v>Ppto 2026</v>
          </cell>
        </row>
        <row r="2959">
          <cell r="U2959" t="str">
            <v>Ppto 2026</v>
          </cell>
        </row>
        <row r="2960">
          <cell r="U2960" t="str">
            <v>Ppto 2026</v>
          </cell>
        </row>
        <row r="2961">
          <cell r="U2961" t="str">
            <v>Ppto 2026</v>
          </cell>
        </row>
        <row r="2962">
          <cell r="U2962" t="str">
            <v>Ppto 2026</v>
          </cell>
        </row>
        <row r="2963">
          <cell r="U2963" t="str">
            <v>Ppto 2026</v>
          </cell>
        </row>
        <row r="2964">
          <cell r="U2964" t="str">
            <v>Ppto 2026</v>
          </cell>
        </row>
        <row r="2965">
          <cell r="U2965" t="str">
            <v>Ppto 2026</v>
          </cell>
        </row>
        <row r="2966">
          <cell r="U2966" t="str">
            <v>Ppto 2026</v>
          </cell>
        </row>
        <row r="2967">
          <cell r="U2967" t="str">
            <v>Ppto 2026</v>
          </cell>
        </row>
        <row r="2968">
          <cell r="U2968" t="str">
            <v>Ppto 2026</v>
          </cell>
        </row>
        <row r="2969">
          <cell r="U2969" t="str">
            <v>Ppto 2026</v>
          </cell>
        </row>
        <row r="2970">
          <cell r="U2970" t="str">
            <v>Ppto 2026</v>
          </cell>
        </row>
        <row r="2971">
          <cell r="U2971" t="str">
            <v>Ppto 2026</v>
          </cell>
        </row>
        <row r="2972">
          <cell r="U2972" t="str">
            <v>Ppto 2026</v>
          </cell>
        </row>
        <row r="2973">
          <cell r="U2973" t="str">
            <v>Ppto 2026</v>
          </cell>
        </row>
        <row r="2974">
          <cell r="U2974" t="str">
            <v>Ppto 2026</v>
          </cell>
        </row>
        <row r="2975">
          <cell r="U2975" t="str">
            <v>Ppto 2026</v>
          </cell>
        </row>
        <row r="2976">
          <cell r="U2976" t="str">
            <v>Ppto 2026</v>
          </cell>
        </row>
        <row r="2977">
          <cell r="U2977" t="str">
            <v>Ppto 2026</v>
          </cell>
        </row>
        <row r="2978">
          <cell r="U2978" t="str">
            <v>Ppto 2026</v>
          </cell>
        </row>
        <row r="2979">
          <cell r="U2979" t="str">
            <v>Ppto 2026</v>
          </cell>
        </row>
        <row r="2980">
          <cell r="U2980" t="str">
            <v>Ppto 2026</v>
          </cell>
        </row>
        <row r="2981">
          <cell r="U2981" t="str">
            <v>Ppto 2026</v>
          </cell>
        </row>
        <row r="2982">
          <cell r="U2982" t="str">
            <v>Ppto 2026</v>
          </cell>
        </row>
        <row r="2983">
          <cell r="U2983" t="str">
            <v>Ppto 2026</v>
          </cell>
        </row>
        <row r="2984">
          <cell r="U2984" t="str">
            <v>Ppto 2026</v>
          </cell>
        </row>
        <row r="2985">
          <cell r="U2985" t="str">
            <v>Ppto 2026</v>
          </cell>
        </row>
        <row r="2986">
          <cell r="U2986" t="str">
            <v>Ppto 2026</v>
          </cell>
        </row>
        <row r="2987">
          <cell r="U2987" t="str">
            <v>Ppto 2026</v>
          </cell>
        </row>
        <row r="2988">
          <cell r="U2988" t="str">
            <v>Ppto 2026</v>
          </cell>
        </row>
        <row r="2989">
          <cell r="U2989" t="str">
            <v>Ppto 2026</v>
          </cell>
        </row>
        <row r="2990">
          <cell r="U2990" t="str">
            <v>Ppto 2026</v>
          </cell>
        </row>
        <row r="2991">
          <cell r="U2991" t="str">
            <v>Ppto 2026</v>
          </cell>
        </row>
        <row r="2992">
          <cell r="U2992" t="str">
            <v>Ppto 2026</v>
          </cell>
        </row>
        <row r="2993">
          <cell r="U2993" t="str">
            <v>Ppto 2026</v>
          </cell>
        </row>
        <row r="2994">
          <cell r="U2994" t="str">
            <v>Ppto 2026</v>
          </cell>
        </row>
        <row r="2995">
          <cell r="U2995" t="str">
            <v>Ppto 2026</v>
          </cell>
        </row>
        <row r="2996">
          <cell r="U2996" t="str">
            <v>Ppto 2026</v>
          </cell>
        </row>
        <row r="2997">
          <cell r="U2997" t="str">
            <v>Ppto 2026</v>
          </cell>
        </row>
        <row r="2998">
          <cell r="U2998" t="str">
            <v>Ppto 2026</v>
          </cell>
        </row>
        <row r="2999">
          <cell r="U2999" t="str">
            <v>Ppto 2026</v>
          </cell>
        </row>
        <row r="3000">
          <cell r="U3000" t="str">
            <v>Ppto 2026</v>
          </cell>
        </row>
        <row r="3001">
          <cell r="U3001" t="str">
            <v>Ppto 2026</v>
          </cell>
        </row>
        <row r="3002">
          <cell r="U3002" t="str">
            <v>Ppto 2026</v>
          </cell>
        </row>
        <row r="3003">
          <cell r="U3003" t="str">
            <v>Ppto 2026</v>
          </cell>
        </row>
        <row r="3004">
          <cell r="U3004" t="str">
            <v>Ppto 2026</v>
          </cell>
        </row>
        <row r="3005">
          <cell r="U3005" t="str">
            <v>Ppto 2026</v>
          </cell>
        </row>
        <row r="3006">
          <cell r="U3006" t="str">
            <v>Ppto 2026</v>
          </cell>
        </row>
        <row r="3007">
          <cell r="U3007" t="str">
            <v>Ppto 2026</v>
          </cell>
        </row>
        <row r="3008">
          <cell r="U3008" t="str">
            <v>Ppto 2026</v>
          </cell>
        </row>
        <row r="3009">
          <cell r="U3009" t="str">
            <v>Ppto 2026</v>
          </cell>
        </row>
        <row r="3010">
          <cell r="U3010" t="str">
            <v>Ppto 2026</v>
          </cell>
        </row>
        <row r="3011">
          <cell r="U3011" t="str">
            <v>Ppto 2026</v>
          </cell>
        </row>
        <row r="3012">
          <cell r="U3012" t="str">
            <v>Ppto 2026</v>
          </cell>
        </row>
        <row r="3013">
          <cell r="U3013" t="str">
            <v>Ppto 2026</v>
          </cell>
        </row>
        <row r="3014">
          <cell r="U3014" t="str">
            <v>Ppto 2026</v>
          </cell>
        </row>
        <row r="3015">
          <cell r="U3015" t="str">
            <v>Ppto 2026</v>
          </cell>
        </row>
        <row r="3016">
          <cell r="U3016" t="str">
            <v>Ppto 2026</v>
          </cell>
        </row>
        <row r="3017">
          <cell r="U3017" t="str">
            <v>Ppto 2026</v>
          </cell>
        </row>
        <row r="3018">
          <cell r="U3018" t="str">
            <v>Ppto 2026</v>
          </cell>
        </row>
        <row r="3019">
          <cell r="U3019" t="str">
            <v>Ppto 2026</v>
          </cell>
        </row>
        <row r="3020">
          <cell r="U3020" t="str">
            <v>Ppto 2026</v>
          </cell>
        </row>
        <row r="3021">
          <cell r="U3021" t="str">
            <v>Ppto 2026</v>
          </cell>
        </row>
        <row r="3022">
          <cell r="U3022" t="str">
            <v>Ppto 2026</v>
          </cell>
        </row>
        <row r="3023">
          <cell r="U3023" t="str">
            <v>Ppto 2026</v>
          </cell>
        </row>
        <row r="3024">
          <cell r="U3024" t="str">
            <v>Ppto 2026</v>
          </cell>
        </row>
        <row r="3025">
          <cell r="U3025" t="str">
            <v>Ppto 2026</v>
          </cell>
        </row>
        <row r="3026">
          <cell r="U3026" t="str">
            <v>Ppto 2026</v>
          </cell>
        </row>
        <row r="3027">
          <cell r="U3027" t="str">
            <v>Ppto 2026</v>
          </cell>
        </row>
        <row r="3028">
          <cell r="U3028" t="str">
            <v>Ppto 2026</v>
          </cell>
        </row>
        <row r="3029">
          <cell r="U3029" t="str">
            <v>Ppto 2026</v>
          </cell>
        </row>
        <row r="3030">
          <cell r="U3030" t="str">
            <v>Ppto 2026</v>
          </cell>
        </row>
        <row r="3031">
          <cell r="U3031" t="str">
            <v>Ppto 2026</v>
          </cell>
        </row>
        <row r="3032">
          <cell r="U3032" t="str">
            <v>Ppto 2026</v>
          </cell>
        </row>
        <row r="3033">
          <cell r="U3033" t="str">
            <v>Ppto 2026</v>
          </cell>
        </row>
        <row r="3034">
          <cell r="U3034" t="str">
            <v>Ppto 2026</v>
          </cell>
        </row>
        <row r="3035">
          <cell r="U3035" t="str">
            <v>Ppto 2026</v>
          </cell>
        </row>
        <row r="3036">
          <cell r="U3036" t="str">
            <v>Ppto 2026</v>
          </cell>
        </row>
        <row r="3037">
          <cell r="U3037" t="str">
            <v>Ppto 2026</v>
          </cell>
        </row>
        <row r="3038">
          <cell r="U3038" t="str">
            <v>Ppto 2026</v>
          </cell>
        </row>
        <row r="3039">
          <cell r="U3039" t="str">
            <v>Ppto 2026</v>
          </cell>
        </row>
        <row r="3040">
          <cell r="U3040" t="str">
            <v>Ppto 2026</v>
          </cell>
        </row>
        <row r="3041">
          <cell r="U3041" t="str">
            <v>Ppto 2026</v>
          </cell>
        </row>
        <row r="3042">
          <cell r="U3042" t="str">
            <v>Ppto 2026</v>
          </cell>
        </row>
        <row r="3043">
          <cell r="U3043" t="str">
            <v>Ppto 2026</v>
          </cell>
        </row>
        <row r="3044">
          <cell r="U3044" t="str">
            <v>Ppto 2026</v>
          </cell>
        </row>
        <row r="3045">
          <cell r="U3045" t="str">
            <v>Ppto 2026</v>
          </cell>
        </row>
        <row r="3046">
          <cell r="U3046" t="str">
            <v>Ppto 2026</v>
          </cell>
        </row>
        <row r="3047">
          <cell r="U3047" t="str">
            <v>Ppto 2026</v>
          </cell>
        </row>
        <row r="3048">
          <cell r="U3048" t="str">
            <v>Ppto 2026</v>
          </cell>
        </row>
        <row r="3049">
          <cell r="U3049" t="str">
            <v>Ppto 2026</v>
          </cell>
        </row>
        <row r="3050">
          <cell r="U3050" t="str">
            <v>Ppto 2026</v>
          </cell>
        </row>
        <row r="3051">
          <cell r="U3051" t="str">
            <v>Ppto 2026</v>
          </cell>
        </row>
        <row r="3052">
          <cell r="U3052" t="str">
            <v>Ppto 2026</v>
          </cell>
        </row>
        <row r="3053">
          <cell r="U3053" t="str">
            <v>Ppto 2026</v>
          </cell>
        </row>
        <row r="3054">
          <cell r="U3054" t="str">
            <v>Ppto 2026</v>
          </cell>
        </row>
        <row r="3055">
          <cell r="U3055" t="str">
            <v>Ppto 2026</v>
          </cell>
        </row>
        <row r="3056">
          <cell r="U3056" t="str">
            <v>Ppto 2026</v>
          </cell>
        </row>
        <row r="3057">
          <cell r="U3057" t="str">
            <v>Ppto 2026</v>
          </cell>
        </row>
        <row r="3058">
          <cell r="U3058" t="str">
            <v>Ppto 2026</v>
          </cell>
        </row>
        <row r="3059">
          <cell r="U3059" t="str">
            <v>Ppto 2026</v>
          </cell>
        </row>
        <row r="3060">
          <cell r="U3060" t="str">
            <v>Ppto 2026</v>
          </cell>
        </row>
        <row r="3061">
          <cell r="U3061" t="str">
            <v>Ppto 2026</v>
          </cell>
        </row>
        <row r="3062">
          <cell r="U3062" t="str">
            <v>Ppto 2026</v>
          </cell>
        </row>
        <row r="3063">
          <cell r="U3063" t="str">
            <v>Ppto 2026</v>
          </cell>
        </row>
        <row r="3064">
          <cell r="U3064" t="str">
            <v>Ppto 2026</v>
          </cell>
        </row>
        <row r="3065">
          <cell r="U3065" t="str">
            <v>Ppto 2026</v>
          </cell>
        </row>
        <row r="3066">
          <cell r="U3066" t="str">
            <v>Ppto 2026</v>
          </cell>
        </row>
        <row r="3067">
          <cell r="U3067" t="str">
            <v>Ppto 2026</v>
          </cell>
        </row>
        <row r="3068">
          <cell r="U3068" t="str">
            <v>Ppto 2026</v>
          </cell>
        </row>
        <row r="3069">
          <cell r="U3069" t="str">
            <v>Ppto 2026</v>
          </cell>
        </row>
        <row r="3070">
          <cell r="U3070" t="str">
            <v>Ppto 2026</v>
          </cell>
        </row>
        <row r="3071">
          <cell r="U3071" t="str">
            <v>Ppto 2026</v>
          </cell>
        </row>
        <row r="3072">
          <cell r="U3072" t="str">
            <v>Ppto 2026</v>
          </cell>
        </row>
        <row r="3073">
          <cell r="U3073" t="str">
            <v>Ppto 2026</v>
          </cell>
        </row>
        <row r="3074">
          <cell r="U3074" t="str">
            <v>Ppto 2026</v>
          </cell>
        </row>
        <row r="3075">
          <cell r="U3075" t="str">
            <v>Ppto 2026</v>
          </cell>
        </row>
        <row r="3076">
          <cell r="U3076" t="str">
            <v>Ppto 2026</v>
          </cell>
        </row>
        <row r="3077">
          <cell r="U3077" t="str">
            <v>Ppto 2026</v>
          </cell>
        </row>
        <row r="3078">
          <cell r="U3078" t="str">
            <v>Ppto 2026</v>
          </cell>
        </row>
        <row r="3079">
          <cell r="U3079" t="str">
            <v>Ppto 2026</v>
          </cell>
        </row>
        <row r="3080">
          <cell r="U3080" t="str">
            <v>Ppto 2026</v>
          </cell>
        </row>
        <row r="3081">
          <cell r="U3081" t="str">
            <v>Ppto 2026</v>
          </cell>
        </row>
        <row r="3082">
          <cell r="U3082" t="str">
            <v>Ppto 2026</v>
          </cell>
        </row>
        <row r="3083">
          <cell r="U3083" t="str">
            <v>Ppto 2026</v>
          </cell>
        </row>
        <row r="3084">
          <cell r="U3084" t="str">
            <v>Ppto 2026</v>
          </cell>
        </row>
        <row r="3085">
          <cell r="U3085" t="str">
            <v>Ppto 2026</v>
          </cell>
        </row>
        <row r="3086">
          <cell r="U3086" t="str">
            <v>Ppto 2026</v>
          </cell>
        </row>
        <row r="3087">
          <cell r="U3087" t="str">
            <v>Ppto 2026</v>
          </cell>
        </row>
        <row r="3088">
          <cell r="U3088" t="str">
            <v>Ppto 2026</v>
          </cell>
        </row>
        <row r="3089">
          <cell r="U3089" t="str">
            <v>Ppto 2026</v>
          </cell>
        </row>
        <row r="3090">
          <cell r="U3090" t="str">
            <v>Ppto 2026</v>
          </cell>
        </row>
        <row r="3091">
          <cell r="U3091" t="str">
            <v>Ppto 2026</v>
          </cell>
        </row>
        <row r="3092">
          <cell r="U3092" t="str">
            <v>Ppto 2026</v>
          </cell>
        </row>
        <row r="3093">
          <cell r="U3093" t="str">
            <v>Ppto 2026</v>
          </cell>
        </row>
        <row r="3094">
          <cell r="U3094" t="str">
            <v>Ppto 2026</v>
          </cell>
        </row>
        <row r="3095">
          <cell r="U3095" t="str">
            <v>Ppto 2026</v>
          </cell>
        </row>
        <row r="3096">
          <cell r="U3096" t="str">
            <v>Ppto 2026</v>
          </cell>
        </row>
        <row r="3097">
          <cell r="U3097" t="str">
            <v>Ppto 2026</v>
          </cell>
        </row>
        <row r="3098">
          <cell r="U3098" t="str">
            <v>Ppto 2026</v>
          </cell>
        </row>
        <row r="3099">
          <cell r="U3099" t="str">
            <v>Ppto 2026</v>
          </cell>
        </row>
        <row r="3100">
          <cell r="U3100" t="str">
            <v>Ppto 2026</v>
          </cell>
        </row>
        <row r="3101">
          <cell r="U3101" t="str">
            <v>Ppto 2026</v>
          </cell>
        </row>
        <row r="3102">
          <cell r="U3102" t="str">
            <v>Ppto 2026</v>
          </cell>
        </row>
        <row r="3103">
          <cell r="U3103" t="str">
            <v>Ppto 2026</v>
          </cell>
        </row>
        <row r="3104">
          <cell r="U3104" t="str">
            <v>Ppto 2026</v>
          </cell>
        </row>
        <row r="3105">
          <cell r="U3105" t="str">
            <v>Ppto 2026</v>
          </cell>
        </row>
        <row r="3106">
          <cell r="U3106" t="str">
            <v>Ppto 2026</v>
          </cell>
        </row>
        <row r="3107">
          <cell r="U3107" t="str">
            <v>Ppto 2026</v>
          </cell>
        </row>
        <row r="3108">
          <cell r="U3108" t="str">
            <v>Ppto 2026</v>
          </cell>
        </row>
        <row r="3109">
          <cell r="U3109" t="str">
            <v>Ppto 2026</v>
          </cell>
        </row>
        <row r="3110">
          <cell r="U3110" t="str">
            <v>Ppto 2026</v>
          </cell>
        </row>
        <row r="3111">
          <cell r="U3111" t="str">
            <v>Ppto 2026</v>
          </cell>
        </row>
        <row r="3112">
          <cell r="U3112" t="str">
            <v>Ppto 2026</v>
          </cell>
        </row>
        <row r="3113">
          <cell r="U3113" t="str">
            <v>Ppto 2026</v>
          </cell>
        </row>
        <row r="3114">
          <cell r="U3114" t="str">
            <v>Ppto 2026</v>
          </cell>
        </row>
        <row r="3115">
          <cell r="U3115" t="str">
            <v>Ppto 2026</v>
          </cell>
        </row>
        <row r="3116">
          <cell r="U3116" t="str">
            <v>Ppto 2026</v>
          </cell>
        </row>
        <row r="3117">
          <cell r="U3117" t="str">
            <v>Ppto 2026</v>
          </cell>
        </row>
        <row r="3118">
          <cell r="U3118" t="str">
            <v>Ppto 2026</v>
          </cell>
        </row>
        <row r="3119">
          <cell r="U3119" t="str">
            <v>Ppto 2026</v>
          </cell>
        </row>
        <row r="3120">
          <cell r="U3120" t="str">
            <v>Ppto 2026</v>
          </cell>
        </row>
        <row r="3121">
          <cell r="U3121" t="str">
            <v>Ppto 2026</v>
          </cell>
        </row>
        <row r="3122">
          <cell r="U3122" t="str">
            <v>Ppto 2026</v>
          </cell>
        </row>
        <row r="3123">
          <cell r="U3123" t="str">
            <v>Ppto 2026</v>
          </cell>
        </row>
        <row r="3124">
          <cell r="U3124" t="str">
            <v>Ppto 2026</v>
          </cell>
        </row>
        <row r="3125">
          <cell r="U3125" t="str">
            <v>Ppto 2026</v>
          </cell>
        </row>
        <row r="3126">
          <cell r="U3126" t="str">
            <v>Ppto 2026</v>
          </cell>
        </row>
        <row r="3127">
          <cell r="U3127" t="str">
            <v>Ppto 2026</v>
          </cell>
        </row>
        <row r="3128">
          <cell r="U3128" t="str">
            <v>Ppto 2026</v>
          </cell>
        </row>
        <row r="3129">
          <cell r="U3129" t="str">
            <v>Ppto 2026</v>
          </cell>
        </row>
        <row r="3130">
          <cell r="U3130" t="str">
            <v>Ppto 2026</v>
          </cell>
        </row>
        <row r="3131">
          <cell r="U3131" t="str">
            <v>Ppto 2026</v>
          </cell>
        </row>
        <row r="3132">
          <cell r="U3132" t="str">
            <v>Ppto 2026</v>
          </cell>
        </row>
        <row r="3133">
          <cell r="U3133" t="str">
            <v>Ppto 2026</v>
          </cell>
        </row>
        <row r="3134">
          <cell r="U3134" t="str">
            <v>Ppto 2026</v>
          </cell>
        </row>
        <row r="3135">
          <cell r="U3135" t="str">
            <v>Ppto 2026</v>
          </cell>
        </row>
        <row r="3136">
          <cell r="U3136" t="str">
            <v>Ppto 2026</v>
          </cell>
        </row>
        <row r="3137">
          <cell r="U3137" t="str">
            <v>Ppto 2026</v>
          </cell>
        </row>
        <row r="3138">
          <cell r="U3138" t="str">
            <v>Ppto 2026</v>
          </cell>
        </row>
        <row r="3139">
          <cell r="U3139" t="str">
            <v>Ppto 2026</v>
          </cell>
        </row>
        <row r="3140">
          <cell r="U3140" t="str">
            <v>Ppto 2026</v>
          </cell>
        </row>
        <row r="3141">
          <cell r="U3141" t="str">
            <v>Ppto 2026</v>
          </cell>
        </row>
        <row r="3142">
          <cell r="U3142" t="str">
            <v>Ppto 2026</v>
          </cell>
        </row>
        <row r="3143">
          <cell r="U3143" t="str">
            <v>Ppto 2026</v>
          </cell>
        </row>
        <row r="3144">
          <cell r="U3144" t="str">
            <v>Ppto 2026</v>
          </cell>
        </row>
        <row r="3145">
          <cell r="U3145" t="str">
            <v>Ppto 2026</v>
          </cell>
        </row>
        <row r="3146">
          <cell r="U3146" t="str">
            <v>Ppto 2026</v>
          </cell>
        </row>
        <row r="3147">
          <cell r="U3147" t="str">
            <v>Ppto 2026</v>
          </cell>
        </row>
        <row r="3148">
          <cell r="U3148" t="str">
            <v>Ppto 2026</v>
          </cell>
        </row>
        <row r="3149">
          <cell r="U3149" t="str">
            <v>Ppto 2026</v>
          </cell>
        </row>
        <row r="3150">
          <cell r="U3150" t="str">
            <v>Ppto 2026</v>
          </cell>
        </row>
        <row r="3151">
          <cell r="U3151" t="str">
            <v>Ppto 2026</v>
          </cell>
        </row>
        <row r="3152">
          <cell r="U3152" t="str">
            <v>Ppto 2026</v>
          </cell>
        </row>
        <row r="3153">
          <cell r="U3153" t="str">
            <v>Ppto 2026</v>
          </cell>
        </row>
        <row r="3154">
          <cell r="U3154" t="str">
            <v>Ppto 2026</v>
          </cell>
        </row>
        <row r="3155">
          <cell r="U3155" t="str">
            <v>Ppto 2026</v>
          </cell>
        </row>
        <row r="3156">
          <cell r="U3156" t="str">
            <v>Ppto 2026</v>
          </cell>
        </row>
        <row r="3157">
          <cell r="U3157" t="str">
            <v>Ppto 2026</v>
          </cell>
        </row>
        <row r="3158">
          <cell r="U3158" t="str">
            <v>Ppto 2026</v>
          </cell>
        </row>
        <row r="3159">
          <cell r="U3159" t="str">
            <v>Ppto 2026</v>
          </cell>
        </row>
        <row r="3160">
          <cell r="U3160" t="str">
            <v>Ppto 2026</v>
          </cell>
        </row>
        <row r="3161">
          <cell r="U3161" t="str">
            <v>Ppto 2026</v>
          </cell>
        </row>
        <row r="3162">
          <cell r="U3162" t="str">
            <v>Ppto 2026</v>
          </cell>
        </row>
        <row r="3163">
          <cell r="U3163" t="str">
            <v>Ppto 2026</v>
          </cell>
        </row>
        <row r="3164">
          <cell r="U3164" t="str">
            <v>Ppto 2026</v>
          </cell>
        </row>
        <row r="3165">
          <cell r="U3165" t="str">
            <v>Ppto 2026</v>
          </cell>
        </row>
        <row r="3166">
          <cell r="U3166" t="str">
            <v>Ppto 2026</v>
          </cell>
        </row>
        <row r="3167">
          <cell r="U3167" t="str">
            <v>Ppto 2026</v>
          </cell>
        </row>
        <row r="3168">
          <cell r="U3168" t="str">
            <v>Ppto 2026</v>
          </cell>
        </row>
        <row r="3169">
          <cell r="U3169" t="str">
            <v>Ppto 2026</v>
          </cell>
        </row>
        <row r="3170">
          <cell r="U3170" t="str">
            <v>Ppto 2026</v>
          </cell>
        </row>
        <row r="3171">
          <cell r="U3171" t="str">
            <v>Ppto 2026</v>
          </cell>
        </row>
        <row r="3172">
          <cell r="U3172" t="str">
            <v>Ppto 2026</v>
          </cell>
        </row>
        <row r="3173">
          <cell r="U3173" t="str">
            <v>Ppto 2026</v>
          </cell>
        </row>
        <row r="3174">
          <cell r="U3174" t="str">
            <v>Ppto 2026</v>
          </cell>
        </row>
        <row r="3175">
          <cell r="U3175" t="str">
            <v>Ppto 2026</v>
          </cell>
        </row>
        <row r="3176">
          <cell r="U3176" t="str">
            <v>Ppto 2026</v>
          </cell>
        </row>
        <row r="3177">
          <cell r="U3177" t="str">
            <v>Ppto 2026</v>
          </cell>
        </row>
        <row r="3178">
          <cell r="U3178" t="str">
            <v>Ppto 2026</v>
          </cell>
        </row>
        <row r="3179">
          <cell r="U3179" t="str">
            <v>Ppto 2026</v>
          </cell>
        </row>
        <row r="3180">
          <cell r="U3180" t="str">
            <v>Ppto 2026</v>
          </cell>
        </row>
        <row r="3181">
          <cell r="U3181" t="str">
            <v>Ppto 2026</v>
          </cell>
        </row>
        <row r="3182">
          <cell r="U3182" t="str">
            <v>Ppto 2026</v>
          </cell>
        </row>
        <row r="3183">
          <cell r="U3183" t="str">
            <v>Ppto 2026</v>
          </cell>
        </row>
        <row r="3184">
          <cell r="U3184" t="str">
            <v>Ppto 2026</v>
          </cell>
        </row>
        <row r="3185">
          <cell r="U3185" t="str">
            <v>Ppto 2026</v>
          </cell>
        </row>
        <row r="3186">
          <cell r="U3186" t="str">
            <v>Ppto 2026</v>
          </cell>
        </row>
        <row r="3187">
          <cell r="U3187" t="str">
            <v>Ppto 2026</v>
          </cell>
        </row>
        <row r="3188">
          <cell r="U3188" t="str">
            <v>Ppto 2026</v>
          </cell>
        </row>
        <row r="3189">
          <cell r="U3189" t="str">
            <v>Ppto 2026</v>
          </cell>
        </row>
        <row r="3190">
          <cell r="U3190" t="str">
            <v>Ppto 2026</v>
          </cell>
        </row>
        <row r="3191">
          <cell r="U3191" t="str">
            <v>Ppto 2026</v>
          </cell>
        </row>
        <row r="3192">
          <cell r="U3192" t="str">
            <v>Ppto 2026</v>
          </cell>
        </row>
        <row r="3193">
          <cell r="U3193" t="str">
            <v>Ppto 2026</v>
          </cell>
        </row>
        <row r="3194">
          <cell r="U3194" t="str">
            <v>Ppto 2026</v>
          </cell>
        </row>
        <row r="3195">
          <cell r="U3195" t="str">
            <v>Ppto 2026</v>
          </cell>
        </row>
        <row r="3196">
          <cell r="U3196" t="str">
            <v>Ppto 2026</v>
          </cell>
        </row>
        <row r="3197">
          <cell r="U3197" t="str">
            <v>Ppto 2026</v>
          </cell>
        </row>
        <row r="3198">
          <cell r="U3198" t="str">
            <v>Ppto 2026</v>
          </cell>
        </row>
        <row r="3199">
          <cell r="U3199" t="str">
            <v>Ppto 2026</v>
          </cell>
        </row>
        <row r="3200">
          <cell r="U3200" t="str">
            <v>Ppto 2026</v>
          </cell>
        </row>
        <row r="3201">
          <cell r="U3201" t="str">
            <v>Ppto 2026</v>
          </cell>
        </row>
        <row r="3202">
          <cell r="U3202" t="str">
            <v>Ppto 2026</v>
          </cell>
        </row>
        <row r="3203">
          <cell r="U3203" t="str">
            <v>Ppto 2026</v>
          </cell>
        </row>
        <row r="3204">
          <cell r="U3204" t="str">
            <v>Ppto 2026</v>
          </cell>
        </row>
        <row r="3205">
          <cell r="U3205" t="str">
            <v>Ppto 2026</v>
          </cell>
        </row>
        <row r="3206">
          <cell r="U3206" t="str">
            <v>Ppto 2026</v>
          </cell>
        </row>
        <row r="3207">
          <cell r="U3207" t="str">
            <v>Ppto 2026</v>
          </cell>
        </row>
        <row r="3208">
          <cell r="U3208" t="str">
            <v>Ppto 2026</v>
          </cell>
        </row>
        <row r="3209">
          <cell r="U3209" t="str">
            <v>Ppto 2026</v>
          </cell>
        </row>
        <row r="3210">
          <cell r="U3210" t="str">
            <v>Ppto 2026</v>
          </cell>
        </row>
        <row r="3211">
          <cell r="U3211" t="str">
            <v>Ppto 2026</v>
          </cell>
        </row>
        <row r="3212">
          <cell r="U3212" t="str">
            <v>Ppto 2026</v>
          </cell>
        </row>
        <row r="3213">
          <cell r="U3213" t="str">
            <v>Ppto 2026</v>
          </cell>
        </row>
        <row r="3214">
          <cell r="U3214" t="str">
            <v>Ppto 2026</v>
          </cell>
        </row>
        <row r="3215">
          <cell r="U3215" t="str">
            <v>Ppto 2026</v>
          </cell>
        </row>
        <row r="3216">
          <cell r="U3216" t="str">
            <v>Ppto 2026</v>
          </cell>
        </row>
        <row r="3217">
          <cell r="U3217" t="str">
            <v>Ppto 2026</v>
          </cell>
        </row>
        <row r="3218">
          <cell r="U3218" t="str">
            <v>Ppto 2026</v>
          </cell>
        </row>
        <row r="3219">
          <cell r="U3219" t="str">
            <v>Ppto 2026</v>
          </cell>
        </row>
        <row r="3220">
          <cell r="U3220" t="str">
            <v>Ppto 2026</v>
          </cell>
        </row>
        <row r="3221">
          <cell r="U3221" t="str">
            <v>Ppto 2026</v>
          </cell>
        </row>
        <row r="3222">
          <cell r="U3222" t="str">
            <v>Ppto 2026</v>
          </cell>
        </row>
        <row r="3223">
          <cell r="U3223" t="str">
            <v>Ppto 2026</v>
          </cell>
        </row>
        <row r="3224">
          <cell r="U3224" t="str">
            <v>Ppto 2026</v>
          </cell>
        </row>
        <row r="3225">
          <cell r="U3225" t="str">
            <v>Ppto 2026</v>
          </cell>
        </row>
        <row r="3226">
          <cell r="U3226" t="str">
            <v>Ppto 2026</v>
          </cell>
        </row>
        <row r="3227">
          <cell r="U3227" t="str">
            <v>Ppto 2026</v>
          </cell>
        </row>
        <row r="3228">
          <cell r="U3228" t="str">
            <v>Ppto 2026</v>
          </cell>
        </row>
        <row r="3229">
          <cell r="U3229" t="str">
            <v>Ppto 2026</v>
          </cell>
        </row>
        <row r="3230">
          <cell r="U3230" t="str">
            <v>Ppto 2026</v>
          </cell>
        </row>
        <row r="3231">
          <cell r="U3231" t="str">
            <v>Ppto 2026</v>
          </cell>
        </row>
        <row r="3232">
          <cell r="U3232" t="str">
            <v>Ppto 2026</v>
          </cell>
        </row>
        <row r="3233">
          <cell r="U3233" t="str">
            <v>Ppto 2026</v>
          </cell>
        </row>
        <row r="3234">
          <cell r="U3234" t="str">
            <v>Ppto 2026</v>
          </cell>
        </row>
        <row r="3235">
          <cell r="U3235" t="str">
            <v>Ppto 2026</v>
          </cell>
        </row>
        <row r="3236">
          <cell r="U3236" t="str">
            <v>Ppto 2026</v>
          </cell>
        </row>
        <row r="3237">
          <cell r="U3237" t="str">
            <v>Ppto 2026</v>
          </cell>
        </row>
        <row r="3238">
          <cell r="U3238" t="str">
            <v>Ppto 2026</v>
          </cell>
        </row>
        <row r="3239">
          <cell r="U3239" t="str">
            <v>Ppto 2026</v>
          </cell>
        </row>
        <row r="3240">
          <cell r="U3240" t="str">
            <v>Ppto 2026</v>
          </cell>
        </row>
        <row r="3241">
          <cell r="U3241" t="str">
            <v>Ppto 2026</v>
          </cell>
        </row>
        <row r="3242">
          <cell r="U3242" t="str">
            <v>Ppto 2026</v>
          </cell>
        </row>
        <row r="3243">
          <cell r="U3243" t="str">
            <v>Ppto 2026</v>
          </cell>
        </row>
        <row r="3244">
          <cell r="U3244" t="str">
            <v>Ppto 2026</v>
          </cell>
        </row>
        <row r="3245">
          <cell r="U3245" t="str">
            <v>Ppto 2026</v>
          </cell>
        </row>
        <row r="3246">
          <cell r="U3246" t="str">
            <v>Ppto 2026</v>
          </cell>
        </row>
        <row r="3247">
          <cell r="U3247" t="str">
            <v>Ppto 2026</v>
          </cell>
        </row>
        <row r="3248">
          <cell r="U3248" t="str">
            <v>Ppto 2026</v>
          </cell>
        </row>
        <row r="3249">
          <cell r="U3249" t="str">
            <v>Ppto 2026</v>
          </cell>
        </row>
        <row r="3250">
          <cell r="U3250" t="str">
            <v>Ppto 2026</v>
          </cell>
        </row>
        <row r="3251">
          <cell r="U3251" t="str">
            <v>Ppto 2026</v>
          </cell>
        </row>
        <row r="3252">
          <cell r="U3252" t="str">
            <v>Ppto 2026</v>
          </cell>
        </row>
        <row r="3253">
          <cell r="U3253" t="str">
            <v>Ppto 2026</v>
          </cell>
        </row>
        <row r="3254">
          <cell r="U3254" t="str">
            <v>Ppto 2026</v>
          </cell>
        </row>
        <row r="3255">
          <cell r="U3255" t="str">
            <v>Ppto 2026</v>
          </cell>
        </row>
        <row r="3256">
          <cell r="U3256" t="str">
            <v>Ppto 2026</v>
          </cell>
        </row>
        <row r="3257">
          <cell r="U3257" t="str">
            <v>Ppto 2026</v>
          </cell>
        </row>
        <row r="3258">
          <cell r="U3258" t="str">
            <v>Ppto 2026</v>
          </cell>
        </row>
        <row r="3259">
          <cell r="U3259" t="str">
            <v>Ppto 2026</v>
          </cell>
        </row>
        <row r="3260">
          <cell r="U3260" t="str">
            <v>Ppto 2026</v>
          </cell>
        </row>
        <row r="3261">
          <cell r="U3261" t="str">
            <v>Ppto 2026</v>
          </cell>
        </row>
        <row r="3262">
          <cell r="U3262" t="str">
            <v>Ppto 2026</v>
          </cell>
        </row>
        <row r="3263">
          <cell r="U3263" t="str">
            <v>Ppto 2026</v>
          </cell>
        </row>
        <row r="3264">
          <cell r="U3264" t="str">
            <v>Ppto 2026</v>
          </cell>
        </row>
        <row r="3265">
          <cell r="U3265" t="str">
            <v>Ppto 2026</v>
          </cell>
        </row>
        <row r="3266">
          <cell r="U3266" t="str">
            <v>Ppto 2026</v>
          </cell>
        </row>
        <row r="3267">
          <cell r="U3267" t="str">
            <v>Ppto 2026</v>
          </cell>
        </row>
        <row r="3268">
          <cell r="U3268" t="str">
            <v>Ppto 2026</v>
          </cell>
        </row>
        <row r="3269">
          <cell r="U3269" t="str">
            <v>Ppto 2026</v>
          </cell>
        </row>
        <row r="3270">
          <cell r="U3270" t="str">
            <v>Ppto 2026</v>
          </cell>
        </row>
        <row r="3271">
          <cell r="U3271" t="str">
            <v>Ppto 2026</v>
          </cell>
        </row>
        <row r="3272">
          <cell r="U3272" t="str">
            <v>Ppto 2026</v>
          </cell>
        </row>
        <row r="3273">
          <cell r="U3273" t="str">
            <v>Ppto 2026</v>
          </cell>
        </row>
        <row r="3274">
          <cell r="U3274" t="str">
            <v>Ppto 2026</v>
          </cell>
        </row>
        <row r="3275">
          <cell r="U3275" t="str">
            <v>Ppto 2026</v>
          </cell>
        </row>
        <row r="3276">
          <cell r="U3276" t="str">
            <v>Ppto 2026</v>
          </cell>
        </row>
        <row r="3277">
          <cell r="U3277" t="str">
            <v>Ppto 2026</v>
          </cell>
        </row>
        <row r="3278">
          <cell r="U3278" t="str">
            <v>Ppto 2026</v>
          </cell>
        </row>
        <row r="3279">
          <cell r="U3279" t="str">
            <v>Ppto 2026</v>
          </cell>
        </row>
        <row r="3280">
          <cell r="U3280" t="str">
            <v>Ppto 2026</v>
          </cell>
        </row>
        <row r="3281">
          <cell r="U3281" t="str">
            <v>Ppto 2026</v>
          </cell>
        </row>
        <row r="3282">
          <cell r="U3282" t="str">
            <v>Ppto 2026</v>
          </cell>
        </row>
        <row r="3283">
          <cell r="U3283" t="str">
            <v>Ppto 2026</v>
          </cell>
        </row>
        <row r="3284">
          <cell r="U3284" t="str">
            <v>Ppto 2026</v>
          </cell>
        </row>
        <row r="3285">
          <cell r="U3285" t="str">
            <v>Ppto 2026</v>
          </cell>
        </row>
        <row r="3286">
          <cell r="U3286" t="str">
            <v>Ppto 2026</v>
          </cell>
        </row>
        <row r="3287">
          <cell r="U3287" t="str">
            <v>Ppto 2026</v>
          </cell>
        </row>
        <row r="3288">
          <cell r="U3288" t="str">
            <v>Ppto 2026</v>
          </cell>
        </row>
        <row r="3289">
          <cell r="U3289" t="str">
            <v>Ppto 2026</v>
          </cell>
        </row>
        <row r="3290">
          <cell r="U3290" t="str">
            <v>Ppto 2026</v>
          </cell>
        </row>
        <row r="3291">
          <cell r="U3291" t="str">
            <v>Ppto 2026</v>
          </cell>
        </row>
        <row r="3292">
          <cell r="U3292" t="str">
            <v>Ppto 2026</v>
          </cell>
        </row>
        <row r="3293">
          <cell r="U3293" t="str">
            <v>Ppto 2026</v>
          </cell>
        </row>
        <row r="3294">
          <cell r="U3294" t="str">
            <v>Ppto 2026</v>
          </cell>
        </row>
        <row r="3295">
          <cell r="U3295" t="str">
            <v>Ppto 2026</v>
          </cell>
        </row>
        <row r="3296">
          <cell r="U3296" t="str">
            <v>Ppto 2026</v>
          </cell>
        </row>
        <row r="3297">
          <cell r="U3297" t="str">
            <v>Ppto 2026</v>
          </cell>
        </row>
        <row r="3298">
          <cell r="U3298" t="str">
            <v>Ppto 2026</v>
          </cell>
        </row>
        <row r="3299">
          <cell r="U3299" t="str">
            <v>Ppto 2026</v>
          </cell>
        </row>
        <row r="3300">
          <cell r="U3300" t="str">
            <v>Ppto 2026</v>
          </cell>
        </row>
        <row r="3301">
          <cell r="U3301" t="str">
            <v>Ppto 2026</v>
          </cell>
        </row>
        <row r="3302">
          <cell r="U3302" t="str">
            <v>Ppto 2026</v>
          </cell>
        </row>
        <row r="3303">
          <cell r="U3303" t="str">
            <v>Ppto 2026</v>
          </cell>
        </row>
        <row r="3304">
          <cell r="U3304" t="str">
            <v>Ppto 2026</v>
          </cell>
        </row>
        <row r="3305">
          <cell r="U3305" t="str">
            <v>Ppto 2026</v>
          </cell>
        </row>
        <row r="3306">
          <cell r="U3306" t="str">
            <v>Ppto 2026</v>
          </cell>
        </row>
        <row r="3307">
          <cell r="U3307" t="str">
            <v>Ppto 2026</v>
          </cell>
        </row>
        <row r="3308">
          <cell r="U3308" t="str">
            <v>Ppto 2026</v>
          </cell>
        </row>
        <row r="3309">
          <cell r="U3309" t="str">
            <v>Ppto 2026</v>
          </cell>
        </row>
        <row r="3310">
          <cell r="U3310" t="str">
            <v>Ppto 2026</v>
          </cell>
        </row>
        <row r="3311">
          <cell r="U3311" t="str">
            <v>Ppto 2026</v>
          </cell>
        </row>
        <row r="3312">
          <cell r="U3312" t="str">
            <v>Ppto 2026</v>
          </cell>
        </row>
        <row r="3313">
          <cell r="U3313" t="str">
            <v>Ppto 2026</v>
          </cell>
        </row>
        <row r="3314">
          <cell r="U3314" t="str">
            <v>Ppto 2026</v>
          </cell>
        </row>
        <row r="3315">
          <cell r="U3315" t="str">
            <v>Ppto 2026</v>
          </cell>
        </row>
        <row r="3316">
          <cell r="U3316" t="str">
            <v>Ppto 2026</v>
          </cell>
        </row>
        <row r="3317">
          <cell r="U3317" t="str">
            <v>Ppto 2026</v>
          </cell>
        </row>
        <row r="3318">
          <cell r="U3318" t="str">
            <v>Ppto 2026</v>
          </cell>
        </row>
        <row r="3319">
          <cell r="U3319" t="str">
            <v>Ppto 2026</v>
          </cell>
        </row>
        <row r="3320">
          <cell r="U3320" t="str">
            <v>Ppto 2026</v>
          </cell>
        </row>
        <row r="3321">
          <cell r="U3321" t="str">
            <v>Ppto 2026</v>
          </cell>
        </row>
        <row r="3322">
          <cell r="U3322" t="str">
            <v>Ppto 2026</v>
          </cell>
        </row>
        <row r="3323">
          <cell r="U3323" t="str">
            <v>Ppto 2026</v>
          </cell>
        </row>
        <row r="3324">
          <cell r="U3324" t="str">
            <v>Ppto 2026</v>
          </cell>
        </row>
        <row r="3325">
          <cell r="U3325" t="str">
            <v>Ppto 2026</v>
          </cell>
        </row>
        <row r="3326">
          <cell r="U3326" t="str">
            <v>Ppto 2026</v>
          </cell>
        </row>
        <row r="3327">
          <cell r="U3327" t="str">
            <v>Ppto 2026</v>
          </cell>
        </row>
        <row r="3328">
          <cell r="U3328" t="str">
            <v>Ppto 2026</v>
          </cell>
        </row>
        <row r="3329">
          <cell r="U3329" t="str">
            <v>Ppto 2026</v>
          </cell>
        </row>
        <row r="3330">
          <cell r="U3330" t="str">
            <v>Ppto 2026</v>
          </cell>
        </row>
        <row r="3331">
          <cell r="U3331" t="str">
            <v>Ppto 2026</v>
          </cell>
        </row>
        <row r="3332">
          <cell r="U3332" t="str">
            <v>Ppto 2026</v>
          </cell>
        </row>
        <row r="3333">
          <cell r="U3333" t="str">
            <v>Ppto 2026</v>
          </cell>
        </row>
        <row r="3334">
          <cell r="U3334" t="str">
            <v>Ppto 2026</v>
          </cell>
        </row>
        <row r="3335">
          <cell r="U3335" t="str">
            <v>Ppto 2026</v>
          </cell>
        </row>
        <row r="3336">
          <cell r="U3336" t="str">
            <v>Ppto 2026</v>
          </cell>
        </row>
        <row r="3337">
          <cell r="U3337" t="str">
            <v>Ppto 2026</v>
          </cell>
        </row>
        <row r="3338">
          <cell r="U3338" t="str">
            <v>Ppto 2026</v>
          </cell>
        </row>
        <row r="3339">
          <cell r="U3339" t="str">
            <v>Ppto 2026</v>
          </cell>
        </row>
        <row r="3340">
          <cell r="U3340" t="str">
            <v>Ppto 2026</v>
          </cell>
        </row>
        <row r="3341">
          <cell r="U3341" t="str">
            <v>Ppto 2026</v>
          </cell>
        </row>
        <row r="3342">
          <cell r="U3342" t="str">
            <v>Ppto 2026</v>
          </cell>
        </row>
        <row r="3343">
          <cell r="U3343" t="str">
            <v>Ppto 2026</v>
          </cell>
        </row>
        <row r="3344">
          <cell r="U3344" t="str">
            <v>Ppto 2026</v>
          </cell>
        </row>
        <row r="3345">
          <cell r="U3345" t="str">
            <v>Ppto 2026</v>
          </cell>
        </row>
        <row r="3346">
          <cell r="U3346" t="str">
            <v>Ppto 2026</v>
          </cell>
        </row>
        <row r="3347">
          <cell r="U3347" t="str">
            <v>Ppto 2026</v>
          </cell>
        </row>
        <row r="3348">
          <cell r="U3348" t="str">
            <v>Ppto 2026</v>
          </cell>
        </row>
        <row r="3349">
          <cell r="U3349" t="str">
            <v>Ppto 2026</v>
          </cell>
        </row>
        <row r="3350">
          <cell r="U3350" t="str">
            <v>Ppto 2026</v>
          </cell>
        </row>
        <row r="3351">
          <cell r="U3351" t="str">
            <v>Ppto 2026</v>
          </cell>
        </row>
        <row r="3352">
          <cell r="U3352" t="str">
            <v>Ppto 2026</v>
          </cell>
        </row>
        <row r="3353">
          <cell r="U3353" t="str">
            <v>Ppto 2026</v>
          </cell>
        </row>
        <row r="3354">
          <cell r="U3354" t="str">
            <v>Ppto 2026</v>
          </cell>
        </row>
        <row r="3355">
          <cell r="U3355" t="str">
            <v>Ppto 2026</v>
          </cell>
        </row>
        <row r="3356">
          <cell r="U3356" t="str">
            <v>Ppto 2026</v>
          </cell>
        </row>
        <row r="3357">
          <cell r="U3357" t="str">
            <v>Ppto 2026</v>
          </cell>
        </row>
        <row r="3358">
          <cell r="U3358" t="str">
            <v>Ppto 2026</v>
          </cell>
        </row>
        <row r="3359">
          <cell r="U3359" t="str">
            <v>Ppto 2026</v>
          </cell>
        </row>
        <row r="3360">
          <cell r="U3360" t="str">
            <v>Ppto 2026</v>
          </cell>
        </row>
        <row r="3361">
          <cell r="U3361" t="str">
            <v>Ppto 2026</v>
          </cell>
        </row>
        <row r="3362">
          <cell r="U3362" t="str">
            <v>Ppto 2026</v>
          </cell>
        </row>
        <row r="3363">
          <cell r="U3363" t="str">
            <v>Ppto 2026</v>
          </cell>
        </row>
        <row r="3364">
          <cell r="U3364" t="str">
            <v>Ppto 2026</v>
          </cell>
        </row>
        <row r="3365">
          <cell r="U3365" t="str">
            <v>Ppto 2026</v>
          </cell>
        </row>
        <row r="3366">
          <cell r="U3366" t="str">
            <v>Ppto 2026</v>
          </cell>
        </row>
        <row r="3367">
          <cell r="U3367" t="str">
            <v>Ppto 2026</v>
          </cell>
        </row>
        <row r="3368">
          <cell r="U3368" t="str">
            <v>Ppto 2026</v>
          </cell>
        </row>
        <row r="3369">
          <cell r="U3369" t="str">
            <v>Ppto 2026</v>
          </cell>
        </row>
        <row r="3370">
          <cell r="U3370" t="str">
            <v>Ppto 2026</v>
          </cell>
        </row>
        <row r="3371">
          <cell r="U3371" t="str">
            <v>Ppto 2026</v>
          </cell>
        </row>
        <row r="3372">
          <cell r="U3372" t="str">
            <v>Ppto 2026</v>
          </cell>
        </row>
        <row r="3373">
          <cell r="U3373" t="str">
            <v>Ppto 2026</v>
          </cell>
        </row>
        <row r="3374">
          <cell r="U3374" t="str">
            <v>Ppto 2026</v>
          </cell>
        </row>
        <row r="3375">
          <cell r="U3375" t="str">
            <v>Ppto 2026</v>
          </cell>
        </row>
        <row r="3376">
          <cell r="U3376" t="str">
            <v>Ppto 2026</v>
          </cell>
        </row>
        <row r="3377">
          <cell r="U3377" t="str">
            <v>Ppto 2026</v>
          </cell>
        </row>
        <row r="3378">
          <cell r="U3378" t="str">
            <v>Ppto 2026</v>
          </cell>
        </row>
        <row r="3379">
          <cell r="U3379" t="str">
            <v>Ppto 2026</v>
          </cell>
        </row>
        <row r="3380">
          <cell r="U3380" t="str">
            <v>Ppto 2026</v>
          </cell>
        </row>
        <row r="3381">
          <cell r="U3381" t="str">
            <v>Ppto 2026</v>
          </cell>
        </row>
        <row r="3382">
          <cell r="U3382" t="str">
            <v>Ppto 2026</v>
          </cell>
        </row>
        <row r="3383">
          <cell r="U3383" t="str">
            <v>Ppto 2026</v>
          </cell>
        </row>
        <row r="3384">
          <cell r="U3384" t="str">
            <v>Ppto 2026</v>
          </cell>
        </row>
        <row r="3385">
          <cell r="U3385" t="str">
            <v>Ppto 2026</v>
          </cell>
        </row>
        <row r="3386">
          <cell r="U3386" t="str">
            <v>Ppto 2026</v>
          </cell>
        </row>
        <row r="3387">
          <cell r="U3387" t="str">
            <v>Ppto 2026</v>
          </cell>
        </row>
        <row r="3388">
          <cell r="U3388" t="str">
            <v>Ppto 2026</v>
          </cell>
        </row>
        <row r="3389">
          <cell r="U3389" t="str">
            <v>Ppto 2026</v>
          </cell>
        </row>
        <row r="3390">
          <cell r="U3390" t="str">
            <v>Ppto 2026</v>
          </cell>
        </row>
        <row r="3391">
          <cell r="U3391" t="str">
            <v>Ppto 2026</v>
          </cell>
        </row>
        <row r="3392">
          <cell r="U3392" t="str">
            <v>Ppto 2026</v>
          </cell>
        </row>
        <row r="3393">
          <cell r="U3393" t="str">
            <v>Ppto 2026</v>
          </cell>
        </row>
        <row r="3394">
          <cell r="U3394" t="str">
            <v>Ppto 2026</v>
          </cell>
        </row>
        <row r="3395">
          <cell r="U3395" t="str">
            <v>Ppto 2026</v>
          </cell>
        </row>
        <row r="3396">
          <cell r="U3396" t="str">
            <v>Ppto 2026</v>
          </cell>
        </row>
        <row r="3397">
          <cell r="U3397" t="str">
            <v>Ppto 2026</v>
          </cell>
        </row>
        <row r="3398">
          <cell r="U3398" t="str">
            <v>Ppto 2026</v>
          </cell>
        </row>
        <row r="3399">
          <cell r="U3399" t="str">
            <v>Ppto 2026</v>
          </cell>
        </row>
        <row r="3400">
          <cell r="U3400" t="str">
            <v>Ppto 2026</v>
          </cell>
        </row>
        <row r="3401">
          <cell r="U3401" t="str">
            <v>Ppto 2026</v>
          </cell>
        </row>
        <row r="3402">
          <cell r="U3402" t="str">
            <v>Ppto 2026</v>
          </cell>
        </row>
        <row r="3403">
          <cell r="U3403" t="str">
            <v>Ppto 2026</v>
          </cell>
        </row>
        <row r="3404">
          <cell r="U3404" t="str">
            <v>Ppto 2026</v>
          </cell>
        </row>
        <row r="3405">
          <cell r="U3405" t="str">
            <v>Ppto 2026</v>
          </cell>
        </row>
        <row r="3406">
          <cell r="U3406" t="str">
            <v>Ppto 2026</v>
          </cell>
        </row>
        <row r="3407">
          <cell r="U3407" t="str">
            <v>Ppto 2026</v>
          </cell>
        </row>
        <row r="3408">
          <cell r="U3408" t="str">
            <v>Ppto 2026</v>
          </cell>
        </row>
        <row r="3409">
          <cell r="U3409" t="str">
            <v>Ppto 2026</v>
          </cell>
        </row>
        <row r="3410">
          <cell r="U3410" t="str">
            <v>Ppto 2026</v>
          </cell>
        </row>
        <row r="3411">
          <cell r="U3411" t="str">
            <v>Ppto 2026</v>
          </cell>
        </row>
        <row r="3412">
          <cell r="U3412" t="str">
            <v>Ppto 2026</v>
          </cell>
        </row>
        <row r="3413">
          <cell r="U3413" t="str">
            <v>Ppto 2026</v>
          </cell>
        </row>
        <row r="3414">
          <cell r="U3414" t="str">
            <v>Ppto 2026</v>
          </cell>
        </row>
        <row r="3415">
          <cell r="U3415" t="str">
            <v>Ppto 2026</v>
          </cell>
        </row>
        <row r="3416">
          <cell r="U3416" t="str">
            <v>Ppto 2026</v>
          </cell>
        </row>
        <row r="3417">
          <cell r="U3417" t="str">
            <v>Ppto 2026</v>
          </cell>
        </row>
        <row r="3418">
          <cell r="U3418" t="str">
            <v>Ppto 2026</v>
          </cell>
        </row>
        <row r="3419">
          <cell r="U3419" t="str">
            <v>Ppto 2026</v>
          </cell>
        </row>
        <row r="3420">
          <cell r="U3420" t="str">
            <v>Ppto 2026</v>
          </cell>
        </row>
        <row r="3421">
          <cell r="U3421" t="str">
            <v>Ppto 2026</v>
          </cell>
        </row>
        <row r="3422">
          <cell r="U3422" t="str">
            <v>Ppto 2026</v>
          </cell>
        </row>
        <row r="3423">
          <cell r="U3423" t="str">
            <v>Ppto 2026</v>
          </cell>
        </row>
        <row r="3424">
          <cell r="U3424" t="str">
            <v>Ppto 2026</v>
          </cell>
        </row>
        <row r="3425">
          <cell r="U3425" t="str">
            <v>Ppto 2026</v>
          </cell>
        </row>
        <row r="3426">
          <cell r="U3426" t="str">
            <v>Ppto 2026</v>
          </cell>
        </row>
        <row r="3427">
          <cell r="U3427" t="str">
            <v>Ppto 2026</v>
          </cell>
        </row>
        <row r="3428">
          <cell r="U3428" t="str">
            <v>Ppto 2026</v>
          </cell>
        </row>
        <row r="3429">
          <cell r="U3429" t="str">
            <v>Ppto 2026</v>
          </cell>
        </row>
        <row r="3430">
          <cell r="U3430" t="str">
            <v>Ppto 2026</v>
          </cell>
        </row>
        <row r="3431">
          <cell r="U3431" t="str">
            <v>Ppto 2026</v>
          </cell>
        </row>
        <row r="3432">
          <cell r="U3432" t="str">
            <v>Ppto 2026</v>
          </cell>
        </row>
        <row r="3433">
          <cell r="U3433" t="str">
            <v>Ppto 2026</v>
          </cell>
        </row>
        <row r="3434">
          <cell r="U3434" t="str">
            <v>Ppto 2026</v>
          </cell>
        </row>
        <row r="3435">
          <cell r="U3435" t="str">
            <v>Ppto 2026</v>
          </cell>
        </row>
        <row r="3436">
          <cell r="U3436" t="str">
            <v>Ppto 2026</v>
          </cell>
        </row>
        <row r="3437">
          <cell r="U3437" t="str">
            <v>Ppto 2026</v>
          </cell>
        </row>
        <row r="3438">
          <cell r="U3438" t="str">
            <v>Ppto 2026</v>
          </cell>
        </row>
        <row r="3439">
          <cell r="U3439" t="str">
            <v>Ppto 2026</v>
          </cell>
        </row>
        <row r="3440">
          <cell r="U3440" t="str">
            <v>Ppto 2026</v>
          </cell>
        </row>
        <row r="3441">
          <cell r="U3441" t="str">
            <v>Ppto 2026</v>
          </cell>
        </row>
        <row r="3442">
          <cell r="U3442" t="str">
            <v>Ppto 2026</v>
          </cell>
        </row>
        <row r="3443">
          <cell r="U3443" t="str">
            <v>Ppto 2026</v>
          </cell>
        </row>
        <row r="3444">
          <cell r="U3444" t="str">
            <v>Ppto 2026</v>
          </cell>
        </row>
        <row r="3445">
          <cell r="U3445" t="str">
            <v>Ppto 2026</v>
          </cell>
        </row>
        <row r="3446">
          <cell r="U3446" t="str">
            <v>Ppto 2026</v>
          </cell>
        </row>
        <row r="3447">
          <cell r="U3447" t="str">
            <v>Ppto 2026</v>
          </cell>
        </row>
        <row r="3448">
          <cell r="U3448" t="str">
            <v>Ppto 2026</v>
          </cell>
        </row>
        <row r="3449">
          <cell r="U3449" t="str">
            <v>Ppto 2026</v>
          </cell>
        </row>
        <row r="3450">
          <cell r="U3450" t="str">
            <v>Ppto 2026</v>
          </cell>
        </row>
        <row r="3451">
          <cell r="U3451" t="str">
            <v>Ppto 2026</v>
          </cell>
        </row>
        <row r="3452">
          <cell r="U3452" t="str">
            <v>Ppto 2026</v>
          </cell>
        </row>
        <row r="3453">
          <cell r="U3453" t="str">
            <v>Ppto 2026</v>
          </cell>
        </row>
        <row r="3454">
          <cell r="U3454" t="str">
            <v>Ppto 2026</v>
          </cell>
        </row>
        <row r="3455">
          <cell r="U3455" t="str">
            <v>Ppto 2026</v>
          </cell>
        </row>
        <row r="3456">
          <cell r="U3456" t="str">
            <v>Ppto 2026</v>
          </cell>
        </row>
        <row r="3457">
          <cell r="U3457" t="str">
            <v>Ppto 2026</v>
          </cell>
        </row>
        <row r="3458">
          <cell r="U3458" t="str">
            <v>Ppto 2026</v>
          </cell>
        </row>
        <row r="3459">
          <cell r="U3459" t="str">
            <v>Ppto 2026</v>
          </cell>
        </row>
        <row r="3460">
          <cell r="U3460" t="str">
            <v>Ppto 2026</v>
          </cell>
        </row>
        <row r="3461">
          <cell r="U3461" t="str">
            <v>Ppto 2026</v>
          </cell>
        </row>
        <row r="3462">
          <cell r="U3462" t="str">
            <v>Ppto 2026</v>
          </cell>
        </row>
        <row r="3463">
          <cell r="U3463" t="str">
            <v>Ppto 2026</v>
          </cell>
        </row>
        <row r="3464">
          <cell r="U3464" t="str">
            <v>Ppto 2026</v>
          </cell>
        </row>
        <row r="3465">
          <cell r="U3465" t="str">
            <v>Ppto 2026</v>
          </cell>
        </row>
        <row r="3466">
          <cell r="U3466" t="str">
            <v>Ppto 2026</v>
          </cell>
        </row>
        <row r="3467">
          <cell r="U3467" t="str">
            <v>Ppto 2026</v>
          </cell>
        </row>
        <row r="3468">
          <cell r="U3468" t="str">
            <v>Ppto 2026</v>
          </cell>
        </row>
        <row r="3469">
          <cell r="U3469" t="str">
            <v>Ppto 2026</v>
          </cell>
        </row>
        <row r="3470">
          <cell r="U3470" t="str">
            <v>Ppto 2026</v>
          </cell>
        </row>
        <row r="3471">
          <cell r="U3471" t="str">
            <v>Ppto 2026</v>
          </cell>
        </row>
        <row r="3472">
          <cell r="U3472" t="str">
            <v>Ppto 2026</v>
          </cell>
        </row>
        <row r="3473">
          <cell r="U3473" t="str">
            <v>Ppto 2026</v>
          </cell>
        </row>
        <row r="3474">
          <cell r="U3474" t="str">
            <v>Ppto 2026</v>
          </cell>
        </row>
        <row r="3475">
          <cell r="U3475" t="str">
            <v>Ppto 2026</v>
          </cell>
        </row>
        <row r="3476">
          <cell r="U3476" t="str">
            <v>Ppto 2026</v>
          </cell>
        </row>
        <row r="3477">
          <cell r="U3477" t="str">
            <v>Ppto 2026</v>
          </cell>
        </row>
        <row r="3478">
          <cell r="U3478" t="str">
            <v>Ppto 2026</v>
          </cell>
        </row>
        <row r="3479">
          <cell r="U3479" t="str">
            <v>Ppto 2026</v>
          </cell>
        </row>
        <row r="3480">
          <cell r="U3480" t="str">
            <v>Ppto 2026</v>
          </cell>
        </row>
        <row r="3481">
          <cell r="U3481" t="str">
            <v>Ppto 2026</v>
          </cell>
        </row>
        <row r="3482">
          <cell r="U3482" t="str">
            <v>Ppto 2026</v>
          </cell>
        </row>
        <row r="3483">
          <cell r="U3483" t="str">
            <v>Ppto 2026</v>
          </cell>
        </row>
        <row r="3484">
          <cell r="U3484" t="str">
            <v>Ppto 2026</v>
          </cell>
        </row>
        <row r="3485">
          <cell r="U3485" t="str">
            <v>Ppto 2026</v>
          </cell>
        </row>
        <row r="3486">
          <cell r="U3486" t="str">
            <v>Ppto 2026</v>
          </cell>
        </row>
        <row r="3487">
          <cell r="U3487" t="str">
            <v>Ppto 2026</v>
          </cell>
        </row>
        <row r="3488">
          <cell r="U3488" t="str">
            <v>Ppto 2026</v>
          </cell>
        </row>
        <row r="3489">
          <cell r="U3489" t="str">
            <v>Ppto 2026</v>
          </cell>
        </row>
        <row r="3490">
          <cell r="U3490" t="str">
            <v>Ppto 2026</v>
          </cell>
        </row>
        <row r="3491">
          <cell r="U3491" t="str">
            <v>Ppto 2026</v>
          </cell>
        </row>
        <row r="3492">
          <cell r="U3492" t="str">
            <v>Ppto 2026</v>
          </cell>
        </row>
        <row r="3493">
          <cell r="U3493" t="str">
            <v>Ppto 2026</v>
          </cell>
        </row>
        <row r="3494">
          <cell r="U3494" t="str">
            <v>Ppto 2026</v>
          </cell>
        </row>
        <row r="3495">
          <cell r="U3495" t="str">
            <v>Ppto 2026</v>
          </cell>
        </row>
        <row r="3496">
          <cell r="U3496" t="str">
            <v>Ppto 2026</v>
          </cell>
        </row>
        <row r="3497">
          <cell r="U3497" t="str">
            <v>Ppto 2026</v>
          </cell>
        </row>
        <row r="3498">
          <cell r="U3498" t="str">
            <v>Ppto 2026</v>
          </cell>
        </row>
        <row r="3499">
          <cell r="U3499" t="str">
            <v>Ppto 2026</v>
          </cell>
        </row>
        <row r="3500">
          <cell r="U3500" t="str">
            <v>Ppto 2026</v>
          </cell>
        </row>
        <row r="3501">
          <cell r="U3501" t="str">
            <v>Ppto 2026</v>
          </cell>
        </row>
        <row r="3502">
          <cell r="U3502" t="str">
            <v>Ppto 2026</v>
          </cell>
        </row>
        <row r="3503">
          <cell r="U3503" t="str">
            <v>Ppto 2026</v>
          </cell>
        </row>
        <row r="3504">
          <cell r="U3504" t="str">
            <v>Ppto 2026</v>
          </cell>
        </row>
        <row r="3505">
          <cell r="U3505" t="str">
            <v>Ppto 2026</v>
          </cell>
        </row>
        <row r="3506">
          <cell r="U3506" t="str">
            <v>Ppto 2026</v>
          </cell>
        </row>
        <row r="3507">
          <cell r="U3507" t="str">
            <v>Ppto 2026</v>
          </cell>
        </row>
        <row r="3508">
          <cell r="U3508" t="str">
            <v>Ppto 2026</v>
          </cell>
        </row>
        <row r="3509">
          <cell r="U3509" t="str">
            <v>Ppto 2026</v>
          </cell>
        </row>
        <row r="3510">
          <cell r="U3510" t="str">
            <v>Ppto 2026</v>
          </cell>
        </row>
        <row r="3511">
          <cell r="U3511" t="str">
            <v>Ppto 2026</v>
          </cell>
        </row>
        <row r="3512">
          <cell r="U3512" t="str">
            <v>Ppto 2026</v>
          </cell>
        </row>
        <row r="3513">
          <cell r="U3513" t="str">
            <v>Ppto 2026</v>
          </cell>
        </row>
        <row r="3514">
          <cell r="U3514" t="str">
            <v>Ppto 2026</v>
          </cell>
        </row>
        <row r="3515">
          <cell r="U3515" t="str">
            <v>Ppto 2026</v>
          </cell>
        </row>
        <row r="3516">
          <cell r="U3516" t="str">
            <v>Ppto 2026</v>
          </cell>
        </row>
        <row r="3517">
          <cell r="U3517" t="str">
            <v>Ppto 2026</v>
          </cell>
        </row>
        <row r="3518">
          <cell r="U3518" t="str">
            <v>Ppto 2026</v>
          </cell>
        </row>
        <row r="3519">
          <cell r="U3519" t="str">
            <v>Ppto 2026</v>
          </cell>
        </row>
        <row r="3520">
          <cell r="U3520" t="str">
            <v>Ppto 2026</v>
          </cell>
        </row>
        <row r="3521">
          <cell r="U3521" t="str">
            <v>Ppto 2026</v>
          </cell>
        </row>
        <row r="3522">
          <cell r="U3522" t="str">
            <v>Ppto 2026</v>
          </cell>
        </row>
        <row r="3523">
          <cell r="U3523" t="str">
            <v>Ppto 2026</v>
          </cell>
        </row>
        <row r="3524">
          <cell r="U3524" t="str">
            <v>Ppto 2026</v>
          </cell>
        </row>
        <row r="3525">
          <cell r="U3525" t="str">
            <v>Ppto 2026</v>
          </cell>
        </row>
        <row r="3526">
          <cell r="U3526" t="str">
            <v>Ppto 2026</v>
          </cell>
        </row>
        <row r="3527">
          <cell r="U3527" t="str">
            <v>Ppto 2026</v>
          </cell>
        </row>
        <row r="3528">
          <cell r="U3528" t="str">
            <v>Ppto 2026</v>
          </cell>
        </row>
        <row r="3529">
          <cell r="U3529" t="str">
            <v>Ppto 2026</v>
          </cell>
        </row>
        <row r="3530">
          <cell r="U3530" t="str">
            <v>Ppto 2026</v>
          </cell>
        </row>
        <row r="3531">
          <cell r="U3531" t="str">
            <v>Ppto 2026</v>
          </cell>
        </row>
        <row r="3532">
          <cell r="U3532" t="str">
            <v>Ppto 2026</v>
          </cell>
        </row>
        <row r="3533">
          <cell r="U3533" t="str">
            <v>Ppto 2026</v>
          </cell>
        </row>
        <row r="3534">
          <cell r="U3534" t="str">
            <v>Ppto 2026</v>
          </cell>
        </row>
        <row r="3535">
          <cell r="U3535" t="str">
            <v>Ppto 2026</v>
          </cell>
        </row>
        <row r="3536">
          <cell r="U3536" t="str">
            <v>Ppto 2026</v>
          </cell>
        </row>
        <row r="3537">
          <cell r="U3537" t="str">
            <v>Ppto 2026</v>
          </cell>
        </row>
        <row r="3538">
          <cell r="U3538" t="str">
            <v>Ppto 2026</v>
          </cell>
        </row>
        <row r="3539">
          <cell r="U3539" t="str">
            <v>Ppto 2026</v>
          </cell>
        </row>
        <row r="3540">
          <cell r="U3540" t="str">
            <v>Ppto 2026</v>
          </cell>
        </row>
        <row r="3541">
          <cell r="U3541" t="str">
            <v>Ppto 2026</v>
          </cell>
        </row>
        <row r="3542">
          <cell r="U3542" t="str">
            <v>Ppto 2026</v>
          </cell>
        </row>
        <row r="3543">
          <cell r="U3543" t="str">
            <v>Ppto 2026</v>
          </cell>
        </row>
        <row r="3544">
          <cell r="U3544" t="str">
            <v>Ppto 2026</v>
          </cell>
        </row>
        <row r="3545">
          <cell r="U3545" t="str">
            <v>Ppto 2026</v>
          </cell>
        </row>
        <row r="3546">
          <cell r="U3546" t="str">
            <v>Ppto 2026</v>
          </cell>
        </row>
        <row r="3547">
          <cell r="U3547" t="str">
            <v>Ppto 2026</v>
          </cell>
        </row>
        <row r="3548">
          <cell r="U3548" t="str">
            <v>Ppto 2026</v>
          </cell>
        </row>
        <row r="3549">
          <cell r="U3549" t="str">
            <v>Ppto 2026</v>
          </cell>
        </row>
        <row r="3550">
          <cell r="U3550" t="str">
            <v>Ppto 2026</v>
          </cell>
        </row>
        <row r="3551">
          <cell r="U3551" t="str">
            <v>Ppto 2026</v>
          </cell>
        </row>
        <row r="3552">
          <cell r="U3552" t="str">
            <v>Ppto 2026</v>
          </cell>
        </row>
        <row r="3553">
          <cell r="U3553" t="str">
            <v>Ppto 2026</v>
          </cell>
        </row>
        <row r="3554">
          <cell r="U3554" t="str">
            <v>Ppto 2026</v>
          </cell>
        </row>
        <row r="3555">
          <cell r="U3555" t="str">
            <v>Ppto 2026</v>
          </cell>
        </row>
        <row r="3556">
          <cell r="U3556" t="str">
            <v>Ppto 2026</v>
          </cell>
        </row>
        <row r="3557">
          <cell r="U3557" t="str">
            <v>Ppto 2026</v>
          </cell>
        </row>
        <row r="3558">
          <cell r="U3558" t="str">
            <v>Ppto 2026</v>
          </cell>
        </row>
        <row r="3559">
          <cell r="U3559" t="str">
            <v>Ppto 2026</v>
          </cell>
        </row>
        <row r="3560">
          <cell r="U3560" t="str">
            <v>Ppto 2026</v>
          </cell>
        </row>
        <row r="3561">
          <cell r="U3561" t="str">
            <v>Ppto 2026</v>
          </cell>
        </row>
        <row r="3562">
          <cell r="U3562" t="str">
            <v>Ppto 2026</v>
          </cell>
        </row>
        <row r="3563">
          <cell r="U3563" t="str">
            <v>Ppto 2026</v>
          </cell>
        </row>
        <row r="3564">
          <cell r="U3564" t="str">
            <v>Ppto 2026</v>
          </cell>
        </row>
        <row r="3565">
          <cell r="U3565" t="str">
            <v>Ppto 2026</v>
          </cell>
        </row>
        <row r="3566">
          <cell r="U3566" t="str">
            <v>Ppto 2026</v>
          </cell>
        </row>
        <row r="3567">
          <cell r="U3567" t="str">
            <v>Ppto 2026</v>
          </cell>
        </row>
        <row r="3568">
          <cell r="U3568" t="str">
            <v>Ppto 2026</v>
          </cell>
        </row>
        <row r="3569">
          <cell r="U3569" t="str">
            <v>Ppto 2026</v>
          </cell>
        </row>
        <row r="3570">
          <cell r="U3570" t="str">
            <v>Ppto 2026</v>
          </cell>
        </row>
        <row r="3571">
          <cell r="U3571" t="str">
            <v>Ppto 2026</v>
          </cell>
        </row>
        <row r="3572">
          <cell r="U3572" t="str">
            <v>Ppto 2026</v>
          </cell>
        </row>
        <row r="3573">
          <cell r="U3573" t="str">
            <v>Ppto 2026</v>
          </cell>
        </row>
        <row r="3574">
          <cell r="U3574" t="str">
            <v>Ppto 2026</v>
          </cell>
        </row>
        <row r="3575">
          <cell r="U3575" t="str">
            <v>Ppto 2026</v>
          </cell>
        </row>
        <row r="3576">
          <cell r="U3576" t="str">
            <v>Ppto 2026</v>
          </cell>
        </row>
        <row r="3577">
          <cell r="U3577" t="str">
            <v>Ppto 2026</v>
          </cell>
        </row>
        <row r="3578">
          <cell r="U3578" t="str">
            <v>Ppto 2026</v>
          </cell>
        </row>
        <row r="3579">
          <cell r="U3579" t="str">
            <v>Ppto 2026</v>
          </cell>
        </row>
        <row r="3580">
          <cell r="U3580" t="str">
            <v>Ppto 2026</v>
          </cell>
        </row>
        <row r="3581">
          <cell r="U3581" t="str">
            <v>Ppto 2026</v>
          </cell>
        </row>
        <row r="3582">
          <cell r="U3582" t="str">
            <v>Ppto 2026</v>
          </cell>
        </row>
        <row r="3583">
          <cell r="U3583" t="str">
            <v>Ppto 2026</v>
          </cell>
        </row>
        <row r="3584">
          <cell r="U3584" t="str">
            <v>Ppto 2026</v>
          </cell>
        </row>
        <row r="3585">
          <cell r="U3585" t="str">
            <v>Ppto 2026</v>
          </cell>
        </row>
        <row r="3586">
          <cell r="U3586" t="str">
            <v>Ppto 2026</v>
          </cell>
        </row>
        <row r="3587">
          <cell r="U3587" t="str">
            <v>Ppto 2026</v>
          </cell>
        </row>
        <row r="3588">
          <cell r="U3588" t="str">
            <v>Ppto 2026</v>
          </cell>
        </row>
        <row r="3589">
          <cell r="U3589" t="str">
            <v>Ppto 2026</v>
          </cell>
        </row>
        <row r="3590">
          <cell r="U3590" t="str">
            <v>Ppto 2026</v>
          </cell>
        </row>
        <row r="3591">
          <cell r="U3591" t="str">
            <v>Ppto 2026</v>
          </cell>
        </row>
        <row r="3592">
          <cell r="U3592" t="str">
            <v>Ppto 2026</v>
          </cell>
        </row>
        <row r="3593">
          <cell r="U3593" t="str">
            <v>Ppto 2026</v>
          </cell>
        </row>
        <row r="3594">
          <cell r="U3594" t="str">
            <v>Ppto 2026</v>
          </cell>
        </row>
        <row r="3595">
          <cell r="U3595" t="str">
            <v>Ppto 2026</v>
          </cell>
        </row>
        <row r="3596">
          <cell r="U3596" t="str">
            <v>Ppto 2026</v>
          </cell>
        </row>
        <row r="3597">
          <cell r="U3597" t="str">
            <v>Ppto 2026</v>
          </cell>
        </row>
        <row r="3598">
          <cell r="U3598" t="str">
            <v>Ppto 2026</v>
          </cell>
        </row>
        <row r="3599">
          <cell r="U3599" t="str">
            <v>Ppto 2026</v>
          </cell>
        </row>
        <row r="3600">
          <cell r="U3600" t="str">
            <v>Ppto 2026</v>
          </cell>
        </row>
        <row r="3601">
          <cell r="U3601" t="str">
            <v>Ppto 2026</v>
          </cell>
        </row>
        <row r="3602">
          <cell r="U3602" t="str">
            <v>Ppto 2026</v>
          </cell>
        </row>
        <row r="3603">
          <cell r="U3603" t="str">
            <v>Ppto 2026</v>
          </cell>
        </row>
        <row r="3604">
          <cell r="U3604" t="str">
            <v>Ppto 2026</v>
          </cell>
        </row>
        <row r="3605">
          <cell r="U3605">
            <v>2026</v>
          </cell>
        </row>
        <row r="3606">
          <cell r="U3606">
            <v>2026</v>
          </cell>
        </row>
        <row r="3607">
          <cell r="U3607">
            <v>2026</v>
          </cell>
        </row>
        <row r="3608">
          <cell r="U3608">
            <v>2026</v>
          </cell>
        </row>
        <row r="3609">
          <cell r="U3609">
            <v>2026</v>
          </cell>
        </row>
        <row r="3610">
          <cell r="U3610">
            <v>2026</v>
          </cell>
        </row>
        <row r="3611">
          <cell r="U3611">
            <v>2026</v>
          </cell>
        </row>
        <row r="3612">
          <cell r="U3612">
            <v>2026</v>
          </cell>
        </row>
        <row r="3613">
          <cell r="U3613">
            <v>2026</v>
          </cell>
        </row>
        <row r="3614">
          <cell r="U3614">
            <v>2026</v>
          </cell>
        </row>
        <row r="3615">
          <cell r="U3615">
            <v>2026</v>
          </cell>
        </row>
        <row r="3616">
          <cell r="U3616">
            <v>2026</v>
          </cell>
        </row>
        <row r="3617">
          <cell r="U3617">
            <v>2026</v>
          </cell>
        </row>
        <row r="3618">
          <cell r="U3618">
            <v>2026</v>
          </cell>
        </row>
        <row r="3619">
          <cell r="U3619">
            <v>2026</v>
          </cell>
        </row>
        <row r="3620">
          <cell r="U3620">
            <v>2026</v>
          </cell>
        </row>
        <row r="3621">
          <cell r="U3621">
            <v>2026</v>
          </cell>
        </row>
        <row r="3622">
          <cell r="U3622">
            <v>2026</v>
          </cell>
        </row>
        <row r="3623">
          <cell r="U3623">
            <v>2026</v>
          </cell>
        </row>
        <row r="3624">
          <cell r="U3624">
            <v>2026</v>
          </cell>
        </row>
        <row r="3625">
          <cell r="U3625">
            <v>2026</v>
          </cell>
        </row>
        <row r="3626">
          <cell r="U3626">
            <v>2026</v>
          </cell>
        </row>
        <row r="3627">
          <cell r="U3627">
            <v>2026</v>
          </cell>
        </row>
        <row r="3628">
          <cell r="U3628">
            <v>2026</v>
          </cell>
        </row>
        <row r="3629">
          <cell r="U3629">
            <v>2026</v>
          </cell>
        </row>
        <row r="3630">
          <cell r="U3630">
            <v>2026</v>
          </cell>
        </row>
        <row r="3631">
          <cell r="U3631">
            <v>2026</v>
          </cell>
        </row>
        <row r="3632">
          <cell r="U3632">
            <v>2026</v>
          </cell>
        </row>
        <row r="3633">
          <cell r="U3633">
            <v>2026</v>
          </cell>
        </row>
        <row r="3634">
          <cell r="U3634">
            <v>2026</v>
          </cell>
        </row>
        <row r="3635">
          <cell r="U3635">
            <v>2026</v>
          </cell>
        </row>
        <row r="3636">
          <cell r="U3636">
            <v>2026</v>
          </cell>
        </row>
        <row r="3637">
          <cell r="U3637">
            <v>2026</v>
          </cell>
        </row>
        <row r="3638">
          <cell r="U3638">
            <v>2026</v>
          </cell>
        </row>
        <row r="3639">
          <cell r="U3639">
            <v>2026</v>
          </cell>
        </row>
        <row r="3640">
          <cell r="U3640">
            <v>2026</v>
          </cell>
        </row>
        <row r="3641">
          <cell r="U3641">
            <v>2026</v>
          </cell>
        </row>
        <row r="3642">
          <cell r="U3642">
            <v>2026</v>
          </cell>
        </row>
        <row r="3643">
          <cell r="U3643">
            <v>2026</v>
          </cell>
        </row>
        <row r="3644">
          <cell r="U3644">
            <v>2026</v>
          </cell>
        </row>
        <row r="3645">
          <cell r="U3645">
            <v>2026</v>
          </cell>
        </row>
        <row r="3646">
          <cell r="U3646">
            <v>2026</v>
          </cell>
        </row>
        <row r="3647">
          <cell r="U3647">
            <v>2026</v>
          </cell>
        </row>
        <row r="3648">
          <cell r="U3648">
            <v>2026</v>
          </cell>
        </row>
        <row r="3649">
          <cell r="U3649">
            <v>2026</v>
          </cell>
        </row>
        <row r="3650">
          <cell r="U3650">
            <v>2026</v>
          </cell>
        </row>
        <row r="3651">
          <cell r="U3651">
            <v>2026</v>
          </cell>
        </row>
        <row r="3652">
          <cell r="U3652">
            <v>2026</v>
          </cell>
        </row>
        <row r="3653">
          <cell r="U3653">
            <v>2026</v>
          </cell>
        </row>
        <row r="3654">
          <cell r="U3654">
            <v>2026</v>
          </cell>
        </row>
        <row r="3655">
          <cell r="U3655">
            <v>2026</v>
          </cell>
        </row>
        <row r="3656">
          <cell r="U3656">
            <v>2026</v>
          </cell>
        </row>
        <row r="3657">
          <cell r="U3657">
            <v>2026</v>
          </cell>
        </row>
        <row r="3658">
          <cell r="U3658">
            <v>2026</v>
          </cell>
        </row>
        <row r="3659">
          <cell r="U3659">
            <v>2026</v>
          </cell>
        </row>
        <row r="3660">
          <cell r="U3660">
            <v>2026</v>
          </cell>
        </row>
        <row r="3661">
          <cell r="U3661">
            <v>2026</v>
          </cell>
        </row>
        <row r="3662">
          <cell r="U3662">
            <v>2026</v>
          </cell>
        </row>
        <row r="3663">
          <cell r="U3663">
            <v>2026</v>
          </cell>
        </row>
        <row r="3664">
          <cell r="U3664">
            <v>2026</v>
          </cell>
        </row>
        <row r="3665">
          <cell r="U3665">
            <v>2026</v>
          </cell>
        </row>
        <row r="3666">
          <cell r="U3666">
            <v>2026</v>
          </cell>
        </row>
        <row r="3667">
          <cell r="U3667">
            <v>2026</v>
          </cell>
        </row>
        <row r="3668">
          <cell r="U3668">
            <v>2026</v>
          </cell>
        </row>
        <row r="3669">
          <cell r="U3669">
            <v>2026</v>
          </cell>
        </row>
        <row r="3670">
          <cell r="U3670">
            <v>2026</v>
          </cell>
        </row>
        <row r="3671">
          <cell r="U3671">
            <v>2026</v>
          </cell>
        </row>
        <row r="3672">
          <cell r="U3672">
            <v>2026</v>
          </cell>
        </row>
        <row r="3673">
          <cell r="U3673">
            <v>2026</v>
          </cell>
        </row>
        <row r="3674">
          <cell r="U3674">
            <v>2026</v>
          </cell>
        </row>
        <row r="3675">
          <cell r="U3675">
            <v>2026</v>
          </cell>
        </row>
        <row r="3676">
          <cell r="U3676">
            <v>2026</v>
          </cell>
        </row>
        <row r="3677">
          <cell r="U3677">
            <v>2026</v>
          </cell>
        </row>
        <row r="3678">
          <cell r="U3678">
            <v>2026</v>
          </cell>
        </row>
        <row r="3679">
          <cell r="U3679">
            <v>2026</v>
          </cell>
        </row>
        <row r="3680">
          <cell r="U3680">
            <v>2026</v>
          </cell>
        </row>
        <row r="3681">
          <cell r="U3681">
            <v>2026</v>
          </cell>
        </row>
        <row r="3682">
          <cell r="U3682">
            <v>2026</v>
          </cell>
        </row>
        <row r="3683">
          <cell r="U3683">
            <v>2026</v>
          </cell>
        </row>
        <row r="3684">
          <cell r="U3684">
            <v>2026</v>
          </cell>
        </row>
        <row r="3685">
          <cell r="U3685">
            <v>2026</v>
          </cell>
        </row>
        <row r="3686">
          <cell r="U3686">
            <v>2026</v>
          </cell>
        </row>
        <row r="3687">
          <cell r="U3687">
            <v>2026</v>
          </cell>
        </row>
        <row r="3688">
          <cell r="U3688">
            <v>2026</v>
          </cell>
        </row>
        <row r="3689">
          <cell r="U3689">
            <v>2026</v>
          </cell>
        </row>
        <row r="3690">
          <cell r="U3690">
            <v>2026</v>
          </cell>
        </row>
        <row r="3691">
          <cell r="U3691">
            <v>2026</v>
          </cell>
        </row>
        <row r="3692">
          <cell r="U3692">
            <v>2026</v>
          </cell>
        </row>
        <row r="3693">
          <cell r="U3693">
            <v>2026</v>
          </cell>
        </row>
        <row r="3694">
          <cell r="U3694">
            <v>2026</v>
          </cell>
        </row>
        <row r="3695">
          <cell r="U3695">
            <v>2026</v>
          </cell>
        </row>
        <row r="3696">
          <cell r="U3696">
            <v>2026</v>
          </cell>
        </row>
        <row r="3697">
          <cell r="U3697">
            <v>2026</v>
          </cell>
        </row>
        <row r="3698">
          <cell r="U3698">
            <v>2026</v>
          </cell>
        </row>
        <row r="3699">
          <cell r="U3699">
            <v>2026</v>
          </cell>
        </row>
        <row r="3700">
          <cell r="U3700">
            <v>2026</v>
          </cell>
        </row>
        <row r="3701">
          <cell r="U3701">
            <v>2026</v>
          </cell>
        </row>
        <row r="3702">
          <cell r="U3702">
            <v>2026</v>
          </cell>
        </row>
        <row r="3703">
          <cell r="U3703">
            <v>2026</v>
          </cell>
        </row>
        <row r="3704">
          <cell r="U3704">
            <v>2026</v>
          </cell>
        </row>
        <row r="3705">
          <cell r="U3705">
            <v>2026</v>
          </cell>
        </row>
        <row r="3706">
          <cell r="U3706">
            <v>2026</v>
          </cell>
        </row>
        <row r="3707">
          <cell r="U3707">
            <v>2026</v>
          </cell>
        </row>
        <row r="3708">
          <cell r="U3708">
            <v>2026</v>
          </cell>
        </row>
        <row r="3709">
          <cell r="U3709">
            <v>2026</v>
          </cell>
        </row>
        <row r="3710">
          <cell r="U3710">
            <v>2026</v>
          </cell>
        </row>
        <row r="3711">
          <cell r="U3711">
            <v>2026</v>
          </cell>
        </row>
        <row r="3712">
          <cell r="U3712">
            <v>2026</v>
          </cell>
        </row>
        <row r="3713">
          <cell r="U3713">
            <v>2026</v>
          </cell>
        </row>
        <row r="3714">
          <cell r="U3714">
            <v>2026</v>
          </cell>
        </row>
        <row r="3715">
          <cell r="U3715">
            <v>2026</v>
          </cell>
        </row>
        <row r="3716">
          <cell r="U3716">
            <v>2026</v>
          </cell>
        </row>
        <row r="3717">
          <cell r="U3717">
            <v>2026</v>
          </cell>
        </row>
        <row r="3718">
          <cell r="U3718">
            <v>2026</v>
          </cell>
        </row>
        <row r="3719">
          <cell r="U3719">
            <v>2026</v>
          </cell>
        </row>
        <row r="3720">
          <cell r="U3720">
            <v>2026</v>
          </cell>
        </row>
        <row r="3721">
          <cell r="U3721">
            <v>2026</v>
          </cell>
        </row>
        <row r="3722">
          <cell r="U3722">
            <v>2026</v>
          </cell>
        </row>
        <row r="3723">
          <cell r="U3723">
            <v>2026</v>
          </cell>
        </row>
        <row r="3724">
          <cell r="U3724">
            <v>2026</v>
          </cell>
        </row>
        <row r="3725">
          <cell r="U3725">
            <v>2026</v>
          </cell>
        </row>
        <row r="3726">
          <cell r="U3726">
            <v>2026</v>
          </cell>
        </row>
        <row r="3727">
          <cell r="U3727">
            <v>2026</v>
          </cell>
        </row>
        <row r="3728">
          <cell r="U3728">
            <v>2026</v>
          </cell>
        </row>
        <row r="3729">
          <cell r="U3729">
            <v>2026</v>
          </cell>
        </row>
        <row r="3730">
          <cell r="U3730">
            <v>2026</v>
          </cell>
        </row>
        <row r="3731">
          <cell r="U3731">
            <v>2026</v>
          </cell>
        </row>
        <row r="3732">
          <cell r="U3732">
            <v>2026</v>
          </cell>
        </row>
        <row r="3733">
          <cell r="U3733">
            <v>2026</v>
          </cell>
        </row>
        <row r="3734">
          <cell r="U3734">
            <v>2026</v>
          </cell>
        </row>
        <row r="3735">
          <cell r="U3735">
            <v>2026</v>
          </cell>
        </row>
        <row r="3736">
          <cell r="U3736">
            <v>2026</v>
          </cell>
        </row>
        <row r="3737">
          <cell r="U3737">
            <v>2026</v>
          </cell>
        </row>
        <row r="3738">
          <cell r="U3738">
            <v>2026</v>
          </cell>
        </row>
        <row r="3739">
          <cell r="U3739">
            <v>2026</v>
          </cell>
        </row>
        <row r="3740">
          <cell r="U3740">
            <v>2026</v>
          </cell>
        </row>
        <row r="3741">
          <cell r="U3741">
            <v>2026</v>
          </cell>
        </row>
        <row r="3742">
          <cell r="U3742">
            <v>2026</v>
          </cell>
        </row>
        <row r="3743">
          <cell r="U3743">
            <v>2026</v>
          </cell>
        </row>
        <row r="3744">
          <cell r="U3744">
            <v>2026</v>
          </cell>
        </row>
        <row r="3745">
          <cell r="U3745">
            <v>2026</v>
          </cell>
        </row>
        <row r="3746">
          <cell r="U3746">
            <v>2026</v>
          </cell>
        </row>
        <row r="3747">
          <cell r="U3747">
            <v>2026</v>
          </cell>
        </row>
        <row r="3748">
          <cell r="U3748">
            <v>2026</v>
          </cell>
        </row>
        <row r="3749">
          <cell r="U3749">
            <v>2026</v>
          </cell>
        </row>
        <row r="3750">
          <cell r="U3750">
            <v>2026</v>
          </cell>
        </row>
        <row r="3751">
          <cell r="U3751">
            <v>2026</v>
          </cell>
        </row>
        <row r="3752">
          <cell r="U3752">
            <v>2026</v>
          </cell>
        </row>
        <row r="3753">
          <cell r="U3753">
            <v>2026</v>
          </cell>
        </row>
        <row r="3754">
          <cell r="U3754">
            <v>2026</v>
          </cell>
        </row>
        <row r="3755">
          <cell r="U3755">
            <v>2026</v>
          </cell>
        </row>
        <row r="3756">
          <cell r="U3756">
            <v>2026</v>
          </cell>
        </row>
        <row r="3757">
          <cell r="U3757">
            <v>2026</v>
          </cell>
        </row>
        <row r="3758">
          <cell r="U3758">
            <v>2026</v>
          </cell>
        </row>
        <row r="3759">
          <cell r="U3759">
            <v>2026</v>
          </cell>
        </row>
        <row r="3760">
          <cell r="U3760">
            <v>2026</v>
          </cell>
        </row>
        <row r="3761">
          <cell r="U3761">
            <v>2026</v>
          </cell>
        </row>
        <row r="3762">
          <cell r="U3762">
            <v>2026</v>
          </cell>
        </row>
        <row r="3763">
          <cell r="U3763">
            <v>2026</v>
          </cell>
        </row>
        <row r="3764">
          <cell r="U3764">
            <v>2026</v>
          </cell>
        </row>
        <row r="3765">
          <cell r="U3765">
            <v>2026</v>
          </cell>
        </row>
        <row r="3766">
          <cell r="U3766">
            <v>2026</v>
          </cell>
        </row>
        <row r="3767">
          <cell r="U3767">
            <v>2026</v>
          </cell>
        </row>
        <row r="3768">
          <cell r="U3768">
            <v>2026</v>
          </cell>
        </row>
        <row r="3769">
          <cell r="U3769">
            <v>2026</v>
          </cell>
        </row>
        <row r="3770">
          <cell r="U3770">
            <v>2026</v>
          </cell>
        </row>
        <row r="3771">
          <cell r="U3771">
            <v>2026</v>
          </cell>
        </row>
        <row r="3772">
          <cell r="U3772">
            <v>2026</v>
          </cell>
        </row>
        <row r="3773">
          <cell r="U3773">
            <v>2026</v>
          </cell>
        </row>
        <row r="3774">
          <cell r="U3774">
            <v>2026</v>
          </cell>
        </row>
        <row r="3775">
          <cell r="U3775">
            <v>2026</v>
          </cell>
        </row>
        <row r="3776">
          <cell r="U3776">
            <v>2026</v>
          </cell>
        </row>
        <row r="3777">
          <cell r="U3777">
            <v>2026</v>
          </cell>
        </row>
        <row r="3778">
          <cell r="U3778">
            <v>2026</v>
          </cell>
        </row>
        <row r="3779">
          <cell r="U3779">
            <v>2026</v>
          </cell>
        </row>
        <row r="3780">
          <cell r="U3780">
            <v>2026</v>
          </cell>
        </row>
        <row r="3781">
          <cell r="U3781">
            <v>2026</v>
          </cell>
        </row>
        <row r="3782">
          <cell r="U3782">
            <v>2026</v>
          </cell>
        </row>
        <row r="3783">
          <cell r="U3783">
            <v>2026</v>
          </cell>
        </row>
        <row r="3784">
          <cell r="U3784">
            <v>2026</v>
          </cell>
        </row>
        <row r="3785">
          <cell r="U3785">
            <v>2026</v>
          </cell>
        </row>
        <row r="3786">
          <cell r="U3786">
            <v>2026</v>
          </cell>
        </row>
        <row r="3787">
          <cell r="U3787">
            <v>2026</v>
          </cell>
        </row>
        <row r="3788">
          <cell r="U3788">
            <v>2026</v>
          </cell>
        </row>
        <row r="3789">
          <cell r="U3789">
            <v>2026</v>
          </cell>
        </row>
        <row r="3790">
          <cell r="U3790">
            <v>2026</v>
          </cell>
        </row>
        <row r="3791">
          <cell r="U3791">
            <v>2026</v>
          </cell>
        </row>
        <row r="3792">
          <cell r="U3792">
            <v>2026</v>
          </cell>
        </row>
        <row r="3793">
          <cell r="U3793">
            <v>2026</v>
          </cell>
        </row>
        <row r="3794">
          <cell r="U3794">
            <v>2026</v>
          </cell>
        </row>
        <row r="3795">
          <cell r="U3795">
            <v>2026</v>
          </cell>
        </row>
        <row r="3796">
          <cell r="U3796">
            <v>2026</v>
          </cell>
        </row>
        <row r="3797">
          <cell r="U3797">
            <v>2026</v>
          </cell>
        </row>
        <row r="3798">
          <cell r="U3798">
            <v>2026</v>
          </cell>
        </row>
        <row r="3799">
          <cell r="U3799">
            <v>2026</v>
          </cell>
        </row>
        <row r="3800">
          <cell r="U3800">
            <v>2026</v>
          </cell>
        </row>
        <row r="3801">
          <cell r="U3801">
            <v>2026</v>
          </cell>
        </row>
        <row r="3802">
          <cell r="U3802">
            <v>2026</v>
          </cell>
        </row>
        <row r="3803">
          <cell r="U3803">
            <v>2026</v>
          </cell>
        </row>
        <row r="3804">
          <cell r="U3804">
            <v>2026</v>
          </cell>
        </row>
        <row r="3805">
          <cell r="U3805">
            <v>2026</v>
          </cell>
        </row>
        <row r="3806">
          <cell r="U3806">
            <v>2026</v>
          </cell>
        </row>
        <row r="3807">
          <cell r="U3807">
            <v>2026</v>
          </cell>
        </row>
        <row r="3808">
          <cell r="U3808">
            <v>2026</v>
          </cell>
        </row>
        <row r="3809">
          <cell r="U3809">
            <v>2026</v>
          </cell>
        </row>
        <row r="3810">
          <cell r="U3810">
            <v>2026</v>
          </cell>
        </row>
        <row r="3811">
          <cell r="U3811">
            <v>2026</v>
          </cell>
        </row>
        <row r="3812">
          <cell r="U3812">
            <v>2026</v>
          </cell>
        </row>
        <row r="3813">
          <cell r="U3813">
            <v>2026</v>
          </cell>
        </row>
        <row r="3814">
          <cell r="U3814">
            <v>2026</v>
          </cell>
        </row>
        <row r="3815">
          <cell r="U3815">
            <v>2026</v>
          </cell>
        </row>
        <row r="3816">
          <cell r="U3816">
            <v>2026</v>
          </cell>
        </row>
        <row r="3817">
          <cell r="U3817">
            <v>2026</v>
          </cell>
        </row>
        <row r="3818">
          <cell r="U3818">
            <v>2026</v>
          </cell>
        </row>
        <row r="3819">
          <cell r="U3819">
            <v>2026</v>
          </cell>
        </row>
        <row r="3820">
          <cell r="U3820">
            <v>2026</v>
          </cell>
        </row>
        <row r="3821">
          <cell r="U3821">
            <v>2026</v>
          </cell>
        </row>
        <row r="3822">
          <cell r="U3822">
            <v>2026</v>
          </cell>
        </row>
        <row r="3823">
          <cell r="U3823">
            <v>2026</v>
          </cell>
        </row>
        <row r="3824">
          <cell r="U3824">
            <v>2026</v>
          </cell>
        </row>
        <row r="3825">
          <cell r="U3825">
            <v>2026</v>
          </cell>
        </row>
        <row r="3826">
          <cell r="U3826">
            <v>2026</v>
          </cell>
        </row>
        <row r="3827">
          <cell r="U3827">
            <v>2026</v>
          </cell>
        </row>
        <row r="3828">
          <cell r="U3828">
            <v>2026</v>
          </cell>
        </row>
        <row r="3829">
          <cell r="U3829">
            <v>2026</v>
          </cell>
        </row>
        <row r="3830">
          <cell r="U3830">
            <v>2026</v>
          </cell>
        </row>
        <row r="3831">
          <cell r="U3831">
            <v>2026</v>
          </cell>
        </row>
        <row r="3832">
          <cell r="U3832">
            <v>2026</v>
          </cell>
        </row>
        <row r="3833">
          <cell r="U3833">
            <v>2026</v>
          </cell>
        </row>
        <row r="3834">
          <cell r="U3834">
            <v>2026</v>
          </cell>
        </row>
        <row r="3835">
          <cell r="U3835">
            <v>2026</v>
          </cell>
        </row>
        <row r="3836">
          <cell r="U3836">
            <v>2026</v>
          </cell>
        </row>
        <row r="3837">
          <cell r="U3837">
            <v>2026</v>
          </cell>
        </row>
        <row r="3838">
          <cell r="U3838">
            <v>2026</v>
          </cell>
        </row>
        <row r="3839">
          <cell r="U3839">
            <v>2026</v>
          </cell>
        </row>
        <row r="3840">
          <cell r="U3840">
            <v>2026</v>
          </cell>
        </row>
        <row r="3841">
          <cell r="U3841">
            <v>2026</v>
          </cell>
        </row>
        <row r="3842">
          <cell r="U3842">
            <v>2026</v>
          </cell>
        </row>
        <row r="3843">
          <cell r="U3843">
            <v>2026</v>
          </cell>
        </row>
        <row r="3844">
          <cell r="U3844">
            <v>2026</v>
          </cell>
        </row>
        <row r="3845">
          <cell r="U3845">
            <v>2026</v>
          </cell>
        </row>
        <row r="3846">
          <cell r="U3846">
            <v>2026</v>
          </cell>
        </row>
        <row r="3847">
          <cell r="U3847">
            <v>2026</v>
          </cell>
        </row>
        <row r="3848">
          <cell r="U3848">
            <v>2026</v>
          </cell>
        </row>
        <row r="3849">
          <cell r="U3849">
            <v>2026</v>
          </cell>
        </row>
        <row r="3850">
          <cell r="U3850">
            <v>2026</v>
          </cell>
        </row>
        <row r="3851">
          <cell r="U3851">
            <v>2026</v>
          </cell>
        </row>
        <row r="3852">
          <cell r="U3852">
            <v>2026</v>
          </cell>
        </row>
        <row r="3853">
          <cell r="U3853">
            <v>2026</v>
          </cell>
        </row>
        <row r="3854">
          <cell r="U3854">
            <v>2026</v>
          </cell>
        </row>
        <row r="3855">
          <cell r="U3855">
            <v>2026</v>
          </cell>
        </row>
        <row r="3856">
          <cell r="U3856">
            <v>2026</v>
          </cell>
        </row>
        <row r="3857">
          <cell r="U3857">
            <v>2026</v>
          </cell>
        </row>
        <row r="3858">
          <cell r="U3858">
            <v>2026</v>
          </cell>
        </row>
        <row r="3859">
          <cell r="U3859">
            <v>2026</v>
          </cell>
        </row>
        <row r="3860">
          <cell r="U3860">
            <v>2026</v>
          </cell>
        </row>
        <row r="3861">
          <cell r="U3861">
            <v>2026</v>
          </cell>
        </row>
        <row r="3862">
          <cell r="U3862">
            <v>2026</v>
          </cell>
        </row>
        <row r="3863">
          <cell r="U3863">
            <v>2026</v>
          </cell>
        </row>
        <row r="3864">
          <cell r="U3864">
            <v>2026</v>
          </cell>
        </row>
        <row r="3865">
          <cell r="U3865">
            <v>2026</v>
          </cell>
        </row>
        <row r="3866">
          <cell r="U3866">
            <v>2026</v>
          </cell>
        </row>
        <row r="3867">
          <cell r="U3867">
            <v>2026</v>
          </cell>
        </row>
        <row r="3868">
          <cell r="U3868">
            <v>2026</v>
          </cell>
        </row>
        <row r="3869">
          <cell r="U3869">
            <v>2026</v>
          </cell>
        </row>
        <row r="3870">
          <cell r="U3870">
            <v>2026</v>
          </cell>
        </row>
        <row r="3871">
          <cell r="U3871">
            <v>2026</v>
          </cell>
        </row>
        <row r="3872">
          <cell r="U3872">
            <v>2026</v>
          </cell>
        </row>
        <row r="3873">
          <cell r="U3873">
            <v>2026</v>
          </cell>
        </row>
        <row r="3874">
          <cell r="U3874">
            <v>2026</v>
          </cell>
        </row>
        <row r="3875">
          <cell r="U3875">
            <v>2026</v>
          </cell>
        </row>
        <row r="3876">
          <cell r="U3876">
            <v>2026</v>
          </cell>
        </row>
        <row r="3877">
          <cell r="U3877">
            <v>2026</v>
          </cell>
        </row>
        <row r="3878">
          <cell r="U3878">
            <v>2026</v>
          </cell>
        </row>
        <row r="3879">
          <cell r="U3879">
            <v>2026</v>
          </cell>
        </row>
        <row r="3880">
          <cell r="U3880">
            <v>2026</v>
          </cell>
        </row>
        <row r="3881">
          <cell r="U3881">
            <v>2026</v>
          </cell>
        </row>
        <row r="3882">
          <cell r="U3882">
            <v>2026</v>
          </cell>
        </row>
        <row r="3883">
          <cell r="U3883">
            <v>2026</v>
          </cell>
        </row>
        <row r="3884">
          <cell r="U3884">
            <v>2026</v>
          </cell>
        </row>
        <row r="3885">
          <cell r="U3885">
            <v>2026</v>
          </cell>
        </row>
        <row r="3886">
          <cell r="U3886">
            <v>2026</v>
          </cell>
        </row>
        <row r="3887">
          <cell r="U3887">
            <v>2026</v>
          </cell>
        </row>
        <row r="3888">
          <cell r="U3888">
            <v>2026</v>
          </cell>
        </row>
        <row r="3889">
          <cell r="U3889">
            <v>2026</v>
          </cell>
        </row>
        <row r="3890">
          <cell r="U3890">
            <v>2026</v>
          </cell>
        </row>
        <row r="3891">
          <cell r="U3891">
            <v>2026</v>
          </cell>
        </row>
        <row r="3892">
          <cell r="U3892">
            <v>2026</v>
          </cell>
        </row>
        <row r="3893">
          <cell r="U3893">
            <v>2026</v>
          </cell>
        </row>
        <row r="3894">
          <cell r="U3894">
            <v>2026</v>
          </cell>
        </row>
        <row r="3895">
          <cell r="U3895">
            <v>2026</v>
          </cell>
        </row>
        <row r="3896">
          <cell r="U3896">
            <v>2026</v>
          </cell>
        </row>
        <row r="3897">
          <cell r="U3897">
            <v>2026</v>
          </cell>
        </row>
        <row r="3898">
          <cell r="U3898">
            <v>2026</v>
          </cell>
        </row>
        <row r="3899">
          <cell r="U3899">
            <v>2026</v>
          </cell>
        </row>
        <row r="3900">
          <cell r="U3900">
            <v>2026</v>
          </cell>
        </row>
        <row r="3901">
          <cell r="U3901">
            <v>2026</v>
          </cell>
        </row>
        <row r="3902">
          <cell r="U3902">
            <v>2026</v>
          </cell>
        </row>
        <row r="3903">
          <cell r="U3903">
            <v>2026</v>
          </cell>
        </row>
        <row r="3904">
          <cell r="U3904">
            <v>2026</v>
          </cell>
        </row>
        <row r="3905">
          <cell r="U3905">
            <v>2026</v>
          </cell>
        </row>
        <row r="3906">
          <cell r="U3906">
            <v>2026</v>
          </cell>
        </row>
        <row r="3907">
          <cell r="U3907">
            <v>2026</v>
          </cell>
        </row>
        <row r="3908">
          <cell r="U3908">
            <v>2026</v>
          </cell>
        </row>
        <row r="3909">
          <cell r="U3909">
            <v>2026</v>
          </cell>
        </row>
        <row r="3910">
          <cell r="U3910">
            <v>2026</v>
          </cell>
        </row>
        <row r="3911">
          <cell r="U3911">
            <v>2026</v>
          </cell>
        </row>
        <row r="3912">
          <cell r="U3912">
            <v>2026</v>
          </cell>
        </row>
        <row r="3913">
          <cell r="U3913">
            <v>2026</v>
          </cell>
        </row>
        <row r="3914">
          <cell r="U3914">
            <v>2026</v>
          </cell>
        </row>
        <row r="3915">
          <cell r="U3915">
            <v>2026</v>
          </cell>
        </row>
        <row r="3916">
          <cell r="U3916">
            <v>2026</v>
          </cell>
        </row>
        <row r="3917">
          <cell r="U3917">
            <v>2026</v>
          </cell>
        </row>
        <row r="3918">
          <cell r="U3918">
            <v>2026</v>
          </cell>
        </row>
        <row r="3919">
          <cell r="U3919">
            <v>2026</v>
          </cell>
        </row>
        <row r="3920">
          <cell r="U3920">
            <v>2026</v>
          </cell>
        </row>
        <row r="3921">
          <cell r="U3921">
            <v>2026</v>
          </cell>
        </row>
        <row r="3922">
          <cell r="U3922">
            <v>2026</v>
          </cell>
        </row>
        <row r="3923">
          <cell r="U3923">
            <v>2026</v>
          </cell>
        </row>
        <row r="3924">
          <cell r="U3924">
            <v>2026</v>
          </cell>
        </row>
        <row r="3925">
          <cell r="U3925">
            <v>2026</v>
          </cell>
        </row>
        <row r="3926">
          <cell r="U3926">
            <v>2026</v>
          </cell>
        </row>
        <row r="3927">
          <cell r="U3927">
            <v>2026</v>
          </cell>
        </row>
        <row r="3928">
          <cell r="U3928">
            <v>2026</v>
          </cell>
        </row>
        <row r="3929">
          <cell r="U3929">
            <v>2026</v>
          </cell>
        </row>
        <row r="3930">
          <cell r="U3930">
            <v>2026</v>
          </cell>
        </row>
        <row r="3931">
          <cell r="U3931">
            <v>2026</v>
          </cell>
        </row>
        <row r="3932">
          <cell r="U3932">
            <v>2026</v>
          </cell>
        </row>
        <row r="3933">
          <cell r="U3933">
            <v>2026</v>
          </cell>
        </row>
        <row r="3934">
          <cell r="U3934">
            <v>2026</v>
          </cell>
        </row>
        <row r="3935">
          <cell r="U3935">
            <v>2026</v>
          </cell>
        </row>
        <row r="3936">
          <cell r="U3936">
            <v>2026</v>
          </cell>
        </row>
        <row r="3937">
          <cell r="U3937">
            <v>2026</v>
          </cell>
        </row>
        <row r="3938">
          <cell r="U3938">
            <v>2026</v>
          </cell>
        </row>
        <row r="3939">
          <cell r="U3939">
            <v>2026</v>
          </cell>
        </row>
        <row r="3940">
          <cell r="U3940">
            <v>2026</v>
          </cell>
        </row>
        <row r="3941">
          <cell r="U3941">
            <v>2026</v>
          </cell>
        </row>
        <row r="3942">
          <cell r="U3942">
            <v>2026</v>
          </cell>
        </row>
        <row r="3943">
          <cell r="U3943">
            <v>2026</v>
          </cell>
        </row>
        <row r="3944">
          <cell r="U3944">
            <v>2026</v>
          </cell>
        </row>
        <row r="3945">
          <cell r="U3945">
            <v>2026</v>
          </cell>
        </row>
        <row r="3946">
          <cell r="U3946">
            <v>2026</v>
          </cell>
        </row>
        <row r="3947">
          <cell r="U3947">
            <v>2026</v>
          </cell>
        </row>
        <row r="3948">
          <cell r="U3948">
            <v>2026</v>
          </cell>
        </row>
        <row r="3949">
          <cell r="U3949">
            <v>2026</v>
          </cell>
        </row>
        <row r="3950">
          <cell r="U3950">
            <v>2026</v>
          </cell>
        </row>
        <row r="3951">
          <cell r="U3951">
            <v>2026</v>
          </cell>
        </row>
        <row r="3952">
          <cell r="U3952">
            <v>2026</v>
          </cell>
        </row>
        <row r="3953">
          <cell r="U3953">
            <v>2026</v>
          </cell>
        </row>
        <row r="3954">
          <cell r="U3954">
            <v>2026</v>
          </cell>
        </row>
        <row r="3955">
          <cell r="U3955">
            <v>2026</v>
          </cell>
        </row>
        <row r="3956">
          <cell r="U3956">
            <v>2026</v>
          </cell>
        </row>
        <row r="3957">
          <cell r="U3957">
            <v>2026</v>
          </cell>
        </row>
        <row r="3958">
          <cell r="U3958">
            <v>2026</v>
          </cell>
        </row>
        <row r="3959">
          <cell r="U3959">
            <v>2026</v>
          </cell>
        </row>
        <row r="3960">
          <cell r="U3960">
            <v>2026</v>
          </cell>
        </row>
        <row r="3961">
          <cell r="U3961">
            <v>2026</v>
          </cell>
        </row>
        <row r="3962">
          <cell r="U3962">
            <v>2026</v>
          </cell>
        </row>
        <row r="3963">
          <cell r="U3963">
            <v>2026</v>
          </cell>
        </row>
        <row r="3964">
          <cell r="U3964">
            <v>2026</v>
          </cell>
        </row>
        <row r="3965">
          <cell r="U3965">
            <v>2026</v>
          </cell>
        </row>
        <row r="3966">
          <cell r="U3966">
            <v>2026</v>
          </cell>
        </row>
        <row r="3967">
          <cell r="U3967">
            <v>2026</v>
          </cell>
        </row>
        <row r="3968">
          <cell r="U3968">
            <v>2026</v>
          </cell>
        </row>
        <row r="3969">
          <cell r="U3969">
            <v>2026</v>
          </cell>
        </row>
        <row r="3970">
          <cell r="U3970">
            <v>2026</v>
          </cell>
        </row>
        <row r="3971">
          <cell r="U3971">
            <v>2026</v>
          </cell>
        </row>
        <row r="3972">
          <cell r="U3972">
            <v>2026</v>
          </cell>
        </row>
        <row r="3973">
          <cell r="U3973">
            <v>2026</v>
          </cell>
        </row>
        <row r="3974">
          <cell r="U3974">
            <v>2026</v>
          </cell>
        </row>
        <row r="3975">
          <cell r="U3975">
            <v>2026</v>
          </cell>
        </row>
        <row r="3976">
          <cell r="U3976">
            <v>2026</v>
          </cell>
        </row>
        <row r="3977">
          <cell r="U3977">
            <v>2026</v>
          </cell>
        </row>
        <row r="3978">
          <cell r="U3978">
            <v>2026</v>
          </cell>
        </row>
        <row r="3979">
          <cell r="U3979">
            <v>2026</v>
          </cell>
        </row>
        <row r="3980">
          <cell r="U3980">
            <v>2026</v>
          </cell>
        </row>
        <row r="3981">
          <cell r="U3981">
            <v>2026</v>
          </cell>
        </row>
        <row r="3982">
          <cell r="U3982">
            <v>2026</v>
          </cell>
        </row>
        <row r="3983">
          <cell r="U3983">
            <v>2026</v>
          </cell>
        </row>
        <row r="3984">
          <cell r="U3984">
            <v>2026</v>
          </cell>
        </row>
        <row r="3985">
          <cell r="U3985">
            <v>2026</v>
          </cell>
        </row>
        <row r="3986">
          <cell r="U3986">
            <v>2026</v>
          </cell>
        </row>
        <row r="3987">
          <cell r="U3987">
            <v>2026</v>
          </cell>
        </row>
        <row r="3988">
          <cell r="U3988">
            <v>2026</v>
          </cell>
        </row>
        <row r="3989">
          <cell r="U3989">
            <v>2026</v>
          </cell>
        </row>
        <row r="3990">
          <cell r="U3990">
            <v>2026</v>
          </cell>
        </row>
        <row r="3991">
          <cell r="U3991">
            <v>2026</v>
          </cell>
        </row>
        <row r="3992">
          <cell r="U3992">
            <v>2026</v>
          </cell>
        </row>
        <row r="3993">
          <cell r="U3993">
            <v>2026</v>
          </cell>
        </row>
        <row r="3994">
          <cell r="U3994">
            <v>2026</v>
          </cell>
        </row>
        <row r="3995">
          <cell r="U3995">
            <v>2026</v>
          </cell>
        </row>
        <row r="3996">
          <cell r="U3996">
            <v>2026</v>
          </cell>
        </row>
        <row r="3997">
          <cell r="U3997">
            <v>2026</v>
          </cell>
        </row>
        <row r="3998">
          <cell r="U3998">
            <v>2026</v>
          </cell>
        </row>
        <row r="3999">
          <cell r="U3999">
            <v>2026</v>
          </cell>
        </row>
        <row r="4000">
          <cell r="U4000">
            <v>2026</v>
          </cell>
        </row>
        <row r="4001">
          <cell r="U4001">
            <v>2026</v>
          </cell>
        </row>
        <row r="4002">
          <cell r="U4002">
            <v>2026</v>
          </cell>
        </row>
        <row r="4003">
          <cell r="U4003">
            <v>2026</v>
          </cell>
        </row>
        <row r="4004">
          <cell r="U4004">
            <v>2026</v>
          </cell>
        </row>
        <row r="4005">
          <cell r="U4005">
            <v>2026</v>
          </cell>
        </row>
        <row r="4006">
          <cell r="U4006">
            <v>2026</v>
          </cell>
        </row>
        <row r="4007">
          <cell r="U4007">
            <v>2026</v>
          </cell>
        </row>
        <row r="4008">
          <cell r="U4008">
            <v>2026</v>
          </cell>
        </row>
        <row r="4009">
          <cell r="U4009">
            <v>2026</v>
          </cell>
        </row>
        <row r="4010">
          <cell r="U4010">
            <v>2026</v>
          </cell>
        </row>
        <row r="4011">
          <cell r="U4011">
            <v>2026</v>
          </cell>
        </row>
        <row r="4012">
          <cell r="U4012">
            <v>2026</v>
          </cell>
        </row>
        <row r="4013">
          <cell r="U4013">
            <v>2026</v>
          </cell>
        </row>
        <row r="4014">
          <cell r="U4014">
            <v>2026</v>
          </cell>
        </row>
        <row r="4015">
          <cell r="U4015">
            <v>2026</v>
          </cell>
        </row>
        <row r="4016">
          <cell r="U4016">
            <v>2026</v>
          </cell>
        </row>
        <row r="4017">
          <cell r="U4017">
            <v>2026</v>
          </cell>
        </row>
        <row r="4018">
          <cell r="U4018">
            <v>2026</v>
          </cell>
        </row>
        <row r="4019">
          <cell r="U4019">
            <v>2026</v>
          </cell>
        </row>
        <row r="4020">
          <cell r="U4020">
            <v>2026</v>
          </cell>
        </row>
        <row r="4021">
          <cell r="U4021">
            <v>2026</v>
          </cell>
        </row>
        <row r="4022">
          <cell r="U4022">
            <v>2026</v>
          </cell>
        </row>
        <row r="4023">
          <cell r="U4023">
            <v>2026</v>
          </cell>
        </row>
        <row r="4024">
          <cell r="U4024">
            <v>2026</v>
          </cell>
        </row>
        <row r="4025">
          <cell r="U4025">
            <v>2026</v>
          </cell>
        </row>
        <row r="4026">
          <cell r="U4026">
            <v>2026</v>
          </cell>
        </row>
        <row r="4027">
          <cell r="U4027">
            <v>2026</v>
          </cell>
        </row>
        <row r="4028">
          <cell r="U4028">
            <v>2026</v>
          </cell>
        </row>
        <row r="4029">
          <cell r="U4029">
            <v>2026</v>
          </cell>
        </row>
        <row r="4030">
          <cell r="U4030">
            <v>2026</v>
          </cell>
        </row>
        <row r="4031">
          <cell r="U4031">
            <v>2026</v>
          </cell>
        </row>
        <row r="4032">
          <cell r="U4032">
            <v>2026</v>
          </cell>
        </row>
        <row r="4033">
          <cell r="U4033">
            <v>2026</v>
          </cell>
        </row>
        <row r="4034">
          <cell r="U4034">
            <v>2026</v>
          </cell>
        </row>
        <row r="4035">
          <cell r="U4035">
            <v>2026</v>
          </cell>
        </row>
        <row r="4036">
          <cell r="U4036">
            <v>2026</v>
          </cell>
        </row>
        <row r="4037">
          <cell r="U4037">
            <v>2026</v>
          </cell>
        </row>
        <row r="4038">
          <cell r="U4038">
            <v>2026</v>
          </cell>
        </row>
        <row r="4039">
          <cell r="U4039">
            <v>2026</v>
          </cell>
        </row>
        <row r="4040">
          <cell r="U4040">
            <v>2026</v>
          </cell>
        </row>
        <row r="4041">
          <cell r="U4041">
            <v>2026</v>
          </cell>
        </row>
        <row r="4042">
          <cell r="U4042">
            <v>2026</v>
          </cell>
        </row>
        <row r="4043">
          <cell r="U4043">
            <v>2026</v>
          </cell>
        </row>
        <row r="4044">
          <cell r="U4044">
            <v>2026</v>
          </cell>
        </row>
        <row r="4045">
          <cell r="U4045">
            <v>2026</v>
          </cell>
        </row>
        <row r="4046">
          <cell r="U4046">
            <v>2026</v>
          </cell>
        </row>
        <row r="4047">
          <cell r="U4047">
            <v>2026</v>
          </cell>
        </row>
        <row r="4048">
          <cell r="U4048">
            <v>2026</v>
          </cell>
        </row>
        <row r="4049">
          <cell r="U4049">
            <v>2026</v>
          </cell>
        </row>
        <row r="4050">
          <cell r="U4050">
            <v>2026</v>
          </cell>
        </row>
        <row r="4051">
          <cell r="U4051">
            <v>2026</v>
          </cell>
        </row>
        <row r="4052">
          <cell r="U4052">
            <v>2026</v>
          </cell>
        </row>
        <row r="4053">
          <cell r="U4053">
            <v>2026</v>
          </cell>
        </row>
        <row r="4054">
          <cell r="U4054">
            <v>2026</v>
          </cell>
        </row>
        <row r="4055">
          <cell r="U4055">
            <v>2026</v>
          </cell>
        </row>
        <row r="4056">
          <cell r="U4056">
            <v>2026</v>
          </cell>
        </row>
        <row r="4057">
          <cell r="U4057">
            <v>2026</v>
          </cell>
        </row>
        <row r="4058">
          <cell r="U4058">
            <v>2026</v>
          </cell>
        </row>
        <row r="4059">
          <cell r="U4059">
            <v>2026</v>
          </cell>
        </row>
        <row r="4060">
          <cell r="U4060">
            <v>2026</v>
          </cell>
        </row>
        <row r="4061">
          <cell r="U4061">
            <v>2026</v>
          </cell>
        </row>
        <row r="4062">
          <cell r="U4062">
            <v>2026</v>
          </cell>
        </row>
        <row r="4063">
          <cell r="U4063">
            <v>2026</v>
          </cell>
        </row>
        <row r="4064">
          <cell r="U4064">
            <v>2026</v>
          </cell>
        </row>
        <row r="4065">
          <cell r="U4065">
            <v>2026</v>
          </cell>
        </row>
        <row r="4066">
          <cell r="U4066">
            <v>2026</v>
          </cell>
        </row>
        <row r="4067">
          <cell r="U4067">
            <v>2026</v>
          </cell>
        </row>
        <row r="4068">
          <cell r="U4068">
            <v>2026</v>
          </cell>
        </row>
        <row r="4069">
          <cell r="U4069">
            <v>2026</v>
          </cell>
        </row>
        <row r="4070">
          <cell r="U4070">
            <v>2026</v>
          </cell>
        </row>
        <row r="4071">
          <cell r="U4071">
            <v>2026</v>
          </cell>
        </row>
        <row r="4072">
          <cell r="U4072">
            <v>2026</v>
          </cell>
        </row>
        <row r="4073">
          <cell r="U4073">
            <v>2026</v>
          </cell>
        </row>
        <row r="4074">
          <cell r="U4074">
            <v>2026</v>
          </cell>
        </row>
        <row r="4075">
          <cell r="U4075">
            <v>2026</v>
          </cell>
        </row>
        <row r="4076">
          <cell r="U4076">
            <v>2026</v>
          </cell>
        </row>
        <row r="4077">
          <cell r="U4077">
            <v>2026</v>
          </cell>
        </row>
        <row r="4078">
          <cell r="U4078">
            <v>2026</v>
          </cell>
        </row>
        <row r="4079">
          <cell r="U4079">
            <v>2026</v>
          </cell>
        </row>
        <row r="4080">
          <cell r="U4080">
            <v>2026</v>
          </cell>
        </row>
        <row r="4081">
          <cell r="U4081">
            <v>2026</v>
          </cell>
        </row>
        <row r="4082">
          <cell r="U4082">
            <v>2026</v>
          </cell>
        </row>
        <row r="4083">
          <cell r="U4083">
            <v>2026</v>
          </cell>
        </row>
        <row r="4084">
          <cell r="U4084">
            <v>2026</v>
          </cell>
        </row>
        <row r="4085">
          <cell r="U4085">
            <v>2026</v>
          </cell>
        </row>
        <row r="4086">
          <cell r="U4086">
            <v>2026</v>
          </cell>
        </row>
        <row r="4087">
          <cell r="U4087">
            <v>2026</v>
          </cell>
        </row>
        <row r="4088">
          <cell r="U4088">
            <v>2026</v>
          </cell>
        </row>
        <row r="4089">
          <cell r="U4089">
            <v>2026</v>
          </cell>
        </row>
        <row r="4090">
          <cell r="U4090">
            <v>2026</v>
          </cell>
        </row>
        <row r="4091">
          <cell r="U4091">
            <v>2026</v>
          </cell>
        </row>
        <row r="4092">
          <cell r="U4092">
            <v>2026</v>
          </cell>
        </row>
        <row r="4093">
          <cell r="U4093">
            <v>2026</v>
          </cell>
        </row>
        <row r="4094">
          <cell r="U4094">
            <v>2026</v>
          </cell>
        </row>
        <row r="4095">
          <cell r="U4095">
            <v>2026</v>
          </cell>
        </row>
        <row r="4096">
          <cell r="U4096">
            <v>2026</v>
          </cell>
        </row>
        <row r="4097">
          <cell r="U4097">
            <v>2026</v>
          </cell>
        </row>
        <row r="4098">
          <cell r="U4098">
            <v>2026</v>
          </cell>
        </row>
        <row r="4099">
          <cell r="U4099">
            <v>2026</v>
          </cell>
        </row>
        <row r="4100">
          <cell r="U4100">
            <v>2026</v>
          </cell>
        </row>
        <row r="4101">
          <cell r="U4101">
            <v>2026</v>
          </cell>
        </row>
        <row r="4102">
          <cell r="U4102">
            <v>2026</v>
          </cell>
        </row>
        <row r="4103">
          <cell r="U4103">
            <v>2026</v>
          </cell>
        </row>
        <row r="4104">
          <cell r="U4104">
            <v>2026</v>
          </cell>
        </row>
        <row r="4105">
          <cell r="U4105">
            <v>2026</v>
          </cell>
        </row>
        <row r="4106">
          <cell r="U4106">
            <v>2026</v>
          </cell>
        </row>
        <row r="4107">
          <cell r="U4107">
            <v>2026</v>
          </cell>
        </row>
        <row r="4108">
          <cell r="U4108">
            <v>2026</v>
          </cell>
        </row>
        <row r="4109">
          <cell r="U4109">
            <v>2026</v>
          </cell>
        </row>
        <row r="4110">
          <cell r="U4110">
            <v>2026</v>
          </cell>
        </row>
        <row r="4111">
          <cell r="U4111">
            <v>2026</v>
          </cell>
        </row>
        <row r="4112">
          <cell r="U4112">
            <v>2026</v>
          </cell>
        </row>
        <row r="4113">
          <cell r="U4113">
            <v>2026</v>
          </cell>
        </row>
        <row r="4114">
          <cell r="U4114">
            <v>2026</v>
          </cell>
        </row>
        <row r="4115">
          <cell r="U4115">
            <v>2026</v>
          </cell>
        </row>
        <row r="4116">
          <cell r="U4116">
            <v>2026</v>
          </cell>
        </row>
        <row r="4117">
          <cell r="U4117">
            <v>2026</v>
          </cell>
        </row>
        <row r="4118">
          <cell r="U4118">
            <v>2026</v>
          </cell>
        </row>
        <row r="4119">
          <cell r="U4119">
            <v>2026</v>
          </cell>
        </row>
        <row r="4120">
          <cell r="U4120">
            <v>2026</v>
          </cell>
        </row>
        <row r="4121">
          <cell r="U4121">
            <v>2026</v>
          </cell>
        </row>
        <row r="4122">
          <cell r="U4122">
            <v>2026</v>
          </cell>
        </row>
        <row r="4123">
          <cell r="U4123">
            <v>2026</v>
          </cell>
        </row>
        <row r="4124">
          <cell r="U4124">
            <v>2026</v>
          </cell>
        </row>
        <row r="4125">
          <cell r="U4125">
            <v>2026</v>
          </cell>
        </row>
        <row r="4126">
          <cell r="U4126">
            <v>2026</v>
          </cell>
        </row>
        <row r="4127">
          <cell r="U4127">
            <v>2026</v>
          </cell>
        </row>
        <row r="4128">
          <cell r="U4128">
            <v>2026</v>
          </cell>
        </row>
        <row r="4129">
          <cell r="U4129">
            <v>2026</v>
          </cell>
        </row>
        <row r="4130">
          <cell r="U4130">
            <v>2026</v>
          </cell>
        </row>
        <row r="4131">
          <cell r="U4131">
            <v>2026</v>
          </cell>
        </row>
        <row r="4132">
          <cell r="U4132">
            <v>2026</v>
          </cell>
        </row>
        <row r="4133">
          <cell r="U4133">
            <v>2026</v>
          </cell>
        </row>
        <row r="4134">
          <cell r="U4134">
            <v>2026</v>
          </cell>
        </row>
        <row r="4135">
          <cell r="U4135">
            <v>2026</v>
          </cell>
        </row>
        <row r="4136">
          <cell r="U4136">
            <v>2026</v>
          </cell>
        </row>
        <row r="4137">
          <cell r="U4137">
            <v>2026</v>
          </cell>
        </row>
        <row r="4138">
          <cell r="U4138">
            <v>2026</v>
          </cell>
        </row>
        <row r="4139">
          <cell r="U4139">
            <v>2026</v>
          </cell>
        </row>
        <row r="4140">
          <cell r="U4140">
            <v>2026</v>
          </cell>
        </row>
        <row r="4141">
          <cell r="U4141">
            <v>2026</v>
          </cell>
        </row>
        <row r="4142">
          <cell r="U4142">
            <v>2026</v>
          </cell>
        </row>
        <row r="4143">
          <cell r="U4143">
            <v>2026</v>
          </cell>
        </row>
        <row r="4144">
          <cell r="U4144">
            <v>2026</v>
          </cell>
        </row>
        <row r="4145">
          <cell r="U4145">
            <v>2026</v>
          </cell>
        </row>
        <row r="4146">
          <cell r="U4146">
            <v>2026</v>
          </cell>
        </row>
        <row r="4147">
          <cell r="U4147">
            <v>2026</v>
          </cell>
        </row>
        <row r="4148">
          <cell r="U4148">
            <v>2026</v>
          </cell>
        </row>
        <row r="4149">
          <cell r="U4149">
            <v>2026</v>
          </cell>
        </row>
        <row r="4150">
          <cell r="U4150">
            <v>2026</v>
          </cell>
        </row>
        <row r="4151">
          <cell r="U4151">
            <v>2026</v>
          </cell>
        </row>
        <row r="4152">
          <cell r="U4152">
            <v>2026</v>
          </cell>
        </row>
        <row r="4153">
          <cell r="U4153">
            <v>2026</v>
          </cell>
        </row>
        <row r="4154">
          <cell r="U4154">
            <v>2026</v>
          </cell>
        </row>
        <row r="4155">
          <cell r="U4155">
            <v>2026</v>
          </cell>
        </row>
        <row r="4156">
          <cell r="U4156">
            <v>2026</v>
          </cell>
        </row>
        <row r="4157">
          <cell r="U4157">
            <v>2026</v>
          </cell>
        </row>
        <row r="4158">
          <cell r="U4158">
            <v>2026</v>
          </cell>
        </row>
        <row r="4159">
          <cell r="U4159">
            <v>2026</v>
          </cell>
        </row>
        <row r="4160">
          <cell r="U4160">
            <v>2026</v>
          </cell>
        </row>
        <row r="4161">
          <cell r="U4161">
            <v>2026</v>
          </cell>
        </row>
        <row r="4162">
          <cell r="U4162">
            <v>2026</v>
          </cell>
        </row>
        <row r="4163">
          <cell r="U4163">
            <v>2026</v>
          </cell>
        </row>
        <row r="4164">
          <cell r="U4164">
            <v>2026</v>
          </cell>
        </row>
        <row r="4165">
          <cell r="U4165">
            <v>2026</v>
          </cell>
        </row>
        <row r="4166">
          <cell r="U4166">
            <v>2026</v>
          </cell>
        </row>
        <row r="4167">
          <cell r="U4167">
            <v>2026</v>
          </cell>
        </row>
        <row r="4168">
          <cell r="U4168">
            <v>2026</v>
          </cell>
        </row>
        <row r="4169">
          <cell r="U4169">
            <v>2026</v>
          </cell>
        </row>
        <row r="4170">
          <cell r="U4170">
            <v>2026</v>
          </cell>
        </row>
        <row r="4171">
          <cell r="U4171">
            <v>2026</v>
          </cell>
        </row>
        <row r="4172">
          <cell r="U4172">
            <v>2026</v>
          </cell>
        </row>
        <row r="4173">
          <cell r="U4173">
            <v>2026</v>
          </cell>
        </row>
        <row r="4174">
          <cell r="U4174">
            <v>2026</v>
          </cell>
        </row>
        <row r="4175">
          <cell r="U4175">
            <v>2026</v>
          </cell>
        </row>
        <row r="4176">
          <cell r="U4176">
            <v>2026</v>
          </cell>
        </row>
        <row r="4177">
          <cell r="U4177">
            <v>2026</v>
          </cell>
        </row>
        <row r="4178">
          <cell r="U4178">
            <v>2026</v>
          </cell>
        </row>
        <row r="4179">
          <cell r="U4179">
            <v>2026</v>
          </cell>
        </row>
        <row r="4180">
          <cell r="U4180">
            <v>2026</v>
          </cell>
        </row>
        <row r="4181">
          <cell r="U4181">
            <v>2026</v>
          </cell>
        </row>
        <row r="4182">
          <cell r="U4182">
            <v>2026</v>
          </cell>
        </row>
        <row r="4183">
          <cell r="U4183">
            <v>2026</v>
          </cell>
        </row>
        <row r="4184">
          <cell r="U4184">
            <v>2026</v>
          </cell>
        </row>
        <row r="4185">
          <cell r="U4185">
            <v>2026</v>
          </cell>
        </row>
        <row r="4186">
          <cell r="U4186">
            <v>2026</v>
          </cell>
        </row>
        <row r="4187">
          <cell r="U4187">
            <v>2026</v>
          </cell>
        </row>
        <row r="4188">
          <cell r="U4188">
            <v>2026</v>
          </cell>
        </row>
        <row r="4189">
          <cell r="U4189">
            <v>2026</v>
          </cell>
        </row>
        <row r="4190">
          <cell r="U4190">
            <v>2026</v>
          </cell>
        </row>
        <row r="4191">
          <cell r="U4191">
            <v>2026</v>
          </cell>
        </row>
        <row r="4192">
          <cell r="U4192">
            <v>2026</v>
          </cell>
        </row>
        <row r="4193">
          <cell r="U4193">
            <v>2026</v>
          </cell>
        </row>
        <row r="4194">
          <cell r="U4194">
            <v>2026</v>
          </cell>
        </row>
        <row r="4195">
          <cell r="U4195">
            <v>2026</v>
          </cell>
        </row>
        <row r="4196">
          <cell r="U4196">
            <v>2026</v>
          </cell>
        </row>
        <row r="4197">
          <cell r="U4197">
            <v>2026</v>
          </cell>
        </row>
        <row r="4198">
          <cell r="U4198">
            <v>2026</v>
          </cell>
        </row>
        <row r="4199">
          <cell r="U4199">
            <v>2026</v>
          </cell>
        </row>
        <row r="4200">
          <cell r="U4200">
            <v>2026</v>
          </cell>
        </row>
        <row r="4201">
          <cell r="U4201">
            <v>2026</v>
          </cell>
        </row>
        <row r="4202">
          <cell r="U4202">
            <v>2026</v>
          </cell>
        </row>
        <row r="4203">
          <cell r="U4203">
            <v>2026</v>
          </cell>
        </row>
        <row r="4204">
          <cell r="U4204">
            <v>2026</v>
          </cell>
        </row>
        <row r="4205">
          <cell r="U4205">
            <v>2026</v>
          </cell>
        </row>
        <row r="4206">
          <cell r="U4206">
            <v>2026</v>
          </cell>
        </row>
        <row r="4207">
          <cell r="U4207">
            <v>2026</v>
          </cell>
        </row>
        <row r="4208">
          <cell r="U4208">
            <v>2026</v>
          </cell>
        </row>
        <row r="4209">
          <cell r="U4209">
            <v>2026</v>
          </cell>
        </row>
        <row r="4210">
          <cell r="U4210">
            <v>2026</v>
          </cell>
        </row>
        <row r="4211">
          <cell r="U4211">
            <v>2026</v>
          </cell>
        </row>
        <row r="4212">
          <cell r="U4212">
            <v>2026</v>
          </cell>
        </row>
        <row r="4213">
          <cell r="U4213">
            <v>2026</v>
          </cell>
        </row>
        <row r="4214">
          <cell r="U4214">
            <v>2026</v>
          </cell>
        </row>
        <row r="4215">
          <cell r="U4215">
            <v>2026</v>
          </cell>
        </row>
        <row r="4216">
          <cell r="U4216">
            <v>2026</v>
          </cell>
        </row>
        <row r="4217">
          <cell r="U4217">
            <v>2026</v>
          </cell>
        </row>
        <row r="4218">
          <cell r="U4218">
            <v>2026</v>
          </cell>
        </row>
        <row r="4219">
          <cell r="U4219">
            <v>2026</v>
          </cell>
        </row>
        <row r="4220">
          <cell r="U4220">
            <v>2026</v>
          </cell>
        </row>
        <row r="4221">
          <cell r="U4221">
            <v>2026</v>
          </cell>
        </row>
        <row r="4222">
          <cell r="U4222">
            <v>2026</v>
          </cell>
        </row>
        <row r="4223">
          <cell r="U4223">
            <v>2026</v>
          </cell>
        </row>
        <row r="4224">
          <cell r="U4224">
            <v>2026</v>
          </cell>
        </row>
        <row r="4225">
          <cell r="U4225">
            <v>2026</v>
          </cell>
        </row>
        <row r="4226">
          <cell r="U4226">
            <v>2026</v>
          </cell>
        </row>
        <row r="4227">
          <cell r="U4227">
            <v>2026</v>
          </cell>
        </row>
        <row r="4228">
          <cell r="U4228">
            <v>2026</v>
          </cell>
        </row>
        <row r="4229">
          <cell r="U4229">
            <v>2026</v>
          </cell>
        </row>
        <row r="4230">
          <cell r="U4230">
            <v>2026</v>
          </cell>
        </row>
        <row r="4231">
          <cell r="U4231">
            <v>2026</v>
          </cell>
        </row>
        <row r="4232">
          <cell r="U4232">
            <v>2026</v>
          </cell>
        </row>
        <row r="4233">
          <cell r="U4233">
            <v>2026</v>
          </cell>
        </row>
        <row r="4234">
          <cell r="U4234">
            <v>2026</v>
          </cell>
        </row>
        <row r="4235">
          <cell r="U4235">
            <v>2026</v>
          </cell>
        </row>
        <row r="4236">
          <cell r="U4236">
            <v>2026</v>
          </cell>
        </row>
        <row r="4237">
          <cell r="U4237">
            <v>2026</v>
          </cell>
        </row>
        <row r="4238">
          <cell r="U4238">
            <v>2026</v>
          </cell>
        </row>
        <row r="4239">
          <cell r="U4239">
            <v>2026</v>
          </cell>
        </row>
        <row r="4240">
          <cell r="U4240">
            <v>2026</v>
          </cell>
        </row>
        <row r="4241">
          <cell r="U4241">
            <v>2026</v>
          </cell>
        </row>
        <row r="4242">
          <cell r="U4242">
            <v>2026</v>
          </cell>
        </row>
        <row r="4243">
          <cell r="U4243">
            <v>2026</v>
          </cell>
        </row>
        <row r="4244">
          <cell r="U4244">
            <v>2026</v>
          </cell>
        </row>
        <row r="4245">
          <cell r="U4245">
            <v>2026</v>
          </cell>
        </row>
        <row r="4246">
          <cell r="U4246">
            <v>2026</v>
          </cell>
        </row>
        <row r="4247">
          <cell r="U4247">
            <v>2026</v>
          </cell>
        </row>
        <row r="4248">
          <cell r="U4248">
            <v>2026</v>
          </cell>
        </row>
        <row r="4249">
          <cell r="U4249">
            <v>2026</v>
          </cell>
        </row>
        <row r="4250">
          <cell r="U4250">
            <v>2026</v>
          </cell>
        </row>
        <row r="4251">
          <cell r="U4251">
            <v>2026</v>
          </cell>
        </row>
        <row r="4252">
          <cell r="U4252">
            <v>2026</v>
          </cell>
        </row>
        <row r="4253">
          <cell r="U4253">
            <v>2026</v>
          </cell>
        </row>
        <row r="4254">
          <cell r="U4254">
            <v>2026</v>
          </cell>
        </row>
        <row r="4255">
          <cell r="U4255">
            <v>2026</v>
          </cell>
        </row>
        <row r="4256">
          <cell r="U4256">
            <v>2026</v>
          </cell>
        </row>
        <row r="4257">
          <cell r="U4257">
            <v>2026</v>
          </cell>
        </row>
        <row r="4258">
          <cell r="U4258">
            <v>2026</v>
          </cell>
        </row>
        <row r="4259">
          <cell r="U4259">
            <v>2026</v>
          </cell>
        </row>
        <row r="4260">
          <cell r="U4260">
            <v>2026</v>
          </cell>
        </row>
        <row r="4261">
          <cell r="U4261">
            <v>2026</v>
          </cell>
        </row>
        <row r="4262">
          <cell r="U4262">
            <v>2026</v>
          </cell>
        </row>
        <row r="4263">
          <cell r="U4263">
            <v>2026</v>
          </cell>
        </row>
        <row r="4264">
          <cell r="U4264">
            <v>2026</v>
          </cell>
        </row>
        <row r="4265">
          <cell r="U4265">
            <v>2026</v>
          </cell>
        </row>
        <row r="4266">
          <cell r="U4266">
            <v>2026</v>
          </cell>
        </row>
        <row r="4267">
          <cell r="U4267">
            <v>2026</v>
          </cell>
        </row>
        <row r="4268">
          <cell r="U4268">
            <v>2026</v>
          </cell>
        </row>
        <row r="4269">
          <cell r="U4269">
            <v>2026</v>
          </cell>
        </row>
        <row r="4270">
          <cell r="U4270">
            <v>2026</v>
          </cell>
        </row>
        <row r="4271">
          <cell r="U4271">
            <v>2026</v>
          </cell>
        </row>
        <row r="4272">
          <cell r="U4272">
            <v>2026</v>
          </cell>
        </row>
        <row r="4273">
          <cell r="U4273">
            <v>2026</v>
          </cell>
        </row>
        <row r="4274">
          <cell r="U4274">
            <v>2026</v>
          </cell>
        </row>
        <row r="4275">
          <cell r="U4275">
            <v>2026</v>
          </cell>
        </row>
        <row r="4276">
          <cell r="U4276">
            <v>2026</v>
          </cell>
        </row>
        <row r="4277">
          <cell r="U4277">
            <v>2026</v>
          </cell>
        </row>
        <row r="4278">
          <cell r="U4278">
            <v>2026</v>
          </cell>
        </row>
        <row r="4279">
          <cell r="U4279">
            <v>2026</v>
          </cell>
        </row>
        <row r="4280">
          <cell r="U4280">
            <v>2026</v>
          </cell>
        </row>
        <row r="4281">
          <cell r="U4281">
            <v>2026</v>
          </cell>
        </row>
        <row r="4282">
          <cell r="U4282">
            <v>2026</v>
          </cell>
        </row>
        <row r="4283">
          <cell r="U4283">
            <v>2026</v>
          </cell>
        </row>
        <row r="4284">
          <cell r="U4284">
            <v>2026</v>
          </cell>
        </row>
        <row r="4285">
          <cell r="U4285">
            <v>2026</v>
          </cell>
        </row>
        <row r="4286">
          <cell r="U4286">
            <v>2026</v>
          </cell>
        </row>
        <row r="4287">
          <cell r="U4287">
            <v>2026</v>
          </cell>
        </row>
        <row r="4288">
          <cell r="U4288">
            <v>2026</v>
          </cell>
        </row>
        <row r="4289">
          <cell r="U4289">
            <v>2026</v>
          </cell>
        </row>
        <row r="4290">
          <cell r="U4290">
            <v>2026</v>
          </cell>
        </row>
        <row r="4291">
          <cell r="U4291">
            <v>2026</v>
          </cell>
        </row>
        <row r="4292">
          <cell r="U4292">
            <v>2026</v>
          </cell>
        </row>
        <row r="4293">
          <cell r="U4293">
            <v>2026</v>
          </cell>
        </row>
        <row r="4294">
          <cell r="U4294">
            <v>2026</v>
          </cell>
        </row>
        <row r="4295">
          <cell r="U4295">
            <v>2026</v>
          </cell>
        </row>
        <row r="4296">
          <cell r="U4296">
            <v>2026</v>
          </cell>
        </row>
        <row r="4297">
          <cell r="U4297">
            <v>2026</v>
          </cell>
        </row>
        <row r="4298">
          <cell r="U4298">
            <v>2026</v>
          </cell>
        </row>
        <row r="4299">
          <cell r="U4299">
            <v>2026</v>
          </cell>
        </row>
        <row r="4300">
          <cell r="U4300">
            <v>2026</v>
          </cell>
        </row>
        <row r="4301">
          <cell r="U4301">
            <v>2026</v>
          </cell>
        </row>
        <row r="4302">
          <cell r="U4302">
            <v>2026</v>
          </cell>
        </row>
        <row r="4303">
          <cell r="U4303">
            <v>2026</v>
          </cell>
        </row>
        <row r="4304">
          <cell r="U4304">
            <v>2026</v>
          </cell>
        </row>
        <row r="4305">
          <cell r="U4305">
            <v>2026</v>
          </cell>
        </row>
        <row r="4306">
          <cell r="U4306">
            <v>2026</v>
          </cell>
        </row>
        <row r="4307">
          <cell r="U4307">
            <v>2026</v>
          </cell>
        </row>
        <row r="4308">
          <cell r="U4308">
            <v>2026</v>
          </cell>
        </row>
        <row r="4309">
          <cell r="U4309">
            <v>2026</v>
          </cell>
        </row>
        <row r="4310">
          <cell r="U4310">
            <v>2026</v>
          </cell>
        </row>
        <row r="4311">
          <cell r="U4311">
            <v>2026</v>
          </cell>
        </row>
        <row r="4312">
          <cell r="U4312">
            <v>2026</v>
          </cell>
        </row>
        <row r="4313">
          <cell r="U4313">
            <v>2026</v>
          </cell>
        </row>
        <row r="4314">
          <cell r="U4314">
            <v>2026</v>
          </cell>
        </row>
        <row r="4315">
          <cell r="U4315">
            <v>2026</v>
          </cell>
        </row>
        <row r="4316">
          <cell r="U4316">
            <v>2026</v>
          </cell>
        </row>
        <row r="4317">
          <cell r="U4317">
            <v>2026</v>
          </cell>
        </row>
        <row r="4318">
          <cell r="U4318">
            <v>2026</v>
          </cell>
        </row>
        <row r="4319">
          <cell r="U4319">
            <v>2026</v>
          </cell>
        </row>
        <row r="4320">
          <cell r="U4320">
            <v>2026</v>
          </cell>
        </row>
        <row r="4321">
          <cell r="U4321">
            <v>2026</v>
          </cell>
        </row>
        <row r="4322">
          <cell r="U4322">
            <v>2026</v>
          </cell>
        </row>
        <row r="4323">
          <cell r="U4323">
            <v>2026</v>
          </cell>
        </row>
        <row r="4324">
          <cell r="U4324">
            <v>2026</v>
          </cell>
        </row>
        <row r="4325">
          <cell r="U4325">
            <v>2026</v>
          </cell>
        </row>
        <row r="4326">
          <cell r="U4326">
            <v>2026</v>
          </cell>
        </row>
        <row r="4327">
          <cell r="U4327">
            <v>2026</v>
          </cell>
        </row>
        <row r="4328">
          <cell r="U4328">
            <v>2026</v>
          </cell>
        </row>
        <row r="4329">
          <cell r="U4329">
            <v>2026</v>
          </cell>
        </row>
        <row r="4330">
          <cell r="U4330">
            <v>2026</v>
          </cell>
        </row>
        <row r="4331">
          <cell r="U4331">
            <v>2026</v>
          </cell>
        </row>
        <row r="4332">
          <cell r="U4332">
            <v>2026</v>
          </cell>
        </row>
        <row r="4333">
          <cell r="U4333">
            <v>2026</v>
          </cell>
        </row>
        <row r="4334">
          <cell r="U4334">
            <v>2026</v>
          </cell>
        </row>
        <row r="4335">
          <cell r="U4335">
            <v>2026</v>
          </cell>
        </row>
        <row r="4336">
          <cell r="U4336">
            <v>2026</v>
          </cell>
        </row>
        <row r="4337">
          <cell r="U4337">
            <v>2026</v>
          </cell>
        </row>
        <row r="4338">
          <cell r="U4338">
            <v>2026</v>
          </cell>
        </row>
        <row r="4339">
          <cell r="U4339">
            <v>2026</v>
          </cell>
        </row>
        <row r="4340">
          <cell r="U4340">
            <v>2026</v>
          </cell>
        </row>
        <row r="4341">
          <cell r="U4341">
            <v>2026</v>
          </cell>
        </row>
        <row r="4342">
          <cell r="U4342">
            <v>2026</v>
          </cell>
        </row>
        <row r="4343">
          <cell r="U4343">
            <v>2026</v>
          </cell>
        </row>
        <row r="4344">
          <cell r="U4344">
            <v>2026</v>
          </cell>
        </row>
        <row r="4345">
          <cell r="U4345">
            <v>2026</v>
          </cell>
        </row>
        <row r="4346">
          <cell r="U4346">
            <v>2026</v>
          </cell>
        </row>
        <row r="4347">
          <cell r="U4347">
            <v>2026</v>
          </cell>
        </row>
        <row r="4348">
          <cell r="U4348">
            <v>2026</v>
          </cell>
        </row>
        <row r="4349">
          <cell r="U4349">
            <v>2026</v>
          </cell>
        </row>
        <row r="4350">
          <cell r="U4350">
            <v>2026</v>
          </cell>
        </row>
        <row r="4351">
          <cell r="U4351">
            <v>2026</v>
          </cell>
        </row>
        <row r="4352">
          <cell r="U4352">
            <v>2026</v>
          </cell>
        </row>
        <row r="4353">
          <cell r="U4353">
            <v>2026</v>
          </cell>
        </row>
        <row r="4354">
          <cell r="U4354">
            <v>2026</v>
          </cell>
        </row>
        <row r="4355">
          <cell r="U4355">
            <v>2026</v>
          </cell>
        </row>
        <row r="4356">
          <cell r="U4356">
            <v>2026</v>
          </cell>
        </row>
        <row r="4357">
          <cell r="U4357">
            <v>2026</v>
          </cell>
        </row>
        <row r="4358">
          <cell r="U4358">
            <v>2026</v>
          </cell>
        </row>
        <row r="4359">
          <cell r="U4359">
            <v>2026</v>
          </cell>
        </row>
        <row r="4360">
          <cell r="U4360">
            <v>2026</v>
          </cell>
        </row>
        <row r="4361">
          <cell r="U4361">
            <v>2026</v>
          </cell>
        </row>
        <row r="4362">
          <cell r="U4362">
            <v>2026</v>
          </cell>
        </row>
        <row r="4363">
          <cell r="U4363">
            <v>2026</v>
          </cell>
        </row>
        <row r="4364">
          <cell r="U4364">
            <v>2026</v>
          </cell>
        </row>
        <row r="4365">
          <cell r="U4365">
            <v>2026</v>
          </cell>
        </row>
        <row r="4366">
          <cell r="U4366">
            <v>2026</v>
          </cell>
        </row>
        <row r="4367">
          <cell r="U4367">
            <v>2026</v>
          </cell>
        </row>
        <row r="4368">
          <cell r="U4368">
            <v>2026</v>
          </cell>
        </row>
        <row r="4369">
          <cell r="U4369">
            <v>2026</v>
          </cell>
        </row>
        <row r="4370">
          <cell r="U4370">
            <v>2026</v>
          </cell>
        </row>
        <row r="4371">
          <cell r="U4371">
            <v>2026</v>
          </cell>
        </row>
        <row r="4372">
          <cell r="U4372">
            <v>2026</v>
          </cell>
        </row>
        <row r="4373">
          <cell r="U4373">
            <v>2026</v>
          </cell>
        </row>
        <row r="4374">
          <cell r="U4374">
            <v>2026</v>
          </cell>
        </row>
        <row r="4375">
          <cell r="U4375">
            <v>2026</v>
          </cell>
        </row>
        <row r="4376">
          <cell r="U4376">
            <v>2026</v>
          </cell>
        </row>
        <row r="4377">
          <cell r="U4377">
            <v>2026</v>
          </cell>
        </row>
        <row r="4378">
          <cell r="U4378">
            <v>2026</v>
          </cell>
        </row>
        <row r="4379">
          <cell r="U4379">
            <v>2026</v>
          </cell>
        </row>
        <row r="4380">
          <cell r="U4380">
            <v>2026</v>
          </cell>
        </row>
        <row r="4381">
          <cell r="U4381">
            <v>2026</v>
          </cell>
        </row>
        <row r="4382">
          <cell r="U4382">
            <v>2026</v>
          </cell>
        </row>
        <row r="4383">
          <cell r="U4383">
            <v>2026</v>
          </cell>
        </row>
        <row r="4384">
          <cell r="U4384">
            <v>2026</v>
          </cell>
        </row>
        <row r="4385">
          <cell r="U4385">
            <v>2026</v>
          </cell>
        </row>
        <row r="4386">
          <cell r="U4386">
            <v>2026</v>
          </cell>
        </row>
        <row r="4387">
          <cell r="U4387">
            <v>2026</v>
          </cell>
        </row>
        <row r="4388">
          <cell r="U4388">
            <v>2026</v>
          </cell>
        </row>
        <row r="4389">
          <cell r="U4389">
            <v>2026</v>
          </cell>
        </row>
        <row r="4390">
          <cell r="U4390">
            <v>2026</v>
          </cell>
        </row>
        <row r="4391">
          <cell r="U4391">
            <v>2026</v>
          </cell>
        </row>
        <row r="4392">
          <cell r="U4392">
            <v>2026</v>
          </cell>
        </row>
        <row r="4393">
          <cell r="U4393">
            <v>2026</v>
          </cell>
        </row>
        <row r="4394">
          <cell r="U4394">
            <v>2026</v>
          </cell>
        </row>
        <row r="4395">
          <cell r="U4395">
            <v>2026</v>
          </cell>
        </row>
        <row r="4396">
          <cell r="U4396">
            <v>2026</v>
          </cell>
        </row>
        <row r="4397">
          <cell r="U4397">
            <v>2026</v>
          </cell>
        </row>
        <row r="4398">
          <cell r="U4398">
            <v>2026</v>
          </cell>
        </row>
        <row r="4399">
          <cell r="U4399">
            <v>2026</v>
          </cell>
        </row>
        <row r="4400">
          <cell r="U4400">
            <v>2026</v>
          </cell>
        </row>
        <row r="4401">
          <cell r="U4401">
            <v>2026</v>
          </cell>
        </row>
        <row r="4402">
          <cell r="U4402">
            <v>2026</v>
          </cell>
        </row>
        <row r="4403">
          <cell r="U4403">
            <v>2026</v>
          </cell>
        </row>
        <row r="4404">
          <cell r="U4404">
            <v>2026</v>
          </cell>
        </row>
        <row r="4405">
          <cell r="U4405">
            <v>2026</v>
          </cell>
        </row>
        <row r="4406">
          <cell r="U4406">
            <v>2026</v>
          </cell>
        </row>
        <row r="4407">
          <cell r="U4407">
            <v>2026</v>
          </cell>
        </row>
        <row r="4408">
          <cell r="U4408">
            <v>2026</v>
          </cell>
        </row>
        <row r="4409">
          <cell r="U4409">
            <v>2026</v>
          </cell>
        </row>
        <row r="4410">
          <cell r="U4410">
            <v>2026</v>
          </cell>
        </row>
        <row r="4411">
          <cell r="U4411">
            <v>2026</v>
          </cell>
        </row>
        <row r="4412">
          <cell r="U4412">
            <v>2026</v>
          </cell>
        </row>
        <row r="4413">
          <cell r="U4413">
            <v>2026</v>
          </cell>
        </row>
        <row r="4414">
          <cell r="U4414">
            <v>2026</v>
          </cell>
        </row>
        <row r="4415">
          <cell r="U4415">
            <v>2026</v>
          </cell>
        </row>
        <row r="4416">
          <cell r="U4416">
            <v>2026</v>
          </cell>
        </row>
        <row r="4417">
          <cell r="U4417">
            <v>2026</v>
          </cell>
        </row>
        <row r="4418">
          <cell r="U4418">
            <v>2026</v>
          </cell>
        </row>
        <row r="4419">
          <cell r="U4419">
            <v>2026</v>
          </cell>
        </row>
        <row r="4420">
          <cell r="U4420">
            <v>2026</v>
          </cell>
        </row>
        <row r="4421">
          <cell r="U4421">
            <v>2026</v>
          </cell>
        </row>
        <row r="4422">
          <cell r="U4422">
            <v>2026</v>
          </cell>
        </row>
        <row r="4423">
          <cell r="U4423">
            <v>2026</v>
          </cell>
        </row>
        <row r="4424">
          <cell r="U4424">
            <v>2026</v>
          </cell>
        </row>
        <row r="4425">
          <cell r="U4425">
            <v>2026</v>
          </cell>
        </row>
        <row r="4426">
          <cell r="U4426">
            <v>2026</v>
          </cell>
        </row>
        <row r="4427">
          <cell r="U4427">
            <v>2026</v>
          </cell>
        </row>
        <row r="4428">
          <cell r="U4428">
            <v>2026</v>
          </cell>
        </row>
        <row r="4429">
          <cell r="U4429">
            <v>2026</v>
          </cell>
        </row>
        <row r="4430">
          <cell r="U4430">
            <v>2026</v>
          </cell>
        </row>
        <row r="4431">
          <cell r="U4431">
            <v>2026</v>
          </cell>
        </row>
        <row r="4432">
          <cell r="U4432">
            <v>2026</v>
          </cell>
        </row>
        <row r="4433">
          <cell r="U4433">
            <v>2026</v>
          </cell>
        </row>
        <row r="4434">
          <cell r="U4434">
            <v>2026</v>
          </cell>
        </row>
        <row r="4435">
          <cell r="U4435">
            <v>2026</v>
          </cell>
        </row>
        <row r="4436">
          <cell r="U4436">
            <v>2026</v>
          </cell>
        </row>
        <row r="4437">
          <cell r="U4437">
            <v>2026</v>
          </cell>
        </row>
        <row r="4438">
          <cell r="U4438">
            <v>2026</v>
          </cell>
        </row>
        <row r="4439">
          <cell r="U4439">
            <v>2026</v>
          </cell>
        </row>
        <row r="4440">
          <cell r="U4440">
            <v>2026</v>
          </cell>
        </row>
        <row r="4441">
          <cell r="U4441">
            <v>2026</v>
          </cell>
        </row>
        <row r="4442">
          <cell r="U4442">
            <v>2026</v>
          </cell>
        </row>
        <row r="4443">
          <cell r="U4443">
            <v>2026</v>
          </cell>
        </row>
        <row r="4444">
          <cell r="U4444">
            <v>2026</v>
          </cell>
        </row>
        <row r="4445">
          <cell r="U4445">
            <v>2026</v>
          </cell>
        </row>
        <row r="4446">
          <cell r="U4446">
            <v>2026</v>
          </cell>
        </row>
        <row r="4447">
          <cell r="U4447">
            <v>2026</v>
          </cell>
        </row>
        <row r="4448">
          <cell r="U4448">
            <v>2026</v>
          </cell>
        </row>
        <row r="4449">
          <cell r="U4449">
            <v>2026</v>
          </cell>
        </row>
        <row r="4450">
          <cell r="U4450">
            <v>2026</v>
          </cell>
        </row>
        <row r="4451">
          <cell r="U4451">
            <v>2026</v>
          </cell>
        </row>
        <row r="4452">
          <cell r="U4452">
            <v>2026</v>
          </cell>
        </row>
        <row r="4453">
          <cell r="U4453">
            <v>2026</v>
          </cell>
        </row>
        <row r="4454">
          <cell r="U4454">
            <v>2026</v>
          </cell>
        </row>
        <row r="4455">
          <cell r="U4455">
            <v>2026</v>
          </cell>
        </row>
        <row r="4456">
          <cell r="U4456">
            <v>2026</v>
          </cell>
        </row>
        <row r="4457">
          <cell r="U4457">
            <v>2026</v>
          </cell>
        </row>
        <row r="4458">
          <cell r="U4458">
            <v>2026</v>
          </cell>
        </row>
        <row r="4459">
          <cell r="U4459">
            <v>2026</v>
          </cell>
        </row>
        <row r="4460">
          <cell r="U4460">
            <v>2026</v>
          </cell>
        </row>
        <row r="4461">
          <cell r="U4461">
            <v>2026</v>
          </cell>
        </row>
        <row r="4462">
          <cell r="U4462">
            <v>2026</v>
          </cell>
        </row>
        <row r="4463">
          <cell r="U4463">
            <v>2026</v>
          </cell>
        </row>
        <row r="4464">
          <cell r="U4464">
            <v>2026</v>
          </cell>
        </row>
        <row r="4465">
          <cell r="U4465">
            <v>2026</v>
          </cell>
        </row>
        <row r="4466">
          <cell r="U4466">
            <v>2026</v>
          </cell>
        </row>
        <row r="4467">
          <cell r="U4467">
            <v>2026</v>
          </cell>
        </row>
        <row r="4468">
          <cell r="U4468">
            <v>2026</v>
          </cell>
        </row>
        <row r="4469">
          <cell r="U4469">
            <v>2026</v>
          </cell>
        </row>
        <row r="4470">
          <cell r="U4470">
            <v>2026</v>
          </cell>
        </row>
        <row r="4471">
          <cell r="U4471">
            <v>2026</v>
          </cell>
        </row>
        <row r="4472">
          <cell r="U4472">
            <v>2026</v>
          </cell>
        </row>
        <row r="4473">
          <cell r="U4473">
            <v>2026</v>
          </cell>
        </row>
        <row r="4474">
          <cell r="U4474">
            <v>2026</v>
          </cell>
        </row>
        <row r="4475">
          <cell r="U4475">
            <v>2026</v>
          </cell>
        </row>
        <row r="4476">
          <cell r="U4476">
            <v>2026</v>
          </cell>
        </row>
        <row r="4477">
          <cell r="U4477">
            <v>2026</v>
          </cell>
        </row>
        <row r="4478">
          <cell r="U4478">
            <v>2026</v>
          </cell>
        </row>
        <row r="4479">
          <cell r="U4479">
            <v>2026</v>
          </cell>
        </row>
        <row r="4480">
          <cell r="U4480">
            <v>2026</v>
          </cell>
        </row>
        <row r="4481">
          <cell r="U4481">
            <v>2026</v>
          </cell>
        </row>
        <row r="4482">
          <cell r="U4482">
            <v>2026</v>
          </cell>
        </row>
        <row r="4483">
          <cell r="U4483">
            <v>2026</v>
          </cell>
        </row>
        <row r="4484">
          <cell r="U4484">
            <v>2026</v>
          </cell>
        </row>
        <row r="4485">
          <cell r="U4485">
            <v>2026</v>
          </cell>
        </row>
        <row r="4486">
          <cell r="U4486">
            <v>2026</v>
          </cell>
        </row>
        <row r="4487">
          <cell r="U4487">
            <v>2026</v>
          </cell>
        </row>
        <row r="4488">
          <cell r="U4488">
            <v>2026</v>
          </cell>
        </row>
        <row r="4489">
          <cell r="U4489">
            <v>2026</v>
          </cell>
        </row>
        <row r="4490">
          <cell r="U4490">
            <v>2026</v>
          </cell>
        </row>
        <row r="4491">
          <cell r="U4491">
            <v>2026</v>
          </cell>
        </row>
        <row r="4492">
          <cell r="U4492">
            <v>2026</v>
          </cell>
        </row>
        <row r="4493">
          <cell r="U4493">
            <v>2026</v>
          </cell>
        </row>
        <row r="4494">
          <cell r="U4494">
            <v>2026</v>
          </cell>
        </row>
        <row r="4495">
          <cell r="U4495">
            <v>2026</v>
          </cell>
        </row>
        <row r="4496">
          <cell r="U4496">
            <v>2026</v>
          </cell>
        </row>
        <row r="4497">
          <cell r="U4497">
            <v>2026</v>
          </cell>
        </row>
        <row r="4498">
          <cell r="U4498">
            <v>2026</v>
          </cell>
        </row>
        <row r="4499">
          <cell r="U4499">
            <v>2026</v>
          </cell>
        </row>
        <row r="4500">
          <cell r="U4500">
            <v>2026</v>
          </cell>
        </row>
        <row r="4501">
          <cell r="U4501">
            <v>2026</v>
          </cell>
        </row>
        <row r="4502">
          <cell r="U4502">
            <v>2026</v>
          </cell>
        </row>
        <row r="4503">
          <cell r="U4503">
            <v>2026</v>
          </cell>
        </row>
        <row r="4504">
          <cell r="U4504">
            <v>2026</v>
          </cell>
        </row>
        <row r="4505">
          <cell r="U4505">
            <v>2026</v>
          </cell>
        </row>
        <row r="4506">
          <cell r="U4506">
            <v>2026</v>
          </cell>
        </row>
        <row r="4507">
          <cell r="U4507">
            <v>2026</v>
          </cell>
        </row>
        <row r="4508">
          <cell r="U4508">
            <v>2026</v>
          </cell>
        </row>
        <row r="4509">
          <cell r="U4509">
            <v>2026</v>
          </cell>
        </row>
        <row r="4510">
          <cell r="U4510">
            <v>2026</v>
          </cell>
        </row>
        <row r="4511">
          <cell r="U4511">
            <v>2026</v>
          </cell>
        </row>
        <row r="4512">
          <cell r="U4512">
            <v>2026</v>
          </cell>
        </row>
        <row r="4513">
          <cell r="U4513">
            <v>2026</v>
          </cell>
        </row>
        <row r="4514">
          <cell r="U4514">
            <v>2026</v>
          </cell>
        </row>
        <row r="4515">
          <cell r="U4515">
            <v>2026</v>
          </cell>
        </row>
        <row r="4516">
          <cell r="U4516">
            <v>2026</v>
          </cell>
        </row>
        <row r="4517">
          <cell r="U4517">
            <v>2026</v>
          </cell>
        </row>
        <row r="4518">
          <cell r="U4518">
            <v>2026</v>
          </cell>
        </row>
        <row r="4519">
          <cell r="U4519">
            <v>2026</v>
          </cell>
        </row>
        <row r="4520">
          <cell r="U4520">
            <v>2026</v>
          </cell>
        </row>
        <row r="4521">
          <cell r="U4521">
            <v>2026</v>
          </cell>
        </row>
        <row r="4522">
          <cell r="U4522">
            <v>2026</v>
          </cell>
        </row>
        <row r="4523">
          <cell r="U4523">
            <v>2026</v>
          </cell>
        </row>
        <row r="4524">
          <cell r="U4524">
            <v>2026</v>
          </cell>
        </row>
        <row r="4525">
          <cell r="U4525">
            <v>2026</v>
          </cell>
        </row>
        <row r="4526">
          <cell r="U4526">
            <v>2026</v>
          </cell>
        </row>
        <row r="4527">
          <cell r="U4527">
            <v>2026</v>
          </cell>
        </row>
        <row r="4528">
          <cell r="U4528">
            <v>2026</v>
          </cell>
        </row>
        <row r="4529">
          <cell r="U4529">
            <v>2026</v>
          </cell>
        </row>
        <row r="4530">
          <cell r="U4530">
            <v>2026</v>
          </cell>
        </row>
        <row r="4531">
          <cell r="U4531">
            <v>2026</v>
          </cell>
        </row>
        <row r="4532">
          <cell r="U4532">
            <v>2026</v>
          </cell>
        </row>
        <row r="4533">
          <cell r="U4533">
            <v>2026</v>
          </cell>
        </row>
        <row r="4534">
          <cell r="U4534">
            <v>2026</v>
          </cell>
        </row>
        <row r="4535">
          <cell r="U4535">
            <v>2026</v>
          </cell>
        </row>
        <row r="4536">
          <cell r="U4536">
            <v>2026</v>
          </cell>
        </row>
        <row r="4537">
          <cell r="U4537">
            <v>2026</v>
          </cell>
        </row>
        <row r="4538">
          <cell r="U4538">
            <v>2026</v>
          </cell>
        </row>
        <row r="4539">
          <cell r="U4539">
            <v>2026</v>
          </cell>
        </row>
        <row r="4540">
          <cell r="U4540">
            <v>2026</v>
          </cell>
        </row>
        <row r="4541">
          <cell r="U4541">
            <v>2026</v>
          </cell>
        </row>
        <row r="4542">
          <cell r="U4542">
            <v>2026</v>
          </cell>
        </row>
        <row r="4543">
          <cell r="U4543">
            <v>2026</v>
          </cell>
        </row>
        <row r="4544">
          <cell r="U4544">
            <v>2026</v>
          </cell>
        </row>
        <row r="4545">
          <cell r="U4545">
            <v>2026</v>
          </cell>
        </row>
        <row r="4546">
          <cell r="U4546">
            <v>2026</v>
          </cell>
        </row>
        <row r="4547">
          <cell r="U4547">
            <v>2026</v>
          </cell>
        </row>
        <row r="4548">
          <cell r="U4548">
            <v>2026</v>
          </cell>
        </row>
        <row r="4549">
          <cell r="U4549">
            <v>2026</v>
          </cell>
        </row>
        <row r="4550">
          <cell r="U4550">
            <v>2026</v>
          </cell>
        </row>
        <row r="4551">
          <cell r="U4551">
            <v>2026</v>
          </cell>
        </row>
        <row r="4552">
          <cell r="U4552">
            <v>2026</v>
          </cell>
        </row>
        <row r="4553">
          <cell r="U4553">
            <v>2026</v>
          </cell>
        </row>
        <row r="4554">
          <cell r="U4554">
            <v>2026</v>
          </cell>
        </row>
        <row r="4555">
          <cell r="U4555">
            <v>2026</v>
          </cell>
        </row>
        <row r="4556">
          <cell r="U4556">
            <v>2026</v>
          </cell>
        </row>
        <row r="4557">
          <cell r="U4557">
            <v>2026</v>
          </cell>
        </row>
        <row r="4558">
          <cell r="U4558">
            <v>2026</v>
          </cell>
        </row>
        <row r="4559">
          <cell r="U4559">
            <v>2026</v>
          </cell>
        </row>
        <row r="4560">
          <cell r="U4560">
            <v>2026</v>
          </cell>
        </row>
        <row r="4561">
          <cell r="U4561">
            <v>2026</v>
          </cell>
        </row>
        <row r="4562">
          <cell r="U4562">
            <v>2026</v>
          </cell>
        </row>
        <row r="4563">
          <cell r="U4563">
            <v>2026</v>
          </cell>
        </row>
        <row r="4564">
          <cell r="U4564">
            <v>2026</v>
          </cell>
        </row>
        <row r="4565">
          <cell r="U4565">
            <v>2026</v>
          </cell>
        </row>
        <row r="4566">
          <cell r="U4566">
            <v>2026</v>
          </cell>
        </row>
        <row r="4567">
          <cell r="U4567">
            <v>2026</v>
          </cell>
        </row>
        <row r="4568">
          <cell r="U4568">
            <v>2026</v>
          </cell>
        </row>
        <row r="4569">
          <cell r="U4569">
            <v>2026</v>
          </cell>
        </row>
        <row r="4570">
          <cell r="U4570">
            <v>2026</v>
          </cell>
        </row>
        <row r="4571">
          <cell r="U4571">
            <v>2026</v>
          </cell>
        </row>
        <row r="4572">
          <cell r="U4572">
            <v>2026</v>
          </cell>
        </row>
        <row r="4573">
          <cell r="U4573">
            <v>2026</v>
          </cell>
        </row>
        <row r="4574">
          <cell r="U4574">
            <v>2026</v>
          </cell>
        </row>
        <row r="4575">
          <cell r="U4575">
            <v>2026</v>
          </cell>
        </row>
        <row r="4576">
          <cell r="U4576">
            <v>2026</v>
          </cell>
        </row>
        <row r="4577">
          <cell r="U4577">
            <v>2026</v>
          </cell>
        </row>
        <row r="4578">
          <cell r="U4578">
            <v>2026</v>
          </cell>
        </row>
        <row r="4579">
          <cell r="U4579">
            <v>2026</v>
          </cell>
        </row>
        <row r="4580">
          <cell r="U4580">
            <v>2026</v>
          </cell>
        </row>
        <row r="4581">
          <cell r="U4581">
            <v>2026</v>
          </cell>
        </row>
        <row r="4582">
          <cell r="U4582">
            <v>2026</v>
          </cell>
        </row>
        <row r="4583">
          <cell r="U4583">
            <v>2026</v>
          </cell>
        </row>
        <row r="4584">
          <cell r="U4584">
            <v>2026</v>
          </cell>
        </row>
        <row r="4585">
          <cell r="U4585">
            <v>2026</v>
          </cell>
        </row>
        <row r="4586">
          <cell r="U4586">
            <v>2026</v>
          </cell>
        </row>
        <row r="4587">
          <cell r="U4587">
            <v>2026</v>
          </cell>
        </row>
        <row r="4588">
          <cell r="U4588">
            <v>2026</v>
          </cell>
        </row>
        <row r="4589">
          <cell r="U4589">
            <v>2026</v>
          </cell>
        </row>
        <row r="4590">
          <cell r="U4590">
            <v>2026</v>
          </cell>
        </row>
        <row r="4591">
          <cell r="U4591">
            <v>2026</v>
          </cell>
        </row>
        <row r="4592">
          <cell r="U4592">
            <v>2026</v>
          </cell>
        </row>
        <row r="4593">
          <cell r="U4593">
            <v>2026</v>
          </cell>
        </row>
        <row r="4594">
          <cell r="U4594">
            <v>2026</v>
          </cell>
        </row>
        <row r="4595">
          <cell r="U4595">
            <v>2026</v>
          </cell>
        </row>
        <row r="4596">
          <cell r="U4596">
            <v>2026</v>
          </cell>
        </row>
        <row r="4597">
          <cell r="U4597">
            <v>2026</v>
          </cell>
        </row>
        <row r="4598">
          <cell r="U4598">
            <v>2026</v>
          </cell>
        </row>
        <row r="4599">
          <cell r="U4599">
            <v>2026</v>
          </cell>
        </row>
        <row r="4600">
          <cell r="U4600">
            <v>2026</v>
          </cell>
        </row>
        <row r="4601">
          <cell r="U4601">
            <v>2026</v>
          </cell>
        </row>
        <row r="4602">
          <cell r="U4602">
            <v>2026</v>
          </cell>
        </row>
        <row r="4603">
          <cell r="U4603">
            <v>2026</v>
          </cell>
        </row>
        <row r="4604">
          <cell r="U4604">
            <v>2026</v>
          </cell>
        </row>
        <row r="4605">
          <cell r="U4605">
            <v>2026</v>
          </cell>
        </row>
        <row r="4606">
          <cell r="U4606">
            <v>2026</v>
          </cell>
        </row>
        <row r="4607">
          <cell r="U4607">
            <v>2026</v>
          </cell>
        </row>
        <row r="4608">
          <cell r="U4608">
            <v>2026</v>
          </cell>
        </row>
        <row r="4609">
          <cell r="U4609">
            <v>2026</v>
          </cell>
        </row>
        <row r="4610">
          <cell r="U4610">
            <v>2026</v>
          </cell>
        </row>
        <row r="4611">
          <cell r="U4611">
            <v>2026</v>
          </cell>
        </row>
        <row r="4612">
          <cell r="U4612">
            <v>2026</v>
          </cell>
        </row>
        <row r="4613">
          <cell r="U4613">
            <v>2026</v>
          </cell>
        </row>
        <row r="4614">
          <cell r="U4614">
            <v>2026</v>
          </cell>
        </row>
        <row r="4615">
          <cell r="U4615">
            <v>2026</v>
          </cell>
        </row>
        <row r="4616">
          <cell r="U4616">
            <v>2026</v>
          </cell>
        </row>
        <row r="4617">
          <cell r="U4617">
            <v>2026</v>
          </cell>
        </row>
        <row r="4618">
          <cell r="U4618">
            <v>2026</v>
          </cell>
        </row>
        <row r="4619">
          <cell r="U4619">
            <v>2026</v>
          </cell>
        </row>
        <row r="4620">
          <cell r="U4620">
            <v>2026</v>
          </cell>
        </row>
        <row r="4621">
          <cell r="U4621">
            <v>2026</v>
          </cell>
        </row>
        <row r="4622">
          <cell r="U4622">
            <v>2026</v>
          </cell>
        </row>
        <row r="4623">
          <cell r="U4623">
            <v>2026</v>
          </cell>
        </row>
        <row r="4624">
          <cell r="U4624">
            <v>2026</v>
          </cell>
        </row>
        <row r="4625">
          <cell r="U4625">
            <v>2026</v>
          </cell>
        </row>
        <row r="4626">
          <cell r="U4626">
            <v>2026</v>
          </cell>
        </row>
        <row r="4627">
          <cell r="U4627">
            <v>2026</v>
          </cell>
        </row>
        <row r="4628">
          <cell r="U4628">
            <v>2026</v>
          </cell>
        </row>
        <row r="4629">
          <cell r="U4629">
            <v>2026</v>
          </cell>
        </row>
        <row r="4630">
          <cell r="U4630">
            <v>2026</v>
          </cell>
        </row>
        <row r="4631">
          <cell r="U4631">
            <v>2026</v>
          </cell>
        </row>
        <row r="4632">
          <cell r="U4632">
            <v>2026</v>
          </cell>
        </row>
        <row r="4633">
          <cell r="U4633">
            <v>2026</v>
          </cell>
        </row>
        <row r="4634">
          <cell r="U4634">
            <v>2026</v>
          </cell>
        </row>
        <row r="4635">
          <cell r="U4635">
            <v>2026</v>
          </cell>
        </row>
        <row r="4636">
          <cell r="U4636">
            <v>2026</v>
          </cell>
        </row>
        <row r="4637">
          <cell r="U4637">
            <v>2026</v>
          </cell>
        </row>
        <row r="4638">
          <cell r="U4638">
            <v>2026</v>
          </cell>
        </row>
        <row r="4639">
          <cell r="U4639">
            <v>2026</v>
          </cell>
        </row>
        <row r="4640">
          <cell r="U4640">
            <v>2026</v>
          </cell>
        </row>
        <row r="4641">
          <cell r="U4641">
            <v>2026</v>
          </cell>
        </row>
        <row r="4642">
          <cell r="U4642">
            <v>2026</v>
          </cell>
        </row>
        <row r="4643">
          <cell r="U4643">
            <v>2026</v>
          </cell>
        </row>
        <row r="4644">
          <cell r="U4644">
            <v>2026</v>
          </cell>
        </row>
        <row r="4645">
          <cell r="U4645">
            <v>2026</v>
          </cell>
        </row>
        <row r="4646">
          <cell r="U4646">
            <v>2026</v>
          </cell>
        </row>
        <row r="4647">
          <cell r="U4647">
            <v>2026</v>
          </cell>
        </row>
        <row r="4648">
          <cell r="U4648">
            <v>2026</v>
          </cell>
        </row>
        <row r="4649">
          <cell r="U4649">
            <v>2026</v>
          </cell>
        </row>
        <row r="4650">
          <cell r="U4650">
            <v>2026</v>
          </cell>
        </row>
        <row r="4651">
          <cell r="U4651">
            <v>2026</v>
          </cell>
        </row>
        <row r="4652">
          <cell r="U4652">
            <v>2026</v>
          </cell>
        </row>
        <row r="4653">
          <cell r="U4653">
            <v>2026</v>
          </cell>
        </row>
        <row r="4654">
          <cell r="U4654">
            <v>2026</v>
          </cell>
        </row>
        <row r="4655">
          <cell r="U4655">
            <v>2026</v>
          </cell>
        </row>
        <row r="4656">
          <cell r="U4656">
            <v>2026</v>
          </cell>
        </row>
        <row r="4657">
          <cell r="U4657">
            <v>2026</v>
          </cell>
        </row>
        <row r="4658">
          <cell r="U4658">
            <v>2026</v>
          </cell>
        </row>
        <row r="4659">
          <cell r="U4659">
            <v>2026</v>
          </cell>
        </row>
        <row r="4660">
          <cell r="U4660">
            <v>2026</v>
          </cell>
        </row>
        <row r="4661">
          <cell r="U4661">
            <v>2026</v>
          </cell>
        </row>
        <row r="4662">
          <cell r="U4662">
            <v>2026</v>
          </cell>
        </row>
        <row r="4663">
          <cell r="U4663">
            <v>2026</v>
          </cell>
        </row>
        <row r="4664">
          <cell r="U4664">
            <v>2026</v>
          </cell>
        </row>
        <row r="4665">
          <cell r="U4665">
            <v>2026</v>
          </cell>
        </row>
        <row r="4666">
          <cell r="U4666">
            <v>2026</v>
          </cell>
        </row>
        <row r="4667">
          <cell r="U4667">
            <v>2026</v>
          </cell>
        </row>
        <row r="4668">
          <cell r="U4668">
            <v>2026</v>
          </cell>
        </row>
        <row r="4669">
          <cell r="U4669">
            <v>2026</v>
          </cell>
        </row>
        <row r="4670">
          <cell r="U4670">
            <v>2026</v>
          </cell>
        </row>
        <row r="4671">
          <cell r="U4671">
            <v>2026</v>
          </cell>
        </row>
        <row r="4672">
          <cell r="U4672">
            <v>2026</v>
          </cell>
        </row>
        <row r="4673">
          <cell r="U4673">
            <v>2026</v>
          </cell>
        </row>
        <row r="4674">
          <cell r="U4674">
            <v>2026</v>
          </cell>
        </row>
        <row r="4675">
          <cell r="U4675">
            <v>2026</v>
          </cell>
        </row>
        <row r="4676">
          <cell r="U4676">
            <v>2026</v>
          </cell>
        </row>
        <row r="4677">
          <cell r="U4677">
            <v>2026</v>
          </cell>
        </row>
        <row r="4678">
          <cell r="U4678">
            <v>2026</v>
          </cell>
        </row>
        <row r="4679">
          <cell r="U4679">
            <v>2026</v>
          </cell>
        </row>
        <row r="4680">
          <cell r="U4680">
            <v>2026</v>
          </cell>
        </row>
        <row r="4681">
          <cell r="U4681">
            <v>2026</v>
          </cell>
        </row>
        <row r="4682">
          <cell r="U4682">
            <v>2026</v>
          </cell>
        </row>
        <row r="4683">
          <cell r="U4683">
            <v>2026</v>
          </cell>
        </row>
        <row r="4684">
          <cell r="U4684">
            <v>2026</v>
          </cell>
        </row>
        <row r="4685">
          <cell r="U4685">
            <v>2026</v>
          </cell>
        </row>
        <row r="4686">
          <cell r="U4686">
            <v>2026</v>
          </cell>
        </row>
        <row r="4687">
          <cell r="U4687">
            <v>2026</v>
          </cell>
        </row>
        <row r="4688">
          <cell r="U4688">
            <v>2026</v>
          </cell>
        </row>
        <row r="4689">
          <cell r="U4689">
            <v>2026</v>
          </cell>
        </row>
        <row r="4690">
          <cell r="U4690">
            <v>2026</v>
          </cell>
        </row>
        <row r="4691">
          <cell r="U4691">
            <v>2026</v>
          </cell>
        </row>
        <row r="4692">
          <cell r="U4692">
            <v>2026</v>
          </cell>
        </row>
        <row r="4693">
          <cell r="U4693">
            <v>2026</v>
          </cell>
        </row>
        <row r="4694">
          <cell r="U4694">
            <v>2026</v>
          </cell>
        </row>
        <row r="4695">
          <cell r="U4695">
            <v>2026</v>
          </cell>
        </row>
        <row r="4696">
          <cell r="U4696">
            <v>2026</v>
          </cell>
        </row>
        <row r="4697">
          <cell r="U4697">
            <v>2026</v>
          </cell>
        </row>
        <row r="4698">
          <cell r="U4698">
            <v>2026</v>
          </cell>
        </row>
        <row r="4699">
          <cell r="U4699">
            <v>2026</v>
          </cell>
        </row>
        <row r="4700">
          <cell r="U4700">
            <v>2026</v>
          </cell>
        </row>
        <row r="4701">
          <cell r="U4701">
            <v>2026</v>
          </cell>
        </row>
        <row r="4702">
          <cell r="U4702">
            <v>2026</v>
          </cell>
        </row>
        <row r="4703">
          <cell r="U4703">
            <v>2026</v>
          </cell>
        </row>
        <row r="4704">
          <cell r="U4704">
            <v>2026</v>
          </cell>
        </row>
        <row r="4705">
          <cell r="U4705">
            <v>2026</v>
          </cell>
        </row>
        <row r="4706">
          <cell r="U4706">
            <v>2026</v>
          </cell>
        </row>
        <row r="4707">
          <cell r="U4707">
            <v>2026</v>
          </cell>
        </row>
        <row r="4708">
          <cell r="U4708">
            <v>2026</v>
          </cell>
        </row>
        <row r="4709">
          <cell r="U4709">
            <v>2026</v>
          </cell>
        </row>
        <row r="4710">
          <cell r="U4710">
            <v>2026</v>
          </cell>
        </row>
        <row r="4711">
          <cell r="U4711">
            <v>2026</v>
          </cell>
        </row>
        <row r="4712">
          <cell r="U4712">
            <v>2026</v>
          </cell>
        </row>
        <row r="4713">
          <cell r="U4713">
            <v>2026</v>
          </cell>
        </row>
        <row r="4714">
          <cell r="U4714">
            <v>2026</v>
          </cell>
        </row>
        <row r="4715">
          <cell r="U4715">
            <v>2026</v>
          </cell>
        </row>
        <row r="4716">
          <cell r="U4716">
            <v>2026</v>
          </cell>
        </row>
        <row r="4717">
          <cell r="U4717">
            <v>2026</v>
          </cell>
        </row>
        <row r="4718">
          <cell r="U4718">
            <v>2026</v>
          </cell>
        </row>
        <row r="4719">
          <cell r="U4719">
            <v>2026</v>
          </cell>
        </row>
        <row r="4720">
          <cell r="U4720">
            <v>2026</v>
          </cell>
        </row>
        <row r="4721">
          <cell r="U4721">
            <v>2026</v>
          </cell>
        </row>
        <row r="4722">
          <cell r="U4722">
            <v>2026</v>
          </cell>
        </row>
        <row r="4723">
          <cell r="U4723">
            <v>2026</v>
          </cell>
        </row>
        <row r="4724">
          <cell r="U4724">
            <v>2026</v>
          </cell>
        </row>
        <row r="4725">
          <cell r="U4725">
            <v>2026</v>
          </cell>
        </row>
        <row r="4726">
          <cell r="U4726">
            <v>2026</v>
          </cell>
        </row>
        <row r="4727">
          <cell r="U4727">
            <v>2026</v>
          </cell>
        </row>
        <row r="4728">
          <cell r="U4728">
            <v>2026</v>
          </cell>
        </row>
        <row r="4729">
          <cell r="U4729">
            <v>2026</v>
          </cell>
        </row>
        <row r="4730">
          <cell r="U4730">
            <v>2026</v>
          </cell>
        </row>
        <row r="4731">
          <cell r="U4731">
            <v>2026</v>
          </cell>
        </row>
        <row r="4732">
          <cell r="U4732">
            <v>2026</v>
          </cell>
        </row>
        <row r="4733">
          <cell r="U4733">
            <v>2026</v>
          </cell>
        </row>
        <row r="4734">
          <cell r="U4734">
            <v>2026</v>
          </cell>
        </row>
        <row r="4735">
          <cell r="U4735">
            <v>2026</v>
          </cell>
        </row>
        <row r="4736">
          <cell r="U4736">
            <v>2026</v>
          </cell>
        </row>
        <row r="4737">
          <cell r="U4737">
            <v>2026</v>
          </cell>
        </row>
        <row r="4738">
          <cell r="U4738">
            <v>2026</v>
          </cell>
        </row>
        <row r="4739">
          <cell r="U4739">
            <v>2026</v>
          </cell>
        </row>
        <row r="4740">
          <cell r="U4740">
            <v>2026</v>
          </cell>
        </row>
        <row r="4741">
          <cell r="U4741">
            <v>2026</v>
          </cell>
        </row>
        <row r="4742">
          <cell r="U4742">
            <v>2026</v>
          </cell>
        </row>
        <row r="4743">
          <cell r="U4743">
            <v>2026</v>
          </cell>
        </row>
        <row r="4744">
          <cell r="U4744">
            <v>2026</v>
          </cell>
        </row>
        <row r="4745">
          <cell r="U4745">
            <v>2026</v>
          </cell>
        </row>
        <row r="4746">
          <cell r="U4746">
            <v>2026</v>
          </cell>
        </row>
        <row r="4747">
          <cell r="U4747">
            <v>2026</v>
          </cell>
        </row>
        <row r="4748">
          <cell r="U4748">
            <v>2026</v>
          </cell>
        </row>
        <row r="4749">
          <cell r="U4749">
            <v>2026</v>
          </cell>
        </row>
        <row r="4750">
          <cell r="U4750">
            <v>2026</v>
          </cell>
        </row>
        <row r="4751">
          <cell r="U4751">
            <v>2026</v>
          </cell>
        </row>
        <row r="4752">
          <cell r="U4752">
            <v>2026</v>
          </cell>
        </row>
        <row r="4753">
          <cell r="U4753">
            <v>2026</v>
          </cell>
        </row>
        <row r="4754">
          <cell r="U4754">
            <v>2026</v>
          </cell>
        </row>
        <row r="4755">
          <cell r="U4755">
            <v>2026</v>
          </cell>
        </row>
        <row r="4756">
          <cell r="U4756">
            <v>2026</v>
          </cell>
        </row>
        <row r="4757">
          <cell r="U4757">
            <v>2026</v>
          </cell>
        </row>
        <row r="4758">
          <cell r="U4758">
            <v>2026</v>
          </cell>
        </row>
        <row r="4759">
          <cell r="U4759">
            <v>2026</v>
          </cell>
        </row>
        <row r="4760">
          <cell r="U4760">
            <v>2026</v>
          </cell>
        </row>
        <row r="4761">
          <cell r="U4761">
            <v>2026</v>
          </cell>
        </row>
        <row r="4762">
          <cell r="U4762">
            <v>2026</v>
          </cell>
        </row>
        <row r="4763">
          <cell r="U4763">
            <v>2026</v>
          </cell>
        </row>
        <row r="4764">
          <cell r="U4764">
            <v>2026</v>
          </cell>
        </row>
        <row r="4765">
          <cell r="U4765" t="str">
            <v>Ppto 2026</v>
          </cell>
        </row>
        <row r="4766">
          <cell r="U4766" t="str">
            <v>Ppto 2026</v>
          </cell>
        </row>
        <row r="4767">
          <cell r="U4767" t="str">
            <v>Ppto 2026</v>
          </cell>
        </row>
        <row r="4768">
          <cell r="U4768" t="str">
            <v>Ppto 2026</v>
          </cell>
        </row>
        <row r="4769">
          <cell r="U4769" t="str">
            <v>Ppto 2026</v>
          </cell>
        </row>
        <row r="4770">
          <cell r="U4770" t="str">
            <v>Ppto 2026</v>
          </cell>
        </row>
        <row r="4771">
          <cell r="U4771" t="str">
            <v>Ppto 2026</v>
          </cell>
        </row>
        <row r="4772">
          <cell r="U4772" t="str">
            <v>Ppto 2026</v>
          </cell>
        </row>
        <row r="4773">
          <cell r="U4773" t="str">
            <v>Ppto 2026</v>
          </cell>
        </row>
        <row r="4774">
          <cell r="U4774" t="str">
            <v>Ppto 2026</v>
          </cell>
        </row>
        <row r="4775">
          <cell r="U4775" t="str">
            <v>Ppto 2026</v>
          </cell>
        </row>
        <row r="4776">
          <cell r="U4776" t="str">
            <v>Ppto 2026</v>
          </cell>
        </row>
        <row r="4777">
          <cell r="U4777" t="str">
            <v>Ppto 2026</v>
          </cell>
        </row>
        <row r="4778">
          <cell r="U4778" t="str">
            <v>Ppto 2026</v>
          </cell>
        </row>
        <row r="4779">
          <cell r="U4779" t="str">
            <v>Ppto 2026</v>
          </cell>
        </row>
        <row r="4780">
          <cell r="U4780" t="str">
            <v>Ppto 2026</v>
          </cell>
        </row>
        <row r="4781">
          <cell r="U4781" t="str">
            <v>Ppto 2026</v>
          </cell>
        </row>
        <row r="4782">
          <cell r="U4782" t="str">
            <v>Ppto 2026</v>
          </cell>
        </row>
        <row r="4783">
          <cell r="U4783" t="str">
            <v>Ppto 2026</v>
          </cell>
        </row>
        <row r="4784">
          <cell r="U4784" t="str">
            <v>Ppto 2026</v>
          </cell>
        </row>
        <row r="4785">
          <cell r="U4785" t="str">
            <v>Ppto 2026</v>
          </cell>
        </row>
        <row r="4786">
          <cell r="U4786" t="str">
            <v>Ppto 2026</v>
          </cell>
        </row>
        <row r="4787">
          <cell r="U4787" t="str">
            <v>Ppto 2026</v>
          </cell>
        </row>
        <row r="4788">
          <cell r="U4788" t="str">
            <v>Ppto 2026</v>
          </cell>
        </row>
        <row r="4789">
          <cell r="U4789" t="str">
            <v>Ppto 2026</v>
          </cell>
        </row>
        <row r="4790">
          <cell r="U4790" t="str">
            <v>Ppto 2026</v>
          </cell>
        </row>
        <row r="4791">
          <cell r="U4791" t="str">
            <v>Ppto 2026</v>
          </cell>
        </row>
        <row r="4792">
          <cell r="U4792" t="str">
            <v>Ppto 2026</v>
          </cell>
        </row>
        <row r="4793">
          <cell r="U4793" t="str">
            <v>Ppto 2026</v>
          </cell>
        </row>
        <row r="4794">
          <cell r="U4794" t="str">
            <v>Ppto 2026</v>
          </cell>
        </row>
        <row r="4795">
          <cell r="U4795" t="str">
            <v>Ppto 2026</v>
          </cell>
        </row>
        <row r="4796">
          <cell r="U4796" t="str">
            <v>Ppto 2026</v>
          </cell>
        </row>
        <row r="4797">
          <cell r="U4797" t="str">
            <v>Ppto 2026</v>
          </cell>
        </row>
        <row r="4798">
          <cell r="U4798" t="str">
            <v>Ppto 2026</v>
          </cell>
        </row>
        <row r="4799">
          <cell r="U4799" t="str">
            <v>Ppto 2026</v>
          </cell>
        </row>
        <row r="4800">
          <cell r="U4800" t="str">
            <v>Ppto 2026</v>
          </cell>
        </row>
        <row r="4801">
          <cell r="U4801" t="str">
            <v>Ppto 2026</v>
          </cell>
        </row>
        <row r="4802">
          <cell r="U4802" t="str">
            <v>Ppto 2026</v>
          </cell>
        </row>
        <row r="4803">
          <cell r="U4803" t="str">
            <v>Ppto 2026</v>
          </cell>
        </row>
        <row r="4804">
          <cell r="U4804" t="str">
            <v>Ppto 2026</v>
          </cell>
        </row>
        <row r="4805">
          <cell r="U4805" t="str">
            <v>Ppto 2026</v>
          </cell>
        </row>
        <row r="4806">
          <cell r="U4806" t="str">
            <v>Ppto 2026</v>
          </cell>
        </row>
        <row r="4807">
          <cell r="U4807" t="str">
            <v>Ppto 2026</v>
          </cell>
        </row>
        <row r="4808">
          <cell r="U4808" t="str">
            <v>Ppto 2026</v>
          </cell>
        </row>
        <row r="4809">
          <cell r="U4809" t="str">
            <v>Ppto 2026</v>
          </cell>
        </row>
        <row r="4810">
          <cell r="U4810" t="str">
            <v>Ppto 2026</v>
          </cell>
        </row>
        <row r="4811">
          <cell r="U4811" t="str">
            <v>Ppto 2026</v>
          </cell>
        </row>
        <row r="4812">
          <cell r="U4812" t="str">
            <v>Ppto 2026</v>
          </cell>
        </row>
        <row r="4813">
          <cell r="U4813" t="str">
            <v>Ppto 2026</v>
          </cell>
        </row>
        <row r="4814">
          <cell r="U4814" t="str">
            <v>Ppto 2026</v>
          </cell>
        </row>
        <row r="4815">
          <cell r="U4815" t="str">
            <v>Ppto 2026</v>
          </cell>
        </row>
        <row r="4816">
          <cell r="U4816" t="str">
            <v>Ppto 2026</v>
          </cell>
        </row>
        <row r="4817">
          <cell r="U4817" t="str">
            <v>Ppto 2026</v>
          </cell>
        </row>
        <row r="4818">
          <cell r="U4818" t="str">
            <v>Ppto 2026</v>
          </cell>
        </row>
        <row r="4819">
          <cell r="U4819" t="str">
            <v>Ppto 2026</v>
          </cell>
        </row>
        <row r="4820">
          <cell r="U4820" t="str">
            <v>Ppto 2026</v>
          </cell>
        </row>
        <row r="4821">
          <cell r="U4821" t="str">
            <v>Ppto 2026</v>
          </cell>
        </row>
        <row r="4822">
          <cell r="U4822" t="str">
            <v>Ppto 2026</v>
          </cell>
        </row>
        <row r="4823">
          <cell r="U4823" t="str">
            <v>Ppto 2026</v>
          </cell>
        </row>
        <row r="4824">
          <cell r="U4824" t="str">
            <v>Ppto 2026</v>
          </cell>
        </row>
        <row r="4825">
          <cell r="U4825" t="str">
            <v>Ppto 2026</v>
          </cell>
        </row>
        <row r="4826">
          <cell r="U4826" t="str">
            <v>Ppto 2026</v>
          </cell>
        </row>
        <row r="4827">
          <cell r="U4827" t="str">
            <v>Ppto 2026</v>
          </cell>
        </row>
        <row r="4828">
          <cell r="U4828" t="str">
            <v>Ppto 2026</v>
          </cell>
        </row>
        <row r="4829">
          <cell r="U4829" t="str">
            <v>Ppto 2026</v>
          </cell>
        </row>
        <row r="4830">
          <cell r="U4830" t="str">
            <v>Ppto 2026</v>
          </cell>
        </row>
        <row r="4831">
          <cell r="U4831" t="str">
            <v>Ppto 2026</v>
          </cell>
        </row>
        <row r="4832">
          <cell r="U4832" t="str">
            <v>Ppto 2026</v>
          </cell>
        </row>
        <row r="4833">
          <cell r="U4833" t="str">
            <v>Ppto 2026</v>
          </cell>
        </row>
        <row r="4834">
          <cell r="U4834" t="str">
            <v>Ppto 2026</v>
          </cell>
        </row>
        <row r="4835">
          <cell r="U4835" t="str">
            <v>Ppto 2026</v>
          </cell>
        </row>
        <row r="4836">
          <cell r="U4836" t="str">
            <v>Ppto 2026</v>
          </cell>
        </row>
        <row r="4837">
          <cell r="U4837" t="str">
            <v>Ppto 2026</v>
          </cell>
        </row>
        <row r="4838">
          <cell r="U4838" t="str">
            <v>Ppto 2026</v>
          </cell>
        </row>
        <row r="4839">
          <cell r="U4839" t="str">
            <v>Ppto 2026</v>
          </cell>
        </row>
        <row r="4840">
          <cell r="U4840" t="str">
            <v>Ppto 2026</v>
          </cell>
        </row>
        <row r="4841">
          <cell r="U4841" t="str">
            <v>Ppto 2026</v>
          </cell>
        </row>
        <row r="4842">
          <cell r="U4842" t="str">
            <v>Ppto 2026</v>
          </cell>
        </row>
        <row r="4843">
          <cell r="U4843" t="str">
            <v>Ppto 2026</v>
          </cell>
        </row>
        <row r="4844">
          <cell r="U4844" t="str">
            <v>Ppto 2026</v>
          </cell>
        </row>
        <row r="4845">
          <cell r="U4845" t="str">
            <v>Ppto 2026</v>
          </cell>
        </row>
        <row r="4846">
          <cell r="U4846" t="str">
            <v>Ppto 2026</v>
          </cell>
        </row>
        <row r="4847">
          <cell r="U4847" t="str">
            <v>Ppto 2026</v>
          </cell>
        </row>
        <row r="4848">
          <cell r="U4848" t="str">
            <v>Ppto 2026</v>
          </cell>
        </row>
        <row r="4849">
          <cell r="U4849" t="str">
            <v>Ppto 2026</v>
          </cell>
        </row>
        <row r="4850">
          <cell r="U4850" t="str">
            <v>Ppto 2026</v>
          </cell>
        </row>
        <row r="4851">
          <cell r="U4851" t="str">
            <v>Ppto 2026</v>
          </cell>
        </row>
        <row r="4852">
          <cell r="U4852" t="str">
            <v>Ppto 2026</v>
          </cell>
        </row>
        <row r="4853">
          <cell r="U4853" t="str">
            <v>Ppto 2026</v>
          </cell>
        </row>
        <row r="4854">
          <cell r="U4854" t="str">
            <v>Ppto 2026</v>
          </cell>
        </row>
        <row r="4855">
          <cell r="U4855" t="str">
            <v>Ppto 2026</v>
          </cell>
        </row>
        <row r="4856">
          <cell r="U4856" t="str">
            <v>Ppto 2026</v>
          </cell>
        </row>
        <row r="4857">
          <cell r="U4857" t="str">
            <v>Ppto 2026</v>
          </cell>
        </row>
        <row r="4858">
          <cell r="U4858" t="str">
            <v>Ppto 2026</v>
          </cell>
        </row>
        <row r="4859">
          <cell r="U4859" t="str">
            <v>Ppto 2026</v>
          </cell>
        </row>
        <row r="4860">
          <cell r="U4860" t="str">
            <v>Ppto 2026</v>
          </cell>
        </row>
        <row r="4861">
          <cell r="U4861" t="str">
            <v>Ppto 2026</v>
          </cell>
        </row>
        <row r="4862">
          <cell r="U4862" t="str">
            <v>Ppto 2026</v>
          </cell>
        </row>
        <row r="4863">
          <cell r="U4863" t="str">
            <v>Ppto 2026</v>
          </cell>
        </row>
        <row r="4864">
          <cell r="U4864" t="str">
            <v>Ppto 2026</v>
          </cell>
        </row>
        <row r="4865">
          <cell r="U4865" t="str">
            <v>Ppto 2026</v>
          </cell>
        </row>
        <row r="4866">
          <cell r="U4866" t="str">
            <v>Ppto 2026</v>
          </cell>
        </row>
        <row r="4867">
          <cell r="U4867" t="str">
            <v>Ppto 2026</v>
          </cell>
        </row>
        <row r="4868">
          <cell r="U4868" t="str">
            <v>Ppto 2026</v>
          </cell>
        </row>
        <row r="4869">
          <cell r="U4869" t="str">
            <v>Ppto 2026</v>
          </cell>
        </row>
        <row r="4870">
          <cell r="U4870" t="str">
            <v>Ppto 2026</v>
          </cell>
        </row>
        <row r="4871">
          <cell r="U4871" t="str">
            <v>Ppto 2026</v>
          </cell>
        </row>
        <row r="4872">
          <cell r="U4872" t="str">
            <v>Ppto 2026</v>
          </cell>
        </row>
        <row r="4873">
          <cell r="U4873" t="str">
            <v>Ppto 2026</v>
          </cell>
        </row>
        <row r="4874">
          <cell r="U4874" t="str">
            <v>Ppto 2026</v>
          </cell>
        </row>
        <row r="4875">
          <cell r="U4875" t="str">
            <v>Ppto 2026</v>
          </cell>
        </row>
        <row r="4876">
          <cell r="U4876" t="str">
            <v>Ppto 2026</v>
          </cell>
        </row>
        <row r="4877">
          <cell r="U4877" t="str">
            <v>Ppto 2026</v>
          </cell>
        </row>
        <row r="4878">
          <cell r="U4878" t="str">
            <v>Ppto 2026</v>
          </cell>
        </row>
        <row r="4879">
          <cell r="U4879" t="str">
            <v>Ppto 2026</v>
          </cell>
        </row>
        <row r="4880">
          <cell r="U4880" t="str">
            <v>Ppto 2026</v>
          </cell>
        </row>
        <row r="4881">
          <cell r="U4881" t="str">
            <v>Ppto 2026</v>
          </cell>
        </row>
        <row r="4882">
          <cell r="U4882" t="str">
            <v>Ppto 2026</v>
          </cell>
        </row>
        <row r="4883">
          <cell r="U4883" t="str">
            <v>Ppto 2026</v>
          </cell>
        </row>
        <row r="4884">
          <cell r="U4884" t="str">
            <v>Ppto 2026</v>
          </cell>
        </row>
        <row r="4885">
          <cell r="U4885" t="str">
            <v>Ppto 2026</v>
          </cell>
        </row>
        <row r="4886">
          <cell r="U4886" t="str">
            <v>Ppto 2026</v>
          </cell>
        </row>
        <row r="4887">
          <cell r="U4887" t="str">
            <v>Ppto 2026</v>
          </cell>
        </row>
        <row r="4888">
          <cell r="U4888" t="str">
            <v>Ppto 2026</v>
          </cell>
        </row>
        <row r="4889">
          <cell r="U4889" t="str">
            <v>Ppto 2026</v>
          </cell>
        </row>
        <row r="4890">
          <cell r="U4890" t="str">
            <v>Ppto 2026</v>
          </cell>
        </row>
        <row r="4891">
          <cell r="U4891" t="str">
            <v>Ppto 2026</v>
          </cell>
        </row>
        <row r="4892">
          <cell r="U4892" t="str">
            <v>Ppto 2026</v>
          </cell>
        </row>
        <row r="4893">
          <cell r="U4893" t="str">
            <v>Ppto 2026</v>
          </cell>
        </row>
        <row r="4894">
          <cell r="U4894" t="str">
            <v>Ppto 2026</v>
          </cell>
        </row>
        <row r="4895">
          <cell r="U4895" t="str">
            <v>Ppto 2026</v>
          </cell>
        </row>
        <row r="4896">
          <cell r="U4896" t="str">
            <v>Ppto 2026</v>
          </cell>
        </row>
        <row r="4897">
          <cell r="U4897" t="str">
            <v>Ppto 2026</v>
          </cell>
        </row>
        <row r="4898">
          <cell r="U4898" t="str">
            <v>Ppto 2026</v>
          </cell>
        </row>
        <row r="4899">
          <cell r="U4899" t="str">
            <v>Ppto 2026</v>
          </cell>
        </row>
        <row r="4900">
          <cell r="U4900" t="str">
            <v>Ppto 2026</v>
          </cell>
        </row>
        <row r="4901">
          <cell r="U4901" t="str">
            <v>Ppto 2026</v>
          </cell>
        </row>
        <row r="4902">
          <cell r="U4902" t="str">
            <v>Ppto 2026</v>
          </cell>
        </row>
        <row r="4903">
          <cell r="U4903" t="str">
            <v>Ppto 2026</v>
          </cell>
        </row>
        <row r="4904">
          <cell r="U4904" t="str">
            <v>Ppto 2026</v>
          </cell>
        </row>
        <row r="4905">
          <cell r="U4905" t="str">
            <v>Ppto 2026</v>
          </cell>
        </row>
        <row r="4906">
          <cell r="U4906" t="str">
            <v>Ppto 2026</v>
          </cell>
        </row>
        <row r="4907">
          <cell r="U4907" t="str">
            <v>Ppto 2026</v>
          </cell>
        </row>
        <row r="4908">
          <cell r="U4908" t="str">
            <v>Ppto 2026</v>
          </cell>
        </row>
        <row r="4909">
          <cell r="U4909" t="str">
            <v>Ppto 2026</v>
          </cell>
        </row>
        <row r="4910">
          <cell r="U4910" t="str">
            <v>Ppto 2026</v>
          </cell>
        </row>
        <row r="4911">
          <cell r="U4911" t="str">
            <v>Ppto 2026</v>
          </cell>
        </row>
        <row r="4912">
          <cell r="U4912" t="str">
            <v>Ppto 2026</v>
          </cell>
        </row>
        <row r="4913">
          <cell r="U4913" t="str">
            <v>Ppto 2026</v>
          </cell>
        </row>
        <row r="4914">
          <cell r="U4914" t="str">
            <v>Ppto 2026</v>
          </cell>
        </row>
        <row r="4915">
          <cell r="U4915" t="str">
            <v>Ppto 2026</v>
          </cell>
        </row>
        <row r="4916">
          <cell r="U4916" t="str">
            <v>Ppto 2026</v>
          </cell>
        </row>
        <row r="4917">
          <cell r="U4917" t="str">
            <v>Ppto 2026</v>
          </cell>
        </row>
        <row r="4918">
          <cell r="U4918" t="str">
            <v>Ppto 2026</v>
          </cell>
        </row>
        <row r="4919">
          <cell r="U4919" t="str">
            <v>Ppto 2026</v>
          </cell>
        </row>
        <row r="4920">
          <cell r="U4920" t="str">
            <v>Ppto 2026</v>
          </cell>
        </row>
        <row r="4921">
          <cell r="U4921" t="str">
            <v>Ppto 2026</v>
          </cell>
        </row>
        <row r="4922">
          <cell r="U4922" t="str">
            <v>Ppto 2026</v>
          </cell>
        </row>
        <row r="4923">
          <cell r="U4923" t="str">
            <v>Ppto 2026</v>
          </cell>
        </row>
        <row r="4924">
          <cell r="U4924" t="str">
            <v>Ppto 2026</v>
          </cell>
        </row>
        <row r="4925">
          <cell r="U4925" t="str">
            <v>Ppto 2026</v>
          </cell>
        </row>
        <row r="4926">
          <cell r="U4926" t="str">
            <v>Ppto 2026</v>
          </cell>
        </row>
        <row r="4927">
          <cell r="U4927" t="str">
            <v>Ppto 2026</v>
          </cell>
        </row>
        <row r="4928">
          <cell r="U4928" t="str">
            <v>Ppto 2026</v>
          </cell>
        </row>
        <row r="4929">
          <cell r="U4929" t="str">
            <v>Ppto 2026</v>
          </cell>
        </row>
        <row r="4930">
          <cell r="U4930" t="str">
            <v>Ppto 2026</v>
          </cell>
        </row>
        <row r="4931">
          <cell r="U4931" t="str">
            <v>Ppto 2026</v>
          </cell>
        </row>
        <row r="4932">
          <cell r="U4932" t="str">
            <v>Ppto 2026</v>
          </cell>
        </row>
        <row r="4933">
          <cell r="U4933" t="str">
            <v>Ppto 2026</v>
          </cell>
        </row>
        <row r="4934">
          <cell r="U4934" t="str">
            <v>Ppto 2026</v>
          </cell>
        </row>
        <row r="4935">
          <cell r="U4935" t="str">
            <v>Ppto 2026</v>
          </cell>
        </row>
        <row r="4936">
          <cell r="U4936" t="str">
            <v>Ppto 2026</v>
          </cell>
        </row>
        <row r="4937">
          <cell r="U4937" t="str">
            <v>Ppto 2026</v>
          </cell>
        </row>
        <row r="4938">
          <cell r="U4938" t="str">
            <v>Ppto 2026</v>
          </cell>
        </row>
        <row r="4939">
          <cell r="U4939" t="str">
            <v>Ppto 2026</v>
          </cell>
        </row>
        <row r="4940">
          <cell r="U4940" t="str">
            <v>Ppto 2026</v>
          </cell>
        </row>
        <row r="4941">
          <cell r="U4941" t="str">
            <v>Ppto 2026</v>
          </cell>
        </row>
        <row r="4942">
          <cell r="U4942" t="str">
            <v>Ppto 2026</v>
          </cell>
        </row>
        <row r="4943">
          <cell r="U4943" t="str">
            <v>Ppto 2026</v>
          </cell>
        </row>
        <row r="4944">
          <cell r="U4944" t="str">
            <v>Ppto 2026</v>
          </cell>
        </row>
        <row r="4945">
          <cell r="U4945" t="str">
            <v>Ppto 2026</v>
          </cell>
        </row>
        <row r="4946">
          <cell r="U4946" t="str">
            <v>Ppto 2026</v>
          </cell>
        </row>
        <row r="4947">
          <cell r="U4947" t="str">
            <v>Ppto 2026</v>
          </cell>
        </row>
        <row r="4948">
          <cell r="U4948" t="str">
            <v>Ppto 2026</v>
          </cell>
        </row>
        <row r="4949">
          <cell r="U4949" t="str">
            <v>Ppto 2026</v>
          </cell>
        </row>
        <row r="4950">
          <cell r="U4950" t="str">
            <v>Ppto 2026</v>
          </cell>
        </row>
        <row r="4951">
          <cell r="U4951" t="str">
            <v>Ppto 2026</v>
          </cell>
        </row>
        <row r="4952">
          <cell r="U4952" t="str">
            <v>Ppto 2026</v>
          </cell>
        </row>
        <row r="4953">
          <cell r="U4953" t="str">
            <v>Ppto 2026</v>
          </cell>
        </row>
        <row r="4954">
          <cell r="U4954" t="str">
            <v>Ppto 2026</v>
          </cell>
        </row>
        <row r="4955">
          <cell r="U4955" t="str">
            <v>Ppto 2026</v>
          </cell>
        </row>
        <row r="4956">
          <cell r="U4956" t="str">
            <v>Ppto 2026</v>
          </cell>
        </row>
        <row r="4957">
          <cell r="U4957" t="str">
            <v>Ppto 2026</v>
          </cell>
        </row>
        <row r="4958">
          <cell r="U4958" t="str">
            <v>Ppto 2026</v>
          </cell>
        </row>
        <row r="4959">
          <cell r="U4959" t="str">
            <v>Ppto 2026</v>
          </cell>
        </row>
        <row r="4960">
          <cell r="U4960" t="str">
            <v>Ppto 2026</v>
          </cell>
        </row>
        <row r="4961">
          <cell r="U4961" t="str">
            <v>Ppto 2026</v>
          </cell>
        </row>
        <row r="4962">
          <cell r="U4962" t="str">
            <v>Ppto 2026</v>
          </cell>
        </row>
        <row r="4963">
          <cell r="U4963" t="str">
            <v>Ppto 2026</v>
          </cell>
        </row>
        <row r="4964">
          <cell r="U4964" t="str">
            <v>Ppto 2026</v>
          </cell>
        </row>
        <row r="4965">
          <cell r="U4965" t="str">
            <v>Ppto 2026</v>
          </cell>
        </row>
        <row r="4966">
          <cell r="U4966" t="str">
            <v>Ppto 2026</v>
          </cell>
        </row>
        <row r="4967">
          <cell r="U4967" t="str">
            <v>Ppto 2026</v>
          </cell>
        </row>
        <row r="4968">
          <cell r="U4968" t="str">
            <v>Ppto 2026</v>
          </cell>
        </row>
        <row r="4969">
          <cell r="U4969" t="str">
            <v>Ppto 2026</v>
          </cell>
        </row>
        <row r="4970">
          <cell r="U4970" t="str">
            <v>Ppto 2026</v>
          </cell>
        </row>
        <row r="4971">
          <cell r="U4971" t="str">
            <v>Ppto 2026</v>
          </cell>
        </row>
        <row r="4972">
          <cell r="U4972" t="str">
            <v>Ppto 2026</v>
          </cell>
        </row>
        <row r="4973">
          <cell r="U4973" t="str">
            <v>Ppto 2026</v>
          </cell>
        </row>
        <row r="4974">
          <cell r="U4974" t="str">
            <v>Ppto 2026</v>
          </cell>
        </row>
        <row r="4975">
          <cell r="U4975" t="str">
            <v>Ppto 2026</v>
          </cell>
        </row>
        <row r="4976">
          <cell r="U4976" t="str">
            <v>Ppto 2026</v>
          </cell>
        </row>
        <row r="4977">
          <cell r="U4977" t="str">
            <v>Ppto 2026</v>
          </cell>
        </row>
        <row r="4978">
          <cell r="U4978" t="str">
            <v>Ppto 2026</v>
          </cell>
        </row>
        <row r="4979">
          <cell r="U4979" t="str">
            <v>Ppto 2026</v>
          </cell>
        </row>
        <row r="4980">
          <cell r="U4980" t="str">
            <v>Ppto 2026</v>
          </cell>
        </row>
        <row r="4981">
          <cell r="U4981" t="str">
            <v>Ppto 2026</v>
          </cell>
        </row>
        <row r="4982">
          <cell r="U4982" t="str">
            <v>Ppto 2026</v>
          </cell>
        </row>
        <row r="4983">
          <cell r="U4983" t="str">
            <v>Ppto 2026</v>
          </cell>
        </row>
        <row r="4984">
          <cell r="U4984" t="str">
            <v>Ppto 2026</v>
          </cell>
        </row>
        <row r="4985">
          <cell r="U4985" t="str">
            <v>Ppto 2026</v>
          </cell>
        </row>
        <row r="4986">
          <cell r="U4986" t="str">
            <v>Ppto 2026</v>
          </cell>
        </row>
        <row r="4987">
          <cell r="U4987" t="str">
            <v>Ppto 2026</v>
          </cell>
        </row>
        <row r="4988">
          <cell r="U4988" t="str">
            <v>Ppto 2026</v>
          </cell>
        </row>
        <row r="4989">
          <cell r="U4989" t="str">
            <v>Ppto 2026</v>
          </cell>
        </row>
        <row r="4990">
          <cell r="U4990" t="str">
            <v>Ppto 2026</v>
          </cell>
        </row>
        <row r="4991">
          <cell r="U4991" t="str">
            <v>Ppto 2026</v>
          </cell>
        </row>
        <row r="4992">
          <cell r="U4992" t="str">
            <v>Ppto 2026</v>
          </cell>
        </row>
        <row r="4993">
          <cell r="U4993" t="str">
            <v>Ppto 2026</v>
          </cell>
        </row>
        <row r="4994">
          <cell r="U4994" t="str">
            <v>Ppto 2026</v>
          </cell>
        </row>
        <row r="4995">
          <cell r="U4995" t="str">
            <v>Ppto 2026</v>
          </cell>
        </row>
        <row r="4996">
          <cell r="U4996" t="str">
            <v>Ppto 2026</v>
          </cell>
        </row>
        <row r="4997">
          <cell r="U4997" t="str">
            <v>Ppto 2026</v>
          </cell>
        </row>
        <row r="4998">
          <cell r="U4998" t="str">
            <v>Ppto 2026</v>
          </cell>
        </row>
        <row r="4999">
          <cell r="U4999" t="str">
            <v>Ppto 2026</v>
          </cell>
        </row>
        <row r="5000">
          <cell r="U5000" t="str">
            <v>Ppto 2026</v>
          </cell>
        </row>
        <row r="5001">
          <cell r="U5001" t="str">
            <v>Ppto 2026</v>
          </cell>
        </row>
        <row r="5002">
          <cell r="U5002" t="str">
            <v>Ppto 2026</v>
          </cell>
        </row>
        <row r="5003">
          <cell r="U5003" t="str">
            <v>Ppto 2026</v>
          </cell>
        </row>
        <row r="5004">
          <cell r="U5004" t="str">
            <v>Ppto 2026</v>
          </cell>
        </row>
        <row r="5005">
          <cell r="U5005" t="str">
            <v>Ppto 2026</v>
          </cell>
        </row>
        <row r="5006">
          <cell r="U5006" t="str">
            <v>Ppto 2026</v>
          </cell>
        </row>
        <row r="5007">
          <cell r="U5007" t="str">
            <v>Ppto 2026</v>
          </cell>
        </row>
        <row r="5008">
          <cell r="U5008" t="str">
            <v>Ppto 2026</v>
          </cell>
        </row>
        <row r="5009">
          <cell r="U5009" t="str">
            <v>Ppto 2026</v>
          </cell>
        </row>
        <row r="5010">
          <cell r="U5010" t="str">
            <v>Ppto 2026</v>
          </cell>
        </row>
        <row r="5011">
          <cell r="U5011" t="str">
            <v>Ppto 2026</v>
          </cell>
        </row>
        <row r="5012">
          <cell r="U5012" t="str">
            <v>Ppto 2026</v>
          </cell>
        </row>
        <row r="5013">
          <cell r="U5013" t="str">
            <v>Ppto 2026</v>
          </cell>
        </row>
        <row r="5014">
          <cell r="U5014" t="str">
            <v>Ppto 2026</v>
          </cell>
        </row>
        <row r="5015">
          <cell r="U5015" t="str">
            <v>Ppto 2026</v>
          </cell>
        </row>
        <row r="5016">
          <cell r="U5016" t="str">
            <v>Ppto 2026</v>
          </cell>
        </row>
        <row r="5017">
          <cell r="U5017" t="str">
            <v>Ppto 2026</v>
          </cell>
        </row>
        <row r="5018">
          <cell r="U5018" t="str">
            <v>Ppto 2026</v>
          </cell>
        </row>
        <row r="5019">
          <cell r="U5019" t="str">
            <v>Ppto 2026</v>
          </cell>
        </row>
        <row r="5020">
          <cell r="U5020" t="str">
            <v>Ppto 2026</v>
          </cell>
        </row>
        <row r="5021">
          <cell r="U5021" t="str">
            <v>Ppto 2026</v>
          </cell>
        </row>
        <row r="5022">
          <cell r="U5022" t="str">
            <v>Ppto 2026</v>
          </cell>
        </row>
        <row r="5023">
          <cell r="U5023" t="str">
            <v>Ppto 2026</v>
          </cell>
        </row>
        <row r="5024">
          <cell r="U5024" t="str">
            <v>Ppto 2026</v>
          </cell>
        </row>
        <row r="5025">
          <cell r="U5025" t="str">
            <v>Ppto 2026</v>
          </cell>
        </row>
        <row r="5026">
          <cell r="U5026" t="str">
            <v>Ppto 2026</v>
          </cell>
        </row>
        <row r="5027">
          <cell r="U5027" t="str">
            <v>Ppto 2026</v>
          </cell>
        </row>
        <row r="5028">
          <cell r="U5028" t="str">
            <v>Ppto 2026</v>
          </cell>
        </row>
        <row r="5029">
          <cell r="U5029" t="str">
            <v>Ppto 2026</v>
          </cell>
        </row>
        <row r="5030">
          <cell r="U5030" t="str">
            <v>Ppto 2026</v>
          </cell>
        </row>
        <row r="5031">
          <cell r="U5031" t="str">
            <v>Ppto 2026</v>
          </cell>
        </row>
        <row r="5032">
          <cell r="U5032" t="str">
            <v>Ppto 2026</v>
          </cell>
        </row>
        <row r="5033">
          <cell r="U5033" t="str">
            <v>Ppto 2026</v>
          </cell>
        </row>
        <row r="5034">
          <cell r="U5034" t="str">
            <v>Ppto 2026</v>
          </cell>
        </row>
        <row r="5035">
          <cell r="U5035" t="str">
            <v>Ppto 2026</v>
          </cell>
        </row>
        <row r="5036">
          <cell r="U5036" t="str">
            <v>Ppto 2026</v>
          </cell>
        </row>
        <row r="5037">
          <cell r="U5037" t="str">
            <v>Ppto 2026</v>
          </cell>
        </row>
        <row r="5038">
          <cell r="U5038" t="str">
            <v>Ppto 2026</v>
          </cell>
        </row>
        <row r="5039">
          <cell r="U5039" t="str">
            <v>Ppto 2026</v>
          </cell>
        </row>
        <row r="5040">
          <cell r="U5040" t="str">
            <v>Ppto 2026</v>
          </cell>
        </row>
        <row r="5041">
          <cell r="U5041" t="str">
            <v>Ppto 2026</v>
          </cell>
        </row>
        <row r="5042">
          <cell r="U5042" t="str">
            <v>Ppto 2026</v>
          </cell>
        </row>
        <row r="5043">
          <cell r="U5043" t="str">
            <v>Ppto 2026</v>
          </cell>
        </row>
        <row r="5044">
          <cell r="U5044" t="str">
            <v>Ppto 2026</v>
          </cell>
        </row>
        <row r="5045">
          <cell r="U5045" t="str">
            <v>Ppto 2026</v>
          </cell>
        </row>
        <row r="5046">
          <cell r="U5046" t="str">
            <v>Ppto 2026</v>
          </cell>
        </row>
        <row r="5047">
          <cell r="U5047" t="str">
            <v>Ppto 2026</v>
          </cell>
        </row>
        <row r="5048">
          <cell r="U5048" t="str">
            <v>Ppto 2026</v>
          </cell>
        </row>
        <row r="5049">
          <cell r="U5049" t="str">
            <v>Ppto 2026</v>
          </cell>
        </row>
        <row r="5050">
          <cell r="U5050" t="str">
            <v>Ppto 2026</v>
          </cell>
        </row>
        <row r="5051">
          <cell r="U5051" t="str">
            <v>Ppto 2026</v>
          </cell>
        </row>
        <row r="5052">
          <cell r="U5052" t="str">
            <v>Ppto 2026</v>
          </cell>
        </row>
        <row r="5053">
          <cell r="U5053" t="str">
            <v>Ppto 2026</v>
          </cell>
        </row>
        <row r="5054">
          <cell r="U5054" t="str">
            <v>Ppto 2026</v>
          </cell>
        </row>
        <row r="5055">
          <cell r="U5055" t="str">
            <v>Ppto 2026</v>
          </cell>
        </row>
        <row r="5056">
          <cell r="U5056" t="str">
            <v>Ppto 2026</v>
          </cell>
        </row>
        <row r="5057">
          <cell r="U5057" t="str">
            <v>Ppto 2026</v>
          </cell>
        </row>
        <row r="5058">
          <cell r="U5058" t="str">
            <v>Ppto 2026</v>
          </cell>
        </row>
        <row r="5059">
          <cell r="U5059" t="str">
            <v>Ppto 2026</v>
          </cell>
        </row>
        <row r="5060">
          <cell r="U5060" t="str">
            <v>Ppto 2026</v>
          </cell>
        </row>
        <row r="5061">
          <cell r="U5061" t="str">
            <v>Ppto 2026</v>
          </cell>
        </row>
        <row r="5062">
          <cell r="U5062" t="str">
            <v>Ppto 2026</v>
          </cell>
        </row>
        <row r="5063">
          <cell r="U5063" t="str">
            <v>Ppto 2026</v>
          </cell>
        </row>
        <row r="5064">
          <cell r="U5064" t="str">
            <v>Ppto 2026</v>
          </cell>
        </row>
        <row r="5065">
          <cell r="U5065" t="str">
            <v>Ppto 2026</v>
          </cell>
        </row>
        <row r="5066">
          <cell r="U5066" t="str">
            <v>Ppto 2026</v>
          </cell>
        </row>
        <row r="5067">
          <cell r="U5067" t="str">
            <v>Ppto 2026</v>
          </cell>
        </row>
        <row r="5068">
          <cell r="U5068" t="str">
            <v>Ppto 2026</v>
          </cell>
        </row>
        <row r="5069">
          <cell r="U5069" t="str">
            <v>Ppto 2026</v>
          </cell>
        </row>
        <row r="5070">
          <cell r="U5070" t="str">
            <v>Ppto 2026</v>
          </cell>
        </row>
        <row r="5071">
          <cell r="U5071" t="str">
            <v>Ppto 2026</v>
          </cell>
        </row>
        <row r="5072">
          <cell r="U5072" t="str">
            <v>Ppto 2026</v>
          </cell>
        </row>
        <row r="5073">
          <cell r="U5073" t="str">
            <v>Ppto 2026</v>
          </cell>
        </row>
        <row r="5074">
          <cell r="U5074" t="str">
            <v>Ppto 2026</v>
          </cell>
        </row>
        <row r="5075">
          <cell r="U5075" t="str">
            <v>Ppto 2026</v>
          </cell>
        </row>
        <row r="5076">
          <cell r="U5076" t="str">
            <v>Ppto 2026</v>
          </cell>
        </row>
        <row r="5077">
          <cell r="U5077" t="str">
            <v>Ppto 2026</v>
          </cell>
        </row>
        <row r="5078">
          <cell r="U5078" t="str">
            <v>Ppto 2026</v>
          </cell>
        </row>
        <row r="5079">
          <cell r="U5079" t="str">
            <v>Ppto 2026</v>
          </cell>
        </row>
        <row r="5080">
          <cell r="U5080" t="str">
            <v>Ppto 2026</v>
          </cell>
        </row>
        <row r="5081">
          <cell r="U5081" t="str">
            <v>Ppto 2026</v>
          </cell>
        </row>
        <row r="5082">
          <cell r="U5082" t="str">
            <v>Ppto 2026</v>
          </cell>
        </row>
        <row r="5083">
          <cell r="U5083" t="str">
            <v>Ppto 2026</v>
          </cell>
        </row>
        <row r="5084">
          <cell r="U5084" t="str">
            <v>Ppto 2026</v>
          </cell>
        </row>
        <row r="5085">
          <cell r="U5085" t="str">
            <v>Ppto 2026</v>
          </cell>
        </row>
        <row r="5086">
          <cell r="U5086" t="str">
            <v>Ppto 2026</v>
          </cell>
        </row>
        <row r="5087">
          <cell r="U5087" t="str">
            <v>Ppto 2026</v>
          </cell>
        </row>
        <row r="5088">
          <cell r="U5088" t="str">
            <v>Ppto 2026</v>
          </cell>
        </row>
        <row r="5089">
          <cell r="U5089" t="str">
            <v>Ppto 2026</v>
          </cell>
        </row>
        <row r="5090">
          <cell r="U5090" t="str">
            <v>Ppto 2026</v>
          </cell>
        </row>
        <row r="5091">
          <cell r="U5091" t="str">
            <v>Ppto 2026</v>
          </cell>
        </row>
        <row r="5092">
          <cell r="U5092" t="str">
            <v>Ppto 2026</v>
          </cell>
        </row>
        <row r="5093">
          <cell r="U5093" t="str">
            <v>Ppto 2026</v>
          </cell>
        </row>
        <row r="5094">
          <cell r="U5094" t="str">
            <v>Ppto 2026</v>
          </cell>
        </row>
        <row r="5095">
          <cell r="U5095" t="str">
            <v>Ppto 2026</v>
          </cell>
        </row>
        <row r="5096">
          <cell r="U5096" t="str">
            <v>Ppto 2026</v>
          </cell>
        </row>
        <row r="5097">
          <cell r="U5097" t="str">
            <v>Ppto 2026</v>
          </cell>
        </row>
        <row r="5098">
          <cell r="U5098" t="str">
            <v>Ppto 2026</v>
          </cell>
        </row>
        <row r="5099">
          <cell r="U5099" t="str">
            <v>Ppto 2026</v>
          </cell>
        </row>
        <row r="5100">
          <cell r="U5100" t="str">
            <v>Ppto 2026</v>
          </cell>
        </row>
        <row r="5101">
          <cell r="U5101" t="str">
            <v>Ppto 2026</v>
          </cell>
        </row>
        <row r="5102">
          <cell r="U5102" t="str">
            <v>Ppto 2026</v>
          </cell>
        </row>
        <row r="5103">
          <cell r="U5103" t="str">
            <v>Ppto 2026</v>
          </cell>
        </row>
        <row r="5104">
          <cell r="U5104" t="str">
            <v>Ppto 2026</v>
          </cell>
        </row>
        <row r="5105">
          <cell r="U5105" t="str">
            <v>Ppto 2026</v>
          </cell>
        </row>
        <row r="5106">
          <cell r="U5106" t="str">
            <v>Ppto 2026</v>
          </cell>
        </row>
        <row r="5107">
          <cell r="U5107" t="str">
            <v>Ppto 2026</v>
          </cell>
        </row>
        <row r="5108">
          <cell r="U5108" t="str">
            <v>Ppto 2026</v>
          </cell>
        </row>
        <row r="5109">
          <cell r="U5109" t="str">
            <v>Ppto 2026</v>
          </cell>
        </row>
        <row r="5110">
          <cell r="U5110" t="str">
            <v>Ppto 2026</v>
          </cell>
        </row>
        <row r="5111">
          <cell r="U5111" t="str">
            <v>Ppto 2026</v>
          </cell>
        </row>
        <row r="5112">
          <cell r="U5112" t="str">
            <v>Ppto 2026</v>
          </cell>
        </row>
        <row r="5113">
          <cell r="U5113" t="str">
            <v>Ppto 2026</v>
          </cell>
        </row>
        <row r="5114">
          <cell r="U5114" t="str">
            <v>Ppto 2026</v>
          </cell>
        </row>
        <row r="5115">
          <cell r="U5115" t="str">
            <v>Ppto 2026</v>
          </cell>
        </row>
        <row r="5116">
          <cell r="U5116" t="str">
            <v>Ppto 2026</v>
          </cell>
        </row>
        <row r="5117">
          <cell r="U5117" t="str">
            <v>Ppto 2026</v>
          </cell>
        </row>
        <row r="5118">
          <cell r="U5118" t="str">
            <v>Ppto 2026</v>
          </cell>
        </row>
        <row r="5119">
          <cell r="U5119" t="str">
            <v>Ppto 2026</v>
          </cell>
        </row>
        <row r="5120">
          <cell r="U5120" t="str">
            <v>Ppto 2026</v>
          </cell>
        </row>
        <row r="5121">
          <cell r="U5121" t="str">
            <v>Ppto 2026</v>
          </cell>
        </row>
        <row r="5122">
          <cell r="U5122" t="str">
            <v>Ppto 2026</v>
          </cell>
        </row>
        <row r="5123">
          <cell r="U5123" t="str">
            <v>Ppto 2026</v>
          </cell>
        </row>
        <row r="5124">
          <cell r="U5124" t="str">
            <v>Ppto 2026</v>
          </cell>
        </row>
        <row r="5125">
          <cell r="U5125" t="str">
            <v>Ppto 2026</v>
          </cell>
        </row>
        <row r="5126">
          <cell r="U5126" t="str">
            <v>Ppto 2026</v>
          </cell>
        </row>
        <row r="5127">
          <cell r="U5127" t="str">
            <v>Ppto 2026</v>
          </cell>
        </row>
        <row r="5128">
          <cell r="U5128" t="str">
            <v>Ppto 2026</v>
          </cell>
        </row>
        <row r="5129">
          <cell r="U5129" t="str">
            <v>Ppto 2026</v>
          </cell>
        </row>
        <row r="5130">
          <cell r="U5130" t="str">
            <v>Ppto 2026</v>
          </cell>
        </row>
        <row r="5131">
          <cell r="U5131" t="str">
            <v>Ppto 2026</v>
          </cell>
        </row>
        <row r="5132">
          <cell r="U5132" t="str">
            <v>Ppto 2026</v>
          </cell>
        </row>
        <row r="5133">
          <cell r="U5133" t="str">
            <v>Ppto 2026</v>
          </cell>
        </row>
        <row r="5134">
          <cell r="U5134" t="str">
            <v>Ppto 2026</v>
          </cell>
        </row>
        <row r="5135">
          <cell r="U5135" t="str">
            <v>Ppto 2026</v>
          </cell>
        </row>
        <row r="5136">
          <cell r="U5136" t="str">
            <v>Ppto 2026</v>
          </cell>
        </row>
        <row r="5137">
          <cell r="U5137" t="str">
            <v>Ppto 2026</v>
          </cell>
        </row>
        <row r="5138">
          <cell r="U5138" t="str">
            <v>Ppto 2026</v>
          </cell>
        </row>
        <row r="5139">
          <cell r="U5139" t="str">
            <v>Ppto 2026</v>
          </cell>
        </row>
        <row r="5140">
          <cell r="U5140" t="str">
            <v>Ppto 2026</v>
          </cell>
        </row>
        <row r="5141">
          <cell r="U5141" t="str">
            <v>Ppto 2026</v>
          </cell>
        </row>
        <row r="5142">
          <cell r="U5142" t="str">
            <v>Ppto 2026</v>
          </cell>
        </row>
        <row r="5143">
          <cell r="U5143" t="str">
            <v>Ppto 2026</v>
          </cell>
        </row>
        <row r="5144">
          <cell r="U5144" t="str">
            <v>Ppto 2026</v>
          </cell>
        </row>
        <row r="5145">
          <cell r="U5145" t="str">
            <v>Ppto 2026</v>
          </cell>
        </row>
        <row r="5146">
          <cell r="U5146" t="str">
            <v>Ppto 2026</v>
          </cell>
        </row>
        <row r="5147">
          <cell r="U5147" t="str">
            <v>Ppto 2026</v>
          </cell>
        </row>
        <row r="5148">
          <cell r="U5148" t="str">
            <v>Ppto 2026</v>
          </cell>
        </row>
        <row r="5149">
          <cell r="U5149" t="str">
            <v>Ppto 2026</v>
          </cell>
        </row>
        <row r="5150">
          <cell r="U5150" t="str">
            <v>Ppto 2026</v>
          </cell>
        </row>
        <row r="5151">
          <cell r="U5151" t="str">
            <v>Ppto 2026</v>
          </cell>
        </row>
        <row r="5152">
          <cell r="U5152" t="str">
            <v>Ppto 2026</v>
          </cell>
        </row>
        <row r="5153">
          <cell r="U5153" t="str">
            <v>Ppto 2026</v>
          </cell>
        </row>
        <row r="5154">
          <cell r="U5154" t="str">
            <v>Ppto 2026</v>
          </cell>
        </row>
        <row r="5155">
          <cell r="U5155" t="str">
            <v>Ppto 2026</v>
          </cell>
        </row>
        <row r="5156">
          <cell r="U5156" t="str">
            <v>Ppto 2026</v>
          </cell>
        </row>
        <row r="5157">
          <cell r="U5157" t="str">
            <v>Ppto 2026</v>
          </cell>
        </row>
        <row r="5158">
          <cell r="U5158" t="str">
            <v>Ppto 2026</v>
          </cell>
        </row>
        <row r="5159">
          <cell r="U5159" t="str">
            <v>Ppto 2026</v>
          </cell>
        </row>
        <row r="5160">
          <cell r="U5160" t="str">
            <v>Ppto 2026</v>
          </cell>
        </row>
        <row r="5161">
          <cell r="U5161" t="str">
            <v>Ppto 2026</v>
          </cell>
        </row>
        <row r="5162">
          <cell r="U5162" t="str">
            <v>Ppto 2026</v>
          </cell>
        </row>
        <row r="5163">
          <cell r="U5163" t="str">
            <v>Ppto 2026</v>
          </cell>
        </row>
        <row r="5164">
          <cell r="U5164" t="str">
            <v>Ppto 2026</v>
          </cell>
        </row>
        <row r="5165">
          <cell r="U5165" t="str">
            <v>Ppto 2026</v>
          </cell>
        </row>
        <row r="5166">
          <cell r="U5166" t="str">
            <v>Ppto 2026</v>
          </cell>
        </row>
        <row r="5167">
          <cell r="U5167" t="str">
            <v>Ppto 2026</v>
          </cell>
        </row>
        <row r="5168">
          <cell r="U5168" t="str">
            <v>Ppto 2026</v>
          </cell>
        </row>
        <row r="5169">
          <cell r="U5169" t="str">
            <v>Ppto 2026</v>
          </cell>
        </row>
        <row r="5170">
          <cell r="U5170" t="str">
            <v>Ppto 2026</v>
          </cell>
        </row>
        <row r="5171">
          <cell r="U5171" t="str">
            <v>Ppto 2026</v>
          </cell>
        </row>
        <row r="5172">
          <cell r="U5172" t="str">
            <v>Ppto 2026</v>
          </cell>
        </row>
        <row r="5173">
          <cell r="U5173" t="str">
            <v>Ppto 2026</v>
          </cell>
        </row>
        <row r="5174">
          <cell r="U5174" t="str">
            <v>Ppto 2026</v>
          </cell>
        </row>
        <row r="5175">
          <cell r="U5175" t="str">
            <v>Ppto 2026</v>
          </cell>
        </row>
        <row r="5176">
          <cell r="U5176" t="str">
            <v>Ppto 2026</v>
          </cell>
        </row>
        <row r="5177">
          <cell r="U5177" t="str">
            <v>Ppto 2026</v>
          </cell>
        </row>
        <row r="5178">
          <cell r="U5178" t="str">
            <v>Ppto 2026</v>
          </cell>
        </row>
        <row r="5179">
          <cell r="U5179" t="str">
            <v>Ppto 2026</v>
          </cell>
        </row>
        <row r="5180">
          <cell r="U5180" t="str">
            <v>Ppto 2026</v>
          </cell>
        </row>
        <row r="5181">
          <cell r="U5181" t="str">
            <v>Ppto 2026</v>
          </cell>
        </row>
        <row r="5182">
          <cell r="U5182" t="str">
            <v>Ppto 2026</v>
          </cell>
        </row>
        <row r="5183">
          <cell r="U5183" t="str">
            <v>Ppto 2026</v>
          </cell>
        </row>
        <row r="5184">
          <cell r="U5184" t="str">
            <v>Ppto 2026</v>
          </cell>
        </row>
        <row r="5185">
          <cell r="U5185" t="str">
            <v>Ppto 2026</v>
          </cell>
        </row>
        <row r="5186">
          <cell r="U5186" t="str">
            <v>Ppto 2026</v>
          </cell>
        </row>
        <row r="5187">
          <cell r="U5187" t="str">
            <v>Ppto 2026</v>
          </cell>
        </row>
        <row r="5188">
          <cell r="U5188" t="str">
            <v>Ppto 2026</v>
          </cell>
        </row>
        <row r="5189">
          <cell r="U5189" t="str">
            <v>Ppto 2026</v>
          </cell>
        </row>
        <row r="5190">
          <cell r="U5190" t="str">
            <v>Ppto 2026</v>
          </cell>
        </row>
        <row r="5191">
          <cell r="U5191" t="str">
            <v>Ppto 2026</v>
          </cell>
        </row>
        <row r="5192">
          <cell r="U5192" t="str">
            <v>Ppto 2026</v>
          </cell>
        </row>
        <row r="5193">
          <cell r="U5193" t="str">
            <v>Ppto 2026</v>
          </cell>
        </row>
        <row r="5194">
          <cell r="U5194" t="str">
            <v>Ppto 2026</v>
          </cell>
        </row>
        <row r="5195">
          <cell r="U5195" t="str">
            <v>Ppto 2026</v>
          </cell>
        </row>
        <row r="5196">
          <cell r="U5196" t="str">
            <v>Ppto 2026</v>
          </cell>
        </row>
        <row r="5197">
          <cell r="U5197" t="str">
            <v>Ppto 2026</v>
          </cell>
        </row>
        <row r="5198">
          <cell r="U5198" t="str">
            <v>Ppto 2026</v>
          </cell>
        </row>
        <row r="5199">
          <cell r="U5199" t="str">
            <v>Ppto 2026</v>
          </cell>
        </row>
        <row r="5200">
          <cell r="U5200" t="str">
            <v>Ppto 2026</v>
          </cell>
        </row>
        <row r="5201">
          <cell r="U5201" t="str">
            <v>Ppto 2026</v>
          </cell>
        </row>
        <row r="5202">
          <cell r="U5202" t="str">
            <v>Ppto 2026</v>
          </cell>
        </row>
        <row r="5203">
          <cell r="U5203" t="str">
            <v>Ppto 2026</v>
          </cell>
        </row>
        <row r="5204">
          <cell r="U5204" t="str">
            <v>Ppto 2026</v>
          </cell>
        </row>
        <row r="5205">
          <cell r="U5205" t="str">
            <v>Ppto 2026</v>
          </cell>
        </row>
        <row r="5206">
          <cell r="U5206" t="str">
            <v>Ppto 2026</v>
          </cell>
        </row>
        <row r="5207">
          <cell r="U5207" t="str">
            <v>Ppto 2026</v>
          </cell>
        </row>
        <row r="5208">
          <cell r="U5208" t="str">
            <v>Ppto 2026</v>
          </cell>
        </row>
        <row r="5209">
          <cell r="U5209" t="str">
            <v>Ppto 2026</v>
          </cell>
        </row>
        <row r="5210">
          <cell r="U5210" t="str">
            <v>Ppto 2026</v>
          </cell>
        </row>
        <row r="5211">
          <cell r="U5211" t="str">
            <v>Ppto 2026</v>
          </cell>
        </row>
        <row r="5212">
          <cell r="U5212" t="str">
            <v>Ppto 2026</v>
          </cell>
        </row>
        <row r="5213">
          <cell r="U5213" t="str">
            <v>Ppto 2026</v>
          </cell>
        </row>
        <row r="5214">
          <cell r="U5214" t="str">
            <v>Ppto 2026</v>
          </cell>
        </row>
        <row r="5215">
          <cell r="U5215" t="str">
            <v>Ppto 2026</v>
          </cell>
        </row>
        <row r="5216">
          <cell r="U5216" t="str">
            <v>Ppto 2026</v>
          </cell>
        </row>
        <row r="5217">
          <cell r="U5217" t="str">
            <v>Ppto 2026</v>
          </cell>
        </row>
        <row r="5218">
          <cell r="U5218" t="str">
            <v>Ppto 2026</v>
          </cell>
        </row>
        <row r="5219">
          <cell r="U5219" t="str">
            <v>Ppto 2026</v>
          </cell>
        </row>
        <row r="5220">
          <cell r="U5220" t="str">
            <v>Ppto 2026</v>
          </cell>
        </row>
        <row r="5221">
          <cell r="U5221" t="str">
            <v>Ppto 2026</v>
          </cell>
        </row>
        <row r="5222">
          <cell r="U5222" t="str">
            <v>Ppto 2026</v>
          </cell>
        </row>
        <row r="5223">
          <cell r="U5223" t="str">
            <v>Ppto 2026</v>
          </cell>
        </row>
        <row r="5224">
          <cell r="U5224" t="str">
            <v>Ppto 2026</v>
          </cell>
        </row>
        <row r="5225">
          <cell r="U5225" t="str">
            <v>Ppto 2026</v>
          </cell>
        </row>
        <row r="5226">
          <cell r="U5226" t="str">
            <v>Ppto 2026</v>
          </cell>
        </row>
        <row r="5227">
          <cell r="U5227" t="str">
            <v>Ppto 2026</v>
          </cell>
        </row>
        <row r="5228">
          <cell r="U5228" t="str">
            <v>Ppto 2026</v>
          </cell>
        </row>
        <row r="5229">
          <cell r="U5229" t="str">
            <v>Ppto 2026</v>
          </cell>
        </row>
        <row r="5230">
          <cell r="U5230" t="str">
            <v>Ppto 2026</v>
          </cell>
        </row>
        <row r="5231">
          <cell r="U5231" t="str">
            <v>Ppto 2026</v>
          </cell>
        </row>
        <row r="5232">
          <cell r="U5232" t="str">
            <v>Ppto 2026</v>
          </cell>
        </row>
        <row r="5233">
          <cell r="U5233" t="str">
            <v>Ppto 2026</v>
          </cell>
        </row>
        <row r="5234">
          <cell r="U5234" t="str">
            <v>Ppto 2026</v>
          </cell>
        </row>
        <row r="5235">
          <cell r="U5235" t="str">
            <v>Ppto 2026</v>
          </cell>
        </row>
        <row r="5236">
          <cell r="U5236" t="str">
            <v>Ppto 2026</v>
          </cell>
        </row>
        <row r="5237">
          <cell r="U5237" t="str">
            <v>Ppto 2026</v>
          </cell>
        </row>
        <row r="5238">
          <cell r="U5238" t="str">
            <v>Ppto 2026</v>
          </cell>
        </row>
        <row r="5239">
          <cell r="U5239" t="str">
            <v>Ppto 2026</v>
          </cell>
        </row>
        <row r="5240">
          <cell r="U5240" t="str">
            <v>Ppto 2026</v>
          </cell>
        </row>
        <row r="5241">
          <cell r="U5241" t="str">
            <v>Ppto 2026</v>
          </cell>
        </row>
        <row r="5242">
          <cell r="U5242" t="str">
            <v>Ppto 2026</v>
          </cell>
        </row>
        <row r="5243">
          <cell r="U5243" t="str">
            <v>Ppto 2026</v>
          </cell>
        </row>
        <row r="5244">
          <cell r="U5244" t="str">
            <v>Ppto 2026</v>
          </cell>
        </row>
        <row r="5245">
          <cell r="U5245" t="str">
            <v>Ppto 2026</v>
          </cell>
        </row>
        <row r="5246">
          <cell r="U5246" t="str">
            <v>Ppto 2026</v>
          </cell>
        </row>
        <row r="5247">
          <cell r="U5247" t="str">
            <v>Ppto 2026</v>
          </cell>
        </row>
        <row r="5248">
          <cell r="U5248" t="str">
            <v>Ppto 2026</v>
          </cell>
        </row>
        <row r="5249">
          <cell r="U5249" t="str">
            <v>Ppto 2026</v>
          </cell>
        </row>
        <row r="5250">
          <cell r="U5250" t="str">
            <v>Ppto 2026</v>
          </cell>
        </row>
        <row r="5251">
          <cell r="U5251" t="str">
            <v>Ppto 2026</v>
          </cell>
        </row>
        <row r="5252">
          <cell r="U5252" t="str">
            <v>Ppto 2026</v>
          </cell>
        </row>
        <row r="5253">
          <cell r="U5253" t="str">
            <v>Ppto 2026</v>
          </cell>
        </row>
        <row r="5254">
          <cell r="U5254" t="str">
            <v>Ppto 2026</v>
          </cell>
        </row>
        <row r="5255">
          <cell r="U5255" t="str">
            <v>Ppto 2026</v>
          </cell>
        </row>
        <row r="5256">
          <cell r="U5256" t="str">
            <v>Ppto 2026</v>
          </cell>
        </row>
        <row r="5257">
          <cell r="U5257" t="str">
            <v>Ppto 2026</v>
          </cell>
        </row>
        <row r="5258">
          <cell r="U5258" t="str">
            <v>Ppto 2026</v>
          </cell>
        </row>
        <row r="5259">
          <cell r="U5259" t="str">
            <v>Ppto 2026</v>
          </cell>
        </row>
        <row r="5260">
          <cell r="U5260">
            <v>2026</v>
          </cell>
        </row>
        <row r="5261">
          <cell r="U5261">
            <v>2026</v>
          </cell>
        </row>
        <row r="5262">
          <cell r="U5262">
            <v>2026</v>
          </cell>
        </row>
        <row r="5263">
          <cell r="U5263">
            <v>2026</v>
          </cell>
        </row>
        <row r="5264">
          <cell r="U5264">
            <v>2026</v>
          </cell>
        </row>
        <row r="5265">
          <cell r="U5265">
            <v>2026</v>
          </cell>
        </row>
        <row r="5266">
          <cell r="U5266">
            <v>2026</v>
          </cell>
        </row>
        <row r="5267">
          <cell r="U5267">
            <v>2026</v>
          </cell>
        </row>
        <row r="5268">
          <cell r="U5268">
            <v>2026</v>
          </cell>
        </row>
        <row r="5269">
          <cell r="U5269">
            <v>2026</v>
          </cell>
        </row>
        <row r="5270">
          <cell r="U5270">
            <v>2026</v>
          </cell>
        </row>
        <row r="5271">
          <cell r="U5271">
            <v>2026</v>
          </cell>
        </row>
        <row r="5272">
          <cell r="U5272">
            <v>2026</v>
          </cell>
        </row>
        <row r="5273">
          <cell r="U5273">
            <v>2026</v>
          </cell>
        </row>
        <row r="5274">
          <cell r="U5274">
            <v>2026</v>
          </cell>
        </row>
        <row r="5275">
          <cell r="U5275">
            <v>2026</v>
          </cell>
        </row>
        <row r="5276">
          <cell r="U5276">
            <v>2026</v>
          </cell>
        </row>
        <row r="5277">
          <cell r="U5277">
            <v>2026</v>
          </cell>
        </row>
        <row r="5278">
          <cell r="U5278">
            <v>2026</v>
          </cell>
        </row>
        <row r="5279">
          <cell r="U5279">
            <v>2026</v>
          </cell>
        </row>
        <row r="5280">
          <cell r="U5280">
            <v>2026</v>
          </cell>
        </row>
        <row r="5281">
          <cell r="U5281">
            <v>2026</v>
          </cell>
        </row>
        <row r="5282">
          <cell r="U5282">
            <v>2026</v>
          </cell>
        </row>
        <row r="5283">
          <cell r="U5283">
            <v>2026</v>
          </cell>
        </row>
        <row r="5284">
          <cell r="U5284">
            <v>2026</v>
          </cell>
        </row>
        <row r="5285">
          <cell r="U5285">
            <v>2026</v>
          </cell>
        </row>
        <row r="5286">
          <cell r="U5286">
            <v>2026</v>
          </cell>
        </row>
        <row r="5287">
          <cell r="U5287">
            <v>2026</v>
          </cell>
        </row>
        <row r="5288">
          <cell r="U5288">
            <v>2026</v>
          </cell>
        </row>
        <row r="5289">
          <cell r="U5289">
            <v>2026</v>
          </cell>
        </row>
        <row r="5290">
          <cell r="U5290">
            <v>2026</v>
          </cell>
        </row>
        <row r="5291">
          <cell r="U5291">
            <v>2026</v>
          </cell>
        </row>
        <row r="5292">
          <cell r="U5292">
            <v>2026</v>
          </cell>
        </row>
        <row r="5293">
          <cell r="U5293">
            <v>2026</v>
          </cell>
        </row>
        <row r="5294">
          <cell r="U5294">
            <v>2026</v>
          </cell>
        </row>
        <row r="5295">
          <cell r="U5295">
            <v>2026</v>
          </cell>
        </row>
        <row r="5296">
          <cell r="U5296">
            <v>2026</v>
          </cell>
        </row>
        <row r="5297">
          <cell r="U5297">
            <v>2026</v>
          </cell>
        </row>
        <row r="5298">
          <cell r="U5298">
            <v>2026</v>
          </cell>
        </row>
        <row r="5299">
          <cell r="U5299">
            <v>2026</v>
          </cell>
        </row>
        <row r="5300">
          <cell r="U5300">
            <v>2026</v>
          </cell>
        </row>
        <row r="5301">
          <cell r="U5301">
            <v>2026</v>
          </cell>
        </row>
        <row r="5302">
          <cell r="U5302">
            <v>2026</v>
          </cell>
        </row>
        <row r="5303">
          <cell r="U5303">
            <v>2026</v>
          </cell>
        </row>
        <row r="5304">
          <cell r="U5304">
            <v>2026</v>
          </cell>
        </row>
        <row r="5305">
          <cell r="U5305">
            <v>2026</v>
          </cell>
        </row>
        <row r="5306">
          <cell r="U5306">
            <v>2026</v>
          </cell>
        </row>
        <row r="5307">
          <cell r="U5307">
            <v>2026</v>
          </cell>
        </row>
        <row r="5308">
          <cell r="U5308">
            <v>2026</v>
          </cell>
        </row>
        <row r="5309">
          <cell r="U5309">
            <v>2026</v>
          </cell>
        </row>
        <row r="5310">
          <cell r="U5310">
            <v>2026</v>
          </cell>
        </row>
        <row r="5311">
          <cell r="U5311">
            <v>2026</v>
          </cell>
        </row>
        <row r="5312">
          <cell r="U5312">
            <v>2026</v>
          </cell>
        </row>
        <row r="5313">
          <cell r="U5313">
            <v>2026</v>
          </cell>
        </row>
        <row r="5314">
          <cell r="U5314">
            <v>2026</v>
          </cell>
        </row>
        <row r="5315">
          <cell r="U5315">
            <v>2026</v>
          </cell>
        </row>
        <row r="5316">
          <cell r="U5316">
            <v>2026</v>
          </cell>
        </row>
        <row r="5317">
          <cell r="U5317">
            <v>2026</v>
          </cell>
        </row>
        <row r="5318">
          <cell r="U5318">
            <v>2026</v>
          </cell>
        </row>
        <row r="5319">
          <cell r="U5319">
            <v>2026</v>
          </cell>
        </row>
        <row r="5320">
          <cell r="U5320">
            <v>2026</v>
          </cell>
        </row>
        <row r="5321">
          <cell r="U5321">
            <v>2026</v>
          </cell>
        </row>
        <row r="5322">
          <cell r="U5322">
            <v>2026</v>
          </cell>
        </row>
        <row r="5323">
          <cell r="U5323">
            <v>2026</v>
          </cell>
        </row>
        <row r="5324">
          <cell r="U5324">
            <v>2026</v>
          </cell>
        </row>
        <row r="5325">
          <cell r="U5325">
            <v>2026</v>
          </cell>
        </row>
        <row r="5326">
          <cell r="U5326">
            <v>2026</v>
          </cell>
        </row>
        <row r="5327">
          <cell r="U5327">
            <v>2026</v>
          </cell>
        </row>
        <row r="5328">
          <cell r="U5328">
            <v>2026</v>
          </cell>
        </row>
        <row r="5329">
          <cell r="U5329">
            <v>2026</v>
          </cell>
        </row>
        <row r="5330">
          <cell r="U5330">
            <v>2026</v>
          </cell>
        </row>
        <row r="5331">
          <cell r="U5331">
            <v>2026</v>
          </cell>
        </row>
        <row r="5332">
          <cell r="U5332">
            <v>2026</v>
          </cell>
        </row>
        <row r="5333">
          <cell r="U5333">
            <v>2026</v>
          </cell>
        </row>
        <row r="5334">
          <cell r="U5334">
            <v>2026</v>
          </cell>
        </row>
        <row r="5335">
          <cell r="U5335">
            <v>2026</v>
          </cell>
        </row>
        <row r="5336">
          <cell r="U5336">
            <v>2026</v>
          </cell>
        </row>
        <row r="5337">
          <cell r="U5337">
            <v>2026</v>
          </cell>
        </row>
        <row r="5338">
          <cell r="U5338">
            <v>2026</v>
          </cell>
        </row>
        <row r="5339">
          <cell r="U5339">
            <v>2026</v>
          </cell>
        </row>
        <row r="5340">
          <cell r="U5340">
            <v>2026</v>
          </cell>
        </row>
        <row r="5341">
          <cell r="U5341">
            <v>2026</v>
          </cell>
        </row>
        <row r="5342">
          <cell r="U5342">
            <v>2026</v>
          </cell>
        </row>
        <row r="5343">
          <cell r="U5343">
            <v>2026</v>
          </cell>
        </row>
        <row r="5344">
          <cell r="U5344">
            <v>2026</v>
          </cell>
        </row>
        <row r="5345">
          <cell r="U5345">
            <v>2026</v>
          </cell>
        </row>
        <row r="5346">
          <cell r="U5346">
            <v>2026</v>
          </cell>
        </row>
        <row r="5347">
          <cell r="U5347">
            <v>2026</v>
          </cell>
        </row>
        <row r="5348">
          <cell r="U5348">
            <v>2026</v>
          </cell>
        </row>
        <row r="5349">
          <cell r="U5349">
            <v>2026</v>
          </cell>
        </row>
        <row r="5350">
          <cell r="U5350">
            <v>2026</v>
          </cell>
        </row>
        <row r="5351">
          <cell r="U5351">
            <v>2026</v>
          </cell>
        </row>
        <row r="5352">
          <cell r="U5352">
            <v>2026</v>
          </cell>
        </row>
        <row r="5353">
          <cell r="U5353">
            <v>2026</v>
          </cell>
        </row>
        <row r="5354">
          <cell r="U5354">
            <v>2026</v>
          </cell>
        </row>
        <row r="5355">
          <cell r="U5355">
            <v>2026</v>
          </cell>
        </row>
        <row r="5356">
          <cell r="U5356">
            <v>2026</v>
          </cell>
        </row>
        <row r="5357">
          <cell r="U5357">
            <v>2026</v>
          </cell>
        </row>
        <row r="5358">
          <cell r="U5358">
            <v>2026</v>
          </cell>
        </row>
        <row r="5359">
          <cell r="U5359">
            <v>2026</v>
          </cell>
        </row>
        <row r="5360">
          <cell r="U5360">
            <v>2026</v>
          </cell>
        </row>
        <row r="5361">
          <cell r="U5361">
            <v>2026</v>
          </cell>
        </row>
        <row r="5362">
          <cell r="U5362">
            <v>2026</v>
          </cell>
        </row>
        <row r="5363">
          <cell r="U5363">
            <v>2026</v>
          </cell>
        </row>
        <row r="5364">
          <cell r="U5364">
            <v>2026</v>
          </cell>
        </row>
        <row r="5365">
          <cell r="U5365">
            <v>2026</v>
          </cell>
        </row>
        <row r="5366">
          <cell r="U5366">
            <v>2026</v>
          </cell>
        </row>
        <row r="5367">
          <cell r="U5367">
            <v>2026</v>
          </cell>
        </row>
        <row r="5368">
          <cell r="U5368">
            <v>2026</v>
          </cell>
        </row>
        <row r="5369">
          <cell r="U5369">
            <v>2026</v>
          </cell>
        </row>
        <row r="5370">
          <cell r="U5370">
            <v>2026</v>
          </cell>
        </row>
        <row r="5371">
          <cell r="U5371">
            <v>2026</v>
          </cell>
        </row>
        <row r="5372">
          <cell r="U5372">
            <v>2026</v>
          </cell>
        </row>
        <row r="5373">
          <cell r="U5373">
            <v>2025</v>
          </cell>
        </row>
        <row r="5374">
          <cell r="U5374">
            <v>2025</v>
          </cell>
        </row>
        <row r="5375">
          <cell r="U5375">
            <v>2025</v>
          </cell>
        </row>
        <row r="5376">
          <cell r="U5376">
            <v>2025</v>
          </cell>
        </row>
        <row r="5377">
          <cell r="U5377">
            <v>2025</v>
          </cell>
        </row>
        <row r="5378">
          <cell r="U5378">
            <v>2025</v>
          </cell>
        </row>
        <row r="5379">
          <cell r="U5379">
            <v>2025</v>
          </cell>
        </row>
        <row r="5380">
          <cell r="U5380">
            <v>2025</v>
          </cell>
        </row>
        <row r="5381">
          <cell r="U5381">
            <v>2025</v>
          </cell>
        </row>
        <row r="5382">
          <cell r="U5382">
            <v>2025</v>
          </cell>
        </row>
        <row r="5383">
          <cell r="U5383">
            <v>2025</v>
          </cell>
        </row>
        <row r="5384">
          <cell r="U5384">
            <v>2025</v>
          </cell>
        </row>
        <row r="5385">
          <cell r="U5385">
            <v>2025</v>
          </cell>
        </row>
        <row r="5386">
          <cell r="U5386">
            <v>2025</v>
          </cell>
        </row>
        <row r="5387">
          <cell r="U5387">
            <v>2025</v>
          </cell>
        </row>
        <row r="5388">
          <cell r="U5388">
            <v>2025</v>
          </cell>
        </row>
        <row r="5389">
          <cell r="U5389">
            <v>2025</v>
          </cell>
        </row>
        <row r="5390">
          <cell r="U5390">
            <v>2025</v>
          </cell>
        </row>
        <row r="5391">
          <cell r="U5391">
            <v>2025</v>
          </cell>
        </row>
        <row r="5392">
          <cell r="U5392">
            <v>2025</v>
          </cell>
        </row>
        <row r="5393">
          <cell r="U5393">
            <v>2025</v>
          </cell>
        </row>
        <row r="5394">
          <cell r="U5394">
            <v>2025</v>
          </cell>
        </row>
        <row r="5395">
          <cell r="U5395">
            <v>2025</v>
          </cell>
        </row>
        <row r="5396">
          <cell r="U5396">
            <v>2025</v>
          </cell>
        </row>
        <row r="5397">
          <cell r="U5397">
            <v>2025</v>
          </cell>
        </row>
        <row r="5398">
          <cell r="U5398">
            <v>2025</v>
          </cell>
        </row>
        <row r="5399">
          <cell r="U5399">
            <v>2025</v>
          </cell>
        </row>
        <row r="5400">
          <cell r="U5400">
            <v>2025</v>
          </cell>
        </row>
        <row r="5401">
          <cell r="U5401">
            <v>2025</v>
          </cell>
        </row>
        <row r="5402">
          <cell r="U5402">
            <v>2025</v>
          </cell>
        </row>
        <row r="5403">
          <cell r="U5403">
            <v>2025</v>
          </cell>
        </row>
        <row r="5404">
          <cell r="U5404">
            <v>2025</v>
          </cell>
        </row>
        <row r="5405">
          <cell r="U5405">
            <v>2025</v>
          </cell>
        </row>
        <row r="5406">
          <cell r="U5406">
            <v>2025</v>
          </cell>
        </row>
        <row r="5407">
          <cell r="U5407">
            <v>2025</v>
          </cell>
        </row>
        <row r="5408">
          <cell r="U5408">
            <v>2025</v>
          </cell>
        </row>
        <row r="5409">
          <cell r="U5409">
            <v>2025</v>
          </cell>
        </row>
        <row r="5410">
          <cell r="U5410">
            <v>2025</v>
          </cell>
        </row>
        <row r="5411">
          <cell r="U5411">
            <v>2025</v>
          </cell>
        </row>
        <row r="5412">
          <cell r="U5412">
            <v>2025</v>
          </cell>
        </row>
        <row r="5413">
          <cell r="U5413">
            <v>2025</v>
          </cell>
        </row>
        <row r="5414">
          <cell r="U5414">
            <v>2025</v>
          </cell>
        </row>
        <row r="5415">
          <cell r="U5415">
            <v>2025</v>
          </cell>
        </row>
        <row r="5416">
          <cell r="U5416">
            <v>2025</v>
          </cell>
        </row>
        <row r="5417">
          <cell r="U5417">
            <v>2025</v>
          </cell>
        </row>
        <row r="5418">
          <cell r="U5418">
            <v>2025</v>
          </cell>
        </row>
        <row r="5419">
          <cell r="U5419">
            <v>2025</v>
          </cell>
        </row>
        <row r="5420">
          <cell r="U5420">
            <v>2025</v>
          </cell>
        </row>
        <row r="5421">
          <cell r="U5421">
            <v>2025</v>
          </cell>
        </row>
        <row r="5422">
          <cell r="U5422">
            <v>2025</v>
          </cell>
        </row>
        <row r="5423">
          <cell r="U5423">
            <v>2025</v>
          </cell>
        </row>
        <row r="5424">
          <cell r="U5424">
            <v>2025</v>
          </cell>
        </row>
        <row r="5425">
          <cell r="U5425">
            <v>2025</v>
          </cell>
        </row>
        <row r="5426">
          <cell r="U5426">
            <v>2025</v>
          </cell>
        </row>
        <row r="5427">
          <cell r="U5427">
            <v>2025</v>
          </cell>
        </row>
        <row r="5428">
          <cell r="U5428">
            <v>2025</v>
          </cell>
        </row>
        <row r="5429">
          <cell r="U5429">
            <v>2025</v>
          </cell>
        </row>
        <row r="5430">
          <cell r="U5430">
            <v>2025</v>
          </cell>
        </row>
        <row r="5431">
          <cell r="U5431">
            <v>2025</v>
          </cell>
        </row>
        <row r="5432">
          <cell r="U5432">
            <v>2025</v>
          </cell>
        </row>
        <row r="5433">
          <cell r="U5433">
            <v>2025</v>
          </cell>
        </row>
        <row r="5434">
          <cell r="U5434">
            <v>2025</v>
          </cell>
        </row>
        <row r="5435">
          <cell r="U5435">
            <v>2025</v>
          </cell>
        </row>
        <row r="5436">
          <cell r="U5436">
            <v>2025</v>
          </cell>
        </row>
        <row r="5437">
          <cell r="U5437">
            <v>2025</v>
          </cell>
        </row>
        <row r="5438">
          <cell r="U5438">
            <v>2025</v>
          </cell>
        </row>
        <row r="5439">
          <cell r="U5439">
            <v>2025</v>
          </cell>
        </row>
        <row r="5440">
          <cell r="U5440">
            <v>2025</v>
          </cell>
        </row>
        <row r="5441">
          <cell r="U5441">
            <v>2025</v>
          </cell>
        </row>
        <row r="5442">
          <cell r="U5442">
            <v>2025</v>
          </cell>
        </row>
        <row r="5443">
          <cell r="U5443">
            <v>2025</v>
          </cell>
        </row>
        <row r="5444">
          <cell r="U5444">
            <v>2025</v>
          </cell>
        </row>
        <row r="5445">
          <cell r="U5445">
            <v>2025</v>
          </cell>
        </row>
        <row r="5446">
          <cell r="U5446">
            <v>2025</v>
          </cell>
        </row>
        <row r="5447">
          <cell r="U5447">
            <v>2025</v>
          </cell>
        </row>
        <row r="5448">
          <cell r="U5448">
            <v>2025</v>
          </cell>
        </row>
        <row r="5449">
          <cell r="U5449">
            <v>2025</v>
          </cell>
        </row>
        <row r="5450">
          <cell r="U5450">
            <v>2025</v>
          </cell>
        </row>
        <row r="5451">
          <cell r="U5451">
            <v>2025</v>
          </cell>
        </row>
        <row r="5452">
          <cell r="U5452">
            <v>2025</v>
          </cell>
        </row>
        <row r="5453">
          <cell r="U5453">
            <v>2025</v>
          </cell>
        </row>
        <row r="5454">
          <cell r="U5454">
            <v>2025</v>
          </cell>
        </row>
        <row r="5455">
          <cell r="U5455">
            <v>2025</v>
          </cell>
        </row>
        <row r="5456">
          <cell r="U5456">
            <v>2025</v>
          </cell>
        </row>
        <row r="5457">
          <cell r="U5457">
            <v>2025</v>
          </cell>
        </row>
        <row r="5458">
          <cell r="U5458">
            <v>2025</v>
          </cell>
        </row>
        <row r="5459">
          <cell r="U5459">
            <v>2025</v>
          </cell>
        </row>
        <row r="5460">
          <cell r="U5460">
            <v>2025</v>
          </cell>
        </row>
        <row r="5461">
          <cell r="U5461">
            <v>2025</v>
          </cell>
        </row>
        <row r="5462">
          <cell r="U5462">
            <v>2025</v>
          </cell>
        </row>
        <row r="5463">
          <cell r="U5463">
            <v>2025</v>
          </cell>
        </row>
        <row r="5464">
          <cell r="U5464">
            <v>2025</v>
          </cell>
        </row>
        <row r="5465">
          <cell r="U5465">
            <v>2025</v>
          </cell>
        </row>
        <row r="5466">
          <cell r="U5466">
            <v>2025</v>
          </cell>
        </row>
        <row r="5467">
          <cell r="U5467">
            <v>2025</v>
          </cell>
        </row>
        <row r="5468">
          <cell r="U5468">
            <v>2025</v>
          </cell>
        </row>
        <row r="5469">
          <cell r="U5469">
            <v>2025</v>
          </cell>
        </row>
        <row r="5470">
          <cell r="U5470">
            <v>2025</v>
          </cell>
        </row>
        <row r="5471">
          <cell r="U5471">
            <v>2025</v>
          </cell>
        </row>
        <row r="5472">
          <cell r="U5472">
            <v>2025</v>
          </cell>
        </row>
        <row r="5473">
          <cell r="U5473">
            <v>2025</v>
          </cell>
        </row>
        <row r="5474">
          <cell r="U5474">
            <v>2025</v>
          </cell>
        </row>
        <row r="5475">
          <cell r="U5475">
            <v>2025</v>
          </cell>
        </row>
        <row r="5476">
          <cell r="U5476">
            <v>2025</v>
          </cell>
        </row>
        <row r="5477">
          <cell r="U5477">
            <v>2025</v>
          </cell>
        </row>
        <row r="5478">
          <cell r="U5478">
            <v>2025</v>
          </cell>
        </row>
        <row r="5479">
          <cell r="U5479">
            <v>2025</v>
          </cell>
        </row>
        <row r="5480">
          <cell r="U5480">
            <v>2025</v>
          </cell>
        </row>
        <row r="5481">
          <cell r="U5481">
            <v>2025</v>
          </cell>
        </row>
        <row r="5482">
          <cell r="U5482">
            <v>2025</v>
          </cell>
        </row>
        <row r="5483">
          <cell r="U5483">
            <v>2025</v>
          </cell>
        </row>
        <row r="5484">
          <cell r="U5484">
            <v>2025</v>
          </cell>
        </row>
        <row r="5485">
          <cell r="U5485">
            <v>2025</v>
          </cell>
        </row>
        <row r="5486">
          <cell r="U5486">
            <v>2025</v>
          </cell>
        </row>
        <row r="5487">
          <cell r="U5487">
            <v>2025</v>
          </cell>
        </row>
        <row r="5488">
          <cell r="U5488">
            <v>2025</v>
          </cell>
        </row>
        <row r="5489">
          <cell r="U5489">
            <v>2025</v>
          </cell>
        </row>
        <row r="5490">
          <cell r="U5490">
            <v>2025</v>
          </cell>
        </row>
        <row r="5491">
          <cell r="U5491">
            <v>2025</v>
          </cell>
        </row>
        <row r="5492">
          <cell r="U5492">
            <v>2025</v>
          </cell>
        </row>
        <row r="5493">
          <cell r="U5493">
            <v>2025</v>
          </cell>
        </row>
        <row r="5494">
          <cell r="U5494">
            <v>2025</v>
          </cell>
        </row>
        <row r="5495">
          <cell r="U5495">
            <v>2025</v>
          </cell>
        </row>
        <row r="5496">
          <cell r="U5496">
            <v>2025</v>
          </cell>
        </row>
        <row r="5497">
          <cell r="U5497">
            <v>2025</v>
          </cell>
        </row>
        <row r="5498">
          <cell r="U5498">
            <v>2025</v>
          </cell>
        </row>
        <row r="5499">
          <cell r="U5499">
            <v>2025</v>
          </cell>
        </row>
        <row r="5500">
          <cell r="U5500">
            <v>2025</v>
          </cell>
        </row>
        <row r="5501">
          <cell r="U5501">
            <v>2025</v>
          </cell>
        </row>
        <row r="5502">
          <cell r="U5502">
            <v>2025</v>
          </cell>
        </row>
        <row r="5503">
          <cell r="U5503">
            <v>2025</v>
          </cell>
        </row>
        <row r="5504">
          <cell r="U5504">
            <v>2025</v>
          </cell>
        </row>
        <row r="5505">
          <cell r="U5505">
            <v>2025</v>
          </cell>
        </row>
        <row r="5506">
          <cell r="U5506">
            <v>2025</v>
          </cell>
        </row>
        <row r="5507">
          <cell r="U5507">
            <v>2025</v>
          </cell>
        </row>
        <row r="5508">
          <cell r="U5508">
            <v>2025</v>
          </cell>
        </row>
        <row r="5509">
          <cell r="U5509">
            <v>2025</v>
          </cell>
        </row>
        <row r="5510">
          <cell r="U5510">
            <v>2025</v>
          </cell>
        </row>
        <row r="5511">
          <cell r="U5511">
            <v>2025</v>
          </cell>
        </row>
        <row r="5512">
          <cell r="U5512">
            <v>2025</v>
          </cell>
        </row>
        <row r="5513">
          <cell r="U5513">
            <v>2025</v>
          </cell>
        </row>
        <row r="5514">
          <cell r="U5514">
            <v>2025</v>
          </cell>
        </row>
        <row r="5515">
          <cell r="U5515">
            <v>2025</v>
          </cell>
        </row>
        <row r="5516">
          <cell r="U5516">
            <v>2025</v>
          </cell>
        </row>
        <row r="5517">
          <cell r="U5517">
            <v>2025</v>
          </cell>
        </row>
        <row r="5518">
          <cell r="U5518">
            <v>2025</v>
          </cell>
        </row>
        <row r="5519">
          <cell r="U5519">
            <v>2025</v>
          </cell>
        </row>
        <row r="5520">
          <cell r="U5520">
            <v>2025</v>
          </cell>
        </row>
        <row r="5521">
          <cell r="U5521">
            <v>2025</v>
          </cell>
        </row>
        <row r="5522">
          <cell r="U5522">
            <v>2025</v>
          </cell>
        </row>
        <row r="5523">
          <cell r="U5523">
            <v>2025</v>
          </cell>
        </row>
        <row r="5524">
          <cell r="U5524">
            <v>2025</v>
          </cell>
        </row>
        <row r="5525">
          <cell r="U5525">
            <v>2025</v>
          </cell>
        </row>
        <row r="5526">
          <cell r="U5526">
            <v>2025</v>
          </cell>
        </row>
        <row r="5527">
          <cell r="U5527">
            <v>2025</v>
          </cell>
        </row>
        <row r="5528">
          <cell r="U5528">
            <v>2025</v>
          </cell>
        </row>
        <row r="5529">
          <cell r="U5529">
            <v>2025</v>
          </cell>
        </row>
        <row r="5530">
          <cell r="U5530">
            <v>2025</v>
          </cell>
        </row>
        <row r="5531">
          <cell r="U5531">
            <v>2025</v>
          </cell>
        </row>
        <row r="5532">
          <cell r="U5532">
            <v>2025</v>
          </cell>
        </row>
        <row r="5533">
          <cell r="U5533">
            <v>2025</v>
          </cell>
        </row>
        <row r="5534">
          <cell r="U5534">
            <v>2025</v>
          </cell>
        </row>
        <row r="5535">
          <cell r="U5535">
            <v>2025</v>
          </cell>
        </row>
        <row r="5536">
          <cell r="U5536">
            <v>2025</v>
          </cell>
        </row>
        <row r="5537">
          <cell r="U5537">
            <v>2025</v>
          </cell>
        </row>
        <row r="5538">
          <cell r="U5538">
            <v>2025</v>
          </cell>
        </row>
        <row r="5539">
          <cell r="U5539">
            <v>2025</v>
          </cell>
        </row>
        <row r="5540">
          <cell r="U5540">
            <v>2025</v>
          </cell>
        </row>
        <row r="5541">
          <cell r="U5541">
            <v>2025</v>
          </cell>
        </row>
        <row r="5542">
          <cell r="U5542">
            <v>2025</v>
          </cell>
        </row>
        <row r="5543">
          <cell r="U5543">
            <v>2025</v>
          </cell>
        </row>
        <row r="5544">
          <cell r="U5544">
            <v>2025</v>
          </cell>
        </row>
        <row r="5545">
          <cell r="U5545">
            <v>2025</v>
          </cell>
        </row>
        <row r="5546">
          <cell r="U5546">
            <v>2025</v>
          </cell>
        </row>
        <row r="5547">
          <cell r="U5547">
            <v>2025</v>
          </cell>
        </row>
        <row r="5548">
          <cell r="U5548">
            <v>2025</v>
          </cell>
        </row>
        <row r="5549">
          <cell r="U5549">
            <v>2025</v>
          </cell>
        </row>
        <row r="5550">
          <cell r="U5550">
            <v>2025</v>
          </cell>
        </row>
        <row r="5551">
          <cell r="U5551">
            <v>2025</v>
          </cell>
        </row>
        <row r="5552">
          <cell r="U5552">
            <v>2025</v>
          </cell>
        </row>
        <row r="5553">
          <cell r="U5553">
            <v>2025</v>
          </cell>
        </row>
        <row r="5554">
          <cell r="U5554">
            <v>2025</v>
          </cell>
        </row>
        <row r="5555">
          <cell r="U5555">
            <v>2025</v>
          </cell>
        </row>
        <row r="5556">
          <cell r="U5556">
            <v>2025</v>
          </cell>
        </row>
        <row r="5557">
          <cell r="U5557">
            <v>2025</v>
          </cell>
        </row>
        <row r="5558">
          <cell r="U5558">
            <v>2025</v>
          </cell>
        </row>
        <row r="5559">
          <cell r="U5559">
            <v>2025</v>
          </cell>
        </row>
        <row r="5560">
          <cell r="U5560">
            <v>2025</v>
          </cell>
        </row>
        <row r="5561">
          <cell r="U5561">
            <v>2025</v>
          </cell>
        </row>
        <row r="5562">
          <cell r="U5562">
            <v>2025</v>
          </cell>
        </row>
        <row r="5563">
          <cell r="U5563">
            <v>2025</v>
          </cell>
        </row>
        <row r="5564">
          <cell r="U5564">
            <v>2025</v>
          </cell>
        </row>
        <row r="5565">
          <cell r="U5565">
            <v>2025</v>
          </cell>
        </row>
        <row r="5566">
          <cell r="U5566">
            <v>2025</v>
          </cell>
        </row>
        <row r="5567">
          <cell r="U5567">
            <v>2025</v>
          </cell>
        </row>
        <row r="5568">
          <cell r="U5568">
            <v>2025</v>
          </cell>
        </row>
        <row r="5569">
          <cell r="U5569">
            <v>2025</v>
          </cell>
        </row>
        <row r="5570">
          <cell r="U5570">
            <v>2025</v>
          </cell>
        </row>
        <row r="5571">
          <cell r="U5571">
            <v>2025</v>
          </cell>
        </row>
        <row r="5572">
          <cell r="U5572">
            <v>2025</v>
          </cell>
        </row>
        <row r="5573">
          <cell r="U5573">
            <v>2025</v>
          </cell>
        </row>
        <row r="5574">
          <cell r="U5574">
            <v>2025</v>
          </cell>
        </row>
        <row r="5575">
          <cell r="U5575">
            <v>2025</v>
          </cell>
        </row>
        <row r="5576">
          <cell r="U5576">
            <v>2025</v>
          </cell>
        </row>
        <row r="5577">
          <cell r="U5577">
            <v>2025</v>
          </cell>
        </row>
        <row r="5578">
          <cell r="U5578">
            <v>2025</v>
          </cell>
        </row>
        <row r="5579">
          <cell r="U5579">
            <v>2025</v>
          </cell>
        </row>
        <row r="5580">
          <cell r="U5580">
            <v>2025</v>
          </cell>
        </row>
        <row r="5581">
          <cell r="U5581">
            <v>2025</v>
          </cell>
        </row>
        <row r="5582">
          <cell r="U5582">
            <v>2025</v>
          </cell>
        </row>
        <row r="5583">
          <cell r="U5583">
            <v>2025</v>
          </cell>
        </row>
        <row r="5584">
          <cell r="U5584">
            <v>2025</v>
          </cell>
        </row>
        <row r="5585">
          <cell r="U5585">
            <v>2025</v>
          </cell>
        </row>
        <row r="5586">
          <cell r="U5586">
            <v>2025</v>
          </cell>
        </row>
        <row r="5587">
          <cell r="U5587">
            <v>2025</v>
          </cell>
        </row>
        <row r="5588">
          <cell r="U5588">
            <v>2025</v>
          </cell>
        </row>
        <row r="5589">
          <cell r="U5589">
            <v>2025</v>
          </cell>
        </row>
        <row r="5590">
          <cell r="U5590">
            <v>2025</v>
          </cell>
        </row>
        <row r="5591">
          <cell r="U5591">
            <v>2025</v>
          </cell>
        </row>
        <row r="5592">
          <cell r="U5592">
            <v>2025</v>
          </cell>
        </row>
        <row r="5593">
          <cell r="U5593">
            <v>2025</v>
          </cell>
        </row>
        <row r="5594">
          <cell r="U5594">
            <v>2025</v>
          </cell>
        </row>
        <row r="5595">
          <cell r="U5595">
            <v>2025</v>
          </cell>
        </row>
        <row r="5596">
          <cell r="U5596">
            <v>2025</v>
          </cell>
        </row>
        <row r="5597">
          <cell r="U5597">
            <v>2025</v>
          </cell>
        </row>
        <row r="5598">
          <cell r="U5598">
            <v>2025</v>
          </cell>
        </row>
        <row r="5599">
          <cell r="U5599">
            <v>2025</v>
          </cell>
        </row>
        <row r="5600">
          <cell r="U5600">
            <v>2025</v>
          </cell>
        </row>
        <row r="5601">
          <cell r="U5601">
            <v>2025</v>
          </cell>
        </row>
        <row r="5602">
          <cell r="U5602">
            <v>2025</v>
          </cell>
        </row>
        <row r="5603">
          <cell r="U5603">
            <v>2025</v>
          </cell>
        </row>
        <row r="5604">
          <cell r="U5604">
            <v>2025</v>
          </cell>
        </row>
        <row r="5605">
          <cell r="U5605">
            <v>2025</v>
          </cell>
        </row>
        <row r="5606">
          <cell r="U5606">
            <v>2025</v>
          </cell>
        </row>
        <row r="5607">
          <cell r="U5607">
            <v>2025</v>
          </cell>
        </row>
        <row r="5608">
          <cell r="U5608">
            <v>2025</v>
          </cell>
        </row>
        <row r="5609">
          <cell r="U5609">
            <v>2025</v>
          </cell>
        </row>
        <row r="5610">
          <cell r="U5610">
            <v>2025</v>
          </cell>
        </row>
        <row r="5611">
          <cell r="U5611">
            <v>2025</v>
          </cell>
        </row>
        <row r="5612">
          <cell r="U5612">
            <v>2025</v>
          </cell>
        </row>
        <row r="5613">
          <cell r="U5613">
            <v>2025</v>
          </cell>
        </row>
        <row r="5614">
          <cell r="U5614">
            <v>2025</v>
          </cell>
        </row>
        <row r="5615">
          <cell r="U5615">
            <v>2025</v>
          </cell>
        </row>
        <row r="5616">
          <cell r="U5616">
            <v>2025</v>
          </cell>
        </row>
        <row r="5617">
          <cell r="U5617">
            <v>2025</v>
          </cell>
        </row>
        <row r="5618">
          <cell r="U5618">
            <v>2025</v>
          </cell>
        </row>
        <row r="5619">
          <cell r="U5619">
            <v>2025</v>
          </cell>
        </row>
        <row r="5620">
          <cell r="U5620">
            <v>2025</v>
          </cell>
        </row>
        <row r="5621">
          <cell r="U5621">
            <v>2025</v>
          </cell>
        </row>
        <row r="5622">
          <cell r="U5622">
            <v>2025</v>
          </cell>
        </row>
        <row r="5623">
          <cell r="U5623">
            <v>2025</v>
          </cell>
        </row>
        <row r="5624">
          <cell r="U5624">
            <v>2025</v>
          </cell>
        </row>
        <row r="5625">
          <cell r="U5625">
            <v>2025</v>
          </cell>
        </row>
        <row r="5626">
          <cell r="U5626">
            <v>2025</v>
          </cell>
        </row>
        <row r="5627">
          <cell r="U5627">
            <v>2025</v>
          </cell>
        </row>
        <row r="5628">
          <cell r="U5628">
            <v>2025</v>
          </cell>
        </row>
        <row r="5629">
          <cell r="U5629">
            <v>2025</v>
          </cell>
        </row>
        <row r="5630">
          <cell r="U5630">
            <v>2025</v>
          </cell>
        </row>
        <row r="5631">
          <cell r="U5631">
            <v>2025</v>
          </cell>
        </row>
        <row r="5632">
          <cell r="U5632">
            <v>2025</v>
          </cell>
        </row>
        <row r="5633">
          <cell r="U5633">
            <v>2025</v>
          </cell>
        </row>
        <row r="5634">
          <cell r="U5634">
            <v>2025</v>
          </cell>
        </row>
        <row r="5635">
          <cell r="U5635">
            <v>2025</v>
          </cell>
        </row>
        <row r="5636">
          <cell r="U5636">
            <v>2025</v>
          </cell>
        </row>
        <row r="5637">
          <cell r="U5637">
            <v>2025</v>
          </cell>
        </row>
        <row r="5638">
          <cell r="U5638">
            <v>2025</v>
          </cell>
        </row>
        <row r="5639">
          <cell r="U5639">
            <v>2025</v>
          </cell>
        </row>
        <row r="5640">
          <cell r="U5640">
            <v>2025</v>
          </cell>
        </row>
        <row r="5641">
          <cell r="U5641">
            <v>2025</v>
          </cell>
        </row>
        <row r="5642">
          <cell r="U5642">
            <v>2025</v>
          </cell>
        </row>
        <row r="5643">
          <cell r="U5643">
            <v>2025</v>
          </cell>
        </row>
        <row r="5644">
          <cell r="U5644">
            <v>2025</v>
          </cell>
        </row>
        <row r="5645">
          <cell r="U5645">
            <v>2025</v>
          </cell>
        </row>
        <row r="5646">
          <cell r="U5646">
            <v>2025</v>
          </cell>
        </row>
        <row r="5647">
          <cell r="U5647">
            <v>2025</v>
          </cell>
        </row>
        <row r="5648">
          <cell r="U5648">
            <v>2025</v>
          </cell>
        </row>
        <row r="5649">
          <cell r="U5649">
            <v>2025</v>
          </cell>
        </row>
        <row r="5650">
          <cell r="U5650">
            <v>2025</v>
          </cell>
        </row>
        <row r="5651">
          <cell r="U5651">
            <v>2025</v>
          </cell>
        </row>
        <row r="5652">
          <cell r="U5652">
            <v>2025</v>
          </cell>
        </row>
        <row r="5653">
          <cell r="U5653">
            <v>2025</v>
          </cell>
        </row>
        <row r="5654">
          <cell r="U5654">
            <v>2025</v>
          </cell>
        </row>
        <row r="5655">
          <cell r="U5655">
            <v>2025</v>
          </cell>
        </row>
        <row r="5656">
          <cell r="U5656">
            <v>2025</v>
          </cell>
        </row>
        <row r="5657">
          <cell r="U5657">
            <v>2025</v>
          </cell>
        </row>
        <row r="5658">
          <cell r="U5658">
            <v>2025</v>
          </cell>
        </row>
        <row r="5659">
          <cell r="U5659">
            <v>2025</v>
          </cell>
        </row>
        <row r="5660">
          <cell r="U5660">
            <v>2025</v>
          </cell>
        </row>
        <row r="5661">
          <cell r="U5661">
            <v>2025</v>
          </cell>
        </row>
        <row r="5662">
          <cell r="U5662">
            <v>2025</v>
          </cell>
        </row>
        <row r="5663">
          <cell r="U5663">
            <v>2025</v>
          </cell>
        </row>
        <row r="5664">
          <cell r="U5664">
            <v>2025</v>
          </cell>
        </row>
        <row r="5665">
          <cell r="U5665">
            <v>2025</v>
          </cell>
        </row>
        <row r="5666">
          <cell r="U5666">
            <v>2025</v>
          </cell>
        </row>
        <row r="5667">
          <cell r="U5667">
            <v>2025</v>
          </cell>
        </row>
        <row r="5668">
          <cell r="U5668">
            <v>2025</v>
          </cell>
        </row>
        <row r="5669">
          <cell r="U5669">
            <v>2025</v>
          </cell>
        </row>
        <row r="5670">
          <cell r="U5670">
            <v>2025</v>
          </cell>
        </row>
        <row r="5671">
          <cell r="U5671">
            <v>2025</v>
          </cell>
        </row>
        <row r="5672">
          <cell r="U5672">
            <v>2025</v>
          </cell>
        </row>
        <row r="5673">
          <cell r="U5673">
            <v>2025</v>
          </cell>
        </row>
        <row r="5674">
          <cell r="U5674">
            <v>2025</v>
          </cell>
        </row>
        <row r="5675">
          <cell r="U5675">
            <v>2025</v>
          </cell>
        </row>
        <row r="5676">
          <cell r="U5676">
            <v>2025</v>
          </cell>
        </row>
        <row r="5677">
          <cell r="U5677">
            <v>2025</v>
          </cell>
        </row>
        <row r="5678">
          <cell r="U5678">
            <v>2025</v>
          </cell>
        </row>
        <row r="5679">
          <cell r="U5679">
            <v>2025</v>
          </cell>
        </row>
        <row r="5680">
          <cell r="U5680">
            <v>2025</v>
          </cell>
        </row>
        <row r="5681">
          <cell r="U5681">
            <v>2025</v>
          </cell>
        </row>
        <row r="5682">
          <cell r="U5682">
            <v>2025</v>
          </cell>
        </row>
        <row r="5683">
          <cell r="U5683">
            <v>2025</v>
          </cell>
        </row>
        <row r="5684">
          <cell r="U5684">
            <v>2025</v>
          </cell>
        </row>
        <row r="5685">
          <cell r="U5685">
            <v>2025</v>
          </cell>
        </row>
        <row r="5686">
          <cell r="U5686">
            <v>2025</v>
          </cell>
        </row>
        <row r="5687">
          <cell r="U5687">
            <v>2025</v>
          </cell>
        </row>
        <row r="5688">
          <cell r="U5688">
            <v>2025</v>
          </cell>
        </row>
        <row r="5689">
          <cell r="U5689">
            <v>2025</v>
          </cell>
        </row>
        <row r="5690">
          <cell r="U5690">
            <v>2025</v>
          </cell>
        </row>
        <row r="5691">
          <cell r="U5691">
            <v>2025</v>
          </cell>
        </row>
        <row r="5692">
          <cell r="U5692">
            <v>2025</v>
          </cell>
        </row>
        <row r="5693">
          <cell r="U5693">
            <v>2025</v>
          </cell>
        </row>
        <row r="5694">
          <cell r="U5694">
            <v>2025</v>
          </cell>
        </row>
        <row r="5695">
          <cell r="U5695">
            <v>2025</v>
          </cell>
        </row>
        <row r="5696">
          <cell r="U5696">
            <v>2025</v>
          </cell>
        </row>
        <row r="5697">
          <cell r="U5697">
            <v>2025</v>
          </cell>
        </row>
        <row r="5698">
          <cell r="U5698">
            <v>2025</v>
          </cell>
        </row>
        <row r="5699">
          <cell r="U5699">
            <v>2025</v>
          </cell>
        </row>
        <row r="5700">
          <cell r="U5700">
            <v>2025</v>
          </cell>
        </row>
        <row r="5701">
          <cell r="U5701">
            <v>2025</v>
          </cell>
        </row>
        <row r="5702">
          <cell r="U5702">
            <v>2025</v>
          </cell>
        </row>
        <row r="5703">
          <cell r="U5703">
            <v>2025</v>
          </cell>
        </row>
        <row r="5704">
          <cell r="U5704">
            <v>2025</v>
          </cell>
        </row>
        <row r="5705">
          <cell r="U5705">
            <v>2025</v>
          </cell>
        </row>
        <row r="5706">
          <cell r="U5706">
            <v>2025</v>
          </cell>
        </row>
        <row r="5707">
          <cell r="U5707">
            <v>2025</v>
          </cell>
        </row>
        <row r="5708">
          <cell r="U5708">
            <v>2025</v>
          </cell>
        </row>
        <row r="5709">
          <cell r="U5709">
            <v>2025</v>
          </cell>
        </row>
        <row r="5710">
          <cell r="U5710">
            <v>2025</v>
          </cell>
        </row>
        <row r="5711">
          <cell r="U5711">
            <v>2025</v>
          </cell>
        </row>
        <row r="5712">
          <cell r="U5712">
            <v>2025</v>
          </cell>
        </row>
        <row r="5713">
          <cell r="U5713">
            <v>2025</v>
          </cell>
        </row>
        <row r="5714">
          <cell r="U5714">
            <v>2025</v>
          </cell>
        </row>
        <row r="5715">
          <cell r="U5715">
            <v>2025</v>
          </cell>
        </row>
        <row r="5716">
          <cell r="U5716">
            <v>2025</v>
          </cell>
        </row>
        <row r="5717">
          <cell r="U5717">
            <v>2025</v>
          </cell>
        </row>
        <row r="5718">
          <cell r="U5718">
            <v>2025</v>
          </cell>
        </row>
        <row r="5719">
          <cell r="U5719">
            <v>2025</v>
          </cell>
        </row>
        <row r="5720">
          <cell r="U5720">
            <v>2025</v>
          </cell>
        </row>
        <row r="5721">
          <cell r="U5721">
            <v>2025</v>
          </cell>
        </row>
        <row r="5722">
          <cell r="U5722">
            <v>2025</v>
          </cell>
        </row>
        <row r="5723">
          <cell r="U5723">
            <v>2025</v>
          </cell>
        </row>
        <row r="5724">
          <cell r="U5724">
            <v>2025</v>
          </cell>
        </row>
        <row r="5725">
          <cell r="U5725">
            <v>2025</v>
          </cell>
        </row>
        <row r="5726">
          <cell r="U5726">
            <v>2025</v>
          </cell>
        </row>
        <row r="5727">
          <cell r="U5727">
            <v>2025</v>
          </cell>
        </row>
        <row r="5728">
          <cell r="U5728">
            <v>2025</v>
          </cell>
        </row>
        <row r="5729">
          <cell r="U5729">
            <v>2025</v>
          </cell>
        </row>
        <row r="5730">
          <cell r="U5730">
            <v>2025</v>
          </cell>
        </row>
        <row r="5731">
          <cell r="U5731">
            <v>2025</v>
          </cell>
        </row>
        <row r="5732">
          <cell r="U5732">
            <v>2025</v>
          </cell>
        </row>
        <row r="5733">
          <cell r="U5733">
            <v>2025</v>
          </cell>
        </row>
        <row r="5734">
          <cell r="U5734">
            <v>2025</v>
          </cell>
        </row>
        <row r="5735">
          <cell r="U5735">
            <v>2025</v>
          </cell>
        </row>
        <row r="5736">
          <cell r="U5736">
            <v>2025</v>
          </cell>
        </row>
        <row r="5737">
          <cell r="U5737">
            <v>2025</v>
          </cell>
        </row>
        <row r="5738">
          <cell r="U5738">
            <v>2025</v>
          </cell>
        </row>
        <row r="5739">
          <cell r="U5739">
            <v>2025</v>
          </cell>
        </row>
        <row r="5740">
          <cell r="U5740">
            <v>2025</v>
          </cell>
        </row>
        <row r="5741">
          <cell r="U5741">
            <v>2025</v>
          </cell>
        </row>
        <row r="5742">
          <cell r="U5742">
            <v>2025</v>
          </cell>
        </row>
        <row r="5743">
          <cell r="U5743">
            <v>2025</v>
          </cell>
        </row>
        <row r="5744">
          <cell r="U5744">
            <v>2025</v>
          </cell>
        </row>
        <row r="5745">
          <cell r="U5745">
            <v>2025</v>
          </cell>
        </row>
        <row r="5746">
          <cell r="U5746">
            <v>2025</v>
          </cell>
        </row>
        <row r="5747">
          <cell r="U5747">
            <v>2025</v>
          </cell>
        </row>
        <row r="5748">
          <cell r="U5748">
            <v>2025</v>
          </cell>
        </row>
        <row r="5749">
          <cell r="U5749">
            <v>2025</v>
          </cell>
        </row>
        <row r="5750">
          <cell r="U5750">
            <v>2025</v>
          </cell>
        </row>
        <row r="5751">
          <cell r="U5751">
            <v>2025</v>
          </cell>
        </row>
        <row r="5752">
          <cell r="U5752">
            <v>2025</v>
          </cell>
        </row>
        <row r="5753">
          <cell r="U5753">
            <v>2025</v>
          </cell>
        </row>
        <row r="5754">
          <cell r="U5754">
            <v>2025</v>
          </cell>
        </row>
        <row r="5755">
          <cell r="U5755">
            <v>2025</v>
          </cell>
        </row>
        <row r="5756">
          <cell r="U5756">
            <v>2025</v>
          </cell>
        </row>
        <row r="5757">
          <cell r="U5757">
            <v>2025</v>
          </cell>
        </row>
        <row r="5758">
          <cell r="U5758">
            <v>2025</v>
          </cell>
        </row>
        <row r="5759">
          <cell r="U5759">
            <v>2025</v>
          </cell>
        </row>
        <row r="5760">
          <cell r="U5760">
            <v>2025</v>
          </cell>
        </row>
        <row r="5761">
          <cell r="U5761">
            <v>2025</v>
          </cell>
        </row>
        <row r="5762">
          <cell r="U5762">
            <v>2025</v>
          </cell>
        </row>
        <row r="5763">
          <cell r="U5763">
            <v>2025</v>
          </cell>
        </row>
        <row r="5764">
          <cell r="U5764">
            <v>2025</v>
          </cell>
        </row>
        <row r="5765">
          <cell r="U5765">
            <v>2025</v>
          </cell>
        </row>
        <row r="5766">
          <cell r="U5766">
            <v>2025</v>
          </cell>
        </row>
        <row r="5767">
          <cell r="U5767">
            <v>2025</v>
          </cell>
        </row>
        <row r="5768">
          <cell r="U5768">
            <v>2025</v>
          </cell>
        </row>
        <row r="5769">
          <cell r="U5769">
            <v>2025</v>
          </cell>
        </row>
        <row r="5770">
          <cell r="U5770">
            <v>2025</v>
          </cell>
        </row>
        <row r="5771">
          <cell r="U5771">
            <v>2025</v>
          </cell>
        </row>
        <row r="5772">
          <cell r="U5772">
            <v>2025</v>
          </cell>
        </row>
        <row r="5773">
          <cell r="U5773">
            <v>2025</v>
          </cell>
        </row>
        <row r="5774">
          <cell r="U5774">
            <v>2025</v>
          </cell>
        </row>
        <row r="5775">
          <cell r="U5775">
            <v>2025</v>
          </cell>
        </row>
        <row r="5776">
          <cell r="U5776">
            <v>2025</v>
          </cell>
        </row>
        <row r="5777">
          <cell r="U5777">
            <v>2025</v>
          </cell>
        </row>
        <row r="5778">
          <cell r="U5778">
            <v>2025</v>
          </cell>
        </row>
        <row r="5779">
          <cell r="U5779">
            <v>2025</v>
          </cell>
        </row>
        <row r="5780">
          <cell r="U5780">
            <v>2025</v>
          </cell>
        </row>
        <row r="5781">
          <cell r="U5781">
            <v>2025</v>
          </cell>
        </row>
        <row r="5782">
          <cell r="U5782">
            <v>2025</v>
          </cell>
        </row>
        <row r="5783">
          <cell r="U5783">
            <v>2025</v>
          </cell>
        </row>
        <row r="5784">
          <cell r="U5784">
            <v>2025</v>
          </cell>
        </row>
        <row r="5785">
          <cell r="U5785">
            <v>2025</v>
          </cell>
        </row>
        <row r="5786">
          <cell r="U5786">
            <v>2025</v>
          </cell>
        </row>
        <row r="5787">
          <cell r="U5787">
            <v>2025</v>
          </cell>
        </row>
        <row r="5788">
          <cell r="U5788">
            <v>2025</v>
          </cell>
        </row>
        <row r="5789">
          <cell r="U5789">
            <v>2025</v>
          </cell>
        </row>
        <row r="5790">
          <cell r="U5790">
            <v>2025</v>
          </cell>
        </row>
        <row r="5791">
          <cell r="U5791">
            <v>2025</v>
          </cell>
        </row>
        <row r="5792">
          <cell r="U5792">
            <v>2025</v>
          </cell>
        </row>
        <row r="5793">
          <cell r="U5793">
            <v>2025</v>
          </cell>
        </row>
        <row r="5794">
          <cell r="U5794">
            <v>2025</v>
          </cell>
        </row>
        <row r="5795">
          <cell r="U5795">
            <v>2025</v>
          </cell>
        </row>
        <row r="5796">
          <cell r="U5796">
            <v>2025</v>
          </cell>
        </row>
        <row r="5797">
          <cell r="U5797">
            <v>2025</v>
          </cell>
        </row>
        <row r="5798">
          <cell r="U5798">
            <v>2025</v>
          </cell>
        </row>
        <row r="5799">
          <cell r="U5799">
            <v>2025</v>
          </cell>
        </row>
        <row r="5800">
          <cell r="U5800">
            <v>2025</v>
          </cell>
        </row>
        <row r="5801">
          <cell r="U5801">
            <v>2025</v>
          </cell>
        </row>
        <row r="5802">
          <cell r="U5802">
            <v>2025</v>
          </cell>
        </row>
        <row r="5803">
          <cell r="U5803">
            <v>2025</v>
          </cell>
        </row>
        <row r="5804">
          <cell r="U5804">
            <v>2025</v>
          </cell>
        </row>
        <row r="5805">
          <cell r="U5805">
            <v>2025</v>
          </cell>
        </row>
        <row r="5806">
          <cell r="U5806">
            <v>2025</v>
          </cell>
        </row>
        <row r="5807">
          <cell r="U5807">
            <v>2025</v>
          </cell>
        </row>
        <row r="5808">
          <cell r="U5808">
            <v>2025</v>
          </cell>
        </row>
        <row r="5809">
          <cell r="U5809">
            <v>2025</v>
          </cell>
        </row>
        <row r="5810">
          <cell r="U5810">
            <v>2025</v>
          </cell>
        </row>
        <row r="5811">
          <cell r="U5811">
            <v>2025</v>
          </cell>
        </row>
        <row r="5812">
          <cell r="U5812">
            <v>2025</v>
          </cell>
        </row>
        <row r="5813">
          <cell r="U5813">
            <v>2025</v>
          </cell>
        </row>
        <row r="5814">
          <cell r="U5814">
            <v>2025</v>
          </cell>
        </row>
        <row r="5815">
          <cell r="U5815">
            <v>2025</v>
          </cell>
        </row>
        <row r="5816">
          <cell r="U5816">
            <v>2025</v>
          </cell>
        </row>
        <row r="5817">
          <cell r="U5817">
            <v>2025</v>
          </cell>
        </row>
        <row r="5818">
          <cell r="U5818">
            <v>2025</v>
          </cell>
        </row>
        <row r="5819">
          <cell r="U5819">
            <v>2025</v>
          </cell>
        </row>
        <row r="5820">
          <cell r="U5820">
            <v>2025</v>
          </cell>
        </row>
        <row r="5821">
          <cell r="U5821">
            <v>2025</v>
          </cell>
        </row>
        <row r="5822">
          <cell r="U5822">
            <v>2025</v>
          </cell>
        </row>
        <row r="5823">
          <cell r="U5823">
            <v>2025</v>
          </cell>
        </row>
        <row r="5824">
          <cell r="U5824">
            <v>2025</v>
          </cell>
        </row>
        <row r="5825">
          <cell r="U5825">
            <v>2025</v>
          </cell>
        </row>
        <row r="5826">
          <cell r="U5826">
            <v>2025</v>
          </cell>
        </row>
        <row r="5827">
          <cell r="U5827">
            <v>2025</v>
          </cell>
        </row>
        <row r="5828">
          <cell r="U5828">
            <v>2025</v>
          </cell>
        </row>
        <row r="5829">
          <cell r="U5829">
            <v>2025</v>
          </cell>
        </row>
        <row r="5830">
          <cell r="U5830">
            <v>2025</v>
          </cell>
        </row>
        <row r="5831">
          <cell r="U5831">
            <v>2025</v>
          </cell>
        </row>
        <row r="5832">
          <cell r="U5832">
            <v>2025</v>
          </cell>
        </row>
        <row r="5833">
          <cell r="U5833">
            <v>2025</v>
          </cell>
        </row>
        <row r="5834">
          <cell r="U5834">
            <v>2025</v>
          </cell>
        </row>
        <row r="5835">
          <cell r="U5835">
            <v>2025</v>
          </cell>
        </row>
        <row r="5836">
          <cell r="U5836">
            <v>2025</v>
          </cell>
        </row>
        <row r="5837">
          <cell r="U5837">
            <v>2025</v>
          </cell>
        </row>
        <row r="5838">
          <cell r="U5838">
            <v>2025</v>
          </cell>
        </row>
        <row r="5839">
          <cell r="U5839">
            <v>2025</v>
          </cell>
        </row>
        <row r="5840">
          <cell r="U5840">
            <v>2025</v>
          </cell>
        </row>
        <row r="5841">
          <cell r="U5841">
            <v>2025</v>
          </cell>
        </row>
        <row r="5842">
          <cell r="U5842">
            <v>2025</v>
          </cell>
        </row>
        <row r="5843">
          <cell r="U5843">
            <v>2025</v>
          </cell>
        </row>
        <row r="5844">
          <cell r="U5844">
            <v>2025</v>
          </cell>
        </row>
        <row r="5845">
          <cell r="U5845">
            <v>2025</v>
          </cell>
        </row>
        <row r="5846">
          <cell r="U5846">
            <v>2025</v>
          </cell>
        </row>
        <row r="5847">
          <cell r="U5847">
            <v>2025</v>
          </cell>
        </row>
        <row r="5848">
          <cell r="U5848">
            <v>2025</v>
          </cell>
        </row>
        <row r="5849">
          <cell r="U5849">
            <v>2025</v>
          </cell>
        </row>
        <row r="5850">
          <cell r="U5850">
            <v>2025</v>
          </cell>
        </row>
        <row r="5851">
          <cell r="U5851">
            <v>2025</v>
          </cell>
        </row>
        <row r="5852">
          <cell r="U5852">
            <v>2025</v>
          </cell>
        </row>
        <row r="5853">
          <cell r="U5853">
            <v>2025</v>
          </cell>
        </row>
        <row r="5854">
          <cell r="U5854">
            <v>2025</v>
          </cell>
        </row>
        <row r="5855">
          <cell r="U5855">
            <v>2025</v>
          </cell>
        </row>
        <row r="5856">
          <cell r="U5856">
            <v>2025</v>
          </cell>
        </row>
        <row r="5857">
          <cell r="U5857">
            <v>2025</v>
          </cell>
        </row>
        <row r="5858">
          <cell r="U5858">
            <v>2025</v>
          </cell>
        </row>
        <row r="5859">
          <cell r="U5859">
            <v>2025</v>
          </cell>
        </row>
        <row r="5860">
          <cell r="U5860">
            <v>2025</v>
          </cell>
        </row>
        <row r="5861">
          <cell r="U5861">
            <v>2025</v>
          </cell>
        </row>
        <row r="5862">
          <cell r="U5862">
            <v>2025</v>
          </cell>
        </row>
        <row r="5863">
          <cell r="U5863">
            <v>2025</v>
          </cell>
        </row>
        <row r="5864">
          <cell r="U5864">
            <v>2025</v>
          </cell>
        </row>
        <row r="5865">
          <cell r="U5865">
            <v>2025</v>
          </cell>
        </row>
        <row r="5866">
          <cell r="U5866">
            <v>2025</v>
          </cell>
        </row>
        <row r="5867">
          <cell r="U5867">
            <v>2025</v>
          </cell>
        </row>
        <row r="5868">
          <cell r="U5868">
            <v>2025</v>
          </cell>
        </row>
        <row r="5869">
          <cell r="U5869">
            <v>2025</v>
          </cell>
        </row>
        <row r="5870">
          <cell r="U5870">
            <v>2025</v>
          </cell>
        </row>
        <row r="5871">
          <cell r="U5871">
            <v>2025</v>
          </cell>
        </row>
        <row r="5872">
          <cell r="U5872">
            <v>2025</v>
          </cell>
        </row>
        <row r="5873">
          <cell r="U5873">
            <v>2025</v>
          </cell>
        </row>
        <row r="5874">
          <cell r="U5874">
            <v>2025</v>
          </cell>
        </row>
        <row r="5875">
          <cell r="U5875">
            <v>2025</v>
          </cell>
        </row>
        <row r="5876">
          <cell r="U5876">
            <v>2025</v>
          </cell>
        </row>
        <row r="5877">
          <cell r="U5877">
            <v>2025</v>
          </cell>
        </row>
        <row r="5878">
          <cell r="U5878">
            <v>2025</v>
          </cell>
        </row>
        <row r="5879">
          <cell r="U5879">
            <v>2025</v>
          </cell>
        </row>
        <row r="5880">
          <cell r="U5880">
            <v>2025</v>
          </cell>
        </row>
        <row r="5881">
          <cell r="U5881">
            <v>2025</v>
          </cell>
        </row>
        <row r="5882">
          <cell r="U5882">
            <v>2025</v>
          </cell>
        </row>
        <row r="5883">
          <cell r="U5883">
            <v>2025</v>
          </cell>
        </row>
        <row r="5884">
          <cell r="U5884">
            <v>2025</v>
          </cell>
        </row>
        <row r="5885">
          <cell r="U5885">
            <v>2025</v>
          </cell>
        </row>
        <row r="5886">
          <cell r="U5886">
            <v>2025</v>
          </cell>
        </row>
        <row r="5887">
          <cell r="U5887">
            <v>2025</v>
          </cell>
        </row>
        <row r="5888">
          <cell r="U5888">
            <v>2025</v>
          </cell>
        </row>
        <row r="5889">
          <cell r="U5889">
            <v>2025</v>
          </cell>
        </row>
        <row r="5890">
          <cell r="U5890">
            <v>2025</v>
          </cell>
        </row>
        <row r="5891">
          <cell r="U5891">
            <v>2025</v>
          </cell>
        </row>
        <row r="5892">
          <cell r="U5892">
            <v>2025</v>
          </cell>
        </row>
        <row r="5893">
          <cell r="U5893">
            <v>2025</v>
          </cell>
        </row>
        <row r="5894">
          <cell r="U5894">
            <v>2025</v>
          </cell>
        </row>
        <row r="5895">
          <cell r="U5895">
            <v>2025</v>
          </cell>
        </row>
        <row r="5896">
          <cell r="U5896">
            <v>2025</v>
          </cell>
        </row>
        <row r="5897">
          <cell r="U5897">
            <v>2025</v>
          </cell>
        </row>
        <row r="5898">
          <cell r="U5898">
            <v>2025</v>
          </cell>
        </row>
        <row r="5899">
          <cell r="U5899">
            <v>2025</v>
          </cell>
        </row>
        <row r="5900">
          <cell r="U5900">
            <v>2025</v>
          </cell>
        </row>
        <row r="5901">
          <cell r="U5901">
            <v>2025</v>
          </cell>
        </row>
        <row r="5902">
          <cell r="U5902">
            <v>2025</v>
          </cell>
        </row>
        <row r="5903">
          <cell r="U5903">
            <v>2025</v>
          </cell>
        </row>
        <row r="5904">
          <cell r="U5904">
            <v>2025</v>
          </cell>
        </row>
        <row r="5905">
          <cell r="U5905">
            <v>2025</v>
          </cell>
        </row>
        <row r="5906">
          <cell r="U5906">
            <v>2025</v>
          </cell>
        </row>
        <row r="5907">
          <cell r="U5907">
            <v>2025</v>
          </cell>
        </row>
        <row r="5908">
          <cell r="U5908">
            <v>2025</v>
          </cell>
        </row>
        <row r="5909">
          <cell r="U5909">
            <v>2025</v>
          </cell>
        </row>
        <row r="5910">
          <cell r="U5910">
            <v>2025</v>
          </cell>
        </row>
        <row r="5911">
          <cell r="U5911">
            <v>2025</v>
          </cell>
        </row>
        <row r="5912">
          <cell r="U5912">
            <v>2025</v>
          </cell>
        </row>
        <row r="5913">
          <cell r="U5913">
            <v>2025</v>
          </cell>
        </row>
        <row r="5914">
          <cell r="U5914">
            <v>2025</v>
          </cell>
        </row>
        <row r="5915">
          <cell r="U5915">
            <v>2025</v>
          </cell>
        </row>
        <row r="5916">
          <cell r="U5916">
            <v>2025</v>
          </cell>
        </row>
        <row r="5917">
          <cell r="U5917">
            <v>2025</v>
          </cell>
        </row>
        <row r="5918">
          <cell r="U5918">
            <v>2025</v>
          </cell>
        </row>
        <row r="5919">
          <cell r="U5919">
            <v>2025</v>
          </cell>
        </row>
        <row r="5920">
          <cell r="U5920">
            <v>2025</v>
          </cell>
        </row>
        <row r="5921">
          <cell r="U5921">
            <v>2025</v>
          </cell>
        </row>
        <row r="5922">
          <cell r="U5922">
            <v>2025</v>
          </cell>
        </row>
        <row r="5923">
          <cell r="U5923">
            <v>2025</v>
          </cell>
        </row>
        <row r="5924">
          <cell r="U5924">
            <v>2025</v>
          </cell>
        </row>
        <row r="5925">
          <cell r="U5925">
            <v>2025</v>
          </cell>
        </row>
        <row r="5926">
          <cell r="U5926">
            <v>2025</v>
          </cell>
        </row>
        <row r="5927">
          <cell r="U5927">
            <v>2025</v>
          </cell>
        </row>
        <row r="5928">
          <cell r="U5928">
            <v>2025</v>
          </cell>
        </row>
        <row r="5929">
          <cell r="U5929">
            <v>2025</v>
          </cell>
        </row>
        <row r="5930">
          <cell r="U5930">
            <v>2025</v>
          </cell>
        </row>
        <row r="5931">
          <cell r="U5931">
            <v>2025</v>
          </cell>
        </row>
        <row r="5932">
          <cell r="U5932">
            <v>2025</v>
          </cell>
        </row>
        <row r="5933">
          <cell r="U5933">
            <v>2025</v>
          </cell>
        </row>
        <row r="5934">
          <cell r="U5934">
            <v>2025</v>
          </cell>
        </row>
        <row r="5935">
          <cell r="U5935">
            <v>2025</v>
          </cell>
        </row>
        <row r="5936">
          <cell r="U5936">
            <v>2025</v>
          </cell>
        </row>
        <row r="5937">
          <cell r="U5937">
            <v>2025</v>
          </cell>
        </row>
        <row r="5938">
          <cell r="U5938">
            <v>2025</v>
          </cell>
        </row>
        <row r="5939">
          <cell r="U5939">
            <v>2025</v>
          </cell>
        </row>
        <row r="5940">
          <cell r="U5940">
            <v>2025</v>
          </cell>
        </row>
        <row r="5941">
          <cell r="U5941">
            <v>2025</v>
          </cell>
        </row>
        <row r="5942">
          <cell r="U5942">
            <v>2025</v>
          </cell>
        </row>
        <row r="5943">
          <cell r="U5943">
            <v>2025</v>
          </cell>
        </row>
        <row r="5944">
          <cell r="U5944">
            <v>2025</v>
          </cell>
        </row>
        <row r="5945">
          <cell r="U5945">
            <v>2025</v>
          </cell>
        </row>
        <row r="5946">
          <cell r="U5946">
            <v>2025</v>
          </cell>
        </row>
        <row r="5947">
          <cell r="U5947">
            <v>2025</v>
          </cell>
        </row>
        <row r="5948">
          <cell r="U5948">
            <v>2025</v>
          </cell>
        </row>
        <row r="5949">
          <cell r="U5949">
            <v>2025</v>
          </cell>
        </row>
        <row r="5950">
          <cell r="U5950">
            <v>2025</v>
          </cell>
        </row>
        <row r="5951">
          <cell r="U5951">
            <v>2025</v>
          </cell>
        </row>
        <row r="5952">
          <cell r="U5952">
            <v>2025</v>
          </cell>
        </row>
        <row r="5953">
          <cell r="U5953">
            <v>2025</v>
          </cell>
        </row>
        <row r="5954">
          <cell r="U5954">
            <v>2025</v>
          </cell>
        </row>
        <row r="5955">
          <cell r="U5955">
            <v>2025</v>
          </cell>
        </row>
        <row r="5956">
          <cell r="U5956">
            <v>2025</v>
          </cell>
        </row>
        <row r="5957">
          <cell r="U5957">
            <v>2025</v>
          </cell>
        </row>
        <row r="5958">
          <cell r="U5958">
            <v>2025</v>
          </cell>
        </row>
        <row r="5959">
          <cell r="U5959">
            <v>2025</v>
          </cell>
        </row>
        <row r="5960">
          <cell r="U5960">
            <v>2025</v>
          </cell>
        </row>
        <row r="5961">
          <cell r="U5961">
            <v>2025</v>
          </cell>
        </row>
        <row r="5962">
          <cell r="U5962">
            <v>2025</v>
          </cell>
        </row>
        <row r="5963">
          <cell r="U5963">
            <v>2025</v>
          </cell>
        </row>
        <row r="5964">
          <cell r="U5964">
            <v>2025</v>
          </cell>
        </row>
        <row r="5965">
          <cell r="U5965">
            <v>2025</v>
          </cell>
        </row>
        <row r="5966">
          <cell r="U5966">
            <v>2025</v>
          </cell>
        </row>
        <row r="5967">
          <cell r="U5967">
            <v>2025</v>
          </cell>
        </row>
        <row r="5968">
          <cell r="U5968">
            <v>2025</v>
          </cell>
        </row>
        <row r="5969">
          <cell r="U5969">
            <v>2025</v>
          </cell>
        </row>
        <row r="5970">
          <cell r="U5970">
            <v>2025</v>
          </cell>
        </row>
        <row r="5971">
          <cell r="U5971">
            <v>2025</v>
          </cell>
        </row>
        <row r="5972">
          <cell r="U5972">
            <v>2025</v>
          </cell>
        </row>
        <row r="5973">
          <cell r="U5973">
            <v>2025</v>
          </cell>
        </row>
        <row r="5974">
          <cell r="U5974">
            <v>2025</v>
          </cell>
        </row>
        <row r="5975">
          <cell r="U5975">
            <v>2025</v>
          </cell>
        </row>
        <row r="5976">
          <cell r="U5976">
            <v>2025</v>
          </cell>
        </row>
        <row r="5977">
          <cell r="U5977">
            <v>2025</v>
          </cell>
        </row>
        <row r="5978">
          <cell r="U5978">
            <v>2025</v>
          </cell>
        </row>
        <row r="5979">
          <cell r="U5979">
            <v>2025</v>
          </cell>
        </row>
        <row r="5980">
          <cell r="U5980">
            <v>2025</v>
          </cell>
        </row>
        <row r="5981">
          <cell r="U5981">
            <v>2025</v>
          </cell>
        </row>
        <row r="5982">
          <cell r="U5982">
            <v>2025</v>
          </cell>
        </row>
        <row r="5983">
          <cell r="U5983">
            <v>2025</v>
          </cell>
        </row>
        <row r="5984">
          <cell r="U5984">
            <v>2025</v>
          </cell>
        </row>
        <row r="5985">
          <cell r="U5985">
            <v>2025</v>
          </cell>
        </row>
        <row r="5986">
          <cell r="U5986">
            <v>2025</v>
          </cell>
        </row>
        <row r="5987">
          <cell r="U5987">
            <v>2025</v>
          </cell>
        </row>
        <row r="5988">
          <cell r="U5988">
            <v>2025</v>
          </cell>
        </row>
        <row r="5989">
          <cell r="U5989">
            <v>2025</v>
          </cell>
        </row>
        <row r="5990">
          <cell r="U5990">
            <v>2025</v>
          </cell>
        </row>
        <row r="5991">
          <cell r="U5991">
            <v>2025</v>
          </cell>
        </row>
        <row r="5992">
          <cell r="U5992">
            <v>2025</v>
          </cell>
        </row>
        <row r="5993">
          <cell r="U5993">
            <v>2025</v>
          </cell>
        </row>
        <row r="5994">
          <cell r="U5994">
            <v>2025</v>
          </cell>
        </row>
        <row r="5995">
          <cell r="U5995">
            <v>2025</v>
          </cell>
        </row>
        <row r="5996">
          <cell r="U5996">
            <v>2025</v>
          </cell>
        </row>
        <row r="5997">
          <cell r="U5997">
            <v>2025</v>
          </cell>
        </row>
        <row r="5998">
          <cell r="U5998">
            <v>2025</v>
          </cell>
        </row>
        <row r="5999">
          <cell r="U5999">
            <v>2025</v>
          </cell>
        </row>
        <row r="6000">
          <cell r="U6000">
            <v>2025</v>
          </cell>
        </row>
        <row r="6001">
          <cell r="U6001">
            <v>2025</v>
          </cell>
        </row>
        <row r="6002">
          <cell r="U6002">
            <v>2025</v>
          </cell>
        </row>
        <row r="6003">
          <cell r="U6003">
            <v>2025</v>
          </cell>
        </row>
        <row r="6004">
          <cell r="U6004">
            <v>2025</v>
          </cell>
        </row>
        <row r="6005">
          <cell r="U6005">
            <v>2025</v>
          </cell>
        </row>
        <row r="6006">
          <cell r="U6006">
            <v>2025</v>
          </cell>
        </row>
        <row r="6007">
          <cell r="U6007">
            <v>2025</v>
          </cell>
        </row>
        <row r="6008">
          <cell r="U6008">
            <v>2025</v>
          </cell>
        </row>
        <row r="6009">
          <cell r="U6009">
            <v>2025</v>
          </cell>
        </row>
        <row r="6010">
          <cell r="U6010">
            <v>2025</v>
          </cell>
        </row>
        <row r="6011">
          <cell r="U6011">
            <v>2025</v>
          </cell>
        </row>
        <row r="6012">
          <cell r="U6012">
            <v>2025</v>
          </cell>
        </row>
        <row r="6013">
          <cell r="U6013">
            <v>2025</v>
          </cell>
        </row>
        <row r="6014">
          <cell r="U6014">
            <v>2025</v>
          </cell>
        </row>
        <row r="6015">
          <cell r="U6015">
            <v>2025</v>
          </cell>
        </row>
        <row r="6016">
          <cell r="U6016">
            <v>2025</v>
          </cell>
        </row>
        <row r="6017">
          <cell r="U6017">
            <v>2025</v>
          </cell>
        </row>
        <row r="6018">
          <cell r="U6018">
            <v>2025</v>
          </cell>
        </row>
        <row r="6019">
          <cell r="U6019">
            <v>2025</v>
          </cell>
        </row>
        <row r="6020">
          <cell r="U6020">
            <v>2025</v>
          </cell>
        </row>
        <row r="6021">
          <cell r="U6021">
            <v>2025</v>
          </cell>
        </row>
        <row r="6022">
          <cell r="U6022">
            <v>2025</v>
          </cell>
        </row>
        <row r="6023">
          <cell r="U6023">
            <v>2025</v>
          </cell>
        </row>
        <row r="6024">
          <cell r="U6024">
            <v>2025</v>
          </cell>
        </row>
        <row r="6025">
          <cell r="U6025">
            <v>2025</v>
          </cell>
        </row>
        <row r="6026">
          <cell r="U6026">
            <v>2025</v>
          </cell>
        </row>
        <row r="6027">
          <cell r="U6027">
            <v>2025</v>
          </cell>
        </row>
        <row r="6028">
          <cell r="U6028">
            <v>2025</v>
          </cell>
        </row>
        <row r="6029">
          <cell r="U6029">
            <v>2025</v>
          </cell>
        </row>
        <row r="6030">
          <cell r="U6030">
            <v>2025</v>
          </cell>
        </row>
        <row r="6031">
          <cell r="U6031">
            <v>2025</v>
          </cell>
        </row>
        <row r="6032">
          <cell r="U6032">
            <v>2025</v>
          </cell>
        </row>
        <row r="6033">
          <cell r="U6033">
            <v>2025</v>
          </cell>
        </row>
        <row r="6034">
          <cell r="U6034">
            <v>2025</v>
          </cell>
        </row>
        <row r="6035">
          <cell r="U6035">
            <v>2025</v>
          </cell>
        </row>
        <row r="6036">
          <cell r="U6036">
            <v>2025</v>
          </cell>
        </row>
        <row r="6037">
          <cell r="U6037">
            <v>2025</v>
          </cell>
        </row>
        <row r="6038">
          <cell r="U6038">
            <v>2025</v>
          </cell>
        </row>
        <row r="6039">
          <cell r="U6039">
            <v>2025</v>
          </cell>
        </row>
        <row r="6040">
          <cell r="U6040">
            <v>2025</v>
          </cell>
        </row>
        <row r="6041">
          <cell r="U6041">
            <v>2025</v>
          </cell>
        </row>
        <row r="6042">
          <cell r="U6042">
            <v>2025</v>
          </cell>
        </row>
        <row r="6043">
          <cell r="U6043">
            <v>2025</v>
          </cell>
        </row>
        <row r="6044">
          <cell r="U6044">
            <v>2025</v>
          </cell>
        </row>
        <row r="6045">
          <cell r="U6045">
            <v>2025</v>
          </cell>
        </row>
        <row r="6046">
          <cell r="U6046">
            <v>2025</v>
          </cell>
        </row>
        <row r="6047">
          <cell r="U6047">
            <v>2025</v>
          </cell>
        </row>
        <row r="6048">
          <cell r="U6048">
            <v>2025</v>
          </cell>
        </row>
        <row r="6049">
          <cell r="U6049">
            <v>2025</v>
          </cell>
        </row>
        <row r="6050">
          <cell r="U6050">
            <v>2025</v>
          </cell>
        </row>
        <row r="6051">
          <cell r="U6051">
            <v>2025</v>
          </cell>
        </row>
        <row r="6052">
          <cell r="U6052">
            <v>2025</v>
          </cell>
        </row>
        <row r="6053">
          <cell r="U6053">
            <v>2025</v>
          </cell>
        </row>
        <row r="6054">
          <cell r="U6054">
            <v>2025</v>
          </cell>
        </row>
        <row r="6055">
          <cell r="U6055">
            <v>2025</v>
          </cell>
        </row>
        <row r="6056">
          <cell r="U6056">
            <v>2025</v>
          </cell>
        </row>
        <row r="6057">
          <cell r="U6057">
            <v>2025</v>
          </cell>
        </row>
        <row r="6058">
          <cell r="U6058">
            <v>2025</v>
          </cell>
        </row>
        <row r="6059">
          <cell r="U6059">
            <v>2025</v>
          </cell>
        </row>
        <row r="6060">
          <cell r="U6060">
            <v>2025</v>
          </cell>
        </row>
        <row r="6061">
          <cell r="U6061">
            <v>2025</v>
          </cell>
        </row>
        <row r="6062">
          <cell r="U6062">
            <v>2025</v>
          </cell>
        </row>
        <row r="6063">
          <cell r="U6063">
            <v>2025</v>
          </cell>
        </row>
        <row r="6064">
          <cell r="U6064">
            <v>2025</v>
          </cell>
        </row>
        <row r="6065">
          <cell r="U6065">
            <v>2025</v>
          </cell>
        </row>
        <row r="6066">
          <cell r="U6066">
            <v>2025</v>
          </cell>
        </row>
        <row r="6067">
          <cell r="U6067">
            <v>2025</v>
          </cell>
        </row>
        <row r="6068">
          <cell r="U6068">
            <v>2025</v>
          </cell>
        </row>
        <row r="6069">
          <cell r="U6069">
            <v>2025</v>
          </cell>
        </row>
        <row r="6070">
          <cell r="U6070">
            <v>2025</v>
          </cell>
        </row>
        <row r="6071">
          <cell r="U6071">
            <v>2025</v>
          </cell>
        </row>
        <row r="6072">
          <cell r="U6072">
            <v>2025</v>
          </cell>
        </row>
        <row r="6073">
          <cell r="U6073">
            <v>2025</v>
          </cell>
        </row>
        <row r="6074">
          <cell r="U6074">
            <v>2025</v>
          </cell>
        </row>
        <row r="6075">
          <cell r="U6075">
            <v>2025</v>
          </cell>
        </row>
        <row r="6076">
          <cell r="U6076">
            <v>2025</v>
          </cell>
        </row>
        <row r="6077">
          <cell r="U6077">
            <v>2025</v>
          </cell>
        </row>
        <row r="6078">
          <cell r="U6078">
            <v>2025</v>
          </cell>
        </row>
        <row r="6079">
          <cell r="U6079">
            <v>2025</v>
          </cell>
        </row>
        <row r="6080">
          <cell r="U6080">
            <v>2025</v>
          </cell>
        </row>
        <row r="6081">
          <cell r="U6081">
            <v>2025</v>
          </cell>
        </row>
        <row r="6082">
          <cell r="U6082">
            <v>2025</v>
          </cell>
        </row>
        <row r="6083">
          <cell r="U6083">
            <v>2025</v>
          </cell>
        </row>
        <row r="6084">
          <cell r="U6084">
            <v>2025</v>
          </cell>
        </row>
        <row r="6085">
          <cell r="U6085">
            <v>2025</v>
          </cell>
        </row>
        <row r="6086">
          <cell r="U6086">
            <v>2025</v>
          </cell>
        </row>
        <row r="6087">
          <cell r="U6087">
            <v>2025</v>
          </cell>
        </row>
        <row r="6088">
          <cell r="U6088">
            <v>2025</v>
          </cell>
        </row>
        <row r="6089">
          <cell r="U6089">
            <v>2025</v>
          </cell>
        </row>
        <row r="6090">
          <cell r="U6090">
            <v>2025</v>
          </cell>
        </row>
        <row r="6091">
          <cell r="U6091">
            <v>2025</v>
          </cell>
        </row>
        <row r="6092">
          <cell r="U6092">
            <v>2025</v>
          </cell>
        </row>
        <row r="6093">
          <cell r="U6093">
            <v>2025</v>
          </cell>
        </row>
        <row r="6094">
          <cell r="U6094">
            <v>2025</v>
          </cell>
        </row>
        <row r="6095">
          <cell r="U6095">
            <v>2025</v>
          </cell>
        </row>
        <row r="6096">
          <cell r="U6096">
            <v>2025</v>
          </cell>
        </row>
        <row r="6097">
          <cell r="U6097">
            <v>2025</v>
          </cell>
        </row>
        <row r="6098">
          <cell r="U6098">
            <v>2025</v>
          </cell>
        </row>
        <row r="6099">
          <cell r="U6099">
            <v>2025</v>
          </cell>
        </row>
        <row r="6100">
          <cell r="U6100">
            <v>2025</v>
          </cell>
        </row>
        <row r="6101">
          <cell r="U6101">
            <v>2025</v>
          </cell>
        </row>
        <row r="6102">
          <cell r="U6102">
            <v>2025</v>
          </cell>
        </row>
        <row r="6103">
          <cell r="U6103">
            <v>2025</v>
          </cell>
        </row>
        <row r="6104">
          <cell r="U6104">
            <v>2025</v>
          </cell>
        </row>
        <row r="6105">
          <cell r="U6105">
            <v>2025</v>
          </cell>
        </row>
        <row r="6106">
          <cell r="U6106">
            <v>2025</v>
          </cell>
        </row>
        <row r="6107">
          <cell r="U6107">
            <v>2025</v>
          </cell>
        </row>
        <row r="6108">
          <cell r="U6108">
            <v>2025</v>
          </cell>
        </row>
        <row r="6109">
          <cell r="U6109">
            <v>2025</v>
          </cell>
        </row>
        <row r="6110">
          <cell r="U6110">
            <v>2025</v>
          </cell>
        </row>
        <row r="6111">
          <cell r="U6111">
            <v>2025</v>
          </cell>
        </row>
        <row r="6112">
          <cell r="U6112">
            <v>2025</v>
          </cell>
        </row>
        <row r="6113">
          <cell r="U6113">
            <v>2025</v>
          </cell>
        </row>
        <row r="6114">
          <cell r="U6114">
            <v>2025</v>
          </cell>
        </row>
        <row r="6115">
          <cell r="U6115">
            <v>2025</v>
          </cell>
        </row>
        <row r="6116">
          <cell r="U6116">
            <v>2025</v>
          </cell>
        </row>
        <row r="6117">
          <cell r="U6117">
            <v>2025</v>
          </cell>
        </row>
        <row r="6118">
          <cell r="U6118">
            <v>2025</v>
          </cell>
        </row>
        <row r="6119">
          <cell r="U6119">
            <v>2025</v>
          </cell>
        </row>
        <row r="6120">
          <cell r="U6120">
            <v>2025</v>
          </cell>
        </row>
        <row r="6121">
          <cell r="U6121">
            <v>2025</v>
          </cell>
        </row>
        <row r="6122">
          <cell r="U6122">
            <v>2025</v>
          </cell>
        </row>
        <row r="6123">
          <cell r="U6123">
            <v>2025</v>
          </cell>
        </row>
        <row r="6124">
          <cell r="U6124">
            <v>2025</v>
          </cell>
        </row>
        <row r="6125">
          <cell r="U6125">
            <v>2025</v>
          </cell>
        </row>
        <row r="6126">
          <cell r="U6126">
            <v>2025</v>
          </cell>
        </row>
        <row r="6127">
          <cell r="U6127">
            <v>2025</v>
          </cell>
        </row>
        <row r="6128">
          <cell r="U6128">
            <v>2025</v>
          </cell>
        </row>
        <row r="6129">
          <cell r="U6129">
            <v>2025</v>
          </cell>
        </row>
        <row r="6130">
          <cell r="U6130">
            <v>2025</v>
          </cell>
        </row>
        <row r="6131">
          <cell r="U6131">
            <v>2025</v>
          </cell>
        </row>
        <row r="6132">
          <cell r="U6132">
            <v>2025</v>
          </cell>
        </row>
        <row r="6133">
          <cell r="U6133">
            <v>2025</v>
          </cell>
        </row>
        <row r="6134">
          <cell r="U6134">
            <v>2025</v>
          </cell>
        </row>
        <row r="6135">
          <cell r="U6135">
            <v>2025</v>
          </cell>
        </row>
        <row r="6136">
          <cell r="U6136">
            <v>2025</v>
          </cell>
        </row>
        <row r="6137">
          <cell r="U6137">
            <v>2025</v>
          </cell>
        </row>
        <row r="6138">
          <cell r="U6138">
            <v>2025</v>
          </cell>
        </row>
        <row r="6139">
          <cell r="U6139">
            <v>2025</v>
          </cell>
        </row>
        <row r="6140">
          <cell r="U6140">
            <v>2025</v>
          </cell>
        </row>
        <row r="6141">
          <cell r="U6141">
            <v>2025</v>
          </cell>
        </row>
        <row r="6142">
          <cell r="U6142">
            <v>2025</v>
          </cell>
        </row>
        <row r="6143">
          <cell r="U6143">
            <v>2025</v>
          </cell>
        </row>
        <row r="6144">
          <cell r="U6144">
            <v>2025</v>
          </cell>
        </row>
        <row r="6145">
          <cell r="U6145">
            <v>2025</v>
          </cell>
        </row>
        <row r="6146">
          <cell r="U6146">
            <v>2025</v>
          </cell>
        </row>
        <row r="6147">
          <cell r="U6147">
            <v>2025</v>
          </cell>
        </row>
        <row r="6148">
          <cell r="U6148">
            <v>2025</v>
          </cell>
        </row>
        <row r="6149">
          <cell r="U6149">
            <v>2025</v>
          </cell>
        </row>
        <row r="6150">
          <cell r="U6150">
            <v>2025</v>
          </cell>
        </row>
        <row r="6151">
          <cell r="U6151">
            <v>2025</v>
          </cell>
        </row>
        <row r="6152">
          <cell r="U6152">
            <v>2025</v>
          </cell>
        </row>
        <row r="6153">
          <cell r="U6153">
            <v>2025</v>
          </cell>
        </row>
        <row r="6154">
          <cell r="U6154">
            <v>2025</v>
          </cell>
        </row>
        <row r="6155">
          <cell r="U6155">
            <v>2025</v>
          </cell>
        </row>
        <row r="6156">
          <cell r="U6156">
            <v>2025</v>
          </cell>
        </row>
        <row r="6157">
          <cell r="U6157">
            <v>2025</v>
          </cell>
        </row>
        <row r="6158">
          <cell r="U6158">
            <v>2025</v>
          </cell>
        </row>
        <row r="6159">
          <cell r="U6159">
            <v>2025</v>
          </cell>
        </row>
        <row r="6160">
          <cell r="U6160">
            <v>2025</v>
          </cell>
        </row>
        <row r="6161">
          <cell r="U6161">
            <v>2025</v>
          </cell>
        </row>
        <row r="6162">
          <cell r="U6162">
            <v>2025</v>
          </cell>
        </row>
        <row r="6163">
          <cell r="U6163">
            <v>2025</v>
          </cell>
        </row>
        <row r="6164">
          <cell r="U6164">
            <v>2025</v>
          </cell>
        </row>
        <row r="6165">
          <cell r="U6165">
            <v>2025</v>
          </cell>
        </row>
        <row r="6166">
          <cell r="U6166">
            <v>2025</v>
          </cell>
        </row>
        <row r="6167">
          <cell r="U6167">
            <v>2025</v>
          </cell>
        </row>
        <row r="6168">
          <cell r="U6168">
            <v>2025</v>
          </cell>
        </row>
        <row r="6169">
          <cell r="U6169">
            <v>2025</v>
          </cell>
        </row>
        <row r="6170">
          <cell r="U6170">
            <v>2025</v>
          </cell>
        </row>
        <row r="6171">
          <cell r="U6171">
            <v>2025</v>
          </cell>
        </row>
        <row r="6172">
          <cell r="U6172">
            <v>2025</v>
          </cell>
        </row>
        <row r="6173">
          <cell r="U6173">
            <v>2025</v>
          </cell>
        </row>
        <row r="6174">
          <cell r="U6174">
            <v>2025</v>
          </cell>
        </row>
        <row r="6175">
          <cell r="U6175">
            <v>2025</v>
          </cell>
        </row>
        <row r="6176">
          <cell r="U6176">
            <v>2025</v>
          </cell>
        </row>
        <row r="6177">
          <cell r="U6177">
            <v>2025</v>
          </cell>
        </row>
        <row r="6178">
          <cell r="U6178">
            <v>2025</v>
          </cell>
        </row>
        <row r="6179">
          <cell r="U6179">
            <v>2025</v>
          </cell>
        </row>
        <row r="6180">
          <cell r="U6180">
            <v>2025</v>
          </cell>
        </row>
        <row r="6181">
          <cell r="U6181">
            <v>2025</v>
          </cell>
        </row>
        <row r="6182">
          <cell r="U6182">
            <v>2025</v>
          </cell>
        </row>
        <row r="6183">
          <cell r="U6183">
            <v>2025</v>
          </cell>
        </row>
        <row r="6184">
          <cell r="U6184">
            <v>2025</v>
          </cell>
        </row>
        <row r="6185">
          <cell r="U6185">
            <v>2025</v>
          </cell>
        </row>
        <row r="6186">
          <cell r="U6186">
            <v>2025</v>
          </cell>
        </row>
        <row r="6187">
          <cell r="U6187">
            <v>2025</v>
          </cell>
        </row>
        <row r="6188">
          <cell r="U6188">
            <v>2025</v>
          </cell>
        </row>
        <row r="6189">
          <cell r="U6189">
            <v>2025</v>
          </cell>
        </row>
        <row r="6190">
          <cell r="U6190">
            <v>2025</v>
          </cell>
        </row>
        <row r="6191">
          <cell r="U6191">
            <v>2025</v>
          </cell>
        </row>
        <row r="6192">
          <cell r="U6192">
            <v>2025</v>
          </cell>
        </row>
        <row r="6193">
          <cell r="U6193">
            <v>2025</v>
          </cell>
        </row>
        <row r="6194">
          <cell r="U6194">
            <v>2025</v>
          </cell>
        </row>
        <row r="6195">
          <cell r="U6195">
            <v>2025</v>
          </cell>
        </row>
        <row r="6196">
          <cell r="U6196">
            <v>2025</v>
          </cell>
        </row>
        <row r="6197">
          <cell r="U6197">
            <v>2025</v>
          </cell>
        </row>
        <row r="6198">
          <cell r="U6198">
            <v>2025</v>
          </cell>
        </row>
        <row r="6199">
          <cell r="U6199">
            <v>2025</v>
          </cell>
        </row>
        <row r="6200">
          <cell r="U6200">
            <v>2025</v>
          </cell>
        </row>
        <row r="6201">
          <cell r="U6201">
            <v>2025</v>
          </cell>
        </row>
        <row r="6202">
          <cell r="U6202">
            <v>2025</v>
          </cell>
        </row>
        <row r="6203">
          <cell r="U6203">
            <v>2025</v>
          </cell>
        </row>
        <row r="6204">
          <cell r="U6204">
            <v>2025</v>
          </cell>
        </row>
        <row r="6205">
          <cell r="U6205">
            <v>2025</v>
          </cell>
        </row>
        <row r="6206">
          <cell r="U6206">
            <v>2025</v>
          </cell>
        </row>
        <row r="6207">
          <cell r="U6207">
            <v>2025</v>
          </cell>
        </row>
        <row r="6208">
          <cell r="U6208">
            <v>2025</v>
          </cell>
        </row>
        <row r="6209">
          <cell r="U6209">
            <v>2025</v>
          </cell>
        </row>
        <row r="6210">
          <cell r="U6210">
            <v>2025</v>
          </cell>
        </row>
        <row r="6211">
          <cell r="U6211">
            <v>2025</v>
          </cell>
        </row>
        <row r="6212">
          <cell r="U6212">
            <v>2025</v>
          </cell>
        </row>
        <row r="6213">
          <cell r="U6213">
            <v>2025</v>
          </cell>
        </row>
        <row r="6214">
          <cell r="U6214">
            <v>2025</v>
          </cell>
        </row>
        <row r="6215">
          <cell r="U6215">
            <v>2025</v>
          </cell>
        </row>
        <row r="6216">
          <cell r="U6216">
            <v>2025</v>
          </cell>
        </row>
        <row r="6217">
          <cell r="U6217">
            <v>2025</v>
          </cell>
        </row>
        <row r="6218">
          <cell r="U6218">
            <v>2025</v>
          </cell>
        </row>
        <row r="6219">
          <cell r="U6219">
            <v>2025</v>
          </cell>
        </row>
        <row r="6220">
          <cell r="U6220">
            <v>2025</v>
          </cell>
        </row>
        <row r="6221">
          <cell r="U6221">
            <v>2025</v>
          </cell>
        </row>
        <row r="6222">
          <cell r="U6222">
            <v>2025</v>
          </cell>
        </row>
        <row r="6223">
          <cell r="U6223">
            <v>2025</v>
          </cell>
        </row>
        <row r="6224">
          <cell r="U6224">
            <v>2025</v>
          </cell>
        </row>
        <row r="6225">
          <cell r="U6225">
            <v>2025</v>
          </cell>
        </row>
        <row r="6226">
          <cell r="U6226">
            <v>2025</v>
          </cell>
        </row>
        <row r="6227">
          <cell r="U6227">
            <v>2025</v>
          </cell>
        </row>
        <row r="6228">
          <cell r="U6228">
            <v>2025</v>
          </cell>
        </row>
        <row r="6229">
          <cell r="U6229">
            <v>2025</v>
          </cell>
        </row>
        <row r="6230">
          <cell r="U6230">
            <v>2025</v>
          </cell>
        </row>
        <row r="6231">
          <cell r="U6231">
            <v>2025</v>
          </cell>
        </row>
        <row r="6232">
          <cell r="U6232">
            <v>2025</v>
          </cell>
        </row>
        <row r="6233">
          <cell r="U6233">
            <v>2025</v>
          </cell>
        </row>
        <row r="6234">
          <cell r="U6234">
            <v>2025</v>
          </cell>
        </row>
        <row r="6235">
          <cell r="U6235">
            <v>2025</v>
          </cell>
        </row>
        <row r="6236">
          <cell r="U6236">
            <v>2025</v>
          </cell>
        </row>
        <row r="6237">
          <cell r="U6237">
            <v>2025</v>
          </cell>
        </row>
        <row r="6238">
          <cell r="U6238">
            <v>2025</v>
          </cell>
        </row>
        <row r="6239">
          <cell r="U6239">
            <v>2025</v>
          </cell>
        </row>
        <row r="6240">
          <cell r="U6240">
            <v>2025</v>
          </cell>
        </row>
        <row r="6241">
          <cell r="U6241">
            <v>2025</v>
          </cell>
        </row>
        <row r="6242">
          <cell r="U6242">
            <v>2025</v>
          </cell>
        </row>
        <row r="6243">
          <cell r="U6243">
            <v>2025</v>
          </cell>
        </row>
        <row r="6244">
          <cell r="U6244">
            <v>2025</v>
          </cell>
        </row>
        <row r="6245">
          <cell r="U6245">
            <v>2025</v>
          </cell>
        </row>
        <row r="6246">
          <cell r="U6246">
            <v>2025</v>
          </cell>
        </row>
        <row r="6247">
          <cell r="U6247">
            <v>2025</v>
          </cell>
        </row>
        <row r="6248">
          <cell r="U6248">
            <v>2025</v>
          </cell>
        </row>
        <row r="6249">
          <cell r="U6249">
            <v>2025</v>
          </cell>
        </row>
        <row r="6250">
          <cell r="U6250">
            <v>2025</v>
          </cell>
        </row>
        <row r="6251">
          <cell r="U6251">
            <v>2025</v>
          </cell>
        </row>
        <row r="6252">
          <cell r="U6252">
            <v>2025</v>
          </cell>
        </row>
        <row r="6253">
          <cell r="U6253">
            <v>2025</v>
          </cell>
        </row>
        <row r="6254">
          <cell r="U6254">
            <v>2025</v>
          </cell>
        </row>
        <row r="6255">
          <cell r="U6255">
            <v>2025</v>
          </cell>
        </row>
        <row r="6256">
          <cell r="U6256">
            <v>2025</v>
          </cell>
        </row>
        <row r="6257">
          <cell r="U6257">
            <v>2025</v>
          </cell>
        </row>
        <row r="6258">
          <cell r="U6258">
            <v>2025</v>
          </cell>
        </row>
        <row r="6259">
          <cell r="U6259">
            <v>2025</v>
          </cell>
        </row>
        <row r="6260">
          <cell r="U6260">
            <v>2025</v>
          </cell>
        </row>
        <row r="6261">
          <cell r="U6261">
            <v>2025</v>
          </cell>
        </row>
        <row r="6262">
          <cell r="U6262">
            <v>2025</v>
          </cell>
        </row>
        <row r="6263">
          <cell r="U6263">
            <v>2025</v>
          </cell>
        </row>
        <row r="6264">
          <cell r="U6264">
            <v>2025</v>
          </cell>
        </row>
        <row r="6265">
          <cell r="U6265">
            <v>2025</v>
          </cell>
        </row>
        <row r="6266">
          <cell r="U6266">
            <v>2025</v>
          </cell>
        </row>
        <row r="6267">
          <cell r="U6267">
            <v>2025</v>
          </cell>
        </row>
        <row r="6268">
          <cell r="U6268">
            <v>2025</v>
          </cell>
        </row>
        <row r="6269">
          <cell r="U6269">
            <v>2025</v>
          </cell>
        </row>
        <row r="6270">
          <cell r="U6270">
            <v>2025</v>
          </cell>
        </row>
        <row r="6271">
          <cell r="U6271">
            <v>2025</v>
          </cell>
        </row>
        <row r="6272">
          <cell r="U6272">
            <v>2025</v>
          </cell>
        </row>
        <row r="6273">
          <cell r="U6273">
            <v>2025</v>
          </cell>
        </row>
        <row r="6274">
          <cell r="U6274">
            <v>2025</v>
          </cell>
        </row>
        <row r="6275">
          <cell r="U6275">
            <v>2025</v>
          </cell>
        </row>
        <row r="6276">
          <cell r="U6276">
            <v>2025</v>
          </cell>
        </row>
        <row r="6277">
          <cell r="U6277">
            <v>2025</v>
          </cell>
        </row>
        <row r="6278">
          <cell r="U6278">
            <v>2025</v>
          </cell>
        </row>
        <row r="6279">
          <cell r="U6279">
            <v>2025</v>
          </cell>
        </row>
        <row r="6280">
          <cell r="U6280">
            <v>2025</v>
          </cell>
        </row>
        <row r="6281">
          <cell r="U6281">
            <v>2025</v>
          </cell>
        </row>
        <row r="6282">
          <cell r="U6282">
            <v>2025</v>
          </cell>
        </row>
        <row r="6283">
          <cell r="U6283">
            <v>2025</v>
          </cell>
        </row>
        <row r="6284">
          <cell r="U6284">
            <v>2025</v>
          </cell>
        </row>
        <row r="6285">
          <cell r="U6285">
            <v>2025</v>
          </cell>
        </row>
        <row r="6286">
          <cell r="U6286">
            <v>2025</v>
          </cell>
        </row>
        <row r="6287">
          <cell r="U6287">
            <v>2025</v>
          </cell>
        </row>
        <row r="6288">
          <cell r="U6288">
            <v>2025</v>
          </cell>
        </row>
        <row r="6289">
          <cell r="U6289">
            <v>2025</v>
          </cell>
        </row>
        <row r="6290">
          <cell r="U6290">
            <v>2025</v>
          </cell>
        </row>
        <row r="6291">
          <cell r="U6291">
            <v>2025</v>
          </cell>
        </row>
        <row r="6292">
          <cell r="U6292">
            <v>2025</v>
          </cell>
        </row>
        <row r="6293">
          <cell r="U6293">
            <v>2025</v>
          </cell>
        </row>
        <row r="6294">
          <cell r="U6294">
            <v>2025</v>
          </cell>
        </row>
        <row r="6295">
          <cell r="U6295">
            <v>2025</v>
          </cell>
        </row>
        <row r="6296">
          <cell r="U6296">
            <v>2025</v>
          </cell>
        </row>
        <row r="6297">
          <cell r="U6297">
            <v>2025</v>
          </cell>
        </row>
        <row r="6298">
          <cell r="U6298">
            <v>2025</v>
          </cell>
        </row>
        <row r="6299">
          <cell r="U6299">
            <v>2025</v>
          </cell>
        </row>
        <row r="6300">
          <cell r="U6300">
            <v>2025</v>
          </cell>
        </row>
        <row r="6301">
          <cell r="U6301">
            <v>2025</v>
          </cell>
        </row>
        <row r="6302">
          <cell r="U6302">
            <v>2025</v>
          </cell>
        </row>
        <row r="6303">
          <cell r="U6303">
            <v>2025</v>
          </cell>
        </row>
        <row r="6304">
          <cell r="U6304">
            <v>2025</v>
          </cell>
        </row>
        <row r="6305">
          <cell r="U6305">
            <v>2025</v>
          </cell>
        </row>
        <row r="6306">
          <cell r="U6306">
            <v>2025</v>
          </cell>
        </row>
        <row r="6307">
          <cell r="U6307">
            <v>2025</v>
          </cell>
        </row>
        <row r="6308">
          <cell r="U6308">
            <v>2025</v>
          </cell>
        </row>
        <row r="6309">
          <cell r="U6309">
            <v>2025</v>
          </cell>
        </row>
        <row r="6310">
          <cell r="U6310">
            <v>2025</v>
          </cell>
        </row>
        <row r="6311">
          <cell r="U6311">
            <v>2025</v>
          </cell>
        </row>
        <row r="6312">
          <cell r="U6312">
            <v>2025</v>
          </cell>
        </row>
        <row r="6313">
          <cell r="U6313">
            <v>2025</v>
          </cell>
        </row>
        <row r="6314">
          <cell r="U6314">
            <v>2025</v>
          </cell>
        </row>
        <row r="6315">
          <cell r="U6315">
            <v>2025</v>
          </cell>
        </row>
        <row r="6316">
          <cell r="U6316">
            <v>2025</v>
          </cell>
        </row>
        <row r="6317">
          <cell r="U6317">
            <v>2025</v>
          </cell>
        </row>
        <row r="6318">
          <cell r="U6318">
            <v>2025</v>
          </cell>
        </row>
        <row r="6319">
          <cell r="U6319">
            <v>2025</v>
          </cell>
        </row>
        <row r="6320">
          <cell r="U6320">
            <v>2025</v>
          </cell>
        </row>
        <row r="6321">
          <cell r="U6321">
            <v>2025</v>
          </cell>
        </row>
        <row r="6322">
          <cell r="U6322">
            <v>2025</v>
          </cell>
        </row>
        <row r="6323">
          <cell r="U6323">
            <v>2025</v>
          </cell>
        </row>
        <row r="6324">
          <cell r="U6324">
            <v>2025</v>
          </cell>
        </row>
        <row r="6325">
          <cell r="U6325">
            <v>2025</v>
          </cell>
        </row>
        <row r="6326">
          <cell r="U6326">
            <v>2025</v>
          </cell>
        </row>
        <row r="6327">
          <cell r="U6327">
            <v>2025</v>
          </cell>
        </row>
        <row r="6328">
          <cell r="U6328">
            <v>2025</v>
          </cell>
        </row>
        <row r="6329">
          <cell r="U6329">
            <v>2025</v>
          </cell>
        </row>
        <row r="6330">
          <cell r="U6330">
            <v>2025</v>
          </cell>
        </row>
        <row r="6331">
          <cell r="U6331">
            <v>2025</v>
          </cell>
        </row>
        <row r="6332">
          <cell r="U6332">
            <v>2025</v>
          </cell>
        </row>
        <row r="6333">
          <cell r="U6333">
            <v>2025</v>
          </cell>
        </row>
        <row r="6334">
          <cell r="U6334">
            <v>2025</v>
          </cell>
        </row>
        <row r="6335">
          <cell r="U6335">
            <v>2025</v>
          </cell>
        </row>
        <row r="6336">
          <cell r="U6336">
            <v>2025</v>
          </cell>
        </row>
        <row r="6337">
          <cell r="U6337">
            <v>2025</v>
          </cell>
        </row>
        <row r="6338">
          <cell r="U6338">
            <v>2025</v>
          </cell>
        </row>
        <row r="6339">
          <cell r="U6339">
            <v>2025</v>
          </cell>
        </row>
        <row r="6340">
          <cell r="U6340">
            <v>2025</v>
          </cell>
        </row>
        <row r="6341">
          <cell r="U6341">
            <v>2025</v>
          </cell>
        </row>
        <row r="6342">
          <cell r="U6342">
            <v>2025</v>
          </cell>
        </row>
        <row r="6343">
          <cell r="U6343">
            <v>2025</v>
          </cell>
        </row>
        <row r="6344">
          <cell r="U6344">
            <v>2025</v>
          </cell>
        </row>
        <row r="6345">
          <cell r="U6345">
            <v>2025</v>
          </cell>
        </row>
        <row r="6346">
          <cell r="U6346">
            <v>2025</v>
          </cell>
        </row>
        <row r="6347">
          <cell r="U6347">
            <v>2025</v>
          </cell>
        </row>
        <row r="6348">
          <cell r="U6348">
            <v>2025</v>
          </cell>
        </row>
        <row r="6349">
          <cell r="U6349">
            <v>2025</v>
          </cell>
        </row>
        <row r="6350">
          <cell r="U6350">
            <v>2025</v>
          </cell>
        </row>
        <row r="6351">
          <cell r="U6351">
            <v>2025</v>
          </cell>
        </row>
        <row r="6352">
          <cell r="U6352">
            <v>2025</v>
          </cell>
        </row>
        <row r="6353">
          <cell r="U6353">
            <v>2025</v>
          </cell>
        </row>
        <row r="6354">
          <cell r="U6354">
            <v>2025</v>
          </cell>
        </row>
        <row r="6355">
          <cell r="U6355">
            <v>2025</v>
          </cell>
        </row>
        <row r="6356">
          <cell r="U6356">
            <v>2025</v>
          </cell>
        </row>
        <row r="6357">
          <cell r="U6357">
            <v>2025</v>
          </cell>
        </row>
        <row r="6358">
          <cell r="U6358">
            <v>2025</v>
          </cell>
        </row>
        <row r="6359">
          <cell r="U6359">
            <v>2025</v>
          </cell>
        </row>
        <row r="6360">
          <cell r="U6360">
            <v>2025</v>
          </cell>
        </row>
        <row r="6361">
          <cell r="U6361">
            <v>2025</v>
          </cell>
        </row>
        <row r="6362">
          <cell r="U6362">
            <v>2025</v>
          </cell>
        </row>
        <row r="6363">
          <cell r="U6363">
            <v>2025</v>
          </cell>
        </row>
        <row r="6364">
          <cell r="U6364">
            <v>2025</v>
          </cell>
        </row>
        <row r="6365">
          <cell r="U6365">
            <v>2025</v>
          </cell>
        </row>
        <row r="6366">
          <cell r="U6366">
            <v>2025</v>
          </cell>
        </row>
        <row r="6367">
          <cell r="U6367">
            <v>2025</v>
          </cell>
        </row>
        <row r="6368">
          <cell r="U6368">
            <v>2025</v>
          </cell>
        </row>
        <row r="6369">
          <cell r="U6369">
            <v>2025</v>
          </cell>
        </row>
        <row r="6370">
          <cell r="U6370">
            <v>2025</v>
          </cell>
        </row>
        <row r="6371">
          <cell r="U6371">
            <v>2025</v>
          </cell>
        </row>
        <row r="6372">
          <cell r="U6372">
            <v>2025</v>
          </cell>
        </row>
        <row r="6373">
          <cell r="U6373">
            <v>2025</v>
          </cell>
        </row>
        <row r="6374">
          <cell r="U6374">
            <v>2025</v>
          </cell>
        </row>
        <row r="6375">
          <cell r="U6375">
            <v>2025</v>
          </cell>
        </row>
        <row r="6376">
          <cell r="U6376">
            <v>2025</v>
          </cell>
        </row>
        <row r="6377">
          <cell r="U6377">
            <v>2025</v>
          </cell>
        </row>
        <row r="6378">
          <cell r="U6378">
            <v>2025</v>
          </cell>
        </row>
        <row r="6379">
          <cell r="U6379">
            <v>2025</v>
          </cell>
        </row>
        <row r="6380">
          <cell r="U6380">
            <v>2025</v>
          </cell>
        </row>
        <row r="6381">
          <cell r="U6381">
            <v>2025</v>
          </cell>
        </row>
        <row r="6382">
          <cell r="U6382">
            <v>2025</v>
          </cell>
        </row>
        <row r="6383">
          <cell r="U6383">
            <v>2025</v>
          </cell>
        </row>
        <row r="6384">
          <cell r="U6384">
            <v>2025</v>
          </cell>
        </row>
        <row r="6385">
          <cell r="U6385">
            <v>2025</v>
          </cell>
        </row>
        <row r="6386">
          <cell r="U6386">
            <v>2025</v>
          </cell>
        </row>
        <row r="6387">
          <cell r="U6387">
            <v>2025</v>
          </cell>
        </row>
        <row r="6388">
          <cell r="U6388">
            <v>2025</v>
          </cell>
        </row>
        <row r="6389">
          <cell r="U6389">
            <v>2025</v>
          </cell>
        </row>
        <row r="6390">
          <cell r="U6390">
            <v>2025</v>
          </cell>
        </row>
        <row r="6391">
          <cell r="U6391">
            <v>2025</v>
          </cell>
        </row>
        <row r="6392">
          <cell r="U6392">
            <v>2025</v>
          </cell>
        </row>
        <row r="6393">
          <cell r="U6393">
            <v>2025</v>
          </cell>
        </row>
        <row r="6394">
          <cell r="U6394">
            <v>2025</v>
          </cell>
        </row>
        <row r="6395">
          <cell r="U6395">
            <v>2025</v>
          </cell>
        </row>
        <row r="6396">
          <cell r="U6396">
            <v>2025</v>
          </cell>
        </row>
        <row r="6397">
          <cell r="U6397">
            <v>2025</v>
          </cell>
        </row>
        <row r="6398">
          <cell r="U6398">
            <v>2025</v>
          </cell>
        </row>
        <row r="6399">
          <cell r="U6399">
            <v>2025</v>
          </cell>
        </row>
        <row r="6400">
          <cell r="U6400">
            <v>2025</v>
          </cell>
        </row>
        <row r="6401">
          <cell r="U6401">
            <v>2025</v>
          </cell>
        </row>
        <row r="6402">
          <cell r="U6402">
            <v>2025</v>
          </cell>
        </row>
        <row r="6403">
          <cell r="U6403">
            <v>2025</v>
          </cell>
        </row>
        <row r="6404">
          <cell r="U6404">
            <v>2025</v>
          </cell>
        </row>
        <row r="6405">
          <cell r="U6405">
            <v>2025</v>
          </cell>
        </row>
        <row r="6406">
          <cell r="U6406">
            <v>2025</v>
          </cell>
        </row>
        <row r="6407">
          <cell r="U6407">
            <v>2025</v>
          </cell>
        </row>
        <row r="6408">
          <cell r="U6408">
            <v>2025</v>
          </cell>
        </row>
        <row r="6409">
          <cell r="U6409">
            <v>2025</v>
          </cell>
        </row>
        <row r="6410">
          <cell r="U6410">
            <v>2025</v>
          </cell>
        </row>
        <row r="6411">
          <cell r="U6411">
            <v>2025</v>
          </cell>
        </row>
        <row r="6412">
          <cell r="U6412">
            <v>2025</v>
          </cell>
        </row>
        <row r="6413">
          <cell r="U6413">
            <v>2025</v>
          </cell>
        </row>
        <row r="6414">
          <cell r="U6414">
            <v>2025</v>
          </cell>
        </row>
        <row r="6415">
          <cell r="U6415">
            <v>2025</v>
          </cell>
        </row>
        <row r="6416">
          <cell r="U6416">
            <v>2025</v>
          </cell>
        </row>
        <row r="6417">
          <cell r="U6417">
            <v>2025</v>
          </cell>
        </row>
        <row r="6418">
          <cell r="U6418">
            <v>2025</v>
          </cell>
        </row>
        <row r="6419">
          <cell r="U6419">
            <v>2025</v>
          </cell>
        </row>
        <row r="6420">
          <cell r="U6420">
            <v>2025</v>
          </cell>
        </row>
        <row r="6421">
          <cell r="U6421">
            <v>2025</v>
          </cell>
        </row>
        <row r="6422">
          <cell r="U6422">
            <v>2025</v>
          </cell>
        </row>
        <row r="6423">
          <cell r="U6423">
            <v>2025</v>
          </cell>
        </row>
        <row r="6424">
          <cell r="U6424">
            <v>2025</v>
          </cell>
        </row>
        <row r="6425">
          <cell r="U6425">
            <v>2025</v>
          </cell>
        </row>
        <row r="6426">
          <cell r="U6426">
            <v>2025</v>
          </cell>
        </row>
        <row r="6427">
          <cell r="U6427">
            <v>2025</v>
          </cell>
        </row>
        <row r="6428">
          <cell r="U6428">
            <v>2025</v>
          </cell>
        </row>
        <row r="6429">
          <cell r="U6429">
            <v>2025</v>
          </cell>
        </row>
        <row r="6430">
          <cell r="U6430">
            <v>2025</v>
          </cell>
        </row>
        <row r="6431">
          <cell r="U6431">
            <v>2025</v>
          </cell>
        </row>
        <row r="6432">
          <cell r="U6432">
            <v>2025</v>
          </cell>
        </row>
        <row r="6433">
          <cell r="U6433">
            <v>2025</v>
          </cell>
        </row>
        <row r="6434">
          <cell r="U6434">
            <v>2025</v>
          </cell>
        </row>
        <row r="6435">
          <cell r="U6435">
            <v>2025</v>
          </cell>
        </row>
        <row r="6436">
          <cell r="U6436">
            <v>2025</v>
          </cell>
        </row>
        <row r="6437">
          <cell r="U6437">
            <v>2025</v>
          </cell>
        </row>
        <row r="6438">
          <cell r="U6438">
            <v>2025</v>
          </cell>
        </row>
        <row r="6439">
          <cell r="U6439">
            <v>2025</v>
          </cell>
        </row>
        <row r="6440">
          <cell r="U6440">
            <v>2025</v>
          </cell>
        </row>
        <row r="6441">
          <cell r="U6441">
            <v>2025</v>
          </cell>
        </row>
        <row r="6442">
          <cell r="U6442">
            <v>2025</v>
          </cell>
        </row>
        <row r="6443">
          <cell r="U6443">
            <v>2025</v>
          </cell>
        </row>
        <row r="6444">
          <cell r="U6444">
            <v>2025</v>
          </cell>
        </row>
        <row r="6445">
          <cell r="U6445">
            <v>2025</v>
          </cell>
        </row>
        <row r="6446">
          <cell r="U6446">
            <v>2025</v>
          </cell>
        </row>
        <row r="6447">
          <cell r="U6447">
            <v>2025</v>
          </cell>
        </row>
        <row r="6448">
          <cell r="U6448">
            <v>2025</v>
          </cell>
        </row>
        <row r="6449">
          <cell r="U6449">
            <v>2025</v>
          </cell>
        </row>
        <row r="6450">
          <cell r="U6450">
            <v>2025</v>
          </cell>
        </row>
        <row r="6451">
          <cell r="U6451">
            <v>2025</v>
          </cell>
        </row>
        <row r="6452">
          <cell r="U6452">
            <v>2025</v>
          </cell>
        </row>
        <row r="6453">
          <cell r="U6453">
            <v>2025</v>
          </cell>
        </row>
        <row r="6454">
          <cell r="U6454">
            <v>2025</v>
          </cell>
        </row>
        <row r="6455">
          <cell r="U6455">
            <v>2025</v>
          </cell>
        </row>
        <row r="6456">
          <cell r="U6456">
            <v>2025</v>
          </cell>
        </row>
        <row r="6457">
          <cell r="U6457">
            <v>2025</v>
          </cell>
        </row>
        <row r="6458">
          <cell r="U6458">
            <v>2025</v>
          </cell>
        </row>
        <row r="6459">
          <cell r="U6459">
            <v>2025</v>
          </cell>
        </row>
        <row r="6460">
          <cell r="U6460">
            <v>2025</v>
          </cell>
        </row>
        <row r="6461">
          <cell r="U6461">
            <v>2025</v>
          </cell>
        </row>
        <row r="6462">
          <cell r="U6462">
            <v>2025</v>
          </cell>
        </row>
        <row r="6463">
          <cell r="U6463">
            <v>2025</v>
          </cell>
        </row>
        <row r="6464">
          <cell r="U6464">
            <v>2025</v>
          </cell>
        </row>
        <row r="6465">
          <cell r="U6465">
            <v>2025</v>
          </cell>
        </row>
        <row r="6466">
          <cell r="U6466">
            <v>2025</v>
          </cell>
        </row>
        <row r="6467">
          <cell r="U6467">
            <v>2025</v>
          </cell>
        </row>
        <row r="6468">
          <cell r="U6468">
            <v>2025</v>
          </cell>
        </row>
        <row r="6469">
          <cell r="U6469">
            <v>2025</v>
          </cell>
        </row>
        <row r="6470">
          <cell r="U6470">
            <v>2025</v>
          </cell>
        </row>
        <row r="6471">
          <cell r="U6471">
            <v>2025</v>
          </cell>
        </row>
        <row r="6472">
          <cell r="U6472">
            <v>2025</v>
          </cell>
        </row>
        <row r="6473">
          <cell r="U6473">
            <v>2025</v>
          </cell>
        </row>
        <row r="6474">
          <cell r="U6474">
            <v>2025</v>
          </cell>
        </row>
        <row r="6475">
          <cell r="U6475">
            <v>2025</v>
          </cell>
        </row>
        <row r="6476">
          <cell r="U6476">
            <v>2025</v>
          </cell>
        </row>
        <row r="6477">
          <cell r="U6477">
            <v>2025</v>
          </cell>
        </row>
        <row r="6478">
          <cell r="U6478">
            <v>2025</v>
          </cell>
        </row>
        <row r="6479">
          <cell r="U6479">
            <v>2025</v>
          </cell>
        </row>
        <row r="6480">
          <cell r="U6480">
            <v>2025</v>
          </cell>
        </row>
        <row r="6481">
          <cell r="U6481">
            <v>2025</v>
          </cell>
        </row>
        <row r="6482">
          <cell r="U6482">
            <v>2025</v>
          </cell>
        </row>
        <row r="6483">
          <cell r="U6483">
            <v>2025</v>
          </cell>
        </row>
        <row r="6484">
          <cell r="U6484">
            <v>2025</v>
          </cell>
        </row>
        <row r="6485">
          <cell r="U6485">
            <v>2025</v>
          </cell>
        </row>
        <row r="6486">
          <cell r="U6486">
            <v>2025</v>
          </cell>
        </row>
        <row r="6487">
          <cell r="U6487">
            <v>2025</v>
          </cell>
        </row>
        <row r="6488">
          <cell r="U6488">
            <v>2025</v>
          </cell>
        </row>
        <row r="6489">
          <cell r="U6489">
            <v>2025</v>
          </cell>
        </row>
        <row r="6490">
          <cell r="U6490">
            <v>2025</v>
          </cell>
        </row>
        <row r="6491">
          <cell r="U6491">
            <v>2025</v>
          </cell>
        </row>
        <row r="6492">
          <cell r="U6492">
            <v>2025</v>
          </cell>
        </row>
        <row r="6493">
          <cell r="U6493">
            <v>2025</v>
          </cell>
        </row>
        <row r="6494">
          <cell r="U6494">
            <v>2025</v>
          </cell>
        </row>
        <row r="6495">
          <cell r="U6495">
            <v>2025</v>
          </cell>
        </row>
        <row r="6496">
          <cell r="U6496">
            <v>2025</v>
          </cell>
        </row>
        <row r="6497">
          <cell r="U6497">
            <v>2025</v>
          </cell>
        </row>
        <row r="6498">
          <cell r="U6498">
            <v>2025</v>
          </cell>
        </row>
        <row r="6499">
          <cell r="U6499">
            <v>2025</v>
          </cell>
        </row>
        <row r="6500">
          <cell r="U6500">
            <v>2025</v>
          </cell>
        </row>
        <row r="6501">
          <cell r="U6501">
            <v>2025</v>
          </cell>
        </row>
        <row r="6502">
          <cell r="U6502">
            <v>2025</v>
          </cell>
        </row>
        <row r="6503">
          <cell r="U6503">
            <v>2025</v>
          </cell>
        </row>
        <row r="6504">
          <cell r="U6504">
            <v>2025</v>
          </cell>
        </row>
        <row r="6505">
          <cell r="U6505">
            <v>2025</v>
          </cell>
        </row>
        <row r="6506">
          <cell r="U6506">
            <v>2025</v>
          </cell>
        </row>
        <row r="6507">
          <cell r="U6507">
            <v>2025</v>
          </cell>
        </row>
        <row r="6508">
          <cell r="U6508">
            <v>2025</v>
          </cell>
        </row>
        <row r="6509">
          <cell r="U6509">
            <v>2025</v>
          </cell>
        </row>
        <row r="6510">
          <cell r="U6510">
            <v>2025</v>
          </cell>
        </row>
        <row r="6511">
          <cell r="U6511">
            <v>2025</v>
          </cell>
        </row>
        <row r="6512">
          <cell r="U6512">
            <v>2025</v>
          </cell>
        </row>
        <row r="6513">
          <cell r="U6513">
            <v>2025</v>
          </cell>
        </row>
        <row r="6514">
          <cell r="U6514">
            <v>2025</v>
          </cell>
        </row>
        <row r="6515">
          <cell r="U6515">
            <v>2025</v>
          </cell>
        </row>
        <row r="6516">
          <cell r="U6516">
            <v>2025</v>
          </cell>
        </row>
        <row r="6517">
          <cell r="U6517">
            <v>2025</v>
          </cell>
        </row>
        <row r="6518">
          <cell r="U6518">
            <v>2025</v>
          </cell>
        </row>
        <row r="6519">
          <cell r="U6519">
            <v>2025</v>
          </cell>
        </row>
        <row r="6520">
          <cell r="U6520">
            <v>2025</v>
          </cell>
        </row>
        <row r="6521">
          <cell r="U6521">
            <v>2025</v>
          </cell>
        </row>
        <row r="6522">
          <cell r="U6522">
            <v>2025</v>
          </cell>
        </row>
        <row r="6523">
          <cell r="U6523">
            <v>2025</v>
          </cell>
        </row>
        <row r="6524">
          <cell r="U6524">
            <v>2025</v>
          </cell>
        </row>
        <row r="6525">
          <cell r="U6525">
            <v>2025</v>
          </cell>
        </row>
        <row r="6526">
          <cell r="U6526">
            <v>2025</v>
          </cell>
        </row>
        <row r="6527">
          <cell r="U6527">
            <v>2025</v>
          </cell>
        </row>
        <row r="6528">
          <cell r="U6528">
            <v>2025</v>
          </cell>
        </row>
        <row r="6529">
          <cell r="U6529">
            <v>2025</v>
          </cell>
        </row>
        <row r="6530">
          <cell r="U6530">
            <v>2025</v>
          </cell>
        </row>
        <row r="6531">
          <cell r="U6531">
            <v>2025</v>
          </cell>
        </row>
        <row r="6532">
          <cell r="U6532">
            <v>2025</v>
          </cell>
        </row>
        <row r="6533">
          <cell r="U6533">
            <v>2025</v>
          </cell>
        </row>
        <row r="6534">
          <cell r="U6534">
            <v>2025</v>
          </cell>
        </row>
        <row r="6535">
          <cell r="U6535">
            <v>2025</v>
          </cell>
        </row>
        <row r="6536">
          <cell r="U6536">
            <v>2025</v>
          </cell>
        </row>
        <row r="6537">
          <cell r="U6537">
            <v>2025</v>
          </cell>
        </row>
        <row r="6538">
          <cell r="U6538">
            <v>2025</v>
          </cell>
        </row>
        <row r="6539">
          <cell r="U6539">
            <v>2025</v>
          </cell>
        </row>
        <row r="6540">
          <cell r="U6540">
            <v>2025</v>
          </cell>
        </row>
        <row r="6541">
          <cell r="U6541">
            <v>2025</v>
          </cell>
        </row>
        <row r="6542">
          <cell r="U6542">
            <v>2025</v>
          </cell>
        </row>
        <row r="6543">
          <cell r="U6543">
            <v>2025</v>
          </cell>
        </row>
        <row r="6544">
          <cell r="U6544">
            <v>2025</v>
          </cell>
        </row>
        <row r="6545">
          <cell r="U6545">
            <v>2025</v>
          </cell>
        </row>
        <row r="6546">
          <cell r="U6546">
            <v>2025</v>
          </cell>
        </row>
        <row r="6547">
          <cell r="U6547">
            <v>2025</v>
          </cell>
        </row>
        <row r="6548">
          <cell r="U6548">
            <v>2025</v>
          </cell>
        </row>
        <row r="6549">
          <cell r="U6549">
            <v>2025</v>
          </cell>
        </row>
        <row r="6550">
          <cell r="U6550">
            <v>2025</v>
          </cell>
        </row>
        <row r="6551">
          <cell r="U6551">
            <v>2025</v>
          </cell>
        </row>
        <row r="6552">
          <cell r="U6552">
            <v>2025</v>
          </cell>
        </row>
        <row r="6553">
          <cell r="U6553">
            <v>2025</v>
          </cell>
        </row>
        <row r="6554">
          <cell r="U6554">
            <v>2025</v>
          </cell>
        </row>
        <row r="6555">
          <cell r="U6555">
            <v>2025</v>
          </cell>
        </row>
        <row r="6556">
          <cell r="U6556">
            <v>2025</v>
          </cell>
        </row>
        <row r="6557">
          <cell r="U6557">
            <v>2025</v>
          </cell>
        </row>
        <row r="6558">
          <cell r="U6558">
            <v>2025</v>
          </cell>
        </row>
        <row r="6559">
          <cell r="U6559">
            <v>2025</v>
          </cell>
        </row>
        <row r="6560">
          <cell r="U6560">
            <v>2025</v>
          </cell>
        </row>
        <row r="6561">
          <cell r="U6561">
            <v>2025</v>
          </cell>
        </row>
        <row r="6562">
          <cell r="U6562">
            <v>2025</v>
          </cell>
        </row>
        <row r="6563">
          <cell r="U6563">
            <v>2025</v>
          </cell>
        </row>
        <row r="6564">
          <cell r="U6564">
            <v>2025</v>
          </cell>
        </row>
        <row r="6565">
          <cell r="U6565">
            <v>2025</v>
          </cell>
        </row>
        <row r="6566">
          <cell r="U6566">
            <v>2025</v>
          </cell>
        </row>
        <row r="6567">
          <cell r="U6567">
            <v>2025</v>
          </cell>
        </row>
        <row r="6568">
          <cell r="U6568">
            <v>2025</v>
          </cell>
        </row>
        <row r="6569">
          <cell r="U6569">
            <v>2025</v>
          </cell>
        </row>
        <row r="6570">
          <cell r="U6570">
            <v>2025</v>
          </cell>
        </row>
        <row r="6571">
          <cell r="U6571">
            <v>2025</v>
          </cell>
        </row>
        <row r="6572">
          <cell r="U6572">
            <v>2025</v>
          </cell>
        </row>
        <row r="6573">
          <cell r="U6573">
            <v>2025</v>
          </cell>
        </row>
        <row r="6574">
          <cell r="U6574">
            <v>2025</v>
          </cell>
        </row>
        <row r="6575">
          <cell r="U6575">
            <v>2025</v>
          </cell>
        </row>
        <row r="6576">
          <cell r="U6576">
            <v>2025</v>
          </cell>
        </row>
        <row r="6577">
          <cell r="U6577">
            <v>2025</v>
          </cell>
        </row>
        <row r="6578">
          <cell r="U6578">
            <v>2025</v>
          </cell>
        </row>
        <row r="6579">
          <cell r="U6579">
            <v>2025</v>
          </cell>
        </row>
        <row r="6580">
          <cell r="U6580">
            <v>2025</v>
          </cell>
        </row>
        <row r="6581">
          <cell r="U6581">
            <v>2025</v>
          </cell>
        </row>
        <row r="6582">
          <cell r="U6582">
            <v>2025</v>
          </cell>
        </row>
        <row r="6583">
          <cell r="U6583">
            <v>2025</v>
          </cell>
        </row>
        <row r="6584">
          <cell r="U6584">
            <v>2025</v>
          </cell>
        </row>
        <row r="6585">
          <cell r="U6585">
            <v>2025</v>
          </cell>
        </row>
        <row r="6586">
          <cell r="U6586">
            <v>2025</v>
          </cell>
        </row>
        <row r="6587">
          <cell r="U6587">
            <v>2025</v>
          </cell>
        </row>
        <row r="6588">
          <cell r="U6588">
            <v>2025</v>
          </cell>
        </row>
        <row r="6589">
          <cell r="U6589">
            <v>2025</v>
          </cell>
        </row>
        <row r="6590">
          <cell r="U6590">
            <v>2025</v>
          </cell>
        </row>
        <row r="6591">
          <cell r="U6591">
            <v>2025</v>
          </cell>
        </row>
        <row r="6592">
          <cell r="U6592">
            <v>2025</v>
          </cell>
        </row>
        <row r="6593">
          <cell r="U6593">
            <v>2025</v>
          </cell>
        </row>
        <row r="6594">
          <cell r="U6594">
            <v>2025</v>
          </cell>
        </row>
        <row r="6595">
          <cell r="U6595">
            <v>2025</v>
          </cell>
        </row>
        <row r="6596">
          <cell r="U6596">
            <v>2025</v>
          </cell>
        </row>
        <row r="6597">
          <cell r="U6597">
            <v>2025</v>
          </cell>
        </row>
        <row r="6598">
          <cell r="U6598">
            <v>2025</v>
          </cell>
        </row>
        <row r="6599">
          <cell r="U6599">
            <v>2025</v>
          </cell>
        </row>
        <row r="6600">
          <cell r="U6600">
            <v>2025</v>
          </cell>
        </row>
        <row r="6601">
          <cell r="U6601">
            <v>2025</v>
          </cell>
        </row>
        <row r="6602">
          <cell r="U6602">
            <v>2025</v>
          </cell>
        </row>
        <row r="6603">
          <cell r="U6603">
            <v>2025</v>
          </cell>
        </row>
        <row r="6604">
          <cell r="U6604">
            <v>2025</v>
          </cell>
        </row>
        <row r="6605">
          <cell r="U6605">
            <v>2025</v>
          </cell>
        </row>
        <row r="6606">
          <cell r="U6606">
            <v>2025</v>
          </cell>
        </row>
        <row r="6607">
          <cell r="U6607">
            <v>2025</v>
          </cell>
        </row>
        <row r="6608">
          <cell r="U6608">
            <v>2025</v>
          </cell>
        </row>
        <row r="6609">
          <cell r="U6609">
            <v>2025</v>
          </cell>
        </row>
        <row r="6610">
          <cell r="U6610">
            <v>2025</v>
          </cell>
        </row>
        <row r="6611">
          <cell r="U6611">
            <v>2025</v>
          </cell>
        </row>
        <row r="6612">
          <cell r="U6612">
            <v>2025</v>
          </cell>
        </row>
        <row r="6613">
          <cell r="U6613">
            <v>2025</v>
          </cell>
        </row>
        <row r="6614">
          <cell r="U6614">
            <v>2025</v>
          </cell>
        </row>
        <row r="6615">
          <cell r="U6615">
            <v>2025</v>
          </cell>
        </row>
        <row r="6616">
          <cell r="U6616">
            <v>2025</v>
          </cell>
        </row>
        <row r="6617">
          <cell r="U6617">
            <v>2025</v>
          </cell>
        </row>
        <row r="6618">
          <cell r="U6618">
            <v>2025</v>
          </cell>
        </row>
        <row r="6619">
          <cell r="U6619">
            <v>2025</v>
          </cell>
        </row>
        <row r="6620">
          <cell r="U6620">
            <v>2025</v>
          </cell>
        </row>
        <row r="6621">
          <cell r="U6621">
            <v>2025</v>
          </cell>
        </row>
        <row r="6622">
          <cell r="U6622">
            <v>2025</v>
          </cell>
        </row>
        <row r="6623">
          <cell r="U6623">
            <v>2025</v>
          </cell>
        </row>
        <row r="6624">
          <cell r="U6624">
            <v>2025</v>
          </cell>
        </row>
        <row r="6625">
          <cell r="U6625">
            <v>2025</v>
          </cell>
        </row>
        <row r="6626">
          <cell r="U6626">
            <v>2025</v>
          </cell>
        </row>
        <row r="6627">
          <cell r="U6627">
            <v>2025</v>
          </cell>
        </row>
        <row r="6628">
          <cell r="U6628">
            <v>2025</v>
          </cell>
        </row>
        <row r="6629">
          <cell r="U6629">
            <v>2025</v>
          </cell>
        </row>
        <row r="6630">
          <cell r="U6630">
            <v>2025</v>
          </cell>
        </row>
        <row r="6631">
          <cell r="U6631">
            <v>2025</v>
          </cell>
        </row>
        <row r="6632">
          <cell r="U6632">
            <v>2025</v>
          </cell>
        </row>
        <row r="6633">
          <cell r="U6633">
            <v>2025</v>
          </cell>
        </row>
        <row r="6634">
          <cell r="U6634">
            <v>2025</v>
          </cell>
        </row>
        <row r="6635">
          <cell r="U6635">
            <v>2025</v>
          </cell>
        </row>
        <row r="6636">
          <cell r="U6636">
            <v>2025</v>
          </cell>
        </row>
        <row r="6637">
          <cell r="U6637">
            <v>2025</v>
          </cell>
        </row>
        <row r="6638">
          <cell r="U6638">
            <v>2025</v>
          </cell>
        </row>
        <row r="6639">
          <cell r="U6639">
            <v>2025</v>
          </cell>
        </row>
        <row r="6640">
          <cell r="U6640">
            <v>2025</v>
          </cell>
        </row>
        <row r="6641">
          <cell r="U6641">
            <v>2025</v>
          </cell>
        </row>
        <row r="6642">
          <cell r="U6642">
            <v>2025</v>
          </cell>
        </row>
        <row r="6643">
          <cell r="U6643">
            <v>2025</v>
          </cell>
        </row>
        <row r="6644">
          <cell r="U6644">
            <v>2025</v>
          </cell>
        </row>
        <row r="6645">
          <cell r="U6645">
            <v>2025</v>
          </cell>
        </row>
        <row r="6646">
          <cell r="U6646">
            <v>2025</v>
          </cell>
        </row>
        <row r="6647">
          <cell r="U6647">
            <v>2025</v>
          </cell>
        </row>
        <row r="6648">
          <cell r="U6648">
            <v>2025</v>
          </cell>
        </row>
        <row r="6649">
          <cell r="U6649">
            <v>2025</v>
          </cell>
        </row>
        <row r="6650">
          <cell r="U6650">
            <v>2025</v>
          </cell>
        </row>
        <row r="6651">
          <cell r="U6651">
            <v>2025</v>
          </cell>
        </row>
        <row r="6652">
          <cell r="U6652">
            <v>2025</v>
          </cell>
        </row>
        <row r="6653">
          <cell r="U6653">
            <v>2025</v>
          </cell>
        </row>
        <row r="6654">
          <cell r="U6654">
            <v>2025</v>
          </cell>
        </row>
        <row r="6655">
          <cell r="U6655">
            <v>2025</v>
          </cell>
        </row>
        <row r="6656">
          <cell r="U6656">
            <v>2025</v>
          </cell>
        </row>
        <row r="6657">
          <cell r="U6657">
            <v>2025</v>
          </cell>
        </row>
        <row r="6658">
          <cell r="U6658">
            <v>2025</v>
          </cell>
        </row>
        <row r="6659">
          <cell r="U6659">
            <v>2025</v>
          </cell>
        </row>
        <row r="6660">
          <cell r="U6660">
            <v>2025</v>
          </cell>
        </row>
        <row r="6661">
          <cell r="U6661">
            <v>2025</v>
          </cell>
        </row>
        <row r="6662">
          <cell r="U6662">
            <v>2025</v>
          </cell>
        </row>
        <row r="6663">
          <cell r="U6663">
            <v>2025</v>
          </cell>
        </row>
        <row r="6664">
          <cell r="U6664">
            <v>2025</v>
          </cell>
        </row>
        <row r="6665">
          <cell r="U6665">
            <v>2025</v>
          </cell>
        </row>
        <row r="6666">
          <cell r="U6666">
            <v>2025</v>
          </cell>
        </row>
        <row r="6667">
          <cell r="U6667">
            <v>2025</v>
          </cell>
        </row>
        <row r="6668">
          <cell r="U6668">
            <v>2025</v>
          </cell>
        </row>
        <row r="6669">
          <cell r="U6669">
            <v>2025</v>
          </cell>
        </row>
        <row r="6670">
          <cell r="U6670">
            <v>2025</v>
          </cell>
        </row>
        <row r="6671">
          <cell r="U6671">
            <v>2025</v>
          </cell>
        </row>
        <row r="6672">
          <cell r="U6672">
            <v>2025</v>
          </cell>
        </row>
        <row r="6673">
          <cell r="U6673">
            <v>2025</v>
          </cell>
        </row>
        <row r="6674">
          <cell r="U6674">
            <v>2025</v>
          </cell>
        </row>
        <row r="6675">
          <cell r="U6675">
            <v>2025</v>
          </cell>
        </row>
        <row r="6676">
          <cell r="U6676">
            <v>2025</v>
          </cell>
        </row>
        <row r="6677">
          <cell r="U6677">
            <v>2025</v>
          </cell>
        </row>
        <row r="6678">
          <cell r="U6678">
            <v>2025</v>
          </cell>
        </row>
        <row r="6679">
          <cell r="U6679">
            <v>2025</v>
          </cell>
        </row>
        <row r="6680">
          <cell r="U6680">
            <v>2025</v>
          </cell>
        </row>
        <row r="6681">
          <cell r="U6681">
            <v>2025</v>
          </cell>
        </row>
        <row r="6682">
          <cell r="U6682">
            <v>2025</v>
          </cell>
        </row>
        <row r="6683">
          <cell r="U6683">
            <v>2025</v>
          </cell>
        </row>
        <row r="6684">
          <cell r="U6684">
            <v>2025</v>
          </cell>
        </row>
        <row r="6685">
          <cell r="U6685">
            <v>2025</v>
          </cell>
        </row>
        <row r="6686">
          <cell r="U6686">
            <v>2025</v>
          </cell>
        </row>
        <row r="6687">
          <cell r="U6687">
            <v>2025</v>
          </cell>
        </row>
        <row r="6688">
          <cell r="U6688">
            <v>2025</v>
          </cell>
        </row>
        <row r="6689">
          <cell r="U6689">
            <v>2025</v>
          </cell>
        </row>
        <row r="6690">
          <cell r="U6690">
            <v>2025</v>
          </cell>
        </row>
        <row r="6691">
          <cell r="U6691">
            <v>2025</v>
          </cell>
        </row>
        <row r="6692">
          <cell r="U6692">
            <v>2025</v>
          </cell>
        </row>
        <row r="6693">
          <cell r="U6693">
            <v>2025</v>
          </cell>
        </row>
        <row r="6694">
          <cell r="U6694">
            <v>2025</v>
          </cell>
        </row>
        <row r="6695">
          <cell r="U6695">
            <v>2025</v>
          </cell>
        </row>
        <row r="6696">
          <cell r="U6696">
            <v>2025</v>
          </cell>
        </row>
        <row r="6697">
          <cell r="U6697">
            <v>2025</v>
          </cell>
        </row>
        <row r="6698">
          <cell r="U6698">
            <v>2025</v>
          </cell>
        </row>
        <row r="6699">
          <cell r="U6699">
            <v>2025</v>
          </cell>
        </row>
        <row r="6700">
          <cell r="U6700">
            <v>2025</v>
          </cell>
        </row>
        <row r="6701">
          <cell r="U6701">
            <v>2025</v>
          </cell>
        </row>
        <row r="6702">
          <cell r="U6702">
            <v>2025</v>
          </cell>
        </row>
        <row r="6703">
          <cell r="U6703">
            <v>2025</v>
          </cell>
        </row>
        <row r="6704">
          <cell r="U6704">
            <v>2025</v>
          </cell>
        </row>
        <row r="6705">
          <cell r="U6705">
            <v>2025</v>
          </cell>
        </row>
        <row r="6706">
          <cell r="U6706">
            <v>2025</v>
          </cell>
        </row>
        <row r="6707">
          <cell r="U6707">
            <v>2025</v>
          </cell>
        </row>
        <row r="6708">
          <cell r="U6708">
            <v>2025</v>
          </cell>
        </row>
        <row r="6709">
          <cell r="U6709">
            <v>2025</v>
          </cell>
        </row>
        <row r="6710">
          <cell r="U6710">
            <v>2025</v>
          </cell>
        </row>
        <row r="6711">
          <cell r="U6711">
            <v>2025</v>
          </cell>
        </row>
        <row r="6712">
          <cell r="U6712">
            <v>2025</v>
          </cell>
        </row>
        <row r="6713">
          <cell r="U6713">
            <v>2025</v>
          </cell>
        </row>
        <row r="6714">
          <cell r="U6714">
            <v>2025</v>
          </cell>
        </row>
        <row r="6715">
          <cell r="U6715">
            <v>2025</v>
          </cell>
        </row>
        <row r="6716">
          <cell r="U6716">
            <v>2025</v>
          </cell>
        </row>
        <row r="6717">
          <cell r="U6717">
            <v>2025</v>
          </cell>
        </row>
        <row r="6718">
          <cell r="U6718">
            <v>2025</v>
          </cell>
        </row>
        <row r="6719">
          <cell r="U6719">
            <v>2025</v>
          </cell>
        </row>
        <row r="6720">
          <cell r="U6720">
            <v>2025</v>
          </cell>
        </row>
        <row r="6721">
          <cell r="U6721">
            <v>2025</v>
          </cell>
        </row>
        <row r="6722">
          <cell r="U6722">
            <v>2025</v>
          </cell>
        </row>
        <row r="6723">
          <cell r="U6723">
            <v>2025</v>
          </cell>
        </row>
        <row r="6724">
          <cell r="U6724">
            <v>2025</v>
          </cell>
        </row>
        <row r="6725">
          <cell r="U6725">
            <v>2025</v>
          </cell>
        </row>
        <row r="6726">
          <cell r="U6726">
            <v>2025</v>
          </cell>
        </row>
        <row r="6727">
          <cell r="U6727">
            <v>2025</v>
          </cell>
        </row>
        <row r="6728">
          <cell r="U6728">
            <v>2025</v>
          </cell>
        </row>
        <row r="6729">
          <cell r="U6729">
            <v>2025</v>
          </cell>
        </row>
        <row r="6730">
          <cell r="U6730">
            <v>2025</v>
          </cell>
        </row>
        <row r="6731">
          <cell r="U6731">
            <v>2025</v>
          </cell>
        </row>
        <row r="6732">
          <cell r="U6732">
            <v>2025</v>
          </cell>
        </row>
        <row r="6733">
          <cell r="U6733">
            <v>2025</v>
          </cell>
        </row>
        <row r="6734">
          <cell r="U6734">
            <v>2025</v>
          </cell>
        </row>
        <row r="6735">
          <cell r="U6735">
            <v>2025</v>
          </cell>
        </row>
        <row r="6736">
          <cell r="U6736">
            <v>2025</v>
          </cell>
        </row>
        <row r="6737">
          <cell r="U6737">
            <v>2025</v>
          </cell>
        </row>
        <row r="6738">
          <cell r="U6738">
            <v>2025</v>
          </cell>
        </row>
        <row r="6739">
          <cell r="U6739">
            <v>2025</v>
          </cell>
        </row>
        <row r="6740">
          <cell r="U6740">
            <v>2025</v>
          </cell>
        </row>
        <row r="6741">
          <cell r="U6741">
            <v>2025</v>
          </cell>
        </row>
        <row r="6742">
          <cell r="U6742">
            <v>2025</v>
          </cell>
        </row>
        <row r="6743">
          <cell r="U6743">
            <v>2025</v>
          </cell>
        </row>
        <row r="6744">
          <cell r="U6744">
            <v>2025</v>
          </cell>
        </row>
        <row r="6745">
          <cell r="U6745">
            <v>2025</v>
          </cell>
        </row>
        <row r="6746">
          <cell r="U6746">
            <v>2025</v>
          </cell>
        </row>
        <row r="6747">
          <cell r="U6747">
            <v>2025</v>
          </cell>
        </row>
        <row r="6748">
          <cell r="U6748">
            <v>2025</v>
          </cell>
        </row>
        <row r="6749">
          <cell r="U6749">
            <v>2025</v>
          </cell>
        </row>
        <row r="6750">
          <cell r="U6750">
            <v>2025</v>
          </cell>
        </row>
        <row r="6751">
          <cell r="U6751">
            <v>2025</v>
          </cell>
        </row>
        <row r="6752">
          <cell r="U6752">
            <v>2025</v>
          </cell>
        </row>
        <row r="6753">
          <cell r="U6753">
            <v>2025</v>
          </cell>
        </row>
        <row r="6754">
          <cell r="U6754">
            <v>2025</v>
          </cell>
        </row>
        <row r="6755">
          <cell r="U6755">
            <v>2025</v>
          </cell>
        </row>
        <row r="6756">
          <cell r="U6756">
            <v>2025</v>
          </cell>
        </row>
        <row r="6757">
          <cell r="U6757">
            <v>2025</v>
          </cell>
        </row>
        <row r="6758">
          <cell r="U6758">
            <v>2025</v>
          </cell>
        </row>
        <row r="6759">
          <cell r="U6759">
            <v>2025</v>
          </cell>
        </row>
        <row r="6760">
          <cell r="U6760">
            <v>2025</v>
          </cell>
        </row>
        <row r="6761">
          <cell r="U6761">
            <v>2025</v>
          </cell>
        </row>
        <row r="6762">
          <cell r="U6762">
            <v>2025</v>
          </cell>
        </row>
        <row r="6763">
          <cell r="U6763">
            <v>2025</v>
          </cell>
        </row>
        <row r="6764">
          <cell r="U6764">
            <v>2025</v>
          </cell>
        </row>
        <row r="6765">
          <cell r="U6765">
            <v>2025</v>
          </cell>
        </row>
        <row r="6766">
          <cell r="U6766">
            <v>2025</v>
          </cell>
        </row>
        <row r="6767">
          <cell r="U6767">
            <v>2025</v>
          </cell>
        </row>
        <row r="6768">
          <cell r="U6768">
            <v>2025</v>
          </cell>
        </row>
        <row r="6769">
          <cell r="U6769">
            <v>2025</v>
          </cell>
        </row>
        <row r="6770">
          <cell r="U6770">
            <v>2025</v>
          </cell>
        </row>
        <row r="6771">
          <cell r="U6771">
            <v>2025</v>
          </cell>
        </row>
        <row r="6772">
          <cell r="U6772">
            <v>2025</v>
          </cell>
        </row>
        <row r="6773">
          <cell r="U6773">
            <v>2025</v>
          </cell>
        </row>
        <row r="6774">
          <cell r="U6774">
            <v>2025</v>
          </cell>
        </row>
        <row r="6775">
          <cell r="U6775">
            <v>2025</v>
          </cell>
        </row>
        <row r="6776">
          <cell r="U6776">
            <v>2025</v>
          </cell>
        </row>
        <row r="6777">
          <cell r="U6777">
            <v>2025</v>
          </cell>
        </row>
        <row r="6778">
          <cell r="U6778">
            <v>2025</v>
          </cell>
        </row>
        <row r="6779">
          <cell r="U6779">
            <v>2025</v>
          </cell>
        </row>
        <row r="6780">
          <cell r="U6780">
            <v>2025</v>
          </cell>
        </row>
        <row r="6781">
          <cell r="U6781">
            <v>2025</v>
          </cell>
        </row>
        <row r="6782">
          <cell r="U6782">
            <v>2025</v>
          </cell>
        </row>
        <row r="6783">
          <cell r="U6783">
            <v>2025</v>
          </cell>
        </row>
        <row r="6784">
          <cell r="U6784">
            <v>2025</v>
          </cell>
        </row>
        <row r="6785">
          <cell r="U6785">
            <v>2025</v>
          </cell>
        </row>
        <row r="6786">
          <cell r="U6786">
            <v>2025</v>
          </cell>
        </row>
        <row r="6787">
          <cell r="U6787">
            <v>2025</v>
          </cell>
        </row>
        <row r="6788">
          <cell r="U6788">
            <v>2025</v>
          </cell>
        </row>
        <row r="6789">
          <cell r="U6789">
            <v>2025</v>
          </cell>
        </row>
        <row r="6790">
          <cell r="U6790">
            <v>2025</v>
          </cell>
        </row>
        <row r="6791">
          <cell r="U6791">
            <v>2025</v>
          </cell>
        </row>
        <row r="6792">
          <cell r="U6792">
            <v>2025</v>
          </cell>
        </row>
        <row r="6793">
          <cell r="U6793">
            <v>2025</v>
          </cell>
        </row>
        <row r="6794">
          <cell r="U6794">
            <v>2025</v>
          </cell>
        </row>
        <row r="6795">
          <cell r="U6795">
            <v>2025</v>
          </cell>
        </row>
        <row r="6796">
          <cell r="U6796">
            <v>2025</v>
          </cell>
        </row>
        <row r="6797">
          <cell r="U6797">
            <v>2025</v>
          </cell>
        </row>
        <row r="6798">
          <cell r="U6798">
            <v>2025</v>
          </cell>
        </row>
        <row r="6799">
          <cell r="U6799">
            <v>2025</v>
          </cell>
        </row>
        <row r="6800">
          <cell r="U6800">
            <v>2025</v>
          </cell>
        </row>
        <row r="6801">
          <cell r="U6801">
            <v>2025</v>
          </cell>
        </row>
        <row r="6802">
          <cell r="U6802">
            <v>2025</v>
          </cell>
        </row>
        <row r="6803">
          <cell r="U6803">
            <v>2025</v>
          </cell>
        </row>
        <row r="6804">
          <cell r="U6804">
            <v>2025</v>
          </cell>
        </row>
        <row r="6805">
          <cell r="U6805">
            <v>2025</v>
          </cell>
        </row>
        <row r="6806">
          <cell r="U6806">
            <v>2025</v>
          </cell>
        </row>
        <row r="6807">
          <cell r="U6807">
            <v>2025</v>
          </cell>
        </row>
        <row r="6808">
          <cell r="U6808">
            <v>2025</v>
          </cell>
        </row>
        <row r="6809">
          <cell r="U6809">
            <v>2025</v>
          </cell>
        </row>
        <row r="6810">
          <cell r="U6810">
            <v>2025</v>
          </cell>
        </row>
        <row r="6811">
          <cell r="U6811">
            <v>2025</v>
          </cell>
        </row>
        <row r="6812">
          <cell r="U6812">
            <v>2025</v>
          </cell>
        </row>
        <row r="6813">
          <cell r="U6813">
            <v>2025</v>
          </cell>
        </row>
        <row r="6814">
          <cell r="U6814">
            <v>2025</v>
          </cell>
        </row>
        <row r="6815">
          <cell r="U6815">
            <v>2025</v>
          </cell>
        </row>
        <row r="6816">
          <cell r="U6816">
            <v>2025</v>
          </cell>
        </row>
        <row r="6817">
          <cell r="U6817">
            <v>2025</v>
          </cell>
        </row>
        <row r="6818">
          <cell r="U6818">
            <v>2025</v>
          </cell>
        </row>
        <row r="6819">
          <cell r="U6819">
            <v>2025</v>
          </cell>
        </row>
        <row r="6820">
          <cell r="U6820">
            <v>2025</v>
          </cell>
        </row>
        <row r="6821">
          <cell r="U6821">
            <v>2025</v>
          </cell>
        </row>
        <row r="6822">
          <cell r="U6822">
            <v>2025</v>
          </cell>
        </row>
        <row r="6823">
          <cell r="U6823">
            <v>2025</v>
          </cell>
        </row>
        <row r="6824">
          <cell r="U6824">
            <v>2025</v>
          </cell>
        </row>
        <row r="6825">
          <cell r="U6825">
            <v>2025</v>
          </cell>
        </row>
        <row r="6826">
          <cell r="U6826">
            <v>2025</v>
          </cell>
        </row>
        <row r="6827">
          <cell r="U6827">
            <v>2025</v>
          </cell>
        </row>
        <row r="6828">
          <cell r="U6828">
            <v>2025</v>
          </cell>
        </row>
        <row r="6829">
          <cell r="U6829">
            <v>2025</v>
          </cell>
        </row>
        <row r="6830">
          <cell r="U6830">
            <v>2025</v>
          </cell>
        </row>
        <row r="6831">
          <cell r="U6831">
            <v>2025</v>
          </cell>
        </row>
        <row r="6832">
          <cell r="U6832">
            <v>2025</v>
          </cell>
        </row>
        <row r="6833">
          <cell r="U6833">
            <v>2025</v>
          </cell>
        </row>
        <row r="6834">
          <cell r="U6834">
            <v>2025</v>
          </cell>
        </row>
        <row r="6835">
          <cell r="U6835">
            <v>2025</v>
          </cell>
        </row>
        <row r="6836">
          <cell r="U6836">
            <v>2025</v>
          </cell>
        </row>
        <row r="6837">
          <cell r="U6837">
            <v>2025</v>
          </cell>
        </row>
        <row r="6838">
          <cell r="U6838">
            <v>2025</v>
          </cell>
        </row>
        <row r="6839">
          <cell r="U6839">
            <v>2025</v>
          </cell>
        </row>
        <row r="6840">
          <cell r="U6840">
            <v>2025</v>
          </cell>
        </row>
        <row r="6841">
          <cell r="U6841">
            <v>2025</v>
          </cell>
        </row>
        <row r="6842">
          <cell r="U6842">
            <v>2025</v>
          </cell>
        </row>
        <row r="6843">
          <cell r="U6843">
            <v>2025</v>
          </cell>
        </row>
        <row r="6844">
          <cell r="U6844">
            <v>2025</v>
          </cell>
        </row>
        <row r="6845">
          <cell r="U6845">
            <v>2025</v>
          </cell>
        </row>
        <row r="6846">
          <cell r="U6846">
            <v>2025</v>
          </cell>
        </row>
        <row r="6847">
          <cell r="U6847">
            <v>2025</v>
          </cell>
        </row>
        <row r="6848">
          <cell r="U6848">
            <v>2025</v>
          </cell>
        </row>
        <row r="6849">
          <cell r="U6849">
            <v>2025</v>
          </cell>
        </row>
        <row r="6850">
          <cell r="U6850">
            <v>2025</v>
          </cell>
        </row>
        <row r="6851">
          <cell r="U6851">
            <v>2025</v>
          </cell>
        </row>
        <row r="6852">
          <cell r="U6852">
            <v>2025</v>
          </cell>
        </row>
        <row r="6853">
          <cell r="U6853">
            <v>2025</v>
          </cell>
        </row>
        <row r="6854">
          <cell r="U6854">
            <v>2025</v>
          </cell>
        </row>
        <row r="6855">
          <cell r="U6855">
            <v>2025</v>
          </cell>
        </row>
        <row r="6856">
          <cell r="U6856">
            <v>2025</v>
          </cell>
        </row>
        <row r="6857">
          <cell r="U6857">
            <v>2025</v>
          </cell>
        </row>
        <row r="6858">
          <cell r="U6858">
            <v>2025</v>
          </cell>
        </row>
        <row r="6859">
          <cell r="U6859">
            <v>2025</v>
          </cell>
        </row>
        <row r="6860">
          <cell r="U6860">
            <v>2025</v>
          </cell>
        </row>
        <row r="6861">
          <cell r="U6861">
            <v>2025</v>
          </cell>
        </row>
        <row r="6862">
          <cell r="U6862">
            <v>2025</v>
          </cell>
        </row>
        <row r="6863">
          <cell r="U6863">
            <v>2025</v>
          </cell>
        </row>
        <row r="6864">
          <cell r="U6864">
            <v>2025</v>
          </cell>
        </row>
        <row r="6865">
          <cell r="U6865">
            <v>2025</v>
          </cell>
        </row>
        <row r="6866">
          <cell r="U6866">
            <v>2025</v>
          </cell>
        </row>
        <row r="6867">
          <cell r="U6867">
            <v>2025</v>
          </cell>
        </row>
        <row r="6868">
          <cell r="U6868">
            <v>2025</v>
          </cell>
        </row>
        <row r="6869">
          <cell r="U6869">
            <v>2025</v>
          </cell>
        </row>
        <row r="6870">
          <cell r="U6870">
            <v>2025</v>
          </cell>
        </row>
        <row r="6871">
          <cell r="U6871">
            <v>2025</v>
          </cell>
        </row>
        <row r="6872">
          <cell r="U6872">
            <v>2025</v>
          </cell>
        </row>
        <row r="6873">
          <cell r="U6873">
            <v>2025</v>
          </cell>
        </row>
        <row r="6874">
          <cell r="U6874">
            <v>2025</v>
          </cell>
        </row>
        <row r="6875">
          <cell r="U6875">
            <v>2025</v>
          </cell>
        </row>
        <row r="6876">
          <cell r="U6876">
            <v>2025</v>
          </cell>
        </row>
        <row r="6877">
          <cell r="U6877">
            <v>2025</v>
          </cell>
        </row>
        <row r="6878">
          <cell r="U6878">
            <v>2025</v>
          </cell>
        </row>
        <row r="6879">
          <cell r="U6879">
            <v>2025</v>
          </cell>
        </row>
        <row r="6880">
          <cell r="U6880">
            <v>2025</v>
          </cell>
        </row>
        <row r="6881">
          <cell r="U6881">
            <v>2025</v>
          </cell>
        </row>
        <row r="6882">
          <cell r="U6882">
            <v>2025</v>
          </cell>
        </row>
        <row r="6883">
          <cell r="U6883">
            <v>2025</v>
          </cell>
        </row>
        <row r="6884">
          <cell r="U6884">
            <v>2025</v>
          </cell>
        </row>
        <row r="6885">
          <cell r="U6885">
            <v>2025</v>
          </cell>
        </row>
        <row r="6886">
          <cell r="U6886">
            <v>2025</v>
          </cell>
        </row>
        <row r="6887">
          <cell r="U6887">
            <v>2025</v>
          </cell>
        </row>
        <row r="6888">
          <cell r="U6888">
            <v>2025</v>
          </cell>
        </row>
        <row r="6889">
          <cell r="U6889">
            <v>2025</v>
          </cell>
        </row>
        <row r="6890">
          <cell r="U6890">
            <v>2025</v>
          </cell>
        </row>
        <row r="6891">
          <cell r="U6891">
            <v>2025</v>
          </cell>
        </row>
        <row r="6892">
          <cell r="U6892">
            <v>2025</v>
          </cell>
        </row>
        <row r="6893">
          <cell r="U6893">
            <v>2025</v>
          </cell>
        </row>
        <row r="6894">
          <cell r="U6894">
            <v>2025</v>
          </cell>
        </row>
        <row r="6895">
          <cell r="U6895">
            <v>2025</v>
          </cell>
        </row>
        <row r="6896">
          <cell r="U6896">
            <v>2025</v>
          </cell>
        </row>
        <row r="6897">
          <cell r="U6897">
            <v>2025</v>
          </cell>
        </row>
        <row r="6898">
          <cell r="U6898">
            <v>2025</v>
          </cell>
        </row>
        <row r="6899">
          <cell r="U6899">
            <v>2025</v>
          </cell>
        </row>
        <row r="6900">
          <cell r="U6900">
            <v>2025</v>
          </cell>
        </row>
        <row r="6901">
          <cell r="U6901">
            <v>2025</v>
          </cell>
        </row>
        <row r="6902">
          <cell r="U6902">
            <v>2025</v>
          </cell>
        </row>
        <row r="6903">
          <cell r="U6903">
            <v>2025</v>
          </cell>
        </row>
        <row r="6904">
          <cell r="U6904">
            <v>2025</v>
          </cell>
        </row>
        <row r="6905">
          <cell r="U6905">
            <v>2025</v>
          </cell>
        </row>
        <row r="6906">
          <cell r="U6906">
            <v>2025</v>
          </cell>
        </row>
        <row r="6907">
          <cell r="U6907">
            <v>2025</v>
          </cell>
        </row>
        <row r="6908">
          <cell r="U6908">
            <v>2025</v>
          </cell>
        </row>
        <row r="6909">
          <cell r="U6909">
            <v>2025</v>
          </cell>
        </row>
        <row r="6910">
          <cell r="U6910">
            <v>2025</v>
          </cell>
        </row>
        <row r="6911">
          <cell r="U6911">
            <v>2025</v>
          </cell>
        </row>
        <row r="6912">
          <cell r="U6912">
            <v>2025</v>
          </cell>
        </row>
        <row r="6913">
          <cell r="U6913">
            <v>2025</v>
          </cell>
        </row>
        <row r="6914">
          <cell r="U6914">
            <v>2025</v>
          </cell>
        </row>
        <row r="6915">
          <cell r="U6915">
            <v>2025</v>
          </cell>
        </row>
        <row r="6916">
          <cell r="U6916">
            <v>2025</v>
          </cell>
        </row>
        <row r="6917">
          <cell r="U6917">
            <v>2025</v>
          </cell>
        </row>
        <row r="6918">
          <cell r="U6918">
            <v>2025</v>
          </cell>
        </row>
        <row r="6919">
          <cell r="U6919">
            <v>2025</v>
          </cell>
        </row>
        <row r="6920">
          <cell r="U6920">
            <v>2025</v>
          </cell>
        </row>
        <row r="6921">
          <cell r="U6921">
            <v>2025</v>
          </cell>
        </row>
        <row r="6922">
          <cell r="U6922">
            <v>2025</v>
          </cell>
        </row>
        <row r="6923">
          <cell r="U6923">
            <v>2025</v>
          </cell>
        </row>
        <row r="6924">
          <cell r="U6924">
            <v>2025</v>
          </cell>
        </row>
        <row r="6925">
          <cell r="U6925">
            <v>2025</v>
          </cell>
        </row>
        <row r="6926">
          <cell r="U6926">
            <v>2025</v>
          </cell>
        </row>
        <row r="6927">
          <cell r="U6927">
            <v>2025</v>
          </cell>
        </row>
        <row r="6928">
          <cell r="U6928">
            <v>2025</v>
          </cell>
        </row>
        <row r="6929">
          <cell r="U6929">
            <v>2025</v>
          </cell>
        </row>
        <row r="6930">
          <cell r="U6930">
            <v>2025</v>
          </cell>
        </row>
        <row r="6931">
          <cell r="U6931">
            <v>2025</v>
          </cell>
        </row>
        <row r="6932">
          <cell r="U6932">
            <v>2025</v>
          </cell>
        </row>
        <row r="6933">
          <cell r="U6933">
            <v>2025</v>
          </cell>
        </row>
        <row r="6934">
          <cell r="U6934">
            <v>2025</v>
          </cell>
        </row>
        <row r="6935">
          <cell r="U6935">
            <v>2025</v>
          </cell>
        </row>
        <row r="6936">
          <cell r="U6936">
            <v>2025</v>
          </cell>
        </row>
        <row r="6937">
          <cell r="U6937">
            <v>2025</v>
          </cell>
        </row>
        <row r="6938">
          <cell r="U6938">
            <v>2025</v>
          </cell>
        </row>
        <row r="6939">
          <cell r="U6939">
            <v>2025</v>
          </cell>
        </row>
        <row r="6940">
          <cell r="U6940">
            <v>2025</v>
          </cell>
        </row>
        <row r="6941">
          <cell r="U6941">
            <v>2025</v>
          </cell>
        </row>
        <row r="6942">
          <cell r="U6942">
            <v>2025</v>
          </cell>
        </row>
        <row r="6943">
          <cell r="U6943">
            <v>2025</v>
          </cell>
        </row>
        <row r="6944">
          <cell r="U6944">
            <v>2025</v>
          </cell>
        </row>
        <row r="6945">
          <cell r="U6945">
            <v>2025</v>
          </cell>
        </row>
        <row r="6946">
          <cell r="U6946">
            <v>2025</v>
          </cell>
        </row>
        <row r="6947">
          <cell r="U6947">
            <v>2025</v>
          </cell>
        </row>
        <row r="6948">
          <cell r="U6948">
            <v>2025</v>
          </cell>
        </row>
        <row r="6949">
          <cell r="U6949">
            <v>2025</v>
          </cell>
        </row>
        <row r="6950">
          <cell r="U6950">
            <v>2025</v>
          </cell>
        </row>
        <row r="6951">
          <cell r="U6951">
            <v>2025</v>
          </cell>
        </row>
        <row r="6952">
          <cell r="U6952">
            <v>2025</v>
          </cell>
        </row>
        <row r="6953">
          <cell r="U6953">
            <v>2025</v>
          </cell>
        </row>
        <row r="6954">
          <cell r="U6954">
            <v>2025</v>
          </cell>
        </row>
        <row r="6955">
          <cell r="U6955">
            <v>2025</v>
          </cell>
        </row>
        <row r="6956">
          <cell r="U6956">
            <v>2025</v>
          </cell>
        </row>
        <row r="6957">
          <cell r="U6957">
            <v>2025</v>
          </cell>
        </row>
        <row r="6958">
          <cell r="U6958">
            <v>2025</v>
          </cell>
        </row>
        <row r="6959">
          <cell r="U6959">
            <v>2025</v>
          </cell>
        </row>
        <row r="6960">
          <cell r="U6960">
            <v>2025</v>
          </cell>
        </row>
        <row r="6961">
          <cell r="U6961">
            <v>2025</v>
          </cell>
        </row>
        <row r="6962">
          <cell r="U6962">
            <v>2025</v>
          </cell>
        </row>
        <row r="6963">
          <cell r="U6963">
            <v>2025</v>
          </cell>
        </row>
        <row r="6964">
          <cell r="U6964">
            <v>2025</v>
          </cell>
        </row>
        <row r="6965">
          <cell r="U6965">
            <v>2025</v>
          </cell>
        </row>
        <row r="6966">
          <cell r="U6966">
            <v>2025</v>
          </cell>
        </row>
        <row r="6967">
          <cell r="U6967">
            <v>2025</v>
          </cell>
        </row>
        <row r="6968">
          <cell r="U6968">
            <v>2025</v>
          </cell>
        </row>
        <row r="6969">
          <cell r="U6969">
            <v>2025</v>
          </cell>
        </row>
        <row r="6970">
          <cell r="U6970">
            <v>2025</v>
          </cell>
        </row>
        <row r="6971">
          <cell r="U6971">
            <v>2025</v>
          </cell>
        </row>
        <row r="6972">
          <cell r="U6972">
            <v>2025</v>
          </cell>
        </row>
        <row r="6973">
          <cell r="U6973">
            <v>2025</v>
          </cell>
        </row>
        <row r="6974">
          <cell r="U6974">
            <v>2025</v>
          </cell>
        </row>
        <row r="6975">
          <cell r="U6975">
            <v>2025</v>
          </cell>
        </row>
        <row r="6976">
          <cell r="U6976">
            <v>2025</v>
          </cell>
        </row>
        <row r="6977">
          <cell r="U6977">
            <v>2025</v>
          </cell>
        </row>
        <row r="6978">
          <cell r="U6978">
            <v>2025</v>
          </cell>
        </row>
        <row r="6979">
          <cell r="U6979">
            <v>2025</v>
          </cell>
        </row>
        <row r="6980">
          <cell r="U6980">
            <v>2025</v>
          </cell>
        </row>
        <row r="6981">
          <cell r="U6981">
            <v>2025</v>
          </cell>
        </row>
        <row r="6982">
          <cell r="U6982">
            <v>2025</v>
          </cell>
        </row>
        <row r="6983">
          <cell r="U6983">
            <v>2025</v>
          </cell>
        </row>
        <row r="6984">
          <cell r="U6984">
            <v>2025</v>
          </cell>
        </row>
        <row r="6985">
          <cell r="U6985">
            <v>2025</v>
          </cell>
        </row>
        <row r="6986">
          <cell r="U6986">
            <v>2025</v>
          </cell>
        </row>
        <row r="6987">
          <cell r="U6987">
            <v>2025</v>
          </cell>
        </row>
        <row r="6988">
          <cell r="U6988">
            <v>2025</v>
          </cell>
        </row>
        <row r="6989">
          <cell r="U6989">
            <v>2025</v>
          </cell>
        </row>
        <row r="6990">
          <cell r="U6990">
            <v>2025</v>
          </cell>
        </row>
        <row r="6991">
          <cell r="U6991">
            <v>2025</v>
          </cell>
        </row>
        <row r="6992">
          <cell r="U6992">
            <v>2025</v>
          </cell>
        </row>
        <row r="6993">
          <cell r="U6993">
            <v>2025</v>
          </cell>
        </row>
        <row r="6994">
          <cell r="U6994">
            <v>2025</v>
          </cell>
        </row>
        <row r="6995">
          <cell r="U6995">
            <v>2025</v>
          </cell>
        </row>
        <row r="6996">
          <cell r="U6996">
            <v>2025</v>
          </cell>
        </row>
        <row r="6997">
          <cell r="U6997">
            <v>2025</v>
          </cell>
        </row>
        <row r="6998">
          <cell r="U6998">
            <v>2025</v>
          </cell>
        </row>
        <row r="6999">
          <cell r="U6999">
            <v>2025</v>
          </cell>
        </row>
        <row r="7000">
          <cell r="U7000">
            <v>2025</v>
          </cell>
        </row>
        <row r="7001">
          <cell r="U7001">
            <v>2025</v>
          </cell>
        </row>
        <row r="7002">
          <cell r="U7002">
            <v>2025</v>
          </cell>
        </row>
        <row r="7003">
          <cell r="U7003">
            <v>2025</v>
          </cell>
        </row>
        <row r="7004">
          <cell r="U7004">
            <v>2025</v>
          </cell>
        </row>
        <row r="7005">
          <cell r="U7005">
            <v>2025</v>
          </cell>
        </row>
        <row r="7006">
          <cell r="U7006">
            <v>2025</v>
          </cell>
        </row>
        <row r="7007">
          <cell r="U7007">
            <v>2025</v>
          </cell>
        </row>
        <row r="7008">
          <cell r="U7008">
            <v>2025</v>
          </cell>
        </row>
        <row r="7009">
          <cell r="U7009">
            <v>2025</v>
          </cell>
        </row>
        <row r="7010">
          <cell r="U7010">
            <v>2025</v>
          </cell>
        </row>
        <row r="7011">
          <cell r="U7011">
            <v>2025</v>
          </cell>
        </row>
        <row r="7012">
          <cell r="U7012">
            <v>2025</v>
          </cell>
        </row>
        <row r="7013">
          <cell r="U7013">
            <v>2025</v>
          </cell>
        </row>
        <row r="7014">
          <cell r="U7014">
            <v>2025</v>
          </cell>
        </row>
        <row r="7015">
          <cell r="U7015">
            <v>2025</v>
          </cell>
        </row>
        <row r="7016">
          <cell r="U7016">
            <v>2025</v>
          </cell>
        </row>
        <row r="7017">
          <cell r="U7017">
            <v>2025</v>
          </cell>
        </row>
        <row r="7018">
          <cell r="U7018">
            <v>2025</v>
          </cell>
        </row>
        <row r="7019">
          <cell r="U7019">
            <v>2025</v>
          </cell>
        </row>
        <row r="7020">
          <cell r="U7020">
            <v>2025</v>
          </cell>
        </row>
        <row r="7021">
          <cell r="U7021">
            <v>2025</v>
          </cell>
        </row>
        <row r="7022">
          <cell r="U7022">
            <v>2025</v>
          </cell>
        </row>
        <row r="7023">
          <cell r="U7023">
            <v>2025</v>
          </cell>
        </row>
        <row r="7024">
          <cell r="U7024">
            <v>2025</v>
          </cell>
        </row>
        <row r="7025">
          <cell r="U7025">
            <v>2025</v>
          </cell>
        </row>
        <row r="7026">
          <cell r="U7026">
            <v>2025</v>
          </cell>
        </row>
        <row r="7027">
          <cell r="U7027">
            <v>2025</v>
          </cell>
        </row>
        <row r="7028">
          <cell r="U7028">
            <v>2025</v>
          </cell>
        </row>
        <row r="7029">
          <cell r="U7029">
            <v>2025</v>
          </cell>
        </row>
        <row r="7030">
          <cell r="U7030">
            <v>2025</v>
          </cell>
        </row>
        <row r="7031">
          <cell r="U7031">
            <v>2025</v>
          </cell>
        </row>
        <row r="7032">
          <cell r="U7032">
            <v>2025</v>
          </cell>
        </row>
        <row r="7033">
          <cell r="U7033">
            <v>2025</v>
          </cell>
        </row>
        <row r="7034">
          <cell r="U7034">
            <v>2025</v>
          </cell>
        </row>
        <row r="7035">
          <cell r="U7035">
            <v>2025</v>
          </cell>
        </row>
        <row r="7036">
          <cell r="U7036">
            <v>2025</v>
          </cell>
        </row>
        <row r="7037">
          <cell r="U7037">
            <v>2025</v>
          </cell>
        </row>
        <row r="7038">
          <cell r="U7038">
            <v>2025</v>
          </cell>
        </row>
        <row r="7039">
          <cell r="U7039">
            <v>2025</v>
          </cell>
        </row>
        <row r="7040">
          <cell r="U7040">
            <v>2025</v>
          </cell>
        </row>
        <row r="7041">
          <cell r="U7041">
            <v>2025</v>
          </cell>
        </row>
        <row r="7042">
          <cell r="U7042">
            <v>2025</v>
          </cell>
        </row>
        <row r="7043">
          <cell r="U7043">
            <v>2025</v>
          </cell>
        </row>
        <row r="7044">
          <cell r="U7044">
            <v>2025</v>
          </cell>
        </row>
        <row r="7045">
          <cell r="U7045">
            <v>2025</v>
          </cell>
        </row>
        <row r="7046">
          <cell r="U7046">
            <v>2025</v>
          </cell>
        </row>
        <row r="7047">
          <cell r="U7047">
            <v>2025</v>
          </cell>
        </row>
        <row r="7048">
          <cell r="U7048">
            <v>2025</v>
          </cell>
        </row>
        <row r="7049">
          <cell r="U7049">
            <v>2025</v>
          </cell>
        </row>
        <row r="7050">
          <cell r="U7050">
            <v>2025</v>
          </cell>
        </row>
        <row r="7051">
          <cell r="U7051">
            <v>2025</v>
          </cell>
        </row>
        <row r="7052">
          <cell r="U7052">
            <v>2025</v>
          </cell>
        </row>
        <row r="7053">
          <cell r="U7053">
            <v>2025</v>
          </cell>
        </row>
        <row r="7054">
          <cell r="U7054">
            <v>2025</v>
          </cell>
        </row>
        <row r="7055">
          <cell r="U7055">
            <v>2025</v>
          </cell>
        </row>
        <row r="7056">
          <cell r="U7056">
            <v>2025</v>
          </cell>
        </row>
        <row r="7057">
          <cell r="U7057">
            <v>2025</v>
          </cell>
        </row>
        <row r="7058">
          <cell r="U7058">
            <v>2025</v>
          </cell>
        </row>
        <row r="7059">
          <cell r="U7059">
            <v>2025</v>
          </cell>
        </row>
        <row r="7060">
          <cell r="U7060">
            <v>2025</v>
          </cell>
        </row>
        <row r="7061">
          <cell r="U7061">
            <v>2025</v>
          </cell>
        </row>
        <row r="7062">
          <cell r="U7062">
            <v>2025</v>
          </cell>
        </row>
        <row r="7063">
          <cell r="U7063">
            <v>2025</v>
          </cell>
        </row>
        <row r="7064">
          <cell r="U7064">
            <v>2025</v>
          </cell>
        </row>
        <row r="7065">
          <cell r="U7065">
            <v>2025</v>
          </cell>
        </row>
        <row r="7066">
          <cell r="U7066">
            <v>2025</v>
          </cell>
        </row>
        <row r="7067">
          <cell r="U7067">
            <v>2025</v>
          </cell>
        </row>
        <row r="7068">
          <cell r="U7068">
            <v>2025</v>
          </cell>
        </row>
        <row r="7069">
          <cell r="U7069">
            <v>2025</v>
          </cell>
        </row>
        <row r="7070">
          <cell r="U7070">
            <v>2025</v>
          </cell>
        </row>
        <row r="7071">
          <cell r="U7071">
            <v>2025</v>
          </cell>
        </row>
        <row r="7072">
          <cell r="U7072">
            <v>2025</v>
          </cell>
        </row>
        <row r="7073">
          <cell r="U7073">
            <v>2025</v>
          </cell>
        </row>
        <row r="7074">
          <cell r="U7074">
            <v>2025</v>
          </cell>
        </row>
        <row r="7075">
          <cell r="U7075">
            <v>2025</v>
          </cell>
        </row>
        <row r="7076">
          <cell r="U7076">
            <v>2025</v>
          </cell>
        </row>
        <row r="7077">
          <cell r="U7077">
            <v>2025</v>
          </cell>
        </row>
        <row r="7078">
          <cell r="U7078">
            <v>2025</v>
          </cell>
        </row>
        <row r="7079">
          <cell r="U7079">
            <v>2025</v>
          </cell>
        </row>
        <row r="7080">
          <cell r="U7080">
            <v>2025</v>
          </cell>
        </row>
        <row r="7081">
          <cell r="U7081">
            <v>2025</v>
          </cell>
        </row>
        <row r="7082">
          <cell r="U7082">
            <v>2025</v>
          </cell>
        </row>
        <row r="7083">
          <cell r="U7083">
            <v>2025</v>
          </cell>
        </row>
        <row r="7084">
          <cell r="U7084">
            <v>2025</v>
          </cell>
        </row>
        <row r="7085">
          <cell r="U7085">
            <v>2025</v>
          </cell>
        </row>
        <row r="7086">
          <cell r="U7086">
            <v>2025</v>
          </cell>
        </row>
        <row r="7087">
          <cell r="U7087">
            <v>2025</v>
          </cell>
        </row>
        <row r="7088">
          <cell r="U7088">
            <v>2025</v>
          </cell>
        </row>
        <row r="7089">
          <cell r="U7089">
            <v>2025</v>
          </cell>
        </row>
        <row r="7090">
          <cell r="U7090">
            <v>2025</v>
          </cell>
        </row>
        <row r="7091">
          <cell r="U7091">
            <v>2025</v>
          </cell>
        </row>
        <row r="7092">
          <cell r="U7092">
            <v>2025</v>
          </cell>
        </row>
        <row r="7093">
          <cell r="U7093">
            <v>2025</v>
          </cell>
        </row>
        <row r="7094">
          <cell r="U7094">
            <v>2025</v>
          </cell>
        </row>
        <row r="7095">
          <cell r="U7095">
            <v>2025</v>
          </cell>
        </row>
        <row r="7096">
          <cell r="U7096">
            <v>2025</v>
          </cell>
        </row>
        <row r="7097">
          <cell r="U7097">
            <v>2025</v>
          </cell>
        </row>
        <row r="7098">
          <cell r="U7098">
            <v>2025</v>
          </cell>
        </row>
        <row r="7099">
          <cell r="U7099">
            <v>2025</v>
          </cell>
        </row>
        <row r="7100">
          <cell r="U7100">
            <v>2025</v>
          </cell>
        </row>
        <row r="7101">
          <cell r="U7101">
            <v>2025</v>
          </cell>
        </row>
        <row r="7102">
          <cell r="U7102">
            <v>2025</v>
          </cell>
        </row>
        <row r="7103">
          <cell r="U7103">
            <v>2025</v>
          </cell>
        </row>
        <row r="7104">
          <cell r="U7104">
            <v>2025</v>
          </cell>
        </row>
        <row r="7105">
          <cell r="U7105">
            <v>2025</v>
          </cell>
        </row>
        <row r="7106">
          <cell r="U7106">
            <v>2025</v>
          </cell>
        </row>
        <row r="7107">
          <cell r="U7107">
            <v>2025</v>
          </cell>
        </row>
        <row r="7108">
          <cell r="U7108">
            <v>2025</v>
          </cell>
        </row>
        <row r="7109">
          <cell r="U7109">
            <v>2025</v>
          </cell>
        </row>
        <row r="7110">
          <cell r="U7110">
            <v>2025</v>
          </cell>
        </row>
        <row r="7111">
          <cell r="U7111">
            <v>2025</v>
          </cell>
        </row>
        <row r="7112">
          <cell r="U7112">
            <v>2025</v>
          </cell>
        </row>
        <row r="7113">
          <cell r="U7113">
            <v>2025</v>
          </cell>
        </row>
        <row r="7114">
          <cell r="U7114">
            <v>2025</v>
          </cell>
        </row>
        <row r="7115">
          <cell r="U7115">
            <v>2025</v>
          </cell>
        </row>
        <row r="7116">
          <cell r="U7116">
            <v>2025</v>
          </cell>
        </row>
        <row r="7117">
          <cell r="U7117">
            <v>2025</v>
          </cell>
        </row>
        <row r="7118">
          <cell r="U7118">
            <v>2025</v>
          </cell>
        </row>
        <row r="7119">
          <cell r="U7119">
            <v>2025</v>
          </cell>
        </row>
        <row r="7120">
          <cell r="U7120">
            <v>2025</v>
          </cell>
        </row>
        <row r="7121">
          <cell r="U7121">
            <v>2025</v>
          </cell>
        </row>
        <row r="7122">
          <cell r="U7122">
            <v>2025</v>
          </cell>
        </row>
        <row r="7123">
          <cell r="U7123">
            <v>2025</v>
          </cell>
        </row>
        <row r="7124">
          <cell r="U7124">
            <v>2025</v>
          </cell>
        </row>
        <row r="7125">
          <cell r="U7125">
            <v>2025</v>
          </cell>
        </row>
        <row r="7126">
          <cell r="U7126">
            <v>2025</v>
          </cell>
        </row>
        <row r="7127">
          <cell r="U7127">
            <v>2025</v>
          </cell>
        </row>
        <row r="7128">
          <cell r="U7128">
            <v>2025</v>
          </cell>
        </row>
        <row r="7129">
          <cell r="U7129">
            <v>2025</v>
          </cell>
        </row>
        <row r="7130">
          <cell r="U7130">
            <v>2025</v>
          </cell>
        </row>
        <row r="7131">
          <cell r="U7131">
            <v>2025</v>
          </cell>
        </row>
        <row r="7132">
          <cell r="U7132">
            <v>2025</v>
          </cell>
        </row>
        <row r="7133">
          <cell r="U7133">
            <v>2025</v>
          </cell>
        </row>
        <row r="7134">
          <cell r="U7134">
            <v>2025</v>
          </cell>
        </row>
        <row r="7135">
          <cell r="U7135">
            <v>2025</v>
          </cell>
        </row>
        <row r="7136">
          <cell r="U7136">
            <v>2025</v>
          </cell>
        </row>
        <row r="7137">
          <cell r="U7137">
            <v>2025</v>
          </cell>
        </row>
        <row r="7138">
          <cell r="U7138">
            <v>2025</v>
          </cell>
        </row>
        <row r="7139">
          <cell r="U7139">
            <v>2025</v>
          </cell>
        </row>
        <row r="7140">
          <cell r="U7140">
            <v>2025</v>
          </cell>
        </row>
        <row r="7141">
          <cell r="U7141">
            <v>2025</v>
          </cell>
        </row>
        <row r="7142">
          <cell r="U7142">
            <v>2025</v>
          </cell>
        </row>
        <row r="7143">
          <cell r="U7143">
            <v>2025</v>
          </cell>
        </row>
        <row r="7144">
          <cell r="U7144">
            <v>2025</v>
          </cell>
        </row>
        <row r="7145">
          <cell r="U7145">
            <v>2025</v>
          </cell>
        </row>
        <row r="7146">
          <cell r="U7146">
            <v>2025</v>
          </cell>
        </row>
        <row r="7147">
          <cell r="U7147">
            <v>2025</v>
          </cell>
        </row>
        <row r="7148">
          <cell r="U7148">
            <v>2025</v>
          </cell>
        </row>
        <row r="7149">
          <cell r="U7149">
            <v>2025</v>
          </cell>
        </row>
        <row r="7150">
          <cell r="U7150">
            <v>2025</v>
          </cell>
        </row>
        <row r="7151">
          <cell r="U7151">
            <v>2025</v>
          </cell>
        </row>
        <row r="7152">
          <cell r="U7152">
            <v>2025</v>
          </cell>
        </row>
        <row r="7153">
          <cell r="U7153">
            <v>2025</v>
          </cell>
        </row>
        <row r="7154">
          <cell r="U7154">
            <v>2025</v>
          </cell>
        </row>
        <row r="7155">
          <cell r="U7155">
            <v>2025</v>
          </cell>
        </row>
        <row r="7156">
          <cell r="U7156">
            <v>2025</v>
          </cell>
        </row>
        <row r="7157">
          <cell r="U7157">
            <v>2025</v>
          </cell>
        </row>
        <row r="7158">
          <cell r="U7158">
            <v>2025</v>
          </cell>
        </row>
        <row r="7159">
          <cell r="U7159">
            <v>2025</v>
          </cell>
        </row>
        <row r="7160">
          <cell r="U7160">
            <v>2025</v>
          </cell>
        </row>
        <row r="7161">
          <cell r="U7161">
            <v>2025</v>
          </cell>
        </row>
        <row r="7162">
          <cell r="U7162">
            <v>2025</v>
          </cell>
        </row>
        <row r="7163">
          <cell r="U7163">
            <v>2025</v>
          </cell>
        </row>
        <row r="7164">
          <cell r="U7164">
            <v>2025</v>
          </cell>
        </row>
        <row r="7165">
          <cell r="U7165">
            <v>2025</v>
          </cell>
        </row>
        <row r="7166">
          <cell r="U7166">
            <v>2025</v>
          </cell>
        </row>
        <row r="7167">
          <cell r="U7167">
            <v>2025</v>
          </cell>
        </row>
        <row r="7168">
          <cell r="U7168">
            <v>2025</v>
          </cell>
        </row>
        <row r="7169">
          <cell r="U7169">
            <v>2025</v>
          </cell>
        </row>
        <row r="7170">
          <cell r="U7170">
            <v>2025</v>
          </cell>
        </row>
        <row r="7171">
          <cell r="U7171">
            <v>2025</v>
          </cell>
        </row>
        <row r="7172">
          <cell r="U7172">
            <v>2025</v>
          </cell>
        </row>
        <row r="7173">
          <cell r="U7173">
            <v>2025</v>
          </cell>
        </row>
        <row r="7174">
          <cell r="U7174">
            <v>2025</v>
          </cell>
        </row>
        <row r="7175">
          <cell r="U7175">
            <v>2025</v>
          </cell>
        </row>
        <row r="7176">
          <cell r="U7176">
            <v>2025</v>
          </cell>
        </row>
        <row r="7177">
          <cell r="U7177">
            <v>2025</v>
          </cell>
        </row>
        <row r="7178">
          <cell r="U7178">
            <v>2025</v>
          </cell>
        </row>
        <row r="7179">
          <cell r="U7179">
            <v>2025</v>
          </cell>
        </row>
        <row r="7180">
          <cell r="U7180">
            <v>2025</v>
          </cell>
        </row>
        <row r="7181">
          <cell r="U7181">
            <v>2025</v>
          </cell>
        </row>
        <row r="7182">
          <cell r="U7182">
            <v>2025</v>
          </cell>
        </row>
        <row r="7183">
          <cell r="U7183">
            <v>2025</v>
          </cell>
        </row>
        <row r="7184">
          <cell r="U7184">
            <v>2025</v>
          </cell>
        </row>
        <row r="7185">
          <cell r="U7185">
            <v>2025</v>
          </cell>
        </row>
        <row r="7186">
          <cell r="U7186">
            <v>2025</v>
          </cell>
        </row>
        <row r="7187">
          <cell r="U7187">
            <v>2025</v>
          </cell>
        </row>
        <row r="7188">
          <cell r="U7188">
            <v>2025</v>
          </cell>
        </row>
        <row r="7189">
          <cell r="U7189">
            <v>2025</v>
          </cell>
        </row>
        <row r="7190">
          <cell r="U7190">
            <v>2025</v>
          </cell>
        </row>
        <row r="7191">
          <cell r="U7191">
            <v>2025</v>
          </cell>
        </row>
        <row r="7192">
          <cell r="U7192">
            <v>2025</v>
          </cell>
        </row>
        <row r="7193">
          <cell r="U7193">
            <v>2025</v>
          </cell>
        </row>
        <row r="7194">
          <cell r="U7194">
            <v>2025</v>
          </cell>
        </row>
        <row r="7195">
          <cell r="U7195">
            <v>2025</v>
          </cell>
        </row>
        <row r="7196">
          <cell r="U7196">
            <v>2025</v>
          </cell>
        </row>
        <row r="7197">
          <cell r="U7197">
            <v>2025</v>
          </cell>
        </row>
        <row r="7198">
          <cell r="U7198">
            <v>2025</v>
          </cell>
        </row>
        <row r="7199">
          <cell r="U7199">
            <v>2025</v>
          </cell>
        </row>
        <row r="7200">
          <cell r="U7200">
            <v>2025</v>
          </cell>
        </row>
        <row r="7201">
          <cell r="U7201">
            <v>2025</v>
          </cell>
        </row>
        <row r="7202">
          <cell r="U7202">
            <v>2025</v>
          </cell>
        </row>
        <row r="7203">
          <cell r="U7203">
            <v>2025</v>
          </cell>
        </row>
        <row r="7204">
          <cell r="U7204">
            <v>2025</v>
          </cell>
        </row>
        <row r="7205">
          <cell r="U7205">
            <v>2025</v>
          </cell>
        </row>
        <row r="7206">
          <cell r="U7206">
            <v>2025</v>
          </cell>
        </row>
        <row r="7207">
          <cell r="U7207">
            <v>2025</v>
          </cell>
        </row>
        <row r="7208">
          <cell r="U7208">
            <v>2025</v>
          </cell>
        </row>
        <row r="7209">
          <cell r="U7209">
            <v>2025</v>
          </cell>
        </row>
        <row r="7210">
          <cell r="U7210">
            <v>2025</v>
          </cell>
        </row>
        <row r="7211">
          <cell r="U7211">
            <v>2025</v>
          </cell>
        </row>
        <row r="7212">
          <cell r="U7212">
            <v>2025</v>
          </cell>
        </row>
        <row r="7213">
          <cell r="U7213">
            <v>2025</v>
          </cell>
        </row>
        <row r="7214">
          <cell r="U7214">
            <v>2025</v>
          </cell>
        </row>
        <row r="7215">
          <cell r="U7215">
            <v>2025</v>
          </cell>
        </row>
        <row r="7216">
          <cell r="U7216">
            <v>2025</v>
          </cell>
        </row>
        <row r="7217">
          <cell r="U7217">
            <v>2025</v>
          </cell>
        </row>
        <row r="7218">
          <cell r="U7218">
            <v>2025</v>
          </cell>
        </row>
        <row r="7219">
          <cell r="U7219">
            <v>2025</v>
          </cell>
        </row>
        <row r="7220">
          <cell r="U7220">
            <v>2025</v>
          </cell>
        </row>
        <row r="7221">
          <cell r="U7221">
            <v>2025</v>
          </cell>
        </row>
        <row r="7222">
          <cell r="U7222">
            <v>2025</v>
          </cell>
        </row>
        <row r="7223">
          <cell r="U7223">
            <v>2025</v>
          </cell>
        </row>
        <row r="7224">
          <cell r="U7224">
            <v>2025</v>
          </cell>
        </row>
        <row r="7225">
          <cell r="U7225">
            <v>2025</v>
          </cell>
        </row>
        <row r="7226">
          <cell r="U7226">
            <v>2025</v>
          </cell>
        </row>
        <row r="7227">
          <cell r="U7227">
            <v>2025</v>
          </cell>
        </row>
        <row r="7228">
          <cell r="U7228">
            <v>2025</v>
          </cell>
        </row>
        <row r="7229">
          <cell r="U7229">
            <v>2025</v>
          </cell>
        </row>
        <row r="7230">
          <cell r="U7230">
            <v>2025</v>
          </cell>
        </row>
        <row r="7231">
          <cell r="U7231">
            <v>2025</v>
          </cell>
        </row>
        <row r="7232">
          <cell r="U7232">
            <v>2025</v>
          </cell>
        </row>
        <row r="7233">
          <cell r="U7233">
            <v>2025</v>
          </cell>
        </row>
        <row r="7234">
          <cell r="U7234">
            <v>2025</v>
          </cell>
        </row>
        <row r="7235">
          <cell r="U7235">
            <v>2025</v>
          </cell>
        </row>
        <row r="7236">
          <cell r="U7236">
            <v>2025</v>
          </cell>
        </row>
        <row r="7237">
          <cell r="U7237">
            <v>2025</v>
          </cell>
        </row>
        <row r="7238">
          <cell r="U7238">
            <v>2025</v>
          </cell>
        </row>
        <row r="7239">
          <cell r="U7239">
            <v>2025</v>
          </cell>
        </row>
        <row r="7240">
          <cell r="U7240">
            <v>2025</v>
          </cell>
        </row>
        <row r="7241">
          <cell r="U7241">
            <v>2025</v>
          </cell>
        </row>
        <row r="7242">
          <cell r="U7242">
            <v>2025</v>
          </cell>
        </row>
        <row r="7243">
          <cell r="U7243">
            <v>2025</v>
          </cell>
        </row>
        <row r="7244">
          <cell r="U7244">
            <v>2025</v>
          </cell>
        </row>
        <row r="7245">
          <cell r="U7245">
            <v>2025</v>
          </cell>
        </row>
        <row r="7246">
          <cell r="U7246">
            <v>2025</v>
          </cell>
        </row>
        <row r="7247">
          <cell r="U7247">
            <v>2025</v>
          </cell>
        </row>
        <row r="7248">
          <cell r="U7248">
            <v>2025</v>
          </cell>
        </row>
        <row r="7249">
          <cell r="U7249">
            <v>2025</v>
          </cell>
        </row>
        <row r="7250">
          <cell r="U7250">
            <v>2025</v>
          </cell>
        </row>
        <row r="7251">
          <cell r="U7251">
            <v>2025</v>
          </cell>
        </row>
        <row r="7252">
          <cell r="U7252">
            <v>2025</v>
          </cell>
        </row>
        <row r="7253">
          <cell r="U7253">
            <v>2025</v>
          </cell>
        </row>
        <row r="7254">
          <cell r="U7254">
            <v>2025</v>
          </cell>
        </row>
        <row r="7255">
          <cell r="U7255">
            <v>2025</v>
          </cell>
        </row>
        <row r="7256">
          <cell r="U7256">
            <v>2025</v>
          </cell>
        </row>
        <row r="7257">
          <cell r="U7257">
            <v>2025</v>
          </cell>
        </row>
        <row r="7258">
          <cell r="U7258">
            <v>2025</v>
          </cell>
        </row>
        <row r="7259">
          <cell r="U7259">
            <v>2025</v>
          </cell>
        </row>
        <row r="7260">
          <cell r="U7260">
            <v>2025</v>
          </cell>
        </row>
        <row r="7261">
          <cell r="U7261">
            <v>2025</v>
          </cell>
        </row>
        <row r="7262">
          <cell r="U7262">
            <v>2025</v>
          </cell>
        </row>
        <row r="7263">
          <cell r="U7263">
            <v>2025</v>
          </cell>
        </row>
        <row r="7264">
          <cell r="U7264">
            <v>2025</v>
          </cell>
        </row>
        <row r="7265">
          <cell r="U7265">
            <v>2025</v>
          </cell>
        </row>
        <row r="7266">
          <cell r="U7266">
            <v>2025</v>
          </cell>
        </row>
        <row r="7267">
          <cell r="U7267">
            <v>2025</v>
          </cell>
        </row>
        <row r="7268">
          <cell r="U7268">
            <v>2025</v>
          </cell>
        </row>
        <row r="7269">
          <cell r="U7269">
            <v>2025</v>
          </cell>
        </row>
        <row r="7270">
          <cell r="U7270">
            <v>2025</v>
          </cell>
        </row>
        <row r="7271">
          <cell r="U7271">
            <v>2025</v>
          </cell>
        </row>
        <row r="7272">
          <cell r="U7272">
            <v>2025</v>
          </cell>
        </row>
        <row r="7273">
          <cell r="U7273">
            <v>2025</v>
          </cell>
        </row>
        <row r="7274">
          <cell r="U7274">
            <v>2025</v>
          </cell>
        </row>
        <row r="7275">
          <cell r="U7275">
            <v>2025</v>
          </cell>
        </row>
        <row r="7276">
          <cell r="U7276">
            <v>2025</v>
          </cell>
        </row>
        <row r="7277">
          <cell r="U7277">
            <v>2025</v>
          </cell>
        </row>
        <row r="7278">
          <cell r="U7278">
            <v>2025</v>
          </cell>
        </row>
        <row r="7279">
          <cell r="U7279">
            <v>2025</v>
          </cell>
        </row>
        <row r="7280">
          <cell r="U7280">
            <v>2025</v>
          </cell>
        </row>
        <row r="7281">
          <cell r="U7281">
            <v>2025</v>
          </cell>
        </row>
        <row r="7282">
          <cell r="U7282">
            <v>2025</v>
          </cell>
        </row>
        <row r="7283">
          <cell r="U7283">
            <v>2025</v>
          </cell>
        </row>
        <row r="7284">
          <cell r="U7284">
            <v>2025</v>
          </cell>
        </row>
        <row r="7285">
          <cell r="U7285">
            <v>2025</v>
          </cell>
        </row>
        <row r="7286">
          <cell r="U7286">
            <v>2025</v>
          </cell>
        </row>
        <row r="7287">
          <cell r="U7287">
            <v>2025</v>
          </cell>
        </row>
        <row r="7288">
          <cell r="U7288">
            <v>2025</v>
          </cell>
        </row>
        <row r="7289">
          <cell r="U7289">
            <v>2025</v>
          </cell>
        </row>
        <row r="7290">
          <cell r="U7290">
            <v>2025</v>
          </cell>
        </row>
        <row r="7291">
          <cell r="U7291">
            <v>2025</v>
          </cell>
        </row>
        <row r="7292">
          <cell r="U7292">
            <v>2025</v>
          </cell>
        </row>
        <row r="7293">
          <cell r="U7293">
            <v>2025</v>
          </cell>
        </row>
        <row r="7294">
          <cell r="U7294">
            <v>2025</v>
          </cell>
        </row>
        <row r="7295">
          <cell r="U7295">
            <v>2025</v>
          </cell>
        </row>
        <row r="7296">
          <cell r="U7296">
            <v>2025</v>
          </cell>
        </row>
        <row r="7297">
          <cell r="U7297">
            <v>2025</v>
          </cell>
        </row>
        <row r="7298">
          <cell r="U7298">
            <v>2025</v>
          </cell>
        </row>
        <row r="7299">
          <cell r="U7299">
            <v>2025</v>
          </cell>
        </row>
        <row r="7300">
          <cell r="U7300">
            <v>2025</v>
          </cell>
        </row>
        <row r="7301">
          <cell r="U7301">
            <v>2025</v>
          </cell>
        </row>
        <row r="7302">
          <cell r="U7302">
            <v>2025</v>
          </cell>
        </row>
        <row r="7303">
          <cell r="U7303">
            <v>2025</v>
          </cell>
        </row>
        <row r="7304">
          <cell r="U7304">
            <v>2025</v>
          </cell>
        </row>
        <row r="7305">
          <cell r="U7305">
            <v>2025</v>
          </cell>
        </row>
        <row r="7306">
          <cell r="U7306">
            <v>2025</v>
          </cell>
        </row>
        <row r="7307">
          <cell r="U7307">
            <v>2025</v>
          </cell>
        </row>
        <row r="7308">
          <cell r="U7308">
            <v>2025</v>
          </cell>
        </row>
        <row r="7309">
          <cell r="U7309">
            <v>2025</v>
          </cell>
        </row>
        <row r="7310">
          <cell r="U7310">
            <v>2025</v>
          </cell>
        </row>
        <row r="7311">
          <cell r="U7311">
            <v>2025</v>
          </cell>
        </row>
        <row r="7312">
          <cell r="U7312">
            <v>2025</v>
          </cell>
        </row>
        <row r="7313">
          <cell r="U7313">
            <v>2025</v>
          </cell>
        </row>
        <row r="7314">
          <cell r="U7314">
            <v>2025</v>
          </cell>
        </row>
        <row r="7315">
          <cell r="U7315">
            <v>2025</v>
          </cell>
        </row>
        <row r="7316">
          <cell r="U7316">
            <v>2025</v>
          </cell>
        </row>
        <row r="7317">
          <cell r="U7317">
            <v>2025</v>
          </cell>
        </row>
        <row r="7318">
          <cell r="U7318">
            <v>2025</v>
          </cell>
        </row>
        <row r="7319">
          <cell r="U7319">
            <v>2025</v>
          </cell>
        </row>
        <row r="7320">
          <cell r="U7320">
            <v>2025</v>
          </cell>
        </row>
        <row r="7321">
          <cell r="U7321">
            <v>2025</v>
          </cell>
        </row>
        <row r="7322">
          <cell r="U7322">
            <v>2025</v>
          </cell>
        </row>
        <row r="7323">
          <cell r="U7323">
            <v>2025</v>
          </cell>
        </row>
        <row r="7324">
          <cell r="U7324">
            <v>2025</v>
          </cell>
        </row>
        <row r="7325">
          <cell r="U7325">
            <v>2025</v>
          </cell>
        </row>
        <row r="7326">
          <cell r="U7326">
            <v>2025</v>
          </cell>
        </row>
        <row r="7327">
          <cell r="U7327">
            <v>2025</v>
          </cell>
        </row>
        <row r="7328">
          <cell r="U7328">
            <v>2025</v>
          </cell>
        </row>
        <row r="7329">
          <cell r="U7329">
            <v>2025</v>
          </cell>
        </row>
        <row r="7330">
          <cell r="U7330">
            <v>2025</v>
          </cell>
        </row>
        <row r="7331">
          <cell r="U7331">
            <v>2025</v>
          </cell>
        </row>
        <row r="7332">
          <cell r="U7332">
            <v>2025</v>
          </cell>
        </row>
        <row r="7333">
          <cell r="U7333">
            <v>2025</v>
          </cell>
        </row>
        <row r="7334">
          <cell r="U7334">
            <v>2025</v>
          </cell>
        </row>
        <row r="7335">
          <cell r="U7335">
            <v>2025</v>
          </cell>
        </row>
        <row r="7336">
          <cell r="U7336">
            <v>2025</v>
          </cell>
        </row>
        <row r="7337">
          <cell r="U7337">
            <v>2025</v>
          </cell>
        </row>
        <row r="7338">
          <cell r="U7338">
            <v>2025</v>
          </cell>
        </row>
        <row r="7339">
          <cell r="U7339">
            <v>2025</v>
          </cell>
        </row>
        <row r="7340">
          <cell r="U7340">
            <v>2025</v>
          </cell>
        </row>
        <row r="7341">
          <cell r="U7341">
            <v>2025</v>
          </cell>
        </row>
        <row r="7342">
          <cell r="U7342">
            <v>2025</v>
          </cell>
        </row>
        <row r="7343">
          <cell r="U7343">
            <v>2025</v>
          </cell>
        </row>
        <row r="7344">
          <cell r="U7344">
            <v>2025</v>
          </cell>
        </row>
        <row r="7345">
          <cell r="U7345">
            <v>2025</v>
          </cell>
        </row>
        <row r="7346">
          <cell r="U7346">
            <v>2025</v>
          </cell>
        </row>
        <row r="7347">
          <cell r="U7347">
            <v>2025</v>
          </cell>
        </row>
        <row r="7348">
          <cell r="U7348">
            <v>2025</v>
          </cell>
        </row>
        <row r="7349">
          <cell r="U7349">
            <v>2025</v>
          </cell>
        </row>
        <row r="7350">
          <cell r="U7350">
            <v>2025</v>
          </cell>
        </row>
        <row r="7351">
          <cell r="U7351">
            <v>2025</v>
          </cell>
        </row>
        <row r="7352">
          <cell r="U7352">
            <v>2025</v>
          </cell>
        </row>
        <row r="7353">
          <cell r="U7353">
            <v>2025</v>
          </cell>
        </row>
        <row r="7354">
          <cell r="U7354">
            <v>2025</v>
          </cell>
        </row>
        <row r="7355">
          <cell r="U7355">
            <v>2025</v>
          </cell>
        </row>
        <row r="7356">
          <cell r="U7356">
            <v>2025</v>
          </cell>
        </row>
        <row r="7357">
          <cell r="U7357">
            <v>2025</v>
          </cell>
        </row>
        <row r="7358">
          <cell r="U7358">
            <v>2025</v>
          </cell>
        </row>
        <row r="7359">
          <cell r="U7359">
            <v>2025</v>
          </cell>
        </row>
        <row r="7360">
          <cell r="U7360">
            <v>2025</v>
          </cell>
        </row>
        <row r="7361">
          <cell r="U7361">
            <v>2025</v>
          </cell>
        </row>
        <row r="7362">
          <cell r="U7362">
            <v>2025</v>
          </cell>
        </row>
        <row r="7363">
          <cell r="U7363">
            <v>2025</v>
          </cell>
        </row>
        <row r="7364">
          <cell r="U7364">
            <v>2025</v>
          </cell>
        </row>
        <row r="7365">
          <cell r="U7365">
            <v>2025</v>
          </cell>
        </row>
        <row r="7366">
          <cell r="U7366">
            <v>2025</v>
          </cell>
        </row>
        <row r="7367">
          <cell r="U7367">
            <v>2025</v>
          </cell>
        </row>
        <row r="7368">
          <cell r="U7368">
            <v>2025</v>
          </cell>
        </row>
        <row r="7369">
          <cell r="U7369">
            <v>2025</v>
          </cell>
        </row>
        <row r="7370">
          <cell r="U7370">
            <v>2025</v>
          </cell>
        </row>
        <row r="7371">
          <cell r="U7371">
            <v>2025</v>
          </cell>
        </row>
        <row r="7372">
          <cell r="U7372">
            <v>2025</v>
          </cell>
        </row>
        <row r="7373">
          <cell r="U7373">
            <v>2025</v>
          </cell>
        </row>
        <row r="7374">
          <cell r="U7374">
            <v>2025</v>
          </cell>
        </row>
        <row r="7375">
          <cell r="U7375">
            <v>2025</v>
          </cell>
        </row>
        <row r="7376">
          <cell r="U7376">
            <v>2025</v>
          </cell>
        </row>
        <row r="7377">
          <cell r="U7377">
            <v>2025</v>
          </cell>
        </row>
        <row r="7378">
          <cell r="U7378">
            <v>2025</v>
          </cell>
        </row>
        <row r="7379">
          <cell r="U7379">
            <v>2025</v>
          </cell>
        </row>
        <row r="7380">
          <cell r="U7380">
            <v>2025</v>
          </cell>
        </row>
        <row r="7381">
          <cell r="U7381">
            <v>2025</v>
          </cell>
        </row>
        <row r="7382">
          <cell r="U7382">
            <v>2025</v>
          </cell>
        </row>
        <row r="7383">
          <cell r="U7383">
            <v>2025</v>
          </cell>
        </row>
        <row r="7384">
          <cell r="U7384">
            <v>2025</v>
          </cell>
        </row>
        <row r="7385">
          <cell r="U7385">
            <v>2025</v>
          </cell>
        </row>
        <row r="7386">
          <cell r="U7386">
            <v>2025</v>
          </cell>
        </row>
        <row r="7387">
          <cell r="U7387">
            <v>2025</v>
          </cell>
        </row>
        <row r="7388">
          <cell r="U7388">
            <v>2025</v>
          </cell>
        </row>
        <row r="7389">
          <cell r="U7389">
            <v>2025</v>
          </cell>
        </row>
        <row r="7390">
          <cell r="U7390">
            <v>2025</v>
          </cell>
        </row>
        <row r="7391">
          <cell r="U7391">
            <v>2025</v>
          </cell>
        </row>
        <row r="7392">
          <cell r="U7392">
            <v>2025</v>
          </cell>
        </row>
        <row r="7393">
          <cell r="U7393">
            <v>2025</v>
          </cell>
        </row>
        <row r="7394">
          <cell r="U7394">
            <v>2025</v>
          </cell>
        </row>
        <row r="7395">
          <cell r="U7395">
            <v>2025</v>
          </cell>
        </row>
        <row r="7396">
          <cell r="U7396">
            <v>2025</v>
          </cell>
        </row>
        <row r="7397">
          <cell r="U7397">
            <v>2025</v>
          </cell>
        </row>
        <row r="7398">
          <cell r="U7398">
            <v>2025</v>
          </cell>
        </row>
        <row r="7399">
          <cell r="U7399">
            <v>2025</v>
          </cell>
        </row>
        <row r="7400">
          <cell r="U7400">
            <v>2025</v>
          </cell>
        </row>
        <row r="7401">
          <cell r="U7401">
            <v>2025</v>
          </cell>
        </row>
        <row r="7402">
          <cell r="U7402">
            <v>2025</v>
          </cell>
        </row>
        <row r="7403">
          <cell r="U7403">
            <v>2025</v>
          </cell>
        </row>
        <row r="7404">
          <cell r="U7404">
            <v>2025</v>
          </cell>
        </row>
        <row r="7405">
          <cell r="U7405">
            <v>2025</v>
          </cell>
        </row>
        <row r="7406">
          <cell r="U7406">
            <v>2025</v>
          </cell>
        </row>
        <row r="7407">
          <cell r="U7407">
            <v>2025</v>
          </cell>
        </row>
        <row r="7408">
          <cell r="U7408">
            <v>2025</v>
          </cell>
        </row>
        <row r="7409">
          <cell r="U7409">
            <v>2025</v>
          </cell>
        </row>
        <row r="7410">
          <cell r="U7410">
            <v>2025</v>
          </cell>
        </row>
        <row r="7411">
          <cell r="U7411">
            <v>2025</v>
          </cell>
        </row>
        <row r="7412">
          <cell r="U7412">
            <v>2025</v>
          </cell>
        </row>
        <row r="7413">
          <cell r="U7413">
            <v>2025</v>
          </cell>
        </row>
        <row r="7414">
          <cell r="U7414">
            <v>2025</v>
          </cell>
        </row>
        <row r="7415">
          <cell r="U7415">
            <v>2025</v>
          </cell>
        </row>
        <row r="7416">
          <cell r="U7416">
            <v>2025</v>
          </cell>
        </row>
        <row r="7417">
          <cell r="U7417">
            <v>2025</v>
          </cell>
        </row>
        <row r="7418">
          <cell r="U7418">
            <v>2025</v>
          </cell>
        </row>
        <row r="7419">
          <cell r="U7419">
            <v>2025</v>
          </cell>
        </row>
        <row r="7420">
          <cell r="U7420">
            <v>2025</v>
          </cell>
        </row>
        <row r="7421">
          <cell r="U7421">
            <v>2025</v>
          </cell>
        </row>
        <row r="7422">
          <cell r="U7422">
            <v>2025</v>
          </cell>
        </row>
        <row r="7423">
          <cell r="U7423">
            <v>2025</v>
          </cell>
        </row>
        <row r="7424">
          <cell r="U7424">
            <v>2025</v>
          </cell>
        </row>
        <row r="7425">
          <cell r="U7425">
            <v>2025</v>
          </cell>
        </row>
        <row r="7426">
          <cell r="U7426">
            <v>2025</v>
          </cell>
        </row>
        <row r="7427">
          <cell r="U7427">
            <v>2025</v>
          </cell>
        </row>
        <row r="7428">
          <cell r="U7428">
            <v>2025</v>
          </cell>
        </row>
        <row r="7429">
          <cell r="U7429">
            <v>2025</v>
          </cell>
        </row>
        <row r="7430">
          <cell r="U7430">
            <v>2025</v>
          </cell>
        </row>
        <row r="7431">
          <cell r="U7431">
            <v>2025</v>
          </cell>
        </row>
        <row r="7432">
          <cell r="U7432">
            <v>2025</v>
          </cell>
        </row>
        <row r="7433">
          <cell r="U7433">
            <v>2025</v>
          </cell>
        </row>
        <row r="7434">
          <cell r="U7434">
            <v>2025</v>
          </cell>
        </row>
        <row r="7435">
          <cell r="U7435">
            <v>2025</v>
          </cell>
        </row>
        <row r="7436">
          <cell r="U7436">
            <v>2025</v>
          </cell>
        </row>
        <row r="7437">
          <cell r="U7437">
            <v>2025</v>
          </cell>
        </row>
        <row r="7438">
          <cell r="U7438">
            <v>2025</v>
          </cell>
        </row>
        <row r="7439">
          <cell r="U7439">
            <v>2025</v>
          </cell>
        </row>
        <row r="7440">
          <cell r="U7440">
            <v>2025</v>
          </cell>
        </row>
        <row r="7441">
          <cell r="U7441">
            <v>2025</v>
          </cell>
        </row>
        <row r="7442">
          <cell r="U7442">
            <v>2025</v>
          </cell>
        </row>
        <row r="7443">
          <cell r="U7443">
            <v>2025</v>
          </cell>
        </row>
        <row r="7444">
          <cell r="U7444">
            <v>2025</v>
          </cell>
        </row>
        <row r="7445">
          <cell r="U7445">
            <v>2025</v>
          </cell>
        </row>
        <row r="7446">
          <cell r="U7446">
            <v>2025</v>
          </cell>
        </row>
        <row r="7447">
          <cell r="U7447">
            <v>2025</v>
          </cell>
        </row>
        <row r="7448">
          <cell r="U7448">
            <v>2025</v>
          </cell>
        </row>
        <row r="7449">
          <cell r="U7449">
            <v>2025</v>
          </cell>
        </row>
        <row r="7450">
          <cell r="U7450">
            <v>2025</v>
          </cell>
        </row>
        <row r="7451">
          <cell r="U7451">
            <v>2025</v>
          </cell>
        </row>
        <row r="7452">
          <cell r="U7452">
            <v>2025</v>
          </cell>
        </row>
        <row r="7453">
          <cell r="U7453">
            <v>2025</v>
          </cell>
        </row>
        <row r="7454">
          <cell r="U7454">
            <v>2025</v>
          </cell>
        </row>
        <row r="7455">
          <cell r="U7455">
            <v>2025</v>
          </cell>
        </row>
        <row r="7456">
          <cell r="U7456">
            <v>2025</v>
          </cell>
        </row>
        <row r="7457">
          <cell r="U7457">
            <v>2025</v>
          </cell>
        </row>
        <row r="7458">
          <cell r="U7458">
            <v>2025</v>
          </cell>
        </row>
        <row r="7459">
          <cell r="U7459">
            <v>2025</v>
          </cell>
        </row>
        <row r="7460">
          <cell r="U7460">
            <v>2025</v>
          </cell>
        </row>
        <row r="7461">
          <cell r="U7461">
            <v>2025</v>
          </cell>
        </row>
        <row r="7462">
          <cell r="U7462">
            <v>2025</v>
          </cell>
        </row>
        <row r="7463">
          <cell r="U7463">
            <v>2025</v>
          </cell>
        </row>
        <row r="7464">
          <cell r="U7464">
            <v>2025</v>
          </cell>
        </row>
        <row r="7465">
          <cell r="U7465">
            <v>2025</v>
          </cell>
        </row>
        <row r="7466">
          <cell r="U7466">
            <v>2025</v>
          </cell>
        </row>
        <row r="7467">
          <cell r="U7467">
            <v>2025</v>
          </cell>
        </row>
        <row r="7468">
          <cell r="U7468">
            <v>2025</v>
          </cell>
        </row>
        <row r="7469">
          <cell r="U7469">
            <v>2025</v>
          </cell>
        </row>
        <row r="7470">
          <cell r="U7470">
            <v>2025</v>
          </cell>
        </row>
        <row r="7471">
          <cell r="U7471">
            <v>2025</v>
          </cell>
        </row>
        <row r="7472">
          <cell r="U7472">
            <v>2025</v>
          </cell>
        </row>
        <row r="7473">
          <cell r="U7473">
            <v>2025</v>
          </cell>
        </row>
        <row r="7474">
          <cell r="U7474">
            <v>2025</v>
          </cell>
        </row>
        <row r="7475">
          <cell r="U7475">
            <v>2025</v>
          </cell>
        </row>
        <row r="7476">
          <cell r="U7476">
            <v>2025</v>
          </cell>
        </row>
        <row r="7477">
          <cell r="U7477">
            <v>2025</v>
          </cell>
        </row>
        <row r="7478">
          <cell r="U7478">
            <v>2025</v>
          </cell>
        </row>
        <row r="7479">
          <cell r="U7479">
            <v>2025</v>
          </cell>
        </row>
        <row r="7480">
          <cell r="U7480">
            <v>2025</v>
          </cell>
        </row>
        <row r="7481">
          <cell r="U7481">
            <v>2025</v>
          </cell>
        </row>
        <row r="7482">
          <cell r="U7482">
            <v>2025</v>
          </cell>
        </row>
        <row r="7483">
          <cell r="U7483">
            <v>2025</v>
          </cell>
        </row>
        <row r="7484">
          <cell r="U7484">
            <v>2025</v>
          </cell>
        </row>
        <row r="7485">
          <cell r="U7485">
            <v>2025</v>
          </cell>
        </row>
        <row r="7486">
          <cell r="U7486">
            <v>2025</v>
          </cell>
        </row>
        <row r="7487">
          <cell r="U7487">
            <v>2025</v>
          </cell>
        </row>
        <row r="7488">
          <cell r="U7488">
            <v>2025</v>
          </cell>
        </row>
        <row r="7489">
          <cell r="U7489">
            <v>2025</v>
          </cell>
        </row>
        <row r="7490">
          <cell r="U7490">
            <v>2025</v>
          </cell>
        </row>
        <row r="7491">
          <cell r="U7491">
            <v>2025</v>
          </cell>
        </row>
        <row r="7492">
          <cell r="U7492">
            <v>2025</v>
          </cell>
        </row>
        <row r="7493">
          <cell r="U7493">
            <v>2025</v>
          </cell>
        </row>
        <row r="7494">
          <cell r="U7494">
            <v>2025</v>
          </cell>
        </row>
        <row r="7495">
          <cell r="U7495">
            <v>2025</v>
          </cell>
        </row>
        <row r="7496">
          <cell r="U7496">
            <v>2025</v>
          </cell>
        </row>
        <row r="7497">
          <cell r="U7497">
            <v>2025</v>
          </cell>
        </row>
        <row r="7498">
          <cell r="U7498">
            <v>2025</v>
          </cell>
        </row>
        <row r="7499">
          <cell r="U7499">
            <v>2025</v>
          </cell>
        </row>
        <row r="7500">
          <cell r="U7500">
            <v>2025</v>
          </cell>
        </row>
        <row r="7501">
          <cell r="U7501">
            <v>2025</v>
          </cell>
        </row>
        <row r="7502">
          <cell r="U7502">
            <v>2025</v>
          </cell>
        </row>
        <row r="7503">
          <cell r="U7503">
            <v>2025</v>
          </cell>
        </row>
        <row r="7504">
          <cell r="U7504">
            <v>2025</v>
          </cell>
        </row>
        <row r="7505">
          <cell r="U7505">
            <v>2025</v>
          </cell>
        </row>
        <row r="7506">
          <cell r="U7506">
            <v>2025</v>
          </cell>
        </row>
        <row r="7507">
          <cell r="U7507">
            <v>2025</v>
          </cell>
        </row>
        <row r="7508">
          <cell r="U7508">
            <v>2025</v>
          </cell>
        </row>
        <row r="7509">
          <cell r="U7509">
            <v>2025</v>
          </cell>
        </row>
        <row r="7510">
          <cell r="U7510">
            <v>2025</v>
          </cell>
        </row>
        <row r="7511">
          <cell r="U7511">
            <v>2025</v>
          </cell>
        </row>
        <row r="7512">
          <cell r="U7512">
            <v>2025</v>
          </cell>
        </row>
        <row r="7513">
          <cell r="U7513">
            <v>2025</v>
          </cell>
        </row>
        <row r="7514">
          <cell r="U7514">
            <v>2025</v>
          </cell>
        </row>
        <row r="7515">
          <cell r="U7515">
            <v>2025</v>
          </cell>
        </row>
        <row r="7516">
          <cell r="U7516">
            <v>2025</v>
          </cell>
        </row>
        <row r="7517">
          <cell r="U7517">
            <v>2025</v>
          </cell>
        </row>
        <row r="7518">
          <cell r="U7518">
            <v>2025</v>
          </cell>
        </row>
        <row r="7519">
          <cell r="U7519">
            <v>2025</v>
          </cell>
        </row>
        <row r="7520">
          <cell r="U7520">
            <v>2025</v>
          </cell>
        </row>
        <row r="7521">
          <cell r="U7521">
            <v>2025</v>
          </cell>
        </row>
        <row r="7522">
          <cell r="U7522">
            <v>2025</v>
          </cell>
        </row>
        <row r="7523">
          <cell r="U7523">
            <v>2025</v>
          </cell>
        </row>
        <row r="7524">
          <cell r="U7524">
            <v>2025</v>
          </cell>
        </row>
        <row r="7525">
          <cell r="U7525">
            <v>2025</v>
          </cell>
        </row>
        <row r="7526">
          <cell r="U7526">
            <v>2025</v>
          </cell>
        </row>
        <row r="7527">
          <cell r="U7527">
            <v>2025</v>
          </cell>
        </row>
        <row r="7528">
          <cell r="U7528">
            <v>2025</v>
          </cell>
        </row>
        <row r="7529">
          <cell r="U7529">
            <v>2025</v>
          </cell>
        </row>
        <row r="7530">
          <cell r="U7530">
            <v>2025</v>
          </cell>
        </row>
        <row r="7531">
          <cell r="U7531">
            <v>2025</v>
          </cell>
        </row>
        <row r="7532">
          <cell r="U7532">
            <v>2025</v>
          </cell>
        </row>
        <row r="7533">
          <cell r="U7533">
            <v>2025</v>
          </cell>
        </row>
        <row r="7534">
          <cell r="U7534">
            <v>2025</v>
          </cell>
        </row>
        <row r="7535">
          <cell r="U7535">
            <v>2025</v>
          </cell>
        </row>
        <row r="7536">
          <cell r="U7536">
            <v>2025</v>
          </cell>
        </row>
        <row r="7537">
          <cell r="U7537">
            <v>2025</v>
          </cell>
        </row>
        <row r="7538">
          <cell r="U7538">
            <v>2025</v>
          </cell>
        </row>
        <row r="7539">
          <cell r="U7539">
            <v>2025</v>
          </cell>
        </row>
        <row r="7540">
          <cell r="U7540">
            <v>2025</v>
          </cell>
        </row>
        <row r="7541">
          <cell r="U7541">
            <v>2025</v>
          </cell>
        </row>
        <row r="7542">
          <cell r="U7542">
            <v>2025</v>
          </cell>
        </row>
        <row r="7543">
          <cell r="U7543">
            <v>2025</v>
          </cell>
        </row>
        <row r="7544">
          <cell r="U7544">
            <v>2025</v>
          </cell>
        </row>
        <row r="7545">
          <cell r="U7545">
            <v>2025</v>
          </cell>
        </row>
        <row r="7546">
          <cell r="U7546">
            <v>2025</v>
          </cell>
        </row>
        <row r="7547">
          <cell r="U7547">
            <v>2025</v>
          </cell>
        </row>
        <row r="7548">
          <cell r="U7548">
            <v>2025</v>
          </cell>
        </row>
        <row r="7549">
          <cell r="U7549">
            <v>2025</v>
          </cell>
        </row>
        <row r="7550">
          <cell r="U7550">
            <v>2025</v>
          </cell>
        </row>
        <row r="7551">
          <cell r="U7551">
            <v>2025</v>
          </cell>
        </row>
        <row r="7552">
          <cell r="U7552">
            <v>2025</v>
          </cell>
        </row>
        <row r="7553">
          <cell r="U7553">
            <v>2025</v>
          </cell>
        </row>
        <row r="7554">
          <cell r="U7554">
            <v>2025</v>
          </cell>
        </row>
        <row r="7555">
          <cell r="U7555">
            <v>2025</v>
          </cell>
        </row>
        <row r="7556">
          <cell r="U7556">
            <v>2025</v>
          </cell>
        </row>
        <row r="7557">
          <cell r="U7557">
            <v>2025</v>
          </cell>
        </row>
        <row r="7558">
          <cell r="U7558">
            <v>2025</v>
          </cell>
        </row>
        <row r="7559">
          <cell r="U7559">
            <v>2025</v>
          </cell>
        </row>
        <row r="7560">
          <cell r="U7560">
            <v>2025</v>
          </cell>
        </row>
        <row r="7561">
          <cell r="U7561">
            <v>2025</v>
          </cell>
        </row>
        <row r="7562">
          <cell r="U7562">
            <v>2025</v>
          </cell>
        </row>
        <row r="7563">
          <cell r="U7563">
            <v>2025</v>
          </cell>
        </row>
        <row r="7564">
          <cell r="U7564">
            <v>2025</v>
          </cell>
        </row>
        <row r="7565">
          <cell r="U7565">
            <v>2025</v>
          </cell>
        </row>
        <row r="7566">
          <cell r="U7566">
            <v>2025</v>
          </cell>
        </row>
        <row r="7567">
          <cell r="U7567">
            <v>2025</v>
          </cell>
        </row>
        <row r="7568">
          <cell r="U7568">
            <v>2025</v>
          </cell>
        </row>
        <row r="7569">
          <cell r="U7569">
            <v>2025</v>
          </cell>
        </row>
        <row r="7570">
          <cell r="U7570">
            <v>2025</v>
          </cell>
        </row>
        <row r="7571">
          <cell r="U7571">
            <v>2025</v>
          </cell>
        </row>
        <row r="7572">
          <cell r="U7572">
            <v>2025</v>
          </cell>
        </row>
        <row r="7573">
          <cell r="U7573">
            <v>2025</v>
          </cell>
        </row>
        <row r="7574">
          <cell r="U7574">
            <v>2025</v>
          </cell>
        </row>
        <row r="7575">
          <cell r="U7575">
            <v>2025</v>
          </cell>
        </row>
        <row r="7576">
          <cell r="U7576">
            <v>2025</v>
          </cell>
        </row>
        <row r="7577">
          <cell r="U7577">
            <v>2025</v>
          </cell>
        </row>
        <row r="7578">
          <cell r="U7578">
            <v>2025</v>
          </cell>
        </row>
        <row r="7579">
          <cell r="U7579">
            <v>2025</v>
          </cell>
        </row>
        <row r="7580">
          <cell r="U7580">
            <v>2025</v>
          </cell>
        </row>
        <row r="7581">
          <cell r="U7581">
            <v>2025</v>
          </cell>
        </row>
        <row r="7582">
          <cell r="U7582">
            <v>2025</v>
          </cell>
        </row>
        <row r="7583">
          <cell r="U7583">
            <v>2025</v>
          </cell>
        </row>
        <row r="7584">
          <cell r="U7584">
            <v>2025</v>
          </cell>
        </row>
        <row r="7585">
          <cell r="U7585">
            <v>2025</v>
          </cell>
        </row>
        <row r="7586">
          <cell r="U7586">
            <v>2025</v>
          </cell>
        </row>
        <row r="7587">
          <cell r="U7587">
            <v>2025</v>
          </cell>
        </row>
        <row r="7588">
          <cell r="U7588">
            <v>2025</v>
          </cell>
        </row>
        <row r="7589">
          <cell r="U7589">
            <v>2025</v>
          </cell>
        </row>
        <row r="7590">
          <cell r="U7590">
            <v>2025</v>
          </cell>
        </row>
        <row r="7591">
          <cell r="U7591">
            <v>2025</v>
          </cell>
        </row>
        <row r="7592">
          <cell r="U7592">
            <v>2025</v>
          </cell>
        </row>
        <row r="7593">
          <cell r="U7593">
            <v>2025</v>
          </cell>
        </row>
        <row r="7594">
          <cell r="U7594">
            <v>2025</v>
          </cell>
        </row>
        <row r="7595">
          <cell r="U7595">
            <v>2025</v>
          </cell>
        </row>
        <row r="7596">
          <cell r="U7596">
            <v>2025</v>
          </cell>
        </row>
        <row r="7597">
          <cell r="U7597">
            <v>2025</v>
          </cell>
        </row>
        <row r="7598">
          <cell r="U7598">
            <v>2025</v>
          </cell>
        </row>
        <row r="7599">
          <cell r="U7599">
            <v>2025</v>
          </cell>
        </row>
        <row r="7600">
          <cell r="U7600">
            <v>2025</v>
          </cell>
        </row>
        <row r="7601">
          <cell r="U7601">
            <v>2025</v>
          </cell>
        </row>
        <row r="7602">
          <cell r="U7602">
            <v>2025</v>
          </cell>
        </row>
        <row r="7603">
          <cell r="U7603">
            <v>2025</v>
          </cell>
        </row>
        <row r="7604">
          <cell r="U7604">
            <v>2025</v>
          </cell>
        </row>
        <row r="7605">
          <cell r="U7605">
            <v>2025</v>
          </cell>
        </row>
        <row r="7606">
          <cell r="U7606">
            <v>2025</v>
          </cell>
        </row>
        <row r="7607">
          <cell r="U7607">
            <v>2025</v>
          </cell>
        </row>
        <row r="7608">
          <cell r="U7608">
            <v>2025</v>
          </cell>
        </row>
        <row r="7609">
          <cell r="U7609">
            <v>2025</v>
          </cell>
        </row>
        <row r="7610">
          <cell r="U7610">
            <v>2025</v>
          </cell>
        </row>
        <row r="7611">
          <cell r="U7611">
            <v>2025</v>
          </cell>
        </row>
        <row r="7612">
          <cell r="U7612">
            <v>2025</v>
          </cell>
        </row>
        <row r="7613">
          <cell r="U7613">
            <v>2025</v>
          </cell>
        </row>
        <row r="7614">
          <cell r="U7614">
            <v>2025</v>
          </cell>
        </row>
        <row r="7615">
          <cell r="U7615">
            <v>2025</v>
          </cell>
        </row>
        <row r="7616">
          <cell r="U7616">
            <v>2025</v>
          </cell>
        </row>
        <row r="7617">
          <cell r="U7617">
            <v>2025</v>
          </cell>
        </row>
        <row r="7618">
          <cell r="U7618">
            <v>2025</v>
          </cell>
        </row>
        <row r="7619">
          <cell r="U7619">
            <v>2025</v>
          </cell>
        </row>
        <row r="7620">
          <cell r="U7620">
            <v>2025</v>
          </cell>
        </row>
        <row r="7621">
          <cell r="U7621">
            <v>2025</v>
          </cell>
        </row>
        <row r="7622">
          <cell r="U7622">
            <v>2025</v>
          </cell>
        </row>
        <row r="7623">
          <cell r="U7623">
            <v>2025</v>
          </cell>
        </row>
        <row r="7624">
          <cell r="U7624">
            <v>2025</v>
          </cell>
        </row>
        <row r="7625">
          <cell r="U7625">
            <v>2025</v>
          </cell>
        </row>
        <row r="7626">
          <cell r="U7626">
            <v>2025</v>
          </cell>
        </row>
        <row r="7627">
          <cell r="U7627">
            <v>2025</v>
          </cell>
        </row>
        <row r="7628">
          <cell r="U7628">
            <v>2025</v>
          </cell>
        </row>
        <row r="7629">
          <cell r="U7629">
            <v>2025</v>
          </cell>
        </row>
        <row r="7630">
          <cell r="U7630">
            <v>2025</v>
          </cell>
        </row>
        <row r="7631">
          <cell r="U7631">
            <v>2025</v>
          </cell>
        </row>
        <row r="7632">
          <cell r="U7632">
            <v>2025</v>
          </cell>
        </row>
        <row r="7633">
          <cell r="U7633">
            <v>2025</v>
          </cell>
        </row>
        <row r="7634">
          <cell r="U7634">
            <v>2025</v>
          </cell>
        </row>
        <row r="7635">
          <cell r="U7635">
            <v>2025</v>
          </cell>
        </row>
        <row r="7636">
          <cell r="U7636">
            <v>2025</v>
          </cell>
        </row>
        <row r="7637">
          <cell r="U7637">
            <v>2025</v>
          </cell>
        </row>
        <row r="7638">
          <cell r="U7638">
            <v>2025</v>
          </cell>
        </row>
        <row r="7639">
          <cell r="U7639">
            <v>2025</v>
          </cell>
        </row>
        <row r="7640">
          <cell r="U7640">
            <v>2025</v>
          </cell>
        </row>
        <row r="7641">
          <cell r="U7641">
            <v>2025</v>
          </cell>
        </row>
        <row r="7642">
          <cell r="U7642">
            <v>2025</v>
          </cell>
        </row>
        <row r="7643">
          <cell r="U7643">
            <v>2025</v>
          </cell>
        </row>
        <row r="7644">
          <cell r="U7644">
            <v>2025</v>
          </cell>
        </row>
        <row r="7645">
          <cell r="U7645">
            <v>2025</v>
          </cell>
        </row>
        <row r="7646">
          <cell r="U7646">
            <v>2025</v>
          </cell>
        </row>
        <row r="7647">
          <cell r="U7647">
            <v>2025</v>
          </cell>
        </row>
        <row r="7648">
          <cell r="U7648">
            <v>2025</v>
          </cell>
        </row>
        <row r="7649">
          <cell r="U7649">
            <v>2025</v>
          </cell>
        </row>
        <row r="7650">
          <cell r="U7650">
            <v>2025</v>
          </cell>
        </row>
        <row r="7651">
          <cell r="U7651">
            <v>2025</v>
          </cell>
        </row>
        <row r="7652">
          <cell r="U7652">
            <v>2025</v>
          </cell>
        </row>
        <row r="7653">
          <cell r="U7653">
            <v>2025</v>
          </cell>
        </row>
        <row r="7654">
          <cell r="U7654">
            <v>2025</v>
          </cell>
        </row>
        <row r="7655">
          <cell r="U7655">
            <v>2025</v>
          </cell>
        </row>
        <row r="7656">
          <cell r="U7656">
            <v>2025</v>
          </cell>
        </row>
        <row r="7657">
          <cell r="U7657">
            <v>2025</v>
          </cell>
        </row>
        <row r="7658">
          <cell r="U7658">
            <v>2025</v>
          </cell>
        </row>
        <row r="7659">
          <cell r="U7659">
            <v>2025</v>
          </cell>
        </row>
        <row r="7660">
          <cell r="U7660">
            <v>2025</v>
          </cell>
        </row>
        <row r="7661">
          <cell r="U7661">
            <v>2025</v>
          </cell>
        </row>
        <row r="7662">
          <cell r="U7662">
            <v>2025</v>
          </cell>
        </row>
        <row r="7663">
          <cell r="U7663">
            <v>2025</v>
          </cell>
        </row>
        <row r="7664">
          <cell r="U7664">
            <v>2025</v>
          </cell>
        </row>
        <row r="7665">
          <cell r="U7665">
            <v>2025</v>
          </cell>
        </row>
        <row r="7666">
          <cell r="U7666">
            <v>2025</v>
          </cell>
        </row>
        <row r="7667">
          <cell r="U7667">
            <v>2025</v>
          </cell>
        </row>
        <row r="7668">
          <cell r="U7668">
            <v>2025</v>
          </cell>
        </row>
        <row r="7669">
          <cell r="U7669">
            <v>2025</v>
          </cell>
        </row>
        <row r="7670">
          <cell r="U7670">
            <v>2025</v>
          </cell>
        </row>
        <row r="7671">
          <cell r="U7671">
            <v>2025</v>
          </cell>
        </row>
        <row r="7672">
          <cell r="U7672">
            <v>2025</v>
          </cell>
        </row>
        <row r="7673">
          <cell r="U7673">
            <v>2025</v>
          </cell>
        </row>
        <row r="7674">
          <cell r="U7674">
            <v>2025</v>
          </cell>
        </row>
        <row r="7675">
          <cell r="U7675">
            <v>2025</v>
          </cell>
        </row>
        <row r="7676">
          <cell r="U7676">
            <v>2025</v>
          </cell>
        </row>
        <row r="7677">
          <cell r="U7677">
            <v>2025</v>
          </cell>
        </row>
        <row r="7678">
          <cell r="U7678">
            <v>2025</v>
          </cell>
        </row>
        <row r="7679">
          <cell r="U7679">
            <v>2025</v>
          </cell>
        </row>
        <row r="7680">
          <cell r="U7680">
            <v>2025</v>
          </cell>
        </row>
        <row r="7681">
          <cell r="U7681">
            <v>2025</v>
          </cell>
        </row>
        <row r="7682">
          <cell r="U7682">
            <v>2025</v>
          </cell>
        </row>
        <row r="7683">
          <cell r="U7683">
            <v>2025</v>
          </cell>
        </row>
        <row r="7684">
          <cell r="U7684">
            <v>2025</v>
          </cell>
        </row>
        <row r="7685">
          <cell r="U7685">
            <v>2025</v>
          </cell>
        </row>
        <row r="7686">
          <cell r="U7686">
            <v>2025</v>
          </cell>
        </row>
        <row r="7687">
          <cell r="U7687">
            <v>2025</v>
          </cell>
        </row>
        <row r="7688">
          <cell r="U7688">
            <v>2025</v>
          </cell>
        </row>
        <row r="7689">
          <cell r="U7689">
            <v>2025</v>
          </cell>
        </row>
        <row r="7690">
          <cell r="U7690">
            <v>2025</v>
          </cell>
        </row>
        <row r="7691">
          <cell r="U7691">
            <v>2025</v>
          </cell>
        </row>
        <row r="7692">
          <cell r="U7692">
            <v>2025</v>
          </cell>
        </row>
        <row r="7693">
          <cell r="U7693">
            <v>2025</v>
          </cell>
        </row>
        <row r="7694">
          <cell r="U7694">
            <v>2025</v>
          </cell>
        </row>
        <row r="7695">
          <cell r="U7695">
            <v>2025</v>
          </cell>
        </row>
        <row r="7696">
          <cell r="U7696">
            <v>2025</v>
          </cell>
        </row>
        <row r="7697">
          <cell r="U7697">
            <v>2025</v>
          </cell>
        </row>
        <row r="7698">
          <cell r="U7698">
            <v>2025</v>
          </cell>
        </row>
        <row r="7699">
          <cell r="U7699">
            <v>2025</v>
          </cell>
        </row>
        <row r="7700">
          <cell r="U7700">
            <v>2025</v>
          </cell>
        </row>
        <row r="7701">
          <cell r="U7701">
            <v>2025</v>
          </cell>
        </row>
        <row r="7702">
          <cell r="U7702">
            <v>2025</v>
          </cell>
        </row>
        <row r="7703">
          <cell r="U7703">
            <v>2025</v>
          </cell>
        </row>
        <row r="7704">
          <cell r="U7704">
            <v>2025</v>
          </cell>
        </row>
        <row r="7705">
          <cell r="U7705">
            <v>2025</v>
          </cell>
        </row>
        <row r="7706">
          <cell r="U7706">
            <v>2025</v>
          </cell>
        </row>
        <row r="7707">
          <cell r="U7707">
            <v>2025</v>
          </cell>
        </row>
        <row r="7708">
          <cell r="U7708">
            <v>2025</v>
          </cell>
        </row>
        <row r="7709">
          <cell r="U7709">
            <v>2025</v>
          </cell>
        </row>
        <row r="7710">
          <cell r="U7710">
            <v>2025</v>
          </cell>
        </row>
        <row r="7711">
          <cell r="U7711">
            <v>2025</v>
          </cell>
        </row>
        <row r="7712">
          <cell r="U7712">
            <v>2025</v>
          </cell>
        </row>
        <row r="7713">
          <cell r="U7713">
            <v>2025</v>
          </cell>
        </row>
        <row r="7714">
          <cell r="U7714">
            <v>2025</v>
          </cell>
        </row>
        <row r="7715">
          <cell r="U7715">
            <v>2025</v>
          </cell>
        </row>
        <row r="7716">
          <cell r="U7716">
            <v>2025</v>
          </cell>
        </row>
        <row r="7717">
          <cell r="U7717">
            <v>2025</v>
          </cell>
        </row>
        <row r="7718">
          <cell r="U7718">
            <v>2025</v>
          </cell>
        </row>
        <row r="7719">
          <cell r="U7719">
            <v>2025</v>
          </cell>
        </row>
        <row r="7720">
          <cell r="U7720">
            <v>2025</v>
          </cell>
        </row>
        <row r="7721">
          <cell r="U7721">
            <v>2025</v>
          </cell>
        </row>
        <row r="7722">
          <cell r="U7722">
            <v>2025</v>
          </cell>
        </row>
        <row r="7723">
          <cell r="U7723">
            <v>2025</v>
          </cell>
        </row>
        <row r="7724">
          <cell r="U7724">
            <v>2025</v>
          </cell>
        </row>
        <row r="7725">
          <cell r="U7725">
            <v>2025</v>
          </cell>
        </row>
        <row r="7726">
          <cell r="U7726">
            <v>2025</v>
          </cell>
        </row>
        <row r="7727">
          <cell r="U7727">
            <v>2025</v>
          </cell>
        </row>
        <row r="7728">
          <cell r="U7728">
            <v>2025</v>
          </cell>
        </row>
        <row r="7729">
          <cell r="U7729">
            <v>2025</v>
          </cell>
        </row>
        <row r="7730">
          <cell r="U7730">
            <v>2025</v>
          </cell>
        </row>
        <row r="7731">
          <cell r="U7731">
            <v>2025</v>
          </cell>
        </row>
        <row r="7732">
          <cell r="U7732">
            <v>2025</v>
          </cell>
        </row>
        <row r="7733">
          <cell r="U7733">
            <v>2025</v>
          </cell>
        </row>
        <row r="7734">
          <cell r="U7734">
            <v>2025</v>
          </cell>
        </row>
        <row r="7735">
          <cell r="U7735">
            <v>2025</v>
          </cell>
        </row>
        <row r="7736">
          <cell r="U7736">
            <v>2025</v>
          </cell>
        </row>
        <row r="7737">
          <cell r="U7737">
            <v>2025</v>
          </cell>
        </row>
        <row r="7738">
          <cell r="U7738">
            <v>2025</v>
          </cell>
        </row>
        <row r="7739">
          <cell r="U7739">
            <v>2025</v>
          </cell>
        </row>
        <row r="7740">
          <cell r="U7740">
            <v>2025</v>
          </cell>
        </row>
        <row r="7741">
          <cell r="U7741">
            <v>2025</v>
          </cell>
        </row>
        <row r="7742">
          <cell r="U7742">
            <v>2025</v>
          </cell>
        </row>
        <row r="7743">
          <cell r="U7743">
            <v>2025</v>
          </cell>
        </row>
        <row r="7744">
          <cell r="U7744">
            <v>2025</v>
          </cell>
        </row>
        <row r="7745">
          <cell r="U7745">
            <v>2025</v>
          </cell>
        </row>
        <row r="7746">
          <cell r="U7746">
            <v>2025</v>
          </cell>
        </row>
        <row r="7747">
          <cell r="U7747">
            <v>2025</v>
          </cell>
        </row>
        <row r="7748">
          <cell r="U7748">
            <v>2025</v>
          </cell>
        </row>
        <row r="7749">
          <cell r="U7749">
            <v>2025</v>
          </cell>
        </row>
        <row r="7750">
          <cell r="U7750">
            <v>2025</v>
          </cell>
        </row>
        <row r="7751">
          <cell r="U7751">
            <v>2025</v>
          </cell>
        </row>
        <row r="7752">
          <cell r="U7752">
            <v>2025</v>
          </cell>
        </row>
        <row r="7753">
          <cell r="U7753">
            <v>2025</v>
          </cell>
        </row>
        <row r="7754">
          <cell r="U7754">
            <v>2025</v>
          </cell>
        </row>
        <row r="7755">
          <cell r="U7755">
            <v>2025</v>
          </cell>
        </row>
        <row r="7756">
          <cell r="U7756">
            <v>2025</v>
          </cell>
        </row>
        <row r="7757">
          <cell r="U7757">
            <v>2025</v>
          </cell>
        </row>
        <row r="7758">
          <cell r="U7758">
            <v>2025</v>
          </cell>
        </row>
        <row r="7759">
          <cell r="U7759">
            <v>2025</v>
          </cell>
        </row>
        <row r="7760">
          <cell r="U7760">
            <v>2025</v>
          </cell>
        </row>
        <row r="7761">
          <cell r="U7761">
            <v>2025</v>
          </cell>
        </row>
        <row r="7762">
          <cell r="U7762">
            <v>2025</v>
          </cell>
        </row>
        <row r="7763">
          <cell r="U7763">
            <v>2025</v>
          </cell>
        </row>
        <row r="7764">
          <cell r="U7764">
            <v>2025</v>
          </cell>
        </row>
        <row r="7765">
          <cell r="U7765">
            <v>2025</v>
          </cell>
        </row>
        <row r="7766">
          <cell r="U7766">
            <v>2025</v>
          </cell>
        </row>
        <row r="7767">
          <cell r="U7767">
            <v>2025</v>
          </cell>
        </row>
        <row r="7768">
          <cell r="U7768">
            <v>2025</v>
          </cell>
        </row>
        <row r="7769">
          <cell r="U7769">
            <v>2025</v>
          </cell>
        </row>
        <row r="7770">
          <cell r="U7770">
            <v>2025</v>
          </cell>
        </row>
        <row r="7771">
          <cell r="U7771">
            <v>2025</v>
          </cell>
        </row>
        <row r="7772">
          <cell r="U7772">
            <v>2025</v>
          </cell>
        </row>
        <row r="7773">
          <cell r="U7773">
            <v>2025</v>
          </cell>
        </row>
        <row r="7774">
          <cell r="U7774">
            <v>2025</v>
          </cell>
        </row>
        <row r="7775">
          <cell r="U7775">
            <v>2025</v>
          </cell>
        </row>
        <row r="7776">
          <cell r="U7776">
            <v>2025</v>
          </cell>
        </row>
        <row r="7777">
          <cell r="U7777">
            <v>2025</v>
          </cell>
        </row>
        <row r="7778">
          <cell r="U7778">
            <v>2025</v>
          </cell>
        </row>
        <row r="7779">
          <cell r="U7779">
            <v>2025</v>
          </cell>
        </row>
        <row r="7780">
          <cell r="U7780">
            <v>2025</v>
          </cell>
        </row>
        <row r="7781">
          <cell r="U7781">
            <v>2025</v>
          </cell>
        </row>
        <row r="7782">
          <cell r="U7782">
            <v>2025</v>
          </cell>
        </row>
        <row r="7783">
          <cell r="U7783">
            <v>2025</v>
          </cell>
        </row>
        <row r="7784">
          <cell r="U7784">
            <v>2025</v>
          </cell>
        </row>
        <row r="7785">
          <cell r="U7785">
            <v>2025</v>
          </cell>
        </row>
        <row r="7786">
          <cell r="U7786">
            <v>2025</v>
          </cell>
        </row>
        <row r="7787">
          <cell r="U7787">
            <v>2025</v>
          </cell>
        </row>
        <row r="7788">
          <cell r="U7788">
            <v>2025</v>
          </cell>
        </row>
        <row r="7789">
          <cell r="U7789">
            <v>2025</v>
          </cell>
        </row>
        <row r="7790">
          <cell r="U7790">
            <v>2025</v>
          </cell>
        </row>
        <row r="7791">
          <cell r="U7791">
            <v>2025</v>
          </cell>
        </row>
        <row r="7792">
          <cell r="U7792">
            <v>2025</v>
          </cell>
        </row>
        <row r="7793">
          <cell r="U7793">
            <v>2025</v>
          </cell>
        </row>
        <row r="7794">
          <cell r="U7794">
            <v>2025</v>
          </cell>
        </row>
        <row r="7795">
          <cell r="U7795">
            <v>2025</v>
          </cell>
        </row>
        <row r="7796">
          <cell r="U7796">
            <v>2025</v>
          </cell>
        </row>
        <row r="7797">
          <cell r="U7797">
            <v>2025</v>
          </cell>
        </row>
        <row r="7798">
          <cell r="U7798">
            <v>2025</v>
          </cell>
        </row>
        <row r="7799">
          <cell r="U7799">
            <v>2025</v>
          </cell>
        </row>
        <row r="7800">
          <cell r="U7800">
            <v>2025</v>
          </cell>
        </row>
        <row r="7801">
          <cell r="U7801">
            <v>2025</v>
          </cell>
        </row>
        <row r="7802">
          <cell r="U7802">
            <v>2025</v>
          </cell>
        </row>
        <row r="7803">
          <cell r="U7803">
            <v>2025</v>
          </cell>
        </row>
        <row r="7804">
          <cell r="U7804">
            <v>2025</v>
          </cell>
        </row>
        <row r="7805">
          <cell r="U7805">
            <v>2025</v>
          </cell>
        </row>
        <row r="7806">
          <cell r="U7806">
            <v>2025</v>
          </cell>
        </row>
        <row r="7807">
          <cell r="U7807">
            <v>2025</v>
          </cell>
        </row>
        <row r="7808">
          <cell r="U7808">
            <v>2025</v>
          </cell>
        </row>
        <row r="7809">
          <cell r="U7809">
            <v>2025</v>
          </cell>
        </row>
        <row r="7810">
          <cell r="U7810">
            <v>2025</v>
          </cell>
        </row>
        <row r="7811">
          <cell r="U7811">
            <v>2025</v>
          </cell>
        </row>
        <row r="7812">
          <cell r="U7812">
            <v>2025</v>
          </cell>
        </row>
        <row r="7813">
          <cell r="U7813">
            <v>2025</v>
          </cell>
        </row>
        <row r="7814">
          <cell r="U7814">
            <v>2025</v>
          </cell>
        </row>
        <row r="7815">
          <cell r="U7815">
            <v>2025</v>
          </cell>
        </row>
        <row r="7816">
          <cell r="U7816">
            <v>2025</v>
          </cell>
        </row>
        <row r="7817">
          <cell r="U7817">
            <v>2025</v>
          </cell>
        </row>
        <row r="7818">
          <cell r="U7818">
            <v>2025</v>
          </cell>
        </row>
        <row r="7819">
          <cell r="U7819">
            <v>2025</v>
          </cell>
        </row>
        <row r="7820">
          <cell r="U7820">
            <v>2025</v>
          </cell>
        </row>
        <row r="7821">
          <cell r="U7821">
            <v>2025</v>
          </cell>
        </row>
        <row r="7822">
          <cell r="U7822">
            <v>2025</v>
          </cell>
        </row>
        <row r="7823">
          <cell r="U7823">
            <v>2025</v>
          </cell>
        </row>
        <row r="7824">
          <cell r="U7824">
            <v>2025</v>
          </cell>
        </row>
        <row r="7825">
          <cell r="U7825">
            <v>2025</v>
          </cell>
        </row>
        <row r="7826">
          <cell r="U7826">
            <v>2025</v>
          </cell>
        </row>
        <row r="7827">
          <cell r="U7827">
            <v>2025</v>
          </cell>
        </row>
        <row r="7828">
          <cell r="U7828">
            <v>2025</v>
          </cell>
        </row>
        <row r="7829">
          <cell r="U7829">
            <v>2025</v>
          </cell>
        </row>
        <row r="7830">
          <cell r="U7830">
            <v>2025</v>
          </cell>
        </row>
        <row r="7831">
          <cell r="U7831">
            <v>2025</v>
          </cell>
        </row>
        <row r="7832">
          <cell r="U7832">
            <v>2025</v>
          </cell>
        </row>
        <row r="7833">
          <cell r="U7833">
            <v>2025</v>
          </cell>
        </row>
        <row r="7834">
          <cell r="U7834">
            <v>2025</v>
          </cell>
        </row>
        <row r="7835">
          <cell r="U7835">
            <v>2025</v>
          </cell>
        </row>
        <row r="7836">
          <cell r="U7836">
            <v>2025</v>
          </cell>
        </row>
        <row r="7837">
          <cell r="U7837">
            <v>2025</v>
          </cell>
        </row>
        <row r="7838">
          <cell r="U7838">
            <v>2025</v>
          </cell>
        </row>
        <row r="7839">
          <cell r="U7839">
            <v>2025</v>
          </cell>
        </row>
        <row r="7840">
          <cell r="U7840">
            <v>2025</v>
          </cell>
        </row>
        <row r="7841">
          <cell r="U7841">
            <v>2025</v>
          </cell>
        </row>
        <row r="7842">
          <cell r="U7842">
            <v>2025</v>
          </cell>
        </row>
        <row r="7843">
          <cell r="U7843">
            <v>2025</v>
          </cell>
        </row>
        <row r="7844">
          <cell r="U7844">
            <v>2025</v>
          </cell>
        </row>
        <row r="7845">
          <cell r="U7845">
            <v>2025</v>
          </cell>
        </row>
        <row r="7846">
          <cell r="U7846">
            <v>2025</v>
          </cell>
        </row>
        <row r="7847">
          <cell r="U7847">
            <v>2025</v>
          </cell>
        </row>
        <row r="7848">
          <cell r="U7848">
            <v>2025</v>
          </cell>
        </row>
        <row r="7849">
          <cell r="U7849">
            <v>2025</v>
          </cell>
        </row>
        <row r="7850">
          <cell r="U7850">
            <v>2025</v>
          </cell>
        </row>
        <row r="7851">
          <cell r="U7851">
            <v>2025</v>
          </cell>
        </row>
        <row r="7852">
          <cell r="U7852">
            <v>2025</v>
          </cell>
        </row>
        <row r="7853">
          <cell r="U7853">
            <v>2025</v>
          </cell>
        </row>
        <row r="7854">
          <cell r="U7854">
            <v>2025</v>
          </cell>
        </row>
        <row r="7855">
          <cell r="U7855">
            <v>2025</v>
          </cell>
        </row>
        <row r="7856">
          <cell r="U7856">
            <v>2025</v>
          </cell>
        </row>
        <row r="7857">
          <cell r="U7857">
            <v>2025</v>
          </cell>
        </row>
        <row r="7858">
          <cell r="U7858">
            <v>2025</v>
          </cell>
        </row>
        <row r="7859">
          <cell r="U7859">
            <v>2025</v>
          </cell>
        </row>
        <row r="7860">
          <cell r="U7860">
            <v>2025</v>
          </cell>
        </row>
        <row r="7861">
          <cell r="U7861">
            <v>2025</v>
          </cell>
        </row>
        <row r="7862">
          <cell r="U7862">
            <v>2025</v>
          </cell>
        </row>
        <row r="7863">
          <cell r="U7863">
            <v>2025</v>
          </cell>
        </row>
        <row r="7864">
          <cell r="U7864">
            <v>2025</v>
          </cell>
        </row>
        <row r="7865">
          <cell r="U7865">
            <v>2025</v>
          </cell>
        </row>
        <row r="7866">
          <cell r="U7866">
            <v>2025</v>
          </cell>
        </row>
        <row r="7867">
          <cell r="U7867">
            <v>2025</v>
          </cell>
        </row>
        <row r="7868">
          <cell r="U7868">
            <v>2025</v>
          </cell>
        </row>
        <row r="7869">
          <cell r="U7869">
            <v>2025</v>
          </cell>
        </row>
        <row r="7870">
          <cell r="U7870">
            <v>2025</v>
          </cell>
        </row>
        <row r="7871">
          <cell r="U7871">
            <v>2025</v>
          </cell>
        </row>
        <row r="7872">
          <cell r="U7872">
            <v>2025</v>
          </cell>
        </row>
        <row r="7873">
          <cell r="U7873">
            <v>2025</v>
          </cell>
        </row>
        <row r="7874">
          <cell r="U7874">
            <v>2025</v>
          </cell>
        </row>
        <row r="7875">
          <cell r="U7875">
            <v>2025</v>
          </cell>
        </row>
        <row r="7876">
          <cell r="U7876">
            <v>2025</v>
          </cell>
        </row>
        <row r="7877">
          <cell r="U7877">
            <v>2025</v>
          </cell>
        </row>
        <row r="7878">
          <cell r="U7878">
            <v>2025</v>
          </cell>
        </row>
        <row r="7879">
          <cell r="U7879">
            <v>2025</v>
          </cell>
        </row>
        <row r="7880">
          <cell r="U7880">
            <v>2025</v>
          </cell>
        </row>
        <row r="7881">
          <cell r="U7881">
            <v>2025</v>
          </cell>
        </row>
        <row r="7882">
          <cell r="U7882">
            <v>2025</v>
          </cell>
        </row>
        <row r="7883">
          <cell r="U7883">
            <v>2025</v>
          </cell>
        </row>
        <row r="7884">
          <cell r="U7884">
            <v>2025</v>
          </cell>
        </row>
        <row r="7885">
          <cell r="U7885">
            <v>2025</v>
          </cell>
        </row>
        <row r="7886">
          <cell r="U7886">
            <v>2025</v>
          </cell>
        </row>
        <row r="7887">
          <cell r="U7887">
            <v>2025</v>
          </cell>
        </row>
        <row r="7888">
          <cell r="U7888">
            <v>2025</v>
          </cell>
        </row>
        <row r="7889">
          <cell r="U7889">
            <v>2025</v>
          </cell>
        </row>
        <row r="7890">
          <cell r="U7890">
            <v>2025</v>
          </cell>
        </row>
        <row r="7891">
          <cell r="U7891">
            <v>2025</v>
          </cell>
        </row>
        <row r="7892">
          <cell r="U7892">
            <v>2025</v>
          </cell>
        </row>
        <row r="7893">
          <cell r="U7893">
            <v>2025</v>
          </cell>
        </row>
        <row r="7894">
          <cell r="U7894">
            <v>2025</v>
          </cell>
        </row>
        <row r="7895">
          <cell r="U7895">
            <v>2025</v>
          </cell>
        </row>
        <row r="7896">
          <cell r="U7896">
            <v>2025</v>
          </cell>
        </row>
        <row r="7897">
          <cell r="U7897">
            <v>2025</v>
          </cell>
        </row>
        <row r="7898">
          <cell r="U7898">
            <v>2025</v>
          </cell>
        </row>
        <row r="7899">
          <cell r="U7899">
            <v>2025</v>
          </cell>
        </row>
        <row r="7900">
          <cell r="U7900">
            <v>2025</v>
          </cell>
        </row>
        <row r="7901">
          <cell r="U7901">
            <v>2025</v>
          </cell>
        </row>
        <row r="7902">
          <cell r="U7902">
            <v>2025</v>
          </cell>
        </row>
        <row r="7903">
          <cell r="U7903">
            <v>2025</v>
          </cell>
        </row>
        <row r="7904">
          <cell r="U7904">
            <v>2025</v>
          </cell>
        </row>
        <row r="7905">
          <cell r="U7905">
            <v>2025</v>
          </cell>
        </row>
        <row r="7906">
          <cell r="U7906">
            <v>2025</v>
          </cell>
        </row>
        <row r="7907">
          <cell r="U7907">
            <v>2025</v>
          </cell>
        </row>
        <row r="7908">
          <cell r="U7908">
            <v>2025</v>
          </cell>
        </row>
        <row r="7909">
          <cell r="U7909">
            <v>2025</v>
          </cell>
        </row>
        <row r="7910">
          <cell r="U7910">
            <v>2025</v>
          </cell>
        </row>
        <row r="7911">
          <cell r="U7911">
            <v>2025</v>
          </cell>
        </row>
        <row r="7912">
          <cell r="U7912">
            <v>2025</v>
          </cell>
        </row>
        <row r="7913">
          <cell r="U7913">
            <v>2025</v>
          </cell>
        </row>
        <row r="7914">
          <cell r="U7914">
            <v>2025</v>
          </cell>
        </row>
        <row r="7915">
          <cell r="U7915">
            <v>2025</v>
          </cell>
        </row>
        <row r="7916">
          <cell r="U7916">
            <v>2025</v>
          </cell>
        </row>
        <row r="7917">
          <cell r="U7917">
            <v>2025</v>
          </cell>
        </row>
        <row r="7918">
          <cell r="U7918">
            <v>2025</v>
          </cell>
        </row>
        <row r="7919">
          <cell r="U7919">
            <v>2025</v>
          </cell>
        </row>
        <row r="7920">
          <cell r="U7920">
            <v>2025</v>
          </cell>
        </row>
        <row r="7921">
          <cell r="U7921">
            <v>2025</v>
          </cell>
        </row>
        <row r="7922">
          <cell r="U7922">
            <v>2025</v>
          </cell>
        </row>
        <row r="7923">
          <cell r="U7923">
            <v>2025</v>
          </cell>
        </row>
        <row r="7924">
          <cell r="U7924">
            <v>2025</v>
          </cell>
        </row>
        <row r="7925">
          <cell r="U7925">
            <v>2025</v>
          </cell>
        </row>
        <row r="7926">
          <cell r="U7926">
            <v>2025</v>
          </cell>
        </row>
        <row r="7927">
          <cell r="U7927">
            <v>2025</v>
          </cell>
        </row>
        <row r="7928">
          <cell r="U7928">
            <v>2025</v>
          </cell>
        </row>
        <row r="7929">
          <cell r="U7929">
            <v>2025</v>
          </cell>
        </row>
        <row r="7930">
          <cell r="U7930">
            <v>2025</v>
          </cell>
        </row>
        <row r="7931">
          <cell r="U7931">
            <v>2025</v>
          </cell>
        </row>
        <row r="7932">
          <cell r="U7932">
            <v>2025</v>
          </cell>
        </row>
        <row r="7933">
          <cell r="U7933">
            <v>2025</v>
          </cell>
        </row>
        <row r="7934">
          <cell r="U7934">
            <v>2025</v>
          </cell>
        </row>
        <row r="7935">
          <cell r="U7935">
            <v>2025</v>
          </cell>
        </row>
        <row r="7936">
          <cell r="U7936">
            <v>2025</v>
          </cell>
        </row>
        <row r="7937">
          <cell r="U7937">
            <v>2025</v>
          </cell>
        </row>
        <row r="7938">
          <cell r="U7938">
            <v>2025</v>
          </cell>
        </row>
        <row r="7939">
          <cell r="U7939">
            <v>2025</v>
          </cell>
        </row>
        <row r="7940">
          <cell r="U7940">
            <v>2025</v>
          </cell>
        </row>
        <row r="7941">
          <cell r="U7941">
            <v>2025</v>
          </cell>
        </row>
        <row r="7942">
          <cell r="U7942">
            <v>2025</v>
          </cell>
        </row>
        <row r="7943">
          <cell r="U7943">
            <v>2025</v>
          </cell>
        </row>
        <row r="7944">
          <cell r="U7944">
            <v>2025</v>
          </cell>
        </row>
        <row r="7945">
          <cell r="U7945">
            <v>2025</v>
          </cell>
        </row>
        <row r="7946">
          <cell r="U7946">
            <v>2025</v>
          </cell>
        </row>
        <row r="7947">
          <cell r="U7947">
            <v>2025</v>
          </cell>
        </row>
        <row r="7948">
          <cell r="U7948">
            <v>2025</v>
          </cell>
        </row>
        <row r="7949">
          <cell r="U7949">
            <v>2025</v>
          </cell>
        </row>
        <row r="7950">
          <cell r="U7950">
            <v>2025</v>
          </cell>
        </row>
        <row r="7951">
          <cell r="U7951">
            <v>2025</v>
          </cell>
        </row>
        <row r="7952">
          <cell r="U7952">
            <v>2025</v>
          </cell>
        </row>
        <row r="7953">
          <cell r="U7953">
            <v>2025</v>
          </cell>
        </row>
        <row r="7954">
          <cell r="U7954">
            <v>2025</v>
          </cell>
        </row>
        <row r="7955">
          <cell r="U7955">
            <v>2025</v>
          </cell>
        </row>
        <row r="7956">
          <cell r="U7956">
            <v>2025</v>
          </cell>
        </row>
        <row r="7957">
          <cell r="U7957">
            <v>2025</v>
          </cell>
        </row>
        <row r="7958">
          <cell r="U7958">
            <v>2025</v>
          </cell>
        </row>
        <row r="7959">
          <cell r="U7959">
            <v>2025</v>
          </cell>
        </row>
        <row r="7960">
          <cell r="U7960">
            <v>2025</v>
          </cell>
        </row>
        <row r="7961">
          <cell r="U7961">
            <v>2025</v>
          </cell>
        </row>
        <row r="7962">
          <cell r="U7962">
            <v>2025</v>
          </cell>
        </row>
        <row r="7963">
          <cell r="U7963">
            <v>2025</v>
          </cell>
        </row>
        <row r="7964">
          <cell r="U7964">
            <v>2025</v>
          </cell>
        </row>
        <row r="7965">
          <cell r="U7965">
            <v>2025</v>
          </cell>
        </row>
        <row r="7966">
          <cell r="U7966">
            <v>2025</v>
          </cell>
        </row>
        <row r="7967">
          <cell r="U7967">
            <v>2025</v>
          </cell>
        </row>
        <row r="7968">
          <cell r="U7968">
            <v>2025</v>
          </cell>
        </row>
        <row r="7969">
          <cell r="U7969">
            <v>2025</v>
          </cell>
        </row>
        <row r="7970">
          <cell r="U7970">
            <v>2025</v>
          </cell>
        </row>
        <row r="7971">
          <cell r="U7971">
            <v>2025</v>
          </cell>
        </row>
        <row r="7972">
          <cell r="U7972">
            <v>2025</v>
          </cell>
        </row>
        <row r="7973">
          <cell r="U7973">
            <v>2025</v>
          </cell>
        </row>
        <row r="7974">
          <cell r="U7974">
            <v>2025</v>
          </cell>
        </row>
        <row r="7975">
          <cell r="U7975">
            <v>2025</v>
          </cell>
        </row>
        <row r="7976">
          <cell r="U7976">
            <v>2025</v>
          </cell>
        </row>
        <row r="7977">
          <cell r="U7977">
            <v>2025</v>
          </cell>
        </row>
        <row r="7978">
          <cell r="U7978">
            <v>2025</v>
          </cell>
        </row>
        <row r="7979">
          <cell r="U7979">
            <v>2025</v>
          </cell>
        </row>
        <row r="7980">
          <cell r="U7980">
            <v>2025</v>
          </cell>
        </row>
        <row r="7981">
          <cell r="U7981">
            <v>2025</v>
          </cell>
        </row>
        <row r="7982">
          <cell r="U7982">
            <v>2025</v>
          </cell>
        </row>
        <row r="7983">
          <cell r="U7983">
            <v>2025</v>
          </cell>
        </row>
        <row r="7984">
          <cell r="U7984">
            <v>2025</v>
          </cell>
        </row>
        <row r="7985">
          <cell r="U7985">
            <v>2025</v>
          </cell>
        </row>
        <row r="7986">
          <cell r="U7986">
            <v>2025</v>
          </cell>
        </row>
        <row r="7987">
          <cell r="U7987">
            <v>2025</v>
          </cell>
        </row>
        <row r="7988">
          <cell r="U7988">
            <v>2025</v>
          </cell>
        </row>
        <row r="7989">
          <cell r="U7989">
            <v>2025</v>
          </cell>
        </row>
        <row r="7990">
          <cell r="U7990">
            <v>2025</v>
          </cell>
        </row>
        <row r="7991">
          <cell r="U7991">
            <v>2025</v>
          </cell>
        </row>
        <row r="7992">
          <cell r="U7992">
            <v>2025</v>
          </cell>
        </row>
        <row r="7993">
          <cell r="U7993">
            <v>2025</v>
          </cell>
        </row>
        <row r="7994">
          <cell r="U7994">
            <v>2025</v>
          </cell>
        </row>
        <row r="7995">
          <cell r="U7995">
            <v>2025</v>
          </cell>
        </row>
        <row r="7996">
          <cell r="U7996">
            <v>2025</v>
          </cell>
        </row>
        <row r="7997">
          <cell r="U7997">
            <v>2025</v>
          </cell>
        </row>
        <row r="7998">
          <cell r="U7998">
            <v>2025</v>
          </cell>
        </row>
        <row r="7999">
          <cell r="U7999">
            <v>2025</v>
          </cell>
        </row>
        <row r="8000">
          <cell r="U8000">
            <v>2025</v>
          </cell>
        </row>
        <row r="8001">
          <cell r="U8001">
            <v>2025</v>
          </cell>
        </row>
        <row r="8002">
          <cell r="U8002">
            <v>2025</v>
          </cell>
        </row>
        <row r="8003">
          <cell r="U8003">
            <v>2025</v>
          </cell>
        </row>
        <row r="8004">
          <cell r="U8004">
            <v>2025</v>
          </cell>
        </row>
        <row r="8005">
          <cell r="U8005">
            <v>2025</v>
          </cell>
        </row>
        <row r="8006">
          <cell r="U8006">
            <v>2025</v>
          </cell>
        </row>
        <row r="8007">
          <cell r="U8007">
            <v>2025</v>
          </cell>
        </row>
        <row r="8008">
          <cell r="U8008">
            <v>2025</v>
          </cell>
        </row>
        <row r="8009">
          <cell r="U8009">
            <v>2025</v>
          </cell>
        </row>
        <row r="8010">
          <cell r="U8010">
            <v>2025</v>
          </cell>
        </row>
        <row r="8011">
          <cell r="U8011">
            <v>2025</v>
          </cell>
        </row>
        <row r="8012">
          <cell r="U8012">
            <v>2025</v>
          </cell>
        </row>
        <row r="8013">
          <cell r="U8013">
            <v>2025</v>
          </cell>
        </row>
        <row r="8014">
          <cell r="U8014">
            <v>2025</v>
          </cell>
        </row>
        <row r="8015">
          <cell r="U8015">
            <v>2025</v>
          </cell>
        </row>
        <row r="8016">
          <cell r="U8016">
            <v>2025</v>
          </cell>
        </row>
        <row r="8017">
          <cell r="U8017">
            <v>2025</v>
          </cell>
        </row>
        <row r="8018">
          <cell r="U8018">
            <v>2025</v>
          </cell>
        </row>
        <row r="8019">
          <cell r="U8019">
            <v>2025</v>
          </cell>
        </row>
        <row r="8020">
          <cell r="U8020">
            <v>2025</v>
          </cell>
        </row>
        <row r="8021">
          <cell r="U8021">
            <v>2025</v>
          </cell>
        </row>
        <row r="8022">
          <cell r="U8022">
            <v>2025</v>
          </cell>
        </row>
        <row r="8023">
          <cell r="U8023">
            <v>2025</v>
          </cell>
        </row>
        <row r="8024">
          <cell r="U8024">
            <v>2025</v>
          </cell>
        </row>
        <row r="8025">
          <cell r="U8025">
            <v>2025</v>
          </cell>
        </row>
        <row r="8026">
          <cell r="U8026">
            <v>2025</v>
          </cell>
        </row>
        <row r="8027">
          <cell r="U8027">
            <v>2025</v>
          </cell>
        </row>
        <row r="8028">
          <cell r="U8028">
            <v>2025</v>
          </cell>
        </row>
        <row r="8029">
          <cell r="U8029">
            <v>2025</v>
          </cell>
        </row>
        <row r="8030">
          <cell r="U8030">
            <v>2025</v>
          </cell>
        </row>
        <row r="8031">
          <cell r="U8031">
            <v>2025</v>
          </cell>
        </row>
        <row r="8032">
          <cell r="U8032">
            <v>2025</v>
          </cell>
        </row>
        <row r="8033">
          <cell r="U8033">
            <v>2025</v>
          </cell>
        </row>
        <row r="8034">
          <cell r="U8034">
            <v>2025</v>
          </cell>
        </row>
        <row r="8035">
          <cell r="U8035">
            <v>2025</v>
          </cell>
        </row>
        <row r="8036">
          <cell r="U8036">
            <v>2025</v>
          </cell>
        </row>
        <row r="8037">
          <cell r="U8037">
            <v>2025</v>
          </cell>
        </row>
        <row r="8038">
          <cell r="U8038">
            <v>2025</v>
          </cell>
        </row>
        <row r="8039">
          <cell r="U8039">
            <v>2025</v>
          </cell>
        </row>
        <row r="8040">
          <cell r="U8040">
            <v>2025</v>
          </cell>
        </row>
        <row r="8041">
          <cell r="U8041">
            <v>2025</v>
          </cell>
        </row>
        <row r="8042">
          <cell r="U8042">
            <v>2025</v>
          </cell>
        </row>
        <row r="8043">
          <cell r="U8043">
            <v>2025</v>
          </cell>
        </row>
        <row r="8044">
          <cell r="U8044">
            <v>2025</v>
          </cell>
        </row>
        <row r="8045">
          <cell r="U8045">
            <v>2025</v>
          </cell>
        </row>
        <row r="8046">
          <cell r="U8046">
            <v>2025</v>
          </cell>
        </row>
        <row r="8047">
          <cell r="U8047">
            <v>2025</v>
          </cell>
        </row>
        <row r="8048">
          <cell r="U8048">
            <v>2025</v>
          </cell>
        </row>
        <row r="8049">
          <cell r="U8049">
            <v>2025</v>
          </cell>
        </row>
        <row r="8050">
          <cell r="U8050">
            <v>2025</v>
          </cell>
        </row>
        <row r="8051">
          <cell r="U8051">
            <v>2025</v>
          </cell>
        </row>
        <row r="8052">
          <cell r="U8052">
            <v>2025</v>
          </cell>
        </row>
        <row r="8053">
          <cell r="U8053">
            <v>2025</v>
          </cell>
        </row>
        <row r="8054">
          <cell r="U8054">
            <v>2025</v>
          </cell>
        </row>
        <row r="8055">
          <cell r="U8055">
            <v>2025</v>
          </cell>
        </row>
        <row r="8056">
          <cell r="U8056">
            <v>2025</v>
          </cell>
        </row>
        <row r="8057">
          <cell r="U8057">
            <v>2025</v>
          </cell>
        </row>
        <row r="8058">
          <cell r="U8058">
            <v>2025</v>
          </cell>
        </row>
        <row r="8059">
          <cell r="U8059">
            <v>2025</v>
          </cell>
        </row>
        <row r="8060">
          <cell r="U8060">
            <v>2025</v>
          </cell>
        </row>
        <row r="8061">
          <cell r="U8061">
            <v>2025</v>
          </cell>
        </row>
        <row r="8062">
          <cell r="U8062">
            <v>2025</v>
          </cell>
        </row>
        <row r="8063">
          <cell r="U8063">
            <v>2025</v>
          </cell>
        </row>
        <row r="8064">
          <cell r="U8064">
            <v>2025</v>
          </cell>
        </row>
        <row r="8065">
          <cell r="U8065">
            <v>2025</v>
          </cell>
        </row>
        <row r="8066">
          <cell r="U8066">
            <v>2025</v>
          </cell>
        </row>
        <row r="8067">
          <cell r="U8067">
            <v>2025</v>
          </cell>
        </row>
        <row r="8068">
          <cell r="U8068">
            <v>2025</v>
          </cell>
        </row>
        <row r="8069">
          <cell r="U8069">
            <v>2025</v>
          </cell>
        </row>
        <row r="8070">
          <cell r="U8070">
            <v>2025</v>
          </cell>
        </row>
        <row r="8071">
          <cell r="U8071">
            <v>2025</v>
          </cell>
        </row>
        <row r="8072">
          <cell r="U8072">
            <v>2025</v>
          </cell>
        </row>
        <row r="8073">
          <cell r="U8073">
            <v>2025</v>
          </cell>
        </row>
        <row r="8074">
          <cell r="U8074">
            <v>2025</v>
          </cell>
        </row>
        <row r="8075">
          <cell r="U8075">
            <v>2025</v>
          </cell>
        </row>
        <row r="8076">
          <cell r="U8076">
            <v>2025</v>
          </cell>
        </row>
        <row r="8077">
          <cell r="U8077">
            <v>2025</v>
          </cell>
        </row>
        <row r="8078">
          <cell r="U8078">
            <v>2025</v>
          </cell>
        </row>
        <row r="8079">
          <cell r="U8079">
            <v>2025</v>
          </cell>
        </row>
        <row r="8080">
          <cell r="U8080">
            <v>2025</v>
          </cell>
        </row>
        <row r="8081">
          <cell r="U8081">
            <v>2025</v>
          </cell>
        </row>
        <row r="8082">
          <cell r="U8082">
            <v>2025</v>
          </cell>
        </row>
        <row r="8083">
          <cell r="U8083">
            <v>2025</v>
          </cell>
        </row>
        <row r="8084">
          <cell r="U8084">
            <v>2025</v>
          </cell>
        </row>
        <row r="8085">
          <cell r="U8085">
            <v>2025</v>
          </cell>
        </row>
        <row r="8086">
          <cell r="U8086">
            <v>2025</v>
          </cell>
        </row>
        <row r="8087">
          <cell r="U8087">
            <v>2025</v>
          </cell>
        </row>
        <row r="8088">
          <cell r="U8088">
            <v>2025</v>
          </cell>
        </row>
        <row r="8089">
          <cell r="U8089">
            <v>2025</v>
          </cell>
        </row>
        <row r="8090">
          <cell r="U8090">
            <v>2025</v>
          </cell>
        </row>
        <row r="8091">
          <cell r="U8091">
            <v>2025</v>
          </cell>
        </row>
        <row r="8092">
          <cell r="U8092">
            <v>2025</v>
          </cell>
        </row>
        <row r="8093">
          <cell r="U8093">
            <v>2025</v>
          </cell>
        </row>
        <row r="8094">
          <cell r="U8094">
            <v>2025</v>
          </cell>
        </row>
        <row r="8095">
          <cell r="U8095">
            <v>2025</v>
          </cell>
        </row>
        <row r="8096">
          <cell r="U8096">
            <v>2025</v>
          </cell>
        </row>
        <row r="8097">
          <cell r="U8097">
            <v>2025</v>
          </cell>
        </row>
        <row r="8098">
          <cell r="U8098">
            <v>2025</v>
          </cell>
        </row>
        <row r="8099">
          <cell r="U8099">
            <v>2025</v>
          </cell>
        </row>
        <row r="8100">
          <cell r="U8100">
            <v>2025</v>
          </cell>
        </row>
        <row r="8101">
          <cell r="U8101">
            <v>2025</v>
          </cell>
        </row>
        <row r="8102">
          <cell r="U8102">
            <v>2025</v>
          </cell>
        </row>
        <row r="8103">
          <cell r="U8103">
            <v>2025</v>
          </cell>
        </row>
        <row r="8104">
          <cell r="U8104">
            <v>2025</v>
          </cell>
        </row>
        <row r="8105">
          <cell r="U8105">
            <v>2025</v>
          </cell>
        </row>
        <row r="8106">
          <cell r="U8106">
            <v>2025</v>
          </cell>
        </row>
        <row r="8107">
          <cell r="U8107">
            <v>2025</v>
          </cell>
        </row>
        <row r="8108">
          <cell r="U8108">
            <v>2025</v>
          </cell>
        </row>
        <row r="8109">
          <cell r="U8109">
            <v>2025</v>
          </cell>
        </row>
        <row r="8110">
          <cell r="U8110">
            <v>2025</v>
          </cell>
        </row>
        <row r="8111">
          <cell r="U8111">
            <v>2025</v>
          </cell>
        </row>
        <row r="8112">
          <cell r="U8112">
            <v>2025</v>
          </cell>
        </row>
        <row r="8113">
          <cell r="U8113">
            <v>2025</v>
          </cell>
        </row>
        <row r="8114">
          <cell r="U8114">
            <v>2025</v>
          </cell>
        </row>
        <row r="8115">
          <cell r="U8115">
            <v>2025</v>
          </cell>
        </row>
        <row r="8116">
          <cell r="U8116">
            <v>2025</v>
          </cell>
        </row>
        <row r="8117">
          <cell r="U8117">
            <v>2025</v>
          </cell>
        </row>
        <row r="8118">
          <cell r="U8118">
            <v>2025</v>
          </cell>
        </row>
        <row r="8119">
          <cell r="U8119">
            <v>2025</v>
          </cell>
        </row>
        <row r="8120">
          <cell r="U8120">
            <v>2025</v>
          </cell>
        </row>
        <row r="8121">
          <cell r="U8121">
            <v>2025</v>
          </cell>
        </row>
        <row r="8122">
          <cell r="U8122">
            <v>2025</v>
          </cell>
        </row>
        <row r="8123">
          <cell r="U8123">
            <v>2025</v>
          </cell>
        </row>
        <row r="8124">
          <cell r="U8124">
            <v>2025</v>
          </cell>
        </row>
        <row r="8125">
          <cell r="U8125">
            <v>2025</v>
          </cell>
        </row>
        <row r="8126">
          <cell r="U8126">
            <v>2025</v>
          </cell>
        </row>
        <row r="8127">
          <cell r="U8127">
            <v>2025</v>
          </cell>
        </row>
        <row r="8128">
          <cell r="U8128">
            <v>2025</v>
          </cell>
        </row>
        <row r="8129">
          <cell r="U8129">
            <v>2025</v>
          </cell>
        </row>
        <row r="8130">
          <cell r="U8130">
            <v>2025</v>
          </cell>
        </row>
        <row r="8131">
          <cell r="U8131">
            <v>2025</v>
          </cell>
        </row>
        <row r="8132">
          <cell r="U8132">
            <v>2025</v>
          </cell>
        </row>
        <row r="8133">
          <cell r="U8133">
            <v>2025</v>
          </cell>
        </row>
        <row r="8134">
          <cell r="U8134">
            <v>2025</v>
          </cell>
        </row>
        <row r="8135">
          <cell r="U8135">
            <v>2025</v>
          </cell>
        </row>
        <row r="8136">
          <cell r="U8136">
            <v>2025</v>
          </cell>
        </row>
        <row r="8137">
          <cell r="U8137">
            <v>2025</v>
          </cell>
        </row>
        <row r="8138">
          <cell r="U8138">
            <v>2025</v>
          </cell>
        </row>
        <row r="8139">
          <cell r="U8139">
            <v>2025</v>
          </cell>
        </row>
        <row r="8140">
          <cell r="U8140">
            <v>2025</v>
          </cell>
        </row>
        <row r="8141">
          <cell r="U8141">
            <v>2025</v>
          </cell>
        </row>
        <row r="8142">
          <cell r="U8142">
            <v>2025</v>
          </cell>
        </row>
        <row r="8143">
          <cell r="U8143">
            <v>2025</v>
          </cell>
        </row>
        <row r="8144">
          <cell r="U8144">
            <v>2025</v>
          </cell>
        </row>
        <row r="8145">
          <cell r="U8145">
            <v>2025</v>
          </cell>
        </row>
        <row r="8146">
          <cell r="U8146">
            <v>2025</v>
          </cell>
        </row>
        <row r="8147">
          <cell r="U8147">
            <v>2025</v>
          </cell>
        </row>
        <row r="8148">
          <cell r="U8148">
            <v>2025</v>
          </cell>
        </row>
        <row r="8149">
          <cell r="U8149">
            <v>2025</v>
          </cell>
        </row>
        <row r="8150">
          <cell r="U8150">
            <v>2025</v>
          </cell>
        </row>
        <row r="8151">
          <cell r="U8151">
            <v>2025</v>
          </cell>
        </row>
        <row r="8152">
          <cell r="U8152">
            <v>2025</v>
          </cell>
        </row>
        <row r="8153">
          <cell r="U8153">
            <v>2025</v>
          </cell>
        </row>
        <row r="8154">
          <cell r="U8154">
            <v>2025</v>
          </cell>
        </row>
        <row r="8155">
          <cell r="U8155">
            <v>2025</v>
          </cell>
        </row>
        <row r="8156">
          <cell r="U8156">
            <v>2025</v>
          </cell>
        </row>
        <row r="8157">
          <cell r="U8157">
            <v>2025</v>
          </cell>
        </row>
        <row r="8158">
          <cell r="U8158">
            <v>2025</v>
          </cell>
        </row>
        <row r="8159">
          <cell r="U8159">
            <v>2025</v>
          </cell>
        </row>
        <row r="8160">
          <cell r="U8160">
            <v>2025</v>
          </cell>
        </row>
        <row r="8161">
          <cell r="U8161">
            <v>2025</v>
          </cell>
        </row>
        <row r="8162">
          <cell r="U8162">
            <v>2025</v>
          </cell>
        </row>
        <row r="8163">
          <cell r="U8163">
            <v>2025</v>
          </cell>
        </row>
        <row r="8164">
          <cell r="U8164">
            <v>2025</v>
          </cell>
        </row>
        <row r="8165">
          <cell r="U8165">
            <v>2025</v>
          </cell>
        </row>
        <row r="8166">
          <cell r="U8166">
            <v>2025</v>
          </cell>
        </row>
        <row r="8167">
          <cell r="U8167">
            <v>2025</v>
          </cell>
        </row>
        <row r="8168">
          <cell r="U8168">
            <v>2025</v>
          </cell>
        </row>
        <row r="8169">
          <cell r="U8169">
            <v>2025</v>
          </cell>
        </row>
        <row r="8170">
          <cell r="U8170">
            <v>2025</v>
          </cell>
        </row>
        <row r="8171">
          <cell r="U8171">
            <v>2025</v>
          </cell>
        </row>
        <row r="8172">
          <cell r="U8172">
            <v>2025</v>
          </cell>
        </row>
        <row r="8173">
          <cell r="U8173">
            <v>2025</v>
          </cell>
        </row>
        <row r="8174">
          <cell r="U8174">
            <v>2025</v>
          </cell>
        </row>
        <row r="8175">
          <cell r="U8175">
            <v>2025</v>
          </cell>
        </row>
        <row r="8176">
          <cell r="U8176">
            <v>2025</v>
          </cell>
        </row>
        <row r="8177">
          <cell r="U8177">
            <v>2025</v>
          </cell>
        </row>
        <row r="8178">
          <cell r="U8178">
            <v>2025</v>
          </cell>
        </row>
        <row r="8179">
          <cell r="U8179">
            <v>2025</v>
          </cell>
        </row>
        <row r="8180">
          <cell r="U8180">
            <v>2025</v>
          </cell>
        </row>
        <row r="8181">
          <cell r="U8181">
            <v>2025</v>
          </cell>
        </row>
        <row r="8182">
          <cell r="U8182">
            <v>2025</v>
          </cell>
        </row>
        <row r="8183">
          <cell r="U8183">
            <v>2025</v>
          </cell>
        </row>
        <row r="8184">
          <cell r="U8184">
            <v>2025</v>
          </cell>
        </row>
        <row r="8185">
          <cell r="U8185">
            <v>2025</v>
          </cell>
        </row>
        <row r="8186">
          <cell r="U8186">
            <v>2025</v>
          </cell>
        </row>
        <row r="8187">
          <cell r="U8187">
            <v>2025</v>
          </cell>
        </row>
        <row r="8188">
          <cell r="U8188">
            <v>2025</v>
          </cell>
        </row>
        <row r="8189">
          <cell r="U8189">
            <v>2025</v>
          </cell>
        </row>
        <row r="8190">
          <cell r="U8190">
            <v>2025</v>
          </cell>
        </row>
        <row r="8191">
          <cell r="U8191">
            <v>2025</v>
          </cell>
        </row>
        <row r="8192">
          <cell r="U8192">
            <v>2025</v>
          </cell>
        </row>
        <row r="8193">
          <cell r="U8193">
            <v>2025</v>
          </cell>
        </row>
        <row r="8194">
          <cell r="U8194">
            <v>2025</v>
          </cell>
        </row>
        <row r="8195">
          <cell r="U8195">
            <v>2025</v>
          </cell>
        </row>
        <row r="8196">
          <cell r="U8196">
            <v>2025</v>
          </cell>
        </row>
        <row r="8197">
          <cell r="U8197">
            <v>2025</v>
          </cell>
        </row>
        <row r="8198">
          <cell r="U8198">
            <v>2025</v>
          </cell>
        </row>
        <row r="8199">
          <cell r="U8199">
            <v>2025</v>
          </cell>
        </row>
        <row r="8200">
          <cell r="U8200">
            <v>2025</v>
          </cell>
        </row>
        <row r="8201">
          <cell r="U8201">
            <v>2025</v>
          </cell>
        </row>
        <row r="8202">
          <cell r="U8202">
            <v>2025</v>
          </cell>
        </row>
        <row r="8203">
          <cell r="U8203">
            <v>2025</v>
          </cell>
        </row>
        <row r="8204">
          <cell r="U8204">
            <v>2025</v>
          </cell>
        </row>
        <row r="8205">
          <cell r="U8205">
            <v>2025</v>
          </cell>
        </row>
        <row r="8206">
          <cell r="U8206">
            <v>2025</v>
          </cell>
        </row>
        <row r="8207">
          <cell r="U8207">
            <v>2025</v>
          </cell>
        </row>
        <row r="8208">
          <cell r="U8208">
            <v>2025</v>
          </cell>
        </row>
        <row r="8209">
          <cell r="U8209">
            <v>2025</v>
          </cell>
        </row>
        <row r="8210">
          <cell r="U8210">
            <v>2025</v>
          </cell>
        </row>
        <row r="8211">
          <cell r="U8211">
            <v>2025</v>
          </cell>
        </row>
        <row r="8212">
          <cell r="U8212">
            <v>2025</v>
          </cell>
        </row>
        <row r="8213">
          <cell r="U8213">
            <v>2025</v>
          </cell>
        </row>
        <row r="8214">
          <cell r="U8214">
            <v>2025</v>
          </cell>
        </row>
        <row r="8215">
          <cell r="U8215">
            <v>2025</v>
          </cell>
        </row>
        <row r="8216">
          <cell r="U8216">
            <v>2025</v>
          </cell>
        </row>
        <row r="8217">
          <cell r="U8217">
            <v>2025</v>
          </cell>
        </row>
        <row r="8218">
          <cell r="U8218">
            <v>2025</v>
          </cell>
        </row>
        <row r="8219">
          <cell r="U8219">
            <v>2025</v>
          </cell>
        </row>
        <row r="8220">
          <cell r="U8220">
            <v>2025</v>
          </cell>
        </row>
        <row r="8221">
          <cell r="U8221">
            <v>2025</v>
          </cell>
        </row>
        <row r="8222">
          <cell r="U8222">
            <v>2025</v>
          </cell>
        </row>
        <row r="8223">
          <cell r="U8223">
            <v>2025</v>
          </cell>
        </row>
        <row r="8224">
          <cell r="U8224">
            <v>2025</v>
          </cell>
        </row>
        <row r="8225">
          <cell r="U8225">
            <v>2025</v>
          </cell>
        </row>
        <row r="8226">
          <cell r="U8226">
            <v>2025</v>
          </cell>
        </row>
        <row r="8227">
          <cell r="U8227">
            <v>2025</v>
          </cell>
        </row>
        <row r="8228">
          <cell r="U8228">
            <v>2025</v>
          </cell>
        </row>
        <row r="8229">
          <cell r="U8229">
            <v>2025</v>
          </cell>
        </row>
        <row r="8230">
          <cell r="U8230">
            <v>2025</v>
          </cell>
        </row>
        <row r="8231">
          <cell r="U8231">
            <v>2025</v>
          </cell>
        </row>
        <row r="8232">
          <cell r="U8232">
            <v>2025</v>
          </cell>
        </row>
        <row r="8233">
          <cell r="U8233">
            <v>2025</v>
          </cell>
        </row>
        <row r="8234">
          <cell r="U8234">
            <v>2025</v>
          </cell>
        </row>
        <row r="8235">
          <cell r="U8235">
            <v>2025</v>
          </cell>
        </row>
        <row r="8236">
          <cell r="U8236">
            <v>2025</v>
          </cell>
        </row>
        <row r="8237">
          <cell r="U8237">
            <v>2025</v>
          </cell>
        </row>
        <row r="8238">
          <cell r="U8238">
            <v>2025</v>
          </cell>
        </row>
        <row r="8239">
          <cell r="U8239">
            <v>2025</v>
          </cell>
        </row>
        <row r="8240">
          <cell r="U8240">
            <v>2025</v>
          </cell>
        </row>
        <row r="8241">
          <cell r="U8241">
            <v>2025</v>
          </cell>
        </row>
        <row r="8242">
          <cell r="U8242">
            <v>2025</v>
          </cell>
        </row>
        <row r="8243">
          <cell r="U8243">
            <v>2025</v>
          </cell>
        </row>
        <row r="8244">
          <cell r="U8244">
            <v>2025</v>
          </cell>
        </row>
        <row r="8245">
          <cell r="U8245">
            <v>2025</v>
          </cell>
        </row>
        <row r="8246">
          <cell r="U8246">
            <v>2025</v>
          </cell>
        </row>
        <row r="8247">
          <cell r="U8247">
            <v>2025</v>
          </cell>
        </row>
        <row r="8248">
          <cell r="U8248">
            <v>2025</v>
          </cell>
        </row>
        <row r="8249">
          <cell r="U8249">
            <v>2025</v>
          </cell>
        </row>
        <row r="8250">
          <cell r="U8250">
            <v>2025</v>
          </cell>
        </row>
        <row r="8251">
          <cell r="U8251">
            <v>2025</v>
          </cell>
        </row>
        <row r="8252">
          <cell r="U8252">
            <v>2025</v>
          </cell>
        </row>
        <row r="8253">
          <cell r="U8253">
            <v>2025</v>
          </cell>
        </row>
        <row r="8254">
          <cell r="U8254">
            <v>2025</v>
          </cell>
        </row>
        <row r="8255">
          <cell r="U8255">
            <v>2025</v>
          </cell>
        </row>
        <row r="8256">
          <cell r="U8256">
            <v>2025</v>
          </cell>
        </row>
        <row r="8257">
          <cell r="U8257">
            <v>2025</v>
          </cell>
        </row>
        <row r="8258">
          <cell r="U8258">
            <v>2025</v>
          </cell>
        </row>
        <row r="8259">
          <cell r="U8259">
            <v>2025</v>
          </cell>
        </row>
        <row r="8260">
          <cell r="U8260">
            <v>2025</v>
          </cell>
        </row>
        <row r="8261">
          <cell r="U8261">
            <v>2025</v>
          </cell>
        </row>
        <row r="8262">
          <cell r="U8262">
            <v>2025</v>
          </cell>
        </row>
        <row r="8263">
          <cell r="U8263">
            <v>2025</v>
          </cell>
        </row>
        <row r="8264">
          <cell r="U8264">
            <v>2025</v>
          </cell>
        </row>
        <row r="8265">
          <cell r="U8265">
            <v>2025</v>
          </cell>
        </row>
        <row r="8266">
          <cell r="U8266">
            <v>2025</v>
          </cell>
        </row>
        <row r="8267">
          <cell r="U8267">
            <v>2025</v>
          </cell>
        </row>
        <row r="8268">
          <cell r="U8268">
            <v>2025</v>
          </cell>
        </row>
        <row r="8269">
          <cell r="U8269">
            <v>2025</v>
          </cell>
        </row>
        <row r="8270">
          <cell r="U8270">
            <v>2025</v>
          </cell>
        </row>
        <row r="8271">
          <cell r="U8271">
            <v>2025</v>
          </cell>
        </row>
        <row r="8272">
          <cell r="U8272">
            <v>2025</v>
          </cell>
        </row>
        <row r="8273">
          <cell r="U8273">
            <v>2025</v>
          </cell>
        </row>
        <row r="8274">
          <cell r="U8274">
            <v>2025</v>
          </cell>
        </row>
        <row r="8275">
          <cell r="U8275">
            <v>2025</v>
          </cell>
        </row>
        <row r="8276">
          <cell r="U8276">
            <v>2025</v>
          </cell>
        </row>
        <row r="8277">
          <cell r="U8277">
            <v>2025</v>
          </cell>
        </row>
        <row r="8278">
          <cell r="U8278">
            <v>2025</v>
          </cell>
        </row>
        <row r="8279">
          <cell r="U8279">
            <v>2025</v>
          </cell>
        </row>
        <row r="8280">
          <cell r="U8280">
            <v>2025</v>
          </cell>
        </row>
        <row r="8281">
          <cell r="U8281">
            <v>2025</v>
          </cell>
        </row>
        <row r="8282">
          <cell r="U8282">
            <v>2025</v>
          </cell>
        </row>
        <row r="8283">
          <cell r="U8283">
            <v>2025</v>
          </cell>
        </row>
        <row r="8284">
          <cell r="U8284">
            <v>2025</v>
          </cell>
        </row>
        <row r="8285">
          <cell r="U8285">
            <v>2025</v>
          </cell>
        </row>
        <row r="8286">
          <cell r="U8286">
            <v>2025</v>
          </cell>
        </row>
        <row r="8287">
          <cell r="U8287">
            <v>2025</v>
          </cell>
        </row>
        <row r="8288">
          <cell r="U8288">
            <v>2025</v>
          </cell>
        </row>
        <row r="8289">
          <cell r="U8289">
            <v>2025</v>
          </cell>
        </row>
        <row r="8290">
          <cell r="U8290">
            <v>2025</v>
          </cell>
        </row>
        <row r="8291">
          <cell r="U8291">
            <v>2025</v>
          </cell>
        </row>
        <row r="8292">
          <cell r="U8292">
            <v>2025</v>
          </cell>
        </row>
        <row r="8293">
          <cell r="U8293">
            <v>2025</v>
          </cell>
        </row>
        <row r="8294">
          <cell r="U8294">
            <v>2025</v>
          </cell>
        </row>
        <row r="8295">
          <cell r="U8295">
            <v>2025</v>
          </cell>
        </row>
        <row r="8296">
          <cell r="U8296">
            <v>2025</v>
          </cell>
        </row>
        <row r="8297">
          <cell r="U8297">
            <v>2025</v>
          </cell>
        </row>
        <row r="8298">
          <cell r="U8298">
            <v>2025</v>
          </cell>
        </row>
        <row r="8299">
          <cell r="U8299">
            <v>2025</v>
          </cell>
        </row>
        <row r="8300">
          <cell r="U8300">
            <v>2025</v>
          </cell>
        </row>
        <row r="8301">
          <cell r="U8301">
            <v>2025</v>
          </cell>
        </row>
        <row r="8302">
          <cell r="U8302">
            <v>2025</v>
          </cell>
        </row>
        <row r="8303">
          <cell r="U8303">
            <v>2025</v>
          </cell>
        </row>
        <row r="8304">
          <cell r="U8304">
            <v>2025</v>
          </cell>
        </row>
        <row r="8305">
          <cell r="U8305">
            <v>2025</v>
          </cell>
        </row>
        <row r="8306">
          <cell r="U8306">
            <v>2025</v>
          </cell>
        </row>
        <row r="8307">
          <cell r="U8307">
            <v>2025</v>
          </cell>
        </row>
        <row r="8308">
          <cell r="U8308">
            <v>2025</v>
          </cell>
        </row>
        <row r="8309">
          <cell r="U8309">
            <v>2025</v>
          </cell>
        </row>
        <row r="8310">
          <cell r="U8310">
            <v>2025</v>
          </cell>
        </row>
        <row r="8311">
          <cell r="U8311">
            <v>2025</v>
          </cell>
        </row>
        <row r="8312">
          <cell r="U8312">
            <v>2025</v>
          </cell>
        </row>
        <row r="8313">
          <cell r="U8313">
            <v>2025</v>
          </cell>
        </row>
        <row r="8314">
          <cell r="U8314">
            <v>2025</v>
          </cell>
        </row>
        <row r="8315">
          <cell r="U8315">
            <v>2025</v>
          </cell>
        </row>
        <row r="8316">
          <cell r="U8316">
            <v>2025</v>
          </cell>
        </row>
        <row r="8317">
          <cell r="U8317">
            <v>2025</v>
          </cell>
        </row>
        <row r="8318">
          <cell r="U8318">
            <v>2025</v>
          </cell>
        </row>
        <row r="8319">
          <cell r="U8319">
            <v>2025</v>
          </cell>
        </row>
        <row r="8320">
          <cell r="U8320">
            <v>2025</v>
          </cell>
        </row>
        <row r="8321">
          <cell r="U8321">
            <v>2025</v>
          </cell>
        </row>
        <row r="8322">
          <cell r="U8322">
            <v>2025</v>
          </cell>
        </row>
        <row r="8323">
          <cell r="U8323">
            <v>2025</v>
          </cell>
        </row>
        <row r="8324">
          <cell r="U8324">
            <v>2025</v>
          </cell>
        </row>
        <row r="8325">
          <cell r="U8325">
            <v>2025</v>
          </cell>
        </row>
        <row r="8326">
          <cell r="U8326">
            <v>2025</v>
          </cell>
        </row>
        <row r="8327">
          <cell r="U8327">
            <v>2025</v>
          </cell>
        </row>
        <row r="8328">
          <cell r="U8328">
            <v>2025</v>
          </cell>
        </row>
        <row r="8329">
          <cell r="U8329">
            <v>2025</v>
          </cell>
        </row>
        <row r="8330">
          <cell r="U8330">
            <v>2025</v>
          </cell>
        </row>
        <row r="8331">
          <cell r="U8331">
            <v>2025</v>
          </cell>
        </row>
        <row r="8332">
          <cell r="U8332">
            <v>2025</v>
          </cell>
        </row>
        <row r="8333">
          <cell r="U8333">
            <v>2025</v>
          </cell>
        </row>
        <row r="8334">
          <cell r="U8334">
            <v>2025</v>
          </cell>
        </row>
        <row r="8335">
          <cell r="U8335">
            <v>2025</v>
          </cell>
        </row>
        <row r="8336">
          <cell r="U8336">
            <v>2025</v>
          </cell>
        </row>
        <row r="8337">
          <cell r="U8337">
            <v>2025</v>
          </cell>
        </row>
        <row r="8338">
          <cell r="U8338">
            <v>2025</v>
          </cell>
        </row>
        <row r="8339">
          <cell r="U8339">
            <v>2025</v>
          </cell>
        </row>
        <row r="8340">
          <cell r="U8340">
            <v>2025</v>
          </cell>
        </row>
        <row r="8341">
          <cell r="U8341">
            <v>2025</v>
          </cell>
        </row>
        <row r="8342">
          <cell r="U8342">
            <v>2025</v>
          </cell>
        </row>
        <row r="8343">
          <cell r="U8343">
            <v>2025</v>
          </cell>
        </row>
        <row r="8344">
          <cell r="U8344">
            <v>2025</v>
          </cell>
        </row>
        <row r="8345">
          <cell r="U8345">
            <v>2025</v>
          </cell>
        </row>
        <row r="8346">
          <cell r="U8346">
            <v>2025</v>
          </cell>
        </row>
        <row r="8347">
          <cell r="U8347">
            <v>2025</v>
          </cell>
        </row>
        <row r="8348">
          <cell r="U8348">
            <v>2025</v>
          </cell>
        </row>
        <row r="8349">
          <cell r="U8349">
            <v>2025</v>
          </cell>
        </row>
        <row r="8350">
          <cell r="U8350">
            <v>2025</v>
          </cell>
        </row>
        <row r="8351">
          <cell r="U8351">
            <v>2025</v>
          </cell>
        </row>
        <row r="8352">
          <cell r="U8352">
            <v>2025</v>
          </cell>
        </row>
        <row r="8353">
          <cell r="U8353">
            <v>2025</v>
          </cell>
        </row>
        <row r="8354">
          <cell r="U8354">
            <v>2025</v>
          </cell>
        </row>
        <row r="8355">
          <cell r="U8355">
            <v>2025</v>
          </cell>
        </row>
        <row r="8356">
          <cell r="U8356">
            <v>2025</v>
          </cell>
        </row>
        <row r="8357">
          <cell r="U8357">
            <v>2025</v>
          </cell>
        </row>
        <row r="8358">
          <cell r="U8358">
            <v>2025</v>
          </cell>
        </row>
        <row r="8359">
          <cell r="U8359">
            <v>2025</v>
          </cell>
        </row>
        <row r="8360">
          <cell r="U8360">
            <v>2025</v>
          </cell>
        </row>
        <row r="8361">
          <cell r="U8361">
            <v>2025</v>
          </cell>
        </row>
        <row r="8362">
          <cell r="U8362">
            <v>2025</v>
          </cell>
        </row>
        <row r="8363">
          <cell r="U8363">
            <v>2025</v>
          </cell>
        </row>
        <row r="8364">
          <cell r="U8364">
            <v>2025</v>
          </cell>
        </row>
        <row r="8365">
          <cell r="U8365">
            <v>2025</v>
          </cell>
        </row>
        <row r="8366">
          <cell r="U8366">
            <v>2025</v>
          </cell>
        </row>
        <row r="8367">
          <cell r="U8367">
            <v>2025</v>
          </cell>
        </row>
        <row r="8368">
          <cell r="U8368">
            <v>2025</v>
          </cell>
        </row>
        <row r="8369">
          <cell r="U8369">
            <v>2025</v>
          </cell>
        </row>
        <row r="8370">
          <cell r="U8370">
            <v>2025</v>
          </cell>
        </row>
        <row r="8371">
          <cell r="U8371">
            <v>2025</v>
          </cell>
        </row>
        <row r="8372">
          <cell r="U8372">
            <v>2025</v>
          </cell>
        </row>
        <row r="8373">
          <cell r="U8373">
            <v>2025</v>
          </cell>
        </row>
        <row r="8374">
          <cell r="U8374">
            <v>2025</v>
          </cell>
        </row>
        <row r="8375">
          <cell r="U8375">
            <v>2025</v>
          </cell>
        </row>
        <row r="8376">
          <cell r="U8376">
            <v>2025</v>
          </cell>
        </row>
        <row r="8377">
          <cell r="U8377">
            <v>2025</v>
          </cell>
        </row>
        <row r="8378">
          <cell r="U8378">
            <v>2025</v>
          </cell>
        </row>
        <row r="8379">
          <cell r="U8379">
            <v>2025</v>
          </cell>
        </row>
        <row r="8380">
          <cell r="U8380">
            <v>2025</v>
          </cell>
        </row>
        <row r="8381">
          <cell r="U8381">
            <v>2025</v>
          </cell>
        </row>
        <row r="8382">
          <cell r="U8382">
            <v>2025</v>
          </cell>
        </row>
        <row r="8383">
          <cell r="U8383">
            <v>2025</v>
          </cell>
        </row>
        <row r="8384">
          <cell r="U8384">
            <v>2025</v>
          </cell>
        </row>
        <row r="8385">
          <cell r="U8385">
            <v>2025</v>
          </cell>
        </row>
        <row r="8386">
          <cell r="U8386">
            <v>2025</v>
          </cell>
        </row>
        <row r="8387">
          <cell r="U8387">
            <v>2025</v>
          </cell>
        </row>
        <row r="8388">
          <cell r="U8388">
            <v>2025</v>
          </cell>
        </row>
        <row r="8389">
          <cell r="U8389">
            <v>2025</v>
          </cell>
        </row>
        <row r="8390">
          <cell r="U8390">
            <v>2025</v>
          </cell>
        </row>
        <row r="8391">
          <cell r="U8391">
            <v>2025</v>
          </cell>
        </row>
        <row r="8392">
          <cell r="U8392">
            <v>2025</v>
          </cell>
        </row>
        <row r="8393">
          <cell r="U8393">
            <v>2025</v>
          </cell>
        </row>
        <row r="8394">
          <cell r="U8394">
            <v>2025</v>
          </cell>
        </row>
        <row r="8395">
          <cell r="U8395">
            <v>2025</v>
          </cell>
        </row>
        <row r="8396">
          <cell r="U8396">
            <v>2025</v>
          </cell>
        </row>
        <row r="8397">
          <cell r="U8397">
            <v>2025</v>
          </cell>
        </row>
        <row r="8398">
          <cell r="U8398">
            <v>2025</v>
          </cell>
        </row>
        <row r="8399">
          <cell r="U8399">
            <v>2025</v>
          </cell>
        </row>
        <row r="8400">
          <cell r="U8400">
            <v>2025</v>
          </cell>
        </row>
        <row r="8401">
          <cell r="U8401">
            <v>2025</v>
          </cell>
        </row>
        <row r="8402">
          <cell r="U8402">
            <v>2025</v>
          </cell>
        </row>
        <row r="8403">
          <cell r="U8403">
            <v>2025</v>
          </cell>
        </row>
        <row r="8404">
          <cell r="U8404">
            <v>2025</v>
          </cell>
        </row>
        <row r="8405">
          <cell r="U8405">
            <v>2025</v>
          </cell>
        </row>
        <row r="8406">
          <cell r="U8406">
            <v>2025</v>
          </cell>
        </row>
        <row r="8407">
          <cell r="U8407">
            <v>2025</v>
          </cell>
        </row>
        <row r="8408">
          <cell r="U8408">
            <v>2025</v>
          </cell>
        </row>
        <row r="8409">
          <cell r="U8409">
            <v>2025</v>
          </cell>
        </row>
        <row r="8410">
          <cell r="U8410">
            <v>2025</v>
          </cell>
        </row>
        <row r="8411">
          <cell r="U8411">
            <v>2025</v>
          </cell>
        </row>
        <row r="8412">
          <cell r="U8412">
            <v>2025</v>
          </cell>
        </row>
        <row r="8413">
          <cell r="U8413">
            <v>2025</v>
          </cell>
        </row>
        <row r="8414">
          <cell r="U8414">
            <v>2025</v>
          </cell>
        </row>
        <row r="8415">
          <cell r="U8415">
            <v>2025</v>
          </cell>
        </row>
        <row r="8416">
          <cell r="U8416">
            <v>2025</v>
          </cell>
        </row>
        <row r="8417">
          <cell r="U8417">
            <v>2025</v>
          </cell>
        </row>
        <row r="8418">
          <cell r="U8418">
            <v>2025</v>
          </cell>
        </row>
        <row r="8419">
          <cell r="U8419">
            <v>2025</v>
          </cell>
        </row>
        <row r="8420">
          <cell r="U8420">
            <v>2025</v>
          </cell>
        </row>
        <row r="8421">
          <cell r="U8421">
            <v>2025</v>
          </cell>
        </row>
        <row r="8422">
          <cell r="U8422">
            <v>2025</v>
          </cell>
        </row>
        <row r="8423">
          <cell r="U8423">
            <v>2025</v>
          </cell>
        </row>
        <row r="8424">
          <cell r="U8424">
            <v>2025</v>
          </cell>
        </row>
        <row r="8425">
          <cell r="U8425">
            <v>2025</v>
          </cell>
        </row>
        <row r="8426">
          <cell r="U8426">
            <v>2025</v>
          </cell>
        </row>
        <row r="8427">
          <cell r="U8427">
            <v>2025</v>
          </cell>
        </row>
        <row r="8428">
          <cell r="U8428">
            <v>2025</v>
          </cell>
        </row>
        <row r="8429">
          <cell r="U8429">
            <v>2025</v>
          </cell>
        </row>
        <row r="8430">
          <cell r="U8430">
            <v>2025</v>
          </cell>
        </row>
        <row r="8431">
          <cell r="U8431">
            <v>2025</v>
          </cell>
        </row>
        <row r="8432">
          <cell r="U8432">
            <v>2025</v>
          </cell>
        </row>
        <row r="8433">
          <cell r="U8433">
            <v>2025</v>
          </cell>
        </row>
        <row r="8434">
          <cell r="U8434">
            <v>2025</v>
          </cell>
        </row>
        <row r="8435">
          <cell r="U8435">
            <v>2025</v>
          </cell>
        </row>
        <row r="8436">
          <cell r="U8436">
            <v>2025</v>
          </cell>
        </row>
        <row r="8437">
          <cell r="U8437">
            <v>2025</v>
          </cell>
        </row>
        <row r="8438">
          <cell r="U8438">
            <v>2025</v>
          </cell>
        </row>
        <row r="8439">
          <cell r="U8439">
            <v>2025</v>
          </cell>
        </row>
        <row r="8440">
          <cell r="U8440">
            <v>2025</v>
          </cell>
        </row>
        <row r="8441">
          <cell r="U8441">
            <v>2025</v>
          </cell>
        </row>
        <row r="8442">
          <cell r="U8442">
            <v>2025</v>
          </cell>
        </row>
        <row r="8443">
          <cell r="U8443">
            <v>2025</v>
          </cell>
        </row>
        <row r="8444">
          <cell r="U8444">
            <v>2025</v>
          </cell>
        </row>
        <row r="8445">
          <cell r="U8445">
            <v>2025</v>
          </cell>
        </row>
        <row r="8446">
          <cell r="U8446">
            <v>2025</v>
          </cell>
        </row>
        <row r="8447">
          <cell r="U8447">
            <v>2025</v>
          </cell>
        </row>
        <row r="8448">
          <cell r="U8448">
            <v>2025</v>
          </cell>
        </row>
        <row r="8449">
          <cell r="U8449">
            <v>2025</v>
          </cell>
        </row>
        <row r="8450">
          <cell r="U8450">
            <v>2025</v>
          </cell>
        </row>
        <row r="8451">
          <cell r="U8451">
            <v>2025</v>
          </cell>
        </row>
        <row r="8452">
          <cell r="U8452">
            <v>2025</v>
          </cell>
        </row>
        <row r="8453">
          <cell r="U8453">
            <v>2025</v>
          </cell>
        </row>
        <row r="8454">
          <cell r="U8454">
            <v>2025</v>
          </cell>
        </row>
        <row r="8455">
          <cell r="U8455">
            <v>2025</v>
          </cell>
        </row>
        <row r="8456">
          <cell r="U8456">
            <v>2025</v>
          </cell>
        </row>
        <row r="8457">
          <cell r="U8457">
            <v>2025</v>
          </cell>
        </row>
        <row r="8458">
          <cell r="U8458">
            <v>2025</v>
          </cell>
        </row>
        <row r="8459">
          <cell r="U8459">
            <v>2025</v>
          </cell>
        </row>
        <row r="8460">
          <cell r="U8460">
            <v>2025</v>
          </cell>
        </row>
        <row r="8461">
          <cell r="U8461">
            <v>2025</v>
          </cell>
        </row>
        <row r="8462">
          <cell r="U8462">
            <v>2025</v>
          </cell>
        </row>
        <row r="8463">
          <cell r="U8463">
            <v>2025</v>
          </cell>
        </row>
        <row r="8464">
          <cell r="U8464">
            <v>2025</v>
          </cell>
        </row>
        <row r="8465">
          <cell r="U8465">
            <v>2025</v>
          </cell>
        </row>
        <row r="8466">
          <cell r="U8466">
            <v>2025</v>
          </cell>
        </row>
        <row r="8467">
          <cell r="U8467">
            <v>2025</v>
          </cell>
        </row>
        <row r="8468">
          <cell r="U8468">
            <v>2025</v>
          </cell>
        </row>
        <row r="8469">
          <cell r="U8469">
            <v>2025</v>
          </cell>
        </row>
        <row r="8470">
          <cell r="U8470">
            <v>2025</v>
          </cell>
        </row>
        <row r="8471">
          <cell r="U8471">
            <v>2025</v>
          </cell>
        </row>
        <row r="8472">
          <cell r="U8472">
            <v>2025</v>
          </cell>
        </row>
        <row r="8473">
          <cell r="U8473">
            <v>2025</v>
          </cell>
        </row>
        <row r="8474">
          <cell r="U8474">
            <v>2025</v>
          </cell>
        </row>
        <row r="8475">
          <cell r="U8475">
            <v>2025</v>
          </cell>
        </row>
        <row r="8476">
          <cell r="U8476">
            <v>2025</v>
          </cell>
        </row>
        <row r="8477">
          <cell r="U8477">
            <v>2025</v>
          </cell>
        </row>
        <row r="8478">
          <cell r="U8478">
            <v>2025</v>
          </cell>
        </row>
        <row r="8479">
          <cell r="U8479">
            <v>2025</v>
          </cell>
        </row>
        <row r="8480">
          <cell r="U8480">
            <v>2025</v>
          </cell>
        </row>
        <row r="8481">
          <cell r="U8481">
            <v>2025</v>
          </cell>
        </row>
        <row r="8482">
          <cell r="U8482">
            <v>2025</v>
          </cell>
        </row>
        <row r="8483">
          <cell r="U8483">
            <v>2025</v>
          </cell>
        </row>
        <row r="8484">
          <cell r="U8484">
            <v>2025</v>
          </cell>
        </row>
        <row r="8485">
          <cell r="U8485">
            <v>2025</v>
          </cell>
        </row>
        <row r="8486">
          <cell r="U8486">
            <v>2025</v>
          </cell>
        </row>
        <row r="8487">
          <cell r="U8487">
            <v>2025</v>
          </cell>
        </row>
        <row r="8488">
          <cell r="U8488">
            <v>2025</v>
          </cell>
        </row>
        <row r="8489">
          <cell r="U8489">
            <v>2025</v>
          </cell>
        </row>
        <row r="8490">
          <cell r="U8490">
            <v>2025</v>
          </cell>
        </row>
        <row r="8491">
          <cell r="U8491">
            <v>2025</v>
          </cell>
        </row>
        <row r="8492">
          <cell r="U8492">
            <v>2025</v>
          </cell>
        </row>
        <row r="8493">
          <cell r="U8493">
            <v>2025</v>
          </cell>
        </row>
        <row r="8494">
          <cell r="U8494">
            <v>2025</v>
          </cell>
        </row>
        <row r="8495">
          <cell r="U8495">
            <v>2025</v>
          </cell>
        </row>
        <row r="8496">
          <cell r="U8496">
            <v>2025</v>
          </cell>
        </row>
        <row r="8497">
          <cell r="U8497">
            <v>2025</v>
          </cell>
        </row>
        <row r="8498">
          <cell r="U8498">
            <v>2025</v>
          </cell>
        </row>
        <row r="8499">
          <cell r="U8499">
            <v>2025</v>
          </cell>
        </row>
        <row r="8500">
          <cell r="U8500">
            <v>2025</v>
          </cell>
        </row>
        <row r="8501">
          <cell r="U8501">
            <v>2025</v>
          </cell>
        </row>
        <row r="8502">
          <cell r="U8502">
            <v>2025</v>
          </cell>
        </row>
        <row r="8503">
          <cell r="U8503">
            <v>2025</v>
          </cell>
        </row>
        <row r="8504">
          <cell r="U8504">
            <v>2025</v>
          </cell>
        </row>
        <row r="8505">
          <cell r="U8505">
            <v>2025</v>
          </cell>
        </row>
        <row r="8506">
          <cell r="U8506">
            <v>2025</v>
          </cell>
        </row>
        <row r="8507">
          <cell r="U8507">
            <v>2025</v>
          </cell>
        </row>
        <row r="8508">
          <cell r="U8508">
            <v>2025</v>
          </cell>
        </row>
        <row r="8509">
          <cell r="U8509">
            <v>2025</v>
          </cell>
        </row>
        <row r="8510">
          <cell r="U8510">
            <v>2025</v>
          </cell>
        </row>
        <row r="8511">
          <cell r="U8511">
            <v>2025</v>
          </cell>
        </row>
        <row r="8512">
          <cell r="U8512">
            <v>2025</v>
          </cell>
        </row>
        <row r="8513">
          <cell r="U8513">
            <v>2025</v>
          </cell>
        </row>
        <row r="8514">
          <cell r="U8514">
            <v>2025</v>
          </cell>
        </row>
        <row r="8515">
          <cell r="U8515">
            <v>2025</v>
          </cell>
        </row>
        <row r="8516">
          <cell r="U8516">
            <v>2025</v>
          </cell>
        </row>
        <row r="8517">
          <cell r="U8517">
            <v>2025</v>
          </cell>
        </row>
        <row r="8518">
          <cell r="U8518">
            <v>2025</v>
          </cell>
        </row>
        <row r="8519">
          <cell r="U8519">
            <v>2025</v>
          </cell>
        </row>
        <row r="8520">
          <cell r="U8520">
            <v>2025</v>
          </cell>
        </row>
        <row r="8521">
          <cell r="U8521">
            <v>2025</v>
          </cell>
        </row>
        <row r="8522">
          <cell r="U8522">
            <v>2025</v>
          </cell>
        </row>
        <row r="8523">
          <cell r="U8523">
            <v>2025</v>
          </cell>
        </row>
        <row r="8524">
          <cell r="U8524">
            <v>2025</v>
          </cell>
        </row>
        <row r="8525">
          <cell r="U8525">
            <v>2025</v>
          </cell>
        </row>
        <row r="8526">
          <cell r="U8526">
            <v>2025</v>
          </cell>
        </row>
        <row r="8527">
          <cell r="U8527">
            <v>2025</v>
          </cell>
        </row>
        <row r="8528">
          <cell r="U8528">
            <v>2025</v>
          </cell>
        </row>
        <row r="8529">
          <cell r="U8529">
            <v>2025</v>
          </cell>
        </row>
        <row r="8530">
          <cell r="U8530">
            <v>2025</v>
          </cell>
        </row>
        <row r="8531">
          <cell r="U8531">
            <v>2025</v>
          </cell>
        </row>
        <row r="8532">
          <cell r="U8532">
            <v>2025</v>
          </cell>
        </row>
        <row r="8533">
          <cell r="U8533">
            <v>2025</v>
          </cell>
        </row>
        <row r="8534">
          <cell r="U8534">
            <v>2025</v>
          </cell>
        </row>
        <row r="8535">
          <cell r="U8535">
            <v>2025</v>
          </cell>
        </row>
        <row r="8536">
          <cell r="U8536">
            <v>2025</v>
          </cell>
        </row>
        <row r="8537">
          <cell r="U8537">
            <v>2025</v>
          </cell>
        </row>
        <row r="8538">
          <cell r="U8538">
            <v>2025</v>
          </cell>
        </row>
        <row r="8539">
          <cell r="U8539">
            <v>2025</v>
          </cell>
        </row>
        <row r="8540">
          <cell r="U8540">
            <v>2025</v>
          </cell>
        </row>
        <row r="8541">
          <cell r="U8541">
            <v>2025</v>
          </cell>
        </row>
        <row r="8542">
          <cell r="U8542">
            <v>2025</v>
          </cell>
        </row>
        <row r="8543">
          <cell r="U8543">
            <v>2025</v>
          </cell>
        </row>
        <row r="8544">
          <cell r="U8544">
            <v>2025</v>
          </cell>
        </row>
        <row r="8545">
          <cell r="U8545">
            <v>2025</v>
          </cell>
        </row>
        <row r="8546">
          <cell r="U8546">
            <v>2025</v>
          </cell>
        </row>
        <row r="8547">
          <cell r="U8547">
            <v>2025</v>
          </cell>
        </row>
        <row r="8548">
          <cell r="U8548">
            <v>2025</v>
          </cell>
        </row>
        <row r="8549">
          <cell r="U8549">
            <v>2025</v>
          </cell>
        </row>
        <row r="8550">
          <cell r="U8550">
            <v>2025</v>
          </cell>
        </row>
        <row r="8551">
          <cell r="U8551">
            <v>2025</v>
          </cell>
        </row>
        <row r="8552">
          <cell r="U8552">
            <v>2025</v>
          </cell>
        </row>
        <row r="8553">
          <cell r="U8553">
            <v>2025</v>
          </cell>
        </row>
        <row r="8554">
          <cell r="U8554">
            <v>2025</v>
          </cell>
        </row>
        <row r="8555">
          <cell r="U8555">
            <v>2025</v>
          </cell>
        </row>
        <row r="8556">
          <cell r="U8556">
            <v>2025</v>
          </cell>
        </row>
        <row r="8557">
          <cell r="U8557">
            <v>2025</v>
          </cell>
        </row>
        <row r="8558">
          <cell r="U8558">
            <v>2025</v>
          </cell>
        </row>
        <row r="8559">
          <cell r="U8559">
            <v>2025</v>
          </cell>
        </row>
        <row r="8560">
          <cell r="U8560">
            <v>2025</v>
          </cell>
        </row>
        <row r="8561">
          <cell r="U8561">
            <v>2025</v>
          </cell>
        </row>
        <row r="8562">
          <cell r="U8562">
            <v>2025</v>
          </cell>
        </row>
        <row r="8563">
          <cell r="U8563">
            <v>2025</v>
          </cell>
        </row>
        <row r="8564">
          <cell r="U8564">
            <v>2025</v>
          </cell>
        </row>
        <row r="8565">
          <cell r="U8565">
            <v>2025</v>
          </cell>
        </row>
        <row r="8566">
          <cell r="U8566">
            <v>2025</v>
          </cell>
        </row>
        <row r="8567">
          <cell r="U8567">
            <v>2025</v>
          </cell>
        </row>
        <row r="8568">
          <cell r="U8568">
            <v>2025</v>
          </cell>
        </row>
        <row r="8569">
          <cell r="U8569">
            <v>2025</v>
          </cell>
        </row>
        <row r="8570">
          <cell r="U8570">
            <v>2025</v>
          </cell>
        </row>
        <row r="8571">
          <cell r="U8571">
            <v>2025</v>
          </cell>
        </row>
        <row r="8572">
          <cell r="U8572">
            <v>2025</v>
          </cell>
        </row>
        <row r="8573">
          <cell r="U8573">
            <v>2025</v>
          </cell>
        </row>
        <row r="8574">
          <cell r="U8574">
            <v>2025</v>
          </cell>
        </row>
        <row r="8575">
          <cell r="U8575">
            <v>2025</v>
          </cell>
        </row>
        <row r="8576">
          <cell r="U8576">
            <v>2025</v>
          </cell>
        </row>
        <row r="8577">
          <cell r="U8577">
            <v>2025</v>
          </cell>
        </row>
        <row r="8578">
          <cell r="U8578">
            <v>2025</v>
          </cell>
        </row>
        <row r="8579">
          <cell r="U8579">
            <v>2025</v>
          </cell>
        </row>
        <row r="8580">
          <cell r="U8580">
            <v>2025</v>
          </cell>
        </row>
        <row r="8581">
          <cell r="U8581">
            <v>2025</v>
          </cell>
        </row>
        <row r="8582">
          <cell r="U8582">
            <v>2025</v>
          </cell>
        </row>
        <row r="8583">
          <cell r="U8583">
            <v>2025</v>
          </cell>
        </row>
        <row r="8584">
          <cell r="U8584">
            <v>2025</v>
          </cell>
        </row>
        <row r="8585">
          <cell r="U8585">
            <v>2025</v>
          </cell>
        </row>
        <row r="8586">
          <cell r="U8586">
            <v>2025</v>
          </cell>
        </row>
        <row r="8587">
          <cell r="U8587">
            <v>2025</v>
          </cell>
        </row>
        <row r="8588">
          <cell r="U8588">
            <v>2025</v>
          </cell>
        </row>
        <row r="8589">
          <cell r="U8589">
            <v>2025</v>
          </cell>
        </row>
        <row r="8590">
          <cell r="U8590">
            <v>2025</v>
          </cell>
        </row>
        <row r="8591">
          <cell r="U8591">
            <v>2025</v>
          </cell>
        </row>
        <row r="8592">
          <cell r="U8592">
            <v>2025</v>
          </cell>
        </row>
        <row r="8593">
          <cell r="U8593">
            <v>2025</v>
          </cell>
        </row>
        <row r="8594">
          <cell r="U8594">
            <v>2025</v>
          </cell>
        </row>
        <row r="8595">
          <cell r="U8595">
            <v>2025</v>
          </cell>
        </row>
        <row r="8596">
          <cell r="U8596">
            <v>2025</v>
          </cell>
        </row>
        <row r="8597">
          <cell r="U8597">
            <v>2025</v>
          </cell>
        </row>
        <row r="8598">
          <cell r="U8598">
            <v>2025</v>
          </cell>
        </row>
        <row r="8599">
          <cell r="U8599">
            <v>2025</v>
          </cell>
        </row>
        <row r="8600">
          <cell r="U8600">
            <v>2025</v>
          </cell>
        </row>
        <row r="8601">
          <cell r="U8601">
            <v>2025</v>
          </cell>
        </row>
        <row r="8602">
          <cell r="U8602">
            <v>2025</v>
          </cell>
        </row>
        <row r="8603">
          <cell r="U8603">
            <v>2025</v>
          </cell>
        </row>
        <row r="8604">
          <cell r="U8604">
            <v>2025</v>
          </cell>
        </row>
        <row r="8605">
          <cell r="U8605">
            <v>2025</v>
          </cell>
        </row>
        <row r="8606">
          <cell r="U8606">
            <v>2025</v>
          </cell>
        </row>
        <row r="8607">
          <cell r="U8607">
            <v>2025</v>
          </cell>
        </row>
        <row r="8608">
          <cell r="U8608">
            <v>2025</v>
          </cell>
        </row>
        <row r="8609">
          <cell r="U8609">
            <v>2025</v>
          </cell>
        </row>
        <row r="8610">
          <cell r="U8610">
            <v>2025</v>
          </cell>
        </row>
        <row r="8611">
          <cell r="U8611">
            <v>2025</v>
          </cell>
        </row>
        <row r="8612">
          <cell r="U8612">
            <v>2025</v>
          </cell>
        </row>
        <row r="8613">
          <cell r="U8613">
            <v>2025</v>
          </cell>
        </row>
        <row r="8614">
          <cell r="U8614">
            <v>2025</v>
          </cell>
        </row>
        <row r="8615">
          <cell r="U8615">
            <v>2025</v>
          </cell>
        </row>
        <row r="8616">
          <cell r="U8616">
            <v>2025</v>
          </cell>
        </row>
        <row r="8617">
          <cell r="U8617">
            <v>2025</v>
          </cell>
        </row>
        <row r="8618">
          <cell r="U8618">
            <v>2025</v>
          </cell>
        </row>
        <row r="8619">
          <cell r="U8619">
            <v>2025</v>
          </cell>
        </row>
        <row r="8620">
          <cell r="U8620">
            <v>2025</v>
          </cell>
        </row>
        <row r="8621">
          <cell r="U8621">
            <v>2025</v>
          </cell>
        </row>
        <row r="8622">
          <cell r="U8622">
            <v>2025</v>
          </cell>
        </row>
        <row r="8623">
          <cell r="U8623">
            <v>2025</v>
          </cell>
        </row>
        <row r="8624">
          <cell r="U8624">
            <v>2025</v>
          </cell>
        </row>
        <row r="8625">
          <cell r="U8625">
            <v>2025</v>
          </cell>
        </row>
        <row r="8626">
          <cell r="U8626">
            <v>2025</v>
          </cell>
        </row>
        <row r="8627">
          <cell r="U8627">
            <v>2025</v>
          </cell>
        </row>
        <row r="8628">
          <cell r="U8628">
            <v>2025</v>
          </cell>
        </row>
        <row r="8629">
          <cell r="U8629">
            <v>2025</v>
          </cell>
        </row>
        <row r="8630">
          <cell r="U8630">
            <v>2025</v>
          </cell>
        </row>
        <row r="8631">
          <cell r="U8631">
            <v>2025</v>
          </cell>
        </row>
        <row r="8632">
          <cell r="U8632">
            <v>2025</v>
          </cell>
        </row>
        <row r="8633">
          <cell r="U8633">
            <v>2025</v>
          </cell>
        </row>
        <row r="8634">
          <cell r="U8634">
            <v>2025</v>
          </cell>
        </row>
        <row r="8635">
          <cell r="U8635">
            <v>2025</v>
          </cell>
        </row>
        <row r="8636">
          <cell r="U8636">
            <v>2025</v>
          </cell>
        </row>
        <row r="8637">
          <cell r="U8637">
            <v>2025</v>
          </cell>
        </row>
        <row r="8638">
          <cell r="U8638">
            <v>2025</v>
          </cell>
        </row>
        <row r="8639">
          <cell r="U8639">
            <v>2025</v>
          </cell>
        </row>
        <row r="8640">
          <cell r="U8640">
            <v>2025</v>
          </cell>
        </row>
        <row r="8641">
          <cell r="U8641">
            <v>2025</v>
          </cell>
        </row>
        <row r="8642">
          <cell r="U8642">
            <v>2025</v>
          </cell>
        </row>
        <row r="8643">
          <cell r="U8643">
            <v>2025</v>
          </cell>
        </row>
        <row r="8644">
          <cell r="U8644">
            <v>2025</v>
          </cell>
        </row>
        <row r="8645">
          <cell r="U8645">
            <v>2025</v>
          </cell>
        </row>
        <row r="8646">
          <cell r="U8646">
            <v>2025</v>
          </cell>
        </row>
        <row r="8647">
          <cell r="U8647">
            <v>2025</v>
          </cell>
        </row>
        <row r="8648">
          <cell r="U8648">
            <v>2025</v>
          </cell>
        </row>
        <row r="8649">
          <cell r="U8649">
            <v>2025</v>
          </cell>
        </row>
        <row r="8650">
          <cell r="U8650">
            <v>2025</v>
          </cell>
        </row>
        <row r="8651">
          <cell r="U8651">
            <v>2025</v>
          </cell>
        </row>
        <row r="8652">
          <cell r="U8652">
            <v>2025</v>
          </cell>
        </row>
        <row r="8653">
          <cell r="U8653">
            <v>2025</v>
          </cell>
        </row>
        <row r="8654">
          <cell r="U8654">
            <v>2025</v>
          </cell>
        </row>
        <row r="8655">
          <cell r="U8655">
            <v>2025</v>
          </cell>
        </row>
        <row r="8656">
          <cell r="U8656">
            <v>2025</v>
          </cell>
        </row>
        <row r="8657">
          <cell r="U8657">
            <v>2025</v>
          </cell>
        </row>
        <row r="8658">
          <cell r="U8658">
            <v>2025</v>
          </cell>
        </row>
        <row r="8659">
          <cell r="U8659">
            <v>2025</v>
          </cell>
        </row>
        <row r="8660">
          <cell r="U8660">
            <v>2025</v>
          </cell>
        </row>
        <row r="8661">
          <cell r="U8661">
            <v>2025</v>
          </cell>
        </row>
        <row r="8662">
          <cell r="U8662">
            <v>2025</v>
          </cell>
        </row>
        <row r="8663">
          <cell r="U8663">
            <v>2025</v>
          </cell>
        </row>
        <row r="8664">
          <cell r="U8664">
            <v>2025</v>
          </cell>
        </row>
        <row r="8665">
          <cell r="U8665">
            <v>2025</v>
          </cell>
        </row>
        <row r="8666">
          <cell r="U8666">
            <v>2025</v>
          </cell>
        </row>
        <row r="8667">
          <cell r="U8667">
            <v>2025</v>
          </cell>
        </row>
        <row r="8668">
          <cell r="U8668">
            <v>2025</v>
          </cell>
        </row>
        <row r="8669">
          <cell r="U8669">
            <v>2025</v>
          </cell>
        </row>
        <row r="8670">
          <cell r="U8670">
            <v>2025</v>
          </cell>
        </row>
        <row r="8671">
          <cell r="U8671">
            <v>2025</v>
          </cell>
        </row>
        <row r="8672">
          <cell r="U8672">
            <v>2025</v>
          </cell>
        </row>
        <row r="8673">
          <cell r="U8673">
            <v>2025</v>
          </cell>
        </row>
        <row r="8674">
          <cell r="U8674">
            <v>2025</v>
          </cell>
        </row>
        <row r="8675">
          <cell r="U8675">
            <v>2025</v>
          </cell>
        </row>
        <row r="8676">
          <cell r="U8676">
            <v>2025</v>
          </cell>
        </row>
        <row r="8677">
          <cell r="U8677">
            <v>2025</v>
          </cell>
        </row>
        <row r="8678">
          <cell r="U8678">
            <v>2025</v>
          </cell>
        </row>
        <row r="8679">
          <cell r="U8679">
            <v>2025</v>
          </cell>
        </row>
        <row r="8680">
          <cell r="U8680">
            <v>2025</v>
          </cell>
        </row>
        <row r="8681">
          <cell r="U8681">
            <v>2025</v>
          </cell>
        </row>
        <row r="8682">
          <cell r="U8682">
            <v>2025</v>
          </cell>
        </row>
        <row r="8683">
          <cell r="U8683">
            <v>2025</v>
          </cell>
        </row>
        <row r="8684">
          <cell r="U8684">
            <v>2025</v>
          </cell>
        </row>
        <row r="8685">
          <cell r="U8685">
            <v>2025</v>
          </cell>
        </row>
        <row r="8686">
          <cell r="U8686">
            <v>2025</v>
          </cell>
        </row>
        <row r="8687">
          <cell r="U8687">
            <v>2025</v>
          </cell>
        </row>
        <row r="8688">
          <cell r="U8688">
            <v>2025</v>
          </cell>
        </row>
        <row r="8689">
          <cell r="U8689">
            <v>2025</v>
          </cell>
        </row>
        <row r="8690">
          <cell r="U8690">
            <v>2025</v>
          </cell>
        </row>
        <row r="8691">
          <cell r="U8691">
            <v>2025</v>
          </cell>
        </row>
        <row r="8692">
          <cell r="U8692">
            <v>2025</v>
          </cell>
        </row>
        <row r="8693">
          <cell r="U8693">
            <v>2025</v>
          </cell>
        </row>
        <row r="8694">
          <cell r="U8694">
            <v>2025</v>
          </cell>
        </row>
        <row r="8695">
          <cell r="U8695">
            <v>2025</v>
          </cell>
        </row>
        <row r="8696">
          <cell r="U8696">
            <v>2025</v>
          </cell>
        </row>
        <row r="8697">
          <cell r="U8697">
            <v>2025</v>
          </cell>
        </row>
        <row r="8698">
          <cell r="U8698">
            <v>2025</v>
          </cell>
        </row>
        <row r="8699">
          <cell r="U8699">
            <v>2025</v>
          </cell>
        </row>
        <row r="8700">
          <cell r="U8700">
            <v>2025</v>
          </cell>
        </row>
        <row r="8701">
          <cell r="U8701">
            <v>2025</v>
          </cell>
        </row>
        <row r="8702">
          <cell r="U8702">
            <v>2025</v>
          </cell>
        </row>
        <row r="8703">
          <cell r="U8703">
            <v>2025</v>
          </cell>
        </row>
        <row r="8704">
          <cell r="U8704">
            <v>2025</v>
          </cell>
        </row>
        <row r="8705">
          <cell r="U8705">
            <v>2025</v>
          </cell>
        </row>
        <row r="8706">
          <cell r="U8706">
            <v>2025</v>
          </cell>
        </row>
        <row r="8707">
          <cell r="U8707">
            <v>2025</v>
          </cell>
        </row>
        <row r="8708">
          <cell r="U8708">
            <v>2025</v>
          </cell>
        </row>
        <row r="8709">
          <cell r="U8709">
            <v>2025</v>
          </cell>
        </row>
        <row r="8710">
          <cell r="U8710">
            <v>2025</v>
          </cell>
        </row>
        <row r="8711">
          <cell r="U8711">
            <v>2025</v>
          </cell>
        </row>
        <row r="8712">
          <cell r="U8712">
            <v>2025</v>
          </cell>
        </row>
        <row r="8713">
          <cell r="U8713">
            <v>2025</v>
          </cell>
        </row>
        <row r="8714">
          <cell r="U8714">
            <v>2025</v>
          </cell>
        </row>
        <row r="8715">
          <cell r="U8715">
            <v>2025</v>
          </cell>
        </row>
        <row r="8716">
          <cell r="U8716">
            <v>2025</v>
          </cell>
        </row>
        <row r="8717">
          <cell r="U8717">
            <v>2025</v>
          </cell>
        </row>
        <row r="8718">
          <cell r="U8718">
            <v>2025</v>
          </cell>
        </row>
        <row r="8719">
          <cell r="U8719">
            <v>2025</v>
          </cell>
        </row>
        <row r="8720">
          <cell r="U8720">
            <v>2025</v>
          </cell>
        </row>
        <row r="8721">
          <cell r="U8721">
            <v>2025</v>
          </cell>
        </row>
        <row r="8722">
          <cell r="U8722">
            <v>2025</v>
          </cell>
        </row>
        <row r="8723">
          <cell r="U8723">
            <v>2025</v>
          </cell>
        </row>
        <row r="8724">
          <cell r="U8724">
            <v>2025</v>
          </cell>
        </row>
        <row r="8725">
          <cell r="U8725">
            <v>2025</v>
          </cell>
        </row>
        <row r="8726">
          <cell r="U8726">
            <v>2025</v>
          </cell>
        </row>
        <row r="8727">
          <cell r="U8727">
            <v>2025</v>
          </cell>
        </row>
        <row r="8728">
          <cell r="U8728">
            <v>2025</v>
          </cell>
        </row>
        <row r="8729">
          <cell r="U8729">
            <v>2025</v>
          </cell>
        </row>
        <row r="8730">
          <cell r="U8730">
            <v>2025</v>
          </cell>
        </row>
        <row r="8731">
          <cell r="U8731">
            <v>2025</v>
          </cell>
        </row>
        <row r="8732">
          <cell r="U8732">
            <v>2025</v>
          </cell>
        </row>
        <row r="8733">
          <cell r="U8733">
            <v>2025</v>
          </cell>
        </row>
        <row r="8734">
          <cell r="U8734">
            <v>2025</v>
          </cell>
        </row>
        <row r="8735">
          <cell r="U8735">
            <v>2025</v>
          </cell>
        </row>
        <row r="8736">
          <cell r="U8736">
            <v>2025</v>
          </cell>
        </row>
        <row r="8737">
          <cell r="U8737">
            <v>2025</v>
          </cell>
        </row>
        <row r="8738">
          <cell r="U8738">
            <v>2025</v>
          </cell>
        </row>
        <row r="8739">
          <cell r="U8739">
            <v>2025</v>
          </cell>
        </row>
        <row r="8740">
          <cell r="U8740">
            <v>2025</v>
          </cell>
        </row>
        <row r="8741">
          <cell r="U8741">
            <v>2025</v>
          </cell>
        </row>
        <row r="8742">
          <cell r="U8742">
            <v>2025</v>
          </cell>
        </row>
        <row r="8743">
          <cell r="U8743">
            <v>2025</v>
          </cell>
        </row>
        <row r="8744">
          <cell r="U8744">
            <v>2025</v>
          </cell>
        </row>
        <row r="8745">
          <cell r="U8745">
            <v>2025</v>
          </cell>
        </row>
        <row r="8746">
          <cell r="U8746">
            <v>2025</v>
          </cell>
        </row>
        <row r="8747">
          <cell r="U8747">
            <v>2025</v>
          </cell>
        </row>
        <row r="8748">
          <cell r="U8748">
            <v>2025</v>
          </cell>
        </row>
        <row r="8749">
          <cell r="U8749">
            <v>2025</v>
          </cell>
        </row>
        <row r="8750">
          <cell r="U8750">
            <v>2025</v>
          </cell>
        </row>
        <row r="8751">
          <cell r="U8751">
            <v>2025</v>
          </cell>
        </row>
        <row r="8752">
          <cell r="U8752">
            <v>2025</v>
          </cell>
        </row>
        <row r="8753">
          <cell r="U8753">
            <v>2025</v>
          </cell>
        </row>
        <row r="8754">
          <cell r="U8754">
            <v>2025</v>
          </cell>
        </row>
        <row r="8755">
          <cell r="U8755">
            <v>2025</v>
          </cell>
        </row>
        <row r="8756">
          <cell r="U8756">
            <v>2025</v>
          </cell>
        </row>
        <row r="8757">
          <cell r="U8757">
            <v>2025</v>
          </cell>
        </row>
        <row r="8758">
          <cell r="U8758">
            <v>2025</v>
          </cell>
        </row>
        <row r="8759">
          <cell r="U8759">
            <v>2025</v>
          </cell>
        </row>
        <row r="8760">
          <cell r="U8760">
            <v>2025</v>
          </cell>
        </row>
        <row r="8761">
          <cell r="U8761">
            <v>2025</v>
          </cell>
        </row>
        <row r="8762">
          <cell r="U8762">
            <v>2025</v>
          </cell>
        </row>
        <row r="8763">
          <cell r="U8763">
            <v>2025</v>
          </cell>
        </row>
        <row r="8764">
          <cell r="U8764">
            <v>2025</v>
          </cell>
        </row>
        <row r="8765">
          <cell r="U8765">
            <v>2025</v>
          </cell>
        </row>
        <row r="8766">
          <cell r="U8766">
            <v>2025</v>
          </cell>
        </row>
        <row r="8767">
          <cell r="U8767">
            <v>2025</v>
          </cell>
        </row>
        <row r="8768">
          <cell r="U8768">
            <v>2025</v>
          </cell>
        </row>
        <row r="8769">
          <cell r="U8769">
            <v>2025</v>
          </cell>
        </row>
        <row r="8770">
          <cell r="U8770">
            <v>2025</v>
          </cell>
        </row>
        <row r="8771">
          <cell r="U8771">
            <v>2025</v>
          </cell>
        </row>
        <row r="8772">
          <cell r="U8772">
            <v>2025</v>
          </cell>
        </row>
        <row r="8773">
          <cell r="U8773">
            <v>2025</v>
          </cell>
        </row>
        <row r="8774">
          <cell r="U8774">
            <v>2025</v>
          </cell>
        </row>
        <row r="8775">
          <cell r="U8775">
            <v>2025</v>
          </cell>
        </row>
        <row r="8776">
          <cell r="U8776">
            <v>2025</v>
          </cell>
        </row>
        <row r="8777">
          <cell r="U8777">
            <v>2025</v>
          </cell>
        </row>
        <row r="8778">
          <cell r="U8778">
            <v>2025</v>
          </cell>
        </row>
        <row r="8779">
          <cell r="U8779">
            <v>2025</v>
          </cell>
        </row>
        <row r="8780">
          <cell r="U8780">
            <v>2025</v>
          </cell>
        </row>
        <row r="8781">
          <cell r="U8781">
            <v>2025</v>
          </cell>
        </row>
        <row r="8782">
          <cell r="U8782">
            <v>2025</v>
          </cell>
        </row>
        <row r="8783">
          <cell r="U8783">
            <v>2025</v>
          </cell>
        </row>
        <row r="8784">
          <cell r="U8784">
            <v>2025</v>
          </cell>
        </row>
        <row r="8785">
          <cell r="U8785">
            <v>2025</v>
          </cell>
        </row>
        <row r="8786">
          <cell r="U8786">
            <v>2025</v>
          </cell>
        </row>
        <row r="8787">
          <cell r="U8787">
            <v>2025</v>
          </cell>
        </row>
        <row r="8788">
          <cell r="U8788">
            <v>2025</v>
          </cell>
        </row>
        <row r="8789">
          <cell r="U8789">
            <v>2025</v>
          </cell>
        </row>
        <row r="8790">
          <cell r="U8790">
            <v>2025</v>
          </cell>
        </row>
        <row r="8791">
          <cell r="U8791">
            <v>2025</v>
          </cell>
        </row>
        <row r="8792">
          <cell r="U8792">
            <v>2025</v>
          </cell>
        </row>
        <row r="8793">
          <cell r="U8793">
            <v>2025</v>
          </cell>
        </row>
        <row r="8794">
          <cell r="U8794">
            <v>2025</v>
          </cell>
        </row>
        <row r="8795">
          <cell r="U8795">
            <v>2025</v>
          </cell>
        </row>
        <row r="8796">
          <cell r="U8796">
            <v>2025</v>
          </cell>
        </row>
        <row r="8797">
          <cell r="U8797">
            <v>2025</v>
          </cell>
        </row>
        <row r="8798">
          <cell r="U8798">
            <v>2025</v>
          </cell>
        </row>
        <row r="8799">
          <cell r="U8799">
            <v>2025</v>
          </cell>
        </row>
        <row r="8800">
          <cell r="U8800">
            <v>2025</v>
          </cell>
        </row>
        <row r="8801">
          <cell r="U8801">
            <v>2025</v>
          </cell>
        </row>
        <row r="8802">
          <cell r="U8802">
            <v>2025</v>
          </cell>
        </row>
        <row r="8803">
          <cell r="U8803">
            <v>2025</v>
          </cell>
        </row>
        <row r="8804">
          <cell r="U8804">
            <v>2025</v>
          </cell>
        </row>
        <row r="8805">
          <cell r="U8805">
            <v>2025</v>
          </cell>
        </row>
        <row r="8806">
          <cell r="U8806">
            <v>2025</v>
          </cell>
        </row>
        <row r="8807">
          <cell r="U8807">
            <v>2025</v>
          </cell>
        </row>
        <row r="8808">
          <cell r="U8808">
            <v>2025</v>
          </cell>
        </row>
        <row r="8809">
          <cell r="U8809">
            <v>2025</v>
          </cell>
        </row>
        <row r="8810">
          <cell r="U8810">
            <v>2025</v>
          </cell>
        </row>
        <row r="8811">
          <cell r="U8811">
            <v>2025</v>
          </cell>
        </row>
        <row r="8812">
          <cell r="U8812">
            <v>2025</v>
          </cell>
        </row>
        <row r="8813">
          <cell r="U8813">
            <v>2025</v>
          </cell>
        </row>
        <row r="8814">
          <cell r="U8814">
            <v>2025</v>
          </cell>
        </row>
        <row r="8815">
          <cell r="U8815">
            <v>2025</v>
          </cell>
        </row>
        <row r="8816">
          <cell r="U8816">
            <v>2025</v>
          </cell>
        </row>
        <row r="8817">
          <cell r="U8817">
            <v>2025</v>
          </cell>
        </row>
        <row r="8818">
          <cell r="U8818">
            <v>2025</v>
          </cell>
        </row>
        <row r="8819">
          <cell r="U8819">
            <v>2025</v>
          </cell>
        </row>
        <row r="8820">
          <cell r="U8820">
            <v>2025</v>
          </cell>
        </row>
        <row r="8821">
          <cell r="U8821">
            <v>2025</v>
          </cell>
        </row>
        <row r="8822">
          <cell r="U8822">
            <v>2025</v>
          </cell>
        </row>
        <row r="8823">
          <cell r="U8823">
            <v>2025</v>
          </cell>
        </row>
        <row r="8824">
          <cell r="U8824">
            <v>2025</v>
          </cell>
        </row>
        <row r="8825">
          <cell r="U8825">
            <v>2025</v>
          </cell>
        </row>
        <row r="8826">
          <cell r="U8826">
            <v>2025</v>
          </cell>
        </row>
        <row r="8827">
          <cell r="U8827">
            <v>2025</v>
          </cell>
        </row>
        <row r="8828">
          <cell r="U8828">
            <v>2025</v>
          </cell>
        </row>
        <row r="8829">
          <cell r="U8829">
            <v>2025</v>
          </cell>
        </row>
        <row r="8830">
          <cell r="U8830">
            <v>2025</v>
          </cell>
        </row>
        <row r="8831">
          <cell r="U8831">
            <v>2025</v>
          </cell>
        </row>
        <row r="8832">
          <cell r="U8832">
            <v>2025</v>
          </cell>
        </row>
        <row r="8833">
          <cell r="U8833">
            <v>2025</v>
          </cell>
        </row>
        <row r="8834">
          <cell r="U8834">
            <v>2025</v>
          </cell>
        </row>
        <row r="8835">
          <cell r="U8835">
            <v>2025</v>
          </cell>
        </row>
        <row r="8836">
          <cell r="U8836">
            <v>2025</v>
          </cell>
        </row>
        <row r="8837">
          <cell r="U8837">
            <v>2025</v>
          </cell>
        </row>
        <row r="8838">
          <cell r="U8838">
            <v>2025</v>
          </cell>
        </row>
        <row r="8839">
          <cell r="U8839">
            <v>2025</v>
          </cell>
        </row>
        <row r="8840">
          <cell r="U8840">
            <v>2025</v>
          </cell>
        </row>
        <row r="8841">
          <cell r="U8841">
            <v>2025</v>
          </cell>
        </row>
        <row r="8842">
          <cell r="U8842">
            <v>2025</v>
          </cell>
        </row>
        <row r="8843">
          <cell r="U8843">
            <v>2025</v>
          </cell>
        </row>
        <row r="8844">
          <cell r="U8844">
            <v>2025</v>
          </cell>
        </row>
        <row r="8845">
          <cell r="U8845">
            <v>2025</v>
          </cell>
        </row>
        <row r="8846">
          <cell r="U8846">
            <v>2025</v>
          </cell>
        </row>
        <row r="8847">
          <cell r="U8847">
            <v>2025</v>
          </cell>
        </row>
        <row r="8848">
          <cell r="U8848">
            <v>2025</v>
          </cell>
        </row>
        <row r="8849">
          <cell r="U8849">
            <v>2025</v>
          </cell>
        </row>
        <row r="8850">
          <cell r="U8850">
            <v>2025</v>
          </cell>
        </row>
        <row r="8851">
          <cell r="U8851">
            <v>2025</v>
          </cell>
        </row>
        <row r="8852">
          <cell r="U8852">
            <v>2025</v>
          </cell>
        </row>
        <row r="8853">
          <cell r="U8853">
            <v>2025</v>
          </cell>
        </row>
        <row r="8854">
          <cell r="U8854">
            <v>2025</v>
          </cell>
        </row>
        <row r="8855">
          <cell r="U8855">
            <v>2025</v>
          </cell>
        </row>
        <row r="8856">
          <cell r="U8856">
            <v>2025</v>
          </cell>
        </row>
        <row r="8857">
          <cell r="U8857">
            <v>2025</v>
          </cell>
        </row>
        <row r="8858">
          <cell r="U8858">
            <v>2025</v>
          </cell>
        </row>
        <row r="8859">
          <cell r="U8859">
            <v>2025</v>
          </cell>
        </row>
        <row r="8860">
          <cell r="U8860">
            <v>2025</v>
          </cell>
        </row>
        <row r="8861">
          <cell r="U8861">
            <v>2025</v>
          </cell>
        </row>
        <row r="8862">
          <cell r="U8862">
            <v>2025</v>
          </cell>
        </row>
        <row r="8863">
          <cell r="U8863">
            <v>2025</v>
          </cell>
        </row>
        <row r="8864">
          <cell r="U8864">
            <v>2025</v>
          </cell>
        </row>
        <row r="8865">
          <cell r="U8865">
            <v>2025</v>
          </cell>
        </row>
        <row r="8866">
          <cell r="U8866">
            <v>2025</v>
          </cell>
        </row>
        <row r="8867">
          <cell r="U8867">
            <v>2025</v>
          </cell>
        </row>
        <row r="8868">
          <cell r="U8868">
            <v>2025</v>
          </cell>
        </row>
        <row r="8869">
          <cell r="U8869">
            <v>2025</v>
          </cell>
        </row>
        <row r="8870">
          <cell r="U8870">
            <v>2025</v>
          </cell>
        </row>
        <row r="8871">
          <cell r="U8871">
            <v>2025</v>
          </cell>
        </row>
        <row r="8872">
          <cell r="U8872">
            <v>2025</v>
          </cell>
        </row>
        <row r="8873">
          <cell r="U8873">
            <v>2025</v>
          </cell>
        </row>
        <row r="8874">
          <cell r="U8874">
            <v>2025</v>
          </cell>
        </row>
        <row r="8875">
          <cell r="U8875">
            <v>2025</v>
          </cell>
        </row>
        <row r="8876">
          <cell r="U8876">
            <v>2025</v>
          </cell>
        </row>
        <row r="8877">
          <cell r="U8877">
            <v>2025</v>
          </cell>
        </row>
        <row r="8878">
          <cell r="U8878">
            <v>2025</v>
          </cell>
        </row>
        <row r="8879">
          <cell r="U8879">
            <v>2025</v>
          </cell>
        </row>
        <row r="8880">
          <cell r="U8880">
            <v>2025</v>
          </cell>
        </row>
        <row r="8881">
          <cell r="U8881">
            <v>2025</v>
          </cell>
        </row>
        <row r="8882">
          <cell r="U8882">
            <v>2025</v>
          </cell>
        </row>
        <row r="8883">
          <cell r="U8883">
            <v>2025</v>
          </cell>
        </row>
        <row r="8884">
          <cell r="U8884">
            <v>2025</v>
          </cell>
        </row>
        <row r="8885">
          <cell r="U8885">
            <v>2025</v>
          </cell>
        </row>
        <row r="8886">
          <cell r="U8886">
            <v>2025</v>
          </cell>
        </row>
        <row r="8887">
          <cell r="U8887">
            <v>2025</v>
          </cell>
        </row>
        <row r="8888">
          <cell r="U8888">
            <v>2025</v>
          </cell>
        </row>
        <row r="8889">
          <cell r="U8889">
            <v>2025</v>
          </cell>
        </row>
        <row r="8890">
          <cell r="U8890">
            <v>2025</v>
          </cell>
        </row>
        <row r="8891">
          <cell r="U8891">
            <v>2025</v>
          </cell>
        </row>
        <row r="8892">
          <cell r="U8892">
            <v>2025</v>
          </cell>
        </row>
        <row r="8893">
          <cell r="U8893">
            <v>2025</v>
          </cell>
        </row>
        <row r="8894">
          <cell r="U8894">
            <v>2025</v>
          </cell>
        </row>
        <row r="8895">
          <cell r="U8895">
            <v>2025</v>
          </cell>
        </row>
        <row r="8896">
          <cell r="U8896">
            <v>2025</v>
          </cell>
        </row>
        <row r="8897">
          <cell r="U8897">
            <v>2025</v>
          </cell>
        </row>
        <row r="8898">
          <cell r="U8898">
            <v>2025</v>
          </cell>
        </row>
        <row r="8899">
          <cell r="U8899">
            <v>2025</v>
          </cell>
        </row>
        <row r="8900">
          <cell r="U8900">
            <v>2025</v>
          </cell>
        </row>
        <row r="8901">
          <cell r="U8901">
            <v>2025</v>
          </cell>
        </row>
        <row r="8902">
          <cell r="U8902">
            <v>2025</v>
          </cell>
        </row>
        <row r="8903">
          <cell r="U8903">
            <v>2025</v>
          </cell>
        </row>
        <row r="8904">
          <cell r="U8904">
            <v>2025</v>
          </cell>
        </row>
        <row r="8905">
          <cell r="U8905">
            <v>2025</v>
          </cell>
        </row>
        <row r="8906">
          <cell r="U8906">
            <v>2025</v>
          </cell>
        </row>
        <row r="8907">
          <cell r="U8907">
            <v>2025</v>
          </cell>
        </row>
        <row r="8908">
          <cell r="U8908">
            <v>2025</v>
          </cell>
        </row>
        <row r="8909">
          <cell r="U8909">
            <v>2025</v>
          </cell>
        </row>
        <row r="8910">
          <cell r="U8910">
            <v>2025</v>
          </cell>
        </row>
        <row r="8911">
          <cell r="U8911">
            <v>2025</v>
          </cell>
        </row>
        <row r="8912">
          <cell r="U8912">
            <v>2025</v>
          </cell>
        </row>
        <row r="8913">
          <cell r="U8913">
            <v>2025</v>
          </cell>
        </row>
        <row r="8914">
          <cell r="U8914">
            <v>2025</v>
          </cell>
        </row>
        <row r="8915">
          <cell r="U8915">
            <v>2025</v>
          </cell>
        </row>
        <row r="8916">
          <cell r="U8916">
            <v>2025</v>
          </cell>
        </row>
        <row r="8917">
          <cell r="U8917">
            <v>2025</v>
          </cell>
        </row>
        <row r="8918">
          <cell r="U8918">
            <v>2025</v>
          </cell>
        </row>
        <row r="8919">
          <cell r="U8919">
            <v>2025</v>
          </cell>
        </row>
        <row r="8920">
          <cell r="U8920">
            <v>2025</v>
          </cell>
        </row>
        <row r="8921">
          <cell r="U8921">
            <v>2025</v>
          </cell>
        </row>
        <row r="8922">
          <cell r="U8922">
            <v>2025</v>
          </cell>
        </row>
        <row r="8923">
          <cell r="U8923">
            <v>2025</v>
          </cell>
        </row>
        <row r="8924">
          <cell r="U8924">
            <v>2025</v>
          </cell>
        </row>
        <row r="8925">
          <cell r="U8925">
            <v>2025</v>
          </cell>
        </row>
        <row r="8926">
          <cell r="U8926">
            <v>2025</v>
          </cell>
        </row>
        <row r="8927">
          <cell r="U8927">
            <v>2025</v>
          </cell>
        </row>
        <row r="8928">
          <cell r="U8928">
            <v>2025</v>
          </cell>
        </row>
        <row r="8929">
          <cell r="U8929">
            <v>2025</v>
          </cell>
        </row>
        <row r="8930">
          <cell r="U8930">
            <v>2025</v>
          </cell>
        </row>
        <row r="8931">
          <cell r="U8931">
            <v>2025</v>
          </cell>
        </row>
        <row r="8932">
          <cell r="U8932">
            <v>2025</v>
          </cell>
        </row>
        <row r="8933">
          <cell r="U8933">
            <v>2025</v>
          </cell>
        </row>
        <row r="8934">
          <cell r="U8934">
            <v>2025</v>
          </cell>
        </row>
        <row r="8935">
          <cell r="U8935">
            <v>2025</v>
          </cell>
        </row>
        <row r="8936">
          <cell r="U8936">
            <v>2025</v>
          </cell>
        </row>
        <row r="8937">
          <cell r="U8937">
            <v>2025</v>
          </cell>
        </row>
        <row r="8938">
          <cell r="U8938">
            <v>2025</v>
          </cell>
        </row>
        <row r="8939">
          <cell r="U8939">
            <v>2025</v>
          </cell>
        </row>
        <row r="8940">
          <cell r="U8940">
            <v>2025</v>
          </cell>
        </row>
        <row r="8941">
          <cell r="U8941">
            <v>2025</v>
          </cell>
        </row>
        <row r="8942">
          <cell r="U8942">
            <v>2025</v>
          </cell>
        </row>
        <row r="8943">
          <cell r="U8943">
            <v>2025</v>
          </cell>
        </row>
        <row r="8944">
          <cell r="U8944">
            <v>2025</v>
          </cell>
        </row>
        <row r="8945">
          <cell r="U8945">
            <v>2025</v>
          </cell>
        </row>
        <row r="8946">
          <cell r="U8946">
            <v>2025</v>
          </cell>
        </row>
        <row r="8947">
          <cell r="U8947">
            <v>2025</v>
          </cell>
        </row>
        <row r="8948">
          <cell r="U8948">
            <v>2025</v>
          </cell>
        </row>
        <row r="8949">
          <cell r="U8949">
            <v>2025</v>
          </cell>
        </row>
        <row r="8950">
          <cell r="U8950">
            <v>2025</v>
          </cell>
        </row>
        <row r="8951">
          <cell r="U8951">
            <v>2025</v>
          </cell>
        </row>
        <row r="8952">
          <cell r="U8952">
            <v>2025</v>
          </cell>
        </row>
        <row r="8953">
          <cell r="U8953">
            <v>2025</v>
          </cell>
        </row>
        <row r="8954">
          <cell r="U8954">
            <v>2025</v>
          </cell>
        </row>
        <row r="8955">
          <cell r="U8955">
            <v>2025</v>
          </cell>
        </row>
        <row r="8956">
          <cell r="U8956">
            <v>2025</v>
          </cell>
        </row>
        <row r="8957">
          <cell r="U8957">
            <v>2025</v>
          </cell>
        </row>
        <row r="8958">
          <cell r="U8958">
            <v>2025</v>
          </cell>
        </row>
        <row r="8959">
          <cell r="U8959">
            <v>2025</v>
          </cell>
        </row>
        <row r="8960">
          <cell r="U8960">
            <v>2025</v>
          </cell>
        </row>
        <row r="8961">
          <cell r="U8961">
            <v>2025</v>
          </cell>
        </row>
        <row r="8962">
          <cell r="U8962">
            <v>2025</v>
          </cell>
        </row>
        <row r="8963">
          <cell r="U8963">
            <v>2025</v>
          </cell>
        </row>
        <row r="8964">
          <cell r="U8964">
            <v>2025</v>
          </cell>
        </row>
        <row r="8965">
          <cell r="U8965">
            <v>2025</v>
          </cell>
        </row>
        <row r="8966">
          <cell r="U8966">
            <v>2025</v>
          </cell>
        </row>
        <row r="8967">
          <cell r="U8967">
            <v>2025</v>
          </cell>
        </row>
        <row r="8968">
          <cell r="U8968">
            <v>2025</v>
          </cell>
        </row>
        <row r="8969">
          <cell r="U8969">
            <v>2025</v>
          </cell>
        </row>
        <row r="8970">
          <cell r="U8970">
            <v>2025</v>
          </cell>
        </row>
        <row r="8971">
          <cell r="U8971">
            <v>2025</v>
          </cell>
        </row>
        <row r="8972">
          <cell r="U8972">
            <v>2025</v>
          </cell>
        </row>
        <row r="8973">
          <cell r="U8973">
            <v>2025</v>
          </cell>
        </row>
        <row r="8974">
          <cell r="U8974">
            <v>2025</v>
          </cell>
        </row>
        <row r="8975">
          <cell r="U8975">
            <v>2025</v>
          </cell>
        </row>
        <row r="8976">
          <cell r="U8976">
            <v>2025</v>
          </cell>
        </row>
        <row r="8977">
          <cell r="U8977">
            <v>2025</v>
          </cell>
        </row>
        <row r="8978">
          <cell r="U8978">
            <v>2025</v>
          </cell>
        </row>
        <row r="8979">
          <cell r="U8979">
            <v>2025</v>
          </cell>
        </row>
        <row r="8980">
          <cell r="U8980">
            <v>2025</v>
          </cell>
        </row>
        <row r="8981">
          <cell r="U8981">
            <v>2025</v>
          </cell>
        </row>
        <row r="8982">
          <cell r="U8982">
            <v>2025</v>
          </cell>
        </row>
        <row r="8983">
          <cell r="U8983">
            <v>2025</v>
          </cell>
        </row>
        <row r="8984">
          <cell r="U8984">
            <v>2025</v>
          </cell>
        </row>
        <row r="8985">
          <cell r="U8985">
            <v>2025</v>
          </cell>
        </row>
        <row r="8986">
          <cell r="U8986">
            <v>2025</v>
          </cell>
        </row>
        <row r="8987">
          <cell r="U8987">
            <v>2025</v>
          </cell>
        </row>
        <row r="8988">
          <cell r="U8988">
            <v>2025</v>
          </cell>
        </row>
        <row r="8989">
          <cell r="U8989">
            <v>2025</v>
          </cell>
        </row>
        <row r="8990">
          <cell r="U8990">
            <v>2025</v>
          </cell>
        </row>
        <row r="8991">
          <cell r="U8991">
            <v>2025</v>
          </cell>
        </row>
        <row r="8992">
          <cell r="U8992">
            <v>2025</v>
          </cell>
        </row>
        <row r="8993">
          <cell r="U8993">
            <v>2025</v>
          </cell>
        </row>
        <row r="8994">
          <cell r="U8994">
            <v>2025</v>
          </cell>
        </row>
        <row r="8995">
          <cell r="U8995">
            <v>2025</v>
          </cell>
        </row>
        <row r="8996">
          <cell r="U8996">
            <v>2025</v>
          </cell>
        </row>
        <row r="8997">
          <cell r="U8997">
            <v>2025</v>
          </cell>
        </row>
        <row r="8998">
          <cell r="U8998">
            <v>2025</v>
          </cell>
        </row>
        <row r="8999">
          <cell r="U8999">
            <v>2025</v>
          </cell>
        </row>
        <row r="9000">
          <cell r="U9000">
            <v>2025</v>
          </cell>
        </row>
        <row r="9001">
          <cell r="U9001">
            <v>2025</v>
          </cell>
        </row>
        <row r="9002">
          <cell r="U9002">
            <v>2025</v>
          </cell>
        </row>
        <row r="9003">
          <cell r="U9003">
            <v>2025</v>
          </cell>
        </row>
        <row r="9004">
          <cell r="U9004">
            <v>2025</v>
          </cell>
        </row>
        <row r="9005">
          <cell r="U9005">
            <v>2025</v>
          </cell>
        </row>
        <row r="9006">
          <cell r="U9006">
            <v>2025</v>
          </cell>
        </row>
        <row r="9007">
          <cell r="U9007">
            <v>2025</v>
          </cell>
        </row>
        <row r="9008">
          <cell r="U9008">
            <v>2025</v>
          </cell>
        </row>
        <row r="9009">
          <cell r="U9009">
            <v>2025</v>
          </cell>
        </row>
        <row r="9010">
          <cell r="U9010">
            <v>2025</v>
          </cell>
        </row>
        <row r="9011">
          <cell r="U9011">
            <v>2025</v>
          </cell>
        </row>
        <row r="9012">
          <cell r="U9012">
            <v>2025</v>
          </cell>
        </row>
        <row r="9013">
          <cell r="U9013">
            <v>2025</v>
          </cell>
        </row>
        <row r="9014">
          <cell r="U9014">
            <v>2025</v>
          </cell>
        </row>
        <row r="9015">
          <cell r="U9015">
            <v>2025</v>
          </cell>
        </row>
        <row r="9016">
          <cell r="U9016">
            <v>2025</v>
          </cell>
        </row>
        <row r="9017">
          <cell r="U9017">
            <v>2025</v>
          </cell>
        </row>
        <row r="9018">
          <cell r="U9018">
            <v>2025</v>
          </cell>
        </row>
        <row r="9019">
          <cell r="U9019">
            <v>2025</v>
          </cell>
        </row>
        <row r="9020">
          <cell r="U9020">
            <v>2025</v>
          </cell>
        </row>
        <row r="9021">
          <cell r="U9021">
            <v>2025</v>
          </cell>
        </row>
        <row r="9022">
          <cell r="U9022">
            <v>2025</v>
          </cell>
        </row>
        <row r="9023">
          <cell r="U9023">
            <v>2025</v>
          </cell>
        </row>
        <row r="9024">
          <cell r="U9024">
            <v>2025</v>
          </cell>
        </row>
        <row r="9025">
          <cell r="U9025">
            <v>2025</v>
          </cell>
        </row>
        <row r="9026">
          <cell r="U9026">
            <v>2025</v>
          </cell>
        </row>
        <row r="9027">
          <cell r="U9027">
            <v>2025</v>
          </cell>
        </row>
        <row r="9028">
          <cell r="U9028">
            <v>2025</v>
          </cell>
        </row>
        <row r="9029">
          <cell r="U9029">
            <v>2025</v>
          </cell>
        </row>
        <row r="9030">
          <cell r="U9030">
            <v>2025</v>
          </cell>
        </row>
        <row r="9031">
          <cell r="U9031">
            <v>2025</v>
          </cell>
        </row>
        <row r="9032">
          <cell r="U9032">
            <v>2025</v>
          </cell>
        </row>
        <row r="9033">
          <cell r="U9033">
            <v>2025</v>
          </cell>
        </row>
        <row r="9034">
          <cell r="U9034">
            <v>2025</v>
          </cell>
        </row>
        <row r="9035">
          <cell r="U9035">
            <v>2025</v>
          </cell>
        </row>
        <row r="9036">
          <cell r="U9036">
            <v>2025</v>
          </cell>
        </row>
        <row r="9037">
          <cell r="U9037">
            <v>2025</v>
          </cell>
        </row>
        <row r="9038">
          <cell r="U9038">
            <v>2025</v>
          </cell>
        </row>
        <row r="9039">
          <cell r="U9039">
            <v>2025</v>
          </cell>
        </row>
        <row r="9040">
          <cell r="U9040">
            <v>2025</v>
          </cell>
        </row>
        <row r="9041">
          <cell r="U9041">
            <v>2025</v>
          </cell>
        </row>
        <row r="9042">
          <cell r="U9042">
            <v>2025</v>
          </cell>
        </row>
        <row r="9043">
          <cell r="U9043">
            <v>2025</v>
          </cell>
        </row>
        <row r="9044">
          <cell r="U9044">
            <v>2025</v>
          </cell>
        </row>
        <row r="9045">
          <cell r="U9045">
            <v>2025</v>
          </cell>
        </row>
        <row r="9046">
          <cell r="U9046">
            <v>2025</v>
          </cell>
        </row>
        <row r="9047">
          <cell r="U9047">
            <v>2025</v>
          </cell>
        </row>
        <row r="9048">
          <cell r="U9048">
            <v>2025</v>
          </cell>
        </row>
        <row r="9049">
          <cell r="U9049">
            <v>2025</v>
          </cell>
        </row>
        <row r="9050">
          <cell r="U9050">
            <v>2025</v>
          </cell>
        </row>
        <row r="9051">
          <cell r="U9051">
            <v>2025</v>
          </cell>
        </row>
        <row r="9052">
          <cell r="U9052">
            <v>2025</v>
          </cell>
        </row>
        <row r="9053">
          <cell r="U9053">
            <v>2025</v>
          </cell>
        </row>
        <row r="9054">
          <cell r="U9054">
            <v>2025</v>
          </cell>
        </row>
        <row r="9055">
          <cell r="U9055">
            <v>2025</v>
          </cell>
        </row>
        <row r="9056">
          <cell r="U9056">
            <v>2025</v>
          </cell>
        </row>
        <row r="9057">
          <cell r="U9057">
            <v>2025</v>
          </cell>
        </row>
        <row r="9058">
          <cell r="U9058">
            <v>2025</v>
          </cell>
        </row>
        <row r="9059">
          <cell r="U9059">
            <v>2025</v>
          </cell>
        </row>
        <row r="9060">
          <cell r="U9060">
            <v>2025</v>
          </cell>
        </row>
        <row r="9061">
          <cell r="U9061">
            <v>2025</v>
          </cell>
        </row>
        <row r="9062">
          <cell r="U9062">
            <v>2025</v>
          </cell>
        </row>
        <row r="9063">
          <cell r="U9063">
            <v>2025</v>
          </cell>
        </row>
        <row r="9064">
          <cell r="U9064">
            <v>2025</v>
          </cell>
        </row>
        <row r="9065">
          <cell r="U9065">
            <v>2025</v>
          </cell>
        </row>
        <row r="9066">
          <cell r="U9066">
            <v>2025</v>
          </cell>
        </row>
        <row r="9067">
          <cell r="U9067">
            <v>2025</v>
          </cell>
        </row>
        <row r="9068">
          <cell r="U9068">
            <v>2025</v>
          </cell>
        </row>
        <row r="9069">
          <cell r="U9069">
            <v>2025</v>
          </cell>
        </row>
        <row r="9070">
          <cell r="U9070">
            <v>2025</v>
          </cell>
        </row>
        <row r="9071">
          <cell r="U9071">
            <v>2025</v>
          </cell>
        </row>
        <row r="9072">
          <cell r="U9072">
            <v>2025</v>
          </cell>
        </row>
        <row r="9073">
          <cell r="U9073">
            <v>2025</v>
          </cell>
        </row>
        <row r="9074">
          <cell r="U9074">
            <v>2025</v>
          </cell>
        </row>
        <row r="9075">
          <cell r="U9075">
            <v>2025</v>
          </cell>
        </row>
        <row r="9076">
          <cell r="U9076">
            <v>2025</v>
          </cell>
        </row>
        <row r="9077">
          <cell r="U9077">
            <v>2025</v>
          </cell>
        </row>
        <row r="9078">
          <cell r="U9078">
            <v>2025</v>
          </cell>
        </row>
        <row r="9079">
          <cell r="U9079">
            <v>2025</v>
          </cell>
        </row>
        <row r="9080">
          <cell r="U9080">
            <v>2025</v>
          </cell>
        </row>
        <row r="9081">
          <cell r="U9081">
            <v>2025</v>
          </cell>
        </row>
        <row r="9082">
          <cell r="U9082">
            <v>2025</v>
          </cell>
        </row>
        <row r="9083">
          <cell r="U9083">
            <v>2025</v>
          </cell>
        </row>
        <row r="9084">
          <cell r="U9084">
            <v>2025</v>
          </cell>
        </row>
        <row r="9085">
          <cell r="U9085">
            <v>2025</v>
          </cell>
        </row>
        <row r="9086">
          <cell r="U9086">
            <v>2025</v>
          </cell>
        </row>
        <row r="9087">
          <cell r="U9087">
            <v>2025</v>
          </cell>
        </row>
        <row r="9088">
          <cell r="U9088">
            <v>2025</v>
          </cell>
        </row>
        <row r="9089">
          <cell r="U9089">
            <v>2025</v>
          </cell>
        </row>
        <row r="9090">
          <cell r="U9090">
            <v>2025</v>
          </cell>
        </row>
        <row r="9091">
          <cell r="U9091">
            <v>2025</v>
          </cell>
        </row>
        <row r="9092">
          <cell r="U9092">
            <v>2025</v>
          </cell>
        </row>
        <row r="9093">
          <cell r="U9093">
            <v>2025</v>
          </cell>
        </row>
        <row r="9094">
          <cell r="U9094">
            <v>2025</v>
          </cell>
        </row>
        <row r="9095">
          <cell r="U9095">
            <v>2025</v>
          </cell>
        </row>
        <row r="9096">
          <cell r="U9096">
            <v>2025</v>
          </cell>
        </row>
        <row r="9097">
          <cell r="U9097">
            <v>2025</v>
          </cell>
        </row>
        <row r="9098">
          <cell r="U9098">
            <v>2025</v>
          </cell>
        </row>
        <row r="9099">
          <cell r="U9099">
            <v>2025</v>
          </cell>
        </row>
        <row r="9100">
          <cell r="U9100">
            <v>2025</v>
          </cell>
        </row>
        <row r="9101">
          <cell r="U9101">
            <v>2025</v>
          </cell>
        </row>
        <row r="9102">
          <cell r="U9102">
            <v>2025</v>
          </cell>
        </row>
        <row r="9103">
          <cell r="U9103">
            <v>2025</v>
          </cell>
        </row>
        <row r="9104">
          <cell r="U9104">
            <v>2025</v>
          </cell>
        </row>
        <row r="9105">
          <cell r="U9105">
            <v>2025</v>
          </cell>
        </row>
        <row r="9106">
          <cell r="U9106">
            <v>2025</v>
          </cell>
        </row>
        <row r="9107">
          <cell r="U9107">
            <v>2025</v>
          </cell>
        </row>
        <row r="9108">
          <cell r="U9108">
            <v>2025</v>
          </cell>
        </row>
        <row r="9109">
          <cell r="U9109">
            <v>2025</v>
          </cell>
        </row>
        <row r="9110">
          <cell r="U9110">
            <v>2025</v>
          </cell>
        </row>
        <row r="9111">
          <cell r="U9111">
            <v>2025</v>
          </cell>
        </row>
        <row r="9112">
          <cell r="U9112">
            <v>2025</v>
          </cell>
        </row>
        <row r="9113">
          <cell r="U9113">
            <v>2025</v>
          </cell>
        </row>
        <row r="9114">
          <cell r="U9114">
            <v>2025</v>
          </cell>
        </row>
        <row r="9115">
          <cell r="U9115">
            <v>2025</v>
          </cell>
        </row>
        <row r="9116">
          <cell r="U9116">
            <v>2025</v>
          </cell>
        </row>
        <row r="9117">
          <cell r="U9117">
            <v>2025</v>
          </cell>
        </row>
        <row r="9118">
          <cell r="U9118">
            <v>2025</v>
          </cell>
        </row>
        <row r="9119">
          <cell r="U9119">
            <v>2025</v>
          </cell>
        </row>
        <row r="9120">
          <cell r="U9120">
            <v>2025</v>
          </cell>
        </row>
        <row r="9121">
          <cell r="U9121">
            <v>2025</v>
          </cell>
        </row>
        <row r="9122">
          <cell r="U9122">
            <v>2025</v>
          </cell>
        </row>
        <row r="9123">
          <cell r="U9123">
            <v>2025</v>
          </cell>
        </row>
        <row r="9124">
          <cell r="U9124">
            <v>2025</v>
          </cell>
        </row>
        <row r="9125">
          <cell r="U9125">
            <v>2025</v>
          </cell>
        </row>
        <row r="9126">
          <cell r="U9126">
            <v>2025</v>
          </cell>
        </row>
        <row r="9127">
          <cell r="U9127">
            <v>2025</v>
          </cell>
        </row>
        <row r="9128">
          <cell r="U9128">
            <v>2025</v>
          </cell>
        </row>
        <row r="9129">
          <cell r="U9129">
            <v>2025</v>
          </cell>
        </row>
        <row r="9130">
          <cell r="U9130">
            <v>2025</v>
          </cell>
        </row>
        <row r="9131">
          <cell r="U9131">
            <v>2025</v>
          </cell>
        </row>
        <row r="9132">
          <cell r="U9132">
            <v>2025</v>
          </cell>
        </row>
        <row r="9133">
          <cell r="U9133">
            <v>2025</v>
          </cell>
        </row>
        <row r="9134">
          <cell r="U9134">
            <v>2025</v>
          </cell>
        </row>
        <row r="9135">
          <cell r="U9135">
            <v>2025</v>
          </cell>
        </row>
        <row r="9136">
          <cell r="U9136">
            <v>2025</v>
          </cell>
        </row>
        <row r="9137">
          <cell r="U9137">
            <v>2025</v>
          </cell>
        </row>
        <row r="9138">
          <cell r="U9138">
            <v>2025</v>
          </cell>
        </row>
        <row r="9139">
          <cell r="U9139">
            <v>2025</v>
          </cell>
        </row>
        <row r="9140">
          <cell r="U9140">
            <v>2025</v>
          </cell>
        </row>
        <row r="9141">
          <cell r="U9141">
            <v>2025</v>
          </cell>
        </row>
        <row r="9142">
          <cell r="U9142">
            <v>2025</v>
          </cell>
        </row>
        <row r="9143">
          <cell r="U9143">
            <v>2025</v>
          </cell>
        </row>
        <row r="9144">
          <cell r="U9144">
            <v>2025</v>
          </cell>
        </row>
        <row r="9145">
          <cell r="U9145">
            <v>2025</v>
          </cell>
        </row>
        <row r="9146">
          <cell r="U9146">
            <v>2025</v>
          </cell>
        </row>
        <row r="9147">
          <cell r="U9147">
            <v>2025</v>
          </cell>
        </row>
        <row r="9148">
          <cell r="U9148">
            <v>2025</v>
          </cell>
        </row>
        <row r="9149">
          <cell r="U9149">
            <v>2025</v>
          </cell>
        </row>
        <row r="9150">
          <cell r="U9150">
            <v>2025</v>
          </cell>
        </row>
        <row r="9151">
          <cell r="U9151">
            <v>2025</v>
          </cell>
        </row>
        <row r="9152">
          <cell r="U9152">
            <v>2025</v>
          </cell>
        </row>
        <row r="9153">
          <cell r="U9153">
            <v>2025</v>
          </cell>
        </row>
        <row r="9154">
          <cell r="U9154">
            <v>2025</v>
          </cell>
        </row>
        <row r="9155">
          <cell r="U9155">
            <v>2025</v>
          </cell>
        </row>
        <row r="9156">
          <cell r="U9156">
            <v>2025</v>
          </cell>
        </row>
        <row r="9157">
          <cell r="U9157">
            <v>2025</v>
          </cell>
        </row>
        <row r="9158">
          <cell r="U9158">
            <v>2025</v>
          </cell>
        </row>
        <row r="9159">
          <cell r="U9159">
            <v>2025</v>
          </cell>
        </row>
        <row r="9160">
          <cell r="U9160">
            <v>2025</v>
          </cell>
        </row>
        <row r="9161">
          <cell r="U9161">
            <v>2025</v>
          </cell>
        </row>
        <row r="9162">
          <cell r="U9162">
            <v>2025</v>
          </cell>
        </row>
        <row r="9163">
          <cell r="U9163">
            <v>2025</v>
          </cell>
        </row>
        <row r="9164">
          <cell r="U9164">
            <v>2025</v>
          </cell>
        </row>
        <row r="9165">
          <cell r="U9165">
            <v>2025</v>
          </cell>
        </row>
        <row r="9166">
          <cell r="U9166">
            <v>2025</v>
          </cell>
        </row>
        <row r="9167">
          <cell r="U9167">
            <v>2025</v>
          </cell>
        </row>
        <row r="9168">
          <cell r="U9168">
            <v>2025</v>
          </cell>
        </row>
        <row r="9169">
          <cell r="U9169">
            <v>2025</v>
          </cell>
        </row>
        <row r="9170">
          <cell r="U9170">
            <v>2025</v>
          </cell>
        </row>
        <row r="9171">
          <cell r="U9171">
            <v>2025</v>
          </cell>
        </row>
        <row r="9172">
          <cell r="U9172">
            <v>2025</v>
          </cell>
        </row>
        <row r="9173">
          <cell r="U9173">
            <v>2025</v>
          </cell>
        </row>
        <row r="9174">
          <cell r="U9174">
            <v>2025</v>
          </cell>
        </row>
        <row r="9175">
          <cell r="U9175">
            <v>2025</v>
          </cell>
        </row>
        <row r="9176">
          <cell r="U9176">
            <v>2025</v>
          </cell>
        </row>
        <row r="9177">
          <cell r="U9177">
            <v>2025</v>
          </cell>
        </row>
        <row r="9178">
          <cell r="U9178">
            <v>2025</v>
          </cell>
        </row>
        <row r="9179">
          <cell r="U9179">
            <v>2025</v>
          </cell>
        </row>
        <row r="9180">
          <cell r="U9180">
            <v>2025</v>
          </cell>
        </row>
        <row r="9181">
          <cell r="U9181">
            <v>2025</v>
          </cell>
        </row>
        <row r="9182">
          <cell r="U9182">
            <v>2025</v>
          </cell>
        </row>
        <row r="9183">
          <cell r="U9183">
            <v>2025</v>
          </cell>
        </row>
        <row r="9184">
          <cell r="U9184">
            <v>2025</v>
          </cell>
        </row>
        <row r="9185">
          <cell r="U9185">
            <v>2025</v>
          </cell>
        </row>
        <row r="9186">
          <cell r="U9186">
            <v>2025</v>
          </cell>
        </row>
        <row r="9187">
          <cell r="U9187">
            <v>2025</v>
          </cell>
        </row>
        <row r="9188">
          <cell r="U9188">
            <v>2025</v>
          </cell>
        </row>
        <row r="9189">
          <cell r="U9189">
            <v>2025</v>
          </cell>
        </row>
        <row r="9190">
          <cell r="U9190">
            <v>2025</v>
          </cell>
        </row>
        <row r="9191">
          <cell r="U9191">
            <v>2025</v>
          </cell>
        </row>
        <row r="9192">
          <cell r="U9192">
            <v>2025</v>
          </cell>
        </row>
        <row r="9193">
          <cell r="U9193">
            <v>2025</v>
          </cell>
        </row>
        <row r="9194">
          <cell r="U9194">
            <v>2025</v>
          </cell>
        </row>
        <row r="9195">
          <cell r="U9195">
            <v>2025</v>
          </cell>
        </row>
        <row r="9196">
          <cell r="U9196">
            <v>2025</v>
          </cell>
        </row>
        <row r="9197">
          <cell r="U9197">
            <v>2025</v>
          </cell>
        </row>
        <row r="9198">
          <cell r="U9198">
            <v>2025</v>
          </cell>
        </row>
        <row r="9199">
          <cell r="U9199">
            <v>2025</v>
          </cell>
        </row>
        <row r="9200">
          <cell r="U9200">
            <v>2025</v>
          </cell>
        </row>
        <row r="9201">
          <cell r="U9201">
            <v>2025</v>
          </cell>
        </row>
        <row r="9202">
          <cell r="U9202">
            <v>2025</v>
          </cell>
        </row>
        <row r="9203">
          <cell r="U9203">
            <v>2025</v>
          </cell>
        </row>
        <row r="9204">
          <cell r="U9204">
            <v>2025</v>
          </cell>
        </row>
        <row r="9205">
          <cell r="U9205">
            <v>2025</v>
          </cell>
        </row>
        <row r="9206">
          <cell r="U9206">
            <v>2025</v>
          </cell>
        </row>
        <row r="9207">
          <cell r="U9207">
            <v>2025</v>
          </cell>
        </row>
        <row r="9208">
          <cell r="U9208">
            <v>2025</v>
          </cell>
        </row>
        <row r="9209">
          <cell r="U9209">
            <v>2025</v>
          </cell>
        </row>
        <row r="9210">
          <cell r="U9210">
            <v>2025</v>
          </cell>
        </row>
        <row r="9211">
          <cell r="U9211">
            <v>2025</v>
          </cell>
        </row>
        <row r="9212">
          <cell r="U9212">
            <v>2025</v>
          </cell>
        </row>
        <row r="9213">
          <cell r="U9213">
            <v>2025</v>
          </cell>
        </row>
        <row r="9214">
          <cell r="U9214">
            <v>2025</v>
          </cell>
        </row>
        <row r="9215">
          <cell r="U9215">
            <v>2025</v>
          </cell>
        </row>
        <row r="9216">
          <cell r="U9216">
            <v>2025</v>
          </cell>
        </row>
        <row r="9217">
          <cell r="U9217">
            <v>2025</v>
          </cell>
        </row>
        <row r="9218">
          <cell r="U9218">
            <v>2025</v>
          </cell>
        </row>
        <row r="9219">
          <cell r="U9219">
            <v>2025</v>
          </cell>
        </row>
        <row r="9220">
          <cell r="U9220">
            <v>2025</v>
          </cell>
        </row>
        <row r="9221">
          <cell r="U9221">
            <v>2025</v>
          </cell>
        </row>
        <row r="9222">
          <cell r="U9222">
            <v>2025</v>
          </cell>
        </row>
        <row r="9223">
          <cell r="U9223">
            <v>2025</v>
          </cell>
        </row>
        <row r="9224">
          <cell r="U9224">
            <v>2025</v>
          </cell>
        </row>
        <row r="9225">
          <cell r="U9225">
            <v>2025</v>
          </cell>
        </row>
        <row r="9226">
          <cell r="U9226">
            <v>2025</v>
          </cell>
        </row>
        <row r="9227">
          <cell r="U9227">
            <v>2025</v>
          </cell>
        </row>
        <row r="9228">
          <cell r="U9228">
            <v>2025</v>
          </cell>
        </row>
        <row r="9229">
          <cell r="U9229">
            <v>2025</v>
          </cell>
        </row>
        <row r="9230">
          <cell r="U9230">
            <v>2025</v>
          </cell>
        </row>
        <row r="9231">
          <cell r="U9231">
            <v>2025</v>
          </cell>
        </row>
        <row r="9232">
          <cell r="U9232">
            <v>2025</v>
          </cell>
        </row>
        <row r="9233">
          <cell r="U9233">
            <v>2025</v>
          </cell>
        </row>
        <row r="9234">
          <cell r="U9234">
            <v>2025</v>
          </cell>
        </row>
        <row r="9235">
          <cell r="U9235">
            <v>2025</v>
          </cell>
        </row>
        <row r="9236">
          <cell r="U9236">
            <v>2025</v>
          </cell>
        </row>
        <row r="9237">
          <cell r="U9237">
            <v>2025</v>
          </cell>
        </row>
        <row r="9238">
          <cell r="U9238">
            <v>2025</v>
          </cell>
        </row>
        <row r="9239">
          <cell r="U9239">
            <v>2025</v>
          </cell>
        </row>
        <row r="9240">
          <cell r="U9240">
            <v>2025</v>
          </cell>
        </row>
        <row r="9241">
          <cell r="U9241">
            <v>2025</v>
          </cell>
        </row>
        <row r="9242">
          <cell r="U9242">
            <v>2025</v>
          </cell>
        </row>
        <row r="9243">
          <cell r="U9243">
            <v>2025</v>
          </cell>
        </row>
        <row r="9244">
          <cell r="U9244">
            <v>2025</v>
          </cell>
        </row>
        <row r="9245">
          <cell r="U9245">
            <v>2025</v>
          </cell>
        </row>
        <row r="9246">
          <cell r="U9246">
            <v>2025</v>
          </cell>
        </row>
        <row r="9247">
          <cell r="U9247">
            <v>2025</v>
          </cell>
        </row>
        <row r="9248">
          <cell r="U9248">
            <v>2025</v>
          </cell>
        </row>
        <row r="9249">
          <cell r="U9249">
            <v>2025</v>
          </cell>
        </row>
        <row r="9250">
          <cell r="U9250">
            <v>2025</v>
          </cell>
        </row>
        <row r="9251">
          <cell r="U9251">
            <v>2025</v>
          </cell>
        </row>
        <row r="9252">
          <cell r="U9252">
            <v>2025</v>
          </cell>
        </row>
        <row r="9253">
          <cell r="U9253">
            <v>2025</v>
          </cell>
        </row>
        <row r="9254">
          <cell r="U9254">
            <v>2025</v>
          </cell>
        </row>
        <row r="9255">
          <cell r="U9255">
            <v>2025</v>
          </cell>
        </row>
        <row r="9256">
          <cell r="U9256">
            <v>2025</v>
          </cell>
        </row>
        <row r="9257">
          <cell r="U9257">
            <v>2025</v>
          </cell>
        </row>
        <row r="9258">
          <cell r="U9258">
            <v>2025</v>
          </cell>
        </row>
        <row r="9259">
          <cell r="U9259">
            <v>2025</v>
          </cell>
        </row>
        <row r="9260">
          <cell r="U9260">
            <v>2025</v>
          </cell>
        </row>
        <row r="9261">
          <cell r="U9261">
            <v>2025</v>
          </cell>
        </row>
        <row r="9262">
          <cell r="U9262">
            <v>2025</v>
          </cell>
        </row>
        <row r="9263">
          <cell r="U9263">
            <v>2025</v>
          </cell>
        </row>
        <row r="9264">
          <cell r="U9264">
            <v>2025</v>
          </cell>
        </row>
        <row r="9265">
          <cell r="U9265">
            <v>2025</v>
          </cell>
        </row>
        <row r="9266">
          <cell r="U9266">
            <v>2025</v>
          </cell>
        </row>
        <row r="9267">
          <cell r="U9267">
            <v>2025</v>
          </cell>
        </row>
        <row r="9268">
          <cell r="U9268">
            <v>2025</v>
          </cell>
        </row>
        <row r="9269">
          <cell r="U9269">
            <v>2025</v>
          </cell>
        </row>
        <row r="9270">
          <cell r="U9270">
            <v>2025</v>
          </cell>
        </row>
        <row r="9271">
          <cell r="U9271">
            <v>2025</v>
          </cell>
        </row>
        <row r="9272">
          <cell r="U9272">
            <v>2025</v>
          </cell>
        </row>
        <row r="9273">
          <cell r="U9273">
            <v>2025</v>
          </cell>
        </row>
        <row r="9274">
          <cell r="U9274">
            <v>2025</v>
          </cell>
        </row>
        <row r="9275">
          <cell r="U9275">
            <v>2025</v>
          </cell>
        </row>
        <row r="9276">
          <cell r="U9276">
            <v>2025</v>
          </cell>
        </row>
        <row r="9277">
          <cell r="U9277">
            <v>2025</v>
          </cell>
        </row>
        <row r="9278">
          <cell r="U9278">
            <v>2025</v>
          </cell>
        </row>
        <row r="9279">
          <cell r="U9279">
            <v>2025</v>
          </cell>
        </row>
        <row r="9280">
          <cell r="U9280" t="str">
            <v>Ppto 2026</v>
          </cell>
        </row>
        <row r="9281">
          <cell r="U9281"/>
        </row>
        <row r="9282">
          <cell r="U9282"/>
        </row>
        <row r="9283">
          <cell r="U9283"/>
        </row>
        <row r="9284">
          <cell r="U9284"/>
        </row>
        <row r="9285">
          <cell r="U9285"/>
        </row>
        <row r="9286">
          <cell r="U9286"/>
        </row>
        <row r="9287">
          <cell r="U9287"/>
        </row>
        <row r="9288">
          <cell r="U9288"/>
        </row>
        <row r="9289">
          <cell r="U9289"/>
        </row>
        <row r="9290">
          <cell r="U9290"/>
        </row>
        <row r="9291">
          <cell r="U9291"/>
        </row>
        <row r="9292">
          <cell r="U9292"/>
        </row>
        <row r="9293">
          <cell r="U9293"/>
        </row>
        <row r="9294">
          <cell r="U9294"/>
        </row>
        <row r="9295">
          <cell r="U9295"/>
        </row>
        <row r="9296">
          <cell r="U9296"/>
        </row>
        <row r="9297">
          <cell r="U9297"/>
        </row>
        <row r="9298">
          <cell r="U9298"/>
        </row>
        <row r="9299">
          <cell r="U9299"/>
        </row>
        <row r="9300">
          <cell r="U9300"/>
        </row>
        <row r="9301">
          <cell r="U9301"/>
        </row>
        <row r="9302">
          <cell r="U9302"/>
        </row>
        <row r="9303">
          <cell r="U9303"/>
        </row>
        <row r="9304">
          <cell r="U9304"/>
        </row>
        <row r="9305">
          <cell r="U9305"/>
        </row>
        <row r="9306">
          <cell r="U9306"/>
        </row>
        <row r="9307">
          <cell r="U9307"/>
        </row>
        <row r="9308">
          <cell r="U9308"/>
        </row>
        <row r="9309">
          <cell r="U9309"/>
        </row>
        <row r="9310">
          <cell r="U9310"/>
        </row>
        <row r="9311">
          <cell r="U9311"/>
        </row>
        <row r="9312">
          <cell r="U9312"/>
        </row>
        <row r="9313">
          <cell r="U9313"/>
        </row>
        <row r="9314">
          <cell r="U9314"/>
        </row>
        <row r="9315">
          <cell r="U9315"/>
        </row>
        <row r="9316">
          <cell r="U9316"/>
        </row>
        <row r="9317">
          <cell r="U9317"/>
        </row>
        <row r="9318">
          <cell r="U9318"/>
        </row>
        <row r="9319">
          <cell r="U9319"/>
        </row>
        <row r="9320">
          <cell r="U9320"/>
        </row>
        <row r="9321">
          <cell r="U9321"/>
        </row>
        <row r="9322">
          <cell r="U9322"/>
        </row>
        <row r="9323">
          <cell r="U9323"/>
        </row>
        <row r="9324">
          <cell r="U9324"/>
        </row>
        <row r="9325">
          <cell r="U9325"/>
        </row>
        <row r="9326">
          <cell r="U9326"/>
        </row>
        <row r="9327">
          <cell r="U9327"/>
        </row>
        <row r="9328">
          <cell r="U9328"/>
        </row>
        <row r="9329">
          <cell r="U9329"/>
        </row>
        <row r="9330">
          <cell r="U9330"/>
        </row>
        <row r="9331">
          <cell r="U9331"/>
        </row>
        <row r="9332">
          <cell r="U9332"/>
        </row>
        <row r="9333">
          <cell r="U9333"/>
        </row>
        <row r="9334">
          <cell r="U9334"/>
        </row>
        <row r="9335">
          <cell r="U9335"/>
        </row>
        <row r="9336">
          <cell r="U9336"/>
        </row>
        <row r="9337">
          <cell r="U9337"/>
        </row>
        <row r="9338">
          <cell r="U9338"/>
        </row>
        <row r="9339">
          <cell r="U9339"/>
        </row>
        <row r="9340">
          <cell r="U9340"/>
        </row>
        <row r="9341">
          <cell r="U9341"/>
        </row>
        <row r="9342">
          <cell r="U9342"/>
        </row>
        <row r="9343">
          <cell r="U9343"/>
        </row>
        <row r="9344">
          <cell r="U9344"/>
        </row>
        <row r="9345">
          <cell r="U9345"/>
        </row>
        <row r="9346">
          <cell r="U9346"/>
        </row>
        <row r="9347">
          <cell r="U9347"/>
        </row>
        <row r="9348">
          <cell r="U9348"/>
        </row>
        <row r="9349">
          <cell r="U9349"/>
        </row>
        <row r="9350">
          <cell r="U9350"/>
        </row>
        <row r="9351">
          <cell r="U9351"/>
        </row>
        <row r="9352">
          <cell r="U9352"/>
        </row>
        <row r="9353">
          <cell r="U9353"/>
        </row>
        <row r="9354">
          <cell r="U9354"/>
        </row>
        <row r="9355">
          <cell r="U9355"/>
        </row>
        <row r="9356">
          <cell r="U9356"/>
        </row>
        <row r="9357">
          <cell r="U9357"/>
        </row>
        <row r="9358">
          <cell r="U9358"/>
        </row>
        <row r="9359">
          <cell r="U9359"/>
        </row>
        <row r="9360">
          <cell r="U9360"/>
        </row>
        <row r="9361">
          <cell r="U9361"/>
        </row>
        <row r="9362">
          <cell r="U9362"/>
        </row>
        <row r="9363">
          <cell r="U9363"/>
        </row>
        <row r="9364">
          <cell r="U9364"/>
        </row>
        <row r="9365">
          <cell r="U9365"/>
        </row>
        <row r="9366">
          <cell r="U9366"/>
        </row>
        <row r="9367">
          <cell r="U9367"/>
        </row>
        <row r="9368">
          <cell r="U9368"/>
        </row>
        <row r="9369">
          <cell r="U9369"/>
        </row>
        <row r="9370">
          <cell r="U9370"/>
        </row>
        <row r="9371">
          <cell r="U9371"/>
        </row>
        <row r="9372">
          <cell r="U9372"/>
        </row>
        <row r="9373">
          <cell r="U9373"/>
        </row>
        <row r="9374">
          <cell r="U9374"/>
        </row>
        <row r="9375">
          <cell r="U9375"/>
        </row>
        <row r="9376">
          <cell r="U9376"/>
        </row>
        <row r="9377">
          <cell r="U9377"/>
        </row>
        <row r="9378">
          <cell r="U9378"/>
        </row>
        <row r="9379">
          <cell r="U9379"/>
        </row>
        <row r="9380">
          <cell r="U9380"/>
        </row>
        <row r="9381">
          <cell r="U9381"/>
        </row>
        <row r="9382">
          <cell r="U9382"/>
        </row>
        <row r="9383">
          <cell r="U9383"/>
        </row>
        <row r="9384">
          <cell r="U9384"/>
        </row>
        <row r="9385">
          <cell r="U9385"/>
        </row>
        <row r="9386">
          <cell r="U9386"/>
        </row>
        <row r="9387">
          <cell r="U9387"/>
        </row>
        <row r="9388">
          <cell r="U9388"/>
        </row>
        <row r="9389">
          <cell r="U9389"/>
        </row>
        <row r="9390">
          <cell r="U9390"/>
        </row>
        <row r="9391">
          <cell r="U9391"/>
        </row>
        <row r="9392">
          <cell r="U9392"/>
        </row>
        <row r="9393">
          <cell r="U9393"/>
        </row>
        <row r="9394">
          <cell r="U9394"/>
        </row>
        <row r="9395">
          <cell r="U9395"/>
        </row>
        <row r="9396">
          <cell r="U9396"/>
        </row>
        <row r="9397">
          <cell r="U9397"/>
        </row>
        <row r="9398">
          <cell r="U9398"/>
        </row>
        <row r="9399">
          <cell r="U9399"/>
        </row>
        <row r="9400">
          <cell r="U9400"/>
        </row>
        <row r="9401">
          <cell r="U9401"/>
        </row>
        <row r="9402">
          <cell r="U9402"/>
        </row>
        <row r="9403">
          <cell r="U9403"/>
        </row>
        <row r="9404">
          <cell r="U9404"/>
        </row>
        <row r="9405">
          <cell r="U9405"/>
        </row>
        <row r="9406">
          <cell r="U9406"/>
        </row>
        <row r="9407">
          <cell r="U9407"/>
        </row>
        <row r="9408">
          <cell r="U9408"/>
        </row>
        <row r="9409">
          <cell r="U9409"/>
        </row>
        <row r="9410">
          <cell r="U9410"/>
        </row>
        <row r="9411">
          <cell r="U9411"/>
        </row>
        <row r="9412">
          <cell r="U9412"/>
        </row>
        <row r="9413">
          <cell r="U9413"/>
        </row>
        <row r="9414">
          <cell r="U9414"/>
        </row>
        <row r="9415">
          <cell r="U9415"/>
        </row>
        <row r="9416">
          <cell r="U9416"/>
        </row>
        <row r="9417">
          <cell r="U9417"/>
        </row>
        <row r="9418">
          <cell r="U9418"/>
        </row>
        <row r="9419">
          <cell r="U9419"/>
        </row>
        <row r="9420">
          <cell r="U9420"/>
        </row>
        <row r="9421">
          <cell r="U9421"/>
        </row>
        <row r="9422">
          <cell r="U9422"/>
        </row>
        <row r="9423">
          <cell r="U9423"/>
        </row>
        <row r="9424">
          <cell r="U9424"/>
        </row>
        <row r="9425">
          <cell r="U9425"/>
        </row>
        <row r="9426">
          <cell r="U9426"/>
        </row>
        <row r="9427">
          <cell r="U9427"/>
        </row>
        <row r="9428">
          <cell r="U9428"/>
        </row>
        <row r="9429">
          <cell r="U9429"/>
        </row>
        <row r="9430">
          <cell r="U9430"/>
        </row>
        <row r="9431">
          <cell r="U9431"/>
        </row>
        <row r="9432">
          <cell r="U9432"/>
        </row>
        <row r="9433">
          <cell r="U9433"/>
        </row>
        <row r="9434">
          <cell r="U9434"/>
        </row>
        <row r="9435">
          <cell r="U9435"/>
        </row>
        <row r="9436">
          <cell r="U9436"/>
        </row>
        <row r="9437">
          <cell r="U9437"/>
        </row>
        <row r="9438">
          <cell r="U9438"/>
        </row>
        <row r="9439">
          <cell r="U9439"/>
        </row>
        <row r="9440">
          <cell r="U9440"/>
        </row>
        <row r="9441">
          <cell r="U9441"/>
        </row>
        <row r="9442">
          <cell r="U9442"/>
        </row>
        <row r="9443">
          <cell r="U9443"/>
        </row>
        <row r="9444">
          <cell r="U9444"/>
        </row>
        <row r="9445">
          <cell r="U9445"/>
        </row>
        <row r="9446">
          <cell r="U9446"/>
        </row>
        <row r="9447">
          <cell r="U9447"/>
        </row>
        <row r="9448">
          <cell r="U9448"/>
        </row>
        <row r="9449">
          <cell r="U9449"/>
        </row>
        <row r="9450">
          <cell r="U9450"/>
        </row>
        <row r="9451">
          <cell r="U9451"/>
        </row>
        <row r="9452">
          <cell r="U9452"/>
        </row>
        <row r="9453">
          <cell r="U9453"/>
        </row>
        <row r="9454">
          <cell r="U9454"/>
        </row>
        <row r="9455">
          <cell r="U9455"/>
        </row>
        <row r="9456">
          <cell r="U9456"/>
        </row>
        <row r="9457">
          <cell r="U9457"/>
        </row>
        <row r="9458">
          <cell r="U9458"/>
        </row>
        <row r="9459">
          <cell r="U9459"/>
        </row>
        <row r="9460">
          <cell r="U9460"/>
        </row>
        <row r="9461">
          <cell r="U9461"/>
        </row>
        <row r="9462">
          <cell r="U9462"/>
        </row>
        <row r="9463">
          <cell r="U9463"/>
        </row>
        <row r="9464">
          <cell r="U9464"/>
        </row>
        <row r="9465">
          <cell r="U9465"/>
        </row>
        <row r="9466">
          <cell r="U9466"/>
        </row>
        <row r="9467">
          <cell r="U9467"/>
        </row>
        <row r="9468">
          <cell r="U9468"/>
        </row>
        <row r="9469">
          <cell r="U9469"/>
        </row>
        <row r="9470">
          <cell r="U9470"/>
        </row>
        <row r="9471">
          <cell r="U9471"/>
        </row>
        <row r="9472">
          <cell r="U9472"/>
        </row>
        <row r="9473">
          <cell r="U9473"/>
        </row>
        <row r="9474">
          <cell r="U9474"/>
        </row>
        <row r="9475">
          <cell r="U9475"/>
        </row>
        <row r="9476">
          <cell r="U9476"/>
        </row>
        <row r="9477">
          <cell r="U9477"/>
        </row>
        <row r="9478">
          <cell r="U9478"/>
        </row>
        <row r="9479">
          <cell r="U9479"/>
        </row>
        <row r="9480">
          <cell r="U9480"/>
        </row>
        <row r="9481">
          <cell r="U9481"/>
        </row>
        <row r="9482">
          <cell r="U9482"/>
        </row>
        <row r="9483">
          <cell r="U9483"/>
        </row>
        <row r="9484">
          <cell r="U9484"/>
        </row>
        <row r="9485">
          <cell r="U9485"/>
        </row>
        <row r="9486">
          <cell r="U9486"/>
        </row>
        <row r="9487">
          <cell r="U9487"/>
        </row>
        <row r="9488">
          <cell r="U9488"/>
        </row>
        <row r="9489">
          <cell r="U9489"/>
        </row>
        <row r="9490">
          <cell r="U9490"/>
        </row>
        <row r="9491">
          <cell r="U9491"/>
        </row>
        <row r="9492">
          <cell r="U9492"/>
        </row>
        <row r="9493">
          <cell r="U9493"/>
        </row>
        <row r="9494">
          <cell r="U9494"/>
        </row>
        <row r="9495">
          <cell r="U9495"/>
        </row>
        <row r="9496">
          <cell r="U9496"/>
        </row>
        <row r="9497">
          <cell r="U9497"/>
        </row>
        <row r="9498">
          <cell r="U9498"/>
        </row>
        <row r="9499">
          <cell r="U9499"/>
        </row>
        <row r="9500">
          <cell r="U9500"/>
        </row>
        <row r="9501">
          <cell r="U9501"/>
        </row>
        <row r="9502">
          <cell r="U9502"/>
        </row>
        <row r="9503">
          <cell r="U9503"/>
        </row>
        <row r="9504">
          <cell r="U9504"/>
        </row>
        <row r="9505">
          <cell r="U9505"/>
        </row>
        <row r="9506">
          <cell r="U9506"/>
        </row>
        <row r="9507">
          <cell r="U9507"/>
        </row>
        <row r="9508">
          <cell r="U9508"/>
        </row>
        <row r="9509">
          <cell r="U9509"/>
        </row>
        <row r="9510">
          <cell r="U9510"/>
        </row>
        <row r="9511">
          <cell r="U9511"/>
        </row>
        <row r="9512">
          <cell r="U9512"/>
        </row>
        <row r="9513">
          <cell r="U9513"/>
        </row>
        <row r="9514">
          <cell r="U9514"/>
        </row>
        <row r="9515">
          <cell r="U9515"/>
        </row>
        <row r="9516">
          <cell r="U9516"/>
        </row>
        <row r="9517">
          <cell r="U9517"/>
        </row>
        <row r="9518">
          <cell r="U9518"/>
        </row>
        <row r="9519">
          <cell r="U9519"/>
        </row>
        <row r="9520">
          <cell r="U9520"/>
        </row>
        <row r="9521">
          <cell r="U9521"/>
        </row>
        <row r="9522">
          <cell r="U9522"/>
        </row>
        <row r="9523">
          <cell r="U9523"/>
        </row>
        <row r="9524">
          <cell r="U9524"/>
        </row>
        <row r="9525">
          <cell r="U9525"/>
        </row>
        <row r="9526">
          <cell r="U9526"/>
        </row>
        <row r="9527">
          <cell r="U9527"/>
        </row>
        <row r="9528">
          <cell r="U9528"/>
        </row>
        <row r="9529">
          <cell r="U9529"/>
        </row>
        <row r="9530">
          <cell r="U9530"/>
        </row>
        <row r="9531">
          <cell r="U9531"/>
        </row>
        <row r="9532">
          <cell r="U9532"/>
        </row>
        <row r="9533">
          <cell r="U9533"/>
        </row>
        <row r="9534">
          <cell r="U9534"/>
        </row>
        <row r="9535">
          <cell r="U9535"/>
        </row>
        <row r="9536">
          <cell r="U9536"/>
        </row>
        <row r="9537">
          <cell r="U9537"/>
        </row>
        <row r="9538">
          <cell r="U9538"/>
        </row>
        <row r="9539">
          <cell r="U9539"/>
        </row>
        <row r="9540">
          <cell r="U9540"/>
        </row>
        <row r="9541">
          <cell r="U9541"/>
        </row>
        <row r="9542">
          <cell r="U9542"/>
        </row>
        <row r="9543">
          <cell r="U9543"/>
        </row>
        <row r="9544">
          <cell r="U9544"/>
        </row>
        <row r="9545">
          <cell r="U9545"/>
        </row>
        <row r="9546">
          <cell r="U9546"/>
        </row>
        <row r="9547">
          <cell r="U9547"/>
        </row>
        <row r="9548">
          <cell r="U9548"/>
        </row>
        <row r="9549">
          <cell r="U9549"/>
        </row>
        <row r="9550">
          <cell r="U9550"/>
        </row>
        <row r="9551">
          <cell r="U9551"/>
        </row>
        <row r="9552">
          <cell r="U9552"/>
        </row>
        <row r="9553">
          <cell r="U9553"/>
        </row>
        <row r="9554">
          <cell r="U9554"/>
        </row>
        <row r="9555">
          <cell r="U9555"/>
        </row>
        <row r="9556">
          <cell r="U9556"/>
        </row>
        <row r="9557">
          <cell r="U9557"/>
        </row>
        <row r="9558">
          <cell r="U9558"/>
        </row>
        <row r="9559">
          <cell r="U9559"/>
        </row>
        <row r="9560">
          <cell r="U9560"/>
        </row>
        <row r="9561">
          <cell r="U9561"/>
        </row>
        <row r="9562">
          <cell r="U9562"/>
        </row>
        <row r="9563">
          <cell r="U9563"/>
        </row>
        <row r="9564">
          <cell r="U9564"/>
        </row>
        <row r="9565">
          <cell r="U9565"/>
        </row>
        <row r="9566">
          <cell r="U9566"/>
        </row>
        <row r="9567">
          <cell r="U9567"/>
        </row>
        <row r="9568">
          <cell r="U9568"/>
        </row>
        <row r="9569">
          <cell r="U9569"/>
        </row>
        <row r="9570">
          <cell r="U9570"/>
        </row>
        <row r="9571">
          <cell r="U9571"/>
        </row>
        <row r="9572">
          <cell r="U9572"/>
        </row>
        <row r="9573">
          <cell r="U9573"/>
        </row>
        <row r="9574">
          <cell r="U9574"/>
        </row>
        <row r="9575">
          <cell r="U9575"/>
        </row>
        <row r="9576">
          <cell r="U9576"/>
        </row>
        <row r="9577">
          <cell r="U9577"/>
        </row>
        <row r="9578">
          <cell r="U9578"/>
        </row>
        <row r="9579">
          <cell r="U9579"/>
        </row>
        <row r="9580">
          <cell r="U9580"/>
        </row>
        <row r="9581">
          <cell r="U9581"/>
        </row>
        <row r="9582">
          <cell r="U9582"/>
        </row>
        <row r="9583">
          <cell r="U9583"/>
        </row>
        <row r="9584">
          <cell r="U9584"/>
        </row>
        <row r="9585">
          <cell r="U9585"/>
        </row>
        <row r="9586">
          <cell r="U9586"/>
        </row>
        <row r="9587">
          <cell r="U9587"/>
        </row>
        <row r="9588">
          <cell r="U9588"/>
        </row>
        <row r="9589">
          <cell r="U9589"/>
        </row>
        <row r="9590">
          <cell r="U9590"/>
        </row>
        <row r="9591">
          <cell r="U9591"/>
        </row>
        <row r="9592">
          <cell r="U9592"/>
        </row>
        <row r="9593">
          <cell r="U9593"/>
        </row>
        <row r="9594">
          <cell r="U9594"/>
        </row>
        <row r="9595">
          <cell r="U9595"/>
        </row>
        <row r="9596">
          <cell r="U9596"/>
        </row>
        <row r="9597">
          <cell r="U9597"/>
        </row>
        <row r="9598">
          <cell r="U9598"/>
        </row>
        <row r="9599">
          <cell r="U9599"/>
        </row>
        <row r="9600">
          <cell r="U9600"/>
        </row>
        <row r="9601">
          <cell r="U9601"/>
        </row>
        <row r="9602">
          <cell r="U9602"/>
        </row>
        <row r="9603">
          <cell r="U9603"/>
        </row>
        <row r="9604">
          <cell r="U9604"/>
        </row>
        <row r="9605">
          <cell r="U9605"/>
        </row>
        <row r="9606">
          <cell r="U9606"/>
        </row>
        <row r="9607">
          <cell r="U9607"/>
        </row>
        <row r="9608">
          <cell r="U9608"/>
        </row>
        <row r="9609">
          <cell r="U9609"/>
        </row>
        <row r="9610">
          <cell r="U9610"/>
        </row>
        <row r="9611">
          <cell r="U9611"/>
        </row>
        <row r="9612">
          <cell r="U9612"/>
        </row>
        <row r="9613">
          <cell r="U9613"/>
        </row>
        <row r="9614">
          <cell r="U9614"/>
        </row>
        <row r="9615">
          <cell r="U9615"/>
        </row>
        <row r="9616">
          <cell r="U9616"/>
        </row>
        <row r="9617">
          <cell r="U9617"/>
        </row>
        <row r="9618">
          <cell r="U9618"/>
        </row>
        <row r="9619">
          <cell r="U9619"/>
        </row>
        <row r="9620">
          <cell r="U9620"/>
        </row>
        <row r="9621">
          <cell r="U9621"/>
        </row>
        <row r="9622">
          <cell r="U9622"/>
        </row>
        <row r="9623">
          <cell r="U9623"/>
        </row>
        <row r="9624">
          <cell r="U9624"/>
        </row>
        <row r="9625">
          <cell r="U9625"/>
        </row>
        <row r="9626">
          <cell r="U9626"/>
        </row>
        <row r="9627">
          <cell r="U9627"/>
        </row>
        <row r="9628">
          <cell r="U9628"/>
        </row>
        <row r="9629">
          <cell r="U9629"/>
        </row>
        <row r="9630">
          <cell r="U9630"/>
        </row>
        <row r="9631">
          <cell r="U9631"/>
        </row>
        <row r="9632">
          <cell r="U9632"/>
        </row>
        <row r="9633">
          <cell r="U9633"/>
        </row>
        <row r="9634">
          <cell r="U9634"/>
        </row>
        <row r="9635">
          <cell r="U9635"/>
        </row>
        <row r="9636">
          <cell r="U9636"/>
        </row>
        <row r="9637">
          <cell r="U9637"/>
        </row>
        <row r="9638">
          <cell r="U9638"/>
        </row>
        <row r="9639">
          <cell r="U9639"/>
        </row>
        <row r="9640">
          <cell r="U9640"/>
        </row>
        <row r="9641">
          <cell r="U9641"/>
        </row>
        <row r="9642">
          <cell r="U9642"/>
        </row>
        <row r="9643">
          <cell r="U9643"/>
        </row>
        <row r="9644">
          <cell r="U9644"/>
        </row>
        <row r="9645">
          <cell r="U9645"/>
        </row>
        <row r="9646">
          <cell r="U9646"/>
        </row>
        <row r="9647">
          <cell r="U9647"/>
        </row>
        <row r="9648">
          <cell r="U9648"/>
        </row>
        <row r="9649">
          <cell r="U9649"/>
        </row>
        <row r="9650">
          <cell r="U9650"/>
        </row>
        <row r="9651">
          <cell r="U9651"/>
        </row>
        <row r="9652">
          <cell r="U9652"/>
        </row>
        <row r="9653">
          <cell r="U9653"/>
        </row>
        <row r="9654">
          <cell r="U9654"/>
        </row>
        <row r="9655">
          <cell r="U9655"/>
        </row>
        <row r="9656">
          <cell r="U9656"/>
        </row>
        <row r="9657">
          <cell r="U9657"/>
        </row>
        <row r="9658">
          <cell r="U9658"/>
        </row>
        <row r="9659">
          <cell r="U9659"/>
        </row>
        <row r="9660">
          <cell r="U9660"/>
        </row>
        <row r="9661">
          <cell r="U9661"/>
        </row>
        <row r="9662">
          <cell r="U9662"/>
        </row>
        <row r="9663">
          <cell r="U9663"/>
        </row>
        <row r="9664">
          <cell r="U9664"/>
        </row>
        <row r="9665">
          <cell r="U9665"/>
        </row>
        <row r="9666">
          <cell r="U9666"/>
        </row>
        <row r="9667">
          <cell r="U9667"/>
        </row>
        <row r="9668">
          <cell r="U9668"/>
        </row>
        <row r="9669">
          <cell r="U9669"/>
        </row>
        <row r="9670">
          <cell r="U9670"/>
        </row>
        <row r="9671">
          <cell r="U9671"/>
        </row>
        <row r="9672">
          <cell r="U9672"/>
        </row>
        <row r="9673">
          <cell r="U9673"/>
        </row>
        <row r="9674">
          <cell r="U9674"/>
        </row>
        <row r="9675">
          <cell r="U9675"/>
        </row>
        <row r="9676">
          <cell r="U9676"/>
        </row>
        <row r="9677">
          <cell r="U9677"/>
        </row>
        <row r="9678">
          <cell r="U9678"/>
        </row>
        <row r="9679">
          <cell r="U9679"/>
        </row>
        <row r="9680">
          <cell r="U9680"/>
        </row>
        <row r="9681">
          <cell r="U9681"/>
        </row>
        <row r="9682">
          <cell r="U9682"/>
        </row>
        <row r="9683">
          <cell r="U9683"/>
        </row>
        <row r="9684">
          <cell r="U9684"/>
        </row>
        <row r="9685">
          <cell r="U9685"/>
        </row>
        <row r="9686">
          <cell r="U9686"/>
        </row>
        <row r="9687">
          <cell r="U9687"/>
        </row>
        <row r="9688">
          <cell r="U9688"/>
        </row>
        <row r="9689">
          <cell r="U9689"/>
        </row>
        <row r="9690">
          <cell r="U9690"/>
        </row>
        <row r="9691">
          <cell r="U9691"/>
        </row>
        <row r="9692">
          <cell r="U9692"/>
        </row>
        <row r="9693">
          <cell r="U9693"/>
        </row>
        <row r="9694">
          <cell r="U9694"/>
        </row>
        <row r="9695">
          <cell r="U9695"/>
        </row>
        <row r="9696">
          <cell r="U9696"/>
        </row>
        <row r="9697">
          <cell r="U9697"/>
        </row>
        <row r="9698">
          <cell r="U9698"/>
        </row>
        <row r="9699">
          <cell r="U9699"/>
        </row>
        <row r="9700">
          <cell r="U9700"/>
        </row>
        <row r="9701">
          <cell r="U9701"/>
        </row>
        <row r="9702">
          <cell r="U9702"/>
        </row>
        <row r="9703">
          <cell r="U9703"/>
        </row>
        <row r="9704">
          <cell r="U9704"/>
        </row>
        <row r="9705">
          <cell r="U9705"/>
        </row>
        <row r="9706">
          <cell r="U9706"/>
        </row>
        <row r="9707">
          <cell r="U9707"/>
        </row>
        <row r="9708">
          <cell r="U9708"/>
        </row>
        <row r="9709">
          <cell r="U9709"/>
        </row>
        <row r="9710">
          <cell r="U9710"/>
        </row>
        <row r="9711">
          <cell r="U9711"/>
        </row>
        <row r="9712">
          <cell r="U9712"/>
        </row>
        <row r="9713">
          <cell r="U9713"/>
        </row>
        <row r="9714">
          <cell r="U9714"/>
        </row>
        <row r="9715">
          <cell r="U9715"/>
        </row>
        <row r="9716">
          <cell r="U9716"/>
        </row>
        <row r="9717">
          <cell r="U9717"/>
        </row>
        <row r="9718">
          <cell r="U9718"/>
        </row>
        <row r="9719">
          <cell r="U9719"/>
        </row>
        <row r="9720">
          <cell r="U9720"/>
        </row>
        <row r="9721">
          <cell r="U9721"/>
        </row>
        <row r="9722">
          <cell r="U9722"/>
        </row>
        <row r="9723">
          <cell r="U9723"/>
        </row>
        <row r="9724">
          <cell r="U9724"/>
        </row>
        <row r="9725">
          <cell r="U9725"/>
        </row>
        <row r="9726">
          <cell r="U9726"/>
        </row>
        <row r="9727">
          <cell r="U9727"/>
        </row>
        <row r="9728">
          <cell r="U9728"/>
        </row>
        <row r="9729">
          <cell r="U9729"/>
        </row>
        <row r="9730">
          <cell r="U9730"/>
        </row>
        <row r="9731">
          <cell r="U9731"/>
        </row>
        <row r="9732">
          <cell r="U9732"/>
        </row>
        <row r="9733">
          <cell r="U9733"/>
        </row>
        <row r="9734">
          <cell r="U9734"/>
        </row>
        <row r="9735">
          <cell r="U9735"/>
        </row>
        <row r="9736">
          <cell r="U9736"/>
        </row>
        <row r="9737">
          <cell r="U9737"/>
        </row>
        <row r="9738">
          <cell r="U9738"/>
        </row>
        <row r="9739">
          <cell r="U9739"/>
        </row>
        <row r="9740">
          <cell r="U9740"/>
        </row>
        <row r="9741">
          <cell r="U9741"/>
        </row>
        <row r="9742">
          <cell r="U9742"/>
        </row>
        <row r="9743">
          <cell r="U9743"/>
        </row>
        <row r="9744">
          <cell r="U9744"/>
        </row>
        <row r="9745">
          <cell r="U9745"/>
        </row>
        <row r="9746">
          <cell r="U9746"/>
        </row>
        <row r="9747">
          <cell r="U9747"/>
        </row>
        <row r="9748">
          <cell r="U9748"/>
        </row>
        <row r="9749">
          <cell r="U9749"/>
        </row>
        <row r="9750">
          <cell r="U9750"/>
        </row>
        <row r="9751">
          <cell r="U9751"/>
        </row>
        <row r="9752">
          <cell r="U9752"/>
        </row>
        <row r="9753">
          <cell r="U9753"/>
        </row>
        <row r="9754">
          <cell r="U9754"/>
        </row>
        <row r="9755">
          <cell r="U9755"/>
        </row>
        <row r="9756">
          <cell r="U9756"/>
        </row>
        <row r="9757">
          <cell r="U9757"/>
        </row>
        <row r="9758">
          <cell r="U9758"/>
        </row>
        <row r="9759">
          <cell r="U9759"/>
        </row>
        <row r="9760">
          <cell r="U9760"/>
        </row>
        <row r="9761">
          <cell r="U9761"/>
        </row>
        <row r="9762">
          <cell r="U9762"/>
        </row>
        <row r="9763">
          <cell r="U9763"/>
        </row>
        <row r="9764">
          <cell r="U9764"/>
        </row>
        <row r="9765">
          <cell r="U9765"/>
        </row>
        <row r="9766">
          <cell r="U9766"/>
        </row>
        <row r="9767">
          <cell r="U9767"/>
        </row>
        <row r="9768">
          <cell r="U9768"/>
        </row>
        <row r="9769">
          <cell r="U9769"/>
        </row>
        <row r="9770">
          <cell r="U9770"/>
        </row>
        <row r="9771">
          <cell r="U9771"/>
        </row>
        <row r="9772">
          <cell r="U9772"/>
        </row>
        <row r="9773">
          <cell r="U9773"/>
        </row>
        <row r="9774">
          <cell r="U9774"/>
        </row>
        <row r="9775">
          <cell r="U9775"/>
        </row>
        <row r="9776">
          <cell r="U9776"/>
        </row>
        <row r="9777">
          <cell r="U9777"/>
        </row>
        <row r="9778">
          <cell r="U9778"/>
        </row>
        <row r="9779">
          <cell r="U9779"/>
        </row>
        <row r="9780">
          <cell r="U9780"/>
        </row>
        <row r="9781">
          <cell r="U9781"/>
        </row>
        <row r="9782">
          <cell r="U9782"/>
        </row>
        <row r="9783">
          <cell r="U9783"/>
        </row>
        <row r="9784">
          <cell r="U9784"/>
        </row>
        <row r="9785">
          <cell r="U9785"/>
        </row>
        <row r="9786">
          <cell r="U9786"/>
        </row>
        <row r="9787">
          <cell r="U9787"/>
        </row>
        <row r="9788">
          <cell r="U9788"/>
        </row>
        <row r="9789">
          <cell r="U9789"/>
        </row>
        <row r="9790">
          <cell r="U9790"/>
        </row>
        <row r="9791">
          <cell r="U9791"/>
        </row>
        <row r="9792">
          <cell r="U9792"/>
        </row>
        <row r="9793">
          <cell r="U9793"/>
        </row>
        <row r="9794">
          <cell r="U9794"/>
        </row>
        <row r="9795">
          <cell r="U9795"/>
        </row>
        <row r="9796">
          <cell r="U9796"/>
        </row>
        <row r="9797">
          <cell r="U9797"/>
        </row>
        <row r="9798">
          <cell r="U9798"/>
        </row>
        <row r="9799">
          <cell r="U9799"/>
        </row>
        <row r="9800">
          <cell r="U9800"/>
        </row>
        <row r="9801">
          <cell r="U9801"/>
        </row>
        <row r="9802">
          <cell r="U9802"/>
        </row>
        <row r="9803">
          <cell r="U9803"/>
        </row>
        <row r="9804">
          <cell r="U9804"/>
        </row>
        <row r="9805">
          <cell r="U9805"/>
        </row>
        <row r="9806">
          <cell r="U9806"/>
        </row>
        <row r="9807">
          <cell r="U9807"/>
        </row>
        <row r="9808">
          <cell r="U9808"/>
        </row>
        <row r="9809">
          <cell r="U9809"/>
        </row>
        <row r="9810">
          <cell r="U9810"/>
        </row>
        <row r="9811">
          <cell r="U9811"/>
        </row>
        <row r="9812">
          <cell r="U9812"/>
        </row>
        <row r="9813">
          <cell r="U9813"/>
        </row>
        <row r="9814">
          <cell r="U9814"/>
        </row>
        <row r="9815">
          <cell r="U9815"/>
        </row>
        <row r="9816">
          <cell r="U9816"/>
        </row>
        <row r="9817">
          <cell r="U9817"/>
        </row>
        <row r="9818">
          <cell r="U9818"/>
        </row>
        <row r="9819">
          <cell r="U9819"/>
        </row>
        <row r="9820">
          <cell r="U9820"/>
        </row>
        <row r="9821">
          <cell r="U9821"/>
        </row>
        <row r="9822">
          <cell r="U9822"/>
        </row>
        <row r="9823">
          <cell r="U9823"/>
        </row>
        <row r="9824">
          <cell r="U9824"/>
        </row>
        <row r="9825">
          <cell r="U9825"/>
        </row>
        <row r="9826">
          <cell r="U9826"/>
        </row>
        <row r="9827">
          <cell r="U9827"/>
        </row>
        <row r="9828">
          <cell r="U9828"/>
        </row>
        <row r="9829">
          <cell r="U9829"/>
        </row>
        <row r="9830">
          <cell r="U9830"/>
        </row>
        <row r="9831">
          <cell r="U9831"/>
        </row>
        <row r="9832">
          <cell r="U9832"/>
        </row>
        <row r="9833">
          <cell r="U9833"/>
        </row>
        <row r="9834">
          <cell r="U9834"/>
        </row>
        <row r="9835">
          <cell r="U9835"/>
        </row>
        <row r="9836">
          <cell r="U9836"/>
        </row>
        <row r="9837">
          <cell r="U9837"/>
        </row>
        <row r="9838">
          <cell r="U9838"/>
        </row>
        <row r="9839">
          <cell r="U9839"/>
        </row>
        <row r="9840">
          <cell r="U9840"/>
        </row>
        <row r="9841">
          <cell r="U9841"/>
        </row>
        <row r="9842">
          <cell r="U9842"/>
        </row>
        <row r="9843">
          <cell r="U9843"/>
        </row>
        <row r="9844">
          <cell r="U9844"/>
        </row>
        <row r="9845">
          <cell r="U9845"/>
        </row>
        <row r="9846">
          <cell r="U9846"/>
        </row>
        <row r="9847">
          <cell r="U9847"/>
        </row>
        <row r="9848">
          <cell r="U9848"/>
        </row>
        <row r="9849">
          <cell r="U9849"/>
        </row>
        <row r="9850">
          <cell r="U9850"/>
        </row>
        <row r="9851">
          <cell r="U9851"/>
        </row>
        <row r="9852">
          <cell r="U9852"/>
        </row>
        <row r="9853">
          <cell r="U9853"/>
        </row>
        <row r="9854">
          <cell r="U9854"/>
        </row>
        <row r="9855">
          <cell r="U9855"/>
        </row>
        <row r="9856">
          <cell r="U9856"/>
        </row>
        <row r="9857">
          <cell r="U9857"/>
        </row>
        <row r="9858">
          <cell r="U9858"/>
        </row>
        <row r="9859">
          <cell r="U9859"/>
        </row>
        <row r="9860">
          <cell r="U9860"/>
        </row>
        <row r="9861">
          <cell r="U9861"/>
        </row>
        <row r="9862">
          <cell r="U9862"/>
        </row>
        <row r="9863">
          <cell r="U9863"/>
        </row>
        <row r="9864">
          <cell r="U9864"/>
        </row>
        <row r="9865">
          <cell r="U9865"/>
        </row>
        <row r="9866">
          <cell r="U9866"/>
        </row>
        <row r="9867">
          <cell r="U9867"/>
        </row>
        <row r="9868">
          <cell r="U9868"/>
        </row>
        <row r="9869">
          <cell r="U9869"/>
        </row>
        <row r="9870">
          <cell r="U9870"/>
        </row>
        <row r="9871">
          <cell r="U9871"/>
        </row>
        <row r="9872">
          <cell r="U9872"/>
        </row>
        <row r="9873">
          <cell r="U9873"/>
        </row>
        <row r="9874">
          <cell r="U9874"/>
        </row>
        <row r="9875">
          <cell r="U9875"/>
        </row>
        <row r="9876">
          <cell r="U9876"/>
        </row>
        <row r="9877">
          <cell r="U9877"/>
        </row>
        <row r="9878">
          <cell r="U9878"/>
        </row>
        <row r="9879">
          <cell r="U9879"/>
        </row>
        <row r="9880">
          <cell r="U9880"/>
        </row>
        <row r="9881">
          <cell r="U9881"/>
        </row>
        <row r="9882">
          <cell r="U9882"/>
        </row>
        <row r="9883">
          <cell r="U9883"/>
        </row>
        <row r="9884">
          <cell r="U9884"/>
        </row>
        <row r="9885">
          <cell r="U9885"/>
        </row>
        <row r="9886">
          <cell r="U9886"/>
        </row>
        <row r="9887">
          <cell r="U9887"/>
        </row>
        <row r="9888">
          <cell r="U9888"/>
        </row>
        <row r="9889">
          <cell r="U9889"/>
        </row>
        <row r="9890">
          <cell r="U9890"/>
        </row>
        <row r="9891">
          <cell r="U9891"/>
        </row>
        <row r="9892">
          <cell r="U9892"/>
        </row>
        <row r="9893">
          <cell r="U9893"/>
        </row>
        <row r="9894">
          <cell r="U9894"/>
        </row>
        <row r="9895">
          <cell r="U9895"/>
        </row>
        <row r="9896">
          <cell r="U9896"/>
        </row>
        <row r="9897">
          <cell r="U9897"/>
        </row>
        <row r="9898">
          <cell r="U9898"/>
        </row>
        <row r="9899">
          <cell r="U9899"/>
        </row>
        <row r="9900">
          <cell r="U9900"/>
        </row>
        <row r="9901">
          <cell r="U9901"/>
        </row>
        <row r="9902">
          <cell r="U9902"/>
        </row>
        <row r="9903">
          <cell r="U9903"/>
        </row>
        <row r="9904">
          <cell r="U9904"/>
        </row>
        <row r="9905">
          <cell r="U9905"/>
        </row>
        <row r="9906">
          <cell r="U9906"/>
        </row>
        <row r="9907">
          <cell r="U9907"/>
        </row>
        <row r="9908">
          <cell r="U9908"/>
        </row>
        <row r="9909">
          <cell r="U9909"/>
        </row>
        <row r="9910">
          <cell r="U9910"/>
        </row>
        <row r="9911">
          <cell r="U9911"/>
        </row>
        <row r="9912">
          <cell r="U9912"/>
        </row>
        <row r="9913">
          <cell r="U9913"/>
        </row>
        <row r="9914">
          <cell r="U9914"/>
        </row>
        <row r="9915">
          <cell r="U9915"/>
        </row>
        <row r="9916">
          <cell r="U9916"/>
        </row>
        <row r="9917">
          <cell r="U9917"/>
        </row>
        <row r="9918">
          <cell r="U9918"/>
        </row>
        <row r="9919">
          <cell r="U9919"/>
        </row>
        <row r="9920">
          <cell r="U9920"/>
        </row>
        <row r="9921">
          <cell r="U9921"/>
        </row>
        <row r="9922">
          <cell r="U9922"/>
        </row>
        <row r="9923">
          <cell r="U9923"/>
        </row>
        <row r="9924">
          <cell r="U9924"/>
        </row>
        <row r="9925">
          <cell r="U9925"/>
        </row>
        <row r="9926">
          <cell r="U9926"/>
        </row>
        <row r="9927">
          <cell r="U9927"/>
        </row>
        <row r="9928">
          <cell r="U9928"/>
        </row>
        <row r="9929">
          <cell r="U9929"/>
        </row>
        <row r="9930">
          <cell r="U9930"/>
        </row>
        <row r="9931">
          <cell r="U9931"/>
        </row>
        <row r="9932">
          <cell r="U9932"/>
        </row>
        <row r="9933">
          <cell r="U9933"/>
        </row>
        <row r="9934">
          <cell r="U9934"/>
        </row>
        <row r="9935">
          <cell r="U9935"/>
        </row>
        <row r="9936">
          <cell r="U9936"/>
        </row>
        <row r="9937">
          <cell r="U9937"/>
        </row>
        <row r="9938">
          <cell r="U9938"/>
        </row>
        <row r="9939">
          <cell r="U9939"/>
        </row>
        <row r="9940">
          <cell r="U9940"/>
        </row>
        <row r="9941">
          <cell r="U9941"/>
        </row>
        <row r="9942">
          <cell r="U9942"/>
        </row>
        <row r="9943">
          <cell r="U9943"/>
        </row>
        <row r="9944">
          <cell r="U9944"/>
        </row>
        <row r="9945">
          <cell r="U9945"/>
        </row>
        <row r="9946">
          <cell r="U9946"/>
        </row>
        <row r="9947">
          <cell r="U9947"/>
        </row>
        <row r="9948">
          <cell r="U9948"/>
        </row>
        <row r="9949">
          <cell r="U9949"/>
        </row>
        <row r="9950">
          <cell r="U9950"/>
        </row>
        <row r="9951">
          <cell r="U9951"/>
        </row>
        <row r="9952">
          <cell r="U9952"/>
        </row>
        <row r="9953">
          <cell r="U9953"/>
        </row>
        <row r="9954">
          <cell r="U9954"/>
        </row>
        <row r="9955">
          <cell r="U9955"/>
        </row>
        <row r="9956">
          <cell r="U9956"/>
        </row>
        <row r="9957">
          <cell r="U9957"/>
        </row>
        <row r="9958">
          <cell r="U9958"/>
        </row>
        <row r="9959">
          <cell r="U9959"/>
        </row>
        <row r="9960">
          <cell r="U9960"/>
        </row>
        <row r="9961">
          <cell r="U9961"/>
        </row>
        <row r="9962">
          <cell r="U9962"/>
        </row>
        <row r="9963">
          <cell r="U9963"/>
        </row>
        <row r="9964">
          <cell r="U9964"/>
        </row>
        <row r="9965">
          <cell r="U9965"/>
        </row>
        <row r="9966">
          <cell r="U9966"/>
        </row>
        <row r="9967">
          <cell r="U9967"/>
        </row>
        <row r="9968">
          <cell r="U9968"/>
        </row>
        <row r="9969">
          <cell r="U9969"/>
        </row>
        <row r="9970">
          <cell r="U9970"/>
        </row>
        <row r="9971">
          <cell r="U9971"/>
        </row>
        <row r="9972">
          <cell r="U9972"/>
        </row>
        <row r="9973">
          <cell r="U9973"/>
        </row>
        <row r="9974">
          <cell r="U9974"/>
        </row>
        <row r="9975">
          <cell r="U9975"/>
        </row>
        <row r="9976">
          <cell r="U9976"/>
        </row>
        <row r="9977">
          <cell r="U9977"/>
        </row>
        <row r="9978">
          <cell r="U9978"/>
        </row>
        <row r="9979">
          <cell r="U9979"/>
        </row>
        <row r="9980">
          <cell r="U9980"/>
        </row>
        <row r="9981">
          <cell r="U9981"/>
        </row>
        <row r="9982">
          <cell r="U9982"/>
        </row>
        <row r="9983">
          <cell r="U9983"/>
        </row>
        <row r="9984">
          <cell r="U9984"/>
        </row>
        <row r="9985">
          <cell r="U9985"/>
        </row>
        <row r="9986">
          <cell r="U9986"/>
        </row>
        <row r="9987">
          <cell r="U9987"/>
        </row>
        <row r="9988">
          <cell r="U9988"/>
        </row>
        <row r="9989">
          <cell r="U9989"/>
        </row>
        <row r="9990">
          <cell r="U9990"/>
        </row>
        <row r="9991">
          <cell r="U9991"/>
        </row>
        <row r="9992">
          <cell r="U9992"/>
        </row>
        <row r="9993">
          <cell r="U9993"/>
        </row>
        <row r="9994">
          <cell r="U9994"/>
        </row>
        <row r="9995">
          <cell r="U9995"/>
        </row>
        <row r="9996">
          <cell r="U9996"/>
        </row>
        <row r="9997">
          <cell r="U9997"/>
        </row>
        <row r="9998">
          <cell r="U9998"/>
        </row>
        <row r="9999">
          <cell r="U9999"/>
        </row>
        <row r="10000">
          <cell r="U10000"/>
        </row>
        <row r="10001">
          <cell r="U10001"/>
        </row>
        <row r="10002">
          <cell r="U10002"/>
        </row>
        <row r="10003">
          <cell r="U10003"/>
        </row>
        <row r="10004">
          <cell r="U10004"/>
        </row>
        <row r="10005">
          <cell r="U10005"/>
        </row>
        <row r="10006">
          <cell r="U10006"/>
        </row>
        <row r="10007">
          <cell r="U10007"/>
        </row>
        <row r="10008">
          <cell r="U10008"/>
        </row>
        <row r="10009">
          <cell r="U10009"/>
        </row>
        <row r="10010">
          <cell r="U10010"/>
        </row>
        <row r="10011">
          <cell r="U10011"/>
        </row>
        <row r="10012">
          <cell r="U10012"/>
        </row>
        <row r="10013">
          <cell r="U10013"/>
        </row>
        <row r="10014">
          <cell r="U10014"/>
        </row>
        <row r="10015">
          <cell r="U10015"/>
        </row>
        <row r="10016">
          <cell r="U10016"/>
        </row>
        <row r="10017">
          <cell r="U10017"/>
        </row>
        <row r="10018">
          <cell r="U10018"/>
        </row>
        <row r="10019">
          <cell r="U10019"/>
        </row>
        <row r="10020">
          <cell r="U10020"/>
        </row>
        <row r="10021">
          <cell r="U10021"/>
        </row>
        <row r="10022">
          <cell r="U10022"/>
        </row>
        <row r="10023">
          <cell r="U10023"/>
        </row>
        <row r="10024">
          <cell r="U10024"/>
        </row>
        <row r="10025">
          <cell r="U10025"/>
        </row>
        <row r="10026">
          <cell r="U10026"/>
        </row>
        <row r="10027">
          <cell r="U10027"/>
        </row>
        <row r="10028">
          <cell r="U10028"/>
        </row>
        <row r="10029">
          <cell r="U10029"/>
        </row>
        <row r="10030">
          <cell r="U10030"/>
        </row>
        <row r="10031">
          <cell r="U10031"/>
        </row>
        <row r="10032">
          <cell r="U10032"/>
        </row>
        <row r="10033">
          <cell r="U10033"/>
        </row>
        <row r="10034">
          <cell r="U10034"/>
        </row>
        <row r="10035">
          <cell r="U10035"/>
        </row>
        <row r="10036">
          <cell r="U10036"/>
        </row>
        <row r="10037">
          <cell r="U10037"/>
        </row>
        <row r="10038">
          <cell r="U10038"/>
        </row>
        <row r="10039">
          <cell r="U10039"/>
        </row>
        <row r="10040">
          <cell r="U10040"/>
        </row>
        <row r="10041">
          <cell r="U10041"/>
        </row>
        <row r="10042">
          <cell r="U10042"/>
        </row>
        <row r="10043">
          <cell r="U10043"/>
        </row>
        <row r="10044">
          <cell r="U10044"/>
        </row>
        <row r="10045">
          <cell r="U10045"/>
        </row>
        <row r="10046">
          <cell r="U10046"/>
        </row>
        <row r="10047">
          <cell r="U10047"/>
        </row>
        <row r="10048">
          <cell r="U10048"/>
        </row>
        <row r="10049">
          <cell r="U10049"/>
        </row>
        <row r="10050">
          <cell r="U10050"/>
        </row>
        <row r="10051">
          <cell r="U10051"/>
        </row>
        <row r="10052">
          <cell r="U10052"/>
        </row>
        <row r="10053">
          <cell r="U10053"/>
        </row>
        <row r="10054">
          <cell r="U10054"/>
        </row>
        <row r="10055">
          <cell r="U10055"/>
        </row>
        <row r="10056">
          <cell r="U10056"/>
        </row>
        <row r="10057">
          <cell r="U10057"/>
        </row>
        <row r="10058">
          <cell r="U10058"/>
        </row>
        <row r="10059">
          <cell r="U10059"/>
        </row>
        <row r="10060">
          <cell r="U10060"/>
        </row>
        <row r="10061">
          <cell r="U10061"/>
        </row>
        <row r="10062">
          <cell r="U10062"/>
        </row>
        <row r="10063">
          <cell r="U10063"/>
        </row>
        <row r="10064">
          <cell r="U10064"/>
        </row>
        <row r="10065">
          <cell r="U10065"/>
        </row>
        <row r="10066">
          <cell r="U10066"/>
        </row>
        <row r="10067">
          <cell r="U10067"/>
        </row>
        <row r="10068">
          <cell r="U10068"/>
        </row>
        <row r="10069">
          <cell r="U10069"/>
        </row>
        <row r="10070">
          <cell r="U10070"/>
        </row>
        <row r="10071">
          <cell r="U10071"/>
        </row>
        <row r="10072">
          <cell r="U10072"/>
        </row>
        <row r="10073">
          <cell r="U10073"/>
        </row>
        <row r="10074">
          <cell r="U10074"/>
        </row>
        <row r="10075">
          <cell r="U10075"/>
        </row>
        <row r="10076">
          <cell r="U10076"/>
        </row>
        <row r="10077">
          <cell r="U10077"/>
        </row>
        <row r="10078">
          <cell r="U10078"/>
        </row>
        <row r="10079">
          <cell r="U10079"/>
        </row>
        <row r="10080">
          <cell r="U10080"/>
        </row>
        <row r="10081">
          <cell r="U10081"/>
        </row>
        <row r="10082">
          <cell r="U10082"/>
        </row>
        <row r="10083">
          <cell r="U10083"/>
        </row>
        <row r="10084">
          <cell r="U10084"/>
        </row>
        <row r="10085">
          <cell r="U10085"/>
        </row>
        <row r="10086">
          <cell r="U10086"/>
        </row>
        <row r="10087">
          <cell r="U10087"/>
        </row>
        <row r="10088">
          <cell r="U10088"/>
        </row>
        <row r="10089">
          <cell r="U10089"/>
        </row>
        <row r="10090">
          <cell r="U10090"/>
        </row>
        <row r="10091">
          <cell r="U10091"/>
        </row>
        <row r="10092">
          <cell r="U10092"/>
        </row>
        <row r="10093">
          <cell r="U10093"/>
        </row>
        <row r="10094">
          <cell r="U10094"/>
        </row>
        <row r="10095">
          <cell r="U10095"/>
        </row>
        <row r="10096">
          <cell r="U10096"/>
        </row>
        <row r="10097">
          <cell r="U10097"/>
        </row>
        <row r="10098">
          <cell r="U10098"/>
        </row>
        <row r="10099">
          <cell r="U10099"/>
        </row>
        <row r="10100">
          <cell r="U10100"/>
        </row>
        <row r="10101">
          <cell r="U10101"/>
        </row>
        <row r="10102">
          <cell r="U10102"/>
        </row>
        <row r="10103">
          <cell r="U10103"/>
        </row>
        <row r="10104">
          <cell r="U10104"/>
        </row>
        <row r="10105">
          <cell r="U10105"/>
        </row>
        <row r="10106">
          <cell r="U10106"/>
        </row>
        <row r="10107">
          <cell r="U10107"/>
        </row>
        <row r="10108">
          <cell r="U10108"/>
        </row>
        <row r="10109">
          <cell r="U10109"/>
        </row>
        <row r="10110">
          <cell r="U10110"/>
        </row>
        <row r="10111">
          <cell r="U10111"/>
        </row>
        <row r="10112">
          <cell r="U10112"/>
        </row>
        <row r="10113">
          <cell r="U10113"/>
        </row>
        <row r="10114">
          <cell r="U10114"/>
        </row>
        <row r="10115">
          <cell r="U10115"/>
        </row>
        <row r="10116">
          <cell r="U10116"/>
        </row>
        <row r="10117">
          <cell r="U10117"/>
        </row>
        <row r="10118">
          <cell r="U10118"/>
        </row>
        <row r="10119">
          <cell r="U10119"/>
        </row>
        <row r="10120">
          <cell r="U10120"/>
        </row>
        <row r="10121">
          <cell r="U10121"/>
        </row>
        <row r="10122">
          <cell r="U10122"/>
        </row>
        <row r="10123">
          <cell r="U10123"/>
        </row>
        <row r="10124">
          <cell r="U10124"/>
        </row>
        <row r="10125">
          <cell r="U10125"/>
        </row>
        <row r="10126">
          <cell r="U10126"/>
        </row>
        <row r="10127">
          <cell r="U10127"/>
        </row>
        <row r="10128">
          <cell r="U10128"/>
        </row>
        <row r="10129">
          <cell r="U10129"/>
        </row>
        <row r="10130">
          <cell r="U10130"/>
        </row>
        <row r="10131">
          <cell r="U10131"/>
        </row>
        <row r="10132">
          <cell r="U10132"/>
        </row>
        <row r="10133">
          <cell r="U10133"/>
        </row>
        <row r="10134">
          <cell r="U10134"/>
        </row>
        <row r="10135">
          <cell r="U10135"/>
        </row>
        <row r="10136">
          <cell r="U10136"/>
        </row>
        <row r="10137">
          <cell r="U10137"/>
        </row>
        <row r="10138">
          <cell r="U10138"/>
        </row>
        <row r="10139">
          <cell r="U10139"/>
        </row>
        <row r="10140">
          <cell r="U10140"/>
        </row>
        <row r="10141">
          <cell r="U10141"/>
        </row>
        <row r="10142">
          <cell r="U10142"/>
        </row>
        <row r="10143">
          <cell r="U10143"/>
        </row>
        <row r="10144">
          <cell r="U10144"/>
        </row>
        <row r="10145">
          <cell r="U10145"/>
        </row>
        <row r="10146">
          <cell r="U10146"/>
        </row>
        <row r="10147">
          <cell r="U10147"/>
        </row>
        <row r="10148">
          <cell r="U10148"/>
        </row>
        <row r="10149">
          <cell r="U10149"/>
        </row>
        <row r="10150">
          <cell r="U10150"/>
        </row>
        <row r="10151">
          <cell r="U10151"/>
        </row>
        <row r="10152">
          <cell r="U10152"/>
        </row>
        <row r="10153">
          <cell r="U10153"/>
        </row>
        <row r="10154">
          <cell r="U10154"/>
        </row>
        <row r="10155">
          <cell r="U10155"/>
        </row>
        <row r="10156">
          <cell r="U10156"/>
        </row>
        <row r="10157">
          <cell r="U10157"/>
        </row>
        <row r="10158">
          <cell r="U10158"/>
        </row>
        <row r="10159">
          <cell r="U10159"/>
        </row>
        <row r="10160">
          <cell r="U10160"/>
        </row>
        <row r="10161">
          <cell r="U10161"/>
        </row>
        <row r="10162">
          <cell r="U10162"/>
        </row>
        <row r="10163">
          <cell r="U10163"/>
        </row>
        <row r="10164">
          <cell r="U10164"/>
        </row>
        <row r="10165">
          <cell r="U10165"/>
        </row>
        <row r="10166">
          <cell r="U10166"/>
        </row>
        <row r="10167">
          <cell r="U10167"/>
        </row>
        <row r="10168">
          <cell r="U10168"/>
        </row>
        <row r="10169">
          <cell r="U10169"/>
        </row>
        <row r="10170">
          <cell r="U10170"/>
        </row>
        <row r="10171">
          <cell r="U10171"/>
        </row>
        <row r="10172">
          <cell r="U10172"/>
        </row>
        <row r="10173">
          <cell r="U10173"/>
        </row>
        <row r="10174">
          <cell r="U10174"/>
        </row>
        <row r="10175">
          <cell r="U10175"/>
        </row>
        <row r="10176">
          <cell r="U10176"/>
        </row>
        <row r="10177">
          <cell r="U10177"/>
        </row>
        <row r="10178">
          <cell r="U10178"/>
        </row>
        <row r="10179">
          <cell r="U10179"/>
        </row>
        <row r="10180">
          <cell r="U10180"/>
        </row>
        <row r="10181">
          <cell r="U10181"/>
        </row>
        <row r="10182">
          <cell r="U10182"/>
        </row>
        <row r="10183">
          <cell r="U10183"/>
        </row>
        <row r="10184">
          <cell r="U10184"/>
        </row>
        <row r="10185">
          <cell r="U10185"/>
        </row>
        <row r="10186">
          <cell r="U10186"/>
        </row>
        <row r="10187">
          <cell r="U10187"/>
        </row>
        <row r="10188">
          <cell r="U10188"/>
        </row>
        <row r="10189">
          <cell r="U10189"/>
        </row>
        <row r="10190">
          <cell r="U10190"/>
        </row>
        <row r="10191">
          <cell r="U10191"/>
        </row>
        <row r="10192">
          <cell r="U10192"/>
        </row>
        <row r="10193">
          <cell r="U10193"/>
        </row>
        <row r="10194">
          <cell r="U10194"/>
        </row>
        <row r="10195">
          <cell r="U10195"/>
        </row>
        <row r="10196">
          <cell r="U10196"/>
        </row>
        <row r="10197">
          <cell r="U10197"/>
        </row>
        <row r="10198">
          <cell r="U10198"/>
        </row>
        <row r="10199">
          <cell r="U10199"/>
        </row>
        <row r="10200">
          <cell r="U10200"/>
        </row>
        <row r="10201">
          <cell r="U10201"/>
        </row>
        <row r="10202">
          <cell r="U10202"/>
        </row>
        <row r="10203">
          <cell r="U10203"/>
        </row>
        <row r="10204">
          <cell r="U10204"/>
        </row>
        <row r="10205">
          <cell r="U10205"/>
        </row>
        <row r="10206">
          <cell r="U10206"/>
        </row>
        <row r="10207">
          <cell r="U10207"/>
        </row>
        <row r="10208">
          <cell r="U10208"/>
        </row>
        <row r="10209">
          <cell r="U10209"/>
        </row>
        <row r="10210">
          <cell r="U10210"/>
        </row>
        <row r="10211">
          <cell r="U10211"/>
        </row>
        <row r="10212">
          <cell r="U10212"/>
        </row>
        <row r="10213">
          <cell r="U10213"/>
        </row>
        <row r="10214">
          <cell r="U10214"/>
        </row>
        <row r="10215">
          <cell r="U10215"/>
        </row>
        <row r="10216">
          <cell r="U10216"/>
        </row>
        <row r="10217">
          <cell r="U10217"/>
        </row>
        <row r="10218">
          <cell r="U10218"/>
        </row>
        <row r="10219">
          <cell r="U10219"/>
        </row>
        <row r="10220">
          <cell r="U10220"/>
        </row>
        <row r="10221">
          <cell r="U10221"/>
        </row>
        <row r="10222">
          <cell r="U10222"/>
        </row>
        <row r="10223">
          <cell r="U10223"/>
        </row>
        <row r="10224">
          <cell r="U10224"/>
        </row>
        <row r="10225">
          <cell r="U10225"/>
        </row>
        <row r="10226">
          <cell r="U10226"/>
        </row>
        <row r="10227">
          <cell r="U10227"/>
        </row>
        <row r="10228">
          <cell r="U10228"/>
        </row>
        <row r="10229">
          <cell r="U10229"/>
        </row>
        <row r="10230">
          <cell r="U10230"/>
        </row>
        <row r="10231">
          <cell r="U10231"/>
        </row>
        <row r="10232">
          <cell r="U10232"/>
        </row>
        <row r="10233">
          <cell r="U10233"/>
        </row>
        <row r="10234">
          <cell r="U10234"/>
        </row>
        <row r="10235">
          <cell r="U10235"/>
        </row>
        <row r="10236">
          <cell r="U10236"/>
        </row>
        <row r="10237">
          <cell r="U10237"/>
        </row>
        <row r="10238">
          <cell r="U10238"/>
        </row>
        <row r="10239">
          <cell r="U10239"/>
        </row>
        <row r="10240">
          <cell r="U10240"/>
        </row>
        <row r="10241">
          <cell r="U10241"/>
        </row>
        <row r="10242">
          <cell r="U10242"/>
        </row>
        <row r="10243">
          <cell r="U10243"/>
        </row>
        <row r="10244">
          <cell r="U10244"/>
        </row>
        <row r="10245">
          <cell r="U10245"/>
        </row>
        <row r="10246">
          <cell r="U10246"/>
        </row>
        <row r="10247">
          <cell r="U10247"/>
        </row>
        <row r="10248">
          <cell r="U10248"/>
        </row>
        <row r="10249">
          <cell r="U10249"/>
        </row>
        <row r="10250">
          <cell r="U10250"/>
        </row>
        <row r="10251">
          <cell r="U10251"/>
        </row>
        <row r="10252">
          <cell r="U10252"/>
        </row>
        <row r="10253">
          <cell r="U10253"/>
        </row>
        <row r="10254">
          <cell r="U10254"/>
        </row>
        <row r="10255">
          <cell r="U10255"/>
        </row>
        <row r="10256">
          <cell r="U10256"/>
        </row>
        <row r="10257">
          <cell r="U10257"/>
        </row>
        <row r="10258">
          <cell r="U10258"/>
        </row>
        <row r="10259">
          <cell r="U10259"/>
        </row>
        <row r="10260">
          <cell r="U10260"/>
        </row>
        <row r="10261">
          <cell r="U10261"/>
        </row>
        <row r="10262">
          <cell r="U10262"/>
        </row>
        <row r="10263">
          <cell r="U10263"/>
        </row>
        <row r="10264">
          <cell r="U10264"/>
        </row>
        <row r="10265">
          <cell r="U10265"/>
        </row>
        <row r="10266">
          <cell r="U10266"/>
        </row>
        <row r="10267">
          <cell r="U10267"/>
        </row>
        <row r="10268">
          <cell r="U10268"/>
        </row>
        <row r="10269">
          <cell r="U10269"/>
        </row>
        <row r="10270">
          <cell r="U10270"/>
        </row>
        <row r="10271">
          <cell r="U10271"/>
        </row>
        <row r="10272">
          <cell r="U10272"/>
        </row>
        <row r="10273">
          <cell r="U10273"/>
        </row>
        <row r="10274">
          <cell r="U10274"/>
        </row>
        <row r="10275">
          <cell r="U10275"/>
        </row>
        <row r="10276">
          <cell r="U10276"/>
        </row>
        <row r="10277">
          <cell r="U10277"/>
        </row>
        <row r="10278">
          <cell r="U10278"/>
        </row>
        <row r="10279">
          <cell r="U10279"/>
        </row>
        <row r="10280">
          <cell r="U10280"/>
        </row>
        <row r="10281">
          <cell r="U10281"/>
        </row>
        <row r="10282">
          <cell r="U10282"/>
        </row>
        <row r="10283">
          <cell r="U10283"/>
        </row>
        <row r="10284">
          <cell r="U10284"/>
        </row>
        <row r="10285">
          <cell r="U10285"/>
        </row>
        <row r="10286">
          <cell r="U10286"/>
        </row>
        <row r="10287">
          <cell r="U10287"/>
        </row>
        <row r="10288">
          <cell r="U10288"/>
        </row>
        <row r="10289">
          <cell r="U10289"/>
        </row>
        <row r="10290">
          <cell r="U10290"/>
        </row>
        <row r="10291">
          <cell r="U10291"/>
        </row>
        <row r="10292">
          <cell r="U10292"/>
        </row>
        <row r="10293">
          <cell r="U10293"/>
        </row>
        <row r="10294">
          <cell r="U10294"/>
        </row>
        <row r="10295">
          <cell r="U10295"/>
        </row>
        <row r="10296">
          <cell r="U10296"/>
        </row>
        <row r="10297">
          <cell r="U10297"/>
        </row>
        <row r="10298">
          <cell r="U10298"/>
        </row>
        <row r="10299">
          <cell r="U10299"/>
        </row>
        <row r="10300">
          <cell r="U10300"/>
        </row>
        <row r="10301">
          <cell r="U10301"/>
        </row>
        <row r="10302">
          <cell r="U10302"/>
        </row>
        <row r="10303">
          <cell r="U10303"/>
        </row>
        <row r="10304">
          <cell r="U10304"/>
        </row>
        <row r="10305">
          <cell r="U10305"/>
        </row>
        <row r="10306">
          <cell r="U10306"/>
        </row>
        <row r="10307">
          <cell r="U10307"/>
        </row>
        <row r="10308">
          <cell r="U10308"/>
        </row>
        <row r="10309">
          <cell r="U10309"/>
        </row>
        <row r="10310">
          <cell r="U10310"/>
        </row>
        <row r="10311">
          <cell r="U10311"/>
        </row>
        <row r="10312">
          <cell r="U10312"/>
        </row>
        <row r="10313">
          <cell r="U10313"/>
        </row>
        <row r="10314">
          <cell r="U10314"/>
        </row>
        <row r="10315">
          <cell r="U10315"/>
        </row>
        <row r="10316">
          <cell r="U10316"/>
        </row>
        <row r="10317">
          <cell r="U10317"/>
        </row>
        <row r="10318">
          <cell r="U10318"/>
        </row>
        <row r="10319">
          <cell r="U10319"/>
        </row>
        <row r="10320">
          <cell r="U10320"/>
        </row>
        <row r="10321">
          <cell r="U10321"/>
        </row>
        <row r="10322">
          <cell r="U10322"/>
        </row>
        <row r="10323">
          <cell r="U10323"/>
        </row>
        <row r="10324">
          <cell r="U10324"/>
        </row>
        <row r="10325">
          <cell r="U10325"/>
        </row>
        <row r="10326">
          <cell r="U10326"/>
        </row>
        <row r="10327">
          <cell r="U10327"/>
        </row>
        <row r="10328">
          <cell r="U10328"/>
        </row>
        <row r="10329">
          <cell r="U10329"/>
        </row>
        <row r="10330">
          <cell r="U10330"/>
        </row>
        <row r="10331">
          <cell r="U10331"/>
        </row>
        <row r="10332">
          <cell r="U10332"/>
        </row>
        <row r="10333">
          <cell r="U10333"/>
        </row>
        <row r="10334">
          <cell r="U10334"/>
        </row>
        <row r="10335">
          <cell r="U10335"/>
        </row>
        <row r="10336">
          <cell r="U10336"/>
        </row>
        <row r="10337">
          <cell r="U10337"/>
        </row>
        <row r="10338">
          <cell r="U10338"/>
        </row>
        <row r="10339">
          <cell r="U10339"/>
        </row>
        <row r="10340">
          <cell r="U10340"/>
        </row>
        <row r="10341">
          <cell r="U10341"/>
        </row>
        <row r="10342">
          <cell r="U10342"/>
        </row>
        <row r="10343">
          <cell r="U10343"/>
        </row>
        <row r="10344">
          <cell r="U10344"/>
        </row>
        <row r="10345">
          <cell r="U10345"/>
        </row>
        <row r="10346">
          <cell r="U10346"/>
        </row>
        <row r="10347">
          <cell r="U10347"/>
        </row>
        <row r="10348">
          <cell r="U10348"/>
        </row>
        <row r="10349">
          <cell r="U10349"/>
        </row>
        <row r="10350">
          <cell r="U10350"/>
        </row>
        <row r="10351">
          <cell r="U10351"/>
        </row>
        <row r="10352">
          <cell r="U10352"/>
        </row>
        <row r="10353">
          <cell r="U10353"/>
        </row>
        <row r="10354">
          <cell r="U10354"/>
        </row>
        <row r="10355">
          <cell r="U10355"/>
        </row>
        <row r="10356">
          <cell r="U10356"/>
        </row>
        <row r="10357">
          <cell r="U10357"/>
        </row>
        <row r="10358">
          <cell r="U10358"/>
        </row>
        <row r="10359">
          <cell r="U10359"/>
        </row>
        <row r="10360">
          <cell r="U10360"/>
        </row>
        <row r="10361">
          <cell r="U10361"/>
        </row>
        <row r="10362">
          <cell r="U10362"/>
        </row>
        <row r="10363">
          <cell r="U10363"/>
        </row>
        <row r="10364">
          <cell r="U10364"/>
        </row>
        <row r="10365">
          <cell r="U10365"/>
        </row>
        <row r="10366">
          <cell r="U10366"/>
        </row>
        <row r="10367">
          <cell r="U10367"/>
        </row>
        <row r="10368">
          <cell r="U10368"/>
        </row>
        <row r="10369">
          <cell r="U10369"/>
        </row>
        <row r="10370">
          <cell r="U10370"/>
        </row>
        <row r="10371">
          <cell r="U10371"/>
        </row>
        <row r="10372">
          <cell r="U10372"/>
        </row>
        <row r="10373">
          <cell r="U10373"/>
        </row>
        <row r="10374">
          <cell r="U10374"/>
        </row>
        <row r="10375">
          <cell r="U10375"/>
        </row>
        <row r="10376">
          <cell r="U10376"/>
        </row>
        <row r="10377">
          <cell r="U10377"/>
        </row>
        <row r="10378">
          <cell r="U10378"/>
        </row>
        <row r="10379">
          <cell r="U10379"/>
        </row>
        <row r="10380">
          <cell r="U10380"/>
        </row>
        <row r="10381">
          <cell r="U10381"/>
        </row>
        <row r="10382">
          <cell r="U10382"/>
        </row>
        <row r="10383">
          <cell r="U10383"/>
        </row>
        <row r="10384">
          <cell r="U10384"/>
        </row>
        <row r="10385">
          <cell r="U10385"/>
        </row>
        <row r="10386">
          <cell r="U10386"/>
        </row>
        <row r="10387">
          <cell r="U10387"/>
        </row>
        <row r="10388">
          <cell r="U10388"/>
        </row>
        <row r="10389">
          <cell r="U10389"/>
        </row>
        <row r="10390">
          <cell r="U10390"/>
        </row>
        <row r="10391">
          <cell r="U10391"/>
        </row>
        <row r="10392">
          <cell r="U10392"/>
        </row>
        <row r="10393">
          <cell r="U10393"/>
        </row>
        <row r="10394">
          <cell r="U10394"/>
        </row>
        <row r="10395">
          <cell r="U10395"/>
        </row>
        <row r="10396">
          <cell r="U10396"/>
        </row>
        <row r="10397">
          <cell r="U10397"/>
        </row>
        <row r="10398">
          <cell r="U10398"/>
        </row>
        <row r="10399">
          <cell r="U10399"/>
        </row>
        <row r="10400">
          <cell r="U10400"/>
        </row>
        <row r="10401">
          <cell r="U10401"/>
        </row>
        <row r="10402">
          <cell r="U10402"/>
        </row>
        <row r="10403">
          <cell r="U10403"/>
        </row>
        <row r="10404">
          <cell r="U10404"/>
        </row>
        <row r="10405">
          <cell r="U10405"/>
        </row>
        <row r="10406">
          <cell r="U10406"/>
        </row>
        <row r="10407">
          <cell r="U10407"/>
        </row>
        <row r="10408">
          <cell r="U10408"/>
        </row>
        <row r="10409">
          <cell r="U10409"/>
        </row>
        <row r="10410">
          <cell r="U10410"/>
        </row>
        <row r="10411">
          <cell r="U10411"/>
        </row>
        <row r="10412">
          <cell r="U10412"/>
        </row>
        <row r="10413">
          <cell r="U10413"/>
        </row>
        <row r="10414">
          <cell r="U10414"/>
        </row>
        <row r="10415">
          <cell r="U10415"/>
        </row>
        <row r="10416">
          <cell r="U10416"/>
        </row>
        <row r="10417">
          <cell r="U10417"/>
        </row>
        <row r="10418">
          <cell r="U10418"/>
        </row>
        <row r="10419">
          <cell r="U10419"/>
        </row>
        <row r="10420">
          <cell r="U10420"/>
        </row>
        <row r="10421">
          <cell r="U10421"/>
        </row>
        <row r="10422">
          <cell r="U10422"/>
        </row>
        <row r="10423">
          <cell r="U10423"/>
        </row>
        <row r="10424">
          <cell r="U10424"/>
        </row>
        <row r="10425">
          <cell r="U10425"/>
        </row>
        <row r="10426">
          <cell r="U10426"/>
        </row>
        <row r="10427">
          <cell r="U10427"/>
        </row>
        <row r="10428">
          <cell r="U10428"/>
        </row>
        <row r="10429">
          <cell r="U10429"/>
        </row>
        <row r="10430">
          <cell r="U10430"/>
        </row>
        <row r="10431">
          <cell r="U10431"/>
        </row>
        <row r="10432">
          <cell r="U10432"/>
        </row>
        <row r="10433">
          <cell r="U10433"/>
        </row>
        <row r="10434">
          <cell r="U10434"/>
        </row>
        <row r="10435">
          <cell r="U10435"/>
        </row>
        <row r="10436">
          <cell r="U10436"/>
        </row>
        <row r="10437">
          <cell r="U10437"/>
        </row>
        <row r="10438">
          <cell r="U10438"/>
        </row>
        <row r="10439">
          <cell r="U10439"/>
        </row>
        <row r="10440">
          <cell r="U10440"/>
        </row>
        <row r="10441">
          <cell r="U10441"/>
        </row>
        <row r="10442">
          <cell r="U10442"/>
        </row>
        <row r="10443">
          <cell r="U10443"/>
        </row>
        <row r="10444">
          <cell r="U10444"/>
        </row>
        <row r="10445">
          <cell r="U10445"/>
        </row>
        <row r="10446">
          <cell r="U10446"/>
        </row>
        <row r="10447">
          <cell r="U10447"/>
        </row>
        <row r="10448">
          <cell r="U10448"/>
        </row>
        <row r="10449">
          <cell r="U10449"/>
        </row>
        <row r="10450">
          <cell r="U10450"/>
        </row>
        <row r="10451">
          <cell r="U10451"/>
        </row>
        <row r="10452">
          <cell r="U10452"/>
        </row>
        <row r="10453">
          <cell r="U10453"/>
        </row>
        <row r="10454">
          <cell r="U10454"/>
        </row>
        <row r="10455">
          <cell r="U10455"/>
        </row>
        <row r="10456">
          <cell r="U10456"/>
        </row>
        <row r="10457">
          <cell r="U10457"/>
        </row>
        <row r="10458">
          <cell r="U10458"/>
        </row>
        <row r="10459">
          <cell r="U10459"/>
        </row>
        <row r="10460">
          <cell r="U10460"/>
        </row>
        <row r="10461">
          <cell r="U10461"/>
        </row>
        <row r="10462">
          <cell r="U10462"/>
        </row>
        <row r="10463">
          <cell r="U10463"/>
        </row>
        <row r="10464">
          <cell r="U10464"/>
        </row>
        <row r="10465">
          <cell r="U10465"/>
        </row>
        <row r="10466">
          <cell r="U10466"/>
        </row>
        <row r="10467">
          <cell r="U10467"/>
        </row>
        <row r="10468">
          <cell r="U10468"/>
        </row>
        <row r="10469">
          <cell r="U10469"/>
        </row>
        <row r="10470">
          <cell r="U10470"/>
        </row>
        <row r="10471">
          <cell r="U10471"/>
        </row>
        <row r="10472">
          <cell r="U10472"/>
        </row>
        <row r="10473">
          <cell r="U10473"/>
        </row>
        <row r="10474">
          <cell r="U10474"/>
        </row>
        <row r="10475">
          <cell r="U10475"/>
        </row>
        <row r="10476">
          <cell r="U10476"/>
        </row>
        <row r="10477">
          <cell r="U10477"/>
        </row>
        <row r="10478">
          <cell r="U10478"/>
        </row>
        <row r="10479">
          <cell r="U10479"/>
        </row>
        <row r="10480">
          <cell r="U10480"/>
        </row>
        <row r="10481">
          <cell r="U10481"/>
        </row>
        <row r="10482">
          <cell r="U10482"/>
        </row>
        <row r="10483">
          <cell r="U10483"/>
        </row>
        <row r="10484">
          <cell r="U10484"/>
        </row>
        <row r="10485">
          <cell r="U10485"/>
        </row>
        <row r="10486">
          <cell r="U10486"/>
        </row>
        <row r="10487">
          <cell r="U10487"/>
        </row>
        <row r="10488">
          <cell r="U10488"/>
        </row>
        <row r="10489">
          <cell r="U10489"/>
        </row>
        <row r="10490">
          <cell r="U10490"/>
        </row>
        <row r="10491">
          <cell r="U10491"/>
        </row>
        <row r="10492">
          <cell r="U10492"/>
        </row>
        <row r="10493">
          <cell r="U10493"/>
        </row>
        <row r="10494">
          <cell r="U10494"/>
        </row>
        <row r="10495">
          <cell r="U10495"/>
        </row>
        <row r="10496">
          <cell r="U10496"/>
        </row>
        <row r="10497">
          <cell r="U10497"/>
        </row>
        <row r="10498">
          <cell r="U10498"/>
        </row>
        <row r="10499">
          <cell r="U10499"/>
        </row>
        <row r="10500">
          <cell r="U10500"/>
        </row>
        <row r="10501">
          <cell r="U10501"/>
        </row>
        <row r="10502">
          <cell r="U10502"/>
        </row>
        <row r="10503">
          <cell r="U10503"/>
        </row>
        <row r="10504">
          <cell r="U10504"/>
        </row>
        <row r="10505">
          <cell r="U10505"/>
        </row>
        <row r="10506">
          <cell r="U10506"/>
        </row>
        <row r="10507">
          <cell r="U10507"/>
        </row>
        <row r="10508">
          <cell r="U10508"/>
        </row>
        <row r="10509">
          <cell r="U10509"/>
        </row>
        <row r="10510">
          <cell r="U10510"/>
        </row>
        <row r="10511">
          <cell r="U10511"/>
        </row>
        <row r="10512">
          <cell r="U10512"/>
        </row>
        <row r="10513">
          <cell r="U10513"/>
        </row>
        <row r="10514">
          <cell r="U10514"/>
        </row>
        <row r="10515">
          <cell r="U10515"/>
        </row>
        <row r="10516">
          <cell r="U10516"/>
        </row>
        <row r="10517">
          <cell r="U10517"/>
        </row>
        <row r="10518">
          <cell r="U10518"/>
        </row>
        <row r="10519">
          <cell r="U10519"/>
        </row>
        <row r="10520">
          <cell r="U10520"/>
        </row>
        <row r="10521">
          <cell r="U10521"/>
        </row>
        <row r="10522">
          <cell r="U10522"/>
        </row>
        <row r="10523">
          <cell r="U10523"/>
        </row>
        <row r="10524">
          <cell r="U10524"/>
        </row>
        <row r="10525">
          <cell r="U10525"/>
        </row>
        <row r="10526">
          <cell r="U10526"/>
        </row>
        <row r="10527">
          <cell r="U10527"/>
        </row>
        <row r="10528">
          <cell r="U10528"/>
        </row>
        <row r="10529">
          <cell r="U10529"/>
        </row>
        <row r="10530">
          <cell r="U10530"/>
        </row>
        <row r="10531">
          <cell r="U10531"/>
        </row>
        <row r="10532">
          <cell r="U10532"/>
        </row>
        <row r="10533">
          <cell r="U10533"/>
        </row>
        <row r="10534">
          <cell r="U10534"/>
        </row>
        <row r="10535">
          <cell r="U10535"/>
        </row>
        <row r="10536">
          <cell r="U10536"/>
        </row>
        <row r="10537">
          <cell r="U10537"/>
        </row>
        <row r="10538">
          <cell r="U10538"/>
        </row>
        <row r="10539">
          <cell r="U10539"/>
        </row>
        <row r="10540">
          <cell r="U10540"/>
        </row>
        <row r="10541">
          <cell r="U10541"/>
        </row>
        <row r="10542">
          <cell r="U10542"/>
        </row>
        <row r="10543">
          <cell r="U10543"/>
        </row>
        <row r="10544">
          <cell r="U10544"/>
        </row>
        <row r="10545">
          <cell r="U10545"/>
        </row>
        <row r="10546">
          <cell r="U10546"/>
        </row>
        <row r="10547">
          <cell r="U10547"/>
        </row>
        <row r="10548">
          <cell r="U10548"/>
        </row>
        <row r="10549">
          <cell r="U10549"/>
        </row>
        <row r="10550">
          <cell r="U10550"/>
        </row>
        <row r="10551">
          <cell r="U10551"/>
        </row>
        <row r="10552">
          <cell r="U10552"/>
        </row>
        <row r="10553">
          <cell r="U10553"/>
        </row>
        <row r="10554">
          <cell r="U10554"/>
        </row>
        <row r="10555">
          <cell r="U10555"/>
        </row>
        <row r="10556">
          <cell r="U10556"/>
        </row>
        <row r="10557">
          <cell r="U10557"/>
        </row>
        <row r="10558">
          <cell r="U10558"/>
        </row>
        <row r="10559">
          <cell r="U10559"/>
        </row>
        <row r="10560">
          <cell r="U10560"/>
        </row>
        <row r="10561">
          <cell r="U10561"/>
        </row>
        <row r="10562">
          <cell r="U10562"/>
        </row>
        <row r="10563">
          <cell r="U10563"/>
        </row>
        <row r="10564">
          <cell r="U10564"/>
        </row>
        <row r="10565">
          <cell r="U10565"/>
        </row>
        <row r="10566">
          <cell r="U10566"/>
        </row>
        <row r="10567">
          <cell r="U10567"/>
        </row>
        <row r="10568">
          <cell r="U10568"/>
        </row>
        <row r="10569">
          <cell r="U10569"/>
        </row>
        <row r="10570">
          <cell r="U10570"/>
        </row>
        <row r="10571">
          <cell r="U10571"/>
        </row>
        <row r="10572">
          <cell r="U10572"/>
        </row>
        <row r="10573">
          <cell r="U10573"/>
        </row>
        <row r="10574">
          <cell r="U10574"/>
        </row>
        <row r="10575">
          <cell r="U10575"/>
        </row>
        <row r="10576">
          <cell r="U10576"/>
        </row>
        <row r="10577">
          <cell r="U10577"/>
        </row>
        <row r="10578">
          <cell r="U10578"/>
        </row>
        <row r="10579">
          <cell r="U10579"/>
        </row>
        <row r="10580">
          <cell r="U10580"/>
        </row>
        <row r="10581">
          <cell r="U10581"/>
        </row>
        <row r="10582">
          <cell r="U10582"/>
        </row>
        <row r="10583">
          <cell r="U10583"/>
        </row>
        <row r="10584">
          <cell r="U10584"/>
        </row>
        <row r="10585">
          <cell r="U10585"/>
        </row>
        <row r="10586">
          <cell r="U10586"/>
        </row>
        <row r="10587">
          <cell r="U10587"/>
        </row>
        <row r="10588">
          <cell r="U10588"/>
        </row>
        <row r="10589">
          <cell r="U10589"/>
        </row>
        <row r="10590">
          <cell r="U10590"/>
        </row>
        <row r="10591">
          <cell r="U10591"/>
        </row>
        <row r="10592">
          <cell r="U10592"/>
        </row>
        <row r="10593">
          <cell r="U10593"/>
        </row>
        <row r="10594">
          <cell r="U10594"/>
        </row>
        <row r="10595">
          <cell r="U10595"/>
        </row>
        <row r="10596">
          <cell r="U10596"/>
        </row>
        <row r="10597">
          <cell r="U10597"/>
        </row>
        <row r="10598">
          <cell r="U10598"/>
        </row>
        <row r="10599">
          <cell r="U10599"/>
        </row>
        <row r="10600">
          <cell r="U10600"/>
        </row>
        <row r="10601">
          <cell r="U10601"/>
        </row>
        <row r="10602">
          <cell r="U10602"/>
        </row>
        <row r="10603">
          <cell r="U10603"/>
        </row>
        <row r="10604">
          <cell r="U10604"/>
        </row>
        <row r="10605">
          <cell r="U10605"/>
        </row>
        <row r="10606">
          <cell r="U10606"/>
        </row>
        <row r="10607">
          <cell r="U10607"/>
        </row>
        <row r="10608">
          <cell r="U10608"/>
        </row>
        <row r="10609">
          <cell r="U10609"/>
        </row>
        <row r="10610">
          <cell r="U10610"/>
        </row>
        <row r="10611">
          <cell r="U10611"/>
        </row>
        <row r="10612">
          <cell r="U10612"/>
        </row>
        <row r="10613">
          <cell r="U10613"/>
        </row>
        <row r="10614">
          <cell r="U10614"/>
        </row>
        <row r="10615">
          <cell r="U10615"/>
        </row>
        <row r="10616">
          <cell r="U10616"/>
        </row>
        <row r="10617">
          <cell r="U10617"/>
        </row>
        <row r="10618">
          <cell r="U10618"/>
        </row>
        <row r="10619">
          <cell r="U10619"/>
        </row>
        <row r="10620">
          <cell r="U10620"/>
        </row>
        <row r="10621">
          <cell r="U10621"/>
        </row>
        <row r="10622">
          <cell r="U10622"/>
        </row>
        <row r="10623">
          <cell r="U10623"/>
        </row>
        <row r="10624">
          <cell r="U10624"/>
        </row>
        <row r="10625">
          <cell r="U10625"/>
        </row>
        <row r="10626">
          <cell r="U10626"/>
        </row>
        <row r="10627">
          <cell r="U10627"/>
        </row>
        <row r="10628">
          <cell r="U10628"/>
        </row>
        <row r="10629">
          <cell r="U10629"/>
        </row>
        <row r="10630">
          <cell r="U10630"/>
        </row>
        <row r="10631">
          <cell r="U10631"/>
        </row>
        <row r="10632">
          <cell r="U10632"/>
        </row>
        <row r="10633">
          <cell r="U10633"/>
        </row>
        <row r="10634">
          <cell r="U10634"/>
        </row>
        <row r="10635">
          <cell r="U10635"/>
        </row>
        <row r="10636">
          <cell r="U10636"/>
        </row>
        <row r="10637">
          <cell r="U10637"/>
        </row>
        <row r="10638">
          <cell r="U10638"/>
        </row>
        <row r="10639">
          <cell r="U10639"/>
        </row>
        <row r="10640">
          <cell r="U10640"/>
        </row>
        <row r="10641">
          <cell r="U10641"/>
        </row>
        <row r="10642">
          <cell r="U10642"/>
        </row>
        <row r="10643">
          <cell r="U10643"/>
        </row>
        <row r="10644">
          <cell r="U10644"/>
        </row>
        <row r="10645">
          <cell r="U10645"/>
        </row>
        <row r="10646">
          <cell r="U10646"/>
        </row>
        <row r="10647">
          <cell r="U10647"/>
        </row>
        <row r="10648">
          <cell r="U10648"/>
        </row>
        <row r="10649">
          <cell r="U10649"/>
        </row>
        <row r="10650">
          <cell r="U10650"/>
        </row>
        <row r="10651">
          <cell r="U10651"/>
        </row>
        <row r="10652">
          <cell r="U10652"/>
        </row>
        <row r="10653">
          <cell r="U10653"/>
        </row>
        <row r="10654">
          <cell r="U10654"/>
        </row>
        <row r="10655">
          <cell r="U10655"/>
        </row>
        <row r="10656">
          <cell r="U10656"/>
        </row>
        <row r="10657">
          <cell r="U10657"/>
        </row>
        <row r="10658">
          <cell r="U10658"/>
        </row>
        <row r="10659">
          <cell r="U10659"/>
        </row>
        <row r="10660">
          <cell r="U10660"/>
        </row>
        <row r="10661">
          <cell r="U10661"/>
        </row>
        <row r="10662">
          <cell r="U10662"/>
        </row>
        <row r="10663">
          <cell r="U10663"/>
        </row>
        <row r="10664">
          <cell r="U10664"/>
        </row>
        <row r="10665">
          <cell r="U10665"/>
        </row>
        <row r="10666">
          <cell r="U10666"/>
        </row>
        <row r="10667">
          <cell r="U10667"/>
        </row>
        <row r="10668">
          <cell r="U10668"/>
        </row>
        <row r="10669">
          <cell r="U10669"/>
        </row>
        <row r="10670">
          <cell r="U10670"/>
        </row>
        <row r="10671">
          <cell r="U10671"/>
        </row>
        <row r="10672">
          <cell r="U10672"/>
        </row>
        <row r="10673">
          <cell r="U10673"/>
        </row>
        <row r="10674">
          <cell r="U10674"/>
        </row>
        <row r="10675">
          <cell r="U10675"/>
        </row>
        <row r="10676">
          <cell r="U10676"/>
        </row>
        <row r="10677">
          <cell r="U10677"/>
        </row>
        <row r="10678">
          <cell r="U10678"/>
        </row>
        <row r="10679">
          <cell r="U10679"/>
        </row>
        <row r="10680">
          <cell r="U10680"/>
        </row>
        <row r="10681">
          <cell r="U10681"/>
        </row>
        <row r="10682">
          <cell r="U10682"/>
        </row>
        <row r="10683">
          <cell r="U10683"/>
        </row>
        <row r="10684">
          <cell r="U10684"/>
        </row>
        <row r="10685">
          <cell r="U10685"/>
        </row>
        <row r="10686">
          <cell r="U10686"/>
        </row>
        <row r="10687">
          <cell r="U10687"/>
        </row>
        <row r="10688">
          <cell r="U10688"/>
        </row>
        <row r="10689">
          <cell r="U10689"/>
        </row>
        <row r="10690">
          <cell r="U10690"/>
        </row>
        <row r="10691">
          <cell r="U10691"/>
        </row>
        <row r="10692">
          <cell r="U10692"/>
        </row>
        <row r="10693">
          <cell r="U10693"/>
        </row>
        <row r="10694">
          <cell r="U10694"/>
        </row>
        <row r="10695">
          <cell r="U10695"/>
        </row>
        <row r="10696">
          <cell r="U10696"/>
        </row>
        <row r="10697">
          <cell r="U10697"/>
        </row>
        <row r="10698">
          <cell r="U10698"/>
        </row>
        <row r="10699">
          <cell r="U10699"/>
        </row>
        <row r="10700">
          <cell r="U10700"/>
        </row>
        <row r="10701">
          <cell r="U10701"/>
        </row>
        <row r="10702">
          <cell r="U10702"/>
        </row>
        <row r="10703">
          <cell r="U10703"/>
        </row>
        <row r="10704">
          <cell r="U10704"/>
        </row>
        <row r="10705">
          <cell r="U10705"/>
        </row>
        <row r="10706">
          <cell r="U10706"/>
        </row>
        <row r="10707">
          <cell r="U10707"/>
        </row>
        <row r="10708">
          <cell r="U10708"/>
        </row>
        <row r="10709">
          <cell r="U10709"/>
        </row>
        <row r="10710">
          <cell r="U10710"/>
        </row>
        <row r="10711">
          <cell r="U10711"/>
        </row>
        <row r="10712">
          <cell r="U10712"/>
        </row>
        <row r="10713">
          <cell r="U10713"/>
        </row>
        <row r="10714">
          <cell r="U10714"/>
        </row>
        <row r="10715">
          <cell r="U10715"/>
        </row>
        <row r="10716">
          <cell r="U10716"/>
        </row>
        <row r="10717">
          <cell r="U10717"/>
        </row>
        <row r="10718">
          <cell r="U10718"/>
        </row>
        <row r="10719">
          <cell r="U10719"/>
        </row>
        <row r="10720">
          <cell r="U10720"/>
        </row>
        <row r="10721">
          <cell r="U10721"/>
        </row>
        <row r="10722">
          <cell r="U10722"/>
        </row>
        <row r="10723">
          <cell r="U10723"/>
        </row>
        <row r="10724">
          <cell r="U10724"/>
        </row>
        <row r="10725">
          <cell r="U10725"/>
        </row>
        <row r="10726">
          <cell r="U10726"/>
        </row>
        <row r="10727">
          <cell r="U10727"/>
        </row>
        <row r="10728">
          <cell r="U10728"/>
        </row>
        <row r="10729">
          <cell r="U10729"/>
        </row>
        <row r="10730">
          <cell r="U10730"/>
        </row>
        <row r="10731">
          <cell r="U10731"/>
        </row>
        <row r="10732">
          <cell r="U10732"/>
        </row>
        <row r="10733">
          <cell r="U10733"/>
        </row>
        <row r="10734">
          <cell r="U10734"/>
        </row>
        <row r="10735">
          <cell r="U10735"/>
        </row>
        <row r="10736">
          <cell r="U10736"/>
        </row>
        <row r="10737">
          <cell r="U10737"/>
        </row>
        <row r="10738">
          <cell r="U10738"/>
        </row>
        <row r="10739">
          <cell r="U10739"/>
        </row>
        <row r="10740">
          <cell r="U10740"/>
        </row>
        <row r="10741">
          <cell r="U10741"/>
        </row>
        <row r="10742">
          <cell r="U10742"/>
        </row>
        <row r="10743">
          <cell r="U10743"/>
        </row>
        <row r="10744">
          <cell r="U10744"/>
        </row>
        <row r="10745">
          <cell r="U10745"/>
        </row>
        <row r="10746">
          <cell r="U10746"/>
        </row>
        <row r="10747">
          <cell r="U10747"/>
        </row>
        <row r="10748">
          <cell r="U10748"/>
        </row>
        <row r="10749">
          <cell r="U10749"/>
        </row>
        <row r="10750">
          <cell r="U10750"/>
        </row>
        <row r="10751">
          <cell r="U10751"/>
        </row>
        <row r="10752">
          <cell r="U10752"/>
        </row>
        <row r="10753">
          <cell r="U10753"/>
        </row>
        <row r="10754">
          <cell r="U10754"/>
        </row>
        <row r="10755">
          <cell r="U10755"/>
        </row>
        <row r="10756">
          <cell r="U10756"/>
        </row>
        <row r="10757">
          <cell r="U10757"/>
        </row>
        <row r="10758">
          <cell r="U10758"/>
        </row>
        <row r="10759">
          <cell r="U10759"/>
        </row>
        <row r="10760">
          <cell r="U10760"/>
        </row>
        <row r="10761">
          <cell r="U10761"/>
        </row>
        <row r="10762">
          <cell r="U10762"/>
        </row>
        <row r="10763">
          <cell r="U10763"/>
        </row>
        <row r="10764">
          <cell r="U10764"/>
        </row>
        <row r="10765">
          <cell r="U10765"/>
        </row>
        <row r="10766">
          <cell r="U10766"/>
        </row>
        <row r="10767">
          <cell r="U10767"/>
        </row>
        <row r="10768">
          <cell r="U10768"/>
        </row>
        <row r="10769">
          <cell r="U10769"/>
        </row>
        <row r="10770">
          <cell r="U10770"/>
        </row>
        <row r="10771">
          <cell r="U10771"/>
        </row>
        <row r="10772">
          <cell r="U10772"/>
        </row>
        <row r="10773">
          <cell r="U10773"/>
        </row>
        <row r="10774">
          <cell r="U10774"/>
        </row>
        <row r="10775">
          <cell r="U10775"/>
        </row>
        <row r="10776">
          <cell r="U10776"/>
        </row>
        <row r="10777">
          <cell r="U10777"/>
        </row>
        <row r="10778">
          <cell r="U10778"/>
        </row>
        <row r="10779">
          <cell r="U10779"/>
        </row>
        <row r="10780">
          <cell r="U10780"/>
        </row>
        <row r="10781">
          <cell r="U10781"/>
        </row>
        <row r="10782">
          <cell r="U10782"/>
        </row>
        <row r="10783">
          <cell r="U10783"/>
        </row>
        <row r="10784">
          <cell r="U10784"/>
        </row>
        <row r="10785">
          <cell r="U10785"/>
        </row>
        <row r="10786">
          <cell r="U10786"/>
        </row>
        <row r="10787">
          <cell r="U10787"/>
        </row>
        <row r="10788">
          <cell r="U10788"/>
        </row>
        <row r="10789">
          <cell r="U10789"/>
        </row>
        <row r="10790">
          <cell r="U10790"/>
        </row>
        <row r="10791">
          <cell r="U10791"/>
        </row>
        <row r="10792">
          <cell r="U10792"/>
        </row>
        <row r="10793">
          <cell r="U10793"/>
        </row>
        <row r="10794">
          <cell r="U10794"/>
        </row>
        <row r="10795">
          <cell r="U10795"/>
        </row>
        <row r="10796">
          <cell r="U10796"/>
        </row>
        <row r="10797">
          <cell r="U10797"/>
        </row>
        <row r="10798">
          <cell r="U10798"/>
        </row>
        <row r="10799">
          <cell r="U10799"/>
        </row>
        <row r="10800">
          <cell r="U10800"/>
        </row>
        <row r="10801">
          <cell r="U10801"/>
        </row>
        <row r="10802">
          <cell r="U10802"/>
        </row>
        <row r="10803">
          <cell r="U10803"/>
        </row>
        <row r="10804">
          <cell r="U10804"/>
        </row>
        <row r="10805">
          <cell r="U10805"/>
        </row>
        <row r="10806">
          <cell r="U10806"/>
        </row>
        <row r="10807">
          <cell r="U10807"/>
        </row>
        <row r="10808">
          <cell r="U10808"/>
        </row>
        <row r="10809">
          <cell r="U10809"/>
        </row>
        <row r="10810">
          <cell r="U10810"/>
        </row>
        <row r="10811">
          <cell r="U10811"/>
        </row>
        <row r="10812">
          <cell r="U10812"/>
        </row>
        <row r="10813">
          <cell r="U10813"/>
        </row>
        <row r="10814">
          <cell r="U10814"/>
        </row>
        <row r="10815">
          <cell r="U10815"/>
        </row>
        <row r="10816">
          <cell r="U10816"/>
        </row>
        <row r="10817">
          <cell r="U10817"/>
        </row>
        <row r="10818">
          <cell r="U10818"/>
        </row>
        <row r="10819">
          <cell r="U10819"/>
        </row>
        <row r="10820">
          <cell r="U10820"/>
        </row>
        <row r="10821">
          <cell r="U10821"/>
        </row>
        <row r="10822">
          <cell r="U10822"/>
        </row>
        <row r="10823">
          <cell r="U10823"/>
        </row>
        <row r="10824">
          <cell r="U10824"/>
        </row>
        <row r="10825">
          <cell r="U10825"/>
        </row>
        <row r="10826">
          <cell r="U10826"/>
        </row>
        <row r="10827">
          <cell r="U10827"/>
        </row>
        <row r="10828">
          <cell r="U10828"/>
        </row>
        <row r="10829">
          <cell r="U10829"/>
        </row>
        <row r="10830">
          <cell r="U10830"/>
        </row>
        <row r="10831">
          <cell r="U10831"/>
        </row>
        <row r="10832">
          <cell r="U10832"/>
        </row>
        <row r="10833">
          <cell r="U10833"/>
        </row>
        <row r="10834">
          <cell r="U10834"/>
        </row>
        <row r="10835">
          <cell r="U10835"/>
        </row>
        <row r="10836">
          <cell r="U10836"/>
        </row>
        <row r="10837">
          <cell r="U10837"/>
        </row>
        <row r="10838">
          <cell r="U10838"/>
        </row>
        <row r="10839">
          <cell r="U10839"/>
        </row>
        <row r="10840">
          <cell r="U10840"/>
        </row>
        <row r="10841">
          <cell r="U10841"/>
        </row>
        <row r="10842">
          <cell r="U10842"/>
        </row>
        <row r="10843">
          <cell r="U10843"/>
        </row>
        <row r="10844">
          <cell r="U10844"/>
        </row>
        <row r="10845">
          <cell r="U10845"/>
        </row>
        <row r="10846">
          <cell r="U10846"/>
        </row>
        <row r="10847">
          <cell r="U10847"/>
        </row>
        <row r="10848">
          <cell r="U10848"/>
        </row>
        <row r="10849">
          <cell r="U10849"/>
        </row>
        <row r="10850">
          <cell r="U10850"/>
        </row>
        <row r="10851">
          <cell r="U10851"/>
        </row>
        <row r="10852">
          <cell r="U10852"/>
        </row>
        <row r="10853">
          <cell r="U10853"/>
        </row>
        <row r="10854">
          <cell r="U10854"/>
        </row>
        <row r="10855">
          <cell r="U10855"/>
        </row>
        <row r="10856">
          <cell r="U10856"/>
        </row>
        <row r="10857">
          <cell r="U10857"/>
        </row>
        <row r="10858">
          <cell r="U10858"/>
        </row>
        <row r="10859">
          <cell r="U10859"/>
        </row>
        <row r="10860">
          <cell r="U10860"/>
        </row>
        <row r="10861">
          <cell r="U10861"/>
        </row>
        <row r="10862">
          <cell r="U10862"/>
        </row>
        <row r="10863">
          <cell r="U10863"/>
        </row>
        <row r="10864">
          <cell r="U10864"/>
        </row>
        <row r="10865">
          <cell r="U10865"/>
        </row>
        <row r="10866">
          <cell r="U10866"/>
        </row>
        <row r="10867">
          <cell r="U10867"/>
        </row>
        <row r="10868">
          <cell r="U10868"/>
        </row>
        <row r="10869">
          <cell r="U10869"/>
        </row>
        <row r="10870">
          <cell r="U10870"/>
        </row>
        <row r="10871">
          <cell r="U10871"/>
        </row>
        <row r="10872">
          <cell r="U10872"/>
        </row>
        <row r="10873">
          <cell r="U10873"/>
        </row>
        <row r="10874">
          <cell r="U10874"/>
        </row>
        <row r="10875">
          <cell r="U10875"/>
        </row>
        <row r="10876">
          <cell r="U10876"/>
        </row>
        <row r="10877">
          <cell r="U10877"/>
        </row>
        <row r="10878">
          <cell r="U10878"/>
        </row>
        <row r="10879">
          <cell r="U10879"/>
        </row>
        <row r="10880">
          <cell r="U10880"/>
        </row>
        <row r="10881">
          <cell r="U10881"/>
        </row>
        <row r="10882">
          <cell r="U10882"/>
        </row>
        <row r="10883">
          <cell r="U10883"/>
        </row>
        <row r="10884">
          <cell r="U10884"/>
        </row>
        <row r="10885">
          <cell r="U10885"/>
        </row>
        <row r="10886">
          <cell r="U10886"/>
        </row>
        <row r="10887">
          <cell r="U10887"/>
        </row>
        <row r="10888">
          <cell r="U10888"/>
        </row>
        <row r="10889">
          <cell r="U10889"/>
        </row>
        <row r="10890">
          <cell r="U10890"/>
        </row>
        <row r="10891">
          <cell r="U10891"/>
        </row>
        <row r="10892">
          <cell r="U10892"/>
        </row>
        <row r="10893">
          <cell r="U10893"/>
        </row>
        <row r="10894">
          <cell r="U10894"/>
        </row>
        <row r="10895">
          <cell r="U10895"/>
        </row>
        <row r="10896">
          <cell r="U10896"/>
        </row>
        <row r="10897">
          <cell r="U10897"/>
        </row>
        <row r="10898">
          <cell r="U10898"/>
        </row>
        <row r="10899">
          <cell r="U10899"/>
        </row>
        <row r="10900">
          <cell r="U10900"/>
        </row>
        <row r="10901">
          <cell r="U10901"/>
        </row>
        <row r="10902">
          <cell r="U10902"/>
        </row>
        <row r="10903">
          <cell r="U10903"/>
        </row>
        <row r="10904">
          <cell r="U10904"/>
        </row>
        <row r="10905">
          <cell r="U10905"/>
        </row>
        <row r="10906">
          <cell r="U10906"/>
        </row>
        <row r="10907">
          <cell r="U10907"/>
        </row>
        <row r="10908">
          <cell r="U10908"/>
        </row>
        <row r="10909">
          <cell r="U10909"/>
        </row>
        <row r="10910">
          <cell r="U10910"/>
        </row>
        <row r="10911">
          <cell r="U10911"/>
        </row>
        <row r="10912">
          <cell r="U10912"/>
        </row>
        <row r="10913">
          <cell r="U10913"/>
        </row>
        <row r="10914">
          <cell r="U10914"/>
        </row>
        <row r="10915">
          <cell r="U10915"/>
        </row>
        <row r="10916">
          <cell r="U10916"/>
        </row>
        <row r="10917">
          <cell r="U10917"/>
        </row>
        <row r="10918">
          <cell r="U10918"/>
        </row>
        <row r="10919">
          <cell r="U10919"/>
        </row>
        <row r="10920">
          <cell r="U10920"/>
        </row>
        <row r="10921">
          <cell r="U10921"/>
        </row>
        <row r="10922">
          <cell r="U10922"/>
        </row>
        <row r="10923">
          <cell r="U10923"/>
        </row>
        <row r="10924">
          <cell r="U10924"/>
        </row>
        <row r="10925">
          <cell r="U10925"/>
        </row>
        <row r="10926">
          <cell r="U10926"/>
        </row>
        <row r="10927">
          <cell r="U10927"/>
        </row>
        <row r="10928">
          <cell r="U10928"/>
        </row>
        <row r="10929">
          <cell r="U10929"/>
        </row>
        <row r="10930">
          <cell r="U10930"/>
        </row>
        <row r="10931">
          <cell r="U10931"/>
        </row>
        <row r="10932">
          <cell r="U10932"/>
        </row>
        <row r="10933">
          <cell r="U10933"/>
        </row>
        <row r="10934">
          <cell r="U10934"/>
        </row>
        <row r="10935">
          <cell r="U10935"/>
        </row>
        <row r="10936">
          <cell r="U10936"/>
        </row>
        <row r="10937">
          <cell r="U10937"/>
        </row>
        <row r="10938">
          <cell r="U10938"/>
        </row>
        <row r="10939">
          <cell r="U10939"/>
        </row>
        <row r="10940">
          <cell r="U10940"/>
        </row>
        <row r="10941">
          <cell r="U10941"/>
        </row>
        <row r="10942">
          <cell r="U10942"/>
        </row>
        <row r="10943">
          <cell r="U10943"/>
        </row>
        <row r="10944">
          <cell r="U10944"/>
        </row>
        <row r="10945">
          <cell r="U10945"/>
        </row>
        <row r="10946">
          <cell r="U10946"/>
        </row>
        <row r="10947">
          <cell r="U10947"/>
        </row>
        <row r="10948">
          <cell r="U10948"/>
        </row>
        <row r="10949">
          <cell r="U10949"/>
        </row>
        <row r="10950">
          <cell r="U10950"/>
        </row>
        <row r="10951">
          <cell r="U10951"/>
        </row>
        <row r="10952">
          <cell r="U10952"/>
        </row>
        <row r="10953">
          <cell r="U10953"/>
        </row>
        <row r="10954">
          <cell r="U10954"/>
        </row>
        <row r="10955">
          <cell r="U10955"/>
        </row>
        <row r="10956">
          <cell r="U10956"/>
        </row>
        <row r="10957">
          <cell r="U10957"/>
        </row>
        <row r="10958">
          <cell r="U10958"/>
        </row>
        <row r="10959">
          <cell r="U10959"/>
        </row>
        <row r="10960">
          <cell r="U10960"/>
        </row>
        <row r="10961">
          <cell r="U10961"/>
        </row>
        <row r="10962">
          <cell r="U10962"/>
        </row>
        <row r="10963">
          <cell r="U10963"/>
        </row>
        <row r="10964">
          <cell r="U10964"/>
        </row>
        <row r="10965">
          <cell r="U10965"/>
        </row>
        <row r="10966">
          <cell r="U10966"/>
        </row>
        <row r="10967">
          <cell r="U10967"/>
        </row>
        <row r="10968">
          <cell r="U10968"/>
        </row>
        <row r="10969">
          <cell r="U10969"/>
        </row>
        <row r="10970">
          <cell r="U10970"/>
        </row>
        <row r="10971">
          <cell r="U10971"/>
        </row>
        <row r="10972">
          <cell r="U10972"/>
        </row>
        <row r="10973">
          <cell r="U10973"/>
        </row>
        <row r="10974">
          <cell r="U10974"/>
        </row>
        <row r="10975">
          <cell r="U10975"/>
        </row>
        <row r="10976">
          <cell r="U10976"/>
        </row>
        <row r="10977">
          <cell r="U10977"/>
        </row>
        <row r="10978">
          <cell r="U10978"/>
        </row>
        <row r="10979">
          <cell r="U10979"/>
        </row>
        <row r="10980">
          <cell r="U10980"/>
        </row>
        <row r="10981">
          <cell r="U10981"/>
        </row>
        <row r="10982">
          <cell r="U10982"/>
        </row>
        <row r="10983">
          <cell r="U10983"/>
        </row>
        <row r="10984">
          <cell r="U10984"/>
        </row>
        <row r="10985">
          <cell r="U10985"/>
        </row>
        <row r="10986">
          <cell r="U10986"/>
        </row>
        <row r="10987">
          <cell r="U10987"/>
        </row>
        <row r="10988">
          <cell r="U10988"/>
        </row>
        <row r="10989">
          <cell r="U10989"/>
        </row>
        <row r="10990">
          <cell r="U10990"/>
        </row>
        <row r="10991">
          <cell r="U10991"/>
        </row>
        <row r="10992">
          <cell r="U10992"/>
        </row>
        <row r="10993">
          <cell r="U10993"/>
        </row>
        <row r="10994">
          <cell r="U10994"/>
        </row>
        <row r="10995">
          <cell r="U10995"/>
        </row>
        <row r="10996">
          <cell r="U10996"/>
        </row>
        <row r="10997">
          <cell r="U10997"/>
        </row>
        <row r="10998">
          <cell r="U10998"/>
        </row>
        <row r="10999">
          <cell r="U10999"/>
        </row>
        <row r="11000">
          <cell r="U11000"/>
        </row>
        <row r="11001">
          <cell r="U11001"/>
        </row>
        <row r="11002">
          <cell r="U11002"/>
        </row>
        <row r="11003">
          <cell r="U11003"/>
        </row>
        <row r="11004">
          <cell r="U11004"/>
        </row>
        <row r="11005">
          <cell r="U11005"/>
        </row>
        <row r="11006">
          <cell r="U11006"/>
        </row>
        <row r="11007">
          <cell r="U11007"/>
        </row>
        <row r="11008">
          <cell r="U11008"/>
        </row>
        <row r="11009">
          <cell r="U11009"/>
        </row>
        <row r="11010">
          <cell r="U11010"/>
        </row>
        <row r="11011">
          <cell r="U11011"/>
        </row>
        <row r="11012">
          <cell r="U11012"/>
        </row>
        <row r="11013">
          <cell r="U11013"/>
        </row>
        <row r="11014">
          <cell r="U11014"/>
        </row>
        <row r="11015">
          <cell r="U11015"/>
        </row>
        <row r="11016">
          <cell r="U11016"/>
        </row>
        <row r="11017">
          <cell r="U11017"/>
        </row>
        <row r="11018">
          <cell r="U11018"/>
        </row>
        <row r="11019">
          <cell r="U11019"/>
        </row>
        <row r="11020">
          <cell r="U11020"/>
        </row>
        <row r="11021">
          <cell r="U11021"/>
        </row>
        <row r="11022">
          <cell r="U11022"/>
        </row>
        <row r="11023">
          <cell r="U11023"/>
        </row>
        <row r="11024">
          <cell r="U11024"/>
        </row>
        <row r="11025">
          <cell r="U11025"/>
        </row>
        <row r="11026">
          <cell r="U11026"/>
        </row>
        <row r="11027">
          <cell r="U11027"/>
        </row>
        <row r="11028">
          <cell r="U11028"/>
        </row>
        <row r="11029">
          <cell r="U11029"/>
        </row>
        <row r="11030">
          <cell r="U11030"/>
        </row>
        <row r="11031">
          <cell r="U11031"/>
        </row>
        <row r="11032">
          <cell r="U11032"/>
        </row>
        <row r="11033">
          <cell r="U11033"/>
        </row>
        <row r="11034">
          <cell r="U11034"/>
        </row>
        <row r="11035">
          <cell r="U11035"/>
        </row>
        <row r="11036">
          <cell r="U11036"/>
        </row>
        <row r="11037">
          <cell r="U11037"/>
        </row>
        <row r="11038">
          <cell r="U11038"/>
        </row>
        <row r="11039">
          <cell r="U11039"/>
        </row>
        <row r="11040">
          <cell r="U11040"/>
        </row>
        <row r="11041">
          <cell r="U11041"/>
        </row>
        <row r="11042">
          <cell r="U11042"/>
        </row>
        <row r="11043">
          <cell r="U11043"/>
        </row>
        <row r="11044">
          <cell r="U11044"/>
        </row>
        <row r="11045">
          <cell r="U11045"/>
        </row>
        <row r="11046">
          <cell r="U11046"/>
        </row>
        <row r="11047">
          <cell r="U11047"/>
        </row>
        <row r="11048">
          <cell r="U11048"/>
        </row>
        <row r="11049">
          <cell r="U11049"/>
        </row>
        <row r="11050">
          <cell r="U11050"/>
        </row>
        <row r="11051">
          <cell r="U11051"/>
        </row>
        <row r="11052">
          <cell r="U11052"/>
        </row>
        <row r="11053">
          <cell r="U11053"/>
        </row>
        <row r="11054">
          <cell r="U11054"/>
        </row>
        <row r="11055">
          <cell r="U11055"/>
        </row>
        <row r="11056">
          <cell r="U11056"/>
        </row>
        <row r="11057">
          <cell r="U11057"/>
        </row>
        <row r="11058">
          <cell r="U11058"/>
        </row>
        <row r="11059">
          <cell r="U11059"/>
        </row>
        <row r="11060">
          <cell r="U11060"/>
        </row>
        <row r="11061">
          <cell r="U11061"/>
        </row>
        <row r="11062">
          <cell r="U11062"/>
        </row>
        <row r="11063">
          <cell r="U11063"/>
        </row>
        <row r="11064">
          <cell r="U11064"/>
        </row>
        <row r="11065">
          <cell r="U11065"/>
        </row>
        <row r="11066">
          <cell r="U11066"/>
        </row>
        <row r="11067">
          <cell r="U11067"/>
        </row>
        <row r="11068">
          <cell r="U11068"/>
        </row>
        <row r="11069">
          <cell r="U11069"/>
        </row>
        <row r="11070">
          <cell r="U11070"/>
        </row>
        <row r="11071">
          <cell r="U11071"/>
        </row>
        <row r="11072">
          <cell r="U11072"/>
        </row>
        <row r="11073">
          <cell r="U11073"/>
        </row>
        <row r="11074">
          <cell r="U11074"/>
        </row>
        <row r="11075">
          <cell r="U11075"/>
        </row>
        <row r="11076">
          <cell r="U11076"/>
        </row>
        <row r="11077">
          <cell r="U11077"/>
        </row>
        <row r="11078">
          <cell r="U11078"/>
        </row>
        <row r="11079">
          <cell r="U11079"/>
        </row>
        <row r="11080">
          <cell r="U11080"/>
        </row>
        <row r="11081">
          <cell r="U11081"/>
        </row>
        <row r="11082">
          <cell r="U11082"/>
        </row>
        <row r="11083">
          <cell r="U11083"/>
        </row>
        <row r="11084">
          <cell r="U11084"/>
        </row>
        <row r="11085">
          <cell r="U11085"/>
        </row>
        <row r="11086">
          <cell r="U11086"/>
        </row>
        <row r="11087">
          <cell r="U11087"/>
        </row>
        <row r="11088">
          <cell r="U11088"/>
        </row>
        <row r="11089">
          <cell r="U11089"/>
        </row>
        <row r="11090">
          <cell r="U11090"/>
        </row>
        <row r="11091">
          <cell r="U11091"/>
        </row>
        <row r="11092">
          <cell r="U11092"/>
        </row>
        <row r="11093">
          <cell r="U11093"/>
        </row>
        <row r="11094">
          <cell r="U11094"/>
        </row>
        <row r="11095">
          <cell r="U11095"/>
        </row>
        <row r="11096">
          <cell r="U11096"/>
        </row>
        <row r="11097">
          <cell r="U11097"/>
        </row>
        <row r="11098">
          <cell r="U11098"/>
        </row>
        <row r="11099">
          <cell r="U11099"/>
        </row>
        <row r="11100">
          <cell r="U11100"/>
        </row>
        <row r="11101">
          <cell r="U11101"/>
        </row>
        <row r="11102">
          <cell r="U11102"/>
        </row>
        <row r="11103">
          <cell r="U11103"/>
        </row>
        <row r="11104">
          <cell r="U11104"/>
        </row>
        <row r="11105">
          <cell r="U11105"/>
        </row>
        <row r="11106">
          <cell r="U11106"/>
        </row>
        <row r="11107">
          <cell r="U11107"/>
        </row>
        <row r="11108">
          <cell r="U11108"/>
        </row>
        <row r="11109">
          <cell r="U11109"/>
        </row>
        <row r="11110">
          <cell r="U11110"/>
        </row>
        <row r="11111">
          <cell r="U11111"/>
        </row>
        <row r="11112">
          <cell r="U11112"/>
        </row>
        <row r="11113">
          <cell r="U11113"/>
        </row>
        <row r="11114">
          <cell r="U11114"/>
        </row>
        <row r="11115">
          <cell r="U11115"/>
        </row>
        <row r="11116">
          <cell r="U11116"/>
        </row>
        <row r="11117">
          <cell r="U11117"/>
        </row>
        <row r="11118">
          <cell r="U11118"/>
        </row>
        <row r="11119">
          <cell r="U11119"/>
        </row>
        <row r="11120">
          <cell r="U11120"/>
        </row>
        <row r="11121">
          <cell r="U11121"/>
        </row>
        <row r="11122">
          <cell r="U11122"/>
        </row>
        <row r="11123">
          <cell r="U11123"/>
        </row>
        <row r="11124">
          <cell r="U11124"/>
        </row>
        <row r="11125">
          <cell r="U11125"/>
        </row>
        <row r="11126">
          <cell r="U11126"/>
        </row>
        <row r="11127">
          <cell r="U11127"/>
        </row>
        <row r="11128">
          <cell r="U11128"/>
        </row>
        <row r="11129">
          <cell r="U11129"/>
        </row>
        <row r="11130">
          <cell r="U11130"/>
        </row>
        <row r="11131">
          <cell r="U11131"/>
        </row>
        <row r="11132">
          <cell r="U11132"/>
        </row>
        <row r="11133">
          <cell r="U11133"/>
        </row>
        <row r="11134">
          <cell r="U11134"/>
        </row>
        <row r="11135">
          <cell r="U11135"/>
        </row>
        <row r="11136">
          <cell r="U11136"/>
        </row>
        <row r="11137">
          <cell r="U11137"/>
        </row>
        <row r="11138">
          <cell r="U11138"/>
        </row>
        <row r="11139">
          <cell r="U11139"/>
        </row>
        <row r="11140">
          <cell r="U11140"/>
        </row>
        <row r="11141">
          <cell r="U11141"/>
        </row>
        <row r="11142">
          <cell r="U11142"/>
        </row>
        <row r="11143">
          <cell r="U11143"/>
        </row>
        <row r="11144">
          <cell r="U11144"/>
        </row>
        <row r="11145">
          <cell r="U11145"/>
        </row>
        <row r="11146">
          <cell r="U11146"/>
        </row>
        <row r="11147">
          <cell r="U11147"/>
        </row>
        <row r="11148">
          <cell r="U11148"/>
        </row>
        <row r="11149">
          <cell r="U11149"/>
        </row>
        <row r="11150">
          <cell r="U11150"/>
        </row>
        <row r="11151">
          <cell r="U11151"/>
        </row>
        <row r="11152">
          <cell r="U11152"/>
        </row>
        <row r="11153">
          <cell r="U11153"/>
        </row>
        <row r="11154">
          <cell r="U11154"/>
        </row>
        <row r="11155">
          <cell r="U11155"/>
        </row>
        <row r="11156">
          <cell r="U11156"/>
        </row>
        <row r="11157">
          <cell r="U11157"/>
        </row>
        <row r="11158">
          <cell r="U11158"/>
        </row>
        <row r="11159">
          <cell r="U11159"/>
        </row>
        <row r="11160">
          <cell r="U11160"/>
        </row>
        <row r="11161">
          <cell r="U11161"/>
        </row>
        <row r="11162">
          <cell r="U11162"/>
        </row>
        <row r="11163">
          <cell r="U11163"/>
        </row>
        <row r="11164">
          <cell r="U11164"/>
        </row>
        <row r="11165">
          <cell r="U11165"/>
        </row>
        <row r="11166">
          <cell r="U11166"/>
        </row>
        <row r="11167">
          <cell r="U11167"/>
        </row>
        <row r="11168">
          <cell r="U11168"/>
        </row>
        <row r="11169">
          <cell r="U11169"/>
        </row>
        <row r="11170">
          <cell r="U11170"/>
        </row>
        <row r="11171">
          <cell r="U11171"/>
        </row>
        <row r="11172">
          <cell r="U11172"/>
        </row>
        <row r="11173">
          <cell r="U11173"/>
        </row>
        <row r="11174">
          <cell r="U11174"/>
        </row>
        <row r="11175">
          <cell r="U11175"/>
        </row>
        <row r="11176">
          <cell r="U11176"/>
        </row>
        <row r="11177">
          <cell r="U11177"/>
        </row>
        <row r="11178">
          <cell r="U11178"/>
        </row>
        <row r="11179">
          <cell r="U11179"/>
        </row>
        <row r="11180">
          <cell r="U11180"/>
        </row>
        <row r="11181">
          <cell r="U11181"/>
        </row>
        <row r="11182">
          <cell r="U11182"/>
        </row>
        <row r="11183">
          <cell r="U11183"/>
        </row>
        <row r="11184">
          <cell r="U11184"/>
        </row>
        <row r="11185">
          <cell r="U11185"/>
        </row>
        <row r="11186">
          <cell r="U11186"/>
        </row>
        <row r="11187">
          <cell r="U11187"/>
        </row>
        <row r="11188">
          <cell r="U11188"/>
        </row>
        <row r="11189">
          <cell r="U11189"/>
        </row>
        <row r="11190">
          <cell r="U11190"/>
        </row>
        <row r="11191">
          <cell r="U11191"/>
        </row>
        <row r="11192">
          <cell r="U11192"/>
        </row>
        <row r="11193">
          <cell r="U11193"/>
        </row>
        <row r="11194">
          <cell r="U11194"/>
        </row>
        <row r="11195">
          <cell r="U11195"/>
        </row>
        <row r="11196">
          <cell r="U11196"/>
        </row>
        <row r="11197">
          <cell r="U11197"/>
        </row>
        <row r="11198">
          <cell r="U11198"/>
        </row>
        <row r="11199">
          <cell r="U11199"/>
        </row>
        <row r="11200">
          <cell r="U11200"/>
        </row>
        <row r="11201">
          <cell r="U11201"/>
        </row>
        <row r="11202">
          <cell r="U11202"/>
        </row>
        <row r="11203">
          <cell r="U11203"/>
        </row>
        <row r="11204">
          <cell r="U11204"/>
        </row>
        <row r="11205">
          <cell r="U11205"/>
        </row>
        <row r="11206">
          <cell r="U11206"/>
        </row>
        <row r="11207">
          <cell r="U11207"/>
        </row>
        <row r="11208">
          <cell r="U11208"/>
        </row>
        <row r="11209">
          <cell r="U11209"/>
        </row>
        <row r="11210">
          <cell r="U11210"/>
        </row>
        <row r="11211">
          <cell r="U11211"/>
        </row>
        <row r="11212">
          <cell r="U11212"/>
        </row>
        <row r="11213">
          <cell r="U11213"/>
        </row>
        <row r="11214">
          <cell r="U11214"/>
        </row>
        <row r="11215">
          <cell r="U11215"/>
        </row>
        <row r="11216">
          <cell r="U11216"/>
        </row>
        <row r="11217">
          <cell r="U11217"/>
        </row>
        <row r="11218">
          <cell r="U11218"/>
        </row>
        <row r="11219">
          <cell r="U11219"/>
        </row>
        <row r="11220">
          <cell r="U11220"/>
        </row>
        <row r="11221">
          <cell r="U11221"/>
        </row>
        <row r="11222">
          <cell r="U11222"/>
        </row>
        <row r="11223">
          <cell r="U11223"/>
        </row>
        <row r="11224">
          <cell r="U11224"/>
        </row>
        <row r="11225">
          <cell r="U11225"/>
        </row>
        <row r="11226">
          <cell r="U11226"/>
        </row>
        <row r="11227">
          <cell r="U11227"/>
        </row>
        <row r="11228">
          <cell r="U11228"/>
        </row>
        <row r="11229">
          <cell r="U11229"/>
        </row>
        <row r="11230">
          <cell r="U11230"/>
        </row>
        <row r="11231">
          <cell r="U11231"/>
        </row>
        <row r="11232">
          <cell r="U11232"/>
        </row>
        <row r="11233">
          <cell r="U11233"/>
        </row>
        <row r="11234">
          <cell r="U11234"/>
        </row>
        <row r="11235">
          <cell r="U11235"/>
        </row>
        <row r="11236">
          <cell r="U11236"/>
        </row>
        <row r="11237">
          <cell r="U11237"/>
        </row>
        <row r="11238">
          <cell r="U11238"/>
        </row>
        <row r="11239">
          <cell r="U11239"/>
        </row>
        <row r="11240">
          <cell r="U11240"/>
        </row>
        <row r="11241">
          <cell r="U11241"/>
        </row>
        <row r="11242">
          <cell r="U11242"/>
        </row>
        <row r="11243">
          <cell r="U11243"/>
        </row>
        <row r="11244">
          <cell r="U11244"/>
        </row>
        <row r="11245">
          <cell r="U11245"/>
        </row>
        <row r="11246">
          <cell r="U11246"/>
        </row>
        <row r="11247">
          <cell r="U11247"/>
        </row>
        <row r="11248">
          <cell r="U11248"/>
        </row>
        <row r="11249">
          <cell r="U11249"/>
        </row>
        <row r="11250">
          <cell r="U11250"/>
        </row>
        <row r="11251">
          <cell r="U11251"/>
        </row>
        <row r="11252">
          <cell r="U11252"/>
        </row>
        <row r="11253">
          <cell r="U11253"/>
        </row>
        <row r="11254">
          <cell r="U11254"/>
        </row>
        <row r="11255">
          <cell r="U11255"/>
        </row>
        <row r="11256">
          <cell r="U11256"/>
        </row>
        <row r="11257">
          <cell r="U11257"/>
        </row>
        <row r="11258">
          <cell r="U11258"/>
        </row>
        <row r="11259">
          <cell r="U11259"/>
        </row>
        <row r="11260">
          <cell r="U11260"/>
        </row>
        <row r="11261">
          <cell r="U11261"/>
        </row>
        <row r="11262">
          <cell r="U11262"/>
        </row>
        <row r="11263">
          <cell r="U11263"/>
        </row>
        <row r="11264">
          <cell r="U11264"/>
        </row>
        <row r="11265">
          <cell r="U11265"/>
        </row>
        <row r="11266">
          <cell r="U11266"/>
        </row>
        <row r="11267">
          <cell r="U11267"/>
        </row>
        <row r="11268">
          <cell r="U11268"/>
        </row>
        <row r="11269">
          <cell r="U11269"/>
        </row>
        <row r="11270">
          <cell r="U11270"/>
        </row>
        <row r="11271">
          <cell r="U11271"/>
        </row>
        <row r="11272">
          <cell r="U11272"/>
        </row>
        <row r="11273">
          <cell r="U11273"/>
        </row>
        <row r="11274">
          <cell r="U11274"/>
        </row>
        <row r="11275">
          <cell r="U11275"/>
        </row>
        <row r="11276">
          <cell r="U11276"/>
        </row>
        <row r="11277">
          <cell r="U11277"/>
        </row>
        <row r="11278">
          <cell r="U11278"/>
        </row>
        <row r="11279">
          <cell r="U11279"/>
        </row>
        <row r="11280">
          <cell r="U11280"/>
        </row>
        <row r="11281">
          <cell r="U11281"/>
        </row>
        <row r="11282">
          <cell r="U11282"/>
        </row>
        <row r="11283">
          <cell r="U11283"/>
        </row>
        <row r="11284">
          <cell r="U11284"/>
        </row>
        <row r="11285">
          <cell r="U11285"/>
        </row>
        <row r="11286">
          <cell r="U11286"/>
        </row>
        <row r="11287">
          <cell r="U11287"/>
        </row>
        <row r="11288">
          <cell r="U11288"/>
        </row>
        <row r="11289">
          <cell r="U11289"/>
        </row>
        <row r="11290">
          <cell r="U11290"/>
        </row>
        <row r="11291">
          <cell r="U11291"/>
        </row>
        <row r="11292">
          <cell r="U11292"/>
        </row>
        <row r="11293">
          <cell r="U11293"/>
        </row>
        <row r="11294">
          <cell r="U11294"/>
        </row>
        <row r="11295">
          <cell r="U11295"/>
        </row>
        <row r="11296">
          <cell r="U11296"/>
        </row>
        <row r="11297">
          <cell r="U11297"/>
        </row>
        <row r="11298">
          <cell r="U11298"/>
        </row>
        <row r="11299">
          <cell r="U11299"/>
        </row>
        <row r="11300">
          <cell r="U11300"/>
        </row>
        <row r="11301">
          <cell r="U11301"/>
        </row>
        <row r="11302">
          <cell r="U11302"/>
        </row>
        <row r="11303">
          <cell r="U11303"/>
        </row>
        <row r="11304">
          <cell r="U11304"/>
        </row>
        <row r="11305">
          <cell r="U11305"/>
        </row>
        <row r="11306">
          <cell r="U11306"/>
        </row>
        <row r="11307">
          <cell r="U11307"/>
        </row>
        <row r="11308">
          <cell r="U11308"/>
        </row>
        <row r="11309">
          <cell r="U11309"/>
        </row>
        <row r="11310">
          <cell r="U11310"/>
        </row>
        <row r="11311">
          <cell r="U11311"/>
        </row>
        <row r="11312">
          <cell r="U11312"/>
        </row>
        <row r="11313">
          <cell r="U11313"/>
        </row>
        <row r="11314">
          <cell r="U11314"/>
        </row>
        <row r="11315">
          <cell r="U11315"/>
        </row>
        <row r="11316">
          <cell r="U11316"/>
        </row>
        <row r="11317">
          <cell r="U11317"/>
        </row>
        <row r="11318">
          <cell r="U11318"/>
        </row>
        <row r="11319">
          <cell r="U11319"/>
        </row>
        <row r="11320">
          <cell r="U11320"/>
        </row>
        <row r="11321">
          <cell r="U11321"/>
        </row>
        <row r="11322">
          <cell r="U11322"/>
        </row>
        <row r="11323">
          <cell r="U11323"/>
        </row>
        <row r="11324">
          <cell r="U11324"/>
        </row>
        <row r="11325">
          <cell r="U11325"/>
        </row>
        <row r="11326">
          <cell r="U11326"/>
        </row>
        <row r="11327">
          <cell r="U11327"/>
        </row>
        <row r="11328">
          <cell r="U11328"/>
        </row>
        <row r="11329">
          <cell r="U11329"/>
        </row>
        <row r="11330">
          <cell r="U11330"/>
        </row>
        <row r="11331">
          <cell r="U11331"/>
        </row>
        <row r="11332">
          <cell r="U11332"/>
        </row>
        <row r="11333">
          <cell r="U11333"/>
        </row>
        <row r="11334">
          <cell r="U11334"/>
        </row>
        <row r="11335">
          <cell r="U11335"/>
        </row>
        <row r="11336">
          <cell r="U11336"/>
        </row>
        <row r="11337">
          <cell r="U11337"/>
        </row>
        <row r="11338">
          <cell r="U11338"/>
        </row>
        <row r="11339">
          <cell r="U11339"/>
        </row>
        <row r="11340">
          <cell r="U11340"/>
        </row>
        <row r="11341">
          <cell r="U11341"/>
        </row>
        <row r="11342">
          <cell r="U11342"/>
        </row>
        <row r="11343">
          <cell r="U11343"/>
        </row>
        <row r="11344">
          <cell r="U11344"/>
        </row>
        <row r="11345">
          <cell r="U11345"/>
        </row>
        <row r="11346">
          <cell r="U11346"/>
        </row>
        <row r="11347">
          <cell r="U11347"/>
        </row>
        <row r="11348">
          <cell r="U11348"/>
        </row>
        <row r="11349">
          <cell r="U11349"/>
        </row>
        <row r="11350">
          <cell r="U11350"/>
        </row>
        <row r="11351">
          <cell r="U11351"/>
        </row>
        <row r="11352">
          <cell r="U11352"/>
        </row>
        <row r="11353">
          <cell r="U11353"/>
        </row>
        <row r="11354">
          <cell r="U11354"/>
        </row>
        <row r="11355">
          <cell r="U11355"/>
        </row>
        <row r="11356">
          <cell r="U11356"/>
        </row>
        <row r="11357">
          <cell r="U11357"/>
        </row>
        <row r="11358">
          <cell r="U11358"/>
        </row>
        <row r="11359">
          <cell r="U11359"/>
        </row>
        <row r="11360">
          <cell r="U11360"/>
        </row>
        <row r="11361">
          <cell r="U11361"/>
        </row>
        <row r="11362">
          <cell r="U11362"/>
        </row>
        <row r="11363">
          <cell r="U11363"/>
        </row>
        <row r="11364">
          <cell r="U11364"/>
        </row>
        <row r="11365">
          <cell r="U11365"/>
        </row>
        <row r="11366">
          <cell r="U11366"/>
        </row>
        <row r="11367">
          <cell r="U11367"/>
        </row>
        <row r="11368">
          <cell r="U11368"/>
        </row>
        <row r="11369">
          <cell r="U11369"/>
        </row>
        <row r="11370">
          <cell r="U11370"/>
        </row>
        <row r="11371">
          <cell r="U11371"/>
        </row>
        <row r="11372">
          <cell r="U11372"/>
        </row>
        <row r="11373">
          <cell r="U11373"/>
        </row>
        <row r="11374">
          <cell r="U11374"/>
        </row>
        <row r="11375">
          <cell r="U11375"/>
        </row>
        <row r="11376">
          <cell r="U11376"/>
        </row>
        <row r="11377">
          <cell r="U11377"/>
        </row>
        <row r="11378">
          <cell r="U11378"/>
        </row>
        <row r="11379">
          <cell r="U11379"/>
        </row>
        <row r="11380">
          <cell r="U11380"/>
        </row>
        <row r="11381">
          <cell r="U11381"/>
        </row>
        <row r="11382">
          <cell r="U11382"/>
        </row>
        <row r="11383">
          <cell r="U11383"/>
        </row>
        <row r="11384">
          <cell r="U11384"/>
        </row>
        <row r="11385">
          <cell r="U11385"/>
        </row>
        <row r="11386">
          <cell r="U11386"/>
        </row>
        <row r="11387">
          <cell r="U11387"/>
        </row>
        <row r="11388">
          <cell r="U11388"/>
        </row>
        <row r="11389">
          <cell r="U11389"/>
        </row>
        <row r="11390">
          <cell r="U11390"/>
        </row>
        <row r="11391">
          <cell r="U11391"/>
        </row>
        <row r="11392">
          <cell r="U11392"/>
        </row>
        <row r="11393">
          <cell r="U11393"/>
        </row>
        <row r="11394">
          <cell r="U11394"/>
        </row>
        <row r="11395">
          <cell r="U11395"/>
        </row>
        <row r="11396">
          <cell r="U11396"/>
        </row>
        <row r="11397">
          <cell r="U11397"/>
        </row>
        <row r="11398">
          <cell r="U11398"/>
        </row>
        <row r="11399">
          <cell r="U11399"/>
        </row>
        <row r="11400">
          <cell r="U11400"/>
        </row>
        <row r="11401">
          <cell r="U11401"/>
        </row>
        <row r="11402">
          <cell r="U11402"/>
        </row>
        <row r="11403">
          <cell r="U11403"/>
        </row>
        <row r="11404">
          <cell r="U11404"/>
        </row>
        <row r="11405">
          <cell r="U11405"/>
        </row>
        <row r="11406">
          <cell r="U11406"/>
        </row>
        <row r="11407">
          <cell r="U11407"/>
        </row>
        <row r="11408">
          <cell r="U11408"/>
        </row>
        <row r="11409">
          <cell r="U11409"/>
        </row>
        <row r="11410">
          <cell r="U11410"/>
        </row>
        <row r="11411">
          <cell r="U11411"/>
        </row>
        <row r="11412">
          <cell r="U11412"/>
        </row>
        <row r="11413">
          <cell r="U11413"/>
        </row>
        <row r="11414">
          <cell r="U11414"/>
        </row>
        <row r="11415">
          <cell r="U11415"/>
        </row>
        <row r="11416">
          <cell r="U11416"/>
        </row>
        <row r="11417">
          <cell r="U11417"/>
        </row>
        <row r="11418">
          <cell r="U11418"/>
        </row>
        <row r="11419">
          <cell r="U11419"/>
        </row>
        <row r="11420">
          <cell r="U11420"/>
        </row>
        <row r="11421">
          <cell r="U11421"/>
        </row>
        <row r="11422">
          <cell r="U11422"/>
        </row>
        <row r="11423">
          <cell r="U11423"/>
        </row>
        <row r="11424">
          <cell r="U11424"/>
        </row>
        <row r="11425">
          <cell r="U11425"/>
        </row>
        <row r="11426">
          <cell r="U11426"/>
        </row>
        <row r="11427">
          <cell r="U11427"/>
        </row>
        <row r="11428">
          <cell r="U11428"/>
        </row>
        <row r="11429">
          <cell r="U11429"/>
        </row>
        <row r="11430">
          <cell r="U11430"/>
        </row>
        <row r="11431">
          <cell r="U11431"/>
        </row>
        <row r="11432">
          <cell r="U11432"/>
        </row>
        <row r="11433">
          <cell r="U11433"/>
        </row>
        <row r="11434">
          <cell r="U11434"/>
        </row>
        <row r="11435">
          <cell r="U11435"/>
        </row>
        <row r="11436">
          <cell r="U11436"/>
        </row>
        <row r="11437">
          <cell r="U11437"/>
        </row>
        <row r="11438">
          <cell r="U11438"/>
        </row>
        <row r="11439">
          <cell r="U11439"/>
        </row>
        <row r="11440">
          <cell r="U11440"/>
        </row>
        <row r="11441">
          <cell r="U11441"/>
        </row>
        <row r="11442">
          <cell r="U11442"/>
        </row>
        <row r="11443">
          <cell r="U11443"/>
        </row>
        <row r="11444">
          <cell r="U11444"/>
        </row>
        <row r="11445">
          <cell r="U11445"/>
        </row>
        <row r="11446">
          <cell r="U11446"/>
        </row>
        <row r="11447">
          <cell r="U11447"/>
        </row>
        <row r="11448">
          <cell r="U11448"/>
        </row>
        <row r="11449">
          <cell r="U11449"/>
        </row>
        <row r="11450">
          <cell r="U11450"/>
        </row>
        <row r="11451">
          <cell r="U11451"/>
        </row>
        <row r="11452">
          <cell r="U11452"/>
        </row>
        <row r="11453">
          <cell r="U11453"/>
        </row>
        <row r="11454">
          <cell r="U11454"/>
        </row>
        <row r="11455">
          <cell r="U11455"/>
        </row>
        <row r="11456">
          <cell r="U11456"/>
        </row>
        <row r="11457">
          <cell r="U11457"/>
        </row>
        <row r="11458">
          <cell r="U11458"/>
        </row>
        <row r="11459">
          <cell r="U11459"/>
        </row>
        <row r="11460">
          <cell r="U11460"/>
        </row>
        <row r="11461">
          <cell r="U11461"/>
        </row>
        <row r="11462">
          <cell r="U11462"/>
        </row>
        <row r="11463">
          <cell r="U11463"/>
        </row>
        <row r="11464">
          <cell r="U11464"/>
        </row>
        <row r="11465">
          <cell r="U11465"/>
        </row>
        <row r="11466">
          <cell r="U11466"/>
        </row>
        <row r="11467">
          <cell r="U11467"/>
        </row>
        <row r="11468">
          <cell r="U11468"/>
        </row>
        <row r="11469">
          <cell r="U11469"/>
        </row>
        <row r="11470">
          <cell r="U11470"/>
        </row>
        <row r="11471">
          <cell r="U11471"/>
        </row>
        <row r="11472">
          <cell r="U11472"/>
        </row>
        <row r="11473">
          <cell r="U11473"/>
        </row>
        <row r="11474">
          <cell r="U11474"/>
        </row>
        <row r="11475">
          <cell r="U11475"/>
        </row>
        <row r="11476">
          <cell r="U11476"/>
        </row>
        <row r="11477">
          <cell r="U11477"/>
        </row>
        <row r="11478">
          <cell r="U11478"/>
        </row>
        <row r="11479">
          <cell r="U11479"/>
        </row>
        <row r="11480">
          <cell r="U11480"/>
        </row>
        <row r="11481">
          <cell r="U11481"/>
        </row>
        <row r="11482">
          <cell r="U11482"/>
        </row>
        <row r="11483">
          <cell r="U11483"/>
        </row>
        <row r="11484">
          <cell r="U11484"/>
        </row>
        <row r="11485">
          <cell r="U11485"/>
        </row>
        <row r="11486">
          <cell r="U11486"/>
        </row>
        <row r="11487">
          <cell r="U11487"/>
        </row>
        <row r="11488">
          <cell r="U11488"/>
        </row>
        <row r="11489">
          <cell r="U11489"/>
        </row>
        <row r="11490">
          <cell r="U11490"/>
        </row>
        <row r="11491">
          <cell r="U11491"/>
        </row>
        <row r="11492">
          <cell r="U11492"/>
        </row>
        <row r="11493">
          <cell r="U11493"/>
        </row>
        <row r="11494">
          <cell r="U11494"/>
        </row>
        <row r="11495">
          <cell r="U11495"/>
        </row>
        <row r="11496">
          <cell r="U11496"/>
        </row>
        <row r="11497">
          <cell r="U11497"/>
        </row>
        <row r="11498">
          <cell r="U11498"/>
        </row>
        <row r="11499">
          <cell r="U11499"/>
        </row>
        <row r="11500">
          <cell r="U11500"/>
        </row>
        <row r="11501">
          <cell r="U11501"/>
        </row>
        <row r="11502">
          <cell r="U11502"/>
        </row>
        <row r="11503">
          <cell r="U11503"/>
        </row>
        <row r="11504">
          <cell r="U11504"/>
        </row>
        <row r="11505">
          <cell r="U11505"/>
        </row>
        <row r="11506">
          <cell r="U11506"/>
        </row>
        <row r="11507">
          <cell r="U11507"/>
        </row>
        <row r="11508">
          <cell r="U11508"/>
        </row>
        <row r="11509">
          <cell r="U11509"/>
        </row>
        <row r="11510">
          <cell r="U11510"/>
        </row>
        <row r="11511">
          <cell r="U11511"/>
        </row>
        <row r="11512">
          <cell r="U11512"/>
        </row>
        <row r="11513">
          <cell r="U11513"/>
        </row>
        <row r="11514">
          <cell r="U11514"/>
        </row>
        <row r="11515">
          <cell r="U11515"/>
        </row>
        <row r="11516">
          <cell r="U11516"/>
        </row>
        <row r="11517">
          <cell r="U11517"/>
        </row>
        <row r="11518">
          <cell r="U11518"/>
        </row>
        <row r="11519">
          <cell r="U11519"/>
        </row>
        <row r="11520">
          <cell r="U11520"/>
        </row>
        <row r="11521">
          <cell r="U11521"/>
        </row>
        <row r="11522">
          <cell r="U11522"/>
        </row>
        <row r="11523">
          <cell r="U11523"/>
        </row>
        <row r="11524">
          <cell r="U11524"/>
        </row>
        <row r="11525">
          <cell r="U11525"/>
        </row>
        <row r="11526">
          <cell r="U11526"/>
        </row>
        <row r="11527">
          <cell r="U11527"/>
        </row>
        <row r="11528">
          <cell r="U11528"/>
        </row>
        <row r="11529">
          <cell r="U11529"/>
        </row>
        <row r="11530">
          <cell r="U11530"/>
        </row>
        <row r="11531">
          <cell r="U11531"/>
        </row>
        <row r="11532">
          <cell r="U11532"/>
        </row>
        <row r="11533">
          <cell r="U11533"/>
        </row>
        <row r="11534">
          <cell r="U11534"/>
        </row>
        <row r="11535">
          <cell r="U11535"/>
        </row>
        <row r="11536">
          <cell r="U11536"/>
        </row>
        <row r="11537">
          <cell r="U11537"/>
        </row>
        <row r="11538">
          <cell r="U11538"/>
        </row>
        <row r="11539">
          <cell r="U11539"/>
        </row>
        <row r="11540">
          <cell r="U11540"/>
        </row>
        <row r="11541">
          <cell r="U11541"/>
        </row>
        <row r="11542">
          <cell r="U11542"/>
        </row>
        <row r="11543">
          <cell r="U11543"/>
        </row>
        <row r="11544">
          <cell r="U11544"/>
        </row>
        <row r="11545">
          <cell r="U11545"/>
        </row>
        <row r="11546">
          <cell r="U11546"/>
        </row>
        <row r="11547">
          <cell r="U11547"/>
        </row>
        <row r="11548">
          <cell r="U11548"/>
        </row>
        <row r="11549">
          <cell r="U11549"/>
        </row>
        <row r="11550">
          <cell r="U11550"/>
        </row>
        <row r="11551">
          <cell r="U11551"/>
        </row>
        <row r="11552">
          <cell r="U11552"/>
        </row>
        <row r="11553">
          <cell r="U11553"/>
        </row>
        <row r="11554">
          <cell r="U11554"/>
        </row>
        <row r="11555">
          <cell r="U11555"/>
        </row>
        <row r="11556">
          <cell r="U11556"/>
        </row>
        <row r="11557">
          <cell r="U11557"/>
        </row>
        <row r="11558">
          <cell r="U11558"/>
        </row>
        <row r="11559">
          <cell r="U11559"/>
        </row>
        <row r="11560">
          <cell r="U11560"/>
        </row>
        <row r="11561">
          <cell r="U11561"/>
        </row>
        <row r="11562">
          <cell r="U11562"/>
        </row>
        <row r="11563">
          <cell r="U11563"/>
        </row>
        <row r="11564">
          <cell r="U11564"/>
        </row>
        <row r="11565">
          <cell r="U11565"/>
        </row>
        <row r="11566">
          <cell r="U11566"/>
        </row>
        <row r="11567">
          <cell r="U11567"/>
        </row>
        <row r="11568">
          <cell r="U11568"/>
        </row>
        <row r="11569">
          <cell r="U11569"/>
        </row>
        <row r="11570">
          <cell r="U11570"/>
        </row>
        <row r="11571">
          <cell r="U11571"/>
        </row>
        <row r="11572">
          <cell r="U11572"/>
        </row>
        <row r="11573">
          <cell r="U11573"/>
        </row>
        <row r="11574">
          <cell r="U11574"/>
        </row>
        <row r="11575">
          <cell r="U11575"/>
        </row>
        <row r="11576">
          <cell r="U11576"/>
        </row>
        <row r="11577">
          <cell r="U11577"/>
        </row>
        <row r="11578">
          <cell r="U11578"/>
        </row>
        <row r="11579">
          <cell r="U11579"/>
        </row>
        <row r="11580">
          <cell r="U11580"/>
        </row>
        <row r="11581">
          <cell r="U11581"/>
        </row>
        <row r="11582">
          <cell r="U11582"/>
        </row>
        <row r="11583">
          <cell r="U11583"/>
        </row>
        <row r="11584">
          <cell r="U11584"/>
        </row>
        <row r="11585">
          <cell r="U11585"/>
        </row>
        <row r="11586">
          <cell r="U11586"/>
        </row>
        <row r="11587">
          <cell r="U11587"/>
        </row>
        <row r="11588">
          <cell r="U11588"/>
        </row>
        <row r="11589">
          <cell r="U11589"/>
        </row>
        <row r="11590">
          <cell r="U11590"/>
        </row>
        <row r="11591">
          <cell r="U11591"/>
        </row>
        <row r="11592">
          <cell r="U11592"/>
        </row>
        <row r="11593">
          <cell r="U11593"/>
        </row>
        <row r="11594">
          <cell r="U11594"/>
        </row>
        <row r="11595">
          <cell r="U11595"/>
        </row>
        <row r="11596">
          <cell r="U11596"/>
        </row>
        <row r="11597">
          <cell r="U11597"/>
        </row>
        <row r="11598">
          <cell r="U11598"/>
        </row>
        <row r="11599">
          <cell r="U11599"/>
        </row>
        <row r="11600">
          <cell r="U11600"/>
        </row>
        <row r="11601">
          <cell r="U11601"/>
        </row>
        <row r="11602">
          <cell r="U11602"/>
        </row>
        <row r="11603">
          <cell r="U11603"/>
        </row>
        <row r="11604">
          <cell r="U11604"/>
        </row>
        <row r="11605">
          <cell r="U11605"/>
        </row>
        <row r="11606">
          <cell r="U11606"/>
        </row>
        <row r="11607">
          <cell r="U11607"/>
        </row>
        <row r="11608">
          <cell r="U11608"/>
        </row>
        <row r="11609">
          <cell r="U11609"/>
        </row>
        <row r="11610">
          <cell r="U11610"/>
        </row>
        <row r="11611">
          <cell r="U11611"/>
        </row>
        <row r="11612">
          <cell r="U11612"/>
        </row>
        <row r="11613">
          <cell r="U11613"/>
        </row>
        <row r="11614">
          <cell r="U11614"/>
        </row>
        <row r="11615">
          <cell r="U11615"/>
        </row>
        <row r="11616">
          <cell r="U11616"/>
        </row>
        <row r="11617">
          <cell r="U11617"/>
        </row>
        <row r="11618">
          <cell r="U11618"/>
        </row>
        <row r="11619">
          <cell r="U11619"/>
        </row>
        <row r="11620">
          <cell r="U11620"/>
        </row>
        <row r="11621">
          <cell r="U11621"/>
        </row>
        <row r="11622">
          <cell r="U11622"/>
        </row>
        <row r="11623">
          <cell r="U11623"/>
        </row>
        <row r="11624">
          <cell r="U11624"/>
        </row>
        <row r="11625">
          <cell r="U11625"/>
        </row>
        <row r="11626">
          <cell r="U11626"/>
        </row>
        <row r="11627">
          <cell r="U11627"/>
        </row>
        <row r="11628">
          <cell r="U11628"/>
        </row>
        <row r="11629">
          <cell r="U11629"/>
        </row>
        <row r="11630">
          <cell r="U11630"/>
        </row>
        <row r="11631">
          <cell r="U11631"/>
        </row>
        <row r="11632">
          <cell r="U11632"/>
        </row>
        <row r="11633">
          <cell r="U11633"/>
        </row>
        <row r="11634">
          <cell r="U11634"/>
        </row>
        <row r="11635">
          <cell r="U11635"/>
        </row>
        <row r="11636">
          <cell r="U11636"/>
        </row>
        <row r="11637">
          <cell r="U11637"/>
        </row>
        <row r="11638">
          <cell r="U11638"/>
        </row>
        <row r="11639">
          <cell r="U11639"/>
        </row>
        <row r="11640">
          <cell r="U11640"/>
        </row>
        <row r="11641">
          <cell r="U11641"/>
        </row>
        <row r="11642">
          <cell r="U11642"/>
        </row>
        <row r="11643">
          <cell r="U11643"/>
        </row>
        <row r="11644">
          <cell r="U11644"/>
        </row>
        <row r="11645">
          <cell r="U11645"/>
        </row>
        <row r="11646">
          <cell r="U11646"/>
        </row>
        <row r="11647">
          <cell r="U11647"/>
        </row>
        <row r="11648">
          <cell r="U11648"/>
        </row>
        <row r="11649">
          <cell r="U11649"/>
        </row>
        <row r="11650">
          <cell r="U11650"/>
        </row>
        <row r="11651">
          <cell r="U11651"/>
        </row>
        <row r="11652">
          <cell r="U11652"/>
        </row>
        <row r="11653">
          <cell r="U11653"/>
        </row>
        <row r="11654">
          <cell r="U11654"/>
        </row>
        <row r="11655">
          <cell r="U11655"/>
        </row>
        <row r="11656">
          <cell r="U11656"/>
        </row>
        <row r="11657">
          <cell r="U11657"/>
        </row>
        <row r="11658">
          <cell r="U11658"/>
        </row>
        <row r="11659">
          <cell r="U11659"/>
        </row>
        <row r="11660">
          <cell r="U11660"/>
        </row>
        <row r="11661">
          <cell r="U11661"/>
        </row>
        <row r="11662">
          <cell r="U11662"/>
        </row>
        <row r="11663">
          <cell r="U11663"/>
        </row>
        <row r="11664">
          <cell r="U11664"/>
        </row>
        <row r="11665">
          <cell r="U11665"/>
        </row>
        <row r="11666">
          <cell r="U11666"/>
        </row>
        <row r="11667">
          <cell r="U11667"/>
        </row>
        <row r="11668">
          <cell r="U11668"/>
        </row>
        <row r="11669">
          <cell r="U11669"/>
        </row>
        <row r="11670">
          <cell r="U11670"/>
        </row>
        <row r="11671">
          <cell r="U11671"/>
        </row>
        <row r="11672">
          <cell r="U11672"/>
        </row>
        <row r="11673">
          <cell r="U11673"/>
        </row>
        <row r="11674">
          <cell r="U11674"/>
        </row>
        <row r="11675">
          <cell r="U11675"/>
        </row>
        <row r="11676">
          <cell r="U11676"/>
        </row>
        <row r="11677">
          <cell r="U11677"/>
        </row>
        <row r="11678">
          <cell r="U11678"/>
        </row>
        <row r="11679">
          <cell r="U11679"/>
        </row>
        <row r="11680">
          <cell r="U11680"/>
        </row>
        <row r="11681">
          <cell r="U11681"/>
        </row>
        <row r="11682">
          <cell r="U11682"/>
        </row>
        <row r="11683">
          <cell r="U11683"/>
        </row>
        <row r="11684">
          <cell r="U11684"/>
        </row>
        <row r="11685">
          <cell r="U11685"/>
        </row>
        <row r="11686">
          <cell r="U11686"/>
        </row>
        <row r="11687">
          <cell r="U11687"/>
        </row>
        <row r="11688">
          <cell r="U11688"/>
        </row>
        <row r="11689">
          <cell r="U11689"/>
        </row>
        <row r="11690">
          <cell r="U11690"/>
        </row>
        <row r="11691">
          <cell r="U11691"/>
        </row>
        <row r="11692">
          <cell r="U11692"/>
        </row>
        <row r="11693">
          <cell r="U11693"/>
        </row>
        <row r="11694">
          <cell r="U11694"/>
        </row>
        <row r="11695">
          <cell r="U11695"/>
        </row>
        <row r="11696">
          <cell r="U11696"/>
        </row>
        <row r="11697">
          <cell r="U11697"/>
        </row>
        <row r="11698">
          <cell r="U11698"/>
        </row>
        <row r="11699">
          <cell r="U11699"/>
        </row>
        <row r="11700">
          <cell r="U11700"/>
        </row>
        <row r="11701">
          <cell r="U11701"/>
        </row>
        <row r="11702">
          <cell r="U11702"/>
        </row>
        <row r="11703">
          <cell r="U11703"/>
        </row>
        <row r="11704">
          <cell r="U11704"/>
        </row>
        <row r="11705">
          <cell r="U11705"/>
        </row>
        <row r="11706">
          <cell r="U11706"/>
        </row>
        <row r="11707">
          <cell r="U11707"/>
        </row>
        <row r="11708">
          <cell r="U11708"/>
        </row>
        <row r="11709">
          <cell r="U11709"/>
        </row>
        <row r="11710">
          <cell r="U11710"/>
        </row>
        <row r="11711">
          <cell r="U11711"/>
        </row>
        <row r="11712">
          <cell r="U11712"/>
        </row>
        <row r="11713">
          <cell r="U11713"/>
        </row>
        <row r="11714">
          <cell r="U11714"/>
        </row>
        <row r="11715">
          <cell r="U11715"/>
        </row>
        <row r="11716">
          <cell r="U11716"/>
        </row>
        <row r="11717">
          <cell r="U11717"/>
        </row>
        <row r="11718">
          <cell r="U11718"/>
        </row>
        <row r="11719">
          <cell r="U11719"/>
        </row>
        <row r="11720">
          <cell r="U11720"/>
        </row>
        <row r="11721">
          <cell r="U11721"/>
        </row>
        <row r="11722">
          <cell r="U11722"/>
        </row>
        <row r="11723">
          <cell r="U11723"/>
        </row>
        <row r="11724">
          <cell r="U11724"/>
        </row>
        <row r="11725">
          <cell r="U11725"/>
        </row>
        <row r="11726">
          <cell r="U11726"/>
        </row>
        <row r="11727">
          <cell r="U11727"/>
        </row>
        <row r="11728">
          <cell r="U11728"/>
        </row>
        <row r="11729">
          <cell r="U11729"/>
        </row>
        <row r="11730">
          <cell r="U11730"/>
        </row>
        <row r="11731">
          <cell r="U11731"/>
        </row>
        <row r="11732">
          <cell r="U11732"/>
        </row>
        <row r="11733">
          <cell r="U11733"/>
        </row>
        <row r="11734">
          <cell r="U11734"/>
        </row>
        <row r="11735">
          <cell r="U11735"/>
        </row>
        <row r="11736">
          <cell r="U11736"/>
        </row>
        <row r="11737">
          <cell r="U11737"/>
        </row>
        <row r="11738">
          <cell r="U11738"/>
        </row>
        <row r="11739">
          <cell r="U11739"/>
        </row>
        <row r="11740">
          <cell r="U11740"/>
        </row>
        <row r="11741">
          <cell r="U11741"/>
        </row>
        <row r="11742">
          <cell r="U11742"/>
        </row>
        <row r="11743">
          <cell r="U11743"/>
        </row>
        <row r="11744">
          <cell r="U11744"/>
        </row>
        <row r="11745">
          <cell r="U11745"/>
        </row>
        <row r="11746">
          <cell r="U11746"/>
        </row>
        <row r="11747">
          <cell r="U11747"/>
        </row>
        <row r="11748">
          <cell r="U11748"/>
        </row>
        <row r="11749">
          <cell r="U11749"/>
        </row>
        <row r="11750">
          <cell r="U11750"/>
        </row>
        <row r="11751">
          <cell r="U11751"/>
        </row>
        <row r="11752">
          <cell r="U11752"/>
        </row>
        <row r="11753">
          <cell r="U11753"/>
        </row>
        <row r="11754">
          <cell r="U11754"/>
        </row>
        <row r="11755">
          <cell r="U11755"/>
        </row>
        <row r="11756">
          <cell r="U11756"/>
        </row>
        <row r="11757">
          <cell r="U11757"/>
        </row>
        <row r="11758">
          <cell r="U11758"/>
        </row>
        <row r="11759">
          <cell r="U11759"/>
        </row>
        <row r="11760">
          <cell r="U11760"/>
        </row>
        <row r="11761">
          <cell r="U11761"/>
        </row>
        <row r="11762">
          <cell r="U11762"/>
        </row>
        <row r="11763">
          <cell r="U11763"/>
        </row>
        <row r="11764">
          <cell r="U11764"/>
        </row>
        <row r="11765">
          <cell r="U11765"/>
        </row>
        <row r="11766">
          <cell r="U11766"/>
        </row>
        <row r="11767">
          <cell r="U11767"/>
        </row>
        <row r="11768">
          <cell r="U11768"/>
        </row>
        <row r="11769">
          <cell r="U11769"/>
        </row>
        <row r="11770">
          <cell r="U11770"/>
        </row>
        <row r="11771">
          <cell r="U11771"/>
        </row>
        <row r="11772">
          <cell r="U11772"/>
        </row>
        <row r="11773">
          <cell r="U11773"/>
        </row>
        <row r="11774">
          <cell r="U11774"/>
        </row>
        <row r="11775">
          <cell r="U11775"/>
        </row>
        <row r="11776">
          <cell r="U11776"/>
        </row>
        <row r="11777">
          <cell r="U11777"/>
        </row>
        <row r="11778">
          <cell r="U11778"/>
        </row>
        <row r="11779">
          <cell r="U11779"/>
        </row>
        <row r="11780">
          <cell r="U11780"/>
        </row>
        <row r="11781">
          <cell r="U11781"/>
        </row>
        <row r="11782">
          <cell r="U11782"/>
        </row>
        <row r="11783">
          <cell r="U11783"/>
        </row>
        <row r="11784">
          <cell r="U11784"/>
        </row>
        <row r="11785">
          <cell r="U11785"/>
        </row>
        <row r="11786">
          <cell r="U11786"/>
        </row>
        <row r="11787">
          <cell r="U11787"/>
        </row>
        <row r="11788">
          <cell r="U11788"/>
        </row>
        <row r="11789">
          <cell r="U11789"/>
        </row>
        <row r="11790">
          <cell r="U11790"/>
        </row>
        <row r="11791">
          <cell r="U11791"/>
        </row>
        <row r="11792">
          <cell r="U11792"/>
        </row>
        <row r="11793">
          <cell r="U11793"/>
        </row>
        <row r="11794">
          <cell r="U11794"/>
        </row>
        <row r="11795">
          <cell r="U11795"/>
        </row>
        <row r="11796">
          <cell r="U11796"/>
        </row>
        <row r="11797">
          <cell r="U11797"/>
        </row>
        <row r="11798">
          <cell r="U11798"/>
        </row>
        <row r="11799">
          <cell r="U11799"/>
        </row>
        <row r="11800">
          <cell r="U11800"/>
        </row>
        <row r="11801">
          <cell r="U11801"/>
        </row>
        <row r="11802">
          <cell r="U11802"/>
        </row>
        <row r="11803">
          <cell r="U11803"/>
        </row>
        <row r="11804">
          <cell r="U11804"/>
        </row>
        <row r="11805">
          <cell r="U11805"/>
        </row>
        <row r="11806">
          <cell r="U11806"/>
        </row>
        <row r="11807">
          <cell r="U11807"/>
        </row>
        <row r="11808">
          <cell r="U11808"/>
        </row>
        <row r="11809">
          <cell r="U11809"/>
        </row>
        <row r="11810">
          <cell r="U11810"/>
        </row>
        <row r="11811">
          <cell r="U11811"/>
        </row>
        <row r="11812">
          <cell r="U11812"/>
        </row>
        <row r="11813">
          <cell r="U11813"/>
        </row>
        <row r="11814">
          <cell r="U11814"/>
        </row>
        <row r="11815">
          <cell r="U11815"/>
        </row>
        <row r="11816">
          <cell r="U11816"/>
        </row>
        <row r="11817">
          <cell r="U11817"/>
        </row>
        <row r="11818">
          <cell r="U11818"/>
        </row>
        <row r="11819">
          <cell r="U11819"/>
        </row>
        <row r="11820">
          <cell r="U11820"/>
        </row>
        <row r="11821">
          <cell r="U11821"/>
        </row>
        <row r="11822">
          <cell r="U11822"/>
        </row>
        <row r="11823">
          <cell r="U11823"/>
        </row>
        <row r="11824">
          <cell r="U11824"/>
        </row>
        <row r="11825">
          <cell r="U11825"/>
        </row>
        <row r="11826">
          <cell r="U11826"/>
        </row>
        <row r="11827">
          <cell r="U11827"/>
        </row>
        <row r="11828">
          <cell r="U11828"/>
        </row>
        <row r="11829">
          <cell r="U11829"/>
        </row>
        <row r="11830">
          <cell r="U11830"/>
        </row>
        <row r="11831">
          <cell r="U11831"/>
        </row>
        <row r="11832">
          <cell r="U11832"/>
        </row>
        <row r="11833">
          <cell r="U11833"/>
        </row>
        <row r="11834">
          <cell r="U11834"/>
        </row>
        <row r="11835">
          <cell r="U11835"/>
        </row>
        <row r="11836">
          <cell r="U11836"/>
        </row>
        <row r="11837">
          <cell r="U11837"/>
        </row>
        <row r="11838">
          <cell r="U11838"/>
        </row>
        <row r="11839">
          <cell r="U11839"/>
        </row>
        <row r="11840">
          <cell r="U11840"/>
        </row>
        <row r="11841">
          <cell r="U11841"/>
        </row>
        <row r="11842">
          <cell r="U11842"/>
        </row>
        <row r="11843">
          <cell r="U11843"/>
        </row>
        <row r="11844">
          <cell r="U11844"/>
        </row>
        <row r="11845">
          <cell r="U11845"/>
        </row>
        <row r="11846">
          <cell r="U11846"/>
        </row>
        <row r="11847">
          <cell r="U11847"/>
        </row>
        <row r="11848">
          <cell r="U11848"/>
        </row>
        <row r="11849">
          <cell r="U11849"/>
        </row>
        <row r="11850">
          <cell r="U11850"/>
        </row>
        <row r="11851">
          <cell r="U11851"/>
        </row>
        <row r="11852">
          <cell r="U11852"/>
        </row>
        <row r="11853">
          <cell r="U11853"/>
        </row>
        <row r="11854">
          <cell r="U11854"/>
        </row>
        <row r="11855">
          <cell r="U11855"/>
        </row>
        <row r="11856">
          <cell r="U11856"/>
        </row>
        <row r="11857">
          <cell r="U11857"/>
        </row>
        <row r="11858">
          <cell r="U11858"/>
        </row>
        <row r="11859">
          <cell r="U11859"/>
        </row>
        <row r="11860">
          <cell r="U11860"/>
        </row>
        <row r="11861">
          <cell r="U11861"/>
        </row>
        <row r="11862">
          <cell r="U11862"/>
        </row>
        <row r="11863">
          <cell r="U11863"/>
        </row>
        <row r="11864">
          <cell r="U11864"/>
        </row>
        <row r="11865">
          <cell r="U11865"/>
        </row>
        <row r="11866">
          <cell r="U11866"/>
        </row>
        <row r="11867">
          <cell r="U11867"/>
        </row>
        <row r="11868">
          <cell r="U11868"/>
        </row>
        <row r="11869">
          <cell r="U11869"/>
        </row>
        <row r="11870">
          <cell r="U11870"/>
        </row>
        <row r="11871">
          <cell r="U11871"/>
        </row>
        <row r="11872">
          <cell r="U11872"/>
        </row>
        <row r="11873">
          <cell r="U11873"/>
        </row>
        <row r="11874">
          <cell r="U11874"/>
        </row>
        <row r="11875">
          <cell r="U11875"/>
        </row>
        <row r="11876">
          <cell r="U11876"/>
        </row>
        <row r="11877">
          <cell r="U11877"/>
        </row>
        <row r="11878">
          <cell r="U11878"/>
        </row>
        <row r="11879">
          <cell r="U11879"/>
        </row>
        <row r="11880">
          <cell r="U11880"/>
        </row>
        <row r="11881">
          <cell r="U11881"/>
        </row>
        <row r="11882">
          <cell r="U11882"/>
        </row>
        <row r="11883">
          <cell r="U11883"/>
        </row>
        <row r="11884">
          <cell r="U11884"/>
        </row>
        <row r="11885">
          <cell r="U11885"/>
        </row>
        <row r="11886">
          <cell r="U11886"/>
        </row>
        <row r="11887">
          <cell r="U11887"/>
        </row>
        <row r="11888">
          <cell r="U11888"/>
        </row>
        <row r="11889">
          <cell r="U11889"/>
        </row>
        <row r="11890">
          <cell r="U11890"/>
        </row>
        <row r="11891">
          <cell r="U11891"/>
        </row>
        <row r="11892">
          <cell r="U11892"/>
        </row>
        <row r="11893">
          <cell r="U11893"/>
        </row>
        <row r="11894">
          <cell r="U11894"/>
        </row>
        <row r="11895">
          <cell r="U11895"/>
        </row>
        <row r="11896">
          <cell r="U11896"/>
        </row>
        <row r="11897">
          <cell r="U11897"/>
        </row>
        <row r="11898">
          <cell r="U11898"/>
        </row>
        <row r="11899">
          <cell r="U11899"/>
        </row>
        <row r="11900">
          <cell r="U11900"/>
        </row>
        <row r="11901">
          <cell r="U11901"/>
        </row>
        <row r="11902">
          <cell r="U11902"/>
        </row>
        <row r="11903">
          <cell r="U11903"/>
        </row>
        <row r="11904">
          <cell r="U11904"/>
        </row>
        <row r="11905">
          <cell r="U11905"/>
        </row>
        <row r="11906">
          <cell r="U11906"/>
        </row>
        <row r="11907">
          <cell r="U11907"/>
        </row>
        <row r="11908">
          <cell r="U11908"/>
        </row>
        <row r="11909">
          <cell r="U11909"/>
        </row>
        <row r="11910">
          <cell r="U11910"/>
        </row>
        <row r="11911">
          <cell r="U11911"/>
        </row>
        <row r="11912">
          <cell r="U11912"/>
        </row>
        <row r="11913">
          <cell r="U11913"/>
        </row>
        <row r="11914">
          <cell r="U11914"/>
        </row>
        <row r="11915">
          <cell r="U11915"/>
        </row>
        <row r="11916">
          <cell r="U11916"/>
        </row>
        <row r="11917">
          <cell r="U11917"/>
        </row>
        <row r="11918">
          <cell r="U11918"/>
        </row>
        <row r="11919">
          <cell r="U11919"/>
        </row>
        <row r="11920">
          <cell r="U11920"/>
        </row>
        <row r="11921">
          <cell r="U11921"/>
        </row>
        <row r="11922">
          <cell r="U11922"/>
        </row>
        <row r="11923">
          <cell r="U11923"/>
        </row>
        <row r="11924">
          <cell r="U11924"/>
        </row>
        <row r="11925">
          <cell r="U11925"/>
        </row>
        <row r="11926">
          <cell r="U11926"/>
        </row>
        <row r="11927">
          <cell r="U11927"/>
        </row>
        <row r="11928">
          <cell r="U11928"/>
        </row>
        <row r="11929">
          <cell r="U11929"/>
        </row>
        <row r="11930">
          <cell r="U11930"/>
        </row>
        <row r="11931">
          <cell r="U11931"/>
        </row>
        <row r="11932">
          <cell r="U11932"/>
        </row>
        <row r="11933">
          <cell r="U11933"/>
        </row>
        <row r="11934">
          <cell r="U11934"/>
        </row>
        <row r="11935">
          <cell r="U11935"/>
        </row>
        <row r="11936">
          <cell r="U11936"/>
        </row>
        <row r="11937">
          <cell r="U11937"/>
        </row>
        <row r="11938">
          <cell r="U11938"/>
        </row>
        <row r="11939">
          <cell r="U11939"/>
        </row>
        <row r="11940">
          <cell r="U11940"/>
        </row>
        <row r="11941">
          <cell r="U11941"/>
        </row>
        <row r="11942">
          <cell r="U11942"/>
        </row>
        <row r="11943">
          <cell r="U11943"/>
        </row>
        <row r="11944">
          <cell r="U11944"/>
        </row>
        <row r="11945">
          <cell r="U11945"/>
        </row>
        <row r="11946">
          <cell r="U11946"/>
        </row>
        <row r="11947">
          <cell r="U11947"/>
        </row>
        <row r="11948">
          <cell r="U11948"/>
        </row>
        <row r="11949">
          <cell r="U11949"/>
        </row>
        <row r="11950">
          <cell r="U11950"/>
        </row>
        <row r="11951">
          <cell r="U11951"/>
        </row>
        <row r="11952">
          <cell r="U11952"/>
        </row>
        <row r="11953">
          <cell r="U11953"/>
        </row>
        <row r="11954">
          <cell r="U11954"/>
        </row>
        <row r="11955">
          <cell r="U11955"/>
        </row>
        <row r="11956">
          <cell r="U11956"/>
        </row>
        <row r="11957">
          <cell r="U11957"/>
        </row>
        <row r="11958">
          <cell r="U11958"/>
        </row>
        <row r="11959">
          <cell r="U11959"/>
        </row>
        <row r="11960">
          <cell r="U11960"/>
        </row>
        <row r="11961">
          <cell r="U11961"/>
        </row>
        <row r="11962">
          <cell r="U11962"/>
        </row>
        <row r="11963">
          <cell r="U11963"/>
        </row>
        <row r="11964">
          <cell r="U11964"/>
        </row>
        <row r="11965">
          <cell r="U11965"/>
        </row>
        <row r="11966">
          <cell r="U11966"/>
        </row>
        <row r="11967">
          <cell r="U11967"/>
        </row>
        <row r="11968">
          <cell r="U11968"/>
        </row>
        <row r="11969">
          <cell r="U11969"/>
        </row>
        <row r="11970">
          <cell r="U11970"/>
        </row>
        <row r="11971">
          <cell r="U11971"/>
        </row>
        <row r="11972">
          <cell r="U11972"/>
        </row>
        <row r="11973">
          <cell r="U11973"/>
        </row>
        <row r="11974">
          <cell r="U11974"/>
        </row>
        <row r="11975">
          <cell r="U11975"/>
        </row>
        <row r="11976">
          <cell r="U11976"/>
        </row>
        <row r="11977">
          <cell r="U11977"/>
        </row>
        <row r="11978">
          <cell r="U11978"/>
        </row>
        <row r="11979">
          <cell r="U11979"/>
        </row>
        <row r="11980">
          <cell r="U11980"/>
        </row>
        <row r="11981">
          <cell r="U11981"/>
        </row>
        <row r="11982">
          <cell r="U11982"/>
        </row>
        <row r="11983">
          <cell r="U11983"/>
        </row>
        <row r="11984">
          <cell r="U11984"/>
        </row>
        <row r="11985">
          <cell r="U11985"/>
        </row>
        <row r="11986">
          <cell r="U11986"/>
        </row>
        <row r="11987">
          <cell r="U11987"/>
        </row>
        <row r="11988">
          <cell r="U11988"/>
        </row>
        <row r="11989">
          <cell r="U11989"/>
        </row>
        <row r="11990">
          <cell r="U11990"/>
        </row>
        <row r="11991">
          <cell r="U11991"/>
        </row>
        <row r="11992">
          <cell r="U11992"/>
        </row>
        <row r="11993">
          <cell r="U11993"/>
        </row>
        <row r="11994">
          <cell r="U11994"/>
        </row>
        <row r="11995">
          <cell r="U11995"/>
        </row>
        <row r="11996">
          <cell r="U11996"/>
        </row>
        <row r="11997">
          <cell r="U11997"/>
        </row>
        <row r="11998">
          <cell r="U11998"/>
        </row>
        <row r="11999">
          <cell r="U11999"/>
        </row>
        <row r="12000">
          <cell r="U12000"/>
        </row>
        <row r="12001">
          <cell r="U12001"/>
        </row>
        <row r="12002">
          <cell r="U12002"/>
        </row>
        <row r="12003">
          <cell r="U12003"/>
        </row>
        <row r="12004">
          <cell r="U12004"/>
        </row>
        <row r="12005">
          <cell r="U12005"/>
        </row>
        <row r="12006">
          <cell r="U12006"/>
        </row>
        <row r="12007">
          <cell r="U12007"/>
        </row>
        <row r="12008">
          <cell r="U12008"/>
        </row>
        <row r="12009">
          <cell r="U12009"/>
        </row>
        <row r="12010">
          <cell r="U12010"/>
        </row>
        <row r="12011">
          <cell r="U12011"/>
        </row>
        <row r="12012">
          <cell r="U12012"/>
        </row>
        <row r="12013">
          <cell r="U12013"/>
        </row>
        <row r="12014">
          <cell r="U12014"/>
        </row>
        <row r="12015">
          <cell r="U12015"/>
        </row>
        <row r="12016">
          <cell r="U12016"/>
        </row>
        <row r="12017">
          <cell r="U12017"/>
        </row>
        <row r="12018">
          <cell r="U12018"/>
        </row>
        <row r="12019">
          <cell r="U12019"/>
        </row>
        <row r="12020">
          <cell r="U12020"/>
        </row>
        <row r="12021">
          <cell r="U12021"/>
        </row>
        <row r="12022">
          <cell r="U12022"/>
        </row>
        <row r="12023">
          <cell r="U12023"/>
        </row>
        <row r="12024">
          <cell r="U12024"/>
        </row>
        <row r="12025">
          <cell r="U12025"/>
        </row>
        <row r="12026">
          <cell r="U12026"/>
        </row>
        <row r="12027">
          <cell r="U12027"/>
        </row>
        <row r="12028">
          <cell r="U12028"/>
        </row>
        <row r="12029">
          <cell r="U12029"/>
        </row>
        <row r="12030">
          <cell r="U12030"/>
        </row>
        <row r="12031">
          <cell r="U12031"/>
        </row>
        <row r="12032">
          <cell r="U12032"/>
        </row>
        <row r="12033">
          <cell r="U12033"/>
        </row>
        <row r="12034">
          <cell r="U12034"/>
        </row>
        <row r="12035">
          <cell r="U12035"/>
        </row>
        <row r="12036">
          <cell r="U12036"/>
        </row>
        <row r="12037">
          <cell r="U12037"/>
        </row>
        <row r="12038">
          <cell r="U12038"/>
        </row>
        <row r="12039">
          <cell r="U12039"/>
        </row>
        <row r="12040">
          <cell r="U12040"/>
        </row>
        <row r="12041">
          <cell r="U12041"/>
        </row>
        <row r="12042">
          <cell r="U12042"/>
        </row>
        <row r="12043">
          <cell r="U12043"/>
        </row>
        <row r="12044">
          <cell r="U12044"/>
        </row>
        <row r="12045">
          <cell r="U12045"/>
        </row>
        <row r="12046">
          <cell r="U12046"/>
        </row>
        <row r="12047">
          <cell r="U12047"/>
        </row>
        <row r="12048">
          <cell r="U12048"/>
        </row>
        <row r="12049">
          <cell r="U12049"/>
        </row>
        <row r="12050">
          <cell r="U12050"/>
        </row>
        <row r="12051">
          <cell r="U12051"/>
        </row>
        <row r="12052">
          <cell r="U12052"/>
        </row>
        <row r="12053">
          <cell r="U12053"/>
        </row>
        <row r="12054">
          <cell r="U12054"/>
        </row>
        <row r="12055">
          <cell r="U12055"/>
        </row>
        <row r="12056">
          <cell r="U12056"/>
        </row>
        <row r="12057">
          <cell r="U12057"/>
        </row>
        <row r="12058">
          <cell r="U12058"/>
        </row>
        <row r="12059">
          <cell r="U12059"/>
        </row>
        <row r="12060">
          <cell r="U12060"/>
        </row>
        <row r="12061">
          <cell r="U12061"/>
        </row>
        <row r="12062">
          <cell r="U12062"/>
        </row>
        <row r="12063">
          <cell r="U12063"/>
        </row>
        <row r="12064">
          <cell r="U12064"/>
        </row>
        <row r="12065">
          <cell r="U12065"/>
        </row>
        <row r="12066">
          <cell r="U12066"/>
        </row>
        <row r="12067">
          <cell r="U12067"/>
        </row>
        <row r="12068">
          <cell r="U12068"/>
        </row>
        <row r="12069">
          <cell r="U12069"/>
        </row>
        <row r="12070">
          <cell r="U12070"/>
        </row>
        <row r="12071">
          <cell r="U12071"/>
        </row>
        <row r="12072">
          <cell r="U12072"/>
        </row>
        <row r="12073">
          <cell r="U12073"/>
        </row>
        <row r="12074">
          <cell r="U12074"/>
        </row>
        <row r="12075">
          <cell r="U12075"/>
        </row>
        <row r="12076">
          <cell r="U12076"/>
        </row>
        <row r="12077">
          <cell r="U12077"/>
        </row>
        <row r="12078">
          <cell r="U12078"/>
        </row>
        <row r="12079">
          <cell r="U12079"/>
        </row>
        <row r="12080">
          <cell r="U12080"/>
        </row>
        <row r="12081">
          <cell r="U12081"/>
        </row>
        <row r="12082">
          <cell r="U12082"/>
        </row>
        <row r="12083">
          <cell r="U12083"/>
        </row>
        <row r="12084">
          <cell r="U12084"/>
        </row>
        <row r="12085">
          <cell r="U12085"/>
        </row>
        <row r="12086">
          <cell r="U12086"/>
        </row>
        <row r="12087">
          <cell r="U12087"/>
        </row>
        <row r="12088">
          <cell r="U12088"/>
        </row>
        <row r="12089">
          <cell r="U12089"/>
        </row>
        <row r="12090">
          <cell r="U12090"/>
        </row>
        <row r="12091">
          <cell r="U12091"/>
        </row>
        <row r="12092">
          <cell r="U12092"/>
        </row>
        <row r="12093">
          <cell r="U12093"/>
        </row>
        <row r="12094">
          <cell r="U12094"/>
        </row>
        <row r="12095">
          <cell r="U12095"/>
        </row>
        <row r="12096">
          <cell r="U12096"/>
        </row>
        <row r="12097">
          <cell r="U12097"/>
        </row>
        <row r="12098">
          <cell r="U12098"/>
        </row>
        <row r="12099">
          <cell r="U12099"/>
        </row>
        <row r="12100">
          <cell r="U12100"/>
        </row>
        <row r="12101">
          <cell r="U12101"/>
        </row>
        <row r="12102">
          <cell r="U12102"/>
        </row>
        <row r="12103">
          <cell r="U12103"/>
        </row>
        <row r="12104">
          <cell r="U12104"/>
        </row>
        <row r="12105">
          <cell r="U12105"/>
        </row>
        <row r="12106">
          <cell r="U12106"/>
        </row>
        <row r="12107">
          <cell r="U12107"/>
        </row>
        <row r="12108">
          <cell r="U12108"/>
        </row>
        <row r="12109">
          <cell r="U12109"/>
        </row>
        <row r="12110">
          <cell r="U12110"/>
        </row>
        <row r="12111">
          <cell r="U12111"/>
        </row>
        <row r="12112">
          <cell r="U12112"/>
        </row>
        <row r="12113">
          <cell r="U12113"/>
        </row>
        <row r="12114">
          <cell r="U12114"/>
        </row>
        <row r="12115">
          <cell r="U12115"/>
        </row>
        <row r="12116">
          <cell r="U12116"/>
        </row>
        <row r="12117">
          <cell r="U12117"/>
        </row>
        <row r="12118">
          <cell r="U12118"/>
        </row>
        <row r="12119">
          <cell r="U12119"/>
        </row>
        <row r="12120">
          <cell r="U12120"/>
        </row>
        <row r="12121">
          <cell r="U12121"/>
        </row>
        <row r="12122">
          <cell r="U12122"/>
        </row>
        <row r="12123">
          <cell r="U12123"/>
        </row>
        <row r="12124">
          <cell r="U12124"/>
        </row>
        <row r="12125">
          <cell r="U12125"/>
        </row>
        <row r="12126">
          <cell r="U12126"/>
        </row>
        <row r="12127">
          <cell r="U12127"/>
        </row>
        <row r="12128">
          <cell r="U12128"/>
        </row>
        <row r="12129">
          <cell r="U12129"/>
        </row>
        <row r="12130">
          <cell r="U12130"/>
        </row>
        <row r="12131">
          <cell r="U12131"/>
        </row>
        <row r="12132">
          <cell r="U12132"/>
        </row>
        <row r="12133">
          <cell r="U12133"/>
        </row>
        <row r="12134">
          <cell r="U12134"/>
        </row>
        <row r="12135">
          <cell r="U12135"/>
        </row>
        <row r="12136">
          <cell r="U12136"/>
        </row>
        <row r="12137">
          <cell r="U12137"/>
        </row>
        <row r="12138">
          <cell r="U12138"/>
        </row>
        <row r="12139">
          <cell r="U12139"/>
        </row>
        <row r="12140">
          <cell r="U12140"/>
        </row>
        <row r="12141">
          <cell r="U12141"/>
        </row>
        <row r="12142">
          <cell r="U12142"/>
        </row>
        <row r="12143">
          <cell r="U12143"/>
        </row>
        <row r="12144">
          <cell r="U12144"/>
        </row>
        <row r="12145">
          <cell r="U12145"/>
        </row>
        <row r="12146">
          <cell r="U12146"/>
        </row>
        <row r="12147">
          <cell r="U12147"/>
        </row>
        <row r="12148">
          <cell r="U12148"/>
        </row>
        <row r="12149">
          <cell r="U12149"/>
        </row>
        <row r="12150">
          <cell r="U12150"/>
        </row>
        <row r="12151">
          <cell r="U12151"/>
        </row>
        <row r="12152">
          <cell r="U12152"/>
        </row>
        <row r="12153">
          <cell r="U12153"/>
        </row>
        <row r="12154">
          <cell r="U12154"/>
        </row>
        <row r="12155">
          <cell r="U12155"/>
        </row>
        <row r="12156">
          <cell r="U12156"/>
        </row>
        <row r="12157">
          <cell r="U12157"/>
        </row>
        <row r="12158">
          <cell r="U12158"/>
        </row>
        <row r="12159">
          <cell r="U12159"/>
        </row>
        <row r="12160">
          <cell r="U12160"/>
        </row>
        <row r="12161">
          <cell r="U12161"/>
        </row>
        <row r="12162">
          <cell r="U12162"/>
        </row>
        <row r="12163">
          <cell r="U12163"/>
        </row>
        <row r="12164">
          <cell r="U12164"/>
        </row>
        <row r="12165">
          <cell r="U12165"/>
        </row>
        <row r="12166">
          <cell r="U12166"/>
        </row>
        <row r="12167">
          <cell r="U12167"/>
        </row>
        <row r="12168">
          <cell r="U12168"/>
        </row>
        <row r="12169">
          <cell r="U12169"/>
        </row>
        <row r="12170">
          <cell r="U12170"/>
        </row>
        <row r="12171">
          <cell r="U12171"/>
        </row>
        <row r="12172">
          <cell r="U12172"/>
        </row>
        <row r="12173">
          <cell r="U12173"/>
        </row>
        <row r="12174">
          <cell r="U12174"/>
        </row>
        <row r="12175">
          <cell r="U12175"/>
        </row>
        <row r="12176">
          <cell r="U12176"/>
        </row>
        <row r="12177">
          <cell r="U12177"/>
        </row>
        <row r="12178">
          <cell r="U12178"/>
        </row>
        <row r="12179">
          <cell r="U12179"/>
        </row>
        <row r="12180">
          <cell r="U12180"/>
        </row>
        <row r="12181">
          <cell r="U12181"/>
        </row>
        <row r="12182">
          <cell r="U12182"/>
        </row>
        <row r="12183">
          <cell r="U12183"/>
        </row>
        <row r="12184">
          <cell r="U12184"/>
        </row>
        <row r="12185">
          <cell r="U12185"/>
        </row>
        <row r="12186">
          <cell r="U12186"/>
        </row>
        <row r="12187">
          <cell r="U12187"/>
        </row>
        <row r="12188">
          <cell r="U12188"/>
        </row>
        <row r="12189">
          <cell r="U12189"/>
        </row>
        <row r="12190">
          <cell r="U12190"/>
        </row>
        <row r="12191">
          <cell r="U12191"/>
        </row>
        <row r="12192">
          <cell r="U12192"/>
        </row>
        <row r="12193">
          <cell r="U12193"/>
        </row>
        <row r="12194">
          <cell r="U12194"/>
        </row>
        <row r="12195">
          <cell r="U12195"/>
        </row>
        <row r="12196">
          <cell r="U12196"/>
        </row>
        <row r="12197">
          <cell r="U12197"/>
        </row>
        <row r="12198">
          <cell r="U12198"/>
        </row>
        <row r="12199">
          <cell r="U12199"/>
        </row>
        <row r="12200">
          <cell r="U12200"/>
        </row>
        <row r="12201">
          <cell r="U12201"/>
        </row>
        <row r="12202">
          <cell r="U12202"/>
        </row>
        <row r="12203">
          <cell r="U12203"/>
        </row>
        <row r="12204">
          <cell r="U12204"/>
        </row>
        <row r="12205">
          <cell r="U12205"/>
        </row>
        <row r="12206">
          <cell r="U12206"/>
        </row>
        <row r="12207">
          <cell r="U12207"/>
        </row>
        <row r="12208">
          <cell r="U12208"/>
        </row>
        <row r="12209">
          <cell r="U12209"/>
        </row>
        <row r="12210">
          <cell r="U12210"/>
        </row>
        <row r="12211">
          <cell r="U12211"/>
        </row>
        <row r="12212">
          <cell r="U12212"/>
        </row>
        <row r="12213">
          <cell r="U12213"/>
        </row>
        <row r="12214">
          <cell r="U12214"/>
        </row>
        <row r="12215">
          <cell r="U12215"/>
        </row>
        <row r="12216">
          <cell r="U12216"/>
        </row>
        <row r="12217">
          <cell r="U12217"/>
        </row>
        <row r="12218">
          <cell r="U12218"/>
        </row>
        <row r="12219">
          <cell r="U12219"/>
        </row>
        <row r="12220">
          <cell r="U12220"/>
        </row>
        <row r="12221">
          <cell r="U12221"/>
        </row>
        <row r="12222">
          <cell r="U12222"/>
        </row>
        <row r="12223">
          <cell r="U12223"/>
        </row>
        <row r="12224">
          <cell r="U12224"/>
        </row>
        <row r="12225">
          <cell r="U12225"/>
        </row>
        <row r="12226">
          <cell r="U12226"/>
        </row>
        <row r="12227">
          <cell r="U12227"/>
        </row>
        <row r="12228">
          <cell r="U12228"/>
        </row>
        <row r="12229">
          <cell r="U12229"/>
        </row>
        <row r="12230">
          <cell r="U12230"/>
        </row>
        <row r="12231">
          <cell r="U12231"/>
        </row>
        <row r="12232">
          <cell r="U12232"/>
        </row>
        <row r="12233">
          <cell r="U12233"/>
        </row>
        <row r="12234">
          <cell r="U12234"/>
        </row>
        <row r="12235">
          <cell r="U12235"/>
        </row>
        <row r="12236">
          <cell r="U12236"/>
        </row>
        <row r="12237">
          <cell r="U12237"/>
        </row>
        <row r="12238">
          <cell r="U12238"/>
        </row>
        <row r="12239">
          <cell r="U12239"/>
        </row>
        <row r="12240">
          <cell r="U12240"/>
        </row>
        <row r="12241">
          <cell r="U12241"/>
        </row>
        <row r="12242">
          <cell r="U12242"/>
        </row>
        <row r="12243">
          <cell r="U12243"/>
        </row>
        <row r="12244">
          <cell r="U12244"/>
        </row>
        <row r="12245">
          <cell r="U12245"/>
        </row>
        <row r="12246">
          <cell r="U12246"/>
        </row>
        <row r="12247">
          <cell r="U12247"/>
        </row>
        <row r="12248">
          <cell r="U12248"/>
        </row>
        <row r="12249">
          <cell r="U12249"/>
        </row>
        <row r="12250">
          <cell r="U12250"/>
        </row>
        <row r="12251">
          <cell r="U12251"/>
        </row>
        <row r="12252">
          <cell r="U12252"/>
        </row>
        <row r="12253">
          <cell r="U12253"/>
        </row>
        <row r="12254">
          <cell r="U12254"/>
        </row>
        <row r="12255">
          <cell r="U12255"/>
        </row>
        <row r="12256">
          <cell r="U12256"/>
        </row>
        <row r="12257">
          <cell r="U12257"/>
        </row>
        <row r="12258">
          <cell r="U12258"/>
        </row>
        <row r="12259">
          <cell r="U12259"/>
        </row>
        <row r="12260">
          <cell r="U12260"/>
        </row>
        <row r="12261">
          <cell r="U12261"/>
        </row>
        <row r="12262">
          <cell r="U12262"/>
        </row>
        <row r="12263">
          <cell r="U12263"/>
        </row>
        <row r="12264">
          <cell r="U12264"/>
        </row>
        <row r="12265">
          <cell r="U12265"/>
        </row>
        <row r="12266">
          <cell r="U12266"/>
        </row>
        <row r="12267">
          <cell r="U12267"/>
        </row>
        <row r="12268">
          <cell r="U12268"/>
        </row>
        <row r="12269">
          <cell r="U12269"/>
        </row>
        <row r="12270">
          <cell r="U12270"/>
        </row>
        <row r="12271">
          <cell r="U12271"/>
        </row>
        <row r="12272">
          <cell r="U12272"/>
        </row>
        <row r="12273">
          <cell r="U12273"/>
        </row>
        <row r="12274">
          <cell r="U12274"/>
        </row>
        <row r="12275">
          <cell r="U12275"/>
        </row>
        <row r="12276">
          <cell r="U12276"/>
        </row>
        <row r="12277">
          <cell r="U12277"/>
        </row>
        <row r="12278">
          <cell r="U12278"/>
        </row>
        <row r="12279">
          <cell r="U12279"/>
        </row>
        <row r="12280">
          <cell r="U12280"/>
        </row>
        <row r="12281">
          <cell r="U12281"/>
        </row>
        <row r="12282">
          <cell r="U12282"/>
        </row>
        <row r="12283">
          <cell r="U12283"/>
        </row>
        <row r="12284">
          <cell r="U12284"/>
        </row>
        <row r="12285">
          <cell r="U12285"/>
        </row>
        <row r="12286">
          <cell r="U12286"/>
        </row>
        <row r="12287">
          <cell r="U12287"/>
        </row>
        <row r="12288">
          <cell r="U12288"/>
        </row>
        <row r="12289">
          <cell r="U12289"/>
        </row>
        <row r="12290">
          <cell r="U12290"/>
        </row>
        <row r="12291">
          <cell r="U12291"/>
        </row>
        <row r="12292">
          <cell r="U12292"/>
        </row>
        <row r="12293">
          <cell r="U12293"/>
        </row>
        <row r="12294">
          <cell r="U12294"/>
        </row>
        <row r="12295">
          <cell r="U12295"/>
        </row>
        <row r="12296">
          <cell r="U12296"/>
        </row>
        <row r="12297">
          <cell r="U12297"/>
        </row>
        <row r="12298">
          <cell r="U12298"/>
        </row>
        <row r="12299">
          <cell r="U12299"/>
        </row>
        <row r="12300">
          <cell r="U12300"/>
        </row>
        <row r="12301">
          <cell r="U12301"/>
        </row>
        <row r="12302">
          <cell r="U12302"/>
        </row>
        <row r="12303">
          <cell r="U12303"/>
        </row>
        <row r="12304">
          <cell r="U12304"/>
        </row>
        <row r="12305">
          <cell r="U12305"/>
        </row>
        <row r="12306">
          <cell r="U12306"/>
        </row>
        <row r="12307">
          <cell r="U12307"/>
        </row>
        <row r="12308">
          <cell r="U12308"/>
        </row>
        <row r="12309">
          <cell r="U12309"/>
        </row>
        <row r="12310">
          <cell r="U12310"/>
        </row>
        <row r="12311">
          <cell r="U12311"/>
        </row>
        <row r="12312">
          <cell r="U12312"/>
        </row>
        <row r="12313">
          <cell r="U12313"/>
        </row>
        <row r="12314">
          <cell r="U12314"/>
        </row>
        <row r="12315">
          <cell r="U12315"/>
        </row>
        <row r="12316">
          <cell r="U12316"/>
        </row>
        <row r="12317">
          <cell r="U12317"/>
        </row>
        <row r="12318">
          <cell r="U12318"/>
        </row>
        <row r="12319">
          <cell r="U12319"/>
        </row>
        <row r="12320">
          <cell r="U12320"/>
        </row>
        <row r="12321">
          <cell r="U12321"/>
        </row>
        <row r="12322">
          <cell r="U12322"/>
        </row>
        <row r="12323">
          <cell r="U12323"/>
        </row>
        <row r="12324">
          <cell r="U12324"/>
        </row>
        <row r="12325">
          <cell r="U12325"/>
        </row>
        <row r="12326">
          <cell r="U12326"/>
        </row>
        <row r="12327">
          <cell r="U12327"/>
        </row>
        <row r="12328">
          <cell r="U12328"/>
        </row>
        <row r="12329">
          <cell r="U12329"/>
        </row>
        <row r="12330">
          <cell r="U12330"/>
        </row>
        <row r="12331">
          <cell r="U12331"/>
        </row>
        <row r="12332">
          <cell r="U12332"/>
        </row>
        <row r="12333">
          <cell r="U12333"/>
        </row>
        <row r="12334">
          <cell r="U12334"/>
        </row>
        <row r="12335">
          <cell r="U12335"/>
        </row>
        <row r="12336">
          <cell r="U12336"/>
        </row>
        <row r="12337">
          <cell r="U12337"/>
        </row>
        <row r="12338">
          <cell r="U12338"/>
        </row>
        <row r="12339">
          <cell r="U12339"/>
        </row>
        <row r="12340">
          <cell r="U12340"/>
        </row>
        <row r="12341">
          <cell r="U12341"/>
        </row>
        <row r="12342">
          <cell r="U12342"/>
        </row>
        <row r="12343">
          <cell r="U12343"/>
        </row>
        <row r="12344">
          <cell r="U12344"/>
        </row>
        <row r="12345">
          <cell r="U12345"/>
        </row>
        <row r="12346">
          <cell r="U12346"/>
        </row>
        <row r="12347">
          <cell r="U12347"/>
        </row>
        <row r="12348">
          <cell r="U12348"/>
        </row>
        <row r="12349">
          <cell r="U12349"/>
        </row>
        <row r="12350">
          <cell r="U12350"/>
        </row>
        <row r="12351">
          <cell r="U12351"/>
        </row>
        <row r="12352">
          <cell r="U12352"/>
        </row>
        <row r="12353">
          <cell r="U12353"/>
        </row>
        <row r="12354">
          <cell r="U12354"/>
        </row>
        <row r="12355">
          <cell r="U12355"/>
        </row>
        <row r="12356">
          <cell r="U12356"/>
        </row>
        <row r="12357">
          <cell r="U12357"/>
        </row>
        <row r="12358">
          <cell r="U12358"/>
        </row>
        <row r="12359">
          <cell r="U12359"/>
        </row>
        <row r="12360">
          <cell r="U12360"/>
        </row>
        <row r="12361">
          <cell r="U12361"/>
        </row>
        <row r="12362">
          <cell r="U12362"/>
        </row>
        <row r="12363">
          <cell r="U12363"/>
        </row>
        <row r="12364">
          <cell r="U12364"/>
        </row>
        <row r="12365">
          <cell r="U12365"/>
        </row>
        <row r="12366">
          <cell r="U12366"/>
        </row>
        <row r="12367">
          <cell r="U12367"/>
        </row>
        <row r="12368">
          <cell r="U12368"/>
        </row>
        <row r="12369">
          <cell r="U12369"/>
        </row>
        <row r="12370">
          <cell r="U12370"/>
        </row>
        <row r="12371">
          <cell r="U12371"/>
        </row>
        <row r="12372">
          <cell r="U12372"/>
        </row>
        <row r="12373">
          <cell r="U12373"/>
        </row>
        <row r="12374">
          <cell r="U12374"/>
        </row>
        <row r="12375">
          <cell r="U12375"/>
        </row>
        <row r="12376">
          <cell r="U12376"/>
        </row>
        <row r="12377">
          <cell r="U12377"/>
        </row>
        <row r="12378">
          <cell r="U12378"/>
        </row>
        <row r="12379">
          <cell r="U12379"/>
        </row>
        <row r="12380">
          <cell r="U12380"/>
        </row>
        <row r="12381">
          <cell r="U12381"/>
        </row>
        <row r="12382">
          <cell r="U12382"/>
        </row>
        <row r="12383">
          <cell r="U12383"/>
        </row>
        <row r="12384">
          <cell r="U12384"/>
        </row>
        <row r="12385">
          <cell r="U12385"/>
        </row>
        <row r="12386">
          <cell r="U12386"/>
        </row>
        <row r="12387">
          <cell r="U12387"/>
        </row>
        <row r="12388">
          <cell r="U12388"/>
        </row>
        <row r="12389">
          <cell r="U12389"/>
        </row>
        <row r="12390">
          <cell r="U12390"/>
        </row>
        <row r="12391">
          <cell r="U12391"/>
        </row>
        <row r="12392">
          <cell r="U12392"/>
        </row>
        <row r="12393">
          <cell r="U12393"/>
        </row>
        <row r="12394">
          <cell r="U12394"/>
        </row>
        <row r="12395">
          <cell r="U12395"/>
        </row>
        <row r="12396">
          <cell r="U12396"/>
        </row>
        <row r="12397">
          <cell r="U12397"/>
        </row>
        <row r="12398">
          <cell r="U12398"/>
        </row>
        <row r="12399">
          <cell r="U12399"/>
        </row>
        <row r="12400">
          <cell r="U12400"/>
        </row>
        <row r="12401">
          <cell r="U12401"/>
        </row>
        <row r="12402">
          <cell r="U12402"/>
        </row>
        <row r="12403">
          <cell r="U12403"/>
        </row>
        <row r="12404">
          <cell r="U12404"/>
        </row>
        <row r="12405">
          <cell r="U12405"/>
        </row>
        <row r="12406">
          <cell r="U12406"/>
        </row>
        <row r="12407">
          <cell r="U12407"/>
        </row>
        <row r="12408">
          <cell r="U12408"/>
        </row>
        <row r="12409">
          <cell r="U12409"/>
        </row>
        <row r="12410">
          <cell r="U12410"/>
        </row>
        <row r="12411">
          <cell r="U12411"/>
        </row>
        <row r="12412">
          <cell r="U12412"/>
        </row>
        <row r="12413">
          <cell r="U12413"/>
        </row>
        <row r="12414">
          <cell r="U12414"/>
        </row>
        <row r="12415">
          <cell r="U12415"/>
        </row>
        <row r="12416">
          <cell r="U12416"/>
        </row>
        <row r="12417">
          <cell r="U12417"/>
        </row>
        <row r="12418">
          <cell r="U12418"/>
        </row>
        <row r="12419">
          <cell r="U12419"/>
        </row>
        <row r="12420">
          <cell r="U12420"/>
        </row>
        <row r="12421">
          <cell r="U12421"/>
        </row>
        <row r="12422">
          <cell r="U12422"/>
        </row>
        <row r="12423">
          <cell r="U12423"/>
        </row>
        <row r="12424">
          <cell r="U12424"/>
        </row>
        <row r="12425">
          <cell r="U12425"/>
        </row>
        <row r="12426">
          <cell r="U12426"/>
        </row>
        <row r="12427">
          <cell r="U12427"/>
        </row>
        <row r="12428">
          <cell r="U12428"/>
        </row>
        <row r="12429">
          <cell r="U12429"/>
        </row>
        <row r="12430">
          <cell r="U12430"/>
        </row>
        <row r="12431">
          <cell r="U12431"/>
        </row>
        <row r="12432">
          <cell r="U12432"/>
        </row>
        <row r="12433">
          <cell r="U12433"/>
        </row>
        <row r="12434">
          <cell r="U12434"/>
        </row>
        <row r="12435">
          <cell r="U12435"/>
        </row>
        <row r="12436">
          <cell r="U12436"/>
        </row>
        <row r="12437">
          <cell r="U12437"/>
        </row>
        <row r="12438">
          <cell r="U12438"/>
        </row>
        <row r="12439">
          <cell r="U12439"/>
        </row>
        <row r="12440">
          <cell r="U12440"/>
        </row>
        <row r="12441">
          <cell r="U12441"/>
        </row>
        <row r="12442">
          <cell r="U12442"/>
        </row>
        <row r="12443">
          <cell r="U12443"/>
        </row>
        <row r="12444">
          <cell r="U12444"/>
        </row>
        <row r="12445">
          <cell r="U12445"/>
        </row>
        <row r="12446">
          <cell r="U12446"/>
        </row>
        <row r="12447">
          <cell r="U12447"/>
        </row>
        <row r="12448">
          <cell r="U12448"/>
        </row>
        <row r="12449">
          <cell r="U12449"/>
        </row>
        <row r="12450">
          <cell r="U12450"/>
        </row>
        <row r="12451">
          <cell r="U12451"/>
        </row>
        <row r="12452">
          <cell r="U12452"/>
        </row>
        <row r="12453">
          <cell r="U12453"/>
        </row>
        <row r="12454">
          <cell r="U12454"/>
        </row>
        <row r="12455">
          <cell r="U12455"/>
        </row>
        <row r="12456">
          <cell r="U12456"/>
        </row>
        <row r="12457">
          <cell r="U12457"/>
        </row>
        <row r="12458">
          <cell r="U12458"/>
        </row>
        <row r="12459">
          <cell r="U12459"/>
        </row>
        <row r="12460">
          <cell r="U12460"/>
        </row>
        <row r="12461">
          <cell r="U12461"/>
        </row>
        <row r="12462">
          <cell r="U12462"/>
        </row>
        <row r="12463">
          <cell r="U12463"/>
        </row>
        <row r="12464">
          <cell r="U12464"/>
        </row>
        <row r="12465">
          <cell r="U12465"/>
        </row>
        <row r="12466">
          <cell r="U12466"/>
        </row>
        <row r="12467">
          <cell r="U12467"/>
        </row>
        <row r="12468">
          <cell r="U12468"/>
        </row>
        <row r="12469">
          <cell r="U12469"/>
        </row>
        <row r="12470">
          <cell r="U12470"/>
        </row>
        <row r="12471">
          <cell r="U12471"/>
        </row>
        <row r="12472">
          <cell r="U12472"/>
        </row>
        <row r="12473">
          <cell r="U12473"/>
        </row>
        <row r="12474">
          <cell r="U12474"/>
        </row>
        <row r="12475">
          <cell r="U12475"/>
        </row>
        <row r="12476">
          <cell r="U12476"/>
        </row>
        <row r="12477">
          <cell r="U12477"/>
        </row>
        <row r="12478">
          <cell r="U12478"/>
        </row>
        <row r="12479">
          <cell r="U12479"/>
        </row>
        <row r="12480">
          <cell r="U12480"/>
        </row>
        <row r="12481">
          <cell r="U12481"/>
        </row>
        <row r="12482">
          <cell r="U12482"/>
        </row>
        <row r="12483">
          <cell r="U12483"/>
        </row>
        <row r="12484">
          <cell r="U12484"/>
        </row>
        <row r="12485">
          <cell r="U12485"/>
        </row>
        <row r="12486">
          <cell r="U12486"/>
        </row>
        <row r="12487">
          <cell r="U12487"/>
        </row>
        <row r="12488">
          <cell r="U12488"/>
        </row>
        <row r="12489">
          <cell r="U12489"/>
        </row>
        <row r="12490">
          <cell r="U12490"/>
        </row>
        <row r="12491">
          <cell r="U12491"/>
        </row>
        <row r="12492">
          <cell r="U12492"/>
        </row>
        <row r="12493">
          <cell r="U12493"/>
        </row>
        <row r="12494">
          <cell r="U12494"/>
        </row>
        <row r="12495">
          <cell r="U12495"/>
        </row>
        <row r="12496">
          <cell r="U12496"/>
        </row>
        <row r="12497">
          <cell r="U12497"/>
        </row>
        <row r="12498">
          <cell r="U12498"/>
        </row>
        <row r="12499">
          <cell r="U12499"/>
        </row>
        <row r="12500">
          <cell r="U12500"/>
        </row>
        <row r="12501">
          <cell r="U12501"/>
        </row>
        <row r="12502">
          <cell r="U12502"/>
        </row>
        <row r="12503">
          <cell r="U12503"/>
        </row>
        <row r="12504">
          <cell r="U12504"/>
        </row>
        <row r="12505">
          <cell r="U12505"/>
        </row>
        <row r="12506">
          <cell r="U12506"/>
        </row>
        <row r="12507">
          <cell r="U12507"/>
        </row>
        <row r="12508">
          <cell r="U12508"/>
        </row>
        <row r="12509">
          <cell r="U12509"/>
        </row>
        <row r="12510">
          <cell r="U12510"/>
        </row>
        <row r="12511">
          <cell r="U12511"/>
        </row>
        <row r="12512">
          <cell r="U12512"/>
        </row>
        <row r="12513">
          <cell r="U12513"/>
        </row>
        <row r="12514">
          <cell r="U12514"/>
        </row>
        <row r="12515">
          <cell r="U12515"/>
        </row>
        <row r="12516">
          <cell r="U12516"/>
        </row>
        <row r="12517">
          <cell r="U12517"/>
        </row>
        <row r="12518">
          <cell r="U12518"/>
        </row>
        <row r="12519">
          <cell r="U12519"/>
        </row>
        <row r="12520">
          <cell r="U12520"/>
        </row>
        <row r="12521">
          <cell r="U12521"/>
        </row>
        <row r="12522">
          <cell r="U12522"/>
        </row>
        <row r="12523">
          <cell r="U12523"/>
        </row>
        <row r="12524">
          <cell r="U12524"/>
        </row>
        <row r="12525">
          <cell r="U12525"/>
        </row>
        <row r="12526">
          <cell r="U12526"/>
        </row>
        <row r="12527">
          <cell r="U12527"/>
        </row>
        <row r="12528">
          <cell r="U12528"/>
        </row>
        <row r="12529">
          <cell r="U12529"/>
        </row>
        <row r="12530">
          <cell r="U12530"/>
        </row>
        <row r="12531">
          <cell r="U12531"/>
        </row>
        <row r="12532">
          <cell r="U12532"/>
        </row>
        <row r="12533">
          <cell r="U12533"/>
        </row>
        <row r="12534">
          <cell r="U12534"/>
        </row>
        <row r="12535">
          <cell r="U12535"/>
        </row>
        <row r="12536">
          <cell r="U12536"/>
        </row>
        <row r="12537">
          <cell r="U12537"/>
        </row>
        <row r="12538">
          <cell r="U12538"/>
        </row>
        <row r="12539">
          <cell r="U12539"/>
        </row>
        <row r="12540">
          <cell r="U12540"/>
        </row>
        <row r="12541">
          <cell r="U12541"/>
        </row>
        <row r="12542">
          <cell r="U12542"/>
        </row>
        <row r="12543">
          <cell r="U12543"/>
        </row>
        <row r="12544">
          <cell r="U12544"/>
        </row>
        <row r="12545">
          <cell r="U12545"/>
        </row>
        <row r="12546">
          <cell r="U12546"/>
        </row>
        <row r="12547">
          <cell r="U12547"/>
        </row>
        <row r="12548">
          <cell r="U12548"/>
        </row>
        <row r="12549">
          <cell r="U12549"/>
        </row>
        <row r="12550">
          <cell r="U12550"/>
        </row>
        <row r="12551">
          <cell r="U12551"/>
        </row>
        <row r="12552">
          <cell r="U12552"/>
        </row>
        <row r="12553">
          <cell r="U12553"/>
        </row>
        <row r="12554">
          <cell r="U12554"/>
        </row>
        <row r="12555">
          <cell r="U12555"/>
        </row>
        <row r="12556">
          <cell r="U12556"/>
        </row>
        <row r="12557">
          <cell r="U12557"/>
        </row>
        <row r="12558">
          <cell r="U12558"/>
        </row>
        <row r="12559">
          <cell r="U12559"/>
        </row>
        <row r="12560">
          <cell r="U12560"/>
        </row>
        <row r="12561">
          <cell r="U12561"/>
        </row>
        <row r="12562">
          <cell r="U12562"/>
        </row>
        <row r="12563">
          <cell r="U12563"/>
        </row>
        <row r="12564">
          <cell r="U12564"/>
        </row>
        <row r="12565">
          <cell r="U12565"/>
        </row>
        <row r="12566">
          <cell r="U12566"/>
        </row>
        <row r="12567">
          <cell r="U12567"/>
        </row>
        <row r="12568">
          <cell r="U12568"/>
        </row>
        <row r="12569">
          <cell r="U12569"/>
        </row>
        <row r="12570">
          <cell r="U12570"/>
        </row>
        <row r="12571">
          <cell r="U12571"/>
        </row>
        <row r="12572">
          <cell r="U12572"/>
        </row>
        <row r="12573">
          <cell r="U12573"/>
        </row>
        <row r="12574">
          <cell r="U12574"/>
        </row>
        <row r="12575">
          <cell r="U12575"/>
        </row>
        <row r="12576">
          <cell r="U12576"/>
        </row>
        <row r="12577">
          <cell r="U12577"/>
        </row>
        <row r="12578">
          <cell r="U12578"/>
        </row>
        <row r="12579">
          <cell r="U12579"/>
        </row>
        <row r="12580">
          <cell r="U12580"/>
        </row>
        <row r="12581">
          <cell r="U12581"/>
        </row>
        <row r="12582">
          <cell r="U12582"/>
        </row>
        <row r="12583">
          <cell r="U12583"/>
        </row>
        <row r="12584">
          <cell r="U12584"/>
        </row>
        <row r="12585">
          <cell r="U12585"/>
        </row>
        <row r="12586">
          <cell r="U12586"/>
        </row>
        <row r="12587">
          <cell r="U12587"/>
        </row>
        <row r="12588">
          <cell r="U12588"/>
        </row>
        <row r="12589">
          <cell r="U12589"/>
        </row>
        <row r="12590">
          <cell r="U12590"/>
        </row>
        <row r="12591">
          <cell r="U12591"/>
        </row>
        <row r="12592">
          <cell r="U12592"/>
        </row>
        <row r="12593">
          <cell r="U12593"/>
        </row>
        <row r="12594">
          <cell r="U12594"/>
        </row>
        <row r="12595">
          <cell r="U12595"/>
        </row>
        <row r="12596">
          <cell r="U12596"/>
        </row>
        <row r="12597">
          <cell r="U12597"/>
        </row>
        <row r="12598">
          <cell r="U12598"/>
        </row>
        <row r="12599">
          <cell r="U12599"/>
        </row>
        <row r="12600">
          <cell r="U12600"/>
        </row>
        <row r="12601">
          <cell r="U12601"/>
        </row>
        <row r="12602">
          <cell r="U12602"/>
        </row>
        <row r="12603">
          <cell r="U12603"/>
        </row>
        <row r="12604">
          <cell r="U12604"/>
        </row>
        <row r="12605">
          <cell r="U12605"/>
        </row>
        <row r="12606">
          <cell r="U12606"/>
        </row>
        <row r="12607">
          <cell r="U12607"/>
        </row>
        <row r="12608">
          <cell r="U12608"/>
        </row>
        <row r="12609">
          <cell r="U12609"/>
        </row>
        <row r="12610">
          <cell r="U12610"/>
        </row>
        <row r="12611">
          <cell r="U12611"/>
        </row>
        <row r="12612">
          <cell r="U12612"/>
        </row>
        <row r="12613">
          <cell r="U12613"/>
        </row>
        <row r="12614">
          <cell r="U12614"/>
        </row>
        <row r="12615">
          <cell r="U12615"/>
        </row>
        <row r="12616">
          <cell r="U12616"/>
        </row>
        <row r="12617">
          <cell r="U12617"/>
        </row>
        <row r="12618">
          <cell r="U12618"/>
        </row>
        <row r="12619">
          <cell r="U12619"/>
        </row>
        <row r="12620">
          <cell r="U12620"/>
        </row>
        <row r="12621">
          <cell r="U12621"/>
        </row>
        <row r="12622">
          <cell r="U12622"/>
        </row>
        <row r="12623">
          <cell r="U12623"/>
        </row>
        <row r="12624">
          <cell r="U12624"/>
        </row>
        <row r="12625">
          <cell r="U12625"/>
        </row>
        <row r="12626">
          <cell r="U12626"/>
        </row>
        <row r="12627">
          <cell r="U12627"/>
        </row>
        <row r="12628">
          <cell r="U12628"/>
        </row>
        <row r="12629">
          <cell r="U12629"/>
        </row>
        <row r="12630">
          <cell r="U12630"/>
        </row>
        <row r="12631">
          <cell r="U12631"/>
        </row>
        <row r="12632">
          <cell r="U12632"/>
        </row>
        <row r="12633">
          <cell r="U12633"/>
        </row>
        <row r="12634">
          <cell r="U12634"/>
        </row>
        <row r="12635">
          <cell r="U12635"/>
        </row>
        <row r="12636">
          <cell r="U12636"/>
        </row>
        <row r="12637">
          <cell r="U12637"/>
        </row>
        <row r="12638">
          <cell r="U12638"/>
        </row>
        <row r="12639">
          <cell r="U12639"/>
        </row>
        <row r="12640">
          <cell r="U12640"/>
        </row>
        <row r="12641">
          <cell r="U12641"/>
        </row>
        <row r="12642">
          <cell r="U12642"/>
        </row>
        <row r="12643">
          <cell r="U12643"/>
        </row>
        <row r="12644">
          <cell r="U12644"/>
        </row>
        <row r="12645">
          <cell r="U12645"/>
        </row>
        <row r="12646">
          <cell r="U12646"/>
        </row>
        <row r="12647">
          <cell r="U12647"/>
        </row>
        <row r="12648">
          <cell r="U12648"/>
        </row>
        <row r="12649">
          <cell r="U12649"/>
        </row>
        <row r="12650">
          <cell r="U12650"/>
        </row>
        <row r="12651">
          <cell r="U12651"/>
        </row>
        <row r="12652">
          <cell r="U12652"/>
        </row>
        <row r="12653">
          <cell r="U12653"/>
        </row>
        <row r="12654">
          <cell r="U12654"/>
        </row>
        <row r="12655">
          <cell r="U12655"/>
        </row>
        <row r="12656">
          <cell r="U12656"/>
        </row>
        <row r="12657">
          <cell r="U12657"/>
        </row>
        <row r="12658">
          <cell r="U12658"/>
        </row>
        <row r="12659">
          <cell r="U12659"/>
        </row>
        <row r="12660">
          <cell r="U12660"/>
        </row>
        <row r="12661">
          <cell r="U12661"/>
        </row>
        <row r="12662">
          <cell r="U12662"/>
        </row>
        <row r="12663">
          <cell r="U12663"/>
        </row>
        <row r="12664">
          <cell r="U12664"/>
        </row>
        <row r="12665">
          <cell r="U12665"/>
        </row>
        <row r="12666">
          <cell r="U12666"/>
        </row>
        <row r="12667">
          <cell r="U12667"/>
        </row>
        <row r="12668">
          <cell r="U12668"/>
        </row>
        <row r="12669">
          <cell r="U12669"/>
        </row>
        <row r="12670">
          <cell r="U12670"/>
        </row>
        <row r="12671">
          <cell r="U12671"/>
        </row>
        <row r="12672">
          <cell r="U12672"/>
        </row>
        <row r="12673">
          <cell r="U12673"/>
        </row>
        <row r="12674">
          <cell r="U12674"/>
        </row>
        <row r="12675">
          <cell r="U12675"/>
        </row>
        <row r="12676">
          <cell r="U12676"/>
        </row>
        <row r="12677">
          <cell r="U12677"/>
        </row>
        <row r="12678">
          <cell r="U12678"/>
        </row>
        <row r="12679">
          <cell r="U12679"/>
        </row>
        <row r="12680">
          <cell r="U12680"/>
        </row>
        <row r="12681">
          <cell r="U12681"/>
        </row>
        <row r="12682">
          <cell r="U12682"/>
        </row>
        <row r="12683">
          <cell r="U12683"/>
        </row>
        <row r="12684">
          <cell r="U12684"/>
        </row>
        <row r="12685">
          <cell r="U12685"/>
        </row>
        <row r="12686">
          <cell r="U12686"/>
        </row>
        <row r="12687">
          <cell r="U12687"/>
        </row>
        <row r="12688">
          <cell r="U12688"/>
        </row>
        <row r="12689">
          <cell r="U12689"/>
        </row>
        <row r="12690">
          <cell r="U12690"/>
        </row>
        <row r="12691">
          <cell r="U12691"/>
        </row>
        <row r="12692">
          <cell r="U12692"/>
        </row>
        <row r="12693">
          <cell r="U12693"/>
        </row>
        <row r="12694">
          <cell r="U12694"/>
        </row>
        <row r="12695">
          <cell r="U12695"/>
        </row>
        <row r="12696">
          <cell r="U12696"/>
        </row>
        <row r="12697">
          <cell r="U12697"/>
        </row>
        <row r="12698">
          <cell r="U12698"/>
        </row>
        <row r="12699">
          <cell r="U12699"/>
        </row>
        <row r="12700">
          <cell r="U12700"/>
        </row>
        <row r="12701">
          <cell r="U12701"/>
        </row>
        <row r="12702">
          <cell r="U12702"/>
        </row>
        <row r="12703">
          <cell r="U12703"/>
        </row>
        <row r="12704">
          <cell r="U12704"/>
        </row>
        <row r="12705">
          <cell r="U12705"/>
        </row>
        <row r="12706">
          <cell r="U12706"/>
        </row>
        <row r="12707">
          <cell r="U12707"/>
        </row>
        <row r="12708">
          <cell r="U12708"/>
        </row>
        <row r="12709">
          <cell r="U12709"/>
        </row>
        <row r="12710">
          <cell r="U12710"/>
        </row>
        <row r="12711">
          <cell r="U12711"/>
        </row>
        <row r="12712">
          <cell r="U12712"/>
        </row>
        <row r="12713">
          <cell r="U12713"/>
        </row>
        <row r="12714">
          <cell r="U12714"/>
        </row>
        <row r="12715">
          <cell r="U12715"/>
        </row>
        <row r="12716">
          <cell r="U12716"/>
        </row>
        <row r="12717">
          <cell r="U12717"/>
        </row>
        <row r="12718">
          <cell r="U12718"/>
        </row>
        <row r="12719">
          <cell r="U12719"/>
        </row>
        <row r="12720">
          <cell r="U12720"/>
        </row>
        <row r="12721">
          <cell r="U12721"/>
        </row>
        <row r="12722">
          <cell r="U12722"/>
        </row>
        <row r="12723">
          <cell r="U12723"/>
        </row>
        <row r="12724">
          <cell r="U12724"/>
        </row>
        <row r="12725">
          <cell r="U12725"/>
        </row>
        <row r="12726">
          <cell r="U12726"/>
        </row>
        <row r="12727">
          <cell r="U12727"/>
        </row>
        <row r="12728">
          <cell r="U12728"/>
        </row>
        <row r="12729">
          <cell r="U12729"/>
        </row>
        <row r="12730">
          <cell r="U12730"/>
        </row>
        <row r="12731">
          <cell r="U12731"/>
        </row>
        <row r="12732">
          <cell r="U12732"/>
        </row>
        <row r="12733">
          <cell r="U12733"/>
        </row>
        <row r="12734">
          <cell r="U12734"/>
        </row>
        <row r="12735">
          <cell r="U12735"/>
        </row>
        <row r="12736">
          <cell r="U12736"/>
        </row>
        <row r="12737">
          <cell r="U12737"/>
        </row>
        <row r="12738">
          <cell r="U12738"/>
        </row>
        <row r="12739">
          <cell r="U12739"/>
        </row>
        <row r="12740">
          <cell r="U12740"/>
        </row>
        <row r="12741">
          <cell r="U12741"/>
        </row>
        <row r="12742">
          <cell r="U12742"/>
        </row>
        <row r="12743">
          <cell r="U12743"/>
        </row>
        <row r="12744">
          <cell r="U12744"/>
        </row>
        <row r="12745">
          <cell r="U12745"/>
        </row>
        <row r="12746">
          <cell r="U12746"/>
        </row>
        <row r="12747">
          <cell r="U12747"/>
        </row>
        <row r="12748">
          <cell r="U12748"/>
        </row>
        <row r="12749">
          <cell r="U12749"/>
        </row>
        <row r="12750">
          <cell r="U12750"/>
        </row>
        <row r="12751">
          <cell r="U12751"/>
        </row>
        <row r="12752">
          <cell r="U12752"/>
        </row>
        <row r="12753">
          <cell r="U12753"/>
        </row>
        <row r="12754">
          <cell r="U12754"/>
        </row>
        <row r="12755">
          <cell r="U12755"/>
        </row>
        <row r="12756">
          <cell r="U12756"/>
        </row>
        <row r="12757">
          <cell r="U12757"/>
        </row>
        <row r="12758">
          <cell r="U12758"/>
        </row>
        <row r="12759">
          <cell r="U12759"/>
        </row>
        <row r="12760">
          <cell r="U12760"/>
        </row>
        <row r="12761">
          <cell r="U12761"/>
        </row>
        <row r="12762">
          <cell r="U12762"/>
        </row>
        <row r="12763">
          <cell r="U12763"/>
        </row>
        <row r="12764">
          <cell r="U12764"/>
        </row>
        <row r="12765">
          <cell r="U12765"/>
        </row>
        <row r="12766">
          <cell r="U12766"/>
        </row>
        <row r="12767">
          <cell r="U12767"/>
        </row>
        <row r="12768">
          <cell r="U12768"/>
        </row>
        <row r="12769">
          <cell r="U12769"/>
        </row>
        <row r="12770">
          <cell r="U12770"/>
        </row>
        <row r="12771">
          <cell r="U12771"/>
        </row>
        <row r="12772">
          <cell r="U12772"/>
        </row>
        <row r="12773">
          <cell r="U12773"/>
        </row>
        <row r="12774">
          <cell r="U12774"/>
        </row>
        <row r="12775">
          <cell r="U12775"/>
        </row>
        <row r="12776">
          <cell r="U12776"/>
        </row>
        <row r="12777">
          <cell r="U12777"/>
        </row>
        <row r="12778">
          <cell r="U12778"/>
        </row>
        <row r="12779">
          <cell r="U12779"/>
        </row>
        <row r="12780">
          <cell r="U12780"/>
        </row>
        <row r="12781">
          <cell r="U12781"/>
        </row>
        <row r="12782">
          <cell r="U12782"/>
        </row>
        <row r="12783">
          <cell r="U12783"/>
        </row>
        <row r="12784">
          <cell r="U12784"/>
        </row>
        <row r="12785">
          <cell r="U12785"/>
        </row>
        <row r="12786">
          <cell r="U12786"/>
        </row>
        <row r="12787">
          <cell r="U12787"/>
        </row>
        <row r="12788">
          <cell r="U12788"/>
        </row>
        <row r="12789">
          <cell r="U12789"/>
        </row>
        <row r="12790">
          <cell r="U12790"/>
        </row>
        <row r="12791">
          <cell r="U12791"/>
        </row>
        <row r="12792">
          <cell r="U12792"/>
        </row>
        <row r="12793">
          <cell r="U12793"/>
        </row>
        <row r="12794">
          <cell r="U12794"/>
        </row>
        <row r="12795">
          <cell r="U12795"/>
        </row>
        <row r="12796">
          <cell r="U12796"/>
        </row>
        <row r="12797">
          <cell r="U12797"/>
        </row>
        <row r="12798">
          <cell r="U12798"/>
        </row>
        <row r="12799">
          <cell r="U12799"/>
        </row>
        <row r="12800">
          <cell r="U12800"/>
        </row>
        <row r="12801">
          <cell r="U12801"/>
        </row>
        <row r="12802">
          <cell r="U12802"/>
        </row>
        <row r="12803">
          <cell r="U12803"/>
        </row>
        <row r="12804">
          <cell r="U12804"/>
        </row>
        <row r="12805">
          <cell r="U12805"/>
        </row>
        <row r="12806">
          <cell r="U12806"/>
        </row>
        <row r="12807">
          <cell r="U12807"/>
        </row>
        <row r="12808">
          <cell r="U12808"/>
        </row>
        <row r="12809">
          <cell r="U12809"/>
        </row>
        <row r="12810">
          <cell r="U12810"/>
        </row>
        <row r="12811">
          <cell r="U12811"/>
        </row>
        <row r="12812">
          <cell r="U12812"/>
        </row>
        <row r="12813">
          <cell r="U12813"/>
        </row>
        <row r="12814">
          <cell r="U12814"/>
        </row>
        <row r="12815">
          <cell r="U12815"/>
        </row>
        <row r="12816">
          <cell r="U12816"/>
        </row>
        <row r="12817">
          <cell r="U12817"/>
        </row>
        <row r="12818">
          <cell r="U12818"/>
        </row>
        <row r="12819">
          <cell r="U12819"/>
        </row>
        <row r="12820">
          <cell r="U12820"/>
        </row>
        <row r="12821">
          <cell r="U12821"/>
        </row>
        <row r="12822">
          <cell r="U12822"/>
        </row>
        <row r="12823">
          <cell r="U12823"/>
        </row>
        <row r="12824">
          <cell r="U12824"/>
        </row>
        <row r="12825">
          <cell r="U12825"/>
        </row>
        <row r="12826">
          <cell r="U12826"/>
        </row>
        <row r="12827">
          <cell r="U12827"/>
        </row>
        <row r="12828">
          <cell r="U12828"/>
        </row>
        <row r="12829">
          <cell r="U12829"/>
        </row>
        <row r="12830">
          <cell r="U12830"/>
        </row>
        <row r="12831">
          <cell r="U12831"/>
        </row>
        <row r="12832">
          <cell r="U12832"/>
        </row>
        <row r="12833">
          <cell r="U12833"/>
        </row>
        <row r="12834">
          <cell r="U12834"/>
        </row>
        <row r="12835">
          <cell r="U12835"/>
        </row>
        <row r="12836">
          <cell r="U12836"/>
        </row>
        <row r="12837">
          <cell r="U12837"/>
        </row>
        <row r="12838">
          <cell r="U12838"/>
        </row>
        <row r="12839">
          <cell r="U12839"/>
        </row>
        <row r="12840">
          <cell r="U12840"/>
        </row>
        <row r="12841">
          <cell r="U12841"/>
        </row>
        <row r="12842">
          <cell r="U12842"/>
        </row>
        <row r="12843">
          <cell r="U12843"/>
        </row>
        <row r="12844">
          <cell r="U12844"/>
        </row>
        <row r="12845">
          <cell r="U12845"/>
        </row>
        <row r="12846">
          <cell r="U12846"/>
        </row>
        <row r="12847">
          <cell r="U12847"/>
        </row>
        <row r="12848">
          <cell r="U12848"/>
        </row>
        <row r="12849">
          <cell r="U12849"/>
        </row>
        <row r="12850">
          <cell r="U12850"/>
        </row>
        <row r="12851">
          <cell r="U12851"/>
        </row>
        <row r="12852">
          <cell r="U12852"/>
        </row>
        <row r="12853">
          <cell r="U12853"/>
        </row>
        <row r="12854">
          <cell r="U12854"/>
        </row>
        <row r="12855">
          <cell r="U12855"/>
        </row>
        <row r="12856">
          <cell r="U12856"/>
        </row>
        <row r="12857">
          <cell r="U12857"/>
        </row>
        <row r="12858">
          <cell r="U12858"/>
        </row>
        <row r="12859">
          <cell r="U12859"/>
        </row>
        <row r="12860">
          <cell r="U12860"/>
        </row>
        <row r="12861">
          <cell r="U12861"/>
        </row>
        <row r="12862">
          <cell r="U12862"/>
        </row>
        <row r="12863">
          <cell r="U12863"/>
        </row>
        <row r="12864">
          <cell r="U12864"/>
        </row>
        <row r="12865">
          <cell r="U12865"/>
        </row>
        <row r="12866">
          <cell r="U12866"/>
        </row>
        <row r="12867">
          <cell r="U12867"/>
        </row>
        <row r="12868">
          <cell r="U12868"/>
        </row>
        <row r="12869">
          <cell r="U12869"/>
        </row>
        <row r="12870">
          <cell r="U12870"/>
        </row>
        <row r="12871">
          <cell r="U12871"/>
        </row>
        <row r="12872">
          <cell r="U12872"/>
        </row>
        <row r="12873">
          <cell r="U12873"/>
        </row>
        <row r="12874">
          <cell r="U12874"/>
        </row>
        <row r="12875">
          <cell r="U12875"/>
        </row>
        <row r="12876">
          <cell r="U12876"/>
        </row>
        <row r="12877">
          <cell r="U12877"/>
        </row>
        <row r="12878">
          <cell r="U12878"/>
        </row>
        <row r="12879">
          <cell r="U12879"/>
        </row>
        <row r="12880">
          <cell r="U12880"/>
        </row>
        <row r="12881">
          <cell r="U12881"/>
        </row>
        <row r="12882">
          <cell r="U12882"/>
        </row>
        <row r="12883">
          <cell r="U12883"/>
        </row>
        <row r="12884">
          <cell r="U12884"/>
        </row>
        <row r="12885">
          <cell r="U12885"/>
        </row>
        <row r="12886">
          <cell r="U12886"/>
        </row>
        <row r="12887">
          <cell r="U12887"/>
        </row>
        <row r="12888">
          <cell r="U12888"/>
        </row>
        <row r="12889">
          <cell r="U12889"/>
        </row>
        <row r="12890">
          <cell r="U12890"/>
        </row>
        <row r="12891">
          <cell r="U12891"/>
        </row>
        <row r="12892">
          <cell r="U12892"/>
        </row>
        <row r="12893">
          <cell r="U12893"/>
        </row>
        <row r="12894">
          <cell r="U12894"/>
        </row>
        <row r="12895">
          <cell r="U12895"/>
        </row>
        <row r="12896">
          <cell r="U12896"/>
        </row>
        <row r="12897">
          <cell r="U12897"/>
        </row>
        <row r="12898">
          <cell r="U12898"/>
        </row>
        <row r="12899">
          <cell r="U12899"/>
        </row>
        <row r="12900">
          <cell r="U12900"/>
        </row>
        <row r="12901">
          <cell r="U12901"/>
        </row>
        <row r="12902">
          <cell r="U12902"/>
        </row>
        <row r="12903">
          <cell r="U12903"/>
        </row>
        <row r="12904">
          <cell r="U12904"/>
        </row>
        <row r="12905">
          <cell r="U12905"/>
        </row>
        <row r="12906">
          <cell r="U12906"/>
        </row>
        <row r="12907">
          <cell r="U12907"/>
        </row>
        <row r="12908">
          <cell r="U12908"/>
        </row>
        <row r="12909">
          <cell r="U12909"/>
        </row>
        <row r="12910">
          <cell r="U12910"/>
        </row>
        <row r="12911">
          <cell r="U12911"/>
        </row>
        <row r="12912">
          <cell r="U12912"/>
        </row>
        <row r="12913">
          <cell r="U12913"/>
        </row>
        <row r="12914">
          <cell r="U12914"/>
        </row>
        <row r="12915">
          <cell r="U12915"/>
        </row>
        <row r="12916">
          <cell r="U12916"/>
        </row>
        <row r="12917">
          <cell r="U12917"/>
        </row>
        <row r="12918">
          <cell r="U12918"/>
        </row>
        <row r="12919">
          <cell r="U12919"/>
        </row>
        <row r="12920">
          <cell r="U12920"/>
        </row>
        <row r="12921">
          <cell r="U12921"/>
        </row>
        <row r="12922">
          <cell r="U12922"/>
        </row>
        <row r="12923">
          <cell r="U12923"/>
        </row>
        <row r="12924">
          <cell r="U12924"/>
        </row>
        <row r="12925">
          <cell r="U12925"/>
        </row>
        <row r="12926">
          <cell r="U12926"/>
        </row>
        <row r="12927">
          <cell r="U12927"/>
        </row>
        <row r="12928">
          <cell r="U12928"/>
        </row>
        <row r="12929">
          <cell r="U12929"/>
        </row>
        <row r="12930">
          <cell r="U12930"/>
        </row>
        <row r="12931">
          <cell r="U12931"/>
        </row>
        <row r="12932">
          <cell r="U12932"/>
        </row>
        <row r="12933">
          <cell r="U12933"/>
        </row>
        <row r="12934">
          <cell r="U12934"/>
        </row>
        <row r="12935">
          <cell r="U12935"/>
        </row>
        <row r="12936">
          <cell r="U12936"/>
        </row>
        <row r="12937">
          <cell r="U12937"/>
        </row>
        <row r="12938">
          <cell r="U12938"/>
        </row>
        <row r="12939">
          <cell r="U12939"/>
        </row>
        <row r="12940">
          <cell r="U12940"/>
        </row>
        <row r="12941">
          <cell r="U12941"/>
        </row>
        <row r="12942">
          <cell r="U12942"/>
        </row>
        <row r="12943">
          <cell r="U12943"/>
        </row>
        <row r="12944">
          <cell r="U12944"/>
        </row>
        <row r="12945">
          <cell r="U12945"/>
        </row>
        <row r="12946">
          <cell r="U12946"/>
        </row>
        <row r="12947">
          <cell r="U12947"/>
        </row>
        <row r="12948">
          <cell r="U12948"/>
        </row>
        <row r="12949">
          <cell r="U12949"/>
        </row>
        <row r="12950">
          <cell r="U12950"/>
        </row>
        <row r="12951">
          <cell r="U12951"/>
        </row>
        <row r="12952">
          <cell r="U12952"/>
        </row>
        <row r="12953">
          <cell r="U12953"/>
        </row>
        <row r="12954">
          <cell r="U12954"/>
        </row>
        <row r="12955">
          <cell r="U12955"/>
        </row>
        <row r="12956">
          <cell r="U12956"/>
        </row>
        <row r="12957">
          <cell r="U12957"/>
        </row>
        <row r="12958">
          <cell r="U12958"/>
        </row>
        <row r="12959">
          <cell r="U12959"/>
        </row>
        <row r="12960">
          <cell r="U12960"/>
        </row>
        <row r="12961">
          <cell r="U12961"/>
        </row>
        <row r="12962">
          <cell r="U12962"/>
        </row>
        <row r="12963">
          <cell r="U12963"/>
        </row>
        <row r="12964">
          <cell r="U12964"/>
        </row>
        <row r="12965">
          <cell r="U12965"/>
        </row>
        <row r="12966">
          <cell r="U12966"/>
        </row>
        <row r="12967">
          <cell r="U12967"/>
        </row>
        <row r="12968">
          <cell r="U12968"/>
        </row>
        <row r="12969">
          <cell r="U12969"/>
        </row>
        <row r="12970">
          <cell r="U12970"/>
        </row>
        <row r="12971">
          <cell r="U12971"/>
        </row>
        <row r="12972">
          <cell r="U12972"/>
        </row>
        <row r="12973">
          <cell r="U12973"/>
        </row>
        <row r="12974">
          <cell r="U12974"/>
        </row>
        <row r="12975">
          <cell r="U12975"/>
        </row>
        <row r="12976">
          <cell r="U12976"/>
        </row>
        <row r="12977">
          <cell r="U12977"/>
        </row>
        <row r="12978">
          <cell r="U12978"/>
        </row>
        <row r="12979">
          <cell r="U12979"/>
        </row>
        <row r="12980">
          <cell r="U12980"/>
        </row>
        <row r="12981">
          <cell r="U12981"/>
        </row>
        <row r="12982">
          <cell r="U12982"/>
        </row>
        <row r="12983">
          <cell r="U12983"/>
        </row>
        <row r="12984">
          <cell r="U12984"/>
        </row>
        <row r="12985">
          <cell r="U12985"/>
        </row>
        <row r="12986">
          <cell r="U12986"/>
        </row>
        <row r="12987">
          <cell r="U12987"/>
        </row>
        <row r="12988">
          <cell r="U12988"/>
        </row>
        <row r="12989">
          <cell r="U12989"/>
        </row>
        <row r="12990">
          <cell r="U12990"/>
        </row>
        <row r="12991">
          <cell r="U12991"/>
        </row>
        <row r="12992">
          <cell r="U12992"/>
        </row>
        <row r="12993">
          <cell r="U12993"/>
        </row>
        <row r="12994">
          <cell r="U12994"/>
        </row>
        <row r="12995">
          <cell r="U12995"/>
        </row>
        <row r="12996">
          <cell r="U12996"/>
        </row>
        <row r="12997">
          <cell r="U12997"/>
        </row>
        <row r="12998">
          <cell r="U12998"/>
        </row>
        <row r="12999">
          <cell r="U12999"/>
        </row>
        <row r="13000">
          <cell r="U13000"/>
        </row>
        <row r="13001">
          <cell r="U13001"/>
        </row>
        <row r="13002">
          <cell r="U13002"/>
        </row>
        <row r="13003">
          <cell r="U13003"/>
        </row>
        <row r="13004">
          <cell r="U13004"/>
        </row>
        <row r="13005">
          <cell r="U13005"/>
        </row>
        <row r="13006">
          <cell r="U13006"/>
        </row>
        <row r="13007">
          <cell r="U13007"/>
        </row>
        <row r="13008">
          <cell r="U13008"/>
        </row>
        <row r="13009">
          <cell r="U13009"/>
        </row>
        <row r="13010">
          <cell r="U13010"/>
        </row>
        <row r="13011">
          <cell r="U13011"/>
        </row>
        <row r="13012">
          <cell r="U13012"/>
        </row>
        <row r="13013">
          <cell r="U13013"/>
        </row>
        <row r="13014">
          <cell r="U13014"/>
        </row>
        <row r="13015">
          <cell r="U13015"/>
        </row>
        <row r="13016">
          <cell r="U13016"/>
        </row>
        <row r="13017">
          <cell r="U13017"/>
        </row>
        <row r="13018">
          <cell r="U13018"/>
        </row>
        <row r="13019">
          <cell r="U13019"/>
        </row>
        <row r="13020">
          <cell r="U13020"/>
        </row>
        <row r="13021">
          <cell r="U13021"/>
        </row>
        <row r="13022">
          <cell r="U13022"/>
        </row>
        <row r="13023">
          <cell r="U13023"/>
        </row>
        <row r="13024">
          <cell r="U13024"/>
        </row>
        <row r="13025">
          <cell r="U13025"/>
        </row>
        <row r="13026">
          <cell r="U13026"/>
        </row>
        <row r="13027">
          <cell r="U13027"/>
        </row>
        <row r="13028">
          <cell r="U13028"/>
        </row>
        <row r="13029">
          <cell r="U13029"/>
        </row>
        <row r="13030">
          <cell r="U13030"/>
        </row>
        <row r="13031">
          <cell r="U13031"/>
        </row>
        <row r="13032">
          <cell r="U13032"/>
        </row>
        <row r="13033">
          <cell r="U13033"/>
        </row>
        <row r="13034">
          <cell r="U13034"/>
        </row>
        <row r="13035">
          <cell r="U13035"/>
        </row>
        <row r="13036">
          <cell r="U13036"/>
        </row>
        <row r="13037">
          <cell r="U13037"/>
        </row>
        <row r="13038">
          <cell r="U13038"/>
        </row>
        <row r="13039">
          <cell r="U13039"/>
        </row>
        <row r="13040">
          <cell r="U13040"/>
        </row>
        <row r="13041">
          <cell r="U13041"/>
        </row>
        <row r="13042">
          <cell r="U13042"/>
        </row>
        <row r="13043">
          <cell r="U13043"/>
        </row>
        <row r="13044">
          <cell r="U13044"/>
        </row>
        <row r="13045">
          <cell r="U13045"/>
        </row>
        <row r="13046">
          <cell r="U13046"/>
        </row>
        <row r="13047">
          <cell r="U13047"/>
        </row>
        <row r="13048">
          <cell r="U13048"/>
        </row>
        <row r="13049">
          <cell r="U13049"/>
        </row>
        <row r="13050">
          <cell r="U13050"/>
        </row>
        <row r="13051">
          <cell r="U13051"/>
        </row>
        <row r="13052">
          <cell r="U13052"/>
        </row>
        <row r="13053">
          <cell r="U13053"/>
        </row>
        <row r="13054">
          <cell r="U13054"/>
        </row>
        <row r="13055">
          <cell r="U13055"/>
        </row>
        <row r="13056">
          <cell r="U13056"/>
        </row>
        <row r="13057">
          <cell r="U13057"/>
        </row>
        <row r="13058">
          <cell r="U13058"/>
        </row>
        <row r="13059">
          <cell r="U13059"/>
        </row>
        <row r="13060">
          <cell r="U13060"/>
        </row>
        <row r="13061">
          <cell r="U13061"/>
        </row>
        <row r="13062">
          <cell r="U13062"/>
        </row>
        <row r="13063">
          <cell r="U13063"/>
        </row>
        <row r="13064">
          <cell r="U13064"/>
        </row>
        <row r="13065">
          <cell r="U13065"/>
        </row>
        <row r="13066">
          <cell r="U13066"/>
        </row>
        <row r="13067">
          <cell r="U13067"/>
        </row>
        <row r="13068">
          <cell r="U13068"/>
        </row>
        <row r="13069">
          <cell r="U13069"/>
        </row>
        <row r="13070">
          <cell r="U13070"/>
        </row>
        <row r="13071">
          <cell r="U13071"/>
        </row>
        <row r="13072">
          <cell r="U13072"/>
        </row>
        <row r="13073">
          <cell r="U13073"/>
        </row>
        <row r="13074">
          <cell r="U13074"/>
        </row>
        <row r="13075">
          <cell r="U13075"/>
        </row>
        <row r="13076">
          <cell r="U13076"/>
        </row>
        <row r="13077">
          <cell r="U13077"/>
        </row>
        <row r="13078">
          <cell r="U13078"/>
        </row>
        <row r="13079">
          <cell r="U13079"/>
        </row>
        <row r="13080">
          <cell r="U13080"/>
        </row>
        <row r="13081">
          <cell r="U13081"/>
        </row>
        <row r="13082">
          <cell r="U13082"/>
        </row>
        <row r="13083">
          <cell r="U13083"/>
        </row>
        <row r="13084">
          <cell r="U13084"/>
        </row>
        <row r="13085">
          <cell r="U13085"/>
        </row>
        <row r="13086">
          <cell r="U13086"/>
        </row>
        <row r="13087">
          <cell r="U13087"/>
        </row>
        <row r="13088">
          <cell r="U13088"/>
        </row>
        <row r="13089">
          <cell r="U13089"/>
        </row>
        <row r="13090">
          <cell r="U13090"/>
        </row>
        <row r="13091">
          <cell r="U13091"/>
        </row>
        <row r="13092">
          <cell r="U13092"/>
        </row>
        <row r="13093">
          <cell r="U13093"/>
        </row>
        <row r="13094">
          <cell r="U13094"/>
        </row>
        <row r="13095">
          <cell r="U13095"/>
        </row>
        <row r="13096">
          <cell r="U13096"/>
        </row>
        <row r="13097">
          <cell r="U13097"/>
        </row>
        <row r="13098">
          <cell r="U13098"/>
        </row>
        <row r="13099">
          <cell r="U13099"/>
        </row>
        <row r="13100">
          <cell r="U13100"/>
        </row>
        <row r="13101">
          <cell r="U13101"/>
        </row>
        <row r="13102">
          <cell r="U13102"/>
        </row>
        <row r="13103">
          <cell r="U13103"/>
        </row>
        <row r="13104">
          <cell r="U13104"/>
        </row>
        <row r="13105">
          <cell r="U13105"/>
        </row>
        <row r="13106">
          <cell r="U13106"/>
        </row>
        <row r="13107">
          <cell r="U13107"/>
        </row>
        <row r="13108">
          <cell r="U13108"/>
        </row>
        <row r="13109">
          <cell r="U13109"/>
        </row>
        <row r="13110">
          <cell r="U13110"/>
        </row>
        <row r="13111">
          <cell r="U13111"/>
        </row>
        <row r="13112">
          <cell r="U13112"/>
        </row>
        <row r="13113">
          <cell r="U13113"/>
        </row>
        <row r="13114">
          <cell r="U13114"/>
        </row>
        <row r="13115">
          <cell r="U13115"/>
        </row>
        <row r="13116">
          <cell r="U13116"/>
        </row>
        <row r="13117">
          <cell r="U13117"/>
        </row>
        <row r="13118">
          <cell r="U13118"/>
        </row>
        <row r="13119">
          <cell r="U13119"/>
        </row>
        <row r="13120">
          <cell r="U13120"/>
        </row>
        <row r="13121">
          <cell r="U13121"/>
        </row>
        <row r="13122">
          <cell r="U13122"/>
        </row>
        <row r="13123">
          <cell r="U13123"/>
        </row>
        <row r="13124">
          <cell r="U13124"/>
        </row>
        <row r="13125">
          <cell r="U13125"/>
        </row>
        <row r="13126">
          <cell r="U13126"/>
        </row>
        <row r="13127">
          <cell r="U13127"/>
        </row>
        <row r="13128">
          <cell r="U13128"/>
        </row>
        <row r="13129">
          <cell r="U13129"/>
        </row>
        <row r="13130">
          <cell r="U13130"/>
        </row>
        <row r="13131">
          <cell r="U13131"/>
        </row>
        <row r="13132">
          <cell r="U13132"/>
        </row>
        <row r="13133">
          <cell r="U13133"/>
        </row>
        <row r="13134">
          <cell r="U13134"/>
        </row>
        <row r="13135">
          <cell r="U13135"/>
        </row>
        <row r="13136">
          <cell r="U13136"/>
        </row>
        <row r="13137">
          <cell r="U13137"/>
        </row>
        <row r="13138">
          <cell r="U13138"/>
        </row>
        <row r="13139">
          <cell r="U13139"/>
        </row>
        <row r="13140">
          <cell r="U13140"/>
        </row>
        <row r="13141">
          <cell r="U13141"/>
        </row>
        <row r="13142">
          <cell r="U13142"/>
        </row>
        <row r="13143">
          <cell r="U13143"/>
        </row>
        <row r="13144">
          <cell r="U13144"/>
        </row>
        <row r="13145">
          <cell r="U13145"/>
        </row>
        <row r="13146">
          <cell r="U13146"/>
        </row>
        <row r="13147">
          <cell r="U13147"/>
        </row>
        <row r="13148">
          <cell r="U13148"/>
        </row>
        <row r="13149">
          <cell r="U13149"/>
        </row>
        <row r="13150">
          <cell r="U13150"/>
        </row>
        <row r="13151">
          <cell r="U13151"/>
        </row>
        <row r="13152">
          <cell r="U13152"/>
        </row>
        <row r="13153">
          <cell r="U13153"/>
        </row>
        <row r="13154">
          <cell r="U13154"/>
        </row>
        <row r="13155">
          <cell r="U13155"/>
        </row>
        <row r="13156">
          <cell r="U13156"/>
        </row>
        <row r="13157">
          <cell r="U13157"/>
        </row>
        <row r="13158">
          <cell r="U13158"/>
        </row>
        <row r="13159">
          <cell r="U13159"/>
        </row>
        <row r="13160">
          <cell r="U13160"/>
        </row>
        <row r="13161">
          <cell r="U13161"/>
        </row>
        <row r="13162">
          <cell r="U13162"/>
        </row>
        <row r="13163">
          <cell r="U13163"/>
        </row>
        <row r="13164">
          <cell r="U13164"/>
        </row>
        <row r="13165">
          <cell r="U13165"/>
        </row>
        <row r="13166">
          <cell r="U13166"/>
        </row>
        <row r="13167">
          <cell r="U13167"/>
        </row>
        <row r="13168">
          <cell r="U13168"/>
        </row>
        <row r="13169">
          <cell r="U13169"/>
        </row>
        <row r="13170">
          <cell r="U13170"/>
        </row>
        <row r="13171">
          <cell r="U13171"/>
        </row>
        <row r="13172">
          <cell r="U13172"/>
        </row>
        <row r="13173">
          <cell r="U13173"/>
        </row>
        <row r="13174">
          <cell r="U13174"/>
        </row>
        <row r="13175">
          <cell r="U13175"/>
        </row>
        <row r="13176">
          <cell r="U13176"/>
        </row>
        <row r="13177">
          <cell r="U13177"/>
        </row>
        <row r="13178">
          <cell r="U13178"/>
        </row>
        <row r="13179">
          <cell r="U13179"/>
        </row>
        <row r="13180">
          <cell r="U13180"/>
        </row>
        <row r="13181">
          <cell r="U13181"/>
        </row>
        <row r="13182">
          <cell r="U13182"/>
        </row>
        <row r="13183">
          <cell r="U13183"/>
        </row>
        <row r="13184">
          <cell r="U13184"/>
        </row>
        <row r="13185">
          <cell r="U13185"/>
        </row>
        <row r="13186">
          <cell r="U13186"/>
        </row>
        <row r="13187">
          <cell r="U13187"/>
        </row>
        <row r="13188">
          <cell r="U13188"/>
        </row>
        <row r="13189">
          <cell r="U13189"/>
        </row>
        <row r="13190">
          <cell r="U13190"/>
        </row>
        <row r="13191">
          <cell r="U13191"/>
        </row>
        <row r="13192">
          <cell r="U13192"/>
        </row>
        <row r="13193">
          <cell r="U13193"/>
        </row>
        <row r="13194">
          <cell r="U13194"/>
        </row>
        <row r="13195">
          <cell r="U13195"/>
        </row>
        <row r="13196">
          <cell r="U13196"/>
        </row>
        <row r="13197">
          <cell r="U13197"/>
        </row>
        <row r="13198">
          <cell r="U13198"/>
        </row>
        <row r="13199">
          <cell r="U13199"/>
        </row>
        <row r="13200">
          <cell r="U13200"/>
        </row>
        <row r="13201">
          <cell r="U13201"/>
        </row>
        <row r="13202">
          <cell r="U13202"/>
        </row>
        <row r="13203">
          <cell r="U13203"/>
        </row>
        <row r="13204">
          <cell r="U13204"/>
        </row>
        <row r="13205">
          <cell r="U13205"/>
        </row>
        <row r="13206">
          <cell r="U13206"/>
        </row>
        <row r="13207">
          <cell r="U13207"/>
        </row>
        <row r="13208">
          <cell r="U13208"/>
        </row>
        <row r="13209">
          <cell r="U13209"/>
        </row>
        <row r="13210">
          <cell r="U13210"/>
        </row>
        <row r="13211">
          <cell r="U13211"/>
        </row>
        <row r="13212">
          <cell r="U13212"/>
        </row>
        <row r="13213">
          <cell r="U13213"/>
        </row>
        <row r="13214">
          <cell r="U13214"/>
        </row>
        <row r="13215">
          <cell r="U13215"/>
        </row>
        <row r="13216">
          <cell r="U13216"/>
        </row>
        <row r="13217">
          <cell r="U13217"/>
        </row>
        <row r="13218">
          <cell r="U13218"/>
        </row>
        <row r="13219">
          <cell r="U13219"/>
        </row>
        <row r="13220">
          <cell r="U13220"/>
        </row>
        <row r="13221">
          <cell r="U13221"/>
        </row>
        <row r="13222">
          <cell r="U13222"/>
        </row>
        <row r="13223">
          <cell r="U13223"/>
        </row>
        <row r="13224">
          <cell r="U13224"/>
        </row>
        <row r="13225">
          <cell r="U13225"/>
        </row>
        <row r="13226">
          <cell r="U13226"/>
        </row>
        <row r="13227">
          <cell r="U13227"/>
        </row>
        <row r="13228">
          <cell r="U13228"/>
        </row>
        <row r="13229">
          <cell r="U13229"/>
        </row>
        <row r="13230">
          <cell r="U13230"/>
        </row>
        <row r="13231">
          <cell r="U13231"/>
        </row>
        <row r="13232">
          <cell r="U13232"/>
        </row>
        <row r="13233">
          <cell r="U13233"/>
        </row>
        <row r="13234">
          <cell r="U13234"/>
        </row>
        <row r="13235">
          <cell r="U13235"/>
        </row>
        <row r="13236">
          <cell r="U13236"/>
        </row>
        <row r="13237">
          <cell r="U13237"/>
        </row>
        <row r="13238">
          <cell r="U13238"/>
        </row>
        <row r="13239">
          <cell r="U13239"/>
        </row>
        <row r="13240">
          <cell r="U13240"/>
        </row>
        <row r="13241">
          <cell r="U13241"/>
        </row>
        <row r="13242">
          <cell r="U13242"/>
        </row>
        <row r="13243">
          <cell r="U13243"/>
        </row>
        <row r="13244">
          <cell r="U13244"/>
        </row>
        <row r="13245">
          <cell r="U13245"/>
        </row>
        <row r="13246">
          <cell r="U13246"/>
        </row>
        <row r="13247">
          <cell r="U13247"/>
        </row>
        <row r="13248">
          <cell r="U13248"/>
        </row>
        <row r="13249">
          <cell r="U13249"/>
        </row>
        <row r="13250">
          <cell r="U13250"/>
        </row>
        <row r="13251">
          <cell r="U13251"/>
        </row>
        <row r="13252">
          <cell r="U13252"/>
        </row>
        <row r="13253">
          <cell r="U13253"/>
        </row>
        <row r="13254">
          <cell r="U13254"/>
        </row>
        <row r="13255">
          <cell r="U13255"/>
        </row>
        <row r="13256">
          <cell r="U13256"/>
        </row>
        <row r="13257">
          <cell r="U13257"/>
        </row>
        <row r="13258">
          <cell r="U13258"/>
        </row>
        <row r="13259">
          <cell r="U13259"/>
        </row>
        <row r="13260">
          <cell r="U13260"/>
        </row>
        <row r="13261">
          <cell r="U13261"/>
        </row>
        <row r="13262">
          <cell r="U13262"/>
        </row>
        <row r="13263">
          <cell r="U13263"/>
        </row>
        <row r="13264">
          <cell r="U13264"/>
        </row>
        <row r="13265">
          <cell r="U13265"/>
        </row>
        <row r="13266">
          <cell r="U13266"/>
        </row>
        <row r="13267">
          <cell r="U13267"/>
        </row>
        <row r="13268">
          <cell r="U13268"/>
        </row>
        <row r="13269">
          <cell r="U13269"/>
        </row>
        <row r="13270">
          <cell r="U13270"/>
        </row>
        <row r="13271">
          <cell r="U13271"/>
        </row>
        <row r="13272">
          <cell r="U13272"/>
        </row>
        <row r="13273">
          <cell r="U13273"/>
        </row>
        <row r="13274">
          <cell r="U13274"/>
        </row>
        <row r="13275">
          <cell r="U13275"/>
        </row>
        <row r="13276">
          <cell r="U13276"/>
        </row>
        <row r="13277">
          <cell r="U13277"/>
        </row>
        <row r="13278">
          <cell r="U13278"/>
        </row>
        <row r="13279">
          <cell r="U13279"/>
        </row>
        <row r="13280">
          <cell r="U13280"/>
        </row>
        <row r="13281">
          <cell r="U13281"/>
        </row>
        <row r="13282">
          <cell r="U13282"/>
        </row>
        <row r="13283">
          <cell r="U13283"/>
        </row>
        <row r="13284">
          <cell r="U13284"/>
        </row>
        <row r="13285">
          <cell r="U13285"/>
        </row>
        <row r="13286">
          <cell r="U13286"/>
        </row>
        <row r="13287">
          <cell r="U13287"/>
        </row>
        <row r="13288">
          <cell r="U13288"/>
        </row>
        <row r="13289">
          <cell r="U13289"/>
        </row>
        <row r="13290">
          <cell r="U13290"/>
        </row>
        <row r="13291">
          <cell r="U13291"/>
        </row>
        <row r="13292">
          <cell r="U13292"/>
        </row>
        <row r="13293">
          <cell r="U13293"/>
        </row>
        <row r="13294">
          <cell r="U13294"/>
        </row>
        <row r="13295">
          <cell r="U13295"/>
        </row>
        <row r="13296">
          <cell r="U13296"/>
        </row>
        <row r="13297">
          <cell r="U13297"/>
        </row>
        <row r="13298">
          <cell r="U13298"/>
        </row>
        <row r="13299">
          <cell r="U13299"/>
        </row>
        <row r="13300">
          <cell r="U13300"/>
        </row>
        <row r="13301">
          <cell r="U13301"/>
        </row>
        <row r="13302">
          <cell r="U13302"/>
        </row>
        <row r="13303">
          <cell r="U13303"/>
        </row>
        <row r="13304">
          <cell r="U13304"/>
        </row>
        <row r="13305">
          <cell r="U13305"/>
        </row>
        <row r="13306">
          <cell r="U13306"/>
        </row>
        <row r="13307">
          <cell r="U13307"/>
        </row>
        <row r="13308">
          <cell r="U13308"/>
        </row>
        <row r="13309">
          <cell r="U13309"/>
        </row>
        <row r="13310">
          <cell r="U13310"/>
        </row>
        <row r="13311">
          <cell r="U13311"/>
        </row>
        <row r="13312">
          <cell r="U13312"/>
        </row>
        <row r="13313">
          <cell r="U13313"/>
        </row>
        <row r="13314">
          <cell r="U13314"/>
        </row>
        <row r="13315">
          <cell r="U13315"/>
        </row>
        <row r="13316">
          <cell r="U13316"/>
        </row>
        <row r="13317">
          <cell r="U13317"/>
        </row>
        <row r="13318">
          <cell r="U13318"/>
        </row>
        <row r="13319">
          <cell r="U13319"/>
        </row>
        <row r="13320">
          <cell r="U13320"/>
        </row>
        <row r="13321">
          <cell r="U13321"/>
        </row>
        <row r="13322">
          <cell r="U13322"/>
        </row>
        <row r="13323">
          <cell r="U13323"/>
        </row>
        <row r="13324">
          <cell r="U13324"/>
        </row>
        <row r="13325">
          <cell r="U13325"/>
        </row>
        <row r="13326">
          <cell r="U13326"/>
        </row>
        <row r="13327">
          <cell r="U13327"/>
        </row>
        <row r="13328">
          <cell r="U13328"/>
        </row>
        <row r="13329">
          <cell r="U13329"/>
        </row>
        <row r="13330">
          <cell r="U13330"/>
        </row>
        <row r="13331">
          <cell r="U13331"/>
        </row>
        <row r="13332">
          <cell r="U13332"/>
        </row>
        <row r="13333">
          <cell r="U13333"/>
        </row>
        <row r="13334">
          <cell r="U13334"/>
        </row>
        <row r="13335">
          <cell r="U13335"/>
        </row>
        <row r="13336">
          <cell r="U13336"/>
        </row>
        <row r="13337">
          <cell r="U13337"/>
        </row>
        <row r="13338">
          <cell r="U13338"/>
        </row>
        <row r="13339">
          <cell r="U13339"/>
        </row>
        <row r="13340">
          <cell r="U13340"/>
        </row>
        <row r="13341">
          <cell r="U13341"/>
        </row>
        <row r="13342">
          <cell r="U13342"/>
        </row>
        <row r="13343">
          <cell r="U13343"/>
        </row>
        <row r="13344">
          <cell r="U13344"/>
        </row>
        <row r="13345">
          <cell r="U13345"/>
        </row>
        <row r="13346">
          <cell r="U13346"/>
        </row>
        <row r="13347">
          <cell r="U13347"/>
        </row>
        <row r="13348">
          <cell r="U13348"/>
        </row>
        <row r="13349">
          <cell r="U13349"/>
        </row>
        <row r="13350">
          <cell r="U13350"/>
        </row>
        <row r="13351">
          <cell r="U13351"/>
        </row>
        <row r="13352">
          <cell r="U13352"/>
        </row>
        <row r="13353">
          <cell r="U13353"/>
        </row>
        <row r="13354">
          <cell r="U13354"/>
        </row>
        <row r="13355">
          <cell r="U13355"/>
        </row>
        <row r="13356">
          <cell r="U13356"/>
        </row>
        <row r="13357">
          <cell r="U13357"/>
        </row>
        <row r="13358">
          <cell r="U13358"/>
        </row>
        <row r="13359">
          <cell r="U13359"/>
        </row>
        <row r="13360">
          <cell r="U13360"/>
        </row>
        <row r="13361">
          <cell r="U13361"/>
        </row>
        <row r="13362">
          <cell r="U13362"/>
        </row>
        <row r="13363">
          <cell r="U13363"/>
        </row>
        <row r="13364">
          <cell r="U13364"/>
        </row>
        <row r="13365">
          <cell r="U13365"/>
        </row>
        <row r="13366">
          <cell r="U13366"/>
        </row>
        <row r="13367">
          <cell r="U13367"/>
        </row>
        <row r="13368">
          <cell r="U13368"/>
        </row>
        <row r="13369">
          <cell r="U13369"/>
        </row>
        <row r="13370">
          <cell r="U13370"/>
        </row>
        <row r="13371">
          <cell r="U13371"/>
        </row>
        <row r="13372">
          <cell r="U13372"/>
        </row>
        <row r="13373">
          <cell r="U13373"/>
        </row>
        <row r="13374">
          <cell r="U13374"/>
        </row>
        <row r="13375">
          <cell r="U13375"/>
        </row>
        <row r="13376">
          <cell r="U13376"/>
        </row>
        <row r="13377">
          <cell r="U13377"/>
        </row>
        <row r="13378">
          <cell r="U13378"/>
        </row>
        <row r="13379">
          <cell r="U13379"/>
        </row>
        <row r="13380">
          <cell r="U13380"/>
        </row>
        <row r="13381">
          <cell r="U13381"/>
        </row>
        <row r="13382">
          <cell r="U13382"/>
        </row>
        <row r="13383">
          <cell r="U13383"/>
        </row>
        <row r="13384">
          <cell r="U13384"/>
        </row>
        <row r="13385">
          <cell r="U13385"/>
        </row>
        <row r="13386">
          <cell r="U13386"/>
        </row>
        <row r="13387">
          <cell r="U13387"/>
        </row>
        <row r="13388">
          <cell r="U13388"/>
        </row>
        <row r="13389">
          <cell r="U13389"/>
        </row>
        <row r="13390">
          <cell r="U13390"/>
        </row>
        <row r="13391">
          <cell r="U13391"/>
        </row>
        <row r="13392">
          <cell r="U13392"/>
        </row>
        <row r="13393">
          <cell r="U13393"/>
        </row>
        <row r="13394">
          <cell r="U13394"/>
        </row>
        <row r="13395">
          <cell r="U13395"/>
        </row>
        <row r="13396">
          <cell r="U13396"/>
        </row>
        <row r="13397">
          <cell r="U13397"/>
        </row>
        <row r="13398">
          <cell r="U13398"/>
        </row>
        <row r="13399">
          <cell r="U13399"/>
        </row>
        <row r="13400">
          <cell r="U13400"/>
        </row>
        <row r="13401">
          <cell r="U13401"/>
        </row>
        <row r="13402">
          <cell r="U13402"/>
        </row>
        <row r="13403">
          <cell r="U13403"/>
        </row>
        <row r="13404">
          <cell r="U13404"/>
        </row>
        <row r="13405">
          <cell r="U13405"/>
        </row>
        <row r="13406">
          <cell r="U13406"/>
        </row>
        <row r="13407">
          <cell r="U13407"/>
        </row>
        <row r="13408">
          <cell r="U13408"/>
        </row>
        <row r="13409">
          <cell r="U13409"/>
        </row>
        <row r="13410">
          <cell r="U13410"/>
        </row>
        <row r="13411">
          <cell r="U13411"/>
        </row>
        <row r="13412">
          <cell r="U13412"/>
        </row>
        <row r="13413">
          <cell r="U13413"/>
        </row>
        <row r="13414">
          <cell r="U13414"/>
        </row>
        <row r="13415">
          <cell r="U13415"/>
        </row>
        <row r="13416">
          <cell r="U13416"/>
        </row>
        <row r="13417">
          <cell r="U13417"/>
        </row>
        <row r="13418">
          <cell r="U13418"/>
        </row>
        <row r="13419">
          <cell r="U13419"/>
        </row>
        <row r="13420">
          <cell r="U13420"/>
        </row>
        <row r="13421">
          <cell r="U13421"/>
        </row>
        <row r="13422">
          <cell r="U13422"/>
        </row>
        <row r="13423">
          <cell r="U13423"/>
        </row>
        <row r="13424">
          <cell r="U13424"/>
        </row>
        <row r="13425">
          <cell r="U13425"/>
        </row>
        <row r="13426">
          <cell r="U13426"/>
        </row>
        <row r="13427">
          <cell r="U13427"/>
        </row>
        <row r="13428">
          <cell r="U13428"/>
        </row>
        <row r="13429">
          <cell r="U13429"/>
        </row>
        <row r="13430">
          <cell r="U13430"/>
        </row>
        <row r="13431">
          <cell r="U13431"/>
        </row>
        <row r="13432">
          <cell r="U13432"/>
        </row>
        <row r="13433">
          <cell r="U13433"/>
        </row>
        <row r="13434">
          <cell r="U13434"/>
        </row>
        <row r="13435">
          <cell r="U13435"/>
        </row>
        <row r="13436">
          <cell r="U13436"/>
        </row>
        <row r="13437">
          <cell r="U13437"/>
        </row>
        <row r="13438">
          <cell r="U13438"/>
        </row>
        <row r="13439">
          <cell r="U13439"/>
        </row>
        <row r="13440">
          <cell r="U13440"/>
        </row>
        <row r="13441">
          <cell r="U13441"/>
        </row>
        <row r="13442">
          <cell r="U13442"/>
        </row>
        <row r="13443">
          <cell r="U13443"/>
        </row>
        <row r="13444">
          <cell r="U13444"/>
        </row>
        <row r="13445">
          <cell r="U13445"/>
        </row>
        <row r="13446">
          <cell r="U13446"/>
        </row>
        <row r="13447">
          <cell r="U13447"/>
        </row>
        <row r="13448">
          <cell r="U13448"/>
        </row>
        <row r="13449">
          <cell r="U13449"/>
        </row>
        <row r="13450">
          <cell r="U13450"/>
        </row>
        <row r="13451">
          <cell r="U13451"/>
        </row>
        <row r="13452">
          <cell r="U13452"/>
        </row>
        <row r="13453">
          <cell r="U13453"/>
        </row>
        <row r="13454">
          <cell r="U13454"/>
        </row>
        <row r="13455">
          <cell r="U13455"/>
        </row>
        <row r="13456">
          <cell r="U13456"/>
        </row>
        <row r="13457">
          <cell r="U13457"/>
        </row>
        <row r="13458">
          <cell r="U13458"/>
        </row>
        <row r="13459">
          <cell r="U13459"/>
        </row>
        <row r="13460">
          <cell r="U13460"/>
        </row>
        <row r="13461">
          <cell r="U13461"/>
        </row>
        <row r="13462">
          <cell r="U13462"/>
        </row>
        <row r="13463">
          <cell r="U13463"/>
        </row>
        <row r="13464">
          <cell r="U13464"/>
        </row>
        <row r="13465">
          <cell r="U13465"/>
        </row>
        <row r="13466">
          <cell r="U13466"/>
        </row>
        <row r="13467">
          <cell r="U13467"/>
        </row>
        <row r="13468">
          <cell r="U13468"/>
        </row>
        <row r="13469">
          <cell r="U13469"/>
        </row>
        <row r="13470">
          <cell r="U13470"/>
        </row>
        <row r="13471">
          <cell r="U13471"/>
        </row>
        <row r="13472">
          <cell r="U13472"/>
        </row>
        <row r="13473">
          <cell r="U13473"/>
        </row>
        <row r="13474">
          <cell r="U13474"/>
        </row>
        <row r="13475">
          <cell r="U13475"/>
        </row>
        <row r="13476">
          <cell r="U13476"/>
        </row>
        <row r="13477">
          <cell r="U13477"/>
        </row>
        <row r="13478">
          <cell r="U13478"/>
        </row>
        <row r="13479">
          <cell r="U13479"/>
        </row>
        <row r="13480">
          <cell r="U13480"/>
        </row>
        <row r="13481">
          <cell r="U13481"/>
        </row>
        <row r="13482">
          <cell r="U13482"/>
        </row>
        <row r="13483">
          <cell r="U13483"/>
        </row>
        <row r="13484">
          <cell r="U13484"/>
        </row>
        <row r="13485">
          <cell r="U13485"/>
        </row>
        <row r="13486">
          <cell r="U13486"/>
        </row>
        <row r="13487">
          <cell r="U13487"/>
        </row>
        <row r="13488">
          <cell r="U13488"/>
        </row>
        <row r="13489">
          <cell r="U13489"/>
        </row>
        <row r="13490">
          <cell r="U13490"/>
        </row>
        <row r="13491">
          <cell r="U13491"/>
        </row>
        <row r="13492">
          <cell r="U13492"/>
        </row>
        <row r="13493">
          <cell r="U13493"/>
        </row>
        <row r="13494">
          <cell r="U13494"/>
        </row>
        <row r="13495">
          <cell r="U13495"/>
        </row>
        <row r="13496">
          <cell r="U13496"/>
        </row>
        <row r="13497">
          <cell r="U13497"/>
        </row>
        <row r="13498">
          <cell r="U13498"/>
        </row>
        <row r="13499">
          <cell r="U13499"/>
        </row>
        <row r="13500">
          <cell r="U13500"/>
        </row>
        <row r="13501">
          <cell r="U13501"/>
        </row>
        <row r="13502">
          <cell r="U13502"/>
        </row>
        <row r="13503">
          <cell r="U13503"/>
        </row>
        <row r="13504">
          <cell r="U13504"/>
        </row>
        <row r="13505">
          <cell r="U13505"/>
        </row>
        <row r="13506">
          <cell r="U13506"/>
        </row>
        <row r="13507">
          <cell r="U13507"/>
        </row>
        <row r="13508">
          <cell r="U13508"/>
        </row>
        <row r="13509">
          <cell r="U13509"/>
        </row>
        <row r="13510">
          <cell r="U13510"/>
        </row>
        <row r="13511">
          <cell r="U13511"/>
        </row>
        <row r="13512">
          <cell r="U13512"/>
        </row>
        <row r="13513">
          <cell r="U13513"/>
        </row>
        <row r="13514">
          <cell r="U13514"/>
        </row>
        <row r="13515">
          <cell r="U13515"/>
        </row>
        <row r="13516">
          <cell r="U13516"/>
        </row>
        <row r="13517">
          <cell r="U13517"/>
        </row>
        <row r="13518">
          <cell r="U13518"/>
        </row>
        <row r="13519">
          <cell r="U13519"/>
        </row>
        <row r="13520">
          <cell r="U13520"/>
        </row>
        <row r="13521">
          <cell r="U13521"/>
        </row>
        <row r="13522">
          <cell r="U13522"/>
        </row>
        <row r="13523">
          <cell r="U13523"/>
        </row>
        <row r="13524">
          <cell r="U13524"/>
        </row>
        <row r="13525">
          <cell r="U13525"/>
        </row>
        <row r="13526">
          <cell r="U13526"/>
        </row>
        <row r="13527">
          <cell r="U13527"/>
        </row>
        <row r="13528">
          <cell r="U13528"/>
        </row>
        <row r="13529">
          <cell r="U13529"/>
        </row>
        <row r="13530">
          <cell r="U13530"/>
        </row>
        <row r="13531">
          <cell r="U13531"/>
        </row>
        <row r="13532">
          <cell r="U13532"/>
        </row>
        <row r="13533">
          <cell r="U13533"/>
        </row>
        <row r="13534">
          <cell r="U13534"/>
        </row>
        <row r="13535">
          <cell r="U13535"/>
        </row>
        <row r="13536">
          <cell r="U13536"/>
        </row>
        <row r="13537">
          <cell r="U13537"/>
        </row>
        <row r="13538">
          <cell r="U13538"/>
        </row>
        <row r="13539">
          <cell r="U13539"/>
        </row>
        <row r="13540">
          <cell r="U13540"/>
        </row>
        <row r="13541">
          <cell r="U13541"/>
        </row>
        <row r="13542">
          <cell r="U13542"/>
        </row>
        <row r="13543">
          <cell r="U13543"/>
        </row>
        <row r="13544">
          <cell r="U13544"/>
        </row>
        <row r="13545">
          <cell r="U13545"/>
        </row>
        <row r="13546">
          <cell r="U13546"/>
        </row>
        <row r="13547">
          <cell r="U13547"/>
        </row>
        <row r="13548">
          <cell r="U13548"/>
        </row>
        <row r="13549">
          <cell r="U13549"/>
        </row>
        <row r="13550">
          <cell r="U13550"/>
        </row>
        <row r="13551">
          <cell r="U13551"/>
        </row>
        <row r="13552">
          <cell r="U13552"/>
        </row>
        <row r="13553">
          <cell r="U13553"/>
        </row>
        <row r="13554">
          <cell r="U13554"/>
        </row>
        <row r="13555">
          <cell r="U13555"/>
        </row>
        <row r="13556">
          <cell r="U13556"/>
        </row>
        <row r="13557">
          <cell r="U13557"/>
        </row>
        <row r="13558">
          <cell r="U13558"/>
        </row>
        <row r="13559">
          <cell r="U13559"/>
        </row>
        <row r="13560">
          <cell r="U13560"/>
        </row>
        <row r="13561">
          <cell r="U13561"/>
        </row>
        <row r="13562">
          <cell r="U13562"/>
        </row>
        <row r="13563">
          <cell r="U13563"/>
        </row>
        <row r="13564">
          <cell r="U13564"/>
        </row>
        <row r="13565">
          <cell r="U13565"/>
        </row>
        <row r="13566">
          <cell r="U13566"/>
        </row>
        <row r="13567">
          <cell r="U13567"/>
        </row>
        <row r="13568">
          <cell r="U13568"/>
        </row>
        <row r="13569">
          <cell r="U13569"/>
        </row>
        <row r="13570">
          <cell r="U13570"/>
        </row>
        <row r="13571">
          <cell r="U13571"/>
        </row>
        <row r="13572">
          <cell r="U13572"/>
        </row>
        <row r="13573">
          <cell r="U13573"/>
        </row>
        <row r="13574">
          <cell r="U13574"/>
        </row>
        <row r="13575">
          <cell r="U13575"/>
        </row>
        <row r="13576">
          <cell r="U13576"/>
        </row>
        <row r="13577">
          <cell r="U13577"/>
        </row>
        <row r="13578">
          <cell r="U13578"/>
        </row>
        <row r="13579">
          <cell r="U13579"/>
        </row>
        <row r="13580">
          <cell r="U13580"/>
        </row>
        <row r="13581">
          <cell r="U13581"/>
        </row>
        <row r="13582">
          <cell r="U13582"/>
        </row>
        <row r="13583">
          <cell r="U13583"/>
        </row>
        <row r="13584">
          <cell r="U13584"/>
        </row>
        <row r="13585">
          <cell r="U13585"/>
        </row>
        <row r="13586">
          <cell r="U13586"/>
        </row>
        <row r="13587">
          <cell r="U13587"/>
        </row>
        <row r="13588">
          <cell r="U13588"/>
        </row>
        <row r="13589">
          <cell r="U13589"/>
        </row>
        <row r="13590">
          <cell r="U13590"/>
        </row>
        <row r="13591">
          <cell r="U13591"/>
        </row>
        <row r="13592">
          <cell r="U13592"/>
        </row>
        <row r="13593">
          <cell r="U13593"/>
        </row>
        <row r="13594">
          <cell r="U13594"/>
        </row>
        <row r="13595">
          <cell r="U13595"/>
        </row>
        <row r="13596">
          <cell r="U13596"/>
        </row>
        <row r="13597">
          <cell r="U13597"/>
        </row>
        <row r="13598">
          <cell r="U13598"/>
        </row>
        <row r="13599">
          <cell r="U13599"/>
        </row>
        <row r="13600">
          <cell r="U13600"/>
        </row>
        <row r="13601">
          <cell r="U13601"/>
        </row>
        <row r="13602">
          <cell r="U13602"/>
        </row>
        <row r="13603">
          <cell r="U13603"/>
        </row>
        <row r="13604">
          <cell r="U13604"/>
        </row>
        <row r="13605">
          <cell r="U13605"/>
        </row>
        <row r="13606">
          <cell r="U13606"/>
        </row>
        <row r="13607">
          <cell r="U13607"/>
        </row>
        <row r="13608">
          <cell r="U13608"/>
        </row>
        <row r="13609">
          <cell r="U13609"/>
        </row>
        <row r="13610">
          <cell r="U13610"/>
        </row>
        <row r="13611">
          <cell r="U13611"/>
        </row>
        <row r="13612">
          <cell r="U13612"/>
        </row>
        <row r="13613">
          <cell r="U13613"/>
        </row>
        <row r="13614">
          <cell r="U13614"/>
        </row>
        <row r="13615">
          <cell r="U13615"/>
        </row>
        <row r="13616">
          <cell r="U13616"/>
        </row>
        <row r="13617">
          <cell r="U13617"/>
        </row>
        <row r="13618">
          <cell r="U13618"/>
        </row>
        <row r="13619">
          <cell r="U13619"/>
        </row>
        <row r="13620">
          <cell r="U13620"/>
        </row>
        <row r="13621">
          <cell r="U13621"/>
        </row>
        <row r="13622">
          <cell r="U13622"/>
        </row>
        <row r="13623">
          <cell r="U13623"/>
        </row>
        <row r="13624">
          <cell r="U13624"/>
        </row>
        <row r="13625">
          <cell r="U13625"/>
        </row>
        <row r="13626">
          <cell r="U13626"/>
        </row>
        <row r="13627">
          <cell r="U13627"/>
        </row>
        <row r="13628">
          <cell r="U13628"/>
        </row>
        <row r="13629">
          <cell r="U13629"/>
        </row>
        <row r="13630">
          <cell r="U13630"/>
        </row>
        <row r="13631">
          <cell r="U13631"/>
        </row>
        <row r="13632">
          <cell r="U13632"/>
        </row>
        <row r="13633">
          <cell r="U13633"/>
        </row>
        <row r="13634">
          <cell r="U13634"/>
        </row>
        <row r="13635">
          <cell r="U13635"/>
        </row>
        <row r="13636">
          <cell r="U13636"/>
        </row>
        <row r="13637">
          <cell r="U13637"/>
        </row>
        <row r="13638">
          <cell r="U13638"/>
        </row>
        <row r="13639">
          <cell r="U13639"/>
        </row>
        <row r="13640">
          <cell r="U13640"/>
        </row>
        <row r="13641">
          <cell r="U13641"/>
        </row>
        <row r="13642">
          <cell r="U13642"/>
        </row>
        <row r="13643">
          <cell r="U13643"/>
        </row>
        <row r="13644">
          <cell r="U13644"/>
        </row>
        <row r="13645">
          <cell r="U13645"/>
        </row>
        <row r="13646">
          <cell r="U13646"/>
        </row>
        <row r="13647">
          <cell r="U13647"/>
        </row>
        <row r="13648">
          <cell r="U13648"/>
        </row>
        <row r="13649">
          <cell r="U13649"/>
        </row>
        <row r="13650">
          <cell r="U13650"/>
        </row>
        <row r="13651">
          <cell r="U13651"/>
        </row>
        <row r="13652">
          <cell r="U13652"/>
        </row>
        <row r="13653">
          <cell r="U13653"/>
        </row>
        <row r="13654">
          <cell r="U13654"/>
        </row>
        <row r="13655">
          <cell r="U13655"/>
        </row>
        <row r="13656">
          <cell r="U13656"/>
        </row>
        <row r="13657">
          <cell r="U13657"/>
        </row>
        <row r="13658">
          <cell r="U13658"/>
        </row>
        <row r="13659">
          <cell r="U13659"/>
        </row>
        <row r="13660">
          <cell r="U13660"/>
        </row>
        <row r="13661">
          <cell r="U13661"/>
        </row>
        <row r="13662">
          <cell r="U13662"/>
        </row>
        <row r="13663">
          <cell r="U13663"/>
        </row>
        <row r="13664">
          <cell r="U13664"/>
        </row>
        <row r="13665">
          <cell r="U13665"/>
        </row>
        <row r="13666">
          <cell r="U13666"/>
        </row>
        <row r="13667">
          <cell r="U13667"/>
        </row>
        <row r="13668">
          <cell r="U13668"/>
        </row>
        <row r="13669">
          <cell r="U13669"/>
        </row>
        <row r="13670">
          <cell r="U13670"/>
        </row>
        <row r="13671">
          <cell r="U13671"/>
        </row>
        <row r="13672">
          <cell r="U13672"/>
        </row>
        <row r="13673">
          <cell r="U13673"/>
        </row>
        <row r="13674">
          <cell r="U13674"/>
        </row>
        <row r="13675">
          <cell r="U13675"/>
        </row>
        <row r="13676">
          <cell r="U13676"/>
        </row>
        <row r="13677">
          <cell r="U13677"/>
        </row>
        <row r="13678">
          <cell r="U13678"/>
        </row>
        <row r="13679">
          <cell r="U13679"/>
        </row>
        <row r="13680">
          <cell r="U13680"/>
        </row>
        <row r="13681">
          <cell r="U13681"/>
        </row>
        <row r="13682">
          <cell r="U13682"/>
        </row>
        <row r="13683">
          <cell r="U13683"/>
        </row>
        <row r="13684">
          <cell r="U13684"/>
        </row>
        <row r="13685">
          <cell r="U13685"/>
        </row>
        <row r="13686">
          <cell r="U13686"/>
        </row>
        <row r="13687">
          <cell r="U13687"/>
        </row>
        <row r="13688">
          <cell r="U13688"/>
        </row>
        <row r="13689">
          <cell r="U13689"/>
        </row>
        <row r="13690">
          <cell r="U13690"/>
        </row>
        <row r="13691">
          <cell r="U13691"/>
        </row>
        <row r="13692">
          <cell r="U13692"/>
        </row>
        <row r="13693">
          <cell r="U13693"/>
        </row>
        <row r="13694">
          <cell r="U13694"/>
        </row>
        <row r="13695">
          <cell r="U13695"/>
        </row>
        <row r="13696">
          <cell r="U13696"/>
        </row>
        <row r="13697">
          <cell r="U13697"/>
        </row>
        <row r="13698">
          <cell r="U13698"/>
        </row>
        <row r="13699">
          <cell r="U13699"/>
        </row>
        <row r="13700">
          <cell r="U13700"/>
        </row>
        <row r="13701">
          <cell r="U13701"/>
        </row>
        <row r="13702">
          <cell r="U13702"/>
        </row>
        <row r="13703">
          <cell r="U13703"/>
        </row>
        <row r="13704">
          <cell r="U13704"/>
        </row>
        <row r="13705">
          <cell r="U13705"/>
        </row>
        <row r="13706">
          <cell r="U13706"/>
        </row>
        <row r="13707">
          <cell r="U13707"/>
        </row>
        <row r="13708">
          <cell r="U13708"/>
        </row>
        <row r="13709">
          <cell r="U13709"/>
        </row>
        <row r="13710">
          <cell r="U13710"/>
        </row>
        <row r="13711">
          <cell r="U13711"/>
        </row>
        <row r="13712">
          <cell r="U13712"/>
        </row>
        <row r="13713">
          <cell r="U13713"/>
        </row>
        <row r="13714">
          <cell r="U13714"/>
        </row>
        <row r="13715">
          <cell r="U13715"/>
        </row>
        <row r="13716">
          <cell r="U13716"/>
        </row>
        <row r="13717">
          <cell r="U13717"/>
        </row>
        <row r="13718">
          <cell r="U13718"/>
        </row>
        <row r="13719">
          <cell r="U13719"/>
        </row>
        <row r="13720">
          <cell r="U13720"/>
        </row>
        <row r="13721">
          <cell r="U13721"/>
        </row>
        <row r="13722">
          <cell r="U13722"/>
        </row>
        <row r="13723">
          <cell r="U13723"/>
        </row>
        <row r="13724">
          <cell r="U13724"/>
        </row>
        <row r="13725">
          <cell r="U13725"/>
        </row>
        <row r="13726">
          <cell r="U13726"/>
        </row>
        <row r="13727">
          <cell r="U13727"/>
        </row>
        <row r="13728">
          <cell r="U13728"/>
        </row>
        <row r="13729">
          <cell r="U13729"/>
        </row>
        <row r="13730">
          <cell r="U13730"/>
        </row>
        <row r="13731">
          <cell r="U13731"/>
        </row>
        <row r="13732">
          <cell r="U13732"/>
        </row>
        <row r="13733">
          <cell r="U13733"/>
        </row>
        <row r="13734">
          <cell r="U13734"/>
        </row>
        <row r="13735">
          <cell r="U13735"/>
        </row>
        <row r="13736">
          <cell r="U13736"/>
        </row>
        <row r="13737">
          <cell r="U13737"/>
        </row>
        <row r="13738">
          <cell r="U13738"/>
        </row>
        <row r="13739">
          <cell r="U13739"/>
        </row>
        <row r="13740">
          <cell r="U13740"/>
        </row>
        <row r="13741">
          <cell r="U13741"/>
        </row>
        <row r="13742">
          <cell r="U13742"/>
        </row>
        <row r="13743">
          <cell r="U13743"/>
        </row>
        <row r="13744">
          <cell r="U13744"/>
        </row>
        <row r="13745">
          <cell r="U13745"/>
        </row>
        <row r="13746">
          <cell r="U13746"/>
        </row>
        <row r="13747">
          <cell r="U13747"/>
        </row>
        <row r="13748">
          <cell r="U13748"/>
        </row>
        <row r="13749">
          <cell r="U13749"/>
        </row>
        <row r="13750">
          <cell r="U13750"/>
        </row>
        <row r="13751">
          <cell r="U13751"/>
        </row>
        <row r="13752">
          <cell r="U13752"/>
        </row>
        <row r="13753">
          <cell r="U13753"/>
        </row>
        <row r="13754">
          <cell r="U13754"/>
        </row>
        <row r="13755">
          <cell r="U13755"/>
        </row>
        <row r="13756">
          <cell r="U13756"/>
        </row>
        <row r="13757">
          <cell r="U13757"/>
        </row>
        <row r="13758">
          <cell r="U13758"/>
        </row>
        <row r="13759">
          <cell r="U13759"/>
        </row>
        <row r="13760">
          <cell r="U13760"/>
        </row>
        <row r="13761">
          <cell r="U13761"/>
        </row>
        <row r="13762">
          <cell r="U13762"/>
        </row>
        <row r="13763">
          <cell r="U13763"/>
        </row>
        <row r="13764">
          <cell r="U13764"/>
        </row>
        <row r="13765">
          <cell r="U13765"/>
        </row>
        <row r="13766">
          <cell r="U13766"/>
        </row>
        <row r="13767">
          <cell r="U13767"/>
        </row>
        <row r="13768">
          <cell r="U13768"/>
        </row>
        <row r="13769">
          <cell r="U13769"/>
        </row>
        <row r="13770">
          <cell r="U13770"/>
        </row>
        <row r="13771">
          <cell r="U13771"/>
        </row>
        <row r="13772">
          <cell r="U13772"/>
        </row>
        <row r="13773">
          <cell r="U13773"/>
        </row>
        <row r="13774">
          <cell r="U13774"/>
        </row>
        <row r="13775">
          <cell r="U13775"/>
        </row>
        <row r="13776">
          <cell r="U13776"/>
        </row>
        <row r="13777">
          <cell r="U13777"/>
        </row>
        <row r="13778">
          <cell r="U13778"/>
        </row>
        <row r="13779">
          <cell r="U13779"/>
        </row>
        <row r="13780">
          <cell r="U13780"/>
        </row>
        <row r="13781">
          <cell r="U13781"/>
        </row>
        <row r="13782">
          <cell r="U13782"/>
        </row>
        <row r="13783">
          <cell r="U13783"/>
        </row>
        <row r="13784">
          <cell r="U13784"/>
        </row>
        <row r="13785">
          <cell r="U13785"/>
        </row>
        <row r="13786">
          <cell r="U13786"/>
        </row>
        <row r="13787">
          <cell r="U13787"/>
        </row>
        <row r="13788">
          <cell r="U13788"/>
        </row>
        <row r="13789">
          <cell r="U13789"/>
        </row>
        <row r="13790">
          <cell r="U13790"/>
        </row>
        <row r="13791">
          <cell r="U13791"/>
        </row>
        <row r="13792">
          <cell r="U13792"/>
        </row>
        <row r="13793">
          <cell r="U13793"/>
        </row>
        <row r="13794">
          <cell r="U13794"/>
        </row>
        <row r="13795">
          <cell r="U13795"/>
        </row>
        <row r="13796">
          <cell r="U13796"/>
        </row>
        <row r="13797">
          <cell r="U13797"/>
        </row>
        <row r="13798">
          <cell r="U13798"/>
        </row>
        <row r="13799">
          <cell r="U13799"/>
        </row>
        <row r="13800">
          <cell r="U13800"/>
        </row>
        <row r="13801">
          <cell r="U13801"/>
        </row>
        <row r="13802">
          <cell r="U13802"/>
        </row>
        <row r="13803">
          <cell r="U13803"/>
        </row>
        <row r="13804">
          <cell r="U13804"/>
        </row>
        <row r="13805">
          <cell r="U13805"/>
        </row>
        <row r="13806">
          <cell r="U13806"/>
        </row>
        <row r="13807">
          <cell r="U13807"/>
        </row>
        <row r="13808">
          <cell r="U13808"/>
        </row>
        <row r="13809">
          <cell r="U13809"/>
        </row>
        <row r="13810">
          <cell r="U13810"/>
        </row>
        <row r="13811">
          <cell r="U13811"/>
        </row>
        <row r="13812">
          <cell r="U13812"/>
        </row>
        <row r="13813">
          <cell r="U13813"/>
        </row>
        <row r="13814">
          <cell r="U13814"/>
        </row>
        <row r="13815">
          <cell r="U13815"/>
        </row>
        <row r="13816">
          <cell r="U13816"/>
        </row>
        <row r="13817">
          <cell r="U13817"/>
        </row>
        <row r="13818">
          <cell r="U13818"/>
        </row>
        <row r="13819">
          <cell r="U13819"/>
        </row>
        <row r="13820">
          <cell r="U13820"/>
        </row>
        <row r="13821">
          <cell r="U13821"/>
        </row>
        <row r="13822">
          <cell r="U13822"/>
        </row>
        <row r="13823">
          <cell r="U13823"/>
        </row>
        <row r="13824">
          <cell r="U13824"/>
        </row>
        <row r="13825">
          <cell r="U13825"/>
        </row>
        <row r="13826">
          <cell r="U13826"/>
        </row>
        <row r="13827">
          <cell r="U13827"/>
        </row>
        <row r="13828">
          <cell r="U13828"/>
        </row>
        <row r="13829">
          <cell r="U13829"/>
        </row>
        <row r="13830">
          <cell r="U13830"/>
        </row>
        <row r="13831">
          <cell r="U13831"/>
        </row>
        <row r="13832">
          <cell r="U13832"/>
        </row>
        <row r="13833">
          <cell r="U13833"/>
        </row>
        <row r="13834">
          <cell r="U13834"/>
        </row>
        <row r="13835">
          <cell r="U13835"/>
        </row>
        <row r="13836">
          <cell r="U13836"/>
        </row>
        <row r="13837">
          <cell r="U13837"/>
        </row>
        <row r="13838">
          <cell r="U13838"/>
        </row>
        <row r="13839">
          <cell r="U13839"/>
        </row>
        <row r="13840">
          <cell r="U13840"/>
        </row>
        <row r="13841">
          <cell r="U13841"/>
        </row>
        <row r="13842">
          <cell r="U13842"/>
        </row>
        <row r="13843">
          <cell r="U13843"/>
        </row>
        <row r="13844">
          <cell r="U13844"/>
        </row>
        <row r="13845">
          <cell r="U13845"/>
        </row>
        <row r="13846">
          <cell r="U13846"/>
        </row>
        <row r="13847">
          <cell r="U13847"/>
        </row>
        <row r="13848">
          <cell r="U13848"/>
        </row>
        <row r="13849">
          <cell r="U13849"/>
        </row>
        <row r="13850">
          <cell r="U13850"/>
        </row>
        <row r="13851">
          <cell r="U13851"/>
        </row>
        <row r="13852">
          <cell r="U13852"/>
        </row>
        <row r="13853">
          <cell r="U13853"/>
        </row>
        <row r="13854">
          <cell r="U13854"/>
        </row>
        <row r="13855">
          <cell r="U13855"/>
        </row>
        <row r="13856">
          <cell r="U13856"/>
        </row>
        <row r="13857">
          <cell r="U13857"/>
        </row>
        <row r="13858">
          <cell r="U13858"/>
        </row>
        <row r="13859">
          <cell r="U13859"/>
        </row>
        <row r="13860">
          <cell r="U13860"/>
        </row>
        <row r="13861">
          <cell r="U13861"/>
        </row>
        <row r="13862">
          <cell r="U13862"/>
        </row>
        <row r="13863">
          <cell r="U13863"/>
        </row>
        <row r="13864">
          <cell r="U13864"/>
        </row>
        <row r="13865">
          <cell r="U13865"/>
        </row>
        <row r="13866">
          <cell r="U13866"/>
        </row>
        <row r="13867">
          <cell r="U13867"/>
        </row>
        <row r="13868">
          <cell r="U13868"/>
        </row>
        <row r="13869">
          <cell r="U13869"/>
        </row>
        <row r="13870">
          <cell r="U13870"/>
        </row>
        <row r="13871">
          <cell r="U13871"/>
        </row>
        <row r="13872">
          <cell r="U13872"/>
        </row>
        <row r="13873">
          <cell r="U13873"/>
        </row>
        <row r="13874">
          <cell r="U13874"/>
        </row>
        <row r="13875">
          <cell r="U13875"/>
        </row>
        <row r="13876">
          <cell r="U13876"/>
        </row>
        <row r="13877">
          <cell r="U13877"/>
        </row>
        <row r="13878">
          <cell r="U13878"/>
        </row>
        <row r="13879">
          <cell r="U13879"/>
        </row>
        <row r="13880">
          <cell r="U13880"/>
        </row>
        <row r="13881">
          <cell r="U13881"/>
        </row>
        <row r="13882">
          <cell r="U13882"/>
        </row>
        <row r="13883">
          <cell r="U13883"/>
        </row>
        <row r="13884">
          <cell r="U13884"/>
        </row>
        <row r="13885">
          <cell r="U13885"/>
        </row>
        <row r="13886">
          <cell r="U13886"/>
        </row>
        <row r="13887">
          <cell r="U13887"/>
        </row>
        <row r="13888">
          <cell r="U13888"/>
        </row>
        <row r="13889">
          <cell r="U13889"/>
        </row>
        <row r="13890">
          <cell r="U13890"/>
        </row>
        <row r="13891">
          <cell r="U13891"/>
        </row>
        <row r="13892">
          <cell r="U13892"/>
        </row>
        <row r="13893">
          <cell r="U13893"/>
        </row>
        <row r="13894">
          <cell r="U13894"/>
        </row>
        <row r="13895">
          <cell r="U13895"/>
        </row>
        <row r="13896">
          <cell r="U13896"/>
        </row>
        <row r="13897">
          <cell r="U13897"/>
        </row>
        <row r="13898">
          <cell r="U13898"/>
        </row>
        <row r="13899">
          <cell r="U13899"/>
        </row>
        <row r="13900">
          <cell r="U13900"/>
        </row>
        <row r="13901">
          <cell r="U13901"/>
        </row>
        <row r="13902">
          <cell r="U13902"/>
        </row>
        <row r="13903">
          <cell r="U13903"/>
        </row>
        <row r="13904">
          <cell r="U13904"/>
        </row>
        <row r="13905">
          <cell r="U13905"/>
        </row>
        <row r="13906">
          <cell r="U13906"/>
        </row>
        <row r="13907">
          <cell r="U13907"/>
        </row>
        <row r="13908">
          <cell r="U13908"/>
        </row>
        <row r="13909">
          <cell r="U13909"/>
        </row>
        <row r="13910">
          <cell r="U13910"/>
        </row>
        <row r="13911">
          <cell r="U13911"/>
        </row>
        <row r="13912">
          <cell r="U13912"/>
        </row>
        <row r="13913">
          <cell r="U13913"/>
        </row>
        <row r="13914">
          <cell r="U13914"/>
        </row>
        <row r="13915">
          <cell r="U13915"/>
        </row>
        <row r="13916">
          <cell r="U13916"/>
        </row>
        <row r="13917">
          <cell r="U13917"/>
        </row>
        <row r="13918">
          <cell r="U13918"/>
        </row>
        <row r="13919">
          <cell r="U13919"/>
        </row>
        <row r="13920">
          <cell r="U13920"/>
        </row>
        <row r="13921">
          <cell r="U13921"/>
        </row>
        <row r="13922">
          <cell r="U13922"/>
        </row>
        <row r="13923">
          <cell r="U13923"/>
        </row>
        <row r="13924">
          <cell r="U13924"/>
        </row>
        <row r="13925">
          <cell r="U13925"/>
        </row>
        <row r="13926">
          <cell r="U13926"/>
        </row>
        <row r="13927">
          <cell r="U13927"/>
        </row>
        <row r="13928">
          <cell r="U13928"/>
        </row>
        <row r="13929">
          <cell r="U13929"/>
        </row>
        <row r="13930">
          <cell r="U13930"/>
        </row>
        <row r="13931">
          <cell r="U13931"/>
        </row>
        <row r="13932">
          <cell r="U13932"/>
        </row>
        <row r="13933">
          <cell r="U13933"/>
        </row>
        <row r="13934">
          <cell r="U13934"/>
        </row>
        <row r="13935">
          <cell r="U13935"/>
        </row>
        <row r="13936">
          <cell r="U13936"/>
        </row>
        <row r="13937">
          <cell r="U13937"/>
        </row>
        <row r="13938">
          <cell r="U13938"/>
        </row>
        <row r="13939">
          <cell r="U13939"/>
        </row>
        <row r="13940">
          <cell r="U13940"/>
        </row>
        <row r="13941">
          <cell r="U13941"/>
        </row>
        <row r="13942">
          <cell r="U13942"/>
        </row>
        <row r="13943">
          <cell r="U13943"/>
        </row>
        <row r="13944">
          <cell r="U13944"/>
        </row>
        <row r="13945">
          <cell r="U13945"/>
        </row>
        <row r="13946">
          <cell r="U13946"/>
        </row>
        <row r="13947">
          <cell r="U13947"/>
        </row>
        <row r="13948">
          <cell r="U13948"/>
        </row>
        <row r="13949">
          <cell r="U13949"/>
        </row>
        <row r="13950">
          <cell r="U13950"/>
        </row>
        <row r="13951">
          <cell r="U13951"/>
        </row>
        <row r="13952">
          <cell r="U13952"/>
        </row>
        <row r="13953">
          <cell r="U13953"/>
        </row>
        <row r="13954">
          <cell r="U13954"/>
        </row>
        <row r="13955">
          <cell r="U13955"/>
        </row>
        <row r="13956">
          <cell r="U13956"/>
        </row>
        <row r="13957">
          <cell r="U13957"/>
        </row>
        <row r="13958">
          <cell r="U13958"/>
        </row>
        <row r="13959">
          <cell r="U13959"/>
        </row>
        <row r="13960">
          <cell r="U13960"/>
        </row>
        <row r="13961">
          <cell r="U13961"/>
        </row>
        <row r="13962">
          <cell r="U13962"/>
        </row>
        <row r="13963">
          <cell r="U13963"/>
        </row>
        <row r="13964">
          <cell r="U13964"/>
        </row>
        <row r="13965">
          <cell r="U13965"/>
        </row>
        <row r="13966">
          <cell r="U13966"/>
        </row>
        <row r="13967">
          <cell r="U13967"/>
        </row>
        <row r="13968">
          <cell r="U13968"/>
        </row>
        <row r="13969">
          <cell r="U13969"/>
        </row>
        <row r="13970">
          <cell r="U13970"/>
        </row>
        <row r="13971">
          <cell r="U13971"/>
        </row>
        <row r="13972">
          <cell r="U13972"/>
        </row>
        <row r="13973">
          <cell r="U13973"/>
        </row>
        <row r="13974">
          <cell r="U13974"/>
        </row>
        <row r="13975">
          <cell r="U13975"/>
        </row>
        <row r="13976">
          <cell r="U13976"/>
        </row>
        <row r="13977">
          <cell r="U13977"/>
        </row>
        <row r="13978">
          <cell r="U13978"/>
        </row>
        <row r="13979">
          <cell r="U13979"/>
        </row>
        <row r="13980">
          <cell r="U13980"/>
        </row>
        <row r="13981">
          <cell r="U13981"/>
        </row>
        <row r="13982">
          <cell r="U13982"/>
        </row>
        <row r="13983">
          <cell r="U13983"/>
        </row>
        <row r="13984">
          <cell r="U13984"/>
        </row>
        <row r="13985">
          <cell r="U13985"/>
        </row>
        <row r="13986">
          <cell r="U13986"/>
        </row>
        <row r="13987">
          <cell r="U13987"/>
        </row>
        <row r="13988">
          <cell r="U13988"/>
        </row>
        <row r="13989">
          <cell r="U13989"/>
        </row>
        <row r="13990">
          <cell r="U13990"/>
        </row>
        <row r="13991">
          <cell r="U13991"/>
        </row>
        <row r="13992">
          <cell r="U13992"/>
        </row>
        <row r="13993">
          <cell r="U13993"/>
        </row>
        <row r="13994">
          <cell r="U13994"/>
        </row>
        <row r="13995">
          <cell r="U13995"/>
        </row>
        <row r="13996">
          <cell r="U13996"/>
        </row>
        <row r="13997">
          <cell r="U13997"/>
        </row>
        <row r="13998">
          <cell r="U13998"/>
        </row>
        <row r="13999">
          <cell r="U13999"/>
        </row>
        <row r="14000">
          <cell r="U14000"/>
        </row>
        <row r="14001">
          <cell r="U14001"/>
        </row>
        <row r="14002">
          <cell r="U14002"/>
        </row>
        <row r="14003">
          <cell r="U14003"/>
        </row>
        <row r="14004">
          <cell r="U14004"/>
        </row>
        <row r="14005">
          <cell r="U14005"/>
        </row>
        <row r="14006">
          <cell r="U14006"/>
        </row>
        <row r="14007">
          <cell r="U14007"/>
        </row>
        <row r="14008">
          <cell r="U14008"/>
        </row>
        <row r="14009">
          <cell r="U14009"/>
        </row>
        <row r="14010">
          <cell r="U14010"/>
        </row>
        <row r="14011">
          <cell r="U14011"/>
        </row>
        <row r="14012">
          <cell r="U14012"/>
        </row>
        <row r="14013">
          <cell r="U14013"/>
        </row>
        <row r="14014">
          <cell r="U14014"/>
        </row>
        <row r="14015">
          <cell r="U14015"/>
        </row>
        <row r="14016">
          <cell r="U14016"/>
        </row>
        <row r="14017">
          <cell r="U14017"/>
        </row>
        <row r="14018">
          <cell r="U14018"/>
        </row>
        <row r="14019">
          <cell r="U14019"/>
        </row>
        <row r="14020">
          <cell r="U14020"/>
        </row>
        <row r="14021">
          <cell r="U14021"/>
        </row>
        <row r="14022">
          <cell r="U14022"/>
        </row>
        <row r="14023">
          <cell r="U14023"/>
        </row>
        <row r="14024">
          <cell r="U14024"/>
        </row>
        <row r="14025">
          <cell r="U14025"/>
        </row>
        <row r="14026">
          <cell r="U14026"/>
        </row>
        <row r="14027">
          <cell r="U14027"/>
        </row>
        <row r="14028">
          <cell r="U14028"/>
        </row>
        <row r="14029">
          <cell r="U14029"/>
        </row>
        <row r="14030">
          <cell r="U14030"/>
        </row>
        <row r="14031">
          <cell r="U14031"/>
        </row>
        <row r="14032">
          <cell r="U14032"/>
        </row>
        <row r="14033">
          <cell r="U14033"/>
        </row>
        <row r="14034">
          <cell r="U14034"/>
        </row>
        <row r="14035">
          <cell r="U14035"/>
        </row>
        <row r="14036">
          <cell r="U14036"/>
        </row>
        <row r="14037">
          <cell r="U14037"/>
        </row>
        <row r="14038">
          <cell r="U14038"/>
        </row>
        <row r="14039">
          <cell r="U14039"/>
        </row>
        <row r="14040">
          <cell r="U14040"/>
        </row>
        <row r="14041">
          <cell r="U14041"/>
        </row>
        <row r="14042">
          <cell r="U14042"/>
        </row>
        <row r="14043">
          <cell r="U14043"/>
        </row>
        <row r="14044">
          <cell r="U14044"/>
        </row>
        <row r="14045">
          <cell r="U14045"/>
        </row>
        <row r="14046">
          <cell r="U14046"/>
        </row>
        <row r="14047">
          <cell r="U14047"/>
        </row>
        <row r="14048">
          <cell r="U14048"/>
        </row>
        <row r="14049">
          <cell r="U14049"/>
        </row>
        <row r="14050">
          <cell r="U14050"/>
        </row>
        <row r="14051">
          <cell r="U14051"/>
        </row>
        <row r="14052">
          <cell r="U14052"/>
        </row>
        <row r="14053">
          <cell r="U14053"/>
        </row>
        <row r="14054">
          <cell r="U14054"/>
        </row>
        <row r="14055">
          <cell r="U14055"/>
        </row>
        <row r="14056">
          <cell r="U14056"/>
        </row>
        <row r="14057">
          <cell r="U14057"/>
        </row>
        <row r="14058">
          <cell r="U14058"/>
        </row>
        <row r="14059">
          <cell r="U14059"/>
        </row>
        <row r="14060">
          <cell r="U14060"/>
        </row>
        <row r="14061">
          <cell r="U14061"/>
        </row>
        <row r="14062">
          <cell r="U14062"/>
        </row>
        <row r="14063">
          <cell r="U14063"/>
        </row>
        <row r="14064">
          <cell r="U14064"/>
        </row>
        <row r="14065">
          <cell r="U14065"/>
        </row>
        <row r="14066">
          <cell r="U14066"/>
        </row>
        <row r="14067">
          <cell r="U14067"/>
        </row>
        <row r="14068">
          <cell r="U14068"/>
        </row>
        <row r="14069">
          <cell r="U14069"/>
        </row>
        <row r="14070">
          <cell r="U14070"/>
        </row>
        <row r="14071">
          <cell r="U14071"/>
        </row>
        <row r="14072">
          <cell r="U14072"/>
        </row>
        <row r="14073">
          <cell r="U14073"/>
        </row>
        <row r="14074">
          <cell r="U14074"/>
        </row>
        <row r="14075">
          <cell r="U14075"/>
        </row>
        <row r="14076">
          <cell r="U14076"/>
        </row>
        <row r="14077">
          <cell r="U14077"/>
        </row>
        <row r="14078">
          <cell r="U14078"/>
        </row>
        <row r="14079">
          <cell r="U14079"/>
        </row>
        <row r="14080">
          <cell r="U14080"/>
        </row>
        <row r="14081">
          <cell r="U14081"/>
        </row>
        <row r="14082">
          <cell r="U14082"/>
        </row>
        <row r="14083">
          <cell r="U14083"/>
        </row>
        <row r="14084">
          <cell r="U14084"/>
        </row>
        <row r="14085">
          <cell r="U14085"/>
        </row>
        <row r="14086">
          <cell r="U14086"/>
        </row>
        <row r="14087">
          <cell r="U14087"/>
        </row>
        <row r="14088">
          <cell r="U14088"/>
        </row>
        <row r="14089">
          <cell r="U14089"/>
        </row>
        <row r="14090">
          <cell r="U14090"/>
        </row>
        <row r="14091">
          <cell r="U14091"/>
        </row>
        <row r="14092">
          <cell r="U14092"/>
        </row>
        <row r="14093">
          <cell r="U14093"/>
        </row>
        <row r="14094">
          <cell r="U14094"/>
        </row>
        <row r="14095">
          <cell r="U14095"/>
        </row>
        <row r="14096">
          <cell r="U14096"/>
        </row>
        <row r="14097">
          <cell r="U14097"/>
        </row>
        <row r="14098">
          <cell r="U14098"/>
        </row>
        <row r="14099">
          <cell r="U14099"/>
        </row>
        <row r="14100">
          <cell r="U14100"/>
        </row>
        <row r="14101">
          <cell r="U14101"/>
        </row>
        <row r="14102">
          <cell r="U14102"/>
        </row>
        <row r="14103">
          <cell r="U14103"/>
        </row>
        <row r="14104">
          <cell r="U14104"/>
        </row>
        <row r="14105">
          <cell r="U14105"/>
        </row>
        <row r="14106">
          <cell r="U14106"/>
        </row>
        <row r="14107">
          <cell r="U14107"/>
        </row>
        <row r="14108">
          <cell r="U14108"/>
        </row>
        <row r="14109">
          <cell r="U14109"/>
        </row>
        <row r="14110">
          <cell r="U14110"/>
        </row>
        <row r="14111">
          <cell r="U14111"/>
        </row>
        <row r="14112">
          <cell r="U14112"/>
        </row>
        <row r="14113">
          <cell r="U14113"/>
        </row>
        <row r="14114">
          <cell r="U14114"/>
        </row>
        <row r="14115">
          <cell r="U14115"/>
        </row>
        <row r="14116">
          <cell r="U14116"/>
        </row>
        <row r="14117">
          <cell r="U14117"/>
        </row>
        <row r="14118">
          <cell r="U14118"/>
        </row>
        <row r="14119">
          <cell r="U14119"/>
        </row>
        <row r="14120">
          <cell r="U14120"/>
        </row>
        <row r="14121">
          <cell r="U14121"/>
        </row>
        <row r="14122">
          <cell r="U14122"/>
        </row>
        <row r="14123">
          <cell r="U14123"/>
        </row>
        <row r="14124">
          <cell r="U14124"/>
        </row>
        <row r="14125">
          <cell r="U14125"/>
        </row>
        <row r="14126">
          <cell r="U14126"/>
        </row>
        <row r="14127">
          <cell r="U14127"/>
        </row>
        <row r="14128">
          <cell r="U14128"/>
        </row>
        <row r="14129">
          <cell r="U14129"/>
        </row>
        <row r="14130">
          <cell r="U14130"/>
        </row>
        <row r="14131">
          <cell r="U14131"/>
        </row>
        <row r="14132">
          <cell r="U14132"/>
        </row>
        <row r="14133">
          <cell r="U14133"/>
        </row>
        <row r="14134">
          <cell r="U14134"/>
        </row>
        <row r="14135">
          <cell r="U14135"/>
        </row>
        <row r="14136">
          <cell r="U14136"/>
        </row>
        <row r="14137">
          <cell r="U14137"/>
        </row>
        <row r="14138">
          <cell r="U14138"/>
        </row>
        <row r="14139">
          <cell r="U14139"/>
        </row>
        <row r="14140">
          <cell r="U14140"/>
        </row>
        <row r="14141">
          <cell r="U14141"/>
        </row>
        <row r="14142">
          <cell r="U14142"/>
        </row>
        <row r="14143">
          <cell r="U14143"/>
        </row>
        <row r="14144">
          <cell r="U14144"/>
        </row>
        <row r="14145">
          <cell r="U14145"/>
        </row>
        <row r="14146">
          <cell r="U14146"/>
        </row>
        <row r="14147">
          <cell r="U14147"/>
        </row>
        <row r="14148">
          <cell r="U14148"/>
        </row>
        <row r="14149">
          <cell r="U14149"/>
        </row>
        <row r="14150">
          <cell r="U14150"/>
        </row>
        <row r="14151">
          <cell r="U14151"/>
        </row>
        <row r="14152">
          <cell r="U14152"/>
        </row>
        <row r="14153">
          <cell r="U14153"/>
        </row>
        <row r="14154">
          <cell r="U14154"/>
        </row>
        <row r="14155">
          <cell r="U14155"/>
        </row>
        <row r="14156">
          <cell r="U14156"/>
        </row>
        <row r="14157">
          <cell r="U14157"/>
        </row>
        <row r="14158">
          <cell r="U14158"/>
        </row>
        <row r="14159">
          <cell r="U14159"/>
        </row>
        <row r="14160">
          <cell r="U14160"/>
        </row>
        <row r="14161">
          <cell r="U14161"/>
        </row>
        <row r="14162">
          <cell r="U14162"/>
        </row>
        <row r="14163">
          <cell r="U14163"/>
        </row>
        <row r="14164">
          <cell r="U14164"/>
        </row>
        <row r="14165">
          <cell r="U14165"/>
        </row>
        <row r="14166">
          <cell r="U14166"/>
        </row>
        <row r="14167">
          <cell r="U14167"/>
        </row>
        <row r="14168">
          <cell r="U14168"/>
        </row>
        <row r="14169">
          <cell r="U14169"/>
        </row>
        <row r="14170">
          <cell r="U14170"/>
        </row>
        <row r="14171">
          <cell r="U14171"/>
        </row>
        <row r="14172">
          <cell r="U14172"/>
        </row>
        <row r="14173">
          <cell r="U14173"/>
        </row>
        <row r="14174">
          <cell r="U14174"/>
        </row>
        <row r="14175">
          <cell r="U14175"/>
        </row>
        <row r="14176">
          <cell r="U14176"/>
        </row>
        <row r="14177">
          <cell r="U14177"/>
        </row>
        <row r="14178">
          <cell r="U14178"/>
        </row>
        <row r="14179">
          <cell r="U14179"/>
        </row>
        <row r="14180">
          <cell r="U14180"/>
        </row>
        <row r="14181">
          <cell r="U14181"/>
        </row>
        <row r="14182">
          <cell r="U14182"/>
        </row>
        <row r="14183">
          <cell r="U14183"/>
        </row>
        <row r="14184">
          <cell r="U14184"/>
        </row>
        <row r="14185">
          <cell r="U14185"/>
        </row>
        <row r="14186">
          <cell r="U14186"/>
        </row>
        <row r="14187">
          <cell r="U14187"/>
        </row>
        <row r="14188">
          <cell r="U14188"/>
        </row>
        <row r="14189">
          <cell r="U14189"/>
        </row>
        <row r="14190">
          <cell r="U14190"/>
        </row>
        <row r="14191">
          <cell r="U14191"/>
        </row>
        <row r="14192">
          <cell r="U14192"/>
        </row>
        <row r="14193">
          <cell r="U14193"/>
        </row>
        <row r="14194">
          <cell r="U14194"/>
        </row>
        <row r="14195">
          <cell r="U14195"/>
        </row>
        <row r="14196">
          <cell r="U14196"/>
        </row>
        <row r="14197">
          <cell r="U14197"/>
        </row>
        <row r="14198">
          <cell r="U14198"/>
        </row>
        <row r="14199">
          <cell r="U14199"/>
        </row>
        <row r="14200">
          <cell r="U14200"/>
        </row>
        <row r="14201">
          <cell r="U14201"/>
        </row>
        <row r="14202">
          <cell r="U14202"/>
        </row>
        <row r="14203">
          <cell r="U14203"/>
        </row>
        <row r="14204">
          <cell r="U14204"/>
        </row>
        <row r="14205">
          <cell r="U14205"/>
        </row>
        <row r="14206">
          <cell r="U14206"/>
        </row>
        <row r="14207">
          <cell r="U14207"/>
        </row>
        <row r="14208">
          <cell r="U14208"/>
        </row>
        <row r="14209">
          <cell r="U14209"/>
        </row>
        <row r="14210">
          <cell r="U14210"/>
        </row>
        <row r="14211">
          <cell r="U14211"/>
        </row>
        <row r="14212">
          <cell r="U14212"/>
        </row>
        <row r="14213">
          <cell r="U14213"/>
        </row>
        <row r="14214">
          <cell r="U14214"/>
        </row>
        <row r="14215">
          <cell r="U14215"/>
        </row>
        <row r="14216">
          <cell r="U14216"/>
        </row>
        <row r="14217">
          <cell r="U14217"/>
        </row>
        <row r="14218">
          <cell r="U14218"/>
        </row>
        <row r="14219">
          <cell r="U14219"/>
        </row>
        <row r="14220">
          <cell r="U14220"/>
        </row>
        <row r="14221">
          <cell r="U14221"/>
        </row>
        <row r="14222">
          <cell r="U14222"/>
        </row>
        <row r="14223">
          <cell r="U14223"/>
        </row>
        <row r="14224">
          <cell r="U14224"/>
        </row>
        <row r="14225">
          <cell r="U14225"/>
        </row>
        <row r="14226">
          <cell r="U14226"/>
        </row>
        <row r="14227">
          <cell r="U14227"/>
        </row>
        <row r="14228">
          <cell r="U14228"/>
        </row>
        <row r="14229">
          <cell r="U14229"/>
        </row>
        <row r="14230">
          <cell r="U14230"/>
        </row>
        <row r="14231">
          <cell r="U14231"/>
        </row>
        <row r="14232">
          <cell r="U14232"/>
        </row>
        <row r="14233">
          <cell r="U14233"/>
        </row>
        <row r="14234">
          <cell r="U14234"/>
        </row>
        <row r="14235">
          <cell r="U14235"/>
        </row>
        <row r="14236">
          <cell r="U14236"/>
        </row>
        <row r="14237">
          <cell r="U14237"/>
        </row>
        <row r="14238">
          <cell r="U14238"/>
        </row>
        <row r="14239">
          <cell r="U14239"/>
        </row>
        <row r="14240">
          <cell r="U14240"/>
        </row>
        <row r="14241">
          <cell r="U14241"/>
        </row>
        <row r="14242">
          <cell r="U14242"/>
        </row>
        <row r="14243">
          <cell r="U14243"/>
        </row>
        <row r="14244">
          <cell r="U14244"/>
        </row>
        <row r="14245">
          <cell r="U14245"/>
        </row>
        <row r="14246">
          <cell r="U14246"/>
        </row>
        <row r="14247">
          <cell r="U14247"/>
        </row>
        <row r="14248">
          <cell r="U14248"/>
        </row>
        <row r="14249">
          <cell r="U14249"/>
        </row>
        <row r="14250">
          <cell r="U14250"/>
        </row>
        <row r="14251">
          <cell r="U14251"/>
        </row>
        <row r="14252">
          <cell r="U14252"/>
        </row>
        <row r="14253">
          <cell r="U14253"/>
        </row>
        <row r="14254">
          <cell r="U14254"/>
        </row>
        <row r="14255">
          <cell r="U14255"/>
        </row>
        <row r="14256">
          <cell r="U14256"/>
        </row>
        <row r="14257">
          <cell r="U14257"/>
        </row>
        <row r="14258">
          <cell r="U14258"/>
        </row>
        <row r="14259">
          <cell r="U14259"/>
        </row>
        <row r="14260">
          <cell r="U14260"/>
        </row>
        <row r="14261">
          <cell r="U14261"/>
        </row>
        <row r="14262">
          <cell r="U14262"/>
        </row>
        <row r="14263">
          <cell r="U14263"/>
        </row>
        <row r="14264">
          <cell r="U14264"/>
        </row>
        <row r="14265">
          <cell r="U14265"/>
        </row>
        <row r="14266">
          <cell r="U14266"/>
        </row>
        <row r="14267">
          <cell r="U14267"/>
        </row>
        <row r="14268">
          <cell r="U14268"/>
        </row>
        <row r="14269">
          <cell r="U14269"/>
        </row>
        <row r="14270">
          <cell r="U14270"/>
        </row>
        <row r="14271">
          <cell r="U14271"/>
        </row>
        <row r="14272">
          <cell r="U14272"/>
        </row>
        <row r="14273">
          <cell r="U14273"/>
        </row>
        <row r="14274">
          <cell r="U14274"/>
        </row>
        <row r="14275">
          <cell r="U14275"/>
        </row>
        <row r="14276">
          <cell r="U14276"/>
        </row>
        <row r="14277">
          <cell r="U14277"/>
        </row>
        <row r="14278">
          <cell r="U14278"/>
        </row>
        <row r="14279">
          <cell r="U14279"/>
        </row>
        <row r="14280">
          <cell r="U14280"/>
        </row>
        <row r="14281">
          <cell r="U14281"/>
        </row>
        <row r="14282">
          <cell r="U14282"/>
        </row>
        <row r="14283">
          <cell r="U14283"/>
        </row>
        <row r="14284">
          <cell r="U14284"/>
        </row>
        <row r="14285">
          <cell r="U14285"/>
        </row>
        <row r="14286">
          <cell r="U14286"/>
        </row>
        <row r="14287">
          <cell r="U14287"/>
        </row>
        <row r="14288">
          <cell r="U14288"/>
        </row>
        <row r="14289">
          <cell r="U14289"/>
        </row>
        <row r="14290">
          <cell r="U14290"/>
        </row>
        <row r="14291">
          <cell r="U14291"/>
        </row>
        <row r="14292">
          <cell r="U14292"/>
        </row>
        <row r="14293">
          <cell r="U14293"/>
        </row>
        <row r="14294">
          <cell r="U14294"/>
        </row>
        <row r="14295">
          <cell r="U14295"/>
        </row>
        <row r="14296">
          <cell r="U14296"/>
        </row>
        <row r="14297">
          <cell r="U14297"/>
        </row>
        <row r="14298">
          <cell r="U14298"/>
        </row>
        <row r="14299">
          <cell r="U14299"/>
        </row>
        <row r="14300">
          <cell r="U14300"/>
        </row>
        <row r="14301">
          <cell r="U14301"/>
        </row>
        <row r="14302">
          <cell r="U14302"/>
        </row>
        <row r="14303">
          <cell r="U14303"/>
        </row>
        <row r="14304">
          <cell r="U14304"/>
        </row>
        <row r="14305">
          <cell r="U14305"/>
        </row>
        <row r="14306">
          <cell r="U14306"/>
        </row>
        <row r="14307">
          <cell r="U14307"/>
        </row>
        <row r="14308">
          <cell r="U14308"/>
        </row>
        <row r="14309">
          <cell r="U14309"/>
        </row>
        <row r="14310">
          <cell r="U14310"/>
        </row>
        <row r="14311">
          <cell r="U14311"/>
        </row>
        <row r="14312">
          <cell r="U14312"/>
        </row>
        <row r="14313">
          <cell r="U14313"/>
        </row>
        <row r="14314">
          <cell r="U14314"/>
        </row>
        <row r="14315">
          <cell r="U14315"/>
        </row>
        <row r="14316">
          <cell r="U14316"/>
        </row>
        <row r="14317">
          <cell r="U14317"/>
        </row>
        <row r="14318">
          <cell r="U14318"/>
        </row>
        <row r="14319">
          <cell r="U14319"/>
        </row>
        <row r="14320">
          <cell r="U14320"/>
        </row>
        <row r="14321">
          <cell r="U14321"/>
        </row>
        <row r="14322">
          <cell r="U14322"/>
        </row>
        <row r="14323">
          <cell r="U14323"/>
        </row>
        <row r="14324">
          <cell r="U14324"/>
        </row>
        <row r="14325">
          <cell r="U14325"/>
        </row>
        <row r="14326">
          <cell r="U14326"/>
        </row>
        <row r="14327">
          <cell r="U14327"/>
        </row>
        <row r="14328">
          <cell r="U14328"/>
        </row>
        <row r="14329">
          <cell r="U14329"/>
        </row>
        <row r="14330">
          <cell r="U14330"/>
        </row>
        <row r="14331">
          <cell r="U14331"/>
        </row>
        <row r="14332">
          <cell r="U14332"/>
        </row>
        <row r="14333">
          <cell r="U14333"/>
        </row>
        <row r="14334">
          <cell r="U14334"/>
        </row>
        <row r="14335">
          <cell r="U14335"/>
        </row>
        <row r="14336">
          <cell r="U14336"/>
        </row>
        <row r="14337">
          <cell r="U14337"/>
        </row>
        <row r="14338">
          <cell r="U14338"/>
        </row>
        <row r="14339">
          <cell r="U14339"/>
        </row>
        <row r="14340">
          <cell r="U14340"/>
        </row>
        <row r="14341">
          <cell r="U14341"/>
        </row>
        <row r="14342">
          <cell r="U14342"/>
        </row>
        <row r="14343">
          <cell r="U14343"/>
        </row>
        <row r="14344">
          <cell r="U14344"/>
        </row>
        <row r="14345">
          <cell r="U14345"/>
        </row>
        <row r="14346">
          <cell r="U14346"/>
        </row>
        <row r="14347">
          <cell r="U14347"/>
        </row>
        <row r="14348">
          <cell r="U14348"/>
        </row>
        <row r="14349">
          <cell r="U14349"/>
        </row>
        <row r="14350">
          <cell r="U14350"/>
        </row>
        <row r="14351">
          <cell r="U14351"/>
        </row>
        <row r="14352">
          <cell r="U14352"/>
        </row>
        <row r="14353">
          <cell r="U14353"/>
        </row>
        <row r="14354">
          <cell r="U14354"/>
        </row>
        <row r="14355">
          <cell r="U14355"/>
        </row>
        <row r="14356">
          <cell r="U14356"/>
        </row>
        <row r="14357">
          <cell r="U14357"/>
        </row>
        <row r="14358">
          <cell r="U14358"/>
        </row>
        <row r="14359">
          <cell r="U14359"/>
        </row>
        <row r="14360">
          <cell r="U14360"/>
        </row>
        <row r="14361">
          <cell r="U14361"/>
        </row>
        <row r="14362">
          <cell r="U14362"/>
        </row>
        <row r="14363">
          <cell r="U14363"/>
        </row>
        <row r="14364">
          <cell r="U14364"/>
        </row>
        <row r="14365">
          <cell r="U14365"/>
        </row>
        <row r="14366">
          <cell r="U14366"/>
        </row>
        <row r="14367">
          <cell r="U14367"/>
        </row>
        <row r="14368">
          <cell r="U14368"/>
        </row>
        <row r="14369">
          <cell r="U14369"/>
        </row>
        <row r="14370">
          <cell r="U14370"/>
        </row>
        <row r="14371">
          <cell r="U14371"/>
        </row>
        <row r="14372">
          <cell r="U14372"/>
        </row>
        <row r="14373">
          <cell r="U14373"/>
        </row>
        <row r="14374">
          <cell r="U14374"/>
        </row>
        <row r="14375">
          <cell r="U14375"/>
        </row>
        <row r="14376">
          <cell r="U14376"/>
        </row>
        <row r="14377">
          <cell r="U14377"/>
        </row>
        <row r="14378">
          <cell r="U14378"/>
        </row>
        <row r="14379">
          <cell r="U14379"/>
        </row>
        <row r="14380">
          <cell r="U14380"/>
        </row>
        <row r="14381">
          <cell r="U14381"/>
        </row>
        <row r="14382">
          <cell r="U14382"/>
        </row>
        <row r="14383">
          <cell r="U14383"/>
        </row>
        <row r="14384">
          <cell r="U14384"/>
        </row>
        <row r="14385">
          <cell r="U14385"/>
        </row>
        <row r="14386">
          <cell r="U14386"/>
        </row>
        <row r="14387">
          <cell r="U14387"/>
        </row>
        <row r="14388">
          <cell r="U14388"/>
        </row>
        <row r="14389">
          <cell r="U14389"/>
        </row>
        <row r="14390">
          <cell r="U14390"/>
        </row>
        <row r="14391">
          <cell r="U14391"/>
        </row>
        <row r="14392">
          <cell r="U14392"/>
        </row>
        <row r="14393">
          <cell r="U14393"/>
        </row>
        <row r="14394">
          <cell r="U14394"/>
        </row>
        <row r="14395">
          <cell r="U14395"/>
        </row>
        <row r="14396">
          <cell r="U14396"/>
        </row>
        <row r="14397">
          <cell r="U14397"/>
        </row>
        <row r="14398">
          <cell r="U14398"/>
        </row>
        <row r="14399">
          <cell r="U14399"/>
        </row>
        <row r="14400">
          <cell r="U14400"/>
        </row>
        <row r="14401">
          <cell r="U14401"/>
        </row>
        <row r="14402">
          <cell r="U14402"/>
        </row>
        <row r="14403">
          <cell r="U14403"/>
        </row>
        <row r="14404">
          <cell r="U14404"/>
        </row>
        <row r="14405">
          <cell r="U14405"/>
        </row>
        <row r="14406">
          <cell r="U14406"/>
        </row>
        <row r="14407">
          <cell r="U14407"/>
        </row>
        <row r="14408">
          <cell r="U14408"/>
        </row>
        <row r="14409">
          <cell r="U14409"/>
        </row>
        <row r="14410">
          <cell r="U14410"/>
        </row>
        <row r="14411">
          <cell r="U14411"/>
        </row>
        <row r="14412">
          <cell r="U14412"/>
        </row>
        <row r="14413">
          <cell r="U14413"/>
        </row>
        <row r="14414">
          <cell r="U14414"/>
        </row>
        <row r="14415">
          <cell r="U14415"/>
        </row>
        <row r="14416">
          <cell r="U14416"/>
        </row>
        <row r="14417">
          <cell r="U14417"/>
        </row>
        <row r="14418">
          <cell r="U14418"/>
        </row>
        <row r="14419">
          <cell r="U14419"/>
        </row>
        <row r="14420">
          <cell r="U14420"/>
        </row>
        <row r="14421">
          <cell r="U14421"/>
        </row>
        <row r="14422">
          <cell r="U14422"/>
        </row>
        <row r="14423">
          <cell r="U14423"/>
        </row>
        <row r="14424">
          <cell r="U14424"/>
        </row>
        <row r="14425">
          <cell r="U14425"/>
        </row>
        <row r="14426">
          <cell r="U14426"/>
        </row>
        <row r="14427">
          <cell r="U14427"/>
        </row>
        <row r="14428">
          <cell r="U14428"/>
        </row>
        <row r="14429">
          <cell r="U14429"/>
        </row>
        <row r="14430">
          <cell r="U14430"/>
        </row>
        <row r="14431">
          <cell r="U14431"/>
        </row>
        <row r="14432">
          <cell r="U14432"/>
        </row>
        <row r="14433">
          <cell r="U14433"/>
        </row>
        <row r="14434">
          <cell r="U14434"/>
        </row>
        <row r="14435">
          <cell r="U14435"/>
        </row>
        <row r="14436">
          <cell r="U14436"/>
        </row>
        <row r="14437">
          <cell r="U14437"/>
        </row>
        <row r="14438">
          <cell r="U14438"/>
        </row>
        <row r="14439">
          <cell r="U14439"/>
        </row>
        <row r="14440">
          <cell r="U14440"/>
        </row>
        <row r="14441">
          <cell r="U14441"/>
        </row>
        <row r="14442">
          <cell r="U14442"/>
        </row>
        <row r="14443">
          <cell r="U14443"/>
        </row>
        <row r="14444">
          <cell r="U14444"/>
        </row>
        <row r="14445">
          <cell r="U14445"/>
        </row>
        <row r="14446">
          <cell r="U14446"/>
        </row>
        <row r="14447">
          <cell r="U14447"/>
        </row>
        <row r="14448">
          <cell r="U14448"/>
        </row>
        <row r="14449">
          <cell r="U14449"/>
        </row>
        <row r="14450">
          <cell r="U14450"/>
        </row>
        <row r="14451">
          <cell r="U14451"/>
        </row>
        <row r="14452">
          <cell r="U14452"/>
        </row>
        <row r="14453">
          <cell r="U14453"/>
        </row>
        <row r="14454">
          <cell r="U14454"/>
        </row>
        <row r="14455">
          <cell r="U14455"/>
        </row>
        <row r="14456">
          <cell r="U14456"/>
        </row>
        <row r="14457">
          <cell r="U14457"/>
        </row>
        <row r="14458">
          <cell r="U14458"/>
        </row>
        <row r="14459">
          <cell r="U14459"/>
        </row>
        <row r="14460">
          <cell r="U14460"/>
        </row>
        <row r="14461">
          <cell r="U14461"/>
        </row>
        <row r="14462">
          <cell r="U14462"/>
        </row>
        <row r="14463">
          <cell r="U14463"/>
        </row>
        <row r="14464">
          <cell r="U14464"/>
        </row>
        <row r="14465">
          <cell r="U14465"/>
        </row>
        <row r="14466">
          <cell r="U14466"/>
        </row>
        <row r="14467">
          <cell r="U14467"/>
        </row>
        <row r="14468">
          <cell r="U14468"/>
        </row>
        <row r="14469">
          <cell r="U14469"/>
        </row>
        <row r="14470">
          <cell r="U14470"/>
        </row>
        <row r="14471">
          <cell r="U14471"/>
        </row>
        <row r="14472">
          <cell r="U14472"/>
        </row>
        <row r="14473">
          <cell r="U14473"/>
        </row>
        <row r="14474">
          <cell r="U14474"/>
        </row>
        <row r="14475">
          <cell r="U14475"/>
        </row>
        <row r="14476">
          <cell r="U14476"/>
        </row>
        <row r="14477">
          <cell r="U14477"/>
        </row>
        <row r="14478">
          <cell r="U14478"/>
        </row>
        <row r="14479">
          <cell r="U14479"/>
        </row>
        <row r="14480">
          <cell r="U14480"/>
        </row>
        <row r="14481">
          <cell r="U14481"/>
        </row>
        <row r="14482">
          <cell r="U14482"/>
        </row>
        <row r="14483">
          <cell r="U14483"/>
        </row>
        <row r="14484">
          <cell r="U14484"/>
        </row>
        <row r="14485">
          <cell r="U14485"/>
        </row>
        <row r="14486">
          <cell r="U14486"/>
        </row>
        <row r="14487">
          <cell r="U14487"/>
        </row>
        <row r="14488">
          <cell r="U14488"/>
        </row>
        <row r="14489">
          <cell r="U14489"/>
        </row>
        <row r="14490">
          <cell r="U14490"/>
        </row>
        <row r="14491">
          <cell r="U14491"/>
        </row>
        <row r="14492">
          <cell r="U14492"/>
        </row>
        <row r="14493">
          <cell r="U14493"/>
        </row>
        <row r="14494">
          <cell r="U14494"/>
        </row>
        <row r="14495">
          <cell r="U14495"/>
        </row>
        <row r="14496">
          <cell r="U14496"/>
        </row>
        <row r="14497">
          <cell r="U14497"/>
        </row>
        <row r="14498">
          <cell r="U14498"/>
        </row>
        <row r="14499">
          <cell r="U14499"/>
        </row>
        <row r="14500">
          <cell r="U14500"/>
        </row>
        <row r="14501">
          <cell r="U14501"/>
        </row>
        <row r="14502">
          <cell r="U14502"/>
        </row>
        <row r="14503">
          <cell r="U14503"/>
        </row>
        <row r="14504">
          <cell r="U14504"/>
        </row>
        <row r="14505">
          <cell r="U14505"/>
        </row>
        <row r="14506">
          <cell r="U14506"/>
        </row>
        <row r="14507">
          <cell r="U14507"/>
        </row>
        <row r="14508">
          <cell r="U14508"/>
        </row>
        <row r="14509">
          <cell r="U14509"/>
        </row>
        <row r="14510">
          <cell r="U14510"/>
        </row>
        <row r="14511">
          <cell r="U14511"/>
        </row>
        <row r="14512">
          <cell r="U14512"/>
        </row>
        <row r="14513">
          <cell r="U14513"/>
        </row>
        <row r="14514">
          <cell r="U14514"/>
        </row>
        <row r="14515">
          <cell r="U14515"/>
        </row>
        <row r="14516">
          <cell r="U14516"/>
        </row>
        <row r="14517">
          <cell r="U14517"/>
        </row>
        <row r="14518">
          <cell r="U14518"/>
        </row>
        <row r="14519">
          <cell r="U14519"/>
        </row>
        <row r="14520">
          <cell r="U14520"/>
        </row>
        <row r="14521">
          <cell r="U14521"/>
        </row>
        <row r="14522">
          <cell r="U14522"/>
        </row>
        <row r="14523">
          <cell r="U14523"/>
        </row>
        <row r="14524">
          <cell r="U14524"/>
        </row>
        <row r="14525">
          <cell r="U14525"/>
        </row>
        <row r="14526">
          <cell r="U14526"/>
        </row>
        <row r="14527">
          <cell r="U14527"/>
        </row>
        <row r="14528">
          <cell r="U14528"/>
        </row>
        <row r="14529">
          <cell r="U14529"/>
        </row>
        <row r="14530">
          <cell r="U14530"/>
        </row>
        <row r="14531">
          <cell r="U14531"/>
        </row>
        <row r="14532">
          <cell r="U14532"/>
        </row>
        <row r="14533">
          <cell r="U14533"/>
        </row>
        <row r="14534">
          <cell r="U14534"/>
        </row>
        <row r="14535">
          <cell r="U14535"/>
        </row>
        <row r="14536">
          <cell r="U14536"/>
        </row>
        <row r="14537">
          <cell r="U14537"/>
        </row>
        <row r="14538">
          <cell r="U14538"/>
        </row>
        <row r="14539">
          <cell r="U14539"/>
        </row>
        <row r="14540">
          <cell r="U14540"/>
        </row>
        <row r="14541">
          <cell r="U14541"/>
        </row>
        <row r="14542">
          <cell r="U14542"/>
        </row>
        <row r="14543">
          <cell r="U14543"/>
        </row>
        <row r="14544">
          <cell r="U14544"/>
        </row>
        <row r="14545">
          <cell r="U14545"/>
        </row>
        <row r="14546">
          <cell r="U14546"/>
        </row>
        <row r="14547">
          <cell r="U14547"/>
        </row>
        <row r="14548">
          <cell r="U14548"/>
        </row>
        <row r="14549">
          <cell r="U14549"/>
        </row>
        <row r="14550">
          <cell r="U14550"/>
        </row>
        <row r="14551">
          <cell r="U14551"/>
        </row>
        <row r="14552">
          <cell r="U14552"/>
        </row>
        <row r="14553">
          <cell r="U14553"/>
        </row>
        <row r="14554">
          <cell r="U14554"/>
        </row>
        <row r="14555">
          <cell r="U14555"/>
        </row>
        <row r="14556">
          <cell r="U14556"/>
        </row>
        <row r="14557">
          <cell r="U14557"/>
        </row>
        <row r="14558">
          <cell r="U14558"/>
        </row>
        <row r="14559">
          <cell r="U14559"/>
        </row>
        <row r="14560">
          <cell r="U14560"/>
        </row>
        <row r="14561">
          <cell r="U14561"/>
        </row>
        <row r="14562">
          <cell r="U14562"/>
        </row>
        <row r="14563">
          <cell r="U14563"/>
        </row>
        <row r="14564">
          <cell r="U14564"/>
        </row>
        <row r="14565">
          <cell r="U14565"/>
        </row>
        <row r="14566">
          <cell r="U14566"/>
        </row>
        <row r="14567">
          <cell r="U14567"/>
        </row>
        <row r="14568">
          <cell r="U14568"/>
        </row>
        <row r="14569">
          <cell r="U14569"/>
        </row>
        <row r="14570">
          <cell r="U14570"/>
        </row>
        <row r="14571">
          <cell r="U14571"/>
        </row>
        <row r="14572">
          <cell r="U14572"/>
        </row>
        <row r="14573">
          <cell r="U14573"/>
        </row>
        <row r="14574">
          <cell r="U14574"/>
        </row>
        <row r="14575">
          <cell r="U14575"/>
        </row>
        <row r="14576">
          <cell r="U14576"/>
        </row>
        <row r="14577">
          <cell r="U14577"/>
        </row>
        <row r="14578">
          <cell r="U14578"/>
        </row>
        <row r="14579">
          <cell r="U14579"/>
        </row>
        <row r="14580">
          <cell r="U14580"/>
        </row>
        <row r="14581">
          <cell r="U14581"/>
        </row>
        <row r="14582">
          <cell r="U14582"/>
        </row>
        <row r="14583">
          <cell r="U14583"/>
        </row>
        <row r="14584">
          <cell r="U14584"/>
        </row>
        <row r="14585">
          <cell r="U14585"/>
        </row>
        <row r="14586">
          <cell r="U14586"/>
        </row>
        <row r="14587">
          <cell r="U14587"/>
        </row>
        <row r="14588">
          <cell r="U14588"/>
        </row>
        <row r="14589">
          <cell r="U14589"/>
        </row>
        <row r="14590">
          <cell r="U14590"/>
        </row>
        <row r="14591">
          <cell r="U14591"/>
        </row>
        <row r="14592">
          <cell r="U14592"/>
        </row>
        <row r="14593">
          <cell r="U14593"/>
        </row>
        <row r="14594">
          <cell r="U14594"/>
        </row>
        <row r="14595">
          <cell r="U14595"/>
        </row>
        <row r="14596">
          <cell r="U14596"/>
        </row>
        <row r="14597">
          <cell r="U14597"/>
        </row>
        <row r="14598">
          <cell r="U14598"/>
        </row>
        <row r="14599">
          <cell r="U14599"/>
        </row>
        <row r="14600">
          <cell r="U14600"/>
        </row>
        <row r="14601">
          <cell r="U14601"/>
        </row>
        <row r="14602">
          <cell r="U14602"/>
        </row>
        <row r="14603">
          <cell r="U14603"/>
        </row>
        <row r="14604">
          <cell r="U14604"/>
        </row>
        <row r="14605">
          <cell r="U14605"/>
        </row>
        <row r="14606">
          <cell r="U14606"/>
        </row>
        <row r="14607">
          <cell r="U14607"/>
        </row>
        <row r="14608">
          <cell r="U14608"/>
        </row>
        <row r="14609">
          <cell r="U14609"/>
        </row>
        <row r="14610">
          <cell r="U14610"/>
        </row>
        <row r="14611">
          <cell r="U14611"/>
        </row>
        <row r="14612">
          <cell r="U14612"/>
        </row>
        <row r="14613">
          <cell r="U14613"/>
        </row>
        <row r="14614">
          <cell r="U14614"/>
        </row>
        <row r="14615">
          <cell r="U14615"/>
        </row>
        <row r="14616">
          <cell r="U14616"/>
        </row>
        <row r="14617">
          <cell r="U14617"/>
        </row>
        <row r="14618">
          <cell r="U14618"/>
        </row>
        <row r="14619">
          <cell r="U14619"/>
        </row>
        <row r="14620">
          <cell r="U14620"/>
        </row>
        <row r="14621">
          <cell r="U14621"/>
        </row>
        <row r="14622">
          <cell r="U14622"/>
        </row>
        <row r="14623">
          <cell r="U14623"/>
        </row>
        <row r="14624">
          <cell r="U14624"/>
        </row>
        <row r="14625">
          <cell r="U14625"/>
        </row>
        <row r="14626">
          <cell r="U14626"/>
        </row>
        <row r="14627">
          <cell r="U14627"/>
        </row>
        <row r="14628">
          <cell r="U14628"/>
        </row>
        <row r="14629">
          <cell r="U14629"/>
        </row>
        <row r="14630">
          <cell r="U14630"/>
        </row>
        <row r="14631">
          <cell r="U14631"/>
        </row>
        <row r="14632">
          <cell r="U14632"/>
        </row>
        <row r="14633">
          <cell r="U14633"/>
        </row>
        <row r="14634">
          <cell r="U14634"/>
        </row>
        <row r="14635">
          <cell r="U14635"/>
        </row>
        <row r="14636">
          <cell r="U14636"/>
        </row>
        <row r="14637">
          <cell r="U14637"/>
        </row>
        <row r="14638">
          <cell r="U14638"/>
        </row>
        <row r="14639">
          <cell r="U14639"/>
        </row>
        <row r="14640">
          <cell r="U14640"/>
        </row>
        <row r="14641">
          <cell r="U14641"/>
        </row>
        <row r="14642">
          <cell r="U14642"/>
        </row>
        <row r="14643">
          <cell r="U14643"/>
        </row>
        <row r="14644">
          <cell r="U14644"/>
        </row>
        <row r="14645">
          <cell r="U14645"/>
        </row>
        <row r="14646">
          <cell r="U14646"/>
        </row>
        <row r="14647">
          <cell r="U14647"/>
        </row>
        <row r="14648">
          <cell r="U14648"/>
        </row>
        <row r="14649">
          <cell r="U14649"/>
        </row>
        <row r="14650">
          <cell r="U14650"/>
        </row>
        <row r="14651">
          <cell r="U14651"/>
        </row>
        <row r="14652">
          <cell r="U14652"/>
        </row>
        <row r="14653">
          <cell r="U14653"/>
        </row>
        <row r="14654">
          <cell r="U14654"/>
        </row>
        <row r="14655">
          <cell r="U14655"/>
        </row>
        <row r="14656">
          <cell r="U14656"/>
        </row>
        <row r="14657">
          <cell r="U14657"/>
        </row>
        <row r="14658">
          <cell r="U14658"/>
        </row>
        <row r="14659">
          <cell r="U14659"/>
        </row>
        <row r="14660">
          <cell r="U14660"/>
        </row>
        <row r="14661">
          <cell r="U14661"/>
        </row>
        <row r="14662">
          <cell r="U14662"/>
        </row>
        <row r="14663">
          <cell r="U14663"/>
        </row>
        <row r="14664">
          <cell r="U14664"/>
        </row>
        <row r="14665">
          <cell r="U14665"/>
        </row>
        <row r="14666">
          <cell r="U14666"/>
        </row>
        <row r="14667">
          <cell r="U14667"/>
        </row>
        <row r="14668">
          <cell r="U14668"/>
        </row>
        <row r="14669">
          <cell r="U14669"/>
        </row>
        <row r="14670">
          <cell r="U14670"/>
        </row>
        <row r="14671">
          <cell r="U14671"/>
        </row>
        <row r="14672">
          <cell r="U14672"/>
        </row>
        <row r="14673">
          <cell r="U14673"/>
        </row>
        <row r="14674">
          <cell r="U14674"/>
        </row>
        <row r="14675">
          <cell r="U14675"/>
        </row>
        <row r="14676">
          <cell r="U14676"/>
        </row>
        <row r="14677">
          <cell r="U14677"/>
        </row>
        <row r="14678">
          <cell r="U14678"/>
        </row>
        <row r="14679">
          <cell r="U14679"/>
        </row>
        <row r="14680">
          <cell r="U14680"/>
        </row>
        <row r="14681">
          <cell r="U14681"/>
        </row>
        <row r="14682">
          <cell r="U14682"/>
        </row>
        <row r="14683">
          <cell r="U14683"/>
        </row>
        <row r="14684">
          <cell r="U14684"/>
        </row>
        <row r="14685">
          <cell r="U14685"/>
        </row>
        <row r="14686">
          <cell r="U14686"/>
        </row>
        <row r="14687">
          <cell r="U14687"/>
        </row>
        <row r="14688">
          <cell r="U14688"/>
        </row>
        <row r="14689">
          <cell r="U14689"/>
        </row>
        <row r="14690">
          <cell r="U14690"/>
        </row>
        <row r="14691">
          <cell r="U14691"/>
        </row>
        <row r="14692">
          <cell r="U14692"/>
        </row>
        <row r="14693">
          <cell r="U14693"/>
        </row>
        <row r="14694">
          <cell r="U14694"/>
        </row>
        <row r="14695">
          <cell r="U14695"/>
        </row>
        <row r="14696">
          <cell r="U14696"/>
        </row>
        <row r="14697">
          <cell r="U14697"/>
        </row>
        <row r="14698">
          <cell r="U14698"/>
        </row>
        <row r="14699">
          <cell r="U14699"/>
        </row>
        <row r="14700">
          <cell r="U14700"/>
        </row>
        <row r="14701">
          <cell r="U14701"/>
        </row>
        <row r="14702">
          <cell r="U14702"/>
        </row>
        <row r="14703">
          <cell r="U14703"/>
        </row>
        <row r="14704">
          <cell r="U14704"/>
        </row>
        <row r="14705">
          <cell r="U14705"/>
        </row>
        <row r="14706">
          <cell r="U14706"/>
        </row>
        <row r="14707">
          <cell r="U14707"/>
        </row>
        <row r="14708">
          <cell r="U14708"/>
        </row>
        <row r="14709">
          <cell r="U14709"/>
        </row>
        <row r="14710">
          <cell r="U14710"/>
        </row>
        <row r="14711">
          <cell r="U14711"/>
        </row>
        <row r="14712">
          <cell r="U14712"/>
        </row>
        <row r="14713">
          <cell r="U14713"/>
        </row>
        <row r="14714">
          <cell r="U14714"/>
        </row>
        <row r="14715">
          <cell r="U14715"/>
        </row>
        <row r="14716">
          <cell r="U14716"/>
        </row>
        <row r="14717">
          <cell r="U14717"/>
        </row>
        <row r="14718">
          <cell r="U14718"/>
        </row>
        <row r="14719">
          <cell r="U14719"/>
        </row>
        <row r="14720">
          <cell r="U14720"/>
        </row>
        <row r="14721">
          <cell r="U14721"/>
        </row>
        <row r="14722">
          <cell r="U14722"/>
        </row>
        <row r="14723">
          <cell r="U14723"/>
        </row>
        <row r="14724">
          <cell r="U14724"/>
        </row>
        <row r="14725">
          <cell r="U14725"/>
        </row>
        <row r="14726">
          <cell r="U14726"/>
        </row>
        <row r="14727">
          <cell r="U14727"/>
        </row>
        <row r="14728">
          <cell r="U14728"/>
        </row>
        <row r="14729">
          <cell r="U14729"/>
        </row>
        <row r="14730">
          <cell r="U14730"/>
        </row>
        <row r="14731">
          <cell r="U14731"/>
        </row>
        <row r="14732">
          <cell r="U14732"/>
        </row>
        <row r="14733">
          <cell r="U14733"/>
        </row>
        <row r="14734">
          <cell r="U14734"/>
        </row>
        <row r="14735">
          <cell r="U14735"/>
        </row>
        <row r="14736">
          <cell r="U14736"/>
        </row>
        <row r="14737">
          <cell r="U14737"/>
        </row>
        <row r="14738">
          <cell r="U14738"/>
        </row>
        <row r="14739">
          <cell r="U14739"/>
        </row>
        <row r="14740">
          <cell r="U14740"/>
        </row>
        <row r="14741">
          <cell r="U14741"/>
        </row>
        <row r="14742">
          <cell r="U14742"/>
        </row>
        <row r="14743">
          <cell r="U14743"/>
        </row>
        <row r="14744">
          <cell r="U14744"/>
        </row>
        <row r="14745">
          <cell r="U14745"/>
        </row>
        <row r="14746">
          <cell r="U14746"/>
        </row>
        <row r="14747">
          <cell r="U14747"/>
        </row>
        <row r="14748">
          <cell r="U14748"/>
        </row>
        <row r="14749">
          <cell r="U14749"/>
        </row>
        <row r="14750">
          <cell r="U14750"/>
        </row>
        <row r="14751">
          <cell r="U14751"/>
        </row>
        <row r="14752">
          <cell r="U14752"/>
        </row>
        <row r="14753">
          <cell r="U14753"/>
        </row>
        <row r="14754">
          <cell r="U14754"/>
        </row>
        <row r="14755">
          <cell r="U14755"/>
        </row>
        <row r="14756">
          <cell r="U14756"/>
        </row>
        <row r="14757">
          <cell r="U14757"/>
        </row>
        <row r="14758">
          <cell r="U14758"/>
        </row>
        <row r="14759">
          <cell r="U14759"/>
        </row>
        <row r="14760">
          <cell r="U14760"/>
        </row>
        <row r="14761">
          <cell r="U14761"/>
        </row>
        <row r="14762">
          <cell r="U14762"/>
        </row>
        <row r="14763">
          <cell r="U14763"/>
        </row>
        <row r="14764">
          <cell r="U14764"/>
        </row>
        <row r="14765">
          <cell r="U14765"/>
        </row>
        <row r="14766">
          <cell r="U14766"/>
        </row>
        <row r="14767">
          <cell r="U14767"/>
        </row>
        <row r="14768">
          <cell r="U14768"/>
        </row>
        <row r="14769">
          <cell r="U14769"/>
        </row>
        <row r="14770">
          <cell r="U14770"/>
        </row>
        <row r="14771">
          <cell r="U14771"/>
        </row>
        <row r="14772">
          <cell r="U14772"/>
        </row>
        <row r="14773">
          <cell r="U14773"/>
        </row>
        <row r="14774">
          <cell r="U14774"/>
        </row>
        <row r="14775">
          <cell r="U14775"/>
        </row>
        <row r="14776">
          <cell r="U14776"/>
        </row>
        <row r="14777">
          <cell r="U14777"/>
        </row>
        <row r="14778">
          <cell r="U14778"/>
        </row>
        <row r="14779">
          <cell r="U14779"/>
        </row>
        <row r="14780">
          <cell r="U14780"/>
        </row>
        <row r="14781">
          <cell r="U14781"/>
        </row>
        <row r="14782">
          <cell r="U14782"/>
        </row>
        <row r="14783">
          <cell r="U14783"/>
        </row>
        <row r="14784">
          <cell r="U14784"/>
        </row>
        <row r="14785">
          <cell r="U14785"/>
        </row>
        <row r="14786">
          <cell r="U14786"/>
        </row>
        <row r="14787">
          <cell r="U14787"/>
        </row>
        <row r="14788">
          <cell r="U14788"/>
        </row>
        <row r="14789">
          <cell r="U14789"/>
        </row>
        <row r="14790">
          <cell r="U14790"/>
        </row>
        <row r="14791">
          <cell r="U14791"/>
        </row>
        <row r="14792">
          <cell r="U14792"/>
        </row>
        <row r="14793">
          <cell r="U14793"/>
        </row>
        <row r="14794">
          <cell r="U14794"/>
        </row>
        <row r="14795">
          <cell r="U14795"/>
        </row>
        <row r="14796">
          <cell r="U14796"/>
        </row>
        <row r="14797">
          <cell r="U14797"/>
        </row>
        <row r="14798">
          <cell r="U14798"/>
        </row>
        <row r="14799">
          <cell r="U14799"/>
        </row>
        <row r="14800">
          <cell r="U14800"/>
        </row>
        <row r="14801">
          <cell r="U14801"/>
        </row>
        <row r="14802">
          <cell r="U14802"/>
        </row>
        <row r="14803">
          <cell r="U14803"/>
        </row>
        <row r="14804">
          <cell r="U14804"/>
        </row>
        <row r="14805">
          <cell r="U14805"/>
        </row>
        <row r="14806">
          <cell r="U14806"/>
        </row>
        <row r="14807">
          <cell r="U14807"/>
        </row>
        <row r="14808">
          <cell r="U14808"/>
        </row>
        <row r="14809">
          <cell r="U14809"/>
        </row>
        <row r="14810">
          <cell r="U14810"/>
        </row>
        <row r="14811">
          <cell r="U14811"/>
        </row>
        <row r="14812">
          <cell r="U14812"/>
        </row>
        <row r="14813">
          <cell r="U14813"/>
        </row>
        <row r="14814">
          <cell r="U14814"/>
        </row>
        <row r="14815">
          <cell r="U14815"/>
        </row>
        <row r="14816">
          <cell r="U14816"/>
        </row>
        <row r="14817">
          <cell r="U14817"/>
        </row>
        <row r="14818">
          <cell r="U14818"/>
        </row>
        <row r="14819">
          <cell r="U14819"/>
        </row>
        <row r="14820">
          <cell r="U14820"/>
        </row>
        <row r="14821">
          <cell r="U14821"/>
        </row>
        <row r="14822">
          <cell r="U14822"/>
        </row>
        <row r="14823">
          <cell r="U14823"/>
        </row>
        <row r="14824">
          <cell r="U14824"/>
        </row>
        <row r="14825">
          <cell r="U14825"/>
        </row>
        <row r="14826">
          <cell r="U14826"/>
        </row>
        <row r="14827">
          <cell r="U14827"/>
        </row>
        <row r="14828">
          <cell r="U14828"/>
        </row>
        <row r="14829">
          <cell r="U14829"/>
        </row>
        <row r="14830">
          <cell r="U14830"/>
        </row>
        <row r="14831">
          <cell r="U14831"/>
        </row>
        <row r="14832">
          <cell r="U14832"/>
        </row>
        <row r="14833">
          <cell r="U14833"/>
        </row>
        <row r="14834">
          <cell r="U14834"/>
        </row>
        <row r="14835">
          <cell r="U14835"/>
        </row>
        <row r="14836">
          <cell r="U14836"/>
        </row>
        <row r="14837">
          <cell r="U14837"/>
        </row>
        <row r="14838">
          <cell r="U14838"/>
        </row>
        <row r="14839">
          <cell r="U14839"/>
        </row>
        <row r="14840">
          <cell r="U14840"/>
        </row>
        <row r="14841">
          <cell r="U14841"/>
        </row>
        <row r="14842">
          <cell r="U14842"/>
        </row>
        <row r="14843">
          <cell r="U14843"/>
        </row>
        <row r="14844">
          <cell r="U14844"/>
        </row>
        <row r="14845">
          <cell r="U14845"/>
        </row>
        <row r="14846">
          <cell r="U14846"/>
        </row>
        <row r="14847">
          <cell r="U14847"/>
        </row>
        <row r="14848">
          <cell r="U14848"/>
        </row>
        <row r="14849">
          <cell r="U14849"/>
        </row>
        <row r="14850">
          <cell r="U14850"/>
        </row>
        <row r="14851">
          <cell r="U14851"/>
        </row>
        <row r="14852">
          <cell r="U14852"/>
        </row>
        <row r="14853">
          <cell r="U14853"/>
        </row>
        <row r="14854">
          <cell r="U14854"/>
        </row>
        <row r="14855">
          <cell r="U14855"/>
        </row>
        <row r="14856">
          <cell r="U14856"/>
        </row>
        <row r="14857">
          <cell r="U14857"/>
        </row>
        <row r="14858">
          <cell r="U14858"/>
        </row>
        <row r="14859">
          <cell r="U14859"/>
        </row>
        <row r="14860">
          <cell r="U14860"/>
        </row>
        <row r="14861">
          <cell r="U14861"/>
        </row>
        <row r="14862">
          <cell r="U14862"/>
        </row>
        <row r="14863">
          <cell r="U14863"/>
        </row>
        <row r="14864">
          <cell r="U14864"/>
        </row>
        <row r="14865">
          <cell r="U14865"/>
        </row>
        <row r="14866">
          <cell r="U14866"/>
        </row>
        <row r="14867">
          <cell r="U14867"/>
        </row>
        <row r="14868">
          <cell r="U14868"/>
        </row>
        <row r="14869">
          <cell r="U14869"/>
        </row>
        <row r="14870">
          <cell r="U14870"/>
        </row>
        <row r="14871">
          <cell r="U14871"/>
        </row>
        <row r="14872">
          <cell r="U14872"/>
        </row>
        <row r="14873">
          <cell r="U14873"/>
        </row>
        <row r="14874">
          <cell r="U14874"/>
        </row>
        <row r="14875">
          <cell r="U14875"/>
        </row>
        <row r="14876">
          <cell r="U14876"/>
        </row>
        <row r="14877">
          <cell r="U14877"/>
        </row>
        <row r="14878">
          <cell r="U14878"/>
        </row>
        <row r="14879">
          <cell r="U14879"/>
        </row>
        <row r="14880">
          <cell r="U14880"/>
        </row>
        <row r="14881">
          <cell r="U14881"/>
        </row>
        <row r="14882">
          <cell r="U14882"/>
        </row>
        <row r="14883">
          <cell r="U14883"/>
        </row>
        <row r="14884">
          <cell r="U14884"/>
        </row>
        <row r="14885">
          <cell r="U14885"/>
        </row>
        <row r="14886">
          <cell r="U14886"/>
        </row>
        <row r="14887">
          <cell r="U14887"/>
        </row>
        <row r="14888">
          <cell r="U14888"/>
        </row>
        <row r="14889">
          <cell r="U14889"/>
        </row>
        <row r="14890">
          <cell r="U14890"/>
        </row>
        <row r="14891">
          <cell r="U14891"/>
        </row>
        <row r="14892">
          <cell r="U14892"/>
        </row>
        <row r="14893">
          <cell r="U14893"/>
        </row>
        <row r="14894">
          <cell r="U14894"/>
        </row>
        <row r="14895">
          <cell r="U14895"/>
        </row>
        <row r="14896">
          <cell r="U14896"/>
        </row>
        <row r="14897">
          <cell r="U14897"/>
        </row>
        <row r="14898">
          <cell r="U14898"/>
        </row>
        <row r="14899">
          <cell r="U14899"/>
        </row>
        <row r="14900">
          <cell r="U14900"/>
        </row>
        <row r="14901">
          <cell r="U14901"/>
        </row>
        <row r="14902">
          <cell r="U14902"/>
        </row>
        <row r="14903">
          <cell r="U14903"/>
        </row>
        <row r="14904">
          <cell r="U14904"/>
        </row>
        <row r="14905">
          <cell r="U14905"/>
        </row>
        <row r="14906">
          <cell r="U14906"/>
        </row>
        <row r="14907">
          <cell r="U14907"/>
        </row>
        <row r="14908">
          <cell r="U14908"/>
        </row>
        <row r="14909">
          <cell r="U14909"/>
        </row>
        <row r="14910">
          <cell r="U14910"/>
        </row>
        <row r="14911">
          <cell r="U14911"/>
        </row>
        <row r="14912">
          <cell r="U14912"/>
        </row>
        <row r="14913">
          <cell r="U14913"/>
        </row>
        <row r="14914">
          <cell r="U14914"/>
        </row>
        <row r="14915">
          <cell r="U14915"/>
        </row>
        <row r="14916">
          <cell r="U14916"/>
        </row>
        <row r="14917">
          <cell r="U14917"/>
        </row>
        <row r="14918">
          <cell r="U14918"/>
        </row>
        <row r="14919">
          <cell r="U14919"/>
        </row>
        <row r="14920">
          <cell r="U14920"/>
        </row>
        <row r="14921">
          <cell r="U14921"/>
        </row>
        <row r="14922">
          <cell r="U14922"/>
        </row>
        <row r="14923">
          <cell r="U14923"/>
        </row>
        <row r="14924">
          <cell r="U14924"/>
        </row>
        <row r="14925">
          <cell r="U14925"/>
        </row>
        <row r="14926">
          <cell r="U14926"/>
        </row>
        <row r="14927">
          <cell r="U14927"/>
        </row>
        <row r="14928">
          <cell r="U14928"/>
        </row>
        <row r="14929">
          <cell r="U14929"/>
        </row>
        <row r="14930">
          <cell r="U14930"/>
        </row>
        <row r="14931">
          <cell r="U14931"/>
        </row>
        <row r="14932">
          <cell r="U14932"/>
        </row>
        <row r="14933">
          <cell r="U14933"/>
        </row>
        <row r="14934">
          <cell r="U14934"/>
        </row>
        <row r="14935">
          <cell r="U14935"/>
        </row>
        <row r="14936">
          <cell r="U14936"/>
        </row>
        <row r="14937">
          <cell r="U14937"/>
        </row>
        <row r="14938">
          <cell r="U14938"/>
        </row>
        <row r="14939">
          <cell r="U14939"/>
        </row>
        <row r="14940">
          <cell r="U14940"/>
        </row>
        <row r="14941">
          <cell r="U14941"/>
        </row>
        <row r="14942">
          <cell r="U14942"/>
        </row>
        <row r="14943">
          <cell r="U14943"/>
        </row>
        <row r="14944">
          <cell r="U14944"/>
        </row>
        <row r="14945">
          <cell r="U14945"/>
        </row>
        <row r="14946">
          <cell r="U14946"/>
        </row>
        <row r="14947">
          <cell r="U14947"/>
        </row>
        <row r="14948">
          <cell r="U14948"/>
        </row>
        <row r="14949">
          <cell r="U14949"/>
        </row>
        <row r="14950">
          <cell r="U14950"/>
        </row>
        <row r="14951">
          <cell r="U14951"/>
        </row>
        <row r="14952">
          <cell r="U14952"/>
        </row>
        <row r="14953">
          <cell r="U14953"/>
        </row>
        <row r="14954">
          <cell r="U14954"/>
        </row>
        <row r="14955">
          <cell r="U14955"/>
        </row>
        <row r="14956">
          <cell r="U14956"/>
        </row>
        <row r="14957">
          <cell r="U14957"/>
        </row>
        <row r="14958">
          <cell r="U14958"/>
        </row>
        <row r="14959">
          <cell r="U14959"/>
        </row>
        <row r="14960">
          <cell r="U14960"/>
        </row>
        <row r="14961">
          <cell r="U14961"/>
        </row>
        <row r="14962">
          <cell r="U14962"/>
        </row>
        <row r="14963">
          <cell r="U14963"/>
        </row>
        <row r="14964">
          <cell r="U14964"/>
        </row>
        <row r="14965">
          <cell r="U14965"/>
        </row>
        <row r="14966">
          <cell r="U14966"/>
        </row>
        <row r="14967">
          <cell r="U14967"/>
        </row>
        <row r="14968">
          <cell r="U14968"/>
        </row>
        <row r="14969">
          <cell r="U14969"/>
        </row>
        <row r="14970">
          <cell r="U14970"/>
        </row>
        <row r="14971">
          <cell r="U14971"/>
        </row>
        <row r="14972">
          <cell r="U14972"/>
        </row>
        <row r="14973">
          <cell r="U14973"/>
        </row>
        <row r="14974">
          <cell r="U14974"/>
        </row>
        <row r="14975">
          <cell r="U14975"/>
        </row>
        <row r="14976">
          <cell r="U14976"/>
        </row>
        <row r="14977">
          <cell r="U14977"/>
        </row>
        <row r="14978">
          <cell r="U14978"/>
        </row>
        <row r="14979">
          <cell r="U14979"/>
        </row>
        <row r="14980">
          <cell r="U14980"/>
        </row>
        <row r="14981">
          <cell r="U14981"/>
        </row>
        <row r="14982">
          <cell r="U14982"/>
        </row>
        <row r="14983">
          <cell r="U14983"/>
        </row>
        <row r="14984">
          <cell r="U14984"/>
        </row>
        <row r="14985">
          <cell r="U14985"/>
        </row>
        <row r="14986">
          <cell r="U14986"/>
        </row>
        <row r="14987">
          <cell r="U14987"/>
        </row>
        <row r="14988">
          <cell r="U14988"/>
        </row>
        <row r="14989">
          <cell r="U14989"/>
        </row>
        <row r="14990">
          <cell r="U14990"/>
        </row>
        <row r="14991">
          <cell r="U14991"/>
        </row>
        <row r="14992">
          <cell r="U14992"/>
        </row>
        <row r="14993">
          <cell r="U14993"/>
        </row>
        <row r="14994">
          <cell r="U14994"/>
        </row>
        <row r="14995">
          <cell r="U14995"/>
        </row>
        <row r="14996">
          <cell r="U14996"/>
        </row>
        <row r="14997">
          <cell r="U14997"/>
        </row>
        <row r="14998">
          <cell r="U14998"/>
        </row>
        <row r="14999">
          <cell r="U14999"/>
        </row>
        <row r="15000">
          <cell r="U15000"/>
        </row>
        <row r="15001">
          <cell r="U15001"/>
        </row>
        <row r="15002">
          <cell r="U15002"/>
        </row>
        <row r="15003">
          <cell r="U15003"/>
        </row>
        <row r="15004">
          <cell r="U15004"/>
        </row>
        <row r="15005">
          <cell r="U15005"/>
        </row>
        <row r="15006">
          <cell r="U15006"/>
        </row>
        <row r="15007">
          <cell r="U15007"/>
        </row>
        <row r="15008">
          <cell r="U15008"/>
        </row>
        <row r="15009">
          <cell r="U15009"/>
        </row>
        <row r="15010">
          <cell r="U15010"/>
        </row>
        <row r="15011">
          <cell r="U15011"/>
        </row>
        <row r="15012">
          <cell r="U15012"/>
        </row>
        <row r="15013">
          <cell r="U15013"/>
        </row>
        <row r="15014">
          <cell r="U15014"/>
        </row>
        <row r="15015">
          <cell r="U15015"/>
        </row>
        <row r="15016">
          <cell r="U15016"/>
        </row>
        <row r="15017">
          <cell r="U15017"/>
        </row>
        <row r="15018">
          <cell r="U15018"/>
        </row>
        <row r="15019">
          <cell r="U15019"/>
        </row>
        <row r="15020">
          <cell r="U15020"/>
        </row>
        <row r="15021">
          <cell r="U15021"/>
        </row>
        <row r="15022">
          <cell r="U15022"/>
        </row>
        <row r="15023">
          <cell r="U15023"/>
        </row>
        <row r="15024">
          <cell r="U15024"/>
        </row>
        <row r="15025">
          <cell r="U15025"/>
        </row>
        <row r="15026">
          <cell r="U15026"/>
        </row>
        <row r="15027">
          <cell r="U15027"/>
        </row>
        <row r="15028">
          <cell r="U15028"/>
        </row>
        <row r="15029">
          <cell r="U15029"/>
        </row>
        <row r="15030">
          <cell r="U15030"/>
        </row>
        <row r="15031">
          <cell r="U15031"/>
        </row>
        <row r="15032">
          <cell r="U15032"/>
        </row>
        <row r="15033">
          <cell r="U15033"/>
        </row>
        <row r="15034">
          <cell r="U15034"/>
        </row>
        <row r="15035">
          <cell r="U15035"/>
        </row>
        <row r="15036">
          <cell r="U15036"/>
        </row>
        <row r="15037">
          <cell r="U15037"/>
        </row>
        <row r="15038">
          <cell r="U15038"/>
        </row>
        <row r="15039">
          <cell r="U15039"/>
        </row>
        <row r="15040">
          <cell r="U15040"/>
        </row>
        <row r="15041">
          <cell r="U15041"/>
        </row>
        <row r="15042">
          <cell r="U15042"/>
        </row>
        <row r="15043">
          <cell r="U15043"/>
        </row>
        <row r="15044">
          <cell r="U15044"/>
        </row>
        <row r="15045">
          <cell r="U15045"/>
        </row>
        <row r="15046">
          <cell r="U15046"/>
        </row>
        <row r="15047">
          <cell r="U15047"/>
        </row>
        <row r="15048">
          <cell r="U15048"/>
        </row>
        <row r="15049">
          <cell r="U15049"/>
        </row>
        <row r="15050">
          <cell r="U15050"/>
        </row>
        <row r="15051">
          <cell r="U15051"/>
        </row>
        <row r="15052">
          <cell r="U15052"/>
        </row>
        <row r="15053">
          <cell r="U15053"/>
        </row>
        <row r="15054">
          <cell r="U15054"/>
        </row>
        <row r="15055">
          <cell r="U15055"/>
        </row>
        <row r="15056">
          <cell r="U15056"/>
        </row>
        <row r="15057">
          <cell r="U15057"/>
        </row>
        <row r="15058">
          <cell r="U15058"/>
        </row>
        <row r="15059">
          <cell r="U15059"/>
        </row>
        <row r="15060">
          <cell r="U15060"/>
        </row>
        <row r="15061">
          <cell r="U15061"/>
        </row>
        <row r="15062">
          <cell r="U15062"/>
        </row>
        <row r="15063">
          <cell r="U15063"/>
        </row>
        <row r="15064">
          <cell r="U15064"/>
        </row>
        <row r="15065">
          <cell r="U15065"/>
        </row>
        <row r="15066">
          <cell r="U15066"/>
        </row>
        <row r="15067">
          <cell r="U15067"/>
        </row>
        <row r="15068">
          <cell r="U15068"/>
        </row>
        <row r="15069">
          <cell r="U15069"/>
        </row>
        <row r="15070">
          <cell r="U15070"/>
        </row>
        <row r="15071">
          <cell r="U15071"/>
        </row>
        <row r="15072">
          <cell r="U15072"/>
        </row>
        <row r="15073">
          <cell r="U15073"/>
        </row>
        <row r="15074">
          <cell r="U15074"/>
        </row>
        <row r="15075">
          <cell r="U15075"/>
        </row>
        <row r="15076">
          <cell r="U15076"/>
        </row>
        <row r="15077">
          <cell r="U15077"/>
        </row>
        <row r="15078">
          <cell r="U15078"/>
        </row>
        <row r="15079">
          <cell r="U15079"/>
        </row>
        <row r="15080">
          <cell r="U15080"/>
        </row>
        <row r="15081">
          <cell r="U15081"/>
        </row>
        <row r="15082">
          <cell r="U15082"/>
        </row>
        <row r="15083">
          <cell r="U15083"/>
        </row>
        <row r="15084">
          <cell r="U15084"/>
        </row>
        <row r="15085">
          <cell r="U15085"/>
        </row>
        <row r="15086">
          <cell r="U15086"/>
        </row>
        <row r="15087">
          <cell r="U15087"/>
        </row>
        <row r="15088">
          <cell r="U15088"/>
        </row>
        <row r="15089">
          <cell r="U15089"/>
        </row>
        <row r="15090">
          <cell r="U15090"/>
        </row>
        <row r="15091">
          <cell r="U15091"/>
        </row>
        <row r="15092">
          <cell r="U15092"/>
        </row>
        <row r="15093">
          <cell r="U15093"/>
        </row>
        <row r="15094">
          <cell r="U15094"/>
        </row>
        <row r="15095">
          <cell r="U15095"/>
        </row>
        <row r="15096">
          <cell r="U15096"/>
        </row>
        <row r="15097">
          <cell r="U15097"/>
        </row>
        <row r="15098">
          <cell r="U15098"/>
        </row>
        <row r="15099">
          <cell r="U15099"/>
        </row>
        <row r="15100">
          <cell r="U15100"/>
        </row>
        <row r="15101">
          <cell r="U15101"/>
        </row>
        <row r="15102">
          <cell r="U15102"/>
        </row>
        <row r="15103">
          <cell r="U15103"/>
        </row>
        <row r="15104">
          <cell r="U15104"/>
        </row>
        <row r="15105">
          <cell r="U15105"/>
        </row>
        <row r="15106">
          <cell r="U15106"/>
        </row>
        <row r="15107">
          <cell r="U15107"/>
        </row>
        <row r="15108">
          <cell r="U15108"/>
        </row>
        <row r="15109">
          <cell r="U15109"/>
        </row>
        <row r="15110">
          <cell r="U15110"/>
        </row>
        <row r="15111">
          <cell r="U15111"/>
        </row>
        <row r="15112">
          <cell r="U15112"/>
        </row>
        <row r="15113">
          <cell r="U15113"/>
        </row>
        <row r="15114">
          <cell r="U15114"/>
        </row>
        <row r="15115">
          <cell r="U15115"/>
        </row>
        <row r="15116">
          <cell r="U15116"/>
        </row>
        <row r="15117">
          <cell r="U15117"/>
        </row>
        <row r="15118">
          <cell r="U15118"/>
        </row>
        <row r="15119">
          <cell r="U15119"/>
        </row>
        <row r="15120">
          <cell r="U15120"/>
        </row>
        <row r="15121">
          <cell r="U15121"/>
        </row>
        <row r="15122">
          <cell r="U15122"/>
        </row>
        <row r="15123">
          <cell r="U15123"/>
        </row>
        <row r="15124">
          <cell r="U15124"/>
        </row>
        <row r="15125">
          <cell r="U15125"/>
        </row>
        <row r="15126">
          <cell r="U15126"/>
        </row>
        <row r="15127">
          <cell r="U15127"/>
        </row>
        <row r="15128">
          <cell r="U15128"/>
        </row>
        <row r="15129">
          <cell r="U15129"/>
        </row>
        <row r="15130">
          <cell r="U15130"/>
        </row>
        <row r="15131">
          <cell r="U15131"/>
        </row>
        <row r="15132">
          <cell r="U15132"/>
        </row>
        <row r="15133">
          <cell r="U15133"/>
        </row>
        <row r="15134">
          <cell r="U15134"/>
        </row>
        <row r="15135">
          <cell r="U15135"/>
        </row>
        <row r="15136">
          <cell r="U15136"/>
        </row>
        <row r="15137">
          <cell r="U15137"/>
        </row>
        <row r="15138">
          <cell r="U15138"/>
        </row>
        <row r="15139">
          <cell r="U15139"/>
        </row>
        <row r="15140">
          <cell r="U15140"/>
        </row>
        <row r="15141">
          <cell r="U15141"/>
        </row>
        <row r="15142">
          <cell r="U15142"/>
        </row>
        <row r="15143">
          <cell r="U15143"/>
        </row>
        <row r="15144">
          <cell r="U15144"/>
        </row>
        <row r="15145">
          <cell r="U15145"/>
        </row>
        <row r="15146">
          <cell r="U15146"/>
        </row>
        <row r="15147">
          <cell r="U15147"/>
        </row>
        <row r="15148">
          <cell r="U15148"/>
        </row>
        <row r="15149">
          <cell r="U15149"/>
        </row>
        <row r="15150">
          <cell r="U15150"/>
        </row>
        <row r="15151">
          <cell r="U15151"/>
        </row>
        <row r="15152">
          <cell r="U15152"/>
        </row>
        <row r="15153">
          <cell r="U15153"/>
        </row>
        <row r="15154">
          <cell r="U15154"/>
        </row>
        <row r="15155">
          <cell r="U15155"/>
        </row>
        <row r="15156">
          <cell r="U15156"/>
        </row>
        <row r="15157">
          <cell r="U15157"/>
        </row>
        <row r="15158">
          <cell r="U15158"/>
        </row>
        <row r="15159">
          <cell r="U15159"/>
        </row>
        <row r="15160">
          <cell r="U15160"/>
        </row>
        <row r="15161">
          <cell r="U15161"/>
        </row>
        <row r="15162">
          <cell r="U15162"/>
        </row>
        <row r="15163">
          <cell r="U15163"/>
        </row>
        <row r="15164">
          <cell r="U15164"/>
        </row>
        <row r="15165">
          <cell r="U15165"/>
        </row>
        <row r="15166">
          <cell r="U15166"/>
        </row>
        <row r="15167">
          <cell r="U15167"/>
        </row>
        <row r="15168">
          <cell r="U15168"/>
        </row>
        <row r="15169">
          <cell r="U15169"/>
        </row>
        <row r="15170">
          <cell r="U15170"/>
        </row>
        <row r="15171">
          <cell r="U15171"/>
        </row>
        <row r="15172">
          <cell r="U15172"/>
        </row>
        <row r="15173">
          <cell r="U15173"/>
        </row>
        <row r="15174">
          <cell r="U15174"/>
        </row>
        <row r="15175">
          <cell r="U15175"/>
        </row>
        <row r="15176">
          <cell r="U15176"/>
        </row>
        <row r="15177">
          <cell r="U15177"/>
        </row>
        <row r="15178">
          <cell r="U15178"/>
        </row>
        <row r="15179">
          <cell r="U15179"/>
        </row>
        <row r="15180">
          <cell r="U15180"/>
        </row>
        <row r="15181">
          <cell r="U15181"/>
        </row>
        <row r="15182">
          <cell r="U15182"/>
        </row>
        <row r="15183">
          <cell r="U15183"/>
        </row>
        <row r="15184">
          <cell r="U15184"/>
        </row>
        <row r="15185">
          <cell r="U15185"/>
        </row>
        <row r="15186">
          <cell r="U15186"/>
        </row>
        <row r="15187">
          <cell r="U15187"/>
        </row>
        <row r="15188">
          <cell r="U15188"/>
        </row>
        <row r="15189">
          <cell r="U15189"/>
        </row>
        <row r="15190">
          <cell r="U15190"/>
        </row>
        <row r="15191">
          <cell r="U15191"/>
        </row>
        <row r="15192">
          <cell r="U15192"/>
        </row>
        <row r="15193">
          <cell r="U15193"/>
        </row>
        <row r="15194">
          <cell r="U15194"/>
        </row>
        <row r="15195">
          <cell r="U15195"/>
        </row>
        <row r="15196">
          <cell r="U15196"/>
        </row>
        <row r="15197">
          <cell r="U15197"/>
        </row>
        <row r="15198">
          <cell r="U15198"/>
        </row>
        <row r="15199">
          <cell r="U15199"/>
        </row>
        <row r="15200">
          <cell r="U15200"/>
        </row>
        <row r="15201">
          <cell r="U15201"/>
        </row>
        <row r="15202">
          <cell r="U15202"/>
        </row>
        <row r="15203">
          <cell r="U15203"/>
        </row>
        <row r="15204">
          <cell r="U15204"/>
        </row>
        <row r="15205">
          <cell r="U15205"/>
        </row>
        <row r="15206">
          <cell r="U15206"/>
        </row>
        <row r="15207">
          <cell r="U15207"/>
        </row>
        <row r="15208">
          <cell r="U15208"/>
        </row>
        <row r="15209">
          <cell r="U15209"/>
        </row>
        <row r="15210">
          <cell r="U15210"/>
        </row>
        <row r="15211">
          <cell r="U15211"/>
        </row>
        <row r="15212">
          <cell r="U15212"/>
        </row>
        <row r="15213">
          <cell r="U15213"/>
        </row>
        <row r="15214">
          <cell r="U15214"/>
        </row>
        <row r="15215">
          <cell r="U15215"/>
        </row>
        <row r="15216">
          <cell r="U15216"/>
        </row>
        <row r="15217">
          <cell r="U15217"/>
        </row>
        <row r="15218">
          <cell r="U15218"/>
        </row>
        <row r="15219">
          <cell r="U15219"/>
        </row>
        <row r="15220">
          <cell r="U15220"/>
        </row>
        <row r="15221">
          <cell r="U15221"/>
        </row>
        <row r="15222">
          <cell r="U15222"/>
        </row>
        <row r="15223">
          <cell r="U15223"/>
        </row>
        <row r="15224">
          <cell r="U15224"/>
        </row>
        <row r="15225">
          <cell r="U15225"/>
        </row>
        <row r="15226">
          <cell r="U15226"/>
        </row>
        <row r="15227">
          <cell r="U15227"/>
        </row>
        <row r="15228">
          <cell r="U15228"/>
        </row>
        <row r="15229">
          <cell r="U15229"/>
        </row>
        <row r="15230">
          <cell r="U15230"/>
        </row>
        <row r="15231">
          <cell r="U15231"/>
        </row>
        <row r="15232">
          <cell r="U15232"/>
        </row>
        <row r="15233">
          <cell r="U15233"/>
        </row>
        <row r="15234">
          <cell r="U15234"/>
        </row>
        <row r="15235">
          <cell r="U15235"/>
        </row>
        <row r="15236">
          <cell r="U15236"/>
        </row>
        <row r="15237">
          <cell r="U15237"/>
        </row>
        <row r="15238">
          <cell r="U15238"/>
        </row>
        <row r="15239">
          <cell r="U15239"/>
        </row>
        <row r="15240">
          <cell r="U15240"/>
        </row>
        <row r="15241">
          <cell r="U15241"/>
        </row>
        <row r="15242">
          <cell r="U15242"/>
        </row>
        <row r="15243">
          <cell r="U15243"/>
        </row>
        <row r="15244">
          <cell r="U15244"/>
        </row>
        <row r="15245">
          <cell r="U15245"/>
        </row>
        <row r="15246">
          <cell r="U15246"/>
        </row>
        <row r="15247">
          <cell r="U15247"/>
        </row>
        <row r="15248">
          <cell r="U15248"/>
        </row>
        <row r="15249">
          <cell r="U15249"/>
        </row>
        <row r="15250">
          <cell r="U15250"/>
        </row>
        <row r="15251">
          <cell r="U15251"/>
        </row>
        <row r="15252">
          <cell r="U15252"/>
        </row>
        <row r="15253">
          <cell r="U15253"/>
        </row>
        <row r="15254">
          <cell r="U15254"/>
        </row>
        <row r="15255">
          <cell r="U15255"/>
        </row>
        <row r="15256">
          <cell r="U15256"/>
        </row>
        <row r="15257">
          <cell r="U15257"/>
        </row>
        <row r="15258">
          <cell r="U15258"/>
        </row>
        <row r="15259">
          <cell r="U15259"/>
        </row>
        <row r="15260">
          <cell r="U15260"/>
        </row>
        <row r="15261">
          <cell r="U15261"/>
        </row>
        <row r="15262">
          <cell r="U15262"/>
        </row>
        <row r="15263">
          <cell r="U15263"/>
        </row>
        <row r="15264">
          <cell r="U15264"/>
        </row>
        <row r="15265">
          <cell r="U15265"/>
        </row>
        <row r="15266">
          <cell r="U15266"/>
        </row>
        <row r="15267">
          <cell r="U15267"/>
        </row>
        <row r="15268">
          <cell r="U15268"/>
        </row>
        <row r="15269">
          <cell r="U15269"/>
        </row>
        <row r="15270">
          <cell r="U15270"/>
        </row>
        <row r="15271">
          <cell r="U15271"/>
        </row>
        <row r="15272">
          <cell r="U15272"/>
        </row>
        <row r="15273">
          <cell r="U15273"/>
        </row>
        <row r="15274">
          <cell r="U15274"/>
        </row>
        <row r="15275">
          <cell r="U15275"/>
        </row>
        <row r="15276">
          <cell r="U15276"/>
        </row>
        <row r="15277">
          <cell r="U15277"/>
        </row>
        <row r="15278">
          <cell r="U15278"/>
        </row>
        <row r="15279">
          <cell r="U15279"/>
        </row>
        <row r="15280">
          <cell r="U15280"/>
        </row>
        <row r="15281">
          <cell r="U15281"/>
        </row>
        <row r="15282">
          <cell r="U15282"/>
        </row>
        <row r="15283">
          <cell r="U15283"/>
        </row>
        <row r="15284">
          <cell r="U15284"/>
        </row>
        <row r="15285">
          <cell r="U15285"/>
        </row>
        <row r="15286">
          <cell r="U15286"/>
        </row>
        <row r="15287">
          <cell r="U15287"/>
        </row>
        <row r="15288">
          <cell r="U15288"/>
        </row>
        <row r="15289">
          <cell r="U15289"/>
        </row>
        <row r="15290">
          <cell r="U15290"/>
        </row>
        <row r="15291">
          <cell r="U15291"/>
        </row>
        <row r="15292">
          <cell r="U15292"/>
        </row>
        <row r="15293">
          <cell r="U15293"/>
        </row>
        <row r="15294">
          <cell r="U15294"/>
        </row>
        <row r="15295">
          <cell r="U15295"/>
        </row>
        <row r="15296">
          <cell r="U15296"/>
        </row>
        <row r="15297">
          <cell r="U15297"/>
        </row>
        <row r="15298">
          <cell r="U15298"/>
        </row>
        <row r="15299">
          <cell r="U15299"/>
        </row>
        <row r="15300">
          <cell r="U15300"/>
        </row>
        <row r="15301">
          <cell r="U15301"/>
        </row>
        <row r="15302">
          <cell r="U15302"/>
        </row>
        <row r="15303">
          <cell r="U15303"/>
        </row>
        <row r="15304">
          <cell r="U15304"/>
        </row>
        <row r="15305">
          <cell r="U15305"/>
        </row>
        <row r="15306">
          <cell r="U15306"/>
        </row>
        <row r="15307">
          <cell r="U15307"/>
        </row>
        <row r="15308">
          <cell r="U15308"/>
        </row>
        <row r="15309">
          <cell r="U15309"/>
        </row>
        <row r="15310">
          <cell r="U15310"/>
        </row>
        <row r="15311">
          <cell r="U15311"/>
        </row>
        <row r="15312">
          <cell r="U15312"/>
        </row>
        <row r="15313">
          <cell r="U15313"/>
        </row>
        <row r="15314">
          <cell r="U15314"/>
        </row>
        <row r="15315">
          <cell r="U15315"/>
        </row>
        <row r="15316">
          <cell r="U15316"/>
        </row>
        <row r="15317">
          <cell r="U15317"/>
        </row>
        <row r="15318">
          <cell r="U15318"/>
        </row>
        <row r="15319">
          <cell r="U15319"/>
        </row>
        <row r="15320">
          <cell r="U15320"/>
        </row>
        <row r="15321">
          <cell r="U15321"/>
        </row>
        <row r="15322">
          <cell r="U15322"/>
        </row>
        <row r="15323">
          <cell r="U15323"/>
        </row>
        <row r="15324">
          <cell r="U15324"/>
        </row>
        <row r="15325">
          <cell r="U15325"/>
        </row>
        <row r="15326">
          <cell r="U15326"/>
        </row>
        <row r="15327">
          <cell r="U15327"/>
        </row>
        <row r="15328">
          <cell r="U15328"/>
        </row>
        <row r="15329">
          <cell r="U15329"/>
        </row>
        <row r="15330">
          <cell r="U15330"/>
        </row>
        <row r="15331">
          <cell r="U15331"/>
        </row>
        <row r="15332">
          <cell r="U15332"/>
        </row>
        <row r="15333">
          <cell r="U15333"/>
        </row>
        <row r="15334">
          <cell r="U15334"/>
        </row>
        <row r="15335">
          <cell r="U15335"/>
        </row>
        <row r="15336">
          <cell r="U15336"/>
        </row>
        <row r="15337">
          <cell r="U15337"/>
        </row>
        <row r="15338">
          <cell r="U15338"/>
        </row>
        <row r="15339">
          <cell r="U15339"/>
        </row>
        <row r="15340">
          <cell r="U15340"/>
        </row>
        <row r="15341">
          <cell r="U15341"/>
        </row>
        <row r="15342">
          <cell r="U15342"/>
        </row>
        <row r="15343">
          <cell r="U15343"/>
        </row>
        <row r="15344">
          <cell r="U15344"/>
        </row>
        <row r="15345">
          <cell r="U15345"/>
        </row>
        <row r="15346">
          <cell r="U15346"/>
        </row>
        <row r="15347">
          <cell r="U15347"/>
        </row>
        <row r="15348">
          <cell r="U15348"/>
        </row>
        <row r="15349">
          <cell r="U15349"/>
        </row>
        <row r="15350">
          <cell r="U15350"/>
        </row>
        <row r="15351">
          <cell r="U15351"/>
        </row>
        <row r="15352">
          <cell r="U15352"/>
        </row>
        <row r="15353">
          <cell r="U15353"/>
        </row>
        <row r="15354">
          <cell r="U15354"/>
        </row>
        <row r="15355">
          <cell r="U15355"/>
        </row>
        <row r="15356">
          <cell r="U15356"/>
        </row>
        <row r="15357">
          <cell r="U15357"/>
        </row>
        <row r="15358">
          <cell r="U15358"/>
        </row>
        <row r="15359">
          <cell r="U15359"/>
        </row>
        <row r="15360">
          <cell r="U15360"/>
        </row>
        <row r="15361">
          <cell r="U15361"/>
        </row>
        <row r="15362">
          <cell r="U15362"/>
        </row>
        <row r="15363">
          <cell r="U15363"/>
        </row>
        <row r="15364">
          <cell r="U15364"/>
        </row>
        <row r="15365">
          <cell r="U15365"/>
        </row>
        <row r="15366">
          <cell r="U15366"/>
        </row>
        <row r="15367">
          <cell r="U15367"/>
        </row>
        <row r="15368">
          <cell r="U15368"/>
        </row>
        <row r="15369">
          <cell r="U15369"/>
        </row>
        <row r="15370">
          <cell r="U15370"/>
        </row>
        <row r="15371">
          <cell r="U15371"/>
        </row>
        <row r="15372">
          <cell r="U15372"/>
        </row>
        <row r="15373">
          <cell r="U15373"/>
        </row>
        <row r="15374">
          <cell r="U15374"/>
        </row>
        <row r="15375">
          <cell r="U15375"/>
        </row>
        <row r="15376">
          <cell r="U15376"/>
        </row>
        <row r="15377">
          <cell r="U15377"/>
        </row>
        <row r="15378">
          <cell r="U15378"/>
        </row>
        <row r="15379">
          <cell r="U15379"/>
        </row>
        <row r="15380">
          <cell r="U15380"/>
        </row>
        <row r="15381">
          <cell r="U15381"/>
        </row>
        <row r="15382">
          <cell r="U15382"/>
        </row>
        <row r="15383">
          <cell r="U15383"/>
        </row>
        <row r="15384">
          <cell r="U15384"/>
        </row>
        <row r="15385">
          <cell r="U15385"/>
        </row>
        <row r="15386">
          <cell r="U15386"/>
        </row>
        <row r="15387">
          <cell r="U15387"/>
        </row>
        <row r="15388">
          <cell r="U15388"/>
        </row>
        <row r="15389">
          <cell r="U15389"/>
        </row>
        <row r="15390">
          <cell r="U15390"/>
        </row>
        <row r="15391">
          <cell r="U15391"/>
        </row>
        <row r="15392">
          <cell r="U15392"/>
        </row>
        <row r="15393">
          <cell r="U15393"/>
        </row>
        <row r="15394">
          <cell r="U15394"/>
        </row>
        <row r="15395">
          <cell r="U15395"/>
        </row>
        <row r="15396">
          <cell r="U15396"/>
        </row>
        <row r="15397">
          <cell r="U15397"/>
        </row>
        <row r="15398">
          <cell r="U15398"/>
        </row>
        <row r="15399">
          <cell r="U15399"/>
        </row>
        <row r="15400">
          <cell r="U15400"/>
        </row>
        <row r="15401">
          <cell r="U15401"/>
        </row>
        <row r="15402">
          <cell r="U15402"/>
        </row>
        <row r="15403">
          <cell r="U15403"/>
        </row>
        <row r="15404">
          <cell r="U15404"/>
        </row>
        <row r="15405">
          <cell r="U15405"/>
        </row>
        <row r="15406">
          <cell r="U15406"/>
        </row>
        <row r="15407">
          <cell r="U15407"/>
        </row>
        <row r="15408">
          <cell r="U15408"/>
        </row>
        <row r="15409">
          <cell r="U15409"/>
        </row>
        <row r="15410">
          <cell r="U15410"/>
        </row>
        <row r="15411">
          <cell r="U15411"/>
        </row>
        <row r="15412">
          <cell r="U15412"/>
        </row>
        <row r="15413">
          <cell r="U15413"/>
        </row>
        <row r="15414">
          <cell r="U15414"/>
        </row>
        <row r="15415">
          <cell r="U15415"/>
        </row>
        <row r="15416">
          <cell r="U15416"/>
        </row>
        <row r="15417">
          <cell r="U15417"/>
        </row>
        <row r="15418">
          <cell r="U15418"/>
        </row>
        <row r="15419">
          <cell r="U15419"/>
        </row>
        <row r="15420">
          <cell r="U15420"/>
        </row>
        <row r="15421">
          <cell r="U15421"/>
        </row>
        <row r="15422">
          <cell r="U15422"/>
        </row>
        <row r="15423">
          <cell r="U15423"/>
        </row>
        <row r="15424">
          <cell r="U15424"/>
        </row>
        <row r="15425">
          <cell r="U15425"/>
        </row>
        <row r="15426">
          <cell r="U15426"/>
        </row>
        <row r="15427">
          <cell r="U15427"/>
        </row>
        <row r="15428">
          <cell r="U15428"/>
        </row>
        <row r="15429">
          <cell r="U15429"/>
        </row>
        <row r="15430">
          <cell r="U15430"/>
        </row>
        <row r="15431">
          <cell r="U15431"/>
        </row>
        <row r="15432">
          <cell r="U15432"/>
        </row>
        <row r="15433">
          <cell r="U15433"/>
        </row>
        <row r="15434">
          <cell r="U15434"/>
        </row>
        <row r="15435">
          <cell r="U15435"/>
        </row>
        <row r="15436">
          <cell r="U15436"/>
        </row>
        <row r="15437">
          <cell r="U15437"/>
        </row>
        <row r="15438">
          <cell r="U15438"/>
        </row>
        <row r="15439">
          <cell r="U15439"/>
        </row>
        <row r="15440">
          <cell r="U15440"/>
        </row>
        <row r="15441">
          <cell r="U15441"/>
        </row>
        <row r="15442">
          <cell r="U15442"/>
        </row>
        <row r="15443">
          <cell r="U15443"/>
        </row>
        <row r="15444">
          <cell r="U15444"/>
        </row>
        <row r="15445">
          <cell r="U15445"/>
        </row>
        <row r="15446">
          <cell r="U15446"/>
        </row>
        <row r="15447">
          <cell r="U15447"/>
        </row>
        <row r="15448">
          <cell r="U15448"/>
        </row>
        <row r="15449">
          <cell r="U15449"/>
        </row>
        <row r="15450">
          <cell r="U15450"/>
        </row>
        <row r="15451">
          <cell r="U15451"/>
        </row>
        <row r="15452">
          <cell r="U15452"/>
        </row>
        <row r="15453">
          <cell r="U15453"/>
        </row>
        <row r="15454">
          <cell r="U15454"/>
        </row>
        <row r="15455">
          <cell r="U15455"/>
        </row>
        <row r="15456">
          <cell r="U15456"/>
        </row>
        <row r="15457">
          <cell r="U15457"/>
        </row>
        <row r="15458">
          <cell r="U15458"/>
        </row>
        <row r="15459">
          <cell r="U15459"/>
        </row>
        <row r="15460">
          <cell r="U15460"/>
        </row>
        <row r="15461">
          <cell r="U15461"/>
        </row>
        <row r="15462">
          <cell r="U15462"/>
        </row>
        <row r="15463">
          <cell r="U15463"/>
        </row>
        <row r="15464">
          <cell r="U15464"/>
        </row>
        <row r="15465">
          <cell r="U15465"/>
        </row>
        <row r="15466">
          <cell r="U15466"/>
        </row>
        <row r="15467">
          <cell r="U15467"/>
        </row>
        <row r="15468">
          <cell r="U15468"/>
        </row>
        <row r="15469">
          <cell r="U15469"/>
        </row>
        <row r="15470">
          <cell r="U15470"/>
        </row>
        <row r="15471">
          <cell r="U15471"/>
        </row>
        <row r="15472">
          <cell r="U15472"/>
        </row>
        <row r="15473">
          <cell r="U15473"/>
        </row>
        <row r="15474">
          <cell r="U15474"/>
        </row>
        <row r="15475">
          <cell r="U15475"/>
        </row>
        <row r="15476">
          <cell r="U15476"/>
        </row>
        <row r="15477">
          <cell r="U15477"/>
        </row>
        <row r="15478">
          <cell r="U15478"/>
        </row>
        <row r="15479">
          <cell r="U15479"/>
        </row>
        <row r="15480">
          <cell r="U15480"/>
        </row>
        <row r="15481">
          <cell r="U15481"/>
        </row>
        <row r="15482">
          <cell r="U15482"/>
        </row>
        <row r="15483">
          <cell r="U15483"/>
        </row>
        <row r="15484">
          <cell r="U15484"/>
        </row>
        <row r="15485">
          <cell r="U15485"/>
        </row>
        <row r="15486">
          <cell r="U15486"/>
        </row>
        <row r="15487">
          <cell r="U15487"/>
        </row>
        <row r="15488">
          <cell r="U15488"/>
        </row>
        <row r="15489">
          <cell r="U15489"/>
        </row>
        <row r="15490">
          <cell r="U15490"/>
        </row>
        <row r="15491">
          <cell r="U15491"/>
        </row>
        <row r="15492">
          <cell r="U15492"/>
        </row>
        <row r="15493">
          <cell r="U15493"/>
        </row>
        <row r="15494">
          <cell r="U15494"/>
        </row>
        <row r="15495">
          <cell r="U15495"/>
        </row>
        <row r="15496">
          <cell r="U15496"/>
        </row>
        <row r="15497">
          <cell r="U15497"/>
        </row>
        <row r="15498">
          <cell r="U15498"/>
        </row>
        <row r="15499">
          <cell r="U15499"/>
        </row>
        <row r="15500">
          <cell r="U15500"/>
        </row>
        <row r="15501">
          <cell r="U15501"/>
        </row>
        <row r="15502">
          <cell r="U15502"/>
        </row>
        <row r="15503">
          <cell r="U15503"/>
        </row>
        <row r="15504">
          <cell r="U15504"/>
        </row>
        <row r="15505">
          <cell r="U15505"/>
        </row>
        <row r="15506">
          <cell r="U15506"/>
        </row>
        <row r="15507">
          <cell r="U15507"/>
        </row>
        <row r="15508">
          <cell r="U15508"/>
        </row>
        <row r="15509">
          <cell r="U15509"/>
        </row>
        <row r="15510">
          <cell r="U15510"/>
        </row>
        <row r="15511">
          <cell r="U15511"/>
        </row>
        <row r="15512">
          <cell r="U15512"/>
        </row>
        <row r="15513">
          <cell r="U15513"/>
        </row>
        <row r="15514">
          <cell r="U15514"/>
        </row>
        <row r="15515">
          <cell r="U15515"/>
        </row>
        <row r="15516">
          <cell r="U15516"/>
        </row>
        <row r="15517">
          <cell r="U15517"/>
        </row>
        <row r="15518">
          <cell r="U15518"/>
        </row>
        <row r="15519">
          <cell r="U15519"/>
        </row>
        <row r="15520">
          <cell r="U15520"/>
        </row>
        <row r="15521">
          <cell r="U15521"/>
        </row>
        <row r="15522">
          <cell r="U15522"/>
        </row>
        <row r="15523">
          <cell r="U15523"/>
        </row>
        <row r="15524">
          <cell r="U15524"/>
        </row>
        <row r="15525">
          <cell r="U15525"/>
        </row>
        <row r="15526">
          <cell r="U15526"/>
        </row>
        <row r="15527">
          <cell r="U15527"/>
        </row>
        <row r="15528">
          <cell r="U15528"/>
        </row>
        <row r="15529">
          <cell r="U15529"/>
        </row>
        <row r="15530">
          <cell r="U15530"/>
        </row>
        <row r="15531">
          <cell r="U15531"/>
        </row>
        <row r="15532">
          <cell r="U15532"/>
        </row>
        <row r="15533">
          <cell r="U15533"/>
        </row>
        <row r="15534">
          <cell r="U15534"/>
        </row>
        <row r="15535">
          <cell r="U15535"/>
        </row>
        <row r="15536">
          <cell r="U15536"/>
        </row>
        <row r="15537">
          <cell r="U15537"/>
        </row>
        <row r="15538">
          <cell r="U15538"/>
        </row>
        <row r="15539">
          <cell r="U15539"/>
        </row>
        <row r="15540">
          <cell r="U15540"/>
        </row>
        <row r="15541">
          <cell r="U15541"/>
        </row>
        <row r="15542">
          <cell r="U15542"/>
        </row>
        <row r="15543">
          <cell r="U15543"/>
        </row>
        <row r="15544">
          <cell r="U15544"/>
        </row>
        <row r="15545">
          <cell r="U15545"/>
        </row>
        <row r="15546">
          <cell r="U15546"/>
        </row>
        <row r="15547">
          <cell r="U15547"/>
        </row>
        <row r="15548">
          <cell r="U15548"/>
        </row>
        <row r="15549">
          <cell r="U15549"/>
        </row>
        <row r="15550">
          <cell r="U15550"/>
        </row>
        <row r="15551">
          <cell r="U15551"/>
        </row>
        <row r="15552">
          <cell r="U15552"/>
        </row>
        <row r="15553">
          <cell r="U15553"/>
        </row>
        <row r="15554">
          <cell r="U15554"/>
        </row>
        <row r="15555">
          <cell r="U15555"/>
        </row>
        <row r="15556">
          <cell r="U15556"/>
        </row>
        <row r="15557">
          <cell r="U15557"/>
        </row>
        <row r="15558">
          <cell r="U15558"/>
        </row>
        <row r="15559">
          <cell r="U15559"/>
        </row>
        <row r="15560">
          <cell r="U15560"/>
        </row>
        <row r="15561">
          <cell r="U15561"/>
        </row>
        <row r="15562">
          <cell r="U15562"/>
        </row>
        <row r="15563">
          <cell r="U15563"/>
        </row>
        <row r="15564">
          <cell r="U15564"/>
        </row>
        <row r="15565">
          <cell r="U15565"/>
        </row>
        <row r="15566">
          <cell r="U15566"/>
        </row>
        <row r="15567">
          <cell r="U15567"/>
        </row>
        <row r="15568">
          <cell r="U15568"/>
        </row>
        <row r="15569">
          <cell r="U15569"/>
        </row>
        <row r="15570">
          <cell r="U15570"/>
        </row>
        <row r="15571">
          <cell r="U15571"/>
        </row>
        <row r="15572">
          <cell r="U15572"/>
        </row>
        <row r="15573">
          <cell r="U15573"/>
        </row>
        <row r="15574">
          <cell r="U15574"/>
        </row>
        <row r="15575">
          <cell r="U15575"/>
        </row>
        <row r="15576">
          <cell r="U15576"/>
        </row>
        <row r="15577">
          <cell r="U15577"/>
        </row>
        <row r="15578">
          <cell r="U15578"/>
        </row>
        <row r="15579">
          <cell r="U15579"/>
        </row>
        <row r="15580">
          <cell r="U15580"/>
        </row>
        <row r="15581">
          <cell r="U15581"/>
        </row>
        <row r="15582">
          <cell r="U15582"/>
        </row>
        <row r="15583">
          <cell r="U15583"/>
        </row>
        <row r="15584">
          <cell r="U15584"/>
        </row>
        <row r="15585">
          <cell r="U15585"/>
        </row>
        <row r="15586">
          <cell r="U15586"/>
        </row>
        <row r="15587">
          <cell r="U15587"/>
        </row>
        <row r="15588">
          <cell r="U15588"/>
        </row>
        <row r="15589">
          <cell r="U15589"/>
        </row>
        <row r="15590">
          <cell r="U15590"/>
        </row>
        <row r="15591">
          <cell r="U15591"/>
        </row>
        <row r="15592">
          <cell r="U15592"/>
        </row>
        <row r="15593">
          <cell r="U15593"/>
        </row>
        <row r="15594">
          <cell r="U15594"/>
        </row>
        <row r="15595">
          <cell r="U15595"/>
        </row>
        <row r="15596">
          <cell r="U15596"/>
        </row>
        <row r="15597">
          <cell r="U15597"/>
        </row>
        <row r="15598">
          <cell r="U15598"/>
        </row>
        <row r="15599">
          <cell r="U15599"/>
        </row>
        <row r="15600">
          <cell r="U15600"/>
        </row>
        <row r="15601">
          <cell r="U15601"/>
        </row>
        <row r="15602">
          <cell r="U15602"/>
        </row>
        <row r="15603">
          <cell r="U15603"/>
        </row>
        <row r="15604">
          <cell r="U15604"/>
        </row>
        <row r="15605">
          <cell r="U15605"/>
        </row>
        <row r="15606">
          <cell r="U15606"/>
        </row>
        <row r="15607">
          <cell r="U15607"/>
        </row>
        <row r="15608">
          <cell r="U15608"/>
        </row>
        <row r="15609">
          <cell r="U15609"/>
        </row>
        <row r="15610">
          <cell r="U15610"/>
        </row>
        <row r="15611">
          <cell r="U15611"/>
        </row>
        <row r="15612">
          <cell r="U15612"/>
        </row>
        <row r="15613">
          <cell r="U15613"/>
        </row>
        <row r="15614">
          <cell r="U15614"/>
        </row>
        <row r="15615">
          <cell r="U15615"/>
        </row>
        <row r="15616">
          <cell r="U15616"/>
        </row>
        <row r="15617">
          <cell r="U15617"/>
        </row>
        <row r="15618">
          <cell r="U15618"/>
        </row>
        <row r="15619">
          <cell r="U15619"/>
        </row>
        <row r="15620">
          <cell r="U15620"/>
        </row>
        <row r="15621">
          <cell r="U15621"/>
        </row>
        <row r="15622">
          <cell r="U15622"/>
        </row>
        <row r="15623">
          <cell r="U15623"/>
        </row>
        <row r="15624">
          <cell r="U15624"/>
        </row>
        <row r="15625">
          <cell r="U15625"/>
        </row>
        <row r="15626">
          <cell r="U15626"/>
        </row>
        <row r="15627">
          <cell r="U15627"/>
        </row>
        <row r="15628">
          <cell r="U15628"/>
        </row>
        <row r="15629">
          <cell r="U15629"/>
        </row>
        <row r="15630">
          <cell r="U15630"/>
        </row>
        <row r="15631">
          <cell r="U15631"/>
        </row>
        <row r="15632">
          <cell r="U15632"/>
        </row>
        <row r="15633">
          <cell r="U15633"/>
        </row>
        <row r="15634">
          <cell r="U15634"/>
        </row>
        <row r="15635">
          <cell r="U15635"/>
        </row>
        <row r="15636">
          <cell r="U15636"/>
        </row>
        <row r="15637">
          <cell r="U15637"/>
        </row>
        <row r="15638">
          <cell r="U15638"/>
        </row>
        <row r="15639">
          <cell r="U15639"/>
        </row>
        <row r="15640">
          <cell r="U15640"/>
        </row>
        <row r="15641">
          <cell r="U15641"/>
        </row>
        <row r="15642">
          <cell r="U15642"/>
        </row>
        <row r="15643">
          <cell r="U15643"/>
        </row>
        <row r="15644">
          <cell r="U15644"/>
        </row>
        <row r="15645">
          <cell r="U15645"/>
        </row>
        <row r="15646">
          <cell r="U15646"/>
        </row>
        <row r="15647">
          <cell r="U15647"/>
        </row>
        <row r="15648">
          <cell r="U15648"/>
        </row>
        <row r="15649">
          <cell r="U15649"/>
        </row>
        <row r="15650">
          <cell r="U15650"/>
        </row>
        <row r="15651">
          <cell r="U15651"/>
        </row>
        <row r="15652">
          <cell r="U15652"/>
        </row>
        <row r="15653">
          <cell r="U15653"/>
        </row>
        <row r="15654">
          <cell r="U15654"/>
        </row>
        <row r="15655">
          <cell r="U15655"/>
        </row>
        <row r="15656">
          <cell r="U15656"/>
        </row>
        <row r="15657">
          <cell r="U15657"/>
        </row>
        <row r="15658">
          <cell r="U15658"/>
        </row>
        <row r="15659">
          <cell r="U15659"/>
        </row>
        <row r="15660">
          <cell r="U15660"/>
        </row>
        <row r="15661">
          <cell r="U15661"/>
        </row>
        <row r="15662">
          <cell r="U15662"/>
        </row>
        <row r="15663">
          <cell r="U15663"/>
        </row>
        <row r="15664">
          <cell r="U15664"/>
        </row>
        <row r="15665">
          <cell r="U15665"/>
        </row>
        <row r="15666">
          <cell r="U15666"/>
        </row>
        <row r="15667">
          <cell r="U15667"/>
        </row>
        <row r="15668">
          <cell r="U15668"/>
        </row>
        <row r="15669">
          <cell r="U15669"/>
        </row>
        <row r="15670">
          <cell r="U15670"/>
        </row>
        <row r="15671">
          <cell r="U15671"/>
        </row>
        <row r="15672">
          <cell r="U15672"/>
        </row>
        <row r="15673">
          <cell r="U15673"/>
        </row>
        <row r="15674">
          <cell r="U15674"/>
        </row>
        <row r="15675">
          <cell r="U15675"/>
        </row>
        <row r="15676">
          <cell r="U15676"/>
        </row>
        <row r="15677">
          <cell r="U15677"/>
        </row>
        <row r="15678">
          <cell r="U15678"/>
        </row>
        <row r="15679">
          <cell r="U15679"/>
        </row>
        <row r="15680">
          <cell r="U15680"/>
        </row>
        <row r="15681">
          <cell r="U15681"/>
        </row>
        <row r="15682">
          <cell r="U15682"/>
        </row>
        <row r="15683">
          <cell r="U15683"/>
        </row>
        <row r="15684">
          <cell r="U15684"/>
        </row>
        <row r="15685">
          <cell r="U15685"/>
        </row>
        <row r="15686">
          <cell r="U15686"/>
        </row>
        <row r="15687">
          <cell r="U15687"/>
        </row>
        <row r="15688">
          <cell r="U15688"/>
        </row>
        <row r="15689">
          <cell r="U15689"/>
        </row>
        <row r="15690">
          <cell r="U15690"/>
        </row>
        <row r="15691">
          <cell r="U15691"/>
        </row>
        <row r="15692">
          <cell r="U15692"/>
        </row>
        <row r="15693">
          <cell r="U15693"/>
        </row>
        <row r="15694">
          <cell r="U15694"/>
        </row>
        <row r="15695">
          <cell r="U15695"/>
        </row>
        <row r="15696">
          <cell r="U15696"/>
        </row>
        <row r="15697">
          <cell r="U15697"/>
        </row>
        <row r="15698">
          <cell r="U15698"/>
        </row>
        <row r="15699">
          <cell r="U15699"/>
        </row>
        <row r="15700">
          <cell r="U15700"/>
        </row>
        <row r="15701">
          <cell r="U15701"/>
        </row>
        <row r="15702">
          <cell r="U15702"/>
        </row>
        <row r="15703">
          <cell r="U15703"/>
        </row>
        <row r="15704">
          <cell r="U15704"/>
        </row>
        <row r="15705">
          <cell r="U15705"/>
        </row>
        <row r="15706">
          <cell r="U15706"/>
        </row>
        <row r="15707">
          <cell r="U15707"/>
        </row>
        <row r="15708">
          <cell r="U15708"/>
        </row>
        <row r="15709">
          <cell r="U15709"/>
        </row>
        <row r="15710">
          <cell r="U15710"/>
        </row>
        <row r="15711">
          <cell r="U15711"/>
        </row>
        <row r="15712">
          <cell r="U15712"/>
        </row>
        <row r="15713">
          <cell r="U15713"/>
        </row>
        <row r="15714">
          <cell r="U15714"/>
        </row>
        <row r="15715">
          <cell r="U15715"/>
        </row>
        <row r="15716">
          <cell r="U15716"/>
        </row>
        <row r="15717">
          <cell r="U15717"/>
        </row>
        <row r="15718">
          <cell r="U15718"/>
        </row>
        <row r="15719">
          <cell r="U15719"/>
        </row>
        <row r="15720">
          <cell r="U15720"/>
        </row>
        <row r="15721">
          <cell r="U15721"/>
        </row>
        <row r="15722">
          <cell r="U15722"/>
        </row>
        <row r="15723">
          <cell r="U15723"/>
        </row>
        <row r="15724">
          <cell r="U15724"/>
        </row>
        <row r="15725">
          <cell r="U15725"/>
        </row>
        <row r="15726">
          <cell r="U15726"/>
        </row>
        <row r="15727">
          <cell r="U15727"/>
        </row>
        <row r="15728">
          <cell r="U15728"/>
        </row>
        <row r="15729">
          <cell r="U15729"/>
        </row>
        <row r="15730">
          <cell r="U15730"/>
        </row>
        <row r="15731">
          <cell r="U15731"/>
        </row>
        <row r="15732">
          <cell r="U15732"/>
        </row>
        <row r="15733">
          <cell r="U15733"/>
        </row>
        <row r="15734">
          <cell r="U15734"/>
        </row>
        <row r="15735">
          <cell r="U15735"/>
        </row>
        <row r="15736">
          <cell r="U15736"/>
        </row>
        <row r="15737">
          <cell r="U15737"/>
        </row>
        <row r="15738">
          <cell r="U15738"/>
        </row>
        <row r="15739">
          <cell r="U15739"/>
        </row>
        <row r="15740">
          <cell r="U15740"/>
        </row>
        <row r="15741">
          <cell r="U15741"/>
        </row>
        <row r="15742">
          <cell r="U15742"/>
        </row>
        <row r="15743">
          <cell r="U15743"/>
        </row>
        <row r="15744">
          <cell r="U15744"/>
        </row>
        <row r="15745">
          <cell r="U15745"/>
        </row>
        <row r="15746">
          <cell r="U15746"/>
        </row>
        <row r="15747">
          <cell r="U15747"/>
        </row>
        <row r="15748">
          <cell r="U15748"/>
        </row>
        <row r="15749">
          <cell r="U15749"/>
        </row>
        <row r="15750">
          <cell r="U15750"/>
        </row>
        <row r="15751">
          <cell r="U15751"/>
        </row>
        <row r="15752">
          <cell r="U15752"/>
        </row>
        <row r="15753">
          <cell r="U15753"/>
        </row>
        <row r="15754">
          <cell r="U15754"/>
        </row>
        <row r="15755">
          <cell r="U15755"/>
        </row>
        <row r="15756">
          <cell r="U15756"/>
        </row>
        <row r="15757">
          <cell r="U15757"/>
        </row>
        <row r="15758">
          <cell r="U15758"/>
        </row>
        <row r="15759">
          <cell r="U15759"/>
        </row>
        <row r="15760">
          <cell r="U15760"/>
        </row>
        <row r="15761">
          <cell r="U15761"/>
        </row>
        <row r="15762">
          <cell r="U15762"/>
        </row>
        <row r="15763">
          <cell r="U15763"/>
        </row>
        <row r="15764">
          <cell r="U15764"/>
        </row>
        <row r="15765">
          <cell r="U15765"/>
        </row>
        <row r="15766">
          <cell r="U15766"/>
        </row>
        <row r="15767">
          <cell r="U15767"/>
        </row>
        <row r="15768">
          <cell r="U15768"/>
        </row>
        <row r="15769">
          <cell r="U15769"/>
        </row>
        <row r="15770">
          <cell r="U15770"/>
        </row>
        <row r="15771">
          <cell r="U15771"/>
        </row>
        <row r="15772">
          <cell r="U15772"/>
        </row>
        <row r="15773">
          <cell r="U15773"/>
        </row>
        <row r="15774">
          <cell r="U15774"/>
        </row>
        <row r="15775">
          <cell r="U15775"/>
        </row>
        <row r="15776">
          <cell r="U15776"/>
        </row>
        <row r="15777">
          <cell r="U15777"/>
        </row>
        <row r="15778">
          <cell r="U15778"/>
        </row>
        <row r="15779">
          <cell r="U15779"/>
        </row>
        <row r="15780">
          <cell r="U15780"/>
        </row>
        <row r="15781">
          <cell r="U15781"/>
        </row>
        <row r="15782">
          <cell r="U15782"/>
        </row>
        <row r="15783">
          <cell r="U15783"/>
        </row>
        <row r="15784">
          <cell r="U15784"/>
        </row>
        <row r="15785">
          <cell r="U15785"/>
        </row>
        <row r="15786">
          <cell r="U15786"/>
        </row>
        <row r="15787">
          <cell r="U15787"/>
        </row>
        <row r="15788">
          <cell r="U15788"/>
        </row>
        <row r="15789">
          <cell r="U15789"/>
        </row>
        <row r="15790">
          <cell r="U15790"/>
        </row>
        <row r="15791">
          <cell r="U15791"/>
        </row>
        <row r="15792">
          <cell r="U15792"/>
        </row>
        <row r="15793">
          <cell r="U15793"/>
        </row>
        <row r="15794">
          <cell r="U15794"/>
        </row>
        <row r="15795">
          <cell r="U15795"/>
        </row>
        <row r="15796">
          <cell r="U15796"/>
        </row>
        <row r="15797">
          <cell r="U15797"/>
        </row>
        <row r="15798">
          <cell r="U15798"/>
        </row>
        <row r="15799">
          <cell r="U15799"/>
        </row>
        <row r="15800">
          <cell r="U15800"/>
        </row>
        <row r="15801">
          <cell r="U15801"/>
        </row>
        <row r="15802">
          <cell r="U15802"/>
        </row>
        <row r="15803">
          <cell r="U15803"/>
        </row>
        <row r="15804">
          <cell r="U15804"/>
        </row>
        <row r="15805">
          <cell r="U15805"/>
        </row>
        <row r="15806">
          <cell r="U15806"/>
        </row>
        <row r="15807">
          <cell r="U15807"/>
        </row>
        <row r="15808">
          <cell r="U15808"/>
        </row>
        <row r="15809">
          <cell r="U15809"/>
        </row>
        <row r="15810">
          <cell r="U15810"/>
        </row>
        <row r="15811">
          <cell r="U15811"/>
        </row>
        <row r="15812">
          <cell r="U15812"/>
        </row>
        <row r="15813">
          <cell r="U15813"/>
        </row>
        <row r="15814">
          <cell r="U15814"/>
        </row>
        <row r="15815">
          <cell r="U15815"/>
        </row>
        <row r="15816">
          <cell r="U15816"/>
        </row>
        <row r="15817">
          <cell r="U15817"/>
        </row>
        <row r="15818">
          <cell r="U15818"/>
        </row>
        <row r="15819">
          <cell r="U15819"/>
        </row>
        <row r="15820">
          <cell r="U15820"/>
        </row>
        <row r="15821">
          <cell r="U15821"/>
        </row>
        <row r="15822">
          <cell r="U15822"/>
        </row>
        <row r="15823">
          <cell r="U15823"/>
        </row>
        <row r="15824">
          <cell r="U15824"/>
        </row>
        <row r="15825">
          <cell r="U15825"/>
        </row>
        <row r="15826">
          <cell r="U15826"/>
        </row>
        <row r="15827">
          <cell r="U15827"/>
        </row>
        <row r="15828">
          <cell r="U15828"/>
        </row>
        <row r="15829">
          <cell r="U15829"/>
        </row>
        <row r="15830">
          <cell r="U15830"/>
        </row>
        <row r="15831">
          <cell r="U15831"/>
        </row>
        <row r="15832">
          <cell r="U15832"/>
        </row>
        <row r="15833">
          <cell r="U15833"/>
        </row>
        <row r="15834">
          <cell r="U15834"/>
        </row>
        <row r="15835">
          <cell r="U15835"/>
        </row>
        <row r="15836">
          <cell r="U15836"/>
        </row>
        <row r="15837">
          <cell r="U15837"/>
        </row>
        <row r="15838">
          <cell r="U15838"/>
        </row>
        <row r="15839">
          <cell r="U15839"/>
        </row>
        <row r="15840">
          <cell r="U15840"/>
        </row>
        <row r="15841">
          <cell r="U15841"/>
        </row>
        <row r="15842">
          <cell r="U15842"/>
        </row>
        <row r="15843">
          <cell r="U15843"/>
        </row>
        <row r="15844">
          <cell r="U15844"/>
        </row>
        <row r="15845">
          <cell r="U15845"/>
        </row>
        <row r="15846">
          <cell r="U15846"/>
        </row>
        <row r="15847">
          <cell r="U15847"/>
        </row>
        <row r="15848">
          <cell r="U15848"/>
        </row>
        <row r="15849">
          <cell r="U15849"/>
        </row>
        <row r="15850">
          <cell r="U15850"/>
        </row>
        <row r="15851">
          <cell r="U15851"/>
        </row>
        <row r="15852">
          <cell r="U15852"/>
        </row>
        <row r="15853">
          <cell r="U15853"/>
        </row>
        <row r="15854">
          <cell r="U15854"/>
        </row>
        <row r="15855">
          <cell r="U15855"/>
        </row>
        <row r="15856">
          <cell r="U15856"/>
        </row>
        <row r="15857">
          <cell r="U15857"/>
        </row>
        <row r="15858">
          <cell r="U15858"/>
        </row>
        <row r="15859">
          <cell r="U15859"/>
        </row>
        <row r="15860">
          <cell r="U15860"/>
        </row>
        <row r="15861">
          <cell r="U15861"/>
        </row>
        <row r="15862">
          <cell r="U15862"/>
        </row>
        <row r="15863">
          <cell r="U15863"/>
        </row>
        <row r="15864">
          <cell r="U15864"/>
        </row>
        <row r="15865">
          <cell r="U15865"/>
        </row>
        <row r="15866">
          <cell r="U15866"/>
        </row>
        <row r="15867">
          <cell r="U15867"/>
        </row>
        <row r="15868">
          <cell r="U15868"/>
        </row>
        <row r="15869">
          <cell r="U15869"/>
        </row>
        <row r="15870">
          <cell r="U15870"/>
        </row>
        <row r="15871">
          <cell r="U15871"/>
        </row>
        <row r="15872">
          <cell r="U15872"/>
        </row>
        <row r="15873">
          <cell r="U15873"/>
        </row>
        <row r="15874">
          <cell r="U15874"/>
        </row>
        <row r="15875">
          <cell r="U15875"/>
        </row>
        <row r="15876">
          <cell r="U15876"/>
        </row>
        <row r="15877">
          <cell r="U15877"/>
        </row>
        <row r="15878">
          <cell r="U15878"/>
        </row>
        <row r="15879">
          <cell r="U15879"/>
        </row>
        <row r="15880">
          <cell r="U15880"/>
        </row>
        <row r="15881">
          <cell r="U15881"/>
        </row>
        <row r="15882">
          <cell r="U15882"/>
        </row>
        <row r="15883">
          <cell r="U15883"/>
        </row>
        <row r="15884">
          <cell r="U15884"/>
        </row>
        <row r="15885">
          <cell r="U15885"/>
        </row>
        <row r="15886">
          <cell r="U15886"/>
        </row>
        <row r="15887">
          <cell r="U15887"/>
        </row>
        <row r="15888">
          <cell r="U15888"/>
        </row>
        <row r="15889">
          <cell r="U15889"/>
        </row>
        <row r="15890">
          <cell r="U15890"/>
        </row>
        <row r="15891">
          <cell r="U15891"/>
        </row>
        <row r="15892">
          <cell r="U15892"/>
        </row>
        <row r="15893">
          <cell r="U15893"/>
        </row>
        <row r="15894">
          <cell r="U15894"/>
        </row>
        <row r="15895">
          <cell r="U15895"/>
        </row>
        <row r="15896">
          <cell r="U15896"/>
        </row>
        <row r="15897">
          <cell r="U15897"/>
        </row>
        <row r="15898">
          <cell r="U15898"/>
        </row>
        <row r="15899">
          <cell r="U15899"/>
        </row>
        <row r="15900">
          <cell r="U15900"/>
        </row>
        <row r="15901">
          <cell r="U15901"/>
        </row>
        <row r="15902">
          <cell r="U15902"/>
        </row>
        <row r="15903">
          <cell r="U15903"/>
        </row>
        <row r="15904">
          <cell r="U15904"/>
        </row>
        <row r="15905">
          <cell r="U15905"/>
        </row>
        <row r="15906">
          <cell r="U15906"/>
        </row>
        <row r="15907">
          <cell r="U15907"/>
        </row>
        <row r="15908">
          <cell r="U15908"/>
        </row>
        <row r="15909">
          <cell r="U15909"/>
        </row>
        <row r="15910">
          <cell r="U15910"/>
        </row>
        <row r="15911">
          <cell r="U15911"/>
        </row>
        <row r="15912">
          <cell r="U15912"/>
        </row>
        <row r="15913">
          <cell r="U15913"/>
        </row>
        <row r="15914">
          <cell r="U15914"/>
        </row>
        <row r="15915">
          <cell r="U15915"/>
        </row>
        <row r="15916">
          <cell r="U15916"/>
        </row>
        <row r="15917">
          <cell r="U15917"/>
        </row>
        <row r="15918">
          <cell r="U15918"/>
        </row>
        <row r="15919">
          <cell r="U15919"/>
        </row>
        <row r="15920">
          <cell r="U15920"/>
        </row>
        <row r="15921">
          <cell r="U15921"/>
        </row>
        <row r="15922">
          <cell r="U15922"/>
        </row>
        <row r="15923">
          <cell r="U15923"/>
        </row>
        <row r="15924">
          <cell r="U15924"/>
        </row>
        <row r="15925">
          <cell r="U15925"/>
        </row>
        <row r="15926">
          <cell r="U15926"/>
        </row>
        <row r="15927">
          <cell r="U15927"/>
        </row>
        <row r="15928">
          <cell r="U15928"/>
        </row>
        <row r="15929">
          <cell r="U15929"/>
        </row>
        <row r="15930">
          <cell r="U15930"/>
        </row>
        <row r="15931">
          <cell r="U15931"/>
        </row>
        <row r="15932">
          <cell r="U15932"/>
        </row>
        <row r="15933">
          <cell r="U15933"/>
        </row>
        <row r="15934">
          <cell r="U15934"/>
        </row>
        <row r="15935">
          <cell r="U15935"/>
        </row>
        <row r="15936">
          <cell r="U15936"/>
        </row>
        <row r="15937">
          <cell r="U15937"/>
        </row>
        <row r="15938">
          <cell r="U15938"/>
        </row>
        <row r="15939">
          <cell r="U15939"/>
        </row>
        <row r="15940">
          <cell r="U15940"/>
        </row>
        <row r="15941">
          <cell r="U15941"/>
        </row>
        <row r="15942">
          <cell r="U15942"/>
        </row>
        <row r="15943">
          <cell r="U15943"/>
        </row>
        <row r="15944">
          <cell r="U15944"/>
        </row>
        <row r="15945">
          <cell r="U15945"/>
        </row>
        <row r="15946">
          <cell r="U15946"/>
        </row>
        <row r="15947">
          <cell r="U15947"/>
        </row>
        <row r="15948">
          <cell r="U15948"/>
        </row>
        <row r="15949">
          <cell r="U15949"/>
        </row>
        <row r="15950">
          <cell r="U15950"/>
        </row>
        <row r="15951">
          <cell r="U15951"/>
        </row>
        <row r="15952">
          <cell r="U15952"/>
        </row>
        <row r="15953">
          <cell r="U15953"/>
        </row>
        <row r="15954">
          <cell r="U15954"/>
        </row>
        <row r="15955">
          <cell r="U15955"/>
        </row>
        <row r="15956">
          <cell r="U15956"/>
        </row>
        <row r="15957">
          <cell r="U15957"/>
        </row>
        <row r="15958">
          <cell r="U15958"/>
        </row>
        <row r="15959">
          <cell r="U15959"/>
        </row>
        <row r="15960">
          <cell r="U15960"/>
        </row>
        <row r="15961">
          <cell r="U15961"/>
        </row>
        <row r="15962">
          <cell r="U15962"/>
        </row>
        <row r="15963">
          <cell r="U15963"/>
        </row>
        <row r="15964">
          <cell r="U15964"/>
        </row>
        <row r="15965">
          <cell r="U15965"/>
        </row>
        <row r="15966">
          <cell r="U15966"/>
        </row>
        <row r="15967">
          <cell r="U15967"/>
        </row>
        <row r="15968">
          <cell r="U15968"/>
        </row>
        <row r="15969">
          <cell r="U15969"/>
        </row>
        <row r="15970">
          <cell r="U15970"/>
        </row>
        <row r="15971">
          <cell r="U15971"/>
        </row>
        <row r="15972">
          <cell r="U15972"/>
        </row>
        <row r="15973">
          <cell r="U15973"/>
        </row>
        <row r="15974">
          <cell r="U15974"/>
        </row>
        <row r="15975">
          <cell r="U15975"/>
        </row>
        <row r="15976">
          <cell r="U15976"/>
        </row>
        <row r="15977">
          <cell r="U15977"/>
        </row>
        <row r="15978">
          <cell r="U15978"/>
        </row>
        <row r="15979">
          <cell r="U15979"/>
        </row>
        <row r="15980">
          <cell r="U15980"/>
        </row>
        <row r="15981">
          <cell r="U15981"/>
        </row>
        <row r="15982">
          <cell r="U15982"/>
        </row>
        <row r="15983">
          <cell r="U15983"/>
        </row>
        <row r="15984">
          <cell r="U15984"/>
        </row>
        <row r="15985">
          <cell r="U15985"/>
        </row>
        <row r="15986">
          <cell r="U15986"/>
        </row>
        <row r="15987">
          <cell r="U15987"/>
        </row>
        <row r="15988">
          <cell r="U15988"/>
        </row>
        <row r="15989">
          <cell r="U15989"/>
        </row>
        <row r="15990">
          <cell r="U15990"/>
        </row>
        <row r="15991">
          <cell r="U15991"/>
        </row>
        <row r="15992">
          <cell r="U15992"/>
        </row>
        <row r="15993">
          <cell r="U15993"/>
        </row>
        <row r="15994">
          <cell r="U15994"/>
        </row>
        <row r="15995">
          <cell r="U15995"/>
        </row>
        <row r="15996">
          <cell r="U15996"/>
        </row>
        <row r="15997">
          <cell r="U15997"/>
        </row>
        <row r="15998">
          <cell r="U15998"/>
        </row>
        <row r="15999">
          <cell r="U15999"/>
        </row>
        <row r="16000">
          <cell r="U16000"/>
        </row>
        <row r="16001">
          <cell r="U16001"/>
        </row>
        <row r="16002">
          <cell r="U16002"/>
        </row>
        <row r="16003">
          <cell r="U16003"/>
        </row>
        <row r="16004">
          <cell r="U16004"/>
        </row>
        <row r="16005">
          <cell r="U16005"/>
        </row>
        <row r="16006">
          <cell r="U16006"/>
        </row>
        <row r="16007">
          <cell r="U16007"/>
        </row>
        <row r="16008">
          <cell r="U16008"/>
        </row>
        <row r="16009">
          <cell r="U16009"/>
        </row>
        <row r="16010">
          <cell r="U16010"/>
        </row>
        <row r="16011">
          <cell r="U16011"/>
        </row>
        <row r="16012">
          <cell r="U16012"/>
        </row>
        <row r="16013">
          <cell r="U16013"/>
        </row>
        <row r="16014">
          <cell r="U16014"/>
        </row>
        <row r="16015">
          <cell r="U16015"/>
        </row>
        <row r="16016">
          <cell r="U16016"/>
        </row>
        <row r="16017">
          <cell r="U16017"/>
        </row>
        <row r="16018">
          <cell r="U16018"/>
        </row>
        <row r="16019">
          <cell r="U16019"/>
        </row>
        <row r="16020">
          <cell r="U16020"/>
        </row>
        <row r="16021">
          <cell r="U16021"/>
        </row>
        <row r="16022">
          <cell r="U16022"/>
        </row>
        <row r="16023">
          <cell r="U16023"/>
        </row>
        <row r="16024">
          <cell r="U16024"/>
        </row>
        <row r="16025">
          <cell r="U16025"/>
        </row>
        <row r="16026">
          <cell r="U16026"/>
        </row>
        <row r="16027">
          <cell r="U16027"/>
        </row>
        <row r="16028">
          <cell r="U16028"/>
        </row>
        <row r="16029">
          <cell r="U16029"/>
        </row>
        <row r="16030">
          <cell r="U16030"/>
        </row>
        <row r="16031">
          <cell r="U16031"/>
        </row>
        <row r="16032">
          <cell r="U16032"/>
        </row>
        <row r="16033">
          <cell r="U16033"/>
        </row>
        <row r="16034">
          <cell r="U16034"/>
        </row>
        <row r="16035">
          <cell r="U16035"/>
        </row>
        <row r="16036">
          <cell r="U16036"/>
        </row>
        <row r="16037">
          <cell r="U16037"/>
        </row>
        <row r="16038">
          <cell r="U16038"/>
        </row>
        <row r="16039">
          <cell r="U16039"/>
        </row>
        <row r="16040">
          <cell r="U16040"/>
        </row>
        <row r="16041">
          <cell r="U16041"/>
        </row>
        <row r="16042">
          <cell r="U16042"/>
        </row>
        <row r="16043">
          <cell r="U16043"/>
        </row>
        <row r="16044">
          <cell r="U16044"/>
        </row>
        <row r="16045">
          <cell r="U16045"/>
        </row>
        <row r="16046">
          <cell r="U16046"/>
        </row>
        <row r="16047">
          <cell r="U16047"/>
        </row>
        <row r="16048">
          <cell r="U16048"/>
        </row>
        <row r="16049">
          <cell r="U16049"/>
        </row>
        <row r="16050">
          <cell r="U16050"/>
        </row>
        <row r="16051">
          <cell r="U16051"/>
        </row>
        <row r="16052">
          <cell r="U16052"/>
        </row>
        <row r="16053">
          <cell r="U16053"/>
        </row>
        <row r="16054">
          <cell r="U16054"/>
        </row>
        <row r="16055">
          <cell r="U16055"/>
        </row>
        <row r="16056">
          <cell r="U16056"/>
        </row>
        <row r="16057">
          <cell r="U16057"/>
        </row>
        <row r="16058">
          <cell r="U16058"/>
        </row>
        <row r="16059">
          <cell r="U16059"/>
        </row>
        <row r="16060">
          <cell r="U16060"/>
        </row>
        <row r="16061">
          <cell r="U16061"/>
        </row>
        <row r="16062">
          <cell r="U16062"/>
        </row>
        <row r="16063">
          <cell r="U16063"/>
        </row>
        <row r="16064">
          <cell r="U16064"/>
        </row>
        <row r="16065">
          <cell r="U16065"/>
        </row>
        <row r="16066">
          <cell r="U16066"/>
        </row>
        <row r="16067">
          <cell r="U16067"/>
        </row>
        <row r="16068">
          <cell r="U16068"/>
        </row>
        <row r="16069">
          <cell r="U16069"/>
        </row>
        <row r="16070">
          <cell r="U16070"/>
        </row>
        <row r="16071">
          <cell r="U16071"/>
        </row>
        <row r="16072">
          <cell r="U16072"/>
        </row>
        <row r="16073">
          <cell r="U16073"/>
        </row>
        <row r="16074">
          <cell r="U16074"/>
        </row>
        <row r="16075">
          <cell r="U16075"/>
        </row>
        <row r="16076">
          <cell r="U16076"/>
        </row>
        <row r="16077">
          <cell r="U16077"/>
        </row>
        <row r="16078">
          <cell r="U16078"/>
        </row>
        <row r="16079">
          <cell r="U16079"/>
        </row>
        <row r="16080">
          <cell r="U16080"/>
        </row>
        <row r="16081">
          <cell r="U16081"/>
        </row>
        <row r="16082">
          <cell r="U16082"/>
        </row>
        <row r="16083">
          <cell r="U16083"/>
        </row>
        <row r="16084">
          <cell r="U16084"/>
        </row>
        <row r="16085">
          <cell r="U16085"/>
        </row>
        <row r="16086">
          <cell r="U16086"/>
        </row>
        <row r="16087">
          <cell r="U16087"/>
        </row>
        <row r="16088">
          <cell r="U16088"/>
        </row>
        <row r="16089">
          <cell r="U16089"/>
        </row>
        <row r="16090">
          <cell r="U16090"/>
        </row>
        <row r="16091">
          <cell r="U16091"/>
        </row>
        <row r="16092">
          <cell r="U16092"/>
        </row>
        <row r="16093">
          <cell r="U16093"/>
        </row>
        <row r="16094">
          <cell r="U16094"/>
        </row>
        <row r="16095">
          <cell r="U16095"/>
        </row>
        <row r="16096">
          <cell r="U16096"/>
        </row>
        <row r="16097">
          <cell r="U16097"/>
        </row>
        <row r="16098">
          <cell r="U16098"/>
        </row>
        <row r="16099">
          <cell r="U16099"/>
        </row>
        <row r="16100">
          <cell r="U16100"/>
        </row>
        <row r="16101">
          <cell r="U16101"/>
        </row>
        <row r="16102">
          <cell r="U16102"/>
        </row>
        <row r="16103">
          <cell r="U16103"/>
        </row>
        <row r="16104">
          <cell r="U16104"/>
        </row>
        <row r="16105">
          <cell r="U16105"/>
        </row>
        <row r="16106">
          <cell r="U16106"/>
        </row>
        <row r="16107">
          <cell r="U16107"/>
        </row>
        <row r="16108">
          <cell r="U16108"/>
        </row>
        <row r="16109">
          <cell r="U16109"/>
        </row>
        <row r="16110">
          <cell r="U16110"/>
        </row>
        <row r="16111">
          <cell r="U16111"/>
        </row>
        <row r="16112">
          <cell r="U16112"/>
        </row>
        <row r="16113">
          <cell r="U16113"/>
        </row>
        <row r="16114">
          <cell r="U16114"/>
        </row>
        <row r="16115">
          <cell r="U16115"/>
        </row>
        <row r="16116">
          <cell r="U16116"/>
        </row>
        <row r="16117">
          <cell r="U16117"/>
        </row>
        <row r="16118">
          <cell r="U16118"/>
        </row>
        <row r="16119">
          <cell r="U16119"/>
        </row>
        <row r="16120">
          <cell r="U16120"/>
        </row>
        <row r="16121">
          <cell r="U16121"/>
        </row>
        <row r="16122">
          <cell r="U16122"/>
        </row>
        <row r="16123">
          <cell r="U16123"/>
        </row>
        <row r="16124">
          <cell r="U16124"/>
        </row>
        <row r="16125">
          <cell r="U16125"/>
        </row>
        <row r="16126">
          <cell r="U16126"/>
        </row>
        <row r="16127">
          <cell r="U16127"/>
        </row>
        <row r="16128">
          <cell r="U16128"/>
        </row>
        <row r="16129">
          <cell r="U16129"/>
        </row>
        <row r="16130">
          <cell r="U16130"/>
        </row>
        <row r="16131">
          <cell r="U16131"/>
        </row>
        <row r="16132">
          <cell r="U16132"/>
        </row>
        <row r="16133">
          <cell r="U16133"/>
        </row>
        <row r="16134">
          <cell r="U16134"/>
        </row>
        <row r="16135">
          <cell r="U16135"/>
        </row>
        <row r="16136">
          <cell r="U16136"/>
        </row>
        <row r="16137">
          <cell r="U16137"/>
        </row>
        <row r="16138">
          <cell r="U16138"/>
        </row>
        <row r="16139">
          <cell r="U16139"/>
        </row>
        <row r="16140">
          <cell r="U16140"/>
        </row>
        <row r="16141">
          <cell r="U16141"/>
        </row>
        <row r="16142">
          <cell r="U16142"/>
        </row>
        <row r="16143">
          <cell r="U16143"/>
        </row>
        <row r="16144">
          <cell r="U16144"/>
        </row>
        <row r="16145">
          <cell r="U16145"/>
        </row>
        <row r="16146">
          <cell r="U16146"/>
        </row>
        <row r="16147">
          <cell r="U16147"/>
        </row>
        <row r="16148">
          <cell r="U16148"/>
        </row>
        <row r="16149">
          <cell r="U16149"/>
        </row>
        <row r="16150">
          <cell r="U16150"/>
        </row>
        <row r="16151">
          <cell r="U16151"/>
        </row>
        <row r="16152">
          <cell r="U16152"/>
        </row>
        <row r="16153">
          <cell r="U16153"/>
        </row>
        <row r="16154">
          <cell r="U16154"/>
        </row>
        <row r="16155">
          <cell r="U16155"/>
        </row>
        <row r="16156">
          <cell r="U16156"/>
        </row>
        <row r="16157">
          <cell r="U16157"/>
        </row>
        <row r="16158">
          <cell r="U16158"/>
        </row>
        <row r="16159">
          <cell r="U16159"/>
        </row>
        <row r="16160">
          <cell r="U16160"/>
        </row>
        <row r="16161">
          <cell r="U16161"/>
        </row>
        <row r="16162">
          <cell r="U16162"/>
        </row>
        <row r="16163">
          <cell r="U16163"/>
        </row>
        <row r="16164">
          <cell r="U16164"/>
        </row>
        <row r="16165">
          <cell r="U16165"/>
        </row>
        <row r="16166">
          <cell r="U16166"/>
        </row>
        <row r="16167">
          <cell r="U16167"/>
        </row>
        <row r="16168">
          <cell r="U16168"/>
        </row>
        <row r="16169">
          <cell r="U16169"/>
        </row>
        <row r="16170">
          <cell r="U16170"/>
        </row>
        <row r="16171">
          <cell r="U16171"/>
        </row>
        <row r="16172">
          <cell r="U16172"/>
        </row>
        <row r="16173">
          <cell r="U16173"/>
        </row>
        <row r="16174">
          <cell r="U16174"/>
        </row>
        <row r="16175">
          <cell r="U16175"/>
        </row>
        <row r="16176">
          <cell r="U16176"/>
        </row>
        <row r="16177">
          <cell r="U16177"/>
        </row>
        <row r="16178">
          <cell r="U16178"/>
        </row>
        <row r="16179">
          <cell r="U16179"/>
        </row>
        <row r="16180">
          <cell r="U16180"/>
        </row>
        <row r="16181">
          <cell r="U16181"/>
        </row>
        <row r="16182">
          <cell r="U16182"/>
        </row>
        <row r="16183">
          <cell r="U16183"/>
        </row>
        <row r="16184">
          <cell r="U16184"/>
        </row>
        <row r="16185">
          <cell r="U16185"/>
        </row>
        <row r="16186">
          <cell r="U16186"/>
        </row>
        <row r="16187">
          <cell r="U16187"/>
        </row>
        <row r="16188">
          <cell r="U16188"/>
        </row>
        <row r="16189">
          <cell r="U16189"/>
        </row>
        <row r="16190">
          <cell r="U16190"/>
        </row>
        <row r="16191">
          <cell r="U16191"/>
        </row>
        <row r="16192">
          <cell r="U16192"/>
        </row>
        <row r="16193">
          <cell r="U16193"/>
        </row>
        <row r="16194">
          <cell r="U16194"/>
        </row>
        <row r="16195">
          <cell r="U16195"/>
        </row>
        <row r="16196">
          <cell r="U16196"/>
        </row>
        <row r="16197">
          <cell r="U16197"/>
        </row>
        <row r="16198">
          <cell r="U16198"/>
        </row>
        <row r="16199">
          <cell r="U16199"/>
        </row>
        <row r="16200">
          <cell r="U16200"/>
        </row>
        <row r="16201">
          <cell r="U16201"/>
        </row>
        <row r="16202">
          <cell r="U16202"/>
        </row>
        <row r="16203">
          <cell r="U16203"/>
        </row>
        <row r="16204">
          <cell r="U16204"/>
        </row>
        <row r="16205">
          <cell r="U16205"/>
        </row>
        <row r="16206">
          <cell r="U16206"/>
        </row>
        <row r="16207">
          <cell r="U16207"/>
        </row>
        <row r="16208">
          <cell r="U16208"/>
        </row>
        <row r="16209">
          <cell r="U16209"/>
        </row>
        <row r="16210">
          <cell r="U16210"/>
        </row>
        <row r="16211">
          <cell r="U16211"/>
        </row>
        <row r="16212">
          <cell r="U16212"/>
        </row>
        <row r="16213">
          <cell r="U16213"/>
        </row>
        <row r="16214">
          <cell r="U16214"/>
        </row>
        <row r="16215">
          <cell r="U16215"/>
        </row>
        <row r="16216">
          <cell r="U16216"/>
        </row>
        <row r="16217">
          <cell r="U16217"/>
        </row>
        <row r="16218">
          <cell r="U16218"/>
        </row>
        <row r="16219">
          <cell r="U16219"/>
        </row>
        <row r="16220">
          <cell r="U16220"/>
        </row>
        <row r="16221">
          <cell r="U16221"/>
        </row>
        <row r="16222">
          <cell r="U16222"/>
        </row>
        <row r="16223">
          <cell r="U16223"/>
        </row>
        <row r="16224">
          <cell r="U16224"/>
        </row>
        <row r="16225">
          <cell r="U16225"/>
        </row>
        <row r="16226">
          <cell r="U16226"/>
        </row>
        <row r="16227">
          <cell r="U16227"/>
        </row>
        <row r="16228">
          <cell r="U16228"/>
        </row>
        <row r="16229">
          <cell r="U16229"/>
        </row>
        <row r="16230">
          <cell r="U16230"/>
        </row>
        <row r="16231">
          <cell r="U16231"/>
        </row>
        <row r="16232">
          <cell r="U16232"/>
        </row>
        <row r="16233">
          <cell r="U16233"/>
        </row>
        <row r="16234">
          <cell r="U16234"/>
        </row>
        <row r="16235">
          <cell r="U16235"/>
        </row>
        <row r="16236">
          <cell r="U16236"/>
        </row>
        <row r="16237">
          <cell r="U16237"/>
        </row>
        <row r="16238">
          <cell r="U16238"/>
        </row>
        <row r="16239">
          <cell r="U16239"/>
        </row>
        <row r="16240">
          <cell r="U16240"/>
        </row>
        <row r="16241">
          <cell r="U16241"/>
        </row>
        <row r="16242">
          <cell r="U16242"/>
        </row>
        <row r="16243">
          <cell r="U16243"/>
        </row>
        <row r="16244">
          <cell r="U16244"/>
        </row>
        <row r="16245">
          <cell r="U16245"/>
        </row>
        <row r="16246">
          <cell r="U16246"/>
        </row>
        <row r="16247">
          <cell r="U16247"/>
        </row>
        <row r="16248">
          <cell r="U16248"/>
        </row>
        <row r="16249">
          <cell r="U16249"/>
        </row>
        <row r="16250">
          <cell r="U16250"/>
        </row>
        <row r="16251">
          <cell r="U16251"/>
        </row>
        <row r="16252">
          <cell r="U16252"/>
        </row>
        <row r="16253">
          <cell r="U16253"/>
        </row>
        <row r="16254">
          <cell r="U16254"/>
        </row>
        <row r="16255">
          <cell r="U16255"/>
        </row>
        <row r="16256">
          <cell r="U16256"/>
        </row>
        <row r="16257">
          <cell r="U16257"/>
        </row>
        <row r="16258">
          <cell r="U16258"/>
        </row>
        <row r="16259">
          <cell r="U16259"/>
        </row>
        <row r="16260">
          <cell r="U16260"/>
        </row>
        <row r="16261">
          <cell r="U16261"/>
        </row>
        <row r="16262">
          <cell r="U16262"/>
        </row>
        <row r="16263">
          <cell r="U16263"/>
        </row>
        <row r="16264">
          <cell r="U16264"/>
        </row>
        <row r="16265">
          <cell r="U16265"/>
        </row>
        <row r="16266">
          <cell r="U16266"/>
        </row>
        <row r="16267">
          <cell r="U16267"/>
        </row>
        <row r="16268">
          <cell r="U16268"/>
        </row>
        <row r="16269">
          <cell r="U16269"/>
        </row>
        <row r="16270">
          <cell r="U16270"/>
        </row>
        <row r="16271">
          <cell r="U16271"/>
        </row>
        <row r="16272">
          <cell r="U16272"/>
        </row>
        <row r="16273">
          <cell r="U16273"/>
        </row>
        <row r="16274">
          <cell r="U16274"/>
        </row>
        <row r="16275">
          <cell r="U16275"/>
        </row>
        <row r="16276">
          <cell r="U16276"/>
        </row>
        <row r="16277">
          <cell r="U16277"/>
        </row>
        <row r="16278">
          <cell r="U16278"/>
        </row>
        <row r="16279">
          <cell r="U16279"/>
        </row>
        <row r="16280">
          <cell r="U16280"/>
        </row>
        <row r="16281">
          <cell r="U16281"/>
        </row>
        <row r="16282">
          <cell r="U16282"/>
        </row>
        <row r="16283">
          <cell r="U16283"/>
        </row>
        <row r="16284">
          <cell r="U16284"/>
        </row>
        <row r="16285">
          <cell r="U16285"/>
        </row>
        <row r="16286">
          <cell r="U16286"/>
        </row>
        <row r="16287">
          <cell r="U16287"/>
        </row>
        <row r="16288">
          <cell r="U16288"/>
        </row>
        <row r="16289">
          <cell r="U16289"/>
        </row>
        <row r="16290">
          <cell r="U16290"/>
        </row>
        <row r="16291">
          <cell r="U16291"/>
        </row>
        <row r="16292">
          <cell r="U16292"/>
        </row>
        <row r="16293">
          <cell r="U16293"/>
        </row>
        <row r="16294">
          <cell r="U16294"/>
        </row>
        <row r="16295">
          <cell r="U16295"/>
        </row>
        <row r="16296">
          <cell r="U16296"/>
        </row>
        <row r="16297">
          <cell r="U16297"/>
        </row>
        <row r="16298">
          <cell r="U16298"/>
        </row>
        <row r="16299">
          <cell r="U16299"/>
        </row>
        <row r="16300">
          <cell r="U16300"/>
        </row>
        <row r="16301">
          <cell r="U16301"/>
        </row>
        <row r="16302">
          <cell r="U16302"/>
        </row>
        <row r="16303">
          <cell r="U16303"/>
        </row>
        <row r="16304">
          <cell r="U16304"/>
        </row>
        <row r="16305">
          <cell r="U16305"/>
        </row>
        <row r="16306">
          <cell r="U16306"/>
        </row>
        <row r="16307">
          <cell r="U16307"/>
        </row>
        <row r="16308">
          <cell r="U16308"/>
        </row>
        <row r="16309">
          <cell r="U16309"/>
        </row>
        <row r="16310">
          <cell r="U16310"/>
        </row>
        <row r="16311">
          <cell r="U16311"/>
        </row>
        <row r="16312">
          <cell r="U16312"/>
        </row>
        <row r="16313">
          <cell r="U16313"/>
        </row>
        <row r="16314">
          <cell r="U16314"/>
        </row>
        <row r="16315">
          <cell r="U16315"/>
        </row>
        <row r="16316">
          <cell r="U16316"/>
        </row>
        <row r="16317">
          <cell r="U16317"/>
        </row>
        <row r="16318">
          <cell r="U16318"/>
        </row>
        <row r="16319">
          <cell r="U16319"/>
        </row>
        <row r="16320">
          <cell r="U16320"/>
        </row>
        <row r="16321">
          <cell r="U16321"/>
        </row>
        <row r="16322">
          <cell r="U16322"/>
        </row>
        <row r="16323">
          <cell r="U16323"/>
        </row>
        <row r="16324">
          <cell r="U16324"/>
        </row>
        <row r="16325">
          <cell r="U16325"/>
        </row>
        <row r="16326">
          <cell r="U16326"/>
        </row>
        <row r="16327">
          <cell r="U16327"/>
        </row>
        <row r="16328">
          <cell r="U16328"/>
        </row>
        <row r="16329">
          <cell r="U16329"/>
        </row>
        <row r="16330">
          <cell r="U16330"/>
        </row>
        <row r="16331">
          <cell r="U16331"/>
        </row>
        <row r="16332">
          <cell r="U16332"/>
        </row>
        <row r="16333">
          <cell r="U16333"/>
        </row>
        <row r="16334">
          <cell r="U16334"/>
        </row>
        <row r="16335">
          <cell r="U16335"/>
        </row>
        <row r="16336">
          <cell r="U16336"/>
        </row>
        <row r="16337">
          <cell r="U16337"/>
        </row>
        <row r="16338">
          <cell r="U16338"/>
        </row>
        <row r="16339">
          <cell r="U16339"/>
        </row>
        <row r="16340">
          <cell r="U16340"/>
        </row>
        <row r="16341">
          <cell r="U16341"/>
        </row>
        <row r="16342">
          <cell r="U16342"/>
        </row>
        <row r="16343">
          <cell r="U16343"/>
        </row>
        <row r="16344">
          <cell r="U16344"/>
        </row>
        <row r="16345">
          <cell r="U16345"/>
        </row>
        <row r="16346">
          <cell r="U16346"/>
        </row>
        <row r="16347">
          <cell r="U16347"/>
        </row>
        <row r="16348">
          <cell r="U16348"/>
        </row>
        <row r="16349">
          <cell r="U16349"/>
        </row>
        <row r="16350">
          <cell r="U16350"/>
        </row>
        <row r="16351">
          <cell r="U16351"/>
        </row>
        <row r="16352">
          <cell r="U16352"/>
        </row>
        <row r="16353">
          <cell r="U16353"/>
        </row>
        <row r="16354">
          <cell r="U16354"/>
        </row>
        <row r="16355">
          <cell r="U16355"/>
        </row>
        <row r="16356">
          <cell r="U16356"/>
        </row>
        <row r="16357">
          <cell r="U16357"/>
        </row>
        <row r="16358">
          <cell r="U16358"/>
        </row>
        <row r="16359">
          <cell r="U16359"/>
        </row>
        <row r="16360">
          <cell r="U16360"/>
        </row>
        <row r="16361">
          <cell r="U16361"/>
        </row>
        <row r="16362">
          <cell r="U16362"/>
        </row>
        <row r="16363">
          <cell r="U16363"/>
        </row>
        <row r="16364">
          <cell r="U16364"/>
        </row>
        <row r="16365">
          <cell r="U16365"/>
        </row>
        <row r="16366">
          <cell r="U16366"/>
        </row>
        <row r="16367">
          <cell r="U16367"/>
        </row>
        <row r="16368">
          <cell r="U16368"/>
        </row>
        <row r="16369">
          <cell r="U16369"/>
        </row>
        <row r="16370">
          <cell r="U16370"/>
        </row>
        <row r="16371">
          <cell r="U16371"/>
        </row>
        <row r="16372">
          <cell r="U16372"/>
        </row>
        <row r="16373">
          <cell r="U16373"/>
        </row>
        <row r="16374">
          <cell r="U16374"/>
        </row>
        <row r="16375">
          <cell r="U16375"/>
        </row>
        <row r="16376">
          <cell r="U16376"/>
        </row>
        <row r="16377">
          <cell r="U16377"/>
        </row>
        <row r="16378">
          <cell r="U16378"/>
        </row>
        <row r="16379">
          <cell r="U16379"/>
        </row>
        <row r="16380">
          <cell r="U16380"/>
        </row>
        <row r="16381">
          <cell r="U16381"/>
        </row>
        <row r="16382">
          <cell r="U16382"/>
        </row>
        <row r="16383">
          <cell r="U16383"/>
        </row>
        <row r="16384">
          <cell r="U16384"/>
        </row>
        <row r="16385">
          <cell r="U16385"/>
        </row>
        <row r="16386">
          <cell r="U16386"/>
        </row>
        <row r="16387">
          <cell r="U16387"/>
        </row>
        <row r="16388">
          <cell r="U16388"/>
        </row>
        <row r="16389">
          <cell r="U16389"/>
        </row>
        <row r="16390">
          <cell r="U16390"/>
        </row>
        <row r="16391">
          <cell r="U16391"/>
        </row>
        <row r="16392">
          <cell r="U16392"/>
        </row>
        <row r="16393">
          <cell r="U16393"/>
        </row>
        <row r="16394">
          <cell r="U16394"/>
        </row>
        <row r="16395">
          <cell r="U16395"/>
        </row>
        <row r="16396">
          <cell r="U16396"/>
        </row>
        <row r="16397">
          <cell r="U16397"/>
        </row>
        <row r="16398">
          <cell r="U16398"/>
        </row>
        <row r="16399">
          <cell r="U16399"/>
        </row>
        <row r="16400">
          <cell r="U16400"/>
        </row>
        <row r="16401">
          <cell r="U16401"/>
        </row>
        <row r="16402">
          <cell r="U16402"/>
        </row>
        <row r="16403">
          <cell r="U16403"/>
        </row>
        <row r="16404">
          <cell r="U16404"/>
        </row>
        <row r="16405">
          <cell r="U16405"/>
        </row>
        <row r="16406">
          <cell r="U16406"/>
        </row>
        <row r="16407">
          <cell r="U16407"/>
        </row>
        <row r="16408">
          <cell r="U16408"/>
        </row>
        <row r="16409">
          <cell r="U16409"/>
        </row>
        <row r="16410">
          <cell r="U16410"/>
        </row>
        <row r="16411">
          <cell r="U16411"/>
        </row>
        <row r="16412">
          <cell r="U16412"/>
        </row>
        <row r="16413">
          <cell r="U16413"/>
        </row>
        <row r="16414">
          <cell r="U16414"/>
        </row>
        <row r="16415">
          <cell r="U16415"/>
        </row>
        <row r="16416">
          <cell r="U16416"/>
        </row>
        <row r="16417">
          <cell r="U16417"/>
        </row>
        <row r="16418">
          <cell r="U16418"/>
        </row>
        <row r="16419">
          <cell r="U16419"/>
        </row>
        <row r="16420">
          <cell r="U16420"/>
        </row>
        <row r="16421">
          <cell r="U16421"/>
        </row>
        <row r="16422">
          <cell r="U16422"/>
        </row>
        <row r="16423">
          <cell r="U16423"/>
        </row>
        <row r="16424">
          <cell r="U16424"/>
        </row>
        <row r="16425">
          <cell r="U16425"/>
        </row>
        <row r="16426">
          <cell r="U16426"/>
        </row>
        <row r="16427">
          <cell r="U16427"/>
        </row>
        <row r="16428">
          <cell r="U16428"/>
        </row>
        <row r="16429">
          <cell r="U16429"/>
        </row>
        <row r="16430">
          <cell r="U16430"/>
        </row>
        <row r="16431">
          <cell r="U16431"/>
        </row>
        <row r="16432">
          <cell r="U16432"/>
        </row>
        <row r="16433">
          <cell r="U16433"/>
        </row>
        <row r="16434">
          <cell r="U16434"/>
        </row>
        <row r="16435">
          <cell r="U16435"/>
        </row>
        <row r="16436">
          <cell r="U16436"/>
        </row>
        <row r="16437">
          <cell r="U16437"/>
        </row>
        <row r="16438">
          <cell r="U16438"/>
        </row>
        <row r="16439">
          <cell r="U16439"/>
        </row>
        <row r="16440">
          <cell r="U16440"/>
        </row>
        <row r="16441">
          <cell r="U16441"/>
        </row>
        <row r="16442">
          <cell r="U16442"/>
        </row>
        <row r="16443">
          <cell r="U16443"/>
        </row>
        <row r="16444">
          <cell r="U16444"/>
        </row>
        <row r="16445">
          <cell r="U16445"/>
        </row>
        <row r="16446">
          <cell r="U16446"/>
        </row>
        <row r="16447">
          <cell r="U16447"/>
        </row>
        <row r="16448">
          <cell r="U16448"/>
        </row>
        <row r="16449">
          <cell r="U16449"/>
        </row>
        <row r="16450">
          <cell r="U16450"/>
        </row>
        <row r="16451">
          <cell r="U16451"/>
        </row>
        <row r="16452">
          <cell r="U16452"/>
        </row>
        <row r="16453">
          <cell r="U16453"/>
        </row>
        <row r="16454">
          <cell r="U16454"/>
        </row>
        <row r="16455">
          <cell r="U16455"/>
        </row>
        <row r="16456">
          <cell r="U16456"/>
        </row>
        <row r="16457">
          <cell r="U16457"/>
        </row>
        <row r="16458">
          <cell r="U16458"/>
        </row>
        <row r="16459">
          <cell r="U16459"/>
        </row>
        <row r="16460">
          <cell r="U16460"/>
        </row>
        <row r="16461">
          <cell r="U16461"/>
        </row>
        <row r="16462">
          <cell r="U16462"/>
        </row>
        <row r="16463">
          <cell r="U16463"/>
        </row>
        <row r="16464">
          <cell r="U16464"/>
        </row>
        <row r="16465">
          <cell r="U16465"/>
        </row>
        <row r="16466">
          <cell r="U16466"/>
        </row>
        <row r="16467">
          <cell r="U16467"/>
        </row>
        <row r="16468">
          <cell r="U16468"/>
        </row>
        <row r="16469">
          <cell r="U16469"/>
        </row>
        <row r="16470">
          <cell r="U16470"/>
        </row>
        <row r="16471">
          <cell r="U16471"/>
        </row>
        <row r="16472">
          <cell r="U16472"/>
        </row>
        <row r="16473">
          <cell r="U16473"/>
        </row>
        <row r="16474">
          <cell r="U16474"/>
        </row>
        <row r="16475">
          <cell r="U16475"/>
        </row>
        <row r="16476">
          <cell r="U16476"/>
        </row>
        <row r="16477">
          <cell r="U16477"/>
        </row>
        <row r="16478">
          <cell r="U16478"/>
        </row>
        <row r="16479">
          <cell r="U16479"/>
        </row>
        <row r="16480">
          <cell r="U16480"/>
        </row>
        <row r="16481">
          <cell r="U16481"/>
        </row>
        <row r="16482">
          <cell r="U16482"/>
        </row>
        <row r="16483">
          <cell r="U16483"/>
        </row>
        <row r="16484">
          <cell r="U16484"/>
        </row>
        <row r="16485">
          <cell r="U16485"/>
        </row>
        <row r="16486">
          <cell r="U16486"/>
        </row>
        <row r="16487">
          <cell r="U16487"/>
        </row>
        <row r="16488">
          <cell r="U16488"/>
        </row>
        <row r="16489">
          <cell r="U16489"/>
        </row>
        <row r="16490">
          <cell r="U16490"/>
        </row>
        <row r="16491">
          <cell r="U16491"/>
        </row>
        <row r="16492">
          <cell r="U16492"/>
        </row>
        <row r="16493">
          <cell r="U16493"/>
        </row>
        <row r="16494">
          <cell r="U16494"/>
        </row>
        <row r="16495">
          <cell r="U16495"/>
        </row>
        <row r="16496">
          <cell r="U16496"/>
        </row>
        <row r="16497">
          <cell r="U16497"/>
        </row>
        <row r="16498">
          <cell r="U16498"/>
        </row>
        <row r="16499">
          <cell r="U16499"/>
        </row>
        <row r="16500">
          <cell r="U16500"/>
        </row>
        <row r="16501">
          <cell r="U16501"/>
        </row>
        <row r="16502">
          <cell r="U16502"/>
        </row>
        <row r="16503">
          <cell r="U16503"/>
        </row>
        <row r="16504">
          <cell r="U16504"/>
        </row>
        <row r="16505">
          <cell r="U16505"/>
        </row>
        <row r="16506">
          <cell r="U16506"/>
        </row>
        <row r="16507">
          <cell r="U16507"/>
        </row>
        <row r="16508">
          <cell r="U16508"/>
        </row>
        <row r="16509">
          <cell r="U16509"/>
        </row>
        <row r="16510">
          <cell r="U16510"/>
        </row>
        <row r="16511">
          <cell r="U16511"/>
        </row>
        <row r="16512">
          <cell r="U16512"/>
        </row>
        <row r="16513">
          <cell r="U16513"/>
        </row>
        <row r="16514">
          <cell r="U16514"/>
        </row>
        <row r="16515">
          <cell r="U16515"/>
        </row>
        <row r="16516">
          <cell r="U16516"/>
        </row>
        <row r="16517">
          <cell r="U16517"/>
        </row>
        <row r="16518">
          <cell r="U16518"/>
        </row>
        <row r="16519">
          <cell r="U16519"/>
        </row>
        <row r="16520">
          <cell r="U16520"/>
        </row>
        <row r="16521">
          <cell r="U16521"/>
        </row>
        <row r="16522">
          <cell r="U16522"/>
        </row>
        <row r="16523">
          <cell r="U16523"/>
        </row>
        <row r="16524">
          <cell r="U16524"/>
        </row>
        <row r="16525">
          <cell r="U16525"/>
        </row>
        <row r="16526">
          <cell r="U16526"/>
        </row>
        <row r="16527">
          <cell r="U16527"/>
        </row>
        <row r="16528">
          <cell r="U16528"/>
        </row>
        <row r="16529">
          <cell r="U16529"/>
        </row>
        <row r="16530">
          <cell r="U16530"/>
        </row>
        <row r="16531">
          <cell r="U16531"/>
        </row>
        <row r="16532">
          <cell r="U16532"/>
        </row>
        <row r="16533">
          <cell r="U16533"/>
        </row>
        <row r="16534">
          <cell r="U16534"/>
        </row>
        <row r="16535">
          <cell r="U16535"/>
        </row>
        <row r="16536">
          <cell r="U16536"/>
        </row>
        <row r="16537">
          <cell r="U16537"/>
        </row>
        <row r="16538">
          <cell r="U16538"/>
        </row>
        <row r="16539">
          <cell r="U16539"/>
        </row>
        <row r="16540">
          <cell r="U16540"/>
        </row>
        <row r="16541">
          <cell r="U16541"/>
        </row>
        <row r="16542">
          <cell r="U16542"/>
        </row>
        <row r="16543">
          <cell r="U16543"/>
        </row>
        <row r="16544">
          <cell r="U16544"/>
        </row>
        <row r="16545">
          <cell r="U16545"/>
        </row>
        <row r="16546">
          <cell r="U16546"/>
        </row>
        <row r="16547">
          <cell r="U16547"/>
        </row>
        <row r="16548">
          <cell r="U16548"/>
        </row>
        <row r="16549">
          <cell r="U16549"/>
        </row>
        <row r="16550">
          <cell r="U16550"/>
        </row>
        <row r="16551">
          <cell r="U16551"/>
        </row>
        <row r="16552">
          <cell r="U16552"/>
        </row>
        <row r="16553">
          <cell r="U16553"/>
        </row>
        <row r="16554">
          <cell r="U16554"/>
        </row>
        <row r="16555">
          <cell r="U16555"/>
        </row>
        <row r="16556">
          <cell r="U16556"/>
        </row>
        <row r="16557">
          <cell r="U16557"/>
        </row>
        <row r="16558">
          <cell r="U16558"/>
        </row>
        <row r="16559">
          <cell r="U16559"/>
        </row>
        <row r="16560">
          <cell r="U16560"/>
        </row>
        <row r="16561">
          <cell r="U16561"/>
        </row>
        <row r="16562">
          <cell r="U16562"/>
        </row>
        <row r="16563">
          <cell r="U16563"/>
        </row>
        <row r="16564">
          <cell r="U16564"/>
        </row>
        <row r="16565">
          <cell r="U16565"/>
        </row>
        <row r="16566">
          <cell r="U16566"/>
        </row>
        <row r="16567">
          <cell r="U16567"/>
        </row>
        <row r="16568">
          <cell r="U16568"/>
        </row>
        <row r="16569">
          <cell r="U16569"/>
        </row>
        <row r="16570">
          <cell r="U16570"/>
        </row>
        <row r="16571">
          <cell r="U16571"/>
        </row>
        <row r="16572">
          <cell r="U16572"/>
        </row>
        <row r="16573">
          <cell r="U16573"/>
        </row>
        <row r="16574">
          <cell r="U16574"/>
        </row>
        <row r="16575">
          <cell r="U16575"/>
        </row>
        <row r="16576">
          <cell r="U16576"/>
        </row>
        <row r="16577">
          <cell r="U16577"/>
        </row>
        <row r="16578">
          <cell r="U16578"/>
        </row>
        <row r="16579">
          <cell r="U16579"/>
        </row>
        <row r="16580">
          <cell r="U16580"/>
        </row>
        <row r="16581">
          <cell r="U16581"/>
        </row>
        <row r="16582">
          <cell r="U16582"/>
        </row>
        <row r="16583">
          <cell r="U16583"/>
        </row>
        <row r="16584">
          <cell r="U16584"/>
        </row>
        <row r="16585">
          <cell r="U16585"/>
        </row>
        <row r="16586">
          <cell r="U16586"/>
        </row>
        <row r="16587">
          <cell r="U16587"/>
        </row>
        <row r="16588">
          <cell r="U16588"/>
        </row>
        <row r="16589">
          <cell r="U16589"/>
        </row>
        <row r="16590">
          <cell r="U16590"/>
        </row>
        <row r="16591">
          <cell r="U16591"/>
        </row>
        <row r="16592">
          <cell r="U16592"/>
        </row>
        <row r="16593">
          <cell r="U16593"/>
        </row>
        <row r="16594">
          <cell r="U16594"/>
        </row>
        <row r="16595">
          <cell r="U16595"/>
        </row>
        <row r="16596">
          <cell r="U16596"/>
        </row>
        <row r="16597">
          <cell r="U16597"/>
        </row>
        <row r="16598">
          <cell r="U16598"/>
        </row>
        <row r="16599">
          <cell r="U16599"/>
        </row>
        <row r="16600">
          <cell r="U16600"/>
        </row>
        <row r="16601">
          <cell r="U16601"/>
        </row>
        <row r="16602">
          <cell r="U16602"/>
        </row>
        <row r="16603">
          <cell r="U16603"/>
        </row>
        <row r="16604">
          <cell r="U16604"/>
        </row>
        <row r="16605">
          <cell r="U16605"/>
        </row>
        <row r="16606">
          <cell r="U16606"/>
        </row>
        <row r="16607">
          <cell r="U16607"/>
        </row>
        <row r="16608">
          <cell r="U16608"/>
        </row>
        <row r="16609">
          <cell r="U16609"/>
        </row>
        <row r="16610">
          <cell r="U16610"/>
        </row>
        <row r="16611">
          <cell r="U16611"/>
        </row>
        <row r="16612">
          <cell r="U16612"/>
        </row>
        <row r="16613">
          <cell r="U16613"/>
        </row>
        <row r="16614">
          <cell r="U16614"/>
        </row>
        <row r="16615">
          <cell r="U16615"/>
        </row>
        <row r="16616">
          <cell r="U16616"/>
        </row>
        <row r="16617">
          <cell r="U16617"/>
        </row>
        <row r="16618">
          <cell r="U16618"/>
        </row>
        <row r="16619">
          <cell r="U16619"/>
        </row>
        <row r="16620">
          <cell r="U16620"/>
        </row>
        <row r="16621">
          <cell r="U16621"/>
        </row>
        <row r="16622">
          <cell r="U16622"/>
        </row>
        <row r="16623">
          <cell r="U16623"/>
        </row>
        <row r="16624">
          <cell r="U16624"/>
        </row>
        <row r="16625">
          <cell r="U16625"/>
        </row>
        <row r="16626">
          <cell r="U16626"/>
        </row>
        <row r="16627">
          <cell r="U16627"/>
        </row>
        <row r="16628">
          <cell r="U16628"/>
        </row>
        <row r="16629">
          <cell r="U16629"/>
        </row>
        <row r="16630">
          <cell r="U16630"/>
        </row>
        <row r="16631">
          <cell r="U16631"/>
        </row>
        <row r="16632">
          <cell r="U16632"/>
        </row>
        <row r="16633">
          <cell r="U16633"/>
        </row>
        <row r="16634">
          <cell r="U16634"/>
        </row>
        <row r="16635">
          <cell r="U16635"/>
        </row>
        <row r="16636">
          <cell r="U16636"/>
        </row>
        <row r="16637">
          <cell r="U16637"/>
        </row>
        <row r="16638">
          <cell r="U16638"/>
        </row>
        <row r="16639">
          <cell r="U16639"/>
        </row>
        <row r="16640">
          <cell r="U16640"/>
        </row>
        <row r="16641">
          <cell r="U16641"/>
        </row>
        <row r="16642">
          <cell r="U16642"/>
        </row>
        <row r="16643">
          <cell r="U16643"/>
        </row>
        <row r="16644">
          <cell r="U16644"/>
        </row>
        <row r="16645">
          <cell r="U16645"/>
        </row>
        <row r="16646">
          <cell r="U16646"/>
        </row>
        <row r="16647">
          <cell r="U16647"/>
        </row>
        <row r="16648">
          <cell r="U16648"/>
        </row>
        <row r="16649">
          <cell r="U16649"/>
        </row>
        <row r="16650">
          <cell r="U16650"/>
        </row>
        <row r="16651">
          <cell r="U16651"/>
        </row>
        <row r="16652">
          <cell r="U16652"/>
        </row>
        <row r="16653">
          <cell r="U16653"/>
        </row>
        <row r="16654">
          <cell r="U16654"/>
        </row>
        <row r="16655">
          <cell r="U16655"/>
        </row>
        <row r="16656">
          <cell r="U16656"/>
        </row>
        <row r="16657">
          <cell r="U16657"/>
        </row>
        <row r="16658">
          <cell r="U16658"/>
        </row>
        <row r="16659">
          <cell r="U16659"/>
        </row>
        <row r="16660">
          <cell r="U16660"/>
        </row>
        <row r="16661">
          <cell r="U16661"/>
        </row>
        <row r="16662">
          <cell r="U16662"/>
        </row>
        <row r="16663">
          <cell r="U16663"/>
        </row>
        <row r="16664">
          <cell r="U16664"/>
        </row>
        <row r="16665">
          <cell r="U16665"/>
        </row>
        <row r="16666">
          <cell r="U16666"/>
        </row>
        <row r="16667">
          <cell r="U16667"/>
        </row>
        <row r="16668">
          <cell r="U16668"/>
        </row>
        <row r="16669">
          <cell r="U16669"/>
        </row>
        <row r="16670">
          <cell r="U16670"/>
        </row>
        <row r="16671">
          <cell r="U16671"/>
        </row>
        <row r="16672">
          <cell r="U16672"/>
        </row>
        <row r="16673">
          <cell r="U16673"/>
        </row>
        <row r="16674">
          <cell r="U16674"/>
        </row>
        <row r="16675">
          <cell r="U16675"/>
        </row>
        <row r="16676">
          <cell r="U16676"/>
        </row>
        <row r="16677">
          <cell r="U16677"/>
        </row>
        <row r="16678">
          <cell r="U16678"/>
        </row>
        <row r="16679">
          <cell r="U16679"/>
        </row>
        <row r="16680">
          <cell r="U16680"/>
        </row>
        <row r="16681">
          <cell r="U16681"/>
        </row>
        <row r="16682">
          <cell r="U16682"/>
        </row>
        <row r="16683">
          <cell r="U16683"/>
        </row>
        <row r="16684">
          <cell r="U16684"/>
        </row>
        <row r="16685">
          <cell r="U16685"/>
        </row>
        <row r="16686">
          <cell r="U16686"/>
        </row>
        <row r="16687">
          <cell r="U16687"/>
        </row>
        <row r="16688">
          <cell r="U16688"/>
        </row>
        <row r="16689">
          <cell r="U16689"/>
        </row>
        <row r="16690">
          <cell r="U16690"/>
        </row>
        <row r="16691">
          <cell r="U16691"/>
        </row>
        <row r="16692">
          <cell r="U16692"/>
        </row>
        <row r="16693">
          <cell r="U16693"/>
        </row>
        <row r="16694">
          <cell r="U16694"/>
        </row>
        <row r="16695">
          <cell r="U16695"/>
        </row>
        <row r="16696">
          <cell r="U16696"/>
        </row>
        <row r="16697">
          <cell r="U16697"/>
        </row>
        <row r="16698">
          <cell r="U16698"/>
        </row>
        <row r="16699">
          <cell r="U16699"/>
        </row>
        <row r="16700">
          <cell r="U16700"/>
        </row>
        <row r="16701">
          <cell r="U16701"/>
        </row>
        <row r="16702">
          <cell r="U16702"/>
        </row>
        <row r="16703">
          <cell r="U16703"/>
        </row>
        <row r="16704">
          <cell r="U16704"/>
        </row>
        <row r="16705">
          <cell r="U16705"/>
        </row>
        <row r="16706">
          <cell r="U16706"/>
        </row>
        <row r="16707">
          <cell r="U16707"/>
        </row>
        <row r="16708">
          <cell r="U16708"/>
        </row>
        <row r="16709">
          <cell r="U16709"/>
        </row>
        <row r="16710">
          <cell r="U16710"/>
        </row>
        <row r="16711">
          <cell r="U16711"/>
        </row>
        <row r="16712">
          <cell r="U16712"/>
        </row>
        <row r="16713">
          <cell r="U16713"/>
        </row>
        <row r="16714">
          <cell r="U16714"/>
        </row>
        <row r="16715">
          <cell r="U16715"/>
        </row>
        <row r="16716">
          <cell r="U16716"/>
        </row>
        <row r="16717">
          <cell r="U16717"/>
        </row>
        <row r="16718">
          <cell r="U16718"/>
        </row>
        <row r="16719">
          <cell r="U16719"/>
        </row>
        <row r="16720">
          <cell r="U16720"/>
        </row>
        <row r="16721">
          <cell r="U16721"/>
        </row>
        <row r="16722">
          <cell r="U16722"/>
        </row>
        <row r="16723">
          <cell r="U16723"/>
        </row>
        <row r="16724">
          <cell r="U16724"/>
        </row>
        <row r="16725">
          <cell r="U16725"/>
        </row>
        <row r="16726">
          <cell r="U16726"/>
        </row>
        <row r="16727">
          <cell r="U16727"/>
        </row>
        <row r="16728">
          <cell r="U16728"/>
        </row>
        <row r="16729">
          <cell r="U16729"/>
        </row>
        <row r="16730">
          <cell r="U16730"/>
        </row>
        <row r="16731">
          <cell r="U16731"/>
        </row>
        <row r="16732">
          <cell r="U16732"/>
        </row>
        <row r="16733">
          <cell r="U16733"/>
        </row>
        <row r="16734">
          <cell r="U16734"/>
        </row>
        <row r="16735">
          <cell r="U16735"/>
        </row>
        <row r="16736">
          <cell r="U16736"/>
        </row>
        <row r="16737">
          <cell r="U16737"/>
        </row>
        <row r="16738">
          <cell r="U16738"/>
        </row>
        <row r="16739">
          <cell r="U16739"/>
        </row>
        <row r="16740">
          <cell r="U16740"/>
        </row>
        <row r="16741">
          <cell r="U16741"/>
        </row>
        <row r="16742">
          <cell r="U16742"/>
        </row>
        <row r="16743">
          <cell r="U16743"/>
        </row>
        <row r="16744">
          <cell r="U16744"/>
        </row>
        <row r="16745">
          <cell r="U16745"/>
        </row>
        <row r="16746">
          <cell r="U16746"/>
        </row>
        <row r="16747">
          <cell r="U16747"/>
        </row>
        <row r="16748">
          <cell r="U16748"/>
        </row>
        <row r="16749">
          <cell r="U16749"/>
        </row>
        <row r="16750">
          <cell r="U16750"/>
        </row>
        <row r="16751">
          <cell r="U16751"/>
        </row>
        <row r="16752">
          <cell r="U16752"/>
        </row>
        <row r="16753">
          <cell r="U16753"/>
        </row>
        <row r="16754">
          <cell r="U16754"/>
        </row>
        <row r="16755">
          <cell r="U16755"/>
        </row>
        <row r="16756">
          <cell r="U16756"/>
        </row>
        <row r="16757">
          <cell r="U16757"/>
        </row>
        <row r="16758">
          <cell r="U16758"/>
        </row>
        <row r="16759">
          <cell r="U16759"/>
        </row>
        <row r="16760">
          <cell r="U16760"/>
        </row>
        <row r="16761">
          <cell r="U16761"/>
        </row>
        <row r="16762">
          <cell r="U16762"/>
        </row>
        <row r="16763">
          <cell r="U16763"/>
        </row>
        <row r="16764">
          <cell r="U16764"/>
        </row>
        <row r="16765">
          <cell r="U16765"/>
        </row>
        <row r="16766">
          <cell r="U16766"/>
        </row>
        <row r="16767">
          <cell r="U16767"/>
        </row>
        <row r="16768">
          <cell r="U16768"/>
        </row>
        <row r="16769">
          <cell r="U16769"/>
        </row>
        <row r="16770">
          <cell r="U16770"/>
        </row>
        <row r="16771">
          <cell r="U16771"/>
        </row>
        <row r="16772">
          <cell r="U16772"/>
        </row>
        <row r="16773">
          <cell r="U16773"/>
        </row>
        <row r="16774">
          <cell r="U16774"/>
        </row>
        <row r="16775">
          <cell r="U16775"/>
        </row>
        <row r="16776">
          <cell r="U16776"/>
        </row>
        <row r="16777">
          <cell r="U16777"/>
        </row>
        <row r="16778">
          <cell r="U16778"/>
        </row>
        <row r="16779">
          <cell r="U16779"/>
        </row>
        <row r="16780">
          <cell r="U16780"/>
        </row>
        <row r="16781">
          <cell r="U16781"/>
        </row>
        <row r="16782">
          <cell r="U16782"/>
        </row>
        <row r="16783">
          <cell r="U16783"/>
        </row>
        <row r="16784">
          <cell r="U16784"/>
        </row>
        <row r="16785">
          <cell r="U16785"/>
        </row>
        <row r="16786">
          <cell r="U16786"/>
        </row>
        <row r="16787">
          <cell r="U16787"/>
        </row>
        <row r="16788">
          <cell r="U16788"/>
        </row>
        <row r="16789">
          <cell r="U16789"/>
        </row>
        <row r="16790">
          <cell r="U16790"/>
        </row>
        <row r="16791">
          <cell r="U16791"/>
        </row>
        <row r="16792">
          <cell r="U16792"/>
        </row>
        <row r="16793">
          <cell r="U16793"/>
        </row>
        <row r="16794">
          <cell r="U16794"/>
        </row>
        <row r="16795">
          <cell r="U16795"/>
        </row>
        <row r="16796">
          <cell r="U16796"/>
        </row>
        <row r="16797">
          <cell r="U16797"/>
        </row>
        <row r="16798">
          <cell r="U16798"/>
        </row>
        <row r="16799">
          <cell r="U16799"/>
        </row>
        <row r="16800">
          <cell r="U16800"/>
        </row>
        <row r="16801">
          <cell r="U16801"/>
        </row>
        <row r="16802">
          <cell r="U16802"/>
        </row>
        <row r="16803">
          <cell r="U16803"/>
        </row>
        <row r="16804">
          <cell r="U16804"/>
        </row>
        <row r="16805">
          <cell r="U16805"/>
        </row>
        <row r="16806">
          <cell r="U16806"/>
        </row>
        <row r="16807">
          <cell r="U16807"/>
        </row>
        <row r="16808">
          <cell r="U16808"/>
        </row>
        <row r="16809">
          <cell r="U16809"/>
        </row>
        <row r="16810">
          <cell r="U16810"/>
        </row>
        <row r="16811">
          <cell r="U16811"/>
        </row>
        <row r="16812">
          <cell r="U16812"/>
        </row>
        <row r="16813">
          <cell r="U16813"/>
        </row>
        <row r="16814">
          <cell r="U16814"/>
        </row>
        <row r="16815">
          <cell r="U16815"/>
        </row>
        <row r="16816">
          <cell r="U16816"/>
        </row>
        <row r="16817">
          <cell r="U16817"/>
        </row>
        <row r="16818">
          <cell r="U16818"/>
        </row>
        <row r="16819">
          <cell r="U16819"/>
        </row>
        <row r="16820">
          <cell r="U16820"/>
        </row>
        <row r="16821">
          <cell r="U16821"/>
        </row>
        <row r="16822">
          <cell r="U16822"/>
        </row>
        <row r="16823">
          <cell r="U16823"/>
        </row>
        <row r="16824">
          <cell r="U16824"/>
        </row>
        <row r="16825">
          <cell r="U16825"/>
        </row>
        <row r="16826">
          <cell r="U16826"/>
        </row>
        <row r="16827">
          <cell r="U16827"/>
        </row>
        <row r="16828">
          <cell r="U16828"/>
        </row>
        <row r="16829">
          <cell r="U16829"/>
        </row>
        <row r="16830">
          <cell r="U16830"/>
        </row>
        <row r="16831">
          <cell r="U16831"/>
        </row>
        <row r="16832">
          <cell r="U16832"/>
        </row>
        <row r="16833">
          <cell r="U16833"/>
        </row>
        <row r="16834">
          <cell r="U16834"/>
        </row>
        <row r="16835">
          <cell r="U16835"/>
        </row>
        <row r="16836">
          <cell r="U16836"/>
        </row>
        <row r="16837">
          <cell r="U16837"/>
        </row>
        <row r="16838">
          <cell r="U16838"/>
        </row>
        <row r="16839">
          <cell r="U16839"/>
        </row>
        <row r="16840">
          <cell r="U16840"/>
        </row>
        <row r="16841">
          <cell r="U16841"/>
        </row>
        <row r="16842">
          <cell r="U16842"/>
        </row>
        <row r="16843">
          <cell r="U16843"/>
        </row>
        <row r="16844">
          <cell r="U16844"/>
        </row>
        <row r="16845">
          <cell r="U16845"/>
        </row>
        <row r="16846">
          <cell r="U16846"/>
        </row>
        <row r="16847">
          <cell r="U16847"/>
        </row>
        <row r="16848">
          <cell r="U16848"/>
        </row>
        <row r="16849">
          <cell r="U16849"/>
        </row>
        <row r="16850">
          <cell r="U16850"/>
        </row>
        <row r="16851">
          <cell r="U16851"/>
        </row>
        <row r="16852">
          <cell r="U16852"/>
        </row>
        <row r="16853">
          <cell r="U16853"/>
        </row>
        <row r="16854">
          <cell r="U16854"/>
        </row>
        <row r="16855">
          <cell r="U16855"/>
        </row>
        <row r="16856">
          <cell r="U16856"/>
        </row>
        <row r="16857">
          <cell r="U16857"/>
        </row>
        <row r="16858">
          <cell r="U16858"/>
        </row>
        <row r="16859">
          <cell r="U16859"/>
        </row>
        <row r="16860">
          <cell r="U16860"/>
        </row>
        <row r="16861">
          <cell r="U16861"/>
        </row>
        <row r="16862">
          <cell r="U16862"/>
        </row>
        <row r="16863">
          <cell r="U16863"/>
        </row>
        <row r="16864">
          <cell r="U16864"/>
        </row>
        <row r="16865">
          <cell r="U16865"/>
        </row>
        <row r="16866">
          <cell r="U16866"/>
        </row>
        <row r="16867">
          <cell r="U16867"/>
        </row>
        <row r="16868">
          <cell r="U16868"/>
        </row>
        <row r="16869">
          <cell r="U16869"/>
        </row>
        <row r="16870">
          <cell r="U16870"/>
        </row>
        <row r="16871">
          <cell r="U16871"/>
        </row>
        <row r="16872">
          <cell r="U16872"/>
        </row>
        <row r="16873">
          <cell r="U16873"/>
        </row>
        <row r="16874">
          <cell r="U16874"/>
        </row>
        <row r="16875">
          <cell r="U16875"/>
        </row>
        <row r="16876">
          <cell r="U16876"/>
        </row>
        <row r="16877">
          <cell r="U16877"/>
        </row>
        <row r="16878">
          <cell r="U16878"/>
        </row>
        <row r="16879">
          <cell r="U16879"/>
        </row>
        <row r="16880">
          <cell r="U16880"/>
        </row>
        <row r="16881">
          <cell r="U16881"/>
        </row>
        <row r="16882">
          <cell r="U16882"/>
        </row>
        <row r="16883">
          <cell r="U16883"/>
        </row>
        <row r="16884">
          <cell r="U16884"/>
        </row>
        <row r="16885">
          <cell r="U16885"/>
        </row>
        <row r="16886">
          <cell r="U16886"/>
        </row>
        <row r="16887">
          <cell r="U16887"/>
        </row>
        <row r="16888">
          <cell r="U16888"/>
        </row>
        <row r="16889">
          <cell r="U16889"/>
        </row>
        <row r="16890">
          <cell r="U16890"/>
        </row>
        <row r="16891">
          <cell r="U16891"/>
        </row>
        <row r="16892">
          <cell r="U16892"/>
        </row>
        <row r="16893">
          <cell r="U16893"/>
        </row>
        <row r="16894">
          <cell r="U16894"/>
        </row>
        <row r="16895">
          <cell r="U16895"/>
        </row>
        <row r="16896">
          <cell r="U16896"/>
        </row>
        <row r="16897">
          <cell r="U16897"/>
        </row>
        <row r="16898">
          <cell r="U16898"/>
        </row>
        <row r="16899">
          <cell r="U16899"/>
        </row>
        <row r="16900">
          <cell r="U16900"/>
        </row>
        <row r="16901">
          <cell r="U16901"/>
        </row>
        <row r="16902">
          <cell r="U16902"/>
        </row>
        <row r="16903">
          <cell r="U16903"/>
        </row>
        <row r="16904">
          <cell r="U16904"/>
        </row>
        <row r="16905">
          <cell r="U16905"/>
        </row>
        <row r="16906">
          <cell r="U16906"/>
        </row>
        <row r="16907">
          <cell r="U16907"/>
        </row>
        <row r="16908">
          <cell r="U16908"/>
        </row>
        <row r="16909">
          <cell r="U16909"/>
        </row>
        <row r="16910">
          <cell r="U16910"/>
        </row>
        <row r="16911">
          <cell r="U16911"/>
        </row>
        <row r="16912">
          <cell r="U16912"/>
        </row>
        <row r="16913">
          <cell r="U16913"/>
        </row>
        <row r="16914">
          <cell r="U16914"/>
        </row>
        <row r="16915">
          <cell r="U16915"/>
        </row>
        <row r="16916">
          <cell r="U16916"/>
        </row>
        <row r="16917">
          <cell r="U16917"/>
        </row>
        <row r="16918">
          <cell r="U16918"/>
        </row>
        <row r="16919">
          <cell r="U16919"/>
        </row>
        <row r="16920">
          <cell r="U16920"/>
        </row>
        <row r="16921">
          <cell r="U16921"/>
        </row>
        <row r="16922">
          <cell r="U16922"/>
        </row>
        <row r="16923">
          <cell r="U16923"/>
        </row>
        <row r="16924">
          <cell r="U16924"/>
        </row>
        <row r="16925">
          <cell r="U16925"/>
        </row>
        <row r="16926">
          <cell r="U16926"/>
        </row>
        <row r="16927">
          <cell r="U16927"/>
        </row>
        <row r="16928">
          <cell r="U16928"/>
        </row>
        <row r="16929">
          <cell r="U16929"/>
        </row>
        <row r="16930">
          <cell r="U16930"/>
        </row>
        <row r="16931">
          <cell r="U16931"/>
        </row>
        <row r="16932">
          <cell r="U16932"/>
        </row>
        <row r="16933">
          <cell r="U16933"/>
        </row>
        <row r="16934">
          <cell r="U16934"/>
        </row>
        <row r="16935">
          <cell r="U16935"/>
        </row>
        <row r="16936">
          <cell r="U16936"/>
        </row>
        <row r="16937">
          <cell r="U16937"/>
        </row>
        <row r="16938">
          <cell r="U16938"/>
        </row>
        <row r="16939">
          <cell r="U16939"/>
        </row>
        <row r="16940">
          <cell r="U16940"/>
        </row>
        <row r="16941">
          <cell r="U16941"/>
        </row>
        <row r="16942">
          <cell r="U16942"/>
        </row>
        <row r="16943">
          <cell r="U16943"/>
        </row>
        <row r="16944">
          <cell r="U16944"/>
        </row>
        <row r="16945">
          <cell r="U16945"/>
        </row>
        <row r="16946">
          <cell r="U16946"/>
        </row>
        <row r="16947">
          <cell r="U16947"/>
        </row>
        <row r="16948">
          <cell r="U16948"/>
        </row>
        <row r="16949">
          <cell r="U16949"/>
        </row>
        <row r="16950">
          <cell r="U16950"/>
        </row>
        <row r="16951">
          <cell r="U16951"/>
        </row>
        <row r="16952">
          <cell r="U16952"/>
        </row>
        <row r="16953">
          <cell r="U16953"/>
        </row>
        <row r="16954">
          <cell r="U16954"/>
        </row>
        <row r="16955">
          <cell r="U16955"/>
        </row>
        <row r="16956">
          <cell r="U16956"/>
        </row>
        <row r="16957">
          <cell r="U16957"/>
        </row>
        <row r="16958">
          <cell r="U16958"/>
        </row>
        <row r="16959">
          <cell r="U16959"/>
        </row>
        <row r="16960">
          <cell r="U16960"/>
        </row>
        <row r="16961">
          <cell r="U16961"/>
        </row>
        <row r="16962">
          <cell r="U16962"/>
        </row>
        <row r="16963">
          <cell r="U16963"/>
        </row>
        <row r="16964">
          <cell r="U16964"/>
        </row>
        <row r="16965">
          <cell r="U16965"/>
        </row>
        <row r="16966">
          <cell r="U16966"/>
        </row>
        <row r="16967">
          <cell r="U16967"/>
        </row>
        <row r="16968">
          <cell r="U16968"/>
        </row>
        <row r="16969">
          <cell r="U16969"/>
        </row>
        <row r="16970">
          <cell r="U16970"/>
        </row>
        <row r="16971">
          <cell r="U16971"/>
        </row>
        <row r="16972">
          <cell r="U16972"/>
        </row>
        <row r="16973">
          <cell r="U16973"/>
        </row>
        <row r="16974">
          <cell r="U16974"/>
        </row>
        <row r="16975">
          <cell r="U16975"/>
        </row>
        <row r="16976">
          <cell r="U16976"/>
        </row>
        <row r="16977">
          <cell r="U16977"/>
        </row>
        <row r="16978">
          <cell r="U16978"/>
        </row>
        <row r="16979">
          <cell r="U16979"/>
        </row>
        <row r="16980">
          <cell r="U16980"/>
        </row>
        <row r="16981">
          <cell r="U16981"/>
        </row>
        <row r="16982">
          <cell r="U16982"/>
        </row>
        <row r="16983">
          <cell r="U16983"/>
        </row>
        <row r="16984">
          <cell r="U16984"/>
        </row>
        <row r="16985">
          <cell r="U16985"/>
        </row>
        <row r="16986">
          <cell r="U16986"/>
        </row>
        <row r="16987">
          <cell r="U16987"/>
        </row>
        <row r="16988">
          <cell r="U16988"/>
        </row>
        <row r="16989">
          <cell r="U16989"/>
        </row>
        <row r="16990">
          <cell r="U16990"/>
        </row>
        <row r="16991">
          <cell r="U16991"/>
        </row>
        <row r="16992">
          <cell r="U16992"/>
        </row>
        <row r="16993">
          <cell r="U16993"/>
        </row>
        <row r="16994">
          <cell r="U16994"/>
        </row>
        <row r="16995">
          <cell r="U16995"/>
        </row>
        <row r="16996">
          <cell r="U16996"/>
        </row>
        <row r="16997">
          <cell r="U16997"/>
        </row>
        <row r="16998">
          <cell r="U16998"/>
        </row>
        <row r="16999">
          <cell r="U16999"/>
        </row>
        <row r="17000">
          <cell r="U17000"/>
        </row>
        <row r="17001">
          <cell r="U17001"/>
        </row>
        <row r="17002">
          <cell r="U17002"/>
        </row>
        <row r="17003">
          <cell r="U17003"/>
        </row>
        <row r="17004">
          <cell r="U17004"/>
        </row>
        <row r="17005">
          <cell r="U17005"/>
        </row>
        <row r="17006">
          <cell r="U17006"/>
        </row>
        <row r="17007">
          <cell r="U17007"/>
        </row>
        <row r="17008">
          <cell r="U17008"/>
        </row>
        <row r="17009">
          <cell r="U17009"/>
        </row>
        <row r="17010">
          <cell r="U17010"/>
        </row>
        <row r="17011">
          <cell r="U17011"/>
        </row>
        <row r="17012">
          <cell r="U17012"/>
        </row>
        <row r="17013">
          <cell r="U17013"/>
        </row>
        <row r="17014">
          <cell r="U17014"/>
        </row>
        <row r="17015">
          <cell r="U17015"/>
        </row>
        <row r="17016">
          <cell r="U17016"/>
        </row>
        <row r="17017">
          <cell r="U17017"/>
        </row>
        <row r="17018">
          <cell r="U17018"/>
        </row>
        <row r="17019">
          <cell r="U17019"/>
        </row>
        <row r="17020">
          <cell r="U17020"/>
        </row>
        <row r="17021">
          <cell r="U17021"/>
        </row>
        <row r="17022">
          <cell r="U17022"/>
        </row>
        <row r="17023">
          <cell r="U17023"/>
        </row>
        <row r="17024">
          <cell r="U17024"/>
        </row>
        <row r="17025">
          <cell r="U17025"/>
        </row>
        <row r="17026">
          <cell r="U17026"/>
        </row>
        <row r="17027">
          <cell r="U17027"/>
        </row>
        <row r="17028">
          <cell r="U17028"/>
        </row>
        <row r="17029">
          <cell r="U17029"/>
        </row>
        <row r="17030">
          <cell r="U17030"/>
        </row>
        <row r="17031">
          <cell r="U17031"/>
        </row>
        <row r="17032">
          <cell r="U17032"/>
        </row>
        <row r="17033">
          <cell r="U17033"/>
        </row>
        <row r="17034">
          <cell r="U17034"/>
        </row>
        <row r="17035">
          <cell r="U17035"/>
        </row>
        <row r="17036">
          <cell r="U17036"/>
        </row>
        <row r="17037">
          <cell r="U17037"/>
        </row>
        <row r="17038">
          <cell r="U17038"/>
        </row>
        <row r="17039">
          <cell r="U17039"/>
        </row>
        <row r="17040">
          <cell r="U17040"/>
        </row>
        <row r="17041">
          <cell r="U17041"/>
        </row>
        <row r="17042">
          <cell r="U17042"/>
        </row>
        <row r="17043">
          <cell r="U17043"/>
        </row>
        <row r="17044">
          <cell r="U17044"/>
        </row>
        <row r="17045">
          <cell r="U17045"/>
        </row>
        <row r="17046">
          <cell r="U17046"/>
        </row>
        <row r="17047">
          <cell r="U17047"/>
        </row>
        <row r="17048">
          <cell r="U17048"/>
        </row>
        <row r="17049">
          <cell r="U17049"/>
        </row>
        <row r="17050">
          <cell r="U17050"/>
        </row>
        <row r="17051">
          <cell r="U17051"/>
        </row>
        <row r="17052">
          <cell r="U17052"/>
        </row>
        <row r="17053">
          <cell r="U17053"/>
        </row>
        <row r="17054">
          <cell r="U17054"/>
        </row>
        <row r="17055">
          <cell r="U17055"/>
        </row>
        <row r="17056">
          <cell r="U17056"/>
        </row>
        <row r="17057">
          <cell r="U17057"/>
        </row>
        <row r="17058">
          <cell r="U17058"/>
        </row>
        <row r="17059">
          <cell r="U17059"/>
        </row>
        <row r="17060">
          <cell r="U17060"/>
        </row>
        <row r="17061">
          <cell r="U17061"/>
        </row>
        <row r="17062">
          <cell r="U17062"/>
        </row>
        <row r="17063">
          <cell r="U17063"/>
        </row>
        <row r="17064">
          <cell r="U17064"/>
        </row>
        <row r="17065">
          <cell r="U17065"/>
        </row>
        <row r="17066">
          <cell r="U17066"/>
        </row>
        <row r="17067">
          <cell r="U17067"/>
        </row>
        <row r="17068">
          <cell r="U17068"/>
        </row>
        <row r="17069">
          <cell r="U17069"/>
        </row>
        <row r="17070">
          <cell r="U17070"/>
        </row>
        <row r="17071">
          <cell r="U17071"/>
        </row>
        <row r="17072">
          <cell r="U17072"/>
        </row>
        <row r="17073">
          <cell r="U17073"/>
        </row>
        <row r="17074">
          <cell r="U17074"/>
        </row>
        <row r="17075">
          <cell r="U17075"/>
        </row>
        <row r="17076">
          <cell r="U17076"/>
        </row>
        <row r="17077">
          <cell r="U17077"/>
        </row>
        <row r="17078">
          <cell r="U17078"/>
        </row>
        <row r="17079">
          <cell r="U17079"/>
        </row>
        <row r="17080">
          <cell r="U17080"/>
        </row>
        <row r="17081">
          <cell r="U17081"/>
        </row>
        <row r="17082">
          <cell r="U17082"/>
        </row>
        <row r="17083">
          <cell r="U17083"/>
        </row>
        <row r="17084">
          <cell r="U17084"/>
        </row>
        <row r="17085">
          <cell r="U17085"/>
        </row>
        <row r="17086">
          <cell r="U17086"/>
        </row>
        <row r="17087">
          <cell r="U17087"/>
        </row>
        <row r="17088">
          <cell r="U17088"/>
        </row>
        <row r="17089">
          <cell r="U17089"/>
        </row>
        <row r="17090">
          <cell r="U17090"/>
        </row>
        <row r="17091">
          <cell r="U17091"/>
        </row>
        <row r="17092">
          <cell r="U17092"/>
        </row>
        <row r="17093">
          <cell r="U17093"/>
        </row>
        <row r="17094">
          <cell r="U17094"/>
        </row>
        <row r="17095">
          <cell r="U17095"/>
        </row>
        <row r="17096">
          <cell r="U17096"/>
        </row>
        <row r="17097">
          <cell r="U17097"/>
        </row>
        <row r="17098">
          <cell r="U17098"/>
        </row>
        <row r="17099">
          <cell r="U17099"/>
        </row>
        <row r="17100">
          <cell r="U17100"/>
        </row>
        <row r="17101">
          <cell r="U17101"/>
        </row>
        <row r="17102">
          <cell r="U17102"/>
        </row>
        <row r="17103">
          <cell r="U17103"/>
        </row>
        <row r="17104">
          <cell r="U17104"/>
        </row>
        <row r="17105">
          <cell r="U17105"/>
        </row>
        <row r="17106">
          <cell r="U17106"/>
        </row>
        <row r="17107">
          <cell r="U17107"/>
        </row>
        <row r="17108">
          <cell r="U17108"/>
        </row>
        <row r="17109">
          <cell r="U17109"/>
        </row>
        <row r="17110">
          <cell r="U17110"/>
        </row>
        <row r="17111">
          <cell r="U17111"/>
        </row>
        <row r="17112">
          <cell r="U17112"/>
        </row>
        <row r="17113">
          <cell r="U17113"/>
        </row>
        <row r="17114">
          <cell r="U17114"/>
        </row>
        <row r="17115">
          <cell r="U17115"/>
        </row>
        <row r="17116">
          <cell r="U17116"/>
        </row>
        <row r="17117">
          <cell r="U17117"/>
        </row>
        <row r="17118">
          <cell r="U17118"/>
        </row>
        <row r="17119">
          <cell r="U17119"/>
        </row>
        <row r="17120">
          <cell r="U17120"/>
        </row>
        <row r="17121">
          <cell r="U17121"/>
        </row>
        <row r="17122">
          <cell r="U17122"/>
        </row>
        <row r="17123">
          <cell r="U17123"/>
        </row>
        <row r="17124">
          <cell r="U17124"/>
        </row>
        <row r="17125">
          <cell r="U17125"/>
        </row>
        <row r="17126">
          <cell r="U17126"/>
        </row>
        <row r="17127">
          <cell r="U17127"/>
        </row>
        <row r="17128">
          <cell r="U17128"/>
        </row>
        <row r="17129">
          <cell r="U17129"/>
        </row>
        <row r="17130">
          <cell r="U17130"/>
        </row>
        <row r="17131">
          <cell r="U17131"/>
        </row>
        <row r="17132">
          <cell r="U17132"/>
        </row>
        <row r="17133">
          <cell r="U17133"/>
        </row>
        <row r="17134">
          <cell r="U17134"/>
        </row>
        <row r="17135">
          <cell r="U17135"/>
        </row>
        <row r="17136">
          <cell r="U17136"/>
        </row>
        <row r="17137">
          <cell r="U17137"/>
        </row>
        <row r="17138">
          <cell r="U17138"/>
        </row>
        <row r="17139">
          <cell r="U17139"/>
        </row>
        <row r="17140">
          <cell r="U17140"/>
        </row>
        <row r="17141">
          <cell r="U17141"/>
        </row>
        <row r="17142">
          <cell r="U17142"/>
        </row>
        <row r="17143">
          <cell r="U17143"/>
        </row>
        <row r="17144">
          <cell r="U17144"/>
        </row>
        <row r="17145">
          <cell r="U17145"/>
        </row>
        <row r="17146">
          <cell r="U17146"/>
        </row>
        <row r="17147">
          <cell r="U17147"/>
        </row>
        <row r="17148">
          <cell r="U17148"/>
        </row>
        <row r="17149">
          <cell r="U17149"/>
        </row>
        <row r="17150">
          <cell r="U17150"/>
        </row>
        <row r="17151">
          <cell r="U17151"/>
        </row>
        <row r="17152">
          <cell r="U17152"/>
        </row>
        <row r="17153">
          <cell r="U17153"/>
        </row>
        <row r="17154">
          <cell r="U17154"/>
        </row>
        <row r="17155">
          <cell r="U17155"/>
        </row>
        <row r="17156">
          <cell r="U17156"/>
        </row>
        <row r="17157">
          <cell r="U17157"/>
        </row>
        <row r="17158">
          <cell r="U17158"/>
        </row>
        <row r="17159">
          <cell r="U17159"/>
        </row>
        <row r="17160">
          <cell r="U17160"/>
        </row>
        <row r="17161">
          <cell r="U17161"/>
        </row>
        <row r="17162">
          <cell r="U17162"/>
        </row>
        <row r="17163">
          <cell r="U17163"/>
        </row>
        <row r="17164">
          <cell r="U17164"/>
        </row>
        <row r="17165">
          <cell r="U17165"/>
        </row>
        <row r="17166">
          <cell r="U17166"/>
        </row>
        <row r="17167">
          <cell r="U17167"/>
        </row>
        <row r="17168">
          <cell r="U17168"/>
        </row>
        <row r="17169">
          <cell r="U17169"/>
        </row>
        <row r="17170">
          <cell r="U17170"/>
        </row>
        <row r="17171">
          <cell r="U17171"/>
        </row>
        <row r="17172">
          <cell r="U17172"/>
        </row>
        <row r="17173">
          <cell r="U17173"/>
        </row>
        <row r="17174">
          <cell r="U17174"/>
        </row>
        <row r="17175">
          <cell r="U17175"/>
        </row>
        <row r="17176">
          <cell r="U17176"/>
        </row>
        <row r="17177">
          <cell r="U17177"/>
        </row>
        <row r="17178">
          <cell r="U17178"/>
        </row>
        <row r="17179">
          <cell r="U17179"/>
        </row>
        <row r="17180">
          <cell r="U17180"/>
        </row>
        <row r="17181">
          <cell r="U17181"/>
        </row>
        <row r="17182">
          <cell r="U17182"/>
        </row>
        <row r="17183">
          <cell r="U17183"/>
        </row>
        <row r="17184">
          <cell r="U17184"/>
        </row>
        <row r="17185">
          <cell r="U17185"/>
        </row>
        <row r="17186">
          <cell r="U17186"/>
        </row>
        <row r="17187">
          <cell r="U17187"/>
        </row>
        <row r="17188">
          <cell r="U17188"/>
        </row>
        <row r="17189">
          <cell r="U17189"/>
        </row>
        <row r="17190">
          <cell r="U17190"/>
        </row>
        <row r="17191">
          <cell r="U17191"/>
        </row>
        <row r="17192">
          <cell r="U17192"/>
        </row>
        <row r="17193">
          <cell r="U17193"/>
        </row>
        <row r="17194">
          <cell r="U17194"/>
        </row>
        <row r="17195">
          <cell r="U17195"/>
        </row>
        <row r="17196">
          <cell r="U17196"/>
        </row>
        <row r="17197">
          <cell r="U17197"/>
        </row>
        <row r="17198">
          <cell r="U17198"/>
        </row>
        <row r="17199">
          <cell r="U17199"/>
        </row>
        <row r="17200">
          <cell r="U17200"/>
        </row>
        <row r="17201">
          <cell r="U17201"/>
        </row>
        <row r="17202">
          <cell r="U17202"/>
        </row>
        <row r="17203">
          <cell r="U17203"/>
        </row>
        <row r="17204">
          <cell r="U17204"/>
        </row>
        <row r="17205">
          <cell r="U17205"/>
        </row>
        <row r="17206">
          <cell r="U17206"/>
        </row>
        <row r="17207">
          <cell r="U17207"/>
        </row>
        <row r="17208">
          <cell r="U17208"/>
        </row>
        <row r="17209">
          <cell r="U17209"/>
        </row>
        <row r="17210">
          <cell r="U17210"/>
        </row>
        <row r="17211">
          <cell r="U17211"/>
        </row>
        <row r="17212">
          <cell r="U17212"/>
        </row>
        <row r="17213">
          <cell r="U17213"/>
        </row>
        <row r="17214">
          <cell r="U17214"/>
        </row>
        <row r="17215">
          <cell r="U17215"/>
        </row>
        <row r="17216">
          <cell r="U17216"/>
        </row>
        <row r="17217">
          <cell r="U17217"/>
        </row>
        <row r="17218">
          <cell r="U17218"/>
        </row>
        <row r="17219">
          <cell r="U17219"/>
        </row>
        <row r="17220">
          <cell r="U17220"/>
        </row>
        <row r="17221">
          <cell r="U17221"/>
        </row>
        <row r="17222">
          <cell r="U17222"/>
        </row>
        <row r="17223">
          <cell r="U17223"/>
        </row>
        <row r="17224">
          <cell r="U17224"/>
        </row>
        <row r="17225">
          <cell r="U17225"/>
        </row>
        <row r="17226">
          <cell r="U17226"/>
        </row>
        <row r="17227">
          <cell r="U17227"/>
        </row>
        <row r="17228">
          <cell r="U17228"/>
        </row>
        <row r="17229">
          <cell r="U17229"/>
        </row>
        <row r="17230">
          <cell r="U17230"/>
        </row>
        <row r="17231">
          <cell r="U17231"/>
        </row>
        <row r="17232">
          <cell r="U17232"/>
        </row>
        <row r="17233">
          <cell r="U17233"/>
        </row>
        <row r="17234">
          <cell r="U17234"/>
        </row>
        <row r="17235">
          <cell r="U17235"/>
        </row>
        <row r="17236">
          <cell r="U17236"/>
        </row>
        <row r="17237">
          <cell r="U17237"/>
        </row>
        <row r="17238">
          <cell r="U17238"/>
        </row>
        <row r="17239">
          <cell r="U17239"/>
        </row>
        <row r="17240">
          <cell r="U17240"/>
        </row>
        <row r="17241">
          <cell r="U17241"/>
        </row>
        <row r="17242">
          <cell r="U17242"/>
        </row>
        <row r="17243">
          <cell r="U17243"/>
        </row>
        <row r="17244">
          <cell r="U17244"/>
        </row>
        <row r="17245">
          <cell r="U17245"/>
        </row>
        <row r="17246">
          <cell r="U17246"/>
        </row>
        <row r="17247">
          <cell r="U17247"/>
        </row>
        <row r="17248">
          <cell r="U17248"/>
        </row>
        <row r="17249">
          <cell r="U17249"/>
        </row>
        <row r="17250">
          <cell r="U17250"/>
        </row>
        <row r="17251">
          <cell r="U17251"/>
        </row>
        <row r="17252">
          <cell r="U17252"/>
        </row>
        <row r="17253">
          <cell r="U17253"/>
        </row>
        <row r="17254">
          <cell r="U17254"/>
        </row>
        <row r="17255">
          <cell r="U17255"/>
        </row>
        <row r="17256">
          <cell r="U17256"/>
        </row>
        <row r="17257">
          <cell r="U17257"/>
        </row>
        <row r="17258">
          <cell r="U17258"/>
        </row>
        <row r="17259">
          <cell r="U17259"/>
        </row>
        <row r="17260">
          <cell r="U17260"/>
        </row>
        <row r="17261">
          <cell r="U17261"/>
        </row>
        <row r="17262">
          <cell r="U17262"/>
        </row>
        <row r="17263">
          <cell r="U17263"/>
        </row>
        <row r="17264">
          <cell r="U17264"/>
        </row>
        <row r="17265">
          <cell r="U17265"/>
        </row>
        <row r="17266">
          <cell r="U17266"/>
        </row>
        <row r="17267">
          <cell r="U17267"/>
        </row>
        <row r="17268">
          <cell r="U17268"/>
        </row>
        <row r="17269">
          <cell r="U17269"/>
        </row>
        <row r="17270">
          <cell r="U17270"/>
        </row>
        <row r="17271">
          <cell r="U17271"/>
        </row>
        <row r="17272">
          <cell r="U17272"/>
        </row>
        <row r="17273">
          <cell r="U17273"/>
        </row>
        <row r="17274">
          <cell r="U17274"/>
        </row>
        <row r="17275">
          <cell r="U17275"/>
        </row>
        <row r="17276">
          <cell r="U17276"/>
        </row>
        <row r="17277">
          <cell r="U17277"/>
        </row>
        <row r="17278">
          <cell r="U17278"/>
        </row>
        <row r="17279">
          <cell r="U17279"/>
        </row>
        <row r="17280">
          <cell r="U17280"/>
        </row>
        <row r="17281">
          <cell r="U17281"/>
        </row>
        <row r="17282">
          <cell r="U17282"/>
        </row>
        <row r="17283">
          <cell r="U17283"/>
        </row>
        <row r="17284">
          <cell r="U17284"/>
        </row>
        <row r="17285">
          <cell r="U17285"/>
        </row>
        <row r="17286">
          <cell r="U17286"/>
        </row>
        <row r="17287">
          <cell r="U17287"/>
        </row>
        <row r="17288">
          <cell r="U17288"/>
        </row>
        <row r="17289">
          <cell r="U17289"/>
        </row>
        <row r="17290">
          <cell r="U17290"/>
        </row>
        <row r="17291">
          <cell r="U17291"/>
        </row>
        <row r="17292">
          <cell r="U17292"/>
        </row>
        <row r="17293">
          <cell r="U17293"/>
        </row>
        <row r="17294">
          <cell r="U17294"/>
        </row>
        <row r="17295">
          <cell r="U17295"/>
        </row>
        <row r="17296">
          <cell r="U17296"/>
        </row>
        <row r="17297">
          <cell r="U17297"/>
        </row>
        <row r="17298">
          <cell r="U17298"/>
        </row>
        <row r="17299">
          <cell r="U17299"/>
        </row>
        <row r="17300">
          <cell r="U17300"/>
        </row>
        <row r="17301">
          <cell r="U17301"/>
        </row>
        <row r="17302">
          <cell r="U17302"/>
        </row>
        <row r="17303">
          <cell r="U17303"/>
        </row>
        <row r="17304">
          <cell r="U17304"/>
        </row>
        <row r="17305">
          <cell r="U17305"/>
        </row>
        <row r="17306">
          <cell r="U17306"/>
        </row>
        <row r="17307">
          <cell r="U17307"/>
        </row>
        <row r="17308">
          <cell r="U17308"/>
        </row>
        <row r="17309">
          <cell r="U17309"/>
        </row>
        <row r="17310">
          <cell r="U17310"/>
        </row>
        <row r="17311">
          <cell r="U17311"/>
        </row>
        <row r="17312">
          <cell r="U17312"/>
        </row>
        <row r="17313">
          <cell r="U17313"/>
        </row>
        <row r="17314">
          <cell r="U17314"/>
        </row>
        <row r="17315">
          <cell r="U17315"/>
        </row>
        <row r="17316">
          <cell r="U17316"/>
        </row>
        <row r="17317">
          <cell r="U17317"/>
        </row>
        <row r="17318">
          <cell r="U17318"/>
        </row>
        <row r="17319">
          <cell r="U17319"/>
        </row>
        <row r="17320">
          <cell r="U17320"/>
        </row>
        <row r="17321">
          <cell r="U17321"/>
        </row>
        <row r="17322">
          <cell r="U17322"/>
        </row>
        <row r="17323">
          <cell r="U17323"/>
        </row>
        <row r="17324">
          <cell r="U17324"/>
        </row>
        <row r="17325">
          <cell r="U17325"/>
        </row>
        <row r="17326">
          <cell r="U17326"/>
        </row>
        <row r="17327">
          <cell r="U17327"/>
        </row>
        <row r="17328">
          <cell r="U17328"/>
        </row>
        <row r="17329">
          <cell r="U17329"/>
        </row>
        <row r="17330">
          <cell r="U17330"/>
        </row>
        <row r="17331">
          <cell r="U17331"/>
        </row>
        <row r="17332">
          <cell r="U17332"/>
        </row>
        <row r="17333">
          <cell r="U17333"/>
        </row>
        <row r="17334">
          <cell r="U17334"/>
        </row>
        <row r="17335">
          <cell r="U17335"/>
        </row>
        <row r="17336">
          <cell r="U17336"/>
        </row>
        <row r="17337">
          <cell r="U17337"/>
        </row>
        <row r="17338">
          <cell r="U17338"/>
        </row>
        <row r="17339">
          <cell r="U17339"/>
        </row>
        <row r="17340">
          <cell r="U17340"/>
        </row>
        <row r="17341">
          <cell r="U17341"/>
        </row>
        <row r="17342">
          <cell r="U17342"/>
        </row>
        <row r="17343">
          <cell r="U17343"/>
        </row>
        <row r="17344">
          <cell r="U17344"/>
        </row>
        <row r="17345">
          <cell r="U17345"/>
        </row>
        <row r="17346">
          <cell r="U17346"/>
        </row>
        <row r="17347">
          <cell r="U17347"/>
        </row>
        <row r="17348">
          <cell r="U17348"/>
        </row>
        <row r="17349">
          <cell r="U17349"/>
        </row>
        <row r="17350">
          <cell r="U17350"/>
        </row>
        <row r="17351">
          <cell r="U17351"/>
        </row>
        <row r="17352">
          <cell r="U17352"/>
        </row>
        <row r="17353">
          <cell r="U17353"/>
        </row>
        <row r="17354">
          <cell r="U17354"/>
        </row>
        <row r="17355">
          <cell r="U17355"/>
        </row>
        <row r="17356">
          <cell r="U17356"/>
        </row>
        <row r="17357">
          <cell r="U17357"/>
        </row>
        <row r="17358">
          <cell r="U17358"/>
        </row>
        <row r="17359">
          <cell r="U17359"/>
        </row>
        <row r="17360">
          <cell r="U17360"/>
        </row>
        <row r="17361">
          <cell r="U17361"/>
        </row>
        <row r="17362">
          <cell r="U17362"/>
        </row>
        <row r="17363">
          <cell r="U17363"/>
        </row>
        <row r="17364">
          <cell r="U17364"/>
        </row>
        <row r="17365">
          <cell r="U17365"/>
        </row>
        <row r="17366">
          <cell r="U17366"/>
        </row>
        <row r="17367">
          <cell r="U17367"/>
        </row>
        <row r="17368">
          <cell r="U17368"/>
        </row>
        <row r="17369">
          <cell r="U17369"/>
        </row>
        <row r="17370">
          <cell r="U17370"/>
        </row>
        <row r="17371">
          <cell r="U17371"/>
        </row>
        <row r="17372">
          <cell r="U17372"/>
        </row>
        <row r="17373">
          <cell r="U17373"/>
        </row>
        <row r="17374">
          <cell r="U17374"/>
        </row>
        <row r="17375">
          <cell r="U17375"/>
        </row>
        <row r="17376">
          <cell r="U17376"/>
        </row>
        <row r="17377">
          <cell r="U17377"/>
        </row>
        <row r="17378">
          <cell r="U17378"/>
        </row>
        <row r="17379">
          <cell r="U17379"/>
        </row>
        <row r="17380">
          <cell r="U17380"/>
        </row>
        <row r="17381">
          <cell r="U17381"/>
        </row>
        <row r="17382">
          <cell r="U17382"/>
        </row>
        <row r="17383">
          <cell r="U17383"/>
        </row>
        <row r="17384">
          <cell r="U17384"/>
        </row>
        <row r="17385">
          <cell r="U17385"/>
        </row>
        <row r="17386">
          <cell r="U17386"/>
        </row>
        <row r="17387">
          <cell r="U17387"/>
        </row>
        <row r="17388">
          <cell r="U17388"/>
        </row>
        <row r="17389">
          <cell r="U17389"/>
        </row>
        <row r="17390">
          <cell r="U17390"/>
        </row>
        <row r="17391">
          <cell r="U17391"/>
        </row>
        <row r="17392">
          <cell r="U17392"/>
        </row>
        <row r="17393">
          <cell r="U17393"/>
        </row>
        <row r="17394">
          <cell r="U17394"/>
        </row>
        <row r="17395">
          <cell r="U17395"/>
        </row>
        <row r="17396">
          <cell r="U17396"/>
        </row>
        <row r="17397">
          <cell r="U17397"/>
        </row>
        <row r="17398">
          <cell r="U17398"/>
        </row>
        <row r="17399">
          <cell r="U17399"/>
        </row>
        <row r="17400">
          <cell r="U17400"/>
        </row>
        <row r="17401">
          <cell r="U17401"/>
        </row>
        <row r="17402">
          <cell r="U17402"/>
        </row>
        <row r="17403">
          <cell r="U17403"/>
        </row>
        <row r="17404">
          <cell r="U17404"/>
        </row>
        <row r="17405">
          <cell r="U17405"/>
        </row>
        <row r="17406">
          <cell r="U17406"/>
        </row>
        <row r="17407">
          <cell r="U17407"/>
        </row>
        <row r="17408">
          <cell r="U17408"/>
        </row>
        <row r="17409">
          <cell r="U17409"/>
        </row>
        <row r="17410">
          <cell r="U17410"/>
        </row>
        <row r="17411">
          <cell r="U17411"/>
        </row>
        <row r="17412">
          <cell r="U17412"/>
        </row>
        <row r="17413">
          <cell r="U17413"/>
        </row>
        <row r="17414">
          <cell r="U17414"/>
        </row>
        <row r="17415">
          <cell r="U17415"/>
        </row>
        <row r="17416">
          <cell r="U17416"/>
        </row>
        <row r="17417">
          <cell r="U17417"/>
        </row>
        <row r="17418">
          <cell r="U17418"/>
        </row>
        <row r="17419">
          <cell r="U17419"/>
        </row>
        <row r="17420">
          <cell r="U17420"/>
        </row>
        <row r="17421">
          <cell r="U17421"/>
        </row>
        <row r="17422">
          <cell r="U17422"/>
        </row>
        <row r="17423">
          <cell r="U17423"/>
        </row>
        <row r="17424">
          <cell r="U17424"/>
        </row>
        <row r="17425">
          <cell r="U17425"/>
        </row>
        <row r="17426">
          <cell r="U17426"/>
        </row>
        <row r="17427">
          <cell r="U17427"/>
        </row>
        <row r="17428">
          <cell r="U17428"/>
        </row>
        <row r="17429">
          <cell r="U17429"/>
        </row>
        <row r="17430">
          <cell r="U17430"/>
        </row>
        <row r="17431">
          <cell r="U17431"/>
        </row>
        <row r="17432">
          <cell r="U17432"/>
        </row>
        <row r="17433">
          <cell r="U17433"/>
        </row>
        <row r="17434">
          <cell r="U17434"/>
        </row>
        <row r="17435">
          <cell r="U17435"/>
        </row>
        <row r="17436">
          <cell r="U17436"/>
        </row>
        <row r="17437">
          <cell r="U17437"/>
        </row>
        <row r="17438">
          <cell r="U17438"/>
        </row>
        <row r="17439">
          <cell r="U17439"/>
        </row>
        <row r="17440">
          <cell r="U17440"/>
        </row>
        <row r="17441">
          <cell r="U17441"/>
        </row>
        <row r="17442">
          <cell r="U17442"/>
        </row>
        <row r="17443">
          <cell r="U17443"/>
        </row>
        <row r="17444">
          <cell r="U17444"/>
        </row>
        <row r="17445">
          <cell r="U17445"/>
        </row>
        <row r="17446">
          <cell r="U17446"/>
        </row>
        <row r="17447">
          <cell r="U17447"/>
        </row>
        <row r="17448">
          <cell r="U17448"/>
        </row>
        <row r="17449">
          <cell r="U17449"/>
        </row>
        <row r="17450">
          <cell r="U17450"/>
        </row>
        <row r="17451">
          <cell r="U17451"/>
        </row>
        <row r="17452">
          <cell r="U17452"/>
        </row>
        <row r="17453">
          <cell r="U17453"/>
        </row>
        <row r="17454">
          <cell r="U17454"/>
        </row>
        <row r="17455">
          <cell r="U17455"/>
        </row>
        <row r="17456">
          <cell r="U17456"/>
        </row>
        <row r="17457">
          <cell r="U17457"/>
        </row>
        <row r="17458">
          <cell r="U17458"/>
        </row>
        <row r="17459">
          <cell r="U17459"/>
        </row>
        <row r="17460">
          <cell r="U17460"/>
        </row>
        <row r="17461">
          <cell r="U17461"/>
        </row>
        <row r="17462">
          <cell r="U17462"/>
        </row>
        <row r="17463">
          <cell r="U17463"/>
        </row>
        <row r="17464">
          <cell r="U17464"/>
        </row>
        <row r="17465">
          <cell r="U17465"/>
        </row>
        <row r="17466">
          <cell r="U17466"/>
        </row>
        <row r="17467">
          <cell r="U17467"/>
        </row>
        <row r="17468">
          <cell r="U17468"/>
        </row>
        <row r="17469">
          <cell r="U17469"/>
        </row>
        <row r="17470">
          <cell r="U17470"/>
        </row>
        <row r="17471">
          <cell r="U17471"/>
        </row>
        <row r="17472">
          <cell r="U17472"/>
        </row>
        <row r="17473">
          <cell r="U17473"/>
        </row>
        <row r="17474">
          <cell r="U17474"/>
        </row>
        <row r="17475">
          <cell r="U17475"/>
        </row>
        <row r="17476">
          <cell r="U17476"/>
        </row>
        <row r="17477">
          <cell r="U17477"/>
        </row>
        <row r="17478">
          <cell r="U17478"/>
        </row>
        <row r="17479">
          <cell r="U17479"/>
        </row>
        <row r="17480">
          <cell r="U17480"/>
        </row>
        <row r="17481">
          <cell r="U17481"/>
        </row>
        <row r="17482">
          <cell r="U17482"/>
        </row>
        <row r="17483">
          <cell r="U17483"/>
        </row>
        <row r="17484">
          <cell r="U17484"/>
        </row>
        <row r="17485">
          <cell r="U17485"/>
        </row>
        <row r="17486">
          <cell r="U17486"/>
        </row>
        <row r="17487">
          <cell r="U17487"/>
        </row>
        <row r="17488">
          <cell r="U17488"/>
        </row>
        <row r="17489">
          <cell r="U17489"/>
        </row>
        <row r="17490">
          <cell r="U17490"/>
        </row>
        <row r="17491">
          <cell r="U17491"/>
        </row>
        <row r="17492">
          <cell r="U17492"/>
        </row>
        <row r="17493">
          <cell r="U17493"/>
        </row>
        <row r="17494">
          <cell r="U17494"/>
        </row>
        <row r="17495">
          <cell r="U17495"/>
        </row>
        <row r="17496">
          <cell r="U17496"/>
        </row>
        <row r="17497">
          <cell r="U17497"/>
        </row>
        <row r="17498">
          <cell r="U17498"/>
        </row>
        <row r="17499">
          <cell r="U17499"/>
        </row>
        <row r="17500">
          <cell r="U17500"/>
        </row>
        <row r="17501">
          <cell r="U17501"/>
        </row>
        <row r="17502">
          <cell r="U17502"/>
        </row>
        <row r="17503">
          <cell r="U17503"/>
        </row>
        <row r="17504">
          <cell r="U17504"/>
        </row>
        <row r="17505">
          <cell r="U17505"/>
        </row>
        <row r="17506">
          <cell r="U17506"/>
        </row>
        <row r="17507">
          <cell r="U17507"/>
        </row>
        <row r="17508">
          <cell r="U17508"/>
        </row>
        <row r="17509">
          <cell r="U17509"/>
        </row>
        <row r="17510">
          <cell r="U17510"/>
        </row>
        <row r="17511">
          <cell r="U17511"/>
        </row>
        <row r="17512">
          <cell r="U17512"/>
        </row>
        <row r="17513">
          <cell r="U17513"/>
        </row>
        <row r="17514">
          <cell r="U17514"/>
        </row>
        <row r="17515">
          <cell r="U17515"/>
        </row>
        <row r="17516">
          <cell r="U17516"/>
        </row>
        <row r="17517">
          <cell r="U17517"/>
        </row>
        <row r="17518">
          <cell r="U17518"/>
        </row>
        <row r="17519">
          <cell r="U17519"/>
        </row>
        <row r="17520">
          <cell r="U17520"/>
        </row>
        <row r="17521">
          <cell r="U17521"/>
        </row>
        <row r="17522">
          <cell r="U17522"/>
        </row>
        <row r="17523">
          <cell r="U17523"/>
        </row>
        <row r="17524">
          <cell r="U17524"/>
        </row>
        <row r="17525">
          <cell r="U17525"/>
        </row>
        <row r="17526">
          <cell r="U17526"/>
        </row>
        <row r="17527">
          <cell r="U17527"/>
        </row>
        <row r="17528">
          <cell r="U17528"/>
        </row>
        <row r="17529">
          <cell r="U17529"/>
        </row>
        <row r="17530">
          <cell r="U17530"/>
        </row>
        <row r="17531">
          <cell r="U17531"/>
        </row>
        <row r="17532">
          <cell r="U17532"/>
        </row>
        <row r="17533">
          <cell r="U17533"/>
        </row>
        <row r="17534">
          <cell r="U17534"/>
        </row>
        <row r="17535">
          <cell r="U17535"/>
        </row>
        <row r="17536">
          <cell r="U17536"/>
        </row>
        <row r="17537">
          <cell r="U17537"/>
        </row>
        <row r="17538">
          <cell r="U17538"/>
        </row>
        <row r="17539">
          <cell r="U17539"/>
        </row>
        <row r="17540">
          <cell r="U17540"/>
        </row>
        <row r="17541">
          <cell r="U17541"/>
        </row>
        <row r="17542">
          <cell r="U17542"/>
        </row>
        <row r="17543">
          <cell r="U17543"/>
        </row>
        <row r="17544">
          <cell r="U17544"/>
        </row>
        <row r="17545">
          <cell r="U17545"/>
        </row>
        <row r="17546">
          <cell r="U17546"/>
        </row>
        <row r="17547">
          <cell r="U17547"/>
        </row>
        <row r="17548">
          <cell r="U17548"/>
        </row>
        <row r="17549">
          <cell r="U17549"/>
        </row>
        <row r="17550">
          <cell r="U17550"/>
        </row>
        <row r="17551">
          <cell r="U17551"/>
        </row>
        <row r="17552">
          <cell r="U17552"/>
        </row>
        <row r="17553">
          <cell r="U17553"/>
        </row>
        <row r="17554">
          <cell r="U17554"/>
        </row>
        <row r="17555">
          <cell r="U17555"/>
        </row>
        <row r="17556">
          <cell r="U17556"/>
        </row>
        <row r="17557">
          <cell r="U17557"/>
        </row>
        <row r="17558">
          <cell r="U17558"/>
        </row>
        <row r="17559">
          <cell r="U17559"/>
        </row>
        <row r="17560">
          <cell r="U17560"/>
        </row>
        <row r="17561">
          <cell r="U17561"/>
        </row>
        <row r="17562">
          <cell r="U17562"/>
        </row>
        <row r="17563">
          <cell r="U17563"/>
        </row>
        <row r="17564">
          <cell r="U17564"/>
        </row>
        <row r="17565">
          <cell r="U17565"/>
        </row>
        <row r="17566">
          <cell r="U17566"/>
        </row>
        <row r="17567">
          <cell r="U17567"/>
        </row>
        <row r="17568">
          <cell r="U17568"/>
        </row>
        <row r="17569">
          <cell r="U17569"/>
        </row>
        <row r="17570">
          <cell r="U17570"/>
        </row>
        <row r="17571">
          <cell r="U17571"/>
        </row>
        <row r="17572">
          <cell r="U17572"/>
        </row>
        <row r="17573">
          <cell r="U17573"/>
        </row>
        <row r="17574">
          <cell r="U17574"/>
        </row>
        <row r="17575">
          <cell r="U17575"/>
        </row>
        <row r="17576">
          <cell r="U17576"/>
        </row>
        <row r="17577">
          <cell r="U17577"/>
        </row>
        <row r="17578">
          <cell r="U17578"/>
        </row>
        <row r="17579">
          <cell r="U17579"/>
        </row>
        <row r="17580">
          <cell r="U17580"/>
        </row>
        <row r="17581">
          <cell r="U17581"/>
        </row>
        <row r="17582">
          <cell r="U17582"/>
        </row>
        <row r="17583">
          <cell r="U17583"/>
        </row>
        <row r="17584">
          <cell r="U17584"/>
        </row>
        <row r="17585">
          <cell r="U17585"/>
        </row>
        <row r="17586">
          <cell r="U17586"/>
        </row>
        <row r="17587">
          <cell r="U17587"/>
        </row>
        <row r="17588">
          <cell r="U17588"/>
        </row>
        <row r="17589">
          <cell r="U17589"/>
        </row>
        <row r="17590">
          <cell r="U17590"/>
        </row>
        <row r="17591">
          <cell r="U17591"/>
        </row>
        <row r="17592">
          <cell r="U17592"/>
        </row>
        <row r="17593">
          <cell r="U17593"/>
        </row>
        <row r="17594">
          <cell r="U17594"/>
        </row>
        <row r="17595">
          <cell r="U17595"/>
        </row>
        <row r="17596">
          <cell r="U17596"/>
        </row>
        <row r="17597">
          <cell r="U17597"/>
        </row>
        <row r="17598">
          <cell r="U17598"/>
        </row>
        <row r="17599">
          <cell r="U17599"/>
        </row>
        <row r="17600">
          <cell r="U17600"/>
        </row>
        <row r="17601">
          <cell r="U17601"/>
        </row>
        <row r="17602">
          <cell r="U17602"/>
        </row>
        <row r="17603">
          <cell r="U17603"/>
        </row>
        <row r="17604">
          <cell r="U17604"/>
        </row>
        <row r="17605">
          <cell r="U17605"/>
        </row>
        <row r="17606">
          <cell r="U17606"/>
        </row>
        <row r="17607">
          <cell r="U17607"/>
        </row>
        <row r="17608">
          <cell r="U17608"/>
        </row>
        <row r="17609">
          <cell r="U17609"/>
        </row>
        <row r="17610">
          <cell r="U17610"/>
        </row>
        <row r="17611">
          <cell r="U17611"/>
        </row>
        <row r="17612">
          <cell r="U17612"/>
        </row>
        <row r="17613">
          <cell r="U17613"/>
        </row>
        <row r="17614">
          <cell r="U17614"/>
        </row>
        <row r="17615">
          <cell r="U17615"/>
        </row>
        <row r="17616">
          <cell r="U17616"/>
        </row>
        <row r="17617">
          <cell r="U17617"/>
        </row>
        <row r="17618">
          <cell r="U17618"/>
        </row>
        <row r="17619">
          <cell r="U17619"/>
        </row>
        <row r="17620">
          <cell r="U17620"/>
        </row>
        <row r="17621">
          <cell r="U17621"/>
        </row>
        <row r="17622">
          <cell r="U17622"/>
        </row>
        <row r="17623">
          <cell r="U17623"/>
        </row>
        <row r="17624">
          <cell r="U17624"/>
        </row>
        <row r="17625">
          <cell r="U17625"/>
        </row>
        <row r="17626">
          <cell r="U17626"/>
        </row>
        <row r="17627">
          <cell r="U17627"/>
        </row>
        <row r="17628">
          <cell r="U17628"/>
        </row>
        <row r="17629">
          <cell r="U17629"/>
        </row>
        <row r="17630">
          <cell r="U17630"/>
        </row>
        <row r="17631">
          <cell r="U17631"/>
        </row>
        <row r="17632">
          <cell r="U17632"/>
        </row>
        <row r="17633">
          <cell r="U17633"/>
        </row>
        <row r="17634">
          <cell r="U17634"/>
        </row>
        <row r="17635">
          <cell r="U17635"/>
        </row>
        <row r="17636">
          <cell r="U17636"/>
        </row>
        <row r="17637">
          <cell r="U17637"/>
        </row>
        <row r="17638">
          <cell r="U17638"/>
        </row>
        <row r="17639">
          <cell r="U17639"/>
        </row>
        <row r="17640">
          <cell r="U17640"/>
        </row>
        <row r="17641">
          <cell r="U17641"/>
        </row>
        <row r="17642">
          <cell r="U17642"/>
        </row>
        <row r="17643">
          <cell r="U17643"/>
        </row>
        <row r="17644">
          <cell r="U17644"/>
        </row>
        <row r="17645">
          <cell r="U17645"/>
        </row>
        <row r="17646">
          <cell r="U17646"/>
        </row>
        <row r="17647">
          <cell r="U17647"/>
        </row>
        <row r="17648">
          <cell r="U17648"/>
        </row>
        <row r="17649">
          <cell r="U17649"/>
        </row>
        <row r="17650">
          <cell r="U17650"/>
        </row>
        <row r="17651">
          <cell r="U17651"/>
        </row>
        <row r="17652">
          <cell r="U17652"/>
        </row>
        <row r="17653">
          <cell r="U17653"/>
        </row>
        <row r="17654">
          <cell r="U17654"/>
        </row>
        <row r="17655">
          <cell r="U17655"/>
        </row>
        <row r="17656">
          <cell r="U17656"/>
        </row>
        <row r="17657">
          <cell r="U17657"/>
        </row>
        <row r="17658">
          <cell r="U17658"/>
        </row>
        <row r="17659">
          <cell r="U17659"/>
        </row>
        <row r="17660">
          <cell r="U17660"/>
        </row>
        <row r="17661">
          <cell r="U17661"/>
        </row>
        <row r="17662">
          <cell r="U17662"/>
        </row>
        <row r="17663">
          <cell r="U17663"/>
        </row>
        <row r="17664">
          <cell r="U17664"/>
        </row>
        <row r="17665">
          <cell r="U17665"/>
        </row>
        <row r="17666">
          <cell r="U17666"/>
        </row>
        <row r="17667">
          <cell r="U17667"/>
        </row>
        <row r="17668">
          <cell r="U17668"/>
        </row>
        <row r="17669">
          <cell r="U17669"/>
        </row>
        <row r="17670">
          <cell r="U17670"/>
        </row>
        <row r="17671">
          <cell r="U17671"/>
        </row>
        <row r="17672">
          <cell r="U17672"/>
        </row>
        <row r="17673">
          <cell r="U17673"/>
        </row>
        <row r="17674">
          <cell r="U17674"/>
        </row>
        <row r="17675">
          <cell r="U17675"/>
        </row>
        <row r="17676">
          <cell r="U17676"/>
        </row>
        <row r="17677">
          <cell r="U17677"/>
        </row>
        <row r="17678">
          <cell r="U17678"/>
        </row>
        <row r="17679">
          <cell r="U17679"/>
        </row>
        <row r="17680">
          <cell r="U17680"/>
        </row>
        <row r="17681">
          <cell r="U17681"/>
        </row>
        <row r="17682">
          <cell r="U17682"/>
        </row>
        <row r="17683">
          <cell r="U17683"/>
        </row>
        <row r="17684">
          <cell r="U17684"/>
        </row>
        <row r="17685">
          <cell r="U17685"/>
        </row>
        <row r="17686">
          <cell r="U17686"/>
        </row>
        <row r="17687">
          <cell r="U17687"/>
        </row>
        <row r="17688">
          <cell r="U17688"/>
        </row>
        <row r="17689">
          <cell r="U17689"/>
        </row>
        <row r="17690">
          <cell r="U17690"/>
        </row>
        <row r="17691">
          <cell r="U17691"/>
        </row>
        <row r="17692">
          <cell r="U17692"/>
        </row>
        <row r="17693">
          <cell r="U17693"/>
        </row>
        <row r="17694">
          <cell r="U17694"/>
        </row>
        <row r="17695">
          <cell r="U17695"/>
        </row>
        <row r="17696">
          <cell r="U17696"/>
        </row>
        <row r="17697">
          <cell r="U17697"/>
        </row>
        <row r="17698">
          <cell r="U17698"/>
        </row>
        <row r="17699">
          <cell r="U17699"/>
        </row>
        <row r="17700">
          <cell r="U17700"/>
        </row>
        <row r="17701">
          <cell r="U17701"/>
        </row>
        <row r="17702">
          <cell r="U17702"/>
        </row>
        <row r="17703">
          <cell r="U17703"/>
        </row>
        <row r="17704">
          <cell r="U17704"/>
        </row>
        <row r="17705">
          <cell r="U17705"/>
        </row>
        <row r="17706">
          <cell r="U17706"/>
        </row>
        <row r="17707">
          <cell r="U17707"/>
        </row>
        <row r="17708">
          <cell r="U17708"/>
        </row>
        <row r="17709">
          <cell r="U17709"/>
        </row>
        <row r="17710">
          <cell r="U17710"/>
        </row>
        <row r="17711">
          <cell r="U17711"/>
        </row>
        <row r="17712">
          <cell r="U17712"/>
        </row>
        <row r="17713">
          <cell r="U17713"/>
        </row>
        <row r="17714">
          <cell r="U17714"/>
        </row>
        <row r="17715">
          <cell r="U17715"/>
        </row>
        <row r="17716">
          <cell r="U17716"/>
        </row>
        <row r="17717">
          <cell r="U17717"/>
        </row>
        <row r="17718">
          <cell r="U17718"/>
        </row>
        <row r="17719">
          <cell r="U17719"/>
        </row>
        <row r="17720">
          <cell r="U17720"/>
        </row>
        <row r="17721">
          <cell r="U17721"/>
        </row>
        <row r="17722">
          <cell r="U17722"/>
        </row>
        <row r="17723">
          <cell r="U17723"/>
        </row>
        <row r="17724">
          <cell r="U17724"/>
        </row>
        <row r="17725">
          <cell r="U17725"/>
        </row>
        <row r="17726">
          <cell r="U17726"/>
        </row>
        <row r="17727">
          <cell r="U17727"/>
        </row>
        <row r="17728">
          <cell r="U17728"/>
        </row>
        <row r="17729">
          <cell r="U17729"/>
        </row>
        <row r="17730">
          <cell r="U17730"/>
        </row>
        <row r="17731">
          <cell r="U17731"/>
        </row>
        <row r="17732">
          <cell r="U17732"/>
        </row>
        <row r="17733">
          <cell r="U17733"/>
        </row>
        <row r="17734">
          <cell r="U17734"/>
        </row>
        <row r="17735">
          <cell r="U17735"/>
        </row>
        <row r="17736">
          <cell r="U17736"/>
        </row>
        <row r="17737">
          <cell r="U17737"/>
        </row>
        <row r="17738">
          <cell r="U17738"/>
        </row>
        <row r="17739">
          <cell r="U17739"/>
        </row>
        <row r="17740">
          <cell r="U17740"/>
        </row>
        <row r="17741">
          <cell r="U17741"/>
        </row>
        <row r="17742">
          <cell r="U17742"/>
        </row>
        <row r="17743">
          <cell r="U17743"/>
        </row>
        <row r="17744">
          <cell r="U17744"/>
        </row>
        <row r="17745">
          <cell r="U17745"/>
        </row>
        <row r="17746">
          <cell r="U17746"/>
        </row>
        <row r="17747">
          <cell r="U17747"/>
        </row>
        <row r="17748">
          <cell r="U17748"/>
        </row>
        <row r="17749">
          <cell r="U17749"/>
        </row>
        <row r="17750">
          <cell r="U17750"/>
        </row>
        <row r="17751">
          <cell r="U17751"/>
        </row>
        <row r="17752">
          <cell r="U17752"/>
        </row>
        <row r="17753">
          <cell r="U17753"/>
        </row>
        <row r="17754">
          <cell r="U17754"/>
        </row>
        <row r="17755">
          <cell r="U17755"/>
        </row>
        <row r="17756">
          <cell r="U17756"/>
        </row>
        <row r="17757">
          <cell r="U17757"/>
        </row>
        <row r="17758">
          <cell r="U17758"/>
        </row>
        <row r="17759">
          <cell r="U17759"/>
        </row>
        <row r="17760">
          <cell r="U17760"/>
        </row>
        <row r="17761">
          <cell r="U17761"/>
        </row>
        <row r="17762">
          <cell r="U17762"/>
        </row>
        <row r="17763">
          <cell r="U17763"/>
        </row>
        <row r="17764">
          <cell r="U17764"/>
        </row>
        <row r="17765">
          <cell r="U17765"/>
        </row>
        <row r="17766">
          <cell r="U17766"/>
        </row>
        <row r="17767">
          <cell r="U17767"/>
        </row>
        <row r="17768">
          <cell r="U17768"/>
        </row>
        <row r="17769">
          <cell r="U17769"/>
        </row>
        <row r="17770">
          <cell r="U17770"/>
        </row>
        <row r="17771">
          <cell r="U17771"/>
        </row>
        <row r="17772">
          <cell r="U17772"/>
        </row>
        <row r="17773">
          <cell r="U17773"/>
        </row>
        <row r="17774">
          <cell r="U17774"/>
        </row>
        <row r="17775">
          <cell r="U17775"/>
        </row>
        <row r="17776">
          <cell r="U17776"/>
        </row>
        <row r="17777">
          <cell r="U17777"/>
        </row>
        <row r="17778">
          <cell r="U17778"/>
        </row>
        <row r="17779">
          <cell r="U17779"/>
        </row>
        <row r="17780">
          <cell r="U17780"/>
        </row>
        <row r="17781">
          <cell r="U17781"/>
        </row>
        <row r="17782">
          <cell r="U17782"/>
        </row>
        <row r="17783">
          <cell r="U17783"/>
        </row>
        <row r="17784">
          <cell r="U17784"/>
        </row>
        <row r="17785">
          <cell r="U17785"/>
        </row>
        <row r="17786">
          <cell r="U17786"/>
        </row>
        <row r="17787">
          <cell r="U17787"/>
        </row>
        <row r="17788">
          <cell r="U17788"/>
        </row>
        <row r="17789">
          <cell r="U17789"/>
        </row>
        <row r="17790">
          <cell r="U17790"/>
        </row>
        <row r="17791">
          <cell r="U17791"/>
        </row>
        <row r="17792">
          <cell r="U17792"/>
        </row>
        <row r="17793">
          <cell r="U17793"/>
        </row>
        <row r="17794">
          <cell r="U17794"/>
        </row>
        <row r="17795">
          <cell r="U17795"/>
        </row>
        <row r="17796">
          <cell r="U17796"/>
        </row>
        <row r="17797">
          <cell r="U17797"/>
        </row>
        <row r="17798">
          <cell r="U17798"/>
        </row>
        <row r="17799">
          <cell r="U17799"/>
        </row>
        <row r="17800">
          <cell r="U17800"/>
        </row>
        <row r="17801">
          <cell r="U17801"/>
        </row>
        <row r="17802">
          <cell r="U17802"/>
        </row>
        <row r="17803">
          <cell r="U17803"/>
        </row>
        <row r="17804">
          <cell r="U17804"/>
        </row>
        <row r="17805">
          <cell r="U17805"/>
        </row>
        <row r="17806">
          <cell r="U17806"/>
        </row>
        <row r="17807">
          <cell r="U17807"/>
        </row>
        <row r="17808">
          <cell r="U17808"/>
        </row>
        <row r="17809">
          <cell r="U17809"/>
        </row>
        <row r="17810">
          <cell r="U17810"/>
        </row>
        <row r="17811">
          <cell r="U17811"/>
        </row>
        <row r="17812">
          <cell r="U17812"/>
        </row>
        <row r="17813">
          <cell r="U17813"/>
        </row>
        <row r="17814">
          <cell r="U17814"/>
        </row>
        <row r="17815">
          <cell r="U17815"/>
        </row>
        <row r="17816">
          <cell r="U17816"/>
        </row>
        <row r="17817">
          <cell r="U17817"/>
        </row>
        <row r="17818">
          <cell r="U17818"/>
        </row>
        <row r="17819">
          <cell r="U17819"/>
        </row>
        <row r="17820">
          <cell r="U17820"/>
        </row>
        <row r="17821">
          <cell r="U17821"/>
        </row>
        <row r="17822">
          <cell r="U17822"/>
        </row>
        <row r="17823">
          <cell r="U17823"/>
        </row>
        <row r="17824">
          <cell r="U17824"/>
        </row>
        <row r="17825">
          <cell r="U17825"/>
        </row>
        <row r="17826">
          <cell r="U17826"/>
        </row>
        <row r="17827">
          <cell r="U17827"/>
        </row>
        <row r="17828">
          <cell r="U17828"/>
        </row>
        <row r="17829">
          <cell r="U17829"/>
        </row>
        <row r="17830">
          <cell r="U17830"/>
        </row>
        <row r="17831">
          <cell r="U17831"/>
        </row>
        <row r="17832">
          <cell r="U17832"/>
        </row>
        <row r="17833">
          <cell r="U17833"/>
        </row>
        <row r="17834">
          <cell r="U17834"/>
        </row>
        <row r="17835">
          <cell r="U17835"/>
        </row>
        <row r="17836">
          <cell r="U17836"/>
        </row>
        <row r="17837">
          <cell r="U17837"/>
        </row>
        <row r="17838">
          <cell r="U17838"/>
        </row>
        <row r="17839">
          <cell r="U17839"/>
        </row>
        <row r="17840">
          <cell r="U17840"/>
        </row>
        <row r="17841">
          <cell r="U17841"/>
        </row>
        <row r="17842">
          <cell r="U17842"/>
        </row>
        <row r="17843">
          <cell r="U17843"/>
        </row>
        <row r="17844">
          <cell r="U17844"/>
        </row>
        <row r="17845">
          <cell r="U17845"/>
        </row>
        <row r="17846">
          <cell r="U17846"/>
        </row>
        <row r="17847">
          <cell r="U17847"/>
        </row>
        <row r="17848">
          <cell r="U17848"/>
        </row>
        <row r="17849">
          <cell r="U17849"/>
        </row>
        <row r="17850">
          <cell r="U17850"/>
        </row>
        <row r="17851">
          <cell r="U17851"/>
        </row>
        <row r="17852">
          <cell r="U17852"/>
        </row>
        <row r="17853">
          <cell r="U17853"/>
        </row>
        <row r="17854">
          <cell r="U17854"/>
        </row>
        <row r="17855">
          <cell r="U17855"/>
        </row>
        <row r="17856">
          <cell r="U17856"/>
        </row>
        <row r="17857">
          <cell r="U17857"/>
        </row>
        <row r="17858">
          <cell r="U17858"/>
        </row>
        <row r="17859">
          <cell r="U17859"/>
        </row>
        <row r="17860">
          <cell r="U17860"/>
        </row>
        <row r="17861">
          <cell r="U17861"/>
        </row>
        <row r="17862">
          <cell r="U17862"/>
        </row>
        <row r="17863">
          <cell r="U17863"/>
        </row>
        <row r="17864">
          <cell r="U17864"/>
        </row>
        <row r="17865">
          <cell r="U17865"/>
        </row>
        <row r="17866">
          <cell r="U17866"/>
        </row>
        <row r="17867">
          <cell r="U17867"/>
        </row>
        <row r="17868">
          <cell r="U17868"/>
        </row>
        <row r="17869">
          <cell r="U17869"/>
        </row>
        <row r="17870">
          <cell r="U17870"/>
        </row>
        <row r="17871">
          <cell r="U17871"/>
        </row>
        <row r="17872">
          <cell r="U17872"/>
        </row>
        <row r="17873">
          <cell r="U17873"/>
        </row>
        <row r="17874">
          <cell r="U17874"/>
        </row>
        <row r="17875">
          <cell r="U17875"/>
        </row>
        <row r="17876">
          <cell r="U17876"/>
        </row>
        <row r="17877">
          <cell r="U17877"/>
        </row>
        <row r="17878">
          <cell r="U17878"/>
        </row>
        <row r="17879">
          <cell r="U17879"/>
        </row>
        <row r="17880">
          <cell r="U17880"/>
        </row>
        <row r="17881">
          <cell r="U17881"/>
        </row>
        <row r="17882">
          <cell r="U17882"/>
        </row>
        <row r="17883">
          <cell r="U17883"/>
        </row>
        <row r="17884">
          <cell r="U17884"/>
        </row>
        <row r="17885">
          <cell r="U17885"/>
        </row>
        <row r="17886">
          <cell r="U17886"/>
        </row>
        <row r="17887">
          <cell r="U17887"/>
        </row>
        <row r="17888">
          <cell r="U17888"/>
        </row>
        <row r="17889">
          <cell r="U17889"/>
        </row>
        <row r="17890">
          <cell r="U17890"/>
        </row>
        <row r="17891">
          <cell r="U17891"/>
        </row>
        <row r="17892">
          <cell r="U17892"/>
        </row>
        <row r="17893">
          <cell r="U17893"/>
        </row>
        <row r="17894">
          <cell r="U17894"/>
        </row>
        <row r="17895">
          <cell r="U17895"/>
        </row>
        <row r="17896">
          <cell r="U17896"/>
        </row>
        <row r="17897">
          <cell r="U17897"/>
        </row>
        <row r="17898">
          <cell r="U17898"/>
        </row>
        <row r="17899">
          <cell r="U17899"/>
        </row>
        <row r="17900">
          <cell r="U17900"/>
        </row>
        <row r="17901">
          <cell r="U17901"/>
        </row>
        <row r="17902">
          <cell r="U17902"/>
        </row>
        <row r="17903">
          <cell r="U17903"/>
        </row>
        <row r="17904">
          <cell r="U17904"/>
        </row>
        <row r="17905">
          <cell r="U17905"/>
        </row>
        <row r="17906">
          <cell r="U17906"/>
        </row>
        <row r="17907">
          <cell r="U17907"/>
        </row>
        <row r="17908">
          <cell r="U17908"/>
        </row>
        <row r="17909">
          <cell r="U17909"/>
        </row>
        <row r="17910">
          <cell r="U17910"/>
        </row>
        <row r="17911">
          <cell r="U17911"/>
        </row>
        <row r="17912">
          <cell r="U17912"/>
        </row>
        <row r="17913">
          <cell r="U17913"/>
        </row>
        <row r="17914">
          <cell r="U17914"/>
        </row>
        <row r="17915">
          <cell r="U17915"/>
        </row>
        <row r="17916">
          <cell r="U17916"/>
        </row>
        <row r="17917">
          <cell r="U17917"/>
        </row>
        <row r="17918">
          <cell r="U17918"/>
        </row>
        <row r="17919">
          <cell r="U17919"/>
        </row>
        <row r="17920">
          <cell r="U17920"/>
        </row>
        <row r="17921">
          <cell r="U17921"/>
        </row>
        <row r="17922">
          <cell r="U17922"/>
        </row>
        <row r="17923">
          <cell r="U17923"/>
        </row>
        <row r="17924">
          <cell r="U17924"/>
        </row>
        <row r="17925">
          <cell r="U17925"/>
        </row>
        <row r="17926">
          <cell r="U17926"/>
        </row>
        <row r="17927">
          <cell r="U17927"/>
        </row>
        <row r="17928">
          <cell r="U17928"/>
        </row>
        <row r="17929">
          <cell r="U17929"/>
        </row>
        <row r="17930">
          <cell r="U17930"/>
        </row>
        <row r="17931">
          <cell r="U17931"/>
        </row>
        <row r="17932">
          <cell r="U17932"/>
        </row>
        <row r="17933">
          <cell r="U17933"/>
        </row>
        <row r="17934">
          <cell r="U17934"/>
        </row>
        <row r="17935">
          <cell r="U17935"/>
        </row>
        <row r="17936">
          <cell r="U17936"/>
        </row>
        <row r="17937">
          <cell r="U17937"/>
        </row>
        <row r="17938">
          <cell r="U17938"/>
        </row>
        <row r="17939">
          <cell r="U17939"/>
        </row>
        <row r="17940">
          <cell r="U17940"/>
        </row>
        <row r="17941">
          <cell r="U17941"/>
        </row>
        <row r="17942">
          <cell r="U17942"/>
        </row>
        <row r="17943">
          <cell r="U17943"/>
        </row>
        <row r="17944">
          <cell r="U17944"/>
        </row>
        <row r="17945">
          <cell r="U17945"/>
        </row>
        <row r="17946">
          <cell r="U17946"/>
        </row>
        <row r="17947">
          <cell r="U17947"/>
        </row>
        <row r="17948">
          <cell r="U17948"/>
        </row>
        <row r="17949">
          <cell r="U17949"/>
        </row>
        <row r="17950">
          <cell r="U17950"/>
        </row>
        <row r="17951">
          <cell r="U17951"/>
        </row>
        <row r="17952">
          <cell r="U17952"/>
        </row>
        <row r="17953">
          <cell r="U17953"/>
        </row>
        <row r="17954">
          <cell r="U17954"/>
        </row>
        <row r="17955">
          <cell r="U17955"/>
        </row>
        <row r="17956">
          <cell r="U17956"/>
        </row>
        <row r="17957">
          <cell r="U17957"/>
        </row>
        <row r="17958">
          <cell r="U17958"/>
        </row>
        <row r="17959">
          <cell r="U17959"/>
        </row>
        <row r="17960">
          <cell r="U17960"/>
        </row>
        <row r="17961">
          <cell r="U17961"/>
        </row>
        <row r="17962">
          <cell r="U17962"/>
        </row>
        <row r="17963">
          <cell r="U17963"/>
        </row>
        <row r="17964">
          <cell r="U17964"/>
        </row>
        <row r="17965">
          <cell r="U17965"/>
        </row>
        <row r="17966">
          <cell r="U17966"/>
        </row>
        <row r="17967">
          <cell r="U17967"/>
        </row>
        <row r="17968">
          <cell r="U17968"/>
        </row>
        <row r="17969">
          <cell r="U17969"/>
        </row>
        <row r="17970">
          <cell r="U17970"/>
        </row>
        <row r="17971">
          <cell r="U17971"/>
        </row>
        <row r="17972">
          <cell r="U17972"/>
        </row>
        <row r="17973">
          <cell r="U17973"/>
        </row>
        <row r="17974">
          <cell r="U17974"/>
        </row>
        <row r="17975">
          <cell r="U17975"/>
        </row>
        <row r="17976">
          <cell r="U17976"/>
        </row>
        <row r="17977">
          <cell r="U17977"/>
        </row>
        <row r="17978">
          <cell r="U17978"/>
        </row>
        <row r="17979">
          <cell r="U17979"/>
        </row>
        <row r="17980">
          <cell r="U17980"/>
        </row>
        <row r="17981">
          <cell r="U17981"/>
        </row>
        <row r="17982">
          <cell r="U17982"/>
        </row>
        <row r="17983">
          <cell r="U17983"/>
        </row>
        <row r="17984">
          <cell r="U17984"/>
        </row>
        <row r="17985">
          <cell r="U17985"/>
        </row>
        <row r="17986">
          <cell r="U17986"/>
        </row>
        <row r="17987">
          <cell r="U17987"/>
        </row>
        <row r="17988">
          <cell r="U17988"/>
        </row>
        <row r="17989">
          <cell r="U17989"/>
        </row>
        <row r="17990">
          <cell r="U17990"/>
        </row>
        <row r="17991">
          <cell r="U17991"/>
        </row>
        <row r="17992">
          <cell r="U17992"/>
        </row>
        <row r="17993">
          <cell r="U17993"/>
        </row>
        <row r="17994">
          <cell r="U17994"/>
        </row>
        <row r="17995">
          <cell r="U17995"/>
        </row>
        <row r="17996">
          <cell r="U17996"/>
        </row>
        <row r="17997">
          <cell r="U17997"/>
        </row>
        <row r="17998">
          <cell r="U17998"/>
        </row>
        <row r="17999">
          <cell r="U17999"/>
        </row>
        <row r="18000">
          <cell r="U18000"/>
        </row>
        <row r="18001">
          <cell r="U18001"/>
        </row>
        <row r="18002">
          <cell r="U18002"/>
        </row>
        <row r="18003">
          <cell r="U18003"/>
        </row>
        <row r="18004">
          <cell r="U18004"/>
        </row>
        <row r="18005">
          <cell r="U18005"/>
        </row>
        <row r="18006">
          <cell r="U18006"/>
        </row>
        <row r="18007">
          <cell r="U18007"/>
        </row>
        <row r="18008">
          <cell r="U18008"/>
        </row>
        <row r="18009">
          <cell r="U18009"/>
        </row>
        <row r="18010">
          <cell r="U18010"/>
        </row>
        <row r="18011">
          <cell r="U18011"/>
        </row>
        <row r="18012">
          <cell r="U18012"/>
        </row>
        <row r="18013">
          <cell r="U18013"/>
        </row>
        <row r="18014">
          <cell r="U18014"/>
        </row>
        <row r="18015">
          <cell r="U18015"/>
        </row>
        <row r="18016">
          <cell r="U18016"/>
        </row>
        <row r="18017">
          <cell r="U18017"/>
        </row>
        <row r="18018">
          <cell r="U18018"/>
        </row>
        <row r="18019">
          <cell r="U18019"/>
        </row>
        <row r="18020">
          <cell r="U18020"/>
        </row>
        <row r="18021">
          <cell r="U18021"/>
        </row>
        <row r="18022">
          <cell r="U18022"/>
        </row>
        <row r="18023">
          <cell r="U18023"/>
        </row>
        <row r="18024">
          <cell r="U18024"/>
        </row>
        <row r="18025">
          <cell r="U18025"/>
        </row>
        <row r="18026">
          <cell r="U18026"/>
        </row>
        <row r="18027">
          <cell r="U18027"/>
        </row>
        <row r="18028">
          <cell r="U18028"/>
        </row>
        <row r="18029">
          <cell r="U18029"/>
        </row>
        <row r="18030">
          <cell r="U18030"/>
        </row>
        <row r="18031">
          <cell r="U18031"/>
        </row>
        <row r="18032">
          <cell r="U18032"/>
        </row>
        <row r="18033">
          <cell r="U18033"/>
        </row>
        <row r="18034">
          <cell r="U18034"/>
        </row>
        <row r="18035">
          <cell r="U18035"/>
        </row>
        <row r="18036">
          <cell r="U18036"/>
        </row>
        <row r="18037">
          <cell r="U18037"/>
        </row>
        <row r="18038">
          <cell r="U18038"/>
        </row>
        <row r="18039">
          <cell r="U18039"/>
        </row>
        <row r="18040">
          <cell r="U18040"/>
        </row>
        <row r="18041">
          <cell r="U18041"/>
        </row>
        <row r="18042">
          <cell r="U18042"/>
        </row>
        <row r="18043">
          <cell r="U18043"/>
        </row>
        <row r="18044">
          <cell r="U18044"/>
        </row>
        <row r="18045">
          <cell r="U18045"/>
        </row>
        <row r="18046">
          <cell r="U18046"/>
        </row>
        <row r="18047">
          <cell r="U18047"/>
        </row>
        <row r="18048">
          <cell r="U18048"/>
        </row>
        <row r="18049">
          <cell r="U18049"/>
        </row>
        <row r="18050">
          <cell r="U18050"/>
        </row>
        <row r="18051">
          <cell r="U18051"/>
        </row>
        <row r="18052">
          <cell r="U18052"/>
        </row>
        <row r="18053">
          <cell r="U18053"/>
        </row>
        <row r="18054">
          <cell r="U18054"/>
        </row>
        <row r="18055">
          <cell r="U18055"/>
        </row>
        <row r="18056">
          <cell r="U18056"/>
        </row>
        <row r="18057">
          <cell r="U18057"/>
        </row>
        <row r="18058">
          <cell r="U18058"/>
        </row>
        <row r="18059">
          <cell r="U18059"/>
        </row>
        <row r="18060">
          <cell r="U18060"/>
        </row>
        <row r="18061">
          <cell r="U18061"/>
        </row>
        <row r="18062">
          <cell r="U18062"/>
        </row>
        <row r="18063">
          <cell r="U18063"/>
        </row>
        <row r="18064">
          <cell r="U18064"/>
        </row>
        <row r="18065">
          <cell r="U18065"/>
        </row>
        <row r="18066">
          <cell r="U18066"/>
        </row>
        <row r="18067">
          <cell r="U18067"/>
        </row>
        <row r="18068">
          <cell r="U18068"/>
        </row>
        <row r="18069">
          <cell r="U18069"/>
        </row>
        <row r="18070">
          <cell r="U18070"/>
        </row>
        <row r="18071">
          <cell r="U18071"/>
        </row>
        <row r="18072">
          <cell r="U18072"/>
        </row>
        <row r="18073">
          <cell r="U18073"/>
        </row>
        <row r="18074">
          <cell r="U18074"/>
        </row>
        <row r="18075">
          <cell r="U18075"/>
        </row>
        <row r="18076">
          <cell r="U18076"/>
        </row>
        <row r="18077">
          <cell r="U18077"/>
        </row>
        <row r="18078">
          <cell r="U18078"/>
        </row>
        <row r="18079">
          <cell r="U18079"/>
        </row>
        <row r="18080">
          <cell r="U18080"/>
        </row>
        <row r="18081">
          <cell r="U18081"/>
        </row>
        <row r="18082">
          <cell r="U18082"/>
        </row>
        <row r="18083">
          <cell r="U18083"/>
        </row>
        <row r="18084">
          <cell r="U18084"/>
        </row>
        <row r="18085">
          <cell r="U18085"/>
        </row>
        <row r="18086">
          <cell r="U18086"/>
        </row>
        <row r="18087">
          <cell r="U18087"/>
        </row>
        <row r="18088">
          <cell r="U18088"/>
        </row>
        <row r="18089">
          <cell r="U18089"/>
        </row>
        <row r="18090">
          <cell r="U18090"/>
        </row>
        <row r="18091">
          <cell r="U18091"/>
        </row>
        <row r="18092">
          <cell r="U18092"/>
        </row>
        <row r="18093">
          <cell r="U18093"/>
        </row>
        <row r="18094">
          <cell r="U18094"/>
        </row>
        <row r="18095">
          <cell r="U18095"/>
        </row>
        <row r="18096">
          <cell r="U18096"/>
        </row>
        <row r="18097">
          <cell r="U18097"/>
        </row>
        <row r="18098">
          <cell r="U18098"/>
        </row>
        <row r="18099">
          <cell r="U18099"/>
        </row>
        <row r="18100">
          <cell r="U18100"/>
        </row>
        <row r="18101">
          <cell r="U18101"/>
        </row>
        <row r="18102">
          <cell r="U18102"/>
        </row>
        <row r="18103">
          <cell r="U18103"/>
        </row>
        <row r="18104">
          <cell r="U18104"/>
        </row>
        <row r="18105">
          <cell r="U18105"/>
        </row>
        <row r="18106">
          <cell r="U18106"/>
        </row>
        <row r="18107">
          <cell r="U18107"/>
        </row>
        <row r="18108">
          <cell r="U18108"/>
        </row>
        <row r="18109">
          <cell r="U18109"/>
        </row>
        <row r="18110">
          <cell r="U18110"/>
        </row>
        <row r="18111">
          <cell r="U18111"/>
        </row>
        <row r="18112">
          <cell r="U18112"/>
        </row>
        <row r="18113">
          <cell r="U18113"/>
        </row>
        <row r="18114">
          <cell r="U18114"/>
        </row>
        <row r="18115">
          <cell r="U18115"/>
        </row>
        <row r="18116">
          <cell r="U18116"/>
        </row>
        <row r="18117">
          <cell r="U18117"/>
        </row>
        <row r="18118">
          <cell r="U18118"/>
        </row>
        <row r="18119">
          <cell r="U18119"/>
        </row>
        <row r="18120">
          <cell r="U18120"/>
        </row>
        <row r="18121">
          <cell r="U18121"/>
        </row>
        <row r="18122">
          <cell r="U18122"/>
        </row>
        <row r="18123">
          <cell r="U18123"/>
        </row>
        <row r="18124">
          <cell r="U18124"/>
        </row>
        <row r="18125">
          <cell r="U18125"/>
        </row>
        <row r="18126">
          <cell r="U18126"/>
        </row>
        <row r="18127">
          <cell r="U18127"/>
        </row>
        <row r="18128">
          <cell r="U18128"/>
        </row>
        <row r="18129">
          <cell r="U18129"/>
        </row>
        <row r="18130">
          <cell r="U18130"/>
        </row>
        <row r="18131">
          <cell r="U18131"/>
        </row>
        <row r="18132">
          <cell r="U18132"/>
        </row>
        <row r="18133">
          <cell r="U18133"/>
        </row>
        <row r="18134">
          <cell r="U18134"/>
        </row>
        <row r="18135">
          <cell r="U18135"/>
        </row>
        <row r="18136">
          <cell r="U18136"/>
        </row>
        <row r="18137">
          <cell r="U18137"/>
        </row>
        <row r="18138">
          <cell r="U18138"/>
        </row>
        <row r="18139">
          <cell r="U18139"/>
        </row>
        <row r="18140">
          <cell r="U18140"/>
        </row>
        <row r="18141">
          <cell r="U18141"/>
        </row>
        <row r="18142">
          <cell r="U18142"/>
        </row>
        <row r="18143">
          <cell r="U18143"/>
        </row>
        <row r="18144">
          <cell r="U18144"/>
        </row>
        <row r="18145">
          <cell r="U18145"/>
        </row>
        <row r="18146">
          <cell r="U18146"/>
        </row>
        <row r="18147">
          <cell r="U18147"/>
        </row>
        <row r="18148">
          <cell r="U18148"/>
        </row>
        <row r="18149">
          <cell r="U18149"/>
        </row>
        <row r="18150">
          <cell r="U18150"/>
        </row>
        <row r="18151">
          <cell r="U18151"/>
        </row>
        <row r="18152">
          <cell r="U18152"/>
        </row>
        <row r="18153">
          <cell r="U18153"/>
        </row>
        <row r="18154">
          <cell r="U18154"/>
        </row>
        <row r="18155">
          <cell r="U18155"/>
        </row>
        <row r="18156">
          <cell r="U18156"/>
        </row>
        <row r="18157">
          <cell r="U18157"/>
        </row>
        <row r="18158">
          <cell r="U18158"/>
        </row>
        <row r="18159">
          <cell r="U18159"/>
        </row>
        <row r="18160">
          <cell r="U18160"/>
        </row>
        <row r="18161">
          <cell r="U18161"/>
        </row>
        <row r="18162">
          <cell r="U18162"/>
        </row>
        <row r="18163">
          <cell r="U18163"/>
        </row>
        <row r="18164">
          <cell r="U18164"/>
        </row>
        <row r="18165">
          <cell r="U18165"/>
        </row>
        <row r="18166">
          <cell r="U18166"/>
        </row>
        <row r="18167">
          <cell r="U18167"/>
        </row>
        <row r="18168">
          <cell r="U18168"/>
        </row>
        <row r="18169">
          <cell r="U18169"/>
        </row>
        <row r="18170">
          <cell r="U18170"/>
        </row>
        <row r="18171">
          <cell r="U18171"/>
        </row>
        <row r="18172">
          <cell r="U18172"/>
        </row>
        <row r="18173">
          <cell r="U18173"/>
        </row>
        <row r="18174">
          <cell r="U18174"/>
        </row>
        <row r="18175">
          <cell r="U18175"/>
        </row>
        <row r="18176">
          <cell r="U18176"/>
        </row>
        <row r="18177">
          <cell r="U18177"/>
        </row>
        <row r="18178">
          <cell r="U18178"/>
        </row>
        <row r="18179">
          <cell r="U18179"/>
        </row>
        <row r="18180">
          <cell r="U18180"/>
        </row>
        <row r="18181">
          <cell r="U18181"/>
        </row>
        <row r="18182">
          <cell r="U18182"/>
        </row>
        <row r="18183">
          <cell r="U18183"/>
        </row>
        <row r="18184">
          <cell r="U18184"/>
        </row>
        <row r="18185">
          <cell r="U18185"/>
        </row>
        <row r="18186">
          <cell r="U18186"/>
        </row>
        <row r="18187">
          <cell r="U18187"/>
        </row>
        <row r="18188">
          <cell r="U18188"/>
        </row>
        <row r="18189">
          <cell r="U18189"/>
        </row>
        <row r="18190">
          <cell r="U18190"/>
        </row>
        <row r="18191">
          <cell r="U18191"/>
        </row>
        <row r="18192">
          <cell r="U18192"/>
        </row>
        <row r="18193">
          <cell r="U18193"/>
        </row>
        <row r="18194">
          <cell r="U18194"/>
        </row>
        <row r="18195">
          <cell r="U18195"/>
        </row>
        <row r="18196">
          <cell r="U18196"/>
        </row>
        <row r="18197">
          <cell r="U18197"/>
        </row>
        <row r="18198">
          <cell r="U18198"/>
        </row>
        <row r="18199">
          <cell r="U18199"/>
        </row>
        <row r="18200">
          <cell r="U18200"/>
        </row>
        <row r="18201">
          <cell r="U18201"/>
        </row>
        <row r="18202">
          <cell r="U18202"/>
        </row>
        <row r="18203">
          <cell r="U18203"/>
        </row>
        <row r="18204">
          <cell r="U18204"/>
        </row>
        <row r="18205">
          <cell r="U18205"/>
        </row>
        <row r="18206">
          <cell r="U18206"/>
        </row>
        <row r="18207">
          <cell r="U18207"/>
        </row>
        <row r="18208">
          <cell r="U18208"/>
        </row>
        <row r="18209">
          <cell r="U18209"/>
        </row>
        <row r="18210">
          <cell r="U18210"/>
        </row>
        <row r="18211">
          <cell r="U18211"/>
        </row>
        <row r="18212">
          <cell r="U18212"/>
        </row>
        <row r="18213">
          <cell r="U18213"/>
        </row>
        <row r="18214">
          <cell r="U18214"/>
        </row>
        <row r="18215">
          <cell r="U18215"/>
        </row>
        <row r="18216">
          <cell r="U18216"/>
        </row>
        <row r="18217">
          <cell r="U18217"/>
        </row>
        <row r="18218">
          <cell r="U18218"/>
        </row>
        <row r="18219">
          <cell r="U18219"/>
        </row>
        <row r="18220">
          <cell r="U18220"/>
        </row>
        <row r="18221">
          <cell r="U18221"/>
        </row>
        <row r="18222">
          <cell r="U18222"/>
        </row>
        <row r="18223">
          <cell r="U18223"/>
        </row>
        <row r="18224">
          <cell r="U18224"/>
        </row>
        <row r="18225">
          <cell r="U18225"/>
        </row>
        <row r="18226">
          <cell r="U18226"/>
        </row>
        <row r="18227">
          <cell r="U18227"/>
        </row>
        <row r="18228">
          <cell r="U18228"/>
        </row>
        <row r="18229">
          <cell r="U18229"/>
        </row>
        <row r="18230">
          <cell r="U18230"/>
        </row>
        <row r="18231">
          <cell r="U18231"/>
        </row>
        <row r="18232">
          <cell r="U18232"/>
        </row>
        <row r="18233">
          <cell r="U18233"/>
        </row>
        <row r="18234">
          <cell r="U18234"/>
        </row>
        <row r="18235">
          <cell r="U18235"/>
        </row>
        <row r="18236">
          <cell r="U18236"/>
        </row>
        <row r="18237">
          <cell r="U18237"/>
        </row>
        <row r="18238">
          <cell r="U18238"/>
        </row>
        <row r="18239">
          <cell r="U18239"/>
        </row>
        <row r="18240">
          <cell r="U18240"/>
        </row>
        <row r="18241">
          <cell r="U18241"/>
        </row>
        <row r="18242">
          <cell r="U18242"/>
        </row>
        <row r="18243">
          <cell r="U18243"/>
        </row>
        <row r="18244">
          <cell r="U18244"/>
        </row>
        <row r="18245">
          <cell r="U18245"/>
        </row>
        <row r="18246">
          <cell r="U18246"/>
        </row>
        <row r="18247">
          <cell r="U18247"/>
        </row>
        <row r="18248">
          <cell r="U18248"/>
        </row>
        <row r="18249">
          <cell r="U18249"/>
        </row>
        <row r="18250">
          <cell r="U18250"/>
        </row>
        <row r="18251">
          <cell r="U18251"/>
        </row>
        <row r="18252">
          <cell r="U18252"/>
        </row>
        <row r="18253">
          <cell r="U18253"/>
        </row>
        <row r="18254">
          <cell r="U18254"/>
        </row>
        <row r="18255">
          <cell r="U18255"/>
        </row>
        <row r="18256">
          <cell r="U18256"/>
        </row>
        <row r="18257">
          <cell r="U18257"/>
        </row>
        <row r="18258">
          <cell r="U18258"/>
        </row>
        <row r="18259">
          <cell r="U18259"/>
        </row>
        <row r="18260">
          <cell r="U18260"/>
        </row>
        <row r="18261">
          <cell r="U18261"/>
        </row>
        <row r="18262">
          <cell r="U18262"/>
        </row>
        <row r="18263">
          <cell r="U18263"/>
        </row>
        <row r="18264">
          <cell r="U18264"/>
        </row>
        <row r="18265">
          <cell r="U18265"/>
        </row>
        <row r="18266">
          <cell r="U18266"/>
        </row>
        <row r="18267">
          <cell r="U18267"/>
        </row>
        <row r="18268">
          <cell r="U18268"/>
        </row>
        <row r="18269">
          <cell r="U18269"/>
        </row>
        <row r="18270">
          <cell r="U18270"/>
        </row>
        <row r="18271">
          <cell r="U18271"/>
        </row>
        <row r="18272">
          <cell r="U18272"/>
        </row>
        <row r="18273">
          <cell r="U18273"/>
        </row>
        <row r="18274">
          <cell r="U18274"/>
        </row>
        <row r="18275">
          <cell r="U18275"/>
        </row>
        <row r="18276">
          <cell r="U18276"/>
        </row>
        <row r="18277">
          <cell r="U18277"/>
        </row>
        <row r="18278">
          <cell r="U18278"/>
        </row>
        <row r="18279">
          <cell r="U18279"/>
        </row>
        <row r="18280">
          <cell r="U18280"/>
        </row>
        <row r="18281">
          <cell r="U18281"/>
        </row>
        <row r="18282">
          <cell r="U18282"/>
        </row>
        <row r="18283">
          <cell r="U18283"/>
        </row>
        <row r="18284">
          <cell r="U18284"/>
        </row>
        <row r="18285">
          <cell r="U18285"/>
        </row>
        <row r="18286">
          <cell r="U18286"/>
        </row>
        <row r="18287">
          <cell r="U18287"/>
        </row>
        <row r="18288">
          <cell r="U18288"/>
        </row>
        <row r="18289">
          <cell r="U18289"/>
        </row>
        <row r="18290">
          <cell r="U18290"/>
        </row>
        <row r="18291">
          <cell r="U18291"/>
        </row>
        <row r="18292">
          <cell r="U18292"/>
        </row>
        <row r="18293">
          <cell r="U18293"/>
        </row>
        <row r="18294">
          <cell r="U18294"/>
        </row>
        <row r="18295">
          <cell r="U18295"/>
        </row>
        <row r="18296">
          <cell r="U18296"/>
        </row>
        <row r="18297">
          <cell r="U18297"/>
        </row>
        <row r="18298">
          <cell r="U18298"/>
        </row>
        <row r="18299">
          <cell r="U18299"/>
        </row>
        <row r="18300">
          <cell r="U18300"/>
        </row>
        <row r="18301">
          <cell r="U18301"/>
        </row>
        <row r="18302">
          <cell r="U18302"/>
        </row>
        <row r="18303">
          <cell r="U18303"/>
        </row>
        <row r="18304">
          <cell r="U18304"/>
        </row>
        <row r="18305">
          <cell r="U18305"/>
        </row>
        <row r="18306">
          <cell r="U18306"/>
        </row>
        <row r="18307">
          <cell r="U18307"/>
        </row>
        <row r="18308">
          <cell r="U18308"/>
        </row>
        <row r="18309">
          <cell r="U18309"/>
        </row>
        <row r="18310">
          <cell r="U18310"/>
        </row>
        <row r="18311">
          <cell r="U18311"/>
        </row>
        <row r="18312">
          <cell r="U18312"/>
        </row>
        <row r="18313">
          <cell r="U18313"/>
        </row>
        <row r="18314">
          <cell r="U18314"/>
        </row>
        <row r="18315">
          <cell r="U18315"/>
        </row>
        <row r="18316">
          <cell r="U18316"/>
        </row>
        <row r="18317">
          <cell r="U18317"/>
        </row>
        <row r="18318">
          <cell r="U18318"/>
        </row>
        <row r="18319">
          <cell r="U18319"/>
        </row>
        <row r="18320">
          <cell r="U18320"/>
        </row>
        <row r="18321">
          <cell r="U18321"/>
        </row>
        <row r="18322">
          <cell r="U18322"/>
        </row>
        <row r="18323">
          <cell r="U18323"/>
        </row>
        <row r="18324">
          <cell r="U18324"/>
        </row>
        <row r="18325">
          <cell r="U18325"/>
        </row>
        <row r="18326">
          <cell r="U18326"/>
        </row>
        <row r="18327">
          <cell r="U18327"/>
        </row>
        <row r="18328">
          <cell r="U18328"/>
        </row>
        <row r="18329">
          <cell r="U18329"/>
        </row>
        <row r="18330">
          <cell r="U18330"/>
        </row>
        <row r="18331">
          <cell r="U18331"/>
        </row>
        <row r="18332">
          <cell r="U18332"/>
        </row>
        <row r="18333">
          <cell r="U18333"/>
        </row>
        <row r="18334">
          <cell r="U18334"/>
        </row>
        <row r="18335">
          <cell r="U18335"/>
        </row>
        <row r="18336">
          <cell r="U18336"/>
        </row>
        <row r="18337">
          <cell r="U18337"/>
        </row>
        <row r="18338">
          <cell r="U18338"/>
        </row>
        <row r="18339">
          <cell r="U18339"/>
        </row>
        <row r="18340">
          <cell r="U18340"/>
        </row>
        <row r="18341">
          <cell r="U18341"/>
        </row>
        <row r="18342">
          <cell r="U18342"/>
        </row>
        <row r="18343">
          <cell r="U18343"/>
        </row>
        <row r="18344">
          <cell r="U18344"/>
        </row>
        <row r="18345">
          <cell r="U18345"/>
        </row>
        <row r="18346">
          <cell r="U18346"/>
        </row>
        <row r="18347">
          <cell r="U18347"/>
        </row>
        <row r="18348">
          <cell r="U18348"/>
        </row>
        <row r="18349">
          <cell r="U18349"/>
        </row>
        <row r="18350">
          <cell r="U18350"/>
        </row>
        <row r="18351">
          <cell r="U18351"/>
        </row>
        <row r="18352">
          <cell r="U18352"/>
        </row>
        <row r="18353">
          <cell r="U18353"/>
        </row>
        <row r="18354">
          <cell r="U18354"/>
        </row>
        <row r="18355">
          <cell r="U18355"/>
        </row>
        <row r="18356">
          <cell r="U18356"/>
        </row>
        <row r="18357">
          <cell r="U18357"/>
        </row>
        <row r="18358">
          <cell r="U18358"/>
        </row>
        <row r="18359">
          <cell r="U18359"/>
        </row>
        <row r="18360">
          <cell r="U18360"/>
        </row>
        <row r="18361">
          <cell r="U18361"/>
        </row>
        <row r="18362">
          <cell r="U18362"/>
        </row>
        <row r="18363">
          <cell r="U18363"/>
        </row>
        <row r="18364">
          <cell r="U18364"/>
        </row>
        <row r="18365">
          <cell r="U18365"/>
        </row>
        <row r="18366">
          <cell r="U18366"/>
        </row>
        <row r="18367">
          <cell r="U18367"/>
        </row>
        <row r="18368">
          <cell r="U18368"/>
        </row>
        <row r="18369">
          <cell r="U18369"/>
        </row>
        <row r="18370">
          <cell r="U18370"/>
        </row>
        <row r="18371">
          <cell r="U18371"/>
        </row>
        <row r="18372">
          <cell r="U18372"/>
        </row>
        <row r="18373">
          <cell r="U18373"/>
        </row>
        <row r="18374">
          <cell r="U18374"/>
        </row>
        <row r="18375">
          <cell r="U18375"/>
        </row>
        <row r="18376">
          <cell r="U18376"/>
        </row>
        <row r="18377">
          <cell r="U18377"/>
        </row>
        <row r="18378">
          <cell r="U18378"/>
        </row>
        <row r="18379">
          <cell r="U18379"/>
        </row>
        <row r="18380">
          <cell r="U18380"/>
        </row>
        <row r="18381">
          <cell r="U18381"/>
        </row>
        <row r="18382">
          <cell r="U18382"/>
        </row>
        <row r="18383">
          <cell r="U18383"/>
        </row>
        <row r="18384">
          <cell r="U18384"/>
        </row>
        <row r="18385">
          <cell r="U18385"/>
        </row>
        <row r="18386">
          <cell r="U18386"/>
        </row>
        <row r="18387">
          <cell r="U18387"/>
        </row>
        <row r="18388">
          <cell r="U18388"/>
        </row>
        <row r="18389">
          <cell r="U18389"/>
        </row>
        <row r="18390">
          <cell r="U18390"/>
        </row>
        <row r="18391">
          <cell r="U18391"/>
        </row>
        <row r="18392">
          <cell r="U18392"/>
        </row>
        <row r="18393">
          <cell r="U18393"/>
        </row>
        <row r="18394">
          <cell r="U18394"/>
        </row>
        <row r="18395">
          <cell r="U18395"/>
        </row>
        <row r="18396">
          <cell r="U18396"/>
        </row>
        <row r="18397">
          <cell r="U18397"/>
        </row>
        <row r="18398">
          <cell r="U18398"/>
        </row>
        <row r="18399">
          <cell r="U18399"/>
        </row>
        <row r="18400">
          <cell r="U18400"/>
        </row>
        <row r="18401">
          <cell r="U18401"/>
        </row>
        <row r="18402">
          <cell r="U18402"/>
        </row>
        <row r="18403">
          <cell r="U18403"/>
        </row>
        <row r="18404">
          <cell r="U18404"/>
        </row>
        <row r="18405">
          <cell r="U18405"/>
        </row>
        <row r="18406">
          <cell r="U18406"/>
        </row>
        <row r="18407">
          <cell r="U18407"/>
        </row>
        <row r="18408">
          <cell r="U18408"/>
        </row>
        <row r="18409">
          <cell r="U18409"/>
        </row>
        <row r="18410">
          <cell r="U18410"/>
        </row>
        <row r="18411">
          <cell r="U18411"/>
        </row>
        <row r="18412">
          <cell r="U18412"/>
        </row>
        <row r="18413">
          <cell r="U18413"/>
        </row>
        <row r="18414">
          <cell r="U18414"/>
        </row>
        <row r="18415">
          <cell r="U18415"/>
        </row>
        <row r="18416">
          <cell r="U18416"/>
        </row>
        <row r="18417">
          <cell r="U18417"/>
        </row>
        <row r="18418">
          <cell r="U18418"/>
        </row>
        <row r="18419">
          <cell r="U18419"/>
        </row>
        <row r="18420">
          <cell r="U18420"/>
        </row>
        <row r="18421">
          <cell r="U18421"/>
        </row>
        <row r="18422">
          <cell r="U18422"/>
        </row>
        <row r="18423">
          <cell r="U18423"/>
        </row>
        <row r="18424">
          <cell r="U18424"/>
        </row>
        <row r="18425">
          <cell r="U18425"/>
        </row>
        <row r="18426">
          <cell r="U18426"/>
        </row>
        <row r="18427">
          <cell r="U18427"/>
        </row>
        <row r="18428">
          <cell r="U18428"/>
        </row>
        <row r="18429">
          <cell r="U18429"/>
        </row>
        <row r="18430">
          <cell r="U18430"/>
        </row>
        <row r="18431">
          <cell r="U18431"/>
        </row>
        <row r="18432">
          <cell r="U18432"/>
        </row>
        <row r="18433">
          <cell r="U18433"/>
        </row>
        <row r="18434">
          <cell r="U18434"/>
        </row>
        <row r="18435">
          <cell r="U18435"/>
        </row>
        <row r="18436">
          <cell r="U18436"/>
        </row>
        <row r="18437">
          <cell r="U18437"/>
        </row>
        <row r="18438">
          <cell r="U18438"/>
        </row>
        <row r="18439">
          <cell r="U18439"/>
        </row>
        <row r="18440">
          <cell r="U18440"/>
        </row>
        <row r="18441">
          <cell r="U18441"/>
        </row>
        <row r="18442">
          <cell r="U18442"/>
        </row>
        <row r="18443">
          <cell r="U18443"/>
        </row>
        <row r="18444">
          <cell r="U18444"/>
        </row>
        <row r="18445">
          <cell r="U18445"/>
        </row>
        <row r="18446">
          <cell r="U18446"/>
        </row>
        <row r="18447">
          <cell r="U18447"/>
        </row>
        <row r="18448">
          <cell r="U18448"/>
        </row>
        <row r="18449">
          <cell r="U18449"/>
        </row>
        <row r="18450">
          <cell r="U18450"/>
        </row>
        <row r="18451">
          <cell r="U18451"/>
        </row>
        <row r="18452">
          <cell r="U18452"/>
        </row>
        <row r="18453">
          <cell r="U18453"/>
        </row>
        <row r="18454">
          <cell r="U18454"/>
        </row>
        <row r="18455">
          <cell r="U18455"/>
        </row>
        <row r="18456">
          <cell r="U18456"/>
        </row>
        <row r="18457">
          <cell r="U18457"/>
        </row>
        <row r="18458">
          <cell r="U18458"/>
        </row>
        <row r="18459">
          <cell r="U18459"/>
        </row>
        <row r="18460">
          <cell r="U18460"/>
        </row>
        <row r="18461">
          <cell r="U18461"/>
        </row>
        <row r="18462">
          <cell r="U18462"/>
        </row>
        <row r="18463">
          <cell r="U18463"/>
        </row>
        <row r="18464">
          <cell r="U18464"/>
        </row>
        <row r="18465">
          <cell r="U18465"/>
        </row>
        <row r="18466">
          <cell r="U18466"/>
        </row>
        <row r="18467">
          <cell r="U18467"/>
        </row>
        <row r="18468">
          <cell r="U18468"/>
        </row>
        <row r="18469">
          <cell r="U18469"/>
        </row>
        <row r="18470">
          <cell r="U18470"/>
        </row>
        <row r="18471">
          <cell r="U18471"/>
        </row>
        <row r="18472">
          <cell r="U18472"/>
        </row>
        <row r="18473">
          <cell r="U18473"/>
        </row>
        <row r="18474">
          <cell r="U18474"/>
        </row>
        <row r="18475">
          <cell r="U18475"/>
        </row>
        <row r="18476">
          <cell r="U18476"/>
        </row>
        <row r="18477">
          <cell r="U18477"/>
        </row>
        <row r="18478">
          <cell r="U18478"/>
        </row>
        <row r="18479">
          <cell r="U18479"/>
        </row>
        <row r="18480">
          <cell r="U18480"/>
        </row>
        <row r="18481">
          <cell r="U18481"/>
        </row>
        <row r="18482">
          <cell r="U18482"/>
        </row>
        <row r="18483">
          <cell r="U18483"/>
        </row>
        <row r="18484">
          <cell r="U18484"/>
        </row>
        <row r="18485">
          <cell r="U18485"/>
        </row>
        <row r="18486">
          <cell r="U18486"/>
        </row>
        <row r="18487">
          <cell r="U18487"/>
        </row>
        <row r="18488">
          <cell r="U18488"/>
        </row>
        <row r="18489">
          <cell r="U18489"/>
        </row>
        <row r="18490">
          <cell r="U18490"/>
        </row>
        <row r="18491">
          <cell r="U18491"/>
        </row>
        <row r="18492">
          <cell r="U18492"/>
        </row>
        <row r="18493">
          <cell r="U18493"/>
        </row>
        <row r="18494">
          <cell r="U18494"/>
        </row>
        <row r="18495">
          <cell r="U18495"/>
        </row>
        <row r="18496">
          <cell r="U18496"/>
        </row>
        <row r="18497">
          <cell r="U18497"/>
        </row>
        <row r="18498">
          <cell r="U18498"/>
        </row>
        <row r="18499">
          <cell r="U18499"/>
        </row>
        <row r="18500">
          <cell r="U18500"/>
        </row>
        <row r="18501">
          <cell r="U18501"/>
        </row>
        <row r="18502">
          <cell r="U18502"/>
        </row>
        <row r="18503">
          <cell r="U18503"/>
        </row>
        <row r="18504">
          <cell r="U18504"/>
        </row>
        <row r="18505">
          <cell r="U18505"/>
        </row>
        <row r="18506">
          <cell r="U18506"/>
        </row>
        <row r="18507">
          <cell r="U18507"/>
        </row>
        <row r="18508">
          <cell r="U18508"/>
        </row>
        <row r="18509">
          <cell r="U18509"/>
        </row>
        <row r="18510">
          <cell r="U18510"/>
        </row>
        <row r="18511">
          <cell r="U18511"/>
        </row>
        <row r="18512">
          <cell r="U18512"/>
        </row>
        <row r="18513">
          <cell r="U18513"/>
        </row>
        <row r="18514">
          <cell r="U18514"/>
        </row>
        <row r="18515">
          <cell r="U18515"/>
        </row>
        <row r="18516">
          <cell r="U18516"/>
        </row>
        <row r="18517">
          <cell r="U18517"/>
        </row>
        <row r="18518">
          <cell r="U18518"/>
        </row>
        <row r="18519">
          <cell r="U18519"/>
        </row>
        <row r="18520">
          <cell r="U18520"/>
        </row>
        <row r="18521">
          <cell r="U18521"/>
        </row>
        <row r="18522">
          <cell r="U18522"/>
        </row>
        <row r="18523">
          <cell r="U18523"/>
        </row>
        <row r="18524">
          <cell r="U18524"/>
        </row>
        <row r="18525">
          <cell r="U18525"/>
        </row>
        <row r="18526">
          <cell r="U18526"/>
        </row>
        <row r="18527">
          <cell r="U18527"/>
        </row>
        <row r="18528">
          <cell r="U18528"/>
        </row>
        <row r="18529">
          <cell r="U18529"/>
        </row>
        <row r="18530">
          <cell r="U18530"/>
        </row>
        <row r="18531">
          <cell r="U18531"/>
        </row>
        <row r="18532">
          <cell r="U18532"/>
        </row>
        <row r="18533">
          <cell r="U18533"/>
        </row>
        <row r="18534">
          <cell r="U18534"/>
        </row>
        <row r="18535">
          <cell r="U18535"/>
        </row>
        <row r="18536">
          <cell r="U18536"/>
        </row>
        <row r="18537">
          <cell r="U18537"/>
        </row>
        <row r="18538">
          <cell r="U18538"/>
        </row>
        <row r="18539">
          <cell r="U18539"/>
        </row>
        <row r="18540">
          <cell r="U18540"/>
        </row>
        <row r="18541">
          <cell r="U18541"/>
        </row>
        <row r="18542">
          <cell r="U18542"/>
        </row>
        <row r="18543">
          <cell r="U18543"/>
        </row>
        <row r="18544">
          <cell r="U18544"/>
        </row>
        <row r="18545">
          <cell r="U18545"/>
        </row>
        <row r="18546">
          <cell r="U18546"/>
        </row>
        <row r="18547">
          <cell r="U18547"/>
        </row>
        <row r="18548">
          <cell r="U18548"/>
        </row>
        <row r="18549">
          <cell r="U18549"/>
        </row>
        <row r="18550">
          <cell r="U18550"/>
        </row>
        <row r="18551">
          <cell r="U18551"/>
        </row>
        <row r="18552">
          <cell r="U18552"/>
        </row>
        <row r="18553">
          <cell r="U18553"/>
        </row>
        <row r="18554">
          <cell r="U18554"/>
        </row>
        <row r="18555">
          <cell r="U18555"/>
        </row>
        <row r="18556">
          <cell r="U18556"/>
        </row>
        <row r="18557">
          <cell r="U18557"/>
        </row>
        <row r="18558">
          <cell r="U18558"/>
        </row>
        <row r="18559">
          <cell r="U18559"/>
        </row>
        <row r="18560">
          <cell r="U18560"/>
        </row>
        <row r="18561">
          <cell r="U18561"/>
        </row>
        <row r="18562">
          <cell r="U18562"/>
        </row>
        <row r="18563">
          <cell r="U18563"/>
        </row>
        <row r="18564">
          <cell r="U18564"/>
        </row>
        <row r="18565">
          <cell r="U18565"/>
        </row>
        <row r="18566">
          <cell r="U18566"/>
        </row>
        <row r="18567">
          <cell r="U18567"/>
        </row>
        <row r="18568">
          <cell r="U18568"/>
        </row>
        <row r="18569">
          <cell r="U18569"/>
        </row>
        <row r="18570">
          <cell r="U18570"/>
        </row>
        <row r="18571">
          <cell r="U18571"/>
        </row>
        <row r="18572">
          <cell r="U18572"/>
        </row>
        <row r="18573">
          <cell r="U18573"/>
        </row>
        <row r="18574">
          <cell r="U18574"/>
        </row>
        <row r="18575">
          <cell r="U18575"/>
        </row>
        <row r="18576">
          <cell r="U18576"/>
        </row>
        <row r="18577">
          <cell r="U18577"/>
        </row>
        <row r="18578">
          <cell r="U18578"/>
        </row>
        <row r="18579">
          <cell r="U18579"/>
        </row>
        <row r="18580">
          <cell r="U18580"/>
        </row>
        <row r="18581">
          <cell r="U18581"/>
        </row>
        <row r="18582">
          <cell r="U18582"/>
        </row>
        <row r="18583">
          <cell r="U18583"/>
        </row>
        <row r="18584">
          <cell r="U18584"/>
        </row>
        <row r="18585">
          <cell r="U18585"/>
        </row>
        <row r="18586">
          <cell r="U18586"/>
        </row>
        <row r="18587">
          <cell r="U18587"/>
        </row>
        <row r="18588">
          <cell r="U18588"/>
        </row>
        <row r="18589">
          <cell r="U18589"/>
        </row>
        <row r="18590">
          <cell r="U18590"/>
        </row>
        <row r="18591">
          <cell r="U18591"/>
        </row>
        <row r="18592">
          <cell r="U18592"/>
        </row>
        <row r="18593">
          <cell r="U18593"/>
        </row>
        <row r="18594">
          <cell r="U18594"/>
        </row>
        <row r="18595">
          <cell r="U18595"/>
        </row>
        <row r="18596">
          <cell r="U18596"/>
        </row>
        <row r="18597">
          <cell r="U18597"/>
        </row>
        <row r="18598">
          <cell r="U18598"/>
        </row>
        <row r="18599">
          <cell r="U18599"/>
        </row>
        <row r="18600">
          <cell r="U18600"/>
        </row>
        <row r="18601">
          <cell r="U18601"/>
        </row>
        <row r="18602">
          <cell r="U18602"/>
        </row>
        <row r="18603">
          <cell r="U18603"/>
        </row>
        <row r="18604">
          <cell r="U18604"/>
        </row>
        <row r="18605">
          <cell r="U18605"/>
        </row>
        <row r="18606">
          <cell r="U18606"/>
        </row>
        <row r="18607">
          <cell r="U18607"/>
        </row>
        <row r="18608">
          <cell r="U18608"/>
        </row>
        <row r="18609">
          <cell r="U18609"/>
        </row>
        <row r="18610">
          <cell r="U18610"/>
        </row>
        <row r="18611">
          <cell r="U18611"/>
        </row>
        <row r="18612">
          <cell r="U18612"/>
        </row>
        <row r="18613">
          <cell r="U18613"/>
        </row>
        <row r="18614">
          <cell r="U18614"/>
        </row>
        <row r="18615">
          <cell r="U18615"/>
        </row>
        <row r="18616">
          <cell r="U18616"/>
        </row>
        <row r="18617">
          <cell r="U18617"/>
        </row>
        <row r="18618">
          <cell r="U18618"/>
        </row>
        <row r="18619">
          <cell r="U18619"/>
        </row>
        <row r="18620">
          <cell r="U18620"/>
        </row>
        <row r="18621">
          <cell r="U18621"/>
        </row>
        <row r="18622">
          <cell r="U18622"/>
        </row>
        <row r="18623">
          <cell r="U18623"/>
        </row>
        <row r="18624">
          <cell r="U18624"/>
        </row>
        <row r="18625">
          <cell r="U18625"/>
        </row>
        <row r="18626">
          <cell r="U18626"/>
        </row>
        <row r="18627">
          <cell r="U18627"/>
        </row>
        <row r="18628">
          <cell r="U18628"/>
        </row>
        <row r="18629">
          <cell r="U18629"/>
        </row>
        <row r="18630">
          <cell r="U18630"/>
        </row>
        <row r="18631">
          <cell r="U18631"/>
        </row>
        <row r="18632">
          <cell r="U18632"/>
        </row>
        <row r="18633">
          <cell r="U18633"/>
        </row>
        <row r="18634">
          <cell r="U18634"/>
        </row>
        <row r="18635">
          <cell r="U18635"/>
        </row>
        <row r="18636">
          <cell r="U18636"/>
        </row>
        <row r="18637">
          <cell r="U18637"/>
        </row>
        <row r="18638">
          <cell r="U18638"/>
        </row>
        <row r="18639">
          <cell r="U18639"/>
        </row>
        <row r="18640">
          <cell r="U18640"/>
        </row>
        <row r="18641">
          <cell r="U18641"/>
        </row>
        <row r="18642">
          <cell r="U18642"/>
        </row>
        <row r="18643">
          <cell r="U18643"/>
        </row>
        <row r="18644">
          <cell r="U18644"/>
        </row>
        <row r="18645">
          <cell r="U18645"/>
        </row>
        <row r="18646">
          <cell r="U18646"/>
        </row>
        <row r="18647">
          <cell r="U18647"/>
        </row>
        <row r="18648">
          <cell r="U18648"/>
        </row>
        <row r="18649">
          <cell r="U18649"/>
        </row>
        <row r="18650">
          <cell r="U18650"/>
        </row>
        <row r="18651">
          <cell r="U18651"/>
        </row>
        <row r="18652">
          <cell r="U18652"/>
        </row>
        <row r="18653">
          <cell r="U18653"/>
        </row>
        <row r="18654">
          <cell r="U18654"/>
        </row>
        <row r="18655">
          <cell r="U18655"/>
        </row>
        <row r="18656">
          <cell r="U18656"/>
        </row>
        <row r="18657">
          <cell r="U18657"/>
        </row>
        <row r="18658">
          <cell r="U18658"/>
        </row>
        <row r="18659">
          <cell r="U18659"/>
        </row>
        <row r="18660">
          <cell r="U18660"/>
        </row>
        <row r="18661">
          <cell r="U18661"/>
        </row>
        <row r="18662">
          <cell r="U18662"/>
        </row>
        <row r="18663">
          <cell r="U18663"/>
        </row>
        <row r="18664">
          <cell r="U18664"/>
        </row>
        <row r="18665">
          <cell r="U18665"/>
        </row>
        <row r="18666">
          <cell r="U18666"/>
        </row>
        <row r="18667">
          <cell r="U18667"/>
        </row>
        <row r="18668">
          <cell r="U18668"/>
        </row>
        <row r="18669">
          <cell r="U18669"/>
        </row>
        <row r="18670">
          <cell r="U18670"/>
        </row>
        <row r="18671">
          <cell r="U18671"/>
        </row>
        <row r="18672">
          <cell r="U18672"/>
        </row>
        <row r="18673">
          <cell r="U18673"/>
        </row>
        <row r="18674">
          <cell r="U18674"/>
        </row>
        <row r="18675">
          <cell r="U18675"/>
        </row>
        <row r="18676">
          <cell r="U18676"/>
        </row>
        <row r="18677">
          <cell r="U18677"/>
        </row>
        <row r="18678">
          <cell r="U18678"/>
        </row>
        <row r="18679">
          <cell r="U18679"/>
        </row>
        <row r="18680">
          <cell r="U18680"/>
        </row>
        <row r="18681">
          <cell r="U18681"/>
        </row>
        <row r="18682">
          <cell r="U18682"/>
        </row>
        <row r="18683">
          <cell r="U18683"/>
        </row>
        <row r="18684">
          <cell r="U18684"/>
        </row>
        <row r="18685">
          <cell r="U18685"/>
        </row>
        <row r="18686">
          <cell r="U18686"/>
        </row>
        <row r="18687">
          <cell r="U18687"/>
        </row>
        <row r="18688">
          <cell r="U18688"/>
        </row>
        <row r="18689">
          <cell r="U18689"/>
        </row>
        <row r="18690">
          <cell r="U18690"/>
        </row>
        <row r="18691">
          <cell r="U18691"/>
        </row>
        <row r="18692">
          <cell r="U18692"/>
        </row>
        <row r="18693">
          <cell r="U18693"/>
        </row>
        <row r="18694">
          <cell r="U18694"/>
        </row>
        <row r="18695">
          <cell r="U18695"/>
        </row>
        <row r="18696">
          <cell r="U18696"/>
        </row>
        <row r="18697">
          <cell r="U18697"/>
        </row>
        <row r="18698">
          <cell r="U18698"/>
        </row>
        <row r="18699">
          <cell r="U18699"/>
        </row>
        <row r="18700">
          <cell r="U18700"/>
        </row>
        <row r="18701">
          <cell r="U18701"/>
        </row>
        <row r="18702">
          <cell r="U18702"/>
        </row>
        <row r="18703">
          <cell r="U18703"/>
        </row>
        <row r="18704">
          <cell r="U18704"/>
        </row>
        <row r="18705">
          <cell r="U18705"/>
        </row>
        <row r="18706">
          <cell r="U18706"/>
        </row>
        <row r="18707">
          <cell r="U18707"/>
        </row>
        <row r="18708">
          <cell r="U18708"/>
        </row>
        <row r="18709">
          <cell r="U18709"/>
        </row>
        <row r="18710">
          <cell r="U18710"/>
        </row>
        <row r="18711">
          <cell r="U18711"/>
        </row>
        <row r="18712">
          <cell r="U18712"/>
        </row>
        <row r="18713">
          <cell r="U18713"/>
        </row>
        <row r="18714">
          <cell r="U18714"/>
        </row>
        <row r="18715">
          <cell r="U18715"/>
        </row>
        <row r="18716">
          <cell r="U18716"/>
        </row>
        <row r="18717">
          <cell r="U18717"/>
        </row>
        <row r="18718">
          <cell r="U18718"/>
        </row>
        <row r="18719">
          <cell r="U18719"/>
        </row>
        <row r="18720">
          <cell r="U18720"/>
        </row>
        <row r="18721">
          <cell r="U18721"/>
        </row>
        <row r="18722">
          <cell r="U18722"/>
        </row>
        <row r="18723">
          <cell r="U18723"/>
        </row>
        <row r="18724">
          <cell r="U18724"/>
        </row>
        <row r="18725">
          <cell r="U18725"/>
        </row>
        <row r="18726">
          <cell r="U18726"/>
        </row>
        <row r="18727">
          <cell r="U18727"/>
        </row>
        <row r="18728">
          <cell r="U18728"/>
        </row>
        <row r="18729">
          <cell r="U18729"/>
        </row>
        <row r="18730">
          <cell r="U18730"/>
        </row>
        <row r="18731">
          <cell r="U18731"/>
        </row>
        <row r="18732">
          <cell r="U18732"/>
        </row>
        <row r="18733">
          <cell r="U18733"/>
        </row>
        <row r="18734">
          <cell r="U18734"/>
        </row>
        <row r="18735">
          <cell r="U18735"/>
        </row>
        <row r="18736">
          <cell r="U18736"/>
        </row>
        <row r="18737">
          <cell r="U18737"/>
        </row>
        <row r="18738">
          <cell r="U18738"/>
        </row>
        <row r="18739">
          <cell r="U18739"/>
        </row>
        <row r="18740">
          <cell r="U18740"/>
        </row>
        <row r="18741">
          <cell r="U18741"/>
        </row>
        <row r="18742">
          <cell r="U18742"/>
        </row>
        <row r="18743">
          <cell r="U18743"/>
        </row>
        <row r="18744">
          <cell r="U18744"/>
        </row>
        <row r="18745">
          <cell r="U18745"/>
        </row>
        <row r="18746">
          <cell r="U18746"/>
        </row>
        <row r="18747">
          <cell r="U18747"/>
        </row>
        <row r="18748">
          <cell r="U18748"/>
        </row>
        <row r="18749">
          <cell r="U18749"/>
        </row>
        <row r="18750">
          <cell r="U18750"/>
        </row>
        <row r="18751">
          <cell r="U18751"/>
        </row>
        <row r="18752">
          <cell r="U18752"/>
        </row>
        <row r="18753">
          <cell r="U18753"/>
        </row>
        <row r="18754">
          <cell r="U18754"/>
        </row>
        <row r="18755">
          <cell r="U18755"/>
        </row>
        <row r="18756">
          <cell r="U18756"/>
        </row>
        <row r="18757">
          <cell r="U18757"/>
        </row>
        <row r="18758">
          <cell r="U18758"/>
        </row>
        <row r="18759">
          <cell r="U18759"/>
        </row>
        <row r="18760">
          <cell r="U18760"/>
        </row>
        <row r="18761">
          <cell r="U18761"/>
        </row>
        <row r="18762">
          <cell r="U18762"/>
        </row>
        <row r="18763">
          <cell r="U18763"/>
        </row>
        <row r="18764">
          <cell r="U18764"/>
        </row>
        <row r="18765">
          <cell r="U18765"/>
        </row>
        <row r="18766">
          <cell r="U18766"/>
        </row>
        <row r="18767">
          <cell r="U18767"/>
        </row>
        <row r="18768">
          <cell r="U18768"/>
        </row>
        <row r="18769">
          <cell r="U18769"/>
        </row>
        <row r="18770">
          <cell r="U18770"/>
        </row>
        <row r="18771">
          <cell r="U18771"/>
        </row>
        <row r="18772">
          <cell r="U18772"/>
        </row>
        <row r="18773">
          <cell r="U18773"/>
        </row>
        <row r="18774">
          <cell r="U18774"/>
        </row>
        <row r="18775">
          <cell r="U18775"/>
        </row>
        <row r="18776">
          <cell r="U18776"/>
        </row>
        <row r="18777">
          <cell r="U18777"/>
        </row>
        <row r="18778">
          <cell r="U18778"/>
        </row>
        <row r="18779">
          <cell r="U18779"/>
        </row>
        <row r="18780">
          <cell r="U18780"/>
        </row>
        <row r="18781">
          <cell r="U18781"/>
        </row>
        <row r="18782">
          <cell r="U18782"/>
        </row>
        <row r="18783">
          <cell r="U18783"/>
        </row>
        <row r="18784">
          <cell r="U18784"/>
        </row>
        <row r="18785">
          <cell r="U18785"/>
        </row>
        <row r="18786">
          <cell r="U18786"/>
        </row>
        <row r="18787">
          <cell r="U18787"/>
        </row>
        <row r="18788">
          <cell r="U18788"/>
        </row>
        <row r="18789">
          <cell r="U18789"/>
        </row>
        <row r="18790">
          <cell r="U18790"/>
        </row>
        <row r="18791">
          <cell r="U18791"/>
        </row>
        <row r="18792">
          <cell r="U18792"/>
        </row>
        <row r="18793">
          <cell r="U18793"/>
        </row>
        <row r="18794">
          <cell r="U18794"/>
        </row>
        <row r="18795">
          <cell r="U18795"/>
        </row>
        <row r="18796">
          <cell r="U18796"/>
        </row>
        <row r="18797">
          <cell r="U18797"/>
        </row>
        <row r="18798">
          <cell r="U18798"/>
        </row>
        <row r="18799">
          <cell r="U18799"/>
        </row>
        <row r="18800">
          <cell r="U18800"/>
        </row>
        <row r="18801">
          <cell r="U18801"/>
        </row>
        <row r="18802">
          <cell r="U18802"/>
        </row>
        <row r="18803">
          <cell r="U18803"/>
        </row>
        <row r="18804">
          <cell r="U18804"/>
        </row>
        <row r="18805">
          <cell r="U18805"/>
        </row>
        <row r="18806">
          <cell r="U18806"/>
        </row>
        <row r="18807">
          <cell r="U18807"/>
        </row>
        <row r="18808">
          <cell r="U18808"/>
        </row>
        <row r="18809">
          <cell r="U18809"/>
        </row>
        <row r="18810">
          <cell r="U18810"/>
        </row>
        <row r="18811">
          <cell r="U18811"/>
        </row>
        <row r="18812">
          <cell r="U18812"/>
        </row>
        <row r="18813">
          <cell r="U18813"/>
        </row>
        <row r="18814">
          <cell r="U18814"/>
        </row>
        <row r="18815">
          <cell r="U18815"/>
        </row>
        <row r="18816">
          <cell r="U18816"/>
        </row>
        <row r="18817">
          <cell r="U18817"/>
        </row>
        <row r="18818">
          <cell r="U18818"/>
        </row>
        <row r="18819">
          <cell r="U18819"/>
        </row>
        <row r="18820">
          <cell r="U18820"/>
        </row>
        <row r="18821">
          <cell r="U18821"/>
        </row>
        <row r="18822">
          <cell r="U18822"/>
        </row>
        <row r="18823">
          <cell r="U18823"/>
        </row>
        <row r="18824">
          <cell r="U18824"/>
        </row>
        <row r="18825">
          <cell r="U18825"/>
        </row>
        <row r="18826">
          <cell r="U18826"/>
        </row>
        <row r="18827">
          <cell r="U18827"/>
        </row>
        <row r="18828">
          <cell r="U18828"/>
        </row>
        <row r="18829">
          <cell r="U18829"/>
        </row>
        <row r="18830">
          <cell r="U18830"/>
        </row>
        <row r="18831">
          <cell r="U18831"/>
        </row>
        <row r="18832">
          <cell r="U18832"/>
        </row>
        <row r="18833">
          <cell r="U18833"/>
        </row>
        <row r="18834">
          <cell r="U18834"/>
        </row>
        <row r="18835">
          <cell r="U18835"/>
        </row>
        <row r="18836">
          <cell r="U18836"/>
        </row>
        <row r="18837">
          <cell r="U18837"/>
        </row>
        <row r="18838">
          <cell r="U18838"/>
        </row>
        <row r="18839">
          <cell r="U18839"/>
        </row>
        <row r="18840">
          <cell r="U18840"/>
        </row>
        <row r="18841">
          <cell r="U18841"/>
        </row>
        <row r="18842">
          <cell r="U18842"/>
        </row>
        <row r="18843">
          <cell r="U18843"/>
        </row>
        <row r="18844">
          <cell r="U18844"/>
        </row>
        <row r="18845">
          <cell r="U18845"/>
        </row>
        <row r="18846">
          <cell r="U18846"/>
        </row>
        <row r="18847">
          <cell r="U18847"/>
        </row>
        <row r="18848">
          <cell r="U18848"/>
        </row>
        <row r="18849">
          <cell r="U18849"/>
        </row>
        <row r="18850">
          <cell r="U18850"/>
        </row>
        <row r="18851">
          <cell r="U18851"/>
        </row>
        <row r="18852">
          <cell r="U18852"/>
        </row>
        <row r="18853">
          <cell r="U18853"/>
        </row>
        <row r="18854">
          <cell r="U18854"/>
        </row>
        <row r="18855">
          <cell r="U18855"/>
        </row>
        <row r="18856">
          <cell r="U18856"/>
        </row>
        <row r="18857">
          <cell r="U18857"/>
        </row>
        <row r="18858">
          <cell r="U18858"/>
        </row>
        <row r="18859">
          <cell r="U18859"/>
        </row>
        <row r="18860">
          <cell r="U18860"/>
        </row>
        <row r="18861">
          <cell r="U18861"/>
        </row>
        <row r="18862">
          <cell r="U18862"/>
        </row>
        <row r="18863">
          <cell r="U18863"/>
        </row>
        <row r="18864">
          <cell r="U18864"/>
        </row>
        <row r="18865">
          <cell r="U18865"/>
        </row>
        <row r="18866">
          <cell r="U18866"/>
        </row>
        <row r="18867">
          <cell r="U18867"/>
        </row>
        <row r="18868">
          <cell r="U18868"/>
        </row>
        <row r="18869">
          <cell r="U18869"/>
        </row>
        <row r="18870">
          <cell r="U18870"/>
        </row>
        <row r="18871">
          <cell r="U18871"/>
        </row>
        <row r="18872">
          <cell r="U18872"/>
        </row>
        <row r="18873">
          <cell r="U18873"/>
        </row>
        <row r="18874">
          <cell r="U18874"/>
        </row>
        <row r="18875">
          <cell r="U18875"/>
        </row>
        <row r="18876">
          <cell r="U18876"/>
        </row>
        <row r="18877">
          <cell r="U18877"/>
        </row>
        <row r="18878">
          <cell r="U18878"/>
        </row>
        <row r="18879">
          <cell r="U18879"/>
        </row>
        <row r="18880">
          <cell r="U18880"/>
        </row>
        <row r="18881">
          <cell r="U18881"/>
        </row>
        <row r="18882">
          <cell r="U18882"/>
        </row>
        <row r="18883">
          <cell r="U18883"/>
        </row>
        <row r="18884">
          <cell r="U18884"/>
        </row>
        <row r="18885">
          <cell r="U18885"/>
        </row>
        <row r="18886">
          <cell r="U18886"/>
        </row>
        <row r="18887">
          <cell r="U18887"/>
        </row>
        <row r="18888">
          <cell r="U18888"/>
        </row>
        <row r="18889">
          <cell r="U18889"/>
        </row>
        <row r="18890">
          <cell r="U18890"/>
        </row>
        <row r="18891">
          <cell r="U18891"/>
        </row>
        <row r="18892">
          <cell r="U18892"/>
        </row>
        <row r="18893">
          <cell r="U18893"/>
        </row>
        <row r="18894">
          <cell r="U18894"/>
        </row>
        <row r="18895">
          <cell r="U18895"/>
        </row>
        <row r="18896">
          <cell r="U18896"/>
        </row>
        <row r="18897">
          <cell r="U18897"/>
        </row>
        <row r="18898">
          <cell r="U18898"/>
        </row>
        <row r="18899">
          <cell r="U18899"/>
        </row>
        <row r="18900">
          <cell r="U18900"/>
        </row>
        <row r="18901">
          <cell r="U18901"/>
        </row>
        <row r="18902">
          <cell r="U18902"/>
        </row>
        <row r="18903">
          <cell r="U18903"/>
        </row>
        <row r="18904">
          <cell r="U18904"/>
        </row>
        <row r="18905">
          <cell r="U18905"/>
        </row>
        <row r="18906">
          <cell r="U18906"/>
        </row>
        <row r="18907">
          <cell r="U18907"/>
        </row>
        <row r="18908">
          <cell r="U18908"/>
        </row>
        <row r="18909">
          <cell r="U18909"/>
        </row>
        <row r="18910">
          <cell r="U18910"/>
        </row>
        <row r="18911">
          <cell r="U18911"/>
        </row>
        <row r="18912">
          <cell r="U18912"/>
        </row>
        <row r="18913">
          <cell r="U18913"/>
        </row>
        <row r="18914">
          <cell r="U18914"/>
        </row>
        <row r="18915">
          <cell r="U18915"/>
        </row>
        <row r="18916">
          <cell r="U18916"/>
        </row>
        <row r="18917">
          <cell r="U18917"/>
        </row>
        <row r="18918">
          <cell r="U18918"/>
        </row>
        <row r="18919">
          <cell r="U18919"/>
        </row>
        <row r="18920">
          <cell r="U18920"/>
        </row>
        <row r="18921">
          <cell r="U18921"/>
        </row>
        <row r="18922">
          <cell r="U18922"/>
        </row>
        <row r="18923">
          <cell r="U18923"/>
        </row>
        <row r="18924">
          <cell r="U18924"/>
        </row>
        <row r="18925">
          <cell r="U18925"/>
        </row>
        <row r="18926">
          <cell r="U18926"/>
        </row>
        <row r="18927">
          <cell r="U18927"/>
        </row>
        <row r="18928">
          <cell r="U18928"/>
        </row>
        <row r="18929">
          <cell r="U18929"/>
        </row>
        <row r="18930">
          <cell r="U18930"/>
        </row>
        <row r="18931">
          <cell r="U18931"/>
        </row>
        <row r="18932">
          <cell r="U18932"/>
        </row>
        <row r="18933">
          <cell r="U18933"/>
        </row>
        <row r="18934">
          <cell r="U18934"/>
        </row>
        <row r="18935">
          <cell r="U18935"/>
        </row>
        <row r="18936">
          <cell r="U18936"/>
        </row>
        <row r="18937">
          <cell r="U18937"/>
        </row>
        <row r="18938">
          <cell r="U18938"/>
        </row>
        <row r="18939">
          <cell r="U18939"/>
        </row>
        <row r="18940">
          <cell r="U18940"/>
        </row>
        <row r="18941">
          <cell r="U18941"/>
        </row>
        <row r="18942">
          <cell r="U18942"/>
        </row>
        <row r="18943">
          <cell r="U18943"/>
        </row>
        <row r="18944">
          <cell r="U18944"/>
        </row>
        <row r="18945">
          <cell r="U18945"/>
        </row>
        <row r="18946">
          <cell r="U18946"/>
        </row>
        <row r="18947">
          <cell r="U18947"/>
        </row>
        <row r="18948">
          <cell r="U18948"/>
        </row>
        <row r="18949">
          <cell r="U18949"/>
        </row>
        <row r="18950">
          <cell r="U18950"/>
        </row>
        <row r="18951">
          <cell r="U18951"/>
        </row>
        <row r="18952">
          <cell r="U18952"/>
        </row>
        <row r="18953">
          <cell r="U18953"/>
        </row>
        <row r="18954">
          <cell r="U18954"/>
        </row>
        <row r="18955">
          <cell r="U18955"/>
        </row>
        <row r="18956">
          <cell r="U18956"/>
        </row>
        <row r="18957">
          <cell r="U18957"/>
        </row>
        <row r="18958">
          <cell r="U18958"/>
        </row>
        <row r="18959">
          <cell r="U18959"/>
        </row>
        <row r="18960">
          <cell r="U18960"/>
        </row>
        <row r="18961">
          <cell r="U18961"/>
        </row>
        <row r="18962">
          <cell r="U18962"/>
        </row>
        <row r="18963">
          <cell r="U18963"/>
        </row>
        <row r="18964">
          <cell r="U18964"/>
        </row>
        <row r="18965">
          <cell r="U18965"/>
        </row>
        <row r="18966">
          <cell r="U18966"/>
        </row>
        <row r="18967">
          <cell r="U18967"/>
        </row>
        <row r="18968">
          <cell r="U18968"/>
        </row>
        <row r="18969">
          <cell r="U18969"/>
        </row>
        <row r="18970">
          <cell r="U18970"/>
        </row>
        <row r="18971">
          <cell r="U18971"/>
        </row>
        <row r="18972">
          <cell r="U18972"/>
        </row>
        <row r="18973">
          <cell r="U18973"/>
        </row>
        <row r="18974">
          <cell r="U18974"/>
        </row>
        <row r="18975">
          <cell r="U18975"/>
        </row>
        <row r="18976">
          <cell r="U18976"/>
        </row>
        <row r="18977">
          <cell r="U18977"/>
        </row>
        <row r="18978">
          <cell r="U18978"/>
        </row>
        <row r="18979">
          <cell r="U18979"/>
        </row>
        <row r="18980">
          <cell r="U18980"/>
        </row>
        <row r="18981">
          <cell r="U18981"/>
        </row>
        <row r="18982">
          <cell r="U18982"/>
        </row>
        <row r="18983">
          <cell r="U18983"/>
        </row>
        <row r="18984">
          <cell r="U18984"/>
        </row>
        <row r="18985">
          <cell r="U18985"/>
        </row>
        <row r="18986">
          <cell r="U18986"/>
        </row>
        <row r="18987">
          <cell r="U18987"/>
        </row>
        <row r="18988">
          <cell r="U18988"/>
        </row>
        <row r="18989">
          <cell r="U18989"/>
        </row>
        <row r="18990">
          <cell r="U18990"/>
        </row>
        <row r="18991">
          <cell r="U18991"/>
        </row>
        <row r="18992">
          <cell r="U18992"/>
        </row>
        <row r="18993">
          <cell r="U18993"/>
        </row>
        <row r="18994">
          <cell r="U18994"/>
        </row>
        <row r="18995">
          <cell r="U18995"/>
        </row>
        <row r="18996">
          <cell r="U18996"/>
        </row>
        <row r="18997">
          <cell r="U18997"/>
        </row>
        <row r="18998">
          <cell r="U18998"/>
        </row>
        <row r="18999">
          <cell r="U18999"/>
        </row>
        <row r="19000">
          <cell r="U19000"/>
        </row>
        <row r="19001">
          <cell r="U19001"/>
        </row>
        <row r="19002">
          <cell r="U19002"/>
        </row>
        <row r="19003">
          <cell r="U19003"/>
        </row>
        <row r="19004">
          <cell r="U19004"/>
        </row>
        <row r="19005">
          <cell r="U19005"/>
        </row>
        <row r="19006">
          <cell r="U19006"/>
        </row>
        <row r="19007">
          <cell r="U19007"/>
        </row>
        <row r="19008">
          <cell r="U19008"/>
        </row>
        <row r="19009">
          <cell r="U19009"/>
        </row>
        <row r="19010">
          <cell r="U19010"/>
        </row>
        <row r="19011">
          <cell r="U19011"/>
        </row>
        <row r="19012">
          <cell r="U19012"/>
        </row>
        <row r="19013">
          <cell r="U19013"/>
        </row>
        <row r="19014">
          <cell r="U19014"/>
        </row>
        <row r="19015">
          <cell r="U19015"/>
        </row>
        <row r="19016">
          <cell r="U19016"/>
        </row>
        <row r="19017">
          <cell r="U19017"/>
        </row>
        <row r="19018">
          <cell r="U19018"/>
        </row>
        <row r="19019">
          <cell r="U19019"/>
        </row>
        <row r="19020">
          <cell r="U19020"/>
        </row>
        <row r="19021">
          <cell r="U19021"/>
        </row>
        <row r="19022">
          <cell r="U19022"/>
        </row>
        <row r="19023">
          <cell r="U19023"/>
        </row>
        <row r="19024">
          <cell r="U19024"/>
        </row>
        <row r="19025">
          <cell r="U19025"/>
        </row>
        <row r="19026">
          <cell r="U19026"/>
        </row>
        <row r="19027">
          <cell r="U19027"/>
        </row>
        <row r="19028">
          <cell r="U19028"/>
        </row>
        <row r="19029">
          <cell r="U19029"/>
        </row>
        <row r="19030">
          <cell r="U19030"/>
        </row>
        <row r="19031">
          <cell r="U19031"/>
        </row>
        <row r="19032">
          <cell r="U19032"/>
        </row>
        <row r="19033">
          <cell r="U19033"/>
        </row>
        <row r="19034">
          <cell r="U19034"/>
        </row>
        <row r="19035">
          <cell r="U19035"/>
        </row>
        <row r="19036">
          <cell r="U19036"/>
        </row>
        <row r="19037">
          <cell r="U19037"/>
        </row>
        <row r="19038">
          <cell r="U19038"/>
        </row>
        <row r="19039">
          <cell r="U19039"/>
        </row>
        <row r="19040">
          <cell r="U19040"/>
        </row>
        <row r="19041">
          <cell r="U19041"/>
        </row>
        <row r="19042">
          <cell r="U19042"/>
        </row>
        <row r="19043">
          <cell r="U19043"/>
        </row>
        <row r="19044">
          <cell r="U19044"/>
        </row>
        <row r="19045">
          <cell r="U19045"/>
        </row>
        <row r="19046">
          <cell r="U19046"/>
        </row>
        <row r="19047">
          <cell r="U19047"/>
        </row>
        <row r="19048">
          <cell r="U19048"/>
        </row>
        <row r="19049">
          <cell r="U19049"/>
        </row>
        <row r="19050">
          <cell r="U19050"/>
        </row>
        <row r="19051">
          <cell r="U19051"/>
        </row>
        <row r="19052">
          <cell r="U19052"/>
        </row>
        <row r="19053">
          <cell r="U19053"/>
        </row>
        <row r="19054">
          <cell r="U19054"/>
        </row>
        <row r="19055">
          <cell r="U19055"/>
        </row>
        <row r="19056">
          <cell r="U19056"/>
        </row>
        <row r="19057">
          <cell r="U19057"/>
        </row>
        <row r="19058">
          <cell r="U19058"/>
        </row>
        <row r="19059">
          <cell r="U19059"/>
        </row>
        <row r="19060">
          <cell r="U19060"/>
        </row>
        <row r="19061">
          <cell r="U19061"/>
        </row>
        <row r="19062">
          <cell r="U19062"/>
        </row>
        <row r="19063">
          <cell r="U19063"/>
        </row>
        <row r="19064">
          <cell r="U19064"/>
        </row>
        <row r="19065">
          <cell r="U19065"/>
        </row>
        <row r="19066">
          <cell r="U19066"/>
        </row>
        <row r="19067">
          <cell r="U19067"/>
        </row>
        <row r="19068">
          <cell r="U19068"/>
        </row>
        <row r="19069">
          <cell r="U19069"/>
        </row>
        <row r="19070">
          <cell r="U19070"/>
        </row>
        <row r="19071">
          <cell r="U19071"/>
        </row>
        <row r="19072">
          <cell r="U19072"/>
        </row>
        <row r="19073">
          <cell r="U19073"/>
        </row>
        <row r="19074">
          <cell r="U19074"/>
        </row>
        <row r="19075">
          <cell r="U19075"/>
        </row>
        <row r="19076">
          <cell r="U19076"/>
        </row>
        <row r="19077">
          <cell r="U19077"/>
        </row>
        <row r="19078">
          <cell r="U19078"/>
        </row>
        <row r="19079">
          <cell r="U19079"/>
        </row>
        <row r="19080">
          <cell r="U19080"/>
        </row>
        <row r="19081">
          <cell r="U19081"/>
        </row>
        <row r="19082">
          <cell r="U19082"/>
        </row>
        <row r="19083">
          <cell r="U19083"/>
        </row>
        <row r="19084">
          <cell r="U19084"/>
        </row>
        <row r="19085">
          <cell r="U19085"/>
        </row>
        <row r="19086">
          <cell r="U19086"/>
        </row>
        <row r="19087">
          <cell r="U19087"/>
        </row>
        <row r="19088">
          <cell r="U19088"/>
        </row>
        <row r="19089">
          <cell r="U19089"/>
        </row>
        <row r="19090">
          <cell r="U19090"/>
        </row>
        <row r="19091">
          <cell r="U19091"/>
        </row>
        <row r="19092">
          <cell r="U19092"/>
        </row>
        <row r="19093">
          <cell r="U19093"/>
        </row>
        <row r="19094">
          <cell r="U19094"/>
        </row>
        <row r="19095">
          <cell r="U19095"/>
        </row>
        <row r="19096">
          <cell r="U19096"/>
        </row>
        <row r="19097">
          <cell r="U19097"/>
        </row>
        <row r="19098">
          <cell r="U19098"/>
        </row>
        <row r="19099">
          <cell r="U19099"/>
        </row>
        <row r="19100">
          <cell r="U19100"/>
        </row>
        <row r="19101">
          <cell r="U19101"/>
        </row>
        <row r="19102">
          <cell r="U19102"/>
        </row>
        <row r="19103">
          <cell r="U19103"/>
        </row>
        <row r="19104">
          <cell r="U19104"/>
        </row>
        <row r="19105">
          <cell r="U19105"/>
        </row>
        <row r="19106">
          <cell r="U19106"/>
        </row>
        <row r="19107">
          <cell r="U19107"/>
        </row>
        <row r="19108">
          <cell r="U19108"/>
        </row>
        <row r="19109">
          <cell r="U19109"/>
        </row>
        <row r="19110">
          <cell r="U19110"/>
        </row>
        <row r="19111">
          <cell r="U19111"/>
        </row>
        <row r="19112">
          <cell r="U19112"/>
        </row>
        <row r="19113">
          <cell r="U19113"/>
        </row>
        <row r="19114">
          <cell r="U19114"/>
        </row>
        <row r="19115">
          <cell r="U19115"/>
        </row>
        <row r="19116">
          <cell r="U19116"/>
        </row>
        <row r="19117">
          <cell r="U19117"/>
        </row>
        <row r="19118">
          <cell r="U19118"/>
        </row>
        <row r="19119">
          <cell r="U19119"/>
        </row>
        <row r="19120">
          <cell r="U19120"/>
        </row>
        <row r="19121">
          <cell r="U19121"/>
        </row>
        <row r="19122">
          <cell r="U19122"/>
        </row>
        <row r="19123">
          <cell r="U19123"/>
        </row>
        <row r="19124">
          <cell r="U19124"/>
        </row>
        <row r="19125">
          <cell r="U19125"/>
        </row>
        <row r="19126">
          <cell r="U19126"/>
        </row>
        <row r="19127">
          <cell r="U19127"/>
        </row>
        <row r="19128">
          <cell r="U19128"/>
        </row>
        <row r="19129">
          <cell r="U19129"/>
        </row>
        <row r="19130">
          <cell r="U19130"/>
        </row>
        <row r="19131">
          <cell r="U19131"/>
        </row>
        <row r="19132">
          <cell r="U19132"/>
        </row>
        <row r="19133">
          <cell r="U19133"/>
        </row>
        <row r="19134">
          <cell r="U19134"/>
        </row>
        <row r="19135">
          <cell r="U19135"/>
        </row>
        <row r="19136">
          <cell r="U19136"/>
        </row>
        <row r="19137">
          <cell r="U19137"/>
        </row>
        <row r="19138">
          <cell r="U19138"/>
        </row>
        <row r="19139">
          <cell r="U19139"/>
        </row>
        <row r="19140">
          <cell r="U19140"/>
        </row>
        <row r="19141">
          <cell r="U19141"/>
        </row>
        <row r="19142">
          <cell r="U19142"/>
        </row>
        <row r="19143">
          <cell r="U19143"/>
        </row>
        <row r="19144">
          <cell r="U19144"/>
        </row>
        <row r="19145">
          <cell r="U19145"/>
        </row>
        <row r="19146">
          <cell r="U19146"/>
        </row>
        <row r="19147">
          <cell r="U19147"/>
        </row>
        <row r="19148">
          <cell r="U19148"/>
        </row>
        <row r="19149">
          <cell r="U19149"/>
        </row>
        <row r="19150">
          <cell r="U19150"/>
        </row>
        <row r="19151">
          <cell r="U19151"/>
        </row>
        <row r="19152">
          <cell r="U19152"/>
        </row>
        <row r="19153">
          <cell r="U19153"/>
        </row>
        <row r="19154">
          <cell r="U19154"/>
        </row>
        <row r="19155">
          <cell r="U19155"/>
        </row>
        <row r="19156">
          <cell r="U19156"/>
        </row>
        <row r="19157">
          <cell r="U19157"/>
        </row>
        <row r="19158">
          <cell r="U19158"/>
        </row>
        <row r="19159">
          <cell r="U19159"/>
        </row>
        <row r="19160">
          <cell r="U19160"/>
        </row>
        <row r="19161">
          <cell r="U19161"/>
        </row>
        <row r="19162">
          <cell r="U19162"/>
        </row>
        <row r="19163">
          <cell r="U19163"/>
        </row>
        <row r="19164">
          <cell r="U19164"/>
        </row>
        <row r="19165">
          <cell r="U19165"/>
        </row>
        <row r="19166">
          <cell r="U19166"/>
        </row>
        <row r="19167">
          <cell r="U19167"/>
        </row>
        <row r="19168">
          <cell r="U19168"/>
        </row>
        <row r="19169">
          <cell r="U19169"/>
        </row>
        <row r="19170">
          <cell r="U19170"/>
        </row>
        <row r="19171">
          <cell r="U19171"/>
        </row>
        <row r="19172">
          <cell r="U19172"/>
        </row>
        <row r="19173">
          <cell r="U19173"/>
        </row>
        <row r="19174">
          <cell r="U19174"/>
        </row>
        <row r="19175">
          <cell r="U19175"/>
        </row>
        <row r="19176">
          <cell r="U19176"/>
        </row>
        <row r="19177">
          <cell r="U19177"/>
        </row>
        <row r="19178">
          <cell r="U19178"/>
        </row>
        <row r="19179">
          <cell r="U19179"/>
        </row>
        <row r="19180">
          <cell r="U19180"/>
        </row>
        <row r="19181">
          <cell r="U19181"/>
        </row>
        <row r="19182">
          <cell r="U19182"/>
        </row>
        <row r="19183">
          <cell r="U19183"/>
        </row>
        <row r="19184">
          <cell r="U19184"/>
        </row>
        <row r="19185">
          <cell r="U19185"/>
        </row>
        <row r="19186">
          <cell r="U19186"/>
        </row>
        <row r="19187">
          <cell r="U19187"/>
        </row>
        <row r="19188">
          <cell r="U19188"/>
        </row>
        <row r="19189">
          <cell r="U19189"/>
        </row>
        <row r="19190">
          <cell r="U19190"/>
        </row>
        <row r="19191">
          <cell r="U19191"/>
        </row>
        <row r="19192">
          <cell r="U19192"/>
        </row>
        <row r="19193">
          <cell r="U19193"/>
        </row>
        <row r="19194">
          <cell r="U19194"/>
        </row>
        <row r="19195">
          <cell r="U19195"/>
        </row>
        <row r="19196">
          <cell r="U19196"/>
        </row>
        <row r="19197">
          <cell r="U19197"/>
        </row>
        <row r="19198">
          <cell r="U19198"/>
        </row>
        <row r="19199">
          <cell r="U19199"/>
        </row>
        <row r="19200">
          <cell r="U19200"/>
        </row>
        <row r="19201">
          <cell r="U19201"/>
        </row>
        <row r="19202">
          <cell r="U19202"/>
        </row>
        <row r="19203">
          <cell r="U19203"/>
        </row>
        <row r="19204">
          <cell r="U19204"/>
        </row>
        <row r="19205">
          <cell r="U19205"/>
        </row>
        <row r="19206">
          <cell r="U19206"/>
        </row>
        <row r="19207">
          <cell r="U19207"/>
        </row>
        <row r="19208">
          <cell r="U19208"/>
        </row>
        <row r="19209">
          <cell r="U19209"/>
        </row>
        <row r="19210">
          <cell r="U19210"/>
        </row>
        <row r="19211">
          <cell r="U19211"/>
        </row>
        <row r="19212">
          <cell r="U19212"/>
        </row>
        <row r="19213">
          <cell r="U19213"/>
        </row>
        <row r="19214">
          <cell r="U19214"/>
        </row>
        <row r="19215">
          <cell r="U19215"/>
        </row>
        <row r="19216">
          <cell r="U19216"/>
        </row>
        <row r="19217">
          <cell r="U19217"/>
        </row>
        <row r="19218">
          <cell r="U19218"/>
        </row>
        <row r="19219">
          <cell r="U19219"/>
        </row>
        <row r="19220">
          <cell r="U19220"/>
        </row>
        <row r="19221">
          <cell r="U19221"/>
        </row>
        <row r="19222">
          <cell r="U19222"/>
        </row>
        <row r="19223">
          <cell r="U19223"/>
        </row>
        <row r="19224">
          <cell r="U19224"/>
        </row>
        <row r="19225">
          <cell r="U19225"/>
        </row>
        <row r="19226">
          <cell r="U19226"/>
        </row>
        <row r="19227">
          <cell r="U19227"/>
        </row>
        <row r="19228">
          <cell r="U19228"/>
        </row>
        <row r="19229">
          <cell r="U19229"/>
        </row>
        <row r="19230">
          <cell r="U19230"/>
        </row>
        <row r="19231">
          <cell r="U19231"/>
        </row>
        <row r="19232">
          <cell r="U19232"/>
        </row>
        <row r="19233">
          <cell r="U19233"/>
        </row>
        <row r="19234">
          <cell r="U19234"/>
        </row>
        <row r="19235">
          <cell r="U19235"/>
        </row>
        <row r="19236">
          <cell r="U19236"/>
        </row>
        <row r="19237">
          <cell r="U19237"/>
        </row>
        <row r="19238">
          <cell r="U19238"/>
        </row>
        <row r="19239">
          <cell r="U19239"/>
        </row>
        <row r="19240">
          <cell r="U19240"/>
        </row>
        <row r="19241">
          <cell r="U19241"/>
        </row>
        <row r="19242">
          <cell r="U19242"/>
        </row>
        <row r="19243">
          <cell r="U19243"/>
        </row>
        <row r="19244">
          <cell r="U19244"/>
        </row>
        <row r="19245">
          <cell r="U19245"/>
        </row>
        <row r="19246">
          <cell r="U19246"/>
        </row>
        <row r="19247">
          <cell r="U19247"/>
        </row>
        <row r="19248">
          <cell r="U19248"/>
        </row>
        <row r="19249">
          <cell r="U19249"/>
        </row>
        <row r="19250">
          <cell r="U19250"/>
        </row>
        <row r="19251">
          <cell r="U19251"/>
        </row>
        <row r="19252">
          <cell r="U19252"/>
        </row>
        <row r="19253">
          <cell r="U19253"/>
        </row>
        <row r="19254">
          <cell r="U19254"/>
        </row>
        <row r="19255">
          <cell r="U19255"/>
        </row>
        <row r="19256">
          <cell r="U19256"/>
        </row>
        <row r="19257">
          <cell r="U19257"/>
        </row>
        <row r="19258">
          <cell r="U19258"/>
        </row>
        <row r="19259">
          <cell r="U19259"/>
        </row>
        <row r="19260">
          <cell r="U19260"/>
        </row>
        <row r="19261">
          <cell r="U19261"/>
        </row>
        <row r="19262">
          <cell r="U19262"/>
        </row>
        <row r="19263">
          <cell r="U19263"/>
        </row>
        <row r="19264">
          <cell r="U19264"/>
        </row>
        <row r="19265">
          <cell r="U19265"/>
        </row>
        <row r="19266">
          <cell r="U19266"/>
        </row>
        <row r="19267">
          <cell r="U19267"/>
        </row>
        <row r="19268">
          <cell r="U19268"/>
        </row>
        <row r="19269">
          <cell r="U19269"/>
        </row>
        <row r="19270">
          <cell r="U19270"/>
        </row>
        <row r="19271">
          <cell r="U19271"/>
        </row>
        <row r="19272">
          <cell r="U19272"/>
        </row>
        <row r="19273">
          <cell r="U19273"/>
        </row>
        <row r="19274">
          <cell r="U19274"/>
        </row>
        <row r="19275">
          <cell r="U19275"/>
        </row>
        <row r="19276">
          <cell r="U19276"/>
        </row>
        <row r="19277">
          <cell r="U19277"/>
        </row>
        <row r="19278">
          <cell r="U19278"/>
        </row>
        <row r="19279">
          <cell r="U19279"/>
        </row>
        <row r="19280">
          <cell r="U19280"/>
        </row>
        <row r="19281">
          <cell r="U19281"/>
        </row>
        <row r="19282">
          <cell r="U19282"/>
        </row>
        <row r="19283">
          <cell r="U19283"/>
        </row>
        <row r="19284">
          <cell r="U19284"/>
        </row>
        <row r="19285">
          <cell r="U19285"/>
        </row>
        <row r="19286">
          <cell r="U19286"/>
        </row>
        <row r="19287">
          <cell r="U19287"/>
        </row>
        <row r="19288">
          <cell r="U19288"/>
        </row>
        <row r="19289">
          <cell r="U19289"/>
        </row>
        <row r="19290">
          <cell r="U19290"/>
        </row>
        <row r="19291">
          <cell r="U19291"/>
        </row>
        <row r="19292">
          <cell r="U19292"/>
        </row>
        <row r="19293">
          <cell r="U19293"/>
        </row>
        <row r="19294">
          <cell r="U19294"/>
        </row>
        <row r="19295">
          <cell r="U19295"/>
        </row>
        <row r="19296">
          <cell r="U19296"/>
        </row>
        <row r="19297">
          <cell r="U19297"/>
        </row>
        <row r="19298">
          <cell r="U19298"/>
        </row>
        <row r="19299">
          <cell r="U19299"/>
        </row>
        <row r="19300">
          <cell r="U19300"/>
        </row>
        <row r="19301">
          <cell r="U19301"/>
        </row>
        <row r="19302">
          <cell r="U19302"/>
        </row>
        <row r="19303">
          <cell r="U19303"/>
        </row>
        <row r="19304">
          <cell r="U19304"/>
        </row>
        <row r="19305">
          <cell r="U19305"/>
        </row>
        <row r="19306">
          <cell r="U19306"/>
        </row>
        <row r="19307">
          <cell r="U19307"/>
        </row>
        <row r="19308">
          <cell r="U19308"/>
        </row>
        <row r="19309">
          <cell r="U19309"/>
        </row>
        <row r="19310">
          <cell r="U19310"/>
        </row>
        <row r="19311">
          <cell r="U19311"/>
        </row>
        <row r="19312">
          <cell r="U19312"/>
        </row>
        <row r="19313">
          <cell r="U19313"/>
        </row>
        <row r="19314">
          <cell r="U19314"/>
        </row>
        <row r="19315">
          <cell r="U19315"/>
        </row>
        <row r="19316">
          <cell r="U19316"/>
        </row>
        <row r="19317">
          <cell r="U19317"/>
        </row>
        <row r="19318">
          <cell r="U19318"/>
        </row>
        <row r="19319">
          <cell r="U19319"/>
        </row>
        <row r="19320">
          <cell r="U19320"/>
        </row>
        <row r="19321">
          <cell r="U19321"/>
        </row>
        <row r="19322">
          <cell r="U19322"/>
        </row>
        <row r="19323">
          <cell r="U19323"/>
        </row>
        <row r="19324">
          <cell r="U19324"/>
        </row>
        <row r="19325">
          <cell r="U19325"/>
        </row>
        <row r="19326">
          <cell r="U19326"/>
        </row>
        <row r="19327">
          <cell r="U19327"/>
        </row>
        <row r="19328">
          <cell r="U19328"/>
        </row>
        <row r="19329">
          <cell r="U19329"/>
        </row>
        <row r="19330">
          <cell r="U19330"/>
        </row>
        <row r="19331">
          <cell r="U19331"/>
        </row>
        <row r="19332">
          <cell r="U19332"/>
        </row>
        <row r="19333">
          <cell r="U19333"/>
        </row>
        <row r="19334">
          <cell r="U19334"/>
        </row>
        <row r="19335">
          <cell r="U19335"/>
        </row>
        <row r="19336">
          <cell r="U19336"/>
        </row>
        <row r="19337">
          <cell r="U19337"/>
        </row>
        <row r="19338">
          <cell r="U19338"/>
        </row>
        <row r="19339">
          <cell r="U19339"/>
        </row>
        <row r="19340">
          <cell r="U19340"/>
        </row>
        <row r="19341">
          <cell r="U19341"/>
        </row>
        <row r="19342">
          <cell r="U19342"/>
        </row>
        <row r="19343">
          <cell r="U19343"/>
        </row>
        <row r="19344">
          <cell r="U19344"/>
        </row>
        <row r="19345">
          <cell r="U19345"/>
        </row>
        <row r="19346">
          <cell r="U19346"/>
        </row>
        <row r="19347">
          <cell r="U19347"/>
        </row>
        <row r="19348">
          <cell r="U19348"/>
        </row>
        <row r="19349">
          <cell r="U19349"/>
        </row>
        <row r="19350">
          <cell r="U19350"/>
        </row>
        <row r="19351">
          <cell r="U19351"/>
        </row>
        <row r="19352">
          <cell r="U19352"/>
        </row>
        <row r="19353">
          <cell r="U19353"/>
        </row>
        <row r="19354">
          <cell r="U19354"/>
        </row>
        <row r="19355">
          <cell r="U19355"/>
        </row>
        <row r="19356">
          <cell r="U19356"/>
        </row>
        <row r="19357">
          <cell r="U19357"/>
        </row>
        <row r="19358">
          <cell r="U19358"/>
        </row>
        <row r="19359">
          <cell r="U19359"/>
        </row>
        <row r="19360">
          <cell r="U19360"/>
        </row>
        <row r="19361">
          <cell r="U19361"/>
        </row>
        <row r="19362">
          <cell r="U19362"/>
        </row>
        <row r="19363">
          <cell r="U19363"/>
        </row>
        <row r="19364">
          <cell r="U19364"/>
        </row>
        <row r="19365">
          <cell r="U19365"/>
        </row>
        <row r="19366">
          <cell r="U19366"/>
        </row>
        <row r="19367">
          <cell r="U19367"/>
        </row>
        <row r="19368">
          <cell r="U19368"/>
        </row>
        <row r="19369">
          <cell r="U19369"/>
        </row>
        <row r="19370">
          <cell r="U19370"/>
        </row>
        <row r="19371">
          <cell r="U19371"/>
        </row>
        <row r="19372">
          <cell r="U19372"/>
        </row>
        <row r="19373">
          <cell r="U19373"/>
        </row>
        <row r="19374">
          <cell r="U19374"/>
        </row>
        <row r="19375">
          <cell r="U19375"/>
        </row>
        <row r="19376">
          <cell r="U19376"/>
        </row>
        <row r="19377">
          <cell r="U19377"/>
        </row>
        <row r="19378">
          <cell r="U19378"/>
        </row>
        <row r="19379">
          <cell r="U19379"/>
        </row>
        <row r="19380">
          <cell r="U19380"/>
        </row>
        <row r="19381">
          <cell r="U19381"/>
        </row>
        <row r="19382">
          <cell r="U19382"/>
        </row>
        <row r="19383">
          <cell r="U19383"/>
        </row>
        <row r="19384">
          <cell r="U19384"/>
        </row>
        <row r="19385">
          <cell r="U19385"/>
        </row>
        <row r="19386">
          <cell r="U19386"/>
        </row>
        <row r="19387">
          <cell r="U19387"/>
        </row>
        <row r="19388">
          <cell r="U19388"/>
        </row>
        <row r="19389">
          <cell r="U19389"/>
        </row>
        <row r="19390">
          <cell r="U19390"/>
        </row>
        <row r="19391">
          <cell r="U19391"/>
        </row>
        <row r="19392">
          <cell r="U19392"/>
        </row>
        <row r="19393">
          <cell r="U19393"/>
        </row>
        <row r="19394">
          <cell r="U19394"/>
        </row>
        <row r="19395">
          <cell r="U19395"/>
        </row>
        <row r="19396">
          <cell r="U19396"/>
        </row>
        <row r="19397">
          <cell r="U19397"/>
        </row>
        <row r="19398">
          <cell r="U19398"/>
        </row>
        <row r="19399">
          <cell r="U19399"/>
        </row>
        <row r="19400">
          <cell r="U19400"/>
        </row>
        <row r="19401">
          <cell r="U19401"/>
        </row>
        <row r="19402">
          <cell r="U19402"/>
        </row>
        <row r="19403">
          <cell r="U19403"/>
        </row>
        <row r="19404">
          <cell r="U19404"/>
        </row>
        <row r="19405">
          <cell r="U19405"/>
        </row>
        <row r="19406">
          <cell r="U19406"/>
        </row>
        <row r="19407">
          <cell r="U19407"/>
        </row>
        <row r="19408">
          <cell r="U19408"/>
        </row>
        <row r="19409">
          <cell r="U19409"/>
        </row>
        <row r="19410">
          <cell r="U19410"/>
        </row>
        <row r="19411">
          <cell r="U19411"/>
        </row>
        <row r="19412">
          <cell r="U19412"/>
        </row>
        <row r="19413">
          <cell r="U19413"/>
        </row>
        <row r="19414">
          <cell r="U19414"/>
        </row>
        <row r="19415">
          <cell r="U19415"/>
        </row>
        <row r="19416">
          <cell r="U19416"/>
        </row>
        <row r="19417">
          <cell r="U19417"/>
        </row>
        <row r="19418">
          <cell r="U19418"/>
        </row>
        <row r="19419">
          <cell r="U19419"/>
        </row>
        <row r="19420">
          <cell r="U19420"/>
        </row>
        <row r="19421">
          <cell r="U19421"/>
        </row>
        <row r="19422">
          <cell r="U19422"/>
        </row>
        <row r="19423">
          <cell r="U19423"/>
        </row>
        <row r="19424">
          <cell r="U19424"/>
        </row>
        <row r="19425">
          <cell r="U19425"/>
        </row>
        <row r="19426">
          <cell r="U19426"/>
        </row>
        <row r="19427">
          <cell r="U19427"/>
        </row>
        <row r="19428">
          <cell r="U19428"/>
        </row>
        <row r="19429">
          <cell r="U19429"/>
        </row>
        <row r="19430">
          <cell r="U19430"/>
        </row>
        <row r="19431">
          <cell r="U19431"/>
        </row>
        <row r="19432">
          <cell r="U19432"/>
        </row>
        <row r="19433">
          <cell r="U19433"/>
        </row>
        <row r="19434">
          <cell r="U19434"/>
        </row>
        <row r="19435">
          <cell r="U19435"/>
        </row>
        <row r="19436">
          <cell r="U19436"/>
        </row>
        <row r="19437">
          <cell r="U19437"/>
        </row>
        <row r="19438">
          <cell r="U19438"/>
        </row>
        <row r="19439">
          <cell r="U19439"/>
        </row>
        <row r="19440">
          <cell r="U19440"/>
        </row>
        <row r="19441">
          <cell r="U19441"/>
        </row>
        <row r="19442">
          <cell r="U19442"/>
        </row>
        <row r="19443">
          <cell r="U19443"/>
        </row>
        <row r="19444">
          <cell r="U19444"/>
        </row>
        <row r="19445">
          <cell r="U19445"/>
        </row>
        <row r="19446">
          <cell r="U19446"/>
        </row>
        <row r="19447">
          <cell r="U19447"/>
        </row>
        <row r="19448">
          <cell r="U19448"/>
        </row>
        <row r="19449">
          <cell r="U19449"/>
        </row>
        <row r="19450">
          <cell r="U19450"/>
        </row>
        <row r="19451">
          <cell r="U19451"/>
        </row>
        <row r="19452">
          <cell r="U19452"/>
        </row>
        <row r="19453">
          <cell r="U19453"/>
        </row>
        <row r="19454">
          <cell r="U19454"/>
        </row>
        <row r="19455">
          <cell r="U19455"/>
        </row>
        <row r="19456">
          <cell r="U19456"/>
        </row>
        <row r="19457">
          <cell r="U19457"/>
        </row>
        <row r="19458">
          <cell r="U19458"/>
        </row>
        <row r="19459">
          <cell r="U19459"/>
        </row>
        <row r="19460">
          <cell r="U19460"/>
        </row>
        <row r="19461">
          <cell r="U19461"/>
        </row>
        <row r="19462">
          <cell r="U19462"/>
        </row>
        <row r="19463">
          <cell r="U19463"/>
        </row>
        <row r="19464">
          <cell r="U19464"/>
        </row>
        <row r="19465">
          <cell r="U19465"/>
        </row>
        <row r="19466">
          <cell r="U19466"/>
        </row>
        <row r="19467">
          <cell r="U19467"/>
        </row>
        <row r="19468">
          <cell r="U19468"/>
        </row>
        <row r="19469">
          <cell r="U19469"/>
        </row>
        <row r="19470">
          <cell r="U19470"/>
        </row>
        <row r="19471">
          <cell r="U19471"/>
        </row>
        <row r="19472">
          <cell r="U19472"/>
        </row>
        <row r="19473">
          <cell r="U19473"/>
        </row>
        <row r="19474">
          <cell r="U19474"/>
        </row>
        <row r="19475">
          <cell r="U19475"/>
        </row>
        <row r="19476">
          <cell r="U19476"/>
        </row>
        <row r="19477">
          <cell r="U19477"/>
        </row>
        <row r="19478">
          <cell r="U19478"/>
        </row>
        <row r="19479">
          <cell r="U19479"/>
        </row>
        <row r="19480">
          <cell r="U19480"/>
        </row>
        <row r="19481">
          <cell r="U19481"/>
        </row>
        <row r="19482">
          <cell r="U19482"/>
        </row>
        <row r="19483">
          <cell r="U19483"/>
        </row>
        <row r="19484">
          <cell r="U19484"/>
        </row>
        <row r="19485">
          <cell r="U19485"/>
        </row>
        <row r="19486">
          <cell r="U19486"/>
        </row>
        <row r="19487">
          <cell r="U19487"/>
        </row>
        <row r="19488">
          <cell r="U19488"/>
        </row>
        <row r="19489">
          <cell r="U19489"/>
        </row>
        <row r="19490">
          <cell r="U19490"/>
        </row>
        <row r="19491">
          <cell r="U19491"/>
        </row>
        <row r="19492">
          <cell r="U19492"/>
        </row>
        <row r="19493">
          <cell r="U19493"/>
        </row>
        <row r="19494">
          <cell r="U19494"/>
        </row>
        <row r="19495">
          <cell r="U19495"/>
        </row>
        <row r="19496">
          <cell r="U19496"/>
        </row>
        <row r="19497">
          <cell r="U19497"/>
        </row>
        <row r="19498">
          <cell r="U19498"/>
        </row>
        <row r="19499">
          <cell r="U19499"/>
        </row>
        <row r="19500">
          <cell r="U19500"/>
        </row>
        <row r="19501">
          <cell r="U19501"/>
        </row>
        <row r="19502">
          <cell r="U19502"/>
        </row>
        <row r="19503">
          <cell r="U19503"/>
        </row>
        <row r="19504">
          <cell r="U19504"/>
        </row>
        <row r="19505">
          <cell r="U19505"/>
        </row>
        <row r="19506">
          <cell r="U19506"/>
        </row>
        <row r="19507">
          <cell r="U19507"/>
        </row>
        <row r="19508">
          <cell r="U19508"/>
        </row>
        <row r="19509">
          <cell r="U19509"/>
        </row>
        <row r="19510">
          <cell r="U19510"/>
        </row>
        <row r="19511">
          <cell r="U19511"/>
        </row>
        <row r="19512">
          <cell r="U19512"/>
        </row>
        <row r="19513">
          <cell r="U19513"/>
        </row>
        <row r="19514">
          <cell r="U19514"/>
        </row>
        <row r="19515">
          <cell r="U19515"/>
        </row>
        <row r="19516">
          <cell r="U19516"/>
        </row>
        <row r="19517">
          <cell r="U19517"/>
        </row>
        <row r="19518">
          <cell r="U19518"/>
        </row>
        <row r="19519">
          <cell r="U19519"/>
        </row>
        <row r="19520">
          <cell r="U19520"/>
        </row>
        <row r="19521">
          <cell r="U19521"/>
        </row>
        <row r="19522">
          <cell r="U19522"/>
        </row>
        <row r="19523">
          <cell r="U19523"/>
        </row>
        <row r="19524">
          <cell r="U19524"/>
        </row>
        <row r="19525">
          <cell r="U19525"/>
        </row>
        <row r="19526">
          <cell r="U19526"/>
        </row>
        <row r="19527">
          <cell r="U19527"/>
        </row>
        <row r="19528">
          <cell r="U19528"/>
        </row>
        <row r="19529">
          <cell r="U19529"/>
        </row>
        <row r="19530">
          <cell r="U19530"/>
        </row>
        <row r="19531">
          <cell r="U19531"/>
        </row>
        <row r="19532">
          <cell r="U19532"/>
        </row>
        <row r="19533">
          <cell r="U19533"/>
        </row>
        <row r="19534">
          <cell r="U19534"/>
        </row>
        <row r="19535">
          <cell r="U19535"/>
        </row>
        <row r="19536">
          <cell r="U19536"/>
        </row>
        <row r="19537">
          <cell r="U19537"/>
        </row>
        <row r="19538">
          <cell r="U19538"/>
        </row>
        <row r="19539">
          <cell r="U19539"/>
        </row>
        <row r="19540">
          <cell r="U19540"/>
        </row>
        <row r="19541">
          <cell r="U19541"/>
        </row>
        <row r="19542">
          <cell r="U19542"/>
        </row>
        <row r="19543">
          <cell r="U19543"/>
        </row>
        <row r="19544">
          <cell r="U19544"/>
        </row>
        <row r="19545">
          <cell r="U19545"/>
        </row>
        <row r="19546">
          <cell r="U19546"/>
        </row>
        <row r="19547">
          <cell r="U19547"/>
        </row>
        <row r="19548">
          <cell r="U19548"/>
        </row>
        <row r="19549">
          <cell r="U19549"/>
        </row>
        <row r="19550">
          <cell r="U19550"/>
        </row>
        <row r="19551">
          <cell r="U19551"/>
        </row>
        <row r="19552">
          <cell r="U19552"/>
        </row>
        <row r="19553">
          <cell r="U19553"/>
        </row>
        <row r="19554">
          <cell r="U19554"/>
        </row>
        <row r="19555">
          <cell r="U19555"/>
        </row>
        <row r="19556">
          <cell r="U19556"/>
        </row>
        <row r="19557">
          <cell r="U19557"/>
        </row>
        <row r="19558">
          <cell r="U19558"/>
        </row>
        <row r="19559">
          <cell r="U19559"/>
        </row>
        <row r="19560">
          <cell r="U19560"/>
        </row>
        <row r="19561">
          <cell r="U19561"/>
        </row>
        <row r="19562">
          <cell r="U19562"/>
        </row>
        <row r="19563">
          <cell r="U19563"/>
        </row>
        <row r="19564">
          <cell r="U19564"/>
        </row>
        <row r="19565">
          <cell r="U19565"/>
        </row>
        <row r="19566">
          <cell r="U19566"/>
        </row>
        <row r="19567">
          <cell r="U19567"/>
        </row>
        <row r="19568">
          <cell r="U19568"/>
        </row>
        <row r="19569">
          <cell r="U19569"/>
        </row>
        <row r="19570">
          <cell r="U19570"/>
        </row>
        <row r="19571">
          <cell r="U19571"/>
        </row>
        <row r="19572">
          <cell r="U19572"/>
        </row>
        <row r="19573">
          <cell r="U19573"/>
        </row>
        <row r="19574">
          <cell r="U19574"/>
        </row>
        <row r="19575">
          <cell r="U19575"/>
        </row>
        <row r="19576">
          <cell r="U19576"/>
        </row>
        <row r="19577">
          <cell r="U19577"/>
        </row>
        <row r="19578">
          <cell r="U19578"/>
        </row>
        <row r="19579">
          <cell r="U19579"/>
        </row>
        <row r="19580">
          <cell r="U19580"/>
        </row>
        <row r="19581">
          <cell r="U19581"/>
        </row>
        <row r="19582">
          <cell r="U19582"/>
        </row>
        <row r="19583">
          <cell r="U19583"/>
        </row>
        <row r="19584">
          <cell r="U19584"/>
        </row>
        <row r="19585">
          <cell r="U19585"/>
        </row>
        <row r="19586">
          <cell r="U19586"/>
        </row>
        <row r="19587">
          <cell r="U19587"/>
        </row>
        <row r="19588">
          <cell r="U19588"/>
        </row>
        <row r="19589">
          <cell r="U19589"/>
        </row>
        <row r="19590">
          <cell r="U19590"/>
        </row>
        <row r="19591">
          <cell r="U19591"/>
        </row>
        <row r="19592">
          <cell r="U19592"/>
        </row>
        <row r="19593">
          <cell r="U19593"/>
        </row>
        <row r="19594">
          <cell r="U19594"/>
        </row>
        <row r="19595">
          <cell r="U19595"/>
        </row>
        <row r="19596">
          <cell r="U19596"/>
        </row>
        <row r="19597">
          <cell r="U19597"/>
        </row>
        <row r="19598">
          <cell r="U19598"/>
        </row>
        <row r="19599">
          <cell r="U19599"/>
        </row>
        <row r="19600">
          <cell r="U19600"/>
        </row>
        <row r="19601">
          <cell r="U19601"/>
        </row>
        <row r="19602">
          <cell r="U19602"/>
        </row>
        <row r="19603">
          <cell r="U19603"/>
        </row>
        <row r="19604">
          <cell r="U19604"/>
        </row>
        <row r="19605">
          <cell r="U19605"/>
        </row>
        <row r="19606">
          <cell r="U19606"/>
        </row>
        <row r="19607">
          <cell r="U19607"/>
        </row>
        <row r="19608">
          <cell r="U19608"/>
        </row>
        <row r="19609">
          <cell r="U19609"/>
        </row>
        <row r="19610">
          <cell r="U19610"/>
        </row>
        <row r="19611">
          <cell r="U19611"/>
        </row>
        <row r="19612">
          <cell r="U19612"/>
        </row>
        <row r="19613">
          <cell r="U19613"/>
        </row>
        <row r="19614">
          <cell r="U19614"/>
        </row>
        <row r="19615">
          <cell r="U19615"/>
        </row>
        <row r="19616">
          <cell r="U19616"/>
        </row>
        <row r="19617">
          <cell r="U19617"/>
        </row>
        <row r="19618">
          <cell r="U19618"/>
        </row>
        <row r="19619">
          <cell r="U19619"/>
        </row>
        <row r="19620">
          <cell r="U19620"/>
        </row>
        <row r="19621">
          <cell r="U19621"/>
        </row>
        <row r="19622">
          <cell r="U19622"/>
        </row>
        <row r="19623">
          <cell r="U19623"/>
        </row>
        <row r="19624">
          <cell r="U19624"/>
        </row>
        <row r="19625">
          <cell r="U19625"/>
        </row>
        <row r="19626">
          <cell r="U19626"/>
        </row>
        <row r="19627">
          <cell r="U19627"/>
        </row>
        <row r="19628">
          <cell r="U19628"/>
        </row>
        <row r="19629">
          <cell r="U19629"/>
        </row>
        <row r="19630">
          <cell r="U19630"/>
        </row>
        <row r="19631">
          <cell r="U19631"/>
        </row>
        <row r="19632">
          <cell r="U19632"/>
        </row>
        <row r="19633">
          <cell r="U19633"/>
        </row>
        <row r="19634">
          <cell r="U19634"/>
        </row>
        <row r="19635">
          <cell r="U19635"/>
        </row>
        <row r="19636">
          <cell r="U19636"/>
        </row>
        <row r="19637">
          <cell r="U19637"/>
        </row>
        <row r="19638">
          <cell r="U19638"/>
        </row>
        <row r="19639">
          <cell r="U19639"/>
        </row>
        <row r="19640">
          <cell r="U19640"/>
        </row>
        <row r="19641">
          <cell r="U19641"/>
        </row>
        <row r="19642">
          <cell r="U19642"/>
        </row>
        <row r="19643">
          <cell r="U19643"/>
        </row>
        <row r="19644">
          <cell r="U19644"/>
        </row>
        <row r="19645">
          <cell r="U19645"/>
        </row>
        <row r="19646">
          <cell r="U19646"/>
        </row>
        <row r="19647">
          <cell r="U19647"/>
        </row>
        <row r="19648">
          <cell r="U19648"/>
        </row>
        <row r="19649">
          <cell r="U19649"/>
        </row>
        <row r="19650">
          <cell r="U19650"/>
        </row>
        <row r="19651">
          <cell r="U19651"/>
        </row>
        <row r="19652">
          <cell r="U19652"/>
        </row>
        <row r="19653">
          <cell r="U19653"/>
        </row>
        <row r="19654">
          <cell r="U19654"/>
        </row>
        <row r="19655">
          <cell r="U19655"/>
        </row>
        <row r="19656">
          <cell r="U19656"/>
        </row>
        <row r="19657">
          <cell r="U19657"/>
        </row>
        <row r="19658">
          <cell r="U19658"/>
        </row>
        <row r="19659">
          <cell r="U19659"/>
        </row>
        <row r="19660">
          <cell r="U19660"/>
        </row>
        <row r="19661">
          <cell r="U19661"/>
        </row>
        <row r="19662">
          <cell r="U19662"/>
        </row>
        <row r="19663">
          <cell r="U19663"/>
        </row>
        <row r="19664">
          <cell r="U19664"/>
        </row>
        <row r="19665">
          <cell r="U19665"/>
        </row>
        <row r="19666">
          <cell r="U19666"/>
        </row>
        <row r="19667">
          <cell r="U19667"/>
        </row>
        <row r="19668">
          <cell r="U19668"/>
        </row>
        <row r="19669">
          <cell r="U19669"/>
        </row>
        <row r="19670">
          <cell r="U19670"/>
        </row>
        <row r="19671">
          <cell r="U19671"/>
        </row>
        <row r="19672">
          <cell r="U19672"/>
        </row>
        <row r="19673">
          <cell r="U19673"/>
        </row>
        <row r="19674">
          <cell r="U19674"/>
        </row>
        <row r="19675">
          <cell r="U19675"/>
        </row>
        <row r="19676">
          <cell r="U19676"/>
        </row>
        <row r="19677">
          <cell r="U19677"/>
        </row>
        <row r="19678">
          <cell r="U19678"/>
        </row>
        <row r="19679">
          <cell r="U19679"/>
        </row>
        <row r="19680">
          <cell r="U19680"/>
        </row>
        <row r="19681">
          <cell r="U19681"/>
        </row>
        <row r="19682">
          <cell r="U19682"/>
        </row>
        <row r="19683">
          <cell r="U19683"/>
        </row>
        <row r="19684">
          <cell r="U19684"/>
        </row>
        <row r="19685">
          <cell r="U19685"/>
        </row>
        <row r="19686">
          <cell r="U19686"/>
        </row>
        <row r="19687">
          <cell r="U19687"/>
        </row>
        <row r="19688">
          <cell r="U19688"/>
        </row>
        <row r="19689">
          <cell r="U19689"/>
        </row>
        <row r="19690">
          <cell r="U19690"/>
        </row>
        <row r="19691">
          <cell r="U19691"/>
        </row>
        <row r="19692">
          <cell r="U19692"/>
        </row>
        <row r="19693">
          <cell r="U19693"/>
        </row>
        <row r="19694">
          <cell r="U19694"/>
        </row>
        <row r="19695">
          <cell r="U19695"/>
        </row>
        <row r="19696">
          <cell r="U19696"/>
        </row>
        <row r="19697">
          <cell r="U19697"/>
        </row>
        <row r="19698">
          <cell r="U19698"/>
        </row>
        <row r="19699">
          <cell r="U19699"/>
        </row>
        <row r="19700">
          <cell r="U19700"/>
        </row>
        <row r="19701">
          <cell r="U19701"/>
        </row>
        <row r="19702">
          <cell r="U19702"/>
        </row>
        <row r="19703">
          <cell r="U19703"/>
        </row>
        <row r="19704">
          <cell r="U19704"/>
        </row>
        <row r="19705">
          <cell r="U19705"/>
        </row>
        <row r="19706">
          <cell r="U19706"/>
        </row>
        <row r="19707">
          <cell r="U19707"/>
        </row>
        <row r="19708">
          <cell r="U19708"/>
        </row>
        <row r="19709">
          <cell r="U19709"/>
        </row>
        <row r="19710">
          <cell r="U19710"/>
        </row>
        <row r="19711">
          <cell r="U19711"/>
        </row>
        <row r="19712">
          <cell r="U19712"/>
        </row>
        <row r="19713">
          <cell r="U19713"/>
        </row>
        <row r="19714">
          <cell r="U19714"/>
        </row>
        <row r="19715">
          <cell r="U19715"/>
        </row>
        <row r="19716">
          <cell r="U19716"/>
        </row>
        <row r="19717">
          <cell r="U19717"/>
        </row>
        <row r="19718">
          <cell r="U19718"/>
        </row>
        <row r="19719">
          <cell r="U19719"/>
        </row>
        <row r="19720">
          <cell r="U19720"/>
        </row>
        <row r="19721">
          <cell r="U19721"/>
        </row>
        <row r="19722">
          <cell r="U19722"/>
        </row>
        <row r="19723">
          <cell r="U19723"/>
        </row>
        <row r="19724">
          <cell r="U19724"/>
        </row>
        <row r="19725">
          <cell r="U19725"/>
        </row>
        <row r="19726">
          <cell r="U19726"/>
        </row>
        <row r="19727">
          <cell r="U19727"/>
        </row>
        <row r="19728">
          <cell r="U19728"/>
        </row>
        <row r="19729">
          <cell r="U19729"/>
        </row>
        <row r="19730">
          <cell r="U19730"/>
        </row>
        <row r="19731">
          <cell r="U19731"/>
        </row>
        <row r="19732">
          <cell r="U19732"/>
        </row>
        <row r="19733">
          <cell r="U19733"/>
        </row>
        <row r="19734">
          <cell r="U19734"/>
        </row>
        <row r="19735">
          <cell r="U19735"/>
        </row>
        <row r="19736">
          <cell r="U19736"/>
        </row>
        <row r="19737">
          <cell r="U19737"/>
        </row>
        <row r="19738">
          <cell r="U19738"/>
        </row>
        <row r="19739">
          <cell r="U19739"/>
        </row>
        <row r="19740">
          <cell r="U19740"/>
        </row>
        <row r="19741">
          <cell r="U19741"/>
        </row>
        <row r="19742">
          <cell r="U19742"/>
        </row>
        <row r="19743">
          <cell r="U19743"/>
        </row>
        <row r="19744">
          <cell r="U19744"/>
        </row>
        <row r="19745">
          <cell r="U19745"/>
        </row>
        <row r="19746">
          <cell r="U19746"/>
        </row>
        <row r="19747">
          <cell r="U19747"/>
        </row>
        <row r="19748">
          <cell r="U19748"/>
        </row>
        <row r="19749">
          <cell r="U19749"/>
        </row>
        <row r="19750">
          <cell r="U19750"/>
        </row>
        <row r="19751">
          <cell r="U19751"/>
        </row>
        <row r="19752">
          <cell r="U19752"/>
        </row>
        <row r="19753">
          <cell r="U19753"/>
        </row>
        <row r="19754">
          <cell r="U19754"/>
        </row>
        <row r="19755">
          <cell r="U19755"/>
        </row>
        <row r="19756">
          <cell r="U19756"/>
        </row>
        <row r="19757">
          <cell r="U19757"/>
        </row>
        <row r="19758">
          <cell r="U19758"/>
        </row>
        <row r="19759">
          <cell r="U19759"/>
        </row>
        <row r="19760">
          <cell r="U19760"/>
        </row>
        <row r="19761">
          <cell r="U19761"/>
        </row>
        <row r="19762">
          <cell r="U19762"/>
        </row>
        <row r="19763">
          <cell r="U19763"/>
        </row>
        <row r="19764">
          <cell r="U19764"/>
        </row>
        <row r="19765">
          <cell r="U19765"/>
        </row>
        <row r="19766">
          <cell r="U19766"/>
        </row>
        <row r="19767">
          <cell r="U19767"/>
        </row>
        <row r="19768">
          <cell r="U19768"/>
        </row>
        <row r="19769">
          <cell r="U19769"/>
        </row>
        <row r="19770">
          <cell r="U19770"/>
        </row>
        <row r="19771">
          <cell r="U19771"/>
        </row>
        <row r="19772">
          <cell r="U19772"/>
        </row>
        <row r="19773">
          <cell r="U19773"/>
        </row>
        <row r="19774">
          <cell r="U19774"/>
        </row>
        <row r="19775">
          <cell r="U19775"/>
        </row>
        <row r="19776">
          <cell r="U19776"/>
        </row>
        <row r="19777">
          <cell r="U19777"/>
        </row>
        <row r="19778">
          <cell r="U19778"/>
        </row>
        <row r="19779">
          <cell r="U19779"/>
        </row>
        <row r="19780">
          <cell r="U19780"/>
        </row>
        <row r="19781">
          <cell r="U19781"/>
        </row>
        <row r="19782">
          <cell r="U19782"/>
        </row>
        <row r="19783">
          <cell r="U19783"/>
        </row>
        <row r="19784">
          <cell r="U19784"/>
        </row>
        <row r="19785">
          <cell r="U19785"/>
        </row>
        <row r="19786">
          <cell r="U19786"/>
        </row>
        <row r="19787">
          <cell r="U19787"/>
        </row>
        <row r="19788">
          <cell r="U19788"/>
        </row>
        <row r="19789">
          <cell r="U19789"/>
        </row>
        <row r="19790">
          <cell r="U19790"/>
        </row>
        <row r="19791">
          <cell r="U19791"/>
        </row>
        <row r="19792">
          <cell r="U19792"/>
        </row>
        <row r="19793">
          <cell r="U19793"/>
        </row>
        <row r="19794">
          <cell r="U19794"/>
        </row>
        <row r="19795">
          <cell r="U19795"/>
        </row>
        <row r="19796">
          <cell r="U19796"/>
        </row>
        <row r="19797">
          <cell r="U19797"/>
        </row>
        <row r="19798">
          <cell r="U19798"/>
        </row>
        <row r="19799">
          <cell r="U19799"/>
        </row>
        <row r="19800">
          <cell r="U19800"/>
        </row>
        <row r="19801">
          <cell r="U19801"/>
        </row>
        <row r="19802">
          <cell r="U19802"/>
        </row>
        <row r="19803">
          <cell r="U19803"/>
        </row>
        <row r="19804">
          <cell r="U19804"/>
        </row>
        <row r="19805">
          <cell r="U19805"/>
        </row>
        <row r="19806">
          <cell r="U19806"/>
        </row>
        <row r="19807">
          <cell r="U19807"/>
        </row>
        <row r="19808">
          <cell r="U19808"/>
        </row>
        <row r="19809">
          <cell r="U19809"/>
        </row>
        <row r="19810">
          <cell r="U19810"/>
        </row>
        <row r="19811">
          <cell r="U19811"/>
        </row>
        <row r="19812">
          <cell r="U19812"/>
        </row>
        <row r="19813">
          <cell r="U19813"/>
        </row>
        <row r="19814">
          <cell r="U19814"/>
        </row>
        <row r="19815">
          <cell r="U19815"/>
        </row>
        <row r="19816">
          <cell r="U19816"/>
        </row>
        <row r="19817">
          <cell r="U19817"/>
        </row>
        <row r="19818">
          <cell r="U19818"/>
        </row>
        <row r="19819">
          <cell r="U19819"/>
        </row>
        <row r="19820">
          <cell r="U19820"/>
        </row>
        <row r="19821">
          <cell r="U19821"/>
        </row>
        <row r="19822">
          <cell r="U19822"/>
        </row>
        <row r="19823">
          <cell r="U19823"/>
        </row>
        <row r="19824">
          <cell r="U19824"/>
        </row>
        <row r="19825">
          <cell r="U19825"/>
        </row>
        <row r="19826">
          <cell r="U19826"/>
        </row>
        <row r="19827">
          <cell r="U19827"/>
        </row>
        <row r="19828">
          <cell r="U19828"/>
        </row>
        <row r="19829">
          <cell r="U19829"/>
        </row>
        <row r="19830">
          <cell r="U19830"/>
        </row>
        <row r="19831">
          <cell r="U19831"/>
        </row>
        <row r="19832">
          <cell r="U19832"/>
        </row>
        <row r="19833">
          <cell r="U19833"/>
        </row>
        <row r="19834">
          <cell r="U19834"/>
        </row>
        <row r="19835">
          <cell r="U19835"/>
        </row>
        <row r="19836">
          <cell r="U19836"/>
        </row>
        <row r="19837">
          <cell r="U19837"/>
        </row>
        <row r="19838">
          <cell r="U19838"/>
        </row>
        <row r="19839">
          <cell r="U19839"/>
        </row>
        <row r="19840">
          <cell r="U19840"/>
        </row>
        <row r="19841">
          <cell r="U19841"/>
        </row>
        <row r="19842">
          <cell r="U19842"/>
        </row>
        <row r="19843">
          <cell r="U19843"/>
        </row>
        <row r="19844">
          <cell r="U19844"/>
        </row>
        <row r="19845">
          <cell r="U19845"/>
        </row>
        <row r="19846">
          <cell r="U19846"/>
        </row>
        <row r="19847">
          <cell r="U19847"/>
        </row>
        <row r="19848">
          <cell r="U19848"/>
        </row>
        <row r="19849">
          <cell r="U19849"/>
        </row>
        <row r="19850">
          <cell r="U19850"/>
        </row>
        <row r="19851">
          <cell r="U19851"/>
        </row>
        <row r="19852">
          <cell r="U19852"/>
        </row>
        <row r="19853">
          <cell r="U19853"/>
        </row>
        <row r="19854">
          <cell r="U19854"/>
        </row>
        <row r="19855">
          <cell r="U19855"/>
        </row>
        <row r="19856">
          <cell r="U19856"/>
        </row>
        <row r="19857">
          <cell r="U19857"/>
        </row>
        <row r="19858">
          <cell r="U19858"/>
        </row>
        <row r="19859">
          <cell r="U19859"/>
        </row>
        <row r="19860">
          <cell r="U19860"/>
        </row>
        <row r="19861">
          <cell r="U19861"/>
        </row>
        <row r="19862">
          <cell r="U19862"/>
        </row>
        <row r="19863">
          <cell r="U19863"/>
        </row>
        <row r="19864">
          <cell r="U19864"/>
        </row>
        <row r="19865">
          <cell r="U19865"/>
        </row>
        <row r="19866">
          <cell r="U19866"/>
        </row>
        <row r="19867">
          <cell r="U19867"/>
        </row>
        <row r="19868">
          <cell r="U19868"/>
        </row>
        <row r="19869">
          <cell r="U19869"/>
        </row>
        <row r="19870">
          <cell r="U19870"/>
        </row>
        <row r="19871">
          <cell r="U19871"/>
        </row>
        <row r="19872">
          <cell r="U19872"/>
        </row>
        <row r="19873">
          <cell r="U19873"/>
        </row>
        <row r="19874">
          <cell r="U19874"/>
        </row>
        <row r="19875">
          <cell r="U19875"/>
        </row>
        <row r="19876">
          <cell r="U19876"/>
        </row>
        <row r="19877">
          <cell r="U19877"/>
        </row>
        <row r="19878">
          <cell r="U19878"/>
        </row>
        <row r="19879">
          <cell r="U19879"/>
        </row>
        <row r="19880">
          <cell r="U19880"/>
        </row>
        <row r="19881">
          <cell r="U19881"/>
        </row>
        <row r="19882">
          <cell r="U19882"/>
        </row>
        <row r="19883">
          <cell r="U19883"/>
        </row>
        <row r="19884">
          <cell r="U19884"/>
        </row>
        <row r="19885">
          <cell r="U19885"/>
        </row>
        <row r="19886">
          <cell r="U19886"/>
        </row>
        <row r="19887">
          <cell r="U19887"/>
        </row>
        <row r="19888">
          <cell r="U19888"/>
        </row>
        <row r="19889">
          <cell r="U19889"/>
        </row>
        <row r="19890">
          <cell r="U19890"/>
        </row>
        <row r="19891">
          <cell r="U19891"/>
        </row>
        <row r="19892">
          <cell r="U19892"/>
        </row>
        <row r="19893">
          <cell r="U19893"/>
        </row>
        <row r="19894">
          <cell r="U19894"/>
        </row>
        <row r="19895">
          <cell r="U19895"/>
        </row>
        <row r="19896">
          <cell r="U19896"/>
        </row>
        <row r="19897">
          <cell r="U19897"/>
        </row>
        <row r="19898">
          <cell r="U19898"/>
        </row>
        <row r="19899">
          <cell r="U19899"/>
        </row>
        <row r="19900">
          <cell r="U19900"/>
        </row>
        <row r="19901">
          <cell r="U19901"/>
        </row>
        <row r="19902">
          <cell r="U19902"/>
        </row>
        <row r="19903">
          <cell r="U19903"/>
        </row>
        <row r="19904">
          <cell r="U19904"/>
        </row>
        <row r="19905">
          <cell r="U19905"/>
        </row>
        <row r="19906">
          <cell r="U19906"/>
        </row>
        <row r="19907">
          <cell r="U19907"/>
        </row>
        <row r="19908">
          <cell r="U19908"/>
        </row>
        <row r="19909">
          <cell r="U19909"/>
        </row>
        <row r="19910">
          <cell r="U19910"/>
        </row>
        <row r="19911">
          <cell r="U19911"/>
        </row>
        <row r="19912">
          <cell r="U19912"/>
        </row>
        <row r="19913">
          <cell r="U19913"/>
        </row>
        <row r="19914">
          <cell r="U19914"/>
        </row>
        <row r="19915">
          <cell r="U19915"/>
        </row>
        <row r="19916">
          <cell r="U19916"/>
        </row>
        <row r="19917">
          <cell r="U19917"/>
        </row>
        <row r="19918">
          <cell r="U19918"/>
        </row>
        <row r="19919">
          <cell r="U19919"/>
        </row>
        <row r="19920">
          <cell r="U19920"/>
        </row>
        <row r="19921">
          <cell r="U19921"/>
        </row>
        <row r="19922">
          <cell r="U19922"/>
        </row>
        <row r="19923">
          <cell r="U19923"/>
        </row>
        <row r="19924">
          <cell r="U19924"/>
        </row>
        <row r="19925">
          <cell r="U19925"/>
        </row>
        <row r="19926">
          <cell r="U19926"/>
        </row>
        <row r="19927">
          <cell r="U19927"/>
        </row>
        <row r="19928">
          <cell r="U19928"/>
        </row>
        <row r="19929">
          <cell r="U19929"/>
        </row>
        <row r="19930">
          <cell r="U19930"/>
        </row>
        <row r="19931">
          <cell r="U19931"/>
        </row>
        <row r="19932">
          <cell r="U19932"/>
        </row>
        <row r="19933">
          <cell r="U19933"/>
        </row>
        <row r="19934">
          <cell r="U19934"/>
        </row>
        <row r="19935">
          <cell r="U19935"/>
        </row>
        <row r="19936">
          <cell r="U19936"/>
        </row>
        <row r="19937">
          <cell r="U19937"/>
        </row>
        <row r="19938">
          <cell r="U19938"/>
        </row>
        <row r="19939">
          <cell r="U19939"/>
        </row>
        <row r="19940">
          <cell r="U19940"/>
        </row>
        <row r="19941">
          <cell r="U19941"/>
        </row>
        <row r="19942">
          <cell r="U19942"/>
        </row>
        <row r="19943">
          <cell r="U19943"/>
        </row>
        <row r="19944">
          <cell r="U19944"/>
        </row>
        <row r="19945">
          <cell r="U19945"/>
        </row>
        <row r="19946">
          <cell r="U19946"/>
        </row>
        <row r="19947">
          <cell r="U19947"/>
        </row>
        <row r="19948">
          <cell r="U19948"/>
        </row>
        <row r="19949">
          <cell r="U19949"/>
        </row>
        <row r="19950">
          <cell r="U19950"/>
        </row>
        <row r="19951">
          <cell r="U19951"/>
        </row>
        <row r="19952">
          <cell r="U19952"/>
        </row>
        <row r="19953">
          <cell r="U19953"/>
        </row>
        <row r="19954">
          <cell r="U19954"/>
        </row>
        <row r="19955">
          <cell r="U19955"/>
        </row>
        <row r="19956">
          <cell r="U19956"/>
        </row>
        <row r="19957">
          <cell r="U19957"/>
        </row>
        <row r="19958">
          <cell r="U19958"/>
        </row>
        <row r="19959">
          <cell r="U19959"/>
        </row>
        <row r="19960">
          <cell r="U19960"/>
        </row>
        <row r="19961">
          <cell r="U19961"/>
        </row>
        <row r="19962">
          <cell r="U19962"/>
        </row>
        <row r="19963">
          <cell r="U19963"/>
        </row>
        <row r="19964">
          <cell r="U19964"/>
        </row>
        <row r="19965">
          <cell r="U19965"/>
        </row>
        <row r="19966">
          <cell r="U19966"/>
        </row>
        <row r="19967">
          <cell r="U19967"/>
        </row>
        <row r="19968">
          <cell r="U19968"/>
        </row>
        <row r="19969">
          <cell r="U19969"/>
        </row>
        <row r="19970">
          <cell r="U19970"/>
        </row>
        <row r="19971">
          <cell r="U19971"/>
        </row>
        <row r="19972">
          <cell r="U19972"/>
        </row>
        <row r="19973">
          <cell r="U19973"/>
        </row>
        <row r="19974">
          <cell r="U19974"/>
        </row>
        <row r="19975">
          <cell r="U19975"/>
        </row>
        <row r="19976">
          <cell r="U19976"/>
        </row>
        <row r="19977">
          <cell r="U19977"/>
        </row>
        <row r="19978">
          <cell r="U19978"/>
        </row>
        <row r="19979">
          <cell r="U19979"/>
        </row>
        <row r="19980">
          <cell r="U19980"/>
        </row>
        <row r="19981">
          <cell r="U19981"/>
        </row>
        <row r="19982">
          <cell r="U19982"/>
        </row>
        <row r="19983">
          <cell r="U19983"/>
        </row>
        <row r="19984">
          <cell r="U19984"/>
        </row>
        <row r="19985">
          <cell r="U19985"/>
        </row>
        <row r="19986">
          <cell r="U19986"/>
        </row>
        <row r="19987">
          <cell r="U19987"/>
        </row>
        <row r="19988">
          <cell r="U19988"/>
        </row>
        <row r="19989">
          <cell r="U19989"/>
        </row>
        <row r="19990">
          <cell r="U19990"/>
        </row>
        <row r="19991">
          <cell r="U19991"/>
        </row>
        <row r="19992">
          <cell r="U19992"/>
        </row>
        <row r="19993">
          <cell r="U19993"/>
        </row>
        <row r="19994">
          <cell r="U19994"/>
        </row>
        <row r="19995">
          <cell r="U19995"/>
        </row>
        <row r="19996">
          <cell r="U19996"/>
        </row>
        <row r="19997">
          <cell r="U19997"/>
        </row>
        <row r="19998">
          <cell r="U19998"/>
        </row>
        <row r="19999">
          <cell r="U19999"/>
        </row>
        <row r="20000">
          <cell r="U20000"/>
        </row>
        <row r="20001">
          <cell r="U20001"/>
        </row>
        <row r="20002">
          <cell r="U20002"/>
        </row>
        <row r="20003">
          <cell r="U20003"/>
        </row>
        <row r="20004">
          <cell r="U20004"/>
        </row>
        <row r="20005">
          <cell r="U20005"/>
        </row>
        <row r="20006">
          <cell r="U20006"/>
        </row>
        <row r="20007">
          <cell r="U20007"/>
        </row>
        <row r="20008">
          <cell r="U20008"/>
        </row>
        <row r="20009">
          <cell r="U20009"/>
        </row>
        <row r="20010">
          <cell r="U20010"/>
        </row>
        <row r="20011">
          <cell r="U20011"/>
        </row>
        <row r="20012">
          <cell r="U20012"/>
        </row>
        <row r="20013">
          <cell r="U20013"/>
        </row>
        <row r="20014">
          <cell r="U20014"/>
        </row>
        <row r="20015">
          <cell r="U20015"/>
        </row>
        <row r="20016">
          <cell r="U20016"/>
        </row>
        <row r="20017">
          <cell r="U20017"/>
        </row>
        <row r="20018">
          <cell r="U20018"/>
        </row>
        <row r="20019">
          <cell r="U20019"/>
        </row>
        <row r="20020">
          <cell r="U20020"/>
        </row>
        <row r="20021">
          <cell r="U20021"/>
        </row>
        <row r="20022">
          <cell r="U20022"/>
        </row>
        <row r="20023">
          <cell r="U20023"/>
        </row>
        <row r="20024">
          <cell r="U20024"/>
        </row>
        <row r="20025">
          <cell r="U20025"/>
        </row>
        <row r="20026">
          <cell r="U20026"/>
        </row>
        <row r="20027">
          <cell r="U20027"/>
        </row>
        <row r="20028">
          <cell r="U20028"/>
        </row>
        <row r="20029">
          <cell r="U20029"/>
        </row>
        <row r="20030">
          <cell r="U20030"/>
        </row>
        <row r="20031">
          <cell r="U20031"/>
        </row>
        <row r="20032">
          <cell r="U20032"/>
        </row>
        <row r="20033">
          <cell r="U20033"/>
        </row>
        <row r="20034">
          <cell r="U20034"/>
        </row>
        <row r="20035">
          <cell r="U20035"/>
        </row>
        <row r="20036">
          <cell r="U20036"/>
        </row>
        <row r="20037">
          <cell r="U20037"/>
        </row>
        <row r="20038">
          <cell r="U20038"/>
        </row>
        <row r="20039">
          <cell r="U20039"/>
        </row>
        <row r="20040">
          <cell r="U20040"/>
        </row>
        <row r="20041">
          <cell r="U20041"/>
        </row>
        <row r="20042">
          <cell r="U20042"/>
        </row>
        <row r="20043">
          <cell r="U20043"/>
        </row>
        <row r="20044">
          <cell r="U20044"/>
        </row>
        <row r="20045">
          <cell r="U20045"/>
        </row>
        <row r="20046">
          <cell r="U20046"/>
        </row>
        <row r="20047">
          <cell r="U20047"/>
        </row>
        <row r="20048">
          <cell r="U20048"/>
        </row>
        <row r="20049">
          <cell r="U20049"/>
        </row>
        <row r="20050">
          <cell r="U20050"/>
        </row>
        <row r="20051">
          <cell r="U20051"/>
        </row>
        <row r="20052">
          <cell r="U20052"/>
        </row>
        <row r="20053">
          <cell r="U20053"/>
        </row>
        <row r="20054">
          <cell r="U20054"/>
        </row>
        <row r="20055">
          <cell r="U20055"/>
        </row>
        <row r="20056">
          <cell r="U20056"/>
        </row>
        <row r="20057">
          <cell r="U20057"/>
        </row>
        <row r="20058">
          <cell r="U20058"/>
        </row>
        <row r="20059">
          <cell r="U20059"/>
        </row>
        <row r="20060">
          <cell r="U20060"/>
        </row>
        <row r="20061">
          <cell r="U20061"/>
        </row>
        <row r="20062">
          <cell r="U20062"/>
        </row>
        <row r="20063">
          <cell r="U20063"/>
        </row>
        <row r="20064">
          <cell r="U20064"/>
        </row>
        <row r="20065">
          <cell r="U20065"/>
        </row>
        <row r="20066">
          <cell r="U20066"/>
        </row>
        <row r="20067">
          <cell r="U20067"/>
        </row>
        <row r="20068">
          <cell r="U20068"/>
        </row>
        <row r="20069">
          <cell r="U20069"/>
        </row>
        <row r="20070">
          <cell r="U20070"/>
        </row>
        <row r="20071">
          <cell r="U20071"/>
        </row>
        <row r="20072">
          <cell r="U20072"/>
        </row>
        <row r="20073">
          <cell r="U20073"/>
        </row>
        <row r="20074">
          <cell r="U20074"/>
        </row>
        <row r="20075">
          <cell r="U20075"/>
        </row>
        <row r="20076">
          <cell r="U20076"/>
        </row>
        <row r="20077">
          <cell r="U20077"/>
        </row>
        <row r="20078">
          <cell r="U20078"/>
        </row>
        <row r="20079">
          <cell r="U20079"/>
        </row>
        <row r="20080">
          <cell r="U20080"/>
        </row>
        <row r="20081">
          <cell r="U20081"/>
        </row>
        <row r="20082">
          <cell r="U20082"/>
        </row>
        <row r="20083">
          <cell r="U20083"/>
        </row>
        <row r="20084">
          <cell r="U20084"/>
        </row>
        <row r="20085">
          <cell r="U20085"/>
        </row>
        <row r="20086">
          <cell r="U20086"/>
        </row>
        <row r="20087">
          <cell r="U20087"/>
        </row>
        <row r="20088">
          <cell r="U20088"/>
        </row>
        <row r="20089">
          <cell r="U20089"/>
        </row>
        <row r="20090">
          <cell r="U20090"/>
        </row>
        <row r="20091">
          <cell r="U20091"/>
        </row>
        <row r="20092">
          <cell r="U20092"/>
        </row>
        <row r="20093">
          <cell r="U20093"/>
        </row>
        <row r="20094">
          <cell r="U20094"/>
        </row>
        <row r="20095">
          <cell r="U20095"/>
        </row>
        <row r="20096">
          <cell r="U20096"/>
        </row>
        <row r="20097">
          <cell r="U20097"/>
        </row>
        <row r="20098">
          <cell r="U20098"/>
        </row>
        <row r="20099">
          <cell r="U20099"/>
        </row>
        <row r="20100">
          <cell r="U20100"/>
        </row>
        <row r="20101">
          <cell r="U20101"/>
        </row>
        <row r="20102">
          <cell r="U20102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ntabilidad x CeDi"/>
      <sheetName val="Capacidad x CeDi"/>
      <sheetName val="Capacidad x CeDi - Camiones"/>
      <sheetName val="Capacidad x CeDi - Rutas"/>
      <sheetName val="Saturación x Ruta"/>
      <sheetName val="Potencial Ver x CeDi"/>
      <sheetName val="Potencial Hor SocioDem x CeDi"/>
      <sheetName val="Potencial Hor x CeDi"/>
      <sheetName val="Base Maestra CeDi"/>
      <sheetName val="Sheet1"/>
      <sheetName val="RTM Ideal - Potencial y Rentabi"/>
    </sheetNames>
    <sheetDataSet>
      <sheetData sheetId="0">
        <row r="2">
          <cell r="D2" t="str">
            <v>Rutas Hogar</v>
          </cell>
        </row>
      </sheetData>
      <sheetData sheetId="1">
        <row r="5">
          <cell r="I5">
            <v>2</v>
          </cell>
        </row>
      </sheetData>
      <sheetData sheetId="2"/>
      <sheetData sheetId="3"/>
      <sheetData sheetId="4">
        <row r="4">
          <cell r="C4" t="str">
            <v>Suc. Nuevo Laredo</v>
          </cell>
        </row>
      </sheetData>
      <sheetData sheetId="5">
        <row r="11">
          <cell r="B11" t="str">
            <v>Noreste</v>
          </cell>
        </row>
      </sheetData>
      <sheetData sheetId="6">
        <row r="1">
          <cell r="C1" t="str">
            <v>Manzanas</v>
          </cell>
          <cell r="D1" t="str">
            <v>Población</v>
          </cell>
          <cell r="E1" t="str">
            <v>Hogares</v>
          </cell>
          <cell r="F1" t="str">
            <v>Personas por hogar</v>
          </cell>
          <cell r="G1" t="str">
            <v>Hogares por manzana</v>
          </cell>
          <cell r="H1" t="str">
            <v>Hogares A/B</v>
          </cell>
          <cell r="I1" t="str">
            <v>Hogares C+</v>
          </cell>
          <cell r="J1" t="str">
            <v>Hogares A/B + C+</v>
          </cell>
          <cell r="K1" t="str">
            <v>% A/B + C+</v>
          </cell>
          <cell r="L1" t="str">
            <v>% NSE A/B</v>
          </cell>
          <cell r="M1" t="str">
            <v>% NSE C+</v>
          </cell>
          <cell r="N1" t="str">
            <v>% NSE C</v>
          </cell>
          <cell r="O1" t="str">
            <v>% NSE C-</v>
          </cell>
          <cell r="P1" t="str">
            <v>% NSE D+</v>
          </cell>
          <cell r="Q1" t="str">
            <v>% NSE D</v>
          </cell>
          <cell r="R1" t="str">
            <v>% NSE E</v>
          </cell>
          <cell r="S1" t="str">
            <v>% NSE N/D</v>
          </cell>
          <cell r="T1" t="str">
            <v>% rezago Muy bajo</v>
          </cell>
          <cell r="U1" t="str">
            <v>% rezago Bajo</v>
          </cell>
          <cell r="V1" t="str">
            <v>% rezago Medio</v>
          </cell>
          <cell r="W1" t="str">
            <v>% rezago Alto</v>
          </cell>
          <cell r="X1" t="str">
            <v>% rezago Muy alto</v>
          </cell>
          <cell r="Y1" t="str">
            <v>% rezago N/D</v>
          </cell>
          <cell r="Z1" t="str">
            <v>Comercio detalle / 1000 hab</v>
          </cell>
          <cell r="AA1" t="str">
            <v>Comercio proximidad / 1000 hab</v>
          </cell>
          <cell r="AB1" t="str">
            <v>Clientes</v>
          </cell>
          <cell r="AC1" t="str">
            <v>Clientes A/B + C+</v>
          </cell>
          <cell r="AD1" t="str">
            <v>Cobertura A/B + C+</v>
          </cell>
          <cell r="AE1" t="str">
            <v>CU</v>
          </cell>
          <cell r="AF1" t="str">
            <v>CU por cliente</v>
          </cell>
        </row>
        <row r="2">
          <cell r="B2" t="str">
            <v>HOGAR WEB UNIVERSIDAD</v>
          </cell>
          <cell r="C2">
            <v>27</v>
          </cell>
          <cell r="D2">
            <v>117</v>
          </cell>
          <cell r="E2">
            <v>29</v>
          </cell>
          <cell r="F2">
            <v>4.0344827586206904</v>
          </cell>
          <cell r="G2">
            <v>1.074074074074074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1</v>
          </cell>
          <cell r="R2">
            <v>0</v>
          </cell>
          <cell r="S2">
            <v>0</v>
          </cell>
          <cell r="T2">
            <v>0</v>
          </cell>
          <cell r="U2">
            <v>0.2068965517241379</v>
          </cell>
          <cell r="V2">
            <v>0.7931034482758621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E2">
            <v>0</v>
          </cell>
        </row>
        <row r="3">
          <cell r="B3" t="str">
            <v>LINCOLN</v>
          </cell>
          <cell r="C3">
            <v>923</v>
          </cell>
          <cell r="E3">
            <v>90588</v>
          </cell>
          <cell r="F3">
            <v>23502</v>
          </cell>
          <cell r="G3">
            <v>3.854480469747255</v>
          </cell>
          <cell r="H3">
            <v>25.462621885157091</v>
          </cell>
          <cell r="I3">
            <v>0</v>
          </cell>
          <cell r="J3">
            <v>129</v>
          </cell>
          <cell r="K3">
            <v>129</v>
          </cell>
          <cell r="L3">
            <v>5.4888945621649216E-3</v>
          </cell>
          <cell r="M3">
            <v>0</v>
          </cell>
          <cell r="N3">
            <v>5.4888945621649216E-3</v>
          </cell>
          <cell r="O3">
            <v>0.51472215130627186</v>
          </cell>
          <cell r="P3">
            <v>7.6163730746319474E-3</v>
          </cell>
          <cell r="Q3">
            <v>0</v>
          </cell>
          <cell r="R3">
            <v>0.47204493234618328</v>
          </cell>
          <cell r="S3">
            <v>1.2764871074802151E-4</v>
          </cell>
          <cell r="T3">
            <v>0</v>
          </cell>
          <cell r="U3">
            <v>0.134967236830908</v>
          </cell>
          <cell r="V3">
            <v>0.39286018211216073</v>
          </cell>
          <cell r="W3">
            <v>0.46268402689132843</v>
          </cell>
          <cell r="X3">
            <v>9.4885541656029269E-3</v>
          </cell>
          <cell r="Y3">
            <v>0</v>
          </cell>
          <cell r="Z3">
            <v>0</v>
          </cell>
          <cell r="AA3">
            <v>4.7688435554378064</v>
          </cell>
          <cell r="AB3">
            <v>0.23181878394489339</v>
          </cell>
          <cell r="AC3">
            <v>166</v>
          </cell>
          <cell r="AD3">
            <v>0</v>
          </cell>
          <cell r="AE3">
            <v>0</v>
          </cell>
          <cell r="AF3">
            <v>7971.6770999999999</v>
          </cell>
        </row>
        <row r="4">
          <cell r="B4" t="str">
            <v>MATEHUALA</v>
          </cell>
          <cell r="C4">
            <v>58</v>
          </cell>
          <cell r="D4">
            <v>0</v>
          </cell>
          <cell r="E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AB4">
            <v>0</v>
          </cell>
          <cell r="AC4">
            <v>0</v>
          </cell>
          <cell r="AE4">
            <v>0</v>
          </cell>
        </row>
        <row r="5">
          <cell r="B5" t="str">
            <v>PLANTA AGUA Y HIELO</v>
          </cell>
          <cell r="C5">
            <v>15064</v>
          </cell>
          <cell r="D5">
            <v>982822</v>
          </cell>
          <cell r="E5">
            <v>271716</v>
          </cell>
          <cell r="F5">
            <v>3.617092846943132</v>
          </cell>
          <cell r="G5">
            <v>18.037440254912369</v>
          </cell>
          <cell r="H5">
            <v>31625</v>
          </cell>
          <cell r="I5">
            <v>65204</v>
          </cell>
          <cell r="J5">
            <v>96829</v>
          </cell>
          <cell r="K5">
            <v>0.35636105345286989</v>
          </cell>
          <cell r="L5">
            <v>0.1163899071088931</v>
          </cell>
          <cell r="M5">
            <v>0.23997114634397679</v>
          </cell>
          <cell r="N5">
            <v>0.2151253514699171</v>
          </cell>
          <cell r="O5">
            <v>0.1016833752889046</v>
          </cell>
          <cell r="P5">
            <v>2.1872101753301239E-2</v>
          </cell>
          <cell r="Q5">
            <v>0.30474465986544769</v>
          </cell>
          <cell r="R5">
            <v>1.9505660321806589E-4</v>
          </cell>
          <cell r="S5">
            <v>1.840156634132697E-5</v>
          </cell>
          <cell r="T5">
            <v>0.23491439591338009</v>
          </cell>
          <cell r="U5">
            <v>0.56499065200429865</v>
          </cell>
          <cell r="V5">
            <v>0.19655081040498171</v>
          </cell>
          <cell r="W5">
            <v>3.3895685200724291E-3</v>
          </cell>
          <cell r="X5">
            <v>1.361715909258196E-4</v>
          </cell>
          <cell r="Y5">
            <v>1.840156634132697E-5</v>
          </cell>
          <cell r="Z5">
            <v>4.4769042614023693</v>
          </cell>
          <cell r="AA5">
            <v>0.51077407709636125</v>
          </cell>
          <cell r="AB5">
            <v>7806</v>
          </cell>
          <cell r="AC5">
            <v>5702</v>
          </cell>
          <cell r="AD5">
            <v>5.8887316816243068E-2</v>
          </cell>
          <cell r="AE5">
            <v>1108644.6606999999</v>
          </cell>
          <cell r="AF5">
            <v>142.02468110427881</v>
          </cell>
        </row>
        <row r="6">
          <cell r="B6" t="str">
            <v>PLANTA GUADALUPE</v>
          </cell>
          <cell r="C6">
            <v>20266</v>
          </cell>
          <cell r="D6">
            <v>1538278</v>
          </cell>
          <cell r="E6">
            <v>441265</v>
          </cell>
          <cell r="F6">
            <v>3.4860639298380791</v>
          </cell>
          <cell r="G6">
            <v>21.773660317773611</v>
          </cell>
          <cell r="H6">
            <v>50291</v>
          </cell>
          <cell r="I6">
            <v>68424</v>
          </cell>
          <cell r="J6">
            <v>118715</v>
          </cell>
          <cell r="K6">
            <v>0.2690333473083068</v>
          </cell>
          <cell r="L6">
            <v>0.113970063340623</v>
          </cell>
          <cell r="M6">
            <v>0.15506328396768379</v>
          </cell>
          <cell r="N6">
            <v>0.20460494260818329</v>
          </cell>
          <cell r="O6">
            <v>0.1240456415079374</v>
          </cell>
          <cell r="P6">
            <v>1.945316306527823E-2</v>
          </cell>
          <cell r="Q6">
            <v>0.38279718536480339</v>
          </cell>
          <cell r="R6">
            <v>5.212287400994867E-5</v>
          </cell>
          <cell r="S6">
            <v>1.3597271480856169E-5</v>
          </cell>
          <cell r="T6">
            <v>0.27478499314470889</v>
          </cell>
          <cell r="U6">
            <v>0.4473728938393029</v>
          </cell>
          <cell r="V6">
            <v>0.27713958732281058</v>
          </cell>
          <cell r="W6">
            <v>5.6428676645553131E-4</v>
          </cell>
          <cell r="X6">
            <v>1.2464165524118161E-4</v>
          </cell>
          <cell r="Y6">
            <v>1.3597271480856169E-5</v>
          </cell>
          <cell r="Z6">
            <v>3.3446490166276841</v>
          </cell>
          <cell r="AA6">
            <v>0.51876188829327341</v>
          </cell>
          <cell r="AB6">
            <v>9284</v>
          </cell>
          <cell r="AC6">
            <v>6873</v>
          </cell>
          <cell r="AD6">
            <v>5.7894958514088372E-2</v>
          </cell>
          <cell r="AE6">
            <v>913432.57499999995</v>
          </cell>
          <cell r="AF6">
            <v>98.387825829383885</v>
          </cell>
        </row>
        <row r="7">
          <cell r="B7" t="str">
            <v>PLANTA MATAMOROS</v>
          </cell>
          <cell r="C7">
            <v>6688</v>
          </cell>
          <cell r="D7">
            <v>448470</v>
          </cell>
          <cell r="E7">
            <v>132561</v>
          </cell>
          <cell r="F7">
            <v>3.3831217326362961</v>
          </cell>
          <cell r="G7">
            <v>19.820723684210531</v>
          </cell>
          <cell r="H7">
            <v>2978</v>
          </cell>
          <cell r="I7">
            <v>12473</v>
          </cell>
          <cell r="J7">
            <v>15451</v>
          </cell>
          <cell r="K7">
            <v>0.1165576602469806</v>
          </cell>
          <cell r="L7">
            <v>2.2465129261245761E-2</v>
          </cell>
          <cell r="M7">
            <v>9.4092530985734862E-2</v>
          </cell>
          <cell r="N7">
            <v>0.21963473419784099</v>
          </cell>
          <cell r="O7">
            <v>6.9575516177457927E-2</v>
          </cell>
          <cell r="P7">
            <v>3.5168714780365269E-2</v>
          </cell>
          <cell r="Q7">
            <v>0.55898793762871435</v>
          </cell>
          <cell r="R7">
            <v>7.543696864085214E-5</v>
          </cell>
          <cell r="S7">
            <v>0</v>
          </cell>
          <cell r="T7">
            <v>5.976871025414715E-2</v>
          </cell>
          <cell r="U7">
            <v>0.47672392332586511</v>
          </cell>
          <cell r="V7">
            <v>0.46024094567783891</v>
          </cell>
          <cell r="W7">
            <v>3.1834400766439599E-3</v>
          </cell>
          <cell r="X7">
            <v>8.2980665504937354E-5</v>
          </cell>
          <cell r="Y7">
            <v>0</v>
          </cell>
          <cell r="Z7">
            <v>4.2923718420407164</v>
          </cell>
          <cell r="AA7">
            <v>0.58643833478270568</v>
          </cell>
          <cell r="AB7">
            <v>323</v>
          </cell>
          <cell r="AC7">
            <v>126</v>
          </cell>
          <cell r="AD7">
            <v>8.1548119862792055E-3</v>
          </cell>
          <cell r="AE7">
            <v>38937.196300000003</v>
          </cell>
          <cell r="AF7">
            <v>120.5485953560371</v>
          </cell>
        </row>
        <row r="8">
          <cell r="B8" t="str">
            <v>PLANTA MATEHUALA</v>
          </cell>
          <cell r="C8">
            <v>414</v>
          </cell>
          <cell r="D8">
            <v>11739</v>
          </cell>
          <cell r="E8">
            <v>2904</v>
          </cell>
          <cell r="F8">
            <v>4.0423553719008263</v>
          </cell>
          <cell r="G8">
            <v>7.0144927536231876</v>
          </cell>
          <cell r="H8">
            <v>0</v>
          </cell>
          <cell r="I8">
            <v>89</v>
          </cell>
          <cell r="J8">
            <v>89</v>
          </cell>
          <cell r="K8">
            <v>3.064738292011019E-2</v>
          </cell>
          <cell r="L8">
            <v>0</v>
          </cell>
          <cell r="M8">
            <v>3.064738292011019E-2</v>
          </cell>
          <cell r="N8">
            <v>0</v>
          </cell>
          <cell r="O8">
            <v>3.4435261707988982E-3</v>
          </cell>
          <cell r="P8">
            <v>0</v>
          </cell>
          <cell r="Q8">
            <v>0.96590909090909094</v>
          </cell>
          <cell r="R8">
            <v>0</v>
          </cell>
          <cell r="S8">
            <v>0</v>
          </cell>
          <cell r="T8">
            <v>2.8236914600550962E-2</v>
          </cell>
          <cell r="U8">
            <v>0.27169421487603312</v>
          </cell>
          <cell r="V8">
            <v>0.68078512396694213</v>
          </cell>
          <cell r="W8">
            <v>1.928374655647383E-2</v>
          </cell>
          <cell r="X8">
            <v>0</v>
          </cell>
          <cell r="Y8">
            <v>0</v>
          </cell>
          <cell r="Z8">
            <v>10.989010989010991</v>
          </cell>
          <cell r="AA8">
            <v>0.25555839509327882</v>
          </cell>
          <cell r="AB8">
            <v>35</v>
          </cell>
          <cell r="AC8">
            <v>5</v>
          </cell>
          <cell r="AD8">
            <v>5.6179775280898868E-2</v>
          </cell>
          <cell r="AE8">
            <v>7067.4657000000007</v>
          </cell>
          <cell r="AF8">
            <v>201.92759142857139</v>
          </cell>
        </row>
        <row r="9">
          <cell r="B9" t="str">
            <v>REYNOSA</v>
          </cell>
          <cell r="C9">
            <v>52</v>
          </cell>
          <cell r="D9">
            <v>11342</v>
          </cell>
          <cell r="E9">
            <v>3644</v>
          </cell>
          <cell r="F9">
            <v>3.1125137211855098</v>
          </cell>
          <cell r="G9">
            <v>70.07692307692308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1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1</v>
          </cell>
          <cell r="W9">
            <v>0</v>
          </cell>
          <cell r="X9">
            <v>0</v>
          </cell>
          <cell r="Y9">
            <v>0</v>
          </cell>
          <cell r="Z9">
            <v>5.3782401692823134</v>
          </cell>
          <cell r="AA9">
            <v>0.1763357432551578</v>
          </cell>
          <cell r="AB9">
            <v>0</v>
          </cell>
          <cell r="AC9">
            <v>0</v>
          </cell>
          <cell r="AE9">
            <v>0</v>
          </cell>
        </row>
        <row r="10">
          <cell r="B10" t="str">
            <v>SALTILLO</v>
          </cell>
          <cell r="C10">
            <v>283</v>
          </cell>
          <cell r="D10">
            <v>9269</v>
          </cell>
          <cell r="E10">
            <v>2356</v>
          </cell>
          <cell r="F10">
            <v>3.9342105263157889</v>
          </cell>
          <cell r="G10">
            <v>8.3250883392226154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0.26952461799660438</v>
          </cell>
          <cell r="O10">
            <v>0</v>
          </cell>
          <cell r="P10">
            <v>0</v>
          </cell>
          <cell r="Q10">
            <v>0.72283531409168078</v>
          </cell>
          <cell r="R10">
            <v>7.6400679117147709E-3</v>
          </cell>
          <cell r="S10">
            <v>0</v>
          </cell>
          <cell r="T10">
            <v>0</v>
          </cell>
          <cell r="U10">
            <v>0.26952461799660438</v>
          </cell>
          <cell r="V10">
            <v>0.64643463497453313</v>
          </cell>
          <cell r="W10">
            <v>8.4040747028862481E-2</v>
          </cell>
          <cell r="X10">
            <v>0</v>
          </cell>
          <cell r="Y10">
            <v>0</v>
          </cell>
          <cell r="Z10">
            <v>7.1205092242960406</v>
          </cell>
          <cell r="AA10">
            <v>0.1078865033984249</v>
          </cell>
          <cell r="AB10">
            <v>0</v>
          </cell>
          <cell r="AC10">
            <v>0</v>
          </cell>
          <cell r="AE10">
            <v>0</v>
          </cell>
        </row>
        <row r="11">
          <cell r="B11" t="str">
            <v>SUC ACUNA</v>
          </cell>
          <cell r="C11">
            <v>3440</v>
          </cell>
          <cell r="D11">
            <v>155019</v>
          </cell>
          <cell r="E11">
            <v>44677</v>
          </cell>
          <cell r="F11">
            <v>3.4697719184367801</v>
          </cell>
          <cell r="G11">
            <v>12.987500000000001</v>
          </cell>
          <cell r="H11">
            <v>36</v>
          </cell>
          <cell r="I11">
            <v>1389</v>
          </cell>
          <cell r="J11">
            <v>1425</v>
          </cell>
          <cell r="K11">
            <v>3.1895606240347381E-2</v>
          </cell>
          <cell r="L11">
            <v>8.0578373659824965E-4</v>
          </cell>
          <cell r="M11">
            <v>3.1089822503749129E-2</v>
          </cell>
          <cell r="N11">
            <v>8.6039796763435331E-2</v>
          </cell>
          <cell r="O11">
            <v>3.4156277279136907E-2</v>
          </cell>
          <cell r="P11">
            <v>6.4015041296416504E-3</v>
          </cell>
          <cell r="Q11">
            <v>0.84148443270586659</v>
          </cell>
          <cell r="R11">
            <v>0</v>
          </cell>
          <cell r="S11">
            <v>2.2382881572173599E-5</v>
          </cell>
          <cell r="T11">
            <v>2.236049869060143E-2</v>
          </cell>
          <cell r="U11">
            <v>0.24650267475434789</v>
          </cell>
          <cell r="V11">
            <v>0.7268393132931934</v>
          </cell>
          <cell r="W11">
            <v>4.0513015645634223E-3</v>
          </cell>
          <cell r="X11">
            <v>2.2382881572173601E-4</v>
          </cell>
          <cell r="Y11">
            <v>2.2382881572173599E-5</v>
          </cell>
          <cell r="Z11">
            <v>5.1735593701417253</v>
          </cell>
          <cell r="AA11">
            <v>0.40640179590888859</v>
          </cell>
          <cell r="AB11">
            <v>260</v>
          </cell>
          <cell r="AC11">
            <v>41</v>
          </cell>
          <cell r="AD11">
            <v>2.87719298245614E-2</v>
          </cell>
          <cell r="AE11">
            <v>75667.748399999997</v>
          </cell>
          <cell r="AF11">
            <v>291.02980153846153</v>
          </cell>
        </row>
        <row r="12">
          <cell r="B12" t="str">
            <v>SUC ESTADIO</v>
          </cell>
          <cell r="C12">
            <v>11172</v>
          </cell>
          <cell r="D12">
            <v>665105</v>
          </cell>
          <cell r="E12">
            <v>196271</v>
          </cell>
          <cell r="F12">
            <v>3.3887074504129489</v>
          </cell>
          <cell r="G12">
            <v>17.568116720372359</v>
          </cell>
          <cell r="H12">
            <v>15575</v>
          </cell>
          <cell r="I12">
            <v>36451</v>
          </cell>
          <cell r="J12">
            <v>52026</v>
          </cell>
          <cell r="K12">
            <v>0.26507227252115689</v>
          </cell>
          <cell r="L12">
            <v>7.9354565880848424E-2</v>
          </cell>
          <cell r="M12">
            <v>0.18571770664030859</v>
          </cell>
          <cell r="N12">
            <v>0.11493801937117561</v>
          </cell>
          <cell r="O12">
            <v>6.3004723061481319E-2</v>
          </cell>
          <cell r="P12">
            <v>0</v>
          </cell>
          <cell r="Q12">
            <v>0.5569849850461861</v>
          </cell>
          <cell r="R12">
            <v>0</v>
          </cell>
          <cell r="S12">
            <v>0</v>
          </cell>
          <cell r="T12">
            <v>0.1950262647054328</v>
          </cell>
          <cell r="U12">
            <v>0.43274859760229478</v>
          </cell>
          <cell r="V12">
            <v>0.3619485303483449</v>
          </cell>
          <cell r="W12">
            <v>1.0276607343927531E-2</v>
          </cell>
          <cell r="X12">
            <v>0</v>
          </cell>
          <cell r="Y12">
            <v>0</v>
          </cell>
          <cell r="Z12">
            <v>4.3632208448290113</v>
          </cell>
          <cell r="AA12">
            <v>0.44353899008427239</v>
          </cell>
          <cell r="AB12">
            <v>4070</v>
          </cell>
          <cell r="AC12">
            <v>2389</v>
          </cell>
          <cell r="AD12">
            <v>4.5919348018298542E-2</v>
          </cell>
          <cell r="AE12">
            <v>541109.27450000006</v>
          </cell>
          <cell r="AF12">
            <v>132.9506816953317</v>
          </cell>
        </row>
        <row r="13">
          <cell r="B13" t="str">
            <v>SUC PIEDRAS NEGRAS</v>
          </cell>
          <cell r="C13">
            <v>3745</v>
          </cell>
          <cell r="D13">
            <v>171297</v>
          </cell>
          <cell r="E13">
            <v>50374</v>
          </cell>
          <cell r="F13">
            <v>3.400504228371779</v>
          </cell>
          <cell r="G13">
            <v>13.45100133511349</v>
          </cell>
          <cell r="H13">
            <v>1558</v>
          </cell>
          <cell r="I13">
            <v>5870</v>
          </cell>
          <cell r="J13">
            <v>7428</v>
          </cell>
          <cell r="K13">
            <v>0.14745702147933459</v>
          </cell>
          <cell r="L13">
            <v>3.0928653670544329E-2</v>
          </cell>
          <cell r="M13">
            <v>0.11652836780879031</v>
          </cell>
          <cell r="N13">
            <v>0.24065986421566679</v>
          </cell>
          <cell r="O13">
            <v>0.2117957676579188</v>
          </cell>
          <cell r="P13">
            <v>1.332036367967602E-2</v>
          </cell>
          <cell r="Q13">
            <v>0.38672727994600392</v>
          </cell>
          <cell r="R13">
            <v>0</v>
          </cell>
          <cell r="S13">
            <v>3.9703021399928537E-5</v>
          </cell>
          <cell r="T13">
            <v>0.15581450748401951</v>
          </cell>
          <cell r="U13">
            <v>0.57815539762575929</v>
          </cell>
          <cell r="V13">
            <v>0.26599039186882117</v>
          </cell>
          <cell r="W13">
            <v>0</v>
          </cell>
          <cell r="X13">
            <v>0</v>
          </cell>
          <cell r="Y13">
            <v>3.9703021399928537E-5</v>
          </cell>
          <cell r="Z13">
            <v>3.8062546337647478</v>
          </cell>
          <cell r="AA13">
            <v>0.63048389639047964</v>
          </cell>
          <cell r="AB13">
            <v>417</v>
          </cell>
          <cell r="AC13">
            <v>246</v>
          </cell>
          <cell r="AD13">
            <v>3.3117932148626808E-2</v>
          </cell>
          <cell r="AE13">
            <v>80496.115000000005</v>
          </cell>
          <cell r="AF13">
            <v>193.03624700239811</v>
          </cell>
        </row>
        <row r="14">
          <cell r="B14" t="str">
            <v>SUC SABINAS COAH</v>
          </cell>
          <cell r="C14">
            <v>3891</v>
          </cell>
          <cell r="D14">
            <v>110609</v>
          </cell>
          <cell r="E14">
            <v>33902</v>
          </cell>
          <cell r="F14">
            <v>3.2626098755235682</v>
          </cell>
          <cell r="G14">
            <v>8.712927268054484</v>
          </cell>
          <cell r="H14">
            <v>1241</v>
          </cell>
          <cell r="I14">
            <v>2309</v>
          </cell>
          <cell r="J14">
            <v>3550</v>
          </cell>
          <cell r="K14">
            <v>0.10471358621910209</v>
          </cell>
          <cell r="L14">
            <v>3.6605509999410063E-2</v>
          </cell>
          <cell r="M14">
            <v>6.810807621969206E-2</v>
          </cell>
          <cell r="N14">
            <v>0.1808152911332665</v>
          </cell>
          <cell r="O14">
            <v>4.1413485930033633E-2</v>
          </cell>
          <cell r="P14">
            <v>4.3714235148368828E-2</v>
          </cell>
          <cell r="Q14">
            <v>0.62925491121467758</v>
          </cell>
          <cell r="R14">
            <v>0</v>
          </cell>
          <cell r="S14">
            <v>8.8490354551353908E-5</v>
          </cell>
          <cell r="T14">
            <v>0.1096395492891275</v>
          </cell>
          <cell r="U14">
            <v>0.56085186714648105</v>
          </cell>
          <cell r="V14">
            <v>0.32779777004306532</v>
          </cell>
          <cell r="W14">
            <v>1.622323166774822E-3</v>
          </cell>
          <cell r="X14">
            <v>0</v>
          </cell>
          <cell r="Y14">
            <v>8.8490354551353908E-5</v>
          </cell>
          <cell r="Z14">
            <v>6.0754549810594076</v>
          </cell>
          <cell r="AA14">
            <v>0.55149219322116649</v>
          </cell>
          <cell r="AB14">
            <v>242</v>
          </cell>
          <cell r="AC14">
            <v>54</v>
          </cell>
          <cell r="AD14">
            <v>1.5211267605633801E-2</v>
          </cell>
          <cell r="AE14">
            <v>42994.448400000001</v>
          </cell>
          <cell r="AF14">
            <v>177.6630099173554</v>
          </cell>
        </row>
        <row r="15">
          <cell r="B15" t="str">
            <v>SUC SANTA RITA</v>
          </cell>
          <cell r="C15">
            <v>2671</v>
          </cell>
          <cell r="D15">
            <v>115814</v>
          </cell>
          <cell r="E15">
            <v>34287</v>
          </cell>
          <cell r="F15">
            <v>3.3777816665208391</v>
          </cell>
          <cell r="G15">
            <v>12.836765256458261</v>
          </cell>
          <cell r="H15">
            <v>6269</v>
          </cell>
          <cell r="I15">
            <v>7003</v>
          </cell>
          <cell r="J15">
            <v>13272</v>
          </cell>
          <cell r="K15">
            <v>0.38708548429433898</v>
          </cell>
          <cell r="L15">
            <v>0.18283897687170059</v>
          </cell>
          <cell r="M15">
            <v>0.20424650742263831</v>
          </cell>
          <cell r="N15">
            <v>0.1048210692099046</v>
          </cell>
          <cell r="O15">
            <v>2.2836643625864031E-2</v>
          </cell>
          <cell r="P15">
            <v>0</v>
          </cell>
          <cell r="Q15">
            <v>0.48522763729693469</v>
          </cell>
          <cell r="R15">
            <v>0</v>
          </cell>
          <cell r="S15">
            <v>2.916557295768075E-5</v>
          </cell>
          <cell r="T15">
            <v>0.32222125003645702</v>
          </cell>
          <cell r="U15">
            <v>0.29130574270131537</v>
          </cell>
          <cell r="V15">
            <v>0.37906495173097682</v>
          </cell>
          <cell r="W15">
            <v>7.3788899582932308E-3</v>
          </cell>
          <cell r="X15">
            <v>0</v>
          </cell>
          <cell r="Y15">
            <v>2.916557295768075E-5</v>
          </cell>
          <cell r="Z15">
            <v>5.5692748717771599</v>
          </cell>
          <cell r="AA15">
            <v>0.5871483585749564</v>
          </cell>
          <cell r="AB15">
            <v>959</v>
          </cell>
          <cell r="AC15">
            <v>614</v>
          </cell>
          <cell r="AD15">
            <v>4.626280892103677E-2</v>
          </cell>
          <cell r="AE15">
            <v>169827.47959999999</v>
          </cell>
          <cell r="AF15">
            <v>177.08809134515121</v>
          </cell>
        </row>
        <row r="16">
          <cell r="B16" t="str">
            <v>SUCURSAL JUVENTUD</v>
          </cell>
          <cell r="C16">
            <v>10732</v>
          </cell>
          <cell r="D16">
            <v>841295</v>
          </cell>
          <cell r="E16">
            <v>246450</v>
          </cell>
          <cell r="F16">
            <v>3.4136538851694049</v>
          </cell>
          <cell r="G16">
            <v>22.964032799105478</v>
          </cell>
          <cell r="H16">
            <v>23554</v>
          </cell>
          <cell r="I16">
            <v>99058</v>
          </cell>
          <cell r="J16">
            <v>122612</v>
          </cell>
          <cell r="K16">
            <v>0.49751268005680671</v>
          </cell>
          <cell r="L16">
            <v>9.5573138567660781E-2</v>
          </cell>
          <cell r="M16">
            <v>0.40193954148914579</v>
          </cell>
          <cell r="N16">
            <v>0.2233597078514912</v>
          </cell>
          <cell r="O16">
            <v>9.5532562385879483E-2</v>
          </cell>
          <cell r="P16">
            <v>8.1152363562588761E-6</v>
          </cell>
          <cell r="Q16">
            <v>0.183574761614932</v>
          </cell>
          <cell r="R16">
            <v>0</v>
          </cell>
          <cell r="S16">
            <v>1.217285453438831E-5</v>
          </cell>
          <cell r="T16">
            <v>0.55174274700750658</v>
          </cell>
          <cell r="U16">
            <v>0.32447149523229862</v>
          </cell>
          <cell r="V16">
            <v>0.1233272469060661</v>
          </cell>
          <cell r="W16">
            <v>4.4633799959423821E-4</v>
          </cell>
          <cell r="X16">
            <v>0</v>
          </cell>
          <cell r="Y16">
            <v>1.217285453438831E-5</v>
          </cell>
          <cell r="Z16">
            <v>2.5092268467065648</v>
          </cell>
          <cell r="AA16">
            <v>0.76905247267605303</v>
          </cell>
          <cell r="AB16">
            <v>5203</v>
          </cell>
          <cell r="AC16">
            <v>3784</v>
          </cell>
          <cell r="AD16">
            <v>3.086157961700323E-2</v>
          </cell>
          <cell r="AE16">
            <v>538728.65789999999</v>
          </cell>
          <cell r="AF16">
            <v>103.54192925235439</v>
          </cell>
        </row>
        <row r="17">
          <cell r="B17" t="str">
            <v>SUCURSAL LINCOLN</v>
          </cell>
          <cell r="C17">
            <v>21423</v>
          </cell>
          <cell r="D17">
            <v>1687453</v>
          </cell>
          <cell r="E17">
            <v>482439</v>
          </cell>
          <cell r="F17">
            <v>3.4977541202100162</v>
          </cell>
          <cell r="G17">
            <v>22.519675115530038</v>
          </cell>
          <cell r="H17">
            <v>54212</v>
          </cell>
          <cell r="I17">
            <v>81580</v>
          </cell>
          <cell r="J17">
            <v>135792</v>
          </cell>
          <cell r="K17">
            <v>0.28146978167187969</v>
          </cell>
          <cell r="L17">
            <v>0.1123706831329971</v>
          </cell>
          <cell r="M17">
            <v>0.16909909853888261</v>
          </cell>
          <cell r="N17">
            <v>0.1041416635056453</v>
          </cell>
          <cell r="O17">
            <v>9.0166839745542959E-2</v>
          </cell>
          <cell r="P17">
            <v>2.7460466504573639E-2</v>
          </cell>
          <cell r="Q17">
            <v>0.49666797253124229</v>
          </cell>
          <cell r="R17">
            <v>7.8766434720244419E-5</v>
          </cell>
          <cell r="S17">
            <v>1.4509606395834501E-5</v>
          </cell>
          <cell r="T17">
            <v>0.3035430386017714</v>
          </cell>
          <cell r="U17">
            <v>0.29292407952093419</v>
          </cell>
          <cell r="V17">
            <v>0.39482297243796632</v>
          </cell>
          <cell r="W17">
            <v>8.606269393643548E-3</v>
          </cell>
          <cell r="X17">
            <v>8.9130439288697644E-5</v>
          </cell>
          <cell r="Y17">
            <v>1.4509606395834501E-5</v>
          </cell>
          <cell r="Z17">
            <v>3.7612899440754788</v>
          </cell>
          <cell r="AA17">
            <v>0.49956946949040948</v>
          </cell>
          <cell r="AB17">
            <v>10706</v>
          </cell>
          <cell r="AC17">
            <v>7271</v>
          </cell>
          <cell r="AD17">
            <v>5.3545127842582772E-2</v>
          </cell>
          <cell r="AE17">
            <v>852298.87509999995</v>
          </cell>
          <cell r="AF17">
            <v>79.60945965813562</v>
          </cell>
        </row>
        <row r="18">
          <cell r="B18" t="str">
            <v>SUCURSAL MONCLOVA</v>
          </cell>
          <cell r="C18">
            <v>7108</v>
          </cell>
          <cell r="D18">
            <v>364026</v>
          </cell>
          <cell r="E18">
            <v>105882</v>
          </cell>
          <cell r="F18">
            <v>3.4380347934493121</v>
          </cell>
          <cell r="G18">
            <v>14.89617332583005</v>
          </cell>
          <cell r="H18">
            <v>4080</v>
          </cell>
          <cell r="I18">
            <v>17047</v>
          </cell>
          <cell r="J18">
            <v>21127</v>
          </cell>
          <cell r="K18">
            <v>0.19953344288925409</v>
          </cell>
          <cell r="L18">
            <v>3.8533461778205928E-2</v>
          </cell>
          <cell r="M18">
            <v>0.16099998111104821</v>
          </cell>
          <cell r="N18">
            <v>9.4983094388092409E-2</v>
          </cell>
          <cell r="O18">
            <v>0.10966925445307039</v>
          </cell>
          <cell r="P18">
            <v>6.0539090685857843E-3</v>
          </cell>
          <cell r="Q18">
            <v>0.58874029580098597</v>
          </cell>
          <cell r="R18">
            <v>1.010558924085303E-3</v>
          </cell>
          <cell r="S18">
            <v>9.4444759260308643E-6</v>
          </cell>
          <cell r="T18">
            <v>0.10858313972157679</v>
          </cell>
          <cell r="U18">
            <v>0.60098978107704804</v>
          </cell>
          <cell r="V18">
            <v>0.28621484293836541</v>
          </cell>
          <cell r="W18">
            <v>3.4944560926314198E-3</v>
          </cell>
          <cell r="X18">
            <v>7.0833569445231481E-4</v>
          </cell>
          <cell r="Y18">
            <v>9.4444759260308643E-6</v>
          </cell>
          <cell r="Z18">
            <v>5.1617192178580664</v>
          </cell>
          <cell r="AA18">
            <v>0.55765247537263818</v>
          </cell>
          <cell r="AB18">
            <v>459</v>
          </cell>
          <cell r="AC18">
            <v>238</v>
          </cell>
          <cell r="AD18">
            <v>1.126520566100251E-2</v>
          </cell>
          <cell r="AE18">
            <v>192641.2047</v>
          </cell>
          <cell r="AF18">
            <v>419.69761372549021</v>
          </cell>
        </row>
        <row r="19">
          <cell r="B19" t="str">
            <v>SUCURSAL REYNOSA</v>
          </cell>
          <cell r="C19">
            <v>12918</v>
          </cell>
          <cell r="D19">
            <v>764345</v>
          </cell>
          <cell r="E19">
            <v>233255</v>
          </cell>
          <cell r="F19">
            <v>3.276864375897623</v>
          </cell>
          <cell r="G19">
            <v>18.056587707075401</v>
          </cell>
          <cell r="H19">
            <v>2611</v>
          </cell>
          <cell r="I19">
            <v>16980</v>
          </cell>
          <cell r="J19">
            <v>19591</v>
          </cell>
          <cell r="K19">
            <v>8.3989625088422545E-2</v>
          </cell>
          <cell r="L19">
            <v>1.119375790443935E-2</v>
          </cell>
          <cell r="M19">
            <v>7.279586718398319E-2</v>
          </cell>
          <cell r="N19">
            <v>0.189573642580009</v>
          </cell>
          <cell r="O19">
            <v>7.5183811708216336E-2</v>
          </cell>
          <cell r="P19">
            <v>2.7544961522796941E-2</v>
          </cell>
          <cell r="Q19">
            <v>0.62368223617928875</v>
          </cell>
          <cell r="R19">
            <v>4.2871535444041934E-6</v>
          </cell>
          <cell r="S19">
            <v>2.1435767722020959E-5</v>
          </cell>
          <cell r="T19">
            <v>7.8690703307538953E-2</v>
          </cell>
          <cell r="U19">
            <v>0.37247218709138069</v>
          </cell>
          <cell r="V19">
            <v>0.53814066150779194</v>
          </cell>
          <cell r="W19">
            <v>1.0143405286060321E-2</v>
          </cell>
          <cell r="X19">
            <v>5.3160703950611986E-4</v>
          </cell>
          <cell r="Y19">
            <v>2.1435767722020959E-5</v>
          </cell>
          <cell r="Z19">
            <v>4.5293682826472326</v>
          </cell>
          <cell r="AA19">
            <v>0.59266430734812159</v>
          </cell>
          <cell r="AB19">
            <v>613</v>
          </cell>
          <cell r="AC19">
            <v>308</v>
          </cell>
          <cell r="AD19">
            <v>1.5721504772599659E-2</v>
          </cell>
          <cell r="AE19">
            <v>93720.192800000004</v>
          </cell>
          <cell r="AF19">
            <v>152.88775334420879</v>
          </cell>
        </row>
        <row r="20">
          <cell r="B20" t="str">
            <v>SUCURSAL SANTA CATARINA</v>
          </cell>
          <cell r="C20">
            <v>6072</v>
          </cell>
          <cell r="D20">
            <v>505795</v>
          </cell>
          <cell r="E20">
            <v>139026</v>
          </cell>
          <cell r="F20">
            <v>3.638132435659517</v>
          </cell>
          <cell r="G20">
            <v>22.896245059288539</v>
          </cell>
          <cell r="H20">
            <v>36782</v>
          </cell>
          <cell r="I20">
            <v>18787</v>
          </cell>
          <cell r="J20">
            <v>55569</v>
          </cell>
          <cell r="K20">
            <v>0.39970221397436451</v>
          </cell>
          <cell r="L20">
            <v>0.26456921726871241</v>
          </cell>
          <cell r="M20">
            <v>0.13513299670565221</v>
          </cell>
          <cell r="N20">
            <v>0.24642153266295511</v>
          </cell>
          <cell r="O20">
            <v>8.2207644613237818E-2</v>
          </cell>
          <cell r="P20">
            <v>0</v>
          </cell>
          <cell r="Q20">
            <v>0.27145282177434438</v>
          </cell>
          <cell r="R20">
            <v>2.0859407592824361E-4</v>
          </cell>
          <cell r="S20">
            <v>7.1928991699394358E-6</v>
          </cell>
          <cell r="T20">
            <v>0.44908146677599869</v>
          </cell>
          <cell r="U20">
            <v>0.39784644598852009</v>
          </cell>
          <cell r="V20">
            <v>0.1524606908060363</v>
          </cell>
          <cell r="W20">
            <v>3.4525916015709288E-4</v>
          </cell>
          <cell r="X20">
            <v>2.5894437011781969E-4</v>
          </cell>
          <cell r="Y20">
            <v>7.1928991699394358E-6</v>
          </cell>
          <cell r="Z20">
            <v>2.7165155843770701</v>
          </cell>
          <cell r="AA20">
            <v>0.53183602052214829</v>
          </cell>
          <cell r="AB20">
            <v>8081</v>
          </cell>
          <cell r="AC20">
            <v>5609</v>
          </cell>
          <cell r="AD20">
            <v>0.100937573107308</v>
          </cell>
          <cell r="AE20">
            <v>838521.42260000005</v>
          </cell>
          <cell r="AF20">
            <v>103.7645616384111</v>
          </cell>
        </row>
        <row r="21">
          <cell r="B21" t="str">
            <v>SUCURSAL UNIVERSIDAD</v>
          </cell>
          <cell r="C21">
            <v>6503</v>
          </cell>
          <cell r="D21">
            <v>565786</v>
          </cell>
          <cell r="E21">
            <v>154326</v>
          </cell>
          <cell r="F21">
            <v>3.6661742026618982</v>
          </cell>
          <cell r="G21">
            <v>23.731508534522529</v>
          </cell>
          <cell r="H21">
            <v>2048</v>
          </cell>
          <cell r="I21">
            <v>30574</v>
          </cell>
          <cell r="J21">
            <v>32622</v>
          </cell>
          <cell r="K21">
            <v>0.2113836942576105</v>
          </cell>
          <cell r="L21">
            <v>1.327060897062063E-2</v>
          </cell>
          <cell r="M21">
            <v>0.1981130852869899</v>
          </cell>
          <cell r="N21">
            <v>0.21072923551443051</v>
          </cell>
          <cell r="O21">
            <v>0.20655625105296579</v>
          </cell>
          <cell r="P21">
            <v>2.3910423389448309E-3</v>
          </cell>
          <cell r="Q21">
            <v>0.36875834272902819</v>
          </cell>
          <cell r="R21">
            <v>1.6847452794733231E-4</v>
          </cell>
          <cell r="S21">
            <v>1.2959579072871709E-5</v>
          </cell>
          <cell r="T21">
            <v>0.23244949004056351</v>
          </cell>
          <cell r="U21">
            <v>0.5749452457784171</v>
          </cell>
          <cell r="V21">
            <v>0.19125746795744081</v>
          </cell>
          <cell r="W21">
            <v>1.3024376968236071E-3</v>
          </cell>
          <cell r="X21">
            <v>3.2398947682179283E-5</v>
          </cell>
          <cell r="Y21">
            <v>1.2959579072871709E-5</v>
          </cell>
          <cell r="Z21">
            <v>3.5667195724178402</v>
          </cell>
          <cell r="AA21">
            <v>0.4595377050687009</v>
          </cell>
          <cell r="AB21">
            <v>1179</v>
          </cell>
          <cell r="AC21">
            <v>572</v>
          </cell>
          <cell r="AD21">
            <v>1.753417938814297E-2</v>
          </cell>
          <cell r="AE21">
            <v>72682.645699999994</v>
          </cell>
          <cell r="AF21">
            <v>61.647706276505509</v>
          </cell>
        </row>
        <row r="22">
          <cell r="B22" t="str">
            <v>CHIHUAHUA</v>
          </cell>
          <cell r="C22">
            <v>1256</v>
          </cell>
          <cell r="D22">
            <v>18341</v>
          </cell>
          <cell r="E22">
            <v>5917</v>
          </cell>
          <cell r="F22">
            <v>3.099712692242691</v>
          </cell>
          <cell r="G22">
            <v>4.7109872611464967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1.6900456312320431E-4</v>
          </cell>
          <cell r="O22">
            <v>9.6332600980226467E-3</v>
          </cell>
          <cell r="P22">
            <v>2.518167990535744E-2</v>
          </cell>
          <cell r="Q22">
            <v>0.96281899611289501</v>
          </cell>
          <cell r="R22">
            <v>1.690045631232043E-3</v>
          </cell>
          <cell r="S22">
            <v>5.0701368936961299E-4</v>
          </cell>
          <cell r="T22">
            <v>0</v>
          </cell>
          <cell r="U22">
            <v>1.216832854487071E-2</v>
          </cell>
          <cell r="V22">
            <v>0.97464931553151934</v>
          </cell>
          <cell r="W22">
            <v>1.0985296603008281E-2</v>
          </cell>
          <cell r="X22">
            <v>1.690045631232043E-3</v>
          </cell>
          <cell r="Y22">
            <v>5.0701368936961299E-4</v>
          </cell>
          <cell r="Z22">
            <v>4.4708576413499808</v>
          </cell>
          <cell r="AA22">
            <v>0.38165857913963253</v>
          </cell>
          <cell r="AB22">
            <v>0</v>
          </cell>
          <cell r="AC22">
            <v>0</v>
          </cell>
          <cell r="AE22">
            <v>0</v>
          </cell>
        </row>
        <row r="23">
          <cell r="B23" t="str">
            <v>DURANGO</v>
          </cell>
          <cell r="C23">
            <v>43</v>
          </cell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AB23">
            <v>0</v>
          </cell>
          <cell r="AC23">
            <v>0</v>
          </cell>
          <cell r="AE23">
            <v>0</v>
          </cell>
        </row>
        <row r="24">
          <cell r="B24" t="str">
            <v>PLANTA AGUASCALIENTES</v>
          </cell>
          <cell r="C24">
            <v>6</v>
          </cell>
          <cell r="D24">
            <v>0</v>
          </cell>
          <cell r="E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AB24">
            <v>0</v>
          </cell>
          <cell r="AC24">
            <v>0</v>
          </cell>
          <cell r="AE24">
            <v>0</v>
          </cell>
        </row>
        <row r="25">
          <cell r="B25" t="str">
            <v>PLANTA CD JUAREZ</v>
          </cell>
          <cell r="C25">
            <v>22163</v>
          </cell>
          <cell r="D25">
            <v>1461252</v>
          </cell>
          <cell r="E25">
            <v>434707</v>
          </cell>
          <cell r="F25">
            <v>3.3614641586171841</v>
          </cell>
          <cell r="G25">
            <v>19.61408654063078</v>
          </cell>
          <cell r="H25">
            <v>34649</v>
          </cell>
          <cell r="I25">
            <v>35898</v>
          </cell>
          <cell r="J25">
            <v>70547</v>
          </cell>
          <cell r="K25">
            <v>0.16228632159132469</v>
          </cell>
          <cell r="L25">
            <v>7.9706560970952856E-2</v>
          </cell>
          <cell r="M25">
            <v>8.2579760620371881E-2</v>
          </cell>
          <cell r="N25">
            <v>0.31450609260950479</v>
          </cell>
          <cell r="O25">
            <v>3.9918841886604078E-2</v>
          </cell>
          <cell r="P25">
            <v>1.442350824808434E-3</v>
          </cell>
          <cell r="Q25">
            <v>0.48177968148661049</v>
          </cell>
          <cell r="R25">
            <v>4.1407200712203848E-5</v>
          </cell>
          <cell r="S25">
            <v>2.5304400435235691E-5</v>
          </cell>
          <cell r="T25">
            <v>0.19802073580595669</v>
          </cell>
          <cell r="U25">
            <v>0.44461441844736799</v>
          </cell>
          <cell r="V25">
            <v>0.35624225052736669</v>
          </cell>
          <cell r="W25">
            <v>9.6846841665765673E-4</v>
          </cell>
          <cell r="X25">
            <v>1.2882240221574531E-4</v>
          </cell>
          <cell r="Y25">
            <v>2.5304400435235691E-5</v>
          </cell>
          <cell r="Z25">
            <v>3.4135111534492339</v>
          </cell>
          <cell r="AA25">
            <v>0.29426820288355471</v>
          </cell>
          <cell r="AB25">
            <v>6152</v>
          </cell>
          <cell r="AC25">
            <v>4267</v>
          </cell>
          <cell r="AD25">
            <v>6.0484499695238628E-2</v>
          </cell>
          <cell r="AE25">
            <v>1023620.6929</v>
          </cell>
          <cell r="AF25">
            <v>166.38827907997401</v>
          </cell>
        </row>
        <row r="26">
          <cell r="B26" t="str">
            <v>PLANTA CHIHUAHUA</v>
          </cell>
          <cell r="C26">
            <v>19590</v>
          </cell>
          <cell r="D26">
            <v>924974</v>
          </cell>
          <cell r="E26">
            <v>296066</v>
          </cell>
          <cell r="F26">
            <v>3.1242155465335428</v>
          </cell>
          <cell r="G26">
            <v>15.113118938233789</v>
          </cell>
          <cell r="H26">
            <v>36777</v>
          </cell>
          <cell r="I26">
            <v>68626</v>
          </cell>
          <cell r="J26">
            <v>105403</v>
          </cell>
          <cell r="K26">
            <v>0.35601183519890828</v>
          </cell>
          <cell r="L26">
            <v>0.1242189241588024</v>
          </cell>
          <cell r="M26">
            <v>0.23179291104010591</v>
          </cell>
          <cell r="N26">
            <v>0.30798200401261883</v>
          </cell>
          <cell r="O26">
            <v>3.0483067964575471E-2</v>
          </cell>
          <cell r="P26">
            <v>6.5796140049853751E-3</v>
          </cell>
          <cell r="Q26">
            <v>0.29869015692446949</v>
          </cell>
          <cell r="R26">
            <v>1.9590226503549881E-4</v>
          </cell>
          <cell r="S26">
            <v>5.741962940695656E-5</v>
          </cell>
          <cell r="T26">
            <v>0.38954489877257098</v>
          </cell>
          <cell r="U26">
            <v>0.45140948302067779</v>
          </cell>
          <cell r="V26">
            <v>0.15038538704207849</v>
          </cell>
          <cell r="W26">
            <v>8.4981051522295698E-3</v>
          </cell>
          <cell r="X26">
            <v>1.047063830362149E-4</v>
          </cell>
          <cell r="Y26">
            <v>5.741962940695656E-5</v>
          </cell>
          <cell r="Z26">
            <v>2.930893192673524</v>
          </cell>
          <cell r="AA26">
            <v>0.45082348260599758</v>
          </cell>
          <cell r="AB26">
            <v>2713</v>
          </cell>
          <cell r="AC26">
            <v>2143</v>
          </cell>
          <cell r="AD26">
            <v>2.0331489616045081E-2</v>
          </cell>
          <cell r="AE26">
            <v>340158.94319999998</v>
          </cell>
          <cell r="AF26">
            <v>125.38110696645781</v>
          </cell>
        </row>
        <row r="27">
          <cell r="B27" t="str">
            <v>PLANTA GUADIANA</v>
          </cell>
          <cell r="C27">
            <v>11186</v>
          </cell>
          <cell r="D27">
            <v>616044</v>
          </cell>
          <cell r="E27">
            <v>168602</v>
          </cell>
          <cell r="F27">
            <v>3.6538356603124522</v>
          </cell>
          <cell r="G27">
            <v>15.072590738423029</v>
          </cell>
          <cell r="H27">
            <v>24455</v>
          </cell>
          <cell r="I27">
            <v>37786</v>
          </cell>
          <cell r="J27">
            <v>62241</v>
          </cell>
          <cell r="K27">
            <v>0.36915932195347623</v>
          </cell>
          <cell r="L27">
            <v>0.14504572899491111</v>
          </cell>
          <cell r="M27">
            <v>0.22411359295856509</v>
          </cell>
          <cell r="N27">
            <v>7.5200768674155705E-2</v>
          </cell>
          <cell r="O27">
            <v>6.059833216687821E-2</v>
          </cell>
          <cell r="P27">
            <v>5.3083593314432803E-3</v>
          </cell>
          <cell r="Q27">
            <v>0.48956714629719689</v>
          </cell>
          <cell r="R27">
            <v>7.7104660680181732E-5</v>
          </cell>
          <cell r="S27">
            <v>8.8966916169440458E-5</v>
          </cell>
          <cell r="T27">
            <v>0.2344040995954971</v>
          </cell>
          <cell r="U27">
            <v>0.45570040687536328</v>
          </cell>
          <cell r="V27">
            <v>0.29351371869847331</v>
          </cell>
          <cell r="W27">
            <v>1.6245358892539832E-2</v>
          </cell>
          <cell r="X27">
            <v>4.744902195703491E-5</v>
          </cell>
          <cell r="Y27">
            <v>8.8966916169440458E-5</v>
          </cell>
          <cell r="Z27">
            <v>4.5337670685860108</v>
          </cell>
          <cell r="AA27">
            <v>0.3765964768750284</v>
          </cell>
          <cell r="AB27">
            <v>10825</v>
          </cell>
          <cell r="AC27">
            <v>6675</v>
          </cell>
          <cell r="AD27">
            <v>0.1072444208801272</v>
          </cell>
          <cell r="AE27">
            <v>2112353.2801000001</v>
          </cell>
          <cell r="AF27">
            <v>195.13656167205539</v>
          </cell>
        </row>
        <row r="28">
          <cell r="B28" t="str">
            <v>PLANTA ZACATECAS</v>
          </cell>
          <cell r="C28">
            <v>8916</v>
          </cell>
          <cell r="D28">
            <v>387332</v>
          </cell>
          <cell r="E28">
            <v>109490</v>
          </cell>
          <cell r="F28">
            <v>3.5376016074527352</v>
          </cell>
          <cell r="G28">
            <v>12.28017048003589</v>
          </cell>
          <cell r="H28">
            <v>13676</v>
          </cell>
          <cell r="I28">
            <v>34857</v>
          </cell>
          <cell r="J28">
            <v>48533</v>
          </cell>
          <cell r="K28">
            <v>0.44326422504338298</v>
          </cell>
          <cell r="L28">
            <v>0.1249063841446707</v>
          </cell>
          <cell r="M28">
            <v>0.31835784089871222</v>
          </cell>
          <cell r="N28">
            <v>0.1518586172253174</v>
          </cell>
          <cell r="O28">
            <v>0.1054799525070783</v>
          </cell>
          <cell r="P28">
            <v>2.1764544707279201E-2</v>
          </cell>
          <cell r="Q28">
            <v>0.27676500136998811</v>
          </cell>
          <cell r="R28">
            <v>5.5712850488629103E-4</v>
          </cell>
          <cell r="S28">
            <v>3.1053064206776869E-4</v>
          </cell>
          <cell r="T28">
            <v>0.34321855877249058</v>
          </cell>
          <cell r="U28">
            <v>0.47213444150150702</v>
          </cell>
          <cell r="V28">
            <v>0.18026303772033969</v>
          </cell>
          <cell r="W28">
            <v>3.5711023837793399E-3</v>
          </cell>
          <cell r="X28">
            <v>5.0232897981550826E-4</v>
          </cell>
          <cell r="Y28">
            <v>3.1053064206776869E-4</v>
          </cell>
          <cell r="Z28">
            <v>4.8046636993586898</v>
          </cell>
          <cell r="AA28">
            <v>0.4750446645255233</v>
          </cell>
          <cell r="AB28">
            <v>4056</v>
          </cell>
          <cell r="AC28">
            <v>2484</v>
          </cell>
          <cell r="AD28">
            <v>5.1181670203778867E-2</v>
          </cell>
          <cell r="AE28">
            <v>845094.78879999998</v>
          </cell>
          <cell r="AF28">
            <v>208.35670335305721</v>
          </cell>
        </row>
        <row r="29">
          <cell r="B29" t="str">
            <v>SANTA RITA</v>
          </cell>
          <cell r="C29">
            <v>1</v>
          </cell>
          <cell r="D29">
            <v>0</v>
          </cell>
          <cell r="E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AB29">
            <v>0</v>
          </cell>
          <cell r="AC29">
            <v>0</v>
          </cell>
          <cell r="AE29">
            <v>0</v>
          </cell>
        </row>
        <row r="30">
          <cell r="B30" t="str">
            <v>SIN NOMBRE 16</v>
          </cell>
          <cell r="C30">
            <v>6</v>
          </cell>
          <cell r="D30">
            <v>19</v>
          </cell>
          <cell r="E30">
            <v>5</v>
          </cell>
          <cell r="F30">
            <v>3.8</v>
          </cell>
          <cell r="G30">
            <v>0.83333333333333337</v>
          </cell>
          <cell r="H30">
            <v>0</v>
          </cell>
          <cell r="I30">
            <v>4</v>
          </cell>
          <cell r="J30">
            <v>4</v>
          </cell>
          <cell r="K30">
            <v>0.8</v>
          </cell>
          <cell r="L30">
            <v>0</v>
          </cell>
          <cell r="M30">
            <v>0.8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0.2</v>
          </cell>
          <cell r="T30">
            <v>0</v>
          </cell>
          <cell r="U30">
            <v>0.8</v>
          </cell>
          <cell r="V30">
            <v>0</v>
          </cell>
          <cell r="W30">
            <v>0</v>
          </cell>
          <cell r="X30">
            <v>0</v>
          </cell>
          <cell r="Y30">
            <v>0.2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</row>
        <row r="31">
          <cell r="B31" t="str">
            <v>SUC ESTADIO</v>
          </cell>
          <cell r="C31">
            <v>1</v>
          </cell>
          <cell r="D31">
            <v>0</v>
          </cell>
          <cell r="E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AB31">
            <v>0</v>
          </cell>
          <cell r="AC31">
            <v>0</v>
          </cell>
          <cell r="AE31">
            <v>0</v>
          </cell>
        </row>
        <row r="32">
          <cell r="B32" t="str">
            <v>SUC FRESNILLO</v>
          </cell>
          <cell r="C32">
            <v>3608</v>
          </cell>
          <cell r="D32">
            <v>155367</v>
          </cell>
          <cell r="E32">
            <v>41755</v>
          </cell>
          <cell r="F32">
            <v>3.7209196503412771</v>
          </cell>
          <cell r="G32">
            <v>11.572893569844791</v>
          </cell>
          <cell r="H32">
            <v>9</v>
          </cell>
          <cell r="I32">
            <v>6874</v>
          </cell>
          <cell r="J32">
            <v>6883</v>
          </cell>
          <cell r="K32">
            <v>0.16484253382828401</v>
          </cell>
          <cell r="L32">
            <v>2.1554304873667819E-4</v>
          </cell>
          <cell r="M32">
            <v>0.1646269907795474</v>
          </cell>
          <cell r="N32">
            <v>0.32264399473116989</v>
          </cell>
          <cell r="O32">
            <v>6.2100347263800752E-2</v>
          </cell>
          <cell r="P32">
            <v>2.1123218776194469E-2</v>
          </cell>
          <cell r="Q32">
            <v>0.4286911747096156</v>
          </cell>
          <cell r="R32">
            <v>2.1554304873667819E-4</v>
          </cell>
          <cell r="S32">
            <v>3.8318764219853909E-4</v>
          </cell>
          <cell r="T32">
            <v>3.7480541252544602E-2</v>
          </cell>
          <cell r="U32">
            <v>0.64037839779667105</v>
          </cell>
          <cell r="V32">
            <v>0.31189079152197341</v>
          </cell>
          <cell r="W32">
            <v>9.8670817866123809E-3</v>
          </cell>
          <cell r="X32">
            <v>0</v>
          </cell>
          <cell r="Y32">
            <v>3.8318764219853909E-4</v>
          </cell>
          <cell r="Z32">
            <v>6.6487735490805644</v>
          </cell>
          <cell r="AA32">
            <v>0.28963679545849502</v>
          </cell>
          <cell r="AB32">
            <v>1396</v>
          </cell>
          <cell r="AC32">
            <v>329</v>
          </cell>
          <cell r="AD32">
            <v>4.7798924887403747E-2</v>
          </cell>
          <cell r="AE32">
            <v>243517.35219999999</v>
          </cell>
          <cell r="AF32">
            <v>174.43936404011461</v>
          </cell>
        </row>
        <row r="33">
          <cell r="B33" t="str">
            <v>SUC LORETO</v>
          </cell>
          <cell r="C33">
            <v>1034</v>
          </cell>
          <cell r="D33">
            <v>37669</v>
          </cell>
          <cell r="E33">
            <v>9211</v>
          </cell>
          <cell r="F33">
            <v>4.0895668222777113</v>
          </cell>
          <cell r="G33">
            <v>8.9081237911025148</v>
          </cell>
          <cell r="H33">
            <v>17</v>
          </cell>
          <cell r="I33">
            <v>501</v>
          </cell>
          <cell r="J33">
            <v>518</v>
          </cell>
          <cell r="K33">
            <v>5.623710780588427E-2</v>
          </cell>
          <cell r="L33">
            <v>1.845619368146781E-3</v>
          </cell>
          <cell r="M33">
            <v>5.4391488437737487E-2</v>
          </cell>
          <cell r="N33">
            <v>5.8842688090326778E-2</v>
          </cell>
          <cell r="O33">
            <v>8.0338725436977527E-3</v>
          </cell>
          <cell r="P33">
            <v>1.4656389099989141E-2</v>
          </cell>
          <cell r="Q33">
            <v>0.85571599174899582</v>
          </cell>
          <cell r="R33">
            <v>5.4282922592552383E-3</v>
          </cell>
          <cell r="S33">
            <v>1.0856584518510481E-3</v>
          </cell>
          <cell r="T33">
            <v>5.6454239496254478E-3</v>
          </cell>
          <cell r="U33">
            <v>0.27543154923461077</v>
          </cell>
          <cell r="V33">
            <v>0.71197481272391705</v>
          </cell>
          <cell r="W33">
            <v>5.8625556399956574E-3</v>
          </cell>
          <cell r="X33">
            <v>0</v>
          </cell>
          <cell r="Y33">
            <v>1.0856584518510481E-3</v>
          </cell>
          <cell r="Z33">
            <v>8.2561257267248926</v>
          </cell>
          <cell r="AA33">
            <v>0.23892325254187791</v>
          </cell>
          <cell r="AB33">
            <v>121</v>
          </cell>
          <cell r="AC33">
            <v>6</v>
          </cell>
          <cell r="AD33">
            <v>1.1583011583011581E-2</v>
          </cell>
          <cell r="AE33">
            <v>29983.1993</v>
          </cell>
          <cell r="AF33">
            <v>247.7950355371901</v>
          </cell>
        </row>
        <row r="34">
          <cell r="B34" t="str">
            <v>SUC OJOCALIENTE</v>
          </cell>
          <cell r="C34">
            <v>2210</v>
          </cell>
          <cell r="D34">
            <v>62925</v>
          </cell>
          <cell r="E34">
            <v>15174</v>
          </cell>
          <cell r="F34">
            <v>4.1468960063266112</v>
          </cell>
          <cell r="G34">
            <v>6.8660633484162892</v>
          </cell>
          <cell r="H34">
            <v>3</v>
          </cell>
          <cell r="I34">
            <v>57</v>
          </cell>
          <cell r="J34">
            <v>60</v>
          </cell>
          <cell r="K34">
            <v>3.9541320680110724E-3</v>
          </cell>
          <cell r="L34">
            <v>1.9770660340055361E-4</v>
          </cell>
          <cell r="M34">
            <v>3.7564254646105179E-3</v>
          </cell>
          <cell r="N34">
            <v>1.252141821536839E-3</v>
          </cell>
          <cell r="O34">
            <v>3.097403453275339E-3</v>
          </cell>
          <cell r="P34">
            <v>1.9177540529853699E-2</v>
          </cell>
          <cell r="Q34">
            <v>0.9663239752207724</v>
          </cell>
          <cell r="R34">
            <v>3.097403453275339E-3</v>
          </cell>
          <cell r="S34">
            <v>3.097403453275339E-3</v>
          </cell>
          <cell r="T34">
            <v>1.252141821536839E-3</v>
          </cell>
          <cell r="U34">
            <v>4.9360748649004867E-2</v>
          </cell>
          <cell r="V34">
            <v>0.8733359694213787</v>
          </cell>
          <cell r="W34">
            <v>7.2228812442335574E-2</v>
          </cell>
          <cell r="X34">
            <v>7.2492421246869645E-4</v>
          </cell>
          <cell r="Y34">
            <v>3.097403453275339E-3</v>
          </cell>
          <cell r="Z34">
            <v>9.1060786650774723</v>
          </cell>
          <cell r="AA34">
            <v>0.19070321811680571</v>
          </cell>
          <cell r="AB34">
            <v>284</v>
          </cell>
          <cell r="AC34">
            <v>2</v>
          </cell>
          <cell r="AD34">
            <v>3.3333333333333333E-2</v>
          </cell>
          <cell r="AE34">
            <v>87753.221799999999</v>
          </cell>
          <cell r="AF34">
            <v>308.9902176056338</v>
          </cell>
        </row>
        <row r="35">
          <cell r="B35" t="str">
            <v>SUC SANTA RITA</v>
          </cell>
          <cell r="C35">
            <v>7836</v>
          </cell>
          <cell r="D35">
            <v>411499</v>
          </cell>
          <cell r="E35">
            <v>116037</v>
          </cell>
          <cell r="F35">
            <v>3.5462740332824869</v>
          </cell>
          <cell r="G35">
            <v>14.80819295558959</v>
          </cell>
          <cell r="H35">
            <v>2835</v>
          </cell>
          <cell r="I35">
            <v>19852</v>
          </cell>
          <cell r="J35">
            <v>22687</v>
          </cell>
          <cell r="K35">
            <v>0.19551522359247481</v>
          </cell>
          <cell r="L35">
            <v>2.443186225083379E-2</v>
          </cell>
          <cell r="M35">
            <v>0.17108336134164101</v>
          </cell>
          <cell r="N35">
            <v>5.7757439437420822E-2</v>
          </cell>
          <cell r="O35">
            <v>3.6333238535984212E-2</v>
          </cell>
          <cell r="P35">
            <v>3.2058739884691951E-3</v>
          </cell>
          <cell r="Q35">
            <v>0.70664529417341015</v>
          </cell>
          <cell r="R35">
            <v>3.102458698518576E-4</v>
          </cell>
          <cell r="S35">
            <v>2.3268440238889321E-4</v>
          </cell>
          <cell r="T35">
            <v>8.4033541025707315E-2</v>
          </cell>
          <cell r="U35">
            <v>0.47431422735851497</v>
          </cell>
          <cell r="V35">
            <v>0.43015589854960062</v>
          </cell>
          <cell r="W35">
            <v>1.078966191818127E-2</v>
          </cell>
          <cell r="X35">
            <v>4.7398674560700471E-4</v>
          </cell>
          <cell r="Y35">
            <v>2.3268440238889321E-4</v>
          </cell>
          <cell r="Z35">
            <v>4.6998899146777999</v>
          </cell>
          <cell r="AA35">
            <v>0.34750995749685898</v>
          </cell>
          <cell r="AB35">
            <v>1223</v>
          </cell>
          <cell r="AC35">
            <v>524</v>
          </cell>
          <cell r="AD35">
            <v>2.3096927755983598E-2</v>
          </cell>
          <cell r="AE35">
            <v>188489.28750000001</v>
          </cell>
          <cell r="AF35">
            <v>154.120431316435</v>
          </cell>
        </row>
        <row r="36">
          <cell r="B36" t="str">
            <v>SUCURSAL JALPA</v>
          </cell>
          <cell r="C36">
            <v>949</v>
          </cell>
          <cell r="D36">
            <v>25031</v>
          </cell>
          <cell r="E36">
            <v>7006</v>
          </cell>
          <cell r="F36">
            <v>3.5727947473594059</v>
          </cell>
          <cell r="G36">
            <v>7.3825079030558483</v>
          </cell>
          <cell r="H36">
            <v>0</v>
          </cell>
          <cell r="I36">
            <v>4</v>
          </cell>
          <cell r="J36">
            <v>4</v>
          </cell>
          <cell r="K36">
            <v>5.7093919497573512E-4</v>
          </cell>
          <cell r="L36">
            <v>0</v>
          </cell>
          <cell r="M36">
            <v>5.7093919497573512E-4</v>
          </cell>
          <cell r="N36">
            <v>4.2677704824436197E-2</v>
          </cell>
          <cell r="O36">
            <v>1.1418783899514701E-2</v>
          </cell>
          <cell r="P36">
            <v>4.0822152440765057E-2</v>
          </cell>
          <cell r="Q36">
            <v>0.90194119326291755</v>
          </cell>
          <cell r="R36">
            <v>5.7093919497573512E-4</v>
          </cell>
          <cell r="S36">
            <v>1.9982871824150731E-3</v>
          </cell>
          <cell r="T36">
            <v>2.854695974878676E-3</v>
          </cell>
          <cell r="U36">
            <v>0.41864116471595769</v>
          </cell>
          <cell r="V36">
            <v>0.57650585212674854</v>
          </cell>
          <cell r="W36">
            <v>0</v>
          </cell>
          <cell r="X36">
            <v>0</v>
          </cell>
          <cell r="Y36">
            <v>1.9982871824150731E-3</v>
          </cell>
          <cell r="Z36">
            <v>9.5481602812512474</v>
          </cell>
          <cell r="AA36">
            <v>0.35955415285046538</v>
          </cell>
          <cell r="AB36">
            <v>237</v>
          </cell>
          <cell r="AC36">
            <v>0</v>
          </cell>
          <cell r="AD36">
            <v>0</v>
          </cell>
          <cell r="AE36">
            <v>91868.560199999993</v>
          </cell>
          <cell r="AF36">
            <v>387.63105569620251</v>
          </cell>
        </row>
        <row r="37">
          <cell r="B37" t="str">
            <v>SUCURSAL JUCHIPILA</v>
          </cell>
          <cell r="C37">
            <v>410</v>
          </cell>
          <cell r="D37">
            <v>10581</v>
          </cell>
          <cell r="E37">
            <v>3326</v>
          </cell>
          <cell r="F37">
            <v>3.1812988574864698</v>
          </cell>
          <cell r="G37">
            <v>8.1121951219512187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9.0198436560432957E-4</v>
          </cell>
          <cell r="P37">
            <v>9.0198436560432957E-4</v>
          </cell>
          <cell r="Q37">
            <v>0.99579073962717979</v>
          </cell>
          <cell r="R37">
            <v>1.5033072760072159E-3</v>
          </cell>
          <cell r="S37">
            <v>9.0198436560432957E-4</v>
          </cell>
          <cell r="T37">
            <v>9.0198436560432957E-4</v>
          </cell>
          <cell r="U37">
            <v>0.35508117859290439</v>
          </cell>
          <cell r="V37">
            <v>0.64311485267588697</v>
          </cell>
          <cell r="W37">
            <v>0</v>
          </cell>
          <cell r="X37">
            <v>0</v>
          </cell>
          <cell r="Y37">
            <v>9.0198436560432957E-4</v>
          </cell>
          <cell r="Z37">
            <v>10.017956714866269</v>
          </cell>
          <cell r="AA37">
            <v>0.28352707683583778</v>
          </cell>
          <cell r="AB37">
            <v>141</v>
          </cell>
          <cell r="AC37">
            <v>0</v>
          </cell>
          <cell r="AE37">
            <v>51842.672200000001</v>
          </cell>
          <cell r="AF37">
            <v>367.67852624113482</v>
          </cell>
        </row>
        <row r="38">
          <cell r="B38" t="str">
            <v>SUCURSAL TEOCALTICHE</v>
          </cell>
          <cell r="C38">
            <v>674</v>
          </cell>
          <cell r="D38">
            <v>18360</v>
          </cell>
          <cell r="E38">
            <v>5491</v>
          </cell>
          <cell r="F38">
            <v>3.3436532507739938</v>
          </cell>
          <cell r="G38">
            <v>8.146884272997033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5.4816973228920048E-2</v>
          </cell>
          <cell r="O38">
            <v>1.6026224731378619E-2</v>
          </cell>
          <cell r="P38">
            <v>1.311236568930978E-2</v>
          </cell>
          <cell r="Q38">
            <v>0.91531597158987432</v>
          </cell>
          <cell r="R38">
            <v>5.4634857038790747E-4</v>
          </cell>
          <cell r="S38">
            <v>1.8211619012930251E-4</v>
          </cell>
          <cell r="T38">
            <v>0</v>
          </cell>
          <cell r="U38">
            <v>0.35421598980149333</v>
          </cell>
          <cell r="V38">
            <v>0.64560189400837731</v>
          </cell>
          <cell r="W38">
            <v>0</v>
          </cell>
          <cell r="X38">
            <v>0</v>
          </cell>
          <cell r="Y38">
            <v>1.8211619012930251E-4</v>
          </cell>
          <cell r="Z38">
            <v>11.22004357298475</v>
          </cell>
          <cell r="AA38">
            <v>0.2178649237472767</v>
          </cell>
          <cell r="AB38">
            <v>80</v>
          </cell>
          <cell r="AC38">
            <v>0</v>
          </cell>
          <cell r="AE38">
            <v>25495.152300000002</v>
          </cell>
          <cell r="AF38">
            <v>318.68940375</v>
          </cell>
        </row>
        <row r="39">
          <cell r="B39" t="str">
            <v>ALTOS</v>
          </cell>
          <cell r="C39">
            <v>40</v>
          </cell>
          <cell r="D39">
            <v>1563</v>
          </cell>
          <cell r="E39">
            <v>427</v>
          </cell>
          <cell r="F39">
            <v>3.6604215456674472</v>
          </cell>
          <cell r="G39">
            <v>10.675000000000001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1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1</v>
          </cell>
          <cell r="W39">
            <v>0</v>
          </cell>
          <cell r="X39">
            <v>0</v>
          </cell>
          <cell r="Y39">
            <v>0</v>
          </cell>
          <cell r="Z39">
            <v>10.8765195137556</v>
          </cell>
          <cell r="AA39">
            <v>0.63979526551503518</v>
          </cell>
          <cell r="AB39">
            <v>0</v>
          </cell>
          <cell r="AC39">
            <v>0</v>
          </cell>
          <cell r="AE39">
            <v>0</v>
          </cell>
        </row>
        <row r="40">
          <cell r="B40" t="str">
            <v>BELENES19</v>
          </cell>
          <cell r="C40">
            <v>5</v>
          </cell>
          <cell r="D40">
            <v>0</v>
          </cell>
          <cell r="E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AB40">
            <v>0</v>
          </cell>
          <cell r="AC40">
            <v>0</v>
          </cell>
          <cell r="AE40">
            <v>0</v>
          </cell>
        </row>
        <row r="41">
          <cell r="B41" t="str">
            <v>CEDI TONALA</v>
          </cell>
          <cell r="C41">
            <v>14831</v>
          </cell>
          <cell r="D41">
            <v>1312740</v>
          </cell>
          <cell r="E41">
            <v>346382</v>
          </cell>
          <cell r="F41">
            <v>3.7898620598068029</v>
          </cell>
          <cell r="G41">
            <v>23.355269368215229</v>
          </cell>
          <cell r="H41">
            <v>239</v>
          </cell>
          <cell r="I41">
            <v>30449</v>
          </cell>
          <cell r="J41">
            <v>30688</v>
          </cell>
          <cell r="K41">
            <v>8.8595827727768764E-2</v>
          </cell>
          <cell r="L41">
            <v>6.8998966458996142E-4</v>
          </cell>
          <cell r="M41">
            <v>8.7905838063178809E-2</v>
          </cell>
          <cell r="N41">
            <v>0.22909389056013299</v>
          </cell>
          <cell r="O41">
            <v>0.12672425241496379</v>
          </cell>
          <cell r="P41">
            <v>1.422706722635703E-2</v>
          </cell>
          <cell r="Q41">
            <v>0.5412088387964733</v>
          </cell>
          <cell r="R41">
            <v>1.270273859496163E-4</v>
          </cell>
          <cell r="S41">
            <v>2.309588835447569E-5</v>
          </cell>
          <cell r="T41">
            <v>6.4316275095126191E-2</v>
          </cell>
          <cell r="U41">
            <v>0.54622353355543884</v>
          </cell>
          <cell r="V41">
            <v>0.3758422781784273</v>
          </cell>
          <cell r="W41">
            <v>1.352552961758983E-2</v>
          </cell>
          <cell r="X41">
            <v>6.9287665063427089E-5</v>
          </cell>
          <cell r="Y41">
            <v>2.309588835447569E-5</v>
          </cell>
          <cell r="Z41">
            <v>4.9903255785608724</v>
          </cell>
          <cell r="AA41">
            <v>0.1576854518030989</v>
          </cell>
          <cell r="AB41">
            <v>12059</v>
          </cell>
          <cell r="AC41">
            <v>2730</v>
          </cell>
          <cell r="AD41">
            <v>8.8959854014598536E-2</v>
          </cell>
          <cell r="AE41">
            <v>2896899.2653999999</v>
          </cell>
          <cell r="AF41">
            <v>240.22715526992289</v>
          </cell>
        </row>
        <row r="42">
          <cell r="B42" t="str">
            <v>CEDIS AMECA</v>
          </cell>
          <cell r="C42">
            <v>57</v>
          </cell>
          <cell r="D42">
            <v>2654</v>
          </cell>
          <cell r="E42">
            <v>741</v>
          </cell>
          <cell r="F42">
            <v>3.5816464237516872</v>
          </cell>
          <cell r="G42">
            <v>13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2.2941970310391361E-2</v>
          </cell>
          <cell r="P42">
            <v>0</v>
          </cell>
          <cell r="Q42">
            <v>0.97705802968960864</v>
          </cell>
          <cell r="R42">
            <v>0</v>
          </cell>
          <cell r="S42">
            <v>0</v>
          </cell>
          <cell r="T42">
            <v>0</v>
          </cell>
          <cell r="U42">
            <v>2.2941970310391361E-2</v>
          </cell>
          <cell r="V42">
            <v>0.97705802968960864</v>
          </cell>
          <cell r="W42">
            <v>0</v>
          </cell>
          <cell r="X42">
            <v>0</v>
          </cell>
          <cell r="Y42">
            <v>0</v>
          </cell>
          <cell r="Z42">
            <v>9.4197437829691033</v>
          </cell>
          <cell r="AA42">
            <v>0</v>
          </cell>
          <cell r="AB42">
            <v>0</v>
          </cell>
          <cell r="AC42">
            <v>0</v>
          </cell>
          <cell r="AE42">
            <v>0</v>
          </cell>
        </row>
        <row r="43">
          <cell r="B43" t="str">
            <v>DIGITALIZACION AGS TROJES</v>
          </cell>
          <cell r="C43">
            <v>12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AB43">
            <v>0</v>
          </cell>
          <cell r="AC43">
            <v>0</v>
          </cell>
          <cell r="AE43">
            <v>0</v>
          </cell>
        </row>
        <row r="44">
          <cell r="B44" t="str">
            <v>MATEHUALA</v>
          </cell>
          <cell r="C44">
            <v>108</v>
          </cell>
          <cell r="D44">
            <v>965</v>
          </cell>
          <cell r="E44">
            <v>253</v>
          </cell>
          <cell r="F44">
            <v>3.8142292490118579</v>
          </cell>
          <cell r="G44">
            <v>2.342592592592593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1.58102766798419E-2</v>
          </cell>
          <cell r="Q44">
            <v>0.98418972332015808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1</v>
          </cell>
          <cell r="W44">
            <v>0</v>
          </cell>
          <cell r="X44">
            <v>0</v>
          </cell>
          <cell r="Y44">
            <v>0</v>
          </cell>
          <cell r="Z44">
            <v>19.689119170984458</v>
          </cell>
          <cell r="AA44">
            <v>0</v>
          </cell>
          <cell r="AB44">
            <v>0</v>
          </cell>
          <cell r="AC44">
            <v>0</v>
          </cell>
          <cell r="AE44">
            <v>0</v>
          </cell>
        </row>
        <row r="45">
          <cell r="B45" t="str">
            <v>PLANTA AGUASCALIENTES</v>
          </cell>
          <cell r="C45">
            <v>7413</v>
          </cell>
          <cell r="D45">
            <v>481138</v>
          </cell>
          <cell r="E45">
            <v>136965</v>
          </cell>
          <cell r="F45">
            <v>3.51285364874238</v>
          </cell>
          <cell r="G45">
            <v>18.47632537434237</v>
          </cell>
          <cell r="H45">
            <v>11249</v>
          </cell>
          <cell r="I45">
            <v>34711</v>
          </cell>
          <cell r="J45">
            <v>45960</v>
          </cell>
          <cell r="K45">
            <v>0.33556017960792911</v>
          </cell>
          <cell r="L45">
            <v>8.2130471288285323E-2</v>
          </cell>
          <cell r="M45">
            <v>0.25342970831964368</v>
          </cell>
          <cell r="N45">
            <v>0.19258934764355859</v>
          </cell>
          <cell r="O45">
            <v>3.4388347388018839E-2</v>
          </cell>
          <cell r="P45">
            <v>1.268937319753222E-2</v>
          </cell>
          <cell r="Q45">
            <v>0.42472894535100209</v>
          </cell>
          <cell r="R45">
            <v>0</v>
          </cell>
          <cell r="S45">
            <v>4.3806811959259662E-5</v>
          </cell>
          <cell r="T45">
            <v>0.27086481947942898</v>
          </cell>
          <cell r="U45">
            <v>0.448837294199248</v>
          </cell>
          <cell r="V45">
            <v>0.27957507392399522</v>
          </cell>
          <cell r="W45">
            <v>6.7900558536852481E-4</v>
          </cell>
          <cell r="X45">
            <v>0</v>
          </cell>
          <cell r="Y45">
            <v>4.3806811959259662E-5</v>
          </cell>
          <cell r="Z45">
            <v>4.5392382227136494</v>
          </cell>
          <cell r="AA45">
            <v>0.38034825767243502</v>
          </cell>
          <cell r="AB45">
            <v>5635</v>
          </cell>
          <cell r="AC45">
            <v>2743</v>
          </cell>
          <cell r="AD45">
            <v>5.9682332463011308E-2</v>
          </cell>
          <cell r="AE45">
            <v>1423968.0397999999</v>
          </cell>
          <cell r="AF45">
            <v>252.7006281810115</v>
          </cell>
        </row>
        <row r="46">
          <cell r="B46" t="str">
            <v>PLANTA LOS ALTOS</v>
          </cell>
          <cell r="C46">
            <v>1937</v>
          </cell>
          <cell r="D46">
            <v>125568</v>
          </cell>
          <cell r="E46">
            <v>34556</v>
          </cell>
          <cell r="F46">
            <v>3.633753906702164</v>
          </cell>
          <cell r="G46">
            <v>17.8399586990191</v>
          </cell>
          <cell r="H46">
            <v>819</v>
          </cell>
          <cell r="I46">
            <v>3298</v>
          </cell>
          <cell r="J46">
            <v>4117</v>
          </cell>
          <cell r="K46">
            <v>0.1191399467530964</v>
          </cell>
          <cell r="L46">
            <v>2.3700659798587799E-2</v>
          </cell>
          <cell r="M46">
            <v>9.5439286954508623E-2</v>
          </cell>
          <cell r="N46">
            <v>0.25517999768491723</v>
          </cell>
          <cell r="O46">
            <v>0.1413068642203959</v>
          </cell>
          <cell r="P46">
            <v>7.9002199328625997E-3</v>
          </cell>
          <cell r="Q46">
            <v>0.47647297140872791</v>
          </cell>
          <cell r="R46">
            <v>0</v>
          </cell>
          <cell r="S46">
            <v>0</v>
          </cell>
          <cell r="T46">
            <v>7.8394490103021186E-2</v>
          </cell>
          <cell r="U46">
            <v>0.40797546012269942</v>
          </cell>
          <cell r="V46">
            <v>0.5136300497742794</v>
          </cell>
          <cell r="W46">
            <v>0</v>
          </cell>
          <cell r="X46">
            <v>0</v>
          </cell>
          <cell r="Y46">
            <v>0</v>
          </cell>
          <cell r="Z46">
            <v>6.2197375127420997</v>
          </cell>
          <cell r="AA46">
            <v>0.26280581039755352</v>
          </cell>
          <cell r="AB46">
            <v>1198</v>
          </cell>
          <cell r="AC46">
            <v>259</v>
          </cell>
          <cell r="AD46">
            <v>6.2909885839203303E-2</v>
          </cell>
          <cell r="AE46">
            <v>263603.21639999998</v>
          </cell>
          <cell r="AF46">
            <v>220.03607378964941</v>
          </cell>
        </row>
        <row r="47">
          <cell r="B47" t="str">
            <v>PLANTA MATEHUALA</v>
          </cell>
          <cell r="C47">
            <v>2943</v>
          </cell>
          <cell r="D47">
            <v>116698</v>
          </cell>
          <cell r="E47">
            <v>31121</v>
          </cell>
          <cell r="F47">
            <v>3.7498152372995728</v>
          </cell>
          <cell r="G47">
            <v>10.57458375807</v>
          </cell>
          <cell r="H47">
            <v>0</v>
          </cell>
          <cell r="I47">
            <v>4954</v>
          </cell>
          <cell r="J47">
            <v>4954</v>
          </cell>
          <cell r="K47">
            <v>0.15918511615950651</v>
          </cell>
          <cell r="L47">
            <v>0</v>
          </cell>
          <cell r="M47">
            <v>0.15918511615950651</v>
          </cell>
          <cell r="N47">
            <v>6.6064715144114911E-2</v>
          </cell>
          <cell r="O47">
            <v>5.4625494039394623E-4</v>
          </cell>
          <cell r="P47">
            <v>3.5731499630474603E-2</v>
          </cell>
          <cell r="Q47">
            <v>0.73709071045274899</v>
          </cell>
          <cell r="R47">
            <v>1.0282445936827219E-3</v>
          </cell>
          <cell r="S47">
            <v>3.5345907907843578E-4</v>
          </cell>
          <cell r="T47">
            <v>1.102149673853668E-2</v>
          </cell>
          <cell r="U47">
            <v>0.58895922367533182</v>
          </cell>
          <cell r="V47">
            <v>0.39102213939140767</v>
          </cell>
          <cell r="W47">
            <v>7.7760997397255871E-3</v>
          </cell>
          <cell r="X47">
            <v>8.6758137591979689E-4</v>
          </cell>
          <cell r="Y47">
            <v>3.5345907907843578E-4</v>
          </cell>
          <cell r="Z47">
            <v>10.04301701828652</v>
          </cell>
          <cell r="AA47">
            <v>0.24850468731255029</v>
          </cell>
          <cell r="AB47">
            <v>1419</v>
          </cell>
          <cell r="AC47">
            <v>326</v>
          </cell>
          <cell r="AD47">
            <v>6.5805409769882917E-2</v>
          </cell>
          <cell r="AE47">
            <v>198398.29500000001</v>
          </cell>
          <cell r="AF47">
            <v>139.81557082452429</v>
          </cell>
        </row>
        <row r="48">
          <cell r="B48" t="str">
            <v>PLANTA SAN LUIS</v>
          </cell>
          <cell r="C48">
            <v>16205</v>
          </cell>
          <cell r="D48">
            <v>1066675</v>
          </cell>
          <cell r="E48">
            <v>301795</v>
          </cell>
          <cell r="F48">
            <v>3.5344356268327841</v>
          </cell>
          <cell r="G48">
            <v>18.623572971305151</v>
          </cell>
          <cell r="H48">
            <v>24321</v>
          </cell>
          <cell r="I48">
            <v>111808</v>
          </cell>
          <cell r="J48">
            <v>136129</v>
          </cell>
          <cell r="K48">
            <v>0.45106446428867281</v>
          </cell>
          <cell r="L48">
            <v>8.0587816232873311E-2</v>
          </cell>
          <cell r="M48">
            <v>0.37047664805579938</v>
          </cell>
          <cell r="N48">
            <v>0.14320979472820949</v>
          </cell>
          <cell r="O48">
            <v>6.6223761162378436E-2</v>
          </cell>
          <cell r="P48">
            <v>2.4354280223330411E-3</v>
          </cell>
          <cell r="Q48">
            <v>0.3368511738100366</v>
          </cell>
          <cell r="R48">
            <v>1.4910783810202289E-4</v>
          </cell>
          <cell r="S48">
            <v>6.6270150267565725E-5</v>
          </cell>
          <cell r="T48">
            <v>0.28856011531006148</v>
          </cell>
          <cell r="U48">
            <v>0.5260922149140973</v>
          </cell>
          <cell r="V48">
            <v>0.17287562749548541</v>
          </cell>
          <cell r="W48">
            <v>1.2173826604151819E-2</v>
          </cell>
          <cell r="X48">
            <v>2.3194552593648011E-4</v>
          </cell>
          <cell r="Y48">
            <v>6.6270150267565725E-5</v>
          </cell>
          <cell r="Z48">
            <v>4.7380879836876284</v>
          </cell>
          <cell r="AA48">
            <v>0.33655987062601073</v>
          </cell>
          <cell r="AB48">
            <v>17223</v>
          </cell>
          <cell r="AC48">
            <v>10874</v>
          </cell>
          <cell r="AD48">
            <v>7.9880113715666751E-2</v>
          </cell>
          <cell r="AE48">
            <v>3729388.5177000002</v>
          </cell>
          <cell r="AF48">
            <v>216.53536072112871</v>
          </cell>
        </row>
        <row r="49">
          <cell r="B49" t="str">
            <v>PLANTA TROJES</v>
          </cell>
          <cell r="C49">
            <v>9859</v>
          </cell>
          <cell r="D49">
            <v>726340</v>
          </cell>
          <cell r="E49">
            <v>196862</v>
          </cell>
          <cell r="F49">
            <v>3.6895896617935411</v>
          </cell>
          <cell r="G49">
            <v>19.967745207424692</v>
          </cell>
          <cell r="H49">
            <v>18237</v>
          </cell>
          <cell r="I49">
            <v>41767</v>
          </cell>
          <cell r="J49">
            <v>60004</v>
          </cell>
          <cell r="K49">
            <v>0.3048023488535116</v>
          </cell>
          <cell r="L49">
            <v>9.26384980341559E-2</v>
          </cell>
          <cell r="M49">
            <v>0.21216385081935571</v>
          </cell>
          <cell r="N49">
            <v>0.16976359073868999</v>
          </cell>
          <cell r="O49">
            <v>6.236348304903943E-2</v>
          </cell>
          <cell r="P49">
            <v>1.4924160071522179E-2</v>
          </cell>
          <cell r="Q49">
            <v>0.44814133758673591</v>
          </cell>
          <cell r="R49">
            <v>0</v>
          </cell>
          <cell r="S49">
            <v>5.0797005008584691E-6</v>
          </cell>
          <cell r="T49">
            <v>0.23268076114232311</v>
          </cell>
          <cell r="U49">
            <v>0.432633011957615</v>
          </cell>
          <cell r="V49">
            <v>0.32486716583190262</v>
          </cell>
          <cell r="W49">
            <v>9.8139813676585627E-3</v>
          </cell>
          <cell r="X49">
            <v>0</v>
          </cell>
          <cell r="Y49">
            <v>5.0797005008584691E-6</v>
          </cell>
          <cell r="Z49">
            <v>4.4400693889913816</v>
          </cell>
          <cell r="AA49">
            <v>0.30839551725087422</v>
          </cell>
          <cell r="AB49">
            <v>4808</v>
          </cell>
          <cell r="AC49">
            <v>2752</v>
          </cell>
          <cell r="AD49">
            <v>4.5863609092727152E-2</v>
          </cell>
          <cell r="AE49">
            <v>1029610.6496</v>
          </cell>
          <cell r="AF49">
            <v>214.14530981697169</v>
          </cell>
        </row>
        <row r="50">
          <cell r="B50" t="str">
            <v>PLANTA ZAPOPAN</v>
          </cell>
          <cell r="C50">
            <v>6213</v>
          </cell>
          <cell r="D50">
            <v>534307</v>
          </cell>
          <cell r="E50">
            <v>158130</v>
          </cell>
          <cell r="F50">
            <v>3.37890975779422</v>
          </cell>
          <cell r="G50">
            <v>25.451472718493481</v>
          </cell>
          <cell r="H50">
            <v>50306</v>
          </cell>
          <cell r="I50">
            <v>55924</v>
          </cell>
          <cell r="J50">
            <v>106230</v>
          </cell>
          <cell r="K50">
            <v>0.67178903433883519</v>
          </cell>
          <cell r="L50">
            <v>0.3181306519951938</v>
          </cell>
          <cell r="M50">
            <v>0.35365838234364128</v>
          </cell>
          <cell r="N50">
            <v>6.4440650098020621E-2</v>
          </cell>
          <cell r="O50">
            <v>4.6771643584392592E-2</v>
          </cell>
          <cell r="P50">
            <v>1.878201479795105E-3</v>
          </cell>
          <cell r="Q50">
            <v>0.2151078226775438</v>
          </cell>
          <cell r="R50">
            <v>0</v>
          </cell>
          <cell r="S50">
            <v>1.2647821412761651E-5</v>
          </cell>
          <cell r="T50">
            <v>0.65249478277366724</v>
          </cell>
          <cell r="U50">
            <v>0.223613482577626</v>
          </cell>
          <cell r="V50">
            <v>0.12351230000632391</v>
          </cell>
          <cell r="W50">
            <v>3.6678682097008789E-4</v>
          </cell>
          <cell r="X50">
            <v>0</v>
          </cell>
          <cell r="Y50">
            <v>1.2647821412761651E-5</v>
          </cell>
          <cell r="Z50">
            <v>2.8803665308521129</v>
          </cell>
          <cell r="AA50">
            <v>0.40239038605146482</v>
          </cell>
          <cell r="AB50">
            <v>19102</v>
          </cell>
          <cell r="AC50">
            <v>15500</v>
          </cell>
          <cell r="AD50">
            <v>0.14590981831874239</v>
          </cell>
          <cell r="AE50">
            <v>4964751.0477999998</v>
          </cell>
          <cell r="AF50">
            <v>259.90739439849227</v>
          </cell>
        </row>
        <row r="51">
          <cell r="B51" t="str">
            <v>SECTORES COMPLETO</v>
          </cell>
          <cell r="C51">
            <v>16</v>
          </cell>
          <cell r="D51">
            <v>406</v>
          </cell>
          <cell r="E51">
            <v>88</v>
          </cell>
          <cell r="F51">
            <v>4.6136363636363633</v>
          </cell>
          <cell r="G51">
            <v>5.5</v>
          </cell>
          <cell r="H51">
            <v>33</v>
          </cell>
          <cell r="I51">
            <v>0</v>
          </cell>
          <cell r="J51">
            <v>33</v>
          </cell>
          <cell r="K51">
            <v>0.375</v>
          </cell>
          <cell r="L51">
            <v>0.375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0.625</v>
          </cell>
          <cell r="R51">
            <v>0</v>
          </cell>
          <cell r="S51">
            <v>0</v>
          </cell>
          <cell r="T51">
            <v>0.375</v>
          </cell>
          <cell r="U51">
            <v>0</v>
          </cell>
          <cell r="V51">
            <v>0.625</v>
          </cell>
          <cell r="W51">
            <v>0</v>
          </cell>
          <cell r="X51">
            <v>0</v>
          </cell>
          <cell r="Y51">
            <v>0</v>
          </cell>
          <cell r="Z51">
            <v>4.9261083743842367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2">
          <cell r="B52" t="str">
            <v>SECTORES HOGAR TONALA</v>
          </cell>
          <cell r="C52">
            <v>1</v>
          </cell>
          <cell r="D52">
            <v>0</v>
          </cell>
          <cell r="E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AB52">
            <v>0</v>
          </cell>
          <cell r="AC52">
            <v>0</v>
          </cell>
          <cell r="AE52">
            <v>0</v>
          </cell>
        </row>
        <row r="53">
          <cell r="B53" t="str">
            <v>SLP</v>
          </cell>
          <cell r="C53">
            <v>36</v>
          </cell>
          <cell r="D53">
            <v>339</v>
          </cell>
          <cell r="E53">
            <v>75</v>
          </cell>
          <cell r="F53">
            <v>4.5199999999999996</v>
          </cell>
          <cell r="G53">
            <v>2.083333333333333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0.24</v>
          </cell>
          <cell r="P53">
            <v>0</v>
          </cell>
          <cell r="Q53">
            <v>0.76</v>
          </cell>
          <cell r="R53">
            <v>0</v>
          </cell>
          <cell r="S53">
            <v>0</v>
          </cell>
          <cell r="T53">
            <v>0</v>
          </cell>
          <cell r="U53">
            <v>0.28000000000000003</v>
          </cell>
          <cell r="V53">
            <v>0</v>
          </cell>
          <cell r="W53">
            <v>0.72</v>
          </cell>
          <cell r="X53">
            <v>0</v>
          </cell>
          <cell r="Y53">
            <v>0</v>
          </cell>
          <cell r="Z53">
            <v>23.598820058997049</v>
          </cell>
          <cell r="AA53">
            <v>0</v>
          </cell>
          <cell r="AB53">
            <v>0</v>
          </cell>
          <cell r="AC53">
            <v>0</v>
          </cell>
          <cell r="AE53">
            <v>0</v>
          </cell>
        </row>
        <row r="54">
          <cell r="B54" t="str">
            <v>SUC ALAMO</v>
          </cell>
          <cell r="C54">
            <v>2458</v>
          </cell>
          <cell r="D54">
            <v>207312</v>
          </cell>
          <cell r="E54">
            <v>59497</v>
          </cell>
          <cell r="F54">
            <v>3.4844109787048092</v>
          </cell>
          <cell r="G54">
            <v>24.205451586655819</v>
          </cell>
          <cell r="H54">
            <v>824</v>
          </cell>
          <cell r="I54">
            <v>24215</v>
          </cell>
          <cell r="J54">
            <v>25039</v>
          </cell>
          <cell r="K54">
            <v>0.42084474847471298</v>
          </cell>
          <cell r="L54">
            <v>1.384943778677917E-2</v>
          </cell>
          <cell r="M54">
            <v>0.40699531068793382</v>
          </cell>
          <cell r="N54">
            <v>0.23866749584012639</v>
          </cell>
          <cell r="O54">
            <v>0.1026270232112543</v>
          </cell>
          <cell r="P54">
            <v>6.7734507622233056E-3</v>
          </cell>
          <cell r="Q54">
            <v>0.23108728171168291</v>
          </cell>
          <cell r="R54">
            <v>0</v>
          </cell>
          <cell r="S54">
            <v>0</v>
          </cell>
          <cell r="T54">
            <v>0.26142494579558628</v>
          </cell>
          <cell r="U54">
            <v>0.61460241692858464</v>
          </cell>
          <cell r="V54">
            <v>0.123972637275829</v>
          </cell>
          <cell r="W54">
            <v>0</v>
          </cell>
          <cell r="X54">
            <v>0</v>
          </cell>
          <cell r="Y54">
            <v>0</v>
          </cell>
          <cell r="Z54">
            <v>5.195068302847881</v>
          </cell>
          <cell r="AA54">
            <v>0.37624450104190788</v>
          </cell>
          <cell r="AB54">
            <v>5188</v>
          </cell>
          <cell r="AC54">
            <v>2775</v>
          </cell>
          <cell r="AD54">
            <v>0.1108271097088542</v>
          </cell>
          <cell r="AE54">
            <v>1128246.304</v>
          </cell>
          <cell r="AF54">
            <v>217.47230223592911</v>
          </cell>
        </row>
        <row r="55">
          <cell r="B55" t="str">
            <v>SUC AMECA</v>
          </cell>
          <cell r="C55">
            <v>1033</v>
          </cell>
          <cell r="D55">
            <v>54248</v>
          </cell>
          <cell r="E55">
            <v>15604</v>
          </cell>
          <cell r="F55">
            <v>3.4765444757754418</v>
          </cell>
          <cell r="G55">
            <v>15.1055179090029</v>
          </cell>
          <cell r="H55">
            <v>0</v>
          </cell>
          <cell r="I55">
            <v>766</v>
          </cell>
          <cell r="J55">
            <v>766</v>
          </cell>
          <cell r="K55">
            <v>4.9089976928992557E-2</v>
          </cell>
          <cell r="L55">
            <v>0</v>
          </cell>
          <cell r="M55">
            <v>4.9089976928992557E-2</v>
          </cell>
          <cell r="N55">
            <v>2.9864137400666499E-2</v>
          </cell>
          <cell r="O55">
            <v>8.4850038451679058E-2</v>
          </cell>
          <cell r="P55">
            <v>5.960010253781082E-3</v>
          </cell>
          <cell r="Q55">
            <v>0.82978723404255317</v>
          </cell>
          <cell r="R55">
            <v>3.2043065880543449E-4</v>
          </cell>
          <cell r="S55">
            <v>1.281722635221738E-4</v>
          </cell>
          <cell r="T55">
            <v>1.3778518328633679E-2</v>
          </cell>
          <cell r="U55">
            <v>0.65579338631120221</v>
          </cell>
          <cell r="V55">
            <v>0.32997949243783647</v>
          </cell>
          <cell r="W55">
            <v>3.2043065880543449E-4</v>
          </cell>
          <cell r="X55">
            <v>0</v>
          </cell>
          <cell r="Y55">
            <v>1.281722635221738E-4</v>
          </cell>
          <cell r="Z55">
            <v>7.4288453030526469</v>
          </cell>
          <cell r="AA55">
            <v>0.27650788969178591</v>
          </cell>
          <cell r="AB55">
            <v>570</v>
          </cell>
          <cell r="AC55">
            <v>68</v>
          </cell>
          <cell r="AD55">
            <v>8.877284595300261E-2</v>
          </cell>
          <cell r="AE55">
            <v>230194.2776</v>
          </cell>
          <cell r="AF55">
            <v>403.84960982456141</v>
          </cell>
        </row>
        <row r="56">
          <cell r="B56" t="str">
            <v>SUC AUTLAN</v>
          </cell>
          <cell r="C56">
            <v>1131</v>
          </cell>
          <cell r="D56">
            <v>54717</v>
          </cell>
          <cell r="E56">
            <v>15879</v>
          </cell>
          <cell r="F56">
            <v>3.4458719062913281</v>
          </cell>
          <cell r="G56">
            <v>14.03978779840849</v>
          </cell>
          <cell r="H56">
            <v>0</v>
          </cell>
          <cell r="I56">
            <v>534</v>
          </cell>
          <cell r="J56">
            <v>534</v>
          </cell>
          <cell r="K56">
            <v>3.3629321745701872E-2</v>
          </cell>
          <cell r="L56">
            <v>0</v>
          </cell>
          <cell r="M56">
            <v>3.3629321745701872E-2</v>
          </cell>
          <cell r="N56">
            <v>0.23477548964040559</v>
          </cell>
          <cell r="O56">
            <v>5.1388626487814087E-2</v>
          </cell>
          <cell r="P56">
            <v>6.4865545689275148E-3</v>
          </cell>
          <cell r="Q56">
            <v>0.66269916241576921</v>
          </cell>
          <cell r="R56">
            <v>1.064298759367718E-2</v>
          </cell>
          <cell r="S56">
            <v>3.7785754770451542E-4</v>
          </cell>
          <cell r="T56">
            <v>5.2270294099124627E-2</v>
          </cell>
          <cell r="U56">
            <v>0.66943762201649981</v>
          </cell>
          <cell r="V56">
            <v>0.26727123874299391</v>
          </cell>
          <cell r="W56">
            <v>0</v>
          </cell>
          <cell r="X56">
            <v>1.064298759367718E-2</v>
          </cell>
          <cell r="Y56">
            <v>3.7785754770451542E-4</v>
          </cell>
          <cell r="Z56">
            <v>6.6341356434015024</v>
          </cell>
          <cell r="AA56">
            <v>0.31068954803808679</v>
          </cell>
          <cell r="AB56">
            <v>118</v>
          </cell>
          <cell r="AC56">
            <v>13</v>
          </cell>
          <cell r="AD56">
            <v>2.434456928838951E-2</v>
          </cell>
          <cell r="AE56">
            <v>48423.429499999998</v>
          </cell>
          <cell r="AF56">
            <v>410.36804661016947</v>
          </cell>
        </row>
        <row r="57">
          <cell r="B57" t="str">
            <v>SUC BELENES</v>
          </cell>
          <cell r="C57">
            <v>7680</v>
          </cell>
          <cell r="D57">
            <v>616232</v>
          </cell>
          <cell r="E57">
            <v>183039</v>
          </cell>
          <cell r="F57">
            <v>3.366670490988259</v>
          </cell>
          <cell r="G57">
            <v>23.833203125000001</v>
          </cell>
          <cell r="H57">
            <v>18820</v>
          </cell>
          <cell r="I57">
            <v>89606</v>
          </cell>
          <cell r="J57">
            <v>108426</v>
          </cell>
          <cell r="K57">
            <v>0.59236556143772634</v>
          </cell>
          <cell r="L57">
            <v>0.10281961767710709</v>
          </cell>
          <cell r="M57">
            <v>0.48954594376061927</v>
          </cell>
          <cell r="N57">
            <v>0.16907325761176581</v>
          </cell>
          <cell r="O57">
            <v>4.6279754587820077E-2</v>
          </cell>
          <cell r="P57">
            <v>9.2384683045689722E-3</v>
          </cell>
          <cell r="Q57">
            <v>0.18286813192816831</v>
          </cell>
          <cell r="R57">
            <v>1.6936281338949619E-4</v>
          </cell>
          <cell r="S57">
            <v>5.4633165609514914E-6</v>
          </cell>
          <cell r="T57">
            <v>0.54244177470375166</v>
          </cell>
          <cell r="U57">
            <v>0.30042231437016148</v>
          </cell>
          <cell r="V57">
            <v>0.1539180174716864</v>
          </cell>
          <cell r="W57">
            <v>3.2124301378394769E-3</v>
          </cell>
          <cell r="X57">
            <v>0</v>
          </cell>
          <cell r="Y57">
            <v>5.4633165609514914E-6</v>
          </cell>
          <cell r="Z57">
            <v>3.4516221163457921</v>
          </cell>
          <cell r="AA57">
            <v>0.41867348660893949</v>
          </cell>
          <cell r="AB57">
            <v>22116</v>
          </cell>
          <cell r="AC57">
            <v>17622</v>
          </cell>
          <cell r="AD57">
            <v>0.16252559349233581</v>
          </cell>
          <cell r="AE57">
            <v>4599779.0378</v>
          </cell>
          <cell r="AF57">
            <v>207.98422127871231</v>
          </cell>
        </row>
        <row r="58">
          <cell r="B58" t="str">
            <v>SUC CIHUATLAN</v>
          </cell>
          <cell r="C58">
            <v>812</v>
          </cell>
          <cell r="D58">
            <v>32315</v>
          </cell>
          <cell r="E58">
            <v>9284</v>
          </cell>
          <cell r="F58">
            <v>3.480719517449375</v>
          </cell>
          <cell r="G58">
            <v>11.43349753694581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2.1542438604049981E-4</v>
          </cell>
          <cell r="Q58">
            <v>0.9994614390348987</v>
          </cell>
          <cell r="R58">
            <v>0</v>
          </cell>
          <cell r="S58">
            <v>3.2313657906074973E-4</v>
          </cell>
          <cell r="T58">
            <v>0</v>
          </cell>
          <cell r="U58">
            <v>0</v>
          </cell>
          <cell r="V58">
            <v>0.80557949159844899</v>
          </cell>
          <cell r="W58">
            <v>0.19409737182249029</v>
          </cell>
          <cell r="X58">
            <v>0</v>
          </cell>
          <cell r="Y58">
            <v>3.2313657906074973E-4</v>
          </cell>
          <cell r="Z58">
            <v>6.74609314559802</v>
          </cell>
          <cell r="AA58">
            <v>0.3713445768219093</v>
          </cell>
          <cell r="AB58">
            <v>151</v>
          </cell>
          <cell r="AC58">
            <v>0</v>
          </cell>
          <cell r="AE58">
            <v>48992.569900000002</v>
          </cell>
          <cell r="AF58">
            <v>324.45410529801319</v>
          </cell>
        </row>
        <row r="59">
          <cell r="B59" t="str">
            <v>SUC COCULA</v>
          </cell>
          <cell r="C59">
            <v>752</v>
          </cell>
          <cell r="D59">
            <v>38700</v>
          </cell>
          <cell r="E59">
            <v>10479</v>
          </cell>
          <cell r="F59">
            <v>3.6931004866876611</v>
          </cell>
          <cell r="G59">
            <v>13.93484042553191</v>
          </cell>
          <cell r="H59">
            <v>0</v>
          </cell>
          <cell r="I59">
            <v>1181</v>
          </cell>
          <cell r="J59">
            <v>1181</v>
          </cell>
          <cell r="K59">
            <v>0.11270159366351749</v>
          </cell>
          <cell r="L59">
            <v>0</v>
          </cell>
          <cell r="M59">
            <v>0.11270159366351749</v>
          </cell>
          <cell r="N59">
            <v>0</v>
          </cell>
          <cell r="O59">
            <v>7.5388872984063363E-3</v>
          </cell>
          <cell r="P59">
            <v>5.5253363870598343E-2</v>
          </cell>
          <cell r="Q59">
            <v>0.8237427235423227</v>
          </cell>
          <cell r="R59">
            <v>1.90857906288768E-4</v>
          </cell>
          <cell r="S59">
            <v>5.7257371886630399E-4</v>
          </cell>
          <cell r="T59">
            <v>1.43143429716576E-3</v>
          </cell>
          <cell r="U59">
            <v>0.34841110793014601</v>
          </cell>
          <cell r="V59">
            <v>0.64758087603778991</v>
          </cell>
          <cell r="W59">
            <v>2.004008016032064E-3</v>
          </cell>
          <cell r="X59">
            <v>0</v>
          </cell>
          <cell r="Y59">
            <v>5.7257371886630399E-4</v>
          </cell>
          <cell r="Z59">
            <v>7.4160206718346249</v>
          </cell>
          <cell r="AA59">
            <v>0.23255813953488369</v>
          </cell>
          <cell r="AB59">
            <v>234</v>
          </cell>
          <cell r="AC59">
            <v>37</v>
          </cell>
          <cell r="AD59">
            <v>3.1329381879762912E-2</v>
          </cell>
          <cell r="AE59">
            <v>96176.207800000004</v>
          </cell>
          <cell r="AF59">
            <v>411.00943504273499</v>
          </cell>
        </row>
        <row r="60">
          <cell r="B60" t="str">
            <v>SUC HUENTITAN</v>
          </cell>
          <cell r="C60">
            <v>3990</v>
          </cell>
          <cell r="D60">
            <v>413996</v>
          </cell>
          <cell r="E60">
            <v>113830</v>
          </cell>
          <cell r="F60">
            <v>3.636967407537556</v>
          </cell>
          <cell r="G60">
            <v>28.528822055137841</v>
          </cell>
          <cell r="H60">
            <v>4079</v>
          </cell>
          <cell r="I60">
            <v>29589</v>
          </cell>
          <cell r="J60">
            <v>33668</v>
          </cell>
          <cell r="K60">
            <v>0.29577440042168152</v>
          </cell>
          <cell r="L60">
            <v>3.5834138627778268E-2</v>
          </cell>
          <cell r="M60">
            <v>0.25994026179390323</v>
          </cell>
          <cell r="N60">
            <v>0.34521655099710091</v>
          </cell>
          <cell r="O60">
            <v>6.0528858824562937E-2</v>
          </cell>
          <cell r="P60">
            <v>0</v>
          </cell>
          <cell r="Q60">
            <v>0.29848018975665458</v>
          </cell>
          <cell r="R60">
            <v>0</v>
          </cell>
          <cell r="S60">
            <v>0</v>
          </cell>
          <cell r="T60">
            <v>0.26303259246244398</v>
          </cell>
          <cell r="U60">
            <v>0.58142844592813847</v>
          </cell>
          <cell r="V60">
            <v>0.15553896160941749</v>
          </cell>
          <cell r="W60">
            <v>0</v>
          </cell>
          <cell r="X60">
            <v>0</v>
          </cell>
          <cell r="Y60">
            <v>0</v>
          </cell>
          <cell r="Z60">
            <v>4.4903815495801904</v>
          </cell>
          <cell r="AA60">
            <v>0.2391327452439154</v>
          </cell>
          <cell r="AB60">
            <v>9296</v>
          </cell>
          <cell r="AC60">
            <v>4998</v>
          </cell>
          <cell r="AD60">
            <v>0.14844956635380779</v>
          </cell>
          <cell r="AE60">
            <v>2207179.0611999999</v>
          </cell>
          <cell r="AF60">
            <v>237.4332036574871</v>
          </cell>
        </row>
        <row r="61">
          <cell r="B61" t="str">
            <v>SUC LORETO</v>
          </cell>
          <cell r="C61">
            <v>748</v>
          </cell>
          <cell r="D61">
            <v>22827</v>
          </cell>
          <cell r="E61">
            <v>5452</v>
          </cell>
          <cell r="F61">
            <v>4.1869038884812912</v>
          </cell>
          <cell r="G61">
            <v>7.2887700534759361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3.8517975055025679E-3</v>
          </cell>
          <cell r="Q61">
            <v>0.99614820249449743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0.98991195891415995</v>
          </cell>
          <cell r="W61">
            <v>1.008804108584006E-2</v>
          </cell>
          <cell r="X61">
            <v>0</v>
          </cell>
          <cell r="Y61">
            <v>0</v>
          </cell>
          <cell r="Z61">
            <v>9.7253252727033779</v>
          </cell>
          <cell r="AA61">
            <v>0.13142331449599159</v>
          </cell>
          <cell r="AB61">
            <v>66</v>
          </cell>
          <cell r="AC61">
            <v>0</v>
          </cell>
          <cell r="AE61">
            <v>19236.179</v>
          </cell>
          <cell r="AF61">
            <v>291.45725757575758</v>
          </cell>
        </row>
        <row r="62">
          <cell r="B62" t="str">
            <v>SUC MANZANILLO</v>
          </cell>
          <cell r="C62">
            <v>3080</v>
          </cell>
          <cell r="D62">
            <v>160651</v>
          </cell>
          <cell r="E62">
            <v>50416</v>
          </cell>
          <cell r="F62">
            <v>3.1865082513487781</v>
          </cell>
          <cell r="G62">
            <v>16.368831168831171</v>
          </cell>
          <cell r="H62">
            <v>0</v>
          </cell>
          <cell r="I62">
            <v>4967</v>
          </cell>
          <cell r="J62">
            <v>4967</v>
          </cell>
          <cell r="K62">
            <v>9.8520311012377029E-2</v>
          </cell>
          <cell r="L62">
            <v>0</v>
          </cell>
          <cell r="M62">
            <v>9.8520311012377029E-2</v>
          </cell>
          <cell r="N62">
            <v>0.1643525864804824</v>
          </cell>
          <cell r="O62">
            <v>0.17101713741669311</v>
          </cell>
          <cell r="P62">
            <v>3.7170739447794351E-2</v>
          </cell>
          <cell r="Q62">
            <v>0.5288797207235798</v>
          </cell>
          <cell r="R62">
            <v>0</v>
          </cell>
          <cell r="S62">
            <v>5.9504919073310063E-5</v>
          </cell>
          <cell r="T62">
            <v>0.15935417327832441</v>
          </cell>
          <cell r="U62">
            <v>0.40697397651539202</v>
          </cell>
          <cell r="V62">
            <v>0.42990320533164073</v>
          </cell>
          <cell r="W62">
            <v>3.70913995556966E-3</v>
          </cell>
          <cell r="X62">
            <v>0</v>
          </cell>
          <cell r="Y62">
            <v>5.9504919073310063E-5</v>
          </cell>
          <cell r="Z62">
            <v>4.3759453722665898</v>
          </cell>
          <cell r="AA62">
            <v>0.41705311513778309</v>
          </cell>
          <cell r="AB62">
            <v>890</v>
          </cell>
          <cell r="AC62">
            <v>241</v>
          </cell>
          <cell r="AD62">
            <v>4.852023354137306E-2</v>
          </cell>
          <cell r="AE62">
            <v>206022.26500000001</v>
          </cell>
          <cell r="AF62">
            <v>231.48569101123601</v>
          </cell>
        </row>
        <row r="63">
          <cell r="B63" t="str">
            <v>SUC OCOTLAN</v>
          </cell>
          <cell r="C63">
            <v>437</v>
          </cell>
          <cell r="D63">
            <v>32219</v>
          </cell>
          <cell r="E63">
            <v>9330</v>
          </cell>
          <cell r="F63">
            <v>3.4532690246516609</v>
          </cell>
          <cell r="G63">
            <v>21.350114416475972</v>
          </cell>
          <cell r="H63">
            <v>0</v>
          </cell>
          <cell r="I63">
            <v>1552</v>
          </cell>
          <cell r="J63">
            <v>1552</v>
          </cell>
          <cell r="K63">
            <v>0.1663451232583065</v>
          </cell>
          <cell r="L63">
            <v>0</v>
          </cell>
          <cell r="M63">
            <v>0.1663451232583065</v>
          </cell>
          <cell r="N63">
            <v>0.19217577706323691</v>
          </cell>
          <cell r="O63">
            <v>7.7813504823151122E-2</v>
          </cell>
          <cell r="P63">
            <v>6.4844587352625938E-2</v>
          </cell>
          <cell r="Q63">
            <v>0.49871382636655948</v>
          </cell>
          <cell r="R63">
            <v>0</v>
          </cell>
          <cell r="S63">
            <v>1.0718113612004291E-4</v>
          </cell>
          <cell r="T63">
            <v>6.5166130760986068E-2</v>
          </cell>
          <cell r="U63">
            <v>0.73558413719185423</v>
          </cell>
          <cell r="V63">
            <v>0.19914255091103969</v>
          </cell>
          <cell r="W63">
            <v>0</v>
          </cell>
          <cell r="X63">
            <v>0</v>
          </cell>
          <cell r="Y63">
            <v>1.0718113612004291E-4</v>
          </cell>
          <cell r="Z63">
            <v>6.6110059281790248</v>
          </cell>
          <cell r="AA63">
            <v>0.4655637977590863</v>
          </cell>
          <cell r="AB63">
            <v>98</v>
          </cell>
          <cell r="AC63">
            <v>33</v>
          </cell>
          <cell r="AD63">
            <v>2.1262886597938149E-2</v>
          </cell>
          <cell r="AE63">
            <v>27850.229299999999</v>
          </cell>
          <cell r="AF63">
            <v>284.18601326530609</v>
          </cell>
        </row>
        <row r="64">
          <cell r="B64" t="str">
            <v>SUC OJOCALIENTE</v>
          </cell>
          <cell r="C64">
            <v>14</v>
          </cell>
          <cell r="D64">
            <v>0</v>
          </cell>
          <cell r="E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AB64">
            <v>0</v>
          </cell>
          <cell r="AC64">
            <v>0</v>
          </cell>
          <cell r="AE64">
            <v>0</v>
          </cell>
        </row>
        <row r="65">
          <cell r="B65" t="str">
            <v>SUC RIO VERDE</v>
          </cell>
          <cell r="C65">
            <v>2860</v>
          </cell>
          <cell r="D65">
            <v>134731</v>
          </cell>
          <cell r="E65">
            <v>36945</v>
          </cell>
          <cell r="F65">
            <v>3.6467992962511842</v>
          </cell>
          <cell r="G65">
            <v>12.91783216783217</v>
          </cell>
          <cell r="H65">
            <v>0</v>
          </cell>
          <cell r="I65">
            <v>490</v>
          </cell>
          <cell r="J65">
            <v>490</v>
          </cell>
          <cell r="K65">
            <v>1.3262958451752609E-2</v>
          </cell>
          <cell r="L65">
            <v>0</v>
          </cell>
          <cell r="M65">
            <v>1.3262958451752609E-2</v>
          </cell>
          <cell r="N65">
            <v>8.9240763296792536E-2</v>
          </cell>
          <cell r="O65">
            <v>3.816483962647178E-3</v>
          </cell>
          <cell r="P65">
            <v>1.109757748003789E-2</v>
          </cell>
          <cell r="Q65">
            <v>0.88063337393422658</v>
          </cell>
          <cell r="R65">
            <v>1.4886994180538641E-3</v>
          </cell>
          <cell r="S65">
            <v>4.6014345648937607E-4</v>
          </cell>
          <cell r="T65">
            <v>2.0300446609825421E-3</v>
          </cell>
          <cell r="U65">
            <v>0.34646095547435379</v>
          </cell>
          <cell r="V65">
            <v>0.61310055487887405</v>
          </cell>
          <cell r="W65">
            <v>3.645960211124645E-2</v>
          </cell>
          <cell r="X65">
            <v>1.4886994180538641E-3</v>
          </cell>
          <cell r="Y65">
            <v>4.6014345648937607E-4</v>
          </cell>
          <cell r="Z65">
            <v>10.47271971558142</v>
          </cell>
          <cell r="AA65">
            <v>0.16328833007993709</v>
          </cell>
          <cell r="AB65">
            <v>1117</v>
          </cell>
          <cell r="AC65">
            <v>47</v>
          </cell>
          <cell r="AD65">
            <v>9.5918367346938774E-2</v>
          </cell>
          <cell r="AE65">
            <v>238428.33900000001</v>
          </cell>
          <cell r="AF65">
            <v>213.45419785138759</v>
          </cell>
        </row>
        <row r="66">
          <cell r="B66" t="str">
            <v>SUC SAN RAFAEL</v>
          </cell>
          <cell r="C66">
            <v>1998</v>
          </cell>
          <cell r="D66">
            <v>224626</v>
          </cell>
          <cell r="E66">
            <v>64569</v>
          </cell>
          <cell r="F66">
            <v>3.4788520807198502</v>
          </cell>
          <cell r="G66">
            <v>32.316816816816818</v>
          </cell>
          <cell r="H66">
            <v>3</v>
          </cell>
          <cell r="I66">
            <v>8661</v>
          </cell>
          <cell r="J66">
            <v>8664</v>
          </cell>
          <cell r="K66">
            <v>0.13418203782000651</v>
          </cell>
          <cell r="L66">
            <v>4.6461924452910843E-5</v>
          </cell>
          <cell r="M66">
            <v>0.13413557589555361</v>
          </cell>
          <cell r="N66">
            <v>0.38135947590949221</v>
          </cell>
          <cell r="O66">
            <v>0.1181681611919032</v>
          </cell>
          <cell r="P66">
            <v>2.7877154671746511E-4</v>
          </cell>
          <cell r="Q66">
            <v>0.36601155353188058</v>
          </cell>
          <cell r="R66">
            <v>0</v>
          </cell>
          <cell r="S66">
            <v>0</v>
          </cell>
          <cell r="T66">
            <v>3.943068655237033E-2</v>
          </cell>
          <cell r="U66">
            <v>0.95634127832241478</v>
          </cell>
          <cell r="V66">
            <v>4.228035125214886E-3</v>
          </cell>
          <cell r="W66">
            <v>0</v>
          </cell>
          <cell r="X66">
            <v>0</v>
          </cell>
          <cell r="Y66">
            <v>0</v>
          </cell>
          <cell r="Z66">
            <v>5.1240729034038797</v>
          </cell>
          <cell r="AA66">
            <v>0.27156250834720819</v>
          </cell>
          <cell r="AB66">
            <v>6226</v>
          </cell>
          <cell r="AC66">
            <v>1089</v>
          </cell>
          <cell r="AD66">
            <v>0.12569252077562329</v>
          </cell>
          <cell r="AE66">
            <v>1390970.9876999999</v>
          </cell>
          <cell r="AF66">
            <v>223.41326496948281</v>
          </cell>
        </row>
        <row r="67">
          <cell r="B67" t="str">
            <v>SUC SANTA MARIA</v>
          </cell>
          <cell r="C67">
            <v>12919</v>
          </cell>
          <cell r="D67">
            <v>1117189</v>
          </cell>
          <cell r="E67">
            <v>321314</v>
          </cell>
          <cell r="F67">
            <v>3.4769384465040432</v>
          </cell>
          <cell r="G67">
            <v>24.871429677219599</v>
          </cell>
          <cell r="H67">
            <v>28937</v>
          </cell>
          <cell r="I67">
            <v>101576</v>
          </cell>
          <cell r="J67">
            <v>130513</v>
          </cell>
          <cell r="K67">
            <v>0.4061852269119926</v>
          </cell>
          <cell r="L67">
            <v>9.0058323011135519E-2</v>
          </cell>
          <cell r="M67">
            <v>0.31612690390085713</v>
          </cell>
          <cell r="N67">
            <v>0.13452261650597239</v>
          </cell>
          <cell r="O67">
            <v>8.2402260716931103E-2</v>
          </cell>
          <cell r="P67">
            <v>1.5386817879084009E-2</v>
          </cell>
          <cell r="Q67">
            <v>0.36134746696378001</v>
          </cell>
          <cell r="R67">
            <v>1.2760103823674041E-4</v>
          </cell>
          <cell r="S67">
            <v>2.8009984003186911E-5</v>
          </cell>
          <cell r="T67">
            <v>0.38496922013980089</v>
          </cell>
          <cell r="U67">
            <v>0.35127009716352231</v>
          </cell>
          <cell r="V67">
            <v>0.25109394548634673</v>
          </cell>
          <cell r="W67">
            <v>1.239597403163261E-2</v>
          </cell>
          <cell r="X67">
            <v>2.4275319469428661E-4</v>
          </cell>
          <cell r="Y67">
            <v>2.8009984003186911E-5</v>
          </cell>
          <cell r="Z67">
            <v>3.9635191538763812</v>
          </cell>
          <cell r="AA67">
            <v>0.30612546310427341</v>
          </cell>
          <cell r="AB67">
            <v>17583</v>
          </cell>
          <cell r="AC67">
            <v>12784</v>
          </cell>
          <cell r="AD67">
            <v>9.7951928160413135E-2</v>
          </cell>
          <cell r="AE67">
            <v>4888868.5360000003</v>
          </cell>
          <cell r="AF67">
            <v>278.04518773815619</v>
          </cell>
        </row>
        <row r="68">
          <cell r="B68" t="str">
            <v>SUC TALA</v>
          </cell>
          <cell r="C68">
            <v>1787</v>
          </cell>
          <cell r="D68">
            <v>93178</v>
          </cell>
          <cell r="E68">
            <v>26400</v>
          </cell>
          <cell r="F68">
            <v>3.5294696969696968</v>
          </cell>
          <cell r="G68">
            <v>14.77336317851147</v>
          </cell>
          <cell r="H68">
            <v>0</v>
          </cell>
          <cell r="I68">
            <v>565</v>
          </cell>
          <cell r="J68">
            <v>565</v>
          </cell>
          <cell r="K68">
            <v>2.1401515151515151E-2</v>
          </cell>
          <cell r="L68">
            <v>0</v>
          </cell>
          <cell r="M68">
            <v>2.1401515151515151E-2</v>
          </cell>
          <cell r="N68">
            <v>0.1146212121212121</v>
          </cell>
          <cell r="O68">
            <v>4.5757575757575761E-2</v>
          </cell>
          <cell r="P68">
            <v>3.003787878787879E-2</v>
          </cell>
          <cell r="Q68">
            <v>0.78530303030303028</v>
          </cell>
          <cell r="R68">
            <v>2.4242424242424238E-3</v>
          </cell>
          <cell r="S68">
            <v>4.5454545454545449E-4</v>
          </cell>
          <cell r="T68">
            <v>2.087121212121212E-2</v>
          </cell>
          <cell r="U68">
            <v>0.42556818181818179</v>
          </cell>
          <cell r="V68">
            <v>0.54689393939393938</v>
          </cell>
          <cell r="W68">
            <v>5.7575757575757574E-3</v>
          </cell>
          <cell r="X68">
            <v>4.5454545454545449E-4</v>
          </cell>
          <cell r="Y68">
            <v>4.5454545454545449E-4</v>
          </cell>
          <cell r="Z68">
            <v>6.4714846852261259</v>
          </cell>
          <cell r="AA68">
            <v>0.24683938268690031</v>
          </cell>
          <cell r="AB68">
            <v>283</v>
          </cell>
          <cell r="AC68">
            <v>26</v>
          </cell>
          <cell r="AD68">
            <v>4.6017699115044247E-2</v>
          </cell>
          <cell r="AE68">
            <v>91044.758900000001</v>
          </cell>
          <cell r="AF68">
            <v>321.71292897526502</v>
          </cell>
        </row>
        <row r="69">
          <cell r="B69" t="str">
            <v>SUC TECOMAN</v>
          </cell>
          <cell r="C69">
            <v>2997</v>
          </cell>
          <cell r="D69">
            <v>138412</v>
          </cell>
          <cell r="E69">
            <v>39338</v>
          </cell>
          <cell r="F69">
            <v>3.5185316996288578</v>
          </cell>
          <cell r="G69">
            <v>13.12579245912579</v>
          </cell>
          <cell r="H69">
            <v>0</v>
          </cell>
          <cell r="I69">
            <v>480</v>
          </cell>
          <cell r="J69">
            <v>480</v>
          </cell>
          <cell r="K69">
            <v>1.2201942142457669E-2</v>
          </cell>
          <cell r="L69">
            <v>0</v>
          </cell>
          <cell r="M69">
            <v>1.2201942142457669E-2</v>
          </cell>
          <cell r="N69">
            <v>2.8394936194010879E-2</v>
          </cell>
          <cell r="O69">
            <v>3.3046926635822872E-4</v>
          </cell>
          <cell r="P69">
            <v>6.6093853271645734E-4</v>
          </cell>
          <cell r="Q69">
            <v>0.95574253902079409</v>
          </cell>
          <cell r="R69">
            <v>2.6691748436626162E-3</v>
          </cell>
          <cell r="S69">
            <v>0</v>
          </cell>
          <cell r="T69">
            <v>3.3046926635822872E-4</v>
          </cell>
          <cell r="U69">
            <v>7.5931669124002232E-2</v>
          </cell>
          <cell r="V69">
            <v>0.54357110173369261</v>
          </cell>
          <cell r="W69">
            <v>0.37383700238954698</v>
          </cell>
          <cell r="X69">
            <v>6.3297574863999187E-3</v>
          </cell>
          <cell r="Y69">
            <v>0</v>
          </cell>
          <cell r="Z69">
            <v>7.3765280467011527</v>
          </cell>
          <cell r="AA69">
            <v>0.1517209490506603</v>
          </cell>
          <cell r="AB69">
            <v>864</v>
          </cell>
          <cell r="AC69">
            <v>32</v>
          </cell>
          <cell r="AD69">
            <v>6.6666666666666666E-2</v>
          </cell>
          <cell r="AE69">
            <v>218260.94459999999</v>
          </cell>
          <cell r="AF69">
            <v>252.6168340277778</v>
          </cell>
        </row>
        <row r="70">
          <cell r="B70" t="str">
            <v>SUC TOLUQUILLA</v>
          </cell>
          <cell r="C70">
            <v>6221</v>
          </cell>
          <cell r="D70">
            <v>525701</v>
          </cell>
          <cell r="E70">
            <v>145655</v>
          </cell>
          <cell r="F70">
            <v>3.609220418111291</v>
          </cell>
          <cell r="G70">
            <v>23.41343835396238</v>
          </cell>
          <cell r="H70">
            <v>0</v>
          </cell>
          <cell r="I70">
            <v>18283</v>
          </cell>
          <cell r="J70">
            <v>18283</v>
          </cell>
          <cell r="K70">
            <v>0.1255226391129724</v>
          </cell>
          <cell r="L70">
            <v>0</v>
          </cell>
          <cell r="M70">
            <v>0.1255226391129724</v>
          </cell>
          <cell r="N70">
            <v>0.13017060862998181</v>
          </cell>
          <cell r="O70">
            <v>9.4902337715835366E-2</v>
          </cell>
          <cell r="P70">
            <v>3.583811060382411E-3</v>
          </cell>
          <cell r="Q70">
            <v>0.64572448594281007</v>
          </cell>
          <cell r="R70">
            <v>6.8655384298513611E-5</v>
          </cell>
          <cell r="S70">
            <v>2.7462153719405449E-5</v>
          </cell>
          <cell r="T70">
            <v>0.12685455356836359</v>
          </cell>
          <cell r="U70">
            <v>0.36602931584909548</v>
          </cell>
          <cell r="V70">
            <v>0.48627922144794211</v>
          </cell>
          <cell r="W70">
            <v>2.0781984827160069E-2</v>
          </cell>
          <cell r="X70">
            <v>2.7462153719405449E-5</v>
          </cell>
          <cell r="Y70">
            <v>2.7462153719405449E-5</v>
          </cell>
          <cell r="Z70">
            <v>4.4074483404064289</v>
          </cell>
          <cell r="AA70">
            <v>0.17690664465161751</v>
          </cell>
          <cell r="AB70">
            <v>3817</v>
          </cell>
          <cell r="AC70">
            <v>1194</v>
          </cell>
          <cell r="AD70">
            <v>6.5306568943827595E-2</v>
          </cell>
          <cell r="AE70">
            <v>814489.51569999999</v>
          </cell>
          <cell r="AF70">
            <v>213.38473033796171</v>
          </cell>
        </row>
        <row r="71">
          <cell r="B71" t="str">
            <v>SUC ZACOALCO</v>
          </cell>
          <cell r="C71">
            <v>510</v>
          </cell>
          <cell r="D71">
            <v>37776</v>
          </cell>
          <cell r="E71">
            <v>9479</v>
          </cell>
          <cell r="F71">
            <v>3.9852305095474212</v>
          </cell>
          <cell r="G71">
            <v>18.586274509803921</v>
          </cell>
          <cell r="H71">
            <v>0</v>
          </cell>
          <cell r="I71">
            <v>4</v>
          </cell>
          <cell r="J71">
            <v>4</v>
          </cell>
          <cell r="K71">
            <v>4.2198544150226822E-4</v>
          </cell>
          <cell r="L71">
            <v>0</v>
          </cell>
          <cell r="M71">
            <v>4.2198544150226822E-4</v>
          </cell>
          <cell r="N71">
            <v>8.5452051904209309E-3</v>
          </cell>
          <cell r="O71">
            <v>0.1194218799451419</v>
          </cell>
          <cell r="P71">
            <v>3.2703871716425778E-3</v>
          </cell>
          <cell r="Q71">
            <v>0.86760206772866333</v>
          </cell>
          <cell r="R71">
            <v>0</v>
          </cell>
          <cell r="S71">
            <v>7.3847452262896932E-4</v>
          </cell>
          <cell r="T71">
            <v>4.2198544150226822E-4</v>
          </cell>
          <cell r="U71">
            <v>0.23019305833948731</v>
          </cell>
          <cell r="V71">
            <v>0.7686464816963815</v>
          </cell>
          <cell r="W71">
            <v>0</v>
          </cell>
          <cell r="X71">
            <v>0</v>
          </cell>
          <cell r="Y71">
            <v>7.3847452262896932E-4</v>
          </cell>
          <cell r="Z71">
            <v>8.2856840321897511</v>
          </cell>
          <cell r="AA71">
            <v>0.15883100381194409</v>
          </cell>
          <cell r="AB71">
            <v>135</v>
          </cell>
          <cell r="AC71">
            <v>0</v>
          </cell>
          <cell r="AD71">
            <v>0</v>
          </cell>
          <cell r="AE71">
            <v>64630.799700000003</v>
          </cell>
          <cell r="AF71">
            <v>478.74666444444449</v>
          </cell>
        </row>
        <row r="72">
          <cell r="B72" t="str">
            <v>SUCURSAL CHAPALA</v>
          </cell>
          <cell r="C72">
            <v>1683</v>
          </cell>
          <cell r="D72">
            <v>106362</v>
          </cell>
          <cell r="E72">
            <v>28453</v>
          </cell>
          <cell r="F72">
            <v>3.738164692651039</v>
          </cell>
          <cell r="G72">
            <v>16.90612002376708</v>
          </cell>
          <cell r="H72">
            <v>0</v>
          </cell>
          <cell r="I72">
            <v>111</v>
          </cell>
          <cell r="J72">
            <v>111</v>
          </cell>
          <cell r="K72">
            <v>3.9011703511053321E-3</v>
          </cell>
          <cell r="L72">
            <v>0</v>
          </cell>
          <cell r="M72">
            <v>3.9011703511053321E-3</v>
          </cell>
          <cell r="N72">
            <v>0.24862053210557761</v>
          </cell>
          <cell r="O72">
            <v>3.2755772677749269E-2</v>
          </cell>
          <cell r="P72">
            <v>6.185639475626472E-3</v>
          </cell>
          <cell r="Q72">
            <v>0.70762309774013288</v>
          </cell>
          <cell r="R72">
            <v>8.0835061329209571E-4</v>
          </cell>
          <cell r="S72">
            <v>1.054370365163603E-4</v>
          </cell>
          <cell r="T72">
            <v>8.4665940322637329E-2</v>
          </cell>
          <cell r="U72">
            <v>0.20395037430147961</v>
          </cell>
          <cell r="V72">
            <v>0.66959547323656554</v>
          </cell>
          <cell r="W72">
            <v>4.1507046708607179E-2</v>
          </cell>
          <cell r="X72">
            <v>1.7572839419393389E-4</v>
          </cell>
          <cell r="Y72">
            <v>1.054370365163603E-4</v>
          </cell>
          <cell r="Z72">
            <v>6.9009608694834617</v>
          </cell>
          <cell r="AA72">
            <v>0.32906489159662289</v>
          </cell>
          <cell r="AB72">
            <v>188</v>
          </cell>
          <cell r="AC72">
            <v>0</v>
          </cell>
          <cell r="AD72">
            <v>0</v>
          </cell>
          <cell r="AE72">
            <v>76661.452399999995</v>
          </cell>
          <cell r="AF72">
            <v>407.7736829787234</v>
          </cell>
        </row>
        <row r="73">
          <cell r="B73" t="str">
            <v>SUCURSAL TEOCALTICHE</v>
          </cell>
          <cell r="C73">
            <v>1022</v>
          </cell>
          <cell r="D73">
            <v>42885</v>
          </cell>
          <cell r="E73">
            <v>11817</v>
          </cell>
          <cell r="F73">
            <v>3.629093678598629</v>
          </cell>
          <cell r="G73">
            <v>11.56262230919765</v>
          </cell>
          <cell r="H73">
            <v>0</v>
          </cell>
          <cell r="I73">
            <v>156</v>
          </cell>
          <cell r="J73">
            <v>156</v>
          </cell>
          <cell r="K73">
            <v>1.32013201320132E-2</v>
          </cell>
          <cell r="L73">
            <v>0</v>
          </cell>
          <cell r="M73">
            <v>1.32013201320132E-2</v>
          </cell>
          <cell r="N73">
            <v>4.578150122704578E-2</v>
          </cell>
          <cell r="O73">
            <v>0.1210967250571211</v>
          </cell>
          <cell r="P73">
            <v>2.5471777947025469E-2</v>
          </cell>
          <cell r="Q73">
            <v>0.79292544639079288</v>
          </cell>
          <cell r="R73">
            <v>9.308623170009309E-4</v>
          </cell>
          <cell r="S73">
            <v>5.9236692900059237E-4</v>
          </cell>
          <cell r="T73">
            <v>8.1238893120081247E-3</v>
          </cell>
          <cell r="U73">
            <v>0.2487941101802488</v>
          </cell>
          <cell r="V73">
            <v>0.74130489972074132</v>
          </cell>
          <cell r="W73">
            <v>1.184733858001185E-3</v>
          </cell>
          <cell r="X73">
            <v>0</v>
          </cell>
          <cell r="Y73">
            <v>5.9236692900059237E-4</v>
          </cell>
          <cell r="Z73">
            <v>10.306634021219541</v>
          </cell>
          <cell r="AA73">
            <v>0.20986358866736621</v>
          </cell>
          <cell r="AB73">
            <v>84</v>
          </cell>
          <cell r="AC73">
            <v>0</v>
          </cell>
          <cell r="AD73">
            <v>0</v>
          </cell>
          <cell r="AE73">
            <v>36658.5193</v>
          </cell>
          <cell r="AF73">
            <v>436.41094404761913</v>
          </cell>
        </row>
        <row r="74">
          <cell r="B74" t="str">
            <v>CULIACAN</v>
          </cell>
          <cell r="C74">
            <v>3</v>
          </cell>
          <cell r="D74">
            <v>0</v>
          </cell>
          <cell r="E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AB74">
            <v>0</v>
          </cell>
          <cell r="AC74">
            <v>0</v>
          </cell>
          <cell r="AE74">
            <v>0</v>
          </cell>
        </row>
        <row r="75">
          <cell r="B75" t="str">
            <v>HERMOSILLO</v>
          </cell>
          <cell r="C75">
            <v>81</v>
          </cell>
          <cell r="D75">
            <v>1354</v>
          </cell>
          <cell r="E75">
            <v>447</v>
          </cell>
          <cell r="F75">
            <v>3.029082774049217</v>
          </cell>
          <cell r="G75">
            <v>5.5185185185185182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0.70693512304250561</v>
          </cell>
          <cell r="R75">
            <v>0.29082774049216997</v>
          </cell>
          <cell r="S75">
            <v>2.2371364653243852E-3</v>
          </cell>
          <cell r="T75">
            <v>0</v>
          </cell>
          <cell r="U75">
            <v>0</v>
          </cell>
          <cell r="V75">
            <v>8.948545861297539E-3</v>
          </cell>
          <cell r="W75">
            <v>0.70022371364653246</v>
          </cell>
          <cell r="X75">
            <v>0.28859060402684572</v>
          </cell>
          <cell r="Y75">
            <v>2.2371364653243852E-3</v>
          </cell>
          <cell r="Z75">
            <v>10.3397341211226</v>
          </cell>
          <cell r="AA75">
            <v>0</v>
          </cell>
          <cell r="AB75">
            <v>0</v>
          </cell>
          <cell r="AC75">
            <v>0</v>
          </cell>
          <cell r="AE75">
            <v>0</v>
          </cell>
        </row>
        <row r="76">
          <cell r="B76" t="str">
            <v>PLANTA AEROPUERTO</v>
          </cell>
          <cell r="C76">
            <v>13652</v>
          </cell>
          <cell r="D76">
            <v>810579</v>
          </cell>
          <cell r="E76">
            <v>232320</v>
          </cell>
          <cell r="F76">
            <v>3.4890625000000002</v>
          </cell>
          <cell r="G76">
            <v>17.0172868444184</v>
          </cell>
          <cell r="H76">
            <v>10342</v>
          </cell>
          <cell r="I76">
            <v>82021</v>
          </cell>
          <cell r="J76">
            <v>92363</v>
          </cell>
          <cell r="K76">
            <v>0.39756800964187328</v>
          </cell>
          <cell r="L76">
            <v>4.4516184573002757E-2</v>
          </cell>
          <cell r="M76">
            <v>0.35305182506887051</v>
          </cell>
          <cell r="N76">
            <v>0.23040203168044079</v>
          </cell>
          <cell r="O76">
            <v>7.879218319559228E-2</v>
          </cell>
          <cell r="P76">
            <v>1.2814221763085399E-2</v>
          </cell>
          <cell r="Q76">
            <v>0.2799586776859504</v>
          </cell>
          <cell r="R76">
            <v>3.6587465564738288E-4</v>
          </cell>
          <cell r="S76">
            <v>9.9001377410468325E-5</v>
          </cell>
          <cell r="T76">
            <v>0.33743543388429748</v>
          </cell>
          <cell r="U76">
            <v>0.47795282369146008</v>
          </cell>
          <cell r="V76">
            <v>0.17619232093663911</v>
          </cell>
          <cell r="W76">
            <v>7.6919765840220387E-3</v>
          </cell>
          <cell r="X76">
            <v>6.2844352617079889E-4</v>
          </cell>
          <cell r="Y76">
            <v>9.9001377410468325E-5</v>
          </cell>
          <cell r="Z76">
            <v>4.5893120843249076</v>
          </cell>
          <cell r="AA76">
            <v>0.39848059226799609</v>
          </cell>
          <cell r="AB76">
            <v>2029</v>
          </cell>
          <cell r="AC76">
            <v>1133</v>
          </cell>
          <cell r="AD76">
            <v>1.226681679893464E-2</v>
          </cell>
          <cell r="AE76">
            <v>32861.1109</v>
          </cell>
          <cell r="AF76">
            <v>16.195717545588959</v>
          </cell>
        </row>
        <row r="77">
          <cell r="B77" t="str">
            <v>PLANTA HERMOSILLO</v>
          </cell>
          <cell r="C77">
            <v>15094</v>
          </cell>
          <cell r="D77">
            <v>851566</v>
          </cell>
          <cell r="E77">
            <v>256608</v>
          </cell>
          <cell r="F77">
            <v>3.3185481356777649</v>
          </cell>
          <cell r="G77">
            <v>17.00066251490659</v>
          </cell>
          <cell r="H77">
            <v>31489</v>
          </cell>
          <cell r="I77">
            <v>66433</v>
          </cell>
          <cell r="J77">
            <v>97922</v>
          </cell>
          <cell r="K77">
            <v>0.38160150891632372</v>
          </cell>
          <cell r="L77">
            <v>0.1227124641476493</v>
          </cell>
          <cell r="M77">
            <v>0.25888904476867441</v>
          </cell>
          <cell r="N77">
            <v>0.28892707943633872</v>
          </cell>
          <cell r="O77">
            <v>9.1505331088664418E-2</v>
          </cell>
          <cell r="P77">
            <v>2.026437211622397E-4</v>
          </cell>
          <cell r="Q77">
            <v>0.23659433844619029</v>
          </cell>
          <cell r="R77">
            <v>1.0794675146527E-3</v>
          </cell>
          <cell r="S77">
            <v>8.9630876667913699E-5</v>
          </cell>
          <cell r="T77">
            <v>0.35587744731263249</v>
          </cell>
          <cell r="U77">
            <v>0.45290481980296787</v>
          </cell>
          <cell r="V77">
            <v>0.18242221598703079</v>
          </cell>
          <cell r="W77">
            <v>6.5079810450180816E-3</v>
          </cell>
          <cell r="X77">
            <v>2.197904975682753E-3</v>
          </cell>
          <cell r="Y77">
            <v>8.9630876667913699E-5</v>
          </cell>
          <cell r="Z77">
            <v>2.9451622070397359</v>
          </cell>
          <cell r="AA77">
            <v>0.47676868263880889</v>
          </cell>
          <cell r="AB77">
            <v>1409</v>
          </cell>
          <cell r="AC77">
            <v>627</v>
          </cell>
          <cell r="AD77">
            <v>6.4030554931476073E-3</v>
          </cell>
          <cell r="AE77">
            <v>29007.726200000001</v>
          </cell>
          <cell r="AF77">
            <v>20.587456493967348</v>
          </cell>
        </row>
        <row r="78">
          <cell r="B78" t="str">
            <v>PLANTA LA PAZ</v>
          </cell>
          <cell r="C78">
            <v>5855</v>
          </cell>
          <cell r="D78">
            <v>257165</v>
          </cell>
          <cell r="E78">
            <v>80754</v>
          </cell>
          <cell r="F78">
            <v>3.1845481338385708</v>
          </cell>
          <cell r="G78">
            <v>13.792314261315109</v>
          </cell>
          <cell r="H78">
            <v>3001</v>
          </cell>
          <cell r="I78">
            <v>23401</v>
          </cell>
          <cell r="J78">
            <v>26402</v>
          </cell>
          <cell r="K78">
            <v>0.32694355697550592</v>
          </cell>
          <cell r="L78">
            <v>3.7162245833023751E-2</v>
          </cell>
          <cell r="M78">
            <v>0.28978131114248212</v>
          </cell>
          <cell r="N78">
            <v>0.35021175421650941</v>
          </cell>
          <cell r="O78">
            <v>8.7921341357703645E-2</v>
          </cell>
          <cell r="P78">
            <v>1.495901131832479E-2</v>
          </cell>
          <cell r="Q78">
            <v>0.21795824355449889</v>
          </cell>
          <cell r="R78">
            <v>1.820343264729921E-3</v>
          </cell>
          <cell r="S78">
            <v>1.8574931272754289E-4</v>
          </cell>
          <cell r="T78">
            <v>0.40437625380786091</v>
          </cell>
          <cell r="U78">
            <v>0.47977809148772821</v>
          </cell>
          <cell r="V78">
            <v>9.0719964336131956E-2</v>
          </cell>
          <cell r="W78">
            <v>2.2921465190578791E-2</v>
          </cell>
          <cell r="X78">
            <v>2.0184758649726331E-3</v>
          </cell>
          <cell r="Y78">
            <v>1.8574931272754289E-4</v>
          </cell>
          <cell r="Z78">
            <v>3.3947076779499539</v>
          </cell>
          <cell r="AA78">
            <v>0.55995178192988937</v>
          </cell>
          <cell r="AB78">
            <v>2320</v>
          </cell>
          <cell r="AC78">
            <v>1292</v>
          </cell>
          <cell r="AD78">
            <v>4.8935686690402241E-2</v>
          </cell>
          <cell r="AE78">
            <v>712066.13219999999</v>
          </cell>
          <cell r="AF78">
            <v>306.92505698275858</v>
          </cell>
        </row>
        <row r="79">
          <cell r="B79" t="str">
            <v>PLANTA MEXICALI</v>
          </cell>
          <cell r="C79">
            <v>13480</v>
          </cell>
          <cell r="D79">
            <v>848468</v>
          </cell>
          <cell r="E79">
            <v>269462</v>
          </cell>
          <cell r="F79">
            <v>3.1487482465060008</v>
          </cell>
          <cell r="G79">
            <v>19.98976261127596</v>
          </cell>
          <cell r="H79">
            <v>18577</v>
          </cell>
          <cell r="I79">
            <v>51421</v>
          </cell>
          <cell r="J79">
            <v>69998</v>
          </cell>
          <cell r="K79">
            <v>0.2597694665667144</v>
          </cell>
          <cell r="L79">
            <v>6.8941075179431613E-2</v>
          </cell>
          <cell r="M79">
            <v>0.1908283913872828</v>
          </cell>
          <cell r="N79">
            <v>0.43479971201876327</v>
          </cell>
          <cell r="O79">
            <v>0.12711996496723099</v>
          </cell>
          <cell r="P79">
            <v>4.2974519598310704E-3</v>
          </cell>
          <cell r="Q79">
            <v>0.17398742679858381</v>
          </cell>
          <cell r="R79">
            <v>2.226659046544596E-5</v>
          </cell>
          <cell r="S79">
            <v>3.7110984109076601E-6</v>
          </cell>
          <cell r="T79">
            <v>0.33559462929837969</v>
          </cell>
          <cell r="U79">
            <v>0.5133970652633767</v>
          </cell>
          <cell r="V79">
            <v>0.14986528712768399</v>
          </cell>
          <cell r="W79">
            <v>1.0019965709450679E-3</v>
          </cell>
          <cell r="X79">
            <v>1.3731064120358339E-4</v>
          </cell>
          <cell r="Y79">
            <v>3.7110984109076601E-6</v>
          </cell>
          <cell r="Z79">
            <v>2.135613835760453</v>
          </cell>
          <cell r="AA79">
            <v>0.55629676074996337</v>
          </cell>
          <cell r="AB79">
            <v>1865</v>
          </cell>
          <cell r="AC79">
            <v>404</v>
          </cell>
          <cell r="AD79">
            <v>5.7715934740992601E-3</v>
          </cell>
          <cell r="AE79">
            <v>44124.4689</v>
          </cell>
          <cell r="AF79">
            <v>23.659232654155499</v>
          </cell>
        </row>
        <row r="80">
          <cell r="B80" t="str">
            <v>SUC CABO SAN LUCAS</v>
          </cell>
          <cell r="C80">
            <v>6235</v>
          </cell>
          <cell r="D80">
            <v>334036</v>
          </cell>
          <cell r="E80">
            <v>96687</v>
          </cell>
          <cell r="F80">
            <v>3.454818124463475</v>
          </cell>
          <cell r="G80">
            <v>15.507137129109861</v>
          </cell>
          <cell r="H80">
            <v>289</v>
          </cell>
          <cell r="I80">
            <v>14412</v>
          </cell>
          <cell r="J80">
            <v>14701</v>
          </cell>
          <cell r="K80">
            <v>0.15204732797583961</v>
          </cell>
          <cell r="L80">
            <v>2.989026446161325E-3</v>
          </cell>
          <cell r="M80">
            <v>0.14905830152967819</v>
          </cell>
          <cell r="N80">
            <v>0.22592489166071961</v>
          </cell>
          <cell r="O80">
            <v>9.1563498712339819E-2</v>
          </cell>
          <cell r="P80">
            <v>1.3838468460082531E-2</v>
          </cell>
          <cell r="Q80">
            <v>0.51429871647687897</v>
          </cell>
          <cell r="R80">
            <v>2.2443554976367039E-3</v>
          </cell>
          <cell r="S80">
            <v>8.2741216502735634E-5</v>
          </cell>
          <cell r="T80">
            <v>0.1928284050596254</v>
          </cell>
          <cell r="U80">
            <v>0.27965496912718357</v>
          </cell>
          <cell r="V80">
            <v>0.36662633032362157</v>
          </cell>
          <cell r="W80">
            <v>0.14533494678705511</v>
          </cell>
          <cell r="X80">
            <v>1.547260748601156E-2</v>
          </cell>
          <cell r="Y80">
            <v>8.2741216502735634E-5</v>
          </cell>
          <cell r="Z80">
            <v>4.8557640493838994</v>
          </cell>
          <cell r="AA80">
            <v>0.40115436659521719</v>
          </cell>
          <cell r="AB80">
            <v>1761</v>
          </cell>
          <cell r="AC80">
            <v>787</v>
          </cell>
          <cell r="AD80">
            <v>5.3533773212706623E-2</v>
          </cell>
          <cell r="AE80">
            <v>810031.91700000002</v>
          </cell>
          <cell r="AF80">
            <v>459.98405281090288</v>
          </cell>
        </row>
        <row r="81">
          <cell r="B81" t="str">
            <v>SUCURSAL VENADILLO</v>
          </cell>
          <cell r="C81">
            <v>7941</v>
          </cell>
          <cell r="D81">
            <v>439434</v>
          </cell>
          <cell r="E81">
            <v>134663</v>
          </cell>
          <cell r="F81">
            <v>3.2632126122245899</v>
          </cell>
          <cell r="G81">
            <v>16.95793980606976</v>
          </cell>
          <cell r="H81">
            <v>730</v>
          </cell>
          <cell r="I81">
            <v>35581</v>
          </cell>
          <cell r="J81">
            <v>36311</v>
          </cell>
          <cell r="K81">
            <v>0.26964348039179292</v>
          </cell>
          <cell r="L81">
            <v>5.4209396790506669E-3</v>
          </cell>
          <cell r="M81">
            <v>0.2642225407127422</v>
          </cell>
          <cell r="N81">
            <v>0.13434276675850079</v>
          </cell>
          <cell r="O81">
            <v>8.4113676362475215E-2</v>
          </cell>
          <cell r="P81">
            <v>2.1245627975019121E-2</v>
          </cell>
          <cell r="Q81">
            <v>0.4887459807073955</v>
          </cell>
          <cell r="R81">
            <v>1.8564861914557079E-3</v>
          </cell>
          <cell r="S81">
            <v>5.1981613360759822E-5</v>
          </cell>
          <cell r="T81">
            <v>0.2268997423197166</v>
          </cell>
          <cell r="U81">
            <v>0.45745304946421811</v>
          </cell>
          <cell r="V81">
            <v>0.28963412370138791</v>
          </cell>
          <cell r="W81">
            <v>2.429769127377231E-2</v>
          </cell>
          <cell r="X81">
            <v>1.6634116275443141E-3</v>
          </cell>
          <cell r="Y81">
            <v>5.1981613360759822E-5</v>
          </cell>
          <cell r="Z81">
            <v>5.0360236121920474</v>
          </cell>
          <cell r="AA81">
            <v>0.32541860666220629</v>
          </cell>
          <cell r="AB81">
            <v>2049</v>
          </cell>
          <cell r="AC81">
            <v>1203</v>
          </cell>
          <cell r="AD81">
            <v>3.3130456335545698E-2</v>
          </cell>
          <cell r="AE81">
            <v>251926.85070000001</v>
          </cell>
          <cell r="AF81">
            <v>122.95112284040999</v>
          </cell>
        </row>
      </sheetData>
      <sheetData sheetId="7">
        <row r="6">
          <cell r="B6" t="str">
            <v>Planta Zapopan</v>
          </cell>
        </row>
      </sheetData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olidado Escenarios"/>
      <sheetName val="Resumen Rutas SKU_Cons"/>
      <sheetName val="Resumen Rutas SKU_Med"/>
      <sheetName val="Resumen Rutas SKU_Amb"/>
      <sheetName val="Resumen Rutas SKU2_Cons"/>
      <sheetName val="Resumen Rutas SKU2_Med"/>
      <sheetName val="Resumen Rutas SKU2_Amb"/>
      <sheetName val="Resumen Esc. A"/>
      <sheetName val="Mix 3 Segmentos"/>
      <sheetName val="Mix 70-30"/>
      <sheetName val="Motor Rutas SKU_Cons"/>
      <sheetName val="Conciliación Rutas"/>
      <sheetName val="Tabla para mapa"/>
      <sheetName val="Sheet6"/>
      <sheetName val="Motor Rutas SKU_Med"/>
      <sheetName val="Motor Rutas SKU_Amb"/>
      <sheetName val="Motor Rutas SKU2_Cons"/>
      <sheetName val="Motor Rutas SKU2_Med"/>
      <sheetName val="Motor Rutas SKU2_Amb"/>
      <sheetName val="Capacidad Rutas_1Pallet"/>
      <sheetName val="Capacidad Rutas_2Pallet"/>
      <sheetName val="Analisis recomendación Rutas v2"/>
      <sheetName val="Base de datos Rutas"/>
      <sheetName val="Clientes SKU"/>
      <sheetName val="Pivot Rutas SKU"/>
      <sheetName val="Venta por Segmento Ced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6">
          <cell r="A6">
            <v>219340</v>
          </cell>
          <cell r="B6" t="str">
            <v>Suc. San Pedro</v>
          </cell>
          <cell r="C6" t="str">
            <v>Norte</v>
          </cell>
          <cell r="D6" t="str">
            <v>Comarca</v>
          </cell>
          <cell r="N6">
            <v>0.85</v>
          </cell>
          <cell r="O6">
            <v>0.08</v>
          </cell>
          <cell r="P6">
            <v>7.0000000000000007E-2</v>
          </cell>
          <cell r="BW6">
            <v>0</v>
          </cell>
          <cell r="BX6">
            <v>0</v>
          </cell>
          <cell r="CG6">
            <v>0.49329849119318148</v>
          </cell>
          <cell r="CH6">
            <v>0.16100098077737515</v>
          </cell>
        </row>
        <row r="7">
          <cell r="A7">
            <v>305400</v>
          </cell>
          <cell r="B7" t="str">
            <v>Suc. Casas Grandes</v>
          </cell>
          <cell r="C7" t="str">
            <v>Norte</v>
          </cell>
          <cell r="D7" t="str">
            <v>Juárez</v>
          </cell>
          <cell r="N7">
            <v>0.85</v>
          </cell>
          <cell r="O7">
            <v>0.08</v>
          </cell>
          <cell r="P7">
            <v>7.0000000000000007E-2</v>
          </cell>
          <cell r="BW7">
            <v>0</v>
          </cell>
          <cell r="BX7">
            <v>0</v>
          </cell>
          <cell r="CG7">
            <v>0.48448108799999978</v>
          </cell>
          <cell r="CH7">
            <v>0.10448757565347676</v>
          </cell>
        </row>
        <row r="8">
          <cell r="A8">
            <v>309399</v>
          </cell>
          <cell r="B8" t="str">
            <v>Sin CeDi</v>
          </cell>
          <cell r="C8" t="str">
            <v>Sin región</v>
          </cell>
          <cell r="D8" t="str">
            <v>Sin territorio</v>
          </cell>
          <cell r="N8" t="str">
            <v/>
          </cell>
          <cell r="O8" t="str">
            <v/>
          </cell>
          <cell r="P8" t="str">
            <v/>
          </cell>
          <cell r="BW8">
            <v>0</v>
          </cell>
          <cell r="BX8">
            <v>0</v>
          </cell>
          <cell r="CG8" t="str">
            <v/>
          </cell>
          <cell r="CH8" t="str">
            <v/>
          </cell>
        </row>
        <row r="9">
          <cell r="A9">
            <v>312399</v>
          </cell>
          <cell r="B9" t="str">
            <v>Sin CeDi</v>
          </cell>
          <cell r="C9" t="str">
            <v>Sin región</v>
          </cell>
          <cell r="D9" t="str">
            <v>Sin territorio</v>
          </cell>
          <cell r="N9" t="str">
            <v/>
          </cell>
          <cell r="O9" t="str">
            <v/>
          </cell>
          <cell r="P9" t="str">
            <v/>
          </cell>
          <cell r="BW9">
            <v>0</v>
          </cell>
          <cell r="BX9">
            <v>0</v>
          </cell>
          <cell r="CG9" t="str">
            <v/>
          </cell>
          <cell r="CH9" t="str">
            <v/>
          </cell>
        </row>
        <row r="10">
          <cell r="A10">
            <v>401300</v>
          </cell>
          <cell r="B10" t="str">
            <v>Planta Hermosillo</v>
          </cell>
          <cell r="C10" t="str">
            <v>Pacifico</v>
          </cell>
          <cell r="D10" t="str">
            <v>Hermosillo</v>
          </cell>
          <cell r="N10">
            <v>0.85</v>
          </cell>
          <cell r="O10">
            <v>0.08</v>
          </cell>
          <cell r="P10">
            <v>7.0000000000000007E-2</v>
          </cell>
          <cell r="BW10">
            <v>0</v>
          </cell>
          <cell r="BX10">
            <v>0</v>
          </cell>
          <cell r="CG10" t="str">
            <v/>
          </cell>
          <cell r="CH10">
            <v>0.20658303192068006</v>
          </cell>
        </row>
        <row r="11">
          <cell r="A11">
            <v>401301</v>
          </cell>
          <cell r="B11" t="str">
            <v>Planta Hermosillo</v>
          </cell>
          <cell r="C11" t="str">
            <v>Pacifico</v>
          </cell>
          <cell r="D11" t="str">
            <v>Hermosillo</v>
          </cell>
          <cell r="N11">
            <v>0.85</v>
          </cell>
          <cell r="O11">
            <v>0.08</v>
          </cell>
          <cell r="P11">
            <v>7.0000000000000007E-2</v>
          </cell>
          <cell r="BW11">
            <v>0</v>
          </cell>
          <cell r="BX11">
            <v>0</v>
          </cell>
          <cell r="CG11" t="str">
            <v/>
          </cell>
          <cell r="CH11">
            <v>7.3576436415964327E-2</v>
          </cell>
        </row>
        <row r="12">
          <cell r="A12">
            <v>401302</v>
          </cell>
          <cell r="B12" t="str">
            <v>Planta Hermosillo</v>
          </cell>
          <cell r="C12" t="str">
            <v>Pacifico</v>
          </cell>
          <cell r="D12" t="str">
            <v>Hermosillo</v>
          </cell>
          <cell r="N12">
            <v>0.85</v>
          </cell>
          <cell r="O12">
            <v>0.08</v>
          </cell>
          <cell r="P12">
            <v>7.0000000000000007E-2</v>
          </cell>
          <cell r="BW12">
            <v>0</v>
          </cell>
          <cell r="BX12">
            <v>0</v>
          </cell>
          <cell r="CG12" t="str">
            <v/>
          </cell>
          <cell r="CH12">
            <v>0.14911054071582128</v>
          </cell>
        </row>
        <row r="13">
          <cell r="A13">
            <v>401307</v>
          </cell>
          <cell r="B13" t="str">
            <v>Planta Hermosillo</v>
          </cell>
          <cell r="C13" t="str">
            <v>Pacifico</v>
          </cell>
          <cell r="D13" t="str">
            <v>Hermosillo</v>
          </cell>
          <cell r="N13">
            <v>0.85</v>
          </cell>
          <cell r="O13">
            <v>0.08</v>
          </cell>
          <cell r="P13">
            <v>7.0000000000000007E-2</v>
          </cell>
          <cell r="BW13">
            <v>0</v>
          </cell>
          <cell r="BX13">
            <v>0</v>
          </cell>
          <cell r="CG13" t="str">
            <v/>
          </cell>
          <cell r="CH13">
            <v>6.6498062348243985E-4</v>
          </cell>
        </row>
        <row r="14">
          <cell r="A14">
            <v>404304</v>
          </cell>
          <cell r="B14" t="str">
            <v>Sucursal Cajeme</v>
          </cell>
          <cell r="C14" t="str">
            <v>Pacifico</v>
          </cell>
          <cell r="D14" t="str">
            <v>No está en EERR</v>
          </cell>
          <cell r="N14">
            <v>0.85</v>
          </cell>
          <cell r="O14">
            <v>0.08</v>
          </cell>
          <cell r="P14">
            <v>7.0000000000000007E-2</v>
          </cell>
          <cell r="BW14">
            <v>0</v>
          </cell>
          <cell r="BX14">
            <v>0</v>
          </cell>
          <cell r="CG14" t="str">
            <v/>
          </cell>
          <cell r="CH14" t="str">
            <v/>
          </cell>
        </row>
        <row r="15">
          <cell r="A15">
            <v>406300</v>
          </cell>
          <cell r="B15" t="str">
            <v>Sucursal Guaymas</v>
          </cell>
          <cell r="C15" t="str">
            <v>Pacifico</v>
          </cell>
          <cell r="D15" t="str">
            <v>No está en EERR</v>
          </cell>
          <cell r="N15">
            <v>0.85</v>
          </cell>
          <cell r="O15">
            <v>0.08</v>
          </cell>
          <cell r="P15">
            <v>7.0000000000000007E-2</v>
          </cell>
          <cell r="BW15">
            <v>0</v>
          </cell>
          <cell r="BX15">
            <v>0</v>
          </cell>
          <cell r="CG15" t="str">
            <v/>
          </cell>
          <cell r="CH15" t="str">
            <v/>
          </cell>
        </row>
        <row r="16">
          <cell r="A16">
            <v>407300</v>
          </cell>
          <cell r="B16" t="str">
            <v>Planta Mexicali</v>
          </cell>
          <cell r="C16" t="str">
            <v>Pacifico</v>
          </cell>
          <cell r="D16" t="str">
            <v>Mexicali</v>
          </cell>
          <cell r="N16">
            <v>0.85</v>
          </cell>
          <cell r="O16">
            <v>0.08</v>
          </cell>
          <cell r="P16">
            <v>7.0000000000000007E-2</v>
          </cell>
          <cell r="BW16">
            <v>0</v>
          </cell>
          <cell r="BX16">
            <v>0</v>
          </cell>
          <cell r="CG16" t="str">
            <v/>
          </cell>
          <cell r="CH16">
            <v>9.3449718754688688E-2</v>
          </cell>
        </row>
        <row r="17">
          <cell r="A17">
            <v>407301</v>
          </cell>
          <cell r="B17" t="str">
            <v>Planta Mexicali</v>
          </cell>
          <cell r="C17" t="str">
            <v>Pacifico</v>
          </cell>
          <cell r="D17" t="str">
            <v>Mexicali</v>
          </cell>
          <cell r="N17">
            <v>0.85</v>
          </cell>
          <cell r="O17">
            <v>0.08</v>
          </cell>
          <cell r="P17">
            <v>7.0000000000000007E-2</v>
          </cell>
          <cell r="BW17">
            <v>0</v>
          </cell>
          <cell r="BX17">
            <v>0</v>
          </cell>
          <cell r="CG17" t="str">
            <v/>
          </cell>
          <cell r="CH17">
            <v>0.17389948013417833</v>
          </cell>
        </row>
        <row r="18">
          <cell r="A18">
            <v>407302</v>
          </cell>
          <cell r="B18" t="str">
            <v>Planta Mexicali</v>
          </cell>
          <cell r="C18" t="str">
            <v>Pacifico</v>
          </cell>
          <cell r="D18" t="str">
            <v>Mexicali</v>
          </cell>
          <cell r="N18">
            <v>0.85</v>
          </cell>
          <cell r="O18">
            <v>0.08</v>
          </cell>
          <cell r="P18">
            <v>7.0000000000000007E-2</v>
          </cell>
          <cell r="BW18">
            <v>0</v>
          </cell>
          <cell r="BX18">
            <v>0</v>
          </cell>
          <cell r="CG18" t="str">
            <v/>
          </cell>
          <cell r="CH18">
            <v>9.044226818820357E-2</v>
          </cell>
        </row>
        <row r="19">
          <cell r="A19">
            <v>407303</v>
          </cell>
          <cell r="B19" t="str">
            <v>Planta Mexicali</v>
          </cell>
          <cell r="C19" t="str">
            <v>Pacifico</v>
          </cell>
          <cell r="D19" t="str">
            <v>Mexicali</v>
          </cell>
          <cell r="N19">
            <v>0.85</v>
          </cell>
          <cell r="O19">
            <v>0.08</v>
          </cell>
          <cell r="P19">
            <v>7.0000000000000007E-2</v>
          </cell>
          <cell r="BW19">
            <v>0</v>
          </cell>
          <cell r="BX19">
            <v>0</v>
          </cell>
          <cell r="CG19" t="str">
            <v/>
          </cell>
          <cell r="CH19">
            <v>0.15252722155673037</v>
          </cell>
        </row>
        <row r="20">
          <cell r="A20">
            <v>407304</v>
          </cell>
          <cell r="B20" t="str">
            <v>Planta Mexicali</v>
          </cell>
          <cell r="C20" t="str">
            <v>Pacifico</v>
          </cell>
          <cell r="D20" t="str">
            <v>Mexicali</v>
          </cell>
          <cell r="N20">
            <v>0.85</v>
          </cell>
          <cell r="O20">
            <v>0.08</v>
          </cell>
          <cell r="P20">
            <v>7.0000000000000007E-2</v>
          </cell>
          <cell r="BW20">
            <v>0</v>
          </cell>
          <cell r="BX20">
            <v>0</v>
          </cell>
          <cell r="CG20" t="str">
            <v/>
          </cell>
          <cell r="CH20">
            <v>7.7070526379429669E-2</v>
          </cell>
        </row>
        <row r="21">
          <cell r="A21">
            <v>407307</v>
          </cell>
          <cell r="B21" t="str">
            <v>Planta Mexicali</v>
          </cell>
          <cell r="C21" t="str">
            <v>Pacifico</v>
          </cell>
          <cell r="D21" t="str">
            <v>Mexicali</v>
          </cell>
          <cell r="N21">
            <v>0.85</v>
          </cell>
          <cell r="O21">
            <v>0.08</v>
          </cell>
          <cell r="P21">
            <v>7.0000000000000007E-2</v>
          </cell>
          <cell r="BW21">
            <v>0</v>
          </cell>
          <cell r="BX21">
            <v>0</v>
          </cell>
          <cell r="CG21" t="str">
            <v/>
          </cell>
          <cell r="CH21">
            <v>1.0125292075751316E-2</v>
          </cell>
        </row>
        <row r="22">
          <cell r="A22">
            <v>501300</v>
          </cell>
          <cell r="B22" t="str">
            <v>Planta Aeropuerto</v>
          </cell>
          <cell r="C22" t="str">
            <v>Pacifico</v>
          </cell>
          <cell r="D22" t="str">
            <v>Culiacán</v>
          </cell>
          <cell r="N22">
            <v>0.85</v>
          </cell>
          <cell r="O22">
            <v>0.08</v>
          </cell>
          <cell r="P22">
            <v>7.0000000000000007E-2</v>
          </cell>
          <cell r="BW22">
            <v>0</v>
          </cell>
          <cell r="BX22">
            <v>0</v>
          </cell>
          <cell r="CG22" t="str">
            <v/>
          </cell>
          <cell r="CH22">
            <v>0.12054878187024731</v>
          </cell>
        </row>
        <row r="23">
          <cell r="A23">
            <v>501301</v>
          </cell>
          <cell r="B23" t="str">
            <v>Planta Aeropuerto</v>
          </cell>
          <cell r="C23" t="str">
            <v>Pacifico</v>
          </cell>
          <cell r="D23" t="str">
            <v>Culiacán</v>
          </cell>
          <cell r="N23">
            <v>0.85</v>
          </cell>
          <cell r="O23">
            <v>0.08</v>
          </cell>
          <cell r="P23">
            <v>7.0000000000000007E-2</v>
          </cell>
          <cell r="BW23">
            <v>0</v>
          </cell>
          <cell r="BX23">
            <v>0</v>
          </cell>
          <cell r="CG23" t="str">
            <v/>
          </cell>
          <cell r="CH23">
            <v>0.21304492189797344</v>
          </cell>
        </row>
        <row r="24">
          <cell r="A24">
            <v>501302</v>
          </cell>
          <cell r="B24" t="str">
            <v>Planta Aeropuerto</v>
          </cell>
          <cell r="C24" t="str">
            <v>Pacifico</v>
          </cell>
          <cell r="D24" t="str">
            <v>Culiacán</v>
          </cell>
          <cell r="N24">
            <v>0.85</v>
          </cell>
          <cell r="O24">
            <v>0.08</v>
          </cell>
          <cell r="P24">
            <v>7.0000000000000007E-2</v>
          </cell>
          <cell r="BW24">
            <v>0</v>
          </cell>
          <cell r="BX24">
            <v>0</v>
          </cell>
          <cell r="CG24" t="str">
            <v/>
          </cell>
          <cell r="CH24">
            <v>0.10039306441971979</v>
          </cell>
        </row>
        <row r="25">
          <cell r="A25">
            <v>501303</v>
          </cell>
          <cell r="B25" t="str">
            <v>Planta Aeropuerto</v>
          </cell>
          <cell r="C25" t="str">
            <v>Pacifico</v>
          </cell>
          <cell r="D25" t="str">
            <v>Culiacán</v>
          </cell>
          <cell r="N25">
            <v>0.85</v>
          </cell>
          <cell r="O25">
            <v>0.08</v>
          </cell>
          <cell r="P25">
            <v>7.0000000000000007E-2</v>
          </cell>
          <cell r="BW25">
            <v>0</v>
          </cell>
          <cell r="BX25">
            <v>0</v>
          </cell>
          <cell r="CG25" t="str">
            <v/>
          </cell>
          <cell r="CH25">
            <v>0.12668166436317035</v>
          </cell>
        </row>
        <row r="26">
          <cell r="A26">
            <v>501304</v>
          </cell>
          <cell r="B26" t="str">
            <v>Planta Aeropuerto</v>
          </cell>
          <cell r="C26" t="str">
            <v>Pacifico</v>
          </cell>
          <cell r="D26" t="str">
            <v>Culiacán</v>
          </cell>
          <cell r="N26">
            <v>0.85</v>
          </cell>
          <cell r="O26">
            <v>0.08</v>
          </cell>
          <cell r="P26">
            <v>7.0000000000000007E-2</v>
          </cell>
          <cell r="BW26">
            <v>0</v>
          </cell>
          <cell r="BX26">
            <v>0</v>
          </cell>
          <cell r="CG26" t="str">
            <v/>
          </cell>
          <cell r="CH26">
            <v>0.12549511093039778</v>
          </cell>
        </row>
        <row r="27">
          <cell r="A27">
            <v>501305</v>
          </cell>
          <cell r="B27" t="str">
            <v>Planta Aeropuerto</v>
          </cell>
          <cell r="C27" t="str">
            <v>Pacifico</v>
          </cell>
          <cell r="D27" t="str">
            <v>Culiacán</v>
          </cell>
          <cell r="N27">
            <v>0.85</v>
          </cell>
          <cell r="O27">
            <v>0.08</v>
          </cell>
          <cell r="P27">
            <v>7.0000000000000007E-2</v>
          </cell>
          <cell r="BW27">
            <v>0</v>
          </cell>
          <cell r="BX27">
            <v>0</v>
          </cell>
          <cell r="CG27" t="str">
            <v/>
          </cell>
          <cell r="CH27">
            <v>0.17283538874334375</v>
          </cell>
        </row>
        <row r="28">
          <cell r="A28">
            <v>501306</v>
          </cell>
          <cell r="B28" t="str">
            <v>Planta Aeropuerto</v>
          </cell>
          <cell r="C28" t="str">
            <v>Pacifico</v>
          </cell>
          <cell r="D28" t="str">
            <v>Culiacán</v>
          </cell>
          <cell r="N28">
            <v>0.85</v>
          </cell>
          <cell r="O28">
            <v>0.08</v>
          </cell>
          <cell r="P28">
            <v>7.0000000000000007E-2</v>
          </cell>
          <cell r="BW28">
            <v>0</v>
          </cell>
          <cell r="BX28">
            <v>0</v>
          </cell>
          <cell r="CG28" t="str">
            <v/>
          </cell>
          <cell r="CH28">
            <v>2.7964947982645756E-3</v>
          </cell>
        </row>
        <row r="29">
          <cell r="A29">
            <v>502300</v>
          </cell>
          <cell r="B29" t="str">
            <v>Sucursal Guamúchil</v>
          </cell>
          <cell r="C29" t="str">
            <v>Pacifico</v>
          </cell>
          <cell r="D29" t="str">
            <v>No está en EERR</v>
          </cell>
          <cell r="N29">
            <v>0.85</v>
          </cell>
          <cell r="O29">
            <v>0.08</v>
          </cell>
          <cell r="P29">
            <v>7.0000000000000007E-2</v>
          </cell>
          <cell r="BW29">
            <v>0</v>
          </cell>
          <cell r="BX29">
            <v>0</v>
          </cell>
          <cell r="CG29" t="str">
            <v/>
          </cell>
          <cell r="CH29" t="str">
            <v/>
          </cell>
        </row>
        <row r="30">
          <cell r="A30">
            <v>504300</v>
          </cell>
          <cell r="B30" t="str">
            <v>Planta Escuinapa</v>
          </cell>
          <cell r="C30" t="str">
            <v>Pacifico</v>
          </cell>
          <cell r="D30" t="str">
            <v>No está en EERR</v>
          </cell>
          <cell r="N30">
            <v>0.85</v>
          </cell>
          <cell r="O30">
            <v>0.08</v>
          </cell>
          <cell r="P30">
            <v>7.0000000000000007E-2</v>
          </cell>
          <cell r="BW30">
            <v>0</v>
          </cell>
          <cell r="BX30">
            <v>0</v>
          </cell>
          <cell r="CG30" t="str">
            <v/>
          </cell>
          <cell r="CH30" t="str">
            <v/>
          </cell>
        </row>
        <row r="31">
          <cell r="A31">
            <v>702317</v>
          </cell>
          <cell r="B31" t="str">
            <v>Sin CeDi</v>
          </cell>
          <cell r="C31" t="str">
            <v>Sin región</v>
          </cell>
          <cell r="D31" t="str">
            <v>Sin territorio</v>
          </cell>
          <cell r="N31" t="str">
            <v/>
          </cell>
          <cell r="O31" t="str">
            <v/>
          </cell>
          <cell r="P31" t="str">
            <v/>
          </cell>
          <cell r="BW31">
            <v>0</v>
          </cell>
          <cell r="BX31">
            <v>0</v>
          </cell>
          <cell r="CG31" t="str">
            <v/>
          </cell>
          <cell r="CH31" t="str">
            <v/>
          </cell>
        </row>
        <row r="32">
          <cell r="A32">
            <v>703310</v>
          </cell>
          <cell r="B32" t="str">
            <v>Sin CeDi</v>
          </cell>
          <cell r="C32" t="str">
            <v>Sin región</v>
          </cell>
          <cell r="D32" t="str">
            <v>Sin territorio</v>
          </cell>
          <cell r="N32" t="str">
            <v/>
          </cell>
          <cell r="O32" t="str">
            <v/>
          </cell>
          <cell r="P32" t="str">
            <v/>
          </cell>
          <cell r="BW32">
            <v>0</v>
          </cell>
          <cell r="BX32">
            <v>0</v>
          </cell>
          <cell r="CG32" t="str">
            <v/>
          </cell>
          <cell r="CH32" t="str">
            <v/>
          </cell>
        </row>
        <row r="33">
          <cell r="A33">
            <v>803399</v>
          </cell>
          <cell r="B33" t="str">
            <v>Sin CeDi</v>
          </cell>
          <cell r="C33" t="str">
            <v>Sin región</v>
          </cell>
          <cell r="D33" t="str">
            <v>Sin territorio</v>
          </cell>
          <cell r="N33" t="str">
            <v/>
          </cell>
          <cell r="O33" t="str">
            <v/>
          </cell>
          <cell r="P33" t="str">
            <v/>
          </cell>
          <cell r="BW33">
            <v>0</v>
          </cell>
          <cell r="BX33">
            <v>0</v>
          </cell>
          <cell r="CG33" t="str">
            <v/>
          </cell>
          <cell r="CH33" t="str">
            <v/>
          </cell>
        </row>
        <row r="34">
          <cell r="A34">
            <v>804405</v>
          </cell>
          <cell r="B34" t="str">
            <v>Sin CeDi</v>
          </cell>
          <cell r="C34" t="str">
            <v>Sin región</v>
          </cell>
          <cell r="D34" t="str">
            <v>Sin territorio</v>
          </cell>
          <cell r="N34" t="str">
            <v/>
          </cell>
          <cell r="O34" t="str">
            <v/>
          </cell>
          <cell r="P34" t="str">
            <v/>
          </cell>
          <cell r="BW34">
            <v>0</v>
          </cell>
          <cell r="BX34">
            <v>0</v>
          </cell>
          <cell r="CG34" t="str">
            <v/>
          </cell>
          <cell r="CH34" t="str">
            <v/>
          </cell>
        </row>
        <row r="35">
          <cell r="A35">
            <v>809387</v>
          </cell>
          <cell r="B35" t="str">
            <v>Sin CeDi</v>
          </cell>
          <cell r="C35" t="str">
            <v>Sin región</v>
          </cell>
          <cell r="D35" t="str">
            <v>Sin territorio</v>
          </cell>
          <cell r="N35" t="str">
            <v/>
          </cell>
          <cell r="O35" t="str">
            <v/>
          </cell>
          <cell r="P35" t="str">
            <v/>
          </cell>
          <cell r="BW35">
            <v>0</v>
          </cell>
          <cell r="BX35">
            <v>0</v>
          </cell>
          <cell r="CG35" t="str">
            <v/>
          </cell>
          <cell r="CH35" t="str">
            <v/>
          </cell>
        </row>
        <row r="36">
          <cell r="A36">
            <v>821340</v>
          </cell>
          <cell r="B36" t="str">
            <v>Sin CeDi</v>
          </cell>
          <cell r="C36" t="str">
            <v>Sin región</v>
          </cell>
          <cell r="D36" t="str">
            <v>Sin territorio</v>
          </cell>
          <cell r="N36" t="str">
            <v/>
          </cell>
          <cell r="O36" t="str">
            <v/>
          </cell>
          <cell r="P36" t="str">
            <v/>
          </cell>
          <cell r="BW36">
            <v>0</v>
          </cell>
          <cell r="BX36">
            <v>0</v>
          </cell>
          <cell r="CG36" t="str">
            <v/>
          </cell>
          <cell r="CH36" t="str">
            <v/>
          </cell>
        </row>
        <row r="37">
          <cell r="A37">
            <v>946399</v>
          </cell>
          <cell r="B37" t="str">
            <v>Sin CeDi</v>
          </cell>
          <cell r="C37" t="str">
            <v>Sin región</v>
          </cell>
          <cell r="D37" t="str">
            <v>Sin territorio</v>
          </cell>
          <cell r="N37" t="str">
            <v/>
          </cell>
          <cell r="O37" t="str">
            <v/>
          </cell>
          <cell r="P37" t="str">
            <v/>
          </cell>
          <cell r="BW37">
            <v>0</v>
          </cell>
          <cell r="BX37">
            <v>0</v>
          </cell>
          <cell r="CG37" t="str">
            <v/>
          </cell>
          <cell r="CH37" t="str">
            <v/>
          </cell>
        </row>
        <row r="38">
          <cell r="A38">
            <v>947399</v>
          </cell>
          <cell r="B38" t="str">
            <v>Sin CeDi</v>
          </cell>
          <cell r="C38" t="str">
            <v>Sin región</v>
          </cell>
          <cell r="D38" t="str">
            <v>Sin territorio</v>
          </cell>
          <cell r="N38" t="str">
            <v/>
          </cell>
          <cell r="O38" t="str">
            <v/>
          </cell>
          <cell r="P38" t="str">
            <v/>
          </cell>
          <cell r="BW38">
            <v>0</v>
          </cell>
          <cell r="BX38">
            <v>0</v>
          </cell>
          <cell r="CG38" t="str">
            <v/>
          </cell>
          <cell r="CH38" t="str">
            <v/>
          </cell>
        </row>
        <row r="39">
          <cell r="A39">
            <v>948470</v>
          </cell>
          <cell r="B39" t="str">
            <v>Suc. Ojocaliente</v>
          </cell>
          <cell r="C39" t="str">
            <v>Norte</v>
          </cell>
          <cell r="D39" t="str">
            <v>Zacatecas</v>
          </cell>
          <cell r="N39">
            <v>0.85</v>
          </cell>
          <cell r="O39">
            <v>0.08</v>
          </cell>
          <cell r="P39">
            <v>7.0000000000000007E-2</v>
          </cell>
          <cell r="BW39">
            <v>0</v>
          </cell>
          <cell r="BX39">
            <v>48.012708953372169</v>
          </cell>
          <cell r="CG39">
            <v>0.8820093155844162</v>
          </cell>
          <cell r="CH39">
            <v>0.365507354487206</v>
          </cell>
        </row>
        <row r="40">
          <cell r="A40">
            <v>949399</v>
          </cell>
          <cell r="B40" t="str">
            <v>Sin CeDi</v>
          </cell>
          <cell r="C40" t="str">
            <v>Sin región</v>
          </cell>
          <cell r="D40" t="str">
            <v>Sin territorio</v>
          </cell>
          <cell r="N40" t="str">
            <v/>
          </cell>
          <cell r="O40" t="str">
            <v/>
          </cell>
          <cell r="P40" t="str">
            <v/>
          </cell>
          <cell r="BW40">
            <v>0</v>
          </cell>
          <cell r="BX40">
            <v>0</v>
          </cell>
          <cell r="CG40" t="str">
            <v/>
          </cell>
          <cell r="CH40" t="str">
            <v/>
          </cell>
        </row>
        <row r="41">
          <cell r="A41">
            <v>819429</v>
          </cell>
          <cell r="B41" t="str">
            <v>Suc. Huentitán</v>
          </cell>
          <cell r="C41" t="str">
            <v>Occidente</v>
          </cell>
          <cell r="D41" t="str">
            <v>Zapopan</v>
          </cell>
          <cell r="N41">
            <v>0.85</v>
          </cell>
          <cell r="O41">
            <v>0.08</v>
          </cell>
          <cell r="P41">
            <v>7.0000000000000007E-2</v>
          </cell>
          <cell r="BW41">
            <v>0</v>
          </cell>
          <cell r="BX41">
            <v>61.928514737076767</v>
          </cell>
          <cell r="CG41">
            <v>3.4871118115909083</v>
          </cell>
          <cell r="CH41">
            <v>0.25366400633417857</v>
          </cell>
        </row>
        <row r="42">
          <cell r="A42">
            <v>803348</v>
          </cell>
          <cell r="B42" t="str">
            <v>Suc. San Rafael</v>
          </cell>
          <cell r="C42" t="str">
            <v>Occidente</v>
          </cell>
          <cell r="D42" t="str">
            <v>Favorita</v>
          </cell>
          <cell r="N42">
            <v>0.85</v>
          </cell>
          <cell r="O42">
            <v>0.08</v>
          </cell>
          <cell r="P42">
            <v>7.0000000000000007E-2</v>
          </cell>
          <cell r="BW42">
            <v>0</v>
          </cell>
          <cell r="BX42">
            <v>63.460812986630984</v>
          </cell>
          <cell r="CG42">
            <v>3.1984963440340928</v>
          </cell>
          <cell r="CH42">
            <v>0.16483374534675141</v>
          </cell>
        </row>
        <row r="43">
          <cell r="A43">
            <v>810361</v>
          </cell>
          <cell r="B43" t="str">
            <v>Cedi Tonalá</v>
          </cell>
          <cell r="C43" t="str">
            <v>Occidente</v>
          </cell>
          <cell r="D43" t="str">
            <v>Favorita</v>
          </cell>
          <cell r="N43">
            <v>0.85</v>
          </cell>
          <cell r="O43">
            <v>0.08</v>
          </cell>
          <cell r="P43">
            <v>7.0000000000000007E-2</v>
          </cell>
          <cell r="BW43">
            <v>0</v>
          </cell>
          <cell r="BX43">
            <v>2.897376396482521</v>
          </cell>
          <cell r="CG43">
            <v>3.1327301858522709</v>
          </cell>
          <cell r="CH43">
            <v>0.25746533227112228</v>
          </cell>
        </row>
        <row r="44">
          <cell r="A44">
            <v>816339</v>
          </cell>
          <cell r="B44" t="str">
            <v>Planta Zapopan</v>
          </cell>
          <cell r="C44" t="str">
            <v>Occidente</v>
          </cell>
          <cell r="D44" t="str">
            <v>Zapopan</v>
          </cell>
          <cell r="N44">
            <v>0.85</v>
          </cell>
          <cell r="O44">
            <v>0.08</v>
          </cell>
          <cell r="P44">
            <v>7.0000000000000007E-2</v>
          </cell>
          <cell r="BW44">
            <v>0</v>
          </cell>
          <cell r="BX44">
            <v>57.111861368983924</v>
          </cell>
          <cell r="CG44">
            <v>2.7880287105681818</v>
          </cell>
          <cell r="CH44">
            <v>0.12539097233066077</v>
          </cell>
        </row>
        <row r="45">
          <cell r="A45">
            <v>507306</v>
          </cell>
          <cell r="B45" t="str">
            <v>Suc. Cabo San Lucas</v>
          </cell>
          <cell r="C45" t="str">
            <v>Pacifico</v>
          </cell>
          <cell r="D45" t="str">
            <v>La Paz</v>
          </cell>
          <cell r="N45">
            <v>0.85</v>
          </cell>
          <cell r="O45">
            <v>0.08</v>
          </cell>
          <cell r="P45">
            <v>7.0000000000000007E-2</v>
          </cell>
          <cell r="BW45">
            <v>0</v>
          </cell>
          <cell r="BX45">
            <v>82.914507020764418</v>
          </cell>
          <cell r="CG45">
            <v>2.7386867884090904</v>
          </cell>
          <cell r="CH45">
            <v>0.15520733201436457</v>
          </cell>
        </row>
        <row r="46">
          <cell r="A46">
            <v>803347</v>
          </cell>
          <cell r="B46" t="str">
            <v>Suc. San Rafael</v>
          </cell>
          <cell r="C46" t="str">
            <v>Occidente</v>
          </cell>
          <cell r="D46" t="str">
            <v>Favorita</v>
          </cell>
          <cell r="N46">
            <v>0.85</v>
          </cell>
          <cell r="O46">
            <v>0.08</v>
          </cell>
          <cell r="P46">
            <v>7.0000000000000007E-2</v>
          </cell>
          <cell r="BW46">
            <v>0</v>
          </cell>
          <cell r="BX46">
            <v>49.288359106951802</v>
          </cell>
          <cell r="CG46">
            <v>2.7124229653977237</v>
          </cell>
          <cell r="CH46">
            <v>0.1859222197563947</v>
          </cell>
        </row>
        <row r="47">
          <cell r="A47">
            <v>820404</v>
          </cell>
          <cell r="B47" t="str">
            <v>Suc. Belenes</v>
          </cell>
          <cell r="C47" t="str">
            <v>Occidente</v>
          </cell>
          <cell r="D47" t="str">
            <v>Zapopan</v>
          </cell>
          <cell r="N47">
            <v>0.85</v>
          </cell>
          <cell r="O47">
            <v>0.08</v>
          </cell>
          <cell r="P47">
            <v>7.0000000000000007E-2</v>
          </cell>
          <cell r="BW47">
            <v>0</v>
          </cell>
          <cell r="BX47">
            <v>48.382234179144355</v>
          </cell>
          <cell r="CG47">
            <v>2.6307657946022709</v>
          </cell>
          <cell r="CH47">
            <v>0.17443907837252998</v>
          </cell>
        </row>
        <row r="48">
          <cell r="A48">
            <v>507302</v>
          </cell>
          <cell r="B48" t="str">
            <v>Suc. Cabo San Lucas</v>
          </cell>
          <cell r="C48" t="str">
            <v>Pacifico</v>
          </cell>
          <cell r="D48" t="str">
            <v>La Paz</v>
          </cell>
          <cell r="N48">
            <v>0.85</v>
          </cell>
          <cell r="O48">
            <v>0.08</v>
          </cell>
          <cell r="P48">
            <v>7.0000000000000007E-2</v>
          </cell>
          <cell r="BW48">
            <v>0</v>
          </cell>
          <cell r="BX48">
            <v>37.58865625280643</v>
          </cell>
          <cell r="CG48">
            <v>2.3315231319545453</v>
          </cell>
          <cell r="CH48">
            <v>0.23403943790316642</v>
          </cell>
        </row>
        <row r="49">
          <cell r="A49">
            <v>507301</v>
          </cell>
          <cell r="B49" t="str">
            <v>Suc. Cabo San Lucas</v>
          </cell>
          <cell r="C49" t="str">
            <v>Pacifico</v>
          </cell>
          <cell r="D49" t="str">
            <v>La Paz</v>
          </cell>
          <cell r="N49">
            <v>0.85</v>
          </cell>
          <cell r="O49">
            <v>0.08</v>
          </cell>
          <cell r="P49">
            <v>7.0000000000000007E-2</v>
          </cell>
          <cell r="BW49">
            <v>0</v>
          </cell>
          <cell r="BX49">
            <v>47.70986136209028</v>
          </cell>
          <cell r="CG49">
            <v>2.1255512082954531</v>
          </cell>
          <cell r="CH49">
            <v>0.11442991128539398</v>
          </cell>
        </row>
        <row r="50">
          <cell r="A50">
            <v>507303</v>
          </cell>
          <cell r="B50" t="str">
            <v>Suc. Cabo San Lucas</v>
          </cell>
          <cell r="C50" t="str">
            <v>Pacifico</v>
          </cell>
          <cell r="D50" t="str">
            <v>La Paz</v>
          </cell>
          <cell r="N50">
            <v>0.85</v>
          </cell>
          <cell r="O50">
            <v>0.08</v>
          </cell>
          <cell r="P50">
            <v>7.0000000000000007E-2</v>
          </cell>
          <cell r="BW50">
            <v>0</v>
          </cell>
          <cell r="BX50">
            <v>39.130810737654812</v>
          </cell>
          <cell r="CG50">
            <v>1.7870649815454538</v>
          </cell>
          <cell r="CH50">
            <v>0.20261427845851554</v>
          </cell>
        </row>
        <row r="51">
          <cell r="A51">
            <v>507300</v>
          </cell>
          <cell r="B51" t="str">
            <v>Suc. Cabo San Lucas</v>
          </cell>
          <cell r="C51" t="str">
            <v>Pacifico</v>
          </cell>
          <cell r="D51" t="str">
            <v>La Paz</v>
          </cell>
          <cell r="N51">
            <v>0.85</v>
          </cell>
          <cell r="O51">
            <v>0.08</v>
          </cell>
          <cell r="P51">
            <v>7.0000000000000007E-2</v>
          </cell>
          <cell r="BW51">
            <v>0</v>
          </cell>
          <cell r="BX51">
            <v>33.143570858866973</v>
          </cell>
          <cell r="CG51">
            <v>1.6960652830227274</v>
          </cell>
          <cell r="CH51">
            <v>0.32461889581225534</v>
          </cell>
        </row>
        <row r="52">
          <cell r="A52">
            <v>816329</v>
          </cell>
          <cell r="B52" t="str">
            <v>Planta Zapopan</v>
          </cell>
          <cell r="C52" t="str">
            <v>Occidente</v>
          </cell>
          <cell r="D52" t="str">
            <v>Zapopan</v>
          </cell>
          <cell r="N52">
            <v>0.85</v>
          </cell>
          <cell r="O52">
            <v>0.08</v>
          </cell>
          <cell r="P52">
            <v>7.0000000000000007E-2</v>
          </cell>
          <cell r="BW52">
            <v>0</v>
          </cell>
          <cell r="BX52">
            <v>7.9606007077983811</v>
          </cell>
          <cell r="CG52">
            <v>1.6469939873863642</v>
          </cell>
          <cell r="CH52">
            <v>0.24995163749111229</v>
          </cell>
        </row>
        <row r="53">
          <cell r="A53">
            <v>816374</v>
          </cell>
          <cell r="B53" t="str">
            <v>Planta Zapopan</v>
          </cell>
          <cell r="C53" t="str">
            <v>Occidente</v>
          </cell>
          <cell r="D53" t="str">
            <v>Zapopan</v>
          </cell>
          <cell r="N53">
            <v>0.85</v>
          </cell>
          <cell r="O53">
            <v>0.08</v>
          </cell>
          <cell r="P53">
            <v>7.0000000000000007E-2</v>
          </cell>
          <cell r="BW53">
            <v>0</v>
          </cell>
          <cell r="BX53">
            <v>69.89513718743099</v>
          </cell>
          <cell r="CG53">
            <v>1.6232985347727276</v>
          </cell>
          <cell r="CH53">
            <v>0.28785804142808669</v>
          </cell>
        </row>
        <row r="54">
          <cell r="A54">
            <v>506300</v>
          </cell>
          <cell r="B54" t="str">
            <v>Planta La Paz</v>
          </cell>
          <cell r="C54" t="str">
            <v>Pacifico</v>
          </cell>
          <cell r="D54" t="str">
            <v>La Paz</v>
          </cell>
          <cell r="N54">
            <v>0.85</v>
          </cell>
          <cell r="O54">
            <v>0.08</v>
          </cell>
          <cell r="P54">
            <v>7.0000000000000007E-2</v>
          </cell>
          <cell r="BW54">
            <v>0</v>
          </cell>
          <cell r="BX54">
            <v>9.32555983380459</v>
          </cell>
          <cell r="CG54">
            <v>1.5486996613636368</v>
          </cell>
          <cell r="CH54">
            <v>0.18119289156677321</v>
          </cell>
        </row>
        <row r="55">
          <cell r="A55">
            <v>816382</v>
          </cell>
          <cell r="B55" t="str">
            <v>Planta Zapopan</v>
          </cell>
          <cell r="C55" t="str">
            <v>Occidente</v>
          </cell>
          <cell r="D55" t="str">
            <v>Zapopan</v>
          </cell>
          <cell r="N55">
            <v>0.85</v>
          </cell>
          <cell r="O55">
            <v>0.08</v>
          </cell>
          <cell r="P55">
            <v>7.0000000000000007E-2</v>
          </cell>
          <cell r="BW55">
            <v>0</v>
          </cell>
          <cell r="BX55">
            <v>71.076042990461531</v>
          </cell>
          <cell r="CG55">
            <v>1.5085106411931843</v>
          </cell>
          <cell r="CH55">
            <v>0.2758261232532363</v>
          </cell>
        </row>
        <row r="56">
          <cell r="A56">
            <v>816367</v>
          </cell>
          <cell r="B56" t="str">
            <v>Planta Zapopan</v>
          </cell>
          <cell r="C56" t="str">
            <v>Occidente</v>
          </cell>
          <cell r="D56" t="str">
            <v>Zapopan</v>
          </cell>
          <cell r="N56">
            <v>0.85</v>
          </cell>
          <cell r="O56">
            <v>0.08</v>
          </cell>
          <cell r="P56">
            <v>7.0000000000000007E-2</v>
          </cell>
          <cell r="BW56">
            <v>0</v>
          </cell>
          <cell r="BX56">
            <v>64.972475278340255</v>
          </cell>
          <cell r="CG56">
            <v>1.4968724399999989</v>
          </cell>
          <cell r="CH56">
            <v>0.3380136636128821</v>
          </cell>
        </row>
        <row r="57">
          <cell r="A57">
            <v>903400</v>
          </cell>
          <cell r="B57" t="str">
            <v>Sucursal Jalpa</v>
          </cell>
          <cell r="C57" t="str">
            <v>Occidente</v>
          </cell>
          <cell r="D57" t="str">
            <v>Aguascalientes</v>
          </cell>
          <cell r="N57">
            <v>0.85</v>
          </cell>
          <cell r="O57">
            <v>0.08</v>
          </cell>
          <cell r="P57">
            <v>7.0000000000000007E-2</v>
          </cell>
          <cell r="BW57">
            <v>0</v>
          </cell>
          <cell r="BX57">
            <v>0</v>
          </cell>
          <cell r="CG57">
            <v>1.4389503617045445</v>
          </cell>
          <cell r="CH57">
            <v>0.15279857094972171</v>
          </cell>
        </row>
        <row r="58">
          <cell r="A58">
            <v>507305</v>
          </cell>
          <cell r="B58" t="str">
            <v>Suc. Cabo San Lucas</v>
          </cell>
          <cell r="C58" t="str">
            <v>Pacifico</v>
          </cell>
          <cell r="D58" t="str">
            <v>La Paz</v>
          </cell>
          <cell r="N58">
            <v>0.85</v>
          </cell>
          <cell r="O58">
            <v>0.08</v>
          </cell>
          <cell r="P58">
            <v>7.0000000000000007E-2</v>
          </cell>
          <cell r="BW58">
            <v>0</v>
          </cell>
          <cell r="BX58">
            <v>41.723818207352089</v>
          </cell>
          <cell r="CG58">
            <v>1.4093186496136367</v>
          </cell>
          <cell r="CH58">
            <v>0.14977542607569516</v>
          </cell>
        </row>
        <row r="59">
          <cell r="A59">
            <v>816384</v>
          </cell>
          <cell r="B59" t="str">
            <v>Planta Zapopan</v>
          </cell>
          <cell r="C59" t="str">
            <v>Occidente</v>
          </cell>
          <cell r="D59" t="str">
            <v>Zapopan</v>
          </cell>
          <cell r="N59">
            <v>0.85</v>
          </cell>
          <cell r="O59">
            <v>0.08</v>
          </cell>
          <cell r="P59">
            <v>7.0000000000000007E-2</v>
          </cell>
          <cell r="BW59">
            <v>0</v>
          </cell>
          <cell r="BX59">
            <v>75.317923854097728</v>
          </cell>
          <cell r="CG59">
            <v>1.4061897352840909</v>
          </cell>
          <cell r="CH59">
            <v>0.23260678829209369</v>
          </cell>
        </row>
        <row r="60">
          <cell r="A60">
            <v>506301</v>
          </cell>
          <cell r="B60" t="str">
            <v>Planta La Paz</v>
          </cell>
          <cell r="C60" t="str">
            <v>Pacifico</v>
          </cell>
          <cell r="D60" t="str">
            <v>La Paz</v>
          </cell>
          <cell r="N60">
            <v>0.85</v>
          </cell>
          <cell r="O60">
            <v>0.08</v>
          </cell>
          <cell r="P60">
            <v>7.0000000000000007E-2</v>
          </cell>
          <cell r="BW60">
            <v>0</v>
          </cell>
          <cell r="BX60">
            <v>35.242002843715639</v>
          </cell>
          <cell r="CG60">
            <v>1.3978438110000002</v>
          </cell>
          <cell r="CH60">
            <v>0.28185822536353039</v>
          </cell>
        </row>
        <row r="61">
          <cell r="A61">
            <v>506304</v>
          </cell>
          <cell r="B61" t="str">
            <v>Planta La Paz</v>
          </cell>
          <cell r="C61" t="str">
            <v>Pacifico</v>
          </cell>
          <cell r="D61" t="str">
            <v>La Paz</v>
          </cell>
          <cell r="N61">
            <v>0.85</v>
          </cell>
          <cell r="O61">
            <v>0.08</v>
          </cell>
          <cell r="P61">
            <v>7.0000000000000007E-2</v>
          </cell>
          <cell r="BW61">
            <v>0</v>
          </cell>
          <cell r="BX61">
            <v>89.853617581370671</v>
          </cell>
          <cell r="CG61">
            <v>1.3637098876704552</v>
          </cell>
          <cell r="CH61">
            <v>8.4506679805532156E-2</v>
          </cell>
        </row>
        <row r="62">
          <cell r="A62">
            <v>506303</v>
          </cell>
          <cell r="B62" t="str">
            <v>Planta La Paz</v>
          </cell>
          <cell r="C62" t="str">
            <v>Pacifico</v>
          </cell>
          <cell r="D62" t="str">
            <v>La Paz</v>
          </cell>
          <cell r="N62">
            <v>0.85</v>
          </cell>
          <cell r="O62">
            <v>0.08</v>
          </cell>
          <cell r="P62">
            <v>7.0000000000000007E-2</v>
          </cell>
          <cell r="BW62">
            <v>0</v>
          </cell>
          <cell r="BX62">
            <v>41.115103161897338</v>
          </cell>
          <cell r="CG62">
            <v>1.3476687267272718</v>
          </cell>
          <cell r="CH62">
            <v>0.16217947998061524</v>
          </cell>
        </row>
        <row r="63">
          <cell r="A63">
            <v>703302</v>
          </cell>
          <cell r="B63" t="str">
            <v>Sucursal Universidad</v>
          </cell>
          <cell r="C63" t="str">
            <v>Noreste</v>
          </cell>
          <cell r="D63" t="str">
            <v>Monterrey</v>
          </cell>
          <cell r="N63">
            <v>0.8</v>
          </cell>
          <cell r="O63">
            <v>0.12</v>
          </cell>
          <cell r="P63">
            <v>0.08</v>
          </cell>
          <cell r="BW63">
            <v>0</v>
          </cell>
          <cell r="BX63">
            <v>0</v>
          </cell>
          <cell r="CG63">
            <v>1.3298386900909132</v>
          </cell>
          <cell r="CH63">
            <v>1.2517381483801024</v>
          </cell>
        </row>
        <row r="64">
          <cell r="A64">
            <v>816351</v>
          </cell>
          <cell r="B64" t="str">
            <v>Planta Zapopan</v>
          </cell>
          <cell r="C64" t="str">
            <v>Occidente</v>
          </cell>
          <cell r="D64" t="str">
            <v>Zapopan</v>
          </cell>
          <cell r="N64">
            <v>0.85</v>
          </cell>
          <cell r="O64">
            <v>0.08</v>
          </cell>
          <cell r="P64">
            <v>7.0000000000000007E-2</v>
          </cell>
          <cell r="BW64">
            <v>0</v>
          </cell>
          <cell r="BX64">
            <v>44.908682153603429</v>
          </cell>
          <cell r="CG64">
            <v>1.3172811355176135</v>
          </cell>
          <cell r="CH64">
            <v>0.24879505324616213</v>
          </cell>
        </row>
        <row r="65">
          <cell r="A65">
            <v>825302</v>
          </cell>
          <cell r="B65" t="str">
            <v>Suc. Tala</v>
          </cell>
          <cell r="C65" t="str">
            <v>Occidente</v>
          </cell>
          <cell r="D65" t="str">
            <v>Zapopan</v>
          </cell>
          <cell r="N65">
            <v>0.85</v>
          </cell>
          <cell r="O65">
            <v>0.08</v>
          </cell>
          <cell r="P65">
            <v>7.0000000000000007E-2</v>
          </cell>
          <cell r="BW65">
            <v>0</v>
          </cell>
          <cell r="BX65">
            <v>36.165274727931774</v>
          </cell>
          <cell r="CG65">
            <v>1.3078159619318179</v>
          </cell>
          <cell r="CH65">
            <v>7.8602966986702286E-2</v>
          </cell>
        </row>
        <row r="66">
          <cell r="A66">
            <v>506307</v>
          </cell>
          <cell r="B66" t="str">
            <v>Planta La Paz</v>
          </cell>
          <cell r="C66" t="str">
            <v>Pacifico</v>
          </cell>
          <cell r="D66" t="str">
            <v>La Paz</v>
          </cell>
          <cell r="N66">
            <v>0.85</v>
          </cell>
          <cell r="O66">
            <v>0.08</v>
          </cell>
          <cell r="P66">
            <v>7.0000000000000007E-2</v>
          </cell>
          <cell r="BW66">
            <v>0</v>
          </cell>
          <cell r="BX66">
            <v>40.133586298261122</v>
          </cell>
          <cell r="CG66">
            <v>1.2942465752045467</v>
          </cell>
          <cell r="CH66">
            <v>0.18218028031574779</v>
          </cell>
        </row>
        <row r="67">
          <cell r="A67">
            <v>816341</v>
          </cell>
          <cell r="B67" t="str">
            <v>Planta Zapopan</v>
          </cell>
          <cell r="C67" t="str">
            <v>Occidente</v>
          </cell>
          <cell r="D67" t="str">
            <v>Zapopan</v>
          </cell>
          <cell r="N67">
            <v>0.85</v>
          </cell>
          <cell r="O67">
            <v>0.08</v>
          </cell>
          <cell r="P67">
            <v>7.0000000000000007E-2</v>
          </cell>
          <cell r="BW67">
            <v>0</v>
          </cell>
          <cell r="BX67">
            <v>63.80452013279865</v>
          </cell>
          <cell r="CG67">
            <v>1.2573513654545456</v>
          </cell>
          <cell r="CH67">
            <v>0.30683617681451814</v>
          </cell>
        </row>
        <row r="68">
          <cell r="A68">
            <v>810333</v>
          </cell>
          <cell r="B68" t="str">
            <v>Cedi Tonalá</v>
          </cell>
          <cell r="C68" t="str">
            <v>Occidente</v>
          </cell>
          <cell r="D68" t="str">
            <v>Favorita</v>
          </cell>
          <cell r="N68">
            <v>0.85</v>
          </cell>
          <cell r="O68">
            <v>0.08</v>
          </cell>
          <cell r="P68">
            <v>7.0000000000000007E-2</v>
          </cell>
          <cell r="BW68">
            <v>0</v>
          </cell>
          <cell r="BX68">
            <v>28.890603782284742</v>
          </cell>
          <cell r="CG68">
            <v>1.2324592278409094</v>
          </cell>
          <cell r="CH68">
            <v>0.35426654064143898</v>
          </cell>
        </row>
        <row r="69">
          <cell r="A69">
            <v>802345</v>
          </cell>
          <cell r="B69" t="str">
            <v>Suc. Alamo</v>
          </cell>
          <cell r="C69" t="str">
            <v>Occidente</v>
          </cell>
          <cell r="D69" t="str">
            <v>Favorita</v>
          </cell>
          <cell r="N69">
            <v>0.85</v>
          </cell>
          <cell r="O69">
            <v>0.08</v>
          </cell>
          <cell r="P69">
            <v>7.0000000000000007E-2</v>
          </cell>
          <cell r="BW69">
            <v>0</v>
          </cell>
          <cell r="BX69">
            <v>66.261026615864424</v>
          </cell>
          <cell r="CG69">
            <v>1.2265399339772727</v>
          </cell>
          <cell r="CH69">
            <v>0.25835810632720901</v>
          </cell>
        </row>
        <row r="70">
          <cell r="A70">
            <v>805404</v>
          </cell>
          <cell r="B70" t="str">
            <v>Suc. Manzanillo</v>
          </cell>
          <cell r="C70" t="str">
            <v>Occidente</v>
          </cell>
          <cell r="D70" t="str">
            <v>Favorita</v>
          </cell>
          <cell r="N70">
            <v>0.85</v>
          </cell>
          <cell r="O70">
            <v>0.08</v>
          </cell>
          <cell r="P70">
            <v>7.0000000000000007E-2</v>
          </cell>
          <cell r="BW70">
            <v>0</v>
          </cell>
          <cell r="BX70">
            <v>66.247635581250066</v>
          </cell>
          <cell r="CG70">
            <v>1.2124433510795445</v>
          </cell>
          <cell r="CH70">
            <v>0.15286403810478988</v>
          </cell>
        </row>
        <row r="71">
          <cell r="A71">
            <v>820369</v>
          </cell>
          <cell r="B71" t="str">
            <v>Suc. Belenes</v>
          </cell>
          <cell r="C71" t="str">
            <v>Occidente</v>
          </cell>
          <cell r="D71" t="str">
            <v>Zapopan</v>
          </cell>
          <cell r="N71">
            <v>0.85</v>
          </cell>
          <cell r="O71">
            <v>0.08</v>
          </cell>
          <cell r="P71">
            <v>7.0000000000000007E-2</v>
          </cell>
          <cell r="BW71">
            <v>0</v>
          </cell>
          <cell r="BX71">
            <v>45.392281566218962</v>
          </cell>
          <cell r="CG71">
            <v>1.2101426899609093</v>
          </cell>
          <cell r="CH71">
            <v>0.53751076828234678</v>
          </cell>
        </row>
        <row r="72">
          <cell r="A72">
            <v>802349</v>
          </cell>
          <cell r="B72" t="str">
            <v>Suc. Alamo</v>
          </cell>
          <cell r="C72" t="str">
            <v>Occidente</v>
          </cell>
          <cell r="D72" t="str">
            <v>Favorita</v>
          </cell>
          <cell r="N72">
            <v>0.85</v>
          </cell>
          <cell r="O72">
            <v>0.08</v>
          </cell>
          <cell r="P72">
            <v>7.0000000000000007E-2</v>
          </cell>
          <cell r="BW72">
            <v>0</v>
          </cell>
          <cell r="BX72">
            <v>47.383947304841065</v>
          </cell>
          <cell r="CG72">
            <v>1.1904854062500001</v>
          </cell>
          <cell r="CH72">
            <v>0.23380777204421421</v>
          </cell>
        </row>
        <row r="73">
          <cell r="A73">
            <v>816394</v>
          </cell>
          <cell r="B73" t="str">
            <v>Planta Zapopan</v>
          </cell>
          <cell r="C73" t="str">
            <v>Occidente</v>
          </cell>
          <cell r="D73" t="str">
            <v>Zapopan</v>
          </cell>
          <cell r="N73">
            <v>0.85</v>
          </cell>
          <cell r="O73">
            <v>0.08</v>
          </cell>
          <cell r="P73">
            <v>7.0000000000000007E-2</v>
          </cell>
          <cell r="BW73">
            <v>0</v>
          </cell>
          <cell r="BX73">
            <v>24.94587415278016</v>
          </cell>
          <cell r="CG73">
            <v>1.1775759617045454</v>
          </cell>
          <cell r="CH73">
            <v>0.22906917374430899</v>
          </cell>
        </row>
        <row r="74">
          <cell r="A74">
            <v>301403</v>
          </cell>
          <cell r="B74" t="str">
            <v>Planta Cd. Juárez</v>
          </cell>
          <cell r="C74" t="str">
            <v>Norte</v>
          </cell>
          <cell r="D74" t="str">
            <v>Juárez</v>
          </cell>
          <cell r="N74">
            <v>0.85</v>
          </cell>
          <cell r="O74">
            <v>0.08</v>
          </cell>
          <cell r="P74">
            <v>7.0000000000000007E-2</v>
          </cell>
          <cell r="BW74">
            <v>0</v>
          </cell>
          <cell r="BX74">
            <v>65.69435622769457</v>
          </cell>
          <cell r="CG74">
            <v>1.1663198161363622</v>
          </cell>
          <cell r="CH74">
            <v>0.10754482798698738</v>
          </cell>
        </row>
        <row r="75">
          <cell r="A75">
            <v>907345</v>
          </cell>
          <cell r="B75" t="str">
            <v>Planta Trojes</v>
          </cell>
          <cell r="C75" t="str">
            <v>Occidente</v>
          </cell>
          <cell r="D75" t="str">
            <v>Aguascalientes</v>
          </cell>
          <cell r="N75">
            <v>0.85</v>
          </cell>
          <cell r="O75">
            <v>0.08</v>
          </cell>
          <cell r="P75">
            <v>7.0000000000000007E-2</v>
          </cell>
          <cell r="BW75">
            <v>0</v>
          </cell>
          <cell r="BX75">
            <v>61.484087330659435</v>
          </cell>
          <cell r="CG75">
            <v>1.1551688268749991</v>
          </cell>
          <cell r="CH75">
            <v>0.25271115264011068</v>
          </cell>
        </row>
        <row r="76">
          <cell r="A76">
            <v>301401</v>
          </cell>
          <cell r="B76" t="str">
            <v>Planta Cd. Juárez</v>
          </cell>
          <cell r="C76" t="str">
            <v>Norte</v>
          </cell>
          <cell r="D76" t="str">
            <v>Juárez</v>
          </cell>
          <cell r="N76">
            <v>0.85</v>
          </cell>
          <cell r="O76">
            <v>0.08</v>
          </cell>
          <cell r="P76">
            <v>7.0000000000000007E-2</v>
          </cell>
          <cell r="BW76">
            <v>0</v>
          </cell>
          <cell r="BX76">
            <v>64.345713045876465</v>
          </cell>
          <cell r="CG76">
            <v>1.1521118785909084</v>
          </cell>
          <cell r="CH76">
            <v>0.12586609105929747</v>
          </cell>
        </row>
        <row r="77">
          <cell r="A77">
            <v>816335</v>
          </cell>
          <cell r="B77" t="str">
            <v>Planta Zapopan</v>
          </cell>
          <cell r="C77" t="str">
            <v>Occidente</v>
          </cell>
          <cell r="D77" t="str">
            <v>Zapopan</v>
          </cell>
          <cell r="N77">
            <v>0.85</v>
          </cell>
          <cell r="O77">
            <v>0.08</v>
          </cell>
          <cell r="P77">
            <v>7.0000000000000007E-2</v>
          </cell>
          <cell r="BW77">
            <v>0</v>
          </cell>
          <cell r="BX77">
            <v>50.41963388859174</v>
          </cell>
          <cell r="CG77">
            <v>1.1492881563068182</v>
          </cell>
          <cell r="CH77">
            <v>0.36096821113680455</v>
          </cell>
        </row>
        <row r="78">
          <cell r="A78">
            <v>907342</v>
          </cell>
          <cell r="B78" t="str">
            <v>Planta Trojes</v>
          </cell>
          <cell r="C78" t="str">
            <v>Occidente</v>
          </cell>
          <cell r="D78" t="str">
            <v>Aguascalientes</v>
          </cell>
          <cell r="N78">
            <v>0.85</v>
          </cell>
          <cell r="O78">
            <v>0.08</v>
          </cell>
          <cell r="P78">
            <v>7.0000000000000007E-2</v>
          </cell>
          <cell r="BW78">
            <v>0</v>
          </cell>
          <cell r="BX78">
            <v>22.466328824691217</v>
          </cell>
          <cell r="CG78">
            <v>1.1464906484659094</v>
          </cell>
          <cell r="CH78">
            <v>0.27942675626713087</v>
          </cell>
        </row>
        <row r="79">
          <cell r="A79">
            <v>816392</v>
          </cell>
          <cell r="B79" t="str">
            <v>Planta Zapopan</v>
          </cell>
          <cell r="C79" t="str">
            <v>Occidente</v>
          </cell>
          <cell r="D79" t="str">
            <v>Zapopan</v>
          </cell>
          <cell r="N79">
            <v>0.85</v>
          </cell>
          <cell r="O79">
            <v>0.08</v>
          </cell>
          <cell r="P79">
            <v>7.0000000000000007E-2</v>
          </cell>
          <cell r="BW79">
            <v>0</v>
          </cell>
          <cell r="BX79">
            <v>59.597917489304862</v>
          </cell>
          <cell r="CG79">
            <v>1.137071214204546</v>
          </cell>
          <cell r="CH79">
            <v>0.25815540020577787</v>
          </cell>
        </row>
        <row r="80">
          <cell r="A80">
            <v>506302</v>
          </cell>
          <cell r="B80" t="str">
            <v>Planta La Paz</v>
          </cell>
          <cell r="C80" t="str">
            <v>Pacifico</v>
          </cell>
          <cell r="D80" t="str">
            <v>La Paz</v>
          </cell>
          <cell r="N80">
            <v>0.85</v>
          </cell>
          <cell r="O80">
            <v>0.08</v>
          </cell>
          <cell r="P80">
            <v>7.0000000000000007E-2</v>
          </cell>
          <cell r="BW80">
            <v>0</v>
          </cell>
          <cell r="BX80">
            <v>71.756174999643164</v>
          </cell>
          <cell r="CG80">
            <v>1.1366930065909091</v>
          </cell>
          <cell r="CH80">
            <v>9.3354485383772154E-2</v>
          </cell>
        </row>
        <row r="81">
          <cell r="A81">
            <v>805403</v>
          </cell>
          <cell r="B81" t="str">
            <v>Suc. Manzanillo</v>
          </cell>
          <cell r="C81" t="str">
            <v>Occidente</v>
          </cell>
          <cell r="D81" t="str">
            <v>Favorita</v>
          </cell>
          <cell r="N81">
            <v>0.85</v>
          </cell>
          <cell r="O81">
            <v>0.08</v>
          </cell>
          <cell r="P81">
            <v>7.0000000000000007E-2</v>
          </cell>
          <cell r="BW81">
            <v>0</v>
          </cell>
          <cell r="BX81">
            <v>60.852725202873799</v>
          </cell>
          <cell r="CG81">
            <v>1.1361480136363638</v>
          </cell>
          <cell r="CH81">
            <v>0.20190279908386119</v>
          </cell>
        </row>
        <row r="82">
          <cell r="A82">
            <v>816331</v>
          </cell>
          <cell r="B82" t="str">
            <v>Planta Zapopan</v>
          </cell>
          <cell r="C82" t="str">
            <v>Occidente</v>
          </cell>
          <cell r="D82" t="str">
            <v>Zapopan</v>
          </cell>
          <cell r="N82">
            <v>0.85</v>
          </cell>
          <cell r="O82">
            <v>0.08</v>
          </cell>
          <cell r="P82">
            <v>7.0000000000000007E-2</v>
          </cell>
          <cell r="BW82">
            <v>0</v>
          </cell>
          <cell r="BX82">
            <v>40.917327962315895</v>
          </cell>
          <cell r="CG82">
            <v>1.1322715484659087</v>
          </cell>
          <cell r="CH82">
            <v>0.20125860724885547</v>
          </cell>
        </row>
        <row r="83">
          <cell r="A83">
            <v>301400</v>
          </cell>
          <cell r="B83" t="str">
            <v>Planta Cd. Juárez</v>
          </cell>
          <cell r="C83" t="str">
            <v>Norte</v>
          </cell>
          <cell r="D83" t="str">
            <v>Juárez</v>
          </cell>
          <cell r="N83">
            <v>0.85</v>
          </cell>
          <cell r="O83">
            <v>0.08</v>
          </cell>
          <cell r="P83">
            <v>7.0000000000000007E-2</v>
          </cell>
          <cell r="BW83">
            <v>0</v>
          </cell>
          <cell r="BX83">
            <v>59.926454318603653</v>
          </cell>
          <cell r="CG83">
            <v>1.1315602419545436</v>
          </cell>
          <cell r="CH83">
            <v>0.18590154211004717</v>
          </cell>
        </row>
        <row r="84">
          <cell r="A84">
            <v>901406</v>
          </cell>
          <cell r="B84" t="str">
            <v>Planta Aguascalientes</v>
          </cell>
          <cell r="C84" t="str">
            <v>Occidente</v>
          </cell>
          <cell r="D84" t="str">
            <v>Aguascalientes</v>
          </cell>
          <cell r="N84">
            <v>0.85</v>
          </cell>
          <cell r="O84">
            <v>0.08</v>
          </cell>
          <cell r="P84">
            <v>7.0000000000000007E-2</v>
          </cell>
          <cell r="BW84">
            <v>0</v>
          </cell>
          <cell r="BX84">
            <v>66.918544884400745</v>
          </cell>
          <cell r="CG84">
            <v>1.1261185668409102</v>
          </cell>
          <cell r="CH84">
            <v>0.31818570595309792</v>
          </cell>
        </row>
        <row r="85">
          <cell r="A85">
            <v>809381</v>
          </cell>
          <cell r="B85" t="str">
            <v>Suc. Santa Maria</v>
          </cell>
          <cell r="C85" t="str">
            <v>Occidente</v>
          </cell>
          <cell r="D85" t="str">
            <v>Favorita</v>
          </cell>
          <cell r="N85">
            <v>0.85</v>
          </cell>
          <cell r="O85">
            <v>0.08</v>
          </cell>
          <cell r="P85">
            <v>7.0000000000000007E-2</v>
          </cell>
          <cell r="BW85">
            <v>0</v>
          </cell>
          <cell r="BX85">
            <v>69.417834731729087</v>
          </cell>
          <cell r="CG85">
            <v>1.1224417193181813</v>
          </cell>
          <cell r="CH85">
            <v>0.14696906134119622</v>
          </cell>
        </row>
        <row r="86">
          <cell r="A86">
            <v>816355</v>
          </cell>
          <cell r="B86" t="str">
            <v>Planta Zapopan</v>
          </cell>
          <cell r="C86" t="str">
            <v>Occidente</v>
          </cell>
          <cell r="D86" t="str">
            <v>Zapopan</v>
          </cell>
          <cell r="N86">
            <v>0.85</v>
          </cell>
          <cell r="O86">
            <v>0.08</v>
          </cell>
          <cell r="P86">
            <v>7.0000000000000007E-2</v>
          </cell>
          <cell r="BW86">
            <v>0</v>
          </cell>
          <cell r="BX86">
            <v>62.065086286096367</v>
          </cell>
          <cell r="CG86">
            <v>1.1213198002840907</v>
          </cell>
          <cell r="CH86">
            <v>0.2210303038792866</v>
          </cell>
        </row>
        <row r="87">
          <cell r="A87">
            <v>809379</v>
          </cell>
          <cell r="B87" t="str">
            <v>Suc. Santa Maria</v>
          </cell>
          <cell r="C87" t="str">
            <v>Occidente</v>
          </cell>
          <cell r="D87" t="str">
            <v>Favorita</v>
          </cell>
          <cell r="N87">
            <v>0.85</v>
          </cell>
          <cell r="O87">
            <v>0.08</v>
          </cell>
          <cell r="P87">
            <v>7.0000000000000007E-2</v>
          </cell>
          <cell r="BW87">
            <v>0</v>
          </cell>
          <cell r="BX87">
            <v>51.927995884400808</v>
          </cell>
          <cell r="CG87">
            <v>1.1129213776704572</v>
          </cell>
          <cell r="CH87">
            <v>0.47092020730046646</v>
          </cell>
        </row>
        <row r="88">
          <cell r="A88">
            <v>802403</v>
          </cell>
          <cell r="B88" t="str">
            <v>Suc. Alamo</v>
          </cell>
          <cell r="C88" t="str">
            <v>Occidente</v>
          </cell>
          <cell r="D88" t="str">
            <v>Favorita</v>
          </cell>
          <cell r="N88">
            <v>0.85</v>
          </cell>
          <cell r="O88">
            <v>0.08</v>
          </cell>
          <cell r="P88">
            <v>7.0000000000000007E-2</v>
          </cell>
          <cell r="BW88">
            <v>0</v>
          </cell>
          <cell r="BX88">
            <v>65.005761696969728</v>
          </cell>
          <cell r="CG88">
            <v>1.1119516322727272</v>
          </cell>
          <cell r="CH88">
            <v>0.18393882832081429</v>
          </cell>
        </row>
        <row r="89">
          <cell r="A89">
            <v>802350</v>
          </cell>
          <cell r="B89" t="str">
            <v>Suc. Alamo</v>
          </cell>
          <cell r="C89" t="str">
            <v>Occidente</v>
          </cell>
          <cell r="D89" t="str">
            <v>Favorita</v>
          </cell>
          <cell r="N89">
            <v>0.85</v>
          </cell>
          <cell r="O89">
            <v>0.08</v>
          </cell>
          <cell r="P89">
            <v>7.0000000000000007E-2</v>
          </cell>
          <cell r="BW89">
            <v>0</v>
          </cell>
          <cell r="BX89">
            <v>36.625025835763822</v>
          </cell>
          <cell r="CG89">
            <v>1.1102559228409086</v>
          </cell>
          <cell r="CH89">
            <v>0.25328834885772128</v>
          </cell>
        </row>
        <row r="90">
          <cell r="A90">
            <v>809368</v>
          </cell>
          <cell r="B90" t="str">
            <v>Suc. Santa Maria</v>
          </cell>
          <cell r="C90" t="str">
            <v>Occidente</v>
          </cell>
          <cell r="D90" t="str">
            <v>Favorita</v>
          </cell>
          <cell r="N90">
            <v>0.85</v>
          </cell>
          <cell r="O90">
            <v>0.08</v>
          </cell>
          <cell r="P90">
            <v>7.0000000000000007E-2</v>
          </cell>
          <cell r="BW90">
            <v>0</v>
          </cell>
          <cell r="BX90">
            <v>67.883317369249298</v>
          </cell>
          <cell r="CG90">
            <v>1.1026858464204556</v>
          </cell>
          <cell r="CH90">
            <v>0.30835590956692105</v>
          </cell>
        </row>
        <row r="91">
          <cell r="A91">
            <v>809366</v>
          </cell>
          <cell r="B91" t="str">
            <v>Suc. Santa Maria</v>
          </cell>
          <cell r="C91" t="str">
            <v>Occidente</v>
          </cell>
          <cell r="D91" t="str">
            <v>Favorita</v>
          </cell>
          <cell r="N91">
            <v>0.85</v>
          </cell>
          <cell r="O91">
            <v>0.08</v>
          </cell>
          <cell r="P91">
            <v>7.0000000000000007E-2</v>
          </cell>
          <cell r="BW91">
            <v>0</v>
          </cell>
          <cell r="BX91">
            <v>65.722998240641957</v>
          </cell>
          <cell r="CG91">
            <v>1.0947837671590934</v>
          </cell>
          <cell r="CH91">
            <v>0.16356529374551768</v>
          </cell>
        </row>
        <row r="92">
          <cell r="A92">
            <v>809375</v>
          </cell>
          <cell r="B92" t="str">
            <v>Suc. Santa Maria</v>
          </cell>
          <cell r="C92" t="str">
            <v>Occidente</v>
          </cell>
          <cell r="D92" t="str">
            <v>Favorita</v>
          </cell>
          <cell r="N92">
            <v>0.85</v>
          </cell>
          <cell r="O92">
            <v>0.08</v>
          </cell>
          <cell r="P92">
            <v>7.0000000000000007E-2</v>
          </cell>
          <cell r="BW92">
            <v>0</v>
          </cell>
          <cell r="BX92">
            <v>37.839425252900554</v>
          </cell>
          <cell r="CG92">
            <v>1.0900919581363646</v>
          </cell>
          <cell r="CH92">
            <v>0.25471798785651062</v>
          </cell>
        </row>
        <row r="93">
          <cell r="A93">
            <v>820428</v>
          </cell>
          <cell r="B93" t="str">
            <v>Suc. Belenes</v>
          </cell>
          <cell r="C93" t="str">
            <v>Occidente</v>
          </cell>
          <cell r="D93" t="str">
            <v>Zapopan</v>
          </cell>
          <cell r="N93">
            <v>0.85</v>
          </cell>
          <cell r="O93">
            <v>0.08</v>
          </cell>
          <cell r="P93">
            <v>7.0000000000000007E-2</v>
          </cell>
          <cell r="BW93">
            <v>0</v>
          </cell>
          <cell r="BX93">
            <v>56.087670165775528</v>
          </cell>
          <cell r="CG93">
            <v>1.0838515275715908</v>
          </cell>
          <cell r="CH93">
            <v>0.25341683648576674</v>
          </cell>
        </row>
        <row r="94">
          <cell r="A94">
            <v>907344</v>
          </cell>
          <cell r="B94" t="str">
            <v>Planta Trojes</v>
          </cell>
          <cell r="C94" t="str">
            <v>Occidente</v>
          </cell>
          <cell r="D94" t="str">
            <v>Aguascalientes</v>
          </cell>
          <cell r="N94">
            <v>0.85</v>
          </cell>
          <cell r="O94">
            <v>0.08</v>
          </cell>
          <cell r="P94">
            <v>7.0000000000000007E-2</v>
          </cell>
          <cell r="BW94">
            <v>0</v>
          </cell>
          <cell r="BX94">
            <v>44.872250838680998</v>
          </cell>
          <cell r="CG94">
            <v>1.0836226442045453</v>
          </cell>
          <cell r="CH94">
            <v>0.36751340543683381</v>
          </cell>
        </row>
        <row r="95">
          <cell r="A95">
            <v>916343</v>
          </cell>
          <cell r="B95" t="str">
            <v>Planta San Luis</v>
          </cell>
          <cell r="C95" t="str">
            <v>Occidente</v>
          </cell>
          <cell r="D95" t="str">
            <v>San Luis</v>
          </cell>
          <cell r="N95">
            <v>0.85</v>
          </cell>
          <cell r="O95">
            <v>0.08</v>
          </cell>
          <cell r="P95">
            <v>7.0000000000000007E-2</v>
          </cell>
          <cell r="BW95">
            <v>0</v>
          </cell>
          <cell r="BX95">
            <v>2.7231949935390105</v>
          </cell>
          <cell r="CG95">
            <v>1.0761854755909099</v>
          </cell>
          <cell r="CH95">
            <v>0.49339306118116311</v>
          </cell>
        </row>
        <row r="96">
          <cell r="A96">
            <v>816386</v>
          </cell>
          <cell r="B96" t="str">
            <v>Planta Zapopan</v>
          </cell>
          <cell r="C96" t="str">
            <v>Occidente</v>
          </cell>
          <cell r="D96" t="str">
            <v>Zapopan</v>
          </cell>
          <cell r="N96">
            <v>0.85</v>
          </cell>
          <cell r="O96">
            <v>0.08</v>
          </cell>
          <cell r="P96">
            <v>7.0000000000000007E-2</v>
          </cell>
          <cell r="BW96">
            <v>0</v>
          </cell>
          <cell r="BX96">
            <v>57.930535370766506</v>
          </cell>
          <cell r="CG96">
            <v>1.0738829730681818</v>
          </cell>
          <cell r="CH96">
            <v>0.22705370991735052</v>
          </cell>
        </row>
        <row r="97">
          <cell r="A97">
            <v>816371</v>
          </cell>
          <cell r="B97" t="str">
            <v>Planta Zapopan</v>
          </cell>
          <cell r="C97" t="str">
            <v>Occidente</v>
          </cell>
          <cell r="D97" t="str">
            <v>Zapopan</v>
          </cell>
          <cell r="N97">
            <v>0.85</v>
          </cell>
          <cell r="O97">
            <v>0.08</v>
          </cell>
          <cell r="P97">
            <v>7.0000000000000007E-2</v>
          </cell>
          <cell r="BW97">
            <v>0</v>
          </cell>
          <cell r="BX97">
            <v>62.43216664197665</v>
          </cell>
          <cell r="CG97">
            <v>1.0673284093977278</v>
          </cell>
          <cell r="CH97">
            <v>0.36389615616491672</v>
          </cell>
        </row>
        <row r="98">
          <cell r="A98">
            <v>805406</v>
          </cell>
          <cell r="B98" t="str">
            <v>Suc. Manzanillo</v>
          </cell>
          <cell r="C98" t="str">
            <v>Occidente</v>
          </cell>
          <cell r="D98" t="str">
            <v>Favorita</v>
          </cell>
          <cell r="N98">
            <v>0.85</v>
          </cell>
          <cell r="O98">
            <v>0.08</v>
          </cell>
          <cell r="P98">
            <v>7.0000000000000007E-2</v>
          </cell>
          <cell r="BW98">
            <v>0</v>
          </cell>
          <cell r="BX98">
            <v>56.704201885201982</v>
          </cell>
          <cell r="CG98">
            <v>1.0587428381249995</v>
          </cell>
          <cell r="CH98">
            <v>0.14680410998359922</v>
          </cell>
        </row>
        <row r="99">
          <cell r="A99">
            <v>820341</v>
          </cell>
          <cell r="B99" t="str">
            <v>Suc. Belenes</v>
          </cell>
          <cell r="C99" t="str">
            <v>Occidente</v>
          </cell>
          <cell r="D99" t="str">
            <v>Zapopan</v>
          </cell>
          <cell r="N99">
            <v>0.85</v>
          </cell>
          <cell r="O99">
            <v>0.08</v>
          </cell>
          <cell r="P99">
            <v>7.0000000000000007E-2</v>
          </cell>
          <cell r="BW99">
            <v>0</v>
          </cell>
          <cell r="BX99">
            <v>72.035595748037366</v>
          </cell>
          <cell r="CG99">
            <v>1.0569793208481817</v>
          </cell>
          <cell r="CH99">
            <v>0.26604950920495574</v>
          </cell>
        </row>
        <row r="100">
          <cell r="A100">
            <v>816363</v>
          </cell>
          <cell r="B100" t="str">
            <v>Planta Zapopan</v>
          </cell>
          <cell r="C100" t="str">
            <v>Occidente</v>
          </cell>
          <cell r="D100" t="str">
            <v>Zapopan</v>
          </cell>
          <cell r="N100">
            <v>0.85</v>
          </cell>
          <cell r="O100">
            <v>0.08</v>
          </cell>
          <cell r="P100">
            <v>7.0000000000000007E-2</v>
          </cell>
          <cell r="BW100">
            <v>0</v>
          </cell>
          <cell r="BX100">
            <v>52.737294229055422</v>
          </cell>
          <cell r="CG100">
            <v>1.0543797623863647</v>
          </cell>
          <cell r="CH100">
            <v>0.26512303240797336</v>
          </cell>
        </row>
        <row r="101">
          <cell r="A101">
            <v>802346</v>
          </cell>
          <cell r="B101" t="str">
            <v>Suc. Alamo</v>
          </cell>
          <cell r="C101" t="str">
            <v>Occidente</v>
          </cell>
          <cell r="D101" t="str">
            <v>Favorita</v>
          </cell>
          <cell r="N101">
            <v>0.85</v>
          </cell>
          <cell r="O101">
            <v>0.08</v>
          </cell>
          <cell r="P101">
            <v>7.0000000000000007E-2</v>
          </cell>
          <cell r="BW101">
            <v>0</v>
          </cell>
          <cell r="BX101">
            <v>56.586490672279638</v>
          </cell>
          <cell r="CG101">
            <v>1.0451964814772754</v>
          </cell>
          <cell r="CH101">
            <v>0.42345610985773824</v>
          </cell>
        </row>
        <row r="102">
          <cell r="A102">
            <v>802344</v>
          </cell>
          <cell r="B102" t="str">
            <v>Suc. Alamo</v>
          </cell>
          <cell r="C102" t="str">
            <v>Occidente</v>
          </cell>
          <cell r="D102" t="str">
            <v>Favorita</v>
          </cell>
          <cell r="N102">
            <v>0.85</v>
          </cell>
          <cell r="O102">
            <v>0.08</v>
          </cell>
          <cell r="P102">
            <v>7.0000000000000007E-2</v>
          </cell>
          <cell r="BW102">
            <v>0</v>
          </cell>
          <cell r="BX102">
            <v>41.088735566219114</v>
          </cell>
          <cell r="CG102">
            <v>1.0334846733750003</v>
          </cell>
          <cell r="CH102">
            <v>0.58135839203084616</v>
          </cell>
        </row>
        <row r="103">
          <cell r="A103">
            <v>907341</v>
          </cell>
          <cell r="B103" t="str">
            <v>Planta Trojes</v>
          </cell>
          <cell r="C103" t="str">
            <v>Occidente</v>
          </cell>
          <cell r="D103" t="str">
            <v>Aguascalientes</v>
          </cell>
          <cell r="N103">
            <v>0.85</v>
          </cell>
          <cell r="O103">
            <v>0.08</v>
          </cell>
          <cell r="P103">
            <v>7.0000000000000007E-2</v>
          </cell>
          <cell r="BW103">
            <v>0</v>
          </cell>
          <cell r="BX103">
            <v>57.984352293226365</v>
          </cell>
          <cell r="CG103">
            <v>1.0308177194318171</v>
          </cell>
          <cell r="CH103">
            <v>0.19373004944247527</v>
          </cell>
        </row>
        <row r="104">
          <cell r="A104">
            <v>820376</v>
          </cell>
          <cell r="B104" t="str">
            <v>Suc. Belenes</v>
          </cell>
          <cell r="C104" t="str">
            <v>Occidente</v>
          </cell>
          <cell r="D104" t="str">
            <v>Zapopan</v>
          </cell>
          <cell r="N104">
            <v>0.85</v>
          </cell>
          <cell r="O104">
            <v>0.08</v>
          </cell>
          <cell r="P104">
            <v>7.0000000000000007E-2</v>
          </cell>
          <cell r="BW104">
            <v>0</v>
          </cell>
          <cell r="BX104">
            <v>62.079126202582536</v>
          </cell>
          <cell r="CG104">
            <v>1.018901304511364</v>
          </cell>
          <cell r="CH104">
            <v>0.36749318623141503</v>
          </cell>
        </row>
        <row r="105">
          <cell r="A105">
            <v>506305</v>
          </cell>
          <cell r="B105" t="str">
            <v>Planta La Paz</v>
          </cell>
          <cell r="C105" t="str">
            <v>Pacifico</v>
          </cell>
          <cell r="D105" t="str">
            <v>La Paz</v>
          </cell>
          <cell r="N105">
            <v>0.85</v>
          </cell>
          <cell r="O105">
            <v>0.08</v>
          </cell>
          <cell r="P105">
            <v>7.0000000000000007E-2</v>
          </cell>
          <cell r="BW105">
            <v>0</v>
          </cell>
          <cell r="BX105">
            <v>64.265802833333268</v>
          </cell>
          <cell r="CG105">
            <v>1.016504599090909</v>
          </cell>
          <cell r="CH105">
            <v>0.11883693653758112</v>
          </cell>
        </row>
        <row r="106">
          <cell r="A106">
            <v>916434</v>
          </cell>
          <cell r="B106" t="str">
            <v>Planta San Luis</v>
          </cell>
          <cell r="C106" t="str">
            <v>Occidente</v>
          </cell>
          <cell r="D106" t="str">
            <v>San Luis</v>
          </cell>
          <cell r="N106">
            <v>0.85</v>
          </cell>
          <cell r="O106">
            <v>0.08</v>
          </cell>
          <cell r="P106">
            <v>7.0000000000000007E-2</v>
          </cell>
          <cell r="BW106">
            <v>0</v>
          </cell>
          <cell r="BX106">
            <v>58.520012732885519</v>
          </cell>
          <cell r="CG106">
            <v>1.0120813297159099</v>
          </cell>
          <cell r="CH106">
            <v>0.40375599562104308</v>
          </cell>
        </row>
        <row r="107">
          <cell r="A107">
            <v>816395</v>
          </cell>
          <cell r="B107" t="str">
            <v>Planta Zapopan</v>
          </cell>
          <cell r="C107" t="str">
            <v>Occidente</v>
          </cell>
          <cell r="D107" t="str">
            <v>Zapopan</v>
          </cell>
          <cell r="N107">
            <v>0.85</v>
          </cell>
          <cell r="O107">
            <v>0.08</v>
          </cell>
          <cell r="P107">
            <v>7.0000000000000007E-2</v>
          </cell>
          <cell r="BW107">
            <v>0</v>
          </cell>
          <cell r="BX107">
            <v>56.903499274509826</v>
          </cell>
          <cell r="CG107">
            <v>1.0013742685227278</v>
          </cell>
          <cell r="CH107">
            <v>0.18233426150976148</v>
          </cell>
        </row>
        <row r="108">
          <cell r="A108">
            <v>809369</v>
          </cell>
          <cell r="B108" t="str">
            <v>Suc. Santa Maria</v>
          </cell>
          <cell r="C108" t="str">
            <v>Occidente</v>
          </cell>
          <cell r="D108" t="str">
            <v>Favorita</v>
          </cell>
          <cell r="N108">
            <v>0.85</v>
          </cell>
          <cell r="O108">
            <v>0.08</v>
          </cell>
          <cell r="P108">
            <v>7.0000000000000007E-2</v>
          </cell>
          <cell r="BW108">
            <v>0</v>
          </cell>
          <cell r="BX108">
            <v>57.503903672905402</v>
          </cell>
          <cell r="CG108">
            <v>1.000645508863635</v>
          </cell>
          <cell r="CH108">
            <v>0.17566227801037831</v>
          </cell>
        </row>
        <row r="109">
          <cell r="A109">
            <v>816390</v>
          </cell>
          <cell r="B109" t="str">
            <v>Planta Zapopan</v>
          </cell>
          <cell r="C109" t="str">
            <v>Occidente</v>
          </cell>
          <cell r="D109" t="str">
            <v>Zapopan</v>
          </cell>
          <cell r="N109">
            <v>0.85</v>
          </cell>
          <cell r="O109">
            <v>0.08</v>
          </cell>
          <cell r="P109">
            <v>7.0000000000000007E-2</v>
          </cell>
          <cell r="BW109">
            <v>0</v>
          </cell>
          <cell r="BX109">
            <v>59.114456933155182</v>
          </cell>
          <cell r="CG109">
            <v>0.99196112710227269</v>
          </cell>
          <cell r="CH109">
            <v>0.15264344800161031</v>
          </cell>
        </row>
        <row r="110">
          <cell r="A110">
            <v>809371</v>
          </cell>
          <cell r="B110" t="str">
            <v>Suc. Santa Maria</v>
          </cell>
          <cell r="C110" t="str">
            <v>Occidente</v>
          </cell>
          <cell r="D110" t="str">
            <v>Favorita</v>
          </cell>
          <cell r="N110">
            <v>0.85</v>
          </cell>
          <cell r="O110">
            <v>0.08</v>
          </cell>
          <cell r="P110">
            <v>7.0000000000000007E-2</v>
          </cell>
          <cell r="BW110">
            <v>0</v>
          </cell>
          <cell r="BX110">
            <v>79.393482429855396</v>
          </cell>
          <cell r="CG110">
            <v>0.99193591851136498</v>
          </cell>
          <cell r="CH110">
            <v>0.19108206449576426</v>
          </cell>
        </row>
        <row r="111">
          <cell r="A111">
            <v>821401</v>
          </cell>
          <cell r="B111" t="str">
            <v>Suc. Ameca</v>
          </cell>
          <cell r="C111" t="str">
            <v>Occidente</v>
          </cell>
          <cell r="D111" t="str">
            <v>Zapopan</v>
          </cell>
          <cell r="N111">
            <v>0.85</v>
          </cell>
          <cell r="O111">
            <v>0.08</v>
          </cell>
          <cell r="P111">
            <v>7.0000000000000007E-2</v>
          </cell>
          <cell r="BW111">
            <v>0</v>
          </cell>
          <cell r="BX111">
            <v>49.480706460158402</v>
          </cell>
          <cell r="CG111">
            <v>0.98967516279545453</v>
          </cell>
          <cell r="CH111">
            <v>0.49585495317697537</v>
          </cell>
        </row>
        <row r="112">
          <cell r="A112">
            <v>921402</v>
          </cell>
          <cell r="B112" t="str">
            <v>Suc. Río Verde</v>
          </cell>
          <cell r="C112" t="str">
            <v>Occidente</v>
          </cell>
          <cell r="D112" t="str">
            <v>San Luis</v>
          </cell>
          <cell r="N112">
            <v>0.85</v>
          </cell>
          <cell r="O112">
            <v>0.08</v>
          </cell>
          <cell r="P112">
            <v>7.0000000000000007E-2</v>
          </cell>
          <cell r="BW112">
            <v>0</v>
          </cell>
          <cell r="BX112">
            <v>28.06276848217319</v>
          </cell>
          <cell r="CG112">
            <v>0.98758603124999966</v>
          </cell>
          <cell r="CH112">
            <v>0.15171460556917174</v>
          </cell>
        </row>
        <row r="113">
          <cell r="A113">
            <v>810349</v>
          </cell>
          <cell r="B113" t="str">
            <v>Cedi Tonalá</v>
          </cell>
          <cell r="C113" t="str">
            <v>Occidente</v>
          </cell>
          <cell r="D113" t="str">
            <v>Favorita</v>
          </cell>
          <cell r="N113">
            <v>0.85</v>
          </cell>
          <cell r="O113">
            <v>0.08</v>
          </cell>
          <cell r="P113">
            <v>7.0000000000000007E-2</v>
          </cell>
          <cell r="BW113">
            <v>0</v>
          </cell>
          <cell r="BX113">
            <v>50.951068891265564</v>
          </cell>
          <cell r="CG113">
            <v>0.98674829590908997</v>
          </cell>
          <cell r="CH113">
            <v>0.23185063169047015</v>
          </cell>
        </row>
        <row r="114">
          <cell r="A114">
            <v>916425</v>
          </cell>
          <cell r="B114" t="str">
            <v>Planta San Luis</v>
          </cell>
          <cell r="C114" t="str">
            <v>Occidente</v>
          </cell>
          <cell r="D114" t="str">
            <v>San Luis</v>
          </cell>
          <cell r="N114">
            <v>0.85</v>
          </cell>
          <cell r="O114">
            <v>0.08</v>
          </cell>
          <cell r="P114">
            <v>7.0000000000000007E-2</v>
          </cell>
          <cell r="BW114">
            <v>0</v>
          </cell>
          <cell r="BX114">
            <v>58.655519172279753</v>
          </cell>
          <cell r="CG114">
            <v>0.98543895974999995</v>
          </cell>
          <cell r="CH114">
            <v>0.40237535849759709</v>
          </cell>
        </row>
        <row r="115">
          <cell r="A115">
            <v>820431</v>
          </cell>
          <cell r="B115" t="str">
            <v>Suc. Belenes</v>
          </cell>
          <cell r="C115" t="str">
            <v>Occidente</v>
          </cell>
          <cell r="D115" t="str">
            <v>Zapopan</v>
          </cell>
          <cell r="N115">
            <v>0.85</v>
          </cell>
          <cell r="O115">
            <v>0.08</v>
          </cell>
          <cell r="P115">
            <v>7.0000000000000007E-2</v>
          </cell>
          <cell r="BW115">
            <v>0</v>
          </cell>
          <cell r="BX115">
            <v>56.315657509803884</v>
          </cell>
          <cell r="CG115">
            <v>0.98367425386363627</v>
          </cell>
          <cell r="CH115">
            <v>0.17485280507375869</v>
          </cell>
        </row>
        <row r="116">
          <cell r="A116">
            <v>816349</v>
          </cell>
          <cell r="B116" t="str">
            <v>Planta Zapopan</v>
          </cell>
          <cell r="C116" t="str">
            <v>Occidente</v>
          </cell>
          <cell r="D116" t="str">
            <v>Zapopan</v>
          </cell>
          <cell r="N116">
            <v>0.85</v>
          </cell>
          <cell r="O116">
            <v>0.08</v>
          </cell>
          <cell r="P116">
            <v>7.0000000000000007E-2</v>
          </cell>
          <cell r="BW116">
            <v>0</v>
          </cell>
          <cell r="BX116">
            <v>66.391929672279616</v>
          </cell>
          <cell r="CG116">
            <v>0.98233972701136374</v>
          </cell>
          <cell r="CH116">
            <v>0.32355124071938701</v>
          </cell>
        </row>
        <row r="117">
          <cell r="A117">
            <v>809353</v>
          </cell>
          <cell r="B117" t="str">
            <v>Suc. Santa Maria</v>
          </cell>
          <cell r="C117" t="str">
            <v>Occidente</v>
          </cell>
          <cell r="D117" t="str">
            <v>Favorita</v>
          </cell>
          <cell r="N117">
            <v>0.85</v>
          </cell>
          <cell r="O117">
            <v>0.08</v>
          </cell>
          <cell r="P117">
            <v>7.0000000000000007E-2</v>
          </cell>
          <cell r="BW117">
            <v>0</v>
          </cell>
          <cell r="BX117">
            <v>70.781621005612919</v>
          </cell>
          <cell r="CG117">
            <v>0.98118216953590986</v>
          </cell>
          <cell r="CH117">
            <v>0.2788259063193238</v>
          </cell>
        </row>
        <row r="118">
          <cell r="A118">
            <v>810350</v>
          </cell>
          <cell r="B118" t="str">
            <v>Cedi Tonalá</v>
          </cell>
          <cell r="C118" t="str">
            <v>Occidente</v>
          </cell>
          <cell r="D118" t="str">
            <v>Favorita</v>
          </cell>
          <cell r="N118">
            <v>0.85</v>
          </cell>
          <cell r="O118">
            <v>0.08</v>
          </cell>
          <cell r="P118">
            <v>7.0000000000000007E-2</v>
          </cell>
          <cell r="BW118">
            <v>0</v>
          </cell>
          <cell r="BX118">
            <v>54.90294521773427</v>
          </cell>
          <cell r="CG118">
            <v>0.97345228980681953</v>
          </cell>
          <cell r="CH118">
            <v>0.44060928253310971</v>
          </cell>
        </row>
        <row r="119">
          <cell r="A119">
            <v>820373</v>
          </cell>
          <cell r="B119" t="str">
            <v>Suc. Belenes</v>
          </cell>
          <cell r="C119" t="str">
            <v>Occidente</v>
          </cell>
          <cell r="D119" t="str">
            <v>Zapopan</v>
          </cell>
          <cell r="N119">
            <v>0.85</v>
          </cell>
          <cell r="O119">
            <v>0.08</v>
          </cell>
          <cell r="P119">
            <v>7.0000000000000007E-2</v>
          </cell>
          <cell r="BW119">
            <v>0</v>
          </cell>
          <cell r="BX119">
            <v>65.808242217734218</v>
          </cell>
          <cell r="CG119">
            <v>0.96972708580363753</v>
          </cell>
          <cell r="CH119">
            <v>0.3294982685642448</v>
          </cell>
        </row>
        <row r="120">
          <cell r="A120">
            <v>906400</v>
          </cell>
          <cell r="B120" t="str">
            <v>Sucursal Teocaltiche</v>
          </cell>
          <cell r="C120" t="str">
            <v>Occidente</v>
          </cell>
          <cell r="D120" t="str">
            <v>Aguascalientes</v>
          </cell>
          <cell r="N120">
            <v>0.85</v>
          </cell>
          <cell r="O120">
            <v>0.08</v>
          </cell>
          <cell r="P120">
            <v>7.0000000000000007E-2</v>
          </cell>
          <cell r="BW120">
            <v>0</v>
          </cell>
          <cell r="BX120">
            <v>66.89259504638396</v>
          </cell>
          <cell r="CG120">
            <v>0.96003828255681789</v>
          </cell>
          <cell r="CH120">
            <v>2.681108659583907E-2</v>
          </cell>
        </row>
        <row r="121">
          <cell r="A121">
            <v>916341</v>
          </cell>
          <cell r="B121" t="str">
            <v>Planta San Luis</v>
          </cell>
          <cell r="C121" t="str">
            <v>Occidente</v>
          </cell>
          <cell r="D121" t="str">
            <v>San Luis</v>
          </cell>
          <cell r="N121">
            <v>0.85</v>
          </cell>
          <cell r="O121">
            <v>0.08</v>
          </cell>
          <cell r="P121">
            <v>7.0000000000000007E-2</v>
          </cell>
          <cell r="BW121">
            <v>0</v>
          </cell>
          <cell r="BX121">
            <v>53.537992884400701</v>
          </cell>
          <cell r="CG121">
            <v>0.95660305363636389</v>
          </cell>
          <cell r="CH121">
            <v>0.45451639921006604</v>
          </cell>
        </row>
        <row r="122">
          <cell r="A122">
            <v>907406</v>
          </cell>
          <cell r="B122" t="str">
            <v>Planta Trojes</v>
          </cell>
          <cell r="C122" t="str">
            <v>Occidente</v>
          </cell>
          <cell r="D122" t="str">
            <v>Aguascalientes</v>
          </cell>
          <cell r="N122">
            <v>0.85</v>
          </cell>
          <cell r="O122">
            <v>0.08</v>
          </cell>
          <cell r="P122">
            <v>7.0000000000000007E-2</v>
          </cell>
          <cell r="BW122">
            <v>0</v>
          </cell>
          <cell r="BX122">
            <v>46.0362464242424</v>
          </cell>
          <cell r="CG122">
            <v>0.9563616204545452</v>
          </cell>
          <cell r="CH122">
            <v>0.25880023115137907</v>
          </cell>
        </row>
        <row r="123">
          <cell r="A123">
            <v>816347</v>
          </cell>
          <cell r="B123" t="str">
            <v>Planta Zapopan</v>
          </cell>
          <cell r="C123" t="str">
            <v>Occidente</v>
          </cell>
          <cell r="D123" t="str">
            <v>Zapopan</v>
          </cell>
          <cell r="N123">
            <v>0.85</v>
          </cell>
          <cell r="O123">
            <v>0.08</v>
          </cell>
          <cell r="P123">
            <v>7.0000000000000007E-2</v>
          </cell>
          <cell r="BW123">
            <v>0</v>
          </cell>
          <cell r="BX123">
            <v>42.930779755793111</v>
          </cell>
          <cell r="CG123">
            <v>0.95299766744318049</v>
          </cell>
          <cell r="CH123">
            <v>0.28788078311349552</v>
          </cell>
        </row>
        <row r="124">
          <cell r="A124">
            <v>816362</v>
          </cell>
          <cell r="B124" t="str">
            <v>Planta Zapopan</v>
          </cell>
          <cell r="C124" t="str">
            <v>Occidente</v>
          </cell>
          <cell r="D124" t="str">
            <v>Zapopan</v>
          </cell>
          <cell r="N124">
            <v>0.85</v>
          </cell>
          <cell r="O124">
            <v>0.08</v>
          </cell>
          <cell r="P124">
            <v>7.0000000000000007E-2</v>
          </cell>
          <cell r="BW124">
            <v>0</v>
          </cell>
          <cell r="BX124">
            <v>51.220791397504534</v>
          </cell>
          <cell r="CG124">
            <v>0.94585056443181792</v>
          </cell>
          <cell r="CH124">
            <v>0.1979767888444221</v>
          </cell>
        </row>
        <row r="125">
          <cell r="A125">
            <v>820353</v>
          </cell>
          <cell r="B125" t="str">
            <v>Suc. Belenes</v>
          </cell>
          <cell r="C125" t="str">
            <v>Occidente</v>
          </cell>
          <cell r="D125" t="str">
            <v>Zapopan</v>
          </cell>
          <cell r="N125">
            <v>0.85</v>
          </cell>
          <cell r="O125">
            <v>0.08</v>
          </cell>
          <cell r="P125">
            <v>7.0000000000000007E-2</v>
          </cell>
          <cell r="BW125">
            <v>0</v>
          </cell>
          <cell r="BX125">
            <v>43.629252137254824</v>
          </cell>
          <cell r="CG125">
            <v>0.94493318778409041</v>
          </cell>
          <cell r="CH125">
            <v>0.27462667352092296</v>
          </cell>
        </row>
        <row r="126">
          <cell r="A126">
            <v>803346</v>
          </cell>
          <cell r="B126" t="str">
            <v>Suc. San Rafael</v>
          </cell>
          <cell r="C126" t="str">
            <v>Occidente</v>
          </cell>
          <cell r="D126" t="str">
            <v>Favorita</v>
          </cell>
          <cell r="N126">
            <v>0.85</v>
          </cell>
          <cell r="O126">
            <v>0.08</v>
          </cell>
          <cell r="P126">
            <v>7.0000000000000007E-2</v>
          </cell>
          <cell r="BW126">
            <v>0</v>
          </cell>
          <cell r="BX126">
            <v>44.157103641711274</v>
          </cell>
          <cell r="CG126">
            <v>0.94431408392045435</v>
          </cell>
          <cell r="CH126">
            <v>0.26877736599509527</v>
          </cell>
        </row>
        <row r="127">
          <cell r="A127">
            <v>819418</v>
          </cell>
          <cell r="B127" t="str">
            <v>Suc. Huentitán</v>
          </cell>
          <cell r="C127" t="str">
            <v>Occidente</v>
          </cell>
          <cell r="D127" t="str">
            <v>Zapopan</v>
          </cell>
          <cell r="N127">
            <v>0.85</v>
          </cell>
          <cell r="O127">
            <v>0.08</v>
          </cell>
          <cell r="P127">
            <v>7.0000000000000007E-2</v>
          </cell>
          <cell r="BW127">
            <v>0</v>
          </cell>
          <cell r="BX127">
            <v>57.045471965240658</v>
          </cell>
          <cell r="CG127">
            <v>0.93350525625000014</v>
          </cell>
          <cell r="CH127">
            <v>0.12923520450984718</v>
          </cell>
        </row>
        <row r="128">
          <cell r="A128">
            <v>809377</v>
          </cell>
          <cell r="B128" t="str">
            <v>Suc. Santa Maria</v>
          </cell>
          <cell r="C128" t="str">
            <v>Occidente</v>
          </cell>
          <cell r="D128" t="str">
            <v>Favorita</v>
          </cell>
          <cell r="N128">
            <v>0.85</v>
          </cell>
          <cell r="O128">
            <v>0.08</v>
          </cell>
          <cell r="P128">
            <v>7.0000000000000007E-2</v>
          </cell>
          <cell r="BW128">
            <v>0</v>
          </cell>
          <cell r="BX128">
            <v>73.48552324803704</v>
          </cell>
          <cell r="CG128">
            <v>0.93317088303409046</v>
          </cell>
          <cell r="CH128">
            <v>0.25127660437656774</v>
          </cell>
        </row>
        <row r="129">
          <cell r="A129">
            <v>820342</v>
          </cell>
          <cell r="B129" t="str">
            <v>Suc. Belenes</v>
          </cell>
          <cell r="C129" t="str">
            <v>Occidente</v>
          </cell>
          <cell r="D129" t="str">
            <v>Zapopan</v>
          </cell>
          <cell r="N129">
            <v>0.85</v>
          </cell>
          <cell r="O129">
            <v>0.08</v>
          </cell>
          <cell r="P129">
            <v>7.0000000000000007E-2</v>
          </cell>
          <cell r="BW129">
            <v>0</v>
          </cell>
          <cell r="BX129">
            <v>64.183859631172353</v>
          </cell>
          <cell r="CG129">
            <v>0.93313964863636456</v>
          </cell>
          <cell r="CH129">
            <v>0.25891596651614296</v>
          </cell>
        </row>
        <row r="130">
          <cell r="A130">
            <v>819346</v>
          </cell>
          <cell r="B130" t="str">
            <v>Suc. Huentitán</v>
          </cell>
          <cell r="C130" t="str">
            <v>Occidente</v>
          </cell>
          <cell r="D130" t="str">
            <v>Zapopan</v>
          </cell>
          <cell r="N130">
            <v>0.85</v>
          </cell>
          <cell r="O130">
            <v>0.08</v>
          </cell>
          <cell r="P130">
            <v>7.0000000000000007E-2</v>
          </cell>
          <cell r="BW130">
            <v>0</v>
          </cell>
          <cell r="BX130">
            <v>28.994285660406057</v>
          </cell>
          <cell r="CG130">
            <v>0.92923604693181805</v>
          </cell>
          <cell r="CH130">
            <v>0.46976933028227397</v>
          </cell>
        </row>
        <row r="131">
          <cell r="A131">
            <v>816332</v>
          </cell>
          <cell r="B131" t="str">
            <v>Planta Zapopan</v>
          </cell>
          <cell r="C131" t="str">
            <v>Occidente</v>
          </cell>
          <cell r="D131" t="str">
            <v>Zapopan</v>
          </cell>
          <cell r="N131">
            <v>0.85</v>
          </cell>
          <cell r="O131">
            <v>0.08</v>
          </cell>
          <cell r="P131">
            <v>7.0000000000000007E-2</v>
          </cell>
          <cell r="BW131">
            <v>0</v>
          </cell>
          <cell r="BX131">
            <v>68.387740338946301</v>
          </cell>
          <cell r="CG131">
            <v>0.92701220429045417</v>
          </cell>
          <cell r="CH131">
            <v>0.30321648533737283</v>
          </cell>
        </row>
        <row r="132">
          <cell r="A132">
            <v>809365</v>
          </cell>
          <cell r="B132" t="str">
            <v>Suc. Santa Maria</v>
          </cell>
          <cell r="C132" t="str">
            <v>Occidente</v>
          </cell>
          <cell r="D132" t="str">
            <v>Favorita</v>
          </cell>
          <cell r="N132">
            <v>0.85</v>
          </cell>
          <cell r="O132">
            <v>0.08</v>
          </cell>
          <cell r="P132">
            <v>7.0000000000000007E-2</v>
          </cell>
          <cell r="BW132">
            <v>0</v>
          </cell>
          <cell r="BX132">
            <v>53.37417511796432</v>
          </cell>
          <cell r="CG132">
            <v>0.92386176320454583</v>
          </cell>
          <cell r="CH132">
            <v>0.2483751200709145</v>
          </cell>
        </row>
        <row r="133">
          <cell r="A133">
            <v>831401</v>
          </cell>
          <cell r="B133" t="str">
            <v>Planta Los Altos</v>
          </cell>
          <cell r="C133" t="str">
            <v>Occidente</v>
          </cell>
          <cell r="D133" t="str">
            <v>Los Altos</v>
          </cell>
          <cell r="N133">
            <v>0.85</v>
          </cell>
          <cell r="O133">
            <v>0.08</v>
          </cell>
          <cell r="P133">
            <v>7.0000000000000007E-2</v>
          </cell>
          <cell r="BW133">
            <v>0</v>
          </cell>
          <cell r="BX133">
            <v>45.798774819964386</v>
          </cell>
          <cell r="CG133">
            <v>0.91889388102272695</v>
          </cell>
          <cell r="CH133">
            <v>0.23270448406557206</v>
          </cell>
        </row>
        <row r="134">
          <cell r="A134">
            <v>824300</v>
          </cell>
          <cell r="B134" t="str">
            <v>Suc. Cocula</v>
          </cell>
          <cell r="C134" t="str">
            <v>Occidente</v>
          </cell>
          <cell r="D134" t="str">
            <v>Zapopan</v>
          </cell>
          <cell r="N134">
            <v>0.85</v>
          </cell>
          <cell r="O134">
            <v>0.08</v>
          </cell>
          <cell r="P134">
            <v>7.0000000000000007E-2</v>
          </cell>
          <cell r="BW134">
            <v>0</v>
          </cell>
          <cell r="BX134">
            <v>58.89599536924932</v>
          </cell>
          <cell r="CG134">
            <v>0.91541698547727357</v>
          </cell>
          <cell r="CH134">
            <v>0.39992521394117969</v>
          </cell>
        </row>
        <row r="135">
          <cell r="A135">
            <v>816340</v>
          </cell>
          <cell r="B135" t="str">
            <v>Planta Zapopan</v>
          </cell>
          <cell r="C135" t="str">
            <v>Occidente</v>
          </cell>
          <cell r="D135" t="str">
            <v>Zapopan</v>
          </cell>
          <cell r="N135">
            <v>0.85</v>
          </cell>
          <cell r="O135">
            <v>0.08</v>
          </cell>
          <cell r="P135">
            <v>7.0000000000000007E-2</v>
          </cell>
          <cell r="BW135">
            <v>0</v>
          </cell>
          <cell r="BX135">
            <v>77.207988202582612</v>
          </cell>
          <cell r="CG135">
            <v>0.9127864239637492</v>
          </cell>
          <cell r="CH135">
            <v>0.21334945250137122</v>
          </cell>
        </row>
        <row r="136">
          <cell r="A136">
            <v>901343</v>
          </cell>
          <cell r="B136" t="str">
            <v>Planta Aguascalientes</v>
          </cell>
          <cell r="C136" t="str">
            <v>Occidente</v>
          </cell>
          <cell r="D136" t="str">
            <v>Aguascalientes</v>
          </cell>
          <cell r="N136">
            <v>0.85</v>
          </cell>
          <cell r="O136">
            <v>0.08</v>
          </cell>
          <cell r="P136">
            <v>7.0000000000000007E-2</v>
          </cell>
          <cell r="BW136">
            <v>0</v>
          </cell>
          <cell r="BX136">
            <v>59.423441793491726</v>
          </cell>
          <cell r="CG136">
            <v>0.91231750789772736</v>
          </cell>
          <cell r="CH136">
            <v>0.39455121018760686</v>
          </cell>
        </row>
        <row r="137">
          <cell r="A137">
            <v>809343</v>
          </cell>
          <cell r="B137" t="str">
            <v>Suc. Santa Maria</v>
          </cell>
          <cell r="C137" t="str">
            <v>Occidente</v>
          </cell>
          <cell r="D137" t="str">
            <v>Favorita</v>
          </cell>
          <cell r="N137">
            <v>0.85</v>
          </cell>
          <cell r="O137">
            <v>0.08</v>
          </cell>
          <cell r="P137">
            <v>7.0000000000000007E-2</v>
          </cell>
          <cell r="BW137">
            <v>0</v>
          </cell>
          <cell r="BX137">
            <v>55.283903236185402</v>
          </cell>
          <cell r="CG137">
            <v>0.91012589539772804</v>
          </cell>
          <cell r="CH137">
            <v>0.12939018759462598</v>
          </cell>
        </row>
        <row r="138">
          <cell r="A138">
            <v>809360</v>
          </cell>
          <cell r="B138" t="str">
            <v>Suc. Santa Maria</v>
          </cell>
          <cell r="C138" t="str">
            <v>Occidente</v>
          </cell>
          <cell r="D138" t="str">
            <v>Favorita</v>
          </cell>
          <cell r="N138">
            <v>0.85</v>
          </cell>
          <cell r="O138">
            <v>0.08</v>
          </cell>
          <cell r="P138">
            <v>7.0000000000000007E-2</v>
          </cell>
          <cell r="BW138">
            <v>0</v>
          </cell>
          <cell r="BX138">
            <v>78.55963673288565</v>
          </cell>
          <cell r="CG138">
            <v>0.90727035954545399</v>
          </cell>
          <cell r="CH138">
            <v>0.19957788454393746</v>
          </cell>
        </row>
        <row r="139">
          <cell r="A139">
            <v>820340</v>
          </cell>
          <cell r="B139" t="str">
            <v>Suc. Belenes</v>
          </cell>
          <cell r="C139" t="str">
            <v>Occidente</v>
          </cell>
          <cell r="D139" t="str">
            <v>Zapopan</v>
          </cell>
          <cell r="N139">
            <v>0.85</v>
          </cell>
          <cell r="O139">
            <v>0.08</v>
          </cell>
          <cell r="P139">
            <v>7.0000000000000007E-2</v>
          </cell>
          <cell r="BW139">
            <v>0</v>
          </cell>
          <cell r="BX139">
            <v>48.765557456327898</v>
          </cell>
          <cell r="CG139">
            <v>0.90668703681818141</v>
          </cell>
          <cell r="CH139">
            <v>0.19318660027125492</v>
          </cell>
        </row>
        <row r="140">
          <cell r="A140">
            <v>809351</v>
          </cell>
          <cell r="B140" t="str">
            <v>Suc. Santa Maria</v>
          </cell>
          <cell r="C140" t="str">
            <v>Occidente</v>
          </cell>
          <cell r="D140" t="str">
            <v>Favorita</v>
          </cell>
          <cell r="N140">
            <v>0.85</v>
          </cell>
          <cell r="O140">
            <v>0.08</v>
          </cell>
          <cell r="P140">
            <v>7.0000000000000007E-2</v>
          </cell>
          <cell r="BW140">
            <v>0</v>
          </cell>
          <cell r="BX140">
            <v>69.902189217734318</v>
          </cell>
          <cell r="CG140">
            <v>0.90452210410227341</v>
          </cell>
          <cell r="CH140">
            <v>0.28778619026827484</v>
          </cell>
        </row>
        <row r="141">
          <cell r="A141">
            <v>916351</v>
          </cell>
          <cell r="B141" t="str">
            <v>Planta San Luis</v>
          </cell>
          <cell r="C141" t="str">
            <v>Occidente</v>
          </cell>
          <cell r="D141" t="str">
            <v>San Luis</v>
          </cell>
          <cell r="N141">
            <v>0.85</v>
          </cell>
          <cell r="O141">
            <v>0.08</v>
          </cell>
          <cell r="P141">
            <v>7.0000000000000007E-2</v>
          </cell>
          <cell r="BW141">
            <v>0</v>
          </cell>
          <cell r="BX141">
            <v>52.095578020764364</v>
          </cell>
          <cell r="CG141">
            <v>0.9010420728749996</v>
          </cell>
          <cell r="CH141">
            <v>0.46921275989262207</v>
          </cell>
        </row>
        <row r="142">
          <cell r="A142">
            <v>907403</v>
          </cell>
          <cell r="B142" t="str">
            <v>Planta Trojes</v>
          </cell>
          <cell r="C142" t="str">
            <v>Occidente</v>
          </cell>
          <cell r="D142" t="str">
            <v>Aguascalientes</v>
          </cell>
          <cell r="N142">
            <v>0.85</v>
          </cell>
          <cell r="O142">
            <v>0.08</v>
          </cell>
          <cell r="P142">
            <v>7.0000000000000007E-2</v>
          </cell>
          <cell r="BW142">
            <v>0</v>
          </cell>
          <cell r="BX142">
            <v>49.343471419786127</v>
          </cell>
          <cell r="CG142">
            <v>0.9006458809090907</v>
          </cell>
          <cell r="CH142">
            <v>0.18270070174553746</v>
          </cell>
        </row>
        <row r="143">
          <cell r="A143">
            <v>803357</v>
          </cell>
          <cell r="B143" t="str">
            <v>Suc. San Rafael</v>
          </cell>
          <cell r="C143" t="str">
            <v>Occidente</v>
          </cell>
          <cell r="D143" t="str">
            <v>Favorita</v>
          </cell>
          <cell r="N143">
            <v>0.85</v>
          </cell>
          <cell r="O143">
            <v>0.08</v>
          </cell>
          <cell r="P143">
            <v>7.0000000000000007E-2</v>
          </cell>
          <cell r="BW143">
            <v>0</v>
          </cell>
          <cell r="BX143">
            <v>37.706431258466949</v>
          </cell>
          <cell r="CG143">
            <v>0.89984232306818202</v>
          </cell>
          <cell r="CH143">
            <v>0.30065568418419159</v>
          </cell>
        </row>
        <row r="144">
          <cell r="A144">
            <v>819422</v>
          </cell>
          <cell r="B144" t="str">
            <v>Suc. Huentitán</v>
          </cell>
          <cell r="C144" t="str">
            <v>Occidente</v>
          </cell>
          <cell r="D144" t="str">
            <v>Zapopan</v>
          </cell>
          <cell r="N144">
            <v>0.85</v>
          </cell>
          <cell r="O144">
            <v>0.08</v>
          </cell>
          <cell r="P144">
            <v>7.0000000000000007E-2</v>
          </cell>
          <cell r="BW144">
            <v>0</v>
          </cell>
          <cell r="BX144">
            <v>43.478997057040992</v>
          </cell>
          <cell r="CG144">
            <v>0.89762698892045423</v>
          </cell>
          <cell r="CH144">
            <v>0.24015462253857642</v>
          </cell>
        </row>
        <row r="145">
          <cell r="A145">
            <v>916355</v>
          </cell>
          <cell r="B145" t="str">
            <v>Planta San Luis</v>
          </cell>
          <cell r="C145" t="str">
            <v>Occidente</v>
          </cell>
          <cell r="D145" t="str">
            <v>San Luis</v>
          </cell>
          <cell r="N145">
            <v>0.85</v>
          </cell>
          <cell r="O145">
            <v>0.08</v>
          </cell>
          <cell r="P145">
            <v>7.0000000000000007E-2</v>
          </cell>
          <cell r="BW145">
            <v>0</v>
          </cell>
          <cell r="BX145">
            <v>54.625609217734194</v>
          </cell>
          <cell r="CG145">
            <v>0.89743563071590893</v>
          </cell>
          <cell r="CH145">
            <v>0.4434349812894185</v>
          </cell>
        </row>
        <row r="146">
          <cell r="A146">
            <v>203309</v>
          </cell>
          <cell r="B146" t="str">
            <v>Planta Agua y Hielo</v>
          </cell>
          <cell r="C146" t="str">
            <v>Noreste</v>
          </cell>
          <cell r="D146" t="str">
            <v>Saltillo</v>
          </cell>
          <cell r="N146">
            <v>0.8</v>
          </cell>
          <cell r="O146">
            <v>0.12</v>
          </cell>
          <cell r="P146">
            <v>0.08</v>
          </cell>
          <cell r="BW146">
            <v>0</v>
          </cell>
          <cell r="BX146">
            <v>41.866513694276939</v>
          </cell>
          <cell r="CG146">
            <v>0.89607454261363606</v>
          </cell>
          <cell r="CH146">
            <v>0.28905638120745336</v>
          </cell>
        </row>
        <row r="147">
          <cell r="A147">
            <v>809323</v>
          </cell>
          <cell r="B147" t="str">
            <v>Suc. Santa Maria</v>
          </cell>
          <cell r="C147" t="str">
            <v>Occidente</v>
          </cell>
          <cell r="D147" t="str">
            <v>Favorita</v>
          </cell>
          <cell r="N147">
            <v>0.85</v>
          </cell>
          <cell r="O147">
            <v>0.08</v>
          </cell>
          <cell r="P147">
            <v>7.0000000000000007E-2</v>
          </cell>
          <cell r="BW147">
            <v>0</v>
          </cell>
          <cell r="BX147">
            <v>74.416963399552642</v>
          </cell>
          <cell r="CG147">
            <v>0.89565572321590992</v>
          </cell>
          <cell r="CH147">
            <v>0.24178642179041604</v>
          </cell>
        </row>
        <row r="148">
          <cell r="A148">
            <v>820367</v>
          </cell>
          <cell r="B148" t="str">
            <v>Suc. Belenes</v>
          </cell>
          <cell r="C148" t="str">
            <v>Occidente</v>
          </cell>
          <cell r="D148" t="str">
            <v>Zapopan</v>
          </cell>
          <cell r="N148">
            <v>0.85</v>
          </cell>
          <cell r="O148">
            <v>0.08</v>
          </cell>
          <cell r="P148">
            <v>7.0000000000000007E-2</v>
          </cell>
          <cell r="BW148">
            <v>0</v>
          </cell>
          <cell r="BX148">
            <v>60.154146081370598</v>
          </cell>
          <cell r="CG148">
            <v>0.89521947470454522</v>
          </cell>
          <cell r="CH148">
            <v>0.38710626904225165</v>
          </cell>
        </row>
        <row r="149">
          <cell r="A149">
            <v>809329</v>
          </cell>
          <cell r="B149" t="str">
            <v>Suc. Santa Maria</v>
          </cell>
          <cell r="C149" t="str">
            <v>Occidente</v>
          </cell>
          <cell r="D149" t="str">
            <v>Favorita</v>
          </cell>
          <cell r="N149">
            <v>0.85</v>
          </cell>
          <cell r="O149">
            <v>0.08</v>
          </cell>
          <cell r="P149">
            <v>7.0000000000000007E-2</v>
          </cell>
          <cell r="BW149">
            <v>0</v>
          </cell>
          <cell r="BX149">
            <v>46.186362293226424</v>
          </cell>
          <cell r="CG149">
            <v>0.89362438779886366</v>
          </cell>
          <cell r="CH149">
            <v>0.20952380886933461</v>
          </cell>
        </row>
        <row r="150">
          <cell r="A150">
            <v>703300</v>
          </cell>
          <cell r="B150" t="str">
            <v>Sucursal Universidad</v>
          </cell>
          <cell r="C150" t="str">
            <v>Noreste</v>
          </cell>
          <cell r="D150" t="str">
            <v>Monterrey</v>
          </cell>
          <cell r="N150">
            <v>0.8</v>
          </cell>
          <cell r="O150">
            <v>0.12</v>
          </cell>
          <cell r="P150">
            <v>0.08</v>
          </cell>
          <cell r="BW150">
            <v>0</v>
          </cell>
          <cell r="BX150">
            <v>0</v>
          </cell>
          <cell r="CG150">
            <v>0.8928534481363638</v>
          </cell>
          <cell r="CH150">
            <v>0.89191719978746309</v>
          </cell>
        </row>
        <row r="151">
          <cell r="A151">
            <v>203324</v>
          </cell>
          <cell r="B151" t="str">
            <v>Planta Agua y Hielo</v>
          </cell>
          <cell r="C151" t="str">
            <v>Noreste</v>
          </cell>
          <cell r="D151" t="str">
            <v>Saltillo</v>
          </cell>
          <cell r="N151">
            <v>0.8</v>
          </cell>
          <cell r="O151">
            <v>0.12</v>
          </cell>
          <cell r="P151">
            <v>0.08</v>
          </cell>
          <cell r="BW151">
            <v>0</v>
          </cell>
          <cell r="BX151">
            <v>42.031486891246814</v>
          </cell>
          <cell r="CG151">
            <v>0.89221181420454609</v>
          </cell>
          <cell r="CH151">
            <v>0.28625493844787703</v>
          </cell>
        </row>
        <row r="152">
          <cell r="A152">
            <v>809345</v>
          </cell>
          <cell r="B152" t="str">
            <v>Suc. Santa Maria</v>
          </cell>
          <cell r="C152" t="str">
            <v>Occidente</v>
          </cell>
          <cell r="D152" t="str">
            <v>Favorita</v>
          </cell>
          <cell r="N152">
            <v>0.85</v>
          </cell>
          <cell r="O152">
            <v>0.08</v>
          </cell>
          <cell r="P152">
            <v>7.0000000000000007E-2</v>
          </cell>
          <cell r="BW152">
            <v>0</v>
          </cell>
          <cell r="BX152">
            <v>79.405653672279641</v>
          </cell>
          <cell r="CG152">
            <v>0.89210370231818248</v>
          </cell>
          <cell r="CH152">
            <v>0.19095805511875977</v>
          </cell>
        </row>
        <row r="153">
          <cell r="A153">
            <v>810344</v>
          </cell>
          <cell r="B153" t="str">
            <v>Cedi Tonalá</v>
          </cell>
          <cell r="C153" t="str">
            <v>Occidente</v>
          </cell>
          <cell r="D153" t="str">
            <v>Favorita</v>
          </cell>
          <cell r="N153">
            <v>0.85</v>
          </cell>
          <cell r="O153">
            <v>0.08</v>
          </cell>
          <cell r="P153">
            <v>7.0000000000000007E-2</v>
          </cell>
          <cell r="BW153">
            <v>0</v>
          </cell>
          <cell r="BX153">
            <v>44.253183369249328</v>
          </cell>
          <cell r="CG153">
            <v>0.89038430059090956</v>
          </cell>
          <cell r="CH153">
            <v>0.54911672047928395</v>
          </cell>
        </row>
        <row r="154">
          <cell r="A154">
            <v>809332</v>
          </cell>
          <cell r="B154" t="str">
            <v>Suc. Santa Maria</v>
          </cell>
          <cell r="C154" t="str">
            <v>Occidente</v>
          </cell>
          <cell r="D154" t="str">
            <v>Favorita</v>
          </cell>
          <cell r="N154">
            <v>0.85</v>
          </cell>
          <cell r="O154">
            <v>0.08</v>
          </cell>
          <cell r="P154">
            <v>7.0000000000000007E-2</v>
          </cell>
          <cell r="BW154">
            <v>0</v>
          </cell>
          <cell r="BX154">
            <v>38.527211613190673</v>
          </cell>
          <cell r="CG154">
            <v>0.89001971744318142</v>
          </cell>
          <cell r="CH154">
            <v>0.28481736979499717</v>
          </cell>
        </row>
        <row r="155">
          <cell r="A155">
            <v>803413</v>
          </cell>
          <cell r="B155" t="str">
            <v>Suc. San Rafael</v>
          </cell>
          <cell r="C155" t="str">
            <v>Occidente</v>
          </cell>
          <cell r="D155" t="str">
            <v>Favorita</v>
          </cell>
          <cell r="N155">
            <v>0.85</v>
          </cell>
          <cell r="O155">
            <v>0.08</v>
          </cell>
          <cell r="P155">
            <v>7.0000000000000007E-2</v>
          </cell>
          <cell r="BW155">
            <v>0</v>
          </cell>
          <cell r="BX155">
            <v>47.560552808643358</v>
          </cell>
          <cell r="CG155">
            <v>0.88896358114772756</v>
          </cell>
          <cell r="CH155">
            <v>0.51541886044111096</v>
          </cell>
        </row>
        <row r="156">
          <cell r="A156">
            <v>916408</v>
          </cell>
          <cell r="B156" t="str">
            <v>Planta San Luis</v>
          </cell>
          <cell r="C156" t="str">
            <v>Occidente</v>
          </cell>
          <cell r="D156" t="str">
            <v>San Luis</v>
          </cell>
          <cell r="N156">
            <v>0.85</v>
          </cell>
          <cell r="O156">
            <v>0.08</v>
          </cell>
          <cell r="P156">
            <v>7.0000000000000007E-2</v>
          </cell>
          <cell r="BW156">
            <v>0</v>
          </cell>
          <cell r="BX156">
            <v>45.991285573975006</v>
          </cell>
          <cell r="CG156">
            <v>0.88825328335227249</v>
          </cell>
          <cell r="CH156">
            <v>0.20742364652457307</v>
          </cell>
        </row>
        <row r="157">
          <cell r="A157">
            <v>816388</v>
          </cell>
          <cell r="B157" t="str">
            <v>Planta Zapopan</v>
          </cell>
          <cell r="C157" t="str">
            <v>Occidente</v>
          </cell>
          <cell r="D157" t="str">
            <v>Zapopan</v>
          </cell>
          <cell r="N157">
            <v>0.85</v>
          </cell>
          <cell r="O157">
            <v>0.08</v>
          </cell>
          <cell r="P157">
            <v>7.0000000000000007E-2</v>
          </cell>
          <cell r="BW157">
            <v>0</v>
          </cell>
          <cell r="BX157">
            <v>38.098677885026724</v>
          </cell>
          <cell r="CG157">
            <v>0.88648049914772631</v>
          </cell>
          <cell r="CH157">
            <v>0.28649001469771829</v>
          </cell>
        </row>
        <row r="158">
          <cell r="A158">
            <v>816350</v>
          </cell>
          <cell r="B158" t="str">
            <v>Planta Zapopan</v>
          </cell>
          <cell r="C158" t="str">
            <v>Occidente</v>
          </cell>
          <cell r="D158" t="str">
            <v>Zapopan</v>
          </cell>
          <cell r="N158">
            <v>0.85</v>
          </cell>
          <cell r="O158">
            <v>0.08</v>
          </cell>
          <cell r="P158">
            <v>7.0000000000000007E-2</v>
          </cell>
          <cell r="BW158">
            <v>0</v>
          </cell>
          <cell r="BX158">
            <v>52.787607838946549</v>
          </cell>
          <cell r="CG158">
            <v>0.88575649521545496</v>
          </cell>
          <cell r="CH158">
            <v>0.46216186207710064</v>
          </cell>
        </row>
        <row r="159">
          <cell r="A159">
            <v>901341</v>
          </cell>
          <cell r="B159" t="str">
            <v>Planta Aguascalientes</v>
          </cell>
          <cell r="C159" t="str">
            <v>Occidente</v>
          </cell>
          <cell r="D159" t="str">
            <v>Aguascalientes</v>
          </cell>
          <cell r="N159">
            <v>0.85</v>
          </cell>
          <cell r="O159">
            <v>0.08</v>
          </cell>
          <cell r="P159">
            <v>7.0000000000000007E-2</v>
          </cell>
          <cell r="BW159">
            <v>0</v>
          </cell>
          <cell r="BX159">
            <v>73.034875975309845</v>
          </cell>
          <cell r="CG159">
            <v>0.88531117332954534</v>
          </cell>
          <cell r="CH159">
            <v>0.25586812310503726</v>
          </cell>
        </row>
        <row r="160">
          <cell r="A160">
            <v>816383</v>
          </cell>
          <cell r="B160" t="str">
            <v>Planta Zapopan</v>
          </cell>
          <cell r="C160" t="str">
            <v>Occidente</v>
          </cell>
          <cell r="D160" t="str">
            <v>Zapopan</v>
          </cell>
          <cell r="N160">
            <v>0.85</v>
          </cell>
          <cell r="O160">
            <v>0.08</v>
          </cell>
          <cell r="P160">
            <v>7.0000000000000007E-2</v>
          </cell>
          <cell r="BW160">
            <v>0</v>
          </cell>
          <cell r="BX160">
            <v>26.978268020664537</v>
          </cell>
          <cell r="CG160">
            <v>0.88524413417045378</v>
          </cell>
          <cell r="CH160">
            <v>0.41166956754476669</v>
          </cell>
        </row>
        <row r="161">
          <cell r="A161">
            <v>816369</v>
          </cell>
          <cell r="B161" t="str">
            <v>Planta Zapopan</v>
          </cell>
          <cell r="C161" t="str">
            <v>Occidente</v>
          </cell>
          <cell r="D161" t="str">
            <v>Zapopan</v>
          </cell>
          <cell r="N161">
            <v>0.85</v>
          </cell>
          <cell r="O161">
            <v>0.08</v>
          </cell>
          <cell r="P161">
            <v>7.0000000000000007E-2</v>
          </cell>
          <cell r="BW161">
            <v>0</v>
          </cell>
          <cell r="BX161">
            <v>71.087334596522012</v>
          </cell>
          <cell r="CG161">
            <v>0.88399310236363704</v>
          </cell>
          <cell r="CH161">
            <v>0.27571107624454716</v>
          </cell>
        </row>
        <row r="162">
          <cell r="A162">
            <v>950344</v>
          </cell>
          <cell r="B162" t="str">
            <v>Suc. Fresnillo</v>
          </cell>
          <cell r="C162" t="str">
            <v>Norte</v>
          </cell>
          <cell r="D162" t="str">
            <v>Zacatecas</v>
          </cell>
          <cell r="N162">
            <v>0.85</v>
          </cell>
          <cell r="O162">
            <v>0.08</v>
          </cell>
          <cell r="P162">
            <v>7.0000000000000007E-2</v>
          </cell>
          <cell r="BW162">
            <v>0</v>
          </cell>
          <cell r="BX162">
            <v>48.874464576179399</v>
          </cell>
          <cell r="CG162">
            <v>0.88123156322727336</v>
          </cell>
          <cell r="CH162">
            <v>0.33604237570730527</v>
          </cell>
        </row>
        <row r="163">
          <cell r="A163">
            <v>506306</v>
          </cell>
          <cell r="B163" t="str">
            <v>Planta La Paz</v>
          </cell>
          <cell r="C163" t="str">
            <v>Pacifico</v>
          </cell>
          <cell r="D163" t="str">
            <v>La Paz</v>
          </cell>
          <cell r="N163">
            <v>0.85</v>
          </cell>
          <cell r="O163">
            <v>0.08</v>
          </cell>
          <cell r="P163">
            <v>7.0000000000000007E-2</v>
          </cell>
          <cell r="BW163">
            <v>0</v>
          </cell>
          <cell r="BX163">
            <v>90.312568372548981</v>
          </cell>
          <cell r="CG163">
            <v>0.88103284500000056</v>
          </cell>
          <cell r="CH163">
            <v>5.7074465651432295E-2</v>
          </cell>
        </row>
        <row r="164">
          <cell r="A164">
            <v>820368</v>
          </cell>
          <cell r="B164" t="str">
            <v>Suc. Belenes</v>
          </cell>
          <cell r="C164" t="str">
            <v>Occidente</v>
          </cell>
          <cell r="D164" t="str">
            <v>Zapopan</v>
          </cell>
          <cell r="N164">
            <v>0.85</v>
          </cell>
          <cell r="O164">
            <v>0.08</v>
          </cell>
          <cell r="P164">
            <v>7.0000000000000007E-2</v>
          </cell>
          <cell r="BW164">
            <v>0</v>
          </cell>
          <cell r="BX164">
            <v>68.146930823794634</v>
          </cell>
          <cell r="CG164">
            <v>0.88010567304545539</v>
          </cell>
          <cell r="CH164">
            <v>0.30567002597930609</v>
          </cell>
        </row>
        <row r="165">
          <cell r="A165">
            <v>820375</v>
          </cell>
          <cell r="B165" t="str">
            <v>Suc. Belenes</v>
          </cell>
          <cell r="C165" t="str">
            <v>Occidente</v>
          </cell>
          <cell r="D165" t="str">
            <v>Zapopan</v>
          </cell>
          <cell r="N165">
            <v>0.85</v>
          </cell>
          <cell r="O165">
            <v>0.08</v>
          </cell>
          <cell r="P165">
            <v>7.0000000000000007E-2</v>
          </cell>
          <cell r="BW165">
            <v>0</v>
          </cell>
          <cell r="BX165">
            <v>72.829061929855555</v>
          </cell>
          <cell r="CG165">
            <v>0.87865335409090939</v>
          </cell>
          <cell r="CH165">
            <v>0.25796510471676776</v>
          </cell>
        </row>
        <row r="166">
          <cell r="A166">
            <v>301402</v>
          </cell>
          <cell r="B166" t="str">
            <v>Planta Cd. Juárez</v>
          </cell>
          <cell r="C166" t="str">
            <v>Norte</v>
          </cell>
          <cell r="D166" t="str">
            <v>Juárez</v>
          </cell>
          <cell r="N166">
            <v>0.85</v>
          </cell>
          <cell r="O166">
            <v>0.08</v>
          </cell>
          <cell r="P166">
            <v>7.0000000000000007E-2</v>
          </cell>
          <cell r="BW166">
            <v>0</v>
          </cell>
          <cell r="BX166">
            <v>68.302077273149166</v>
          </cell>
          <cell r="CG166">
            <v>0.87621381081818128</v>
          </cell>
          <cell r="CH166">
            <v>7.2119043066942251E-2</v>
          </cell>
        </row>
        <row r="167">
          <cell r="A167">
            <v>816366</v>
          </cell>
          <cell r="B167" t="str">
            <v>Planta Zapopan</v>
          </cell>
          <cell r="C167" t="str">
            <v>Occidente</v>
          </cell>
          <cell r="D167" t="str">
            <v>Zapopan</v>
          </cell>
          <cell r="N167">
            <v>0.85</v>
          </cell>
          <cell r="O167">
            <v>0.08</v>
          </cell>
          <cell r="P167">
            <v>7.0000000000000007E-2</v>
          </cell>
          <cell r="BW167">
            <v>0</v>
          </cell>
          <cell r="BX167">
            <v>56.7856683844009</v>
          </cell>
          <cell r="CG167">
            <v>0.87582001643181928</v>
          </cell>
          <cell r="CH167">
            <v>0.42142674398592456</v>
          </cell>
        </row>
        <row r="168">
          <cell r="A168">
            <v>816357</v>
          </cell>
          <cell r="B168" t="str">
            <v>Planta Zapopan</v>
          </cell>
          <cell r="C168" t="str">
            <v>Occidente</v>
          </cell>
          <cell r="D168" t="str">
            <v>Zapopan</v>
          </cell>
          <cell r="N168">
            <v>0.85</v>
          </cell>
          <cell r="O168">
            <v>0.08</v>
          </cell>
          <cell r="P168">
            <v>7.0000000000000007E-2</v>
          </cell>
          <cell r="BW168">
            <v>0</v>
          </cell>
          <cell r="BX168">
            <v>56.030864914704075</v>
          </cell>
          <cell r="CG168">
            <v>0.87574897176136368</v>
          </cell>
          <cell r="CH168">
            <v>0.42911722493891757</v>
          </cell>
        </row>
        <row r="169">
          <cell r="A169">
            <v>809337</v>
          </cell>
          <cell r="B169" t="str">
            <v>Suc. Santa Maria</v>
          </cell>
          <cell r="C169" t="str">
            <v>Occidente</v>
          </cell>
          <cell r="D169" t="str">
            <v>Favorita</v>
          </cell>
          <cell r="N169">
            <v>0.85</v>
          </cell>
          <cell r="O169">
            <v>0.08</v>
          </cell>
          <cell r="P169">
            <v>7.0000000000000007E-2</v>
          </cell>
          <cell r="BW169">
            <v>0</v>
          </cell>
          <cell r="BX169">
            <v>45.667309032976867</v>
          </cell>
          <cell r="CG169">
            <v>0.87137889443181793</v>
          </cell>
          <cell r="CH169">
            <v>0.19788209380325769</v>
          </cell>
        </row>
        <row r="170">
          <cell r="A170">
            <v>810347</v>
          </cell>
          <cell r="B170" t="str">
            <v>Cedi Tonalá</v>
          </cell>
          <cell r="C170" t="str">
            <v>Occidente</v>
          </cell>
          <cell r="D170" t="str">
            <v>Favorita</v>
          </cell>
          <cell r="N170">
            <v>0.85</v>
          </cell>
          <cell r="O170">
            <v>0.08</v>
          </cell>
          <cell r="P170">
            <v>7.0000000000000007E-2</v>
          </cell>
          <cell r="BW170">
            <v>0</v>
          </cell>
          <cell r="BX170">
            <v>59.255866384400861</v>
          </cell>
          <cell r="CG170">
            <v>0.87035450798863667</v>
          </cell>
          <cell r="CH170">
            <v>0.39625858905315575</v>
          </cell>
        </row>
        <row r="171">
          <cell r="A171">
            <v>803341</v>
          </cell>
          <cell r="B171" t="str">
            <v>Suc. San Rafael</v>
          </cell>
          <cell r="C171" t="str">
            <v>Occidente</v>
          </cell>
          <cell r="D171" t="str">
            <v>Favorita</v>
          </cell>
          <cell r="N171">
            <v>0.85</v>
          </cell>
          <cell r="O171">
            <v>0.08</v>
          </cell>
          <cell r="P171">
            <v>7.0000000000000007E-2</v>
          </cell>
          <cell r="BW171">
            <v>0</v>
          </cell>
          <cell r="BX171">
            <v>33.414208367324242</v>
          </cell>
          <cell r="CG171">
            <v>0.86945799722727268</v>
          </cell>
          <cell r="CH171">
            <v>0.40232639259152203</v>
          </cell>
        </row>
        <row r="172">
          <cell r="A172">
            <v>916432</v>
          </cell>
          <cell r="B172" t="str">
            <v>Planta San Luis</v>
          </cell>
          <cell r="C172" t="str">
            <v>Occidente</v>
          </cell>
          <cell r="D172" t="str">
            <v>San Luis</v>
          </cell>
          <cell r="N172">
            <v>0.85</v>
          </cell>
          <cell r="O172">
            <v>0.08</v>
          </cell>
          <cell r="P172">
            <v>7.0000000000000007E-2</v>
          </cell>
          <cell r="BW172">
            <v>0</v>
          </cell>
          <cell r="BX172">
            <v>64.138635611673706</v>
          </cell>
          <cell r="CG172">
            <v>0.86826487029545429</v>
          </cell>
          <cell r="CH172">
            <v>0.34650942221998654</v>
          </cell>
        </row>
        <row r="173">
          <cell r="A173">
            <v>823301</v>
          </cell>
          <cell r="B173" t="str">
            <v>Sucursal Chapala</v>
          </cell>
          <cell r="C173" t="str">
            <v>Occidente</v>
          </cell>
          <cell r="D173" t="str">
            <v>Zapopan</v>
          </cell>
          <cell r="N173">
            <v>0.85</v>
          </cell>
          <cell r="O173">
            <v>0.08</v>
          </cell>
          <cell r="P173">
            <v>7.0000000000000007E-2</v>
          </cell>
          <cell r="BW173">
            <v>0</v>
          </cell>
          <cell r="BX173">
            <v>27.624540763816213</v>
          </cell>
          <cell r="CG173">
            <v>0.86822754136363645</v>
          </cell>
          <cell r="CH173">
            <v>5.3790443756266855E-2</v>
          </cell>
        </row>
        <row r="174">
          <cell r="A174">
            <v>825301</v>
          </cell>
          <cell r="B174" t="str">
            <v>Suc. Tala</v>
          </cell>
          <cell r="C174" t="str">
            <v>Occidente</v>
          </cell>
          <cell r="D174" t="str">
            <v>Zapopan</v>
          </cell>
          <cell r="N174">
            <v>0.85</v>
          </cell>
          <cell r="O174">
            <v>0.08</v>
          </cell>
          <cell r="P174">
            <v>7.0000000000000007E-2</v>
          </cell>
          <cell r="BW174">
            <v>0</v>
          </cell>
          <cell r="BX174">
            <v>36.167659433144394</v>
          </cell>
          <cell r="CG174">
            <v>0.86688096647727231</v>
          </cell>
          <cell r="CH174">
            <v>0.16137897404354487</v>
          </cell>
        </row>
        <row r="175">
          <cell r="A175">
            <v>816375</v>
          </cell>
          <cell r="B175" t="str">
            <v>Planta Zapopan</v>
          </cell>
          <cell r="C175" t="str">
            <v>Occidente</v>
          </cell>
          <cell r="D175" t="str">
            <v>Zapopan</v>
          </cell>
          <cell r="N175">
            <v>0.85</v>
          </cell>
          <cell r="O175">
            <v>0.08</v>
          </cell>
          <cell r="P175">
            <v>7.0000000000000007E-2</v>
          </cell>
          <cell r="BW175">
            <v>0</v>
          </cell>
          <cell r="BX175">
            <v>65.064594929855559</v>
          </cell>
          <cell r="CG175">
            <v>0.86553957835227202</v>
          </cell>
          <cell r="CH175">
            <v>0.33707508230818911</v>
          </cell>
        </row>
        <row r="176">
          <cell r="A176">
            <v>804425</v>
          </cell>
          <cell r="B176" t="str">
            <v>Suc. Toluquilla</v>
          </cell>
          <cell r="C176" t="str">
            <v>Occidente</v>
          </cell>
          <cell r="D176" t="str">
            <v>Favorita</v>
          </cell>
          <cell r="N176">
            <v>0.85</v>
          </cell>
          <cell r="O176">
            <v>0.08</v>
          </cell>
          <cell r="P176">
            <v>7.0000000000000007E-2</v>
          </cell>
          <cell r="BW176">
            <v>0</v>
          </cell>
          <cell r="BX176">
            <v>70.277124702582569</v>
          </cell>
          <cell r="CG176">
            <v>0.86519249059091041</v>
          </cell>
          <cell r="CH176">
            <v>0.28396607772164756</v>
          </cell>
        </row>
        <row r="177">
          <cell r="A177">
            <v>816361</v>
          </cell>
          <cell r="B177" t="str">
            <v>Planta Zapopan</v>
          </cell>
          <cell r="C177" t="str">
            <v>Occidente</v>
          </cell>
          <cell r="D177" t="str">
            <v>Zapopan</v>
          </cell>
          <cell r="N177">
            <v>0.85</v>
          </cell>
          <cell r="O177">
            <v>0.08</v>
          </cell>
          <cell r="P177">
            <v>7.0000000000000007E-2</v>
          </cell>
          <cell r="BW177">
            <v>0</v>
          </cell>
          <cell r="BX177">
            <v>59.025956702582818</v>
          </cell>
          <cell r="CG177">
            <v>0.86353494340908998</v>
          </cell>
          <cell r="CH177">
            <v>0.39860107434888514</v>
          </cell>
        </row>
        <row r="178">
          <cell r="A178">
            <v>819413</v>
          </cell>
          <cell r="B178" t="str">
            <v>Suc. Huentitán</v>
          </cell>
          <cell r="C178" t="str">
            <v>Occidente</v>
          </cell>
          <cell r="D178" t="str">
            <v>Zapopan</v>
          </cell>
          <cell r="N178">
            <v>0.85</v>
          </cell>
          <cell r="O178">
            <v>0.08</v>
          </cell>
          <cell r="P178">
            <v>7.0000000000000007E-2</v>
          </cell>
          <cell r="BW178">
            <v>0</v>
          </cell>
          <cell r="BX178">
            <v>49.344421624777183</v>
          </cell>
          <cell r="CG178">
            <v>0.86227702670454598</v>
          </cell>
          <cell r="CH178">
            <v>0.15348993732863758</v>
          </cell>
        </row>
        <row r="179">
          <cell r="A179">
            <v>816354</v>
          </cell>
          <cell r="B179" t="str">
            <v>Planta Zapopan</v>
          </cell>
          <cell r="C179" t="str">
            <v>Occidente</v>
          </cell>
          <cell r="D179" t="str">
            <v>Zapopan</v>
          </cell>
          <cell r="N179">
            <v>0.85</v>
          </cell>
          <cell r="O179">
            <v>0.08</v>
          </cell>
          <cell r="P179">
            <v>7.0000000000000007E-2</v>
          </cell>
          <cell r="BW179">
            <v>0</v>
          </cell>
          <cell r="BX179">
            <v>62.203207979799444</v>
          </cell>
          <cell r="CG179">
            <v>0.86204964180681898</v>
          </cell>
          <cell r="CH179">
            <v>0.21908300876185424</v>
          </cell>
        </row>
        <row r="180">
          <cell r="A180">
            <v>703305</v>
          </cell>
          <cell r="B180" t="str">
            <v>Sucursal Universidad</v>
          </cell>
          <cell r="C180" t="str">
            <v>Noreste</v>
          </cell>
          <cell r="D180" t="str">
            <v>Monterrey</v>
          </cell>
          <cell r="N180">
            <v>0.8</v>
          </cell>
          <cell r="O180">
            <v>0.12</v>
          </cell>
          <cell r="P180">
            <v>0.08</v>
          </cell>
          <cell r="BW180">
            <v>0</v>
          </cell>
          <cell r="BX180">
            <v>0</v>
          </cell>
          <cell r="CG180">
            <v>0.86093828099999858</v>
          </cell>
          <cell r="CH180">
            <v>1.2795817950239312</v>
          </cell>
        </row>
        <row r="181">
          <cell r="A181">
            <v>819350</v>
          </cell>
          <cell r="B181" t="str">
            <v>Suc. Huentitán</v>
          </cell>
          <cell r="C181" t="str">
            <v>Occidente</v>
          </cell>
          <cell r="D181" t="str">
            <v>Zapopan</v>
          </cell>
          <cell r="N181">
            <v>0.85</v>
          </cell>
          <cell r="O181">
            <v>0.08</v>
          </cell>
          <cell r="P181">
            <v>7.0000000000000007E-2</v>
          </cell>
          <cell r="BW181">
            <v>0</v>
          </cell>
          <cell r="BX181">
            <v>42.165059662210382</v>
          </cell>
          <cell r="CG181">
            <v>0.85646420999999995</v>
          </cell>
          <cell r="CH181">
            <v>0.22221452888568449</v>
          </cell>
        </row>
        <row r="182">
          <cell r="A182">
            <v>820372</v>
          </cell>
          <cell r="B182" t="str">
            <v>Suc. Belenes</v>
          </cell>
          <cell r="C182" t="str">
            <v>Occidente</v>
          </cell>
          <cell r="D182" t="str">
            <v>Zapopan</v>
          </cell>
          <cell r="N182">
            <v>0.85</v>
          </cell>
          <cell r="O182">
            <v>0.08</v>
          </cell>
          <cell r="P182">
            <v>7.0000000000000007E-2</v>
          </cell>
          <cell r="BW182">
            <v>0</v>
          </cell>
          <cell r="BX182">
            <v>64.394349020764622</v>
          </cell>
          <cell r="CG182">
            <v>0.85511815056818208</v>
          </cell>
          <cell r="CH182">
            <v>0.34390402998082736</v>
          </cell>
        </row>
        <row r="183">
          <cell r="A183">
            <v>819352</v>
          </cell>
          <cell r="B183" t="str">
            <v>Suc. Huentitán</v>
          </cell>
          <cell r="C183" t="str">
            <v>Occidente</v>
          </cell>
          <cell r="D183" t="str">
            <v>Zapopan</v>
          </cell>
          <cell r="N183">
            <v>0.85</v>
          </cell>
          <cell r="O183">
            <v>0.08</v>
          </cell>
          <cell r="P183">
            <v>7.0000000000000007E-2</v>
          </cell>
          <cell r="BW183">
            <v>0</v>
          </cell>
          <cell r="BX183">
            <v>50.222341975310016</v>
          </cell>
          <cell r="CG183">
            <v>0.85438716944318183</v>
          </cell>
          <cell r="CH183">
            <v>0.48829863682137148</v>
          </cell>
        </row>
        <row r="184">
          <cell r="A184">
            <v>819406</v>
          </cell>
          <cell r="B184" t="str">
            <v>Suc. Huentitán</v>
          </cell>
          <cell r="C184" t="str">
            <v>Occidente</v>
          </cell>
          <cell r="D184" t="str">
            <v>Zapopan</v>
          </cell>
          <cell r="N184">
            <v>0.85</v>
          </cell>
          <cell r="O184">
            <v>0.08</v>
          </cell>
          <cell r="P184">
            <v>7.0000000000000007E-2</v>
          </cell>
          <cell r="BW184">
            <v>0</v>
          </cell>
          <cell r="BX184">
            <v>46.983847966131918</v>
          </cell>
          <cell r="CG184">
            <v>0.85251975494318166</v>
          </cell>
          <cell r="CH184">
            <v>0.17011527026005965</v>
          </cell>
        </row>
        <row r="185">
          <cell r="A185">
            <v>809326</v>
          </cell>
          <cell r="B185" t="str">
            <v>Suc. Santa Maria</v>
          </cell>
          <cell r="C185" t="str">
            <v>Occidente</v>
          </cell>
          <cell r="D185" t="str">
            <v>Favorita</v>
          </cell>
          <cell r="N185">
            <v>0.85</v>
          </cell>
          <cell r="O185">
            <v>0.08</v>
          </cell>
          <cell r="P185">
            <v>7.0000000000000007E-2</v>
          </cell>
          <cell r="BW185">
            <v>0</v>
          </cell>
          <cell r="BX185">
            <v>71.434885399552499</v>
          </cell>
          <cell r="CG185">
            <v>0.84847743797727282</v>
          </cell>
          <cell r="CH185">
            <v>0.27216997854400665</v>
          </cell>
        </row>
        <row r="186">
          <cell r="A186">
            <v>816358</v>
          </cell>
          <cell r="B186" t="str">
            <v>Planta Zapopan</v>
          </cell>
          <cell r="C186" t="str">
            <v>Occidente</v>
          </cell>
          <cell r="D186" t="str">
            <v>Zapopan</v>
          </cell>
          <cell r="N186">
            <v>0.85</v>
          </cell>
          <cell r="O186">
            <v>0.08</v>
          </cell>
          <cell r="P186">
            <v>7.0000000000000007E-2</v>
          </cell>
          <cell r="BW186">
            <v>0</v>
          </cell>
          <cell r="BX186">
            <v>67.2756752909889</v>
          </cell>
          <cell r="CG186">
            <v>0.84628005954545482</v>
          </cell>
          <cell r="CH186">
            <v>0.30106799310963867</v>
          </cell>
        </row>
        <row r="187">
          <cell r="A187">
            <v>820347</v>
          </cell>
          <cell r="B187" t="str">
            <v>Suc. Belenes</v>
          </cell>
          <cell r="C187" t="str">
            <v>Occidente</v>
          </cell>
          <cell r="D187" t="str">
            <v>Zapopan</v>
          </cell>
          <cell r="N187">
            <v>0.85</v>
          </cell>
          <cell r="O187">
            <v>0.08</v>
          </cell>
          <cell r="P187">
            <v>7.0000000000000007E-2</v>
          </cell>
          <cell r="BW187">
            <v>0</v>
          </cell>
          <cell r="BX187">
            <v>56.253563369249321</v>
          </cell>
          <cell r="CG187">
            <v>0.84558706527272709</v>
          </cell>
          <cell r="CH187">
            <v>0.42684821281629304</v>
          </cell>
        </row>
        <row r="188">
          <cell r="A188">
            <v>810327</v>
          </cell>
          <cell r="B188" t="str">
            <v>Cedi Tonalá</v>
          </cell>
          <cell r="C188" t="str">
            <v>Occidente</v>
          </cell>
          <cell r="D188" t="str">
            <v>Favorita</v>
          </cell>
          <cell r="N188">
            <v>0.85</v>
          </cell>
          <cell r="O188">
            <v>0.08</v>
          </cell>
          <cell r="P188">
            <v>7.0000000000000007E-2</v>
          </cell>
          <cell r="BW188">
            <v>0</v>
          </cell>
          <cell r="BX188">
            <v>52.603597869249398</v>
          </cell>
          <cell r="CG188">
            <v>0.84452538998863647</v>
          </cell>
          <cell r="CH188">
            <v>0.46403668807344267</v>
          </cell>
        </row>
        <row r="189">
          <cell r="A189">
            <v>810326</v>
          </cell>
          <cell r="B189" t="str">
            <v>Cedi Tonalá</v>
          </cell>
          <cell r="C189" t="str">
            <v>Occidente</v>
          </cell>
          <cell r="D189" t="str">
            <v>Favorita</v>
          </cell>
          <cell r="N189">
            <v>0.85</v>
          </cell>
          <cell r="O189">
            <v>0.08</v>
          </cell>
          <cell r="P189">
            <v>7.0000000000000007E-2</v>
          </cell>
          <cell r="BW189">
            <v>0</v>
          </cell>
          <cell r="BX189">
            <v>64.049601869249344</v>
          </cell>
          <cell r="CG189">
            <v>0.83871744576136398</v>
          </cell>
          <cell r="CH189">
            <v>0.34741656206204807</v>
          </cell>
        </row>
        <row r="190">
          <cell r="A190">
            <v>816333</v>
          </cell>
          <cell r="B190" t="str">
            <v>Planta Zapopan</v>
          </cell>
          <cell r="C190" t="str">
            <v>Occidente</v>
          </cell>
          <cell r="D190" t="str">
            <v>Zapopan</v>
          </cell>
          <cell r="N190">
            <v>0.85</v>
          </cell>
          <cell r="O190">
            <v>0.08</v>
          </cell>
          <cell r="P190">
            <v>7.0000000000000007E-2</v>
          </cell>
          <cell r="BW190">
            <v>0</v>
          </cell>
          <cell r="BX190">
            <v>61.149293157128113</v>
          </cell>
          <cell r="CG190">
            <v>0.8357256444886364</v>
          </cell>
          <cell r="CH190">
            <v>0.37696699446444154</v>
          </cell>
        </row>
        <row r="191">
          <cell r="A191">
            <v>809373</v>
          </cell>
          <cell r="B191" t="str">
            <v>Suc. Santa Maria</v>
          </cell>
          <cell r="C191" t="str">
            <v>Occidente</v>
          </cell>
          <cell r="D191" t="str">
            <v>Favorita</v>
          </cell>
          <cell r="N191">
            <v>0.85</v>
          </cell>
          <cell r="O191">
            <v>0.08</v>
          </cell>
          <cell r="P191">
            <v>7.0000000000000007E-2</v>
          </cell>
          <cell r="BW191">
            <v>0</v>
          </cell>
          <cell r="BX191">
            <v>79.586121354097912</v>
          </cell>
          <cell r="CG191">
            <v>0.8357094441818177</v>
          </cell>
          <cell r="CH191">
            <v>0.18911932050057939</v>
          </cell>
        </row>
        <row r="192">
          <cell r="A192">
            <v>816348</v>
          </cell>
          <cell r="B192" t="str">
            <v>Planta Zapopan</v>
          </cell>
          <cell r="C192" t="str">
            <v>Occidente</v>
          </cell>
          <cell r="D192" t="str">
            <v>Zapopan</v>
          </cell>
          <cell r="N192">
            <v>0.85</v>
          </cell>
          <cell r="O192">
            <v>0.08</v>
          </cell>
          <cell r="P192">
            <v>7.0000000000000007E-2</v>
          </cell>
          <cell r="BW192">
            <v>0</v>
          </cell>
          <cell r="BX192">
            <v>54.688661990461519</v>
          </cell>
          <cell r="CG192">
            <v>0.82905148319318156</v>
          </cell>
          <cell r="CH192">
            <v>0.44279255426415898</v>
          </cell>
        </row>
        <row r="193">
          <cell r="A193">
            <v>804421</v>
          </cell>
          <cell r="B193" t="str">
            <v>Suc. Toluquilla</v>
          </cell>
          <cell r="C193" t="str">
            <v>Occidente</v>
          </cell>
          <cell r="D193" t="str">
            <v>Favorita</v>
          </cell>
          <cell r="N193">
            <v>0.85</v>
          </cell>
          <cell r="O193">
            <v>0.08</v>
          </cell>
          <cell r="P193">
            <v>7.0000000000000007E-2</v>
          </cell>
          <cell r="BW193">
            <v>0</v>
          </cell>
          <cell r="BX193">
            <v>59.383604941681838</v>
          </cell>
          <cell r="CG193">
            <v>0.8254037509772737</v>
          </cell>
          <cell r="CH193">
            <v>0.30200685136225758</v>
          </cell>
        </row>
        <row r="194">
          <cell r="A194">
            <v>907407</v>
          </cell>
          <cell r="B194" t="str">
            <v>Planta Trojes</v>
          </cell>
          <cell r="C194" t="str">
            <v>Occidente</v>
          </cell>
          <cell r="D194" t="str">
            <v>Aguascalientes</v>
          </cell>
          <cell r="N194">
            <v>0.85</v>
          </cell>
          <cell r="O194">
            <v>0.08</v>
          </cell>
          <cell r="P194">
            <v>7.0000000000000007E-2</v>
          </cell>
          <cell r="BW194">
            <v>0</v>
          </cell>
          <cell r="BX194">
            <v>70.081812808643278</v>
          </cell>
          <cell r="CG194">
            <v>0.82396031072727283</v>
          </cell>
          <cell r="CH194">
            <v>0.28595605585573913</v>
          </cell>
        </row>
        <row r="195">
          <cell r="A195">
            <v>916403</v>
          </cell>
          <cell r="B195" t="str">
            <v>Planta San Luis</v>
          </cell>
          <cell r="C195" t="str">
            <v>Occidente</v>
          </cell>
          <cell r="D195" t="str">
            <v>San Luis</v>
          </cell>
          <cell r="N195">
            <v>0.85</v>
          </cell>
          <cell r="O195">
            <v>0.08</v>
          </cell>
          <cell r="P195">
            <v>7.0000000000000007E-2</v>
          </cell>
          <cell r="BW195">
            <v>0</v>
          </cell>
          <cell r="BX195">
            <v>66.108462126825202</v>
          </cell>
          <cell r="CG195">
            <v>0.82244002049999976</v>
          </cell>
          <cell r="CH195">
            <v>0.32643941207342758</v>
          </cell>
        </row>
        <row r="196">
          <cell r="A196">
            <v>819358</v>
          </cell>
          <cell r="B196" t="str">
            <v>Suc. Huentitán</v>
          </cell>
          <cell r="C196" t="str">
            <v>Occidente</v>
          </cell>
          <cell r="D196" t="str">
            <v>Zapopan</v>
          </cell>
          <cell r="N196">
            <v>0.85</v>
          </cell>
          <cell r="O196">
            <v>0.08</v>
          </cell>
          <cell r="P196">
            <v>7.0000000000000007E-2</v>
          </cell>
          <cell r="BW196">
            <v>0</v>
          </cell>
          <cell r="BX196">
            <v>63.405750929855472</v>
          </cell>
          <cell r="CG196">
            <v>0.82063058175000037</v>
          </cell>
          <cell r="CH196">
            <v>0.3539765787879437</v>
          </cell>
        </row>
        <row r="197">
          <cell r="A197">
            <v>816353</v>
          </cell>
          <cell r="B197" t="str">
            <v>Planta Zapopan</v>
          </cell>
          <cell r="C197" t="str">
            <v>Occidente</v>
          </cell>
          <cell r="D197" t="str">
            <v>Zapopan</v>
          </cell>
          <cell r="N197">
            <v>0.85</v>
          </cell>
          <cell r="O197">
            <v>0.08</v>
          </cell>
          <cell r="P197">
            <v>7.0000000000000007E-2</v>
          </cell>
          <cell r="BW197">
            <v>0</v>
          </cell>
          <cell r="BX197">
            <v>65.129703854097727</v>
          </cell>
          <cell r="CG197">
            <v>0.81792524219318208</v>
          </cell>
          <cell r="CH197">
            <v>0.33641170573156137</v>
          </cell>
        </row>
        <row r="198">
          <cell r="A198">
            <v>820429</v>
          </cell>
          <cell r="B198" t="str">
            <v>Suc. Belenes</v>
          </cell>
          <cell r="C198" t="str">
            <v>Occidente</v>
          </cell>
          <cell r="D198" t="str">
            <v>Zapopan</v>
          </cell>
          <cell r="N198">
            <v>0.85</v>
          </cell>
          <cell r="O198">
            <v>0.08</v>
          </cell>
          <cell r="P198">
            <v>7.0000000000000007E-2</v>
          </cell>
          <cell r="BW198">
            <v>0</v>
          </cell>
          <cell r="BX198">
            <v>43.904330126559699</v>
          </cell>
          <cell r="CG198">
            <v>0.81689818755681853</v>
          </cell>
          <cell r="CH198">
            <v>0.17438138721743457</v>
          </cell>
        </row>
        <row r="199">
          <cell r="A199">
            <v>931429</v>
          </cell>
          <cell r="B199" t="str">
            <v>Planta Guadiana</v>
          </cell>
          <cell r="C199" t="str">
            <v>Norte</v>
          </cell>
          <cell r="D199" t="str">
            <v>Guadiana</v>
          </cell>
          <cell r="N199">
            <v>0.85</v>
          </cell>
          <cell r="O199">
            <v>0.08</v>
          </cell>
          <cell r="P199">
            <v>7.0000000000000007E-2</v>
          </cell>
          <cell r="BW199">
            <v>0</v>
          </cell>
          <cell r="BX199">
            <v>41.229965909512742</v>
          </cell>
          <cell r="CG199">
            <v>0.8158983044318191</v>
          </cell>
          <cell r="CH199">
            <v>0.43989258087359245</v>
          </cell>
        </row>
        <row r="200">
          <cell r="A200">
            <v>809347</v>
          </cell>
          <cell r="B200" t="str">
            <v>Suc. Santa Maria</v>
          </cell>
          <cell r="C200" t="str">
            <v>Occidente</v>
          </cell>
          <cell r="D200" t="str">
            <v>Favorita</v>
          </cell>
          <cell r="N200">
            <v>0.85</v>
          </cell>
          <cell r="O200">
            <v>0.08</v>
          </cell>
          <cell r="P200">
            <v>7.0000000000000007E-2</v>
          </cell>
          <cell r="BW200">
            <v>0</v>
          </cell>
          <cell r="BX200">
            <v>67.849565445006874</v>
          </cell>
          <cell r="CG200">
            <v>0.81583532744318188</v>
          </cell>
          <cell r="CH200">
            <v>0.30869979846109574</v>
          </cell>
        </row>
        <row r="201">
          <cell r="A201">
            <v>301347</v>
          </cell>
          <cell r="B201" t="str">
            <v>Planta Cd. Juárez</v>
          </cell>
          <cell r="C201" t="str">
            <v>Norte</v>
          </cell>
          <cell r="D201" t="str">
            <v>Juárez</v>
          </cell>
          <cell r="N201">
            <v>0.85</v>
          </cell>
          <cell r="O201">
            <v>0.08</v>
          </cell>
          <cell r="P201">
            <v>7.0000000000000007E-2</v>
          </cell>
          <cell r="BW201">
            <v>0</v>
          </cell>
          <cell r="BX201">
            <v>56.987649106482429</v>
          </cell>
          <cell r="CG201">
            <v>0.81504039559090569</v>
          </cell>
          <cell r="CH201">
            <v>0.22582509204188619</v>
          </cell>
        </row>
        <row r="202">
          <cell r="A202">
            <v>507304</v>
          </cell>
          <cell r="B202" t="str">
            <v>Suc. Cabo San Lucas</v>
          </cell>
          <cell r="C202" t="str">
            <v>Pacifico</v>
          </cell>
          <cell r="D202" t="str">
            <v>La Paz</v>
          </cell>
          <cell r="N202">
            <v>0.85</v>
          </cell>
          <cell r="O202">
            <v>0.08</v>
          </cell>
          <cell r="P202">
            <v>7.0000000000000007E-2</v>
          </cell>
          <cell r="BW202">
            <v>0</v>
          </cell>
          <cell r="BX202">
            <v>18.366933394420506</v>
          </cell>
          <cell r="CG202">
            <v>0.81435823269230712</v>
          </cell>
          <cell r="CH202">
            <v>0.30572991769090607</v>
          </cell>
        </row>
        <row r="203">
          <cell r="A203">
            <v>809325</v>
          </cell>
          <cell r="B203" t="str">
            <v>Suc. Santa Maria</v>
          </cell>
          <cell r="C203" t="str">
            <v>Occidente</v>
          </cell>
          <cell r="D203" t="str">
            <v>Favorita</v>
          </cell>
          <cell r="N203">
            <v>0.85</v>
          </cell>
          <cell r="O203">
            <v>0.08</v>
          </cell>
          <cell r="P203">
            <v>7.0000000000000007E-2</v>
          </cell>
          <cell r="BW203">
            <v>0</v>
          </cell>
          <cell r="BX203">
            <v>65.995974035916134</v>
          </cell>
          <cell r="CG203">
            <v>0.8122523277272734</v>
          </cell>
          <cell r="CH203">
            <v>0.32758552169706545</v>
          </cell>
        </row>
        <row r="204">
          <cell r="A204">
            <v>831402</v>
          </cell>
          <cell r="B204" t="str">
            <v>Planta Los Altos</v>
          </cell>
          <cell r="C204" t="str">
            <v>Occidente</v>
          </cell>
          <cell r="D204" t="str">
            <v>Los Altos</v>
          </cell>
          <cell r="N204">
            <v>0.85</v>
          </cell>
          <cell r="O204">
            <v>0.08</v>
          </cell>
          <cell r="P204">
            <v>7.0000000000000007E-2</v>
          </cell>
          <cell r="BW204">
            <v>0</v>
          </cell>
          <cell r="BX204">
            <v>59.198653854097941</v>
          </cell>
          <cell r="CG204">
            <v>0.80761350528409237</v>
          </cell>
          <cell r="CH204">
            <v>0.39684151148559221</v>
          </cell>
        </row>
        <row r="205">
          <cell r="A205">
            <v>203315</v>
          </cell>
          <cell r="B205" t="str">
            <v>Planta Agua y Hielo</v>
          </cell>
          <cell r="C205" t="str">
            <v>Noreste</v>
          </cell>
          <cell r="D205" t="str">
            <v>Saltillo</v>
          </cell>
          <cell r="N205">
            <v>0.8</v>
          </cell>
          <cell r="O205">
            <v>0.12</v>
          </cell>
          <cell r="P205">
            <v>0.08</v>
          </cell>
          <cell r="BW205">
            <v>0</v>
          </cell>
          <cell r="BX205">
            <v>40.411534891246603</v>
          </cell>
          <cell r="CG205">
            <v>0.80559889772727222</v>
          </cell>
          <cell r="CH205">
            <v>0.31376366643894937</v>
          </cell>
        </row>
        <row r="206">
          <cell r="A206">
            <v>809385</v>
          </cell>
          <cell r="B206" t="str">
            <v>Suc. Santa Maria</v>
          </cell>
          <cell r="C206" t="str">
            <v>Occidente</v>
          </cell>
          <cell r="D206" t="str">
            <v>Favorita</v>
          </cell>
          <cell r="N206">
            <v>0.85</v>
          </cell>
          <cell r="O206">
            <v>0.08</v>
          </cell>
          <cell r="P206">
            <v>7.0000000000000007E-2</v>
          </cell>
          <cell r="BW206">
            <v>0</v>
          </cell>
          <cell r="BX206">
            <v>45.794241826203162</v>
          </cell>
          <cell r="CG206">
            <v>0.80402254465909051</v>
          </cell>
          <cell r="CH206">
            <v>0.14532644213219686</v>
          </cell>
        </row>
        <row r="207">
          <cell r="A207">
            <v>809334</v>
          </cell>
          <cell r="B207" t="str">
            <v>Suc. Santa Maria</v>
          </cell>
          <cell r="C207" t="str">
            <v>Occidente</v>
          </cell>
          <cell r="D207" t="str">
            <v>Favorita</v>
          </cell>
          <cell r="N207">
            <v>0.85</v>
          </cell>
          <cell r="O207">
            <v>0.08</v>
          </cell>
          <cell r="P207">
            <v>7.0000000000000007E-2</v>
          </cell>
          <cell r="BW207">
            <v>0</v>
          </cell>
          <cell r="BX207">
            <v>63.704250672279755</v>
          </cell>
          <cell r="CG207">
            <v>0.80125774885227341</v>
          </cell>
          <cell r="CH207">
            <v>0.35093524859306618</v>
          </cell>
        </row>
        <row r="208">
          <cell r="A208">
            <v>916347</v>
          </cell>
          <cell r="B208" t="str">
            <v>Planta San Luis</v>
          </cell>
          <cell r="C208" t="str">
            <v>Occidente</v>
          </cell>
          <cell r="D208" t="str">
            <v>San Luis</v>
          </cell>
          <cell r="N208">
            <v>0.85</v>
          </cell>
          <cell r="O208">
            <v>0.08</v>
          </cell>
          <cell r="P208">
            <v>7.0000000000000007E-2</v>
          </cell>
          <cell r="BW208">
            <v>0</v>
          </cell>
          <cell r="BX208">
            <v>69.030876899552311</v>
          </cell>
          <cell r="CG208">
            <v>0.7994422964659087</v>
          </cell>
          <cell r="CH208">
            <v>0.29666374721667943</v>
          </cell>
        </row>
        <row r="209">
          <cell r="A209">
            <v>809344</v>
          </cell>
          <cell r="B209" t="str">
            <v>Suc. Santa Maria</v>
          </cell>
          <cell r="C209" t="str">
            <v>Occidente</v>
          </cell>
          <cell r="D209" t="str">
            <v>Favorita</v>
          </cell>
          <cell r="N209">
            <v>0.85</v>
          </cell>
          <cell r="O209">
            <v>0.08</v>
          </cell>
          <cell r="P209">
            <v>7.0000000000000007E-2</v>
          </cell>
          <cell r="BW209">
            <v>0</v>
          </cell>
          <cell r="BX209">
            <v>73.522246626825236</v>
          </cell>
          <cell r="CG209">
            <v>0.79897485221591014</v>
          </cell>
          <cell r="CH209">
            <v>0.25090244016503643</v>
          </cell>
        </row>
        <row r="210">
          <cell r="A210">
            <v>816368</v>
          </cell>
          <cell r="B210" t="str">
            <v>Planta Zapopan</v>
          </cell>
          <cell r="C210" t="str">
            <v>Occidente</v>
          </cell>
          <cell r="D210" t="str">
            <v>Zapopan</v>
          </cell>
          <cell r="N210">
            <v>0.85</v>
          </cell>
          <cell r="O210">
            <v>0.08</v>
          </cell>
          <cell r="P210">
            <v>7.0000000000000007E-2</v>
          </cell>
          <cell r="BW210">
            <v>0</v>
          </cell>
          <cell r="BX210">
            <v>56.185791081370489</v>
          </cell>
          <cell r="CG210">
            <v>0.79696885956545305</v>
          </cell>
          <cell r="CH210">
            <v>0.42753872565837397</v>
          </cell>
        </row>
        <row r="211">
          <cell r="A211">
            <v>810358</v>
          </cell>
          <cell r="B211" t="str">
            <v>Cedi Tonalá</v>
          </cell>
          <cell r="C211" t="str">
            <v>Occidente</v>
          </cell>
          <cell r="D211" t="str">
            <v>Favorita</v>
          </cell>
          <cell r="N211">
            <v>0.85</v>
          </cell>
          <cell r="O211">
            <v>0.08</v>
          </cell>
          <cell r="P211">
            <v>7.0000000000000007E-2</v>
          </cell>
          <cell r="BW211">
            <v>0</v>
          </cell>
          <cell r="BX211">
            <v>4.694874654623149E-2</v>
          </cell>
          <cell r="CG211">
            <v>0.79604488615909108</v>
          </cell>
          <cell r="CH211">
            <v>0.29613469794820418</v>
          </cell>
        </row>
        <row r="212">
          <cell r="A212">
            <v>819426</v>
          </cell>
          <cell r="B212" t="str">
            <v>Suc. Huentitán</v>
          </cell>
          <cell r="C212" t="str">
            <v>Occidente</v>
          </cell>
          <cell r="D212" t="str">
            <v>Zapopan</v>
          </cell>
          <cell r="N212">
            <v>0.85</v>
          </cell>
          <cell r="O212">
            <v>0.08</v>
          </cell>
          <cell r="P212">
            <v>7.0000000000000007E-2</v>
          </cell>
          <cell r="BW212">
            <v>0</v>
          </cell>
          <cell r="BX212">
            <v>45.142184694891057</v>
          </cell>
          <cell r="CG212">
            <v>0.79538409920454567</v>
          </cell>
          <cell r="CH212">
            <v>0.52301845292035565</v>
          </cell>
        </row>
        <row r="213">
          <cell r="A213">
            <v>901342</v>
          </cell>
          <cell r="B213" t="str">
            <v>Planta Aguascalientes</v>
          </cell>
          <cell r="C213" t="str">
            <v>Occidente</v>
          </cell>
          <cell r="D213" t="str">
            <v>Aguascalientes</v>
          </cell>
          <cell r="N213">
            <v>0.85</v>
          </cell>
          <cell r="O213">
            <v>0.08</v>
          </cell>
          <cell r="P213">
            <v>7.0000000000000007E-2</v>
          </cell>
          <cell r="BW213">
            <v>0</v>
          </cell>
          <cell r="BX213">
            <v>71.5512858086433</v>
          </cell>
          <cell r="CG213">
            <v>0.79493968288636385</v>
          </cell>
          <cell r="CH213">
            <v>0.27098400740718492</v>
          </cell>
        </row>
        <row r="214">
          <cell r="A214">
            <v>816398</v>
          </cell>
          <cell r="B214" t="str">
            <v>Planta Zapopan</v>
          </cell>
          <cell r="C214" t="str">
            <v>Occidente</v>
          </cell>
          <cell r="D214" t="str">
            <v>Zapopan</v>
          </cell>
          <cell r="N214">
            <v>0.85</v>
          </cell>
          <cell r="O214">
            <v>0.08</v>
          </cell>
          <cell r="P214">
            <v>7.0000000000000007E-2</v>
          </cell>
          <cell r="BW214">
            <v>0</v>
          </cell>
          <cell r="BX214">
            <v>81.361383445006794</v>
          </cell>
          <cell r="CG214">
            <v>0.79297917300000009</v>
          </cell>
          <cell r="CH214">
            <v>0.17103167272891637</v>
          </cell>
        </row>
        <row r="215">
          <cell r="A215">
            <v>916405</v>
          </cell>
          <cell r="B215" t="str">
            <v>Planta San Luis</v>
          </cell>
          <cell r="C215" t="str">
            <v>Occidente</v>
          </cell>
          <cell r="D215" t="str">
            <v>San Luis</v>
          </cell>
          <cell r="N215">
            <v>0.85</v>
          </cell>
          <cell r="O215">
            <v>0.08</v>
          </cell>
          <cell r="P215">
            <v>7.0000000000000007E-2</v>
          </cell>
          <cell r="BW215">
            <v>0</v>
          </cell>
          <cell r="BX215">
            <v>71.937606445006708</v>
          </cell>
          <cell r="CG215">
            <v>0.79028025085227305</v>
          </cell>
          <cell r="CH215">
            <v>0.26704789474345497</v>
          </cell>
        </row>
        <row r="216">
          <cell r="A216">
            <v>301404</v>
          </cell>
          <cell r="B216" t="str">
            <v>Planta Cd. Juárez</v>
          </cell>
          <cell r="C216" t="str">
            <v>Norte</v>
          </cell>
          <cell r="D216" t="str">
            <v>Juárez</v>
          </cell>
          <cell r="N216">
            <v>0.85</v>
          </cell>
          <cell r="O216">
            <v>0.08</v>
          </cell>
          <cell r="P216">
            <v>7.0000000000000007E-2</v>
          </cell>
          <cell r="BW216">
            <v>0</v>
          </cell>
          <cell r="BX216">
            <v>61.374847288300586</v>
          </cell>
          <cell r="CG216">
            <v>0.78862416913636302</v>
          </cell>
          <cell r="CH216">
            <v>0.16622518220428731</v>
          </cell>
        </row>
        <row r="217">
          <cell r="A217">
            <v>950341</v>
          </cell>
          <cell r="B217" t="str">
            <v>Suc. Fresnillo</v>
          </cell>
          <cell r="C217" t="str">
            <v>Norte</v>
          </cell>
          <cell r="D217" t="str">
            <v>Zacatecas</v>
          </cell>
          <cell r="N217">
            <v>0.85</v>
          </cell>
          <cell r="O217">
            <v>0.08</v>
          </cell>
          <cell r="P217">
            <v>7.0000000000000007E-2</v>
          </cell>
          <cell r="BW217">
            <v>0</v>
          </cell>
          <cell r="BX217">
            <v>50.352965761140865</v>
          </cell>
          <cell r="CG217">
            <v>0.78778681895454528</v>
          </cell>
          <cell r="CH217">
            <v>0.31521489322491558</v>
          </cell>
        </row>
        <row r="218">
          <cell r="A218">
            <v>820409</v>
          </cell>
          <cell r="B218" t="str">
            <v>Suc. Belenes</v>
          </cell>
          <cell r="C218" t="str">
            <v>Occidente</v>
          </cell>
          <cell r="D218" t="str">
            <v>Zapopan</v>
          </cell>
          <cell r="N218">
            <v>0.85</v>
          </cell>
          <cell r="O218">
            <v>0.08</v>
          </cell>
          <cell r="P218">
            <v>7.0000000000000007E-2</v>
          </cell>
          <cell r="BW218">
            <v>0</v>
          </cell>
          <cell r="BX218">
            <v>86.614661022281538</v>
          </cell>
          <cell r="CG218">
            <v>0.78737174059090898</v>
          </cell>
          <cell r="CH218">
            <v>0.11623889576840769</v>
          </cell>
        </row>
        <row r="219">
          <cell r="A219">
            <v>810329</v>
          </cell>
          <cell r="B219" t="str">
            <v>Cedi Tonalá</v>
          </cell>
          <cell r="C219" t="str">
            <v>Occidente</v>
          </cell>
          <cell r="D219" t="str">
            <v>Favorita</v>
          </cell>
          <cell r="N219">
            <v>0.85</v>
          </cell>
          <cell r="O219">
            <v>0.08</v>
          </cell>
          <cell r="P219">
            <v>7.0000000000000007E-2</v>
          </cell>
          <cell r="BW219">
            <v>0</v>
          </cell>
          <cell r="BX219">
            <v>74.559710237076857</v>
          </cell>
          <cell r="CG219">
            <v>0.78729650785227312</v>
          </cell>
          <cell r="CH219">
            <v>0.2389679818793706</v>
          </cell>
        </row>
        <row r="220">
          <cell r="A220">
            <v>820344</v>
          </cell>
          <cell r="B220" t="str">
            <v>Suc. Belenes</v>
          </cell>
          <cell r="C220" t="str">
            <v>Occidente</v>
          </cell>
          <cell r="D220" t="str">
            <v>Zapopan</v>
          </cell>
          <cell r="N220">
            <v>0.85</v>
          </cell>
          <cell r="O220">
            <v>0.08</v>
          </cell>
          <cell r="P220">
            <v>7.0000000000000007E-2</v>
          </cell>
          <cell r="BW220">
            <v>0</v>
          </cell>
          <cell r="BX220">
            <v>69.855657195187277</v>
          </cell>
          <cell r="CG220">
            <v>0.785701994318182</v>
          </cell>
          <cell r="CH220">
            <v>0.28487371974408582</v>
          </cell>
        </row>
        <row r="221">
          <cell r="A221">
            <v>217405</v>
          </cell>
          <cell r="B221" t="str">
            <v>Suc. Estadio</v>
          </cell>
          <cell r="C221" t="str">
            <v>Norte</v>
          </cell>
          <cell r="D221" t="str">
            <v>Comarca</v>
          </cell>
          <cell r="N221">
            <v>0.85</v>
          </cell>
          <cell r="O221">
            <v>0.08</v>
          </cell>
          <cell r="P221">
            <v>7.0000000000000007E-2</v>
          </cell>
          <cell r="BW221">
            <v>0</v>
          </cell>
          <cell r="BX221">
            <v>24.161400148822224</v>
          </cell>
          <cell r="CG221">
            <v>1.0212050111931816</v>
          </cell>
          <cell r="CH221">
            <v>0.58971044538522066</v>
          </cell>
        </row>
        <row r="222">
          <cell r="A222">
            <v>916411</v>
          </cell>
          <cell r="B222" t="str">
            <v>Planta San Luis</v>
          </cell>
          <cell r="C222" t="str">
            <v>Occidente</v>
          </cell>
          <cell r="D222" t="str">
            <v>San Luis</v>
          </cell>
          <cell r="N222">
            <v>0.85</v>
          </cell>
          <cell r="O222">
            <v>0.08</v>
          </cell>
          <cell r="P222">
            <v>7.0000000000000007E-2</v>
          </cell>
          <cell r="BW222">
            <v>0</v>
          </cell>
          <cell r="BX222">
            <v>39.181227991148752</v>
          </cell>
          <cell r="CG222">
            <v>0.7841352917045461</v>
          </cell>
          <cell r="CH222">
            <v>0.53071479238715769</v>
          </cell>
        </row>
        <row r="223">
          <cell r="A223">
            <v>820422</v>
          </cell>
          <cell r="B223" t="str">
            <v>Suc. Belenes</v>
          </cell>
          <cell r="C223" t="str">
            <v>Occidente</v>
          </cell>
          <cell r="D223" t="str">
            <v>Zapopan</v>
          </cell>
          <cell r="N223">
            <v>0.85</v>
          </cell>
          <cell r="O223">
            <v>0.08</v>
          </cell>
          <cell r="P223">
            <v>7.0000000000000007E-2</v>
          </cell>
          <cell r="BW223">
            <v>0</v>
          </cell>
          <cell r="BX223">
            <v>65.838751829768213</v>
          </cell>
          <cell r="CG223">
            <v>0.7832904681477274</v>
          </cell>
          <cell r="CH223">
            <v>0.32274197356403023</v>
          </cell>
        </row>
        <row r="224">
          <cell r="A224">
            <v>816391</v>
          </cell>
          <cell r="B224" t="str">
            <v>Planta Zapopan</v>
          </cell>
          <cell r="C224" t="str">
            <v>Occidente</v>
          </cell>
          <cell r="D224" t="str">
            <v>Zapopan</v>
          </cell>
          <cell r="N224">
            <v>0.85</v>
          </cell>
          <cell r="O224">
            <v>0.08</v>
          </cell>
          <cell r="P224">
            <v>7.0000000000000007E-2</v>
          </cell>
          <cell r="BW224">
            <v>0</v>
          </cell>
          <cell r="BX224">
            <v>79.265186794117653</v>
          </cell>
          <cell r="CG224">
            <v>0.7827812828181816</v>
          </cell>
          <cell r="CH224">
            <v>0.18529792216840382</v>
          </cell>
        </row>
        <row r="225">
          <cell r="A225">
            <v>819351</v>
          </cell>
          <cell r="B225" t="str">
            <v>Suc. Huentitán</v>
          </cell>
          <cell r="C225" t="str">
            <v>Occidente</v>
          </cell>
          <cell r="D225" t="str">
            <v>Zapopan</v>
          </cell>
          <cell r="N225">
            <v>0.85</v>
          </cell>
          <cell r="O225">
            <v>0.08</v>
          </cell>
          <cell r="P225">
            <v>7.0000000000000007E-2</v>
          </cell>
          <cell r="BW225">
            <v>0</v>
          </cell>
          <cell r="BX225">
            <v>58.563038977718364</v>
          </cell>
          <cell r="CG225">
            <v>0.78243163711363584</v>
          </cell>
          <cell r="CH225">
            <v>0.39578279915547387</v>
          </cell>
        </row>
        <row r="226">
          <cell r="A226">
            <v>503303</v>
          </cell>
          <cell r="B226" t="str">
            <v>Sucursal Venadillo</v>
          </cell>
          <cell r="C226" t="str">
            <v>Pacifico</v>
          </cell>
          <cell r="D226" t="str">
            <v>Mazatlán</v>
          </cell>
          <cell r="N226">
            <v>0.85</v>
          </cell>
          <cell r="O226">
            <v>0.08</v>
          </cell>
          <cell r="P226">
            <v>7.0000000000000007E-2</v>
          </cell>
          <cell r="BW226">
            <v>0</v>
          </cell>
          <cell r="BX226">
            <v>21.911480834224651</v>
          </cell>
          <cell r="CG226">
            <v>0.78209165188636354</v>
          </cell>
          <cell r="CH226">
            <v>0.54553406484373546</v>
          </cell>
        </row>
        <row r="227">
          <cell r="A227">
            <v>916418</v>
          </cell>
          <cell r="B227" t="str">
            <v>Planta San Luis</v>
          </cell>
          <cell r="C227" t="str">
            <v>Occidente</v>
          </cell>
          <cell r="D227" t="str">
            <v>San Luis</v>
          </cell>
          <cell r="N227">
            <v>0.85</v>
          </cell>
          <cell r="O227">
            <v>0.08</v>
          </cell>
          <cell r="P227">
            <v>7.0000000000000007E-2</v>
          </cell>
          <cell r="BW227">
            <v>0</v>
          </cell>
          <cell r="BX227">
            <v>73.507735600712977</v>
          </cell>
          <cell r="CG227">
            <v>0.78174068318181777</v>
          </cell>
          <cell r="CH227">
            <v>0.24263904333731062</v>
          </cell>
        </row>
        <row r="228">
          <cell r="A228">
            <v>816338</v>
          </cell>
          <cell r="B228" t="str">
            <v>Planta Zapopan</v>
          </cell>
          <cell r="C228" t="str">
            <v>Occidente</v>
          </cell>
          <cell r="D228" t="str">
            <v>Zapopan</v>
          </cell>
          <cell r="N228">
            <v>0.85</v>
          </cell>
          <cell r="O228">
            <v>0.08</v>
          </cell>
          <cell r="P228">
            <v>7.0000000000000007E-2</v>
          </cell>
          <cell r="BW228">
            <v>0</v>
          </cell>
          <cell r="BX228">
            <v>72.135189013368858</v>
          </cell>
          <cell r="CG228">
            <v>0.78088578034090816</v>
          </cell>
          <cell r="CH228">
            <v>0.25553914540208766</v>
          </cell>
        </row>
        <row r="229">
          <cell r="A229">
            <v>916417</v>
          </cell>
          <cell r="B229" t="str">
            <v>Planta San Luis</v>
          </cell>
          <cell r="C229" t="str">
            <v>Occidente</v>
          </cell>
          <cell r="D229" t="str">
            <v>San Luis</v>
          </cell>
          <cell r="N229">
            <v>0.85</v>
          </cell>
          <cell r="O229">
            <v>0.08</v>
          </cell>
          <cell r="P229">
            <v>7.0000000000000007E-2</v>
          </cell>
          <cell r="BW229">
            <v>0</v>
          </cell>
          <cell r="BX229">
            <v>58.968278393939393</v>
          </cell>
          <cell r="CG229">
            <v>0.78063617577272704</v>
          </cell>
          <cell r="CH229">
            <v>0.3893764988712527</v>
          </cell>
        </row>
        <row r="230">
          <cell r="A230">
            <v>820358</v>
          </cell>
          <cell r="B230" t="str">
            <v>Suc. Belenes</v>
          </cell>
          <cell r="C230" t="str">
            <v>Occidente</v>
          </cell>
          <cell r="D230" t="str">
            <v>Zapopan</v>
          </cell>
          <cell r="N230">
            <v>0.85</v>
          </cell>
          <cell r="O230">
            <v>0.08</v>
          </cell>
          <cell r="P230">
            <v>7.0000000000000007E-2</v>
          </cell>
          <cell r="BW230">
            <v>0</v>
          </cell>
          <cell r="BX230">
            <v>64.403425318181888</v>
          </cell>
          <cell r="CG230">
            <v>0.78015397019318122</v>
          </cell>
          <cell r="CH230">
            <v>0.33338766316958218</v>
          </cell>
        </row>
        <row r="231">
          <cell r="A231">
            <v>907346</v>
          </cell>
          <cell r="B231" t="str">
            <v>Planta Trojes</v>
          </cell>
          <cell r="C231" t="str">
            <v>Occidente</v>
          </cell>
          <cell r="D231" t="str">
            <v>Aguascalientes</v>
          </cell>
          <cell r="N231">
            <v>0.85</v>
          </cell>
          <cell r="O231">
            <v>0.08</v>
          </cell>
          <cell r="P231">
            <v>7.0000000000000007E-2</v>
          </cell>
          <cell r="BW231">
            <v>0</v>
          </cell>
          <cell r="BX231">
            <v>35.458093770360279</v>
          </cell>
          <cell r="CG231">
            <v>0.77969552277272824</v>
          </cell>
          <cell r="CH231">
            <v>0.21179805845699221</v>
          </cell>
        </row>
        <row r="232">
          <cell r="A232">
            <v>819359</v>
          </cell>
          <cell r="B232" t="str">
            <v>Suc. Huentitán</v>
          </cell>
          <cell r="C232" t="str">
            <v>Occidente</v>
          </cell>
          <cell r="D232" t="str">
            <v>Zapopan</v>
          </cell>
          <cell r="N232">
            <v>0.85</v>
          </cell>
          <cell r="O232">
            <v>0.08</v>
          </cell>
          <cell r="P232">
            <v>7.0000000000000007E-2</v>
          </cell>
          <cell r="BW232">
            <v>0</v>
          </cell>
          <cell r="BX232">
            <v>69.704808661318992</v>
          </cell>
          <cell r="CG232">
            <v>0.7768071581931818</v>
          </cell>
          <cell r="CH232">
            <v>0.27512813451529228</v>
          </cell>
        </row>
        <row r="233">
          <cell r="A233">
            <v>816356</v>
          </cell>
          <cell r="B233" t="str">
            <v>Planta Zapopan</v>
          </cell>
          <cell r="C233" t="str">
            <v>Occidente</v>
          </cell>
          <cell r="D233" t="str">
            <v>Zapopan</v>
          </cell>
          <cell r="N233">
            <v>0.85</v>
          </cell>
          <cell r="O233">
            <v>0.08</v>
          </cell>
          <cell r="P233">
            <v>7.0000000000000007E-2</v>
          </cell>
          <cell r="BW233">
            <v>0</v>
          </cell>
          <cell r="BX233">
            <v>32.318248230837852</v>
          </cell>
          <cell r="CG233">
            <v>0.77613566850511373</v>
          </cell>
          <cell r="CH233">
            <v>0.26140591685653886</v>
          </cell>
        </row>
        <row r="234">
          <cell r="A234">
            <v>931400</v>
          </cell>
          <cell r="B234" t="str">
            <v>Planta Guadiana</v>
          </cell>
          <cell r="C234" t="str">
            <v>Norte</v>
          </cell>
          <cell r="D234" t="str">
            <v>Guadiana</v>
          </cell>
          <cell r="N234">
            <v>0.85</v>
          </cell>
          <cell r="O234">
            <v>0.08</v>
          </cell>
          <cell r="P234">
            <v>7.0000000000000007E-2</v>
          </cell>
          <cell r="BW234">
            <v>0</v>
          </cell>
          <cell r="BX234">
            <v>48.8208407731492</v>
          </cell>
          <cell r="CG234">
            <v>0.77592633340909056</v>
          </cell>
          <cell r="CH234">
            <v>0.33677085290238484</v>
          </cell>
        </row>
        <row r="235">
          <cell r="A235">
            <v>901415</v>
          </cell>
          <cell r="B235" t="str">
            <v>Planta Aguascalientes</v>
          </cell>
          <cell r="C235" t="str">
            <v>Occidente</v>
          </cell>
          <cell r="D235" t="str">
            <v>Aguascalientes</v>
          </cell>
          <cell r="N235">
            <v>0.85</v>
          </cell>
          <cell r="O235">
            <v>0.08</v>
          </cell>
          <cell r="P235">
            <v>7.0000000000000007E-2</v>
          </cell>
          <cell r="BW235">
            <v>0</v>
          </cell>
          <cell r="BX235">
            <v>47.071216737967916</v>
          </cell>
          <cell r="CG235">
            <v>0.77584766676136274</v>
          </cell>
          <cell r="CH235">
            <v>0.11087286931920515</v>
          </cell>
        </row>
        <row r="236">
          <cell r="A236">
            <v>506308</v>
          </cell>
          <cell r="B236" t="str">
            <v>Planta La Paz</v>
          </cell>
          <cell r="C236" t="str">
            <v>Pacifico</v>
          </cell>
          <cell r="D236" t="str">
            <v>La Paz</v>
          </cell>
          <cell r="N236">
            <v>0.85</v>
          </cell>
          <cell r="O236">
            <v>0.08</v>
          </cell>
          <cell r="P236">
            <v>7.0000000000000007E-2</v>
          </cell>
          <cell r="BW236">
            <v>0</v>
          </cell>
          <cell r="BX236">
            <v>68.636916380817922</v>
          </cell>
          <cell r="CG236">
            <v>0.77566369840909088</v>
          </cell>
          <cell r="CH236">
            <v>5.5536997013922181E-2</v>
          </cell>
        </row>
        <row r="237">
          <cell r="A237">
            <v>806401</v>
          </cell>
          <cell r="B237" t="str">
            <v>Suc. Tecomán</v>
          </cell>
          <cell r="C237" t="str">
            <v>Occidente</v>
          </cell>
          <cell r="D237" t="str">
            <v>Favorita</v>
          </cell>
          <cell r="N237">
            <v>0.85</v>
          </cell>
          <cell r="O237">
            <v>0.08</v>
          </cell>
          <cell r="P237">
            <v>7.0000000000000007E-2</v>
          </cell>
          <cell r="BW237">
            <v>0</v>
          </cell>
          <cell r="BX237">
            <v>44.568156772030974</v>
          </cell>
          <cell r="CG237">
            <v>0.77488363646590874</v>
          </cell>
          <cell r="CH237">
            <v>0.26748246494074107</v>
          </cell>
        </row>
        <row r="238">
          <cell r="A238">
            <v>931406</v>
          </cell>
          <cell r="B238" t="str">
            <v>Planta Guadiana</v>
          </cell>
          <cell r="C238" t="str">
            <v>Norte</v>
          </cell>
          <cell r="D238" t="str">
            <v>Guadiana</v>
          </cell>
          <cell r="N238">
            <v>0.85</v>
          </cell>
          <cell r="O238">
            <v>0.08</v>
          </cell>
          <cell r="P238">
            <v>7.0000000000000007E-2</v>
          </cell>
          <cell r="BW238">
            <v>0</v>
          </cell>
          <cell r="BX238">
            <v>45.58394503072509</v>
          </cell>
          <cell r="CG238">
            <v>0.77369046136363673</v>
          </cell>
          <cell r="CH238">
            <v>0.38074395063061073</v>
          </cell>
        </row>
        <row r="239">
          <cell r="A239">
            <v>809327</v>
          </cell>
          <cell r="B239" t="str">
            <v>Suc. Santa Maria</v>
          </cell>
          <cell r="C239" t="str">
            <v>Occidente</v>
          </cell>
          <cell r="D239" t="str">
            <v>Favorita</v>
          </cell>
          <cell r="N239">
            <v>0.85</v>
          </cell>
          <cell r="O239">
            <v>0.08</v>
          </cell>
          <cell r="P239">
            <v>7.0000000000000007E-2</v>
          </cell>
          <cell r="BW239">
            <v>0</v>
          </cell>
          <cell r="BX239">
            <v>63.588950854723734</v>
          </cell>
          <cell r="CG239">
            <v>0.77367195317045434</v>
          </cell>
          <cell r="CH239">
            <v>0.33346408535953082</v>
          </cell>
        </row>
        <row r="240">
          <cell r="A240">
            <v>820371</v>
          </cell>
          <cell r="B240" t="str">
            <v>Suc. Belenes</v>
          </cell>
          <cell r="C240" t="str">
            <v>Occidente</v>
          </cell>
          <cell r="D240" t="str">
            <v>Zapopan</v>
          </cell>
          <cell r="N240">
            <v>0.85</v>
          </cell>
          <cell r="O240">
            <v>0.08</v>
          </cell>
          <cell r="P240">
            <v>7.0000000000000007E-2</v>
          </cell>
          <cell r="BW240">
            <v>0</v>
          </cell>
          <cell r="BX240">
            <v>74.709422545454743</v>
          </cell>
          <cell r="CG240">
            <v>0.77340132894579683</v>
          </cell>
          <cell r="CH240">
            <v>0.2198174470268934</v>
          </cell>
        </row>
        <row r="241">
          <cell r="A241">
            <v>816342</v>
          </cell>
          <cell r="B241" t="str">
            <v>Planta Zapopan</v>
          </cell>
          <cell r="C241" t="str">
            <v>Occidente</v>
          </cell>
          <cell r="D241" t="str">
            <v>Zapopan</v>
          </cell>
          <cell r="N241">
            <v>0.85</v>
          </cell>
          <cell r="O241">
            <v>0.08</v>
          </cell>
          <cell r="P241">
            <v>7.0000000000000007E-2</v>
          </cell>
          <cell r="BW241">
            <v>0</v>
          </cell>
          <cell r="BX241">
            <v>69.773446690730822</v>
          </cell>
          <cell r="CG241">
            <v>0.77321095888909075</v>
          </cell>
          <cell r="CH241">
            <v>0.26986724886052776</v>
          </cell>
        </row>
        <row r="242">
          <cell r="A242">
            <v>820360</v>
          </cell>
          <cell r="B242" t="str">
            <v>Suc. Belenes</v>
          </cell>
          <cell r="C242" t="str">
            <v>Occidente</v>
          </cell>
          <cell r="D242" t="str">
            <v>Zapopan</v>
          </cell>
          <cell r="N242">
            <v>0.85</v>
          </cell>
          <cell r="O242">
            <v>0.08</v>
          </cell>
          <cell r="P242">
            <v>7.0000000000000007E-2</v>
          </cell>
          <cell r="BW242">
            <v>0</v>
          </cell>
          <cell r="BX242">
            <v>68.044087943850087</v>
          </cell>
          <cell r="CG242">
            <v>0.7722892442045447</v>
          </cell>
          <cell r="CH242">
            <v>0.28631806338096549</v>
          </cell>
        </row>
        <row r="243">
          <cell r="A243">
            <v>901344</v>
          </cell>
          <cell r="B243" t="str">
            <v>Planta Aguascalientes</v>
          </cell>
          <cell r="C243" t="str">
            <v>Occidente</v>
          </cell>
          <cell r="D243" t="str">
            <v>Aguascalientes</v>
          </cell>
          <cell r="N243">
            <v>0.85</v>
          </cell>
          <cell r="O243">
            <v>0.08</v>
          </cell>
          <cell r="P243">
            <v>7.0000000000000007E-2</v>
          </cell>
          <cell r="BW243">
            <v>0</v>
          </cell>
          <cell r="BX243">
            <v>34.770052445236608</v>
          </cell>
          <cell r="CG243">
            <v>0.77212907744318093</v>
          </cell>
          <cell r="CH243">
            <v>0.43554978556744905</v>
          </cell>
        </row>
        <row r="244">
          <cell r="A244">
            <v>804424</v>
          </cell>
          <cell r="B244" t="str">
            <v>Suc. Toluquilla</v>
          </cell>
          <cell r="C244" t="str">
            <v>Occidente</v>
          </cell>
          <cell r="D244" t="str">
            <v>Favorita</v>
          </cell>
          <cell r="N244">
            <v>0.85</v>
          </cell>
          <cell r="O244">
            <v>0.08</v>
          </cell>
          <cell r="P244">
            <v>7.0000000000000007E-2</v>
          </cell>
          <cell r="BW244">
            <v>0</v>
          </cell>
          <cell r="BX244">
            <v>52.219852529918754</v>
          </cell>
          <cell r="CG244">
            <v>0.77202702818181834</v>
          </cell>
          <cell r="CH244">
            <v>0.22882788649213137</v>
          </cell>
        </row>
        <row r="245">
          <cell r="A245">
            <v>816352</v>
          </cell>
          <cell r="B245" t="str">
            <v>Planta Zapopan</v>
          </cell>
          <cell r="C245" t="str">
            <v>Occidente</v>
          </cell>
          <cell r="D245" t="str">
            <v>Zapopan</v>
          </cell>
          <cell r="N245">
            <v>0.85</v>
          </cell>
          <cell r="O245">
            <v>0.08</v>
          </cell>
          <cell r="P245">
            <v>7.0000000000000007E-2</v>
          </cell>
          <cell r="BW245">
            <v>0</v>
          </cell>
          <cell r="BX245">
            <v>66.194931261141136</v>
          </cell>
          <cell r="CG245">
            <v>0.77154887321590904</v>
          </cell>
          <cell r="CH245">
            <v>0.30421948852711572</v>
          </cell>
        </row>
        <row r="246">
          <cell r="A246">
            <v>809378</v>
          </cell>
          <cell r="B246" t="str">
            <v>Suc. Santa Maria</v>
          </cell>
          <cell r="C246" t="str">
            <v>Occidente</v>
          </cell>
          <cell r="D246" t="str">
            <v>Favorita</v>
          </cell>
          <cell r="N246">
            <v>0.85</v>
          </cell>
          <cell r="O246">
            <v>0.08</v>
          </cell>
          <cell r="P246">
            <v>7.0000000000000007E-2</v>
          </cell>
          <cell r="BW246">
            <v>0</v>
          </cell>
          <cell r="BX246">
            <v>72.422939381461646</v>
          </cell>
          <cell r="CG246">
            <v>0.77076728089772772</v>
          </cell>
          <cell r="CH246">
            <v>0.23977265917089691</v>
          </cell>
        </row>
        <row r="247">
          <cell r="A247">
            <v>907402</v>
          </cell>
          <cell r="B247" t="str">
            <v>Planta Trojes</v>
          </cell>
          <cell r="C247" t="str">
            <v>Occidente</v>
          </cell>
          <cell r="D247" t="str">
            <v>Aguascalientes</v>
          </cell>
          <cell r="N247">
            <v>0.85</v>
          </cell>
          <cell r="O247">
            <v>0.08</v>
          </cell>
          <cell r="P247">
            <v>7.0000000000000007E-2</v>
          </cell>
          <cell r="BW247">
            <v>0</v>
          </cell>
          <cell r="BX247">
            <v>39.261777482286547</v>
          </cell>
          <cell r="CG247">
            <v>0.77047063465909094</v>
          </cell>
          <cell r="CH247">
            <v>0.10857803234284782</v>
          </cell>
        </row>
        <row r="248">
          <cell r="A248">
            <v>916421</v>
          </cell>
          <cell r="B248" t="str">
            <v>Planta San Luis</v>
          </cell>
          <cell r="C248" t="str">
            <v>Occidente</v>
          </cell>
          <cell r="D248" t="str">
            <v>San Luis</v>
          </cell>
          <cell r="N248">
            <v>0.85</v>
          </cell>
          <cell r="O248">
            <v>0.08</v>
          </cell>
          <cell r="P248">
            <v>7.0000000000000007E-2</v>
          </cell>
          <cell r="BW248">
            <v>0</v>
          </cell>
          <cell r="BX248">
            <v>57.613070505347586</v>
          </cell>
          <cell r="CG248">
            <v>0.77026329521590886</v>
          </cell>
          <cell r="CH248">
            <v>0.3900269873350084</v>
          </cell>
        </row>
        <row r="249">
          <cell r="A249">
            <v>809364</v>
          </cell>
          <cell r="B249" t="str">
            <v>Suc. Santa Maria</v>
          </cell>
          <cell r="C249" t="str">
            <v>Occidente</v>
          </cell>
          <cell r="D249" t="str">
            <v>Favorita</v>
          </cell>
          <cell r="N249">
            <v>0.85</v>
          </cell>
          <cell r="O249">
            <v>0.08</v>
          </cell>
          <cell r="P249">
            <v>7.0000000000000007E-2</v>
          </cell>
          <cell r="BW249">
            <v>0</v>
          </cell>
          <cell r="BX249">
            <v>43.455445659568582</v>
          </cell>
          <cell r="CG249">
            <v>0.76713889326136342</v>
          </cell>
          <cell r="CH249">
            <v>0.19676935285401392</v>
          </cell>
        </row>
        <row r="250">
          <cell r="A250">
            <v>810340</v>
          </cell>
          <cell r="B250" t="str">
            <v>Cedi Tonalá</v>
          </cell>
          <cell r="C250" t="str">
            <v>Occidente</v>
          </cell>
          <cell r="D250" t="str">
            <v>Favorita</v>
          </cell>
          <cell r="N250">
            <v>0.85</v>
          </cell>
          <cell r="O250">
            <v>0.08</v>
          </cell>
          <cell r="P250">
            <v>7.0000000000000007E-2</v>
          </cell>
          <cell r="BW250">
            <v>0</v>
          </cell>
          <cell r="BX250">
            <v>65.831789394830821</v>
          </cell>
          <cell r="CG250">
            <v>0.76687682543181868</v>
          </cell>
          <cell r="CH250">
            <v>0.30199324123965637</v>
          </cell>
        </row>
        <row r="251">
          <cell r="A251">
            <v>816330</v>
          </cell>
          <cell r="B251" t="str">
            <v>Planta Zapopan</v>
          </cell>
          <cell r="C251" t="str">
            <v>Occidente</v>
          </cell>
          <cell r="D251" t="str">
            <v>Zapopan</v>
          </cell>
          <cell r="N251">
            <v>0.85</v>
          </cell>
          <cell r="O251">
            <v>0.08</v>
          </cell>
          <cell r="P251">
            <v>7.0000000000000007E-2</v>
          </cell>
          <cell r="BW251">
            <v>0</v>
          </cell>
          <cell r="BX251">
            <v>56.344117695187087</v>
          </cell>
          <cell r="CG251">
            <v>0.76681649147727193</v>
          </cell>
          <cell r="CH251">
            <v>0.39858393862053432</v>
          </cell>
        </row>
        <row r="252">
          <cell r="A252">
            <v>819419</v>
          </cell>
          <cell r="B252" t="str">
            <v>Suc. Huentitán</v>
          </cell>
          <cell r="C252" t="str">
            <v>Occidente</v>
          </cell>
          <cell r="D252" t="str">
            <v>Zapopan</v>
          </cell>
          <cell r="N252">
            <v>0.85</v>
          </cell>
          <cell r="O252">
            <v>0.08</v>
          </cell>
          <cell r="P252">
            <v>7.0000000000000007E-2</v>
          </cell>
          <cell r="BW252">
            <v>0</v>
          </cell>
          <cell r="BX252">
            <v>73.680451501782457</v>
          </cell>
          <cell r="CG252">
            <v>0.76673132704636326</v>
          </cell>
          <cell r="CH252">
            <v>0.22184086778078427</v>
          </cell>
        </row>
        <row r="253">
          <cell r="A253">
            <v>931430</v>
          </cell>
          <cell r="B253" t="str">
            <v>Planta Guadiana</v>
          </cell>
          <cell r="C253" t="str">
            <v>Norte</v>
          </cell>
          <cell r="D253" t="str">
            <v>Guadiana</v>
          </cell>
          <cell r="N253">
            <v>0.85</v>
          </cell>
          <cell r="O253">
            <v>0.08</v>
          </cell>
          <cell r="P253">
            <v>7.0000000000000007E-2</v>
          </cell>
          <cell r="BW253">
            <v>0</v>
          </cell>
          <cell r="BX253">
            <v>42.887335091330904</v>
          </cell>
          <cell r="CG253">
            <v>0.76617003272727335</v>
          </cell>
          <cell r="CH253">
            <v>0.41737728757926468</v>
          </cell>
        </row>
        <row r="254">
          <cell r="A254">
            <v>810360</v>
          </cell>
          <cell r="B254" t="str">
            <v>Cedi Tonalá</v>
          </cell>
          <cell r="C254" t="str">
            <v>Occidente</v>
          </cell>
          <cell r="D254" t="str">
            <v>Favorita</v>
          </cell>
          <cell r="N254">
            <v>0.85</v>
          </cell>
          <cell r="O254">
            <v>0.08</v>
          </cell>
          <cell r="P254">
            <v>7.0000000000000007E-2</v>
          </cell>
          <cell r="BW254">
            <v>0</v>
          </cell>
          <cell r="BX254">
            <v>67.228090497326278</v>
          </cell>
          <cell r="CG254">
            <v>0.76519418849999954</v>
          </cell>
          <cell r="CH254">
            <v>0.28563240191318728</v>
          </cell>
        </row>
        <row r="255">
          <cell r="A255">
            <v>916412</v>
          </cell>
          <cell r="B255" t="str">
            <v>Planta San Luis</v>
          </cell>
          <cell r="C255" t="str">
            <v>Occidente</v>
          </cell>
          <cell r="D255" t="str">
            <v>San Luis</v>
          </cell>
          <cell r="N255">
            <v>0.85</v>
          </cell>
          <cell r="O255">
            <v>0.08</v>
          </cell>
          <cell r="P255">
            <v>7.0000000000000007E-2</v>
          </cell>
          <cell r="BW255">
            <v>0</v>
          </cell>
          <cell r="BX255">
            <v>9.0769647108146501E-4</v>
          </cell>
          <cell r="CG255">
            <v>0.76512149652272654</v>
          </cell>
          <cell r="CH255">
            <v>0.3368784491268042</v>
          </cell>
        </row>
        <row r="256">
          <cell r="A256">
            <v>809321</v>
          </cell>
          <cell r="B256" t="str">
            <v>Suc. Santa Maria</v>
          </cell>
          <cell r="C256" t="str">
            <v>Occidente</v>
          </cell>
          <cell r="D256" t="str">
            <v>Favorita</v>
          </cell>
          <cell r="N256">
            <v>0.85</v>
          </cell>
          <cell r="O256">
            <v>0.08</v>
          </cell>
          <cell r="P256">
            <v>7.0000000000000007E-2</v>
          </cell>
          <cell r="BW256">
            <v>0</v>
          </cell>
          <cell r="BX256">
            <v>60.653525720142667</v>
          </cell>
          <cell r="CG256">
            <v>0.76363573315909028</v>
          </cell>
          <cell r="CH256">
            <v>0.35064199701811571</v>
          </cell>
        </row>
        <row r="257">
          <cell r="A257">
            <v>809361</v>
          </cell>
          <cell r="B257" t="str">
            <v>Suc. Santa Maria</v>
          </cell>
          <cell r="C257" t="str">
            <v>Occidente</v>
          </cell>
          <cell r="D257" t="str">
            <v>Favorita</v>
          </cell>
          <cell r="N257">
            <v>0.85</v>
          </cell>
          <cell r="O257">
            <v>0.08</v>
          </cell>
          <cell r="P257">
            <v>7.0000000000000007E-2</v>
          </cell>
          <cell r="BW257">
            <v>0</v>
          </cell>
          <cell r="BX257">
            <v>66.237297243315382</v>
          </cell>
          <cell r="CG257">
            <v>0.76173540473863632</v>
          </cell>
          <cell r="CH257">
            <v>0.29134006755638919</v>
          </cell>
        </row>
        <row r="258">
          <cell r="A258">
            <v>804422</v>
          </cell>
          <cell r="B258" t="str">
            <v>Suc. Toluquilla</v>
          </cell>
          <cell r="C258" t="str">
            <v>Occidente</v>
          </cell>
          <cell r="D258" t="str">
            <v>Favorita</v>
          </cell>
          <cell r="N258">
            <v>0.85</v>
          </cell>
          <cell r="O258">
            <v>0.08</v>
          </cell>
          <cell r="P258">
            <v>7.0000000000000007E-2</v>
          </cell>
          <cell r="BW258">
            <v>0</v>
          </cell>
          <cell r="BX258">
            <v>69.088496291443846</v>
          </cell>
          <cell r="CG258">
            <v>0.76097886995454544</v>
          </cell>
          <cell r="CH258">
            <v>0.26133038309207068</v>
          </cell>
        </row>
        <row r="259">
          <cell r="A259">
            <v>809331</v>
          </cell>
          <cell r="B259" t="str">
            <v>Suc. Santa Maria</v>
          </cell>
          <cell r="C259" t="str">
            <v>Occidente</v>
          </cell>
          <cell r="D259" t="str">
            <v>Favorita</v>
          </cell>
          <cell r="N259">
            <v>0.85</v>
          </cell>
          <cell r="O259">
            <v>0.08</v>
          </cell>
          <cell r="P259">
            <v>7.0000000000000007E-2</v>
          </cell>
          <cell r="BW259">
            <v>0</v>
          </cell>
          <cell r="BX259">
            <v>71.316674314616748</v>
          </cell>
          <cell r="CG259">
            <v>0.75902888607954566</v>
          </cell>
          <cell r="CH259">
            <v>0.23615467029055603</v>
          </cell>
        </row>
        <row r="260">
          <cell r="A260">
            <v>803340</v>
          </cell>
          <cell r="B260" t="str">
            <v>Suc. San Rafael</v>
          </cell>
          <cell r="C260" t="str">
            <v>Occidente</v>
          </cell>
          <cell r="D260" t="str">
            <v>Favorita</v>
          </cell>
          <cell r="N260">
            <v>0.85</v>
          </cell>
          <cell r="O260">
            <v>0.08</v>
          </cell>
          <cell r="P260">
            <v>7.0000000000000007E-2</v>
          </cell>
          <cell r="BW260">
            <v>0</v>
          </cell>
          <cell r="BX260">
            <v>63.431982324420851</v>
          </cell>
          <cell r="CG260">
            <v>0.75763857201136398</v>
          </cell>
          <cell r="CH260">
            <v>0.31472606089127669</v>
          </cell>
        </row>
        <row r="261">
          <cell r="A261">
            <v>804420</v>
          </cell>
          <cell r="B261" t="str">
            <v>Suc. Toluquilla</v>
          </cell>
          <cell r="C261" t="str">
            <v>Occidente</v>
          </cell>
          <cell r="D261" t="str">
            <v>Favorita</v>
          </cell>
          <cell r="N261">
            <v>0.85</v>
          </cell>
          <cell r="O261">
            <v>0.08</v>
          </cell>
          <cell r="P261">
            <v>7.0000000000000007E-2</v>
          </cell>
          <cell r="BW261">
            <v>0</v>
          </cell>
          <cell r="BX261">
            <v>21.767871574604516</v>
          </cell>
          <cell r="CG261">
            <v>0.75579509178409132</v>
          </cell>
          <cell r="CH261">
            <v>0.21918984227312396</v>
          </cell>
        </row>
        <row r="262">
          <cell r="A262">
            <v>916340</v>
          </cell>
          <cell r="B262" t="str">
            <v>Planta San Luis</v>
          </cell>
          <cell r="C262" t="str">
            <v>Occidente</v>
          </cell>
          <cell r="D262" t="str">
            <v>San Luis</v>
          </cell>
          <cell r="N262">
            <v>0.85</v>
          </cell>
          <cell r="O262">
            <v>0.08</v>
          </cell>
          <cell r="P262">
            <v>7.0000000000000007E-2</v>
          </cell>
          <cell r="BW262">
            <v>0</v>
          </cell>
          <cell r="BX262">
            <v>50.936439968805757</v>
          </cell>
          <cell r="CG262">
            <v>0.75338464806818195</v>
          </cell>
          <cell r="CH262">
            <v>0.43664380474431452</v>
          </cell>
        </row>
        <row r="263">
          <cell r="A263">
            <v>810359</v>
          </cell>
          <cell r="B263" t="str">
            <v>Cedi Tonalá</v>
          </cell>
          <cell r="C263" t="str">
            <v>Occidente</v>
          </cell>
          <cell r="D263" t="str">
            <v>Favorita</v>
          </cell>
          <cell r="N263">
            <v>0.85</v>
          </cell>
          <cell r="O263">
            <v>0.08</v>
          </cell>
          <cell r="P263">
            <v>7.0000000000000007E-2</v>
          </cell>
          <cell r="BW263">
            <v>0</v>
          </cell>
          <cell r="BX263">
            <v>66.475210995543875</v>
          </cell>
          <cell r="CG263">
            <v>0.75312624640909076</v>
          </cell>
          <cell r="CH263">
            <v>0.27799585664584514</v>
          </cell>
        </row>
        <row r="264">
          <cell r="A264">
            <v>819354</v>
          </cell>
          <cell r="B264" t="str">
            <v>Suc. Huentitán</v>
          </cell>
          <cell r="C264" t="str">
            <v>Occidente</v>
          </cell>
          <cell r="D264" t="str">
            <v>Zapopan</v>
          </cell>
          <cell r="N264">
            <v>0.85</v>
          </cell>
          <cell r="O264">
            <v>0.08</v>
          </cell>
          <cell r="P264">
            <v>7.0000000000000007E-2</v>
          </cell>
          <cell r="BW264">
            <v>0</v>
          </cell>
          <cell r="BX264">
            <v>58.879396732620421</v>
          </cell>
          <cell r="CG264">
            <v>0.75132313486363655</v>
          </cell>
          <cell r="CH264">
            <v>0.35310034550073227</v>
          </cell>
        </row>
        <row r="265">
          <cell r="A265">
            <v>802340</v>
          </cell>
          <cell r="B265" t="str">
            <v>Suc. Alamo</v>
          </cell>
          <cell r="C265" t="str">
            <v>Occidente</v>
          </cell>
          <cell r="D265" t="str">
            <v>Favorita</v>
          </cell>
          <cell r="N265">
            <v>0.85</v>
          </cell>
          <cell r="O265">
            <v>0.08</v>
          </cell>
          <cell r="P265">
            <v>7.0000000000000007E-2</v>
          </cell>
          <cell r="BW265">
            <v>0</v>
          </cell>
          <cell r="BX265">
            <v>65.959458954545596</v>
          </cell>
          <cell r="CG265">
            <v>0.74989742412375104</v>
          </cell>
          <cell r="CH265">
            <v>0.27915515217084863</v>
          </cell>
        </row>
        <row r="266">
          <cell r="A266">
            <v>809320</v>
          </cell>
          <cell r="B266" t="str">
            <v>Suc. Santa Maria</v>
          </cell>
          <cell r="C266" t="str">
            <v>Occidente</v>
          </cell>
          <cell r="D266" t="str">
            <v>Favorita</v>
          </cell>
          <cell r="N266">
            <v>0.85</v>
          </cell>
          <cell r="O266">
            <v>0.08</v>
          </cell>
          <cell r="P266">
            <v>7.0000000000000007E-2</v>
          </cell>
          <cell r="BW266">
            <v>0</v>
          </cell>
          <cell r="BX266">
            <v>44.155990336898498</v>
          </cell>
          <cell r="CG266">
            <v>0.7494775348295456</v>
          </cell>
          <cell r="CH266">
            <v>0.50077197849685362</v>
          </cell>
        </row>
        <row r="267">
          <cell r="A267">
            <v>809333</v>
          </cell>
          <cell r="B267" t="str">
            <v>Suc. Santa Maria</v>
          </cell>
          <cell r="C267" t="str">
            <v>Occidente</v>
          </cell>
          <cell r="D267" t="str">
            <v>Favorita</v>
          </cell>
          <cell r="N267">
            <v>0.85</v>
          </cell>
          <cell r="O267">
            <v>0.08</v>
          </cell>
          <cell r="P267">
            <v>7.0000000000000007E-2</v>
          </cell>
          <cell r="BW267">
            <v>0</v>
          </cell>
          <cell r="BX267">
            <v>43.526658420677435</v>
          </cell>
          <cell r="CG267">
            <v>0.74939500998409092</v>
          </cell>
          <cell r="CH267">
            <v>0.12685526424564028</v>
          </cell>
        </row>
        <row r="268">
          <cell r="A268">
            <v>816397</v>
          </cell>
          <cell r="B268" t="str">
            <v>Planta Zapopan</v>
          </cell>
          <cell r="C268" t="str">
            <v>Occidente</v>
          </cell>
          <cell r="D268" t="str">
            <v>Zapopan</v>
          </cell>
          <cell r="N268">
            <v>0.85</v>
          </cell>
          <cell r="O268">
            <v>0.08</v>
          </cell>
          <cell r="P268">
            <v>7.0000000000000007E-2</v>
          </cell>
          <cell r="BW268">
            <v>0</v>
          </cell>
          <cell r="BX268">
            <v>76.17520982531218</v>
          </cell>
          <cell r="CG268">
            <v>0.74759461803409066</v>
          </cell>
          <cell r="CH268">
            <v>0.172148766113948</v>
          </cell>
        </row>
        <row r="269">
          <cell r="A269">
            <v>820374</v>
          </cell>
          <cell r="B269" t="str">
            <v>Suc. Belenes</v>
          </cell>
          <cell r="C269" t="str">
            <v>Occidente</v>
          </cell>
          <cell r="D269" t="str">
            <v>Zapopan</v>
          </cell>
          <cell r="N269">
            <v>0.85</v>
          </cell>
          <cell r="O269">
            <v>0.08</v>
          </cell>
          <cell r="P269">
            <v>7.0000000000000007E-2</v>
          </cell>
          <cell r="BW269">
            <v>0</v>
          </cell>
          <cell r="BX269">
            <v>72.466719645276399</v>
          </cell>
          <cell r="CG269">
            <v>0.74756313235227267</v>
          </cell>
          <cell r="CH269">
            <v>0.20989359532764706</v>
          </cell>
        </row>
        <row r="270">
          <cell r="A270">
            <v>904400</v>
          </cell>
          <cell r="B270" t="str">
            <v>Sucursal Juchipila</v>
          </cell>
          <cell r="C270" t="str">
            <v>Occidente</v>
          </cell>
          <cell r="D270" t="str">
            <v>Aguascalientes</v>
          </cell>
          <cell r="N270">
            <v>0.85</v>
          </cell>
          <cell r="O270">
            <v>0.08</v>
          </cell>
          <cell r="P270">
            <v>7.0000000000000007E-2</v>
          </cell>
          <cell r="BW270">
            <v>0</v>
          </cell>
          <cell r="BX270">
            <v>0</v>
          </cell>
          <cell r="CG270">
            <v>0.74530045585227211</v>
          </cell>
          <cell r="CH270">
            <v>5.1437049583642792E-2</v>
          </cell>
        </row>
        <row r="271">
          <cell r="A271">
            <v>820377</v>
          </cell>
          <cell r="B271" t="str">
            <v>Suc. Belenes</v>
          </cell>
          <cell r="C271" t="str">
            <v>Occidente</v>
          </cell>
          <cell r="D271" t="str">
            <v>Zapopan</v>
          </cell>
          <cell r="N271">
            <v>0.85</v>
          </cell>
          <cell r="O271">
            <v>0.08</v>
          </cell>
          <cell r="P271">
            <v>7.0000000000000007E-2</v>
          </cell>
          <cell r="BW271">
            <v>0</v>
          </cell>
          <cell r="BX271">
            <v>70.772511874331613</v>
          </cell>
          <cell r="CG271">
            <v>0.74488417118181782</v>
          </cell>
          <cell r="CH271">
            <v>0.22375731006570787</v>
          </cell>
        </row>
        <row r="272">
          <cell r="A272">
            <v>816334</v>
          </cell>
          <cell r="B272" t="str">
            <v>Planta Zapopan</v>
          </cell>
          <cell r="C272" t="str">
            <v>Occidente</v>
          </cell>
          <cell r="D272" t="str">
            <v>Zapopan</v>
          </cell>
          <cell r="N272">
            <v>0.85</v>
          </cell>
          <cell r="O272">
            <v>0.08</v>
          </cell>
          <cell r="P272">
            <v>7.0000000000000007E-2</v>
          </cell>
          <cell r="BW272">
            <v>0</v>
          </cell>
          <cell r="BX272">
            <v>75.582166629233512</v>
          </cell>
          <cell r="CG272">
            <v>0.74299114932954513</v>
          </cell>
          <cell r="CH272">
            <v>0.17235190726283511</v>
          </cell>
        </row>
        <row r="273">
          <cell r="A273">
            <v>901401</v>
          </cell>
          <cell r="B273" t="str">
            <v>Planta Aguascalientes</v>
          </cell>
          <cell r="C273" t="str">
            <v>Occidente</v>
          </cell>
          <cell r="D273" t="str">
            <v>Aguascalientes</v>
          </cell>
          <cell r="N273">
            <v>0.85</v>
          </cell>
          <cell r="O273">
            <v>0.08</v>
          </cell>
          <cell r="P273">
            <v>7.0000000000000007E-2</v>
          </cell>
          <cell r="BW273">
            <v>0</v>
          </cell>
          <cell r="BX273">
            <v>46.029156955048187</v>
          </cell>
          <cell r="CG273">
            <v>0.74102088017045475</v>
          </cell>
          <cell r="CH273">
            <v>0.20035250063559518</v>
          </cell>
        </row>
        <row r="274">
          <cell r="A274">
            <v>820357</v>
          </cell>
          <cell r="B274" t="str">
            <v>Suc. Belenes</v>
          </cell>
          <cell r="C274" t="str">
            <v>Occidente</v>
          </cell>
          <cell r="D274" t="str">
            <v>Zapopan</v>
          </cell>
          <cell r="N274">
            <v>0.85</v>
          </cell>
          <cell r="O274">
            <v>0.08</v>
          </cell>
          <cell r="P274">
            <v>7.0000000000000007E-2</v>
          </cell>
          <cell r="BW274">
            <v>0</v>
          </cell>
          <cell r="BX274">
            <v>19.76736425076885</v>
          </cell>
          <cell r="CG274">
            <v>0.74013306770454568</v>
          </cell>
          <cell r="CH274">
            <v>0.31833118666741833</v>
          </cell>
        </row>
        <row r="275">
          <cell r="A275">
            <v>816337</v>
          </cell>
          <cell r="B275" t="str">
            <v>Planta Zapopan</v>
          </cell>
          <cell r="C275" t="str">
            <v>Occidente</v>
          </cell>
          <cell r="D275" t="str">
            <v>Zapopan</v>
          </cell>
          <cell r="N275">
            <v>0.85</v>
          </cell>
          <cell r="O275">
            <v>0.08</v>
          </cell>
          <cell r="P275">
            <v>7.0000000000000007E-2</v>
          </cell>
          <cell r="BW275">
            <v>0</v>
          </cell>
          <cell r="BX275">
            <v>69.529869808377867</v>
          </cell>
          <cell r="CG275">
            <v>0.735580019045454</v>
          </cell>
          <cell r="CH275">
            <v>0.22461651151863335</v>
          </cell>
        </row>
        <row r="276">
          <cell r="A276">
            <v>712305</v>
          </cell>
          <cell r="B276" t="str">
            <v>Sucursal Santa Catarina</v>
          </cell>
          <cell r="C276" t="str">
            <v>Noreste</v>
          </cell>
          <cell r="D276" t="str">
            <v>Monterrey</v>
          </cell>
          <cell r="N276">
            <v>0.8</v>
          </cell>
          <cell r="O276">
            <v>0.12</v>
          </cell>
          <cell r="P276">
            <v>0.08</v>
          </cell>
          <cell r="BW276">
            <v>0</v>
          </cell>
          <cell r="BX276">
            <v>13.618387606482599</v>
          </cell>
          <cell r="CG276">
            <v>0.73497617475546151</v>
          </cell>
          <cell r="CH276">
            <v>0.81499475523043996</v>
          </cell>
        </row>
        <row r="277">
          <cell r="A277">
            <v>809363</v>
          </cell>
          <cell r="B277" t="str">
            <v>Suc. Santa Maria</v>
          </cell>
          <cell r="C277" t="str">
            <v>Occidente</v>
          </cell>
          <cell r="D277" t="str">
            <v>Favorita</v>
          </cell>
          <cell r="N277">
            <v>0.85</v>
          </cell>
          <cell r="O277">
            <v>0.08</v>
          </cell>
          <cell r="P277">
            <v>7.0000000000000007E-2</v>
          </cell>
          <cell r="BW277">
            <v>0</v>
          </cell>
          <cell r="BX277">
            <v>61.790892661318907</v>
          </cell>
          <cell r="CG277">
            <v>0.73483866010227183</v>
          </cell>
          <cell r="CH277">
            <v>0.30252641308023087</v>
          </cell>
        </row>
        <row r="278">
          <cell r="A278">
            <v>810321</v>
          </cell>
          <cell r="B278" t="str">
            <v>Cedi Tonalá</v>
          </cell>
          <cell r="C278" t="str">
            <v>Occidente</v>
          </cell>
          <cell r="D278" t="str">
            <v>Favorita</v>
          </cell>
          <cell r="N278">
            <v>0.85</v>
          </cell>
          <cell r="O278">
            <v>0.08</v>
          </cell>
          <cell r="P278">
            <v>7.0000000000000007E-2</v>
          </cell>
          <cell r="BW278">
            <v>0</v>
          </cell>
          <cell r="BX278">
            <v>29.355906504456328</v>
          </cell>
          <cell r="CG278">
            <v>0.73415615532954481</v>
          </cell>
          <cell r="CH278">
            <v>0.63213168002775533</v>
          </cell>
        </row>
        <row r="279">
          <cell r="A279">
            <v>503302</v>
          </cell>
          <cell r="B279" t="str">
            <v>Sucursal Venadillo</v>
          </cell>
          <cell r="C279" t="str">
            <v>Pacifico</v>
          </cell>
          <cell r="D279" t="str">
            <v>Mazatlán</v>
          </cell>
          <cell r="N279">
            <v>0.85</v>
          </cell>
          <cell r="O279">
            <v>0.08</v>
          </cell>
          <cell r="P279">
            <v>7.0000000000000007E-2</v>
          </cell>
          <cell r="BW279">
            <v>0</v>
          </cell>
          <cell r="BX279">
            <v>25.5128328057041</v>
          </cell>
          <cell r="CG279">
            <v>0.73357328147727308</v>
          </cell>
          <cell r="CH279">
            <v>0.41060524061261816</v>
          </cell>
        </row>
        <row r="280">
          <cell r="A280">
            <v>931413</v>
          </cell>
          <cell r="B280" t="str">
            <v>Planta Guadiana</v>
          </cell>
          <cell r="C280" t="str">
            <v>Norte</v>
          </cell>
          <cell r="D280" t="str">
            <v>Guadiana</v>
          </cell>
          <cell r="N280">
            <v>0.85</v>
          </cell>
          <cell r="O280">
            <v>0.08</v>
          </cell>
          <cell r="P280">
            <v>7.0000000000000007E-2</v>
          </cell>
          <cell r="BW280">
            <v>0</v>
          </cell>
          <cell r="BX280">
            <v>48.99957881860368</v>
          </cell>
          <cell r="CG280">
            <v>0.73348026749999939</v>
          </cell>
          <cell r="CH280">
            <v>0.33434270378484926</v>
          </cell>
        </row>
        <row r="281">
          <cell r="A281">
            <v>916348</v>
          </cell>
          <cell r="B281" t="str">
            <v>Planta San Luis</v>
          </cell>
          <cell r="C281" t="str">
            <v>Occidente</v>
          </cell>
          <cell r="D281" t="str">
            <v>San Luis</v>
          </cell>
          <cell r="N281">
            <v>0.85</v>
          </cell>
          <cell r="O281">
            <v>0.08</v>
          </cell>
          <cell r="P281">
            <v>7.0000000000000007E-2</v>
          </cell>
          <cell r="BW281">
            <v>0</v>
          </cell>
          <cell r="BX281">
            <v>43.233481354723814</v>
          </cell>
          <cell r="CG281">
            <v>0.73311976738636464</v>
          </cell>
          <cell r="CH281">
            <v>0.48942236753977009</v>
          </cell>
        </row>
        <row r="282">
          <cell r="A282">
            <v>820359</v>
          </cell>
          <cell r="B282" t="str">
            <v>Suc. Belenes</v>
          </cell>
          <cell r="C282" t="str">
            <v>Occidente</v>
          </cell>
          <cell r="D282" t="str">
            <v>Zapopan</v>
          </cell>
          <cell r="N282">
            <v>0.85</v>
          </cell>
          <cell r="O282">
            <v>0.08</v>
          </cell>
          <cell r="P282">
            <v>7.0000000000000007E-2</v>
          </cell>
          <cell r="BW282">
            <v>0</v>
          </cell>
          <cell r="BX282">
            <v>70.333801715686192</v>
          </cell>
          <cell r="CG282">
            <v>0.73245540695727274</v>
          </cell>
          <cell r="CH282">
            <v>0.21246210131413917</v>
          </cell>
        </row>
        <row r="283">
          <cell r="A283">
            <v>931402</v>
          </cell>
          <cell r="B283" t="str">
            <v>Planta Guadiana</v>
          </cell>
          <cell r="C283" t="str">
            <v>Norte</v>
          </cell>
          <cell r="D283" t="str">
            <v>Guadiana</v>
          </cell>
          <cell r="N283">
            <v>0.85</v>
          </cell>
          <cell r="O283">
            <v>0.08</v>
          </cell>
          <cell r="P283">
            <v>7.0000000000000007E-2</v>
          </cell>
          <cell r="BW283">
            <v>0</v>
          </cell>
          <cell r="BX283">
            <v>50.032554424664291</v>
          </cell>
          <cell r="CG283">
            <v>0.732430008409091</v>
          </cell>
          <cell r="CH283">
            <v>0.32030977196043425</v>
          </cell>
        </row>
        <row r="284">
          <cell r="A284">
            <v>809357</v>
          </cell>
          <cell r="B284" t="str">
            <v>Suc. Santa Maria</v>
          </cell>
          <cell r="C284" t="str">
            <v>Occidente</v>
          </cell>
          <cell r="D284" t="str">
            <v>Favorita</v>
          </cell>
          <cell r="N284">
            <v>0.85</v>
          </cell>
          <cell r="O284">
            <v>0.08</v>
          </cell>
          <cell r="P284">
            <v>7.0000000000000007E-2</v>
          </cell>
          <cell r="BW284">
            <v>0</v>
          </cell>
          <cell r="BX284">
            <v>39.20543750267386</v>
          </cell>
          <cell r="CG284">
            <v>0.73205627727272715</v>
          </cell>
          <cell r="CH284">
            <v>0.15768711941564337</v>
          </cell>
        </row>
        <row r="285">
          <cell r="A285">
            <v>810348</v>
          </cell>
          <cell r="B285" t="str">
            <v>Cedi Tonalá</v>
          </cell>
          <cell r="C285" t="str">
            <v>Occidente</v>
          </cell>
          <cell r="D285" t="str">
            <v>Favorita</v>
          </cell>
          <cell r="N285">
            <v>0.85</v>
          </cell>
          <cell r="O285">
            <v>0.08</v>
          </cell>
          <cell r="P285">
            <v>7.0000000000000007E-2</v>
          </cell>
          <cell r="BW285">
            <v>0</v>
          </cell>
          <cell r="BX285">
            <v>60.503302714794955</v>
          </cell>
          <cell r="CG285">
            <v>0.73198921878409118</v>
          </cell>
          <cell r="CH285">
            <v>0.31203096947982945</v>
          </cell>
        </row>
        <row r="286">
          <cell r="A286">
            <v>503304</v>
          </cell>
          <cell r="B286" t="str">
            <v>Sucursal Venadillo</v>
          </cell>
          <cell r="C286" t="str">
            <v>Pacifico</v>
          </cell>
          <cell r="D286" t="str">
            <v>Mazatlán</v>
          </cell>
          <cell r="N286">
            <v>0.85</v>
          </cell>
          <cell r="O286">
            <v>0.08</v>
          </cell>
          <cell r="P286">
            <v>7.0000000000000007E-2</v>
          </cell>
          <cell r="BW286">
            <v>0</v>
          </cell>
          <cell r="BX286">
            <v>18.350103587344076</v>
          </cell>
          <cell r="CG286">
            <v>0.7310208622500004</v>
          </cell>
          <cell r="CH286">
            <v>0.55332573784480021</v>
          </cell>
        </row>
        <row r="287">
          <cell r="A287">
            <v>806402</v>
          </cell>
          <cell r="B287" t="str">
            <v>Suc. Tecomán</v>
          </cell>
          <cell r="C287" t="str">
            <v>Occidente</v>
          </cell>
          <cell r="D287" t="str">
            <v>Favorita</v>
          </cell>
          <cell r="N287">
            <v>0.85</v>
          </cell>
          <cell r="O287">
            <v>0.08</v>
          </cell>
          <cell r="P287">
            <v>7.0000000000000007E-2</v>
          </cell>
          <cell r="BW287">
            <v>0</v>
          </cell>
          <cell r="BX287">
            <v>44.616717263358467</v>
          </cell>
          <cell r="CG287">
            <v>0.73084532420454529</v>
          </cell>
          <cell r="CH287">
            <v>0.19957965784428286</v>
          </cell>
        </row>
        <row r="288">
          <cell r="A288">
            <v>916410</v>
          </cell>
          <cell r="B288" t="str">
            <v>Planta San Luis</v>
          </cell>
          <cell r="C288" t="str">
            <v>Occidente</v>
          </cell>
          <cell r="D288" t="str">
            <v>San Luis</v>
          </cell>
          <cell r="N288">
            <v>0.85</v>
          </cell>
          <cell r="O288">
            <v>0.08</v>
          </cell>
          <cell r="P288">
            <v>7.0000000000000007E-2</v>
          </cell>
          <cell r="BW288">
            <v>0</v>
          </cell>
          <cell r="BX288">
            <v>49.582695436720066</v>
          </cell>
          <cell r="CG288">
            <v>0.73026584805681871</v>
          </cell>
          <cell r="CH288">
            <v>0.42111198850063025</v>
          </cell>
        </row>
        <row r="289">
          <cell r="A289">
            <v>820426</v>
          </cell>
          <cell r="B289" t="str">
            <v>Suc. Belenes</v>
          </cell>
          <cell r="C289" t="str">
            <v>Occidente</v>
          </cell>
          <cell r="D289" t="str">
            <v>Zapopan</v>
          </cell>
          <cell r="N289">
            <v>0.85</v>
          </cell>
          <cell r="O289">
            <v>0.08</v>
          </cell>
          <cell r="P289">
            <v>7.0000000000000007E-2</v>
          </cell>
          <cell r="BW289">
            <v>0</v>
          </cell>
          <cell r="BX289">
            <v>39.532673819073146</v>
          </cell>
          <cell r="CG289">
            <v>0.73025380453295385</v>
          </cell>
          <cell r="CH289">
            <v>0.15298120652841335</v>
          </cell>
        </row>
        <row r="290">
          <cell r="A290">
            <v>820434</v>
          </cell>
          <cell r="B290" t="str">
            <v>Suc. Belenes</v>
          </cell>
          <cell r="C290" t="str">
            <v>Occidente</v>
          </cell>
          <cell r="D290" t="str">
            <v>Zapopan</v>
          </cell>
          <cell r="N290">
            <v>0.85</v>
          </cell>
          <cell r="O290">
            <v>0.08</v>
          </cell>
          <cell r="P290">
            <v>7.0000000000000007E-2</v>
          </cell>
          <cell r="BW290">
            <v>0</v>
          </cell>
          <cell r="BX290">
            <v>43.531787454545444</v>
          </cell>
          <cell r="CG290">
            <v>0.72908805732954507</v>
          </cell>
          <cell r="CH290">
            <v>0.11134815271402004</v>
          </cell>
        </row>
        <row r="291">
          <cell r="A291">
            <v>802342</v>
          </cell>
          <cell r="B291" t="str">
            <v>Suc. Alamo</v>
          </cell>
          <cell r="C291" t="str">
            <v>Occidente</v>
          </cell>
          <cell r="D291" t="str">
            <v>Favorita</v>
          </cell>
          <cell r="N291">
            <v>0.85</v>
          </cell>
          <cell r="O291">
            <v>0.08</v>
          </cell>
          <cell r="P291">
            <v>7.0000000000000007E-2</v>
          </cell>
          <cell r="BW291">
            <v>0</v>
          </cell>
          <cell r="BX291">
            <v>68.918694029411824</v>
          </cell>
          <cell r="CG291">
            <v>0.72653820750000031</v>
          </cell>
          <cell r="CH291">
            <v>0.21937464249162128</v>
          </cell>
        </row>
        <row r="292">
          <cell r="A292">
            <v>819340</v>
          </cell>
          <cell r="B292" t="str">
            <v>Suc. Huentitán</v>
          </cell>
          <cell r="C292" t="str">
            <v>Occidente</v>
          </cell>
          <cell r="D292" t="str">
            <v>Zapopan</v>
          </cell>
          <cell r="N292">
            <v>0.85</v>
          </cell>
          <cell r="O292">
            <v>0.08</v>
          </cell>
          <cell r="P292">
            <v>7.0000000000000007E-2</v>
          </cell>
          <cell r="BW292">
            <v>0</v>
          </cell>
          <cell r="BX292">
            <v>57.529620103386897</v>
          </cell>
          <cell r="CG292">
            <v>0.72552915582954547</v>
          </cell>
          <cell r="CH292">
            <v>0.33413480553304514</v>
          </cell>
        </row>
        <row r="293">
          <cell r="A293">
            <v>809359</v>
          </cell>
          <cell r="B293" t="str">
            <v>Suc. Santa Maria</v>
          </cell>
          <cell r="C293" t="str">
            <v>Occidente</v>
          </cell>
          <cell r="D293" t="str">
            <v>Favorita</v>
          </cell>
          <cell r="N293">
            <v>0.85</v>
          </cell>
          <cell r="O293">
            <v>0.08</v>
          </cell>
          <cell r="P293">
            <v>7.0000000000000007E-2</v>
          </cell>
          <cell r="BW293">
            <v>0</v>
          </cell>
          <cell r="BX293">
            <v>69.201140239750586</v>
          </cell>
          <cell r="CG293">
            <v>0.72451074436363627</v>
          </cell>
          <cell r="CH293">
            <v>0.21392516811276518</v>
          </cell>
        </row>
        <row r="294">
          <cell r="A294">
            <v>916409</v>
          </cell>
          <cell r="B294" t="str">
            <v>Planta San Luis</v>
          </cell>
          <cell r="C294" t="str">
            <v>Occidente</v>
          </cell>
          <cell r="D294" t="str">
            <v>San Luis</v>
          </cell>
          <cell r="N294">
            <v>0.85</v>
          </cell>
          <cell r="O294">
            <v>0.08</v>
          </cell>
          <cell r="P294">
            <v>7.0000000000000007E-2</v>
          </cell>
          <cell r="BW294">
            <v>0</v>
          </cell>
          <cell r="BX294">
            <v>59.354325616755972</v>
          </cell>
          <cell r="CG294">
            <v>0.72446033505681851</v>
          </cell>
          <cell r="CH294">
            <v>0.31418766084814587</v>
          </cell>
        </row>
        <row r="295">
          <cell r="A295">
            <v>809350</v>
          </cell>
          <cell r="B295" t="str">
            <v>Suc. Santa Maria</v>
          </cell>
          <cell r="C295" t="str">
            <v>Occidente</v>
          </cell>
          <cell r="D295" t="str">
            <v>Favorita</v>
          </cell>
          <cell r="N295">
            <v>0.85</v>
          </cell>
          <cell r="O295">
            <v>0.08</v>
          </cell>
          <cell r="P295">
            <v>7.0000000000000007E-2</v>
          </cell>
          <cell r="BW295">
            <v>0</v>
          </cell>
          <cell r="BX295">
            <v>71.228792249554459</v>
          </cell>
          <cell r="CG295">
            <v>0.72443918423863674</v>
          </cell>
          <cell r="CH295">
            <v>0.1931752207063874</v>
          </cell>
        </row>
        <row r="296">
          <cell r="A296">
            <v>901414</v>
          </cell>
          <cell r="B296" t="str">
            <v>Planta Aguascalientes</v>
          </cell>
          <cell r="C296" t="str">
            <v>Occidente</v>
          </cell>
          <cell r="D296" t="str">
            <v>Aguascalientes</v>
          </cell>
          <cell r="N296">
            <v>0.85</v>
          </cell>
          <cell r="O296">
            <v>0.08</v>
          </cell>
          <cell r="P296">
            <v>7.0000000000000007E-2</v>
          </cell>
          <cell r="BW296">
            <v>0</v>
          </cell>
          <cell r="BX296">
            <v>48.352267015151469</v>
          </cell>
          <cell r="CG296">
            <v>0.72360703227272705</v>
          </cell>
          <cell r="CH296">
            <v>5.8062237065489901E-2</v>
          </cell>
        </row>
        <row r="297">
          <cell r="A297">
            <v>931431</v>
          </cell>
          <cell r="B297" t="str">
            <v>Planta Guadiana</v>
          </cell>
          <cell r="C297" t="str">
            <v>Norte</v>
          </cell>
          <cell r="D297" t="str">
            <v>Guadiana</v>
          </cell>
          <cell r="N297">
            <v>0.85</v>
          </cell>
          <cell r="O297">
            <v>0.08</v>
          </cell>
          <cell r="P297">
            <v>7.0000000000000007E-2</v>
          </cell>
          <cell r="BW297">
            <v>0</v>
          </cell>
          <cell r="BX297">
            <v>41.636195985270291</v>
          </cell>
          <cell r="CG297">
            <v>0.72291886568181662</v>
          </cell>
          <cell r="CH297">
            <v>0.43437396172645437</v>
          </cell>
        </row>
        <row r="298">
          <cell r="A298">
            <v>831400</v>
          </cell>
          <cell r="B298" t="str">
            <v>Planta Los Altos</v>
          </cell>
          <cell r="C298" t="str">
            <v>Occidente</v>
          </cell>
          <cell r="D298" t="str">
            <v>Los Altos</v>
          </cell>
          <cell r="N298">
            <v>0.85</v>
          </cell>
          <cell r="O298">
            <v>0.08</v>
          </cell>
          <cell r="P298">
            <v>7.0000000000000007E-2</v>
          </cell>
          <cell r="BW298">
            <v>0</v>
          </cell>
          <cell r="BX298">
            <v>59.759672148841354</v>
          </cell>
          <cell r="CG298">
            <v>0.72201530219318188</v>
          </cell>
          <cell r="CH298">
            <v>0.30695632868050898</v>
          </cell>
        </row>
        <row r="299">
          <cell r="A299">
            <v>816372</v>
          </cell>
          <cell r="B299" t="str">
            <v>Planta Zapopan</v>
          </cell>
          <cell r="C299" t="str">
            <v>Occidente</v>
          </cell>
          <cell r="D299" t="str">
            <v>Zapopan</v>
          </cell>
          <cell r="N299">
            <v>0.85</v>
          </cell>
          <cell r="O299">
            <v>0.08</v>
          </cell>
          <cell r="P299">
            <v>7.0000000000000007E-2</v>
          </cell>
          <cell r="BW299">
            <v>0</v>
          </cell>
          <cell r="BX299">
            <v>67.356683199643527</v>
          </cell>
          <cell r="CG299">
            <v>0.72181372555329526</v>
          </cell>
          <cell r="CH299">
            <v>0.22929682555646003</v>
          </cell>
        </row>
        <row r="300">
          <cell r="A300">
            <v>931404</v>
          </cell>
          <cell r="B300" t="str">
            <v>Planta Guadiana</v>
          </cell>
          <cell r="C300" t="str">
            <v>Norte</v>
          </cell>
          <cell r="D300" t="str">
            <v>Guadiana</v>
          </cell>
          <cell r="N300">
            <v>0.85</v>
          </cell>
          <cell r="O300">
            <v>0.08</v>
          </cell>
          <cell r="P300">
            <v>7.0000000000000007E-2</v>
          </cell>
          <cell r="BW300">
            <v>0</v>
          </cell>
          <cell r="BX300">
            <v>50.07651748527023</v>
          </cell>
          <cell r="CG300">
            <v>0.72116095295454496</v>
          </cell>
          <cell r="CH300">
            <v>0.31971253556041079</v>
          </cell>
        </row>
        <row r="301">
          <cell r="A301">
            <v>816346</v>
          </cell>
          <cell r="B301" t="str">
            <v>Planta Zapopan</v>
          </cell>
          <cell r="C301" t="str">
            <v>Occidente</v>
          </cell>
          <cell r="D301" t="str">
            <v>Zapopan</v>
          </cell>
          <cell r="N301">
            <v>0.85</v>
          </cell>
          <cell r="O301">
            <v>0.08</v>
          </cell>
          <cell r="P301">
            <v>7.0000000000000007E-2</v>
          </cell>
          <cell r="BW301">
            <v>0</v>
          </cell>
          <cell r="BX301">
            <v>65.288390729055322</v>
          </cell>
          <cell r="CG301">
            <v>0.72084270753409074</v>
          </cell>
          <cell r="CH301">
            <v>0.24913840260131764</v>
          </cell>
        </row>
        <row r="302">
          <cell r="A302">
            <v>916430</v>
          </cell>
          <cell r="B302" t="str">
            <v>Planta San Luis</v>
          </cell>
          <cell r="C302" t="str">
            <v>Occidente</v>
          </cell>
          <cell r="D302" t="str">
            <v>San Luis</v>
          </cell>
          <cell r="N302">
            <v>0.85</v>
          </cell>
          <cell r="O302">
            <v>0.08</v>
          </cell>
          <cell r="P302">
            <v>7.0000000000000007E-2</v>
          </cell>
          <cell r="BW302">
            <v>0</v>
          </cell>
          <cell r="BX302">
            <v>39.352791705882126</v>
          </cell>
          <cell r="CG302">
            <v>0.72031630817045333</v>
          </cell>
          <cell r="CH302">
            <v>0.51272124593217583</v>
          </cell>
        </row>
        <row r="303">
          <cell r="A303">
            <v>810346</v>
          </cell>
          <cell r="B303" t="str">
            <v>Cedi Tonalá</v>
          </cell>
          <cell r="C303" t="str">
            <v>Occidente</v>
          </cell>
          <cell r="D303" t="str">
            <v>Favorita</v>
          </cell>
          <cell r="N303">
            <v>0.85</v>
          </cell>
          <cell r="O303">
            <v>0.08</v>
          </cell>
          <cell r="P303">
            <v>7.0000000000000007E-2</v>
          </cell>
          <cell r="BW303">
            <v>0</v>
          </cell>
          <cell r="BX303">
            <v>50.777773722816526</v>
          </cell>
          <cell r="CG303">
            <v>0.71841127837500018</v>
          </cell>
          <cell r="CH303">
            <v>0.3938988968624087</v>
          </cell>
        </row>
        <row r="304">
          <cell r="A304">
            <v>901345</v>
          </cell>
          <cell r="B304" t="str">
            <v>Planta Aguascalientes</v>
          </cell>
          <cell r="C304" t="str">
            <v>Occidente</v>
          </cell>
          <cell r="D304" t="str">
            <v>Aguascalientes</v>
          </cell>
          <cell r="N304">
            <v>0.85</v>
          </cell>
          <cell r="O304">
            <v>0.08</v>
          </cell>
          <cell r="P304">
            <v>7.0000000000000007E-2</v>
          </cell>
          <cell r="BW304">
            <v>0</v>
          </cell>
          <cell r="BX304">
            <v>38.742092670231742</v>
          </cell>
          <cell r="CG304">
            <v>0.71617376250000009</v>
          </cell>
          <cell r="CH304">
            <v>0.15032042902666834</v>
          </cell>
        </row>
        <row r="305">
          <cell r="A305">
            <v>808300</v>
          </cell>
          <cell r="B305" t="str">
            <v>Suc. Cihuatlán</v>
          </cell>
          <cell r="C305" t="str">
            <v>Occidente</v>
          </cell>
          <cell r="D305" t="str">
            <v>Favorita</v>
          </cell>
          <cell r="N305">
            <v>0.85</v>
          </cell>
          <cell r="O305">
            <v>0.08</v>
          </cell>
          <cell r="P305">
            <v>7.0000000000000007E-2</v>
          </cell>
          <cell r="BW305">
            <v>0</v>
          </cell>
          <cell r="BX305">
            <v>0</v>
          </cell>
          <cell r="CG305">
            <v>0.71462969335227267</v>
          </cell>
          <cell r="CH305">
            <v>0.51629718056335971</v>
          </cell>
        </row>
        <row r="306">
          <cell r="A306">
            <v>820410</v>
          </cell>
          <cell r="B306" t="str">
            <v>Suc. Belenes</v>
          </cell>
          <cell r="C306" t="str">
            <v>Occidente</v>
          </cell>
          <cell r="D306" t="str">
            <v>Zapopan</v>
          </cell>
          <cell r="N306">
            <v>0.85</v>
          </cell>
          <cell r="O306">
            <v>0.08</v>
          </cell>
          <cell r="P306">
            <v>7.0000000000000007E-2</v>
          </cell>
          <cell r="BW306">
            <v>0</v>
          </cell>
          <cell r="BX306">
            <v>59.120955443850406</v>
          </cell>
          <cell r="CG306">
            <v>0.71395295737499942</v>
          </cell>
          <cell r="CH306">
            <v>0.30323745819929776</v>
          </cell>
        </row>
        <row r="307">
          <cell r="A307">
            <v>901412</v>
          </cell>
          <cell r="B307" t="str">
            <v>Planta Aguascalientes</v>
          </cell>
          <cell r="C307" t="str">
            <v>Occidente</v>
          </cell>
          <cell r="D307" t="str">
            <v>Aguascalientes</v>
          </cell>
          <cell r="N307">
            <v>0.85</v>
          </cell>
          <cell r="O307">
            <v>0.08</v>
          </cell>
          <cell r="P307">
            <v>7.0000000000000007E-2</v>
          </cell>
          <cell r="BW307">
            <v>0</v>
          </cell>
          <cell r="BX307">
            <v>67.088123455436744</v>
          </cell>
          <cell r="CG307">
            <v>0.71359984523863706</v>
          </cell>
          <cell r="CH307">
            <v>0.22161431635035522</v>
          </cell>
        </row>
        <row r="308">
          <cell r="A308">
            <v>809370</v>
          </cell>
          <cell r="B308" t="str">
            <v>Suc. Santa Maria</v>
          </cell>
          <cell r="C308" t="str">
            <v>Occidente</v>
          </cell>
          <cell r="D308" t="str">
            <v>Favorita</v>
          </cell>
          <cell r="N308">
            <v>0.85</v>
          </cell>
          <cell r="O308">
            <v>0.08</v>
          </cell>
          <cell r="P308">
            <v>7.0000000000000007E-2</v>
          </cell>
          <cell r="BW308">
            <v>0</v>
          </cell>
          <cell r="BX308">
            <v>72.459422956328126</v>
          </cell>
          <cell r="CG308">
            <v>0.71304150702272739</v>
          </cell>
          <cell r="CH308">
            <v>0.16617943469862631</v>
          </cell>
        </row>
        <row r="309">
          <cell r="A309">
            <v>809358</v>
          </cell>
          <cell r="B309" t="str">
            <v>Suc. Santa Maria</v>
          </cell>
          <cell r="C309" t="str">
            <v>Occidente</v>
          </cell>
          <cell r="D309" t="str">
            <v>Favorita</v>
          </cell>
          <cell r="N309">
            <v>0.85</v>
          </cell>
          <cell r="O309">
            <v>0.08</v>
          </cell>
          <cell r="P309">
            <v>7.0000000000000007E-2</v>
          </cell>
          <cell r="BW309">
            <v>0</v>
          </cell>
          <cell r="BX309">
            <v>63.293148102495451</v>
          </cell>
          <cell r="CG309">
            <v>0.71299700181818115</v>
          </cell>
          <cell r="CH309">
            <v>0.25951558748823667</v>
          </cell>
        </row>
        <row r="310">
          <cell r="A310">
            <v>916356</v>
          </cell>
          <cell r="B310" t="str">
            <v>Planta San Luis</v>
          </cell>
          <cell r="C310" t="str">
            <v>Occidente</v>
          </cell>
          <cell r="D310" t="str">
            <v>San Luis</v>
          </cell>
          <cell r="N310">
            <v>0.85</v>
          </cell>
          <cell r="O310">
            <v>0.08</v>
          </cell>
          <cell r="P310">
            <v>7.0000000000000007E-2</v>
          </cell>
          <cell r="BW310">
            <v>0</v>
          </cell>
          <cell r="BX310">
            <v>43.200860803030288</v>
          </cell>
          <cell r="CG310">
            <v>0.71239888277592434</v>
          </cell>
          <cell r="CH310">
            <v>0.4556139151246435</v>
          </cell>
        </row>
        <row r="311">
          <cell r="A311">
            <v>820356</v>
          </cell>
          <cell r="B311" t="str">
            <v>Suc. Belenes</v>
          </cell>
          <cell r="C311" t="str">
            <v>Occidente</v>
          </cell>
          <cell r="D311" t="str">
            <v>Zapopan</v>
          </cell>
          <cell r="N311">
            <v>0.85</v>
          </cell>
          <cell r="O311">
            <v>0.08</v>
          </cell>
          <cell r="P311">
            <v>7.0000000000000007E-2</v>
          </cell>
          <cell r="BW311">
            <v>0</v>
          </cell>
          <cell r="BX311">
            <v>65.198910037433492</v>
          </cell>
          <cell r="CG311">
            <v>0.71231076242693336</v>
          </cell>
          <cell r="CH311">
            <v>0.23922786200118659</v>
          </cell>
        </row>
        <row r="312">
          <cell r="A312">
            <v>712315</v>
          </cell>
          <cell r="B312" t="str">
            <v>Sucursal Santa Catarina</v>
          </cell>
          <cell r="C312" t="str">
            <v>Noreste</v>
          </cell>
          <cell r="D312" t="str">
            <v>Monterrey</v>
          </cell>
          <cell r="N312">
            <v>0.8</v>
          </cell>
          <cell r="O312">
            <v>0.12</v>
          </cell>
          <cell r="P312">
            <v>0.08</v>
          </cell>
          <cell r="BW312">
            <v>0</v>
          </cell>
          <cell r="BX312">
            <v>17.357329030724891</v>
          </cell>
          <cell r="CG312">
            <v>0.71214514731818168</v>
          </cell>
          <cell r="CH312">
            <v>0.76420138722248865</v>
          </cell>
        </row>
        <row r="313">
          <cell r="A313">
            <v>804374</v>
          </cell>
          <cell r="B313" t="str">
            <v>Suc. Toluquilla</v>
          </cell>
          <cell r="C313" t="str">
            <v>Occidente</v>
          </cell>
          <cell r="D313" t="str">
            <v>Favorita</v>
          </cell>
          <cell r="N313">
            <v>0.85</v>
          </cell>
          <cell r="O313">
            <v>0.08</v>
          </cell>
          <cell r="P313">
            <v>7.0000000000000007E-2</v>
          </cell>
          <cell r="BW313">
            <v>0</v>
          </cell>
          <cell r="BX313">
            <v>61.004973500891481</v>
          </cell>
          <cell r="CG313">
            <v>0.71091874278409095</v>
          </cell>
          <cell r="CH313">
            <v>0.28019301652804141</v>
          </cell>
        </row>
        <row r="314">
          <cell r="A314">
            <v>203311</v>
          </cell>
          <cell r="B314" t="str">
            <v>Planta Agua y Hielo</v>
          </cell>
          <cell r="C314" t="str">
            <v>Noreste</v>
          </cell>
          <cell r="D314" t="str">
            <v>Saltillo</v>
          </cell>
          <cell r="N314">
            <v>0.8</v>
          </cell>
          <cell r="O314">
            <v>0.12</v>
          </cell>
          <cell r="P314">
            <v>0.08</v>
          </cell>
          <cell r="BW314">
            <v>0</v>
          </cell>
          <cell r="BX314">
            <v>41.65847975488299</v>
          </cell>
          <cell r="CG314">
            <v>0.71049412073863583</v>
          </cell>
          <cell r="CH314">
            <v>0.29258904702205701</v>
          </cell>
        </row>
        <row r="315">
          <cell r="A315">
            <v>916415</v>
          </cell>
          <cell r="B315" t="str">
            <v>Planta San Luis</v>
          </cell>
          <cell r="C315" t="str">
            <v>Occidente</v>
          </cell>
          <cell r="D315" t="str">
            <v>San Luis</v>
          </cell>
          <cell r="N315">
            <v>0.85</v>
          </cell>
          <cell r="O315">
            <v>0.08</v>
          </cell>
          <cell r="P315">
            <v>7.0000000000000007E-2</v>
          </cell>
          <cell r="BW315">
            <v>0</v>
          </cell>
          <cell r="BX315">
            <v>48.136952376113989</v>
          </cell>
          <cell r="CG315">
            <v>0.71046029536363575</v>
          </cell>
          <cell r="CH315">
            <v>0.41072016473917422</v>
          </cell>
        </row>
        <row r="316">
          <cell r="A316">
            <v>820401</v>
          </cell>
          <cell r="B316" t="str">
            <v>Suc. Belenes</v>
          </cell>
          <cell r="C316" t="str">
            <v>Occidente</v>
          </cell>
          <cell r="D316" t="str">
            <v>Zapopan</v>
          </cell>
          <cell r="N316">
            <v>0.85</v>
          </cell>
          <cell r="O316">
            <v>0.08</v>
          </cell>
          <cell r="P316">
            <v>7.0000000000000007E-2</v>
          </cell>
          <cell r="BW316">
            <v>0</v>
          </cell>
          <cell r="BX316">
            <v>61.175055056149702</v>
          </cell>
          <cell r="CG316">
            <v>0.709920743318181</v>
          </cell>
          <cell r="CH316">
            <v>0.27719420386031723</v>
          </cell>
        </row>
        <row r="317">
          <cell r="A317">
            <v>931415</v>
          </cell>
          <cell r="B317" t="str">
            <v>Planta Guadiana</v>
          </cell>
          <cell r="C317" t="str">
            <v>Norte</v>
          </cell>
          <cell r="D317" t="str">
            <v>Guadiana</v>
          </cell>
          <cell r="N317">
            <v>0.85</v>
          </cell>
          <cell r="O317">
            <v>0.08</v>
          </cell>
          <cell r="P317">
            <v>7.0000000000000007E-2</v>
          </cell>
          <cell r="BW317">
            <v>0</v>
          </cell>
          <cell r="BX317">
            <v>40.321936394361153</v>
          </cell>
          <cell r="CG317">
            <v>0.70962604159090903</v>
          </cell>
          <cell r="CH317">
            <v>0.45222812510708443</v>
          </cell>
        </row>
        <row r="318">
          <cell r="A318">
            <v>946406</v>
          </cell>
          <cell r="B318" t="str">
            <v>Planta Zacatecas</v>
          </cell>
          <cell r="C318" t="str">
            <v>Norte</v>
          </cell>
          <cell r="D318" t="str">
            <v>Zacatecas</v>
          </cell>
          <cell r="N318">
            <v>0.85</v>
          </cell>
          <cell r="O318">
            <v>0.08</v>
          </cell>
          <cell r="P318">
            <v>7.0000000000000007E-2</v>
          </cell>
          <cell r="BW318">
            <v>0</v>
          </cell>
          <cell r="BX318">
            <v>67.940006654532553</v>
          </cell>
          <cell r="CG318">
            <v>0.69257291493506479</v>
          </cell>
          <cell r="CH318">
            <v>0.2088895066643483</v>
          </cell>
        </row>
        <row r="319">
          <cell r="A319">
            <v>804372</v>
          </cell>
          <cell r="B319" t="str">
            <v>Suc. Toluquilla</v>
          </cell>
          <cell r="C319" t="str">
            <v>Occidente</v>
          </cell>
          <cell r="D319" t="str">
            <v>Favorita</v>
          </cell>
          <cell r="N319">
            <v>0.85</v>
          </cell>
          <cell r="O319">
            <v>0.08</v>
          </cell>
          <cell r="P319">
            <v>7.0000000000000007E-2</v>
          </cell>
          <cell r="BW319">
            <v>0</v>
          </cell>
          <cell r="BX319">
            <v>52.281154391265503</v>
          </cell>
          <cell r="CG319">
            <v>0.70914245420454491</v>
          </cell>
          <cell r="CH319">
            <v>0.36682445378448103</v>
          </cell>
        </row>
        <row r="320">
          <cell r="A320">
            <v>803419</v>
          </cell>
          <cell r="B320" t="str">
            <v>Suc. San Rafael</v>
          </cell>
          <cell r="C320" t="str">
            <v>Occidente</v>
          </cell>
          <cell r="D320" t="str">
            <v>Favorita</v>
          </cell>
          <cell r="N320">
            <v>0.85</v>
          </cell>
          <cell r="O320">
            <v>0.08</v>
          </cell>
          <cell r="P320">
            <v>7.0000000000000007E-2</v>
          </cell>
          <cell r="BW320">
            <v>0</v>
          </cell>
          <cell r="BX320">
            <v>44.33840858537647</v>
          </cell>
          <cell r="CG320">
            <v>0.70232848875000042</v>
          </cell>
          <cell r="CH320">
            <v>0.34104308165072839</v>
          </cell>
        </row>
        <row r="321">
          <cell r="A321">
            <v>809352</v>
          </cell>
          <cell r="B321" t="str">
            <v>Suc. Santa Maria</v>
          </cell>
          <cell r="C321" t="str">
            <v>Occidente</v>
          </cell>
          <cell r="D321" t="str">
            <v>Favorita</v>
          </cell>
          <cell r="N321">
            <v>0.85</v>
          </cell>
          <cell r="O321">
            <v>0.08</v>
          </cell>
          <cell r="P321">
            <v>7.0000000000000007E-2</v>
          </cell>
          <cell r="BW321">
            <v>0</v>
          </cell>
          <cell r="BX321">
            <v>52.905197507129827</v>
          </cell>
          <cell r="CG321">
            <v>0.70225557340908962</v>
          </cell>
          <cell r="CH321">
            <v>0.35173067946712444</v>
          </cell>
        </row>
        <row r="322">
          <cell r="A322">
            <v>931419</v>
          </cell>
          <cell r="B322" t="str">
            <v>Planta Guadiana</v>
          </cell>
          <cell r="C322" t="str">
            <v>Norte</v>
          </cell>
          <cell r="D322" t="str">
            <v>Guadiana</v>
          </cell>
          <cell r="N322">
            <v>0.85</v>
          </cell>
          <cell r="O322">
            <v>0.08</v>
          </cell>
          <cell r="P322">
            <v>7.0000000000000007E-2</v>
          </cell>
          <cell r="BW322">
            <v>0</v>
          </cell>
          <cell r="BX322">
            <v>50.537211606482309</v>
          </cell>
          <cell r="CG322">
            <v>0.70221348613636336</v>
          </cell>
          <cell r="CH322">
            <v>0.31345402455884641</v>
          </cell>
        </row>
        <row r="323">
          <cell r="A323">
            <v>703301</v>
          </cell>
          <cell r="B323" t="str">
            <v>Sucursal Universidad</v>
          </cell>
          <cell r="C323" t="str">
            <v>Noreste</v>
          </cell>
          <cell r="D323" t="str">
            <v>Monterrey</v>
          </cell>
          <cell r="N323">
            <v>0.8</v>
          </cell>
          <cell r="O323">
            <v>0.12</v>
          </cell>
          <cell r="P323">
            <v>0.08</v>
          </cell>
          <cell r="BW323">
            <v>0</v>
          </cell>
          <cell r="BX323">
            <v>0</v>
          </cell>
          <cell r="CG323">
            <v>0.70185837845454468</v>
          </cell>
          <cell r="CH323">
            <v>0.74448126089954492</v>
          </cell>
        </row>
        <row r="324">
          <cell r="A324">
            <v>810322</v>
          </cell>
          <cell r="B324" t="str">
            <v>Cedi Tonalá</v>
          </cell>
          <cell r="C324" t="str">
            <v>Occidente</v>
          </cell>
          <cell r="D324" t="str">
            <v>Favorita</v>
          </cell>
          <cell r="N324">
            <v>0.85</v>
          </cell>
          <cell r="O324">
            <v>0.08</v>
          </cell>
          <cell r="P324">
            <v>7.0000000000000007E-2</v>
          </cell>
          <cell r="BW324">
            <v>0</v>
          </cell>
          <cell r="BX324">
            <v>57.936666694296036</v>
          </cell>
          <cell r="CG324">
            <v>0.70179257065909018</v>
          </cell>
          <cell r="CH324">
            <v>0.29987916064071013</v>
          </cell>
        </row>
        <row r="325">
          <cell r="A325">
            <v>820432</v>
          </cell>
          <cell r="B325" t="str">
            <v>Suc. Belenes</v>
          </cell>
          <cell r="C325" t="str">
            <v>Occidente</v>
          </cell>
          <cell r="D325" t="str">
            <v>Zapopan</v>
          </cell>
          <cell r="N325">
            <v>0.85</v>
          </cell>
          <cell r="O325">
            <v>0.08</v>
          </cell>
          <cell r="P325">
            <v>7.0000000000000007E-2</v>
          </cell>
          <cell r="BW325">
            <v>0</v>
          </cell>
          <cell r="BX325">
            <v>48.346919297682639</v>
          </cell>
          <cell r="CG325">
            <v>0.70121844879545359</v>
          </cell>
          <cell r="CH325">
            <v>0.39685817112286287</v>
          </cell>
        </row>
        <row r="326">
          <cell r="A326">
            <v>916353</v>
          </cell>
          <cell r="B326" t="str">
            <v>Planta San Luis</v>
          </cell>
          <cell r="C326" t="str">
            <v>Occidente</v>
          </cell>
          <cell r="D326" t="str">
            <v>San Luis</v>
          </cell>
          <cell r="N326">
            <v>0.85</v>
          </cell>
          <cell r="O326">
            <v>0.08</v>
          </cell>
          <cell r="P326">
            <v>7.0000000000000007E-2</v>
          </cell>
          <cell r="BW326">
            <v>0</v>
          </cell>
          <cell r="BX326">
            <v>52.181982747771912</v>
          </cell>
          <cell r="CG326">
            <v>0.70014672644318254</v>
          </cell>
          <cell r="CH326">
            <v>0.35642437252886305</v>
          </cell>
        </row>
        <row r="327">
          <cell r="A327">
            <v>203318</v>
          </cell>
          <cell r="B327" t="str">
            <v>Planta Agua y Hielo</v>
          </cell>
          <cell r="C327" t="str">
            <v>Noreste</v>
          </cell>
          <cell r="D327" t="str">
            <v>Saltillo</v>
          </cell>
          <cell r="N327">
            <v>0.8</v>
          </cell>
          <cell r="O327">
            <v>0.12</v>
          </cell>
          <cell r="P327">
            <v>0.08</v>
          </cell>
          <cell r="BW327">
            <v>0</v>
          </cell>
          <cell r="BX327">
            <v>33.144053921549542</v>
          </cell>
          <cell r="CG327">
            <v>0.69824575227272723</v>
          </cell>
          <cell r="CH327">
            <v>0.43717421019312597</v>
          </cell>
        </row>
        <row r="328">
          <cell r="A328">
            <v>809342</v>
          </cell>
          <cell r="B328" t="str">
            <v>Suc. Santa Maria</v>
          </cell>
          <cell r="C328" t="str">
            <v>Occidente</v>
          </cell>
          <cell r="D328" t="str">
            <v>Favorita</v>
          </cell>
          <cell r="N328">
            <v>0.85</v>
          </cell>
          <cell r="O328">
            <v>0.08</v>
          </cell>
          <cell r="P328">
            <v>7.0000000000000007E-2</v>
          </cell>
          <cell r="BW328">
            <v>0</v>
          </cell>
          <cell r="BX328">
            <v>65.717452311051801</v>
          </cell>
          <cell r="CG328">
            <v>0.69769544369318226</v>
          </cell>
          <cell r="CH328">
            <v>0.21540597007608733</v>
          </cell>
        </row>
        <row r="329">
          <cell r="A329">
            <v>809328</v>
          </cell>
          <cell r="B329" t="str">
            <v>Suc. Santa Maria</v>
          </cell>
          <cell r="C329" t="str">
            <v>Occidente</v>
          </cell>
          <cell r="D329" t="str">
            <v>Favorita</v>
          </cell>
          <cell r="N329">
            <v>0.85</v>
          </cell>
          <cell r="O329">
            <v>0.08</v>
          </cell>
          <cell r="P329">
            <v>7.0000000000000007E-2</v>
          </cell>
          <cell r="BW329">
            <v>0</v>
          </cell>
          <cell r="BX329">
            <v>44.072340098930425</v>
          </cell>
          <cell r="CG329">
            <v>0.69529215620454565</v>
          </cell>
          <cell r="CH329">
            <v>0.43289353185723406</v>
          </cell>
        </row>
        <row r="330">
          <cell r="A330">
            <v>821402</v>
          </cell>
          <cell r="B330" t="str">
            <v>Suc. Ameca</v>
          </cell>
          <cell r="C330" t="str">
            <v>Occidente</v>
          </cell>
          <cell r="D330" t="str">
            <v>Zapopan</v>
          </cell>
          <cell r="N330">
            <v>0.85</v>
          </cell>
          <cell r="O330">
            <v>0.08</v>
          </cell>
          <cell r="P330">
            <v>7.0000000000000007E-2</v>
          </cell>
          <cell r="BW330">
            <v>0</v>
          </cell>
          <cell r="BX330">
            <v>52.333239892156882</v>
          </cell>
          <cell r="CG330">
            <v>0.69460219881818153</v>
          </cell>
          <cell r="CH330">
            <v>0.34785037227347593</v>
          </cell>
        </row>
        <row r="331">
          <cell r="A331">
            <v>819345</v>
          </cell>
          <cell r="B331" t="str">
            <v>Suc. Huentitán</v>
          </cell>
          <cell r="C331" t="str">
            <v>Occidente</v>
          </cell>
          <cell r="D331" t="str">
            <v>Zapopan</v>
          </cell>
          <cell r="N331">
            <v>0.85</v>
          </cell>
          <cell r="O331">
            <v>0.08</v>
          </cell>
          <cell r="P331">
            <v>7.0000000000000007E-2</v>
          </cell>
          <cell r="BW331">
            <v>0</v>
          </cell>
          <cell r="BX331">
            <v>56.631326959893073</v>
          </cell>
          <cell r="CG331">
            <v>0.6929651237727269</v>
          </cell>
          <cell r="CH331">
            <v>0.30198184160609975</v>
          </cell>
        </row>
        <row r="332">
          <cell r="A332">
            <v>802341</v>
          </cell>
          <cell r="B332" t="str">
            <v>Suc. Alamo</v>
          </cell>
          <cell r="C332" t="str">
            <v>Occidente</v>
          </cell>
          <cell r="D332" t="str">
            <v>Favorita</v>
          </cell>
          <cell r="N332">
            <v>0.85</v>
          </cell>
          <cell r="O332">
            <v>0.08</v>
          </cell>
          <cell r="P332">
            <v>7.0000000000000007E-2</v>
          </cell>
          <cell r="BW332">
            <v>0</v>
          </cell>
          <cell r="BX332">
            <v>67.474321901960792</v>
          </cell>
          <cell r="CG332">
            <v>0.69259243295454531</v>
          </cell>
          <cell r="CH332">
            <v>0.19103287104161551</v>
          </cell>
        </row>
        <row r="333">
          <cell r="A333">
            <v>803345</v>
          </cell>
          <cell r="B333" t="str">
            <v>Suc. San Rafael</v>
          </cell>
          <cell r="C333" t="str">
            <v>Occidente</v>
          </cell>
          <cell r="D333" t="str">
            <v>Favorita</v>
          </cell>
          <cell r="N333">
            <v>0.85</v>
          </cell>
          <cell r="O333">
            <v>0.08</v>
          </cell>
          <cell r="P333">
            <v>7.0000000000000007E-2</v>
          </cell>
          <cell r="BW333">
            <v>0</v>
          </cell>
          <cell r="BX333">
            <v>66.312752831550739</v>
          </cell>
          <cell r="CG333">
            <v>0.6919332181363631</v>
          </cell>
          <cell r="CH333">
            <v>0.20203160024659755</v>
          </cell>
        </row>
        <row r="334">
          <cell r="A334">
            <v>203301</v>
          </cell>
          <cell r="B334" t="str">
            <v>Planta Agua y Hielo</v>
          </cell>
          <cell r="C334" t="str">
            <v>Noreste</v>
          </cell>
          <cell r="D334" t="str">
            <v>Saltillo</v>
          </cell>
          <cell r="N334">
            <v>0.8</v>
          </cell>
          <cell r="O334">
            <v>0.12</v>
          </cell>
          <cell r="P334">
            <v>0.08</v>
          </cell>
          <cell r="BW334">
            <v>0</v>
          </cell>
          <cell r="BX334">
            <v>45.842632163973846</v>
          </cell>
          <cell r="CG334">
            <v>0.69190544147727184</v>
          </cell>
          <cell r="CH334">
            <v>0.22153712048666835</v>
          </cell>
        </row>
        <row r="335">
          <cell r="A335">
            <v>810328</v>
          </cell>
          <cell r="B335" t="str">
            <v>Cedi Tonalá</v>
          </cell>
          <cell r="C335" t="str">
            <v>Occidente</v>
          </cell>
          <cell r="D335" t="str">
            <v>Favorita</v>
          </cell>
          <cell r="N335">
            <v>0.85</v>
          </cell>
          <cell r="O335">
            <v>0.08</v>
          </cell>
          <cell r="P335">
            <v>7.0000000000000007E-2</v>
          </cell>
          <cell r="BW335">
            <v>0</v>
          </cell>
          <cell r="BX335">
            <v>61.760162867201458</v>
          </cell>
          <cell r="CG335">
            <v>0.69101280905522722</v>
          </cell>
          <cell r="CH335">
            <v>0.24724918225971301</v>
          </cell>
        </row>
        <row r="336">
          <cell r="A336">
            <v>820352</v>
          </cell>
          <cell r="B336" t="str">
            <v>Suc. Belenes</v>
          </cell>
          <cell r="C336" t="str">
            <v>Occidente</v>
          </cell>
          <cell r="D336" t="str">
            <v>Zapopan</v>
          </cell>
          <cell r="N336">
            <v>0.85</v>
          </cell>
          <cell r="O336">
            <v>0.08</v>
          </cell>
          <cell r="P336">
            <v>7.0000000000000007E-2</v>
          </cell>
          <cell r="BW336">
            <v>0</v>
          </cell>
          <cell r="BX336">
            <v>64.403013290552735</v>
          </cell>
          <cell r="CG336">
            <v>0.69058843588636332</v>
          </cell>
          <cell r="CH336">
            <v>0.21978362958571027</v>
          </cell>
        </row>
        <row r="337">
          <cell r="A337">
            <v>809362</v>
          </cell>
          <cell r="B337" t="str">
            <v>Suc. Santa Maria</v>
          </cell>
          <cell r="C337" t="str">
            <v>Occidente</v>
          </cell>
          <cell r="D337" t="str">
            <v>Favorita</v>
          </cell>
          <cell r="N337">
            <v>0.85</v>
          </cell>
          <cell r="O337">
            <v>0.08</v>
          </cell>
          <cell r="P337">
            <v>7.0000000000000007E-2</v>
          </cell>
          <cell r="BW337">
            <v>0</v>
          </cell>
          <cell r="BX337">
            <v>59.569981169340643</v>
          </cell>
          <cell r="CG337">
            <v>0.68985112540909088</v>
          </cell>
          <cell r="CH337">
            <v>0.26809080714811517</v>
          </cell>
        </row>
        <row r="338">
          <cell r="A338">
            <v>203310</v>
          </cell>
          <cell r="B338" t="str">
            <v>Planta Agua y Hielo</v>
          </cell>
          <cell r="C338" t="str">
            <v>Noreste</v>
          </cell>
          <cell r="D338" t="str">
            <v>Saltillo</v>
          </cell>
          <cell r="N338">
            <v>0.8</v>
          </cell>
          <cell r="O338">
            <v>0.12</v>
          </cell>
          <cell r="P338">
            <v>0.08</v>
          </cell>
          <cell r="BW338">
            <v>0</v>
          </cell>
          <cell r="BX338">
            <v>31.506108906398058</v>
          </cell>
          <cell r="CG338">
            <v>0.68919639545454492</v>
          </cell>
          <cell r="CH338">
            <v>0.46498848116296287</v>
          </cell>
        </row>
        <row r="339">
          <cell r="A339">
            <v>208300</v>
          </cell>
          <cell r="B339" t="str">
            <v>Suc. Acuña</v>
          </cell>
          <cell r="C339" t="str">
            <v>Noreste</v>
          </cell>
          <cell r="D339" t="str">
            <v>Piedras Negras</v>
          </cell>
          <cell r="N339">
            <v>0.8</v>
          </cell>
          <cell r="O339">
            <v>0.12</v>
          </cell>
          <cell r="P339">
            <v>0.08</v>
          </cell>
          <cell r="BW339">
            <v>0</v>
          </cell>
          <cell r="BX339">
            <v>25.070018121633915</v>
          </cell>
          <cell r="CG339">
            <v>0.68870526136363464</v>
          </cell>
          <cell r="CH339">
            <v>0.65942481790117524</v>
          </cell>
        </row>
        <row r="340">
          <cell r="A340">
            <v>809346</v>
          </cell>
          <cell r="B340" t="str">
            <v>Suc. Santa Maria</v>
          </cell>
          <cell r="C340" t="str">
            <v>Occidente</v>
          </cell>
          <cell r="D340" t="str">
            <v>Favorita</v>
          </cell>
          <cell r="N340">
            <v>0.85</v>
          </cell>
          <cell r="O340">
            <v>0.08</v>
          </cell>
          <cell r="P340">
            <v>7.0000000000000007E-2</v>
          </cell>
          <cell r="BW340">
            <v>0</v>
          </cell>
          <cell r="BX340">
            <v>59.679594936720193</v>
          </cell>
          <cell r="CG340">
            <v>0.68806287398863575</v>
          </cell>
          <cell r="CH340">
            <v>0.26470569905435859</v>
          </cell>
        </row>
        <row r="341">
          <cell r="A341">
            <v>931420</v>
          </cell>
          <cell r="B341" t="str">
            <v>Planta Guadiana</v>
          </cell>
          <cell r="C341" t="str">
            <v>Norte</v>
          </cell>
          <cell r="D341" t="str">
            <v>Guadiana</v>
          </cell>
          <cell r="N341">
            <v>0.85</v>
          </cell>
          <cell r="O341">
            <v>0.08</v>
          </cell>
          <cell r="P341">
            <v>7.0000000000000007E-2</v>
          </cell>
          <cell r="BW341">
            <v>0</v>
          </cell>
          <cell r="BX341">
            <v>44.636694106482594</v>
          </cell>
          <cell r="CG341">
            <v>0.68567676340909045</v>
          </cell>
          <cell r="CH341">
            <v>0.39361231612009451</v>
          </cell>
        </row>
        <row r="342">
          <cell r="A342">
            <v>803409</v>
          </cell>
          <cell r="B342" t="str">
            <v>Suc. San Rafael</v>
          </cell>
          <cell r="C342" t="str">
            <v>Occidente</v>
          </cell>
          <cell r="D342" t="str">
            <v>Favorita</v>
          </cell>
          <cell r="N342">
            <v>0.85</v>
          </cell>
          <cell r="O342">
            <v>0.08</v>
          </cell>
          <cell r="P342">
            <v>7.0000000000000007E-2</v>
          </cell>
          <cell r="BW342">
            <v>0</v>
          </cell>
          <cell r="BX342">
            <v>56.576696533868052</v>
          </cell>
          <cell r="CG342">
            <v>0.6848906851022718</v>
          </cell>
          <cell r="CH342">
            <v>0.29229653948093304</v>
          </cell>
        </row>
        <row r="343">
          <cell r="A343">
            <v>816359</v>
          </cell>
          <cell r="B343" t="str">
            <v>Planta Zapopan</v>
          </cell>
          <cell r="C343" t="str">
            <v>Occidente</v>
          </cell>
          <cell r="D343" t="str">
            <v>Zapopan</v>
          </cell>
          <cell r="N343">
            <v>0.85</v>
          </cell>
          <cell r="O343">
            <v>0.08</v>
          </cell>
          <cell r="P343">
            <v>7.0000000000000007E-2</v>
          </cell>
          <cell r="BW343">
            <v>0</v>
          </cell>
          <cell r="BX343">
            <v>49.733006467023152</v>
          </cell>
          <cell r="CG343">
            <v>0.68398163376136378</v>
          </cell>
          <cell r="CH343">
            <v>0.36087190473418729</v>
          </cell>
        </row>
        <row r="344">
          <cell r="A344">
            <v>819355</v>
          </cell>
          <cell r="B344" t="str">
            <v>Suc. Huentitán</v>
          </cell>
          <cell r="C344" t="str">
            <v>Occidente</v>
          </cell>
          <cell r="D344" t="str">
            <v>Zapopan</v>
          </cell>
          <cell r="N344">
            <v>0.85</v>
          </cell>
          <cell r="O344">
            <v>0.08</v>
          </cell>
          <cell r="P344">
            <v>7.0000000000000007E-2</v>
          </cell>
          <cell r="BW344">
            <v>0</v>
          </cell>
          <cell r="BX344">
            <v>62.147714401069521</v>
          </cell>
          <cell r="CG344">
            <v>0.68354196606818174</v>
          </cell>
          <cell r="CH344">
            <v>0.23382423516269477</v>
          </cell>
        </row>
        <row r="345">
          <cell r="A345">
            <v>907405</v>
          </cell>
          <cell r="B345" t="str">
            <v>Planta Trojes</v>
          </cell>
          <cell r="C345" t="str">
            <v>Occidente</v>
          </cell>
          <cell r="D345" t="str">
            <v>Aguascalientes</v>
          </cell>
          <cell r="N345">
            <v>0.85</v>
          </cell>
          <cell r="O345">
            <v>0.08</v>
          </cell>
          <cell r="P345">
            <v>7.0000000000000007E-2</v>
          </cell>
          <cell r="BW345">
            <v>0</v>
          </cell>
          <cell r="BX345">
            <v>61.250460443850329</v>
          </cell>
          <cell r="CG345">
            <v>0.68294885829545438</v>
          </cell>
          <cell r="CH345">
            <v>0.24221378439479455</v>
          </cell>
        </row>
        <row r="346">
          <cell r="A346">
            <v>804423</v>
          </cell>
          <cell r="B346" t="str">
            <v>Suc. Toluquilla</v>
          </cell>
          <cell r="C346" t="str">
            <v>Occidente</v>
          </cell>
          <cell r="D346" t="str">
            <v>Favorita</v>
          </cell>
          <cell r="N346">
            <v>0.85</v>
          </cell>
          <cell r="O346">
            <v>0.08</v>
          </cell>
          <cell r="P346">
            <v>7.0000000000000007E-2</v>
          </cell>
          <cell r="BW346">
            <v>0</v>
          </cell>
          <cell r="BX346">
            <v>61.684854968805524</v>
          </cell>
          <cell r="CG346">
            <v>0.68258874886363619</v>
          </cell>
          <cell r="CH346">
            <v>0.2373310842539621</v>
          </cell>
        </row>
        <row r="347">
          <cell r="A347">
            <v>819353</v>
          </cell>
          <cell r="B347" t="str">
            <v>Suc. Huentitán</v>
          </cell>
          <cell r="C347" t="str">
            <v>Occidente</v>
          </cell>
          <cell r="D347" t="str">
            <v>Zapopan</v>
          </cell>
          <cell r="N347">
            <v>0.85</v>
          </cell>
          <cell r="O347">
            <v>0.08</v>
          </cell>
          <cell r="P347">
            <v>7.0000000000000007E-2</v>
          </cell>
          <cell r="BW347">
            <v>0</v>
          </cell>
          <cell r="BX347">
            <v>63.385491655971592</v>
          </cell>
          <cell r="CG347">
            <v>0.68163853847727263</v>
          </cell>
          <cell r="CH347">
            <v>0.21879849185276917</v>
          </cell>
        </row>
        <row r="348">
          <cell r="A348">
            <v>931418</v>
          </cell>
          <cell r="B348" t="str">
            <v>Planta Guadiana</v>
          </cell>
          <cell r="C348" t="str">
            <v>Norte</v>
          </cell>
          <cell r="D348" t="str">
            <v>Guadiana</v>
          </cell>
          <cell r="N348">
            <v>0.85</v>
          </cell>
          <cell r="O348">
            <v>0.08</v>
          </cell>
          <cell r="P348">
            <v>7.0000000000000007E-2</v>
          </cell>
          <cell r="BW348">
            <v>0</v>
          </cell>
          <cell r="BX348">
            <v>47.231039379209648</v>
          </cell>
          <cell r="CG348">
            <v>0.68111173975909112</v>
          </cell>
          <cell r="CH348">
            <v>0.35836824053150235</v>
          </cell>
        </row>
        <row r="349">
          <cell r="A349">
            <v>810335</v>
          </cell>
          <cell r="B349" t="str">
            <v>Cedi Tonalá</v>
          </cell>
          <cell r="C349" t="str">
            <v>Occidente</v>
          </cell>
          <cell r="D349" t="str">
            <v>Favorita</v>
          </cell>
          <cell r="N349">
            <v>0.85</v>
          </cell>
          <cell r="O349">
            <v>0.08</v>
          </cell>
          <cell r="P349">
            <v>7.0000000000000007E-2</v>
          </cell>
          <cell r="BW349">
            <v>0</v>
          </cell>
          <cell r="BX349">
            <v>14.991908456200584</v>
          </cell>
          <cell r="CG349">
            <v>0.68056310485227267</v>
          </cell>
          <cell r="CH349">
            <v>0.21758797207654318</v>
          </cell>
        </row>
        <row r="350">
          <cell r="A350">
            <v>916406</v>
          </cell>
          <cell r="B350" t="str">
            <v>Planta San Luis</v>
          </cell>
          <cell r="C350" t="str">
            <v>Occidente</v>
          </cell>
          <cell r="D350" t="str">
            <v>San Luis</v>
          </cell>
          <cell r="N350">
            <v>0.85</v>
          </cell>
          <cell r="O350">
            <v>0.08</v>
          </cell>
          <cell r="P350">
            <v>7.0000000000000007E-2</v>
          </cell>
          <cell r="BW350">
            <v>0</v>
          </cell>
          <cell r="BX350">
            <v>42.806167942067724</v>
          </cell>
          <cell r="CG350">
            <v>0.68028894531818163</v>
          </cell>
          <cell r="CH350">
            <v>0.42676357820954769</v>
          </cell>
        </row>
        <row r="351">
          <cell r="A351">
            <v>819420</v>
          </cell>
          <cell r="B351" t="str">
            <v>Suc. Huentitán</v>
          </cell>
          <cell r="C351" t="str">
            <v>Occidente</v>
          </cell>
          <cell r="D351" t="str">
            <v>Zapopan</v>
          </cell>
          <cell r="N351">
            <v>0.85</v>
          </cell>
          <cell r="O351">
            <v>0.08</v>
          </cell>
          <cell r="P351">
            <v>7.0000000000000007E-2</v>
          </cell>
          <cell r="BW351">
            <v>0</v>
          </cell>
          <cell r="BX351">
            <v>66.774420575757645</v>
          </cell>
          <cell r="CG351">
            <v>0.68020677756818126</v>
          </cell>
          <cell r="CH351">
            <v>0.18245354671708094</v>
          </cell>
        </row>
        <row r="352">
          <cell r="A352">
            <v>820427</v>
          </cell>
          <cell r="B352" t="str">
            <v>Suc. Belenes</v>
          </cell>
          <cell r="C352" t="str">
            <v>Occidente</v>
          </cell>
          <cell r="D352" t="str">
            <v>Zapopan</v>
          </cell>
          <cell r="N352">
            <v>0.85</v>
          </cell>
          <cell r="O352">
            <v>0.08</v>
          </cell>
          <cell r="P352">
            <v>7.0000000000000007E-2</v>
          </cell>
          <cell r="BW352">
            <v>0</v>
          </cell>
          <cell r="BX352">
            <v>63.997241106951861</v>
          </cell>
          <cell r="CG352">
            <v>0.67937701606568146</v>
          </cell>
          <cell r="CH352">
            <v>0.2096969496419224</v>
          </cell>
        </row>
        <row r="353">
          <cell r="A353">
            <v>809349</v>
          </cell>
          <cell r="B353" t="str">
            <v>Suc. Santa Maria</v>
          </cell>
          <cell r="C353" t="str">
            <v>Occidente</v>
          </cell>
          <cell r="D353" t="str">
            <v>Favorita</v>
          </cell>
          <cell r="N353">
            <v>0.85</v>
          </cell>
          <cell r="O353">
            <v>0.08</v>
          </cell>
          <cell r="P353">
            <v>7.0000000000000007E-2</v>
          </cell>
          <cell r="BW353">
            <v>0</v>
          </cell>
          <cell r="BX353">
            <v>66.876446622103288</v>
          </cell>
          <cell r="CG353">
            <v>0.67852067635227242</v>
          </cell>
          <cell r="CH353">
            <v>0.17927531887795184</v>
          </cell>
        </row>
        <row r="354">
          <cell r="A354">
            <v>802402</v>
          </cell>
          <cell r="B354" t="str">
            <v>Suc. Alamo</v>
          </cell>
          <cell r="C354" t="str">
            <v>Occidente</v>
          </cell>
          <cell r="D354" t="str">
            <v>Favorita</v>
          </cell>
          <cell r="N354">
            <v>0.85</v>
          </cell>
          <cell r="O354">
            <v>0.08</v>
          </cell>
          <cell r="P354">
            <v>7.0000000000000007E-2</v>
          </cell>
          <cell r="BW354">
            <v>0</v>
          </cell>
          <cell r="BX354">
            <v>62.156080701425964</v>
          </cell>
          <cell r="CG354">
            <v>0.67798203494318088</v>
          </cell>
          <cell r="CH354">
            <v>0.22668657129115291</v>
          </cell>
        </row>
        <row r="355">
          <cell r="A355">
            <v>901411</v>
          </cell>
          <cell r="B355" t="str">
            <v>Planta Aguascalientes</v>
          </cell>
          <cell r="C355" t="str">
            <v>Occidente</v>
          </cell>
          <cell r="D355" t="str">
            <v>Aguascalientes</v>
          </cell>
          <cell r="N355">
            <v>0.85</v>
          </cell>
          <cell r="O355">
            <v>0.08</v>
          </cell>
          <cell r="P355">
            <v>7.0000000000000007E-2</v>
          </cell>
          <cell r="BW355">
            <v>0</v>
          </cell>
          <cell r="BX355">
            <v>60.802469832442156</v>
          </cell>
          <cell r="CG355">
            <v>0.6779664467386366</v>
          </cell>
          <cell r="CH355">
            <v>0.24045836031292803</v>
          </cell>
        </row>
        <row r="356">
          <cell r="A356">
            <v>835400</v>
          </cell>
          <cell r="B356" t="str">
            <v>Suc. Ocotlan</v>
          </cell>
          <cell r="C356" t="str">
            <v>Occidente</v>
          </cell>
          <cell r="D356" t="str">
            <v>Los Altos</v>
          </cell>
          <cell r="N356">
            <v>0.85</v>
          </cell>
          <cell r="O356">
            <v>0.08</v>
          </cell>
          <cell r="P356">
            <v>7.0000000000000007E-2</v>
          </cell>
          <cell r="BW356">
            <v>0</v>
          </cell>
          <cell r="BX356">
            <v>45.270944403409338</v>
          </cell>
          <cell r="CG356">
            <v>0.67701072170454457</v>
          </cell>
          <cell r="CH356">
            <v>2.9832499541896394E-2</v>
          </cell>
        </row>
        <row r="357">
          <cell r="A357">
            <v>804387</v>
          </cell>
          <cell r="B357" t="str">
            <v>Suc. Toluquilla</v>
          </cell>
          <cell r="C357" t="str">
            <v>Occidente</v>
          </cell>
          <cell r="D357" t="str">
            <v>Favorita</v>
          </cell>
          <cell r="N357">
            <v>0.85</v>
          </cell>
          <cell r="O357">
            <v>0.08</v>
          </cell>
          <cell r="P357">
            <v>7.0000000000000007E-2</v>
          </cell>
          <cell r="BW357">
            <v>0</v>
          </cell>
          <cell r="BX357">
            <v>63.273975868092712</v>
          </cell>
          <cell r="CG357">
            <v>0.67696344092045391</v>
          </cell>
          <cell r="CH357">
            <v>0.21400462854804253</v>
          </cell>
        </row>
        <row r="358">
          <cell r="A358">
            <v>916427</v>
          </cell>
          <cell r="B358" t="str">
            <v>Planta San Luis</v>
          </cell>
          <cell r="C358" t="str">
            <v>Occidente</v>
          </cell>
          <cell r="D358" t="str">
            <v>San Luis</v>
          </cell>
          <cell r="N358">
            <v>0.85</v>
          </cell>
          <cell r="O358">
            <v>0.08</v>
          </cell>
          <cell r="P358">
            <v>7.0000000000000007E-2</v>
          </cell>
          <cell r="BW358">
            <v>0</v>
          </cell>
          <cell r="BX358">
            <v>46.033051006238679</v>
          </cell>
          <cell r="CG358">
            <v>0.67679463599999978</v>
          </cell>
          <cell r="CH358">
            <v>0.38945346029147249</v>
          </cell>
        </row>
        <row r="359">
          <cell r="A359">
            <v>301341</v>
          </cell>
          <cell r="B359" t="str">
            <v>Planta Cd. Juárez</v>
          </cell>
          <cell r="C359" t="str">
            <v>Norte</v>
          </cell>
          <cell r="D359" t="str">
            <v>Juárez</v>
          </cell>
          <cell r="N359">
            <v>0.85</v>
          </cell>
          <cell r="O359">
            <v>0.08</v>
          </cell>
          <cell r="P359">
            <v>7.0000000000000007E-2</v>
          </cell>
          <cell r="BW359">
            <v>0</v>
          </cell>
          <cell r="BX359">
            <v>34.313015893047904</v>
          </cell>
          <cell r="CG359">
            <v>0.67643002636363381</v>
          </cell>
          <cell r="CH359">
            <v>0.39186789492921781</v>
          </cell>
        </row>
        <row r="360">
          <cell r="A360">
            <v>802347</v>
          </cell>
          <cell r="B360" t="str">
            <v>Suc. Alamo</v>
          </cell>
          <cell r="C360" t="str">
            <v>Occidente</v>
          </cell>
          <cell r="D360" t="str">
            <v>Favorita</v>
          </cell>
          <cell r="N360">
            <v>0.85</v>
          </cell>
          <cell r="O360">
            <v>0.08</v>
          </cell>
          <cell r="P360">
            <v>7.0000000000000007E-2</v>
          </cell>
          <cell r="BW360">
            <v>0</v>
          </cell>
          <cell r="BX360">
            <v>63.507726742424403</v>
          </cell>
          <cell r="CG360">
            <v>0.67536004009090922</v>
          </cell>
          <cell r="CH360">
            <v>0.20958919358839675</v>
          </cell>
        </row>
        <row r="361">
          <cell r="A361">
            <v>819357</v>
          </cell>
          <cell r="B361" t="str">
            <v>Suc. Huentitán</v>
          </cell>
          <cell r="C361" t="str">
            <v>Occidente</v>
          </cell>
          <cell r="D361" t="str">
            <v>Zapopan</v>
          </cell>
          <cell r="N361">
            <v>0.85</v>
          </cell>
          <cell r="O361">
            <v>0.08</v>
          </cell>
          <cell r="P361">
            <v>7.0000000000000007E-2</v>
          </cell>
          <cell r="BW361">
            <v>0</v>
          </cell>
          <cell r="BX361">
            <v>19.271647144485485</v>
          </cell>
          <cell r="CG361">
            <v>0.67513177963636328</v>
          </cell>
          <cell r="CH361">
            <v>0.24950005460197855</v>
          </cell>
        </row>
        <row r="362">
          <cell r="A362">
            <v>301348</v>
          </cell>
          <cell r="B362" t="str">
            <v>Planta Cd. Juárez</v>
          </cell>
          <cell r="C362" t="str">
            <v>Norte</v>
          </cell>
          <cell r="D362" t="str">
            <v>Juárez</v>
          </cell>
          <cell r="N362">
            <v>0.85</v>
          </cell>
          <cell r="O362">
            <v>0.08</v>
          </cell>
          <cell r="P362">
            <v>7.0000000000000007E-2</v>
          </cell>
          <cell r="BW362">
            <v>0</v>
          </cell>
          <cell r="BX362">
            <v>43.636976996434782</v>
          </cell>
          <cell r="CG362">
            <v>0.480754086136362</v>
          </cell>
          <cell r="CH362">
            <v>0.260922166429852</v>
          </cell>
        </row>
        <row r="363">
          <cell r="A363">
            <v>809322</v>
          </cell>
          <cell r="B363" t="str">
            <v>Suc. Santa Maria</v>
          </cell>
          <cell r="C363" t="str">
            <v>Occidente</v>
          </cell>
          <cell r="D363" t="str">
            <v>Favorita</v>
          </cell>
          <cell r="N363">
            <v>0.85</v>
          </cell>
          <cell r="O363">
            <v>0.08</v>
          </cell>
          <cell r="P363">
            <v>7.0000000000000007E-2</v>
          </cell>
          <cell r="BW363">
            <v>0</v>
          </cell>
          <cell r="BX363">
            <v>53.459589626559854</v>
          </cell>
          <cell r="CG363">
            <v>0.67293400387500024</v>
          </cell>
          <cell r="CH363">
            <v>0.30888957185540722</v>
          </cell>
        </row>
        <row r="364">
          <cell r="A364">
            <v>931421</v>
          </cell>
          <cell r="B364" t="str">
            <v>Planta Guadiana</v>
          </cell>
          <cell r="C364" t="str">
            <v>Norte</v>
          </cell>
          <cell r="D364" t="str">
            <v>Guadiana</v>
          </cell>
          <cell r="N364">
            <v>0.85</v>
          </cell>
          <cell r="O364">
            <v>0.08</v>
          </cell>
          <cell r="P364">
            <v>7.0000000000000007E-2</v>
          </cell>
          <cell r="BW364">
            <v>0</v>
          </cell>
          <cell r="BX364">
            <v>47.387212167088535</v>
          </cell>
          <cell r="CG364">
            <v>0.67226195659090859</v>
          </cell>
          <cell r="CH364">
            <v>0.35624663952536528</v>
          </cell>
        </row>
        <row r="365">
          <cell r="A365">
            <v>816345</v>
          </cell>
          <cell r="B365" t="str">
            <v>Planta Zapopan</v>
          </cell>
          <cell r="C365" t="str">
            <v>Occidente</v>
          </cell>
          <cell r="D365" t="str">
            <v>Zapopan</v>
          </cell>
          <cell r="N365">
            <v>0.85</v>
          </cell>
          <cell r="O365">
            <v>0.08</v>
          </cell>
          <cell r="P365">
            <v>7.0000000000000007E-2</v>
          </cell>
          <cell r="BW365">
            <v>0</v>
          </cell>
          <cell r="BX365">
            <v>65.974692452763009</v>
          </cell>
          <cell r="CG365">
            <v>0.67208085787499994</v>
          </cell>
          <cell r="CH365">
            <v>0.18029453571691953</v>
          </cell>
        </row>
        <row r="366">
          <cell r="A366">
            <v>916419</v>
          </cell>
          <cell r="B366" t="str">
            <v>Planta San Luis</v>
          </cell>
          <cell r="C366" t="str">
            <v>Occidente</v>
          </cell>
          <cell r="D366" t="str">
            <v>San Luis</v>
          </cell>
          <cell r="N366">
            <v>0.85</v>
          </cell>
          <cell r="O366">
            <v>0.08</v>
          </cell>
          <cell r="P366">
            <v>7.0000000000000007E-2</v>
          </cell>
          <cell r="BW366">
            <v>0</v>
          </cell>
          <cell r="BX366">
            <v>49.560439197860873</v>
          </cell>
          <cell r="CG366">
            <v>0.67174183053409109</v>
          </cell>
          <cell r="CH366">
            <v>0.34710472579931084</v>
          </cell>
        </row>
        <row r="367">
          <cell r="A367">
            <v>217340</v>
          </cell>
          <cell r="B367" t="str">
            <v>Suc. Estadio</v>
          </cell>
          <cell r="C367" t="str">
            <v>Norte</v>
          </cell>
          <cell r="D367" t="str">
            <v>Comarca</v>
          </cell>
          <cell r="N367">
            <v>0.85</v>
          </cell>
          <cell r="O367">
            <v>0.08</v>
          </cell>
          <cell r="P367">
            <v>7.0000000000000007E-2</v>
          </cell>
          <cell r="BW367">
            <v>0</v>
          </cell>
          <cell r="BX367">
            <v>36.863808830640494</v>
          </cell>
          <cell r="CG367">
            <v>0.62338675142045452</v>
          </cell>
          <cell r="CH367">
            <v>0.37400831022348113</v>
          </cell>
        </row>
        <row r="368">
          <cell r="A368">
            <v>217344</v>
          </cell>
          <cell r="B368" t="str">
            <v>Suc. Estadio</v>
          </cell>
          <cell r="C368" t="str">
            <v>Norte</v>
          </cell>
          <cell r="D368" t="str">
            <v>Comarca</v>
          </cell>
          <cell r="N368">
            <v>0.85</v>
          </cell>
          <cell r="O368">
            <v>0.08</v>
          </cell>
          <cell r="P368">
            <v>7.0000000000000007E-2</v>
          </cell>
          <cell r="BW368">
            <v>0</v>
          </cell>
          <cell r="BX368">
            <v>44.593674118519267</v>
          </cell>
          <cell r="CG368">
            <v>0.62281754488636409</v>
          </cell>
          <cell r="CH368">
            <v>0.24274592614551938</v>
          </cell>
        </row>
        <row r="369">
          <cell r="A369">
            <v>203323</v>
          </cell>
          <cell r="B369" t="str">
            <v>Planta Agua y Hielo</v>
          </cell>
          <cell r="C369" t="str">
            <v>Noreste</v>
          </cell>
          <cell r="D369" t="str">
            <v>Saltillo</v>
          </cell>
          <cell r="N369">
            <v>0.8</v>
          </cell>
          <cell r="O369">
            <v>0.12</v>
          </cell>
          <cell r="P369">
            <v>0.08</v>
          </cell>
          <cell r="BW369">
            <v>0</v>
          </cell>
          <cell r="BX369">
            <v>36.629594739731417</v>
          </cell>
          <cell r="CG369">
            <v>0.67063293664772605</v>
          </cell>
          <cell r="CH369">
            <v>0.37798554641226528</v>
          </cell>
        </row>
        <row r="370">
          <cell r="A370">
            <v>206300</v>
          </cell>
          <cell r="B370" t="str">
            <v>Sucursal Monclova</v>
          </cell>
          <cell r="C370" t="str">
            <v>Noreste</v>
          </cell>
          <cell r="D370" t="str">
            <v>Monclova</v>
          </cell>
          <cell r="N370">
            <v>0.8</v>
          </cell>
          <cell r="O370">
            <v>0.12</v>
          </cell>
          <cell r="P370">
            <v>0.08</v>
          </cell>
          <cell r="BW370">
            <v>0</v>
          </cell>
          <cell r="BX370">
            <v>59.783562636785568</v>
          </cell>
          <cell r="CG370">
            <v>0.66965588590909075</v>
          </cell>
          <cell r="CH370">
            <v>0.1878427198275697</v>
          </cell>
        </row>
        <row r="371">
          <cell r="A371">
            <v>816344</v>
          </cell>
          <cell r="B371" t="str">
            <v>Planta Zapopan</v>
          </cell>
          <cell r="C371" t="str">
            <v>Occidente</v>
          </cell>
          <cell r="D371" t="str">
            <v>Zapopan</v>
          </cell>
          <cell r="N371">
            <v>0.85</v>
          </cell>
          <cell r="O371">
            <v>0.08</v>
          </cell>
          <cell r="P371">
            <v>7.0000000000000007E-2</v>
          </cell>
          <cell r="BW371">
            <v>0</v>
          </cell>
          <cell r="BX371">
            <v>60.189880637254923</v>
          </cell>
          <cell r="CG371">
            <v>0.66919238805681824</v>
          </cell>
          <cell r="CH371">
            <v>0.23557051980864935</v>
          </cell>
        </row>
        <row r="372">
          <cell r="A372">
            <v>901403</v>
          </cell>
          <cell r="B372" t="str">
            <v>Planta Aguascalientes</v>
          </cell>
          <cell r="C372" t="str">
            <v>Occidente</v>
          </cell>
          <cell r="D372" t="str">
            <v>Aguascalientes</v>
          </cell>
          <cell r="N372">
            <v>0.85</v>
          </cell>
          <cell r="O372">
            <v>0.08</v>
          </cell>
          <cell r="P372">
            <v>7.0000000000000007E-2</v>
          </cell>
          <cell r="BW372">
            <v>0</v>
          </cell>
          <cell r="BX372">
            <v>52.560268362745191</v>
          </cell>
          <cell r="CG372">
            <v>0.66835114261363704</v>
          </cell>
          <cell r="CH372">
            <v>0.31223943361723844</v>
          </cell>
        </row>
        <row r="373">
          <cell r="A373">
            <v>820433</v>
          </cell>
          <cell r="B373" t="str">
            <v>Suc. Belenes</v>
          </cell>
          <cell r="C373" t="str">
            <v>Occidente</v>
          </cell>
          <cell r="D373" t="str">
            <v>Zapopan</v>
          </cell>
          <cell r="N373">
            <v>0.85</v>
          </cell>
          <cell r="O373">
            <v>0.08</v>
          </cell>
          <cell r="P373">
            <v>7.0000000000000007E-2</v>
          </cell>
          <cell r="BW373">
            <v>0</v>
          </cell>
          <cell r="BX373">
            <v>63.51528184581106</v>
          </cell>
          <cell r="CG373">
            <v>0.66798279235227243</v>
          </cell>
          <cell r="CH373">
            <v>0.20015464326410201</v>
          </cell>
        </row>
        <row r="374">
          <cell r="A374">
            <v>809340</v>
          </cell>
          <cell r="B374" t="str">
            <v>Suc. Santa Maria</v>
          </cell>
          <cell r="C374" t="str">
            <v>Occidente</v>
          </cell>
          <cell r="D374" t="str">
            <v>Favorita</v>
          </cell>
          <cell r="N374">
            <v>0.85</v>
          </cell>
          <cell r="O374">
            <v>0.08</v>
          </cell>
          <cell r="P374">
            <v>7.0000000000000007E-2</v>
          </cell>
          <cell r="BW374">
            <v>0</v>
          </cell>
          <cell r="BX374">
            <v>47.980382709447269</v>
          </cell>
          <cell r="CG374">
            <v>0.66768533427272703</v>
          </cell>
          <cell r="CH374">
            <v>0.35805806873505802</v>
          </cell>
        </row>
        <row r="375">
          <cell r="A375">
            <v>820362</v>
          </cell>
          <cell r="B375" t="str">
            <v>Suc. Belenes</v>
          </cell>
          <cell r="C375" t="str">
            <v>Occidente</v>
          </cell>
          <cell r="D375" t="str">
            <v>Zapopan</v>
          </cell>
          <cell r="N375">
            <v>0.85</v>
          </cell>
          <cell r="O375">
            <v>0.08</v>
          </cell>
          <cell r="P375">
            <v>7.0000000000000007E-2</v>
          </cell>
          <cell r="BW375">
            <v>0</v>
          </cell>
          <cell r="BX375">
            <v>63.866600846702262</v>
          </cell>
          <cell r="CG375">
            <v>0.6670370685681809</v>
          </cell>
          <cell r="CH375">
            <v>0.19537556147598706</v>
          </cell>
        </row>
        <row r="376">
          <cell r="A376">
            <v>916401</v>
          </cell>
          <cell r="B376" t="str">
            <v>Planta San Luis</v>
          </cell>
          <cell r="C376" t="str">
            <v>Occidente</v>
          </cell>
          <cell r="D376" t="str">
            <v>San Luis</v>
          </cell>
          <cell r="N376">
            <v>0.85</v>
          </cell>
          <cell r="O376">
            <v>0.08</v>
          </cell>
          <cell r="P376">
            <v>7.0000000000000007E-2</v>
          </cell>
          <cell r="BW376">
            <v>0</v>
          </cell>
          <cell r="BX376">
            <v>54.78419379857398</v>
          </cell>
          <cell r="CG376">
            <v>0.66589548709090873</v>
          </cell>
          <cell r="CH376">
            <v>0.2864656366421805</v>
          </cell>
        </row>
        <row r="377">
          <cell r="A377">
            <v>217401</v>
          </cell>
          <cell r="B377" t="str">
            <v>Suc. Estadio</v>
          </cell>
          <cell r="C377" t="str">
            <v>Norte</v>
          </cell>
          <cell r="D377" t="str">
            <v>Comarca</v>
          </cell>
          <cell r="N377">
            <v>0.85</v>
          </cell>
          <cell r="O377">
            <v>0.08</v>
          </cell>
          <cell r="P377">
            <v>7.0000000000000007E-2</v>
          </cell>
          <cell r="BW377">
            <v>0</v>
          </cell>
          <cell r="BX377">
            <v>24.068682845792004</v>
          </cell>
          <cell r="CG377">
            <v>0.61609411278409087</v>
          </cell>
          <cell r="CH377">
            <v>0.59128489639927773</v>
          </cell>
        </row>
        <row r="378">
          <cell r="A378">
            <v>810323</v>
          </cell>
          <cell r="B378" t="str">
            <v>Cedi Tonalá</v>
          </cell>
          <cell r="C378" t="str">
            <v>Occidente</v>
          </cell>
          <cell r="D378" t="str">
            <v>Favorita</v>
          </cell>
          <cell r="N378">
            <v>0.85</v>
          </cell>
          <cell r="O378">
            <v>0.08</v>
          </cell>
          <cell r="P378">
            <v>7.0000000000000007E-2</v>
          </cell>
          <cell r="BW378">
            <v>0</v>
          </cell>
          <cell r="BX378">
            <v>62.896771155080231</v>
          </cell>
          <cell r="CG378">
            <v>0.66326913020454525</v>
          </cell>
          <cell r="CH378">
            <v>0.20047749214342475</v>
          </cell>
        </row>
        <row r="379">
          <cell r="A379">
            <v>301344</v>
          </cell>
          <cell r="B379" t="str">
            <v>Planta Cd. Juárez</v>
          </cell>
          <cell r="C379" t="str">
            <v>Norte</v>
          </cell>
          <cell r="D379" t="str">
            <v>Juárez</v>
          </cell>
          <cell r="N379">
            <v>0.85</v>
          </cell>
          <cell r="O379">
            <v>0.08</v>
          </cell>
          <cell r="P379">
            <v>7.0000000000000007E-2</v>
          </cell>
          <cell r="BW379">
            <v>0</v>
          </cell>
          <cell r="BX379">
            <v>35.576540966131589</v>
          </cell>
          <cell r="CG379">
            <v>0.47350035613636177</v>
          </cell>
          <cell r="CH379">
            <v>0.35754160521119333</v>
          </cell>
        </row>
        <row r="380">
          <cell r="A380">
            <v>916352</v>
          </cell>
          <cell r="B380" t="str">
            <v>Planta San Luis</v>
          </cell>
          <cell r="C380" t="str">
            <v>Occidente</v>
          </cell>
          <cell r="D380" t="str">
            <v>San Luis</v>
          </cell>
          <cell r="N380">
            <v>0.85</v>
          </cell>
          <cell r="O380">
            <v>0.08</v>
          </cell>
          <cell r="P380">
            <v>7.0000000000000007E-2</v>
          </cell>
          <cell r="BW380">
            <v>0</v>
          </cell>
          <cell r="BX380">
            <v>42.597346407308358</v>
          </cell>
          <cell r="CG380">
            <v>0.66211723534090883</v>
          </cell>
          <cell r="CH380">
            <v>0.40584153421997154</v>
          </cell>
        </row>
        <row r="381">
          <cell r="A381">
            <v>931423</v>
          </cell>
          <cell r="B381" t="str">
            <v>Planta Guadiana</v>
          </cell>
          <cell r="C381" t="str">
            <v>Norte</v>
          </cell>
          <cell r="D381" t="str">
            <v>Guadiana</v>
          </cell>
          <cell r="N381">
            <v>0.85</v>
          </cell>
          <cell r="O381">
            <v>0.08</v>
          </cell>
          <cell r="P381">
            <v>7.0000000000000007E-2</v>
          </cell>
          <cell r="BW381">
            <v>0</v>
          </cell>
          <cell r="BX381">
            <v>44.671887121633937</v>
          </cell>
          <cell r="CG381">
            <v>0.66093512727272741</v>
          </cell>
          <cell r="CH381">
            <v>0.39313422043282292</v>
          </cell>
        </row>
        <row r="382">
          <cell r="A382">
            <v>301360</v>
          </cell>
          <cell r="B382" t="str">
            <v>Planta Cd. Juárez</v>
          </cell>
          <cell r="C382" t="str">
            <v>Norte</v>
          </cell>
          <cell r="D382" t="str">
            <v>Juárez</v>
          </cell>
          <cell r="N382">
            <v>0.85</v>
          </cell>
          <cell r="O382">
            <v>0.08</v>
          </cell>
          <cell r="P382">
            <v>7.0000000000000007E-2</v>
          </cell>
          <cell r="BW382">
            <v>0</v>
          </cell>
          <cell r="BX382">
            <v>35.395258161318637</v>
          </cell>
          <cell r="CG382">
            <v>0.66040333322726918</v>
          </cell>
          <cell r="CH382">
            <v>0.35683682800721123</v>
          </cell>
        </row>
        <row r="383">
          <cell r="A383">
            <v>809355</v>
          </cell>
          <cell r="B383" t="str">
            <v>Suc. Santa Maria</v>
          </cell>
          <cell r="C383" t="str">
            <v>Occidente</v>
          </cell>
          <cell r="D383" t="str">
            <v>Favorita</v>
          </cell>
          <cell r="N383">
            <v>0.85</v>
          </cell>
          <cell r="O383">
            <v>0.08</v>
          </cell>
          <cell r="P383">
            <v>7.0000000000000007E-2</v>
          </cell>
          <cell r="BW383">
            <v>0</v>
          </cell>
          <cell r="BX383">
            <v>69.496014525846647</v>
          </cell>
          <cell r="CG383">
            <v>0.66004625710227238</v>
          </cell>
          <cell r="CH383">
            <v>0.12915164018179065</v>
          </cell>
        </row>
        <row r="384">
          <cell r="A384">
            <v>819411</v>
          </cell>
          <cell r="B384" t="str">
            <v>Suc. Huentitán</v>
          </cell>
          <cell r="C384" t="str">
            <v>Occidente</v>
          </cell>
          <cell r="D384" t="str">
            <v>Zapopan</v>
          </cell>
          <cell r="N384">
            <v>0.85</v>
          </cell>
          <cell r="O384">
            <v>0.08</v>
          </cell>
          <cell r="P384">
            <v>7.0000000000000007E-2</v>
          </cell>
          <cell r="BW384">
            <v>0</v>
          </cell>
          <cell r="BX384">
            <v>51.151922208682791</v>
          </cell>
          <cell r="CG384">
            <v>0.65989616532954487</v>
          </cell>
          <cell r="CH384">
            <v>0.29299827967458425</v>
          </cell>
        </row>
        <row r="385">
          <cell r="A385">
            <v>804390</v>
          </cell>
          <cell r="B385" t="str">
            <v>Suc. Toluquilla</v>
          </cell>
          <cell r="C385" t="str">
            <v>Occidente</v>
          </cell>
          <cell r="D385" t="str">
            <v>Favorita</v>
          </cell>
          <cell r="N385">
            <v>0.85</v>
          </cell>
          <cell r="O385">
            <v>0.08</v>
          </cell>
          <cell r="P385">
            <v>7.0000000000000007E-2</v>
          </cell>
          <cell r="BW385">
            <v>0</v>
          </cell>
          <cell r="BX385">
            <v>39.645499915557977</v>
          </cell>
          <cell r="CG385">
            <v>0.65812545010227264</v>
          </cell>
          <cell r="CH385">
            <v>0.18487676063493849</v>
          </cell>
        </row>
        <row r="386">
          <cell r="A386">
            <v>916422</v>
          </cell>
          <cell r="B386" t="str">
            <v>Planta San Luis</v>
          </cell>
          <cell r="C386" t="str">
            <v>Occidente</v>
          </cell>
          <cell r="D386" t="str">
            <v>San Luis</v>
          </cell>
          <cell r="N386">
            <v>0.85</v>
          </cell>
          <cell r="O386">
            <v>0.08</v>
          </cell>
          <cell r="P386">
            <v>7.0000000000000007E-2</v>
          </cell>
          <cell r="BW386">
            <v>0</v>
          </cell>
          <cell r="BX386">
            <v>54.80286637611411</v>
          </cell>
          <cell r="CG386">
            <v>0.65747244865909105</v>
          </cell>
          <cell r="CH386">
            <v>0.27559129395120574</v>
          </cell>
        </row>
        <row r="387">
          <cell r="A387">
            <v>802343</v>
          </cell>
          <cell r="B387" t="str">
            <v>Suc. Alamo</v>
          </cell>
          <cell r="C387" t="str">
            <v>Occidente</v>
          </cell>
          <cell r="D387" t="str">
            <v>Favorita</v>
          </cell>
          <cell r="N387">
            <v>0.85</v>
          </cell>
          <cell r="O387">
            <v>0.08</v>
          </cell>
          <cell r="P387">
            <v>7.0000000000000007E-2</v>
          </cell>
          <cell r="BW387">
            <v>0</v>
          </cell>
          <cell r="BX387">
            <v>53.698985328876915</v>
          </cell>
          <cell r="CG387">
            <v>0.65669564577272688</v>
          </cell>
          <cell r="CH387">
            <v>0.285853103011663</v>
          </cell>
        </row>
        <row r="388">
          <cell r="A388">
            <v>820348</v>
          </cell>
          <cell r="B388" t="str">
            <v>Suc. Belenes</v>
          </cell>
          <cell r="C388" t="str">
            <v>Occidente</v>
          </cell>
          <cell r="D388" t="str">
            <v>Zapopan</v>
          </cell>
          <cell r="N388">
            <v>0.85</v>
          </cell>
          <cell r="O388">
            <v>0.08</v>
          </cell>
          <cell r="P388">
            <v>7.0000000000000007E-2</v>
          </cell>
          <cell r="BW388">
            <v>0</v>
          </cell>
          <cell r="BX388">
            <v>53.872147759358405</v>
          </cell>
          <cell r="CG388">
            <v>0.65666964693272722</v>
          </cell>
          <cell r="CH388">
            <v>0.28405582166255222</v>
          </cell>
        </row>
        <row r="389">
          <cell r="A389">
            <v>803422</v>
          </cell>
          <cell r="B389" t="str">
            <v>Suc. San Rafael</v>
          </cell>
          <cell r="C389" t="str">
            <v>Occidente</v>
          </cell>
          <cell r="D389" t="str">
            <v>Favorita</v>
          </cell>
          <cell r="N389">
            <v>0.85</v>
          </cell>
          <cell r="O389">
            <v>0.08</v>
          </cell>
          <cell r="P389">
            <v>7.0000000000000007E-2</v>
          </cell>
          <cell r="BW389">
            <v>0</v>
          </cell>
          <cell r="BX389">
            <v>9.5240385992921972</v>
          </cell>
          <cell r="CG389">
            <v>0.65651995094318161</v>
          </cell>
          <cell r="CH389">
            <v>0.38296654886414871</v>
          </cell>
        </row>
        <row r="390">
          <cell r="A390">
            <v>809354</v>
          </cell>
          <cell r="B390" t="str">
            <v>Suc. Santa Maria</v>
          </cell>
          <cell r="C390" t="str">
            <v>Occidente</v>
          </cell>
          <cell r="D390" t="str">
            <v>Favorita</v>
          </cell>
          <cell r="N390">
            <v>0.85</v>
          </cell>
          <cell r="O390">
            <v>0.08</v>
          </cell>
          <cell r="P390">
            <v>7.0000000000000007E-2</v>
          </cell>
          <cell r="BW390">
            <v>0</v>
          </cell>
          <cell r="BX390">
            <v>59.033590862745072</v>
          </cell>
          <cell r="CG390">
            <v>0.65577721315909099</v>
          </cell>
          <cell r="CH390">
            <v>0.23033532886987818</v>
          </cell>
        </row>
        <row r="391">
          <cell r="A391">
            <v>820354</v>
          </cell>
          <cell r="B391" t="str">
            <v>Suc. Belenes</v>
          </cell>
          <cell r="C391" t="str">
            <v>Occidente</v>
          </cell>
          <cell r="D391" t="str">
            <v>Zapopan</v>
          </cell>
          <cell r="N391">
            <v>0.85</v>
          </cell>
          <cell r="O391">
            <v>0.08</v>
          </cell>
          <cell r="P391">
            <v>7.0000000000000007E-2</v>
          </cell>
          <cell r="BW391">
            <v>0</v>
          </cell>
          <cell r="BX391">
            <v>38.287464687165759</v>
          </cell>
          <cell r="CG391">
            <v>0.65528544374999931</v>
          </cell>
          <cell r="CH391">
            <v>0.10861271073084186</v>
          </cell>
        </row>
        <row r="392">
          <cell r="A392">
            <v>916345</v>
          </cell>
          <cell r="B392" t="str">
            <v>Planta San Luis</v>
          </cell>
          <cell r="C392" t="str">
            <v>Occidente</v>
          </cell>
          <cell r="D392" t="str">
            <v>San Luis</v>
          </cell>
          <cell r="N392">
            <v>0.85</v>
          </cell>
          <cell r="O392">
            <v>0.08</v>
          </cell>
          <cell r="P392">
            <v>7.0000000000000007E-2</v>
          </cell>
          <cell r="BW392">
            <v>0</v>
          </cell>
          <cell r="BX392">
            <v>48.296825492869786</v>
          </cell>
          <cell r="CG392">
            <v>0.65505462535227188</v>
          </cell>
          <cell r="CH392">
            <v>0.33881266424380829</v>
          </cell>
        </row>
        <row r="393">
          <cell r="A393">
            <v>950340</v>
          </cell>
          <cell r="B393" t="str">
            <v>Suc. Fresnillo</v>
          </cell>
          <cell r="C393" t="str">
            <v>Norte</v>
          </cell>
          <cell r="D393" t="str">
            <v>Zacatecas</v>
          </cell>
          <cell r="N393">
            <v>0.85</v>
          </cell>
          <cell r="O393">
            <v>0.08</v>
          </cell>
          <cell r="P393">
            <v>7.0000000000000007E-2</v>
          </cell>
          <cell r="BW393">
            <v>0</v>
          </cell>
          <cell r="BX393">
            <v>36.633708129233511</v>
          </cell>
          <cell r="CG393">
            <v>0.6536858436818177</v>
          </cell>
          <cell r="CH393">
            <v>0.33149182345352057</v>
          </cell>
        </row>
        <row r="394">
          <cell r="A394">
            <v>809330</v>
          </cell>
          <cell r="B394" t="str">
            <v>Suc. Santa Maria</v>
          </cell>
          <cell r="C394" t="str">
            <v>Occidente</v>
          </cell>
          <cell r="D394" t="str">
            <v>Favorita</v>
          </cell>
          <cell r="N394">
            <v>0.85</v>
          </cell>
          <cell r="O394">
            <v>0.08</v>
          </cell>
          <cell r="P394">
            <v>7.0000000000000007E-2</v>
          </cell>
          <cell r="BW394">
            <v>0</v>
          </cell>
          <cell r="BX394">
            <v>62.813661254901959</v>
          </cell>
          <cell r="CG394">
            <v>0.65326571887499907</v>
          </cell>
          <cell r="CH394">
            <v>0.18863557923344865</v>
          </cell>
        </row>
        <row r="395">
          <cell r="A395">
            <v>950342</v>
          </cell>
          <cell r="B395" t="str">
            <v>Suc. Fresnillo</v>
          </cell>
          <cell r="C395" t="str">
            <v>Norte</v>
          </cell>
          <cell r="D395" t="str">
            <v>Zacatecas</v>
          </cell>
          <cell r="N395">
            <v>0.85</v>
          </cell>
          <cell r="O395">
            <v>0.08</v>
          </cell>
          <cell r="P395">
            <v>7.0000000000000007E-2</v>
          </cell>
          <cell r="BW395">
            <v>0</v>
          </cell>
          <cell r="BX395">
            <v>28.990308887324169</v>
          </cell>
          <cell r="CG395">
            <v>0.65322184295454555</v>
          </cell>
          <cell r="CH395">
            <v>0.26005444401688355</v>
          </cell>
        </row>
        <row r="396">
          <cell r="A396">
            <v>819421</v>
          </cell>
          <cell r="B396" t="str">
            <v>Suc. Huentitán</v>
          </cell>
          <cell r="C396" t="str">
            <v>Occidente</v>
          </cell>
          <cell r="D396" t="str">
            <v>Zapopan</v>
          </cell>
          <cell r="N396">
            <v>0.85</v>
          </cell>
          <cell r="O396">
            <v>0.08</v>
          </cell>
          <cell r="P396">
            <v>7.0000000000000007E-2</v>
          </cell>
          <cell r="BW396">
            <v>0</v>
          </cell>
          <cell r="BX396">
            <v>63.275475156862825</v>
          </cell>
          <cell r="CG396">
            <v>0.65314816731818182</v>
          </cell>
          <cell r="CH396">
            <v>0.18378118011397135</v>
          </cell>
        </row>
        <row r="397">
          <cell r="A397">
            <v>931408</v>
          </cell>
          <cell r="B397" t="str">
            <v>Planta Guadiana</v>
          </cell>
          <cell r="C397" t="str">
            <v>Norte</v>
          </cell>
          <cell r="D397" t="str">
            <v>Guadiana</v>
          </cell>
          <cell r="N397">
            <v>0.85</v>
          </cell>
          <cell r="O397">
            <v>0.08</v>
          </cell>
          <cell r="P397">
            <v>7.0000000000000007E-2</v>
          </cell>
          <cell r="BW397">
            <v>0</v>
          </cell>
          <cell r="BX397">
            <v>42.70234043981592</v>
          </cell>
          <cell r="CG397">
            <v>0.65277632687727272</v>
          </cell>
          <cell r="CH397">
            <v>0.41989043243705221</v>
          </cell>
        </row>
        <row r="398">
          <cell r="A398">
            <v>802401</v>
          </cell>
          <cell r="B398" t="str">
            <v>Suc. Alamo</v>
          </cell>
          <cell r="C398" t="str">
            <v>Occidente</v>
          </cell>
          <cell r="D398" t="str">
            <v>Favorita</v>
          </cell>
          <cell r="N398">
            <v>0.85</v>
          </cell>
          <cell r="O398">
            <v>0.08</v>
          </cell>
          <cell r="P398">
            <v>7.0000000000000007E-2</v>
          </cell>
          <cell r="BW398">
            <v>0</v>
          </cell>
          <cell r="BX398">
            <v>59.250879439394026</v>
          </cell>
          <cell r="CG398">
            <v>0.64795406287500013</v>
          </cell>
          <cell r="CH398">
            <v>0.2181982637256111</v>
          </cell>
        </row>
        <row r="399">
          <cell r="A399">
            <v>810343</v>
          </cell>
          <cell r="B399" t="str">
            <v>Cedi Tonalá</v>
          </cell>
          <cell r="C399" t="str">
            <v>Occidente</v>
          </cell>
          <cell r="D399" t="str">
            <v>Favorita</v>
          </cell>
          <cell r="N399">
            <v>0.85</v>
          </cell>
          <cell r="O399">
            <v>0.08</v>
          </cell>
          <cell r="P399">
            <v>7.0000000000000007E-2</v>
          </cell>
          <cell r="BW399">
            <v>0</v>
          </cell>
          <cell r="BX399">
            <v>50.407450984848509</v>
          </cell>
          <cell r="CG399">
            <v>0.64785259779545401</v>
          </cell>
          <cell r="CH399">
            <v>0.30817277504971402</v>
          </cell>
        </row>
        <row r="400">
          <cell r="A400">
            <v>916428</v>
          </cell>
          <cell r="B400" t="str">
            <v>Planta San Luis</v>
          </cell>
          <cell r="C400" t="str">
            <v>Occidente</v>
          </cell>
          <cell r="D400" t="str">
            <v>San Luis</v>
          </cell>
          <cell r="N400">
            <v>0.85</v>
          </cell>
          <cell r="O400">
            <v>0.08</v>
          </cell>
          <cell r="P400">
            <v>7.0000000000000007E-2</v>
          </cell>
          <cell r="BW400">
            <v>0</v>
          </cell>
          <cell r="BX400">
            <v>43.22111208734411</v>
          </cell>
          <cell r="CG400">
            <v>0.64564960090909218</v>
          </cell>
          <cell r="CH400">
            <v>0.37859800486238315</v>
          </cell>
        </row>
        <row r="401">
          <cell r="A401">
            <v>820414</v>
          </cell>
          <cell r="B401" t="str">
            <v>Suc. Belenes</v>
          </cell>
          <cell r="C401" t="str">
            <v>Occidente</v>
          </cell>
          <cell r="D401" t="str">
            <v>Zapopan</v>
          </cell>
          <cell r="N401">
            <v>0.85</v>
          </cell>
          <cell r="O401">
            <v>0.08</v>
          </cell>
          <cell r="P401">
            <v>7.0000000000000007E-2</v>
          </cell>
          <cell r="BW401">
            <v>0</v>
          </cell>
          <cell r="BX401">
            <v>53.701222842245997</v>
          </cell>
          <cell r="CG401">
            <v>0.64506733701136343</v>
          </cell>
          <cell r="CH401">
            <v>0.27108052931665988</v>
          </cell>
        </row>
        <row r="402">
          <cell r="A402">
            <v>916429</v>
          </cell>
          <cell r="B402" t="str">
            <v>Planta San Luis</v>
          </cell>
          <cell r="C402" t="str">
            <v>Occidente</v>
          </cell>
          <cell r="D402" t="str">
            <v>San Luis</v>
          </cell>
          <cell r="N402">
            <v>0.85</v>
          </cell>
          <cell r="O402">
            <v>0.08</v>
          </cell>
          <cell r="P402">
            <v>7.0000000000000007E-2</v>
          </cell>
          <cell r="BW402">
            <v>0</v>
          </cell>
          <cell r="BX402">
            <v>32.784132282531182</v>
          </cell>
          <cell r="CG402">
            <v>0.64423341102272691</v>
          </cell>
          <cell r="CH402">
            <v>0.48314111866069959</v>
          </cell>
        </row>
        <row r="403">
          <cell r="A403">
            <v>819341</v>
          </cell>
          <cell r="B403" t="str">
            <v>Suc. Huentitán</v>
          </cell>
          <cell r="C403" t="str">
            <v>Occidente</v>
          </cell>
          <cell r="D403" t="str">
            <v>Zapopan</v>
          </cell>
          <cell r="N403">
            <v>0.85</v>
          </cell>
          <cell r="O403">
            <v>0.08</v>
          </cell>
          <cell r="P403">
            <v>7.0000000000000007E-2</v>
          </cell>
          <cell r="BW403">
            <v>0</v>
          </cell>
          <cell r="BX403">
            <v>57.924938008021471</v>
          </cell>
          <cell r="CG403">
            <v>0.64392066756818145</v>
          </cell>
          <cell r="CH403">
            <v>0.22659180168708437</v>
          </cell>
        </row>
        <row r="404">
          <cell r="A404">
            <v>931401</v>
          </cell>
          <cell r="B404" t="str">
            <v>Planta Guadiana</v>
          </cell>
          <cell r="C404" t="str">
            <v>Norte</v>
          </cell>
          <cell r="D404" t="str">
            <v>Guadiana</v>
          </cell>
          <cell r="N404">
            <v>0.85</v>
          </cell>
          <cell r="O404">
            <v>0.08</v>
          </cell>
          <cell r="P404">
            <v>7.0000000000000007E-2</v>
          </cell>
          <cell r="BW404">
            <v>0</v>
          </cell>
          <cell r="BX404">
            <v>53.978952939815748</v>
          </cell>
          <cell r="CG404">
            <v>0.64363181230227207</v>
          </cell>
          <cell r="CH404">
            <v>0.26669810776413244</v>
          </cell>
        </row>
        <row r="405">
          <cell r="A405">
            <v>916431</v>
          </cell>
          <cell r="B405" t="str">
            <v>Planta San Luis</v>
          </cell>
          <cell r="C405" t="str">
            <v>Occidente</v>
          </cell>
          <cell r="D405" t="str">
            <v>San Luis</v>
          </cell>
          <cell r="N405">
            <v>0.85</v>
          </cell>
          <cell r="O405">
            <v>0.08</v>
          </cell>
          <cell r="P405">
            <v>7.0000000000000007E-2</v>
          </cell>
          <cell r="BW405">
            <v>0</v>
          </cell>
          <cell r="BX405">
            <v>39.167656885026688</v>
          </cell>
          <cell r="CG405">
            <v>0.64230362867045454</v>
          </cell>
          <cell r="CH405">
            <v>0.41565336881963055</v>
          </cell>
        </row>
        <row r="406">
          <cell r="A406">
            <v>820364</v>
          </cell>
          <cell r="B406" t="str">
            <v>Suc. Belenes</v>
          </cell>
          <cell r="C406" t="str">
            <v>Occidente</v>
          </cell>
          <cell r="D406" t="str">
            <v>Zapopan</v>
          </cell>
          <cell r="N406">
            <v>0.85</v>
          </cell>
          <cell r="O406">
            <v>0.08</v>
          </cell>
          <cell r="P406">
            <v>7.0000000000000007E-2</v>
          </cell>
          <cell r="BW406">
            <v>0</v>
          </cell>
          <cell r="BX406">
            <v>58.186178050802198</v>
          </cell>
          <cell r="CG406">
            <v>0.64114925532954548</v>
          </cell>
          <cell r="CH406">
            <v>0.22041473848717105</v>
          </cell>
        </row>
        <row r="407">
          <cell r="A407">
            <v>809348</v>
          </cell>
          <cell r="B407" t="str">
            <v>Suc. Santa Maria</v>
          </cell>
          <cell r="C407" t="str">
            <v>Occidente</v>
          </cell>
          <cell r="D407" t="str">
            <v>Favorita</v>
          </cell>
          <cell r="N407">
            <v>0.85</v>
          </cell>
          <cell r="O407">
            <v>0.08</v>
          </cell>
          <cell r="P407">
            <v>7.0000000000000007E-2</v>
          </cell>
          <cell r="BW407">
            <v>0</v>
          </cell>
          <cell r="BX407">
            <v>52.6764570713013</v>
          </cell>
          <cell r="CG407">
            <v>0.63915960293181784</v>
          </cell>
          <cell r="CH407">
            <v>0.2740279923810317</v>
          </cell>
        </row>
        <row r="408">
          <cell r="A408">
            <v>810357</v>
          </cell>
          <cell r="B408" t="str">
            <v>Cedi Tonalá</v>
          </cell>
          <cell r="C408" t="str">
            <v>Occidente</v>
          </cell>
          <cell r="D408" t="str">
            <v>Favorita</v>
          </cell>
          <cell r="N408">
            <v>0.85</v>
          </cell>
          <cell r="O408">
            <v>0.08</v>
          </cell>
          <cell r="P408">
            <v>7.0000000000000007E-2</v>
          </cell>
          <cell r="BW408">
            <v>0</v>
          </cell>
          <cell r="BX408">
            <v>55.20663404991096</v>
          </cell>
          <cell r="CG408">
            <v>0.63795630651136404</v>
          </cell>
          <cell r="CH408">
            <v>0.24672242282879647</v>
          </cell>
        </row>
        <row r="409">
          <cell r="A409">
            <v>806400</v>
          </cell>
          <cell r="B409" t="str">
            <v>Suc. Tecomán</v>
          </cell>
          <cell r="C409" t="str">
            <v>Occidente</v>
          </cell>
          <cell r="D409" t="str">
            <v>Favorita</v>
          </cell>
          <cell r="N409">
            <v>0.85</v>
          </cell>
          <cell r="O409">
            <v>0.08</v>
          </cell>
          <cell r="P409">
            <v>7.0000000000000007E-2</v>
          </cell>
          <cell r="BW409">
            <v>0</v>
          </cell>
          <cell r="BX409">
            <v>44.832308556002808</v>
          </cell>
          <cell r="CG409">
            <v>0.63701617111363662</v>
          </cell>
          <cell r="CH409">
            <v>0.23067961358037409</v>
          </cell>
        </row>
        <row r="410">
          <cell r="A410">
            <v>803407</v>
          </cell>
          <cell r="B410" t="str">
            <v>Suc. San Rafael</v>
          </cell>
          <cell r="C410" t="str">
            <v>Occidente</v>
          </cell>
          <cell r="D410" t="str">
            <v>Favorita</v>
          </cell>
          <cell r="N410">
            <v>0.85</v>
          </cell>
          <cell r="O410">
            <v>0.08</v>
          </cell>
          <cell r="P410">
            <v>7.0000000000000007E-2</v>
          </cell>
          <cell r="BW410">
            <v>0</v>
          </cell>
          <cell r="BX410">
            <v>37.584271573083704</v>
          </cell>
          <cell r="CG410">
            <v>0.63698238394322892</v>
          </cell>
          <cell r="CH410">
            <v>0.31730677697766202</v>
          </cell>
        </row>
        <row r="411">
          <cell r="A411">
            <v>803414</v>
          </cell>
          <cell r="B411" t="str">
            <v>Suc. San Rafael</v>
          </cell>
          <cell r="C411" t="str">
            <v>Occidente</v>
          </cell>
          <cell r="D411" t="str">
            <v>Favorita</v>
          </cell>
          <cell r="N411">
            <v>0.85</v>
          </cell>
          <cell r="O411">
            <v>0.08</v>
          </cell>
          <cell r="P411">
            <v>7.0000000000000007E-2</v>
          </cell>
          <cell r="BW411">
            <v>0</v>
          </cell>
          <cell r="BX411">
            <v>19.340695256872067</v>
          </cell>
          <cell r="CG411">
            <v>0.6366682328522727</v>
          </cell>
          <cell r="CH411">
            <v>0.25265389435122526</v>
          </cell>
        </row>
        <row r="412">
          <cell r="A412">
            <v>916407</v>
          </cell>
          <cell r="B412" t="str">
            <v>Planta San Luis</v>
          </cell>
          <cell r="C412" t="str">
            <v>Occidente</v>
          </cell>
          <cell r="D412" t="str">
            <v>San Luis</v>
          </cell>
          <cell r="N412">
            <v>0.85</v>
          </cell>
          <cell r="O412">
            <v>0.08</v>
          </cell>
          <cell r="P412">
            <v>7.0000000000000007E-2</v>
          </cell>
          <cell r="BW412">
            <v>0</v>
          </cell>
          <cell r="BX412">
            <v>34.094250587344085</v>
          </cell>
          <cell r="CG412">
            <v>0.63511782504545511</v>
          </cell>
          <cell r="CH412">
            <v>0.45823014461090894</v>
          </cell>
        </row>
        <row r="413">
          <cell r="A413">
            <v>308340</v>
          </cell>
          <cell r="B413" t="str">
            <v>Planta Chihuahua</v>
          </cell>
          <cell r="C413" t="str">
            <v>Norte</v>
          </cell>
          <cell r="D413" t="str">
            <v>Chihuahua</v>
          </cell>
          <cell r="N413">
            <v>0.85</v>
          </cell>
          <cell r="O413">
            <v>0.08</v>
          </cell>
          <cell r="P413">
            <v>7.0000000000000007E-2</v>
          </cell>
          <cell r="BW413">
            <v>0</v>
          </cell>
          <cell r="BX413">
            <v>17.751625049019168</v>
          </cell>
          <cell r="CG413">
            <v>0.63406171022726954</v>
          </cell>
          <cell r="CH413">
            <v>0.56311218266964413</v>
          </cell>
        </row>
        <row r="414">
          <cell r="A414">
            <v>931417</v>
          </cell>
          <cell r="B414" t="str">
            <v>Planta Guadiana</v>
          </cell>
          <cell r="C414" t="str">
            <v>Norte</v>
          </cell>
          <cell r="D414" t="str">
            <v>Guadiana</v>
          </cell>
          <cell r="N414">
            <v>0.85</v>
          </cell>
          <cell r="O414">
            <v>0.08</v>
          </cell>
          <cell r="P414">
            <v>7.0000000000000007E-2</v>
          </cell>
          <cell r="BW414">
            <v>0</v>
          </cell>
          <cell r="BX414">
            <v>53.146868667088555</v>
          </cell>
          <cell r="CG414">
            <v>0.63305975454545427</v>
          </cell>
          <cell r="CH414">
            <v>0.27800193895127812</v>
          </cell>
        </row>
        <row r="415">
          <cell r="A415">
            <v>217406</v>
          </cell>
          <cell r="B415" t="str">
            <v>Suc. Estadio</v>
          </cell>
          <cell r="C415" t="str">
            <v>Norte</v>
          </cell>
          <cell r="D415" t="str">
            <v>Comarca</v>
          </cell>
          <cell r="N415">
            <v>0.85</v>
          </cell>
          <cell r="O415">
            <v>0.08</v>
          </cell>
          <cell r="P415">
            <v>7.0000000000000007E-2</v>
          </cell>
          <cell r="BW415">
            <v>0</v>
          </cell>
          <cell r="BX415">
            <v>30.949978739731314</v>
          </cell>
          <cell r="CG415">
            <v>0.58672328778408978</v>
          </cell>
          <cell r="CH415">
            <v>0.47443223843630383</v>
          </cell>
        </row>
        <row r="416">
          <cell r="A416">
            <v>931427</v>
          </cell>
          <cell r="B416" t="str">
            <v>Planta Guadiana</v>
          </cell>
          <cell r="C416" t="str">
            <v>Norte</v>
          </cell>
          <cell r="D416" t="str">
            <v>Guadiana</v>
          </cell>
          <cell r="N416">
            <v>0.85</v>
          </cell>
          <cell r="O416">
            <v>0.08</v>
          </cell>
          <cell r="P416">
            <v>7.0000000000000007E-2</v>
          </cell>
          <cell r="BW416">
            <v>0</v>
          </cell>
          <cell r="BX416">
            <v>46.196386379209805</v>
          </cell>
          <cell r="CG416">
            <v>0.63169611545454551</v>
          </cell>
          <cell r="CH416">
            <v>0.37242395968473113</v>
          </cell>
        </row>
        <row r="417">
          <cell r="A417">
            <v>916400</v>
          </cell>
          <cell r="B417" t="str">
            <v>Planta San Luis</v>
          </cell>
          <cell r="C417" t="str">
            <v>Occidente</v>
          </cell>
          <cell r="D417" t="str">
            <v>San Luis</v>
          </cell>
          <cell r="N417">
            <v>0.85</v>
          </cell>
          <cell r="O417">
            <v>0.08</v>
          </cell>
          <cell r="P417">
            <v>7.0000000000000007E-2</v>
          </cell>
          <cell r="BW417">
            <v>0</v>
          </cell>
          <cell r="BX417">
            <v>37.323180107843022</v>
          </cell>
          <cell r="CG417">
            <v>0.63074011039772659</v>
          </cell>
          <cell r="CH417">
            <v>0.41977863197640536</v>
          </cell>
        </row>
        <row r="418">
          <cell r="A418">
            <v>901340</v>
          </cell>
          <cell r="B418" t="str">
            <v>Planta Aguascalientes</v>
          </cell>
          <cell r="C418" t="str">
            <v>Occidente</v>
          </cell>
          <cell r="D418" t="str">
            <v>Aguascalientes</v>
          </cell>
          <cell r="N418">
            <v>0.85</v>
          </cell>
          <cell r="O418">
            <v>0.08</v>
          </cell>
          <cell r="P418">
            <v>7.0000000000000007E-2</v>
          </cell>
          <cell r="BW418">
            <v>0</v>
          </cell>
          <cell r="BX418">
            <v>58.14449227540112</v>
          </cell>
          <cell r="CG418">
            <v>0.63048397673863665</v>
          </cell>
          <cell r="CH418">
            <v>0.20731122990367493</v>
          </cell>
        </row>
        <row r="419">
          <cell r="A419">
            <v>816364</v>
          </cell>
          <cell r="B419" t="str">
            <v>Planta Zapopan</v>
          </cell>
          <cell r="C419" t="str">
            <v>Occidente</v>
          </cell>
          <cell r="D419" t="str">
            <v>Zapopan</v>
          </cell>
          <cell r="N419">
            <v>0.85</v>
          </cell>
          <cell r="O419">
            <v>0.08</v>
          </cell>
          <cell r="P419">
            <v>7.0000000000000007E-2</v>
          </cell>
          <cell r="BW419">
            <v>0</v>
          </cell>
          <cell r="BX419">
            <v>51.594760219251476</v>
          </cell>
          <cell r="CG419">
            <v>0.63036798443181807</v>
          </cell>
          <cell r="CH419">
            <v>0.2738974847621255</v>
          </cell>
        </row>
        <row r="420">
          <cell r="A420">
            <v>809335</v>
          </cell>
          <cell r="B420" t="str">
            <v>Suc. Santa Maria</v>
          </cell>
          <cell r="C420" t="str">
            <v>Occidente</v>
          </cell>
          <cell r="D420" t="str">
            <v>Favorita</v>
          </cell>
          <cell r="N420">
            <v>0.85</v>
          </cell>
          <cell r="O420">
            <v>0.08</v>
          </cell>
          <cell r="P420">
            <v>7.0000000000000007E-2</v>
          </cell>
          <cell r="BW420">
            <v>0</v>
          </cell>
          <cell r="BX420">
            <v>51.01696382531204</v>
          </cell>
          <cell r="CG420">
            <v>0.62971297056818198</v>
          </cell>
          <cell r="CH420">
            <v>0.27895364646584353</v>
          </cell>
        </row>
        <row r="421">
          <cell r="A421">
            <v>819344</v>
          </cell>
          <cell r="B421" t="str">
            <v>Suc. Huentitán</v>
          </cell>
          <cell r="C421" t="str">
            <v>Occidente</v>
          </cell>
          <cell r="D421" t="str">
            <v>Zapopan</v>
          </cell>
          <cell r="N421">
            <v>0.85</v>
          </cell>
          <cell r="O421">
            <v>0.08</v>
          </cell>
          <cell r="P421">
            <v>7.0000000000000007E-2</v>
          </cell>
          <cell r="BW421">
            <v>0</v>
          </cell>
          <cell r="BX421">
            <v>55.81659212299472</v>
          </cell>
          <cell r="CG421">
            <v>0.62963447328409117</v>
          </cell>
          <cell r="CH421">
            <v>0.229952010402482</v>
          </cell>
        </row>
        <row r="422">
          <cell r="A422">
            <v>931411</v>
          </cell>
          <cell r="B422" t="str">
            <v>Planta Guadiana</v>
          </cell>
          <cell r="C422" t="str">
            <v>Norte</v>
          </cell>
          <cell r="D422" t="str">
            <v>Guadiana</v>
          </cell>
          <cell r="N422">
            <v>0.85</v>
          </cell>
          <cell r="O422">
            <v>0.08</v>
          </cell>
          <cell r="P422">
            <v>7.0000000000000007E-2</v>
          </cell>
          <cell r="BW422">
            <v>0</v>
          </cell>
          <cell r="BX422">
            <v>44.691978667088492</v>
          </cell>
          <cell r="CG422">
            <v>0.62961465886363621</v>
          </cell>
          <cell r="CH422">
            <v>0.39286127760052686</v>
          </cell>
        </row>
        <row r="423">
          <cell r="A423">
            <v>916402</v>
          </cell>
          <cell r="B423" t="str">
            <v>Planta San Luis</v>
          </cell>
          <cell r="C423" t="str">
            <v>Occidente</v>
          </cell>
          <cell r="D423" t="str">
            <v>San Luis</v>
          </cell>
          <cell r="N423">
            <v>0.85</v>
          </cell>
          <cell r="O423">
            <v>0.08</v>
          </cell>
          <cell r="P423">
            <v>7.0000000000000007E-2</v>
          </cell>
          <cell r="BW423">
            <v>0</v>
          </cell>
          <cell r="BX423">
            <v>44.706602212121169</v>
          </cell>
          <cell r="CG423">
            <v>0.62889129736363569</v>
          </cell>
          <cell r="CH423">
            <v>0.34220591127208128</v>
          </cell>
        </row>
        <row r="424">
          <cell r="A424">
            <v>820418</v>
          </cell>
          <cell r="B424" t="str">
            <v>Suc. Belenes</v>
          </cell>
          <cell r="C424" t="str">
            <v>Occidente</v>
          </cell>
          <cell r="D424" t="str">
            <v>Zapopan</v>
          </cell>
          <cell r="N424">
            <v>0.85</v>
          </cell>
          <cell r="O424">
            <v>0.08</v>
          </cell>
          <cell r="P424">
            <v>7.0000000000000007E-2</v>
          </cell>
          <cell r="BW424">
            <v>0</v>
          </cell>
          <cell r="BX424">
            <v>64.858798444741623</v>
          </cell>
          <cell r="CG424">
            <v>0.62590860889772693</v>
          </cell>
          <cell r="CH424">
            <v>0.13309748106592981</v>
          </cell>
        </row>
        <row r="425">
          <cell r="A425">
            <v>503301</v>
          </cell>
          <cell r="B425" t="str">
            <v>Sucursal Venadillo</v>
          </cell>
          <cell r="C425" t="str">
            <v>Pacifico</v>
          </cell>
          <cell r="D425" t="str">
            <v>Mazatlán</v>
          </cell>
          <cell r="N425">
            <v>0.85</v>
          </cell>
          <cell r="O425">
            <v>0.08</v>
          </cell>
          <cell r="P425">
            <v>7.0000000000000007E-2</v>
          </cell>
          <cell r="BW425">
            <v>0</v>
          </cell>
          <cell r="BX425">
            <v>31.430757278075045</v>
          </cell>
          <cell r="CG425">
            <v>0.62460938761363716</v>
          </cell>
          <cell r="CH425">
            <v>0.33479308053834722</v>
          </cell>
        </row>
        <row r="426">
          <cell r="A426">
            <v>816327</v>
          </cell>
          <cell r="B426" t="str">
            <v>Planta Zapopan</v>
          </cell>
          <cell r="C426" t="str">
            <v>Occidente</v>
          </cell>
          <cell r="D426" t="str">
            <v>Zapopan</v>
          </cell>
          <cell r="N426">
            <v>0.85</v>
          </cell>
          <cell r="O426">
            <v>0.08</v>
          </cell>
          <cell r="P426">
            <v>7.0000000000000007E-2</v>
          </cell>
          <cell r="BW426">
            <v>0</v>
          </cell>
          <cell r="BX426">
            <v>47.14888679946533</v>
          </cell>
          <cell r="CG426">
            <v>0.62444022279545464</v>
          </cell>
          <cell r="CH426">
            <v>0.31167625090289908</v>
          </cell>
        </row>
        <row r="427">
          <cell r="A427">
            <v>809367</v>
          </cell>
          <cell r="B427" t="str">
            <v>Suc. Santa Maria</v>
          </cell>
          <cell r="C427" t="str">
            <v>Occidente</v>
          </cell>
          <cell r="D427" t="str">
            <v>Favorita</v>
          </cell>
          <cell r="N427">
            <v>0.85</v>
          </cell>
          <cell r="O427">
            <v>0.08</v>
          </cell>
          <cell r="P427">
            <v>7.0000000000000007E-2</v>
          </cell>
          <cell r="BW427">
            <v>0</v>
          </cell>
          <cell r="BX427">
            <v>63.735119313725448</v>
          </cell>
          <cell r="CG427">
            <v>0.62245152828409067</v>
          </cell>
          <cell r="CH427">
            <v>0.14016124399251739</v>
          </cell>
        </row>
        <row r="428">
          <cell r="A428">
            <v>819348</v>
          </cell>
          <cell r="B428" t="str">
            <v>Suc. Huentitán</v>
          </cell>
          <cell r="C428" t="str">
            <v>Occidente</v>
          </cell>
          <cell r="D428" t="str">
            <v>Zapopan</v>
          </cell>
          <cell r="N428">
            <v>0.85</v>
          </cell>
          <cell r="O428">
            <v>0.08</v>
          </cell>
          <cell r="P428">
            <v>7.0000000000000007E-2</v>
          </cell>
          <cell r="BW428">
            <v>0</v>
          </cell>
          <cell r="BX428">
            <v>53.159396188057094</v>
          </cell>
          <cell r="CG428">
            <v>0.62132321331818152</v>
          </cell>
          <cell r="CH428">
            <v>0.24648312577319276</v>
          </cell>
        </row>
        <row r="429">
          <cell r="A429">
            <v>921404</v>
          </cell>
          <cell r="B429" t="str">
            <v>Suc. Río Verde</v>
          </cell>
          <cell r="C429" t="str">
            <v>Occidente</v>
          </cell>
          <cell r="D429" t="str">
            <v>San Luis</v>
          </cell>
          <cell r="N429">
            <v>0.85</v>
          </cell>
          <cell r="O429">
            <v>0.08</v>
          </cell>
          <cell r="P429">
            <v>7.0000000000000007E-2</v>
          </cell>
          <cell r="BW429">
            <v>0</v>
          </cell>
          <cell r="BX429">
            <v>52.355912204991071</v>
          </cell>
          <cell r="CG429">
            <v>0.61929262094318083</v>
          </cell>
          <cell r="CH429">
            <v>0.25209392046608098</v>
          </cell>
        </row>
        <row r="430">
          <cell r="A430">
            <v>810345</v>
          </cell>
          <cell r="B430" t="str">
            <v>Cedi Tonalá</v>
          </cell>
          <cell r="C430" t="str">
            <v>Occidente</v>
          </cell>
          <cell r="D430" t="str">
            <v>Favorita</v>
          </cell>
          <cell r="N430">
            <v>0.85</v>
          </cell>
          <cell r="O430">
            <v>0.08</v>
          </cell>
          <cell r="P430">
            <v>7.0000000000000007E-2</v>
          </cell>
          <cell r="BW430">
            <v>0</v>
          </cell>
          <cell r="BX430">
            <v>33.785731777183415</v>
          </cell>
          <cell r="CG430">
            <v>0.6169701223636358</v>
          </cell>
          <cell r="CH430">
            <v>0.43835433995171719</v>
          </cell>
        </row>
        <row r="431">
          <cell r="A431">
            <v>916433</v>
          </cell>
          <cell r="B431" t="str">
            <v>Planta San Luis</v>
          </cell>
          <cell r="C431" t="str">
            <v>Occidente</v>
          </cell>
          <cell r="D431" t="str">
            <v>San Luis</v>
          </cell>
          <cell r="N431">
            <v>0.85</v>
          </cell>
          <cell r="O431">
            <v>0.08</v>
          </cell>
          <cell r="P431">
            <v>7.0000000000000007E-2</v>
          </cell>
          <cell r="BW431">
            <v>0</v>
          </cell>
          <cell r="BX431">
            <v>23.8128731926722</v>
          </cell>
          <cell r="CG431">
            <v>0.61621806559090953</v>
          </cell>
          <cell r="CH431">
            <v>0.42312444542028943</v>
          </cell>
        </row>
        <row r="432">
          <cell r="A432">
            <v>703308</v>
          </cell>
          <cell r="B432" t="str">
            <v>Sucursal Universidad</v>
          </cell>
          <cell r="C432" t="str">
            <v>Noreste</v>
          </cell>
          <cell r="D432" t="str">
            <v>Monterrey</v>
          </cell>
          <cell r="N432">
            <v>0.8</v>
          </cell>
          <cell r="O432">
            <v>0.12</v>
          </cell>
          <cell r="P432">
            <v>0.08</v>
          </cell>
          <cell r="BW432">
            <v>0</v>
          </cell>
          <cell r="BX432">
            <v>0</v>
          </cell>
          <cell r="CG432">
            <v>0.61553432945454445</v>
          </cell>
          <cell r="CH432">
            <v>0.66140612023755851</v>
          </cell>
        </row>
        <row r="433">
          <cell r="A433">
            <v>819347</v>
          </cell>
          <cell r="B433" t="str">
            <v>Suc. Huentitán</v>
          </cell>
          <cell r="C433" t="str">
            <v>Occidente</v>
          </cell>
          <cell r="D433" t="str">
            <v>Zapopan</v>
          </cell>
          <cell r="N433">
            <v>0.85</v>
          </cell>
          <cell r="O433">
            <v>0.08</v>
          </cell>
          <cell r="P433">
            <v>7.0000000000000007E-2</v>
          </cell>
          <cell r="BW433">
            <v>0</v>
          </cell>
          <cell r="BX433">
            <v>47.927345897504473</v>
          </cell>
          <cell r="CG433">
            <v>0.61546067601136389</v>
          </cell>
          <cell r="CH433">
            <v>0.29235476060382681</v>
          </cell>
        </row>
        <row r="434">
          <cell r="A434">
            <v>822300</v>
          </cell>
          <cell r="B434" t="str">
            <v>Suc. Autlán</v>
          </cell>
          <cell r="C434" t="str">
            <v>Occidente</v>
          </cell>
          <cell r="D434" t="str">
            <v>Zapopan</v>
          </cell>
          <cell r="N434">
            <v>0.85</v>
          </cell>
          <cell r="O434">
            <v>0.08</v>
          </cell>
          <cell r="P434">
            <v>7.0000000000000007E-2</v>
          </cell>
          <cell r="BW434">
            <v>0</v>
          </cell>
          <cell r="BX434">
            <v>46.169706536541767</v>
          </cell>
          <cell r="CG434">
            <v>0.61488812198863618</v>
          </cell>
          <cell r="CH434">
            <v>0.30953660665194821</v>
          </cell>
        </row>
        <row r="435">
          <cell r="A435">
            <v>907401</v>
          </cell>
          <cell r="B435" t="str">
            <v>Planta Trojes</v>
          </cell>
          <cell r="C435" t="str">
            <v>Occidente</v>
          </cell>
          <cell r="D435" t="str">
            <v>Aguascalientes</v>
          </cell>
          <cell r="N435">
            <v>0.85</v>
          </cell>
          <cell r="O435">
            <v>0.08</v>
          </cell>
          <cell r="P435">
            <v>7.0000000000000007E-2</v>
          </cell>
          <cell r="BW435">
            <v>0</v>
          </cell>
          <cell r="BX435">
            <v>46.095529489304703</v>
          </cell>
          <cell r="CG435">
            <v>0.61465128565909044</v>
          </cell>
          <cell r="CH435">
            <v>0.30999196384421884</v>
          </cell>
        </row>
        <row r="436">
          <cell r="A436">
            <v>203322</v>
          </cell>
          <cell r="B436" t="str">
            <v>Planta Agua y Hielo</v>
          </cell>
          <cell r="C436" t="str">
            <v>Noreste</v>
          </cell>
          <cell r="D436" t="str">
            <v>Saltillo</v>
          </cell>
          <cell r="N436">
            <v>0.8</v>
          </cell>
          <cell r="O436">
            <v>0.12</v>
          </cell>
          <cell r="P436">
            <v>0.08</v>
          </cell>
          <cell r="BW436">
            <v>0</v>
          </cell>
          <cell r="BX436">
            <v>21.934158482155652</v>
          </cell>
          <cell r="CG436">
            <v>0.61423651022727355</v>
          </cell>
          <cell r="CH436">
            <v>0.62753168032224693</v>
          </cell>
        </row>
        <row r="437">
          <cell r="A437">
            <v>925301</v>
          </cell>
          <cell r="B437" t="str">
            <v>Planta Matehuala</v>
          </cell>
          <cell r="C437" t="str">
            <v>Occidente</v>
          </cell>
          <cell r="D437" t="str">
            <v>Matehuala</v>
          </cell>
          <cell r="N437">
            <v>0.85</v>
          </cell>
          <cell r="O437">
            <v>0.08</v>
          </cell>
          <cell r="P437">
            <v>7.0000000000000007E-2</v>
          </cell>
          <cell r="BW437">
            <v>0</v>
          </cell>
          <cell r="BX437">
            <v>57.227785961675593</v>
          </cell>
          <cell r="CG437">
            <v>0.61379427160227285</v>
          </cell>
          <cell r="CH437">
            <v>0.19548145515505769</v>
          </cell>
        </row>
        <row r="438">
          <cell r="A438">
            <v>820370</v>
          </cell>
          <cell r="B438" t="str">
            <v>Suc. Belenes</v>
          </cell>
          <cell r="C438" t="str">
            <v>Occidente</v>
          </cell>
          <cell r="D438" t="str">
            <v>Zapopan</v>
          </cell>
          <cell r="N438">
            <v>0.85</v>
          </cell>
          <cell r="O438">
            <v>0.08</v>
          </cell>
          <cell r="P438">
            <v>7.0000000000000007E-2</v>
          </cell>
          <cell r="BW438">
            <v>0</v>
          </cell>
          <cell r="BX438">
            <v>51.970512384135446</v>
          </cell>
          <cell r="CG438">
            <v>0.61346048263261332</v>
          </cell>
          <cell r="CH438">
            <v>0.24862295156860559</v>
          </cell>
        </row>
        <row r="439">
          <cell r="A439">
            <v>820361</v>
          </cell>
          <cell r="B439" t="str">
            <v>Suc. Belenes</v>
          </cell>
          <cell r="C439" t="str">
            <v>Occidente</v>
          </cell>
          <cell r="D439" t="str">
            <v>Zapopan</v>
          </cell>
          <cell r="N439">
            <v>0.85</v>
          </cell>
          <cell r="O439">
            <v>0.08</v>
          </cell>
          <cell r="P439">
            <v>7.0000000000000007E-2</v>
          </cell>
          <cell r="BW439">
            <v>0</v>
          </cell>
          <cell r="BX439">
            <v>62.257376663101596</v>
          </cell>
          <cell r="CG439">
            <v>0.6133049506022723</v>
          </cell>
          <cell r="CH439">
            <v>0.1436156926529332</v>
          </cell>
        </row>
        <row r="440">
          <cell r="A440">
            <v>810338</v>
          </cell>
          <cell r="B440" t="str">
            <v>Cedi Tonalá</v>
          </cell>
          <cell r="C440" t="str">
            <v>Occidente</v>
          </cell>
          <cell r="D440" t="str">
            <v>Favorita</v>
          </cell>
          <cell r="N440">
            <v>0.85</v>
          </cell>
          <cell r="O440">
            <v>0.08</v>
          </cell>
          <cell r="P440">
            <v>7.0000000000000007E-2</v>
          </cell>
          <cell r="BW440">
            <v>0</v>
          </cell>
          <cell r="BX440">
            <v>47.814314075757665</v>
          </cell>
          <cell r="CG440">
            <v>0.61192567155681798</v>
          </cell>
          <cell r="CH440">
            <v>0.28902247994089664</v>
          </cell>
        </row>
        <row r="441">
          <cell r="A441">
            <v>301340</v>
          </cell>
          <cell r="B441" t="str">
            <v>Planta Cd. Juárez</v>
          </cell>
          <cell r="C441" t="str">
            <v>Norte</v>
          </cell>
          <cell r="D441" t="str">
            <v>Juárez</v>
          </cell>
          <cell r="N441">
            <v>0.85</v>
          </cell>
          <cell r="O441">
            <v>0.08</v>
          </cell>
          <cell r="P441">
            <v>7.0000000000000007E-2</v>
          </cell>
          <cell r="BW441">
            <v>0</v>
          </cell>
          <cell r="BX441">
            <v>25.988804501782219</v>
          </cell>
          <cell r="CG441">
            <v>0.61173016036363392</v>
          </cell>
          <cell r="CH441">
            <v>0.42288427038521836</v>
          </cell>
        </row>
        <row r="442">
          <cell r="A442">
            <v>220341</v>
          </cell>
          <cell r="B442" t="str">
            <v>Suc. Santa Rita</v>
          </cell>
          <cell r="C442" t="str">
            <v>Norte</v>
          </cell>
          <cell r="D442" t="str">
            <v>Comarca</v>
          </cell>
          <cell r="N442">
            <v>0.85</v>
          </cell>
          <cell r="O442">
            <v>0.08</v>
          </cell>
          <cell r="P442">
            <v>7.0000000000000007E-2</v>
          </cell>
          <cell r="BW442">
            <v>0</v>
          </cell>
          <cell r="BX442">
            <v>33.346005566740835</v>
          </cell>
          <cell r="CG442">
            <v>0.58931931477272703</v>
          </cell>
          <cell r="CH442">
            <v>0.32551677755583724</v>
          </cell>
        </row>
        <row r="443">
          <cell r="A443">
            <v>820412</v>
          </cell>
          <cell r="B443" t="str">
            <v>Suc. Belenes</v>
          </cell>
          <cell r="C443" t="str">
            <v>Occidente</v>
          </cell>
          <cell r="D443" t="str">
            <v>Zapopan</v>
          </cell>
          <cell r="N443">
            <v>0.85</v>
          </cell>
          <cell r="O443">
            <v>0.08</v>
          </cell>
          <cell r="P443">
            <v>7.0000000000000007E-2</v>
          </cell>
          <cell r="BW443">
            <v>0</v>
          </cell>
          <cell r="BX443">
            <v>58.715494792335093</v>
          </cell>
          <cell r="CG443">
            <v>0.61092435170454529</v>
          </cell>
          <cell r="CH443">
            <v>0.17668329454773835</v>
          </cell>
        </row>
        <row r="444">
          <cell r="A444">
            <v>803354</v>
          </cell>
          <cell r="B444" t="str">
            <v>Suc. San Rafael</v>
          </cell>
          <cell r="C444" t="str">
            <v>Occidente</v>
          </cell>
          <cell r="D444" t="str">
            <v>Favorita</v>
          </cell>
          <cell r="N444">
            <v>0.85</v>
          </cell>
          <cell r="O444">
            <v>0.08</v>
          </cell>
          <cell r="P444">
            <v>7.0000000000000007E-2</v>
          </cell>
          <cell r="BW444">
            <v>0</v>
          </cell>
          <cell r="BX444">
            <v>43.165876953653985</v>
          </cell>
          <cell r="CG444">
            <v>0.60899837942045343</v>
          </cell>
          <cell r="CH444">
            <v>0.3326710171878165</v>
          </cell>
        </row>
        <row r="445">
          <cell r="A445">
            <v>301359</v>
          </cell>
          <cell r="B445" t="str">
            <v>Planta Cd. Juárez</v>
          </cell>
          <cell r="C445" t="str">
            <v>Norte</v>
          </cell>
          <cell r="D445" t="str">
            <v>Juárez</v>
          </cell>
          <cell r="N445">
            <v>0.85</v>
          </cell>
          <cell r="O445">
            <v>0.08</v>
          </cell>
          <cell r="P445">
            <v>7.0000000000000007E-2</v>
          </cell>
          <cell r="BW445">
            <v>0</v>
          </cell>
          <cell r="BX445">
            <v>38.260355227272541</v>
          </cell>
          <cell r="CG445">
            <v>0.43482683211136253</v>
          </cell>
          <cell r="CH445">
            <v>0.25240520036297753</v>
          </cell>
        </row>
        <row r="446">
          <cell r="A446">
            <v>819343</v>
          </cell>
          <cell r="B446" t="str">
            <v>Suc. Huentitán</v>
          </cell>
          <cell r="C446" t="str">
            <v>Occidente</v>
          </cell>
          <cell r="D446" t="str">
            <v>Zapopan</v>
          </cell>
          <cell r="N446">
            <v>0.85</v>
          </cell>
          <cell r="O446">
            <v>0.08</v>
          </cell>
          <cell r="P446">
            <v>7.0000000000000007E-2</v>
          </cell>
          <cell r="BW446">
            <v>0</v>
          </cell>
          <cell r="BX446">
            <v>47.244484223707822</v>
          </cell>
          <cell r="CG446">
            <v>0.60787830313636382</v>
          </cell>
          <cell r="CH446">
            <v>0.28969448497370992</v>
          </cell>
        </row>
        <row r="447">
          <cell r="A447">
            <v>816360</v>
          </cell>
          <cell r="B447" t="str">
            <v>Planta Zapopan</v>
          </cell>
          <cell r="C447" t="str">
            <v>Occidente</v>
          </cell>
          <cell r="D447" t="str">
            <v>Zapopan</v>
          </cell>
          <cell r="N447">
            <v>0.85</v>
          </cell>
          <cell r="O447">
            <v>0.08</v>
          </cell>
          <cell r="P447">
            <v>7.0000000000000007E-2</v>
          </cell>
          <cell r="BW447">
            <v>0</v>
          </cell>
          <cell r="BX447">
            <v>46.7346353333335</v>
          </cell>
          <cell r="CG447">
            <v>0.60728701234090876</v>
          </cell>
          <cell r="CH447">
            <v>0.29413917730498906</v>
          </cell>
        </row>
        <row r="448">
          <cell r="A448">
            <v>203313</v>
          </cell>
          <cell r="B448" t="str">
            <v>Planta Agua y Hielo</v>
          </cell>
          <cell r="C448" t="str">
            <v>Noreste</v>
          </cell>
          <cell r="D448" t="str">
            <v>Saltillo</v>
          </cell>
          <cell r="N448">
            <v>0.8</v>
          </cell>
          <cell r="O448">
            <v>0.12</v>
          </cell>
          <cell r="P448">
            <v>0.08</v>
          </cell>
          <cell r="BW448">
            <v>0</v>
          </cell>
          <cell r="BX448">
            <v>41.430180270034334</v>
          </cell>
          <cell r="CG448">
            <v>0.60720812897727261</v>
          </cell>
          <cell r="CH448">
            <v>0.29646584610573523</v>
          </cell>
        </row>
        <row r="449">
          <cell r="A449">
            <v>203325</v>
          </cell>
          <cell r="B449" t="str">
            <v>Planta Agua y Hielo</v>
          </cell>
          <cell r="C449" t="str">
            <v>Noreste</v>
          </cell>
          <cell r="D449" t="str">
            <v>Saltillo</v>
          </cell>
          <cell r="N449">
            <v>0.8</v>
          </cell>
          <cell r="O449">
            <v>0.12</v>
          </cell>
          <cell r="P449">
            <v>0.08</v>
          </cell>
          <cell r="BW449">
            <v>0</v>
          </cell>
          <cell r="BX449">
            <v>34.245715512458716</v>
          </cell>
          <cell r="CG449">
            <v>0.60704242159090882</v>
          </cell>
          <cell r="CH449">
            <v>0.41846667500533724</v>
          </cell>
        </row>
        <row r="450">
          <cell r="A450">
            <v>809341</v>
          </cell>
          <cell r="B450" t="str">
            <v>Suc. Santa Maria</v>
          </cell>
          <cell r="C450" t="str">
            <v>Occidente</v>
          </cell>
          <cell r="D450" t="str">
            <v>Favorita</v>
          </cell>
          <cell r="N450">
            <v>0.85</v>
          </cell>
          <cell r="O450">
            <v>0.08</v>
          </cell>
          <cell r="P450">
            <v>7.0000000000000007E-2</v>
          </cell>
          <cell r="BW450">
            <v>0</v>
          </cell>
          <cell r="BX450">
            <v>49.269364458110488</v>
          </cell>
          <cell r="CG450">
            <v>0.60583449150000002</v>
          </cell>
          <cell r="CH450">
            <v>0.26647110175213984</v>
          </cell>
        </row>
        <row r="451">
          <cell r="A451">
            <v>803355</v>
          </cell>
          <cell r="B451" t="str">
            <v>Suc. San Rafael</v>
          </cell>
          <cell r="C451" t="str">
            <v>Occidente</v>
          </cell>
          <cell r="D451" t="str">
            <v>Favorita</v>
          </cell>
          <cell r="N451">
            <v>0.85</v>
          </cell>
          <cell r="O451">
            <v>0.08</v>
          </cell>
          <cell r="P451">
            <v>7.0000000000000007E-2</v>
          </cell>
          <cell r="BW451">
            <v>0</v>
          </cell>
          <cell r="BX451">
            <v>33.088932155971413</v>
          </cell>
          <cell r="CG451">
            <v>0.60580695548863572</v>
          </cell>
          <cell r="CH451">
            <v>0.43129406280225063</v>
          </cell>
        </row>
        <row r="452">
          <cell r="A452">
            <v>907347</v>
          </cell>
          <cell r="B452" t="str">
            <v>Planta Trojes</v>
          </cell>
          <cell r="C452" t="str">
            <v>Occidente</v>
          </cell>
          <cell r="D452" t="str">
            <v>Aguascalientes</v>
          </cell>
          <cell r="N452">
            <v>0.85</v>
          </cell>
          <cell r="O452">
            <v>0.08</v>
          </cell>
          <cell r="P452">
            <v>7.0000000000000007E-2</v>
          </cell>
          <cell r="BW452">
            <v>0</v>
          </cell>
          <cell r="BX452">
            <v>54.485211982174675</v>
          </cell>
          <cell r="CG452">
            <v>0.60538497218181786</v>
          </cell>
          <cell r="CH452">
            <v>0.21275810662213912</v>
          </cell>
        </row>
        <row r="453">
          <cell r="A453">
            <v>921401</v>
          </cell>
          <cell r="B453" t="str">
            <v>Suc. Río Verde</v>
          </cell>
          <cell r="C453" t="str">
            <v>Occidente</v>
          </cell>
          <cell r="D453" t="str">
            <v>San Luis</v>
          </cell>
          <cell r="N453">
            <v>0.85</v>
          </cell>
          <cell r="O453">
            <v>0.08</v>
          </cell>
          <cell r="P453">
            <v>7.0000000000000007E-2</v>
          </cell>
          <cell r="BW453">
            <v>0</v>
          </cell>
          <cell r="BX453">
            <v>49.932408870766494</v>
          </cell>
          <cell r="CG453">
            <v>0.60530326189772687</v>
          </cell>
          <cell r="CH453">
            <v>0.25904169686052447</v>
          </cell>
        </row>
        <row r="454">
          <cell r="A454">
            <v>820366</v>
          </cell>
          <cell r="B454" t="str">
            <v>Suc. Belenes</v>
          </cell>
          <cell r="C454" t="str">
            <v>Occidente</v>
          </cell>
          <cell r="D454" t="str">
            <v>Zapopan</v>
          </cell>
          <cell r="N454">
            <v>0.85</v>
          </cell>
          <cell r="O454">
            <v>0.08</v>
          </cell>
          <cell r="P454">
            <v>7.0000000000000007E-2</v>
          </cell>
          <cell r="BW454">
            <v>0</v>
          </cell>
          <cell r="BX454">
            <v>52.176659900178464</v>
          </cell>
          <cell r="CG454">
            <v>0.60496955484238712</v>
          </cell>
          <cell r="CH454">
            <v>0.23575236591594065</v>
          </cell>
        </row>
        <row r="455">
          <cell r="A455">
            <v>931403</v>
          </cell>
          <cell r="B455" t="str">
            <v>Planta Guadiana</v>
          </cell>
          <cell r="C455" t="str">
            <v>Norte</v>
          </cell>
          <cell r="D455" t="str">
            <v>Guadiana</v>
          </cell>
          <cell r="N455">
            <v>0.85</v>
          </cell>
          <cell r="O455">
            <v>0.08</v>
          </cell>
          <cell r="P455">
            <v>7.0000000000000007E-2</v>
          </cell>
          <cell r="BW455">
            <v>0</v>
          </cell>
          <cell r="BX455">
            <v>55.377242348906741</v>
          </cell>
          <cell r="CG455">
            <v>0.60468784568181733</v>
          </cell>
          <cell r="CH455">
            <v>0.24770240270251256</v>
          </cell>
        </row>
        <row r="456">
          <cell r="A456">
            <v>916413</v>
          </cell>
          <cell r="B456" t="str">
            <v>Planta San Luis</v>
          </cell>
          <cell r="C456" t="str">
            <v>Occidente</v>
          </cell>
          <cell r="D456" t="str">
            <v>San Luis</v>
          </cell>
          <cell r="N456">
            <v>0.85</v>
          </cell>
          <cell r="O456">
            <v>0.08</v>
          </cell>
          <cell r="P456">
            <v>7.0000000000000007E-2</v>
          </cell>
          <cell r="BW456">
            <v>0</v>
          </cell>
          <cell r="BX456">
            <v>45.606334336898357</v>
          </cell>
          <cell r="CG456">
            <v>0.60454344968181828</v>
          </cell>
          <cell r="CH456">
            <v>0.30215508364838711</v>
          </cell>
        </row>
        <row r="457">
          <cell r="A457">
            <v>301355</v>
          </cell>
          <cell r="B457" t="str">
            <v>Planta Cd. Juárez</v>
          </cell>
          <cell r="C457" t="str">
            <v>Norte</v>
          </cell>
          <cell r="D457" t="str">
            <v>Juárez</v>
          </cell>
          <cell r="N457">
            <v>0.85</v>
          </cell>
          <cell r="O457">
            <v>0.08</v>
          </cell>
          <cell r="P457">
            <v>7.0000000000000007E-2</v>
          </cell>
          <cell r="BW457">
            <v>0</v>
          </cell>
          <cell r="BX457">
            <v>38.416086663992601</v>
          </cell>
          <cell r="CG457">
            <v>0.60370412931817952</v>
          </cell>
          <cell r="CH457">
            <v>0.24387963069421961</v>
          </cell>
        </row>
        <row r="458">
          <cell r="A458">
            <v>301354</v>
          </cell>
          <cell r="B458" t="str">
            <v>Planta Cd. Juárez</v>
          </cell>
          <cell r="C458" t="str">
            <v>Norte</v>
          </cell>
          <cell r="D458" t="str">
            <v>Juárez</v>
          </cell>
          <cell r="N458">
            <v>0.85</v>
          </cell>
          <cell r="O458">
            <v>0.08</v>
          </cell>
          <cell r="P458">
            <v>7.0000000000000007E-2</v>
          </cell>
          <cell r="BW458">
            <v>0</v>
          </cell>
          <cell r="BX458">
            <v>31.301333304812736</v>
          </cell>
          <cell r="CG458">
            <v>0.43121504863636245</v>
          </cell>
          <cell r="CH458">
            <v>0.34052938431279306</v>
          </cell>
        </row>
        <row r="459">
          <cell r="A459">
            <v>816376</v>
          </cell>
          <cell r="B459" t="str">
            <v>Planta Zapopan</v>
          </cell>
          <cell r="C459" t="str">
            <v>Occidente</v>
          </cell>
          <cell r="D459" t="str">
            <v>Zapopan</v>
          </cell>
          <cell r="N459">
            <v>0.85</v>
          </cell>
          <cell r="O459">
            <v>0.08</v>
          </cell>
          <cell r="P459">
            <v>7.0000000000000007E-2</v>
          </cell>
          <cell r="BW459">
            <v>0</v>
          </cell>
          <cell r="BX459">
            <v>56.510787993761255</v>
          </cell>
          <cell r="CG459">
            <v>0.60282416393181804</v>
          </cell>
          <cell r="CH459">
            <v>0.18887185672304269</v>
          </cell>
        </row>
        <row r="460">
          <cell r="A460">
            <v>831403</v>
          </cell>
          <cell r="B460" t="str">
            <v>Planta Los Altos</v>
          </cell>
          <cell r="C460" t="str">
            <v>Occidente</v>
          </cell>
          <cell r="D460" t="str">
            <v>Los Altos</v>
          </cell>
          <cell r="N460">
            <v>0.85</v>
          </cell>
          <cell r="O460">
            <v>0.08</v>
          </cell>
          <cell r="P460">
            <v>7.0000000000000007E-2</v>
          </cell>
          <cell r="BW460">
            <v>0</v>
          </cell>
          <cell r="BX460">
            <v>48.712005180926795</v>
          </cell>
          <cell r="CG460">
            <v>0.60027380652272622</v>
          </cell>
          <cell r="CH460">
            <v>0.26509650098197285</v>
          </cell>
        </row>
        <row r="461">
          <cell r="A461">
            <v>931432</v>
          </cell>
          <cell r="B461" t="str">
            <v>Planta Guadiana</v>
          </cell>
          <cell r="C461" t="str">
            <v>Norte</v>
          </cell>
          <cell r="D461" t="str">
            <v>Guadiana</v>
          </cell>
          <cell r="N461">
            <v>0.85</v>
          </cell>
          <cell r="O461">
            <v>0.08</v>
          </cell>
          <cell r="P461">
            <v>7.0000000000000007E-2</v>
          </cell>
          <cell r="BW461">
            <v>0</v>
          </cell>
          <cell r="BX461">
            <v>51.421356606482632</v>
          </cell>
          <cell r="CG461">
            <v>0.5987783112750007</v>
          </cell>
          <cell r="CH461">
            <v>0.30144295049755454</v>
          </cell>
        </row>
        <row r="462">
          <cell r="A462">
            <v>907343</v>
          </cell>
          <cell r="B462" t="str">
            <v>Planta Trojes</v>
          </cell>
          <cell r="C462" t="str">
            <v>Occidente</v>
          </cell>
          <cell r="D462" t="str">
            <v>Aguascalientes</v>
          </cell>
          <cell r="N462">
            <v>0.85</v>
          </cell>
          <cell r="O462">
            <v>0.08</v>
          </cell>
          <cell r="P462">
            <v>7.0000000000000007E-2</v>
          </cell>
          <cell r="BW462">
            <v>0</v>
          </cell>
          <cell r="BX462">
            <v>52.906152438502659</v>
          </cell>
          <cell r="CG462">
            <v>0.59846317148863593</v>
          </cell>
          <cell r="CH462">
            <v>0.22006683400245328</v>
          </cell>
        </row>
        <row r="463">
          <cell r="A463">
            <v>810339</v>
          </cell>
          <cell r="B463" t="str">
            <v>Cedi Tonalá</v>
          </cell>
          <cell r="C463" t="str">
            <v>Occidente</v>
          </cell>
          <cell r="D463" t="str">
            <v>Favorita</v>
          </cell>
          <cell r="N463">
            <v>0.85</v>
          </cell>
          <cell r="O463">
            <v>0.08</v>
          </cell>
          <cell r="P463">
            <v>7.0000000000000007E-2</v>
          </cell>
          <cell r="BW463">
            <v>0</v>
          </cell>
          <cell r="BX463">
            <v>43.377001045454492</v>
          </cell>
          <cell r="CG463">
            <v>0.59844911543852997</v>
          </cell>
          <cell r="CH463">
            <v>0.27610669697343693</v>
          </cell>
        </row>
        <row r="464">
          <cell r="A464">
            <v>916346</v>
          </cell>
          <cell r="B464" t="str">
            <v>Planta San Luis</v>
          </cell>
          <cell r="C464" t="str">
            <v>Occidente</v>
          </cell>
          <cell r="D464" t="str">
            <v>San Luis</v>
          </cell>
          <cell r="N464">
            <v>0.85</v>
          </cell>
          <cell r="O464">
            <v>0.08</v>
          </cell>
          <cell r="P464">
            <v>7.0000000000000007E-2</v>
          </cell>
          <cell r="BW464">
            <v>0</v>
          </cell>
          <cell r="BX464">
            <v>44.485418780748653</v>
          </cell>
          <cell r="CG464">
            <v>0.59841323253409073</v>
          </cell>
          <cell r="CH464">
            <v>0.30579998417922083</v>
          </cell>
        </row>
        <row r="465">
          <cell r="A465">
            <v>820430</v>
          </cell>
          <cell r="B465" t="str">
            <v>Suc. Belenes</v>
          </cell>
          <cell r="C465" t="str">
            <v>Occidente</v>
          </cell>
          <cell r="D465" t="str">
            <v>Zapopan</v>
          </cell>
          <cell r="N465">
            <v>0.85</v>
          </cell>
          <cell r="O465">
            <v>0.08</v>
          </cell>
          <cell r="P465">
            <v>7.0000000000000007E-2</v>
          </cell>
          <cell r="BW465">
            <v>0</v>
          </cell>
          <cell r="BX465">
            <v>52.626055307486787</v>
          </cell>
          <cell r="CG465">
            <v>0.59814657930681836</v>
          </cell>
          <cell r="CH465">
            <v>0.22251908793259023</v>
          </cell>
        </row>
        <row r="466">
          <cell r="A466">
            <v>820365</v>
          </cell>
          <cell r="B466" t="str">
            <v>Suc. Belenes</v>
          </cell>
          <cell r="C466" t="str">
            <v>Occidente</v>
          </cell>
          <cell r="D466" t="str">
            <v>Zapopan</v>
          </cell>
          <cell r="N466">
            <v>0.85</v>
          </cell>
          <cell r="O466">
            <v>0.08</v>
          </cell>
          <cell r="P466">
            <v>7.0000000000000007E-2</v>
          </cell>
          <cell r="BW466">
            <v>0</v>
          </cell>
          <cell r="BX466">
            <v>45.431994745989371</v>
          </cell>
          <cell r="CG466">
            <v>0.59754279732954529</v>
          </cell>
          <cell r="CH466">
            <v>0.29505149486913362</v>
          </cell>
        </row>
        <row r="467">
          <cell r="A467">
            <v>901407</v>
          </cell>
          <cell r="B467" t="str">
            <v>Planta Aguascalientes</v>
          </cell>
          <cell r="C467" t="str">
            <v>Occidente</v>
          </cell>
          <cell r="D467" t="str">
            <v>Aguascalientes</v>
          </cell>
          <cell r="N467">
            <v>0.85</v>
          </cell>
          <cell r="O467">
            <v>0.08</v>
          </cell>
          <cell r="P467">
            <v>7.0000000000000007E-2</v>
          </cell>
          <cell r="BW467">
            <v>0</v>
          </cell>
          <cell r="BX467">
            <v>58.467612192513428</v>
          </cell>
          <cell r="CG467">
            <v>0.59689068934090872</v>
          </cell>
          <cell r="CH467">
            <v>0.16140808522248845</v>
          </cell>
        </row>
        <row r="468">
          <cell r="A468">
            <v>809324</v>
          </cell>
          <cell r="B468" t="str">
            <v>Suc. Santa Maria</v>
          </cell>
          <cell r="C468" t="str">
            <v>Occidente</v>
          </cell>
          <cell r="D468" t="str">
            <v>Favorita</v>
          </cell>
          <cell r="N468">
            <v>0.85</v>
          </cell>
          <cell r="O468">
            <v>0.08</v>
          </cell>
          <cell r="P468">
            <v>7.0000000000000007E-2</v>
          </cell>
          <cell r="BW468">
            <v>0</v>
          </cell>
          <cell r="BX468">
            <v>37.369936135472351</v>
          </cell>
          <cell r="CG468">
            <v>0.59561769487499971</v>
          </cell>
          <cell r="CH468">
            <v>0.3747516789013049</v>
          </cell>
        </row>
        <row r="469">
          <cell r="A469">
            <v>810353</v>
          </cell>
          <cell r="B469" t="str">
            <v>Cedi Tonalá</v>
          </cell>
          <cell r="C469" t="str">
            <v>Occidente</v>
          </cell>
          <cell r="D469" t="str">
            <v>Favorita</v>
          </cell>
          <cell r="N469">
            <v>0.85</v>
          </cell>
          <cell r="O469">
            <v>0.08</v>
          </cell>
          <cell r="P469">
            <v>7.0000000000000007E-2</v>
          </cell>
          <cell r="BW469">
            <v>0</v>
          </cell>
          <cell r="BX469">
            <v>43.980628789661338</v>
          </cell>
          <cell r="CG469">
            <v>0.5940186238636358</v>
          </cell>
          <cell r="CH469">
            <v>0.30536886394415702</v>
          </cell>
        </row>
        <row r="470">
          <cell r="A470">
            <v>901409</v>
          </cell>
          <cell r="B470" t="str">
            <v>Planta Aguascalientes</v>
          </cell>
          <cell r="C470" t="str">
            <v>Occidente</v>
          </cell>
          <cell r="D470" t="str">
            <v>Aguascalientes</v>
          </cell>
          <cell r="N470">
            <v>0.85</v>
          </cell>
          <cell r="O470">
            <v>0.08</v>
          </cell>
          <cell r="P470">
            <v>7.0000000000000007E-2</v>
          </cell>
          <cell r="BW470">
            <v>0</v>
          </cell>
          <cell r="BX470">
            <v>56.608710425133722</v>
          </cell>
          <cell r="CG470">
            <v>0.59390245114772733</v>
          </cell>
          <cell r="CH470">
            <v>0.17655752252223197</v>
          </cell>
        </row>
        <row r="471">
          <cell r="A471">
            <v>931410</v>
          </cell>
          <cell r="B471" t="str">
            <v>Planta Guadiana</v>
          </cell>
          <cell r="C471" t="str">
            <v>Norte</v>
          </cell>
          <cell r="D471" t="str">
            <v>Guadiana</v>
          </cell>
          <cell r="N471">
            <v>0.85</v>
          </cell>
          <cell r="O471">
            <v>0.08</v>
          </cell>
          <cell r="P471">
            <v>7.0000000000000007E-2</v>
          </cell>
          <cell r="BW471">
            <v>0</v>
          </cell>
          <cell r="BX471">
            <v>38.34724865193698</v>
          </cell>
          <cell r="CG471">
            <v>0.59347122749999892</v>
          </cell>
          <cell r="CH471">
            <v>0.47905417821169216</v>
          </cell>
        </row>
        <row r="472">
          <cell r="A472">
            <v>703309</v>
          </cell>
          <cell r="B472" t="str">
            <v>Sucursal Universidad</v>
          </cell>
          <cell r="C472" t="str">
            <v>Noreste</v>
          </cell>
          <cell r="D472" t="str">
            <v>Monterrey</v>
          </cell>
          <cell r="N472">
            <v>0.8</v>
          </cell>
          <cell r="O472">
            <v>0.12</v>
          </cell>
          <cell r="P472">
            <v>0.08</v>
          </cell>
          <cell r="BW472">
            <v>0</v>
          </cell>
          <cell r="BX472">
            <v>0</v>
          </cell>
          <cell r="CG472">
            <v>0.59252492536363577</v>
          </cell>
          <cell r="CH472">
            <v>0.20615760373220976</v>
          </cell>
        </row>
        <row r="473">
          <cell r="A473">
            <v>901417</v>
          </cell>
          <cell r="B473" t="str">
            <v>Planta Aguascalientes</v>
          </cell>
          <cell r="C473" t="str">
            <v>Occidente</v>
          </cell>
          <cell r="D473" t="str">
            <v>Aguascalientes</v>
          </cell>
          <cell r="N473">
            <v>0.85</v>
          </cell>
          <cell r="O473">
            <v>0.08</v>
          </cell>
          <cell r="P473">
            <v>7.0000000000000007E-2</v>
          </cell>
          <cell r="BW473">
            <v>0</v>
          </cell>
          <cell r="BX473">
            <v>60.605538474153335</v>
          </cell>
          <cell r="CG473">
            <v>0.59186742801136361</v>
          </cell>
          <cell r="CH473">
            <v>0.13325366348651305</v>
          </cell>
        </row>
        <row r="474">
          <cell r="A474">
            <v>809339</v>
          </cell>
          <cell r="B474" t="str">
            <v>Suc. Santa Maria</v>
          </cell>
          <cell r="C474" t="str">
            <v>Occidente</v>
          </cell>
          <cell r="D474" t="str">
            <v>Favorita</v>
          </cell>
          <cell r="N474">
            <v>0.85</v>
          </cell>
          <cell r="O474">
            <v>0.08</v>
          </cell>
          <cell r="P474">
            <v>7.0000000000000007E-2</v>
          </cell>
          <cell r="BW474">
            <v>0</v>
          </cell>
          <cell r="BX474">
            <v>48.241708112299619</v>
          </cell>
          <cell r="CG474">
            <v>0.58677536838375011</v>
          </cell>
          <cell r="CH474">
            <v>0.25276630850212878</v>
          </cell>
        </row>
        <row r="475">
          <cell r="A475">
            <v>820363</v>
          </cell>
          <cell r="B475" t="str">
            <v>Suc. Belenes</v>
          </cell>
          <cell r="C475" t="str">
            <v>Occidente</v>
          </cell>
          <cell r="D475" t="str">
            <v>Zapopan</v>
          </cell>
          <cell r="N475">
            <v>0.85</v>
          </cell>
          <cell r="O475">
            <v>0.08</v>
          </cell>
          <cell r="P475">
            <v>7.0000000000000007E-2</v>
          </cell>
          <cell r="BW475">
            <v>0</v>
          </cell>
          <cell r="BX475">
            <v>47.554068603386867</v>
          </cell>
          <cell r="CG475">
            <v>0.58660841925000007</v>
          </cell>
          <cell r="CH475">
            <v>0.25956071024013017</v>
          </cell>
        </row>
        <row r="476">
          <cell r="A476">
            <v>217342</v>
          </cell>
          <cell r="B476" t="str">
            <v>Suc. Estadio</v>
          </cell>
          <cell r="C476" t="str">
            <v>Norte</v>
          </cell>
          <cell r="D476" t="str">
            <v>Comarca</v>
          </cell>
          <cell r="N476">
            <v>0.85</v>
          </cell>
          <cell r="O476">
            <v>0.08</v>
          </cell>
          <cell r="P476">
            <v>7.0000000000000007E-2</v>
          </cell>
          <cell r="BW476">
            <v>0</v>
          </cell>
          <cell r="BX476">
            <v>31.693999313725481</v>
          </cell>
          <cell r="CG476">
            <v>0.54459710539772743</v>
          </cell>
          <cell r="CH476">
            <v>0.42889979143488344</v>
          </cell>
        </row>
        <row r="477">
          <cell r="A477">
            <v>835401</v>
          </cell>
          <cell r="B477" t="str">
            <v>Suc. Ocotlan</v>
          </cell>
          <cell r="C477" t="str">
            <v>Occidente</v>
          </cell>
          <cell r="D477" t="str">
            <v>Los Altos</v>
          </cell>
          <cell r="N477">
            <v>0.85</v>
          </cell>
          <cell r="O477">
            <v>0.08</v>
          </cell>
          <cell r="P477">
            <v>7.0000000000000007E-2</v>
          </cell>
          <cell r="BW477">
            <v>0</v>
          </cell>
          <cell r="BX477">
            <v>36.446058331550773</v>
          </cell>
          <cell r="CG477">
            <v>0.58511172323863614</v>
          </cell>
          <cell r="CH477">
            <v>7.3967720589058344E-2</v>
          </cell>
        </row>
        <row r="478">
          <cell r="A478">
            <v>810324</v>
          </cell>
          <cell r="B478" t="str">
            <v>Cedi Tonalá</v>
          </cell>
          <cell r="C478" t="str">
            <v>Occidente</v>
          </cell>
          <cell r="D478" t="str">
            <v>Favorita</v>
          </cell>
          <cell r="N478">
            <v>0.85</v>
          </cell>
          <cell r="O478">
            <v>0.08</v>
          </cell>
          <cell r="P478">
            <v>7.0000000000000007E-2</v>
          </cell>
          <cell r="BW478">
            <v>0</v>
          </cell>
          <cell r="BX478">
            <v>50.401141647058829</v>
          </cell>
          <cell r="CG478">
            <v>0.58352000890909073</v>
          </cell>
          <cell r="CH478">
            <v>0.22663522739965761</v>
          </cell>
        </row>
        <row r="479">
          <cell r="A479">
            <v>810336</v>
          </cell>
          <cell r="B479" t="str">
            <v>Cedi Tonalá</v>
          </cell>
          <cell r="C479" t="str">
            <v>Occidente</v>
          </cell>
          <cell r="D479" t="str">
            <v>Favorita</v>
          </cell>
          <cell r="N479">
            <v>0.85</v>
          </cell>
          <cell r="O479">
            <v>0.08</v>
          </cell>
          <cell r="P479">
            <v>7.0000000000000007E-2</v>
          </cell>
          <cell r="BW479">
            <v>0</v>
          </cell>
          <cell r="BX479">
            <v>52.539507231729004</v>
          </cell>
          <cell r="CG479">
            <v>0.58264489634113648</v>
          </cell>
          <cell r="CH479">
            <v>0.20373799482007815</v>
          </cell>
        </row>
        <row r="480">
          <cell r="A480">
            <v>820345</v>
          </cell>
          <cell r="B480" t="str">
            <v>Suc. Belenes</v>
          </cell>
          <cell r="C480" t="str">
            <v>Occidente</v>
          </cell>
          <cell r="D480" t="str">
            <v>Zapopan</v>
          </cell>
          <cell r="N480">
            <v>0.85</v>
          </cell>
          <cell r="O480">
            <v>0.08</v>
          </cell>
          <cell r="P480">
            <v>7.0000000000000007E-2</v>
          </cell>
          <cell r="BW480">
            <v>0</v>
          </cell>
          <cell r="BX480">
            <v>55.42402384937607</v>
          </cell>
          <cell r="CG480">
            <v>0.58263274411363564</v>
          </cell>
          <cell r="CH480">
            <v>0.17433304930698768</v>
          </cell>
        </row>
        <row r="481">
          <cell r="A481">
            <v>820351</v>
          </cell>
          <cell r="B481" t="str">
            <v>Suc. Belenes</v>
          </cell>
          <cell r="C481" t="str">
            <v>Occidente</v>
          </cell>
          <cell r="D481" t="str">
            <v>Zapopan</v>
          </cell>
          <cell r="N481">
            <v>0.85</v>
          </cell>
          <cell r="O481">
            <v>0.08</v>
          </cell>
          <cell r="P481">
            <v>7.0000000000000007E-2</v>
          </cell>
          <cell r="BW481">
            <v>0</v>
          </cell>
          <cell r="BX481">
            <v>50.849890308377901</v>
          </cell>
          <cell r="CG481">
            <v>0.58200836757954499</v>
          </cell>
          <cell r="CH481">
            <v>0.22014563139907894</v>
          </cell>
        </row>
        <row r="482">
          <cell r="A482">
            <v>803344</v>
          </cell>
          <cell r="B482" t="str">
            <v>Suc. San Rafael</v>
          </cell>
          <cell r="C482" t="str">
            <v>Occidente</v>
          </cell>
          <cell r="D482" t="str">
            <v>Favorita</v>
          </cell>
          <cell r="N482">
            <v>0.85</v>
          </cell>
          <cell r="O482">
            <v>0.08</v>
          </cell>
          <cell r="P482">
            <v>7.0000000000000007E-2</v>
          </cell>
          <cell r="BW482">
            <v>0</v>
          </cell>
          <cell r="BX482">
            <v>29.831724114081943</v>
          </cell>
          <cell r="CG482">
            <v>0.58182776304545447</v>
          </cell>
          <cell r="CH482">
            <v>0.43406474911048726</v>
          </cell>
        </row>
        <row r="483">
          <cell r="A483">
            <v>946404</v>
          </cell>
          <cell r="B483" t="str">
            <v>Planta Zacatecas</v>
          </cell>
          <cell r="C483" t="str">
            <v>Norte</v>
          </cell>
          <cell r="D483" t="str">
            <v>Zacatecas</v>
          </cell>
          <cell r="N483">
            <v>0.85</v>
          </cell>
          <cell r="O483">
            <v>0.08</v>
          </cell>
          <cell r="P483">
            <v>7.0000000000000007E-2</v>
          </cell>
          <cell r="BW483">
            <v>0</v>
          </cell>
          <cell r="BX483">
            <v>56.036483306047664</v>
          </cell>
          <cell r="CG483">
            <v>0.56785561520259753</v>
          </cell>
          <cell r="CH483">
            <v>0.34749712082807288</v>
          </cell>
        </row>
        <row r="484">
          <cell r="A484">
            <v>946410</v>
          </cell>
          <cell r="B484" t="str">
            <v>Planta Zacatecas</v>
          </cell>
          <cell r="C484" t="str">
            <v>Norte</v>
          </cell>
          <cell r="D484" t="str">
            <v>Zacatecas</v>
          </cell>
          <cell r="N484">
            <v>0.85</v>
          </cell>
          <cell r="O484">
            <v>0.08</v>
          </cell>
          <cell r="P484">
            <v>7.0000000000000007E-2</v>
          </cell>
          <cell r="BW484">
            <v>0</v>
          </cell>
          <cell r="BX484">
            <v>50.864752790896169</v>
          </cell>
          <cell r="CG484">
            <v>0.56744457077922039</v>
          </cell>
          <cell r="CH484">
            <v>0.40771804927226502</v>
          </cell>
        </row>
        <row r="485">
          <cell r="A485">
            <v>816343</v>
          </cell>
          <cell r="B485" t="str">
            <v>Planta Zapopan</v>
          </cell>
          <cell r="C485" t="str">
            <v>Occidente</v>
          </cell>
          <cell r="D485" t="str">
            <v>Zapopan</v>
          </cell>
          <cell r="N485">
            <v>0.85</v>
          </cell>
          <cell r="O485">
            <v>0.08</v>
          </cell>
          <cell r="P485">
            <v>7.0000000000000007E-2</v>
          </cell>
          <cell r="BW485">
            <v>0</v>
          </cell>
          <cell r="BX485">
            <v>59.940438930481413</v>
          </cell>
          <cell r="CG485">
            <v>0.58127817037500007</v>
          </cell>
          <cell r="CH485">
            <v>0.12659837080805589</v>
          </cell>
        </row>
        <row r="486">
          <cell r="A486">
            <v>810325</v>
          </cell>
          <cell r="B486" t="str">
            <v>Cedi Tonalá</v>
          </cell>
          <cell r="C486" t="str">
            <v>Occidente</v>
          </cell>
          <cell r="D486" t="str">
            <v>Favorita</v>
          </cell>
          <cell r="N486">
            <v>0.85</v>
          </cell>
          <cell r="O486">
            <v>0.08</v>
          </cell>
          <cell r="P486">
            <v>7.0000000000000007E-2</v>
          </cell>
          <cell r="BW486">
            <v>0</v>
          </cell>
          <cell r="BX486">
            <v>48.345382163101561</v>
          </cell>
          <cell r="CG486">
            <v>0.57937872806386326</v>
          </cell>
          <cell r="CH486">
            <v>0.2423278309020899</v>
          </cell>
        </row>
        <row r="487">
          <cell r="A487">
            <v>916344</v>
          </cell>
          <cell r="B487" t="str">
            <v>Planta San Luis</v>
          </cell>
          <cell r="C487" t="str">
            <v>Occidente</v>
          </cell>
          <cell r="D487" t="str">
            <v>San Luis</v>
          </cell>
          <cell r="N487">
            <v>0.85</v>
          </cell>
          <cell r="O487">
            <v>0.08</v>
          </cell>
          <cell r="P487">
            <v>7.0000000000000007E-2</v>
          </cell>
          <cell r="BW487">
            <v>0</v>
          </cell>
          <cell r="BX487">
            <v>37.267185309269152</v>
          </cell>
          <cell r="CG487">
            <v>0.57902479854545441</v>
          </cell>
          <cell r="CH487">
            <v>0.35475153573858725</v>
          </cell>
        </row>
        <row r="488">
          <cell r="A488">
            <v>802348</v>
          </cell>
          <cell r="B488" t="str">
            <v>Suc. Alamo</v>
          </cell>
          <cell r="C488" t="str">
            <v>Occidente</v>
          </cell>
          <cell r="D488" t="str">
            <v>Favorita</v>
          </cell>
          <cell r="N488">
            <v>0.85</v>
          </cell>
          <cell r="O488">
            <v>0.08</v>
          </cell>
          <cell r="P488">
            <v>7.0000000000000007E-2</v>
          </cell>
          <cell r="BW488">
            <v>0</v>
          </cell>
          <cell r="BX488">
            <v>49.358595557932489</v>
          </cell>
          <cell r="CG488">
            <v>0.57900770263636459</v>
          </cell>
          <cell r="CH488">
            <v>0.23153386130867282</v>
          </cell>
        </row>
        <row r="489">
          <cell r="A489">
            <v>803342</v>
          </cell>
          <cell r="B489" t="str">
            <v>Suc. San Rafael</v>
          </cell>
          <cell r="C489" t="str">
            <v>Occidente</v>
          </cell>
          <cell r="D489" t="str">
            <v>Favorita</v>
          </cell>
          <cell r="N489">
            <v>0.85</v>
          </cell>
          <cell r="O489">
            <v>0.08</v>
          </cell>
          <cell r="P489">
            <v>7.0000000000000007E-2</v>
          </cell>
          <cell r="BW489">
            <v>0</v>
          </cell>
          <cell r="BX489">
            <v>46.539823721925146</v>
          </cell>
          <cell r="CG489">
            <v>0.57805828046590879</v>
          </cell>
          <cell r="CH489">
            <v>0.25904925519239413</v>
          </cell>
        </row>
        <row r="490">
          <cell r="A490">
            <v>916349</v>
          </cell>
          <cell r="B490" t="str">
            <v>Planta San Luis</v>
          </cell>
          <cell r="C490" t="str">
            <v>Occidente</v>
          </cell>
          <cell r="D490" t="str">
            <v>San Luis</v>
          </cell>
          <cell r="N490">
            <v>0.85</v>
          </cell>
          <cell r="O490">
            <v>0.08</v>
          </cell>
          <cell r="P490">
            <v>7.0000000000000007E-2</v>
          </cell>
          <cell r="BW490">
            <v>0</v>
          </cell>
          <cell r="BX490">
            <v>35.891531508912692</v>
          </cell>
          <cell r="CG490">
            <v>0.57784458589772703</v>
          </cell>
          <cell r="CH490">
            <v>0.3672706613521195</v>
          </cell>
        </row>
        <row r="491">
          <cell r="A491">
            <v>916414</v>
          </cell>
          <cell r="B491" t="str">
            <v>Planta San Luis</v>
          </cell>
          <cell r="C491" t="str">
            <v>Occidente</v>
          </cell>
          <cell r="D491" t="str">
            <v>San Luis</v>
          </cell>
          <cell r="N491">
            <v>0.85</v>
          </cell>
          <cell r="O491">
            <v>0.08</v>
          </cell>
          <cell r="P491">
            <v>7.0000000000000007E-2</v>
          </cell>
          <cell r="BW491">
            <v>0</v>
          </cell>
          <cell r="BX491">
            <v>56.637429822638239</v>
          </cell>
          <cell r="CG491">
            <v>0.57567799728409108</v>
          </cell>
          <cell r="CH491">
            <v>0.15314833827201885</v>
          </cell>
        </row>
        <row r="492">
          <cell r="A492">
            <v>946409</v>
          </cell>
          <cell r="B492" t="str">
            <v>Planta Zacatecas</v>
          </cell>
          <cell r="C492" t="str">
            <v>Norte</v>
          </cell>
          <cell r="D492" t="str">
            <v>Zacatecas</v>
          </cell>
          <cell r="N492">
            <v>0.85</v>
          </cell>
          <cell r="O492">
            <v>0.08</v>
          </cell>
          <cell r="P492">
            <v>7.0000000000000007E-2</v>
          </cell>
          <cell r="BW492">
            <v>0</v>
          </cell>
          <cell r="BX492">
            <v>64.241051486631065</v>
          </cell>
          <cell r="CG492">
            <v>0.56137096811688314</v>
          </cell>
          <cell r="CH492">
            <v>0.24885020575604905</v>
          </cell>
        </row>
        <row r="493">
          <cell r="A493">
            <v>828301</v>
          </cell>
          <cell r="B493" t="str">
            <v>Suc. Zacoalco</v>
          </cell>
          <cell r="C493" t="str">
            <v>Occidente</v>
          </cell>
          <cell r="D493" t="str">
            <v>Zapopan</v>
          </cell>
          <cell r="N493">
            <v>0.85</v>
          </cell>
          <cell r="O493">
            <v>0.08</v>
          </cell>
          <cell r="P493">
            <v>7.0000000000000007E-2</v>
          </cell>
          <cell r="BW493">
            <v>0</v>
          </cell>
          <cell r="BX493">
            <v>24.408121201865839</v>
          </cell>
          <cell r="CG493">
            <v>0.57425267955681791</v>
          </cell>
          <cell r="CH493">
            <v>0.17066736178117445</v>
          </cell>
        </row>
        <row r="494">
          <cell r="A494">
            <v>931424</v>
          </cell>
          <cell r="B494" t="str">
            <v>Planta Guadiana</v>
          </cell>
          <cell r="C494" t="str">
            <v>Norte</v>
          </cell>
          <cell r="D494" t="str">
            <v>Guadiana</v>
          </cell>
          <cell r="N494">
            <v>0.85</v>
          </cell>
          <cell r="O494">
            <v>0.08</v>
          </cell>
          <cell r="P494">
            <v>7.0000000000000007E-2</v>
          </cell>
          <cell r="BW494">
            <v>0</v>
          </cell>
          <cell r="BX494">
            <v>45.788641227694612</v>
          </cell>
          <cell r="CG494">
            <v>0.57420963613636289</v>
          </cell>
          <cell r="CH494">
            <v>0.37796316107475186</v>
          </cell>
        </row>
        <row r="495">
          <cell r="A495">
            <v>819349</v>
          </cell>
          <cell r="B495" t="str">
            <v>Suc. Huentitán</v>
          </cell>
          <cell r="C495" t="str">
            <v>Occidente</v>
          </cell>
          <cell r="D495" t="str">
            <v>Zapopan</v>
          </cell>
          <cell r="N495">
            <v>0.85</v>
          </cell>
          <cell r="O495">
            <v>0.08</v>
          </cell>
          <cell r="P495">
            <v>7.0000000000000007E-2</v>
          </cell>
          <cell r="BW495">
            <v>0</v>
          </cell>
          <cell r="BX495">
            <v>52.447500937611487</v>
          </cell>
          <cell r="CG495">
            <v>0.5737934718409099</v>
          </cell>
          <cell r="CH495">
            <v>0.19344794741432739</v>
          </cell>
        </row>
        <row r="496">
          <cell r="A496">
            <v>810351</v>
          </cell>
          <cell r="B496" t="str">
            <v>Cedi Tonalá</v>
          </cell>
          <cell r="C496" t="str">
            <v>Occidente</v>
          </cell>
          <cell r="D496" t="str">
            <v>Favorita</v>
          </cell>
          <cell r="N496">
            <v>0.85</v>
          </cell>
          <cell r="O496">
            <v>0.08</v>
          </cell>
          <cell r="P496">
            <v>7.0000000000000007E-2</v>
          </cell>
          <cell r="BW496">
            <v>0</v>
          </cell>
          <cell r="BX496">
            <v>46.507803557932213</v>
          </cell>
          <cell r="CG496">
            <v>0.57262205937681787</v>
          </cell>
          <cell r="CH496">
            <v>0.25247999606276822</v>
          </cell>
        </row>
        <row r="497">
          <cell r="A497">
            <v>220343</v>
          </cell>
          <cell r="B497" t="str">
            <v>Suc. Santa Rita</v>
          </cell>
          <cell r="C497" t="str">
            <v>Norte</v>
          </cell>
          <cell r="D497" t="str">
            <v>Comarca</v>
          </cell>
          <cell r="N497">
            <v>0.85</v>
          </cell>
          <cell r="O497">
            <v>0.08</v>
          </cell>
          <cell r="P497">
            <v>7.0000000000000007E-2</v>
          </cell>
          <cell r="BW497">
            <v>0</v>
          </cell>
          <cell r="BX497">
            <v>28.199839754010803</v>
          </cell>
          <cell r="CG497">
            <v>0.55216777244318216</v>
          </cell>
          <cell r="CH497">
            <v>0.50167889094521601</v>
          </cell>
        </row>
        <row r="498">
          <cell r="A498">
            <v>946408</v>
          </cell>
          <cell r="B498" t="str">
            <v>Planta Zacatecas</v>
          </cell>
          <cell r="C498" t="str">
            <v>Norte</v>
          </cell>
          <cell r="D498" t="str">
            <v>Zacatecas</v>
          </cell>
          <cell r="N498">
            <v>0.85</v>
          </cell>
          <cell r="O498">
            <v>0.08</v>
          </cell>
          <cell r="P498">
            <v>7.0000000000000007E-2</v>
          </cell>
          <cell r="BW498">
            <v>0</v>
          </cell>
          <cell r="BX498">
            <v>61.309777557932264</v>
          </cell>
          <cell r="CG498">
            <v>0.55895722071428544</v>
          </cell>
          <cell r="CH498">
            <v>0.27869633436450647</v>
          </cell>
        </row>
        <row r="499">
          <cell r="A499">
            <v>820349</v>
          </cell>
          <cell r="B499" t="str">
            <v>Suc. Belenes</v>
          </cell>
          <cell r="C499" t="str">
            <v>Occidente</v>
          </cell>
          <cell r="D499" t="str">
            <v>Zapopan</v>
          </cell>
          <cell r="N499">
            <v>0.85</v>
          </cell>
          <cell r="O499">
            <v>0.08</v>
          </cell>
          <cell r="P499">
            <v>7.0000000000000007E-2</v>
          </cell>
          <cell r="BW499">
            <v>0</v>
          </cell>
          <cell r="BX499">
            <v>37.47116784848491</v>
          </cell>
          <cell r="CG499">
            <v>0.56997688960227255</v>
          </cell>
          <cell r="CH499">
            <v>0.34119651296262637</v>
          </cell>
        </row>
        <row r="500">
          <cell r="A500">
            <v>931407</v>
          </cell>
          <cell r="B500" t="str">
            <v>Planta Guadiana</v>
          </cell>
          <cell r="C500" t="str">
            <v>Norte</v>
          </cell>
          <cell r="D500" t="str">
            <v>Guadiana</v>
          </cell>
          <cell r="N500">
            <v>0.85</v>
          </cell>
          <cell r="O500">
            <v>0.08</v>
          </cell>
          <cell r="P500">
            <v>7.0000000000000007E-2</v>
          </cell>
          <cell r="BW500">
            <v>0</v>
          </cell>
          <cell r="BX500">
            <v>42.160909424664425</v>
          </cell>
          <cell r="CG500">
            <v>0.56981607340909057</v>
          </cell>
          <cell r="CH500">
            <v>0.42724575087697175</v>
          </cell>
        </row>
        <row r="501">
          <cell r="A501">
            <v>810331</v>
          </cell>
          <cell r="B501" t="str">
            <v>Cedi Tonalá</v>
          </cell>
          <cell r="C501" t="str">
            <v>Occidente</v>
          </cell>
          <cell r="D501" t="str">
            <v>Favorita</v>
          </cell>
          <cell r="N501">
            <v>0.85</v>
          </cell>
          <cell r="O501">
            <v>0.08</v>
          </cell>
          <cell r="P501">
            <v>7.0000000000000007E-2</v>
          </cell>
          <cell r="BW501">
            <v>0</v>
          </cell>
          <cell r="BX501">
            <v>50.070499614973187</v>
          </cell>
          <cell r="CG501">
            <v>0.56829887243181731</v>
          </cell>
          <cell r="CH501">
            <v>0.21069699470672659</v>
          </cell>
        </row>
        <row r="502">
          <cell r="A502">
            <v>931422</v>
          </cell>
          <cell r="B502" t="str">
            <v>Planta Guadiana</v>
          </cell>
          <cell r="C502" t="str">
            <v>Norte</v>
          </cell>
          <cell r="D502" t="str">
            <v>Guadiana</v>
          </cell>
          <cell r="N502">
            <v>0.85</v>
          </cell>
          <cell r="O502">
            <v>0.08</v>
          </cell>
          <cell r="P502">
            <v>7.0000000000000007E-2</v>
          </cell>
          <cell r="BW502">
            <v>0</v>
          </cell>
          <cell r="BX502">
            <v>55.598272682240022</v>
          </cell>
          <cell r="CG502">
            <v>0.56674361454545441</v>
          </cell>
          <cell r="CH502">
            <v>0.24469971456486866</v>
          </cell>
        </row>
        <row r="503">
          <cell r="A503">
            <v>220344</v>
          </cell>
          <cell r="B503" t="str">
            <v>Suc. Santa Rita</v>
          </cell>
          <cell r="C503" t="str">
            <v>Norte</v>
          </cell>
          <cell r="D503" t="str">
            <v>Comarca</v>
          </cell>
          <cell r="N503">
            <v>0.85</v>
          </cell>
          <cell r="O503">
            <v>0.08</v>
          </cell>
          <cell r="P503">
            <v>7.0000000000000007E-2</v>
          </cell>
          <cell r="BW503">
            <v>0</v>
          </cell>
          <cell r="BX503">
            <v>27.203592596256623</v>
          </cell>
          <cell r="CG503">
            <v>0.5459951889204544</v>
          </cell>
          <cell r="CH503">
            <v>0.50763501654486221</v>
          </cell>
        </row>
        <row r="504">
          <cell r="A504">
            <v>220347</v>
          </cell>
          <cell r="B504" t="str">
            <v>Suc. Santa Rita</v>
          </cell>
          <cell r="C504" t="str">
            <v>Norte</v>
          </cell>
          <cell r="D504" t="str">
            <v>Comarca</v>
          </cell>
          <cell r="N504">
            <v>0.85</v>
          </cell>
          <cell r="O504">
            <v>0.08</v>
          </cell>
          <cell r="P504">
            <v>7.0000000000000007E-2</v>
          </cell>
          <cell r="BW504">
            <v>0</v>
          </cell>
          <cell r="BX504">
            <v>29.126121937611405</v>
          </cell>
          <cell r="CG504">
            <v>0.54595021960227308</v>
          </cell>
          <cell r="CH504">
            <v>0.47490830533336781</v>
          </cell>
        </row>
        <row r="505">
          <cell r="A505">
            <v>820355</v>
          </cell>
          <cell r="B505" t="str">
            <v>Suc. Belenes</v>
          </cell>
          <cell r="C505" t="str">
            <v>Occidente</v>
          </cell>
          <cell r="D505" t="str">
            <v>Zapopan</v>
          </cell>
          <cell r="N505">
            <v>0.85</v>
          </cell>
          <cell r="O505">
            <v>0.08</v>
          </cell>
          <cell r="P505">
            <v>7.0000000000000007E-2</v>
          </cell>
          <cell r="BW505">
            <v>0</v>
          </cell>
          <cell r="BX505">
            <v>53.262857893939433</v>
          </cell>
          <cell r="CG505">
            <v>0.56326584538636382</v>
          </cell>
          <cell r="CH505">
            <v>0.17178687375213236</v>
          </cell>
        </row>
        <row r="506">
          <cell r="A506">
            <v>916350</v>
          </cell>
          <cell r="B506" t="str">
            <v>Planta San Luis</v>
          </cell>
          <cell r="C506" t="str">
            <v>Occidente</v>
          </cell>
          <cell r="D506" t="str">
            <v>San Luis</v>
          </cell>
          <cell r="N506">
            <v>0.85</v>
          </cell>
          <cell r="O506">
            <v>0.08</v>
          </cell>
          <cell r="P506">
            <v>7.0000000000000007E-2</v>
          </cell>
          <cell r="BW506">
            <v>0</v>
          </cell>
          <cell r="BX506">
            <v>32.281739226381504</v>
          </cell>
          <cell r="CG506">
            <v>0.56184826162500001</v>
          </cell>
          <cell r="CH506">
            <v>0.38375949446247914</v>
          </cell>
        </row>
        <row r="507">
          <cell r="A507">
            <v>816373</v>
          </cell>
          <cell r="B507" t="str">
            <v>Planta Zapopan</v>
          </cell>
          <cell r="C507" t="str">
            <v>Occidente</v>
          </cell>
          <cell r="D507" t="str">
            <v>Zapopan</v>
          </cell>
          <cell r="N507">
            <v>0.85</v>
          </cell>
          <cell r="O507">
            <v>0.08</v>
          </cell>
          <cell r="P507">
            <v>7.0000000000000007E-2</v>
          </cell>
          <cell r="BW507">
            <v>0</v>
          </cell>
          <cell r="BX507">
            <v>42.735907571301254</v>
          </cell>
          <cell r="CG507">
            <v>0.55913851804602221</v>
          </cell>
          <cell r="CH507">
            <v>0.27380776505802229</v>
          </cell>
        </row>
        <row r="508">
          <cell r="A508">
            <v>810320</v>
          </cell>
          <cell r="B508" t="str">
            <v>Cedi Tonalá</v>
          </cell>
          <cell r="C508" t="str">
            <v>Occidente</v>
          </cell>
          <cell r="D508" t="str">
            <v>Favorita</v>
          </cell>
          <cell r="N508">
            <v>0.85</v>
          </cell>
          <cell r="O508">
            <v>0.08</v>
          </cell>
          <cell r="P508">
            <v>7.0000000000000007E-2</v>
          </cell>
          <cell r="BW508">
            <v>0</v>
          </cell>
          <cell r="BX508">
            <v>37.54044751782537</v>
          </cell>
          <cell r="CG508">
            <v>0.55909411067045456</v>
          </cell>
          <cell r="CH508">
            <v>0.32668652310513979</v>
          </cell>
        </row>
        <row r="509">
          <cell r="A509">
            <v>931425</v>
          </cell>
          <cell r="B509" t="str">
            <v>Planta Guadiana</v>
          </cell>
          <cell r="C509" t="str">
            <v>Norte</v>
          </cell>
          <cell r="D509" t="str">
            <v>Guadiana</v>
          </cell>
          <cell r="N509">
            <v>0.85</v>
          </cell>
          <cell r="O509">
            <v>0.08</v>
          </cell>
          <cell r="P509">
            <v>7.0000000000000007E-2</v>
          </cell>
          <cell r="BW509">
            <v>0</v>
          </cell>
          <cell r="BX509">
            <v>37.004935094474192</v>
          </cell>
          <cell r="CG509">
            <v>0.55779054545454565</v>
          </cell>
          <cell r="CH509">
            <v>0.48782043363796002</v>
          </cell>
        </row>
        <row r="510">
          <cell r="A510">
            <v>301351</v>
          </cell>
          <cell r="B510" t="str">
            <v>Planta Cd. Juárez</v>
          </cell>
          <cell r="C510" t="str">
            <v>Norte</v>
          </cell>
          <cell r="D510" t="str">
            <v>Juárez</v>
          </cell>
          <cell r="N510">
            <v>0.85</v>
          </cell>
          <cell r="O510">
            <v>0.08</v>
          </cell>
          <cell r="P510">
            <v>7.0000000000000007E-2</v>
          </cell>
          <cell r="BW510">
            <v>0</v>
          </cell>
          <cell r="BX510">
            <v>33.986941065953587</v>
          </cell>
          <cell r="CG510">
            <v>0.55774556288181643</v>
          </cell>
          <cell r="CH510">
            <v>0.24575385143944331</v>
          </cell>
        </row>
        <row r="511">
          <cell r="A511">
            <v>925300</v>
          </cell>
          <cell r="B511" t="str">
            <v>Planta Matehuala</v>
          </cell>
          <cell r="C511" t="str">
            <v>Occidente</v>
          </cell>
          <cell r="D511" t="str">
            <v>Matehuala</v>
          </cell>
          <cell r="N511">
            <v>0.85</v>
          </cell>
          <cell r="O511">
            <v>0.08</v>
          </cell>
          <cell r="P511">
            <v>7.0000000000000007E-2</v>
          </cell>
          <cell r="BW511">
            <v>0</v>
          </cell>
          <cell r="BX511">
            <v>41.920202734403439</v>
          </cell>
          <cell r="CG511">
            <v>0.55765476398864022</v>
          </cell>
          <cell r="CH511">
            <v>0.28023670452295879</v>
          </cell>
        </row>
        <row r="512">
          <cell r="A512">
            <v>901404</v>
          </cell>
          <cell r="B512" t="str">
            <v>Planta Aguascalientes</v>
          </cell>
          <cell r="C512" t="str">
            <v>Occidente</v>
          </cell>
          <cell r="D512" t="str">
            <v>Aguascalientes</v>
          </cell>
          <cell r="N512">
            <v>0.85</v>
          </cell>
          <cell r="O512">
            <v>0.08</v>
          </cell>
          <cell r="P512">
            <v>7.0000000000000007E-2</v>
          </cell>
          <cell r="BW512">
            <v>0</v>
          </cell>
          <cell r="BX512">
            <v>56.333250804812835</v>
          </cell>
          <cell r="CG512">
            <v>0.55731736462500003</v>
          </cell>
          <cell r="CH512">
            <v>0.13295822843806443</v>
          </cell>
        </row>
        <row r="513">
          <cell r="A513">
            <v>308348</v>
          </cell>
          <cell r="B513" t="str">
            <v>Planta Chihuahua</v>
          </cell>
          <cell r="C513" t="str">
            <v>Norte</v>
          </cell>
          <cell r="D513" t="str">
            <v>Chihuahua</v>
          </cell>
          <cell r="N513">
            <v>0.85</v>
          </cell>
          <cell r="O513">
            <v>0.08</v>
          </cell>
          <cell r="P513">
            <v>7.0000000000000007E-2</v>
          </cell>
          <cell r="BW513">
            <v>0</v>
          </cell>
          <cell r="BX513">
            <v>15.491178104277964</v>
          </cell>
          <cell r="CG513">
            <v>0.39550963704545367</v>
          </cell>
          <cell r="CH513">
            <v>0.49190361532420196</v>
          </cell>
        </row>
        <row r="514">
          <cell r="A514">
            <v>206301</v>
          </cell>
          <cell r="B514" t="str">
            <v>Sucursal Monclova</v>
          </cell>
          <cell r="C514" t="str">
            <v>Noreste</v>
          </cell>
          <cell r="D514" t="str">
            <v>Monclova</v>
          </cell>
          <cell r="N514">
            <v>0.8</v>
          </cell>
          <cell r="O514">
            <v>0.12</v>
          </cell>
          <cell r="P514">
            <v>0.08</v>
          </cell>
          <cell r="BW514">
            <v>0</v>
          </cell>
          <cell r="BX514">
            <v>62.625155970118868</v>
          </cell>
          <cell r="CG514">
            <v>0.55336583659090888</v>
          </cell>
          <cell r="CH514">
            <v>0.1492397893368389</v>
          </cell>
        </row>
        <row r="515">
          <cell r="A515">
            <v>809356</v>
          </cell>
          <cell r="B515" t="str">
            <v>Suc. Santa Maria</v>
          </cell>
          <cell r="C515" t="str">
            <v>Occidente</v>
          </cell>
          <cell r="D515" t="str">
            <v>Favorita</v>
          </cell>
          <cell r="N515">
            <v>0.85</v>
          </cell>
          <cell r="O515">
            <v>0.08</v>
          </cell>
          <cell r="P515">
            <v>7.0000000000000007E-2</v>
          </cell>
          <cell r="BW515">
            <v>0</v>
          </cell>
          <cell r="BX515">
            <v>46.417967034759272</v>
          </cell>
          <cell r="CG515">
            <v>0.55325487190909028</v>
          </cell>
          <cell r="CH515">
            <v>0.2288292593449178</v>
          </cell>
        </row>
        <row r="516">
          <cell r="A516">
            <v>810342</v>
          </cell>
          <cell r="B516" t="str">
            <v>Cedi Tonalá</v>
          </cell>
          <cell r="C516" t="str">
            <v>Occidente</v>
          </cell>
          <cell r="D516" t="str">
            <v>Favorita</v>
          </cell>
          <cell r="N516">
            <v>0.85</v>
          </cell>
          <cell r="O516">
            <v>0.08</v>
          </cell>
          <cell r="P516">
            <v>7.0000000000000007E-2</v>
          </cell>
          <cell r="BW516">
            <v>0</v>
          </cell>
          <cell r="BX516">
            <v>49.625511811942928</v>
          </cell>
          <cell r="CG516">
            <v>0.5524453827613629</v>
          </cell>
          <cell r="CH516">
            <v>0.19512169887375369</v>
          </cell>
        </row>
        <row r="517">
          <cell r="A517">
            <v>820350</v>
          </cell>
          <cell r="B517" t="str">
            <v>Suc. Belenes</v>
          </cell>
          <cell r="C517" t="str">
            <v>Occidente</v>
          </cell>
          <cell r="D517" t="str">
            <v>Zapopan</v>
          </cell>
          <cell r="N517">
            <v>0.85</v>
          </cell>
          <cell r="O517">
            <v>0.08</v>
          </cell>
          <cell r="P517">
            <v>7.0000000000000007E-2</v>
          </cell>
          <cell r="BW517">
            <v>0</v>
          </cell>
          <cell r="BX517">
            <v>43.824763024064211</v>
          </cell>
          <cell r="CG517">
            <v>0.55238334995454552</v>
          </cell>
          <cell r="CH517">
            <v>0.25414521740259355</v>
          </cell>
        </row>
        <row r="518">
          <cell r="A518">
            <v>803410</v>
          </cell>
          <cell r="B518" t="str">
            <v>Suc. San Rafael</v>
          </cell>
          <cell r="C518" t="str">
            <v>Occidente</v>
          </cell>
          <cell r="D518" t="str">
            <v>Favorita</v>
          </cell>
          <cell r="N518">
            <v>0.85</v>
          </cell>
          <cell r="O518">
            <v>0.08</v>
          </cell>
          <cell r="P518">
            <v>7.0000000000000007E-2</v>
          </cell>
          <cell r="BW518">
            <v>0</v>
          </cell>
          <cell r="BX518">
            <v>33.291160838680902</v>
          </cell>
          <cell r="CG518">
            <v>0.55168509589772674</v>
          </cell>
          <cell r="CH518">
            <v>0.36058344587121571</v>
          </cell>
        </row>
        <row r="519">
          <cell r="A519">
            <v>820425</v>
          </cell>
          <cell r="B519" t="str">
            <v>Suc. Belenes</v>
          </cell>
          <cell r="C519" t="str">
            <v>Occidente</v>
          </cell>
          <cell r="D519" t="str">
            <v>Zapopan</v>
          </cell>
          <cell r="N519">
            <v>0.85</v>
          </cell>
          <cell r="O519">
            <v>0.08</v>
          </cell>
          <cell r="P519">
            <v>7.0000000000000007E-2</v>
          </cell>
          <cell r="BW519">
            <v>0</v>
          </cell>
          <cell r="BX519">
            <v>41.587517352941155</v>
          </cell>
          <cell r="CG519">
            <v>0.55144743088909021</v>
          </cell>
          <cell r="CH519">
            <v>0.27575273205301321</v>
          </cell>
        </row>
        <row r="520">
          <cell r="A520">
            <v>809380</v>
          </cell>
          <cell r="B520" t="str">
            <v>Suc. Santa Maria</v>
          </cell>
          <cell r="C520" t="str">
            <v>Occidente</v>
          </cell>
          <cell r="D520" t="str">
            <v>Favorita</v>
          </cell>
          <cell r="N520">
            <v>0.85</v>
          </cell>
          <cell r="O520">
            <v>0.08</v>
          </cell>
          <cell r="P520">
            <v>7.0000000000000007E-2</v>
          </cell>
          <cell r="BW520">
            <v>0</v>
          </cell>
          <cell r="BX520">
            <v>57.977487998217512</v>
          </cell>
          <cell r="CG520">
            <v>0.5488670908636365</v>
          </cell>
          <cell r="CH520">
            <v>0.1054869172849595</v>
          </cell>
        </row>
        <row r="521">
          <cell r="A521">
            <v>203303</v>
          </cell>
          <cell r="B521" t="str">
            <v>Planta Agua y Hielo</v>
          </cell>
          <cell r="C521" t="str">
            <v>Noreste</v>
          </cell>
          <cell r="D521" t="str">
            <v>Saltillo</v>
          </cell>
          <cell r="N521">
            <v>0.8</v>
          </cell>
          <cell r="O521">
            <v>0.12</v>
          </cell>
          <cell r="P521">
            <v>0.08</v>
          </cell>
          <cell r="BW521">
            <v>0</v>
          </cell>
          <cell r="BX521">
            <v>43.455980800337528</v>
          </cell>
          <cell r="CG521">
            <v>0.54849171477272718</v>
          </cell>
          <cell r="CH521">
            <v>0.2620653232801986</v>
          </cell>
        </row>
        <row r="522">
          <cell r="A522">
            <v>916342</v>
          </cell>
          <cell r="B522" t="str">
            <v>Planta San Luis</v>
          </cell>
          <cell r="C522" t="str">
            <v>Occidente</v>
          </cell>
          <cell r="D522" t="str">
            <v>San Luis</v>
          </cell>
          <cell r="N522">
            <v>0.85</v>
          </cell>
          <cell r="O522">
            <v>0.08</v>
          </cell>
          <cell r="P522">
            <v>7.0000000000000007E-2</v>
          </cell>
          <cell r="BW522">
            <v>0</v>
          </cell>
          <cell r="BX522">
            <v>39.289169704991131</v>
          </cell>
          <cell r="CG522">
            <v>0.54845659575000016</v>
          </cell>
          <cell r="CH522">
            <v>0.29537626617460766</v>
          </cell>
        </row>
        <row r="523">
          <cell r="A523">
            <v>712310</v>
          </cell>
          <cell r="B523" t="str">
            <v>Sucursal Santa Catarina</v>
          </cell>
          <cell r="C523" t="str">
            <v>Noreste</v>
          </cell>
          <cell r="D523" t="str">
            <v>Monterrey</v>
          </cell>
          <cell r="N523">
            <v>0.8</v>
          </cell>
          <cell r="O523">
            <v>0.12</v>
          </cell>
          <cell r="P523">
            <v>0.08</v>
          </cell>
          <cell r="BW523">
            <v>0</v>
          </cell>
          <cell r="BX523">
            <v>23.91508957575752</v>
          </cell>
          <cell r="CG523">
            <v>0.54776630618181776</v>
          </cell>
          <cell r="CH523">
            <v>0.65942441096988624</v>
          </cell>
        </row>
        <row r="524">
          <cell r="A524">
            <v>308344</v>
          </cell>
          <cell r="B524" t="str">
            <v>Planta Chihuahua</v>
          </cell>
          <cell r="C524" t="str">
            <v>Norte</v>
          </cell>
          <cell r="D524" t="str">
            <v>Chihuahua</v>
          </cell>
          <cell r="N524">
            <v>0.85</v>
          </cell>
          <cell r="O524">
            <v>0.08</v>
          </cell>
          <cell r="P524">
            <v>7.0000000000000007E-2</v>
          </cell>
          <cell r="BW524">
            <v>0</v>
          </cell>
          <cell r="BX524">
            <v>11.590804775822647</v>
          </cell>
          <cell r="CG524">
            <v>0.54752711809090793</v>
          </cell>
          <cell r="CH524">
            <v>0.54940363436185591</v>
          </cell>
        </row>
        <row r="525">
          <cell r="A525">
            <v>946411</v>
          </cell>
          <cell r="B525" t="str">
            <v>Planta Zacatecas</v>
          </cell>
          <cell r="C525" t="str">
            <v>Norte</v>
          </cell>
          <cell r="D525" t="str">
            <v>Zacatecas</v>
          </cell>
          <cell r="N525">
            <v>0.85</v>
          </cell>
          <cell r="O525">
            <v>0.08</v>
          </cell>
          <cell r="P525">
            <v>7.0000000000000007E-2</v>
          </cell>
          <cell r="BW525">
            <v>0</v>
          </cell>
          <cell r="BX525">
            <v>30.855003470588166</v>
          </cell>
          <cell r="CG525">
            <v>0.53156387103896063</v>
          </cell>
          <cell r="CH525">
            <v>0.58467393827306835</v>
          </cell>
        </row>
        <row r="526">
          <cell r="A526">
            <v>810354</v>
          </cell>
          <cell r="B526" t="str">
            <v>Cedi Tonalá</v>
          </cell>
          <cell r="C526" t="str">
            <v>Occidente</v>
          </cell>
          <cell r="D526" t="str">
            <v>Favorita</v>
          </cell>
          <cell r="N526">
            <v>0.85</v>
          </cell>
          <cell r="O526">
            <v>0.08</v>
          </cell>
          <cell r="P526">
            <v>7.0000000000000007E-2</v>
          </cell>
          <cell r="BW526">
            <v>0</v>
          </cell>
          <cell r="BX526">
            <v>24.705233249554283</v>
          </cell>
          <cell r="CG526">
            <v>0.54449789410227256</v>
          </cell>
          <cell r="CH526">
            <v>0.43894654291839597</v>
          </cell>
        </row>
        <row r="527">
          <cell r="A527">
            <v>820343</v>
          </cell>
          <cell r="B527" t="str">
            <v>Suc. Belenes</v>
          </cell>
          <cell r="C527" t="str">
            <v>Occidente</v>
          </cell>
          <cell r="D527" t="str">
            <v>Zapopan</v>
          </cell>
          <cell r="N527">
            <v>0.85</v>
          </cell>
          <cell r="O527">
            <v>0.08</v>
          </cell>
          <cell r="P527">
            <v>7.0000000000000007E-2</v>
          </cell>
          <cell r="BW527">
            <v>0</v>
          </cell>
          <cell r="BX527">
            <v>51.202452119429537</v>
          </cell>
          <cell r="CG527">
            <v>0.54398146878409026</v>
          </cell>
          <cell r="CH527">
            <v>0.1683187550717942</v>
          </cell>
        </row>
        <row r="528">
          <cell r="A528">
            <v>217346</v>
          </cell>
          <cell r="B528" t="str">
            <v>Suc. Estadio</v>
          </cell>
          <cell r="C528" t="str">
            <v>Norte</v>
          </cell>
          <cell r="D528" t="str">
            <v>Comarca</v>
          </cell>
          <cell r="N528">
            <v>0.85</v>
          </cell>
          <cell r="O528">
            <v>0.08</v>
          </cell>
          <cell r="P528">
            <v>7.0000000000000007E-2</v>
          </cell>
          <cell r="BW528">
            <v>0</v>
          </cell>
          <cell r="BX528">
            <v>39.226738658645267</v>
          </cell>
          <cell r="CG528">
            <v>0.50497948124999992</v>
          </cell>
          <cell r="CH528">
            <v>0.230631401588095</v>
          </cell>
        </row>
        <row r="529">
          <cell r="A529">
            <v>712314</v>
          </cell>
          <cell r="B529" t="str">
            <v>Sucursal Santa Catarina</v>
          </cell>
          <cell r="C529" t="str">
            <v>Noreste</v>
          </cell>
          <cell r="D529" t="str">
            <v>Monterrey</v>
          </cell>
          <cell r="N529">
            <v>0.8</v>
          </cell>
          <cell r="O529">
            <v>0.12</v>
          </cell>
          <cell r="P529">
            <v>0.08</v>
          </cell>
          <cell r="BW529">
            <v>0</v>
          </cell>
          <cell r="BX529">
            <v>14.589930032279334</v>
          </cell>
          <cell r="CG529">
            <v>0.54168462363272796</v>
          </cell>
          <cell r="CH529">
            <v>0.76151083514293838</v>
          </cell>
        </row>
        <row r="530">
          <cell r="A530">
            <v>810330</v>
          </cell>
          <cell r="B530" t="str">
            <v>Cedi Tonalá</v>
          </cell>
          <cell r="C530" t="str">
            <v>Occidente</v>
          </cell>
          <cell r="D530" t="str">
            <v>Favorita</v>
          </cell>
          <cell r="N530">
            <v>0.85</v>
          </cell>
          <cell r="O530">
            <v>0.08</v>
          </cell>
          <cell r="P530">
            <v>7.0000000000000007E-2</v>
          </cell>
          <cell r="BW530">
            <v>0</v>
          </cell>
          <cell r="BX530">
            <v>42.527890347593576</v>
          </cell>
          <cell r="CG530">
            <v>0.54120689079545425</v>
          </cell>
          <cell r="CH530">
            <v>0.25318205596609122</v>
          </cell>
        </row>
        <row r="531">
          <cell r="A531">
            <v>220340</v>
          </cell>
          <cell r="B531" t="str">
            <v>Suc. Santa Rita</v>
          </cell>
          <cell r="C531" t="str">
            <v>Norte</v>
          </cell>
          <cell r="D531" t="str">
            <v>Comarca</v>
          </cell>
          <cell r="N531">
            <v>0.85</v>
          </cell>
          <cell r="O531">
            <v>0.08</v>
          </cell>
          <cell r="P531">
            <v>7.0000000000000007E-2</v>
          </cell>
          <cell r="BW531">
            <v>0</v>
          </cell>
          <cell r="BX531">
            <v>35.395935716577625</v>
          </cell>
          <cell r="CG531">
            <v>0.52044480511363622</v>
          </cell>
          <cell r="CH531">
            <v>0.32314653350505063</v>
          </cell>
        </row>
        <row r="532">
          <cell r="A532">
            <v>301358</v>
          </cell>
          <cell r="B532" t="str">
            <v>Planta Cd. Juárez</v>
          </cell>
          <cell r="C532" t="str">
            <v>Norte</v>
          </cell>
          <cell r="D532" t="str">
            <v>Juárez</v>
          </cell>
          <cell r="N532">
            <v>0.85</v>
          </cell>
          <cell r="O532">
            <v>0.08</v>
          </cell>
          <cell r="P532">
            <v>7.0000000000000007E-2</v>
          </cell>
          <cell r="BW532">
            <v>0</v>
          </cell>
          <cell r="BX532">
            <v>35.979633757575499</v>
          </cell>
          <cell r="CG532">
            <v>0.53868564081817882</v>
          </cell>
          <cell r="CH532">
            <v>0.19450689274708538</v>
          </cell>
        </row>
        <row r="533">
          <cell r="A533">
            <v>803343</v>
          </cell>
          <cell r="B533" t="str">
            <v>Suc. San Rafael</v>
          </cell>
          <cell r="C533" t="str">
            <v>Occidente</v>
          </cell>
          <cell r="D533" t="str">
            <v>Favorita</v>
          </cell>
          <cell r="N533">
            <v>0.85</v>
          </cell>
          <cell r="O533">
            <v>0.08</v>
          </cell>
          <cell r="P533">
            <v>7.0000000000000007E-2</v>
          </cell>
          <cell r="BW533">
            <v>0</v>
          </cell>
          <cell r="BX533">
            <v>46.848868622103438</v>
          </cell>
          <cell r="CG533">
            <v>0.53806146044318182</v>
          </cell>
          <cell r="CH533">
            <v>0.20516703963125824</v>
          </cell>
        </row>
        <row r="534">
          <cell r="A534">
            <v>206302</v>
          </cell>
          <cell r="B534" t="str">
            <v>Sucursal Monclova</v>
          </cell>
          <cell r="C534" t="str">
            <v>Noreste</v>
          </cell>
          <cell r="D534" t="str">
            <v>Monclova</v>
          </cell>
          <cell r="N534">
            <v>0.8</v>
          </cell>
          <cell r="O534">
            <v>0.12</v>
          </cell>
          <cell r="P534">
            <v>0.08</v>
          </cell>
          <cell r="BW534">
            <v>0</v>
          </cell>
          <cell r="BX534">
            <v>53.903969303452186</v>
          </cell>
          <cell r="CG534">
            <v>0.53727509454545441</v>
          </cell>
          <cell r="CH534">
            <v>0.26771675743103929</v>
          </cell>
        </row>
        <row r="535">
          <cell r="A535">
            <v>820379</v>
          </cell>
          <cell r="B535" t="str">
            <v>Suc. Belenes</v>
          </cell>
          <cell r="C535" t="str">
            <v>Occidente</v>
          </cell>
          <cell r="D535" t="str">
            <v>Zapopan</v>
          </cell>
          <cell r="N535">
            <v>0.85</v>
          </cell>
          <cell r="O535">
            <v>0.08</v>
          </cell>
          <cell r="P535">
            <v>7.0000000000000007E-2</v>
          </cell>
          <cell r="BW535">
            <v>0</v>
          </cell>
          <cell r="BX535">
            <v>44.163110279857477</v>
          </cell>
          <cell r="CG535">
            <v>0.53582593407954571</v>
          </cell>
          <cell r="CH535">
            <v>0.22969585425770248</v>
          </cell>
        </row>
        <row r="536">
          <cell r="A536">
            <v>220345</v>
          </cell>
          <cell r="B536" t="str">
            <v>Suc. Santa Rita</v>
          </cell>
          <cell r="C536" t="str">
            <v>Norte</v>
          </cell>
          <cell r="D536" t="str">
            <v>Comarca</v>
          </cell>
          <cell r="N536">
            <v>0.85</v>
          </cell>
          <cell r="O536">
            <v>0.08</v>
          </cell>
          <cell r="P536">
            <v>7.0000000000000007E-2</v>
          </cell>
          <cell r="BW536">
            <v>0</v>
          </cell>
          <cell r="BX536">
            <v>18.049996951852719</v>
          </cell>
          <cell r="CG536">
            <v>0.5160155880681816</v>
          </cell>
          <cell r="CH536">
            <v>0.69348940191552688</v>
          </cell>
        </row>
        <row r="537">
          <cell r="A537">
            <v>805401</v>
          </cell>
          <cell r="B537" t="str">
            <v>Suc. Manzanillo</v>
          </cell>
          <cell r="C537" t="str">
            <v>Occidente</v>
          </cell>
          <cell r="D537" t="str">
            <v>Favorita</v>
          </cell>
          <cell r="N537">
            <v>0.85</v>
          </cell>
          <cell r="O537">
            <v>0.08</v>
          </cell>
          <cell r="P537">
            <v>7.0000000000000007E-2</v>
          </cell>
          <cell r="BW537">
            <v>0</v>
          </cell>
          <cell r="BX537">
            <v>34.554083013368967</v>
          </cell>
          <cell r="CG537">
            <v>0.53385275045454528</v>
          </cell>
          <cell r="CH537">
            <v>5.4233262185248092E-2</v>
          </cell>
        </row>
        <row r="538">
          <cell r="A538">
            <v>907408</v>
          </cell>
          <cell r="B538" t="str">
            <v>Planta Trojes</v>
          </cell>
          <cell r="C538" t="str">
            <v>Occidente</v>
          </cell>
          <cell r="D538" t="str">
            <v>Aguascalientes</v>
          </cell>
          <cell r="N538">
            <v>0.85</v>
          </cell>
          <cell r="O538">
            <v>0.08</v>
          </cell>
          <cell r="P538">
            <v>7.0000000000000007E-2</v>
          </cell>
          <cell r="BW538">
            <v>0</v>
          </cell>
          <cell r="BX538">
            <v>1.5781549016057497</v>
          </cell>
          <cell r="CG538">
            <v>0.53199676186363565</v>
          </cell>
          <cell r="CH538">
            <v>0.28113862743180307</v>
          </cell>
        </row>
        <row r="539">
          <cell r="A539">
            <v>203316</v>
          </cell>
          <cell r="B539" t="str">
            <v>Planta Agua y Hielo</v>
          </cell>
          <cell r="C539" t="str">
            <v>Noreste</v>
          </cell>
          <cell r="D539" t="str">
            <v>Saltillo</v>
          </cell>
          <cell r="N539">
            <v>0.8</v>
          </cell>
          <cell r="O539">
            <v>0.12</v>
          </cell>
          <cell r="P539">
            <v>0.08</v>
          </cell>
          <cell r="BW539">
            <v>0</v>
          </cell>
          <cell r="BX539">
            <v>42.090800997307156</v>
          </cell>
          <cell r="CG539">
            <v>0.53190240852272752</v>
          </cell>
          <cell r="CH539">
            <v>0.28524771378341324</v>
          </cell>
        </row>
        <row r="540">
          <cell r="A540">
            <v>916354</v>
          </cell>
          <cell r="B540" t="str">
            <v>Planta San Luis</v>
          </cell>
          <cell r="C540" t="str">
            <v>Occidente</v>
          </cell>
          <cell r="D540" t="str">
            <v>San Luis</v>
          </cell>
          <cell r="N540">
            <v>0.85</v>
          </cell>
          <cell r="O540">
            <v>0.08</v>
          </cell>
          <cell r="P540">
            <v>7.0000000000000007E-2</v>
          </cell>
          <cell r="BW540">
            <v>0</v>
          </cell>
          <cell r="BX540">
            <v>41.828459008912674</v>
          </cell>
          <cell r="CG540">
            <v>0.52937319487500001</v>
          </cell>
          <cell r="CH540">
            <v>0.24529806884239838</v>
          </cell>
        </row>
        <row r="541">
          <cell r="A541">
            <v>810332</v>
          </cell>
          <cell r="B541" t="str">
            <v>Cedi Tonalá</v>
          </cell>
          <cell r="C541" t="str">
            <v>Occidente</v>
          </cell>
          <cell r="D541" t="str">
            <v>Favorita</v>
          </cell>
          <cell r="N541">
            <v>0.85</v>
          </cell>
          <cell r="O541">
            <v>0.08</v>
          </cell>
          <cell r="P541">
            <v>7.0000000000000007E-2</v>
          </cell>
          <cell r="BW541">
            <v>0</v>
          </cell>
          <cell r="BX541">
            <v>4.0293588455685541</v>
          </cell>
          <cell r="CG541">
            <v>0.52895447964250131</v>
          </cell>
          <cell r="CH541">
            <v>0.12966942813629417</v>
          </cell>
        </row>
        <row r="542">
          <cell r="A542">
            <v>901402</v>
          </cell>
          <cell r="B542" t="str">
            <v>Planta Aguascalientes</v>
          </cell>
          <cell r="C542" t="str">
            <v>Occidente</v>
          </cell>
          <cell r="D542" t="str">
            <v>Aguascalientes</v>
          </cell>
          <cell r="N542">
            <v>0.85</v>
          </cell>
          <cell r="O542">
            <v>0.08</v>
          </cell>
          <cell r="P542">
            <v>7.0000000000000007E-2</v>
          </cell>
          <cell r="BW542">
            <v>0</v>
          </cell>
          <cell r="BX542">
            <v>52.173599171122959</v>
          </cell>
          <cell r="CG542">
            <v>0.5227975670113636</v>
          </cell>
          <cell r="CH542">
            <v>0.13155356662240689</v>
          </cell>
        </row>
        <row r="543">
          <cell r="A543">
            <v>810352</v>
          </cell>
          <cell r="B543" t="str">
            <v>Cedi Tonalá</v>
          </cell>
          <cell r="C543" t="str">
            <v>Occidente</v>
          </cell>
          <cell r="D543" t="str">
            <v>Favorita</v>
          </cell>
          <cell r="N543">
            <v>0.85</v>
          </cell>
          <cell r="O543">
            <v>0.08</v>
          </cell>
          <cell r="P543">
            <v>7.0000000000000007E-2</v>
          </cell>
          <cell r="BW543">
            <v>0</v>
          </cell>
          <cell r="BX543">
            <v>34.803163194296147</v>
          </cell>
          <cell r="CG543">
            <v>0.52263006790909206</v>
          </cell>
          <cell r="CH543">
            <v>0.30832360715747698</v>
          </cell>
        </row>
        <row r="544">
          <cell r="A544">
            <v>712318</v>
          </cell>
          <cell r="B544" t="str">
            <v>Sucursal Santa Catarina</v>
          </cell>
          <cell r="C544" t="str">
            <v>Noreste</v>
          </cell>
          <cell r="D544" t="str">
            <v>Monterrey</v>
          </cell>
          <cell r="N544">
            <v>0.8</v>
          </cell>
          <cell r="O544">
            <v>0.12</v>
          </cell>
          <cell r="P544">
            <v>0.08</v>
          </cell>
          <cell r="BW544">
            <v>0</v>
          </cell>
          <cell r="BX544">
            <v>33.624797151515217</v>
          </cell>
          <cell r="CG544">
            <v>0.52218488127272722</v>
          </cell>
          <cell r="CH544">
            <v>0.4815498254357477</v>
          </cell>
        </row>
        <row r="545">
          <cell r="A545">
            <v>217402</v>
          </cell>
          <cell r="B545" t="str">
            <v>Suc. Estadio</v>
          </cell>
          <cell r="C545" t="str">
            <v>Norte</v>
          </cell>
          <cell r="D545" t="str">
            <v>Comarca</v>
          </cell>
          <cell r="N545">
            <v>0.85</v>
          </cell>
          <cell r="O545">
            <v>0.08</v>
          </cell>
          <cell r="P545">
            <v>7.0000000000000007E-2</v>
          </cell>
          <cell r="BW545">
            <v>0</v>
          </cell>
          <cell r="BX545">
            <v>16.502235203208592</v>
          </cell>
          <cell r="CG545">
            <v>0.4845976721590905</v>
          </cell>
          <cell r="CH545">
            <v>0.58032647171095209</v>
          </cell>
        </row>
        <row r="546">
          <cell r="A546">
            <v>931428</v>
          </cell>
          <cell r="B546" t="str">
            <v>Planta Guadiana</v>
          </cell>
          <cell r="C546" t="str">
            <v>Norte</v>
          </cell>
          <cell r="D546" t="str">
            <v>Guadiana</v>
          </cell>
          <cell r="N546">
            <v>0.85</v>
          </cell>
          <cell r="O546">
            <v>0.08</v>
          </cell>
          <cell r="P546">
            <v>7.0000000000000007E-2</v>
          </cell>
          <cell r="BW546">
            <v>0</v>
          </cell>
          <cell r="BX546">
            <v>52.197209795008881</v>
          </cell>
          <cell r="CG546">
            <v>0.51990911181818145</v>
          </cell>
          <cell r="CH546">
            <v>0.21416370307272248</v>
          </cell>
        </row>
        <row r="547">
          <cell r="A547">
            <v>916404</v>
          </cell>
          <cell r="B547" t="str">
            <v>Planta San Luis</v>
          </cell>
          <cell r="C547" t="str">
            <v>Occidente</v>
          </cell>
          <cell r="D547" t="str">
            <v>San Luis</v>
          </cell>
          <cell r="N547">
            <v>0.85</v>
          </cell>
          <cell r="O547">
            <v>0.08</v>
          </cell>
          <cell r="P547">
            <v>7.0000000000000007E-2</v>
          </cell>
          <cell r="BW547">
            <v>0</v>
          </cell>
          <cell r="BX547">
            <v>46.217196960784293</v>
          </cell>
          <cell r="CG547">
            <v>0.51980570345454535</v>
          </cell>
          <cell r="CH547">
            <v>0.18844668870713296</v>
          </cell>
        </row>
        <row r="548">
          <cell r="A548">
            <v>217343</v>
          </cell>
          <cell r="B548" t="str">
            <v>Suc. Estadio</v>
          </cell>
          <cell r="C548" t="str">
            <v>Norte</v>
          </cell>
          <cell r="D548" t="str">
            <v>Comarca</v>
          </cell>
          <cell r="N548">
            <v>0.85</v>
          </cell>
          <cell r="O548">
            <v>0.08</v>
          </cell>
          <cell r="P548">
            <v>7.0000000000000007E-2</v>
          </cell>
          <cell r="BW548">
            <v>0</v>
          </cell>
          <cell r="BX548">
            <v>19.369317479500822</v>
          </cell>
          <cell r="CG548">
            <v>0.48201976534090873</v>
          </cell>
          <cell r="CH548">
            <v>0.52706209866932052</v>
          </cell>
        </row>
        <row r="549">
          <cell r="A549">
            <v>301356</v>
          </cell>
          <cell r="B549" t="str">
            <v>Planta Cd. Juárez</v>
          </cell>
          <cell r="C549" t="str">
            <v>Norte</v>
          </cell>
          <cell r="D549" t="str">
            <v>Juárez</v>
          </cell>
          <cell r="N549">
            <v>0.85</v>
          </cell>
          <cell r="O549">
            <v>0.08</v>
          </cell>
          <cell r="P549">
            <v>7.0000000000000007E-2</v>
          </cell>
          <cell r="BW549">
            <v>0</v>
          </cell>
          <cell r="BX549">
            <v>10.070319040078203</v>
          </cell>
          <cell r="CG549">
            <v>0.51897583309090789</v>
          </cell>
          <cell r="CH549">
            <v>0.56226279110125688</v>
          </cell>
        </row>
        <row r="550">
          <cell r="A550">
            <v>301357</v>
          </cell>
          <cell r="B550" t="str">
            <v>Planta Cd. Juárez</v>
          </cell>
          <cell r="C550" t="str">
            <v>Norte</v>
          </cell>
          <cell r="D550" t="str">
            <v>Juárez</v>
          </cell>
          <cell r="N550">
            <v>0.85</v>
          </cell>
          <cell r="O550">
            <v>0.08</v>
          </cell>
          <cell r="P550">
            <v>7.0000000000000007E-2</v>
          </cell>
          <cell r="BW550">
            <v>0</v>
          </cell>
          <cell r="BX550">
            <v>25.627021139928594</v>
          </cell>
          <cell r="CG550">
            <v>0.51672338836363574</v>
          </cell>
          <cell r="CH550">
            <v>0.30728898425396561</v>
          </cell>
        </row>
        <row r="551">
          <cell r="A551">
            <v>503300</v>
          </cell>
          <cell r="B551" t="str">
            <v>Sucursal Venadillo</v>
          </cell>
          <cell r="C551" t="str">
            <v>Pacifico</v>
          </cell>
          <cell r="D551" t="str">
            <v>Mazatlán</v>
          </cell>
          <cell r="N551">
            <v>0.85</v>
          </cell>
          <cell r="O551">
            <v>0.08</v>
          </cell>
          <cell r="P551">
            <v>7.0000000000000007E-2</v>
          </cell>
          <cell r="BW551">
            <v>0</v>
          </cell>
          <cell r="BX551">
            <v>24.086587165775391</v>
          </cell>
          <cell r="CG551">
            <v>0.5124626999999996</v>
          </cell>
          <cell r="CH551">
            <v>0.3695563476232232</v>
          </cell>
        </row>
        <row r="552">
          <cell r="A552">
            <v>809338</v>
          </cell>
          <cell r="B552" t="str">
            <v>Suc. Santa Maria</v>
          </cell>
          <cell r="C552" t="str">
            <v>Occidente</v>
          </cell>
          <cell r="D552" t="str">
            <v>Favorita</v>
          </cell>
          <cell r="N552">
            <v>0.85</v>
          </cell>
          <cell r="O552">
            <v>0.08</v>
          </cell>
          <cell r="P552">
            <v>7.0000000000000007E-2</v>
          </cell>
          <cell r="BW552">
            <v>0</v>
          </cell>
          <cell r="BX552">
            <v>49.293744623885836</v>
          </cell>
          <cell r="CG552">
            <v>0.51026344782954469</v>
          </cell>
          <cell r="CH552">
            <v>0.14499685758292988</v>
          </cell>
        </row>
        <row r="553">
          <cell r="A553">
            <v>820424</v>
          </cell>
          <cell r="B553" t="str">
            <v>Suc. Belenes</v>
          </cell>
          <cell r="C553" t="str">
            <v>Occidente</v>
          </cell>
          <cell r="D553" t="str">
            <v>Zapopan</v>
          </cell>
          <cell r="N553">
            <v>0.85</v>
          </cell>
          <cell r="O553">
            <v>0.08</v>
          </cell>
          <cell r="P553">
            <v>7.0000000000000007E-2</v>
          </cell>
          <cell r="BW553">
            <v>0</v>
          </cell>
          <cell r="BX553">
            <v>46.131717080213782</v>
          </cell>
          <cell r="CG553">
            <v>0.51022162943181804</v>
          </cell>
          <cell r="CH553">
            <v>0.1771608257902357</v>
          </cell>
        </row>
        <row r="554">
          <cell r="A554">
            <v>203305</v>
          </cell>
          <cell r="B554" t="str">
            <v>Planta Agua y Hielo</v>
          </cell>
          <cell r="C554" t="str">
            <v>Noreste</v>
          </cell>
          <cell r="D554" t="str">
            <v>Saltillo</v>
          </cell>
          <cell r="N554">
            <v>0.8</v>
          </cell>
          <cell r="O554">
            <v>0.12</v>
          </cell>
          <cell r="P554">
            <v>0.08</v>
          </cell>
          <cell r="BW554">
            <v>0</v>
          </cell>
          <cell r="BX554">
            <v>31.598610967004149</v>
          </cell>
          <cell r="CG554">
            <v>0.51002470994318183</v>
          </cell>
          <cell r="CH554">
            <v>0.46341768522343735</v>
          </cell>
        </row>
        <row r="555">
          <cell r="A555">
            <v>203314</v>
          </cell>
          <cell r="B555" t="str">
            <v>Planta Agua y Hielo</v>
          </cell>
          <cell r="C555" t="str">
            <v>Noreste</v>
          </cell>
          <cell r="D555" t="str">
            <v>Saltillo</v>
          </cell>
          <cell r="N555">
            <v>0.8</v>
          </cell>
          <cell r="O555">
            <v>0.12</v>
          </cell>
          <cell r="P555">
            <v>0.08</v>
          </cell>
          <cell r="BW555">
            <v>0</v>
          </cell>
          <cell r="BX555">
            <v>38.734840360943629</v>
          </cell>
          <cell r="CG555">
            <v>0.5099922869318182</v>
          </cell>
          <cell r="CH555">
            <v>0.34223595065367768</v>
          </cell>
        </row>
        <row r="556">
          <cell r="A556">
            <v>308343</v>
          </cell>
          <cell r="B556" t="str">
            <v>Planta Chihuahua</v>
          </cell>
          <cell r="C556" t="str">
            <v>Norte</v>
          </cell>
          <cell r="D556" t="str">
            <v>Chihuahua</v>
          </cell>
          <cell r="N556">
            <v>0.85</v>
          </cell>
          <cell r="O556">
            <v>0.08</v>
          </cell>
          <cell r="P556">
            <v>7.0000000000000007E-2</v>
          </cell>
          <cell r="BW556">
            <v>0</v>
          </cell>
          <cell r="BX556">
            <v>18.130648060606045</v>
          </cell>
          <cell r="CG556">
            <v>0.50934433009090818</v>
          </cell>
          <cell r="CH556">
            <v>0.39976703926569501</v>
          </cell>
        </row>
        <row r="557">
          <cell r="A557">
            <v>931405</v>
          </cell>
          <cell r="B557" t="str">
            <v>Planta Guadiana</v>
          </cell>
          <cell r="C557" t="str">
            <v>Norte</v>
          </cell>
          <cell r="D557" t="str">
            <v>Guadiana</v>
          </cell>
          <cell r="N557">
            <v>0.85</v>
          </cell>
          <cell r="O557">
            <v>0.08</v>
          </cell>
          <cell r="P557">
            <v>7.0000000000000007E-2</v>
          </cell>
          <cell r="BW557">
            <v>0</v>
          </cell>
          <cell r="BX557">
            <v>45.415934531194239</v>
          </cell>
          <cell r="CG557">
            <v>0.50689546159090904</v>
          </cell>
          <cell r="CH557">
            <v>0.28317726081893979</v>
          </cell>
        </row>
        <row r="558">
          <cell r="A558">
            <v>819424</v>
          </cell>
          <cell r="B558" t="str">
            <v>Suc. Huentitán</v>
          </cell>
          <cell r="C558" t="str">
            <v>Occidente</v>
          </cell>
          <cell r="D558" t="str">
            <v>Zapopan</v>
          </cell>
          <cell r="N558">
            <v>0.85</v>
          </cell>
          <cell r="O558">
            <v>0.08</v>
          </cell>
          <cell r="P558">
            <v>7.0000000000000007E-2</v>
          </cell>
          <cell r="BW558">
            <v>0</v>
          </cell>
          <cell r="BX558">
            <v>36.483039201426067</v>
          </cell>
          <cell r="CG558">
            <v>0.49719707672727304</v>
          </cell>
          <cell r="CH558">
            <v>0.25894767612735253</v>
          </cell>
        </row>
        <row r="559">
          <cell r="A559">
            <v>308347</v>
          </cell>
          <cell r="B559" t="str">
            <v>Planta Chihuahua</v>
          </cell>
          <cell r="C559" t="str">
            <v>Norte</v>
          </cell>
          <cell r="D559" t="str">
            <v>Chihuahua</v>
          </cell>
          <cell r="N559">
            <v>0.85</v>
          </cell>
          <cell r="O559">
            <v>0.08</v>
          </cell>
          <cell r="P559">
            <v>7.0000000000000007E-2</v>
          </cell>
          <cell r="BW559">
            <v>0</v>
          </cell>
          <cell r="BX559">
            <v>2.592202130824262</v>
          </cell>
          <cell r="CG559">
            <v>0.49679790872727086</v>
          </cell>
          <cell r="CH559">
            <v>0.62909265613705501</v>
          </cell>
        </row>
        <row r="560">
          <cell r="A560">
            <v>217400</v>
          </cell>
          <cell r="B560" t="str">
            <v>Suc. Estadio</v>
          </cell>
          <cell r="C560" t="str">
            <v>Norte</v>
          </cell>
          <cell r="D560" t="str">
            <v>Comarca</v>
          </cell>
          <cell r="N560">
            <v>0.85</v>
          </cell>
          <cell r="O560">
            <v>0.08</v>
          </cell>
          <cell r="P560">
            <v>7.0000000000000007E-2</v>
          </cell>
          <cell r="BW560">
            <v>0</v>
          </cell>
          <cell r="BX560">
            <v>26.021843689839596</v>
          </cell>
          <cell r="CG560">
            <v>0.46022058409090905</v>
          </cell>
          <cell r="CH560">
            <v>0.3753829830865576</v>
          </cell>
        </row>
        <row r="561">
          <cell r="A561">
            <v>308341</v>
          </cell>
          <cell r="B561" t="str">
            <v>Planta Chihuahua</v>
          </cell>
          <cell r="C561" t="str">
            <v>Norte</v>
          </cell>
          <cell r="D561" t="str">
            <v>Chihuahua</v>
          </cell>
          <cell r="N561">
            <v>0.85</v>
          </cell>
          <cell r="O561">
            <v>0.08</v>
          </cell>
          <cell r="P561">
            <v>7.0000000000000007E-2</v>
          </cell>
          <cell r="BW561">
            <v>80.599382130685456</v>
          </cell>
          <cell r="BX561">
            <v>6.7780345132577366</v>
          </cell>
          <cell r="CG561">
            <v>0.49499959090908829</v>
          </cell>
          <cell r="CH561">
            <v>0.72902102859334295</v>
          </cell>
        </row>
        <row r="562">
          <cell r="A562">
            <v>712306</v>
          </cell>
          <cell r="B562" t="str">
            <v>Sucursal Santa Catarina</v>
          </cell>
          <cell r="C562" t="str">
            <v>Noreste</v>
          </cell>
          <cell r="D562" t="str">
            <v>Monterrey</v>
          </cell>
          <cell r="N562">
            <v>0.8</v>
          </cell>
          <cell r="O562">
            <v>0.12</v>
          </cell>
          <cell r="P562">
            <v>0.08</v>
          </cell>
          <cell r="BW562">
            <v>0</v>
          </cell>
          <cell r="BX562">
            <v>12.781156003952574</v>
          </cell>
          <cell r="CG562">
            <v>0.49364990181818136</v>
          </cell>
          <cell r="CH562">
            <v>0.753995961558938</v>
          </cell>
        </row>
        <row r="563">
          <cell r="A563">
            <v>921403</v>
          </cell>
          <cell r="B563" t="str">
            <v>Suc. Río Verde</v>
          </cell>
          <cell r="C563" t="str">
            <v>Occidente</v>
          </cell>
          <cell r="D563" t="str">
            <v>San Luis</v>
          </cell>
          <cell r="N563">
            <v>0.85</v>
          </cell>
          <cell r="O563">
            <v>0.08</v>
          </cell>
          <cell r="P563">
            <v>7.0000000000000007E-2</v>
          </cell>
          <cell r="BW563">
            <v>0</v>
          </cell>
          <cell r="BX563">
            <v>39.163639843137325</v>
          </cell>
          <cell r="CG563">
            <v>0.4923519801136364</v>
          </cell>
          <cell r="CH563">
            <v>0.22549008817437977</v>
          </cell>
        </row>
        <row r="564">
          <cell r="A564">
            <v>217403</v>
          </cell>
          <cell r="B564" t="str">
            <v>Suc. Estadio</v>
          </cell>
          <cell r="C564" t="str">
            <v>Norte</v>
          </cell>
          <cell r="D564" t="str">
            <v>Comarca</v>
          </cell>
          <cell r="N564">
            <v>0.85</v>
          </cell>
          <cell r="O564">
            <v>0.08</v>
          </cell>
          <cell r="P564">
            <v>7.0000000000000007E-2</v>
          </cell>
          <cell r="BW564">
            <v>0</v>
          </cell>
          <cell r="BX564">
            <v>21.876773276292361</v>
          </cell>
          <cell r="CG564">
            <v>0.45248125653409116</v>
          </cell>
          <cell r="CH564">
            <v>0.43202766199020576</v>
          </cell>
        </row>
        <row r="565">
          <cell r="A565">
            <v>301349</v>
          </cell>
          <cell r="B565" t="str">
            <v>Planta Cd. Juárez</v>
          </cell>
          <cell r="C565" t="str">
            <v>Norte</v>
          </cell>
          <cell r="D565" t="str">
            <v>Juárez</v>
          </cell>
          <cell r="N565">
            <v>0.85</v>
          </cell>
          <cell r="O565">
            <v>0.08</v>
          </cell>
          <cell r="P565">
            <v>7.0000000000000007E-2</v>
          </cell>
          <cell r="BW565">
            <v>0</v>
          </cell>
          <cell r="BX565">
            <v>23.821305609625668</v>
          </cell>
          <cell r="CG565">
            <v>0.34743477477272622</v>
          </cell>
          <cell r="CH565">
            <v>0.29336726693590004</v>
          </cell>
        </row>
        <row r="566">
          <cell r="A566">
            <v>946403</v>
          </cell>
          <cell r="B566" t="str">
            <v>Planta Zacatecas</v>
          </cell>
          <cell r="C566" t="str">
            <v>Norte</v>
          </cell>
          <cell r="D566" t="str">
            <v>Zacatecas</v>
          </cell>
          <cell r="N566">
            <v>0.85</v>
          </cell>
          <cell r="O566">
            <v>0.08</v>
          </cell>
          <cell r="P566">
            <v>7.0000000000000007E-2</v>
          </cell>
          <cell r="BW566">
            <v>0</v>
          </cell>
          <cell r="BX566">
            <v>55.486011733511475</v>
          </cell>
          <cell r="CG566">
            <v>0.47064598538961022</v>
          </cell>
          <cell r="CH566">
            <v>0.18968560018873443</v>
          </cell>
        </row>
        <row r="567">
          <cell r="A567">
            <v>820423</v>
          </cell>
          <cell r="B567" t="str">
            <v>Suc. Belenes</v>
          </cell>
          <cell r="C567" t="str">
            <v>Occidente</v>
          </cell>
          <cell r="D567" t="str">
            <v>Zapopan</v>
          </cell>
          <cell r="N567">
            <v>0.85</v>
          </cell>
          <cell r="O567">
            <v>0.08</v>
          </cell>
          <cell r="P567">
            <v>7.0000000000000007E-2</v>
          </cell>
          <cell r="BW567">
            <v>0</v>
          </cell>
          <cell r="BX567">
            <v>48.483471131016046</v>
          </cell>
          <cell r="CG567">
            <v>0.48117504845454523</v>
          </cell>
          <cell r="CH567">
            <v>0.11635570696934407</v>
          </cell>
        </row>
        <row r="568">
          <cell r="A568">
            <v>203329</v>
          </cell>
          <cell r="B568" t="str">
            <v>Planta Agua y Hielo</v>
          </cell>
          <cell r="C568" t="str">
            <v>Noreste</v>
          </cell>
          <cell r="D568" t="str">
            <v>Saltillo</v>
          </cell>
          <cell r="N568">
            <v>0.8</v>
          </cell>
          <cell r="O568">
            <v>0.12</v>
          </cell>
          <cell r="P568">
            <v>0.08</v>
          </cell>
          <cell r="BW568">
            <v>0</v>
          </cell>
          <cell r="BX568">
            <v>20.327389330640521</v>
          </cell>
          <cell r="CG568">
            <v>0.47828359687499944</v>
          </cell>
          <cell r="CH568">
            <v>0.65481654773404074</v>
          </cell>
        </row>
        <row r="569">
          <cell r="A569">
            <v>946402</v>
          </cell>
          <cell r="B569" t="str">
            <v>Planta Zacatecas</v>
          </cell>
          <cell r="C569" t="str">
            <v>Norte</v>
          </cell>
          <cell r="D569" t="str">
            <v>Zacatecas</v>
          </cell>
          <cell r="N569">
            <v>0.85</v>
          </cell>
          <cell r="O569">
            <v>0.08</v>
          </cell>
          <cell r="P569">
            <v>7.0000000000000007E-2</v>
          </cell>
          <cell r="BW569">
            <v>0</v>
          </cell>
          <cell r="BX569">
            <v>55.270623045454492</v>
          </cell>
          <cell r="CG569">
            <v>0.46604314636363614</v>
          </cell>
          <cell r="CH569">
            <v>0.18401986472166715</v>
          </cell>
        </row>
        <row r="570">
          <cell r="A570">
            <v>809336</v>
          </cell>
          <cell r="B570" t="str">
            <v>Suc. Santa Maria</v>
          </cell>
          <cell r="C570" t="str">
            <v>Occidente</v>
          </cell>
          <cell r="D570" t="str">
            <v>Favorita</v>
          </cell>
          <cell r="N570">
            <v>0.85</v>
          </cell>
          <cell r="O570">
            <v>0.08</v>
          </cell>
          <cell r="P570">
            <v>7.0000000000000007E-2</v>
          </cell>
          <cell r="BW570">
            <v>0</v>
          </cell>
          <cell r="BX570">
            <v>37.672325008912658</v>
          </cell>
          <cell r="CG570">
            <v>0.47616482391545489</v>
          </cell>
          <cell r="CH570">
            <v>0.22015229019050303</v>
          </cell>
        </row>
        <row r="571">
          <cell r="A571">
            <v>207302</v>
          </cell>
          <cell r="B571" t="str">
            <v>Suc. Piedras Negras</v>
          </cell>
          <cell r="C571" t="str">
            <v>Noreste</v>
          </cell>
          <cell r="D571" t="str">
            <v>Piedras Negras</v>
          </cell>
          <cell r="N571">
            <v>0.8</v>
          </cell>
          <cell r="O571">
            <v>0.12</v>
          </cell>
          <cell r="P571">
            <v>0.08</v>
          </cell>
          <cell r="BW571">
            <v>0</v>
          </cell>
          <cell r="BX571">
            <v>38.590895394361233</v>
          </cell>
          <cell r="CG571">
            <v>0.46830068999999874</v>
          </cell>
          <cell r="CH571">
            <v>0.47574424707138241</v>
          </cell>
        </row>
        <row r="572">
          <cell r="A572">
            <v>704308</v>
          </cell>
          <cell r="B572" t="str">
            <v>Sucursal Juventud</v>
          </cell>
          <cell r="C572" t="str">
            <v>Noreste</v>
          </cell>
          <cell r="D572" t="str">
            <v>Monterrey</v>
          </cell>
          <cell r="N572">
            <v>0.8</v>
          </cell>
          <cell r="O572">
            <v>0.12</v>
          </cell>
          <cell r="P572">
            <v>0.08</v>
          </cell>
          <cell r="BW572">
            <v>0</v>
          </cell>
          <cell r="BX572">
            <v>4.6784045105401049</v>
          </cell>
          <cell r="CG572">
            <v>0.46269786883090858</v>
          </cell>
          <cell r="CH572">
            <v>0.76273431656578206</v>
          </cell>
        </row>
        <row r="573">
          <cell r="A573">
            <v>701319</v>
          </cell>
          <cell r="B573" t="str">
            <v>Planta Guadalupe</v>
          </cell>
          <cell r="C573" t="str">
            <v>Noreste</v>
          </cell>
          <cell r="D573" t="str">
            <v>Monterrey</v>
          </cell>
          <cell r="N573">
            <v>0.8</v>
          </cell>
          <cell r="O573">
            <v>0.12</v>
          </cell>
          <cell r="P573">
            <v>0.08</v>
          </cell>
          <cell r="BW573">
            <v>0</v>
          </cell>
          <cell r="BX573">
            <v>14.624495060605952</v>
          </cell>
          <cell r="CG573">
            <v>0.45647397695454484</v>
          </cell>
          <cell r="CH573">
            <v>0.62158879872025141</v>
          </cell>
        </row>
        <row r="574">
          <cell r="A574">
            <v>203304</v>
          </cell>
          <cell r="B574" t="str">
            <v>Planta Agua y Hielo</v>
          </cell>
          <cell r="C574" t="str">
            <v>Noreste</v>
          </cell>
          <cell r="D574" t="str">
            <v>Saltillo</v>
          </cell>
          <cell r="N574">
            <v>0.8</v>
          </cell>
          <cell r="O574">
            <v>0.12</v>
          </cell>
          <cell r="P574">
            <v>0.08</v>
          </cell>
          <cell r="BW574">
            <v>0</v>
          </cell>
          <cell r="BX574">
            <v>43.920695088216256</v>
          </cell>
          <cell r="CG574">
            <v>0.45639496022727244</v>
          </cell>
          <cell r="CH574">
            <v>0.25417391727630517</v>
          </cell>
        </row>
        <row r="575">
          <cell r="A575">
            <v>220342</v>
          </cell>
          <cell r="B575" t="str">
            <v>Suc. Santa Rita</v>
          </cell>
          <cell r="C575" t="str">
            <v>Norte</v>
          </cell>
          <cell r="D575" t="str">
            <v>Comarca</v>
          </cell>
          <cell r="N575">
            <v>0.85</v>
          </cell>
          <cell r="O575">
            <v>0.08</v>
          </cell>
          <cell r="P575">
            <v>7.0000000000000007E-2</v>
          </cell>
          <cell r="BW575">
            <v>0</v>
          </cell>
          <cell r="BX575">
            <v>24.162666196078511</v>
          </cell>
          <cell r="CG575">
            <v>0.43921845511363672</v>
          </cell>
          <cell r="CH575">
            <v>0.36965822041155705</v>
          </cell>
        </row>
        <row r="576">
          <cell r="A576">
            <v>820411</v>
          </cell>
          <cell r="B576" t="str">
            <v>Suc. Belenes</v>
          </cell>
          <cell r="C576" t="str">
            <v>Occidente</v>
          </cell>
          <cell r="D576" t="str">
            <v>Zapopan</v>
          </cell>
          <cell r="N576">
            <v>0.85</v>
          </cell>
          <cell r="O576">
            <v>0.08</v>
          </cell>
          <cell r="P576">
            <v>7.0000000000000007E-2</v>
          </cell>
          <cell r="BW576">
            <v>0</v>
          </cell>
          <cell r="BX576">
            <v>37.57337981639931</v>
          </cell>
          <cell r="CG576">
            <v>0.45537021480681772</v>
          </cell>
          <cell r="CH576">
            <v>0.19478376482309784</v>
          </cell>
        </row>
        <row r="577">
          <cell r="A577">
            <v>207300</v>
          </cell>
          <cell r="B577" t="str">
            <v>Suc. Piedras Negras</v>
          </cell>
          <cell r="C577" t="str">
            <v>Noreste</v>
          </cell>
          <cell r="D577" t="str">
            <v>Piedras Negras</v>
          </cell>
          <cell r="N577">
            <v>0.8</v>
          </cell>
          <cell r="O577">
            <v>0.12</v>
          </cell>
          <cell r="P577">
            <v>0.08</v>
          </cell>
          <cell r="BW577">
            <v>0</v>
          </cell>
          <cell r="BX577">
            <v>42.235149333755217</v>
          </cell>
          <cell r="CG577">
            <v>0.45478388863636238</v>
          </cell>
          <cell r="CH577">
            <v>0.42623720471498161</v>
          </cell>
        </row>
        <row r="578">
          <cell r="A578">
            <v>946400</v>
          </cell>
          <cell r="B578" t="str">
            <v>Planta Zacatecas</v>
          </cell>
          <cell r="C578" t="str">
            <v>Norte</v>
          </cell>
          <cell r="D578" t="str">
            <v>Zacatecas</v>
          </cell>
          <cell r="N578">
            <v>0.85</v>
          </cell>
          <cell r="O578">
            <v>0.08</v>
          </cell>
          <cell r="P578">
            <v>7.0000000000000007E-2</v>
          </cell>
          <cell r="BW578">
            <v>0</v>
          </cell>
          <cell r="BX578">
            <v>48.340085163101634</v>
          </cell>
          <cell r="CG578">
            <v>0.44393191538961013</v>
          </cell>
          <cell r="CH578">
            <v>0.22545540489050847</v>
          </cell>
        </row>
        <row r="579">
          <cell r="A579">
            <v>701313</v>
          </cell>
          <cell r="B579" t="str">
            <v>Planta Guadalupe</v>
          </cell>
          <cell r="C579" t="str">
            <v>Noreste</v>
          </cell>
          <cell r="D579" t="str">
            <v>Monterrey</v>
          </cell>
          <cell r="N579">
            <v>0.8</v>
          </cell>
          <cell r="O579">
            <v>0.12</v>
          </cell>
          <cell r="P579">
            <v>0.08</v>
          </cell>
          <cell r="BW579">
            <v>0</v>
          </cell>
          <cell r="BX579">
            <v>13.820434196969615</v>
          </cell>
          <cell r="CG579">
            <v>0.45339002386363575</v>
          </cell>
          <cell r="CH579">
            <v>0.62697021636258199</v>
          </cell>
        </row>
        <row r="580">
          <cell r="A580">
            <v>946401</v>
          </cell>
          <cell r="B580" t="str">
            <v>Planta Zacatecas</v>
          </cell>
          <cell r="C580" t="str">
            <v>Norte</v>
          </cell>
          <cell r="D580" t="str">
            <v>Zacatecas</v>
          </cell>
          <cell r="N580">
            <v>0.85</v>
          </cell>
          <cell r="O580">
            <v>0.08</v>
          </cell>
          <cell r="P580">
            <v>7.0000000000000007E-2</v>
          </cell>
          <cell r="BW580">
            <v>0</v>
          </cell>
          <cell r="BX580">
            <v>52.49008460695201</v>
          </cell>
          <cell r="CG580">
            <v>0.44230401876623376</v>
          </cell>
          <cell r="CH580">
            <v>0.17424093165904025</v>
          </cell>
        </row>
        <row r="581">
          <cell r="A581">
            <v>946407</v>
          </cell>
          <cell r="B581" t="str">
            <v>Planta Zacatecas</v>
          </cell>
          <cell r="C581" t="str">
            <v>Norte</v>
          </cell>
          <cell r="D581" t="str">
            <v>Zacatecas</v>
          </cell>
          <cell r="N581">
            <v>0.85</v>
          </cell>
          <cell r="O581">
            <v>0.08</v>
          </cell>
          <cell r="P581">
            <v>7.0000000000000007E-2</v>
          </cell>
          <cell r="BW581">
            <v>0</v>
          </cell>
          <cell r="BX581">
            <v>42.749515975935765</v>
          </cell>
          <cell r="CG581">
            <v>0.44024906894610361</v>
          </cell>
          <cell r="CH581">
            <v>0.28401335415275319</v>
          </cell>
        </row>
        <row r="582">
          <cell r="A582">
            <v>908400</v>
          </cell>
          <cell r="B582" t="str">
            <v>Suc. Loreto</v>
          </cell>
          <cell r="C582" t="str">
            <v>Occidente</v>
          </cell>
          <cell r="D582" t="str">
            <v>Aguascalientes</v>
          </cell>
          <cell r="N582">
            <v>0.85</v>
          </cell>
          <cell r="O582">
            <v>0.08</v>
          </cell>
          <cell r="P582">
            <v>7.0000000000000007E-2</v>
          </cell>
          <cell r="BW582">
            <v>0</v>
          </cell>
          <cell r="BX582">
            <v>63.799875148841345</v>
          </cell>
          <cell r="CG582">
            <v>0.44730271176136344</v>
          </cell>
          <cell r="CH582">
            <v>0.1442863492241373</v>
          </cell>
        </row>
        <row r="583">
          <cell r="A583">
            <v>925303</v>
          </cell>
          <cell r="B583" t="str">
            <v>Planta Matehuala</v>
          </cell>
          <cell r="C583" t="str">
            <v>Occidente</v>
          </cell>
          <cell r="D583" t="str">
            <v>Matehuala</v>
          </cell>
          <cell r="N583">
            <v>0.85</v>
          </cell>
          <cell r="O583">
            <v>0.08</v>
          </cell>
          <cell r="P583">
            <v>7.0000000000000007E-2</v>
          </cell>
          <cell r="BW583">
            <v>0</v>
          </cell>
          <cell r="BX583">
            <v>56.396801389483066</v>
          </cell>
          <cell r="CG583">
            <v>0.44400324119318157</v>
          </cell>
          <cell r="CH583">
            <v>0.21385495394058351</v>
          </cell>
        </row>
        <row r="584">
          <cell r="A584">
            <v>705322</v>
          </cell>
          <cell r="B584" t="str">
            <v>Sucursal Lincoln</v>
          </cell>
          <cell r="C584" t="str">
            <v>Noreste</v>
          </cell>
          <cell r="D584" t="str">
            <v>Monterrey</v>
          </cell>
          <cell r="N584">
            <v>0.8</v>
          </cell>
          <cell r="O584">
            <v>0.12</v>
          </cell>
          <cell r="P584">
            <v>0.08</v>
          </cell>
          <cell r="BW584">
            <v>0</v>
          </cell>
          <cell r="BX584">
            <v>20.130967878787672</v>
          </cell>
          <cell r="CG584">
            <v>0.44271334799999906</v>
          </cell>
          <cell r="CH584">
            <v>0.52205639407828108</v>
          </cell>
        </row>
        <row r="585">
          <cell r="A585">
            <v>701304</v>
          </cell>
          <cell r="B585" t="str">
            <v>Planta Guadalupe</v>
          </cell>
          <cell r="C585" t="str">
            <v>Noreste</v>
          </cell>
          <cell r="D585" t="str">
            <v>Monterrey</v>
          </cell>
          <cell r="N585">
            <v>0.8</v>
          </cell>
          <cell r="O585">
            <v>0.12</v>
          </cell>
          <cell r="P585">
            <v>0.08</v>
          </cell>
          <cell r="BW585">
            <v>212.42851400505242</v>
          </cell>
          <cell r="BX585">
            <v>0</v>
          </cell>
          <cell r="CG585">
            <v>0.44266574259409025</v>
          </cell>
          <cell r="CH585">
            <v>1.2399425223089726</v>
          </cell>
        </row>
        <row r="586">
          <cell r="A586">
            <v>220346</v>
          </cell>
          <cell r="B586" t="str">
            <v>Suc. Santa Rita</v>
          </cell>
          <cell r="C586" t="str">
            <v>Norte</v>
          </cell>
          <cell r="D586" t="str">
            <v>Comarca</v>
          </cell>
          <cell r="N586">
            <v>0.85</v>
          </cell>
          <cell r="O586">
            <v>0.08</v>
          </cell>
          <cell r="P586">
            <v>7.0000000000000007E-2</v>
          </cell>
          <cell r="BW586">
            <v>0</v>
          </cell>
          <cell r="BX586">
            <v>15.951565046345873</v>
          </cell>
          <cell r="CG586">
            <v>0.42680800994318174</v>
          </cell>
          <cell r="CH586">
            <v>0.48705395282728603</v>
          </cell>
        </row>
        <row r="587">
          <cell r="A587">
            <v>705326</v>
          </cell>
          <cell r="B587" t="str">
            <v>Sucursal Lincoln</v>
          </cell>
          <cell r="C587" t="str">
            <v>Noreste</v>
          </cell>
          <cell r="D587" t="str">
            <v>Monterrey</v>
          </cell>
          <cell r="N587">
            <v>0.8</v>
          </cell>
          <cell r="O587">
            <v>0.12</v>
          </cell>
          <cell r="P587">
            <v>0.08</v>
          </cell>
          <cell r="BW587">
            <v>0</v>
          </cell>
          <cell r="BX587">
            <v>32.961995393939262</v>
          </cell>
          <cell r="CG587">
            <v>0.43595393481818112</v>
          </cell>
          <cell r="CH587">
            <v>0.33560106109218024</v>
          </cell>
        </row>
        <row r="588">
          <cell r="A588">
            <v>823302</v>
          </cell>
          <cell r="B588" t="str">
            <v>Sucursal Chapala</v>
          </cell>
          <cell r="C588" t="str">
            <v>Occidente</v>
          </cell>
          <cell r="D588" t="str">
            <v>Zapopan</v>
          </cell>
          <cell r="N588">
            <v>0.85</v>
          </cell>
          <cell r="O588">
            <v>0.08</v>
          </cell>
          <cell r="P588">
            <v>7.0000000000000007E-2</v>
          </cell>
          <cell r="BW588">
            <v>0</v>
          </cell>
          <cell r="BX588">
            <v>27.635534215332676</v>
          </cell>
          <cell r="CG588">
            <v>0.43160718681818172</v>
          </cell>
          <cell r="CH588">
            <v>8.217276260554067E-2</v>
          </cell>
        </row>
        <row r="589">
          <cell r="A589">
            <v>701310</v>
          </cell>
          <cell r="B589" t="str">
            <v>Planta Guadalupe</v>
          </cell>
          <cell r="C589" t="str">
            <v>Noreste</v>
          </cell>
          <cell r="D589" t="str">
            <v>Monterrey</v>
          </cell>
          <cell r="N589">
            <v>0.8</v>
          </cell>
          <cell r="O589">
            <v>0.12</v>
          </cell>
          <cell r="P589">
            <v>0.08</v>
          </cell>
          <cell r="BW589">
            <v>39.801859191917941</v>
          </cell>
          <cell r="BX589">
            <v>8.6101216919190762</v>
          </cell>
          <cell r="CG589">
            <v>0.42851266404545363</v>
          </cell>
          <cell r="CH589">
            <v>0.78822533329387279</v>
          </cell>
        </row>
        <row r="590">
          <cell r="A590">
            <v>308346</v>
          </cell>
          <cell r="B590" t="str">
            <v>Planta Chihuahua</v>
          </cell>
          <cell r="C590" t="str">
            <v>Norte</v>
          </cell>
          <cell r="D590" t="str">
            <v>Chihuahua</v>
          </cell>
          <cell r="N590">
            <v>0.85</v>
          </cell>
          <cell r="O590">
            <v>0.08</v>
          </cell>
          <cell r="P590">
            <v>7.0000000000000007E-2</v>
          </cell>
          <cell r="BW590">
            <v>0</v>
          </cell>
          <cell r="BX590">
            <v>14.839076817290476</v>
          </cell>
          <cell r="CG590">
            <v>0.42451816909090784</v>
          </cell>
          <cell r="CH590">
            <v>0.33688626598456917</v>
          </cell>
        </row>
        <row r="591">
          <cell r="A591">
            <v>946405</v>
          </cell>
          <cell r="B591" t="str">
            <v>Planta Zacatecas</v>
          </cell>
          <cell r="C591" t="str">
            <v>Norte</v>
          </cell>
          <cell r="D591" t="str">
            <v>Zacatecas</v>
          </cell>
          <cell r="N591">
            <v>0.85</v>
          </cell>
          <cell r="O591">
            <v>0.08</v>
          </cell>
          <cell r="P591">
            <v>7.0000000000000007E-2</v>
          </cell>
          <cell r="BW591">
            <v>0</v>
          </cell>
          <cell r="BX591">
            <v>49.90735692067728</v>
          </cell>
          <cell r="CG591">
            <v>0.41406407006493495</v>
          </cell>
          <cell r="CH591">
            <v>0.15416602973615612</v>
          </cell>
        </row>
        <row r="592">
          <cell r="A592">
            <v>704310</v>
          </cell>
          <cell r="B592" t="str">
            <v>Sucursal Juventud</v>
          </cell>
          <cell r="C592" t="str">
            <v>Noreste</v>
          </cell>
          <cell r="D592" t="str">
            <v>Monterrey</v>
          </cell>
          <cell r="N592">
            <v>0.8</v>
          </cell>
          <cell r="O592">
            <v>0.12</v>
          </cell>
          <cell r="P592">
            <v>0.08</v>
          </cell>
          <cell r="BW592">
            <v>0</v>
          </cell>
          <cell r="BX592">
            <v>20.638231242424318</v>
          </cell>
          <cell r="CG592">
            <v>0.4211312346818184</v>
          </cell>
          <cell r="CH592">
            <v>0.47638321317382082</v>
          </cell>
        </row>
        <row r="593">
          <cell r="A593">
            <v>308342</v>
          </cell>
          <cell r="B593" t="str">
            <v>Planta Chihuahua</v>
          </cell>
          <cell r="C593" t="str">
            <v>Norte</v>
          </cell>
          <cell r="D593" t="str">
            <v>Chihuahua</v>
          </cell>
          <cell r="N593">
            <v>0.85</v>
          </cell>
          <cell r="O593">
            <v>0.08</v>
          </cell>
          <cell r="P593">
            <v>7.0000000000000007E-2</v>
          </cell>
          <cell r="BW593">
            <v>0</v>
          </cell>
          <cell r="BX593">
            <v>8.6657889367872087</v>
          </cell>
          <cell r="CG593">
            <v>0.41677818954545415</v>
          </cell>
          <cell r="CH593">
            <v>0.43691367320764013</v>
          </cell>
        </row>
        <row r="594">
          <cell r="A594">
            <v>901405</v>
          </cell>
          <cell r="B594" t="str">
            <v>Planta Aguascalientes</v>
          </cell>
          <cell r="C594" t="str">
            <v>Occidente</v>
          </cell>
          <cell r="D594" t="str">
            <v>Aguascalientes</v>
          </cell>
          <cell r="N594">
            <v>0.85</v>
          </cell>
          <cell r="O594">
            <v>0.08</v>
          </cell>
          <cell r="P594">
            <v>7.0000000000000007E-2</v>
          </cell>
          <cell r="BW594">
            <v>0</v>
          </cell>
          <cell r="BX594">
            <v>23.896799848484811</v>
          </cell>
          <cell r="CG594">
            <v>0.41141832136363576</v>
          </cell>
          <cell r="CH594">
            <v>6.9637121694933038E-2</v>
          </cell>
        </row>
        <row r="595">
          <cell r="A595">
            <v>705320</v>
          </cell>
          <cell r="B595" t="str">
            <v>Sucursal Lincoln</v>
          </cell>
          <cell r="C595" t="str">
            <v>Noreste</v>
          </cell>
          <cell r="D595" t="str">
            <v>Monterrey</v>
          </cell>
          <cell r="N595">
            <v>0.8</v>
          </cell>
          <cell r="O595">
            <v>0.12</v>
          </cell>
          <cell r="P595">
            <v>0.08</v>
          </cell>
          <cell r="BW595">
            <v>0</v>
          </cell>
          <cell r="BX595">
            <v>17.459821909090813</v>
          </cell>
          <cell r="CG595">
            <v>0.40682045536363598</v>
          </cell>
          <cell r="CH595">
            <v>0.49384598728317036</v>
          </cell>
        </row>
        <row r="596">
          <cell r="A596">
            <v>712311</v>
          </cell>
          <cell r="B596" t="str">
            <v>Sucursal Santa Catarina</v>
          </cell>
          <cell r="C596" t="str">
            <v>Noreste</v>
          </cell>
          <cell r="D596" t="str">
            <v>Monterrey</v>
          </cell>
          <cell r="N596">
            <v>0.8</v>
          </cell>
          <cell r="O596">
            <v>0.12</v>
          </cell>
          <cell r="P596">
            <v>0.08</v>
          </cell>
          <cell r="BW596">
            <v>126.62906676767616</v>
          </cell>
          <cell r="BX596">
            <v>9.7911799701190816</v>
          </cell>
          <cell r="CG596">
            <v>0.40354784590908976</v>
          </cell>
          <cell r="CH596">
            <v>0.86698721615968499</v>
          </cell>
        </row>
        <row r="597">
          <cell r="A597">
            <v>705301</v>
          </cell>
          <cell r="B597" t="str">
            <v>Sucursal Lincoln</v>
          </cell>
          <cell r="C597" t="str">
            <v>Noreste</v>
          </cell>
          <cell r="D597" t="str">
            <v>Monterrey</v>
          </cell>
          <cell r="N597">
            <v>0.8</v>
          </cell>
          <cell r="O597">
            <v>0.12</v>
          </cell>
          <cell r="P597">
            <v>0.08</v>
          </cell>
          <cell r="BW597">
            <v>111.05016202020235</v>
          </cell>
          <cell r="BX597">
            <v>10.658346212543044</v>
          </cell>
          <cell r="CG597">
            <v>0.40121414263636312</v>
          </cell>
          <cell r="CH597">
            <v>0.85520679783327624</v>
          </cell>
        </row>
        <row r="598">
          <cell r="A598">
            <v>301342</v>
          </cell>
          <cell r="B598" t="str">
            <v>Planta Cd. Juárez</v>
          </cell>
          <cell r="C598" t="str">
            <v>Norte</v>
          </cell>
          <cell r="D598" t="str">
            <v>Juárez</v>
          </cell>
          <cell r="N598">
            <v>0.85</v>
          </cell>
          <cell r="O598">
            <v>0.08</v>
          </cell>
          <cell r="P598">
            <v>7.0000000000000007E-2</v>
          </cell>
          <cell r="BW598">
            <v>0</v>
          </cell>
          <cell r="BX598">
            <v>16.893537090017755</v>
          </cell>
          <cell r="CG598">
            <v>0.40023657587454481</v>
          </cell>
          <cell r="CH598">
            <v>0.27817683666051007</v>
          </cell>
        </row>
        <row r="599">
          <cell r="A599">
            <v>203312</v>
          </cell>
          <cell r="B599" t="str">
            <v>Planta Agua y Hielo</v>
          </cell>
          <cell r="C599" t="str">
            <v>Noreste</v>
          </cell>
          <cell r="D599" t="str">
            <v>Saltillo</v>
          </cell>
          <cell r="N599">
            <v>0.8</v>
          </cell>
          <cell r="O599">
            <v>0.12</v>
          </cell>
          <cell r="P599">
            <v>0.08</v>
          </cell>
          <cell r="BW599">
            <v>0</v>
          </cell>
          <cell r="BX599">
            <v>26.712686995412909</v>
          </cell>
          <cell r="CG599">
            <v>0.39839544715909131</v>
          </cell>
          <cell r="CH599">
            <v>0.23928249113727648</v>
          </cell>
        </row>
        <row r="600">
          <cell r="A600">
            <v>301343</v>
          </cell>
          <cell r="B600" t="str">
            <v>Planta Cd. Juárez</v>
          </cell>
          <cell r="C600" t="str">
            <v>Norte</v>
          </cell>
          <cell r="D600" t="str">
            <v>Juárez</v>
          </cell>
          <cell r="N600">
            <v>0.85</v>
          </cell>
          <cell r="O600">
            <v>0.08</v>
          </cell>
          <cell r="P600">
            <v>7.0000000000000007E-2</v>
          </cell>
          <cell r="BW600">
            <v>145.73895138257626</v>
          </cell>
          <cell r="BX600">
            <v>15.756480753787898</v>
          </cell>
          <cell r="CG600">
            <v>0.28280400545454432</v>
          </cell>
          <cell r="CH600">
            <v>0.63754217308559602</v>
          </cell>
        </row>
        <row r="601">
          <cell r="A601">
            <v>209300</v>
          </cell>
          <cell r="B601" t="str">
            <v>Suc. Sabinas Coah.</v>
          </cell>
          <cell r="C601" t="str">
            <v>Noreste</v>
          </cell>
          <cell r="D601" t="str">
            <v>Piedras Negras</v>
          </cell>
          <cell r="N601">
            <v>0.8</v>
          </cell>
          <cell r="O601">
            <v>0.12</v>
          </cell>
          <cell r="P601">
            <v>0.08</v>
          </cell>
          <cell r="BW601">
            <v>0</v>
          </cell>
          <cell r="BX601">
            <v>39.597654030302806</v>
          </cell>
          <cell r="CG601">
            <v>0.39456453477272652</v>
          </cell>
          <cell r="CH601">
            <v>0.45468659112018378</v>
          </cell>
        </row>
        <row r="602">
          <cell r="A602">
            <v>705304</v>
          </cell>
          <cell r="B602" t="str">
            <v>Sucursal Lincoln</v>
          </cell>
          <cell r="C602" t="str">
            <v>Noreste</v>
          </cell>
          <cell r="D602" t="str">
            <v>Monterrey</v>
          </cell>
          <cell r="N602">
            <v>0.8</v>
          </cell>
          <cell r="O602">
            <v>0.12</v>
          </cell>
          <cell r="P602">
            <v>0.08</v>
          </cell>
          <cell r="BW602">
            <v>0</v>
          </cell>
          <cell r="BX602">
            <v>10.137145084321496</v>
          </cell>
          <cell r="CG602">
            <v>0.38288399195454509</v>
          </cell>
          <cell r="CH602">
            <v>0.62575995104705462</v>
          </cell>
        </row>
        <row r="603">
          <cell r="A603">
            <v>704307</v>
          </cell>
          <cell r="B603" t="str">
            <v>Sucursal Juventud</v>
          </cell>
          <cell r="C603" t="str">
            <v>Noreste</v>
          </cell>
          <cell r="D603" t="str">
            <v>Monterrey</v>
          </cell>
          <cell r="N603">
            <v>0.8</v>
          </cell>
          <cell r="O603">
            <v>0.12</v>
          </cell>
          <cell r="P603">
            <v>0.08</v>
          </cell>
          <cell r="BW603">
            <v>75.249945757576256</v>
          </cell>
          <cell r="BX603">
            <v>10.254337696969607</v>
          </cell>
          <cell r="CG603">
            <v>0.38150338990909</v>
          </cell>
          <cell r="CH603">
            <v>0.80180550661557604</v>
          </cell>
        </row>
        <row r="604">
          <cell r="A604">
            <v>705325</v>
          </cell>
          <cell r="B604" t="str">
            <v>Sucursal Lincoln</v>
          </cell>
          <cell r="C604" t="str">
            <v>Noreste</v>
          </cell>
          <cell r="D604" t="str">
            <v>Monterrey</v>
          </cell>
          <cell r="N604">
            <v>0.8</v>
          </cell>
          <cell r="O604">
            <v>0.12</v>
          </cell>
          <cell r="P604">
            <v>0.08</v>
          </cell>
          <cell r="BW604">
            <v>0</v>
          </cell>
          <cell r="BX604">
            <v>16.614902545454466</v>
          </cell>
          <cell r="CG604">
            <v>0.36629596595454517</v>
          </cell>
          <cell r="CH604">
            <v>0.43250360734304977</v>
          </cell>
        </row>
        <row r="605">
          <cell r="A605">
            <v>701320</v>
          </cell>
          <cell r="B605" t="str">
            <v>Planta Guadalupe</v>
          </cell>
          <cell r="C605" t="str">
            <v>Noreste</v>
          </cell>
          <cell r="D605" t="str">
            <v>Monterrey</v>
          </cell>
          <cell r="N605">
            <v>0.8</v>
          </cell>
          <cell r="O605">
            <v>0.12</v>
          </cell>
          <cell r="P605">
            <v>0.08</v>
          </cell>
          <cell r="BW605">
            <v>80.549630101010308</v>
          </cell>
          <cell r="BX605">
            <v>15.590655010100967</v>
          </cell>
          <cell r="CG605">
            <v>0.36416891413636321</v>
          </cell>
          <cell r="CH605">
            <v>0.71616162464883992</v>
          </cell>
        </row>
        <row r="606">
          <cell r="A606">
            <v>712302</v>
          </cell>
          <cell r="B606" t="str">
            <v>Sucursal Santa Catarina</v>
          </cell>
          <cell r="C606" t="str">
            <v>Noreste</v>
          </cell>
          <cell r="D606" t="str">
            <v>Monterrey</v>
          </cell>
          <cell r="N606">
            <v>0.8</v>
          </cell>
          <cell r="O606">
            <v>0.12</v>
          </cell>
          <cell r="P606">
            <v>0.08</v>
          </cell>
          <cell r="BW606">
            <v>0</v>
          </cell>
          <cell r="BX606">
            <v>22.172111227272552</v>
          </cell>
          <cell r="CG606">
            <v>0.35916513340908962</v>
          </cell>
          <cell r="CH606">
            <v>0.34419538609371453</v>
          </cell>
        </row>
        <row r="607">
          <cell r="A607">
            <v>503305</v>
          </cell>
          <cell r="B607" t="str">
            <v>Sucursal Venadillo</v>
          </cell>
          <cell r="C607" t="str">
            <v>Pacifico</v>
          </cell>
          <cell r="D607" t="str">
            <v>Mazatlán</v>
          </cell>
          <cell r="N607">
            <v>0.85</v>
          </cell>
          <cell r="O607">
            <v>0.08</v>
          </cell>
          <cell r="P607">
            <v>7.0000000000000007E-2</v>
          </cell>
          <cell r="BW607">
            <v>0</v>
          </cell>
          <cell r="BX607">
            <v>23.087040414438491</v>
          </cell>
          <cell r="CG607">
            <v>0.35741073763636355</v>
          </cell>
          <cell r="CH607">
            <v>0.18452168536460783</v>
          </cell>
        </row>
        <row r="608">
          <cell r="A608">
            <v>703306</v>
          </cell>
          <cell r="B608" t="str">
            <v>Sucursal Universidad</v>
          </cell>
          <cell r="C608" t="str">
            <v>Noreste</v>
          </cell>
          <cell r="D608" t="str">
            <v>Monterrey</v>
          </cell>
          <cell r="N608">
            <v>0.8</v>
          </cell>
          <cell r="O608">
            <v>0.12</v>
          </cell>
          <cell r="P608">
            <v>0.08</v>
          </cell>
          <cell r="BW608">
            <v>0</v>
          </cell>
          <cell r="BX608">
            <v>0</v>
          </cell>
          <cell r="CG608">
            <v>0.35302834922727239</v>
          </cell>
          <cell r="CH608">
            <v>0.28583246545123636</v>
          </cell>
        </row>
        <row r="609">
          <cell r="A609">
            <v>712303</v>
          </cell>
          <cell r="B609" t="str">
            <v>Sucursal Santa Catarina</v>
          </cell>
          <cell r="C609" t="str">
            <v>Noreste</v>
          </cell>
          <cell r="D609" t="str">
            <v>Monterrey</v>
          </cell>
          <cell r="N609">
            <v>0.8</v>
          </cell>
          <cell r="O609">
            <v>0.12</v>
          </cell>
          <cell r="P609">
            <v>0.08</v>
          </cell>
          <cell r="BW609">
            <v>18.76596672727311</v>
          </cell>
          <cell r="BX609">
            <v>0</v>
          </cell>
          <cell r="CG609">
            <v>0.35009814763636332</v>
          </cell>
          <cell r="CH609">
            <v>0.69284340384694465</v>
          </cell>
        </row>
        <row r="610">
          <cell r="A610">
            <v>701318</v>
          </cell>
          <cell r="B610" t="str">
            <v>Planta Guadalupe</v>
          </cell>
          <cell r="C610" t="str">
            <v>Noreste</v>
          </cell>
          <cell r="D610" t="str">
            <v>Monterrey</v>
          </cell>
          <cell r="N610">
            <v>0.8</v>
          </cell>
          <cell r="O610">
            <v>0.12</v>
          </cell>
          <cell r="P610">
            <v>0.08</v>
          </cell>
          <cell r="BW610">
            <v>75.613687313130697</v>
          </cell>
          <cell r="BX610">
            <v>9.7182497979796878</v>
          </cell>
          <cell r="CG610">
            <v>0.34917237706909077</v>
          </cell>
          <cell r="CH610">
            <v>0.75222630404153534</v>
          </cell>
        </row>
        <row r="611">
          <cell r="A611">
            <v>703304</v>
          </cell>
          <cell r="B611" t="str">
            <v>Sucursal Universidad</v>
          </cell>
          <cell r="C611" t="str">
            <v>Noreste</v>
          </cell>
          <cell r="D611" t="str">
            <v>Monterrey</v>
          </cell>
          <cell r="N611">
            <v>0.8</v>
          </cell>
          <cell r="O611">
            <v>0.12</v>
          </cell>
          <cell r="P611">
            <v>0.08</v>
          </cell>
          <cell r="BW611">
            <v>0</v>
          </cell>
          <cell r="BX611">
            <v>0</v>
          </cell>
          <cell r="CG611">
            <v>0.34570064454545452</v>
          </cell>
          <cell r="CH611">
            <v>0.37022953959041915</v>
          </cell>
        </row>
        <row r="612">
          <cell r="A612">
            <v>701312</v>
          </cell>
          <cell r="B612" t="str">
            <v>Planta Guadalupe</v>
          </cell>
          <cell r="C612" t="str">
            <v>Noreste</v>
          </cell>
          <cell r="D612" t="str">
            <v>Monterrey</v>
          </cell>
          <cell r="N612">
            <v>0.8</v>
          </cell>
          <cell r="O612">
            <v>0.12</v>
          </cell>
          <cell r="P612">
            <v>0.08</v>
          </cell>
          <cell r="BW612">
            <v>104.38467858585841</v>
          </cell>
          <cell r="BX612">
            <v>11.920358358585879</v>
          </cell>
          <cell r="CG612">
            <v>0.34041407399999951</v>
          </cell>
          <cell r="CH612">
            <v>0.80428568345236062</v>
          </cell>
        </row>
        <row r="613">
          <cell r="A613">
            <v>705312</v>
          </cell>
          <cell r="B613" t="str">
            <v>Sucursal Lincoln</v>
          </cell>
          <cell r="C613" t="str">
            <v>Noreste</v>
          </cell>
          <cell r="D613" t="str">
            <v>Monterrey</v>
          </cell>
          <cell r="N613">
            <v>0.8</v>
          </cell>
          <cell r="O613">
            <v>0.12</v>
          </cell>
          <cell r="P613">
            <v>0.08</v>
          </cell>
          <cell r="BW613">
            <v>60.105198080808549</v>
          </cell>
          <cell r="BX613">
            <v>9.0966732323232335</v>
          </cell>
          <cell r="CG613">
            <v>0.33830900631818139</v>
          </cell>
          <cell r="CH613">
            <v>0.68847888752839437</v>
          </cell>
        </row>
        <row r="614">
          <cell r="A614">
            <v>701316</v>
          </cell>
          <cell r="B614" t="str">
            <v>Planta Guadalupe</v>
          </cell>
          <cell r="C614" t="str">
            <v>Noreste</v>
          </cell>
          <cell r="D614" t="str">
            <v>Monterrey</v>
          </cell>
          <cell r="N614">
            <v>0.8</v>
          </cell>
          <cell r="O614">
            <v>0.12</v>
          </cell>
          <cell r="P614">
            <v>0.08</v>
          </cell>
          <cell r="BW614">
            <v>0</v>
          </cell>
          <cell r="BX614">
            <v>27.299402772727014</v>
          </cell>
          <cell r="CG614">
            <v>0.33589864636363465</v>
          </cell>
          <cell r="CH614">
            <v>0.47417011087846878</v>
          </cell>
        </row>
        <row r="615">
          <cell r="A615">
            <v>821470</v>
          </cell>
          <cell r="B615" t="str">
            <v>Suc. Ameca</v>
          </cell>
          <cell r="C615" t="str">
            <v>Occidente</v>
          </cell>
          <cell r="D615" t="str">
            <v>Zapopan</v>
          </cell>
          <cell r="N615">
            <v>0.85</v>
          </cell>
          <cell r="O615">
            <v>0.08</v>
          </cell>
          <cell r="P615">
            <v>7.0000000000000007E-2</v>
          </cell>
          <cell r="BW615">
            <v>0</v>
          </cell>
          <cell r="BX615">
            <v>5.1409337714097418</v>
          </cell>
          <cell r="CG615">
            <v>0.33574139979545431</v>
          </cell>
          <cell r="CH615">
            <v>0.39858722016013726</v>
          </cell>
        </row>
        <row r="616">
          <cell r="A616">
            <v>103340</v>
          </cell>
          <cell r="B616" t="str">
            <v>Sucursal Reynosa</v>
          </cell>
          <cell r="C616" t="str">
            <v>Noreste</v>
          </cell>
          <cell r="D616" t="str">
            <v>Reynosa</v>
          </cell>
          <cell r="N616">
            <v>0.8</v>
          </cell>
          <cell r="O616">
            <v>0.12</v>
          </cell>
          <cell r="P616">
            <v>0.08</v>
          </cell>
          <cell r="BW616">
            <v>0</v>
          </cell>
          <cell r="BX616">
            <v>41.575350007575707</v>
          </cell>
          <cell r="CG616">
            <v>0.33495763217727254</v>
          </cell>
          <cell r="CH616">
            <v>0.27786460447853384</v>
          </cell>
        </row>
        <row r="617">
          <cell r="A617">
            <v>103342</v>
          </cell>
          <cell r="B617" t="str">
            <v>Sucursal Reynosa</v>
          </cell>
          <cell r="C617" t="str">
            <v>Noreste</v>
          </cell>
          <cell r="D617" t="str">
            <v>Reynosa</v>
          </cell>
          <cell r="N617">
            <v>0.8</v>
          </cell>
          <cell r="O617">
            <v>0.12</v>
          </cell>
          <cell r="P617">
            <v>0.08</v>
          </cell>
          <cell r="BW617">
            <v>0</v>
          </cell>
          <cell r="BX617">
            <v>49.472185636363619</v>
          </cell>
          <cell r="CG617">
            <v>0.32523537681818171</v>
          </cell>
          <cell r="CH617">
            <v>0.14612781081711373</v>
          </cell>
        </row>
        <row r="618">
          <cell r="A618">
            <v>203327</v>
          </cell>
          <cell r="B618" t="str">
            <v>Planta Agua y Hielo</v>
          </cell>
          <cell r="C618" t="str">
            <v>Noreste</v>
          </cell>
          <cell r="D618" t="str">
            <v>Saltillo</v>
          </cell>
          <cell r="N618">
            <v>0.8</v>
          </cell>
          <cell r="O618">
            <v>0.12</v>
          </cell>
          <cell r="P618">
            <v>0.08</v>
          </cell>
          <cell r="BW618">
            <v>71.700118181818766</v>
          </cell>
          <cell r="BX618">
            <v>4.5021937245798043</v>
          </cell>
          <cell r="CG618">
            <v>0.32473258721590886</v>
          </cell>
          <cell r="CH618">
            <v>0.92354735045694991</v>
          </cell>
        </row>
        <row r="619">
          <cell r="A619">
            <v>703303</v>
          </cell>
          <cell r="B619" t="str">
            <v>Sucursal Universidad</v>
          </cell>
          <cell r="C619" t="str">
            <v>Noreste</v>
          </cell>
          <cell r="D619" t="str">
            <v>Monterrey</v>
          </cell>
          <cell r="N619">
            <v>0.8</v>
          </cell>
          <cell r="O619">
            <v>0.12</v>
          </cell>
          <cell r="P619">
            <v>0.08</v>
          </cell>
          <cell r="BW619">
            <v>0</v>
          </cell>
          <cell r="BX619">
            <v>0</v>
          </cell>
          <cell r="CG619">
            <v>0.32462936386363622</v>
          </cell>
          <cell r="CH619">
            <v>0.26618774965042069</v>
          </cell>
        </row>
        <row r="620">
          <cell r="A620">
            <v>705316</v>
          </cell>
          <cell r="B620" t="str">
            <v>Sucursal Lincoln</v>
          </cell>
          <cell r="C620" t="str">
            <v>Noreste</v>
          </cell>
          <cell r="D620" t="str">
            <v>Monterrey</v>
          </cell>
          <cell r="N620">
            <v>0.8</v>
          </cell>
          <cell r="O620">
            <v>0.12</v>
          </cell>
          <cell r="P620">
            <v>0.08</v>
          </cell>
          <cell r="BW620">
            <v>0</v>
          </cell>
          <cell r="BX620">
            <v>10.693487015151426</v>
          </cell>
          <cell r="CG620">
            <v>0.32354972495999917</v>
          </cell>
          <cell r="CH620">
            <v>0.4361328408134495</v>
          </cell>
        </row>
        <row r="621">
          <cell r="A621">
            <v>704311</v>
          </cell>
          <cell r="B621" t="str">
            <v>Sucursal Juventud</v>
          </cell>
          <cell r="C621" t="str">
            <v>Noreste</v>
          </cell>
          <cell r="D621" t="str">
            <v>Monterrey</v>
          </cell>
          <cell r="N621">
            <v>0.8</v>
          </cell>
          <cell r="O621">
            <v>0.12</v>
          </cell>
          <cell r="P621">
            <v>0.08</v>
          </cell>
          <cell r="BW621">
            <v>9.706286666666557</v>
          </cell>
          <cell r="BX621">
            <v>1.5418949090907432</v>
          </cell>
          <cell r="CG621">
            <v>0.32107084609090852</v>
          </cell>
          <cell r="CH621">
            <v>0.58896730019027177</v>
          </cell>
        </row>
        <row r="622">
          <cell r="A622">
            <v>203331</v>
          </cell>
          <cell r="B622" t="str">
            <v>Planta Agua y Hielo</v>
          </cell>
          <cell r="C622" t="str">
            <v>Noreste</v>
          </cell>
          <cell r="D622" t="str">
            <v>Saltillo</v>
          </cell>
          <cell r="N622">
            <v>0.8</v>
          </cell>
          <cell r="O622">
            <v>0.12</v>
          </cell>
          <cell r="P622">
            <v>0.08</v>
          </cell>
          <cell r="BW622">
            <v>97.07733260606139</v>
          </cell>
          <cell r="BX622">
            <v>0</v>
          </cell>
          <cell r="CG622">
            <v>0.32076256193181796</v>
          </cell>
          <cell r="CH622">
            <v>1.2190754288632786</v>
          </cell>
        </row>
        <row r="623">
          <cell r="A623">
            <v>705311</v>
          </cell>
          <cell r="B623" t="str">
            <v>Sucursal Lincoln</v>
          </cell>
          <cell r="C623" t="str">
            <v>Noreste</v>
          </cell>
          <cell r="D623" t="str">
            <v>Monterrey</v>
          </cell>
          <cell r="N623">
            <v>0.8</v>
          </cell>
          <cell r="O623">
            <v>0.12</v>
          </cell>
          <cell r="P623">
            <v>0.08</v>
          </cell>
          <cell r="BW623">
            <v>34.755808823232684</v>
          </cell>
          <cell r="BX623">
            <v>4.7975133232322804</v>
          </cell>
          <cell r="CG623">
            <v>0.32063378161499956</v>
          </cell>
          <cell r="CH623">
            <v>0.62902865801011287</v>
          </cell>
        </row>
        <row r="624">
          <cell r="A624">
            <v>704304</v>
          </cell>
          <cell r="B624" t="str">
            <v>Sucursal Juventud</v>
          </cell>
          <cell r="C624" t="str">
            <v>Noreste</v>
          </cell>
          <cell r="D624" t="str">
            <v>Monterrey</v>
          </cell>
          <cell r="N624">
            <v>0.8</v>
          </cell>
          <cell r="O624">
            <v>0.12</v>
          </cell>
          <cell r="P624">
            <v>0.08</v>
          </cell>
          <cell r="BW624">
            <v>75.004277353533695</v>
          </cell>
          <cell r="BX624">
            <v>9.590364545876696</v>
          </cell>
          <cell r="CG624">
            <v>0.31578591984545368</v>
          </cell>
          <cell r="CH624">
            <v>0.8697152855750232</v>
          </cell>
        </row>
        <row r="625">
          <cell r="A625">
            <v>705324</v>
          </cell>
          <cell r="B625" t="str">
            <v>Sucursal Lincoln</v>
          </cell>
          <cell r="C625" t="str">
            <v>Noreste</v>
          </cell>
          <cell r="D625" t="str">
            <v>Monterrey</v>
          </cell>
          <cell r="N625">
            <v>0.8</v>
          </cell>
          <cell r="O625">
            <v>0.12</v>
          </cell>
          <cell r="P625">
            <v>0.08</v>
          </cell>
          <cell r="BW625">
            <v>0</v>
          </cell>
          <cell r="BX625">
            <v>8.1831141396574054</v>
          </cell>
          <cell r="CG625">
            <v>0.30264788352272737</v>
          </cell>
          <cell r="CH625">
            <v>0.44827666648196141</v>
          </cell>
        </row>
        <row r="626">
          <cell r="A626">
            <v>712319</v>
          </cell>
          <cell r="B626" t="str">
            <v>Sucursal Santa Catarina</v>
          </cell>
          <cell r="C626" t="str">
            <v>Noreste</v>
          </cell>
          <cell r="D626" t="str">
            <v>Monterrey</v>
          </cell>
          <cell r="N626">
            <v>0.8</v>
          </cell>
          <cell r="O626">
            <v>0.12</v>
          </cell>
          <cell r="P626">
            <v>0.08</v>
          </cell>
          <cell r="BW626">
            <v>48.911092828283699</v>
          </cell>
          <cell r="BX626">
            <v>7.1816840404041145</v>
          </cell>
          <cell r="CG626">
            <v>0.29910565554545387</v>
          </cell>
          <cell r="CH626">
            <v>0.60602951929729743</v>
          </cell>
        </row>
        <row r="627">
          <cell r="A627">
            <v>705323</v>
          </cell>
          <cell r="B627" t="str">
            <v>Sucursal Lincoln</v>
          </cell>
          <cell r="C627" t="str">
            <v>Noreste</v>
          </cell>
          <cell r="D627" t="str">
            <v>Monterrey</v>
          </cell>
          <cell r="N627">
            <v>0.8</v>
          </cell>
          <cell r="O627">
            <v>0.12</v>
          </cell>
          <cell r="P627">
            <v>0.08</v>
          </cell>
          <cell r="BW627">
            <v>89.464104646465387</v>
          </cell>
          <cell r="BX627">
            <v>7.9074592373738355</v>
          </cell>
          <cell r="CG627">
            <v>0.29813546413636344</v>
          </cell>
          <cell r="CH627">
            <v>0.732154261193947</v>
          </cell>
        </row>
        <row r="628">
          <cell r="A628">
            <v>705303</v>
          </cell>
          <cell r="B628" t="str">
            <v>Sucursal Lincoln</v>
          </cell>
          <cell r="C628" t="str">
            <v>Noreste</v>
          </cell>
          <cell r="D628" t="str">
            <v>Monterrey</v>
          </cell>
          <cell r="N628">
            <v>0.8</v>
          </cell>
          <cell r="O628">
            <v>0.12</v>
          </cell>
          <cell r="P628">
            <v>0.08</v>
          </cell>
          <cell r="BW628">
            <v>113.15392080808127</v>
          </cell>
          <cell r="BX628">
            <v>14.857918459596</v>
          </cell>
          <cell r="CG628">
            <v>0.29315943490909047</v>
          </cell>
          <cell r="CH628">
            <v>0.70924716511040187</v>
          </cell>
        </row>
        <row r="629">
          <cell r="A629">
            <v>705306</v>
          </cell>
          <cell r="B629" t="str">
            <v>Sucursal Lincoln</v>
          </cell>
          <cell r="C629" t="str">
            <v>Noreste</v>
          </cell>
          <cell r="D629" t="str">
            <v>Monterrey</v>
          </cell>
          <cell r="N629">
            <v>0.8</v>
          </cell>
          <cell r="O629">
            <v>0.12</v>
          </cell>
          <cell r="P629">
            <v>0.08</v>
          </cell>
          <cell r="BW629">
            <v>181.81625272727322</v>
          </cell>
          <cell r="BX629">
            <v>8.4965993186036428</v>
          </cell>
          <cell r="CG629">
            <v>0.29277726831818146</v>
          </cell>
          <cell r="CH629">
            <v>0.88457404194466571</v>
          </cell>
        </row>
        <row r="630">
          <cell r="A630">
            <v>712308</v>
          </cell>
          <cell r="B630" t="str">
            <v>Sucursal Santa Catarina</v>
          </cell>
          <cell r="C630" t="str">
            <v>Noreste</v>
          </cell>
          <cell r="D630" t="str">
            <v>Monterrey</v>
          </cell>
          <cell r="N630">
            <v>0.8</v>
          </cell>
          <cell r="O630">
            <v>0.12</v>
          </cell>
          <cell r="P630">
            <v>0.08</v>
          </cell>
          <cell r="BW630">
            <v>130.50188509090981</v>
          </cell>
          <cell r="BX630">
            <v>0</v>
          </cell>
          <cell r="CG630">
            <v>0.29272646324380164</v>
          </cell>
          <cell r="CH630">
            <v>1.6004498024063516</v>
          </cell>
        </row>
        <row r="631">
          <cell r="A631">
            <v>704303</v>
          </cell>
          <cell r="B631" t="str">
            <v>Sucursal Juventud</v>
          </cell>
          <cell r="C631" t="str">
            <v>Noreste</v>
          </cell>
          <cell r="D631" t="str">
            <v>Monterrey</v>
          </cell>
          <cell r="N631">
            <v>0.8</v>
          </cell>
          <cell r="O631">
            <v>0.12</v>
          </cell>
          <cell r="P631">
            <v>0.08</v>
          </cell>
          <cell r="BW631">
            <v>189.19528557575728</v>
          </cell>
          <cell r="BX631">
            <v>0</v>
          </cell>
          <cell r="CG631">
            <v>0.28814100979090895</v>
          </cell>
          <cell r="CH631">
            <v>1.3674384944135292</v>
          </cell>
        </row>
        <row r="632">
          <cell r="A632">
            <v>701308</v>
          </cell>
          <cell r="B632" t="str">
            <v>Planta Guadalupe</v>
          </cell>
          <cell r="C632" t="str">
            <v>Noreste</v>
          </cell>
          <cell r="D632" t="str">
            <v>Monterrey</v>
          </cell>
          <cell r="N632">
            <v>0.8</v>
          </cell>
          <cell r="O632">
            <v>0.12</v>
          </cell>
          <cell r="P632">
            <v>0.08</v>
          </cell>
          <cell r="BW632">
            <v>0</v>
          </cell>
          <cell r="BX632">
            <v>27.81348647011896</v>
          </cell>
          <cell r="CG632">
            <v>0.28567047105371879</v>
          </cell>
          <cell r="CH632">
            <v>0.62215491136044709</v>
          </cell>
        </row>
        <row r="633">
          <cell r="A633">
            <v>712300</v>
          </cell>
          <cell r="B633" t="str">
            <v>Sucursal Santa Catarina</v>
          </cell>
          <cell r="C633" t="str">
            <v>Noreste</v>
          </cell>
          <cell r="D633" t="str">
            <v>Monterrey</v>
          </cell>
          <cell r="N633">
            <v>0.8</v>
          </cell>
          <cell r="O633">
            <v>0.12</v>
          </cell>
          <cell r="P633">
            <v>0.08</v>
          </cell>
          <cell r="BW633">
            <v>27.312697030303326</v>
          </cell>
          <cell r="BX633">
            <v>0</v>
          </cell>
          <cell r="CG633">
            <v>0.27689026015636325</v>
          </cell>
          <cell r="CH633">
            <v>0.59031906685613611</v>
          </cell>
        </row>
        <row r="634">
          <cell r="A634">
            <v>701300</v>
          </cell>
          <cell r="B634" t="str">
            <v>Planta Guadalupe</v>
          </cell>
          <cell r="C634" t="str">
            <v>Noreste</v>
          </cell>
          <cell r="D634" t="str">
            <v>Monterrey</v>
          </cell>
          <cell r="N634">
            <v>0.8</v>
          </cell>
          <cell r="O634">
            <v>0.12</v>
          </cell>
          <cell r="P634">
            <v>0.08</v>
          </cell>
          <cell r="BW634">
            <v>307.91191787878904</v>
          </cell>
          <cell r="BX634">
            <v>0</v>
          </cell>
          <cell r="CG634">
            <v>0.27112700305785159</v>
          </cell>
          <cell r="CH634">
            <v>1.736345608380724</v>
          </cell>
        </row>
        <row r="635">
          <cell r="A635">
            <v>705314</v>
          </cell>
          <cell r="B635" t="str">
            <v>Sucursal Lincoln</v>
          </cell>
          <cell r="C635" t="str">
            <v>Noreste</v>
          </cell>
          <cell r="D635" t="str">
            <v>Monterrey</v>
          </cell>
          <cell r="N635">
            <v>0.8</v>
          </cell>
          <cell r="O635">
            <v>0.12</v>
          </cell>
          <cell r="P635">
            <v>0.08</v>
          </cell>
          <cell r="BW635">
            <v>119.95650999999984</v>
          </cell>
          <cell r="BX635">
            <v>17.595592969696895</v>
          </cell>
          <cell r="CG635">
            <v>0.26784231790909052</v>
          </cell>
          <cell r="CH635">
            <v>0.64966554021669098</v>
          </cell>
        </row>
        <row r="636">
          <cell r="A636">
            <v>701309</v>
          </cell>
          <cell r="B636" t="str">
            <v>Planta Guadalupe</v>
          </cell>
          <cell r="C636" t="str">
            <v>Noreste</v>
          </cell>
          <cell r="D636" t="str">
            <v>Monterrey</v>
          </cell>
          <cell r="N636">
            <v>0.8</v>
          </cell>
          <cell r="O636">
            <v>0.12</v>
          </cell>
          <cell r="P636">
            <v>0.08</v>
          </cell>
          <cell r="BW636">
            <v>0</v>
          </cell>
          <cell r="BX636">
            <v>16.099834318603669</v>
          </cell>
          <cell r="CG636">
            <v>0.26488260446280976</v>
          </cell>
          <cell r="CH636">
            <v>0.78128440202092719</v>
          </cell>
        </row>
        <row r="637">
          <cell r="A637">
            <v>703307</v>
          </cell>
          <cell r="B637" t="str">
            <v>Sucursal Universidad</v>
          </cell>
          <cell r="C637" t="str">
            <v>Noreste</v>
          </cell>
          <cell r="D637" t="str">
            <v>Monterrey</v>
          </cell>
          <cell r="N637">
            <v>0.8</v>
          </cell>
          <cell r="O637">
            <v>0.12</v>
          </cell>
          <cell r="P637">
            <v>0.08</v>
          </cell>
          <cell r="BW637">
            <v>0</v>
          </cell>
          <cell r="BX637">
            <v>0</v>
          </cell>
          <cell r="CG637">
            <v>0.26057290540909078</v>
          </cell>
          <cell r="CH637">
            <v>0.18915135609935857</v>
          </cell>
        </row>
        <row r="638">
          <cell r="A638">
            <v>704305</v>
          </cell>
          <cell r="B638" t="str">
            <v>Sucursal Juventud</v>
          </cell>
          <cell r="C638" t="str">
            <v>Noreste</v>
          </cell>
          <cell r="D638" t="str">
            <v>Monterrey</v>
          </cell>
          <cell r="N638">
            <v>0.8</v>
          </cell>
          <cell r="O638">
            <v>0.12</v>
          </cell>
          <cell r="P638">
            <v>0.08</v>
          </cell>
          <cell r="BW638">
            <v>120.09546626262676</v>
          </cell>
          <cell r="BX638">
            <v>0</v>
          </cell>
          <cell r="CG638">
            <v>0.25533616890495864</v>
          </cell>
          <cell r="CH638">
            <v>1.1195526046023634</v>
          </cell>
        </row>
        <row r="639">
          <cell r="A639">
            <v>701302</v>
          </cell>
          <cell r="B639" t="str">
            <v>Planta Guadalupe</v>
          </cell>
          <cell r="C639" t="str">
            <v>Noreste</v>
          </cell>
          <cell r="D639" t="str">
            <v>Monterrey</v>
          </cell>
          <cell r="N639">
            <v>0.8</v>
          </cell>
          <cell r="O639">
            <v>0.12</v>
          </cell>
          <cell r="P639">
            <v>0.08</v>
          </cell>
          <cell r="BW639">
            <v>114.84000176767475</v>
          </cell>
          <cell r="BX639">
            <v>12.879866146464451</v>
          </cell>
          <cell r="CG639">
            <v>0.24666692714999974</v>
          </cell>
          <cell r="CH639">
            <v>0.65830044143406996</v>
          </cell>
        </row>
        <row r="640">
          <cell r="A640">
            <v>103341</v>
          </cell>
          <cell r="B640" t="str">
            <v>Sucursal Reynosa</v>
          </cell>
          <cell r="C640" t="str">
            <v>Noreste</v>
          </cell>
          <cell r="D640" t="str">
            <v>Reynosa</v>
          </cell>
          <cell r="N640">
            <v>0.8</v>
          </cell>
          <cell r="O640">
            <v>0.12</v>
          </cell>
          <cell r="P640">
            <v>0.08</v>
          </cell>
          <cell r="BW640">
            <v>0</v>
          </cell>
          <cell r="BX640">
            <v>26.322870363636358</v>
          </cell>
          <cell r="CG640">
            <v>0.2465519993181817</v>
          </cell>
          <cell r="CH640">
            <v>0.2626639334078007</v>
          </cell>
        </row>
        <row r="641">
          <cell r="A641">
            <v>705308</v>
          </cell>
          <cell r="B641" t="str">
            <v>Sucursal Lincoln</v>
          </cell>
          <cell r="C641" t="str">
            <v>Noreste</v>
          </cell>
          <cell r="D641" t="str">
            <v>Monterrey</v>
          </cell>
          <cell r="N641">
            <v>0.8</v>
          </cell>
          <cell r="O641">
            <v>0.12</v>
          </cell>
          <cell r="P641">
            <v>0.08</v>
          </cell>
          <cell r="BW641">
            <v>86.871142323233045</v>
          </cell>
          <cell r="BX641">
            <v>12.554853868686912</v>
          </cell>
          <cell r="CG641">
            <v>0.24115599327272697</v>
          </cell>
          <cell r="CH641">
            <v>0.55782387860422744</v>
          </cell>
        </row>
        <row r="642">
          <cell r="A642">
            <v>705318</v>
          </cell>
          <cell r="B642" t="str">
            <v>Sucursal Lincoln</v>
          </cell>
          <cell r="C642" t="str">
            <v>Noreste</v>
          </cell>
          <cell r="D642" t="str">
            <v>Monterrey</v>
          </cell>
          <cell r="N642">
            <v>0.8</v>
          </cell>
          <cell r="O642">
            <v>0.12</v>
          </cell>
          <cell r="P642">
            <v>0.08</v>
          </cell>
          <cell r="BW642">
            <v>159.62696868686913</v>
          </cell>
          <cell r="BX642">
            <v>7.876806864058139</v>
          </cell>
          <cell r="CG642">
            <v>0.23960901068181792</v>
          </cell>
          <cell r="CH642">
            <v>0.89299389736902857</v>
          </cell>
        </row>
        <row r="643">
          <cell r="A643">
            <v>705327</v>
          </cell>
          <cell r="B643" t="str">
            <v>Sucursal Lincoln</v>
          </cell>
          <cell r="C643" t="str">
            <v>Noreste</v>
          </cell>
          <cell r="D643" t="str">
            <v>Monterrey</v>
          </cell>
          <cell r="N643">
            <v>0.8</v>
          </cell>
          <cell r="O643">
            <v>0.12</v>
          </cell>
          <cell r="P643">
            <v>0.08</v>
          </cell>
          <cell r="BW643">
            <v>0</v>
          </cell>
          <cell r="BX643">
            <v>7.8428628181817608</v>
          </cell>
          <cell r="CG643">
            <v>0.23904192804545402</v>
          </cell>
          <cell r="CH643">
            <v>0.32300197337757214</v>
          </cell>
        </row>
        <row r="644">
          <cell r="A644">
            <v>705309</v>
          </cell>
          <cell r="B644" t="str">
            <v>Sucursal Lincoln</v>
          </cell>
          <cell r="C644" t="str">
            <v>Noreste</v>
          </cell>
          <cell r="D644" t="str">
            <v>Monterrey</v>
          </cell>
          <cell r="N644">
            <v>0.8</v>
          </cell>
          <cell r="O644">
            <v>0.12</v>
          </cell>
          <cell r="P644">
            <v>0.08</v>
          </cell>
          <cell r="BW644">
            <v>0</v>
          </cell>
          <cell r="BX644">
            <v>8.821031795125208</v>
          </cell>
          <cell r="CG644">
            <v>0.23173731204545422</v>
          </cell>
          <cell r="CH644">
            <v>0.50471246592922725</v>
          </cell>
        </row>
        <row r="645">
          <cell r="A645">
            <v>704306</v>
          </cell>
          <cell r="B645" t="str">
            <v>Sucursal Juventud</v>
          </cell>
          <cell r="C645" t="str">
            <v>Noreste</v>
          </cell>
          <cell r="D645" t="str">
            <v>Monterrey</v>
          </cell>
          <cell r="N645">
            <v>0.8</v>
          </cell>
          <cell r="O645">
            <v>0.12</v>
          </cell>
          <cell r="P645">
            <v>0.08</v>
          </cell>
          <cell r="BW645">
            <v>185.97528349494959</v>
          </cell>
          <cell r="BX645">
            <v>0.74707133375522972</v>
          </cell>
          <cell r="CG645">
            <v>0.23138551669090882</v>
          </cell>
          <cell r="CH645">
            <v>0.98985106615001051</v>
          </cell>
        </row>
        <row r="646">
          <cell r="A646">
            <v>705300</v>
          </cell>
          <cell r="B646" t="str">
            <v>Sucursal Lincoln</v>
          </cell>
          <cell r="C646" t="str">
            <v>Noreste</v>
          </cell>
          <cell r="D646" t="str">
            <v>Monterrey</v>
          </cell>
          <cell r="N646">
            <v>0.8</v>
          </cell>
          <cell r="O646">
            <v>0.12</v>
          </cell>
          <cell r="P646">
            <v>0.08</v>
          </cell>
          <cell r="BW646">
            <v>0</v>
          </cell>
          <cell r="BX646">
            <v>6.7188012424241741</v>
          </cell>
          <cell r="CG646">
            <v>0.22598232013636341</v>
          </cell>
          <cell r="CH646">
            <v>0.31480481166679314</v>
          </cell>
        </row>
        <row r="647">
          <cell r="A647">
            <v>701305</v>
          </cell>
          <cell r="B647" t="str">
            <v>Planta Guadalupe</v>
          </cell>
          <cell r="C647" t="str">
            <v>Noreste</v>
          </cell>
          <cell r="D647" t="str">
            <v>Monterrey</v>
          </cell>
          <cell r="N647">
            <v>0.8</v>
          </cell>
          <cell r="O647">
            <v>0.12</v>
          </cell>
          <cell r="P647">
            <v>0.08</v>
          </cell>
          <cell r="BW647">
            <v>0</v>
          </cell>
          <cell r="BX647">
            <v>8.7311252883008734</v>
          </cell>
          <cell r="CG647">
            <v>0.22410399292995878</v>
          </cell>
          <cell r="CH647">
            <v>0.88138801613291684</v>
          </cell>
        </row>
        <row r="648">
          <cell r="A648">
            <v>701306</v>
          </cell>
          <cell r="B648" t="str">
            <v>Planta Guadalupe</v>
          </cell>
          <cell r="C648" t="str">
            <v>Noreste</v>
          </cell>
          <cell r="D648" t="str">
            <v>Monterrey</v>
          </cell>
          <cell r="N648">
            <v>0.8</v>
          </cell>
          <cell r="O648">
            <v>0.12</v>
          </cell>
          <cell r="P648">
            <v>0.08</v>
          </cell>
          <cell r="BW648">
            <v>86.901588666665702</v>
          </cell>
          <cell r="BX648">
            <v>4.1945553792098309</v>
          </cell>
          <cell r="CG648">
            <v>0.22277101863718998</v>
          </cell>
          <cell r="CH648">
            <v>0.94301713484342353</v>
          </cell>
        </row>
        <row r="649">
          <cell r="A649">
            <v>701303</v>
          </cell>
          <cell r="B649" t="str">
            <v>Planta Guadalupe</v>
          </cell>
          <cell r="C649" t="str">
            <v>Noreste</v>
          </cell>
          <cell r="D649" t="str">
            <v>Monterrey</v>
          </cell>
          <cell r="N649">
            <v>0.8</v>
          </cell>
          <cell r="O649">
            <v>0.12</v>
          </cell>
          <cell r="P649">
            <v>0.08</v>
          </cell>
          <cell r="BW649">
            <v>289.27822454545662</v>
          </cell>
          <cell r="BX649">
            <v>0</v>
          </cell>
          <cell r="CG649">
            <v>0.2166530208471078</v>
          </cell>
          <cell r="CH649">
            <v>1.4950787013269613</v>
          </cell>
        </row>
        <row r="650">
          <cell r="A650">
            <v>712313</v>
          </cell>
          <cell r="B650" t="str">
            <v>Sucursal Santa Catarina</v>
          </cell>
          <cell r="C650" t="str">
            <v>Noreste</v>
          </cell>
          <cell r="D650" t="str">
            <v>Monterrey</v>
          </cell>
          <cell r="N650">
            <v>0.8</v>
          </cell>
          <cell r="O650">
            <v>0.12</v>
          </cell>
          <cell r="P650">
            <v>0.08</v>
          </cell>
          <cell r="BW650">
            <v>0</v>
          </cell>
          <cell r="BX650">
            <v>0</v>
          </cell>
          <cell r="CG650">
            <v>0.21459203181818165</v>
          </cell>
          <cell r="CH650">
            <v>1.0006446460506295</v>
          </cell>
        </row>
        <row r="651">
          <cell r="A651">
            <v>704302</v>
          </cell>
          <cell r="B651" t="str">
            <v>Sucursal Juventud</v>
          </cell>
          <cell r="C651" t="str">
            <v>Noreste</v>
          </cell>
          <cell r="D651" t="str">
            <v>Monterrey</v>
          </cell>
          <cell r="N651">
            <v>0.8</v>
          </cell>
          <cell r="O651">
            <v>0.12</v>
          </cell>
          <cell r="P651">
            <v>0.08</v>
          </cell>
          <cell r="BW651">
            <v>43.877697262625503</v>
          </cell>
          <cell r="BX651">
            <v>6.0857598232322516</v>
          </cell>
          <cell r="CG651">
            <v>0.21175655305909094</v>
          </cell>
          <cell r="CH651">
            <v>0.59906738601914222</v>
          </cell>
        </row>
        <row r="652">
          <cell r="A652">
            <v>701307</v>
          </cell>
          <cell r="B652" t="str">
            <v>Planta Guadalupe</v>
          </cell>
          <cell r="C652" t="str">
            <v>Noreste</v>
          </cell>
          <cell r="D652" t="str">
            <v>Monterrey</v>
          </cell>
          <cell r="N652">
            <v>0.8</v>
          </cell>
          <cell r="O652">
            <v>0.12</v>
          </cell>
          <cell r="P652">
            <v>0.08</v>
          </cell>
          <cell r="BW652">
            <v>0</v>
          </cell>
          <cell r="BX652">
            <v>13.620370337944657</v>
          </cell>
          <cell r="CG652">
            <v>0.20822242332644619</v>
          </cell>
          <cell r="CH652">
            <v>0.68508619599117415</v>
          </cell>
        </row>
        <row r="653">
          <cell r="A653">
            <v>705305</v>
          </cell>
          <cell r="B653" t="str">
            <v>Sucursal Lincoln</v>
          </cell>
          <cell r="C653" t="str">
            <v>Noreste</v>
          </cell>
          <cell r="D653" t="str">
            <v>Monterrey</v>
          </cell>
          <cell r="N653">
            <v>0.8</v>
          </cell>
          <cell r="O653">
            <v>0.12</v>
          </cell>
          <cell r="P653">
            <v>0.08</v>
          </cell>
          <cell r="BW653">
            <v>27.784515439393971</v>
          </cell>
          <cell r="BX653">
            <v>4.8361199848485157</v>
          </cell>
          <cell r="CG653">
            <v>0.20564438033863605</v>
          </cell>
          <cell r="CH653">
            <v>0.54601079050842205</v>
          </cell>
        </row>
        <row r="654">
          <cell r="A654">
            <v>704301</v>
          </cell>
          <cell r="B654" t="str">
            <v>Sucursal Juventud</v>
          </cell>
          <cell r="C654" t="str">
            <v>Noreste</v>
          </cell>
          <cell r="D654" t="str">
            <v>Monterrey</v>
          </cell>
          <cell r="N654">
            <v>0.8</v>
          </cell>
          <cell r="O654">
            <v>0.12</v>
          </cell>
          <cell r="P654">
            <v>0.08</v>
          </cell>
          <cell r="BW654">
            <v>0</v>
          </cell>
          <cell r="BX654">
            <v>10.220537523715443</v>
          </cell>
          <cell r="CG654">
            <v>0.202345565950413</v>
          </cell>
          <cell r="CH654">
            <v>0.76991572508769601</v>
          </cell>
        </row>
        <row r="655">
          <cell r="A655">
            <v>712317</v>
          </cell>
          <cell r="B655" t="str">
            <v>Sucursal Santa Catarina</v>
          </cell>
          <cell r="C655" t="str">
            <v>Noreste</v>
          </cell>
          <cell r="D655" t="str">
            <v>Monterrey</v>
          </cell>
          <cell r="N655">
            <v>0.8</v>
          </cell>
          <cell r="O655">
            <v>0.12</v>
          </cell>
          <cell r="P655">
            <v>0.08</v>
          </cell>
          <cell r="BW655">
            <v>0</v>
          </cell>
          <cell r="BX655">
            <v>21.211277299242397</v>
          </cell>
          <cell r="CG655">
            <v>0.1999760043603146</v>
          </cell>
          <cell r="CH655">
            <v>0.64614875357314017</v>
          </cell>
        </row>
        <row r="656">
          <cell r="A656">
            <v>712312</v>
          </cell>
          <cell r="B656" t="str">
            <v>Sucursal Santa Catarina</v>
          </cell>
          <cell r="C656" t="str">
            <v>Noreste</v>
          </cell>
          <cell r="D656" t="str">
            <v>Monterrey</v>
          </cell>
          <cell r="N656">
            <v>0.8</v>
          </cell>
          <cell r="O656">
            <v>0.12</v>
          </cell>
          <cell r="P656">
            <v>0.08</v>
          </cell>
          <cell r="BW656">
            <v>0</v>
          </cell>
          <cell r="BX656">
            <v>11.245956864058279</v>
          </cell>
          <cell r="CG656">
            <v>0.19586997487762225</v>
          </cell>
          <cell r="CH656">
            <v>0.84722413090132409</v>
          </cell>
        </row>
        <row r="657">
          <cell r="A657">
            <v>712309</v>
          </cell>
          <cell r="B657" t="str">
            <v>Sucursal Santa Catarina</v>
          </cell>
          <cell r="C657" t="str">
            <v>Noreste</v>
          </cell>
          <cell r="D657" t="str">
            <v>Monterrey</v>
          </cell>
          <cell r="N657">
            <v>0.8</v>
          </cell>
          <cell r="O657">
            <v>0.12</v>
          </cell>
          <cell r="P657">
            <v>0.08</v>
          </cell>
          <cell r="BW657">
            <v>105.13476254040228</v>
          </cell>
          <cell r="BX657">
            <v>0</v>
          </cell>
          <cell r="CG657">
            <v>0.19290335200646858</v>
          </cell>
          <cell r="CH657">
            <v>1.0227592058856625</v>
          </cell>
        </row>
        <row r="658">
          <cell r="A658">
            <v>701314</v>
          </cell>
          <cell r="B658" t="str">
            <v>Planta Guadalupe</v>
          </cell>
          <cell r="C658" t="str">
            <v>Noreste</v>
          </cell>
          <cell r="D658" t="str">
            <v>Monterrey</v>
          </cell>
          <cell r="N658">
            <v>0.8</v>
          </cell>
          <cell r="O658">
            <v>0.12</v>
          </cell>
          <cell r="P658">
            <v>0.08</v>
          </cell>
          <cell r="BW658">
            <v>64.947479797978758</v>
          </cell>
          <cell r="BX658">
            <v>10.93940379797953</v>
          </cell>
          <cell r="CG658">
            <v>0.188545953533057</v>
          </cell>
          <cell r="CH658">
            <v>0.81734365895643313</v>
          </cell>
        </row>
        <row r="659">
          <cell r="A659">
            <v>105300</v>
          </cell>
          <cell r="B659" t="str">
            <v>Suc. Nuevo Laredo</v>
          </cell>
          <cell r="C659" t="str">
            <v>Noreste</v>
          </cell>
          <cell r="D659" t="str">
            <v>Laredo</v>
          </cell>
          <cell r="N659">
            <v>0.8</v>
          </cell>
          <cell r="O659">
            <v>0.12</v>
          </cell>
          <cell r="P659">
            <v>0.08</v>
          </cell>
          <cell r="BW659">
            <v>0</v>
          </cell>
          <cell r="BX659">
            <v>0</v>
          </cell>
          <cell r="CG659">
            <v>0.18541097386363628</v>
          </cell>
          <cell r="CH659">
            <v>2.2574342725138092</v>
          </cell>
        </row>
        <row r="660">
          <cell r="A660">
            <v>712307</v>
          </cell>
          <cell r="B660" t="str">
            <v>Sucursal Santa Catarina</v>
          </cell>
          <cell r="C660" t="str">
            <v>Noreste</v>
          </cell>
          <cell r="D660" t="str">
            <v>Monterrey</v>
          </cell>
          <cell r="N660">
            <v>0.8</v>
          </cell>
          <cell r="O660">
            <v>0.12</v>
          </cell>
          <cell r="P660">
            <v>0.08</v>
          </cell>
          <cell r="BW660">
            <v>139.7186461111109</v>
          </cell>
          <cell r="BX660">
            <v>0</v>
          </cell>
          <cell r="CG660">
            <v>0.18380198069055897</v>
          </cell>
          <cell r="CH660">
            <v>1.0291087818110776</v>
          </cell>
        </row>
        <row r="661">
          <cell r="A661">
            <v>705315</v>
          </cell>
          <cell r="B661" t="str">
            <v>Sucursal Lincoln</v>
          </cell>
          <cell r="C661" t="str">
            <v>Noreste</v>
          </cell>
          <cell r="D661" t="str">
            <v>Monterrey</v>
          </cell>
          <cell r="N661">
            <v>0.8</v>
          </cell>
          <cell r="O661">
            <v>0.12</v>
          </cell>
          <cell r="P661">
            <v>0.08</v>
          </cell>
          <cell r="BW661">
            <v>127.18926303030312</v>
          </cell>
          <cell r="BX661">
            <v>12.682742515151503</v>
          </cell>
          <cell r="CG661">
            <v>0.18222287809090906</v>
          </cell>
          <cell r="CH661">
            <v>0.58711652811439263</v>
          </cell>
        </row>
        <row r="662">
          <cell r="A662">
            <v>705307</v>
          </cell>
          <cell r="B662" t="str">
            <v>Sucursal Lincoln</v>
          </cell>
          <cell r="C662" t="str">
            <v>Noreste</v>
          </cell>
          <cell r="D662" t="str">
            <v>Monterrey</v>
          </cell>
          <cell r="N662">
            <v>0.8</v>
          </cell>
          <cell r="O662">
            <v>0.12</v>
          </cell>
          <cell r="P662">
            <v>0.08</v>
          </cell>
          <cell r="BW662">
            <v>85.765907676767625</v>
          </cell>
          <cell r="BX662">
            <v>6.8249310761794675</v>
          </cell>
          <cell r="CG662">
            <v>0.17659047146853107</v>
          </cell>
          <cell r="CH662">
            <v>0.90728358739892845</v>
          </cell>
        </row>
        <row r="663">
          <cell r="A663">
            <v>701311</v>
          </cell>
          <cell r="B663" t="str">
            <v>Planta Guadalupe</v>
          </cell>
          <cell r="C663" t="str">
            <v>Noreste</v>
          </cell>
          <cell r="D663" t="str">
            <v>Monterrey</v>
          </cell>
          <cell r="N663">
            <v>0.8</v>
          </cell>
          <cell r="O663">
            <v>0.12</v>
          </cell>
          <cell r="P663">
            <v>0.08</v>
          </cell>
          <cell r="BW663">
            <v>183.51583400000089</v>
          </cell>
          <cell r="BX663">
            <v>0</v>
          </cell>
          <cell r="CG663">
            <v>0.17535782119834703</v>
          </cell>
          <cell r="CH663">
            <v>1.316505011956113</v>
          </cell>
        </row>
        <row r="664">
          <cell r="A664">
            <v>701301</v>
          </cell>
          <cell r="B664" t="str">
            <v>Planta Guadalupe</v>
          </cell>
          <cell r="C664" t="str">
            <v>Noreste</v>
          </cell>
          <cell r="D664" t="str">
            <v>Monterrey</v>
          </cell>
          <cell r="N664">
            <v>0.8</v>
          </cell>
          <cell r="O664">
            <v>0.12</v>
          </cell>
          <cell r="P664">
            <v>0.08</v>
          </cell>
          <cell r="BW664">
            <v>114.35808942424228</v>
          </cell>
          <cell r="BX664">
            <v>0</v>
          </cell>
          <cell r="CG664">
            <v>0.17299018292355342</v>
          </cell>
          <cell r="CH664">
            <v>1.0722687484921194</v>
          </cell>
        </row>
        <row r="665">
          <cell r="A665">
            <v>101341</v>
          </cell>
          <cell r="B665" t="str">
            <v>Planta Matamoros</v>
          </cell>
          <cell r="C665" t="str">
            <v>Noreste</v>
          </cell>
          <cell r="D665" t="str">
            <v>Matamoros</v>
          </cell>
          <cell r="N665">
            <v>0.8</v>
          </cell>
          <cell r="O665">
            <v>0.12</v>
          </cell>
          <cell r="P665">
            <v>0.08</v>
          </cell>
          <cell r="BW665">
            <v>241.29684787878813</v>
          </cell>
          <cell r="BX665">
            <v>0</v>
          </cell>
          <cell r="CG665">
            <v>0.16615964659090893</v>
          </cell>
          <cell r="CH665">
            <v>1.4423908220987778</v>
          </cell>
        </row>
        <row r="666">
          <cell r="A666">
            <v>705317</v>
          </cell>
          <cell r="B666" t="str">
            <v>Sucursal Lincoln</v>
          </cell>
          <cell r="C666" t="str">
            <v>Noreste</v>
          </cell>
          <cell r="D666" t="str">
            <v>Monterrey</v>
          </cell>
          <cell r="N666">
            <v>0.8</v>
          </cell>
          <cell r="O666">
            <v>0.12</v>
          </cell>
          <cell r="P666">
            <v>0.08</v>
          </cell>
          <cell r="BW666">
            <v>97.216608585859092</v>
          </cell>
          <cell r="BX666">
            <v>12.491038328282869</v>
          </cell>
          <cell r="CG666">
            <v>0.1655507270454544</v>
          </cell>
          <cell r="CH666">
            <v>0.45796743665626377</v>
          </cell>
        </row>
        <row r="667">
          <cell r="A667">
            <v>701315</v>
          </cell>
          <cell r="B667" t="str">
            <v>Planta Guadalupe</v>
          </cell>
          <cell r="C667" t="str">
            <v>Noreste</v>
          </cell>
          <cell r="D667" t="str">
            <v>Monterrey</v>
          </cell>
          <cell r="N667">
            <v>0.8</v>
          </cell>
          <cell r="O667">
            <v>0.12</v>
          </cell>
          <cell r="P667">
            <v>0.08</v>
          </cell>
          <cell r="BW667">
            <v>122.22713151515168</v>
          </cell>
          <cell r="BX667">
            <v>0</v>
          </cell>
          <cell r="CG667">
            <v>0.16526613886363589</v>
          </cell>
          <cell r="CH667">
            <v>1.0684584775282693</v>
          </cell>
        </row>
        <row r="668">
          <cell r="A668">
            <v>101340</v>
          </cell>
          <cell r="B668" t="str">
            <v>Planta Matamoros</v>
          </cell>
          <cell r="C668" t="str">
            <v>Noreste</v>
          </cell>
          <cell r="D668" t="str">
            <v>Matamoros</v>
          </cell>
          <cell r="N668">
            <v>0.8</v>
          </cell>
          <cell r="O668">
            <v>0.12</v>
          </cell>
          <cell r="P668">
            <v>0.08</v>
          </cell>
          <cell r="BW668">
            <v>0</v>
          </cell>
          <cell r="BX668">
            <v>5.1022495329380604</v>
          </cell>
          <cell r="CG668">
            <v>0.16512931789772714</v>
          </cell>
          <cell r="CH668">
            <v>0.33959223467758953</v>
          </cell>
        </row>
        <row r="669">
          <cell r="A669">
            <v>705310</v>
          </cell>
          <cell r="B669" t="str">
            <v>Sucursal Lincoln</v>
          </cell>
          <cell r="C669" t="str">
            <v>Noreste</v>
          </cell>
          <cell r="D669" t="str">
            <v>Monterrey</v>
          </cell>
          <cell r="N669">
            <v>0.8</v>
          </cell>
          <cell r="O669">
            <v>0.12</v>
          </cell>
          <cell r="P669">
            <v>0.08</v>
          </cell>
          <cell r="BW669">
            <v>123.98976473737406</v>
          </cell>
          <cell r="BX669">
            <v>11.243232752525266</v>
          </cell>
          <cell r="CG669">
            <v>0.15556666499181793</v>
          </cell>
          <cell r="CH669">
            <v>0.54790600228031383</v>
          </cell>
        </row>
        <row r="670">
          <cell r="A670">
            <v>704309</v>
          </cell>
          <cell r="B670" t="str">
            <v>Sucursal Juventud</v>
          </cell>
          <cell r="C670" t="str">
            <v>Noreste</v>
          </cell>
          <cell r="D670" t="str">
            <v>Monterrey</v>
          </cell>
          <cell r="N670">
            <v>0.8</v>
          </cell>
          <cell r="O670">
            <v>0.12</v>
          </cell>
          <cell r="P670">
            <v>0.08</v>
          </cell>
          <cell r="BW670">
            <v>137.6554716565652</v>
          </cell>
          <cell r="BX670">
            <v>4.5091724701188696</v>
          </cell>
          <cell r="CG670">
            <v>0.15509801776783197</v>
          </cell>
          <cell r="CH670">
            <v>0.93874307438970239</v>
          </cell>
        </row>
        <row r="671">
          <cell r="A671">
            <v>705313</v>
          </cell>
          <cell r="B671" t="str">
            <v>Sucursal Lincoln</v>
          </cell>
          <cell r="C671" t="str">
            <v>Noreste</v>
          </cell>
          <cell r="D671" t="str">
            <v>Monterrey</v>
          </cell>
          <cell r="N671">
            <v>0.8</v>
          </cell>
          <cell r="O671">
            <v>0.12</v>
          </cell>
          <cell r="P671">
            <v>0.08</v>
          </cell>
          <cell r="BW671">
            <v>149.38166787878851</v>
          </cell>
          <cell r="BX671">
            <v>14.172777409090926</v>
          </cell>
          <cell r="CG671">
            <v>0.15123863045454511</v>
          </cell>
          <cell r="CH671">
            <v>0.58656797918023162</v>
          </cell>
        </row>
        <row r="672">
          <cell r="A672">
            <v>105302</v>
          </cell>
          <cell r="B672" t="str">
            <v>Suc. Nuevo Laredo</v>
          </cell>
          <cell r="C672" t="str">
            <v>Noreste</v>
          </cell>
          <cell r="D672" t="str">
            <v>Laredo</v>
          </cell>
          <cell r="N672">
            <v>0.8</v>
          </cell>
          <cell r="O672">
            <v>0.12</v>
          </cell>
          <cell r="P672">
            <v>0.08</v>
          </cell>
          <cell r="BW672">
            <v>0</v>
          </cell>
          <cell r="BX672">
            <v>0</v>
          </cell>
          <cell r="CG672">
            <v>0.15031165266818183</v>
          </cell>
          <cell r="CH672">
            <v>0.5536540901250272</v>
          </cell>
        </row>
        <row r="673">
          <cell r="A673">
            <v>704300</v>
          </cell>
          <cell r="B673" t="str">
            <v>Sucursal Juventud</v>
          </cell>
          <cell r="C673" t="str">
            <v>Noreste</v>
          </cell>
          <cell r="D673" t="str">
            <v>Monterrey</v>
          </cell>
          <cell r="N673">
            <v>0.8</v>
          </cell>
          <cell r="O673">
            <v>0.12</v>
          </cell>
          <cell r="P673">
            <v>0.08</v>
          </cell>
          <cell r="BW673">
            <v>273.77324979798107</v>
          </cell>
          <cell r="BX673">
            <v>0</v>
          </cell>
          <cell r="CG673">
            <v>0.14095614713286692</v>
          </cell>
          <cell r="CH673">
            <v>1.2391628606912957</v>
          </cell>
        </row>
        <row r="674">
          <cell r="A674">
            <v>712304</v>
          </cell>
          <cell r="B674" t="str">
            <v>Sucursal Santa Catarina</v>
          </cell>
          <cell r="C674" t="str">
            <v>Noreste</v>
          </cell>
          <cell r="D674" t="str">
            <v>Monterrey</v>
          </cell>
          <cell r="N674">
            <v>0.8</v>
          </cell>
          <cell r="O674">
            <v>0.12</v>
          </cell>
          <cell r="P674">
            <v>0.08</v>
          </cell>
          <cell r="BW674">
            <v>185.4737473333326</v>
          </cell>
          <cell r="BX674">
            <v>0</v>
          </cell>
          <cell r="CG674">
            <v>0.13084080385090899</v>
          </cell>
          <cell r="CH674">
            <v>0.86502802499163134</v>
          </cell>
        </row>
        <row r="675">
          <cell r="A675">
            <v>701317</v>
          </cell>
          <cell r="B675" t="str">
            <v>Planta Guadalupe</v>
          </cell>
          <cell r="C675" t="str">
            <v>Noreste</v>
          </cell>
          <cell r="D675" t="str">
            <v>Monterrey</v>
          </cell>
          <cell r="N675">
            <v>0.8</v>
          </cell>
          <cell r="O675">
            <v>0.12</v>
          </cell>
          <cell r="P675">
            <v>0.08</v>
          </cell>
          <cell r="BW675">
            <v>159.80601595959624</v>
          </cell>
          <cell r="BX675">
            <v>13.439147757997603</v>
          </cell>
          <cell r="CG675">
            <v>0.11812772175619821</v>
          </cell>
          <cell r="CH675">
            <v>0.8174297213218471</v>
          </cell>
        </row>
        <row r="676">
          <cell r="A676">
            <v>203307</v>
          </cell>
          <cell r="B676" t="str">
            <v>Planta Agua y Hielo</v>
          </cell>
          <cell r="C676" t="str">
            <v>Noreste</v>
          </cell>
          <cell r="D676" t="str">
            <v>Saltillo</v>
          </cell>
          <cell r="N676">
            <v>0.8</v>
          </cell>
          <cell r="O676">
            <v>0.12</v>
          </cell>
          <cell r="P676">
            <v>0.08</v>
          </cell>
          <cell r="BW676">
            <v>0</v>
          </cell>
          <cell r="BX676">
            <v>6.4332565303030256</v>
          </cell>
          <cell r="CG676">
            <v>8.3036577272727161E-2</v>
          </cell>
          <cell r="CH676">
            <v>9.9653466237127369E-2</v>
          </cell>
        </row>
        <row r="677">
          <cell r="A677">
            <v>105301</v>
          </cell>
          <cell r="B677" t="str">
            <v>Suc. Nuevo Laredo</v>
          </cell>
          <cell r="C677" t="str">
            <v>Noreste</v>
          </cell>
          <cell r="D677" t="str">
            <v>Laredo</v>
          </cell>
          <cell r="N677">
            <v>0.8</v>
          </cell>
          <cell r="O677">
            <v>0.12</v>
          </cell>
          <cell r="P677">
            <v>0.08</v>
          </cell>
          <cell r="BW677">
            <v>0</v>
          </cell>
          <cell r="BX677">
            <v>0</v>
          </cell>
          <cell r="CG677">
            <v>6.6069016363636338E-2</v>
          </cell>
          <cell r="CH677">
            <v>0.18994249783118547</v>
          </cell>
        </row>
        <row r="678">
          <cell r="A678">
            <v>831399</v>
          </cell>
          <cell r="B678" t="str">
            <v>Planta Los Altos</v>
          </cell>
          <cell r="C678" t="str">
            <v>Occidente</v>
          </cell>
          <cell r="D678" t="str">
            <v>Los Altos</v>
          </cell>
          <cell r="N678">
            <v>0.85</v>
          </cell>
          <cell r="O678">
            <v>0.08</v>
          </cell>
          <cell r="P678">
            <v>7.0000000000000007E-2</v>
          </cell>
          <cell r="BW678">
            <v>172.00477633838383</v>
          </cell>
          <cell r="BX678">
            <v>0</v>
          </cell>
          <cell r="CG678">
            <v>5.3763016363636361E-2</v>
          </cell>
          <cell r="CH678">
            <v>0.37064169249466733</v>
          </cell>
        </row>
        <row r="679">
          <cell r="A679">
            <v>805399</v>
          </cell>
          <cell r="B679" t="str">
            <v>Suc. Manzanillo</v>
          </cell>
          <cell r="C679" t="str">
            <v>Occidente</v>
          </cell>
          <cell r="D679" t="str">
            <v>Favorita</v>
          </cell>
          <cell r="N679">
            <v>0.85</v>
          </cell>
          <cell r="O679">
            <v>0.08</v>
          </cell>
          <cell r="P679">
            <v>7.0000000000000007E-2</v>
          </cell>
          <cell r="BW679">
            <v>153.98930932323231</v>
          </cell>
          <cell r="BX679">
            <v>0</v>
          </cell>
          <cell r="CG679">
            <v>4.2052915227272732E-2</v>
          </cell>
          <cell r="CH679">
            <v>0.30887910078471154</v>
          </cell>
        </row>
        <row r="680">
          <cell r="A680">
            <v>706300</v>
          </cell>
          <cell r="B680" t="str">
            <v>Suc Montemorelos</v>
          </cell>
          <cell r="C680" t="str">
            <v>Noreste</v>
          </cell>
          <cell r="D680" t="str">
            <v>Monterrey</v>
          </cell>
          <cell r="N680">
            <v>0.8</v>
          </cell>
          <cell r="O680">
            <v>0.12</v>
          </cell>
          <cell r="P680">
            <v>0.08</v>
          </cell>
          <cell r="BW680">
            <v>0</v>
          </cell>
          <cell r="BX680">
            <v>0</v>
          </cell>
          <cell r="CG680">
            <v>2.4914579318181803E-2</v>
          </cell>
          <cell r="CH680">
            <v>0.48055806801960194</v>
          </cell>
        </row>
        <row r="681">
          <cell r="A681">
            <v>925399</v>
          </cell>
          <cell r="B681" t="str">
            <v>Planta Matehuala</v>
          </cell>
          <cell r="C681" t="str">
            <v>Occidente</v>
          </cell>
          <cell r="D681" t="str">
            <v>Matehuala</v>
          </cell>
          <cell r="N681">
            <v>0.85</v>
          </cell>
          <cell r="O681">
            <v>0.08</v>
          </cell>
          <cell r="P681">
            <v>7.0000000000000007E-2</v>
          </cell>
          <cell r="BW681">
            <v>94.927540313131331</v>
          </cell>
          <cell r="BX681">
            <v>0</v>
          </cell>
          <cell r="CG681">
            <v>1.1414483181146736E-2</v>
          </cell>
          <cell r="CH681">
            <v>0.18708963090535596</v>
          </cell>
        </row>
        <row r="682">
          <cell r="A682">
            <v>506309</v>
          </cell>
          <cell r="B682" t="str">
            <v>Planta La Paz</v>
          </cell>
          <cell r="C682" t="str">
            <v>Pacifico</v>
          </cell>
          <cell r="D682" t="str">
            <v>La Paz</v>
          </cell>
          <cell r="N682">
            <v>0.85</v>
          </cell>
          <cell r="O682">
            <v>0.08</v>
          </cell>
          <cell r="P682">
            <v>7.0000000000000007E-2</v>
          </cell>
          <cell r="BW682">
            <v>38.57023138383839</v>
          </cell>
          <cell r="BX682">
            <v>0</v>
          </cell>
          <cell r="CG682">
            <v>1.1196416415500005E-2</v>
          </cell>
          <cell r="CH682">
            <v>7.8429224059587868E-2</v>
          </cell>
        </row>
        <row r="683">
          <cell r="A683">
            <v>806399</v>
          </cell>
          <cell r="B683" t="str">
            <v>Suc. Tecomán</v>
          </cell>
          <cell r="C683" t="str">
            <v>Occidente</v>
          </cell>
          <cell r="D683" t="str">
            <v>Favorita</v>
          </cell>
          <cell r="N683">
            <v>0.85</v>
          </cell>
          <cell r="O683">
            <v>0.08</v>
          </cell>
          <cell r="P683">
            <v>7.0000000000000007E-2</v>
          </cell>
          <cell r="BW683">
            <v>96.460380515151527</v>
          </cell>
          <cell r="BX683">
            <v>0</v>
          </cell>
          <cell r="CG683">
            <v>5.598214363636363E-3</v>
          </cell>
          <cell r="CH683">
            <v>0.18053764813928799</v>
          </cell>
        </row>
        <row r="684">
          <cell r="A684">
            <v>819425</v>
          </cell>
          <cell r="B684" t="str">
            <v>Suc. Huentitán</v>
          </cell>
          <cell r="C684" t="str">
            <v>Occidente</v>
          </cell>
          <cell r="D684" t="str">
            <v>Zapopan</v>
          </cell>
          <cell r="N684">
            <v>0.85</v>
          </cell>
          <cell r="O684">
            <v>0.08</v>
          </cell>
          <cell r="P684">
            <v>7.0000000000000007E-2</v>
          </cell>
          <cell r="BW684">
            <v>1.3925446969696935</v>
          </cell>
          <cell r="BX684">
            <v>0.23745833333333338</v>
          </cell>
          <cell r="CG684">
            <v>4.3542950592859644E-3</v>
          </cell>
          <cell r="CH684">
            <v>5.074291140985729E-3</v>
          </cell>
        </row>
        <row r="685">
          <cell r="A685">
            <v>705302</v>
          </cell>
          <cell r="B685" t="str">
            <v>Sucursal Lincoln</v>
          </cell>
          <cell r="C685" t="str">
            <v>Noreste</v>
          </cell>
          <cell r="D685" t="str">
            <v>Monterrey</v>
          </cell>
          <cell r="N685">
            <v>0.8</v>
          </cell>
          <cell r="O685">
            <v>0.12</v>
          </cell>
          <cell r="P685">
            <v>0.08</v>
          </cell>
          <cell r="BW685">
            <v>1.4057303636363652</v>
          </cell>
          <cell r="BX685">
            <v>0</v>
          </cell>
          <cell r="CG685">
            <v>3.6610277550686719E-3</v>
          </cell>
          <cell r="CH685">
            <v>1.208970339549718E-2</v>
          </cell>
        </row>
        <row r="686">
          <cell r="A686">
            <v>819407</v>
          </cell>
          <cell r="B686" t="str">
            <v>Suc. Huentitán</v>
          </cell>
          <cell r="C686" t="str">
            <v>Occidente</v>
          </cell>
          <cell r="D686" t="str">
            <v>Zapopan</v>
          </cell>
          <cell r="N686">
            <v>0.85</v>
          </cell>
          <cell r="O686">
            <v>0.08</v>
          </cell>
          <cell r="P686">
            <v>7.0000000000000007E-2</v>
          </cell>
          <cell r="BW686">
            <v>0</v>
          </cell>
          <cell r="BX686">
            <v>0.32963636363636367</v>
          </cell>
          <cell r="CG686">
            <v>2.9307755206732455E-3</v>
          </cell>
          <cell r="CH686">
            <v>0</v>
          </cell>
        </row>
        <row r="687">
          <cell r="A687">
            <v>503270</v>
          </cell>
          <cell r="B687" t="str">
            <v>Sucursal Venadillo</v>
          </cell>
          <cell r="C687" t="str">
            <v>Pacifico</v>
          </cell>
          <cell r="D687" t="str">
            <v>Mazatlán</v>
          </cell>
          <cell r="N687">
            <v>0.85</v>
          </cell>
          <cell r="O687">
            <v>0.08</v>
          </cell>
          <cell r="P687">
            <v>7.0000000000000007E-2</v>
          </cell>
          <cell r="BW687">
            <v>0</v>
          </cell>
          <cell r="BX687">
            <v>9.2486363636363686E-2</v>
          </cell>
          <cell r="CG687">
            <v>2.8747587272727271E-3</v>
          </cell>
          <cell r="CH687">
            <v>1.7618148790877321E-3</v>
          </cell>
        </row>
        <row r="688">
          <cell r="A688">
            <v>916424</v>
          </cell>
          <cell r="B688" t="str">
            <v>Planta San Luis</v>
          </cell>
          <cell r="C688" t="str">
            <v>Occidente</v>
          </cell>
          <cell r="D688" t="str">
            <v>San Luis</v>
          </cell>
          <cell r="N688">
            <v>0.85</v>
          </cell>
          <cell r="O688">
            <v>0.08</v>
          </cell>
          <cell r="P688">
            <v>7.0000000000000007E-2</v>
          </cell>
          <cell r="BW688">
            <v>0</v>
          </cell>
          <cell r="BX688">
            <v>0.20437727272727277</v>
          </cell>
          <cell r="CG688">
            <v>2.8236607536628231E-3</v>
          </cell>
          <cell r="CH688">
            <v>1.4681481909983758E-3</v>
          </cell>
        </row>
        <row r="689">
          <cell r="A689">
            <v>217341</v>
          </cell>
          <cell r="B689" t="str">
            <v>Suc. Estadio</v>
          </cell>
          <cell r="C689" t="str">
            <v>Norte</v>
          </cell>
          <cell r="D689" t="str">
            <v>Comarca</v>
          </cell>
          <cell r="N689">
            <v>0.85</v>
          </cell>
          <cell r="O689">
            <v>0.08</v>
          </cell>
          <cell r="P689">
            <v>7.0000000000000007E-2</v>
          </cell>
          <cell r="BW689">
            <v>11.134233712121201</v>
          </cell>
          <cell r="BX689">
            <v>0.95504962121212023</v>
          </cell>
          <cell r="CG689">
            <v>2.2307506993006986E-3</v>
          </cell>
          <cell r="CH689">
            <v>2.0826309030049377E-2</v>
          </cell>
        </row>
        <row r="690">
          <cell r="A690">
            <v>803373</v>
          </cell>
          <cell r="B690" t="str">
            <v>Suc. San Rafael</v>
          </cell>
          <cell r="C690" t="str">
            <v>Occidente</v>
          </cell>
          <cell r="D690" t="str">
            <v>Favorita</v>
          </cell>
          <cell r="N690">
            <v>0.85</v>
          </cell>
          <cell r="O690">
            <v>0.08</v>
          </cell>
          <cell r="P690">
            <v>7.0000000000000007E-2</v>
          </cell>
          <cell r="BW690">
            <v>1.2487487373737365</v>
          </cell>
          <cell r="BX690">
            <v>0</v>
          </cell>
          <cell r="CG690">
            <v>2.0076756295250653E-3</v>
          </cell>
          <cell r="CH690">
            <v>4.4523238366816712E-3</v>
          </cell>
        </row>
        <row r="691">
          <cell r="A691">
            <v>816387</v>
          </cell>
          <cell r="B691" t="str">
            <v>Planta Zapopan</v>
          </cell>
          <cell r="C691" t="str">
            <v>Occidente</v>
          </cell>
          <cell r="D691" t="str">
            <v>Zapopan</v>
          </cell>
          <cell r="N691">
            <v>0.85</v>
          </cell>
          <cell r="O691">
            <v>0.08</v>
          </cell>
          <cell r="P691">
            <v>7.0000000000000007E-2</v>
          </cell>
          <cell r="BW691">
            <v>0</v>
          </cell>
          <cell r="BX691">
            <v>0.1883636363636364</v>
          </cell>
          <cell r="CG691">
            <v>1.8156370907638397E-3</v>
          </cell>
          <cell r="CH691">
            <v>0</v>
          </cell>
        </row>
        <row r="692">
          <cell r="A692">
            <v>819427</v>
          </cell>
          <cell r="B692" t="str">
            <v>Suc. Huentitán</v>
          </cell>
          <cell r="C692" t="str">
            <v>Occidente</v>
          </cell>
          <cell r="D692" t="str">
            <v>Zapopan</v>
          </cell>
          <cell r="N692">
            <v>0.85</v>
          </cell>
          <cell r="O692">
            <v>0.08</v>
          </cell>
          <cell r="P692">
            <v>7.0000000000000007E-2</v>
          </cell>
          <cell r="BW692">
            <v>0</v>
          </cell>
          <cell r="BX692">
            <v>0.12290757575757585</v>
          </cell>
          <cell r="CG692">
            <v>1.5909924255083333E-3</v>
          </cell>
          <cell r="CH692">
            <v>5.7095423744860693E-4</v>
          </cell>
        </row>
        <row r="693">
          <cell r="A693">
            <v>803350</v>
          </cell>
          <cell r="B693" t="str">
            <v>Suc. San Rafael</v>
          </cell>
          <cell r="C693" t="str">
            <v>Occidente</v>
          </cell>
          <cell r="D693" t="str">
            <v>Favorita</v>
          </cell>
          <cell r="N693">
            <v>0.85</v>
          </cell>
          <cell r="O693">
            <v>0.08</v>
          </cell>
          <cell r="P693">
            <v>7.0000000000000007E-2</v>
          </cell>
          <cell r="BW693">
            <v>0</v>
          </cell>
          <cell r="BX693">
            <v>0.15477272727272723</v>
          </cell>
          <cell r="CG693">
            <v>1.4839341609533096E-3</v>
          </cell>
          <cell r="CH693">
            <v>5.4370713107854948E-5</v>
          </cell>
        </row>
        <row r="694">
          <cell r="A694">
            <v>809376</v>
          </cell>
          <cell r="B694" t="str">
            <v>Suc. Santa Maria</v>
          </cell>
          <cell r="C694" t="str">
            <v>Occidente</v>
          </cell>
          <cell r="D694" t="str">
            <v>Favorita</v>
          </cell>
          <cell r="N694">
            <v>0.85</v>
          </cell>
          <cell r="O694">
            <v>0.08</v>
          </cell>
          <cell r="P694">
            <v>7.0000000000000007E-2</v>
          </cell>
          <cell r="BW694">
            <v>0.25093030303030217</v>
          </cell>
          <cell r="BX694">
            <v>0</v>
          </cell>
          <cell r="CG694">
            <v>1.0767920702598227E-3</v>
          </cell>
          <cell r="CH694">
            <v>1.6986448171804798E-3</v>
          </cell>
        </row>
        <row r="695">
          <cell r="A695">
            <v>819409</v>
          </cell>
          <cell r="B695" t="str">
            <v>Suc. Huentitán</v>
          </cell>
          <cell r="C695" t="str">
            <v>Occidente</v>
          </cell>
          <cell r="D695" t="str">
            <v>Zapopan</v>
          </cell>
          <cell r="N695">
            <v>0.85</v>
          </cell>
          <cell r="O695">
            <v>0.08</v>
          </cell>
          <cell r="P695">
            <v>7.0000000000000007E-2</v>
          </cell>
          <cell r="BW695">
            <v>0</v>
          </cell>
          <cell r="BX695">
            <v>0.10367839393939389</v>
          </cell>
          <cell r="CG695">
            <v>1.0048373213209988E-3</v>
          </cell>
          <cell r="CH695">
            <v>9.5160480403811828E-5</v>
          </cell>
        </row>
        <row r="696">
          <cell r="A696">
            <v>816365</v>
          </cell>
          <cell r="B696" t="str">
            <v>Planta Zapopan</v>
          </cell>
          <cell r="C696" t="str">
            <v>Occidente</v>
          </cell>
          <cell r="D696" t="str">
            <v>Zapopan</v>
          </cell>
          <cell r="N696">
            <v>0.85</v>
          </cell>
          <cell r="O696">
            <v>0.08</v>
          </cell>
          <cell r="P696">
            <v>7.0000000000000007E-2</v>
          </cell>
          <cell r="BW696">
            <v>0.25436571969696886</v>
          </cell>
          <cell r="BX696">
            <v>4.2178977272727139E-2</v>
          </cell>
          <cell r="CG696">
            <v>9.0781854545454526E-4</v>
          </cell>
          <cell r="CH696">
            <v>1.1791127391192289E-3</v>
          </cell>
        </row>
        <row r="697">
          <cell r="A697">
            <v>803371</v>
          </cell>
          <cell r="B697" t="str">
            <v>Suc. San Rafael</v>
          </cell>
          <cell r="C697" t="str">
            <v>Occidente</v>
          </cell>
          <cell r="D697" t="str">
            <v>Favorita</v>
          </cell>
          <cell r="N697">
            <v>0.85</v>
          </cell>
          <cell r="O697">
            <v>0.08</v>
          </cell>
          <cell r="P697">
            <v>7.0000000000000007E-2</v>
          </cell>
          <cell r="BW697">
            <v>0</v>
          </cell>
          <cell r="BX697">
            <v>9.41818181818182E-2</v>
          </cell>
          <cell r="CG697">
            <v>8.72902447619594E-4</v>
          </cell>
          <cell r="CH697">
            <v>0</v>
          </cell>
        </row>
        <row r="698">
          <cell r="A698">
            <v>819428</v>
          </cell>
          <cell r="B698" t="str">
            <v>Suc. Huentitán</v>
          </cell>
          <cell r="C698" t="str">
            <v>Occidente</v>
          </cell>
          <cell r="D698" t="str">
            <v>Zapopan</v>
          </cell>
          <cell r="N698">
            <v>0.85</v>
          </cell>
          <cell r="O698">
            <v>0.08</v>
          </cell>
          <cell r="P698">
            <v>7.0000000000000007E-2</v>
          </cell>
          <cell r="BW698">
            <v>0</v>
          </cell>
          <cell r="BX698">
            <v>4.4187813620071695E-2</v>
          </cell>
          <cell r="CG698">
            <v>8.3736443447807022E-4</v>
          </cell>
          <cell r="CH698">
            <v>5.4376888089468036E-4</v>
          </cell>
        </row>
        <row r="699">
          <cell r="A699">
            <v>901346</v>
          </cell>
          <cell r="B699" t="str">
            <v>Planta Aguascalientes</v>
          </cell>
          <cell r="C699" t="str">
            <v>Occidente</v>
          </cell>
          <cell r="D699" t="str">
            <v>Aguascalientes</v>
          </cell>
          <cell r="N699">
            <v>0.85</v>
          </cell>
          <cell r="O699">
            <v>0.08</v>
          </cell>
          <cell r="P699">
            <v>7.0000000000000007E-2</v>
          </cell>
          <cell r="BW699">
            <v>0</v>
          </cell>
          <cell r="BX699">
            <v>7.5345454545454563E-2</v>
          </cell>
          <cell r="CG699">
            <v>6.6086407529587874E-4</v>
          </cell>
          <cell r="CH699">
            <v>0</v>
          </cell>
        </row>
        <row r="700">
          <cell r="A700">
            <v>803358</v>
          </cell>
          <cell r="B700" t="str">
            <v>Suc. San Rafael</v>
          </cell>
          <cell r="C700" t="str">
            <v>Occidente</v>
          </cell>
          <cell r="D700" t="str">
            <v>Favorita</v>
          </cell>
          <cell r="N700">
            <v>0.85</v>
          </cell>
          <cell r="O700">
            <v>0.08</v>
          </cell>
          <cell r="P700">
            <v>7.0000000000000007E-2</v>
          </cell>
          <cell r="BW700">
            <v>0</v>
          </cell>
          <cell r="BX700">
            <v>4.9916666666666686E-2</v>
          </cell>
          <cell r="CG700">
            <v>6.1103171333371572E-4</v>
          </cell>
          <cell r="CH700">
            <v>1.6312757677759723E-4</v>
          </cell>
        </row>
        <row r="701">
          <cell r="A701">
            <v>803368</v>
          </cell>
          <cell r="B701" t="str">
            <v>Suc. San Rafael</v>
          </cell>
          <cell r="C701" t="str">
            <v>Occidente</v>
          </cell>
          <cell r="D701" t="str">
            <v>Favorita</v>
          </cell>
          <cell r="N701">
            <v>0.85</v>
          </cell>
          <cell r="O701">
            <v>0.08</v>
          </cell>
          <cell r="P701">
            <v>7.0000000000000007E-2</v>
          </cell>
          <cell r="BW701">
            <v>0</v>
          </cell>
          <cell r="BX701">
            <v>3.6532542819499352E-2</v>
          </cell>
          <cell r="CG701">
            <v>6.0230120196940785E-4</v>
          </cell>
          <cell r="CH701">
            <v>5.2853211376309255E-4</v>
          </cell>
        </row>
        <row r="702">
          <cell r="A702">
            <v>819401</v>
          </cell>
          <cell r="B702" t="str">
            <v>Suc. Huentitán</v>
          </cell>
          <cell r="C702" t="str">
            <v>Occidente</v>
          </cell>
          <cell r="D702" t="str">
            <v>Zapopan</v>
          </cell>
          <cell r="N702">
            <v>0.85</v>
          </cell>
          <cell r="O702">
            <v>0.08</v>
          </cell>
          <cell r="P702">
            <v>7.0000000000000007E-2</v>
          </cell>
          <cell r="BW702">
            <v>1.8686826839826811</v>
          </cell>
          <cell r="BX702">
            <v>0.19502510822510796</v>
          </cell>
          <cell r="CG702">
            <v>5.8615510413464913E-4</v>
          </cell>
          <cell r="CH702">
            <v>2.0445672871750296E-3</v>
          </cell>
        </row>
        <row r="703">
          <cell r="A703">
            <v>809374</v>
          </cell>
          <cell r="B703" t="str">
            <v>Suc. Santa Maria</v>
          </cell>
          <cell r="C703" t="str">
            <v>Occidente</v>
          </cell>
          <cell r="D703" t="str">
            <v>Favorita</v>
          </cell>
          <cell r="N703">
            <v>0.85</v>
          </cell>
          <cell r="O703">
            <v>0.08</v>
          </cell>
          <cell r="P703">
            <v>7.0000000000000007E-2</v>
          </cell>
          <cell r="BW703">
            <v>0</v>
          </cell>
          <cell r="BX703">
            <v>6.5927272727272737E-2</v>
          </cell>
          <cell r="CG703">
            <v>5.798111147552891E-4</v>
          </cell>
          <cell r="CH703">
            <v>0</v>
          </cell>
        </row>
        <row r="704">
          <cell r="A704">
            <v>804385</v>
          </cell>
          <cell r="B704" t="str">
            <v>Suc. Toluquilla</v>
          </cell>
          <cell r="C704" t="str">
            <v>Occidente</v>
          </cell>
          <cell r="D704" t="str">
            <v>Favorita</v>
          </cell>
          <cell r="N704">
            <v>0.85</v>
          </cell>
          <cell r="O704">
            <v>0.08</v>
          </cell>
          <cell r="P704">
            <v>7.0000000000000007E-2</v>
          </cell>
          <cell r="BW704">
            <v>0</v>
          </cell>
          <cell r="BX704">
            <v>3.390606060606062E-2</v>
          </cell>
          <cell r="CG704">
            <v>5.2956081818181819E-4</v>
          </cell>
          <cell r="CH704">
            <v>3.2625515355519451E-4</v>
          </cell>
        </row>
        <row r="705">
          <cell r="A705">
            <v>803360</v>
          </cell>
          <cell r="B705" t="str">
            <v>Suc. San Rafael</v>
          </cell>
          <cell r="C705" t="str">
            <v>Occidente</v>
          </cell>
          <cell r="D705" t="str">
            <v>Favorita</v>
          </cell>
          <cell r="N705">
            <v>0.85</v>
          </cell>
          <cell r="O705">
            <v>0.08</v>
          </cell>
          <cell r="P705">
            <v>7.0000000000000007E-2</v>
          </cell>
          <cell r="BW705">
            <v>0</v>
          </cell>
          <cell r="BX705">
            <v>3.7295454545454548E-2</v>
          </cell>
          <cell r="CG705">
            <v>5.2374146857175625E-4</v>
          </cell>
          <cell r="CH705">
            <v>1.9576235460553725E-4</v>
          </cell>
        </row>
        <row r="706">
          <cell r="A706">
            <v>819430</v>
          </cell>
          <cell r="B706" t="str">
            <v>Suc. Huentitán</v>
          </cell>
          <cell r="C706" t="str">
            <v>Occidente</v>
          </cell>
          <cell r="D706" t="str">
            <v>Zapopan</v>
          </cell>
          <cell r="N706">
            <v>0.85</v>
          </cell>
          <cell r="O706">
            <v>0.08</v>
          </cell>
          <cell r="P706">
            <v>7.0000000000000007E-2</v>
          </cell>
          <cell r="BW706">
            <v>3.4797774675324638</v>
          </cell>
          <cell r="BX706">
            <v>0.35012842207792172</v>
          </cell>
          <cell r="CG706">
            <v>5.0241866068684207E-4</v>
          </cell>
          <cell r="CH706">
            <v>3.2650673774358725E-3</v>
          </cell>
        </row>
        <row r="707">
          <cell r="A707">
            <v>301352</v>
          </cell>
          <cell r="B707" t="str">
            <v>Planta Cd. Juárez</v>
          </cell>
          <cell r="C707" t="str">
            <v>Norte</v>
          </cell>
          <cell r="D707" t="str">
            <v>Juárez</v>
          </cell>
          <cell r="N707">
            <v>0.85</v>
          </cell>
          <cell r="O707">
            <v>0.08</v>
          </cell>
          <cell r="P707">
            <v>7.0000000000000007E-2</v>
          </cell>
          <cell r="BW707">
            <v>0</v>
          </cell>
          <cell r="BX707">
            <v>9.1026292335116069E-3</v>
          </cell>
          <cell r="CG707">
            <v>3.4397999999999981E-4</v>
          </cell>
          <cell r="CH707">
            <v>3.6252287889914259E-4</v>
          </cell>
        </row>
        <row r="708">
          <cell r="A708">
            <v>203300</v>
          </cell>
          <cell r="B708" t="str">
            <v>Planta Agua y Hielo</v>
          </cell>
          <cell r="C708" t="str">
            <v>Noreste</v>
          </cell>
          <cell r="D708" t="str">
            <v>Saltillo</v>
          </cell>
          <cell r="N708">
            <v>0.8</v>
          </cell>
          <cell r="O708">
            <v>0.12</v>
          </cell>
          <cell r="P708">
            <v>0.08</v>
          </cell>
          <cell r="BW708">
            <v>0</v>
          </cell>
          <cell r="BX708">
            <v>5.3369696969696963E-2</v>
          </cell>
          <cell r="CG708">
            <v>3.6024545454545448E-4</v>
          </cell>
          <cell r="CH708">
            <v>0</v>
          </cell>
        </row>
        <row r="709">
          <cell r="A709">
            <v>819415</v>
          </cell>
          <cell r="B709" t="str">
            <v>Suc. Huentitán</v>
          </cell>
          <cell r="C709" t="str">
            <v>Occidente</v>
          </cell>
          <cell r="D709" t="str">
            <v>Zapopan</v>
          </cell>
          <cell r="N709">
            <v>0.85</v>
          </cell>
          <cell r="O709">
            <v>0.08</v>
          </cell>
          <cell r="P709">
            <v>7.0000000000000007E-2</v>
          </cell>
          <cell r="BW709">
            <v>0</v>
          </cell>
          <cell r="BX709">
            <v>3.7672727272727281E-2</v>
          </cell>
          <cell r="CG709">
            <v>3.349457737736663E-4</v>
          </cell>
          <cell r="CH709">
            <v>0</v>
          </cell>
        </row>
        <row r="710">
          <cell r="A710">
            <v>820346</v>
          </cell>
          <cell r="B710" t="str">
            <v>Suc. Belenes</v>
          </cell>
          <cell r="C710" t="str">
            <v>Occidente</v>
          </cell>
          <cell r="D710" t="str">
            <v>Zapopan</v>
          </cell>
          <cell r="N710">
            <v>0.85</v>
          </cell>
          <cell r="O710">
            <v>0.08</v>
          </cell>
          <cell r="P710">
            <v>7.0000000000000007E-2</v>
          </cell>
          <cell r="BW710">
            <v>0</v>
          </cell>
          <cell r="BX710">
            <v>1.5899472990777343E-2</v>
          </cell>
          <cell r="CG710">
            <v>2.4889077221479318E-4</v>
          </cell>
          <cell r="CH710">
            <v>2.316389977806235E-4</v>
          </cell>
        </row>
        <row r="711">
          <cell r="A711">
            <v>819404</v>
          </cell>
          <cell r="B711" t="str">
            <v>Suc. Huentitán</v>
          </cell>
          <cell r="C711" t="str">
            <v>Occidente</v>
          </cell>
          <cell r="D711" t="str">
            <v>Zapopan</v>
          </cell>
          <cell r="N711">
            <v>0.85</v>
          </cell>
          <cell r="O711">
            <v>0.08</v>
          </cell>
          <cell r="P711">
            <v>7.0000000000000007E-2</v>
          </cell>
          <cell r="BW711">
            <v>0</v>
          </cell>
          <cell r="BX711">
            <v>1.8836363636363641E-2</v>
          </cell>
          <cell r="CG711">
            <v>1.6747288689561402E-4</v>
          </cell>
          <cell r="CH711">
            <v>0</v>
          </cell>
        </row>
        <row r="712">
          <cell r="A712">
            <v>809388</v>
          </cell>
          <cell r="B712" t="str">
            <v>Suc. Santa Maria</v>
          </cell>
          <cell r="C712" t="str">
            <v>Occidente</v>
          </cell>
          <cell r="D712" t="str">
            <v>Favorita</v>
          </cell>
          <cell r="N712">
            <v>0.85</v>
          </cell>
          <cell r="O712">
            <v>0.08</v>
          </cell>
          <cell r="P712">
            <v>7.0000000000000007E-2</v>
          </cell>
          <cell r="BW712">
            <v>8.7675108225107851E-2</v>
          </cell>
          <cell r="BX712">
            <v>1.0291774891774855E-2</v>
          </cell>
          <cell r="CG712">
            <v>1.6566031850151117E-4</v>
          </cell>
          <cell r="CH712">
            <v>2.446990838934128E-4</v>
          </cell>
        </row>
        <row r="713">
          <cell r="A713">
            <v>804362</v>
          </cell>
          <cell r="B713" t="str">
            <v>Suc. Toluquilla</v>
          </cell>
          <cell r="C713" t="str">
            <v>Occidente</v>
          </cell>
          <cell r="D713" t="str">
            <v>Favorita</v>
          </cell>
          <cell r="N713">
            <v>0.85</v>
          </cell>
          <cell r="O713">
            <v>0.08</v>
          </cell>
          <cell r="P713">
            <v>7.0000000000000007E-2</v>
          </cell>
          <cell r="BW713">
            <v>0</v>
          </cell>
          <cell r="BX713">
            <v>1.8836363636363641E-2</v>
          </cell>
          <cell r="CG713">
            <v>1.5130309090909089E-4</v>
          </cell>
          <cell r="CH713">
            <v>0</v>
          </cell>
        </row>
        <row r="714">
          <cell r="A714">
            <v>921399</v>
          </cell>
          <cell r="B714" t="str">
            <v>Suc. Río Verde</v>
          </cell>
          <cell r="C714" t="str">
            <v>Occidente</v>
          </cell>
          <cell r="D714" t="str">
            <v>San Luis</v>
          </cell>
          <cell r="N714">
            <v>0.85</v>
          </cell>
          <cell r="O714">
            <v>0.08</v>
          </cell>
          <cell r="P714">
            <v>7.0000000000000007E-2</v>
          </cell>
          <cell r="BW714">
            <v>86.503268287878839</v>
          </cell>
          <cell r="BX714">
            <v>0</v>
          </cell>
          <cell r="CG714">
            <v>7.6880582386363604E-5</v>
          </cell>
          <cell r="CH714">
            <v>0.15561169991345847</v>
          </cell>
        </row>
        <row r="715">
          <cell r="A715">
            <v>802414</v>
          </cell>
          <cell r="B715" t="str">
            <v>Suc. Alamo</v>
          </cell>
          <cell r="C715" t="str">
            <v>Occidente</v>
          </cell>
          <cell r="D715" t="str">
            <v>Favorita</v>
          </cell>
          <cell r="N715">
            <v>0.85</v>
          </cell>
          <cell r="O715">
            <v>0.08</v>
          </cell>
          <cell r="P715">
            <v>7.0000000000000007E-2</v>
          </cell>
          <cell r="BW715">
            <v>0.56705303030302989</v>
          </cell>
          <cell r="BX715">
            <v>4.6698484848484823E-2</v>
          </cell>
          <cell r="CG715">
            <v>0</v>
          </cell>
          <cell r="CH715">
            <v>5.4376888089468036E-4</v>
          </cell>
        </row>
        <row r="716">
          <cell r="A716">
            <v>809389</v>
          </cell>
          <cell r="B716" t="str">
            <v>Suc. Santa Maria</v>
          </cell>
          <cell r="C716" t="str">
            <v>Occidente</v>
          </cell>
          <cell r="D716" t="str">
            <v>Favorita</v>
          </cell>
          <cell r="N716">
            <v>0.85</v>
          </cell>
          <cell r="O716">
            <v>0.08</v>
          </cell>
          <cell r="P716">
            <v>7.0000000000000007E-2</v>
          </cell>
          <cell r="BW716">
            <v>0.53870359848484806</v>
          </cell>
          <cell r="BX716">
            <v>4.436382575757572E-2</v>
          </cell>
          <cell r="CG716">
            <v>0</v>
          </cell>
          <cell r="CH716">
            <v>5.1658352434075315E-4</v>
          </cell>
        </row>
        <row r="717">
          <cell r="A717">
            <v>816328</v>
          </cell>
          <cell r="B717" t="str">
            <v>Planta Zapopan</v>
          </cell>
          <cell r="C717" t="str">
            <v>Occidente</v>
          </cell>
          <cell r="D717" t="str">
            <v>Zapopan</v>
          </cell>
          <cell r="N717">
            <v>0.85</v>
          </cell>
          <cell r="O717">
            <v>0.08</v>
          </cell>
          <cell r="P717">
            <v>7.0000000000000007E-2</v>
          </cell>
          <cell r="BW717">
            <v>10.882328914141411</v>
          </cell>
          <cell r="BX717">
            <v>0</v>
          </cell>
          <cell r="CG717">
            <v>0</v>
          </cell>
          <cell r="CH717">
            <v>1.956652916132982E-2</v>
          </cell>
        </row>
        <row r="718">
          <cell r="A718">
            <v>816385</v>
          </cell>
          <cell r="B718" t="str">
            <v>Planta Zapopan</v>
          </cell>
          <cell r="C718" t="str">
            <v>Occidente</v>
          </cell>
          <cell r="D718" t="str">
            <v>Zapopan</v>
          </cell>
          <cell r="N718">
            <v>0.85</v>
          </cell>
          <cell r="O718">
            <v>0.08</v>
          </cell>
          <cell r="P718">
            <v>7.0000000000000007E-2</v>
          </cell>
          <cell r="BW718">
            <v>1.360901515151514</v>
          </cell>
          <cell r="BX718">
            <v>0.12808484848484836</v>
          </cell>
          <cell r="CG718">
            <v>0</v>
          </cell>
          <cell r="CH718">
            <v>1.1418930374431811E-3</v>
          </cell>
        </row>
        <row r="719">
          <cell r="A719">
            <v>819410</v>
          </cell>
          <cell r="B719" t="str">
            <v>Suc. Huentitán</v>
          </cell>
          <cell r="C719" t="str">
            <v>Occidente</v>
          </cell>
          <cell r="D719" t="str">
            <v>Zapopan</v>
          </cell>
          <cell r="N719">
            <v>0.85</v>
          </cell>
          <cell r="O719">
            <v>0.08</v>
          </cell>
          <cell r="P719">
            <v>7.0000000000000007E-2</v>
          </cell>
          <cell r="BW719">
            <v>1.2629282828282826</v>
          </cell>
          <cell r="BX719">
            <v>0</v>
          </cell>
          <cell r="CG719">
            <v>0</v>
          </cell>
          <cell r="CH719">
            <v>2.2707568636816406E-3</v>
          </cell>
        </row>
        <row r="720">
          <cell r="A720">
            <v>819432</v>
          </cell>
          <cell r="B720" t="str">
            <v>Suc. Huentitán</v>
          </cell>
          <cell r="C720" t="str">
            <v>Occidente</v>
          </cell>
          <cell r="D720" t="str">
            <v>Zapopan</v>
          </cell>
          <cell r="N720">
            <v>0.85</v>
          </cell>
          <cell r="O720">
            <v>0.08</v>
          </cell>
          <cell r="P720">
            <v>7.0000000000000007E-2</v>
          </cell>
          <cell r="BW720">
            <v>0.15990624999999986</v>
          </cell>
          <cell r="BX720">
            <v>1.3168749999999991E-2</v>
          </cell>
          <cell r="CG720">
            <v>0</v>
          </cell>
          <cell r="CH720">
            <v>1.5334023092002214E-4</v>
          </cell>
        </row>
        <row r="721">
          <cell r="A721">
            <v>916399</v>
          </cell>
          <cell r="B721" t="str">
            <v>Planta San Luis</v>
          </cell>
          <cell r="C721" t="str">
            <v>Occidente</v>
          </cell>
          <cell r="D721" t="str">
            <v>San Luis</v>
          </cell>
          <cell r="N721">
            <v>0.85</v>
          </cell>
          <cell r="O721">
            <v>0.08</v>
          </cell>
          <cell r="P721">
            <v>7.0000000000000007E-2</v>
          </cell>
          <cell r="BW721">
            <v>3.368275252525252</v>
          </cell>
          <cell r="BX721">
            <v>0</v>
          </cell>
          <cell r="CG721">
            <v>0</v>
          </cell>
          <cell r="CH721">
            <v>6.0561904048202254E-3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89A473E-6FF2-4D6D-A49A-D8BFDCA31407}" name="Table1" displayName="Table1" ref="A5:BQ794" totalsRowShown="0" headerRowDxfId="410" dataDxfId="408" headerRowBorderDxfId="409">
  <tableColumns count="69">
    <tableColumn id="1" xr3:uid="{8E5BB57C-A458-4F09-9DA8-B0156BF8E6EB}" name="Región" dataDxfId="407"/>
    <tableColumn id="2" xr3:uid="{89308A7C-3660-4A4C-BBCD-DF4A50AAC020}" name="Territorio EERR" dataDxfId="406"/>
    <tableColumn id="3" xr3:uid="{ACC4721E-4B05-4116-921E-C5707881067F}" name="CeDi" dataDxfId="405"/>
    <tableColumn id="4" xr3:uid="{F29B9E91-9EC0-40C5-BCDA-09D20A650F46}" name="Ruta" dataDxfId="404"/>
    <tableColumn id="5" xr3:uid="{F8664706-AFC5-41C8-8A69-2534AF169BC1}" name="Ruta ID" dataDxfId="403"/>
    <tableColumn id="6" xr3:uid="{670A4C27-44F5-46BB-9D3F-A0B4C234713C}" name="Estatus de ruta" dataDxfId="402"/>
    <tableColumn id="7" xr3:uid="{31703711-9ED7-4524-990E-7D9960D5E143}" name="Código de ruta válido" dataDxfId="401"/>
    <tableColumn id="8" xr3:uid="{1FB43FD0-E64D-4036-9450-F5C984F0F5D4}" name="Elegible para estándar" dataDxfId="400"/>
    <tableColumn id="9" xr3:uid="{28EEA4B1-ED18-415D-8D74-762DACE709CF}" name="Rutas Hogar del CeDi" dataDxfId="399"/>
    <tableColumn id="10" xr3:uid="{7D2E073C-7E94-4041-A7E1-A7CCB92725BA}" name="Cajas Unidad Garrafón" dataDxfId="398"/>
    <tableColumn id="11" xr3:uid="{0886C1CC-A2F2-48D8-BD50-3419EF74364D}" name="Cajas Unidad Otros Productos" dataDxfId="397"/>
    <tableColumn id="12" xr3:uid="{A0F871F3-8E39-4C1A-8ABF-1CC7B305B391}" name="Volumen Total en Cajas Unidad [CU]" dataDxfId="396"/>
    <tableColumn id="69" xr3:uid="{F65C5EF5-2F39-4D1D-8B2D-895654C54629}" name="Venta Ingreso" dataDxfId="395"/>
    <tableColumn id="68" xr3:uid="{0F2DC2D3-5F96-4231-B3BA-64E7EB2AA885}" name="Venta GFN [MXN]" dataDxfId="394"/>
    <tableColumn id="67" xr3:uid="{EA2CD565-01EE-477E-9DE1-2279FBE8BEAC}" name="Venta OP [MXN]" dataDxfId="393"/>
    <tableColumn id="66" xr3:uid="{3982429B-6842-4836-9FBE-8616ED9F276B}" name="Venta MC [MXN]" dataDxfId="392"/>
    <tableColumn id="65" xr3:uid="{2ED9618E-4B29-44B1-8CF7-2ADA9A04B579}" name="Ingreso / Ruta" dataDxfId="391"/>
    <tableColumn id="13" xr3:uid="{E7079FB4-1CED-49D7-B85C-F08DB2354B17}" name="Costos de Venta Variable" dataDxfId="390"/>
    <tableColumn id="14" xr3:uid="{A24035CC-46F7-4BD4-A75D-77EA63064F0F}" name="GOD" dataDxfId="389"/>
    <tableColumn id="15" xr3:uid="{03FF3191-4ABA-486E-9ED5-5474175B75BA}" name="GOC" dataDxfId="388"/>
    <tableColumn id="16" xr3:uid="{92C86BD0-998A-490C-A0AB-489A2FF980C1}" name="Costo-De-Servir (Cedis) (miles)" dataDxfId="387"/>
    <tableColumn id="17" xr3:uid="{349290D4-A4BD-4F19-9210-96AA02A3F017}" name="CDS / Ruta" dataDxfId="386"/>
    <tableColumn id="18" xr3:uid="{4121B754-9E6C-4CBA-8847-A49F5BF9D69B}" name="Venta ruta (promedio cedis)" dataDxfId="385"/>
    <tableColumn id="19" xr3:uid="{4BED7239-82C4-4369-A019-DDCB6B2357E4}" name="%CDS vs. Venta Neta" dataDxfId="384"/>
    <tableColumn id="20" xr3:uid="{84C5E23B-913E-4EC0-82BE-8F27B5DCCA54}" name="Cuadrante" dataDxfId="383"/>
    <tableColumn id="21" xr3:uid="{29639CD4-2B67-45C9-BB61-32EE7A49589A}" name="Número de clientes x ruta" dataDxfId="382"/>
    <tableColumn id="22" xr3:uid="{862E0C06-102F-466D-8EFF-F56886B238FE}" name="Frecuencia Conv. [/semana]" dataDxfId="381"/>
    <tableColumn id="23" xr3:uid="{93FF09FA-5135-4BC9-9DBB-7319C3182FF5}" name="% Venta Conv." dataDxfId="380"/>
    <tableColumn id="24" xr3:uid="{CB133EDA-D8DC-43D7-B5AF-D51A9CD789EC}" name="% Venta Web." dataDxfId="379"/>
    <tableColumn id="31" xr3:uid="{C46446B4-E4FF-415D-9BE5-BC2A622B7670}" name="CU conv" dataDxfId="378" dataCellStyle="Comma">
      <calculatedColumnFormula>_xlfn.XLOOKUP(Table1[[#This Row],[Ruta]],#REF!,#REF!)</calculatedColumnFormula>
    </tableColumn>
    <tableColumn id="30" xr3:uid="{2898A391-BEF1-480F-B062-15AEE5567885}" name="CU web" dataDxfId="377" dataCellStyle="Comma">
      <calculatedColumnFormula>_xlfn.XLOOKUP(Table1[[#This Row],[Ruta]],#REF!,#REF!)</calculatedColumnFormula>
    </tableColumn>
    <tableColumn id="29" xr3:uid="{B78FEE42-1800-4987-A30C-18066E9922D7}" name="Ing conv" dataDxfId="376" dataCellStyle="Comma">
      <calculatedColumnFormula>_xlfn.XLOOKUP(Table1[[#This Row],[Ruta]],#REF!,#REF!)</calculatedColumnFormula>
    </tableColumn>
    <tableColumn id="28" xr3:uid="{D326C336-1024-4FC4-AEEF-B27D21021110}" name="Ing web" dataDxfId="375" dataCellStyle="Comma">
      <calculatedColumnFormula>_xlfn.XLOOKUP(Table1[[#This Row],[Ruta]],#REF!,#REF!)</calculatedColumnFormula>
    </tableColumn>
    <tableColumn id="25" xr3:uid="{244F5636-821F-43F7-AEE6-3CEF24C1E2A1}" name="% Venta GFN (ingreso)" dataDxfId="374"/>
    <tableColumn id="26" xr3:uid="{D09B2147-8589-4B0B-814D-6890CF559FB3}" name="% Venta OP (ingreso)" dataDxfId="373"/>
    <tableColumn id="27" xr3:uid="{94989858-8B17-40CD-8D13-67B6B258C9B1}" name="% Venta MC (ingreso)" dataDxfId="372"/>
    <tableColumn id="32" xr3:uid="{BBFA8F6F-733E-4817-A44E-C3C553D30E4A}" name="Ctes. programados (periodo)" dataDxfId="371"/>
    <tableColumn id="33" xr3:uid="{B57DAE45-9EB0-4284-94F0-E11C1CEA2996}" name="Ctes. con compra (periodo)" dataDxfId="370"/>
    <tableColumn id="34" xr3:uid="{5A7CABBA-07AF-49C3-AFB1-F406162DF719}" name="Efectividad actual" dataDxfId="369"/>
    <tableColumn id="35" xr3:uid="{A3D76EA7-B583-4563-A7A3-8F92F04775EA}" name="Benchmark p75 del CeDi" dataDxfId="368"/>
    <tableColumn id="36" xr3:uid="{61EF18BC-735A-4234-942D-D0C5ACF7F880}" name="Ctes. increm. (100%)" dataDxfId="367"/>
    <tableColumn id="37" xr3:uid="{8C8F666B-78F3-4433-A209-E7F982E7DD47}" name="Ctes. increm. (escenario)" dataDxfId="366"/>
    <tableColumn id="38" xr3:uid="{D20E50D1-580F-4F1C-B087-93FD9D6DD2B6}" name="Efectividad objetivo (escenario)" dataDxfId="365"/>
    <tableColumn id="39" xr3:uid="{352F3FE5-2138-48B2-9E46-F2B18D08CB60}" name="Ingreso actual (periodo)" dataDxfId="364"/>
    <tableColumn id="40" xr3:uid="{26C8DDFC-D2E6-4CE7-B4A3-5E7F18878CFA}" name="Ingreso increm. Efectividad (periodo)" dataDxfId="363"/>
    <tableColumn id="41" xr3:uid="{D2CE4E0B-3711-4857-91C8-34B8E29CE30D}" name="Uplift Efectividad %" dataDxfId="362"/>
    <tableColumn id="42" xr3:uid="{DBBA1B50-1939-4EC3-9EA6-FC6BF4DB29B9}" name="Anualizado Efectividad" dataDxfId="361"/>
    <tableColumn id="43" xr3:uid="{26122B91-AEA2-4277-B0C9-E7B164D6AE79}" name="% del potencial del canal" dataDxfId="360"/>
    <tableColumn id="44" xr3:uid="{9AB50357-6EFD-413A-8F99-CA2AE0AFC506}" name="Ranking por potencial" dataDxfId="359"/>
    <tableColumn id="45" xr3:uid="{E16EADC6-D742-4680-93E2-5B33D318D0E7}" name="Ticket $ / CC" dataDxfId="358"/>
    <tableColumn id="46" xr3:uid="{D6170CF3-8440-47E6-B093-F301BBFA444C}" name="Ticket p75 de su CeDi" dataDxfId="357"/>
    <tableColumn id="47" xr3:uid="{1C2D1601-5212-4C0F-B48F-E0C2CE6EC22F}" name="Brecha de ticket ($/CC)" dataDxfId="356"/>
    <tableColumn id="48" xr3:uid="{55088610-E07D-4753-A157-37DDA2DF3786}" name="Ruta con brecha de ticket" dataDxfId="355"/>
    <tableColumn id="49" xr3:uid="{60836E56-716A-4C6D-8B54-FF6E56A201CC}" name="Anualizado ticket" dataDxfId="354"/>
    <tableColumn id="50" xr3:uid="{A026A382-6C57-47B9-97A3-02A5624811DE}" name="Anualizado ambas palancas" dataDxfId="353"/>
    <tableColumn id="51" xr3:uid="{CCF2D73A-A930-4D92-8B31-D020E6F0E908}" name="Elegible (saturación)" dataDxfId="352"/>
    <tableColumn id="52" xr3:uid="{83B93A03-696D-45C0-B50E-BC02730DD02C}" name="Clientes atiende/día (real)" dataDxfId="351"/>
    <tableColumn id="53" xr3:uid="{42559DC9-7F9C-43F2-9499-17A1D29BBE73}" name="Estándar territorio (ideal) — clientes" dataDxfId="350"/>
    <tableColumn id="54" xr3:uid="{B10E5DA0-145F-4FF2-BC17-74569EC933D8}" name="Cumple (clientes)" dataDxfId="349"/>
    <tableColumn id="55" xr3:uid="{1F106019-8CED-4709-A964-647734AA570C}" name="Efectividad de compra (real)" dataDxfId="348"/>
    <tableColumn id="56" xr3:uid="{AE1A2210-E543-4BEC-AC7C-123ABD7F5DF4}" name="Estándar territorio (ideal) — efectividad" dataDxfId="347"/>
    <tableColumn id="57" xr3:uid="{23A2BBEF-E327-4550-A354-0E6732587236}" name="Cumple (efectividad)" dataDxfId="346"/>
    <tableColumn id="58" xr3:uid="{50B456D0-EED0-45FB-B503-767307D1859A}" name="Volumen CU/día (real)" dataDxfId="345"/>
    <tableColumn id="59" xr3:uid="{6871B28D-DDC8-4AE8-AD0A-F7DBC3F9F28D}" name="Estándar territorio (ideal) — volumen" dataDxfId="344"/>
    <tableColumn id="60" xr3:uid="{7C623CF9-12C4-4660-8FB8-1C41B217828F}" name="Cumple (volumen)" dataDxfId="343"/>
    <tableColumn id="61" xr3:uid="{C62B1075-F832-4717-AD43-A6FB7E0BCFAA}" name="# Indicadores cumplidos (0-3)" dataDxfId="342"/>
    <tableColumn id="62" xr3:uid="{4CA7A1EF-1845-4C1F-8E5F-C0022AD8D830}" name="Zona de saturación" dataDxfId="341"/>
    <tableColumn id="63" xr3:uid="{418BEB5D-BB8E-4043-A288-D1364E4EDD99}" name="Saturada (Sí/No)" dataDxfId="340"/>
    <tableColumn id="64" xr3:uid="{CCEA787A-757B-4484-B143-2E38E0B8ADF2}" name="Capacidad adicional (clientes)" dataDxfId="339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9B65FF2-CD33-45F1-A48A-28F9FE7D93B8}" name="Table15" displayName="Table15" ref="A4:CV82" totalsRowShown="0" tableBorderDxfId="338">
  <autoFilter ref="A4:CV82" xr:uid="{89B65FF2-CD33-45F1-A48A-28F9FE7D93B8}"/>
  <tableColumns count="100">
    <tableColumn id="1" xr3:uid="{43C9F498-6E8F-4AF4-AB48-8E2A04CA7C94}" name="Región" dataDxfId="337"/>
    <tableColumn id="2" xr3:uid="{80549E9B-2FD9-475C-A22B-E65BF73AAC62}" name="Territorio EERR" dataDxfId="336"/>
    <tableColumn id="3" xr3:uid="{02DAFA9C-F559-4D45-BDDD-DEAA9872B0C8}" name="CeDi" dataDxfId="335"/>
    <tableColumn id="4" xr3:uid="{36A72912-0FA1-4619-9EBE-42453EA62804}" name="Rutas Hogar" dataDxfId="334"/>
    <tableColumn id="5" xr3:uid="{3292B015-2F1E-41CD-AD27-3CA4EDAA37A3}" name="Cajas Unidad Garrafón" dataDxfId="333"/>
    <tableColumn id="6" xr3:uid="{C4E074FE-102D-477A-AA8D-A4CB8FEB77CA}" name="Cajas Unidad Otros Productos" dataDxfId="332"/>
    <tableColumn id="7" xr3:uid="{A39CBD47-7206-40AF-846F-3B996F97C38A}" name="Volumen Total en Cajas Unidad [CU]" dataDxfId="331"/>
    <tableColumn id="8" xr3:uid="{54FC778D-1ED4-45F6-A856-7DE6FD91CB6A}" name="Costos de Venta Variable" dataDxfId="330"/>
    <tableColumn id="9" xr3:uid="{1BC9F6D0-5B22-4947-81CF-B5B20312E0F1}" name="GOD" dataDxfId="329"/>
    <tableColumn id="10" xr3:uid="{CE216B80-00DE-4611-8AC7-862608E3068B}" name="GOC" dataDxfId="328"/>
    <tableColumn id="11" xr3:uid="{027C7BC5-438A-4BA1-99BE-6E50960D0BF5}" name="Costo-De-Servir" dataDxfId="327"/>
    <tableColumn id="12" xr3:uid="{984EA955-98BF-456E-8090-30536DAE3AE0}" name="Venta Neta" dataDxfId="326"/>
    <tableColumn id="13" xr3:uid="{31C87606-A12C-49EA-BFD2-034ED4866838}" name="%CDS vs. Venta Neta" dataDxfId="325"/>
    <tableColumn id="14" xr3:uid="{7CC827C2-1040-4630-B713-9C031D1B558E}" name="Cuadrante" dataDxfId="324"/>
    <tableColumn id="15" xr3:uid="{C31A7AF3-B433-4ED3-A450-0C7FCD2C18BD}" name="Número de clientes x ruta" dataDxfId="323"/>
    <tableColumn id="16" xr3:uid="{94A09013-ED93-42A1-94E5-3C0638C995FD}" name="Frecuencia Conv. [/semana]" dataDxfId="322"/>
    <tableColumn id="17" xr3:uid="{1BDD4FB2-F8C2-49F4-A9A6-1329322DA934}" name="Frecuencia Web [/semana]" dataDxfId="321"/>
    <tableColumn id="18" xr3:uid="{D649F871-57D2-4121-8608-13D3A27B19B6}" name="Camiones" dataDxfId="320"/>
    <tableColumn id="19" xr3:uid="{18DEE15B-0711-47B2-BB50-D19AA951FD25}" name="Pallets " dataDxfId="319"/>
    <tableColumn id="20" xr3:uid="{BE843B20-3D3E-420F-B0F8-CAF148650805}" name="% Venta Conv."/>
    <tableColumn id="21" xr3:uid="{525AB640-4F59-4B71-8A8E-A0D9663ABB62}" name="% Venta Web." dataDxfId="318"/>
    <tableColumn id="22" xr3:uid="{2617CD92-D665-459B-9CDA-F6AE5A26BC8E}" name="% Venta GFN" dataDxfId="317"/>
    <tableColumn id="23" xr3:uid="{8D3F91B5-74D2-4057-BD3D-F040ECD02D73}" name="% Venta OP" dataDxfId="316"/>
    <tableColumn id="24" xr3:uid="{1D0031A8-F999-4D3A-A886-F5C6535611C6}" name="% Venta MC" dataDxfId="315"/>
    <tableColumn id="25" xr3:uid="{D4BEED7F-1922-4D38-9C32-692DC74635FD}" name="Venta GFN [MXN]" dataDxfId="314"/>
    <tableColumn id="26" xr3:uid="{B6F94676-CE83-4E9B-BA13-3C34AFA5AB4E}" name="Venta OP [MXN]" dataDxfId="313"/>
    <tableColumn id="27" xr3:uid="{6F6FEC82-E490-4456-8BF0-012B6CC9B56A}" name="Venta MC [MXN]" dataDxfId="312"/>
    <tableColumn id="28" xr3:uid="{E2EDBFB8-DC48-4E1C-8481-C7A7E934249D}" name="Ingreso / Ruta" dataDxfId="311"/>
    <tableColumn id="29" xr3:uid="{194D55FC-2389-4FF6-B08E-BB327D8951A1}" name="Rutas activas" dataDxfId="310"/>
    <tableColumn id="30" xr3:uid="{E7D05AC3-9FAA-42BF-AE6E-A13ED61C93C9}" name="Rutas con brecha de cobertura" dataDxfId="309"/>
    <tableColumn id="31" xr3:uid="{424ED8FE-39F3-4FEE-A016-297DF2D4BDE1}" name="Ctes. programados" dataDxfId="308"/>
    <tableColumn id="32" xr3:uid="{9EF08EC8-300B-4C18-88B6-89E0D9298849}" name="Ctes. con compra" dataDxfId="307"/>
    <tableColumn id="33" xr3:uid="{033F0044-097B-4F01-97DF-8120F4720400}" name="Cobertura actual" dataDxfId="306"/>
    <tableColumn id="34" xr3:uid="{8A8DE5D6-B9D9-44EF-826B-0EE9EFBD4142}" name="Benchmark p75 del CeDi" dataDxfId="305"/>
    <tableColumn id="35" xr3:uid="{512E5683-EACF-42E9-BF18-1D5DE7003ED9}" name="Ctes. increm. (100%)" dataDxfId="304"/>
    <tableColumn id="36" xr3:uid="{ED07C35C-1F98-4BFA-823D-FA9E2877929C}" name="Ctes. increm. (escenario)" dataDxfId="303"/>
    <tableColumn id="37" xr3:uid="{6DAAE893-744E-421D-85EE-0E9DCC13D9BC}" name="Cobertura objetivo (escenario)" dataDxfId="302"/>
    <tableColumn id="38" xr3:uid="{8C5BCE26-049E-446C-8DD9-ABDE6045CBC9}" name="Ingreso actual (periodo)" dataDxfId="301"/>
    <tableColumn id="39" xr3:uid="{D81F8002-7871-4BE5-A310-EB43EE487C9D}" name="Ingreso increm. cobertura (periodo)" dataDxfId="300"/>
    <tableColumn id="40" xr3:uid="{85970901-4475-4A13-80F7-08241083C5B3}" name="Uplift cobertura %" dataDxfId="299"/>
    <tableColumn id="41" xr3:uid="{05519D36-14D5-4DC2-9CA1-F3ED03A23690}" name="Anualizado cobertura" dataDxfId="298"/>
    <tableColumn id="42" xr3:uid="{7C6172D3-772A-49F2-B0E4-ED57B982A797}" name="% del potencial del canal" dataDxfId="297"/>
    <tableColumn id="43" xr3:uid="{0A05316C-EEB0-47E4-A148-B0FB64B804EB}" name="Ranking por potencial" dataDxfId="296"/>
    <tableColumn id="44" xr3:uid="{B5A083CB-D668-4ED6-8EBC-8128D4B15862}" name="Rutas con brecha de ticket" dataDxfId="295"/>
    <tableColumn id="45" xr3:uid="{61601C3F-C589-4F6E-9ED3-A8E75DD305A2}" name="Anualizado ticket" dataDxfId="294"/>
    <tableColumn id="46" xr3:uid="{23054396-915F-47CD-BA92-851F101F8A2D}" name="Anualizado ambas palancas" dataDxfId="293"/>
    <tableColumn id="47" xr3:uid="{C3D3F9C8-96B5-487E-ACD3-FF54DC58BE50}" name="Rutas evaluadas" dataDxfId="292"/>
    <tableColumn id="48" xr3:uid="{F36DB331-6404-4474-8F3E-E4659473C300}" name="Rutas saturadas (rojo)" dataDxfId="291"/>
    <tableColumn id="49" xr3:uid="{1C4F0D75-A2F8-4EFD-A2DD-8516BAC25160}" name="Rutas cerca del tope (amarillo)" dataDxfId="290"/>
    <tableColumn id="50" xr3:uid="{2AFFA262-6943-4AB2-A0A6-271370F24C8C}" name="Rutas con espacio (verde)" dataDxfId="289"/>
    <tableColumn id="51" xr3:uid="{01E3B804-043B-40F7-A0BC-B77563CB2473}" name="% rutas saturadas" dataDxfId="288"/>
    <tableColumn id="52" xr3:uid="{7F9A560D-855D-4FD2-9686-3A9C0CBB8476}" name="Capacidad adicional (clientes)" dataDxfId="287"/>
    <tableColumn id="53" xr3:uid="{E2D5DCF8-C6ED-4549-BAE3-5835D6C6F74E}" name="Clientes atiende/día (prom.)" dataDxfId="286"/>
    <tableColumn id="54" xr3:uid="{5322DCE2-384B-451C-89BB-BBF0467A6DF3}" name="Efectividad de compra (prom.)" dataDxfId="285"/>
    <tableColumn id="55" xr3:uid="{39663765-7FDF-4631-91F4-D70754C72865}" name="Volumen CU/día (prom.)" dataDxfId="284"/>
    <tableColumn id="56" xr3:uid="{6600A7C5-1D82-4A11-ABB5-E7B49BDB2E14}" name="CeDi en archivo de potencial" dataDxfId="283"/>
    <tableColumn id="57" xr3:uid="{935598CD-3F89-4AF0-BF19-07D615802F66}" name="Venta 2026 anualizada (k MXN)" dataDxfId="282">
      <calculatedColumnFormula>IFERROR(_xlfn.XLOOKUP([2]!BaseMaestraCeDi[[#This Row],[CeDi]], '[2]Potencial Hor x CeDi'!$B$6:$BU$6, '[2]Potencial Hor x CeDi'!$B$21:$BU$21) / 1000, "")</calculatedColumnFormula>
    </tableColumn>
    <tableColumn id="58" xr3:uid="{37F5A00E-D5DF-4251-A546-FB155E95D2DE}" name="CU 2026 anualizada (k CU)" dataDxfId="281">
      <calculatedColumnFormula>IFERROR(_xlfn.XLOOKUP([2]!BaseMaestraCeDi[[#This Row],[CeDi]], '[2]Potencial Hor x CeDi'!$B$6:$BU$6, '[2]Potencial Hor x CeDi'!$B$22:$BU$22) / 1000, "")</calculatedColumnFormula>
    </tableColumn>
    <tableColumn id="59" xr3:uid="{4C1F87AE-8F8F-44D7-BA47-E8038D383F6E}" name="Ratio venta 2026 an. / venta neta 2025" dataDxfId="280">
      <calculatedColumnFormula>IFERROR(IF([2]!BaseMaestraCeDi[[#This Row],[Venta Neta (k MXN)]]&gt;0, [2]!BaseMaestraCeDi[[#This Row],[Venta 2026 anualizada (k MXN)]]/[2]!BaseMaestraCeDi[[#This Row],[Venta Neta (k MXN)]], "Por confirmar"), "")</calculatedColumnFormula>
    </tableColumn>
    <tableColumn id="60" xr3:uid="{0B207E8A-91CB-40FA-A97D-7519CAC50BDA}" name="Comparabilidad entre periodos" dataDxfId="279">
      <calculatedColumnFormula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calculatedColumnFormula>
    </tableColumn>
    <tableColumn id="61" xr3:uid="{935F1B9E-5647-4B2B-8CC0-0DF53CC114F8}" name="Manzanas" dataDxfId="278" dataCellStyle="Comma">
      <calculatedColumnFormula>IFERROR(INDEX('[2]Potencial Hor SocioDem x CeDi'!$C$2:$AF$81, MATCH($C5,'[2]Potencial Hor SocioDem x CeDi'!$B$2:$B$81,0), MATCH(BI$4,'[2]Potencial Hor SocioDem x CeDi'!$C$1:$AF$1,0)), "")</calculatedColumnFormula>
    </tableColumn>
    <tableColumn id="62" xr3:uid="{925AB236-C71E-435C-85D8-F8237BA58E32}" name="Población" dataDxfId="277" dataCellStyle="Comma">
      <calculatedColumnFormula>IFERROR(INDEX('[2]Potencial Hor SocioDem x CeDi'!$C$2:$AF$81, MATCH($C5,'[2]Potencial Hor SocioDem x CeDi'!$B$2:$B$81,0), MATCH(BJ$4,'[2]Potencial Hor SocioDem x CeDi'!$C$1:$AF$1,0)), "")</calculatedColumnFormula>
    </tableColumn>
    <tableColumn id="63" xr3:uid="{DEF24BE2-1D6E-4C41-9E04-D8DDBF458E7C}" name="Hogares" dataDxfId="276" dataCellStyle="Comma">
      <calculatedColumnFormula>IFERROR(INDEX('[2]Potencial Hor SocioDem x CeDi'!$C$2:$AF$81, MATCH($C5,'[2]Potencial Hor SocioDem x CeDi'!$B$2:$B$81,0), MATCH(BK$4,'[2]Potencial Hor SocioDem x CeDi'!$C$1:$AF$1,0)), "")</calculatedColumnFormula>
    </tableColumn>
    <tableColumn id="64" xr3:uid="{C0BB4898-DB79-4D71-B2E0-56DAE593B2FD}" name="Personas por hogar" dataDxfId="275" dataCellStyle="Comma">
      <calculatedColumnFormula>IFERROR(INDEX('[2]Potencial Hor SocioDem x CeDi'!$C$2:$AF$81, MATCH($C5,'[2]Potencial Hor SocioDem x CeDi'!$B$2:$B$81,0), MATCH(BL$4,'[2]Potencial Hor SocioDem x CeDi'!$C$1:$AF$1,0)), "")</calculatedColumnFormula>
    </tableColumn>
    <tableColumn id="65" xr3:uid="{3A106614-E75C-4542-A899-31D9AF0890C4}" name="Hogares por manzana" dataDxfId="274" dataCellStyle="Comma">
      <calculatedColumnFormula>IFERROR(INDEX('[2]Potencial Hor SocioDem x CeDi'!$C$2:$AF$81, MATCH($C5,'[2]Potencial Hor SocioDem x CeDi'!$B$2:$B$81,0), MATCH(BM$4,'[2]Potencial Hor SocioDem x CeDi'!$C$1:$AF$1,0)), "")</calculatedColumnFormula>
    </tableColumn>
    <tableColumn id="66" xr3:uid="{74AC4D18-015B-41E2-A865-75525EA63020}" name="Hogares A/B" dataDxfId="273" dataCellStyle="Comma">
      <calculatedColumnFormula>IFERROR(INDEX('[2]Potencial Hor SocioDem x CeDi'!$C$2:$AF$81, MATCH($C5,'[2]Potencial Hor SocioDem x CeDi'!$B$2:$B$81,0), MATCH(BN$4,'[2]Potencial Hor SocioDem x CeDi'!$C$1:$AF$1,0)), "")</calculatedColumnFormula>
    </tableColumn>
    <tableColumn id="67" xr3:uid="{17E0AE86-DDE6-4958-96EE-AD3031E29C58}" name="Hogares C+" dataDxfId="272" dataCellStyle="Comma">
      <calculatedColumnFormula>IFERROR(INDEX('[2]Potencial Hor SocioDem x CeDi'!$C$2:$AF$81, MATCH($C5,'[2]Potencial Hor SocioDem x CeDi'!$B$2:$B$81,0), MATCH(BO$4,'[2]Potencial Hor SocioDem x CeDi'!$C$1:$AF$1,0)), "")</calculatedColumnFormula>
    </tableColumn>
    <tableColumn id="68" xr3:uid="{739AABB3-6CCE-4EBD-8D1C-348B928F0D19}" name="Hogares A/B + C+" dataDxfId="271" dataCellStyle="Comma">
      <calculatedColumnFormula>IFERROR(INDEX('[2]Potencial Hor SocioDem x CeDi'!$C$2:$AF$81, MATCH($C5,'[2]Potencial Hor SocioDem x CeDi'!$B$2:$B$81,0), MATCH(BP$4,'[2]Potencial Hor SocioDem x CeDi'!$C$1:$AF$1,0)), "")</calculatedColumnFormula>
    </tableColumn>
    <tableColumn id="69" xr3:uid="{18CCA30B-FD8D-4244-85E0-2A033089A475}" name="% A/B + C+" dataDxfId="270" dataCellStyle="Percent">
      <calculatedColumnFormula>IFERROR(INDEX('[2]Potencial Hor SocioDem x CeDi'!$C$2:$AF$81, MATCH($C5,'[2]Potencial Hor SocioDem x CeDi'!$B$2:$B$81,0), MATCH(BQ$4,'[2]Potencial Hor SocioDem x CeDi'!$C$1:$AF$1,0)), "")</calculatedColumnFormula>
    </tableColumn>
    <tableColumn id="70" xr3:uid="{C583AC97-5905-49B4-809D-775DA7400612}" name="% NSE A/B" dataDxfId="269" dataCellStyle="Percent">
      <calculatedColumnFormula>IFERROR(INDEX('[2]Potencial Hor SocioDem x CeDi'!$C$2:$AF$81, MATCH($C5,'[2]Potencial Hor SocioDem x CeDi'!$B$2:$B$81,0), MATCH(BR$4,'[2]Potencial Hor SocioDem x CeDi'!$C$1:$AF$1,0)), "")</calculatedColumnFormula>
    </tableColumn>
    <tableColumn id="71" xr3:uid="{5C3549AC-DE69-4192-9DD5-EE30B4A7B713}" name="% NSE C+" dataDxfId="268" dataCellStyle="Percent">
      <calculatedColumnFormula>IFERROR(INDEX('[2]Potencial Hor SocioDem x CeDi'!$C$2:$AF$81, MATCH($C5,'[2]Potencial Hor SocioDem x CeDi'!$B$2:$B$81,0), MATCH(BS$4,'[2]Potencial Hor SocioDem x CeDi'!$C$1:$AF$1,0)), "")</calculatedColumnFormula>
    </tableColumn>
    <tableColumn id="72" xr3:uid="{39F2095F-91DA-4E1F-BF02-D107B23FDFFB}" name="% NSE C" dataDxfId="267" dataCellStyle="Percent">
      <calculatedColumnFormula>IFERROR(INDEX('[2]Potencial Hor SocioDem x CeDi'!$C$2:$AF$81, MATCH($C5,'[2]Potencial Hor SocioDem x CeDi'!$B$2:$B$81,0), MATCH(BT$4,'[2]Potencial Hor SocioDem x CeDi'!$C$1:$AF$1,0)), "")</calculatedColumnFormula>
    </tableColumn>
    <tableColumn id="73" xr3:uid="{D5539441-2D1F-498F-9570-E6E66326BB45}" name="% NSE C-" dataDxfId="266" dataCellStyle="Percent">
      <calculatedColumnFormula>IFERROR(INDEX('[2]Potencial Hor SocioDem x CeDi'!$C$2:$AF$81, MATCH($C5,'[2]Potencial Hor SocioDem x CeDi'!$B$2:$B$81,0), MATCH(BU$4,'[2]Potencial Hor SocioDem x CeDi'!$C$1:$AF$1,0)), "")</calculatedColumnFormula>
    </tableColumn>
    <tableColumn id="74" xr3:uid="{905EDAEC-D146-4B3E-B730-ECA35F4CA70D}" name="% NSE D+" dataDxfId="265" dataCellStyle="Percent">
      <calculatedColumnFormula>IFERROR(INDEX('[2]Potencial Hor SocioDem x CeDi'!$C$2:$AF$81, MATCH($C5,'[2]Potencial Hor SocioDem x CeDi'!$B$2:$B$81,0), MATCH(BV$4,'[2]Potencial Hor SocioDem x CeDi'!$C$1:$AF$1,0)), "")</calculatedColumnFormula>
    </tableColumn>
    <tableColumn id="75" xr3:uid="{7E229DB5-C96D-412A-8BBE-739329BF83BC}" name="% NSE D" dataDxfId="264" dataCellStyle="Percent">
      <calculatedColumnFormula>IFERROR(INDEX('[2]Potencial Hor SocioDem x CeDi'!$C$2:$AF$81, MATCH($C5,'[2]Potencial Hor SocioDem x CeDi'!$B$2:$B$81,0), MATCH(BW$4,'[2]Potencial Hor SocioDem x CeDi'!$C$1:$AF$1,0)), "")</calculatedColumnFormula>
    </tableColumn>
    <tableColumn id="76" xr3:uid="{9EA6B795-6C98-474A-9464-D63AC0A19DBF}" name="% NSE E" dataDxfId="263" dataCellStyle="Percent">
      <calculatedColumnFormula>IFERROR(INDEX('[2]Potencial Hor SocioDem x CeDi'!$C$2:$AF$81, MATCH($C5,'[2]Potencial Hor SocioDem x CeDi'!$B$2:$B$81,0), MATCH(BX$4,'[2]Potencial Hor SocioDem x CeDi'!$C$1:$AF$1,0)), "")</calculatedColumnFormula>
    </tableColumn>
    <tableColumn id="77" xr3:uid="{9401EEDA-8419-4FD6-B4E9-4AAF9282BF93}" name="% NSE N/D" dataDxfId="262" dataCellStyle="Percent">
      <calculatedColumnFormula>IFERROR(INDEX('[2]Potencial Hor SocioDem x CeDi'!$C$2:$AF$81, MATCH($C5,'[2]Potencial Hor SocioDem x CeDi'!$B$2:$B$81,0), MATCH(BY$4,'[2]Potencial Hor SocioDem x CeDi'!$C$1:$AF$1,0)), "")</calculatedColumnFormula>
    </tableColumn>
    <tableColumn id="78" xr3:uid="{FB42ECD4-06C8-4274-9646-68A4CC7BA56B}" name="Comercio detalle / 1000 hab" dataDxfId="261" dataCellStyle="Comma">
      <calculatedColumnFormula>IFERROR(INDEX('[2]Potencial Hor SocioDem x CeDi'!$C$2:$AF$81, MATCH($C5,'[2]Potencial Hor SocioDem x CeDi'!$B$2:$B$81,0), MATCH(BZ$4,'[2]Potencial Hor SocioDem x CeDi'!$C$1:$AF$1,0)), "")</calculatedColumnFormula>
    </tableColumn>
    <tableColumn id="79" xr3:uid="{1D69357E-68C7-496D-AE26-4042D4F8FDCB}" name="Comercio proximidad / 1000 hab" dataDxfId="260" dataCellStyle="Comma">
      <calculatedColumnFormula>IFERROR(INDEX('[2]Potencial Hor SocioDem x CeDi'!$C$2:$AF$81, MATCH($C5,'[2]Potencial Hor SocioDem x CeDi'!$B$2:$B$81,0), MATCH(CA$4,'[2]Potencial Hor SocioDem x CeDi'!$C$1:$AF$1,0)), "")</calculatedColumnFormula>
    </tableColumn>
    <tableColumn id="80" xr3:uid="{A1572211-75A6-4337-A377-3AD784E11D18}" name="Clientes" dataDxfId="259" dataCellStyle="Comma">
      <calculatedColumnFormula>IFERROR(INDEX('[2]Potencial Hor SocioDem x CeDi'!$C$2:$AF$81, MATCH($C5,'[2]Potencial Hor SocioDem x CeDi'!$B$2:$B$81,0), MATCH(CB$4,'[2]Potencial Hor SocioDem x CeDi'!$C$1:$AF$1,0)), "")</calculatedColumnFormula>
    </tableColumn>
    <tableColumn id="81" xr3:uid="{7363EBB5-FD68-43A1-84AC-0F9688851519}" name="Clientes A/B + C+" dataDxfId="258" dataCellStyle="Comma">
      <calculatedColumnFormula>IFERROR(INDEX('[2]Potencial Hor SocioDem x CeDi'!$C$2:$AF$81, MATCH($C5,'[2]Potencial Hor SocioDem x CeDi'!$B$2:$B$81,0), MATCH(CC$4,'[2]Potencial Hor SocioDem x CeDi'!$C$1:$AF$1,0)), "")</calculatedColumnFormula>
    </tableColumn>
    <tableColumn id="82" xr3:uid="{6CC1F540-50A9-45F6-8714-BE69154A3A51}" name="Cobertura A/B + C+" dataDxfId="257" dataCellStyle="Percent">
      <calculatedColumnFormula>IFERROR(INDEX('[2]Potencial Hor SocioDem x CeDi'!$C$2:$AF$81, MATCH($C5,'[2]Potencial Hor SocioDem x CeDi'!$B$2:$B$81,0), MATCH(CD$4,'[2]Potencial Hor SocioDem x CeDi'!$C$1:$AF$1,0)), "")</calculatedColumnFormula>
    </tableColumn>
    <tableColumn id="83" xr3:uid="{AD5F400A-6D52-4F40-A903-B90F96052D00}" name="CU hoy · zona con ruta" dataDxfId="256" dataCellStyle="Comma">
      <calculatedColumnFormula>IFERROR(_xlfn.XLOOKUP([2]!BaseMaestraCeDi[[#This Row],[CeDi]], '[2]Potencial Hor x CeDi'!$B$6:$BU$6, '[2]Potencial Hor x CeDi'!$B$50:$BU$50), "")</calculatedColumnFormula>
    </tableColumn>
    <tableColumn id="84" xr3:uid="{3A4974B7-C6A9-4DE1-8622-227ED7762964}" name="   CU x cliente ACTUALES · hoy" dataDxfId="255">
      <calculatedColumnFormula>IFERROR(_xlfn.XLOOKUP([2]!BaseMaestraCeDi[[#This Row],[CeDi]], '[2]Potencial Hor x CeDi'!$B$6:$BU$6, '[2]Potencial Hor x CeDi'!$B$34:$BU$34), "")</calculatedColumnFormula>
    </tableColumn>
    <tableColumn id="85" xr3:uid="{44148277-7751-4F43-B5C6-E0ABE745C802}" name="Venta actual" dataDxfId="254">
      <calculatedColumnFormula>IFERROR(_xlfn.XLOOKUP([2]!BaseMaestraCeDi[[#This Row],[CeDi]], '[2]Potencial Hor x CeDi'!$B$6:$BU$6, '[2]Potencial Hor x CeDi'!$B$64:$BU$64), "")</calculatedColumnFormula>
    </tableColumn>
    <tableColumn id="86" xr3:uid="{AA8100D1-57C4-4FF9-8831-6ED461934F44}" name="Clientes NUEVOS · dentro de zona con ruta" dataDxfId="253">
      <calculatedColumnFormula>IFERROR(_xlfn.XLOOKUP([2]!BaseMaestraCeDi[[#This Row],[CeDi]], '[2]Potencial Hor x CeDi'!$B$6:$BU$6, '[2]Potencial Hor x CeDi'!$B$38:$BU$38), "")</calculatedColumnFormula>
    </tableColumn>
    <tableColumn id="87" xr3:uid="{74ABB59D-9F06-428A-9D24-A45C963EF8C8}" name="Hogares A/B + C+ atendidos · META" dataDxfId="252">
      <calculatedColumnFormula>IFERROR(_xlfn.XLOOKUP([2]!BaseMaestraCeDi[[#This Row],[CeDi]], '[2]Potencial Hor x CeDi'!$B$6:$BU$6, '[2]Potencial Hor x CeDi'!$B$26:$BU$26), "")</calculatedColumnFormula>
    </tableColumn>
    <tableColumn id="88" xr3:uid="{90BF486D-C54A-418F-977E-BE15148847E6}" name="Crecimiento de hogares A/B + C+ atendidos" dataDxfId="251" dataCellStyle="Percent">
      <calculatedColumnFormula>IFERROR(_xlfn.XLOOKUP([2]!BaseMaestraCeDi[[#This Row],[CeDi]], '[2]Potencial Hor x CeDi'!$B$6:$BU$6, '[2]Potencial Hor x CeDi'!$B$27:$BU$27), "")</calculatedColumnFormula>
    </tableColumn>
    <tableColumn id="89" xr3:uid="{00557EC7-8293-49A4-9E94-632F3F1F9347}" name="Hogares atendidos · META  (todos los NSE)" dataDxfId="250">
      <calculatedColumnFormula>IFERROR(_xlfn.XLOOKUP([2]!BaseMaestraCeDi[[#This Row],[CeDi]], '[2]Potencial Hor x CeDi'!$B$6:$BU$6, '[2]Potencial Hor x CeDi'!$B$28:$BU$28), "")</calculatedColumnFormula>
    </tableColumn>
    <tableColumn id="90" xr3:uid="{FF297D04-D2E4-486F-BA04-0B7A55E9726E}" name="Crecimiento de hogares atendidos  (todos los NSE)" dataDxfId="249" dataCellStyle="Percent">
      <calculatedColumnFormula>IFERROR(_xlfn.XLOOKUP([2]!BaseMaestraCeDi[[#This Row],[CeDi]], '[2]Potencial Hor x CeDi'!$B$6:$BU$6, '[2]Potencial Hor x CeDi'!$B$29:$BU$29), "")</calculatedColumnFormula>
    </tableColumn>
    <tableColumn id="91" xr3:uid="{9493E61F-B2F9-4859-9986-B967DB42F9A3}" name="   CU x cliente NUEVOS dentro · caso P25" dataDxfId="248" dataCellStyle="Comma">
      <calculatedColumnFormula>IFERROR(_xlfn.XLOOKUP([2]!BaseMaestraCeDi[[#This Row],[CeDi]], '[2]Potencial Hor x CeDi'!$B$6:$BU$6, '[2]Potencial Hor x CeDi'!$B$39:$BU$39), "")</calculatedColumnFormula>
    </tableColumn>
    <tableColumn id="92" xr3:uid="{4033DE36-731F-47FB-80FB-314F8235F5C7}" name="CU x cliente · PROMEDIO caso P25" dataDxfId="247" dataCellStyle="Comma">
      <calculatedColumnFormula>IFERROR(_xlfn.XLOOKUP([2]!BaseMaestraCeDi[[#This Row],[CeDi]], '[2]Potencial Hor x CeDi'!$B$6:$BU$6, '[2]Potencial Hor x CeDi'!$B$43:$BU$43), "")</calculatedColumnFormula>
    </tableColumn>
    <tableColumn id="93" xr3:uid="{CE6CC475-8D7C-4AA6-AE35-F523360EC200}" name="Δ CU x cliente · PROMEDIO caso P25" dataDxfId="246" dataCellStyle="Comma">
      <calculatedColumnFormula>IFERROR(_xlfn.XLOOKUP([2]!BaseMaestraCeDi[[#This Row],[CeDi]], '[2]Potencial Hor x CeDi'!$B$6:$BU$6, '[2]Potencial Hor x CeDi'!$B$46:$BU$46), "")</calculatedColumnFormula>
    </tableColumn>
    <tableColumn id="94" xr3:uid="{43B6DC40-039C-4DD6-A11E-ACD5E50BF484}" name="(+) CU de clientes actuales · caso P25" dataDxfId="245" dataCellStyle="Comma">
      <calculatedColumnFormula>IFERROR(_xlfn.XLOOKUP([2]!BaseMaestraCeDi[[#This Row],[CeDi]], '[2]Potencial Hor x CeDi'!$B$6:$BU$6, '[2]Potencial Hor x CeDi'!$B$51:$BU$51), "")</calculatedColumnFormula>
    </tableColumn>
    <tableColumn id="95" xr3:uid="{6110FE6C-9BF3-4C9A-A430-D11EDE521955}" name="(+) CU de clientes nuevos · caso P25" dataDxfId="244" dataCellStyle="Comma">
      <calculatedColumnFormula>IFERROR(_xlfn.XLOOKUP([2]!BaseMaestraCeDi[[#This Row],[CeDi]], '[2]Potencial Hor x CeDi'!$B$6:$BU$6, '[2]Potencial Hor x CeDi'!$B$52:$BU$52), "")</calculatedColumnFormula>
    </tableColumn>
    <tableColumn id="96" xr3:uid="{F3C7A5BC-124B-4B2D-B8CD-712A6E7B063A}" name=" = CU · caso P25" dataDxfId="243" dataCellStyle="Comma">
      <calculatedColumnFormula>IFERROR(_xlfn.XLOOKUP([2]!BaseMaestraCeDi[[#This Row],[CeDi]], '[2]Potencial Hor x CeDi'!$B$6:$BU$6, '[2]Potencial Hor x CeDi'!$B$53:$BU$53), "")</calculatedColumnFormula>
    </tableColumn>
    <tableColumn id="97" xr3:uid="{345FE035-4E4F-406B-94C0-8B2B72B0BB11}" name="% crecimiento en CU · caso P25" dataDxfId="242" dataCellStyle="Percent">
      <calculatedColumnFormula>IFERROR(_xlfn.XLOOKUP([2]!BaseMaestraCeDi[[#This Row],[CeDi]], '[2]Potencial Hor x CeDi'!$B$6:$BU$6, '[2]Potencial Hor x CeDi'!$B$60:$BU$60), "")</calculatedColumnFormula>
    </tableColumn>
    <tableColumn id="98" xr3:uid="{66EC7FCC-6414-40B4-86B9-BFB0E39BC91A}" name="(+) Caso P25 · zona con ruta" dataDxfId="241">
      <calculatedColumnFormula>IFERROR(_xlfn.XLOOKUP([2]!BaseMaestraCeDi[[#This Row],[CeDi]], '[2]Potencial Hor x CeDi'!$B$6:$BU$6, '[2]Potencial Hor x CeDi'!$B$65:$BU$65), "")</calculatedColumnFormula>
    </tableColumn>
    <tableColumn id="99" xr3:uid="{71605FDA-651E-425E-9FC6-3F3548F80A75}" name=" = VENTA · caso P25" dataDxfId="240">
      <calculatedColumnFormula>IFERROR(_xlfn.XLOOKUP([2]!BaseMaestraCeDi[[#This Row],[CeDi]], '[2]Potencial Hor x CeDi'!$B$6:$BU$6, '[2]Potencial Hor x CeDi'!$B$68:$BU$68), "")</calculatedColumnFormula>
    </tableColumn>
    <tableColumn id="100" xr3:uid="{8E195C2F-FE91-44B7-80AC-5D051BBB5D1D}" name="% crecimiento · caso P25" dataDxfId="239" dataCellStyle="Percent">
      <calculatedColumnFormula>IFERROR(_xlfn.XLOOKUP([2]!BaseMaestraCeDi[[#This Row],[CeDi]], '[2]Potencial Hor x CeDi'!$B$6:$BU$6, '[2]Potencial Hor x CeDi'!$B$71:$BU$71), 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F53D80-5F8F-45A9-881C-BE36DD574401}" name="Table163" displayName="Table163" ref="A7:BW796" totalsRowShown="0" headerRowDxfId="238" dataDxfId="236" headerRowBorderDxfId="237" tableBorderDxfId="235" totalsRowBorderDxfId="234">
  <tableColumns count="75">
    <tableColumn id="1" xr3:uid="{31A9E6A8-DDB8-47C5-9BF7-596B99368EA4}" name="Región" dataDxfId="233">
      <calculatedColumnFormula>'Base de datos Rutas'!A6</calculatedColumnFormula>
    </tableColumn>
    <tableColumn id="2" xr3:uid="{9840FB34-C3EB-4C8B-B9EF-B722F9C91209}" name="Territorio EERR" dataDxfId="232">
      <calculatedColumnFormula>'Base de datos Rutas'!B6</calculatedColumnFormula>
    </tableColumn>
    <tableColumn id="3" xr3:uid="{1DB83E8D-67A9-43F1-BBEE-26DEAD575DB7}" name="CeDi" dataDxfId="231">
      <calculatedColumnFormula>'Base de datos Rutas'!C6</calculatedColumnFormula>
    </tableColumn>
    <tableColumn id="4" xr3:uid="{E3DDB3FC-D3DD-41EC-B3C5-D9B057C672E0}" name="Ruta" dataDxfId="230">
      <calculatedColumnFormula>IF(ISNUMBER('Base de datos Rutas'!D6),'Base de datos Rutas'!D6,"Sin código")</calculatedColumnFormula>
    </tableColumn>
    <tableColumn id="5" xr3:uid="{BE622B16-FE2F-4F0F-96B6-22724C4B5A37}" name="Estatus" dataDxfId="229">
      <calculatedColumnFormula>'Base de datos Rutas'!F6</calculatedColumnFormula>
    </tableColumn>
    <tableColumn id="6" xr3:uid="{B94B5D26-847B-4646-AC9B-847218224E6C}" name="Elegible p/ estándar" dataDxfId="228">
      <calculatedColumnFormula>'Base de datos Rutas'!H6</calculatedColumnFormula>
    </tableColumn>
    <tableColumn id="7" xr3:uid="{B2446546-3D50-4D3C-B1B0-FCD8BCC5805B}" name="Clientes/día" dataDxfId="227">
      <calculatedColumnFormula>IF(ISNUMBER('Base de datos Rutas'!BE6),'Base de datos Rutas'!BE6,"")</calculatedColumnFormula>
    </tableColumn>
    <tableColumn id="8" xr3:uid="{7DA06F4E-ED52-44F5-84E9-914ECF61F059}" name="Efectividad de compra" dataDxfId="226">
      <calculatedColumnFormula>IF(ISNUMBER('Base de datos Rutas'!BH6),'Base de datos Rutas'!BH6,"")</calculatedColumnFormula>
    </tableColumn>
    <tableColumn id="75" xr3:uid="{F221448F-372F-41C7-A74E-27CC44F0B709}" name="Ingreso OP/día" dataDxfId="225">
      <calculatedColumnFormula>IFERROR(IF(OR(NOT(ISNUMBER('Base de datos Rutas'!O6)),N(#REF!)=0),"",'Base de datos Rutas'!O6/('Base de datos Rutas'!L6/#REF!)),"")</calculatedColumnFormula>
    </tableColumn>
    <tableColumn id="74" xr3:uid="{C3A9A075-1883-4FE4-8DE6-946D69E06CF0}" name="Ingreso GFN/día" dataDxfId="224">
      <calculatedColumnFormula>IFERROR(IF(OR(NOT(ISNUMBER('Base de datos Rutas'!N6)),N(#REF!)=0),"",'Base de datos Rutas'!N6/('Base de datos Rutas'!L6/#REF!)),"")</calculatedColumnFormula>
    </tableColumn>
    <tableColumn id="73" xr3:uid="{DF696C34-7DC3-4E09-8056-FCA0D3AC2FF0}" name="#CU GFN/día" dataDxfId="223">
      <calculatedColumnFormula>IFERROR(IF(OR(NOT(ISNUMBER('Base de datos Rutas'!J6)),N(#REF!)=0),"",'Base de datos Rutas'!J6/('Base de datos Rutas'!L6/#REF!)),"")</calculatedColumnFormula>
    </tableColumn>
    <tableColumn id="61" xr3:uid="{03A4812C-87D3-4D70-A3A1-10458C32485D}" name="#CU OP/día" dataDxfId="222">
      <calculatedColumnFormula>IFERROR(IF(OR(NOT(ISNUMBER('Base de datos Rutas'!K6)),N(#REF!)=0),"",'Base de datos Rutas'!K6/('Base de datos Rutas'!L6/#REF!)),"")</calculatedColumnFormula>
    </tableColumn>
    <tableColumn id="12" xr3:uid="{EC9D71D3-CD06-42D7-AD97-9452DECF819D}" name="Ticket x cliente" dataDxfId="221">
      <calculatedColumnFormula>IF(ISNUMBER('Base de datos Rutas'!AX6),'Base de datos Rutas'!AX6,"")</calculatedColumnFormula>
    </tableColumn>
    <tableColumn id="14" xr3:uid="{BD085D78-BEDB-458D-8EF5-C70D92A066E2}" name="Est. Clientes/día" dataDxfId="220">
      <calculatedColumnFormula>IFERROR(INDEX(#REF!,MATCH($A8,#REF!,0)),"")</calculatedColumnFormula>
    </tableColumn>
    <tableColumn id="15" xr3:uid="{B9E35B36-2D05-4195-9199-CCC954621C31}" name="Est. Efectividad" dataDxfId="219">
      <calculatedColumnFormula>IFERROR(INDEX(#REF!,MATCH($A8,#REF!,0)),"")</calculatedColumnFormula>
    </tableColumn>
    <tableColumn id="79" xr3:uid="{064CF538-1428-4386-A527-6B45A535C82D}" name="Est. Ingreso OP/día" dataDxfId="218">
      <calculatedColumnFormula>IFERROR(INDEX('Hoja de apoyo v2'!K$17:K$20,MATCH($A8,'Hoja de apoyo v2'!$A$17:$A$20,0)),"")</calculatedColumnFormula>
    </tableColumn>
    <tableColumn id="78" xr3:uid="{EC5BB4AD-2BBC-4C87-8AFE-DEB5979FBEC1}" name="Est. Ingreso GFN/día" dataDxfId="217">
      <calculatedColumnFormula>IFERROR(INDEX('Hoja de apoyo v2'!L$17:L$20,MATCH($A8,'Hoja de apoyo v2'!$A$17:$A$20,0)),"")</calculatedColumnFormula>
    </tableColumn>
    <tableColumn id="77" xr3:uid="{8FF33BD1-40D0-433D-BDD9-C3F7C5044498}" name="Est. #CU GFN/día" dataDxfId="216">
      <calculatedColumnFormula>IFERROR(INDEX('Hoja de apoyo v2'!M$17:M$20,MATCH($A8,'Hoja de apoyo v2'!$A$17:$A$20,0)),"")</calculatedColumnFormula>
    </tableColumn>
    <tableColumn id="76" xr3:uid="{34678384-B0A8-40DD-B197-9C7AA6BF5577}" name="Est. #CU OP/día" dataDxfId="215">
      <calculatedColumnFormula>IFERROR(INDEX('Hoja de apoyo v2'!N$17:N$20,MATCH($A8,'Hoja de apoyo v2'!$A$17:$A$20,0)),"")</calculatedColumnFormula>
    </tableColumn>
    <tableColumn id="19" xr3:uid="{1BDA0902-F561-4764-9671-D9DFB37A0532}" name="Est. Ticket" dataDxfId="214">
      <calculatedColumnFormula>IFERROR(INDEX(#REF!,MATCH($A8,#REF!,0)),"")</calculatedColumnFormula>
    </tableColumn>
    <tableColumn id="21" xr3:uid="{B1A09064-9C68-4481-9919-871717E6685C}" name="Cumpl. Clientes/día" dataDxfId="213">
      <calculatedColumnFormula>IFERROR(G8/N8,"")</calculatedColumnFormula>
    </tableColumn>
    <tableColumn id="22" xr3:uid="{F19E7FAA-F022-4E7F-BC1E-BADA29ACD8AD}" name="Cumpl. Efectividad" dataDxfId="212">
      <calculatedColumnFormula>IFERROR(H8/O8,"")</calculatedColumnFormula>
    </tableColumn>
    <tableColumn id="26" xr3:uid="{68F017BE-A212-4ADA-AF96-23E20BF45BA8}" name="Cumpl. Ingreso OP/día" dataDxfId="211">
      <calculatedColumnFormula>IFERROR(M8/T8,"")</calculatedColumnFormula>
    </tableColumn>
    <tableColumn id="89" xr3:uid="{E7E381CB-1B7E-407B-84AD-CED3CF6B57B8}" name="Cumpl. Ingreso GFN/día" dataDxfId="210">
      <calculatedColumnFormula>IFERROR(IF(N(P8)=0,"",I8/P8),"")</calculatedColumnFormula>
    </tableColumn>
    <tableColumn id="90" xr3:uid="{116584CD-03C3-4D03-9FB2-3DB8571B3098}" name="Cumpl. #CU GFN/día" dataDxfId="209">
      <calculatedColumnFormula>IFERROR(IF(N(Q8)=0,"",J8/Q8),"")</calculatedColumnFormula>
    </tableColumn>
    <tableColumn id="91" xr3:uid="{F3896589-D70F-479C-92E7-438593E6910E}" name="Cumpl. #CU OP/día" dataDxfId="208">
      <calculatedColumnFormula>IFERROR(IF(N(R8)=0,"",K8/R8),"")</calculatedColumnFormula>
    </tableColumn>
    <tableColumn id="92" xr3:uid="{89FD7CAC-3E22-4BC1-9786-F27AE1EAE99C}" name="Cumpl. Ticket" dataDxfId="207">
      <calculatedColumnFormula>IFERROR(IF(N(S8)=0,"",L8/S8),"")</calculatedColumnFormula>
    </tableColumn>
    <tableColumn id="28" xr3:uid="{A9973372-4F18-4B84-8176-8CFE08890D7B}" name="Sc. Clientes/día" dataDxfId="206">
      <calculatedColumnFormula>IF(NOT(ISNUMBER(U8)),0,IFERROR(MATCH(U8,$U$3:$V$3,1)+1,1))</calculatedColumnFormula>
    </tableColumn>
    <tableColumn id="29" xr3:uid="{6FF7D39F-6F9E-4C72-8CF5-C0FA02357A01}" name="Sc. Efectividad" dataDxfId="205">
      <calculatedColumnFormula>IF(NOT(ISNUMBER(V8)),0,IFERROR(MATCH(V8,$U$3:$V$3,1)+1,1))</calculatedColumnFormula>
    </tableColumn>
    <tableColumn id="33" xr3:uid="{97F3A7CB-026B-4DE3-BE35-32305ECC32D7}" name="Sc. Ingreso OP/día" dataDxfId="204">
      <calculatedColumnFormula>IF(NOT(ISNUMBER(W8)),0,IFERROR(MATCH(W8,$U$3:$V$3,1)+1,1))</calculatedColumnFormula>
    </tableColumn>
    <tableColumn id="80" xr3:uid="{E378CED9-5CC0-44F6-B34D-BA7C5057AA53}" name="Sc. Ingreso GFN/día" dataDxfId="203">
      <calculatedColumnFormula>IF(NOT(ISNUMBER(X8)),0,IFERROR(MATCH(X8,$U$3:$V$3,1)+1,1))</calculatedColumnFormula>
    </tableColumn>
    <tableColumn id="86" xr3:uid="{1010EA1D-B079-49E1-A5C7-3079F5C6FB05}" name="Sc. #CU GFN/día" dataDxfId="202">
      <calculatedColumnFormula>IF(NOT(ISNUMBER(Y8)),0,IFERROR(MATCH(Y8,$U$3:$V$3,1)+1,1))</calculatedColumnFormula>
    </tableColumn>
    <tableColumn id="87" xr3:uid="{0E3E71FD-CEFC-419B-AE3F-37C9B5A98C86}" name="Sc. #CU OP/día" dataDxfId="201">
      <calculatedColumnFormula>IF(NOT(ISNUMBER(Z8)),0,IFERROR(MATCH(Z8,$U$3:$V$3,1)+1,1))</calculatedColumnFormula>
    </tableColumn>
    <tableColumn id="88" xr3:uid="{008F8189-1F04-4424-A8D1-361E4201F1B0}" name="Sc. Ticket" dataDxfId="200">
      <calculatedColumnFormula>IF(NOT(ISNUMBER(AA8)),0,IFERROR(MATCH(AA8,$U$3:$V$3,1)+1,1))</calculatedColumnFormula>
    </tableColumn>
    <tableColumn id="35" xr3:uid="{4A3B4FB0-4B57-4720-8651-033F41D2C5AF}" name="Cobertura de datos" dataDxfId="199">
      <calculatedColumnFormula array="1">SUMPRODUCT(--ISNUMBER($U8:$AA8),$AB$3:$AH$3)</calculatedColumnFormula>
    </tableColumn>
    <tableColumn id="36" xr3:uid="{D973E746-EEEE-40A5-84C0-936779AC94A1}" name="Índice de Ejecución (0-100)" dataDxfId="198">
      <calculatedColumnFormula>IF(OR($E8&lt;&gt;"Activa",$F8&lt;&gt;"Sí",AI8&lt;$AI$4),"",(SUMPRODUCT($AB8:$AH8,$AB$3:$AH$3)/AI8-1)/4*100)</calculatedColumnFormula>
    </tableColumn>
    <tableColumn id="37" xr3:uid="{820735AE-ABF3-439F-B55A-CE4795422C09}" name="Clasificación de madurez" dataDxfId="197">
      <calculatedColumnFormula>IF($E8&lt;&gt;"Activa","Ruta inactiva",IF($F8&lt;&gt;"Sí","No elegible",IF(AJ8="","Sin datos",IF(AJ8&gt;=$AJ$4,"Madura",IF(AJ8&lt;$AK$4,"Inmadura","En desarrollo")))))</calculatedColumnFormula>
    </tableColumn>
    <tableColumn id="38" xr3:uid="{99A462A3-62B9-4DBB-8CA2-3971E50C4832}" name="Confiabilidad del dato" dataDxfId="196">
      <calculatedColumnFormula>IF(AJ8="","n/a",IF(AI8&gt;=$AL$3,"Alta",IF(AI8&gt;=$AL$4,"Media","Baja")))</calculatedColumnFormula>
    </tableColumn>
    <tableColumn id="39" xr3:uid="{0871FD40-226F-4403-986F-DCBB855E8E88}" name="Venta Neta de la ruta" dataDxfId="195">
      <calculatedColumnFormula>IF(ISNUMBER('Base de datos Rutas'!W6),'Base de datos Rutas'!W6,"")</calculatedColumnFormula>
    </tableColumn>
    <tableColumn id="40" xr3:uid="{AFD5D8B8-E14E-4D50-97FC-A26EC8DDB6CB}" name="Ingreso prom. x ruta del CeDi" dataDxfId="194">
      <calculatedColumnFormula>IFERROR(SUMIFS('Base de datos Rutas'!$W$6:$W$794,'Base de datos Rutas'!$C$6:$C$794,$C8)/'Base de datos Rutas'!I6,"")</calculatedColumnFormula>
    </tableColumn>
    <tableColumn id="41" xr3:uid="{AC8D7688-ABC3-471D-BC92-B1B041F277CC}" name="%CDS asignado a la ruta" dataDxfId="193">
      <calculatedColumnFormula>IFERROR('Base de datos Rutas'!X6*AN8/AM8,"")</calculatedColumnFormula>
    </tableColumn>
    <tableColumn id="42" xr3:uid="{C2D02282-8284-41FB-A586-E2AB8C43A1C0}" name="Margen estimado" dataDxfId="192">
      <calculatedColumnFormula>IF(ISNUMBER(AO8),1-AO8,"")</calculatedColumnFormula>
    </tableColumn>
    <tableColumn id="68" xr3:uid="{A2FE3C88-EA79-4A92-9A81-6E5CBD9EDF3B}" name="Margen bench = p75 de su Región" dataDxfId="191">
      <calculatedColumnFormula>IFERROR(INDEX(#REF!,MATCH($A8,#REF!,0)),"")</calculatedColumnFormula>
    </tableColumn>
    <tableColumn id="69" xr3:uid="{7581D9F7-BDEF-4C6A-A5A0-F3D741212B6E}" name="Margen vs. bench (pp)" dataDxfId="190">
      <calculatedColumnFormula>IF(AND(ISNUMBER($AP8),ISNUMBER($AQ8)),$AP8-$AQ8,"")</calculatedColumnFormula>
    </tableColumn>
    <tableColumn id="43" xr3:uid="{8C4D7114-B66F-479E-B088-92135D8B4F83}" name="¿En riesgo?" dataDxfId="189">
      <calculatedColumnFormula>IF(NOT(ISNUMBER(AO8)),"n/d",IF(AO8&gt;=$AO$4,"Sí","No"))</calculatedColumnFormula>
    </tableColumn>
    <tableColumn id="67" xr3:uid="{9AFF6B9E-63DB-4490-AA61-14157A1C59DF}" name="Clientes actuales" dataDxfId="188">
      <calculatedColumnFormula>IF(NOT(ISNUMBER($U8)),"",IF($U8&gt;=#REF!,"Sí","No"))</calculatedColumnFormula>
    </tableColumn>
    <tableColumn id="64" xr3:uid="{FA49A69B-79FF-4819-BD90-034D0920EAE8}" name="Clientes potencial" dataDxfId="187">
      <calculatedColumnFormula>IF(ISNUMBER('Base de datos Rutas'!CL6),'Base de datos Rutas'!CL6,"")</calculatedColumnFormula>
    </tableColumn>
    <tableColumn id="81" xr3:uid="{61098FCB-5BA1-4279-AC3C-AA77469F870E}" name="Delta clientes" dataDxfId="186">
      <calculatedColumnFormula>IF(ISNUMBER('Base de datos Rutas'!CM6),'Base de datos Rutas'!CM6,"")</calculatedColumnFormula>
    </tableColumn>
    <tableColumn id="82" xr3:uid="{0743D8BC-7E0E-42D3-8DB7-C115BE4C6010}" name="Horas actuales" dataDxfId="185">
      <calculatedColumnFormula>IF(ISNUMBER('Base de datos Rutas'!CN6),'Base de datos Rutas'!CN6,"")</calculatedColumnFormula>
    </tableColumn>
    <tableColumn id="83" xr3:uid="{E5751AE5-EB0B-4BB8-9280-A4E52247552C}" name="Jornada completa" dataDxfId="184">
      <calculatedColumnFormula>IF(ISNUMBER('Base de datos Rutas'!CO6),'Base de datos Rutas'!CO6,"")</calculatedColumnFormula>
    </tableColumn>
    <tableColumn id="84" xr3:uid="{0337D194-5E99-4124-A719-45A07855577A}" name="Delta horas" dataDxfId="183">
      <calculatedColumnFormula>IF(ISNUMBER('Base de datos Rutas'!CP6),'Base de datos Rutas'!CP6,"")</calculatedColumnFormula>
    </tableColumn>
    <tableColumn id="85" xr3:uid="{C6C91B0E-79DA-477B-9AC7-89B6273E1285}" name="Capacidad instalada" dataDxfId="182">
      <calculatedColumnFormula>IF(ISNUMBER('Base de datos Rutas'!CQ6),'Base de datos Rutas'!CQ6,"")</calculatedColumnFormula>
    </tableColumn>
    <tableColumn id="66" xr3:uid="{C1B044E5-E20B-407D-ACA1-E720ED3E444B}" name="Capacidad utilizada" dataDxfId="181">
      <calculatedColumnFormula>IF(NOT(ISNUMBER($V8)),"",IF($V8&gt;=#REF!,"Sí","No"))</calculatedColumnFormula>
    </tableColumn>
    <tableColumn id="65" xr3:uid="{8D320DCE-B2C3-4B89-9936-FADC842BC01D}" name="Delta capacidad" dataDxfId="180">
      <calculatedColumnFormula>IF(NOT(ISNUMBER(#REF!)),"",IF(#REF!&gt;=#REF!,"Sí","No"))</calculatedColumnFormula>
    </tableColumn>
    <tableColumn id="44" xr3:uid="{7EA6A42F-4861-4932-BBD9-4D62A56F445B}" name="Señales sin holgura (0-3)" dataDxfId="179">
      <calculatedColumnFormula>IF(COUNT($U8:$V8)=0,"",COUNTIF($AT8:$BB8,"Sí"))</calculatedColumnFormula>
    </tableColumn>
    <tableColumn id="45" xr3:uid="{F7587CA4-FCAE-4462-83E1-AA95D99C807B}" name="Índice de Saturación" dataDxfId="178">
      <calculatedColumnFormula>IF(NOT(ISNUMBER($BC8)),"N/D",IF(OR($BC8&gt;=$BC$4,AND($BC8&gt;=$BD$4,$BE8&lt;=$BE$4)),"Rojo - Saturada",IF(OR($BC8&gt;=$BD$4,$BE8&lt;=$BE$4),"Amarillo - Cerca del tope","Verde - Con espacio")))</calculatedColumnFormula>
    </tableColumn>
    <tableColumn id="46" xr3:uid="{9DB8EC76-4093-45DE-B537-5B6B66613141}" name="% Utilización de capacidad" dataDxfId="177">
      <calculatedColumnFormula>IF(ISNUMBER('Base de datos Rutas'!BQ6),'Base de datos Rutas'!BQ6,"")</calculatedColumnFormula>
    </tableColumn>
    <tableColumn id="47" xr3:uid="{DE0D802A-73C9-4F37-80A5-127C234719C9}" name="% Hogares totales ABC+" dataDxfId="176">
      <calculatedColumnFormula>IF(ISNUMBER('Base de datos Rutas'!CX6),'Base de datos Rutas'!CX6/100,"")</calculatedColumnFormula>
    </tableColumn>
    <tableColumn id="48" xr3:uid="{4B090800-598D-4CDC-AF9D-4A7C43282227}" name="Hogares actual + potencial (%)" dataDxfId="175">
      <calculatedColumnFormula>IF(ISNUMBER('Base de datos Rutas'!CZ6),'Base de datos Rutas'!CZ6/100,"")</calculatedColumnFormula>
    </tableColumn>
    <tableColumn id="49" xr3:uid="{58B0D5B0-9DBF-469F-8E46-6CD48EE84B72}" name="Potencial Ingreso / hogar" dataDxfId="174">
      <calculatedColumnFormula>IF(ISNUMBER('Base de datos Rutas'!DA6),'Base de datos Rutas'!DA6,"")</calculatedColumnFormula>
    </tableColumn>
    <tableColumn id="50" xr3:uid="{AFF560FE-FB3C-484D-B46B-4442DE094D5F}" name="Potencial CU / hogar" dataDxfId="173">
      <calculatedColumnFormula>IF(ISNUMBER('Base de datos Rutas'!DC6),'Base de datos Rutas'!DC6,"")</calculatedColumnFormula>
    </tableColumn>
    <tableColumn id="70" xr3:uid="{D642A941-3C97-4E5E-ABFA-9C794466C208}" name="Fuente del dato de zona" dataDxfId="172">
      <calculatedColumnFormula>IF(ISNUMBER('Base de datos Rutas'!AA6),'Base de datos Rutas'!AA6,"")</calculatedColumnFormula>
    </tableColumn>
    <tableColumn id="51" xr3:uid="{8BB9BDFA-BAB6-43BF-B202-11727BAD4C70}" name="Sc. % Hogares ABC+" dataDxfId="171">
      <calculatedColumnFormula>IF(NOT(ISNUMBER($BF8)),0,MIN(5,1+INT(5*COUNTIFS($C$8:$C$796,$C8,$BF$8:$BF$796,"&lt;"&amp;$BF8)/COUNTIFS($C$8:$C$796,$C8,$BF$8:$BF$796,"&gt;=-1E+300"))))</calculatedColumnFormula>
    </tableColumn>
    <tableColumn id="52" xr3:uid="{DB068DFC-8675-44D5-958C-E9B98E639B5A}" name="Sc. Hogares act.+pot." dataDxfId="170">
      <calculatedColumnFormula>IF(NOT(ISNUMBER($BG8)),0,MIN(5,1+INT(5*COUNTIFS($C$8:$C$796,$C8,$BG$8:$BG$796,"&lt;"&amp;$BG8)/COUNTIFS($C$8:$C$796,$C8,$BG$8:$BG$796,"&gt;=-1E+300"))))</calculatedColumnFormula>
    </tableColumn>
    <tableColumn id="53" xr3:uid="{B2D391AC-9B80-42DC-8AC5-CE8B047D9655}" name="Sc. Ingreso / hogar" dataDxfId="169">
      <calculatedColumnFormula>IF(NOT(ISNUMBER($BH8)),0,MIN(5,1+INT(5*COUNTIFS($C$8:$C$796,$C8,$BH$8:$BH$796,"&lt;"&amp;$BH8)/COUNTIFS($C$8:$C$796,$C8,$BH$8:$BH$796,"&gt;=-1E+300"))))</calculatedColumnFormula>
    </tableColumn>
    <tableColumn id="54" xr3:uid="{51D56219-212F-4405-8441-1272D302B964}" name="Sc. CU / hogar" dataDxfId="168">
      <calculatedColumnFormula>IF(NOT(ISNUMBER($BI8)),0,MIN(5,1+INT(5*COUNTIFS($C$8:$C$796,$C8,$BI$8:$BI$796,"&lt;"&amp;$BI8)/COUNTIFS($C$8:$C$796,$C8,$BI$8:$BI$796,"&gt;=-1E+300"))))</calculatedColumnFormula>
    </tableColumn>
    <tableColumn id="55" xr3:uid="{1D4D1A16-8DCF-44CE-9410-0FF4EAF1A3AC}" name="Cobertura de datos de zona" dataDxfId="167">
      <calculatedColumnFormula>IF(NOT(ISNUMBER(BI8)),0,IFERROR(MATCH(BI8/INDEX(#REF!,MATCH($A8,#REF!,0)),$U$3:$V$3,1)+1,1))</calculatedColumnFormula>
    </tableColumn>
    <tableColumn id="71" xr3:uid="{5E0355D3-2F0A-45F7-81D8-3FFF7C759612}" name="Índice de Atractivo (0-100)" dataDxfId="166">
      <calculatedColumnFormula>IF(NOT(ISNUMBER(BJ8)),0,IFERROR(MATCH(BJ8/INDEX(#REF!,MATCH($A8,#REF!,0)),$U$3:$V$3,1)+1,1))</calculatedColumnFormula>
    </tableColumn>
    <tableColumn id="56" xr3:uid="{52F6C137-80E0-4BC5-8E00-856A5BDF0BA0}" name="Nivel de atractivo" dataDxfId="165">
      <calculatedColumnFormula array="1">SUMPRODUCT(--ISNUMBER($BF8:$BJ8),$BL$3:$BP$3)</calculatedColumnFormula>
    </tableColumn>
    <tableColumn id="60" xr3:uid="{A57F86F1-393E-4151-A60B-C099D72DD183}" name="Eje Y ruta - Madurez y saturación" dataDxfId="164">
      <calculatedColumnFormula>IF(OR(NOT(ISNUMBER($AJ8)),$BD8="N/D"),"",$AJ8*$BS$3+IF($BD8="Saturada",100,0)*$BU$3)</calculatedColumnFormula>
    </tableColumn>
    <tableColumn id="59" xr3:uid="{F046BABC-321C-4038-8718-6E096F7F116C}" name="Eje X ruta - Atractividad propia" dataDxfId="163">
      <calculatedColumnFormula>IF(ISNUMBER($BP8),$BP8,"")</calculatedColumnFormula>
    </tableColumn>
    <tableColumn id="58" xr3:uid="{2F74CFDD-3F08-401A-906B-DC2BCA94EBAB}" name="P homologada de la ruta" dataDxfId="162">
      <calculatedColumnFormula>IF(OR(NOT(ISNUMBER($BR8)),NOT(ISNUMBER($BS8))),"Sin datos",IF($BR8&gt;=$BS$4,IF($BS8&gt;=$BU$4,"P1","P2"),IF($BS8&gt;=$BU$4,"P3","P4")))</calculatedColumnFormula>
    </tableColumn>
    <tableColumn id="62" xr3:uid="{327D2F5C-DF5C-4EEA-AE5C-E76C55895AE1}" name="Eje: estado de la ruta" dataDxfId="161">
      <calculatedColumnFormula>IF(OR($AK8="Ruta inactiva",$AK8="No elegible",$AK8="Sin datos"),"No evaluable",IF(OR($BD8="Rojo - Saturada",$BD8="Amarillo - Cerca del tope"),"Al tope","Con espacio"))</calculatedColumnFormula>
    </tableColumn>
    <tableColumn id="63" xr3:uid="{35232A19-4F31-452E-B417-17487F7B4B42}" name="Eje: potencial de la zona" dataDxfId="160">
      <calculatedColumnFormula>IF($BU8="No evaluable","No evaluable",IF(#REF!="Sin datos","Sin datos de zona",IF(#REF!="Alto","Zona atractiva","Zona de bajo potencial")))</calculatedColumnFormula>
    </tableColumn>
    <tableColumn id="72" xr3:uid="{C2A9D06B-3FB7-463E-A886-C30E8370376C}" name="Resultado" dataDxfId="159">
      <calculatedColumnFormula>IFERROR(IF($BT8="P1","P1 - Ampliar cobertura",IF($BT8="P2","P2 - Mantener",IF($BT8="P3","P3 - Desarrollar",IF($BT8="P4","P4 - Evaluar","Sin datos")))),"Sin datos")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8B55A5-C471-422C-A0CF-F7411475EF0C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14e25c1c-cf7a-45f1-a8a6-bd19d92cd01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3432-2542-4F00-991D-3CEBCA6641DB}">
  <sheetPr>
    <tabColor theme="6"/>
  </sheetPr>
  <dimension ref="A1:I717"/>
  <sheetViews>
    <sheetView workbookViewId="0">
      <selection sqref="A1:I717"/>
    </sheetView>
  </sheetViews>
  <sheetFormatPr defaultRowHeight="15"/>
  <cols>
    <col min="5" max="5" width="31.140625" bestFit="1" customWidth="1"/>
    <col min="6" max="6" width="16.5703125" customWidth="1"/>
    <col min="7" max="7" width="14.28515625" customWidth="1"/>
    <col min="8" max="8" width="21.85546875" customWidth="1"/>
    <col min="9" max="9" width="24.85546875" customWidth="1"/>
  </cols>
  <sheetData>
    <row r="1" spans="1:9" ht="105">
      <c r="A1" s="996" t="s">
        <v>1690</v>
      </c>
      <c r="B1" s="996" t="s">
        <v>1691</v>
      </c>
      <c r="C1" s="996" t="s">
        <v>1692</v>
      </c>
      <c r="D1" s="996" t="s">
        <v>114</v>
      </c>
      <c r="E1" s="996" t="s">
        <v>1693</v>
      </c>
      <c r="F1" s="996" t="s">
        <v>1694</v>
      </c>
      <c r="G1" s="996" t="s">
        <v>1695</v>
      </c>
      <c r="H1" s="996" t="s">
        <v>1696</v>
      </c>
      <c r="I1" s="996" t="s">
        <v>1697</v>
      </c>
    </row>
    <row r="2" spans="1:9">
      <c r="A2" t="str">
        <f>IF('[3]Motor Rutas SKU_Cons'!C6="","",'[3]Motor Rutas SKU_Cons'!C6)</f>
        <v>Norte</v>
      </c>
      <c r="B2" t="str">
        <f>IF('[3]Motor Rutas SKU_Cons'!D6="","",'[3]Motor Rutas SKU_Cons'!D6)</f>
        <v>Comarca</v>
      </c>
      <c r="C2" t="str">
        <f>IF('[3]Motor Rutas SKU_Cons'!B6="","",'[3]Motor Rutas SKU_Cons'!B6)</f>
        <v>Suc. San Pedro</v>
      </c>
      <c r="D2">
        <f>'[3]Motor Rutas SKU_Cons'!A6</f>
        <v>219340</v>
      </c>
      <c r="E2" s="997" t="str">
        <f>IF('[3]Motor Rutas SKU_Cons'!N6="","s/d","Agua "&amp;TEXT('[3]Motor Rutas SKU_Cons'!N6,"0%")&amp;" · Colas "&amp;TEXT('[3]Motor Rutas SKU_Cons'!O6,"0%")&amp;" · Resto "&amp;TEXT('[3]Motor Rutas SKU_Cons'!P6,"0%"))</f>
        <v>Agua 85% · Colas 8% · Resto 7%</v>
      </c>
      <c r="F2" s="16">
        <f>'[3]Motor Rutas SKU_Cons'!CH6</f>
        <v>0.16100098077737515</v>
      </c>
      <c r="G2" s="16">
        <f>'[3]Motor Rutas SKU_Cons'!CG6</f>
        <v>0.49329849119318148</v>
      </c>
      <c r="H2" s="998">
        <f>'[3]Motor Rutas SKU_Cons'!BX6</f>
        <v>0</v>
      </c>
      <c r="I2" s="998">
        <f>'[3]Motor Rutas SKU_Cons'!BW6</f>
        <v>0</v>
      </c>
    </row>
    <row r="3" spans="1:9">
      <c r="A3" t="str">
        <f>IF('[3]Motor Rutas SKU_Cons'!C7="","",'[3]Motor Rutas SKU_Cons'!C7)</f>
        <v>Norte</v>
      </c>
      <c r="B3" t="str">
        <f>IF('[3]Motor Rutas SKU_Cons'!D7="","",'[3]Motor Rutas SKU_Cons'!D7)</f>
        <v>Juárez</v>
      </c>
      <c r="C3" t="str">
        <f>IF('[3]Motor Rutas SKU_Cons'!B7="","",'[3]Motor Rutas SKU_Cons'!B7)</f>
        <v>Suc. Casas Grandes</v>
      </c>
      <c r="D3">
        <f>'[3]Motor Rutas SKU_Cons'!A7</f>
        <v>305400</v>
      </c>
      <c r="E3" s="997" t="str">
        <f>IF('[3]Motor Rutas SKU_Cons'!N7="","s/d","Agua "&amp;TEXT('[3]Motor Rutas SKU_Cons'!N7,"0%")&amp;" · Colas "&amp;TEXT('[3]Motor Rutas SKU_Cons'!O7,"0%")&amp;" · Resto "&amp;TEXT('[3]Motor Rutas SKU_Cons'!P7,"0%"))</f>
        <v>Agua 85% · Colas 8% · Resto 7%</v>
      </c>
      <c r="F3" s="16">
        <f>'[3]Motor Rutas SKU_Cons'!CH7</f>
        <v>0.10448757565347676</v>
      </c>
      <c r="G3" s="16">
        <f>'[3]Motor Rutas SKU_Cons'!CG7</f>
        <v>0.48448108799999978</v>
      </c>
      <c r="H3" s="998">
        <f>'[3]Motor Rutas SKU_Cons'!BX7</f>
        <v>0</v>
      </c>
      <c r="I3" s="998">
        <f>'[3]Motor Rutas SKU_Cons'!BW7</f>
        <v>0</v>
      </c>
    </row>
    <row r="4" spans="1:9">
      <c r="A4" t="str">
        <f>IF('[3]Motor Rutas SKU_Cons'!C8="","",'[3]Motor Rutas SKU_Cons'!C8)</f>
        <v>Sin región</v>
      </c>
      <c r="B4" t="str">
        <f>IF('[3]Motor Rutas SKU_Cons'!D8="","",'[3]Motor Rutas SKU_Cons'!D8)</f>
        <v>Sin territorio</v>
      </c>
      <c r="C4" t="str">
        <f>IF('[3]Motor Rutas SKU_Cons'!B8="","",'[3]Motor Rutas SKU_Cons'!B8)</f>
        <v>Sin CeDi</v>
      </c>
      <c r="D4">
        <f>'[3]Motor Rutas SKU_Cons'!A8</f>
        <v>309399</v>
      </c>
      <c r="E4" s="997" t="str">
        <f>IF('[3]Motor Rutas SKU_Cons'!N8="","s/d","Agua "&amp;TEXT('[3]Motor Rutas SKU_Cons'!N8,"0%")&amp;" · Colas "&amp;TEXT('[3]Motor Rutas SKU_Cons'!O8,"0%")&amp;" · Resto "&amp;TEXT('[3]Motor Rutas SKU_Cons'!P8,"0%"))</f>
        <v>s/d</v>
      </c>
      <c r="F4" s="16" t="str">
        <f>'[3]Motor Rutas SKU_Cons'!CH8</f>
        <v/>
      </c>
      <c r="G4" s="16" t="str">
        <f>'[3]Motor Rutas SKU_Cons'!CG8</f>
        <v/>
      </c>
      <c r="H4" s="998">
        <f>'[3]Motor Rutas SKU_Cons'!BX8</f>
        <v>0</v>
      </c>
      <c r="I4" s="998">
        <f>'[3]Motor Rutas SKU_Cons'!BW8</f>
        <v>0</v>
      </c>
    </row>
    <row r="5" spans="1:9">
      <c r="A5" t="str">
        <f>IF('[3]Motor Rutas SKU_Cons'!C9="","",'[3]Motor Rutas SKU_Cons'!C9)</f>
        <v>Sin región</v>
      </c>
      <c r="B5" t="str">
        <f>IF('[3]Motor Rutas SKU_Cons'!D9="","",'[3]Motor Rutas SKU_Cons'!D9)</f>
        <v>Sin territorio</v>
      </c>
      <c r="C5" t="str">
        <f>IF('[3]Motor Rutas SKU_Cons'!B9="","",'[3]Motor Rutas SKU_Cons'!B9)</f>
        <v>Sin CeDi</v>
      </c>
      <c r="D5">
        <f>'[3]Motor Rutas SKU_Cons'!A9</f>
        <v>312399</v>
      </c>
      <c r="E5" s="997" t="str">
        <f>IF('[3]Motor Rutas SKU_Cons'!N9="","s/d","Agua "&amp;TEXT('[3]Motor Rutas SKU_Cons'!N9,"0%")&amp;" · Colas "&amp;TEXT('[3]Motor Rutas SKU_Cons'!O9,"0%")&amp;" · Resto "&amp;TEXT('[3]Motor Rutas SKU_Cons'!P9,"0%"))</f>
        <v>s/d</v>
      </c>
      <c r="F5" s="16" t="str">
        <f>'[3]Motor Rutas SKU_Cons'!CH9</f>
        <v/>
      </c>
      <c r="G5" s="16" t="str">
        <f>'[3]Motor Rutas SKU_Cons'!CG9</f>
        <v/>
      </c>
      <c r="H5" s="998">
        <f>'[3]Motor Rutas SKU_Cons'!BX9</f>
        <v>0</v>
      </c>
      <c r="I5" s="998">
        <f>'[3]Motor Rutas SKU_Cons'!BW9</f>
        <v>0</v>
      </c>
    </row>
    <row r="6" spans="1:9">
      <c r="A6" t="str">
        <f>IF('[3]Motor Rutas SKU_Cons'!C10="","",'[3]Motor Rutas SKU_Cons'!C10)</f>
        <v>Pacifico</v>
      </c>
      <c r="B6" t="str">
        <f>IF('[3]Motor Rutas SKU_Cons'!D10="","",'[3]Motor Rutas SKU_Cons'!D10)</f>
        <v>Hermosillo</v>
      </c>
      <c r="C6" t="str">
        <f>IF('[3]Motor Rutas SKU_Cons'!B10="","",'[3]Motor Rutas SKU_Cons'!B10)</f>
        <v>Planta Hermosillo</v>
      </c>
      <c r="D6">
        <f>'[3]Motor Rutas SKU_Cons'!A10</f>
        <v>401300</v>
      </c>
      <c r="E6" s="997" t="str">
        <f>IF('[3]Motor Rutas SKU_Cons'!N10="","s/d","Agua "&amp;TEXT('[3]Motor Rutas SKU_Cons'!N10,"0%")&amp;" · Colas "&amp;TEXT('[3]Motor Rutas SKU_Cons'!O10,"0%")&amp;" · Resto "&amp;TEXT('[3]Motor Rutas SKU_Cons'!P10,"0%"))</f>
        <v>Agua 85% · Colas 8% · Resto 7%</v>
      </c>
      <c r="F6" s="16">
        <f>'[3]Motor Rutas SKU_Cons'!CH10</f>
        <v>0.20658303192068006</v>
      </c>
      <c r="G6" s="16" t="str">
        <f>'[3]Motor Rutas SKU_Cons'!CG10</f>
        <v/>
      </c>
      <c r="H6" s="998">
        <f>'[3]Motor Rutas SKU_Cons'!BX10</f>
        <v>0</v>
      </c>
      <c r="I6" s="998">
        <f>'[3]Motor Rutas SKU_Cons'!BW10</f>
        <v>0</v>
      </c>
    </row>
    <row r="7" spans="1:9">
      <c r="A7" t="str">
        <f>IF('[3]Motor Rutas SKU_Cons'!C11="","",'[3]Motor Rutas SKU_Cons'!C11)</f>
        <v>Pacifico</v>
      </c>
      <c r="B7" t="str">
        <f>IF('[3]Motor Rutas SKU_Cons'!D11="","",'[3]Motor Rutas SKU_Cons'!D11)</f>
        <v>Hermosillo</v>
      </c>
      <c r="C7" t="str">
        <f>IF('[3]Motor Rutas SKU_Cons'!B11="","",'[3]Motor Rutas SKU_Cons'!B11)</f>
        <v>Planta Hermosillo</v>
      </c>
      <c r="D7">
        <f>'[3]Motor Rutas SKU_Cons'!A11</f>
        <v>401301</v>
      </c>
      <c r="E7" s="997" t="str">
        <f>IF('[3]Motor Rutas SKU_Cons'!N11="","s/d","Agua "&amp;TEXT('[3]Motor Rutas SKU_Cons'!N11,"0%")&amp;" · Colas "&amp;TEXT('[3]Motor Rutas SKU_Cons'!O11,"0%")&amp;" · Resto "&amp;TEXT('[3]Motor Rutas SKU_Cons'!P11,"0%"))</f>
        <v>Agua 85% · Colas 8% · Resto 7%</v>
      </c>
      <c r="F7" s="16">
        <f>'[3]Motor Rutas SKU_Cons'!CH11</f>
        <v>7.3576436415964327E-2</v>
      </c>
      <c r="G7" s="16" t="str">
        <f>'[3]Motor Rutas SKU_Cons'!CG11</f>
        <v/>
      </c>
      <c r="H7" s="998">
        <f>'[3]Motor Rutas SKU_Cons'!BX11</f>
        <v>0</v>
      </c>
      <c r="I7" s="998">
        <f>'[3]Motor Rutas SKU_Cons'!BW11</f>
        <v>0</v>
      </c>
    </row>
    <row r="8" spans="1:9">
      <c r="A8" t="str">
        <f>IF('[3]Motor Rutas SKU_Cons'!C12="","",'[3]Motor Rutas SKU_Cons'!C12)</f>
        <v>Pacifico</v>
      </c>
      <c r="B8" t="str">
        <f>IF('[3]Motor Rutas SKU_Cons'!D12="","",'[3]Motor Rutas SKU_Cons'!D12)</f>
        <v>Hermosillo</v>
      </c>
      <c r="C8" t="str">
        <f>IF('[3]Motor Rutas SKU_Cons'!B12="","",'[3]Motor Rutas SKU_Cons'!B12)</f>
        <v>Planta Hermosillo</v>
      </c>
      <c r="D8">
        <f>'[3]Motor Rutas SKU_Cons'!A12</f>
        <v>401302</v>
      </c>
      <c r="E8" s="997" t="str">
        <f>IF('[3]Motor Rutas SKU_Cons'!N12="","s/d","Agua "&amp;TEXT('[3]Motor Rutas SKU_Cons'!N12,"0%")&amp;" · Colas "&amp;TEXT('[3]Motor Rutas SKU_Cons'!O12,"0%")&amp;" · Resto "&amp;TEXT('[3]Motor Rutas SKU_Cons'!P12,"0%"))</f>
        <v>Agua 85% · Colas 8% · Resto 7%</v>
      </c>
      <c r="F8" s="16">
        <f>'[3]Motor Rutas SKU_Cons'!CH12</f>
        <v>0.14911054071582128</v>
      </c>
      <c r="G8" s="16" t="str">
        <f>'[3]Motor Rutas SKU_Cons'!CG12</f>
        <v/>
      </c>
      <c r="H8" s="998">
        <f>'[3]Motor Rutas SKU_Cons'!BX12</f>
        <v>0</v>
      </c>
      <c r="I8" s="998">
        <f>'[3]Motor Rutas SKU_Cons'!BW12</f>
        <v>0</v>
      </c>
    </row>
    <row r="9" spans="1:9">
      <c r="A9" t="str">
        <f>IF('[3]Motor Rutas SKU_Cons'!C13="","",'[3]Motor Rutas SKU_Cons'!C13)</f>
        <v>Pacifico</v>
      </c>
      <c r="B9" t="str">
        <f>IF('[3]Motor Rutas SKU_Cons'!D13="","",'[3]Motor Rutas SKU_Cons'!D13)</f>
        <v>Hermosillo</v>
      </c>
      <c r="C9" t="str">
        <f>IF('[3]Motor Rutas SKU_Cons'!B13="","",'[3]Motor Rutas SKU_Cons'!B13)</f>
        <v>Planta Hermosillo</v>
      </c>
      <c r="D9">
        <f>'[3]Motor Rutas SKU_Cons'!A13</f>
        <v>401307</v>
      </c>
      <c r="E9" s="997" t="str">
        <f>IF('[3]Motor Rutas SKU_Cons'!N13="","s/d","Agua "&amp;TEXT('[3]Motor Rutas SKU_Cons'!N13,"0%")&amp;" · Colas "&amp;TEXT('[3]Motor Rutas SKU_Cons'!O13,"0%")&amp;" · Resto "&amp;TEXT('[3]Motor Rutas SKU_Cons'!P13,"0%"))</f>
        <v>Agua 85% · Colas 8% · Resto 7%</v>
      </c>
      <c r="F9" s="16">
        <f>'[3]Motor Rutas SKU_Cons'!CH13</f>
        <v>6.6498062348243985E-4</v>
      </c>
      <c r="G9" s="16" t="str">
        <f>'[3]Motor Rutas SKU_Cons'!CG13</f>
        <v/>
      </c>
      <c r="H9" s="998">
        <f>'[3]Motor Rutas SKU_Cons'!BX13</f>
        <v>0</v>
      </c>
      <c r="I9" s="998">
        <f>'[3]Motor Rutas SKU_Cons'!BW13</f>
        <v>0</v>
      </c>
    </row>
    <row r="10" spans="1:9">
      <c r="A10" t="str">
        <f>IF('[3]Motor Rutas SKU_Cons'!C14="","",'[3]Motor Rutas SKU_Cons'!C14)</f>
        <v>Pacifico</v>
      </c>
      <c r="B10" t="str">
        <f>IF('[3]Motor Rutas SKU_Cons'!D14="","",'[3]Motor Rutas SKU_Cons'!D14)</f>
        <v>No está en EERR</v>
      </c>
      <c r="C10" t="str">
        <f>IF('[3]Motor Rutas SKU_Cons'!B14="","",'[3]Motor Rutas SKU_Cons'!B14)</f>
        <v>Sucursal Cajeme</v>
      </c>
      <c r="D10">
        <f>'[3]Motor Rutas SKU_Cons'!A14</f>
        <v>404304</v>
      </c>
      <c r="E10" s="997" t="str">
        <f>IF('[3]Motor Rutas SKU_Cons'!N14="","s/d","Agua "&amp;TEXT('[3]Motor Rutas SKU_Cons'!N14,"0%")&amp;" · Colas "&amp;TEXT('[3]Motor Rutas SKU_Cons'!O14,"0%")&amp;" · Resto "&amp;TEXT('[3]Motor Rutas SKU_Cons'!P14,"0%"))</f>
        <v>Agua 85% · Colas 8% · Resto 7%</v>
      </c>
      <c r="F10" s="16" t="str">
        <f>'[3]Motor Rutas SKU_Cons'!CH14</f>
        <v/>
      </c>
      <c r="G10" s="16" t="str">
        <f>'[3]Motor Rutas SKU_Cons'!CG14</f>
        <v/>
      </c>
      <c r="H10" s="998">
        <f>'[3]Motor Rutas SKU_Cons'!BX14</f>
        <v>0</v>
      </c>
      <c r="I10" s="998">
        <f>'[3]Motor Rutas SKU_Cons'!BW14</f>
        <v>0</v>
      </c>
    </row>
    <row r="11" spans="1:9">
      <c r="A11" t="str">
        <f>IF('[3]Motor Rutas SKU_Cons'!C15="","",'[3]Motor Rutas SKU_Cons'!C15)</f>
        <v>Pacifico</v>
      </c>
      <c r="B11" t="str">
        <f>IF('[3]Motor Rutas SKU_Cons'!D15="","",'[3]Motor Rutas SKU_Cons'!D15)</f>
        <v>No está en EERR</v>
      </c>
      <c r="C11" t="str">
        <f>IF('[3]Motor Rutas SKU_Cons'!B15="","",'[3]Motor Rutas SKU_Cons'!B15)</f>
        <v>Sucursal Guaymas</v>
      </c>
      <c r="D11">
        <f>'[3]Motor Rutas SKU_Cons'!A15</f>
        <v>406300</v>
      </c>
      <c r="E11" s="997" t="str">
        <f>IF('[3]Motor Rutas SKU_Cons'!N15="","s/d","Agua "&amp;TEXT('[3]Motor Rutas SKU_Cons'!N15,"0%")&amp;" · Colas "&amp;TEXT('[3]Motor Rutas SKU_Cons'!O15,"0%")&amp;" · Resto "&amp;TEXT('[3]Motor Rutas SKU_Cons'!P15,"0%"))</f>
        <v>Agua 85% · Colas 8% · Resto 7%</v>
      </c>
      <c r="F11" s="16" t="str">
        <f>'[3]Motor Rutas SKU_Cons'!CH15</f>
        <v/>
      </c>
      <c r="G11" s="16" t="str">
        <f>'[3]Motor Rutas SKU_Cons'!CG15</f>
        <v/>
      </c>
      <c r="H11" s="998">
        <f>'[3]Motor Rutas SKU_Cons'!BX15</f>
        <v>0</v>
      </c>
      <c r="I11" s="998">
        <f>'[3]Motor Rutas SKU_Cons'!BW15</f>
        <v>0</v>
      </c>
    </row>
    <row r="12" spans="1:9">
      <c r="A12" t="str">
        <f>IF('[3]Motor Rutas SKU_Cons'!C16="","",'[3]Motor Rutas SKU_Cons'!C16)</f>
        <v>Pacifico</v>
      </c>
      <c r="B12" t="str">
        <f>IF('[3]Motor Rutas SKU_Cons'!D16="","",'[3]Motor Rutas SKU_Cons'!D16)</f>
        <v>Mexicali</v>
      </c>
      <c r="C12" t="str">
        <f>IF('[3]Motor Rutas SKU_Cons'!B16="","",'[3]Motor Rutas SKU_Cons'!B16)</f>
        <v>Planta Mexicali</v>
      </c>
      <c r="D12">
        <f>'[3]Motor Rutas SKU_Cons'!A16</f>
        <v>407300</v>
      </c>
      <c r="E12" s="997" t="str">
        <f>IF('[3]Motor Rutas SKU_Cons'!N16="","s/d","Agua "&amp;TEXT('[3]Motor Rutas SKU_Cons'!N16,"0%")&amp;" · Colas "&amp;TEXT('[3]Motor Rutas SKU_Cons'!O16,"0%")&amp;" · Resto "&amp;TEXT('[3]Motor Rutas SKU_Cons'!P16,"0%"))</f>
        <v>Agua 85% · Colas 8% · Resto 7%</v>
      </c>
      <c r="F12" s="16">
        <f>'[3]Motor Rutas SKU_Cons'!CH16</f>
        <v>9.3449718754688688E-2</v>
      </c>
      <c r="G12" s="16" t="str">
        <f>'[3]Motor Rutas SKU_Cons'!CG16</f>
        <v/>
      </c>
      <c r="H12" s="998">
        <f>'[3]Motor Rutas SKU_Cons'!BX16</f>
        <v>0</v>
      </c>
      <c r="I12" s="998">
        <f>'[3]Motor Rutas SKU_Cons'!BW16</f>
        <v>0</v>
      </c>
    </row>
    <row r="13" spans="1:9">
      <c r="A13" t="str">
        <f>IF('[3]Motor Rutas SKU_Cons'!C17="","",'[3]Motor Rutas SKU_Cons'!C17)</f>
        <v>Pacifico</v>
      </c>
      <c r="B13" t="str">
        <f>IF('[3]Motor Rutas SKU_Cons'!D17="","",'[3]Motor Rutas SKU_Cons'!D17)</f>
        <v>Mexicali</v>
      </c>
      <c r="C13" t="str">
        <f>IF('[3]Motor Rutas SKU_Cons'!B17="","",'[3]Motor Rutas SKU_Cons'!B17)</f>
        <v>Planta Mexicali</v>
      </c>
      <c r="D13">
        <f>'[3]Motor Rutas SKU_Cons'!A17</f>
        <v>407301</v>
      </c>
      <c r="E13" s="997" t="str">
        <f>IF('[3]Motor Rutas SKU_Cons'!N17="","s/d","Agua "&amp;TEXT('[3]Motor Rutas SKU_Cons'!N17,"0%")&amp;" · Colas "&amp;TEXT('[3]Motor Rutas SKU_Cons'!O17,"0%")&amp;" · Resto "&amp;TEXT('[3]Motor Rutas SKU_Cons'!P17,"0%"))</f>
        <v>Agua 85% · Colas 8% · Resto 7%</v>
      </c>
      <c r="F13" s="16">
        <f>'[3]Motor Rutas SKU_Cons'!CH17</f>
        <v>0.17389948013417833</v>
      </c>
      <c r="G13" s="16" t="str">
        <f>'[3]Motor Rutas SKU_Cons'!CG17</f>
        <v/>
      </c>
      <c r="H13" s="998">
        <f>'[3]Motor Rutas SKU_Cons'!BX17</f>
        <v>0</v>
      </c>
      <c r="I13" s="998">
        <f>'[3]Motor Rutas SKU_Cons'!BW17</f>
        <v>0</v>
      </c>
    </row>
    <row r="14" spans="1:9">
      <c r="A14" t="str">
        <f>IF('[3]Motor Rutas SKU_Cons'!C18="","",'[3]Motor Rutas SKU_Cons'!C18)</f>
        <v>Pacifico</v>
      </c>
      <c r="B14" t="str">
        <f>IF('[3]Motor Rutas SKU_Cons'!D18="","",'[3]Motor Rutas SKU_Cons'!D18)</f>
        <v>Mexicali</v>
      </c>
      <c r="C14" t="str">
        <f>IF('[3]Motor Rutas SKU_Cons'!B18="","",'[3]Motor Rutas SKU_Cons'!B18)</f>
        <v>Planta Mexicali</v>
      </c>
      <c r="D14">
        <f>'[3]Motor Rutas SKU_Cons'!A18</f>
        <v>407302</v>
      </c>
      <c r="E14" s="997" t="str">
        <f>IF('[3]Motor Rutas SKU_Cons'!N18="","s/d","Agua "&amp;TEXT('[3]Motor Rutas SKU_Cons'!N18,"0%")&amp;" · Colas "&amp;TEXT('[3]Motor Rutas SKU_Cons'!O18,"0%")&amp;" · Resto "&amp;TEXT('[3]Motor Rutas SKU_Cons'!P18,"0%"))</f>
        <v>Agua 85% · Colas 8% · Resto 7%</v>
      </c>
      <c r="F14" s="16">
        <f>'[3]Motor Rutas SKU_Cons'!CH18</f>
        <v>9.044226818820357E-2</v>
      </c>
      <c r="G14" s="16" t="str">
        <f>'[3]Motor Rutas SKU_Cons'!CG18</f>
        <v/>
      </c>
      <c r="H14" s="998">
        <f>'[3]Motor Rutas SKU_Cons'!BX18</f>
        <v>0</v>
      </c>
      <c r="I14" s="998">
        <f>'[3]Motor Rutas SKU_Cons'!BW18</f>
        <v>0</v>
      </c>
    </row>
    <row r="15" spans="1:9">
      <c r="A15" t="str">
        <f>IF('[3]Motor Rutas SKU_Cons'!C19="","",'[3]Motor Rutas SKU_Cons'!C19)</f>
        <v>Pacifico</v>
      </c>
      <c r="B15" t="str">
        <f>IF('[3]Motor Rutas SKU_Cons'!D19="","",'[3]Motor Rutas SKU_Cons'!D19)</f>
        <v>Mexicali</v>
      </c>
      <c r="C15" t="str">
        <f>IF('[3]Motor Rutas SKU_Cons'!B19="","",'[3]Motor Rutas SKU_Cons'!B19)</f>
        <v>Planta Mexicali</v>
      </c>
      <c r="D15">
        <f>'[3]Motor Rutas SKU_Cons'!A19</f>
        <v>407303</v>
      </c>
      <c r="E15" s="997" t="str">
        <f>IF('[3]Motor Rutas SKU_Cons'!N19="","s/d","Agua "&amp;TEXT('[3]Motor Rutas SKU_Cons'!N19,"0%")&amp;" · Colas "&amp;TEXT('[3]Motor Rutas SKU_Cons'!O19,"0%")&amp;" · Resto "&amp;TEXT('[3]Motor Rutas SKU_Cons'!P19,"0%"))</f>
        <v>Agua 85% · Colas 8% · Resto 7%</v>
      </c>
      <c r="F15" s="16">
        <f>'[3]Motor Rutas SKU_Cons'!CH19</f>
        <v>0.15252722155673037</v>
      </c>
      <c r="G15" s="16" t="str">
        <f>'[3]Motor Rutas SKU_Cons'!CG19</f>
        <v/>
      </c>
      <c r="H15" s="998">
        <f>'[3]Motor Rutas SKU_Cons'!BX19</f>
        <v>0</v>
      </c>
      <c r="I15" s="998">
        <f>'[3]Motor Rutas SKU_Cons'!BW19</f>
        <v>0</v>
      </c>
    </row>
    <row r="16" spans="1:9">
      <c r="A16" t="str">
        <f>IF('[3]Motor Rutas SKU_Cons'!C20="","",'[3]Motor Rutas SKU_Cons'!C20)</f>
        <v>Pacifico</v>
      </c>
      <c r="B16" t="str">
        <f>IF('[3]Motor Rutas SKU_Cons'!D20="","",'[3]Motor Rutas SKU_Cons'!D20)</f>
        <v>Mexicali</v>
      </c>
      <c r="C16" t="str">
        <f>IF('[3]Motor Rutas SKU_Cons'!B20="","",'[3]Motor Rutas SKU_Cons'!B20)</f>
        <v>Planta Mexicali</v>
      </c>
      <c r="D16">
        <f>'[3]Motor Rutas SKU_Cons'!A20</f>
        <v>407304</v>
      </c>
      <c r="E16" s="997" t="str">
        <f>IF('[3]Motor Rutas SKU_Cons'!N20="","s/d","Agua "&amp;TEXT('[3]Motor Rutas SKU_Cons'!N20,"0%")&amp;" · Colas "&amp;TEXT('[3]Motor Rutas SKU_Cons'!O20,"0%")&amp;" · Resto "&amp;TEXT('[3]Motor Rutas SKU_Cons'!P20,"0%"))</f>
        <v>Agua 85% · Colas 8% · Resto 7%</v>
      </c>
      <c r="F16" s="16">
        <f>'[3]Motor Rutas SKU_Cons'!CH20</f>
        <v>7.7070526379429669E-2</v>
      </c>
      <c r="G16" s="16" t="str">
        <f>'[3]Motor Rutas SKU_Cons'!CG20</f>
        <v/>
      </c>
      <c r="H16" s="998">
        <f>'[3]Motor Rutas SKU_Cons'!BX20</f>
        <v>0</v>
      </c>
      <c r="I16" s="998">
        <f>'[3]Motor Rutas SKU_Cons'!BW20</f>
        <v>0</v>
      </c>
    </row>
    <row r="17" spans="1:9">
      <c r="A17" t="str">
        <f>IF('[3]Motor Rutas SKU_Cons'!C21="","",'[3]Motor Rutas SKU_Cons'!C21)</f>
        <v>Pacifico</v>
      </c>
      <c r="B17" t="str">
        <f>IF('[3]Motor Rutas SKU_Cons'!D21="","",'[3]Motor Rutas SKU_Cons'!D21)</f>
        <v>Mexicali</v>
      </c>
      <c r="C17" t="str">
        <f>IF('[3]Motor Rutas SKU_Cons'!B21="","",'[3]Motor Rutas SKU_Cons'!B21)</f>
        <v>Planta Mexicali</v>
      </c>
      <c r="D17">
        <f>'[3]Motor Rutas SKU_Cons'!A21</f>
        <v>407307</v>
      </c>
      <c r="E17" s="997" t="str">
        <f>IF('[3]Motor Rutas SKU_Cons'!N21="","s/d","Agua "&amp;TEXT('[3]Motor Rutas SKU_Cons'!N21,"0%")&amp;" · Colas "&amp;TEXT('[3]Motor Rutas SKU_Cons'!O21,"0%")&amp;" · Resto "&amp;TEXT('[3]Motor Rutas SKU_Cons'!P21,"0%"))</f>
        <v>Agua 85% · Colas 8% · Resto 7%</v>
      </c>
      <c r="F17" s="16">
        <f>'[3]Motor Rutas SKU_Cons'!CH21</f>
        <v>1.0125292075751316E-2</v>
      </c>
      <c r="G17" s="16" t="str">
        <f>'[3]Motor Rutas SKU_Cons'!CG21</f>
        <v/>
      </c>
      <c r="H17" s="998">
        <f>'[3]Motor Rutas SKU_Cons'!BX21</f>
        <v>0</v>
      </c>
      <c r="I17" s="998">
        <f>'[3]Motor Rutas SKU_Cons'!BW21</f>
        <v>0</v>
      </c>
    </row>
    <row r="18" spans="1:9">
      <c r="A18" t="str">
        <f>IF('[3]Motor Rutas SKU_Cons'!C22="","",'[3]Motor Rutas SKU_Cons'!C22)</f>
        <v>Pacifico</v>
      </c>
      <c r="B18" t="str">
        <f>IF('[3]Motor Rutas SKU_Cons'!D22="","",'[3]Motor Rutas SKU_Cons'!D22)</f>
        <v>Culiacán</v>
      </c>
      <c r="C18" t="str">
        <f>IF('[3]Motor Rutas SKU_Cons'!B22="","",'[3]Motor Rutas SKU_Cons'!B22)</f>
        <v>Planta Aeropuerto</v>
      </c>
      <c r="D18">
        <f>'[3]Motor Rutas SKU_Cons'!A22</f>
        <v>501300</v>
      </c>
      <c r="E18" s="997" t="str">
        <f>IF('[3]Motor Rutas SKU_Cons'!N22="","s/d","Agua "&amp;TEXT('[3]Motor Rutas SKU_Cons'!N22,"0%")&amp;" · Colas "&amp;TEXT('[3]Motor Rutas SKU_Cons'!O22,"0%")&amp;" · Resto "&amp;TEXT('[3]Motor Rutas SKU_Cons'!P22,"0%"))</f>
        <v>Agua 85% · Colas 8% · Resto 7%</v>
      </c>
      <c r="F18" s="16">
        <f>'[3]Motor Rutas SKU_Cons'!CH22</f>
        <v>0.12054878187024731</v>
      </c>
      <c r="G18" s="16" t="str">
        <f>'[3]Motor Rutas SKU_Cons'!CG22</f>
        <v/>
      </c>
      <c r="H18" s="998">
        <f>'[3]Motor Rutas SKU_Cons'!BX22</f>
        <v>0</v>
      </c>
      <c r="I18" s="998">
        <f>'[3]Motor Rutas SKU_Cons'!BW22</f>
        <v>0</v>
      </c>
    </row>
    <row r="19" spans="1:9">
      <c r="A19" t="str">
        <f>IF('[3]Motor Rutas SKU_Cons'!C23="","",'[3]Motor Rutas SKU_Cons'!C23)</f>
        <v>Pacifico</v>
      </c>
      <c r="B19" t="str">
        <f>IF('[3]Motor Rutas SKU_Cons'!D23="","",'[3]Motor Rutas SKU_Cons'!D23)</f>
        <v>Culiacán</v>
      </c>
      <c r="C19" t="str">
        <f>IF('[3]Motor Rutas SKU_Cons'!B23="","",'[3]Motor Rutas SKU_Cons'!B23)</f>
        <v>Planta Aeropuerto</v>
      </c>
      <c r="D19">
        <f>'[3]Motor Rutas SKU_Cons'!A23</f>
        <v>501301</v>
      </c>
      <c r="E19" s="997" t="str">
        <f>IF('[3]Motor Rutas SKU_Cons'!N23="","s/d","Agua "&amp;TEXT('[3]Motor Rutas SKU_Cons'!N23,"0%")&amp;" · Colas "&amp;TEXT('[3]Motor Rutas SKU_Cons'!O23,"0%")&amp;" · Resto "&amp;TEXT('[3]Motor Rutas SKU_Cons'!P23,"0%"))</f>
        <v>Agua 85% · Colas 8% · Resto 7%</v>
      </c>
      <c r="F19" s="16">
        <f>'[3]Motor Rutas SKU_Cons'!CH23</f>
        <v>0.21304492189797344</v>
      </c>
      <c r="G19" s="16" t="str">
        <f>'[3]Motor Rutas SKU_Cons'!CG23</f>
        <v/>
      </c>
      <c r="H19" s="998">
        <f>'[3]Motor Rutas SKU_Cons'!BX23</f>
        <v>0</v>
      </c>
      <c r="I19" s="998">
        <f>'[3]Motor Rutas SKU_Cons'!BW23</f>
        <v>0</v>
      </c>
    </row>
    <row r="20" spans="1:9">
      <c r="A20" t="str">
        <f>IF('[3]Motor Rutas SKU_Cons'!C24="","",'[3]Motor Rutas SKU_Cons'!C24)</f>
        <v>Pacifico</v>
      </c>
      <c r="B20" t="str">
        <f>IF('[3]Motor Rutas SKU_Cons'!D24="","",'[3]Motor Rutas SKU_Cons'!D24)</f>
        <v>Culiacán</v>
      </c>
      <c r="C20" t="str">
        <f>IF('[3]Motor Rutas SKU_Cons'!B24="","",'[3]Motor Rutas SKU_Cons'!B24)</f>
        <v>Planta Aeropuerto</v>
      </c>
      <c r="D20">
        <f>'[3]Motor Rutas SKU_Cons'!A24</f>
        <v>501302</v>
      </c>
      <c r="E20" s="997" t="str">
        <f>IF('[3]Motor Rutas SKU_Cons'!N24="","s/d","Agua "&amp;TEXT('[3]Motor Rutas SKU_Cons'!N24,"0%")&amp;" · Colas "&amp;TEXT('[3]Motor Rutas SKU_Cons'!O24,"0%")&amp;" · Resto "&amp;TEXT('[3]Motor Rutas SKU_Cons'!P24,"0%"))</f>
        <v>Agua 85% · Colas 8% · Resto 7%</v>
      </c>
      <c r="F20" s="16">
        <f>'[3]Motor Rutas SKU_Cons'!CH24</f>
        <v>0.10039306441971979</v>
      </c>
      <c r="G20" s="16" t="str">
        <f>'[3]Motor Rutas SKU_Cons'!CG24</f>
        <v/>
      </c>
      <c r="H20" s="998">
        <f>'[3]Motor Rutas SKU_Cons'!BX24</f>
        <v>0</v>
      </c>
      <c r="I20" s="998">
        <f>'[3]Motor Rutas SKU_Cons'!BW24</f>
        <v>0</v>
      </c>
    </row>
    <row r="21" spans="1:9">
      <c r="A21" t="str">
        <f>IF('[3]Motor Rutas SKU_Cons'!C25="","",'[3]Motor Rutas SKU_Cons'!C25)</f>
        <v>Pacifico</v>
      </c>
      <c r="B21" t="str">
        <f>IF('[3]Motor Rutas SKU_Cons'!D25="","",'[3]Motor Rutas SKU_Cons'!D25)</f>
        <v>Culiacán</v>
      </c>
      <c r="C21" t="str">
        <f>IF('[3]Motor Rutas SKU_Cons'!B25="","",'[3]Motor Rutas SKU_Cons'!B25)</f>
        <v>Planta Aeropuerto</v>
      </c>
      <c r="D21">
        <f>'[3]Motor Rutas SKU_Cons'!A25</f>
        <v>501303</v>
      </c>
      <c r="E21" s="997" t="str">
        <f>IF('[3]Motor Rutas SKU_Cons'!N25="","s/d","Agua "&amp;TEXT('[3]Motor Rutas SKU_Cons'!N25,"0%")&amp;" · Colas "&amp;TEXT('[3]Motor Rutas SKU_Cons'!O25,"0%")&amp;" · Resto "&amp;TEXT('[3]Motor Rutas SKU_Cons'!P25,"0%"))</f>
        <v>Agua 85% · Colas 8% · Resto 7%</v>
      </c>
      <c r="F21" s="16">
        <f>'[3]Motor Rutas SKU_Cons'!CH25</f>
        <v>0.12668166436317035</v>
      </c>
      <c r="G21" s="16" t="str">
        <f>'[3]Motor Rutas SKU_Cons'!CG25</f>
        <v/>
      </c>
      <c r="H21" s="998">
        <f>'[3]Motor Rutas SKU_Cons'!BX25</f>
        <v>0</v>
      </c>
      <c r="I21" s="998">
        <f>'[3]Motor Rutas SKU_Cons'!BW25</f>
        <v>0</v>
      </c>
    </row>
    <row r="22" spans="1:9">
      <c r="A22" t="str">
        <f>IF('[3]Motor Rutas SKU_Cons'!C26="","",'[3]Motor Rutas SKU_Cons'!C26)</f>
        <v>Pacifico</v>
      </c>
      <c r="B22" t="str">
        <f>IF('[3]Motor Rutas SKU_Cons'!D26="","",'[3]Motor Rutas SKU_Cons'!D26)</f>
        <v>Culiacán</v>
      </c>
      <c r="C22" t="str">
        <f>IF('[3]Motor Rutas SKU_Cons'!B26="","",'[3]Motor Rutas SKU_Cons'!B26)</f>
        <v>Planta Aeropuerto</v>
      </c>
      <c r="D22">
        <f>'[3]Motor Rutas SKU_Cons'!A26</f>
        <v>501304</v>
      </c>
      <c r="E22" s="997" t="str">
        <f>IF('[3]Motor Rutas SKU_Cons'!N26="","s/d","Agua "&amp;TEXT('[3]Motor Rutas SKU_Cons'!N26,"0%")&amp;" · Colas "&amp;TEXT('[3]Motor Rutas SKU_Cons'!O26,"0%")&amp;" · Resto "&amp;TEXT('[3]Motor Rutas SKU_Cons'!P26,"0%"))</f>
        <v>Agua 85% · Colas 8% · Resto 7%</v>
      </c>
      <c r="F22" s="16">
        <f>'[3]Motor Rutas SKU_Cons'!CH26</f>
        <v>0.12549511093039778</v>
      </c>
      <c r="G22" s="16" t="str">
        <f>'[3]Motor Rutas SKU_Cons'!CG26</f>
        <v/>
      </c>
      <c r="H22" s="998">
        <f>'[3]Motor Rutas SKU_Cons'!BX26</f>
        <v>0</v>
      </c>
      <c r="I22" s="998">
        <f>'[3]Motor Rutas SKU_Cons'!BW26</f>
        <v>0</v>
      </c>
    </row>
    <row r="23" spans="1:9">
      <c r="A23" t="str">
        <f>IF('[3]Motor Rutas SKU_Cons'!C27="","",'[3]Motor Rutas SKU_Cons'!C27)</f>
        <v>Pacifico</v>
      </c>
      <c r="B23" t="str">
        <f>IF('[3]Motor Rutas SKU_Cons'!D27="","",'[3]Motor Rutas SKU_Cons'!D27)</f>
        <v>Culiacán</v>
      </c>
      <c r="C23" t="str">
        <f>IF('[3]Motor Rutas SKU_Cons'!B27="","",'[3]Motor Rutas SKU_Cons'!B27)</f>
        <v>Planta Aeropuerto</v>
      </c>
      <c r="D23">
        <f>'[3]Motor Rutas SKU_Cons'!A27</f>
        <v>501305</v>
      </c>
      <c r="E23" s="997" t="str">
        <f>IF('[3]Motor Rutas SKU_Cons'!N27="","s/d","Agua "&amp;TEXT('[3]Motor Rutas SKU_Cons'!N27,"0%")&amp;" · Colas "&amp;TEXT('[3]Motor Rutas SKU_Cons'!O27,"0%")&amp;" · Resto "&amp;TEXT('[3]Motor Rutas SKU_Cons'!P27,"0%"))</f>
        <v>Agua 85% · Colas 8% · Resto 7%</v>
      </c>
      <c r="F23" s="16">
        <f>'[3]Motor Rutas SKU_Cons'!CH27</f>
        <v>0.17283538874334375</v>
      </c>
      <c r="G23" s="16" t="str">
        <f>'[3]Motor Rutas SKU_Cons'!CG27</f>
        <v/>
      </c>
      <c r="H23" s="998">
        <f>'[3]Motor Rutas SKU_Cons'!BX27</f>
        <v>0</v>
      </c>
      <c r="I23" s="998">
        <f>'[3]Motor Rutas SKU_Cons'!BW27</f>
        <v>0</v>
      </c>
    </row>
    <row r="24" spans="1:9">
      <c r="A24" t="str">
        <f>IF('[3]Motor Rutas SKU_Cons'!C28="","",'[3]Motor Rutas SKU_Cons'!C28)</f>
        <v>Pacifico</v>
      </c>
      <c r="B24" t="str">
        <f>IF('[3]Motor Rutas SKU_Cons'!D28="","",'[3]Motor Rutas SKU_Cons'!D28)</f>
        <v>Culiacán</v>
      </c>
      <c r="C24" t="str">
        <f>IF('[3]Motor Rutas SKU_Cons'!B28="","",'[3]Motor Rutas SKU_Cons'!B28)</f>
        <v>Planta Aeropuerto</v>
      </c>
      <c r="D24">
        <f>'[3]Motor Rutas SKU_Cons'!A28</f>
        <v>501306</v>
      </c>
      <c r="E24" s="997" t="str">
        <f>IF('[3]Motor Rutas SKU_Cons'!N28="","s/d","Agua "&amp;TEXT('[3]Motor Rutas SKU_Cons'!N28,"0%")&amp;" · Colas "&amp;TEXT('[3]Motor Rutas SKU_Cons'!O28,"0%")&amp;" · Resto "&amp;TEXT('[3]Motor Rutas SKU_Cons'!P28,"0%"))</f>
        <v>Agua 85% · Colas 8% · Resto 7%</v>
      </c>
      <c r="F24" s="16">
        <f>'[3]Motor Rutas SKU_Cons'!CH28</f>
        <v>2.7964947982645756E-3</v>
      </c>
      <c r="G24" s="16" t="str">
        <f>'[3]Motor Rutas SKU_Cons'!CG28</f>
        <v/>
      </c>
      <c r="H24" s="998">
        <f>'[3]Motor Rutas SKU_Cons'!BX28</f>
        <v>0</v>
      </c>
      <c r="I24" s="998">
        <f>'[3]Motor Rutas SKU_Cons'!BW28</f>
        <v>0</v>
      </c>
    </row>
    <row r="25" spans="1:9">
      <c r="A25" t="str">
        <f>IF('[3]Motor Rutas SKU_Cons'!C29="","",'[3]Motor Rutas SKU_Cons'!C29)</f>
        <v>Pacifico</v>
      </c>
      <c r="B25" t="str">
        <f>IF('[3]Motor Rutas SKU_Cons'!D29="","",'[3]Motor Rutas SKU_Cons'!D29)</f>
        <v>No está en EERR</v>
      </c>
      <c r="C25" t="str">
        <f>IF('[3]Motor Rutas SKU_Cons'!B29="","",'[3]Motor Rutas SKU_Cons'!B29)</f>
        <v>Sucursal Guamúchil</v>
      </c>
      <c r="D25">
        <f>'[3]Motor Rutas SKU_Cons'!A29</f>
        <v>502300</v>
      </c>
      <c r="E25" s="997" t="str">
        <f>IF('[3]Motor Rutas SKU_Cons'!N29="","s/d","Agua "&amp;TEXT('[3]Motor Rutas SKU_Cons'!N29,"0%")&amp;" · Colas "&amp;TEXT('[3]Motor Rutas SKU_Cons'!O29,"0%")&amp;" · Resto "&amp;TEXT('[3]Motor Rutas SKU_Cons'!P29,"0%"))</f>
        <v>Agua 85% · Colas 8% · Resto 7%</v>
      </c>
      <c r="F25" s="16" t="str">
        <f>'[3]Motor Rutas SKU_Cons'!CH29</f>
        <v/>
      </c>
      <c r="G25" s="16" t="str">
        <f>'[3]Motor Rutas SKU_Cons'!CG29</f>
        <v/>
      </c>
      <c r="H25" s="998">
        <f>'[3]Motor Rutas SKU_Cons'!BX29</f>
        <v>0</v>
      </c>
      <c r="I25" s="998">
        <f>'[3]Motor Rutas SKU_Cons'!BW29</f>
        <v>0</v>
      </c>
    </row>
    <row r="26" spans="1:9">
      <c r="A26" t="str">
        <f>IF('[3]Motor Rutas SKU_Cons'!C30="","",'[3]Motor Rutas SKU_Cons'!C30)</f>
        <v>Pacifico</v>
      </c>
      <c r="B26" t="str">
        <f>IF('[3]Motor Rutas SKU_Cons'!D30="","",'[3]Motor Rutas SKU_Cons'!D30)</f>
        <v>No está en EERR</v>
      </c>
      <c r="C26" t="str">
        <f>IF('[3]Motor Rutas SKU_Cons'!B30="","",'[3]Motor Rutas SKU_Cons'!B30)</f>
        <v>Planta Escuinapa</v>
      </c>
      <c r="D26">
        <f>'[3]Motor Rutas SKU_Cons'!A30</f>
        <v>504300</v>
      </c>
      <c r="E26" s="997" t="str">
        <f>IF('[3]Motor Rutas SKU_Cons'!N30="","s/d","Agua "&amp;TEXT('[3]Motor Rutas SKU_Cons'!N30,"0%")&amp;" · Colas "&amp;TEXT('[3]Motor Rutas SKU_Cons'!O30,"0%")&amp;" · Resto "&amp;TEXT('[3]Motor Rutas SKU_Cons'!P30,"0%"))</f>
        <v>Agua 85% · Colas 8% · Resto 7%</v>
      </c>
      <c r="F26" s="16" t="str">
        <f>'[3]Motor Rutas SKU_Cons'!CH30</f>
        <v/>
      </c>
      <c r="G26" s="16" t="str">
        <f>'[3]Motor Rutas SKU_Cons'!CG30</f>
        <v/>
      </c>
      <c r="H26" s="998">
        <f>'[3]Motor Rutas SKU_Cons'!BX30</f>
        <v>0</v>
      </c>
      <c r="I26" s="998">
        <f>'[3]Motor Rutas SKU_Cons'!BW30</f>
        <v>0</v>
      </c>
    </row>
    <row r="27" spans="1:9">
      <c r="A27" t="str">
        <f>IF('[3]Motor Rutas SKU_Cons'!C31="","",'[3]Motor Rutas SKU_Cons'!C31)</f>
        <v>Sin región</v>
      </c>
      <c r="B27" t="str">
        <f>IF('[3]Motor Rutas SKU_Cons'!D31="","",'[3]Motor Rutas SKU_Cons'!D31)</f>
        <v>Sin territorio</v>
      </c>
      <c r="C27" t="str">
        <f>IF('[3]Motor Rutas SKU_Cons'!B31="","",'[3]Motor Rutas SKU_Cons'!B31)</f>
        <v>Sin CeDi</v>
      </c>
      <c r="D27">
        <f>'[3]Motor Rutas SKU_Cons'!A31</f>
        <v>702317</v>
      </c>
      <c r="E27" s="997" t="str">
        <f>IF('[3]Motor Rutas SKU_Cons'!N31="","s/d","Agua "&amp;TEXT('[3]Motor Rutas SKU_Cons'!N31,"0%")&amp;" · Colas "&amp;TEXT('[3]Motor Rutas SKU_Cons'!O31,"0%")&amp;" · Resto "&amp;TEXT('[3]Motor Rutas SKU_Cons'!P31,"0%"))</f>
        <v>s/d</v>
      </c>
      <c r="F27" s="16" t="str">
        <f>'[3]Motor Rutas SKU_Cons'!CH31</f>
        <v/>
      </c>
      <c r="G27" s="16" t="str">
        <f>'[3]Motor Rutas SKU_Cons'!CG31</f>
        <v/>
      </c>
      <c r="H27" s="998">
        <f>'[3]Motor Rutas SKU_Cons'!BX31</f>
        <v>0</v>
      </c>
      <c r="I27" s="998">
        <f>'[3]Motor Rutas SKU_Cons'!BW31</f>
        <v>0</v>
      </c>
    </row>
    <row r="28" spans="1:9">
      <c r="A28" t="str">
        <f>IF('[3]Motor Rutas SKU_Cons'!C32="","",'[3]Motor Rutas SKU_Cons'!C32)</f>
        <v>Sin región</v>
      </c>
      <c r="B28" t="str">
        <f>IF('[3]Motor Rutas SKU_Cons'!D32="","",'[3]Motor Rutas SKU_Cons'!D32)</f>
        <v>Sin territorio</v>
      </c>
      <c r="C28" t="str">
        <f>IF('[3]Motor Rutas SKU_Cons'!B32="","",'[3]Motor Rutas SKU_Cons'!B32)</f>
        <v>Sin CeDi</v>
      </c>
      <c r="D28">
        <f>'[3]Motor Rutas SKU_Cons'!A32</f>
        <v>703310</v>
      </c>
      <c r="E28" s="997" t="str">
        <f>IF('[3]Motor Rutas SKU_Cons'!N32="","s/d","Agua "&amp;TEXT('[3]Motor Rutas SKU_Cons'!N32,"0%")&amp;" · Colas "&amp;TEXT('[3]Motor Rutas SKU_Cons'!O32,"0%")&amp;" · Resto "&amp;TEXT('[3]Motor Rutas SKU_Cons'!P32,"0%"))</f>
        <v>s/d</v>
      </c>
      <c r="F28" s="16" t="str">
        <f>'[3]Motor Rutas SKU_Cons'!CH32</f>
        <v/>
      </c>
      <c r="G28" s="16" t="str">
        <f>'[3]Motor Rutas SKU_Cons'!CG32</f>
        <v/>
      </c>
      <c r="H28" s="998">
        <f>'[3]Motor Rutas SKU_Cons'!BX32</f>
        <v>0</v>
      </c>
      <c r="I28" s="998">
        <f>'[3]Motor Rutas SKU_Cons'!BW32</f>
        <v>0</v>
      </c>
    </row>
    <row r="29" spans="1:9">
      <c r="A29" t="str">
        <f>IF('[3]Motor Rutas SKU_Cons'!C33="","",'[3]Motor Rutas SKU_Cons'!C33)</f>
        <v>Sin región</v>
      </c>
      <c r="B29" t="str">
        <f>IF('[3]Motor Rutas SKU_Cons'!D33="","",'[3]Motor Rutas SKU_Cons'!D33)</f>
        <v>Sin territorio</v>
      </c>
      <c r="C29" t="str">
        <f>IF('[3]Motor Rutas SKU_Cons'!B33="","",'[3]Motor Rutas SKU_Cons'!B33)</f>
        <v>Sin CeDi</v>
      </c>
      <c r="D29">
        <f>'[3]Motor Rutas SKU_Cons'!A33</f>
        <v>803399</v>
      </c>
      <c r="E29" s="997" t="str">
        <f>IF('[3]Motor Rutas SKU_Cons'!N33="","s/d","Agua "&amp;TEXT('[3]Motor Rutas SKU_Cons'!N33,"0%")&amp;" · Colas "&amp;TEXT('[3]Motor Rutas SKU_Cons'!O33,"0%")&amp;" · Resto "&amp;TEXT('[3]Motor Rutas SKU_Cons'!P33,"0%"))</f>
        <v>s/d</v>
      </c>
      <c r="F29" s="16" t="str">
        <f>'[3]Motor Rutas SKU_Cons'!CH33</f>
        <v/>
      </c>
      <c r="G29" s="16" t="str">
        <f>'[3]Motor Rutas SKU_Cons'!CG33</f>
        <v/>
      </c>
      <c r="H29" s="998">
        <f>'[3]Motor Rutas SKU_Cons'!BX33</f>
        <v>0</v>
      </c>
      <c r="I29" s="998">
        <f>'[3]Motor Rutas SKU_Cons'!BW33</f>
        <v>0</v>
      </c>
    </row>
    <row r="30" spans="1:9">
      <c r="A30" t="str">
        <f>IF('[3]Motor Rutas SKU_Cons'!C34="","",'[3]Motor Rutas SKU_Cons'!C34)</f>
        <v>Sin región</v>
      </c>
      <c r="B30" t="str">
        <f>IF('[3]Motor Rutas SKU_Cons'!D34="","",'[3]Motor Rutas SKU_Cons'!D34)</f>
        <v>Sin territorio</v>
      </c>
      <c r="C30" t="str">
        <f>IF('[3]Motor Rutas SKU_Cons'!B34="","",'[3]Motor Rutas SKU_Cons'!B34)</f>
        <v>Sin CeDi</v>
      </c>
      <c r="D30">
        <f>'[3]Motor Rutas SKU_Cons'!A34</f>
        <v>804405</v>
      </c>
      <c r="E30" s="997" t="str">
        <f>IF('[3]Motor Rutas SKU_Cons'!N34="","s/d","Agua "&amp;TEXT('[3]Motor Rutas SKU_Cons'!N34,"0%")&amp;" · Colas "&amp;TEXT('[3]Motor Rutas SKU_Cons'!O34,"0%")&amp;" · Resto "&amp;TEXT('[3]Motor Rutas SKU_Cons'!P34,"0%"))</f>
        <v>s/d</v>
      </c>
      <c r="F30" s="16" t="str">
        <f>'[3]Motor Rutas SKU_Cons'!CH34</f>
        <v/>
      </c>
      <c r="G30" s="16" t="str">
        <f>'[3]Motor Rutas SKU_Cons'!CG34</f>
        <v/>
      </c>
      <c r="H30" s="998">
        <f>'[3]Motor Rutas SKU_Cons'!BX34</f>
        <v>0</v>
      </c>
      <c r="I30" s="998">
        <f>'[3]Motor Rutas SKU_Cons'!BW34</f>
        <v>0</v>
      </c>
    </row>
    <row r="31" spans="1:9">
      <c r="A31" t="str">
        <f>IF('[3]Motor Rutas SKU_Cons'!C35="","",'[3]Motor Rutas SKU_Cons'!C35)</f>
        <v>Sin región</v>
      </c>
      <c r="B31" t="str">
        <f>IF('[3]Motor Rutas SKU_Cons'!D35="","",'[3]Motor Rutas SKU_Cons'!D35)</f>
        <v>Sin territorio</v>
      </c>
      <c r="C31" t="str">
        <f>IF('[3]Motor Rutas SKU_Cons'!B35="","",'[3]Motor Rutas SKU_Cons'!B35)</f>
        <v>Sin CeDi</v>
      </c>
      <c r="D31">
        <f>'[3]Motor Rutas SKU_Cons'!A35</f>
        <v>809387</v>
      </c>
      <c r="E31" s="997" t="str">
        <f>IF('[3]Motor Rutas SKU_Cons'!N35="","s/d","Agua "&amp;TEXT('[3]Motor Rutas SKU_Cons'!N35,"0%")&amp;" · Colas "&amp;TEXT('[3]Motor Rutas SKU_Cons'!O35,"0%")&amp;" · Resto "&amp;TEXT('[3]Motor Rutas SKU_Cons'!P35,"0%"))</f>
        <v>s/d</v>
      </c>
      <c r="F31" s="16" t="str">
        <f>'[3]Motor Rutas SKU_Cons'!CH35</f>
        <v/>
      </c>
      <c r="G31" s="16" t="str">
        <f>'[3]Motor Rutas SKU_Cons'!CG35</f>
        <v/>
      </c>
      <c r="H31" s="998">
        <f>'[3]Motor Rutas SKU_Cons'!BX35</f>
        <v>0</v>
      </c>
      <c r="I31" s="998">
        <f>'[3]Motor Rutas SKU_Cons'!BW35</f>
        <v>0</v>
      </c>
    </row>
    <row r="32" spans="1:9">
      <c r="A32" t="str">
        <f>IF('[3]Motor Rutas SKU_Cons'!C36="","",'[3]Motor Rutas SKU_Cons'!C36)</f>
        <v>Sin región</v>
      </c>
      <c r="B32" t="str">
        <f>IF('[3]Motor Rutas SKU_Cons'!D36="","",'[3]Motor Rutas SKU_Cons'!D36)</f>
        <v>Sin territorio</v>
      </c>
      <c r="C32" t="str">
        <f>IF('[3]Motor Rutas SKU_Cons'!B36="","",'[3]Motor Rutas SKU_Cons'!B36)</f>
        <v>Sin CeDi</v>
      </c>
      <c r="D32">
        <f>'[3]Motor Rutas SKU_Cons'!A36</f>
        <v>821340</v>
      </c>
      <c r="E32" s="997" t="str">
        <f>IF('[3]Motor Rutas SKU_Cons'!N36="","s/d","Agua "&amp;TEXT('[3]Motor Rutas SKU_Cons'!N36,"0%")&amp;" · Colas "&amp;TEXT('[3]Motor Rutas SKU_Cons'!O36,"0%")&amp;" · Resto "&amp;TEXT('[3]Motor Rutas SKU_Cons'!P36,"0%"))</f>
        <v>s/d</v>
      </c>
      <c r="F32" s="16" t="str">
        <f>'[3]Motor Rutas SKU_Cons'!CH36</f>
        <v/>
      </c>
      <c r="G32" s="16" t="str">
        <f>'[3]Motor Rutas SKU_Cons'!CG36</f>
        <v/>
      </c>
      <c r="H32" s="998">
        <f>'[3]Motor Rutas SKU_Cons'!BX36</f>
        <v>0</v>
      </c>
      <c r="I32" s="998">
        <f>'[3]Motor Rutas SKU_Cons'!BW36</f>
        <v>0</v>
      </c>
    </row>
    <row r="33" spans="1:9">
      <c r="A33" t="str">
        <f>IF('[3]Motor Rutas SKU_Cons'!C37="","",'[3]Motor Rutas SKU_Cons'!C37)</f>
        <v>Sin región</v>
      </c>
      <c r="B33" t="str">
        <f>IF('[3]Motor Rutas SKU_Cons'!D37="","",'[3]Motor Rutas SKU_Cons'!D37)</f>
        <v>Sin territorio</v>
      </c>
      <c r="C33" t="str">
        <f>IF('[3]Motor Rutas SKU_Cons'!B37="","",'[3]Motor Rutas SKU_Cons'!B37)</f>
        <v>Sin CeDi</v>
      </c>
      <c r="D33">
        <f>'[3]Motor Rutas SKU_Cons'!A37</f>
        <v>946399</v>
      </c>
      <c r="E33" s="997" t="str">
        <f>IF('[3]Motor Rutas SKU_Cons'!N37="","s/d","Agua "&amp;TEXT('[3]Motor Rutas SKU_Cons'!N37,"0%")&amp;" · Colas "&amp;TEXT('[3]Motor Rutas SKU_Cons'!O37,"0%")&amp;" · Resto "&amp;TEXT('[3]Motor Rutas SKU_Cons'!P37,"0%"))</f>
        <v>s/d</v>
      </c>
      <c r="F33" s="16" t="str">
        <f>'[3]Motor Rutas SKU_Cons'!CH37</f>
        <v/>
      </c>
      <c r="G33" s="16" t="str">
        <f>'[3]Motor Rutas SKU_Cons'!CG37</f>
        <v/>
      </c>
      <c r="H33" s="998">
        <f>'[3]Motor Rutas SKU_Cons'!BX37</f>
        <v>0</v>
      </c>
      <c r="I33" s="998">
        <f>'[3]Motor Rutas SKU_Cons'!BW37</f>
        <v>0</v>
      </c>
    </row>
    <row r="34" spans="1:9">
      <c r="A34" t="str">
        <f>IF('[3]Motor Rutas SKU_Cons'!C38="","",'[3]Motor Rutas SKU_Cons'!C38)</f>
        <v>Sin región</v>
      </c>
      <c r="B34" t="str">
        <f>IF('[3]Motor Rutas SKU_Cons'!D38="","",'[3]Motor Rutas SKU_Cons'!D38)</f>
        <v>Sin territorio</v>
      </c>
      <c r="C34" t="str">
        <f>IF('[3]Motor Rutas SKU_Cons'!B38="","",'[3]Motor Rutas SKU_Cons'!B38)</f>
        <v>Sin CeDi</v>
      </c>
      <c r="D34">
        <f>'[3]Motor Rutas SKU_Cons'!A38</f>
        <v>947399</v>
      </c>
      <c r="E34" s="997" t="str">
        <f>IF('[3]Motor Rutas SKU_Cons'!N38="","s/d","Agua "&amp;TEXT('[3]Motor Rutas SKU_Cons'!N38,"0%")&amp;" · Colas "&amp;TEXT('[3]Motor Rutas SKU_Cons'!O38,"0%")&amp;" · Resto "&amp;TEXT('[3]Motor Rutas SKU_Cons'!P38,"0%"))</f>
        <v>s/d</v>
      </c>
      <c r="F34" s="16" t="str">
        <f>'[3]Motor Rutas SKU_Cons'!CH38</f>
        <v/>
      </c>
      <c r="G34" s="16" t="str">
        <f>'[3]Motor Rutas SKU_Cons'!CG38</f>
        <v/>
      </c>
      <c r="H34" s="998">
        <f>'[3]Motor Rutas SKU_Cons'!BX38</f>
        <v>0</v>
      </c>
      <c r="I34" s="998">
        <f>'[3]Motor Rutas SKU_Cons'!BW38</f>
        <v>0</v>
      </c>
    </row>
    <row r="35" spans="1:9">
      <c r="A35" t="str">
        <f>IF('[3]Motor Rutas SKU_Cons'!C39="","",'[3]Motor Rutas SKU_Cons'!C39)</f>
        <v>Norte</v>
      </c>
      <c r="B35" t="str">
        <f>IF('[3]Motor Rutas SKU_Cons'!D39="","",'[3]Motor Rutas SKU_Cons'!D39)</f>
        <v>Zacatecas</v>
      </c>
      <c r="C35" t="str">
        <f>IF('[3]Motor Rutas SKU_Cons'!B39="","",'[3]Motor Rutas SKU_Cons'!B39)</f>
        <v>Suc. Ojocaliente</v>
      </c>
      <c r="D35">
        <f>'[3]Motor Rutas SKU_Cons'!A39</f>
        <v>948470</v>
      </c>
      <c r="E35" s="997" t="str">
        <f>IF('[3]Motor Rutas SKU_Cons'!N39="","s/d","Agua "&amp;TEXT('[3]Motor Rutas SKU_Cons'!N39,"0%")&amp;" · Colas "&amp;TEXT('[3]Motor Rutas SKU_Cons'!O39,"0%")&amp;" · Resto "&amp;TEXT('[3]Motor Rutas SKU_Cons'!P39,"0%"))</f>
        <v>Agua 85% · Colas 8% · Resto 7%</v>
      </c>
      <c r="F35" s="16">
        <f>'[3]Motor Rutas SKU_Cons'!CH39</f>
        <v>0.365507354487206</v>
      </c>
      <c r="G35" s="16">
        <f>'[3]Motor Rutas SKU_Cons'!CG39</f>
        <v>0.8820093155844162</v>
      </c>
      <c r="H35" s="998">
        <f>'[3]Motor Rutas SKU_Cons'!BX39</f>
        <v>48.012708953372169</v>
      </c>
      <c r="I35" s="998">
        <f>'[3]Motor Rutas SKU_Cons'!BW39</f>
        <v>0</v>
      </c>
    </row>
    <row r="36" spans="1:9">
      <c r="A36" t="str">
        <f>IF('[3]Motor Rutas SKU_Cons'!C40="","",'[3]Motor Rutas SKU_Cons'!C40)</f>
        <v>Sin región</v>
      </c>
      <c r="B36" t="str">
        <f>IF('[3]Motor Rutas SKU_Cons'!D40="","",'[3]Motor Rutas SKU_Cons'!D40)</f>
        <v>Sin territorio</v>
      </c>
      <c r="C36" t="str">
        <f>IF('[3]Motor Rutas SKU_Cons'!B40="","",'[3]Motor Rutas SKU_Cons'!B40)</f>
        <v>Sin CeDi</v>
      </c>
      <c r="D36">
        <f>'[3]Motor Rutas SKU_Cons'!A40</f>
        <v>949399</v>
      </c>
      <c r="E36" s="997" t="str">
        <f>IF('[3]Motor Rutas SKU_Cons'!N40="","s/d","Agua "&amp;TEXT('[3]Motor Rutas SKU_Cons'!N40,"0%")&amp;" · Colas "&amp;TEXT('[3]Motor Rutas SKU_Cons'!O40,"0%")&amp;" · Resto "&amp;TEXT('[3]Motor Rutas SKU_Cons'!P40,"0%"))</f>
        <v>s/d</v>
      </c>
      <c r="F36" s="16" t="str">
        <f>'[3]Motor Rutas SKU_Cons'!CH40</f>
        <v/>
      </c>
      <c r="G36" s="16" t="str">
        <f>'[3]Motor Rutas SKU_Cons'!CG40</f>
        <v/>
      </c>
      <c r="H36" s="998">
        <f>'[3]Motor Rutas SKU_Cons'!BX40</f>
        <v>0</v>
      </c>
      <c r="I36" s="998">
        <f>'[3]Motor Rutas SKU_Cons'!BW40</f>
        <v>0</v>
      </c>
    </row>
    <row r="37" spans="1:9">
      <c r="A37" t="str">
        <f>IF('[3]Motor Rutas SKU_Cons'!C41="","",'[3]Motor Rutas SKU_Cons'!C41)</f>
        <v>Occidente</v>
      </c>
      <c r="B37" t="str">
        <f>IF('[3]Motor Rutas SKU_Cons'!D41="","",'[3]Motor Rutas SKU_Cons'!D41)</f>
        <v>Zapopan</v>
      </c>
      <c r="C37" t="str">
        <f>IF('[3]Motor Rutas SKU_Cons'!B41="","",'[3]Motor Rutas SKU_Cons'!B41)</f>
        <v>Suc. Huentitán</v>
      </c>
      <c r="D37">
        <f>'[3]Motor Rutas SKU_Cons'!A41</f>
        <v>819429</v>
      </c>
      <c r="E37" s="997" t="str">
        <f>IF('[3]Motor Rutas SKU_Cons'!N41="","s/d","Agua "&amp;TEXT('[3]Motor Rutas SKU_Cons'!N41,"0%")&amp;" · Colas "&amp;TEXT('[3]Motor Rutas SKU_Cons'!O41,"0%")&amp;" · Resto "&amp;TEXT('[3]Motor Rutas SKU_Cons'!P41,"0%"))</f>
        <v>Agua 85% · Colas 8% · Resto 7%</v>
      </c>
      <c r="F37" s="16">
        <f>'[3]Motor Rutas SKU_Cons'!CH41</f>
        <v>0.25366400633417857</v>
      </c>
      <c r="G37" s="16">
        <f>'[3]Motor Rutas SKU_Cons'!CG41</f>
        <v>3.4871118115909083</v>
      </c>
      <c r="H37" s="998">
        <f>'[3]Motor Rutas SKU_Cons'!BX41</f>
        <v>61.928514737076767</v>
      </c>
      <c r="I37" s="998">
        <f>'[3]Motor Rutas SKU_Cons'!BW41</f>
        <v>0</v>
      </c>
    </row>
    <row r="38" spans="1:9">
      <c r="A38" t="str">
        <f>IF('[3]Motor Rutas SKU_Cons'!C42="","",'[3]Motor Rutas SKU_Cons'!C42)</f>
        <v>Occidente</v>
      </c>
      <c r="B38" t="str">
        <f>IF('[3]Motor Rutas SKU_Cons'!D42="","",'[3]Motor Rutas SKU_Cons'!D42)</f>
        <v>Favorita</v>
      </c>
      <c r="C38" t="str">
        <f>IF('[3]Motor Rutas SKU_Cons'!B42="","",'[3]Motor Rutas SKU_Cons'!B42)</f>
        <v>Suc. San Rafael</v>
      </c>
      <c r="D38">
        <f>'[3]Motor Rutas SKU_Cons'!A42</f>
        <v>803348</v>
      </c>
      <c r="E38" s="997" t="str">
        <f>IF('[3]Motor Rutas SKU_Cons'!N42="","s/d","Agua "&amp;TEXT('[3]Motor Rutas SKU_Cons'!N42,"0%")&amp;" · Colas "&amp;TEXT('[3]Motor Rutas SKU_Cons'!O42,"0%")&amp;" · Resto "&amp;TEXT('[3]Motor Rutas SKU_Cons'!P42,"0%"))</f>
        <v>Agua 85% · Colas 8% · Resto 7%</v>
      </c>
      <c r="F38" s="16">
        <f>'[3]Motor Rutas SKU_Cons'!CH42</f>
        <v>0.16483374534675141</v>
      </c>
      <c r="G38" s="16">
        <f>'[3]Motor Rutas SKU_Cons'!CG42</f>
        <v>3.1984963440340928</v>
      </c>
      <c r="H38" s="998">
        <f>'[3]Motor Rutas SKU_Cons'!BX42</f>
        <v>63.460812986630984</v>
      </c>
      <c r="I38" s="998">
        <f>'[3]Motor Rutas SKU_Cons'!BW42</f>
        <v>0</v>
      </c>
    </row>
    <row r="39" spans="1:9">
      <c r="A39" t="str">
        <f>IF('[3]Motor Rutas SKU_Cons'!C43="","",'[3]Motor Rutas SKU_Cons'!C43)</f>
        <v>Occidente</v>
      </c>
      <c r="B39" t="str">
        <f>IF('[3]Motor Rutas SKU_Cons'!D43="","",'[3]Motor Rutas SKU_Cons'!D43)</f>
        <v>Favorita</v>
      </c>
      <c r="C39" t="str">
        <f>IF('[3]Motor Rutas SKU_Cons'!B43="","",'[3]Motor Rutas SKU_Cons'!B43)</f>
        <v>Cedi Tonalá</v>
      </c>
      <c r="D39">
        <f>'[3]Motor Rutas SKU_Cons'!A43</f>
        <v>810361</v>
      </c>
      <c r="E39" s="997" t="str">
        <f>IF('[3]Motor Rutas SKU_Cons'!N43="","s/d","Agua "&amp;TEXT('[3]Motor Rutas SKU_Cons'!N43,"0%")&amp;" · Colas "&amp;TEXT('[3]Motor Rutas SKU_Cons'!O43,"0%")&amp;" · Resto "&amp;TEXT('[3]Motor Rutas SKU_Cons'!P43,"0%"))</f>
        <v>Agua 85% · Colas 8% · Resto 7%</v>
      </c>
      <c r="F39" s="16">
        <f>'[3]Motor Rutas SKU_Cons'!CH43</f>
        <v>0.25746533227112228</v>
      </c>
      <c r="G39" s="16">
        <f>'[3]Motor Rutas SKU_Cons'!CG43</f>
        <v>3.1327301858522709</v>
      </c>
      <c r="H39" s="998">
        <f>'[3]Motor Rutas SKU_Cons'!BX43</f>
        <v>2.897376396482521</v>
      </c>
      <c r="I39" s="998">
        <f>'[3]Motor Rutas SKU_Cons'!BW43</f>
        <v>0</v>
      </c>
    </row>
    <row r="40" spans="1:9">
      <c r="A40" t="str">
        <f>IF('[3]Motor Rutas SKU_Cons'!C44="","",'[3]Motor Rutas SKU_Cons'!C44)</f>
        <v>Occidente</v>
      </c>
      <c r="B40" t="str">
        <f>IF('[3]Motor Rutas SKU_Cons'!D44="","",'[3]Motor Rutas SKU_Cons'!D44)</f>
        <v>Zapopan</v>
      </c>
      <c r="C40" t="str">
        <f>IF('[3]Motor Rutas SKU_Cons'!B44="","",'[3]Motor Rutas SKU_Cons'!B44)</f>
        <v>Planta Zapopan</v>
      </c>
      <c r="D40">
        <f>'[3]Motor Rutas SKU_Cons'!A44</f>
        <v>816339</v>
      </c>
      <c r="E40" s="997" t="str">
        <f>IF('[3]Motor Rutas SKU_Cons'!N44="","s/d","Agua "&amp;TEXT('[3]Motor Rutas SKU_Cons'!N44,"0%")&amp;" · Colas "&amp;TEXT('[3]Motor Rutas SKU_Cons'!O44,"0%")&amp;" · Resto "&amp;TEXT('[3]Motor Rutas SKU_Cons'!P44,"0%"))</f>
        <v>Agua 85% · Colas 8% · Resto 7%</v>
      </c>
      <c r="F40" s="16">
        <f>'[3]Motor Rutas SKU_Cons'!CH44</f>
        <v>0.12539097233066077</v>
      </c>
      <c r="G40" s="16">
        <f>'[3]Motor Rutas SKU_Cons'!CG44</f>
        <v>2.7880287105681818</v>
      </c>
      <c r="H40" s="998">
        <f>'[3]Motor Rutas SKU_Cons'!BX44</f>
        <v>57.111861368983924</v>
      </c>
      <c r="I40" s="998">
        <f>'[3]Motor Rutas SKU_Cons'!BW44</f>
        <v>0</v>
      </c>
    </row>
    <row r="41" spans="1:9">
      <c r="A41" t="str">
        <f>IF('[3]Motor Rutas SKU_Cons'!C45="","",'[3]Motor Rutas SKU_Cons'!C45)</f>
        <v>Pacifico</v>
      </c>
      <c r="B41" t="str">
        <f>IF('[3]Motor Rutas SKU_Cons'!D45="","",'[3]Motor Rutas SKU_Cons'!D45)</f>
        <v>La Paz</v>
      </c>
      <c r="C41" t="str">
        <f>IF('[3]Motor Rutas SKU_Cons'!B45="","",'[3]Motor Rutas SKU_Cons'!B45)</f>
        <v>Suc. Cabo San Lucas</v>
      </c>
      <c r="D41">
        <f>'[3]Motor Rutas SKU_Cons'!A45</f>
        <v>507306</v>
      </c>
      <c r="E41" s="997" t="str">
        <f>IF('[3]Motor Rutas SKU_Cons'!N45="","s/d","Agua "&amp;TEXT('[3]Motor Rutas SKU_Cons'!N45,"0%")&amp;" · Colas "&amp;TEXT('[3]Motor Rutas SKU_Cons'!O45,"0%")&amp;" · Resto "&amp;TEXT('[3]Motor Rutas SKU_Cons'!P45,"0%"))</f>
        <v>Agua 85% · Colas 8% · Resto 7%</v>
      </c>
      <c r="F41" s="16">
        <f>'[3]Motor Rutas SKU_Cons'!CH45</f>
        <v>0.15520733201436457</v>
      </c>
      <c r="G41" s="16">
        <f>'[3]Motor Rutas SKU_Cons'!CG45</f>
        <v>2.7386867884090904</v>
      </c>
      <c r="H41" s="998">
        <f>'[3]Motor Rutas SKU_Cons'!BX45</f>
        <v>82.914507020764418</v>
      </c>
      <c r="I41" s="998">
        <f>'[3]Motor Rutas SKU_Cons'!BW45</f>
        <v>0</v>
      </c>
    </row>
    <row r="42" spans="1:9">
      <c r="A42" t="str">
        <f>IF('[3]Motor Rutas SKU_Cons'!C46="","",'[3]Motor Rutas SKU_Cons'!C46)</f>
        <v>Occidente</v>
      </c>
      <c r="B42" t="str">
        <f>IF('[3]Motor Rutas SKU_Cons'!D46="","",'[3]Motor Rutas SKU_Cons'!D46)</f>
        <v>Favorita</v>
      </c>
      <c r="C42" t="str">
        <f>IF('[3]Motor Rutas SKU_Cons'!B46="","",'[3]Motor Rutas SKU_Cons'!B46)</f>
        <v>Suc. San Rafael</v>
      </c>
      <c r="D42">
        <f>'[3]Motor Rutas SKU_Cons'!A46</f>
        <v>803347</v>
      </c>
      <c r="E42" s="997" t="str">
        <f>IF('[3]Motor Rutas SKU_Cons'!N46="","s/d","Agua "&amp;TEXT('[3]Motor Rutas SKU_Cons'!N46,"0%")&amp;" · Colas "&amp;TEXT('[3]Motor Rutas SKU_Cons'!O46,"0%")&amp;" · Resto "&amp;TEXT('[3]Motor Rutas SKU_Cons'!P46,"0%"))</f>
        <v>Agua 85% · Colas 8% · Resto 7%</v>
      </c>
      <c r="F42" s="16">
        <f>'[3]Motor Rutas SKU_Cons'!CH46</f>
        <v>0.1859222197563947</v>
      </c>
      <c r="G42" s="16">
        <f>'[3]Motor Rutas SKU_Cons'!CG46</f>
        <v>2.7124229653977237</v>
      </c>
      <c r="H42" s="998">
        <f>'[3]Motor Rutas SKU_Cons'!BX46</f>
        <v>49.288359106951802</v>
      </c>
      <c r="I42" s="998">
        <f>'[3]Motor Rutas SKU_Cons'!BW46</f>
        <v>0</v>
      </c>
    </row>
    <row r="43" spans="1:9">
      <c r="A43" t="str">
        <f>IF('[3]Motor Rutas SKU_Cons'!C47="","",'[3]Motor Rutas SKU_Cons'!C47)</f>
        <v>Occidente</v>
      </c>
      <c r="B43" t="str">
        <f>IF('[3]Motor Rutas SKU_Cons'!D47="","",'[3]Motor Rutas SKU_Cons'!D47)</f>
        <v>Zapopan</v>
      </c>
      <c r="C43" t="str">
        <f>IF('[3]Motor Rutas SKU_Cons'!B47="","",'[3]Motor Rutas SKU_Cons'!B47)</f>
        <v>Suc. Belenes</v>
      </c>
      <c r="D43">
        <f>'[3]Motor Rutas SKU_Cons'!A47</f>
        <v>820404</v>
      </c>
      <c r="E43" s="997" t="str">
        <f>IF('[3]Motor Rutas SKU_Cons'!N47="","s/d","Agua "&amp;TEXT('[3]Motor Rutas SKU_Cons'!N47,"0%")&amp;" · Colas "&amp;TEXT('[3]Motor Rutas SKU_Cons'!O47,"0%")&amp;" · Resto "&amp;TEXT('[3]Motor Rutas SKU_Cons'!P47,"0%"))</f>
        <v>Agua 85% · Colas 8% · Resto 7%</v>
      </c>
      <c r="F43" s="16">
        <f>'[3]Motor Rutas SKU_Cons'!CH47</f>
        <v>0.17443907837252998</v>
      </c>
      <c r="G43" s="16">
        <f>'[3]Motor Rutas SKU_Cons'!CG47</f>
        <v>2.6307657946022709</v>
      </c>
      <c r="H43" s="998">
        <f>'[3]Motor Rutas SKU_Cons'!BX47</f>
        <v>48.382234179144355</v>
      </c>
      <c r="I43" s="998">
        <f>'[3]Motor Rutas SKU_Cons'!BW47</f>
        <v>0</v>
      </c>
    </row>
    <row r="44" spans="1:9">
      <c r="A44" t="str">
        <f>IF('[3]Motor Rutas SKU_Cons'!C48="","",'[3]Motor Rutas SKU_Cons'!C48)</f>
        <v>Pacifico</v>
      </c>
      <c r="B44" t="str">
        <f>IF('[3]Motor Rutas SKU_Cons'!D48="","",'[3]Motor Rutas SKU_Cons'!D48)</f>
        <v>La Paz</v>
      </c>
      <c r="C44" t="str">
        <f>IF('[3]Motor Rutas SKU_Cons'!B48="","",'[3]Motor Rutas SKU_Cons'!B48)</f>
        <v>Suc. Cabo San Lucas</v>
      </c>
      <c r="D44">
        <f>'[3]Motor Rutas SKU_Cons'!A48</f>
        <v>507302</v>
      </c>
      <c r="E44" s="997" t="str">
        <f>IF('[3]Motor Rutas SKU_Cons'!N48="","s/d","Agua "&amp;TEXT('[3]Motor Rutas SKU_Cons'!N48,"0%")&amp;" · Colas "&amp;TEXT('[3]Motor Rutas SKU_Cons'!O48,"0%")&amp;" · Resto "&amp;TEXT('[3]Motor Rutas SKU_Cons'!P48,"0%"))</f>
        <v>Agua 85% · Colas 8% · Resto 7%</v>
      </c>
      <c r="F44" s="16">
        <f>'[3]Motor Rutas SKU_Cons'!CH48</f>
        <v>0.23403943790316642</v>
      </c>
      <c r="G44" s="16">
        <f>'[3]Motor Rutas SKU_Cons'!CG48</f>
        <v>2.3315231319545453</v>
      </c>
      <c r="H44" s="998">
        <f>'[3]Motor Rutas SKU_Cons'!BX48</f>
        <v>37.58865625280643</v>
      </c>
      <c r="I44" s="998">
        <f>'[3]Motor Rutas SKU_Cons'!BW48</f>
        <v>0</v>
      </c>
    </row>
    <row r="45" spans="1:9">
      <c r="A45" t="str">
        <f>IF('[3]Motor Rutas SKU_Cons'!C49="","",'[3]Motor Rutas SKU_Cons'!C49)</f>
        <v>Pacifico</v>
      </c>
      <c r="B45" t="str">
        <f>IF('[3]Motor Rutas SKU_Cons'!D49="","",'[3]Motor Rutas SKU_Cons'!D49)</f>
        <v>La Paz</v>
      </c>
      <c r="C45" t="str">
        <f>IF('[3]Motor Rutas SKU_Cons'!B49="","",'[3]Motor Rutas SKU_Cons'!B49)</f>
        <v>Suc. Cabo San Lucas</v>
      </c>
      <c r="D45">
        <f>'[3]Motor Rutas SKU_Cons'!A49</f>
        <v>507301</v>
      </c>
      <c r="E45" s="997" t="str">
        <f>IF('[3]Motor Rutas SKU_Cons'!N49="","s/d","Agua "&amp;TEXT('[3]Motor Rutas SKU_Cons'!N49,"0%")&amp;" · Colas "&amp;TEXT('[3]Motor Rutas SKU_Cons'!O49,"0%")&amp;" · Resto "&amp;TEXT('[3]Motor Rutas SKU_Cons'!P49,"0%"))</f>
        <v>Agua 85% · Colas 8% · Resto 7%</v>
      </c>
      <c r="F45" s="16">
        <f>'[3]Motor Rutas SKU_Cons'!CH49</f>
        <v>0.11442991128539398</v>
      </c>
      <c r="G45" s="16">
        <f>'[3]Motor Rutas SKU_Cons'!CG49</f>
        <v>2.1255512082954531</v>
      </c>
      <c r="H45" s="998">
        <f>'[3]Motor Rutas SKU_Cons'!BX49</f>
        <v>47.70986136209028</v>
      </c>
      <c r="I45" s="998">
        <f>'[3]Motor Rutas SKU_Cons'!BW49</f>
        <v>0</v>
      </c>
    </row>
    <row r="46" spans="1:9">
      <c r="A46" t="str">
        <f>IF('[3]Motor Rutas SKU_Cons'!C50="","",'[3]Motor Rutas SKU_Cons'!C50)</f>
        <v>Pacifico</v>
      </c>
      <c r="B46" t="str">
        <f>IF('[3]Motor Rutas SKU_Cons'!D50="","",'[3]Motor Rutas SKU_Cons'!D50)</f>
        <v>La Paz</v>
      </c>
      <c r="C46" t="str">
        <f>IF('[3]Motor Rutas SKU_Cons'!B50="","",'[3]Motor Rutas SKU_Cons'!B50)</f>
        <v>Suc. Cabo San Lucas</v>
      </c>
      <c r="D46">
        <f>'[3]Motor Rutas SKU_Cons'!A50</f>
        <v>507303</v>
      </c>
      <c r="E46" s="997" t="str">
        <f>IF('[3]Motor Rutas SKU_Cons'!N50="","s/d","Agua "&amp;TEXT('[3]Motor Rutas SKU_Cons'!N50,"0%")&amp;" · Colas "&amp;TEXT('[3]Motor Rutas SKU_Cons'!O50,"0%")&amp;" · Resto "&amp;TEXT('[3]Motor Rutas SKU_Cons'!P50,"0%"))</f>
        <v>Agua 85% · Colas 8% · Resto 7%</v>
      </c>
      <c r="F46" s="16">
        <f>'[3]Motor Rutas SKU_Cons'!CH50</f>
        <v>0.20261427845851554</v>
      </c>
      <c r="G46" s="16">
        <f>'[3]Motor Rutas SKU_Cons'!CG50</f>
        <v>1.7870649815454538</v>
      </c>
      <c r="H46" s="998">
        <f>'[3]Motor Rutas SKU_Cons'!BX50</f>
        <v>39.130810737654812</v>
      </c>
      <c r="I46" s="998">
        <f>'[3]Motor Rutas SKU_Cons'!BW50</f>
        <v>0</v>
      </c>
    </row>
    <row r="47" spans="1:9">
      <c r="A47" t="str">
        <f>IF('[3]Motor Rutas SKU_Cons'!C51="","",'[3]Motor Rutas SKU_Cons'!C51)</f>
        <v>Pacifico</v>
      </c>
      <c r="B47" t="str">
        <f>IF('[3]Motor Rutas SKU_Cons'!D51="","",'[3]Motor Rutas SKU_Cons'!D51)</f>
        <v>La Paz</v>
      </c>
      <c r="C47" t="str">
        <f>IF('[3]Motor Rutas SKU_Cons'!B51="","",'[3]Motor Rutas SKU_Cons'!B51)</f>
        <v>Suc. Cabo San Lucas</v>
      </c>
      <c r="D47">
        <f>'[3]Motor Rutas SKU_Cons'!A51</f>
        <v>507300</v>
      </c>
      <c r="E47" s="997" t="str">
        <f>IF('[3]Motor Rutas SKU_Cons'!N51="","s/d","Agua "&amp;TEXT('[3]Motor Rutas SKU_Cons'!N51,"0%")&amp;" · Colas "&amp;TEXT('[3]Motor Rutas SKU_Cons'!O51,"0%")&amp;" · Resto "&amp;TEXT('[3]Motor Rutas SKU_Cons'!P51,"0%"))</f>
        <v>Agua 85% · Colas 8% · Resto 7%</v>
      </c>
      <c r="F47" s="16">
        <f>'[3]Motor Rutas SKU_Cons'!CH51</f>
        <v>0.32461889581225534</v>
      </c>
      <c r="G47" s="16">
        <f>'[3]Motor Rutas SKU_Cons'!CG51</f>
        <v>1.6960652830227274</v>
      </c>
      <c r="H47" s="998">
        <f>'[3]Motor Rutas SKU_Cons'!BX51</f>
        <v>33.143570858866973</v>
      </c>
      <c r="I47" s="998">
        <f>'[3]Motor Rutas SKU_Cons'!BW51</f>
        <v>0</v>
      </c>
    </row>
    <row r="48" spans="1:9">
      <c r="A48" t="str">
        <f>IF('[3]Motor Rutas SKU_Cons'!C52="","",'[3]Motor Rutas SKU_Cons'!C52)</f>
        <v>Occidente</v>
      </c>
      <c r="B48" t="str">
        <f>IF('[3]Motor Rutas SKU_Cons'!D52="","",'[3]Motor Rutas SKU_Cons'!D52)</f>
        <v>Zapopan</v>
      </c>
      <c r="C48" t="str">
        <f>IF('[3]Motor Rutas SKU_Cons'!B52="","",'[3]Motor Rutas SKU_Cons'!B52)</f>
        <v>Planta Zapopan</v>
      </c>
      <c r="D48">
        <f>'[3]Motor Rutas SKU_Cons'!A52</f>
        <v>816329</v>
      </c>
      <c r="E48" s="997" t="str">
        <f>IF('[3]Motor Rutas SKU_Cons'!N52="","s/d","Agua "&amp;TEXT('[3]Motor Rutas SKU_Cons'!N52,"0%")&amp;" · Colas "&amp;TEXT('[3]Motor Rutas SKU_Cons'!O52,"0%")&amp;" · Resto "&amp;TEXT('[3]Motor Rutas SKU_Cons'!P52,"0%"))</f>
        <v>Agua 85% · Colas 8% · Resto 7%</v>
      </c>
      <c r="F48" s="16">
        <f>'[3]Motor Rutas SKU_Cons'!CH52</f>
        <v>0.24995163749111229</v>
      </c>
      <c r="G48" s="16">
        <f>'[3]Motor Rutas SKU_Cons'!CG52</f>
        <v>1.6469939873863642</v>
      </c>
      <c r="H48" s="998">
        <f>'[3]Motor Rutas SKU_Cons'!BX52</f>
        <v>7.9606007077983811</v>
      </c>
      <c r="I48" s="998">
        <f>'[3]Motor Rutas SKU_Cons'!BW52</f>
        <v>0</v>
      </c>
    </row>
    <row r="49" spans="1:9">
      <c r="A49" t="str">
        <f>IF('[3]Motor Rutas SKU_Cons'!C53="","",'[3]Motor Rutas SKU_Cons'!C53)</f>
        <v>Occidente</v>
      </c>
      <c r="B49" t="str">
        <f>IF('[3]Motor Rutas SKU_Cons'!D53="","",'[3]Motor Rutas SKU_Cons'!D53)</f>
        <v>Zapopan</v>
      </c>
      <c r="C49" t="str">
        <f>IF('[3]Motor Rutas SKU_Cons'!B53="","",'[3]Motor Rutas SKU_Cons'!B53)</f>
        <v>Planta Zapopan</v>
      </c>
      <c r="D49">
        <f>'[3]Motor Rutas SKU_Cons'!A53</f>
        <v>816374</v>
      </c>
      <c r="E49" s="997" t="str">
        <f>IF('[3]Motor Rutas SKU_Cons'!N53="","s/d","Agua "&amp;TEXT('[3]Motor Rutas SKU_Cons'!N53,"0%")&amp;" · Colas "&amp;TEXT('[3]Motor Rutas SKU_Cons'!O53,"0%")&amp;" · Resto "&amp;TEXT('[3]Motor Rutas SKU_Cons'!P53,"0%"))</f>
        <v>Agua 85% · Colas 8% · Resto 7%</v>
      </c>
      <c r="F49" s="16">
        <f>'[3]Motor Rutas SKU_Cons'!CH53</f>
        <v>0.28785804142808669</v>
      </c>
      <c r="G49" s="16">
        <f>'[3]Motor Rutas SKU_Cons'!CG53</f>
        <v>1.6232985347727276</v>
      </c>
      <c r="H49" s="998">
        <f>'[3]Motor Rutas SKU_Cons'!BX53</f>
        <v>69.89513718743099</v>
      </c>
      <c r="I49" s="998">
        <f>'[3]Motor Rutas SKU_Cons'!BW53</f>
        <v>0</v>
      </c>
    </row>
    <row r="50" spans="1:9">
      <c r="A50" t="str">
        <f>IF('[3]Motor Rutas SKU_Cons'!C54="","",'[3]Motor Rutas SKU_Cons'!C54)</f>
        <v>Pacifico</v>
      </c>
      <c r="B50" t="str">
        <f>IF('[3]Motor Rutas SKU_Cons'!D54="","",'[3]Motor Rutas SKU_Cons'!D54)</f>
        <v>La Paz</v>
      </c>
      <c r="C50" t="str">
        <f>IF('[3]Motor Rutas SKU_Cons'!B54="","",'[3]Motor Rutas SKU_Cons'!B54)</f>
        <v>Planta La Paz</v>
      </c>
      <c r="D50">
        <f>'[3]Motor Rutas SKU_Cons'!A54</f>
        <v>506300</v>
      </c>
      <c r="E50" s="997" t="str">
        <f>IF('[3]Motor Rutas SKU_Cons'!N54="","s/d","Agua "&amp;TEXT('[3]Motor Rutas SKU_Cons'!N54,"0%")&amp;" · Colas "&amp;TEXT('[3]Motor Rutas SKU_Cons'!O54,"0%")&amp;" · Resto "&amp;TEXT('[3]Motor Rutas SKU_Cons'!P54,"0%"))</f>
        <v>Agua 85% · Colas 8% · Resto 7%</v>
      </c>
      <c r="F50" s="16">
        <f>'[3]Motor Rutas SKU_Cons'!CH54</f>
        <v>0.18119289156677321</v>
      </c>
      <c r="G50" s="16">
        <f>'[3]Motor Rutas SKU_Cons'!CG54</f>
        <v>1.5486996613636368</v>
      </c>
      <c r="H50" s="998">
        <f>'[3]Motor Rutas SKU_Cons'!BX54</f>
        <v>9.32555983380459</v>
      </c>
      <c r="I50" s="998">
        <f>'[3]Motor Rutas SKU_Cons'!BW54</f>
        <v>0</v>
      </c>
    </row>
    <row r="51" spans="1:9">
      <c r="A51" t="str">
        <f>IF('[3]Motor Rutas SKU_Cons'!C55="","",'[3]Motor Rutas SKU_Cons'!C55)</f>
        <v>Occidente</v>
      </c>
      <c r="B51" t="str">
        <f>IF('[3]Motor Rutas SKU_Cons'!D55="","",'[3]Motor Rutas SKU_Cons'!D55)</f>
        <v>Zapopan</v>
      </c>
      <c r="C51" t="str">
        <f>IF('[3]Motor Rutas SKU_Cons'!B55="","",'[3]Motor Rutas SKU_Cons'!B55)</f>
        <v>Planta Zapopan</v>
      </c>
      <c r="D51">
        <f>'[3]Motor Rutas SKU_Cons'!A55</f>
        <v>816382</v>
      </c>
      <c r="E51" s="997" t="str">
        <f>IF('[3]Motor Rutas SKU_Cons'!N55="","s/d","Agua "&amp;TEXT('[3]Motor Rutas SKU_Cons'!N55,"0%")&amp;" · Colas "&amp;TEXT('[3]Motor Rutas SKU_Cons'!O55,"0%")&amp;" · Resto "&amp;TEXT('[3]Motor Rutas SKU_Cons'!P55,"0%"))</f>
        <v>Agua 85% · Colas 8% · Resto 7%</v>
      </c>
      <c r="F51" s="16">
        <f>'[3]Motor Rutas SKU_Cons'!CH55</f>
        <v>0.2758261232532363</v>
      </c>
      <c r="G51" s="16">
        <f>'[3]Motor Rutas SKU_Cons'!CG55</f>
        <v>1.5085106411931843</v>
      </c>
      <c r="H51" s="998">
        <f>'[3]Motor Rutas SKU_Cons'!BX55</f>
        <v>71.076042990461531</v>
      </c>
      <c r="I51" s="998">
        <f>'[3]Motor Rutas SKU_Cons'!BW55</f>
        <v>0</v>
      </c>
    </row>
    <row r="52" spans="1:9">
      <c r="A52" t="str">
        <f>IF('[3]Motor Rutas SKU_Cons'!C56="","",'[3]Motor Rutas SKU_Cons'!C56)</f>
        <v>Occidente</v>
      </c>
      <c r="B52" t="str">
        <f>IF('[3]Motor Rutas SKU_Cons'!D56="","",'[3]Motor Rutas SKU_Cons'!D56)</f>
        <v>Zapopan</v>
      </c>
      <c r="C52" t="str">
        <f>IF('[3]Motor Rutas SKU_Cons'!B56="","",'[3]Motor Rutas SKU_Cons'!B56)</f>
        <v>Planta Zapopan</v>
      </c>
      <c r="D52">
        <f>'[3]Motor Rutas SKU_Cons'!A56</f>
        <v>816367</v>
      </c>
      <c r="E52" s="997" t="str">
        <f>IF('[3]Motor Rutas SKU_Cons'!N56="","s/d","Agua "&amp;TEXT('[3]Motor Rutas SKU_Cons'!N56,"0%")&amp;" · Colas "&amp;TEXT('[3]Motor Rutas SKU_Cons'!O56,"0%")&amp;" · Resto "&amp;TEXT('[3]Motor Rutas SKU_Cons'!P56,"0%"))</f>
        <v>Agua 85% · Colas 8% · Resto 7%</v>
      </c>
      <c r="F52" s="16">
        <f>'[3]Motor Rutas SKU_Cons'!CH56</f>
        <v>0.3380136636128821</v>
      </c>
      <c r="G52" s="16">
        <f>'[3]Motor Rutas SKU_Cons'!CG56</f>
        <v>1.4968724399999989</v>
      </c>
      <c r="H52" s="998">
        <f>'[3]Motor Rutas SKU_Cons'!BX56</f>
        <v>64.972475278340255</v>
      </c>
      <c r="I52" s="998">
        <f>'[3]Motor Rutas SKU_Cons'!BW56</f>
        <v>0</v>
      </c>
    </row>
    <row r="53" spans="1:9">
      <c r="A53" t="str">
        <f>IF('[3]Motor Rutas SKU_Cons'!C57="","",'[3]Motor Rutas SKU_Cons'!C57)</f>
        <v>Occidente</v>
      </c>
      <c r="B53" t="str">
        <f>IF('[3]Motor Rutas SKU_Cons'!D57="","",'[3]Motor Rutas SKU_Cons'!D57)</f>
        <v>Aguascalientes</v>
      </c>
      <c r="C53" t="str">
        <f>IF('[3]Motor Rutas SKU_Cons'!B57="","",'[3]Motor Rutas SKU_Cons'!B57)</f>
        <v>Sucursal Jalpa</v>
      </c>
      <c r="D53">
        <f>'[3]Motor Rutas SKU_Cons'!A57</f>
        <v>903400</v>
      </c>
      <c r="E53" s="997" t="str">
        <f>IF('[3]Motor Rutas SKU_Cons'!N57="","s/d","Agua "&amp;TEXT('[3]Motor Rutas SKU_Cons'!N57,"0%")&amp;" · Colas "&amp;TEXT('[3]Motor Rutas SKU_Cons'!O57,"0%")&amp;" · Resto "&amp;TEXT('[3]Motor Rutas SKU_Cons'!P57,"0%"))</f>
        <v>Agua 85% · Colas 8% · Resto 7%</v>
      </c>
      <c r="F53" s="16">
        <f>'[3]Motor Rutas SKU_Cons'!CH57</f>
        <v>0.15279857094972171</v>
      </c>
      <c r="G53" s="16">
        <f>'[3]Motor Rutas SKU_Cons'!CG57</f>
        <v>1.4389503617045445</v>
      </c>
      <c r="H53" s="998">
        <f>'[3]Motor Rutas SKU_Cons'!BX57</f>
        <v>0</v>
      </c>
      <c r="I53" s="998">
        <f>'[3]Motor Rutas SKU_Cons'!BW57</f>
        <v>0</v>
      </c>
    </row>
    <row r="54" spans="1:9">
      <c r="A54" t="str">
        <f>IF('[3]Motor Rutas SKU_Cons'!C58="","",'[3]Motor Rutas SKU_Cons'!C58)</f>
        <v>Pacifico</v>
      </c>
      <c r="B54" t="str">
        <f>IF('[3]Motor Rutas SKU_Cons'!D58="","",'[3]Motor Rutas SKU_Cons'!D58)</f>
        <v>La Paz</v>
      </c>
      <c r="C54" t="str">
        <f>IF('[3]Motor Rutas SKU_Cons'!B58="","",'[3]Motor Rutas SKU_Cons'!B58)</f>
        <v>Suc. Cabo San Lucas</v>
      </c>
      <c r="D54">
        <f>'[3]Motor Rutas SKU_Cons'!A58</f>
        <v>507305</v>
      </c>
      <c r="E54" s="997" t="str">
        <f>IF('[3]Motor Rutas SKU_Cons'!N58="","s/d","Agua "&amp;TEXT('[3]Motor Rutas SKU_Cons'!N58,"0%")&amp;" · Colas "&amp;TEXT('[3]Motor Rutas SKU_Cons'!O58,"0%")&amp;" · Resto "&amp;TEXT('[3]Motor Rutas SKU_Cons'!P58,"0%"))</f>
        <v>Agua 85% · Colas 8% · Resto 7%</v>
      </c>
      <c r="F54" s="16">
        <f>'[3]Motor Rutas SKU_Cons'!CH58</f>
        <v>0.14977542607569516</v>
      </c>
      <c r="G54" s="16">
        <f>'[3]Motor Rutas SKU_Cons'!CG58</f>
        <v>1.4093186496136367</v>
      </c>
      <c r="H54" s="998">
        <f>'[3]Motor Rutas SKU_Cons'!BX58</f>
        <v>41.723818207352089</v>
      </c>
      <c r="I54" s="998">
        <f>'[3]Motor Rutas SKU_Cons'!BW58</f>
        <v>0</v>
      </c>
    </row>
    <row r="55" spans="1:9">
      <c r="A55" t="str">
        <f>IF('[3]Motor Rutas SKU_Cons'!C59="","",'[3]Motor Rutas SKU_Cons'!C59)</f>
        <v>Occidente</v>
      </c>
      <c r="B55" t="str">
        <f>IF('[3]Motor Rutas SKU_Cons'!D59="","",'[3]Motor Rutas SKU_Cons'!D59)</f>
        <v>Zapopan</v>
      </c>
      <c r="C55" t="str">
        <f>IF('[3]Motor Rutas SKU_Cons'!B59="","",'[3]Motor Rutas SKU_Cons'!B59)</f>
        <v>Planta Zapopan</v>
      </c>
      <c r="D55">
        <f>'[3]Motor Rutas SKU_Cons'!A59</f>
        <v>816384</v>
      </c>
      <c r="E55" s="997" t="str">
        <f>IF('[3]Motor Rutas SKU_Cons'!N59="","s/d","Agua "&amp;TEXT('[3]Motor Rutas SKU_Cons'!N59,"0%")&amp;" · Colas "&amp;TEXT('[3]Motor Rutas SKU_Cons'!O59,"0%")&amp;" · Resto "&amp;TEXT('[3]Motor Rutas SKU_Cons'!P59,"0%"))</f>
        <v>Agua 85% · Colas 8% · Resto 7%</v>
      </c>
      <c r="F55" s="16">
        <f>'[3]Motor Rutas SKU_Cons'!CH59</f>
        <v>0.23260678829209369</v>
      </c>
      <c r="G55" s="16">
        <f>'[3]Motor Rutas SKU_Cons'!CG59</f>
        <v>1.4061897352840909</v>
      </c>
      <c r="H55" s="998">
        <f>'[3]Motor Rutas SKU_Cons'!BX59</f>
        <v>75.317923854097728</v>
      </c>
      <c r="I55" s="998">
        <f>'[3]Motor Rutas SKU_Cons'!BW59</f>
        <v>0</v>
      </c>
    </row>
    <row r="56" spans="1:9">
      <c r="A56" t="str">
        <f>IF('[3]Motor Rutas SKU_Cons'!C60="","",'[3]Motor Rutas SKU_Cons'!C60)</f>
        <v>Pacifico</v>
      </c>
      <c r="B56" t="str">
        <f>IF('[3]Motor Rutas SKU_Cons'!D60="","",'[3]Motor Rutas SKU_Cons'!D60)</f>
        <v>La Paz</v>
      </c>
      <c r="C56" t="str">
        <f>IF('[3]Motor Rutas SKU_Cons'!B60="","",'[3]Motor Rutas SKU_Cons'!B60)</f>
        <v>Planta La Paz</v>
      </c>
      <c r="D56">
        <f>'[3]Motor Rutas SKU_Cons'!A60</f>
        <v>506301</v>
      </c>
      <c r="E56" s="997" t="str">
        <f>IF('[3]Motor Rutas SKU_Cons'!N60="","s/d","Agua "&amp;TEXT('[3]Motor Rutas SKU_Cons'!N60,"0%")&amp;" · Colas "&amp;TEXT('[3]Motor Rutas SKU_Cons'!O60,"0%")&amp;" · Resto "&amp;TEXT('[3]Motor Rutas SKU_Cons'!P60,"0%"))</f>
        <v>Agua 85% · Colas 8% · Resto 7%</v>
      </c>
      <c r="F56" s="16">
        <f>'[3]Motor Rutas SKU_Cons'!CH60</f>
        <v>0.28185822536353039</v>
      </c>
      <c r="G56" s="16">
        <f>'[3]Motor Rutas SKU_Cons'!CG60</f>
        <v>1.3978438110000002</v>
      </c>
      <c r="H56" s="998">
        <f>'[3]Motor Rutas SKU_Cons'!BX60</f>
        <v>35.242002843715639</v>
      </c>
      <c r="I56" s="998">
        <f>'[3]Motor Rutas SKU_Cons'!BW60</f>
        <v>0</v>
      </c>
    </row>
    <row r="57" spans="1:9">
      <c r="A57" t="str">
        <f>IF('[3]Motor Rutas SKU_Cons'!C61="","",'[3]Motor Rutas SKU_Cons'!C61)</f>
        <v>Pacifico</v>
      </c>
      <c r="B57" t="str">
        <f>IF('[3]Motor Rutas SKU_Cons'!D61="","",'[3]Motor Rutas SKU_Cons'!D61)</f>
        <v>La Paz</v>
      </c>
      <c r="C57" t="str">
        <f>IF('[3]Motor Rutas SKU_Cons'!B61="","",'[3]Motor Rutas SKU_Cons'!B61)</f>
        <v>Planta La Paz</v>
      </c>
      <c r="D57">
        <f>'[3]Motor Rutas SKU_Cons'!A61</f>
        <v>506304</v>
      </c>
      <c r="E57" s="997" t="str">
        <f>IF('[3]Motor Rutas SKU_Cons'!N61="","s/d","Agua "&amp;TEXT('[3]Motor Rutas SKU_Cons'!N61,"0%")&amp;" · Colas "&amp;TEXT('[3]Motor Rutas SKU_Cons'!O61,"0%")&amp;" · Resto "&amp;TEXT('[3]Motor Rutas SKU_Cons'!P61,"0%"))</f>
        <v>Agua 85% · Colas 8% · Resto 7%</v>
      </c>
      <c r="F57" s="16">
        <f>'[3]Motor Rutas SKU_Cons'!CH61</f>
        <v>8.4506679805532156E-2</v>
      </c>
      <c r="G57" s="16">
        <f>'[3]Motor Rutas SKU_Cons'!CG61</f>
        <v>1.3637098876704552</v>
      </c>
      <c r="H57" s="998">
        <f>'[3]Motor Rutas SKU_Cons'!BX61</f>
        <v>89.853617581370671</v>
      </c>
      <c r="I57" s="998">
        <f>'[3]Motor Rutas SKU_Cons'!BW61</f>
        <v>0</v>
      </c>
    </row>
    <row r="58" spans="1:9">
      <c r="A58" t="str">
        <f>IF('[3]Motor Rutas SKU_Cons'!C62="","",'[3]Motor Rutas SKU_Cons'!C62)</f>
        <v>Pacifico</v>
      </c>
      <c r="B58" t="str">
        <f>IF('[3]Motor Rutas SKU_Cons'!D62="","",'[3]Motor Rutas SKU_Cons'!D62)</f>
        <v>La Paz</v>
      </c>
      <c r="C58" t="str">
        <f>IF('[3]Motor Rutas SKU_Cons'!B62="","",'[3]Motor Rutas SKU_Cons'!B62)</f>
        <v>Planta La Paz</v>
      </c>
      <c r="D58">
        <f>'[3]Motor Rutas SKU_Cons'!A62</f>
        <v>506303</v>
      </c>
      <c r="E58" s="997" t="str">
        <f>IF('[3]Motor Rutas SKU_Cons'!N62="","s/d","Agua "&amp;TEXT('[3]Motor Rutas SKU_Cons'!N62,"0%")&amp;" · Colas "&amp;TEXT('[3]Motor Rutas SKU_Cons'!O62,"0%")&amp;" · Resto "&amp;TEXT('[3]Motor Rutas SKU_Cons'!P62,"0%"))</f>
        <v>Agua 85% · Colas 8% · Resto 7%</v>
      </c>
      <c r="F58" s="16">
        <f>'[3]Motor Rutas SKU_Cons'!CH62</f>
        <v>0.16217947998061524</v>
      </c>
      <c r="G58" s="16">
        <f>'[3]Motor Rutas SKU_Cons'!CG62</f>
        <v>1.3476687267272718</v>
      </c>
      <c r="H58" s="998">
        <f>'[3]Motor Rutas SKU_Cons'!BX62</f>
        <v>41.115103161897338</v>
      </c>
      <c r="I58" s="998">
        <f>'[3]Motor Rutas SKU_Cons'!BW62</f>
        <v>0</v>
      </c>
    </row>
    <row r="59" spans="1:9">
      <c r="A59" t="str">
        <f>IF('[3]Motor Rutas SKU_Cons'!C63="","",'[3]Motor Rutas SKU_Cons'!C63)</f>
        <v>Noreste</v>
      </c>
      <c r="B59" t="str">
        <f>IF('[3]Motor Rutas SKU_Cons'!D63="","",'[3]Motor Rutas SKU_Cons'!D63)</f>
        <v>Monterrey</v>
      </c>
      <c r="C59" t="str">
        <f>IF('[3]Motor Rutas SKU_Cons'!B63="","",'[3]Motor Rutas SKU_Cons'!B63)</f>
        <v>Sucursal Universidad</v>
      </c>
      <c r="D59">
        <f>'[3]Motor Rutas SKU_Cons'!A63</f>
        <v>703302</v>
      </c>
      <c r="E59" s="997" t="str">
        <f>IF('[3]Motor Rutas SKU_Cons'!N63="","s/d","Agua "&amp;TEXT('[3]Motor Rutas SKU_Cons'!N63,"0%")&amp;" · Colas "&amp;TEXT('[3]Motor Rutas SKU_Cons'!O63,"0%")&amp;" · Resto "&amp;TEXT('[3]Motor Rutas SKU_Cons'!P63,"0%"))</f>
        <v>Agua 80% · Colas 12% · Resto 8%</v>
      </c>
      <c r="F59" s="16">
        <f>'[3]Motor Rutas SKU_Cons'!CH63</f>
        <v>1.2517381483801024</v>
      </c>
      <c r="G59" s="16">
        <f>'[3]Motor Rutas SKU_Cons'!CG63</f>
        <v>1.3298386900909132</v>
      </c>
      <c r="H59" s="998">
        <f>'[3]Motor Rutas SKU_Cons'!BX63</f>
        <v>0</v>
      </c>
      <c r="I59" s="998">
        <f>'[3]Motor Rutas SKU_Cons'!BW63</f>
        <v>0</v>
      </c>
    </row>
    <row r="60" spans="1:9">
      <c r="A60" t="str">
        <f>IF('[3]Motor Rutas SKU_Cons'!C64="","",'[3]Motor Rutas SKU_Cons'!C64)</f>
        <v>Occidente</v>
      </c>
      <c r="B60" t="str">
        <f>IF('[3]Motor Rutas SKU_Cons'!D64="","",'[3]Motor Rutas SKU_Cons'!D64)</f>
        <v>Zapopan</v>
      </c>
      <c r="C60" t="str">
        <f>IF('[3]Motor Rutas SKU_Cons'!B64="","",'[3]Motor Rutas SKU_Cons'!B64)</f>
        <v>Planta Zapopan</v>
      </c>
      <c r="D60">
        <f>'[3]Motor Rutas SKU_Cons'!A64</f>
        <v>816351</v>
      </c>
      <c r="E60" s="997" t="str">
        <f>IF('[3]Motor Rutas SKU_Cons'!N64="","s/d","Agua "&amp;TEXT('[3]Motor Rutas SKU_Cons'!N64,"0%")&amp;" · Colas "&amp;TEXT('[3]Motor Rutas SKU_Cons'!O64,"0%")&amp;" · Resto "&amp;TEXT('[3]Motor Rutas SKU_Cons'!P64,"0%"))</f>
        <v>Agua 85% · Colas 8% · Resto 7%</v>
      </c>
      <c r="F60" s="16">
        <f>'[3]Motor Rutas SKU_Cons'!CH64</f>
        <v>0.24879505324616213</v>
      </c>
      <c r="G60" s="16">
        <f>'[3]Motor Rutas SKU_Cons'!CG64</f>
        <v>1.3172811355176135</v>
      </c>
      <c r="H60" s="998">
        <f>'[3]Motor Rutas SKU_Cons'!BX64</f>
        <v>44.908682153603429</v>
      </c>
      <c r="I60" s="998">
        <f>'[3]Motor Rutas SKU_Cons'!BW64</f>
        <v>0</v>
      </c>
    </row>
    <row r="61" spans="1:9">
      <c r="A61" t="str">
        <f>IF('[3]Motor Rutas SKU_Cons'!C65="","",'[3]Motor Rutas SKU_Cons'!C65)</f>
        <v>Occidente</v>
      </c>
      <c r="B61" t="str">
        <f>IF('[3]Motor Rutas SKU_Cons'!D65="","",'[3]Motor Rutas SKU_Cons'!D65)</f>
        <v>Zapopan</v>
      </c>
      <c r="C61" t="str">
        <f>IF('[3]Motor Rutas SKU_Cons'!B65="","",'[3]Motor Rutas SKU_Cons'!B65)</f>
        <v>Suc. Tala</v>
      </c>
      <c r="D61">
        <f>'[3]Motor Rutas SKU_Cons'!A65</f>
        <v>825302</v>
      </c>
      <c r="E61" s="997" t="str">
        <f>IF('[3]Motor Rutas SKU_Cons'!N65="","s/d","Agua "&amp;TEXT('[3]Motor Rutas SKU_Cons'!N65,"0%")&amp;" · Colas "&amp;TEXT('[3]Motor Rutas SKU_Cons'!O65,"0%")&amp;" · Resto "&amp;TEXT('[3]Motor Rutas SKU_Cons'!P65,"0%"))</f>
        <v>Agua 85% · Colas 8% · Resto 7%</v>
      </c>
      <c r="F61" s="16">
        <f>'[3]Motor Rutas SKU_Cons'!CH65</f>
        <v>7.8602966986702286E-2</v>
      </c>
      <c r="G61" s="16">
        <f>'[3]Motor Rutas SKU_Cons'!CG65</f>
        <v>1.3078159619318179</v>
      </c>
      <c r="H61" s="998">
        <f>'[3]Motor Rutas SKU_Cons'!BX65</f>
        <v>36.165274727931774</v>
      </c>
      <c r="I61" s="998">
        <f>'[3]Motor Rutas SKU_Cons'!BW65</f>
        <v>0</v>
      </c>
    </row>
    <row r="62" spans="1:9">
      <c r="A62" t="str">
        <f>IF('[3]Motor Rutas SKU_Cons'!C66="","",'[3]Motor Rutas SKU_Cons'!C66)</f>
        <v>Pacifico</v>
      </c>
      <c r="B62" t="str">
        <f>IF('[3]Motor Rutas SKU_Cons'!D66="","",'[3]Motor Rutas SKU_Cons'!D66)</f>
        <v>La Paz</v>
      </c>
      <c r="C62" t="str">
        <f>IF('[3]Motor Rutas SKU_Cons'!B66="","",'[3]Motor Rutas SKU_Cons'!B66)</f>
        <v>Planta La Paz</v>
      </c>
      <c r="D62">
        <f>'[3]Motor Rutas SKU_Cons'!A66</f>
        <v>506307</v>
      </c>
      <c r="E62" s="997" t="str">
        <f>IF('[3]Motor Rutas SKU_Cons'!N66="","s/d","Agua "&amp;TEXT('[3]Motor Rutas SKU_Cons'!N66,"0%")&amp;" · Colas "&amp;TEXT('[3]Motor Rutas SKU_Cons'!O66,"0%")&amp;" · Resto "&amp;TEXT('[3]Motor Rutas SKU_Cons'!P66,"0%"))</f>
        <v>Agua 85% · Colas 8% · Resto 7%</v>
      </c>
      <c r="F62" s="16">
        <f>'[3]Motor Rutas SKU_Cons'!CH66</f>
        <v>0.18218028031574779</v>
      </c>
      <c r="G62" s="16">
        <f>'[3]Motor Rutas SKU_Cons'!CG66</f>
        <v>1.2942465752045467</v>
      </c>
      <c r="H62" s="998">
        <f>'[3]Motor Rutas SKU_Cons'!BX66</f>
        <v>40.133586298261122</v>
      </c>
      <c r="I62" s="998">
        <f>'[3]Motor Rutas SKU_Cons'!BW66</f>
        <v>0</v>
      </c>
    </row>
    <row r="63" spans="1:9">
      <c r="A63" t="str">
        <f>IF('[3]Motor Rutas SKU_Cons'!C67="","",'[3]Motor Rutas SKU_Cons'!C67)</f>
        <v>Occidente</v>
      </c>
      <c r="B63" t="str">
        <f>IF('[3]Motor Rutas SKU_Cons'!D67="","",'[3]Motor Rutas SKU_Cons'!D67)</f>
        <v>Zapopan</v>
      </c>
      <c r="C63" t="str">
        <f>IF('[3]Motor Rutas SKU_Cons'!B67="","",'[3]Motor Rutas SKU_Cons'!B67)</f>
        <v>Planta Zapopan</v>
      </c>
      <c r="D63">
        <f>'[3]Motor Rutas SKU_Cons'!A67</f>
        <v>816341</v>
      </c>
      <c r="E63" s="997" t="str">
        <f>IF('[3]Motor Rutas SKU_Cons'!N67="","s/d","Agua "&amp;TEXT('[3]Motor Rutas SKU_Cons'!N67,"0%")&amp;" · Colas "&amp;TEXT('[3]Motor Rutas SKU_Cons'!O67,"0%")&amp;" · Resto "&amp;TEXT('[3]Motor Rutas SKU_Cons'!P67,"0%"))</f>
        <v>Agua 85% · Colas 8% · Resto 7%</v>
      </c>
      <c r="F63" s="16">
        <f>'[3]Motor Rutas SKU_Cons'!CH67</f>
        <v>0.30683617681451814</v>
      </c>
      <c r="G63" s="16">
        <f>'[3]Motor Rutas SKU_Cons'!CG67</f>
        <v>1.2573513654545456</v>
      </c>
      <c r="H63" s="998">
        <f>'[3]Motor Rutas SKU_Cons'!BX67</f>
        <v>63.80452013279865</v>
      </c>
      <c r="I63" s="998">
        <f>'[3]Motor Rutas SKU_Cons'!BW67</f>
        <v>0</v>
      </c>
    </row>
    <row r="64" spans="1:9">
      <c r="A64" t="str">
        <f>IF('[3]Motor Rutas SKU_Cons'!C68="","",'[3]Motor Rutas SKU_Cons'!C68)</f>
        <v>Occidente</v>
      </c>
      <c r="B64" t="str">
        <f>IF('[3]Motor Rutas SKU_Cons'!D68="","",'[3]Motor Rutas SKU_Cons'!D68)</f>
        <v>Favorita</v>
      </c>
      <c r="C64" t="str">
        <f>IF('[3]Motor Rutas SKU_Cons'!B68="","",'[3]Motor Rutas SKU_Cons'!B68)</f>
        <v>Cedi Tonalá</v>
      </c>
      <c r="D64">
        <f>'[3]Motor Rutas SKU_Cons'!A68</f>
        <v>810333</v>
      </c>
      <c r="E64" s="997" t="str">
        <f>IF('[3]Motor Rutas SKU_Cons'!N68="","s/d","Agua "&amp;TEXT('[3]Motor Rutas SKU_Cons'!N68,"0%")&amp;" · Colas "&amp;TEXT('[3]Motor Rutas SKU_Cons'!O68,"0%")&amp;" · Resto "&amp;TEXT('[3]Motor Rutas SKU_Cons'!P68,"0%"))</f>
        <v>Agua 85% · Colas 8% · Resto 7%</v>
      </c>
      <c r="F64" s="16">
        <f>'[3]Motor Rutas SKU_Cons'!CH68</f>
        <v>0.35426654064143898</v>
      </c>
      <c r="G64" s="16">
        <f>'[3]Motor Rutas SKU_Cons'!CG68</f>
        <v>1.2324592278409094</v>
      </c>
      <c r="H64" s="998">
        <f>'[3]Motor Rutas SKU_Cons'!BX68</f>
        <v>28.890603782284742</v>
      </c>
      <c r="I64" s="998">
        <f>'[3]Motor Rutas SKU_Cons'!BW68</f>
        <v>0</v>
      </c>
    </row>
    <row r="65" spans="1:9">
      <c r="A65" t="str">
        <f>IF('[3]Motor Rutas SKU_Cons'!C69="","",'[3]Motor Rutas SKU_Cons'!C69)</f>
        <v>Occidente</v>
      </c>
      <c r="B65" t="str">
        <f>IF('[3]Motor Rutas SKU_Cons'!D69="","",'[3]Motor Rutas SKU_Cons'!D69)</f>
        <v>Favorita</v>
      </c>
      <c r="C65" t="str">
        <f>IF('[3]Motor Rutas SKU_Cons'!B69="","",'[3]Motor Rutas SKU_Cons'!B69)</f>
        <v>Suc. Alamo</v>
      </c>
      <c r="D65">
        <f>'[3]Motor Rutas SKU_Cons'!A69</f>
        <v>802345</v>
      </c>
      <c r="E65" s="997" t="str">
        <f>IF('[3]Motor Rutas SKU_Cons'!N69="","s/d","Agua "&amp;TEXT('[3]Motor Rutas SKU_Cons'!N69,"0%")&amp;" · Colas "&amp;TEXT('[3]Motor Rutas SKU_Cons'!O69,"0%")&amp;" · Resto "&amp;TEXT('[3]Motor Rutas SKU_Cons'!P69,"0%"))</f>
        <v>Agua 85% · Colas 8% · Resto 7%</v>
      </c>
      <c r="F65" s="16">
        <f>'[3]Motor Rutas SKU_Cons'!CH69</f>
        <v>0.25835810632720901</v>
      </c>
      <c r="G65" s="16">
        <f>'[3]Motor Rutas SKU_Cons'!CG69</f>
        <v>1.2265399339772727</v>
      </c>
      <c r="H65" s="998">
        <f>'[3]Motor Rutas SKU_Cons'!BX69</f>
        <v>66.261026615864424</v>
      </c>
      <c r="I65" s="998">
        <f>'[3]Motor Rutas SKU_Cons'!BW69</f>
        <v>0</v>
      </c>
    </row>
    <row r="66" spans="1:9">
      <c r="A66" t="str">
        <f>IF('[3]Motor Rutas SKU_Cons'!C70="","",'[3]Motor Rutas SKU_Cons'!C70)</f>
        <v>Occidente</v>
      </c>
      <c r="B66" t="str">
        <f>IF('[3]Motor Rutas SKU_Cons'!D70="","",'[3]Motor Rutas SKU_Cons'!D70)</f>
        <v>Favorita</v>
      </c>
      <c r="C66" t="str">
        <f>IF('[3]Motor Rutas SKU_Cons'!B70="","",'[3]Motor Rutas SKU_Cons'!B70)</f>
        <v>Suc. Manzanillo</v>
      </c>
      <c r="D66">
        <f>'[3]Motor Rutas SKU_Cons'!A70</f>
        <v>805404</v>
      </c>
      <c r="E66" s="997" t="str">
        <f>IF('[3]Motor Rutas SKU_Cons'!N70="","s/d","Agua "&amp;TEXT('[3]Motor Rutas SKU_Cons'!N70,"0%")&amp;" · Colas "&amp;TEXT('[3]Motor Rutas SKU_Cons'!O70,"0%")&amp;" · Resto "&amp;TEXT('[3]Motor Rutas SKU_Cons'!P70,"0%"))</f>
        <v>Agua 85% · Colas 8% · Resto 7%</v>
      </c>
      <c r="F66" s="16">
        <f>'[3]Motor Rutas SKU_Cons'!CH70</f>
        <v>0.15286403810478988</v>
      </c>
      <c r="G66" s="16">
        <f>'[3]Motor Rutas SKU_Cons'!CG70</f>
        <v>1.2124433510795445</v>
      </c>
      <c r="H66" s="998">
        <f>'[3]Motor Rutas SKU_Cons'!BX70</f>
        <v>66.247635581250066</v>
      </c>
      <c r="I66" s="998">
        <f>'[3]Motor Rutas SKU_Cons'!BW70</f>
        <v>0</v>
      </c>
    </row>
    <row r="67" spans="1:9">
      <c r="A67" t="str">
        <f>IF('[3]Motor Rutas SKU_Cons'!C71="","",'[3]Motor Rutas SKU_Cons'!C71)</f>
        <v>Occidente</v>
      </c>
      <c r="B67" t="str">
        <f>IF('[3]Motor Rutas SKU_Cons'!D71="","",'[3]Motor Rutas SKU_Cons'!D71)</f>
        <v>Zapopan</v>
      </c>
      <c r="C67" t="str">
        <f>IF('[3]Motor Rutas SKU_Cons'!B71="","",'[3]Motor Rutas SKU_Cons'!B71)</f>
        <v>Suc. Belenes</v>
      </c>
      <c r="D67">
        <f>'[3]Motor Rutas SKU_Cons'!A71</f>
        <v>820369</v>
      </c>
      <c r="E67" s="997" t="str">
        <f>IF('[3]Motor Rutas SKU_Cons'!N71="","s/d","Agua "&amp;TEXT('[3]Motor Rutas SKU_Cons'!N71,"0%")&amp;" · Colas "&amp;TEXT('[3]Motor Rutas SKU_Cons'!O71,"0%")&amp;" · Resto "&amp;TEXT('[3]Motor Rutas SKU_Cons'!P71,"0%"))</f>
        <v>Agua 85% · Colas 8% · Resto 7%</v>
      </c>
      <c r="F67" s="16">
        <f>'[3]Motor Rutas SKU_Cons'!CH71</f>
        <v>0.53751076828234678</v>
      </c>
      <c r="G67" s="16">
        <f>'[3]Motor Rutas SKU_Cons'!CG71</f>
        <v>1.2101426899609093</v>
      </c>
      <c r="H67" s="998">
        <f>'[3]Motor Rutas SKU_Cons'!BX71</f>
        <v>45.392281566218962</v>
      </c>
      <c r="I67" s="998">
        <f>'[3]Motor Rutas SKU_Cons'!BW71</f>
        <v>0</v>
      </c>
    </row>
    <row r="68" spans="1:9">
      <c r="A68" t="str">
        <f>IF('[3]Motor Rutas SKU_Cons'!C72="","",'[3]Motor Rutas SKU_Cons'!C72)</f>
        <v>Occidente</v>
      </c>
      <c r="B68" t="str">
        <f>IF('[3]Motor Rutas SKU_Cons'!D72="","",'[3]Motor Rutas SKU_Cons'!D72)</f>
        <v>Favorita</v>
      </c>
      <c r="C68" t="str">
        <f>IF('[3]Motor Rutas SKU_Cons'!B72="","",'[3]Motor Rutas SKU_Cons'!B72)</f>
        <v>Suc. Alamo</v>
      </c>
      <c r="D68">
        <f>'[3]Motor Rutas SKU_Cons'!A72</f>
        <v>802349</v>
      </c>
      <c r="E68" s="997" t="str">
        <f>IF('[3]Motor Rutas SKU_Cons'!N72="","s/d","Agua "&amp;TEXT('[3]Motor Rutas SKU_Cons'!N72,"0%")&amp;" · Colas "&amp;TEXT('[3]Motor Rutas SKU_Cons'!O72,"0%")&amp;" · Resto "&amp;TEXT('[3]Motor Rutas SKU_Cons'!P72,"0%"))</f>
        <v>Agua 85% · Colas 8% · Resto 7%</v>
      </c>
      <c r="F68" s="16">
        <f>'[3]Motor Rutas SKU_Cons'!CH72</f>
        <v>0.23380777204421421</v>
      </c>
      <c r="G68" s="16">
        <f>'[3]Motor Rutas SKU_Cons'!CG72</f>
        <v>1.1904854062500001</v>
      </c>
      <c r="H68" s="998">
        <f>'[3]Motor Rutas SKU_Cons'!BX72</f>
        <v>47.383947304841065</v>
      </c>
      <c r="I68" s="998">
        <f>'[3]Motor Rutas SKU_Cons'!BW72</f>
        <v>0</v>
      </c>
    </row>
    <row r="69" spans="1:9">
      <c r="A69" t="str">
        <f>IF('[3]Motor Rutas SKU_Cons'!C73="","",'[3]Motor Rutas SKU_Cons'!C73)</f>
        <v>Occidente</v>
      </c>
      <c r="B69" t="str">
        <f>IF('[3]Motor Rutas SKU_Cons'!D73="","",'[3]Motor Rutas SKU_Cons'!D73)</f>
        <v>Zapopan</v>
      </c>
      <c r="C69" t="str">
        <f>IF('[3]Motor Rutas SKU_Cons'!B73="","",'[3]Motor Rutas SKU_Cons'!B73)</f>
        <v>Planta Zapopan</v>
      </c>
      <c r="D69">
        <f>'[3]Motor Rutas SKU_Cons'!A73</f>
        <v>816394</v>
      </c>
      <c r="E69" s="997" t="str">
        <f>IF('[3]Motor Rutas SKU_Cons'!N73="","s/d","Agua "&amp;TEXT('[3]Motor Rutas SKU_Cons'!N73,"0%")&amp;" · Colas "&amp;TEXT('[3]Motor Rutas SKU_Cons'!O73,"0%")&amp;" · Resto "&amp;TEXT('[3]Motor Rutas SKU_Cons'!P73,"0%"))</f>
        <v>Agua 85% · Colas 8% · Resto 7%</v>
      </c>
      <c r="F69" s="16">
        <f>'[3]Motor Rutas SKU_Cons'!CH73</f>
        <v>0.22906917374430899</v>
      </c>
      <c r="G69" s="16">
        <f>'[3]Motor Rutas SKU_Cons'!CG73</f>
        <v>1.1775759617045454</v>
      </c>
      <c r="H69" s="998">
        <f>'[3]Motor Rutas SKU_Cons'!BX73</f>
        <v>24.94587415278016</v>
      </c>
      <c r="I69" s="998">
        <f>'[3]Motor Rutas SKU_Cons'!BW73</f>
        <v>0</v>
      </c>
    </row>
    <row r="70" spans="1:9">
      <c r="A70" t="str">
        <f>IF('[3]Motor Rutas SKU_Cons'!C74="","",'[3]Motor Rutas SKU_Cons'!C74)</f>
        <v>Norte</v>
      </c>
      <c r="B70" t="str">
        <f>IF('[3]Motor Rutas SKU_Cons'!D74="","",'[3]Motor Rutas SKU_Cons'!D74)</f>
        <v>Juárez</v>
      </c>
      <c r="C70" t="str">
        <f>IF('[3]Motor Rutas SKU_Cons'!B74="","",'[3]Motor Rutas SKU_Cons'!B74)</f>
        <v>Planta Cd. Juárez</v>
      </c>
      <c r="D70">
        <f>'[3]Motor Rutas SKU_Cons'!A74</f>
        <v>301403</v>
      </c>
      <c r="E70" s="997" t="str">
        <f>IF('[3]Motor Rutas SKU_Cons'!N74="","s/d","Agua "&amp;TEXT('[3]Motor Rutas SKU_Cons'!N74,"0%")&amp;" · Colas "&amp;TEXT('[3]Motor Rutas SKU_Cons'!O74,"0%")&amp;" · Resto "&amp;TEXT('[3]Motor Rutas SKU_Cons'!P74,"0%"))</f>
        <v>Agua 85% · Colas 8% · Resto 7%</v>
      </c>
      <c r="F70" s="16">
        <f>'[3]Motor Rutas SKU_Cons'!CH74</f>
        <v>0.10754482798698738</v>
      </c>
      <c r="G70" s="16">
        <f>'[3]Motor Rutas SKU_Cons'!CG74</f>
        <v>1.1663198161363622</v>
      </c>
      <c r="H70" s="998">
        <f>'[3]Motor Rutas SKU_Cons'!BX74</f>
        <v>65.69435622769457</v>
      </c>
      <c r="I70" s="998">
        <f>'[3]Motor Rutas SKU_Cons'!BW74</f>
        <v>0</v>
      </c>
    </row>
    <row r="71" spans="1:9">
      <c r="A71" t="str">
        <f>IF('[3]Motor Rutas SKU_Cons'!C75="","",'[3]Motor Rutas SKU_Cons'!C75)</f>
        <v>Occidente</v>
      </c>
      <c r="B71" t="str">
        <f>IF('[3]Motor Rutas SKU_Cons'!D75="","",'[3]Motor Rutas SKU_Cons'!D75)</f>
        <v>Aguascalientes</v>
      </c>
      <c r="C71" t="str">
        <f>IF('[3]Motor Rutas SKU_Cons'!B75="","",'[3]Motor Rutas SKU_Cons'!B75)</f>
        <v>Planta Trojes</v>
      </c>
      <c r="D71">
        <f>'[3]Motor Rutas SKU_Cons'!A75</f>
        <v>907345</v>
      </c>
      <c r="E71" s="997" t="str">
        <f>IF('[3]Motor Rutas SKU_Cons'!N75="","s/d","Agua "&amp;TEXT('[3]Motor Rutas SKU_Cons'!N75,"0%")&amp;" · Colas "&amp;TEXT('[3]Motor Rutas SKU_Cons'!O75,"0%")&amp;" · Resto "&amp;TEXT('[3]Motor Rutas SKU_Cons'!P75,"0%"))</f>
        <v>Agua 85% · Colas 8% · Resto 7%</v>
      </c>
      <c r="F71" s="16">
        <f>'[3]Motor Rutas SKU_Cons'!CH75</f>
        <v>0.25271115264011068</v>
      </c>
      <c r="G71" s="16">
        <f>'[3]Motor Rutas SKU_Cons'!CG75</f>
        <v>1.1551688268749991</v>
      </c>
      <c r="H71" s="998">
        <f>'[3]Motor Rutas SKU_Cons'!BX75</f>
        <v>61.484087330659435</v>
      </c>
      <c r="I71" s="998">
        <f>'[3]Motor Rutas SKU_Cons'!BW75</f>
        <v>0</v>
      </c>
    </row>
    <row r="72" spans="1:9">
      <c r="A72" t="str">
        <f>IF('[3]Motor Rutas SKU_Cons'!C76="","",'[3]Motor Rutas SKU_Cons'!C76)</f>
        <v>Norte</v>
      </c>
      <c r="B72" t="str">
        <f>IF('[3]Motor Rutas SKU_Cons'!D76="","",'[3]Motor Rutas SKU_Cons'!D76)</f>
        <v>Juárez</v>
      </c>
      <c r="C72" t="str">
        <f>IF('[3]Motor Rutas SKU_Cons'!B76="","",'[3]Motor Rutas SKU_Cons'!B76)</f>
        <v>Planta Cd. Juárez</v>
      </c>
      <c r="D72">
        <f>'[3]Motor Rutas SKU_Cons'!A76</f>
        <v>301401</v>
      </c>
      <c r="E72" s="997" t="str">
        <f>IF('[3]Motor Rutas SKU_Cons'!N76="","s/d","Agua "&amp;TEXT('[3]Motor Rutas SKU_Cons'!N76,"0%")&amp;" · Colas "&amp;TEXT('[3]Motor Rutas SKU_Cons'!O76,"0%")&amp;" · Resto "&amp;TEXT('[3]Motor Rutas SKU_Cons'!P76,"0%"))</f>
        <v>Agua 85% · Colas 8% · Resto 7%</v>
      </c>
      <c r="F72" s="16">
        <f>'[3]Motor Rutas SKU_Cons'!CH76</f>
        <v>0.12586609105929747</v>
      </c>
      <c r="G72" s="16">
        <f>'[3]Motor Rutas SKU_Cons'!CG76</f>
        <v>1.1521118785909084</v>
      </c>
      <c r="H72" s="998">
        <f>'[3]Motor Rutas SKU_Cons'!BX76</f>
        <v>64.345713045876465</v>
      </c>
      <c r="I72" s="998">
        <f>'[3]Motor Rutas SKU_Cons'!BW76</f>
        <v>0</v>
      </c>
    </row>
    <row r="73" spans="1:9">
      <c r="A73" t="str">
        <f>IF('[3]Motor Rutas SKU_Cons'!C77="","",'[3]Motor Rutas SKU_Cons'!C77)</f>
        <v>Occidente</v>
      </c>
      <c r="B73" t="str">
        <f>IF('[3]Motor Rutas SKU_Cons'!D77="","",'[3]Motor Rutas SKU_Cons'!D77)</f>
        <v>Zapopan</v>
      </c>
      <c r="C73" t="str">
        <f>IF('[3]Motor Rutas SKU_Cons'!B77="","",'[3]Motor Rutas SKU_Cons'!B77)</f>
        <v>Planta Zapopan</v>
      </c>
      <c r="D73">
        <f>'[3]Motor Rutas SKU_Cons'!A77</f>
        <v>816335</v>
      </c>
      <c r="E73" s="997" t="str">
        <f>IF('[3]Motor Rutas SKU_Cons'!N77="","s/d","Agua "&amp;TEXT('[3]Motor Rutas SKU_Cons'!N77,"0%")&amp;" · Colas "&amp;TEXT('[3]Motor Rutas SKU_Cons'!O77,"0%")&amp;" · Resto "&amp;TEXT('[3]Motor Rutas SKU_Cons'!P77,"0%"))</f>
        <v>Agua 85% · Colas 8% · Resto 7%</v>
      </c>
      <c r="F73" s="16">
        <f>'[3]Motor Rutas SKU_Cons'!CH77</f>
        <v>0.36096821113680455</v>
      </c>
      <c r="G73" s="16">
        <f>'[3]Motor Rutas SKU_Cons'!CG77</f>
        <v>1.1492881563068182</v>
      </c>
      <c r="H73" s="998">
        <f>'[3]Motor Rutas SKU_Cons'!BX77</f>
        <v>50.41963388859174</v>
      </c>
      <c r="I73" s="998">
        <f>'[3]Motor Rutas SKU_Cons'!BW77</f>
        <v>0</v>
      </c>
    </row>
    <row r="74" spans="1:9">
      <c r="A74" t="str">
        <f>IF('[3]Motor Rutas SKU_Cons'!C78="","",'[3]Motor Rutas SKU_Cons'!C78)</f>
        <v>Occidente</v>
      </c>
      <c r="B74" t="str">
        <f>IF('[3]Motor Rutas SKU_Cons'!D78="","",'[3]Motor Rutas SKU_Cons'!D78)</f>
        <v>Aguascalientes</v>
      </c>
      <c r="C74" t="str">
        <f>IF('[3]Motor Rutas SKU_Cons'!B78="","",'[3]Motor Rutas SKU_Cons'!B78)</f>
        <v>Planta Trojes</v>
      </c>
      <c r="D74">
        <f>'[3]Motor Rutas SKU_Cons'!A78</f>
        <v>907342</v>
      </c>
      <c r="E74" s="997" t="str">
        <f>IF('[3]Motor Rutas SKU_Cons'!N78="","s/d","Agua "&amp;TEXT('[3]Motor Rutas SKU_Cons'!N78,"0%")&amp;" · Colas "&amp;TEXT('[3]Motor Rutas SKU_Cons'!O78,"0%")&amp;" · Resto "&amp;TEXT('[3]Motor Rutas SKU_Cons'!P78,"0%"))</f>
        <v>Agua 85% · Colas 8% · Resto 7%</v>
      </c>
      <c r="F74" s="16">
        <f>'[3]Motor Rutas SKU_Cons'!CH78</f>
        <v>0.27942675626713087</v>
      </c>
      <c r="G74" s="16">
        <f>'[3]Motor Rutas SKU_Cons'!CG78</f>
        <v>1.1464906484659094</v>
      </c>
      <c r="H74" s="998">
        <f>'[3]Motor Rutas SKU_Cons'!BX78</f>
        <v>22.466328824691217</v>
      </c>
      <c r="I74" s="998">
        <f>'[3]Motor Rutas SKU_Cons'!BW78</f>
        <v>0</v>
      </c>
    </row>
    <row r="75" spans="1:9">
      <c r="A75" t="str">
        <f>IF('[3]Motor Rutas SKU_Cons'!C79="","",'[3]Motor Rutas SKU_Cons'!C79)</f>
        <v>Occidente</v>
      </c>
      <c r="B75" t="str">
        <f>IF('[3]Motor Rutas SKU_Cons'!D79="","",'[3]Motor Rutas SKU_Cons'!D79)</f>
        <v>Zapopan</v>
      </c>
      <c r="C75" t="str">
        <f>IF('[3]Motor Rutas SKU_Cons'!B79="","",'[3]Motor Rutas SKU_Cons'!B79)</f>
        <v>Planta Zapopan</v>
      </c>
      <c r="D75">
        <f>'[3]Motor Rutas SKU_Cons'!A79</f>
        <v>816392</v>
      </c>
      <c r="E75" s="997" t="str">
        <f>IF('[3]Motor Rutas SKU_Cons'!N79="","s/d","Agua "&amp;TEXT('[3]Motor Rutas SKU_Cons'!N79,"0%")&amp;" · Colas "&amp;TEXT('[3]Motor Rutas SKU_Cons'!O79,"0%")&amp;" · Resto "&amp;TEXT('[3]Motor Rutas SKU_Cons'!P79,"0%"))</f>
        <v>Agua 85% · Colas 8% · Resto 7%</v>
      </c>
      <c r="F75" s="16">
        <f>'[3]Motor Rutas SKU_Cons'!CH79</f>
        <v>0.25815540020577787</v>
      </c>
      <c r="G75" s="16">
        <f>'[3]Motor Rutas SKU_Cons'!CG79</f>
        <v>1.137071214204546</v>
      </c>
      <c r="H75" s="998">
        <f>'[3]Motor Rutas SKU_Cons'!BX79</f>
        <v>59.597917489304862</v>
      </c>
      <c r="I75" s="998">
        <f>'[3]Motor Rutas SKU_Cons'!BW79</f>
        <v>0</v>
      </c>
    </row>
    <row r="76" spans="1:9">
      <c r="A76" t="str">
        <f>IF('[3]Motor Rutas SKU_Cons'!C80="","",'[3]Motor Rutas SKU_Cons'!C80)</f>
        <v>Pacifico</v>
      </c>
      <c r="B76" t="str">
        <f>IF('[3]Motor Rutas SKU_Cons'!D80="","",'[3]Motor Rutas SKU_Cons'!D80)</f>
        <v>La Paz</v>
      </c>
      <c r="C76" t="str">
        <f>IF('[3]Motor Rutas SKU_Cons'!B80="","",'[3]Motor Rutas SKU_Cons'!B80)</f>
        <v>Planta La Paz</v>
      </c>
      <c r="D76">
        <f>'[3]Motor Rutas SKU_Cons'!A80</f>
        <v>506302</v>
      </c>
      <c r="E76" s="997" t="str">
        <f>IF('[3]Motor Rutas SKU_Cons'!N80="","s/d","Agua "&amp;TEXT('[3]Motor Rutas SKU_Cons'!N80,"0%")&amp;" · Colas "&amp;TEXT('[3]Motor Rutas SKU_Cons'!O80,"0%")&amp;" · Resto "&amp;TEXT('[3]Motor Rutas SKU_Cons'!P80,"0%"))</f>
        <v>Agua 85% · Colas 8% · Resto 7%</v>
      </c>
      <c r="F76" s="16">
        <f>'[3]Motor Rutas SKU_Cons'!CH80</f>
        <v>9.3354485383772154E-2</v>
      </c>
      <c r="G76" s="16">
        <f>'[3]Motor Rutas SKU_Cons'!CG80</f>
        <v>1.1366930065909091</v>
      </c>
      <c r="H76" s="998">
        <f>'[3]Motor Rutas SKU_Cons'!BX80</f>
        <v>71.756174999643164</v>
      </c>
      <c r="I76" s="998">
        <f>'[3]Motor Rutas SKU_Cons'!BW80</f>
        <v>0</v>
      </c>
    </row>
    <row r="77" spans="1:9">
      <c r="A77" t="str">
        <f>IF('[3]Motor Rutas SKU_Cons'!C81="","",'[3]Motor Rutas SKU_Cons'!C81)</f>
        <v>Occidente</v>
      </c>
      <c r="B77" t="str">
        <f>IF('[3]Motor Rutas SKU_Cons'!D81="","",'[3]Motor Rutas SKU_Cons'!D81)</f>
        <v>Favorita</v>
      </c>
      <c r="C77" t="str">
        <f>IF('[3]Motor Rutas SKU_Cons'!B81="","",'[3]Motor Rutas SKU_Cons'!B81)</f>
        <v>Suc. Manzanillo</v>
      </c>
      <c r="D77">
        <f>'[3]Motor Rutas SKU_Cons'!A81</f>
        <v>805403</v>
      </c>
      <c r="E77" s="997" t="str">
        <f>IF('[3]Motor Rutas SKU_Cons'!N81="","s/d","Agua "&amp;TEXT('[3]Motor Rutas SKU_Cons'!N81,"0%")&amp;" · Colas "&amp;TEXT('[3]Motor Rutas SKU_Cons'!O81,"0%")&amp;" · Resto "&amp;TEXT('[3]Motor Rutas SKU_Cons'!P81,"0%"))</f>
        <v>Agua 85% · Colas 8% · Resto 7%</v>
      </c>
      <c r="F77" s="16">
        <f>'[3]Motor Rutas SKU_Cons'!CH81</f>
        <v>0.20190279908386119</v>
      </c>
      <c r="G77" s="16">
        <f>'[3]Motor Rutas SKU_Cons'!CG81</f>
        <v>1.1361480136363638</v>
      </c>
      <c r="H77" s="998">
        <f>'[3]Motor Rutas SKU_Cons'!BX81</f>
        <v>60.852725202873799</v>
      </c>
      <c r="I77" s="998">
        <f>'[3]Motor Rutas SKU_Cons'!BW81</f>
        <v>0</v>
      </c>
    </row>
    <row r="78" spans="1:9">
      <c r="A78" t="str">
        <f>IF('[3]Motor Rutas SKU_Cons'!C82="","",'[3]Motor Rutas SKU_Cons'!C82)</f>
        <v>Occidente</v>
      </c>
      <c r="B78" t="str">
        <f>IF('[3]Motor Rutas SKU_Cons'!D82="","",'[3]Motor Rutas SKU_Cons'!D82)</f>
        <v>Zapopan</v>
      </c>
      <c r="C78" t="str">
        <f>IF('[3]Motor Rutas SKU_Cons'!B82="","",'[3]Motor Rutas SKU_Cons'!B82)</f>
        <v>Planta Zapopan</v>
      </c>
      <c r="D78">
        <f>'[3]Motor Rutas SKU_Cons'!A82</f>
        <v>816331</v>
      </c>
      <c r="E78" s="997" t="str">
        <f>IF('[3]Motor Rutas SKU_Cons'!N82="","s/d","Agua "&amp;TEXT('[3]Motor Rutas SKU_Cons'!N82,"0%")&amp;" · Colas "&amp;TEXT('[3]Motor Rutas SKU_Cons'!O82,"0%")&amp;" · Resto "&amp;TEXT('[3]Motor Rutas SKU_Cons'!P82,"0%"))</f>
        <v>Agua 85% · Colas 8% · Resto 7%</v>
      </c>
      <c r="F78" s="16">
        <f>'[3]Motor Rutas SKU_Cons'!CH82</f>
        <v>0.20125860724885547</v>
      </c>
      <c r="G78" s="16">
        <f>'[3]Motor Rutas SKU_Cons'!CG82</f>
        <v>1.1322715484659087</v>
      </c>
      <c r="H78" s="998">
        <f>'[3]Motor Rutas SKU_Cons'!BX82</f>
        <v>40.917327962315895</v>
      </c>
      <c r="I78" s="998">
        <f>'[3]Motor Rutas SKU_Cons'!BW82</f>
        <v>0</v>
      </c>
    </row>
    <row r="79" spans="1:9">
      <c r="A79" t="str">
        <f>IF('[3]Motor Rutas SKU_Cons'!C83="","",'[3]Motor Rutas SKU_Cons'!C83)</f>
        <v>Norte</v>
      </c>
      <c r="B79" t="str">
        <f>IF('[3]Motor Rutas SKU_Cons'!D83="","",'[3]Motor Rutas SKU_Cons'!D83)</f>
        <v>Juárez</v>
      </c>
      <c r="C79" t="str">
        <f>IF('[3]Motor Rutas SKU_Cons'!B83="","",'[3]Motor Rutas SKU_Cons'!B83)</f>
        <v>Planta Cd. Juárez</v>
      </c>
      <c r="D79">
        <f>'[3]Motor Rutas SKU_Cons'!A83</f>
        <v>301400</v>
      </c>
      <c r="E79" s="997" t="str">
        <f>IF('[3]Motor Rutas SKU_Cons'!N83="","s/d","Agua "&amp;TEXT('[3]Motor Rutas SKU_Cons'!N83,"0%")&amp;" · Colas "&amp;TEXT('[3]Motor Rutas SKU_Cons'!O83,"0%")&amp;" · Resto "&amp;TEXT('[3]Motor Rutas SKU_Cons'!P83,"0%"))</f>
        <v>Agua 85% · Colas 8% · Resto 7%</v>
      </c>
      <c r="F79" s="16">
        <f>'[3]Motor Rutas SKU_Cons'!CH83</f>
        <v>0.18590154211004717</v>
      </c>
      <c r="G79" s="16">
        <f>'[3]Motor Rutas SKU_Cons'!CG83</f>
        <v>1.1315602419545436</v>
      </c>
      <c r="H79" s="998">
        <f>'[3]Motor Rutas SKU_Cons'!BX83</f>
        <v>59.926454318603653</v>
      </c>
      <c r="I79" s="998">
        <f>'[3]Motor Rutas SKU_Cons'!BW83</f>
        <v>0</v>
      </c>
    </row>
    <row r="80" spans="1:9">
      <c r="A80" t="str">
        <f>IF('[3]Motor Rutas SKU_Cons'!C84="","",'[3]Motor Rutas SKU_Cons'!C84)</f>
        <v>Occidente</v>
      </c>
      <c r="B80" t="str">
        <f>IF('[3]Motor Rutas SKU_Cons'!D84="","",'[3]Motor Rutas SKU_Cons'!D84)</f>
        <v>Aguascalientes</v>
      </c>
      <c r="C80" t="str">
        <f>IF('[3]Motor Rutas SKU_Cons'!B84="","",'[3]Motor Rutas SKU_Cons'!B84)</f>
        <v>Planta Aguascalientes</v>
      </c>
      <c r="D80">
        <f>'[3]Motor Rutas SKU_Cons'!A84</f>
        <v>901406</v>
      </c>
      <c r="E80" s="997" t="str">
        <f>IF('[3]Motor Rutas SKU_Cons'!N84="","s/d","Agua "&amp;TEXT('[3]Motor Rutas SKU_Cons'!N84,"0%")&amp;" · Colas "&amp;TEXT('[3]Motor Rutas SKU_Cons'!O84,"0%")&amp;" · Resto "&amp;TEXT('[3]Motor Rutas SKU_Cons'!P84,"0%"))</f>
        <v>Agua 85% · Colas 8% · Resto 7%</v>
      </c>
      <c r="F80" s="16">
        <f>'[3]Motor Rutas SKU_Cons'!CH84</f>
        <v>0.31818570595309792</v>
      </c>
      <c r="G80" s="16">
        <f>'[3]Motor Rutas SKU_Cons'!CG84</f>
        <v>1.1261185668409102</v>
      </c>
      <c r="H80" s="998">
        <f>'[3]Motor Rutas SKU_Cons'!BX84</f>
        <v>66.918544884400745</v>
      </c>
      <c r="I80" s="998">
        <f>'[3]Motor Rutas SKU_Cons'!BW84</f>
        <v>0</v>
      </c>
    </row>
    <row r="81" spans="1:9">
      <c r="A81" t="str">
        <f>IF('[3]Motor Rutas SKU_Cons'!C85="","",'[3]Motor Rutas SKU_Cons'!C85)</f>
        <v>Occidente</v>
      </c>
      <c r="B81" t="str">
        <f>IF('[3]Motor Rutas SKU_Cons'!D85="","",'[3]Motor Rutas SKU_Cons'!D85)</f>
        <v>Favorita</v>
      </c>
      <c r="C81" t="str">
        <f>IF('[3]Motor Rutas SKU_Cons'!B85="","",'[3]Motor Rutas SKU_Cons'!B85)</f>
        <v>Suc. Santa Maria</v>
      </c>
      <c r="D81">
        <f>'[3]Motor Rutas SKU_Cons'!A85</f>
        <v>809381</v>
      </c>
      <c r="E81" s="997" t="str">
        <f>IF('[3]Motor Rutas SKU_Cons'!N85="","s/d","Agua "&amp;TEXT('[3]Motor Rutas SKU_Cons'!N85,"0%")&amp;" · Colas "&amp;TEXT('[3]Motor Rutas SKU_Cons'!O85,"0%")&amp;" · Resto "&amp;TEXT('[3]Motor Rutas SKU_Cons'!P85,"0%"))</f>
        <v>Agua 85% · Colas 8% · Resto 7%</v>
      </c>
      <c r="F81" s="16">
        <f>'[3]Motor Rutas SKU_Cons'!CH85</f>
        <v>0.14696906134119622</v>
      </c>
      <c r="G81" s="16">
        <f>'[3]Motor Rutas SKU_Cons'!CG85</f>
        <v>1.1224417193181813</v>
      </c>
      <c r="H81" s="998">
        <f>'[3]Motor Rutas SKU_Cons'!BX85</f>
        <v>69.417834731729087</v>
      </c>
      <c r="I81" s="998">
        <f>'[3]Motor Rutas SKU_Cons'!BW85</f>
        <v>0</v>
      </c>
    </row>
    <row r="82" spans="1:9">
      <c r="A82" t="str">
        <f>IF('[3]Motor Rutas SKU_Cons'!C86="","",'[3]Motor Rutas SKU_Cons'!C86)</f>
        <v>Occidente</v>
      </c>
      <c r="B82" t="str">
        <f>IF('[3]Motor Rutas SKU_Cons'!D86="","",'[3]Motor Rutas SKU_Cons'!D86)</f>
        <v>Zapopan</v>
      </c>
      <c r="C82" t="str">
        <f>IF('[3]Motor Rutas SKU_Cons'!B86="","",'[3]Motor Rutas SKU_Cons'!B86)</f>
        <v>Planta Zapopan</v>
      </c>
      <c r="D82">
        <f>'[3]Motor Rutas SKU_Cons'!A86</f>
        <v>816355</v>
      </c>
      <c r="E82" s="997" t="str">
        <f>IF('[3]Motor Rutas SKU_Cons'!N86="","s/d","Agua "&amp;TEXT('[3]Motor Rutas SKU_Cons'!N86,"0%")&amp;" · Colas "&amp;TEXT('[3]Motor Rutas SKU_Cons'!O86,"0%")&amp;" · Resto "&amp;TEXT('[3]Motor Rutas SKU_Cons'!P86,"0%"))</f>
        <v>Agua 85% · Colas 8% · Resto 7%</v>
      </c>
      <c r="F82" s="16">
        <f>'[3]Motor Rutas SKU_Cons'!CH86</f>
        <v>0.2210303038792866</v>
      </c>
      <c r="G82" s="16">
        <f>'[3]Motor Rutas SKU_Cons'!CG86</f>
        <v>1.1213198002840907</v>
      </c>
      <c r="H82" s="998">
        <f>'[3]Motor Rutas SKU_Cons'!BX86</f>
        <v>62.065086286096367</v>
      </c>
      <c r="I82" s="998">
        <f>'[3]Motor Rutas SKU_Cons'!BW86</f>
        <v>0</v>
      </c>
    </row>
    <row r="83" spans="1:9">
      <c r="A83" t="str">
        <f>IF('[3]Motor Rutas SKU_Cons'!C87="","",'[3]Motor Rutas SKU_Cons'!C87)</f>
        <v>Occidente</v>
      </c>
      <c r="B83" t="str">
        <f>IF('[3]Motor Rutas SKU_Cons'!D87="","",'[3]Motor Rutas SKU_Cons'!D87)</f>
        <v>Favorita</v>
      </c>
      <c r="C83" t="str">
        <f>IF('[3]Motor Rutas SKU_Cons'!B87="","",'[3]Motor Rutas SKU_Cons'!B87)</f>
        <v>Suc. Santa Maria</v>
      </c>
      <c r="D83">
        <f>'[3]Motor Rutas SKU_Cons'!A87</f>
        <v>809379</v>
      </c>
      <c r="E83" s="997" t="str">
        <f>IF('[3]Motor Rutas SKU_Cons'!N87="","s/d","Agua "&amp;TEXT('[3]Motor Rutas SKU_Cons'!N87,"0%")&amp;" · Colas "&amp;TEXT('[3]Motor Rutas SKU_Cons'!O87,"0%")&amp;" · Resto "&amp;TEXT('[3]Motor Rutas SKU_Cons'!P87,"0%"))</f>
        <v>Agua 85% · Colas 8% · Resto 7%</v>
      </c>
      <c r="F83" s="16">
        <f>'[3]Motor Rutas SKU_Cons'!CH87</f>
        <v>0.47092020730046646</v>
      </c>
      <c r="G83" s="16">
        <f>'[3]Motor Rutas SKU_Cons'!CG87</f>
        <v>1.1129213776704572</v>
      </c>
      <c r="H83" s="998">
        <f>'[3]Motor Rutas SKU_Cons'!BX87</f>
        <v>51.927995884400808</v>
      </c>
      <c r="I83" s="998">
        <f>'[3]Motor Rutas SKU_Cons'!BW87</f>
        <v>0</v>
      </c>
    </row>
    <row r="84" spans="1:9">
      <c r="A84" t="str">
        <f>IF('[3]Motor Rutas SKU_Cons'!C88="","",'[3]Motor Rutas SKU_Cons'!C88)</f>
        <v>Occidente</v>
      </c>
      <c r="B84" t="str">
        <f>IF('[3]Motor Rutas SKU_Cons'!D88="","",'[3]Motor Rutas SKU_Cons'!D88)</f>
        <v>Favorita</v>
      </c>
      <c r="C84" t="str">
        <f>IF('[3]Motor Rutas SKU_Cons'!B88="","",'[3]Motor Rutas SKU_Cons'!B88)</f>
        <v>Suc. Alamo</v>
      </c>
      <c r="D84">
        <f>'[3]Motor Rutas SKU_Cons'!A88</f>
        <v>802403</v>
      </c>
      <c r="E84" s="997" t="str">
        <f>IF('[3]Motor Rutas SKU_Cons'!N88="","s/d","Agua "&amp;TEXT('[3]Motor Rutas SKU_Cons'!N88,"0%")&amp;" · Colas "&amp;TEXT('[3]Motor Rutas SKU_Cons'!O88,"0%")&amp;" · Resto "&amp;TEXT('[3]Motor Rutas SKU_Cons'!P88,"0%"))</f>
        <v>Agua 85% · Colas 8% · Resto 7%</v>
      </c>
      <c r="F84" s="16">
        <f>'[3]Motor Rutas SKU_Cons'!CH88</f>
        <v>0.18393882832081429</v>
      </c>
      <c r="G84" s="16">
        <f>'[3]Motor Rutas SKU_Cons'!CG88</f>
        <v>1.1119516322727272</v>
      </c>
      <c r="H84" s="998">
        <f>'[3]Motor Rutas SKU_Cons'!BX88</f>
        <v>65.005761696969728</v>
      </c>
      <c r="I84" s="998">
        <f>'[3]Motor Rutas SKU_Cons'!BW88</f>
        <v>0</v>
      </c>
    </row>
    <row r="85" spans="1:9">
      <c r="A85" t="str">
        <f>IF('[3]Motor Rutas SKU_Cons'!C89="","",'[3]Motor Rutas SKU_Cons'!C89)</f>
        <v>Occidente</v>
      </c>
      <c r="B85" t="str">
        <f>IF('[3]Motor Rutas SKU_Cons'!D89="","",'[3]Motor Rutas SKU_Cons'!D89)</f>
        <v>Favorita</v>
      </c>
      <c r="C85" t="str">
        <f>IF('[3]Motor Rutas SKU_Cons'!B89="","",'[3]Motor Rutas SKU_Cons'!B89)</f>
        <v>Suc. Alamo</v>
      </c>
      <c r="D85">
        <f>'[3]Motor Rutas SKU_Cons'!A89</f>
        <v>802350</v>
      </c>
      <c r="E85" s="997" t="str">
        <f>IF('[3]Motor Rutas SKU_Cons'!N89="","s/d","Agua "&amp;TEXT('[3]Motor Rutas SKU_Cons'!N89,"0%")&amp;" · Colas "&amp;TEXT('[3]Motor Rutas SKU_Cons'!O89,"0%")&amp;" · Resto "&amp;TEXT('[3]Motor Rutas SKU_Cons'!P89,"0%"))</f>
        <v>Agua 85% · Colas 8% · Resto 7%</v>
      </c>
      <c r="F85" s="16">
        <f>'[3]Motor Rutas SKU_Cons'!CH89</f>
        <v>0.25328834885772128</v>
      </c>
      <c r="G85" s="16">
        <f>'[3]Motor Rutas SKU_Cons'!CG89</f>
        <v>1.1102559228409086</v>
      </c>
      <c r="H85" s="998">
        <f>'[3]Motor Rutas SKU_Cons'!BX89</f>
        <v>36.625025835763822</v>
      </c>
      <c r="I85" s="998">
        <f>'[3]Motor Rutas SKU_Cons'!BW89</f>
        <v>0</v>
      </c>
    </row>
    <row r="86" spans="1:9">
      <c r="A86" t="str">
        <f>IF('[3]Motor Rutas SKU_Cons'!C90="","",'[3]Motor Rutas SKU_Cons'!C90)</f>
        <v>Occidente</v>
      </c>
      <c r="B86" t="str">
        <f>IF('[3]Motor Rutas SKU_Cons'!D90="","",'[3]Motor Rutas SKU_Cons'!D90)</f>
        <v>Favorita</v>
      </c>
      <c r="C86" t="str">
        <f>IF('[3]Motor Rutas SKU_Cons'!B90="","",'[3]Motor Rutas SKU_Cons'!B90)</f>
        <v>Suc. Santa Maria</v>
      </c>
      <c r="D86">
        <f>'[3]Motor Rutas SKU_Cons'!A90</f>
        <v>809368</v>
      </c>
      <c r="E86" s="997" t="str">
        <f>IF('[3]Motor Rutas SKU_Cons'!N90="","s/d","Agua "&amp;TEXT('[3]Motor Rutas SKU_Cons'!N90,"0%")&amp;" · Colas "&amp;TEXT('[3]Motor Rutas SKU_Cons'!O90,"0%")&amp;" · Resto "&amp;TEXT('[3]Motor Rutas SKU_Cons'!P90,"0%"))</f>
        <v>Agua 85% · Colas 8% · Resto 7%</v>
      </c>
      <c r="F86" s="16">
        <f>'[3]Motor Rutas SKU_Cons'!CH90</f>
        <v>0.30835590956692105</v>
      </c>
      <c r="G86" s="16">
        <f>'[3]Motor Rutas SKU_Cons'!CG90</f>
        <v>1.1026858464204556</v>
      </c>
      <c r="H86" s="998">
        <f>'[3]Motor Rutas SKU_Cons'!BX90</f>
        <v>67.883317369249298</v>
      </c>
      <c r="I86" s="998">
        <f>'[3]Motor Rutas SKU_Cons'!BW90</f>
        <v>0</v>
      </c>
    </row>
    <row r="87" spans="1:9">
      <c r="A87" t="str">
        <f>IF('[3]Motor Rutas SKU_Cons'!C91="","",'[3]Motor Rutas SKU_Cons'!C91)</f>
        <v>Occidente</v>
      </c>
      <c r="B87" t="str">
        <f>IF('[3]Motor Rutas SKU_Cons'!D91="","",'[3]Motor Rutas SKU_Cons'!D91)</f>
        <v>Favorita</v>
      </c>
      <c r="C87" t="str">
        <f>IF('[3]Motor Rutas SKU_Cons'!B91="","",'[3]Motor Rutas SKU_Cons'!B91)</f>
        <v>Suc. Santa Maria</v>
      </c>
      <c r="D87">
        <f>'[3]Motor Rutas SKU_Cons'!A91</f>
        <v>809366</v>
      </c>
      <c r="E87" s="997" t="str">
        <f>IF('[3]Motor Rutas SKU_Cons'!N91="","s/d","Agua "&amp;TEXT('[3]Motor Rutas SKU_Cons'!N91,"0%")&amp;" · Colas "&amp;TEXT('[3]Motor Rutas SKU_Cons'!O91,"0%")&amp;" · Resto "&amp;TEXT('[3]Motor Rutas SKU_Cons'!P91,"0%"))</f>
        <v>Agua 85% · Colas 8% · Resto 7%</v>
      </c>
      <c r="F87" s="16">
        <f>'[3]Motor Rutas SKU_Cons'!CH91</f>
        <v>0.16356529374551768</v>
      </c>
      <c r="G87" s="16">
        <f>'[3]Motor Rutas SKU_Cons'!CG91</f>
        <v>1.0947837671590934</v>
      </c>
      <c r="H87" s="998">
        <f>'[3]Motor Rutas SKU_Cons'!BX91</f>
        <v>65.722998240641957</v>
      </c>
      <c r="I87" s="998">
        <f>'[3]Motor Rutas SKU_Cons'!BW91</f>
        <v>0</v>
      </c>
    </row>
    <row r="88" spans="1:9">
      <c r="A88" t="str">
        <f>IF('[3]Motor Rutas SKU_Cons'!C92="","",'[3]Motor Rutas SKU_Cons'!C92)</f>
        <v>Occidente</v>
      </c>
      <c r="B88" t="str">
        <f>IF('[3]Motor Rutas SKU_Cons'!D92="","",'[3]Motor Rutas SKU_Cons'!D92)</f>
        <v>Favorita</v>
      </c>
      <c r="C88" t="str">
        <f>IF('[3]Motor Rutas SKU_Cons'!B92="","",'[3]Motor Rutas SKU_Cons'!B92)</f>
        <v>Suc. Santa Maria</v>
      </c>
      <c r="D88">
        <f>'[3]Motor Rutas SKU_Cons'!A92</f>
        <v>809375</v>
      </c>
      <c r="E88" s="997" t="str">
        <f>IF('[3]Motor Rutas SKU_Cons'!N92="","s/d","Agua "&amp;TEXT('[3]Motor Rutas SKU_Cons'!N92,"0%")&amp;" · Colas "&amp;TEXT('[3]Motor Rutas SKU_Cons'!O92,"0%")&amp;" · Resto "&amp;TEXT('[3]Motor Rutas SKU_Cons'!P92,"0%"))</f>
        <v>Agua 85% · Colas 8% · Resto 7%</v>
      </c>
      <c r="F88" s="16">
        <f>'[3]Motor Rutas SKU_Cons'!CH92</f>
        <v>0.25471798785651062</v>
      </c>
      <c r="G88" s="16">
        <f>'[3]Motor Rutas SKU_Cons'!CG92</f>
        <v>1.0900919581363646</v>
      </c>
      <c r="H88" s="998">
        <f>'[3]Motor Rutas SKU_Cons'!BX92</f>
        <v>37.839425252900554</v>
      </c>
      <c r="I88" s="998">
        <f>'[3]Motor Rutas SKU_Cons'!BW92</f>
        <v>0</v>
      </c>
    </row>
    <row r="89" spans="1:9">
      <c r="A89" t="str">
        <f>IF('[3]Motor Rutas SKU_Cons'!C93="","",'[3]Motor Rutas SKU_Cons'!C93)</f>
        <v>Occidente</v>
      </c>
      <c r="B89" t="str">
        <f>IF('[3]Motor Rutas SKU_Cons'!D93="","",'[3]Motor Rutas SKU_Cons'!D93)</f>
        <v>Zapopan</v>
      </c>
      <c r="C89" t="str">
        <f>IF('[3]Motor Rutas SKU_Cons'!B93="","",'[3]Motor Rutas SKU_Cons'!B93)</f>
        <v>Suc. Belenes</v>
      </c>
      <c r="D89">
        <f>'[3]Motor Rutas SKU_Cons'!A93</f>
        <v>820428</v>
      </c>
      <c r="E89" s="997" t="str">
        <f>IF('[3]Motor Rutas SKU_Cons'!N93="","s/d","Agua "&amp;TEXT('[3]Motor Rutas SKU_Cons'!N93,"0%")&amp;" · Colas "&amp;TEXT('[3]Motor Rutas SKU_Cons'!O93,"0%")&amp;" · Resto "&amp;TEXT('[3]Motor Rutas SKU_Cons'!P93,"0%"))</f>
        <v>Agua 85% · Colas 8% · Resto 7%</v>
      </c>
      <c r="F89" s="16">
        <f>'[3]Motor Rutas SKU_Cons'!CH93</f>
        <v>0.25341683648576674</v>
      </c>
      <c r="G89" s="16">
        <f>'[3]Motor Rutas SKU_Cons'!CG93</f>
        <v>1.0838515275715908</v>
      </c>
      <c r="H89" s="998">
        <f>'[3]Motor Rutas SKU_Cons'!BX93</f>
        <v>56.087670165775528</v>
      </c>
      <c r="I89" s="998">
        <f>'[3]Motor Rutas SKU_Cons'!BW93</f>
        <v>0</v>
      </c>
    </row>
    <row r="90" spans="1:9">
      <c r="A90" t="str">
        <f>IF('[3]Motor Rutas SKU_Cons'!C94="","",'[3]Motor Rutas SKU_Cons'!C94)</f>
        <v>Occidente</v>
      </c>
      <c r="B90" t="str">
        <f>IF('[3]Motor Rutas SKU_Cons'!D94="","",'[3]Motor Rutas SKU_Cons'!D94)</f>
        <v>Aguascalientes</v>
      </c>
      <c r="C90" t="str">
        <f>IF('[3]Motor Rutas SKU_Cons'!B94="","",'[3]Motor Rutas SKU_Cons'!B94)</f>
        <v>Planta Trojes</v>
      </c>
      <c r="D90">
        <f>'[3]Motor Rutas SKU_Cons'!A94</f>
        <v>907344</v>
      </c>
      <c r="E90" s="997" t="str">
        <f>IF('[3]Motor Rutas SKU_Cons'!N94="","s/d","Agua "&amp;TEXT('[3]Motor Rutas SKU_Cons'!N94,"0%")&amp;" · Colas "&amp;TEXT('[3]Motor Rutas SKU_Cons'!O94,"0%")&amp;" · Resto "&amp;TEXT('[3]Motor Rutas SKU_Cons'!P94,"0%"))</f>
        <v>Agua 85% · Colas 8% · Resto 7%</v>
      </c>
      <c r="F90" s="16">
        <f>'[3]Motor Rutas SKU_Cons'!CH94</f>
        <v>0.36751340543683381</v>
      </c>
      <c r="G90" s="16">
        <f>'[3]Motor Rutas SKU_Cons'!CG94</f>
        <v>1.0836226442045453</v>
      </c>
      <c r="H90" s="998">
        <f>'[3]Motor Rutas SKU_Cons'!BX94</f>
        <v>44.872250838680998</v>
      </c>
      <c r="I90" s="998">
        <f>'[3]Motor Rutas SKU_Cons'!BW94</f>
        <v>0</v>
      </c>
    </row>
    <row r="91" spans="1:9">
      <c r="A91" t="str">
        <f>IF('[3]Motor Rutas SKU_Cons'!C95="","",'[3]Motor Rutas SKU_Cons'!C95)</f>
        <v>Occidente</v>
      </c>
      <c r="B91" t="str">
        <f>IF('[3]Motor Rutas SKU_Cons'!D95="","",'[3]Motor Rutas SKU_Cons'!D95)</f>
        <v>San Luis</v>
      </c>
      <c r="C91" t="str">
        <f>IF('[3]Motor Rutas SKU_Cons'!B95="","",'[3]Motor Rutas SKU_Cons'!B95)</f>
        <v>Planta San Luis</v>
      </c>
      <c r="D91">
        <f>'[3]Motor Rutas SKU_Cons'!A95</f>
        <v>916343</v>
      </c>
      <c r="E91" s="997" t="str">
        <f>IF('[3]Motor Rutas SKU_Cons'!N95="","s/d","Agua "&amp;TEXT('[3]Motor Rutas SKU_Cons'!N95,"0%")&amp;" · Colas "&amp;TEXT('[3]Motor Rutas SKU_Cons'!O95,"0%")&amp;" · Resto "&amp;TEXT('[3]Motor Rutas SKU_Cons'!P95,"0%"))</f>
        <v>Agua 85% · Colas 8% · Resto 7%</v>
      </c>
      <c r="F91" s="16">
        <f>'[3]Motor Rutas SKU_Cons'!CH95</f>
        <v>0.49339306118116311</v>
      </c>
      <c r="G91" s="16">
        <f>'[3]Motor Rutas SKU_Cons'!CG95</f>
        <v>1.0761854755909099</v>
      </c>
      <c r="H91" s="998">
        <f>'[3]Motor Rutas SKU_Cons'!BX95</f>
        <v>2.7231949935390105</v>
      </c>
      <c r="I91" s="998">
        <f>'[3]Motor Rutas SKU_Cons'!BW95</f>
        <v>0</v>
      </c>
    </row>
    <row r="92" spans="1:9">
      <c r="A92" t="str">
        <f>IF('[3]Motor Rutas SKU_Cons'!C96="","",'[3]Motor Rutas SKU_Cons'!C96)</f>
        <v>Occidente</v>
      </c>
      <c r="B92" t="str">
        <f>IF('[3]Motor Rutas SKU_Cons'!D96="","",'[3]Motor Rutas SKU_Cons'!D96)</f>
        <v>Zapopan</v>
      </c>
      <c r="C92" t="str">
        <f>IF('[3]Motor Rutas SKU_Cons'!B96="","",'[3]Motor Rutas SKU_Cons'!B96)</f>
        <v>Planta Zapopan</v>
      </c>
      <c r="D92">
        <f>'[3]Motor Rutas SKU_Cons'!A96</f>
        <v>816386</v>
      </c>
      <c r="E92" s="997" t="str">
        <f>IF('[3]Motor Rutas SKU_Cons'!N96="","s/d","Agua "&amp;TEXT('[3]Motor Rutas SKU_Cons'!N96,"0%")&amp;" · Colas "&amp;TEXT('[3]Motor Rutas SKU_Cons'!O96,"0%")&amp;" · Resto "&amp;TEXT('[3]Motor Rutas SKU_Cons'!P96,"0%"))</f>
        <v>Agua 85% · Colas 8% · Resto 7%</v>
      </c>
      <c r="F92" s="16">
        <f>'[3]Motor Rutas SKU_Cons'!CH96</f>
        <v>0.22705370991735052</v>
      </c>
      <c r="G92" s="16">
        <f>'[3]Motor Rutas SKU_Cons'!CG96</f>
        <v>1.0738829730681818</v>
      </c>
      <c r="H92" s="998">
        <f>'[3]Motor Rutas SKU_Cons'!BX96</f>
        <v>57.930535370766506</v>
      </c>
      <c r="I92" s="998">
        <f>'[3]Motor Rutas SKU_Cons'!BW96</f>
        <v>0</v>
      </c>
    </row>
    <row r="93" spans="1:9">
      <c r="A93" t="str">
        <f>IF('[3]Motor Rutas SKU_Cons'!C97="","",'[3]Motor Rutas SKU_Cons'!C97)</f>
        <v>Occidente</v>
      </c>
      <c r="B93" t="str">
        <f>IF('[3]Motor Rutas SKU_Cons'!D97="","",'[3]Motor Rutas SKU_Cons'!D97)</f>
        <v>Zapopan</v>
      </c>
      <c r="C93" t="str">
        <f>IF('[3]Motor Rutas SKU_Cons'!B97="","",'[3]Motor Rutas SKU_Cons'!B97)</f>
        <v>Planta Zapopan</v>
      </c>
      <c r="D93">
        <f>'[3]Motor Rutas SKU_Cons'!A97</f>
        <v>816371</v>
      </c>
      <c r="E93" s="997" t="str">
        <f>IF('[3]Motor Rutas SKU_Cons'!N97="","s/d","Agua "&amp;TEXT('[3]Motor Rutas SKU_Cons'!N97,"0%")&amp;" · Colas "&amp;TEXT('[3]Motor Rutas SKU_Cons'!O97,"0%")&amp;" · Resto "&amp;TEXT('[3]Motor Rutas SKU_Cons'!P97,"0%"))</f>
        <v>Agua 85% · Colas 8% · Resto 7%</v>
      </c>
      <c r="F93" s="16">
        <f>'[3]Motor Rutas SKU_Cons'!CH97</f>
        <v>0.36389615616491672</v>
      </c>
      <c r="G93" s="16">
        <f>'[3]Motor Rutas SKU_Cons'!CG97</f>
        <v>1.0673284093977278</v>
      </c>
      <c r="H93" s="998">
        <f>'[3]Motor Rutas SKU_Cons'!BX97</f>
        <v>62.43216664197665</v>
      </c>
      <c r="I93" s="998">
        <f>'[3]Motor Rutas SKU_Cons'!BW97</f>
        <v>0</v>
      </c>
    </row>
    <row r="94" spans="1:9">
      <c r="A94" t="str">
        <f>IF('[3]Motor Rutas SKU_Cons'!C98="","",'[3]Motor Rutas SKU_Cons'!C98)</f>
        <v>Occidente</v>
      </c>
      <c r="B94" t="str">
        <f>IF('[3]Motor Rutas SKU_Cons'!D98="","",'[3]Motor Rutas SKU_Cons'!D98)</f>
        <v>Favorita</v>
      </c>
      <c r="C94" t="str">
        <f>IF('[3]Motor Rutas SKU_Cons'!B98="","",'[3]Motor Rutas SKU_Cons'!B98)</f>
        <v>Suc. Manzanillo</v>
      </c>
      <c r="D94">
        <f>'[3]Motor Rutas SKU_Cons'!A98</f>
        <v>805406</v>
      </c>
      <c r="E94" s="997" t="str">
        <f>IF('[3]Motor Rutas SKU_Cons'!N98="","s/d","Agua "&amp;TEXT('[3]Motor Rutas SKU_Cons'!N98,"0%")&amp;" · Colas "&amp;TEXT('[3]Motor Rutas SKU_Cons'!O98,"0%")&amp;" · Resto "&amp;TEXT('[3]Motor Rutas SKU_Cons'!P98,"0%"))</f>
        <v>Agua 85% · Colas 8% · Resto 7%</v>
      </c>
      <c r="F94" s="16">
        <f>'[3]Motor Rutas SKU_Cons'!CH98</f>
        <v>0.14680410998359922</v>
      </c>
      <c r="G94" s="16">
        <f>'[3]Motor Rutas SKU_Cons'!CG98</f>
        <v>1.0587428381249995</v>
      </c>
      <c r="H94" s="998">
        <f>'[3]Motor Rutas SKU_Cons'!BX98</f>
        <v>56.704201885201982</v>
      </c>
      <c r="I94" s="998">
        <f>'[3]Motor Rutas SKU_Cons'!BW98</f>
        <v>0</v>
      </c>
    </row>
    <row r="95" spans="1:9">
      <c r="A95" t="str">
        <f>IF('[3]Motor Rutas SKU_Cons'!C99="","",'[3]Motor Rutas SKU_Cons'!C99)</f>
        <v>Occidente</v>
      </c>
      <c r="B95" t="str">
        <f>IF('[3]Motor Rutas SKU_Cons'!D99="","",'[3]Motor Rutas SKU_Cons'!D99)</f>
        <v>Zapopan</v>
      </c>
      <c r="C95" t="str">
        <f>IF('[3]Motor Rutas SKU_Cons'!B99="","",'[3]Motor Rutas SKU_Cons'!B99)</f>
        <v>Suc. Belenes</v>
      </c>
      <c r="D95">
        <f>'[3]Motor Rutas SKU_Cons'!A99</f>
        <v>820341</v>
      </c>
      <c r="E95" s="997" t="str">
        <f>IF('[3]Motor Rutas SKU_Cons'!N99="","s/d","Agua "&amp;TEXT('[3]Motor Rutas SKU_Cons'!N99,"0%")&amp;" · Colas "&amp;TEXT('[3]Motor Rutas SKU_Cons'!O99,"0%")&amp;" · Resto "&amp;TEXT('[3]Motor Rutas SKU_Cons'!P99,"0%"))</f>
        <v>Agua 85% · Colas 8% · Resto 7%</v>
      </c>
      <c r="F95" s="16">
        <f>'[3]Motor Rutas SKU_Cons'!CH99</f>
        <v>0.26604950920495574</v>
      </c>
      <c r="G95" s="16">
        <f>'[3]Motor Rutas SKU_Cons'!CG99</f>
        <v>1.0569793208481817</v>
      </c>
      <c r="H95" s="998">
        <f>'[3]Motor Rutas SKU_Cons'!BX99</f>
        <v>72.035595748037366</v>
      </c>
      <c r="I95" s="998">
        <f>'[3]Motor Rutas SKU_Cons'!BW99</f>
        <v>0</v>
      </c>
    </row>
    <row r="96" spans="1:9">
      <c r="A96" t="str">
        <f>IF('[3]Motor Rutas SKU_Cons'!C100="","",'[3]Motor Rutas SKU_Cons'!C100)</f>
        <v>Occidente</v>
      </c>
      <c r="B96" t="str">
        <f>IF('[3]Motor Rutas SKU_Cons'!D100="","",'[3]Motor Rutas SKU_Cons'!D100)</f>
        <v>Zapopan</v>
      </c>
      <c r="C96" t="str">
        <f>IF('[3]Motor Rutas SKU_Cons'!B100="","",'[3]Motor Rutas SKU_Cons'!B100)</f>
        <v>Planta Zapopan</v>
      </c>
      <c r="D96">
        <f>'[3]Motor Rutas SKU_Cons'!A100</f>
        <v>816363</v>
      </c>
      <c r="E96" s="997" t="str">
        <f>IF('[3]Motor Rutas SKU_Cons'!N100="","s/d","Agua "&amp;TEXT('[3]Motor Rutas SKU_Cons'!N100,"0%")&amp;" · Colas "&amp;TEXT('[3]Motor Rutas SKU_Cons'!O100,"0%")&amp;" · Resto "&amp;TEXT('[3]Motor Rutas SKU_Cons'!P100,"0%"))</f>
        <v>Agua 85% · Colas 8% · Resto 7%</v>
      </c>
      <c r="F96" s="16">
        <f>'[3]Motor Rutas SKU_Cons'!CH100</f>
        <v>0.26512303240797336</v>
      </c>
      <c r="G96" s="16">
        <f>'[3]Motor Rutas SKU_Cons'!CG100</f>
        <v>1.0543797623863647</v>
      </c>
      <c r="H96" s="998">
        <f>'[3]Motor Rutas SKU_Cons'!BX100</f>
        <v>52.737294229055422</v>
      </c>
      <c r="I96" s="998">
        <f>'[3]Motor Rutas SKU_Cons'!BW100</f>
        <v>0</v>
      </c>
    </row>
    <row r="97" spans="1:9">
      <c r="A97" t="str">
        <f>IF('[3]Motor Rutas SKU_Cons'!C101="","",'[3]Motor Rutas SKU_Cons'!C101)</f>
        <v>Occidente</v>
      </c>
      <c r="B97" t="str">
        <f>IF('[3]Motor Rutas SKU_Cons'!D101="","",'[3]Motor Rutas SKU_Cons'!D101)</f>
        <v>Favorita</v>
      </c>
      <c r="C97" t="str">
        <f>IF('[3]Motor Rutas SKU_Cons'!B101="","",'[3]Motor Rutas SKU_Cons'!B101)</f>
        <v>Suc. Alamo</v>
      </c>
      <c r="D97">
        <f>'[3]Motor Rutas SKU_Cons'!A101</f>
        <v>802346</v>
      </c>
      <c r="E97" s="997" t="str">
        <f>IF('[3]Motor Rutas SKU_Cons'!N101="","s/d","Agua "&amp;TEXT('[3]Motor Rutas SKU_Cons'!N101,"0%")&amp;" · Colas "&amp;TEXT('[3]Motor Rutas SKU_Cons'!O101,"0%")&amp;" · Resto "&amp;TEXT('[3]Motor Rutas SKU_Cons'!P101,"0%"))</f>
        <v>Agua 85% · Colas 8% · Resto 7%</v>
      </c>
      <c r="F97" s="16">
        <f>'[3]Motor Rutas SKU_Cons'!CH101</f>
        <v>0.42345610985773824</v>
      </c>
      <c r="G97" s="16">
        <f>'[3]Motor Rutas SKU_Cons'!CG101</f>
        <v>1.0451964814772754</v>
      </c>
      <c r="H97" s="998">
        <f>'[3]Motor Rutas SKU_Cons'!BX101</f>
        <v>56.586490672279638</v>
      </c>
      <c r="I97" s="998">
        <f>'[3]Motor Rutas SKU_Cons'!BW101</f>
        <v>0</v>
      </c>
    </row>
    <row r="98" spans="1:9">
      <c r="A98" t="str">
        <f>IF('[3]Motor Rutas SKU_Cons'!C102="","",'[3]Motor Rutas SKU_Cons'!C102)</f>
        <v>Occidente</v>
      </c>
      <c r="B98" t="str">
        <f>IF('[3]Motor Rutas SKU_Cons'!D102="","",'[3]Motor Rutas SKU_Cons'!D102)</f>
        <v>Favorita</v>
      </c>
      <c r="C98" t="str">
        <f>IF('[3]Motor Rutas SKU_Cons'!B102="","",'[3]Motor Rutas SKU_Cons'!B102)</f>
        <v>Suc. Alamo</v>
      </c>
      <c r="D98">
        <f>'[3]Motor Rutas SKU_Cons'!A102</f>
        <v>802344</v>
      </c>
      <c r="E98" s="997" t="str">
        <f>IF('[3]Motor Rutas SKU_Cons'!N102="","s/d","Agua "&amp;TEXT('[3]Motor Rutas SKU_Cons'!N102,"0%")&amp;" · Colas "&amp;TEXT('[3]Motor Rutas SKU_Cons'!O102,"0%")&amp;" · Resto "&amp;TEXT('[3]Motor Rutas SKU_Cons'!P102,"0%"))</f>
        <v>Agua 85% · Colas 8% · Resto 7%</v>
      </c>
      <c r="F98" s="16">
        <f>'[3]Motor Rutas SKU_Cons'!CH102</f>
        <v>0.58135839203084616</v>
      </c>
      <c r="G98" s="16">
        <f>'[3]Motor Rutas SKU_Cons'!CG102</f>
        <v>1.0334846733750003</v>
      </c>
      <c r="H98" s="998">
        <f>'[3]Motor Rutas SKU_Cons'!BX102</f>
        <v>41.088735566219114</v>
      </c>
      <c r="I98" s="998">
        <f>'[3]Motor Rutas SKU_Cons'!BW102</f>
        <v>0</v>
      </c>
    </row>
    <row r="99" spans="1:9">
      <c r="A99" t="str">
        <f>IF('[3]Motor Rutas SKU_Cons'!C103="","",'[3]Motor Rutas SKU_Cons'!C103)</f>
        <v>Occidente</v>
      </c>
      <c r="B99" t="str">
        <f>IF('[3]Motor Rutas SKU_Cons'!D103="","",'[3]Motor Rutas SKU_Cons'!D103)</f>
        <v>Aguascalientes</v>
      </c>
      <c r="C99" t="str">
        <f>IF('[3]Motor Rutas SKU_Cons'!B103="","",'[3]Motor Rutas SKU_Cons'!B103)</f>
        <v>Planta Trojes</v>
      </c>
      <c r="D99">
        <f>'[3]Motor Rutas SKU_Cons'!A103</f>
        <v>907341</v>
      </c>
      <c r="E99" s="997" t="str">
        <f>IF('[3]Motor Rutas SKU_Cons'!N103="","s/d","Agua "&amp;TEXT('[3]Motor Rutas SKU_Cons'!N103,"0%")&amp;" · Colas "&amp;TEXT('[3]Motor Rutas SKU_Cons'!O103,"0%")&amp;" · Resto "&amp;TEXT('[3]Motor Rutas SKU_Cons'!P103,"0%"))</f>
        <v>Agua 85% · Colas 8% · Resto 7%</v>
      </c>
      <c r="F99" s="16">
        <f>'[3]Motor Rutas SKU_Cons'!CH103</f>
        <v>0.19373004944247527</v>
      </c>
      <c r="G99" s="16">
        <f>'[3]Motor Rutas SKU_Cons'!CG103</f>
        <v>1.0308177194318171</v>
      </c>
      <c r="H99" s="998">
        <f>'[3]Motor Rutas SKU_Cons'!BX103</f>
        <v>57.984352293226365</v>
      </c>
      <c r="I99" s="998">
        <f>'[3]Motor Rutas SKU_Cons'!BW103</f>
        <v>0</v>
      </c>
    </row>
    <row r="100" spans="1:9">
      <c r="A100" t="str">
        <f>IF('[3]Motor Rutas SKU_Cons'!C104="","",'[3]Motor Rutas SKU_Cons'!C104)</f>
        <v>Occidente</v>
      </c>
      <c r="B100" t="str">
        <f>IF('[3]Motor Rutas SKU_Cons'!D104="","",'[3]Motor Rutas SKU_Cons'!D104)</f>
        <v>Zapopan</v>
      </c>
      <c r="C100" t="str">
        <f>IF('[3]Motor Rutas SKU_Cons'!B104="","",'[3]Motor Rutas SKU_Cons'!B104)</f>
        <v>Suc. Belenes</v>
      </c>
      <c r="D100">
        <f>'[3]Motor Rutas SKU_Cons'!A104</f>
        <v>820376</v>
      </c>
      <c r="E100" s="997" t="str">
        <f>IF('[3]Motor Rutas SKU_Cons'!N104="","s/d","Agua "&amp;TEXT('[3]Motor Rutas SKU_Cons'!N104,"0%")&amp;" · Colas "&amp;TEXT('[3]Motor Rutas SKU_Cons'!O104,"0%")&amp;" · Resto "&amp;TEXT('[3]Motor Rutas SKU_Cons'!P104,"0%"))</f>
        <v>Agua 85% · Colas 8% · Resto 7%</v>
      </c>
      <c r="F100" s="16">
        <f>'[3]Motor Rutas SKU_Cons'!CH104</f>
        <v>0.36749318623141503</v>
      </c>
      <c r="G100" s="16">
        <f>'[3]Motor Rutas SKU_Cons'!CG104</f>
        <v>1.018901304511364</v>
      </c>
      <c r="H100" s="998">
        <f>'[3]Motor Rutas SKU_Cons'!BX104</f>
        <v>62.079126202582536</v>
      </c>
      <c r="I100" s="998">
        <f>'[3]Motor Rutas SKU_Cons'!BW104</f>
        <v>0</v>
      </c>
    </row>
    <row r="101" spans="1:9">
      <c r="A101" t="str">
        <f>IF('[3]Motor Rutas SKU_Cons'!C105="","",'[3]Motor Rutas SKU_Cons'!C105)</f>
        <v>Pacifico</v>
      </c>
      <c r="B101" t="str">
        <f>IF('[3]Motor Rutas SKU_Cons'!D105="","",'[3]Motor Rutas SKU_Cons'!D105)</f>
        <v>La Paz</v>
      </c>
      <c r="C101" t="str">
        <f>IF('[3]Motor Rutas SKU_Cons'!B105="","",'[3]Motor Rutas SKU_Cons'!B105)</f>
        <v>Planta La Paz</v>
      </c>
      <c r="D101">
        <f>'[3]Motor Rutas SKU_Cons'!A105</f>
        <v>506305</v>
      </c>
      <c r="E101" s="997" t="str">
        <f>IF('[3]Motor Rutas SKU_Cons'!N105="","s/d","Agua "&amp;TEXT('[3]Motor Rutas SKU_Cons'!N105,"0%")&amp;" · Colas "&amp;TEXT('[3]Motor Rutas SKU_Cons'!O105,"0%")&amp;" · Resto "&amp;TEXT('[3]Motor Rutas SKU_Cons'!P105,"0%"))</f>
        <v>Agua 85% · Colas 8% · Resto 7%</v>
      </c>
      <c r="F101" s="16">
        <f>'[3]Motor Rutas SKU_Cons'!CH105</f>
        <v>0.11883693653758112</v>
      </c>
      <c r="G101" s="16">
        <f>'[3]Motor Rutas SKU_Cons'!CG105</f>
        <v>1.016504599090909</v>
      </c>
      <c r="H101" s="998">
        <f>'[3]Motor Rutas SKU_Cons'!BX105</f>
        <v>64.265802833333268</v>
      </c>
      <c r="I101" s="998">
        <f>'[3]Motor Rutas SKU_Cons'!BW105</f>
        <v>0</v>
      </c>
    </row>
    <row r="102" spans="1:9">
      <c r="A102" t="str">
        <f>IF('[3]Motor Rutas SKU_Cons'!C106="","",'[3]Motor Rutas SKU_Cons'!C106)</f>
        <v>Occidente</v>
      </c>
      <c r="B102" t="str">
        <f>IF('[3]Motor Rutas SKU_Cons'!D106="","",'[3]Motor Rutas SKU_Cons'!D106)</f>
        <v>San Luis</v>
      </c>
      <c r="C102" t="str">
        <f>IF('[3]Motor Rutas SKU_Cons'!B106="","",'[3]Motor Rutas SKU_Cons'!B106)</f>
        <v>Planta San Luis</v>
      </c>
      <c r="D102">
        <f>'[3]Motor Rutas SKU_Cons'!A106</f>
        <v>916434</v>
      </c>
      <c r="E102" s="997" t="str">
        <f>IF('[3]Motor Rutas SKU_Cons'!N106="","s/d","Agua "&amp;TEXT('[3]Motor Rutas SKU_Cons'!N106,"0%")&amp;" · Colas "&amp;TEXT('[3]Motor Rutas SKU_Cons'!O106,"0%")&amp;" · Resto "&amp;TEXT('[3]Motor Rutas SKU_Cons'!P106,"0%"))</f>
        <v>Agua 85% · Colas 8% · Resto 7%</v>
      </c>
      <c r="F102" s="16">
        <f>'[3]Motor Rutas SKU_Cons'!CH106</f>
        <v>0.40375599562104308</v>
      </c>
      <c r="G102" s="16">
        <f>'[3]Motor Rutas SKU_Cons'!CG106</f>
        <v>1.0120813297159099</v>
      </c>
      <c r="H102" s="998">
        <f>'[3]Motor Rutas SKU_Cons'!BX106</f>
        <v>58.520012732885519</v>
      </c>
      <c r="I102" s="998">
        <f>'[3]Motor Rutas SKU_Cons'!BW106</f>
        <v>0</v>
      </c>
    </row>
    <row r="103" spans="1:9">
      <c r="A103" t="str">
        <f>IF('[3]Motor Rutas SKU_Cons'!C107="","",'[3]Motor Rutas SKU_Cons'!C107)</f>
        <v>Occidente</v>
      </c>
      <c r="B103" t="str">
        <f>IF('[3]Motor Rutas SKU_Cons'!D107="","",'[3]Motor Rutas SKU_Cons'!D107)</f>
        <v>Zapopan</v>
      </c>
      <c r="C103" t="str">
        <f>IF('[3]Motor Rutas SKU_Cons'!B107="","",'[3]Motor Rutas SKU_Cons'!B107)</f>
        <v>Planta Zapopan</v>
      </c>
      <c r="D103">
        <f>'[3]Motor Rutas SKU_Cons'!A107</f>
        <v>816395</v>
      </c>
      <c r="E103" s="997" t="str">
        <f>IF('[3]Motor Rutas SKU_Cons'!N107="","s/d","Agua "&amp;TEXT('[3]Motor Rutas SKU_Cons'!N107,"0%")&amp;" · Colas "&amp;TEXT('[3]Motor Rutas SKU_Cons'!O107,"0%")&amp;" · Resto "&amp;TEXT('[3]Motor Rutas SKU_Cons'!P107,"0%"))</f>
        <v>Agua 85% · Colas 8% · Resto 7%</v>
      </c>
      <c r="F103" s="16">
        <f>'[3]Motor Rutas SKU_Cons'!CH107</f>
        <v>0.18233426150976148</v>
      </c>
      <c r="G103" s="16">
        <f>'[3]Motor Rutas SKU_Cons'!CG107</f>
        <v>1.0013742685227278</v>
      </c>
      <c r="H103" s="998">
        <f>'[3]Motor Rutas SKU_Cons'!BX107</f>
        <v>56.903499274509826</v>
      </c>
      <c r="I103" s="998">
        <f>'[3]Motor Rutas SKU_Cons'!BW107</f>
        <v>0</v>
      </c>
    </row>
    <row r="104" spans="1:9">
      <c r="A104" t="str">
        <f>IF('[3]Motor Rutas SKU_Cons'!C108="","",'[3]Motor Rutas SKU_Cons'!C108)</f>
        <v>Occidente</v>
      </c>
      <c r="B104" t="str">
        <f>IF('[3]Motor Rutas SKU_Cons'!D108="","",'[3]Motor Rutas SKU_Cons'!D108)</f>
        <v>Favorita</v>
      </c>
      <c r="C104" t="str">
        <f>IF('[3]Motor Rutas SKU_Cons'!B108="","",'[3]Motor Rutas SKU_Cons'!B108)</f>
        <v>Suc. Santa Maria</v>
      </c>
      <c r="D104">
        <f>'[3]Motor Rutas SKU_Cons'!A108</f>
        <v>809369</v>
      </c>
      <c r="E104" s="997" t="str">
        <f>IF('[3]Motor Rutas SKU_Cons'!N108="","s/d","Agua "&amp;TEXT('[3]Motor Rutas SKU_Cons'!N108,"0%")&amp;" · Colas "&amp;TEXT('[3]Motor Rutas SKU_Cons'!O108,"0%")&amp;" · Resto "&amp;TEXT('[3]Motor Rutas SKU_Cons'!P108,"0%"))</f>
        <v>Agua 85% · Colas 8% · Resto 7%</v>
      </c>
      <c r="F104" s="16">
        <f>'[3]Motor Rutas SKU_Cons'!CH108</f>
        <v>0.17566227801037831</v>
      </c>
      <c r="G104" s="16">
        <f>'[3]Motor Rutas SKU_Cons'!CG108</f>
        <v>1.000645508863635</v>
      </c>
      <c r="H104" s="998">
        <f>'[3]Motor Rutas SKU_Cons'!BX108</f>
        <v>57.503903672905402</v>
      </c>
      <c r="I104" s="998">
        <f>'[3]Motor Rutas SKU_Cons'!BW108</f>
        <v>0</v>
      </c>
    </row>
    <row r="105" spans="1:9">
      <c r="A105" t="str">
        <f>IF('[3]Motor Rutas SKU_Cons'!C109="","",'[3]Motor Rutas SKU_Cons'!C109)</f>
        <v>Occidente</v>
      </c>
      <c r="B105" t="str">
        <f>IF('[3]Motor Rutas SKU_Cons'!D109="","",'[3]Motor Rutas SKU_Cons'!D109)</f>
        <v>Zapopan</v>
      </c>
      <c r="C105" t="str">
        <f>IF('[3]Motor Rutas SKU_Cons'!B109="","",'[3]Motor Rutas SKU_Cons'!B109)</f>
        <v>Planta Zapopan</v>
      </c>
      <c r="D105">
        <f>'[3]Motor Rutas SKU_Cons'!A109</f>
        <v>816390</v>
      </c>
      <c r="E105" s="997" t="str">
        <f>IF('[3]Motor Rutas SKU_Cons'!N109="","s/d","Agua "&amp;TEXT('[3]Motor Rutas SKU_Cons'!N109,"0%")&amp;" · Colas "&amp;TEXT('[3]Motor Rutas SKU_Cons'!O109,"0%")&amp;" · Resto "&amp;TEXT('[3]Motor Rutas SKU_Cons'!P109,"0%"))</f>
        <v>Agua 85% · Colas 8% · Resto 7%</v>
      </c>
      <c r="F105" s="16">
        <f>'[3]Motor Rutas SKU_Cons'!CH109</f>
        <v>0.15264344800161031</v>
      </c>
      <c r="G105" s="16">
        <f>'[3]Motor Rutas SKU_Cons'!CG109</f>
        <v>0.99196112710227269</v>
      </c>
      <c r="H105" s="998">
        <f>'[3]Motor Rutas SKU_Cons'!BX109</f>
        <v>59.114456933155182</v>
      </c>
      <c r="I105" s="998">
        <f>'[3]Motor Rutas SKU_Cons'!BW109</f>
        <v>0</v>
      </c>
    </row>
    <row r="106" spans="1:9">
      <c r="A106" t="str">
        <f>IF('[3]Motor Rutas SKU_Cons'!C110="","",'[3]Motor Rutas SKU_Cons'!C110)</f>
        <v>Occidente</v>
      </c>
      <c r="B106" t="str">
        <f>IF('[3]Motor Rutas SKU_Cons'!D110="","",'[3]Motor Rutas SKU_Cons'!D110)</f>
        <v>Favorita</v>
      </c>
      <c r="C106" t="str">
        <f>IF('[3]Motor Rutas SKU_Cons'!B110="","",'[3]Motor Rutas SKU_Cons'!B110)</f>
        <v>Suc. Santa Maria</v>
      </c>
      <c r="D106">
        <f>'[3]Motor Rutas SKU_Cons'!A110</f>
        <v>809371</v>
      </c>
      <c r="E106" s="997" t="str">
        <f>IF('[3]Motor Rutas SKU_Cons'!N110="","s/d","Agua "&amp;TEXT('[3]Motor Rutas SKU_Cons'!N110,"0%")&amp;" · Colas "&amp;TEXT('[3]Motor Rutas SKU_Cons'!O110,"0%")&amp;" · Resto "&amp;TEXT('[3]Motor Rutas SKU_Cons'!P110,"0%"))</f>
        <v>Agua 85% · Colas 8% · Resto 7%</v>
      </c>
      <c r="F106" s="16">
        <f>'[3]Motor Rutas SKU_Cons'!CH110</f>
        <v>0.19108206449576426</v>
      </c>
      <c r="G106" s="16">
        <f>'[3]Motor Rutas SKU_Cons'!CG110</f>
        <v>0.99193591851136498</v>
      </c>
      <c r="H106" s="998">
        <f>'[3]Motor Rutas SKU_Cons'!BX110</f>
        <v>79.393482429855396</v>
      </c>
      <c r="I106" s="998">
        <f>'[3]Motor Rutas SKU_Cons'!BW110</f>
        <v>0</v>
      </c>
    </row>
    <row r="107" spans="1:9">
      <c r="A107" t="str">
        <f>IF('[3]Motor Rutas SKU_Cons'!C111="","",'[3]Motor Rutas SKU_Cons'!C111)</f>
        <v>Occidente</v>
      </c>
      <c r="B107" t="str">
        <f>IF('[3]Motor Rutas SKU_Cons'!D111="","",'[3]Motor Rutas SKU_Cons'!D111)</f>
        <v>Zapopan</v>
      </c>
      <c r="C107" t="str">
        <f>IF('[3]Motor Rutas SKU_Cons'!B111="","",'[3]Motor Rutas SKU_Cons'!B111)</f>
        <v>Suc. Ameca</v>
      </c>
      <c r="D107">
        <f>'[3]Motor Rutas SKU_Cons'!A111</f>
        <v>821401</v>
      </c>
      <c r="E107" s="997" t="str">
        <f>IF('[3]Motor Rutas SKU_Cons'!N111="","s/d","Agua "&amp;TEXT('[3]Motor Rutas SKU_Cons'!N111,"0%")&amp;" · Colas "&amp;TEXT('[3]Motor Rutas SKU_Cons'!O111,"0%")&amp;" · Resto "&amp;TEXT('[3]Motor Rutas SKU_Cons'!P111,"0%"))</f>
        <v>Agua 85% · Colas 8% · Resto 7%</v>
      </c>
      <c r="F107" s="16">
        <f>'[3]Motor Rutas SKU_Cons'!CH111</f>
        <v>0.49585495317697537</v>
      </c>
      <c r="G107" s="16">
        <f>'[3]Motor Rutas SKU_Cons'!CG111</f>
        <v>0.98967516279545453</v>
      </c>
      <c r="H107" s="998">
        <f>'[3]Motor Rutas SKU_Cons'!BX111</f>
        <v>49.480706460158402</v>
      </c>
      <c r="I107" s="998">
        <f>'[3]Motor Rutas SKU_Cons'!BW111</f>
        <v>0</v>
      </c>
    </row>
    <row r="108" spans="1:9">
      <c r="A108" t="str">
        <f>IF('[3]Motor Rutas SKU_Cons'!C112="","",'[3]Motor Rutas SKU_Cons'!C112)</f>
        <v>Occidente</v>
      </c>
      <c r="B108" t="str">
        <f>IF('[3]Motor Rutas SKU_Cons'!D112="","",'[3]Motor Rutas SKU_Cons'!D112)</f>
        <v>San Luis</v>
      </c>
      <c r="C108" t="str">
        <f>IF('[3]Motor Rutas SKU_Cons'!B112="","",'[3]Motor Rutas SKU_Cons'!B112)</f>
        <v>Suc. Río Verde</v>
      </c>
      <c r="D108">
        <f>'[3]Motor Rutas SKU_Cons'!A112</f>
        <v>921402</v>
      </c>
      <c r="E108" s="997" t="str">
        <f>IF('[3]Motor Rutas SKU_Cons'!N112="","s/d","Agua "&amp;TEXT('[3]Motor Rutas SKU_Cons'!N112,"0%")&amp;" · Colas "&amp;TEXT('[3]Motor Rutas SKU_Cons'!O112,"0%")&amp;" · Resto "&amp;TEXT('[3]Motor Rutas SKU_Cons'!P112,"0%"))</f>
        <v>Agua 85% · Colas 8% · Resto 7%</v>
      </c>
      <c r="F108" s="16">
        <f>'[3]Motor Rutas SKU_Cons'!CH112</f>
        <v>0.15171460556917174</v>
      </c>
      <c r="G108" s="16">
        <f>'[3]Motor Rutas SKU_Cons'!CG112</f>
        <v>0.98758603124999966</v>
      </c>
      <c r="H108" s="998">
        <f>'[3]Motor Rutas SKU_Cons'!BX112</f>
        <v>28.06276848217319</v>
      </c>
      <c r="I108" s="998">
        <f>'[3]Motor Rutas SKU_Cons'!BW112</f>
        <v>0</v>
      </c>
    </row>
    <row r="109" spans="1:9">
      <c r="A109" t="str">
        <f>IF('[3]Motor Rutas SKU_Cons'!C113="","",'[3]Motor Rutas SKU_Cons'!C113)</f>
        <v>Occidente</v>
      </c>
      <c r="B109" t="str">
        <f>IF('[3]Motor Rutas SKU_Cons'!D113="","",'[3]Motor Rutas SKU_Cons'!D113)</f>
        <v>Favorita</v>
      </c>
      <c r="C109" t="str">
        <f>IF('[3]Motor Rutas SKU_Cons'!B113="","",'[3]Motor Rutas SKU_Cons'!B113)</f>
        <v>Cedi Tonalá</v>
      </c>
      <c r="D109">
        <f>'[3]Motor Rutas SKU_Cons'!A113</f>
        <v>810349</v>
      </c>
      <c r="E109" s="997" t="str">
        <f>IF('[3]Motor Rutas SKU_Cons'!N113="","s/d","Agua "&amp;TEXT('[3]Motor Rutas SKU_Cons'!N113,"0%")&amp;" · Colas "&amp;TEXT('[3]Motor Rutas SKU_Cons'!O113,"0%")&amp;" · Resto "&amp;TEXT('[3]Motor Rutas SKU_Cons'!P113,"0%"))</f>
        <v>Agua 85% · Colas 8% · Resto 7%</v>
      </c>
      <c r="F109" s="16">
        <f>'[3]Motor Rutas SKU_Cons'!CH113</f>
        <v>0.23185063169047015</v>
      </c>
      <c r="G109" s="16">
        <f>'[3]Motor Rutas SKU_Cons'!CG113</f>
        <v>0.98674829590908997</v>
      </c>
      <c r="H109" s="998">
        <f>'[3]Motor Rutas SKU_Cons'!BX113</f>
        <v>50.951068891265564</v>
      </c>
      <c r="I109" s="998">
        <f>'[3]Motor Rutas SKU_Cons'!BW113</f>
        <v>0</v>
      </c>
    </row>
    <row r="110" spans="1:9">
      <c r="A110" t="str">
        <f>IF('[3]Motor Rutas SKU_Cons'!C114="","",'[3]Motor Rutas SKU_Cons'!C114)</f>
        <v>Occidente</v>
      </c>
      <c r="B110" t="str">
        <f>IF('[3]Motor Rutas SKU_Cons'!D114="","",'[3]Motor Rutas SKU_Cons'!D114)</f>
        <v>San Luis</v>
      </c>
      <c r="C110" t="str">
        <f>IF('[3]Motor Rutas SKU_Cons'!B114="","",'[3]Motor Rutas SKU_Cons'!B114)</f>
        <v>Planta San Luis</v>
      </c>
      <c r="D110">
        <f>'[3]Motor Rutas SKU_Cons'!A114</f>
        <v>916425</v>
      </c>
      <c r="E110" s="997" t="str">
        <f>IF('[3]Motor Rutas SKU_Cons'!N114="","s/d","Agua "&amp;TEXT('[3]Motor Rutas SKU_Cons'!N114,"0%")&amp;" · Colas "&amp;TEXT('[3]Motor Rutas SKU_Cons'!O114,"0%")&amp;" · Resto "&amp;TEXT('[3]Motor Rutas SKU_Cons'!P114,"0%"))</f>
        <v>Agua 85% · Colas 8% · Resto 7%</v>
      </c>
      <c r="F110" s="16">
        <f>'[3]Motor Rutas SKU_Cons'!CH114</f>
        <v>0.40237535849759709</v>
      </c>
      <c r="G110" s="16">
        <f>'[3]Motor Rutas SKU_Cons'!CG114</f>
        <v>0.98543895974999995</v>
      </c>
      <c r="H110" s="998">
        <f>'[3]Motor Rutas SKU_Cons'!BX114</f>
        <v>58.655519172279753</v>
      </c>
      <c r="I110" s="998">
        <f>'[3]Motor Rutas SKU_Cons'!BW114</f>
        <v>0</v>
      </c>
    </row>
    <row r="111" spans="1:9">
      <c r="A111" t="str">
        <f>IF('[3]Motor Rutas SKU_Cons'!C115="","",'[3]Motor Rutas SKU_Cons'!C115)</f>
        <v>Occidente</v>
      </c>
      <c r="B111" t="str">
        <f>IF('[3]Motor Rutas SKU_Cons'!D115="","",'[3]Motor Rutas SKU_Cons'!D115)</f>
        <v>Zapopan</v>
      </c>
      <c r="C111" t="str">
        <f>IF('[3]Motor Rutas SKU_Cons'!B115="","",'[3]Motor Rutas SKU_Cons'!B115)</f>
        <v>Suc. Belenes</v>
      </c>
      <c r="D111">
        <f>'[3]Motor Rutas SKU_Cons'!A115</f>
        <v>820431</v>
      </c>
      <c r="E111" s="997" t="str">
        <f>IF('[3]Motor Rutas SKU_Cons'!N115="","s/d","Agua "&amp;TEXT('[3]Motor Rutas SKU_Cons'!N115,"0%")&amp;" · Colas "&amp;TEXT('[3]Motor Rutas SKU_Cons'!O115,"0%")&amp;" · Resto "&amp;TEXT('[3]Motor Rutas SKU_Cons'!P115,"0%"))</f>
        <v>Agua 85% · Colas 8% · Resto 7%</v>
      </c>
      <c r="F111" s="16">
        <f>'[3]Motor Rutas SKU_Cons'!CH115</f>
        <v>0.17485280507375869</v>
      </c>
      <c r="G111" s="16">
        <f>'[3]Motor Rutas SKU_Cons'!CG115</f>
        <v>0.98367425386363627</v>
      </c>
      <c r="H111" s="998">
        <f>'[3]Motor Rutas SKU_Cons'!BX115</f>
        <v>56.315657509803884</v>
      </c>
      <c r="I111" s="998">
        <f>'[3]Motor Rutas SKU_Cons'!BW115</f>
        <v>0</v>
      </c>
    </row>
    <row r="112" spans="1:9">
      <c r="A112" t="str">
        <f>IF('[3]Motor Rutas SKU_Cons'!C116="","",'[3]Motor Rutas SKU_Cons'!C116)</f>
        <v>Occidente</v>
      </c>
      <c r="B112" t="str">
        <f>IF('[3]Motor Rutas SKU_Cons'!D116="","",'[3]Motor Rutas SKU_Cons'!D116)</f>
        <v>Zapopan</v>
      </c>
      <c r="C112" t="str">
        <f>IF('[3]Motor Rutas SKU_Cons'!B116="","",'[3]Motor Rutas SKU_Cons'!B116)</f>
        <v>Planta Zapopan</v>
      </c>
      <c r="D112">
        <f>'[3]Motor Rutas SKU_Cons'!A116</f>
        <v>816349</v>
      </c>
      <c r="E112" s="997" t="str">
        <f>IF('[3]Motor Rutas SKU_Cons'!N116="","s/d","Agua "&amp;TEXT('[3]Motor Rutas SKU_Cons'!N116,"0%")&amp;" · Colas "&amp;TEXT('[3]Motor Rutas SKU_Cons'!O116,"0%")&amp;" · Resto "&amp;TEXT('[3]Motor Rutas SKU_Cons'!P116,"0%"))</f>
        <v>Agua 85% · Colas 8% · Resto 7%</v>
      </c>
      <c r="F112" s="16">
        <f>'[3]Motor Rutas SKU_Cons'!CH116</f>
        <v>0.32355124071938701</v>
      </c>
      <c r="G112" s="16">
        <f>'[3]Motor Rutas SKU_Cons'!CG116</f>
        <v>0.98233972701136374</v>
      </c>
      <c r="H112" s="998">
        <f>'[3]Motor Rutas SKU_Cons'!BX116</f>
        <v>66.391929672279616</v>
      </c>
      <c r="I112" s="998">
        <f>'[3]Motor Rutas SKU_Cons'!BW116</f>
        <v>0</v>
      </c>
    </row>
    <row r="113" spans="1:9">
      <c r="A113" t="str">
        <f>IF('[3]Motor Rutas SKU_Cons'!C117="","",'[3]Motor Rutas SKU_Cons'!C117)</f>
        <v>Occidente</v>
      </c>
      <c r="B113" t="str">
        <f>IF('[3]Motor Rutas SKU_Cons'!D117="","",'[3]Motor Rutas SKU_Cons'!D117)</f>
        <v>Favorita</v>
      </c>
      <c r="C113" t="str">
        <f>IF('[3]Motor Rutas SKU_Cons'!B117="","",'[3]Motor Rutas SKU_Cons'!B117)</f>
        <v>Suc. Santa Maria</v>
      </c>
      <c r="D113">
        <f>'[3]Motor Rutas SKU_Cons'!A117</f>
        <v>809353</v>
      </c>
      <c r="E113" s="997" t="str">
        <f>IF('[3]Motor Rutas SKU_Cons'!N117="","s/d","Agua "&amp;TEXT('[3]Motor Rutas SKU_Cons'!N117,"0%")&amp;" · Colas "&amp;TEXT('[3]Motor Rutas SKU_Cons'!O117,"0%")&amp;" · Resto "&amp;TEXT('[3]Motor Rutas SKU_Cons'!P117,"0%"))</f>
        <v>Agua 85% · Colas 8% · Resto 7%</v>
      </c>
      <c r="F113" s="16">
        <f>'[3]Motor Rutas SKU_Cons'!CH117</f>
        <v>0.2788259063193238</v>
      </c>
      <c r="G113" s="16">
        <f>'[3]Motor Rutas SKU_Cons'!CG117</f>
        <v>0.98118216953590986</v>
      </c>
      <c r="H113" s="998">
        <f>'[3]Motor Rutas SKU_Cons'!BX117</f>
        <v>70.781621005612919</v>
      </c>
      <c r="I113" s="998">
        <f>'[3]Motor Rutas SKU_Cons'!BW117</f>
        <v>0</v>
      </c>
    </row>
    <row r="114" spans="1:9">
      <c r="A114" t="str">
        <f>IF('[3]Motor Rutas SKU_Cons'!C118="","",'[3]Motor Rutas SKU_Cons'!C118)</f>
        <v>Occidente</v>
      </c>
      <c r="B114" t="str">
        <f>IF('[3]Motor Rutas SKU_Cons'!D118="","",'[3]Motor Rutas SKU_Cons'!D118)</f>
        <v>Favorita</v>
      </c>
      <c r="C114" t="str">
        <f>IF('[3]Motor Rutas SKU_Cons'!B118="","",'[3]Motor Rutas SKU_Cons'!B118)</f>
        <v>Cedi Tonalá</v>
      </c>
      <c r="D114">
        <f>'[3]Motor Rutas SKU_Cons'!A118</f>
        <v>810350</v>
      </c>
      <c r="E114" s="997" t="str">
        <f>IF('[3]Motor Rutas SKU_Cons'!N118="","s/d","Agua "&amp;TEXT('[3]Motor Rutas SKU_Cons'!N118,"0%")&amp;" · Colas "&amp;TEXT('[3]Motor Rutas SKU_Cons'!O118,"0%")&amp;" · Resto "&amp;TEXT('[3]Motor Rutas SKU_Cons'!P118,"0%"))</f>
        <v>Agua 85% · Colas 8% · Resto 7%</v>
      </c>
      <c r="F114" s="16">
        <f>'[3]Motor Rutas SKU_Cons'!CH118</f>
        <v>0.44060928253310971</v>
      </c>
      <c r="G114" s="16">
        <f>'[3]Motor Rutas SKU_Cons'!CG118</f>
        <v>0.97345228980681953</v>
      </c>
      <c r="H114" s="998">
        <f>'[3]Motor Rutas SKU_Cons'!BX118</f>
        <v>54.90294521773427</v>
      </c>
      <c r="I114" s="998">
        <f>'[3]Motor Rutas SKU_Cons'!BW118</f>
        <v>0</v>
      </c>
    </row>
    <row r="115" spans="1:9">
      <c r="A115" t="str">
        <f>IF('[3]Motor Rutas SKU_Cons'!C119="","",'[3]Motor Rutas SKU_Cons'!C119)</f>
        <v>Occidente</v>
      </c>
      <c r="B115" t="str">
        <f>IF('[3]Motor Rutas SKU_Cons'!D119="","",'[3]Motor Rutas SKU_Cons'!D119)</f>
        <v>Zapopan</v>
      </c>
      <c r="C115" t="str">
        <f>IF('[3]Motor Rutas SKU_Cons'!B119="","",'[3]Motor Rutas SKU_Cons'!B119)</f>
        <v>Suc. Belenes</v>
      </c>
      <c r="D115">
        <f>'[3]Motor Rutas SKU_Cons'!A119</f>
        <v>820373</v>
      </c>
      <c r="E115" s="997" t="str">
        <f>IF('[3]Motor Rutas SKU_Cons'!N119="","s/d","Agua "&amp;TEXT('[3]Motor Rutas SKU_Cons'!N119,"0%")&amp;" · Colas "&amp;TEXT('[3]Motor Rutas SKU_Cons'!O119,"0%")&amp;" · Resto "&amp;TEXT('[3]Motor Rutas SKU_Cons'!P119,"0%"))</f>
        <v>Agua 85% · Colas 8% · Resto 7%</v>
      </c>
      <c r="F115" s="16">
        <f>'[3]Motor Rutas SKU_Cons'!CH119</f>
        <v>0.3294982685642448</v>
      </c>
      <c r="G115" s="16">
        <f>'[3]Motor Rutas SKU_Cons'!CG119</f>
        <v>0.96972708580363753</v>
      </c>
      <c r="H115" s="998">
        <f>'[3]Motor Rutas SKU_Cons'!BX119</f>
        <v>65.808242217734218</v>
      </c>
      <c r="I115" s="998">
        <f>'[3]Motor Rutas SKU_Cons'!BW119</f>
        <v>0</v>
      </c>
    </row>
    <row r="116" spans="1:9">
      <c r="A116" t="str">
        <f>IF('[3]Motor Rutas SKU_Cons'!C120="","",'[3]Motor Rutas SKU_Cons'!C120)</f>
        <v>Occidente</v>
      </c>
      <c r="B116" t="str">
        <f>IF('[3]Motor Rutas SKU_Cons'!D120="","",'[3]Motor Rutas SKU_Cons'!D120)</f>
        <v>Aguascalientes</v>
      </c>
      <c r="C116" t="str">
        <f>IF('[3]Motor Rutas SKU_Cons'!B120="","",'[3]Motor Rutas SKU_Cons'!B120)</f>
        <v>Sucursal Teocaltiche</v>
      </c>
      <c r="D116">
        <f>'[3]Motor Rutas SKU_Cons'!A120</f>
        <v>906400</v>
      </c>
      <c r="E116" s="997" t="str">
        <f>IF('[3]Motor Rutas SKU_Cons'!N120="","s/d","Agua "&amp;TEXT('[3]Motor Rutas SKU_Cons'!N120,"0%")&amp;" · Colas "&amp;TEXT('[3]Motor Rutas SKU_Cons'!O120,"0%")&amp;" · Resto "&amp;TEXT('[3]Motor Rutas SKU_Cons'!P120,"0%"))</f>
        <v>Agua 85% · Colas 8% · Resto 7%</v>
      </c>
      <c r="F116" s="16">
        <f>'[3]Motor Rutas SKU_Cons'!CH120</f>
        <v>2.681108659583907E-2</v>
      </c>
      <c r="G116" s="16">
        <f>'[3]Motor Rutas SKU_Cons'!CG120</f>
        <v>0.96003828255681789</v>
      </c>
      <c r="H116" s="998">
        <f>'[3]Motor Rutas SKU_Cons'!BX120</f>
        <v>66.89259504638396</v>
      </c>
      <c r="I116" s="998">
        <f>'[3]Motor Rutas SKU_Cons'!BW120</f>
        <v>0</v>
      </c>
    </row>
    <row r="117" spans="1:9">
      <c r="A117" t="str">
        <f>IF('[3]Motor Rutas SKU_Cons'!C121="","",'[3]Motor Rutas SKU_Cons'!C121)</f>
        <v>Occidente</v>
      </c>
      <c r="B117" t="str">
        <f>IF('[3]Motor Rutas SKU_Cons'!D121="","",'[3]Motor Rutas SKU_Cons'!D121)</f>
        <v>San Luis</v>
      </c>
      <c r="C117" t="str">
        <f>IF('[3]Motor Rutas SKU_Cons'!B121="","",'[3]Motor Rutas SKU_Cons'!B121)</f>
        <v>Planta San Luis</v>
      </c>
      <c r="D117">
        <f>'[3]Motor Rutas SKU_Cons'!A121</f>
        <v>916341</v>
      </c>
      <c r="E117" s="997" t="str">
        <f>IF('[3]Motor Rutas SKU_Cons'!N121="","s/d","Agua "&amp;TEXT('[3]Motor Rutas SKU_Cons'!N121,"0%")&amp;" · Colas "&amp;TEXT('[3]Motor Rutas SKU_Cons'!O121,"0%")&amp;" · Resto "&amp;TEXT('[3]Motor Rutas SKU_Cons'!P121,"0%"))</f>
        <v>Agua 85% · Colas 8% · Resto 7%</v>
      </c>
      <c r="F117" s="16">
        <f>'[3]Motor Rutas SKU_Cons'!CH121</f>
        <v>0.45451639921006604</v>
      </c>
      <c r="G117" s="16">
        <f>'[3]Motor Rutas SKU_Cons'!CG121</f>
        <v>0.95660305363636389</v>
      </c>
      <c r="H117" s="998">
        <f>'[3]Motor Rutas SKU_Cons'!BX121</f>
        <v>53.537992884400701</v>
      </c>
      <c r="I117" s="998">
        <f>'[3]Motor Rutas SKU_Cons'!BW121</f>
        <v>0</v>
      </c>
    </row>
    <row r="118" spans="1:9">
      <c r="A118" t="str">
        <f>IF('[3]Motor Rutas SKU_Cons'!C122="","",'[3]Motor Rutas SKU_Cons'!C122)</f>
        <v>Occidente</v>
      </c>
      <c r="B118" t="str">
        <f>IF('[3]Motor Rutas SKU_Cons'!D122="","",'[3]Motor Rutas SKU_Cons'!D122)</f>
        <v>Aguascalientes</v>
      </c>
      <c r="C118" t="str">
        <f>IF('[3]Motor Rutas SKU_Cons'!B122="","",'[3]Motor Rutas SKU_Cons'!B122)</f>
        <v>Planta Trojes</v>
      </c>
      <c r="D118">
        <f>'[3]Motor Rutas SKU_Cons'!A122</f>
        <v>907406</v>
      </c>
      <c r="E118" s="997" t="str">
        <f>IF('[3]Motor Rutas SKU_Cons'!N122="","s/d","Agua "&amp;TEXT('[3]Motor Rutas SKU_Cons'!N122,"0%")&amp;" · Colas "&amp;TEXT('[3]Motor Rutas SKU_Cons'!O122,"0%")&amp;" · Resto "&amp;TEXT('[3]Motor Rutas SKU_Cons'!P122,"0%"))</f>
        <v>Agua 85% · Colas 8% · Resto 7%</v>
      </c>
      <c r="F118" s="16">
        <f>'[3]Motor Rutas SKU_Cons'!CH122</f>
        <v>0.25880023115137907</v>
      </c>
      <c r="G118" s="16">
        <f>'[3]Motor Rutas SKU_Cons'!CG122</f>
        <v>0.9563616204545452</v>
      </c>
      <c r="H118" s="998">
        <f>'[3]Motor Rutas SKU_Cons'!BX122</f>
        <v>46.0362464242424</v>
      </c>
      <c r="I118" s="998">
        <f>'[3]Motor Rutas SKU_Cons'!BW122</f>
        <v>0</v>
      </c>
    </row>
    <row r="119" spans="1:9">
      <c r="A119" t="str">
        <f>IF('[3]Motor Rutas SKU_Cons'!C123="","",'[3]Motor Rutas SKU_Cons'!C123)</f>
        <v>Occidente</v>
      </c>
      <c r="B119" t="str">
        <f>IF('[3]Motor Rutas SKU_Cons'!D123="","",'[3]Motor Rutas SKU_Cons'!D123)</f>
        <v>Zapopan</v>
      </c>
      <c r="C119" t="str">
        <f>IF('[3]Motor Rutas SKU_Cons'!B123="","",'[3]Motor Rutas SKU_Cons'!B123)</f>
        <v>Planta Zapopan</v>
      </c>
      <c r="D119">
        <f>'[3]Motor Rutas SKU_Cons'!A123</f>
        <v>816347</v>
      </c>
      <c r="E119" s="997" t="str">
        <f>IF('[3]Motor Rutas SKU_Cons'!N123="","s/d","Agua "&amp;TEXT('[3]Motor Rutas SKU_Cons'!N123,"0%")&amp;" · Colas "&amp;TEXT('[3]Motor Rutas SKU_Cons'!O123,"0%")&amp;" · Resto "&amp;TEXT('[3]Motor Rutas SKU_Cons'!P123,"0%"))</f>
        <v>Agua 85% · Colas 8% · Resto 7%</v>
      </c>
      <c r="F119" s="16">
        <f>'[3]Motor Rutas SKU_Cons'!CH123</f>
        <v>0.28788078311349552</v>
      </c>
      <c r="G119" s="16">
        <f>'[3]Motor Rutas SKU_Cons'!CG123</f>
        <v>0.95299766744318049</v>
      </c>
      <c r="H119" s="998">
        <f>'[3]Motor Rutas SKU_Cons'!BX123</f>
        <v>42.930779755793111</v>
      </c>
      <c r="I119" s="998">
        <f>'[3]Motor Rutas SKU_Cons'!BW123</f>
        <v>0</v>
      </c>
    </row>
    <row r="120" spans="1:9">
      <c r="A120" t="str">
        <f>IF('[3]Motor Rutas SKU_Cons'!C124="","",'[3]Motor Rutas SKU_Cons'!C124)</f>
        <v>Occidente</v>
      </c>
      <c r="B120" t="str">
        <f>IF('[3]Motor Rutas SKU_Cons'!D124="","",'[3]Motor Rutas SKU_Cons'!D124)</f>
        <v>Zapopan</v>
      </c>
      <c r="C120" t="str">
        <f>IF('[3]Motor Rutas SKU_Cons'!B124="","",'[3]Motor Rutas SKU_Cons'!B124)</f>
        <v>Planta Zapopan</v>
      </c>
      <c r="D120">
        <f>'[3]Motor Rutas SKU_Cons'!A124</f>
        <v>816362</v>
      </c>
      <c r="E120" s="997" t="str">
        <f>IF('[3]Motor Rutas SKU_Cons'!N124="","s/d","Agua "&amp;TEXT('[3]Motor Rutas SKU_Cons'!N124,"0%")&amp;" · Colas "&amp;TEXT('[3]Motor Rutas SKU_Cons'!O124,"0%")&amp;" · Resto "&amp;TEXT('[3]Motor Rutas SKU_Cons'!P124,"0%"))</f>
        <v>Agua 85% · Colas 8% · Resto 7%</v>
      </c>
      <c r="F120" s="16">
        <f>'[3]Motor Rutas SKU_Cons'!CH124</f>
        <v>0.1979767888444221</v>
      </c>
      <c r="G120" s="16">
        <f>'[3]Motor Rutas SKU_Cons'!CG124</f>
        <v>0.94585056443181792</v>
      </c>
      <c r="H120" s="998">
        <f>'[3]Motor Rutas SKU_Cons'!BX124</f>
        <v>51.220791397504534</v>
      </c>
      <c r="I120" s="998">
        <f>'[3]Motor Rutas SKU_Cons'!BW124</f>
        <v>0</v>
      </c>
    </row>
    <row r="121" spans="1:9">
      <c r="A121" t="str">
        <f>IF('[3]Motor Rutas SKU_Cons'!C125="","",'[3]Motor Rutas SKU_Cons'!C125)</f>
        <v>Occidente</v>
      </c>
      <c r="B121" t="str">
        <f>IF('[3]Motor Rutas SKU_Cons'!D125="","",'[3]Motor Rutas SKU_Cons'!D125)</f>
        <v>Zapopan</v>
      </c>
      <c r="C121" t="str">
        <f>IF('[3]Motor Rutas SKU_Cons'!B125="","",'[3]Motor Rutas SKU_Cons'!B125)</f>
        <v>Suc. Belenes</v>
      </c>
      <c r="D121">
        <f>'[3]Motor Rutas SKU_Cons'!A125</f>
        <v>820353</v>
      </c>
      <c r="E121" s="997" t="str">
        <f>IF('[3]Motor Rutas SKU_Cons'!N125="","s/d","Agua "&amp;TEXT('[3]Motor Rutas SKU_Cons'!N125,"0%")&amp;" · Colas "&amp;TEXT('[3]Motor Rutas SKU_Cons'!O125,"0%")&amp;" · Resto "&amp;TEXT('[3]Motor Rutas SKU_Cons'!P125,"0%"))</f>
        <v>Agua 85% · Colas 8% · Resto 7%</v>
      </c>
      <c r="F121" s="16">
        <f>'[3]Motor Rutas SKU_Cons'!CH125</f>
        <v>0.27462667352092296</v>
      </c>
      <c r="G121" s="16">
        <f>'[3]Motor Rutas SKU_Cons'!CG125</f>
        <v>0.94493318778409041</v>
      </c>
      <c r="H121" s="998">
        <f>'[3]Motor Rutas SKU_Cons'!BX125</f>
        <v>43.629252137254824</v>
      </c>
      <c r="I121" s="998">
        <f>'[3]Motor Rutas SKU_Cons'!BW125</f>
        <v>0</v>
      </c>
    </row>
    <row r="122" spans="1:9">
      <c r="A122" t="str">
        <f>IF('[3]Motor Rutas SKU_Cons'!C126="","",'[3]Motor Rutas SKU_Cons'!C126)</f>
        <v>Occidente</v>
      </c>
      <c r="B122" t="str">
        <f>IF('[3]Motor Rutas SKU_Cons'!D126="","",'[3]Motor Rutas SKU_Cons'!D126)</f>
        <v>Favorita</v>
      </c>
      <c r="C122" t="str">
        <f>IF('[3]Motor Rutas SKU_Cons'!B126="","",'[3]Motor Rutas SKU_Cons'!B126)</f>
        <v>Suc. San Rafael</v>
      </c>
      <c r="D122">
        <f>'[3]Motor Rutas SKU_Cons'!A126</f>
        <v>803346</v>
      </c>
      <c r="E122" s="997" t="str">
        <f>IF('[3]Motor Rutas SKU_Cons'!N126="","s/d","Agua "&amp;TEXT('[3]Motor Rutas SKU_Cons'!N126,"0%")&amp;" · Colas "&amp;TEXT('[3]Motor Rutas SKU_Cons'!O126,"0%")&amp;" · Resto "&amp;TEXT('[3]Motor Rutas SKU_Cons'!P126,"0%"))</f>
        <v>Agua 85% · Colas 8% · Resto 7%</v>
      </c>
      <c r="F122" s="16">
        <f>'[3]Motor Rutas SKU_Cons'!CH126</f>
        <v>0.26877736599509527</v>
      </c>
      <c r="G122" s="16">
        <f>'[3]Motor Rutas SKU_Cons'!CG126</f>
        <v>0.94431408392045435</v>
      </c>
      <c r="H122" s="998">
        <f>'[3]Motor Rutas SKU_Cons'!BX126</f>
        <v>44.157103641711274</v>
      </c>
      <c r="I122" s="998">
        <f>'[3]Motor Rutas SKU_Cons'!BW126</f>
        <v>0</v>
      </c>
    </row>
    <row r="123" spans="1:9">
      <c r="A123" t="str">
        <f>IF('[3]Motor Rutas SKU_Cons'!C127="","",'[3]Motor Rutas SKU_Cons'!C127)</f>
        <v>Occidente</v>
      </c>
      <c r="B123" t="str">
        <f>IF('[3]Motor Rutas SKU_Cons'!D127="","",'[3]Motor Rutas SKU_Cons'!D127)</f>
        <v>Zapopan</v>
      </c>
      <c r="C123" t="str">
        <f>IF('[3]Motor Rutas SKU_Cons'!B127="","",'[3]Motor Rutas SKU_Cons'!B127)</f>
        <v>Suc. Huentitán</v>
      </c>
      <c r="D123">
        <f>'[3]Motor Rutas SKU_Cons'!A127</f>
        <v>819418</v>
      </c>
      <c r="E123" s="997" t="str">
        <f>IF('[3]Motor Rutas SKU_Cons'!N127="","s/d","Agua "&amp;TEXT('[3]Motor Rutas SKU_Cons'!N127,"0%")&amp;" · Colas "&amp;TEXT('[3]Motor Rutas SKU_Cons'!O127,"0%")&amp;" · Resto "&amp;TEXT('[3]Motor Rutas SKU_Cons'!P127,"0%"))</f>
        <v>Agua 85% · Colas 8% · Resto 7%</v>
      </c>
      <c r="F123" s="16">
        <f>'[3]Motor Rutas SKU_Cons'!CH127</f>
        <v>0.12923520450984718</v>
      </c>
      <c r="G123" s="16">
        <f>'[3]Motor Rutas SKU_Cons'!CG127</f>
        <v>0.93350525625000014</v>
      </c>
      <c r="H123" s="998">
        <f>'[3]Motor Rutas SKU_Cons'!BX127</f>
        <v>57.045471965240658</v>
      </c>
      <c r="I123" s="998">
        <f>'[3]Motor Rutas SKU_Cons'!BW127</f>
        <v>0</v>
      </c>
    </row>
    <row r="124" spans="1:9">
      <c r="A124" t="str">
        <f>IF('[3]Motor Rutas SKU_Cons'!C128="","",'[3]Motor Rutas SKU_Cons'!C128)</f>
        <v>Occidente</v>
      </c>
      <c r="B124" t="str">
        <f>IF('[3]Motor Rutas SKU_Cons'!D128="","",'[3]Motor Rutas SKU_Cons'!D128)</f>
        <v>Favorita</v>
      </c>
      <c r="C124" t="str">
        <f>IF('[3]Motor Rutas SKU_Cons'!B128="","",'[3]Motor Rutas SKU_Cons'!B128)</f>
        <v>Suc. Santa Maria</v>
      </c>
      <c r="D124">
        <f>'[3]Motor Rutas SKU_Cons'!A128</f>
        <v>809377</v>
      </c>
      <c r="E124" s="997" t="str">
        <f>IF('[3]Motor Rutas SKU_Cons'!N128="","s/d","Agua "&amp;TEXT('[3]Motor Rutas SKU_Cons'!N128,"0%")&amp;" · Colas "&amp;TEXT('[3]Motor Rutas SKU_Cons'!O128,"0%")&amp;" · Resto "&amp;TEXT('[3]Motor Rutas SKU_Cons'!P128,"0%"))</f>
        <v>Agua 85% · Colas 8% · Resto 7%</v>
      </c>
      <c r="F124" s="16">
        <f>'[3]Motor Rutas SKU_Cons'!CH128</f>
        <v>0.25127660437656774</v>
      </c>
      <c r="G124" s="16">
        <f>'[3]Motor Rutas SKU_Cons'!CG128</f>
        <v>0.93317088303409046</v>
      </c>
      <c r="H124" s="998">
        <f>'[3]Motor Rutas SKU_Cons'!BX128</f>
        <v>73.48552324803704</v>
      </c>
      <c r="I124" s="998">
        <f>'[3]Motor Rutas SKU_Cons'!BW128</f>
        <v>0</v>
      </c>
    </row>
    <row r="125" spans="1:9">
      <c r="A125" t="str">
        <f>IF('[3]Motor Rutas SKU_Cons'!C129="","",'[3]Motor Rutas SKU_Cons'!C129)</f>
        <v>Occidente</v>
      </c>
      <c r="B125" t="str">
        <f>IF('[3]Motor Rutas SKU_Cons'!D129="","",'[3]Motor Rutas SKU_Cons'!D129)</f>
        <v>Zapopan</v>
      </c>
      <c r="C125" t="str">
        <f>IF('[3]Motor Rutas SKU_Cons'!B129="","",'[3]Motor Rutas SKU_Cons'!B129)</f>
        <v>Suc. Belenes</v>
      </c>
      <c r="D125">
        <f>'[3]Motor Rutas SKU_Cons'!A129</f>
        <v>820342</v>
      </c>
      <c r="E125" s="997" t="str">
        <f>IF('[3]Motor Rutas SKU_Cons'!N129="","s/d","Agua "&amp;TEXT('[3]Motor Rutas SKU_Cons'!N129,"0%")&amp;" · Colas "&amp;TEXT('[3]Motor Rutas SKU_Cons'!O129,"0%")&amp;" · Resto "&amp;TEXT('[3]Motor Rutas SKU_Cons'!P129,"0%"))</f>
        <v>Agua 85% · Colas 8% · Resto 7%</v>
      </c>
      <c r="F125" s="16">
        <f>'[3]Motor Rutas SKU_Cons'!CH129</f>
        <v>0.25891596651614296</v>
      </c>
      <c r="G125" s="16">
        <f>'[3]Motor Rutas SKU_Cons'!CG129</f>
        <v>0.93313964863636456</v>
      </c>
      <c r="H125" s="998">
        <f>'[3]Motor Rutas SKU_Cons'!BX129</f>
        <v>64.183859631172353</v>
      </c>
      <c r="I125" s="998">
        <f>'[3]Motor Rutas SKU_Cons'!BW129</f>
        <v>0</v>
      </c>
    </row>
    <row r="126" spans="1:9">
      <c r="A126" t="str">
        <f>IF('[3]Motor Rutas SKU_Cons'!C130="","",'[3]Motor Rutas SKU_Cons'!C130)</f>
        <v>Occidente</v>
      </c>
      <c r="B126" t="str">
        <f>IF('[3]Motor Rutas SKU_Cons'!D130="","",'[3]Motor Rutas SKU_Cons'!D130)</f>
        <v>Zapopan</v>
      </c>
      <c r="C126" t="str">
        <f>IF('[3]Motor Rutas SKU_Cons'!B130="","",'[3]Motor Rutas SKU_Cons'!B130)</f>
        <v>Suc. Huentitán</v>
      </c>
      <c r="D126">
        <f>'[3]Motor Rutas SKU_Cons'!A130</f>
        <v>819346</v>
      </c>
      <c r="E126" s="997" t="str">
        <f>IF('[3]Motor Rutas SKU_Cons'!N130="","s/d","Agua "&amp;TEXT('[3]Motor Rutas SKU_Cons'!N130,"0%")&amp;" · Colas "&amp;TEXT('[3]Motor Rutas SKU_Cons'!O130,"0%")&amp;" · Resto "&amp;TEXT('[3]Motor Rutas SKU_Cons'!P130,"0%"))</f>
        <v>Agua 85% · Colas 8% · Resto 7%</v>
      </c>
      <c r="F126" s="16">
        <f>'[3]Motor Rutas SKU_Cons'!CH130</f>
        <v>0.46976933028227397</v>
      </c>
      <c r="G126" s="16">
        <f>'[3]Motor Rutas SKU_Cons'!CG130</f>
        <v>0.92923604693181805</v>
      </c>
      <c r="H126" s="998">
        <f>'[3]Motor Rutas SKU_Cons'!BX130</f>
        <v>28.994285660406057</v>
      </c>
      <c r="I126" s="998">
        <f>'[3]Motor Rutas SKU_Cons'!BW130</f>
        <v>0</v>
      </c>
    </row>
    <row r="127" spans="1:9">
      <c r="A127" t="str">
        <f>IF('[3]Motor Rutas SKU_Cons'!C131="","",'[3]Motor Rutas SKU_Cons'!C131)</f>
        <v>Occidente</v>
      </c>
      <c r="B127" t="str">
        <f>IF('[3]Motor Rutas SKU_Cons'!D131="","",'[3]Motor Rutas SKU_Cons'!D131)</f>
        <v>Zapopan</v>
      </c>
      <c r="C127" t="str">
        <f>IF('[3]Motor Rutas SKU_Cons'!B131="","",'[3]Motor Rutas SKU_Cons'!B131)</f>
        <v>Planta Zapopan</v>
      </c>
      <c r="D127">
        <f>'[3]Motor Rutas SKU_Cons'!A131</f>
        <v>816332</v>
      </c>
      <c r="E127" s="997" t="str">
        <f>IF('[3]Motor Rutas SKU_Cons'!N131="","s/d","Agua "&amp;TEXT('[3]Motor Rutas SKU_Cons'!N131,"0%")&amp;" · Colas "&amp;TEXT('[3]Motor Rutas SKU_Cons'!O131,"0%")&amp;" · Resto "&amp;TEXT('[3]Motor Rutas SKU_Cons'!P131,"0%"))</f>
        <v>Agua 85% · Colas 8% · Resto 7%</v>
      </c>
      <c r="F127" s="16">
        <f>'[3]Motor Rutas SKU_Cons'!CH131</f>
        <v>0.30321648533737283</v>
      </c>
      <c r="G127" s="16">
        <f>'[3]Motor Rutas SKU_Cons'!CG131</f>
        <v>0.92701220429045417</v>
      </c>
      <c r="H127" s="998">
        <f>'[3]Motor Rutas SKU_Cons'!BX131</f>
        <v>68.387740338946301</v>
      </c>
      <c r="I127" s="998">
        <f>'[3]Motor Rutas SKU_Cons'!BW131</f>
        <v>0</v>
      </c>
    </row>
    <row r="128" spans="1:9">
      <c r="A128" t="str">
        <f>IF('[3]Motor Rutas SKU_Cons'!C132="","",'[3]Motor Rutas SKU_Cons'!C132)</f>
        <v>Occidente</v>
      </c>
      <c r="B128" t="str">
        <f>IF('[3]Motor Rutas SKU_Cons'!D132="","",'[3]Motor Rutas SKU_Cons'!D132)</f>
        <v>Favorita</v>
      </c>
      <c r="C128" t="str">
        <f>IF('[3]Motor Rutas SKU_Cons'!B132="","",'[3]Motor Rutas SKU_Cons'!B132)</f>
        <v>Suc. Santa Maria</v>
      </c>
      <c r="D128">
        <f>'[3]Motor Rutas SKU_Cons'!A132</f>
        <v>809365</v>
      </c>
      <c r="E128" s="997" t="str">
        <f>IF('[3]Motor Rutas SKU_Cons'!N132="","s/d","Agua "&amp;TEXT('[3]Motor Rutas SKU_Cons'!N132,"0%")&amp;" · Colas "&amp;TEXT('[3]Motor Rutas SKU_Cons'!O132,"0%")&amp;" · Resto "&amp;TEXT('[3]Motor Rutas SKU_Cons'!P132,"0%"))</f>
        <v>Agua 85% · Colas 8% · Resto 7%</v>
      </c>
      <c r="F128" s="16">
        <f>'[3]Motor Rutas SKU_Cons'!CH132</f>
        <v>0.2483751200709145</v>
      </c>
      <c r="G128" s="16">
        <f>'[3]Motor Rutas SKU_Cons'!CG132</f>
        <v>0.92386176320454583</v>
      </c>
      <c r="H128" s="998">
        <f>'[3]Motor Rutas SKU_Cons'!BX132</f>
        <v>53.37417511796432</v>
      </c>
      <c r="I128" s="998">
        <f>'[3]Motor Rutas SKU_Cons'!BW132</f>
        <v>0</v>
      </c>
    </row>
    <row r="129" spans="1:9">
      <c r="A129" t="str">
        <f>IF('[3]Motor Rutas SKU_Cons'!C133="","",'[3]Motor Rutas SKU_Cons'!C133)</f>
        <v>Occidente</v>
      </c>
      <c r="B129" t="str">
        <f>IF('[3]Motor Rutas SKU_Cons'!D133="","",'[3]Motor Rutas SKU_Cons'!D133)</f>
        <v>Los Altos</v>
      </c>
      <c r="C129" t="str">
        <f>IF('[3]Motor Rutas SKU_Cons'!B133="","",'[3]Motor Rutas SKU_Cons'!B133)</f>
        <v>Planta Los Altos</v>
      </c>
      <c r="D129">
        <f>'[3]Motor Rutas SKU_Cons'!A133</f>
        <v>831401</v>
      </c>
      <c r="E129" s="997" t="str">
        <f>IF('[3]Motor Rutas SKU_Cons'!N133="","s/d","Agua "&amp;TEXT('[3]Motor Rutas SKU_Cons'!N133,"0%")&amp;" · Colas "&amp;TEXT('[3]Motor Rutas SKU_Cons'!O133,"0%")&amp;" · Resto "&amp;TEXT('[3]Motor Rutas SKU_Cons'!P133,"0%"))</f>
        <v>Agua 85% · Colas 8% · Resto 7%</v>
      </c>
      <c r="F129" s="16">
        <f>'[3]Motor Rutas SKU_Cons'!CH133</f>
        <v>0.23270448406557206</v>
      </c>
      <c r="G129" s="16">
        <f>'[3]Motor Rutas SKU_Cons'!CG133</f>
        <v>0.91889388102272695</v>
      </c>
      <c r="H129" s="998">
        <f>'[3]Motor Rutas SKU_Cons'!BX133</f>
        <v>45.798774819964386</v>
      </c>
      <c r="I129" s="998">
        <f>'[3]Motor Rutas SKU_Cons'!BW133</f>
        <v>0</v>
      </c>
    </row>
    <row r="130" spans="1:9">
      <c r="A130" t="str">
        <f>IF('[3]Motor Rutas SKU_Cons'!C134="","",'[3]Motor Rutas SKU_Cons'!C134)</f>
        <v>Occidente</v>
      </c>
      <c r="B130" t="str">
        <f>IF('[3]Motor Rutas SKU_Cons'!D134="","",'[3]Motor Rutas SKU_Cons'!D134)</f>
        <v>Zapopan</v>
      </c>
      <c r="C130" t="str">
        <f>IF('[3]Motor Rutas SKU_Cons'!B134="","",'[3]Motor Rutas SKU_Cons'!B134)</f>
        <v>Suc. Cocula</v>
      </c>
      <c r="D130">
        <f>'[3]Motor Rutas SKU_Cons'!A134</f>
        <v>824300</v>
      </c>
      <c r="E130" s="997" t="str">
        <f>IF('[3]Motor Rutas SKU_Cons'!N134="","s/d","Agua "&amp;TEXT('[3]Motor Rutas SKU_Cons'!N134,"0%")&amp;" · Colas "&amp;TEXT('[3]Motor Rutas SKU_Cons'!O134,"0%")&amp;" · Resto "&amp;TEXT('[3]Motor Rutas SKU_Cons'!P134,"0%"))</f>
        <v>Agua 85% · Colas 8% · Resto 7%</v>
      </c>
      <c r="F130" s="16">
        <f>'[3]Motor Rutas SKU_Cons'!CH134</f>
        <v>0.39992521394117969</v>
      </c>
      <c r="G130" s="16">
        <f>'[3]Motor Rutas SKU_Cons'!CG134</f>
        <v>0.91541698547727357</v>
      </c>
      <c r="H130" s="998">
        <f>'[3]Motor Rutas SKU_Cons'!BX134</f>
        <v>58.89599536924932</v>
      </c>
      <c r="I130" s="998">
        <f>'[3]Motor Rutas SKU_Cons'!BW134</f>
        <v>0</v>
      </c>
    </row>
    <row r="131" spans="1:9">
      <c r="A131" t="str">
        <f>IF('[3]Motor Rutas SKU_Cons'!C135="","",'[3]Motor Rutas SKU_Cons'!C135)</f>
        <v>Occidente</v>
      </c>
      <c r="B131" t="str">
        <f>IF('[3]Motor Rutas SKU_Cons'!D135="","",'[3]Motor Rutas SKU_Cons'!D135)</f>
        <v>Zapopan</v>
      </c>
      <c r="C131" t="str">
        <f>IF('[3]Motor Rutas SKU_Cons'!B135="","",'[3]Motor Rutas SKU_Cons'!B135)</f>
        <v>Planta Zapopan</v>
      </c>
      <c r="D131">
        <f>'[3]Motor Rutas SKU_Cons'!A135</f>
        <v>816340</v>
      </c>
      <c r="E131" s="997" t="str">
        <f>IF('[3]Motor Rutas SKU_Cons'!N135="","s/d","Agua "&amp;TEXT('[3]Motor Rutas SKU_Cons'!N135,"0%")&amp;" · Colas "&amp;TEXT('[3]Motor Rutas SKU_Cons'!O135,"0%")&amp;" · Resto "&amp;TEXT('[3]Motor Rutas SKU_Cons'!P135,"0%"))</f>
        <v>Agua 85% · Colas 8% · Resto 7%</v>
      </c>
      <c r="F131" s="16">
        <f>'[3]Motor Rutas SKU_Cons'!CH135</f>
        <v>0.21334945250137122</v>
      </c>
      <c r="G131" s="16">
        <f>'[3]Motor Rutas SKU_Cons'!CG135</f>
        <v>0.9127864239637492</v>
      </c>
      <c r="H131" s="998">
        <f>'[3]Motor Rutas SKU_Cons'!BX135</f>
        <v>77.207988202582612</v>
      </c>
      <c r="I131" s="998">
        <f>'[3]Motor Rutas SKU_Cons'!BW135</f>
        <v>0</v>
      </c>
    </row>
    <row r="132" spans="1:9">
      <c r="A132" t="str">
        <f>IF('[3]Motor Rutas SKU_Cons'!C136="","",'[3]Motor Rutas SKU_Cons'!C136)</f>
        <v>Occidente</v>
      </c>
      <c r="B132" t="str">
        <f>IF('[3]Motor Rutas SKU_Cons'!D136="","",'[3]Motor Rutas SKU_Cons'!D136)</f>
        <v>Aguascalientes</v>
      </c>
      <c r="C132" t="str">
        <f>IF('[3]Motor Rutas SKU_Cons'!B136="","",'[3]Motor Rutas SKU_Cons'!B136)</f>
        <v>Planta Aguascalientes</v>
      </c>
      <c r="D132">
        <f>'[3]Motor Rutas SKU_Cons'!A136</f>
        <v>901343</v>
      </c>
      <c r="E132" s="997" t="str">
        <f>IF('[3]Motor Rutas SKU_Cons'!N136="","s/d","Agua "&amp;TEXT('[3]Motor Rutas SKU_Cons'!N136,"0%")&amp;" · Colas "&amp;TEXT('[3]Motor Rutas SKU_Cons'!O136,"0%")&amp;" · Resto "&amp;TEXT('[3]Motor Rutas SKU_Cons'!P136,"0%"))</f>
        <v>Agua 85% · Colas 8% · Resto 7%</v>
      </c>
      <c r="F132" s="16">
        <f>'[3]Motor Rutas SKU_Cons'!CH136</f>
        <v>0.39455121018760686</v>
      </c>
      <c r="G132" s="16">
        <f>'[3]Motor Rutas SKU_Cons'!CG136</f>
        <v>0.91231750789772736</v>
      </c>
      <c r="H132" s="998">
        <f>'[3]Motor Rutas SKU_Cons'!BX136</f>
        <v>59.423441793491726</v>
      </c>
      <c r="I132" s="998">
        <f>'[3]Motor Rutas SKU_Cons'!BW136</f>
        <v>0</v>
      </c>
    </row>
    <row r="133" spans="1:9">
      <c r="A133" t="str">
        <f>IF('[3]Motor Rutas SKU_Cons'!C137="","",'[3]Motor Rutas SKU_Cons'!C137)</f>
        <v>Occidente</v>
      </c>
      <c r="B133" t="str">
        <f>IF('[3]Motor Rutas SKU_Cons'!D137="","",'[3]Motor Rutas SKU_Cons'!D137)</f>
        <v>Favorita</v>
      </c>
      <c r="C133" t="str">
        <f>IF('[3]Motor Rutas SKU_Cons'!B137="","",'[3]Motor Rutas SKU_Cons'!B137)</f>
        <v>Suc. Santa Maria</v>
      </c>
      <c r="D133">
        <f>'[3]Motor Rutas SKU_Cons'!A137</f>
        <v>809343</v>
      </c>
      <c r="E133" s="997" t="str">
        <f>IF('[3]Motor Rutas SKU_Cons'!N137="","s/d","Agua "&amp;TEXT('[3]Motor Rutas SKU_Cons'!N137,"0%")&amp;" · Colas "&amp;TEXT('[3]Motor Rutas SKU_Cons'!O137,"0%")&amp;" · Resto "&amp;TEXT('[3]Motor Rutas SKU_Cons'!P137,"0%"))</f>
        <v>Agua 85% · Colas 8% · Resto 7%</v>
      </c>
      <c r="F133" s="16">
        <f>'[3]Motor Rutas SKU_Cons'!CH137</f>
        <v>0.12939018759462598</v>
      </c>
      <c r="G133" s="16">
        <f>'[3]Motor Rutas SKU_Cons'!CG137</f>
        <v>0.91012589539772804</v>
      </c>
      <c r="H133" s="998">
        <f>'[3]Motor Rutas SKU_Cons'!BX137</f>
        <v>55.283903236185402</v>
      </c>
      <c r="I133" s="998">
        <f>'[3]Motor Rutas SKU_Cons'!BW137</f>
        <v>0</v>
      </c>
    </row>
    <row r="134" spans="1:9">
      <c r="A134" t="str">
        <f>IF('[3]Motor Rutas SKU_Cons'!C138="","",'[3]Motor Rutas SKU_Cons'!C138)</f>
        <v>Occidente</v>
      </c>
      <c r="B134" t="str">
        <f>IF('[3]Motor Rutas SKU_Cons'!D138="","",'[3]Motor Rutas SKU_Cons'!D138)</f>
        <v>Favorita</v>
      </c>
      <c r="C134" t="str">
        <f>IF('[3]Motor Rutas SKU_Cons'!B138="","",'[3]Motor Rutas SKU_Cons'!B138)</f>
        <v>Suc. Santa Maria</v>
      </c>
      <c r="D134">
        <f>'[3]Motor Rutas SKU_Cons'!A138</f>
        <v>809360</v>
      </c>
      <c r="E134" s="997" t="str">
        <f>IF('[3]Motor Rutas SKU_Cons'!N138="","s/d","Agua "&amp;TEXT('[3]Motor Rutas SKU_Cons'!N138,"0%")&amp;" · Colas "&amp;TEXT('[3]Motor Rutas SKU_Cons'!O138,"0%")&amp;" · Resto "&amp;TEXT('[3]Motor Rutas SKU_Cons'!P138,"0%"))</f>
        <v>Agua 85% · Colas 8% · Resto 7%</v>
      </c>
      <c r="F134" s="16">
        <f>'[3]Motor Rutas SKU_Cons'!CH138</f>
        <v>0.19957788454393746</v>
      </c>
      <c r="G134" s="16">
        <f>'[3]Motor Rutas SKU_Cons'!CG138</f>
        <v>0.90727035954545399</v>
      </c>
      <c r="H134" s="998">
        <f>'[3]Motor Rutas SKU_Cons'!BX138</f>
        <v>78.55963673288565</v>
      </c>
      <c r="I134" s="998">
        <f>'[3]Motor Rutas SKU_Cons'!BW138</f>
        <v>0</v>
      </c>
    </row>
    <row r="135" spans="1:9">
      <c r="A135" t="str">
        <f>IF('[3]Motor Rutas SKU_Cons'!C139="","",'[3]Motor Rutas SKU_Cons'!C139)</f>
        <v>Occidente</v>
      </c>
      <c r="B135" t="str">
        <f>IF('[3]Motor Rutas SKU_Cons'!D139="","",'[3]Motor Rutas SKU_Cons'!D139)</f>
        <v>Zapopan</v>
      </c>
      <c r="C135" t="str">
        <f>IF('[3]Motor Rutas SKU_Cons'!B139="","",'[3]Motor Rutas SKU_Cons'!B139)</f>
        <v>Suc. Belenes</v>
      </c>
      <c r="D135">
        <f>'[3]Motor Rutas SKU_Cons'!A139</f>
        <v>820340</v>
      </c>
      <c r="E135" s="997" t="str">
        <f>IF('[3]Motor Rutas SKU_Cons'!N139="","s/d","Agua "&amp;TEXT('[3]Motor Rutas SKU_Cons'!N139,"0%")&amp;" · Colas "&amp;TEXT('[3]Motor Rutas SKU_Cons'!O139,"0%")&amp;" · Resto "&amp;TEXT('[3]Motor Rutas SKU_Cons'!P139,"0%"))</f>
        <v>Agua 85% · Colas 8% · Resto 7%</v>
      </c>
      <c r="F135" s="16">
        <f>'[3]Motor Rutas SKU_Cons'!CH139</f>
        <v>0.19318660027125492</v>
      </c>
      <c r="G135" s="16">
        <f>'[3]Motor Rutas SKU_Cons'!CG139</f>
        <v>0.90668703681818141</v>
      </c>
      <c r="H135" s="998">
        <f>'[3]Motor Rutas SKU_Cons'!BX139</f>
        <v>48.765557456327898</v>
      </c>
      <c r="I135" s="998">
        <f>'[3]Motor Rutas SKU_Cons'!BW139</f>
        <v>0</v>
      </c>
    </row>
    <row r="136" spans="1:9">
      <c r="A136" t="str">
        <f>IF('[3]Motor Rutas SKU_Cons'!C140="","",'[3]Motor Rutas SKU_Cons'!C140)</f>
        <v>Occidente</v>
      </c>
      <c r="B136" t="str">
        <f>IF('[3]Motor Rutas SKU_Cons'!D140="","",'[3]Motor Rutas SKU_Cons'!D140)</f>
        <v>Favorita</v>
      </c>
      <c r="C136" t="str">
        <f>IF('[3]Motor Rutas SKU_Cons'!B140="","",'[3]Motor Rutas SKU_Cons'!B140)</f>
        <v>Suc. Santa Maria</v>
      </c>
      <c r="D136">
        <f>'[3]Motor Rutas SKU_Cons'!A140</f>
        <v>809351</v>
      </c>
      <c r="E136" s="997" t="str">
        <f>IF('[3]Motor Rutas SKU_Cons'!N140="","s/d","Agua "&amp;TEXT('[3]Motor Rutas SKU_Cons'!N140,"0%")&amp;" · Colas "&amp;TEXT('[3]Motor Rutas SKU_Cons'!O140,"0%")&amp;" · Resto "&amp;TEXT('[3]Motor Rutas SKU_Cons'!P140,"0%"))</f>
        <v>Agua 85% · Colas 8% · Resto 7%</v>
      </c>
      <c r="F136" s="16">
        <f>'[3]Motor Rutas SKU_Cons'!CH140</f>
        <v>0.28778619026827484</v>
      </c>
      <c r="G136" s="16">
        <f>'[3]Motor Rutas SKU_Cons'!CG140</f>
        <v>0.90452210410227341</v>
      </c>
      <c r="H136" s="998">
        <f>'[3]Motor Rutas SKU_Cons'!BX140</f>
        <v>69.902189217734318</v>
      </c>
      <c r="I136" s="998">
        <f>'[3]Motor Rutas SKU_Cons'!BW140</f>
        <v>0</v>
      </c>
    </row>
    <row r="137" spans="1:9">
      <c r="A137" t="str">
        <f>IF('[3]Motor Rutas SKU_Cons'!C141="","",'[3]Motor Rutas SKU_Cons'!C141)</f>
        <v>Occidente</v>
      </c>
      <c r="B137" t="str">
        <f>IF('[3]Motor Rutas SKU_Cons'!D141="","",'[3]Motor Rutas SKU_Cons'!D141)</f>
        <v>San Luis</v>
      </c>
      <c r="C137" t="str">
        <f>IF('[3]Motor Rutas SKU_Cons'!B141="","",'[3]Motor Rutas SKU_Cons'!B141)</f>
        <v>Planta San Luis</v>
      </c>
      <c r="D137">
        <f>'[3]Motor Rutas SKU_Cons'!A141</f>
        <v>916351</v>
      </c>
      <c r="E137" s="997" t="str">
        <f>IF('[3]Motor Rutas SKU_Cons'!N141="","s/d","Agua "&amp;TEXT('[3]Motor Rutas SKU_Cons'!N141,"0%")&amp;" · Colas "&amp;TEXT('[3]Motor Rutas SKU_Cons'!O141,"0%")&amp;" · Resto "&amp;TEXT('[3]Motor Rutas SKU_Cons'!P141,"0%"))</f>
        <v>Agua 85% · Colas 8% · Resto 7%</v>
      </c>
      <c r="F137" s="16">
        <f>'[3]Motor Rutas SKU_Cons'!CH141</f>
        <v>0.46921275989262207</v>
      </c>
      <c r="G137" s="16">
        <f>'[3]Motor Rutas SKU_Cons'!CG141</f>
        <v>0.9010420728749996</v>
      </c>
      <c r="H137" s="998">
        <f>'[3]Motor Rutas SKU_Cons'!BX141</f>
        <v>52.095578020764364</v>
      </c>
      <c r="I137" s="998">
        <f>'[3]Motor Rutas SKU_Cons'!BW141</f>
        <v>0</v>
      </c>
    </row>
    <row r="138" spans="1:9">
      <c r="A138" t="str">
        <f>IF('[3]Motor Rutas SKU_Cons'!C142="","",'[3]Motor Rutas SKU_Cons'!C142)</f>
        <v>Occidente</v>
      </c>
      <c r="B138" t="str">
        <f>IF('[3]Motor Rutas SKU_Cons'!D142="","",'[3]Motor Rutas SKU_Cons'!D142)</f>
        <v>Aguascalientes</v>
      </c>
      <c r="C138" t="str">
        <f>IF('[3]Motor Rutas SKU_Cons'!B142="","",'[3]Motor Rutas SKU_Cons'!B142)</f>
        <v>Planta Trojes</v>
      </c>
      <c r="D138">
        <f>'[3]Motor Rutas SKU_Cons'!A142</f>
        <v>907403</v>
      </c>
      <c r="E138" s="997" t="str">
        <f>IF('[3]Motor Rutas SKU_Cons'!N142="","s/d","Agua "&amp;TEXT('[3]Motor Rutas SKU_Cons'!N142,"0%")&amp;" · Colas "&amp;TEXT('[3]Motor Rutas SKU_Cons'!O142,"0%")&amp;" · Resto "&amp;TEXT('[3]Motor Rutas SKU_Cons'!P142,"0%"))</f>
        <v>Agua 85% · Colas 8% · Resto 7%</v>
      </c>
      <c r="F138" s="16">
        <f>'[3]Motor Rutas SKU_Cons'!CH142</f>
        <v>0.18270070174553746</v>
      </c>
      <c r="G138" s="16">
        <f>'[3]Motor Rutas SKU_Cons'!CG142</f>
        <v>0.9006458809090907</v>
      </c>
      <c r="H138" s="998">
        <f>'[3]Motor Rutas SKU_Cons'!BX142</f>
        <v>49.343471419786127</v>
      </c>
      <c r="I138" s="998">
        <f>'[3]Motor Rutas SKU_Cons'!BW142</f>
        <v>0</v>
      </c>
    </row>
    <row r="139" spans="1:9">
      <c r="A139" t="str">
        <f>IF('[3]Motor Rutas SKU_Cons'!C143="","",'[3]Motor Rutas SKU_Cons'!C143)</f>
        <v>Occidente</v>
      </c>
      <c r="B139" t="str">
        <f>IF('[3]Motor Rutas SKU_Cons'!D143="","",'[3]Motor Rutas SKU_Cons'!D143)</f>
        <v>Favorita</v>
      </c>
      <c r="C139" t="str">
        <f>IF('[3]Motor Rutas SKU_Cons'!B143="","",'[3]Motor Rutas SKU_Cons'!B143)</f>
        <v>Suc. San Rafael</v>
      </c>
      <c r="D139">
        <f>'[3]Motor Rutas SKU_Cons'!A143</f>
        <v>803357</v>
      </c>
      <c r="E139" s="997" t="str">
        <f>IF('[3]Motor Rutas SKU_Cons'!N143="","s/d","Agua "&amp;TEXT('[3]Motor Rutas SKU_Cons'!N143,"0%")&amp;" · Colas "&amp;TEXT('[3]Motor Rutas SKU_Cons'!O143,"0%")&amp;" · Resto "&amp;TEXT('[3]Motor Rutas SKU_Cons'!P143,"0%"))</f>
        <v>Agua 85% · Colas 8% · Resto 7%</v>
      </c>
      <c r="F139" s="16">
        <f>'[3]Motor Rutas SKU_Cons'!CH143</f>
        <v>0.30065568418419159</v>
      </c>
      <c r="G139" s="16">
        <f>'[3]Motor Rutas SKU_Cons'!CG143</f>
        <v>0.89984232306818202</v>
      </c>
      <c r="H139" s="998">
        <f>'[3]Motor Rutas SKU_Cons'!BX143</f>
        <v>37.706431258466949</v>
      </c>
      <c r="I139" s="998">
        <f>'[3]Motor Rutas SKU_Cons'!BW143</f>
        <v>0</v>
      </c>
    </row>
    <row r="140" spans="1:9">
      <c r="A140" t="str">
        <f>IF('[3]Motor Rutas SKU_Cons'!C144="","",'[3]Motor Rutas SKU_Cons'!C144)</f>
        <v>Occidente</v>
      </c>
      <c r="B140" t="str">
        <f>IF('[3]Motor Rutas SKU_Cons'!D144="","",'[3]Motor Rutas SKU_Cons'!D144)</f>
        <v>Zapopan</v>
      </c>
      <c r="C140" t="str">
        <f>IF('[3]Motor Rutas SKU_Cons'!B144="","",'[3]Motor Rutas SKU_Cons'!B144)</f>
        <v>Suc. Huentitán</v>
      </c>
      <c r="D140">
        <f>'[3]Motor Rutas SKU_Cons'!A144</f>
        <v>819422</v>
      </c>
      <c r="E140" s="997" t="str">
        <f>IF('[3]Motor Rutas SKU_Cons'!N144="","s/d","Agua "&amp;TEXT('[3]Motor Rutas SKU_Cons'!N144,"0%")&amp;" · Colas "&amp;TEXT('[3]Motor Rutas SKU_Cons'!O144,"0%")&amp;" · Resto "&amp;TEXT('[3]Motor Rutas SKU_Cons'!P144,"0%"))</f>
        <v>Agua 85% · Colas 8% · Resto 7%</v>
      </c>
      <c r="F140" s="16">
        <f>'[3]Motor Rutas SKU_Cons'!CH144</f>
        <v>0.24015462253857642</v>
      </c>
      <c r="G140" s="16">
        <f>'[3]Motor Rutas SKU_Cons'!CG144</f>
        <v>0.89762698892045423</v>
      </c>
      <c r="H140" s="998">
        <f>'[3]Motor Rutas SKU_Cons'!BX144</f>
        <v>43.478997057040992</v>
      </c>
      <c r="I140" s="998">
        <f>'[3]Motor Rutas SKU_Cons'!BW144</f>
        <v>0</v>
      </c>
    </row>
    <row r="141" spans="1:9">
      <c r="A141" t="str">
        <f>IF('[3]Motor Rutas SKU_Cons'!C145="","",'[3]Motor Rutas SKU_Cons'!C145)</f>
        <v>Occidente</v>
      </c>
      <c r="B141" t="str">
        <f>IF('[3]Motor Rutas SKU_Cons'!D145="","",'[3]Motor Rutas SKU_Cons'!D145)</f>
        <v>San Luis</v>
      </c>
      <c r="C141" t="str">
        <f>IF('[3]Motor Rutas SKU_Cons'!B145="","",'[3]Motor Rutas SKU_Cons'!B145)</f>
        <v>Planta San Luis</v>
      </c>
      <c r="D141">
        <f>'[3]Motor Rutas SKU_Cons'!A145</f>
        <v>916355</v>
      </c>
      <c r="E141" s="997" t="str">
        <f>IF('[3]Motor Rutas SKU_Cons'!N145="","s/d","Agua "&amp;TEXT('[3]Motor Rutas SKU_Cons'!N145,"0%")&amp;" · Colas "&amp;TEXT('[3]Motor Rutas SKU_Cons'!O145,"0%")&amp;" · Resto "&amp;TEXT('[3]Motor Rutas SKU_Cons'!P145,"0%"))</f>
        <v>Agua 85% · Colas 8% · Resto 7%</v>
      </c>
      <c r="F141" s="16">
        <f>'[3]Motor Rutas SKU_Cons'!CH145</f>
        <v>0.4434349812894185</v>
      </c>
      <c r="G141" s="16">
        <f>'[3]Motor Rutas SKU_Cons'!CG145</f>
        <v>0.89743563071590893</v>
      </c>
      <c r="H141" s="998">
        <f>'[3]Motor Rutas SKU_Cons'!BX145</f>
        <v>54.625609217734194</v>
      </c>
      <c r="I141" s="998">
        <f>'[3]Motor Rutas SKU_Cons'!BW145</f>
        <v>0</v>
      </c>
    </row>
    <row r="142" spans="1:9">
      <c r="A142" t="str">
        <f>IF('[3]Motor Rutas SKU_Cons'!C146="","",'[3]Motor Rutas SKU_Cons'!C146)</f>
        <v>Noreste</v>
      </c>
      <c r="B142" t="str">
        <f>IF('[3]Motor Rutas SKU_Cons'!D146="","",'[3]Motor Rutas SKU_Cons'!D146)</f>
        <v>Saltillo</v>
      </c>
      <c r="C142" t="str">
        <f>IF('[3]Motor Rutas SKU_Cons'!B146="","",'[3]Motor Rutas SKU_Cons'!B146)</f>
        <v>Planta Agua y Hielo</v>
      </c>
      <c r="D142">
        <f>'[3]Motor Rutas SKU_Cons'!A146</f>
        <v>203309</v>
      </c>
      <c r="E142" s="997" t="str">
        <f>IF('[3]Motor Rutas SKU_Cons'!N146="","s/d","Agua "&amp;TEXT('[3]Motor Rutas SKU_Cons'!N146,"0%")&amp;" · Colas "&amp;TEXT('[3]Motor Rutas SKU_Cons'!O146,"0%")&amp;" · Resto "&amp;TEXT('[3]Motor Rutas SKU_Cons'!P146,"0%"))</f>
        <v>Agua 80% · Colas 12% · Resto 8%</v>
      </c>
      <c r="F142" s="16">
        <f>'[3]Motor Rutas SKU_Cons'!CH146</f>
        <v>0.28905638120745336</v>
      </c>
      <c r="G142" s="16">
        <f>'[3]Motor Rutas SKU_Cons'!CG146</f>
        <v>0.89607454261363606</v>
      </c>
      <c r="H142" s="998">
        <f>'[3]Motor Rutas SKU_Cons'!BX146</f>
        <v>41.866513694276939</v>
      </c>
      <c r="I142" s="998">
        <f>'[3]Motor Rutas SKU_Cons'!BW146</f>
        <v>0</v>
      </c>
    </row>
    <row r="143" spans="1:9">
      <c r="A143" t="str">
        <f>IF('[3]Motor Rutas SKU_Cons'!C147="","",'[3]Motor Rutas SKU_Cons'!C147)</f>
        <v>Occidente</v>
      </c>
      <c r="B143" t="str">
        <f>IF('[3]Motor Rutas SKU_Cons'!D147="","",'[3]Motor Rutas SKU_Cons'!D147)</f>
        <v>Favorita</v>
      </c>
      <c r="C143" t="str">
        <f>IF('[3]Motor Rutas SKU_Cons'!B147="","",'[3]Motor Rutas SKU_Cons'!B147)</f>
        <v>Suc. Santa Maria</v>
      </c>
      <c r="D143">
        <f>'[3]Motor Rutas SKU_Cons'!A147</f>
        <v>809323</v>
      </c>
      <c r="E143" s="997" t="str">
        <f>IF('[3]Motor Rutas SKU_Cons'!N147="","s/d","Agua "&amp;TEXT('[3]Motor Rutas SKU_Cons'!N147,"0%")&amp;" · Colas "&amp;TEXT('[3]Motor Rutas SKU_Cons'!O147,"0%")&amp;" · Resto "&amp;TEXT('[3]Motor Rutas SKU_Cons'!P147,"0%"))</f>
        <v>Agua 85% · Colas 8% · Resto 7%</v>
      </c>
      <c r="F143" s="16">
        <f>'[3]Motor Rutas SKU_Cons'!CH147</f>
        <v>0.24178642179041604</v>
      </c>
      <c r="G143" s="16">
        <f>'[3]Motor Rutas SKU_Cons'!CG147</f>
        <v>0.89565572321590992</v>
      </c>
      <c r="H143" s="998">
        <f>'[3]Motor Rutas SKU_Cons'!BX147</f>
        <v>74.416963399552642</v>
      </c>
      <c r="I143" s="998">
        <f>'[3]Motor Rutas SKU_Cons'!BW147</f>
        <v>0</v>
      </c>
    </row>
    <row r="144" spans="1:9">
      <c r="A144" t="str">
        <f>IF('[3]Motor Rutas SKU_Cons'!C148="","",'[3]Motor Rutas SKU_Cons'!C148)</f>
        <v>Occidente</v>
      </c>
      <c r="B144" t="str">
        <f>IF('[3]Motor Rutas SKU_Cons'!D148="","",'[3]Motor Rutas SKU_Cons'!D148)</f>
        <v>Zapopan</v>
      </c>
      <c r="C144" t="str">
        <f>IF('[3]Motor Rutas SKU_Cons'!B148="","",'[3]Motor Rutas SKU_Cons'!B148)</f>
        <v>Suc. Belenes</v>
      </c>
      <c r="D144">
        <f>'[3]Motor Rutas SKU_Cons'!A148</f>
        <v>820367</v>
      </c>
      <c r="E144" s="997" t="str">
        <f>IF('[3]Motor Rutas SKU_Cons'!N148="","s/d","Agua "&amp;TEXT('[3]Motor Rutas SKU_Cons'!N148,"0%")&amp;" · Colas "&amp;TEXT('[3]Motor Rutas SKU_Cons'!O148,"0%")&amp;" · Resto "&amp;TEXT('[3]Motor Rutas SKU_Cons'!P148,"0%"))</f>
        <v>Agua 85% · Colas 8% · Resto 7%</v>
      </c>
      <c r="F144" s="16">
        <f>'[3]Motor Rutas SKU_Cons'!CH148</f>
        <v>0.38710626904225165</v>
      </c>
      <c r="G144" s="16">
        <f>'[3]Motor Rutas SKU_Cons'!CG148</f>
        <v>0.89521947470454522</v>
      </c>
      <c r="H144" s="998">
        <f>'[3]Motor Rutas SKU_Cons'!BX148</f>
        <v>60.154146081370598</v>
      </c>
      <c r="I144" s="998">
        <f>'[3]Motor Rutas SKU_Cons'!BW148</f>
        <v>0</v>
      </c>
    </row>
    <row r="145" spans="1:9">
      <c r="A145" t="str">
        <f>IF('[3]Motor Rutas SKU_Cons'!C149="","",'[3]Motor Rutas SKU_Cons'!C149)</f>
        <v>Occidente</v>
      </c>
      <c r="B145" t="str">
        <f>IF('[3]Motor Rutas SKU_Cons'!D149="","",'[3]Motor Rutas SKU_Cons'!D149)</f>
        <v>Favorita</v>
      </c>
      <c r="C145" t="str">
        <f>IF('[3]Motor Rutas SKU_Cons'!B149="","",'[3]Motor Rutas SKU_Cons'!B149)</f>
        <v>Suc. Santa Maria</v>
      </c>
      <c r="D145">
        <f>'[3]Motor Rutas SKU_Cons'!A149</f>
        <v>809329</v>
      </c>
      <c r="E145" s="997" t="str">
        <f>IF('[3]Motor Rutas SKU_Cons'!N149="","s/d","Agua "&amp;TEXT('[3]Motor Rutas SKU_Cons'!N149,"0%")&amp;" · Colas "&amp;TEXT('[3]Motor Rutas SKU_Cons'!O149,"0%")&amp;" · Resto "&amp;TEXT('[3]Motor Rutas SKU_Cons'!P149,"0%"))</f>
        <v>Agua 85% · Colas 8% · Resto 7%</v>
      </c>
      <c r="F145" s="16">
        <f>'[3]Motor Rutas SKU_Cons'!CH149</f>
        <v>0.20952380886933461</v>
      </c>
      <c r="G145" s="16">
        <f>'[3]Motor Rutas SKU_Cons'!CG149</f>
        <v>0.89362438779886366</v>
      </c>
      <c r="H145" s="998">
        <f>'[3]Motor Rutas SKU_Cons'!BX149</f>
        <v>46.186362293226424</v>
      </c>
      <c r="I145" s="998">
        <f>'[3]Motor Rutas SKU_Cons'!BW149</f>
        <v>0</v>
      </c>
    </row>
    <row r="146" spans="1:9">
      <c r="A146" t="str">
        <f>IF('[3]Motor Rutas SKU_Cons'!C150="","",'[3]Motor Rutas SKU_Cons'!C150)</f>
        <v>Noreste</v>
      </c>
      <c r="B146" t="str">
        <f>IF('[3]Motor Rutas SKU_Cons'!D150="","",'[3]Motor Rutas SKU_Cons'!D150)</f>
        <v>Monterrey</v>
      </c>
      <c r="C146" t="str">
        <f>IF('[3]Motor Rutas SKU_Cons'!B150="","",'[3]Motor Rutas SKU_Cons'!B150)</f>
        <v>Sucursal Universidad</v>
      </c>
      <c r="D146">
        <f>'[3]Motor Rutas SKU_Cons'!A150</f>
        <v>703300</v>
      </c>
      <c r="E146" s="997" t="str">
        <f>IF('[3]Motor Rutas SKU_Cons'!N150="","s/d","Agua "&amp;TEXT('[3]Motor Rutas SKU_Cons'!N150,"0%")&amp;" · Colas "&amp;TEXT('[3]Motor Rutas SKU_Cons'!O150,"0%")&amp;" · Resto "&amp;TEXT('[3]Motor Rutas SKU_Cons'!P150,"0%"))</f>
        <v>Agua 80% · Colas 12% · Resto 8%</v>
      </c>
      <c r="F146" s="16">
        <f>'[3]Motor Rutas SKU_Cons'!CH150</f>
        <v>0.89191719978746309</v>
      </c>
      <c r="G146" s="16">
        <f>'[3]Motor Rutas SKU_Cons'!CG150</f>
        <v>0.8928534481363638</v>
      </c>
      <c r="H146" s="998">
        <f>'[3]Motor Rutas SKU_Cons'!BX150</f>
        <v>0</v>
      </c>
      <c r="I146" s="998">
        <f>'[3]Motor Rutas SKU_Cons'!BW150</f>
        <v>0</v>
      </c>
    </row>
    <row r="147" spans="1:9">
      <c r="A147" t="str">
        <f>IF('[3]Motor Rutas SKU_Cons'!C151="","",'[3]Motor Rutas SKU_Cons'!C151)</f>
        <v>Noreste</v>
      </c>
      <c r="B147" t="str">
        <f>IF('[3]Motor Rutas SKU_Cons'!D151="","",'[3]Motor Rutas SKU_Cons'!D151)</f>
        <v>Saltillo</v>
      </c>
      <c r="C147" t="str">
        <f>IF('[3]Motor Rutas SKU_Cons'!B151="","",'[3]Motor Rutas SKU_Cons'!B151)</f>
        <v>Planta Agua y Hielo</v>
      </c>
      <c r="D147">
        <f>'[3]Motor Rutas SKU_Cons'!A151</f>
        <v>203324</v>
      </c>
      <c r="E147" s="997" t="str">
        <f>IF('[3]Motor Rutas SKU_Cons'!N151="","s/d","Agua "&amp;TEXT('[3]Motor Rutas SKU_Cons'!N151,"0%")&amp;" · Colas "&amp;TEXT('[3]Motor Rutas SKU_Cons'!O151,"0%")&amp;" · Resto "&amp;TEXT('[3]Motor Rutas SKU_Cons'!P151,"0%"))</f>
        <v>Agua 80% · Colas 12% · Resto 8%</v>
      </c>
      <c r="F147" s="16">
        <f>'[3]Motor Rutas SKU_Cons'!CH151</f>
        <v>0.28625493844787703</v>
      </c>
      <c r="G147" s="16">
        <f>'[3]Motor Rutas SKU_Cons'!CG151</f>
        <v>0.89221181420454609</v>
      </c>
      <c r="H147" s="998">
        <f>'[3]Motor Rutas SKU_Cons'!BX151</f>
        <v>42.031486891246814</v>
      </c>
      <c r="I147" s="998">
        <f>'[3]Motor Rutas SKU_Cons'!BW151</f>
        <v>0</v>
      </c>
    </row>
    <row r="148" spans="1:9">
      <c r="A148" t="str">
        <f>IF('[3]Motor Rutas SKU_Cons'!C152="","",'[3]Motor Rutas SKU_Cons'!C152)</f>
        <v>Occidente</v>
      </c>
      <c r="B148" t="str">
        <f>IF('[3]Motor Rutas SKU_Cons'!D152="","",'[3]Motor Rutas SKU_Cons'!D152)</f>
        <v>Favorita</v>
      </c>
      <c r="C148" t="str">
        <f>IF('[3]Motor Rutas SKU_Cons'!B152="","",'[3]Motor Rutas SKU_Cons'!B152)</f>
        <v>Suc. Santa Maria</v>
      </c>
      <c r="D148">
        <f>'[3]Motor Rutas SKU_Cons'!A152</f>
        <v>809345</v>
      </c>
      <c r="E148" s="997" t="str">
        <f>IF('[3]Motor Rutas SKU_Cons'!N152="","s/d","Agua "&amp;TEXT('[3]Motor Rutas SKU_Cons'!N152,"0%")&amp;" · Colas "&amp;TEXT('[3]Motor Rutas SKU_Cons'!O152,"0%")&amp;" · Resto "&amp;TEXT('[3]Motor Rutas SKU_Cons'!P152,"0%"))</f>
        <v>Agua 85% · Colas 8% · Resto 7%</v>
      </c>
      <c r="F148" s="16">
        <f>'[3]Motor Rutas SKU_Cons'!CH152</f>
        <v>0.19095805511875977</v>
      </c>
      <c r="G148" s="16">
        <f>'[3]Motor Rutas SKU_Cons'!CG152</f>
        <v>0.89210370231818248</v>
      </c>
      <c r="H148" s="998">
        <f>'[3]Motor Rutas SKU_Cons'!BX152</f>
        <v>79.405653672279641</v>
      </c>
      <c r="I148" s="998">
        <f>'[3]Motor Rutas SKU_Cons'!BW152</f>
        <v>0</v>
      </c>
    </row>
    <row r="149" spans="1:9">
      <c r="A149" t="str">
        <f>IF('[3]Motor Rutas SKU_Cons'!C153="","",'[3]Motor Rutas SKU_Cons'!C153)</f>
        <v>Occidente</v>
      </c>
      <c r="B149" t="str">
        <f>IF('[3]Motor Rutas SKU_Cons'!D153="","",'[3]Motor Rutas SKU_Cons'!D153)</f>
        <v>Favorita</v>
      </c>
      <c r="C149" t="str">
        <f>IF('[3]Motor Rutas SKU_Cons'!B153="","",'[3]Motor Rutas SKU_Cons'!B153)</f>
        <v>Cedi Tonalá</v>
      </c>
      <c r="D149">
        <f>'[3]Motor Rutas SKU_Cons'!A153</f>
        <v>810344</v>
      </c>
      <c r="E149" s="997" t="str">
        <f>IF('[3]Motor Rutas SKU_Cons'!N153="","s/d","Agua "&amp;TEXT('[3]Motor Rutas SKU_Cons'!N153,"0%")&amp;" · Colas "&amp;TEXT('[3]Motor Rutas SKU_Cons'!O153,"0%")&amp;" · Resto "&amp;TEXT('[3]Motor Rutas SKU_Cons'!P153,"0%"))</f>
        <v>Agua 85% · Colas 8% · Resto 7%</v>
      </c>
      <c r="F149" s="16">
        <f>'[3]Motor Rutas SKU_Cons'!CH153</f>
        <v>0.54911672047928395</v>
      </c>
      <c r="G149" s="16">
        <f>'[3]Motor Rutas SKU_Cons'!CG153</f>
        <v>0.89038430059090956</v>
      </c>
      <c r="H149" s="998">
        <f>'[3]Motor Rutas SKU_Cons'!BX153</f>
        <v>44.253183369249328</v>
      </c>
      <c r="I149" s="998">
        <f>'[3]Motor Rutas SKU_Cons'!BW153</f>
        <v>0</v>
      </c>
    </row>
    <row r="150" spans="1:9">
      <c r="A150" t="str">
        <f>IF('[3]Motor Rutas SKU_Cons'!C154="","",'[3]Motor Rutas SKU_Cons'!C154)</f>
        <v>Occidente</v>
      </c>
      <c r="B150" t="str">
        <f>IF('[3]Motor Rutas SKU_Cons'!D154="","",'[3]Motor Rutas SKU_Cons'!D154)</f>
        <v>Favorita</v>
      </c>
      <c r="C150" t="str">
        <f>IF('[3]Motor Rutas SKU_Cons'!B154="","",'[3]Motor Rutas SKU_Cons'!B154)</f>
        <v>Suc. Santa Maria</v>
      </c>
      <c r="D150">
        <f>'[3]Motor Rutas SKU_Cons'!A154</f>
        <v>809332</v>
      </c>
      <c r="E150" s="997" t="str">
        <f>IF('[3]Motor Rutas SKU_Cons'!N154="","s/d","Agua "&amp;TEXT('[3]Motor Rutas SKU_Cons'!N154,"0%")&amp;" · Colas "&amp;TEXT('[3]Motor Rutas SKU_Cons'!O154,"0%")&amp;" · Resto "&amp;TEXT('[3]Motor Rutas SKU_Cons'!P154,"0%"))</f>
        <v>Agua 85% · Colas 8% · Resto 7%</v>
      </c>
      <c r="F150" s="16">
        <f>'[3]Motor Rutas SKU_Cons'!CH154</f>
        <v>0.28481736979499717</v>
      </c>
      <c r="G150" s="16">
        <f>'[3]Motor Rutas SKU_Cons'!CG154</f>
        <v>0.89001971744318142</v>
      </c>
      <c r="H150" s="998">
        <f>'[3]Motor Rutas SKU_Cons'!BX154</f>
        <v>38.527211613190673</v>
      </c>
      <c r="I150" s="998">
        <f>'[3]Motor Rutas SKU_Cons'!BW154</f>
        <v>0</v>
      </c>
    </row>
    <row r="151" spans="1:9">
      <c r="A151" t="str">
        <f>IF('[3]Motor Rutas SKU_Cons'!C155="","",'[3]Motor Rutas SKU_Cons'!C155)</f>
        <v>Occidente</v>
      </c>
      <c r="B151" t="str">
        <f>IF('[3]Motor Rutas SKU_Cons'!D155="","",'[3]Motor Rutas SKU_Cons'!D155)</f>
        <v>Favorita</v>
      </c>
      <c r="C151" t="str">
        <f>IF('[3]Motor Rutas SKU_Cons'!B155="","",'[3]Motor Rutas SKU_Cons'!B155)</f>
        <v>Suc. San Rafael</v>
      </c>
      <c r="D151">
        <f>'[3]Motor Rutas SKU_Cons'!A155</f>
        <v>803413</v>
      </c>
      <c r="E151" s="997" t="str">
        <f>IF('[3]Motor Rutas SKU_Cons'!N155="","s/d","Agua "&amp;TEXT('[3]Motor Rutas SKU_Cons'!N155,"0%")&amp;" · Colas "&amp;TEXT('[3]Motor Rutas SKU_Cons'!O155,"0%")&amp;" · Resto "&amp;TEXT('[3]Motor Rutas SKU_Cons'!P155,"0%"))</f>
        <v>Agua 85% · Colas 8% · Resto 7%</v>
      </c>
      <c r="F151" s="16">
        <f>'[3]Motor Rutas SKU_Cons'!CH155</f>
        <v>0.51541886044111096</v>
      </c>
      <c r="G151" s="16">
        <f>'[3]Motor Rutas SKU_Cons'!CG155</f>
        <v>0.88896358114772756</v>
      </c>
      <c r="H151" s="998">
        <f>'[3]Motor Rutas SKU_Cons'!BX155</f>
        <v>47.560552808643358</v>
      </c>
      <c r="I151" s="998">
        <f>'[3]Motor Rutas SKU_Cons'!BW155</f>
        <v>0</v>
      </c>
    </row>
    <row r="152" spans="1:9">
      <c r="A152" t="str">
        <f>IF('[3]Motor Rutas SKU_Cons'!C156="","",'[3]Motor Rutas SKU_Cons'!C156)</f>
        <v>Occidente</v>
      </c>
      <c r="B152" t="str">
        <f>IF('[3]Motor Rutas SKU_Cons'!D156="","",'[3]Motor Rutas SKU_Cons'!D156)</f>
        <v>San Luis</v>
      </c>
      <c r="C152" t="str">
        <f>IF('[3]Motor Rutas SKU_Cons'!B156="","",'[3]Motor Rutas SKU_Cons'!B156)</f>
        <v>Planta San Luis</v>
      </c>
      <c r="D152">
        <f>'[3]Motor Rutas SKU_Cons'!A156</f>
        <v>916408</v>
      </c>
      <c r="E152" s="997" t="str">
        <f>IF('[3]Motor Rutas SKU_Cons'!N156="","s/d","Agua "&amp;TEXT('[3]Motor Rutas SKU_Cons'!N156,"0%")&amp;" · Colas "&amp;TEXT('[3]Motor Rutas SKU_Cons'!O156,"0%")&amp;" · Resto "&amp;TEXT('[3]Motor Rutas SKU_Cons'!P156,"0%"))</f>
        <v>Agua 85% · Colas 8% · Resto 7%</v>
      </c>
      <c r="F152" s="16">
        <f>'[3]Motor Rutas SKU_Cons'!CH156</f>
        <v>0.20742364652457307</v>
      </c>
      <c r="G152" s="16">
        <f>'[3]Motor Rutas SKU_Cons'!CG156</f>
        <v>0.88825328335227249</v>
      </c>
      <c r="H152" s="998">
        <f>'[3]Motor Rutas SKU_Cons'!BX156</f>
        <v>45.991285573975006</v>
      </c>
      <c r="I152" s="998">
        <f>'[3]Motor Rutas SKU_Cons'!BW156</f>
        <v>0</v>
      </c>
    </row>
    <row r="153" spans="1:9">
      <c r="A153" t="str">
        <f>IF('[3]Motor Rutas SKU_Cons'!C157="","",'[3]Motor Rutas SKU_Cons'!C157)</f>
        <v>Occidente</v>
      </c>
      <c r="B153" t="str">
        <f>IF('[3]Motor Rutas SKU_Cons'!D157="","",'[3]Motor Rutas SKU_Cons'!D157)</f>
        <v>Zapopan</v>
      </c>
      <c r="C153" t="str">
        <f>IF('[3]Motor Rutas SKU_Cons'!B157="","",'[3]Motor Rutas SKU_Cons'!B157)</f>
        <v>Planta Zapopan</v>
      </c>
      <c r="D153">
        <f>'[3]Motor Rutas SKU_Cons'!A157</f>
        <v>816388</v>
      </c>
      <c r="E153" s="997" t="str">
        <f>IF('[3]Motor Rutas SKU_Cons'!N157="","s/d","Agua "&amp;TEXT('[3]Motor Rutas SKU_Cons'!N157,"0%")&amp;" · Colas "&amp;TEXT('[3]Motor Rutas SKU_Cons'!O157,"0%")&amp;" · Resto "&amp;TEXT('[3]Motor Rutas SKU_Cons'!P157,"0%"))</f>
        <v>Agua 85% · Colas 8% · Resto 7%</v>
      </c>
      <c r="F153" s="16">
        <f>'[3]Motor Rutas SKU_Cons'!CH157</f>
        <v>0.28649001469771829</v>
      </c>
      <c r="G153" s="16">
        <f>'[3]Motor Rutas SKU_Cons'!CG157</f>
        <v>0.88648049914772631</v>
      </c>
      <c r="H153" s="998">
        <f>'[3]Motor Rutas SKU_Cons'!BX157</f>
        <v>38.098677885026724</v>
      </c>
      <c r="I153" s="998">
        <f>'[3]Motor Rutas SKU_Cons'!BW157</f>
        <v>0</v>
      </c>
    </row>
    <row r="154" spans="1:9">
      <c r="A154" t="str">
        <f>IF('[3]Motor Rutas SKU_Cons'!C158="","",'[3]Motor Rutas SKU_Cons'!C158)</f>
        <v>Occidente</v>
      </c>
      <c r="B154" t="str">
        <f>IF('[3]Motor Rutas SKU_Cons'!D158="","",'[3]Motor Rutas SKU_Cons'!D158)</f>
        <v>Zapopan</v>
      </c>
      <c r="C154" t="str">
        <f>IF('[3]Motor Rutas SKU_Cons'!B158="","",'[3]Motor Rutas SKU_Cons'!B158)</f>
        <v>Planta Zapopan</v>
      </c>
      <c r="D154">
        <f>'[3]Motor Rutas SKU_Cons'!A158</f>
        <v>816350</v>
      </c>
      <c r="E154" s="997" t="str">
        <f>IF('[3]Motor Rutas SKU_Cons'!N158="","s/d","Agua "&amp;TEXT('[3]Motor Rutas SKU_Cons'!N158,"0%")&amp;" · Colas "&amp;TEXT('[3]Motor Rutas SKU_Cons'!O158,"0%")&amp;" · Resto "&amp;TEXT('[3]Motor Rutas SKU_Cons'!P158,"0%"))</f>
        <v>Agua 85% · Colas 8% · Resto 7%</v>
      </c>
      <c r="F154" s="16">
        <f>'[3]Motor Rutas SKU_Cons'!CH158</f>
        <v>0.46216186207710064</v>
      </c>
      <c r="G154" s="16">
        <f>'[3]Motor Rutas SKU_Cons'!CG158</f>
        <v>0.88575649521545496</v>
      </c>
      <c r="H154" s="998">
        <f>'[3]Motor Rutas SKU_Cons'!BX158</f>
        <v>52.787607838946549</v>
      </c>
      <c r="I154" s="998">
        <f>'[3]Motor Rutas SKU_Cons'!BW158</f>
        <v>0</v>
      </c>
    </row>
    <row r="155" spans="1:9">
      <c r="A155" t="str">
        <f>IF('[3]Motor Rutas SKU_Cons'!C159="","",'[3]Motor Rutas SKU_Cons'!C159)</f>
        <v>Occidente</v>
      </c>
      <c r="B155" t="str">
        <f>IF('[3]Motor Rutas SKU_Cons'!D159="","",'[3]Motor Rutas SKU_Cons'!D159)</f>
        <v>Aguascalientes</v>
      </c>
      <c r="C155" t="str">
        <f>IF('[3]Motor Rutas SKU_Cons'!B159="","",'[3]Motor Rutas SKU_Cons'!B159)</f>
        <v>Planta Aguascalientes</v>
      </c>
      <c r="D155">
        <f>'[3]Motor Rutas SKU_Cons'!A159</f>
        <v>901341</v>
      </c>
      <c r="E155" s="997" t="str">
        <f>IF('[3]Motor Rutas SKU_Cons'!N159="","s/d","Agua "&amp;TEXT('[3]Motor Rutas SKU_Cons'!N159,"0%")&amp;" · Colas "&amp;TEXT('[3]Motor Rutas SKU_Cons'!O159,"0%")&amp;" · Resto "&amp;TEXT('[3]Motor Rutas SKU_Cons'!P159,"0%"))</f>
        <v>Agua 85% · Colas 8% · Resto 7%</v>
      </c>
      <c r="F155" s="16">
        <f>'[3]Motor Rutas SKU_Cons'!CH159</f>
        <v>0.25586812310503726</v>
      </c>
      <c r="G155" s="16">
        <f>'[3]Motor Rutas SKU_Cons'!CG159</f>
        <v>0.88531117332954534</v>
      </c>
      <c r="H155" s="998">
        <f>'[3]Motor Rutas SKU_Cons'!BX159</f>
        <v>73.034875975309845</v>
      </c>
      <c r="I155" s="998">
        <f>'[3]Motor Rutas SKU_Cons'!BW159</f>
        <v>0</v>
      </c>
    </row>
    <row r="156" spans="1:9">
      <c r="A156" t="str">
        <f>IF('[3]Motor Rutas SKU_Cons'!C160="","",'[3]Motor Rutas SKU_Cons'!C160)</f>
        <v>Occidente</v>
      </c>
      <c r="B156" t="str">
        <f>IF('[3]Motor Rutas SKU_Cons'!D160="","",'[3]Motor Rutas SKU_Cons'!D160)</f>
        <v>Zapopan</v>
      </c>
      <c r="C156" t="str">
        <f>IF('[3]Motor Rutas SKU_Cons'!B160="","",'[3]Motor Rutas SKU_Cons'!B160)</f>
        <v>Planta Zapopan</v>
      </c>
      <c r="D156">
        <f>'[3]Motor Rutas SKU_Cons'!A160</f>
        <v>816383</v>
      </c>
      <c r="E156" s="997" t="str">
        <f>IF('[3]Motor Rutas SKU_Cons'!N160="","s/d","Agua "&amp;TEXT('[3]Motor Rutas SKU_Cons'!N160,"0%")&amp;" · Colas "&amp;TEXT('[3]Motor Rutas SKU_Cons'!O160,"0%")&amp;" · Resto "&amp;TEXT('[3]Motor Rutas SKU_Cons'!P160,"0%"))</f>
        <v>Agua 85% · Colas 8% · Resto 7%</v>
      </c>
      <c r="F156" s="16">
        <f>'[3]Motor Rutas SKU_Cons'!CH160</f>
        <v>0.41166956754476669</v>
      </c>
      <c r="G156" s="16">
        <f>'[3]Motor Rutas SKU_Cons'!CG160</f>
        <v>0.88524413417045378</v>
      </c>
      <c r="H156" s="998">
        <f>'[3]Motor Rutas SKU_Cons'!BX160</f>
        <v>26.978268020664537</v>
      </c>
      <c r="I156" s="998">
        <f>'[3]Motor Rutas SKU_Cons'!BW160</f>
        <v>0</v>
      </c>
    </row>
    <row r="157" spans="1:9">
      <c r="A157" t="str">
        <f>IF('[3]Motor Rutas SKU_Cons'!C161="","",'[3]Motor Rutas SKU_Cons'!C161)</f>
        <v>Occidente</v>
      </c>
      <c r="B157" t="str">
        <f>IF('[3]Motor Rutas SKU_Cons'!D161="","",'[3]Motor Rutas SKU_Cons'!D161)</f>
        <v>Zapopan</v>
      </c>
      <c r="C157" t="str">
        <f>IF('[3]Motor Rutas SKU_Cons'!B161="","",'[3]Motor Rutas SKU_Cons'!B161)</f>
        <v>Planta Zapopan</v>
      </c>
      <c r="D157">
        <f>'[3]Motor Rutas SKU_Cons'!A161</f>
        <v>816369</v>
      </c>
      <c r="E157" s="997" t="str">
        <f>IF('[3]Motor Rutas SKU_Cons'!N161="","s/d","Agua "&amp;TEXT('[3]Motor Rutas SKU_Cons'!N161,"0%")&amp;" · Colas "&amp;TEXT('[3]Motor Rutas SKU_Cons'!O161,"0%")&amp;" · Resto "&amp;TEXT('[3]Motor Rutas SKU_Cons'!P161,"0%"))</f>
        <v>Agua 85% · Colas 8% · Resto 7%</v>
      </c>
      <c r="F157" s="16">
        <f>'[3]Motor Rutas SKU_Cons'!CH161</f>
        <v>0.27571107624454716</v>
      </c>
      <c r="G157" s="16">
        <f>'[3]Motor Rutas SKU_Cons'!CG161</f>
        <v>0.88399310236363704</v>
      </c>
      <c r="H157" s="998">
        <f>'[3]Motor Rutas SKU_Cons'!BX161</f>
        <v>71.087334596522012</v>
      </c>
      <c r="I157" s="998">
        <f>'[3]Motor Rutas SKU_Cons'!BW161</f>
        <v>0</v>
      </c>
    </row>
    <row r="158" spans="1:9">
      <c r="A158" t="str">
        <f>IF('[3]Motor Rutas SKU_Cons'!C162="","",'[3]Motor Rutas SKU_Cons'!C162)</f>
        <v>Norte</v>
      </c>
      <c r="B158" t="str">
        <f>IF('[3]Motor Rutas SKU_Cons'!D162="","",'[3]Motor Rutas SKU_Cons'!D162)</f>
        <v>Zacatecas</v>
      </c>
      <c r="C158" t="str">
        <f>IF('[3]Motor Rutas SKU_Cons'!B162="","",'[3]Motor Rutas SKU_Cons'!B162)</f>
        <v>Suc. Fresnillo</v>
      </c>
      <c r="D158">
        <f>'[3]Motor Rutas SKU_Cons'!A162</f>
        <v>950344</v>
      </c>
      <c r="E158" s="997" t="str">
        <f>IF('[3]Motor Rutas SKU_Cons'!N162="","s/d","Agua "&amp;TEXT('[3]Motor Rutas SKU_Cons'!N162,"0%")&amp;" · Colas "&amp;TEXT('[3]Motor Rutas SKU_Cons'!O162,"0%")&amp;" · Resto "&amp;TEXT('[3]Motor Rutas SKU_Cons'!P162,"0%"))</f>
        <v>Agua 85% · Colas 8% · Resto 7%</v>
      </c>
      <c r="F158" s="16">
        <f>'[3]Motor Rutas SKU_Cons'!CH162</f>
        <v>0.33604237570730527</v>
      </c>
      <c r="G158" s="16">
        <f>'[3]Motor Rutas SKU_Cons'!CG162</f>
        <v>0.88123156322727336</v>
      </c>
      <c r="H158" s="998">
        <f>'[3]Motor Rutas SKU_Cons'!BX162</f>
        <v>48.874464576179399</v>
      </c>
      <c r="I158" s="998">
        <f>'[3]Motor Rutas SKU_Cons'!BW162</f>
        <v>0</v>
      </c>
    </row>
    <row r="159" spans="1:9">
      <c r="A159" t="str">
        <f>IF('[3]Motor Rutas SKU_Cons'!C163="","",'[3]Motor Rutas SKU_Cons'!C163)</f>
        <v>Pacifico</v>
      </c>
      <c r="B159" t="str">
        <f>IF('[3]Motor Rutas SKU_Cons'!D163="","",'[3]Motor Rutas SKU_Cons'!D163)</f>
        <v>La Paz</v>
      </c>
      <c r="C159" t="str">
        <f>IF('[3]Motor Rutas SKU_Cons'!B163="","",'[3]Motor Rutas SKU_Cons'!B163)</f>
        <v>Planta La Paz</v>
      </c>
      <c r="D159">
        <f>'[3]Motor Rutas SKU_Cons'!A163</f>
        <v>506306</v>
      </c>
      <c r="E159" s="997" t="str">
        <f>IF('[3]Motor Rutas SKU_Cons'!N163="","s/d","Agua "&amp;TEXT('[3]Motor Rutas SKU_Cons'!N163,"0%")&amp;" · Colas "&amp;TEXT('[3]Motor Rutas SKU_Cons'!O163,"0%")&amp;" · Resto "&amp;TEXT('[3]Motor Rutas SKU_Cons'!P163,"0%"))</f>
        <v>Agua 85% · Colas 8% · Resto 7%</v>
      </c>
      <c r="F159" s="16">
        <f>'[3]Motor Rutas SKU_Cons'!CH163</f>
        <v>5.7074465651432295E-2</v>
      </c>
      <c r="G159" s="16">
        <f>'[3]Motor Rutas SKU_Cons'!CG163</f>
        <v>0.88103284500000056</v>
      </c>
      <c r="H159" s="998">
        <f>'[3]Motor Rutas SKU_Cons'!BX163</f>
        <v>90.312568372548981</v>
      </c>
      <c r="I159" s="998">
        <f>'[3]Motor Rutas SKU_Cons'!BW163</f>
        <v>0</v>
      </c>
    </row>
    <row r="160" spans="1:9">
      <c r="A160" t="str">
        <f>IF('[3]Motor Rutas SKU_Cons'!C164="","",'[3]Motor Rutas SKU_Cons'!C164)</f>
        <v>Occidente</v>
      </c>
      <c r="B160" t="str">
        <f>IF('[3]Motor Rutas SKU_Cons'!D164="","",'[3]Motor Rutas SKU_Cons'!D164)</f>
        <v>Zapopan</v>
      </c>
      <c r="C160" t="str">
        <f>IF('[3]Motor Rutas SKU_Cons'!B164="","",'[3]Motor Rutas SKU_Cons'!B164)</f>
        <v>Suc. Belenes</v>
      </c>
      <c r="D160">
        <f>'[3]Motor Rutas SKU_Cons'!A164</f>
        <v>820368</v>
      </c>
      <c r="E160" s="997" t="str">
        <f>IF('[3]Motor Rutas SKU_Cons'!N164="","s/d","Agua "&amp;TEXT('[3]Motor Rutas SKU_Cons'!N164,"0%")&amp;" · Colas "&amp;TEXT('[3]Motor Rutas SKU_Cons'!O164,"0%")&amp;" · Resto "&amp;TEXT('[3]Motor Rutas SKU_Cons'!P164,"0%"))</f>
        <v>Agua 85% · Colas 8% · Resto 7%</v>
      </c>
      <c r="F160" s="16">
        <f>'[3]Motor Rutas SKU_Cons'!CH164</f>
        <v>0.30567002597930609</v>
      </c>
      <c r="G160" s="16">
        <f>'[3]Motor Rutas SKU_Cons'!CG164</f>
        <v>0.88010567304545539</v>
      </c>
      <c r="H160" s="998">
        <f>'[3]Motor Rutas SKU_Cons'!BX164</f>
        <v>68.146930823794634</v>
      </c>
      <c r="I160" s="998">
        <f>'[3]Motor Rutas SKU_Cons'!BW164</f>
        <v>0</v>
      </c>
    </row>
    <row r="161" spans="1:9">
      <c r="A161" t="str">
        <f>IF('[3]Motor Rutas SKU_Cons'!C165="","",'[3]Motor Rutas SKU_Cons'!C165)</f>
        <v>Occidente</v>
      </c>
      <c r="B161" t="str">
        <f>IF('[3]Motor Rutas SKU_Cons'!D165="","",'[3]Motor Rutas SKU_Cons'!D165)</f>
        <v>Zapopan</v>
      </c>
      <c r="C161" t="str">
        <f>IF('[3]Motor Rutas SKU_Cons'!B165="","",'[3]Motor Rutas SKU_Cons'!B165)</f>
        <v>Suc. Belenes</v>
      </c>
      <c r="D161">
        <f>'[3]Motor Rutas SKU_Cons'!A165</f>
        <v>820375</v>
      </c>
      <c r="E161" s="997" t="str">
        <f>IF('[3]Motor Rutas SKU_Cons'!N165="","s/d","Agua "&amp;TEXT('[3]Motor Rutas SKU_Cons'!N165,"0%")&amp;" · Colas "&amp;TEXT('[3]Motor Rutas SKU_Cons'!O165,"0%")&amp;" · Resto "&amp;TEXT('[3]Motor Rutas SKU_Cons'!P165,"0%"))</f>
        <v>Agua 85% · Colas 8% · Resto 7%</v>
      </c>
      <c r="F161" s="16">
        <f>'[3]Motor Rutas SKU_Cons'!CH165</f>
        <v>0.25796510471676776</v>
      </c>
      <c r="G161" s="16">
        <f>'[3]Motor Rutas SKU_Cons'!CG165</f>
        <v>0.87865335409090939</v>
      </c>
      <c r="H161" s="998">
        <f>'[3]Motor Rutas SKU_Cons'!BX165</f>
        <v>72.829061929855555</v>
      </c>
      <c r="I161" s="998">
        <f>'[3]Motor Rutas SKU_Cons'!BW165</f>
        <v>0</v>
      </c>
    </row>
    <row r="162" spans="1:9">
      <c r="A162" t="str">
        <f>IF('[3]Motor Rutas SKU_Cons'!C166="","",'[3]Motor Rutas SKU_Cons'!C166)</f>
        <v>Norte</v>
      </c>
      <c r="B162" t="str">
        <f>IF('[3]Motor Rutas SKU_Cons'!D166="","",'[3]Motor Rutas SKU_Cons'!D166)</f>
        <v>Juárez</v>
      </c>
      <c r="C162" t="str">
        <f>IF('[3]Motor Rutas SKU_Cons'!B166="","",'[3]Motor Rutas SKU_Cons'!B166)</f>
        <v>Planta Cd. Juárez</v>
      </c>
      <c r="D162">
        <f>'[3]Motor Rutas SKU_Cons'!A166</f>
        <v>301402</v>
      </c>
      <c r="E162" s="997" t="str">
        <f>IF('[3]Motor Rutas SKU_Cons'!N166="","s/d","Agua "&amp;TEXT('[3]Motor Rutas SKU_Cons'!N166,"0%")&amp;" · Colas "&amp;TEXT('[3]Motor Rutas SKU_Cons'!O166,"0%")&amp;" · Resto "&amp;TEXT('[3]Motor Rutas SKU_Cons'!P166,"0%"))</f>
        <v>Agua 85% · Colas 8% · Resto 7%</v>
      </c>
      <c r="F162" s="16">
        <f>'[3]Motor Rutas SKU_Cons'!CH166</f>
        <v>7.2119043066942251E-2</v>
      </c>
      <c r="G162" s="16">
        <f>'[3]Motor Rutas SKU_Cons'!CG166</f>
        <v>0.87621381081818128</v>
      </c>
      <c r="H162" s="998">
        <f>'[3]Motor Rutas SKU_Cons'!BX166</f>
        <v>68.302077273149166</v>
      </c>
      <c r="I162" s="998">
        <f>'[3]Motor Rutas SKU_Cons'!BW166</f>
        <v>0</v>
      </c>
    </row>
    <row r="163" spans="1:9">
      <c r="A163" t="str">
        <f>IF('[3]Motor Rutas SKU_Cons'!C167="","",'[3]Motor Rutas SKU_Cons'!C167)</f>
        <v>Occidente</v>
      </c>
      <c r="B163" t="str">
        <f>IF('[3]Motor Rutas SKU_Cons'!D167="","",'[3]Motor Rutas SKU_Cons'!D167)</f>
        <v>Zapopan</v>
      </c>
      <c r="C163" t="str">
        <f>IF('[3]Motor Rutas SKU_Cons'!B167="","",'[3]Motor Rutas SKU_Cons'!B167)</f>
        <v>Planta Zapopan</v>
      </c>
      <c r="D163">
        <f>'[3]Motor Rutas SKU_Cons'!A167</f>
        <v>816366</v>
      </c>
      <c r="E163" s="997" t="str">
        <f>IF('[3]Motor Rutas SKU_Cons'!N167="","s/d","Agua "&amp;TEXT('[3]Motor Rutas SKU_Cons'!N167,"0%")&amp;" · Colas "&amp;TEXT('[3]Motor Rutas SKU_Cons'!O167,"0%")&amp;" · Resto "&amp;TEXT('[3]Motor Rutas SKU_Cons'!P167,"0%"))</f>
        <v>Agua 85% · Colas 8% · Resto 7%</v>
      </c>
      <c r="F163" s="16">
        <f>'[3]Motor Rutas SKU_Cons'!CH167</f>
        <v>0.42142674398592456</v>
      </c>
      <c r="G163" s="16">
        <f>'[3]Motor Rutas SKU_Cons'!CG167</f>
        <v>0.87582001643181928</v>
      </c>
      <c r="H163" s="998">
        <f>'[3]Motor Rutas SKU_Cons'!BX167</f>
        <v>56.7856683844009</v>
      </c>
      <c r="I163" s="998">
        <f>'[3]Motor Rutas SKU_Cons'!BW167</f>
        <v>0</v>
      </c>
    </row>
    <row r="164" spans="1:9">
      <c r="A164" t="str">
        <f>IF('[3]Motor Rutas SKU_Cons'!C168="","",'[3]Motor Rutas SKU_Cons'!C168)</f>
        <v>Occidente</v>
      </c>
      <c r="B164" t="str">
        <f>IF('[3]Motor Rutas SKU_Cons'!D168="","",'[3]Motor Rutas SKU_Cons'!D168)</f>
        <v>Zapopan</v>
      </c>
      <c r="C164" t="str">
        <f>IF('[3]Motor Rutas SKU_Cons'!B168="","",'[3]Motor Rutas SKU_Cons'!B168)</f>
        <v>Planta Zapopan</v>
      </c>
      <c r="D164">
        <f>'[3]Motor Rutas SKU_Cons'!A168</f>
        <v>816357</v>
      </c>
      <c r="E164" s="997" t="str">
        <f>IF('[3]Motor Rutas SKU_Cons'!N168="","s/d","Agua "&amp;TEXT('[3]Motor Rutas SKU_Cons'!N168,"0%")&amp;" · Colas "&amp;TEXT('[3]Motor Rutas SKU_Cons'!O168,"0%")&amp;" · Resto "&amp;TEXT('[3]Motor Rutas SKU_Cons'!P168,"0%"))</f>
        <v>Agua 85% · Colas 8% · Resto 7%</v>
      </c>
      <c r="F164" s="16">
        <f>'[3]Motor Rutas SKU_Cons'!CH168</f>
        <v>0.42911722493891757</v>
      </c>
      <c r="G164" s="16">
        <f>'[3]Motor Rutas SKU_Cons'!CG168</f>
        <v>0.87574897176136368</v>
      </c>
      <c r="H164" s="998">
        <f>'[3]Motor Rutas SKU_Cons'!BX168</f>
        <v>56.030864914704075</v>
      </c>
      <c r="I164" s="998">
        <f>'[3]Motor Rutas SKU_Cons'!BW168</f>
        <v>0</v>
      </c>
    </row>
    <row r="165" spans="1:9">
      <c r="A165" t="str">
        <f>IF('[3]Motor Rutas SKU_Cons'!C169="","",'[3]Motor Rutas SKU_Cons'!C169)</f>
        <v>Occidente</v>
      </c>
      <c r="B165" t="str">
        <f>IF('[3]Motor Rutas SKU_Cons'!D169="","",'[3]Motor Rutas SKU_Cons'!D169)</f>
        <v>Favorita</v>
      </c>
      <c r="C165" t="str">
        <f>IF('[3]Motor Rutas SKU_Cons'!B169="","",'[3]Motor Rutas SKU_Cons'!B169)</f>
        <v>Suc. Santa Maria</v>
      </c>
      <c r="D165">
        <f>'[3]Motor Rutas SKU_Cons'!A169</f>
        <v>809337</v>
      </c>
      <c r="E165" s="997" t="str">
        <f>IF('[3]Motor Rutas SKU_Cons'!N169="","s/d","Agua "&amp;TEXT('[3]Motor Rutas SKU_Cons'!N169,"0%")&amp;" · Colas "&amp;TEXT('[3]Motor Rutas SKU_Cons'!O169,"0%")&amp;" · Resto "&amp;TEXT('[3]Motor Rutas SKU_Cons'!P169,"0%"))</f>
        <v>Agua 85% · Colas 8% · Resto 7%</v>
      </c>
      <c r="F165" s="16">
        <f>'[3]Motor Rutas SKU_Cons'!CH169</f>
        <v>0.19788209380325769</v>
      </c>
      <c r="G165" s="16">
        <f>'[3]Motor Rutas SKU_Cons'!CG169</f>
        <v>0.87137889443181793</v>
      </c>
      <c r="H165" s="998">
        <f>'[3]Motor Rutas SKU_Cons'!BX169</f>
        <v>45.667309032976867</v>
      </c>
      <c r="I165" s="998">
        <f>'[3]Motor Rutas SKU_Cons'!BW169</f>
        <v>0</v>
      </c>
    </row>
    <row r="166" spans="1:9">
      <c r="A166" t="str">
        <f>IF('[3]Motor Rutas SKU_Cons'!C170="","",'[3]Motor Rutas SKU_Cons'!C170)</f>
        <v>Occidente</v>
      </c>
      <c r="B166" t="str">
        <f>IF('[3]Motor Rutas SKU_Cons'!D170="","",'[3]Motor Rutas SKU_Cons'!D170)</f>
        <v>Favorita</v>
      </c>
      <c r="C166" t="str">
        <f>IF('[3]Motor Rutas SKU_Cons'!B170="","",'[3]Motor Rutas SKU_Cons'!B170)</f>
        <v>Cedi Tonalá</v>
      </c>
      <c r="D166">
        <f>'[3]Motor Rutas SKU_Cons'!A170</f>
        <v>810347</v>
      </c>
      <c r="E166" s="997" t="str">
        <f>IF('[3]Motor Rutas SKU_Cons'!N170="","s/d","Agua "&amp;TEXT('[3]Motor Rutas SKU_Cons'!N170,"0%")&amp;" · Colas "&amp;TEXT('[3]Motor Rutas SKU_Cons'!O170,"0%")&amp;" · Resto "&amp;TEXT('[3]Motor Rutas SKU_Cons'!P170,"0%"))</f>
        <v>Agua 85% · Colas 8% · Resto 7%</v>
      </c>
      <c r="F166" s="16">
        <f>'[3]Motor Rutas SKU_Cons'!CH170</f>
        <v>0.39625858905315575</v>
      </c>
      <c r="G166" s="16">
        <f>'[3]Motor Rutas SKU_Cons'!CG170</f>
        <v>0.87035450798863667</v>
      </c>
      <c r="H166" s="998">
        <f>'[3]Motor Rutas SKU_Cons'!BX170</f>
        <v>59.255866384400861</v>
      </c>
      <c r="I166" s="998">
        <f>'[3]Motor Rutas SKU_Cons'!BW170</f>
        <v>0</v>
      </c>
    </row>
    <row r="167" spans="1:9">
      <c r="A167" t="str">
        <f>IF('[3]Motor Rutas SKU_Cons'!C171="","",'[3]Motor Rutas SKU_Cons'!C171)</f>
        <v>Occidente</v>
      </c>
      <c r="B167" t="str">
        <f>IF('[3]Motor Rutas SKU_Cons'!D171="","",'[3]Motor Rutas SKU_Cons'!D171)</f>
        <v>Favorita</v>
      </c>
      <c r="C167" t="str">
        <f>IF('[3]Motor Rutas SKU_Cons'!B171="","",'[3]Motor Rutas SKU_Cons'!B171)</f>
        <v>Suc. San Rafael</v>
      </c>
      <c r="D167">
        <f>'[3]Motor Rutas SKU_Cons'!A171</f>
        <v>803341</v>
      </c>
      <c r="E167" s="997" t="str">
        <f>IF('[3]Motor Rutas SKU_Cons'!N171="","s/d","Agua "&amp;TEXT('[3]Motor Rutas SKU_Cons'!N171,"0%")&amp;" · Colas "&amp;TEXT('[3]Motor Rutas SKU_Cons'!O171,"0%")&amp;" · Resto "&amp;TEXT('[3]Motor Rutas SKU_Cons'!P171,"0%"))</f>
        <v>Agua 85% · Colas 8% · Resto 7%</v>
      </c>
      <c r="F167" s="16">
        <f>'[3]Motor Rutas SKU_Cons'!CH171</f>
        <v>0.40232639259152203</v>
      </c>
      <c r="G167" s="16">
        <f>'[3]Motor Rutas SKU_Cons'!CG171</f>
        <v>0.86945799722727268</v>
      </c>
      <c r="H167" s="998">
        <f>'[3]Motor Rutas SKU_Cons'!BX171</f>
        <v>33.414208367324242</v>
      </c>
      <c r="I167" s="998">
        <f>'[3]Motor Rutas SKU_Cons'!BW171</f>
        <v>0</v>
      </c>
    </row>
    <row r="168" spans="1:9">
      <c r="A168" t="str">
        <f>IF('[3]Motor Rutas SKU_Cons'!C172="","",'[3]Motor Rutas SKU_Cons'!C172)</f>
        <v>Occidente</v>
      </c>
      <c r="B168" t="str">
        <f>IF('[3]Motor Rutas SKU_Cons'!D172="","",'[3]Motor Rutas SKU_Cons'!D172)</f>
        <v>San Luis</v>
      </c>
      <c r="C168" t="str">
        <f>IF('[3]Motor Rutas SKU_Cons'!B172="","",'[3]Motor Rutas SKU_Cons'!B172)</f>
        <v>Planta San Luis</v>
      </c>
      <c r="D168">
        <f>'[3]Motor Rutas SKU_Cons'!A172</f>
        <v>916432</v>
      </c>
      <c r="E168" s="997" t="str">
        <f>IF('[3]Motor Rutas SKU_Cons'!N172="","s/d","Agua "&amp;TEXT('[3]Motor Rutas SKU_Cons'!N172,"0%")&amp;" · Colas "&amp;TEXT('[3]Motor Rutas SKU_Cons'!O172,"0%")&amp;" · Resto "&amp;TEXT('[3]Motor Rutas SKU_Cons'!P172,"0%"))</f>
        <v>Agua 85% · Colas 8% · Resto 7%</v>
      </c>
      <c r="F168" s="16">
        <f>'[3]Motor Rutas SKU_Cons'!CH172</f>
        <v>0.34650942221998654</v>
      </c>
      <c r="G168" s="16">
        <f>'[3]Motor Rutas SKU_Cons'!CG172</f>
        <v>0.86826487029545429</v>
      </c>
      <c r="H168" s="998">
        <f>'[3]Motor Rutas SKU_Cons'!BX172</f>
        <v>64.138635611673706</v>
      </c>
      <c r="I168" s="998">
        <f>'[3]Motor Rutas SKU_Cons'!BW172</f>
        <v>0</v>
      </c>
    </row>
    <row r="169" spans="1:9">
      <c r="A169" t="str">
        <f>IF('[3]Motor Rutas SKU_Cons'!C173="","",'[3]Motor Rutas SKU_Cons'!C173)</f>
        <v>Occidente</v>
      </c>
      <c r="B169" t="str">
        <f>IF('[3]Motor Rutas SKU_Cons'!D173="","",'[3]Motor Rutas SKU_Cons'!D173)</f>
        <v>Zapopan</v>
      </c>
      <c r="C169" t="str">
        <f>IF('[3]Motor Rutas SKU_Cons'!B173="","",'[3]Motor Rutas SKU_Cons'!B173)</f>
        <v>Sucursal Chapala</v>
      </c>
      <c r="D169">
        <f>'[3]Motor Rutas SKU_Cons'!A173</f>
        <v>823301</v>
      </c>
      <c r="E169" s="997" t="str">
        <f>IF('[3]Motor Rutas SKU_Cons'!N173="","s/d","Agua "&amp;TEXT('[3]Motor Rutas SKU_Cons'!N173,"0%")&amp;" · Colas "&amp;TEXT('[3]Motor Rutas SKU_Cons'!O173,"0%")&amp;" · Resto "&amp;TEXT('[3]Motor Rutas SKU_Cons'!P173,"0%"))</f>
        <v>Agua 85% · Colas 8% · Resto 7%</v>
      </c>
      <c r="F169" s="16">
        <f>'[3]Motor Rutas SKU_Cons'!CH173</f>
        <v>5.3790443756266855E-2</v>
      </c>
      <c r="G169" s="16">
        <f>'[3]Motor Rutas SKU_Cons'!CG173</f>
        <v>0.86822754136363645</v>
      </c>
      <c r="H169" s="998">
        <f>'[3]Motor Rutas SKU_Cons'!BX173</f>
        <v>27.624540763816213</v>
      </c>
      <c r="I169" s="998">
        <f>'[3]Motor Rutas SKU_Cons'!BW173</f>
        <v>0</v>
      </c>
    </row>
    <row r="170" spans="1:9">
      <c r="A170" t="str">
        <f>IF('[3]Motor Rutas SKU_Cons'!C174="","",'[3]Motor Rutas SKU_Cons'!C174)</f>
        <v>Occidente</v>
      </c>
      <c r="B170" t="str">
        <f>IF('[3]Motor Rutas SKU_Cons'!D174="","",'[3]Motor Rutas SKU_Cons'!D174)</f>
        <v>Zapopan</v>
      </c>
      <c r="C170" t="str">
        <f>IF('[3]Motor Rutas SKU_Cons'!B174="","",'[3]Motor Rutas SKU_Cons'!B174)</f>
        <v>Suc. Tala</v>
      </c>
      <c r="D170">
        <f>'[3]Motor Rutas SKU_Cons'!A174</f>
        <v>825301</v>
      </c>
      <c r="E170" s="997" t="str">
        <f>IF('[3]Motor Rutas SKU_Cons'!N174="","s/d","Agua "&amp;TEXT('[3]Motor Rutas SKU_Cons'!N174,"0%")&amp;" · Colas "&amp;TEXT('[3]Motor Rutas SKU_Cons'!O174,"0%")&amp;" · Resto "&amp;TEXT('[3]Motor Rutas SKU_Cons'!P174,"0%"))</f>
        <v>Agua 85% · Colas 8% · Resto 7%</v>
      </c>
      <c r="F170" s="16">
        <f>'[3]Motor Rutas SKU_Cons'!CH174</f>
        <v>0.16137897404354487</v>
      </c>
      <c r="G170" s="16">
        <f>'[3]Motor Rutas SKU_Cons'!CG174</f>
        <v>0.86688096647727231</v>
      </c>
      <c r="H170" s="998">
        <f>'[3]Motor Rutas SKU_Cons'!BX174</f>
        <v>36.167659433144394</v>
      </c>
      <c r="I170" s="998">
        <f>'[3]Motor Rutas SKU_Cons'!BW174</f>
        <v>0</v>
      </c>
    </row>
    <row r="171" spans="1:9">
      <c r="A171" t="str">
        <f>IF('[3]Motor Rutas SKU_Cons'!C175="","",'[3]Motor Rutas SKU_Cons'!C175)</f>
        <v>Occidente</v>
      </c>
      <c r="B171" t="str">
        <f>IF('[3]Motor Rutas SKU_Cons'!D175="","",'[3]Motor Rutas SKU_Cons'!D175)</f>
        <v>Zapopan</v>
      </c>
      <c r="C171" t="str">
        <f>IF('[3]Motor Rutas SKU_Cons'!B175="","",'[3]Motor Rutas SKU_Cons'!B175)</f>
        <v>Planta Zapopan</v>
      </c>
      <c r="D171">
        <f>'[3]Motor Rutas SKU_Cons'!A175</f>
        <v>816375</v>
      </c>
      <c r="E171" s="997" t="str">
        <f>IF('[3]Motor Rutas SKU_Cons'!N175="","s/d","Agua "&amp;TEXT('[3]Motor Rutas SKU_Cons'!N175,"0%")&amp;" · Colas "&amp;TEXT('[3]Motor Rutas SKU_Cons'!O175,"0%")&amp;" · Resto "&amp;TEXT('[3]Motor Rutas SKU_Cons'!P175,"0%"))</f>
        <v>Agua 85% · Colas 8% · Resto 7%</v>
      </c>
      <c r="F171" s="16">
        <f>'[3]Motor Rutas SKU_Cons'!CH175</f>
        <v>0.33707508230818911</v>
      </c>
      <c r="G171" s="16">
        <f>'[3]Motor Rutas SKU_Cons'!CG175</f>
        <v>0.86553957835227202</v>
      </c>
      <c r="H171" s="998">
        <f>'[3]Motor Rutas SKU_Cons'!BX175</f>
        <v>65.064594929855559</v>
      </c>
      <c r="I171" s="998">
        <f>'[3]Motor Rutas SKU_Cons'!BW175</f>
        <v>0</v>
      </c>
    </row>
    <row r="172" spans="1:9">
      <c r="A172" t="str">
        <f>IF('[3]Motor Rutas SKU_Cons'!C176="","",'[3]Motor Rutas SKU_Cons'!C176)</f>
        <v>Occidente</v>
      </c>
      <c r="B172" t="str">
        <f>IF('[3]Motor Rutas SKU_Cons'!D176="","",'[3]Motor Rutas SKU_Cons'!D176)</f>
        <v>Favorita</v>
      </c>
      <c r="C172" t="str">
        <f>IF('[3]Motor Rutas SKU_Cons'!B176="","",'[3]Motor Rutas SKU_Cons'!B176)</f>
        <v>Suc. Toluquilla</v>
      </c>
      <c r="D172">
        <f>'[3]Motor Rutas SKU_Cons'!A176</f>
        <v>804425</v>
      </c>
      <c r="E172" s="997" t="str">
        <f>IF('[3]Motor Rutas SKU_Cons'!N176="","s/d","Agua "&amp;TEXT('[3]Motor Rutas SKU_Cons'!N176,"0%")&amp;" · Colas "&amp;TEXT('[3]Motor Rutas SKU_Cons'!O176,"0%")&amp;" · Resto "&amp;TEXT('[3]Motor Rutas SKU_Cons'!P176,"0%"))</f>
        <v>Agua 85% · Colas 8% · Resto 7%</v>
      </c>
      <c r="F172" s="16">
        <f>'[3]Motor Rutas SKU_Cons'!CH176</f>
        <v>0.28396607772164756</v>
      </c>
      <c r="G172" s="16">
        <f>'[3]Motor Rutas SKU_Cons'!CG176</f>
        <v>0.86519249059091041</v>
      </c>
      <c r="H172" s="998">
        <f>'[3]Motor Rutas SKU_Cons'!BX176</f>
        <v>70.277124702582569</v>
      </c>
      <c r="I172" s="998">
        <f>'[3]Motor Rutas SKU_Cons'!BW176</f>
        <v>0</v>
      </c>
    </row>
    <row r="173" spans="1:9">
      <c r="A173" t="str">
        <f>IF('[3]Motor Rutas SKU_Cons'!C177="","",'[3]Motor Rutas SKU_Cons'!C177)</f>
        <v>Occidente</v>
      </c>
      <c r="B173" t="str">
        <f>IF('[3]Motor Rutas SKU_Cons'!D177="","",'[3]Motor Rutas SKU_Cons'!D177)</f>
        <v>Zapopan</v>
      </c>
      <c r="C173" t="str">
        <f>IF('[3]Motor Rutas SKU_Cons'!B177="","",'[3]Motor Rutas SKU_Cons'!B177)</f>
        <v>Planta Zapopan</v>
      </c>
      <c r="D173">
        <f>'[3]Motor Rutas SKU_Cons'!A177</f>
        <v>816361</v>
      </c>
      <c r="E173" s="997" t="str">
        <f>IF('[3]Motor Rutas SKU_Cons'!N177="","s/d","Agua "&amp;TEXT('[3]Motor Rutas SKU_Cons'!N177,"0%")&amp;" · Colas "&amp;TEXT('[3]Motor Rutas SKU_Cons'!O177,"0%")&amp;" · Resto "&amp;TEXT('[3]Motor Rutas SKU_Cons'!P177,"0%"))</f>
        <v>Agua 85% · Colas 8% · Resto 7%</v>
      </c>
      <c r="F173" s="16">
        <f>'[3]Motor Rutas SKU_Cons'!CH177</f>
        <v>0.39860107434888514</v>
      </c>
      <c r="G173" s="16">
        <f>'[3]Motor Rutas SKU_Cons'!CG177</f>
        <v>0.86353494340908998</v>
      </c>
      <c r="H173" s="998">
        <f>'[3]Motor Rutas SKU_Cons'!BX177</f>
        <v>59.025956702582818</v>
      </c>
      <c r="I173" s="998">
        <f>'[3]Motor Rutas SKU_Cons'!BW177</f>
        <v>0</v>
      </c>
    </row>
    <row r="174" spans="1:9">
      <c r="A174" t="str">
        <f>IF('[3]Motor Rutas SKU_Cons'!C178="","",'[3]Motor Rutas SKU_Cons'!C178)</f>
        <v>Occidente</v>
      </c>
      <c r="B174" t="str">
        <f>IF('[3]Motor Rutas SKU_Cons'!D178="","",'[3]Motor Rutas SKU_Cons'!D178)</f>
        <v>Zapopan</v>
      </c>
      <c r="C174" t="str">
        <f>IF('[3]Motor Rutas SKU_Cons'!B178="","",'[3]Motor Rutas SKU_Cons'!B178)</f>
        <v>Suc. Huentitán</v>
      </c>
      <c r="D174">
        <f>'[3]Motor Rutas SKU_Cons'!A178</f>
        <v>819413</v>
      </c>
      <c r="E174" s="997" t="str">
        <f>IF('[3]Motor Rutas SKU_Cons'!N178="","s/d","Agua "&amp;TEXT('[3]Motor Rutas SKU_Cons'!N178,"0%")&amp;" · Colas "&amp;TEXT('[3]Motor Rutas SKU_Cons'!O178,"0%")&amp;" · Resto "&amp;TEXT('[3]Motor Rutas SKU_Cons'!P178,"0%"))</f>
        <v>Agua 85% · Colas 8% · Resto 7%</v>
      </c>
      <c r="F174" s="16">
        <f>'[3]Motor Rutas SKU_Cons'!CH178</f>
        <v>0.15348993732863758</v>
      </c>
      <c r="G174" s="16">
        <f>'[3]Motor Rutas SKU_Cons'!CG178</f>
        <v>0.86227702670454598</v>
      </c>
      <c r="H174" s="998">
        <f>'[3]Motor Rutas SKU_Cons'!BX178</f>
        <v>49.344421624777183</v>
      </c>
      <c r="I174" s="998">
        <f>'[3]Motor Rutas SKU_Cons'!BW178</f>
        <v>0</v>
      </c>
    </row>
    <row r="175" spans="1:9">
      <c r="A175" t="str">
        <f>IF('[3]Motor Rutas SKU_Cons'!C179="","",'[3]Motor Rutas SKU_Cons'!C179)</f>
        <v>Occidente</v>
      </c>
      <c r="B175" t="str">
        <f>IF('[3]Motor Rutas SKU_Cons'!D179="","",'[3]Motor Rutas SKU_Cons'!D179)</f>
        <v>Zapopan</v>
      </c>
      <c r="C175" t="str">
        <f>IF('[3]Motor Rutas SKU_Cons'!B179="","",'[3]Motor Rutas SKU_Cons'!B179)</f>
        <v>Planta Zapopan</v>
      </c>
      <c r="D175">
        <f>'[3]Motor Rutas SKU_Cons'!A179</f>
        <v>816354</v>
      </c>
      <c r="E175" s="997" t="str">
        <f>IF('[3]Motor Rutas SKU_Cons'!N179="","s/d","Agua "&amp;TEXT('[3]Motor Rutas SKU_Cons'!N179,"0%")&amp;" · Colas "&amp;TEXT('[3]Motor Rutas SKU_Cons'!O179,"0%")&amp;" · Resto "&amp;TEXT('[3]Motor Rutas SKU_Cons'!P179,"0%"))</f>
        <v>Agua 85% · Colas 8% · Resto 7%</v>
      </c>
      <c r="F175" s="16">
        <f>'[3]Motor Rutas SKU_Cons'!CH179</f>
        <v>0.21908300876185424</v>
      </c>
      <c r="G175" s="16">
        <f>'[3]Motor Rutas SKU_Cons'!CG179</f>
        <v>0.86204964180681898</v>
      </c>
      <c r="H175" s="998">
        <f>'[3]Motor Rutas SKU_Cons'!BX179</f>
        <v>62.203207979799444</v>
      </c>
      <c r="I175" s="998">
        <f>'[3]Motor Rutas SKU_Cons'!BW179</f>
        <v>0</v>
      </c>
    </row>
    <row r="176" spans="1:9">
      <c r="A176" t="str">
        <f>IF('[3]Motor Rutas SKU_Cons'!C180="","",'[3]Motor Rutas SKU_Cons'!C180)</f>
        <v>Noreste</v>
      </c>
      <c r="B176" t="str">
        <f>IF('[3]Motor Rutas SKU_Cons'!D180="","",'[3]Motor Rutas SKU_Cons'!D180)</f>
        <v>Monterrey</v>
      </c>
      <c r="C176" t="str">
        <f>IF('[3]Motor Rutas SKU_Cons'!B180="","",'[3]Motor Rutas SKU_Cons'!B180)</f>
        <v>Sucursal Universidad</v>
      </c>
      <c r="D176">
        <f>'[3]Motor Rutas SKU_Cons'!A180</f>
        <v>703305</v>
      </c>
      <c r="E176" s="997" t="str">
        <f>IF('[3]Motor Rutas SKU_Cons'!N180="","s/d","Agua "&amp;TEXT('[3]Motor Rutas SKU_Cons'!N180,"0%")&amp;" · Colas "&amp;TEXT('[3]Motor Rutas SKU_Cons'!O180,"0%")&amp;" · Resto "&amp;TEXT('[3]Motor Rutas SKU_Cons'!P180,"0%"))</f>
        <v>Agua 80% · Colas 12% · Resto 8%</v>
      </c>
      <c r="F176" s="16">
        <f>'[3]Motor Rutas SKU_Cons'!CH180</f>
        <v>1.2795817950239312</v>
      </c>
      <c r="G176" s="16">
        <f>'[3]Motor Rutas SKU_Cons'!CG180</f>
        <v>0.86093828099999858</v>
      </c>
      <c r="H176" s="998">
        <f>'[3]Motor Rutas SKU_Cons'!BX180</f>
        <v>0</v>
      </c>
      <c r="I176" s="998">
        <f>'[3]Motor Rutas SKU_Cons'!BW180</f>
        <v>0</v>
      </c>
    </row>
    <row r="177" spans="1:9">
      <c r="A177" t="str">
        <f>IF('[3]Motor Rutas SKU_Cons'!C181="","",'[3]Motor Rutas SKU_Cons'!C181)</f>
        <v>Occidente</v>
      </c>
      <c r="B177" t="str">
        <f>IF('[3]Motor Rutas SKU_Cons'!D181="","",'[3]Motor Rutas SKU_Cons'!D181)</f>
        <v>Zapopan</v>
      </c>
      <c r="C177" t="str">
        <f>IF('[3]Motor Rutas SKU_Cons'!B181="","",'[3]Motor Rutas SKU_Cons'!B181)</f>
        <v>Suc. Huentitán</v>
      </c>
      <c r="D177">
        <f>'[3]Motor Rutas SKU_Cons'!A181</f>
        <v>819350</v>
      </c>
      <c r="E177" s="997" t="str">
        <f>IF('[3]Motor Rutas SKU_Cons'!N181="","s/d","Agua "&amp;TEXT('[3]Motor Rutas SKU_Cons'!N181,"0%")&amp;" · Colas "&amp;TEXT('[3]Motor Rutas SKU_Cons'!O181,"0%")&amp;" · Resto "&amp;TEXT('[3]Motor Rutas SKU_Cons'!P181,"0%"))</f>
        <v>Agua 85% · Colas 8% · Resto 7%</v>
      </c>
      <c r="F177" s="16">
        <f>'[3]Motor Rutas SKU_Cons'!CH181</f>
        <v>0.22221452888568449</v>
      </c>
      <c r="G177" s="16">
        <f>'[3]Motor Rutas SKU_Cons'!CG181</f>
        <v>0.85646420999999995</v>
      </c>
      <c r="H177" s="998">
        <f>'[3]Motor Rutas SKU_Cons'!BX181</f>
        <v>42.165059662210382</v>
      </c>
      <c r="I177" s="998">
        <f>'[3]Motor Rutas SKU_Cons'!BW181</f>
        <v>0</v>
      </c>
    </row>
    <row r="178" spans="1:9">
      <c r="A178" t="str">
        <f>IF('[3]Motor Rutas SKU_Cons'!C182="","",'[3]Motor Rutas SKU_Cons'!C182)</f>
        <v>Occidente</v>
      </c>
      <c r="B178" t="str">
        <f>IF('[3]Motor Rutas SKU_Cons'!D182="","",'[3]Motor Rutas SKU_Cons'!D182)</f>
        <v>Zapopan</v>
      </c>
      <c r="C178" t="str">
        <f>IF('[3]Motor Rutas SKU_Cons'!B182="","",'[3]Motor Rutas SKU_Cons'!B182)</f>
        <v>Suc. Belenes</v>
      </c>
      <c r="D178">
        <f>'[3]Motor Rutas SKU_Cons'!A182</f>
        <v>820372</v>
      </c>
      <c r="E178" s="997" t="str">
        <f>IF('[3]Motor Rutas SKU_Cons'!N182="","s/d","Agua "&amp;TEXT('[3]Motor Rutas SKU_Cons'!N182,"0%")&amp;" · Colas "&amp;TEXT('[3]Motor Rutas SKU_Cons'!O182,"0%")&amp;" · Resto "&amp;TEXT('[3]Motor Rutas SKU_Cons'!P182,"0%"))</f>
        <v>Agua 85% · Colas 8% · Resto 7%</v>
      </c>
      <c r="F178" s="16">
        <f>'[3]Motor Rutas SKU_Cons'!CH182</f>
        <v>0.34390402998082736</v>
      </c>
      <c r="G178" s="16">
        <f>'[3]Motor Rutas SKU_Cons'!CG182</f>
        <v>0.85511815056818208</v>
      </c>
      <c r="H178" s="998">
        <f>'[3]Motor Rutas SKU_Cons'!BX182</f>
        <v>64.394349020764622</v>
      </c>
      <c r="I178" s="998">
        <f>'[3]Motor Rutas SKU_Cons'!BW182</f>
        <v>0</v>
      </c>
    </row>
    <row r="179" spans="1:9">
      <c r="A179" t="str">
        <f>IF('[3]Motor Rutas SKU_Cons'!C183="","",'[3]Motor Rutas SKU_Cons'!C183)</f>
        <v>Occidente</v>
      </c>
      <c r="B179" t="str">
        <f>IF('[3]Motor Rutas SKU_Cons'!D183="","",'[3]Motor Rutas SKU_Cons'!D183)</f>
        <v>Zapopan</v>
      </c>
      <c r="C179" t="str">
        <f>IF('[3]Motor Rutas SKU_Cons'!B183="","",'[3]Motor Rutas SKU_Cons'!B183)</f>
        <v>Suc. Huentitán</v>
      </c>
      <c r="D179">
        <f>'[3]Motor Rutas SKU_Cons'!A183</f>
        <v>819352</v>
      </c>
      <c r="E179" s="997" t="str">
        <f>IF('[3]Motor Rutas SKU_Cons'!N183="","s/d","Agua "&amp;TEXT('[3]Motor Rutas SKU_Cons'!N183,"0%")&amp;" · Colas "&amp;TEXT('[3]Motor Rutas SKU_Cons'!O183,"0%")&amp;" · Resto "&amp;TEXT('[3]Motor Rutas SKU_Cons'!P183,"0%"))</f>
        <v>Agua 85% · Colas 8% · Resto 7%</v>
      </c>
      <c r="F179" s="16">
        <f>'[3]Motor Rutas SKU_Cons'!CH183</f>
        <v>0.48829863682137148</v>
      </c>
      <c r="G179" s="16">
        <f>'[3]Motor Rutas SKU_Cons'!CG183</f>
        <v>0.85438716944318183</v>
      </c>
      <c r="H179" s="998">
        <f>'[3]Motor Rutas SKU_Cons'!BX183</f>
        <v>50.222341975310016</v>
      </c>
      <c r="I179" s="998">
        <f>'[3]Motor Rutas SKU_Cons'!BW183</f>
        <v>0</v>
      </c>
    </row>
    <row r="180" spans="1:9">
      <c r="A180" t="str">
        <f>IF('[3]Motor Rutas SKU_Cons'!C184="","",'[3]Motor Rutas SKU_Cons'!C184)</f>
        <v>Occidente</v>
      </c>
      <c r="B180" t="str">
        <f>IF('[3]Motor Rutas SKU_Cons'!D184="","",'[3]Motor Rutas SKU_Cons'!D184)</f>
        <v>Zapopan</v>
      </c>
      <c r="C180" t="str">
        <f>IF('[3]Motor Rutas SKU_Cons'!B184="","",'[3]Motor Rutas SKU_Cons'!B184)</f>
        <v>Suc. Huentitán</v>
      </c>
      <c r="D180">
        <f>'[3]Motor Rutas SKU_Cons'!A184</f>
        <v>819406</v>
      </c>
      <c r="E180" s="997" t="str">
        <f>IF('[3]Motor Rutas SKU_Cons'!N184="","s/d","Agua "&amp;TEXT('[3]Motor Rutas SKU_Cons'!N184,"0%")&amp;" · Colas "&amp;TEXT('[3]Motor Rutas SKU_Cons'!O184,"0%")&amp;" · Resto "&amp;TEXT('[3]Motor Rutas SKU_Cons'!P184,"0%"))</f>
        <v>Agua 85% · Colas 8% · Resto 7%</v>
      </c>
      <c r="F180" s="16">
        <f>'[3]Motor Rutas SKU_Cons'!CH184</f>
        <v>0.17011527026005965</v>
      </c>
      <c r="G180" s="16">
        <f>'[3]Motor Rutas SKU_Cons'!CG184</f>
        <v>0.85251975494318166</v>
      </c>
      <c r="H180" s="998">
        <f>'[3]Motor Rutas SKU_Cons'!BX184</f>
        <v>46.983847966131918</v>
      </c>
      <c r="I180" s="998">
        <f>'[3]Motor Rutas SKU_Cons'!BW184</f>
        <v>0</v>
      </c>
    </row>
    <row r="181" spans="1:9">
      <c r="A181" t="str">
        <f>IF('[3]Motor Rutas SKU_Cons'!C185="","",'[3]Motor Rutas SKU_Cons'!C185)</f>
        <v>Occidente</v>
      </c>
      <c r="B181" t="str">
        <f>IF('[3]Motor Rutas SKU_Cons'!D185="","",'[3]Motor Rutas SKU_Cons'!D185)</f>
        <v>Favorita</v>
      </c>
      <c r="C181" t="str">
        <f>IF('[3]Motor Rutas SKU_Cons'!B185="","",'[3]Motor Rutas SKU_Cons'!B185)</f>
        <v>Suc. Santa Maria</v>
      </c>
      <c r="D181">
        <f>'[3]Motor Rutas SKU_Cons'!A185</f>
        <v>809326</v>
      </c>
      <c r="E181" s="997" t="str">
        <f>IF('[3]Motor Rutas SKU_Cons'!N185="","s/d","Agua "&amp;TEXT('[3]Motor Rutas SKU_Cons'!N185,"0%")&amp;" · Colas "&amp;TEXT('[3]Motor Rutas SKU_Cons'!O185,"0%")&amp;" · Resto "&amp;TEXT('[3]Motor Rutas SKU_Cons'!P185,"0%"))</f>
        <v>Agua 85% · Colas 8% · Resto 7%</v>
      </c>
      <c r="F181" s="16">
        <f>'[3]Motor Rutas SKU_Cons'!CH185</f>
        <v>0.27216997854400665</v>
      </c>
      <c r="G181" s="16">
        <f>'[3]Motor Rutas SKU_Cons'!CG185</f>
        <v>0.84847743797727282</v>
      </c>
      <c r="H181" s="998">
        <f>'[3]Motor Rutas SKU_Cons'!BX185</f>
        <v>71.434885399552499</v>
      </c>
      <c r="I181" s="998">
        <f>'[3]Motor Rutas SKU_Cons'!BW185</f>
        <v>0</v>
      </c>
    </row>
    <row r="182" spans="1:9">
      <c r="A182" t="str">
        <f>IF('[3]Motor Rutas SKU_Cons'!C186="","",'[3]Motor Rutas SKU_Cons'!C186)</f>
        <v>Occidente</v>
      </c>
      <c r="B182" t="str">
        <f>IF('[3]Motor Rutas SKU_Cons'!D186="","",'[3]Motor Rutas SKU_Cons'!D186)</f>
        <v>Zapopan</v>
      </c>
      <c r="C182" t="str">
        <f>IF('[3]Motor Rutas SKU_Cons'!B186="","",'[3]Motor Rutas SKU_Cons'!B186)</f>
        <v>Planta Zapopan</v>
      </c>
      <c r="D182">
        <f>'[3]Motor Rutas SKU_Cons'!A186</f>
        <v>816358</v>
      </c>
      <c r="E182" s="997" t="str">
        <f>IF('[3]Motor Rutas SKU_Cons'!N186="","s/d","Agua "&amp;TEXT('[3]Motor Rutas SKU_Cons'!N186,"0%")&amp;" · Colas "&amp;TEXT('[3]Motor Rutas SKU_Cons'!O186,"0%")&amp;" · Resto "&amp;TEXT('[3]Motor Rutas SKU_Cons'!P186,"0%"))</f>
        <v>Agua 85% · Colas 8% · Resto 7%</v>
      </c>
      <c r="F182" s="16">
        <f>'[3]Motor Rutas SKU_Cons'!CH186</f>
        <v>0.30106799310963867</v>
      </c>
      <c r="G182" s="16">
        <f>'[3]Motor Rutas SKU_Cons'!CG186</f>
        <v>0.84628005954545482</v>
      </c>
      <c r="H182" s="998">
        <f>'[3]Motor Rutas SKU_Cons'!BX186</f>
        <v>67.2756752909889</v>
      </c>
      <c r="I182" s="998">
        <f>'[3]Motor Rutas SKU_Cons'!BW186</f>
        <v>0</v>
      </c>
    </row>
    <row r="183" spans="1:9">
      <c r="A183" t="str">
        <f>IF('[3]Motor Rutas SKU_Cons'!C187="","",'[3]Motor Rutas SKU_Cons'!C187)</f>
        <v>Occidente</v>
      </c>
      <c r="B183" t="str">
        <f>IF('[3]Motor Rutas SKU_Cons'!D187="","",'[3]Motor Rutas SKU_Cons'!D187)</f>
        <v>Zapopan</v>
      </c>
      <c r="C183" t="str">
        <f>IF('[3]Motor Rutas SKU_Cons'!B187="","",'[3]Motor Rutas SKU_Cons'!B187)</f>
        <v>Suc. Belenes</v>
      </c>
      <c r="D183">
        <f>'[3]Motor Rutas SKU_Cons'!A187</f>
        <v>820347</v>
      </c>
      <c r="E183" s="997" t="str">
        <f>IF('[3]Motor Rutas SKU_Cons'!N187="","s/d","Agua "&amp;TEXT('[3]Motor Rutas SKU_Cons'!N187,"0%")&amp;" · Colas "&amp;TEXT('[3]Motor Rutas SKU_Cons'!O187,"0%")&amp;" · Resto "&amp;TEXT('[3]Motor Rutas SKU_Cons'!P187,"0%"))</f>
        <v>Agua 85% · Colas 8% · Resto 7%</v>
      </c>
      <c r="F183" s="16">
        <f>'[3]Motor Rutas SKU_Cons'!CH187</f>
        <v>0.42684821281629304</v>
      </c>
      <c r="G183" s="16">
        <f>'[3]Motor Rutas SKU_Cons'!CG187</f>
        <v>0.84558706527272709</v>
      </c>
      <c r="H183" s="998">
        <f>'[3]Motor Rutas SKU_Cons'!BX187</f>
        <v>56.253563369249321</v>
      </c>
      <c r="I183" s="998">
        <f>'[3]Motor Rutas SKU_Cons'!BW187</f>
        <v>0</v>
      </c>
    </row>
    <row r="184" spans="1:9">
      <c r="A184" t="str">
        <f>IF('[3]Motor Rutas SKU_Cons'!C188="","",'[3]Motor Rutas SKU_Cons'!C188)</f>
        <v>Occidente</v>
      </c>
      <c r="B184" t="str">
        <f>IF('[3]Motor Rutas SKU_Cons'!D188="","",'[3]Motor Rutas SKU_Cons'!D188)</f>
        <v>Favorita</v>
      </c>
      <c r="C184" t="str">
        <f>IF('[3]Motor Rutas SKU_Cons'!B188="","",'[3]Motor Rutas SKU_Cons'!B188)</f>
        <v>Cedi Tonalá</v>
      </c>
      <c r="D184">
        <f>'[3]Motor Rutas SKU_Cons'!A188</f>
        <v>810327</v>
      </c>
      <c r="E184" s="997" t="str">
        <f>IF('[3]Motor Rutas SKU_Cons'!N188="","s/d","Agua "&amp;TEXT('[3]Motor Rutas SKU_Cons'!N188,"0%")&amp;" · Colas "&amp;TEXT('[3]Motor Rutas SKU_Cons'!O188,"0%")&amp;" · Resto "&amp;TEXT('[3]Motor Rutas SKU_Cons'!P188,"0%"))</f>
        <v>Agua 85% · Colas 8% · Resto 7%</v>
      </c>
      <c r="F184" s="16">
        <f>'[3]Motor Rutas SKU_Cons'!CH188</f>
        <v>0.46403668807344267</v>
      </c>
      <c r="G184" s="16">
        <f>'[3]Motor Rutas SKU_Cons'!CG188</f>
        <v>0.84452538998863647</v>
      </c>
      <c r="H184" s="998">
        <f>'[3]Motor Rutas SKU_Cons'!BX188</f>
        <v>52.603597869249398</v>
      </c>
      <c r="I184" s="998">
        <f>'[3]Motor Rutas SKU_Cons'!BW188</f>
        <v>0</v>
      </c>
    </row>
    <row r="185" spans="1:9">
      <c r="A185" t="str">
        <f>IF('[3]Motor Rutas SKU_Cons'!C189="","",'[3]Motor Rutas SKU_Cons'!C189)</f>
        <v>Occidente</v>
      </c>
      <c r="B185" t="str">
        <f>IF('[3]Motor Rutas SKU_Cons'!D189="","",'[3]Motor Rutas SKU_Cons'!D189)</f>
        <v>Favorita</v>
      </c>
      <c r="C185" t="str">
        <f>IF('[3]Motor Rutas SKU_Cons'!B189="","",'[3]Motor Rutas SKU_Cons'!B189)</f>
        <v>Cedi Tonalá</v>
      </c>
      <c r="D185">
        <f>'[3]Motor Rutas SKU_Cons'!A189</f>
        <v>810326</v>
      </c>
      <c r="E185" s="997" t="str">
        <f>IF('[3]Motor Rutas SKU_Cons'!N189="","s/d","Agua "&amp;TEXT('[3]Motor Rutas SKU_Cons'!N189,"0%")&amp;" · Colas "&amp;TEXT('[3]Motor Rutas SKU_Cons'!O189,"0%")&amp;" · Resto "&amp;TEXT('[3]Motor Rutas SKU_Cons'!P189,"0%"))</f>
        <v>Agua 85% · Colas 8% · Resto 7%</v>
      </c>
      <c r="F185" s="16">
        <f>'[3]Motor Rutas SKU_Cons'!CH189</f>
        <v>0.34741656206204807</v>
      </c>
      <c r="G185" s="16">
        <f>'[3]Motor Rutas SKU_Cons'!CG189</f>
        <v>0.83871744576136398</v>
      </c>
      <c r="H185" s="998">
        <f>'[3]Motor Rutas SKU_Cons'!BX189</f>
        <v>64.049601869249344</v>
      </c>
      <c r="I185" s="998">
        <f>'[3]Motor Rutas SKU_Cons'!BW189</f>
        <v>0</v>
      </c>
    </row>
    <row r="186" spans="1:9">
      <c r="A186" t="str">
        <f>IF('[3]Motor Rutas SKU_Cons'!C190="","",'[3]Motor Rutas SKU_Cons'!C190)</f>
        <v>Occidente</v>
      </c>
      <c r="B186" t="str">
        <f>IF('[3]Motor Rutas SKU_Cons'!D190="","",'[3]Motor Rutas SKU_Cons'!D190)</f>
        <v>Zapopan</v>
      </c>
      <c r="C186" t="str">
        <f>IF('[3]Motor Rutas SKU_Cons'!B190="","",'[3]Motor Rutas SKU_Cons'!B190)</f>
        <v>Planta Zapopan</v>
      </c>
      <c r="D186">
        <f>'[3]Motor Rutas SKU_Cons'!A190</f>
        <v>816333</v>
      </c>
      <c r="E186" s="997" t="str">
        <f>IF('[3]Motor Rutas SKU_Cons'!N190="","s/d","Agua "&amp;TEXT('[3]Motor Rutas SKU_Cons'!N190,"0%")&amp;" · Colas "&amp;TEXT('[3]Motor Rutas SKU_Cons'!O190,"0%")&amp;" · Resto "&amp;TEXT('[3]Motor Rutas SKU_Cons'!P190,"0%"))</f>
        <v>Agua 85% · Colas 8% · Resto 7%</v>
      </c>
      <c r="F186" s="16">
        <f>'[3]Motor Rutas SKU_Cons'!CH190</f>
        <v>0.37696699446444154</v>
      </c>
      <c r="G186" s="16">
        <f>'[3]Motor Rutas SKU_Cons'!CG190</f>
        <v>0.8357256444886364</v>
      </c>
      <c r="H186" s="998">
        <f>'[3]Motor Rutas SKU_Cons'!BX190</f>
        <v>61.149293157128113</v>
      </c>
      <c r="I186" s="998">
        <f>'[3]Motor Rutas SKU_Cons'!BW190</f>
        <v>0</v>
      </c>
    </row>
    <row r="187" spans="1:9">
      <c r="A187" t="str">
        <f>IF('[3]Motor Rutas SKU_Cons'!C191="","",'[3]Motor Rutas SKU_Cons'!C191)</f>
        <v>Occidente</v>
      </c>
      <c r="B187" t="str">
        <f>IF('[3]Motor Rutas SKU_Cons'!D191="","",'[3]Motor Rutas SKU_Cons'!D191)</f>
        <v>Favorita</v>
      </c>
      <c r="C187" t="str">
        <f>IF('[3]Motor Rutas SKU_Cons'!B191="","",'[3]Motor Rutas SKU_Cons'!B191)</f>
        <v>Suc. Santa Maria</v>
      </c>
      <c r="D187">
        <f>'[3]Motor Rutas SKU_Cons'!A191</f>
        <v>809373</v>
      </c>
      <c r="E187" s="997" t="str">
        <f>IF('[3]Motor Rutas SKU_Cons'!N191="","s/d","Agua "&amp;TEXT('[3]Motor Rutas SKU_Cons'!N191,"0%")&amp;" · Colas "&amp;TEXT('[3]Motor Rutas SKU_Cons'!O191,"0%")&amp;" · Resto "&amp;TEXT('[3]Motor Rutas SKU_Cons'!P191,"0%"))</f>
        <v>Agua 85% · Colas 8% · Resto 7%</v>
      </c>
      <c r="F187" s="16">
        <f>'[3]Motor Rutas SKU_Cons'!CH191</f>
        <v>0.18911932050057939</v>
      </c>
      <c r="G187" s="16">
        <f>'[3]Motor Rutas SKU_Cons'!CG191</f>
        <v>0.8357094441818177</v>
      </c>
      <c r="H187" s="998">
        <f>'[3]Motor Rutas SKU_Cons'!BX191</f>
        <v>79.586121354097912</v>
      </c>
      <c r="I187" s="998">
        <f>'[3]Motor Rutas SKU_Cons'!BW191</f>
        <v>0</v>
      </c>
    </row>
    <row r="188" spans="1:9">
      <c r="A188" t="str">
        <f>IF('[3]Motor Rutas SKU_Cons'!C192="","",'[3]Motor Rutas SKU_Cons'!C192)</f>
        <v>Occidente</v>
      </c>
      <c r="B188" t="str">
        <f>IF('[3]Motor Rutas SKU_Cons'!D192="","",'[3]Motor Rutas SKU_Cons'!D192)</f>
        <v>Zapopan</v>
      </c>
      <c r="C188" t="str">
        <f>IF('[3]Motor Rutas SKU_Cons'!B192="","",'[3]Motor Rutas SKU_Cons'!B192)</f>
        <v>Planta Zapopan</v>
      </c>
      <c r="D188">
        <f>'[3]Motor Rutas SKU_Cons'!A192</f>
        <v>816348</v>
      </c>
      <c r="E188" s="997" t="str">
        <f>IF('[3]Motor Rutas SKU_Cons'!N192="","s/d","Agua "&amp;TEXT('[3]Motor Rutas SKU_Cons'!N192,"0%")&amp;" · Colas "&amp;TEXT('[3]Motor Rutas SKU_Cons'!O192,"0%")&amp;" · Resto "&amp;TEXT('[3]Motor Rutas SKU_Cons'!P192,"0%"))</f>
        <v>Agua 85% · Colas 8% · Resto 7%</v>
      </c>
      <c r="F188" s="16">
        <f>'[3]Motor Rutas SKU_Cons'!CH192</f>
        <v>0.44279255426415898</v>
      </c>
      <c r="G188" s="16">
        <f>'[3]Motor Rutas SKU_Cons'!CG192</f>
        <v>0.82905148319318156</v>
      </c>
      <c r="H188" s="998">
        <f>'[3]Motor Rutas SKU_Cons'!BX192</f>
        <v>54.688661990461519</v>
      </c>
      <c r="I188" s="998">
        <f>'[3]Motor Rutas SKU_Cons'!BW192</f>
        <v>0</v>
      </c>
    </row>
    <row r="189" spans="1:9">
      <c r="A189" t="str">
        <f>IF('[3]Motor Rutas SKU_Cons'!C193="","",'[3]Motor Rutas SKU_Cons'!C193)</f>
        <v>Occidente</v>
      </c>
      <c r="B189" t="str">
        <f>IF('[3]Motor Rutas SKU_Cons'!D193="","",'[3]Motor Rutas SKU_Cons'!D193)</f>
        <v>Favorita</v>
      </c>
      <c r="C189" t="str">
        <f>IF('[3]Motor Rutas SKU_Cons'!B193="","",'[3]Motor Rutas SKU_Cons'!B193)</f>
        <v>Suc. Toluquilla</v>
      </c>
      <c r="D189">
        <f>'[3]Motor Rutas SKU_Cons'!A193</f>
        <v>804421</v>
      </c>
      <c r="E189" s="997" t="str">
        <f>IF('[3]Motor Rutas SKU_Cons'!N193="","s/d","Agua "&amp;TEXT('[3]Motor Rutas SKU_Cons'!N193,"0%")&amp;" · Colas "&amp;TEXT('[3]Motor Rutas SKU_Cons'!O193,"0%")&amp;" · Resto "&amp;TEXT('[3]Motor Rutas SKU_Cons'!P193,"0%"))</f>
        <v>Agua 85% · Colas 8% · Resto 7%</v>
      </c>
      <c r="F189" s="16">
        <f>'[3]Motor Rutas SKU_Cons'!CH193</f>
        <v>0.30200685136225758</v>
      </c>
      <c r="G189" s="16">
        <f>'[3]Motor Rutas SKU_Cons'!CG193</f>
        <v>0.8254037509772737</v>
      </c>
      <c r="H189" s="998">
        <f>'[3]Motor Rutas SKU_Cons'!BX193</f>
        <v>59.383604941681838</v>
      </c>
      <c r="I189" s="998">
        <f>'[3]Motor Rutas SKU_Cons'!BW193</f>
        <v>0</v>
      </c>
    </row>
    <row r="190" spans="1:9">
      <c r="A190" t="str">
        <f>IF('[3]Motor Rutas SKU_Cons'!C194="","",'[3]Motor Rutas SKU_Cons'!C194)</f>
        <v>Occidente</v>
      </c>
      <c r="B190" t="str">
        <f>IF('[3]Motor Rutas SKU_Cons'!D194="","",'[3]Motor Rutas SKU_Cons'!D194)</f>
        <v>Aguascalientes</v>
      </c>
      <c r="C190" t="str">
        <f>IF('[3]Motor Rutas SKU_Cons'!B194="","",'[3]Motor Rutas SKU_Cons'!B194)</f>
        <v>Planta Trojes</v>
      </c>
      <c r="D190">
        <f>'[3]Motor Rutas SKU_Cons'!A194</f>
        <v>907407</v>
      </c>
      <c r="E190" s="997" t="str">
        <f>IF('[3]Motor Rutas SKU_Cons'!N194="","s/d","Agua "&amp;TEXT('[3]Motor Rutas SKU_Cons'!N194,"0%")&amp;" · Colas "&amp;TEXT('[3]Motor Rutas SKU_Cons'!O194,"0%")&amp;" · Resto "&amp;TEXT('[3]Motor Rutas SKU_Cons'!P194,"0%"))</f>
        <v>Agua 85% · Colas 8% · Resto 7%</v>
      </c>
      <c r="F190" s="16">
        <f>'[3]Motor Rutas SKU_Cons'!CH194</f>
        <v>0.28595605585573913</v>
      </c>
      <c r="G190" s="16">
        <f>'[3]Motor Rutas SKU_Cons'!CG194</f>
        <v>0.82396031072727283</v>
      </c>
      <c r="H190" s="998">
        <f>'[3]Motor Rutas SKU_Cons'!BX194</f>
        <v>70.081812808643278</v>
      </c>
      <c r="I190" s="998">
        <f>'[3]Motor Rutas SKU_Cons'!BW194</f>
        <v>0</v>
      </c>
    </row>
    <row r="191" spans="1:9">
      <c r="A191" t="str">
        <f>IF('[3]Motor Rutas SKU_Cons'!C195="","",'[3]Motor Rutas SKU_Cons'!C195)</f>
        <v>Occidente</v>
      </c>
      <c r="B191" t="str">
        <f>IF('[3]Motor Rutas SKU_Cons'!D195="","",'[3]Motor Rutas SKU_Cons'!D195)</f>
        <v>San Luis</v>
      </c>
      <c r="C191" t="str">
        <f>IF('[3]Motor Rutas SKU_Cons'!B195="","",'[3]Motor Rutas SKU_Cons'!B195)</f>
        <v>Planta San Luis</v>
      </c>
      <c r="D191">
        <f>'[3]Motor Rutas SKU_Cons'!A195</f>
        <v>916403</v>
      </c>
      <c r="E191" s="997" t="str">
        <f>IF('[3]Motor Rutas SKU_Cons'!N195="","s/d","Agua "&amp;TEXT('[3]Motor Rutas SKU_Cons'!N195,"0%")&amp;" · Colas "&amp;TEXT('[3]Motor Rutas SKU_Cons'!O195,"0%")&amp;" · Resto "&amp;TEXT('[3]Motor Rutas SKU_Cons'!P195,"0%"))</f>
        <v>Agua 85% · Colas 8% · Resto 7%</v>
      </c>
      <c r="F191" s="16">
        <f>'[3]Motor Rutas SKU_Cons'!CH195</f>
        <v>0.32643941207342758</v>
      </c>
      <c r="G191" s="16">
        <f>'[3]Motor Rutas SKU_Cons'!CG195</f>
        <v>0.82244002049999976</v>
      </c>
      <c r="H191" s="998">
        <f>'[3]Motor Rutas SKU_Cons'!BX195</f>
        <v>66.108462126825202</v>
      </c>
      <c r="I191" s="998">
        <f>'[3]Motor Rutas SKU_Cons'!BW195</f>
        <v>0</v>
      </c>
    </row>
    <row r="192" spans="1:9">
      <c r="A192" t="str">
        <f>IF('[3]Motor Rutas SKU_Cons'!C196="","",'[3]Motor Rutas SKU_Cons'!C196)</f>
        <v>Occidente</v>
      </c>
      <c r="B192" t="str">
        <f>IF('[3]Motor Rutas SKU_Cons'!D196="","",'[3]Motor Rutas SKU_Cons'!D196)</f>
        <v>Zapopan</v>
      </c>
      <c r="C192" t="str">
        <f>IF('[3]Motor Rutas SKU_Cons'!B196="","",'[3]Motor Rutas SKU_Cons'!B196)</f>
        <v>Suc. Huentitán</v>
      </c>
      <c r="D192">
        <f>'[3]Motor Rutas SKU_Cons'!A196</f>
        <v>819358</v>
      </c>
      <c r="E192" s="997" t="str">
        <f>IF('[3]Motor Rutas SKU_Cons'!N196="","s/d","Agua "&amp;TEXT('[3]Motor Rutas SKU_Cons'!N196,"0%")&amp;" · Colas "&amp;TEXT('[3]Motor Rutas SKU_Cons'!O196,"0%")&amp;" · Resto "&amp;TEXT('[3]Motor Rutas SKU_Cons'!P196,"0%"))</f>
        <v>Agua 85% · Colas 8% · Resto 7%</v>
      </c>
      <c r="F192" s="16">
        <f>'[3]Motor Rutas SKU_Cons'!CH196</f>
        <v>0.3539765787879437</v>
      </c>
      <c r="G192" s="16">
        <f>'[3]Motor Rutas SKU_Cons'!CG196</f>
        <v>0.82063058175000037</v>
      </c>
      <c r="H192" s="998">
        <f>'[3]Motor Rutas SKU_Cons'!BX196</f>
        <v>63.405750929855472</v>
      </c>
      <c r="I192" s="998">
        <f>'[3]Motor Rutas SKU_Cons'!BW196</f>
        <v>0</v>
      </c>
    </row>
    <row r="193" spans="1:9">
      <c r="A193" t="str">
        <f>IF('[3]Motor Rutas SKU_Cons'!C197="","",'[3]Motor Rutas SKU_Cons'!C197)</f>
        <v>Occidente</v>
      </c>
      <c r="B193" t="str">
        <f>IF('[3]Motor Rutas SKU_Cons'!D197="","",'[3]Motor Rutas SKU_Cons'!D197)</f>
        <v>Zapopan</v>
      </c>
      <c r="C193" t="str">
        <f>IF('[3]Motor Rutas SKU_Cons'!B197="","",'[3]Motor Rutas SKU_Cons'!B197)</f>
        <v>Planta Zapopan</v>
      </c>
      <c r="D193">
        <f>'[3]Motor Rutas SKU_Cons'!A197</f>
        <v>816353</v>
      </c>
      <c r="E193" s="997" t="str">
        <f>IF('[3]Motor Rutas SKU_Cons'!N197="","s/d","Agua "&amp;TEXT('[3]Motor Rutas SKU_Cons'!N197,"0%")&amp;" · Colas "&amp;TEXT('[3]Motor Rutas SKU_Cons'!O197,"0%")&amp;" · Resto "&amp;TEXT('[3]Motor Rutas SKU_Cons'!P197,"0%"))</f>
        <v>Agua 85% · Colas 8% · Resto 7%</v>
      </c>
      <c r="F193" s="16">
        <f>'[3]Motor Rutas SKU_Cons'!CH197</f>
        <v>0.33641170573156137</v>
      </c>
      <c r="G193" s="16">
        <f>'[3]Motor Rutas SKU_Cons'!CG197</f>
        <v>0.81792524219318208</v>
      </c>
      <c r="H193" s="998">
        <f>'[3]Motor Rutas SKU_Cons'!BX197</f>
        <v>65.129703854097727</v>
      </c>
      <c r="I193" s="998">
        <f>'[3]Motor Rutas SKU_Cons'!BW197</f>
        <v>0</v>
      </c>
    </row>
    <row r="194" spans="1:9">
      <c r="A194" t="str">
        <f>IF('[3]Motor Rutas SKU_Cons'!C198="","",'[3]Motor Rutas SKU_Cons'!C198)</f>
        <v>Occidente</v>
      </c>
      <c r="B194" t="str">
        <f>IF('[3]Motor Rutas SKU_Cons'!D198="","",'[3]Motor Rutas SKU_Cons'!D198)</f>
        <v>Zapopan</v>
      </c>
      <c r="C194" t="str">
        <f>IF('[3]Motor Rutas SKU_Cons'!B198="","",'[3]Motor Rutas SKU_Cons'!B198)</f>
        <v>Suc. Belenes</v>
      </c>
      <c r="D194">
        <f>'[3]Motor Rutas SKU_Cons'!A198</f>
        <v>820429</v>
      </c>
      <c r="E194" s="997" t="str">
        <f>IF('[3]Motor Rutas SKU_Cons'!N198="","s/d","Agua "&amp;TEXT('[3]Motor Rutas SKU_Cons'!N198,"0%")&amp;" · Colas "&amp;TEXT('[3]Motor Rutas SKU_Cons'!O198,"0%")&amp;" · Resto "&amp;TEXT('[3]Motor Rutas SKU_Cons'!P198,"0%"))</f>
        <v>Agua 85% · Colas 8% · Resto 7%</v>
      </c>
      <c r="F194" s="16">
        <f>'[3]Motor Rutas SKU_Cons'!CH198</f>
        <v>0.17438138721743457</v>
      </c>
      <c r="G194" s="16">
        <f>'[3]Motor Rutas SKU_Cons'!CG198</f>
        <v>0.81689818755681853</v>
      </c>
      <c r="H194" s="998">
        <f>'[3]Motor Rutas SKU_Cons'!BX198</f>
        <v>43.904330126559699</v>
      </c>
      <c r="I194" s="998">
        <f>'[3]Motor Rutas SKU_Cons'!BW198</f>
        <v>0</v>
      </c>
    </row>
    <row r="195" spans="1:9">
      <c r="A195" t="str">
        <f>IF('[3]Motor Rutas SKU_Cons'!C199="","",'[3]Motor Rutas SKU_Cons'!C199)</f>
        <v>Norte</v>
      </c>
      <c r="B195" t="str">
        <f>IF('[3]Motor Rutas SKU_Cons'!D199="","",'[3]Motor Rutas SKU_Cons'!D199)</f>
        <v>Guadiana</v>
      </c>
      <c r="C195" t="str">
        <f>IF('[3]Motor Rutas SKU_Cons'!B199="","",'[3]Motor Rutas SKU_Cons'!B199)</f>
        <v>Planta Guadiana</v>
      </c>
      <c r="D195">
        <f>'[3]Motor Rutas SKU_Cons'!A199</f>
        <v>931429</v>
      </c>
      <c r="E195" s="997" t="str">
        <f>IF('[3]Motor Rutas SKU_Cons'!N199="","s/d","Agua "&amp;TEXT('[3]Motor Rutas SKU_Cons'!N199,"0%")&amp;" · Colas "&amp;TEXT('[3]Motor Rutas SKU_Cons'!O199,"0%")&amp;" · Resto "&amp;TEXT('[3]Motor Rutas SKU_Cons'!P199,"0%"))</f>
        <v>Agua 85% · Colas 8% · Resto 7%</v>
      </c>
      <c r="F195" s="16">
        <f>'[3]Motor Rutas SKU_Cons'!CH199</f>
        <v>0.43989258087359245</v>
      </c>
      <c r="G195" s="16">
        <f>'[3]Motor Rutas SKU_Cons'!CG199</f>
        <v>0.8158983044318191</v>
      </c>
      <c r="H195" s="998">
        <f>'[3]Motor Rutas SKU_Cons'!BX199</f>
        <v>41.229965909512742</v>
      </c>
      <c r="I195" s="998">
        <f>'[3]Motor Rutas SKU_Cons'!BW199</f>
        <v>0</v>
      </c>
    </row>
    <row r="196" spans="1:9">
      <c r="A196" t="str">
        <f>IF('[3]Motor Rutas SKU_Cons'!C200="","",'[3]Motor Rutas SKU_Cons'!C200)</f>
        <v>Occidente</v>
      </c>
      <c r="B196" t="str">
        <f>IF('[3]Motor Rutas SKU_Cons'!D200="","",'[3]Motor Rutas SKU_Cons'!D200)</f>
        <v>Favorita</v>
      </c>
      <c r="C196" t="str">
        <f>IF('[3]Motor Rutas SKU_Cons'!B200="","",'[3]Motor Rutas SKU_Cons'!B200)</f>
        <v>Suc. Santa Maria</v>
      </c>
      <c r="D196">
        <f>'[3]Motor Rutas SKU_Cons'!A200</f>
        <v>809347</v>
      </c>
      <c r="E196" s="997" t="str">
        <f>IF('[3]Motor Rutas SKU_Cons'!N200="","s/d","Agua "&amp;TEXT('[3]Motor Rutas SKU_Cons'!N200,"0%")&amp;" · Colas "&amp;TEXT('[3]Motor Rutas SKU_Cons'!O200,"0%")&amp;" · Resto "&amp;TEXT('[3]Motor Rutas SKU_Cons'!P200,"0%"))</f>
        <v>Agua 85% · Colas 8% · Resto 7%</v>
      </c>
      <c r="F196" s="16">
        <f>'[3]Motor Rutas SKU_Cons'!CH200</f>
        <v>0.30869979846109574</v>
      </c>
      <c r="G196" s="16">
        <f>'[3]Motor Rutas SKU_Cons'!CG200</f>
        <v>0.81583532744318188</v>
      </c>
      <c r="H196" s="998">
        <f>'[3]Motor Rutas SKU_Cons'!BX200</f>
        <v>67.849565445006874</v>
      </c>
      <c r="I196" s="998">
        <f>'[3]Motor Rutas SKU_Cons'!BW200</f>
        <v>0</v>
      </c>
    </row>
    <row r="197" spans="1:9">
      <c r="A197" t="str">
        <f>IF('[3]Motor Rutas SKU_Cons'!C201="","",'[3]Motor Rutas SKU_Cons'!C201)</f>
        <v>Norte</v>
      </c>
      <c r="B197" t="str">
        <f>IF('[3]Motor Rutas SKU_Cons'!D201="","",'[3]Motor Rutas SKU_Cons'!D201)</f>
        <v>Juárez</v>
      </c>
      <c r="C197" t="str">
        <f>IF('[3]Motor Rutas SKU_Cons'!B201="","",'[3]Motor Rutas SKU_Cons'!B201)</f>
        <v>Planta Cd. Juárez</v>
      </c>
      <c r="D197">
        <f>'[3]Motor Rutas SKU_Cons'!A201</f>
        <v>301347</v>
      </c>
      <c r="E197" s="997" t="str">
        <f>IF('[3]Motor Rutas SKU_Cons'!N201="","s/d","Agua "&amp;TEXT('[3]Motor Rutas SKU_Cons'!N201,"0%")&amp;" · Colas "&amp;TEXT('[3]Motor Rutas SKU_Cons'!O201,"0%")&amp;" · Resto "&amp;TEXT('[3]Motor Rutas SKU_Cons'!P201,"0%"))</f>
        <v>Agua 85% · Colas 8% · Resto 7%</v>
      </c>
      <c r="F197" s="16">
        <f>'[3]Motor Rutas SKU_Cons'!CH201</f>
        <v>0.22582509204188619</v>
      </c>
      <c r="G197" s="16">
        <f>'[3]Motor Rutas SKU_Cons'!CG201</f>
        <v>0.81504039559090569</v>
      </c>
      <c r="H197" s="998">
        <f>'[3]Motor Rutas SKU_Cons'!BX201</f>
        <v>56.987649106482429</v>
      </c>
      <c r="I197" s="998">
        <f>'[3]Motor Rutas SKU_Cons'!BW201</f>
        <v>0</v>
      </c>
    </row>
    <row r="198" spans="1:9">
      <c r="A198" t="str">
        <f>IF('[3]Motor Rutas SKU_Cons'!C202="","",'[3]Motor Rutas SKU_Cons'!C202)</f>
        <v>Pacifico</v>
      </c>
      <c r="B198" t="str">
        <f>IF('[3]Motor Rutas SKU_Cons'!D202="","",'[3]Motor Rutas SKU_Cons'!D202)</f>
        <v>La Paz</v>
      </c>
      <c r="C198" t="str">
        <f>IF('[3]Motor Rutas SKU_Cons'!B202="","",'[3]Motor Rutas SKU_Cons'!B202)</f>
        <v>Suc. Cabo San Lucas</v>
      </c>
      <c r="D198">
        <f>'[3]Motor Rutas SKU_Cons'!A202</f>
        <v>507304</v>
      </c>
      <c r="E198" s="997" t="str">
        <f>IF('[3]Motor Rutas SKU_Cons'!N202="","s/d","Agua "&amp;TEXT('[3]Motor Rutas SKU_Cons'!N202,"0%")&amp;" · Colas "&amp;TEXT('[3]Motor Rutas SKU_Cons'!O202,"0%")&amp;" · Resto "&amp;TEXT('[3]Motor Rutas SKU_Cons'!P202,"0%"))</f>
        <v>Agua 85% · Colas 8% · Resto 7%</v>
      </c>
      <c r="F198" s="16">
        <f>'[3]Motor Rutas SKU_Cons'!CH202</f>
        <v>0.30572991769090607</v>
      </c>
      <c r="G198" s="16">
        <f>'[3]Motor Rutas SKU_Cons'!CG202</f>
        <v>0.81435823269230712</v>
      </c>
      <c r="H198" s="998">
        <f>'[3]Motor Rutas SKU_Cons'!BX202</f>
        <v>18.366933394420506</v>
      </c>
      <c r="I198" s="998">
        <f>'[3]Motor Rutas SKU_Cons'!BW202</f>
        <v>0</v>
      </c>
    </row>
    <row r="199" spans="1:9">
      <c r="A199" t="str">
        <f>IF('[3]Motor Rutas SKU_Cons'!C203="","",'[3]Motor Rutas SKU_Cons'!C203)</f>
        <v>Occidente</v>
      </c>
      <c r="B199" t="str">
        <f>IF('[3]Motor Rutas SKU_Cons'!D203="","",'[3]Motor Rutas SKU_Cons'!D203)</f>
        <v>Favorita</v>
      </c>
      <c r="C199" t="str">
        <f>IF('[3]Motor Rutas SKU_Cons'!B203="","",'[3]Motor Rutas SKU_Cons'!B203)</f>
        <v>Suc. Santa Maria</v>
      </c>
      <c r="D199">
        <f>'[3]Motor Rutas SKU_Cons'!A203</f>
        <v>809325</v>
      </c>
      <c r="E199" s="997" t="str">
        <f>IF('[3]Motor Rutas SKU_Cons'!N203="","s/d","Agua "&amp;TEXT('[3]Motor Rutas SKU_Cons'!N203,"0%")&amp;" · Colas "&amp;TEXT('[3]Motor Rutas SKU_Cons'!O203,"0%")&amp;" · Resto "&amp;TEXT('[3]Motor Rutas SKU_Cons'!P203,"0%"))</f>
        <v>Agua 85% · Colas 8% · Resto 7%</v>
      </c>
      <c r="F199" s="16">
        <f>'[3]Motor Rutas SKU_Cons'!CH203</f>
        <v>0.32758552169706545</v>
      </c>
      <c r="G199" s="16">
        <f>'[3]Motor Rutas SKU_Cons'!CG203</f>
        <v>0.8122523277272734</v>
      </c>
      <c r="H199" s="998">
        <f>'[3]Motor Rutas SKU_Cons'!BX203</f>
        <v>65.995974035916134</v>
      </c>
      <c r="I199" s="998">
        <f>'[3]Motor Rutas SKU_Cons'!BW203</f>
        <v>0</v>
      </c>
    </row>
    <row r="200" spans="1:9">
      <c r="A200" t="str">
        <f>IF('[3]Motor Rutas SKU_Cons'!C204="","",'[3]Motor Rutas SKU_Cons'!C204)</f>
        <v>Occidente</v>
      </c>
      <c r="B200" t="str">
        <f>IF('[3]Motor Rutas SKU_Cons'!D204="","",'[3]Motor Rutas SKU_Cons'!D204)</f>
        <v>Los Altos</v>
      </c>
      <c r="C200" t="str">
        <f>IF('[3]Motor Rutas SKU_Cons'!B204="","",'[3]Motor Rutas SKU_Cons'!B204)</f>
        <v>Planta Los Altos</v>
      </c>
      <c r="D200">
        <f>'[3]Motor Rutas SKU_Cons'!A204</f>
        <v>831402</v>
      </c>
      <c r="E200" s="997" t="str">
        <f>IF('[3]Motor Rutas SKU_Cons'!N204="","s/d","Agua "&amp;TEXT('[3]Motor Rutas SKU_Cons'!N204,"0%")&amp;" · Colas "&amp;TEXT('[3]Motor Rutas SKU_Cons'!O204,"0%")&amp;" · Resto "&amp;TEXT('[3]Motor Rutas SKU_Cons'!P204,"0%"))</f>
        <v>Agua 85% · Colas 8% · Resto 7%</v>
      </c>
      <c r="F200" s="16">
        <f>'[3]Motor Rutas SKU_Cons'!CH204</f>
        <v>0.39684151148559221</v>
      </c>
      <c r="G200" s="16">
        <f>'[3]Motor Rutas SKU_Cons'!CG204</f>
        <v>0.80761350528409237</v>
      </c>
      <c r="H200" s="998">
        <f>'[3]Motor Rutas SKU_Cons'!BX204</f>
        <v>59.198653854097941</v>
      </c>
      <c r="I200" s="998">
        <f>'[3]Motor Rutas SKU_Cons'!BW204</f>
        <v>0</v>
      </c>
    </row>
    <row r="201" spans="1:9">
      <c r="A201" t="str">
        <f>IF('[3]Motor Rutas SKU_Cons'!C205="","",'[3]Motor Rutas SKU_Cons'!C205)</f>
        <v>Noreste</v>
      </c>
      <c r="B201" t="str">
        <f>IF('[3]Motor Rutas SKU_Cons'!D205="","",'[3]Motor Rutas SKU_Cons'!D205)</f>
        <v>Saltillo</v>
      </c>
      <c r="C201" t="str">
        <f>IF('[3]Motor Rutas SKU_Cons'!B205="","",'[3]Motor Rutas SKU_Cons'!B205)</f>
        <v>Planta Agua y Hielo</v>
      </c>
      <c r="D201">
        <f>'[3]Motor Rutas SKU_Cons'!A205</f>
        <v>203315</v>
      </c>
      <c r="E201" s="997" t="str">
        <f>IF('[3]Motor Rutas SKU_Cons'!N205="","s/d","Agua "&amp;TEXT('[3]Motor Rutas SKU_Cons'!N205,"0%")&amp;" · Colas "&amp;TEXT('[3]Motor Rutas SKU_Cons'!O205,"0%")&amp;" · Resto "&amp;TEXT('[3]Motor Rutas SKU_Cons'!P205,"0%"))</f>
        <v>Agua 80% · Colas 12% · Resto 8%</v>
      </c>
      <c r="F201" s="16">
        <f>'[3]Motor Rutas SKU_Cons'!CH205</f>
        <v>0.31376366643894937</v>
      </c>
      <c r="G201" s="16">
        <f>'[3]Motor Rutas SKU_Cons'!CG205</f>
        <v>0.80559889772727222</v>
      </c>
      <c r="H201" s="998">
        <f>'[3]Motor Rutas SKU_Cons'!BX205</f>
        <v>40.411534891246603</v>
      </c>
      <c r="I201" s="998">
        <f>'[3]Motor Rutas SKU_Cons'!BW205</f>
        <v>0</v>
      </c>
    </row>
    <row r="202" spans="1:9">
      <c r="A202" t="str">
        <f>IF('[3]Motor Rutas SKU_Cons'!C206="","",'[3]Motor Rutas SKU_Cons'!C206)</f>
        <v>Occidente</v>
      </c>
      <c r="B202" t="str">
        <f>IF('[3]Motor Rutas SKU_Cons'!D206="","",'[3]Motor Rutas SKU_Cons'!D206)</f>
        <v>Favorita</v>
      </c>
      <c r="C202" t="str">
        <f>IF('[3]Motor Rutas SKU_Cons'!B206="","",'[3]Motor Rutas SKU_Cons'!B206)</f>
        <v>Suc. Santa Maria</v>
      </c>
      <c r="D202">
        <f>'[3]Motor Rutas SKU_Cons'!A206</f>
        <v>809385</v>
      </c>
      <c r="E202" s="997" t="str">
        <f>IF('[3]Motor Rutas SKU_Cons'!N206="","s/d","Agua "&amp;TEXT('[3]Motor Rutas SKU_Cons'!N206,"0%")&amp;" · Colas "&amp;TEXT('[3]Motor Rutas SKU_Cons'!O206,"0%")&amp;" · Resto "&amp;TEXT('[3]Motor Rutas SKU_Cons'!P206,"0%"))</f>
        <v>Agua 85% · Colas 8% · Resto 7%</v>
      </c>
      <c r="F202" s="16">
        <f>'[3]Motor Rutas SKU_Cons'!CH206</f>
        <v>0.14532644213219686</v>
      </c>
      <c r="G202" s="16">
        <f>'[3]Motor Rutas SKU_Cons'!CG206</f>
        <v>0.80402254465909051</v>
      </c>
      <c r="H202" s="998">
        <f>'[3]Motor Rutas SKU_Cons'!BX206</f>
        <v>45.794241826203162</v>
      </c>
      <c r="I202" s="998">
        <f>'[3]Motor Rutas SKU_Cons'!BW206</f>
        <v>0</v>
      </c>
    </row>
    <row r="203" spans="1:9">
      <c r="A203" t="str">
        <f>IF('[3]Motor Rutas SKU_Cons'!C207="","",'[3]Motor Rutas SKU_Cons'!C207)</f>
        <v>Occidente</v>
      </c>
      <c r="B203" t="str">
        <f>IF('[3]Motor Rutas SKU_Cons'!D207="","",'[3]Motor Rutas SKU_Cons'!D207)</f>
        <v>Favorita</v>
      </c>
      <c r="C203" t="str">
        <f>IF('[3]Motor Rutas SKU_Cons'!B207="","",'[3]Motor Rutas SKU_Cons'!B207)</f>
        <v>Suc. Santa Maria</v>
      </c>
      <c r="D203">
        <f>'[3]Motor Rutas SKU_Cons'!A207</f>
        <v>809334</v>
      </c>
      <c r="E203" s="997" t="str">
        <f>IF('[3]Motor Rutas SKU_Cons'!N207="","s/d","Agua "&amp;TEXT('[3]Motor Rutas SKU_Cons'!N207,"0%")&amp;" · Colas "&amp;TEXT('[3]Motor Rutas SKU_Cons'!O207,"0%")&amp;" · Resto "&amp;TEXT('[3]Motor Rutas SKU_Cons'!P207,"0%"))</f>
        <v>Agua 85% · Colas 8% · Resto 7%</v>
      </c>
      <c r="F203" s="16">
        <f>'[3]Motor Rutas SKU_Cons'!CH207</f>
        <v>0.35093524859306618</v>
      </c>
      <c r="G203" s="16">
        <f>'[3]Motor Rutas SKU_Cons'!CG207</f>
        <v>0.80125774885227341</v>
      </c>
      <c r="H203" s="998">
        <f>'[3]Motor Rutas SKU_Cons'!BX207</f>
        <v>63.704250672279755</v>
      </c>
      <c r="I203" s="998">
        <f>'[3]Motor Rutas SKU_Cons'!BW207</f>
        <v>0</v>
      </c>
    </row>
    <row r="204" spans="1:9">
      <c r="A204" t="str">
        <f>IF('[3]Motor Rutas SKU_Cons'!C208="","",'[3]Motor Rutas SKU_Cons'!C208)</f>
        <v>Occidente</v>
      </c>
      <c r="B204" t="str">
        <f>IF('[3]Motor Rutas SKU_Cons'!D208="","",'[3]Motor Rutas SKU_Cons'!D208)</f>
        <v>San Luis</v>
      </c>
      <c r="C204" t="str">
        <f>IF('[3]Motor Rutas SKU_Cons'!B208="","",'[3]Motor Rutas SKU_Cons'!B208)</f>
        <v>Planta San Luis</v>
      </c>
      <c r="D204">
        <f>'[3]Motor Rutas SKU_Cons'!A208</f>
        <v>916347</v>
      </c>
      <c r="E204" s="997" t="str">
        <f>IF('[3]Motor Rutas SKU_Cons'!N208="","s/d","Agua "&amp;TEXT('[3]Motor Rutas SKU_Cons'!N208,"0%")&amp;" · Colas "&amp;TEXT('[3]Motor Rutas SKU_Cons'!O208,"0%")&amp;" · Resto "&amp;TEXT('[3]Motor Rutas SKU_Cons'!P208,"0%"))</f>
        <v>Agua 85% · Colas 8% · Resto 7%</v>
      </c>
      <c r="F204" s="16">
        <f>'[3]Motor Rutas SKU_Cons'!CH208</f>
        <v>0.29666374721667943</v>
      </c>
      <c r="G204" s="16">
        <f>'[3]Motor Rutas SKU_Cons'!CG208</f>
        <v>0.7994422964659087</v>
      </c>
      <c r="H204" s="998">
        <f>'[3]Motor Rutas SKU_Cons'!BX208</f>
        <v>69.030876899552311</v>
      </c>
      <c r="I204" s="998">
        <f>'[3]Motor Rutas SKU_Cons'!BW208</f>
        <v>0</v>
      </c>
    </row>
    <row r="205" spans="1:9">
      <c r="A205" t="str">
        <f>IF('[3]Motor Rutas SKU_Cons'!C209="","",'[3]Motor Rutas SKU_Cons'!C209)</f>
        <v>Occidente</v>
      </c>
      <c r="B205" t="str">
        <f>IF('[3]Motor Rutas SKU_Cons'!D209="","",'[3]Motor Rutas SKU_Cons'!D209)</f>
        <v>Favorita</v>
      </c>
      <c r="C205" t="str">
        <f>IF('[3]Motor Rutas SKU_Cons'!B209="","",'[3]Motor Rutas SKU_Cons'!B209)</f>
        <v>Suc. Santa Maria</v>
      </c>
      <c r="D205">
        <f>'[3]Motor Rutas SKU_Cons'!A209</f>
        <v>809344</v>
      </c>
      <c r="E205" s="997" t="str">
        <f>IF('[3]Motor Rutas SKU_Cons'!N209="","s/d","Agua "&amp;TEXT('[3]Motor Rutas SKU_Cons'!N209,"0%")&amp;" · Colas "&amp;TEXT('[3]Motor Rutas SKU_Cons'!O209,"0%")&amp;" · Resto "&amp;TEXT('[3]Motor Rutas SKU_Cons'!P209,"0%"))</f>
        <v>Agua 85% · Colas 8% · Resto 7%</v>
      </c>
      <c r="F205" s="16">
        <f>'[3]Motor Rutas SKU_Cons'!CH209</f>
        <v>0.25090244016503643</v>
      </c>
      <c r="G205" s="16">
        <f>'[3]Motor Rutas SKU_Cons'!CG209</f>
        <v>0.79897485221591014</v>
      </c>
      <c r="H205" s="998">
        <f>'[3]Motor Rutas SKU_Cons'!BX209</f>
        <v>73.522246626825236</v>
      </c>
      <c r="I205" s="998">
        <f>'[3]Motor Rutas SKU_Cons'!BW209</f>
        <v>0</v>
      </c>
    </row>
    <row r="206" spans="1:9">
      <c r="A206" t="str">
        <f>IF('[3]Motor Rutas SKU_Cons'!C210="","",'[3]Motor Rutas SKU_Cons'!C210)</f>
        <v>Occidente</v>
      </c>
      <c r="B206" t="str">
        <f>IF('[3]Motor Rutas SKU_Cons'!D210="","",'[3]Motor Rutas SKU_Cons'!D210)</f>
        <v>Zapopan</v>
      </c>
      <c r="C206" t="str">
        <f>IF('[3]Motor Rutas SKU_Cons'!B210="","",'[3]Motor Rutas SKU_Cons'!B210)</f>
        <v>Planta Zapopan</v>
      </c>
      <c r="D206">
        <f>'[3]Motor Rutas SKU_Cons'!A210</f>
        <v>816368</v>
      </c>
      <c r="E206" s="997" t="str">
        <f>IF('[3]Motor Rutas SKU_Cons'!N210="","s/d","Agua "&amp;TEXT('[3]Motor Rutas SKU_Cons'!N210,"0%")&amp;" · Colas "&amp;TEXT('[3]Motor Rutas SKU_Cons'!O210,"0%")&amp;" · Resto "&amp;TEXT('[3]Motor Rutas SKU_Cons'!P210,"0%"))</f>
        <v>Agua 85% · Colas 8% · Resto 7%</v>
      </c>
      <c r="F206" s="16">
        <f>'[3]Motor Rutas SKU_Cons'!CH210</f>
        <v>0.42753872565837397</v>
      </c>
      <c r="G206" s="16">
        <f>'[3]Motor Rutas SKU_Cons'!CG210</f>
        <v>0.79696885956545305</v>
      </c>
      <c r="H206" s="998">
        <f>'[3]Motor Rutas SKU_Cons'!BX210</f>
        <v>56.185791081370489</v>
      </c>
      <c r="I206" s="998">
        <f>'[3]Motor Rutas SKU_Cons'!BW210</f>
        <v>0</v>
      </c>
    </row>
    <row r="207" spans="1:9">
      <c r="A207" t="str">
        <f>IF('[3]Motor Rutas SKU_Cons'!C211="","",'[3]Motor Rutas SKU_Cons'!C211)</f>
        <v>Occidente</v>
      </c>
      <c r="B207" t="str">
        <f>IF('[3]Motor Rutas SKU_Cons'!D211="","",'[3]Motor Rutas SKU_Cons'!D211)</f>
        <v>Favorita</v>
      </c>
      <c r="C207" t="str">
        <f>IF('[3]Motor Rutas SKU_Cons'!B211="","",'[3]Motor Rutas SKU_Cons'!B211)</f>
        <v>Cedi Tonalá</v>
      </c>
      <c r="D207">
        <f>'[3]Motor Rutas SKU_Cons'!A211</f>
        <v>810358</v>
      </c>
      <c r="E207" s="997" t="str">
        <f>IF('[3]Motor Rutas SKU_Cons'!N211="","s/d","Agua "&amp;TEXT('[3]Motor Rutas SKU_Cons'!N211,"0%")&amp;" · Colas "&amp;TEXT('[3]Motor Rutas SKU_Cons'!O211,"0%")&amp;" · Resto "&amp;TEXT('[3]Motor Rutas SKU_Cons'!P211,"0%"))</f>
        <v>Agua 85% · Colas 8% · Resto 7%</v>
      </c>
      <c r="F207" s="16">
        <f>'[3]Motor Rutas SKU_Cons'!CH211</f>
        <v>0.29613469794820418</v>
      </c>
      <c r="G207" s="16">
        <f>'[3]Motor Rutas SKU_Cons'!CG211</f>
        <v>0.79604488615909108</v>
      </c>
      <c r="H207" s="998">
        <f>'[3]Motor Rutas SKU_Cons'!BX211</f>
        <v>4.694874654623149E-2</v>
      </c>
      <c r="I207" s="998">
        <f>'[3]Motor Rutas SKU_Cons'!BW211</f>
        <v>0</v>
      </c>
    </row>
    <row r="208" spans="1:9">
      <c r="A208" t="str">
        <f>IF('[3]Motor Rutas SKU_Cons'!C212="","",'[3]Motor Rutas SKU_Cons'!C212)</f>
        <v>Occidente</v>
      </c>
      <c r="B208" t="str">
        <f>IF('[3]Motor Rutas SKU_Cons'!D212="","",'[3]Motor Rutas SKU_Cons'!D212)</f>
        <v>Zapopan</v>
      </c>
      <c r="C208" t="str">
        <f>IF('[3]Motor Rutas SKU_Cons'!B212="","",'[3]Motor Rutas SKU_Cons'!B212)</f>
        <v>Suc. Huentitán</v>
      </c>
      <c r="D208">
        <f>'[3]Motor Rutas SKU_Cons'!A212</f>
        <v>819426</v>
      </c>
      <c r="E208" s="997" t="str">
        <f>IF('[3]Motor Rutas SKU_Cons'!N212="","s/d","Agua "&amp;TEXT('[3]Motor Rutas SKU_Cons'!N212,"0%")&amp;" · Colas "&amp;TEXT('[3]Motor Rutas SKU_Cons'!O212,"0%")&amp;" · Resto "&amp;TEXT('[3]Motor Rutas SKU_Cons'!P212,"0%"))</f>
        <v>Agua 85% · Colas 8% · Resto 7%</v>
      </c>
      <c r="F208" s="16">
        <f>'[3]Motor Rutas SKU_Cons'!CH212</f>
        <v>0.52301845292035565</v>
      </c>
      <c r="G208" s="16">
        <f>'[3]Motor Rutas SKU_Cons'!CG212</f>
        <v>0.79538409920454567</v>
      </c>
      <c r="H208" s="998">
        <f>'[3]Motor Rutas SKU_Cons'!BX212</f>
        <v>45.142184694891057</v>
      </c>
      <c r="I208" s="998">
        <f>'[3]Motor Rutas SKU_Cons'!BW212</f>
        <v>0</v>
      </c>
    </row>
    <row r="209" spans="1:9">
      <c r="A209" t="str">
        <f>IF('[3]Motor Rutas SKU_Cons'!C213="","",'[3]Motor Rutas SKU_Cons'!C213)</f>
        <v>Occidente</v>
      </c>
      <c r="B209" t="str">
        <f>IF('[3]Motor Rutas SKU_Cons'!D213="","",'[3]Motor Rutas SKU_Cons'!D213)</f>
        <v>Aguascalientes</v>
      </c>
      <c r="C209" t="str">
        <f>IF('[3]Motor Rutas SKU_Cons'!B213="","",'[3]Motor Rutas SKU_Cons'!B213)</f>
        <v>Planta Aguascalientes</v>
      </c>
      <c r="D209">
        <f>'[3]Motor Rutas SKU_Cons'!A213</f>
        <v>901342</v>
      </c>
      <c r="E209" s="997" t="str">
        <f>IF('[3]Motor Rutas SKU_Cons'!N213="","s/d","Agua "&amp;TEXT('[3]Motor Rutas SKU_Cons'!N213,"0%")&amp;" · Colas "&amp;TEXT('[3]Motor Rutas SKU_Cons'!O213,"0%")&amp;" · Resto "&amp;TEXT('[3]Motor Rutas SKU_Cons'!P213,"0%"))</f>
        <v>Agua 85% · Colas 8% · Resto 7%</v>
      </c>
      <c r="F209" s="16">
        <f>'[3]Motor Rutas SKU_Cons'!CH213</f>
        <v>0.27098400740718492</v>
      </c>
      <c r="G209" s="16">
        <f>'[3]Motor Rutas SKU_Cons'!CG213</f>
        <v>0.79493968288636385</v>
      </c>
      <c r="H209" s="998">
        <f>'[3]Motor Rutas SKU_Cons'!BX213</f>
        <v>71.5512858086433</v>
      </c>
      <c r="I209" s="998">
        <f>'[3]Motor Rutas SKU_Cons'!BW213</f>
        <v>0</v>
      </c>
    </row>
    <row r="210" spans="1:9">
      <c r="A210" t="str">
        <f>IF('[3]Motor Rutas SKU_Cons'!C214="","",'[3]Motor Rutas SKU_Cons'!C214)</f>
        <v>Occidente</v>
      </c>
      <c r="B210" t="str">
        <f>IF('[3]Motor Rutas SKU_Cons'!D214="","",'[3]Motor Rutas SKU_Cons'!D214)</f>
        <v>Zapopan</v>
      </c>
      <c r="C210" t="str">
        <f>IF('[3]Motor Rutas SKU_Cons'!B214="","",'[3]Motor Rutas SKU_Cons'!B214)</f>
        <v>Planta Zapopan</v>
      </c>
      <c r="D210">
        <f>'[3]Motor Rutas SKU_Cons'!A214</f>
        <v>816398</v>
      </c>
      <c r="E210" s="997" t="str">
        <f>IF('[3]Motor Rutas SKU_Cons'!N214="","s/d","Agua "&amp;TEXT('[3]Motor Rutas SKU_Cons'!N214,"0%")&amp;" · Colas "&amp;TEXT('[3]Motor Rutas SKU_Cons'!O214,"0%")&amp;" · Resto "&amp;TEXT('[3]Motor Rutas SKU_Cons'!P214,"0%"))</f>
        <v>Agua 85% · Colas 8% · Resto 7%</v>
      </c>
      <c r="F210" s="16">
        <f>'[3]Motor Rutas SKU_Cons'!CH214</f>
        <v>0.17103167272891637</v>
      </c>
      <c r="G210" s="16">
        <f>'[3]Motor Rutas SKU_Cons'!CG214</f>
        <v>0.79297917300000009</v>
      </c>
      <c r="H210" s="998">
        <f>'[3]Motor Rutas SKU_Cons'!BX214</f>
        <v>81.361383445006794</v>
      </c>
      <c r="I210" s="998">
        <f>'[3]Motor Rutas SKU_Cons'!BW214</f>
        <v>0</v>
      </c>
    </row>
    <row r="211" spans="1:9">
      <c r="A211" t="str">
        <f>IF('[3]Motor Rutas SKU_Cons'!C215="","",'[3]Motor Rutas SKU_Cons'!C215)</f>
        <v>Occidente</v>
      </c>
      <c r="B211" t="str">
        <f>IF('[3]Motor Rutas SKU_Cons'!D215="","",'[3]Motor Rutas SKU_Cons'!D215)</f>
        <v>San Luis</v>
      </c>
      <c r="C211" t="str">
        <f>IF('[3]Motor Rutas SKU_Cons'!B215="","",'[3]Motor Rutas SKU_Cons'!B215)</f>
        <v>Planta San Luis</v>
      </c>
      <c r="D211">
        <f>'[3]Motor Rutas SKU_Cons'!A215</f>
        <v>916405</v>
      </c>
      <c r="E211" s="997" t="str">
        <f>IF('[3]Motor Rutas SKU_Cons'!N215="","s/d","Agua "&amp;TEXT('[3]Motor Rutas SKU_Cons'!N215,"0%")&amp;" · Colas "&amp;TEXT('[3]Motor Rutas SKU_Cons'!O215,"0%")&amp;" · Resto "&amp;TEXT('[3]Motor Rutas SKU_Cons'!P215,"0%"))</f>
        <v>Agua 85% · Colas 8% · Resto 7%</v>
      </c>
      <c r="F211" s="16">
        <f>'[3]Motor Rutas SKU_Cons'!CH215</f>
        <v>0.26704789474345497</v>
      </c>
      <c r="G211" s="16">
        <f>'[3]Motor Rutas SKU_Cons'!CG215</f>
        <v>0.79028025085227305</v>
      </c>
      <c r="H211" s="998">
        <f>'[3]Motor Rutas SKU_Cons'!BX215</f>
        <v>71.937606445006708</v>
      </c>
      <c r="I211" s="998">
        <f>'[3]Motor Rutas SKU_Cons'!BW215</f>
        <v>0</v>
      </c>
    </row>
    <row r="212" spans="1:9">
      <c r="A212" t="str">
        <f>IF('[3]Motor Rutas SKU_Cons'!C216="","",'[3]Motor Rutas SKU_Cons'!C216)</f>
        <v>Norte</v>
      </c>
      <c r="B212" t="str">
        <f>IF('[3]Motor Rutas SKU_Cons'!D216="","",'[3]Motor Rutas SKU_Cons'!D216)</f>
        <v>Juárez</v>
      </c>
      <c r="C212" t="str">
        <f>IF('[3]Motor Rutas SKU_Cons'!B216="","",'[3]Motor Rutas SKU_Cons'!B216)</f>
        <v>Planta Cd. Juárez</v>
      </c>
      <c r="D212">
        <f>'[3]Motor Rutas SKU_Cons'!A216</f>
        <v>301404</v>
      </c>
      <c r="E212" s="997" t="str">
        <f>IF('[3]Motor Rutas SKU_Cons'!N216="","s/d","Agua "&amp;TEXT('[3]Motor Rutas SKU_Cons'!N216,"0%")&amp;" · Colas "&amp;TEXT('[3]Motor Rutas SKU_Cons'!O216,"0%")&amp;" · Resto "&amp;TEXT('[3]Motor Rutas SKU_Cons'!P216,"0%"))</f>
        <v>Agua 85% · Colas 8% · Resto 7%</v>
      </c>
      <c r="F212" s="16">
        <f>'[3]Motor Rutas SKU_Cons'!CH216</f>
        <v>0.16622518220428731</v>
      </c>
      <c r="G212" s="16">
        <f>'[3]Motor Rutas SKU_Cons'!CG216</f>
        <v>0.78862416913636302</v>
      </c>
      <c r="H212" s="998">
        <f>'[3]Motor Rutas SKU_Cons'!BX216</f>
        <v>61.374847288300586</v>
      </c>
      <c r="I212" s="998">
        <f>'[3]Motor Rutas SKU_Cons'!BW216</f>
        <v>0</v>
      </c>
    </row>
    <row r="213" spans="1:9">
      <c r="A213" t="str">
        <f>IF('[3]Motor Rutas SKU_Cons'!C217="","",'[3]Motor Rutas SKU_Cons'!C217)</f>
        <v>Norte</v>
      </c>
      <c r="B213" t="str">
        <f>IF('[3]Motor Rutas SKU_Cons'!D217="","",'[3]Motor Rutas SKU_Cons'!D217)</f>
        <v>Zacatecas</v>
      </c>
      <c r="C213" t="str">
        <f>IF('[3]Motor Rutas SKU_Cons'!B217="","",'[3]Motor Rutas SKU_Cons'!B217)</f>
        <v>Suc. Fresnillo</v>
      </c>
      <c r="D213">
        <f>'[3]Motor Rutas SKU_Cons'!A217</f>
        <v>950341</v>
      </c>
      <c r="E213" s="997" t="str">
        <f>IF('[3]Motor Rutas SKU_Cons'!N217="","s/d","Agua "&amp;TEXT('[3]Motor Rutas SKU_Cons'!N217,"0%")&amp;" · Colas "&amp;TEXT('[3]Motor Rutas SKU_Cons'!O217,"0%")&amp;" · Resto "&amp;TEXT('[3]Motor Rutas SKU_Cons'!P217,"0%"))</f>
        <v>Agua 85% · Colas 8% · Resto 7%</v>
      </c>
      <c r="F213" s="16">
        <f>'[3]Motor Rutas SKU_Cons'!CH217</f>
        <v>0.31521489322491558</v>
      </c>
      <c r="G213" s="16">
        <f>'[3]Motor Rutas SKU_Cons'!CG217</f>
        <v>0.78778681895454528</v>
      </c>
      <c r="H213" s="998">
        <f>'[3]Motor Rutas SKU_Cons'!BX217</f>
        <v>50.352965761140865</v>
      </c>
      <c r="I213" s="998">
        <f>'[3]Motor Rutas SKU_Cons'!BW217</f>
        <v>0</v>
      </c>
    </row>
    <row r="214" spans="1:9">
      <c r="A214" t="str">
        <f>IF('[3]Motor Rutas SKU_Cons'!C218="","",'[3]Motor Rutas SKU_Cons'!C218)</f>
        <v>Occidente</v>
      </c>
      <c r="B214" t="str">
        <f>IF('[3]Motor Rutas SKU_Cons'!D218="","",'[3]Motor Rutas SKU_Cons'!D218)</f>
        <v>Zapopan</v>
      </c>
      <c r="C214" t="str">
        <f>IF('[3]Motor Rutas SKU_Cons'!B218="","",'[3]Motor Rutas SKU_Cons'!B218)</f>
        <v>Suc. Belenes</v>
      </c>
      <c r="D214">
        <f>'[3]Motor Rutas SKU_Cons'!A218</f>
        <v>820409</v>
      </c>
      <c r="E214" s="997" t="str">
        <f>IF('[3]Motor Rutas SKU_Cons'!N218="","s/d","Agua "&amp;TEXT('[3]Motor Rutas SKU_Cons'!N218,"0%")&amp;" · Colas "&amp;TEXT('[3]Motor Rutas SKU_Cons'!O218,"0%")&amp;" · Resto "&amp;TEXT('[3]Motor Rutas SKU_Cons'!P218,"0%"))</f>
        <v>Agua 85% · Colas 8% · Resto 7%</v>
      </c>
      <c r="F214" s="16">
        <f>'[3]Motor Rutas SKU_Cons'!CH218</f>
        <v>0.11623889576840769</v>
      </c>
      <c r="G214" s="16">
        <f>'[3]Motor Rutas SKU_Cons'!CG218</f>
        <v>0.78737174059090898</v>
      </c>
      <c r="H214" s="998">
        <f>'[3]Motor Rutas SKU_Cons'!BX218</f>
        <v>86.614661022281538</v>
      </c>
      <c r="I214" s="998">
        <f>'[3]Motor Rutas SKU_Cons'!BW218</f>
        <v>0</v>
      </c>
    </row>
    <row r="215" spans="1:9">
      <c r="A215" t="str">
        <f>IF('[3]Motor Rutas SKU_Cons'!C219="","",'[3]Motor Rutas SKU_Cons'!C219)</f>
        <v>Occidente</v>
      </c>
      <c r="B215" t="str">
        <f>IF('[3]Motor Rutas SKU_Cons'!D219="","",'[3]Motor Rutas SKU_Cons'!D219)</f>
        <v>Favorita</v>
      </c>
      <c r="C215" t="str">
        <f>IF('[3]Motor Rutas SKU_Cons'!B219="","",'[3]Motor Rutas SKU_Cons'!B219)</f>
        <v>Cedi Tonalá</v>
      </c>
      <c r="D215">
        <f>'[3]Motor Rutas SKU_Cons'!A219</f>
        <v>810329</v>
      </c>
      <c r="E215" s="997" t="str">
        <f>IF('[3]Motor Rutas SKU_Cons'!N219="","s/d","Agua "&amp;TEXT('[3]Motor Rutas SKU_Cons'!N219,"0%")&amp;" · Colas "&amp;TEXT('[3]Motor Rutas SKU_Cons'!O219,"0%")&amp;" · Resto "&amp;TEXT('[3]Motor Rutas SKU_Cons'!P219,"0%"))</f>
        <v>Agua 85% · Colas 8% · Resto 7%</v>
      </c>
      <c r="F215" s="16">
        <f>'[3]Motor Rutas SKU_Cons'!CH219</f>
        <v>0.2389679818793706</v>
      </c>
      <c r="G215" s="16">
        <f>'[3]Motor Rutas SKU_Cons'!CG219</f>
        <v>0.78729650785227312</v>
      </c>
      <c r="H215" s="998">
        <f>'[3]Motor Rutas SKU_Cons'!BX219</f>
        <v>74.559710237076857</v>
      </c>
      <c r="I215" s="998">
        <f>'[3]Motor Rutas SKU_Cons'!BW219</f>
        <v>0</v>
      </c>
    </row>
    <row r="216" spans="1:9">
      <c r="A216" t="str">
        <f>IF('[3]Motor Rutas SKU_Cons'!C220="","",'[3]Motor Rutas SKU_Cons'!C220)</f>
        <v>Occidente</v>
      </c>
      <c r="B216" t="str">
        <f>IF('[3]Motor Rutas SKU_Cons'!D220="","",'[3]Motor Rutas SKU_Cons'!D220)</f>
        <v>Zapopan</v>
      </c>
      <c r="C216" t="str">
        <f>IF('[3]Motor Rutas SKU_Cons'!B220="","",'[3]Motor Rutas SKU_Cons'!B220)</f>
        <v>Suc. Belenes</v>
      </c>
      <c r="D216">
        <f>'[3]Motor Rutas SKU_Cons'!A220</f>
        <v>820344</v>
      </c>
      <c r="E216" s="997" t="str">
        <f>IF('[3]Motor Rutas SKU_Cons'!N220="","s/d","Agua "&amp;TEXT('[3]Motor Rutas SKU_Cons'!N220,"0%")&amp;" · Colas "&amp;TEXT('[3]Motor Rutas SKU_Cons'!O220,"0%")&amp;" · Resto "&amp;TEXT('[3]Motor Rutas SKU_Cons'!P220,"0%"))</f>
        <v>Agua 85% · Colas 8% · Resto 7%</v>
      </c>
      <c r="F216" s="16">
        <f>'[3]Motor Rutas SKU_Cons'!CH220</f>
        <v>0.28487371974408582</v>
      </c>
      <c r="G216" s="16">
        <f>'[3]Motor Rutas SKU_Cons'!CG220</f>
        <v>0.785701994318182</v>
      </c>
      <c r="H216" s="998">
        <f>'[3]Motor Rutas SKU_Cons'!BX220</f>
        <v>69.855657195187277</v>
      </c>
      <c r="I216" s="998">
        <f>'[3]Motor Rutas SKU_Cons'!BW220</f>
        <v>0</v>
      </c>
    </row>
    <row r="217" spans="1:9">
      <c r="A217" t="str">
        <f>IF('[3]Motor Rutas SKU_Cons'!C221="","",'[3]Motor Rutas SKU_Cons'!C221)</f>
        <v>Norte</v>
      </c>
      <c r="B217" t="str">
        <f>IF('[3]Motor Rutas SKU_Cons'!D221="","",'[3]Motor Rutas SKU_Cons'!D221)</f>
        <v>Comarca</v>
      </c>
      <c r="C217" t="str">
        <f>IF('[3]Motor Rutas SKU_Cons'!B221="","",'[3]Motor Rutas SKU_Cons'!B221)</f>
        <v>Suc. Estadio</v>
      </c>
      <c r="D217">
        <f>'[3]Motor Rutas SKU_Cons'!A221</f>
        <v>217405</v>
      </c>
      <c r="E217" s="997" t="str">
        <f>IF('[3]Motor Rutas SKU_Cons'!N221="","s/d","Agua "&amp;TEXT('[3]Motor Rutas SKU_Cons'!N221,"0%")&amp;" · Colas "&amp;TEXT('[3]Motor Rutas SKU_Cons'!O221,"0%")&amp;" · Resto "&amp;TEXT('[3]Motor Rutas SKU_Cons'!P221,"0%"))</f>
        <v>Agua 85% · Colas 8% · Resto 7%</v>
      </c>
      <c r="F217" s="16">
        <f>'[3]Motor Rutas SKU_Cons'!CH221</f>
        <v>0.58971044538522066</v>
      </c>
      <c r="G217" s="16">
        <f>'[3]Motor Rutas SKU_Cons'!CG221</f>
        <v>1.0212050111931816</v>
      </c>
      <c r="H217" s="998">
        <f>'[3]Motor Rutas SKU_Cons'!BX221</f>
        <v>24.161400148822224</v>
      </c>
      <c r="I217" s="998">
        <f>'[3]Motor Rutas SKU_Cons'!BW221</f>
        <v>0</v>
      </c>
    </row>
    <row r="218" spans="1:9">
      <c r="A218" t="str">
        <f>IF('[3]Motor Rutas SKU_Cons'!C222="","",'[3]Motor Rutas SKU_Cons'!C222)</f>
        <v>Occidente</v>
      </c>
      <c r="B218" t="str">
        <f>IF('[3]Motor Rutas SKU_Cons'!D222="","",'[3]Motor Rutas SKU_Cons'!D222)</f>
        <v>San Luis</v>
      </c>
      <c r="C218" t="str">
        <f>IF('[3]Motor Rutas SKU_Cons'!B222="","",'[3]Motor Rutas SKU_Cons'!B222)</f>
        <v>Planta San Luis</v>
      </c>
      <c r="D218">
        <f>'[3]Motor Rutas SKU_Cons'!A222</f>
        <v>916411</v>
      </c>
      <c r="E218" s="997" t="str">
        <f>IF('[3]Motor Rutas SKU_Cons'!N222="","s/d","Agua "&amp;TEXT('[3]Motor Rutas SKU_Cons'!N222,"0%")&amp;" · Colas "&amp;TEXT('[3]Motor Rutas SKU_Cons'!O222,"0%")&amp;" · Resto "&amp;TEXT('[3]Motor Rutas SKU_Cons'!P222,"0%"))</f>
        <v>Agua 85% · Colas 8% · Resto 7%</v>
      </c>
      <c r="F218" s="16">
        <f>'[3]Motor Rutas SKU_Cons'!CH222</f>
        <v>0.53071479238715769</v>
      </c>
      <c r="G218" s="16">
        <f>'[3]Motor Rutas SKU_Cons'!CG222</f>
        <v>0.7841352917045461</v>
      </c>
      <c r="H218" s="998">
        <f>'[3]Motor Rutas SKU_Cons'!BX222</f>
        <v>39.181227991148752</v>
      </c>
      <c r="I218" s="998">
        <f>'[3]Motor Rutas SKU_Cons'!BW222</f>
        <v>0</v>
      </c>
    </row>
    <row r="219" spans="1:9">
      <c r="A219" t="str">
        <f>IF('[3]Motor Rutas SKU_Cons'!C223="","",'[3]Motor Rutas SKU_Cons'!C223)</f>
        <v>Occidente</v>
      </c>
      <c r="B219" t="str">
        <f>IF('[3]Motor Rutas SKU_Cons'!D223="","",'[3]Motor Rutas SKU_Cons'!D223)</f>
        <v>Zapopan</v>
      </c>
      <c r="C219" t="str">
        <f>IF('[3]Motor Rutas SKU_Cons'!B223="","",'[3]Motor Rutas SKU_Cons'!B223)</f>
        <v>Suc. Belenes</v>
      </c>
      <c r="D219">
        <f>'[3]Motor Rutas SKU_Cons'!A223</f>
        <v>820422</v>
      </c>
      <c r="E219" s="997" t="str">
        <f>IF('[3]Motor Rutas SKU_Cons'!N223="","s/d","Agua "&amp;TEXT('[3]Motor Rutas SKU_Cons'!N223,"0%")&amp;" · Colas "&amp;TEXT('[3]Motor Rutas SKU_Cons'!O223,"0%")&amp;" · Resto "&amp;TEXT('[3]Motor Rutas SKU_Cons'!P223,"0%"))</f>
        <v>Agua 85% · Colas 8% · Resto 7%</v>
      </c>
      <c r="F219" s="16">
        <f>'[3]Motor Rutas SKU_Cons'!CH223</f>
        <v>0.32274197356403023</v>
      </c>
      <c r="G219" s="16">
        <f>'[3]Motor Rutas SKU_Cons'!CG223</f>
        <v>0.7832904681477274</v>
      </c>
      <c r="H219" s="998">
        <f>'[3]Motor Rutas SKU_Cons'!BX223</f>
        <v>65.838751829768213</v>
      </c>
      <c r="I219" s="998">
        <f>'[3]Motor Rutas SKU_Cons'!BW223</f>
        <v>0</v>
      </c>
    </row>
    <row r="220" spans="1:9">
      <c r="A220" t="str">
        <f>IF('[3]Motor Rutas SKU_Cons'!C224="","",'[3]Motor Rutas SKU_Cons'!C224)</f>
        <v>Occidente</v>
      </c>
      <c r="B220" t="str">
        <f>IF('[3]Motor Rutas SKU_Cons'!D224="","",'[3]Motor Rutas SKU_Cons'!D224)</f>
        <v>Zapopan</v>
      </c>
      <c r="C220" t="str">
        <f>IF('[3]Motor Rutas SKU_Cons'!B224="","",'[3]Motor Rutas SKU_Cons'!B224)</f>
        <v>Planta Zapopan</v>
      </c>
      <c r="D220">
        <f>'[3]Motor Rutas SKU_Cons'!A224</f>
        <v>816391</v>
      </c>
      <c r="E220" s="997" t="str">
        <f>IF('[3]Motor Rutas SKU_Cons'!N224="","s/d","Agua "&amp;TEXT('[3]Motor Rutas SKU_Cons'!N224,"0%")&amp;" · Colas "&amp;TEXT('[3]Motor Rutas SKU_Cons'!O224,"0%")&amp;" · Resto "&amp;TEXT('[3]Motor Rutas SKU_Cons'!P224,"0%"))</f>
        <v>Agua 85% · Colas 8% · Resto 7%</v>
      </c>
      <c r="F220" s="16">
        <f>'[3]Motor Rutas SKU_Cons'!CH224</f>
        <v>0.18529792216840382</v>
      </c>
      <c r="G220" s="16">
        <f>'[3]Motor Rutas SKU_Cons'!CG224</f>
        <v>0.7827812828181816</v>
      </c>
      <c r="H220" s="998">
        <f>'[3]Motor Rutas SKU_Cons'!BX224</f>
        <v>79.265186794117653</v>
      </c>
      <c r="I220" s="998">
        <f>'[3]Motor Rutas SKU_Cons'!BW224</f>
        <v>0</v>
      </c>
    </row>
    <row r="221" spans="1:9">
      <c r="A221" t="str">
        <f>IF('[3]Motor Rutas SKU_Cons'!C225="","",'[3]Motor Rutas SKU_Cons'!C225)</f>
        <v>Occidente</v>
      </c>
      <c r="B221" t="str">
        <f>IF('[3]Motor Rutas SKU_Cons'!D225="","",'[3]Motor Rutas SKU_Cons'!D225)</f>
        <v>Zapopan</v>
      </c>
      <c r="C221" t="str">
        <f>IF('[3]Motor Rutas SKU_Cons'!B225="","",'[3]Motor Rutas SKU_Cons'!B225)</f>
        <v>Suc. Huentitán</v>
      </c>
      <c r="D221">
        <f>'[3]Motor Rutas SKU_Cons'!A225</f>
        <v>819351</v>
      </c>
      <c r="E221" s="997" t="str">
        <f>IF('[3]Motor Rutas SKU_Cons'!N225="","s/d","Agua "&amp;TEXT('[3]Motor Rutas SKU_Cons'!N225,"0%")&amp;" · Colas "&amp;TEXT('[3]Motor Rutas SKU_Cons'!O225,"0%")&amp;" · Resto "&amp;TEXT('[3]Motor Rutas SKU_Cons'!P225,"0%"))</f>
        <v>Agua 85% · Colas 8% · Resto 7%</v>
      </c>
      <c r="F221" s="16">
        <f>'[3]Motor Rutas SKU_Cons'!CH225</f>
        <v>0.39578279915547387</v>
      </c>
      <c r="G221" s="16">
        <f>'[3]Motor Rutas SKU_Cons'!CG225</f>
        <v>0.78243163711363584</v>
      </c>
      <c r="H221" s="998">
        <f>'[3]Motor Rutas SKU_Cons'!BX225</f>
        <v>58.563038977718364</v>
      </c>
      <c r="I221" s="998">
        <f>'[3]Motor Rutas SKU_Cons'!BW225</f>
        <v>0</v>
      </c>
    </row>
    <row r="222" spans="1:9">
      <c r="A222" t="str">
        <f>IF('[3]Motor Rutas SKU_Cons'!C226="","",'[3]Motor Rutas SKU_Cons'!C226)</f>
        <v>Pacifico</v>
      </c>
      <c r="B222" t="str">
        <f>IF('[3]Motor Rutas SKU_Cons'!D226="","",'[3]Motor Rutas SKU_Cons'!D226)</f>
        <v>Mazatlán</v>
      </c>
      <c r="C222" t="str">
        <f>IF('[3]Motor Rutas SKU_Cons'!B226="","",'[3]Motor Rutas SKU_Cons'!B226)</f>
        <v>Sucursal Venadillo</v>
      </c>
      <c r="D222">
        <f>'[3]Motor Rutas SKU_Cons'!A226</f>
        <v>503303</v>
      </c>
      <c r="E222" s="997" t="str">
        <f>IF('[3]Motor Rutas SKU_Cons'!N226="","s/d","Agua "&amp;TEXT('[3]Motor Rutas SKU_Cons'!N226,"0%")&amp;" · Colas "&amp;TEXT('[3]Motor Rutas SKU_Cons'!O226,"0%")&amp;" · Resto "&amp;TEXT('[3]Motor Rutas SKU_Cons'!P226,"0%"))</f>
        <v>Agua 85% · Colas 8% · Resto 7%</v>
      </c>
      <c r="F222" s="16">
        <f>'[3]Motor Rutas SKU_Cons'!CH226</f>
        <v>0.54553406484373546</v>
      </c>
      <c r="G222" s="16">
        <f>'[3]Motor Rutas SKU_Cons'!CG226</f>
        <v>0.78209165188636354</v>
      </c>
      <c r="H222" s="998">
        <f>'[3]Motor Rutas SKU_Cons'!BX226</f>
        <v>21.911480834224651</v>
      </c>
      <c r="I222" s="998">
        <f>'[3]Motor Rutas SKU_Cons'!BW226</f>
        <v>0</v>
      </c>
    </row>
    <row r="223" spans="1:9">
      <c r="A223" t="str">
        <f>IF('[3]Motor Rutas SKU_Cons'!C227="","",'[3]Motor Rutas SKU_Cons'!C227)</f>
        <v>Occidente</v>
      </c>
      <c r="B223" t="str">
        <f>IF('[3]Motor Rutas SKU_Cons'!D227="","",'[3]Motor Rutas SKU_Cons'!D227)</f>
        <v>San Luis</v>
      </c>
      <c r="C223" t="str">
        <f>IF('[3]Motor Rutas SKU_Cons'!B227="","",'[3]Motor Rutas SKU_Cons'!B227)</f>
        <v>Planta San Luis</v>
      </c>
      <c r="D223">
        <f>'[3]Motor Rutas SKU_Cons'!A227</f>
        <v>916418</v>
      </c>
      <c r="E223" s="997" t="str">
        <f>IF('[3]Motor Rutas SKU_Cons'!N227="","s/d","Agua "&amp;TEXT('[3]Motor Rutas SKU_Cons'!N227,"0%")&amp;" · Colas "&amp;TEXT('[3]Motor Rutas SKU_Cons'!O227,"0%")&amp;" · Resto "&amp;TEXT('[3]Motor Rutas SKU_Cons'!P227,"0%"))</f>
        <v>Agua 85% · Colas 8% · Resto 7%</v>
      </c>
      <c r="F223" s="16">
        <f>'[3]Motor Rutas SKU_Cons'!CH227</f>
        <v>0.24263904333731062</v>
      </c>
      <c r="G223" s="16">
        <f>'[3]Motor Rutas SKU_Cons'!CG227</f>
        <v>0.78174068318181777</v>
      </c>
      <c r="H223" s="998">
        <f>'[3]Motor Rutas SKU_Cons'!BX227</f>
        <v>73.507735600712977</v>
      </c>
      <c r="I223" s="998">
        <f>'[3]Motor Rutas SKU_Cons'!BW227</f>
        <v>0</v>
      </c>
    </row>
    <row r="224" spans="1:9">
      <c r="A224" t="str">
        <f>IF('[3]Motor Rutas SKU_Cons'!C228="","",'[3]Motor Rutas SKU_Cons'!C228)</f>
        <v>Occidente</v>
      </c>
      <c r="B224" t="str">
        <f>IF('[3]Motor Rutas SKU_Cons'!D228="","",'[3]Motor Rutas SKU_Cons'!D228)</f>
        <v>Zapopan</v>
      </c>
      <c r="C224" t="str">
        <f>IF('[3]Motor Rutas SKU_Cons'!B228="","",'[3]Motor Rutas SKU_Cons'!B228)</f>
        <v>Planta Zapopan</v>
      </c>
      <c r="D224">
        <f>'[3]Motor Rutas SKU_Cons'!A228</f>
        <v>816338</v>
      </c>
      <c r="E224" s="997" t="str">
        <f>IF('[3]Motor Rutas SKU_Cons'!N228="","s/d","Agua "&amp;TEXT('[3]Motor Rutas SKU_Cons'!N228,"0%")&amp;" · Colas "&amp;TEXT('[3]Motor Rutas SKU_Cons'!O228,"0%")&amp;" · Resto "&amp;TEXT('[3]Motor Rutas SKU_Cons'!P228,"0%"))</f>
        <v>Agua 85% · Colas 8% · Resto 7%</v>
      </c>
      <c r="F224" s="16">
        <f>'[3]Motor Rutas SKU_Cons'!CH228</f>
        <v>0.25553914540208766</v>
      </c>
      <c r="G224" s="16">
        <f>'[3]Motor Rutas SKU_Cons'!CG228</f>
        <v>0.78088578034090816</v>
      </c>
      <c r="H224" s="998">
        <f>'[3]Motor Rutas SKU_Cons'!BX228</f>
        <v>72.135189013368858</v>
      </c>
      <c r="I224" s="998">
        <f>'[3]Motor Rutas SKU_Cons'!BW228</f>
        <v>0</v>
      </c>
    </row>
    <row r="225" spans="1:9">
      <c r="A225" t="str">
        <f>IF('[3]Motor Rutas SKU_Cons'!C229="","",'[3]Motor Rutas SKU_Cons'!C229)</f>
        <v>Occidente</v>
      </c>
      <c r="B225" t="str">
        <f>IF('[3]Motor Rutas SKU_Cons'!D229="","",'[3]Motor Rutas SKU_Cons'!D229)</f>
        <v>San Luis</v>
      </c>
      <c r="C225" t="str">
        <f>IF('[3]Motor Rutas SKU_Cons'!B229="","",'[3]Motor Rutas SKU_Cons'!B229)</f>
        <v>Planta San Luis</v>
      </c>
      <c r="D225">
        <f>'[3]Motor Rutas SKU_Cons'!A229</f>
        <v>916417</v>
      </c>
      <c r="E225" s="997" t="str">
        <f>IF('[3]Motor Rutas SKU_Cons'!N229="","s/d","Agua "&amp;TEXT('[3]Motor Rutas SKU_Cons'!N229,"0%")&amp;" · Colas "&amp;TEXT('[3]Motor Rutas SKU_Cons'!O229,"0%")&amp;" · Resto "&amp;TEXT('[3]Motor Rutas SKU_Cons'!P229,"0%"))</f>
        <v>Agua 85% · Colas 8% · Resto 7%</v>
      </c>
      <c r="F225" s="16">
        <f>'[3]Motor Rutas SKU_Cons'!CH229</f>
        <v>0.3893764988712527</v>
      </c>
      <c r="G225" s="16">
        <f>'[3]Motor Rutas SKU_Cons'!CG229</f>
        <v>0.78063617577272704</v>
      </c>
      <c r="H225" s="998">
        <f>'[3]Motor Rutas SKU_Cons'!BX229</f>
        <v>58.968278393939393</v>
      </c>
      <c r="I225" s="998">
        <f>'[3]Motor Rutas SKU_Cons'!BW229</f>
        <v>0</v>
      </c>
    </row>
    <row r="226" spans="1:9">
      <c r="A226" t="str">
        <f>IF('[3]Motor Rutas SKU_Cons'!C230="","",'[3]Motor Rutas SKU_Cons'!C230)</f>
        <v>Occidente</v>
      </c>
      <c r="B226" t="str">
        <f>IF('[3]Motor Rutas SKU_Cons'!D230="","",'[3]Motor Rutas SKU_Cons'!D230)</f>
        <v>Zapopan</v>
      </c>
      <c r="C226" t="str">
        <f>IF('[3]Motor Rutas SKU_Cons'!B230="","",'[3]Motor Rutas SKU_Cons'!B230)</f>
        <v>Suc. Belenes</v>
      </c>
      <c r="D226">
        <f>'[3]Motor Rutas SKU_Cons'!A230</f>
        <v>820358</v>
      </c>
      <c r="E226" s="997" t="str">
        <f>IF('[3]Motor Rutas SKU_Cons'!N230="","s/d","Agua "&amp;TEXT('[3]Motor Rutas SKU_Cons'!N230,"0%")&amp;" · Colas "&amp;TEXT('[3]Motor Rutas SKU_Cons'!O230,"0%")&amp;" · Resto "&amp;TEXT('[3]Motor Rutas SKU_Cons'!P230,"0%"))</f>
        <v>Agua 85% · Colas 8% · Resto 7%</v>
      </c>
      <c r="F226" s="16">
        <f>'[3]Motor Rutas SKU_Cons'!CH230</f>
        <v>0.33338766316958218</v>
      </c>
      <c r="G226" s="16">
        <f>'[3]Motor Rutas SKU_Cons'!CG230</f>
        <v>0.78015397019318122</v>
      </c>
      <c r="H226" s="998">
        <f>'[3]Motor Rutas SKU_Cons'!BX230</f>
        <v>64.403425318181888</v>
      </c>
      <c r="I226" s="998">
        <f>'[3]Motor Rutas SKU_Cons'!BW230</f>
        <v>0</v>
      </c>
    </row>
    <row r="227" spans="1:9">
      <c r="A227" t="str">
        <f>IF('[3]Motor Rutas SKU_Cons'!C231="","",'[3]Motor Rutas SKU_Cons'!C231)</f>
        <v>Occidente</v>
      </c>
      <c r="B227" t="str">
        <f>IF('[3]Motor Rutas SKU_Cons'!D231="","",'[3]Motor Rutas SKU_Cons'!D231)</f>
        <v>Aguascalientes</v>
      </c>
      <c r="C227" t="str">
        <f>IF('[3]Motor Rutas SKU_Cons'!B231="","",'[3]Motor Rutas SKU_Cons'!B231)</f>
        <v>Planta Trojes</v>
      </c>
      <c r="D227">
        <f>'[3]Motor Rutas SKU_Cons'!A231</f>
        <v>907346</v>
      </c>
      <c r="E227" s="997" t="str">
        <f>IF('[3]Motor Rutas SKU_Cons'!N231="","s/d","Agua "&amp;TEXT('[3]Motor Rutas SKU_Cons'!N231,"0%")&amp;" · Colas "&amp;TEXT('[3]Motor Rutas SKU_Cons'!O231,"0%")&amp;" · Resto "&amp;TEXT('[3]Motor Rutas SKU_Cons'!P231,"0%"))</f>
        <v>Agua 85% · Colas 8% · Resto 7%</v>
      </c>
      <c r="F227" s="16">
        <f>'[3]Motor Rutas SKU_Cons'!CH231</f>
        <v>0.21179805845699221</v>
      </c>
      <c r="G227" s="16">
        <f>'[3]Motor Rutas SKU_Cons'!CG231</f>
        <v>0.77969552277272824</v>
      </c>
      <c r="H227" s="998">
        <f>'[3]Motor Rutas SKU_Cons'!BX231</f>
        <v>35.458093770360279</v>
      </c>
      <c r="I227" s="998">
        <f>'[3]Motor Rutas SKU_Cons'!BW231</f>
        <v>0</v>
      </c>
    </row>
    <row r="228" spans="1:9">
      <c r="A228" t="str">
        <f>IF('[3]Motor Rutas SKU_Cons'!C232="","",'[3]Motor Rutas SKU_Cons'!C232)</f>
        <v>Occidente</v>
      </c>
      <c r="B228" t="str">
        <f>IF('[3]Motor Rutas SKU_Cons'!D232="","",'[3]Motor Rutas SKU_Cons'!D232)</f>
        <v>Zapopan</v>
      </c>
      <c r="C228" t="str">
        <f>IF('[3]Motor Rutas SKU_Cons'!B232="","",'[3]Motor Rutas SKU_Cons'!B232)</f>
        <v>Suc. Huentitán</v>
      </c>
      <c r="D228">
        <f>'[3]Motor Rutas SKU_Cons'!A232</f>
        <v>819359</v>
      </c>
      <c r="E228" s="997" t="str">
        <f>IF('[3]Motor Rutas SKU_Cons'!N232="","s/d","Agua "&amp;TEXT('[3]Motor Rutas SKU_Cons'!N232,"0%")&amp;" · Colas "&amp;TEXT('[3]Motor Rutas SKU_Cons'!O232,"0%")&amp;" · Resto "&amp;TEXT('[3]Motor Rutas SKU_Cons'!P232,"0%"))</f>
        <v>Agua 85% · Colas 8% · Resto 7%</v>
      </c>
      <c r="F228" s="16">
        <f>'[3]Motor Rutas SKU_Cons'!CH232</f>
        <v>0.27512813451529228</v>
      </c>
      <c r="G228" s="16">
        <f>'[3]Motor Rutas SKU_Cons'!CG232</f>
        <v>0.7768071581931818</v>
      </c>
      <c r="H228" s="998">
        <f>'[3]Motor Rutas SKU_Cons'!BX232</f>
        <v>69.704808661318992</v>
      </c>
      <c r="I228" s="998">
        <f>'[3]Motor Rutas SKU_Cons'!BW232</f>
        <v>0</v>
      </c>
    </row>
    <row r="229" spans="1:9">
      <c r="A229" t="str">
        <f>IF('[3]Motor Rutas SKU_Cons'!C233="","",'[3]Motor Rutas SKU_Cons'!C233)</f>
        <v>Occidente</v>
      </c>
      <c r="B229" t="str">
        <f>IF('[3]Motor Rutas SKU_Cons'!D233="","",'[3]Motor Rutas SKU_Cons'!D233)</f>
        <v>Zapopan</v>
      </c>
      <c r="C229" t="str">
        <f>IF('[3]Motor Rutas SKU_Cons'!B233="","",'[3]Motor Rutas SKU_Cons'!B233)</f>
        <v>Planta Zapopan</v>
      </c>
      <c r="D229">
        <f>'[3]Motor Rutas SKU_Cons'!A233</f>
        <v>816356</v>
      </c>
      <c r="E229" s="997" t="str">
        <f>IF('[3]Motor Rutas SKU_Cons'!N233="","s/d","Agua "&amp;TEXT('[3]Motor Rutas SKU_Cons'!N233,"0%")&amp;" · Colas "&amp;TEXT('[3]Motor Rutas SKU_Cons'!O233,"0%")&amp;" · Resto "&amp;TEXT('[3]Motor Rutas SKU_Cons'!P233,"0%"))</f>
        <v>Agua 85% · Colas 8% · Resto 7%</v>
      </c>
      <c r="F229" s="16">
        <f>'[3]Motor Rutas SKU_Cons'!CH233</f>
        <v>0.26140591685653886</v>
      </c>
      <c r="G229" s="16">
        <f>'[3]Motor Rutas SKU_Cons'!CG233</f>
        <v>0.77613566850511373</v>
      </c>
      <c r="H229" s="998">
        <f>'[3]Motor Rutas SKU_Cons'!BX233</f>
        <v>32.318248230837852</v>
      </c>
      <c r="I229" s="998">
        <f>'[3]Motor Rutas SKU_Cons'!BW233</f>
        <v>0</v>
      </c>
    </row>
    <row r="230" spans="1:9">
      <c r="A230" t="str">
        <f>IF('[3]Motor Rutas SKU_Cons'!C234="","",'[3]Motor Rutas SKU_Cons'!C234)</f>
        <v>Norte</v>
      </c>
      <c r="B230" t="str">
        <f>IF('[3]Motor Rutas SKU_Cons'!D234="","",'[3]Motor Rutas SKU_Cons'!D234)</f>
        <v>Guadiana</v>
      </c>
      <c r="C230" t="str">
        <f>IF('[3]Motor Rutas SKU_Cons'!B234="","",'[3]Motor Rutas SKU_Cons'!B234)</f>
        <v>Planta Guadiana</v>
      </c>
      <c r="D230">
        <f>'[3]Motor Rutas SKU_Cons'!A234</f>
        <v>931400</v>
      </c>
      <c r="E230" s="997" t="str">
        <f>IF('[3]Motor Rutas SKU_Cons'!N234="","s/d","Agua "&amp;TEXT('[3]Motor Rutas SKU_Cons'!N234,"0%")&amp;" · Colas "&amp;TEXT('[3]Motor Rutas SKU_Cons'!O234,"0%")&amp;" · Resto "&amp;TEXT('[3]Motor Rutas SKU_Cons'!P234,"0%"))</f>
        <v>Agua 85% · Colas 8% · Resto 7%</v>
      </c>
      <c r="F230" s="16">
        <f>'[3]Motor Rutas SKU_Cons'!CH234</f>
        <v>0.33677085290238484</v>
      </c>
      <c r="G230" s="16">
        <f>'[3]Motor Rutas SKU_Cons'!CG234</f>
        <v>0.77592633340909056</v>
      </c>
      <c r="H230" s="998">
        <f>'[3]Motor Rutas SKU_Cons'!BX234</f>
        <v>48.8208407731492</v>
      </c>
      <c r="I230" s="998">
        <f>'[3]Motor Rutas SKU_Cons'!BW234</f>
        <v>0</v>
      </c>
    </row>
    <row r="231" spans="1:9">
      <c r="A231" t="str">
        <f>IF('[3]Motor Rutas SKU_Cons'!C235="","",'[3]Motor Rutas SKU_Cons'!C235)</f>
        <v>Occidente</v>
      </c>
      <c r="B231" t="str">
        <f>IF('[3]Motor Rutas SKU_Cons'!D235="","",'[3]Motor Rutas SKU_Cons'!D235)</f>
        <v>Aguascalientes</v>
      </c>
      <c r="C231" t="str">
        <f>IF('[3]Motor Rutas SKU_Cons'!B235="","",'[3]Motor Rutas SKU_Cons'!B235)</f>
        <v>Planta Aguascalientes</v>
      </c>
      <c r="D231">
        <f>'[3]Motor Rutas SKU_Cons'!A235</f>
        <v>901415</v>
      </c>
      <c r="E231" s="997" t="str">
        <f>IF('[3]Motor Rutas SKU_Cons'!N235="","s/d","Agua "&amp;TEXT('[3]Motor Rutas SKU_Cons'!N235,"0%")&amp;" · Colas "&amp;TEXT('[3]Motor Rutas SKU_Cons'!O235,"0%")&amp;" · Resto "&amp;TEXT('[3]Motor Rutas SKU_Cons'!P235,"0%"))</f>
        <v>Agua 85% · Colas 8% · Resto 7%</v>
      </c>
      <c r="F231" s="16">
        <f>'[3]Motor Rutas SKU_Cons'!CH235</f>
        <v>0.11087286931920515</v>
      </c>
      <c r="G231" s="16">
        <f>'[3]Motor Rutas SKU_Cons'!CG235</f>
        <v>0.77584766676136274</v>
      </c>
      <c r="H231" s="998">
        <f>'[3]Motor Rutas SKU_Cons'!BX235</f>
        <v>47.071216737967916</v>
      </c>
      <c r="I231" s="998">
        <f>'[3]Motor Rutas SKU_Cons'!BW235</f>
        <v>0</v>
      </c>
    </row>
    <row r="232" spans="1:9">
      <c r="A232" t="str">
        <f>IF('[3]Motor Rutas SKU_Cons'!C236="","",'[3]Motor Rutas SKU_Cons'!C236)</f>
        <v>Pacifico</v>
      </c>
      <c r="B232" t="str">
        <f>IF('[3]Motor Rutas SKU_Cons'!D236="","",'[3]Motor Rutas SKU_Cons'!D236)</f>
        <v>La Paz</v>
      </c>
      <c r="C232" t="str">
        <f>IF('[3]Motor Rutas SKU_Cons'!B236="","",'[3]Motor Rutas SKU_Cons'!B236)</f>
        <v>Planta La Paz</v>
      </c>
      <c r="D232">
        <f>'[3]Motor Rutas SKU_Cons'!A236</f>
        <v>506308</v>
      </c>
      <c r="E232" s="997" t="str">
        <f>IF('[3]Motor Rutas SKU_Cons'!N236="","s/d","Agua "&amp;TEXT('[3]Motor Rutas SKU_Cons'!N236,"0%")&amp;" · Colas "&amp;TEXT('[3]Motor Rutas SKU_Cons'!O236,"0%")&amp;" · Resto "&amp;TEXT('[3]Motor Rutas SKU_Cons'!P236,"0%"))</f>
        <v>Agua 85% · Colas 8% · Resto 7%</v>
      </c>
      <c r="F232" s="16">
        <f>'[3]Motor Rutas SKU_Cons'!CH236</f>
        <v>5.5536997013922181E-2</v>
      </c>
      <c r="G232" s="16">
        <f>'[3]Motor Rutas SKU_Cons'!CG236</f>
        <v>0.77566369840909088</v>
      </c>
      <c r="H232" s="998">
        <f>'[3]Motor Rutas SKU_Cons'!BX236</f>
        <v>68.636916380817922</v>
      </c>
      <c r="I232" s="998">
        <f>'[3]Motor Rutas SKU_Cons'!BW236</f>
        <v>0</v>
      </c>
    </row>
    <row r="233" spans="1:9">
      <c r="A233" t="str">
        <f>IF('[3]Motor Rutas SKU_Cons'!C237="","",'[3]Motor Rutas SKU_Cons'!C237)</f>
        <v>Occidente</v>
      </c>
      <c r="B233" t="str">
        <f>IF('[3]Motor Rutas SKU_Cons'!D237="","",'[3]Motor Rutas SKU_Cons'!D237)</f>
        <v>Favorita</v>
      </c>
      <c r="C233" t="str">
        <f>IF('[3]Motor Rutas SKU_Cons'!B237="","",'[3]Motor Rutas SKU_Cons'!B237)</f>
        <v>Suc. Tecomán</v>
      </c>
      <c r="D233">
        <f>'[3]Motor Rutas SKU_Cons'!A237</f>
        <v>806401</v>
      </c>
      <c r="E233" s="997" t="str">
        <f>IF('[3]Motor Rutas SKU_Cons'!N237="","s/d","Agua "&amp;TEXT('[3]Motor Rutas SKU_Cons'!N237,"0%")&amp;" · Colas "&amp;TEXT('[3]Motor Rutas SKU_Cons'!O237,"0%")&amp;" · Resto "&amp;TEXT('[3]Motor Rutas SKU_Cons'!P237,"0%"))</f>
        <v>Agua 85% · Colas 8% · Resto 7%</v>
      </c>
      <c r="F233" s="16">
        <f>'[3]Motor Rutas SKU_Cons'!CH237</f>
        <v>0.26748246494074107</v>
      </c>
      <c r="G233" s="16">
        <f>'[3]Motor Rutas SKU_Cons'!CG237</f>
        <v>0.77488363646590874</v>
      </c>
      <c r="H233" s="998">
        <f>'[3]Motor Rutas SKU_Cons'!BX237</f>
        <v>44.568156772030974</v>
      </c>
      <c r="I233" s="998">
        <f>'[3]Motor Rutas SKU_Cons'!BW237</f>
        <v>0</v>
      </c>
    </row>
    <row r="234" spans="1:9">
      <c r="A234" t="str">
        <f>IF('[3]Motor Rutas SKU_Cons'!C238="","",'[3]Motor Rutas SKU_Cons'!C238)</f>
        <v>Norte</v>
      </c>
      <c r="B234" t="str">
        <f>IF('[3]Motor Rutas SKU_Cons'!D238="","",'[3]Motor Rutas SKU_Cons'!D238)</f>
        <v>Guadiana</v>
      </c>
      <c r="C234" t="str">
        <f>IF('[3]Motor Rutas SKU_Cons'!B238="","",'[3]Motor Rutas SKU_Cons'!B238)</f>
        <v>Planta Guadiana</v>
      </c>
      <c r="D234">
        <f>'[3]Motor Rutas SKU_Cons'!A238</f>
        <v>931406</v>
      </c>
      <c r="E234" s="997" t="str">
        <f>IF('[3]Motor Rutas SKU_Cons'!N238="","s/d","Agua "&amp;TEXT('[3]Motor Rutas SKU_Cons'!N238,"0%")&amp;" · Colas "&amp;TEXT('[3]Motor Rutas SKU_Cons'!O238,"0%")&amp;" · Resto "&amp;TEXT('[3]Motor Rutas SKU_Cons'!P238,"0%"))</f>
        <v>Agua 85% · Colas 8% · Resto 7%</v>
      </c>
      <c r="F234" s="16">
        <f>'[3]Motor Rutas SKU_Cons'!CH238</f>
        <v>0.38074395063061073</v>
      </c>
      <c r="G234" s="16">
        <f>'[3]Motor Rutas SKU_Cons'!CG238</f>
        <v>0.77369046136363673</v>
      </c>
      <c r="H234" s="998">
        <f>'[3]Motor Rutas SKU_Cons'!BX238</f>
        <v>45.58394503072509</v>
      </c>
      <c r="I234" s="998">
        <f>'[3]Motor Rutas SKU_Cons'!BW238</f>
        <v>0</v>
      </c>
    </row>
    <row r="235" spans="1:9">
      <c r="A235" t="str">
        <f>IF('[3]Motor Rutas SKU_Cons'!C239="","",'[3]Motor Rutas SKU_Cons'!C239)</f>
        <v>Occidente</v>
      </c>
      <c r="B235" t="str">
        <f>IF('[3]Motor Rutas SKU_Cons'!D239="","",'[3]Motor Rutas SKU_Cons'!D239)</f>
        <v>Favorita</v>
      </c>
      <c r="C235" t="str">
        <f>IF('[3]Motor Rutas SKU_Cons'!B239="","",'[3]Motor Rutas SKU_Cons'!B239)</f>
        <v>Suc. Santa Maria</v>
      </c>
      <c r="D235">
        <f>'[3]Motor Rutas SKU_Cons'!A239</f>
        <v>809327</v>
      </c>
      <c r="E235" s="997" t="str">
        <f>IF('[3]Motor Rutas SKU_Cons'!N239="","s/d","Agua "&amp;TEXT('[3]Motor Rutas SKU_Cons'!N239,"0%")&amp;" · Colas "&amp;TEXT('[3]Motor Rutas SKU_Cons'!O239,"0%")&amp;" · Resto "&amp;TEXT('[3]Motor Rutas SKU_Cons'!P239,"0%"))</f>
        <v>Agua 85% · Colas 8% · Resto 7%</v>
      </c>
      <c r="F235" s="16">
        <f>'[3]Motor Rutas SKU_Cons'!CH239</f>
        <v>0.33346408535953082</v>
      </c>
      <c r="G235" s="16">
        <f>'[3]Motor Rutas SKU_Cons'!CG239</f>
        <v>0.77367195317045434</v>
      </c>
      <c r="H235" s="998">
        <f>'[3]Motor Rutas SKU_Cons'!BX239</f>
        <v>63.588950854723734</v>
      </c>
      <c r="I235" s="998">
        <f>'[3]Motor Rutas SKU_Cons'!BW239</f>
        <v>0</v>
      </c>
    </row>
    <row r="236" spans="1:9">
      <c r="A236" t="str">
        <f>IF('[3]Motor Rutas SKU_Cons'!C240="","",'[3]Motor Rutas SKU_Cons'!C240)</f>
        <v>Occidente</v>
      </c>
      <c r="B236" t="str">
        <f>IF('[3]Motor Rutas SKU_Cons'!D240="","",'[3]Motor Rutas SKU_Cons'!D240)</f>
        <v>Zapopan</v>
      </c>
      <c r="C236" t="str">
        <f>IF('[3]Motor Rutas SKU_Cons'!B240="","",'[3]Motor Rutas SKU_Cons'!B240)</f>
        <v>Suc. Belenes</v>
      </c>
      <c r="D236">
        <f>'[3]Motor Rutas SKU_Cons'!A240</f>
        <v>820371</v>
      </c>
      <c r="E236" s="997" t="str">
        <f>IF('[3]Motor Rutas SKU_Cons'!N240="","s/d","Agua "&amp;TEXT('[3]Motor Rutas SKU_Cons'!N240,"0%")&amp;" · Colas "&amp;TEXT('[3]Motor Rutas SKU_Cons'!O240,"0%")&amp;" · Resto "&amp;TEXT('[3]Motor Rutas SKU_Cons'!P240,"0%"))</f>
        <v>Agua 85% · Colas 8% · Resto 7%</v>
      </c>
      <c r="F236" s="16">
        <f>'[3]Motor Rutas SKU_Cons'!CH240</f>
        <v>0.2198174470268934</v>
      </c>
      <c r="G236" s="16">
        <f>'[3]Motor Rutas SKU_Cons'!CG240</f>
        <v>0.77340132894579683</v>
      </c>
      <c r="H236" s="998">
        <f>'[3]Motor Rutas SKU_Cons'!BX240</f>
        <v>74.709422545454743</v>
      </c>
      <c r="I236" s="998">
        <f>'[3]Motor Rutas SKU_Cons'!BW240</f>
        <v>0</v>
      </c>
    </row>
    <row r="237" spans="1:9">
      <c r="A237" t="str">
        <f>IF('[3]Motor Rutas SKU_Cons'!C241="","",'[3]Motor Rutas SKU_Cons'!C241)</f>
        <v>Occidente</v>
      </c>
      <c r="B237" t="str">
        <f>IF('[3]Motor Rutas SKU_Cons'!D241="","",'[3]Motor Rutas SKU_Cons'!D241)</f>
        <v>Zapopan</v>
      </c>
      <c r="C237" t="str">
        <f>IF('[3]Motor Rutas SKU_Cons'!B241="","",'[3]Motor Rutas SKU_Cons'!B241)</f>
        <v>Planta Zapopan</v>
      </c>
      <c r="D237">
        <f>'[3]Motor Rutas SKU_Cons'!A241</f>
        <v>816342</v>
      </c>
      <c r="E237" s="997" t="str">
        <f>IF('[3]Motor Rutas SKU_Cons'!N241="","s/d","Agua "&amp;TEXT('[3]Motor Rutas SKU_Cons'!N241,"0%")&amp;" · Colas "&amp;TEXT('[3]Motor Rutas SKU_Cons'!O241,"0%")&amp;" · Resto "&amp;TEXT('[3]Motor Rutas SKU_Cons'!P241,"0%"))</f>
        <v>Agua 85% · Colas 8% · Resto 7%</v>
      </c>
      <c r="F237" s="16">
        <f>'[3]Motor Rutas SKU_Cons'!CH241</f>
        <v>0.26986724886052776</v>
      </c>
      <c r="G237" s="16">
        <f>'[3]Motor Rutas SKU_Cons'!CG241</f>
        <v>0.77321095888909075</v>
      </c>
      <c r="H237" s="998">
        <f>'[3]Motor Rutas SKU_Cons'!BX241</f>
        <v>69.773446690730822</v>
      </c>
      <c r="I237" s="998">
        <f>'[3]Motor Rutas SKU_Cons'!BW241</f>
        <v>0</v>
      </c>
    </row>
    <row r="238" spans="1:9">
      <c r="A238" t="str">
        <f>IF('[3]Motor Rutas SKU_Cons'!C242="","",'[3]Motor Rutas SKU_Cons'!C242)</f>
        <v>Occidente</v>
      </c>
      <c r="B238" t="str">
        <f>IF('[3]Motor Rutas SKU_Cons'!D242="","",'[3]Motor Rutas SKU_Cons'!D242)</f>
        <v>Zapopan</v>
      </c>
      <c r="C238" t="str">
        <f>IF('[3]Motor Rutas SKU_Cons'!B242="","",'[3]Motor Rutas SKU_Cons'!B242)</f>
        <v>Suc. Belenes</v>
      </c>
      <c r="D238">
        <f>'[3]Motor Rutas SKU_Cons'!A242</f>
        <v>820360</v>
      </c>
      <c r="E238" s="997" t="str">
        <f>IF('[3]Motor Rutas SKU_Cons'!N242="","s/d","Agua "&amp;TEXT('[3]Motor Rutas SKU_Cons'!N242,"0%")&amp;" · Colas "&amp;TEXT('[3]Motor Rutas SKU_Cons'!O242,"0%")&amp;" · Resto "&amp;TEXT('[3]Motor Rutas SKU_Cons'!P242,"0%"))</f>
        <v>Agua 85% · Colas 8% · Resto 7%</v>
      </c>
      <c r="F238" s="16">
        <f>'[3]Motor Rutas SKU_Cons'!CH242</f>
        <v>0.28631806338096549</v>
      </c>
      <c r="G238" s="16">
        <f>'[3]Motor Rutas SKU_Cons'!CG242</f>
        <v>0.7722892442045447</v>
      </c>
      <c r="H238" s="998">
        <f>'[3]Motor Rutas SKU_Cons'!BX242</f>
        <v>68.044087943850087</v>
      </c>
      <c r="I238" s="998">
        <f>'[3]Motor Rutas SKU_Cons'!BW242</f>
        <v>0</v>
      </c>
    </row>
    <row r="239" spans="1:9">
      <c r="A239" t="str">
        <f>IF('[3]Motor Rutas SKU_Cons'!C243="","",'[3]Motor Rutas SKU_Cons'!C243)</f>
        <v>Occidente</v>
      </c>
      <c r="B239" t="str">
        <f>IF('[3]Motor Rutas SKU_Cons'!D243="","",'[3]Motor Rutas SKU_Cons'!D243)</f>
        <v>Aguascalientes</v>
      </c>
      <c r="C239" t="str">
        <f>IF('[3]Motor Rutas SKU_Cons'!B243="","",'[3]Motor Rutas SKU_Cons'!B243)</f>
        <v>Planta Aguascalientes</v>
      </c>
      <c r="D239">
        <f>'[3]Motor Rutas SKU_Cons'!A243</f>
        <v>901344</v>
      </c>
      <c r="E239" s="997" t="str">
        <f>IF('[3]Motor Rutas SKU_Cons'!N243="","s/d","Agua "&amp;TEXT('[3]Motor Rutas SKU_Cons'!N243,"0%")&amp;" · Colas "&amp;TEXT('[3]Motor Rutas SKU_Cons'!O243,"0%")&amp;" · Resto "&amp;TEXT('[3]Motor Rutas SKU_Cons'!P243,"0%"))</f>
        <v>Agua 85% · Colas 8% · Resto 7%</v>
      </c>
      <c r="F239" s="16">
        <f>'[3]Motor Rutas SKU_Cons'!CH243</f>
        <v>0.43554978556744905</v>
      </c>
      <c r="G239" s="16">
        <f>'[3]Motor Rutas SKU_Cons'!CG243</f>
        <v>0.77212907744318093</v>
      </c>
      <c r="H239" s="998">
        <f>'[3]Motor Rutas SKU_Cons'!BX243</f>
        <v>34.770052445236608</v>
      </c>
      <c r="I239" s="998">
        <f>'[3]Motor Rutas SKU_Cons'!BW243</f>
        <v>0</v>
      </c>
    </row>
    <row r="240" spans="1:9">
      <c r="A240" t="str">
        <f>IF('[3]Motor Rutas SKU_Cons'!C244="","",'[3]Motor Rutas SKU_Cons'!C244)</f>
        <v>Occidente</v>
      </c>
      <c r="B240" t="str">
        <f>IF('[3]Motor Rutas SKU_Cons'!D244="","",'[3]Motor Rutas SKU_Cons'!D244)</f>
        <v>Favorita</v>
      </c>
      <c r="C240" t="str">
        <f>IF('[3]Motor Rutas SKU_Cons'!B244="","",'[3]Motor Rutas SKU_Cons'!B244)</f>
        <v>Suc. Toluquilla</v>
      </c>
      <c r="D240">
        <f>'[3]Motor Rutas SKU_Cons'!A244</f>
        <v>804424</v>
      </c>
      <c r="E240" s="997" t="str">
        <f>IF('[3]Motor Rutas SKU_Cons'!N244="","s/d","Agua "&amp;TEXT('[3]Motor Rutas SKU_Cons'!N244,"0%")&amp;" · Colas "&amp;TEXT('[3]Motor Rutas SKU_Cons'!O244,"0%")&amp;" · Resto "&amp;TEXT('[3]Motor Rutas SKU_Cons'!P244,"0%"))</f>
        <v>Agua 85% · Colas 8% · Resto 7%</v>
      </c>
      <c r="F240" s="16">
        <f>'[3]Motor Rutas SKU_Cons'!CH244</f>
        <v>0.22882788649213137</v>
      </c>
      <c r="G240" s="16">
        <f>'[3]Motor Rutas SKU_Cons'!CG244</f>
        <v>0.77202702818181834</v>
      </c>
      <c r="H240" s="998">
        <f>'[3]Motor Rutas SKU_Cons'!BX244</f>
        <v>52.219852529918754</v>
      </c>
      <c r="I240" s="998">
        <f>'[3]Motor Rutas SKU_Cons'!BW244</f>
        <v>0</v>
      </c>
    </row>
    <row r="241" spans="1:9">
      <c r="A241" t="str">
        <f>IF('[3]Motor Rutas SKU_Cons'!C245="","",'[3]Motor Rutas SKU_Cons'!C245)</f>
        <v>Occidente</v>
      </c>
      <c r="B241" t="str">
        <f>IF('[3]Motor Rutas SKU_Cons'!D245="","",'[3]Motor Rutas SKU_Cons'!D245)</f>
        <v>Zapopan</v>
      </c>
      <c r="C241" t="str">
        <f>IF('[3]Motor Rutas SKU_Cons'!B245="","",'[3]Motor Rutas SKU_Cons'!B245)</f>
        <v>Planta Zapopan</v>
      </c>
      <c r="D241">
        <f>'[3]Motor Rutas SKU_Cons'!A245</f>
        <v>816352</v>
      </c>
      <c r="E241" s="997" t="str">
        <f>IF('[3]Motor Rutas SKU_Cons'!N245="","s/d","Agua "&amp;TEXT('[3]Motor Rutas SKU_Cons'!N245,"0%")&amp;" · Colas "&amp;TEXT('[3]Motor Rutas SKU_Cons'!O245,"0%")&amp;" · Resto "&amp;TEXT('[3]Motor Rutas SKU_Cons'!P245,"0%"))</f>
        <v>Agua 85% · Colas 8% · Resto 7%</v>
      </c>
      <c r="F241" s="16">
        <f>'[3]Motor Rutas SKU_Cons'!CH245</f>
        <v>0.30421948852711572</v>
      </c>
      <c r="G241" s="16">
        <f>'[3]Motor Rutas SKU_Cons'!CG245</f>
        <v>0.77154887321590904</v>
      </c>
      <c r="H241" s="998">
        <f>'[3]Motor Rutas SKU_Cons'!BX245</f>
        <v>66.194931261141136</v>
      </c>
      <c r="I241" s="998">
        <f>'[3]Motor Rutas SKU_Cons'!BW245</f>
        <v>0</v>
      </c>
    </row>
    <row r="242" spans="1:9">
      <c r="A242" t="str">
        <f>IF('[3]Motor Rutas SKU_Cons'!C246="","",'[3]Motor Rutas SKU_Cons'!C246)</f>
        <v>Occidente</v>
      </c>
      <c r="B242" t="str">
        <f>IF('[3]Motor Rutas SKU_Cons'!D246="","",'[3]Motor Rutas SKU_Cons'!D246)</f>
        <v>Favorita</v>
      </c>
      <c r="C242" t="str">
        <f>IF('[3]Motor Rutas SKU_Cons'!B246="","",'[3]Motor Rutas SKU_Cons'!B246)</f>
        <v>Suc. Santa Maria</v>
      </c>
      <c r="D242">
        <f>'[3]Motor Rutas SKU_Cons'!A246</f>
        <v>809378</v>
      </c>
      <c r="E242" s="997" t="str">
        <f>IF('[3]Motor Rutas SKU_Cons'!N246="","s/d","Agua "&amp;TEXT('[3]Motor Rutas SKU_Cons'!N246,"0%")&amp;" · Colas "&amp;TEXT('[3]Motor Rutas SKU_Cons'!O246,"0%")&amp;" · Resto "&amp;TEXT('[3]Motor Rutas SKU_Cons'!P246,"0%"))</f>
        <v>Agua 85% · Colas 8% · Resto 7%</v>
      </c>
      <c r="F242" s="16">
        <f>'[3]Motor Rutas SKU_Cons'!CH246</f>
        <v>0.23977265917089691</v>
      </c>
      <c r="G242" s="16">
        <f>'[3]Motor Rutas SKU_Cons'!CG246</f>
        <v>0.77076728089772772</v>
      </c>
      <c r="H242" s="998">
        <f>'[3]Motor Rutas SKU_Cons'!BX246</f>
        <v>72.422939381461646</v>
      </c>
      <c r="I242" s="998">
        <f>'[3]Motor Rutas SKU_Cons'!BW246</f>
        <v>0</v>
      </c>
    </row>
    <row r="243" spans="1:9">
      <c r="A243" t="str">
        <f>IF('[3]Motor Rutas SKU_Cons'!C247="","",'[3]Motor Rutas SKU_Cons'!C247)</f>
        <v>Occidente</v>
      </c>
      <c r="B243" t="str">
        <f>IF('[3]Motor Rutas SKU_Cons'!D247="","",'[3]Motor Rutas SKU_Cons'!D247)</f>
        <v>Aguascalientes</v>
      </c>
      <c r="C243" t="str">
        <f>IF('[3]Motor Rutas SKU_Cons'!B247="","",'[3]Motor Rutas SKU_Cons'!B247)</f>
        <v>Planta Trojes</v>
      </c>
      <c r="D243">
        <f>'[3]Motor Rutas SKU_Cons'!A247</f>
        <v>907402</v>
      </c>
      <c r="E243" s="997" t="str">
        <f>IF('[3]Motor Rutas SKU_Cons'!N247="","s/d","Agua "&amp;TEXT('[3]Motor Rutas SKU_Cons'!N247,"0%")&amp;" · Colas "&amp;TEXT('[3]Motor Rutas SKU_Cons'!O247,"0%")&amp;" · Resto "&amp;TEXT('[3]Motor Rutas SKU_Cons'!P247,"0%"))</f>
        <v>Agua 85% · Colas 8% · Resto 7%</v>
      </c>
      <c r="F243" s="16">
        <f>'[3]Motor Rutas SKU_Cons'!CH247</f>
        <v>0.10857803234284782</v>
      </c>
      <c r="G243" s="16">
        <f>'[3]Motor Rutas SKU_Cons'!CG247</f>
        <v>0.77047063465909094</v>
      </c>
      <c r="H243" s="998">
        <f>'[3]Motor Rutas SKU_Cons'!BX247</f>
        <v>39.261777482286547</v>
      </c>
      <c r="I243" s="998">
        <f>'[3]Motor Rutas SKU_Cons'!BW247</f>
        <v>0</v>
      </c>
    </row>
    <row r="244" spans="1:9">
      <c r="A244" t="str">
        <f>IF('[3]Motor Rutas SKU_Cons'!C248="","",'[3]Motor Rutas SKU_Cons'!C248)</f>
        <v>Occidente</v>
      </c>
      <c r="B244" t="str">
        <f>IF('[3]Motor Rutas SKU_Cons'!D248="","",'[3]Motor Rutas SKU_Cons'!D248)</f>
        <v>San Luis</v>
      </c>
      <c r="C244" t="str">
        <f>IF('[3]Motor Rutas SKU_Cons'!B248="","",'[3]Motor Rutas SKU_Cons'!B248)</f>
        <v>Planta San Luis</v>
      </c>
      <c r="D244">
        <f>'[3]Motor Rutas SKU_Cons'!A248</f>
        <v>916421</v>
      </c>
      <c r="E244" s="997" t="str">
        <f>IF('[3]Motor Rutas SKU_Cons'!N248="","s/d","Agua "&amp;TEXT('[3]Motor Rutas SKU_Cons'!N248,"0%")&amp;" · Colas "&amp;TEXT('[3]Motor Rutas SKU_Cons'!O248,"0%")&amp;" · Resto "&amp;TEXT('[3]Motor Rutas SKU_Cons'!P248,"0%"))</f>
        <v>Agua 85% · Colas 8% · Resto 7%</v>
      </c>
      <c r="F244" s="16">
        <f>'[3]Motor Rutas SKU_Cons'!CH248</f>
        <v>0.3900269873350084</v>
      </c>
      <c r="G244" s="16">
        <f>'[3]Motor Rutas SKU_Cons'!CG248</f>
        <v>0.77026329521590886</v>
      </c>
      <c r="H244" s="998">
        <f>'[3]Motor Rutas SKU_Cons'!BX248</f>
        <v>57.613070505347586</v>
      </c>
      <c r="I244" s="998">
        <f>'[3]Motor Rutas SKU_Cons'!BW248</f>
        <v>0</v>
      </c>
    </row>
    <row r="245" spans="1:9">
      <c r="A245" t="str">
        <f>IF('[3]Motor Rutas SKU_Cons'!C249="","",'[3]Motor Rutas SKU_Cons'!C249)</f>
        <v>Occidente</v>
      </c>
      <c r="B245" t="str">
        <f>IF('[3]Motor Rutas SKU_Cons'!D249="","",'[3]Motor Rutas SKU_Cons'!D249)</f>
        <v>Favorita</v>
      </c>
      <c r="C245" t="str">
        <f>IF('[3]Motor Rutas SKU_Cons'!B249="","",'[3]Motor Rutas SKU_Cons'!B249)</f>
        <v>Suc. Santa Maria</v>
      </c>
      <c r="D245">
        <f>'[3]Motor Rutas SKU_Cons'!A249</f>
        <v>809364</v>
      </c>
      <c r="E245" s="997" t="str">
        <f>IF('[3]Motor Rutas SKU_Cons'!N249="","s/d","Agua "&amp;TEXT('[3]Motor Rutas SKU_Cons'!N249,"0%")&amp;" · Colas "&amp;TEXT('[3]Motor Rutas SKU_Cons'!O249,"0%")&amp;" · Resto "&amp;TEXT('[3]Motor Rutas SKU_Cons'!P249,"0%"))</f>
        <v>Agua 85% · Colas 8% · Resto 7%</v>
      </c>
      <c r="F245" s="16">
        <f>'[3]Motor Rutas SKU_Cons'!CH249</f>
        <v>0.19676935285401392</v>
      </c>
      <c r="G245" s="16">
        <f>'[3]Motor Rutas SKU_Cons'!CG249</f>
        <v>0.76713889326136342</v>
      </c>
      <c r="H245" s="998">
        <f>'[3]Motor Rutas SKU_Cons'!BX249</f>
        <v>43.455445659568582</v>
      </c>
      <c r="I245" s="998">
        <f>'[3]Motor Rutas SKU_Cons'!BW249</f>
        <v>0</v>
      </c>
    </row>
    <row r="246" spans="1:9">
      <c r="A246" t="str">
        <f>IF('[3]Motor Rutas SKU_Cons'!C250="","",'[3]Motor Rutas SKU_Cons'!C250)</f>
        <v>Occidente</v>
      </c>
      <c r="B246" t="str">
        <f>IF('[3]Motor Rutas SKU_Cons'!D250="","",'[3]Motor Rutas SKU_Cons'!D250)</f>
        <v>Favorita</v>
      </c>
      <c r="C246" t="str">
        <f>IF('[3]Motor Rutas SKU_Cons'!B250="","",'[3]Motor Rutas SKU_Cons'!B250)</f>
        <v>Cedi Tonalá</v>
      </c>
      <c r="D246">
        <f>'[3]Motor Rutas SKU_Cons'!A250</f>
        <v>810340</v>
      </c>
      <c r="E246" s="997" t="str">
        <f>IF('[3]Motor Rutas SKU_Cons'!N250="","s/d","Agua "&amp;TEXT('[3]Motor Rutas SKU_Cons'!N250,"0%")&amp;" · Colas "&amp;TEXT('[3]Motor Rutas SKU_Cons'!O250,"0%")&amp;" · Resto "&amp;TEXT('[3]Motor Rutas SKU_Cons'!P250,"0%"))</f>
        <v>Agua 85% · Colas 8% · Resto 7%</v>
      </c>
      <c r="F246" s="16">
        <f>'[3]Motor Rutas SKU_Cons'!CH250</f>
        <v>0.30199324123965637</v>
      </c>
      <c r="G246" s="16">
        <f>'[3]Motor Rutas SKU_Cons'!CG250</f>
        <v>0.76687682543181868</v>
      </c>
      <c r="H246" s="998">
        <f>'[3]Motor Rutas SKU_Cons'!BX250</f>
        <v>65.831789394830821</v>
      </c>
      <c r="I246" s="998">
        <f>'[3]Motor Rutas SKU_Cons'!BW250</f>
        <v>0</v>
      </c>
    </row>
    <row r="247" spans="1:9">
      <c r="A247" t="str">
        <f>IF('[3]Motor Rutas SKU_Cons'!C251="","",'[3]Motor Rutas SKU_Cons'!C251)</f>
        <v>Occidente</v>
      </c>
      <c r="B247" t="str">
        <f>IF('[3]Motor Rutas SKU_Cons'!D251="","",'[3]Motor Rutas SKU_Cons'!D251)</f>
        <v>Zapopan</v>
      </c>
      <c r="C247" t="str">
        <f>IF('[3]Motor Rutas SKU_Cons'!B251="","",'[3]Motor Rutas SKU_Cons'!B251)</f>
        <v>Planta Zapopan</v>
      </c>
      <c r="D247">
        <f>'[3]Motor Rutas SKU_Cons'!A251</f>
        <v>816330</v>
      </c>
      <c r="E247" s="997" t="str">
        <f>IF('[3]Motor Rutas SKU_Cons'!N251="","s/d","Agua "&amp;TEXT('[3]Motor Rutas SKU_Cons'!N251,"0%")&amp;" · Colas "&amp;TEXT('[3]Motor Rutas SKU_Cons'!O251,"0%")&amp;" · Resto "&amp;TEXT('[3]Motor Rutas SKU_Cons'!P251,"0%"))</f>
        <v>Agua 85% · Colas 8% · Resto 7%</v>
      </c>
      <c r="F247" s="16">
        <f>'[3]Motor Rutas SKU_Cons'!CH251</f>
        <v>0.39858393862053432</v>
      </c>
      <c r="G247" s="16">
        <f>'[3]Motor Rutas SKU_Cons'!CG251</f>
        <v>0.76681649147727193</v>
      </c>
      <c r="H247" s="998">
        <f>'[3]Motor Rutas SKU_Cons'!BX251</f>
        <v>56.344117695187087</v>
      </c>
      <c r="I247" s="998">
        <f>'[3]Motor Rutas SKU_Cons'!BW251</f>
        <v>0</v>
      </c>
    </row>
    <row r="248" spans="1:9">
      <c r="A248" t="str">
        <f>IF('[3]Motor Rutas SKU_Cons'!C252="","",'[3]Motor Rutas SKU_Cons'!C252)</f>
        <v>Occidente</v>
      </c>
      <c r="B248" t="str">
        <f>IF('[3]Motor Rutas SKU_Cons'!D252="","",'[3]Motor Rutas SKU_Cons'!D252)</f>
        <v>Zapopan</v>
      </c>
      <c r="C248" t="str">
        <f>IF('[3]Motor Rutas SKU_Cons'!B252="","",'[3]Motor Rutas SKU_Cons'!B252)</f>
        <v>Suc. Huentitán</v>
      </c>
      <c r="D248">
        <f>'[3]Motor Rutas SKU_Cons'!A252</f>
        <v>819419</v>
      </c>
      <c r="E248" s="997" t="str">
        <f>IF('[3]Motor Rutas SKU_Cons'!N252="","s/d","Agua "&amp;TEXT('[3]Motor Rutas SKU_Cons'!N252,"0%")&amp;" · Colas "&amp;TEXT('[3]Motor Rutas SKU_Cons'!O252,"0%")&amp;" · Resto "&amp;TEXT('[3]Motor Rutas SKU_Cons'!P252,"0%"))</f>
        <v>Agua 85% · Colas 8% · Resto 7%</v>
      </c>
      <c r="F248" s="16">
        <f>'[3]Motor Rutas SKU_Cons'!CH252</f>
        <v>0.22184086778078427</v>
      </c>
      <c r="G248" s="16">
        <f>'[3]Motor Rutas SKU_Cons'!CG252</f>
        <v>0.76673132704636326</v>
      </c>
      <c r="H248" s="998">
        <f>'[3]Motor Rutas SKU_Cons'!BX252</f>
        <v>73.680451501782457</v>
      </c>
      <c r="I248" s="998">
        <f>'[3]Motor Rutas SKU_Cons'!BW252</f>
        <v>0</v>
      </c>
    </row>
    <row r="249" spans="1:9">
      <c r="A249" t="str">
        <f>IF('[3]Motor Rutas SKU_Cons'!C253="","",'[3]Motor Rutas SKU_Cons'!C253)</f>
        <v>Norte</v>
      </c>
      <c r="B249" t="str">
        <f>IF('[3]Motor Rutas SKU_Cons'!D253="","",'[3]Motor Rutas SKU_Cons'!D253)</f>
        <v>Guadiana</v>
      </c>
      <c r="C249" t="str">
        <f>IF('[3]Motor Rutas SKU_Cons'!B253="","",'[3]Motor Rutas SKU_Cons'!B253)</f>
        <v>Planta Guadiana</v>
      </c>
      <c r="D249">
        <f>'[3]Motor Rutas SKU_Cons'!A253</f>
        <v>931430</v>
      </c>
      <c r="E249" s="997" t="str">
        <f>IF('[3]Motor Rutas SKU_Cons'!N253="","s/d","Agua "&amp;TEXT('[3]Motor Rutas SKU_Cons'!N253,"0%")&amp;" · Colas "&amp;TEXT('[3]Motor Rutas SKU_Cons'!O253,"0%")&amp;" · Resto "&amp;TEXT('[3]Motor Rutas SKU_Cons'!P253,"0%"))</f>
        <v>Agua 85% · Colas 8% · Resto 7%</v>
      </c>
      <c r="F249" s="16">
        <f>'[3]Motor Rutas SKU_Cons'!CH253</f>
        <v>0.41737728757926468</v>
      </c>
      <c r="G249" s="16">
        <f>'[3]Motor Rutas SKU_Cons'!CG253</f>
        <v>0.76617003272727335</v>
      </c>
      <c r="H249" s="998">
        <f>'[3]Motor Rutas SKU_Cons'!BX253</f>
        <v>42.887335091330904</v>
      </c>
      <c r="I249" s="998">
        <f>'[3]Motor Rutas SKU_Cons'!BW253</f>
        <v>0</v>
      </c>
    </row>
    <row r="250" spans="1:9">
      <c r="A250" t="str">
        <f>IF('[3]Motor Rutas SKU_Cons'!C254="","",'[3]Motor Rutas SKU_Cons'!C254)</f>
        <v>Occidente</v>
      </c>
      <c r="B250" t="str">
        <f>IF('[3]Motor Rutas SKU_Cons'!D254="","",'[3]Motor Rutas SKU_Cons'!D254)</f>
        <v>Favorita</v>
      </c>
      <c r="C250" t="str">
        <f>IF('[3]Motor Rutas SKU_Cons'!B254="","",'[3]Motor Rutas SKU_Cons'!B254)</f>
        <v>Cedi Tonalá</v>
      </c>
      <c r="D250">
        <f>'[3]Motor Rutas SKU_Cons'!A254</f>
        <v>810360</v>
      </c>
      <c r="E250" s="997" t="str">
        <f>IF('[3]Motor Rutas SKU_Cons'!N254="","s/d","Agua "&amp;TEXT('[3]Motor Rutas SKU_Cons'!N254,"0%")&amp;" · Colas "&amp;TEXT('[3]Motor Rutas SKU_Cons'!O254,"0%")&amp;" · Resto "&amp;TEXT('[3]Motor Rutas SKU_Cons'!P254,"0%"))</f>
        <v>Agua 85% · Colas 8% · Resto 7%</v>
      </c>
      <c r="F250" s="16">
        <f>'[3]Motor Rutas SKU_Cons'!CH254</f>
        <v>0.28563240191318728</v>
      </c>
      <c r="G250" s="16">
        <f>'[3]Motor Rutas SKU_Cons'!CG254</f>
        <v>0.76519418849999954</v>
      </c>
      <c r="H250" s="998">
        <f>'[3]Motor Rutas SKU_Cons'!BX254</f>
        <v>67.228090497326278</v>
      </c>
      <c r="I250" s="998">
        <f>'[3]Motor Rutas SKU_Cons'!BW254</f>
        <v>0</v>
      </c>
    </row>
    <row r="251" spans="1:9">
      <c r="A251" t="str">
        <f>IF('[3]Motor Rutas SKU_Cons'!C255="","",'[3]Motor Rutas SKU_Cons'!C255)</f>
        <v>Occidente</v>
      </c>
      <c r="B251" t="str">
        <f>IF('[3]Motor Rutas SKU_Cons'!D255="","",'[3]Motor Rutas SKU_Cons'!D255)</f>
        <v>San Luis</v>
      </c>
      <c r="C251" t="str">
        <f>IF('[3]Motor Rutas SKU_Cons'!B255="","",'[3]Motor Rutas SKU_Cons'!B255)</f>
        <v>Planta San Luis</v>
      </c>
      <c r="D251">
        <f>'[3]Motor Rutas SKU_Cons'!A255</f>
        <v>916412</v>
      </c>
      <c r="E251" s="997" t="str">
        <f>IF('[3]Motor Rutas SKU_Cons'!N255="","s/d","Agua "&amp;TEXT('[3]Motor Rutas SKU_Cons'!N255,"0%")&amp;" · Colas "&amp;TEXT('[3]Motor Rutas SKU_Cons'!O255,"0%")&amp;" · Resto "&amp;TEXT('[3]Motor Rutas SKU_Cons'!P255,"0%"))</f>
        <v>Agua 85% · Colas 8% · Resto 7%</v>
      </c>
      <c r="F251" s="16">
        <f>'[3]Motor Rutas SKU_Cons'!CH255</f>
        <v>0.3368784491268042</v>
      </c>
      <c r="G251" s="16">
        <f>'[3]Motor Rutas SKU_Cons'!CG255</f>
        <v>0.76512149652272654</v>
      </c>
      <c r="H251" s="998">
        <f>'[3]Motor Rutas SKU_Cons'!BX255</f>
        <v>9.0769647108146501E-4</v>
      </c>
      <c r="I251" s="998">
        <f>'[3]Motor Rutas SKU_Cons'!BW255</f>
        <v>0</v>
      </c>
    </row>
    <row r="252" spans="1:9">
      <c r="A252" t="str">
        <f>IF('[3]Motor Rutas SKU_Cons'!C256="","",'[3]Motor Rutas SKU_Cons'!C256)</f>
        <v>Occidente</v>
      </c>
      <c r="B252" t="str">
        <f>IF('[3]Motor Rutas SKU_Cons'!D256="","",'[3]Motor Rutas SKU_Cons'!D256)</f>
        <v>Favorita</v>
      </c>
      <c r="C252" t="str">
        <f>IF('[3]Motor Rutas SKU_Cons'!B256="","",'[3]Motor Rutas SKU_Cons'!B256)</f>
        <v>Suc. Santa Maria</v>
      </c>
      <c r="D252">
        <f>'[3]Motor Rutas SKU_Cons'!A256</f>
        <v>809321</v>
      </c>
      <c r="E252" s="997" t="str">
        <f>IF('[3]Motor Rutas SKU_Cons'!N256="","s/d","Agua "&amp;TEXT('[3]Motor Rutas SKU_Cons'!N256,"0%")&amp;" · Colas "&amp;TEXT('[3]Motor Rutas SKU_Cons'!O256,"0%")&amp;" · Resto "&amp;TEXT('[3]Motor Rutas SKU_Cons'!P256,"0%"))</f>
        <v>Agua 85% · Colas 8% · Resto 7%</v>
      </c>
      <c r="F252" s="16">
        <f>'[3]Motor Rutas SKU_Cons'!CH256</f>
        <v>0.35064199701811571</v>
      </c>
      <c r="G252" s="16">
        <f>'[3]Motor Rutas SKU_Cons'!CG256</f>
        <v>0.76363573315909028</v>
      </c>
      <c r="H252" s="998">
        <f>'[3]Motor Rutas SKU_Cons'!BX256</f>
        <v>60.653525720142667</v>
      </c>
      <c r="I252" s="998">
        <f>'[3]Motor Rutas SKU_Cons'!BW256</f>
        <v>0</v>
      </c>
    </row>
    <row r="253" spans="1:9">
      <c r="A253" t="str">
        <f>IF('[3]Motor Rutas SKU_Cons'!C257="","",'[3]Motor Rutas SKU_Cons'!C257)</f>
        <v>Occidente</v>
      </c>
      <c r="B253" t="str">
        <f>IF('[3]Motor Rutas SKU_Cons'!D257="","",'[3]Motor Rutas SKU_Cons'!D257)</f>
        <v>Favorita</v>
      </c>
      <c r="C253" t="str">
        <f>IF('[3]Motor Rutas SKU_Cons'!B257="","",'[3]Motor Rutas SKU_Cons'!B257)</f>
        <v>Suc. Santa Maria</v>
      </c>
      <c r="D253">
        <f>'[3]Motor Rutas SKU_Cons'!A257</f>
        <v>809361</v>
      </c>
      <c r="E253" s="997" t="str">
        <f>IF('[3]Motor Rutas SKU_Cons'!N257="","s/d","Agua "&amp;TEXT('[3]Motor Rutas SKU_Cons'!N257,"0%")&amp;" · Colas "&amp;TEXT('[3]Motor Rutas SKU_Cons'!O257,"0%")&amp;" · Resto "&amp;TEXT('[3]Motor Rutas SKU_Cons'!P257,"0%"))</f>
        <v>Agua 85% · Colas 8% · Resto 7%</v>
      </c>
      <c r="F253" s="16">
        <f>'[3]Motor Rutas SKU_Cons'!CH257</f>
        <v>0.29134006755638919</v>
      </c>
      <c r="G253" s="16">
        <f>'[3]Motor Rutas SKU_Cons'!CG257</f>
        <v>0.76173540473863632</v>
      </c>
      <c r="H253" s="998">
        <f>'[3]Motor Rutas SKU_Cons'!BX257</f>
        <v>66.237297243315382</v>
      </c>
      <c r="I253" s="998">
        <f>'[3]Motor Rutas SKU_Cons'!BW257</f>
        <v>0</v>
      </c>
    </row>
    <row r="254" spans="1:9">
      <c r="A254" t="str">
        <f>IF('[3]Motor Rutas SKU_Cons'!C258="","",'[3]Motor Rutas SKU_Cons'!C258)</f>
        <v>Occidente</v>
      </c>
      <c r="B254" t="str">
        <f>IF('[3]Motor Rutas SKU_Cons'!D258="","",'[3]Motor Rutas SKU_Cons'!D258)</f>
        <v>Favorita</v>
      </c>
      <c r="C254" t="str">
        <f>IF('[3]Motor Rutas SKU_Cons'!B258="","",'[3]Motor Rutas SKU_Cons'!B258)</f>
        <v>Suc. Toluquilla</v>
      </c>
      <c r="D254">
        <f>'[3]Motor Rutas SKU_Cons'!A258</f>
        <v>804422</v>
      </c>
      <c r="E254" s="997" t="str">
        <f>IF('[3]Motor Rutas SKU_Cons'!N258="","s/d","Agua "&amp;TEXT('[3]Motor Rutas SKU_Cons'!N258,"0%")&amp;" · Colas "&amp;TEXT('[3]Motor Rutas SKU_Cons'!O258,"0%")&amp;" · Resto "&amp;TEXT('[3]Motor Rutas SKU_Cons'!P258,"0%"))</f>
        <v>Agua 85% · Colas 8% · Resto 7%</v>
      </c>
      <c r="F254" s="16">
        <f>'[3]Motor Rutas SKU_Cons'!CH258</f>
        <v>0.26133038309207068</v>
      </c>
      <c r="G254" s="16">
        <f>'[3]Motor Rutas SKU_Cons'!CG258</f>
        <v>0.76097886995454544</v>
      </c>
      <c r="H254" s="998">
        <f>'[3]Motor Rutas SKU_Cons'!BX258</f>
        <v>69.088496291443846</v>
      </c>
      <c r="I254" s="998">
        <f>'[3]Motor Rutas SKU_Cons'!BW258</f>
        <v>0</v>
      </c>
    </row>
    <row r="255" spans="1:9">
      <c r="A255" t="str">
        <f>IF('[3]Motor Rutas SKU_Cons'!C259="","",'[3]Motor Rutas SKU_Cons'!C259)</f>
        <v>Occidente</v>
      </c>
      <c r="B255" t="str">
        <f>IF('[3]Motor Rutas SKU_Cons'!D259="","",'[3]Motor Rutas SKU_Cons'!D259)</f>
        <v>Favorita</v>
      </c>
      <c r="C255" t="str">
        <f>IF('[3]Motor Rutas SKU_Cons'!B259="","",'[3]Motor Rutas SKU_Cons'!B259)</f>
        <v>Suc. Santa Maria</v>
      </c>
      <c r="D255">
        <f>'[3]Motor Rutas SKU_Cons'!A259</f>
        <v>809331</v>
      </c>
      <c r="E255" s="997" t="str">
        <f>IF('[3]Motor Rutas SKU_Cons'!N259="","s/d","Agua "&amp;TEXT('[3]Motor Rutas SKU_Cons'!N259,"0%")&amp;" · Colas "&amp;TEXT('[3]Motor Rutas SKU_Cons'!O259,"0%")&amp;" · Resto "&amp;TEXT('[3]Motor Rutas SKU_Cons'!P259,"0%"))</f>
        <v>Agua 85% · Colas 8% · Resto 7%</v>
      </c>
      <c r="F255" s="16">
        <f>'[3]Motor Rutas SKU_Cons'!CH259</f>
        <v>0.23615467029055603</v>
      </c>
      <c r="G255" s="16">
        <f>'[3]Motor Rutas SKU_Cons'!CG259</f>
        <v>0.75902888607954566</v>
      </c>
      <c r="H255" s="998">
        <f>'[3]Motor Rutas SKU_Cons'!BX259</f>
        <v>71.316674314616748</v>
      </c>
      <c r="I255" s="998">
        <f>'[3]Motor Rutas SKU_Cons'!BW259</f>
        <v>0</v>
      </c>
    </row>
    <row r="256" spans="1:9">
      <c r="A256" t="str">
        <f>IF('[3]Motor Rutas SKU_Cons'!C260="","",'[3]Motor Rutas SKU_Cons'!C260)</f>
        <v>Occidente</v>
      </c>
      <c r="B256" t="str">
        <f>IF('[3]Motor Rutas SKU_Cons'!D260="","",'[3]Motor Rutas SKU_Cons'!D260)</f>
        <v>Favorita</v>
      </c>
      <c r="C256" t="str">
        <f>IF('[3]Motor Rutas SKU_Cons'!B260="","",'[3]Motor Rutas SKU_Cons'!B260)</f>
        <v>Suc. San Rafael</v>
      </c>
      <c r="D256">
        <f>'[3]Motor Rutas SKU_Cons'!A260</f>
        <v>803340</v>
      </c>
      <c r="E256" s="997" t="str">
        <f>IF('[3]Motor Rutas SKU_Cons'!N260="","s/d","Agua "&amp;TEXT('[3]Motor Rutas SKU_Cons'!N260,"0%")&amp;" · Colas "&amp;TEXT('[3]Motor Rutas SKU_Cons'!O260,"0%")&amp;" · Resto "&amp;TEXT('[3]Motor Rutas SKU_Cons'!P260,"0%"))</f>
        <v>Agua 85% · Colas 8% · Resto 7%</v>
      </c>
      <c r="F256" s="16">
        <f>'[3]Motor Rutas SKU_Cons'!CH260</f>
        <v>0.31472606089127669</v>
      </c>
      <c r="G256" s="16">
        <f>'[3]Motor Rutas SKU_Cons'!CG260</f>
        <v>0.75763857201136398</v>
      </c>
      <c r="H256" s="998">
        <f>'[3]Motor Rutas SKU_Cons'!BX260</f>
        <v>63.431982324420851</v>
      </c>
      <c r="I256" s="998">
        <f>'[3]Motor Rutas SKU_Cons'!BW260</f>
        <v>0</v>
      </c>
    </row>
    <row r="257" spans="1:9">
      <c r="A257" t="str">
        <f>IF('[3]Motor Rutas SKU_Cons'!C261="","",'[3]Motor Rutas SKU_Cons'!C261)</f>
        <v>Occidente</v>
      </c>
      <c r="B257" t="str">
        <f>IF('[3]Motor Rutas SKU_Cons'!D261="","",'[3]Motor Rutas SKU_Cons'!D261)</f>
        <v>Favorita</v>
      </c>
      <c r="C257" t="str">
        <f>IF('[3]Motor Rutas SKU_Cons'!B261="","",'[3]Motor Rutas SKU_Cons'!B261)</f>
        <v>Suc. Toluquilla</v>
      </c>
      <c r="D257">
        <f>'[3]Motor Rutas SKU_Cons'!A261</f>
        <v>804420</v>
      </c>
      <c r="E257" s="997" t="str">
        <f>IF('[3]Motor Rutas SKU_Cons'!N261="","s/d","Agua "&amp;TEXT('[3]Motor Rutas SKU_Cons'!N261,"0%")&amp;" · Colas "&amp;TEXT('[3]Motor Rutas SKU_Cons'!O261,"0%")&amp;" · Resto "&amp;TEXT('[3]Motor Rutas SKU_Cons'!P261,"0%"))</f>
        <v>Agua 85% · Colas 8% · Resto 7%</v>
      </c>
      <c r="F257" s="16">
        <f>'[3]Motor Rutas SKU_Cons'!CH261</f>
        <v>0.21918984227312396</v>
      </c>
      <c r="G257" s="16">
        <f>'[3]Motor Rutas SKU_Cons'!CG261</f>
        <v>0.75579509178409132</v>
      </c>
      <c r="H257" s="998">
        <f>'[3]Motor Rutas SKU_Cons'!BX261</f>
        <v>21.767871574604516</v>
      </c>
      <c r="I257" s="998">
        <f>'[3]Motor Rutas SKU_Cons'!BW261</f>
        <v>0</v>
      </c>
    </row>
    <row r="258" spans="1:9">
      <c r="A258" t="str">
        <f>IF('[3]Motor Rutas SKU_Cons'!C262="","",'[3]Motor Rutas SKU_Cons'!C262)</f>
        <v>Occidente</v>
      </c>
      <c r="B258" t="str">
        <f>IF('[3]Motor Rutas SKU_Cons'!D262="","",'[3]Motor Rutas SKU_Cons'!D262)</f>
        <v>San Luis</v>
      </c>
      <c r="C258" t="str">
        <f>IF('[3]Motor Rutas SKU_Cons'!B262="","",'[3]Motor Rutas SKU_Cons'!B262)</f>
        <v>Planta San Luis</v>
      </c>
      <c r="D258">
        <f>'[3]Motor Rutas SKU_Cons'!A262</f>
        <v>916340</v>
      </c>
      <c r="E258" s="997" t="str">
        <f>IF('[3]Motor Rutas SKU_Cons'!N262="","s/d","Agua "&amp;TEXT('[3]Motor Rutas SKU_Cons'!N262,"0%")&amp;" · Colas "&amp;TEXT('[3]Motor Rutas SKU_Cons'!O262,"0%")&amp;" · Resto "&amp;TEXT('[3]Motor Rutas SKU_Cons'!P262,"0%"))</f>
        <v>Agua 85% · Colas 8% · Resto 7%</v>
      </c>
      <c r="F258" s="16">
        <f>'[3]Motor Rutas SKU_Cons'!CH262</f>
        <v>0.43664380474431452</v>
      </c>
      <c r="G258" s="16">
        <f>'[3]Motor Rutas SKU_Cons'!CG262</f>
        <v>0.75338464806818195</v>
      </c>
      <c r="H258" s="998">
        <f>'[3]Motor Rutas SKU_Cons'!BX262</f>
        <v>50.936439968805757</v>
      </c>
      <c r="I258" s="998">
        <f>'[3]Motor Rutas SKU_Cons'!BW262</f>
        <v>0</v>
      </c>
    </row>
    <row r="259" spans="1:9">
      <c r="A259" t="str">
        <f>IF('[3]Motor Rutas SKU_Cons'!C263="","",'[3]Motor Rutas SKU_Cons'!C263)</f>
        <v>Occidente</v>
      </c>
      <c r="B259" t="str">
        <f>IF('[3]Motor Rutas SKU_Cons'!D263="","",'[3]Motor Rutas SKU_Cons'!D263)</f>
        <v>Favorita</v>
      </c>
      <c r="C259" t="str">
        <f>IF('[3]Motor Rutas SKU_Cons'!B263="","",'[3]Motor Rutas SKU_Cons'!B263)</f>
        <v>Cedi Tonalá</v>
      </c>
      <c r="D259">
        <f>'[3]Motor Rutas SKU_Cons'!A263</f>
        <v>810359</v>
      </c>
      <c r="E259" s="997" t="str">
        <f>IF('[3]Motor Rutas SKU_Cons'!N263="","s/d","Agua "&amp;TEXT('[3]Motor Rutas SKU_Cons'!N263,"0%")&amp;" · Colas "&amp;TEXT('[3]Motor Rutas SKU_Cons'!O263,"0%")&amp;" · Resto "&amp;TEXT('[3]Motor Rutas SKU_Cons'!P263,"0%"))</f>
        <v>Agua 85% · Colas 8% · Resto 7%</v>
      </c>
      <c r="F259" s="16">
        <f>'[3]Motor Rutas SKU_Cons'!CH263</f>
        <v>0.27799585664584514</v>
      </c>
      <c r="G259" s="16">
        <f>'[3]Motor Rutas SKU_Cons'!CG263</f>
        <v>0.75312624640909076</v>
      </c>
      <c r="H259" s="998">
        <f>'[3]Motor Rutas SKU_Cons'!BX263</f>
        <v>66.475210995543875</v>
      </c>
      <c r="I259" s="998">
        <f>'[3]Motor Rutas SKU_Cons'!BW263</f>
        <v>0</v>
      </c>
    </row>
    <row r="260" spans="1:9">
      <c r="A260" t="str">
        <f>IF('[3]Motor Rutas SKU_Cons'!C264="","",'[3]Motor Rutas SKU_Cons'!C264)</f>
        <v>Occidente</v>
      </c>
      <c r="B260" t="str">
        <f>IF('[3]Motor Rutas SKU_Cons'!D264="","",'[3]Motor Rutas SKU_Cons'!D264)</f>
        <v>Zapopan</v>
      </c>
      <c r="C260" t="str">
        <f>IF('[3]Motor Rutas SKU_Cons'!B264="","",'[3]Motor Rutas SKU_Cons'!B264)</f>
        <v>Suc. Huentitán</v>
      </c>
      <c r="D260">
        <f>'[3]Motor Rutas SKU_Cons'!A264</f>
        <v>819354</v>
      </c>
      <c r="E260" s="997" t="str">
        <f>IF('[3]Motor Rutas SKU_Cons'!N264="","s/d","Agua "&amp;TEXT('[3]Motor Rutas SKU_Cons'!N264,"0%")&amp;" · Colas "&amp;TEXT('[3]Motor Rutas SKU_Cons'!O264,"0%")&amp;" · Resto "&amp;TEXT('[3]Motor Rutas SKU_Cons'!P264,"0%"))</f>
        <v>Agua 85% · Colas 8% · Resto 7%</v>
      </c>
      <c r="F260" s="16">
        <f>'[3]Motor Rutas SKU_Cons'!CH264</f>
        <v>0.35310034550073227</v>
      </c>
      <c r="G260" s="16">
        <f>'[3]Motor Rutas SKU_Cons'!CG264</f>
        <v>0.75132313486363655</v>
      </c>
      <c r="H260" s="998">
        <f>'[3]Motor Rutas SKU_Cons'!BX264</f>
        <v>58.879396732620421</v>
      </c>
      <c r="I260" s="998">
        <f>'[3]Motor Rutas SKU_Cons'!BW264</f>
        <v>0</v>
      </c>
    </row>
    <row r="261" spans="1:9">
      <c r="A261" t="str">
        <f>IF('[3]Motor Rutas SKU_Cons'!C265="","",'[3]Motor Rutas SKU_Cons'!C265)</f>
        <v>Occidente</v>
      </c>
      <c r="B261" t="str">
        <f>IF('[3]Motor Rutas SKU_Cons'!D265="","",'[3]Motor Rutas SKU_Cons'!D265)</f>
        <v>Favorita</v>
      </c>
      <c r="C261" t="str">
        <f>IF('[3]Motor Rutas SKU_Cons'!B265="","",'[3]Motor Rutas SKU_Cons'!B265)</f>
        <v>Suc. Alamo</v>
      </c>
      <c r="D261">
        <f>'[3]Motor Rutas SKU_Cons'!A265</f>
        <v>802340</v>
      </c>
      <c r="E261" s="997" t="str">
        <f>IF('[3]Motor Rutas SKU_Cons'!N265="","s/d","Agua "&amp;TEXT('[3]Motor Rutas SKU_Cons'!N265,"0%")&amp;" · Colas "&amp;TEXT('[3]Motor Rutas SKU_Cons'!O265,"0%")&amp;" · Resto "&amp;TEXT('[3]Motor Rutas SKU_Cons'!P265,"0%"))</f>
        <v>Agua 85% · Colas 8% · Resto 7%</v>
      </c>
      <c r="F261" s="16">
        <f>'[3]Motor Rutas SKU_Cons'!CH265</f>
        <v>0.27915515217084863</v>
      </c>
      <c r="G261" s="16">
        <f>'[3]Motor Rutas SKU_Cons'!CG265</f>
        <v>0.74989742412375104</v>
      </c>
      <c r="H261" s="998">
        <f>'[3]Motor Rutas SKU_Cons'!BX265</f>
        <v>65.959458954545596</v>
      </c>
      <c r="I261" s="998">
        <f>'[3]Motor Rutas SKU_Cons'!BW265</f>
        <v>0</v>
      </c>
    </row>
    <row r="262" spans="1:9">
      <c r="A262" t="str">
        <f>IF('[3]Motor Rutas SKU_Cons'!C266="","",'[3]Motor Rutas SKU_Cons'!C266)</f>
        <v>Occidente</v>
      </c>
      <c r="B262" t="str">
        <f>IF('[3]Motor Rutas SKU_Cons'!D266="","",'[3]Motor Rutas SKU_Cons'!D266)</f>
        <v>Favorita</v>
      </c>
      <c r="C262" t="str">
        <f>IF('[3]Motor Rutas SKU_Cons'!B266="","",'[3]Motor Rutas SKU_Cons'!B266)</f>
        <v>Suc. Santa Maria</v>
      </c>
      <c r="D262">
        <f>'[3]Motor Rutas SKU_Cons'!A266</f>
        <v>809320</v>
      </c>
      <c r="E262" s="997" t="str">
        <f>IF('[3]Motor Rutas SKU_Cons'!N266="","s/d","Agua "&amp;TEXT('[3]Motor Rutas SKU_Cons'!N266,"0%")&amp;" · Colas "&amp;TEXT('[3]Motor Rutas SKU_Cons'!O266,"0%")&amp;" · Resto "&amp;TEXT('[3]Motor Rutas SKU_Cons'!P266,"0%"))</f>
        <v>Agua 85% · Colas 8% · Resto 7%</v>
      </c>
      <c r="F262" s="16">
        <f>'[3]Motor Rutas SKU_Cons'!CH266</f>
        <v>0.50077197849685362</v>
      </c>
      <c r="G262" s="16">
        <f>'[3]Motor Rutas SKU_Cons'!CG266</f>
        <v>0.7494775348295456</v>
      </c>
      <c r="H262" s="998">
        <f>'[3]Motor Rutas SKU_Cons'!BX266</f>
        <v>44.155990336898498</v>
      </c>
      <c r="I262" s="998">
        <f>'[3]Motor Rutas SKU_Cons'!BW266</f>
        <v>0</v>
      </c>
    </row>
    <row r="263" spans="1:9">
      <c r="A263" t="str">
        <f>IF('[3]Motor Rutas SKU_Cons'!C267="","",'[3]Motor Rutas SKU_Cons'!C267)</f>
        <v>Occidente</v>
      </c>
      <c r="B263" t="str">
        <f>IF('[3]Motor Rutas SKU_Cons'!D267="","",'[3]Motor Rutas SKU_Cons'!D267)</f>
        <v>Favorita</v>
      </c>
      <c r="C263" t="str">
        <f>IF('[3]Motor Rutas SKU_Cons'!B267="","",'[3]Motor Rutas SKU_Cons'!B267)</f>
        <v>Suc. Santa Maria</v>
      </c>
      <c r="D263">
        <f>'[3]Motor Rutas SKU_Cons'!A267</f>
        <v>809333</v>
      </c>
      <c r="E263" s="997" t="str">
        <f>IF('[3]Motor Rutas SKU_Cons'!N267="","s/d","Agua "&amp;TEXT('[3]Motor Rutas SKU_Cons'!N267,"0%")&amp;" · Colas "&amp;TEXT('[3]Motor Rutas SKU_Cons'!O267,"0%")&amp;" · Resto "&amp;TEXT('[3]Motor Rutas SKU_Cons'!P267,"0%"))</f>
        <v>Agua 85% · Colas 8% · Resto 7%</v>
      </c>
      <c r="F263" s="16">
        <f>'[3]Motor Rutas SKU_Cons'!CH267</f>
        <v>0.12685526424564028</v>
      </c>
      <c r="G263" s="16">
        <f>'[3]Motor Rutas SKU_Cons'!CG267</f>
        <v>0.74939500998409092</v>
      </c>
      <c r="H263" s="998">
        <f>'[3]Motor Rutas SKU_Cons'!BX267</f>
        <v>43.526658420677435</v>
      </c>
      <c r="I263" s="998">
        <f>'[3]Motor Rutas SKU_Cons'!BW267</f>
        <v>0</v>
      </c>
    </row>
    <row r="264" spans="1:9">
      <c r="A264" t="str">
        <f>IF('[3]Motor Rutas SKU_Cons'!C268="","",'[3]Motor Rutas SKU_Cons'!C268)</f>
        <v>Occidente</v>
      </c>
      <c r="B264" t="str">
        <f>IF('[3]Motor Rutas SKU_Cons'!D268="","",'[3]Motor Rutas SKU_Cons'!D268)</f>
        <v>Zapopan</v>
      </c>
      <c r="C264" t="str">
        <f>IF('[3]Motor Rutas SKU_Cons'!B268="","",'[3]Motor Rutas SKU_Cons'!B268)</f>
        <v>Planta Zapopan</v>
      </c>
      <c r="D264">
        <f>'[3]Motor Rutas SKU_Cons'!A268</f>
        <v>816397</v>
      </c>
      <c r="E264" s="997" t="str">
        <f>IF('[3]Motor Rutas SKU_Cons'!N268="","s/d","Agua "&amp;TEXT('[3]Motor Rutas SKU_Cons'!N268,"0%")&amp;" · Colas "&amp;TEXT('[3]Motor Rutas SKU_Cons'!O268,"0%")&amp;" · Resto "&amp;TEXT('[3]Motor Rutas SKU_Cons'!P268,"0%"))</f>
        <v>Agua 85% · Colas 8% · Resto 7%</v>
      </c>
      <c r="F264" s="16">
        <f>'[3]Motor Rutas SKU_Cons'!CH268</f>
        <v>0.172148766113948</v>
      </c>
      <c r="G264" s="16">
        <f>'[3]Motor Rutas SKU_Cons'!CG268</f>
        <v>0.74759461803409066</v>
      </c>
      <c r="H264" s="998">
        <f>'[3]Motor Rutas SKU_Cons'!BX268</f>
        <v>76.17520982531218</v>
      </c>
      <c r="I264" s="998">
        <f>'[3]Motor Rutas SKU_Cons'!BW268</f>
        <v>0</v>
      </c>
    </row>
    <row r="265" spans="1:9">
      <c r="A265" t="str">
        <f>IF('[3]Motor Rutas SKU_Cons'!C269="","",'[3]Motor Rutas SKU_Cons'!C269)</f>
        <v>Occidente</v>
      </c>
      <c r="B265" t="str">
        <f>IF('[3]Motor Rutas SKU_Cons'!D269="","",'[3]Motor Rutas SKU_Cons'!D269)</f>
        <v>Zapopan</v>
      </c>
      <c r="C265" t="str">
        <f>IF('[3]Motor Rutas SKU_Cons'!B269="","",'[3]Motor Rutas SKU_Cons'!B269)</f>
        <v>Suc. Belenes</v>
      </c>
      <c r="D265">
        <f>'[3]Motor Rutas SKU_Cons'!A269</f>
        <v>820374</v>
      </c>
      <c r="E265" s="997" t="str">
        <f>IF('[3]Motor Rutas SKU_Cons'!N269="","s/d","Agua "&amp;TEXT('[3]Motor Rutas SKU_Cons'!N269,"0%")&amp;" · Colas "&amp;TEXT('[3]Motor Rutas SKU_Cons'!O269,"0%")&amp;" · Resto "&amp;TEXT('[3]Motor Rutas SKU_Cons'!P269,"0%"))</f>
        <v>Agua 85% · Colas 8% · Resto 7%</v>
      </c>
      <c r="F265" s="16">
        <f>'[3]Motor Rutas SKU_Cons'!CH269</f>
        <v>0.20989359532764706</v>
      </c>
      <c r="G265" s="16">
        <f>'[3]Motor Rutas SKU_Cons'!CG269</f>
        <v>0.74756313235227267</v>
      </c>
      <c r="H265" s="998">
        <f>'[3]Motor Rutas SKU_Cons'!BX269</f>
        <v>72.466719645276399</v>
      </c>
      <c r="I265" s="998">
        <f>'[3]Motor Rutas SKU_Cons'!BW269</f>
        <v>0</v>
      </c>
    </row>
    <row r="266" spans="1:9">
      <c r="A266" t="str">
        <f>IF('[3]Motor Rutas SKU_Cons'!C270="","",'[3]Motor Rutas SKU_Cons'!C270)</f>
        <v>Occidente</v>
      </c>
      <c r="B266" t="str">
        <f>IF('[3]Motor Rutas SKU_Cons'!D270="","",'[3]Motor Rutas SKU_Cons'!D270)</f>
        <v>Aguascalientes</v>
      </c>
      <c r="C266" t="str">
        <f>IF('[3]Motor Rutas SKU_Cons'!B270="","",'[3]Motor Rutas SKU_Cons'!B270)</f>
        <v>Sucursal Juchipila</v>
      </c>
      <c r="D266">
        <f>'[3]Motor Rutas SKU_Cons'!A270</f>
        <v>904400</v>
      </c>
      <c r="E266" s="997" t="str">
        <f>IF('[3]Motor Rutas SKU_Cons'!N270="","s/d","Agua "&amp;TEXT('[3]Motor Rutas SKU_Cons'!N270,"0%")&amp;" · Colas "&amp;TEXT('[3]Motor Rutas SKU_Cons'!O270,"0%")&amp;" · Resto "&amp;TEXT('[3]Motor Rutas SKU_Cons'!P270,"0%"))</f>
        <v>Agua 85% · Colas 8% · Resto 7%</v>
      </c>
      <c r="F266" s="16">
        <f>'[3]Motor Rutas SKU_Cons'!CH270</f>
        <v>5.1437049583642792E-2</v>
      </c>
      <c r="G266" s="16">
        <f>'[3]Motor Rutas SKU_Cons'!CG270</f>
        <v>0.74530045585227211</v>
      </c>
      <c r="H266" s="998">
        <f>'[3]Motor Rutas SKU_Cons'!BX270</f>
        <v>0</v>
      </c>
      <c r="I266" s="998">
        <f>'[3]Motor Rutas SKU_Cons'!BW270</f>
        <v>0</v>
      </c>
    </row>
    <row r="267" spans="1:9">
      <c r="A267" t="str">
        <f>IF('[3]Motor Rutas SKU_Cons'!C271="","",'[3]Motor Rutas SKU_Cons'!C271)</f>
        <v>Occidente</v>
      </c>
      <c r="B267" t="str">
        <f>IF('[3]Motor Rutas SKU_Cons'!D271="","",'[3]Motor Rutas SKU_Cons'!D271)</f>
        <v>Zapopan</v>
      </c>
      <c r="C267" t="str">
        <f>IF('[3]Motor Rutas SKU_Cons'!B271="","",'[3]Motor Rutas SKU_Cons'!B271)</f>
        <v>Suc. Belenes</v>
      </c>
      <c r="D267">
        <f>'[3]Motor Rutas SKU_Cons'!A271</f>
        <v>820377</v>
      </c>
      <c r="E267" s="997" t="str">
        <f>IF('[3]Motor Rutas SKU_Cons'!N271="","s/d","Agua "&amp;TEXT('[3]Motor Rutas SKU_Cons'!N271,"0%")&amp;" · Colas "&amp;TEXT('[3]Motor Rutas SKU_Cons'!O271,"0%")&amp;" · Resto "&amp;TEXT('[3]Motor Rutas SKU_Cons'!P271,"0%"))</f>
        <v>Agua 85% · Colas 8% · Resto 7%</v>
      </c>
      <c r="F267" s="16">
        <f>'[3]Motor Rutas SKU_Cons'!CH271</f>
        <v>0.22375731006570787</v>
      </c>
      <c r="G267" s="16">
        <f>'[3]Motor Rutas SKU_Cons'!CG271</f>
        <v>0.74488417118181782</v>
      </c>
      <c r="H267" s="998">
        <f>'[3]Motor Rutas SKU_Cons'!BX271</f>
        <v>70.772511874331613</v>
      </c>
      <c r="I267" s="998">
        <f>'[3]Motor Rutas SKU_Cons'!BW271</f>
        <v>0</v>
      </c>
    </row>
    <row r="268" spans="1:9">
      <c r="A268" t="str">
        <f>IF('[3]Motor Rutas SKU_Cons'!C272="","",'[3]Motor Rutas SKU_Cons'!C272)</f>
        <v>Occidente</v>
      </c>
      <c r="B268" t="str">
        <f>IF('[3]Motor Rutas SKU_Cons'!D272="","",'[3]Motor Rutas SKU_Cons'!D272)</f>
        <v>Zapopan</v>
      </c>
      <c r="C268" t="str">
        <f>IF('[3]Motor Rutas SKU_Cons'!B272="","",'[3]Motor Rutas SKU_Cons'!B272)</f>
        <v>Planta Zapopan</v>
      </c>
      <c r="D268">
        <f>'[3]Motor Rutas SKU_Cons'!A272</f>
        <v>816334</v>
      </c>
      <c r="E268" s="997" t="str">
        <f>IF('[3]Motor Rutas SKU_Cons'!N272="","s/d","Agua "&amp;TEXT('[3]Motor Rutas SKU_Cons'!N272,"0%")&amp;" · Colas "&amp;TEXT('[3]Motor Rutas SKU_Cons'!O272,"0%")&amp;" · Resto "&amp;TEXT('[3]Motor Rutas SKU_Cons'!P272,"0%"))</f>
        <v>Agua 85% · Colas 8% · Resto 7%</v>
      </c>
      <c r="F268" s="16">
        <f>'[3]Motor Rutas SKU_Cons'!CH272</f>
        <v>0.17235190726283511</v>
      </c>
      <c r="G268" s="16">
        <f>'[3]Motor Rutas SKU_Cons'!CG272</f>
        <v>0.74299114932954513</v>
      </c>
      <c r="H268" s="998">
        <f>'[3]Motor Rutas SKU_Cons'!BX272</f>
        <v>75.582166629233512</v>
      </c>
      <c r="I268" s="998">
        <f>'[3]Motor Rutas SKU_Cons'!BW272</f>
        <v>0</v>
      </c>
    </row>
    <row r="269" spans="1:9">
      <c r="A269" t="str">
        <f>IF('[3]Motor Rutas SKU_Cons'!C273="","",'[3]Motor Rutas SKU_Cons'!C273)</f>
        <v>Occidente</v>
      </c>
      <c r="B269" t="str">
        <f>IF('[3]Motor Rutas SKU_Cons'!D273="","",'[3]Motor Rutas SKU_Cons'!D273)</f>
        <v>Aguascalientes</v>
      </c>
      <c r="C269" t="str">
        <f>IF('[3]Motor Rutas SKU_Cons'!B273="","",'[3]Motor Rutas SKU_Cons'!B273)</f>
        <v>Planta Aguascalientes</v>
      </c>
      <c r="D269">
        <f>'[3]Motor Rutas SKU_Cons'!A273</f>
        <v>901401</v>
      </c>
      <c r="E269" s="997" t="str">
        <f>IF('[3]Motor Rutas SKU_Cons'!N273="","s/d","Agua "&amp;TEXT('[3]Motor Rutas SKU_Cons'!N273,"0%")&amp;" · Colas "&amp;TEXT('[3]Motor Rutas SKU_Cons'!O273,"0%")&amp;" · Resto "&amp;TEXT('[3]Motor Rutas SKU_Cons'!P273,"0%"))</f>
        <v>Agua 85% · Colas 8% · Resto 7%</v>
      </c>
      <c r="F269" s="16">
        <f>'[3]Motor Rutas SKU_Cons'!CH273</f>
        <v>0.20035250063559518</v>
      </c>
      <c r="G269" s="16">
        <f>'[3]Motor Rutas SKU_Cons'!CG273</f>
        <v>0.74102088017045475</v>
      </c>
      <c r="H269" s="998">
        <f>'[3]Motor Rutas SKU_Cons'!BX273</f>
        <v>46.029156955048187</v>
      </c>
      <c r="I269" s="998">
        <f>'[3]Motor Rutas SKU_Cons'!BW273</f>
        <v>0</v>
      </c>
    </row>
    <row r="270" spans="1:9">
      <c r="A270" t="str">
        <f>IF('[3]Motor Rutas SKU_Cons'!C274="","",'[3]Motor Rutas SKU_Cons'!C274)</f>
        <v>Occidente</v>
      </c>
      <c r="B270" t="str">
        <f>IF('[3]Motor Rutas SKU_Cons'!D274="","",'[3]Motor Rutas SKU_Cons'!D274)</f>
        <v>Zapopan</v>
      </c>
      <c r="C270" t="str">
        <f>IF('[3]Motor Rutas SKU_Cons'!B274="","",'[3]Motor Rutas SKU_Cons'!B274)</f>
        <v>Suc. Belenes</v>
      </c>
      <c r="D270">
        <f>'[3]Motor Rutas SKU_Cons'!A274</f>
        <v>820357</v>
      </c>
      <c r="E270" s="997" t="str">
        <f>IF('[3]Motor Rutas SKU_Cons'!N274="","s/d","Agua "&amp;TEXT('[3]Motor Rutas SKU_Cons'!N274,"0%")&amp;" · Colas "&amp;TEXT('[3]Motor Rutas SKU_Cons'!O274,"0%")&amp;" · Resto "&amp;TEXT('[3]Motor Rutas SKU_Cons'!P274,"0%"))</f>
        <v>Agua 85% · Colas 8% · Resto 7%</v>
      </c>
      <c r="F270" s="16">
        <f>'[3]Motor Rutas SKU_Cons'!CH274</f>
        <v>0.31833118666741833</v>
      </c>
      <c r="G270" s="16">
        <f>'[3]Motor Rutas SKU_Cons'!CG274</f>
        <v>0.74013306770454568</v>
      </c>
      <c r="H270" s="998">
        <f>'[3]Motor Rutas SKU_Cons'!BX274</f>
        <v>19.76736425076885</v>
      </c>
      <c r="I270" s="998">
        <f>'[3]Motor Rutas SKU_Cons'!BW274</f>
        <v>0</v>
      </c>
    </row>
    <row r="271" spans="1:9">
      <c r="A271" t="str">
        <f>IF('[3]Motor Rutas SKU_Cons'!C275="","",'[3]Motor Rutas SKU_Cons'!C275)</f>
        <v>Occidente</v>
      </c>
      <c r="B271" t="str">
        <f>IF('[3]Motor Rutas SKU_Cons'!D275="","",'[3]Motor Rutas SKU_Cons'!D275)</f>
        <v>Zapopan</v>
      </c>
      <c r="C271" t="str">
        <f>IF('[3]Motor Rutas SKU_Cons'!B275="","",'[3]Motor Rutas SKU_Cons'!B275)</f>
        <v>Planta Zapopan</v>
      </c>
      <c r="D271">
        <f>'[3]Motor Rutas SKU_Cons'!A275</f>
        <v>816337</v>
      </c>
      <c r="E271" s="997" t="str">
        <f>IF('[3]Motor Rutas SKU_Cons'!N275="","s/d","Agua "&amp;TEXT('[3]Motor Rutas SKU_Cons'!N275,"0%")&amp;" · Colas "&amp;TEXT('[3]Motor Rutas SKU_Cons'!O275,"0%")&amp;" · Resto "&amp;TEXT('[3]Motor Rutas SKU_Cons'!P275,"0%"))</f>
        <v>Agua 85% · Colas 8% · Resto 7%</v>
      </c>
      <c r="F271" s="16">
        <f>'[3]Motor Rutas SKU_Cons'!CH275</f>
        <v>0.22461651151863335</v>
      </c>
      <c r="G271" s="16">
        <f>'[3]Motor Rutas SKU_Cons'!CG275</f>
        <v>0.735580019045454</v>
      </c>
      <c r="H271" s="998">
        <f>'[3]Motor Rutas SKU_Cons'!BX275</f>
        <v>69.529869808377867</v>
      </c>
      <c r="I271" s="998">
        <f>'[3]Motor Rutas SKU_Cons'!BW275</f>
        <v>0</v>
      </c>
    </row>
    <row r="272" spans="1:9">
      <c r="A272" t="str">
        <f>IF('[3]Motor Rutas SKU_Cons'!C276="","",'[3]Motor Rutas SKU_Cons'!C276)</f>
        <v>Noreste</v>
      </c>
      <c r="B272" t="str">
        <f>IF('[3]Motor Rutas SKU_Cons'!D276="","",'[3]Motor Rutas SKU_Cons'!D276)</f>
        <v>Monterrey</v>
      </c>
      <c r="C272" t="str">
        <f>IF('[3]Motor Rutas SKU_Cons'!B276="","",'[3]Motor Rutas SKU_Cons'!B276)</f>
        <v>Sucursal Santa Catarina</v>
      </c>
      <c r="D272">
        <f>'[3]Motor Rutas SKU_Cons'!A276</f>
        <v>712305</v>
      </c>
      <c r="E272" s="997" t="str">
        <f>IF('[3]Motor Rutas SKU_Cons'!N276="","s/d","Agua "&amp;TEXT('[3]Motor Rutas SKU_Cons'!N276,"0%")&amp;" · Colas "&amp;TEXT('[3]Motor Rutas SKU_Cons'!O276,"0%")&amp;" · Resto "&amp;TEXT('[3]Motor Rutas SKU_Cons'!P276,"0%"))</f>
        <v>Agua 80% · Colas 12% · Resto 8%</v>
      </c>
      <c r="F272" s="16">
        <f>'[3]Motor Rutas SKU_Cons'!CH276</f>
        <v>0.81499475523043996</v>
      </c>
      <c r="G272" s="16">
        <f>'[3]Motor Rutas SKU_Cons'!CG276</f>
        <v>0.73497617475546151</v>
      </c>
      <c r="H272" s="998">
        <f>'[3]Motor Rutas SKU_Cons'!BX276</f>
        <v>13.618387606482599</v>
      </c>
      <c r="I272" s="998">
        <f>'[3]Motor Rutas SKU_Cons'!BW276</f>
        <v>0</v>
      </c>
    </row>
    <row r="273" spans="1:9">
      <c r="A273" t="str">
        <f>IF('[3]Motor Rutas SKU_Cons'!C277="","",'[3]Motor Rutas SKU_Cons'!C277)</f>
        <v>Occidente</v>
      </c>
      <c r="B273" t="str">
        <f>IF('[3]Motor Rutas SKU_Cons'!D277="","",'[3]Motor Rutas SKU_Cons'!D277)</f>
        <v>Favorita</v>
      </c>
      <c r="C273" t="str">
        <f>IF('[3]Motor Rutas SKU_Cons'!B277="","",'[3]Motor Rutas SKU_Cons'!B277)</f>
        <v>Suc. Santa Maria</v>
      </c>
      <c r="D273">
        <f>'[3]Motor Rutas SKU_Cons'!A277</f>
        <v>809363</v>
      </c>
      <c r="E273" s="997" t="str">
        <f>IF('[3]Motor Rutas SKU_Cons'!N277="","s/d","Agua "&amp;TEXT('[3]Motor Rutas SKU_Cons'!N277,"0%")&amp;" · Colas "&amp;TEXT('[3]Motor Rutas SKU_Cons'!O277,"0%")&amp;" · Resto "&amp;TEXT('[3]Motor Rutas SKU_Cons'!P277,"0%"))</f>
        <v>Agua 85% · Colas 8% · Resto 7%</v>
      </c>
      <c r="F273" s="16">
        <f>'[3]Motor Rutas SKU_Cons'!CH277</f>
        <v>0.30252641308023087</v>
      </c>
      <c r="G273" s="16">
        <f>'[3]Motor Rutas SKU_Cons'!CG277</f>
        <v>0.73483866010227183</v>
      </c>
      <c r="H273" s="998">
        <f>'[3]Motor Rutas SKU_Cons'!BX277</f>
        <v>61.790892661318907</v>
      </c>
      <c r="I273" s="998">
        <f>'[3]Motor Rutas SKU_Cons'!BW277</f>
        <v>0</v>
      </c>
    </row>
    <row r="274" spans="1:9">
      <c r="A274" t="str">
        <f>IF('[3]Motor Rutas SKU_Cons'!C278="","",'[3]Motor Rutas SKU_Cons'!C278)</f>
        <v>Occidente</v>
      </c>
      <c r="B274" t="str">
        <f>IF('[3]Motor Rutas SKU_Cons'!D278="","",'[3]Motor Rutas SKU_Cons'!D278)</f>
        <v>Favorita</v>
      </c>
      <c r="C274" t="str">
        <f>IF('[3]Motor Rutas SKU_Cons'!B278="","",'[3]Motor Rutas SKU_Cons'!B278)</f>
        <v>Cedi Tonalá</v>
      </c>
      <c r="D274">
        <f>'[3]Motor Rutas SKU_Cons'!A278</f>
        <v>810321</v>
      </c>
      <c r="E274" s="997" t="str">
        <f>IF('[3]Motor Rutas SKU_Cons'!N278="","s/d","Agua "&amp;TEXT('[3]Motor Rutas SKU_Cons'!N278,"0%")&amp;" · Colas "&amp;TEXT('[3]Motor Rutas SKU_Cons'!O278,"0%")&amp;" · Resto "&amp;TEXT('[3]Motor Rutas SKU_Cons'!P278,"0%"))</f>
        <v>Agua 85% · Colas 8% · Resto 7%</v>
      </c>
      <c r="F274" s="16">
        <f>'[3]Motor Rutas SKU_Cons'!CH278</f>
        <v>0.63213168002775533</v>
      </c>
      <c r="G274" s="16">
        <f>'[3]Motor Rutas SKU_Cons'!CG278</f>
        <v>0.73415615532954481</v>
      </c>
      <c r="H274" s="998">
        <f>'[3]Motor Rutas SKU_Cons'!BX278</f>
        <v>29.355906504456328</v>
      </c>
      <c r="I274" s="998">
        <f>'[3]Motor Rutas SKU_Cons'!BW278</f>
        <v>0</v>
      </c>
    </row>
    <row r="275" spans="1:9">
      <c r="A275" t="str">
        <f>IF('[3]Motor Rutas SKU_Cons'!C279="","",'[3]Motor Rutas SKU_Cons'!C279)</f>
        <v>Pacifico</v>
      </c>
      <c r="B275" t="str">
        <f>IF('[3]Motor Rutas SKU_Cons'!D279="","",'[3]Motor Rutas SKU_Cons'!D279)</f>
        <v>Mazatlán</v>
      </c>
      <c r="C275" t="str">
        <f>IF('[3]Motor Rutas SKU_Cons'!B279="","",'[3]Motor Rutas SKU_Cons'!B279)</f>
        <v>Sucursal Venadillo</v>
      </c>
      <c r="D275">
        <f>'[3]Motor Rutas SKU_Cons'!A279</f>
        <v>503302</v>
      </c>
      <c r="E275" s="997" t="str">
        <f>IF('[3]Motor Rutas SKU_Cons'!N279="","s/d","Agua "&amp;TEXT('[3]Motor Rutas SKU_Cons'!N279,"0%")&amp;" · Colas "&amp;TEXT('[3]Motor Rutas SKU_Cons'!O279,"0%")&amp;" · Resto "&amp;TEXT('[3]Motor Rutas SKU_Cons'!P279,"0%"))</f>
        <v>Agua 85% · Colas 8% · Resto 7%</v>
      </c>
      <c r="F275" s="16">
        <f>'[3]Motor Rutas SKU_Cons'!CH279</f>
        <v>0.41060524061261816</v>
      </c>
      <c r="G275" s="16">
        <f>'[3]Motor Rutas SKU_Cons'!CG279</f>
        <v>0.73357328147727308</v>
      </c>
      <c r="H275" s="998">
        <f>'[3]Motor Rutas SKU_Cons'!BX279</f>
        <v>25.5128328057041</v>
      </c>
      <c r="I275" s="998">
        <f>'[3]Motor Rutas SKU_Cons'!BW279</f>
        <v>0</v>
      </c>
    </row>
    <row r="276" spans="1:9">
      <c r="A276" t="str">
        <f>IF('[3]Motor Rutas SKU_Cons'!C280="","",'[3]Motor Rutas SKU_Cons'!C280)</f>
        <v>Norte</v>
      </c>
      <c r="B276" t="str">
        <f>IF('[3]Motor Rutas SKU_Cons'!D280="","",'[3]Motor Rutas SKU_Cons'!D280)</f>
        <v>Guadiana</v>
      </c>
      <c r="C276" t="str">
        <f>IF('[3]Motor Rutas SKU_Cons'!B280="","",'[3]Motor Rutas SKU_Cons'!B280)</f>
        <v>Planta Guadiana</v>
      </c>
      <c r="D276">
        <f>'[3]Motor Rutas SKU_Cons'!A280</f>
        <v>931413</v>
      </c>
      <c r="E276" s="997" t="str">
        <f>IF('[3]Motor Rutas SKU_Cons'!N280="","s/d","Agua "&amp;TEXT('[3]Motor Rutas SKU_Cons'!N280,"0%")&amp;" · Colas "&amp;TEXT('[3]Motor Rutas SKU_Cons'!O280,"0%")&amp;" · Resto "&amp;TEXT('[3]Motor Rutas SKU_Cons'!P280,"0%"))</f>
        <v>Agua 85% · Colas 8% · Resto 7%</v>
      </c>
      <c r="F276" s="16">
        <f>'[3]Motor Rutas SKU_Cons'!CH280</f>
        <v>0.33434270378484926</v>
      </c>
      <c r="G276" s="16">
        <f>'[3]Motor Rutas SKU_Cons'!CG280</f>
        <v>0.73348026749999939</v>
      </c>
      <c r="H276" s="998">
        <f>'[3]Motor Rutas SKU_Cons'!BX280</f>
        <v>48.99957881860368</v>
      </c>
      <c r="I276" s="998">
        <f>'[3]Motor Rutas SKU_Cons'!BW280</f>
        <v>0</v>
      </c>
    </row>
    <row r="277" spans="1:9">
      <c r="A277" t="str">
        <f>IF('[3]Motor Rutas SKU_Cons'!C281="","",'[3]Motor Rutas SKU_Cons'!C281)</f>
        <v>Occidente</v>
      </c>
      <c r="B277" t="str">
        <f>IF('[3]Motor Rutas SKU_Cons'!D281="","",'[3]Motor Rutas SKU_Cons'!D281)</f>
        <v>San Luis</v>
      </c>
      <c r="C277" t="str">
        <f>IF('[3]Motor Rutas SKU_Cons'!B281="","",'[3]Motor Rutas SKU_Cons'!B281)</f>
        <v>Planta San Luis</v>
      </c>
      <c r="D277">
        <f>'[3]Motor Rutas SKU_Cons'!A281</f>
        <v>916348</v>
      </c>
      <c r="E277" s="997" t="str">
        <f>IF('[3]Motor Rutas SKU_Cons'!N281="","s/d","Agua "&amp;TEXT('[3]Motor Rutas SKU_Cons'!N281,"0%")&amp;" · Colas "&amp;TEXT('[3]Motor Rutas SKU_Cons'!O281,"0%")&amp;" · Resto "&amp;TEXT('[3]Motor Rutas SKU_Cons'!P281,"0%"))</f>
        <v>Agua 85% · Colas 8% · Resto 7%</v>
      </c>
      <c r="F277" s="16">
        <f>'[3]Motor Rutas SKU_Cons'!CH281</f>
        <v>0.48942236753977009</v>
      </c>
      <c r="G277" s="16">
        <f>'[3]Motor Rutas SKU_Cons'!CG281</f>
        <v>0.73311976738636464</v>
      </c>
      <c r="H277" s="998">
        <f>'[3]Motor Rutas SKU_Cons'!BX281</f>
        <v>43.233481354723814</v>
      </c>
      <c r="I277" s="998">
        <f>'[3]Motor Rutas SKU_Cons'!BW281</f>
        <v>0</v>
      </c>
    </row>
    <row r="278" spans="1:9">
      <c r="A278" t="str">
        <f>IF('[3]Motor Rutas SKU_Cons'!C282="","",'[3]Motor Rutas SKU_Cons'!C282)</f>
        <v>Occidente</v>
      </c>
      <c r="B278" t="str">
        <f>IF('[3]Motor Rutas SKU_Cons'!D282="","",'[3]Motor Rutas SKU_Cons'!D282)</f>
        <v>Zapopan</v>
      </c>
      <c r="C278" t="str">
        <f>IF('[3]Motor Rutas SKU_Cons'!B282="","",'[3]Motor Rutas SKU_Cons'!B282)</f>
        <v>Suc. Belenes</v>
      </c>
      <c r="D278">
        <f>'[3]Motor Rutas SKU_Cons'!A282</f>
        <v>820359</v>
      </c>
      <c r="E278" s="997" t="str">
        <f>IF('[3]Motor Rutas SKU_Cons'!N282="","s/d","Agua "&amp;TEXT('[3]Motor Rutas SKU_Cons'!N282,"0%")&amp;" · Colas "&amp;TEXT('[3]Motor Rutas SKU_Cons'!O282,"0%")&amp;" · Resto "&amp;TEXT('[3]Motor Rutas SKU_Cons'!P282,"0%"))</f>
        <v>Agua 85% · Colas 8% · Resto 7%</v>
      </c>
      <c r="F278" s="16">
        <f>'[3]Motor Rutas SKU_Cons'!CH282</f>
        <v>0.21246210131413917</v>
      </c>
      <c r="G278" s="16">
        <f>'[3]Motor Rutas SKU_Cons'!CG282</f>
        <v>0.73245540695727274</v>
      </c>
      <c r="H278" s="998">
        <f>'[3]Motor Rutas SKU_Cons'!BX282</f>
        <v>70.333801715686192</v>
      </c>
      <c r="I278" s="998">
        <f>'[3]Motor Rutas SKU_Cons'!BW282</f>
        <v>0</v>
      </c>
    </row>
    <row r="279" spans="1:9">
      <c r="A279" t="str">
        <f>IF('[3]Motor Rutas SKU_Cons'!C283="","",'[3]Motor Rutas SKU_Cons'!C283)</f>
        <v>Norte</v>
      </c>
      <c r="B279" t="str">
        <f>IF('[3]Motor Rutas SKU_Cons'!D283="","",'[3]Motor Rutas SKU_Cons'!D283)</f>
        <v>Guadiana</v>
      </c>
      <c r="C279" t="str">
        <f>IF('[3]Motor Rutas SKU_Cons'!B283="","",'[3]Motor Rutas SKU_Cons'!B283)</f>
        <v>Planta Guadiana</v>
      </c>
      <c r="D279">
        <f>'[3]Motor Rutas SKU_Cons'!A283</f>
        <v>931402</v>
      </c>
      <c r="E279" s="997" t="str">
        <f>IF('[3]Motor Rutas SKU_Cons'!N283="","s/d","Agua "&amp;TEXT('[3]Motor Rutas SKU_Cons'!N283,"0%")&amp;" · Colas "&amp;TEXT('[3]Motor Rutas SKU_Cons'!O283,"0%")&amp;" · Resto "&amp;TEXT('[3]Motor Rutas SKU_Cons'!P283,"0%"))</f>
        <v>Agua 85% · Colas 8% · Resto 7%</v>
      </c>
      <c r="F279" s="16">
        <f>'[3]Motor Rutas SKU_Cons'!CH283</f>
        <v>0.32030977196043425</v>
      </c>
      <c r="G279" s="16">
        <f>'[3]Motor Rutas SKU_Cons'!CG283</f>
        <v>0.732430008409091</v>
      </c>
      <c r="H279" s="998">
        <f>'[3]Motor Rutas SKU_Cons'!BX283</f>
        <v>50.032554424664291</v>
      </c>
      <c r="I279" s="998">
        <f>'[3]Motor Rutas SKU_Cons'!BW283</f>
        <v>0</v>
      </c>
    </row>
    <row r="280" spans="1:9">
      <c r="A280" t="str">
        <f>IF('[3]Motor Rutas SKU_Cons'!C284="","",'[3]Motor Rutas SKU_Cons'!C284)</f>
        <v>Occidente</v>
      </c>
      <c r="B280" t="str">
        <f>IF('[3]Motor Rutas SKU_Cons'!D284="","",'[3]Motor Rutas SKU_Cons'!D284)</f>
        <v>Favorita</v>
      </c>
      <c r="C280" t="str">
        <f>IF('[3]Motor Rutas SKU_Cons'!B284="","",'[3]Motor Rutas SKU_Cons'!B284)</f>
        <v>Suc. Santa Maria</v>
      </c>
      <c r="D280">
        <f>'[3]Motor Rutas SKU_Cons'!A284</f>
        <v>809357</v>
      </c>
      <c r="E280" s="997" t="str">
        <f>IF('[3]Motor Rutas SKU_Cons'!N284="","s/d","Agua "&amp;TEXT('[3]Motor Rutas SKU_Cons'!N284,"0%")&amp;" · Colas "&amp;TEXT('[3]Motor Rutas SKU_Cons'!O284,"0%")&amp;" · Resto "&amp;TEXT('[3]Motor Rutas SKU_Cons'!P284,"0%"))</f>
        <v>Agua 85% · Colas 8% · Resto 7%</v>
      </c>
      <c r="F280" s="16">
        <f>'[3]Motor Rutas SKU_Cons'!CH284</f>
        <v>0.15768711941564337</v>
      </c>
      <c r="G280" s="16">
        <f>'[3]Motor Rutas SKU_Cons'!CG284</f>
        <v>0.73205627727272715</v>
      </c>
      <c r="H280" s="998">
        <f>'[3]Motor Rutas SKU_Cons'!BX284</f>
        <v>39.20543750267386</v>
      </c>
      <c r="I280" s="998">
        <f>'[3]Motor Rutas SKU_Cons'!BW284</f>
        <v>0</v>
      </c>
    </row>
    <row r="281" spans="1:9">
      <c r="A281" t="str">
        <f>IF('[3]Motor Rutas SKU_Cons'!C285="","",'[3]Motor Rutas SKU_Cons'!C285)</f>
        <v>Occidente</v>
      </c>
      <c r="B281" t="str">
        <f>IF('[3]Motor Rutas SKU_Cons'!D285="","",'[3]Motor Rutas SKU_Cons'!D285)</f>
        <v>Favorita</v>
      </c>
      <c r="C281" t="str">
        <f>IF('[3]Motor Rutas SKU_Cons'!B285="","",'[3]Motor Rutas SKU_Cons'!B285)</f>
        <v>Cedi Tonalá</v>
      </c>
      <c r="D281">
        <f>'[3]Motor Rutas SKU_Cons'!A285</f>
        <v>810348</v>
      </c>
      <c r="E281" s="997" t="str">
        <f>IF('[3]Motor Rutas SKU_Cons'!N285="","s/d","Agua "&amp;TEXT('[3]Motor Rutas SKU_Cons'!N285,"0%")&amp;" · Colas "&amp;TEXT('[3]Motor Rutas SKU_Cons'!O285,"0%")&amp;" · Resto "&amp;TEXT('[3]Motor Rutas SKU_Cons'!P285,"0%"))</f>
        <v>Agua 85% · Colas 8% · Resto 7%</v>
      </c>
      <c r="F281" s="16">
        <f>'[3]Motor Rutas SKU_Cons'!CH285</f>
        <v>0.31203096947982945</v>
      </c>
      <c r="G281" s="16">
        <f>'[3]Motor Rutas SKU_Cons'!CG285</f>
        <v>0.73198921878409118</v>
      </c>
      <c r="H281" s="998">
        <f>'[3]Motor Rutas SKU_Cons'!BX285</f>
        <v>60.503302714794955</v>
      </c>
      <c r="I281" s="998">
        <f>'[3]Motor Rutas SKU_Cons'!BW285</f>
        <v>0</v>
      </c>
    </row>
    <row r="282" spans="1:9">
      <c r="A282" t="str">
        <f>IF('[3]Motor Rutas SKU_Cons'!C286="","",'[3]Motor Rutas SKU_Cons'!C286)</f>
        <v>Pacifico</v>
      </c>
      <c r="B282" t="str">
        <f>IF('[3]Motor Rutas SKU_Cons'!D286="","",'[3]Motor Rutas SKU_Cons'!D286)</f>
        <v>Mazatlán</v>
      </c>
      <c r="C282" t="str">
        <f>IF('[3]Motor Rutas SKU_Cons'!B286="","",'[3]Motor Rutas SKU_Cons'!B286)</f>
        <v>Sucursal Venadillo</v>
      </c>
      <c r="D282">
        <f>'[3]Motor Rutas SKU_Cons'!A286</f>
        <v>503304</v>
      </c>
      <c r="E282" s="997" t="str">
        <f>IF('[3]Motor Rutas SKU_Cons'!N286="","s/d","Agua "&amp;TEXT('[3]Motor Rutas SKU_Cons'!N286,"0%")&amp;" · Colas "&amp;TEXT('[3]Motor Rutas SKU_Cons'!O286,"0%")&amp;" · Resto "&amp;TEXT('[3]Motor Rutas SKU_Cons'!P286,"0%"))</f>
        <v>Agua 85% · Colas 8% · Resto 7%</v>
      </c>
      <c r="F282" s="16">
        <f>'[3]Motor Rutas SKU_Cons'!CH286</f>
        <v>0.55332573784480021</v>
      </c>
      <c r="G282" s="16">
        <f>'[3]Motor Rutas SKU_Cons'!CG286</f>
        <v>0.7310208622500004</v>
      </c>
      <c r="H282" s="998">
        <f>'[3]Motor Rutas SKU_Cons'!BX286</f>
        <v>18.350103587344076</v>
      </c>
      <c r="I282" s="998">
        <f>'[3]Motor Rutas SKU_Cons'!BW286</f>
        <v>0</v>
      </c>
    </row>
    <row r="283" spans="1:9">
      <c r="A283" t="str">
        <f>IF('[3]Motor Rutas SKU_Cons'!C287="","",'[3]Motor Rutas SKU_Cons'!C287)</f>
        <v>Occidente</v>
      </c>
      <c r="B283" t="str">
        <f>IF('[3]Motor Rutas SKU_Cons'!D287="","",'[3]Motor Rutas SKU_Cons'!D287)</f>
        <v>Favorita</v>
      </c>
      <c r="C283" t="str">
        <f>IF('[3]Motor Rutas SKU_Cons'!B287="","",'[3]Motor Rutas SKU_Cons'!B287)</f>
        <v>Suc. Tecomán</v>
      </c>
      <c r="D283">
        <f>'[3]Motor Rutas SKU_Cons'!A287</f>
        <v>806402</v>
      </c>
      <c r="E283" s="997" t="str">
        <f>IF('[3]Motor Rutas SKU_Cons'!N287="","s/d","Agua "&amp;TEXT('[3]Motor Rutas SKU_Cons'!N287,"0%")&amp;" · Colas "&amp;TEXT('[3]Motor Rutas SKU_Cons'!O287,"0%")&amp;" · Resto "&amp;TEXT('[3]Motor Rutas SKU_Cons'!P287,"0%"))</f>
        <v>Agua 85% · Colas 8% · Resto 7%</v>
      </c>
      <c r="F283" s="16">
        <f>'[3]Motor Rutas SKU_Cons'!CH287</f>
        <v>0.19957965784428286</v>
      </c>
      <c r="G283" s="16">
        <f>'[3]Motor Rutas SKU_Cons'!CG287</f>
        <v>0.73084532420454529</v>
      </c>
      <c r="H283" s="998">
        <f>'[3]Motor Rutas SKU_Cons'!BX287</f>
        <v>44.616717263358467</v>
      </c>
      <c r="I283" s="998">
        <f>'[3]Motor Rutas SKU_Cons'!BW287</f>
        <v>0</v>
      </c>
    </row>
    <row r="284" spans="1:9">
      <c r="A284" t="str">
        <f>IF('[3]Motor Rutas SKU_Cons'!C288="","",'[3]Motor Rutas SKU_Cons'!C288)</f>
        <v>Occidente</v>
      </c>
      <c r="B284" t="str">
        <f>IF('[3]Motor Rutas SKU_Cons'!D288="","",'[3]Motor Rutas SKU_Cons'!D288)</f>
        <v>San Luis</v>
      </c>
      <c r="C284" t="str">
        <f>IF('[3]Motor Rutas SKU_Cons'!B288="","",'[3]Motor Rutas SKU_Cons'!B288)</f>
        <v>Planta San Luis</v>
      </c>
      <c r="D284">
        <f>'[3]Motor Rutas SKU_Cons'!A288</f>
        <v>916410</v>
      </c>
      <c r="E284" s="997" t="str">
        <f>IF('[3]Motor Rutas SKU_Cons'!N288="","s/d","Agua "&amp;TEXT('[3]Motor Rutas SKU_Cons'!N288,"0%")&amp;" · Colas "&amp;TEXT('[3]Motor Rutas SKU_Cons'!O288,"0%")&amp;" · Resto "&amp;TEXT('[3]Motor Rutas SKU_Cons'!P288,"0%"))</f>
        <v>Agua 85% · Colas 8% · Resto 7%</v>
      </c>
      <c r="F284" s="16">
        <f>'[3]Motor Rutas SKU_Cons'!CH288</f>
        <v>0.42111198850063025</v>
      </c>
      <c r="G284" s="16">
        <f>'[3]Motor Rutas SKU_Cons'!CG288</f>
        <v>0.73026584805681871</v>
      </c>
      <c r="H284" s="998">
        <f>'[3]Motor Rutas SKU_Cons'!BX288</f>
        <v>49.582695436720066</v>
      </c>
      <c r="I284" s="998">
        <f>'[3]Motor Rutas SKU_Cons'!BW288</f>
        <v>0</v>
      </c>
    </row>
    <row r="285" spans="1:9">
      <c r="A285" t="str">
        <f>IF('[3]Motor Rutas SKU_Cons'!C289="","",'[3]Motor Rutas SKU_Cons'!C289)</f>
        <v>Occidente</v>
      </c>
      <c r="B285" t="str">
        <f>IF('[3]Motor Rutas SKU_Cons'!D289="","",'[3]Motor Rutas SKU_Cons'!D289)</f>
        <v>Zapopan</v>
      </c>
      <c r="C285" t="str">
        <f>IF('[3]Motor Rutas SKU_Cons'!B289="","",'[3]Motor Rutas SKU_Cons'!B289)</f>
        <v>Suc. Belenes</v>
      </c>
      <c r="D285">
        <f>'[3]Motor Rutas SKU_Cons'!A289</f>
        <v>820426</v>
      </c>
      <c r="E285" s="997" t="str">
        <f>IF('[3]Motor Rutas SKU_Cons'!N289="","s/d","Agua "&amp;TEXT('[3]Motor Rutas SKU_Cons'!N289,"0%")&amp;" · Colas "&amp;TEXT('[3]Motor Rutas SKU_Cons'!O289,"0%")&amp;" · Resto "&amp;TEXT('[3]Motor Rutas SKU_Cons'!P289,"0%"))</f>
        <v>Agua 85% · Colas 8% · Resto 7%</v>
      </c>
      <c r="F285" s="16">
        <f>'[3]Motor Rutas SKU_Cons'!CH289</f>
        <v>0.15298120652841335</v>
      </c>
      <c r="G285" s="16">
        <f>'[3]Motor Rutas SKU_Cons'!CG289</f>
        <v>0.73025380453295385</v>
      </c>
      <c r="H285" s="998">
        <f>'[3]Motor Rutas SKU_Cons'!BX289</f>
        <v>39.532673819073146</v>
      </c>
      <c r="I285" s="998">
        <f>'[3]Motor Rutas SKU_Cons'!BW289</f>
        <v>0</v>
      </c>
    </row>
    <row r="286" spans="1:9">
      <c r="A286" t="str">
        <f>IF('[3]Motor Rutas SKU_Cons'!C290="","",'[3]Motor Rutas SKU_Cons'!C290)</f>
        <v>Occidente</v>
      </c>
      <c r="B286" t="str">
        <f>IF('[3]Motor Rutas SKU_Cons'!D290="","",'[3]Motor Rutas SKU_Cons'!D290)</f>
        <v>Zapopan</v>
      </c>
      <c r="C286" t="str">
        <f>IF('[3]Motor Rutas SKU_Cons'!B290="","",'[3]Motor Rutas SKU_Cons'!B290)</f>
        <v>Suc. Belenes</v>
      </c>
      <c r="D286">
        <f>'[3]Motor Rutas SKU_Cons'!A290</f>
        <v>820434</v>
      </c>
      <c r="E286" s="997" t="str">
        <f>IF('[3]Motor Rutas SKU_Cons'!N290="","s/d","Agua "&amp;TEXT('[3]Motor Rutas SKU_Cons'!N290,"0%")&amp;" · Colas "&amp;TEXT('[3]Motor Rutas SKU_Cons'!O290,"0%")&amp;" · Resto "&amp;TEXT('[3]Motor Rutas SKU_Cons'!P290,"0%"))</f>
        <v>Agua 85% · Colas 8% · Resto 7%</v>
      </c>
      <c r="F286" s="16">
        <f>'[3]Motor Rutas SKU_Cons'!CH290</f>
        <v>0.11134815271402004</v>
      </c>
      <c r="G286" s="16">
        <f>'[3]Motor Rutas SKU_Cons'!CG290</f>
        <v>0.72908805732954507</v>
      </c>
      <c r="H286" s="998">
        <f>'[3]Motor Rutas SKU_Cons'!BX290</f>
        <v>43.531787454545444</v>
      </c>
      <c r="I286" s="998">
        <f>'[3]Motor Rutas SKU_Cons'!BW290</f>
        <v>0</v>
      </c>
    </row>
    <row r="287" spans="1:9">
      <c r="A287" t="str">
        <f>IF('[3]Motor Rutas SKU_Cons'!C291="","",'[3]Motor Rutas SKU_Cons'!C291)</f>
        <v>Occidente</v>
      </c>
      <c r="B287" t="str">
        <f>IF('[3]Motor Rutas SKU_Cons'!D291="","",'[3]Motor Rutas SKU_Cons'!D291)</f>
        <v>Favorita</v>
      </c>
      <c r="C287" t="str">
        <f>IF('[3]Motor Rutas SKU_Cons'!B291="","",'[3]Motor Rutas SKU_Cons'!B291)</f>
        <v>Suc. Alamo</v>
      </c>
      <c r="D287">
        <f>'[3]Motor Rutas SKU_Cons'!A291</f>
        <v>802342</v>
      </c>
      <c r="E287" s="997" t="str">
        <f>IF('[3]Motor Rutas SKU_Cons'!N291="","s/d","Agua "&amp;TEXT('[3]Motor Rutas SKU_Cons'!N291,"0%")&amp;" · Colas "&amp;TEXT('[3]Motor Rutas SKU_Cons'!O291,"0%")&amp;" · Resto "&amp;TEXT('[3]Motor Rutas SKU_Cons'!P291,"0%"))</f>
        <v>Agua 85% · Colas 8% · Resto 7%</v>
      </c>
      <c r="F287" s="16">
        <f>'[3]Motor Rutas SKU_Cons'!CH291</f>
        <v>0.21937464249162128</v>
      </c>
      <c r="G287" s="16">
        <f>'[3]Motor Rutas SKU_Cons'!CG291</f>
        <v>0.72653820750000031</v>
      </c>
      <c r="H287" s="998">
        <f>'[3]Motor Rutas SKU_Cons'!BX291</f>
        <v>68.918694029411824</v>
      </c>
      <c r="I287" s="998">
        <f>'[3]Motor Rutas SKU_Cons'!BW291</f>
        <v>0</v>
      </c>
    </row>
    <row r="288" spans="1:9">
      <c r="A288" t="str">
        <f>IF('[3]Motor Rutas SKU_Cons'!C292="","",'[3]Motor Rutas SKU_Cons'!C292)</f>
        <v>Occidente</v>
      </c>
      <c r="B288" t="str">
        <f>IF('[3]Motor Rutas SKU_Cons'!D292="","",'[3]Motor Rutas SKU_Cons'!D292)</f>
        <v>Zapopan</v>
      </c>
      <c r="C288" t="str">
        <f>IF('[3]Motor Rutas SKU_Cons'!B292="","",'[3]Motor Rutas SKU_Cons'!B292)</f>
        <v>Suc. Huentitán</v>
      </c>
      <c r="D288">
        <f>'[3]Motor Rutas SKU_Cons'!A292</f>
        <v>819340</v>
      </c>
      <c r="E288" s="997" t="str">
        <f>IF('[3]Motor Rutas SKU_Cons'!N292="","s/d","Agua "&amp;TEXT('[3]Motor Rutas SKU_Cons'!N292,"0%")&amp;" · Colas "&amp;TEXT('[3]Motor Rutas SKU_Cons'!O292,"0%")&amp;" · Resto "&amp;TEXT('[3]Motor Rutas SKU_Cons'!P292,"0%"))</f>
        <v>Agua 85% · Colas 8% · Resto 7%</v>
      </c>
      <c r="F288" s="16">
        <f>'[3]Motor Rutas SKU_Cons'!CH292</f>
        <v>0.33413480553304514</v>
      </c>
      <c r="G288" s="16">
        <f>'[3]Motor Rutas SKU_Cons'!CG292</f>
        <v>0.72552915582954547</v>
      </c>
      <c r="H288" s="998">
        <f>'[3]Motor Rutas SKU_Cons'!BX292</f>
        <v>57.529620103386897</v>
      </c>
      <c r="I288" s="998">
        <f>'[3]Motor Rutas SKU_Cons'!BW292</f>
        <v>0</v>
      </c>
    </row>
    <row r="289" spans="1:9">
      <c r="A289" t="str">
        <f>IF('[3]Motor Rutas SKU_Cons'!C293="","",'[3]Motor Rutas SKU_Cons'!C293)</f>
        <v>Occidente</v>
      </c>
      <c r="B289" t="str">
        <f>IF('[3]Motor Rutas SKU_Cons'!D293="","",'[3]Motor Rutas SKU_Cons'!D293)</f>
        <v>Favorita</v>
      </c>
      <c r="C289" t="str">
        <f>IF('[3]Motor Rutas SKU_Cons'!B293="","",'[3]Motor Rutas SKU_Cons'!B293)</f>
        <v>Suc. Santa Maria</v>
      </c>
      <c r="D289">
        <f>'[3]Motor Rutas SKU_Cons'!A293</f>
        <v>809359</v>
      </c>
      <c r="E289" s="997" t="str">
        <f>IF('[3]Motor Rutas SKU_Cons'!N293="","s/d","Agua "&amp;TEXT('[3]Motor Rutas SKU_Cons'!N293,"0%")&amp;" · Colas "&amp;TEXT('[3]Motor Rutas SKU_Cons'!O293,"0%")&amp;" · Resto "&amp;TEXT('[3]Motor Rutas SKU_Cons'!P293,"0%"))</f>
        <v>Agua 85% · Colas 8% · Resto 7%</v>
      </c>
      <c r="F289" s="16">
        <f>'[3]Motor Rutas SKU_Cons'!CH293</f>
        <v>0.21392516811276518</v>
      </c>
      <c r="G289" s="16">
        <f>'[3]Motor Rutas SKU_Cons'!CG293</f>
        <v>0.72451074436363627</v>
      </c>
      <c r="H289" s="998">
        <f>'[3]Motor Rutas SKU_Cons'!BX293</f>
        <v>69.201140239750586</v>
      </c>
      <c r="I289" s="998">
        <f>'[3]Motor Rutas SKU_Cons'!BW293</f>
        <v>0</v>
      </c>
    </row>
    <row r="290" spans="1:9">
      <c r="A290" t="str">
        <f>IF('[3]Motor Rutas SKU_Cons'!C294="","",'[3]Motor Rutas SKU_Cons'!C294)</f>
        <v>Occidente</v>
      </c>
      <c r="B290" t="str">
        <f>IF('[3]Motor Rutas SKU_Cons'!D294="","",'[3]Motor Rutas SKU_Cons'!D294)</f>
        <v>San Luis</v>
      </c>
      <c r="C290" t="str">
        <f>IF('[3]Motor Rutas SKU_Cons'!B294="","",'[3]Motor Rutas SKU_Cons'!B294)</f>
        <v>Planta San Luis</v>
      </c>
      <c r="D290">
        <f>'[3]Motor Rutas SKU_Cons'!A294</f>
        <v>916409</v>
      </c>
      <c r="E290" s="997" t="str">
        <f>IF('[3]Motor Rutas SKU_Cons'!N294="","s/d","Agua "&amp;TEXT('[3]Motor Rutas SKU_Cons'!N294,"0%")&amp;" · Colas "&amp;TEXT('[3]Motor Rutas SKU_Cons'!O294,"0%")&amp;" · Resto "&amp;TEXT('[3]Motor Rutas SKU_Cons'!P294,"0%"))</f>
        <v>Agua 85% · Colas 8% · Resto 7%</v>
      </c>
      <c r="F290" s="16">
        <f>'[3]Motor Rutas SKU_Cons'!CH294</f>
        <v>0.31418766084814587</v>
      </c>
      <c r="G290" s="16">
        <f>'[3]Motor Rutas SKU_Cons'!CG294</f>
        <v>0.72446033505681851</v>
      </c>
      <c r="H290" s="998">
        <f>'[3]Motor Rutas SKU_Cons'!BX294</f>
        <v>59.354325616755972</v>
      </c>
      <c r="I290" s="998">
        <f>'[3]Motor Rutas SKU_Cons'!BW294</f>
        <v>0</v>
      </c>
    </row>
    <row r="291" spans="1:9">
      <c r="A291" t="str">
        <f>IF('[3]Motor Rutas SKU_Cons'!C295="","",'[3]Motor Rutas SKU_Cons'!C295)</f>
        <v>Occidente</v>
      </c>
      <c r="B291" t="str">
        <f>IF('[3]Motor Rutas SKU_Cons'!D295="","",'[3]Motor Rutas SKU_Cons'!D295)</f>
        <v>Favorita</v>
      </c>
      <c r="C291" t="str">
        <f>IF('[3]Motor Rutas SKU_Cons'!B295="","",'[3]Motor Rutas SKU_Cons'!B295)</f>
        <v>Suc. Santa Maria</v>
      </c>
      <c r="D291">
        <f>'[3]Motor Rutas SKU_Cons'!A295</f>
        <v>809350</v>
      </c>
      <c r="E291" s="997" t="str">
        <f>IF('[3]Motor Rutas SKU_Cons'!N295="","s/d","Agua "&amp;TEXT('[3]Motor Rutas SKU_Cons'!N295,"0%")&amp;" · Colas "&amp;TEXT('[3]Motor Rutas SKU_Cons'!O295,"0%")&amp;" · Resto "&amp;TEXT('[3]Motor Rutas SKU_Cons'!P295,"0%"))</f>
        <v>Agua 85% · Colas 8% · Resto 7%</v>
      </c>
      <c r="F291" s="16">
        <f>'[3]Motor Rutas SKU_Cons'!CH295</f>
        <v>0.1931752207063874</v>
      </c>
      <c r="G291" s="16">
        <f>'[3]Motor Rutas SKU_Cons'!CG295</f>
        <v>0.72443918423863674</v>
      </c>
      <c r="H291" s="998">
        <f>'[3]Motor Rutas SKU_Cons'!BX295</f>
        <v>71.228792249554459</v>
      </c>
      <c r="I291" s="998">
        <f>'[3]Motor Rutas SKU_Cons'!BW295</f>
        <v>0</v>
      </c>
    </row>
    <row r="292" spans="1:9">
      <c r="A292" t="str">
        <f>IF('[3]Motor Rutas SKU_Cons'!C296="","",'[3]Motor Rutas SKU_Cons'!C296)</f>
        <v>Occidente</v>
      </c>
      <c r="B292" t="str">
        <f>IF('[3]Motor Rutas SKU_Cons'!D296="","",'[3]Motor Rutas SKU_Cons'!D296)</f>
        <v>Aguascalientes</v>
      </c>
      <c r="C292" t="str">
        <f>IF('[3]Motor Rutas SKU_Cons'!B296="","",'[3]Motor Rutas SKU_Cons'!B296)</f>
        <v>Planta Aguascalientes</v>
      </c>
      <c r="D292">
        <f>'[3]Motor Rutas SKU_Cons'!A296</f>
        <v>901414</v>
      </c>
      <c r="E292" s="997" t="str">
        <f>IF('[3]Motor Rutas SKU_Cons'!N296="","s/d","Agua "&amp;TEXT('[3]Motor Rutas SKU_Cons'!N296,"0%")&amp;" · Colas "&amp;TEXT('[3]Motor Rutas SKU_Cons'!O296,"0%")&amp;" · Resto "&amp;TEXT('[3]Motor Rutas SKU_Cons'!P296,"0%"))</f>
        <v>Agua 85% · Colas 8% · Resto 7%</v>
      </c>
      <c r="F292" s="16">
        <f>'[3]Motor Rutas SKU_Cons'!CH296</f>
        <v>5.8062237065489901E-2</v>
      </c>
      <c r="G292" s="16">
        <f>'[3]Motor Rutas SKU_Cons'!CG296</f>
        <v>0.72360703227272705</v>
      </c>
      <c r="H292" s="998">
        <f>'[3]Motor Rutas SKU_Cons'!BX296</f>
        <v>48.352267015151469</v>
      </c>
      <c r="I292" s="998">
        <f>'[3]Motor Rutas SKU_Cons'!BW296</f>
        <v>0</v>
      </c>
    </row>
    <row r="293" spans="1:9">
      <c r="A293" t="str">
        <f>IF('[3]Motor Rutas SKU_Cons'!C297="","",'[3]Motor Rutas SKU_Cons'!C297)</f>
        <v>Norte</v>
      </c>
      <c r="B293" t="str">
        <f>IF('[3]Motor Rutas SKU_Cons'!D297="","",'[3]Motor Rutas SKU_Cons'!D297)</f>
        <v>Guadiana</v>
      </c>
      <c r="C293" t="str">
        <f>IF('[3]Motor Rutas SKU_Cons'!B297="","",'[3]Motor Rutas SKU_Cons'!B297)</f>
        <v>Planta Guadiana</v>
      </c>
      <c r="D293">
        <f>'[3]Motor Rutas SKU_Cons'!A297</f>
        <v>931431</v>
      </c>
      <c r="E293" s="997" t="str">
        <f>IF('[3]Motor Rutas SKU_Cons'!N297="","s/d","Agua "&amp;TEXT('[3]Motor Rutas SKU_Cons'!N297,"0%")&amp;" · Colas "&amp;TEXT('[3]Motor Rutas SKU_Cons'!O297,"0%")&amp;" · Resto "&amp;TEXT('[3]Motor Rutas SKU_Cons'!P297,"0%"))</f>
        <v>Agua 85% · Colas 8% · Resto 7%</v>
      </c>
      <c r="F293" s="16">
        <f>'[3]Motor Rutas SKU_Cons'!CH297</f>
        <v>0.43437396172645437</v>
      </c>
      <c r="G293" s="16">
        <f>'[3]Motor Rutas SKU_Cons'!CG297</f>
        <v>0.72291886568181662</v>
      </c>
      <c r="H293" s="998">
        <f>'[3]Motor Rutas SKU_Cons'!BX297</f>
        <v>41.636195985270291</v>
      </c>
      <c r="I293" s="998">
        <f>'[3]Motor Rutas SKU_Cons'!BW297</f>
        <v>0</v>
      </c>
    </row>
    <row r="294" spans="1:9">
      <c r="A294" t="str">
        <f>IF('[3]Motor Rutas SKU_Cons'!C298="","",'[3]Motor Rutas SKU_Cons'!C298)</f>
        <v>Occidente</v>
      </c>
      <c r="B294" t="str">
        <f>IF('[3]Motor Rutas SKU_Cons'!D298="","",'[3]Motor Rutas SKU_Cons'!D298)</f>
        <v>Los Altos</v>
      </c>
      <c r="C294" t="str">
        <f>IF('[3]Motor Rutas SKU_Cons'!B298="","",'[3]Motor Rutas SKU_Cons'!B298)</f>
        <v>Planta Los Altos</v>
      </c>
      <c r="D294">
        <f>'[3]Motor Rutas SKU_Cons'!A298</f>
        <v>831400</v>
      </c>
      <c r="E294" s="997" t="str">
        <f>IF('[3]Motor Rutas SKU_Cons'!N298="","s/d","Agua "&amp;TEXT('[3]Motor Rutas SKU_Cons'!N298,"0%")&amp;" · Colas "&amp;TEXT('[3]Motor Rutas SKU_Cons'!O298,"0%")&amp;" · Resto "&amp;TEXT('[3]Motor Rutas SKU_Cons'!P298,"0%"))</f>
        <v>Agua 85% · Colas 8% · Resto 7%</v>
      </c>
      <c r="F294" s="16">
        <f>'[3]Motor Rutas SKU_Cons'!CH298</f>
        <v>0.30695632868050898</v>
      </c>
      <c r="G294" s="16">
        <f>'[3]Motor Rutas SKU_Cons'!CG298</f>
        <v>0.72201530219318188</v>
      </c>
      <c r="H294" s="998">
        <f>'[3]Motor Rutas SKU_Cons'!BX298</f>
        <v>59.759672148841354</v>
      </c>
      <c r="I294" s="998">
        <f>'[3]Motor Rutas SKU_Cons'!BW298</f>
        <v>0</v>
      </c>
    </row>
    <row r="295" spans="1:9">
      <c r="A295" t="str">
        <f>IF('[3]Motor Rutas SKU_Cons'!C299="","",'[3]Motor Rutas SKU_Cons'!C299)</f>
        <v>Occidente</v>
      </c>
      <c r="B295" t="str">
        <f>IF('[3]Motor Rutas SKU_Cons'!D299="","",'[3]Motor Rutas SKU_Cons'!D299)</f>
        <v>Zapopan</v>
      </c>
      <c r="C295" t="str">
        <f>IF('[3]Motor Rutas SKU_Cons'!B299="","",'[3]Motor Rutas SKU_Cons'!B299)</f>
        <v>Planta Zapopan</v>
      </c>
      <c r="D295">
        <f>'[3]Motor Rutas SKU_Cons'!A299</f>
        <v>816372</v>
      </c>
      <c r="E295" s="997" t="str">
        <f>IF('[3]Motor Rutas SKU_Cons'!N299="","s/d","Agua "&amp;TEXT('[3]Motor Rutas SKU_Cons'!N299,"0%")&amp;" · Colas "&amp;TEXT('[3]Motor Rutas SKU_Cons'!O299,"0%")&amp;" · Resto "&amp;TEXT('[3]Motor Rutas SKU_Cons'!P299,"0%"))</f>
        <v>Agua 85% · Colas 8% · Resto 7%</v>
      </c>
      <c r="F295" s="16">
        <f>'[3]Motor Rutas SKU_Cons'!CH299</f>
        <v>0.22929682555646003</v>
      </c>
      <c r="G295" s="16">
        <f>'[3]Motor Rutas SKU_Cons'!CG299</f>
        <v>0.72181372555329526</v>
      </c>
      <c r="H295" s="998">
        <f>'[3]Motor Rutas SKU_Cons'!BX299</f>
        <v>67.356683199643527</v>
      </c>
      <c r="I295" s="998">
        <f>'[3]Motor Rutas SKU_Cons'!BW299</f>
        <v>0</v>
      </c>
    </row>
    <row r="296" spans="1:9">
      <c r="A296" t="str">
        <f>IF('[3]Motor Rutas SKU_Cons'!C300="","",'[3]Motor Rutas SKU_Cons'!C300)</f>
        <v>Norte</v>
      </c>
      <c r="B296" t="str">
        <f>IF('[3]Motor Rutas SKU_Cons'!D300="","",'[3]Motor Rutas SKU_Cons'!D300)</f>
        <v>Guadiana</v>
      </c>
      <c r="C296" t="str">
        <f>IF('[3]Motor Rutas SKU_Cons'!B300="","",'[3]Motor Rutas SKU_Cons'!B300)</f>
        <v>Planta Guadiana</v>
      </c>
      <c r="D296">
        <f>'[3]Motor Rutas SKU_Cons'!A300</f>
        <v>931404</v>
      </c>
      <c r="E296" s="997" t="str">
        <f>IF('[3]Motor Rutas SKU_Cons'!N300="","s/d","Agua "&amp;TEXT('[3]Motor Rutas SKU_Cons'!N300,"0%")&amp;" · Colas "&amp;TEXT('[3]Motor Rutas SKU_Cons'!O300,"0%")&amp;" · Resto "&amp;TEXT('[3]Motor Rutas SKU_Cons'!P300,"0%"))</f>
        <v>Agua 85% · Colas 8% · Resto 7%</v>
      </c>
      <c r="F296" s="16">
        <f>'[3]Motor Rutas SKU_Cons'!CH300</f>
        <v>0.31971253556041079</v>
      </c>
      <c r="G296" s="16">
        <f>'[3]Motor Rutas SKU_Cons'!CG300</f>
        <v>0.72116095295454496</v>
      </c>
      <c r="H296" s="998">
        <f>'[3]Motor Rutas SKU_Cons'!BX300</f>
        <v>50.07651748527023</v>
      </c>
      <c r="I296" s="998">
        <f>'[3]Motor Rutas SKU_Cons'!BW300</f>
        <v>0</v>
      </c>
    </row>
    <row r="297" spans="1:9">
      <c r="A297" t="str">
        <f>IF('[3]Motor Rutas SKU_Cons'!C301="","",'[3]Motor Rutas SKU_Cons'!C301)</f>
        <v>Occidente</v>
      </c>
      <c r="B297" t="str">
        <f>IF('[3]Motor Rutas SKU_Cons'!D301="","",'[3]Motor Rutas SKU_Cons'!D301)</f>
        <v>Zapopan</v>
      </c>
      <c r="C297" t="str">
        <f>IF('[3]Motor Rutas SKU_Cons'!B301="","",'[3]Motor Rutas SKU_Cons'!B301)</f>
        <v>Planta Zapopan</v>
      </c>
      <c r="D297">
        <f>'[3]Motor Rutas SKU_Cons'!A301</f>
        <v>816346</v>
      </c>
      <c r="E297" s="997" t="str">
        <f>IF('[3]Motor Rutas SKU_Cons'!N301="","s/d","Agua "&amp;TEXT('[3]Motor Rutas SKU_Cons'!N301,"0%")&amp;" · Colas "&amp;TEXT('[3]Motor Rutas SKU_Cons'!O301,"0%")&amp;" · Resto "&amp;TEXT('[3]Motor Rutas SKU_Cons'!P301,"0%"))</f>
        <v>Agua 85% · Colas 8% · Resto 7%</v>
      </c>
      <c r="F297" s="16">
        <f>'[3]Motor Rutas SKU_Cons'!CH301</f>
        <v>0.24913840260131764</v>
      </c>
      <c r="G297" s="16">
        <f>'[3]Motor Rutas SKU_Cons'!CG301</f>
        <v>0.72084270753409074</v>
      </c>
      <c r="H297" s="998">
        <f>'[3]Motor Rutas SKU_Cons'!BX301</f>
        <v>65.288390729055322</v>
      </c>
      <c r="I297" s="998">
        <f>'[3]Motor Rutas SKU_Cons'!BW301</f>
        <v>0</v>
      </c>
    </row>
    <row r="298" spans="1:9">
      <c r="A298" t="str">
        <f>IF('[3]Motor Rutas SKU_Cons'!C302="","",'[3]Motor Rutas SKU_Cons'!C302)</f>
        <v>Occidente</v>
      </c>
      <c r="B298" t="str">
        <f>IF('[3]Motor Rutas SKU_Cons'!D302="","",'[3]Motor Rutas SKU_Cons'!D302)</f>
        <v>San Luis</v>
      </c>
      <c r="C298" t="str">
        <f>IF('[3]Motor Rutas SKU_Cons'!B302="","",'[3]Motor Rutas SKU_Cons'!B302)</f>
        <v>Planta San Luis</v>
      </c>
      <c r="D298">
        <f>'[3]Motor Rutas SKU_Cons'!A302</f>
        <v>916430</v>
      </c>
      <c r="E298" s="997" t="str">
        <f>IF('[3]Motor Rutas SKU_Cons'!N302="","s/d","Agua "&amp;TEXT('[3]Motor Rutas SKU_Cons'!N302,"0%")&amp;" · Colas "&amp;TEXT('[3]Motor Rutas SKU_Cons'!O302,"0%")&amp;" · Resto "&amp;TEXT('[3]Motor Rutas SKU_Cons'!P302,"0%"))</f>
        <v>Agua 85% · Colas 8% · Resto 7%</v>
      </c>
      <c r="F298" s="16">
        <f>'[3]Motor Rutas SKU_Cons'!CH302</f>
        <v>0.51272124593217583</v>
      </c>
      <c r="G298" s="16">
        <f>'[3]Motor Rutas SKU_Cons'!CG302</f>
        <v>0.72031630817045333</v>
      </c>
      <c r="H298" s="998">
        <f>'[3]Motor Rutas SKU_Cons'!BX302</f>
        <v>39.352791705882126</v>
      </c>
      <c r="I298" s="998">
        <f>'[3]Motor Rutas SKU_Cons'!BW302</f>
        <v>0</v>
      </c>
    </row>
    <row r="299" spans="1:9">
      <c r="A299" t="str">
        <f>IF('[3]Motor Rutas SKU_Cons'!C303="","",'[3]Motor Rutas SKU_Cons'!C303)</f>
        <v>Occidente</v>
      </c>
      <c r="B299" t="str">
        <f>IF('[3]Motor Rutas SKU_Cons'!D303="","",'[3]Motor Rutas SKU_Cons'!D303)</f>
        <v>Favorita</v>
      </c>
      <c r="C299" t="str">
        <f>IF('[3]Motor Rutas SKU_Cons'!B303="","",'[3]Motor Rutas SKU_Cons'!B303)</f>
        <v>Cedi Tonalá</v>
      </c>
      <c r="D299">
        <f>'[3]Motor Rutas SKU_Cons'!A303</f>
        <v>810346</v>
      </c>
      <c r="E299" s="997" t="str">
        <f>IF('[3]Motor Rutas SKU_Cons'!N303="","s/d","Agua "&amp;TEXT('[3]Motor Rutas SKU_Cons'!N303,"0%")&amp;" · Colas "&amp;TEXT('[3]Motor Rutas SKU_Cons'!O303,"0%")&amp;" · Resto "&amp;TEXT('[3]Motor Rutas SKU_Cons'!P303,"0%"))</f>
        <v>Agua 85% · Colas 8% · Resto 7%</v>
      </c>
      <c r="F299" s="16">
        <f>'[3]Motor Rutas SKU_Cons'!CH303</f>
        <v>0.3938988968624087</v>
      </c>
      <c r="G299" s="16">
        <f>'[3]Motor Rutas SKU_Cons'!CG303</f>
        <v>0.71841127837500018</v>
      </c>
      <c r="H299" s="998">
        <f>'[3]Motor Rutas SKU_Cons'!BX303</f>
        <v>50.777773722816526</v>
      </c>
      <c r="I299" s="998">
        <f>'[3]Motor Rutas SKU_Cons'!BW303</f>
        <v>0</v>
      </c>
    </row>
    <row r="300" spans="1:9">
      <c r="A300" t="str">
        <f>IF('[3]Motor Rutas SKU_Cons'!C304="","",'[3]Motor Rutas SKU_Cons'!C304)</f>
        <v>Occidente</v>
      </c>
      <c r="B300" t="str">
        <f>IF('[3]Motor Rutas SKU_Cons'!D304="","",'[3]Motor Rutas SKU_Cons'!D304)</f>
        <v>Aguascalientes</v>
      </c>
      <c r="C300" t="str">
        <f>IF('[3]Motor Rutas SKU_Cons'!B304="","",'[3]Motor Rutas SKU_Cons'!B304)</f>
        <v>Planta Aguascalientes</v>
      </c>
      <c r="D300">
        <f>'[3]Motor Rutas SKU_Cons'!A304</f>
        <v>901345</v>
      </c>
      <c r="E300" s="997" t="str">
        <f>IF('[3]Motor Rutas SKU_Cons'!N304="","s/d","Agua "&amp;TEXT('[3]Motor Rutas SKU_Cons'!N304,"0%")&amp;" · Colas "&amp;TEXT('[3]Motor Rutas SKU_Cons'!O304,"0%")&amp;" · Resto "&amp;TEXT('[3]Motor Rutas SKU_Cons'!P304,"0%"))</f>
        <v>Agua 85% · Colas 8% · Resto 7%</v>
      </c>
      <c r="F300" s="16">
        <f>'[3]Motor Rutas SKU_Cons'!CH304</f>
        <v>0.15032042902666834</v>
      </c>
      <c r="G300" s="16">
        <f>'[3]Motor Rutas SKU_Cons'!CG304</f>
        <v>0.71617376250000009</v>
      </c>
      <c r="H300" s="998">
        <f>'[3]Motor Rutas SKU_Cons'!BX304</f>
        <v>38.742092670231742</v>
      </c>
      <c r="I300" s="998">
        <f>'[3]Motor Rutas SKU_Cons'!BW304</f>
        <v>0</v>
      </c>
    </row>
    <row r="301" spans="1:9">
      <c r="A301" t="str">
        <f>IF('[3]Motor Rutas SKU_Cons'!C305="","",'[3]Motor Rutas SKU_Cons'!C305)</f>
        <v>Occidente</v>
      </c>
      <c r="B301" t="str">
        <f>IF('[3]Motor Rutas SKU_Cons'!D305="","",'[3]Motor Rutas SKU_Cons'!D305)</f>
        <v>Favorita</v>
      </c>
      <c r="C301" t="str">
        <f>IF('[3]Motor Rutas SKU_Cons'!B305="","",'[3]Motor Rutas SKU_Cons'!B305)</f>
        <v>Suc. Cihuatlán</v>
      </c>
      <c r="D301">
        <f>'[3]Motor Rutas SKU_Cons'!A305</f>
        <v>808300</v>
      </c>
      <c r="E301" s="997" t="str">
        <f>IF('[3]Motor Rutas SKU_Cons'!N305="","s/d","Agua "&amp;TEXT('[3]Motor Rutas SKU_Cons'!N305,"0%")&amp;" · Colas "&amp;TEXT('[3]Motor Rutas SKU_Cons'!O305,"0%")&amp;" · Resto "&amp;TEXT('[3]Motor Rutas SKU_Cons'!P305,"0%"))</f>
        <v>Agua 85% · Colas 8% · Resto 7%</v>
      </c>
      <c r="F301" s="16">
        <f>'[3]Motor Rutas SKU_Cons'!CH305</f>
        <v>0.51629718056335971</v>
      </c>
      <c r="G301" s="16">
        <f>'[3]Motor Rutas SKU_Cons'!CG305</f>
        <v>0.71462969335227267</v>
      </c>
      <c r="H301" s="998">
        <f>'[3]Motor Rutas SKU_Cons'!BX305</f>
        <v>0</v>
      </c>
      <c r="I301" s="998">
        <f>'[3]Motor Rutas SKU_Cons'!BW305</f>
        <v>0</v>
      </c>
    </row>
    <row r="302" spans="1:9">
      <c r="A302" t="str">
        <f>IF('[3]Motor Rutas SKU_Cons'!C306="","",'[3]Motor Rutas SKU_Cons'!C306)</f>
        <v>Occidente</v>
      </c>
      <c r="B302" t="str">
        <f>IF('[3]Motor Rutas SKU_Cons'!D306="","",'[3]Motor Rutas SKU_Cons'!D306)</f>
        <v>Zapopan</v>
      </c>
      <c r="C302" t="str">
        <f>IF('[3]Motor Rutas SKU_Cons'!B306="","",'[3]Motor Rutas SKU_Cons'!B306)</f>
        <v>Suc. Belenes</v>
      </c>
      <c r="D302">
        <f>'[3]Motor Rutas SKU_Cons'!A306</f>
        <v>820410</v>
      </c>
      <c r="E302" s="997" t="str">
        <f>IF('[3]Motor Rutas SKU_Cons'!N306="","s/d","Agua "&amp;TEXT('[3]Motor Rutas SKU_Cons'!N306,"0%")&amp;" · Colas "&amp;TEXT('[3]Motor Rutas SKU_Cons'!O306,"0%")&amp;" · Resto "&amp;TEXT('[3]Motor Rutas SKU_Cons'!P306,"0%"))</f>
        <v>Agua 85% · Colas 8% · Resto 7%</v>
      </c>
      <c r="F302" s="16">
        <f>'[3]Motor Rutas SKU_Cons'!CH306</f>
        <v>0.30323745819929776</v>
      </c>
      <c r="G302" s="16">
        <f>'[3]Motor Rutas SKU_Cons'!CG306</f>
        <v>0.71395295737499942</v>
      </c>
      <c r="H302" s="998">
        <f>'[3]Motor Rutas SKU_Cons'!BX306</f>
        <v>59.120955443850406</v>
      </c>
      <c r="I302" s="998">
        <f>'[3]Motor Rutas SKU_Cons'!BW306</f>
        <v>0</v>
      </c>
    </row>
    <row r="303" spans="1:9">
      <c r="A303" t="str">
        <f>IF('[3]Motor Rutas SKU_Cons'!C307="","",'[3]Motor Rutas SKU_Cons'!C307)</f>
        <v>Occidente</v>
      </c>
      <c r="B303" t="str">
        <f>IF('[3]Motor Rutas SKU_Cons'!D307="","",'[3]Motor Rutas SKU_Cons'!D307)</f>
        <v>Aguascalientes</v>
      </c>
      <c r="C303" t="str">
        <f>IF('[3]Motor Rutas SKU_Cons'!B307="","",'[3]Motor Rutas SKU_Cons'!B307)</f>
        <v>Planta Aguascalientes</v>
      </c>
      <c r="D303">
        <f>'[3]Motor Rutas SKU_Cons'!A307</f>
        <v>901412</v>
      </c>
      <c r="E303" s="997" t="str">
        <f>IF('[3]Motor Rutas SKU_Cons'!N307="","s/d","Agua "&amp;TEXT('[3]Motor Rutas SKU_Cons'!N307,"0%")&amp;" · Colas "&amp;TEXT('[3]Motor Rutas SKU_Cons'!O307,"0%")&amp;" · Resto "&amp;TEXT('[3]Motor Rutas SKU_Cons'!P307,"0%"))</f>
        <v>Agua 85% · Colas 8% · Resto 7%</v>
      </c>
      <c r="F303" s="16">
        <f>'[3]Motor Rutas SKU_Cons'!CH307</f>
        <v>0.22161431635035522</v>
      </c>
      <c r="G303" s="16">
        <f>'[3]Motor Rutas SKU_Cons'!CG307</f>
        <v>0.71359984523863706</v>
      </c>
      <c r="H303" s="998">
        <f>'[3]Motor Rutas SKU_Cons'!BX307</f>
        <v>67.088123455436744</v>
      </c>
      <c r="I303" s="998">
        <f>'[3]Motor Rutas SKU_Cons'!BW307</f>
        <v>0</v>
      </c>
    </row>
    <row r="304" spans="1:9">
      <c r="A304" t="str">
        <f>IF('[3]Motor Rutas SKU_Cons'!C308="","",'[3]Motor Rutas SKU_Cons'!C308)</f>
        <v>Occidente</v>
      </c>
      <c r="B304" t="str">
        <f>IF('[3]Motor Rutas SKU_Cons'!D308="","",'[3]Motor Rutas SKU_Cons'!D308)</f>
        <v>Favorita</v>
      </c>
      <c r="C304" t="str">
        <f>IF('[3]Motor Rutas SKU_Cons'!B308="","",'[3]Motor Rutas SKU_Cons'!B308)</f>
        <v>Suc. Santa Maria</v>
      </c>
      <c r="D304">
        <f>'[3]Motor Rutas SKU_Cons'!A308</f>
        <v>809370</v>
      </c>
      <c r="E304" s="997" t="str">
        <f>IF('[3]Motor Rutas SKU_Cons'!N308="","s/d","Agua "&amp;TEXT('[3]Motor Rutas SKU_Cons'!N308,"0%")&amp;" · Colas "&amp;TEXT('[3]Motor Rutas SKU_Cons'!O308,"0%")&amp;" · Resto "&amp;TEXT('[3]Motor Rutas SKU_Cons'!P308,"0%"))</f>
        <v>Agua 85% · Colas 8% · Resto 7%</v>
      </c>
      <c r="F304" s="16">
        <f>'[3]Motor Rutas SKU_Cons'!CH308</f>
        <v>0.16617943469862631</v>
      </c>
      <c r="G304" s="16">
        <f>'[3]Motor Rutas SKU_Cons'!CG308</f>
        <v>0.71304150702272739</v>
      </c>
      <c r="H304" s="998">
        <f>'[3]Motor Rutas SKU_Cons'!BX308</f>
        <v>72.459422956328126</v>
      </c>
      <c r="I304" s="998">
        <f>'[3]Motor Rutas SKU_Cons'!BW308</f>
        <v>0</v>
      </c>
    </row>
    <row r="305" spans="1:9">
      <c r="A305" t="str">
        <f>IF('[3]Motor Rutas SKU_Cons'!C309="","",'[3]Motor Rutas SKU_Cons'!C309)</f>
        <v>Occidente</v>
      </c>
      <c r="B305" t="str">
        <f>IF('[3]Motor Rutas SKU_Cons'!D309="","",'[3]Motor Rutas SKU_Cons'!D309)</f>
        <v>Favorita</v>
      </c>
      <c r="C305" t="str">
        <f>IF('[3]Motor Rutas SKU_Cons'!B309="","",'[3]Motor Rutas SKU_Cons'!B309)</f>
        <v>Suc. Santa Maria</v>
      </c>
      <c r="D305">
        <f>'[3]Motor Rutas SKU_Cons'!A309</f>
        <v>809358</v>
      </c>
      <c r="E305" s="997" t="str">
        <f>IF('[3]Motor Rutas SKU_Cons'!N309="","s/d","Agua "&amp;TEXT('[3]Motor Rutas SKU_Cons'!N309,"0%")&amp;" · Colas "&amp;TEXT('[3]Motor Rutas SKU_Cons'!O309,"0%")&amp;" · Resto "&amp;TEXT('[3]Motor Rutas SKU_Cons'!P309,"0%"))</f>
        <v>Agua 85% · Colas 8% · Resto 7%</v>
      </c>
      <c r="F305" s="16">
        <f>'[3]Motor Rutas SKU_Cons'!CH309</f>
        <v>0.25951558748823667</v>
      </c>
      <c r="G305" s="16">
        <f>'[3]Motor Rutas SKU_Cons'!CG309</f>
        <v>0.71299700181818115</v>
      </c>
      <c r="H305" s="998">
        <f>'[3]Motor Rutas SKU_Cons'!BX309</f>
        <v>63.293148102495451</v>
      </c>
      <c r="I305" s="998">
        <f>'[3]Motor Rutas SKU_Cons'!BW309</f>
        <v>0</v>
      </c>
    </row>
    <row r="306" spans="1:9">
      <c r="A306" t="str">
        <f>IF('[3]Motor Rutas SKU_Cons'!C310="","",'[3]Motor Rutas SKU_Cons'!C310)</f>
        <v>Occidente</v>
      </c>
      <c r="B306" t="str">
        <f>IF('[3]Motor Rutas SKU_Cons'!D310="","",'[3]Motor Rutas SKU_Cons'!D310)</f>
        <v>San Luis</v>
      </c>
      <c r="C306" t="str">
        <f>IF('[3]Motor Rutas SKU_Cons'!B310="","",'[3]Motor Rutas SKU_Cons'!B310)</f>
        <v>Planta San Luis</v>
      </c>
      <c r="D306">
        <f>'[3]Motor Rutas SKU_Cons'!A310</f>
        <v>916356</v>
      </c>
      <c r="E306" s="997" t="str">
        <f>IF('[3]Motor Rutas SKU_Cons'!N310="","s/d","Agua "&amp;TEXT('[3]Motor Rutas SKU_Cons'!N310,"0%")&amp;" · Colas "&amp;TEXT('[3]Motor Rutas SKU_Cons'!O310,"0%")&amp;" · Resto "&amp;TEXT('[3]Motor Rutas SKU_Cons'!P310,"0%"))</f>
        <v>Agua 85% · Colas 8% · Resto 7%</v>
      </c>
      <c r="F306" s="16">
        <f>'[3]Motor Rutas SKU_Cons'!CH310</f>
        <v>0.4556139151246435</v>
      </c>
      <c r="G306" s="16">
        <f>'[3]Motor Rutas SKU_Cons'!CG310</f>
        <v>0.71239888277592434</v>
      </c>
      <c r="H306" s="998">
        <f>'[3]Motor Rutas SKU_Cons'!BX310</f>
        <v>43.200860803030288</v>
      </c>
      <c r="I306" s="998">
        <f>'[3]Motor Rutas SKU_Cons'!BW310</f>
        <v>0</v>
      </c>
    </row>
    <row r="307" spans="1:9">
      <c r="A307" t="str">
        <f>IF('[3]Motor Rutas SKU_Cons'!C311="","",'[3]Motor Rutas SKU_Cons'!C311)</f>
        <v>Occidente</v>
      </c>
      <c r="B307" t="str">
        <f>IF('[3]Motor Rutas SKU_Cons'!D311="","",'[3]Motor Rutas SKU_Cons'!D311)</f>
        <v>Zapopan</v>
      </c>
      <c r="C307" t="str">
        <f>IF('[3]Motor Rutas SKU_Cons'!B311="","",'[3]Motor Rutas SKU_Cons'!B311)</f>
        <v>Suc. Belenes</v>
      </c>
      <c r="D307">
        <f>'[3]Motor Rutas SKU_Cons'!A311</f>
        <v>820356</v>
      </c>
      <c r="E307" s="997" t="str">
        <f>IF('[3]Motor Rutas SKU_Cons'!N311="","s/d","Agua "&amp;TEXT('[3]Motor Rutas SKU_Cons'!N311,"0%")&amp;" · Colas "&amp;TEXT('[3]Motor Rutas SKU_Cons'!O311,"0%")&amp;" · Resto "&amp;TEXT('[3]Motor Rutas SKU_Cons'!P311,"0%"))</f>
        <v>Agua 85% · Colas 8% · Resto 7%</v>
      </c>
      <c r="F307" s="16">
        <f>'[3]Motor Rutas SKU_Cons'!CH311</f>
        <v>0.23922786200118659</v>
      </c>
      <c r="G307" s="16">
        <f>'[3]Motor Rutas SKU_Cons'!CG311</f>
        <v>0.71231076242693336</v>
      </c>
      <c r="H307" s="998">
        <f>'[3]Motor Rutas SKU_Cons'!BX311</f>
        <v>65.198910037433492</v>
      </c>
      <c r="I307" s="998">
        <f>'[3]Motor Rutas SKU_Cons'!BW311</f>
        <v>0</v>
      </c>
    </row>
    <row r="308" spans="1:9">
      <c r="A308" t="str">
        <f>IF('[3]Motor Rutas SKU_Cons'!C312="","",'[3]Motor Rutas SKU_Cons'!C312)</f>
        <v>Noreste</v>
      </c>
      <c r="B308" t="str">
        <f>IF('[3]Motor Rutas SKU_Cons'!D312="","",'[3]Motor Rutas SKU_Cons'!D312)</f>
        <v>Monterrey</v>
      </c>
      <c r="C308" t="str">
        <f>IF('[3]Motor Rutas SKU_Cons'!B312="","",'[3]Motor Rutas SKU_Cons'!B312)</f>
        <v>Sucursal Santa Catarina</v>
      </c>
      <c r="D308">
        <f>'[3]Motor Rutas SKU_Cons'!A312</f>
        <v>712315</v>
      </c>
      <c r="E308" s="997" t="str">
        <f>IF('[3]Motor Rutas SKU_Cons'!N312="","s/d","Agua "&amp;TEXT('[3]Motor Rutas SKU_Cons'!N312,"0%")&amp;" · Colas "&amp;TEXT('[3]Motor Rutas SKU_Cons'!O312,"0%")&amp;" · Resto "&amp;TEXT('[3]Motor Rutas SKU_Cons'!P312,"0%"))</f>
        <v>Agua 80% · Colas 12% · Resto 8%</v>
      </c>
      <c r="F308" s="16">
        <f>'[3]Motor Rutas SKU_Cons'!CH312</f>
        <v>0.76420138722248865</v>
      </c>
      <c r="G308" s="16">
        <f>'[3]Motor Rutas SKU_Cons'!CG312</f>
        <v>0.71214514731818168</v>
      </c>
      <c r="H308" s="998">
        <f>'[3]Motor Rutas SKU_Cons'!BX312</f>
        <v>17.357329030724891</v>
      </c>
      <c r="I308" s="998">
        <f>'[3]Motor Rutas SKU_Cons'!BW312</f>
        <v>0</v>
      </c>
    </row>
    <row r="309" spans="1:9">
      <c r="A309" t="str">
        <f>IF('[3]Motor Rutas SKU_Cons'!C313="","",'[3]Motor Rutas SKU_Cons'!C313)</f>
        <v>Occidente</v>
      </c>
      <c r="B309" t="str">
        <f>IF('[3]Motor Rutas SKU_Cons'!D313="","",'[3]Motor Rutas SKU_Cons'!D313)</f>
        <v>Favorita</v>
      </c>
      <c r="C309" t="str">
        <f>IF('[3]Motor Rutas SKU_Cons'!B313="","",'[3]Motor Rutas SKU_Cons'!B313)</f>
        <v>Suc. Toluquilla</v>
      </c>
      <c r="D309">
        <f>'[3]Motor Rutas SKU_Cons'!A313</f>
        <v>804374</v>
      </c>
      <c r="E309" s="997" t="str">
        <f>IF('[3]Motor Rutas SKU_Cons'!N313="","s/d","Agua "&amp;TEXT('[3]Motor Rutas SKU_Cons'!N313,"0%")&amp;" · Colas "&amp;TEXT('[3]Motor Rutas SKU_Cons'!O313,"0%")&amp;" · Resto "&amp;TEXT('[3]Motor Rutas SKU_Cons'!P313,"0%"))</f>
        <v>Agua 85% · Colas 8% · Resto 7%</v>
      </c>
      <c r="F309" s="16">
        <f>'[3]Motor Rutas SKU_Cons'!CH313</f>
        <v>0.28019301652804141</v>
      </c>
      <c r="G309" s="16">
        <f>'[3]Motor Rutas SKU_Cons'!CG313</f>
        <v>0.71091874278409095</v>
      </c>
      <c r="H309" s="998">
        <f>'[3]Motor Rutas SKU_Cons'!BX313</f>
        <v>61.004973500891481</v>
      </c>
      <c r="I309" s="998">
        <f>'[3]Motor Rutas SKU_Cons'!BW313</f>
        <v>0</v>
      </c>
    </row>
    <row r="310" spans="1:9">
      <c r="A310" t="str">
        <f>IF('[3]Motor Rutas SKU_Cons'!C314="","",'[3]Motor Rutas SKU_Cons'!C314)</f>
        <v>Noreste</v>
      </c>
      <c r="B310" t="str">
        <f>IF('[3]Motor Rutas SKU_Cons'!D314="","",'[3]Motor Rutas SKU_Cons'!D314)</f>
        <v>Saltillo</v>
      </c>
      <c r="C310" t="str">
        <f>IF('[3]Motor Rutas SKU_Cons'!B314="","",'[3]Motor Rutas SKU_Cons'!B314)</f>
        <v>Planta Agua y Hielo</v>
      </c>
      <c r="D310">
        <f>'[3]Motor Rutas SKU_Cons'!A314</f>
        <v>203311</v>
      </c>
      <c r="E310" s="997" t="str">
        <f>IF('[3]Motor Rutas SKU_Cons'!N314="","s/d","Agua "&amp;TEXT('[3]Motor Rutas SKU_Cons'!N314,"0%")&amp;" · Colas "&amp;TEXT('[3]Motor Rutas SKU_Cons'!O314,"0%")&amp;" · Resto "&amp;TEXT('[3]Motor Rutas SKU_Cons'!P314,"0%"))</f>
        <v>Agua 80% · Colas 12% · Resto 8%</v>
      </c>
      <c r="F310" s="16">
        <f>'[3]Motor Rutas SKU_Cons'!CH314</f>
        <v>0.29258904702205701</v>
      </c>
      <c r="G310" s="16">
        <f>'[3]Motor Rutas SKU_Cons'!CG314</f>
        <v>0.71049412073863583</v>
      </c>
      <c r="H310" s="998">
        <f>'[3]Motor Rutas SKU_Cons'!BX314</f>
        <v>41.65847975488299</v>
      </c>
      <c r="I310" s="998">
        <f>'[3]Motor Rutas SKU_Cons'!BW314</f>
        <v>0</v>
      </c>
    </row>
    <row r="311" spans="1:9">
      <c r="A311" t="str">
        <f>IF('[3]Motor Rutas SKU_Cons'!C315="","",'[3]Motor Rutas SKU_Cons'!C315)</f>
        <v>Occidente</v>
      </c>
      <c r="B311" t="str">
        <f>IF('[3]Motor Rutas SKU_Cons'!D315="","",'[3]Motor Rutas SKU_Cons'!D315)</f>
        <v>San Luis</v>
      </c>
      <c r="C311" t="str">
        <f>IF('[3]Motor Rutas SKU_Cons'!B315="","",'[3]Motor Rutas SKU_Cons'!B315)</f>
        <v>Planta San Luis</v>
      </c>
      <c r="D311">
        <f>'[3]Motor Rutas SKU_Cons'!A315</f>
        <v>916415</v>
      </c>
      <c r="E311" s="997" t="str">
        <f>IF('[3]Motor Rutas SKU_Cons'!N315="","s/d","Agua "&amp;TEXT('[3]Motor Rutas SKU_Cons'!N315,"0%")&amp;" · Colas "&amp;TEXT('[3]Motor Rutas SKU_Cons'!O315,"0%")&amp;" · Resto "&amp;TEXT('[3]Motor Rutas SKU_Cons'!P315,"0%"))</f>
        <v>Agua 85% · Colas 8% · Resto 7%</v>
      </c>
      <c r="F311" s="16">
        <f>'[3]Motor Rutas SKU_Cons'!CH315</f>
        <v>0.41072016473917422</v>
      </c>
      <c r="G311" s="16">
        <f>'[3]Motor Rutas SKU_Cons'!CG315</f>
        <v>0.71046029536363575</v>
      </c>
      <c r="H311" s="998">
        <f>'[3]Motor Rutas SKU_Cons'!BX315</f>
        <v>48.136952376113989</v>
      </c>
      <c r="I311" s="998">
        <f>'[3]Motor Rutas SKU_Cons'!BW315</f>
        <v>0</v>
      </c>
    </row>
    <row r="312" spans="1:9">
      <c r="A312" t="str">
        <f>IF('[3]Motor Rutas SKU_Cons'!C316="","",'[3]Motor Rutas SKU_Cons'!C316)</f>
        <v>Occidente</v>
      </c>
      <c r="B312" t="str">
        <f>IF('[3]Motor Rutas SKU_Cons'!D316="","",'[3]Motor Rutas SKU_Cons'!D316)</f>
        <v>Zapopan</v>
      </c>
      <c r="C312" t="str">
        <f>IF('[3]Motor Rutas SKU_Cons'!B316="","",'[3]Motor Rutas SKU_Cons'!B316)</f>
        <v>Suc. Belenes</v>
      </c>
      <c r="D312">
        <f>'[3]Motor Rutas SKU_Cons'!A316</f>
        <v>820401</v>
      </c>
      <c r="E312" s="997" t="str">
        <f>IF('[3]Motor Rutas SKU_Cons'!N316="","s/d","Agua "&amp;TEXT('[3]Motor Rutas SKU_Cons'!N316,"0%")&amp;" · Colas "&amp;TEXT('[3]Motor Rutas SKU_Cons'!O316,"0%")&amp;" · Resto "&amp;TEXT('[3]Motor Rutas SKU_Cons'!P316,"0%"))</f>
        <v>Agua 85% · Colas 8% · Resto 7%</v>
      </c>
      <c r="F312" s="16">
        <f>'[3]Motor Rutas SKU_Cons'!CH316</f>
        <v>0.27719420386031723</v>
      </c>
      <c r="G312" s="16">
        <f>'[3]Motor Rutas SKU_Cons'!CG316</f>
        <v>0.709920743318181</v>
      </c>
      <c r="H312" s="998">
        <f>'[3]Motor Rutas SKU_Cons'!BX316</f>
        <v>61.175055056149702</v>
      </c>
      <c r="I312" s="998">
        <f>'[3]Motor Rutas SKU_Cons'!BW316</f>
        <v>0</v>
      </c>
    </row>
    <row r="313" spans="1:9">
      <c r="A313" t="str">
        <f>IF('[3]Motor Rutas SKU_Cons'!C317="","",'[3]Motor Rutas SKU_Cons'!C317)</f>
        <v>Norte</v>
      </c>
      <c r="B313" t="str">
        <f>IF('[3]Motor Rutas SKU_Cons'!D317="","",'[3]Motor Rutas SKU_Cons'!D317)</f>
        <v>Guadiana</v>
      </c>
      <c r="C313" t="str">
        <f>IF('[3]Motor Rutas SKU_Cons'!B317="","",'[3]Motor Rutas SKU_Cons'!B317)</f>
        <v>Planta Guadiana</v>
      </c>
      <c r="D313">
        <f>'[3]Motor Rutas SKU_Cons'!A317</f>
        <v>931415</v>
      </c>
      <c r="E313" s="997" t="str">
        <f>IF('[3]Motor Rutas SKU_Cons'!N317="","s/d","Agua "&amp;TEXT('[3]Motor Rutas SKU_Cons'!N317,"0%")&amp;" · Colas "&amp;TEXT('[3]Motor Rutas SKU_Cons'!O317,"0%")&amp;" · Resto "&amp;TEXT('[3]Motor Rutas SKU_Cons'!P317,"0%"))</f>
        <v>Agua 85% · Colas 8% · Resto 7%</v>
      </c>
      <c r="F313" s="16">
        <f>'[3]Motor Rutas SKU_Cons'!CH317</f>
        <v>0.45222812510708443</v>
      </c>
      <c r="G313" s="16">
        <f>'[3]Motor Rutas SKU_Cons'!CG317</f>
        <v>0.70962604159090903</v>
      </c>
      <c r="H313" s="998">
        <f>'[3]Motor Rutas SKU_Cons'!BX317</f>
        <v>40.321936394361153</v>
      </c>
      <c r="I313" s="998">
        <f>'[3]Motor Rutas SKU_Cons'!BW317</f>
        <v>0</v>
      </c>
    </row>
    <row r="314" spans="1:9">
      <c r="A314" t="str">
        <f>IF('[3]Motor Rutas SKU_Cons'!C318="","",'[3]Motor Rutas SKU_Cons'!C318)</f>
        <v>Norte</v>
      </c>
      <c r="B314" t="str">
        <f>IF('[3]Motor Rutas SKU_Cons'!D318="","",'[3]Motor Rutas SKU_Cons'!D318)</f>
        <v>Zacatecas</v>
      </c>
      <c r="C314" t="str">
        <f>IF('[3]Motor Rutas SKU_Cons'!B318="","",'[3]Motor Rutas SKU_Cons'!B318)</f>
        <v>Planta Zacatecas</v>
      </c>
      <c r="D314">
        <f>'[3]Motor Rutas SKU_Cons'!A318</f>
        <v>946406</v>
      </c>
      <c r="E314" s="997" t="str">
        <f>IF('[3]Motor Rutas SKU_Cons'!N318="","s/d","Agua "&amp;TEXT('[3]Motor Rutas SKU_Cons'!N318,"0%")&amp;" · Colas "&amp;TEXT('[3]Motor Rutas SKU_Cons'!O318,"0%")&amp;" · Resto "&amp;TEXT('[3]Motor Rutas SKU_Cons'!P318,"0%"))</f>
        <v>Agua 85% · Colas 8% · Resto 7%</v>
      </c>
      <c r="F314" s="16">
        <f>'[3]Motor Rutas SKU_Cons'!CH318</f>
        <v>0.2088895066643483</v>
      </c>
      <c r="G314" s="16">
        <f>'[3]Motor Rutas SKU_Cons'!CG318</f>
        <v>0.69257291493506479</v>
      </c>
      <c r="H314" s="998">
        <f>'[3]Motor Rutas SKU_Cons'!BX318</f>
        <v>67.940006654532553</v>
      </c>
      <c r="I314" s="998">
        <f>'[3]Motor Rutas SKU_Cons'!BW318</f>
        <v>0</v>
      </c>
    </row>
    <row r="315" spans="1:9">
      <c r="A315" t="str">
        <f>IF('[3]Motor Rutas SKU_Cons'!C319="","",'[3]Motor Rutas SKU_Cons'!C319)</f>
        <v>Occidente</v>
      </c>
      <c r="B315" t="str">
        <f>IF('[3]Motor Rutas SKU_Cons'!D319="","",'[3]Motor Rutas SKU_Cons'!D319)</f>
        <v>Favorita</v>
      </c>
      <c r="C315" t="str">
        <f>IF('[3]Motor Rutas SKU_Cons'!B319="","",'[3]Motor Rutas SKU_Cons'!B319)</f>
        <v>Suc. Toluquilla</v>
      </c>
      <c r="D315">
        <f>'[3]Motor Rutas SKU_Cons'!A319</f>
        <v>804372</v>
      </c>
      <c r="E315" s="997" t="str">
        <f>IF('[3]Motor Rutas SKU_Cons'!N319="","s/d","Agua "&amp;TEXT('[3]Motor Rutas SKU_Cons'!N319,"0%")&amp;" · Colas "&amp;TEXT('[3]Motor Rutas SKU_Cons'!O319,"0%")&amp;" · Resto "&amp;TEXT('[3]Motor Rutas SKU_Cons'!P319,"0%"))</f>
        <v>Agua 85% · Colas 8% · Resto 7%</v>
      </c>
      <c r="F315" s="16">
        <f>'[3]Motor Rutas SKU_Cons'!CH319</f>
        <v>0.36682445378448103</v>
      </c>
      <c r="G315" s="16">
        <f>'[3]Motor Rutas SKU_Cons'!CG319</f>
        <v>0.70914245420454491</v>
      </c>
      <c r="H315" s="998">
        <f>'[3]Motor Rutas SKU_Cons'!BX319</f>
        <v>52.281154391265503</v>
      </c>
      <c r="I315" s="998">
        <f>'[3]Motor Rutas SKU_Cons'!BW319</f>
        <v>0</v>
      </c>
    </row>
    <row r="316" spans="1:9">
      <c r="A316" t="str">
        <f>IF('[3]Motor Rutas SKU_Cons'!C320="","",'[3]Motor Rutas SKU_Cons'!C320)</f>
        <v>Occidente</v>
      </c>
      <c r="B316" t="str">
        <f>IF('[3]Motor Rutas SKU_Cons'!D320="","",'[3]Motor Rutas SKU_Cons'!D320)</f>
        <v>Favorita</v>
      </c>
      <c r="C316" t="str">
        <f>IF('[3]Motor Rutas SKU_Cons'!B320="","",'[3]Motor Rutas SKU_Cons'!B320)</f>
        <v>Suc. San Rafael</v>
      </c>
      <c r="D316">
        <f>'[3]Motor Rutas SKU_Cons'!A320</f>
        <v>803419</v>
      </c>
      <c r="E316" s="997" t="str">
        <f>IF('[3]Motor Rutas SKU_Cons'!N320="","s/d","Agua "&amp;TEXT('[3]Motor Rutas SKU_Cons'!N320,"0%")&amp;" · Colas "&amp;TEXT('[3]Motor Rutas SKU_Cons'!O320,"0%")&amp;" · Resto "&amp;TEXT('[3]Motor Rutas SKU_Cons'!P320,"0%"))</f>
        <v>Agua 85% · Colas 8% · Resto 7%</v>
      </c>
      <c r="F316" s="16">
        <f>'[3]Motor Rutas SKU_Cons'!CH320</f>
        <v>0.34104308165072839</v>
      </c>
      <c r="G316" s="16">
        <f>'[3]Motor Rutas SKU_Cons'!CG320</f>
        <v>0.70232848875000042</v>
      </c>
      <c r="H316" s="998">
        <f>'[3]Motor Rutas SKU_Cons'!BX320</f>
        <v>44.33840858537647</v>
      </c>
      <c r="I316" s="998">
        <f>'[3]Motor Rutas SKU_Cons'!BW320</f>
        <v>0</v>
      </c>
    </row>
    <row r="317" spans="1:9">
      <c r="A317" t="str">
        <f>IF('[3]Motor Rutas SKU_Cons'!C321="","",'[3]Motor Rutas SKU_Cons'!C321)</f>
        <v>Occidente</v>
      </c>
      <c r="B317" t="str">
        <f>IF('[3]Motor Rutas SKU_Cons'!D321="","",'[3]Motor Rutas SKU_Cons'!D321)</f>
        <v>Favorita</v>
      </c>
      <c r="C317" t="str">
        <f>IF('[3]Motor Rutas SKU_Cons'!B321="","",'[3]Motor Rutas SKU_Cons'!B321)</f>
        <v>Suc. Santa Maria</v>
      </c>
      <c r="D317">
        <f>'[3]Motor Rutas SKU_Cons'!A321</f>
        <v>809352</v>
      </c>
      <c r="E317" s="997" t="str">
        <f>IF('[3]Motor Rutas SKU_Cons'!N321="","s/d","Agua "&amp;TEXT('[3]Motor Rutas SKU_Cons'!N321,"0%")&amp;" · Colas "&amp;TEXT('[3]Motor Rutas SKU_Cons'!O321,"0%")&amp;" · Resto "&amp;TEXT('[3]Motor Rutas SKU_Cons'!P321,"0%"))</f>
        <v>Agua 85% · Colas 8% · Resto 7%</v>
      </c>
      <c r="F317" s="16">
        <f>'[3]Motor Rutas SKU_Cons'!CH321</f>
        <v>0.35173067946712444</v>
      </c>
      <c r="G317" s="16">
        <f>'[3]Motor Rutas SKU_Cons'!CG321</f>
        <v>0.70225557340908962</v>
      </c>
      <c r="H317" s="998">
        <f>'[3]Motor Rutas SKU_Cons'!BX321</f>
        <v>52.905197507129827</v>
      </c>
      <c r="I317" s="998">
        <f>'[3]Motor Rutas SKU_Cons'!BW321</f>
        <v>0</v>
      </c>
    </row>
    <row r="318" spans="1:9">
      <c r="A318" t="str">
        <f>IF('[3]Motor Rutas SKU_Cons'!C322="","",'[3]Motor Rutas SKU_Cons'!C322)</f>
        <v>Norte</v>
      </c>
      <c r="B318" t="str">
        <f>IF('[3]Motor Rutas SKU_Cons'!D322="","",'[3]Motor Rutas SKU_Cons'!D322)</f>
        <v>Guadiana</v>
      </c>
      <c r="C318" t="str">
        <f>IF('[3]Motor Rutas SKU_Cons'!B322="","",'[3]Motor Rutas SKU_Cons'!B322)</f>
        <v>Planta Guadiana</v>
      </c>
      <c r="D318">
        <f>'[3]Motor Rutas SKU_Cons'!A322</f>
        <v>931419</v>
      </c>
      <c r="E318" s="997" t="str">
        <f>IF('[3]Motor Rutas SKU_Cons'!N322="","s/d","Agua "&amp;TEXT('[3]Motor Rutas SKU_Cons'!N322,"0%")&amp;" · Colas "&amp;TEXT('[3]Motor Rutas SKU_Cons'!O322,"0%")&amp;" · Resto "&amp;TEXT('[3]Motor Rutas SKU_Cons'!P322,"0%"))</f>
        <v>Agua 85% · Colas 8% · Resto 7%</v>
      </c>
      <c r="F318" s="16">
        <f>'[3]Motor Rutas SKU_Cons'!CH322</f>
        <v>0.31345402455884641</v>
      </c>
      <c r="G318" s="16">
        <f>'[3]Motor Rutas SKU_Cons'!CG322</f>
        <v>0.70221348613636336</v>
      </c>
      <c r="H318" s="998">
        <f>'[3]Motor Rutas SKU_Cons'!BX322</f>
        <v>50.537211606482309</v>
      </c>
      <c r="I318" s="998">
        <f>'[3]Motor Rutas SKU_Cons'!BW322</f>
        <v>0</v>
      </c>
    </row>
    <row r="319" spans="1:9">
      <c r="A319" t="str">
        <f>IF('[3]Motor Rutas SKU_Cons'!C323="","",'[3]Motor Rutas SKU_Cons'!C323)</f>
        <v>Noreste</v>
      </c>
      <c r="B319" t="str">
        <f>IF('[3]Motor Rutas SKU_Cons'!D323="","",'[3]Motor Rutas SKU_Cons'!D323)</f>
        <v>Monterrey</v>
      </c>
      <c r="C319" t="str">
        <f>IF('[3]Motor Rutas SKU_Cons'!B323="","",'[3]Motor Rutas SKU_Cons'!B323)</f>
        <v>Sucursal Universidad</v>
      </c>
      <c r="D319">
        <f>'[3]Motor Rutas SKU_Cons'!A323</f>
        <v>703301</v>
      </c>
      <c r="E319" s="997" t="str">
        <f>IF('[3]Motor Rutas SKU_Cons'!N323="","s/d","Agua "&amp;TEXT('[3]Motor Rutas SKU_Cons'!N323,"0%")&amp;" · Colas "&amp;TEXT('[3]Motor Rutas SKU_Cons'!O323,"0%")&amp;" · Resto "&amp;TEXT('[3]Motor Rutas SKU_Cons'!P323,"0%"))</f>
        <v>Agua 80% · Colas 12% · Resto 8%</v>
      </c>
      <c r="F319" s="16">
        <f>'[3]Motor Rutas SKU_Cons'!CH323</f>
        <v>0.74448126089954492</v>
      </c>
      <c r="G319" s="16">
        <f>'[3]Motor Rutas SKU_Cons'!CG323</f>
        <v>0.70185837845454468</v>
      </c>
      <c r="H319" s="998">
        <f>'[3]Motor Rutas SKU_Cons'!BX323</f>
        <v>0</v>
      </c>
      <c r="I319" s="998">
        <f>'[3]Motor Rutas SKU_Cons'!BW323</f>
        <v>0</v>
      </c>
    </row>
    <row r="320" spans="1:9">
      <c r="A320" t="str">
        <f>IF('[3]Motor Rutas SKU_Cons'!C324="","",'[3]Motor Rutas SKU_Cons'!C324)</f>
        <v>Occidente</v>
      </c>
      <c r="B320" t="str">
        <f>IF('[3]Motor Rutas SKU_Cons'!D324="","",'[3]Motor Rutas SKU_Cons'!D324)</f>
        <v>Favorita</v>
      </c>
      <c r="C320" t="str">
        <f>IF('[3]Motor Rutas SKU_Cons'!B324="","",'[3]Motor Rutas SKU_Cons'!B324)</f>
        <v>Cedi Tonalá</v>
      </c>
      <c r="D320">
        <f>'[3]Motor Rutas SKU_Cons'!A324</f>
        <v>810322</v>
      </c>
      <c r="E320" s="997" t="str">
        <f>IF('[3]Motor Rutas SKU_Cons'!N324="","s/d","Agua "&amp;TEXT('[3]Motor Rutas SKU_Cons'!N324,"0%")&amp;" · Colas "&amp;TEXT('[3]Motor Rutas SKU_Cons'!O324,"0%")&amp;" · Resto "&amp;TEXT('[3]Motor Rutas SKU_Cons'!P324,"0%"))</f>
        <v>Agua 85% · Colas 8% · Resto 7%</v>
      </c>
      <c r="F320" s="16">
        <f>'[3]Motor Rutas SKU_Cons'!CH324</f>
        <v>0.29987916064071013</v>
      </c>
      <c r="G320" s="16">
        <f>'[3]Motor Rutas SKU_Cons'!CG324</f>
        <v>0.70179257065909018</v>
      </c>
      <c r="H320" s="998">
        <f>'[3]Motor Rutas SKU_Cons'!BX324</f>
        <v>57.936666694296036</v>
      </c>
      <c r="I320" s="998">
        <f>'[3]Motor Rutas SKU_Cons'!BW324</f>
        <v>0</v>
      </c>
    </row>
    <row r="321" spans="1:9">
      <c r="A321" t="str">
        <f>IF('[3]Motor Rutas SKU_Cons'!C325="","",'[3]Motor Rutas SKU_Cons'!C325)</f>
        <v>Occidente</v>
      </c>
      <c r="B321" t="str">
        <f>IF('[3]Motor Rutas SKU_Cons'!D325="","",'[3]Motor Rutas SKU_Cons'!D325)</f>
        <v>Zapopan</v>
      </c>
      <c r="C321" t="str">
        <f>IF('[3]Motor Rutas SKU_Cons'!B325="","",'[3]Motor Rutas SKU_Cons'!B325)</f>
        <v>Suc. Belenes</v>
      </c>
      <c r="D321">
        <f>'[3]Motor Rutas SKU_Cons'!A325</f>
        <v>820432</v>
      </c>
      <c r="E321" s="997" t="str">
        <f>IF('[3]Motor Rutas SKU_Cons'!N325="","s/d","Agua "&amp;TEXT('[3]Motor Rutas SKU_Cons'!N325,"0%")&amp;" · Colas "&amp;TEXT('[3]Motor Rutas SKU_Cons'!O325,"0%")&amp;" · Resto "&amp;TEXT('[3]Motor Rutas SKU_Cons'!P325,"0%"))</f>
        <v>Agua 85% · Colas 8% · Resto 7%</v>
      </c>
      <c r="F321" s="16">
        <f>'[3]Motor Rutas SKU_Cons'!CH325</f>
        <v>0.39685817112286287</v>
      </c>
      <c r="G321" s="16">
        <f>'[3]Motor Rutas SKU_Cons'!CG325</f>
        <v>0.70121844879545359</v>
      </c>
      <c r="H321" s="998">
        <f>'[3]Motor Rutas SKU_Cons'!BX325</f>
        <v>48.346919297682639</v>
      </c>
      <c r="I321" s="998">
        <f>'[3]Motor Rutas SKU_Cons'!BW325</f>
        <v>0</v>
      </c>
    </row>
    <row r="322" spans="1:9">
      <c r="A322" t="str">
        <f>IF('[3]Motor Rutas SKU_Cons'!C326="","",'[3]Motor Rutas SKU_Cons'!C326)</f>
        <v>Occidente</v>
      </c>
      <c r="B322" t="str">
        <f>IF('[3]Motor Rutas SKU_Cons'!D326="","",'[3]Motor Rutas SKU_Cons'!D326)</f>
        <v>San Luis</v>
      </c>
      <c r="C322" t="str">
        <f>IF('[3]Motor Rutas SKU_Cons'!B326="","",'[3]Motor Rutas SKU_Cons'!B326)</f>
        <v>Planta San Luis</v>
      </c>
      <c r="D322">
        <f>'[3]Motor Rutas SKU_Cons'!A326</f>
        <v>916353</v>
      </c>
      <c r="E322" s="997" t="str">
        <f>IF('[3]Motor Rutas SKU_Cons'!N326="","s/d","Agua "&amp;TEXT('[3]Motor Rutas SKU_Cons'!N326,"0%")&amp;" · Colas "&amp;TEXT('[3]Motor Rutas SKU_Cons'!O326,"0%")&amp;" · Resto "&amp;TEXT('[3]Motor Rutas SKU_Cons'!P326,"0%"))</f>
        <v>Agua 85% · Colas 8% · Resto 7%</v>
      </c>
      <c r="F322" s="16">
        <f>'[3]Motor Rutas SKU_Cons'!CH326</f>
        <v>0.35642437252886305</v>
      </c>
      <c r="G322" s="16">
        <f>'[3]Motor Rutas SKU_Cons'!CG326</f>
        <v>0.70014672644318254</v>
      </c>
      <c r="H322" s="998">
        <f>'[3]Motor Rutas SKU_Cons'!BX326</f>
        <v>52.181982747771912</v>
      </c>
      <c r="I322" s="998">
        <f>'[3]Motor Rutas SKU_Cons'!BW326</f>
        <v>0</v>
      </c>
    </row>
    <row r="323" spans="1:9">
      <c r="A323" t="str">
        <f>IF('[3]Motor Rutas SKU_Cons'!C327="","",'[3]Motor Rutas SKU_Cons'!C327)</f>
        <v>Noreste</v>
      </c>
      <c r="B323" t="str">
        <f>IF('[3]Motor Rutas SKU_Cons'!D327="","",'[3]Motor Rutas SKU_Cons'!D327)</f>
        <v>Saltillo</v>
      </c>
      <c r="C323" t="str">
        <f>IF('[3]Motor Rutas SKU_Cons'!B327="","",'[3]Motor Rutas SKU_Cons'!B327)</f>
        <v>Planta Agua y Hielo</v>
      </c>
      <c r="D323">
        <f>'[3]Motor Rutas SKU_Cons'!A327</f>
        <v>203318</v>
      </c>
      <c r="E323" s="997" t="str">
        <f>IF('[3]Motor Rutas SKU_Cons'!N327="","s/d","Agua "&amp;TEXT('[3]Motor Rutas SKU_Cons'!N327,"0%")&amp;" · Colas "&amp;TEXT('[3]Motor Rutas SKU_Cons'!O327,"0%")&amp;" · Resto "&amp;TEXT('[3]Motor Rutas SKU_Cons'!P327,"0%"))</f>
        <v>Agua 80% · Colas 12% · Resto 8%</v>
      </c>
      <c r="F323" s="16">
        <f>'[3]Motor Rutas SKU_Cons'!CH327</f>
        <v>0.43717421019312597</v>
      </c>
      <c r="G323" s="16">
        <f>'[3]Motor Rutas SKU_Cons'!CG327</f>
        <v>0.69824575227272723</v>
      </c>
      <c r="H323" s="998">
        <f>'[3]Motor Rutas SKU_Cons'!BX327</f>
        <v>33.144053921549542</v>
      </c>
      <c r="I323" s="998">
        <f>'[3]Motor Rutas SKU_Cons'!BW327</f>
        <v>0</v>
      </c>
    </row>
    <row r="324" spans="1:9">
      <c r="A324" t="str">
        <f>IF('[3]Motor Rutas SKU_Cons'!C328="","",'[3]Motor Rutas SKU_Cons'!C328)</f>
        <v>Occidente</v>
      </c>
      <c r="B324" t="str">
        <f>IF('[3]Motor Rutas SKU_Cons'!D328="","",'[3]Motor Rutas SKU_Cons'!D328)</f>
        <v>Favorita</v>
      </c>
      <c r="C324" t="str">
        <f>IF('[3]Motor Rutas SKU_Cons'!B328="","",'[3]Motor Rutas SKU_Cons'!B328)</f>
        <v>Suc. Santa Maria</v>
      </c>
      <c r="D324">
        <f>'[3]Motor Rutas SKU_Cons'!A328</f>
        <v>809342</v>
      </c>
      <c r="E324" s="997" t="str">
        <f>IF('[3]Motor Rutas SKU_Cons'!N328="","s/d","Agua "&amp;TEXT('[3]Motor Rutas SKU_Cons'!N328,"0%")&amp;" · Colas "&amp;TEXT('[3]Motor Rutas SKU_Cons'!O328,"0%")&amp;" · Resto "&amp;TEXT('[3]Motor Rutas SKU_Cons'!P328,"0%"))</f>
        <v>Agua 85% · Colas 8% · Resto 7%</v>
      </c>
      <c r="F324" s="16">
        <f>'[3]Motor Rutas SKU_Cons'!CH328</f>
        <v>0.21540597007608733</v>
      </c>
      <c r="G324" s="16">
        <f>'[3]Motor Rutas SKU_Cons'!CG328</f>
        <v>0.69769544369318226</v>
      </c>
      <c r="H324" s="998">
        <f>'[3]Motor Rutas SKU_Cons'!BX328</f>
        <v>65.717452311051801</v>
      </c>
      <c r="I324" s="998">
        <f>'[3]Motor Rutas SKU_Cons'!BW328</f>
        <v>0</v>
      </c>
    </row>
    <row r="325" spans="1:9">
      <c r="A325" t="str">
        <f>IF('[3]Motor Rutas SKU_Cons'!C329="","",'[3]Motor Rutas SKU_Cons'!C329)</f>
        <v>Occidente</v>
      </c>
      <c r="B325" t="str">
        <f>IF('[3]Motor Rutas SKU_Cons'!D329="","",'[3]Motor Rutas SKU_Cons'!D329)</f>
        <v>Favorita</v>
      </c>
      <c r="C325" t="str">
        <f>IF('[3]Motor Rutas SKU_Cons'!B329="","",'[3]Motor Rutas SKU_Cons'!B329)</f>
        <v>Suc. Santa Maria</v>
      </c>
      <c r="D325">
        <f>'[3]Motor Rutas SKU_Cons'!A329</f>
        <v>809328</v>
      </c>
      <c r="E325" s="997" t="str">
        <f>IF('[3]Motor Rutas SKU_Cons'!N329="","s/d","Agua "&amp;TEXT('[3]Motor Rutas SKU_Cons'!N329,"0%")&amp;" · Colas "&amp;TEXT('[3]Motor Rutas SKU_Cons'!O329,"0%")&amp;" · Resto "&amp;TEXT('[3]Motor Rutas SKU_Cons'!P329,"0%"))</f>
        <v>Agua 85% · Colas 8% · Resto 7%</v>
      </c>
      <c r="F325" s="16">
        <f>'[3]Motor Rutas SKU_Cons'!CH329</f>
        <v>0.43289353185723406</v>
      </c>
      <c r="G325" s="16">
        <f>'[3]Motor Rutas SKU_Cons'!CG329</f>
        <v>0.69529215620454565</v>
      </c>
      <c r="H325" s="998">
        <f>'[3]Motor Rutas SKU_Cons'!BX329</f>
        <v>44.072340098930425</v>
      </c>
      <c r="I325" s="998">
        <f>'[3]Motor Rutas SKU_Cons'!BW329</f>
        <v>0</v>
      </c>
    </row>
    <row r="326" spans="1:9">
      <c r="A326" t="str">
        <f>IF('[3]Motor Rutas SKU_Cons'!C330="","",'[3]Motor Rutas SKU_Cons'!C330)</f>
        <v>Occidente</v>
      </c>
      <c r="B326" t="str">
        <f>IF('[3]Motor Rutas SKU_Cons'!D330="","",'[3]Motor Rutas SKU_Cons'!D330)</f>
        <v>Zapopan</v>
      </c>
      <c r="C326" t="str">
        <f>IF('[3]Motor Rutas SKU_Cons'!B330="","",'[3]Motor Rutas SKU_Cons'!B330)</f>
        <v>Suc. Ameca</v>
      </c>
      <c r="D326">
        <f>'[3]Motor Rutas SKU_Cons'!A330</f>
        <v>821402</v>
      </c>
      <c r="E326" s="997" t="str">
        <f>IF('[3]Motor Rutas SKU_Cons'!N330="","s/d","Agua "&amp;TEXT('[3]Motor Rutas SKU_Cons'!N330,"0%")&amp;" · Colas "&amp;TEXT('[3]Motor Rutas SKU_Cons'!O330,"0%")&amp;" · Resto "&amp;TEXT('[3]Motor Rutas SKU_Cons'!P330,"0%"))</f>
        <v>Agua 85% · Colas 8% · Resto 7%</v>
      </c>
      <c r="F326" s="16">
        <f>'[3]Motor Rutas SKU_Cons'!CH330</f>
        <v>0.34785037227347593</v>
      </c>
      <c r="G326" s="16">
        <f>'[3]Motor Rutas SKU_Cons'!CG330</f>
        <v>0.69460219881818153</v>
      </c>
      <c r="H326" s="998">
        <f>'[3]Motor Rutas SKU_Cons'!BX330</f>
        <v>52.333239892156882</v>
      </c>
      <c r="I326" s="998">
        <f>'[3]Motor Rutas SKU_Cons'!BW330</f>
        <v>0</v>
      </c>
    </row>
    <row r="327" spans="1:9">
      <c r="A327" t="str">
        <f>IF('[3]Motor Rutas SKU_Cons'!C331="","",'[3]Motor Rutas SKU_Cons'!C331)</f>
        <v>Occidente</v>
      </c>
      <c r="B327" t="str">
        <f>IF('[3]Motor Rutas SKU_Cons'!D331="","",'[3]Motor Rutas SKU_Cons'!D331)</f>
        <v>Zapopan</v>
      </c>
      <c r="C327" t="str">
        <f>IF('[3]Motor Rutas SKU_Cons'!B331="","",'[3]Motor Rutas SKU_Cons'!B331)</f>
        <v>Suc. Huentitán</v>
      </c>
      <c r="D327">
        <f>'[3]Motor Rutas SKU_Cons'!A331</f>
        <v>819345</v>
      </c>
      <c r="E327" s="997" t="str">
        <f>IF('[3]Motor Rutas SKU_Cons'!N331="","s/d","Agua "&amp;TEXT('[3]Motor Rutas SKU_Cons'!N331,"0%")&amp;" · Colas "&amp;TEXT('[3]Motor Rutas SKU_Cons'!O331,"0%")&amp;" · Resto "&amp;TEXT('[3]Motor Rutas SKU_Cons'!P331,"0%"))</f>
        <v>Agua 85% · Colas 8% · Resto 7%</v>
      </c>
      <c r="F327" s="16">
        <f>'[3]Motor Rutas SKU_Cons'!CH331</f>
        <v>0.30198184160609975</v>
      </c>
      <c r="G327" s="16">
        <f>'[3]Motor Rutas SKU_Cons'!CG331</f>
        <v>0.6929651237727269</v>
      </c>
      <c r="H327" s="998">
        <f>'[3]Motor Rutas SKU_Cons'!BX331</f>
        <v>56.631326959893073</v>
      </c>
      <c r="I327" s="998">
        <f>'[3]Motor Rutas SKU_Cons'!BW331</f>
        <v>0</v>
      </c>
    </row>
    <row r="328" spans="1:9">
      <c r="A328" t="str">
        <f>IF('[3]Motor Rutas SKU_Cons'!C332="","",'[3]Motor Rutas SKU_Cons'!C332)</f>
        <v>Occidente</v>
      </c>
      <c r="B328" t="str">
        <f>IF('[3]Motor Rutas SKU_Cons'!D332="","",'[3]Motor Rutas SKU_Cons'!D332)</f>
        <v>Favorita</v>
      </c>
      <c r="C328" t="str">
        <f>IF('[3]Motor Rutas SKU_Cons'!B332="","",'[3]Motor Rutas SKU_Cons'!B332)</f>
        <v>Suc. Alamo</v>
      </c>
      <c r="D328">
        <f>'[3]Motor Rutas SKU_Cons'!A332</f>
        <v>802341</v>
      </c>
      <c r="E328" s="997" t="str">
        <f>IF('[3]Motor Rutas SKU_Cons'!N332="","s/d","Agua "&amp;TEXT('[3]Motor Rutas SKU_Cons'!N332,"0%")&amp;" · Colas "&amp;TEXT('[3]Motor Rutas SKU_Cons'!O332,"0%")&amp;" · Resto "&amp;TEXT('[3]Motor Rutas SKU_Cons'!P332,"0%"))</f>
        <v>Agua 85% · Colas 8% · Resto 7%</v>
      </c>
      <c r="F328" s="16">
        <f>'[3]Motor Rutas SKU_Cons'!CH332</f>
        <v>0.19103287104161551</v>
      </c>
      <c r="G328" s="16">
        <f>'[3]Motor Rutas SKU_Cons'!CG332</f>
        <v>0.69259243295454531</v>
      </c>
      <c r="H328" s="998">
        <f>'[3]Motor Rutas SKU_Cons'!BX332</f>
        <v>67.474321901960792</v>
      </c>
      <c r="I328" s="998">
        <f>'[3]Motor Rutas SKU_Cons'!BW332</f>
        <v>0</v>
      </c>
    </row>
    <row r="329" spans="1:9">
      <c r="A329" t="str">
        <f>IF('[3]Motor Rutas SKU_Cons'!C333="","",'[3]Motor Rutas SKU_Cons'!C333)</f>
        <v>Occidente</v>
      </c>
      <c r="B329" t="str">
        <f>IF('[3]Motor Rutas SKU_Cons'!D333="","",'[3]Motor Rutas SKU_Cons'!D333)</f>
        <v>Favorita</v>
      </c>
      <c r="C329" t="str">
        <f>IF('[3]Motor Rutas SKU_Cons'!B333="","",'[3]Motor Rutas SKU_Cons'!B333)</f>
        <v>Suc. San Rafael</v>
      </c>
      <c r="D329">
        <f>'[3]Motor Rutas SKU_Cons'!A333</f>
        <v>803345</v>
      </c>
      <c r="E329" s="997" t="str">
        <f>IF('[3]Motor Rutas SKU_Cons'!N333="","s/d","Agua "&amp;TEXT('[3]Motor Rutas SKU_Cons'!N333,"0%")&amp;" · Colas "&amp;TEXT('[3]Motor Rutas SKU_Cons'!O333,"0%")&amp;" · Resto "&amp;TEXT('[3]Motor Rutas SKU_Cons'!P333,"0%"))</f>
        <v>Agua 85% · Colas 8% · Resto 7%</v>
      </c>
      <c r="F329" s="16">
        <f>'[3]Motor Rutas SKU_Cons'!CH333</f>
        <v>0.20203160024659755</v>
      </c>
      <c r="G329" s="16">
        <f>'[3]Motor Rutas SKU_Cons'!CG333</f>
        <v>0.6919332181363631</v>
      </c>
      <c r="H329" s="998">
        <f>'[3]Motor Rutas SKU_Cons'!BX333</f>
        <v>66.312752831550739</v>
      </c>
      <c r="I329" s="998">
        <f>'[3]Motor Rutas SKU_Cons'!BW333</f>
        <v>0</v>
      </c>
    </row>
    <row r="330" spans="1:9">
      <c r="A330" t="str">
        <f>IF('[3]Motor Rutas SKU_Cons'!C334="","",'[3]Motor Rutas SKU_Cons'!C334)</f>
        <v>Noreste</v>
      </c>
      <c r="B330" t="str">
        <f>IF('[3]Motor Rutas SKU_Cons'!D334="","",'[3]Motor Rutas SKU_Cons'!D334)</f>
        <v>Saltillo</v>
      </c>
      <c r="C330" t="str">
        <f>IF('[3]Motor Rutas SKU_Cons'!B334="","",'[3]Motor Rutas SKU_Cons'!B334)</f>
        <v>Planta Agua y Hielo</v>
      </c>
      <c r="D330">
        <f>'[3]Motor Rutas SKU_Cons'!A334</f>
        <v>203301</v>
      </c>
      <c r="E330" s="997" t="str">
        <f>IF('[3]Motor Rutas SKU_Cons'!N334="","s/d","Agua "&amp;TEXT('[3]Motor Rutas SKU_Cons'!N334,"0%")&amp;" · Colas "&amp;TEXT('[3]Motor Rutas SKU_Cons'!O334,"0%")&amp;" · Resto "&amp;TEXT('[3]Motor Rutas SKU_Cons'!P334,"0%"))</f>
        <v>Agua 80% · Colas 12% · Resto 8%</v>
      </c>
      <c r="F330" s="16">
        <f>'[3]Motor Rutas SKU_Cons'!CH334</f>
        <v>0.22153712048666835</v>
      </c>
      <c r="G330" s="16">
        <f>'[3]Motor Rutas SKU_Cons'!CG334</f>
        <v>0.69190544147727184</v>
      </c>
      <c r="H330" s="998">
        <f>'[3]Motor Rutas SKU_Cons'!BX334</f>
        <v>45.842632163973846</v>
      </c>
      <c r="I330" s="998">
        <f>'[3]Motor Rutas SKU_Cons'!BW334</f>
        <v>0</v>
      </c>
    </row>
    <row r="331" spans="1:9">
      <c r="A331" t="str">
        <f>IF('[3]Motor Rutas SKU_Cons'!C335="","",'[3]Motor Rutas SKU_Cons'!C335)</f>
        <v>Occidente</v>
      </c>
      <c r="B331" t="str">
        <f>IF('[3]Motor Rutas SKU_Cons'!D335="","",'[3]Motor Rutas SKU_Cons'!D335)</f>
        <v>Favorita</v>
      </c>
      <c r="C331" t="str">
        <f>IF('[3]Motor Rutas SKU_Cons'!B335="","",'[3]Motor Rutas SKU_Cons'!B335)</f>
        <v>Cedi Tonalá</v>
      </c>
      <c r="D331">
        <f>'[3]Motor Rutas SKU_Cons'!A335</f>
        <v>810328</v>
      </c>
      <c r="E331" s="997" t="str">
        <f>IF('[3]Motor Rutas SKU_Cons'!N335="","s/d","Agua "&amp;TEXT('[3]Motor Rutas SKU_Cons'!N335,"0%")&amp;" · Colas "&amp;TEXT('[3]Motor Rutas SKU_Cons'!O335,"0%")&amp;" · Resto "&amp;TEXT('[3]Motor Rutas SKU_Cons'!P335,"0%"))</f>
        <v>Agua 85% · Colas 8% · Resto 7%</v>
      </c>
      <c r="F331" s="16">
        <f>'[3]Motor Rutas SKU_Cons'!CH335</f>
        <v>0.24724918225971301</v>
      </c>
      <c r="G331" s="16">
        <f>'[3]Motor Rutas SKU_Cons'!CG335</f>
        <v>0.69101280905522722</v>
      </c>
      <c r="H331" s="998">
        <f>'[3]Motor Rutas SKU_Cons'!BX335</f>
        <v>61.760162867201458</v>
      </c>
      <c r="I331" s="998">
        <f>'[3]Motor Rutas SKU_Cons'!BW335</f>
        <v>0</v>
      </c>
    </row>
    <row r="332" spans="1:9">
      <c r="A332" t="str">
        <f>IF('[3]Motor Rutas SKU_Cons'!C336="","",'[3]Motor Rutas SKU_Cons'!C336)</f>
        <v>Occidente</v>
      </c>
      <c r="B332" t="str">
        <f>IF('[3]Motor Rutas SKU_Cons'!D336="","",'[3]Motor Rutas SKU_Cons'!D336)</f>
        <v>Zapopan</v>
      </c>
      <c r="C332" t="str">
        <f>IF('[3]Motor Rutas SKU_Cons'!B336="","",'[3]Motor Rutas SKU_Cons'!B336)</f>
        <v>Suc. Belenes</v>
      </c>
      <c r="D332">
        <f>'[3]Motor Rutas SKU_Cons'!A336</f>
        <v>820352</v>
      </c>
      <c r="E332" s="997" t="str">
        <f>IF('[3]Motor Rutas SKU_Cons'!N336="","s/d","Agua "&amp;TEXT('[3]Motor Rutas SKU_Cons'!N336,"0%")&amp;" · Colas "&amp;TEXT('[3]Motor Rutas SKU_Cons'!O336,"0%")&amp;" · Resto "&amp;TEXT('[3]Motor Rutas SKU_Cons'!P336,"0%"))</f>
        <v>Agua 85% · Colas 8% · Resto 7%</v>
      </c>
      <c r="F332" s="16">
        <f>'[3]Motor Rutas SKU_Cons'!CH336</f>
        <v>0.21978362958571027</v>
      </c>
      <c r="G332" s="16">
        <f>'[3]Motor Rutas SKU_Cons'!CG336</f>
        <v>0.69058843588636332</v>
      </c>
      <c r="H332" s="998">
        <f>'[3]Motor Rutas SKU_Cons'!BX336</f>
        <v>64.403013290552735</v>
      </c>
      <c r="I332" s="998">
        <f>'[3]Motor Rutas SKU_Cons'!BW336</f>
        <v>0</v>
      </c>
    </row>
    <row r="333" spans="1:9">
      <c r="A333" t="str">
        <f>IF('[3]Motor Rutas SKU_Cons'!C337="","",'[3]Motor Rutas SKU_Cons'!C337)</f>
        <v>Occidente</v>
      </c>
      <c r="B333" t="str">
        <f>IF('[3]Motor Rutas SKU_Cons'!D337="","",'[3]Motor Rutas SKU_Cons'!D337)</f>
        <v>Favorita</v>
      </c>
      <c r="C333" t="str">
        <f>IF('[3]Motor Rutas SKU_Cons'!B337="","",'[3]Motor Rutas SKU_Cons'!B337)</f>
        <v>Suc. Santa Maria</v>
      </c>
      <c r="D333">
        <f>'[3]Motor Rutas SKU_Cons'!A337</f>
        <v>809362</v>
      </c>
      <c r="E333" s="997" t="str">
        <f>IF('[3]Motor Rutas SKU_Cons'!N337="","s/d","Agua "&amp;TEXT('[3]Motor Rutas SKU_Cons'!N337,"0%")&amp;" · Colas "&amp;TEXT('[3]Motor Rutas SKU_Cons'!O337,"0%")&amp;" · Resto "&amp;TEXT('[3]Motor Rutas SKU_Cons'!P337,"0%"))</f>
        <v>Agua 85% · Colas 8% · Resto 7%</v>
      </c>
      <c r="F333" s="16">
        <f>'[3]Motor Rutas SKU_Cons'!CH337</f>
        <v>0.26809080714811517</v>
      </c>
      <c r="G333" s="16">
        <f>'[3]Motor Rutas SKU_Cons'!CG337</f>
        <v>0.68985112540909088</v>
      </c>
      <c r="H333" s="998">
        <f>'[3]Motor Rutas SKU_Cons'!BX337</f>
        <v>59.569981169340643</v>
      </c>
      <c r="I333" s="998">
        <f>'[3]Motor Rutas SKU_Cons'!BW337</f>
        <v>0</v>
      </c>
    </row>
    <row r="334" spans="1:9">
      <c r="A334" t="str">
        <f>IF('[3]Motor Rutas SKU_Cons'!C338="","",'[3]Motor Rutas SKU_Cons'!C338)</f>
        <v>Noreste</v>
      </c>
      <c r="B334" t="str">
        <f>IF('[3]Motor Rutas SKU_Cons'!D338="","",'[3]Motor Rutas SKU_Cons'!D338)</f>
        <v>Saltillo</v>
      </c>
      <c r="C334" t="str">
        <f>IF('[3]Motor Rutas SKU_Cons'!B338="","",'[3]Motor Rutas SKU_Cons'!B338)</f>
        <v>Planta Agua y Hielo</v>
      </c>
      <c r="D334">
        <f>'[3]Motor Rutas SKU_Cons'!A338</f>
        <v>203310</v>
      </c>
      <c r="E334" s="997" t="str">
        <f>IF('[3]Motor Rutas SKU_Cons'!N338="","s/d","Agua "&amp;TEXT('[3]Motor Rutas SKU_Cons'!N338,"0%")&amp;" · Colas "&amp;TEXT('[3]Motor Rutas SKU_Cons'!O338,"0%")&amp;" · Resto "&amp;TEXT('[3]Motor Rutas SKU_Cons'!P338,"0%"))</f>
        <v>Agua 80% · Colas 12% · Resto 8%</v>
      </c>
      <c r="F334" s="16">
        <f>'[3]Motor Rutas SKU_Cons'!CH338</f>
        <v>0.46498848116296287</v>
      </c>
      <c r="G334" s="16">
        <f>'[3]Motor Rutas SKU_Cons'!CG338</f>
        <v>0.68919639545454492</v>
      </c>
      <c r="H334" s="998">
        <f>'[3]Motor Rutas SKU_Cons'!BX338</f>
        <v>31.506108906398058</v>
      </c>
      <c r="I334" s="998">
        <f>'[3]Motor Rutas SKU_Cons'!BW338</f>
        <v>0</v>
      </c>
    </row>
    <row r="335" spans="1:9">
      <c r="A335" t="str">
        <f>IF('[3]Motor Rutas SKU_Cons'!C339="","",'[3]Motor Rutas SKU_Cons'!C339)</f>
        <v>Noreste</v>
      </c>
      <c r="B335" t="str">
        <f>IF('[3]Motor Rutas SKU_Cons'!D339="","",'[3]Motor Rutas SKU_Cons'!D339)</f>
        <v>Piedras Negras</v>
      </c>
      <c r="C335" t="str">
        <f>IF('[3]Motor Rutas SKU_Cons'!B339="","",'[3]Motor Rutas SKU_Cons'!B339)</f>
        <v>Suc. Acuña</v>
      </c>
      <c r="D335">
        <f>'[3]Motor Rutas SKU_Cons'!A339</f>
        <v>208300</v>
      </c>
      <c r="E335" s="997" t="str">
        <f>IF('[3]Motor Rutas SKU_Cons'!N339="","s/d","Agua "&amp;TEXT('[3]Motor Rutas SKU_Cons'!N339,"0%")&amp;" · Colas "&amp;TEXT('[3]Motor Rutas SKU_Cons'!O339,"0%")&amp;" · Resto "&amp;TEXT('[3]Motor Rutas SKU_Cons'!P339,"0%"))</f>
        <v>Agua 80% · Colas 12% · Resto 8%</v>
      </c>
      <c r="F335" s="16">
        <f>'[3]Motor Rutas SKU_Cons'!CH339</f>
        <v>0.65942481790117524</v>
      </c>
      <c r="G335" s="16">
        <f>'[3]Motor Rutas SKU_Cons'!CG339</f>
        <v>0.68870526136363464</v>
      </c>
      <c r="H335" s="998">
        <f>'[3]Motor Rutas SKU_Cons'!BX339</f>
        <v>25.070018121633915</v>
      </c>
      <c r="I335" s="998">
        <f>'[3]Motor Rutas SKU_Cons'!BW339</f>
        <v>0</v>
      </c>
    </row>
    <row r="336" spans="1:9">
      <c r="A336" t="str">
        <f>IF('[3]Motor Rutas SKU_Cons'!C340="","",'[3]Motor Rutas SKU_Cons'!C340)</f>
        <v>Occidente</v>
      </c>
      <c r="B336" t="str">
        <f>IF('[3]Motor Rutas SKU_Cons'!D340="","",'[3]Motor Rutas SKU_Cons'!D340)</f>
        <v>Favorita</v>
      </c>
      <c r="C336" t="str">
        <f>IF('[3]Motor Rutas SKU_Cons'!B340="","",'[3]Motor Rutas SKU_Cons'!B340)</f>
        <v>Suc. Santa Maria</v>
      </c>
      <c r="D336">
        <f>'[3]Motor Rutas SKU_Cons'!A340</f>
        <v>809346</v>
      </c>
      <c r="E336" s="997" t="str">
        <f>IF('[3]Motor Rutas SKU_Cons'!N340="","s/d","Agua "&amp;TEXT('[3]Motor Rutas SKU_Cons'!N340,"0%")&amp;" · Colas "&amp;TEXT('[3]Motor Rutas SKU_Cons'!O340,"0%")&amp;" · Resto "&amp;TEXT('[3]Motor Rutas SKU_Cons'!P340,"0%"))</f>
        <v>Agua 85% · Colas 8% · Resto 7%</v>
      </c>
      <c r="F336" s="16">
        <f>'[3]Motor Rutas SKU_Cons'!CH340</f>
        <v>0.26470569905435859</v>
      </c>
      <c r="G336" s="16">
        <f>'[3]Motor Rutas SKU_Cons'!CG340</f>
        <v>0.68806287398863575</v>
      </c>
      <c r="H336" s="998">
        <f>'[3]Motor Rutas SKU_Cons'!BX340</f>
        <v>59.679594936720193</v>
      </c>
      <c r="I336" s="998">
        <f>'[3]Motor Rutas SKU_Cons'!BW340</f>
        <v>0</v>
      </c>
    </row>
    <row r="337" spans="1:9">
      <c r="A337" t="str">
        <f>IF('[3]Motor Rutas SKU_Cons'!C341="","",'[3]Motor Rutas SKU_Cons'!C341)</f>
        <v>Norte</v>
      </c>
      <c r="B337" t="str">
        <f>IF('[3]Motor Rutas SKU_Cons'!D341="","",'[3]Motor Rutas SKU_Cons'!D341)</f>
        <v>Guadiana</v>
      </c>
      <c r="C337" t="str">
        <f>IF('[3]Motor Rutas SKU_Cons'!B341="","",'[3]Motor Rutas SKU_Cons'!B341)</f>
        <v>Planta Guadiana</v>
      </c>
      <c r="D337">
        <f>'[3]Motor Rutas SKU_Cons'!A341</f>
        <v>931420</v>
      </c>
      <c r="E337" s="997" t="str">
        <f>IF('[3]Motor Rutas SKU_Cons'!N341="","s/d","Agua "&amp;TEXT('[3]Motor Rutas SKU_Cons'!N341,"0%")&amp;" · Colas "&amp;TEXT('[3]Motor Rutas SKU_Cons'!O341,"0%")&amp;" · Resto "&amp;TEXT('[3]Motor Rutas SKU_Cons'!P341,"0%"))</f>
        <v>Agua 85% · Colas 8% · Resto 7%</v>
      </c>
      <c r="F337" s="16">
        <f>'[3]Motor Rutas SKU_Cons'!CH341</f>
        <v>0.39361231612009451</v>
      </c>
      <c r="G337" s="16">
        <f>'[3]Motor Rutas SKU_Cons'!CG341</f>
        <v>0.68567676340909045</v>
      </c>
      <c r="H337" s="998">
        <f>'[3]Motor Rutas SKU_Cons'!BX341</f>
        <v>44.636694106482594</v>
      </c>
      <c r="I337" s="998">
        <f>'[3]Motor Rutas SKU_Cons'!BW341</f>
        <v>0</v>
      </c>
    </row>
    <row r="338" spans="1:9">
      <c r="A338" t="str">
        <f>IF('[3]Motor Rutas SKU_Cons'!C342="","",'[3]Motor Rutas SKU_Cons'!C342)</f>
        <v>Occidente</v>
      </c>
      <c r="B338" t="str">
        <f>IF('[3]Motor Rutas SKU_Cons'!D342="","",'[3]Motor Rutas SKU_Cons'!D342)</f>
        <v>Favorita</v>
      </c>
      <c r="C338" t="str">
        <f>IF('[3]Motor Rutas SKU_Cons'!B342="","",'[3]Motor Rutas SKU_Cons'!B342)</f>
        <v>Suc. San Rafael</v>
      </c>
      <c r="D338">
        <f>'[3]Motor Rutas SKU_Cons'!A342</f>
        <v>803409</v>
      </c>
      <c r="E338" s="997" t="str">
        <f>IF('[3]Motor Rutas SKU_Cons'!N342="","s/d","Agua "&amp;TEXT('[3]Motor Rutas SKU_Cons'!N342,"0%")&amp;" · Colas "&amp;TEXT('[3]Motor Rutas SKU_Cons'!O342,"0%")&amp;" · Resto "&amp;TEXT('[3]Motor Rutas SKU_Cons'!P342,"0%"))</f>
        <v>Agua 85% · Colas 8% · Resto 7%</v>
      </c>
      <c r="F338" s="16">
        <f>'[3]Motor Rutas SKU_Cons'!CH342</f>
        <v>0.29229653948093304</v>
      </c>
      <c r="G338" s="16">
        <f>'[3]Motor Rutas SKU_Cons'!CG342</f>
        <v>0.6848906851022718</v>
      </c>
      <c r="H338" s="998">
        <f>'[3]Motor Rutas SKU_Cons'!BX342</f>
        <v>56.576696533868052</v>
      </c>
      <c r="I338" s="998">
        <f>'[3]Motor Rutas SKU_Cons'!BW342</f>
        <v>0</v>
      </c>
    </row>
    <row r="339" spans="1:9">
      <c r="A339" t="str">
        <f>IF('[3]Motor Rutas SKU_Cons'!C343="","",'[3]Motor Rutas SKU_Cons'!C343)</f>
        <v>Occidente</v>
      </c>
      <c r="B339" t="str">
        <f>IF('[3]Motor Rutas SKU_Cons'!D343="","",'[3]Motor Rutas SKU_Cons'!D343)</f>
        <v>Zapopan</v>
      </c>
      <c r="C339" t="str">
        <f>IF('[3]Motor Rutas SKU_Cons'!B343="","",'[3]Motor Rutas SKU_Cons'!B343)</f>
        <v>Planta Zapopan</v>
      </c>
      <c r="D339">
        <f>'[3]Motor Rutas SKU_Cons'!A343</f>
        <v>816359</v>
      </c>
      <c r="E339" s="997" t="str">
        <f>IF('[3]Motor Rutas SKU_Cons'!N343="","s/d","Agua "&amp;TEXT('[3]Motor Rutas SKU_Cons'!N343,"0%")&amp;" · Colas "&amp;TEXT('[3]Motor Rutas SKU_Cons'!O343,"0%")&amp;" · Resto "&amp;TEXT('[3]Motor Rutas SKU_Cons'!P343,"0%"))</f>
        <v>Agua 85% · Colas 8% · Resto 7%</v>
      </c>
      <c r="F339" s="16">
        <f>'[3]Motor Rutas SKU_Cons'!CH343</f>
        <v>0.36087190473418729</v>
      </c>
      <c r="G339" s="16">
        <f>'[3]Motor Rutas SKU_Cons'!CG343</f>
        <v>0.68398163376136378</v>
      </c>
      <c r="H339" s="998">
        <f>'[3]Motor Rutas SKU_Cons'!BX343</f>
        <v>49.733006467023152</v>
      </c>
      <c r="I339" s="998">
        <f>'[3]Motor Rutas SKU_Cons'!BW343</f>
        <v>0</v>
      </c>
    </row>
    <row r="340" spans="1:9">
      <c r="A340" t="str">
        <f>IF('[3]Motor Rutas SKU_Cons'!C344="","",'[3]Motor Rutas SKU_Cons'!C344)</f>
        <v>Occidente</v>
      </c>
      <c r="B340" t="str">
        <f>IF('[3]Motor Rutas SKU_Cons'!D344="","",'[3]Motor Rutas SKU_Cons'!D344)</f>
        <v>Zapopan</v>
      </c>
      <c r="C340" t="str">
        <f>IF('[3]Motor Rutas SKU_Cons'!B344="","",'[3]Motor Rutas SKU_Cons'!B344)</f>
        <v>Suc. Huentitán</v>
      </c>
      <c r="D340">
        <f>'[3]Motor Rutas SKU_Cons'!A344</f>
        <v>819355</v>
      </c>
      <c r="E340" s="997" t="str">
        <f>IF('[3]Motor Rutas SKU_Cons'!N344="","s/d","Agua "&amp;TEXT('[3]Motor Rutas SKU_Cons'!N344,"0%")&amp;" · Colas "&amp;TEXT('[3]Motor Rutas SKU_Cons'!O344,"0%")&amp;" · Resto "&amp;TEXT('[3]Motor Rutas SKU_Cons'!P344,"0%"))</f>
        <v>Agua 85% · Colas 8% · Resto 7%</v>
      </c>
      <c r="F340" s="16">
        <f>'[3]Motor Rutas SKU_Cons'!CH344</f>
        <v>0.23382423516269477</v>
      </c>
      <c r="G340" s="16">
        <f>'[3]Motor Rutas SKU_Cons'!CG344</f>
        <v>0.68354196606818174</v>
      </c>
      <c r="H340" s="998">
        <f>'[3]Motor Rutas SKU_Cons'!BX344</f>
        <v>62.147714401069521</v>
      </c>
      <c r="I340" s="998">
        <f>'[3]Motor Rutas SKU_Cons'!BW344</f>
        <v>0</v>
      </c>
    </row>
    <row r="341" spans="1:9">
      <c r="A341" t="str">
        <f>IF('[3]Motor Rutas SKU_Cons'!C345="","",'[3]Motor Rutas SKU_Cons'!C345)</f>
        <v>Occidente</v>
      </c>
      <c r="B341" t="str">
        <f>IF('[3]Motor Rutas SKU_Cons'!D345="","",'[3]Motor Rutas SKU_Cons'!D345)</f>
        <v>Aguascalientes</v>
      </c>
      <c r="C341" t="str">
        <f>IF('[3]Motor Rutas SKU_Cons'!B345="","",'[3]Motor Rutas SKU_Cons'!B345)</f>
        <v>Planta Trojes</v>
      </c>
      <c r="D341">
        <f>'[3]Motor Rutas SKU_Cons'!A345</f>
        <v>907405</v>
      </c>
      <c r="E341" s="997" t="str">
        <f>IF('[3]Motor Rutas SKU_Cons'!N345="","s/d","Agua "&amp;TEXT('[3]Motor Rutas SKU_Cons'!N345,"0%")&amp;" · Colas "&amp;TEXT('[3]Motor Rutas SKU_Cons'!O345,"0%")&amp;" · Resto "&amp;TEXT('[3]Motor Rutas SKU_Cons'!P345,"0%"))</f>
        <v>Agua 85% · Colas 8% · Resto 7%</v>
      </c>
      <c r="F341" s="16">
        <f>'[3]Motor Rutas SKU_Cons'!CH345</f>
        <v>0.24221378439479455</v>
      </c>
      <c r="G341" s="16">
        <f>'[3]Motor Rutas SKU_Cons'!CG345</f>
        <v>0.68294885829545438</v>
      </c>
      <c r="H341" s="998">
        <f>'[3]Motor Rutas SKU_Cons'!BX345</f>
        <v>61.250460443850329</v>
      </c>
      <c r="I341" s="998">
        <f>'[3]Motor Rutas SKU_Cons'!BW345</f>
        <v>0</v>
      </c>
    </row>
    <row r="342" spans="1:9">
      <c r="A342" t="str">
        <f>IF('[3]Motor Rutas SKU_Cons'!C346="","",'[3]Motor Rutas SKU_Cons'!C346)</f>
        <v>Occidente</v>
      </c>
      <c r="B342" t="str">
        <f>IF('[3]Motor Rutas SKU_Cons'!D346="","",'[3]Motor Rutas SKU_Cons'!D346)</f>
        <v>Favorita</v>
      </c>
      <c r="C342" t="str">
        <f>IF('[3]Motor Rutas SKU_Cons'!B346="","",'[3]Motor Rutas SKU_Cons'!B346)</f>
        <v>Suc. Toluquilla</v>
      </c>
      <c r="D342">
        <f>'[3]Motor Rutas SKU_Cons'!A346</f>
        <v>804423</v>
      </c>
      <c r="E342" s="997" t="str">
        <f>IF('[3]Motor Rutas SKU_Cons'!N346="","s/d","Agua "&amp;TEXT('[3]Motor Rutas SKU_Cons'!N346,"0%")&amp;" · Colas "&amp;TEXT('[3]Motor Rutas SKU_Cons'!O346,"0%")&amp;" · Resto "&amp;TEXT('[3]Motor Rutas SKU_Cons'!P346,"0%"))</f>
        <v>Agua 85% · Colas 8% · Resto 7%</v>
      </c>
      <c r="F342" s="16">
        <f>'[3]Motor Rutas SKU_Cons'!CH346</f>
        <v>0.2373310842539621</v>
      </c>
      <c r="G342" s="16">
        <f>'[3]Motor Rutas SKU_Cons'!CG346</f>
        <v>0.68258874886363619</v>
      </c>
      <c r="H342" s="998">
        <f>'[3]Motor Rutas SKU_Cons'!BX346</f>
        <v>61.684854968805524</v>
      </c>
      <c r="I342" s="998">
        <f>'[3]Motor Rutas SKU_Cons'!BW346</f>
        <v>0</v>
      </c>
    </row>
    <row r="343" spans="1:9">
      <c r="A343" t="str">
        <f>IF('[3]Motor Rutas SKU_Cons'!C347="","",'[3]Motor Rutas SKU_Cons'!C347)</f>
        <v>Occidente</v>
      </c>
      <c r="B343" t="str">
        <f>IF('[3]Motor Rutas SKU_Cons'!D347="","",'[3]Motor Rutas SKU_Cons'!D347)</f>
        <v>Zapopan</v>
      </c>
      <c r="C343" t="str">
        <f>IF('[3]Motor Rutas SKU_Cons'!B347="","",'[3]Motor Rutas SKU_Cons'!B347)</f>
        <v>Suc. Huentitán</v>
      </c>
      <c r="D343">
        <f>'[3]Motor Rutas SKU_Cons'!A347</f>
        <v>819353</v>
      </c>
      <c r="E343" s="997" t="str">
        <f>IF('[3]Motor Rutas SKU_Cons'!N347="","s/d","Agua "&amp;TEXT('[3]Motor Rutas SKU_Cons'!N347,"0%")&amp;" · Colas "&amp;TEXT('[3]Motor Rutas SKU_Cons'!O347,"0%")&amp;" · Resto "&amp;TEXT('[3]Motor Rutas SKU_Cons'!P347,"0%"))</f>
        <v>Agua 85% · Colas 8% · Resto 7%</v>
      </c>
      <c r="F343" s="16">
        <f>'[3]Motor Rutas SKU_Cons'!CH347</f>
        <v>0.21879849185276917</v>
      </c>
      <c r="G343" s="16">
        <f>'[3]Motor Rutas SKU_Cons'!CG347</f>
        <v>0.68163853847727263</v>
      </c>
      <c r="H343" s="998">
        <f>'[3]Motor Rutas SKU_Cons'!BX347</f>
        <v>63.385491655971592</v>
      </c>
      <c r="I343" s="998">
        <f>'[3]Motor Rutas SKU_Cons'!BW347</f>
        <v>0</v>
      </c>
    </row>
    <row r="344" spans="1:9">
      <c r="A344" t="str">
        <f>IF('[3]Motor Rutas SKU_Cons'!C348="","",'[3]Motor Rutas SKU_Cons'!C348)</f>
        <v>Norte</v>
      </c>
      <c r="B344" t="str">
        <f>IF('[3]Motor Rutas SKU_Cons'!D348="","",'[3]Motor Rutas SKU_Cons'!D348)</f>
        <v>Guadiana</v>
      </c>
      <c r="C344" t="str">
        <f>IF('[3]Motor Rutas SKU_Cons'!B348="","",'[3]Motor Rutas SKU_Cons'!B348)</f>
        <v>Planta Guadiana</v>
      </c>
      <c r="D344">
        <f>'[3]Motor Rutas SKU_Cons'!A348</f>
        <v>931418</v>
      </c>
      <c r="E344" s="997" t="str">
        <f>IF('[3]Motor Rutas SKU_Cons'!N348="","s/d","Agua "&amp;TEXT('[3]Motor Rutas SKU_Cons'!N348,"0%")&amp;" · Colas "&amp;TEXT('[3]Motor Rutas SKU_Cons'!O348,"0%")&amp;" · Resto "&amp;TEXT('[3]Motor Rutas SKU_Cons'!P348,"0%"))</f>
        <v>Agua 85% · Colas 8% · Resto 7%</v>
      </c>
      <c r="F344" s="16">
        <f>'[3]Motor Rutas SKU_Cons'!CH348</f>
        <v>0.35836824053150235</v>
      </c>
      <c r="G344" s="16">
        <f>'[3]Motor Rutas SKU_Cons'!CG348</f>
        <v>0.68111173975909112</v>
      </c>
      <c r="H344" s="998">
        <f>'[3]Motor Rutas SKU_Cons'!BX348</f>
        <v>47.231039379209648</v>
      </c>
      <c r="I344" s="998">
        <f>'[3]Motor Rutas SKU_Cons'!BW348</f>
        <v>0</v>
      </c>
    </row>
    <row r="345" spans="1:9">
      <c r="A345" t="str">
        <f>IF('[3]Motor Rutas SKU_Cons'!C349="","",'[3]Motor Rutas SKU_Cons'!C349)</f>
        <v>Occidente</v>
      </c>
      <c r="B345" t="str">
        <f>IF('[3]Motor Rutas SKU_Cons'!D349="","",'[3]Motor Rutas SKU_Cons'!D349)</f>
        <v>Favorita</v>
      </c>
      <c r="C345" t="str">
        <f>IF('[3]Motor Rutas SKU_Cons'!B349="","",'[3]Motor Rutas SKU_Cons'!B349)</f>
        <v>Cedi Tonalá</v>
      </c>
      <c r="D345">
        <f>'[3]Motor Rutas SKU_Cons'!A349</f>
        <v>810335</v>
      </c>
      <c r="E345" s="997" t="str">
        <f>IF('[3]Motor Rutas SKU_Cons'!N349="","s/d","Agua "&amp;TEXT('[3]Motor Rutas SKU_Cons'!N349,"0%")&amp;" · Colas "&amp;TEXT('[3]Motor Rutas SKU_Cons'!O349,"0%")&amp;" · Resto "&amp;TEXT('[3]Motor Rutas SKU_Cons'!P349,"0%"))</f>
        <v>Agua 85% · Colas 8% · Resto 7%</v>
      </c>
      <c r="F345" s="16">
        <f>'[3]Motor Rutas SKU_Cons'!CH349</f>
        <v>0.21758797207654318</v>
      </c>
      <c r="G345" s="16">
        <f>'[3]Motor Rutas SKU_Cons'!CG349</f>
        <v>0.68056310485227267</v>
      </c>
      <c r="H345" s="998">
        <f>'[3]Motor Rutas SKU_Cons'!BX349</f>
        <v>14.991908456200584</v>
      </c>
      <c r="I345" s="998">
        <f>'[3]Motor Rutas SKU_Cons'!BW349</f>
        <v>0</v>
      </c>
    </row>
    <row r="346" spans="1:9">
      <c r="A346" t="str">
        <f>IF('[3]Motor Rutas SKU_Cons'!C350="","",'[3]Motor Rutas SKU_Cons'!C350)</f>
        <v>Occidente</v>
      </c>
      <c r="B346" t="str">
        <f>IF('[3]Motor Rutas SKU_Cons'!D350="","",'[3]Motor Rutas SKU_Cons'!D350)</f>
        <v>San Luis</v>
      </c>
      <c r="C346" t="str">
        <f>IF('[3]Motor Rutas SKU_Cons'!B350="","",'[3]Motor Rutas SKU_Cons'!B350)</f>
        <v>Planta San Luis</v>
      </c>
      <c r="D346">
        <f>'[3]Motor Rutas SKU_Cons'!A350</f>
        <v>916406</v>
      </c>
      <c r="E346" s="997" t="str">
        <f>IF('[3]Motor Rutas SKU_Cons'!N350="","s/d","Agua "&amp;TEXT('[3]Motor Rutas SKU_Cons'!N350,"0%")&amp;" · Colas "&amp;TEXT('[3]Motor Rutas SKU_Cons'!O350,"0%")&amp;" · Resto "&amp;TEXT('[3]Motor Rutas SKU_Cons'!P350,"0%"))</f>
        <v>Agua 85% · Colas 8% · Resto 7%</v>
      </c>
      <c r="F346" s="16">
        <f>'[3]Motor Rutas SKU_Cons'!CH350</f>
        <v>0.42676357820954769</v>
      </c>
      <c r="G346" s="16">
        <f>'[3]Motor Rutas SKU_Cons'!CG350</f>
        <v>0.68028894531818163</v>
      </c>
      <c r="H346" s="998">
        <f>'[3]Motor Rutas SKU_Cons'!BX350</f>
        <v>42.806167942067724</v>
      </c>
      <c r="I346" s="998">
        <f>'[3]Motor Rutas SKU_Cons'!BW350</f>
        <v>0</v>
      </c>
    </row>
    <row r="347" spans="1:9">
      <c r="A347" t="str">
        <f>IF('[3]Motor Rutas SKU_Cons'!C351="","",'[3]Motor Rutas SKU_Cons'!C351)</f>
        <v>Occidente</v>
      </c>
      <c r="B347" t="str">
        <f>IF('[3]Motor Rutas SKU_Cons'!D351="","",'[3]Motor Rutas SKU_Cons'!D351)</f>
        <v>Zapopan</v>
      </c>
      <c r="C347" t="str">
        <f>IF('[3]Motor Rutas SKU_Cons'!B351="","",'[3]Motor Rutas SKU_Cons'!B351)</f>
        <v>Suc. Huentitán</v>
      </c>
      <c r="D347">
        <f>'[3]Motor Rutas SKU_Cons'!A351</f>
        <v>819420</v>
      </c>
      <c r="E347" s="997" t="str">
        <f>IF('[3]Motor Rutas SKU_Cons'!N351="","s/d","Agua "&amp;TEXT('[3]Motor Rutas SKU_Cons'!N351,"0%")&amp;" · Colas "&amp;TEXT('[3]Motor Rutas SKU_Cons'!O351,"0%")&amp;" · Resto "&amp;TEXT('[3]Motor Rutas SKU_Cons'!P351,"0%"))</f>
        <v>Agua 85% · Colas 8% · Resto 7%</v>
      </c>
      <c r="F347" s="16">
        <f>'[3]Motor Rutas SKU_Cons'!CH351</f>
        <v>0.18245354671708094</v>
      </c>
      <c r="G347" s="16">
        <f>'[3]Motor Rutas SKU_Cons'!CG351</f>
        <v>0.68020677756818126</v>
      </c>
      <c r="H347" s="998">
        <f>'[3]Motor Rutas SKU_Cons'!BX351</f>
        <v>66.774420575757645</v>
      </c>
      <c r="I347" s="998">
        <f>'[3]Motor Rutas SKU_Cons'!BW351</f>
        <v>0</v>
      </c>
    </row>
    <row r="348" spans="1:9">
      <c r="A348" t="str">
        <f>IF('[3]Motor Rutas SKU_Cons'!C352="","",'[3]Motor Rutas SKU_Cons'!C352)</f>
        <v>Occidente</v>
      </c>
      <c r="B348" t="str">
        <f>IF('[3]Motor Rutas SKU_Cons'!D352="","",'[3]Motor Rutas SKU_Cons'!D352)</f>
        <v>Zapopan</v>
      </c>
      <c r="C348" t="str">
        <f>IF('[3]Motor Rutas SKU_Cons'!B352="","",'[3]Motor Rutas SKU_Cons'!B352)</f>
        <v>Suc. Belenes</v>
      </c>
      <c r="D348">
        <f>'[3]Motor Rutas SKU_Cons'!A352</f>
        <v>820427</v>
      </c>
      <c r="E348" s="997" t="str">
        <f>IF('[3]Motor Rutas SKU_Cons'!N352="","s/d","Agua "&amp;TEXT('[3]Motor Rutas SKU_Cons'!N352,"0%")&amp;" · Colas "&amp;TEXT('[3]Motor Rutas SKU_Cons'!O352,"0%")&amp;" · Resto "&amp;TEXT('[3]Motor Rutas SKU_Cons'!P352,"0%"))</f>
        <v>Agua 85% · Colas 8% · Resto 7%</v>
      </c>
      <c r="F348" s="16">
        <f>'[3]Motor Rutas SKU_Cons'!CH352</f>
        <v>0.2096969496419224</v>
      </c>
      <c r="G348" s="16">
        <f>'[3]Motor Rutas SKU_Cons'!CG352</f>
        <v>0.67937701606568146</v>
      </c>
      <c r="H348" s="998">
        <f>'[3]Motor Rutas SKU_Cons'!BX352</f>
        <v>63.997241106951861</v>
      </c>
      <c r="I348" s="998">
        <f>'[3]Motor Rutas SKU_Cons'!BW352</f>
        <v>0</v>
      </c>
    </row>
    <row r="349" spans="1:9">
      <c r="A349" t="str">
        <f>IF('[3]Motor Rutas SKU_Cons'!C353="","",'[3]Motor Rutas SKU_Cons'!C353)</f>
        <v>Occidente</v>
      </c>
      <c r="B349" t="str">
        <f>IF('[3]Motor Rutas SKU_Cons'!D353="","",'[3]Motor Rutas SKU_Cons'!D353)</f>
        <v>Favorita</v>
      </c>
      <c r="C349" t="str">
        <f>IF('[3]Motor Rutas SKU_Cons'!B353="","",'[3]Motor Rutas SKU_Cons'!B353)</f>
        <v>Suc. Santa Maria</v>
      </c>
      <c r="D349">
        <f>'[3]Motor Rutas SKU_Cons'!A353</f>
        <v>809349</v>
      </c>
      <c r="E349" s="997" t="str">
        <f>IF('[3]Motor Rutas SKU_Cons'!N353="","s/d","Agua "&amp;TEXT('[3]Motor Rutas SKU_Cons'!N353,"0%")&amp;" · Colas "&amp;TEXT('[3]Motor Rutas SKU_Cons'!O353,"0%")&amp;" · Resto "&amp;TEXT('[3]Motor Rutas SKU_Cons'!P353,"0%"))</f>
        <v>Agua 85% · Colas 8% · Resto 7%</v>
      </c>
      <c r="F349" s="16">
        <f>'[3]Motor Rutas SKU_Cons'!CH353</f>
        <v>0.17927531887795184</v>
      </c>
      <c r="G349" s="16">
        <f>'[3]Motor Rutas SKU_Cons'!CG353</f>
        <v>0.67852067635227242</v>
      </c>
      <c r="H349" s="998">
        <f>'[3]Motor Rutas SKU_Cons'!BX353</f>
        <v>66.876446622103288</v>
      </c>
      <c r="I349" s="998">
        <f>'[3]Motor Rutas SKU_Cons'!BW353</f>
        <v>0</v>
      </c>
    </row>
    <row r="350" spans="1:9">
      <c r="A350" t="str">
        <f>IF('[3]Motor Rutas SKU_Cons'!C354="","",'[3]Motor Rutas SKU_Cons'!C354)</f>
        <v>Occidente</v>
      </c>
      <c r="B350" t="str">
        <f>IF('[3]Motor Rutas SKU_Cons'!D354="","",'[3]Motor Rutas SKU_Cons'!D354)</f>
        <v>Favorita</v>
      </c>
      <c r="C350" t="str">
        <f>IF('[3]Motor Rutas SKU_Cons'!B354="","",'[3]Motor Rutas SKU_Cons'!B354)</f>
        <v>Suc. Alamo</v>
      </c>
      <c r="D350">
        <f>'[3]Motor Rutas SKU_Cons'!A354</f>
        <v>802402</v>
      </c>
      <c r="E350" s="997" t="str">
        <f>IF('[3]Motor Rutas SKU_Cons'!N354="","s/d","Agua "&amp;TEXT('[3]Motor Rutas SKU_Cons'!N354,"0%")&amp;" · Colas "&amp;TEXT('[3]Motor Rutas SKU_Cons'!O354,"0%")&amp;" · Resto "&amp;TEXT('[3]Motor Rutas SKU_Cons'!P354,"0%"))</f>
        <v>Agua 85% · Colas 8% · Resto 7%</v>
      </c>
      <c r="F350" s="16">
        <f>'[3]Motor Rutas SKU_Cons'!CH354</f>
        <v>0.22668657129115291</v>
      </c>
      <c r="G350" s="16">
        <f>'[3]Motor Rutas SKU_Cons'!CG354</f>
        <v>0.67798203494318088</v>
      </c>
      <c r="H350" s="998">
        <f>'[3]Motor Rutas SKU_Cons'!BX354</f>
        <v>62.156080701425964</v>
      </c>
      <c r="I350" s="998">
        <f>'[3]Motor Rutas SKU_Cons'!BW354</f>
        <v>0</v>
      </c>
    </row>
    <row r="351" spans="1:9">
      <c r="A351" t="str">
        <f>IF('[3]Motor Rutas SKU_Cons'!C355="","",'[3]Motor Rutas SKU_Cons'!C355)</f>
        <v>Occidente</v>
      </c>
      <c r="B351" t="str">
        <f>IF('[3]Motor Rutas SKU_Cons'!D355="","",'[3]Motor Rutas SKU_Cons'!D355)</f>
        <v>Aguascalientes</v>
      </c>
      <c r="C351" t="str">
        <f>IF('[3]Motor Rutas SKU_Cons'!B355="","",'[3]Motor Rutas SKU_Cons'!B355)</f>
        <v>Planta Aguascalientes</v>
      </c>
      <c r="D351">
        <f>'[3]Motor Rutas SKU_Cons'!A355</f>
        <v>901411</v>
      </c>
      <c r="E351" s="997" t="str">
        <f>IF('[3]Motor Rutas SKU_Cons'!N355="","s/d","Agua "&amp;TEXT('[3]Motor Rutas SKU_Cons'!N355,"0%")&amp;" · Colas "&amp;TEXT('[3]Motor Rutas SKU_Cons'!O355,"0%")&amp;" · Resto "&amp;TEXT('[3]Motor Rutas SKU_Cons'!P355,"0%"))</f>
        <v>Agua 85% · Colas 8% · Resto 7%</v>
      </c>
      <c r="F351" s="16">
        <f>'[3]Motor Rutas SKU_Cons'!CH355</f>
        <v>0.24045836031292803</v>
      </c>
      <c r="G351" s="16">
        <f>'[3]Motor Rutas SKU_Cons'!CG355</f>
        <v>0.6779664467386366</v>
      </c>
      <c r="H351" s="998">
        <f>'[3]Motor Rutas SKU_Cons'!BX355</f>
        <v>60.802469832442156</v>
      </c>
      <c r="I351" s="998">
        <f>'[3]Motor Rutas SKU_Cons'!BW355</f>
        <v>0</v>
      </c>
    </row>
    <row r="352" spans="1:9">
      <c r="A352" t="str">
        <f>IF('[3]Motor Rutas SKU_Cons'!C356="","",'[3]Motor Rutas SKU_Cons'!C356)</f>
        <v>Occidente</v>
      </c>
      <c r="B352" t="str">
        <f>IF('[3]Motor Rutas SKU_Cons'!D356="","",'[3]Motor Rutas SKU_Cons'!D356)</f>
        <v>Los Altos</v>
      </c>
      <c r="C352" t="str">
        <f>IF('[3]Motor Rutas SKU_Cons'!B356="","",'[3]Motor Rutas SKU_Cons'!B356)</f>
        <v>Suc. Ocotlan</v>
      </c>
      <c r="D352">
        <f>'[3]Motor Rutas SKU_Cons'!A356</f>
        <v>835400</v>
      </c>
      <c r="E352" s="997" t="str">
        <f>IF('[3]Motor Rutas SKU_Cons'!N356="","s/d","Agua "&amp;TEXT('[3]Motor Rutas SKU_Cons'!N356,"0%")&amp;" · Colas "&amp;TEXT('[3]Motor Rutas SKU_Cons'!O356,"0%")&amp;" · Resto "&amp;TEXT('[3]Motor Rutas SKU_Cons'!P356,"0%"))</f>
        <v>Agua 85% · Colas 8% · Resto 7%</v>
      </c>
      <c r="F352" s="16">
        <f>'[3]Motor Rutas SKU_Cons'!CH356</f>
        <v>2.9832499541896394E-2</v>
      </c>
      <c r="G352" s="16">
        <f>'[3]Motor Rutas SKU_Cons'!CG356</f>
        <v>0.67701072170454457</v>
      </c>
      <c r="H352" s="998">
        <f>'[3]Motor Rutas SKU_Cons'!BX356</f>
        <v>45.270944403409338</v>
      </c>
      <c r="I352" s="998">
        <f>'[3]Motor Rutas SKU_Cons'!BW356</f>
        <v>0</v>
      </c>
    </row>
    <row r="353" spans="1:9">
      <c r="A353" t="str">
        <f>IF('[3]Motor Rutas SKU_Cons'!C357="","",'[3]Motor Rutas SKU_Cons'!C357)</f>
        <v>Occidente</v>
      </c>
      <c r="B353" t="str">
        <f>IF('[3]Motor Rutas SKU_Cons'!D357="","",'[3]Motor Rutas SKU_Cons'!D357)</f>
        <v>Favorita</v>
      </c>
      <c r="C353" t="str">
        <f>IF('[3]Motor Rutas SKU_Cons'!B357="","",'[3]Motor Rutas SKU_Cons'!B357)</f>
        <v>Suc. Toluquilla</v>
      </c>
      <c r="D353">
        <f>'[3]Motor Rutas SKU_Cons'!A357</f>
        <v>804387</v>
      </c>
      <c r="E353" s="997" t="str">
        <f>IF('[3]Motor Rutas SKU_Cons'!N357="","s/d","Agua "&amp;TEXT('[3]Motor Rutas SKU_Cons'!N357,"0%")&amp;" · Colas "&amp;TEXT('[3]Motor Rutas SKU_Cons'!O357,"0%")&amp;" · Resto "&amp;TEXT('[3]Motor Rutas SKU_Cons'!P357,"0%"))</f>
        <v>Agua 85% · Colas 8% · Resto 7%</v>
      </c>
      <c r="F353" s="16">
        <f>'[3]Motor Rutas SKU_Cons'!CH357</f>
        <v>0.21400462854804253</v>
      </c>
      <c r="G353" s="16">
        <f>'[3]Motor Rutas SKU_Cons'!CG357</f>
        <v>0.67696344092045391</v>
      </c>
      <c r="H353" s="998">
        <f>'[3]Motor Rutas SKU_Cons'!BX357</f>
        <v>63.273975868092712</v>
      </c>
      <c r="I353" s="998">
        <f>'[3]Motor Rutas SKU_Cons'!BW357</f>
        <v>0</v>
      </c>
    </row>
    <row r="354" spans="1:9">
      <c r="A354" t="str">
        <f>IF('[3]Motor Rutas SKU_Cons'!C358="","",'[3]Motor Rutas SKU_Cons'!C358)</f>
        <v>Occidente</v>
      </c>
      <c r="B354" t="str">
        <f>IF('[3]Motor Rutas SKU_Cons'!D358="","",'[3]Motor Rutas SKU_Cons'!D358)</f>
        <v>San Luis</v>
      </c>
      <c r="C354" t="str">
        <f>IF('[3]Motor Rutas SKU_Cons'!B358="","",'[3]Motor Rutas SKU_Cons'!B358)</f>
        <v>Planta San Luis</v>
      </c>
      <c r="D354">
        <f>'[3]Motor Rutas SKU_Cons'!A358</f>
        <v>916427</v>
      </c>
      <c r="E354" s="997" t="str">
        <f>IF('[3]Motor Rutas SKU_Cons'!N358="","s/d","Agua "&amp;TEXT('[3]Motor Rutas SKU_Cons'!N358,"0%")&amp;" · Colas "&amp;TEXT('[3]Motor Rutas SKU_Cons'!O358,"0%")&amp;" · Resto "&amp;TEXT('[3]Motor Rutas SKU_Cons'!P358,"0%"))</f>
        <v>Agua 85% · Colas 8% · Resto 7%</v>
      </c>
      <c r="F354" s="16">
        <f>'[3]Motor Rutas SKU_Cons'!CH358</f>
        <v>0.38945346029147249</v>
      </c>
      <c r="G354" s="16">
        <f>'[3]Motor Rutas SKU_Cons'!CG358</f>
        <v>0.67679463599999978</v>
      </c>
      <c r="H354" s="998">
        <f>'[3]Motor Rutas SKU_Cons'!BX358</f>
        <v>46.033051006238679</v>
      </c>
      <c r="I354" s="998">
        <f>'[3]Motor Rutas SKU_Cons'!BW358</f>
        <v>0</v>
      </c>
    </row>
    <row r="355" spans="1:9">
      <c r="A355" t="str">
        <f>IF('[3]Motor Rutas SKU_Cons'!C359="","",'[3]Motor Rutas SKU_Cons'!C359)</f>
        <v>Norte</v>
      </c>
      <c r="B355" t="str">
        <f>IF('[3]Motor Rutas SKU_Cons'!D359="","",'[3]Motor Rutas SKU_Cons'!D359)</f>
        <v>Juárez</v>
      </c>
      <c r="C355" t="str">
        <f>IF('[3]Motor Rutas SKU_Cons'!B359="","",'[3]Motor Rutas SKU_Cons'!B359)</f>
        <v>Planta Cd. Juárez</v>
      </c>
      <c r="D355">
        <f>'[3]Motor Rutas SKU_Cons'!A359</f>
        <v>301341</v>
      </c>
      <c r="E355" s="997" t="str">
        <f>IF('[3]Motor Rutas SKU_Cons'!N359="","s/d","Agua "&amp;TEXT('[3]Motor Rutas SKU_Cons'!N359,"0%")&amp;" · Colas "&amp;TEXT('[3]Motor Rutas SKU_Cons'!O359,"0%")&amp;" · Resto "&amp;TEXT('[3]Motor Rutas SKU_Cons'!P359,"0%"))</f>
        <v>Agua 85% · Colas 8% · Resto 7%</v>
      </c>
      <c r="F355" s="16">
        <f>'[3]Motor Rutas SKU_Cons'!CH359</f>
        <v>0.39186789492921781</v>
      </c>
      <c r="G355" s="16">
        <f>'[3]Motor Rutas SKU_Cons'!CG359</f>
        <v>0.67643002636363381</v>
      </c>
      <c r="H355" s="998">
        <f>'[3]Motor Rutas SKU_Cons'!BX359</f>
        <v>34.313015893047904</v>
      </c>
      <c r="I355" s="998">
        <f>'[3]Motor Rutas SKU_Cons'!BW359</f>
        <v>0</v>
      </c>
    </row>
    <row r="356" spans="1:9">
      <c r="A356" t="str">
        <f>IF('[3]Motor Rutas SKU_Cons'!C360="","",'[3]Motor Rutas SKU_Cons'!C360)</f>
        <v>Occidente</v>
      </c>
      <c r="B356" t="str">
        <f>IF('[3]Motor Rutas SKU_Cons'!D360="","",'[3]Motor Rutas SKU_Cons'!D360)</f>
        <v>Favorita</v>
      </c>
      <c r="C356" t="str">
        <f>IF('[3]Motor Rutas SKU_Cons'!B360="","",'[3]Motor Rutas SKU_Cons'!B360)</f>
        <v>Suc. Alamo</v>
      </c>
      <c r="D356">
        <f>'[3]Motor Rutas SKU_Cons'!A360</f>
        <v>802347</v>
      </c>
      <c r="E356" s="997" t="str">
        <f>IF('[3]Motor Rutas SKU_Cons'!N360="","s/d","Agua "&amp;TEXT('[3]Motor Rutas SKU_Cons'!N360,"0%")&amp;" · Colas "&amp;TEXT('[3]Motor Rutas SKU_Cons'!O360,"0%")&amp;" · Resto "&amp;TEXT('[3]Motor Rutas SKU_Cons'!P360,"0%"))</f>
        <v>Agua 85% · Colas 8% · Resto 7%</v>
      </c>
      <c r="F356" s="16">
        <f>'[3]Motor Rutas SKU_Cons'!CH360</f>
        <v>0.20958919358839675</v>
      </c>
      <c r="G356" s="16">
        <f>'[3]Motor Rutas SKU_Cons'!CG360</f>
        <v>0.67536004009090922</v>
      </c>
      <c r="H356" s="998">
        <f>'[3]Motor Rutas SKU_Cons'!BX360</f>
        <v>63.507726742424403</v>
      </c>
      <c r="I356" s="998">
        <f>'[3]Motor Rutas SKU_Cons'!BW360</f>
        <v>0</v>
      </c>
    </row>
    <row r="357" spans="1:9">
      <c r="A357" t="str">
        <f>IF('[3]Motor Rutas SKU_Cons'!C361="","",'[3]Motor Rutas SKU_Cons'!C361)</f>
        <v>Occidente</v>
      </c>
      <c r="B357" t="str">
        <f>IF('[3]Motor Rutas SKU_Cons'!D361="","",'[3]Motor Rutas SKU_Cons'!D361)</f>
        <v>Zapopan</v>
      </c>
      <c r="C357" t="str">
        <f>IF('[3]Motor Rutas SKU_Cons'!B361="","",'[3]Motor Rutas SKU_Cons'!B361)</f>
        <v>Suc. Huentitán</v>
      </c>
      <c r="D357">
        <f>'[3]Motor Rutas SKU_Cons'!A361</f>
        <v>819357</v>
      </c>
      <c r="E357" s="997" t="str">
        <f>IF('[3]Motor Rutas SKU_Cons'!N361="","s/d","Agua "&amp;TEXT('[3]Motor Rutas SKU_Cons'!N361,"0%")&amp;" · Colas "&amp;TEXT('[3]Motor Rutas SKU_Cons'!O361,"0%")&amp;" · Resto "&amp;TEXT('[3]Motor Rutas SKU_Cons'!P361,"0%"))</f>
        <v>Agua 85% · Colas 8% · Resto 7%</v>
      </c>
      <c r="F357" s="16">
        <f>'[3]Motor Rutas SKU_Cons'!CH361</f>
        <v>0.24950005460197855</v>
      </c>
      <c r="G357" s="16">
        <f>'[3]Motor Rutas SKU_Cons'!CG361</f>
        <v>0.67513177963636328</v>
      </c>
      <c r="H357" s="998">
        <f>'[3]Motor Rutas SKU_Cons'!BX361</f>
        <v>19.271647144485485</v>
      </c>
      <c r="I357" s="998">
        <f>'[3]Motor Rutas SKU_Cons'!BW361</f>
        <v>0</v>
      </c>
    </row>
    <row r="358" spans="1:9">
      <c r="A358" t="str">
        <f>IF('[3]Motor Rutas SKU_Cons'!C362="","",'[3]Motor Rutas SKU_Cons'!C362)</f>
        <v>Norte</v>
      </c>
      <c r="B358" t="str">
        <f>IF('[3]Motor Rutas SKU_Cons'!D362="","",'[3]Motor Rutas SKU_Cons'!D362)</f>
        <v>Juárez</v>
      </c>
      <c r="C358" t="str">
        <f>IF('[3]Motor Rutas SKU_Cons'!B362="","",'[3]Motor Rutas SKU_Cons'!B362)</f>
        <v>Planta Cd. Juárez</v>
      </c>
      <c r="D358">
        <f>'[3]Motor Rutas SKU_Cons'!A362</f>
        <v>301348</v>
      </c>
      <c r="E358" s="997" t="str">
        <f>IF('[3]Motor Rutas SKU_Cons'!N362="","s/d","Agua "&amp;TEXT('[3]Motor Rutas SKU_Cons'!N362,"0%")&amp;" · Colas "&amp;TEXT('[3]Motor Rutas SKU_Cons'!O362,"0%")&amp;" · Resto "&amp;TEXT('[3]Motor Rutas SKU_Cons'!P362,"0%"))</f>
        <v>Agua 85% · Colas 8% · Resto 7%</v>
      </c>
      <c r="F358" s="16">
        <f>'[3]Motor Rutas SKU_Cons'!CH362</f>
        <v>0.260922166429852</v>
      </c>
      <c r="G358" s="16">
        <f>'[3]Motor Rutas SKU_Cons'!CG362</f>
        <v>0.480754086136362</v>
      </c>
      <c r="H358" s="998">
        <f>'[3]Motor Rutas SKU_Cons'!BX362</f>
        <v>43.636976996434782</v>
      </c>
      <c r="I358" s="998">
        <f>'[3]Motor Rutas SKU_Cons'!BW362</f>
        <v>0</v>
      </c>
    </row>
    <row r="359" spans="1:9">
      <c r="A359" t="str">
        <f>IF('[3]Motor Rutas SKU_Cons'!C363="","",'[3]Motor Rutas SKU_Cons'!C363)</f>
        <v>Occidente</v>
      </c>
      <c r="B359" t="str">
        <f>IF('[3]Motor Rutas SKU_Cons'!D363="","",'[3]Motor Rutas SKU_Cons'!D363)</f>
        <v>Favorita</v>
      </c>
      <c r="C359" t="str">
        <f>IF('[3]Motor Rutas SKU_Cons'!B363="","",'[3]Motor Rutas SKU_Cons'!B363)</f>
        <v>Suc. Santa Maria</v>
      </c>
      <c r="D359">
        <f>'[3]Motor Rutas SKU_Cons'!A363</f>
        <v>809322</v>
      </c>
      <c r="E359" s="997" t="str">
        <f>IF('[3]Motor Rutas SKU_Cons'!N363="","s/d","Agua "&amp;TEXT('[3]Motor Rutas SKU_Cons'!N363,"0%")&amp;" · Colas "&amp;TEXT('[3]Motor Rutas SKU_Cons'!O363,"0%")&amp;" · Resto "&amp;TEXT('[3]Motor Rutas SKU_Cons'!P363,"0%"))</f>
        <v>Agua 85% · Colas 8% · Resto 7%</v>
      </c>
      <c r="F359" s="16">
        <f>'[3]Motor Rutas SKU_Cons'!CH363</f>
        <v>0.30888957185540722</v>
      </c>
      <c r="G359" s="16">
        <f>'[3]Motor Rutas SKU_Cons'!CG363</f>
        <v>0.67293400387500024</v>
      </c>
      <c r="H359" s="998">
        <f>'[3]Motor Rutas SKU_Cons'!BX363</f>
        <v>53.459589626559854</v>
      </c>
      <c r="I359" s="998">
        <f>'[3]Motor Rutas SKU_Cons'!BW363</f>
        <v>0</v>
      </c>
    </row>
    <row r="360" spans="1:9">
      <c r="A360" t="str">
        <f>IF('[3]Motor Rutas SKU_Cons'!C364="","",'[3]Motor Rutas SKU_Cons'!C364)</f>
        <v>Norte</v>
      </c>
      <c r="B360" t="str">
        <f>IF('[3]Motor Rutas SKU_Cons'!D364="","",'[3]Motor Rutas SKU_Cons'!D364)</f>
        <v>Guadiana</v>
      </c>
      <c r="C360" t="str">
        <f>IF('[3]Motor Rutas SKU_Cons'!B364="","",'[3]Motor Rutas SKU_Cons'!B364)</f>
        <v>Planta Guadiana</v>
      </c>
      <c r="D360">
        <f>'[3]Motor Rutas SKU_Cons'!A364</f>
        <v>931421</v>
      </c>
      <c r="E360" s="997" t="str">
        <f>IF('[3]Motor Rutas SKU_Cons'!N364="","s/d","Agua "&amp;TEXT('[3]Motor Rutas SKU_Cons'!N364,"0%")&amp;" · Colas "&amp;TEXT('[3]Motor Rutas SKU_Cons'!O364,"0%")&amp;" · Resto "&amp;TEXT('[3]Motor Rutas SKU_Cons'!P364,"0%"))</f>
        <v>Agua 85% · Colas 8% · Resto 7%</v>
      </c>
      <c r="F360" s="16">
        <f>'[3]Motor Rutas SKU_Cons'!CH364</f>
        <v>0.35624663952536528</v>
      </c>
      <c r="G360" s="16">
        <f>'[3]Motor Rutas SKU_Cons'!CG364</f>
        <v>0.67226195659090859</v>
      </c>
      <c r="H360" s="998">
        <f>'[3]Motor Rutas SKU_Cons'!BX364</f>
        <v>47.387212167088535</v>
      </c>
      <c r="I360" s="998">
        <f>'[3]Motor Rutas SKU_Cons'!BW364</f>
        <v>0</v>
      </c>
    </row>
    <row r="361" spans="1:9">
      <c r="A361" t="str">
        <f>IF('[3]Motor Rutas SKU_Cons'!C365="","",'[3]Motor Rutas SKU_Cons'!C365)</f>
        <v>Occidente</v>
      </c>
      <c r="B361" t="str">
        <f>IF('[3]Motor Rutas SKU_Cons'!D365="","",'[3]Motor Rutas SKU_Cons'!D365)</f>
        <v>Zapopan</v>
      </c>
      <c r="C361" t="str">
        <f>IF('[3]Motor Rutas SKU_Cons'!B365="","",'[3]Motor Rutas SKU_Cons'!B365)</f>
        <v>Planta Zapopan</v>
      </c>
      <c r="D361">
        <f>'[3]Motor Rutas SKU_Cons'!A365</f>
        <v>816345</v>
      </c>
      <c r="E361" s="997" t="str">
        <f>IF('[3]Motor Rutas SKU_Cons'!N365="","s/d","Agua "&amp;TEXT('[3]Motor Rutas SKU_Cons'!N365,"0%")&amp;" · Colas "&amp;TEXT('[3]Motor Rutas SKU_Cons'!O365,"0%")&amp;" · Resto "&amp;TEXT('[3]Motor Rutas SKU_Cons'!P365,"0%"))</f>
        <v>Agua 85% · Colas 8% · Resto 7%</v>
      </c>
      <c r="F361" s="16">
        <f>'[3]Motor Rutas SKU_Cons'!CH365</f>
        <v>0.18029453571691953</v>
      </c>
      <c r="G361" s="16">
        <f>'[3]Motor Rutas SKU_Cons'!CG365</f>
        <v>0.67208085787499994</v>
      </c>
      <c r="H361" s="998">
        <f>'[3]Motor Rutas SKU_Cons'!BX365</f>
        <v>65.974692452763009</v>
      </c>
      <c r="I361" s="998">
        <f>'[3]Motor Rutas SKU_Cons'!BW365</f>
        <v>0</v>
      </c>
    </row>
    <row r="362" spans="1:9">
      <c r="A362" t="str">
        <f>IF('[3]Motor Rutas SKU_Cons'!C366="","",'[3]Motor Rutas SKU_Cons'!C366)</f>
        <v>Occidente</v>
      </c>
      <c r="B362" t="str">
        <f>IF('[3]Motor Rutas SKU_Cons'!D366="","",'[3]Motor Rutas SKU_Cons'!D366)</f>
        <v>San Luis</v>
      </c>
      <c r="C362" t="str">
        <f>IF('[3]Motor Rutas SKU_Cons'!B366="","",'[3]Motor Rutas SKU_Cons'!B366)</f>
        <v>Planta San Luis</v>
      </c>
      <c r="D362">
        <f>'[3]Motor Rutas SKU_Cons'!A366</f>
        <v>916419</v>
      </c>
      <c r="E362" s="997" t="str">
        <f>IF('[3]Motor Rutas SKU_Cons'!N366="","s/d","Agua "&amp;TEXT('[3]Motor Rutas SKU_Cons'!N366,"0%")&amp;" · Colas "&amp;TEXT('[3]Motor Rutas SKU_Cons'!O366,"0%")&amp;" · Resto "&amp;TEXT('[3]Motor Rutas SKU_Cons'!P366,"0%"))</f>
        <v>Agua 85% · Colas 8% · Resto 7%</v>
      </c>
      <c r="F362" s="16">
        <f>'[3]Motor Rutas SKU_Cons'!CH366</f>
        <v>0.34710472579931084</v>
      </c>
      <c r="G362" s="16">
        <f>'[3]Motor Rutas SKU_Cons'!CG366</f>
        <v>0.67174183053409109</v>
      </c>
      <c r="H362" s="998">
        <f>'[3]Motor Rutas SKU_Cons'!BX366</f>
        <v>49.560439197860873</v>
      </c>
      <c r="I362" s="998">
        <f>'[3]Motor Rutas SKU_Cons'!BW366</f>
        <v>0</v>
      </c>
    </row>
    <row r="363" spans="1:9">
      <c r="A363" t="str">
        <f>IF('[3]Motor Rutas SKU_Cons'!C367="","",'[3]Motor Rutas SKU_Cons'!C367)</f>
        <v>Norte</v>
      </c>
      <c r="B363" t="str">
        <f>IF('[3]Motor Rutas SKU_Cons'!D367="","",'[3]Motor Rutas SKU_Cons'!D367)</f>
        <v>Comarca</v>
      </c>
      <c r="C363" t="str">
        <f>IF('[3]Motor Rutas SKU_Cons'!B367="","",'[3]Motor Rutas SKU_Cons'!B367)</f>
        <v>Suc. Estadio</v>
      </c>
      <c r="D363">
        <f>'[3]Motor Rutas SKU_Cons'!A367</f>
        <v>217340</v>
      </c>
      <c r="E363" s="997" t="str">
        <f>IF('[3]Motor Rutas SKU_Cons'!N367="","s/d","Agua "&amp;TEXT('[3]Motor Rutas SKU_Cons'!N367,"0%")&amp;" · Colas "&amp;TEXT('[3]Motor Rutas SKU_Cons'!O367,"0%")&amp;" · Resto "&amp;TEXT('[3]Motor Rutas SKU_Cons'!P367,"0%"))</f>
        <v>Agua 85% · Colas 8% · Resto 7%</v>
      </c>
      <c r="F363" s="16">
        <f>'[3]Motor Rutas SKU_Cons'!CH367</f>
        <v>0.37400831022348113</v>
      </c>
      <c r="G363" s="16">
        <f>'[3]Motor Rutas SKU_Cons'!CG367</f>
        <v>0.62338675142045452</v>
      </c>
      <c r="H363" s="998">
        <f>'[3]Motor Rutas SKU_Cons'!BX367</f>
        <v>36.863808830640494</v>
      </c>
      <c r="I363" s="998">
        <f>'[3]Motor Rutas SKU_Cons'!BW367</f>
        <v>0</v>
      </c>
    </row>
    <row r="364" spans="1:9">
      <c r="A364" t="str">
        <f>IF('[3]Motor Rutas SKU_Cons'!C368="","",'[3]Motor Rutas SKU_Cons'!C368)</f>
        <v>Norte</v>
      </c>
      <c r="B364" t="str">
        <f>IF('[3]Motor Rutas SKU_Cons'!D368="","",'[3]Motor Rutas SKU_Cons'!D368)</f>
        <v>Comarca</v>
      </c>
      <c r="C364" t="str">
        <f>IF('[3]Motor Rutas SKU_Cons'!B368="","",'[3]Motor Rutas SKU_Cons'!B368)</f>
        <v>Suc. Estadio</v>
      </c>
      <c r="D364">
        <f>'[3]Motor Rutas SKU_Cons'!A368</f>
        <v>217344</v>
      </c>
      <c r="E364" s="997" t="str">
        <f>IF('[3]Motor Rutas SKU_Cons'!N368="","s/d","Agua "&amp;TEXT('[3]Motor Rutas SKU_Cons'!N368,"0%")&amp;" · Colas "&amp;TEXT('[3]Motor Rutas SKU_Cons'!O368,"0%")&amp;" · Resto "&amp;TEXT('[3]Motor Rutas SKU_Cons'!P368,"0%"))</f>
        <v>Agua 85% · Colas 8% · Resto 7%</v>
      </c>
      <c r="F364" s="16">
        <f>'[3]Motor Rutas SKU_Cons'!CH368</f>
        <v>0.24274592614551938</v>
      </c>
      <c r="G364" s="16">
        <f>'[3]Motor Rutas SKU_Cons'!CG368</f>
        <v>0.62281754488636409</v>
      </c>
      <c r="H364" s="998">
        <f>'[3]Motor Rutas SKU_Cons'!BX368</f>
        <v>44.593674118519267</v>
      </c>
      <c r="I364" s="998">
        <f>'[3]Motor Rutas SKU_Cons'!BW368</f>
        <v>0</v>
      </c>
    </row>
    <row r="365" spans="1:9">
      <c r="A365" t="str">
        <f>IF('[3]Motor Rutas SKU_Cons'!C369="","",'[3]Motor Rutas SKU_Cons'!C369)</f>
        <v>Noreste</v>
      </c>
      <c r="B365" t="str">
        <f>IF('[3]Motor Rutas SKU_Cons'!D369="","",'[3]Motor Rutas SKU_Cons'!D369)</f>
        <v>Saltillo</v>
      </c>
      <c r="C365" t="str">
        <f>IF('[3]Motor Rutas SKU_Cons'!B369="","",'[3]Motor Rutas SKU_Cons'!B369)</f>
        <v>Planta Agua y Hielo</v>
      </c>
      <c r="D365">
        <f>'[3]Motor Rutas SKU_Cons'!A369</f>
        <v>203323</v>
      </c>
      <c r="E365" s="997" t="str">
        <f>IF('[3]Motor Rutas SKU_Cons'!N369="","s/d","Agua "&amp;TEXT('[3]Motor Rutas SKU_Cons'!N369,"0%")&amp;" · Colas "&amp;TEXT('[3]Motor Rutas SKU_Cons'!O369,"0%")&amp;" · Resto "&amp;TEXT('[3]Motor Rutas SKU_Cons'!P369,"0%"))</f>
        <v>Agua 80% · Colas 12% · Resto 8%</v>
      </c>
      <c r="F365" s="16">
        <f>'[3]Motor Rutas SKU_Cons'!CH369</f>
        <v>0.37798554641226528</v>
      </c>
      <c r="G365" s="16">
        <f>'[3]Motor Rutas SKU_Cons'!CG369</f>
        <v>0.67063293664772605</v>
      </c>
      <c r="H365" s="998">
        <f>'[3]Motor Rutas SKU_Cons'!BX369</f>
        <v>36.629594739731417</v>
      </c>
      <c r="I365" s="998">
        <f>'[3]Motor Rutas SKU_Cons'!BW369</f>
        <v>0</v>
      </c>
    </row>
    <row r="366" spans="1:9">
      <c r="A366" t="str">
        <f>IF('[3]Motor Rutas SKU_Cons'!C370="","",'[3]Motor Rutas SKU_Cons'!C370)</f>
        <v>Noreste</v>
      </c>
      <c r="B366" t="str">
        <f>IF('[3]Motor Rutas SKU_Cons'!D370="","",'[3]Motor Rutas SKU_Cons'!D370)</f>
        <v>Monclova</v>
      </c>
      <c r="C366" t="str">
        <f>IF('[3]Motor Rutas SKU_Cons'!B370="","",'[3]Motor Rutas SKU_Cons'!B370)</f>
        <v>Sucursal Monclova</v>
      </c>
      <c r="D366">
        <f>'[3]Motor Rutas SKU_Cons'!A370</f>
        <v>206300</v>
      </c>
      <c r="E366" s="997" t="str">
        <f>IF('[3]Motor Rutas SKU_Cons'!N370="","s/d","Agua "&amp;TEXT('[3]Motor Rutas SKU_Cons'!N370,"0%")&amp;" · Colas "&amp;TEXT('[3]Motor Rutas SKU_Cons'!O370,"0%")&amp;" · Resto "&amp;TEXT('[3]Motor Rutas SKU_Cons'!P370,"0%"))</f>
        <v>Agua 80% · Colas 12% · Resto 8%</v>
      </c>
      <c r="F366" s="16">
        <f>'[3]Motor Rutas SKU_Cons'!CH370</f>
        <v>0.1878427198275697</v>
      </c>
      <c r="G366" s="16">
        <f>'[3]Motor Rutas SKU_Cons'!CG370</f>
        <v>0.66965588590909075</v>
      </c>
      <c r="H366" s="998">
        <f>'[3]Motor Rutas SKU_Cons'!BX370</f>
        <v>59.783562636785568</v>
      </c>
      <c r="I366" s="998">
        <f>'[3]Motor Rutas SKU_Cons'!BW370</f>
        <v>0</v>
      </c>
    </row>
    <row r="367" spans="1:9">
      <c r="A367" t="str">
        <f>IF('[3]Motor Rutas SKU_Cons'!C371="","",'[3]Motor Rutas SKU_Cons'!C371)</f>
        <v>Occidente</v>
      </c>
      <c r="B367" t="str">
        <f>IF('[3]Motor Rutas SKU_Cons'!D371="","",'[3]Motor Rutas SKU_Cons'!D371)</f>
        <v>Zapopan</v>
      </c>
      <c r="C367" t="str">
        <f>IF('[3]Motor Rutas SKU_Cons'!B371="","",'[3]Motor Rutas SKU_Cons'!B371)</f>
        <v>Planta Zapopan</v>
      </c>
      <c r="D367">
        <f>'[3]Motor Rutas SKU_Cons'!A371</f>
        <v>816344</v>
      </c>
      <c r="E367" s="997" t="str">
        <f>IF('[3]Motor Rutas SKU_Cons'!N371="","s/d","Agua "&amp;TEXT('[3]Motor Rutas SKU_Cons'!N371,"0%")&amp;" · Colas "&amp;TEXT('[3]Motor Rutas SKU_Cons'!O371,"0%")&amp;" · Resto "&amp;TEXT('[3]Motor Rutas SKU_Cons'!P371,"0%"))</f>
        <v>Agua 85% · Colas 8% · Resto 7%</v>
      </c>
      <c r="F367" s="16">
        <f>'[3]Motor Rutas SKU_Cons'!CH371</f>
        <v>0.23557051980864935</v>
      </c>
      <c r="G367" s="16">
        <f>'[3]Motor Rutas SKU_Cons'!CG371</f>
        <v>0.66919238805681824</v>
      </c>
      <c r="H367" s="998">
        <f>'[3]Motor Rutas SKU_Cons'!BX371</f>
        <v>60.189880637254923</v>
      </c>
      <c r="I367" s="998">
        <f>'[3]Motor Rutas SKU_Cons'!BW371</f>
        <v>0</v>
      </c>
    </row>
    <row r="368" spans="1:9">
      <c r="A368" t="str">
        <f>IF('[3]Motor Rutas SKU_Cons'!C372="","",'[3]Motor Rutas SKU_Cons'!C372)</f>
        <v>Occidente</v>
      </c>
      <c r="B368" t="str">
        <f>IF('[3]Motor Rutas SKU_Cons'!D372="","",'[3]Motor Rutas SKU_Cons'!D372)</f>
        <v>Aguascalientes</v>
      </c>
      <c r="C368" t="str">
        <f>IF('[3]Motor Rutas SKU_Cons'!B372="","",'[3]Motor Rutas SKU_Cons'!B372)</f>
        <v>Planta Aguascalientes</v>
      </c>
      <c r="D368">
        <f>'[3]Motor Rutas SKU_Cons'!A372</f>
        <v>901403</v>
      </c>
      <c r="E368" s="997" t="str">
        <f>IF('[3]Motor Rutas SKU_Cons'!N372="","s/d","Agua "&amp;TEXT('[3]Motor Rutas SKU_Cons'!N372,"0%")&amp;" · Colas "&amp;TEXT('[3]Motor Rutas SKU_Cons'!O372,"0%")&amp;" · Resto "&amp;TEXT('[3]Motor Rutas SKU_Cons'!P372,"0%"))</f>
        <v>Agua 85% · Colas 8% · Resto 7%</v>
      </c>
      <c r="F368" s="16">
        <f>'[3]Motor Rutas SKU_Cons'!CH372</f>
        <v>0.31223943361723844</v>
      </c>
      <c r="G368" s="16">
        <f>'[3]Motor Rutas SKU_Cons'!CG372</f>
        <v>0.66835114261363704</v>
      </c>
      <c r="H368" s="998">
        <f>'[3]Motor Rutas SKU_Cons'!BX372</f>
        <v>52.560268362745191</v>
      </c>
      <c r="I368" s="998">
        <f>'[3]Motor Rutas SKU_Cons'!BW372</f>
        <v>0</v>
      </c>
    </row>
    <row r="369" spans="1:9">
      <c r="A369" t="str">
        <f>IF('[3]Motor Rutas SKU_Cons'!C373="","",'[3]Motor Rutas SKU_Cons'!C373)</f>
        <v>Occidente</v>
      </c>
      <c r="B369" t="str">
        <f>IF('[3]Motor Rutas SKU_Cons'!D373="","",'[3]Motor Rutas SKU_Cons'!D373)</f>
        <v>Zapopan</v>
      </c>
      <c r="C369" t="str">
        <f>IF('[3]Motor Rutas SKU_Cons'!B373="","",'[3]Motor Rutas SKU_Cons'!B373)</f>
        <v>Suc. Belenes</v>
      </c>
      <c r="D369">
        <f>'[3]Motor Rutas SKU_Cons'!A373</f>
        <v>820433</v>
      </c>
      <c r="E369" s="997" t="str">
        <f>IF('[3]Motor Rutas SKU_Cons'!N373="","s/d","Agua "&amp;TEXT('[3]Motor Rutas SKU_Cons'!N373,"0%")&amp;" · Colas "&amp;TEXT('[3]Motor Rutas SKU_Cons'!O373,"0%")&amp;" · Resto "&amp;TEXT('[3]Motor Rutas SKU_Cons'!P373,"0%"))</f>
        <v>Agua 85% · Colas 8% · Resto 7%</v>
      </c>
      <c r="F369" s="16">
        <f>'[3]Motor Rutas SKU_Cons'!CH373</f>
        <v>0.20015464326410201</v>
      </c>
      <c r="G369" s="16">
        <f>'[3]Motor Rutas SKU_Cons'!CG373</f>
        <v>0.66798279235227243</v>
      </c>
      <c r="H369" s="998">
        <f>'[3]Motor Rutas SKU_Cons'!BX373</f>
        <v>63.51528184581106</v>
      </c>
      <c r="I369" s="998">
        <f>'[3]Motor Rutas SKU_Cons'!BW373</f>
        <v>0</v>
      </c>
    </row>
    <row r="370" spans="1:9">
      <c r="A370" t="str">
        <f>IF('[3]Motor Rutas SKU_Cons'!C374="","",'[3]Motor Rutas SKU_Cons'!C374)</f>
        <v>Occidente</v>
      </c>
      <c r="B370" t="str">
        <f>IF('[3]Motor Rutas SKU_Cons'!D374="","",'[3]Motor Rutas SKU_Cons'!D374)</f>
        <v>Favorita</v>
      </c>
      <c r="C370" t="str">
        <f>IF('[3]Motor Rutas SKU_Cons'!B374="","",'[3]Motor Rutas SKU_Cons'!B374)</f>
        <v>Suc. Santa Maria</v>
      </c>
      <c r="D370">
        <f>'[3]Motor Rutas SKU_Cons'!A374</f>
        <v>809340</v>
      </c>
      <c r="E370" s="997" t="str">
        <f>IF('[3]Motor Rutas SKU_Cons'!N374="","s/d","Agua "&amp;TEXT('[3]Motor Rutas SKU_Cons'!N374,"0%")&amp;" · Colas "&amp;TEXT('[3]Motor Rutas SKU_Cons'!O374,"0%")&amp;" · Resto "&amp;TEXT('[3]Motor Rutas SKU_Cons'!P374,"0%"))</f>
        <v>Agua 85% · Colas 8% · Resto 7%</v>
      </c>
      <c r="F370" s="16">
        <f>'[3]Motor Rutas SKU_Cons'!CH374</f>
        <v>0.35805806873505802</v>
      </c>
      <c r="G370" s="16">
        <f>'[3]Motor Rutas SKU_Cons'!CG374</f>
        <v>0.66768533427272703</v>
      </c>
      <c r="H370" s="998">
        <f>'[3]Motor Rutas SKU_Cons'!BX374</f>
        <v>47.980382709447269</v>
      </c>
      <c r="I370" s="998">
        <f>'[3]Motor Rutas SKU_Cons'!BW374</f>
        <v>0</v>
      </c>
    </row>
    <row r="371" spans="1:9">
      <c r="A371" t="str">
        <f>IF('[3]Motor Rutas SKU_Cons'!C375="","",'[3]Motor Rutas SKU_Cons'!C375)</f>
        <v>Occidente</v>
      </c>
      <c r="B371" t="str">
        <f>IF('[3]Motor Rutas SKU_Cons'!D375="","",'[3]Motor Rutas SKU_Cons'!D375)</f>
        <v>Zapopan</v>
      </c>
      <c r="C371" t="str">
        <f>IF('[3]Motor Rutas SKU_Cons'!B375="","",'[3]Motor Rutas SKU_Cons'!B375)</f>
        <v>Suc. Belenes</v>
      </c>
      <c r="D371">
        <f>'[3]Motor Rutas SKU_Cons'!A375</f>
        <v>820362</v>
      </c>
      <c r="E371" s="997" t="str">
        <f>IF('[3]Motor Rutas SKU_Cons'!N375="","s/d","Agua "&amp;TEXT('[3]Motor Rutas SKU_Cons'!N375,"0%")&amp;" · Colas "&amp;TEXT('[3]Motor Rutas SKU_Cons'!O375,"0%")&amp;" · Resto "&amp;TEXT('[3]Motor Rutas SKU_Cons'!P375,"0%"))</f>
        <v>Agua 85% · Colas 8% · Resto 7%</v>
      </c>
      <c r="F371" s="16">
        <f>'[3]Motor Rutas SKU_Cons'!CH375</f>
        <v>0.19537556147598706</v>
      </c>
      <c r="G371" s="16">
        <f>'[3]Motor Rutas SKU_Cons'!CG375</f>
        <v>0.6670370685681809</v>
      </c>
      <c r="H371" s="998">
        <f>'[3]Motor Rutas SKU_Cons'!BX375</f>
        <v>63.866600846702262</v>
      </c>
      <c r="I371" s="998">
        <f>'[3]Motor Rutas SKU_Cons'!BW375</f>
        <v>0</v>
      </c>
    </row>
    <row r="372" spans="1:9">
      <c r="A372" t="str">
        <f>IF('[3]Motor Rutas SKU_Cons'!C376="","",'[3]Motor Rutas SKU_Cons'!C376)</f>
        <v>Occidente</v>
      </c>
      <c r="B372" t="str">
        <f>IF('[3]Motor Rutas SKU_Cons'!D376="","",'[3]Motor Rutas SKU_Cons'!D376)</f>
        <v>San Luis</v>
      </c>
      <c r="C372" t="str">
        <f>IF('[3]Motor Rutas SKU_Cons'!B376="","",'[3]Motor Rutas SKU_Cons'!B376)</f>
        <v>Planta San Luis</v>
      </c>
      <c r="D372">
        <f>'[3]Motor Rutas SKU_Cons'!A376</f>
        <v>916401</v>
      </c>
      <c r="E372" s="997" t="str">
        <f>IF('[3]Motor Rutas SKU_Cons'!N376="","s/d","Agua "&amp;TEXT('[3]Motor Rutas SKU_Cons'!N376,"0%")&amp;" · Colas "&amp;TEXT('[3]Motor Rutas SKU_Cons'!O376,"0%")&amp;" · Resto "&amp;TEXT('[3]Motor Rutas SKU_Cons'!P376,"0%"))</f>
        <v>Agua 85% · Colas 8% · Resto 7%</v>
      </c>
      <c r="F372" s="16">
        <f>'[3]Motor Rutas SKU_Cons'!CH376</f>
        <v>0.2864656366421805</v>
      </c>
      <c r="G372" s="16">
        <f>'[3]Motor Rutas SKU_Cons'!CG376</f>
        <v>0.66589548709090873</v>
      </c>
      <c r="H372" s="998">
        <f>'[3]Motor Rutas SKU_Cons'!BX376</f>
        <v>54.78419379857398</v>
      </c>
      <c r="I372" s="998">
        <f>'[3]Motor Rutas SKU_Cons'!BW376</f>
        <v>0</v>
      </c>
    </row>
    <row r="373" spans="1:9">
      <c r="A373" t="str">
        <f>IF('[3]Motor Rutas SKU_Cons'!C377="","",'[3]Motor Rutas SKU_Cons'!C377)</f>
        <v>Norte</v>
      </c>
      <c r="B373" t="str">
        <f>IF('[3]Motor Rutas SKU_Cons'!D377="","",'[3]Motor Rutas SKU_Cons'!D377)</f>
        <v>Comarca</v>
      </c>
      <c r="C373" t="str">
        <f>IF('[3]Motor Rutas SKU_Cons'!B377="","",'[3]Motor Rutas SKU_Cons'!B377)</f>
        <v>Suc. Estadio</v>
      </c>
      <c r="D373">
        <f>'[3]Motor Rutas SKU_Cons'!A377</f>
        <v>217401</v>
      </c>
      <c r="E373" s="997" t="str">
        <f>IF('[3]Motor Rutas SKU_Cons'!N377="","s/d","Agua "&amp;TEXT('[3]Motor Rutas SKU_Cons'!N377,"0%")&amp;" · Colas "&amp;TEXT('[3]Motor Rutas SKU_Cons'!O377,"0%")&amp;" · Resto "&amp;TEXT('[3]Motor Rutas SKU_Cons'!P377,"0%"))</f>
        <v>Agua 85% · Colas 8% · Resto 7%</v>
      </c>
      <c r="F373" s="16">
        <f>'[3]Motor Rutas SKU_Cons'!CH377</f>
        <v>0.59128489639927773</v>
      </c>
      <c r="G373" s="16">
        <f>'[3]Motor Rutas SKU_Cons'!CG377</f>
        <v>0.61609411278409087</v>
      </c>
      <c r="H373" s="998">
        <f>'[3]Motor Rutas SKU_Cons'!BX377</f>
        <v>24.068682845792004</v>
      </c>
      <c r="I373" s="998">
        <f>'[3]Motor Rutas SKU_Cons'!BW377</f>
        <v>0</v>
      </c>
    </row>
    <row r="374" spans="1:9">
      <c r="A374" t="str">
        <f>IF('[3]Motor Rutas SKU_Cons'!C378="","",'[3]Motor Rutas SKU_Cons'!C378)</f>
        <v>Occidente</v>
      </c>
      <c r="B374" t="str">
        <f>IF('[3]Motor Rutas SKU_Cons'!D378="","",'[3]Motor Rutas SKU_Cons'!D378)</f>
        <v>Favorita</v>
      </c>
      <c r="C374" t="str">
        <f>IF('[3]Motor Rutas SKU_Cons'!B378="","",'[3]Motor Rutas SKU_Cons'!B378)</f>
        <v>Cedi Tonalá</v>
      </c>
      <c r="D374">
        <f>'[3]Motor Rutas SKU_Cons'!A378</f>
        <v>810323</v>
      </c>
      <c r="E374" s="997" t="str">
        <f>IF('[3]Motor Rutas SKU_Cons'!N378="","s/d","Agua "&amp;TEXT('[3]Motor Rutas SKU_Cons'!N378,"0%")&amp;" · Colas "&amp;TEXT('[3]Motor Rutas SKU_Cons'!O378,"0%")&amp;" · Resto "&amp;TEXT('[3]Motor Rutas SKU_Cons'!P378,"0%"))</f>
        <v>Agua 85% · Colas 8% · Resto 7%</v>
      </c>
      <c r="F374" s="16">
        <f>'[3]Motor Rutas SKU_Cons'!CH378</f>
        <v>0.20047749214342475</v>
      </c>
      <c r="G374" s="16">
        <f>'[3]Motor Rutas SKU_Cons'!CG378</f>
        <v>0.66326913020454525</v>
      </c>
      <c r="H374" s="998">
        <f>'[3]Motor Rutas SKU_Cons'!BX378</f>
        <v>62.896771155080231</v>
      </c>
      <c r="I374" s="998">
        <f>'[3]Motor Rutas SKU_Cons'!BW378</f>
        <v>0</v>
      </c>
    </row>
    <row r="375" spans="1:9">
      <c r="A375" t="str">
        <f>IF('[3]Motor Rutas SKU_Cons'!C379="","",'[3]Motor Rutas SKU_Cons'!C379)</f>
        <v>Norte</v>
      </c>
      <c r="B375" t="str">
        <f>IF('[3]Motor Rutas SKU_Cons'!D379="","",'[3]Motor Rutas SKU_Cons'!D379)</f>
        <v>Juárez</v>
      </c>
      <c r="C375" t="str">
        <f>IF('[3]Motor Rutas SKU_Cons'!B379="","",'[3]Motor Rutas SKU_Cons'!B379)</f>
        <v>Planta Cd. Juárez</v>
      </c>
      <c r="D375">
        <f>'[3]Motor Rutas SKU_Cons'!A379</f>
        <v>301344</v>
      </c>
      <c r="E375" s="997" t="str">
        <f>IF('[3]Motor Rutas SKU_Cons'!N379="","s/d","Agua "&amp;TEXT('[3]Motor Rutas SKU_Cons'!N379,"0%")&amp;" · Colas "&amp;TEXT('[3]Motor Rutas SKU_Cons'!O379,"0%")&amp;" · Resto "&amp;TEXT('[3]Motor Rutas SKU_Cons'!P379,"0%"))</f>
        <v>Agua 85% · Colas 8% · Resto 7%</v>
      </c>
      <c r="F375" s="16">
        <f>'[3]Motor Rutas SKU_Cons'!CH379</f>
        <v>0.35754160521119333</v>
      </c>
      <c r="G375" s="16">
        <f>'[3]Motor Rutas SKU_Cons'!CG379</f>
        <v>0.47350035613636177</v>
      </c>
      <c r="H375" s="998">
        <f>'[3]Motor Rutas SKU_Cons'!BX379</f>
        <v>35.576540966131589</v>
      </c>
      <c r="I375" s="998">
        <f>'[3]Motor Rutas SKU_Cons'!BW379</f>
        <v>0</v>
      </c>
    </row>
    <row r="376" spans="1:9">
      <c r="A376" t="str">
        <f>IF('[3]Motor Rutas SKU_Cons'!C380="","",'[3]Motor Rutas SKU_Cons'!C380)</f>
        <v>Occidente</v>
      </c>
      <c r="B376" t="str">
        <f>IF('[3]Motor Rutas SKU_Cons'!D380="","",'[3]Motor Rutas SKU_Cons'!D380)</f>
        <v>San Luis</v>
      </c>
      <c r="C376" t="str">
        <f>IF('[3]Motor Rutas SKU_Cons'!B380="","",'[3]Motor Rutas SKU_Cons'!B380)</f>
        <v>Planta San Luis</v>
      </c>
      <c r="D376">
        <f>'[3]Motor Rutas SKU_Cons'!A380</f>
        <v>916352</v>
      </c>
      <c r="E376" s="997" t="str">
        <f>IF('[3]Motor Rutas SKU_Cons'!N380="","s/d","Agua "&amp;TEXT('[3]Motor Rutas SKU_Cons'!N380,"0%")&amp;" · Colas "&amp;TEXT('[3]Motor Rutas SKU_Cons'!O380,"0%")&amp;" · Resto "&amp;TEXT('[3]Motor Rutas SKU_Cons'!P380,"0%"))</f>
        <v>Agua 85% · Colas 8% · Resto 7%</v>
      </c>
      <c r="F376" s="16">
        <f>'[3]Motor Rutas SKU_Cons'!CH380</f>
        <v>0.40584153421997154</v>
      </c>
      <c r="G376" s="16">
        <f>'[3]Motor Rutas SKU_Cons'!CG380</f>
        <v>0.66211723534090883</v>
      </c>
      <c r="H376" s="998">
        <f>'[3]Motor Rutas SKU_Cons'!BX380</f>
        <v>42.597346407308358</v>
      </c>
      <c r="I376" s="998">
        <f>'[3]Motor Rutas SKU_Cons'!BW380</f>
        <v>0</v>
      </c>
    </row>
    <row r="377" spans="1:9">
      <c r="A377" t="str">
        <f>IF('[3]Motor Rutas SKU_Cons'!C381="","",'[3]Motor Rutas SKU_Cons'!C381)</f>
        <v>Norte</v>
      </c>
      <c r="B377" t="str">
        <f>IF('[3]Motor Rutas SKU_Cons'!D381="","",'[3]Motor Rutas SKU_Cons'!D381)</f>
        <v>Guadiana</v>
      </c>
      <c r="C377" t="str">
        <f>IF('[3]Motor Rutas SKU_Cons'!B381="","",'[3]Motor Rutas SKU_Cons'!B381)</f>
        <v>Planta Guadiana</v>
      </c>
      <c r="D377">
        <f>'[3]Motor Rutas SKU_Cons'!A381</f>
        <v>931423</v>
      </c>
      <c r="E377" s="997" t="str">
        <f>IF('[3]Motor Rutas SKU_Cons'!N381="","s/d","Agua "&amp;TEXT('[3]Motor Rutas SKU_Cons'!N381,"0%")&amp;" · Colas "&amp;TEXT('[3]Motor Rutas SKU_Cons'!O381,"0%")&amp;" · Resto "&amp;TEXT('[3]Motor Rutas SKU_Cons'!P381,"0%"))</f>
        <v>Agua 85% · Colas 8% · Resto 7%</v>
      </c>
      <c r="F377" s="16">
        <f>'[3]Motor Rutas SKU_Cons'!CH381</f>
        <v>0.39313422043282292</v>
      </c>
      <c r="G377" s="16">
        <f>'[3]Motor Rutas SKU_Cons'!CG381</f>
        <v>0.66093512727272741</v>
      </c>
      <c r="H377" s="998">
        <f>'[3]Motor Rutas SKU_Cons'!BX381</f>
        <v>44.671887121633937</v>
      </c>
      <c r="I377" s="998">
        <f>'[3]Motor Rutas SKU_Cons'!BW381</f>
        <v>0</v>
      </c>
    </row>
    <row r="378" spans="1:9">
      <c r="A378" t="str">
        <f>IF('[3]Motor Rutas SKU_Cons'!C382="","",'[3]Motor Rutas SKU_Cons'!C382)</f>
        <v>Norte</v>
      </c>
      <c r="B378" t="str">
        <f>IF('[3]Motor Rutas SKU_Cons'!D382="","",'[3]Motor Rutas SKU_Cons'!D382)</f>
        <v>Juárez</v>
      </c>
      <c r="C378" t="str">
        <f>IF('[3]Motor Rutas SKU_Cons'!B382="","",'[3]Motor Rutas SKU_Cons'!B382)</f>
        <v>Planta Cd. Juárez</v>
      </c>
      <c r="D378">
        <f>'[3]Motor Rutas SKU_Cons'!A382</f>
        <v>301360</v>
      </c>
      <c r="E378" s="997" t="str">
        <f>IF('[3]Motor Rutas SKU_Cons'!N382="","s/d","Agua "&amp;TEXT('[3]Motor Rutas SKU_Cons'!N382,"0%")&amp;" · Colas "&amp;TEXT('[3]Motor Rutas SKU_Cons'!O382,"0%")&amp;" · Resto "&amp;TEXT('[3]Motor Rutas SKU_Cons'!P382,"0%"))</f>
        <v>Agua 85% · Colas 8% · Resto 7%</v>
      </c>
      <c r="F378" s="16">
        <f>'[3]Motor Rutas SKU_Cons'!CH382</f>
        <v>0.35683682800721123</v>
      </c>
      <c r="G378" s="16">
        <f>'[3]Motor Rutas SKU_Cons'!CG382</f>
        <v>0.66040333322726918</v>
      </c>
      <c r="H378" s="998">
        <f>'[3]Motor Rutas SKU_Cons'!BX382</f>
        <v>35.395258161318637</v>
      </c>
      <c r="I378" s="998">
        <f>'[3]Motor Rutas SKU_Cons'!BW382</f>
        <v>0</v>
      </c>
    </row>
    <row r="379" spans="1:9">
      <c r="A379" t="str">
        <f>IF('[3]Motor Rutas SKU_Cons'!C383="","",'[3]Motor Rutas SKU_Cons'!C383)</f>
        <v>Occidente</v>
      </c>
      <c r="B379" t="str">
        <f>IF('[3]Motor Rutas SKU_Cons'!D383="","",'[3]Motor Rutas SKU_Cons'!D383)</f>
        <v>Favorita</v>
      </c>
      <c r="C379" t="str">
        <f>IF('[3]Motor Rutas SKU_Cons'!B383="","",'[3]Motor Rutas SKU_Cons'!B383)</f>
        <v>Suc. Santa Maria</v>
      </c>
      <c r="D379">
        <f>'[3]Motor Rutas SKU_Cons'!A383</f>
        <v>809355</v>
      </c>
      <c r="E379" s="997" t="str">
        <f>IF('[3]Motor Rutas SKU_Cons'!N383="","s/d","Agua "&amp;TEXT('[3]Motor Rutas SKU_Cons'!N383,"0%")&amp;" · Colas "&amp;TEXT('[3]Motor Rutas SKU_Cons'!O383,"0%")&amp;" · Resto "&amp;TEXT('[3]Motor Rutas SKU_Cons'!P383,"0%"))</f>
        <v>Agua 85% · Colas 8% · Resto 7%</v>
      </c>
      <c r="F379" s="16">
        <f>'[3]Motor Rutas SKU_Cons'!CH383</f>
        <v>0.12915164018179065</v>
      </c>
      <c r="G379" s="16">
        <f>'[3]Motor Rutas SKU_Cons'!CG383</f>
        <v>0.66004625710227238</v>
      </c>
      <c r="H379" s="998">
        <f>'[3]Motor Rutas SKU_Cons'!BX383</f>
        <v>69.496014525846647</v>
      </c>
      <c r="I379" s="998">
        <f>'[3]Motor Rutas SKU_Cons'!BW383</f>
        <v>0</v>
      </c>
    </row>
    <row r="380" spans="1:9">
      <c r="A380" t="str">
        <f>IF('[3]Motor Rutas SKU_Cons'!C384="","",'[3]Motor Rutas SKU_Cons'!C384)</f>
        <v>Occidente</v>
      </c>
      <c r="B380" t="str">
        <f>IF('[3]Motor Rutas SKU_Cons'!D384="","",'[3]Motor Rutas SKU_Cons'!D384)</f>
        <v>Zapopan</v>
      </c>
      <c r="C380" t="str">
        <f>IF('[3]Motor Rutas SKU_Cons'!B384="","",'[3]Motor Rutas SKU_Cons'!B384)</f>
        <v>Suc. Huentitán</v>
      </c>
      <c r="D380">
        <f>'[3]Motor Rutas SKU_Cons'!A384</f>
        <v>819411</v>
      </c>
      <c r="E380" s="997" t="str">
        <f>IF('[3]Motor Rutas SKU_Cons'!N384="","s/d","Agua "&amp;TEXT('[3]Motor Rutas SKU_Cons'!N384,"0%")&amp;" · Colas "&amp;TEXT('[3]Motor Rutas SKU_Cons'!O384,"0%")&amp;" · Resto "&amp;TEXT('[3]Motor Rutas SKU_Cons'!P384,"0%"))</f>
        <v>Agua 85% · Colas 8% · Resto 7%</v>
      </c>
      <c r="F380" s="16">
        <f>'[3]Motor Rutas SKU_Cons'!CH384</f>
        <v>0.29299827967458425</v>
      </c>
      <c r="G380" s="16">
        <f>'[3]Motor Rutas SKU_Cons'!CG384</f>
        <v>0.65989616532954487</v>
      </c>
      <c r="H380" s="998">
        <f>'[3]Motor Rutas SKU_Cons'!BX384</f>
        <v>51.151922208682791</v>
      </c>
      <c r="I380" s="998">
        <f>'[3]Motor Rutas SKU_Cons'!BW384</f>
        <v>0</v>
      </c>
    </row>
    <row r="381" spans="1:9">
      <c r="A381" t="str">
        <f>IF('[3]Motor Rutas SKU_Cons'!C385="","",'[3]Motor Rutas SKU_Cons'!C385)</f>
        <v>Occidente</v>
      </c>
      <c r="B381" t="str">
        <f>IF('[3]Motor Rutas SKU_Cons'!D385="","",'[3]Motor Rutas SKU_Cons'!D385)</f>
        <v>Favorita</v>
      </c>
      <c r="C381" t="str">
        <f>IF('[3]Motor Rutas SKU_Cons'!B385="","",'[3]Motor Rutas SKU_Cons'!B385)</f>
        <v>Suc. Toluquilla</v>
      </c>
      <c r="D381">
        <f>'[3]Motor Rutas SKU_Cons'!A385</f>
        <v>804390</v>
      </c>
      <c r="E381" s="997" t="str">
        <f>IF('[3]Motor Rutas SKU_Cons'!N385="","s/d","Agua "&amp;TEXT('[3]Motor Rutas SKU_Cons'!N385,"0%")&amp;" · Colas "&amp;TEXT('[3]Motor Rutas SKU_Cons'!O385,"0%")&amp;" · Resto "&amp;TEXT('[3]Motor Rutas SKU_Cons'!P385,"0%"))</f>
        <v>Agua 85% · Colas 8% · Resto 7%</v>
      </c>
      <c r="F381" s="16">
        <f>'[3]Motor Rutas SKU_Cons'!CH385</f>
        <v>0.18487676063493849</v>
      </c>
      <c r="G381" s="16">
        <f>'[3]Motor Rutas SKU_Cons'!CG385</f>
        <v>0.65812545010227264</v>
      </c>
      <c r="H381" s="998">
        <f>'[3]Motor Rutas SKU_Cons'!BX385</f>
        <v>39.645499915557977</v>
      </c>
      <c r="I381" s="998">
        <f>'[3]Motor Rutas SKU_Cons'!BW385</f>
        <v>0</v>
      </c>
    </row>
    <row r="382" spans="1:9">
      <c r="A382" t="str">
        <f>IF('[3]Motor Rutas SKU_Cons'!C386="","",'[3]Motor Rutas SKU_Cons'!C386)</f>
        <v>Occidente</v>
      </c>
      <c r="B382" t="str">
        <f>IF('[3]Motor Rutas SKU_Cons'!D386="","",'[3]Motor Rutas SKU_Cons'!D386)</f>
        <v>San Luis</v>
      </c>
      <c r="C382" t="str">
        <f>IF('[3]Motor Rutas SKU_Cons'!B386="","",'[3]Motor Rutas SKU_Cons'!B386)</f>
        <v>Planta San Luis</v>
      </c>
      <c r="D382">
        <f>'[3]Motor Rutas SKU_Cons'!A386</f>
        <v>916422</v>
      </c>
      <c r="E382" s="997" t="str">
        <f>IF('[3]Motor Rutas SKU_Cons'!N386="","s/d","Agua "&amp;TEXT('[3]Motor Rutas SKU_Cons'!N386,"0%")&amp;" · Colas "&amp;TEXT('[3]Motor Rutas SKU_Cons'!O386,"0%")&amp;" · Resto "&amp;TEXT('[3]Motor Rutas SKU_Cons'!P386,"0%"))</f>
        <v>Agua 85% · Colas 8% · Resto 7%</v>
      </c>
      <c r="F382" s="16">
        <f>'[3]Motor Rutas SKU_Cons'!CH386</f>
        <v>0.27559129395120574</v>
      </c>
      <c r="G382" s="16">
        <f>'[3]Motor Rutas SKU_Cons'!CG386</f>
        <v>0.65747244865909105</v>
      </c>
      <c r="H382" s="998">
        <f>'[3]Motor Rutas SKU_Cons'!BX386</f>
        <v>54.80286637611411</v>
      </c>
      <c r="I382" s="998">
        <f>'[3]Motor Rutas SKU_Cons'!BW386</f>
        <v>0</v>
      </c>
    </row>
    <row r="383" spans="1:9">
      <c r="A383" t="str">
        <f>IF('[3]Motor Rutas SKU_Cons'!C387="","",'[3]Motor Rutas SKU_Cons'!C387)</f>
        <v>Occidente</v>
      </c>
      <c r="B383" t="str">
        <f>IF('[3]Motor Rutas SKU_Cons'!D387="","",'[3]Motor Rutas SKU_Cons'!D387)</f>
        <v>Favorita</v>
      </c>
      <c r="C383" t="str">
        <f>IF('[3]Motor Rutas SKU_Cons'!B387="","",'[3]Motor Rutas SKU_Cons'!B387)</f>
        <v>Suc. Alamo</v>
      </c>
      <c r="D383">
        <f>'[3]Motor Rutas SKU_Cons'!A387</f>
        <v>802343</v>
      </c>
      <c r="E383" s="997" t="str">
        <f>IF('[3]Motor Rutas SKU_Cons'!N387="","s/d","Agua "&amp;TEXT('[3]Motor Rutas SKU_Cons'!N387,"0%")&amp;" · Colas "&amp;TEXT('[3]Motor Rutas SKU_Cons'!O387,"0%")&amp;" · Resto "&amp;TEXT('[3]Motor Rutas SKU_Cons'!P387,"0%"))</f>
        <v>Agua 85% · Colas 8% · Resto 7%</v>
      </c>
      <c r="F383" s="16">
        <f>'[3]Motor Rutas SKU_Cons'!CH387</f>
        <v>0.285853103011663</v>
      </c>
      <c r="G383" s="16">
        <f>'[3]Motor Rutas SKU_Cons'!CG387</f>
        <v>0.65669564577272688</v>
      </c>
      <c r="H383" s="998">
        <f>'[3]Motor Rutas SKU_Cons'!BX387</f>
        <v>53.698985328876915</v>
      </c>
      <c r="I383" s="998">
        <f>'[3]Motor Rutas SKU_Cons'!BW387</f>
        <v>0</v>
      </c>
    </row>
    <row r="384" spans="1:9">
      <c r="A384" t="str">
        <f>IF('[3]Motor Rutas SKU_Cons'!C388="","",'[3]Motor Rutas SKU_Cons'!C388)</f>
        <v>Occidente</v>
      </c>
      <c r="B384" t="str">
        <f>IF('[3]Motor Rutas SKU_Cons'!D388="","",'[3]Motor Rutas SKU_Cons'!D388)</f>
        <v>Zapopan</v>
      </c>
      <c r="C384" t="str">
        <f>IF('[3]Motor Rutas SKU_Cons'!B388="","",'[3]Motor Rutas SKU_Cons'!B388)</f>
        <v>Suc. Belenes</v>
      </c>
      <c r="D384">
        <f>'[3]Motor Rutas SKU_Cons'!A388</f>
        <v>820348</v>
      </c>
      <c r="E384" s="997" t="str">
        <f>IF('[3]Motor Rutas SKU_Cons'!N388="","s/d","Agua "&amp;TEXT('[3]Motor Rutas SKU_Cons'!N388,"0%")&amp;" · Colas "&amp;TEXT('[3]Motor Rutas SKU_Cons'!O388,"0%")&amp;" · Resto "&amp;TEXT('[3]Motor Rutas SKU_Cons'!P388,"0%"))</f>
        <v>Agua 85% · Colas 8% · Resto 7%</v>
      </c>
      <c r="F384" s="16">
        <f>'[3]Motor Rutas SKU_Cons'!CH388</f>
        <v>0.28405582166255222</v>
      </c>
      <c r="G384" s="16">
        <f>'[3]Motor Rutas SKU_Cons'!CG388</f>
        <v>0.65666964693272722</v>
      </c>
      <c r="H384" s="998">
        <f>'[3]Motor Rutas SKU_Cons'!BX388</f>
        <v>53.872147759358405</v>
      </c>
      <c r="I384" s="998">
        <f>'[3]Motor Rutas SKU_Cons'!BW388</f>
        <v>0</v>
      </c>
    </row>
    <row r="385" spans="1:9">
      <c r="A385" t="str">
        <f>IF('[3]Motor Rutas SKU_Cons'!C389="","",'[3]Motor Rutas SKU_Cons'!C389)</f>
        <v>Occidente</v>
      </c>
      <c r="B385" t="str">
        <f>IF('[3]Motor Rutas SKU_Cons'!D389="","",'[3]Motor Rutas SKU_Cons'!D389)</f>
        <v>Favorita</v>
      </c>
      <c r="C385" t="str">
        <f>IF('[3]Motor Rutas SKU_Cons'!B389="","",'[3]Motor Rutas SKU_Cons'!B389)</f>
        <v>Suc. San Rafael</v>
      </c>
      <c r="D385">
        <f>'[3]Motor Rutas SKU_Cons'!A389</f>
        <v>803422</v>
      </c>
      <c r="E385" s="997" t="str">
        <f>IF('[3]Motor Rutas SKU_Cons'!N389="","s/d","Agua "&amp;TEXT('[3]Motor Rutas SKU_Cons'!N389,"0%")&amp;" · Colas "&amp;TEXT('[3]Motor Rutas SKU_Cons'!O389,"0%")&amp;" · Resto "&amp;TEXT('[3]Motor Rutas SKU_Cons'!P389,"0%"))</f>
        <v>Agua 85% · Colas 8% · Resto 7%</v>
      </c>
      <c r="F385" s="16">
        <f>'[3]Motor Rutas SKU_Cons'!CH389</f>
        <v>0.38296654886414871</v>
      </c>
      <c r="G385" s="16">
        <f>'[3]Motor Rutas SKU_Cons'!CG389</f>
        <v>0.65651995094318161</v>
      </c>
      <c r="H385" s="998">
        <f>'[3]Motor Rutas SKU_Cons'!BX389</f>
        <v>9.5240385992921972</v>
      </c>
      <c r="I385" s="998">
        <f>'[3]Motor Rutas SKU_Cons'!BW389</f>
        <v>0</v>
      </c>
    </row>
    <row r="386" spans="1:9">
      <c r="A386" t="str">
        <f>IF('[3]Motor Rutas SKU_Cons'!C390="","",'[3]Motor Rutas SKU_Cons'!C390)</f>
        <v>Occidente</v>
      </c>
      <c r="B386" t="str">
        <f>IF('[3]Motor Rutas SKU_Cons'!D390="","",'[3]Motor Rutas SKU_Cons'!D390)</f>
        <v>Favorita</v>
      </c>
      <c r="C386" t="str">
        <f>IF('[3]Motor Rutas SKU_Cons'!B390="","",'[3]Motor Rutas SKU_Cons'!B390)</f>
        <v>Suc. Santa Maria</v>
      </c>
      <c r="D386">
        <f>'[3]Motor Rutas SKU_Cons'!A390</f>
        <v>809354</v>
      </c>
      <c r="E386" s="997" t="str">
        <f>IF('[3]Motor Rutas SKU_Cons'!N390="","s/d","Agua "&amp;TEXT('[3]Motor Rutas SKU_Cons'!N390,"0%")&amp;" · Colas "&amp;TEXT('[3]Motor Rutas SKU_Cons'!O390,"0%")&amp;" · Resto "&amp;TEXT('[3]Motor Rutas SKU_Cons'!P390,"0%"))</f>
        <v>Agua 85% · Colas 8% · Resto 7%</v>
      </c>
      <c r="F386" s="16">
        <f>'[3]Motor Rutas SKU_Cons'!CH390</f>
        <v>0.23033532886987818</v>
      </c>
      <c r="G386" s="16">
        <f>'[3]Motor Rutas SKU_Cons'!CG390</f>
        <v>0.65577721315909099</v>
      </c>
      <c r="H386" s="998">
        <f>'[3]Motor Rutas SKU_Cons'!BX390</f>
        <v>59.033590862745072</v>
      </c>
      <c r="I386" s="998">
        <f>'[3]Motor Rutas SKU_Cons'!BW390</f>
        <v>0</v>
      </c>
    </row>
    <row r="387" spans="1:9">
      <c r="A387" t="str">
        <f>IF('[3]Motor Rutas SKU_Cons'!C391="","",'[3]Motor Rutas SKU_Cons'!C391)</f>
        <v>Occidente</v>
      </c>
      <c r="B387" t="str">
        <f>IF('[3]Motor Rutas SKU_Cons'!D391="","",'[3]Motor Rutas SKU_Cons'!D391)</f>
        <v>Zapopan</v>
      </c>
      <c r="C387" t="str">
        <f>IF('[3]Motor Rutas SKU_Cons'!B391="","",'[3]Motor Rutas SKU_Cons'!B391)</f>
        <v>Suc. Belenes</v>
      </c>
      <c r="D387">
        <f>'[3]Motor Rutas SKU_Cons'!A391</f>
        <v>820354</v>
      </c>
      <c r="E387" s="997" t="str">
        <f>IF('[3]Motor Rutas SKU_Cons'!N391="","s/d","Agua "&amp;TEXT('[3]Motor Rutas SKU_Cons'!N391,"0%")&amp;" · Colas "&amp;TEXT('[3]Motor Rutas SKU_Cons'!O391,"0%")&amp;" · Resto "&amp;TEXT('[3]Motor Rutas SKU_Cons'!P391,"0%"))</f>
        <v>Agua 85% · Colas 8% · Resto 7%</v>
      </c>
      <c r="F387" s="16">
        <f>'[3]Motor Rutas SKU_Cons'!CH391</f>
        <v>0.10861271073084186</v>
      </c>
      <c r="G387" s="16">
        <f>'[3]Motor Rutas SKU_Cons'!CG391</f>
        <v>0.65528544374999931</v>
      </c>
      <c r="H387" s="998">
        <f>'[3]Motor Rutas SKU_Cons'!BX391</f>
        <v>38.287464687165759</v>
      </c>
      <c r="I387" s="998">
        <f>'[3]Motor Rutas SKU_Cons'!BW391</f>
        <v>0</v>
      </c>
    </row>
    <row r="388" spans="1:9">
      <c r="A388" t="str">
        <f>IF('[3]Motor Rutas SKU_Cons'!C392="","",'[3]Motor Rutas SKU_Cons'!C392)</f>
        <v>Occidente</v>
      </c>
      <c r="B388" t="str">
        <f>IF('[3]Motor Rutas SKU_Cons'!D392="","",'[3]Motor Rutas SKU_Cons'!D392)</f>
        <v>San Luis</v>
      </c>
      <c r="C388" t="str">
        <f>IF('[3]Motor Rutas SKU_Cons'!B392="","",'[3]Motor Rutas SKU_Cons'!B392)</f>
        <v>Planta San Luis</v>
      </c>
      <c r="D388">
        <f>'[3]Motor Rutas SKU_Cons'!A392</f>
        <v>916345</v>
      </c>
      <c r="E388" s="997" t="str">
        <f>IF('[3]Motor Rutas SKU_Cons'!N392="","s/d","Agua "&amp;TEXT('[3]Motor Rutas SKU_Cons'!N392,"0%")&amp;" · Colas "&amp;TEXT('[3]Motor Rutas SKU_Cons'!O392,"0%")&amp;" · Resto "&amp;TEXT('[3]Motor Rutas SKU_Cons'!P392,"0%"))</f>
        <v>Agua 85% · Colas 8% · Resto 7%</v>
      </c>
      <c r="F388" s="16">
        <f>'[3]Motor Rutas SKU_Cons'!CH392</f>
        <v>0.33881266424380829</v>
      </c>
      <c r="G388" s="16">
        <f>'[3]Motor Rutas SKU_Cons'!CG392</f>
        <v>0.65505462535227188</v>
      </c>
      <c r="H388" s="998">
        <f>'[3]Motor Rutas SKU_Cons'!BX392</f>
        <v>48.296825492869786</v>
      </c>
      <c r="I388" s="998">
        <f>'[3]Motor Rutas SKU_Cons'!BW392</f>
        <v>0</v>
      </c>
    </row>
    <row r="389" spans="1:9">
      <c r="A389" t="str">
        <f>IF('[3]Motor Rutas SKU_Cons'!C393="","",'[3]Motor Rutas SKU_Cons'!C393)</f>
        <v>Norte</v>
      </c>
      <c r="B389" t="str">
        <f>IF('[3]Motor Rutas SKU_Cons'!D393="","",'[3]Motor Rutas SKU_Cons'!D393)</f>
        <v>Zacatecas</v>
      </c>
      <c r="C389" t="str">
        <f>IF('[3]Motor Rutas SKU_Cons'!B393="","",'[3]Motor Rutas SKU_Cons'!B393)</f>
        <v>Suc. Fresnillo</v>
      </c>
      <c r="D389">
        <f>'[3]Motor Rutas SKU_Cons'!A393</f>
        <v>950340</v>
      </c>
      <c r="E389" s="997" t="str">
        <f>IF('[3]Motor Rutas SKU_Cons'!N393="","s/d","Agua "&amp;TEXT('[3]Motor Rutas SKU_Cons'!N393,"0%")&amp;" · Colas "&amp;TEXT('[3]Motor Rutas SKU_Cons'!O393,"0%")&amp;" · Resto "&amp;TEXT('[3]Motor Rutas SKU_Cons'!P393,"0%"))</f>
        <v>Agua 85% · Colas 8% · Resto 7%</v>
      </c>
      <c r="F389" s="16">
        <f>'[3]Motor Rutas SKU_Cons'!CH393</f>
        <v>0.33149182345352057</v>
      </c>
      <c r="G389" s="16">
        <f>'[3]Motor Rutas SKU_Cons'!CG393</f>
        <v>0.6536858436818177</v>
      </c>
      <c r="H389" s="998">
        <f>'[3]Motor Rutas SKU_Cons'!BX393</f>
        <v>36.633708129233511</v>
      </c>
      <c r="I389" s="998">
        <f>'[3]Motor Rutas SKU_Cons'!BW393</f>
        <v>0</v>
      </c>
    </row>
    <row r="390" spans="1:9">
      <c r="A390" t="str">
        <f>IF('[3]Motor Rutas SKU_Cons'!C394="","",'[3]Motor Rutas SKU_Cons'!C394)</f>
        <v>Occidente</v>
      </c>
      <c r="B390" t="str">
        <f>IF('[3]Motor Rutas SKU_Cons'!D394="","",'[3]Motor Rutas SKU_Cons'!D394)</f>
        <v>Favorita</v>
      </c>
      <c r="C390" t="str">
        <f>IF('[3]Motor Rutas SKU_Cons'!B394="","",'[3]Motor Rutas SKU_Cons'!B394)</f>
        <v>Suc. Santa Maria</v>
      </c>
      <c r="D390">
        <f>'[3]Motor Rutas SKU_Cons'!A394</f>
        <v>809330</v>
      </c>
      <c r="E390" s="997" t="str">
        <f>IF('[3]Motor Rutas SKU_Cons'!N394="","s/d","Agua "&amp;TEXT('[3]Motor Rutas SKU_Cons'!N394,"0%")&amp;" · Colas "&amp;TEXT('[3]Motor Rutas SKU_Cons'!O394,"0%")&amp;" · Resto "&amp;TEXT('[3]Motor Rutas SKU_Cons'!P394,"0%"))</f>
        <v>Agua 85% · Colas 8% · Resto 7%</v>
      </c>
      <c r="F390" s="16">
        <f>'[3]Motor Rutas SKU_Cons'!CH394</f>
        <v>0.18863557923344865</v>
      </c>
      <c r="G390" s="16">
        <f>'[3]Motor Rutas SKU_Cons'!CG394</f>
        <v>0.65326571887499907</v>
      </c>
      <c r="H390" s="998">
        <f>'[3]Motor Rutas SKU_Cons'!BX394</f>
        <v>62.813661254901959</v>
      </c>
      <c r="I390" s="998">
        <f>'[3]Motor Rutas SKU_Cons'!BW394</f>
        <v>0</v>
      </c>
    </row>
    <row r="391" spans="1:9">
      <c r="A391" t="str">
        <f>IF('[3]Motor Rutas SKU_Cons'!C395="","",'[3]Motor Rutas SKU_Cons'!C395)</f>
        <v>Norte</v>
      </c>
      <c r="B391" t="str">
        <f>IF('[3]Motor Rutas SKU_Cons'!D395="","",'[3]Motor Rutas SKU_Cons'!D395)</f>
        <v>Zacatecas</v>
      </c>
      <c r="C391" t="str">
        <f>IF('[3]Motor Rutas SKU_Cons'!B395="","",'[3]Motor Rutas SKU_Cons'!B395)</f>
        <v>Suc. Fresnillo</v>
      </c>
      <c r="D391">
        <f>'[3]Motor Rutas SKU_Cons'!A395</f>
        <v>950342</v>
      </c>
      <c r="E391" s="997" t="str">
        <f>IF('[3]Motor Rutas SKU_Cons'!N395="","s/d","Agua "&amp;TEXT('[3]Motor Rutas SKU_Cons'!N395,"0%")&amp;" · Colas "&amp;TEXT('[3]Motor Rutas SKU_Cons'!O395,"0%")&amp;" · Resto "&amp;TEXT('[3]Motor Rutas SKU_Cons'!P395,"0%"))</f>
        <v>Agua 85% · Colas 8% · Resto 7%</v>
      </c>
      <c r="F391" s="16">
        <f>'[3]Motor Rutas SKU_Cons'!CH395</f>
        <v>0.26005444401688355</v>
      </c>
      <c r="G391" s="16">
        <f>'[3]Motor Rutas SKU_Cons'!CG395</f>
        <v>0.65322184295454555</v>
      </c>
      <c r="H391" s="998">
        <f>'[3]Motor Rutas SKU_Cons'!BX395</f>
        <v>28.990308887324169</v>
      </c>
      <c r="I391" s="998">
        <f>'[3]Motor Rutas SKU_Cons'!BW395</f>
        <v>0</v>
      </c>
    </row>
    <row r="392" spans="1:9">
      <c r="A392" t="str">
        <f>IF('[3]Motor Rutas SKU_Cons'!C396="","",'[3]Motor Rutas SKU_Cons'!C396)</f>
        <v>Occidente</v>
      </c>
      <c r="B392" t="str">
        <f>IF('[3]Motor Rutas SKU_Cons'!D396="","",'[3]Motor Rutas SKU_Cons'!D396)</f>
        <v>Zapopan</v>
      </c>
      <c r="C392" t="str">
        <f>IF('[3]Motor Rutas SKU_Cons'!B396="","",'[3]Motor Rutas SKU_Cons'!B396)</f>
        <v>Suc. Huentitán</v>
      </c>
      <c r="D392">
        <f>'[3]Motor Rutas SKU_Cons'!A396</f>
        <v>819421</v>
      </c>
      <c r="E392" s="997" t="str">
        <f>IF('[3]Motor Rutas SKU_Cons'!N396="","s/d","Agua "&amp;TEXT('[3]Motor Rutas SKU_Cons'!N396,"0%")&amp;" · Colas "&amp;TEXT('[3]Motor Rutas SKU_Cons'!O396,"0%")&amp;" · Resto "&amp;TEXT('[3]Motor Rutas SKU_Cons'!P396,"0%"))</f>
        <v>Agua 85% · Colas 8% · Resto 7%</v>
      </c>
      <c r="F392" s="16">
        <f>'[3]Motor Rutas SKU_Cons'!CH396</f>
        <v>0.18378118011397135</v>
      </c>
      <c r="G392" s="16">
        <f>'[3]Motor Rutas SKU_Cons'!CG396</f>
        <v>0.65314816731818182</v>
      </c>
      <c r="H392" s="998">
        <f>'[3]Motor Rutas SKU_Cons'!BX396</f>
        <v>63.275475156862825</v>
      </c>
      <c r="I392" s="998">
        <f>'[3]Motor Rutas SKU_Cons'!BW396</f>
        <v>0</v>
      </c>
    </row>
    <row r="393" spans="1:9">
      <c r="A393" t="str">
        <f>IF('[3]Motor Rutas SKU_Cons'!C397="","",'[3]Motor Rutas SKU_Cons'!C397)</f>
        <v>Norte</v>
      </c>
      <c r="B393" t="str">
        <f>IF('[3]Motor Rutas SKU_Cons'!D397="","",'[3]Motor Rutas SKU_Cons'!D397)</f>
        <v>Guadiana</v>
      </c>
      <c r="C393" t="str">
        <f>IF('[3]Motor Rutas SKU_Cons'!B397="","",'[3]Motor Rutas SKU_Cons'!B397)</f>
        <v>Planta Guadiana</v>
      </c>
      <c r="D393">
        <f>'[3]Motor Rutas SKU_Cons'!A397</f>
        <v>931408</v>
      </c>
      <c r="E393" s="997" t="str">
        <f>IF('[3]Motor Rutas SKU_Cons'!N397="","s/d","Agua "&amp;TEXT('[3]Motor Rutas SKU_Cons'!N397,"0%")&amp;" · Colas "&amp;TEXT('[3]Motor Rutas SKU_Cons'!O397,"0%")&amp;" · Resto "&amp;TEXT('[3]Motor Rutas SKU_Cons'!P397,"0%"))</f>
        <v>Agua 85% · Colas 8% · Resto 7%</v>
      </c>
      <c r="F393" s="16">
        <f>'[3]Motor Rutas SKU_Cons'!CH397</f>
        <v>0.41989043243705221</v>
      </c>
      <c r="G393" s="16">
        <f>'[3]Motor Rutas SKU_Cons'!CG397</f>
        <v>0.65277632687727272</v>
      </c>
      <c r="H393" s="998">
        <f>'[3]Motor Rutas SKU_Cons'!BX397</f>
        <v>42.70234043981592</v>
      </c>
      <c r="I393" s="998">
        <f>'[3]Motor Rutas SKU_Cons'!BW397</f>
        <v>0</v>
      </c>
    </row>
    <row r="394" spans="1:9">
      <c r="A394" t="str">
        <f>IF('[3]Motor Rutas SKU_Cons'!C398="","",'[3]Motor Rutas SKU_Cons'!C398)</f>
        <v>Occidente</v>
      </c>
      <c r="B394" t="str">
        <f>IF('[3]Motor Rutas SKU_Cons'!D398="","",'[3]Motor Rutas SKU_Cons'!D398)</f>
        <v>Favorita</v>
      </c>
      <c r="C394" t="str">
        <f>IF('[3]Motor Rutas SKU_Cons'!B398="","",'[3]Motor Rutas SKU_Cons'!B398)</f>
        <v>Suc. Alamo</v>
      </c>
      <c r="D394">
        <f>'[3]Motor Rutas SKU_Cons'!A398</f>
        <v>802401</v>
      </c>
      <c r="E394" s="997" t="str">
        <f>IF('[3]Motor Rutas SKU_Cons'!N398="","s/d","Agua "&amp;TEXT('[3]Motor Rutas SKU_Cons'!N398,"0%")&amp;" · Colas "&amp;TEXT('[3]Motor Rutas SKU_Cons'!O398,"0%")&amp;" · Resto "&amp;TEXT('[3]Motor Rutas SKU_Cons'!P398,"0%"))</f>
        <v>Agua 85% · Colas 8% · Resto 7%</v>
      </c>
      <c r="F394" s="16">
        <f>'[3]Motor Rutas SKU_Cons'!CH398</f>
        <v>0.2181982637256111</v>
      </c>
      <c r="G394" s="16">
        <f>'[3]Motor Rutas SKU_Cons'!CG398</f>
        <v>0.64795406287500013</v>
      </c>
      <c r="H394" s="998">
        <f>'[3]Motor Rutas SKU_Cons'!BX398</f>
        <v>59.250879439394026</v>
      </c>
      <c r="I394" s="998">
        <f>'[3]Motor Rutas SKU_Cons'!BW398</f>
        <v>0</v>
      </c>
    </row>
    <row r="395" spans="1:9">
      <c r="A395" t="str">
        <f>IF('[3]Motor Rutas SKU_Cons'!C399="","",'[3]Motor Rutas SKU_Cons'!C399)</f>
        <v>Occidente</v>
      </c>
      <c r="B395" t="str">
        <f>IF('[3]Motor Rutas SKU_Cons'!D399="","",'[3]Motor Rutas SKU_Cons'!D399)</f>
        <v>Favorita</v>
      </c>
      <c r="C395" t="str">
        <f>IF('[3]Motor Rutas SKU_Cons'!B399="","",'[3]Motor Rutas SKU_Cons'!B399)</f>
        <v>Cedi Tonalá</v>
      </c>
      <c r="D395">
        <f>'[3]Motor Rutas SKU_Cons'!A399</f>
        <v>810343</v>
      </c>
      <c r="E395" s="997" t="str">
        <f>IF('[3]Motor Rutas SKU_Cons'!N399="","s/d","Agua "&amp;TEXT('[3]Motor Rutas SKU_Cons'!N399,"0%")&amp;" · Colas "&amp;TEXT('[3]Motor Rutas SKU_Cons'!O399,"0%")&amp;" · Resto "&amp;TEXT('[3]Motor Rutas SKU_Cons'!P399,"0%"))</f>
        <v>Agua 85% · Colas 8% · Resto 7%</v>
      </c>
      <c r="F395" s="16">
        <f>'[3]Motor Rutas SKU_Cons'!CH399</f>
        <v>0.30817277504971402</v>
      </c>
      <c r="G395" s="16">
        <f>'[3]Motor Rutas SKU_Cons'!CG399</f>
        <v>0.64785259779545401</v>
      </c>
      <c r="H395" s="998">
        <f>'[3]Motor Rutas SKU_Cons'!BX399</f>
        <v>50.407450984848509</v>
      </c>
      <c r="I395" s="998">
        <f>'[3]Motor Rutas SKU_Cons'!BW399</f>
        <v>0</v>
      </c>
    </row>
    <row r="396" spans="1:9">
      <c r="A396" t="str">
        <f>IF('[3]Motor Rutas SKU_Cons'!C400="","",'[3]Motor Rutas SKU_Cons'!C400)</f>
        <v>Occidente</v>
      </c>
      <c r="B396" t="str">
        <f>IF('[3]Motor Rutas SKU_Cons'!D400="","",'[3]Motor Rutas SKU_Cons'!D400)</f>
        <v>San Luis</v>
      </c>
      <c r="C396" t="str">
        <f>IF('[3]Motor Rutas SKU_Cons'!B400="","",'[3]Motor Rutas SKU_Cons'!B400)</f>
        <v>Planta San Luis</v>
      </c>
      <c r="D396">
        <f>'[3]Motor Rutas SKU_Cons'!A400</f>
        <v>916428</v>
      </c>
      <c r="E396" s="997" t="str">
        <f>IF('[3]Motor Rutas SKU_Cons'!N400="","s/d","Agua "&amp;TEXT('[3]Motor Rutas SKU_Cons'!N400,"0%")&amp;" · Colas "&amp;TEXT('[3]Motor Rutas SKU_Cons'!O400,"0%")&amp;" · Resto "&amp;TEXT('[3]Motor Rutas SKU_Cons'!P400,"0%"))</f>
        <v>Agua 85% · Colas 8% · Resto 7%</v>
      </c>
      <c r="F396" s="16">
        <f>'[3]Motor Rutas SKU_Cons'!CH400</f>
        <v>0.37859800486238315</v>
      </c>
      <c r="G396" s="16">
        <f>'[3]Motor Rutas SKU_Cons'!CG400</f>
        <v>0.64564960090909218</v>
      </c>
      <c r="H396" s="998">
        <f>'[3]Motor Rutas SKU_Cons'!BX400</f>
        <v>43.22111208734411</v>
      </c>
      <c r="I396" s="998">
        <f>'[3]Motor Rutas SKU_Cons'!BW400</f>
        <v>0</v>
      </c>
    </row>
    <row r="397" spans="1:9">
      <c r="A397" t="str">
        <f>IF('[3]Motor Rutas SKU_Cons'!C401="","",'[3]Motor Rutas SKU_Cons'!C401)</f>
        <v>Occidente</v>
      </c>
      <c r="B397" t="str">
        <f>IF('[3]Motor Rutas SKU_Cons'!D401="","",'[3]Motor Rutas SKU_Cons'!D401)</f>
        <v>Zapopan</v>
      </c>
      <c r="C397" t="str">
        <f>IF('[3]Motor Rutas SKU_Cons'!B401="","",'[3]Motor Rutas SKU_Cons'!B401)</f>
        <v>Suc. Belenes</v>
      </c>
      <c r="D397">
        <f>'[3]Motor Rutas SKU_Cons'!A401</f>
        <v>820414</v>
      </c>
      <c r="E397" s="997" t="str">
        <f>IF('[3]Motor Rutas SKU_Cons'!N401="","s/d","Agua "&amp;TEXT('[3]Motor Rutas SKU_Cons'!N401,"0%")&amp;" · Colas "&amp;TEXT('[3]Motor Rutas SKU_Cons'!O401,"0%")&amp;" · Resto "&amp;TEXT('[3]Motor Rutas SKU_Cons'!P401,"0%"))</f>
        <v>Agua 85% · Colas 8% · Resto 7%</v>
      </c>
      <c r="F397" s="16">
        <f>'[3]Motor Rutas SKU_Cons'!CH401</f>
        <v>0.27108052931665988</v>
      </c>
      <c r="G397" s="16">
        <f>'[3]Motor Rutas SKU_Cons'!CG401</f>
        <v>0.64506733701136343</v>
      </c>
      <c r="H397" s="998">
        <f>'[3]Motor Rutas SKU_Cons'!BX401</f>
        <v>53.701222842245997</v>
      </c>
      <c r="I397" s="998">
        <f>'[3]Motor Rutas SKU_Cons'!BW401</f>
        <v>0</v>
      </c>
    </row>
    <row r="398" spans="1:9">
      <c r="A398" t="str">
        <f>IF('[3]Motor Rutas SKU_Cons'!C402="","",'[3]Motor Rutas SKU_Cons'!C402)</f>
        <v>Occidente</v>
      </c>
      <c r="B398" t="str">
        <f>IF('[3]Motor Rutas SKU_Cons'!D402="","",'[3]Motor Rutas SKU_Cons'!D402)</f>
        <v>San Luis</v>
      </c>
      <c r="C398" t="str">
        <f>IF('[3]Motor Rutas SKU_Cons'!B402="","",'[3]Motor Rutas SKU_Cons'!B402)</f>
        <v>Planta San Luis</v>
      </c>
      <c r="D398">
        <f>'[3]Motor Rutas SKU_Cons'!A402</f>
        <v>916429</v>
      </c>
      <c r="E398" s="997" t="str">
        <f>IF('[3]Motor Rutas SKU_Cons'!N402="","s/d","Agua "&amp;TEXT('[3]Motor Rutas SKU_Cons'!N402,"0%")&amp;" · Colas "&amp;TEXT('[3]Motor Rutas SKU_Cons'!O402,"0%")&amp;" · Resto "&amp;TEXT('[3]Motor Rutas SKU_Cons'!P402,"0%"))</f>
        <v>Agua 85% · Colas 8% · Resto 7%</v>
      </c>
      <c r="F398" s="16">
        <f>'[3]Motor Rutas SKU_Cons'!CH402</f>
        <v>0.48314111866069959</v>
      </c>
      <c r="G398" s="16">
        <f>'[3]Motor Rutas SKU_Cons'!CG402</f>
        <v>0.64423341102272691</v>
      </c>
      <c r="H398" s="998">
        <f>'[3]Motor Rutas SKU_Cons'!BX402</f>
        <v>32.784132282531182</v>
      </c>
      <c r="I398" s="998">
        <f>'[3]Motor Rutas SKU_Cons'!BW402</f>
        <v>0</v>
      </c>
    </row>
    <row r="399" spans="1:9">
      <c r="A399" t="str">
        <f>IF('[3]Motor Rutas SKU_Cons'!C403="","",'[3]Motor Rutas SKU_Cons'!C403)</f>
        <v>Occidente</v>
      </c>
      <c r="B399" t="str">
        <f>IF('[3]Motor Rutas SKU_Cons'!D403="","",'[3]Motor Rutas SKU_Cons'!D403)</f>
        <v>Zapopan</v>
      </c>
      <c r="C399" t="str">
        <f>IF('[3]Motor Rutas SKU_Cons'!B403="","",'[3]Motor Rutas SKU_Cons'!B403)</f>
        <v>Suc. Huentitán</v>
      </c>
      <c r="D399">
        <f>'[3]Motor Rutas SKU_Cons'!A403</f>
        <v>819341</v>
      </c>
      <c r="E399" s="997" t="str">
        <f>IF('[3]Motor Rutas SKU_Cons'!N403="","s/d","Agua "&amp;TEXT('[3]Motor Rutas SKU_Cons'!N403,"0%")&amp;" · Colas "&amp;TEXT('[3]Motor Rutas SKU_Cons'!O403,"0%")&amp;" · Resto "&amp;TEXT('[3]Motor Rutas SKU_Cons'!P403,"0%"))</f>
        <v>Agua 85% · Colas 8% · Resto 7%</v>
      </c>
      <c r="F399" s="16">
        <f>'[3]Motor Rutas SKU_Cons'!CH403</f>
        <v>0.22659180168708437</v>
      </c>
      <c r="G399" s="16">
        <f>'[3]Motor Rutas SKU_Cons'!CG403</f>
        <v>0.64392066756818145</v>
      </c>
      <c r="H399" s="998">
        <f>'[3]Motor Rutas SKU_Cons'!BX403</f>
        <v>57.924938008021471</v>
      </c>
      <c r="I399" s="998">
        <f>'[3]Motor Rutas SKU_Cons'!BW403</f>
        <v>0</v>
      </c>
    </row>
    <row r="400" spans="1:9">
      <c r="A400" t="str">
        <f>IF('[3]Motor Rutas SKU_Cons'!C404="","",'[3]Motor Rutas SKU_Cons'!C404)</f>
        <v>Norte</v>
      </c>
      <c r="B400" t="str">
        <f>IF('[3]Motor Rutas SKU_Cons'!D404="","",'[3]Motor Rutas SKU_Cons'!D404)</f>
        <v>Guadiana</v>
      </c>
      <c r="C400" t="str">
        <f>IF('[3]Motor Rutas SKU_Cons'!B404="","",'[3]Motor Rutas SKU_Cons'!B404)</f>
        <v>Planta Guadiana</v>
      </c>
      <c r="D400">
        <f>'[3]Motor Rutas SKU_Cons'!A404</f>
        <v>931401</v>
      </c>
      <c r="E400" s="997" t="str">
        <f>IF('[3]Motor Rutas SKU_Cons'!N404="","s/d","Agua "&amp;TEXT('[3]Motor Rutas SKU_Cons'!N404,"0%")&amp;" · Colas "&amp;TEXT('[3]Motor Rutas SKU_Cons'!O404,"0%")&amp;" · Resto "&amp;TEXT('[3]Motor Rutas SKU_Cons'!P404,"0%"))</f>
        <v>Agua 85% · Colas 8% · Resto 7%</v>
      </c>
      <c r="F400" s="16">
        <f>'[3]Motor Rutas SKU_Cons'!CH404</f>
        <v>0.26669810776413244</v>
      </c>
      <c r="G400" s="16">
        <f>'[3]Motor Rutas SKU_Cons'!CG404</f>
        <v>0.64363181230227207</v>
      </c>
      <c r="H400" s="998">
        <f>'[3]Motor Rutas SKU_Cons'!BX404</f>
        <v>53.978952939815748</v>
      </c>
      <c r="I400" s="998">
        <f>'[3]Motor Rutas SKU_Cons'!BW404</f>
        <v>0</v>
      </c>
    </row>
    <row r="401" spans="1:9">
      <c r="A401" t="str">
        <f>IF('[3]Motor Rutas SKU_Cons'!C405="","",'[3]Motor Rutas SKU_Cons'!C405)</f>
        <v>Occidente</v>
      </c>
      <c r="B401" t="str">
        <f>IF('[3]Motor Rutas SKU_Cons'!D405="","",'[3]Motor Rutas SKU_Cons'!D405)</f>
        <v>San Luis</v>
      </c>
      <c r="C401" t="str">
        <f>IF('[3]Motor Rutas SKU_Cons'!B405="","",'[3]Motor Rutas SKU_Cons'!B405)</f>
        <v>Planta San Luis</v>
      </c>
      <c r="D401">
        <f>'[3]Motor Rutas SKU_Cons'!A405</f>
        <v>916431</v>
      </c>
      <c r="E401" s="997" t="str">
        <f>IF('[3]Motor Rutas SKU_Cons'!N405="","s/d","Agua "&amp;TEXT('[3]Motor Rutas SKU_Cons'!N405,"0%")&amp;" · Colas "&amp;TEXT('[3]Motor Rutas SKU_Cons'!O405,"0%")&amp;" · Resto "&amp;TEXT('[3]Motor Rutas SKU_Cons'!P405,"0%"))</f>
        <v>Agua 85% · Colas 8% · Resto 7%</v>
      </c>
      <c r="F401" s="16">
        <f>'[3]Motor Rutas SKU_Cons'!CH405</f>
        <v>0.41565336881963055</v>
      </c>
      <c r="G401" s="16">
        <f>'[3]Motor Rutas SKU_Cons'!CG405</f>
        <v>0.64230362867045454</v>
      </c>
      <c r="H401" s="998">
        <f>'[3]Motor Rutas SKU_Cons'!BX405</f>
        <v>39.167656885026688</v>
      </c>
      <c r="I401" s="998">
        <f>'[3]Motor Rutas SKU_Cons'!BW405</f>
        <v>0</v>
      </c>
    </row>
    <row r="402" spans="1:9">
      <c r="A402" t="str">
        <f>IF('[3]Motor Rutas SKU_Cons'!C406="","",'[3]Motor Rutas SKU_Cons'!C406)</f>
        <v>Occidente</v>
      </c>
      <c r="B402" t="str">
        <f>IF('[3]Motor Rutas SKU_Cons'!D406="","",'[3]Motor Rutas SKU_Cons'!D406)</f>
        <v>Zapopan</v>
      </c>
      <c r="C402" t="str">
        <f>IF('[3]Motor Rutas SKU_Cons'!B406="","",'[3]Motor Rutas SKU_Cons'!B406)</f>
        <v>Suc. Belenes</v>
      </c>
      <c r="D402">
        <f>'[3]Motor Rutas SKU_Cons'!A406</f>
        <v>820364</v>
      </c>
      <c r="E402" s="997" t="str">
        <f>IF('[3]Motor Rutas SKU_Cons'!N406="","s/d","Agua "&amp;TEXT('[3]Motor Rutas SKU_Cons'!N406,"0%")&amp;" · Colas "&amp;TEXT('[3]Motor Rutas SKU_Cons'!O406,"0%")&amp;" · Resto "&amp;TEXT('[3]Motor Rutas SKU_Cons'!P406,"0%"))</f>
        <v>Agua 85% · Colas 8% · Resto 7%</v>
      </c>
      <c r="F402" s="16">
        <f>'[3]Motor Rutas SKU_Cons'!CH406</f>
        <v>0.22041473848717105</v>
      </c>
      <c r="G402" s="16">
        <f>'[3]Motor Rutas SKU_Cons'!CG406</f>
        <v>0.64114925532954548</v>
      </c>
      <c r="H402" s="998">
        <f>'[3]Motor Rutas SKU_Cons'!BX406</f>
        <v>58.186178050802198</v>
      </c>
      <c r="I402" s="998">
        <f>'[3]Motor Rutas SKU_Cons'!BW406</f>
        <v>0</v>
      </c>
    </row>
    <row r="403" spans="1:9">
      <c r="A403" t="str">
        <f>IF('[3]Motor Rutas SKU_Cons'!C407="","",'[3]Motor Rutas SKU_Cons'!C407)</f>
        <v>Occidente</v>
      </c>
      <c r="B403" t="str">
        <f>IF('[3]Motor Rutas SKU_Cons'!D407="","",'[3]Motor Rutas SKU_Cons'!D407)</f>
        <v>Favorita</v>
      </c>
      <c r="C403" t="str">
        <f>IF('[3]Motor Rutas SKU_Cons'!B407="","",'[3]Motor Rutas SKU_Cons'!B407)</f>
        <v>Suc. Santa Maria</v>
      </c>
      <c r="D403">
        <f>'[3]Motor Rutas SKU_Cons'!A407</f>
        <v>809348</v>
      </c>
      <c r="E403" s="997" t="str">
        <f>IF('[3]Motor Rutas SKU_Cons'!N407="","s/d","Agua "&amp;TEXT('[3]Motor Rutas SKU_Cons'!N407,"0%")&amp;" · Colas "&amp;TEXT('[3]Motor Rutas SKU_Cons'!O407,"0%")&amp;" · Resto "&amp;TEXT('[3]Motor Rutas SKU_Cons'!P407,"0%"))</f>
        <v>Agua 85% · Colas 8% · Resto 7%</v>
      </c>
      <c r="F403" s="16">
        <f>'[3]Motor Rutas SKU_Cons'!CH407</f>
        <v>0.2740279923810317</v>
      </c>
      <c r="G403" s="16">
        <f>'[3]Motor Rutas SKU_Cons'!CG407</f>
        <v>0.63915960293181784</v>
      </c>
      <c r="H403" s="998">
        <f>'[3]Motor Rutas SKU_Cons'!BX407</f>
        <v>52.6764570713013</v>
      </c>
      <c r="I403" s="998">
        <f>'[3]Motor Rutas SKU_Cons'!BW407</f>
        <v>0</v>
      </c>
    </row>
    <row r="404" spans="1:9">
      <c r="A404" t="str">
        <f>IF('[3]Motor Rutas SKU_Cons'!C408="","",'[3]Motor Rutas SKU_Cons'!C408)</f>
        <v>Occidente</v>
      </c>
      <c r="B404" t="str">
        <f>IF('[3]Motor Rutas SKU_Cons'!D408="","",'[3]Motor Rutas SKU_Cons'!D408)</f>
        <v>Favorita</v>
      </c>
      <c r="C404" t="str">
        <f>IF('[3]Motor Rutas SKU_Cons'!B408="","",'[3]Motor Rutas SKU_Cons'!B408)</f>
        <v>Cedi Tonalá</v>
      </c>
      <c r="D404">
        <f>'[3]Motor Rutas SKU_Cons'!A408</f>
        <v>810357</v>
      </c>
      <c r="E404" s="997" t="str">
        <f>IF('[3]Motor Rutas SKU_Cons'!N408="","s/d","Agua "&amp;TEXT('[3]Motor Rutas SKU_Cons'!N408,"0%")&amp;" · Colas "&amp;TEXT('[3]Motor Rutas SKU_Cons'!O408,"0%")&amp;" · Resto "&amp;TEXT('[3]Motor Rutas SKU_Cons'!P408,"0%"))</f>
        <v>Agua 85% · Colas 8% · Resto 7%</v>
      </c>
      <c r="F404" s="16">
        <f>'[3]Motor Rutas SKU_Cons'!CH408</f>
        <v>0.24672242282879647</v>
      </c>
      <c r="G404" s="16">
        <f>'[3]Motor Rutas SKU_Cons'!CG408</f>
        <v>0.63795630651136404</v>
      </c>
      <c r="H404" s="998">
        <f>'[3]Motor Rutas SKU_Cons'!BX408</f>
        <v>55.20663404991096</v>
      </c>
      <c r="I404" s="998">
        <f>'[3]Motor Rutas SKU_Cons'!BW408</f>
        <v>0</v>
      </c>
    </row>
    <row r="405" spans="1:9">
      <c r="A405" t="str">
        <f>IF('[3]Motor Rutas SKU_Cons'!C409="","",'[3]Motor Rutas SKU_Cons'!C409)</f>
        <v>Occidente</v>
      </c>
      <c r="B405" t="str">
        <f>IF('[3]Motor Rutas SKU_Cons'!D409="","",'[3]Motor Rutas SKU_Cons'!D409)</f>
        <v>Favorita</v>
      </c>
      <c r="C405" t="str">
        <f>IF('[3]Motor Rutas SKU_Cons'!B409="","",'[3]Motor Rutas SKU_Cons'!B409)</f>
        <v>Suc. Tecomán</v>
      </c>
      <c r="D405">
        <f>'[3]Motor Rutas SKU_Cons'!A409</f>
        <v>806400</v>
      </c>
      <c r="E405" s="997" t="str">
        <f>IF('[3]Motor Rutas SKU_Cons'!N409="","s/d","Agua "&amp;TEXT('[3]Motor Rutas SKU_Cons'!N409,"0%")&amp;" · Colas "&amp;TEXT('[3]Motor Rutas SKU_Cons'!O409,"0%")&amp;" · Resto "&amp;TEXT('[3]Motor Rutas SKU_Cons'!P409,"0%"))</f>
        <v>Agua 85% · Colas 8% · Resto 7%</v>
      </c>
      <c r="F405" s="16">
        <f>'[3]Motor Rutas SKU_Cons'!CH409</f>
        <v>0.23067961358037409</v>
      </c>
      <c r="G405" s="16">
        <f>'[3]Motor Rutas SKU_Cons'!CG409</f>
        <v>0.63701617111363662</v>
      </c>
      <c r="H405" s="998">
        <f>'[3]Motor Rutas SKU_Cons'!BX409</f>
        <v>44.832308556002808</v>
      </c>
      <c r="I405" s="998">
        <f>'[3]Motor Rutas SKU_Cons'!BW409</f>
        <v>0</v>
      </c>
    </row>
    <row r="406" spans="1:9">
      <c r="A406" t="str">
        <f>IF('[3]Motor Rutas SKU_Cons'!C410="","",'[3]Motor Rutas SKU_Cons'!C410)</f>
        <v>Occidente</v>
      </c>
      <c r="B406" t="str">
        <f>IF('[3]Motor Rutas SKU_Cons'!D410="","",'[3]Motor Rutas SKU_Cons'!D410)</f>
        <v>Favorita</v>
      </c>
      <c r="C406" t="str">
        <f>IF('[3]Motor Rutas SKU_Cons'!B410="","",'[3]Motor Rutas SKU_Cons'!B410)</f>
        <v>Suc. San Rafael</v>
      </c>
      <c r="D406">
        <f>'[3]Motor Rutas SKU_Cons'!A410</f>
        <v>803407</v>
      </c>
      <c r="E406" s="997" t="str">
        <f>IF('[3]Motor Rutas SKU_Cons'!N410="","s/d","Agua "&amp;TEXT('[3]Motor Rutas SKU_Cons'!N410,"0%")&amp;" · Colas "&amp;TEXT('[3]Motor Rutas SKU_Cons'!O410,"0%")&amp;" · Resto "&amp;TEXT('[3]Motor Rutas SKU_Cons'!P410,"0%"))</f>
        <v>Agua 85% · Colas 8% · Resto 7%</v>
      </c>
      <c r="F406" s="16">
        <f>'[3]Motor Rutas SKU_Cons'!CH410</f>
        <v>0.31730677697766202</v>
      </c>
      <c r="G406" s="16">
        <f>'[3]Motor Rutas SKU_Cons'!CG410</f>
        <v>0.63698238394322892</v>
      </c>
      <c r="H406" s="998">
        <f>'[3]Motor Rutas SKU_Cons'!BX410</f>
        <v>37.584271573083704</v>
      </c>
      <c r="I406" s="998">
        <f>'[3]Motor Rutas SKU_Cons'!BW410</f>
        <v>0</v>
      </c>
    </row>
    <row r="407" spans="1:9">
      <c r="A407" t="str">
        <f>IF('[3]Motor Rutas SKU_Cons'!C411="","",'[3]Motor Rutas SKU_Cons'!C411)</f>
        <v>Occidente</v>
      </c>
      <c r="B407" t="str">
        <f>IF('[3]Motor Rutas SKU_Cons'!D411="","",'[3]Motor Rutas SKU_Cons'!D411)</f>
        <v>Favorita</v>
      </c>
      <c r="C407" t="str">
        <f>IF('[3]Motor Rutas SKU_Cons'!B411="","",'[3]Motor Rutas SKU_Cons'!B411)</f>
        <v>Suc. San Rafael</v>
      </c>
      <c r="D407">
        <f>'[3]Motor Rutas SKU_Cons'!A411</f>
        <v>803414</v>
      </c>
      <c r="E407" s="997" t="str">
        <f>IF('[3]Motor Rutas SKU_Cons'!N411="","s/d","Agua "&amp;TEXT('[3]Motor Rutas SKU_Cons'!N411,"0%")&amp;" · Colas "&amp;TEXT('[3]Motor Rutas SKU_Cons'!O411,"0%")&amp;" · Resto "&amp;TEXT('[3]Motor Rutas SKU_Cons'!P411,"0%"))</f>
        <v>Agua 85% · Colas 8% · Resto 7%</v>
      </c>
      <c r="F407" s="16">
        <f>'[3]Motor Rutas SKU_Cons'!CH411</f>
        <v>0.25265389435122526</v>
      </c>
      <c r="G407" s="16">
        <f>'[3]Motor Rutas SKU_Cons'!CG411</f>
        <v>0.6366682328522727</v>
      </c>
      <c r="H407" s="998">
        <f>'[3]Motor Rutas SKU_Cons'!BX411</f>
        <v>19.340695256872067</v>
      </c>
      <c r="I407" s="998">
        <f>'[3]Motor Rutas SKU_Cons'!BW411</f>
        <v>0</v>
      </c>
    </row>
    <row r="408" spans="1:9">
      <c r="A408" t="str">
        <f>IF('[3]Motor Rutas SKU_Cons'!C412="","",'[3]Motor Rutas SKU_Cons'!C412)</f>
        <v>Occidente</v>
      </c>
      <c r="B408" t="str">
        <f>IF('[3]Motor Rutas SKU_Cons'!D412="","",'[3]Motor Rutas SKU_Cons'!D412)</f>
        <v>San Luis</v>
      </c>
      <c r="C408" t="str">
        <f>IF('[3]Motor Rutas SKU_Cons'!B412="","",'[3]Motor Rutas SKU_Cons'!B412)</f>
        <v>Planta San Luis</v>
      </c>
      <c r="D408">
        <f>'[3]Motor Rutas SKU_Cons'!A412</f>
        <v>916407</v>
      </c>
      <c r="E408" s="997" t="str">
        <f>IF('[3]Motor Rutas SKU_Cons'!N412="","s/d","Agua "&amp;TEXT('[3]Motor Rutas SKU_Cons'!N412,"0%")&amp;" · Colas "&amp;TEXT('[3]Motor Rutas SKU_Cons'!O412,"0%")&amp;" · Resto "&amp;TEXT('[3]Motor Rutas SKU_Cons'!P412,"0%"))</f>
        <v>Agua 85% · Colas 8% · Resto 7%</v>
      </c>
      <c r="F408" s="16">
        <f>'[3]Motor Rutas SKU_Cons'!CH412</f>
        <v>0.45823014461090894</v>
      </c>
      <c r="G408" s="16">
        <f>'[3]Motor Rutas SKU_Cons'!CG412</f>
        <v>0.63511782504545511</v>
      </c>
      <c r="H408" s="998">
        <f>'[3]Motor Rutas SKU_Cons'!BX412</f>
        <v>34.094250587344085</v>
      </c>
      <c r="I408" s="998">
        <f>'[3]Motor Rutas SKU_Cons'!BW412</f>
        <v>0</v>
      </c>
    </row>
    <row r="409" spans="1:9">
      <c r="A409" t="str">
        <f>IF('[3]Motor Rutas SKU_Cons'!C413="","",'[3]Motor Rutas SKU_Cons'!C413)</f>
        <v>Norte</v>
      </c>
      <c r="B409" t="str">
        <f>IF('[3]Motor Rutas SKU_Cons'!D413="","",'[3]Motor Rutas SKU_Cons'!D413)</f>
        <v>Chihuahua</v>
      </c>
      <c r="C409" t="str">
        <f>IF('[3]Motor Rutas SKU_Cons'!B413="","",'[3]Motor Rutas SKU_Cons'!B413)</f>
        <v>Planta Chihuahua</v>
      </c>
      <c r="D409">
        <f>'[3]Motor Rutas SKU_Cons'!A413</f>
        <v>308340</v>
      </c>
      <c r="E409" s="997" t="str">
        <f>IF('[3]Motor Rutas SKU_Cons'!N413="","s/d","Agua "&amp;TEXT('[3]Motor Rutas SKU_Cons'!N413,"0%")&amp;" · Colas "&amp;TEXT('[3]Motor Rutas SKU_Cons'!O413,"0%")&amp;" · Resto "&amp;TEXT('[3]Motor Rutas SKU_Cons'!P413,"0%"))</f>
        <v>Agua 85% · Colas 8% · Resto 7%</v>
      </c>
      <c r="F409" s="16">
        <f>'[3]Motor Rutas SKU_Cons'!CH413</f>
        <v>0.56311218266964413</v>
      </c>
      <c r="G409" s="16">
        <f>'[3]Motor Rutas SKU_Cons'!CG413</f>
        <v>0.63406171022726954</v>
      </c>
      <c r="H409" s="998">
        <f>'[3]Motor Rutas SKU_Cons'!BX413</f>
        <v>17.751625049019168</v>
      </c>
      <c r="I409" s="998">
        <f>'[3]Motor Rutas SKU_Cons'!BW413</f>
        <v>0</v>
      </c>
    </row>
    <row r="410" spans="1:9">
      <c r="A410" t="str">
        <f>IF('[3]Motor Rutas SKU_Cons'!C414="","",'[3]Motor Rutas SKU_Cons'!C414)</f>
        <v>Norte</v>
      </c>
      <c r="B410" t="str">
        <f>IF('[3]Motor Rutas SKU_Cons'!D414="","",'[3]Motor Rutas SKU_Cons'!D414)</f>
        <v>Guadiana</v>
      </c>
      <c r="C410" t="str">
        <f>IF('[3]Motor Rutas SKU_Cons'!B414="","",'[3]Motor Rutas SKU_Cons'!B414)</f>
        <v>Planta Guadiana</v>
      </c>
      <c r="D410">
        <f>'[3]Motor Rutas SKU_Cons'!A414</f>
        <v>931417</v>
      </c>
      <c r="E410" s="997" t="str">
        <f>IF('[3]Motor Rutas SKU_Cons'!N414="","s/d","Agua "&amp;TEXT('[3]Motor Rutas SKU_Cons'!N414,"0%")&amp;" · Colas "&amp;TEXT('[3]Motor Rutas SKU_Cons'!O414,"0%")&amp;" · Resto "&amp;TEXT('[3]Motor Rutas SKU_Cons'!P414,"0%"))</f>
        <v>Agua 85% · Colas 8% · Resto 7%</v>
      </c>
      <c r="F410" s="16">
        <f>'[3]Motor Rutas SKU_Cons'!CH414</f>
        <v>0.27800193895127812</v>
      </c>
      <c r="G410" s="16">
        <f>'[3]Motor Rutas SKU_Cons'!CG414</f>
        <v>0.63305975454545427</v>
      </c>
      <c r="H410" s="998">
        <f>'[3]Motor Rutas SKU_Cons'!BX414</f>
        <v>53.146868667088555</v>
      </c>
      <c r="I410" s="998">
        <f>'[3]Motor Rutas SKU_Cons'!BW414</f>
        <v>0</v>
      </c>
    </row>
    <row r="411" spans="1:9">
      <c r="A411" t="str">
        <f>IF('[3]Motor Rutas SKU_Cons'!C415="","",'[3]Motor Rutas SKU_Cons'!C415)</f>
        <v>Norte</v>
      </c>
      <c r="B411" t="str">
        <f>IF('[3]Motor Rutas SKU_Cons'!D415="","",'[3]Motor Rutas SKU_Cons'!D415)</f>
        <v>Comarca</v>
      </c>
      <c r="C411" t="str">
        <f>IF('[3]Motor Rutas SKU_Cons'!B415="","",'[3]Motor Rutas SKU_Cons'!B415)</f>
        <v>Suc. Estadio</v>
      </c>
      <c r="D411">
        <f>'[3]Motor Rutas SKU_Cons'!A415</f>
        <v>217406</v>
      </c>
      <c r="E411" s="997" t="str">
        <f>IF('[3]Motor Rutas SKU_Cons'!N415="","s/d","Agua "&amp;TEXT('[3]Motor Rutas SKU_Cons'!N415,"0%")&amp;" · Colas "&amp;TEXT('[3]Motor Rutas SKU_Cons'!O415,"0%")&amp;" · Resto "&amp;TEXT('[3]Motor Rutas SKU_Cons'!P415,"0%"))</f>
        <v>Agua 85% · Colas 8% · Resto 7%</v>
      </c>
      <c r="F411" s="16">
        <f>'[3]Motor Rutas SKU_Cons'!CH415</f>
        <v>0.47443223843630383</v>
      </c>
      <c r="G411" s="16">
        <f>'[3]Motor Rutas SKU_Cons'!CG415</f>
        <v>0.58672328778408978</v>
      </c>
      <c r="H411" s="998">
        <f>'[3]Motor Rutas SKU_Cons'!BX415</f>
        <v>30.949978739731314</v>
      </c>
      <c r="I411" s="998">
        <f>'[3]Motor Rutas SKU_Cons'!BW415</f>
        <v>0</v>
      </c>
    </row>
    <row r="412" spans="1:9">
      <c r="A412" t="str">
        <f>IF('[3]Motor Rutas SKU_Cons'!C416="","",'[3]Motor Rutas SKU_Cons'!C416)</f>
        <v>Norte</v>
      </c>
      <c r="B412" t="str">
        <f>IF('[3]Motor Rutas SKU_Cons'!D416="","",'[3]Motor Rutas SKU_Cons'!D416)</f>
        <v>Guadiana</v>
      </c>
      <c r="C412" t="str">
        <f>IF('[3]Motor Rutas SKU_Cons'!B416="","",'[3]Motor Rutas SKU_Cons'!B416)</f>
        <v>Planta Guadiana</v>
      </c>
      <c r="D412">
        <f>'[3]Motor Rutas SKU_Cons'!A416</f>
        <v>931427</v>
      </c>
      <c r="E412" s="997" t="str">
        <f>IF('[3]Motor Rutas SKU_Cons'!N416="","s/d","Agua "&amp;TEXT('[3]Motor Rutas SKU_Cons'!N416,"0%")&amp;" · Colas "&amp;TEXT('[3]Motor Rutas SKU_Cons'!O416,"0%")&amp;" · Resto "&amp;TEXT('[3]Motor Rutas SKU_Cons'!P416,"0%"))</f>
        <v>Agua 85% · Colas 8% · Resto 7%</v>
      </c>
      <c r="F412" s="16">
        <f>'[3]Motor Rutas SKU_Cons'!CH416</f>
        <v>0.37242395968473113</v>
      </c>
      <c r="G412" s="16">
        <f>'[3]Motor Rutas SKU_Cons'!CG416</f>
        <v>0.63169611545454551</v>
      </c>
      <c r="H412" s="998">
        <f>'[3]Motor Rutas SKU_Cons'!BX416</f>
        <v>46.196386379209805</v>
      </c>
      <c r="I412" s="998">
        <f>'[3]Motor Rutas SKU_Cons'!BW416</f>
        <v>0</v>
      </c>
    </row>
    <row r="413" spans="1:9">
      <c r="A413" t="str">
        <f>IF('[3]Motor Rutas SKU_Cons'!C417="","",'[3]Motor Rutas SKU_Cons'!C417)</f>
        <v>Occidente</v>
      </c>
      <c r="B413" t="str">
        <f>IF('[3]Motor Rutas SKU_Cons'!D417="","",'[3]Motor Rutas SKU_Cons'!D417)</f>
        <v>San Luis</v>
      </c>
      <c r="C413" t="str">
        <f>IF('[3]Motor Rutas SKU_Cons'!B417="","",'[3]Motor Rutas SKU_Cons'!B417)</f>
        <v>Planta San Luis</v>
      </c>
      <c r="D413">
        <f>'[3]Motor Rutas SKU_Cons'!A417</f>
        <v>916400</v>
      </c>
      <c r="E413" s="997" t="str">
        <f>IF('[3]Motor Rutas SKU_Cons'!N417="","s/d","Agua "&amp;TEXT('[3]Motor Rutas SKU_Cons'!N417,"0%")&amp;" · Colas "&amp;TEXT('[3]Motor Rutas SKU_Cons'!O417,"0%")&amp;" · Resto "&amp;TEXT('[3]Motor Rutas SKU_Cons'!P417,"0%"))</f>
        <v>Agua 85% · Colas 8% · Resto 7%</v>
      </c>
      <c r="F413" s="16">
        <f>'[3]Motor Rutas SKU_Cons'!CH417</f>
        <v>0.41977863197640536</v>
      </c>
      <c r="G413" s="16">
        <f>'[3]Motor Rutas SKU_Cons'!CG417</f>
        <v>0.63074011039772659</v>
      </c>
      <c r="H413" s="998">
        <f>'[3]Motor Rutas SKU_Cons'!BX417</f>
        <v>37.323180107843022</v>
      </c>
      <c r="I413" s="998">
        <f>'[3]Motor Rutas SKU_Cons'!BW417</f>
        <v>0</v>
      </c>
    </row>
    <row r="414" spans="1:9">
      <c r="A414" t="str">
        <f>IF('[3]Motor Rutas SKU_Cons'!C418="","",'[3]Motor Rutas SKU_Cons'!C418)</f>
        <v>Occidente</v>
      </c>
      <c r="B414" t="str">
        <f>IF('[3]Motor Rutas SKU_Cons'!D418="","",'[3]Motor Rutas SKU_Cons'!D418)</f>
        <v>Aguascalientes</v>
      </c>
      <c r="C414" t="str">
        <f>IF('[3]Motor Rutas SKU_Cons'!B418="","",'[3]Motor Rutas SKU_Cons'!B418)</f>
        <v>Planta Aguascalientes</v>
      </c>
      <c r="D414">
        <f>'[3]Motor Rutas SKU_Cons'!A418</f>
        <v>901340</v>
      </c>
      <c r="E414" s="997" t="str">
        <f>IF('[3]Motor Rutas SKU_Cons'!N418="","s/d","Agua "&amp;TEXT('[3]Motor Rutas SKU_Cons'!N418,"0%")&amp;" · Colas "&amp;TEXT('[3]Motor Rutas SKU_Cons'!O418,"0%")&amp;" · Resto "&amp;TEXT('[3]Motor Rutas SKU_Cons'!P418,"0%"))</f>
        <v>Agua 85% · Colas 8% · Resto 7%</v>
      </c>
      <c r="F414" s="16">
        <f>'[3]Motor Rutas SKU_Cons'!CH418</f>
        <v>0.20731122990367493</v>
      </c>
      <c r="G414" s="16">
        <f>'[3]Motor Rutas SKU_Cons'!CG418</f>
        <v>0.63048397673863665</v>
      </c>
      <c r="H414" s="998">
        <f>'[3]Motor Rutas SKU_Cons'!BX418</f>
        <v>58.14449227540112</v>
      </c>
      <c r="I414" s="998">
        <f>'[3]Motor Rutas SKU_Cons'!BW418</f>
        <v>0</v>
      </c>
    </row>
    <row r="415" spans="1:9">
      <c r="A415" t="str">
        <f>IF('[3]Motor Rutas SKU_Cons'!C419="","",'[3]Motor Rutas SKU_Cons'!C419)</f>
        <v>Occidente</v>
      </c>
      <c r="B415" t="str">
        <f>IF('[3]Motor Rutas SKU_Cons'!D419="","",'[3]Motor Rutas SKU_Cons'!D419)</f>
        <v>Zapopan</v>
      </c>
      <c r="C415" t="str">
        <f>IF('[3]Motor Rutas SKU_Cons'!B419="","",'[3]Motor Rutas SKU_Cons'!B419)</f>
        <v>Planta Zapopan</v>
      </c>
      <c r="D415">
        <f>'[3]Motor Rutas SKU_Cons'!A419</f>
        <v>816364</v>
      </c>
      <c r="E415" s="997" t="str">
        <f>IF('[3]Motor Rutas SKU_Cons'!N419="","s/d","Agua "&amp;TEXT('[3]Motor Rutas SKU_Cons'!N419,"0%")&amp;" · Colas "&amp;TEXT('[3]Motor Rutas SKU_Cons'!O419,"0%")&amp;" · Resto "&amp;TEXT('[3]Motor Rutas SKU_Cons'!P419,"0%"))</f>
        <v>Agua 85% · Colas 8% · Resto 7%</v>
      </c>
      <c r="F415" s="16">
        <f>'[3]Motor Rutas SKU_Cons'!CH419</f>
        <v>0.2738974847621255</v>
      </c>
      <c r="G415" s="16">
        <f>'[3]Motor Rutas SKU_Cons'!CG419</f>
        <v>0.63036798443181807</v>
      </c>
      <c r="H415" s="998">
        <f>'[3]Motor Rutas SKU_Cons'!BX419</f>
        <v>51.594760219251476</v>
      </c>
      <c r="I415" s="998">
        <f>'[3]Motor Rutas SKU_Cons'!BW419</f>
        <v>0</v>
      </c>
    </row>
    <row r="416" spans="1:9">
      <c r="A416" t="str">
        <f>IF('[3]Motor Rutas SKU_Cons'!C420="","",'[3]Motor Rutas SKU_Cons'!C420)</f>
        <v>Occidente</v>
      </c>
      <c r="B416" t="str">
        <f>IF('[3]Motor Rutas SKU_Cons'!D420="","",'[3]Motor Rutas SKU_Cons'!D420)</f>
        <v>Favorita</v>
      </c>
      <c r="C416" t="str">
        <f>IF('[3]Motor Rutas SKU_Cons'!B420="","",'[3]Motor Rutas SKU_Cons'!B420)</f>
        <v>Suc. Santa Maria</v>
      </c>
      <c r="D416">
        <f>'[3]Motor Rutas SKU_Cons'!A420</f>
        <v>809335</v>
      </c>
      <c r="E416" s="997" t="str">
        <f>IF('[3]Motor Rutas SKU_Cons'!N420="","s/d","Agua "&amp;TEXT('[3]Motor Rutas SKU_Cons'!N420,"0%")&amp;" · Colas "&amp;TEXT('[3]Motor Rutas SKU_Cons'!O420,"0%")&amp;" · Resto "&amp;TEXT('[3]Motor Rutas SKU_Cons'!P420,"0%"))</f>
        <v>Agua 85% · Colas 8% · Resto 7%</v>
      </c>
      <c r="F416" s="16">
        <f>'[3]Motor Rutas SKU_Cons'!CH420</f>
        <v>0.27895364646584353</v>
      </c>
      <c r="G416" s="16">
        <f>'[3]Motor Rutas SKU_Cons'!CG420</f>
        <v>0.62971297056818198</v>
      </c>
      <c r="H416" s="998">
        <f>'[3]Motor Rutas SKU_Cons'!BX420</f>
        <v>51.01696382531204</v>
      </c>
      <c r="I416" s="998">
        <f>'[3]Motor Rutas SKU_Cons'!BW420</f>
        <v>0</v>
      </c>
    </row>
    <row r="417" spans="1:9">
      <c r="A417" t="str">
        <f>IF('[3]Motor Rutas SKU_Cons'!C421="","",'[3]Motor Rutas SKU_Cons'!C421)</f>
        <v>Occidente</v>
      </c>
      <c r="B417" t="str">
        <f>IF('[3]Motor Rutas SKU_Cons'!D421="","",'[3]Motor Rutas SKU_Cons'!D421)</f>
        <v>Zapopan</v>
      </c>
      <c r="C417" t="str">
        <f>IF('[3]Motor Rutas SKU_Cons'!B421="","",'[3]Motor Rutas SKU_Cons'!B421)</f>
        <v>Suc. Huentitán</v>
      </c>
      <c r="D417">
        <f>'[3]Motor Rutas SKU_Cons'!A421</f>
        <v>819344</v>
      </c>
      <c r="E417" s="997" t="str">
        <f>IF('[3]Motor Rutas SKU_Cons'!N421="","s/d","Agua "&amp;TEXT('[3]Motor Rutas SKU_Cons'!N421,"0%")&amp;" · Colas "&amp;TEXT('[3]Motor Rutas SKU_Cons'!O421,"0%")&amp;" · Resto "&amp;TEXT('[3]Motor Rutas SKU_Cons'!P421,"0%"))</f>
        <v>Agua 85% · Colas 8% · Resto 7%</v>
      </c>
      <c r="F417" s="16">
        <f>'[3]Motor Rutas SKU_Cons'!CH421</f>
        <v>0.229952010402482</v>
      </c>
      <c r="G417" s="16">
        <f>'[3]Motor Rutas SKU_Cons'!CG421</f>
        <v>0.62963447328409117</v>
      </c>
      <c r="H417" s="998">
        <f>'[3]Motor Rutas SKU_Cons'!BX421</f>
        <v>55.81659212299472</v>
      </c>
      <c r="I417" s="998">
        <f>'[3]Motor Rutas SKU_Cons'!BW421</f>
        <v>0</v>
      </c>
    </row>
    <row r="418" spans="1:9">
      <c r="A418" t="str">
        <f>IF('[3]Motor Rutas SKU_Cons'!C422="","",'[3]Motor Rutas SKU_Cons'!C422)</f>
        <v>Norte</v>
      </c>
      <c r="B418" t="str">
        <f>IF('[3]Motor Rutas SKU_Cons'!D422="","",'[3]Motor Rutas SKU_Cons'!D422)</f>
        <v>Guadiana</v>
      </c>
      <c r="C418" t="str">
        <f>IF('[3]Motor Rutas SKU_Cons'!B422="","",'[3]Motor Rutas SKU_Cons'!B422)</f>
        <v>Planta Guadiana</v>
      </c>
      <c r="D418">
        <f>'[3]Motor Rutas SKU_Cons'!A422</f>
        <v>931411</v>
      </c>
      <c r="E418" s="997" t="str">
        <f>IF('[3]Motor Rutas SKU_Cons'!N422="","s/d","Agua "&amp;TEXT('[3]Motor Rutas SKU_Cons'!N422,"0%")&amp;" · Colas "&amp;TEXT('[3]Motor Rutas SKU_Cons'!O422,"0%")&amp;" · Resto "&amp;TEXT('[3]Motor Rutas SKU_Cons'!P422,"0%"))</f>
        <v>Agua 85% · Colas 8% · Resto 7%</v>
      </c>
      <c r="F418" s="16">
        <f>'[3]Motor Rutas SKU_Cons'!CH422</f>
        <v>0.39286127760052686</v>
      </c>
      <c r="G418" s="16">
        <f>'[3]Motor Rutas SKU_Cons'!CG422</f>
        <v>0.62961465886363621</v>
      </c>
      <c r="H418" s="998">
        <f>'[3]Motor Rutas SKU_Cons'!BX422</f>
        <v>44.691978667088492</v>
      </c>
      <c r="I418" s="998">
        <f>'[3]Motor Rutas SKU_Cons'!BW422</f>
        <v>0</v>
      </c>
    </row>
    <row r="419" spans="1:9">
      <c r="A419" t="str">
        <f>IF('[3]Motor Rutas SKU_Cons'!C423="","",'[3]Motor Rutas SKU_Cons'!C423)</f>
        <v>Occidente</v>
      </c>
      <c r="B419" t="str">
        <f>IF('[3]Motor Rutas SKU_Cons'!D423="","",'[3]Motor Rutas SKU_Cons'!D423)</f>
        <v>San Luis</v>
      </c>
      <c r="C419" t="str">
        <f>IF('[3]Motor Rutas SKU_Cons'!B423="","",'[3]Motor Rutas SKU_Cons'!B423)</f>
        <v>Planta San Luis</v>
      </c>
      <c r="D419">
        <f>'[3]Motor Rutas SKU_Cons'!A423</f>
        <v>916402</v>
      </c>
      <c r="E419" s="997" t="str">
        <f>IF('[3]Motor Rutas SKU_Cons'!N423="","s/d","Agua "&amp;TEXT('[3]Motor Rutas SKU_Cons'!N423,"0%")&amp;" · Colas "&amp;TEXT('[3]Motor Rutas SKU_Cons'!O423,"0%")&amp;" · Resto "&amp;TEXT('[3]Motor Rutas SKU_Cons'!P423,"0%"))</f>
        <v>Agua 85% · Colas 8% · Resto 7%</v>
      </c>
      <c r="F419" s="16">
        <f>'[3]Motor Rutas SKU_Cons'!CH423</f>
        <v>0.34220591127208128</v>
      </c>
      <c r="G419" s="16">
        <f>'[3]Motor Rutas SKU_Cons'!CG423</f>
        <v>0.62889129736363569</v>
      </c>
      <c r="H419" s="998">
        <f>'[3]Motor Rutas SKU_Cons'!BX423</f>
        <v>44.706602212121169</v>
      </c>
      <c r="I419" s="998">
        <f>'[3]Motor Rutas SKU_Cons'!BW423</f>
        <v>0</v>
      </c>
    </row>
    <row r="420" spans="1:9">
      <c r="A420" t="str">
        <f>IF('[3]Motor Rutas SKU_Cons'!C424="","",'[3]Motor Rutas SKU_Cons'!C424)</f>
        <v>Occidente</v>
      </c>
      <c r="B420" t="str">
        <f>IF('[3]Motor Rutas SKU_Cons'!D424="","",'[3]Motor Rutas SKU_Cons'!D424)</f>
        <v>Zapopan</v>
      </c>
      <c r="C420" t="str">
        <f>IF('[3]Motor Rutas SKU_Cons'!B424="","",'[3]Motor Rutas SKU_Cons'!B424)</f>
        <v>Suc. Belenes</v>
      </c>
      <c r="D420">
        <f>'[3]Motor Rutas SKU_Cons'!A424</f>
        <v>820418</v>
      </c>
      <c r="E420" s="997" t="str">
        <f>IF('[3]Motor Rutas SKU_Cons'!N424="","s/d","Agua "&amp;TEXT('[3]Motor Rutas SKU_Cons'!N424,"0%")&amp;" · Colas "&amp;TEXT('[3]Motor Rutas SKU_Cons'!O424,"0%")&amp;" · Resto "&amp;TEXT('[3]Motor Rutas SKU_Cons'!P424,"0%"))</f>
        <v>Agua 85% · Colas 8% · Resto 7%</v>
      </c>
      <c r="F420" s="16">
        <f>'[3]Motor Rutas SKU_Cons'!CH424</f>
        <v>0.13309748106592981</v>
      </c>
      <c r="G420" s="16">
        <f>'[3]Motor Rutas SKU_Cons'!CG424</f>
        <v>0.62590860889772693</v>
      </c>
      <c r="H420" s="998">
        <f>'[3]Motor Rutas SKU_Cons'!BX424</f>
        <v>64.858798444741623</v>
      </c>
      <c r="I420" s="998">
        <f>'[3]Motor Rutas SKU_Cons'!BW424</f>
        <v>0</v>
      </c>
    </row>
    <row r="421" spans="1:9">
      <c r="A421" t="str">
        <f>IF('[3]Motor Rutas SKU_Cons'!C425="","",'[3]Motor Rutas SKU_Cons'!C425)</f>
        <v>Pacifico</v>
      </c>
      <c r="B421" t="str">
        <f>IF('[3]Motor Rutas SKU_Cons'!D425="","",'[3]Motor Rutas SKU_Cons'!D425)</f>
        <v>Mazatlán</v>
      </c>
      <c r="C421" t="str">
        <f>IF('[3]Motor Rutas SKU_Cons'!B425="","",'[3]Motor Rutas SKU_Cons'!B425)</f>
        <v>Sucursal Venadillo</v>
      </c>
      <c r="D421">
        <f>'[3]Motor Rutas SKU_Cons'!A425</f>
        <v>503301</v>
      </c>
      <c r="E421" s="997" t="str">
        <f>IF('[3]Motor Rutas SKU_Cons'!N425="","s/d","Agua "&amp;TEXT('[3]Motor Rutas SKU_Cons'!N425,"0%")&amp;" · Colas "&amp;TEXT('[3]Motor Rutas SKU_Cons'!O425,"0%")&amp;" · Resto "&amp;TEXT('[3]Motor Rutas SKU_Cons'!P425,"0%"))</f>
        <v>Agua 85% · Colas 8% · Resto 7%</v>
      </c>
      <c r="F421" s="16">
        <f>'[3]Motor Rutas SKU_Cons'!CH425</f>
        <v>0.33479308053834722</v>
      </c>
      <c r="G421" s="16">
        <f>'[3]Motor Rutas SKU_Cons'!CG425</f>
        <v>0.62460938761363716</v>
      </c>
      <c r="H421" s="998">
        <f>'[3]Motor Rutas SKU_Cons'!BX425</f>
        <v>31.430757278075045</v>
      </c>
      <c r="I421" s="998">
        <f>'[3]Motor Rutas SKU_Cons'!BW425</f>
        <v>0</v>
      </c>
    </row>
    <row r="422" spans="1:9">
      <c r="A422" t="str">
        <f>IF('[3]Motor Rutas SKU_Cons'!C426="","",'[3]Motor Rutas SKU_Cons'!C426)</f>
        <v>Occidente</v>
      </c>
      <c r="B422" t="str">
        <f>IF('[3]Motor Rutas SKU_Cons'!D426="","",'[3]Motor Rutas SKU_Cons'!D426)</f>
        <v>Zapopan</v>
      </c>
      <c r="C422" t="str">
        <f>IF('[3]Motor Rutas SKU_Cons'!B426="","",'[3]Motor Rutas SKU_Cons'!B426)</f>
        <v>Planta Zapopan</v>
      </c>
      <c r="D422">
        <f>'[3]Motor Rutas SKU_Cons'!A426</f>
        <v>816327</v>
      </c>
      <c r="E422" s="997" t="str">
        <f>IF('[3]Motor Rutas SKU_Cons'!N426="","s/d","Agua "&amp;TEXT('[3]Motor Rutas SKU_Cons'!N426,"0%")&amp;" · Colas "&amp;TEXT('[3]Motor Rutas SKU_Cons'!O426,"0%")&amp;" · Resto "&amp;TEXT('[3]Motor Rutas SKU_Cons'!P426,"0%"))</f>
        <v>Agua 85% · Colas 8% · Resto 7%</v>
      </c>
      <c r="F422" s="16">
        <f>'[3]Motor Rutas SKU_Cons'!CH426</f>
        <v>0.31167625090289908</v>
      </c>
      <c r="G422" s="16">
        <f>'[3]Motor Rutas SKU_Cons'!CG426</f>
        <v>0.62444022279545464</v>
      </c>
      <c r="H422" s="998">
        <f>'[3]Motor Rutas SKU_Cons'!BX426</f>
        <v>47.14888679946533</v>
      </c>
      <c r="I422" s="998">
        <f>'[3]Motor Rutas SKU_Cons'!BW426</f>
        <v>0</v>
      </c>
    </row>
    <row r="423" spans="1:9">
      <c r="A423" t="str">
        <f>IF('[3]Motor Rutas SKU_Cons'!C427="","",'[3]Motor Rutas SKU_Cons'!C427)</f>
        <v>Occidente</v>
      </c>
      <c r="B423" t="str">
        <f>IF('[3]Motor Rutas SKU_Cons'!D427="","",'[3]Motor Rutas SKU_Cons'!D427)</f>
        <v>Favorita</v>
      </c>
      <c r="C423" t="str">
        <f>IF('[3]Motor Rutas SKU_Cons'!B427="","",'[3]Motor Rutas SKU_Cons'!B427)</f>
        <v>Suc. Santa Maria</v>
      </c>
      <c r="D423">
        <f>'[3]Motor Rutas SKU_Cons'!A427</f>
        <v>809367</v>
      </c>
      <c r="E423" s="997" t="str">
        <f>IF('[3]Motor Rutas SKU_Cons'!N427="","s/d","Agua "&amp;TEXT('[3]Motor Rutas SKU_Cons'!N427,"0%")&amp;" · Colas "&amp;TEXT('[3]Motor Rutas SKU_Cons'!O427,"0%")&amp;" · Resto "&amp;TEXT('[3]Motor Rutas SKU_Cons'!P427,"0%"))</f>
        <v>Agua 85% · Colas 8% · Resto 7%</v>
      </c>
      <c r="F423" s="16">
        <f>'[3]Motor Rutas SKU_Cons'!CH427</f>
        <v>0.14016124399251739</v>
      </c>
      <c r="G423" s="16">
        <f>'[3]Motor Rutas SKU_Cons'!CG427</f>
        <v>0.62245152828409067</v>
      </c>
      <c r="H423" s="998">
        <f>'[3]Motor Rutas SKU_Cons'!BX427</f>
        <v>63.735119313725448</v>
      </c>
      <c r="I423" s="998">
        <f>'[3]Motor Rutas SKU_Cons'!BW427</f>
        <v>0</v>
      </c>
    </row>
    <row r="424" spans="1:9">
      <c r="A424" t="str">
        <f>IF('[3]Motor Rutas SKU_Cons'!C428="","",'[3]Motor Rutas SKU_Cons'!C428)</f>
        <v>Occidente</v>
      </c>
      <c r="B424" t="str">
        <f>IF('[3]Motor Rutas SKU_Cons'!D428="","",'[3]Motor Rutas SKU_Cons'!D428)</f>
        <v>Zapopan</v>
      </c>
      <c r="C424" t="str">
        <f>IF('[3]Motor Rutas SKU_Cons'!B428="","",'[3]Motor Rutas SKU_Cons'!B428)</f>
        <v>Suc. Huentitán</v>
      </c>
      <c r="D424">
        <f>'[3]Motor Rutas SKU_Cons'!A428</f>
        <v>819348</v>
      </c>
      <c r="E424" s="997" t="str">
        <f>IF('[3]Motor Rutas SKU_Cons'!N428="","s/d","Agua "&amp;TEXT('[3]Motor Rutas SKU_Cons'!N428,"0%")&amp;" · Colas "&amp;TEXT('[3]Motor Rutas SKU_Cons'!O428,"0%")&amp;" · Resto "&amp;TEXT('[3]Motor Rutas SKU_Cons'!P428,"0%"))</f>
        <v>Agua 85% · Colas 8% · Resto 7%</v>
      </c>
      <c r="F424" s="16">
        <f>'[3]Motor Rutas SKU_Cons'!CH428</f>
        <v>0.24648312577319276</v>
      </c>
      <c r="G424" s="16">
        <f>'[3]Motor Rutas SKU_Cons'!CG428</f>
        <v>0.62132321331818152</v>
      </c>
      <c r="H424" s="998">
        <f>'[3]Motor Rutas SKU_Cons'!BX428</f>
        <v>53.159396188057094</v>
      </c>
      <c r="I424" s="998">
        <f>'[3]Motor Rutas SKU_Cons'!BW428</f>
        <v>0</v>
      </c>
    </row>
    <row r="425" spans="1:9">
      <c r="A425" t="str">
        <f>IF('[3]Motor Rutas SKU_Cons'!C429="","",'[3]Motor Rutas SKU_Cons'!C429)</f>
        <v>Occidente</v>
      </c>
      <c r="B425" t="str">
        <f>IF('[3]Motor Rutas SKU_Cons'!D429="","",'[3]Motor Rutas SKU_Cons'!D429)</f>
        <v>San Luis</v>
      </c>
      <c r="C425" t="str">
        <f>IF('[3]Motor Rutas SKU_Cons'!B429="","",'[3]Motor Rutas SKU_Cons'!B429)</f>
        <v>Suc. Río Verde</v>
      </c>
      <c r="D425">
        <f>'[3]Motor Rutas SKU_Cons'!A429</f>
        <v>921404</v>
      </c>
      <c r="E425" s="997" t="str">
        <f>IF('[3]Motor Rutas SKU_Cons'!N429="","s/d","Agua "&amp;TEXT('[3]Motor Rutas SKU_Cons'!N429,"0%")&amp;" · Colas "&amp;TEXT('[3]Motor Rutas SKU_Cons'!O429,"0%")&amp;" · Resto "&amp;TEXT('[3]Motor Rutas SKU_Cons'!P429,"0%"))</f>
        <v>Agua 85% · Colas 8% · Resto 7%</v>
      </c>
      <c r="F425" s="16">
        <f>'[3]Motor Rutas SKU_Cons'!CH429</f>
        <v>0.25209392046608098</v>
      </c>
      <c r="G425" s="16">
        <f>'[3]Motor Rutas SKU_Cons'!CG429</f>
        <v>0.61929262094318083</v>
      </c>
      <c r="H425" s="998">
        <f>'[3]Motor Rutas SKU_Cons'!BX429</f>
        <v>52.355912204991071</v>
      </c>
      <c r="I425" s="998">
        <f>'[3]Motor Rutas SKU_Cons'!BW429</f>
        <v>0</v>
      </c>
    </row>
    <row r="426" spans="1:9">
      <c r="A426" t="str">
        <f>IF('[3]Motor Rutas SKU_Cons'!C430="","",'[3]Motor Rutas SKU_Cons'!C430)</f>
        <v>Occidente</v>
      </c>
      <c r="B426" t="str">
        <f>IF('[3]Motor Rutas SKU_Cons'!D430="","",'[3]Motor Rutas SKU_Cons'!D430)</f>
        <v>Favorita</v>
      </c>
      <c r="C426" t="str">
        <f>IF('[3]Motor Rutas SKU_Cons'!B430="","",'[3]Motor Rutas SKU_Cons'!B430)</f>
        <v>Cedi Tonalá</v>
      </c>
      <c r="D426">
        <f>'[3]Motor Rutas SKU_Cons'!A430</f>
        <v>810345</v>
      </c>
      <c r="E426" s="997" t="str">
        <f>IF('[3]Motor Rutas SKU_Cons'!N430="","s/d","Agua "&amp;TEXT('[3]Motor Rutas SKU_Cons'!N430,"0%")&amp;" · Colas "&amp;TEXT('[3]Motor Rutas SKU_Cons'!O430,"0%")&amp;" · Resto "&amp;TEXT('[3]Motor Rutas SKU_Cons'!P430,"0%"))</f>
        <v>Agua 85% · Colas 8% · Resto 7%</v>
      </c>
      <c r="F426" s="16">
        <f>'[3]Motor Rutas SKU_Cons'!CH430</f>
        <v>0.43835433995171719</v>
      </c>
      <c r="G426" s="16">
        <f>'[3]Motor Rutas SKU_Cons'!CG430</f>
        <v>0.6169701223636358</v>
      </c>
      <c r="H426" s="998">
        <f>'[3]Motor Rutas SKU_Cons'!BX430</f>
        <v>33.785731777183415</v>
      </c>
      <c r="I426" s="998">
        <f>'[3]Motor Rutas SKU_Cons'!BW430</f>
        <v>0</v>
      </c>
    </row>
    <row r="427" spans="1:9">
      <c r="A427" t="str">
        <f>IF('[3]Motor Rutas SKU_Cons'!C431="","",'[3]Motor Rutas SKU_Cons'!C431)</f>
        <v>Occidente</v>
      </c>
      <c r="B427" t="str">
        <f>IF('[3]Motor Rutas SKU_Cons'!D431="","",'[3]Motor Rutas SKU_Cons'!D431)</f>
        <v>San Luis</v>
      </c>
      <c r="C427" t="str">
        <f>IF('[3]Motor Rutas SKU_Cons'!B431="","",'[3]Motor Rutas SKU_Cons'!B431)</f>
        <v>Planta San Luis</v>
      </c>
      <c r="D427">
        <f>'[3]Motor Rutas SKU_Cons'!A431</f>
        <v>916433</v>
      </c>
      <c r="E427" s="997" t="str">
        <f>IF('[3]Motor Rutas SKU_Cons'!N431="","s/d","Agua "&amp;TEXT('[3]Motor Rutas SKU_Cons'!N431,"0%")&amp;" · Colas "&amp;TEXT('[3]Motor Rutas SKU_Cons'!O431,"0%")&amp;" · Resto "&amp;TEXT('[3]Motor Rutas SKU_Cons'!P431,"0%"))</f>
        <v>Agua 85% · Colas 8% · Resto 7%</v>
      </c>
      <c r="F427" s="16">
        <f>'[3]Motor Rutas SKU_Cons'!CH431</f>
        <v>0.42312444542028943</v>
      </c>
      <c r="G427" s="16">
        <f>'[3]Motor Rutas SKU_Cons'!CG431</f>
        <v>0.61621806559090953</v>
      </c>
      <c r="H427" s="998">
        <f>'[3]Motor Rutas SKU_Cons'!BX431</f>
        <v>23.8128731926722</v>
      </c>
      <c r="I427" s="998">
        <f>'[3]Motor Rutas SKU_Cons'!BW431</f>
        <v>0</v>
      </c>
    </row>
    <row r="428" spans="1:9">
      <c r="A428" t="str">
        <f>IF('[3]Motor Rutas SKU_Cons'!C432="","",'[3]Motor Rutas SKU_Cons'!C432)</f>
        <v>Noreste</v>
      </c>
      <c r="B428" t="str">
        <f>IF('[3]Motor Rutas SKU_Cons'!D432="","",'[3]Motor Rutas SKU_Cons'!D432)</f>
        <v>Monterrey</v>
      </c>
      <c r="C428" t="str">
        <f>IF('[3]Motor Rutas SKU_Cons'!B432="","",'[3]Motor Rutas SKU_Cons'!B432)</f>
        <v>Sucursal Universidad</v>
      </c>
      <c r="D428">
        <f>'[3]Motor Rutas SKU_Cons'!A432</f>
        <v>703308</v>
      </c>
      <c r="E428" s="997" t="str">
        <f>IF('[3]Motor Rutas SKU_Cons'!N432="","s/d","Agua "&amp;TEXT('[3]Motor Rutas SKU_Cons'!N432,"0%")&amp;" · Colas "&amp;TEXT('[3]Motor Rutas SKU_Cons'!O432,"0%")&amp;" · Resto "&amp;TEXT('[3]Motor Rutas SKU_Cons'!P432,"0%"))</f>
        <v>Agua 80% · Colas 12% · Resto 8%</v>
      </c>
      <c r="F428" s="16">
        <f>'[3]Motor Rutas SKU_Cons'!CH432</f>
        <v>0.66140612023755851</v>
      </c>
      <c r="G428" s="16">
        <f>'[3]Motor Rutas SKU_Cons'!CG432</f>
        <v>0.61553432945454445</v>
      </c>
      <c r="H428" s="998">
        <f>'[3]Motor Rutas SKU_Cons'!BX432</f>
        <v>0</v>
      </c>
      <c r="I428" s="998">
        <f>'[3]Motor Rutas SKU_Cons'!BW432</f>
        <v>0</v>
      </c>
    </row>
    <row r="429" spans="1:9">
      <c r="A429" t="str">
        <f>IF('[3]Motor Rutas SKU_Cons'!C433="","",'[3]Motor Rutas SKU_Cons'!C433)</f>
        <v>Occidente</v>
      </c>
      <c r="B429" t="str">
        <f>IF('[3]Motor Rutas SKU_Cons'!D433="","",'[3]Motor Rutas SKU_Cons'!D433)</f>
        <v>Zapopan</v>
      </c>
      <c r="C429" t="str">
        <f>IF('[3]Motor Rutas SKU_Cons'!B433="","",'[3]Motor Rutas SKU_Cons'!B433)</f>
        <v>Suc. Huentitán</v>
      </c>
      <c r="D429">
        <f>'[3]Motor Rutas SKU_Cons'!A433</f>
        <v>819347</v>
      </c>
      <c r="E429" s="997" t="str">
        <f>IF('[3]Motor Rutas SKU_Cons'!N433="","s/d","Agua "&amp;TEXT('[3]Motor Rutas SKU_Cons'!N433,"0%")&amp;" · Colas "&amp;TEXT('[3]Motor Rutas SKU_Cons'!O433,"0%")&amp;" · Resto "&amp;TEXT('[3]Motor Rutas SKU_Cons'!P433,"0%"))</f>
        <v>Agua 85% · Colas 8% · Resto 7%</v>
      </c>
      <c r="F429" s="16">
        <f>'[3]Motor Rutas SKU_Cons'!CH433</f>
        <v>0.29235476060382681</v>
      </c>
      <c r="G429" s="16">
        <f>'[3]Motor Rutas SKU_Cons'!CG433</f>
        <v>0.61546067601136389</v>
      </c>
      <c r="H429" s="998">
        <f>'[3]Motor Rutas SKU_Cons'!BX433</f>
        <v>47.927345897504473</v>
      </c>
      <c r="I429" s="998">
        <f>'[3]Motor Rutas SKU_Cons'!BW433</f>
        <v>0</v>
      </c>
    </row>
    <row r="430" spans="1:9">
      <c r="A430" t="str">
        <f>IF('[3]Motor Rutas SKU_Cons'!C434="","",'[3]Motor Rutas SKU_Cons'!C434)</f>
        <v>Occidente</v>
      </c>
      <c r="B430" t="str">
        <f>IF('[3]Motor Rutas SKU_Cons'!D434="","",'[3]Motor Rutas SKU_Cons'!D434)</f>
        <v>Zapopan</v>
      </c>
      <c r="C430" t="str">
        <f>IF('[3]Motor Rutas SKU_Cons'!B434="","",'[3]Motor Rutas SKU_Cons'!B434)</f>
        <v>Suc. Autlán</v>
      </c>
      <c r="D430">
        <f>'[3]Motor Rutas SKU_Cons'!A434</f>
        <v>822300</v>
      </c>
      <c r="E430" s="997" t="str">
        <f>IF('[3]Motor Rutas SKU_Cons'!N434="","s/d","Agua "&amp;TEXT('[3]Motor Rutas SKU_Cons'!N434,"0%")&amp;" · Colas "&amp;TEXT('[3]Motor Rutas SKU_Cons'!O434,"0%")&amp;" · Resto "&amp;TEXT('[3]Motor Rutas SKU_Cons'!P434,"0%"))</f>
        <v>Agua 85% · Colas 8% · Resto 7%</v>
      </c>
      <c r="F430" s="16">
        <f>'[3]Motor Rutas SKU_Cons'!CH434</f>
        <v>0.30953660665194821</v>
      </c>
      <c r="G430" s="16">
        <f>'[3]Motor Rutas SKU_Cons'!CG434</f>
        <v>0.61488812198863618</v>
      </c>
      <c r="H430" s="998">
        <f>'[3]Motor Rutas SKU_Cons'!BX434</f>
        <v>46.169706536541767</v>
      </c>
      <c r="I430" s="998">
        <f>'[3]Motor Rutas SKU_Cons'!BW434</f>
        <v>0</v>
      </c>
    </row>
    <row r="431" spans="1:9">
      <c r="A431" t="str">
        <f>IF('[3]Motor Rutas SKU_Cons'!C435="","",'[3]Motor Rutas SKU_Cons'!C435)</f>
        <v>Occidente</v>
      </c>
      <c r="B431" t="str">
        <f>IF('[3]Motor Rutas SKU_Cons'!D435="","",'[3]Motor Rutas SKU_Cons'!D435)</f>
        <v>Aguascalientes</v>
      </c>
      <c r="C431" t="str">
        <f>IF('[3]Motor Rutas SKU_Cons'!B435="","",'[3]Motor Rutas SKU_Cons'!B435)</f>
        <v>Planta Trojes</v>
      </c>
      <c r="D431">
        <f>'[3]Motor Rutas SKU_Cons'!A435</f>
        <v>907401</v>
      </c>
      <c r="E431" s="997" t="str">
        <f>IF('[3]Motor Rutas SKU_Cons'!N435="","s/d","Agua "&amp;TEXT('[3]Motor Rutas SKU_Cons'!N435,"0%")&amp;" · Colas "&amp;TEXT('[3]Motor Rutas SKU_Cons'!O435,"0%")&amp;" · Resto "&amp;TEXT('[3]Motor Rutas SKU_Cons'!P435,"0%"))</f>
        <v>Agua 85% · Colas 8% · Resto 7%</v>
      </c>
      <c r="F431" s="16">
        <f>'[3]Motor Rutas SKU_Cons'!CH435</f>
        <v>0.30999196384421884</v>
      </c>
      <c r="G431" s="16">
        <f>'[3]Motor Rutas SKU_Cons'!CG435</f>
        <v>0.61465128565909044</v>
      </c>
      <c r="H431" s="998">
        <f>'[3]Motor Rutas SKU_Cons'!BX435</f>
        <v>46.095529489304703</v>
      </c>
      <c r="I431" s="998">
        <f>'[3]Motor Rutas SKU_Cons'!BW435</f>
        <v>0</v>
      </c>
    </row>
    <row r="432" spans="1:9">
      <c r="A432" t="str">
        <f>IF('[3]Motor Rutas SKU_Cons'!C436="","",'[3]Motor Rutas SKU_Cons'!C436)</f>
        <v>Noreste</v>
      </c>
      <c r="B432" t="str">
        <f>IF('[3]Motor Rutas SKU_Cons'!D436="","",'[3]Motor Rutas SKU_Cons'!D436)</f>
        <v>Saltillo</v>
      </c>
      <c r="C432" t="str">
        <f>IF('[3]Motor Rutas SKU_Cons'!B436="","",'[3]Motor Rutas SKU_Cons'!B436)</f>
        <v>Planta Agua y Hielo</v>
      </c>
      <c r="D432">
        <f>'[3]Motor Rutas SKU_Cons'!A436</f>
        <v>203322</v>
      </c>
      <c r="E432" s="997" t="str">
        <f>IF('[3]Motor Rutas SKU_Cons'!N436="","s/d","Agua "&amp;TEXT('[3]Motor Rutas SKU_Cons'!N436,"0%")&amp;" · Colas "&amp;TEXT('[3]Motor Rutas SKU_Cons'!O436,"0%")&amp;" · Resto "&amp;TEXT('[3]Motor Rutas SKU_Cons'!P436,"0%"))</f>
        <v>Agua 80% · Colas 12% · Resto 8%</v>
      </c>
      <c r="F432" s="16">
        <f>'[3]Motor Rutas SKU_Cons'!CH436</f>
        <v>0.62753168032224693</v>
      </c>
      <c r="G432" s="16">
        <f>'[3]Motor Rutas SKU_Cons'!CG436</f>
        <v>0.61423651022727355</v>
      </c>
      <c r="H432" s="998">
        <f>'[3]Motor Rutas SKU_Cons'!BX436</f>
        <v>21.934158482155652</v>
      </c>
      <c r="I432" s="998">
        <f>'[3]Motor Rutas SKU_Cons'!BW436</f>
        <v>0</v>
      </c>
    </row>
    <row r="433" spans="1:9">
      <c r="A433" t="str">
        <f>IF('[3]Motor Rutas SKU_Cons'!C437="","",'[3]Motor Rutas SKU_Cons'!C437)</f>
        <v>Occidente</v>
      </c>
      <c r="B433" t="str">
        <f>IF('[3]Motor Rutas SKU_Cons'!D437="","",'[3]Motor Rutas SKU_Cons'!D437)</f>
        <v>Matehuala</v>
      </c>
      <c r="C433" t="str">
        <f>IF('[3]Motor Rutas SKU_Cons'!B437="","",'[3]Motor Rutas SKU_Cons'!B437)</f>
        <v>Planta Matehuala</v>
      </c>
      <c r="D433">
        <f>'[3]Motor Rutas SKU_Cons'!A437</f>
        <v>925301</v>
      </c>
      <c r="E433" s="997" t="str">
        <f>IF('[3]Motor Rutas SKU_Cons'!N437="","s/d","Agua "&amp;TEXT('[3]Motor Rutas SKU_Cons'!N437,"0%")&amp;" · Colas "&amp;TEXT('[3]Motor Rutas SKU_Cons'!O437,"0%")&amp;" · Resto "&amp;TEXT('[3]Motor Rutas SKU_Cons'!P437,"0%"))</f>
        <v>Agua 85% · Colas 8% · Resto 7%</v>
      </c>
      <c r="F433" s="16">
        <f>'[3]Motor Rutas SKU_Cons'!CH437</f>
        <v>0.19548145515505769</v>
      </c>
      <c r="G433" s="16">
        <f>'[3]Motor Rutas SKU_Cons'!CG437</f>
        <v>0.61379427160227285</v>
      </c>
      <c r="H433" s="998">
        <f>'[3]Motor Rutas SKU_Cons'!BX437</f>
        <v>57.227785961675593</v>
      </c>
      <c r="I433" s="998">
        <f>'[3]Motor Rutas SKU_Cons'!BW437</f>
        <v>0</v>
      </c>
    </row>
    <row r="434" spans="1:9">
      <c r="A434" t="str">
        <f>IF('[3]Motor Rutas SKU_Cons'!C438="","",'[3]Motor Rutas SKU_Cons'!C438)</f>
        <v>Occidente</v>
      </c>
      <c r="B434" t="str">
        <f>IF('[3]Motor Rutas SKU_Cons'!D438="","",'[3]Motor Rutas SKU_Cons'!D438)</f>
        <v>Zapopan</v>
      </c>
      <c r="C434" t="str">
        <f>IF('[3]Motor Rutas SKU_Cons'!B438="","",'[3]Motor Rutas SKU_Cons'!B438)</f>
        <v>Suc. Belenes</v>
      </c>
      <c r="D434">
        <f>'[3]Motor Rutas SKU_Cons'!A438</f>
        <v>820370</v>
      </c>
      <c r="E434" s="997" t="str">
        <f>IF('[3]Motor Rutas SKU_Cons'!N438="","s/d","Agua "&amp;TEXT('[3]Motor Rutas SKU_Cons'!N438,"0%")&amp;" · Colas "&amp;TEXT('[3]Motor Rutas SKU_Cons'!O438,"0%")&amp;" · Resto "&amp;TEXT('[3]Motor Rutas SKU_Cons'!P438,"0%"))</f>
        <v>Agua 85% · Colas 8% · Resto 7%</v>
      </c>
      <c r="F434" s="16">
        <f>'[3]Motor Rutas SKU_Cons'!CH438</f>
        <v>0.24862295156860559</v>
      </c>
      <c r="G434" s="16">
        <f>'[3]Motor Rutas SKU_Cons'!CG438</f>
        <v>0.61346048263261332</v>
      </c>
      <c r="H434" s="998">
        <f>'[3]Motor Rutas SKU_Cons'!BX438</f>
        <v>51.970512384135446</v>
      </c>
      <c r="I434" s="998">
        <f>'[3]Motor Rutas SKU_Cons'!BW438</f>
        <v>0</v>
      </c>
    </row>
    <row r="435" spans="1:9">
      <c r="A435" t="str">
        <f>IF('[3]Motor Rutas SKU_Cons'!C439="","",'[3]Motor Rutas SKU_Cons'!C439)</f>
        <v>Occidente</v>
      </c>
      <c r="B435" t="str">
        <f>IF('[3]Motor Rutas SKU_Cons'!D439="","",'[3]Motor Rutas SKU_Cons'!D439)</f>
        <v>Zapopan</v>
      </c>
      <c r="C435" t="str">
        <f>IF('[3]Motor Rutas SKU_Cons'!B439="","",'[3]Motor Rutas SKU_Cons'!B439)</f>
        <v>Suc. Belenes</v>
      </c>
      <c r="D435">
        <f>'[3]Motor Rutas SKU_Cons'!A439</f>
        <v>820361</v>
      </c>
      <c r="E435" s="997" t="str">
        <f>IF('[3]Motor Rutas SKU_Cons'!N439="","s/d","Agua "&amp;TEXT('[3]Motor Rutas SKU_Cons'!N439,"0%")&amp;" · Colas "&amp;TEXT('[3]Motor Rutas SKU_Cons'!O439,"0%")&amp;" · Resto "&amp;TEXT('[3]Motor Rutas SKU_Cons'!P439,"0%"))</f>
        <v>Agua 85% · Colas 8% · Resto 7%</v>
      </c>
      <c r="F435" s="16">
        <f>'[3]Motor Rutas SKU_Cons'!CH439</f>
        <v>0.1436156926529332</v>
      </c>
      <c r="G435" s="16">
        <f>'[3]Motor Rutas SKU_Cons'!CG439</f>
        <v>0.6133049506022723</v>
      </c>
      <c r="H435" s="998">
        <f>'[3]Motor Rutas SKU_Cons'!BX439</f>
        <v>62.257376663101596</v>
      </c>
      <c r="I435" s="998">
        <f>'[3]Motor Rutas SKU_Cons'!BW439</f>
        <v>0</v>
      </c>
    </row>
    <row r="436" spans="1:9">
      <c r="A436" t="str">
        <f>IF('[3]Motor Rutas SKU_Cons'!C440="","",'[3]Motor Rutas SKU_Cons'!C440)</f>
        <v>Occidente</v>
      </c>
      <c r="B436" t="str">
        <f>IF('[3]Motor Rutas SKU_Cons'!D440="","",'[3]Motor Rutas SKU_Cons'!D440)</f>
        <v>Favorita</v>
      </c>
      <c r="C436" t="str">
        <f>IF('[3]Motor Rutas SKU_Cons'!B440="","",'[3]Motor Rutas SKU_Cons'!B440)</f>
        <v>Cedi Tonalá</v>
      </c>
      <c r="D436">
        <f>'[3]Motor Rutas SKU_Cons'!A440</f>
        <v>810338</v>
      </c>
      <c r="E436" s="997" t="str">
        <f>IF('[3]Motor Rutas SKU_Cons'!N440="","s/d","Agua "&amp;TEXT('[3]Motor Rutas SKU_Cons'!N440,"0%")&amp;" · Colas "&amp;TEXT('[3]Motor Rutas SKU_Cons'!O440,"0%")&amp;" · Resto "&amp;TEXT('[3]Motor Rutas SKU_Cons'!P440,"0%"))</f>
        <v>Agua 85% · Colas 8% · Resto 7%</v>
      </c>
      <c r="F436" s="16">
        <f>'[3]Motor Rutas SKU_Cons'!CH440</f>
        <v>0.28902247994089664</v>
      </c>
      <c r="G436" s="16">
        <f>'[3]Motor Rutas SKU_Cons'!CG440</f>
        <v>0.61192567155681798</v>
      </c>
      <c r="H436" s="998">
        <f>'[3]Motor Rutas SKU_Cons'!BX440</f>
        <v>47.814314075757665</v>
      </c>
      <c r="I436" s="998">
        <f>'[3]Motor Rutas SKU_Cons'!BW440</f>
        <v>0</v>
      </c>
    </row>
    <row r="437" spans="1:9">
      <c r="A437" t="str">
        <f>IF('[3]Motor Rutas SKU_Cons'!C441="","",'[3]Motor Rutas SKU_Cons'!C441)</f>
        <v>Norte</v>
      </c>
      <c r="B437" t="str">
        <f>IF('[3]Motor Rutas SKU_Cons'!D441="","",'[3]Motor Rutas SKU_Cons'!D441)</f>
        <v>Juárez</v>
      </c>
      <c r="C437" t="str">
        <f>IF('[3]Motor Rutas SKU_Cons'!B441="","",'[3]Motor Rutas SKU_Cons'!B441)</f>
        <v>Planta Cd. Juárez</v>
      </c>
      <c r="D437">
        <f>'[3]Motor Rutas SKU_Cons'!A441</f>
        <v>301340</v>
      </c>
      <c r="E437" s="997" t="str">
        <f>IF('[3]Motor Rutas SKU_Cons'!N441="","s/d","Agua "&amp;TEXT('[3]Motor Rutas SKU_Cons'!N441,"0%")&amp;" · Colas "&amp;TEXT('[3]Motor Rutas SKU_Cons'!O441,"0%")&amp;" · Resto "&amp;TEXT('[3]Motor Rutas SKU_Cons'!P441,"0%"))</f>
        <v>Agua 85% · Colas 8% · Resto 7%</v>
      </c>
      <c r="F437" s="16">
        <f>'[3]Motor Rutas SKU_Cons'!CH441</f>
        <v>0.42288427038521836</v>
      </c>
      <c r="G437" s="16">
        <f>'[3]Motor Rutas SKU_Cons'!CG441</f>
        <v>0.61173016036363392</v>
      </c>
      <c r="H437" s="998">
        <f>'[3]Motor Rutas SKU_Cons'!BX441</f>
        <v>25.988804501782219</v>
      </c>
      <c r="I437" s="998">
        <f>'[3]Motor Rutas SKU_Cons'!BW441</f>
        <v>0</v>
      </c>
    </row>
    <row r="438" spans="1:9">
      <c r="A438" t="str">
        <f>IF('[3]Motor Rutas SKU_Cons'!C442="","",'[3]Motor Rutas SKU_Cons'!C442)</f>
        <v>Norte</v>
      </c>
      <c r="B438" t="str">
        <f>IF('[3]Motor Rutas SKU_Cons'!D442="","",'[3]Motor Rutas SKU_Cons'!D442)</f>
        <v>Comarca</v>
      </c>
      <c r="C438" t="str">
        <f>IF('[3]Motor Rutas SKU_Cons'!B442="","",'[3]Motor Rutas SKU_Cons'!B442)</f>
        <v>Suc. Santa Rita</v>
      </c>
      <c r="D438">
        <f>'[3]Motor Rutas SKU_Cons'!A442</f>
        <v>220341</v>
      </c>
      <c r="E438" s="997" t="str">
        <f>IF('[3]Motor Rutas SKU_Cons'!N442="","s/d","Agua "&amp;TEXT('[3]Motor Rutas SKU_Cons'!N442,"0%")&amp;" · Colas "&amp;TEXT('[3]Motor Rutas SKU_Cons'!O442,"0%")&amp;" · Resto "&amp;TEXT('[3]Motor Rutas SKU_Cons'!P442,"0%"))</f>
        <v>Agua 85% · Colas 8% · Resto 7%</v>
      </c>
      <c r="F438" s="16">
        <f>'[3]Motor Rutas SKU_Cons'!CH442</f>
        <v>0.32551677755583724</v>
      </c>
      <c r="G438" s="16">
        <f>'[3]Motor Rutas SKU_Cons'!CG442</f>
        <v>0.58931931477272703</v>
      </c>
      <c r="H438" s="998">
        <f>'[3]Motor Rutas SKU_Cons'!BX442</f>
        <v>33.346005566740835</v>
      </c>
      <c r="I438" s="998">
        <f>'[3]Motor Rutas SKU_Cons'!BW442</f>
        <v>0</v>
      </c>
    </row>
    <row r="439" spans="1:9">
      <c r="A439" t="str">
        <f>IF('[3]Motor Rutas SKU_Cons'!C443="","",'[3]Motor Rutas SKU_Cons'!C443)</f>
        <v>Occidente</v>
      </c>
      <c r="B439" t="str">
        <f>IF('[3]Motor Rutas SKU_Cons'!D443="","",'[3]Motor Rutas SKU_Cons'!D443)</f>
        <v>Zapopan</v>
      </c>
      <c r="C439" t="str">
        <f>IF('[3]Motor Rutas SKU_Cons'!B443="","",'[3]Motor Rutas SKU_Cons'!B443)</f>
        <v>Suc. Belenes</v>
      </c>
      <c r="D439">
        <f>'[3]Motor Rutas SKU_Cons'!A443</f>
        <v>820412</v>
      </c>
      <c r="E439" s="997" t="str">
        <f>IF('[3]Motor Rutas SKU_Cons'!N443="","s/d","Agua "&amp;TEXT('[3]Motor Rutas SKU_Cons'!N443,"0%")&amp;" · Colas "&amp;TEXT('[3]Motor Rutas SKU_Cons'!O443,"0%")&amp;" · Resto "&amp;TEXT('[3]Motor Rutas SKU_Cons'!P443,"0%"))</f>
        <v>Agua 85% · Colas 8% · Resto 7%</v>
      </c>
      <c r="F439" s="16">
        <f>'[3]Motor Rutas SKU_Cons'!CH443</f>
        <v>0.17668329454773835</v>
      </c>
      <c r="G439" s="16">
        <f>'[3]Motor Rutas SKU_Cons'!CG443</f>
        <v>0.61092435170454529</v>
      </c>
      <c r="H439" s="998">
        <f>'[3]Motor Rutas SKU_Cons'!BX443</f>
        <v>58.715494792335093</v>
      </c>
      <c r="I439" s="998">
        <f>'[3]Motor Rutas SKU_Cons'!BW443</f>
        <v>0</v>
      </c>
    </row>
    <row r="440" spans="1:9">
      <c r="A440" t="str">
        <f>IF('[3]Motor Rutas SKU_Cons'!C444="","",'[3]Motor Rutas SKU_Cons'!C444)</f>
        <v>Occidente</v>
      </c>
      <c r="B440" t="str">
        <f>IF('[3]Motor Rutas SKU_Cons'!D444="","",'[3]Motor Rutas SKU_Cons'!D444)</f>
        <v>Favorita</v>
      </c>
      <c r="C440" t="str">
        <f>IF('[3]Motor Rutas SKU_Cons'!B444="","",'[3]Motor Rutas SKU_Cons'!B444)</f>
        <v>Suc. San Rafael</v>
      </c>
      <c r="D440">
        <f>'[3]Motor Rutas SKU_Cons'!A444</f>
        <v>803354</v>
      </c>
      <c r="E440" s="997" t="str">
        <f>IF('[3]Motor Rutas SKU_Cons'!N444="","s/d","Agua "&amp;TEXT('[3]Motor Rutas SKU_Cons'!N444,"0%")&amp;" · Colas "&amp;TEXT('[3]Motor Rutas SKU_Cons'!O444,"0%")&amp;" · Resto "&amp;TEXT('[3]Motor Rutas SKU_Cons'!P444,"0%"))</f>
        <v>Agua 85% · Colas 8% · Resto 7%</v>
      </c>
      <c r="F440" s="16">
        <f>'[3]Motor Rutas SKU_Cons'!CH444</f>
        <v>0.3326710171878165</v>
      </c>
      <c r="G440" s="16">
        <f>'[3]Motor Rutas SKU_Cons'!CG444</f>
        <v>0.60899837942045343</v>
      </c>
      <c r="H440" s="998">
        <f>'[3]Motor Rutas SKU_Cons'!BX444</f>
        <v>43.165876953653985</v>
      </c>
      <c r="I440" s="998">
        <f>'[3]Motor Rutas SKU_Cons'!BW444</f>
        <v>0</v>
      </c>
    </row>
    <row r="441" spans="1:9">
      <c r="A441" t="str">
        <f>IF('[3]Motor Rutas SKU_Cons'!C445="","",'[3]Motor Rutas SKU_Cons'!C445)</f>
        <v>Norte</v>
      </c>
      <c r="B441" t="str">
        <f>IF('[3]Motor Rutas SKU_Cons'!D445="","",'[3]Motor Rutas SKU_Cons'!D445)</f>
        <v>Juárez</v>
      </c>
      <c r="C441" t="str">
        <f>IF('[3]Motor Rutas SKU_Cons'!B445="","",'[3]Motor Rutas SKU_Cons'!B445)</f>
        <v>Planta Cd. Juárez</v>
      </c>
      <c r="D441">
        <f>'[3]Motor Rutas SKU_Cons'!A445</f>
        <v>301359</v>
      </c>
      <c r="E441" s="997" t="str">
        <f>IF('[3]Motor Rutas SKU_Cons'!N445="","s/d","Agua "&amp;TEXT('[3]Motor Rutas SKU_Cons'!N445,"0%")&amp;" · Colas "&amp;TEXT('[3]Motor Rutas SKU_Cons'!O445,"0%")&amp;" · Resto "&amp;TEXT('[3]Motor Rutas SKU_Cons'!P445,"0%"))</f>
        <v>Agua 85% · Colas 8% · Resto 7%</v>
      </c>
      <c r="F441" s="16">
        <f>'[3]Motor Rutas SKU_Cons'!CH445</f>
        <v>0.25240520036297753</v>
      </c>
      <c r="G441" s="16">
        <f>'[3]Motor Rutas SKU_Cons'!CG445</f>
        <v>0.43482683211136253</v>
      </c>
      <c r="H441" s="998">
        <f>'[3]Motor Rutas SKU_Cons'!BX445</f>
        <v>38.260355227272541</v>
      </c>
      <c r="I441" s="998">
        <f>'[3]Motor Rutas SKU_Cons'!BW445</f>
        <v>0</v>
      </c>
    </row>
    <row r="442" spans="1:9">
      <c r="A442" t="str">
        <f>IF('[3]Motor Rutas SKU_Cons'!C446="","",'[3]Motor Rutas SKU_Cons'!C446)</f>
        <v>Occidente</v>
      </c>
      <c r="B442" t="str">
        <f>IF('[3]Motor Rutas SKU_Cons'!D446="","",'[3]Motor Rutas SKU_Cons'!D446)</f>
        <v>Zapopan</v>
      </c>
      <c r="C442" t="str">
        <f>IF('[3]Motor Rutas SKU_Cons'!B446="","",'[3]Motor Rutas SKU_Cons'!B446)</f>
        <v>Suc. Huentitán</v>
      </c>
      <c r="D442">
        <f>'[3]Motor Rutas SKU_Cons'!A446</f>
        <v>819343</v>
      </c>
      <c r="E442" s="997" t="str">
        <f>IF('[3]Motor Rutas SKU_Cons'!N446="","s/d","Agua "&amp;TEXT('[3]Motor Rutas SKU_Cons'!N446,"0%")&amp;" · Colas "&amp;TEXT('[3]Motor Rutas SKU_Cons'!O446,"0%")&amp;" · Resto "&amp;TEXT('[3]Motor Rutas SKU_Cons'!P446,"0%"))</f>
        <v>Agua 85% · Colas 8% · Resto 7%</v>
      </c>
      <c r="F442" s="16">
        <f>'[3]Motor Rutas SKU_Cons'!CH446</f>
        <v>0.28969448497370992</v>
      </c>
      <c r="G442" s="16">
        <f>'[3]Motor Rutas SKU_Cons'!CG446</f>
        <v>0.60787830313636382</v>
      </c>
      <c r="H442" s="998">
        <f>'[3]Motor Rutas SKU_Cons'!BX446</f>
        <v>47.244484223707822</v>
      </c>
      <c r="I442" s="998">
        <f>'[3]Motor Rutas SKU_Cons'!BW446</f>
        <v>0</v>
      </c>
    </row>
    <row r="443" spans="1:9">
      <c r="A443" t="str">
        <f>IF('[3]Motor Rutas SKU_Cons'!C447="","",'[3]Motor Rutas SKU_Cons'!C447)</f>
        <v>Occidente</v>
      </c>
      <c r="B443" t="str">
        <f>IF('[3]Motor Rutas SKU_Cons'!D447="","",'[3]Motor Rutas SKU_Cons'!D447)</f>
        <v>Zapopan</v>
      </c>
      <c r="C443" t="str">
        <f>IF('[3]Motor Rutas SKU_Cons'!B447="","",'[3]Motor Rutas SKU_Cons'!B447)</f>
        <v>Planta Zapopan</v>
      </c>
      <c r="D443">
        <f>'[3]Motor Rutas SKU_Cons'!A447</f>
        <v>816360</v>
      </c>
      <c r="E443" s="997" t="str">
        <f>IF('[3]Motor Rutas SKU_Cons'!N447="","s/d","Agua "&amp;TEXT('[3]Motor Rutas SKU_Cons'!N447,"0%")&amp;" · Colas "&amp;TEXT('[3]Motor Rutas SKU_Cons'!O447,"0%")&amp;" · Resto "&amp;TEXT('[3]Motor Rutas SKU_Cons'!P447,"0%"))</f>
        <v>Agua 85% · Colas 8% · Resto 7%</v>
      </c>
      <c r="F443" s="16">
        <f>'[3]Motor Rutas SKU_Cons'!CH447</f>
        <v>0.29413917730498906</v>
      </c>
      <c r="G443" s="16">
        <f>'[3]Motor Rutas SKU_Cons'!CG447</f>
        <v>0.60728701234090876</v>
      </c>
      <c r="H443" s="998">
        <f>'[3]Motor Rutas SKU_Cons'!BX447</f>
        <v>46.7346353333335</v>
      </c>
      <c r="I443" s="998">
        <f>'[3]Motor Rutas SKU_Cons'!BW447</f>
        <v>0</v>
      </c>
    </row>
    <row r="444" spans="1:9">
      <c r="A444" t="str">
        <f>IF('[3]Motor Rutas SKU_Cons'!C448="","",'[3]Motor Rutas SKU_Cons'!C448)</f>
        <v>Noreste</v>
      </c>
      <c r="B444" t="str">
        <f>IF('[3]Motor Rutas SKU_Cons'!D448="","",'[3]Motor Rutas SKU_Cons'!D448)</f>
        <v>Saltillo</v>
      </c>
      <c r="C444" t="str">
        <f>IF('[3]Motor Rutas SKU_Cons'!B448="","",'[3]Motor Rutas SKU_Cons'!B448)</f>
        <v>Planta Agua y Hielo</v>
      </c>
      <c r="D444">
        <f>'[3]Motor Rutas SKU_Cons'!A448</f>
        <v>203313</v>
      </c>
      <c r="E444" s="997" t="str">
        <f>IF('[3]Motor Rutas SKU_Cons'!N448="","s/d","Agua "&amp;TEXT('[3]Motor Rutas SKU_Cons'!N448,"0%")&amp;" · Colas "&amp;TEXT('[3]Motor Rutas SKU_Cons'!O448,"0%")&amp;" · Resto "&amp;TEXT('[3]Motor Rutas SKU_Cons'!P448,"0%"))</f>
        <v>Agua 80% · Colas 12% · Resto 8%</v>
      </c>
      <c r="F444" s="16">
        <f>'[3]Motor Rutas SKU_Cons'!CH448</f>
        <v>0.29646584610573523</v>
      </c>
      <c r="G444" s="16">
        <f>'[3]Motor Rutas SKU_Cons'!CG448</f>
        <v>0.60720812897727261</v>
      </c>
      <c r="H444" s="998">
        <f>'[3]Motor Rutas SKU_Cons'!BX448</f>
        <v>41.430180270034334</v>
      </c>
      <c r="I444" s="998">
        <f>'[3]Motor Rutas SKU_Cons'!BW448</f>
        <v>0</v>
      </c>
    </row>
    <row r="445" spans="1:9">
      <c r="A445" t="str">
        <f>IF('[3]Motor Rutas SKU_Cons'!C449="","",'[3]Motor Rutas SKU_Cons'!C449)</f>
        <v>Noreste</v>
      </c>
      <c r="B445" t="str">
        <f>IF('[3]Motor Rutas SKU_Cons'!D449="","",'[3]Motor Rutas SKU_Cons'!D449)</f>
        <v>Saltillo</v>
      </c>
      <c r="C445" t="str">
        <f>IF('[3]Motor Rutas SKU_Cons'!B449="","",'[3]Motor Rutas SKU_Cons'!B449)</f>
        <v>Planta Agua y Hielo</v>
      </c>
      <c r="D445">
        <f>'[3]Motor Rutas SKU_Cons'!A449</f>
        <v>203325</v>
      </c>
      <c r="E445" s="997" t="str">
        <f>IF('[3]Motor Rutas SKU_Cons'!N449="","s/d","Agua "&amp;TEXT('[3]Motor Rutas SKU_Cons'!N449,"0%")&amp;" · Colas "&amp;TEXT('[3]Motor Rutas SKU_Cons'!O449,"0%")&amp;" · Resto "&amp;TEXT('[3]Motor Rutas SKU_Cons'!P449,"0%"))</f>
        <v>Agua 80% · Colas 12% · Resto 8%</v>
      </c>
      <c r="F445" s="16">
        <f>'[3]Motor Rutas SKU_Cons'!CH449</f>
        <v>0.41846667500533724</v>
      </c>
      <c r="G445" s="16">
        <f>'[3]Motor Rutas SKU_Cons'!CG449</f>
        <v>0.60704242159090882</v>
      </c>
      <c r="H445" s="998">
        <f>'[3]Motor Rutas SKU_Cons'!BX449</f>
        <v>34.245715512458716</v>
      </c>
      <c r="I445" s="998">
        <f>'[3]Motor Rutas SKU_Cons'!BW449</f>
        <v>0</v>
      </c>
    </row>
    <row r="446" spans="1:9">
      <c r="A446" t="str">
        <f>IF('[3]Motor Rutas SKU_Cons'!C450="","",'[3]Motor Rutas SKU_Cons'!C450)</f>
        <v>Occidente</v>
      </c>
      <c r="B446" t="str">
        <f>IF('[3]Motor Rutas SKU_Cons'!D450="","",'[3]Motor Rutas SKU_Cons'!D450)</f>
        <v>Favorita</v>
      </c>
      <c r="C446" t="str">
        <f>IF('[3]Motor Rutas SKU_Cons'!B450="","",'[3]Motor Rutas SKU_Cons'!B450)</f>
        <v>Suc. Santa Maria</v>
      </c>
      <c r="D446">
        <f>'[3]Motor Rutas SKU_Cons'!A450</f>
        <v>809341</v>
      </c>
      <c r="E446" s="997" t="str">
        <f>IF('[3]Motor Rutas SKU_Cons'!N450="","s/d","Agua "&amp;TEXT('[3]Motor Rutas SKU_Cons'!N450,"0%")&amp;" · Colas "&amp;TEXT('[3]Motor Rutas SKU_Cons'!O450,"0%")&amp;" · Resto "&amp;TEXT('[3]Motor Rutas SKU_Cons'!P450,"0%"))</f>
        <v>Agua 85% · Colas 8% · Resto 7%</v>
      </c>
      <c r="F446" s="16">
        <f>'[3]Motor Rutas SKU_Cons'!CH450</f>
        <v>0.26647110175213984</v>
      </c>
      <c r="G446" s="16">
        <f>'[3]Motor Rutas SKU_Cons'!CG450</f>
        <v>0.60583449150000002</v>
      </c>
      <c r="H446" s="998">
        <f>'[3]Motor Rutas SKU_Cons'!BX450</f>
        <v>49.269364458110488</v>
      </c>
      <c r="I446" s="998">
        <f>'[3]Motor Rutas SKU_Cons'!BW450</f>
        <v>0</v>
      </c>
    </row>
    <row r="447" spans="1:9">
      <c r="A447" t="str">
        <f>IF('[3]Motor Rutas SKU_Cons'!C451="","",'[3]Motor Rutas SKU_Cons'!C451)</f>
        <v>Occidente</v>
      </c>
      <c r="B447" t="str">
        <f>IF('[3]Motor Rutas SKU_Cons'!D451="","",'[3]Motor Rutas SKU_Cons'!D451)</f>
        <v>Favorita</v>
      </c>
      <c r="C447" t="str">
        <f>IF('[3]Motor Rutas SKU_Cons'!B451="","",'[3]Motor Rutas SKU_Cons'!B451)</f>
        <v>Suc. San Rafael</v>
      </c>
      <c r="D447">
        <f>'[3]Motor Rutas SKU_Cons'!A451</f>
        <v>803355</v>
      </c>
      <c r="E447" s="997" t="str">
        <f>IF('[3]Motor Rutas SKU_Cons'!N451="","s/d","Agua "&amp;TEXT('[3]Motor Rutas SKU_Cons'!N451,"0%")&amp;" · Colas "&amp;TEXT('[3]Motor Rutas SKU_Cons'!O451,"0%")&amp;" · Resto "&amp;TEXT('[3]Motor Rutas SKU_Cons'!P451,"0%"))</f>
        <v>Agua 85% · Colas 8% · Resto 7%</v>
      </c>
      <c r="F447" s="16">
        <f>'[3]Motor Rutas SKU_Cons'!CH451</f>
        <v>0.43129406280225063</v>
      </c>
      <c r="G447" s="16">
        <f>'[3]Motor Rutas SKU_Cons'!CG451</f>
        <v>0.60580695548863572</v>
      </c>
      <c r="H447" s="998">
        <f>'[3]Motor Rutas SKU_Cons'!BX451</f>
        <v>33.088932155971413</v>
      </c>
      <c r="I447" s="998">
        <f>'[3]Motor Rutas SKU_Cons'!BW451</f>
        <v>0</v>
      </c>
    </row>
    <row r="448" spans="1:9">
      <c r="A448" t="str">
        <f>IF('[3]Motor Rutas SKU_Cons'!C452="","",'[3]Motor Rutas SKU_Cons'!C452)</f>
        <v>Occidente</v>
      </c>
      <c r="B448" t="str">
        <f>IF('[3]Motor Rutas SKU_Cons'!D452="","",'[3]Motor Rutas SKU_Cons'!D452)</f>
        <v>Aguascalientes</v>
      </c>
      <c r="C448" t="str">
        <f>IF('[3]Motor Rutas SKU_Cons'!B452="","",'[3]Motor Rutas SKU_Cons'!B452)</f>
        <v>Planta Trojes</v>
      </c>
      <c r="D448">
        <f>'[3]Motor Rutas SKU_Cons'!A452</f>
        <v>907347</v>
      </c>
      <c r="E448" s="997" t="str">
        <f>IF('[3]Motor Rutas SKU_Cons'!N452="","s/d","Agua "&amp;TEXT('[3]Motor Rutas SKU_Cons'!N452,"0%")&amp;" · Colas "&amp;TEXT('[3]Motor Rutas SKU_Cons'!O452,"0%")&amp;" · Resto "&amp;TEXT('[3]Motor Rutas SKU_Cons'!P452,"0%"))</f>
        <v>Agua 85% · Colas 8% · Resto 7%</v>
      </c>
      <c r="F448" s="16">
        <f>'[3]Motor Rutas SKU_Cons'!CH452</f>
        <v>0.21275810662213912</v>
      </c>
      <c r="G448" s="16">
        <f>'[3]Motor Rutas SKU_Cons'!CG452</f>
        <v>0.60538497218181786</v>
      </c>
      <c r="H448" s="998">
        <f>'[3]Motor Rutas SKU_Cons'!BX452</f>
        <v>54.485211982174675</v>
      </c>
      <c r="I448" s="998">
        <f>'[3]Motor Rutas SKU_Cons'!BW452</f>
        <v>0</v>
      </c>
    </row>
    <row r="449" spans="1:9">
      <c r="A449" t="str">
        <f>IF('[3]Motor Rutas SKU_Cons'!C453="","",'[3]Motor Rutas SKU_Cons'!C453)</f>
        <v>Occidente</v>
      </c>
      <c r="B449" t="str">
        <f>IF('[3]Motor Rutas SKU_Cons'!D453="","",'[3]Motor Rutas SKU_Cons'!D453)</f>
        <v>San Luis</v>
      </c>
      <c r="C449" t="str">
        <f>IF('[3]Motor Rutas SKU_Cons'!B453="","",'[3]Motor Rutas SKU_Cons'!B453)</f>
        <v>Suc. Río Verde</v>
      </c>
      <c r="D449">
        <f>'[3]Motor Rutas SKU_Cons'!A453</f>
        <v>921401</v>
      </c>
      <c r="E449" s="997" t="str">
        <f>IF('[3]Motor Rutas SKU_Cons'!N453="","s/d","Agua "&amp;TEXT('[3]Motor Rutas SKU_Cons'!N453,"0%")&amp;" · Colas "&amp;TEXT('[3]Motor Rutas SKU_Cons'!O453,"0%")&amp;" · Resto "&amp;TEXT('[3]Motor Rutas SKU_Cons'!P453,"0%"))</f>
        <v>Agua 85% · Colas 8% · Resto 7%</v>
      </c>
      <c r="F449" s="16">
        <f>'[3]Motor Rutas SKU_Cons'!CH453</f>
        <v>0.25904169686052447</v>
      </c>
      <c r="G449" s="16">
        <f>'[3]Motor Rutas SKU_Cons'!CG453</f>
        <v>0.60530326189772687</v>
      </c>
      <c r="H449" s="998">
        <f>'[3]Motor Rutas SKU_Cons'!BX453</f>
        <v>49.932408870766494</v>
      </c>
      <c r="I449" s="998">
        <f>'[3]Motor Rutas SKU_Cons'!BW453</f>
        <v>0</v>
      </c>
    </row>
    <row r="450" spans="1:9">
      <c r="A450" t="str">
        <f>IF('[3]Motor Rutas SKU_Cons'!C454="","",'[3]Motor Rutas SKU_Cons'!C454)</f>
        <v>Occidente</v>
      </c>
      <c r="B450" t="str">
        <f>IF('[3]Motor Rutas SKU_Cons'!D454="","",'[3]Motor Rutas SKU_Cons'!D454)</f>
        <v>Zapopan</v>
      </c>
      <c r="C450" t="str">
        <f>IF('[3]Motor Rutas SKU_Cons'!B454="","",'[3]Motor Rutas SKU_Cons'!B454)</f>
        <v>Suc. Belenes</v>
      </c>
      <c r="D450">
        <f>'[3]Motor Rutas SKU_Cons'!A454</f>
        <v>820366</v>
      </c>
      <c r="E450" s="997" t="str">
        <f>IF('[3]Motor Rutas SKU_Cons'!N454="","s/d","Agua "&amp;TEXT('[3]Motor Rutas SKU_Cons'!N454,"0%")&amp;" · Colas "&amp;TEXT('[3]Motor Rutas SKU_Cons'!O454,"0%")&amp;" · Resto "&amp;TEXT('[3]Motor Rutas SKU_Cons'!P454,"0%"))</f>
        <v>Agua 85% · Colas 8% · Resto 7%</v>
      </c>
      <c r="F450" s="16">
        <f>'[3]Motor Rutas SKU_Cons'!CH454</f>
        <v>0.23575236591594065</v>
      </c>
      <c r="G450" s="16">
        <f>'[3]Motor Rutas SKU_Cons'!CG454</f>
        <v>0.60496955484238712</v>
      </c>
      <c r="H450" s="998">
        <f>'[3]Motor Rutas SKU_Cons'!BX454</f>
        <v>52.176659900178464</v>
      </c>
      <c r="I450" s="998">
        <f>'[3]Motor Rutas SKU_Cons'!BW454</f>
        <v>0</v>
      </c>
    </row>
    <row r="451" spans="1:9">
      <c r="A451" t="str">
        <f>IF('[3]Motor Rutas SKU_Cons'!C455="","",'[3]Motor Rutas SKU_Cons'!C455)</f>
        <v>Norte</v>
      </c>
      <c r="B451" t="str">
        <f>IF('[3]Motor Rutas SKU_Cons'!D455="","",'[3]Motor Rutas SKU_Cons'!D455)</f>
        <v>Guadiana</v>
      </c>
      <c r="C451" t="str">
        <f>IF('[3]Motor Rutas SKU_Cons'!B455="","",'[3]Motor Rutas SKU_Cons'!B455)</f>
        <v>Planta Guadiana</v>
      </c>
      <c r="D451">
        <f>'[3]Motor Rutas SKU_Cons'!A455</f>
        <v>931403</v>
      </c>
      <c r="E451" s="997" t="str">
        <f>IF('[3]Motor Rutas SKU_Cons'!N455="","s/d","Agua "&amp;TEXT('[3]Motor Rutas SKU_Cons'!N455,"0%")&amp;" · Colas "&amp;TEXT('[3]Motor Rutas SKU_Cons'!O455,"0%")&amp;" · Resto "&amp;TEXT('[3]Motor Rutas SKU_Cons'!P455,"0%"))</f>
        <v>Agua 85% · Colas 8% · Resto 7%</v>
      </c>
      <c r="F451" s="16">
        <f>'[3]Motor Rutas SKU_Cons'!CH455</f>
        <v>0.24770240270251256</v>
      </c>
      <c r="G451" s="16">
        <f>'[3]Motor Rutas SKU_Cons'!CG455</f>
        <v>0.60468784568181733</v>
      </c>
      <c r="H451" s="998">
        <f>'[3]Motor Rutas SKU_Cons'!BX455</f>
        <v>55.377242348906741</v>
      </c>
      <c r="I451" s="998">
        <f>'[3]Motor Rutas SKU_Cons'!BW455</f>
        <v>0</v>
      </c>
    </row>
    <row r="452" spans="1:9">
      <c r="A452" t="str">
        <f>IF('[3]Motor Rutas SKU_Cons'!C456="","",'[3]Motor Rutas SKU_Cons'!C456)</f>
        <v>Occidente</v>
      </c>
      <c r="B452" t="str">
        <f>IF('[3]Motor Rutas SKU_Cons'!D456="","",'[3]Motor Rutas SKU_Cons'!D456)</f>
        <v>San Luis</v>
      </c>
      <c r="C452" t="str">
        <f>IF('[3]Motor Rutas SKU_Cons'!B456="","",'[3]Motor Rutas SKU_Cons'!B456)</f>
        <v>Planta San Luis</v>
      </c>
      <c r="D452">
        <f>'[3]Motor Rutas SKU_Cons'!A456</f>
        <v>916413</v>
      </c>
      <c r="E452" s="997" t="str">
        <f>IF('[3]Motor Rutas SKU_Cons'!N456="","s/d","Agua "&amp;TEXT('[3]Motor Rutas SKU_Cons'!N456,"0%")&amp;" · Colas "&amp;TEXT('[3]Motor Rutas SKU_Cons'!O456,"0%")&amp;" · Resto "&amp;TEXT('[3]Motor Rutas SKU_Cons'!P456,"0%"))</f>
        <v>Agua 85% · Colas 8% · Resto 7%</v>
      </c>
      <c r="F452" s="16">
        <f>'[3]Motor Rutas SKU_Cons'!CH456</f>
        <v>0.30215508364838711</v>
      </c>
      <c r="G452" s="16">
        <f>'[3]Motor Rutas SKU_Cons'!CG456</f>
        <v>0.60454344968181828</v>
      </c>
      <c r="H452" s="998">
        <f>'[3]Motor Rutas SKU_Cons'!BX456</f>
        <v>45.606334336898357</v>
      </c>
      <c r="I452" s="998">
        <f>'[3]Motor Rutas SKU_Cons'!BW456</f>
        <v>0</v>
      </c>
    </row>
    <row r="453" spans="1:9">
      <c r="A453" t="str">
        <f>IF('[3]Motor Rutas SKU_Cons'!C457="","",'[3]Motor Rutas SKU_Cons'!C457)</f>
        <v>Norte</v>
      </c>
      <c r="B453" t="str">
        <f>IF('[3]Motor Rutas SKU_Cons'!D457="","",'[3]Motor Rutas SKU_Cons'!D457)</f>
        <v>Juárez</v>
      </c>
      <c r="C453" t="str">
        <f>IF('[3]Motor Rutas SKU_Cons'!B457="","",'[3]Motor Rutas SKU_Cons'!B457)</f>
        <v>Planta Cd. Juárez</v>
      </c>
      <c r="D453">
        <f>'[3]Motor Rutas SKU_Cons'!A457</f>
        <v>301355</v>
      </c>
      <c r="E453" s="997" t="str">
        <f>IF('[3]Motor Rutas SKU_Cons'!N457="","s/d","Agua "&amp;TEXT('[3]Motor Rutas SKU_Cons'!N457,"0%")&amp;" · Colas "&amp;TEXT('[3]Motor Rutas SKU_Cons'!O457,"0%")&amp;" · Resto "&amp;TEXT('[3]Motor Rutas SKU_Cons'!P457,"0%"))</f>
        <v>Agua 85% · Colas 8% · Resto 7%</v>
      </c>
      <c r="F453" s="16">
        <f>'[3]Motor Rutas SKU_Cons'!CH457</f>
        <v>0.24387963069421961</v>
      </c>
      <c r="G453" s="16">
        <f>'[3]Motor Rutas SKU_Cons'!CG457</f>
        <v>0.60370412931817952</v>
      </c>
      <c r="H453" s="998">
        <f>'[3]Motor Rutas SKU_Cons'!BX457</f>
        <v>38.416086663992601</v>
      </c>
      <c r="I453" s="998">
        <f>'[3]Motor Rutas SKU_Cons'!BW457</f>
        <v>0</v>
      </c>
    </row>
    <row r="454" spans="1:9">
      <c r="A454" t="str">
        <f>IF('[3]Motor Rutas SKU_Cons'!C458="","",'[3]Motor Rutas SKU_Cons'!C458)</f>
        <v>Norte</v>
      </c>
      <c r="B454" t="str">
        <f>IF('[3]Motor Rutas SKU_Cons'!D458="","",'[3]Motor Rutas SKU_Cons'!D458)</f>
        <v>Juárez</v>
      </c>
      <c r="C454" t="str">
        <f>IF('[3]Motor Rutas SKU_Cons'!B458="","",'[3]Motor Rutas SKU_Cons'!B458)</f>
        <v>Planta Cd. Juárez</v>
      </c>
      <c r="D454">
        <f>'[3]Motor Rutas SKU_Cons'!A458</f>
        <v>301354</v>
      </c>
      <c r="E454" s="997" t="str">
        <f>IF('[3]Motor Rutas SKU_Cons'!N458="","s/d","Agua "&amp;TEXT('[3]Motor Rutas SKU_Cons'!N458,"0%")&amp;" · Colas "&amp;TEXT('[3]Motor Rutas SKU_Cons'!O458,"0%")&amp;" · Resto "&amp;TEXT('[3]Motor Rutas SKU_Cons'!P458,"0%"))</f>
        <v>Agua 85% · Colas 8% · Resto 7%</v>
      </c>
      <c r="F454" s="16">
        <f>'[3]Motor Rutas SKU_Cons'!CH458</f>
        <v>0.34052938431279306</v>
      </c>
      <c r="G454" s="16">
        <f>'[3]Motor Rutas SKU_Cons'!CG458</f>
        <v>0.43121504863636245</v>
      </c>
      <c r="H454" s="998">
        <f>'[3]Motor Rutas SKU_Cons'!BX458</f>
        <v>31.301333304812736</v>
      </c>
      <c r="I454" s="998">
        <f>'[3]Motor Rutas SKU_Cons'!BW458</f>
        <v>0</v>
      </c>
    </row>
    <row r="455" spans="1:9">
      <c r="A455" t="str">
        <f>IF('[3]Motor Rutas SKU_Cons'!C459="","",'[3]Motor Rutas SKU_Cons'!C459)</f>
        <v>Occidente</v>
      </c>
      <c r="B455" t="str">
        <f>IF('[3]Motor Rutas SKU_Cons'!D459="","",'[3]Motor Rutas SKU_Cons'!D459)</f>
        <v>Zapopan</v>
      </c>
      <c r="C455" t="str">
        <f>IF('[3]Motor Rutas SKU_Cons'!B459="","",'[3]Motor Rutas SKU_Cons'!B459)</f>
        <v>Planta Zapopan</v>
      </c>
      <c r="D455">
        <f>'[3]Motor Rutas SKU_Cons'!A459</f>
        <v>816376</v>
      </c>
      <c r="E455" s="997" t="str">
        <f>IF('[3]Motor Rutas SKU_Cons'!N459="","s/d","Agua "&amp;TEXT('[3]Motor Rutas SKU_Cons'!N459,"0%")&amp;" · Colas "&amp;TEXT('[3]Motor Rutas SKU_Cons'!O459,"0%")&amp;" · Resto "&amp;TEXT('[3]Motor Rutas SKU_Cons'!P459,"0%"))</f>
        <v>Agua 85% · Colas 8% · Resto 7%</v>
      </c>
      <c r="F455" s="16">
        <f>'[3]Motor Rutas SKU_Cons'!CH459</f>
        <v>0.18887185672304269</v>
      </c>
      <c r="G455" s="16">
        <f>'[3]Motor Rutas SKU_Cons'!CG459</f>
        <v>0.60282416393181804</v>
      </c>
      <c r="H455" s="998">
        <f>'[3]Motor Rutas SKU_Cons'!BX459</f>
        <v>56.510787993761255</v>
      </c>
      <c r="I455" s="998">
        <f>'[3]Motor Rutas SKU_Cons'!BW459</f>
        <v>0</v>
      </c>
    </row>
    <row r="456" spans="1:9">
      <c r="A456" t="str">
        <f>IF('[3]Motor Rutas SKU_Cons'!C460="","",'[3]Motor Rutas SKU_Cons'!C460)</f>
        <v>Occidente</v>
      </c>
      <c r="B456" t="str">
        <f>IF('[3]Motor Rutas SKU_Cons'!D460="","",'[3]Motor Rutas SKU_Cons'!D460)</f>
        <v>Los Altos</v>
      </c>
      <c r="C456" t="str">
        <f>IF('[3]Motor Rutas SKU_Cons'!B460="","",'[3]Motor Rutas SKU_Cons'!B460)</f>
        <v>Planta Los Altos</v>
      </c>
      <c r="D456">
        <f>'[3]Motor Rutas SKU_Cons'!A460</f>
        <v>831403</v>
      </c>
      <c r="E456" s="997" t="str">
        <f>IF('[3]Motor Rutas SKU_Cons'!N460="","s/d","Agua "&amp;TEXT('[3]Motor Rutas SKU_Cons'!N460,"0%")&amp;" · Colas "&amp;TEXT('[3]Motor Rutas SKU_Cons'!O460,"0%")&amp;" · Resto "&amp;TEXT('[3]Motor Rutas SKU_Cons'!P460,"0%"))</f>
        <v>Agua 85% · Colas 8% · Resto 7%</v>
      </c>
      <c r="F456" s="16">
        <f>'[3]Motor Rutas SKU_Cons'!CH460</f>
        <v>0.26509650098197285</v>
      </c>
      <c r="G456" s="16">
        <f>'[3]Motor Rutas SKU_Cons'!CG460</f>
        <v>0.60027380652272622</v>
      </c>
      <c r="H456" s="998">
        <f>'[3]Motor Rutas SKU_Cons'!BX460</f>
        <v>48.712005180926795</v>
      </c>
      <c r="I456" s="998">
        <f>'[3]Motor Rutas SKU_Cons'!BW460</f>
        <v>0</v>
      </c>
    </row>
    <row r="457" spans="1:9">
      <c r="A457" t="str">
        <f>IF('[3]Motor Rutas SKU_Cons'!C461="","",'[3]Motor Rutas SKU_Cons'!C461)</f>
        <v>Norte</v>
      </c>
      <c r="B457" t="str">
        <f>IF('[3]Motor Rutas SKU_Cons'!D461="","",'[3]Motor Rutas SKU_Cons'!D461)</f>
        <v>Guadiana</v>
      </c>
      <c r="C457" t="str">
        <f>IF('[3]Motor Rutas SKU_Cons'!B461="","",'[3]Motor Rutas SKU_Cons'!B461)</f>
        <v>Planta Guadiana</v>
      </c>
      <c r="D457">
        <f>'[3]Motor Rutas SKU_Cons'!A461</f>
        <v>931432</v>
      </c>
      <c r="E457" s="997" t="str">
        <f>IF('[3]Motor Rutas SKU_Cons'!N461="","s/d","Agua "&amp;TEXT('[3]Motor Rutas SKU_Cons'!N461,"0%")&amp;" · Colas "&amp;TEXT('[3]Motor Rutas SKU_Cons'!O461,"0%")&amp;" · Resto "&amp;TEXT('[3]Motor Rutas SKU_Cons'!P461,"0%"))</f>
        <v>Agua 85% · Colas 8% · Resto 7%</v>
      </c>
      <c r="F457" s="16">
        <f>'[3]Motor Rutas SKU_Cons'!CH461</f>
        <v>0.30144295049755454</v>
      </c>
      <c r="G457" s="16">
        <f>'[3]Motor Rutas SKU_Cons'!CG461</f>
        <v>0.5987783112750007</v>
      </c>
      <c r="H457" s="998">
        <f>'[3]Motor Rutas SKU_Cons'!BX461</f>
        <v>51.421356606482632</v>
      </c>
      <c r="I457" s="998">
        <f>'[3]Motor Rutas SKU_Cons'!BW461</f>
        <v>0</v>
      </c>
    </row>
    <row r="458" spans="1:9">
      <c r="A458" t="str">
        <f>IF('[3]Motor Rutas SKU_Cons'!C462="","",'[3]Motor Rutas SKU_Cons'!C462)</f>
        <v>Occidente</v>
      </c>
      <c r="B458" t="str">
        <f>IF('[3]Motor Rutas SKU_Cons'!D462="","",'[3]Motor Rutas SKU_Cons'!D462)</f>
        <v>Aguascalientes</v>
      </c>
      <c r="C458" t="str">
        <f>IF('[3]Motor Rutas SKU_Cons'!B462="","",'[3]Motor Rutas SKU_Cons'!B462)</f>
        <v>Planta Trojes</v>
      </c>
      <c r="D458">
        <f>'[3]Motor Rutas SKU_Cons'!A462</f>
        <v>907343</v>
      </c>
      <c r="E458" s="997" t="str">
        <f>IF('[3]Motor Rutas SKU_Cons'!N462="","s/d","Agua "&amp;TEXT('[3]Motor Rutas SKU_Cons'!N462,"0%")&amp;" · Colas "&amp;TEXT('[3]Motor Rutas SKU_Cons'!O462,"0%")&amp;" · Resto "&amp;TEXT('[3]Motor Rutas SKU_Cons'!P462,"0%"))</f>
        <v>Agua 85% · Colas 8% · Resto 7%</v>
      </c>
      <c r="F458" s="16">
        <f>'[3]Motor Rutas SKU_Cons'!CH462</f>
        <v>0.22006683400245328</v>
      </c>
      <c r="G458" s="16">
        <f>'[3]Motor Rutas SKU_Cons'!CG462</f>
        <v>0.59846317148863593</v>
      </c>
      <c r="H458" s="998">
        <f>'[3]Motor Rutas SKU_Cons'!BX462</f>
        <v>52.906152438502659</v>
      </c>
      <c r="I458" s="998">
        <f>'[3]Motor Rutas SKU_Cons'!BW462</f>
        <v>0</v>
      </c>
    </row>
    <row r="459" spans="1:9">
      <c r="A459" t="str">
        <f>IF('[3]Motor Rutas SKU_Cons'!C463="","",'[3]Motor Rutas SKU_Cons'!C463)</f>
        <v>Occidente</v>
      </c>
      <c r="B459" t="str">
        <f>IF('[3]Motor Rutas SKU_Cons'!D463="","",'[3]Motor Rutas SKU_Cons'!D463)</f>
        <v>Favorita</v>
      </c>
      <c r="C459" t="str">
        <f>IF('[3]Motor Rutas SKU_Cons'!B463="","",'[3]Motor Rutas SKU_Cons'!B463)</f>
        <v>Cedi Tonalá</v>
      </c>
      <c r="D459">
        <f>'[3]Motor Rutas SKU_Cons'!A463</f>
        <v>810339</v>
      </c>
      <c r="E459" s="997" t="str">
        <f>IF('[3]Motor Rutas SKU_Cons'!N463="","s/d","Agua "&amp;TEXT('[3]Motor Rutas SKU_Cons'!N463,"0%")&amp;" · Colas "&amp;TEXT('[3]Motor Rutas SKU_Cons'!O463,"0%")&amp;" · Resto "&amp;TEXT('[3]Motor Rutas SKU_Cons'!P463,"0%"))</f>
        <v>Agua 85% · Colas 8% · Resto 7%</v>
      </c>
      <c r="F459" s="16">
        <f>'[3]Motor Rutas SKU_Cons'!CH463</f>
        <v>0.27610669697343693</v>
      </c>
      <c r="G459" s="16">
        <f>'[3]Motor Rutas SKU_Cons'!CG463</f>
        <v>0.59844911543852997</v>
      </c>
      <c r="H459" s="998">
        <f>'[3]Motor Rutas SKU_Cons'!BX463</f>
        <v>43.377001045454492</v>
      </c>
      <c r="I459" s="998">
        <f>'[3]Motor Rutas SKU_Cons'!BW463</f>
        <v>0</v>
      </c>
    </row>
    <row r="460" spans="1:9">
      <c r="A460" t="str">
        <f>IF('[3]Motor Rutas SKU_Cons'!C464="","",'[3]Motor Rutas SKU_Cons'!C464)</f>
        <v>Occidente</v>
      </c>
      <c r="B460" t="str">
        <f>IF('[3]Motor Rutas SKU_Cons'!D464="","",'[3]Motor Rutas SKU_Cons'!D464)</f>
        <v>San Luis</v>
      </c>
      <c r="C460" t="str">
        <f>IF('[3]Motor Rutas SKU_Cons'!B464="","",'[3]Motor Rutas SKU_Cons'!B464)</f>
        <v>Planta San Luis</v>
      </c>
      <c r="D460">
        <f>'[3]Motor Rutas SKU_Cons'!A464</f>
        <v>916346</v>
      </c>
      <c r="E460" s="997" t="str">
        <f>IF('[3]Motor Rutas SKU_Cons'!N464="","s/d","Agua "&amp;TEXT('[3]Motor Rutas SKU_Cons'!N464,"0%")&amp;" · Colas "&amp;TEXT('[3]Motor Rutas SKU_Cons'!O464,"0%")&amp;" · Resto "&amp;TEXT('[3]Motor Rutas SKU_Cons'!P464,"0%"))</f>
        <v>Agua 85% · Colas 8% · Resto 7%</v>
      </c>
      <c r="F460" s="16">
        <f>'[3]Motor Rutas SKU_Cons'!CH464</f>
        <v>0.30579998417922083</v>
      </c>
      <c r="G460" s="16">
        <f>'[3]Motor Rutas SKU_Cons'!CG464</f>
        <v>0.59841323253409073</v>
      </c>
      <c r="H460" s="998">
        <f>'[3]Motor Rutas SKU_Cons'!BX464</f>
        <v>44.485418780748653</v>
      </c>
      <c r="I460" s="998">
        <f>'[3]Motor Rutas SKU_Cons'!BW464</f>
        <v>0</v>
      </c>
    </row>
    <row r="461" spans="1:9">
      <c r="A461" t="str">
        <f>IF('[3]Motor Rutas SKU_Cons'!C465="","",'[3]Motor Rutas SKU_Cons'!C465)</f>
        <v>Occidente</v>
      </c>
      <c r="B461" t="str">
        <f>IF('[3]Motor Rutas SKU_Cons'!D465="","",'[3]Motor Rutas SKU_Cons'!D465)</f>
        <v>Zapopan</v>
      </c>
      <c r="C461" t="str">
        <f>IF('[3]Motor Rutas SKU_Cons'!B465="","",'[3]Motor Rutas SKU_Cons'!B465)</f>
        <v>Suc. Belenes</v>
      </c>
      <c r="D461">
        <f>'[3]Motor Rutas SKU_Cons'!A465</f>
        <v>820430</v>
      </c>
      <c r="E461" s="997" t="str">
        <f>IF('[3]Motor Rutas SKU_Cons'!N465="","s/d","Agua "&amp;TEXT('[3]Motor Rutas SKU_Cons'!N465,"0%")&amp;" · Colas "&amp;TEXT('[3]Motor Rutas SKU_Cons'!O465,"0%")&amp;" · Resto "&amp;TEXT('[3]Motor Rutas SKU_Cons'!P465,"0%"))</f>
        <v>Agua 85% · Colas 8% · Resto 7%</v>
      </c>
      <c r="F461" s="16">
        <f>'[3]Motor Rutas SKU_Cons'!CH465</f>
        <v>0.22251908793259023</v>
      </c>
      <c r="G461" s="16">
        <f>'[3]Motor Rutas SKU_Cons'!CG465</f>
        <v>0.59814657930681836</v>
      </c>
      <c r="H461" s="998">
        <f>'[3]Motor Rutas SKU_Cons'!BX465</f>
        <v>52.626055307486787</v>
      </c>
      <c r="I461" s="998">
        <f>'[3]Motor Rutas SKU_Cons'!BW465</f>
        <v>0</v>
      </c>
    </row>
    <row r="462" spans="1:9">
      <c r="A462" t="str">
        <f>IF('[3]Motor Rutas SKU_Cons'!C466="","",'[3]Motor Rutas SKU_Cons'!C466)</f>
        <v>Occidente</v>
      </c>
      <c r="B462" t="str">
        <f>IF('[3]Motor Rutas SKU_Cons'!D466="","",'[3]Motor Rutas SKU_Cons'!D466)</f>
        <v>Zapopan</v>
      </c>
      <c r="C462" t="str">
        <f>IF('[3]Motor Rutas SKU_Cons'!B466="","",'[3]Motor Rutas SKU_Cons'!B466)</f>
        <v>Suc. Belenes</v>
      </c>
      <c r="D462">
        <f>'[3]Motor Rutas SKU_Cons'!A466</f>
        <v>820365</v>
      </c>
      <c r="E462" s="997" t="str">
        <f>IF('[3]Motor Rutas SKU_Cons'!N466="","s/d","Agua "&amp;TEXT('[3]Motor Rutas SKU_Cons'!N466,"0%")&amp;" · Colas "&amp;TEXT('[3]Motor Rutas SKU_Cons'!O466,"0%")&amp;" · Resto "&amp;TEXT('[3]Motor Rutas SKU_Cons'!P466,"0%"))</f>
        <v>Agua 85% · Colas 8% · Resto 7%</v>
      </c>
      <c r="F462" s="16">
        <f>'[3]Motor Rutas SKU_Cons'!CH466</f>
        <v>0.29505149486913362</v>
      </c>
      <c r="G462" s="16">
        <f>'[3]Motor Rutas SKU_Cons'!CG466</f>
        <v>0.59754279732954529</v>
      </c>
      <c r="H462" s="998">
        <f>'[3]Motor Rutas SKU_Cons'!BX466</f>
        <v>45.431994745989371</v>
      </c>
      <c r="I462" s="998">
        <f>'[3]Motor Rutas SKU_Cons'!BW466</f>
        <v>0</v>
      </c>
    </row>
    <row r="463" spans="1:9">
      <c r="A463" t="str">
        <f>IF('[3]Motor Rutas SKU_Cons'!C467="","",'[3]Motor Rutas SKU_Cons'!C467)</f>
        <v>Occidente</v>
      </c>
      <c r="B463" t="str">
        <f>IF('[3]Motor Rutas SKU_Cons'!D467="","",'[3]Motor Rutas SKU_Cons'!D467)</f>
        <v>Aguascalientes</v>
      </c>
      <c r="C463" t="str">
        <f>IF('[3]Motor Rutas SKU_Cons'!B467="","",'[3]Motor Rutas SKU_Cons'!B467)</f>
        <v>Planta Aguascalientes</v>
      </c>
      <c r="D463">
        <f>'[3]Motor Rutas SKU_Cons'!A467</f>
        <v>901407</v>
      </c>
      <c r="E463" s="997" t="str">
        <f>IF('[3]Motor Rutas SKU_Cons'!N467="","s/d","Agua "&amp;TEXT('[3]Motor Rutas SKU_Cons'!N467,"0%")&amp;" · Colas "&amp;TEXT('[3]Motor Rutas SKU_Cons'!O467,"0%")&amp;" · Resto "&amp;TEXT('[3]Motor Rutas SKU_Cons'!P467,"0%"))</f>
        <v>Agua 85% · Colas 8% · Resto 7%</v>
      </c>
      <c r="F463" s="16">
        <f>'[3]Motor Rutas SKU_Cons'!CH467</f>
        <v>0.16140808522248845</v>
      </c>
      <c r="G463" s="16">
        <f>'[3]Motor Rutas SKU_Cons'!CG467</f>
        <v>0.59689068934090872</v>
      </c>
      <c r="H463" s="998">
        <f>'[3]Motor Rutas SKU_Cons'!BX467</f>
        <v>58.467612192513428</v>
      </c>
      <c r="I463" s="998">
        <f>'[3]Motor Rutas SKU_Cons'!BW467</f>
        <v>0</v>
      </c>
    </row>
    <row r="464" spans="1:9">
      <c r="A464" t="str">
        <f>IF('[3]Motor Rutas SKU_Cons'!C468="","",'[3]Motor Rutas SKU_Cons'!C468)</f>
        <v>Occidente</v>
      </c>
      <c r="B464" t="str">
        <f>IF('[3]Motor Rutas SKU_Cons'!D468="","",'[3]Motor Rutas SKU_Cons'!D468)</f>
        <v>Favorita</v>
      </c>
      <c r="C464" t="str">
        <f>IF('[3]Motor Rutas SKU_Cons'!B468="","",'[3]Motor Rutas SKU_Cons'!B468)</f>
        <v>Suc. Santa Maria</v>
      </c>
      <c r="D464">
        <f>'[3]Motor Rutas SKU_Cons'!A468</f>
        <v>809324</v>
      </c>
      <c r="E464" s="997" t="str">
        <f>IF('[3]Motor Rutas SKU_Cons'!N468="","s/d","Agua "&amp;TEXT('[3]Motor Rutas SKU_Cons'!N468,"0%")&amp;" · Colas "&amp;TEXT('[3]Motor Rutas SKU_Cons'!O468,"0%")&amp;" · Resto "&amp;TEXT('[3]Motor Rutas SKU_Cons'!P468,"0%"))</f>
        <v>Agua 85% · Colas 8% · Resto 7%</v>
      </c>
      <c r="F464" s="16">
        <f>'[3]Motor Rutas SKU_Cons'!CH468</f>
        <v>0.3747516789013049</v>
      </c>
      <c r="G464" s="16">
        <f>'[3]Motor Rutas SKU_Cons'!CG468</f>
        <v>0.59561769487499971</v>
      </c>
      <c r="H464" s="998">
        <f>'[3]Motor Rutas SKU_Cons'!BX468</f>
        <v>37.369936135472351</v>
      </c>
      <c r="I464" s="998">
        <f>'[3]Motor Rutas SKU_Cons'!BW468</f>
        <v>0</v>
      </c>
    </row>
    <row r="465" spans="1:9">
      <c r="A465" t="str">
        <f>IF('[3]Motor Rutas SKU_Cons'!C469="","",'[3]Motor Rutas SKU_Cons'!C469)</f>
        <v>Occidente</v>
      </c>
      <c r="B465" t="str">
        <f>IF('[3]Motor Rutas SKU_Cons'!D469="","",'[3]Motor Rutas SKU_Cons'!D469)</f>
        <v>Favorita</v>
      </c>
      <c r="C465" t="str">
        <f>IF('[3]Motor Rutas SKU_Cons'!B469="","",'[3]Motor Rutas SKU_Cons'!B469)</f>
        <v>Cedi Tonalá</v>
      </c>
      <c r="D465">
        <f>'[3]Motor Rutas SKU_Cons'!A469</f>
        <v>810353</v>
      </c>
      <c r="E465" s="997" t="str">
        <f>IF('[3]Motor Rutas SKU_Cons'!N469="","s/d","Agua "&amp;TEXT('[3]Motor Rutas SKU_Cons'!N469,"0%")&amp;" · Colas "&amp;TEXT('[3]Motor Rutas SKU_Cons'!O469,"0%")&amp;" · Resto "&amp;TEXT('[3]Motor Rutas SKU_Cons'!P469,"0%"))</f>
        <v>Agua 85% · Colas 8% · Resto 7%</v>
      </c>
      <c r="F465" s="16">
        <f>'[3]Motor Rutas SKU_Cons'!CH469</f>
        <v>0.30536886394415702</v>
      </c>
      <c r="G465" s="16">
        <f>'[3]Motor Rutas SKU_Cons'!CG469</f>
        <v>0.5940186238636358</v>
      </c>
      <c r="H465" s="998">
        <f>'[3]Motor Rutas SKU_Cons'!BX469</f>
        <v>43.980628789661338</v>
      </c>
      <c r="I465" s="998">
        <f>'[3]Motor Rutas SKU_Cons'!BW469</f>
        <v>0</v>
      </c>
    </row>
    <row r="466" spans="1:9">
      <c r="A466" t="str">
        <f>IF('[3]Motor Rutas SKU_Cons'!C470="","",'[3]Motor Rutas SKU_Cons'!C470)</f>
        <v>Occidente</v>
      </c>
      <c r="B466" t="str">
        <f>IF('[3]Motor Rutas SKU_Cons'!D470="","",'[3]Motor Rutas SKU_Cons'!D470)</f>
        <v>Aguascalientes</v>
      </c>
      <c r="C466" t="str">
        <f>IF('[3]Motor Rutas SKU_Cons'!B470="","",'[3]Motor Rutas SKU_Cons'!B470)</f>
        <v>Planta Aguascalientes</v>
      </c>
      <c r="D466">
        <f>'[3]Motor Rutas SKU_Cons'!A470</f>
        <v>901409</v>
      </c>
      <c r="E466" s="997" t="str">
        <f>IF('[3]Motor Rutas SKU_Cons'!N470="","s/d","Agua "&amp;TEXT('[3]Motor Rutas SKU_Cons'!N470,"0%")&amp;" · Colas "&amp;TEXT('[3]Motor Rutas SKU_Cons'!O470,"0%")&amp;" · Resto "&amp;TEXT('[3]Motor Rutas SKU_Cons'!P470,"0%"))</f>
        <v>Agua 85% · Colas 8% · Resto 7%</v>
      </c>
      <c r="F466" s="16">
        <f>'[3]Motor Rutas SKU_Cons'!CH470</f>
        <v>0.17655752252223197</v>
      </c>
      <c r="G466" s="16">
        <f>'[3]Motor Rutas SKU_Cons'!CG470</f>
        <v>0.59390245114772733</v>
      </c>
      <c r="H466" s="998">
        <f>'[3]Motor Rutas SKU_Cons'!BX470</f>
        <v>56.608710425133722</v>
      </c>
      <c r="I466" s="998">
        <f>'[3]Motor Rutas SKU_Cons'!BW470</f>
        <v>0</v>
      </c>
    </row>
    <row r="467" spans="1:9">
      <c r="A467" t="str">
        <f>IF('[3]Motor Rutas SKU_Cons'!C471="","",'[3]Motor Rutas SKU_Cons'!C471)</f>
        <v>Norte</v>
      </c>
      <c r="B467" t="str">
        <f>IF('[3]Motor Rutas SKU_Cons'!D471="","",'[3]Motor Rutas SKU_Cons'!D471)</f>
        <v>Guadiana</v>
      </c>
      <c r="C467" t="str">
        <f>IF('[3]Motor Rutas SKU_Cons'!B471="","",'[3]Motor Rutas SKU_Cons'!B471)</f>
        <v>Planta Guadiana</v>
      </c>
      <c r="D467">
        <f>'[3]Motor Rutas SKU_Cons'!A471</f>
        <v>931410</v>
      </c>
      <c r="E467" s="997" t="str">
        <f>IF('[3]Motor Rutas SKU_Cons'!N471="","s/d","Agua "&amp;TEXT('[3]Motor Rutas SKU_Cons'!N471,"0%")&amp;" · Colas "&amp;TEXT('[3]Motor Rutas SKU_Cons'!O471,"0%")&amp;" · Resto "&amp;TEXT('[3]Motor Rutas SKU_Cons'!P471,"0%"))</f>
        <v>Agua 85% · Colas 8% · Resto 7%</v>
      </c>
      <c r="F467" s="16">
        <f>'[3]Motor Rutas SKU_Cons'!CH471</f>
        <v>0.47905417821169216</v>
      </c>
      <c r="G467" s="16">
        <f>'[3]Motor Rutas SKU_Cons'!CG471</f>
        <v>0.59347122749999892</v>
      </c>
      <c r="H467" s="998">
        <f>'[3]Motor Rutas SKU_Cons'!BX471</f>
        <v>38.34724865193698</v>
      </c>
      <c r="I467" s="998">
        <f>'[3]Motor Rutas SKU_Cons'!BW471</f>
        <v>0</v>
      </c>
    </row>
    <row r="468" spans="1:9">
      <c r="A468" t="str">
        <f>IF('[3]Motor Rutas SKU_Cons'!C472="","",'[3]Motor Rutas SKU_Cons'!C472)</f>
        <v>Noreste</v>
      </c>
      <c r="B468" t="str">
        <f>IF('[3]Motor Rutas SKU_Cons'!D472="","",'[3]Motor Rutas SKU_Cons'!D472)</f>
        <v>Monterrey</v>
      </c>
      <c r="C468" t="str">
        <f>IF('[3]Motor Rutas SKU_Cons'!B472="","",'[3]Motor Rutas SKU_Cons'!B472)</f>
        <v>Sucursal Universidad</v>
      </c>
      <c r="D468">
        <f>'[3]Motor Rutas SKU_Cons'!A472</f>
        <v>703309</v>
      </c>
      <c r="E468" s="997" t="str">
        <f>IF('[3]Motor Rutas SKU_Cons'!N472="","s/d","Agua "&amp;TEXT('[3]Motor Rutas SKU_Cons'!N472,"0%")&amp;" · Colas "&amp;TEXT('[3]Motor Rutas SKU_Cons'!O472,"0%")&amp;" · Resto "&amp;TEXT('[3]Motor Rutas SKU_Cons'!P472,"0%"))</f>
        <v>Agua 80% · Colas 12% · Resto 8%</v>
      </c>
      <c r="F468" s="16">
        <f>'[3]Motor Rutas SKU_Cons'!CH472</f>
        <v>0.20615760373220976</v>
      </c>
      <c r="G468" s="16">
        <f>'[3]Motor Rutas SKU_Cons'!CG472</f>
        <v>0.59252492536363577</v>
      </c>
      <c r="H468" s="998">
        <f>'[3]Motor Rutas SKU_Cons'!BX472</f>
        <v>0</v>
      </c>
      <c r="I468" s="998">
        <f>'[3]Motor Rutas SKU_Cons'!BW472</f>
        <v>0</v>
      </c>
    </row>
    <row r="469" spans="1:9">
      <c r="A469" t="str">
        <f>IF('[3]Motor Rutas SKU_Cons'!C473="","",'[3]Motor Rutas SKU_Cons'!C473)</f>
        <v>Occidente</v>
      </c>
      <c r="B469" t="str">
        <f>IF('[3]Motor Rutas SKU_Cons'!D473="","",'[3]Motor Rutas SKU_Cons'!D473)</f>
        <v>Aguascalientes</v>
      </c>
      <c r="C469" t="str">
        <f>IF('[3]Motor Rutas SKU_Cons'!B473="","",'[3]Motor Rutas SKU_Cons'!B473)</f>
        <v>Planta Aguascalientes</v>
      </c>
      <c r="D469">
        <f>'[3]Motor Rutas SKU_Cons'!A473</f>
        <v>901417</v>
      </c>
      <c r="E469" s="997" t="str">
        <f>IF('[3]Motor Rutas SKU_Cons'!N473="","s/d","Agua "&amp;TEXT('[3]Motor Rutas SKU_Cons'!N473,"0%")&amp;" · Colas "&amp;TEXT('[3]Motor Rutas SKU_Cons'!O473,"0%")&amp;" · Resto "&amp;TEXT('[3]Motor Rutas SKU_Cons'!P473,"0%"))</f>
        <v>Agua 85% · Colas 8% · Resto 7%</v>
      </c>
      <c r="F469" s="16">
        <f>'[3]Motor Rutas SKU_Cons'!CH473</f>
        <v>0.13325366348651305</v>
      </c>
      <c r="G469" s="16">
        <f>'[3]Motor Rutas SKU_Cons'!CG473</f>
        <v>0.59186742801136361</v>
      </c>
      <c r="H469" s="998">
        <f>'[3]Motor Rutas SKU_Cons'!BX473</f>
        <v>60.605538474153335</v>
      </c>
      <c r="I469" s="998">
        <f>'[3]Motor Rutas SKU_Cons'!BW473</f>
        <v>0</v>
      </c>
    </row>
    <row r="470" spans="1:9">
      <c r="A470" t="str">
        <f>IF('[3]Motor Rutas SKU_Cons'!C474="","",'[3]Motor Rutas SKU_Cons'!C474)</f>
        <v>Occidente</v>
      </c>
      <c r="B470" t="str">
        <f>IF('[3]Motor Rutas SKU_Cons'!D474="","",'[3]Motor Rutas SKU_Cons'!D474)</f>
        <v>Favorita</v>
      </c>
      <c r="C470" t="str">
        <f>IF('[3]Motor Rutas SKU_Cons'!B474="","",'[3]Motor Rutas SKU_Cons'!B474)</f>
        <v>Suc. Santa Maria</v>
      </c>
      <c r="D470">
        <f>'[3]Motor Rutas SKU_Cons'!A474</f>
        <v>809339</v>
      </c>
      <c r="E470" s="997" t="str">
        <f>IF('[3]Motor Rutas SKU_Cons'!N474="","s/d","Agua "&amp;TEXT('[3]Motor Rutas SKU_Cons'!N474,"0%")&amp;" · Colas "&amp;TEXT('[3]Motor Rutas SKU_Cons'!O474,"0%")&amp;" · Resto "&amp;TEXT('[3]Motor Rutas SKU_Cons'!P474,"0%"))</f>
        <v>Agua 85% · Colas 8% · Resto 7%</v>
      </c>
      <c r="F470" s="16">
        <f>'[3]Motor Rutas SKU_Cons'!CH474</f>
        <v>0.25276630850212878</v>
      </c>
      <c r="G470" s="16">
        <f>'[3]Motor Rutas SKU_Cons'!CG474</f>
        <v>0.58677536838375011</v>
      </c>
      <c r="H470" s="998">
        <f>'[3]Motor Rutas SKU_Cons'!BX474</f>
        <v>48.241708112299619</v>
      </c>
      <c r="I470" s="998">
        <f>'[3]Motor Rutas SKU_Cons'!BW474</f>
        <v>0</v>
      </c>
    </row>
    <row r="471" spans="1:9">
      <c r="A471" t="str">
        <f>IF('[3]Motor Rutas SKU_Cons'!C475="","",'[3]Motor Rutas SKU_Cons'!C475)</f>
        <v>Occidente</v>
      </c>
      <c r="B471" t="str">
        <f>IF('[3]Motor Rutas SKU_Cons'!D475="","",'[3]Motor Rutas SKU_Cons'!D475)</f>
        <v>Zapopan</v>
      </c>
      <c r="C471" t="str">
        <f>IF('[3]Motor Rutas SKU_Cons'!B475="","",'[3]Motor Rutas SKU_Cons'!B475)</f>
        <v>Suc. Belenes</v>
      </c>
      <c r="D471">
        <f>'[3]Motor Rutas SKU_Cons'!A475</f>
        <v>820363</v>
      </c>
      <c r="E471" s="997" t="str">
        <f>IF('[3]Motor Rutas SKU_Cons'!N475="","s/d","Agua "&amp;TEXT('[3]Motor Rutas SKU_Cons'!N475,"0%")&amp;" · Colas "&amp;TEXT('[3]Motor Rutas SKU_Cons'!O475,"0%")&amp;" · Resto "&amp;TEXT('[3]Motor Rutas SKU_Cons'!P475,"0%"))</f>
        <v>Agua 85% · Colas 8% · Resto 7%</v>
      </c>
      <c r="F471" s="16">
        <f>'[3]Motor Rutas SKU_Cons'!CH475</f>
        <v>0.25956071024013017</v>
      </c>
      <c r="G471" s="16">
        <f>'[3]Motor Rutas SKU_Cons'!CG475</f>
        <v>0.58660841925000007</v>
      </c>
      <c r="H471" s="998">
        <f>'[3]Motor Rutas SKU_Cons'!BX475</f>
        <v>47.554068603386867</v>
      </c>
      <c r="I471" s="998">
        <f>'[3]Motor Rutas SKU_Cons'!BW475</f>
        <v>0</v>
      </c>
    </row>
    <row r="472" spans="1:9">
      <c r="A472" t="str">
        <f>IF('[3]Motor Rutas SKU_Cons'!C476="","",'[3]Motor Rutas SKU_Cons'!C476)</f>
        <v>Norte</v>
      </c>
      <c r="B472" t="str">
        <f>IF('[3]Motor Rutas SKU_Cons'!D476="","",'[3]Motor Rutas SKU_Cons'!D476)</f>
        <v>Comarca</v>
      </c>
      <c r="C472" t="str">
        <f>IF('[3]Motor Rutas SKU_Cons'!B476="","",'[3]Motor Rutas SKU_Cons'!B476)</f>
        <v>Suc. Estadio</v>
      </c>
      <c r="D472">
        <f>'[3]Motor Rutas SKU_Cons'!A476</f>
        <v>217342</v>
      </c>
      <c r="E472" s="997" t="str">
        <f>IF('[3]Motor Rutas SKU_Cons'!N476="","s/d","Agua "&amp;TEXT('[3]Motor Rutas SKU_Cons'!N476,"0%")&amp;" · Colas "&amp;TEXT('[3]Motor Rutas SKU_Cons'!O476,"0%")&amp;" · Resto "&amp;TEXT('[3]Motor Rutas SKU_Cons'!P476,"0%"))</f>
        <v>Agua 85% · Colas 8% · Resto 7%</v>
      </c>
      <c r="F472" s="16">
        <f>'[3]Motor Rutas SKU_Cons'!CH476</f>
        <v>0.42889979143488344</v>
      </c>
      <c r="G472" s="16">
        <f>'[3]Motor Rutas SKU_Cons'!CG476</f>
        <v>0.54459710539772743</v>
      </c>
      <c r="H472" s="998">
        <f>'[3]Motor Rutas SKU_Cons'!BX476</f>
        <v>31.693999313725481</v>
      </c>
      <c r="I472" s="998">
        <f>'[3]Motor Rutas SKU_Cons'!BW476</f>
        <v>0</v>
      </c>
    </row>
    <row r="473" spans="1:9">
      <c r="A473" t="str">
        <f>IF('[3]Motor Rutas SKU_Cons'!C477="","",'[3]Motor Rutas SKU_Cons'!C477)</f>
        <v>Occidente</v>
      </c>
      <c r="B473" t="str">
        <f>IF('[3]Motor Rutas SKU_Cons'!D477="","",'[3]Motor Rutas SKU_Cons'!D477)</f>
        <v>Los Altos</v>
      </c>
      <c r="C473" t="str">
        <f>IF('[3]Motor Rutas SKU_Cons'!B477="","",'[3]Motor Rutas SKU_Cons'!B477)</f>
        <v>Suc. Ocotlan</v>
      </c>
      <c r="D473">
        <f>'[3]Motor Rutas SKU_Cons'!A477</f>
        <v>835401</v>
      </c>
      <c r="E473" s="997" t="str">
        <f>IF('[3]Motor Rutas SKU_Cons'!N477="","s/d","Agua "&amp;TEXT('[3]Motor Rutas SKU_Cons'!N477,"0%")&amp;" · Colas "&amp;TEXT('[3]Motor Rutas SKU_Cons'!O477,"0%")&amp;" · Resto "&amp;TEXT('[3]Motor Rutas SKU_Cons'!P477,"0%"))</f>
        <v>Agua 85% · Colas 8% · Resto 7%</v>
      </c>
      <c r="F473" s="16">
        <f>'[3]Motor Rutas SKU_Cons'!CH477</f>
        <v>7.3967720589058344E-2</v>
      </c>
      <c r="G473" s="16">
        <f>'[3]Motor Rutas SKU_Cons'!CG477</f>
        <v>0.58511172323863614</v>
      </c>
      <c r="H473" s="998">
        <f>'[3]Motor Rutas SKU_Cons'!BX477</f>
        <v>36.446058331550773</v>
      </c>
      <c r="I473" s="998">
        <f>'[3]Motor Rutas SKU_Cons'!BW477</f>
        <v>0</v>
      </c>
    </row>
    <row r="474" spans="1:9">
      <c r="A474" t="str">
        <f>IF('[3]Motor Rutas SKU_Cons'!C478="","",'[3]Motor Rutas SKU_Cons'!C478)</f>
        <v>Occidente</v>
      </c>
      <c r="B474" t="str">
        <f>IF('[3]Motor Rutas SKU_Cons'!D478="","",'[3]Motor Rutas SKU_Cons'!D478)</f>
        <v>Favorita</v>
      </c>
      <c r="C474" t="str">
        <f>IF('[3]Motor Rutas SKU_Cons'!B478="","",'[3]Motor Rutas SKU_Cons'!B478)</f>
        <v>Cedi Tonalá</v>
      </c>
      <c r="D474">
        <f>'[3]Motor Rutas SKU_Cons'!A478</f>
        <v>810324</v>
      </c>
      <c r="E474" s="997" t="str">
        <f>IF('[3]Motor Rutas SKU_Cons'!N478="","s/d","Agua "&amp;TEXT('[3]Motor Rutas SKU_Cons'!N478,"0%")&amp;" · Colas "&amp;TEXT('[3]Motor Rutas SKU_Cons'!O478,"0%")&amp;" · Resto "&amp;TEXT('[3]Motor Rutas SKU_Cons'!P478,"0%"))</f>
        <v>Agua 85% · Colas 8% · Resto 7%</v>
      </c>
      <c r="F474" s="16">
        <f>'[3]Motor Rutas SKU_Cons'!CH478</f>
        <v>0.22663522739965761</v>
      </c>
      <c r="G474" s="16">
        <f>'[3]Motor Rutas SKU_Cons'!CG478</f>
        <v>0.58352000890909073</v>
      </c>
      <c r="H474" s="998">
        <f>'[3]Motor Rutas SKU_Cons'!BX478</f>
        <v>50.401141647058829</v>
      </c>
      <c r="I474" s="998">
        <f>'[3]Motor Rutas SKU_Cons'!BW478</f>
        <v>0</v>
      </c>
    </row>
    <row r="475" spans="1:9">
      <c r="A475" t="str">
        <f>IF('[3]Motor Rutas SKU_Cons'!C479="","",'[3]Motor Rutas SKU_Cons'!C479)</f>
        <v>Occidente</v>
      </c>
      <c r="B475" t="str">
        <f>IF('[3]Motor Rutas SKU_Cons'!D479="","",'[3]Motor Rutas SKU_Cons'!D479)</f>
        <v>Favorita</v>
      </c>
      <c r="C475" t="str">
        <f>IF('[3]Motor Rutas SKU_Cons'!B479="","",'[3]Motor Rutas SKU_Cons'!B479)</f>
        <v>Cedi Tonalá</v>
      </c>
      <c r="D475">
        <f>'[3]Motor Rutas SKU_Cons'!A479</f>
        <v>810336</v>
      </c>
      <c r="E475" s="997" t="str">
        <f>IF('[3]Motor Rutas SKU_Cons'!N479="","s/d","Agua "&amp;TEXT('[3]Motor Rutas SKU_Cons'!N479,"0%")&amp;" · Colas "&amp;TEXT('[3]Motor Rutas SKU_Cons'!O479,"0%")&amp;" · Resto "&amp;TEXT('[3]Motor Rutas SKU_Cons'!P479,"0%"))</f>
        <v>Agua 85% · Colas 8% · Resto 7%</v>
      </c>
      <c r="F475" s="16">
        <f>'[3]Motor Rutas SKU_Cons'!CH479</f>
        <v>0.20373799482007815</v>
      </c>
      <c r="G475" s="16">
        <f>'[3]Motor Rutas SKU_Cons'!CG479</f>
        <v>0.58264489634113648</v>
      </c>
      <c r="H475" s="998">
        <f>'[3]Motor Rutas SKU_Cons'!BX479</f>
        <v>52.539507231729004</v>
      </c>
      <c r="I475" s="998">
        <f>'[3]Motor Rutas SKU_Cons'!BW479</f>
        <v>0</v>
      </c>
    </row>
    <row r="476" spans="1:9">
      <c r="A476" t="str">
        <f>IF('[3]Motor Rutas SKU_Cons'!C480="","",'[3]Motor Rutas SKU_Cons'!C480)</f>
        <v>Occidente</v>
      </c>
      <c r="B476" t="str">
        <f>IF('[3]Motor Rutas SKU_Cons'!D480="","",'[3]Motor Rutas SKU_Cons'!D480)</f>
        <v>Zapopan</v>
      </c>
      <c r="C476" t="str">
        <f>IF('[3]Motor Rutas SKU_Cons'!B480="","",'[3]Motor Rutas SKU_Cons'!B480)</f>
        <v>Suc. Belenes</v>
      </c>
      <c r="D476">
        <f>'[3]Motor Rutas SKU_Cons'!A480</f>
        <v>820345</v>
      </c>
      <c r="E476" s="997" t="str">
        <f>IF('[3]Motor Rutas SKU_Cons'!N480="","s/d","Agua "&amp;TEXT('[3]Motor Rutas SKU_Cons'!N480,"0%")&amp;" · Colas "&amp;TEXT('[3]Motor Rutas SKU_Cons'!O480,"0%")&amp;" · Resto "&amp;TEXT('[3]Motor Rutas SKU_Cons'!P480,"0%"))</f>
        <v>Agua 85% · Colas 8% · Resto 7%</v>
      </c>
      <c r="F476" s="16">
        <f>'[3]Motor Rutas SKU_Cons'!CH480</f>
        <v>0.17433304930698768</v>
      </c>
      <c r="G476" s="16">
        <f>'[3]Motor Rutas SKU_Cons'!CG480</f>
        <v>0.58263274411363564</v>
      </c>
      <c r="H476" s="998">
        <f>'[3]Motor Rutas SKU_Cons'!BX480</f>
        <v>55.42402384937607</v>
      </c>
      <c r="I476" s="998">
        <f>'[3]Motor Rutas SKU_Cons'!BW480</f>
        <v>0</v>
      </c>
    </row>
    <row r="477" spans="1:9">
      <c r="A477" t="str">
        <f>IF('[3]Motor Rutas SKU_Cons'!C481="","",'[3]Motor Rutas SKU_Cons'!C481)</f>
        <v>Occidente</v>
      </c>
      <c r="B477" t="str">
        <f>IF('[3]Motor Rutas SKU_Cons'!D481="","",'[3]Motor Rutas SKU_Cons'!D481)</f>
        <v>Zapopan</v>
      </c>
      <c r="C477" t="str">
        <f>IF('[3]Motor Rutas SKU_Cons'!B481="","",'[3]Motor Rutas SKU_Cons'!B481)</f>
        <v>Suc. Belenes</v>
      </c>
      <c r="D477">
        <f>'[3]Motor Rutas SKU_Cons'!A481</f>
        <v>820351</v>
      </c>
      <c r="E477" s="997" t="str">
        <f>IF('[3]Motor Rutas SKU_Cons'!N481="","s/d","Agua "&amp;TEXT('[3]Motor Rutas SKU_Cons'!N481,"0%")&amp;" · Colas "&amp;TEXT('[3]Motor Rutas SKU_Cons'!O481,"0%")&amp;" · Resto "&amp;TEXT('[3]Motor Rutas SKU_Cons'!P481,"0%"))</f>
        <v>Agua 85% · Colas 8% · Resto 7%</v>
      </c>
      <c r="F477" s="16">
        <f>'[3]Motor Rutas SKU_Cons'!CH481</f>
        <v>0.22014563139907894</v>
      </c>
      <c r="G477" s="16">
        <f>'[3]Motor Rutas SKU_Cons'!CG481</f>
        <v>0.58200836757954499</v>
      </c>
      <c r="H477" s="998">
        <f>'[3]Motor Rutas SKU_Cons'!BX481</f>
        <v>50.849890308377901</v>
      </c>
      <c r="I477" s="998">
        <f>'[3]Motor Rutas SKU_Cons'!BW481</f>
        <v>0</v>
      </c>
    </row>
    <row r="478" spans="1:9">
      <c r="A478" t="str">
        <f>IF('[3]Motor Rutas SKU_Cons'!C482="","",'[3]Motor Rutas SKU_Cons'!C482)</f>
        <v>Occidente</v>
      </c>
      <c r="B478" t="str">
        <f>IF('[3]Motor Rutas SKU_Cons'!D482="","",'[3]Motor Rutas SKU_Cons'!D482)</f>
        <v>Favorita</v>
      </c>
      <c r="C478" t="str">
        <f>IF('[3]Motor Rutas SKU_Cons'!B482="","",'[3]Motor Rutas SKU_Cons'!B482)</f>
        <v>Suc. San Rafael</v>
      </c>
      <c r="D478">
        <f>'[3]Motor Rutas SKU_Cons'!A482</f>
        <v>803344</v>
      </c>
      <c r="E478" s="997" t="str">
        <f>IF('[3]Motor Rutas SKU_Cons'!N482="","s/d","Agua "&amp;TEXT('[3]Motor Rutas SKU_Cons'!N482,"0%")&amp;" · Colas "&amp;TEXT('[3]Motor Rutas SKU_Cons'!O482,"0%")&amp;" · Resto "&amp;TEXT('[3]Motor Rutas SKU_Cons'!P482,"0%"))</f>
        <v>Agua 85% · Colas 8% · Resto 7%</v>
      </c>
      <c r="F478" s="16">
        <f>'[3]Motor Rutas SKU_Cons'!CH482</f>
        <v>0.43406474911048726</v>
      </c>
      <c r="G478" s="16">
        <f>'[3]Motor Rutas SKU_Cons'!CG482</f>
        <v>0.58182776304545447</v>
      </c>
      <c r="H478" s="998">
        <f>'[3]Motor Rutas SKU_Cons'!BX482</f>
        <v>29.831724114081943</v>
      </c>
      <c r="I478" s="998">
        <f>'[3]Motor Rutas SKU_Cons'!BW482</f>
        <v>0</v>
      </c>
    </row>
    <row r="479" spans="1:9">
      <c r="A479" t="str">
        <f>IF('[3]Motor Rutas SKU_Cons'!C483="","",'[3]Motor Rutas SKU_Cons'!C483)</f>
        <v>Norte</v>
      </c>
      <c r="B479" t="str">
        <f>IF('[3]Motor Rutas SKU_Cons'!D483="","",'[3]Motor Rutas SKU_Cons'!D483)</f>
        <v>Zacatecas</v>
      </c>
      <c r="C479" t="str">
        <f>IF('[3]Motor Rutas SKU_Cons'!B483="","",'[3]Motor Rutas SKU_Cons'!B483)</f>
        <v>Planta Zacatecas</v>
      </c>
      <c r="D479">
        <f>'[3]Motor Rutas SKU_Cons'!A483</f>
        <v>946404</v>
      </c>
      <c r="E479" s="997" t="str">
        <f>IF('[3]Motor Rutas SKU_Cons'!N483="","s/d","Agua "&amp;TEXT('[3]Motor Rutas SKU_Cons'!N483,"0%")&amp;" · Colas "&amp;TEXT('[3]Motor Rutas SKU_Cons'!O483,"0%")&amp;" · Resto "&amp;TEXT('[3]Motor Rutas SKU_Cons'!P483,"0%"))</f>
        <v>Agua 85% · Colas 8% · Resto 7%</v>
      </c>
      <c r="F479" s="16">
        <f>'[3]Motor Rutas SKU_Cons'!CH483</f>
        <v>0.34749712082807288</v>
      </c>
      <c r="G479" s="16">
        <f>'[3]Motor Rutas SKU_Cons'!CG483</f>
        <v>0.56785561520259753</v>
      </c>
      <c r="H479" s="998">
        <f>'[3]Motor Rutas SKU_Cons'!BX483</f>
        <v>56.036483306047664</v>
      </c>
      <c r="I479" s="998">
        <f>'[3]Motor Rutas SKU_Cons'!BW483</f>
        <v>0</v>
      </c>
    </row>
    <row r="480" spans="1:9">
      <c r="A480" t="str">
        <f>IF('[3]Motor Rutas SKU_Cons'!C484="","",'[3]Motor Rutas SKU_Cons'!C484)</f>
        <v>Norte</v>
      </c>
      <c r="B480" t="str">
        <f>IF('[3]Motor Rutas SKU_Cons'!D484="","",'[3]Motor Rutas SKU_Cons'!D484)</f>
        <v>Zacatecas</v>
      </c>
      <c r="C480" t="str">
        <f>IF('[3]Motor Rutas SKU_Cons'!B484="","",'[3]Motor Rutas SKU_Cons'!B484)</f>
        <v>Planta Zacatecas</v>
      </c>
      <c r="D480">
        <f>'[3]Motor Rutas SKU_Cons'!A484</f>
        <v>946410</v>
      </c>
      <c r="E480" s="997" t="str">
        <f>IF('[3]Motor Rutas SKU_Cons'!N484="","s/d","Agua "&amp;TEXT('[3]Motor Rutas SKU_Cons'!N484,"0%")&amp;" · Colas "&amp;TEXT('[3]Motor Rutas SKU_Cons'!O484,"0%")&amp;" · Resto "&amp;TEXT('[3]Motor Rutas SKU_Cons'!P484,"0%"))</f>
        <v>Agua 85% · Colas 8% · Resto 7%</v>
      </c>
      <c r="F480" s="16">
        <f>'[3]Motor Rutas SKU_Cons'!CH484</f>
        <v>0.40771804927226502</v>
      </c>
      <c r="G480" s="16">
        <f>'[3]Motor Rutas SKU_Cons'!CG484</f>
        <v>0.56744457077922039</v>
      </c>
      <c r="H480" s="998">
        <f>'[3]Motor Rutas SKU_Cons'!BX484</f>
        <v>50.864752790896169</v>
      </c>
      <c r="I480" s="998">
        <f>'[3]Motor Rutas SKU_Cons'!BW484</f>
        <v>0</v>
      </c>
    </row>
    <row r="481" spans="1:9">
      <c r="A481" t="str">
        <f>IF('[3]Motor Rutas SKU_Cons'!C485="","",'[3]Motor Rutas SKU_Cons'!C485)</f>
        <v>Occidente</v>
      </c>
      <c r="B481" t="str">
        <f>IF('[3]Motor Rutas SKU_Cons'!D485="","",'[3]Motor Rutas SKU_Cons'!D485)</f>
        <v>Zapopan</v>
      </c>
      <c r="C481" t="str">
        <f>IF('[3]Motor Rutas SKU_Cons'!B485="","",'[3]Motor Rutas SKU_Cons'!B485)</f>
        <v>Planta Zapopan</v>
      </c>
      <c r="D481">
        <f>'[3]Motor Rutas SKU_Cons'!A485</f>
        <v>816343</v>
      </c>
      <c r="E481" s="997" t="str">
        <f>IF('[3]Motor Rutas SKU_Cons'!N485="","s/d","Agua "&amp;TEXT('[3]Motor Rutas SKU_Cons'!N485,"0%")&amp;" · Colas "&amp;TEXT('[3]Motor Rutas SKU_Cons'!O485,"0%")&amp;" · Resto "&amp;TEXT('[3]Motor Rutas SKU_Cons'!P485,"0%"))</f>
        <v>Agua 85% · Colas 8% · Resto 7%</v>
      </c>
      <c r="F481" s="16">
        <f>'[3]Motor Rutas SKU_Cons'!CH485</f>
        <v>0.12659837080805589</v>
      </c>
      <c r="G481" s="16">
        <f>'[3]Motor Rutas SKU_Cons'!CG485</f>
        <v>0.58127817037500007</v>
      </c>
      <c r="H481" s="998">
        <f>'[3]Motor Rutas SKU_Cons'!BX485</f>
        <v>59.940438930481413</v>
      </c>
      <c r="I481" s="998">
        <f>'[3]Motor Rutas SKU_Cons'!BW485</f>
        <v>0</v>
      </c>
    </row>
    <row r="482" spans="1:9">
      <c r="A482" t="str">
        <f>IF('[3]Motor Rutas SKU_Cons'!C486="","",'[3]Motor Rutas SKU_Cons'!C486)</f>
        <v>Occidente</v>
      </c>
      <c r="B482" t="str">
        <f>IF('[3]Motor Rutas SKU_Cons'!D486="","",'[3]Motor Rutas SKU_Cons'!D486)</f>
        <v>Favorita</v>
      </c>
      <c r="C482" t="str">
        <f>IF('[3]Motor Rutas SKU_Cons'!B486="","",'[3]Motor Rutas SKU_Cons'!B486)</f>
        <v>Cedi Tonalá</v>
      </c>
      <c r="D482">
        <f>'[3]Motor Rutas SKU_Cons'!A486</f>
        <v>810325</v>
      </c>
      <c r="E482" s="997" t="str">
        <f>IF('[3]Motor Rutas SKU_Cons'!N486="","s/d","Agua "&amp;TEXT('[3]Motor Rutas SKU_Cons'!N486,"0%")&amp;" · Colas "&amp;TEXT('[3]Motor Rutas SKU_Cons'!O486,"0%")&amp;" · Resto "&amp;TEXT('[3]Motor Rutas SKU_Cons'!P486,"0%"))</f>
        <v>Agua 85% · Colas 8% · Resto 7%</v>
      </c>
      <c r="F482" s="16">
        <f>'[3]Motor Rutas SKU_Cons'!CH486</f>
        <v>0.2423278309020899</v>
      </c>
      <c r="G482" s="16">
        <f>'[3]Motor Rutas SKU_Cons'!CG486</f>
        <v>0.57937872806386326</v>
      </c>
      <c r="H482" s="998">
        <f>'[3]Motor Rutas SKU_Cons'!BX486</f>
        <v>48.345382163101561</v>
      </c>
      <c r="I482" s="998">
        <f>'[3]Motor Rutas SKU_Cons'!BW486</f>
        <v>0</v>
      </c>
    </row>
    <row r="483" spans="1:9">
      <c r="A483" t="str">
        <f>IF('[3]Motor Rutas SKU_Cons'!C487="","",'[3]Motor Rutas SKU_Cons'!C487)</f>
        <v>Occidente</v>
      </c>
      <c r="B483" t="str">
        <f>IF('[3]Motor Rutas SKU_Cons'!D487="","",'[3]Motor Rutas SKU_Cons'!D487)</f>
        <v>San Luis</v>
      </c>
      <c r="C483" t="str">
        <f>IF('[3]Motor Rutas SKU_Cons'!B487="","",'[3]Motor Rutas SKU_Cons'!B487)</f>
        <v>Planta San Luis</v>
      </c>
      <c r="D483">
        <f>'[3]Motor Rutas SKU_Cons'!A487</f>
        <v>916344</v>
      </c>
      <c r="E483" s="997" t="str">
        <f>IF('[3]Motor Rutas SKU_Cons'!N487="","s/d","Agua "&amp;TEXT('[3]Motor Rutas SKU_Cons'!N487,"0%")&amp;" · Colas "&amp;TEXT('[3]Motor Rutas SKU_Cons'!O487,"0%")&amp;" · Resto "&amp;TEXT('[3]Motor Rutas SKU_Cons'!P487,"0%"))</f>
        <v>Agua 85% · Colas 8% · Resto 7%</v>
      </c>
      <c r="F483" s="16">
        <f>'[3]Motor Rutas SKU_Cons'!CH487</f>
        <v>0.35475153573858725</v>
      </c>
      <c r="G483" s="16">
        <f>'[3]Motor Rutas SKU_Cons'!CG487</f>
        <v>0.57902479854545441</v>
      </c>
      <c r="H483" s="998">
        <f>'[3]Motor Rutas SKU_Cons'!BX487</f>
        <v>37.267185309269152</v>
      </c>
      <c r="I483" s="998">
        <f>'[3]Motor Rutas SKU_Cons'!BW487</f>
        <v>0</v>
      </c>
    </row>
    <row r="484" spans="1:9">
      <c r="A484" t="str">
        <f>IF('[3]Motor Rutas SKU_Cons'!C488="","",'[3]Motor Rutas SKU_Cons'!C488)</f>
        <v>Occidente</v>
      </c>
      <c r="B484" t="str">
        <f>IF('[3]Motor Rutas SKU_Cons'!D488="","",'[3]Motor Rutas SKU_Cons'!D488)</f>
        <v>Favorita</v>
      </c>
      <c r="C484" t="str">
        <f>IF('[3]Motor Rutas SKU_Cons'!B488="","",'[3]Motor Rutas SKU_Cons'!B488)</f>
        <v>Suc. Alamo</v>
      </c>
      <c r="D484">
        <f>'[3]Motor Rutas SKU_Cons'!A488</f>
        <v>802348</v>
      </c>
      <c r="E484" s="997" t="str">
        <f>IF('[3]Motor Rutas SKU_Cons'!N488="","s/d","Agua "&amp;TEXT('[3]Motor Rutas SKU_Cons'!N488,"0%")&amp;" · Colas "&amp;TEXT('[3]Motor Rutas SKU_Cons'!O488,"0%")&amp;" · Resto "&amp;TEXT('[3]Motor Rutas SKU_Cons'!P488,"0%"))</f>
        <v>Agua 85% · Colas 8% · Resto 7%</v>
      </c>
      <c r="F484" s="16">
        <f>'[3]Motor Rutas SKU_Cons'!CH488</f>
        <v>0.23153386130867282</v>
      </c>
      <c r="G484" s="16">
        <f>'[3]Motor Rutas SKU_Cons'!CG488</f>
        <v>0.57900770263636459</v>
      </c>
      <c r="H484" s="998">
        <f>'[3]Motor Rutas SKU_Cons'!BX488</f>
        <v>49.358595557932489</v>
      </c>
      <c r="I484" s="998">
        <f>'[3]Motor Rutas SKU_Cons'!BW488</f>
        <v>0</v>
      </c>
    </row>
    <row r="485" spans="1:9">
      <c r="A485" t="str">
        <f>IF('[3]Motor Rutas SKU_Cons'!C489="","",'[3]Motor Rutas SKU_Cons'!C489)</f>
        <v>Occidente</v>
      </c>
      <c r="B485" t="str">
        <f>IF('[3]Motor Rutas SKU_Cons'!D489="","",'[3]Motor Rutas SKU_Cons'!D489)</f>
        <v>Favorita</v>
      </c>
      <c r="C485" t="str">
        <f>IF('[3]Motor Rutas SKU_Cons'!B489="","",'[3]Motor Rutas SKU_Cons'!B489)</f>
        <v>Suc. San Rafael</v>
      </c>
      <c r="D485">
        <f>'[3]Motor Rutas SKU_Cons'!A489</f>
        <v>803342</v>
      </c>
      <c r="E485" s="997" t="str">
        <f>IF('[3]Motor Rutas SKU_Cons'!N489="","s/d","Agua "&amp;TEXT('[3]Motor Rutas SKU_Cons'!N489,"0%")&amp;" · Colas "&amp;TEXT('[3]Motor Rutas SKU_Cons'!O489,"0%")&amp;" · Resto "&amp;TEXT('[3]Motor Rutas SKU_Cons'!P489,"0%"))</f>
        <v>Agua 85% · Colas 8% · Resto 7%</v>
      </c>
      <c r="F485" s="16">
        <f>'[3]Motor Rutas SKU_Cons'!CH489</f>
        <v>0.25904925519239413</v>
      </c>
      <c r="G485" s="16">
        <f>'[3]Motor Rutas SKU_Cons'!CG489</f>
        <v>0.57805828046590879</v>
      </c>
      <c r="H485" s="998">
        <f>'[3]Motor Rutas SKU_Cons'!BX489</f>
        <v>46.539823721925146</v>
      </c>
      <c r="I485" s="998">
        <f>'[3]Motor Rutas SKU_Cons'!BW489</f>
        <v>0</v>
      </c>
    </row>
    <row r="486" spans="1:9">
      <c r="A486" t="str">
        <f>IF('[3]Motor Rutas SKU_Cons'!C490="","",'[3]Motor Rutas SKU_Cons'!C490)</f>
        <v>Occidente</v>
      </c>
      <c r="B486" t="str">
        <f>IF('[3]Motor Rutas SKU_Cons'!D490="","",'[3]Motor Rutas SKU_Cons'!D490)</f>
        <v>San Luis</v>
      </c>
      <c r="C486" t="str">
        <f>IF('[3]Motor Rutas SKU_Cons'!B490="","",'[3]Motor Rutas SKU_Cons'!B490)</f>
        <v>Planta San Luis</v>
      </c>
      <c r="D486">
        <f>'[3]Motor Rutas SKU_Cons'!A490</f>
        <v>916349</v>
      </c>
      <c r="E486" s="997" t="str">
        <f>IF('[3]Motor Rutas SKU_Cons'!N490="","s/d","Agua "&amp;TEXT('[3]Motor Rutas SKU_Cons'!N490,"0%")&amp;" · Colas "&amp;TEXT('[3]Motor Rutas SKU_Cons'!O490,"0%")&amp;" · Resto "&amp;TEXT('[3]Motor Rutas SKU_Cons'!P490,"0%"))</f>
        <v>Agua 85% · Colas 8% · Resto 7%</v>
      </c>
      <c r="F486" s="16">
        <f>'[3]Motor Rutas SKU_Cons'!CH490</f>
        <v>0.3672706613521195</v>
      </c>
      <c r="G486" s="16">
        <f>'[3]Motor Rutas SKU_Cons'!CG490</f>
        <v>0.57784458589772703</v>
      </c>
      <c r="H486" s="998">
        <f>'[3]Motor Rutas SKU_Cons'!BX490</f>
        <v>35.891531508912692</v>
      </c>
      <c r="I486" s="998">
        <f>'[3]Motor Rutas SKU_Cons'!BW490</f>
        <v>0</v>
      </c>
    </row>
    <row r="487" spans="1:9">
      <c r="A487" t="str">
        <f>IF('[3]Motor Rutas SKU_Cons'!C491="","",'[3]Motor Rutas SKU_Cons'!C491)</f>
        <v>Occidente</v>
      </c>
      <c r="B487" t="str">
        <f>IF('[3]Motor Rutas SKU_Cons'!D491="","",'[3]Motor Rutas SKU_Cons'!D491)</f>
        <v>San Luis</v>
      </c>
      <c r="C487" t="str">
        <f>IF('[3]Motor Rutas SKU_Cons'!B491="","",'[3]Motor Rutas SKU_Cons'!B491)</f>
        <v>Planta San Luis</v>
      </c>
      <c r="D487">
        <f>'[3]Motor Rutas SKU_Cons'!A491</f>
        <v>916414</v>
      </c>
      <c r="E487" s="997" t="str">
        <f>IF('[3]Motor Rutas SKU_Cons'!N491="","s/d","Agua "&amp;TEXT('[3]Motor Rutas SKU_Cons'!N491,"0%")&amp;" · Colas "&amp;TEXT('[3]Motor Rutas SKU_Cons'!O491,"0%")&amp;" · Resto "&amp;TEXT('[3]Motor Rutas SKU_Cons'!P491,"0%"))</f>
        <v>Agua 85% · Colas 8% · Resto 7%</v>
      </c>
      <c r="F487" s="16">
        <f>'[3]Motor Rutas SKU_Cons'!CH491</f>
        <v>0.15314833827201885</v>
      </c>
      <c r="G487" s="16">
        <f>'[3]Motor Rutas SKU_Cons'!CG491</f>
        <v>0.57567799728409108</v>
      </c>
      <c r="H487" s="998">
        <f>'[3]Motor Rutas SKU_Cons'!BX491</f>
        <v>56.637429822638239</v>
      </c>
      <c r="I487" s="998">
        <f>'[3]Motor Rutas SKU_Cons'!BW491</f>
        <v>0</v>
      </c>
    </row>
    <row r="488" spans="1:9">
      <c r="A488" t="str">
        <f>IF('[3]Motor Rutas SKU_Cons'!C492="","",'[3]Motor Rutas SKU_Cons'!C492)</f>
        <v>Norte</v>
      </c>
      <c r="B488" t="str">
        <f>IF('[3]Motor Rutas SKU_Cons'!D492="","",'[3]Motor Rutas SKU_Cons'!D492)</f>
        <v>Zacatecas</v>
      </c>
      <c r="C488" t="str">
        <f>IF('[3]Motor Rutas SKU_Cons'!B492="","",'[3]Motor Rutas SKU_Cons'!B492)</f>
        <v>Planta Zacatecas</v>
      </c>
      <c r="D488">
        <f>'[3]Motor Rutas SKU_Cons'!A492</f>
        <v>946409</v>
      </c>
      <c r="E488" s="997" t="str">
        <f>IF('[3]Motor Rutas SKU_Cons'!N492="","s/d","Agua "&amp;TEXT('[3]Motor Rutas SKU_Cons'!N492,"0%")&amp;" · Colas "&amp;TEXT('[3]Motor Rutas SKU_Cons'!O492,"0%")&amp;" · Resto "&amp;TEXT('[3]Motor Rutas SKU_Cons'!P492,"0%"))</f>
        <v>Agua 85% · Colas 8% · Resto 7%</v>
      </c>
      <c r="F488" s="16">
        <f>'[3]Motor Rutas SKU_Cons'!CH492</f>
        <v>0.24885020575604905</v>
      </c>
      <c r="G488" s="16">
        <f>'[3]Motor Rutas SKU_Cons'!CG492</f>
        <v>0.56137096811688314</v>
      </c>
      <c r="H488" s="998">
        <f>'[3]Motor Rutas SKU_Cons'!BX492</f>
        <v>64.241051486631065</v>
      </c>
      <c r="I488" s="998">
        <f>'[3]Motor Rutas SKU_Cons'!BW492</f>
        <v>0</v>
      </c>
    </row>
    <row r="489" spans="1:9">
      <c r="A489" t="str">
        <f>IF('[3]Motor Rutas SKU_Cons'!C493="","",'[3]Motor Rutas SKU_Cons'!C493)</f>
        <v>Occidente</v>
      </c>
      <c r="B489" t="str">
        <f>IF('[3]Motor Rutas SKU_Cons'!D493="","",'[3]Motor Rutas SKU_Cons'!D493)</f>
        <v>Zapopan</v>
      </c>
      <c r="C489" t="str">
        <f>IF('[3]Motor Rutas SKU_Cons'!B493="","",'[3]Motor Rutas SKU_Cons'!B493)</f>
        <v>Suc. Zacoalco</v>
      </c>
      <c r="D489">
        <f>'[3]Motor Rutas SKU_Cons'!A493</f>
        <v>828301</v>
      </c>
      <c r="E489" s="997" t="str">
        <f>IF('[3]Motor Rutas SKU_Cons'!N493="","s/d","Agua "&amp;TEXT('[3]Motor Rutas SKU_Cons'!N493,"0%")&amp;" · Colas "&amp;TEXT('[3]Motor Rutas SKU_Cons'!O493,"0%")&amp;" · Resto "&amp;TEXT('[3]Motor Rutas SKU_Cons'!P493,"0%"))</f>
        <v>Agua 85% · Colas 8% · Resto 7%</v>
      </c>
      <c r="F489" s="16">
        <f>'[3]Motor Rutas SKU_Cons'!CH493</f>
        <v>0.17066736178117445</v>
      </c>
      <c r="G489" s="16">
        <f>'[3]Motor Rutas SKU_Cons'!CG493</f>
        <v>0.57425267955681791</v>
      </c>
      <c r="H489" s="998">
        <f>'[3]Motor Rutas SKU_Cons'!BX493</f>
        <v>24.408121201865839</v>
      </c>
      <c r="I489" s="998">
        <f>'[3]Motor Rutas SKU_Cons'!BW493</f>
        <v>0</v>
      </c>
    </row>
    <row r="490" spans="1:9">
      <c r="A490" t="str">
        <f>IF('[3]Motor Rutas SKU_Cons'!C494="","",'[3]Motor Rutas SKU_Cons'!C494)</f>
        <v>Norte</v>
      </c>
      <c r="B490" t="str">
        <f>IF('[3]Motor Rutas SKU_Cons'!D494="","",'[3]Motor Rutas SKU_Cons'!D494)</f>
        <v>Guadiana</v>
      </c>
      <c r="C490" t="str">
        <f>IF('[3]Motor Rutas SKU_Cons'!B494="","",'[3]Motor Rutas SKU_Cons'!B494)</f>
        <v>Planta Guadiana</v>
      </c>
      <c r="D490">
        <f>'[3]Motor Rutas SKU_Cons'!A494</f>
        <v>931424</v>
      </c>
      <c r="E490" s="997" t="str">
        <f>IF('[3]Motor Rutas SKU_Cons'!N494="","s/d","Agua "&amp;TEXT('[3]Motor Rutas SKU_Cons'!N494,"0%")&amp;" · Colas "&amp;TEXT('[3]Motor Rutas SKU_Cons'!O494,"0%")&amp;" · Resto "&amp;TEXT('[3]Motor Rutas SKU_Cons'!P494,"0%"))</f>
        <v>Agua 85% · Colas 8% · Resto 7%</v>
      </c>
      <c r="F490" s="16">
        <f>'[3]Motor Rutas SKU_Cons'!CH494</f>
        <v>0.37796316107475186</v>
      </c>
      <c r="G490" s="16">
        <f>'[3]Motor Rutas SKU_Cons'!CG494</f>
        <v>0.57420963613636289</v>
      </c>
      <c r="H490" s="998">
        <f>'[3]Motor Rutas SKU_Cons'!BX494</f>
        <v>45.788641227694612</v>
      </c>
      <c r="I490" s="998">
        <f>'[3]Motor Rutas SKU_Cons'!BW494</f>
        <v>0</v>
      </c>
    </row>
    <row r="491" spans="1:9">
      <c r="A491" t="str">
        <f>IF('[3]Motor Rutas SKU_Cons'!C495="","",'[3]Motor Rutas SKU_Cons'!C495)</f>
        <v>Occidente</v>
      </c>
      <c r="B491" t="str">
        <f>IF('[3]Motor Rutas SKU_Cons'!D495="","",'[3]Motor Rutas SKU_Cons'!D495)</f>
        <v>Zapopan</v>
      </c>
      <c r="C491" t="str">
        <f>IF('[3]Motor Rutas SKU_Cons'!B495="","",'[3]Motor Rutas SKU_Cons'!B495)</f>
        <v>Suc. Huentitán</v>
      </c>
      <c r="D491">
        <f>'[3]Motor Rutas SKU_Cons'!A495</f>
        <v>819349</v>
      </c>
      <c r="E491" s="997" t="str">
        <f>IF('[3]Motor Rutas SKU_Cons'!N495="","s/d","Agua "&amp;TEXT('[3]Motor Rutas SKU_Cons'!N495,"0%")&amp;" · Colas "&amp;TEXT('[3]Motor Rutas SKU_Cons'!O495,"0%")&amp;" · Resto "&amp;TEXT('[3]Motor Rutas SKU_Cons'!P495,"0%"))</f>
        <v>Agua 85% · Colas 8% · Resto 7%</v>
      </c>
      <c r="F491" s="16">
        <f>'[3]Motor Rutas SKU_Cons'!CH495</f>
        <v>0.19344794741432739</v>
      </c>
      <c r="G491" s="16">
        <f>'[3]Motor Rutas SKU_Cons'!CG495</f>
        <v>0.5737934718409099</v>
      </c>
      <c r="H491" s="998">
        <f>'[3]Motor Rutas SKU_Cons'!BX495</f>
        <v>52.447500937611487</v>
      </c>
      <c r="I491" s="998">
        <f>'[3]Motor Rutas SKU_Cons'!BW495</f>
        <v>0</v>
      </c>
    </row>
    <row r="492" spans="1:9">
      <c r="A492" t="str">
        <f>IF('[3]Motor Rutas SKU_Cons'!C496="","",'[3]Motor Rutas SKU_Cons'!C496)</f>
        <v>Occidente</v>
      </c>
      <c r="B492" t="str">
        <f>IF('[3]Motor Rutas SKU_Cons'!D496="","",'[3]Motor Rutas SKU_Cons'!D496)</f>
        <v>Favorita</v>
      </c>
      <c r="C492" t="str">
        <f>IF('[3]Motor Rutas SKU_Cons'!B496="","",'[3]Motor Rutas SKU_Cons'!B496)</f>
        <v>Cedi Tonalá</v>
      </c>
      <c r="D492">
        <f>'[3]Motor Rutas SKU_Cons'!A496</f>
        <v>810351</v>
      </c>
      <c r="E492" s="997" t="str">
        <f>IF('[3]Motor Rutas SKU_Cons'!N496="","s/d","Agua "&amp;TEXT('[3]Motor Rutas SKU_Cons'!N496,"0%")&amp;" · Colas "&amp;TEXT('[3]Motor Rutas SKU_Cons'!O496,"0%")&amp;" · Resto "&amp;TEXT('[3]Motor Rutas SKU_Cons'!P496,"0%"))</f>
        <v>Agua 85% · Colas 8% · Resto 7%</v>
      </c>
      <c r="F492" s="16">
        <f>'[3]Motor Rutas SKU_Cons'!CH496</f>
        <v>0.25247999606276822</v>
      </c>
      <c r="G492" s="16">
        <f>'[3]Motor Rutas SKU_Cons'!CG496</f>
        <v>0.57262205937681787</v>
      </c>
      <c r="H492" s="998">
        <f>'[3]Motor Rutas SKU_Cons'!BX496</f>
        <v>46.507803557932213</v>
      </c>
      <c r="I492" s="998">
        <f>'[3]Motor Rutas SKU_Cons'!BW496</f>
        <v>0</v>
      </c>
    </row>
    <row r="493" spans="1:9">
      <c r="A493" t="str">
        <f>IF('[3]Motor Rutas SKU_Cons'!C497="","",'[3]Motor Rutas SKU_Cons'!C497)</f>
        <v>Norte</v>
      </c>
      <c r="B493" t="str">
        <f>IF('[3]Motor Rutas SKU_Cons'!D497="","",'[3]Motor Rutas SKU_Cons'!D497)</f>
        <v>Comarca</v>
      </c>
      <c r="C493" t="str">
        <f>IF('[3]Motor Rutas SKU_Cons'!B497="","",'[3]Motor Rutas SKU_Cons'!B497)</f>
        <v>Suc. Santa Rita</v>
      </c>
      <c r="D493">
        <f>'[3]Motor Rutas SKU_Cons'!A497</f>
        <v>220343</v>
      </c>
      <c r="E493" s="997" t="str">
        <f>IF('[3]Motor Rutas SKU_Cons'!N497="","s/d","Agua "&amp;TEXT('[3]Motor Rutas SKU_Cons'!N497,"0%")&amp;" · Colas "&amp;TEXT('[3]Motor Rutas SKU_Cons'!O497,"0%")&amp;" · Resto "&amp;TEXT('[3]Motor Rutas SKU_Cons'!P497,"0%"))</f>
        <v>Agua 85% · Colas 8% · Resto 7%</v>
      </c>
      <c r="F493" s="16">
        <f>'[3]Motor Rutas SKU_Cons'!CH497</f>
        <v>0.50167889094521601</v>
      </c>
      <c r="G493" s="16">
        <f>'[3]Motor Rutas SKU_Cons'!CG497</f>
        <v>0.55216777244318216</v>
      </c>
      <c r="H493" s="998">
        <f>'[3]Motor Rutas SKU_Cons'!BX497</f>
        <v>28.199839754010803</v>
      </c>
      <c r="I493" s="998">
        <f>'[3]Motor Rutas SKU_Cons'!BW497</f>
        <v>0</v>
      </c>
    </row>
    <row r="494" spans="1:9">
      <c r="A494" t="str">
        <f>IF('[3]Motor Rutas SKU_Cons'!C498="","",'[3]Motor Rutas SKU_Cons'!C498)</f>
        <v>Norte</v>
      </c>
      <c r="B494" t="str">
        <f>IF('[3]Motor Rutas SKU_Cons'!D498="","",'[3]Motor Rutas SKU_Cons'!D498)</f>
        <v>Zacatecas</v>
      </c>
      <c r="C494" t="str">
        <f>IF('[3]Motor Rutas SKU_Cons'!B498="","",'[3]Motor Rutas SKU_Cons'!B498)</f>
        <v>Planta Zacatecas</v>
      </c>
      <c r="D494">
        <f>'[3]Motor Rutas SKU_Cons'!A498</f>
        <v>946408</v>
      </c>
      <c r="E494" s="997" t="str">
        <f>IF('[3]Motor Rutas SKU_Cons'!N498="","s/d","Agua "&amp;TEXT('[3]Motor Rutas SKU_Cons'!N498,"0%")&amp;" · Colas "&amp;TEXT('[3]Motor Rutas SKU_Cons'!O498,"0%")&amp;" · Resto "&amp;TEXT('[3]Motor Rutas SKU_Cons'!P498,"0%"))</f>
        <v>Agua 85% · Colas 8% · Resto 7%</v>
      </c>
      <c r="F494" s="16">
        <f>'[3]Motor Rutas SKU_Cons'!CH498</f>
        <v>0.27869633436450647</v>
      </c>
      <c r="G494" s="16">
        <f>'[3]Motor Rutas SKU_Cons'!CG498</f>
        <v>0.55895722071428544</v>
      </c>
      <c r="H494" s="998">
        <f>'[3]Motor Rutas SKU_Cons'!BX498</f>
        <v>61.309777557932264</v>
      </c>
      <c r="I494" s="998">
        <f>'[3]Motor Rutas SKU_Cons'!BW498</f>
        <v>0</v>
      </c>
    </row>
    <row r="495" spans="1:9">
      <c r="A495" t="str">
        <f>IF('[3]Motor Rutas SKU_Cons'!C499="","",'[3]Motor Rutas SKU_Cons'!C499)</f>
        <v>Occidente</v>
      </c>
      <c r="B495" t="str">
        <f>IF('[3]Motor Rutas SKU_Cons'!D499="","",'[3]Motor Rutas SKU_Cons'!D499)</f>
        <v>Zapopan</v>
      </c>
      <c r="C495" t="str">
        <f>IF('[3]Motor Rutas SKU_Cons'!B499="","",'[3]Motor Rutas SKU_Cons'!B499)</f>
        <v>Suc. Belenes</v>
      </c>
      <c r="D495">
        <f>'[3]Motor Rutas SKU_Cons'!A499</f>
        <v>820349</v>
      </c>
      <c r="E495" s="997" t="str">
        <f>IF('[3]Motor Rutas SKU_Cons'!N499="","s/d","Agua "&amp;TEXT('[3]Motor Rutas SKU_Cons'!N499,"0%")&amp;" · Colas "&amp;TEXT('[3]Motor Rutas SKU_Cons'!O499,"0%")&amp;" · Resto "&amp;TEXT('[3]Motor Rutas SKU_Cons'!P499,"0%"))</f>
        <v>Agua 85% · Colas 8% · Resto 7%</v>
      </c>
      <c r="F495" s="16">
        <f>'[3]Motor Rutas SKU_Cons'!CH499</f>
        <v>0.34119651296262637</v>
      </c>
      <c r="G495" s="16">
        <f>'[3]Motor Rutas SKU_Cons'!CG499</f>
        <v>0.56997688960227255</v>
      </c>
      <c r="H495" s="998">
        <f>'[3]Motor Rutas SKU_Cons'!BX499</f>
        <v>37.47116784848491</v>
      </c>
      <c r="I495" s="998">
        <f>'[3]Motor Rutas SKU_Cons'!BW499</f>
        <v>0</v>
      </c>
    </row>
    <row r="496" spans="1:9">
      <c r="A496" t="str">
        <f>IF('[3]Motor Rutas SKU_Cons'!C500="","",'[3]Motor Rutas SKU_Cons'!C500)</f>
        <v>Norte</v>
      </c>
      <c r="B496" t="str">
        <f>IF('[3]Motor Rutas SKU_Cons'!D500="","",'[3]Motor Rutas SKU_Cons'!D500)</f>
        <v>Guadiana</v>
      </c>
      <c r="C496" t="str">
        <f>IF('[3]Motor Rutas SKU_Cons'!B500="","",'[3]Motor Rutas SKU_Cons'!B500)</f>
        <v>Planta Guadiana</v>
      </c>
      <c r="D496">
        <f>'[3]Motor Rutas SKU_Cons'!A500</f>
        <v>931407</v>
      </c>
      <c r="E496" s="997" t="str">
        <f>IF('[3]Motor Rutas SKU_Cons'!N500="","s/d","Agua "&amp;TEXT('[3]Motor Rutas SKU_Cons'!N500,"0%")&amp;" · Colas "&amp;TEXT('[3]Motor Rutas SKU_Cons'!O500,"0%")&amp;" · Resto "&amp;TEXT('[3]Motor Rutas SKU_Cons'!P500,"0%"))</f>
        <v>Agua 85% · Colas 8% · Resto 7%</v>
      </c>
      <c r="F496" s="16">
        <f>'[3]Motor Rutas SKU_Cons'!CH500</f>
        <v>0.42724575087697175</v>
      </c>
      <c r="G496" s="16">
        <f>'[3]Motor Rutas SKU_Cons'!CG500</f>
        <v>0.56981607340909057</v>
      </c>
      <c r="H496" s="998">
        <f>'[3]Motor Rutas SKU_Cons'!BX500</f>
        <v>42.160909424664425</v>
      </c>
      <c r="I496" s="998">
        <f>'[3]Motor Rutas SKU_Cons'!BW500</f>
        <v>0</v>
      </c>
    </row>
    <row r="497" spans="1:9">
      <c r="A497" t="str">
        <f>IF('[3]Motor Rutas SKU_Cons'!C501="","",'[3]Motor Rutas SKU_Cons'!C501)</f>
        <v>Occidente</v>
      </c>
      <c r="B497" t="str">
        <f>IF('[3]Motor Rutas SKU_Cons'!D501="","",'[3]Motor Rutas SKU_Cons'!D501)</f>
        <v>Favorita</v>
      </c>
      <c r="C497" t="str">
        <f>IF('[3]Motor Rutas SKU_Cons'!B501="","",'[3]Motor Rutas SKU_Cons'!B501)</f>
        <v>Cedi Tonalá</v>
      </c>
      <c r="D497">
        <f>'[3]Motor Rutas SKU_Cons'!A501</f>
        <v>810331</v>
      </c>
      <c r="E497" s="997" t="str">
        <f>IF('[3]Motor Rutas SKU_Cons'!N501="","s/d","Agua "&amp;TEXT('[3]Motor Rutas SKU_Cons'!N501,"0%")&amp;" · Colas "&amp;TEXT('[3]Motor Rutas SKU_Cons'!O501,"0%")&amp;" · Resto "&amp;TEXT('[3]Motor Rutas SKU_Cons'!P501,"0%"))</f>
        <v>Agua 85% · Colas 8% · Resto 7%</v>
      </c>
      <c r="F497" s="16">
        <f>'[3]Motor Rutas SKU_Cons'!CH501</f>
        <v>0.21069699470672659</v>
      </c>
      <c r="G497" s="16">
        <f>'[3]Motor Rutas SKU_Cons'!CG501</f>
        <v>0.56829887243181731</v>
      </c>
      <c r="H497" s="998">
        <f>'[3]Motor Rutas SKU_Cons'!BX501</f>
        <v>50.070499614973187</v>
      </c>
      <c r="I497" s="998">
        <f>'[3]Motor Rutas SKU_Cons'!BW501</f>
        <v>0</v>
      </c>
    </row>
    <row r="498" spans="1:9">
      <c r="A498" t="str">
        <f>IF('[3]Motor Rutas SKU_Cons'!C502="","",'[3]Motor Rutas SKU_Cons'!C502)</f>
        <v>Norte</v>
      </c>
      <c r="B498" t="str">
        <f>IF('[3]Motor Rutas SKU_Cons'!D502="","",'[3]Motor Rutas SKU_Cons'!D502)</f>
        <v>Guadiana</v>
      </c>
      <c r="C498" t="str">
        <f>IF('[3]Motor Rutas SKU_Cons'!B502="","",'[3]Motor Rutas SKU_Cons'!B502)</f>
        <v>Planta Guadiana</v>
      </c>
      <c r="D498">
        <f>'[3]Motor Rutas SKU_Cons'!A502</f>
        <v>931422</v>
      </c>
      <c r="E498" s="997" t="str">
        <f>IF('[3]Motor Rutas SKU_Cons'!N502="","s/d","Agua "&amp;TEXT('[3]Motor Rutas SKU_Cons'!N502,"0%")&amp;" · Colas "&amp;TEXT('[3]Motor Rutas SKU_Cons'!O502,"0%")&amp;" · Resto "&amp;TEXT('[3]Motor Rutas SKU_Cons'!P502,"0%"))</f>
        <v>Agua 85% · Colas 8% · Resto 7%</v>
      </c>
      <c r="F498" s="16">
        <f>'[3]Motor Rutas SKU_Cons'!CH502</f>
        <v>0.24469971456486866</v>
      </c>
      <c r="G498" s="16">
        <f>'[3]Motor Rutas SKU_Cons'!CG502</f>
        <v>0.56674361454545441</v>
      </c>
      <c r="H498" s="998">
        <f>'[3]Motor Rutas SKU_Cons'!BX502</f>
        <v>55.598272682240022</v>
      </c>
      <c r="I498" s="998">
        <f>'[3]Motor Rutas SKU_Cons'!BW502</f>
        <v>0</v>
      </c>
    </row>
    <row r="499" spans="1:9">
      <c r="A499" t="str">
        <f>IF('[3]Motor Rutas SKU_Cons'!C503="","",'[3]Motor Rutas SKU_Cons'!C503)</f>
        <v>Norte</v>
      </c>
      <c r="B499" t="str">
        <f>IF('[3]Motor Rutas SKU_Cons'!D503="","",'[3]Motor Rutas SKU_Cons'!D503)</f>
        <v>Comarca</v>
      </c>
      <c r="C499" t="str">
        <f>IF('[3]Motor Rutas SKU_Cons'!B503="","",'[3]Motor Rutas SKU_Cons'!B503)</f>
        <v>Suc. Santa Rita</v>
      </c>
      <c r="D499">
        <f>'[3]Motor Rutas SKU_Cons'!A503</f>
        <v>220344</v>
      </c>
      <c r="E499" s="997" t="str">
        <f>IF('[3]Motor Rutas SKU_Cons'!N503="","s/d","Agua "&amp;TEXT('[3]Motor Rutas SKU_Cons'!N503,"0%")&amp;" · Colas "&amp;TEXT('[3]Motor Rutas SKU_Cons'!O503,"0%")&amp;" · Resto "&amp;TEXT('[3]Motor Rutas SKU_Cons'!P503,"0%"))</f>
        <v>Agua 85% · Colas 8% · Resto 7%</v>
      </c>
      <c r="F499" s="16">
        <f>'[3]Motor Rutas SKU_Cons'!CH503</f>
        <v>0.50763501654486221</v>
      </c>
      <c r="G499" s="16">
        <f>'[3]Motor Rutas SKU_Cons'!CG503</f>
        <v>0.5459951889204544</v>
      </c>
      <c r="H499" s="998">
        <f>'[3]Motor Rutas SKU_Cons'!BX503</f>
        <v>27.203592596256623</v>
      </c>
      <c r="I499" s="998">
        <f>'[3]Motor Rutas SKU_Cons'!BW503</f>
        <v>0</v>
      </c>
    </row>
    <row r="500" spans="1:9">
      <c r="A500" t="str">
        <f>IF('[3]Motor Rutas SKU_Cons'!C504="","",'[3]Motor Rutas SKU_Cons'!C504)</f>
        <v>Norte</v>
      </c>
      <c r="B500" t="str">
        <f>IF('[3]Motor Rutas SKU_Cons'!D504="","",'[3]Motor Rutas SKU_Cons'!D504)</f>
        <v>Comarca</v>
      </c>
      <c r="C500" t="str">
        <f>IF('[3]Motor Rutas SKU_Cons'!B504="","",'[3]Motor Rutas SKU_Cons'!B504)</f>
        <v>Suc. Santa Rita</v>
      </c>
      <c r="D500">
        <f>'[3]Motor Rutas SKU_Cons'!A504</f>
        <v>220347</v>
      </c>
      <c r="E500" s="997" t="str">
        <f>IF('[3]Motor Rutas SKU_Cons'!N504="","s/d","Agua "&amp;TEXT('[3]Motor Rutas SKU_Cons'!N504,"0%")&amp;" · Colas "&amp;TEXT('[3]Motor Rutas SKU_Cons'!O504,"0%")&amp;" · Resto "&amp;TEXT('[3]Motor Rutas SKU_Cons'!P504,"0%"))</f>
        <v>Agua 85% · Colas 8% · Resto 7%</v>
      </c>
      <c r="F500" s="16">
        <f>'[3]Motor Rutas SKU_Cons'!CH504</f>
        <v>0.47490830533336781</v>
      </c>
      <c r="G500" s="16">
        <f>'[3]Motor Rutas SKU_Cons'!CG504</f>
        <v>0.54595021960227308</v>
      </c>
      <c r="H500" s="998">
        <f>'[3]Motor Rutas SKU_Cons'!BX504</f>
        <v>29.126121937611405</v>
      </c>
      <c r="I500" s="998">
        <f>'[3]Motor Rutas SKU_Cons'!BW504</f>
        <v>0</v>
      </c>
    </row>
    <row r="501" spans="1:9">
      <c r="A501" t="str">
        <f>IF('[3]Motor Rutas SKU_Cons'!C505="","",'[3]Motor Rutas SKU_Cons'!C505)</f>
        <v>Occidente</v>
      </c>
      <c r="B501" t="str">
        <f>IF('[3]Motor Rutas SKU_Cons'!D505="","",'[3]Motor Rutas SKU_Cons'!D505)</f>
        <v>Zapopan</v>
      </c>
      <c r="C501" t="str">
        <f>IF('[3]Motor Rutas SKU_Cons'!B505="","",'[3]Motor Rutas SKU_Cons'!B505)</f>
        <v>Suc. Belenes</v>
      </c>
      <c r="D501">
        <f>'[3]Motor Rutas SKU_Cons'!A505</f>
        <v>820355</v>
      </c>
      <c r="E501" s="997" t="str">
        <f>IF('[3]Motor Rutas SKU_Cons'!N505="","s/d","Agua "&amp;TEXT('[3]Motor Rutas SKU_Cons'!N505,"0%")&amp;" · Colas "&amp;TEXT('[3]Motor Rutas SKU_Cons'!O505,"0%")&amp;" · Resto "&amp;TEXT('[3]Motor Rutas SKU_Cons'!P505,"0%"))</f>
        <v>Agua 85% · Colas 8% · Resto 7%</v>
      </c>
      <c r="F501" s="16">
        <f>'[3]Motor Rutas SKU_Cons'!CH505</f>
        <v>0.17178687375213236</v>
      </c>
      <c r="G501" s="16">
        <f>'[3]Motor Rutas SKU_Cons'!CG505</f>
        <v>0.56326584538636382</v>
      </c>
      <c r="H501" s="998">
        <f>'[3]Motor Rutas SKU_Cons'!BX505</f>
        <v>53.262857893939433</v>
      </c>
      <c r="I501" s="998">
        <f>'[3]Motor Rutas SKU_Cons'!BW505</f>
        <v>0</v>
      </c>
    </row>
    <row r="502" spans="1:9">
      <c r="A502" t="str">
        <f>IF('[3]Motor Rutas SKU_Cons'!C506="","",'[3]Motor Rutas SKU_Cons'!C506)</f>
        <v>Occidente</v>
      </c>
      <c r="B502" t="str">
        <f>IF('[3]Motor Rutas SKU_Cons'!D506="","",'[3]Motor Rutas SKU_Cons'!D506)</f>
        <v>San Luis</v>
      </c>
      <c r="C502" t="str">
        <f>IF('[3]Motor Rutas SKU_Cons'!B506="","",'[3]Motor Rutas SKU_Cons'!B506)</f>
        <v>Planta San Luis</v>
      </c>
      <c r="D502">
        <f>'[3]Motor Rutas SKU_Cons'!A506</f>
        <v>916350</v>
      </c>
      <c r="E502" s="997" t="str">
        <f>IF('[3]Motor Rutas SKU_Cons'!N506="","s/d","Agua "&amp;TEXT('[3]Motor Rutas SKU_Cons'!N506,"0%")&amp;" · Colas "&amp;TEXT('[3]Motor Rutas SKU_Cons'!O506,"0%")&amp;" · Resto "&amp;TEXT('[3]Motor Rutas SKU_Cons'!P506,"0%"))</f>
        <v>Agua 85% · Colas 8% · Resto 7%</v>
      </c>
      <c r="F502" s="16">
        <f>'[3]Motor Rutas SKU_Cons'!CH506</f>
        <v>0.38375949446247914</v>
      </c>
      <c r="G502" s="16">
        <f>'[3]Motor Rutas SKU_Cons'!CG506</f>
        <v>0.56184826162500001</v>
      </c>
      <c r="H502" s="998">
        <f>'[3]Motor Rutas SKU_Cons'!BX506</f>
        <v>32.281739226381504</v>
      </c>
      <c r="I502" s="998">
        <f>'[3]Motor Rutas SKU_Cons'!BW506</f>
        <v>0</v>
      </c>
    </row>
    <row r="503" spans="1:9">
      <c r="A503" t="str">
        <f>IF('[3]Motor Rutas SKU_Cons'!C507="","",'[3]Motor Rutas SKU_Cons'!C507)</f>
        <v>Occidente</v>
      </c>
      <c r="B503" t="str">
        <f>IF('[3]Motor Rutas SKU_Cons'!D507="","",'[3]Motor Rutas SKU_Cons'!D507)</f>
        <v>Zapopan</v>
      </c>
      <c r="C503" t="str">
        <f>IF('[3]Motor Rutas SKU_Cons'!B507="","",'[3]Motor Rutas SKU_Cons'!B507)</f>
        <v>Planta Zapopan</v>
      </c>
      <c r="D503">
        <f>'[3]Motor Rutas SKU_Cons'!A507</f>
        <v>816373</v>
      </c>
      <c r="E503" s="997" t="str">
        <f>IF('[3]Motor Rutas SKU_Cons'!N507="","s/d","Agua "&amp;TEXT('[3]Motor Rutas SKU_Cons'!N507,"0%")&amp;" · Colas "&amp;TEXT('[3]Motor Rutas SKU_Cons'!O507,"0%")&amp;" · Resto "&amp;TEXT('[3]Motor Rutas SKU_Cons'!P507,"0%"))</f>
        <v>Agua 85% · Colas 8% · Resto 7%</v>
      </c>
      <c r="F503" s="16">
        <f>'[3]Motor Rutas SKU_Cons'!CH507</f>
        <v>0.27380776505802229</v>
      </c>
      <c r="G503" s="16">
        <f>'[3]Motor Rutas SKU_Cons'!CG507</f>
        <v>0.55913851804602221</v>
      </c>
      <c r="H503" s="998">
        <f>'[3]Motor Rutas SKU_Cons'!BX507</f>
        <v>42.735907571301254</v>
      </c>
      <c r="I503" s="998">
        <f>'[3]Motor Rutas SKU_Cons'!BW507</f>
        <v>0</v>
      </c>
    </row>
    <row r="504" spans="1:9">
      <c r="A504" t="str">
        <f>IF('[3]Motor Rutas SKU_Cons'!C508="","",'[3]Motor Rutas SKU_Cons'!C508)</f>
        <v>Occidente</v>
      </c>
      <c r="B504" t="str">
        <f>IF('[3]Motor Rutas SKU_Cons'!D508="","",'[3]Motor Rutas SKU_Cons'!D508)</f>
        <v>Favorita</v>
      </c>
      <c r="C504" t="str">
        <f>IF('[3]Motor Rutas SKU_Cons'!B508="","",'[3]Motor Rutas SKU_Cons'!B508)</f>
        <v>Cedi Tonalá</v>
      </c>
      <c r="D504">
        <f>'[3]Motor Rutas SKU_Cons'!A508</f>
        <v>810320</v>
      </c>
      <c r="E504" s="997" t="str">
        <f>IF('[3]Motor Rutas SKU_Cons'!N508="","s/d","Agua "&amp;TEXT('[3]Motor Rutas SKU_Cons'!N508,"0%")&amp;" · Colas "&amp;TEXT('[3]Motor Rutas SKU_Cons'!O508,"0%")&amp;" · Resto "&amp;TEXT('[3]Motor Rutas SKU_Cons'!P508,"0%"))</f>
        <v>Agua 85% · Colas 8% · Resto 7%</v>
      </c>
      <c r="F504" s="16">
        <f>'[3]Motor Rutas SKU_Cons'!CH508</f>
        <v>0.32668652310513979</v>
      </c>
      <c r="G504" s="16">
        <f>'[3]Motor Rutas SKU_Cons'!CG508</f>
        <v>0.55909411067045456</v>
      </c>
      <c r="H504" s="998">
        <f>'[3]Motor Rutas SKU_Cons'!BX508</f>
        <v>37.54044751782537</v>
      </c>
      <c r="I504" s="998">
        <f>'[3]Motor Rutas SKU_Cons'!BW508</f>
        <v>0</v>
      </c>
    </row>
    <row r="505" spans="1:9">
      <c r="A505" t="str">
        <f>IF('[3]Motor Rutas SKU_Cons'!C509="","",'[3]Motor Rutas SKU_Cons'!C509)</f>
        <v>Norte</v>
      </c>
      <c r="B505" t="str">
        <f>IF('[3]Motor Rutas SKU_Cons'!D509="","",'[3]Motor Rutas SKU_Cons'!D509)</f>
        <v>Guadiana</v>
      </c>
      <c r="C505" t="str">
        <f>IF('[3]Motor Rutas SKU_Cons'!B509="","",'[3]Motor Rutas SKU_Cons'!B509)</f>
        <v>Planta Guadiana</v>
      </c>
      <c r="D505">
        <f>'[3]Motor Rutas SKU_Cons'!A509</f>
        <v>931425</v>
      </c>
      <c r="E505" s="997" t="str">
        <f>IF('[3]Motor Rutas SKU_Cons'!N509="","s/d","Agua "&amp;TEXT('[3]Motor Rutas SKU_Cons'!N509,"0%")&amp;" · Colas "&amp;TEXT('[3]Motor Rutas SKU_Cons'!O509,"0%")&amp;" · Resto "&amp;TEXT('[3]Motor Rutas SKU_Cons'!P509,"0%"))</f>
        <v>Agua 85% · Colas 8% · Resto 7%</v>
      </c>
      <c r="F505" s="16">
        <f>'[3]Motor Rutas SKU_Cons'!CH509</f>
        <v>0.48782043363796002</v>
      </c>
      <c r="G505" s="16">
        <f>'[3]Motor Rutas SKU_Cons'!CG509</f>
        <v>0.55779054545454565</v>
      </c>
      <c r="H505" s="998">
        <f>'[3]Motor Rutas SKU_Cons'!BX509</f>
        <v>37.004935094474192</v>
      </c>
      <c r="I505" s="998">
        <f>'[3]Motor Rutas SKU_Cons'!BW509</f>
        <v>0</v>
      </c>
    </row>
    <row r="506" spans="1:9">
      <c r="A506" t="str">
        <f>IF('[3]Motor Rutas SKU_Cons'!C510="","",'[3]Motor Rutas SKU_Cons'!C510)</f>
        <v>Norte</v>
      </c>
      <c r="B506" t="str">
        <f>IF('[3]Motor Rutas SKU_Cons'!D510="","",'[3]Motor Rutas SKU_Cons'!D510)</f>
        <v>Juárez</v>
      </c>
      <c r="C506" t="str">
        <f>IF('[3]Motor Rutas SKU_Cons'!B510="","",'[3]Motor Rutas SKU_Cons'!B510)</f>
        <v>Planta Cd. Juárez</v>
      </c>
      <c r="D506">
        <f>'[3]Motor Rutas SKU_Cons'!A510</f>
        <v>301351</v>
      </c>
      <c r="E506" s="997" t="str">
        <f>IF('[3]Motor Rutas SKU_Cons'!N510="","s/d","Agua "&amp;TEXT('[3]Motor Rutas SKU_Cons'!N510,"0%")&amp;" · Colas "&amp;TEXT('[3]Motor Rutas SKU_Cons'!O510,"0%")&amp;" · Resto "&amp;TEXT('[3]Motor Rutas SKU_Cons'!P510,"0%"))</f>
        <v>Agua 85% · Colas 8% · Resto 7%</v>
      </c>
      <c r="F506" s="16">
        <f>'[3]Motor Rutas SKU_Cons'!CH510</f>
        <v>0.24575385143944331</v>
      </c>
      <c r="G506" s="16">
        <f>'[3]Motor Rutas SKU_Cons'!CG510</f>
        <v>0.55774556288181643</v>
      </c>
      <c r="H506" s="998">
        <f>'[3]Motor Rutas SKU_Cons'!BX510</f>
        <v>33.986941065953587</v>
      </c>
      <c r="I506" s="998">
        <f>'[3]Motor Rutas SKU_Cons'!BW510</f>
        <v>0</v>
      </c>
    </row>
    <row r="507" spans="1:9">
      <c r="A507" t="str">
        <f>IF('[3]Motor Rutas SKU_Cons'!C511="","",'[3]Motor Rutas SKU_Cons'!C511)</f>
        <v>Occidente</v>
      </c>
      <c r="B507" t="str">
        <f>IF('[3]Motor Rutas SKU_Cons'!D511="","",'[3]Motor Rutas SKU_Cons'!D511)</f>
        <v>Matehuala</v>
      </c>
      <c r="C507" t="str">
        <f>IF('[3]Motor Rutas SKU_Cons'!B511="","",'[3]Motor Rutas SKU_Cons'!B511)</f>
        <v>Planta Matehuala</v>
      </c>
      <c r="D507">
        <f>'[3]Motor Rutas SKU_Cons'!A511</f>
        <v>925300</v>
      </c>
      <c r="E507" s="997" t="str">
        <f>IF('[3]Motor Rutas SKU_Cons'!N511="","s/d","Agua "&amp;TEXT('[3]Motor Rutas SKU_Cons'!N511,"0%")&amp;" · Colas "&amp;TEXT('[3]Motor Rutas SKU_Cons'!O511,"0%")&amp;" · Resto "&amp;TEXT('[3]Motor Rutas SKU_Cons'!P511,"0%"))</f>
        <v>Agua 85% · Colas 8% · Resto 7%</v>
      </c>
      <c r="F507" s="16">
        <f>'[3]Motor Rutas SKU_Cons'!CH511</f>
        <v>0.28023670452295879</v>
      </c>
      <c r="G507" s="16">
        <f>'[3]Motor Rutas SKU_Cons'!CG511</f>
        <v>0.55765476398864022</v>
      </c>
      <c r="H507" s="998">
        <f>'[3]Motor Rutas SKU_Cons'!BX511</f>
        <v>41.920202734403439</v>
      </c>
      <c r="I507" s="998">
        <f>'[3]Motor Rutas SKU_Cons'!BW511</f>
        <v>0</v>
      </c>
    </row>
    <row r="508" spans="1:9">
      <c r="A508" t="str">
        <f>IF('[3]Motor Rutas SKU_Cons'!C512="","",'[3]Motor Rutas SKU_Cons'!C512)</f>
        <v>Occidente</v>
      </c>
      <c r="B508" t="str">
        <f>IF('[3]Motor Rutas SKU_Cons'!D512="","",'[3]Motor Rutas SKU_Cons'!D512)</f>
        <v>Aguascalientes</v>
      </c>
      <c r="C508" t="str">
        <f>IF('[3]Motor Rutas SKU_Cons'!B512="","",'[3]Motor Rutas SKU_Cons'!B512)</f>
        <v>Planta Aguascalientes</v>
      </c>
      <c r="D508">
        <f>'[3]Motor Rutas SKU_Cons'!A512</f>
        <v>901404</v>
      </c>
      <c r="E508" s="997" t="str">
        <f>IF('[3]Motor Rutas SKU_Cons'!N512="","s/d","Agua "&amp;TEXT('[3]Motor Rutas SKU_Cons'!N512,"0%")&amp;" · Colas "&amp;TEXT('[3]Motor Rutas SKU_Cons'!O512,"0%")&amp;" · Resto "&amp;TEXT('[3]Motor Rutas SKU_Cons'!P512,"0%"))</f>
        <v>Agua 85% · Colas 8% · Resto 7%</v>
      </c>
      <c r="F508" s="16">
        <f>'[3]Motor Rutas SKU_Cons'!CH512</f>
        <v>0.13295822843806443</v>
      </c>
      <c r="G508" s="16">
        <f>'[3]Motor Rutas SKU_Cons'!CG512</f>
        <v>0.55731736462500003</v>
      </c>
      <c r="H508" s="998">
        <f>'[3]Motor Rutas SKU_Cons'!BX512</f>
        <v>56.333250804812835</v>
      </c>
      <c r="I508" s="998">
        <f>'[3]Motor Rutas SKU_Cons'!BW512</f>
        <v>0</v>
      </c>
    </row>
    <row r="509" spans="1:9">
      <c r="A509" t="str">
        <f>IF('[3]Motor Rutas SKU_Cons'!C513="","",'[3]Motor Rutas SKU_Cons'!C513)</f>
        <v>Norte</v>
      </c>
      <c r="B509" t="str">
        <f>IF('[3]Motor Rutas SKU_Cons'!D513="","",'[3]Motor Rutas SKU_Cons'!D513)</f>
        <v>Chihuahua</v>
      </c>
      <c r="C509" t="str">
        <f>IF('[3]Motor Rutas SKU_Cons'!B513="","",'[3]Motor Rutas SKU_Cons'!B513)</f>
        <v>Planta Chihuahua</v>
      </c>
      <c r="D509">
        <f>'[3]Motor Rutas SKU_Cons'!A513</f>
        <v>308348</v>
      </c>
      <c r="E509" s="997" t="str">
        <f>IF('[3]Motor Rutas SKU_Cons'!N513="","s/d","Agua "&amp;TEXT('[3]Motor Rutas SKU_Cons'!N513,"0%")&amp;" · Colas "&amp;TEXT('[3]Motor Rutas SKU_Cons'!O513,"0%")&amp;" · Resto "&amp;TEXT('[3]Motor Rutas SKU_Cons'!P513,"0%"))</f>
        <v>Agua 85% · Colas 8% · Resto 7%</v>
      </c>
      <c r="F509" s="16">
        <f>'[3]Motor Rutas SKU_Cons'!CH513</f>
        <v>0.49190361532420196</v>
      </c>
      <c r="G509" s="16">
        <f>'[3]Motor Rutas SKU_Cons'!CG513</f>
        <v>0.39550963704545367</v>
      </c>
      <c r="H509" s="998">
        <f>'[3]Motor Rutas SKU_Cons'!BX513</f>
        <v>15.491178104277964</v>
      </c>
      <c r="I509" s="998">
        <f>'[3]Motor Rutas SKU_Cons'!BW513</f>
        <v>0</v>
      </c>
    </row>
    <row r="510" spans="1:9">
      <c r="A510" t="str">
        <f>IF('[3]Motor Rutas SKU_Cons'!C514="","",'[3]Motor Rutas SKU_Cons'!C514)</f>
        <v>Noreste</v>
      </c>
      <c r="B510" t="str">
        <f>IF('[3]Motor Rutas SKU_Cons'!D514="","",'[3]Motor Rutas SKU_Cons'!D514)</f>
        <v>Monclova</v>
      </c>
      <c r="C510" t="str">
        <f>IF('[3]Motor Rutas SKU_Cons'!B514="","",'[3]Motor Rutas SKU_Cons'!B514)</f>
        <v>Sucursal Monclova</v>
      </c>
      <c r="D510">
        <f>'[3]Motor Rutas SKU_Cons'!A514</f>
        <v>206301</v>
      </c>
      <c r="E510" s="997" t="str">
        <f>IF('[3]Motor Rutas SKU_Cons'!N514="","s/d","Agua "&amp;TEXT('[3]Motor Rutas SKU_Cons'!N514,"0%")&amp;" · Colas "&amp;TEXT('[3]Motor Rutas SKU_Cons'!O514,"0%")&amp;" · Resto "&amp;TEXT('[3]Motor Rutas SKU_Cons'!P514,"0%"))</f>
        <v>Agua 80% · Colas 12% · Resto 8%</v>
      </c>
      <c r="F510" s="16">
        <f>'[3]Motor Rutas SKU_Cons'!CH514</f>
        <v>0.1492397893368389</v>
      </c>
      <c r="G510" s="16">
        <f>'[3]Motor Rutas SKU_Cons'!CG514</f>
        <v>0.55336583659090888</v>
      </c>
      <c r="H510" s="998">
        <f>'[3]Motor Rutas SKU_Cons'!BX514</f>
        <v>62.625155970118868</v>
      </c>
      <c r="I510" s="998">
        <f>'[3]Motor Rutas SKU_Cons'!BW514</f>
        <v>0</v>
      </c>
    </row>
    <row r="511" spans="1:9">
      <c r="A511" t="str">
        <f>IF('[3]Motor Rutas SKU_Cons'!C515="","",'[3]Motor Rutas SKU_Cons'!C515)</f>
        <v>Occidente</v>
      </c>
      <c r="B511" t="str">
        <f>IF('[3]Motor Rutas SKU_Cons'!D515="","",'[3]Motor Rutas SKU_Cons'!D515)</f>
        <v>Favorita</v>
      </c>
      <c r="C511" t="str">
        <f>IF('[3]Motor Rutas SKU_Cons'!B515="","",'[3]Motor Rutas SKU_Cons'!B515)</f>
        <v>Suc. Santa Maria</v>
      </c>
      <c r="D511">
        <f>'[3]Motor Rutas SKU_Cons'!A515</f>
        <v>809356</v>
      </c>
      <c r="E511" s="997" t="str">
        <f>IF('[3]Motor Rutas SKU_Cons'!N515="","s/d","Agua "&amp;TEXT('[3]Motor Rutas SKU_Cons'!N515,"0%")&amp;" · Colas "&amp;TEXT('[3]Motor Rutas SKU_Cons'!O515,"0%")&amp;" · Resto "&amp;TEXT('[3]Motor Rutas SKU_Cons'!P515,"0%"))</f>
        <v>Agua 85% · Colas 8% · Resto 7%</v>
      </c>
      <c r="F511" s="16">
        <f>'[3]Motor Rutas SKU_Cons'!CH515</f>
        <v>0.2288292593449178</v>
      </c>
      <c r="G511" s="16">
        <f>'[3]Motor Rutas SKU_Cons'!CG515</f>
        <v>0.55325487190909028</v>
      </c>
      <c r="H511" s="998">
        <f>'[3]Motor Rutas SKU_Cons'!BX515</f>
        <v>46.417967034759272</v>
      </c>
      <c r="I511" s="998">
        <f>'[3]Motor Rutas SKU_Cons'!BW515</f>
        <v>0</v>
      </c>
    </row>
    <row r="512" spans="1:9">
      <c r="A512" t="str">
        <f>IF('[3]Motor Rutas SKU_Cons'!C516="","",'[3]Motor Rutas SKU_Cons'!C516)</f>
        <v>Occidente</v>
      </c>
      <c r="B512" t="str">
        <f>IF('[3]Motor Rutas SKU_Cons'!D516="","",'[3]Motor Rutas SKU_Cons'!D516)</f>
        <v>Favorita</v>
      </c>
      <c r="C512" t="str">
        <f>IF('[3]Motor Rutas SKU_Cons'!B516="","",'[3]Motor Rutas SKU_Cons'!B516)</f>
        <v>Cedi Tonalá</v>
      </c>
      <c r="D512">
        <f>'[3]Motor Rutas SKU_Cons'!A516</f>
        <v>810342</v>
      </c>
      <c r="E512" s="997" t="str">
        <f>IF('[3]Motor Rutas SKU_Cons'!N516="","s/d","Agua "&amp;TEXT('[3]Motor Rutas SKU_Cons'!N516,"0%")&amp;" · Colas "&amp;TEXT('[3]Motor Rutas SKU_Cons'!O516,"0%")&amp;" · Resto "&amp;TEXT('[3]Motor Rutas SKU_Cons'!P516,"0%"))</f>
        <v>Agua 85% · Colas 8% · Resto 7%</v>
      </c>
      <c r="F512" s="16">
        <f>'[3]Motor Rutas SKU_Cons'!CH516</f>
        <v>0.19512169887375369</v>
      </c>
      <c r="G512" s="16">
        <f>'[3]Motor Rutas SKU_Cons'!CG516</f>
        <v>0.5524453827613629</v>
      </c>
      <c r="H512" s="998">
        <f>'[3]Motor Rutas SKU_Cons'!BX516</f>
        <v>49.625511811942928</v>
      </c>
      <c r="I512" s="998">
        <f>'[3]Motor Rutas SKU_Cons'!BW516</f>
        <v>0</v>
      </c>
    </row>
    <row r="513" spans="1:9">
      <c r="A513" t="str">
        <f>IF('[3]Motor Rutas SKU_Cons'!C517="","",'[3]Motor Rutas SKU_Cons'!C517)</f>
        <v>Occidente</v>
      </c>
      <c r="B513" t="str">
        <f>IF('[3]Motor Rutas SKU_Cons'!D517="","",'[3]Motor Rutas SKU_Cons'!D517)</f>
        <v>Zapopan</v>
      </c>
      <c r="C513" t="str">
        <f>IF('[3]Motor Rutas SKU_Cons'!B517="","",'[3]Motor Rutas SKU_Cons'!B517)</f>
        <v>Suc. Belenes</v>
      </c>
      <c r="D513">
        <f>'[3]Motor Rutas SKU_Cons'!A517</f>
        <v>820350</v>
      </c>
      <c r="E513" s="997" t="str">
        <f>IF('[3]Motor Rutas SKU_Cons'!N517="","s/d","Agua "&amp;TEXT('[3]Motor Rutas SKU_Cons'!N517,"0%")&amp;" · Colas "&amp;TEXT('[3]Motor Rutas SKU_Cons'!O517,"0%")&amp;" · Resto "&amp;TEXT('[3]Motor Rutas SKU_Cons'!P517,"0%"))</f>
        <v>Agua 85% · Colas 8% · Resto 7%</v>
      </c>
      <c r="F513" s="16">
        <f>'[3]Motor Rutas SKU_Cons'!CH517</f>
        <v>0.25414521740259355</v>
      </c>
      <c r="G513" s="16">
        <f>'[3]Motor Rutas SKU_Cons'!CG517</f>
        <v>0.55238334995454552</v>
      </c>
      <c r="H513" s="998">
        <f>'[3]Motor Rutas SKU_Cons'!BX517</f>
        <v>43.824763024064211</v>
      </c>
      <c r="I513" s="998">
        <f>'[3]Motor Rutas SKU_Cons'!BW517</f>
        <v>0</v>
      </c>
    </row>
    <row r="514" spans="1:9">
      <c r="A514" t="str">
        <f>IF('[3]Motor Rutas SKU_Cons'!C518="","",'[3]Motor Rutas SKU_Cons'!C518)</f>
        <v>Occidente</v>
      </c>
      <c r="B514" t="str">
        <f>IF('[3]Motor Rutas SKU_Cons'!D518="","",'[3]Motor Rutas SKU_Cons'!D518)</f>
        <v>Favorita</v>
      </c>
      <c r="C514" t="str">
        <f>IF('[3]Motor Rutas SKU_Cons'!B518="","",'[3]Motor Rutas SKU_Cons'!B518)</f>
        <v>Suc. San Rafael</v>
      </c>
      <c r="D514">
        <f>'[3]Motor Rutas SKU_Cons'!A518</f>
        <v>803410</v>
      </c>
      <c r="E514" s="997" t="str">
        <f>IF('[3]Motor Rutas SKU_Cons'!N518="","s/d","Agua "&amp;TEXT('[3]Motor Rutas SKU_Cons'!N518,"0%")&amp;" · Colas "&amp;TEXT('[3]Motor Rutas SKU_Cons'!O518,"0%")&amp;" · Resto "&amp;TEXT('[3]Motor Rutas SKU_Cons'!P518,"0%"))</f>
        <v>Agua 85% · Colas 8% · Resto 7%</v>
      </c>
      <c r="F514" s="16">
        <f>'[3]Motor Rutas SKU_Cons'!CH518</f>
        <v>0.36058344587121571</v>
      </c>
      <c r="G514" s="16">
        <f>'[3]Motor Rutas SKU_Cons'!CG518</f>
        <v>0.55168509589772674</v>
      </c>
      <c r="H514" s="998">
        <f>'[3]Motor Rutas SKU_Cons'!BX518</f>
        <v>33.291160838680902</v>
      </c>
      <c r="I514" s="998">
        <f>'[3]Motor Rutas SKU_Cons'!BW518</f>
        <v>0</v>
      </c>
    </row>
    <row r="515" spans="1:9">
      <c r="A515" t="str">
        <f>IF('[3]Motor Rutas SKU_Cons'!C519="","",'[3]Motor Rutas SKU_Cons'!C519)</f>
        <v>Occidente</v>
      </c>
      <c r="B515" t="str">
        <f>IF('[3]Motor Rutas SKU_Cons'!D519="","",'[3]Motor Rutas SKU_Cons'!D519)</f>
        <v>Zapopan</v>
      </c>
      <c r="C515" t="str">
        <f>IF('[3]Motor Rutas SKU_Cons'!B519="","",'[3]Motor Rutas SKU_Cons'!B519)</f>
        <v>Suc. Belenes</v>
      </c>
      <c r="D515">
        <f>'[3]Motor Rutas SKU_Cons'!A519</f>
        <v>820425</v>
      </c>
      <c r="E515" s="997" t="str">
        <f>IF('[3]Motor Rutas SKU_Cons'!N519="","s/d","Agua "&amp;TEXT('[3]Motor Rutas SKU_Cons'!N519,"0%")&amp;" · Colas "&amp;TEXT('[3]Motor Rutas SKU_Cons'!O519,"0%")&amp;" · Resto "&amp;TEXT('[3]Motor Rutas SKU_Cons'!P519,"0%"))</f>
        <v>Agua 85% · Colas 8% · Resto 7%</v>
      </c>
      <c r="F515" s="16">
        <f>'[3]Motor Rutas SKU_Cons'!CH519</f>
        <v>0.27575273205301321</v>
      </c>
      <c r="G515" s="16">
        <f>'[3]Motor Rutas SKU_Cons'!CG519</f>
        <v>0.55144743088909021</v>
      </c>
      <c r="H515" s="998">
        <f>'[3]Motor Rutas SKU_Cons'!BX519</f>
        <v>41.587517352941155</v>
      </c>
      <c r="I515" s="998">
        <f>'[3]Motor Rutas SKU_Cons'!BW519</f>
        <v>0</v>
      </c>
    </row>
    <row r="516" spans="1:9">
      <c r="A516" t="str">
        <f>IF('[3]Motor Rutas SKU_Cons'!C520="","",'[3]Motor Rutas SKU_Cons'!C520)</f>
        <v>Occidente</v>
      </c>
      <c r="B516" t="str">
        <f>IF('[3]Motor Rutas SKU_Cons'!D520="","",'[3]Motor Rutas SKU_Cons'!D520)</f>
        <v>Favorita</v>
      </c>
      <c r="C516" t="str">
        <f>IF('[3]Motor Rutas SKU_Cons'!B520="","",'[3]Motor Rutas SKU_Cons'!B520)</f>
        <v>Suc. Santa Maria</v>
      </c>
      <c r="D516">
        <f>'[3]Motor Rutas SKU_Cons'!A520</f>
        <v>809380</v>
      </c>
      <c r="E516" s="997" t="str">
        <f>IF('[3]Motor Rutas SKU_Cons'!N520="","s/d","Agua "&amp;TEXT('[3]Motor Rutas SKU_Cons'!N520,"0%")&amp;" · Colas "&amp;TEXT('[3]Motor Rutas SKU_Cons'!O520,"0%")&amp;" · Resto "&amp;TEXT('[3]Motor Rutas SKU_Cons'!P520,"0%"))</f>
        <v>Agua 85% · Colas 8% · Resto 7%</v>
      </c>
      <c r="F516" s="16">
        <f>'[3]Motor Rutas SKU_Cons'!CH520</f>
        <v>0.1054869172849595</v>
      </c>
      <c r="G516" s="16">
        <f>'[3]Motor Rutas SKU_Cons'!CG520</f>
        <v>0.5488670908636365</v>
      </c>
      <c r="H516" s="998">
        <f>'[3]Motor Rutas SKU_Cons'!BX520</f>
        <v>57.977487998217512</v>
      </c>
      <c r="I516" s="998">
        <f>'[3]Motor Rutas SKU_Cons'!BW520</f>
        <v>0</v>
      </c>
    </row>
    <row r="517" spans="1:9">
      <c r="A517" t="str">
        <f>IF('[3]Motor Rutas SKU_Cons'!C521="","",'[3]Motor Rutas SKU_Cons'!C521)</f>
        <v>Noreste</v>
      </c>
      <c r="B517" t="str">
        <f>IF('[3]Motor Rutas SKU_Cons'!D521="","",'[3]Motor Rutas SKU_Cons'!D521)</f>
        <v>Saltillo</v>
      </c>
      <c r="C517" t="str">
        <f>IF('[3]Motor Rutas SKU_Cons'!B521="","",'[3]Motor Rutas SKU_Cons'!B521)</f>
        <v>Planta Agua y Hielo</v>
      </c>
      <c r="D517">
        <f>'[3]Motor Rutas SKU_Cons'!A521</f>
        <v>203303</v>
      </c>
      <c r="E517" s="997" t="str">
        <f>IF('[3]Motor Rutas SKU_Cons'!N521="","s/d","Agua "&amp;TEXT('[3]Motor Rutas SKU_Cons'!N521,"0%")&amp;" · Colas "&amp;TEXT('[3]Motor Rutas SKU_Cons'!O521,"0%")&amp;" · Resto "&amp;TEXT('[3]Motor Rutas SKU_Cons'!P521,"0%"))</f>
        <v>Agua 80% · Colas 12% · Resto 8%</v>
      </c>
      <c r="F517" s="16">
        <f>'[3]Motor Rutas SKU_Cons'!CH521</f>
        <v>0.2620653232801986</v>
      </c>
      <c r="G517" s="16">
        <f>'[3]Motor Rutas SKU_Cons'!CG521</f>
        <v>0.54849171477272718</v>
      </c>
      <c r="H517" s="998">
        <f>'[3]Motor Rutas SKU_Cons'!BX521</f>
        <v>43.455980800337528</v>
      </c>
      <c r="I517" s="998">
        <f>'[3]Motor Rutas SKU_Cons'!BW521</f>
        <v>0</v>
      </c>
    </row>
    <row r="518" spans="1:9">
      <c r="A518" t="str">
        <f>IF('[3]Motor Rutas SKU_Cons'!C522="","",'[3]Motor Rutas SKU_Cons'!C522)</f>
        <v>Occidente</v>
      </c>
      <c r="B518" t="str">
        <f>IF('[3]Motor Rutas SKU_Cons'!D522="","",'[3]Motor Rutas SKU_Cons'!D522)</f>
        <v>San Luis</v>
      </c>
      <c r="C518" t="str">
        <f>IF('[3]Motor Rutas SKU_Cons'!B522="","",'[3]Motor Rutas SKU_Cons'!B522)</f>
        <v>Planta San Luis</v>
      </c>
      <c r="D518">
        <f>'[3]Motor Rutas SKU_Cons'!A522</f>
        <v>916342</v>
      </c>
      <c r="E518" s="997" t="str">
        <f>IF('[3]Motor Rutas SKU_Cons'!N522="","s/d","Agua "&amp;TEXT('[3]Motor Rutas SKU_Cons'!N522,"0%")&amp;" · Colas "&amp;TEXT('[3]Motor Rutas SKU_Cons'!O522,"0%")&amp;" · Resto "&amp;TEXT('[3]Motor Rutas SKU_Cons'!P522,"0%"))</f>
        <v>Agua 85% · Colas 8% · Resto 7%</v>
      </c>
      <c r="F518" s="16">
        <f>'[3]Motor Rutas SKU_Cons'!CH522</f>
        <v>0.29537626617460766</v>
      </c>
      <c r="G518" s="16">
        <f>'[3]Motor Rutas SKU_Cons'!CG522</f>
        <v>0.54845659575000016</v>
      </c>
      <c r="H518" s="998">
        <f>'[3]Motor Rutas SKU_Cons'!BX522</f>
        <v>39.289169704991131</v>
      </c>
      <c r="I518" s="998">
        <f>'[3]Motor Rutas SKU_Cons'!BW522</f>
        <v>0</v>
      </c>
    </row>
    <row r="519" spans="1:9">
      <c r="A519" t="str">
        <f>IF('[3]Motor Rutas SKU_Cons'!C523="","",'[3]Motor Rutas SKU_Cons'!C523)</f>
        <v>Noreste</v>
      </c>
      <c r="B519" t="str">
        <f>IF('[3]Motor Rutas SKU_Cons'!D523="","",'[3]Motor Rutas SKU_Cons'!D523)</f>
        <v>Monterrey</v>
      </c>
      <c r="C519" t="str">
        <f>IF('[3]Motor Rutas SKU_Cons'!B523="","",'[3]Motor Rutas SKU_Cons'!B523)</f>
        <v>Sucursal Santa Catarina</v>
      </c>
      <c r="D519">
        <f>'[3]Motor Rutas SKU_Cons'!A523</f>
        <v>712310</v>
      </c>
      <c r="E519" s="997" t="str">
        <f>IF('[3]Motor Rutas SKU_Cons'!N523="","s/d","Agua "&amp;TEXT('[3]Motor Rutas SKU_Cons'!N523,"0%")&amp;" · Colas "&amp;TEXT('[3]Motor Rutas SKU_Cons'!O523,"0%")&amp;" · Resto "&amp;TEXT('[3]Motor Rutas SKU_Cons'!P523,"0%"))</f>
        <v>Agua 80% · Colas 12% · Resto 8%</v>
      </c>
      <c r="F519" s="16">
        <f>'[3]Motor Rutas SKU_Cons'!CH523</f>
        <v>0.65942441096988624</v>
      </c>
      <c r="G519" s="16">
        <f>'[3]Motor Rutas SKU_Cons'!CG523</f>
        <v>0.54776630618181776</v>
      </c>
      <c r="H519" s="998">
        <f>'[3]Motor Rutas SKU_Cons'!BX523</f>
        <v>23.91508957575752</v>
      </c>
      <c r="I519" s="998">
        <f>'[3]Motor Rutas SKU_Cons'!BW523</f>
        <v>0</v>
      </c>
    </row>
    <row r="520" spans="1:9">
      <c r="A520" t="str">
        <f>IF('[3]Motor Rutas SKU_Cons'!C524="","",'[3]Motor Rutas SKU_Cons'!C524)</f>
        <v>Norte</v>
      </c>
      <c r="B520" t="str">
        <f>IF('[3]Motor Rutas SKU_Cons'!D524="","",'[3]Motor Rutas SKU_Cons'!D524)</f>
        <v>Chihuahua</v>
      </c>
      <c r="C520" t="str">
        <f>IF('[3]Motor Rutas SKU_Cons'!B524="","",'[3]Motor Rutas SKU_Cons'!B524)</f>
        <v>Planta Chihuahua</v>
      </c>
      <c r="D520">
        <f>'[3]Motor Rutas SKU_Cons'!A524</f>
        <v>308344</v>
      </c>
      <c r="E520" s="997" t="str">
        <f>IF('[3]Motor Rutas SKU_Cons'!N524="","s/d","Agua "&amp;TEXT('[3]Motor Rutas SKU_Cons'!N524,"0%")&amp;" · Colas "&amp;TEXT('[3]Motor Rutas SKU_Cons'!O524,"0%")&amp;" · Resto "&amp;TEXT('[3]Motor Rutas SKU_Cons'!P524,"0%"))</f>
        <v>Agua 85% · Colas 8% · Resto 7%</v>
      </c>
      <c r="F520" s="16">
        <f>'[3]Motor Rutas SKU_Cons'!CH524</f>
        <v>0.54940363436185591</v>
      </c>
      <c r="G520" s="16">
        <f>'[3]Motor Rutas SKU_Cons'!CG524</f>
        <v>0.54752711809090793</v>
      </c>
      <c r="H520" s="998">
        <f>'[3]Motor Rutas SKU_Cons'!BX524</f>
        <v>11.590804775822647</v>
      </c>
      <c r="I520" s="998">
        <f>'[3]Motor Rutas SKU_Cons'!BW524</f>
        <v>0</v>
      </c>
    </row>
    <row r="521" spans="1:9">
      <c r="A521" t="str">
        <f>IF('[3]Motor Rutas SKU_Cons'!C525="","",'[3]Motor Rutas SKU_Cons'!C525)</f>
        <v>Norte</v>
      </c>
      <c r="B521" t="str">
        <f>IF('[3]Motor Rutas SKU_Cons'!D525="","",'[3]Motor Rutas SKU_Cons'!D525)</f>
        <v>Zacatecas</v>
      </c>
      <c r="C521" t="str">
        <f>IF('[3]Motor Rutas SKU_Cons'!B525="","",'[3]Motor Rutas SKU_Cons'!B525)</f>
        <v>Planta Zacatecas</v>
      </c>
      <c r="D521">
        <f>'[3]Motor Rutas SKU_Cons'!A525</f>
        <v>946411</v>
      </c>
      <c r="E521" s="997" t="str">
        <f>IF('[3]Motor Rutas SKU_Cons'!N525="","s/d","Agua "&amp;TEXT('[3]Motor Rutas SKU_Cons'!N525,"0%")&amp;" · Colas "&amp;TEXT('[3]Motor Rutas SKU_Cons'!O525,"0%")&amp;" · Resto "&amp;TEXT('[3]Motor Rutas SKU_Cons'!P525,"0%"))</f>
        <v>Agua 85% · Colas 8% · Resto 7%</v>
      </c>
      <c r="F521" s="16">
        <f>'[3]Motor Rutas SKU_Cons'!CH525</f>
        <v>0.58467393827306835</v>
      </c>
      <c r="G521" s="16">
        <f>'[3]Motor Rutas SKU_Cons'!CG525</f>
        <v>0.53156387103896063</v>
      </c>
      <c r="H521" s="998">
        <f>'[3]Motor Rutas SKU_Cons'!BX525</f>
        <v>30.855003470588166</v>
      </c>
      <c r="I521" s="998">
        <f>'[3]Motor Rutas SKU_Cons'!BW525</f>
        <v>0</v>
      </c>
    </row>
    <row r="522" spans="1:9">
      <c r="A522" t="str">
        <f>IF('[3]Motor Rutas SKU_Cons'!C526="","",'[3]Motor Rutas SKU_Cons'!C526)</f>
        <v>Occidente</v>
      </c>
      <c r="B522" t="str">
        <f>IF('[3]Motor Rutas SKU_Cons'!D526="","",'[3]Motor Rutas SKU_Cons'!D526)</f>
        <v>Favorita</v>
      </c>
      <c r="C522" t="str">
        <f>IF('[3]Motor Rutas SKU_Cons'!B526="","",'[3]Motor Rutas SKU_Cons'!B526)</f>
        <v>Cedi Tonalá</v>
      </c>
      <c r="D522">
        <f>'[3]Motor Rutas SKU_Cons'!A526</f>
        <v>810354</v>
      </c>
      <c r="E522" s="997" t="str">
        <f>IF('[3]Motor Rutas SKU_Cons'!N526="","s/d","Agua "&amp;TEXT('[3]Motor Rutas SKU_Cons'!N526,"0%")&amp;" · Colas "&amp;TEXT('[3]Motor Rutas SKU_Cons'!O526,"0%")&amp;" · Resto "&amp;TEXT('[3]Motor Rutas SKU_Cons'!P526,"0%"))</f>
        <v>Agua 85% · Colas 8% · Resto 7%</v>
      </c>
      <c r="F522" s="16">
        <f>'[3]Motor Rutas SKU_Cons'!CH526</f>
        <v>0.43894654291839597</v>
      </c>
      <c r="G522" s="16">
        <f>'[3]Motor Rutas SKU_Cons'!CG526</f>
        <v>0.54449789410227256</v>
      </c>
      <c r="H522" s="998">
        <f>'[3]Motor Rutas SKU_Cons'!BX526</f>
        <v>24.705233249554283</v>
      </c>
      <c r="I522" s="998">
        <f>'[3]Motor Rutas SKU_Cons'!BW526</f>
        <v>0</v>
      </c>
    </row>
    <row r="523" spans="1:9">
      <c r="A523" t="str">
        <f>IF('[3]Motor Rutas SKU_Cons'!C527="","",'[3]Motor Rutas SKU_Cons'!C527)</f>
        <v>Occidente</v>
      </c>
      <c r="B523" t="str">
        <f>IF('[3]Motor Rutas SKU_Cons'!D527="","",'[3]Motor Rutas SKU_Cons'!D527)</f>
        <v>Zapopan</v>
      </c>
      <c r="C523" t="str">
        <f>IF('[3]Motor Rutas SKU_Cons'!B527="","",'[3]Motor Rutas SKU_Cons'!B527)</f>
        <v>Suc. Belenes</v>
      </c>
      <c r="D523">
        <f>'[3]Motor Rutas SKU_Cons'!A527</f>
        <v>820343</v>
      </c>
      <c r="E523" s="997" t="str">
        <f>IF('[3]Motor Rutas SKU_Cons'!N527="","s/d","Agua "&amp;TEXT('[3]Motor Rutas SKU_Cons'!N527,"0%")&amp;" · Colas "&amp;TEXT('[3]Motor Rutas SKU_Cons'!O527,"0%")&amp;" · Resto "&amp;TEXT('[3]Motor Rutas SKU_Cons'!P527,"0%"))</f>
        <v>Agua 85% · Colas 8% · Resto 7%</v>
      </c>
      <c r="F523" s="16">
        <f>'[3]Motor Rutas SKU_Cons'!CH527</f>
        <v>0.1683187550717942</v>
      </c>
      <c r="G523" s="16">
        <f>'[3]Motor Rutas SKU_Cons'!CG527</f>
        <v>0.54398146878409026</v>
      </c>
      <c r="H523" s="998">
        <f>'[3]Motor Rutas SKU_Cons'!BX527</f>
        <v>51.202452119429537</v>
      </c>
      <c r="I523" s="998">
        <f>'[3]Motor Rutas SKU_Cons'!BW527</f>
        <v>0</v>
      </c>
    </row>
    <row r="524" spans="1:9">
      <c r="A524" t="str">
        <f>IF('[3]Motor Rutas SKU_Cons'!C528="","",'[3]Motor Rutas SKU_Cons'!C528)</f>
        <v>Norte</v>
      </c>
      <c r="B524" t="str">
        <f>IF('[3]Motor Rutas SKU_Cons'!D528="","",'[3]Motor Rutas SKU_Cons'!D528)</f>
        <v>Comarca</v>
      </c>
      <c r="C524" t="str">
        <f>IF('[3]Motor Rutas SKU_Cons'!B528="","",'[3]Motor Rutas SKU_Cons'!B528)</f>
        <v>Suc. Estadio</v>
      </c>
      <c r="D524">
        <f>'[3]Motor Rutas SKU_Cons'!A528</f>
        <v>217346</v>
      </c>
      <c r="E524" s="997" t="str">
        <f>IF('[3]Motor Rutas SKU_Cons'!N528="","s/d","Agua "&amp;TEXT('[3]Motor Rutas SKU_Cons'!N528,"0%")&amp;" · Colas "&amp;TEXT('[3]Motor Rutas SKU_Cons'!O528,"0%")&amp;" · Resto "&amp;TEXT('[3]Motor Rutas SKU_Cons'!P528,"0%"))</f>
        <v>Agua 85% · Colas 8% · Resto 7%</v>
      </c>
      <c r="F524" s="16">
        <f>'[3]Motor Rutas SKU_Cons'!CH528</f>
        <v>0.230631401588095</v>
      </c>
      <c r="G524" s="16">
        <f>'[3]Motor Rutas SKU_Cons'!CG528</f>
        <v>0.50497948124999992</v>
      </c>
      <c r="H524" s="998">
        <f>'[3]Motor Rutas SKU_Cons'!BX528</f>
        <v>39.226738658645267</v>
      </c>
      <c r="I524" s="998">
        <f>'[3]Motor Rutas SKU_Cons'!BW528</f>
        <v>0</v>
      </c>
    </row>
    <row r="525" spans="1:9">
      <c r="A525" t="str">
        <f>IF('[3]Motor Rutas SKU_Cons'!C529="","",'[3]Motor Rutas SKU_Cons'!C529)</f>
        <v>Noreste</v>
      </c>
      <c r="B525" t="str">
        <f>IF('[3]Motor Rutas SKU_Cons'!D529="","",'[3]Motor Rutas SKU_Cons'!D529)</f>
        <v>Monterrey</v>
      </c>
      <c r="C525" t="str">
        <f>IF('[3]Motor Rutas SKU_Cons'!B529="","",'[3]Motor Rutas SKU_Cons'!B529)</f>
        <v>Sucursal Santa Catarina</v>
      </c>
      <c r="D525">
        <f>'[3]Motor Rutas SKU_Cons'!A529</f>
        <v>712314</v>
      </c>
      <c r="E525" s="997" t="str">
        <f>IF('[3]Motor Rutas SKU_Cons'!N529="","s/d","Agua "&amp;TEXT('[3]Motor Rutas SKU_Cons'!N529,"0%")&amp;" · Colas "&amp;TEXT('[3]Motor Rutas SKU_Cons'!O529,"0%")&amp;" · Resto "&amp;TEXT('[3]Motor Rutas SKU_Cons'!P529,"0%"))</f>
        <v>Agua 80% · Colas 12% · Resto 8%</v>
      </c>
      <c r="F525" s="16">
        <f>'[3]Motor Rutas SKU_Cons'!CH529</f>
        <v>0.76151083514293838</v>
      </c>
      <c r="G525" s="16">
        <f>'[3]Motor Rutas SKU_Cons'!CG529</f>
        <v>0.54168462363272796</v>
      </c>
      <c r="H525" s="998">
        <f>'[3]Motor Rutas SKU_Cons'!BX529</f>
        <v>14.589930032279334</v>
      </c>
      <c r="I525" s="998">
        <f>'[3]Motor Rutas SKU_Cons'!BW529</f>
        <v>0</v>
      </c>
    </row>
    <row r="526" spans="1:9">
      <c r="A526" t="str">
        <f>IF('[3]Motor Rutas SKU_Cons'!C530="","",'[3]Motor Rutas SKU_Cons'!C530)</f>
        <v>Occidente</v>
      </c>
      <c r="B526" t="str">
        <f>IF('[3]Motor Rutas SKU_Cons'!D530="","",'[3]Motor Rutas SKU_Cons'!D530)</f>
        <v>Favorita</v>
      </c>
      <c r="C526" t="str">
        <f>IF('[3]Motor Rutas SKU_Cons'!B530="","",'[3]Motor Rutas SKU_Cons'!B530)</f>
        <v>Cedi Tonalá</v>
      </c>
      <c r="D526">
        <f>'[3]Motor Rutas SKU_Cons'!A530</f>
        <v>810330</v>
      </c>
      <c r="E526" s="997" t="str">
        <f>IF('[3]Motor Rutas SKU_Cons'!N530="","s/d","Agua "&amp;TEXT('[3]Motor Rutas SKU_Cons'!N530,"0%")&amp;" · Colas "&amp;TEXT('[3]Motor Rutas SKU_Cons'!O530,"0%")&amp;" · Resto "&amp;TEXT('[3]Motor Rutas SKU_Cons'!P530,"0%"))</f>
        <v>Agua 85% · Colas 8% · Resto 7%</v>
      </c>
      <c r="F526" s="16">
        <f>'[3]Motor Rutas SKU_Cons'!CH530</f>
        <v>0.25318205596609122</v>
      </c>
      <c r="G526" s="16">
        <f>'[3]Motor Rutas SKU_Cons'!CG530</f>
        <v>0.54120689079545425</v>
      </c>
      <c r="H526" s="998">
        <f>'[3]Motor Rutas SKU_Cons'!BX530</f>
        <v>42.527890347593576</v>
      </c>
      <c r="I526" s="998">
        <f>'[3]Motor Rutas SKU_Cons'!BW530</f>
        <v>0</v>
      </c>
    </row>
    <row r="527" spans="1:9">
      <c r="A527" t="str">
        <f>IF('[3]Motor Rutas SKU_Cons'!C531="","",'[3]Motor Rutas SKU_Cons'!C531)</f>
        <v>Norte</v>
      </c>
      <c r="B527" t="str">
        <f>IF('[3]Motor Rutas SKU_Cons'!D531="","",'[3]Motor Rutas SKU_Cons'!D531)</f>
        <v>Comarca</v>
      </c>
      <c r="C527" t="str">
        <f>IF('[3]Motor Rutas SKU_Cons'!B531="","",'[3]Motor Rutas SKU_Cons'!B531)</f>
        <v>Suc. Santa Rita</v>
      </c>
      <c r="D527">
        <f>'[3]Motor Rutas SKU_Cons'!A531</f>
        <v>220340</v>
      </c>
      <c r="E527" s="997" t="str">
        <f>IF('[3]Motor Rutas SKU_Cons'!N531="","s/d","Agua "&amp;TEXT('[3]Motor Rutas SKU_Cons'!N531,"0%")&amp;" · Colas "&amp;TEXT('[3]Motor Rutas SKU_Cons'!O531,"0%")&amp;" · Resto "&amp;TEXT('[3]Motor Rutas SKU_Cons'!P531,"0%"))</f>
        <v>Agua 85% · Colas 8% · Resto 7%</v>
      </c>
      <c r="F527" s="16">
        <f>'[3]Motor Rutas SKU_Cons'!CH531</f>
        <v>0.32314653350505063</v>
      </c>
      <c r="G527" s="16">
        <f>'[3]Motor Rutas SKU_Cons'!CG531</f>
        <v>0.52044480511363622</v>
      </c>
      <c r="H527" s="998">
        <f>'[3]Motor Rutas SKU_Cons'!BX531</f>
        <v>35.395935716577625</v>
      </c>
      <c r="I527" s="998">
        <f>'[3]Motor Rutas SKU_Cons'!BW531</f>
        <v>0</v>
      </c>
    </row>
    <row r="528" spans="1:9">
      <c r="A528" t="str">
        <f>IF('[3]Motor Rutas SKU_Cons'!C532="","",'[3]Motor Rutas SKU_Cons'!C532)</f>
        <v>Norte</v>
      </c>
      <c r="B528" t="str">
        <f>IF('[3]Motor Rutas SKU_Cons'!D532="","",'[3]Motor Rutas SKU_Cons'!D532)</f>
        <v>Juárez</v>
      </c>
      <c r="C528" t="str">
        <f>IF('[3]Motor Rutas SKU_Cons'!B532="","",'[3]Motor Rutas SKU_Cons'!B532)</f>
        <v>Planta Cd. Juárez</v>
      </c>
      <c r="D528">
        <f>'[3]Motor Rutas SKU_Cons'!A532</f>
        <v>301358</v>
      </c>
      <c r="E528" s="997" t="str">
        <f>IF('[3]Motor Rutas SKU_Cons'!N532="","s/d","Agua "&amp;TEXT('[3]Motor Rutas SKU_Cons'!N532,"0%")&amp;" · Colas "&amp;TEXT('[3]Motor Rutas SKU_Cons'!O532,"0%")&amp;" · Resto "&amp;TEXT('[3]Motor Rutas SKU_Cons'!P532,"0%"))</f>
        <v>Agua 85% · Colas 8% · Resto 7%</v>
      </c>
      <c r="F528" s="16">
        <f>'[3]Motor Rutas SKU_Cons'!CH532</f>
        <v>0.19450689274708538</v>
      </c>
      <c r="G528" s="16">
        <f>'[3]Motor Rutas SKU_Cons'!CG532</f>
        <v>0.53868564081817882</v>
      </c>
      <c r="H528" s="998">
        <f>'[3]Motor Rutas SKU_Cons'!BX532</f>
        <v>35.979633757575499</v>
      </c>
      <c r="I528" s="998">
        <f>'[3]Motor Rutas SKU_Cons'!BW532</f>
        <v>0</v>
      </c>
    </row>
    <row r="529" spans="1:9">
      <c r="A529" t="str">
        <f>IF('[3]Motor Rutas SKU_Cons'!C533="","",'[3]Motor Rutas SKU_Cons'!C533)</f>
        <v>Occidente</v>
      </c>
      <c r="B529" t="str">
        <f>IF('[3]Motor Rutas SKU_Cons'!D533="","",'[3]Motor Rutas SKU_Cons'!D533)</f>
        <v>Favorita</v>
      </c>
      <c r="C529" t="str">
        <f>IF('[3]Motor Rutas SKU_Cons'!B533="","",'[3]Motor Rutas SKU_Cons'!B533)</f>
        <v>Suc. San Rafael</v>
      </c>
      <c r="D529">
        <f>'[3]Motor Rutas SKU_Cons'!A533</f>
        <v>803343</v>
      </c>
      <c r="E529" s="997" t="str">
        <f>IF('[3]Motor Rutas SKU_Cons'!N533="","s/d","Agua "&amp;TEXT('[3]Motor Rutas SKU_Cons'!N533,"0%")&amp;" · Colas "&amp;TEXT('[3]Motor Rutas SKU_Cons'!O533,"0%")&amp;" · Resto "&amp;TEXT('[3]Motor Rutas SKU_Cons'!P533,"0%"))</f>
        <v>Agua 85% · Colas 8% · Resto 7%</v>
      </c>
      <c r="F529" s="16">
        <f>'[3]Motor Rutas SKU_Cons'!CH533</f>
        <v>0.20516703963125824</v>
      </c>
      <c r="G529" s="16">
        <f>'[3]Motor Rutas SKU_Cons'!CG533</f>
        <v>0.53806146044318182</v>
      </c>
      <c r="H529" s="998">
        <f>'[3]Motor Rutas SKU_Cons'!BX533</f>
        <v>46.848868622103438</v>
      </c>
      <c r="I529" s="998">
        <f>'[3]Motor Rutas SKU_Cons'!BW533</f>
        <v>0</v>
      </c>
    </row>
    <row r="530" spans="1:9">
      <c r="A530" t="str">
        <f>IF('[3]Motor Rutas SKU_Cons'!C534="","",'[3]Motor Rutas SKU_Cons'!C534)</f>
        <v>Noreste</v>
      </c>
      <c r="B530" t="str">
        <f>IF('[3]Motor Rutas SKU_Cons'!D534="","",'[3]Motor Rutas SKU_Cons'!D534)</f>
        <v>Monclova</v>
      </c>
      <c r="C530" t="str">
        <f>IF('[3]Motor Rutas SKU_Cons'!B534="","",'[3]Motor Rutas SKU_Cons'!B534)</f>
        <v>Sucursal Monclova</v>
      </c>
      <c r="D530">
        <f>'[3]Motor Rutas SKU_Cons'!A534</f>
        <v>206302</v>
      </c>
      <c r="E530" s="997" t="str">
        <f>IF('[3]Motor Rutas SKU_Cons'!N534="","s/d","Agua "&amp;TEXT('[3]Motor Rutas SKU_Cons'!N534,"0%")&amp;" · Colas "&amp;TEXT('[3]Motor Rutas SKU_Cons'!O534,"0%")&amp;" · Resto "&amp;TEXT('[3]Motor Rutas SKU_Cons'!P534,"0%"))</f>
        <v>Agua 80% · Colas 12% · Resto 8%</v>
      </c>
      <c r="F530" s="16">
        <f>'[3]Motor Rutas SKU_Cons'!CH534</f>
        <v>0.26771675743103929</v>
      </c>
      <c r="G530" s="16">
        <f>'[3]Motor Rutas SKU_Cons'!CG534</f>
        <v>0.53727509454545441</v>
      </c>
      <c r="H530" s="998">
        <f>'[3]Motor Rutas SKU_Cons'!BX534</f>
        <v>53.903969303452186</v>
      </c>
      <c r="I530" s="998">
        <f>'[3]Motor Rutas SKU_Cons'!BW534</f>
        <v>0</v>
      </c>
    </row>
    <row r="531" spans="1:9">
      <c r="A531" t="str">
        <f>IF('[3]Motor Rutas SKU_Cons'!C535="","",'[3]Motor Rutas SKU_Cons'!C535)</f>
        <v>Occidente</v>
      </c>
      <c r="B531" t="str">
        <f>IF('[3]Motor Rutas SKU_Cons'!D535="","",'[3]Motor Rutas SKU_Cons'!D535)</f>
        <v>Zapopan</v>
      </c>
      <c r="C531" t="str">
        <f>IF('[3]Motor Rutas SKU_Cons'!B535="","",'[3]Motor Rutas SKU_Cons'!B535)</f>
        <v>Suc. Belenes</v>
      </c>
      <c r="D531">
        <f>'[3]Motor Rutas SKU_Cons'!A535</f>
        <v>820379</v>
      </c>
      <c r="E531" s="997" t="str">
        <f>IF('[3]Motor Rutas SKU_Cons'!N535="","s/d","Agua "&amp;TEXT('[3]Motor Rutas SKU_Cons'!N535,"0%")&amp;" · Colas "&amp;TEXT('[3]Motor Rutas SKU_Cons'!O535,"0%")&amp;" · Resto "&amp;TEXT('[3]Motor Rutas SKU_Cons'!P535,"0%"))</f>
        <v>Agua 85% · Colas 8% · Resto 7%</v>
      </c>
      <c r="F531" s="16">
        <f>'[3]Motor Rutas SKU_Cons'!CH535</f>
        <v>0.22969585425770248</v>
      </c>
      <c r="G531" s="16">
        <f>'[3]Motor Rutas SKU_Cons'!CG535</f>
        <v>0.53582593407954571</v>
      </c>
      <c r="H531" s="998">
        <f>'[3]Motor Rutas SKU_Cons'!BX535</f>
        <v>44.163110279857477</v>
      </c>
      <c r="I531" s="998">
        <f>'[3]Motor Rutas SKU_Cons'!BW535</f>
        <v>0</v>
      </c>
    </row>
    <row r="532" spans="1:9">
      <c r="A532" t="str">
        <f>IF('[3]Motor Rutas SKU_Cons'!C536="","",'[3]Motor Rutas SKU_Cons'!C536)</f>
        <v>Norte</v>
      </c>
      <c r="B532" t="str">
        <f>IF('[3]Motor Rutas SKU_Cons'!D536="","",'[3]Motor Rutas SKU_Cons'!D536)</f>
        <v>Comarca</v>
      </c>
      <c r="C532" t="str">
        <f>IF('[3]Motor Rutas SKU_Cons'!B536="","",'[3]Motor Rutas SKU_Cons'!B536)</f>
        <v>Suc. Santa Rita</v>
      </c>
      <c r="D532">
        <f>'[3]Motor Rutas SKU_Cons'!A536</f>
        <v>220345</v>
      </c>
      <c r="E532" s="997" t="str">
        <f>IF('[3]Motor Rutas SKU_Cons'!N536="","s/d","Agua "&amp;TEXT('[3]Motor Rutas SKU_Cons'!N536,"0%")&amp;" · Colas "&amp;TEXT('[3]Motor Rutas SKU_Cons'!O536,"0%")&amp;" · Resto "&amp;TEXT('[3]Motor Rutas SKU_Cons'!P536,"0%"))</f>
        <v>Agua 85% · Colas 8% · Resto 7%</v>
      </c>
      <c r="F532" s="16">
        <f>'[3]Motor Rutas SKU_Cons'!CH536</f>
        <v>0.69348940191552688</v>
      </c>
      <c r="G532" s="16">
        <f>'[3]Motor Rutas SKU_Cons'!CG536</f>
        <v>0.5160155880681816</v>
      </c>
      <c r="H532" s="998">
        <f>'[3]Motor Rutas SKU_Cons'!BX536</f>
        <v>18.049996951852719</v>
      </c>
      <c r="I532" s="998">
        <f>'[3]Motor Rutas SKU_Cons'!BW536</f>
        <v>0</v>
      </c>
    </row>
    <row r="533" spans="1:9">
      <c r="A533" t="str">
        <f>IF('[3]Motor Rutas SKU_Cons'!C537="","",'[3]Motor Rutas SKU_Cons'!C537)</f>
        <v>Occidente</v>
      </c>
      <c r="B533" t="str">
        <f>IF('[3]Motor Rutas SKU_Cons'!D537="","",'[3]Motor Rutas SKU_Cons'!D537)</f>
        <v>Favorita</v>
      </c>
      <c r="C533" t="str">
        <f>IF('[3]Motor Rutas SKU_Cons'!B537="","",'[3]Motor Rutas SKU_Cons'!B537)</f>
        <v>Suc. Manzanillo</v>
      </c>
      <c r="D533">
        <f>'[3]Motor Rutas SKU_Cons'!A537</f>
        <v>805401</v>
      </c>
      <c r="E533" s="997" t="str">
        <f>IF('[3]Motor Rutas SKU_Cons'!N537="","s/d","Agua "&amp;TEXT('[3]Motor Rutas SKU_Cons'!N537,"0%")&amp;" · Colas "&amp;TEXT('[3]Motor Rutas SKU_Cons'!O537,"0%")&amp;" · Resto "&amp;TEXT('[3]Motor Rutas SKU_Cons'!P537,"0%"))</f>
        <v>Agua 85% · Colas 8% · Resto 7%</v>
      </c>
      <c r="F533" s="16">
        <f>'[3]Motor Rutas SKU_Cons'!CH537</f>
        <v>5.4233262185248092E-2</v>
      </c>
      <c r="G533" s="16">
        <f>'[3]Motor Rutas SKU_Cons'!CG537</f>
        <v>0.53385275045454528</v>
      </c>
      <c r="H533" s="998">
        <f>'[3]Motor Rutas SKU_Cons'!BX537</f>
        <v>34.554083013368967</v>
      </c>
      <c r="I533" s="998">
        <f>'[3]Motor Rutas SKU_Cons'!BW537</f>
        <v>0</v>
      </c>
    </row>
    <row r="534" spans="1:9">
      <c r="A534" t="str">
        <f>IF('[3]Motor Rutas SKU_Cons'!C538="","",'[3]Motor Rutas SKU_Cons'!C538)</f>
        <v>Occidente</v>
      </c>
      <c r="B534" t="str">
        <f>IF('[3]Motor Rutas SKU_Cons'!D538="","",'[3]Motor Rutas SKU_Cons'!D538)</f>
        <v>Aguascalientes</v>
      </c>
      <c r="C534" t="str">
        <f>IF('[3]Motor Rutas SKU_Cons'!B538="","",'[3]Motor Rutas SKU_Cons'!B538)</f>
        <v>Planta Trojes</v>
      </c>
      <c r="D534">
        <f>'[3]Motor Rutas SKU_Cons'!A538</f>
        <v>907408</v>
      </c>
      <c r="E534" s="997" t="str">
        <f>IF('[3]Motor Rutas SKU_Cons'!N538="","s/d","Agua "&amp;TEXT('[3]Motor Rutas SKU_Cons'!N538,"0%")&amp;" · Colas "&amp;TEXT('[3]Motor Rutas SKU_Cons'!O538,"0%")&amp;" · Resto "&amp;TEXT('[3]Motor Rutas SKU_Cons'!P538,"0%"))</f>
        <v>Agua 85% · Colas 8% · Resto 7%</v>
      </c>
      <c r="F534" s="16">
        <f>'[3]Motor Rutas SKU_Cons'!CH538</f>
        <v>0.28113862743180307</v>
      </c>
      <c r="G534" s="16">
        <f>'[3]Motor Rutas SKU_Cons'!CG538</f>
        <v>0.53199676186363565</v>
      </c>
      <c r="H534" s="998">
        <f>'[3]Motor Rutas SKU_Cons'!BX538</f>
        <v>1.5781549016057497</v>
      </c>
      <c r="I534" s="998">
        <f>'[3]Motor Rutas SKU_Cons'!BW538</f>
        <v>0</v>
      </c>
    </row>
    <row r="535" spans="1:9">
      <c r="A535" t="str">
        <f>IF('[3]Motor Rutas SKU_Cons'!C539="","",'[3]Motor Rutas SKU_Cons'!C539)</f>
        <v>Noreste</v>
      </c>
      <c r="B535" t="str">
        <f>IF('[3]Motor Rutas SKU_Cons'!D539="","",'[3]Motor Rutas SKU_Cons'!D539)</f>
        <v>Saltillo</v>
      </c>
      <c r="C535" t="str">
        <f>IF('[3]Motor Rutas SKU_Cons'!B539="","",'[3]Motor Rutas SKU_Cons'!B539)</f>
        <v>Planta Agua y Hielo</v>
      </c>
      <c r="D535">
        <f>'[3]Motor Rutas SKU_Cons'!A539</f>
        <v>203316</v>
      </c>
      <c r="E535" s="997" t="str">
        <f>IF('[3]Motor Rutas SKU_Cons'!N539="","s/d","Agua "&amp;TEXT('[3]Motor Rutas SKU_Cons'!N539,"0%")&amp;" · Colas "&amp;TEXT('[3]Motor Rutas SKU_Cons'!O539,"0%")&amp;" · Resto "&amp;TEXT('[3]Motor Rutas SKU_Cons'!P539,"0%"))</f>
        <v>Agua 80% · Colas 12% · Resto 8%</v>
      </c>
      <c r="F535" s="16">
        <f>'[3]Motor Rutas SKU_Cons'!CH539</f>
        <v>0.28524771378341324</v>
      </c>
      <c r="G535" s="16">
        <f>'[3]Motor Rutas SKU_Cons'!CG539</f>
        <v>0.53190240852272752</v>
      </c>
      <c r="H535" s="998">
        <f>'[3]Motor Rutas SKU_Cons'!BX539</f>
        <v>42.090800997307156</v>
      </c>
      <c r="I535" s="998">
        <f>'[3]Motor Rutas SKU_Cons'!BW539</f>
        <v>0</v>
      </c>
    </row>
    <row r="536" spans="1:9">
      <c r="A536" t="str">
        <f>IF('[3]Motor Rutas SKU_Cons'!C540="","",'[3]Motor Rutas SKU_Cons'!C540)</f>
        <v>Occidente</v>
      </c>
      <c r="B536" t="str">
        <f>IF('[3]Motor Rutas SKU_Cons'!D540="","",'[3]Motor Rutas SKU_Cons'!D540)</f>
        <v>San Luis</v>
      </c>
      <c r="C536" t="str">
        <f>IF('[3]Motor Rutas SKU_Cons'!B540="","",'[3]Motor Rutas SKU_Cons'!B540)</f>
        <v>Planta San Luis</v>
      </c>
      <c r="D536">
        <f>'[3]Motor Rutas SKU_Cons'!A540</f>
        <v>916354</v>
      </c>
      <c r="E536" s="997" t="str">
        <f>IF('[3]Motor Rutas SKU_Cons'!N540="","s/d","Agua "&amp;TEXT('[3]Motor Rutas SKU_Cons'!N540,"0%")&amp;" · Colas "&amp;TEXT('[3]Motor Rutas SKU_Cons'!O540,"0%")&amp;" · Resto "&amp;TEXT('[3]Motor Rutas SKU_Cons'!P540,"0%"))</f>
        <v>Agua 85% · Colas 8% · Resto 7%</v>
      </c>
      <c r="F536" s="16">
        <f>'[3]Motor Rutas SKU_Cons'!CH540</f>
        <v>0.24529806884239838</v>
      </c>
      <c r="G536" s="16">
        <f>'[3]Motor Rutas SKU_Cons'!CG540</f>
        <v>0.52937319487500001</v>
      </c>
      <c r="H536" s="998">
        <f>'[3]Motor Rutas SKU_Cons'!BX540</f>
        <v>41.828459008912674</v>
      </c>
      <c r="I536" s="998">
        <f>'[3]Motor Rutas SKU_Cons'!BW540</f>
        <v>0</v>
      </c>
    </row>
    <row r="537" spans="1:9">
      <c r="A537" t="str">
        <f>IF('[3]Motor Rutas SKU_Cons'!C541="","",'[3]Motor Rutas SKU_Cons'!C541)</f>
        <v>Occidente</v>
      </c>
      <c r="B537" t="str">
        <f>IF('[3]Motor Rutas SKU_Cons'!D541="","",'[3]Motor Rutas SKU_Cons'!D541)</f>
        <v>Favorita</v>
      </c>
      <c r="C537" t="str">
        <f>IF('[3]Motor Rutas SKU_Cons'!B541="","",'[3]Motor Rutas SKU_Cons'!B541)</f>
        <v>Cedi Tonalá</v>
      </c>
      <c r="D537">
        <f>'[3]Motor Rutas SKU_Cons'!A541</f>
        <v>810332</v>
      </c>
      <c r="E537" s="997" t="str">
        <f>IF('[3]Motor Rutas SKU_Cons'!N541="","s/d","Agua "&amp;TEXT('[3]Motor Rutas SKU_Cons'!N541,"0%")&amp;" · Colas "&amp;TEXT('[3]Motor Rutas SKU_Cons'!O541,"0%")&amp;" · Resto "&amp;TEXT('[3]Motor Rutas SKU_Cons'!P541,"0%"))</f>
        <v>Agua 85% · Colas 8% · Resto 7%</v>
      </c>
      <c r="F537" s="16">
        <f>'[3]Motor Rutas SKU_Cons'!CH541</f>
        <v>0.12966942813629417</v>
      </c>
      <c r="G537" s="16">
        <f>'[3]Motor Rutas SKU_Cons'!CG541</f>
        <v>0.52895447964250131</v>
      </c>
      <c r="H537" s="998">
        <f>'[3]Motor Rutas SKU_Cons'!BX541</f>
        <v>4.0293588455685541</v>
      </c>
      <c r="I537" s="998">
        <f>'[3]Motor Rutas SKU_Cons'!BW541</f>
        <v>0</v>
      </c>
    </row>
    <row r="538" spans="1:9">
      <c r="A538" t="str">
        <f>IF('[3]Motor Rutas SKU_Cons'!C542="","",'[3]Motor Rutas SKU_Cons'!C542)</f>
        <v>Occidente</v>
      </c>
      <c r="B538" t="str">
        <f>IF('[3]Motor Rutas SKU_Cons'!D542="","",'[3]Motor Rutas SKU_Cons'!D542)</f>
        <v>Aguascalientes</v>
      </c>
      <c r="C538" t="str">
        <f>IF('[3]Motor Rutas SKU_Cons'!B542="","",'[3]Motor Rutas SKU_Cons'!B542)</f>
        <v>Planta Aguascalientes</v>
      </c>
      <c r="D538">
        <f>'[3]Motor Rutas SKU_Cons'!A542</f>
        <v>901402</v>
      </c>
      <c r="E538" s="997" t="str">
        <f>IF('[3]Motor Rutas SKU_Cons'!N542="","s/d","Agua "&amp;TEXT('[3]Motor Rutas SKU_Cons'!N542,"0%")&amp;" · Colas "&amp;TEXT('[3]Motor Rutas SKU_Cons'!O542,"0%")&amp;" · Resto "&amp;TEXT('[3]Motor Rutas SKU_Cons'!P542,"0%"))</f>
        <v>Agua 85% · Colas 8% · Resto 7%</v>
      </c>
      <c r="F538" s="16">
        <f>'[3]Motor Rutas SKU_Cons'!CH542</f>
        <v>0.13155356662240689</v>
      </c>
      <c r="G538" s="16">
        <f>'[3]Motor Rutas SKU_Cons'!CG542</f>
        <v>0.5227975670113636</v>
      </c>
      <c r="H538" s="998">
        <f>'[3]Motor Rutas SKU_Cons'!BX542</f>
        <v>52.173599171122959</v>
      </c>
      <c r="I538" s="998">
        <f>'[3]Motor Rutas SKU_Cons'!BW542</f>
        <v>0</v>
      </c>
    </row>
    <row r="539" spans="1:9">
      <c r="A539" t="str">
        <f>IF('[3]Motor Rutas SKU_Cons'!C543="","",'[3]Motor Rutas SKU_Cons'!C543)</f>
        <v>Occidente</v>
      </c>
      <c r="B539" t="str">
        <f>IF('[3]Motor Rutas SKU_Cons'!D543="","",'[3]Motor Rutas SKU_Cons'!D543)</f>
        <v>Favorita</v>
      </c>
      <c r="C539" t="str">
        <f>IF('[3]Motor Rutas SKU_Cons'!B543="","",'[3]Motor Rutas SKU_Cons'!B543)</f>
        <v>Cedi Tonalá</v>
      </c>
      <c r="D539">
        <f>'[3]Motor Rutas SKU_Cons'!A543</f>
        <v>810352</v>
      </c>
      <c r="E539" s="997" t="str">
        <f>IF('[3]Motor Rutas SKU_Cons'!N543="","s/d","Agua "&amp;TEXT('[3]Motor Rutas SKU_Cons'!N543,"0%")&amp;" · Colas "&amp;TEXT('[3]Motor Rutas SKU_Cons'!O543,"0%")&amp;" · Resto "&amp;TEXT('[3]Motor Rutas SKU_Cons'!P543,"0%"))</f>
        <v>Agua 85% · Colas 8% · Resto 7%</v>
      </c>
      <c r="F539" s="16">
        <f>'[3]Motor Rutas SKU_Cons'!CH543</f>
        <v>0.30832360715747698</v>
      </c>
      <c r="G539" s="16">
        <f>'[3]Motor Rutas SKU_Cons'!CG543</f>
        <v>0.52263006790909206</v>
      </c>
      <c r="H539" s="998">
        <f>'[3]Motor Rutas SKU_Cons'!BX543</f>
        <v>34.803163194296147</v>
      </c>
      <c r="I539" s="998">
        <f>'[3]Motor Rutas SKU_Cons'!BW543</f>
        <v>0</v>
      </c>
    </row>
    <row r="540" spans="1:9">
      <c r="A540" t="str">
        <f>IF('[3]Motor Rutas SKU_Cons'!C544="","",'[3]Motor Rutas SKU_Cons'!C544)</f>
        <v>Noreste</v>
      </c>
      <c r="B540" t="str">
        <f>IF('[3]Motor Rutas SKU_Cons'!D544="","",'[3]Motor Rutas SKU_Cons'!D544)</f>
        <v>Monterrey</v>
      </c>
      <c r="C540" t="str">
        <f>IF('[3]Motor Rutas SKU_Cons'!B544="","",'[3]Motor Rutas SKU_Cons'!B544)</f>
        <v>Sucursal Santa Catarina</v>
      </c>
      <c r="D540">
        <f>'[3]Motor Rutas SKU_Cons'!A544</f>
        <v>712318</v>
      </c>
      <c r="E540" s="997" t="str">
        <f>IF('[3]Motor Rutas SKU_Cons'!N544="","s/d","Agua "&amp;TEXT('[3]Motor Rutas SKU_Cons'!N544,"0%")&amp;" · Colas "&amp;TEXT('[3]Motor Rutas SKU_Cons'!O544,"0%")&amp;" · Resto "&amp;TEXT('[3]Motor Rutas SKU_Cons'!P544,"0%"))</f>
        <v>Agua 80% · Colas 12% · Resto 8%</v>
      </c>
      <c r="F540" s="16">
        <f>'[3]Motor Rutas SKU_Cons'!CH544</f>
        <v>0.4815498254357477</v>
      </c>
      <c r="G540" s="16">
        <f>'[3]Motor Rutas SKU_Cons'!CG544</f>
        <v>0.52218488127272722</v>
      </c>
      <c r="H540" s="998">
        <f>'[3]Motor Rutas SKU_Cons'!BX544</f>
        <v>33.624797151515217</v>
      </c>
      <c r="I540" s="998">
        <f>'[3]Motor Rutas SKU_Cons'!BW544</f>
        <v>0</v>
      </c>
    </row>
    <row r="541" spans="1:9">
      <c r="A541" t="str">
        <f>IF('[3]Motor Rutas SKU_Cons'!C545="","",'[3]Motor Rutas SKU_Cons'!C545)</f>
        <v>Norte</v>
      </c>
      <c r="B541" t="str">
        <f>IF('[3]Motor Rutas SKU_Cons'!D545="","",'[3]Motor Rutas SKU_Cons'!D545)</f>
        <v>Comarca</v>
      </c>
      <c r="C541" t="str">
        <f>IF('[3]Motor Rutas SKU_Cons'!B545="","",'[3]Motor Rutas SKU_Cons'!B545)</f>
        <v>Suc. Estadio</v>
      </c>
      <c r="D541">
        <f>'[3]Motor Rutas SKU_Cons'!A545</f>
        <v>217402</v>
      </c>
      <c r="E541" s="997" t="str">
        <f>IF('[3]Motor Rutas SKU_Cons'!N545="","s/d","Agua "&amp;TEXT('[3]Motor Rutas SKU_Cons'!N545,"0%")&amp;" · Colas "&amp;TEXT('[3]Motor Rutas SKU_Cons'!O545,"0%")&amp;" · Resto "&amp;TEXT('[3]Motor Rutas SKU_Cons'!P545,"0%"))</f>
        <v>Agua 85% · Colas 8% · Resto 7%</v>
      </c>
      <c r="F541" s="16">
        <f>'[3]Motor Rutas SKU_Cons'!CH545</f>
        <v>0.58032647171095209</v>
      </c>
      <c r="G541" s="16">
        <f>'[3]Motor Rutas SKU_Cons'!CG545</f>
        <v>0.4845976721590905</v>
      </c>
      <c r="H541" s="998">
        <f>'[3]Motor Rutas SKU_Cons'!BX545</f>
        <v>16.502235203208592</v>
      </c>
      <c r="I541" s="998">
        <f>'[3]Motor Rutas SKU_Cons'!BW545</f>
        <v>0</v>
      </c>
    </row>
    <row r="542" spans="1:9">
      <c r="A542" t="str">
        <f>IF('[3]Motor Rutas SKU_Cons'!C546="","",'[3]Motor Rutas SKU_Cons'!C546)</f>
        <v>Norte</v>
      </c>
      <c r="B542" t="str">
        <f>IF('[3]Motor Rutas SKU_Cons'!D546="","",'[3]Motor Rutas SKU_Cons'!D546)</f>
        <v>Guadiana</v>
      </c>
      <c r="C542" t="str">
        <f>IF('[3]Motor Rutas SKU_Cons'!B546="","",'[3]Motor Rutas SKU_Cons'!B546)</f>
        <v>Planta Guadiana</v>
      </c>
      <c r="D542">
        <f>'[3]Motor Rutas SKU_Cons'!A546</f>
        <v>931428</v>
      </c>
      <c r="E542" s="997" t="str">
        <f>IF('[3]Motor Rutas SKU_Cons'!N546="","s/d","Agua "&amp;TEXT('[3]Motor Rutas SKU_Cons'!N546,"0%")&amp;" · Colas "&amp;TEXT('[3]Motor Rutas SKU_Cons'!O546,"0%")&amp;" · Resto "&amp;TEXT('[3]Motor Rutas SKU_Cons'!P546,"0%"))</f>
        <v>Agua 85% · Colas 8% · Resto 7%</v>
      </c>
      <c r="F542" s="16">
        <f>'[3]Motor Rutas SKU_Cons'!CH546</f>
        <v>0.21416370307272248</v>
      </c>
      <c r="G542" s="16">
        <f>'[3]Motor Rutas SKU_Cons'!CG546</f>
        <v>0.51990911181818145</v>
      </c>
      <c r="H542" s="998">
        <f>'[3]Motor Rutas SKU_Cons'!BX546</f>
        <v>52.197209795008881</v>
      </c>
      <c r="I542" s="998">
        <f>'[3]Motor Rutas SKU_Cons'!BW546</f>
        <v>0</v>
      </c>
    </row>
    <row r="543" spans="1:9">
      <c r="A543" t="str">
        <f>IF('[3]Motor Rutas SKU_Cons'!C547="","",'[3]Motor Rutas SKU_Cons'!C547)</f>
        <v>Occidente</v>
      </c>
      <c r="B543" t="str">
        <f>IF('[3]Motor Rutas SKU_Cons'!D547="","",'[3]Motor Rutas SKU_Cons'!D547)</f>
        <v>San Luis</v>
      </c>
      <c r="C543" t="str">
        <f>IF('[3]Motor Rutas SKU_Cons'!B547="","",'[3]Motor Rutas SKU_Cons'!B547)</f>
        <v>Planta San Luis</v>
      </c>
      <c r="D543">
        <f>'[3]Motor Rutas SKU_Cons'!A547</f>
        <v>916404</v>
      </c>
      <c r="E543" s="997" t="str">
        <f>IF('[3]Motor Rutas SKU_Cons'!N547="","s/d","Agua "&amp;TEXT('[3]Motor Rutas SKU_Cons'!N547,"0%")&amp;" · Colas "&amp;TEXT('[3]Motor Rutas SKU_Cons'!O547,"0%")&amp;" · Resto "&amp;TEXT('[3]Motor Rutas SKU_Cons'!P547,"0%"))</f>
        <v>Agua 85% · Colas 8% · Resto 7%</v>
      </c>
      <c r="F543" s="16">
        <f>'[3]Motor Rutas SKU_Cons'!CH547</f>
        <v>0.18844668870713296</v>
      </c>
      <c r="G543" s="16">
        <f>'[3]Motor Rutas SKU_Cons'!CG547</f>
        <v>0.51980570345454535</v>
      </c>
      <c r="H543" s="998">
        <f>'[3]Motor Rutas SKU_Cons'!BX547</f>
        <v>46.217196960784293</v>
      </c>
      <c r="I543" s="998">
        <f>'[3]Motor Rutas SKU_Cons'!BW547</f>
        <v>0</v>
      </c>
    </row>
    <row r="544" spans="1:9">
      <c r="A544" t="str">
        <f>IF('[3]Motor Rutas SKU_Cons'!C548="","",'[3]Motor Rutas SKU_Cons'!C548)</f>
        <v>Norte</v>
      </c>
      <c r="B544" t="str">
        <f>IF('[3]Motor Rutas SKU_Cons'!D548="","",'[3]Motor Rutas SKU_Cons'!D548)</f>
        <v>Comarca</v>
      </c>
      <c r="C544" t="str">
        <f>IF('[3]Motor Rutas SKU_Cons'!B548="","",'[3]Motor Rutas SKU_Cons'!B548)</f>
        <v>Suc. Estadio</v>
      </c>
      <c r="D544">
        <f>'[3]Motor Rutas SKU_Cons'!A548</f>
        <v>217343</v>
      </c>
      <c r="E544" s="997" t="str">
        <f>IF('[3]Motor Rutas SKU_Cons'!N548="","s/d","Agua "&amp;TEXT('[3]Motor Rutas SKU_Cons'!N548,"0%")&amp;" · Colas "&amp;TEXT('[3]Motor Rutas SKU_Cons'!O548,"0%")&amp;" · Resto "&amp;TEXT('[3]Motor Rutas SKU_Cons'!P548,"0%"))</f>
        <v>Agua 85% · Colas 8% · Resto 7%</v>
      </c>
      <c r="F544" s="16">
        <f>'[3]Motor Rutas SKU_Cons'!CH548</f>
        <v>0.52706209866932052</v>
      </c>
      <c r="G544" s="16">
        <f>'[3]Motor Rutas SKU_Cons'!CG548</f>
        <v>0.48201976534090873</v>
      </c>
      <c r="H544" s="998">
        <f>'[3]Motor Rutas SKU_Cons'!BX548</f>
        <v>19.369317479500822</v>
      </c>
      <c r="I544" s="998">
        <f>'[3]Motor Rutas SKU_Cons'!BW548</f>
        <v>0</v>
      </c>
    </row>
    <row r="545" spans="1:9">
      <c r="A545" t="str">
        <f>IF('[3]Motor Rutas SKU_Cons'!C549="","",'[3]Motor Rutas SKU_Cons'!C549)</f>
        <v>Norte</v>
      </c>
      <c r="B545" t="str">
        <f>IF('[3]Motor Rutas SKU_Cons'!D549="","",'[3]Motor Rutas SKU_Cons'!D549)</f>
        <v>Juárez</v>
      </c>
      <c r="C545" t="str">
        <f>IF('[3]Motor Rutas SKU_Cons'!B549="","",'[3]Motor Rutas SKU_Cons'!B549)</f>
        <v>Planta Cd. Juárez</v>
      </c>
      <c r="D545">
        <f>'[3]Motor Rutas SKU_Cons'!A549</f>
        <v>301356</v>
      </c>
      <c r="E545" s="997" t="str">
        <f>IF('[3]Motor Rutas SKU_Cons'!N549="","s/d","Agua "&amp;TEXT('[3]Motor Rutas SKU_Cons'!N549,"0%")&amp;" · Colas "&amp;TEXT('[3]Motor Rutas SKU_Cons'!O549,"0%")&amp;" · Resto "&amp;TEXT('[3]Motor Rutas SKU_Cons'!P549,"0%"))</f>
        <v>Agua 85% · Colas 8% · Resto 7%</v>
      </c>
      <c r="F545" s="16">
        <f>'[3]Motor Rutas SKU_Cons'!CH549</f>
        <v>0.56226279110125688</v>
      </c>
      <c r="G545" s="16">
        <f>'[3]Motor Rutas SKU_Cons'!CG549</f>
        <v>0.51897583309090789</v>
      </c>
      <c r="H545" s="998">
        <f>'[3]Motor Rutas SKU_Cons'!BX549</f>
        <v>10.070319040078203</v>
      </c>
      <c r="I545" s="998">
        <f>'[3]Motor Rutas SKU_Cons'!BW549</f>
        <v>0</v>
      </c>
    </row>
    <row r="546" spans="1:9">
      <c r="A546" t="str">
        <f>IF('[3]Motor Rutas SKU_Cons'!C550="","",'[3]Motor Rutas SKU_Cons'!C550)</f>
        <v>Norte</v>
      </c>
      <c r="B546" t="str">
        <f>IF('[3]Motor Rutas SKU_Cons'!D550="","",'[3]Motor Rutas SKU_Cons'!D550)</f>
        <v>Juárez</v>
      </c>
      <c r="C546" t="str">
        <f>IF('[3]Motor Rutas SKU_Cons'!B550="","",'[3]Motor Rutas SKU_Cons'!B550)</f>
        <v>Planta Cd. Juárez</v>
      </c>
      <c r="D546">
        <f>'[3]Motor Rutas SKU_Cons'!A550</f>
        <v>301357</v>
      </c>
      <c r="E546" s="997" t="str">
        <f>IF('[3]Motor Rutas SKU_Cons'!N550="","s/d","Agua "&amp;TEXT('[3]Motor Rutas SKU_Cons'!N550,"0%")&amp;" · Colas "&amp;TEXT('[3]Motor Rutas SKU_Cons'!O550,"0%")&amp;" · Resto "&amp;TEXT('[3]Motor Rutas SKU_Cons'!P550,"0%"))</f>
        <v>Agua 85% · Colas 8% · Resto 7%</v>
      </c>
      <c r="F546" s="16">
        <f>'[3]Motor Rutas SKU_Cons'!CH550</f>
        <v>0.30728898425396561</v>
      </c>
      <c r="G546" s="16">
        <f>'[3]Motor Rutas SKU_Cons'!CG550</f>
        <v>0.51672338836363574</v>
      </c>
      <c r="H546" s="998">
        <f>'[3]Motor Rutas SKU_Cons'!BX550</f>
        <v>25.627021139928594</v>
      </c>
      <c r="I546" s="998">
        <f>'[3]Motor Rutas SKU_Cons'!BW550</f>
        <v>0</v>
      </c>
    </row>
    <row r="547" spans="1:9">
      <c r="A547" t="str">
        <f>IF('[3]Motor Rutas SKU_Cons'!C551="","",'[3]Motor Rutas SKU_Cons'!C551)</f>
        <v>Pacifico</v>
      </c>
      <c r="B547" t="str">
        <f>IF('[3]Motor Rutas SKU_Cons'!D551="","",'[3]Motor Rutas SKU_Cons'!D551)</f>
        <v>Mazatlán</v>
      </c>
      <c r="C547" t="str">
        <f>IF('[3]Motor Rutas SKU_Cons'!B551="","",'[3]Motor Rutas SKU_Cons'!B551)</f>
        <v>Sucursal Venadillo</v>
      </c>
      <c r="D547">
        <f>'[3]Motor Rutas SKU_Cons'!A551</f>
        <v>503300</v>
      </c>
      <c r="E547" s="997" t="str">
        <f>IF('[3]Motor Rutas SKU_Cons'!N551="","s/d","Agua "&amp;TEXT('[3]Motor Rutas SKU_Cons'!N551,"0%")&amp;" · Colas "&amp;TEXT('[3]Motor Rutas SKU_Cons'!O551,"0%")&amp;" · Resto "&amp;TEXT('[3]Motor Rutas SKU_Cons'!P551,"0%"))</f>
        <v>Agua 85% · Colas 8% · Resto 7%</v>
      </c>
      <c r="F547" s="16">
        <f>'[3]Motor Rutas SKU_Cons'!CH551</f>
        <v>0.3695563476232232</v>
      </c>
      <c r="G547" s="16">
        <f>'[3]Motor Rutas SKU_Cons'!CG551</f>
        <v>0.5124626999999996</v>
      </c>
      <c r="H547" s="998">
        <f>'[3]Motor Rutas SKU_Cons'!BX551</f>
        <v>24.086587165775391</v>
      </c>
      <c r="I547" s="998">
        <f>'[3]Motor Rutas SKU_Cons'!BW551</f>
        <v>0</v>
      </c>
    </row>
    <row r="548" spans="1:9">
      <c r="A548" t="str">
        <f>IF('[3]Motor Rutas SKU_Cons'!C552="","",'[3]Motor Rutas SKU_Cons'!C552)</f>
        <v>Occidente</v>
      </c>
      <c r="B548" t="str">
        <f>IF('[3]Motor Rutas SKU_Cons'!D552="","",'[3]Motor Rutas SKU_Cons'!D552)</f>
        <v>Favorita</v>
      </c>
      <c r="C548" t="str">
        <f>IF('[3]Motor Rutas SKU_Cons'!B552="","",'[3]Motor Rutas SKU_Cons'!B552)</f>
        <v>Suc. Santa Maria</v>
      </c>
      <c r="D548">
        <f>'[3]Motor Rutas SKU_Cons'!A552</f>
        <v>809338</v>
      </c>
      <c r="E548" s="997" t="str">
        <f>IF('[3]Motor Rutas SKU_Cons'!N552="","s/d","Agua "&amp;TEXT('[3]Motor Rutas SKU_Cons'!N552,"0%")&amp;" · Colas "&amp;TEXT('[3]Motor Rutas SKU_Cons'!O552,"0%")&amp;" · Resto "&amp;TEXT('[3]Motor Rutas SKU_Cons'!P552,"0%"))</f>
        <v>Agua 85% · Colas 8% · Resto 7%</v>
      </c>
      <c r="F548" s="16">
        <f>'[3]Motor Rutas SKU_Cons'!CH552</f>
        <v>0.14499685758292988</v>
      </c>
      <c r="G548" s="16">
        <f>'[3]Motor Rutas SKU_Cons'!CG552</f>
        <v>0.51026344782954469</v>
      </c>
      <c r="H548" s="998">
        <f>'[3]Motor Rutas SKU_Cons'!BX552</f>
        <v>49.293744623885836</v>
      </c>
      <c r="I548" s="998">
        <f>'[3]Motor Rutas SKU_Cons'!BW552</f>
        <v>0</v>
      </c>
    </row>
    <row r="549" spans="1:9">
      <c r="A549" t="str">
        <f>IF('[3]Motor Rutas SKU_Cons'!C553="","",'[3]Motor Rutas SKU_Cons'!C553)</f>
        <v>Occidente</v>
      </c>
      <c r="B549" t="str">
        <f>IF('[3]Motor Rutas SKU_Cons'!D553="","",'[3]Motor Rutas SKU_Cons'!D553)</f>
        <v>Zapopan</v>
      </c>
      <c r="C549" t="str">
        <f>IF('[3]Motor Rutas SKU_Cons'!B553="","",'[3]Motor Rutas SKU_Cons'!B553)</f>
        <v>Suc. Belenes</v>
      </c>
      <c r="D549">
        <f>'[3]Motor Rutas SKU_Cons'!A553</f>
        <v>820424</v>
      </c>
      <c r="E549" s="997" t="str">
        <f>IF('[3]Motor Rutas SKU_Cons'!N553="","s/d","Agua "&amp;TEXT('[3]Motor Rutas SKU_Cons'!N553,"0%")&amp;" · Colas "&amp;TEXT('[3]Motor Rutas SKU_Cons'!O553,"0%")&amp;" · Resto "&amp;TEXT('[3]Motor Rutas SKU_Cons'!P553,"0%"))</f>
        <v>Agua 85% · Colas 8% · Resto 7%</v>
      </c>
      <c r="F549" s="16">
        <f>'[3]Motor Rutas SKU_Cons'!CH553</f>
        <v>0.1771608257902357</v>
      </c>
      <c r="G549" s="16">
        <f>'[3]Motor Rutas SKU_Cons'!CG553</f>
        <v>0.51022162943181804</v>
      </c>
      <c r="H549" s="998">
        <f>'[3]Motor Rutas SKU_Cons'!BX553</f>
        <v>46.131717080213782</v>
      </c>
      <c r="I549" s="998">
        <f>'[3]Motor Rutas SKU_Cons'!BW553</f>
        <v>0</v>
      </c>
    </row>
    <row r="550" spans="1:9">
      <c r="A550" t="str">
        <f>IF('[3]Motor Rutas SKU_Cons'!C554="","",'[3]Motor Rutas SKU_Cons'!C554)</f>
        <v>Noreste</v>
      </c>
      <c r="B550" t="str">
        <f>IF('[3]Motor Rutas SKU_Cons'!D554="","",'[3]Motor Rutas SKU_Cons'!D554)</f>
        <v>Saltillo</v>
      </c>
      <c r="C550" t="str">
        <f>IF('[3]Motor Rutas SKU_Cons'!B554="","",'[3]Motor Rutas SKU_Cons'!B554)</f>
        <v>Planta Agua y Hielo</v>
      </c>
      <c r="D550">
        <f>'[3]Motor Rutas SKU_Cons'!A554</f>
        <v>203305</v>
      </c>
      <c r="E550" s="997" t="str">
        <f>IF('[3]Motor Rutas SKU_Cons'!N554="","s/d","Agua "&amp;TEXT('[3]Motor Rutas SKU_Cons'!N554,"0%")&amp;" · Colas "&amp;TEXT('[3]Motor Rutas SKU_Cons'!O554,"0%")&amp;" · Resto "&amp;TEXT('[3]Motor Rutas SKU_Cons'!P554,"0%"))</f>
        <v>Agua 80% · Colas 12% · Resto 8%</v>
      </c>
      <c r="F550" s="16">
        <f>'[3]Motor Rutas SKU_Cons'!CH554</f>
        <v>0.46341768522343735</v>
      </c>
      <c r="G550" s="16">
        <f>'[3]Motor Rutas SKU_Cons'!CG554</f>
        <v>0.51002470994318183</v>
      </c>
      <c r="H550" s="998">
        <f>'[3]Motor Rutas SKU_Cons'!BX554</f>
        <v>31.598610967004149</v>
      </c>
      <c r="I550" s="998">
        <f>'[3]Motor Rutas SKU_Cons'!BW554</f>
        <v>0</v>
      </c>
    </row>
    <row r="551" spans="1:9">
      <c r="A551" t="str">
        <f>IF('[3]Motor Rutas SKU_Cons'!C555="","",'[3]Motor Rutas SKU_Cons'!C555)</f>
        <v>Noreste</v>
      </c>
      <c r="B551" t="str">
        <f>IF('[3]Motor Rutas SKU_Cons'!D555="","",'[3]Motor Rutas SKU_Cons'!D555)</f>
        <v>Saltillo</v>
      </c>
      <c r="C551" t="str">
        <f>IF('[3]Motor Rutas SKU_Cons'!B555="","",'[3]Motor Rutas SKU_Cons'!B555)</f>
        <v>Planta Agua y Hielo</v>
      </c>
      <c r="D551">
        <f>'[3]Motor Rutas SKU_Cons'!A555</f>
        <v>203314</v>
      </c>
      <c r="E551" s="997" t="str">
        <f>IF('[3]Motor Rutas SKU_Cons'!N555="","s/d","Agua "&amp;TEXT('[3]Motor Rutas SKU_Cons'!N555,"0%")&amp;" · Colas "&amp;TEXT('[3]Motor Rutas SKU_Cons'!O555,"0%")&amp;" · Resto "&amp;TEXT('[3]Motor Rutas SKU_Cons'!P555,"0%"))</f>
        <v>Agua 80% · Colas 12% · Resto 8%</v>
      </c>
      <c r="F551" s="16">
        <f>'[3]Motor Rutas SKU_Cons'!CH555</f>
        <v>0.34223595065367768</v>
      </c>
      <c r="G551" s="16">
        <f>'[3]Motor Rutas SKU_Cons'!CG555</f>
        <v>0.5099922869318182</v>
      </c>
      <c r="H551" s="998">
        <f>'[3]Motor Rutas SKU_Cons'!BX555</f>
        <v>38.734840360943629</v>
      </c>
      <c r="I551" s="998">
        <f>'[3]Motor Rutas SKU_Cons'!BW555</f>
        <v>0</v>
      </c>
    </row>
    <row r="552" spans="1:9">
      <c r="A552" t="str">
        <f>IF('[3]Motor Rutas SKU_Cons'!C556="","",'[3]Motor Rutas SKU_Cons'!C556)</f>
        <v>Norte</v>
      </c>
      <c r="B552" t="str">
        <f>IF('[3]Motor Rutas SKU_Cons'!D556="","",'[3]Motor Rutas SKU_Cons'!D556)</f>
        <v>Chihuahua</v>
      </c>
      <c r="C552" t="str">
        <f>IF('[3]Motor Rutas SKU_Cons'!B556="","",'[3]Motor Rutas SKU_Cons'!B556)</f>
        <v>Planta Chihuahua</v>
      </c>
      <c r="D552">
        <f>'[3]Motor Rutas SKU_Cons'!A556</f>
        <v>308343</v>
      </c>
      <c r="E552" s="997" t="str">
        <f>IF('[3]Motor Rutas SKU_Cons'!N556="","s/d","Agua "&amp;TEXT('[3]Motor Rutas SKU_Cons'!N556,"0%")&amp;" · Colas "&amp;TEXT('[3]Motor Rutas SKU_Cons'!O556,"0%")&amp;" · Resto "&amp;TEXT('[3]Motor Rutas SKU_Cons'!P556,"0%"))</f>
        <v>Agua 85% · Colas 8% · Resto 7%</v>
      </c>
      <c r="F552" s="16">
        <f>'[3]Motor Rutas SKU_Cons'!CH556</f>
        <v>0.39976703926569501</v>
      </c>
      <c r="G552" s="16">
        <f>'[3]Motor Rutas SKU_Cons'!CG556</f>
        <v>0.50934433009090818</v>
      </c>
      <c r="H552" s="998">
        <f>'[3]Motor Rutas SKU_Cons'!BX556</f>
        <v>18.130648060606045</v>
      </c>
      <c r="I552" s="998">
        <f>'[3]Motor Rutas SKU_Cons'!BW556</f>
        <v>0</v>
      </c>
    </row>
    <row r="553" spans="1:9">
      <c r="A553" t="str">
        <f>IF('[3]Motor Rutas SKU_Cons'!C557="","",'[3]Motor Rutas SKU_Cons'!C557)</f>
        <v>Norte</v>
      </c>
      <c r="B553" t="str">
        <f>IF('[3]Motor Rutas SKU_Cons'!D557="","",'[3]Motor Rutas SKU_Cons'!D557)</f>
        <v>Guadiana</v>
      </c>
      <c r="C553" t="str">
        <f>IF('[3]Motor Rutas SKU_Cons'!B557="","",'[3]Motor Rutas SKU_Cons'!B557)</f>
        <v>Planta Guadiana</v>
      </c>
      <c r="D553">
        <f>'[3]Motor Rutas SKU_Cons'!A557</f>
        <v>931405</v>
      </c>
      <c r="E553" s="997" t="str">
        <f>IF('[3]Motor Rutas SKU_Cons'!N557="","s/d","Agua "&amp;TEXT('[3]Motor Rutas SKU_Cons'!N557,"0%")&amp;" · Colas "&amp;TEXT('[3]Motor Rutas SKU_Cons'!O557,"0%")&amp;" · Resto "&amp;TEXT('[3]Motor Rutas SKU_Cons'!P557,"0%"))</f>
        <v>Agua 85% · Colas 8% · Resto 7%</v>
      </c>
      <c r="F553" s="16">
        <f>'[3]Motor Rutas SKU_Cons'!CH557</f>
        <v>0.28317726081893979</v>
      </c>
      <c r="G553" s="16">
        <f>'[3]Motor Rutas SKU_Cons'!CG557</f>
        <v>0.50689546159090904</v>
      </c>
      <c r="H553" s="998">
        <f>'[3]Motor Rutas SKU_Cons'!BX557</f>
        <v>45.415934531194239</v>
      </c>
      <c r="I553" s="998">
        <f>'[3]Motor Rutas SKU_Cons'!BW557</f>
        <v>0</v>
      </c>
    </row>
    <row r="554" spans="1:9">
      <c r="A554" t="str">
        <f>IF('[3]Motor Rutas SKU_Cons'!C558="","",'[3]Motor Rutas SKU_Cons'!C558)</f>
        <v>Occidente</v>
      </c>
      <c r="B554" t="str">
        <f>IF('[3]Motor Rutas SKU_Cons'!D558="","",'[3]Motor Rutas SKU_Cons'!D558)</f>
        <v>Zapopan</v>
      </c>
      <c r="C554" t="str">
        <f>IF('[3]Motor Rutas SKU_Cons'!B558="","",'[3]Motor Rutas SKU_Cons'!B558)</f>
        <v>Suc. Huentitán</v>
      </c>
      <c r="D554">
        <f>'[3]Motor Rutas SKU_Cons'!A558</f>
        <v>819424</v>
      </c>
      <c r="E554" s="997" t="str">
        <f>IF('[3]Motor Rutas SKU_Cons'!N558="","s/d","Agua "&amp;TEXT('[3]Motor Rutas SKU_Cons'!N558,"0%")&amp;" · Colas "&amp;TEXT('[3]Motor Rutas SKU_Cons'!O558,"0%")&amp;" · Resto "&amp;TEXT('[3]Motor Rutas SKU_Cons'!P558,"0%"))</f>
        <v>Agua 85% · Colas 8% · Resto 7%</v>
      </c>
      <c r="F554" s="16">
        <f>'[3]Motor Rutas SKU_Cons'!CH558</f>
        <v>0.25894767612735253</v>
      </c>
      <c r="G554" s="16">
        <f>'[3]Motor Rutas SKU_Cons'!CG558</f>
        <v>0.49719707672727304</v>
      </c>
      <c r="H554" s="998">
        <f>'[3]Motor Rutas SKU_Cons'!BX558</f>
        <v>36.483039201426067</v>
      </c>
      <c r="I554" s="998">
        <f>'[3]Motor Rutas SKU_Cons'!BW558</f>
        <v>0</v>
      </c>
    </row>
    <row r="555" spans="1:9">
      <c r="A555" t="str">
        <f>IF('[3]Motor Rutas SKU_Cons'!C559="","",'[3]Motor Rutas SKU_Cons'!C559)</f>
        <v>Norte</v>
      </c>
      <c r="B555" t="str">
        <f>IF('[3]Motor Rutas SKU_Cons'!D559="","",'[3]Motor Rutas SKU_Cons'!D559)</f>
        <v>Chihuahua</v>
      </c>
      <c r="C555" t="str">
        <f>IF('[3]Motor Rutas SKU_Cons'!B559="","",'[3]Motor Rutas SKU_Cons'!B559)</f>
        <v>Planta Chihuahua</v>
      </c>
      <c r="D555">
        <f>'[3]Motor Rutas SKU_Cons'!A559</f>
        <v>308347</v>
      </c>
      <c r="E555" s="997" t="str">
        <f>IF('[3]Motor Rutas SKU_Cons'!N559="","s/d","Agua "&amp;TEXT('[3]Motor Rutas SKU_Cons'!N559,"0%")&amp;" · Colas "&amp;TEXT('[3]Motor Rutas SKU_Cons'!O559,"0%")&amp;" · Resto "&amp;TEXT('[3]Motor Rutas SKU_Cons'!P559,"0%"))</f>
        <v>Agua 85% · Colas 8% · Resto 7%</v>
      </c>
      <c r="F555" s="16">
        <f>'[3]Motor Rutas SKU_Cons'!CH559</f>
        <v>0.62909265613705501</v>
      </c>
      <c r="G555" s="16">
        <f>'[3]Motor Rutas SKU_Cons'!CG559</f>
        <v>0.49679790872727086</v>
      </c>
      <c r="H555" s="998">
        <f>'[3]Motor Rutas SKU_Cons'!BX559</f>
        <v>2.592202130824262</v>
      </c>
      <c r="I555" s="998">
        <f>'[3]Motor Rutas SKU_Cons'!BW559</f>
        <v>0</v>
      </c>
    </row>
    <row r="556" spans="1:9">
      <c r="A556" t="str">
        <f>IF('[3]Motor Rutas SKU_Cons'!C560="","",'[3]Motor Rutas SKU_Cons'!C560)</f>
        <v>Norte</v>
      </c>
      <c r="B556" t="str">
        <f>IF('[3]Motor Rutas SKU_Cons'!D560="","",'[3]Motor Rutas SKU_Cons'!D560)</f>
        <v>Comarca</v>
      </c>
      <c r="C556" t="str">
        <f>IF('[3]Motor Rutas SKU_Cons'!B560="","",'[3]Motor Rutas SKU_Cons'!B560)</f>
        <v>Suc. Estadio</v>
      </c>
      <c r="D556">
        <f>'[3]Motor Rutas SKU_Cons'!A560</f>
        <v>217400</v>
      </c>
      <c r="E556" s="997" t="str">
        <f>IF('[3]Motor Rutas SKU_Cons'!N560="","s/d","Agua "&amp;TEXT('[3]Motor Rutas SKU_Cons'!N560,"0%")&amp;" · Colas "&amp;TEXT('[3]Motor Rutas SKU_Cons'!O560,"0%")&amp;" · Resto "&amp;TEXT('[3]Motor Rutas SKU_Cons'!P560,"0%"))</f>
        <v>Agua 85% · Colas 8% · Resto 7%</v>
      </c>
      <c r="F556" s="16">
        <f>'[3]Motor Rutas SKU_Cons'!CH560</f>
        <v>0.3753829830865576</v>
      </c>
      <c r="G556" s="16">
        <f>'[3]Motor Rutas SKU_Cons'!CG560</f>
        <v>0.46022058409090905</v>
      </c>
      <c r="H556" s="998">
        <f>'[3]Motor Rutas SKU_Cons'!BX560</f>
        <v>26.021843689839596</v>
      </c>
      <c r="I556" s="998">
        <f>'[3]Motor Rutas SKU_Cons'!BW560</f>
        <v>0</v>
      </c>
    </row>
    <row r="557" spans="1:9">
      <c r="A557" t="str">
        <f>IF('[3]Motor Rutas SKU_Cons'!C561="","",'[3]Motor Rutas SKU_Cons'!C561)</f>
        <v>Norte</v>
      </c>
      <c r="B557" t="str">
        <f>IF('[3]Motor Rutas SKU_Cons'!D561="","",'[3]Motor Rutas SKU_Cons'!D561)</f>
        <v>Chihuahua</v>
      </c>
      <c r="C557" t="str">
        <f>IF('[3]Motor Rutas SKU_Cons'!B561="","",'[3]Motor Rutas SKU_Cons'!B561)</f>
        <v>Planta Chihuahua</v>
      </c>
      <c r="D557">
        <f>'[3]Motor Rutas SKU_Cons'!A561</f>
        <v>308341</v>
      </c>
      <c r="E557" s="997" t="str">
        <f>IF('[3]Motor Rutas SKU_Cons'!N561="","s/d","Agua "&amp;TEXT('[3]Motor Rutas SKU_Cons'!N561,"0%")&amp;" · Colas "&amp;TEXT('[3]Motor Rutas SKU_Cons'!O561,"0%")&amp;" · Resto "&amp;TEXT('[3]Motor Rutas SKU_Cons'!P561,"0%"))</f>
        <v>Agua 85% · Colas 8% · Resto 7%</v>
      </c>
      <c r="F557" s="16">
        <f>'[3]Motor Rutas SKU_Cons'!CH561</f>
        <v>0.72902102859334295</v>
      </c>
      <c r="G557" s="16">
        <f>'[3]Motor Rutas SKU_Cons'!CG561</f>
        <v>0.49499959090908829</v>
      </c>
      <c r="H557" s="998">
        <f>'[3]Motor Rutas SKU_Cons'!BX561</f>
        <v>6.7780345132577366</v>
      </c>
      <c r="I557" s="998">
        <f>'[3]Motor Rutas SKU_Cons'!BW561</f>
        <v>80.599382130685456</v>
      </c>
    </row>
    <row r="558" spans="1:9">
      <c r="A558" t="str">
        <f>IF('[3]Motor Rutas SKU_Cons'!C562="","",'[3]Motor Rutas SKU_Cons'!C562)</f>
        <v>Noreste</v>
      </c>
      <c r="B558" t="str">
        <f>IF('[3]Motor Rutas SKU_Cons'!D562="","",'[3]Motor Rutas SKU_Cons'!D562)</f>
        <v>Monterrey</v>
      </c>
      <c r="C558" t="str">
        <f>IF('[3]Motor Rutas SKU_Cons'!B562="","",'[3]Motor Rutas SKU_Cons'!B562)</f>
        <v>Sucursal Santa Catarina</v>
      </c>
      <c r="D558">
        <f>'[3]Motor Rutas SKU_Cons'!A562</f>
        <v>712306</v>
      </c>
      <c r="E558" s="997" t="str">
        <f>IF('[3]Motor Rutas SKU_Cons'!N562="","s/d","Agua "&amp;TEXT('[3]Motor Rutas SKU_Cons'!N562,"0%")&amp;" · Colas "&amp;TEXT('[3]Motor Rutas SKU_Cons'!O562,"0%")&amp;" · Resto "&amp;TEXT('[3]Motor Rutas SKU_Cons'!P562,"0%"))</f>
        <v>Agua 80% · Colas 12% · Resto 8%</v>
      </c>
      <c r="F558" s="16">
        <f>'[3]Motor Rutas SKU_Cons'!CH562</f>
        <v>0.753995961558938</v>
      </c>
      <c r="G558" s="16">
        <f>'[3]Motor Rutas SKU_Cons'!CG562</f>
        <v>0.49364990181818136</v>
      </c>
      <c r="H558" s="998">
        <f>'[3]Motor Rutas SKU_Cons'!BX562</f>
        <v>12.781156003952574</v>
      </c>
      <c r="I558" s="998">
        <f>'[3]Motor Rutas SKU_Cons'!BW562</f>
        <v>0</v>
      </c>
    </row>
    <row r="559" spans="1:9">
      <c r="A559" t="str">
        <f>IF('[3]Motor Rutas SKU_Cons'!C563="","",'[3]Motor Rutas SKU_Cons'!C563)</f>
        <v>Occidente</v>
      </c>
      <c r="B559" t="str">
        <f>IF('[3]Motor Rutas SKU_Cons'!D563="","",'[3]Motor Rutas SKU_Cons'!D563)</f>
        <v>San Luis</v>
      </c>
      <c r="C559" t="str">
        <f>IF('[3]Motor Rutas SKU_Cons'!B563="","",'[3]Motor Rutas SKU_Cons'!B563)</f>
        <v>Suc. Río Verde</v>
      </c>
      <c r="D559">
        <f>'[3]Motor Rutas SKU_Cons'!A563</f>
        <v>921403</v>
      </c>
      <c r="E559" s="997" t="str">
        <f>IF('[3]Motor Rutas SKU_Cons'!N563="","s/d","Agua "&amp;TEXT('[3]Motor Rutas SKU_Cons'!N563,"0%")&amp;" · Colas "&amp;TEXT('[3]Motor Rutas SKU_Cons'!O563,"0%")&amp;" · Resto "&amp;TEXT('[3]Motor Rutas SKU_Cons'!P563,"0%"))</f>
        <v>Agua 85% · Colas 8% · Resto 7%</v>
      </c>
      <c r="F559" s="16">
        <f>'[3]Motor Rutas SKU_Cons'!CH563</f>
        <v>0.22549008817437977</v>
      </c>
      <c r="G559" s="16">
        <f>'[3]Motor Rutas SKU_Cons'!CG563</f>
        <v>0.4923519801136364</v>
      </c>
      <c r="H559" s="998">
        <f>'[3]Motor Rutas SKU_Cons'!BX563</f>
        <v>39.163639843137325</v>
      </c>
      <c r="I559" s="998">
        <f>'[3]Motor Rutas SKU_Cons'!BW563</f>
        <v>0</v>
      </c>
    </row>
    <row r="560" spans="1:9">
      <c r="A560" t="str">
        <f>IF('[3]Motor Rutas SKU_Cons'!C564="","",'[3]Motor Rutas SKU_Cons'!C564)</f>
        <v>Norte</v>
      </c>
      <c r="B560" t="str">
        <f>IF('[3]Motor Rutas SKU_Cons'!D564="","",'[3]Motor Rutas SKU_Cons'!D564)</f>
        <v>Comarca</v>
      </c>
      <c r="C560" t="str">
        <f>IF('[3]Motor Rutas SKU_Cons'!B564="","",'[3]Motor Rutas SKU_Cons'!B564)</f>
        <v>Suc. Estadio</v>
      </c>
      <c r="D560">
        <f>'[3]Motor Rutas SKU_Cons'!A564</f>
        <v>217403</v>
      </c>
      <c r="E560" s="997" t="str">
        <f>IF('[3]Motor Rutas SKU_Cons'!N564="","s/d","Agua "&amp;TEXT('[3]Motor Rutas SKU_Cons'!N564,"0%")&amp;" · Colas "&amp;TEXT('[3]Motor Rutas SKU_Cons'!O564,"0%")&amp;" · Resto "&amp;TEXT('[3]Motor Rutas SKU_Cons'!P564,"0%"))</f>
        <v>Agua 85% · Colas 8% · Resto 7%</v>
      </c>
      <c r="F560" s="16">
        <f>'[3]Motor Rutas SKU_Cons'!CH564</f>
        <v>0.43202766199020576</v>
      </c>
      <c r="G560" s="16">
        <f>'[3]Motor Rutas SKU_Cons'!CG564</f>
        <v>0.45248125653409116</v>
      </c>
      <c r="H560" s="998">
        <f>'[3]Motor Rutas SKU_Cons'!BX564</f>
        <v>21.876773276292361</v>
      </c>
      <c r="I560" s="998">
        <f>'[3]Motor Rutas SKU_Cons'!BW564</f>
        <v>0</v>
      </c>
    </row>
    <row r="561" spans="1:9">
      <c r="A561" t="str">
        <f>IF('[3]Motor Rutas SKU_Cons'!C565="","",'[3]Motor Rutas SKU_Cons'!C565)</f>
        <v>Norte</v>
      </c>
      <c r="B561" t="str">
        <f>IF('[3]Motor Rutas SKU_Cons'!D565="","",'[3]Motor Rutas SKU_Cons'!D565)</f>
        <v>Juárez</v>
      </c>
      <c r="C561" t="str">
        <f>IF('[3]Motor Rutas SKU_Cons'!B565="","",'[3]Motor Rutas SKU_Cons'!B565)</f>
        <v>Planta Cd. Juárez</v>
      </c>
      <c r="D561">
        <f>'[3]Motor Rutas SKU_Cons'!A565</f>
        <v>301349</v>
      </c>
      <c r="E561" s="997" t="str">
        <f>IF('[3]Motor Rutas SKU_Cons'!N565="","s/d","Agua "&amp;TEXT('[3]Motor Rutas SKU_Cons'!N565,"0%")&amp;" · Colas "&amp;TEXT('[3]Motor Rutas SKU_Cons'!O565,"0%")&amp;" · Resto "&amp;TEXT('[3]Motor Rutas SKU_Cons'!P565,"0%"))</f>
        <v>Agua 85% · Colas 8% · Resto 7%</v>
      </c>
      <c r="F561" s="16">
        <f>'[3]Motor Rutas SKU_Cons'!CH565</f>
        <v>0.29336726693590004</v>
      </c>
      <c r="G561" s="16">
        <f>'[3]Motor Rutas SKU_Cons'!CG565</f>
        <v>0.34743477477272622</v>
      </c>
      <c r="H561" s="998">
        <f>'[3]Motor Rutas SKU_Cons'!BX565</f>
        <v>23.821305609625668</v>
      </c>
      <c r="I561" s="998">
        <f>'[3]Motor Rutas SKU_Cons'!BW565</f>
        <v>0</v>
      </c>
    </row>
    <row r="562" spans="1:9">
      <c r="A562" t="str">
        <f>IF('[3]Motor Rutas SKU_Cons'!C566="","",'[3]Motor Rutas SKU_Cons'!C566)</f>
        <v>Norte</v>
      </c>
      <c r="B562" t="str">
        <f>IF('[3]Motor Rutas SKU_Cons'!D566="","",'[3]Motor Rutas SKU_Cons'!D566)</f>
        <v>Zacatecas</v>
      </c>
      <c r="C562" t="str">
        <f>IF('[3]Motor Rutas SKU_Cons'!B566="","",'[3]Motor Rutas SKU_Cons'!B566)</f>
        <v>Planta Zacatecas</v>
      </c>
      <c r="D562">
        <f>'[3]Motor Rutas SKU_Cons'!A566</f>
        <v>946403</v>
      </c>
      <c r="E562" s="997" t="str">
        <f>IF('[3]Motor Rutas SKU_Cons'!N566="","s/d","Agua "&amp;TEXT('[3]Motor Rutas SKU_Cons'!N566,"0%")&amp;" · Colas "&amp;TEXT('[3]Motor Rutas SKU_Cons'!O566,"0%")&amp;" · Resto "&amp;TEXT('[3]Motor Rutas SKU_Cons'!P566,"0%"))</f>
        <v>Agua 85% · Colas 8% · Resto 7%</v>
      </c>
      <c r="F562" s="16">
        <f>'[3]Motor Rutas SKU_Cons'!CH566</f>
        <v>0.18968560018873443</v>
      </c>
      <c r="G562" s="16">
        <f>'[3]Motor Rutas SKU_Cons'!CG566</f>
        <v>0.47064598538961022</v>
      </c>
      <c r="H562" s="998">
        <f>'[3]Motor Rutas SKU_Cons'!BX566</f>
        <v>55.486011733511475</v>
      </c>
      <c r="I562" s="998">
        <f>'[3]Motor Rutas SKU_Cons'!BW566</f>
        <v>0</v>
      </c>
    </row>
    <row r="563" spans="1:9">
      <c r="A563" t="str">
        <f>IF('[3]Motor Rutas SKU_Cons'!C567="","",'[3]Motor Rutas SKU_Cons'!C567)</f>
        <v>Occidente</v>
      </c>
      <c r="B563" t="str">
        <f>IF('[3]Motor Rutas SKU_Cons'!D567="","",'[3]Motor Rutas SKU_Cons'!D567)</f>
        <v>Zapopan</v>
      </c>
      <c r="C563" t="str">
        <f>IF('[3]Motor Rutas SKU_Cons'!B567="","",'[3]Motor Rutas SKU_Cons'!B567)</f>
        <v>Suc. Belenes</v>
      </c>
      <c r="D563">
        <f>'[3]Motor Rutas SKU_Cons'!A567</f>
        <v>820423</v>
      </c>
      <c r="E563" s="997" t="str">
        <f>IF('[3]Motor Rutas SKU_Cons'!N567="","s/d","Agua "&amp;TEXT('[3]Motor Rutas SKU_Cons'!N567,"0%")&amp;" · Colas "&amp;TEXT('[3]Motor Rutas SKU_Cons'!O567,"0%")&amp;" · Resto "&amp;TEXT('[3]Motor Rutas SKU_Cons'!P567,"0%"))</f>
        <v>Agua 85% · Colas 8% · Resto 7%</v>
      </c>
      <c r="F563" s="16">
        <f>'[3]Motor Rutas SKU_Cons'!CH567</f>
        <v>0.11635570696934407</v>
      </c>
      <c r="G563" s="16">
        <f>'[3]Motor Rutas SKU_Cons'!CG567</f>
        <v>0.48117504845454523</v>
      </c>
      <c r="H563" s="998">
        <f>'[3]Motor Rutas SKU_Cons'!BX567</f>
        <v>48.483471131016046</v>
      </c>
      <c r="I563" s="998">
        <f>'[3]Motor Rutas SKU_Cons'!BW567</f>
        <v>0</v>
      </c>
    </row>
    <row r="564" spans="1:9">
      <c r="A564" t="str">
        <f>IF('[3]Motor Rutas SKU_Cons'!C568="","",'[3]Motor Rutas SKU_Cons'!C568)</f>
        <v>Noreste</v>
      </c>
      <c r="B564" t="str">
        <f>IF('[3]Motor Rutas SKU_Cons'!D568="","",'[3]Motor Rutas SKU_Cons'!D568)</f>
        <v>Saltillo</v>
      </c>
      <c r="C564" t="str">
        <f>IF('[3]Motor Rutas SKU_Cons'!B568="","",'[3]Motor Rutas SKU_Cons'!B568)</f>
        <v>Planta Agua y Hielo</v>
      </c>
      <c r="D564">
        <f>'[3]Motor Rutas SKU_Cons'!A568</f>
        <v>203329</v>
      </c>
      <c r="E564" s="997" t="str">
        <f>IF('[3]Motor Rutas SKU_Cons'!N568="","s/d","Agua "&amp;TEXT('[3]Motor Rutas SKU_Cons'!N568,"0%")&amp;" · Colas "&amp;TEXT('[3]Motor Rutas SKU_Cons'!O568,"0%")&amp;" · Resto "&amp;TEXT('[3]Motor Rutas SKU_Cons'!P568,"0%"))</f>
        <v>Agua 80% · Colas 12% · Resto 8%</v>
      </c>
      <c r="F564" s="16">
        <f>'[3]Motor Rutas SKU_Cons'!CH568</f>
        <v>0.65481654773404074</v>
      </c>
      <c r="G564" s="16">
        <f>'[3]Motor Rutas SKU_Cons'!CG568</f>
        <v>0.47828359687499944</v>
      </c>
      <c r="H564" s="998">
        <f>'[3]Motor Rutas SKU_Cons'!BX568</f>
        <v>20.327389330640521</v>
      </c>
      <c r="I564" s="998">
        <f>'[3]Motor Rutas SKU_Cons'!BW568</f>
        <v>0</v>
      </c>
    </row>
    <row r="565" spans="1:9">
      <c r="A565" t="str">
        <f>IF('[3]Motor Rutas SKU_Cons'!C569="","",'[3]Motor Rutas SKU_Cons'!C569)</f>
        <v>Norte</v>
      </c>
      <c r="B565" t="str">
        <f>IF('[3]Motor Rutas SKU_Cons'!D569="","",'[3]Motor Rutas SKU_Cons'!D569)</f>
        <v>Zacatecas</v>
      </c>
      <c r="C565" t="str">
        <f>IF('[3]Motor Rutas SKU_Cons'!B569="","",'[3]Motor Rutas SKU_Cons'!B569)</f>
        <v>Planta Zacatecas</v>
      </c>
      <c r="D565">
        <f>'[3]Motor Rutas SKU_Cons'!A569</f>
        <v>946402</v>
      </c>
      <c r="E565" s="997" t="str">
        <f>IF('[3]Motor Rutas SKU_Cons'!N569="","s/d","Agua "&amp;TEXT('[3]Motor Rutas SKU_Cons'!N569,"0%")&amp;" · Colas "&amp;TEXT('[3]Motor Rutas SKU_Cons'!O569,"0%")&amp;" · Resto "&amp;TEXT('[3]Motor Rutas SKU_Cons'!P569,"0%"))</f>
        <v>Agua 85% · Colas 8% · Resto 7%</v>
      </c>
      <c r="F565" s="16">
        <f>'[3]Motor Rutas SKU_Cons'!CH569</f>
        <v>0.18401986472166715</v>
      </c>
      <c r="G565" s="16">
        <f>'[3]Motor Rutas SKU_Cons'!CG569</f>
        <v>0.46604314636363614</v>
      </c>
      <c r="H565" s="998">
        <f>'[3]Motor Rutas SKU_Cons'!BX569</f>
        <v>55.270623045454492</v>
      </c>
      <c r="I565" s="998">
        <f>'[3]Motor Rutas SKU_Cons'!BW569</f>
        <v>0</v>
      </c>
    </row>
    <row r="566" spans="1:9">
      <c r="A566" t="str">
        <f>IF('[3]Motor Rutas SKU_Cons'!C570="","",'[3]Motor Rutas SKU_Cons'!C570)</f>
        <v>Occidente</v>
      </c>
      <c r="B566" t="str">
        <f>IF('[3]Motor Rutas SKU_Cons'!D570="","",'[3]Motor Rutas SKU_Cons'!D570)</f>
        <v>Favorita</v>
      </c>
      <c r="C566" t="str">
        <f>IF('[3]Motor Rutas SKU_Cons'!B570="","",'[3]Motor Rutas SKU_Cons'!B570)</f>
        <v>Suc. Santa Maria</v>
      </c>
      <c r="D566">
        <f>'[3]Motor Rutas SKU_Cons'!A570</f>
        <v>809336</v>
      </c>
      <c r="E566" s="997" t="str">
        <f>IF('[3]Motor Rutas SKU_Cons'!N570="","s/d","Agua "&amp;TEXT('[3]Motor Rutas SKU_Cons'!N570,"0%")&amp;" · Colas "&amp;TEXT('[3]Motor Rutas SKU_Cons'!O570,"0%")&amp;" · Resto "&amp;TEXT('[3]Motor Rutas SKU_Cons'!P570,"0%"))</f>
        <v>Agua 85% · Colas 8% · Resto 7%</v>
      </c>
      <c r="F566" s="16">
        <f>'[3]Motor Rutas SKU_Cons'!CH570</f>
        <v>0.22015229019050303</v>
      </c>
      <c r="G566" s="16">
        <f>'[3]Motor Rutas SKU_Cons'!CG570</f>
        <v>0.47616482391545489</v>
      </c>
      <c r="H566" s="998">
        <f>'[3]Motor Rutas SKU_Cons'!BX570</f>
        <v>37.672325008912658</v>
      </c>
      <c r="I566" s="998">
        <f>'[3]Motor Rutas SKU_Cons'!BW570</f>
        <v>0</v>
      </c>
    </row>
    <row r="567" spans="1:9">
      <c r="A567" t="str">
        <f>IF('[3]Motor Rutas SKU_Cons'!C571="","",'[3]Motor Rutas SKU_Cons'!C571)</f>
        <v>Noreste</v>
      </c>
      <c r="B567" t="str">
        <f>IF('[3]Motor Rutas SKU_Cons'!D571="","",'[3]Motor Rutas SKU_Cons'!D571)</f>
        <v>Piedras Negras</v>
      </c>
      <c r="C567" t="str">
        <f>IF('[3]Motor Rutas SKU_Cons'!B571="","",'[3]Motor Rutas SKU_Cons'!B571)</f>
        <v>Suc. Piedras Negras</v>
      </c>
      <c r="D567">
        <f>'[3]Motor Rutas SKU_Cons'!A571</f>
        <v>207302</v>
      </c>
      <c r="E567" s="997" t="str">
        <f>IF('[3]Motor Rutas SKU_Cons'!N571="","s/d","Agua "&amp;TEXT('[3]Motor Rutas SKU_Cons'!N571,"0%")&amp;" · Colas "&amp;TEXT('[3]Motor Rutas SKU_Cons'!O571,"0%")&amp;" · Resto "&amp;TEXT('[3]Motor Rutas SKU_Cons'!P571,"0%"))</f>
        <v>Agua 80% · Colas 12% · Resto 8%</v>
      </c>
      <c r="F567" s="16">
        <f>'[3]Motor Rutas SKU_Cons'!CH571</f>
        <v>0.47574424707138241</v>
      </c>
      <c r="G567" s="16">
        <f>'[3]Motor Rutas SKU_Cons'!CG571</f>
        <v>0.46830068999999874</v>
      </c>
      <c r="H567" s="998">
        <f>'[3]Motor Rutas SKU_Cons'!BX571</f>
        <v>38.590895394361233</v>
      </c>
      <c r="I567" s="998">
        <f>'[3]Motor Rutas SKU_Cons'!BW571</f>
        <v>0</v>
      </c>
    </row>
    <row r="568" spans="1:9">
      <c r="A568" t="str">
        <f>IF('[3]Motor Rutas SKU_Cons'!C572="","",'[3]Motor Rutas SKU_Cons'!C572)</f>
        <v>Noreste</v>
      </c>
      <c r="B568" t="str">
        <f>IF('[3]Motor Rutas SKU_Cons'!D572="","",'[3]Motor Rutas SKU_Cons'!D572)</f>
        <v>Monterrey</v>
      </c>
      <c r="C568" t="str">
        <f>IF('[3]Motor Rutas SKU_Cons'!B572="","",'[3]Motor Rutas SKU_Cons'!B572)</f>
        <v>Sucursal Juventud</v>
      </c>
      <c r="D568">
        <f>'[3]Motor Rutas SKU_Cons'!A572</f>
        <v>704308</v>
      </c>
      <c r="E568" s="997" t="str">
        <f>IF('[3]Motor Rutas SKU_Cons'!N572="","s/d","Agua "&amp;TEXT('[3]Motor Rutas SKU_Cons'!N572,"0%")&amp;" · Colas "&amp;TEXT('[3]Motor Rutas SKU_Cons'!O572,"0%")&amp;" · Resto "&amp;TEXT('[3]Motor Rutas SKU_Cons'!P572,"0%"))</f>
        <v>Agua 80% · Colas 12% · Resto 8%</v>
      </c>
      <c r="F568" s="16">
        <f>'[3]Motor Rutas SKU_Cons'!CH572</f>
        <v>0.76273431656578206</v>
      </c>
      <c r="G568" s="16">
        <f>'[3]Motor Rutas SKU_Cons'!CG572</f>
        <v>0.46269786883090858</v>
      </c>
      <c r="H568" s="998">
        <f>'[3]Motor Rutas SKU_Cons'!BX572</f>
        <v>4.6784045105401049</v>
      </c>
      <c r="I568" s="998">
        <f>'[3]Motor Rutas SKU_Cons'!BW572</f>
        <v>0</v>
      </c>
    </row>
    <row r="569" spans="1:9">
      <c r="A569" t="str">
        <f>IF('[3]Motor Rutas SKU_Cons'!C573="","",'[3]Motor Rutas SKU_Cons'!C573)</f>
        <v>Noreste</v>
      </c>
      <c r="B569" t="str">
        <f>IF('[3]Motor Rutas SKU_Cons'!D573="","",'[3]Motor Rutas SKU_Cons'!D573)</f>
        <v>Monterrey</v>
      </c>
      <c r="C569" t="str">
        <f>IF('[3]Motor Rutas SKU_Cons'!B573="","",'[3]Motor Rutas SKU_Cons'!B573)</f>
        <v>Planta Guadalupe</v>
      </c>
      <c r="D569">
        <f>'[3]Motor Rutas SKU_Cons'!A573</f>
        <v>701319</v>
      </c>
      <c r="E569" s="997" t="str">
        <f>IF('[3]Motor Rutas SKU_Cons'!N573="","s/d","Agua "&amp;TEXT('[3]Motor Rutas SKU_Cons'!N573,"0%")&amp;" · Colas "&amp;TEXT('[3]Motor Rutas SKU_Cons'!O573,"0%")&amp;" · Resto "&amp;TEXT('[3]Motor Rutas SKU_Cons'!P573,"0%"))</f>
        <v>Agua 80% · Colas 12% · Resto 8%</v>
      </c>
      <c r="F569" s="16">
        <f>'[3]Motor Rutas SKU_Cons'!CH573</f>
        <v>0.62158879872025141</v>
      </c>
      <c r="G569" s="16">
        <f>'[3]Motor Rutas SKU_Cons'!CG573</f>
        <v>0.45647397695454484</v>
      </c>
      <c r="H569" s="998">
        <f>'[3]Motor Rutas SKU_Cons'!BX573</f>
        <v>14.624495060605952</v>
      </c>
      <c r="I569" s="998">
        <f>'[3]Motor Rutas SKU_Cons'!BW573</f>
        <v>0</v>
      </c>
    </row>
    <row r="570" spans="1:9">
      <c r="A570" t="str">
        <f>IF('[3]Motor Rutas SKU_Cons'!C574="","",'[3]Motor Rutas SKU_Cons'!C574)</f>
        <v>Noreste</v>
      </c>
      <c r="B570" t="str">
        <f>IF('[3]Motor Rutas SKU_Cons'!D574="","",'[3]Motor Rutas SKU_Cons'!D574)</f>
        <v>Saltillo</v>
      </c>
      <c r="C570" t="str">
        <f>IF('[3]Motor Rutas SKU_Cons'!B574="","",'[3]Motor Rutas SKU_Cons'!B574)</f>
        <v>Planta Agua y Hielo</v>
      </c>
      <c r="D570">
        <f>'[3]Motor Rutas SKU_Cons'!A574</f>
        <v>203304</v>
      </c>
      <c r="E570" s="997" t="str">
        <f>IF('[3]Motor Rutas SKU_Cons'!N574="","s/d","Agua "&amp;TEXT('[3]Motor Rutas SKU_Cons'!N574,"0%")&amp;" · Colas "&amp;TEXT('[3]Motor Rutas SKU_Cons'!O574,"0%")&amp;" · Resto "&amp;TEXT('[3]Motor Rutas SKU_Cons'!P574,"0%"))</f>
        <v>Agua 80% · Colas 12% · Resto 8%</v>
      </c>
      <c r="F570" s="16">
        <f>'[3]Motor Rutas SKU_Cons'!CH574</f>
        <v>0.25417391727630517</v>
      </c>
      <c r="G570" s="16">
        <f>'[3]Motor Rutas SKU_Cons'!CG574</f>
        <v>0.45639496022727244</v>
      </c>
      <c r="H570" s="998">
        <f>'[3]Motor Rutas SKU_Cons'!BX574</f>
        <v>43.920695088216256</v>
      </c>
      <c r="I570" s="998">
        <f>'[3]Motor Rutas SKU_Cons'!BW574</f>
        <v>0</v>
      </c>
    </row>
    <row r="571" spans="1:9">
      <c r="A571" t="str">
        <f>IF('[3]Motor Rutas SKU_Cons'!C575="","",'[3]Motor Rutas SKU_Cons'!C575)</f>
        <v>Norte</v>
      </c>
      <c r="B571" t="str">
        <f>IF('[3]Motor Rutas SKU_Cons'!D575="","",'[3]Motor Rutas SKU_Cons'!D575)</f>
        <v>Comarca</v>
      </c>
      <c r="C571" t="str">
        <f>IF('[3]Motor Rutas SKU_Cons'!B575="","",'[3]Motor Rutas SKU_Cons'!B575)</f>
        <v>Suc. Santa Rita</v>
      </c>
      <c r="D571">
        <f>'[3]Motor Rutas SKU_Cons'!A575</f>
        <v>220342</v>
      </c>
      <c r="E571" s="997" t="str">
        <f>IF('[3]Motor Rutas SKU_Cons'!N575="","s/d","Agua "&amp;TEXT('[3]Motor Rutas SKU_Cons'!N575,"0%")&amp;" · Colas "&amp;TEXT('[3]Motor Rutas SKU_Cons'!O575,"0%")&amp;" · Resto "&amp;TEXT('[3]Motor Rutas SKU_Cons'!P575,"0%"))</f>
        <v>Agua 85% · Colas 8% · Resto 7%</v>
      </c>
      <c r="F571" s="16">
        <f>'[3]Motor Rutas SKU_Cons'!CH575</f>
        <v>0.36965822041155705</v>
      </c>
      <c r="G571" s="16">
        <f>'[3]Motor Rutas SKU_Cons'!CG575</f>
        <v>0.43921845511363672</v>
      </c>
      <c r="H571" s="998">
        <f>'[3]Motor Rutas SKU_Cons'!BX575</f>
        <v>24.162666196078511</v>
      </c>
      <c r="I571" s="998">
        <f>'[3]Motor Rutas SKU_Cons'!BW575</f>
        <v>0</v>
      </c>
    </row>
    <row r="572" spans="1:9">
      <c r="A572" t="str">
        <f>IF('[3]Motor Rutas SKU_Cons'!C576="","",'[3]Motor Rutas SKU_Cons'!C576)</f>
        <v>Occidente</v>
      </c>
      <c r="B572" t="str">
        <f>IF('[3]Motor Rutas SKU_Cons'!D576="","",'[3]Motor Rutas SKU_Cons'!D576)</f>
        <v>Zapopan</v>
      </c>
      <c r="C572" t="str">
        <f>IF('[3]Motor Rutas SKU_Cons'!B576="","",'[3]Motor Rutas SKU_Cons'!B576)</f>
        <v>Suc. Belenes</v>
      </c>
      <c r="D572">
        <f>'[3]Motor Rutas SKU_Cons'!A576</f>
        <v>820411</v>
      </c>
      <c r="E572" s="997" t="str">
        <f>IF('[3]Motor Rutas SKU_Cons'!N576="","s/d","Agua "&amp;TEXT('[3]Motor Rutas SKU_Cons'!N576,"0%")&amp;" · Colas "&amp;TEXT('[3]Motor Rutas SKU_Cons'!O576,"0%")&amp;" · Resto "&amp;TEXT('[3]Motor Rutas SKU_Cons'!P576,"0%"))</f>
        <v>Agua 85% · Colas 8% · Resto 7%</v>
      </c>
      <c r="F572" s="16">
        <f>'[3]Motor Rutas SKU_Cons'!CH576</f>
        <v>0.19478376482309784</v>
      </c>
      <c r="G572" s="16">
        <f>'[3]Motor Rutas SKU_Cons'!CG576</f>
        <v>0.45537021480681772</v>
      </c>
      <c r="H572" s="998">
        <f>'[3]Motor Rutas SKU_Cons'!BX576</f>
        <v>37.57337981639931</v>
      </c>
      <c r="I572" s="998">
        <f>'[3]Motor Rutas SKU_Cons'!BW576</f>
        <v>0</v>
      </c>
    </row>
    <row r="573" spans="1:9">
      <c r="A573" t="str">
        <f>IF('[3]Motor Rutas SKU_Cons'!C577="","",'[3]Motor Rutas SKU_Cons'!C577)</f>
        <v>Noreste</v>
      </c>
      <c r="B573" t="str">
        <f>IF('[3]Motor Rutas SKU_Cons'!D577="","",'[3]Motor Rutas SKU_Cons'!D577)</f>
        <v>Piedras Negras</v>
      </c>
      <c r="C573" t="str">
        <f>IF('[3]Motor Rutas SKU_Cons'!B577="","",'[3]Motor Rutas SKU_Cons'!B577)</f>
        <v>Suc. Piedras Negras</v>
      </c>
      <c r="D573">
        <f>'[3]Motor Rutas SKU_Cons'!A577</f>
        <v>207300</v>
      </c>
      <c r="E573" s="997" t="str">
        <f>IF('[3]Motor Rutas SKU_Cons'!N577="","s/d","Agua "&amp;TEXT('[3]Motor Rutas SKU_Cons'!N577,"0%")&amp;" · Colas "&amp;TEXT('[3]Motor Rutas SKU_Cons'!O577,"0%")&amp;" · Resto "&amp;TEXT('[3]Motor Rutas SKU_Cons'!P577,"0%"))</f>
        <v>Agua 80% · Colas 12% · Resto 8%</v>
      </c>
      <c r="F573" s="16">
        <f>'[3]Motor Rutas SKU_Cons'!CH577</f>
        <v>0.42623720471498161</v>
      </c>
      <c r="G573" s="16">
        <f>'[3]Motor Rutas SKU_Cons'!CG577</f>
        <v>0.45478388863636238</v>
      </c>
      <c r="H573" s="998">
        <f>'[3]Motor Rutas SKU_Cons'!BX577</f>
        <v>42.235149333755217</v>
      </c>
      <c r="I573" s="998">
        <f>'[3]Motor Rutas SKU_Cons'!BW577</f>
        <v>0</v>
      </c>
    </row>
    <row r="574" spans="1:9">
      <c r="A574" t="str">
        <f>IF('[3]Motor Rutas SKU_Cons'!C578="","",'[3]Motor Rutas SKU_Cons'!C578)</f>
        <v>Norte</v>
      </c>
      <c r="B574" t="str">
        <f>IF('[3]Motor Rutas SKU_Cons'!D578="","",'[3]Motor Rutas SKU_Cons'!D578)</f>
        <v>Zacatecas</v>
      </c>
      <c r="C574" t="str">
        <f>IF('[3]Motor Rutas SKU_Cons'!B578="","",'[3]Motor Rutas SKU_Cons'!B578)</f>
        <v>Planta Zacatecas</v>
      </c>
      <c r="D574">
        <f>'[3]Motor Rutas SKU_Cons'!A578</f>
        <v>946400</v>
      </c>
      <c r="E574" s="997" t="str">
        <f>IF('[3]Motor Rutas SKU_Cons'!N578="","s/d","Agua "&amp;TEXT('[3]Motor Rutas SKU_Cons'!N578,"0%")&amp;" · Colas "&amp;TEXT('[3]Motor Rutas SKU_Cons'!O578,"0%")&amp;" · Resto "&amp;TEXT('[3]Motor Rutas SKU_Cons'!P578,"0%"))</f>
        <v>Agua 85% · Colas 8% · Resto 7%</v>
      </c>
      <c r="F574" s="16">
        <f>'[3]Motor Rutas SKU_Cons'!CH578</f>
        <v>0.22545540489050847</v>
      </c>
      <c r="G574" s="16">
        <f>'[3]Motor Rutas SKU_Cons'!CG578</f>
        <v>0.44393191538961013</v>
      </c>
      <c r="H574" s="998">
        <f>'[3]Motor Rutas SKU_Cons'!BX578</f>
        <v>48.340085163101634</v>
      </c>
      <c r="I574" s="998">
        <f>'[3]Motor Rutas SKU_Cons'!BW578</f>
        <v>0</v>
      </c>
    </row>
    <row r="575" spans="1:9">
      <c r="A575" t="str">
        <f>IF('[3]Motor Rutas SKU_Cons'!C579="","",'[3]Motor Rutas SKU_Cons'!C579)</f>
        <v>Noreste</v>
      </c>
      <c r="B575" t="str">
        <f>IF('[3]Motor Rutas SKU_Cons'!D579="","",'[3]Motor Rutas SKU_Cons'!D579)</f>
        <v>Monterrey</v>
      </c>
      <c r="C575" t="str">
        <f>IF('[3]Motor Rutas SKU_Cons'!B579="","",'[3]Motor Rutas SKU_Cons'!B579)</f>
        <v>Planta Guadalupe</v>
      </c>
      <c r="D575">
        <f>'[3]Motor Rutas SKU_Cons'!A579</f>
        <v>701313</v>
      </c>
      <c r="E575" s="997" t="str">
        <f>IF('[3]Motor Rutas SKU_Cons'!N579="","s/d","Agua "&amp;TEXT('[3]Motor Rutas SKU_Cons'!N579,"0%")&amp;" · Colas "&amp;TEXT('[3]Motor Rutas SKU_Cons'!O579,"0%")&amp;" · Resto "&amp;TEXT('[3]Motor Rutas SKU_Cons'!P579,"0%"))</f>
        <v>Agua 80% · Colas 12% · Resto 8%</v>
      </c>
      <c r="F575" s="16">
        <f>'[3]Motor Rutas SKU_Cons'!CH579</f>
        <v>0.62697021636258199</v>
      </c>
      <c r="G575" s="16">
        <f>'[3]Motor Rutas SKU_Cons'!CG579</f>
        <v>0.45339002386363575</v>
      </c>
      <c r="H575" s="998">
        <f>'[3]Motor Rutas SKU_Cons'!BX579</f>
        <v>13.820434196969615</v>
      </c>
      <c r="I575" s="998">
        <f>'[3]Motor Rutas SKU_Cons'!BW579</f>
        <v>0</v>
      </c>
    </row>
    <row r="576" spans="1:9">
      <c r="A576" t="str">
        <f>IF('[3]Motor Rutas SKU_Cons'!C580="","",'[3]Motor Rutas SKU_Cons'!C580)</f>
        <v>Norte</v>
      </c>
      <c r="B576" t="str">
        <f>IF('[3]Motor Rutas SKU_Cons'!D580="","",'[3]Motor Rutas SKU_Cons'!D580)</f>
        <v>Zacatecas</v>
      </c>
      <c r="C576" t="str">
        <f>IF('[3]Motor Rutas SKU_Cons'!B580="","",'[3]Motor Rutas SKU_Cons'!B580)</f>
        <v>Planta Zacatecas</v>
      </c>
      <c r="D576">
        <f>'[3]Motor Rutas SKU_Cons'!A580</f>
        <v>946401</v>
      </c>
      <c r="E576" s="997" t="str">
        <f>IF('[3]Motor Rutas SKU_Cons'!N580="","s/d","Agua "&amp;TEXT('[3]Motor Rutas SKU_Cons'!N580,"0%")&amp;" · Colas "&amp;TEXT('[3]Motor Rutas SKU_Cons'!O580,"0%")&amp;" · Resto "&amp;TEXT('[3]Motor Rutas SKU_Cons'!P580,"0%"))</f>
        <v>Agua 85% · Colas 8% · Resto 7%</v>
      </c>
      <c r="F576" s="16">
        <f>'[3]Motor Rutas SKU_Cons'!CH580</f>
        <v>0.17424093165904025</v>
      </c>
      <c r="G576" s="16">
        <f>'[3]Motor Rutas SKU_Cons'!CG580</f>
        <v>0.44230401876623376</v>
      </c>
      <c r="H576" s="998">
        <f>'[3]Motor Rutas SKU_Cons'!BX580</f>
        <v>52.49008460695201</v>
      </c>
      <c r="I576" s="998">
        <f>'[3]Motor Rutas SKU_Cons'!BW580</f>
        <v>0</v>
      </c>
    </row>
    <row r="577" spans="1:9">
      <c r="A577" t="str">
        <f>IF('[3]Motor Rutas SKU_Cons'!C581="","",'[3]Motor Rutas SKU_Cons'!C581)</f>
        <v>Norte</v>
      </c>
      <c r="B577" t="str">
        <f>IF('[3]Motor Rutas SKU_Cons'!D581="","",'[3]Motor Rutas SKU_Cons'!D581)</f>
        <v>Zacatecas</v>
      </c>
      <c r="C577" t="str">
        <f>IF('[3]Motor Rutas SKU_Cons'!B581="","",'[3]Motor Rutas SKU_Cons'!B581)</f>
        <v>Planta Zacatecas</v>
      </c>
      <c r="D577">
        <f>'[3]Motor Rutas SKU_Cons'!A581</f>
        <v>946407</v>
      </c>
      <c r="E577" s="997" t="str">
        <f>IF('[3]Motor Rutas SKU_Cons'!N581="","s/d","Agua "&amp;TEXT('[3]Motor Rutas SKU_Cons'!N581,"0%")&amp;" · Colas "&amp;TEXT('[3]Motor Rutas SKU_Cons'!O581,"0%")&amp;" · Resto "&amp;TEXT('[3]Motor Rutas SKU_Cons'!P581,"0%"))</f>
        <v>Agua 85% · Colas 8% · Resto 7%</v>
      </c>
      <c r="F577" s="16">
        <f>'[3]Motor Rutas SKU_Cons'!CH581</f>
        <v>0.28401335415275319</v>
      </c>
      <c r="G577" s="16">
        <f>'[3]Motor Rutas SKU_Cons'!CG581</f>
        <v>0.44024906894610361</v>
      </c>
      <c r="H577" s="998">
        <f>'[3]Motor Rutas SKU_Cons'!BX581</f>
        <v>42.749515975935765</v>
      </c>
      <c r="I577" s="998">
        <f>'[3]Motor Rutas SKU_Cons'!BW581</f>
        <v>0</v>
      </c>
    </row>
    <row r="578" spans="1:9">
      <c r="A578" t="str">
        <f>IF('[3]Motor Rutas SKU_Cons'!C582="","",'[3]Motor Rutas SKU_Cons'!C582)</f>
        <v>Occidente</v>
      </c>
      <c r="B578" t="str">
        <f>IF('[3]Motor Rutas SKU_Cons'!D582="","",'[3]Motor Rutas SKU_Cons'!D582)</f>
        <v>Aguascalientes</v>
      </c>
      <c r="C578" t="str">
        <f>IF('[3]Motor Rutas SKU_Cons'!B582="","",'[3]Motor Rutas SKU_Cons'!B582)</f>
        <v>Suc. Loreto</v>
      </c>
      <c r="D578">
        <f>'[3]Motor Rutas SKU_Cons'!A582</f>
        <v>908400</v>
      </c>
      <c r="E578" s="997" t="str">
        <f>IF('[3]Motor Rutas SKU_Cons'!N582="","s/d","Agua "&amp;TEXT('[3]Motor Rutas SKU_Cons'!N582,"0%")&amp;" · Colas "&amp;TEXT('[3]Motor Rutas SKU_Cons'!O582,"0%")&amp;" · Resto "&amp;TEXT('[3]Motor Rutas SKU_Cons'!P582,"0%"))</f>
        <v>Agua 85% · Colas 8% · Resto 7%</v>
      </c>
      <c r="F578" s="16">
        <f>'[3]Motor Rutas SKU_Cons'!CH582</f>
        <v>0.1442863492241373</v>
      </c>
      <c r="G578" s="16">
        <f>'[3]Motor Rutas SKU_Cons'!CG582</f>
        <v>0.44730271176136344</v>
      </c>
      <c r="H578" s="998">
        <f>'[3]Motor Rutas SKU_Cons'!BX582</f>
        <v>63.799875148841345</v>
      </c>
      <c r="I578" s="998">
        <f>'[3]Motor Rutas SKU_Cons'!BW582</f>
        <v>0</v>
      </c>
    </row>
    <row r="579" spans="1:9">
      <c r="A579" t="str">
        <f>IF('[3]Motor Rutas SKU_Cons'!C583="","",'[3]Motor Rutas SKU_Cons'!C583)</f>
        <v>Occidente</v>
      </c>
      <c r="B579" t="str">
        <f>IF('[3]Motor Rutas SKU_Cons'!D583="","",'[3]Motor Rutas SKU_Cons'!D583)</f>
        <v>Matehuala</v>
      </c>
      <c r="C579" t="str">
        <f>IF('[3]Motor Rutas SKU_Cons'!B583="","",'[3]Motor Rutas SKU_Cons'!B583)</f>
        <v>Planta Matehuala</v>
      </c>
      <c r="D579">
        <f>'[3]Motor Rutas SKU_Cons'!A583</f>
        <v>925303</v>
      </c>
      <c r="E579" s="997" t="str">
        <f>IF('[3]Motor Rutas SKU_Cons'!N583="","s/d","Agua "&amp;TEXT('[3]Motor Rutas SKU_Cons'!N583,"0%")&amp;" · Colas "&amp;TEXT('[3]Motor Rutas SKU_Cons'!O583,"0%")&amp;" · Resto "&amp;TEXT('[3]Motor Rutas SKU_Cons'!P583,"0%"))</f>
        <v>Agua 85% · Colas 8% · Resto 7%</v>
      </c>
      <c r="F579" s="16">
        <f>'[3]Motor Rutas SKU_Cons'!CH583</f>
        <v>0.21385495394058351</v>
      </c>
      <c r="G579" s="16">
        <f>'[3]Motor Rutas SKU_Cons'!CG583</f>
        <v>0.44400324119318157</v>
      </c>
      <c r="H579" s="998">
        <f>'[3]Motor Rutas SKU_Cons'!BX583</f>
        <v>56.396801389483066</v>
      </c>
      <c r="I579" s="998">
        <f>'[3]Motor Rutas SKU_Cons'!BW583</f>
        <v>0</v>
      </c>
    </row>
    <row r="580" spans="1:9">
      <c r="A580" t="str">
        <f>IF('[3]Motor Rutas SKU_Cons'!C584="","",'[3]Motor Rutas SKU_Cons'!C584)</f>
        <v>Noreste</v>
      </c>
      <c r="B580" t="str">
        <f>IF('[3]Motor Rutas SKU_Cons'!D584="","",'[3]Motor Rutas SKU_Cons'!D584)</f>
        <v>Monterrey</v>
      </c>
      <c r="C580" t="str">
        <f>IF('[3]Motor Rutas SKU_Cons'!B584="","",'[3]Motor Rutas SKU_Cons'!B584)</f>
        <v>Sucursal Lincoln</v>
      </c>
      <c r="D580">
        <f>'[3]Motor Rutas SKU_Cons'!A584</f>
        <v>705322</v>
      </c>
      <c r="E580" s="997" t="str">
        <f>IF('[3]Motor Rutas SKU_Cons'!N584="","s/d","Agua "&amp;TEXT('[3]Motor Rutas SKU_Cons'!N584,"0%")&amp;" · Colas "&amp;TEXT('[3]Motor Rutas SKU_Cons'!O584,"0%")&amp;" · Resto "&amp;TEXT('[3]Motor Rutas SKU_Cons'!P584,"0%"))</f>
        <v>Agua 80% · Colas 12% · Resto 8%</v>
      </c>
      <c r="F580" s="16">
        <f>'[3]Motor Rutas SKU_Cons'!CH584</f>
        <v>0.52205639407828108</v>
      </c>
      <c r="G580" s="16">
        <f>'[3]Motor Rutas SKU_Cons'!CG584</f>
        <v>0.44271334799999906</v>
      </c>
      <c r="H580" s="998">
        <f>'[3]Motor Rutas SKU_Cons'!BX584</f>
        <v>20.130967878787672</v>
      </c>
      <c r="I580" s="998">
        <f>'[3]Motor Rutas SKU_Cons'!BW584</f>
        <v>0</v>
      </c>
    </row>
    <row r="581" spans="1:9">
      <c r="A581" t="str">
        <f>IF('[3]Motor Rutas SKU_Cons'!C585="","",'[3]Motor Rutas SKU_Cons'!C585)</f>
        <v>Noreste</v>
      </c>
      <c r="B581" t="str">
        <f>IF('[3]Motor Rutas SKU_Cons'!D585="","",'[3]Motor Rutas SKU_Cons'!D585)</f>
        <v>Monterrey</v>
      </c>
      <c r="C581" t="str">
        <f>IF('[3]Motor Rutas SKU_Cons'!B585="","",'[3]Motor Rutas SKU_Cons'!B585)</f>
        <v>Planta Guadalupe</v>
      </c>
      <c r="D581">
        <f>'[3]Motor Rutas SKU_Cons'!A585</f>
        <v>701304</v>
      </c>
      <c r="E581" s="997" t="str">
        <f>IF('[3]Motor Rutas SKU_Cons'!N585="","s/d","Agua "&amp;TEXT('[3]Motor Rutas SKU_Cons'!N585,"0%")&amp;" · Colas "&amp;TEXT('[3]Motor Rutas SKU_Cons'!O585,"0%")&amp;" · Resto "&amp;TEXT('[3]Motor Rutas SKU_Cons'!P585,"0%"))</f>
        <v>Agua 80% · Colas 12% · Resto 8%</v>
      </c>
      <c r="F581" s="16">
        <f>'[3]Motor Rutas SKU_Cons'!CH585</f>
        <v>1.2399425223089726</v>
      </c>
      <c r="G581" s="16">
        <f>'[3]Motor Rutas SKU_Cons'!CG585</f>
        <v>0.44266574259409025</v>
      </c>
      <c r="H581" s="998">
        <f>'[3]Motor Rutas SKU_Cons'!BX585</f>
        <v>0</v>
      </c>
      <c r="I581" s="998">
        <f>'[3]Motor Rutas SKU_Cons'!BW585</f>
        <v>212.42851400505242</v>
      </c>
    </row>
    <row r="582" spans="1:9">
      <c r="A582" t="str">
        <f>IF('[3]Motor Rutas SKU_Cons'!C586="","",'[3]Motor Rutas SKU_Cons'!C586)</f>
        <v>Norte</v>
      </c>
      <c r="B582" t="str">
        <f>IF('[3]Motor Rutas SKU_Cons'!D586="","",'[3]Motor Rutas SKU_Cons'!D586)</f>
        <v>Comarca</v>
      </c>
      <c r="C582" t="str">
        <f>IF('[3]Motor Rutas SKU_Cons'!B586="","",'[3]Motor Rutas SKU_Cons'!B586)</f>
        <v>Suc. Santa Rita</v>
      </c>
      <c r="D582">
        <f>'[3]Motor Rutas SKU_Cons'!A586</f>
        <v>220346</v>
      </c>
      <c r="E582" s="997" t="str">
        <f>IF('[3]Motor Rutas SKU_Cons'!N586="","s/d","Agua "&amp;TEXT('[3]Motor Rutas SKU_Cons'!N586,"0%")&amp;" · Colas "&amp;TEXT('[3]Motor Rutas SKU_Cons'!O586,"0%")&amp;" · Resto "&amp;TEXT('[3]Motor Rutas SKU_Cons'!P586,"0%"))</f>
        <v>Agua 85% · Colas 8% · Resto 7%</v>
      </c>
      <c r="F582" s="16">
        <f>'[3]Motor Rutas SKU_Cons'!CH586</f>
        <v>0.48705395282728603</v>
      </c>
      <c r="G582" s="16">
        <f>'[3]Motor Rutas SKU_Cons'!CG586</f>
        <v>0.42680800994318174</v>
      </c>
      <c r="H582" s="998">
        <f>'[3]Motor Rutas SKU_Cons'!BX586</f>
        <v>15.951565046345873</v>
      </c>
      <c r="I582" s="998">
        <f>'[3]Motor Rutas SKU_Cons'!BW586</f>
        <v>0</v>
      </c>
    </row>
    <row r="583" spans="1:9">
      <c r="A583" t="str">
        <f>IF('[3]Motor Rutas SKU_Cons'!C587="","",'[3]Motor Rutas SKU_Cons'!C587)</f>
        <v>Noreste</v>
      </c>
      <c r="B583" t="str">
        <f>IF('[3]Motor Rutas SKU_Cons'!D587="","",'[3]Motor Rutas SKU_Cons'!D587)</f>
        <v>Monterrey</v>
      </c>
      <c r="C583" t="str">
        <f>IF('[3]Motor Rutas SKU_Cons'!B587="","",'[3]Motor Rutas SKU_Cons'!B587)</f>
        <v>Sucursal Lincoln</v>
      </c>
      <c r="D583">
        <f>'[3]Motor Rutas SKU_Cons'!A587</f>
        <v>705326</v>
      </c>
      <c r="E583" s="997" t="str">
        <f>IF('[3]Motor Rutas SKU_Cons'!N587="","s/d","Agua "&amp;TEXT('[3]Motor Rutas SKU_Cons'!N587,"0%")&amp;" · Colas "&amp;TEXT('[3]Motor Rutas SKU_Cons'!O587,"0%")&amp;" · Resto "&amp;TEXT('[3]Motor Rutas SKU_Cons'!P587,"0%"))</f>
        <v>Agua 80% · Colas 12% · Resto 8%</v>
      </c>
      <c r="F583" s="16">
        <f>'[3]Motor Rutas SKU_Cons'!CH587</f>
        <v>0.33560106109218024</v>
      </c>
      <c r="G583" s="16">
        <f>'[3]Motor Rutas SKU_Cons'!CG587</f>
        <v>0.43595393481818112</v>
      </c>
      <c r="H583" s="998">
        <f>'[3]Motor Rutas SKU_Cons'!BX587</f>
        <v>32.961995393939262</v>
      </c>
      <c r="I583" s="998">
        <f>'[3]Motor Rutas SKU_Cons'!BW587</f>
        <v>0</v>
      </c>
    </row>
    <row r="584" spans="1:9">
      <c r="A584" t="str">
        <f>IF('[3]Motor Rutas SKU_Cons'!C588="","",'[3]Motor Rutas SKU_Cons'!C588)</f>
        <v>Occidente</v>
      </c>
      <c r="B584" t="str">
        <f>IF('[3]Motor Rutas SKU_Cons'!D588="","",'[3]Motor Rutas SKU_Cons'!D588)</f>
        <v>Zapopan</v>
      </c>
      <c r="C584" t="str">
        <f>IF('[3]Motor Rutas SKU_Cons'!B588="","",'[3]Motor Rutas SKU_Cons'!B588)</f>
        <v>Sucursal Chapala</v>
      </c>
      <c r="D584">
        <f>'[3]Motor Rutas SKU_Cons'!A588</f>
        <v>823302</v>
      </c>
      <c r="E584" s="997" t="str">
        <f>IF('[3]Motor Rutas SKU_Cons'!N588="","s/d","Agua "&amp;TEXT('[3]Motor Rutas SKU_Cons'!N588,"0%")&amp;" · Colas "&amp;TEXT('[3]Motor Rutas SKU_Cons'!O588,"0%")&amp;" · Resto "&amp;TEXT('[3]Motor Rutas SKU_Cons'!P588,"0%"))</f>
        <v>Agua 85% · Colas 8% · Resto 7%</v>
      </c>
      <c r="F584" s="16">
        <f>'[3]Motor Rutas SKU_Cons'!CH588</f>
        <v>8.217276260554067E-2</v>
      </c>
      <c r="G584" s="16">
        <f>'[3]Motor Rutas SKU_Cons'!CG588</f>
        <v>0.43160718681818172</v>
      </c>
      <c r="H584" s="998">
        <f>'[3]Motor Rutas SKU_Cons'!BX588</f>
        <v>27.635534215332676</v>
      </c>
      <c r="I584" s="998">
        <f>'[3]Motor Rutas SKU_Cons'!BW588</f>
        <v>0</v>
      </c>
    </row>
    <row r="585" spans="1:9">
      <c r="A585" t="str">
        <f>IF('[3]Motor Rutas SKU_Cons'!C589="","",'[3]Motor Rutas SKU_Cons'!C589)</f>
        <v>Noreste</v>
      </c>
      <c r="B585" t="str">
        <f>IF('[3]Motor Rutas SKU_Cons'!D589="","",'[3]Motor Rutas SKU_Cons'!D589)</f>
        <v>Monterrey</v>
      </c>
      <c r="C585" t="str">
        <f>IF('[3]Motor Rutas SKU_Cons'!B589="","",'[3]Motor Rutas SKU_Cons'!B589)</f>
        <v>Planta Guadalupe</v>
      </c>
      <c r="D585">
        <f>'[3]Motor Rutas SKU_Cons'!A589</f>
        <v>701310</v>
      </c>
      <c r="E585" s="997" t="str">
        <f>IF('[3]Motor Rutas SKU_Cons'!N589="","s/d","Agua "&amp;TEXT('[3]Motor Rutas SKU_Cons'!N589,"0%")&amp;" · Colas "&amp;TEXT('[3]Motor Rutas SKU_Cons'!O589,"0%")&amp;" · Resto "&amp;TEXT('[3]Motor Rutas SKU_Cons'!P589,"0%"))</f>
        <v>Agua 80% · Colas 12% · Resto 8%</v>
      </c>
      <c r="F585" s="16">
        <f>'[3]Motor Rutas SKU_Cons'!CH589</f>
        <v>0.78822533329387279</v>
      </c>
      <c r="G585" s="16">
        <f>'[3]Motor Rutas SKU_Cons'!CG589</f>
        <v>0.42851266404545363</v>
      </c>
      <c r="H585" s="998">
        <f>'[3]Motor Rutas SKU_Cons'!BX589</f>
        <v>8.6101216919190762</v>
      </c>
      <c r="I585" s="998">
        <f>'[3]Motor Rutas SKU_Cons'!BW589</f>
        <v>39.801859191917941</v>
      </c>
    </row>
    <row r="586" spans="1:9">
      <c r="A586" t="str">
        <f>IF('[3]Motor Rutas SKU_Cons'!C590="","",'[3]Motor Rutas SKU_Cons'!C590)</f>
        <v>Norte</v>
      </c>
      <c r="B586" t="str">
        <f>IF('[3]Motor Rutas SKU_Cons'!D590="","",'[3]Motor Rutas SKU_Cons'!D590)</f>
        <v>Chihuahua</v>
      </c>
      <c r="C586" t="str">
        <f>IF('[3]Motor Rutas SKU_Cons'!B590="","",'[3]Motor Rutas SKU_Cons'!B590)</f>
        <v>Planta Chihuahua</v>
      </c>
      <c r="D586">
        <f>'[3]Motor Rutas SKU_Cons'!A590</f>
        <v>308346</v>
      </c>
      <c r="E586" s="997" t="str">
        <f>IF('[3]Motor Rutas SKU_Cons'!N590="","s/d","Agua "&amp;TEXT('[3]Motor Rutas SKU_Cons'!N590,"0%")&amp;" · Colas "&amp;TEXT('[3]Motor Rutas SKU_Cons'!O590,"0%")&amp;" · Resto "&amp;TEXT('[3]Motor Rutas SKU_Cons'!P590,"0%"))</f>
        <v>Agua 85% · Colas 8% · Resto 7%</v>
      </c>
      <c r="F586" s="16">
        <f>'[3]Motor Rutas SKU_Cons'!CH590</f>
        <v>0.33688626598456917</v>
      </c>
      <c r="G586" s="16">
        <f>'[3]Motor Rutas SKU_Cons'!CG590</f>
        <v>0.42451816909090784</v>
      </c>
      <c r="H586" s="998">
        <f>'[3]Motor Rutas SKU_Cons'!BX590</f>
        <v>14.839076817290476</v>
      </c>
      <c r="I586" s="998">
        <f>'[3]Motor Rutas SKU_Cons'!BW590</f>
        <v>0</v>
      </c>
    </row>
    <row r="587" spans="1:9">
      <c r="A587" t="str">
        <f>IF('[3]Motor Rutas SKU_Cons'!C591="","",'[3]Motor Rutas SKU_Cons'!C591)</f>
        <v>Norte</v>
      </c>
      <c r="B587" t="str">
        <f>IF('[3]Motor Rutas SKU_Cons'!D591="","",'[3]Motor Rutas SKU_Cons'!D591)</f>
        <v>Zacatecas</v>
      </c>
      <c r="C587" t="str">
        <f>IF('[3]Motor Rutas SKU_Cons'!B591="","",'[3]Motor Rutas SKU_Cons'!B591)</f>
        <v>Planta Zacatecas</v>
      </c>
      <c r="D587">
        <f>'[3]Motor Rutas SKU_Cons'!A591</f>
        <v>946405</v>
      </c>
      <c r="E587" s="997" t="str">
        <f>IF('[3]Motor Rutas SKU_Cons'!N591="","s/d","Agua "&amp;TEXT('[3]Motor Rutas SKU_Cons'!N591,"0%")&amp;" · Colas "&amp;TEXT('[3]Motor Rutas SKU_Cons'!O591,"0%")&amp;" · Resto "&amp;TEXT('[3]Motor Rutas SKU_Cons'!P591,"0%"))</f>
        <v>Agua 85% · Colas 8% · Resto 7%</v>
      </c>
      <c r="F587" s="16">
        <f>'[3]Motor Rutas SKU_Cons'!CH591</f>
        <v>0.15416602973615612</v>
      </c>
      <c r="G587" s="16">
        <f>'[3]Motor Rutas SKU_Cons'!CG591</f>
        <v>0.41406407006493495</v>
      </c>
      <c r="H587" s="998">
        <f>'[3]Motor Rutas SKU_Cons'!BX591</f>
        <v>49.90735692067728</v>
      </c>
      <c r="I587" s="998">
        <f>'[3]Motor Rutas SKU_Cons'!BW591</f>
        <v>0</v>
      </c>
    </row>
    <row r="588" spans="1:9">
      <c r="A588" t="str">
        <f>IF('[3]Motor Rutas SKU_Cons'!C592="","",'[3]Motor Rutas SKU_Cons'!C592)</f>
        <v>Noreste</v>
      </c>
      <c r="B588" t="str">
        <f>IF('[3]Motor Rutas SKU_Cons'!D592="","",'[3]Motor Rutas SKU_Cons'!D592)</f>
        <v>Monterrey</v>
      </c>
      <c r="C588" t="str">
        <f>IF('[3]Motor Rutas SKU_Cons'!B592="","",'[3]Motor Rutas SKU_Cons'!B592)</f>
        <v>Sucursal Juventud</v>
      </c>
      <c r="D588">
        <f>'[3]Motor Rutas SKU_Cons'!A592</f>
        <v>704310</v>
      </c>
      <c r="E588" s="997" t="str">
        <f>IF('[3]Motor Rutas SKU_Cons'!N592="","s/d","Agua "&amp;TEXT('[3]Motor Rutas SKU_Cons'!N592,"0%")&amp;" · Colas "&amp;TEXT('[3]Motor Rutas SKU_Cons'!O592,"0%")&amp;" · Resto "&amp;TEXT('[3]Motor Rutas SKU_Cons'!P592,"0%"))</f>
        <v>Agua 80% · Colas 12% · Resto 8%</v>
      </c>
      <c r="F588" s="16">
        <f>'[3]Motor Rutas SKU_Cons'!CH592</f>
        <v>0.47638321317382082</v>
      </c>
      <c r="G588" s="16">
        <f>'[3]Motor Rutas SKU_Cons'!CG592</f>
        <v>0.4211312346818184</v>
      </c>
      <c r="H588" s="998">
        <f>'[3]Motor Rutas SKU_Cons'!BX592</f>
        <v>20.638231242424318</v>
      </c>
      <c r="I588" s="998">
        <f>'[3]Motor Rutas SKU_Cons'!BW592</f>
        <v>0</v>
      </c>
    </row>
    <row r="589" spans="1:9">
      <c r="A589" t="str">
        <f>IF('[3]Motor Rutas SKU_Cons'!C593="","",'[3]Motor Rutas SKU_Cons'!C593)</f>
        <v>Norte</v>
      </c>
      <c r="B589" t="str">
        <f>IF('[3]Motor Rutas SKU_Cons'!D593="","",'[3]Motor Rutas SKU_Cons'!D593)</f>
        <v>Chihuahua</v>
      </c>
      <c r="C589" t="str">
        <f>IF('[3]Motor Rutas SKU_Cons'!B593="","",'[3]Motor Rutas SKU_Cons'!B593)</f>
        <v>Planta Chihuahua</v>
      </c>
      <c r="D589">
        <f>'[3]Motor Rutas SKU_Cons'!A593</f>
        <v>308342</v>
      </c>
      <c r="E589" s="997" t="str">
        <f>IF('[3]Motor Rutas SKU_Cons'!N593="","s/d","Agua "&amp;TEXT('[3]Motor Rutas SKU_Cons'!N593,"0%")&amp;" · Colas "&amp;TEXT('[3]Motor Rutas SKU_Cons'!O593,"0%")&amp;" · Resto "&amp;TEXT('[3]Motor Rutas SKU_Cons'!P593,"0%"))</f>
        <v>Agua 85% · Colas 8% · Resto 7%</v>
      </c>
      <c r="F589" s="16">
        <f>'[3]Motor Rutas SKU_Cons'!CH593</f>
        <v>0.43691367320764013</v>
      </c>
      <c r="G589" s="16">
        <f>'[3]Motor Rutas SKU_Cons'!CG593</f>
        <v>0.41677818954545415</v>
      </c>
      <c r="H589" s="998">
        <f>'[3]Motor Rutas SKU_Cons'!BX593</f>
        <v>8.6657889367872087</v>
      </c>
      <c r="I589" s="998">
        <f>'[3]Motor Rutas SKU_Cons'!BW593</f>
        <v>0</v>
      </c>
    </row>
    <row r="590" spans="1:9">
      <c r="A590" t="str">
        <f>IF('[3]Motor Rutas SKU_Cons'!C594="","",'[3]Motor Rutas SKU_Cons'!C594)</f>
        <v>Occidente</v>
      </c>
      <c r="B590" t="str">
        <f>IF('[3]Motor Rutas SKU_Cons'!D594="","",'[3]Motor Rutas SKU_Cons'!D594)</f>
        <v>Aguascalientes</v>
      </c>
      <c r="C590" t="str">
        <f>IF('[3]Motor Rutas SKU_Cons'!B594="","",'[3]Motor Rutas SKU_Cons'!B594)</f>
        <v>Planta Aguascalientes</v>
      </c>
      <c r="D590">
        <f>'[3]Motor Rutas SKU_Cons'!A594</f>
        <v>901405</v>
      </c>
      <c r="E590" s="997" t="str">
        <f>IF('[3]Motor Rutas SKU_Cons'!N594="","s/d","Agua "&amp;TEXT('[3]Motor Rutas SKU_Cons'!N594,"0%")&amp;" · Colas "&amp;TEXT('[3]Motor Rutas SKU_Cons'!O594,"0%")&amp;" · Resto "&amp;TEXT('[3]Motor Rutas SKU_Cons'!P594,"0%"))</f>
        <v>Agua 85% · Colas 8% · Resto 7%</v>
      </c>
      <c r="F590" s="16">
        <f>'[3]Motor Rutas SKU_Cons'!CH594</f>
        <v>6.9637121694933038E-2</v>
      </c>
      <c r="G590" s="16">
        <f>'[3]Motor Rutas SKU_Cons'!CG594</f>
        <v>0.41141832136363576</v>
      </c>
      <c r="H590" s="998">
        <f>'[3]Motor Rutas SKU_Cons'!BX594</f>
        <v>23.896799848484811</v>
      </c>
      <c r="I590" s="998">
        <f>'[3]Motor Rutas SKU_Cons'!BW594</f>
        <v>0</v>
      </c>
    </row>
    <row r="591" spans="1:9">
      <c r="A591" t="str">
        <f>IF('[3]Motor Rutas SKU_Cons'!C595="","",'[3]Motor Rutas SKU_Cons'!C595)</f>
        <v>Noreste</v>
      </c>
      <c r="B591" t="str">
        <f>IF('[3]Motor Rutas SKU_Cons'!D595="","",'[3]Motor Rutas SKU_Cons'!D595)</f>
        <v>Monterrey</v>
      </c>
      <c r="C591" t="str">
        <f>IF('[3]Motor Rutas SKU_Cons'!B595="","",'[3]Motor Rutas SKU_Cons'!B595)</f>
        <v>Sucursal Lincoln</v>
      </c>
      <c r="D591">
        <f>'[3]Motor Rutas SKU_Cons'!A595</f>
        <v>705320</v>
      </c>
      <c r="E591" s="997" t="str">
        <f>IF('[3]Motor Rutas SKU_Cons'!N595="","s/d","Agua "&amp;TEXT('[3]Motor Rutas SKU_Cons'!N595,"0%")&amp;" · Colas "&amp;TEXT('[3]Motor Rutas SKU_Cons'!O595,"0%")&amp;" · Resto "&amp;TEXT('[3]Motor Rutas SKU_Cons'!P595,"0%"))</f>
        <v>Agua 80% · Colas 12% · Resto 8%</v>
      </c>
      <c r="F591" s="16">
        <f>'[3]Motor Rutas SKU_Cons'!CH595</f>
        <v>0.49384598728317036</v>
      </c>
      <c r="G591" s="16">
        <f>'[3]Motor Rutas SKU_Cons'!CG595</f>
        <v>0.40682045536363598</v>
      </c>
      <c r="H591" s="998">
        <f>'[3]Motor Rutas SKU_Cons'!BX595</f>
        <v>17.459821909090813</v>
      </c>
      <c r="I591" s="998">
        <f>'[3]Motor Rutas SKU_Cons'!BW595</f>
        <v>0</v>
      </c>
    </row>
    <row r="592" spans="1:9">
      <c r="A592" t="str">
        <f>IF('[3]Motor Rutas SKU_Cons'!C596="","",'[3]Motor Rutas SKU_Cons'!C596)</f>
        <v>Noreste</v>
      </c>
      <c r="B592" t="str">
        <f>IF('[3]Motor Rutas SKU_Cons'!D596="","",'[3]Motor Rutas SKU_Cons'!D596)</f>
        <v>Monterrey</v>
      </c>
      <c r="C592" t="str">
        <f>IF('[3]Motor Rutas SKU_Cons'!B596="","",'[3]Motor Rutas SKU_Cons'!B596)</f>
        <v>Sucursal Santa Catarina</v>
      </c>
      <c r="D592">
        <f>'[3]Motor Rutas SKU_Cons'!A596</f>
        <v>712311</v>
      </c>
      <c r="E592" s="997" t="str">
        <f>IF('[3]Motor Rutas SKU_Cons'!N596="","s/d","Agua "&amp;TEXT('[3]Motor Rutas SKU_Cons'!N596,"0%")&amp;" · Colas "&amp;TEXT('[3]Motor Rutas SKU_Cons'!O596,"0%")&amp;" · Resto "&amp;TEXT('[3]Motor Rutas SKU_Cons'!P596,"0%"))</f>
        <v>Agua 80% · Colas 12% · Resto 8%</v>
      </c>
      <c r="F592" s="16">
        <f>'[3]Motor Rutas SKU_Cons'!CH596</f>
        <v>0.86698721615968499</v>
      </c>
      <c r="G592" s="16">
        <f>'[3]Motor Rutas SKU_Cons'!CG596</f>
        <v>0.40354784590908976</v>
      </c>
      <c r="H592" s="998">
        <f>'[3]Motor Rutas SKU_Cons'!BX596</f>
        <v>9.7911799701190816</v>
      </c>
      <c r="I592" s="998">
        <f>'[3]Motor Rutas SKU_Cons'!BW596</f>
        <v>126.62906676767616</v>
      </c>
    </row>
    <row r="593" spans="1:9">
      <c r="A593" t="str">
        <f>IF('[3]Motor Rutas SKU_Cons'!C597="","",'[3]Motor Rutas SKU_Cons'!C597)</f>
        <v>Noreste</v>
      </c>
      <c r="B593" t="str">
        <f>IF('[3]Motor Rutas SKU_Cons'!D597="","",'[3]Motor Rutas SKU_Cons'!D597)</f>
        <v>Monterrey</v>
      </c>
      <c r="C593" t="str">
        <f>IF('[3]Motor Rutas SKU_Cons'!B597="","",'[3]Motor Rutas SKU_Cons'!B597)</f>
        <v>Sucursal Lincoln</v>
      </c>
      <c r="D593">
        <f>'[3]Motor Rutas SKU_Cons'!A597</f>
        <v>705301</v>
      </c>
      <c r="E593" s="997" t="str">
        <f>IF('[3]Motor Rutas SKU_Cons'!N597="","s/d","Agua "&amp;TEXT('[3]Motor Rutas SKU_Cons'!N597,"0%")&amp;" · Colas "&amp;TEXT('[3]Motor Rutas SKU_Cons'!O597,"0%")&amp;" · Resto "&amp;TEXT('[3]Motor Rutas SKU_Cons'!P597,"0%"))</f>
        <v>Agua 80% · Colas 12% · Resto 8%</v>
      </c>
      <c r="F593" s="16">
        <f>'[3]Motor Rutas SKU_Cons'!CH597</f>
        <v>0.85520679783327624</v>
      </c>
      <c r="G593" s="16">
        <f>'[3]Motor Rutas SKU_Cons'!CG597</f>
        <v>0.40121414263636312</v>
      </c>
      <c r="H593" s="998">
        <f>'[3]Motor Rutas SKU_Cons'!BX597</f>
        <v>10.658346212543044</v>
      </c>
      <c r="I593" s="998">
        <f>'[3]Motor Rutas SKU_Cons'!BW597</f>
        <v>111.05016202020235</v>
      </c>
    </row>
    <row r="594" spans="1:9">
      <c r="A594" t="str">
        <f>IF('[3]Motor Rutas SKU_Cons'!C598="","",'[3]Motor Rutas SKU_Cons'!C598)</f>
        <v>Norte</v>
      </c>
      <c r="B594" t="str">
        <f>IF('[3]Motor Rutas SKU_Cons'!D598="","",'[3]Motor Rutas SKU_Cons'!D598)</f>
        <v>Juárez</v>
      </c>
      <c r="C594" t="str">
        <f>IF('[3]Motor Rutas SKU_Cons'!B598="","",'[3]Motor Rutas SKU_Cons'!B598)</f>
        <v>Planta Cd. Juárez</v>
      </c>
      <c r="D594">
        <f>'[3]Motor Rutas SKU_Cons'!A598</f>
        <v>301342</v>
      </c>
      <c r="E594" s="997" t="str">
        <f>IF('[3]Motor Rutas SKU_Cons'!N598="","s/d","Agua "&amp;TEXT('[3]Motor Rutas SKU_Cons'!N598,"0%")&amp;" · Colas "&amp;TEXT('[3]Motor Rutas SKU_Cons'!O598,"0%")&amp;" · Resto "&amp;TEXT('[3]Motor Rutas SKU_Cons'!P598,"0%"))</f>
        <v>Agua 85% · Colas 8% · Resto 7%</v>
      </c>
      <c r="F594" s="16">
        <f>'[3]Motor Rutas SKU_Cons'!CH598</f>
        <v>0.27817683666051007</v>
      </c>
      <c r="G594" s="16">
        <f>'[3]Motor Rutas SKU_Cons'!CG598</f>
        <v>0.40023657587454481</v>
      </c>
      <c r="H594" s="998">
        <f>'[3]Motor Rutas SKU_Cons'!BX598</f>
        <v>16.893537090017755</v>
      </c>
      <c r="I594" s="998">
        <f>'[3]Motor Rutas SKU_Cons'!BW598</f>
        <v>0</v>
      </c>
    </row>
    <row r="595" spans="1:9">
      <c r="A595" t="str">
        <f>IF('[3]Motor Rutas SKU_Cons'!C599="","",'[3]Motor Rutas SKU_Cons'!C599)</f>
        <v>Noreste</v>
      </c>
      <c r="B595" t="str">
        <f>IF('[3]Motor Rutas SKU_Cons'!D599="","",'[3]Motor Rutas SKU_Cons'!D599)</f>
        <v>Saltillo</v>
      </c>
      <c r="C595" t="str">
        <f>IF('[3]Motor Rutas SKU_Cons'!B599="","",'[3]Motor Rutas SKU_Cons'!B599)</f>
        <v>Planta Agua y Hielo</v>
      </c>
      <c r="D595">
        <f>'[3]Motor Rutas SKU_Cons'!A599</f>
        <v>203312</v>
      </c>
      <c r="E595" s="997" t="str">
        <f>IF('[3]Motor Rutas SKU_Cons'!N599="","s/d","Agua "&amp;TEXT('[3]Motor Rutas SKU_Cons'!N599,"0%")&amp;" · Colas "&amp;TEXT('[3]Motor Rutas SKU_Cons'!O599,"0%")&amp;" · Resto "&amp;TEXT('[3]Motor Rutas SKU_Cons'!P599,"0%"))</f>
        <v>Agua 80% · Colas 12% · Resto 8%</v>
      </c>
      <c r="F595" s="16">
        <f>'[3]Motor Rutas SKU_Cons'!CH599</f>
        <v>0.23928249113727648</v>
      </c>
      <c r="G595" s="16">
        <f>'[3]Motor Rutas SKU_Cons'!CG599</f>
        <v>0.39839544715909131</v>
      </c>
      <c r="H595" s="998">
        <f>'[3]Motor Rutas SKU_Cons'!BX599</f>
        <v>26.712686995412909</v>
      </c>
      <c r="I595" s="998">
        <f>'[3]Motor Rutas SKU_Cons'!BW599</f>
        <v>0</v>
      </c>
    </row>
    <row r="596" spans="1:9">
      <c r="A596" t="str">
        <f>IF('[3]Motor Rutas SKU_Cons'!C600="","",'[3]Motor Rutas SKU_Cons'!C600)</f>
        <v>Norte</v>
      </c>
      <c r="B596" t="str">
        <f>IF('[3]Motor Rutas SKU_Cons'!D600="","",'[3]Motor Rutas SKU_Cons'!D600)</f>
        <v>Juárez</v>
      </c>
      <c r="C596" t="str">
        <f>IF('[3]Motor Rutas SKU_Cons'!B600="","",'[3]Motor Rutas SKU_Cons'!B600)</f>
        <v>Planta Cd. Juárez</v>
      </c>
      <c r="D596">
        <f>'[3]Motor Rutas SKU_Cons'!A600</f>
        <v>301343</v>
      </c>
      <c r="E596" s="997" t="str">
        <f>IF('[3]Motor Rutas SKU_Cons'!N600="","s/d","Agua "&amp;TEXT('[3]Motor Rutas SKU_Cons'!N600,"0%")&amp;" · Colas "&amp;TEXT('[3]Motor Rutas SKU_Cons'!O600,"0%")&amp;" · Resto "&amp;TEXT('[3]Motor Rutas SKU_Cons'!P600,"0%"))</f>
        <v>Agua 85% · Colas 8% · Resto 7%</v>
      </c>
      <c r="F596" s="16">
        <f>'[3]Motor Rutas SKU_Cons'!CH600</f>
        <v>0.63754217308559602</v>
      </c>
      <c r="G596" s="16">
        <f>'[3]Motor Rutas SKU_Cons'!CG600</f>
        <v>0.28280400545454432</v>
      </c>
      <c r="H596" s="998">
        <f>'[3]Motor Rutas SKU_Cons'!BX600</f>
        <v>15.756480753787898</v>
      </c>
      <c r="I596" s="998">
        <f>'[3]Motor Rutas SKU_Cons'!BW600</f>
        <v>145.73895138257626</v>
      </c>
    </row>
    <row r="597" spans="1:9">
      <c r="A597" t="str">
        <f>IF('[3]Motor Rutas SKU_Cons'!C601="","",'[3]Motor Rutas SKU_Cons'!C601)</f>
        <v>Noreste</v>
      </c>
      <c r="B597" t="str">
        <f>IF('[3]Motor Rutas SKU_Cons'!D601="","",'[3]Motor Rutas SKU_Cons'!D601)</f>
        <v>Piedras Negras</v>
      </c>
      <c r="C597" t="str">
        <f>IF('[3]Motor Rutas SKU_Cons'!B601="","",'[3]Motor Rutas SKU_Cons'!B601)</f>
        <v>Suc. Sabinas Coah.</v>
      </c>
      <c r="D597">
        <f>'[3]Motor Rutas SKU_Cons'!A601</f>
        <v>209300</v>
      </c>
      <c r="E597" s="997" t="str">
        <f>IF('[3]Motor Rutas SKU_Cons'!N601="","s/d","Agua "&amp;TEXT('[3]Motor Rutas SKU_Cons'!N601,"0%")&amp;" · Colas "&amp;TEXT('[3]Motor Rutas SKU_Cons'!O601,"0%")&amp;" · Resto "&amp;TEXT('[3]Motor Rutas SKU_Cons'!P601,"0%"))</f>
        <v>Agua 80% · Colas 12% · Resto 8%</v>
      </c>
      <c r="F597" s="16">
        <f>'[3]Motor Rutas SKU_Cons'!CH601</f>
        <v>0.45468659112018378</v>
      </c>
      <c r="G597" s="16">
        <f>'[3]Motor Rutas SKU_Cons'!CG601</f>
        <v>0.39456453477272652</v>
      </c>
      <c r="H597" s="998">
        <f>'[3]Motor Rutas SKU_Cons'!BX601</f>
        <v>39.597654030302806</v>
      </c>
      <c r="I597" s="998">
        <f>'[3]Motor Rutas SKU_Cons'!BW601</f>
        <v>0</v>
      </c>
    </row>
    <row r="598" spans="1:9">
      <c r="A598" t="str">
        <f>IF('[3]Motor Rutas SKU_Cons'!C602="","",'[3]Motor Rutas SKU_Cons'!C602)</f>
        <v>Noreste</v>
      </c>
      <c r="B598" t="str">
        <f>IF('[3]Motor Rutas SKU_Cons'!D602="","",'[3]Motor Rutas SKU_Cons'!D602)</f>
        <v>Monterrey</v>
      </c>
      <c r="C598" t="str">
        <f>IF('[3]Motor Rutas SKU_Cons'!B602="","",'[3]Motor Rutas SKU_Cons'!B602)</f>
        <v>Sucursal Lincoln</v>
      </c>
      <c r="D598">
        <f>'[3]Motor Rutas SKU_Cons'!A602</f>
        <v>705304</v>
      </c>
      <c r="E598" s="997" t="str">
        <f>IF('[3]Motor Rutas SKU_Cons'!N602="","s/d","Agua "&amp;TEXT('[3]Motor Rutas SKU_Cons'!N602,"0%")&amp;" · Colas "&amp;TEXT('[3]Motor Rutas SKU_Cons'!O602,"0%")&amp;" · Resto "&amp;TEXT('[3]Motor Rutas SKU_Cons'!P602,"0%"))</f>
        <v>Agua 80% · Colas 12% · Resto 8%</v>
      </c>
      <c r="F598" s="16">
        <f>'[3]Motor Rutas SKU_Cons'!CH602</f>
        <v>0.62575995104705462</v>
      </c>
      <c r="G598" s="16">
        <f>'[3]Motor Rutas SKU_Cons'!CG602</f>
        <v>0.38288399195454509</v>
      </c>
      <c r="H598" s="998">
        <f>'[3]Motor Rutas SKU_Cons'!BX602</f>
        <v>10.137145084321496</v>
      </c>
      <c r="I598" s="998">
        <f>'[3]Motor Rutas SKU_Cons'!BW602</f>
        <v>0</v>
      </c>
    </row>
    <row r="599" spans="1:9">
      <c r="A599" t="str">
        <f>IF('[3]Motor Rutas SKU_Cons'!C603="","",'[3]Motor Rutas SKU_Cons'!C603)</f>
        <v>Noreste</v>
      </c>
      <c r="B599" t="str">
        <f>IF('[3]Motor Rutas SKU_Cons'!D603="","",'[3]Motor Rutas SKU_Cons'!D603)</f>
        <v>Monterrey</v>
      </c>
      <c r="C599" t="str">
        <f>IF('[3]Motor Rutas SKU_Cons'!B603="","",'[3]Motor Rutas SKU_Cons'!B603)</f>
        <v>Sucursal Juventud</v>
      </c>
      <c r="D599">
        <f>'[3]Motor Rutas SKU_Cons'!A603</f>
        <v>704307</v>
      </c>
      <c r="E599" s="997" t="str">
        <f>IF('[3]Motor Rutas SKU_Cons'!N603="","s/d","Agua "&amp;TEXT('[3]Motor Rutas SKU_Cons'!N603,"0%")&amp;" · Colas "&amp;TEXT('[3]Motor Rutas SKU_Cons'!O603,"0%")&amp;" · Resto "&amp;TEXT('[3]Motor Rutas SKU_Cons'!P603,"0%"))</f>
        <v>Agua 80% · Colas 12% · Resto 8%</v>
      </c>
      <c r="F599" s="16">
        <f>'[3]Motor Rutas SKU_Cons'!CH603</f>
        <v>0.80180550661557604</v>
      </c>
      <c r="G599" s="16">
        <f>'[3]Motor Rutas SKU_Cons'!CG603</f>
        <v>0.38150338990909</v>
      </c>
      <c r="H599" s="998">
        <f>'[3]Motor Rutas SKU_Cons'!BX603</f>
        <v>10.254337696969607</v>
      </c>
      <c r="I599" s="998">
        <f>'[3]Motor Rutas SKU_Cons'!BW603</f>
        <v>75.249945757576256</v>
      </c>
    </row>
    <row r="600" spans="1:9">
      <c r="A600" t="str">
        <f>IF('[3]Motor Rutas SKU_Cons'!C604="","",'[3]Motor Rutas SKU_Cons'!C604)</f>
        <v>Noreste</v>
      </c>
      <c r="B600" t="str">
        <f>IF('[3]Motor Rutas SKU_Cons'!D604="","",'[3]Motor Rutas SKU_Cons'!D604)</f>
        <v>Monterrey</v>
      </c>
      <c r="C600" t="str">
        <f>IF('[3]Motor Rutas SKU_Cons'!B604="","",'[3]Motor Rutas SKU_Cons'!B604)</f>
        <v>Sucursal Lincoln</v>
      </c>
      <c r="D600">
        <f>'[3]Motor Rutas SKU_Cons'!A604</f>
        <v>705325</v>
      </c>
      <c r="E600" s="997" t="str">
        <f>IF('[3]Motor Rutas SKU_Cons'!N604="","s/d","Agua "&amp;TEXT('[3]Motor Rutas SKU_Cons'!N604,"0%")&amp;" · Colas "&amp;TEXT('[3]Motor Rutas SKU_Cons'!O604,"0%")&amp;" · Resto "&amp;TEXT('[3]Motor Rutas SKU_Cons'!P604,"0%"))</f>
        <v>Agua 80% · Colas 12% · Resto 8%</v>
      </c>
      <c r="F600" s="16">
        <f>'[3]Motor Rutas SKU_Cons'!CH604</f>
        <v>0.43250360734304977</v>
      </c>
      <c r="G600" s="16">
        <f>'[3]Motor Rutas SKU_Cons'!CG604</f>
        <v>0.36629596595454517</v>
      </c>
      <c r="H600" s="998">
        <f>'[3]Motor Rutas SKU_Cons'!BX604</f>
        <v>16.614902545454466</v>
      </c>
      <c r="I600" s="998">
        <f>'[3]Motor Rutas SKU_Cons'!BW604</f>
        <v>0</v>
      </c>
    </row>
    <row r="601" spans="1:9">
      <c r="A601" t="str">
        <f>IF('[3]Motor Rutas SKU_Cons'!C605="","",'[3]Motor Rutas SKU_Cons'!C605)</f>
        <v>Noreste</v>
      </c>
      <c r="B601" t="str">
        <f>IF('[3]Motor Rutas SKU_Cons'!D605="","",'[3]Motor Rutas SKU_Cons'!D605)</f>
        <v>Monterrey</v>
      </c>
      <c r="C601" t="str">
        <f>IF('[3]Motor Rutas SKU_Cons'!B605="","",'[3]Motor Rutas SKU_Cons'!B605)</f>
        <v>Planta Guadalupe</v>
      </c>
      <c r="D601">
        <f>'[3]Motor Rutas SKU_Cons'!A605</f>
        <v>701320</v>
      </c>
      <c r="E601" s="997" t="str">
        <f>IF('[3]Motor Rutas SKU_Cons'!N605="","s/d","Agua "&amp;TEXT('[3]Motor Rutas SKU_Cons'!N605,"0%")&amp;" · Colas "&amp;TEXT('[3]Motor Rutas SKU_Cons'!O605,"0%")&amp;" · Resto "&amp;TEXT('[3]Motor Rutas SKU_Cons'!P605,"0%"))</f>
        <v>Agua 80% · Colas 12% · Resto 8%</v>
      </c>
      <c r="F601" s="16">
        <f>'[3]Motor Rutas SKU_Cons'!CH605</f>
        <v>0.71616162464883992</v>
      </c>
      <c r="G601" s="16">
        <f>'[3]Motor Rutas SKU_Cons'!CG605</f>
        <v>0.36416891413636321</v>
      </c>
      <c r="H601" s="998">
        <f>'[3]Motor Rutas SKU_Cons'!BX605</f>
        <v>15.590655010100967</v>
      </c>
      <c r="I601" s="998">
        <f>'[3]Motor Rutas SKU_Cons'!BW605</f>
        <v>80.549630101010308</v>
      </c>
    </row>
    <row r="602" spans="1:9">
      <c r="A602" t="str">
        <f>IF('[3]Motor Rutas SKU_Cons'!C606="","",'[3]Motor Rutas SKU_Cons'!C606)</f>
        <v>Noreste</v>
      </c>
      <c r="B602" t="str">
        <f>IF('[3]Motor Rutas SKU_Cons'!D606="","",'[3]Motor Rutas SKU_Cons'!D606)</f>
        <v>Monterrey</v>
      </c>
      <c r="C602" t="str">
        <f>IF('[3]Motor Rutas SKU_Cons'!B606="","",'[3]Motor Rutas SKU_Cons'!B606)</f>
        <v>Sucursal Santa Catarina</v>
      </c>
      <c r="D602">
        <f>'[3]Motor Rutas SKU_Cons'!A606</f>
        <v>712302</v>
      </c>
      <c r="E602" s="997" t="str">
        <f>IF('[3]Motor Rutas SKU_Cons'!N606="","s/d","Agua "&amp;TEXT('[3]Motor Rutas SKU_Cons'!N606,"0%")&amp;" · Colas "&amp;TEXT('[3]Motor Rutas SKU_Cons'!O606,"0%")&amp;" · Resto "&amp;TEXT('[3]Motor Rutas SKU_Cons'!P606,"0%"))</f>
        <v>Agua 80% · Colas 12% · Resto 8%</v>
      </c>
      <c r="F602" s="16">
        <f>'[3]Motor Rutas SKU_Cons'!CH606</f>
        <v>0.34419538609371453</v>
      </c>
      <c r="G602" s="16">
        <f>'[3]Motor Rutas SKU_Cons'!CG606</f>
        <v>0.35916513340908962</v>
      </c>
      <c r="H602" s="998">
        <f>'[3]Motor Rutas SKU_Cons'!BX606</f>
        <v>22.172111227272552</v>
      </c>
      <c r="I602" s="998">
        <f>'[3]Motor Rutas SKU_Cons'!BW606</f>
        <v>0</v>
      </c>
    </row>
    <row r="603" spans="1:9">
      <c r="A603" t="str">
        <f>IF('[3]Motor Rutas SKU_Cons'!C607="","",'[3]Motor Rutas SKU_Cons'!C607)</f>
        <v>Pacifico</v>
      </c>
      <c r="B603" t="str">
        <f>IF('[3]Motor Rutas SKU_Cons'!D607="","",'[3]Motor Rutas SKU_Cons'!D607)</f>
        <v>Mazatlán</v>
      </c>
      <c r="C603" t="str">
        <f>IF('[3]Motor Rutas SKU_Cons'!B607="","",'[3]Motor Rutas SKU_Cons'!B607)</f>
        <v>Sucursal Venadillo</v>
      </c>
      <c r="D603">
        <f>'[3]Motor Rutas SKU_Cons'!A607</f>
        <v>503305</v>
      </c>
      <c r="E603" s="997" t="str">
        <f>IF('[3]Motor Rutas SKU_Cons'!N607="","s/d","Agua "&amp;TEXT('[3]Motor Rutas SKU_Cons'!N607,"0%")&amp;" · Colas "&amp;TEXT('[3]Motor Rutas SKU_Cons'!O607,"0%")&amp;" · Resto "&amp;TEXT('[3]Motor Rutas SKU_Cons'!P607,"0%"))</f>
        <v>Agua 85% · Colas 8% · Resto 7%</v>
      </c>
      <c r="F603" s="16">
        <f>'[3]Motor Rutas SKU_Cons'!CH607</f>
        <v>0.18452168536460783</v>
      </c>
      <c r="G603" s="16">
        <f>'[3]Motor Rutas SKU_Cons'!CG607</f>
        <v>0.35741073763636355</v>
      </c>
      <c r="H603" s="998">
        <f>'[3]Motor Rutas SKU_Cons'!BX607</f>
        <v>23.087040414438491</v>
      </c>
      <c r="I603" s="998">
        <f>'[3]Motor Rutas SKU_Cons'!BW607</f>
        <v>0</v>
      </c>
    </row>
    <row r="604" spans="1:9">
      <c r="A604" t="str">
        <f>IF('[3]Motor Rutas SKU_Cons'!C608="","",'[3]Motor Rutas SKU_Cons'!C608)</f>
        <v>Noreste</v>
      </c>
      <c r="B604" t="str">
        <f>IF('[3]Motor Rutas SKU_Cons'!D608="","",'[3]Motor Rutas SKU_Cons'!D608)</f>
        <v>Monterrey</v>
      </c>
      <c r="C604" t="str">
        <f>IF('[3]Motor Rutas SKU_Cons'!B608="","",'[3]Motor Rutas SKU_Cons'!B608)</f>
        <v>Sucursal Universidad</v>
      </c>
      <c r="D604">
        <f>'[3]Motor Rutas SKU_Cons'!A608</f>
        <v>703306</v>
      </c>
      <c r="E604" s="997" t="str">
        <f>IF('[3]Motor Rutas SKU_Cons'!N608="","s/d","Agua "&amp;TEXT('[3]Motor Rutas SKU_Cons'!N608,"0%")&amp;" · Colas "&amp;TEXT('[3]Motor Rutas SKU_Cons'!O608,"0%")&amp;" · Resto "&amp;TEXT('[3]Motor Rutas SKU_Cons'!P608,"0%"))</f>
        <v>Agua 80% · Colas 12% · Resto 8%</v>
      </c>
      <c r="F604" s="16">
        <f>'[3]Motor Rutas SKU_Cons'!CH608</f>
        <v>0.28583246545123636</v>
      </c>
      <c r="G604" s="16">
        <f>'[3]Motor Rutas SKU_Cons'!CG608</f>
        <v>0.35302834922727239</v>
      </c>
      <c r="H604" s="998">
        <f>'[3]Motor Rutas SKU_Cons'!BX608</f>
        <v>0</v>
      </c>
      <c r="I604" s="998">
        <f>'[3]Motor Rutas SKU_Cons'!BW608</f>
        <v>0</v>
      </c>
    </row>
    <row r="605" spans="1:9">
      <c r="A605" t="str">
        <f>IF('[3]Motor Rutas SKU_Cons'!C609="","",'[3]Motor Rutas SKU_Cons'!C609)</f>
        <v>Noreste</v>
      </c>
      <c r="B605" t="str">
        <f>IF('[3]Motor Rutas SKU_Cons'!D609="","",'[3]Motor Rutas SKU_Cons'!D609)</f>
        <v>Monterrey</v>
      </c>
      <c r="C605" t="str">
        <f>IF('[3]Motor Rutas SKU_Cons'!B609="","",'[3]Motor Rutas SKU_Cons'!B609)</f>
        <v>Sucursal Santa Catarina</v>
      </c>
      <c r="D605">
        <f>'[3]Motor Rutas SKU_Cons'!A609</f>
        <v>712303</v>
      </c>
      <c r="E605" s="997" t="str">
        <f>IF('[3]Motor Rutas SKU_Cons'!N609="","s/d","Agua "&amp;TEXT('[3]Motor Rutas SKU_Cons'!N609,"0%")&amp;" · Colas "&amp;TEXT('[3]Motor Rutas SKU_Cons'!O609,"0%")&amp;" · Resto "&amp;TEXT('[3]Motor Rutas SKU_Cons'!P609,"0%"))</f>
        <v>Agua 80% · Colas 12% · Resto 8%</v>
      </c>
      <c r="F605" s="16">
        <f>'[3]Motor Rutas SKU_Cons'!CH609</f>
        <v>0.69284340384694465</v>
      </c>
      <c r="G605" s="16">
        <f>'[3]Motor Rutas SKU_Cons'!CG609</f>
        <v>0.35009814763636332</v>
      </c>
      <c r="H605" s="998">
        <f>'[3]Motor Rutas SKU_Cons'!BX609</f>
        <v>0</v>
      </c>
      <c r="I605" s="998">
        <f>'[3]Motor Rutas SKU_Cons'!BW609</f>
        <v>18.76596672727311</v>
      </c>
    </row>
    <row r="606" spans="1:9">
      <c r="A606" t="str">
        <f>IF('[3]Motor Rutas SKU_Cons'!C610="","",'[3]Motor Rutas SKU_Cons'!C610)</f>
        <v>Noreste</v>
      </c>
      <c r="B606" t="str">
        <f>IF('[3]Motor Rutas SKU_Cons'!D610="","",'[3]Motor Rutas SKU_Cons'!D610)</f>
        <v>Monterrey</v>
      </c>
      <c r="C606" t="str">
        <f>IF('[3]Motor Rutas SKU_Cons'!B610="","",'[3]Motor Rutas SKU_Cons'!B610)</f>
        <v>Planta Guadalupe</v>
      </c>
      <c r="D606">
        <f>'[3]Motor Rutas SKU_Cons'!A610</f>
        <v>701318</v>
      </c>
      <c r="E606" s="997" t="str">
        <f>IF('[3]Motor Rutas SKU_Cons'!N610="","s/d","Agua "&amp;TEXT('[3]Motor Rutas SKU_Cons'!N610,"0%")&amp;" · Colas "&amp;TEXT('[3]Motor Rutas SKU_Cons'!O610,"0%")&amp;" · Resto "&amp;TEXT('[3]Motor Rutas SKU_Cons'!P610,"0%"))</f>
        <v>Agua 80% · Colas 12% · Resto 8%</v>
      </c>
      <c r="F606" s="16">
        <f>'[3]Motor Rutas SKU_Cons'!CH610</f>
        <v>0.75222630404153534</v>
      </c>
      <c r="G606" s="16">
        <f>'[3]Motor Rutas SKU_Cons'!CG610</f>
        <v>0.34917237706909077</v>
      </c>
      <c r="H606" s="998">
        <f>'[3]Motor Rutas SKU_Cons'!BX610</f>
        <v>9.7182497979796878</v>
      </c>
      <c r="I606" s="998">
        <f>'[3]Motor Rutas SKU_Cons'!BW610</f>
        <v>75.613687313130697</v>
      </c>
    </row>
    <row r="607" spans="1:9">
      <c r="A607" t="str">
        <f>IF('[3]Motor Rutas SKU_Cons'!C611="","",'[3]Motor Rutas SKU_Cons'!C611)</f>
        <v>Noreste</v>
      </c>
      <c r="B607" t="str">
        <f>IF('[3]Motor Rutas SKU_Cons'!D611="","",'[3]Motor Rutas SKU_Cons'!D611)</f>
        <v>Monterrey</v>
      </c>
      <c r="C607" t="str">
        <f>IF('[3]Motor Rutas SKU_Cons'!B611="","",'[3]Motor Rutas SKU_Cons'!B611)</f>
        <v>Sucursal Universidad</v>
      </c>
      <c r="D607">
        <f>'[3]Motor Rutas SKU_Cons'!A611</f>
        <v>703304</v>
      </c>
      <c r="E607" s="997" t="str">
        <f>IF('[3]Motor Rutas SKU_Cons'!N611="","s/d","Agua "&amp;TEXT('[3]Motor Rutas SKU_Cons'!N611,"0%")&amp;" · Colas "&amp;TEXT('[3]Motor Rutas SKU_Cons'!O611,"0%")&amp;" · Resto "&amp;TEXT('[3]Motor Rutas SKU_Cons'!P611,"0%"))</f>
        <v>Agua 80% · Colas 12% · Resto 8%</v>
      </c>
      <c r="F607" s="16">
        <f>'[3]Motor Rutas SKU_Cons'!CH611</f>
        <v>0.37022953959041915</v>
      </c>
      <c r="G607" s="16">
        <f>'[3]Motor Rutas SKU_Cons'!CG611</f>
        <v>0.34570064454545452</v>
      </c>
      <c r="H607" s="998">
        <f>'[3]Motor Rutas SKU_Cons'!BX611</f>
        <v>0</v>
      </c>
      <c r="I607" s="998">
        <f>'[3]Motor Rutas SKU_Cons'!BW611</f>
        <v>0</v>
      </c>
    </row>
    <row r="608" spans="1:9">
      <c r="A608" t="str">
        <f>IF('[3]Motor Rutas SKU_Cons'!C612="","",'[3]Motor Rutas SKU_Cons'!C612)</f>
        <v>Noreste</v>
      </c>
      <c r="B608" t="str">
        <f>IF('[3]Motor Rutas SKU_Cons'!D612="","",'[3]Motor Rutas SKU_Cons'!D612)</f>
        <v>Monterrey</v>
      </c>
      <c r="C608" t="str">
        <f>IF('[3]Motor Rutas SKU_Cons'!B612="","",'[3]Motor Rutas SKU_Cons'!B612)</f>
        <v>Planta Guadalupe</v>
      </c>
      <c r="D608">
        <f>'[3]Motor Rutas SKU_Cons'!A612</f>
        <v>701312</v>
      </c>
      <c r="E608" s="997" t="str">
        <f>IF('[3]Motor Rutas SKU_Cons'!N612="","s/d","Agua "&amp;TEXT('[3]Motor Rutas SKU_Cons'!N612,"0%")&amp;" · Colas "&amp;TEXT('[3]Motor Rutas SKU_Cons'!O612,"0%")&amp;" · Resto "&amp;TEXT('[3]Motor Rutas SKU_Cons'!P612,"0%"))</f>
        <v>Agua 80% · Colas 12% · Resto 8%</v>
      </c>
      <c r="F608" s="16">
        <f>'[3]Motor Rutas SKU_Cons'!CH612</f>
        <v>0.80428568345236062</v>
      </c>
      <c r="G608" s="16">
        <f>'[3]Motor Rutas SKU_Cons'!CG612</f>
        <v>0.34041407399999951</v>
      </c>
      <c r="H608" s="998">
        <f>'[3]Motor Rutas SKU_Cons'!BX612</f>
        <v>11.920358358585879</v>
      </c>
      <c r="I608" s="998">
        <f>'[3]Motor Rutas SKU_Cons'!BW612</f>
        <v>104.38467858585841</v>
      </c>
    </row>
    <row r="609" spans="1:9">
      <c r="A609" t="str">
        <f>IF('[3]Motor Rutas SKU_Cons'!C613="","",'[3]Motor Rutas SKU_Cons'!C613)</f>
        <v>Noreste</v>
      </c>
      <c r="B609" t="str">
        <f>IF('[3]Motor Rutas SKU_Cons'!D613="","",'[3]Motor Rutas SKU_Cons'!D613)</f>
        <v>Monterrey</v>
      </c>
      <c r="C609" t="str">
        <f>IF('[3]Motor Rutas SKU_Cons'!B613="","",'[3]Motor Rutas SKU_Cons'!B613)</f>
        <v>Sucursal Lincoln</v>
      </c>
      <c r="D609">
        <f>'[3]Motor Rutas SKU_Cons'!A613</f>
        <v>705312</v>
      </c>
      <c r="E609" s="997" t="str">
        <f>IF('[3]Motor Rutas SKU_Cons'!N613="","s/d","Agua "&amp;TEXT('[3]Motor Rutas SKU_Cons'!N613,"0%")&amp;" · Colas "&amp;TEXT('[3]Motor Rutas SKU_Cons'!O613,"0%")&amp;" · Resto "&amp;TEXT('[3]Motor Rutas SKU_Cons'!P613,"0%"))</f>
        <v>Agua 80% · Colas 12% · Resto 8%</v>
      </c>
      <c r="F609" s="16">
        <f>'[3]Motor Rutas SKU_Cons'!CH613</f>
        <v>0.68847888752839437</v>
      </c>
      <c r="G609" s="16">
        <f>'[3]Motor Rutas SKU_Cons'!CG613</f>
        <v>0.33830900631818139</v>
      </c>
      <c r="H609" s="998">
        <f>'[3]Motor Rutas SKU_Cons'!BX613</f>
        <v>9.0966732323232335</v>
      </c>
      <c r="I609" s="998">
        <f>'[3]Motor Rutas SKU_Cons'!BW613</f>
        <v>60.105198080808549</v>
      </c>
    </row>
    <row r="610" spans="1:9">
      <c r="A610" t="str">
        <f>IF('[3]Motor Rutas SKU_Cons'!C614="","",'[3]Motor Rutas SKU_Cons'!C614)</f>
        <v>Noreste</v>
      </c>
      <c r="B610" t="str">
        <f>IF('[3]Motor Rutas SKU_Cons'!D614="","",'[3]Motor Rutas SKU_Cons'!D614)</f>
        <v>Monterrey</v>
      </c>
      <c r="C610" t="str">
        <f>IF('[3]Motor Rutas SKU_Cons'!B614="","",'[3]Motor Rutas SKU_Cons'!B614)</f>
        <v>Planta Guadalupe</v>
      </c>
      <c r="D610">
        <f>'[3]Motor Rutas SKU_Cons'!A614</f>
        <v>701316</v>
      </c>
      <c r="E610" s="997" t="str">
        <f>IF('[3]Motor Rutas SKU_Cons'!N614="","s/d","Agua "&amp;TEXT('[3]Motor Rutas SKU_Cons'!N614,"0%")&amp;" · Colas "&amp;TEXT('[3]Motor Rutas SKU_Cons'!O614,"0%")&amp;" · Resto "&amp;TEXT('[3]Motor Rutas SKU_Cons'!P614,"0%"))</f>
        <v>Agua 80% · Colas 12% · Resto 8%</v>
      </c>
      <c r="F610" s="16">
        <f>'[3]Motor Rutas SKU_Cons'!CH614</f>
        <v>0.47417011087846878</v>
      </c>
      <c r="G610" s="16">
        <f>'[3]Motor Rutas SKU_Cons'!CG614</f>
        <v>0.33589864636363465</v>
      </c>
      <c r="H610" s="998">
        <f>'[3]Motor Rutas SKU_Cons'!BX614</f>
        <v>27.299402772727014</v>
      </c>
      <c r="I610" s="998">
        <f>'[3]Motor Rutas SKU_Cons'!BW614</f>
        <v>0</v>
      </c>
    </row>
    <row r="611" spans="1:9">
      <c r="A611" t="str">
        <f>IF('[3]Motor Rutas SKU_Cons'!C615="","",'[3]Motor Rutas SKU_Cons'!C615)</f>
        <v>Occidente</v>
      </c>
      <c r="B611" t="str">
        <f>IF('[3]Motor Rutas SKU_Cons'!D615="","",'[3]Motor Rutas SKU_Cons'!D615)</f>
        <v>Zapopan</v>
      </c>
      <c r="C611" t="str">
        <f>IF('[3]Motor Rutas SKU_Cons'!B615="","",'[3]Motor Rutas SKU_Cons'!B615)</f>
        <v>Suc. Ameca</v>
      </c>
      <c r="D611">
        <f>'[3]Motor Rutas SKU_Cons'!A615</f>
        <v>821470</v>
      </c>
      <c r="E611" s="997" t="str">
        <f>IF('[3]Motor Rutas SKU_Cons'!N615="","s/d","Agua "&amp;TEXT('[3]Motor Rutas SKU_Cons'!N615,"0%")&amp;" · Colas "&amp;TEXT('[3]Motor Rutas SKU_Cons'!O615,"0%")&amp;" · Resto "&amp;TEXT('[3]Motor Rutas SKU_Cons'!P615,"0%"))</f>
        <v>Agua 85% · Colas 8% · Resto 7%</v>
      </c>
      <c r="F611" s="16">
        <f>'[3]Motor Rutas SKU_Cons'!CH615</f>
        <v>0.39858722016013726</v>
      </c>
      <c r="G611" s="16">
        <f>'[3]Motor Rutas SKU_Cons'!CG615</f>
        <v>0.33574139979545431</v>
      </c>
      <c r="H611" s="998">
        <f>'[3]Motor Rutas SKU_Cons'!BX615</f>
        <v>5.1409337714097418</v>
      </c>
      <c r="I611" s="998">
        <f>'[3]Motor Rutas SKU_Cons'!BW615</f>
        <v>0</v>
      </c>
    </row>
    <row r="612" spans="1:9">
      <c r="A612" t="str">
        <f>IF('[3]Motor Rutas SKU_Cons'!C616="","",'[3]Motor Rutas SKU_Cons'!C616)</f>
        <v>Noreste</v>
      </c>
      <c r="B612" t="str">
        <f>IF('[3]Motor Rutas SKU_Cons'!D616="","",'[3]Motor Rutas SKU_Cons'!D616)</f>
        <v>Reynosa</v>
      </c>
      <c r="C612" t="str">
        <f>IF('[3]Motor Rutas SKU_Cons'!B616="","",'[3]Motor Rutas SKU_Cons'!B616)</f>
        <v>Sucursal Reynosa</v>
      </c>
      <c r="D612">
        <f>'[3]Motor Rutas SKU_Cons'!A616</f>
        <v>103340</v>
      </c>
      <c r="E612" s="997" t="str">
        <f>IF('[3]Motor Rutas SKU_Cons'!N616="","s/d","Agua "&amp;TEXT('[3]Motor Rutas SKU_Cons'!N616,"0%")&amp;" · Colas "&amp;TEXT('[3]Motor Rutas SKU_Cons'!O616,"0%")&amp;" · Resto "&amp;TEXT('[3]Motor Rutas SKU_Cons'!P616,"0%"))</f>
        <v>Agua 80% · Colas 12% · Resto 8%</v>
      </c>
      <c r="F612" s="16">
        <f>'[3]Motor Rutas SKU_Cons'!CH616</f>
        <v>0.27786460447853384</v>
      </c>
      <c r="G612" s="16">
        <f>'[3]Motor Rutas SKU_Cons'!CG616</f>
        <v>0.33495763217727254</v>
      </c>
      <c r="H612" s="998">
        <f>'[3]Motor Rutas SKU_Cons'!BX616</f>
        <v>41.575350007575707</v>
      </c>
      <c r="I612" s="998">
        <f>'[3]Motor Rutas SKU_Cons'!BW616</f>
        <v>0</v>
      </c>
    </row>
    <row r="613" spans="1:9">
      <c r="A613" t="str">
        <f>IF('[3]Motor Rutas SKU_Cons'!C617="","",'[3]Motor Rutas SKU_Cons'!C617)</f>
        <v>Noreste</v>
      </c>
      <c r="B613" t="str">
        <f>IF('[3]Motor Rutas SKU_Cons'!D617="","",'[3]Motor Rutas SKU_Cons'!D617)</f>
        <v>Reynosa</v>
      </c>
      <c r="C613" t="str">
        <f>IF('[3]Motor Rutas SKU_Cons'!B617="","",'[3]Motor Rutas SKU_Cons'!B617)</f>
        <v>Sucursal Reynosa</v>
      </c>
      <c r="D613">
        <f>'[3]Motor Rutas SKU_Cons'!A617</f>
        <v>103342</v>
      </c>
      <c r="E613" s="997" t="str">
        <f>IF('[3]Motor Rutas SKU_Cons'!N617="","s/d","Agua "&amp;TEXT('[3]Motor Rutas SKU_Cons'!N617,"0%")&amp;" · Colas "&amp;TEXT('[3]Motor Rutas SKU_Cons'!O617,"0%")&amp;" · Resto "&amp;TEXT('[3]Motor Rutas SKU_Cons'!P617,"0%"))</f>
        <v>Agua 80% · Colas 12% · Resto 8%</v>
      </c>
      <c r="F613" s="16">
        <f>'[3]Motor Rutas SKU_Cons'!CH617</f>
        <v>0.14612781081711373</v>
      </c>
      <c r="G613" s="16">
        <f>'[3]Motor Rutas SKU_Cons'!CG617</f>
        <v>0.32523537681818171</v>
      </c>
      <c r="H613" s="998">
        <f>'[3]Motor Rutas SKU_Cons'!BX617</f>
        <v>49.472185636363619</v>
      </c>
      <c r="I613" s="998">
        <f>'[3]Motor Rutas SKU_Cons'!BW617</f>
        <v>0</v>
      </c>
    </row>
    <row r="614" spans="1:9">
      <c r="A614" t="str">
        <f>IF('[3]Motor Rutas SKU_Cons'!C618="","",'[3]Motor Rutas SKU_Cons'!C618)</f>
        <v>Noreste</v>
      </c>
      <c r="B614" t="str">
        <f>IF('[3]Motor Rutas SKU_Cons'!D618="","",'[3]Motor Rutas SKU_Cons'!D618)</f>
        <v>Saltillo</v>
      </c>
      <c r="C614" t="str">
        <f>IF('[3]Motor Rutas SKU_Cons'!B618="","",'[3]Motor Rutas SKU_Cons'!B618)</f>
        <v>Planta Agua y Hielo</v>
      </c>
      <c r="D614">
        <f>'[3]Motor Rutas SKU_Cons'!A618</f>
        <v>203327</v>
      </c>
      <c r="E614" s="997" t="str">
        <f>IF('[3]Motor Rutas SKU_Cons'!N618="","s/d","Agua "&amp;TEXT('[3]Motor Rutas SKU_Cons'!N618,"0%")&amp;" · Colas "&amp;TEXT('[3]Motor Rutas SKU_Cons'!O618,"0%")&amp;" · Resto "&amp;TEXT('[3]Motor Rutas SKU_Cons'!P618,"0%"))</f>
        <v>Agua 80% · Colas 12% · Resto 8%</v>
      </c>
      <c r="F614" s="16">
        <f>'[3]Motor Rutas SKU_Cons'!CH618</f>
        <v>0.92354735045694991</v>
      </c>
      <c r="G614" s="16">
        <f>'[3]Motor Rutas SKU_Cons'!CG618</f>
        <v>0.32473258721590886</v>
      </c>
      <c r="H614" s="998">
        <f>'[3]Motor Rutas SKU_Cons'!BX618</f>
        <v>4.5021937245798043</v>
      </c>
      <c r="I614" s="998">
        <f>'[3]Motor Rutas SKU_Cons'!BW618</f>
        <v>71.700118181818766</v>
      </c>
    </row>
    <row r="615" spans="1:9">
      <c r="A615" t="str">
        <f>IF('[3]Motor Rutas SKU_Cons'!C619="","",'[3]Motor Rutas SKU_Cons'!C619)</f>
        <v>Noreste</v>
      </c>
      <c r="B615" t="str">
        <f>IF('[3]Motor Rutas SKU_Cons'!D619="","",'[3]Motor Rutas SKU_Cons'!D619)</f>
        <v>Monterrey</v>
      </c>
      <c r="C615" t="str">
        <f>IF('[3]Motor Rutas SKU_Cons'!B619="","",'[3]Motor Rutas SKU_Cons'!B619)</f>
        <v>Sucursal Universidad</v>
      </c>
      <c r="D615">
        <f>'[3]Motor Rutas SKU_Cons'!A619</f>
        <v>703303</v>
      </c>
      <c r="E615" s="997" t="str">
        <f>IF('[3]Motor Rutas SKU_Cons'!N619="","s/d","Agua "&amp;TEXT('[3]Motor Rutas SKU_Cons'!N619,"0%")&amp;" · Colas "&amp;TEXT('[3]Motor Rutas SKU_Cons'!O619,"0%")&amp;" · Resto "&amp;TEXT('[3]Motor Rutas SKU_Cons'!P619,"0%"))</f>
        <v>Agua 80% · Colas 12% · Resto 8%</v>
      </c>
      <c r="F615" s="16">
        <f>'[3]Motor Rutas SKU_Cons'!CH619</f>
        <v>0.26618774965042069</v>
      </c>
      <c r="G615" s="16">
        <f>'[3]Motor Rutas SKU_Cons'!CG619</f>
        <v>0.32462936386363622</v>
      </c>
      <c r="H615" s="998">
        <f>'[3]Motor Rutas SKU_Cons'!BX619</f>
        <v>0</v>
      </c>
      <c r="I615" s="998">
        <f>'[3]Motor Rutas SKU_Cons'!BW619</f>
        <v>0</v>
      </c>
    </row>
    <row r="616" spans="1:9">
      <c r="A616" t="str">
        <f>IF('[3]Motor Rutas SKU_Cons'!C620="","",'[3]Motor Rutas SKU_Cons'!C620)</f>
        <v>Noreste</v>
      </c>
      <c r="B616" t="str">
        <f>IF('[3]Motor Rutas SKU_Cons'!D620="","",'[3]Motor Rutas SKU_Cons'!D620)</f>
        <v>Monterrey</v>
      </c>
      <c r="C616" t="str">
        <f>IF('[3]Motor Rutas SKU_Cons'!B620="","",'[3]Motor Rutas SKU_Cons'!B620)</f>
        <v>Sucursal Lincoln</v>
      </c>
      <c r="D616">
        <f>'[3]Motor Rutas SKU_Cons'!A620</f>
        <v>705316</v>
      </c>
      <c r="E616" s="997" t="str">
        <f>IF('[3]Motor Rutas SKU_Cons'!N620="","s/d","Agua "&amp;TEXT('[3]Motor Rutas SKU_Cons'!N620,"0%")&amp;" · Colas "&amp;TEXT('[3]Motor Rutas SKU_Cons'!O620,"0%")&amp;" · Resto "&amp;TEXT('[3]Motor Rutas SKU_Cons'!P620,"0%"))</f>
        <v>Agua 80% · Colas 12% · Resto 8%</v>
      </c>
      <c r="F616" s="16">
        <f>'[3]Motor Rutas SKU_Cons'!CH620</f>
        <v>0.4361328408134495</v>
      </c>
      <c r="G616" s="16">
        <f>'[3]Motor Rutas SKU_Cons'!CG620</f>
        <v>0.32354972495999917</v>
      </c>
      <c r="H616" s="998">
        <f>'[3]Motor Rutas SKU_Cons'!BX620</f>
        <v>10.693487015151426</v>
      </c>
      <c r="I616" s="998">
        <f>'[3]Motor Rutas SKU_Cons'!BW620</f>
        <v>0</v>
      </c>
    </row>
    <row r="617" spans="1:9">
      <c r="A617" t="str">
        <f>IF('[3]Motor Rutas SKU_Cons'!C621="","",'[3]Motor Rutas SKU_Cons'!C621)</f>
        <v>Noreste</v>
      </c>
      <c r="B617" t="str">
        <f>IF('[3]Motor Rutas SKU_Cons'!D621="","",'[3]Motor Rutas SKU_Cons'!D621)</f>
        <v>Monterrey</v>
      </c>
      <c r="C617" t="str">
        <f>IF('[3]Motor Rutas SKU_Cons'!B621="","",'[3]Motor Rutas SKU_Cons'!B621)</f>
        <v>Sucursal Juventud</v>
      </c>
      <c r="D617">
        <f>'[3]Motor Rutas SKU_Cons'!A621</f>
        <v>704311</v>
      </c>
      <c r="E617" s="997" t="str">
        <f>IF('[3]Motor Rutas SKU_Cons'!N621="","s/d","Agua "&amp;TEXT('[3]Motor Rutas SKU_Cons'!N621,"0%")&amp;" · Colas "&amp;TEXT('[3]Motor Rutas SKU_Cons'!O621,"0%")&amp;" · Resto "&amp;TEXT('[3]Motor Rutas SKU_Cons'!P621,"0%"))</f>
        <v>Agua 80% · Colas 12% · Resto 8%</v>
      </c>
      <c r="F617" s="16">
        <f>'[3]Motor Rutas SKU_Cons'!CH621</f>
        <v>0.58896730019027177</v>
      </c>
      <c r="G617" s="16">
        <f>'[3]Motor Rutas SKU_Cons'!CG621</f>
        <v>0.32107084609090852</v>
      </c>
      <c r="H617" s="998">
        <f>'[3]Motor Rutas SKU_Cons'!BX621</f>
        <v>1.5418949090907432</v>
      </c>
      <c r="I617" s="998">
        <f>'[3]Motor Rutas SKU_Cons'!BW621</f>
        <v>9.706286666666557</v>
      </c>
    </row>
    <row r="618" spans="1:9">
      <c r="A618" t="str">
        <f>IF('[3]Motor Rutas SKU_Cons'!C622="","",'[3]Motor Rutas SKU_Cons'!C622)</f>
        <v>Noreste</v>
      </c>
      <c r="B618" t="str">
        <f>IF('[3]Motor Rutas SKU_Cons'!D622="","",'[3]Motor Rutas SKU_Cons'!D622)</f>
        <v>Saltillo</v>
      </c>
      <c r="C618" t="str">
        <f>IF('[3]Motor Rutas SKU_Cons'!B622="","",'[3]Motor Rutas SKU_Cons'!B622)</f>
        <v>Planta Agua y Hielo</v>
      </c>
      <c r="D618">
        <f>'[3]Motor Rutas SKU_Cons'!A622</f>
        <v>203331</v>
      </c>
      <c r="E618" s="997" t="str">
        <f>IF('[3]Motor Rutas SKU_Cons'!N622="","s/d","Agua "&amp;TEXT('[3]Motor Rutas SKU_Cons'!N622,"0%")&amp;" · Colas "&amp;TEXT('[3]Motor Rutas SKU_Cons'!O622,"0%")&amp;" · Resto "&amp;TEXT('[3]Motor Rutas SKU_Cons'!P622,"0%"))</f>
        <v>Agua 80% · Colas 12% · Resto 8%</v>
      </c>
      <c r="F618" s="16">
        <f>'[3]Motor Rutas SKU_Cons'!CH622</f>
        <v>1.2190754288632786</v>
      </c>
      <c r="G618" s="16">
        <f>'[3]Motor Rutas SKU_Cons'!CG622</f>
        <v>0.32076256193181796</v>
      </c>
      <c r="H618" s="998">
        <f>'[3]Motor Rutas SKU_Cons'!BX622</f>
        <v>0</v>
      </c>
      <c r="I618" s="998">
        <f>'[3]Motor Rutas SKU_Cons'!BW622</f>
        <v>97.07733260606139</v>
      </c>
    </row>
    <row r="619" spans="1:9">
      <c r="A619" t="str">
        <f>IF('[3]Motor Rutas SKU_Cons'!C623="","",'[3]Motor Rutas SKU_Cons'!C623)</f>
        <v>Noreste</v>
      </c>
      <c r="B619" t="str">
        <f>IF('[3]Motor Rutas SKU_Cons'!D623="","",'[3]Motor Rutas SKU_Cons'!D623)</f>
        <v>Monterrey</v>
      </c>
      <c r="C619" t="str">
        <f>IF('[3]Motor Rutas SKU_Cons'!B623="","",'[3]Motor Rutas SKU_Cons'!B623)</f>
        <v>Sucursal Lincoln</v>
      </c>
      <c r="D619">
        <f>'[3]Motor Rutas SKU_Cons'!A623</f>
        <v>705311</v>
      </c>
      <c r="E619" s="997" t="str">
        <f>IF('[3]Motor Rutas SKU_Cons'!N623="","s/d","Agua "&amp;TEXT('[3]Motor Rutas SKU_Cons'!N623,"0%")&amp;" · Colas "&amp;TEXT('[3]Motor Rutas SKU_Cons'!O623,"0%")&amp;" · Resto "&amp;TEXT('[3]Motor Rutas SKU_Cons'!P623,"0%"))</f>
        <v>Agua 80% · Colas 12% · Resto 8%</v>
      </c>
      <c r="F619" s="16">
        <f>'[3]Motor Rutas SKU_Cons'!CH623</f>
        <v>0.62902865801011287</v>
      </c>
      <c r="G619" s="16">
        <f>'[3]Motor Rutas SKU_Cons'!CG623</f>
        <v>0.32063378161499956</v>
      </c>
      <c r="H619" s="998">
        <f>'[3]Motor Rutas SKU_Cons'!BX623</f>
        <v>4.7975133232322804</v>
      </c>
      <c r="I619" s="998">
        <f>'[3]Motor Rutas SKU_Cons'!BW623</f>
        <v>34.755808823232684</v>
      </c>
    </row>
    <row r="620" spans="1:9">
      <c r="A620" t="str">
        <f>IF('[3]Motor Rutas SKU_Cons'!C624="","",'[3]Motor Rutas SKU_Cons'!C624)</f>
        <v>Noreste</v>
      </c>
      <c r="B620" t="str">
        <f>IF('[3]Motor Rutas SKU_Cons'!D624="","",'[3]Motor Rutas SKU_Cons'!D624)</f>
        <v>Monterrey</v>
      </c>
      <c r="C620" t="str">
        <f>IF('[3]Motor Rutas SKU_Cons'!B624="","",'[3]Motor Rutas SKU_Cons'!B624)</f>
        <v>Sucursal Juventud</v>
      </c>
      <c r="D620">
        <f>'[3]Motor Rutas SKU_Cons'!A624</f>
        <v>704304</v>
      </c>
      <c r="E620" s="997" t="str">
        <f>IF('[3]Motor Rutas SKU_Cons'!N624="","s/d","Agua "&amp;TEXT('[3]Motor Rutas SKU_Cons'!N624,"0%")&amp;" · Colas "&amp;TEXT('[3]Motor Rutas SKU_Cons'!O624,"0%")&amp;" · Resto "&amp;TEXT('[3]Motor Rutas SKU_Cons'!P624,"0%"))</f>
        <v>Agua 80% · Colas 12% · Resto 8%</v>
      </c>
      <c r="F620" s="16">
        <f>'[3]Motor Rutas SKU_Cons'!CH624</f>
        <v>0.8697152855750232</v>
      </c>
      <c r="G620" s="16">
        <f>'[3]Motor Rutas SKU_Cons'!CG624</f>
        <v>0.31578591984545368</v>
      </c>
      <c r="H620" s="998">
        <f>'[3]Motor Rutas SKU_Cons'!BX624</f>
        <v>9.590364545876696</v>
      </c>
      <c r="I620" s="998">
        <f>'[3]Motor Rutas SKU_Cons'!BW624</f>
        <v>75.004277353533695</v>
      </c>
    </row>
    <row r="621" spans="1:9">
      <c r="A621" t="str">
        <f>IF('[3]Motor Rutas SKU_Cons'!C625="","",'[3]Motor Rutas SKU_Cons'!C625)</f>
        <v>Noreste</v>
      </c>
      <c r="B621" t="str">
        <f>IF('[3]Motor Rutas SKU_Cons'!D625="","",'[3]Motor Rutas SKU_Cons'!D625)</f>
        <v>Monterrey</v>
      </c>
      <c r="C621" t="str">
        <f>IF('[3]Motor Rutas SKU_Cons'!B625="","",'[3]Motor Rutas SKU_Cons'!B625)</f>
        <v>Sucursal Lincoln</v>
      </c>
      <c r="D621">
        <f>'[3]Motor Rutas SKU_Cons'!A625</f>
        <v>705324</v>
      </c>
      <c r="E621" s="997" t="str">
        <f>IF('[3]Motor Rutas SKU_Cons'!N625="","s/d","Agua "&amp;TEXT('[3]Motor Rutas SKU_Cons'!N625,"0%")&amp;" · Colas "&amp;TEXT('[3]Motor Rutas SKU_Cons'!O625,"0%")&amp;" · Resto "&amp;TEXT('[3]Motor Rutas SKU_Cons'!P625,"0%"))</f>
        <v>Agua 80% · Colas 12% · Resto 8%</v>
      </c>
      <c r="F621" s="16">
        <f>'[3]Motor Rutas SKU_Cons'!CH625</f>
        <v>0.44827666648196141</v>
      </c>
      <c r="G621" s="16">
        <f>'[3]Motor Rutas SKU_Cons'!CG625</f>
        <v>0.30264788352272737</v>
      </c>
      <c r="H621" s="998">
        <f>'[3]Motor Rutas SKU_Cons'!BX625</f>
        <v>8.1831141396574054</v>
      </c>
      <c r="I621" s="998">
        <f>'[3]Motor Rutas SKU_Cons'!BW625</f>
        <v>0</v>
      </c>
    </row>
    <row r="622" spans="1:9">
      <c r="A622" t="str">
        <f>IF('[3]Motor Rutas SKU_Cons'!C626="","",'[3]Motor Rutas SKU_Cons'!C626)</f>
        <v>Noreste</v>
      </c>
      <c r="B622" t="str">
        <f>IF('[3]Motor Rutas SKU_Cons'!D626="","",'[3]Motor Rutas SKU_Cons'!D626)</f>
        <v>Monterrey</v>
      </c>
      <c r="C622" t="str">
        <f>IF('[3]Motor Rutas SKU_Cons'!B626="","",'[3]Motor Rutas SKU_Cons'!B626)</f>
        <v>Sucursal Santa Catarina</v>
      </c>
      <c r="D622">
        <f>'[3]Motor Rutas SKU_Cons'!A626</f>
        <v>712319</v>
      </c>
      <c r="E622" s="997" t="str">
        <f>IF('[3]Motor Rutas SKU_Cons'!N626="","s/d","Agua "&amp;TEXT('[3]Motor Rutas SKU_Cons'!N626,"0%")&amp;" · Colas "&amp;TEXT('[3]Motor Rutas SKU_Cons'!O626,"0%")&amp;" · Resto "&amp;TEXT('[3]Motor Rutas SKU_Cons'!P626,"0%"))</f>
        <v>Agua 80% · Colas 12% · Resto 8%</v>
      </c>
      <c r="F622" s="16">
        <f>'[3]Motor Rutas SKU_Cons'!CH626</f>
        <v>0.60602951929729743</v>
      </c>
      <c r="G622" s="16">
        <f>'[3]Motor Rutas SKU_Cons'!CG626</f>
        <v>0.29910565554545387</v>
      </c>
      <c r="H622" s="998">
        <f>'[3]Motor Rutas SKU_Cons'!BX626</f>
        <v>7.1816840404041145</v>
      </c>
      <c r="I622" s="998">
        <f>'[3]Motor Rutas SKU_Cons'!BW626</f>
        <v>48.911092828283699</v>
      </c>
    </row>
    <row r="623" spans="1:9">
      <c r="A623" t="str">
        <f>IF('[3]Motor Rutas SKU_Cons'!C627="","",'[3]Motor Rutas SKU_Cons'!C627)</f>
        <v>Noreste</v>
      </c>
      <c r="B623" t="str">
        <f>IF('[3]Motor Rutas SKU_Cons'!D627="","",'[3]Motor Rutas SKU_Cons'!D627)</f>
        <v>Monterrey</v>
      </c>
      <c r="C623" t="str">
        <f>IF('[3]Motor Rutas SKU_Cons'!B627="","",'[3]Motor Rutas SKU_Cons'!B627)</f>
        <v>Sucursal Lincoln</v>
      </c>
      <c r="D623">
        <f>'[3]Motor Rutas SKU_Cons'!A627</f>
        <v>705323</v>
      </c>
      <c r="E623" s="997" t="str">
        <f>IF('[3]Motor Rutas SKU_Cons'!N627="","s/d","Agua "&amp;TEXT('[3]Motor Rutas SKU_Cons'!N627,"0%")&amp;" · Colas "&amp;TEXT('[3]Motor Rutas SKU_Cons'!O627,"0%")&amp;" · Resto "&amp;TEXT('[3]Motor Rutas SKU_Cons'!P627,"0%"))</f>
        <v>Agua 80% · Colas 12% · Resto 8%</v>
      </c>
      <c r="F623" s="16">
        <f>'[3]Motor Rutas SKU_Cons'!CH627</f>
        <v>0.732154261193947</v>
      </c>
      <c r="G623" s="16">
        <f>'[3]Motor Rutas SKU_Cons'!CG627</f>
        <v>0.29813546413636344</v>
      </c>
      <c r="H623" s="998">
        <f>'[3]Motor Rutas SKU_Cons'!BX627</f>
        <v>7.9074592373738355</v>
      </c>
      <c r="I623" s="998">
        <f>'[3]Motor Rutas SKU_Cons'!BW627</f>
        <v>89.464104646465387</v>
      </c>
    </row>
    <row r="624" spans="1:9">
      <c r="A624" t="str">
        <f>IF('[3]Motor Rutas SKU_Cons'!C628="","",'[3]Motor Rutas SKU_Cons'!C628)</f>
        <v>Noreste</v>
      </c>
      <c r="B624" t="str">
        <f>IF('[3]Motor Rutas SKU_Cons'!D628="","",'[3]Motor Rutas SKU_Cons'!D628)</f>
        <v>Monterrey</v>
      </c>
      <c r="C624" t="str">
        <f>IF('[3]Motor Rutas SKU_Cons'!B628="","",'[3]Motor Rutas SKU_Cons'!B628)</f>
        <v>Sucursal Lincoln</v>
      </c>
      <c r="D624">
        <f>'[3]Motor Rutas SKU_Cons'!A628</f>
        <v>705303</v>
      </c>
      <c r="E624" s="997" t="str">
        <f>IF('[3]Motor Rutas SKU_Cons'!N628="","s/d","Agua "&amp;TEXT('[3]Motor Rutas SKU_Cons'!N628,"0%")&amp;" · Colas "&amp;TEXT('[3]Motor Rutas SKU_Cons'!O628,"0%")&amp;" · Resto "&amp;TEXT('[3]Motor Rutas SKU_Cons'!P628,"0%"))</f>
        <v>Agua 80% · Colas 12% · Resto 8%</v>
      </c>
      <c r="F624" s="16">
        <f>'[3]Motor Rutas SKU_Cons'!CH628</f>
        <v>0.70924716511040187</v>
      </c>
      <c r="G624" s="16">
        <f>'[3]Motor Rutas SKU_Cons'!CG628</f>
        <v>0.29315943490909047</v>
      </c>
      <c r="H624" s="998">
        <f>'[3]Motor Rutas SKU_Cons'!BX628</f>
        <v>14.857918459596</v>
      </c>
      <c r="I624" s="998">
        <f>'[3]Motor Rutas SKU_Cons'!BW628</f>
        <v>113.15392080808127</v>
      </c>
    </row>
    <row r="625" spans="1:9">
      <c r="A625" t="str">
        <f>IF('[3]Motor Rutas SKU_Cons'!C629="","",'[3]Motor Rutas SKU_Cons'!C629)</f>
        <v>Noreste</v>
      </c>
      <c r="B625" t="str">
        <f>IF('[3]Motor Rutas SKU_Cons'!D629="","",'[3]Motor Rutas SKU_Cons'!D629)</f>
        <v>Monterrey</v>
      </c>
      <c r="C625" t="str">
        <f>IF('[3]Motor Rutas SKU_Cons'!B629="","",'[3]Motor Rutas SKU_Cons'!B629)</f>
        <v>Sucursal Lincoln</v>
      </c>
      <c r="D625">
        <f>'[3]Motor Rutas SKU_Cons'!A629</f>
        <v>705306</v>
      </c>
      <c r="E625" s="997" t="str">
        <f>IF('[3]Motor Rutas SKU_Cons'!N629="","s/d","Agua "&amp;TEXT('[3]Motor Rutas SKU_Cons'!N629,"0%")&amp;" · Colas "&amp;TEXT('[3]Motor Rutas SKU_Cons'!O629,"0%")&amp;" · Resto "&amp;TEXT('[3]Motor Rutas SKU_Cons'!P629,"0%"))</f>
        <v>Agua 80% · Colas 12% · Resto 8%</v>
      </c>
      <c r="F625" s="16">
        <f>'[3]Motor Rutas SKU_Cons'!CH629</f>
        <v>0.88457404194466571</v>
      </c>
      <c r="G625" s="16">
        <f>'[3]Motor Rutas SKU_Cons'!CG629</f>
        <v>0.29277726831818146</v>
      </c>
      <c r="H625" s="998">
        <f>'[3]Motor Rutas SKU_Cons'!BX629</f>
        <v>8.4965993186036428</v>
      </c>
      <c r="I625" s="998">
        <f>'[3]Motor Rutas SKU_Cons'!BW629</f>
        <v>181.81625272727322</v>
      </c>
    </row>
    <row r="626" spans="1:9">
      <c r="A626" t="str">
        <f>IF('[3]Motor Rutas SKU_Cons'!C630="","",'[3]Motor Rutas SKU_Cons'!C630)</f>
        <v>Noreste</v>
      </c>
      <c r="B626" t="str">
        <f>IF('[3]Motor Rutas SKU_Cons'!D630="","",'[3]Motor Rutas SKU_Cons'!D630)</f>
        <v>Monterrey</v>
      </c>
      <c r="C626" t="str">
        <f>IF('[3]Motor Rutas SKU_Cons'!B630="","",'[3]Motor Rutas SKU_Cons'!B630)</f>
        <v>Sucursal Santa Catarina</v>
      </c>
      <c r="D626">
        <f>'[3]Motor Rutas SKU_Cons'!A630</f>
        <v>712308</v>
      </c>
      <c r="E626" s="997" t="str">
        <f>IF('[3]Motor Rutas SKU_Cons'!N630="","s/d","Agua "&amp;TEXT('[3]Motor Rutas SKU_Cons'!N630,"0%")&amp;" · Colas "&amp;TEXT('[3]Motor Rutas SKU_Cons'!O630,"0%")&amp;" · Resto "&amp;TEXT('[3]Motor Rutas SKU_Cons'!P630,"0%"))</f>
        <v>Agua 80% · Colas 12% · Resto 8%</v>
      </c>
      <c r="F626" s="16">
        <f>'[3]Motor Rutas SKU_Cons'!CH630</f>
        <v>1.6004498024063516</v>
      </c>
      <c r="G626" s="16">
        <f>'[3]Motor Rutas SKU_Cons'!CG630</f>
        <v>0.29272646324380164</v>
      </c>
      <c r="H626" s="998">
        <f>'[3]Motor Rutas SKU_Cons'!BX630</f>
        <v>0</v>
      </c>
      <c r="I626" s="998">
        <f>'[3]Motor Rutas SKU_Cons'!BW630</f>
        <v>130.50188509090981</v>
      </c>
    </row>
    <row r="627" spans="1:9">
      <c r="A627" t="str">
        <f>IF('[3]Motor Rutas SKU_Cons'!C631="","",'[3]Motor Rutas SKU_Cons'!C631)</f>
        <v>Noreste</v>
      </c>
      <c r="B627" t="str">
        <f>IF('[3]Motor Rutas SKU_Cons'!D631="","",'[3]Motor Rutas SKU_Cons'!D631)</f>
        <v>Monterrey</v>
      </c>
      <c r="C627" t="str">
        <f>IF('[3]Motor Rutas SKU_Cons'!B631="","",'[3]Motor Rutas SKU_Cons'!B631)</f>
        <v>Sucursal Juventud</v>
      </c>
      <c r="D627">
        <f>'[3]Motor Rutas SKU_Cons'!A631</f>
        <v>704303</v>
      </c>
      <c r="E627" s="997" t="str">
        <f>IF('[3]Motor Rutas SKU_Cons'!N631="","s/d","Agua "&amp;TEXT('[3]Motor Rutas SKU_Cons'!N631,"0%")&amp;" · Colas "&amp;TEXT('[3]Motor Rutas SKU_Cons'!O631,"0%")&amp;" · Resto "&amp;TEXT('[3]Motor Rutas SKU_Cons'!P631,"0%"))</f>
        <v>Agua 80% · Colas 12% · Resto 8%</v>
      </c>
      <c r="F627" s="16">
        <f>'[3]Motor Rutas SKU_Cons'!CH631</f>
        <v>1.3674384944135292</v>
      </c>
      <c r="G627" s="16">
        <f>'[3]Motor Rutas SKU_Cons'!CG631</f>
        <v>0.28814100979090895</v>
      </c>
      <c r="H627" s="998">
        <f>'[3]Motor Rutas SKU_Cons'!BX631</f>
        <v>0</v>
      </c>
      <c r="I627" s="998">
        <f>'[3]Motor Rutas SKU_Cons'!BW631</f>
        <v>189.19528557575728</v>
      </c>
    </row>
    <row r="628" spans="1:9">
      <c r="A628" t="str">
        <f>IF('[3]Motor Rutas SKU_Cons'!C632="","",'[3]Motor Rutas SKU_Cons'!C632)</f>
        <v>Noreste</v>
      </c>
      <c r="B628" t="str">
        <f>IF('[3]Motor Rutas SKU_Cons'!D632="","",'[3]Motor Rutas SKU_Cons'!D632)</f>
        <v>Monterrey</v>
      </c>
      <c r="C628" t="str">
        <f>IF('[3]Motor Rutas SKU_Cons'!B632="","",'[3]Motor Rutas SKU_Cons'!B632)</f>
        <v>Planta Guadalupe</v>
      </c>
      <c r="D628">
        <f>'[3]Motor Rutas SKU_Cons'!A632</f>
        <v>701308</v>
      </c>
      <c r="E628" s="997" t="str">
        <f>IF('[3]Motor Rutas SKU_Cons'!N632="","s/d","Agua "&amp;TEXT('[3]Motor Rutas SKU_Cons'!N632,"0%")&amp;" · Colas "&amp;TEXT('[3]Motor Rutas SKU_Cons'!O632,"0%")&amp;" · Resto "&amp;TEXT('[3]Motor Rutas SKU_Cons'!P632,"0%"))</f>
        <v>Agua 80% · Colas 12% · Resto 8%</v>
      </c>
      <c r="F628" s="16">
        <f>'[3]Motor Rutas SKU_Cons'!CH632</f>
        <v>0.62215491136044709</v>
      </c>
      <c r="G628" s="16">
        <f>'[3]Motor Rutas SKU_Cons'!CG632</f>
        <v>0.28567047105371879</v>
      </c>
      <c r="H628" s="998">
        <f>'[3]Motor Rutas SKU_Cons'!BX632</f>
        <v>27.81348647011896</v>
      </c>
      <c r="I628" s="998">
        <f>'[3]Motor Rutas SKU_Cons'!BW632</f>
        <v>0</v>
      </c>
    </row>
    <row r="629" spans="1:9">
      <c r="A629" t="str">
        <f>IF('[3]Motor Rutas SKU_Cons'!C633="","",'[3]Motor Rutas SKU_Cons'!C633)</f>
        <v>Noreste</v>
      </c>
      <c r="B629" t="str">
        <f>IF('[3]Motor Rutas SKU_Cons'!D633="","",'[3]Motor Rutas SKU_Cons'!D633)</f>
        <v>Monterrey</v>
      </c>
      <c r="C629" t="str">
        <f>IF('[3]Motor Rutas SKU_Cons'!B633="","",'[3]Motor Rutas SKU_Cons'!B633)</f>
        <v>Sucursal Santa Catarina</v>
      </c>
      <c r="D629">
        <f>'[3]Motor Rutas SKU_Cons'!A633</f>
        <v>712300</v>
      </c>
      <c r="E629" s="997" t="str">
        <f>IF('[3]Motor Rutas SKU_Cons'!N633="","s/d","Agua "&amp;TEXT('[3]Motor Rutas SKU_Cons'!N633,"0%")&amp;" · Colas "&amp;TEXT('[3]Motor Rutas SKU_Cons'!O633,"0%")&amp;" · Resto "&amp;TEXT('[3]Motor Rutas SKU_Cons'!P633,"0%"))</f>
        <v>Agua 80% · Colas 12% · Resto 8%</v>
      </c>
      <c r="F629" s="16">
        <f>'[3]Motor Rutas SKU_Cons'!CH633</f>
        <v>0.59031906685613611</v>
      </c>
      <c r="G629" s="16">
        <f>'[3]Motor Rutas SKU_Cons'!CG633</f>
        <v>0.27689026015636325</v>
      </c>
      <c r="H629" s="998">
        <f>'[3]Motor Rutas SKU_Cons'!BX633</f>
        <v>0</v>
      </c>
      <c r="I629" s="998">
        <f>'[3]Motor Rutas SKU_Cons'!BW633</f>
        <v>27.312697030303326</v>
      </c>
    </row>
    <row r="630" spans="1:9">
      <c r="A630" t="str">
        <f>IF('[3]Motor Rutas SKU_Cons'!C634="","",'[3]Motor Rutas SKU_Cons'!C634)</f>
        <v>Noreste</v>
      </c>
      <c r="B630" t="str">
        <f>IF('[3]Motor Rutas SKU_Cons'!D634="","",'[3]Motor Rutas SKU_Cons'!D634)</f>
        <v>Monterrey</v>
      </c>
      <c r="C630" t="str">
        <f>IF('[3]Motor Rutas SKU_Cons'!B634="","",'[3]Motor Rutas SKU_Cons'!B634)</f>
        <v>Planta Guadalupe</v>
      </c>
      <c r="D630">
        <f>'[3]Motor Rutas SKU_Cons'!A634</f>
        <v>701300</v>
      </c>
      <c r="E630" s="997" t="str">
        <f>IF('[3]Motor Rutas SKU_Cons'!N634="","s/d","Agua "&amp;TEXT('[3]Motor Rutas SKU_Cons'!N634,"0%")&amp;" · Colas "&amp;TEXT('[3]Motor Rutas SKU_Cons'!O634,"0%")&amp;" · Resto "&amp;TEXT('[3]Motor Rutas SKU_Cons'!P634,"0%"))</f>
        <v>Agua 80% · Colas 12% · Resto 8%</v>
      </c>
      <c r="F630" s="16">
        <f>'[3]Motor Rutas SKU_Cons'!CH634</f>
        <v>1.736345608380724</v>
      </c>
      <c r="G630" s="16">
        <f>'[3]Motor Rutas SKU_Cons'!CG634</f>
        <v>0.27112700305785159</v>
      </c>
      <c r="H630" s="998">
        <f>'[3]Motor Rutas SKU_Cons'!BX634</f>
        <v>0</v>
      </c>
      <c r="I630" s="998">
        <f>'[3]Motor Rutas SKU_Cons'!BW634</f>
        <v>307.91191787878904</v>
      </c>
    </row>
    <row r="631" spans="1:9">
      <c r="A631" t="str">
        <f>IF('[3]Motor Rutas SKU_Cons'!C635="","",'[3]Motor Rutas SKU_Cons'!C635)</f>
        <v>Noreste</v>
      </c>
      <c r="B631" t="str">
        <f>IF('[3]Motor Rutas SKU_Cons'!D635="","",'[3]Motor Rutas SKU_Cons'!D635)</f>
        <v>Monterrey</v>
      </c>
      <c r="C631" t="str">
        <f>IF('[3]Motor Rutas SKU_Cons'!B635="","",'[3]Motor Rutas SKU_Cons'!B635)</f>
        <v>Sucursal Lincoln</v>
      </c>
      <c r="D631">
        <f>'[3]Motor Rutas SKU_Cons'!A635</f>
        <v>705314</v>
      </c>
      <c r="E631" s="997" t="str">
        <f>IF('[3]Motor Rutas SKU_Cons'!N635="","s/d","Agua "&amp;TEXT('[3]Motor Rutas SKU_Cons'!N635,"0%")&amp;" · Colas "&amp;TEXT('[3]Motor Rutas SKU_Cons'!O635,"0%")&amp;" · Resto "&amp;TEXT('[3]Motor Rutas SKU_Cons'!P635,"0%"))</f>
        <v>Agua 80% · Colas 12% · Resto 8%</v>
      </c>
      <c r="F631" s="16">
        <f>'[3]Motor Rutas SKU_Cons'!CH635</f>
        <v>0.64966554021669098</v>
      </c>
      <c r="G631" s="16">
        <f>'[3]Motor Rutas SKU_Cons'!CG635</f>
        <v>0.26784231790909052</v>
      </c>
      <c r="H631" s="998">
        <f>'[3]Motor Rutas SKU_Cons'!BX635</f>
        <v>17.595592969696895</v>
      </c>
      <c r="I631" s="998">
        <f>'[3]Motor Rutas SKU_Cons'!BW635</f>
        <v>119.95650999999984</v>
      </c>
    </row>
    <row r="632" spans="1:9">
      <c r="A632" t="str">
        <f>IF('[3]Motor Rutas SKU_Cons'!C636="","",'[3]Motor Rutas SKU_Cons'!C636)</f>
        <v>Noreste</v>
      </c>
      <c r="B632" t="str">
        <f>IF('[3]Motor Rutas SKU_Cons'!D636="","",'[3]Motor Rutas SKU_Cons'!D636)</f>
        <v>Monterrey</v>
      </c>
      <c r="C632" t="str">
        <f>IF('[3]Motor Rutas SKU_Cons'!B636="","",'[3]Motor Rutas SKU_Cons'!B636)</f>
        <v>Planta Guadalupe</v>
      </c>
      <c r="D632">
        <f>'[3]Motor Rutas SKU_Cons'!A636</f>
        <v>701309</v>
      </c>
      <c r="E632" s="997" t="str">
        <f>IF('[3]Motor Rutas SKU_Cons'!N636="","s/d","Agua "&amp;TEXT('[3]Motor Rutas SKU_Cons'!N636,"0%")&amp;" · Colas "&amp;TEXT('[3]Motor Rutas SKU_Cons'!O636,"0%")&amp;" · Resto "&amp;TEXT('[3]Motor Rutas SKU_Cons'!P636,"0%"))</f>
        <v>Agua 80% · Colas 12% · Resto 8%</v>
      </c>
      <c r="F632" s="16">
        <f>'[3]Motor Rutas SKU_Cons'!CH636</f>
        <v>0.78128440202092719</v>
      </c>
      <c r="G632" s="16">
        <f>'[3]Motor Rutas SKU_Cons'!CG636</f>
        <v>0.26488260446280976</v>
      </c>
      <c r="H632" s="998">
        <f>'[3]Motor Rutas SKU_Cons'!BX636</f>
        <v>16.099834318603669</v>
      </c>
      <c r="I632" s="998">
        <f>'[3]Motor Rutas SKU_Cons'!BW636</f>
        <v>0</v>
      </c>
    </row>
    <row r="633" spans="1:9">
      <c r="A633" t="str">
        <f>IF('[3]Motor Rutas SKU_Cons'!C637="","",'[3]Motor Rutas SKU_Cons'!C637)</f>
        <v>Noreste</v>
      </c>
      <c r="B633" t="str">
        <f>IF('[3]Motor Rutas SKU_Cons'!D637="","",'[3]Motor Rutas SKU_Cons'!D637)</f>
        <v>Monterrey</v>
      </c>
      <c r="C633" t="str">
        <f>IF('[3]Motor Rutas SKU_Cons'!B637="","",'[3]Motor Rutas SKU_Cons'!B637)</f>
        <v>Sucursal Universidad</v>
      </c>
      <c r="D633">
        <f>'[3]Motor Rutas SKU_Cons'!A637</f>
        <v>703307</v>
      </c>
      <c r="E633" s="997" t="str">
        <f>IF('[3]Motor Rutas SKU_Cons'!N637="","s/d","Agua "&amp;TEXT('[3]Motor Rutas SKU_Cons'!N637,"0%")&amp;" · Colas "&amp;TEXT('[3]Motor Rutas SKU_Cons'!O637,"0%")&amp;" · Resto "&amp;TEXT('[3]Motor Rutas SKU_Cons'!P637,"0%"))</f>
        <v>Agua 80% · Colas 12% · Resto 8%</v>
      </c>
      <c r="F633" s="16">
        <f>'[3]Motor Rutas SKU_Cons'!CH637</f>
        <v>0.18915135609935857</v>
      </c>
      <c r="G633" s="16">
        <f>'[3]Motor Rutas SKU_Cons'!CG637</f>
        <v>0.26057290540909078</v>
      </c>
      <c r="H633" s="998">
        <f>'[3]Motor Rutas SKU_Cons'!BX637</f>
        <v>0</v>
      </c>
      <c r="I633" s="998">
        <f>'[3]Motor Rutas SKU_Cons'!BW637</f>
        <v>0</v>
      </c>
    </row>
    <row r="634" spans="1:9">
      <c r="A634" t="str">
        <f>IF('[3]Motor Rutas SKU_Cons'!C638="","",'[3]Motor Rutas SKU_Cons'!C638)</f>
        <v>Noreste</v>
      </c>
      <c r="B634" t="str">
        <f>IF('[3]Motor Rutas SKU_Cons'!D638="","",'[3]Motor Rutas SKU_Cons'!D638)</f>
        <v>Monterrey</v>
      </c>
      <c r="C634" t="str">
        <f>IF('[3]Motor Rutas SKU_Cons'!B638="","",'[3]Motor Rutas SKU_Cons'!B638)</f>
        <v>Sucursal Juventud</v>
      </c>
      <c r="D634">
        <f>'[3]Motor Rutas SKU_Cons'!A638</f>
        <v>704305</v>
      </c>
      <c r="E634" s="997" t="str">
        <f>IF('[3]Motor Rutas SKU_Cons'!N638="","s/d","Agua "&amp;TEXT('[3]Motor Rutas SKU_Cons'!N638,"0%")&amp;" · Colas "&amp;TEXT('[3]Motor Rutas SKU_Cons'!O638,"0%")&amp;" · Resto "&amp;TEXT('[3]Motor Rutas SKU_Cons'!P638,"0%"))</f>
        <v>Agua 80% · Colas 12% · Resto 8%</v>
      </c>
      <c r="F634" s="16">
        <f>'[3]Motor Rutas SKU_Cons'!CH638</f>
        <v>1.1195526046023634</v>
      </c>
      <c r="G634" s="16">
        <f>'[3]Motor Rutas SKU_Cons'!CG638</f>
        <v>0.25533616890495864</v>
      </c>
      <c r="H634" s="998">
        <f>'[3]Motor Rutas SKU_Cons'!BX638</f>
        <v>0</v>
      </c>
      <c r="I634" s="998">
        <f>'[3]Motor Rutas SKU_Cons'!BW638</f>
        <v>120.09546626262676</v>
      </c>
    </row>
    <row r="635" spans="1:9">
      <c r="A635" t="str">
        <f>IF('[3]Motor Rutas SKU_Cons'!C639="","",'[3]Motor Rutas SKU_Cons'!C639)</f>
        <v>Noreste</v>
      </c>
      <c r="B635" t="str">
        <f>IF('[3]Motor Rutas SKU_Cons'!D639="","",'[3]Motor Rutas SKU_Cons'!D639)</f>
        <v>Monterrey</v>
      </c>
      <c r="C635" t="str">
        <f>IF('[3]Motor Rutas SKU_Cons'!B639="","",'[3]Motor Rutas SKU_Cons'!B639)</f>
        <v>Planta Guadalupe</v>
      </c>
      <c r="D635">
        <f>'[3]Motor Rutas SKU_Cons'!A639</f>
        <v>701302</v>
      </c>
      <c r="E635" s="997" t="str">
        <f>IF('[3]Motor Rutas SKU_Cons'!N639="","s/d","Agua "&amp;TEXT('[3]Motor Rutas SKU_Cons'!N639,"0%")&amp;" · Colas "&amp;TEXT('[3]Motor Rutas SKU_Cons'!O639,"0%")&amp;" · Resto "&amp;TEXT('[3]Motor Rutas SKU_Cons'!P639,"0%"))</f>
        <v>Agua 80% · Colas 12% · Resto 8%</v>
      </c>
      <c r="F635" s="16">
        <f>'[3]Motor Rutas SKU_Cons'!CH639</f>
        <v>0.65830044143406996</v>
      </c>
      <c r="G635" s="16">
        <f>'[3]Motor Rutas SKU_Cons'!CG639</f>
        <v>0.24666692714999974</v>
      </c>
      <c r="H635" s="998">
        <f>'[3]Motor Rutas SKU_Cons'!BX639</f>
        <v>12.879866146464451</v>
      </c>
      <c r="I635" s="998">
        <f>'[3]Motor Rutas SKU_Cons'!BW639</f>
        <v>114.84000176767475</v>
      </c>
    </row>
    <row r="636" spans="1:9">
      <c r="A636" t="str">
        <f>IF('[3]Motor Rutas SKU_Cons'!C640="","",'[3]Motor Rutas SKU_Cons'!C640)</f>
        <v>Noreste</v>
      </c>
      <c r="B636" t="str">
        <f>IF('[3]Motor Rutas SKU_Cons'!D640="","",'[3]Motor Rutas SKU_Cons'!D640)</f>
        <v>Reynosa</v>
      </c>
      <c r="C636" t="str">
        <f>IF('[3]Motor Rutas SKU_Cons'!B640="","",'[3]Motor Rutas SKU_Cons'!B640)</f>
        <v>Sucursal Reynosa</v>
      </c>
      <c r="D636">
        <f>'[3]Motor Rutas SKU_Cons'!A640</f>
        <v>103341</v>
      </c>
      <c r="E636" s="997" t="str">
        <f>IF('[3]Motor Rutas SKU_Cons'!N640="","s/d","Agua "&amp;TEXT('[3]Motor Rutas SKU_Cons'!N640,"0%")&amp;" · Colas "&amp;TEXT('[3]Motor Rutas SKU_Cons'!O640,"0%")&amp;" · Resto "&amp;TEXT('[3]Motor Rutas SKU_Cons'!P640,"0%"))</f>
        <v>Agua 80% · Colas 12% · Resto 8%</v>
      </c>
      <c r="F636" s="16">
        <f>'[3]Motor Rutas SKU_Cons'!CH640</f>
        <v>0.2626639334078007</v>
      </c>
      <c r="G636" s="16">
        <f>'[3]Motor Rutas SKU_Cons'!CG640</f>
        <v>0.2465519993181817</v>
      </c>
      <c r="H636" s="998">
        <f>'[3]Motor Rutas SKU_Cons'!BX640</f>
        <v>26.322870363636358</v>
      </c>
      <c r="I636" s="998">
        <f>'[3]Motor Rutas SKU_Cons'!BW640</f>
        <v>0</v>
      </c>
    </row>
    <row r="637" spans="1:9">
      <c r="A637" t="str">
        <f>IF('[3]Motor Rutas SKU_Cons'!C641="","",'[3]Motor Rutas SKU_Cons'!C641)</f>
        <v>Noreste</v>
      </c>
      <c r="B637" t="str">
        <f>IF('[3]Motor Rutas SKU_Cons'!D641="","",'[3]Motor Rutas SKU_Cons'!D641)</f>
        <v>Monterrey</v>
      </c>
      <c r="C637" t="str">
        <f>IF('[3]Motor Rutas SKU_Cons'!B641="","",'[3]Motor Rutas SKU_Cons'!B641)</f>
        <v>Sucursal Lincoln</v>
      </c>
      <c r="D637">
        <f>'[3]Motor Rutas SKU_Cons'!A641</f>
        <v>705308</v>
      </c>
      <c r="E637" s="997" t="str">
        <f>IF('[3]Motor Rutas SKU_Cons'!N641="","s/d","Agua "&amp;TEXT('[3]Motor Rutas SKU_Cons'!N641,"0%")&amp;" · Colas "&amp;TEXT('[3]Motor Rutas SKU_Cons'!O641,"0%")&amp;" · Resto "&amp;TEXT('[3]Motor Rutas SKU_Cons'!P641,"0%"))</f>
        <v>Agua 80% · Colas 12% · Resto 8%</v>
      </c>
      <c r="F637" s="16">
        <f>'[3]Motor Rutas SKU_Cons'!CH641</f>
        <v>0.55782387860422744</v>
      </c>
      <c r="G637" s="16">
        <f>'[3]Motor Rutas SKU_Cons'!CG641</f>
        <v>0.24115599327272697</v>
      </c>
      <c r="H637" s="998">
        <f>'[3]Motor Rutas SKU_Cons'!BX641</f>
        <v>12.554853868686912</v>
      </c>
      <c r="I637" s="998">
        <f>'[3]Motor Rutas SKU_Cons'!BW641</f>
        <v>86.871142323233045</v>
      </c>
    </row>
    <row r="638" spans="1:9">
      <c r="A638" t="str">
        <f>IF('[3]Motor Rutas SKU_Cons'!C642="","",'[3]Motor Rutas SKU_Cons'!C642)</f>
        <v>Noreste</v>
      </c>
      <c r="B638" t="str">
        <f>IF('[3]Motor Rutas SKU_Cons'!D642="","",'[3]Motor Rutas SKU_Cons'!D642)</f>
        <v>Monterrey</v>
      </c>
      <c r="C638" t="str">
        <f>IF('[3]Motor Rutas SKU_Cons'!B642="","",'[3]Motor Rutas SKU_Cons'!B642)</f>
        <v>Sucursal Lincoln</v>
      </c>
      <c r="D638">
        <f>'[3]Motor Rutas SKU_Cons'!A642</f>
        <v>705318</v>
      </c>
      <c r="E638" s="997" t="str">
        <f>IF('[3]Motor Rutas SKU_Cons'!N642="","s/d","Agua "&amp;TEXT('[3]Motor Rutas SKU_Cons'!N642,"0%")&amp;" · Colas "&amp;TEXT('[3]Motor Rutas SKU_Cons'!O642,"0%")&amp;" · Resto "&amp;TEXT('[3]Motor Rutas SKU_Cons'!P642,"0%"))</f>
        <v>Agua 80% · Colas 12% · Resto 8%</v>
      </c>
      <c r="F638" s="16">
        <f>'[3]Motor Rutas SKU_Cons'!CH642</f>
        <v>0.89299389736902857</v>
      </c>
      <c r="G638" s="16">
        <f>'[3]Motor Rutas SKU_Cons'!CG642</f>
        <v>0.23960901068181792</v>
      </c>
      <c r="H638" s="998">
        <f>'[3]Motor Rutas SKU_Cons'!BX642</f>
        <v>7.876806864058139</v>
      </c>
      <c r="I638" s="998">
        <f>'[3]Motor Rutas SKU_Cons'!BW642</f>
        <v>159.62696868686913</v>
      </c>
    </row>
    <row r="639" spans="1:9">
      <c r="A639" t="str">
        <f>IF('[3]Motor Rutas SKU_Cons'!C643="","",'[3]Motor Rutas SKU_Cons'!C643)</f>
        <v>Noreste</v>
      </c>
      <c r="B639" t="str">
        <f>IF('[3]Motor Rutas SKU_Cons'!D643="","",'[3]Motor Rutas SKU_Cons'!D643)</f>
        <v>Monterrey</v>
      </c>
      <c r="C639" t="str">
        <f>IF('[3]Motor Rutas SKU_Cons'!B643="","",'[3]Motor Rutas SKU_Cons'!B643)</f>
        <v>Sucursal Lincoln</v>
      </c>
      <c r="D639">
        <f>'[3]Motor Rutas SKU_Cons'!A643</f>
        <v>705327</v>
      </c>
      <c r="E639" s="997" t="str">
        <f>IF('[3]Motor Rutas SKU_Cons'!N643="","s/d","Agua "&amp;TEXT('[3]Motor Rutas SKU_Cons'!N643,"0%")&amp;" · Colas "&amp;TEXT('[3]Motor Rutas SKU_Cons'!O643,"0%")&amp;" · Resto "&amp;TEXT('[3]Motor Rutas SKU_Cons'!P643,"0%"))</f>
        <v>Agua 80% · Colas 12% · Resto 8%</v>
      </c>
      <c r="F639" s="16">
        <f>'[3]Motor Rutas SKU_Cons'!CH643</f>
        <v>0.32300197337757214</v>
      </c>
      <c r="G639" s="16">
        <f>'[3]Motor Rutas SKU_Cons'!CG643</f>
        <v>0.23904192804545402</v>
      </c>
      <c r="H639" s="998">
        <f>'[3]Motor Rutas SKU_Cons'!BX643</f>
        <v>7.8428628181817608</v>
      </c>
      <c r="I639" s="998">
        <f>'[3]Motor Rutas SKU_Cons'!BW643</f>
        <v>0</v>
      </c>
    </row>
    <row r="640" spans="1:9">
      <c r="A640" t="str">
        <f>IF('[3]Motor Rutas SKU_Cons'!C644="","",'[3]Motor Rutas SKU_Cons'!C644)</f>
        <v>Noreste</v>
      </c>
      <c r="B640" t="str">
        <f>IF('[3]Motor Rutas SKU_Cons'!D644="","",'[3]Motor Rutas SKU_Cons'!D644)</f>
        <v>Monterrey</v>
      </c>
      <c r="C640" t="str">
        <f>IF('[3]Motor Rutas SKU_Cons'!B644="","",'[3]Motor Rutas SKU_Cons'!B644)</f>
        <v>Sucursal Lincoln</v>
      </c>
      <c r="D640">
        <f>'[3]Motor Rutas SKU_Cons'!A644</f>
        <v>705309</v>
      </c>
      <c r="E640" s="997" t="str">
        <f>IF('[3]Motor Rutas SKU_Cons'!N644="","s/d","Agua "&amp;TEXT('[3]Motor Rutas SKU_Cons'!N644,"0%")&amp;" · Colas "&amp;TEXT('[3]Motor Rutas SKU_Cons'!O644,"0%")&amp;" · Resto "&amp;TEXT('[3]Motor Rutas SKU_Cons'!P644,"0%"))</f>
        <v>Agua 80% · Colas 12% · Resto 8%</v>
      </c>
      <c r="F640" s="16">
        <f>'[3]Motor Rutas SKU_Cons'!CH644</f>
        <v>0.50471246592922725</v>
      </c>
      <c r="G640" s="16">
        <f>'[3]Motor Rutas SKU_Cons'!CG644</f>
        <v>0.23173731204545422</v>
      </c>
      <c r="H640" s="998">
        <f>'[3]Motor Rutas SKU_Cons'!BX644</f>
        <v>8.821031795125208</v>
      </c>
      <c r="I640" s="998">
        <f>'[3]Motor Rutas SKU_Cons'!BW644</f>
        <v>0</v>
      </c>
    </row>
    <row r="641" spans="1:9">
      <c r="A641" t="str">
        <f>IF('[3]Motor Rutas SKU_Cons'!C645="","",'[3]Motor Rutas SKU_Cons'!C645)</f>
        <v>Noreste</v>
      </c>
      <c r="B641" t="str">
        <f>IF('[3]Motor Rutas SKU_Cons'!D645="","",'[3]Motor Rutas SKU_Cons'!D645)</f>
        <v>Monterrey</v>
      </c>
      <c r="C641" t="str">
        <f>IF('[3]Motor Rutas SKU_Cons'!B645="","",'[3]Motor Rutas SKU_Cons'!B645)</f>
        <v>Sucursal Juventud</v>
      </c>
      <c r="D641">
        <f>'[3]Motor Rutas SKU_Cons'!A645</f>
        <v>704306</v>
      </c>
      <c r="E641" s="997" t="str">
        <f>IF('[3]Motor Rutas SKU_Cons'!N645="","s/d","Agua "&amp;TEXT('[3]Motor Rutas SKU_Cons'!N645,"0%")&amp;" · Colas "&amp;TEXT('[3]Motor Rutas SKU_Cons'!O645,"0%")&amp;" · Resto "&amp;TEXT('[3]Motor Rutas SKU_Cons'!P645,"0%"))</f>
        <v>Agua 80% · Colas 12% · Resto 8%</v>
      </c>
      <c r="F641" s="16">
        <f>'[3]Motor Rutas SKU_Cons'!CH645</f>
        <v>0.98985106615001051</v>
      </c>
      <c r="G641" s="16">
        <f>'[3]Motor Rutas SKU_Cons'!CG645</f>
        <v>0.23138551669090882</v>
      </c>
      <c r="H641" s="998">
        <f>'[3]Motor Rutas SKU_Cons'!BX645</f>
        <v>0.74707133375522972</v>
      </c>
      <c r="I641" s="998">
        <f>'[3]Motor Rutas SKU_Cons'!BW645</f>
        <v>185.97528349494959</v>
      </c>
    </row>
    <row r="642" spans="1:9">
      <c r="A642" t="str">
        <f>IF('[3]Motor Rutas SKU_Cons'!C646="","",'[3]Motor Rutas SKU_Cons'!C646)</f>
        <v>Noreste</v>
      </c>
      <c r="B642" t="str">
        <f>IF('[3]Motor Rutas SKU_Cons'!D646="","",'[3]Motor Rutas SKU_Cons'!D646)</f>
        <v>Monterrey</v>
      </c>
      <c r="C642" t="str">
        <f>IF('[3]Motor Rutas SKU_Cons'!B646="","",'[3]Motor Rutas SKU_Cons'!B646)</f>
        <v>Sucursal Lincoln</v>
      </c>
      <c r="D642">
        <f>'[3]Motor Rutas SKU_Cons'!A646</f>
        <v>705300</v>
      </c>
      <c r="E642" s="997" t="str">
        <f>IF('[3]Motor Rutas SKU_Cons'!N646="","s/d","Agua "&amp;TEXT('[3]Motor Rutas SKU_Cons'!N646,"0%")&amp;" · Colas "&amp;TEXT('[3]Motor Rutas SKU_Cons'!O646,"0%")&amp;" · Resto "&amp;TEXT('[3]Motor Rutas SKU_Cons'!P646,"0%"))</f>
        <v>Agua 80% · Colas 12% · Resto 8%</v>
      </c>
      <c r="F642" s="16">
        <f>'[3]Motor Rutas SKU_Cons'!CH646</f>
        <v>0.31480481166679314</v>
      </c>
      <c r="G642" s="16">
        <f>'[3]Motor Rutas SKU_Cons'!CG646</f>
        <v>0.22598232013636341</v>
      </c>
      <c r="H642" s="998">
        <f>'[3]Motor Rutas SKU_Cons'!BX646</f>
        <v>6.7188012424241741</v>
      </c>
      <c r="I642" s="998">
        <f>'[3]Motor Rutas SKU_Cons'!BW646</f>
        <v>0</v>
      </c>
    </row>
    <row r="643" spans="1:9">
      <c r="A643" t="str">
        <f>IF('[3]Motor Rutas SKU_Cons'!C647="","",'[3]Motor Rutas SKU_Cons'!C647)</f>
        <v>Noreste</v>
      </c>
      <c r="B643" t="str">
        <f>IF('[3]Motor Rutas SKU_Cons'!D647="","",'[3]Motor Rutas SKU_Cons'!D647)</f>
        <v>Monterrey</v>
      </c>
      <c r="C643" t="str">
        <f>IF('[3]Motor Rutas SKU_Cons'!B647="","",'[3]Motor Rutas SKU_Cons'!B647)</f>
        <v>Planta Guadalupe</v>
      </c>
      <c r="D643">
        <f>'[3]Motor Rutas SKU_Cons'!A647</f>
        <v>701305</v>
      </c>
      <c r="E643" s="997" t="str">
        <f>IF('[3]Motor Rutas SKU_Cons'!N647="","s/d","Agua "&amp;TEXT('[3]Motor Rutas SKU_Cons'!N647,"0%")&amp;" · Colas "&amp;TEXT('[3]Motor Rutas SKU_Cons'!O647,"0%")&amp;" · Resto "&amp;TEXT('[3]Motor Rutas SKU_Cons'!P647,"0%"))</f>
        <v>Agua 80% · Colas 12% · Resto 8%</v>
      </c>
      <c r="F643" s="16">
        <f>'[3]Motor Rutas SKU_Cons'!CH647</f>
        <v>0.88138801613291684</v>
      </c>
      <c r="G643" s="16">
        <f>'[3]Motor Rutas SKU_Cons'!CG647</f>
        <v>0.22410399292995878</v>
      </c>
      <c r="H643" s="998">
        <f>'[3]Motor Rutas SKU_Cons'!BX647</f>
        <v>8.7311252883008734</v>
      </c>
      <c r="I643" s="998">
        <f>'[3]Motor Rutas SKU_Cons'!BW647</f>
        <v>0</v>
      </c>
    </row>
    <row r="644" spans="1:9">
      <c r="A644" t="str">
        <f>IF('[3]Motor Rutas SKU_Cons'!C648="","",'[3]Motor Rutas SKU_Cons'!C648)</f>
        <v>Noreste</v>
      </c>
      <c r="B644" t="str">
        <f>IF('[3]Motor Rutas SKU_Cons'!D648="","",'[3]Motor Rutas SKU_Cons'!D648)</f>
        <v>Monterrey</v>
      </c>
      <c r="C644" t="str">
        <f>IF('[3]Motor Rutas SKU_Cons'!B648="","",'[3]Motor Rutas SKU_Cons'!B648)</f>
        <v>Planta Guadalupe</v>
      </c>
      <c r="D644">
        <f>'[3]Motor Rutas SKU_Cons'!A648</f>
        <v>701306</v>
      </c>
      <c r="E644" s="997" t="str">
        <f>IF('[3]Motor Rutas SKU_Cons'!N648="","s/d","Agua "&amp;TEXT('[3]Motor Rutas SKU_Cons'!N648,"0%")&amp;" · Colas "&amp;TEXT('[3]Motor Rutas SKU_Cons'!O648,"0%")&amp;" · Resto "&amp;TEXT('[3]Motor Rutas SKU_Cons'!P648,"0%"))</f>
        <v>Agua 80% · Colas 12% · Resto 8%</v>
      </c>
      <c r="F644" s="16">
        <f>'[3]Motor Rutas SKU_Cons'!CH648</f>
        <v>0.94301713484342353</v>
      </c>
      <c r="G644" s="16">
        <f>'[3]Motor Rutas SKU_Cons'!CG648</f>
        <v>0.22277101863718998</v>
      </c>
      <c r="H644" s="998">
        <f>'[3]Motor Rutas SKU_Cons'!BX648</f>
        <v>4.1945553792098309</v>
      </c>
      <c r="I644" s="998">
        <f>'[3]Motor Rutas SKU_Cons'!BW648</f>
        <v>86.901588666665702</v>
      </c>
    </row>
    <row r="645" spans="1:9">
      <c r="A645" t="str">
        <f>IF('[3]Motor Rutas SKU_Cons'!C649="","",'[3]Motor Rutas SKU_Cons'!C649)</f>
        <v>Noreste</v>
      </c>
      <c r="B645" t="str">
        <f>IF('[3]Motor Rutas SKU_Cons'!D649="","",'[3]Motor Rutas SKU_Cons'!D649)</f>
        <v>Monterrey</v>
      </c>
      <c r="C645" t="str">
        <f>IF('[3]Motor Rutas SKU_Cons'!B649="","",'[3]Motor Rutas SKU_Cons'!B649)</f>
        <v>Planta Guadalupe</v>
      </c>
      <c r="D645">
        <f>'[3]Motor Rutas SKU_Cons'!A649</f>
        <v>701303</v>
      </c>
      <c r="E645" s="997" t="str">
        <f>IF('[3]Motor Rutas SKU_Cons'!N649="","s/d","Agua "&amp;TEXT('[3]Motor Rutas SKU_Cons'!N649,"0%")&amp;" · Colas "&amp;TEXT('[3]Motor Rutas SKU_Cons'!O649,"0%")&amp;" · Resto "&amp;TEXT('[3]Motor Rutas SKU_Cons'!P649,"0%"))</f>
        <v>Agua 80% · Colas 12% · Resto 8%</v>
      </c>
      <c r="F645" s="16">
        <f>'[3]Motor Rutas SKU_Cons'!CH649</f>
        <v>1.4950787013269613</v>
      </c>
      <c r="G645" s="16">
        <f>'[3]Motor Rutas SKU_Cons'!CG649</f>
        <v>0.2166530208471078</v>
      </c>
      <c r="H645" s="998">
        <f>'[3]Motor Rutas SKU_Cons'!BX649</f>
        <v>0</v>
      </c>
      <c r="I645" s="998">
        <f>'[3]Motor Rutas SKU_Cons'!BW649</f>
        <v>289.27822454545662</v>
      </c>
    </row>
    <row r="646" spans="1:9">
      <c r="A646" t="str">
        <f>IF('[3]Motor Rutas SKU_Cons'!C650="","",'[3]Motor Rutas SKU_Cons'!C650)</f>
        <v>Noreste</v>
      </c>
      <c r="B646" t="str">
        <f>IF('[3]Motor Rutas SKU_Cons'!D650="","",'[3]Motor Rutas SKU_Cons'!D650)</f>
        <v>Monterrey</v>
      </c>
      <c r="C646" t="str">
        <f>IF('[3]Motor Rutas SKU_Cons'!B650="","",'[3]Motor Rutas SKU_Cons'!B650)</f>
        <v>Sucursal Santa Catarina</v>
      </c>
      <c r="D646">
        <f>'[3]Motor Rutas SKU_Cons'!A650</f>
        <v>712313</v>
      </c>
      <c r="E646" s="997" t="str">
        <f>IF('[3]Motor Rutas SKU_Cons'!N650="","s/d","Agua "&amp;TEXT('[3]Motor Rutas SKU_Cons'!N650,"0%")&amp;" · Colas "&amp;TEXT('[3]Motor Rutas SKU_Cons'!O650,"0%")&amp;" · Resto "&amp;TEXT('[3]Motor Rutas SKU_Cons'!P650,"0%"))</f>
        <v>Agua 80% · Colas 12% · Resto 8%</v>
      </c>
      <c r="F646" s="16">
        <f>'[3]Motor Rutas SKU_Cons'!CH650</f>
        <v>1.0006446460506295</v>
      </c>
      <c r="G646" s="16">
        <f>'[3]Motor Rutas SKU_Cons'!CG650</f>
        <v>0.21459203181818165</v>
      </c>
      <c r="H646" s="998">
        <f>'[3]Motor Rutas SKU_Cons'!BX650</f>
        <v>0</v>
      </c>
      <c r="I646" s="998">
        <f>'[3]Motor Rutas SKU_Cons'!BW650</f>
        <v>0</v>
      </c>
    </row>
    <row r="647" spans="1:9">
      <c r="A647" t="str">
        <f>IF('[3]Motor Rutas SKU_Cons'!C651="","",'[3]Motor Rutas SKU_Cons'!C651)</f>
        <v>Noreste</v>
      </c>
      <c r="B647" t="str">
        <f>IF('[3]Motor Rutas SKU_Cons'!D651="","",'[3]Motor Rutas SKU_Cons'!D651)</f>
        <v>Monterrey</v>
      </c>
      <c r="C647" t="str">
        <f>IF('[3]Motor Rutas SKU_Cons'!B651="","",'[3]Motor Rutas SKU_Cons'!B651)</f>
        <v>Sucursal Juventud</v>
      </c>
      <c r="D647">
        <f>'[3]Motor Rutas SKU_Cons'!A651</f>
        <v>704302</v>
      </c>
      <c r="E647" s="997" t="str">
        <f>IF('[3]Motor Rutas SKU_Cons'!N651="","s/d","Agua "&amp;TEXT('[3]Motor Rutas SKU_Cons'!N651,"0%")&amp;" · Colas "&amp;TEXT('[3]Motor Rutas SKU_Cons'!O651,"0%")&amp;" · Resto "&amp;TEXT('[3]Motor Rutas SKU_Cons'!P651,"0%"))</f>
        <v>Agua 80% · Colas 12% · Resto 8%</v>
      </c>
      <c r="F647" s="16">
        <f>'[3]Motor Rutas SKU_Cons'!CH651</f>
        <v>0.59906738601914222</v>
      </c>
      <c r="G647" s="16">
        <f>'[3]Motor Rutas SKU_Cons'!CG651</f>
        <v>0.21175655305909094</v>
      </c>
      <c r="H647" s="998">
        <f>'[3]Motor Rutas SKU_Cons'!BX651</f>
        <v>6.0857598232322516</v>
      </c>
      <c r="I647" s="998">
        <f>'[3]Motor Rutas SKU_Cons'!BW651</f>
        <v>43.877697262625503</v>
      </c>
    </row>
    <row r="648" spans="1:9">
      <c r="A648" t="str">
        <f>IF('[3]Motor Rutas SKU_Cons'!C652="","",'[3]Motor Rutas SKU_Cons'!C652)</f>
        <v>Noreste</v>
      </c>
      <c r="B648" t="str">
        <f>IF('[3]Motor Rutas SKU_Cons'!D652="","",'[3]Motor Rutas SKU_Cons'!D652)</f>
        <v>Monterrey</v>
      </c>
      <c r="C648" t="str">
        <f>IF('[3]Motor Rutas SKU_Cons'!B652="","",'[3]Motor Rutas SKU_Cons'!B652)</f>
        <v>Planta Guadalupe</v>
      </c>
      <c r="D648">
        <f>'[3]Motor Rutas SKU_Cons'!A652</f>
        <v>701307</v>
      </c>
      <c r="E648" s="997" t="str">
        <f>IF('[3]Motor Rutas SKU_Cons'!N652="","s/d","Agua "&amp;TEXT('[3]Motor Rutas SKU_Cons'!N652,"0%")&amp;" · Colas "&amp;TEXT('[3]Motor Rutas SKU_Cons'!O652,"0%")&amp;" · Resto "&amp;TEXT('[3]Motor Rutas SKU_Cons'!P652,"0%"))</f>
        <v>Agua 80% · Colas 12% · Resto 8%</v>
      </c>
      <c r="F648" s="16">
        <f>'[3]Motor Rutas SKU_Cons'!CH652</f>
        <v>0.68508619599117415</v>
      </c>
      <c r="G648" s="16">
        <f>'[3]Motor Rutas SKU_Cons'!CG652</f>
        <v>0.20822242332644619</v>
      </c>
      <c r="H648" s="998">
        <f>'[3]Motor Rutas SKU_Cons'!BX652</f>
        <v>13.620370337944657</v>
      </c>
      <c r="I648" s="998">
        <f>'[3]Motor Rutas SKU_Cons'!BW652</f>
        <v>0</v>
      </c>
    </row>
    <row r="649" spans="1:9">
      <c r="A649" t="str">
        <f>IF('[3]Motor Rutas SKU_Cons'!C653="","",'[3]Motor Rutas SKU_Cons'!C653)</f>
        <v>Noreste</v>
      </c>
      <c r="B649" t="str">
        <f>IF('[3]Motor Rutas SKU_Cons'!D653="","",'[3]Motor Rutas SKU_Cons'!D653)</f>
        <v>Monterrey</v>
      </c>
      <c r="C649" t="str">
        <f>IF('[3]Motor Rutas SKU_Cons'!B653="","",'[3]Motor Rutas SKU_Cons'!B653)</f>
        <v>Sucursal Lincoln</v>
      </c>
      <c r="D649">
        <f>'[3]Motor Rutas SKU_Cons'!A653</f>
        <v>705305</v>
      </c>
      <c r="E649" s="997" t="str">
        <f>IF('[3]Motor Rutas SKU_Cons'!N653="","s/d","Agua "&amp;TEXT('[3]Motor Rutas SKU_Cons'!N653,"0%")&amp;" · Colas "&amp;TEXT('[3]Motor Rutas SKU_Cons'!O653,"0%")&amp;" · Resto "&amp;TEXT('[3]Motor Rutas SKU_Cons'!P653,"0%"))</f>
        <v>Agua 80% · Colas 12% · Resto 8%</v>
      </c>
      <c r="F649" s="16">
        <f>'[3]Motor Rutas SKU_Cons'!CH653</f>
        <v>0.54601079050842205</v>
      </c>
      <c r="G649" s="16">
        <f>'[3]Motor Rutas SKU_Cons'!CG653</f>
        <v>0.20564438033863605</v>
      </c>
      <c r="H649" s="998">
        <f>'[3]Motor Rutas SKU_Cons'!BX653</f>
        <v>4.8361199848485157</v>
      </c>
      <c r="I649" s="998">
        <f>'[3]Motor Rutas SKU_Cons'!BW653</f>
        <v>27.784515439393971</v>
      </c>
    </row>
    <row r="650" spans="1:9">
      <c r="A650" t="str">
        <f>IF('[3]Motor Rutas SKU_Cons'!C654="","",'[3]Motor Rutas SKU_Cons'!C654)</f>
        <v>Noreste</v>
      </c>
      <c r="B650" t="str">
        <f>IF('[3]Motor Rutas SKU_Cons'!D654="","",'[3]Motor Rutas SKU_Cons'!D654)</f>
        <v>Monterrey</v>
      </c>
      <c r="C650" t="str">
        <f>IF('[3]Motor Rutas SKU_Cons'!B654="","",'[3]Motor Rutas SKU_Cons'!B654)</f>
        <v>Sucursal Juventud</v>
      </c>
      <c r="D650">
        <f>'[3]Motor Rutas SKU_Cons'!A654</f>
        <v>704301</v>
      </c>
      <c r="E650" s="997" t="str">
        <f>IF('[3]Motor Rutas SKU_Cons'!N654="","s/d","Agua "&amp;TEXT('[3]Motor Rutas SKU_Cons'!N654,"0%")&amp;" · Colas "&amp;TEXT('[3]Motor Rutas SKU_Cons'!O654,"0%")&amp;" · Resto "&amp;TEXT('[3]Motor Rutas SKU_Cons'!P654,"0%"))</f>
        <v>Agua 80% · Colas 12% · Resto 8%</v>
      </c>
      <c r="F650" s="16">
        <f>'[3]Motor Rutas SKU_Cons'!CH654</f>
        <v>0.76991572508769601</v>
      </c>
      <c r="G650" s="16">
        <f>'[3]Motor Rutas SKU_Cons'!CG654</f>
        <v>0.202345565950413</v>
      </c>
      <c r="H650" s="998">
        <f>'[3]Motor Rutas SKU_Cons'!BX654</f>
        <v>10.220537523715443</v>
      </c>
      <c r="I650" s="998">
        <f>'[3]Motor Rutas SKU_Cons'!BW654</f>
        <v>0</v>
      </c>
    </row>
    <row r="651" spans="1:9">
      <c r="A651" t="str">
        <f>IF('[3]Motor Rutas SKU_Cons'!C655="","",'[3]Motor Rutas SKU_Cons'!C655)</f>
        <v>Noreste</v>
      </c>
      <c r="B651" t="str">
        <f>IF('[3]Motor Rutas SKU_Cons'!D655="","",'[3]Motor Rutas SKU_Cons'!D655)</f>
        <v>Monterrey</v>
      </c>
      <c r="C651" t="str">
        <f>IF('[3]Motor Rutas SKU_Cons'!B655="","",'[3]Motor Rutas SKU_Cons'!B655)</f>
        <v>Sucursal Santa Catarina</v>
      </c>
      <c r="D651">
        <f>'[3]Motor Rutas SKU_Cons'!A655</f>
        <v>712317</v>
      </c>
      <c r="E651" s="997" t="str">
        <f>IF('[3]Motor Rutas SKU_Cons'!N655="","s/d","Agua "&amp;TEXT('[3]Motor Rutas SKU_Cons'!N655,"0%")&amp;" · Colas "&amp;TEXT('[3]Motor Rutas SKU_Cons'!O655,"0%")&amp;" · Resto "&amp;TEXT('[3]Motor Rutas SKU_Cons'!P655,"0%"))</f>
        <v>Agua 80% · Colas 12% · Resto 8%</v>
      </c>
      <c r="F651" s="16">
        <f>'[3]Motor Rutas SKU_Cons'!CH655</f>
        <v>0.64614875357314017</v>
      </c>
      <c r="G651" s="16">
        <f>'[3]Motor Rutas SKU_Cons'!CG655</f>
        <v>0.1999760043603146</v>
      </c>
      <c r="H651" s="998">
        <f>'[3]Motor Rutas SKU_Cons'!BX655</f>
        <v>21.211277299242397</v>
      </c>
      <c r="I651" s="998">
        <f>'[3]Motor Rutas SKU_Cons'!BW655</f>
        <v>0</v>
      </c>
    </row>
    <row r="652" spans="1:9">
      <c r="A652" t="str">
        <f>IF('[3]Motor Rutas SKU_Cons'!C656="","",'[3]Motor Rutas SKU_Cons'!C656)</f>
        <v>Noreste</v>
      </c>
      <c r="B652" t="str">
        <f>IF('[3]Motor Rutas SKU_Cons'!D656="","",'[3]Motor Rutas SKU_Cons'!D656)</f>
        <v>Monterrey</v>
      </c>
      <c r="C652" t="str">
        <f>IF('[3]Motor Rutas SKU_Cons'!B656="","",'[3]Motor Rutas SKU_Cons'!B656)</f>
        <v>Sucursal Santa Catarina</v>
      </c>
      <c r="D652">
        <f>'[3]Motor Rutas SKU_Cons'!A656</f>
        <v>712312</v>
      </c>
      <c r="E652" s="997" t="str">
        <f>IF('[3]Motor Rutas SKU_Cons'!N656="","s/d","Agua "&amp;TEXT('[3]Motor Rutas SKU_Cons'!N656,"0%")&amp;" · Colas "&amp;TEXT('[3]Motor Rutas SKU_Cons'!O656,"0%")&amp;" · Resto "&amp;TEXT('[3]Motor Rutas SKU_Cons'!P656,"0%"))</f>
        <v>Agua 80% · Colas 12% · Resto 8%</v>
      </c>
      <c r="F652" s="16">
        <f>'[3]Motor Rutas SKU_Cons'!CH656</f>
        <v>0.84722413090132409</v>
      </c>
      <c r="G652" s="16">
        <f>'[3]Motor Rutas SKU_Cons'!CG656</f>
        <v>0.19586997487762225</v>
      </c>
      <c r="H652" s="998">
        <f>'[3]Motor Rutas SKU_Cons'!BX656</f>
        <v>11.245956864058279</v>
      </c>
      <c r="I652" s="998">
        <f>'[3]Motor Rutas SKU_Cons'!BW656</f>
        <v>0</v>
      </c>
    </row>
    <row r="653" spans="1:9">
      <c r="A653" t="str">
        <f>IF('[3]Motor Rutas SKU_Cons'!C657="","",'[3]Motor Rutas SKU_Cons'!C657)</f>
        <v>Noreste</v>
      </c>
      <c r="B653" t="str">
        <f>IF('[3]Motor Rutas SKU_Cons'!D657="","",'[3]Motor Rutas SKU_Cons'!D657)</f>
        <v>Monterrey</v>
      </c>
      <c r="C653" t="str">
        <f>IF('[3]Motor Rutas SKU_Cons'!B657="","",'[3]Motor Rutas SKU_Cons'!B657)</f>
        <v>Sucursal Santa Catarina</v>
      </c>
      <c r="D653">
        <f>'[3]Motor Rutas SKU_Cons'!A657</f>
        <v>712309</v>
      </c>
      <c r="E653" s="997" t="str">
        <f>IF('[3]Motor Rutas SKU_Cons'!N657="","s/d","Agua "&amp;TEXT('[3]Motor Rutas SKU_Cons'!N657,"0%")&amp;" · Colas "&amp;TEXT('[3]Motor Rutas SKU_Cons'!O657,"0%")&amp;" · Resto "&amp;TEXT('[3]Motor Rutas SKU_Cons'!P657,"0%"))</f>
        <v>Agua 80% · Colas 12% · Resto 8%</v>
      </c>
      <c r="F653" s="16">
        <f>'[3]Motor Rutas SKU_Cons'!CH657</f>
        <v>1.0227592058856625</v>
      </c>
      <c r="G653" s="16">
        <f>'[3]Motor Rutas SKU_Cons'!CG657</f>
        <v>0.19290335200646858</v>
      </c>
      <c r="H653" s="998">
        <f>'[3]Motor Rutas SKU_Cons'!BX657</f>
        <v>0</v>
      </c>
      <c r="I653" s="998">
        <f>'[3]Motor Rutas SKU_Cons'!BW657</f>
        <v>105.13476254040228</v>
      </c>
    </row>
    <row r="654" spans="1:9">
      <c r="A654" t="str">
        <f>IF('[3]Motor Rutas SKU_Cons'!C658="","",'[3]Motor Rutas SKU_Cons'!C658)</f>
        <v>Noreste</v>
      </c>
      <c r="B654" t="str">
        <f>IF('[3]Motor Rutas SKU_Cons'!D658="","",'[3]Motor Rutas SKU_Cons'!D658)</f>
        <v>Monterrey</v>
      </c>
      <c r="C654" t="str">
        <f>IF('[3]Motor Rutas SKU_Cons'!B658="","",'[3]Motor Rutas SKU_Cons'!B658)</f>
        <v>Planta Guadalupe</v>
      </c>
      <c r="D654">
        <f>'[3]Motor Rutas SKU_Cons'!A658</f>
        <v>701314</v>
      </c>
      <c r="E654" s="997" t="str">
        <f>IF('[3]Motor Rutas SKU_Cons'!N658="","s/d","Agua "&amp;TEXT('[3]Motor Rutas SKU_Cons'!N658,"0%")&amp;" · Colas "&amp;TEXT('[3]Motor Rutas SKU_Cons'!O658,"0%")&amp;" · Resto "&amp;TEXT('[3]Motor Rutas SKU_Cons'!P658,"0%"))</f>
        <v>Agua 80% · Colas 12% · Resto 8%</v>
      </c>
      <c r="F654" s="16">
        <f>'[3]Motor Rutas SKU_Cons'!CH658</f>
        <v>0.81734365895643313</v>
      </c>
      <c r="G654" s="16">
        <f>'[3]Motor Rutas SKU_Cons'!CG658</f>
        <v>0.188545953533057</v>
      </c>
      <c r="H654" s="998">
        <f>'[3]Motor Rutas SKU_Cons'!BX658</f>
        <v>10.93940379797953</v>
      </c>
      <c r="I654" s="998">
        <f>'[3]Motor Rutas SKU_Cons'!BW658</f>
        <v>64.947479797978758</v>
      </c>
    </row>
    <row r="655" spans="1:9">
      <c r="A655" t="str">
        <f>IF('[3]Motor Rutas SKU_Cons'!C659="","",'[3]Motor Rutas SKU_Cons'!C659)</f>
        <v>Noreste</v>
      </c>
      <c r="B655" t="str">
        <f>IF('[3]Motor Rutas SKU_Cons'!D659="","",'[3]Motor Rutas SKU_Cons'!D659)</f>
        <v>Laredo</v>
      </c>
      <c r="C655" t="str">
        <f>IF('[3]Motor Rutas SKU_Cons'!B659="","",'[3]Motor Rutas SKU_Cons'!B659)</f>
        <v>Suc. Nuevo Laredo</v>
      </c>
      <c r="D655">
        <f>'[3]Motor Rutas SKU_Cons'!A659</f>
        <v>105300</v>
      </c>
      <c r="E655" s="997" t="str">
        <f>IF('[3]Motor Rutas SKU_Cons'!N659="","s/d","Agua "&amp;TEXT('[3]Motor Rutas SKU_Cons'!N659,"0%")&amp;" · Colas "&amp;TEXT('[3]Motor Rutas SKU_Cons'!O659,"0%")&amp;" · Resto "&amp;TEXT('[3]Motor Rutas SKU_Cons'!P659,"0%"))</f>
        <v>Agua 80% · Colas 12% · Resto 8%</v>
      </c>
      <c r="F655" s="16">
        <f>'[3]Motor Rutas SKU_Cons'!CH659</f>
        <v>2.2574342725138092</v>
      </c>
      <c r="G655" s="16">
        <f>'[3]Motor Rutas SKU_Cons'!CG659</f>
        <v>0.18541097386363628</v>
      </c>
      <c r="H655" s="998">
        <f>'[3]Motor Rutas SKU_Cons'!BX659</f>
        <v>0</v>
      </c>
      <c r="I655" s="998">
        <f>'[3]Motor Rutas SKU_Cons'!BW659</f>
        <v>0</v>
      </c>
    </row>
    <row r="656" spans="1:9">
      <c r="A656" t="str">
        <f>IF('[3]Motor Rutas SKU_Cons'!C660="","",'[3]Motor Rutas SKU_Cons'!C660)</f>
        <v>Noreste</v>
      </c>
      <c r="B656" t="str">
        <f>IF('[3]Motor Rutas SKU_Cons'!D660="","",'[3]Motor Rutas SKU_Cons'!D660)</f>
        <v>Monterrey</v>
      </c>
      <c r="C656" t="str">
        <f>IF('[3]Motor Rutas SKU_Cons'!B660="","",'[3]Motor Rutas SKU_Cons'!B660)</f>
        <v>Sucursal Santa Catarina</v>
      </c>
      <c r="D656">
        <f>'[3]Motor Rutas SKU_Cons'!A660</f>
        <v>712307</v>
      </c>
      <c r="E656" s="997" t="str">
        <f>IF('[3]Motor Rutas SKU_Cons'!N660="","s/d","Agua "&amp;TEXT('[3]Motor Rutas SKU_Cons'!N660,"0%")&amp;" · Colas "&amp;TEXT('[3]Motor Rutas SKU_Cons'!O660,"0%")&amp;" · Resto "&amp;TEXT('[3]Motor Rutas SKU_Cons'!P660,"0%"))</f>
        <v>Agua 80% · Colas 12% · Resto 8%</v>
      </c>
      <c r="F656" s="16">
        <f>'[3]Motor Rutas SKU_Cons'!CH660</f>
        <v>1.0291087818110776</v>
      </c>
      <c r="G656" s="16">
        <f>'[3]Motor Rutas SKU_Cons'!CG660</f>
        <v>0.18380198069055897</v>
      </c>
      <c r="H656" s="998">
        <f>'[3]Motor Rutas SKU_Cons'!BX660</f>
        <v>0</v>
      </c>
      <c r="I656" s="998">
        <f>'[3]Motor Rutas SKU_Cons'!BW660</f>
        <v>139.7186461111109</v>
      </c>
    </row>
    <row r="657" spans="1:9">
      <c r="A657" t="str">
        <f>IF('[3]Motor Rutas SKU_Cons'!C661="","",'[3]Motor Rutas SKU_Cons'!C661)</f>
        <v>Noreste</v>
      </c>
      <c r="B657" t="str">
        <f>IF('[3]Motor Rutas SKU_Cons'!D661="","",'[3]Motor Rutas SKU_Cons'!D661)</f>
        <v>Monterrey</v>
      </c>
      <c r="C657" t="str">
        <f>IF('[3]Motor Rutas SKU_Cons'!B661="","",'[3]Motor Rutas SKU_Cons'!B661)</f>
        <v>Sucursal Lincoln</v>
      </c>
      <c r="D657">
        <f>'[3]Motor Rutas SKU_Cons'!A661</f>
        <v>705315</v>
      </c>
      <c r="E657" s="997" t="str">
        <f>IF('[3]Motor Rutas SKU_Cons'!N661="","s/d","Agua "&amp;TEXT('[3]Motor Rutas SKU_Cons'!N661,"0%")&amp;" · Colas "&amp;TEXT('[3]Motor Rutas SKU_Cons'!O661,"0%")&amp;" · Resto "&amp;TEXT('[3]Motor Rutas SKU_Cons'!P661,"0%"))</f>
        <v>Agua 80% · Colas 12% · Resto 8%</v>
      </c>
      <c r="F657" s="16">
        <f>'[3]Motor Rutas SKU_Cons'!CH661</f>
        <v>0.58711652811439263</v>
      </c>
      <c r="G657" s="16">
        <f>'[3]Motor Rutas SKU_Cons'!CG661</f>
        <v>0.18222287809090906</v>
      </c>
      <c r="H657" s="998">
        <f>'[3]Motor Rutas SKU_Cons'!BX661</f>
        <v>12.682742515151503</v>
      </c>
      <c r="I657" s="998">
        <f>'[3]Motor Rutas SKU_Cons'!BW661</f>
        <v>127.18926303030312</v>
      </c>
    </row>
    <row r="658" spans="1:9">
      <c r="A658" t="str">
        <f>IF('[3]Motor Rutas SKU_Cons'!C662="","",'[3]Motor Rutas SKU_Cons'!C662)</f>
        <v>Noreste</v>
      </c>
      <c r="B658" t="str">
        <f>IF('[3]Motor Rutas SKU_Cons'!D662="","",'[3]Motor Rutas SKU_Cons'!D662)</f>
        <v>Monterrey</v>
      </c>
      <c r="C658" t="str">
        <f>IF('[3]Motor Rutas SKU_Cons'!B662="","",'[3]Motor Rutas SKU_Cons'!B662)</f>
        <v>Sucursal Lincoln</v>
      </c>
      <c r="D658">
        <f>'[3]Motor Rutas SKU_Cons'!A662</f>
        <v>705307</v>
      </c>
      <c r="E658" s="997" t="str">
        <f>IF('[3]Motor Rutas SKU_Cons'!N662="","s/d","Agua "&amp;TEXT('[3]Motor Rutas SKU_Cons'!N662,"0%")&amp;" · Colas "&amp;TEXT('[3]Motor Rutas SKU_Cons'!O662,"0%")&amp;" · Resto "&amp;TEXT('[3]Motor Rutas SKU_Cons'!P662,"0%"))</f>
        <v>Agua 80% · Colas 12% · Resto 8%</v>
      </c>
      <c r="F658" s="16">
        <f>'[3]Motor Rutas SKU_Cons'!CH662</f>
        <v>0.90728358739892845</v>
      </c>
      <c r="G658" s="16">
        <f>'[3]Motor Rutas SKU_Cons'!CG662</f>
        <v>0.17659047146853107</v>
      </c>
      <c r="H658" s="998">
        <f>'[3]Motor Rutas SKU_Cons'!BX662</f>
        <v>6.8249310761794675</v>
      </c>
      <c r="I658" s="998">
        <f>'[3]Motor Rutas SKU_Cons'!BW662</f>
        <v>85.765907676767625</v>
      </c>
    </row>
    <row r="659" spans="1:9">
      <c r="A659" t="str">
        <f>IF('[3]Motor Rutas SKU_Cons'!C663="","",'[3]Motor Rutas SKU_Cons'!C663)</f>
        <v>Noreste</v>
      </c>
      <c r="B659" t="str">
        <f>IF('[3]Motor Rutas SKU_Cons'!D663="","",'[3]Motor Rutas SKU_Cons'!D663)</f>
        <v>Monterrey</v>
      </c>
      <c r="C659" t="str">
        <f>IF('[3]Motor Rutas SKU_Cons'!B663="","",'[3]Motor Rutas SKU_Cons'!B663)</f>
        <v>Planta Guadalupe</v>
      </c>
      <c r="D659">
        <f>'[3]Motor Rutas SKU_Cons'!A663</f>
        <v>701311</v>
      </c>
      <c r="E659" s="997" t="str">
        <f>IF('[3]Motor Rutas SKU_Cons'!N663="","s/d","Agua "&amp;TEXT('[3]Motor Rutas SKU_Cons'!N663,"0%")&amp;" · Colas "&amp;TEXT('[3]Motor Rutas SKU_Cons'!O663,"0%")&amp;" · Resto "&amp;TEXT('[3]Motor Rutas SKU_Cons'!P663,"0%"))</f>
        <v>Agua 80% · Colas 12% · Resto 8%</v>
      </c>
      <c r="F659" s="16">
        <f>'[3]Motor Rutas SKU_Cons'!CH663</f>
        <v>1.316505011956113</v>
      </c>
      <c r="G659" s="16">
        <f>'[3]Motor Rutas SKU_Cons'!CG663</f>
        <v>0.17535782119834703</v>
      </c>
      <c r="H659" s="998">
        <f>'[3]Motor Rutas SKU_Cons'!BX663</f>
        <v>0</v>
      </c>
      <c r="I659" s="998">
        <f>'[3]Motor Rutas SKU_Cons'!BW663</f>
        <v>183.51583400000089</v>
      </c>
    </row>
    <row r="660" spans="1:9">
      <c r="A660" t="str">
        <f>IF('[3]Motor Rutas SKU_Cons'!C664="","",'[3]Motor Rutas SKU_Cons'!C664)</f>
        <v>Noreste</v>
      </c>
      <c r="B660" t="str">
        <f>IF('[3]Motor Rutas SKU_Cons'!D664="","",'[3]Motor Rutas SKU_Cons'!D664)</f>
        <v>Monterrey</v>
      </c>
      <c r="C660" t="str">
        <f>IF('[3]Motor Rutas SKU_Cons'!B664="","",'[3]Motor Rutas SKU_Cons'!B664)</f>
        <v>Planta Guadalupe</v>
      </c>
      <c r="D660">
        <f>'[3]Motor Rutas SKU_Cons'!A664</f>
        <v>701301</v>
      </c>
      <c r="E660" s="997" t="str">
        <f>IF('[3]Motor Rutas SKU_Cons'!N664="","s/d","Agua "&amp;TEXT('[3]Motor Rutas SKU_Cons'!N664,"0%")&amp;" · Colas "&amp;TEXT('[3]Motor Rutas SKU_Cons'!O664,"0%")&amp;" · Resto "&amp;TEXT('[3]Motor Rutas SKU_Cons'!P664,"0%"))</f>
        <v>Agua 80% · Colas 12% · Resto 8%</v>
      </c>
      <c r="F660" s="16">
        <f>'[3]Motor Rutas SKU_Cons'!CH664</f>
        <v>1.0722687484921194</v>
      </c>
      <c r="G660" s="16">
        <f>'[3]Motor Rutas SKU_Cons'!CG664</f>
        <v>0.17299018292355342</v>
      </c>
      <c r="H660" s="998">
        <f>'[3]Motor Rutas SKU_Cons'!BX664</f>
        <v>0</v>
      </c>
      <c r="I660" s="998">
        <f>'[3]Motor Rutas SKU_Cons'!BW664</f>
        <v>114.35808942424228</v>
      </c>
    </row>
    <row r="661" spans="1:9">
      <c r="A661" t="str">
        <f>IF('[3]Motor Rutas SKU_Cons'!C665="","",'[3]Motor Rutas SKU_Cons'!C665)</f>
        <v>Noreste</v>
      </c>
      <c r="B661" t="str">
        <f>IF('[3]Motor Rutas SKU_Cons'!D665="","",'[3]Motor Rutas SKU_Cons'!D665)</f>
        <v>Matamoros</v>
      </c>
      <c r="C661" t="str">
        <f>IF('[3]Motor Rutas SKU_Cons'!B665="","",'[3]Motor Rutas SKU_Cons'!B665)</f>
        <v>Planta Matamoros</v>
      </c>
      <c r="D661">
        <f>'[3]Motor Rutas SKU_Cons'!A665</f>
        <v>101341</v>
      </c>
      <c r="E661" s="997" t="str">
        <f>IF('[3]Motor Rutas SKU_Cons'!N665="","s/d","Agua "&amp;TEXT('[3]Motor Rutas SKU_Cons'!N665,"0%")&amp;" · Colas "&amp;TEXT('[3]Motor Rutas SKU_Cons'!O665,"0%")&amp;" · Resto "&amp;TEXT('[3]Motor Rutas SKU_Cons'!P665,"0%"))</f>
        <v>Agua 80% · Colas 12% · Resto 8%</v>
      </c>
      <c r="F661" s="16">
        <f>'[3]Motor Rutas SKU_Cons'!CH665</f>
        <v>1.4423908220987778</v>
      </c>
      <c r="G661" s="16">
        <f>'[3]Motor Rutas SKU_Cons'!CG665</f>
        <v>0.16615964659090893</v>
      </c>
      <c r="H661" s="998">
        <f>'[3]Motor Rutas SKU_Cons'!BX665</f>
        <v>0</v>
      </c>
      <c r="I661" s="998">
        <f>'[3]Motor Rutas SKU_Cons'!BW665</f>
        <v>241.29684787878813</v>
      </c>
    </row>
    <row r="662" spans="1:9">
      <c r="A662" t="str">
        <f>IF('[3]Motor Rutas SKU_Cons'!C666="","",'[3]Motor Rutas SKU_Cons'!C666)</f>
        <v>Noreste</v>
      </c>
      <c r="B662" t="str">
        <f>IF('[3]Motor Rutas SKU_Cons'!D666="","",'[3]Motor Rutas SKU_Cons'!D666)</f>
        <v>Monterrey</v>
      </c>
      <c r="C662" t="str">
        <f>IF('[3]Motor Rutas SKU_Cons'!B666="","",'[3]Motor Rutas SKU_Cons'!B666)</f>
        <v>Sucursal Lincoln</v>
      </c>
      <c r="D662">
        <f>'[3]Motor Rutas SKU_Cons'!A666</f>
        <v>705317</v>
      </c>
      <c r="E662" s="997" t="str">
        <f>IF('[3]Motor Rutas SKU_Cons'!N666="","s/d","Agua "&amp;TEXT('[3]Motor Rutas SKU_Cons'!N666,"0%")&amp;" · Colas "&amp;TEXT('[3]Motor Rutas SKU_Cons'!O666,"0%")&amp;" · Resto "&amp;TEXT('[3]Motor Rutas SKU_Cons'!P666,"0%"))</f>
        <v>Agua 80% · Colas 12% · Resto 8%</v>
      </c>
      <c r="F662" s="16">
        <f>'[3]Motor Rutas SKU_Cons'!CH666</f>
        <v>0.45796743665626377</v>
      </c>
      <c r="G662" s="16">
        <f>'[3]Motor Rutas SKU_Cons'!CG666</f>
        <v>0.1655507270454544</v>
      </c>
      <c r="H662" s="998">
        <f>'[3]Motor Rutas SKU_Cons'!BX666</f>
        <v>12.491038328282869</v>
      </c>
      <c r="I662" s="998">
        <f>'[3]Motor Rutas SKU_Cons'!BW666</f>
        <v>97.216608585859092</v>
      </c>
    </row>
    <row r="663" spans="1:9">
      <c r="A663" t="str">
        <f>IF('[3]Motor Rutas SKU_Cons'!C667="","",'[3]Motor Rutas SKU_Cons'!C667)</f>
        <v>Noreste</v>
      </c>
      <c r="B663" t="str">
        <f>IF('[3]Motor Rutas SKU_Cons'!D667="","",'[3]Motor Rutas SKU_Cons'!D667)</f>
        <v>Monterrey</v>
      </c>
      <c r="C663" t="str">
        <f>IF('[3]Motor Rutas SKU_Cons'!B667="","",'[3]Motor Rutas SKU_Cons'!B667)</f>
        <v>Planta Guadalupe</v>
      </c>
      <c r="D663">
        <f>'[3]Motor Rutas SKU_Cons'!A667</f>
        <v>701315</v>
      </c>
      <c r="E663" s="997" t="str">
        <f>IF('[3]Motor Rutas SKU_Cons'!N667="","s/d","Agua "&amp;TEXT('[3]Motor Rutas SKU_Cons'!N667,"0%")&amp;" · Colas "&amp;TEXT('[3]Motor Rutas SKU_Cons'!O667,"0%")&amp;" · Resto "&amp;TEXT('[3]Motor Rutas SKU_Cons'!P667,"0%"))</f>
        <v>Agua 80% · Colas 12% · Resto 8%</v>
      </c>
      <c r="F663" s="16">
        <f>'[3]Motor Rutas SKU_Cons'!CH667</f>
        <v>1.0684584775282693</v>
      </c>
      <c r="G663" s="16">
        <f>'[3]Motor Rutas SKU_Cons'!CG667</f>
        <v>0.16526613886363589</v>
      </c>
      <c r="H663" s="998">
        <f>'[3]Motor Rutas SKU_Cons'!BX667</f>
        <v>0</v>
      </c>
      <c r="I663" s="998">
        <f>'[3]Motor Rutas SKU_Cons'!BW667</f>
        <v>122.22713151515168</v>
      </c>
    </row>
    <row r="664" spans="1:9">
      <c r="A664" t="str">
        <f>IF('[3]Motor Rutas SKU_Cons'!C668="","",'[3]Motor Rutas SKU_Cons'!C668)</f>
        <v>Noreste</v>
      </c>
      <c r="B664" t="str">
        <f>IF('[3]Motor Rutas SKU_Cons'!D668="","",'[3]Motor Rutas SKU_Cons'!D668)</f>
        <v>Matamoros</v>
      </c>
      <c r="C664" t="str">
        <f>IF('[3]Motor Rutas SKU_Cons'!B668="","",'[3]Motor Rutas SKU_Cons'!B668)</f>
        <v>Planta Matamoros</v>
      </c>
      <c r="D664">
        <f>'[3]Motor Rutas SKU_Cons'!A668</f>
        <v>101340</v>
      </c>
      <c r="E664" s="997" t="str">
        <f>IF('[3]Motor Rutas SKU_Cons'!N668="","s/d","Agua "&amp;TEXT('[3]Motor Rutas SKU_Cons'!N668,"0%")&amp;" · Colas "&amp;TEXT('[3]Motor Rutas SKU_Cons'!O668,"0%")&amp;" · Resto "&amp;TEXT('[3]Motor Rutas SKU_Cons'!P668,"0%"))</f>
        <v>Agua 80% · Colas 12% · Resto 8%</v>
      </c>
      <c r="F664" s="16">
        <f>'[3]Motor Rutas SKU_Cons'!CH668</f>
        <v>0.33959223467758953</v>
      </c>
      <c r="G664" s="16">
        <f>'[3]Motor Rutas SKU_Cons'!CG668</f>
        <v>0.16512931789772714</v>
      </c>
      <c r="H664" s="998">
        <f>'[3]Motor Rutas SKU_Cons'!BX668</f>
        <v>5.1022495329380604</v>
      </c>
      <c r="I664" s="998">
        <f>'[3]Motor Rutas SKU_Cons'!BW668</f>
        <v>0</v>
      </c>
    </row>
    <row r="665" spans="1:9">
      <c r="A665" t="str">
        <f>IF('[3]Motor Rutas SKU_Cons'!C669="","",'[3]Motor Rutas SKU_Cons'!C669)</f>
        <v>Noreste</v>
      </c>
      <c r="B665" t="str">
        <f>IF('[3]Motor Rutas SKU_Cons'!D669="","",'[3]Motor Rutas SKU_Cons'!D669)</f>
        <v>Monterrey</v>
      </c>
      <c r="C665" t="str">
        <f>IF('[3]Motor Rutas SKU_Cons'!B669="","",'[3]Motor Rutas SKU_Cons'!B669)</f>
        <v>Sucursal Lincoln</v>
      </c>
      <c r="D665">
        <f>'[3]Motor Rutas SKU_Cons'!A669</f>
        <v>705310</v>
      </c>
      <c r="E665" s="997" t="str">
        <f>IF('[3]Motor Rutas SKU_Cons'!N669="","s/d","Agua "&amp;TEXT('[3]Motor Rutas SKU_Cons'!N669,"0%")&amp;" · Colas "&amp;TEXT('[3]Motor Rutas SKU_Cons'!O669,"0%")&amp;" · Resto "&amp;TEXT('[3]Motor Rutas SKU_Cons'!P669,"0%"))</f>
        <v>Agua 80% · Colas 12% · Resto 8%</v>
      </c>
      <c r="F665" s="16">
        <f>'[3]Motor Rutas SKU_Cons'!CH669</f>
        <v>0.54790600228031383</v>
      </c>
      <c r="G665" s="16">
        <f>'[3]Motor Rutas SKU_Cons'!CG669</f>
        <v>0.15556666499181793</v>
      </c>
      <c r="H665" s="998">
        <f>'[3]Motor Rutas SKU_Cons'!BX669</f>
        <v>11.243232752525266</v>
      </c>
      <c r="I665" s="998">
        <f>'[3]Motor Rutas SKU_Cons'!BW669</f>
        <v>123.98976473737406</v>
      </c>
    </row>
    <row r="666" spans="1:9">
      <c r="A666" t="str">
        <f>IF('[3]Motor Rutas SKU_Cons'!C670="","",'[3]Motor Rutas SKU_Cons'!C670)</f>
        <v>Noreste</v>
      </c>
      <c r="B666" t="str">
        <f>IF('[3]Motor Rutas SKU_Cons'!D670="","",'[3]Motor Rutas SKU_Cons'!D670)</f>
        <v>Monterrey</v>
      </c>
      <c r="C666" t="str">
        <f>IF('[3]Motor Rutas SKU_Cons'!B670="","",'[3]Motor Rutas SKU_Cons'!B670)</f>
        <v>Sucursal Juventud</v>
      </c>
      <c r="D666">
        <f>'[3]Motor Rutas SKU_Cons'!A670</f>
        <v>704309</v>
      </c>
      <c r="E666" s="997" t="str">
        <f>IF('[3]Motor Rutas SKU_Cons'!N670="","s/d","Agua "&amp;TEXT('[3]Motor Rutas SKU_Cons'!N670,"0%")&amp;" · Colas "&amp;TEXT('[3]Motor Rutas SKU_Cons'!O670,"0%")&amp;" · Resto "&amp;TEXT('[3]Motor Rutas SKU_Cons'!P670,"0%"))</f>
        <v>Agua 80% · Colas 12% · Resto 8%</v>
      </c>
      <c r="F666" s="16">
        <f>'[3]Motor Rutas SKU_Cons'!CH670</f>
        <v>0.93874307438970239</v>
      </c>
      <c r="G666" s="16">
        <f>'[3]Motor Rutas SKU_Cons'!CG670</f>
        <v>0.15509801776783197</v>
      </c>
      <c r="H666" s="998">
        <f>'[3]Motor Rutas SKU_Cons'!BX670</f>
        <v>4.5091724701188696</v>
      </c>
      <c r="I666" s="998">
        <f>'[3]Motor Rutas SKU_Cons'!BW670</f>
        <v>137.6554716565652</v>
      </c>
    </row>
    <row r="667" spans="1:9">
      <c r="A667" t="str">
        <f>IF('[3]Motor Rutas SKU_Cons'!C671="","",'[3]Motor Rutas SKU_Cons'!C671)</f>
        <v>Noreste</v>
      </c>
      <c r="B667" t="str">
        <f>IF('[3]Motor Rutas SKU_Cons'!D671="","",'[3]Motor Rutas SKU_Cons'!D671)</f>
        <v>Monterrey</v>
      </c>
      <c r="C667" t="str">
        <f>IF('[3]Motor Rutas SKU_Cons'!B671="","",'[3]Motor Rutas SKU_Cons'!B671)</f>
        <v>Sucursal Lincoln</v>
      </c>
      <c r="D667">
        <f>'[3]Motor Rutas SKU_Cons'!A671</f>
        <v>705313</v>
      </c>
      <c r="E667" s="997" t="str">
        <f>IF('[3]Motor Rutas SKU_Cons'!N671="","s/d","Agua "&amp;TEXT('[3]Motor Rutas SKU_Cons'!N671,"0%")&amp;" · Colas "&amp;TEXT('[3]Motor Rutas SKU_Cons'!O671,"0%")&amp;" · Resto "&amp;TEXT('[3]Motor Rutas SKU_Cons'!P671,"0%"))</f>
        <v>Agua 80% · Colas 12% · Resto 8%</v>
      </c>
      <c r="F667" s="16">
        <f>'[3]Motor Rutas SKU_Cons'!CH671</f>
        <v>0.58656797918023162</v>
      </c>
      <c r="G667" s="16">
        <f>'[3]Motor Rutas SKU_Cons'!CG671</f>
        <v>0.15123863045454511</v>
      </c>
      <c r="H667" s="998">
        <f>'[3]Motor Rutas SKU_Cons'!BX671</f>
        <v>14.172777409090926</v>
      </c>
      <c r="I667" s="998">
        <f>'[3]Motor Rutas SKU_Cons'!BW671</f>
        <v>149.38166787878851</v>
      </c>
    </row>
    <row r="668" spans="1:9">
      <c r="A668" t="str">
        <f>IF('[3]Motor Rutas SKU_Cons'!C672="","",'[3]Motor Rutas SKU_Cons'!C672)</f>
        <v>Noreste</v>
      </c>
      <c r="B668" t="str">
        <f>IF('[3]Motor Rutas SKU_Cons'!D672="","",'[3]Motor Rutas SKU_Cons'!D672)</f>
        <v>Laredo</v>
      </c>
      <c r="C668" t="str">
        <f>IF('[3]Motor Rutas SKU_Cons'!B672="","",'[3]Motor Rutas SKU_Cons'!B672)</f>
        <v>Suc. Nuevo Laredo</v>
      </c>
      <c r="D668">
        <f>'[3]Motor Rutas SKU_Cons'!A672</f>
        <v>105302</v>
      </c>
      <c r="E668" s="997" t="str">
        <f>IF('[3]Motor Rutas SKU_Cons'!N672="","s/d","Agua "&amp;TEXT('[3]Motor Rutas SKU_Cons'!N672,"0%")&amp;" · Colas "&amp;TEXT('[3]Motor Rutas SKU_Cons'!O672,"0%")&amp;" · Resto "&amp;TEXT('[3]Motor Rutas SKU_Cons'!P672,"0%"))</f>
        <v>Agua 80% · Colas 12% · Resto 8%</v>
      </c>
      <c r="F668" s="16">
        <f>'[3]Motor Rutas SKU_Cons'!CH672</f>
        <v>0.5536540901250272</v>
      </c>
      <c r="G668" s="16">
        <f>'[3]Motor Rutas SKU_Cons'!CG672</f>
        <v>0.15031165266818183</v>
      </c>
      <c r="H668" s="998">
        <f>'[3]Motor Rutas SKU_Cons'!BX672</f>
        <v>0</v>
      </c>
      <c r="I668" s="998">
        <f>'[3]Motor Rutas SKU_Cons'!BW672</f>
        <v>0</v>
      </c>
    </row>
    <row r="669" spans="1:9">
      <c r="A669" t="str">
        <f>IF('[3]Motor Rutas SKU_Cons'!C673="","",'[3]Motor Rutas SKU_Cons'!C673)</f>
        <v>Noreste</v>
      </c>
      <c r="B669" t="str">
        <f>IF('[3]Motor Rutas SKU_Cons'!D673="","",'[3]Motor Rutas SKU_Cons'!D673)</f>
        <v>Monterrey</v>
      </c>
      <c r="C669" t="str">
        <f>IF('[3]Motor Rutas SKU_Cons'!B673="","",'[3]Motor Rutas SKU_Cons'!B673)</f>
        <v>Sucursal Juventud</v>
      </c>
      <c r="D669">
        <f>'[3]Motor Rutas SKU_Cons'!A673</f>
        <v>704300</v>
      </c>
      <c r="E669" s="997" t="str">
        <f>IF('[3]Motor Rutas SKU_Cons'!N673="","s/d","Agua "&amp;TEXT('[3]Motor Rutas SKU_Cons'!N673,"0%")&amp;" · Colas "&amp;TEXT('[3]Motor Rutas SKU_Cons'!O673,"0%")&amp;" · Resto "&amp;TEXT('[3]Motor Rutas SKU_Cons'!P673,"0%"))</f>
        <v>Agua 80% · Colas 12% · Resto 8%</v>
      </c>
      <c r="F669" s="16">
        <f>'[3]Motor Rutas SKU_Cons'!CH673</f>
        <v>1.2391628606912957</v>
      </c>
      <c r="G669" s="16">
        <f>'[3]Motor Rutas SKU_Cons'!CG673</f>
        <v>0.14095614713286692</v>
      </c>
      <c r="H669" s="998">
        <f>'[3]Motor Rutas SKU_Cons'!BX673</f>
        <v>0</v>
      </c>
      <c r="I669" s="998">
        <f>'[3]Motor Rutas SKU_Cons'!BW673</f>
        <v>273.77324979798107</v>
      </c>
    </row>
    <row r="670" spans="1:9">
      <c r="A670" t="str">
        <f>IF('[3]Motor Rutas SKU_Cons'!C674="","",'[3]Motor Rutas SKU_Cons'!C674)</f>
        <v>Noreste</v>
      </c>
      <c r="B670" t="str">
        <f>IF('[3]Motor Rutas SKU_Cons'!D674="","",'[3]Motor Rutas SKU_Cons'!D674)</f>
        <v>Monterrey</v>
      </c>
      <c r="C670" t="str">
        <f>IF('[3]Motor Rutas SKU_Cons'!B674="","",'[3]Motor Rutas SKU_Cons'!B674)</f>
        <v>Sucursal Santa Catarina</v>
      </c>
      <c r="D670">
        <f>'[3]Motor Rutas SKU_Cons'!A674</f>
        <v>712304</v>
      </c>
      <c r="E670" s="997" t="str">
        <f>IF('[3]Motor Rutas SKU_Cons'!N674="","s/d","Agua "&amp;TEXT('[3]Motor Rutas SKU_Cons'!N674,"0%")&amp;" · Colas "&amp;TEXT('[3]Motor Rutas SKU_Cons'!O674,"0%")&amp;" · Resto "&amp;TEXT('[3]Motor Rutas SKU_Cons'!P674,"0%"))</f>
        <v>Agua 80% · Colas 12% · Resto 8%</v>
      </c>
      <c r="F670" s="16">
        <f>'[3]Motor Rutas SKU_Cons'!CH674</f>
        <v>0.86502802499163134</v>
      </c>
      <c r="G670" s="16">
        <f>'[3]Motor Rutas SKU_Cons'!CG674</f>
        <v>0.13084080385090899</v>
      </c>
      <c r="H670" s="998">
        <f>'[3]Motor Rutas SKU_Cons'!BX674</f>
        <v>0</v>
      </c>
      <c r="I670" s="998">
        <f>'[3]Motor Rutas SKU_Cons'!BW674</f>
        <v>185.4737473333326</v>
      </c>
    </row>
    <row r="671" spans="1:9">
      <c r="A671" t="str">
        <f>IF('[3]Motor Rutas SKU_Cons'!C675="","",'[3]Motor Rutas SKU_Cons'!C675)</f>
        <v>Noreste</v>
      </c>
      <c r="B671" t="str">
        <f>IF('[3]Motor Rutas SKU_Cons'!D675="","",'[3]Motor Rutas SKU_Cons'!D675)</f>
        <v>Monterrey</v>
      </c>
      <c r="C671" t="str">
        <f>IF('[3]Motor Rutas SKU_Cons'!B675="","",'[3]Motor Rutas SKU_Cons'!B675)</f>
        <v>Planta Guadalupe</v>
      </c>
      <c r="D671">
        <f>'[3]Motor Rutas SKU_Cons'!A675</f>
        <v>701317</v>
      </c>
      <c r="E671" s="997" t="str">
        <f>IF('[3]Motor Rutas SKU_Cons'!N675="","s/d","Agua "&amp;TEXT('[3]Motor Rutas SKU_Cons'!N675,"0%")&amp;" · Colas "&amp;TEXT('[3]Motor Rutas SKU_Cons'!O675,"0%")&amp;" · Resto "&amp;TEXT('[3]Motor Rutas SKU_Cons'!P675,"0%"))</f>
        <v>Agua 80% · Colas 12% · Resto 8%</v>
      </c>
      <c r="F671" s="16">
        <f>'[3]Motor Rutas SKU_Cons'!CH675</f>
        <v>0.8174297213218471</v>
      </c>
      <c r="G671" s="16">
        <f>'[3]Motor Rutas SKU_Cons'!CG675</f>
        <v>0.11812772175619821</v>
      </c>
      <c r="H671" s="998">
        <f>'[3]Motor Rutas SKU_Cons'!BX675</f>
        <v>13.439147757997603</v>
      </c>
      <c r="I671" s="998">
        <f>'[3]Motor Rutas SKU_Cons'!BW675</f>
        <v>159.80601595959624</v>
      </c>
    </row>
    <row r="672" spans="1:9">
      <c r="A672" t="str">
        <f>IF('[3]Motor Rutas SKU_Cons'!C676="","",'[3]Motor Rutas SKU_Cons'!C676)</f>
        <v>Noreste</v>
      </c>
      <c r="B672" t="str">
        <f>IF('[3]Motor Rutas SKU_Cons'!D676="","",'[3]Motor Rutas SKU_Cons'!D676)</f>
        <v>Saltillo</v>
      </c>
      <c r="C672" t="str">
        <f>IF('[3]Motor Rutas SKU_Cons'!B676="","",'[3]Motor Rutas SKU_Cons'!B676)</f>
        <v>Planta Agua y Hielo</v>
      </c>
      <c r="D672">
        <f>'[3]Motor Rutas SKU_Cons'!A676</f>
        <v>203307</v>
      </c>
      <c r="E672" s="997" t="str">
        <f>IF('[3]Motor Rutas SKU_Cons'!N676="","s/d","Agua "&amp;TEXT('[3]Motor Rutas SKU_Cons'!N676,"0%")&amp;" · Colas "&amp;TEXT('[3]Motor Rutas SKU_Cons'!O676,"0%")&amp;" · Resto "&amp;TEXT('[3]Motor Rutas SKU_Cons'!P676,"0%"))</f>
        <v>Agua 80% · Colas 12% · Resto 8%</v>
      </c>
      <c r="F672" s="16">
        <f>'[3]Motor Rutas SKU_Cons'!CH676</f>
        <v>9.9653466237127369E-2</v>
      </c>
      <c r="G672" s="16">
        <f>'[3]Motor Rutas SKU_Cons'!CG676</f>
        <v>8.3036577272727161E-2</v>
      </c>
      <c r="H672" s="998">
        <f>'[3]Motor Rutas SKU_Cons'!BX676</f>
        <v>6.4332565303030256</v>
      </c>
      <c r="I672" s="998">
        <f>'[3]Motor Rutas SKU_Cons'!BW676</f>
        <v>0</v>
      </c>
    </row>
    <row r="673" spans="1:9">
      <c r="A673" t="str">
        <f>IF('[3]Motor Rutas SKU_Cons'!C677="","",'[3]Motor Rutas SKU_Cons'!C677)</f>
        <v>Noreste</v>
      </c>
      <c r="B673" t="str">
        <f>IF('[3]Motor Rutas SKU_Cons'!D677="","",'[3]Motor Rutas SKU_Cons'!D677)</f>
        <v>Laredo</v>
      </c>
      <c r="C673" t="str">
        <f>IF('[3]Motor Rutas SKU_Cons'!B677="","",'[3]Motor Rutas SKU_Cons'!B677)</f>
        <v>Suc. Nuevo Laredo</v>
      </c>
      <c r="D673">
        <f>'[3]Motor Rutas SKU_Cons'!A677</f>
        <v>105301</v>
      </c>
      <c r="E673" s="997" t="str">
        <f>IF('[3]Motor Rutas SKU_Cons'!N677="","s/d","Agua "&amp;TEXT('[3]Motor Rutas SKU_Cons'!N677,"0%")&amp;" · Colas "&amp;TEXT('[3]Motor Rutas SKU_Cons'!O677,"0%")&amp;" · Resto "&amp;TEXT('[3]Motor Rutas SKU_Cons'!P677,"0%"))</f>
        <v>Agua 80% · Colas 12% · Resto 8%</v>
      </c>
      <c r="F673" s="16">
        <f>'[3]Motor Rutas SKU_Cons'!CH677</f>
        <v>0.18994249783118547</v>
      </c>
      <c r="G673" s="16">
        <f>'[3]Motor Rutas SKU_Cons'!CG677</f>
        <v>6.6069016363636338E-2</v>
      </c>
      <c r="H673" s="998">
        <f>'[3]Motor Rutas SKU_Cons'!BX677</f>
        <v>0</v>
      </c>
      <c r="I673" s="998">
        <f>'[3]Motor Rutas SKU_Cons'!BW677</f>
        <v>0</v>
      </c>
    </row>
    <row r="674" spans="1:9">
      <c r="A674" t="str">
        <f>IF('[3]Motor Rutas SKU_Cons'!C678="","",'[3]Motor Rutas SKU_Cons'!C678)</f>
        <v>Occidente</v>
      </c>
      <c r="B674" t="str">
        <f>IF('[3]Motor Rutas SKU_Cons'!D678="","",'[3]Motor Rutas SKU_Cons'!D678)</f>
        <v>Los Altos</v>
      </c>
      <c r="C674" t="str">
        <f>IF('[3]Motor Rutas SKU_Cons'!B678="","",'[3]Motor Rutas SKU_Cons'!B678)</f>
        <v>Planta Los Altos</v>
      </c>
      <c r="D674">
        <f>'[3]Motor Rutas SKU_Cons'!A678</f>
        <v>831399</v>
      </c>
      <c r="E674" s="997" t="str">
        <f>IF('[3]Motor Rutas SKU_Cons'!N678="","s/d","Agua "&amp;TEXT('[3]Motor Rutas SKU_Cons'!N678,"0%")&amp;" · Colas "&amp;TEXT('[3]Motor Rutas SKU_Cons'!O678,"0%")&amp;" · Resto "&amp;TEXT('[3]Motor Rutas SKU_Cons'!P678,"0%"))</f>
        <v>Agua 85% · Colas 8% · Resto 7%</v>
      </c>
      <c r="F674" s="16">
        <f>'[3]Motor Rutas SKU_Cons'!CH678</f>
        <v>0.37064169249466733</v>
      </c>
      <c r="G674" s="16">
        <f>'[3]Motor Rutas SKU_Cons'!CG678</f>
        <v>5.3763016363636361E-2</v>
      </c>
      <c r="H674" s="998">
        <f>'[3]Motor Rutas SKU_Cons'!BX678</f>
        <v>0</v>
      </c>
      <c r="I674" s="998">
        <f>'[3]Motor Rutas SKU_Cons'!BW678</f>
        <v>172.00477633838383</v>
      </c>
    </row>
    <row r="675" spans="1:9">
      <c r="A675" t="str">
        <f>IF('[3]Motor Rutas SKU_Cons'!C679="","",'[3]Motor Rutas SKU_Cons'!C679)</f>
        <v>Occidente</v>
      </c>
      <c r="B675" t="str">
        <f>IF('[3]Motor Rutas SKU_Cons'!D679="","",'[3]Motor Rutas SKU_Cons'!D679)</f>
        <v>Favorita</v>
      </c>
      <c r="C675" t="str">
        <f>IF('[3]Motor Rutas SKU_Cons'!B679="","",'[3]Motor Rutas SKU_Cons'!B679)</f>
        <v>Suc. Manzanillo</v>
      </c>
      <c r="D675">
        <f>'[3]Motor Rutas SKU_Cons'!A679</f>
        <v>805399</v>
      </c>
      <c r="E675" s="997" t="str">
        <f>IF('[3]Motor Rutas SKU_Cons'!N679="","s/d","Agua "&amp;TEXT('[3]Motor Rutas SKU_Cons'!N679,"0%")&amp;" · Colas "&amp;TEXT('[3]Motor Rutas SKU_Cons'!O679,"0%")&amp;" · Resto "&amp;TEXT('[3]Motor Rutas SKU_Cons'!P679,"0%"))</f>
        <v>Agua 85% · Colas 8% · Resto 7%</v>
      </c>
      <c r="F675" s="16">
        <f>'[3]Motor Rutas SKU_Cons'!CH679</f>
        <v>0.30887910078471154</v>
      </c>
      <c r="G675" s="16">
        <f>'[3]Motor Rutas SKU_Cons'!CG679</f>
        <v>4.2052915227272732E-2</v>
      </c>
      <c r="H675" s="998">
        <f>'[3]Motor Rutas SKU_Cons'!BX679</f>
        <v>0</v>
      </c>
      <c r="I675" s="998">
        <f>'[3]Motor Rutas SKU_Cons'!BW679</f>
        <v>153.98930932323231</v>
      </c>
    </row>
    <row r="676" spans="1:9">
      <c r="A676" t="str">
        <f>IF('[3]Motor Rutas SKU_Cons'!C680="","",'[3]Motor Rutas SKU_Cons'!C680)</f>
        <v>Noreste</v>
      </c>
      <c r="B676" t="str">
        <f>IF('[3]Motor Rutas SKU_Cons'!D680="","",'[3]Motor Rutas SKU_Cons'!D680)</f>
        <v>Monterrey</v>
      </c>
      <c r="C676" t="str">
        <f>IF('[3]Motor Rutas SKU_Cons'!B680="","",'[3]Motor Rutas SKU_Cons'!B680)</f>
        <v>Suc Montemorelos</v>
      </c>
      <c r="D676">
        <f>'[3]Motor Rutas SKU_Cons'!A680</f>
        <v>706300</v>
      </c>
      <c r="E676" s="997" t="str">
        <f>IF('[3]Motor Rutas SKU_Cons'!N680="","s/d","Agua "&amp;TEXT('[3]Motor Rutas SKU_Cons'!N680,"0%")&amp;" · Colas "&amp;TEXT('[3]Motor Rutas SKU_Cons'!O680,"0%")&amp;" · Resto "&amp;TEXT('[3]Motor Rutas SKU_Cons'!P680,"0%"))</f>
        <v>Agua 80% · Colas 12% · Resto 8%</v>
      </c>
      <c r="F676" s="16">
        <f>'[3]Motor Rutas SKU_Cons'!CH680</f>
        <v>0.48055806801960194</v>
      </c>
      <c r="G676" s="16">
        <f>'[3]Motor Rutas SKU_Cons'!CG680</f>
        <v>2.4914579318181803E-2</v>
      </c>
      <c r="H676" s="998">
        <f>'[3]Motor Rutas SKU_Cons'!BX680</f>
        <v>0</v>
      </c>
      <c r="I676" s="998">
        <f>'[3]Motor Rutas SKU_Cons'!BW680</f>
        <v>0</v>
      </c>
    </row>
    <row r="677" spans="1:9">
      <c r="A677" t="str">
        <f>IF('[3]Motor Rutas SKU_Cons'!C681="","",'[3]Motor Rutas SKU_Cons'!C681)</f>
        <v>Occidente</v>
      </c>
      <c r="B677" t="str">
        <f>IF('[3]Motor Rutas SKU_Cons'!D681="","",'[3]Motor Rutas SKU_Cons'!D681)</f>
        <v>Matehuala</v>
      </c>
      <c r="C677" t="str">
        <f>IF('[3]Motor Rutas SKU_Cons'!B681="","",'[3]Motor Rutas SKU_Cons'!B681)</f>
        <v>Planta Matehuala</v>
      </c>
      <c r="D677">
        <f>'[3]Motor Rutas SKU_Cons'!A681</f>
        <v>925399</v>
      </c>
      <c r="E677" s="997" t="str">
        <f>IF('[3]Motor Rutas SKU_Cons'!N681="","s/d","Agua "&amp;TEXT('[3]Motor Rutas SKU_Cons'!N681,"0%")&amp;" · Colas "&amp;TEXT('[3]Motor Rutas SKU_Cons'!O681,"0%")&amp;" · Resto "&amp;TEXT('[3]Motor Rutas SKU_Cons'!P681,"0%"))</f>
        <v>Agua 85% · Colas 8% · Resto 7%</v>
      </c>
      <c r="F677" s="16">
        <f>'[3]Motor Rutas SKU_Cons'!CH681</f>
        <v>0.18708963090535596</v>
      </c>
      <c r="G677" s="16">
        <f>'[3]Motor Rutas SKU_Cons'!CG681</f>
        <v>1.1414483181146736E-2</v>
      </c>
      <c r="H677" s="998">
        <f>'[3]Motor Rutas SKU_Cons'!BX681</f>
        <v>0</v>
      </c>
      <c r="I677" s="998">
        <f>'[3]Motor Rutas SKU_Cons'!BW681</f>
        <v>94.927540313131331</v>
      </c>
    </row>
    <row r="678" spans="1:9">
      <c r="A678" t="str">
        <f>IF('[3]Motor Rutas SKU_Cons'!C682="","",'[3]Motor Rutas SKU_Cons'!C682)</f>
        <v>Pacifico</v>
      </c>
      <c r="B678" t="str">
        <f>IF('[3]Motor Rutas SKU_Cons'!D682="","",'[3]Motor Rutas SKU_Cons'!D682)</f>
        <v>La Paz</v>
      </c>
      <c r="C678" t="str">
        <f>IF('[3]Motor Rutas SKU_Cons'!B682="","",'[3]Motor Rutas SKU_Cons'!B682)</f>
        <v>Planta La Paz</v>
      </c>
      <c r="D678">
        <f>'[3]Motor Rutas SKU_Cons'!A682</f>
        <v>506309</v>
      </c>
      <c r="E678" s="997" t="str">
        <f>IF('[3]Motor Rutas SKU_Cons'!N682="","s/d","Agua "&amp;TEXT('[3]Motor Rutas SKU_Cons'!N682,"0%")&amp;" · Colas "&amp;TEXT('[3]Motor Rutas SKU_Cons'!O682,"0%")&amp;" · Resto "&amp;TEXT('[3]Motor Rutas SKU_Cons'!P682,"0%"))</f>
        <v>Agua 85% · Colas 8% · Resto 7%</v>
      </c>
      <c r="F678" s="16">
        <f>'[3]Motor Rutas SKU_Cons'!CH682</f>
        <v>7.8429224059587868E-2</v>
      </c>
      <c r="G678" s="16">
        <f>'[3]Motor Rutas SKU_Cons'!CG682</f>
        <v>1.1196416415500005E-2</v>
      </c>
      <c r="H678" s="998">
        <f>'[3]Motor Rutas SKU_Cons'!BX682</f>
        <v>0</v>
      </c>
      <c r="I678" s="998">
        <f>'[3]Motor Rutas SKU_Cons'!BW682</f>
        <v>38.57023138383839</v>
      </c>
    </row>
    <row r="679" spans="1:9">
      <c r="A679" t="str">
        <f>IF('[3]Motor Rutas SKU_Cons'!C683="","",'[3]Motor Rutas SKU_Cons'!C683)</f>
        <v>Occidente</v>
      </c>
      <c r="B679" t="str">
        <f>IF('[3]Motor Rutas SKU_Cons'!D683="","",'[3]Motor Rutas SKU_Cons'!D683)</f>
        <v>Favorita</v>
      </c>
      <c r="C679" t="str">
        <f>IF('[3]Motor Rutas SKU_Cons'!B683="","",'[3]Motor Rutas SKU_Cons'!B683)</f>
        <v>Suc. Tecomán</v>
      </c>
      <c r="D679">
        <f>'[3]Motor Rutas SKU_Cons'!A683</f>
        <v>806399</v>
      </c>
      <c r="E679" s="997" t="str">
        <f>IF('[3]Motor Rutas SKU_Cons'!N683="","s/d","Agua "&amp;TEXT('[3]Motor Rutas SKU_Cons'!N683,"0%")&amp;" · Colas "&amp;TEXT('[3]Motor Rutas SKU_Cons'!O683,"0%")&amp;" · Resto "&amp;TEXT('[3]Motor Rutas SKU_Cons'!P683,"0%"))</f>
        <v>Agua 85% · Colas 8% · Resto 7%</v>
      </c>
      <c r="F679" s="16">
        <f>'[3]Motor Rutas SKU_Cons'!CH683</f>
        <v>0.18053764813928799</v>
      </c>
      <c r="G679" s="16">
        <f>'[3]Motor Rutas SKU_Cons'!CG683</f>
        <v>5.598214363636363E-3</v>
      </c>
      <c r="H679" s="998">
        <f>'[3]Motor Rutas SKU_Cons'!BX683</f>
        <v>0</v>
      </c>
      <c r="I679" s="998">
        <f>'[3]Motor Rutas SKU_Cons'!BW683</f>
        <v>96.460380515151527</v>
      </c>
    </row>
    <row r="680" spans="1:9">
      <c r="A680" t="str">
        <f>IF('[3]Motor Rutas SKU_Cons'!C684="","",'[3]Motor Rutas SKU_Cons'!C684)</f>
        <v>Occidente</v>
      </c>
      <c r="B680" t="str">
        <f>IF('[3]Motor Rutas SKU_Cons'!D684="","",'[3]Motor Rutas SKU_Cons'!D684)</f>
        <v>Zapopan</v>
      </c>
      <c r="C680" t="str">
        <f>IF('[3]Motor Rutas SKU_Cons'!B684="","",'[3]Motor Rutas SKU_Cons'!B684)</f>
        <v>Suc. Huentitán</v>
      </c>
      <c r="D680">
        <f>'[3]Motor Rutas SKU_Cons'!A684</f>
        <v>819425</v>
      </c>
      <c r="E680" s="997" t="str">
        <f>IF('[3]Motor Rutas SKU_Cons'!N684="","s/d","Agua "&amp;TEXT('[3]Motor Rutas SKU_Cons'!N684,"0%")&amp;" · Colas "&amp;TEXT('[3]Motor Rutas SKU_Cons'!O684,"0%")&amp;" · Resto "&amp;TEXT('[3]Motor Rutas SKU_Cons'!P684,"0%"))</f>
        <v>Agua 85% · Colas 8% · Resto 7%</v>
      </c>
      <c r="F680" s="16">
        <f>'[3]Motor Rutas SKU_Cons'!CH684</f>
        <v>5.074291140985729E-3</v>
      </c>
      <c r="G680" s="16">
        <f>'[3]Motor Rutas SKU_Cons'!CG684</f>
        <v>4.3542950592859644E-3</v>
      </c>
      <c r="H680" s="998">
        <f>'[3]Motor Rutas SKU_Cons'!BX684</f>
        <v>0.23745833333333338</v>
      </c>
      <c r="I680" s="998">
        <f>'[3]Motor Rutas SKU_Cons'!BW684</f>
        <v>1.3925446969696935</v>
      </c>
    </row>
    <row r="681" spans="1:9">
      <c r="A681" t="str">
        <f>IF('[3]Motor Rutas SKU_Cons'!C685="","",'[3]Motor Rutas SKU_Cons'!C685)</f>
        <v>Noreste</v>
      </c>
      <c r="B681" t="str">
        <f>IF('[3]Motor Rutas SKU_Cons'!D685="","",'[3]Motor Rutas SKU_Cons'!D685)</f>
        <v>Monterrey</v>
      </c>
      <c r="C681" t="str">
        <f>IF('[3]Motor Rutas SKU_Cons'!B685="","",'[3]Motor Rutas SKU_Cons'!B685)</f>
        <v>Sucursal Lincoln</v>
      </c>
      <c r="D681">
        <f>'[3]Motor Rutas SKU_Cons'!A685</f>
        <v>705302</v>
      </c>
      <c r="E681" s="997" t="str">
        <f>IF('[3]Motor Rutas SKU_Cons'!N685="","s/d","Agua "&amp;TEXT('[3]Motor Rutas SKU_Cons'!N685,"0%")&amp;" · Colas "&amp;TEXT('[3]Motor Rutas SKU_Cons'!O685,"0%")&amp;" · Resto "&amp;TEXT('[3]Motor Rutas SKU_Cons'!P685,"0%"))</f>
        <v>Agua 80% · Colas 12% · Resto 8%</v>
      </c>
      <c r="F681" s="16">
        <f>'[3]Motor Rutas SKU_Cons'!CH685</f>
        <v>1.208970339549718E-2</v>
      </c>
      <c r="G681" s="16">
        <f>'[3]Motor Rutas SKU_Cons'!CG685</f>
        <v>3.6610277550686719E-3</v>
      </c>
      <c r="H681" s="998">
        <f>'[3]Motor Rutas SKU_Cons'!BX685</f>
        <v>0</v>
      </c>
      <c r="I681" s="998">
        <f>'[3]Motor Rutas SKU_Cons'!BW685</f>
        <v>1.4057303636363652</v>
      </c>
    </row>
    <row r="682" spans="1:9">
      <c r="A682" t="str">
        <f>IF('[3]Motor Rutas SKU_Cons'!C686="","",'[3]Motor Rutas SKU_Cons'!C686)</f>
        <v>Occidente</v>
      </c>
      <c r="B682" t="str">
        <f>IF('[3]Motor Rutas SKU_Cons'!D686="","",'[3]Motor Rutas SKU_Cons'!D686)</f>
        <v>Zapopan</v>
      </c>
      <c r="C682" t="str">
        <f>IF('[3]Motor Rutas SKU_Cons'!B686="","",'[3]Motor Rutas SKU_Cons'!B686)</f>
        <v>Suc. Huentitán</v>
      </c>
      <c r="D682">
        <f>'[3]Motor Rutas SKU_Cons'!A686</f>
        <v>819407</v>
      </c>
      <c r="E682" s="997" t="str">
        <f>IF('[3]Motor Rutas SKU_Cons'!N686="","s/d","Agua "&amp;TEXT('[3]Motor Rutas SKU_Cons'!N686,"0%")&amp;" · Colas "&amp;TEXT('[3]Motor Rutas SKU_Cons'!O686,"0%")&amp;" · Resto "&amp;TEXT('[3]Motor Rutas SKU_Cons'!P686,"0%"))</f>
        <v>Agua 85% · Colas 8% · Resto 7%</v>
      </c>
      <c r="F682" s="16">
        <f>'[3]Motor Rutas SKU_Cons'!CH686</f>
        <v>0</v>
      </c>
      <c r="G682" s="16">
        <f>'[3]Motor Rutas SKU_Cons'!CG686</f>
        <v>2.9307755206732455E-3</v>
      </c>
      <c r="H682" s="998">
        <f>'[3]Motor Rutas SKU_Cons'!BX686</f>
        <v>0.32963636363636367</v>
      </c>
      <c r="I682" s="998">
        <f>'[3]Motor Rutas SKU_Cons'!BW686</f>
        <v>0</v>
      </c>
    </row>
    <row r="683" spans="1:9">
      <c r="A683" t="str">
        <f>IF('[3]Motor Rutas SKU_Cons'!C687="","",'[3]Motor Rutas SKU_Cons'!C687)</f>
        <v>Pacifico</v>
      </c>
      <c r="B683" t="str">
        <f>IF('[3]Motor Rutas SKU_Cons'!D687="","",'[3]Motor Rutas SKU_Cons'!D687)</f>
        <v>Mazatlán</v>
      </c>
      <c r="C683" t="str">
        <f>IF('[3]Motor Rutas SKU_Cons'!B687="","",'[3]Motor Rutas SKU_Cons'!B687)</f>
        <v>Sucursal Venadillo</v>
      </c>
      <c r="D683">
        <f>'[3]Motor Rutas SKU_Cons'!A687</f>
        <v>503270</v>
      </c>
      <c r="E683" s="997" t="str">
        <f>IF('[3]Motor Rutas SKU_Cons'!N687="","s/d","Agua "&amp;TEXT('[3]Motor Rutas SKU_Cons'!N687,"0%")&amp;" · Colas "&amp;TEXT('[3]Motor Rutas SKU_Cons'!O687,"0%")&amp;" · Resto "&amp;TEXT('[3]Motor Rutas SKU_Cons'!P687,"0%"))</f>
        <v>Agua 85% · Colas 8% · Resto 7%</v>
      </c>
      <c r="F683" s="16">
        <f>'[3]Motor Rutas SKU_Cons'!CH687</f>
        <v>1.7618148790877321E-3</v>
      </c>
      <c r="G683" s="16">
        <f>'[3]Motor Rutas SKU_Cons'!CG687</f>
        <v>2.8747587272727271E-3</v>
      </c>
      <c r="H683" s="998">
        <f>'[3]Motor Rutas SKU_Cons'!BX687</f>
        <v>9.2486363636363686E-2</v>
      </c>
      <c r="I683" s="998">
        <f>'[3]Motor Rutas SKU_Cons'!BW687</f>
        <v>0</v>
      </c>
    </row>
    <row r="684" spans="1:9">
      <c r="A684" t="str">
        <f>IF('[3]Motor Rutas SKU_Cons'!C688="","",'[3]Motor Rutas SKU_Cons'!C688)</f>
        <v>Occidente</v>
      </c>
      <c r="B684" t="str">
        <f>IF('[3]Motor Rutas SKU_Cons'!D688="","",'[3]Motor Rutas SKU_Cons'!D688)</f>
        <v>San Luis</v>
      </c>
      <c r="C684" t="str">
        <f>IF('[3]Motor Rutas SKU_Cons'!B688="","",'[3]Motor Rutas SKU_Cons'!B688)</f>
        <v>Planta San Luis</v>
      </c>
      <c r="D684">
        <f>'[3]Motor Rutas SKU_Cons'!A688</f>
        <v>916424</v>
      </c>
      <c r="E684" s="997" t="str">
        <f>IF('[3]Motor Rutas SKU_Cons'!N688="","s/d","Agua "&amp;TEXT('[3]Motor Rutas SKU_Cons'!N688,"0%")&amp;" · Colas "&amp;TEXT('[3]Motor Rutas SKU_Cons'!O688,"0%")&amp;" · Resto "&amp;TEXT('[3]Motor Rutas SKU_Cons'!P688,"0%"))</f>
        <v>Agua 85% · Colas 8% · Resto 7%</v>
      </c>
      <c r="F684" s="16">
        <f>'[3]Motor Rutas SKU_Cons'!CH688</f>
        <v>1.4681481909983758E-3</v>
      </c>
      <c r="G684" s="16">
        <f>'[3]Motor Rutas SKU_Cons'!CG688</f>
        <v>2.8236607536628231E-3</v>
      </c>
      <c r="H684" s="998">
        <f>'[3]Motor Rutas SKU_Cons'!BX688</f>
        <v>0.20437727272727277</v>
      </c>
      <c r="I684" s="998">
        <f>'[3]Motor Rutas SKU_Cons'!BW688</f>
        <v>0</v>
      </c>
    </row>
    <row r="685" spans="1:9">
      <c r="A685" t="str">
        <f>IF('[3]Motor Rutas SKU_Cons'!C689="","",'[3]Motor Rutas SKU_Cons'!C689)</f>
        <v>Norte</v>
      </c>
      <c r="B685" t="str">
        <f>IF('[3]Motor Rutas SKU_Cons'!D689="","",'[3]Motor Rutas SKU_Cons'!D689)</f>
        <v>Comarca</v>
      </c>
      <c r="C685" t="str">
        <f>IF('[3]Motor Rutas SKU_Cons'!B689="","",'[3]Motor Rutas SKU_Cons'!B689)</f>
        <v>Suc. Estadio</v>
      </c>
      <c r="D685">
        <f>'[3]Motor Rutas SKU_Cons'!A689</f>
        <v>217341</v>
      </c>
      <c r="E685" s="997" t="str">
        <f>IF('[3]Motor Rutas SKU_Cons'!N689="","s/d","Agua "&amp;TEXT('[3]Motor Rutas SKU_Cons'!N689,"0%")&amp;" · Colas "&amp;TEXT('[3]Motor Rutas SKU_Cons'!O689,"0%")&amp;" · Resto "&amp;TEXT('[3]Motor Rutas SKU_Cons'!P689,"0%"))</f>
        <v>Agua 85% · Colas 8% · Resto 7%</v>
      </c>
      <c r="F685" s="16">
        <f>'[3]Motor Rutas SKU_Cons'!CH689</f>
        <v>2.0826309030049377E-2</v>
      </c>
      <c r="G685" s="16">
        <f>'[3]Motor Rutas SKU_Cons'!CG689</f>
        <v>2.2307506993006986E-3</v>
      </c>
      <c r="H685" s="998">
        <f>'[3]Motor Rutas SKU_Cons'!BX689</f>
        <v>0.95504962121212023</v>
      </c>
      <c r="I685" s="998">
        <f>'[3]Motor Rutas SKU_Cons'!BW689</f>
        <v>11.134233712121201</v>
      </c>
    </row>
    <row r="686" spans="1:9">
      <c r="A686" t="str">
        <f>IF('[3]Motor Rutas SKU_Cons'!C690="","",'[3]Motor Rutas SKU_Cons'!C690)</f>
        <v>Occidente</v>
      </c>
      <c r="B686" t="str">
        <f>IF('[3]Motor Rutas SKU_Cons'!D690="","",'[3]Motor Rutas SKU_Cons'!D690)</f>
        <v>Favorita</v>
      </c>
      <c r="C686" t="str">
        <f>IF('[3]Motor Rutas SKU_Cons'!B690="","",'[3]Motor Rutas SKU_Cons'!B690)</f>
        <v>Suc. San Rafael</v>
      </c>
      <c r="D686">
        <f>'[3]Motor Rutas SKU_Cons'!A690</f>
        <v>803373</v>
      </c>
      <c r="E686" s="997" t="str">
        <f>IF('[3]Motor Rutas SKU_Cons'!N690="","s/d","Agua "&amp;TEXT('[3]Motor Rutas SKU_Cons'!N690,"0%")&amp;" · Colas "&amp;TEXT('[3]Motor Rutas SKU_Cons'!O690,"0%")&amp;" · Resto "&amp;TEXT('[3]Motor Rutas SKU_Cons'!P690,"0%"))</f>
        <v>Agua 85% · Colas 8% · Resto 7%</v>
      </c>
      <c r="F686" s="16">
        <f>'[3]Motor Rutas SKU_Cons'!CH690</f>
        <v>4.4523238366816712E-3</v>
      </c>
      <c r="G686" s="16">
        <f>'[3]Motor Rutas SKU_Cons'!CG690</f>
        <v>2.0076756295250653E-3</v>
      </c>
      <c r="H686" s="998">
        <f>'[3]Motor Rutas SKU_Cons'!BX690</f>
        <v>0</v>
      </c>
      <c r="I686" s="998">
        <f>'[3]Motor Rutas SKU_Cons'!BW690</f>
        <v>1.2487487373737365</v>
      </c>
    </row>
    <row r="687" spans="1:9">
      <c r="A687" t="str">
        <f>IF('[3]Motor Rutas SKU_Cons'!C691="","",'[3]Motor Rutas SKU_Cons'!C691)</f>
        <v>Occidente</v>
      </c>
      <c r="B687" t="str">
        <f>IF('[3]Motor Rutas SKU_Cons'!D691="","",'[3]Motor Rutas SKU_Cons'!D691)</f>
        <v>Zapopan</v>
      </c>
      <c r="C687" t="str">
        <f>IF('[3]Motor Rutas SKU_Cons'!B691="","",'[3]Motor Rutas SKU_Cons'!B691)</f>
        <v>Planta Zapopan</v>
      </c>
      <c r="D687">
        <f>'[3]Motor Rutas SKU_Cons'!A691</f>
        <v>816387</v>
      </c>
      <c r="E687" s="997" t="str">
        <f>IF('[3]Motor Rutas SKU_Cons'!N691="","s/d","Agua "&amp;TEXT('[3]Motor Rutas SKU_Cons'!N691,"0%")&amp;" · Colas "&amp;TEXT('[3]Motor Rutas SKU_Cons'!O691,"0%")&amp;" · Resto "&amp;TEXT('[3]Motor Rutas SKU_Cons'!P691,"0%"))</f>
        <v>Agua 85% · Colas 8% · Resto 7%</v>
      </c>
      <c r="F687" s="16">
        <f>'[3]Motor Rutas SKU_Cons'!CH691</f>
        <v>0</v>
      </c>
      <c r="G687" s="16">
        <f>'[3]Motor Rutas SKU_Cons'!CG691</f>
        <v>1.8156370907638397E-3</v>
      </c>
      <c r="H687" s="998">
        <f>'[3]Motor Rutas SKU_Cons'!BX691</f>
        <v>0.1883636363636364</v>
      </c>
      <c r="I687" s="998">
        <f>'[3]Motor Rutas SKU_Cons'!BW691</f>
        <v>0</v>
      </c>
    </row>
    <row r="688" spans="1:9">
      <c r="A688" t="str">
        <f>IF('[3]Motor Rutas SKU_Cons'!C692="","",'[3]Motor Rutas SKU_Cons'!C692)</f>
        <v>Occidente</v>
      </c>
      <c r="B688" t="str">
        <f>IF('[3]Motor Rutas SKU_Cons'!D692="","",'[3]Motor Rutas SKU_Cons'!D692)</f>
        <v>Zapopan</v>
      </c>
      <c r="C688" t="str">
        <f>IF('[3]Motor Rutas SKU_Cons'!B692="","",'[3]Motor Rutas SKU_Cons'!B692)</f>
        <v>Suc. Huentitán</v>
      </c>
      <c r="D688">
        <f>'[3]Motor Rutas SKU_Cons'!A692</f>
        <v>819427</v>
      </c>
      <c r="E688" s="997" t="str">
        <f>IF('[3]Motor Rutas SKU_Cons'!N692="","s/d","Agua "&amp;TEXT('[3]Motor Rutas SKU_Cons'!N692,"0%")&amp;" · Colas "&amp;TEXT('[3]Motor Rutas SKU_Cons'!O692,"0%")&amp;" · Resto "&amp;TEXT('[3]Motor Rutas SKU_Cons'!P692,"0%"))</f>
        <v>Agua 85% · Colas 8% · Resto 7%</v>
      </c>
      <c r="F688" s="16">
        <f>'[3]Motor Rutas SKU_Cons'!CH692</f>
        <v>5.7095423744860693E-4</v>
      </c>
      <c r="G688" s="16">
        <f>'[3]Motor Rutas SKU_Cons'!CG692</f>
        <v>1.5909924255083333E-3</v>
      </c>
      <c r="H688" s="998">
        <f>'[3]Motor Rutas SKU_Cons'!BX692</f>
        <v>0.12290757575757585</v>
      </c>
      <c r="I688" s="998">
        <f>'[3]Motor Rutas SKU_Cons'!BW692</f>
        <v>0</v>
      </c>
    </row>
    <row r="689" spans="1:9">
      <c r="A689" t="str">
        <f>IF('[3]Motor Rutas SKU_Cons'!C693="","",'[3]Motor Rutas SKU_Cons'!C693)</f>
        <v>Occidente</v>
      </c>
      <c r="B689" t="str">
        <f>IF('[3]Motor Rutas SKU_Cons'!D693="","",'[3]Motor Rutas SKU_Cons'!D693)</f>
        <v>Favorita</v>
      </c>
      <c r="C689" t="str">
        <f>IF('[3]Motor Rutas SKU_Cons'!B693="","",'[3]Motor Rutas SKU_Cons'!B693)</f>
        <v>Suc. San Rafael</v>
      </c>
      <c r="D689">
        <f>'[3]Motor Rutas SKU_Cons'!A693</f>
        <v>803350</v>
      </c>
      <c r="E689" s="997" t="str">
        <f>IF('[3]Motor Rutas SKU_Cons'!N693="","s/d","Agua "&amp;TEXT('[3]Motor Rutas SKU_Cons'!N693,"0%")&amp;" · Colas "&amp;TEXT('[3]Motor Rutas SKU_Cons'!O693,"0%")&amp;" · Resto "&amp;TEXT('[3]Motor Rutas SKU_Cons'!P693,"0%"))</f>
        <v>Agua 85% · Colas 8% · Resto 7%</v>
      </c>
      <c r="F689" s="16">
        <f>'[3]Motor Rutas SKU_Cons'!CH693</f>
        <v>5.4370713107854948E-5</v>
      </c>
      <c r="G689" s="16">
        <f>'[3]Motor Rutas SKU_Cons'!CG693</f>
        <v>1.4839341609533096E-3</v>
      </c>
      <c r="H689" s="998">
        <f>'[3]Motor Rutas SKU_Cons'!BX693</f>
        <v>0.15477272727272723</v>
      </c>
      <c r="I689" s="998">
        <f>'[3]Motor Rutas SKU_Cons'!BW693</f>
        <v>0</v>
      </c>
    </row>
    <row r="690" spans="1:9">
      <c r="A690" t="str">
        <f>IF('[3]Motor Rutas SKU_Cons'!C694="","",'[3]Motor Rutas SKU_Cons'!C694)</f>
        <v>Occidente</v>
      </c>
      <c r="B690" t="str">
        <f>IF('[3]Motor Rutas SKU_Cons'!D694="","",'[3]Motor Rutas SKU_Cons'!D694)</f>
        <v>Favorita</v>
      </c>
      <c r="C690" t="str">
        <f>IF('[3]Motor Rutas SKU_Cons'!B694="","",'[3]Motor Rutas SKU_Cons'!B694)</f>
        <v>Suc. Santa Maria</v>
      </c>
      <c r="D690">
        <f>'[3]Motor Rutas SKU_Cons'!A694</f>
        <v>809376</v>
      </c>
      <c r="E690" s="997" t="str">
        <f>IF('[3]Motor Rutas SKU_Cons'!N694="","s/d","Agua "&amp;TEXT('[3]Motor Rutas SKU_Cons'!N694,"0%")&amp;" · Colas "&amp;TEXT('[3]Motor Rutas SKU_Cons'!O694,"0%")&amp;" · Resto "&amp;TEXT('[3]Motor Rutas SKU_Cons'!P694,"0%"))</f>
        <v>Agua 85% · Colas 8% · Resto 7%</v>
      </c>
      <c r="F690" s="16">
        <f>'[3]Motor Rutas SKU_Cons'!CH694</f>
        <v>1.6986448171804798E-3</v>
      </c>
      <c r="G690" s="16">
        <f>'[3]Motor Rutas SKU_Cons'!CG694</f>
        <v>1.0767920702598227E-3</v>
      </c>
      <c r="H690" s="998">
        <f>'[3]Motor Rutas SKU_Cons'!BX694</f>
        <v>0</v>
      </c>
      <c r="I690" s="998">
        <f>'[3]Motor Rutas SKU_Cons'!BW694</f>
        <v>0.25093030303030217</v>
      </c>
    </row>
    <row r="691" spans="1:9">
      <c r="A691" t="str">
        <f>IF('[3]Motor Rutas SKU_Cons'!C695="","",'[3]Motor Rutas SKU_Cons'!C695)</f>
        <v>Occidente</v>
      </c>
      <c r="B691" t="str">
        <f>IF('[3]Motor Rutas SKU_Cons'!D695="","",'[3]Motor Rutas SKU_Cons'!D695)</f>
        <v>Zapopan</v>
      </c>
      <c r="C691" t="str">
        <f>IF('[3]Motor Rutas SKU_Cons'!B695="","",'[3]Motor Rutas SKU_Cons'!B695)</f>
        <v>Suc. Huentitán</v>
      </c>
      <c r="D691">
        <f>'[3]Motor Rutas SKU_Cons'!A695</f>
        <v>819409</v>
      </c>
      <c r="E691" s="997" t="str">
        <f>IF('[3]Motor Rutas SKU_Cons'!N695="","s/d","Agua "&amp;TEXT('[3]Motor Rutas SKU_Cons'!N695,"0%")&amp;" · Colas "&amp;TEXT('[3]Motor Rutas SKU_Cons'!O695,"0%")&amp;" · Resto "&amp;TEXT('[3]Motor Rutas SKU_Cons'!P695,"0%"))</f>
        <v>Agua 85% · Colas 8% · Resto 7%</v>
      </c>
      <c r="F691" s="16">
        <f>'[3]Motor Rutas SKU_Cons'!CH695</f>
        <v>9.5160480403811828E-5</v>
      </c>
      <c r="G691" s="16">
        <f>'[3]Motor Rutas SKU_Cons'!CG695</f>
        <v>1.0048373213209988E-3</v>
      </c>
      <c r="H691" s="998">
        <f>'[3]Motor Rutas SKU_Cons'!BX695</f>
        <v>0.10367839393939389</v>
      </c>
      <c r="I691" s="998">
        <f>'[3]Motor Rutas SKU_Cons'!BW695</f>
        <v>0</v>
      </c>
    </row>
    <row r="692" spans="1:9">
      <c r="A692" t="str">
        <f>IF('[3]Motor Rutas SKU_Cons'!C696="","",'[3]Motor Rutas SKU_Cons'!C696)</f>
        <v>Occidente</v>
      </c>
      <c r="B692" t="str">
        <f>IF('[3]Motor Rutas SKU_Cons'!D696="","",'[3]Motor Rutas SKU_Cons'!D696)</f>
        <v>Zapopan</v>
      </c>
      <c r="C692" t="str">
        <f>IF('[3]Motor Rutas SKU_Cons'!B696="","",'[3]Motor Rutas SKU_Cons'!B696)</f>
        <v>Planta Zapopan</v>
      </c>
      <c r="D692">
        <f>'[3]Motor Rutas SKU_Cons'!A696</f>
        <v>816365</v>
      </c>
      <c r="E692" s="997" t="str">
        <f>IF('[3]Motor Rutas SKU_Cons'!N696="","s/d","Agua "&amp;TEXT('[3]Motor Rutas SKU_Cons'!N696,"0%")&amp;" · Colas "&amp;TEXT('[3]Motor Rutas SKU_Cons'!O696,"0%")&amp;" · Resto "&amp;TEXT('[3]Motor Rutas SKU_Cons'!P696,"0%"))</f>
        <v>Agua 85% · Colas 8% · Resto 7%</v>
      </c>
      <c r="F692" s="16">
        <f>'[3]Motor Rutas SKU_Cons'!CH696</f>
        <v>1.1791127391192289E-3</v>
      </c>
      <c r="G692" s="16">
        <f>'[3]Motor Rutas SKU_Cons'!CG696</f>
        <v>9.0781854545454526E-4</v>
      </c>
      <c r="H692" s="998">
        <f>'[3]Motor Rutas SKU_Cons'!BX696</f>
        <v>4.2178977272727139E-2</v>
      </c>
      <c r="I692" s="998">
        <f>'[3]Motor Rutas SKU_Cons'!BW696</f>
        <v>0.25436571969696886</v>
      </c>
    </row>
    <row r="693" spans="1:9">
      <c r="A693" t="str">
        <f>IF('[3]Motor Rutas SKU_Cons'!C697="","",'[3]Motor Rutas SKU_Cons'!C697)</f>
        <v>Occidente</v>
      </c>
      <c r="B693" t="str">
        <f>IF('[3]Motor Rutas SKU_Cons'!D697="","",'[3]Motor Rutas SKU_Cons'!D697)</f>
        <v>Favorita</v>
      </c>
      <c r="C693" t="str">
        <f>IF('[3]Motor Rutas SKU_Cons'!B697="","",'[3]Motor Rutas SKU_Cons'!B697)</f>
        <v>Suc. San Rafael</v>
      </c>
      <c r="D693">
        <f>'[3]Motor Rutas SKU_Cons'!A697</f>
        <v>803371</v>
      </c>
      <c r="E693" s="997" t="str">
        <f>IF('[3]Motor Rutas SKU_Cons'!N697="","s/d","Agua "&amp;TEXT('[3]Motor Rutas SKU_Cons'!N697,"0%")&amp;" · Colas "&amp;TEXT('[3]Motor Rutas SKU_Cons'!O697,"0%")&amp;" · Resto "&amp;TEXT('[3]Motor Rutas SKU_Cons'!P697,"0%"))</f>
        <v>Agua 85% · Colas 8% · Resto 7%</v>
      </c>
      <c r="F693" s="16">
        <f>'[3]Motor Rutas SKU_Cons'!CH697</f>
        <v>0</v>
      </c>
      <c r="G693" s="16">
        <f>'[3]Motor Rutas SKU_Cons'!CG697</f>
        <v>8.72902447619594E-4</v>
      </c>
      <c r="H693" s="998">
        <f>'[3]Motor Rutas SKU_Cons'!BX697</f>
        <v>9.41818181818182E-2</v>
      </c>
      <c r="I693" s="998">
        <f>'[3]Motor Rutas SKU_Cons'!BW697</f>
        <v>0</v>
      </c>
    </row>
    <row r="694" spans="1:9">
      <c r="A694" t="str">
        <f>IF('[3]Motor Rutas SKU_Cons'!C698="","",'[3]Motor Rutas SKU_Cons'!C698)</f>
        <v>Occidente</v>
      </c>
      <c r="B694" t="str">
        <f>IF('[3]Motor Rutas SKU_Cons'!D698="","",'[3]Motor Rutas SKU_Cons'!D698)</f>
        <v>Zapopan</v>
      </c>
      <c r="C694" t="str">
        <f>IF('[3]Motor Rutas SKU_Cons'!B698="","",'[3]Motor Rutas SKU_Cons'!B698)</f>
        <v>Suc. Huentitán</v>
      </c>
      <c r="D694">
        <f>'[3]Motor Rutas SKU_Cons'!A698</f>
        <v>819428</v>
      </c>
      <c r="E694" s="997" t="str">
        <f>IF('[3]Motor Rutas SKU_Cons'!N698="","s/d","Agua "&amp;TEXT('[3]Motor Rutas SKU_Cons'!N698,"0%")&amp;" · Colas "&amp;TEXT('[3]Motor Rutas SKU_Cons'!O698,"0%")&amp;" · Resto "&amp;TEXT('[3]Motor Rutas SKU_Cons'!P698,"0%"))</f>
        <v>Agua 85% · Colas 8% · Resto 7%</v>
      </c>
      <c r="F694" s="16">
        <f>'[3]Motor Rutas SKU_Cons'!CH698</f>
        <v>5.4376888089468036E-4</v>
      </c>
      <c r="G694" s="16">
        <f>'[3]Motor Rutas SKU_Cons'!CG698</f>
        <v>8.3736443447807022E-4</v>
      </c>
      <c r="H694" s="998">
        <f>'[3]Motor Rutas SKU_Cons'!BX698</f>
        <v>4.4187813620071695E-2</v>
      </c>
      <c r="I694" s="998">
        <f>'[3]Motor Rutas SKU_Cons'!BW698</f>
        <v>0</v>
      </c>
    </row>
    <row r="695" spans="1:9">
      <c r="A695" t="str">
        <f>IF('[3]Motor Rutas SKU_Cons'!C699="","",'[3]Motor Rutas SKU_Cons'!C699)</f>
        <v>Occidente</v>
      </c>
      <c r="B695" t="str">
        <f>IF('[3]Motor Rutas SKU_Cons'!D699="","",'[3]Motor Rutas SKU_Cons'!D699)</f>
        <v>Aguascalientes</v>
      </c>
      <c r="C695" t="str">
        <f>IF('[3]Motor Rutas SKU_Cons'!B699="","",'[3]Motor Rutas SKU_Cons'!B699)</f>
        <v>Planta Aguascalientes</v>
      </c>
      <c r="D695">
        <f>'[3]Motor Rutas SKU_Cons'!A699</f>
        <v>901346</v>
      </c>
      <c r="E695" s="997" t="str">
        <f>IF('[3]Motor Rutas SKU_Cons'!N699="","s/d","Agua "&amp;TEXT('[3]Motor Rutas SKU_Cons'!N699,"0%")&amp;" · Colas "&amp;TEXT('[3]Motor Rutas SKU_Cons'!O699,"0%")&amp;" · Resto "&amp;TEXT('[3]Motor Rutas SKU_Cons'!P699,"0%"))</f>
        <v>Agua 85% · Colas 8% · Resto 7%</v>
      </c>
      <c r="F695" s="16">
        <f>'[3]Motor Rutas SKU_Cons'!CH699</f>
        <v>0</v>
      </c>
      <c r="G695" s="16">
        <f>'[3]Motor Rutas SKU_Cons'!CG699</f>
        <v>6.6086407529587874E-4</v>
      </c>
      <c r="H695" s="998">
        <f>'[3]Motor Rutas SKU_Cons'!BX699</f>
        <v>7.5345454545454563E-2</v>
      </c>
      <c r="I695" s="998">
        <f>'[3]Motor Rutas SKU_Cons'!BW699</f>
        <v>0</v>
      </c>
    </row>
    <row r="696" spans="1:9">
      <c r="A696" t="str">
        <f>IF('[3]Motor Rutas SKU_Cons'!C700="","",'[3]Motor Rutas SKU_Cons'!C700)</f>
        <v>Occidente</v>
      </c>
      <c r="B696" t="str">
        <f>IF('[3]Motor Rutas SKU_Cons'!D700="","",'[3]Motor Rutas SKU_Cons'!D700)</f>
        <v>Favorita</v>
      </c>
      <c r="C696" t="str">
        <f>IF('[3]Motor Rutas SKU_Cons'!B700="","",'[3]Motor Rutas SKU_Cons'!B700)</f>
        <v>Suc. San Rafael</v>
      </c>
      <c r="D696">
        <f>'[3]Motor Rutas SKU_Cons'!A700</f>
        <v>803358</v>
      </c>
      <c r="E696" s="997" t="str">
        <f>IF('[3]Motor Rutas SKU_Cons'!N700="","s/d","Agua "&amp;TEXT('[3]Motor Rutas SKU_Cons'!N700,"0%")&amp;" · Colas "&amp;TEXT('[3]Motor Rutas SKU_Cons'!O700,"0%")&amp;" · Resto "&amp;TEXT('[3]Motor Rutas SKU_Cons'!P700,"0%"))</f>
        <v>Agua 85% · Colas 8% · Resto 7%</v>
      </c>
      <c r="F696" s="16">
        <f>'[3]Motor Rutas SKU_Cons'!CH700</f>
        <v>1.6312757677759723E-4</v>
      </c>
      <c r="G696" s="16">
        <f>'[3]Motor Rutas SKU_Cons'!CG700</f>
        <v>6.1103171333371572E-4</v>
      </c>
      <c r="H696" s="998">
        <f>'[3]Motor Rutas SKU_Cons'!BX700</f>
        <v>4.9916666666666686E-2</v>
      </c>
      <c r="I696" s="998">
        <f>'[3]Motor Rutas SKU_Cons'!BW700</f>
        <v>0</v>
      </c>
    </row>
    <row r="697" spans="1:9">
      <c r="A697" t="str">
        <f>IF('[3]Motor Rutas SKU_Cons'!C701="","",'[3]Motor Rutas SKU_Cons'!C701)</f>
        <v>Occidente</v>
      </c>
      <c r="B697" t="str">
        <f>IF('[3]Motor Rutas SKU_Cons'!D701="","",'[3]Motor Rutas SKU_Cons'!D701)</f>
        <v>Favorita</v>
      </c>
      <c r="C697" t="str">
        <f>IF('[3]Motor Rutas SKU_Cons'!B701="","",'[3]Motor Rutas SKU_Cons'!B701)</f>
        <v>Suc. San Rafael</v>
      </c>
      <c r="D697">
        <f>'[3]Motor Rutas SKU_Cons'!A701</f>
        <v>803368</v>
      </c>
      <c r="E697" s="997" t="str">
        <f>IF('[3]Motor Rutas SKU_Cons'!N701="","s/d","Agua "&amp;TEXT('[3]Motor Rutas SKU_Cons'!N701,"0%")&amp;" · Colas "&amp;TEXT('[3]Motor Rutas SKU_Cons'!O701,"0%")&amp;" · Resto "&amp;TEXT('[3]Motor Rutas SKU_Cons'!P701,"0%"))</f>
        <v>Agua 85% · Colas 8% · Resto 7%</v>
      </c>
      <c r="F697" s="16">
        <f>'[3]Motor Rutas SKU_Cons'!CH701</f>
        <v>5.2853211376309255E-4</v>
      </c>
      <c r="G697" s="16">
        <f>'[3]Motor Rutas SKU_Cons'!CG701</f>
        <v>6.0230120196940785E-4</v>
      </c>
      <c r="H697" s="998">
        <f>'[3]Motor Rutas SKU_Cons'!BX701</f>
        <v>3.6532542819499352E-2</v>
      </c>
      <c r="I697" s="998">
        <f>'[3]Motor Rutas SKU_Cons'!BW701</f>
        <v>0</v>
      </c>
    </row>
    <row r="698" spans="1:9">
      <c r="A698" t="str">
        <f>IF('[3]Motor Rutas SKU_Cons'!C702="","",'[3]Motor Rutas SKU_Cons'!C702)</f>
        <v>Occidente</v>
      </c>
      <c r="B698" t="str">
        <f>IF('[3]Motor Rutas SKU_Cons'!D702="","",'[3]Motor Rutas SKU_Cons'!D702)</f>
        <v>Zapopan</v>
      </c>
      <c r="C698" t="str">
        <f>IF('[3]Motor Rutas SKU_Cons'!B702="","",'[3]Motor Rutas SKU_Cons'!B702)</f>
        <v>Suc. Huentitán</v>
      </c>
      <c r="D698">
        <f>'[3]Motor Rutas SKU_Cons'!A702</f>
        <v>819401</v>
      </c>
      <c r="E698" s="997" t="str">
        <f>IF('[3]Motor Rutas SKU_Cons'!N702="","s/d","Agua "&amp;TEXT('[3]Motor Rutas SKU_Cons'!N702,"0%")&amp;" · Colas "&amp;TEXT('[3]Motor Rutas SKU_Cons'!O702,"0%")&amp;" · Resto "&amp;TEXT('[3]Motor Rutas SKU_Cons'!P702,"0%"))</f>
        <v>Agua 85% · Colas 8% · Resto 7%</v>
      </c>
      <c r="F698" s="16">
        <f>'[3]Motor Rutas SKU_Cons'!CH702</f>
        <v>2.0445672871750296E-3</v>
      </c>
      <c r="G698" s="16">
        <f>'[3]Motor Rutas SKU_Cons'!CG702</f>
        <v>5.8615510413464913E-4</v>
      </c>
      <c r="H698" s="998">
        <f>'[3]Motor Rutas SKU_Cons'!BX702</f>
        <v>0.19502510822510796</v>
      </c>
      <c r="I698" s="998">
        <f>'[3]Motor Rutas SKU_Cons'!BW702</f>
        <v>1.8686826839826811</v>
      </c>
    </row>
    <row r="699" spans="1:9">
      <c r="A699" t="str">
        <f>IF('[3]Motor Rutas SKU_Cons'!C703="","",'[3]Motor Rutas SKU_Cons'!C703)</f>
        <v>Occidente</v>
      </c>
      <c r="B699" t="str">
        <f>IF('[3]Motor Rutas SKU_Cons'!D703="","",'[3]Motor Rutas SKU_Cons'!D703)</f>
        <v>Favorita</v>
      </c>
      <c r="C699" t="str">
        <f>IF('[3]Motor Rutas SKU_Cons'!B703="","",'[3]Motor Rutas SKU_Cons'!B703)</f>
        <v>Suc. Santa Maria</v>
      </c>
      <c r="D699">
        <f>'[3]Motor Rutas SKU_Cons'!A703</f>
        <v>809374</v>
      </c>
      <c r="E699" s="997" t="str">
        <f>IF('[3]Motor Rutas SKU_Cons'!N703="","s/d","Agua "&amp;TEXT('[3]Motor Rutas SKU_Cons'!N703,"0%")&amp;" · Colas "&amp;TEXT('[3]Motor Rutas SKU_Cons'!O703,"0%")&amp;" · Resto "&amp;TEXT('[3]Motor Rutas SKU_Cons'!P703,"0%"))</f>
        <v>Agua 85% · Colas 8% · Resto 7%</v>
      </c>
      <c r="F699" s="16">
        <f>'[3]Motor Rutas SKU_Cons'!CH703</f>
        <v>0</v>
      </c>
      <c r="G699" s="16">
        <f>'[3]Motor Rutas SKU_Cons'!CG703</f>
        <v>5.798111147552891E-4</v>
      </c>
      <c r="H699" s="998">
        <f>'[3]Motor Rutas SKU_Cons'!BX703</f>
        <v>6.5927272727272737E-2</v>
      </c>
      <c r="I699" s="998">
        <f>'[3]Motor Rutas SKU_Cons'!BW703</f>
        <v>0</v>
      </c>
    </row>
    <row r="700" spans="1:9">
      <c r="A700" t="str">
        <f>IF('[3]Motor Rutas SKU_Cons'!C704="","",'[3]Motor Rutas SKU_Cons'!C704)</f>
        <v>Occidente</v>
      </c>
      <c r="B700" t="str">
        <f>IF('[3]Motor Rutas SKU_Cons'!D704="","",'[3]Motor Rutas SKU_Cons'!D704)</f>
        <v>Favorita</v>
      </c>
      <c r="C700" t="str">
        <f>IF('[3]Motor Rutas SKU_Cons'!B704="","",'[3]Motor Rutas SKU_Cons'!B704)</f>
        <v>Suc. Toluquilla</v>
      </c>
      <c r="D700">
        <f>'[3]Motor Rutas SKU_Cons'!A704</f>
        <v>804385</v>
      </c>
      <c r="E700" s="997" t="str">
        <f>IF('[3]Motor Rutas SKU_Cons'!N704="","s/d","Agua "&amp;TEXT('[3]Motor Rutas SKU_Cons'!N704,"0%")&amp;" · Colas "&amp;TEXT('[3]Motor Rutas SKU_Cons'!O704,"0%")&amp;" · Resto "&amp;TEXT('[3]Motor Rutas SKU_Cons'!P704,"0%"))</f>
        <v>Agua 85% · Colas 8% · Resto 7%</v>
      </c>
      <c r="F700" s="16">
        <f>'[3]Motor Rutas SKU_Cons'!CH704</f>
        <v>3.2625515355519451E-4</v>
      </c>
      <c r="G700" s="16">
        <f>'[3]Motor Rutas SKU_Cons'!CG704</f>
        <v>5.2956081818181819E-4</v>
      </c>
      <c r="H700" s="998">
        <f>'[3]Motor Rutas SKU_Cons'!BX704</f>
        <v>3.390606060606062E-2</v>
      </c>
      <c r="I700" s="998">
        <f>'[3]Motor Rutas SKU_Cons'!BW704</f>
        <v>0</v>
      </c>
    </row>
    <row r="701" spans="1:9">
      <c r="A701" t="str">
        <f>IF('[3]Motor Rutas SKU_Cons'!C705="","",'[3]Motor Rutas SKU_Cons'!C705)</f>
        <v>Occidente</v>
      </c>
      <c r="B701" t="str">
        <f>IF('[3]Motor Rutas SKU_Cons'!D705="","",'[3]Motor Rutas SKU_Cons'!D705)</f>
        <v>Favorita</v>
      </c>
      <c r="C701" t="str">
        <f>IF('[3]Motor Rutas SKU_Cons'!B705="","",'[3]Motor Rutas SKU_Cons'!B705)</f>
        <v>Suc. San Rafael</v>
      </c>
      <c r="D701">
        <f>'[3]Motor Rutas SKU_Cons'!A705</f>
        <v>803360</v>
      </c>
      <c r="E701" s="997" t="str">
        <f>IF('[3]Motor Rutas SKU_Cons'!N705="","s/d","Agua "&amp;TEXT('[3]Motor Rutas SKU_Cons'!N705,"0%")&amp;" · Colas "&amp;TEXT('[3]Motor Rutas SKU_Cons'!O705,"0%")&amp;" · Resto "&amp;TEXT('[3]Motor Rutas SKU_Cons'!P705,"0%"))</f>
        <v>Agua 85% · Colas 8% · Resto 7%</v>
      </c>
      <c r="F701" s="16">
        <f>'[3]Motor Rutas SKU_Cons'!CH705</f>
        <v>1.9576235460553725E-4</v>
      </c>
      <c r="G701" s="16">
        <f>'[3]Motor Rutas SKU_Cons'!CG705</f>
        <v>5.2374146857175625E-4</v>
      </c>
      <c r="H701" s="998">
        <f>'[3]Motor Rutas SKU_Cons'!BX705</f>
        <v>3.7295454545454548E-2</v>
      </c>
      <c r="I701" s="998">
        <f>'[3]Motor Rutas SKU_Cons'!BW705</f>
        <v>0</v>
      </c>
    </row>
    <row r="702" spans="1:9">
      <c r="A702" t="str">
        <f>IF('[3]Motor Rutas SKU_Cons'!C706="","",'[3]Motor Rutas SKU_Cons'!C706)</f>
        <v>Occidente</v>
      </c>
      <c r="B702" t="str">
        <f>IF('[3]Motor Rutas SKU_Cons'!D706="","",'[3]Motor Rutas SKU_Cons'!D706)</f>
        <v>Zapopan</v>
      </c>
      <c r="C702" t="str">
        <f>IF('[3]Motor Rutas SKU_Cons'!B706="","",'[3]Motor Rutas SKU_Cons'!B706)</f>
        <v>Suc. Huentitán</v>
      </c>
      <c r="D702">
        <f>'[3]Motor Rutas SKU_Cons'!A706</f>
        <v>819430</v>
      </c>
      <c r="E702" s="997" t="str">
        <f>IF('[3]Motor Rutas SKU_Cons'!N706="","s/d","Agua "&amp;TEXT('[3]Motor Rutas SKU_Cons'!N706,"0%")&amp;" · Colas "&amp;TEXT('[3]Motor Rutas SKU_Cons'!O706,"0%")&amp;" · Resto "&amp;TEXT('[3]Motor Rutas SKU_Cons'!P706,"0%"))</f>
        <v>Agua 85% · Colas 8% · Resto 7%</v>
      </c>
      <c r="F702" s="16">
        <f>'[3]Motor Rutas SKU_Cons'!CH706</f>
        <v>3.2650673774358725E-3</v>
      </c>
      <c r="G702" s="16">
        <f>'[3]Motor Rutas SKU_Cons'!CG706</f>
        <v>5.0241866068684207E-4</v>
      </c>
      <c r="H702" s="998">
        <f>'[3]Motor Rutas SKU_Cons'!BX706</f>
        <v>0.35012842207792172</v>
      </c>
      <c r="I702" s="998">
        <f>'[3]Motor Rutas SKU_Cons'!BW706</f>
        <v>3.4797774675324638</v>
      </c>
    </row>
    <row r="703" spans="1:9">
      <c r="A703" t="str">
        <f>IF('[3]Motor Rutas SKU_Cons'!C707="","",'[3]Motor Rutas SKU_Cons'!C707)</f>
        <v>Norte</v>
      </c>
      <c r="B703" t="str">
        <f>IF('[3]Motor Rutas SKU_Cons'!D707="","",'[3]Motor Rutas SKU_Cons'!D707)</f>
        <v>Juárez</v>
      </c>
      <c r="C703" t="str">
        <f>IF('[3]Motor Rutas SKU_Cons'!B707="","",'[3]Motor Rutas SKU_Cons'!B707)</f>
        <v>Planta Cd. Juárez</v>
      </c>
      <c r="D703">
        <f>'[3]Motor Rutas SKU_Cons'!A707</f>
        <v>301352</v>
      </c>
      <c r="E703" s="997" t="str">
        <f>IF('[3]Motor Rutas SKU_Cons'!N707="","s/d","Agua "&amp;TEXT('[3]Motor Rutas SKU_Cons'!N707,"0%")&amp;" · Colas "&amp;TEXT('[3]Motor Rutas SKU_Cons'!O707,"0%")&amp;" · Resto "&amp;TEXT('[3]Motor Rutas SKU_Cons'!P707,"0%"))</f>
        <v>Agua 85% · Colas 8% · Resto 7%</v>
      </c>
      <c r="F703" s="16">
        <f>'[3]Motor Rutas SKU_Cons'!CH707</f>
        <v>3.6252287889914259E-4</v>
      </c>
      <c r="G703" s="16">
        <f>'[3]Motor Rutas SKU_Cons'!CG707</f>
        <v>3.4397999999999981E-4</v>
      </c>
      <c r="H703" s="998">
        <f>'[3]Motor Rutas SKU_Cons'!BX707</f>
        <v>9.1026292335116069E-3</v>
      </c>
      <c r="I703" s="998">
        <f>'[3]Motor Rutas SKU_Cons'!BW707</f>
        <v>0</v>
      </c>
    </row>
    <row r="704" spans="1:9">
      <c r="A704" t="str">
        <f>IF('[3]Motor Rutas SKU_Cons'!C708="","",'[3]Motor Rutas SKU_Cons'!C708)</f>
        <v>Noreste</v>
      </c>
      <c r="B704" t="str">
        <f>IF('[3]Motor Rutas SKU_Cons'!D708="","",'[3]Motor Rutas SKU_Cons'!D708)</f>
        <v>Saltillo</v>
      </c>
      <c r="C704" t="str">
        <f>IF('[3]Motor Rutas SKU_Cons'!B708="","",'[3]Motor Rutas SKU_Cons'!B708)</f>
        <v>Planta Agua y Hielo</v>
      </c>
      <c r="D704">
        <f>'[3]Motor Rutas SKU_Cons'!A708</f>
        <v>203300</v>
      </c>
      <c r="E704" s="997" t="str">
        <f>IF('[3]Motor Rutas SKU_Cons'!N708="","s/d","Agua "&amp;TEXT('[3]Motor Rutas SKU_Cons'!N708,"0%")&amp;" · Colas "&amp;TEXT('[3]Motor Rutas SKU_Cons'!O708,"0%")&amp;" · Resto "&amp;TEXT('[3]Motor Rutas SKU_Cons'!P708,"0%"))</f>
        <v>Agua 80% · Colas 12% · Resto 8%</v>
      </c>
      <c r="F704" s="16">
        <f>'[3]Motor Rutas SKU_Cons'!CH708</f>
        <v>0</v>
      </c>
      <c r="G704" s="16">
        <f>'[3]Motor Rutas SKU_Cons'!CG708</f>
        <v>3.6024545454545448E-4</v>
      </c>
      <c r="H704" s="998">
        <f>'[3]Motor Rutas SKU_Cons'!BX708</f>
        <v>5.3369696969696963E-2</v>
      </c>
      <c r="I704" s="998">
        <f>'[3]Motor Rutas SKU_Cons'!BW708</f>
        <v>0</v>
      </c>
    </row>
    <row r="705" spans="1:9">
      <c r="A705" t="str">
        <f>IF('[3]Motor Rutas SKU_Cons'!C709="","",'[3]Motor Rutas SKU_Cons'!C709)</f>
        <v>Occidente</v>
      </c>
      <c r="B705" t="str">
        <f>IF('[3]Motor Rutas SKU_Cons'!D709="","",'[3]Motor Rutas SKU_Cons'!D709)</f>
        <v>Zapopan</v>
      </c>
      <c r="C705" t="str">
        <f>IF('[3]Motor Rutas SKU_Cons'!B709="","",'[3]Motor Rutas SKU_Cons'!B709)</f>
        <v>Suc. Huentitán</v>
      </c>
      <c r="D705">
        <f>'[3]Motor Rutas SKU_Cons'!A709</f>
        <v>819415</v>
      </c>
      <c r="E705" s="997" t="str">
        <f>IF('[3]Motor Rutas SKU_Cons'!N709="","s/d","Agua "&amp;TEXT('[3]Motor Rutas SKU_Cons'!N709,"0%")&amp;" · Colas "&amp;TEXT('[3]Motor Rutas SKU_Cons'!O709,"0%")&amp;" · Resto "&amp;TEXT('[3]Motor Rutas SKU_Cons'!P709,"0%"))</f>
        <v>Agua 85% · Colas 8% · Resto 7%</v>
      </c>
      <c r="F705" s="16">
        <f>'[3]Motor Rutas SKU_Cons'!CH709</f>
        <v>0</v>
      </c>
      <c r="G705" s="16">
        <f>'[3]Motor Rutas SKU_Cons'!CG709</f>
        <v>3.349457737736663E-4</v>
      </c>
      <c r="H705" s="998">
        <f>'[3]Motor Rutas SKU_Cons'!BX709</f>
        <v>3.7672727272727281E-2</v>
      </c>
      <c r="I705" s="998">
        <f>'[3]Motor Rutas SKU_Cons'!BW709</f>
        <v>0</v>
      </c>
    </row>
    <row r="706" spans="1:9">
      <c r="A706" t="str">
        <f>IF('[3]Motor Rutas SKU_Cons'!C710="","",'[3]Motor Rutas SKU_Cons'!C710)</f>
        <v>Occidente</v>
      </c>
      <c r="B706" t="str">
        <f>IF('[3]Motor Rutas SKU_Cons'!D710="","",'[3]Motor Rutas SKU_Cons'!D710)</f>
        <v>Zapopan</v>
      </c>
      <c r="C706" t="str">
        <f>IF('[3]Motor Rutas SKU_Cons'!B710="","",'[3]Motor Rutas SKU_Cons'!B710)</f>
        <v>Suc. Belenes</v>
      </c>
      <c r="D706">
        <f>'[3]Motor Rutas SKU_Cons'!A710</f>
        <v>820346</v>
      </c>
      <c r="E706" s="997" t="str">
        <f>IF('[3]Motor Rutas SKU_Cons'!N710="","s/d","Agua "&amp;TEXT('[3]Motor Rutas SKU_Cons'!N710,"0%")&amp;" · Colas "&amp;TEXT('[3]Motor Rutas SKU_Cons'!O710,"0%")&amp;" · Resto "&amp;TEXT('[3]Motor Rutas SKU_Cons'!P710,"0%"))</f>
        <v>Agua 85% · Colas 8% · Resto 7%</v>
      </c>
      <c r="F706" s="16">
        <f>'[3]Motor Rutas SKU_Cons'!CH710</f>
        <v>2.316389977806235E-4</v>
      </c>
      <c r="G706" s="16">
        <f>'[3]Motor Rutas SKU_Cons'!CG710</f>
        <v>2.4889077221479318E-4</v>
      </c>
      <c r="H706" s="998">
        <f>'[3]Motor Rutas SKU_Cons'!BX710</f>
        <v>1.5899472990777343E-2</v>
      </c>
      <c r="I706" s="998">
        <f>'[3]Motor Rutas SKU_Cons'!BW710</f>
        <v>0</v>
      </c>
    </row>
    <row r="707" spans="1:9">
      <c r="A707" t="str">
        <f>IF('[3]Motor Rutas SKU_Cons'!C711="","",'[3]Motor Rutas SKU_Cons'!C711)</f>
        <v>Occidente</v>
      </c>
      <c r="B707" t="str">
        <f>IF('[3]Motor Rutas SKU_Cons'!D711="","",'[3]Motor Rutas SKU_Cons'!D711)</f>
        <v>Zapopan</v>
      </c>
      <c r="C707" t="str">
        <f>IF('[3]Motor Rutas SKU_Cons'!B711="","",'[3]Motor Rutas SKU_Cons'!B711)</f>
        <v>Suc. Huentitán</v>
      </c>
      <c r="D707">
        <f>'[3]Motor Rutas SKU_Cons'!A711</f>
        <v>819404</v>
      </c>
      <c r="E707" s="997" t="str">
        <f>IF('[3]Motor Rutas SKU_Cons'!N711="","s/d","Agua "&amp;TEXT('[3]Motor Rutas SKU_Cons'!N711,"0%")&amp;" · Colas "&amp;TEXT('[3]Motor Rutas SKU_Cons'!O711,"0%")&amp;" · Resto "&amp;TEXT('[3]Motor Rutas SKU_Cons'!P711,"0%"))</f>
        <v>Agua 85% · Colas 8% · Resto 7%</v>
      </c>
      <c r="F707" s="16">
        <f>'[3]Motor Rutas SKU_Cons'!CH711</f>
        <v>0</v>
      </c>
      <c r="G707" s="16">
        <f>'[3]Motor Rutas SKU_Cons'!CG711</f>
        <v>1.6747288689561402E-4</v>
      </c>
      <c r="H707" s="998">
        <f>'[3]Motor Rutas SKU_Cons'!BX711</f>
        <v>1.8836363636363641E-2</v>
      </c>
      <c r="I707" s="998">
        <f>'[3]Motor Rutas SKU_Cons'!BW711</f>
        <v>0</v>
      </c>
    </row>
    <row r="708" spans="1:9">
      <c r="A708" t="str">
        <f>IF('[3]Motor Rutas SKU_Cons'!C712="","",'[3]Motor Rutas SKU_Cons'!C712)</f>
        <v>Occidente</v>
      </c>
      <c r="B708" t="str">
        <f>IF('[3]Motor Rutas SKU_Cons'!D712="","",'[3]Motor Rutas SKU_Cons'!D712)</f>
        <v>Favorita</v>
      </c>
      <c r="C708" t="str">
        <f>IF('[3]Motor Rutas SKU_Cons'!B712="","",'[3]Motor Rutas SKU_Cons'!B712)</f>
        <v>Suc. Santa Maria</v>
      </c>
      <c r="D708">
        <f>'[3]Motor Rutas SKU_Cons'!A712</f>
        <v>809388</v>
      </c>
      <c r="E708" s="997" t="str">
        <f>IF('[3]Motor Rutas SKU_Cons'!N712="","s/d","Agua "&amp;TEXT('[3]Motor Rutas SKU_Cons'!N712,"0%")&amp;" · Colas "&amp;TEXT('[3]Motor Rutas SKU_Cons'!O712,"0%")&amp;" · Resto "&amp;TEXT('[3]Motor Rutas SKU_Cons'!P712,"0%"))</f>
        <v>Agua 85% · Colas 8% · Resto 7%</v>
      </c>
      <c r="F708" s="16">
        <f>'[3]Motor Rutas SKU_Cons'!CH712</f>
        <v>2.446990838934128E-4</v>
      </c>
      <c r="G708" s="16">
        <f>'[3]Motor Rutas SKU_Cons'!CG712</f>
        <v>1.6566031850151117E-4</v>
      </c>
      <c r="H708" s="998">
        <f>'[3]Motor Rutas SKU_Cons'!BX712</f>
        <v>1.0291774891774855E-2</v>
      </c>
      <c r="I708" s="998">
        <f>'[3]Motor Rutas SKU_Cons'!BW712</f>
        <v>8.7675108225107851E-2</v>
      </c>
    </row>
    <row r="709" spans="1:9">
      <c r="A709" t="str">
        <f>IF('[3]Motor Rutas SKU_Cons'!C713="","",'[3]Motor Rutas SKU_Cons'!C713)</f>
        <v>Occidente</v>
      </c>
      <c r="B709" t="str">
        <f>IF('[3]Motor Rutas SKU_Cons'!D713="","",'[3]Motor Rutas SKU_Cons'!D713)</f>
        <v>Favorita</v>
      </c>
      <c r="C709" t="str">
        <f>IF('[3]Motor Rutas SKU_Cons'!B713="","",'[3]Motor Rutas SKU_Cons'!B713)</f>
        <v>Suc. Toluquilla</v>
      </c>
      <c r="D709">
        <f>'[3]Motor Rutas SKU_Cons'!A713</f>
        <v>804362</v>
      </c>
      <c r="E709" s="997" t="str">
        <f>IF('[3]Motor Rutas SKU_Cons'!N713="","s/d","Agua "&amp;TEXT('[3]Motor Rutas SKU_Cons'!N713,"0%")&amp;" · Colas "&amp;TEXT('[3]Motor Rutas SKU_Cons'!O713,"0%")&amp;" · Resto "&amp;TEXT('[3]Motor Rutas SKU_Cons'!P713,"0%"))</f>
        <v>Agua 85% · Colas 8% · Resto 7%</v>
      </c>
      <c r="F709" s="16">
        <f>'[3]Motor Rutas SKU_Cons'!CH713</f>
        <v>0</v>
      </c>
      <c r="G709" s="16">
        <f>'[3]Motor Rutas SKU_Cons'!CG713</f>
        <v>1.5130309090909089E-4</v>
      </c>
      <c r="H709" s="998">
        <f>'[3]Motor Rutas SKU_Cons'!BX713</f>
        <v>1.8836363636363641E-2</v>
      </c>
      <c r="I709" s="998">
        <f>'[3]Motor Rutas SKU_Cons'!BW713</f>
        <v>0</v>
      </c>
    </row>
    <row r="710" spans="1:9">
      <c r="A710" t="str">
        <f>IF('[3]Motor Rutas SKU_Cons'!C714="","",'[3]Motor Rutas SKU_Cons'!C714)</f>
        <v>Occidente</v>
      </c>
      <c r="B710" t="str">
        <f>IF('[3]Motor Rutas SKU_Cons'!D714="","",'[3]Motor Rutas SKU_Cons'!D714)</f>
        <v>San Luis</v>
      </c>
      <c r="C710" t="str">
        <f>IF('[3]Motor Rutas SKU_Cons'!B714="","",'[3]Motor Rutas SKU_Cons'!B714)</f>
        <v>Suc. Río Verde</v>
      </c>
      <c r="D710">
        <f>'[3]Motor Rutas SKU_Cons'!A714</f>
        <v>921399</v>
      </c>
      <c r="E710" s="997" t="str">
        <f>IF('[3]Motor Rutas SKU_Cons'!N714="","s/d","Agua "&amp;TEXT('[3]Motor Rutas SKU_Cons'!N714,"0%")&amp;" · Colas "&amp;TEXT('[3]Motor Rutas SKU_Cons'!O714,"0%")&amp;" · Resto "&amp;TEXT('[3]Motor Rutas SKU_Cons'!P714,"0%"))</f>
        <v>Agua 85% · Colas 8% · Resto 7%</v>
      </c>
      <c r="F710" s="16">
        <f>'[3]Motor Rutas SKU_Cons'!CH714</f>
        <v>0.15561169991345847</v>
      </c>
      <c r="G710" s="16">
        <f>'[3]Motor Rutas SKU_Cons'!CG714</f>
        <v>7.6880582386363604E-5</v>
      </c>
      <c r="H710" s="998">
        <f>'[3]Motor Rutas SKU_Cons'!BX714</f>
        <v>0</v>
      </c>
      <c r="I710" s="998">
        <f>'[3]Motor Rutas SKU_Cons'!BW714</f>
        <v>86.503268287878839</v>
      </c>
    </row>
    <row r="711" spans="1:9">
      <c r="A711" t="str">
        <f>IF('[3]Motor Rutas SKU_Cons'!C715="","",'[3]Motor Rutas SKU_Cons'!C715)</f>
        <v>Occidente</v>
      </c>
      <c r="B711" t="str">
        <f>IF('[3]Motor Rutas SKU_Cons'!D715="","",'[3]Motor Rutas SKU_Cons'!D715)</f>
        <v>Favorita</v>
      </c>
      <c r="C711" t="str">
        <f>IF('[3]Motor Rutas SKU_Cons'!B715="","",'[3]Motor Rutas SKU_Cons'!B715)</f>
        <v>Suc. Alamo</v>
      </c>
      <c r="D711">
        <f>'[3]Motor Rutas SKU_Cons'!A715</f>
        <v>802414</v>
      </c>
      <c r="E711" s="997" t="str">
        <f>IF('[3]Motor Rutas SKU_Cons'!N715="","s/d","Agua "&amp;TEXT('[3]Motor Rutas SKU_Cons'!N715,"0%")&amp;" · Colas "&amp;TEXT('[3]Motor Rutas SKU_Cons'!O715,"0%")&amp;" · Resto "&amp;TEXT('[3]Motor Rutas SKU_Cons'!P715,"0%"))</f>
        <v>Agua 85% · Colas 8% · Resto 7%</v>
      </c>
      <c r="F711" s="16">
        <f>'[3]Motor Rutas SKU_Cons'!CH715</f>
        <v>5.4376888089468036E-4</v>
      </c>
      <c r="G711" s="16">
        <f>'[3]Motor Rutas SKU_Cons'!CG715</f>
        <v>0</v>
      </c>
      <c r="H711" s="998">
        <f>'[3]Motor Rutas SKU_Cons'!BX715</f>
        <v>4.6698484848484823E-2</v>
      </c>
      <c r="I711" s="998">
        <f>'[3]Motor Rutas SKU_Cons'!BW715</f>
        <v>0.56705303030302989</v>
      </c>
    </row>
    <row r="712" spans="1:9">
      <c r="A712" t="str">
        <f>IF('[3]Motor Rutas SKU_Cons'!C716="","",'[3]Motor Rutas SKU_Cons'!C716)</f>
        <v>Occidente</v>
      </c>
      <c r="B712" t="str">
        <f>IF('[3]Motor Rutas SKU_Cons'!D716="","",'[3]Motor Rutas SKU_Cons'!D716)</f>
        <v>Favorita</v>
      </c>
      <c r="C712" t="str">
        <f>IF('[3]Motor Rutas SKU_Cons'!B716="","",'[3]Motor Rutas SKU_Cons'!B716)</f>
        <v>Suc. Santa Maria</v>
      </c>
      <c r="D712">
        <f>'[3]Motor Rutas SKU_Cons'!A716</f>
        <v>809389</v>
      </c>
      <c r="E712" s="997" t="str">
        <f>IF('[3]Motor Rutas SKU_Cons'!N716="","s/d","Agua "&amp;TEXT('[3]Motor Rutas SKU_Cons'!N716,"0%")&amp;" · Colas "&amp;TEXT('[3]Motor Rutas SKU_Cons'!O716,"0%")&amp;" · Resto "&amp;TEXT('[3]Motor Rutas SKU_Cons'!P716,"0%"))</f>
        <v>Agua 85% · Colas 8% · Resto 7%</v>
      </c>
      <c r="F712" s="16">
        <f>'[3]Motor Rutas SKU_Cons'!CH716</f>
        <v>5.1658352434075315E-4</v>
      </c>
      <c r="G712" s="16">
        <f>'[3]Motor Rutas SKU_Cons'!CG716</f>
        <v>0</v>
      </c>
      <c r="H712" s="998">
        <f>'[3]Motor Rutas SKU_Cons'!BX716</f>
        <v>4.436382575757572E-2</v>
      </c>
      <c r="I712" s="998">
        <f>'[3]Motor Rutas SKU_Cons'!BW716</f>
        <v>0.53870359848484806</v>
      </c>
    </row>
    <row r="713" spans="1:9">
      <c r="A713" t="str">
        <f>IF('[3]Motor Rutas SKU_Cons'!C717="","",'[3]Motor Rutas SKU_Cons'!C717)</f>
        <v>Occidente</v>
      </c>
      <c r="B713" t="str">
        <f>IF('[3]Motor Rutas SKU_Cons'!D717="","",'[3]Motor Rutas SKU_Cons'!D717)</f>
        <v>Zapopan</v>
      </c>
      <c r="C713" t="str">
        <f>IF('[3]Motor Rutas SKU_Cons'!B717="","",'[3]Motor Rutas SKU_Cons'!B717)</f>
        <v>Planta Zapopan</v>
      </c>
      <c r="D713">
        <f>'[3]Motor Rutas SKU_Cons'!A717</f>
        <v>816328</v>
      </c>
      <c r="E713" s="997" t="str">
        <f>IF('[3]Motor Rutas SKU_Cons'!N717="","s/d","Agua "&amp;TEXT('[3]Motor Rutas SKU_Cons'!N717,"0%")&amp;" · Colas "&amp;TEXT('[3]Motor Rutas SKU_Cons'!O717,"0%")&amp;" · Resto "&amp;TEXT('[3]Motor Rutas SKU_Cons'!P717,"0%"))</f>
        <v>Agua 85% · Colas 8% · Resto 7%</v>
      </c>
      <c r="F713" s="16">
        <f>'[3]Motor Rutas SKU_Cons'!CH717</f>
        <v>1.956652916132982E-2</v>
      </c>
      <c r="G713" s="16">
        <f>'[3]Motor Rutas SKU_Cons'!CG717</f>
        <v>0</v>
      </c>
      <c r="H713" s="998">
        <f>'[3]Motor Rutas SKU_Cons'!BX717</f>
        <v>0</v>
      </c>
      <c r="I713" s="998">
        <f>'[3]Motor Rutas SKU_Cons'!BW717</f>
        <v>10.882328914141411</v>
      </c>
    </row>
    <row r="714" spans="1:9">
      <c r="A714" t="str">
        <f>IF('[3]Motor Rutas SKU_Cons'!C718="","",'[3]Motor Rutas SKU_Cons'!C718)</f>
        <v>Occidente</v>
      </c>
      <c r="B714" t="str">
        <f>IF('[3]Motor Rutas SKU_Cons'!D718="","",'[3]Motor Rutas SKU_Cons'!D718)</f>
        <v>Zapopan</v>
      </c>
      <c r="C714" t="str">
        <f>IF('[3]Motor Rutas SKU_Cons'!B718="","",'[3]Motor Rutas SKU_Cons'!B718)</f>
        <v>Planta Zapopan</v>
      </c>
      <c r="D714">
        <f>'[3]Motor Rutas SKU_Cons'!A718</f>
        <v>816385</v>
      </c>
      <c r="E714" s="997" t="str">
        <f>IF('[3]Motor Rutas SKU_Cons'!N718="","s/d","Agua "&amp;TEXT('[3]Motor Rutas SKU_Cons'!N718,"0%")&amp;" · Colas "&amp;TEXT('[3]Motor Rutas SKU_Cons'!O718,"0%")&amp;" · Resto "&amp;TEXT('[3]Motor Rutas SKU_Cons'!P718,"0%"))</f>
        <v>Agua 85% · Colas 8% · Resto 7%</v>
      </c>
      <c r="F714" s="16">
        <f>'[3]Motor Rutas SKU_Cons'!CH718</f>
        <v>1.1418930374431811E-3</v>
      </c>
      <c r="G714" s="16">
        <f>'[3]Motor Rutas SKU_Cons'!CG718</f>
        <v>0</v>
      </c>
      <c r="H714" s="998">
        <f>'[3]Motor Rutas SKU_Cons'!BX718</f>
        <v>0.12808484848484836</v>
      </c>
      <c r="I714" s="998">
        <f>'[3]Motor Rutas SKU_Cons'!BW718</f>
        <v>1.360901515151514</v>
      </c>
    </row>
    <row r="715" spans="1:9">
      <c r="A715" t="str">
        <f>IF('[3]Motor Rutas SKU_Cons'!C719="","",'[3]Motor Rutas SKU_Cons'!C719)</f>
        <v>Occidente</v>
      </c>
      <c r="B715" t="str">
        <f>IF('[3]Motor Rutas SKU_Cons'!D719="","",'[3]Motor Rutas SKU_Cons'!D719)</f>
        <v>Zapopan</v>
      </c>
      <c r="C715" t="str">
        <f>IF('[3]Motor Rutas SKU_Cons'!B719="","",'[3]Motor Rutas SKU_Cons'!B719)</f>
        <v>Suc. Huentitán</v>
      </c>
      <c r="D715">
        <f>'[3]Motor Rutas SKU_Cons'!A719</f>
        <v>819410</v>
      </c>
      <c r="E715" s="997" t="str">
        <f>IF('[3]Motor Rutas SKU_Cons'!N719="","s/d","Agua "&amp;TEXT('[3]Motor Rutas SKU_Cons'!N719,"0%")&amp;" · Colas "&amp;TEXT('[3]Motor Rutas SKU_Cons'!O719,"0%")&amp;" · Resto "&amp;TEXT('[3]Motor Rutas SKU_Cons'!P719,"0%"))</f>
        <v>Agua 85% · Colas 8% · Resto 7%</v>
      </c>
      <c r="F715" s="16">
        <f>'[3]Motor Rutas SKU_Cons'!CH719</f>
        <v>2.2707568636816406E-3</v>
      </c>
      <c r="G715" s="16">
        <f>'[3]Motor Rutas SKU_Cons'!CG719</f>
        <v>0</v>
      </c>
      <c r="H715" s="998">
        <f>'[3]Motor Rutas SKU_Cons'!BX719</f>
        <v>0</v>
      </c>
      <c r="I715" s="998">
        <f>'[3]Motor Rutas SKU_Cons'!BW719</f>
        <v>1.2629282828282826</v>
      </c>
    </row>
    <row r="716" spans="1:9">
      <c r="A716" t="str">
        <f>IF('[3]Motor Rutas SKU_Cons'!C720="","",'[3]Motor Rutas SKU_Cons'!C720)</f>
        <v>Occidente</v>
      </c>
      <c r="B716" t="str">
        <f>IF('[3]Motor Rutas SKU_Cons'!D720="","",'[3]Motor Rutas SKU_Cons'!D720)</f>
        <v>Zapopan</v>
      </c>
      <c r="C716" t="str">
        <f>IF('[3]Motor Rutas SKU_Cons'!B720="","",'[3]Motor Rutas SKU_Cons'!B720)</f>
        <v>Suc. Huentitán</v>
      </c>
      <c r="D716">
        <f>'[3]Motor Rutas SKU_Cons'!A720</f>
        <v>819432</v>
      </c>
      <c r="E716" s="997" t="str">
        <f>IF('[3]Motor Rutas SKU_Cons'!N720="","s/d","Agua "&amp;TEXT('[3]Motor Rutas SKU_Cons'!N720,"0%")&amp;" · Colas "&amp;TEXT('[3]Motor Rutas SKU_Cons'!O720,"0%")&amp;" · Resto "&amp;TEXT('[3]Motor Rutas SKU_Cons'!P720,"0%"))</f>
        <v>Agua 85% · Colas 8% · Resto 7%</v>
      </c>
      <c r="F716" s="16">
        <f>'[3]Motor Rutas SKU_Cons'!CH720</f>
        <v>1.5334023092002214E-4</v>
      </c>
      <c r="G716" s="16">
        <f>'[3]Motor Rutas SKU_Cons'!CG720</f>
        <v>0</v>
      </c>
      <c r="H716" s="998">
        <f>'[3]Motor Rutas SKU_Cons'!BX720</f>
        <v>1.3168749999999991E-2</v>
      </c>
      <c r="I716" s="998">
        <f>'[3]Motor Rutas SKU_Cons'!BW720</f>
        <v>0.15990624999999986</v>
      </c>
    </row>
    <row r="717" spans="1:9">
      <c r="A717" t="str">
        <f>IF('[3]Motor Rutas SKU_Cons'!C721="","",'[3]Motor Rutas SKU_Cons'!C721)</f>
        <v>Occidente</v>
      </c>
      <c r="B717" t="str">
        <f>IF('[3]Motor Rutas SKU_Cons'!D721="","",'[3]Motor Rutas SKU_Cons'!D721)</f>
        <v>San Luis</v>
      </c>
      <c r="C717" t="str">
        <f>IF('[3]Motor Rutas SKU_Cons'!B721="","",'[3]Motor Rutas SKU_Cons'!B721)</f>
        <v>Planta San Luis</v>
      </c>
      <c r="D717">
        <f>'[3]Motor Rutas SKU_Cons'!A721</f>
        <v>916399</v>
      </c>
      <c r="E717" s="997" t="str">
        <f>IF('[3]Motor Rutas SKU_Cons'!N721="","s/d","Agua "&amp;TEXT('[3]Motor Rutas SKU_Cons'!N721,"0%")&amp;" · Colas "&amp;TEXT('[3]Motor Rutas SKU_Cons'!O721,"0%")&amp;" · Resto "&amp;TEXT('[3]Motor Rutas SKU_Cons'!P721,"0%"))</f>
        <v>Agua 85% · Colas 8% · Resto 7%</v>
      </c>
      <c r="F717" s="16">
        <f>'[3]Motor Rutas SKU_Cons'!CH721</f>
        <v>6.0561904048202254E-3</v>
      </c>
      <c r="G717" s="16">
        <f>'[3]Motor Rutas SKU_Cons'!CG721</f>
        <v>0</v>
      </c>
      <c r="H717" s="998">
        <f>'[3]Motor Rutas SKU_Cons'!BX721</f>
        <v>0</v>
      </c>
      <c r="I717" s="998">
        <f>'[3]Motor Rutas SKU_Cons'!BW721</f>
        <v>3.368275252525252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F4B0-F2CC-4411-871B-26435CD08C1F}">
  <sheetPr>
    <tabColor theme="6"/>
  </sheetPr>
  <dimension ref="A1:DT794"/>
  <sheetViews>
    <sheetView topLeftCell="DJ1" zoomScale="85" zoomScaleNormal="85" workbookViewId="0">
      <selection activeCell="DM3" sqref="DM3:DT3"/>
    </sheetView>
  </sheetViews>
  <sheetFormatPr defaultColWidth="8.5703125" defaultRowHeight="15"/>
  <cols>
    <col min="1" max="1" width="12" customWidth="1"/>
    <col min="2" max="2" width="15.140625" customWidth="1"/>
    <col min="3" max="5" width="12" customWidth="1"/>
    <col min="6" max="9" width="11.140625" customWidth="1"/>
    <col min="10" max="13" width="17.5703125" customWidth="1"/>
    <col min="14" max="16" width="17.140625" customWidth="1"/>
    <col min="17" max="17" width="14.85546875" customWidth="1"/>
    <col min="18" max="18" width="25.85546875" hidden="1" customWidth="1"/>
    <col min="19" max="19" width="9.140625" hidden="1" customWidth="1"/>
    <col min="20" max="20" width="6.7109375" bestFit="1" customWidth="1"/>
    <col min="21" max="21" width="15.5703125" customWidth="1"/>
    <col min="22" max="23" width="13" customWidth="1"/>
    <col min="24" max="24" width="19.85546875" customWidth="1"/>
    <col min="25" max="25" width="12" hidden="1" customWidth="1"/>
    <col min="26" max="27" width="15.140625" customWidth="1"/>
    <col min="28" max="28" width="14.5703125" customWidth="1"/>
    <col min="29" max="33" width="14" customWidth="1"/>
    <col min="34" max="34" width="13.42578125" customWidth="1"/>
    <col min="35" max="36" width="13" customWidth="1"/>
    <col min="37" max="38" width="15.140625" customWidth="1"/>
    <col min="39" max="39" width="14.5703125" customWidth="1"/>
    <col min="40" max="40" width="15.140625" customWidth="1"/>
    <col min="41" max="43" width="16.140625" customWidth="1"/>
    <col min="44" max="45" width="16.42578125" customWidth="1"/>
    <col min="46" max="46" width="14.5703125" customWidth="1"/>
    <col min="47" max="49" width="14.85546875" customWidth="1"/>
    <col min="50" max="54" width="13.42578125" customWidth="1"/>
    <col min="55" max="55" width="18.140625" customWidth="1"/>
    <col min="56" max="63" width="11.85546875" customWidth="1"/>
    <col min="64" max="68" width="13.140625" customWidth="1"/>
    <col min="69" max="69" width="14.140625" customWidth="1"/>
    <col min="72" max="72" width="10.28515625" bestFit="1" customWidth="1"/>
    <col min="95" max="95" width="12.5703125" bestFit="1" customWidth="1"/>
    <col min="96" max="97" width="10.28515625" customWidth="1"/>
    <col min="101" max="124" width="13.42578125" customWidth="1"/>
  </cols>
  <sheetData>
    <row r="1" spans="1:124" ht="16.5">
      <c r="A1" s="41" t="s">
        <v>104</v>
      </c>
    </row>
    <row r="2" spans="1:124" ht="16.5">
      <c r="A2" s="41"/>
      <c r="AC2" s="714" t="s">
        <v>1517</v>
      </c>
      <c r="AD2" s="714"/>
      <c r="AE2" s="714"/>
      <c r="AF2" s="714"/>
      <c r="AG2" s="714"/>
      <c r="DB2" t="s">
        <v>1669</v>
      </c>
      <c r="DD2" t="s">
        <v>1669</v>
      </c>
      <c r="DJ2" t="s">
        <v>1669</v>
      </c>
      <c r="DL2" t="s">
        <v>1669</v>
      </c>
      <c r="DR2" t="s">
        <v>1669</v>
      </c>
      <c r="DT2" t="s">
        <v>1669</v>
      </c>
    </row>
    <row r="3" spans="1:124" ht="15" customHeight="1">
      <c r="A3" s="904" t="s">
        <v>0</v>
      </c>
      <c r="B3" s="904"/>
      <c r="C3" s="904"/>
      <c r="D3" s="904"/>
      <c r="E3" s="904"/>
      <c r="F3" s="904"/>
      <c r="G3" s="904"/>
      <c r="H3" s="904"/>
      <c r="I3" s="905" t="s">
        <v>1</v>
      </c>
      <c r="J3" s="905"/>
      <c r="K3" s="905"/>
      <c r="L3" s="905"/>
      <c r="M3" s="905"/>
      <c r="N3" s="905"/>
      <c r="O3" s="905"/>
      <c r="P3" s="905"/>
      <c r="Q3" s="905"/>
      <c r="R3" s="905"/>
      <c r="S3" s="905"/>
      <c r="T3" s="905"/>
      <c r="U3" s="905"/>
      <c r="V3" s="905"/>
      <c r="W3" s="905"/>
      <c r="X3" s="905"/>
      <c r="Y3" s="905"/>
      <c r="Z3" s="905"/>
      <c r="AA3" s="905"/>
      <c r="AB3" s="905"/>
      <c r="AC3" s="905"/>
      <c r="AD3" s="905"/>
      <c r="AE3" s="905"/>
      <c r="AF3" s="905"/>
      <c r="AG3" s="905"/>
      <c r="AH3" s="905"/>
      <c r="AI3" s="905"/>
      <c r="AJ3" s="905"/>
      <c r="AK3" s="906" t="s">
        <v>2</v>
      </c>
      <c r="AL3" s="906"/>
      <c r="AM3" s="906"/>
      <c r="AN3" s="906"/>
      <c r="AO3" s="906"/>
      <c r="AP3" s="906"/>
      <c r="AQ3" s="906"/>
      <c r="AR3" s="906"/>
      <c r="AS3" s="906"/>
      <c r="AT3" s="906"/>
      <c r="AU3" s="906"/>
      <c r="AV3" s="906"/>
      <c r="AW3" s="906"/>
      <c r="AX3" s="906"/>
      <c r="AY3" s="906"/>
      <c r="AZ3" s="906"/>
      <c r="BA3" s="906"/>
      <c r="BB3" s="906"/>
      <c r="BC3" s="906"/>
      <c r="BD3" s="907" t="s">
        <v>105</v>
      </c>
      <c r="BE3" s="907"/>
      <c r="BF3" s="907"/>
      <c r="BG3" s="907"/>
      <c r="BH3" s="907"/>
      <c r="BI3" s="907"/>
      <c r="BJ3" s="907"/>
      <c r="BK3" s="907"/>
      <c r="BL3" s="907"/>
      <c r="BM3" s="907"/>
      <c r="BN3" s="907"/>
      <c r="BO3" s="907"/>
      <c r="BP3" s="907"/>
      <c r="BQ3" s="907"/>
      <c r="BR3" s="912" t="s">
        <v>1073</v>
      </c>
      <c r="BS3" s="912"/>
      <c r="BT3" s="912"/>
      <c r="BU3" s="912"/>
      <c r="BV3" s="912"/>
      <c r="BW3" s="912"/>
      <c r="BX3" s="912"/>
      <c r="BY3" s="912"/>
      <c r="BZ3" s="912"/>
      <c r="CA3" s="912"/>
      <c r="CB3" s="912"/>
      <c r="CC3" s="912"/>
      <c r="CD3" s="912"/>
      <c r="CE3" s="912"/>
      <c r="CF3" s="912"/>
      <c r="CG3" s="912"/>
      <c r="CH3" s="912"/>
      <c r="CI3" s="912"/>
      <c r="CJ3" s="912"/>
      <c r="CK3" s="913" t="s">
        <v>1487</v>
      </c>
      <c r="CL3" s="914"/>
      <c r="CM3" s="914"/>
      <c r="CN3" s="914"/>
      <c r="CO3" s="914"/>
      <c r="CP3" s="914"/>
      <c r="CQ3" s="914"/>
      <c r="CR3" s="914"/>
      <c r="CS3" s="914"/>
      <c r="CT3" s="914"/>
      <c r="CU3" s="914"/>
      <c r="CV3" s="914"/>
      <c r="CW3" s="902" t="s">
        <v>1685</v>
      </c>
      <c r="CX3" s="902"/>
      <c r="CY3" s="902"/>
      <c r="CZ3" s="902"/>
      <c r="DA3" s="902"/>
      <c r="DB3" s="902"/>
      <c r="DC3" s="902"/>
      <c r="DD3" s="903"/>
      <c r="DE3" s="902" t="s">
        <v>1686</v>
      </c>
      <c r="DF3" s="902"/>
      <c r="DG3" s="902"/>
      <c r="DH3" s="902"/>
      <c r="DI3" s="902"/>
      <c r="DJ3" s="902"/>
      <c r="DK3" s="902"/>
      <c r="DL3" s="903"/>
      <c r="DM3" s="902" t="s">
        <v>1689</v>
      </c>
      <c r="DN3" s="902"/>
      <c r="DO3" s="902"/>
      <c r="DP3" s="902"/>
      <c r="DQ3" s="902"/>
      <c r="DR3" s="902"/>
      <c r="DS3" s="902"/>
      <c r="DT3" s="903"/>
    </row>
    <row r="4" spans="1:124">
      <c r="A4" s="908" t="s">
        <v>106</v>
      </c>
      <c r="B4" s="908"/>
      <c r="C4" s="908"/>
      <c r="D4" s="908"/>
      <c r="E4" s="908"/>
      <c r="F4" s="908"/>
      <c r="G4" s="908"/>
      <c r="H4" s="908"/>
      <c r="I4" s="771" t="s">
        <v>5</v>
      </c>
      <c r="J4" s="909" t="s">
        <v>6</v>
      </c>
      <c r="K4" s="909"/>
      <c r="L4" s="909"/>
      <c r="M4" s="771"/>
      <c r="N4" s="909" t="s">
        <v>11</v>
      </c>
      <c r="O4" s="909"/>
      <c r="P4" s="909"/>
      <c r="Q4" s="909"/>
      <c r="R4" s="909" t="s">
        <v>107</v>
      </c>
      <c r="S4" s="909"/>
      <c r="T4" s="909"/>
      <c r="U4" s="909"/>
      <c r="V4" s="909"/>
      <c r="W4" s="909" t="s">
        <v>8</v>
      </c>
      <c r="X4" s="909"/>
      <c r="Y4" s="909"/>
      <c r="Z4" s="909" t="s">
        <v>9</v>
      </c>
      <c r="AA4" s="909"/>
      <c r="AB4" s="909" t="s">
        <v>10</v>
      </c>
      <c r="AC4" s="909"/>
      <c r="AD4" s="909"/>
      <c r="AE4" s="909"/>
      <c r="AF4" s="909"/>
      <c r="AG4" s="909"/>
      <c r="AH4" s="909"/>
      <c r="AI4" s="909"/>
      <c r="AJ4" s="909"/>
      <c r="AK4" s="910" t="s">
        <v>13</v>
      </c>
      <c r="AL4" s="910"/>
      <c r="AM4" s="910" t="s">
        <v>108</v>
      </c>
      <c r="AN4" s="910"/>
      <c r="AO4" s="910" t="s">
        <v>109</v>
      </c>
      <c r="AP4" s="910"/>
      <c r="AQ4" s="910"/>
      <c r="AR4" s="910" t="s">
        <v>16</v>
      </c>
      <c r="AS4" s="910"/>
      <c r="AT4" s="910"/>
      <c r="AU4" s="910" t="s">
        <v>110</v>
      </c>
      <c r="AV4" s="910"/>
      <c r="AW4" s="910"/>
      <c r="AX4" s="910" t="s">
        <v>18</v>
      </c>
      <c r="AY4" s="910"/>
      <c r="AZ4" s="910"/>
      <c r="BA4" s="910"/>
      <c r="BB4" s="910"/>
      <c r="BC4" s="772" t="s">
        <v>19</v>
      </c>
      <c r="BD4" s="911" t="s">
        <v>111</v>
      </c>
      <c r="BE4" s="911"/>
      <c r="BF4" s="911"/>
      <c r="BG4" s="911"/>
      <c r="BH4" s="911"/>
      <c r="BI4" s="911"/>
      <c r="BJ4" s="911"/>
      <c r="BK4" s="911"/>
      <c r="BL4" s="911"/>
      <c r="BM4" s="911"/>
      <c r="BN4" s="911" t="s">
        <v>112</v>
      </c>
      <c r="BO4" s="911"/>
      <c r="BP4" s="911"/>
      <c r="BQ4" s="773" t="s">
        <v>113</v>
      </c>
      <c r="BR4" s="912" t="s">
        <v>1073</v>
      </c>
      <c r="BS4" s="912"/>
      <c r="BT4" s="912"/>
      <c r="BU4" s="912"/>
      <c r="BV4" s="912"/>
      <c r="BW4" s="912"/>
      <c r="BX4" s="912"/>
      <c r="BY4" s="912"/>
      <c r="BZ4" s="912"/>
      <c r="CA4" s="912"/>
      <c r="CB4" s="912"/>
      <c r="CC4" s="912"/>
      <c r="CD4" s="912"/>
      <c r="CE4" s="912"/>
      <c r="CF4" s="912"/>
      <c r="CG4" s="912"/>
      <c r="CH4" s="912"/>
      <c r="CI4" s="912"/>
      <c r="CJ4" s="912"/>
      <c r="CK4" s="915" t="s">
        <v>1500</v>
      </c>
      <c r="CL4" s="916"/>
      <c r="CM4" s="916"/>
      <c r="CN4" s="916"/>
      <c r="CO4" s="916"/>
      <c r="CP4" s="917"/>
      <c r="CQ4" s="840" t="s">
        <v>1507</v>
      </c>
      <c r="CR4" s="841"/>
      <c r="CS4" s="841"/>
      <c r="CT4" s="841"/>
      <c r="CU4" s="841"/>
      <c r="CV4" s="841"/>
      <c r="CW4" s="770"/>
      <c r="CX4" s="770"/>
      <c r="CY4" s="770"/>
      <c r="CZ4" s="770"/>
      <c r="DA4" s="770"/>
      <c r="DB4" s="770"/>
      <c r="DC4" s="770"/>
      <c r="DD4" s="770"/>
      <c r="DE4" s="770"/>
      <c r="DF4" s="770"/>
      <c r="DG4" s="770"/>
      <c r="DH4" s="770"/>
      <c r="DI4" s="770"/>
      <c r="DJ4" s="770"/>
      <c r="DK4" s="770"/>
      <c r="DL4" s="770"/>
      <c r="DM4" s="770"/>
      <c r="DN4" s="770"/>
      <c r="DO4" s="770"/>
      <c r="DP4" s="770"/>
      <c r="DQ4" s="770"/>
      <c r="DR4" s="770"/>
      <c r="DS4" s="770"/>
      <c r="DT4" s="770"/>
    </row>
    <row r="5" spans="1:124" ht="60">
      <c r="A5" s="774" t="s">
        <v>23</v>
      </c>
      <c r="B5" s="774" t="s">
        <v>24</v>
      </c>
      <c r="C5" s="774" t="s">
        <v>25</v>
      </c>
      <c r="D5" s="774" t="s">
        <v>114</v>
      </c>
      <c r="E5" s="774" t="s">
        <v>115</v>
      </c>
      <c r="F5" s="774" t="s">
        <v>116</v>
      </c>
      <c r="G5" s="774" t="s">
        <v>117</v>
      </c>
      <c r="H5" s="774" t="s">
        <v>118</v>
      </c>
      <c r="I5" s="774" t="s">
        <v>119</v>
      </c>
      <c r="J5" s="774" t="s">
        <v>27</v>
      </c>
      <c r="K5" s="774" t="s">
        <v>28</v>
      </c>
      <c r="L5" s="774" t="s">
        <v>29</v>
      </c>
      <c r="M5" s="774" t="s">
        <v>120</v>
      </c>
      <c r="N5" s="774" t="s">
        <v>47</v>
      </c>
      <c r="O5" s="774" t="s">
        <v>48</v>
      </c>
      <c r="P5" s="774" t="s">
        <v>49</v>
      </c>
      <c r="Q5" s="774" t="s">
        <v>50</v>
      </c>
      <c r="R5" s="774" t="s">
        <v>30</v>
      </c>
      <c r="S5" s="774" t="s">
        <v>31</v>
      </c>
      <c r="T5" s="774" t="s">
        <v>32</v>
      </c>
      <c r="U5" s="774" t="s">
        <v>1488</v>
      </c>
      <c r="V5" s="774" t="s">
        <v>121</v>
      </c>
      <c r="W5" s="774" t="s">
        <v>1494</v>
      </c>
      <c r="X5" s="774" t="s">
        <v>35</v>
      </c>
      <c r="Y5" s="774" t="s">
        <v>36</v>
      </c>
      <c r="Z5" s="774" t="s">
        <v>37</v>
      </c>
      <c r="AA5" s="774" t="s">
        <v>38</v>
      </c>
      <c r="AB5" s="774" t="s">
        <v>42</v>
      </c>
      <c r="AC5" s="774" t="s">
        <v>43</v>
      </c>
      <c r="AD5" s="774" t="s">
        <v>1564</v>
      </c>
      <c r="AE5" s="774" t="s">
        <v>1565</v>
      </c>
      <c r="AF5" s="774" t="s">
        <v>1566</v>
      </c>
      <c r="AG5" s="774" t="s">
        <v>1567</v>
      </c>
      <c r="AH5" s="774" t="s">
        <v>1489</v>
      </c>
      <c r="AI5" s="774" t="s">
        <v>1490</v>
      </c>
      <c r="AJ5" s="774" t="s">
        <v>1491</v>
      </c>
      <c r="AK5" s="774" t="s">
        <v>122</v>
      </c>
      <c r="AL5" s="774" t="s">
        <v>123</v>
      </c>
      <c r="AM5" s="774" t="s">
        <v>124</v>
      </c>
      <c r="AN5" s="774" t="s">
        <v>56</v>
      </c>
      <c r="AO5" s="774" t="s">
        <v>57</v>
      </c>
      <c r="AP5" s="774" t="s">
        <v>58</v>
      </c>
      <c r="AQ5" s="774" t="s">
        <v>125</v>
      </c>
      <c r="AR5" s="774" t="s">
        <v>60</v>
      </c>
      <c r="AS5" s="774" t="s">
        <v>126</v>
      </c>
      <c r="AT5" s="774" t="s">
        <v>127</v>
      </c>
      <c r="AU5" s="774" t="s">
        <v>128</v>
      </c>
      <c r="AV5" s="774" t="s">
        <v>64</v>
      </c>
      <c r="AW5" s="774" t="s">
        <v>65</v>
      </c>
      <c r="AX5" s="774" t="s">
        <v>129</v>
      </c>
      <c r="AY5" s="774" t="s">
        <v>130</v>
      </c>
      <c r="AZ5" s="774" t="s">
        <v>131</v>
      </c>
      <c r="BA5" s="774" t="s">
        <v>132</v>
      </c>
      <c r="BB5" s="774" t="s">
        <v>67</v>
      </c>
      <c r="BC5" s="774" t="s">
        <v>68</v>
      </c>
      <c r="BD5" s="774" t="s">
        <v>133</v>
      </c>
      <c r="BE5" s="774" t="s">
        <v>134</v>
      </c>
      <c r="BF5" s="774" t="s">
        <v>135</v>
      </c>
      <c r="BG5" s="774" t="s">
        <v>136</v>
      </c>
      <c r="BH5" s="774" t="s">
        <v>137</v>
      </c>
      <c r="BI5" s="774" t="s">
        <v>138</v>
      </c>
      <c r="BJ5" s="774" t="s">
        <v>139</v>
      </c>
      <c r="BK5" s="774" t="s">
        <v>140</v>
      </c>
      <c r="BL5" s="774" t="s">
        <v>141</v>
      </c>
      <c r="BM5" s="774" t="s">
        <v>142</v>
      </c>
      <c r="BN5" s="774" t="s">
        <v>143</v>
      </c>
      <c r="BO5" s="774" t="s">
        <v>144</v>
      </c>
      <c r="BP5" s="774" t="s">
        <v>145</v>
      </c>
      <c r="BQ5" s="774" t="s">
        <v>74</v>
      </c>
      <c r="BR5" s="774" t="s">
        <v>1074</v>
      </c>
      <c r="BS5" s="774" t="s">
        <v>1075</v>
      </c>
      <c r="BT5" s="774" t="s">
        <v>1076</v>
      </c>
      <c r="BU5" s="774" t="s">
        <v>1077</v>
      </c>
      <c r="BV5" s="774" t="s">
        <v>1078</v>
      </c>
      <c r="BW5" s="774" t="s">
        <v>1079</v>
      </c>
      <c r="BX5" s="774" t="s">
        <v>1080</v>
      </c>
      <c r="BY5" s="774" t="s">
        <v>1081</v>
      </c>
      <c r="BZ5" s="774" t="s">
        <v>1082</v>
      </c>
      <c r="CA5" s="774" t="s">
        <v>1083</v>
      </c>
      <c r="CB5" s="774" t="s">
        <v>1084</v>
      </c>
      <c r="CC5" s="774" t="s">
        <v>1085</v>
      </c>
      <c r="CD5" s="774" t="s">
        <v>1086</v>
      </c>
      <c r="CE5" s="774" t="s">
        <v>1087</v>
      </c>
      <c r="CF5" s="774" t="s">
        <v>1088</v>
      </c>
      <c r="CG5" s="774" t="s">
        <v>1089</v>
      </c>
      <c r="CH5" s="774" t="s">
        <v>1090</v>
      </c>
      <c r="CI5" s="774" t="s">
        <v>1091</v>
      </c>
      <c r="CJ5" s="774" t="s">
        <v>1092</v>
      </c>
      <c r="CK5" s="774" t="s">
        <v>1569</v>
      </c>
      <c r="CL5" s="774" t="s">
        <v>1502</v>
      </c>
      <c r="CM5" s="774" t="s">
        <v>1505</v>
      </c>
      <c r="CN5" s="774" t="s">
        <v>1503</v>
      </c>
      <c r="CO5" s="774" t="s">
        <v>1504</v>
      </c>
      <c r="CP5" s="774" t="s">
        <v>1506</v>
      </c>
      <c r="CQ5" s="774" t="s">
        <v>1509</v>
      </c>
      <c r="CR5" s="774" t="s">
        <v>1508</v>
      </c>
      <c r="CS5" s="774" t="s">
        <v>1510</v>
      </c>
      <c r="CT5" s="774" t="s">
        <v>1511</v>
      </c>
      <c r="CU5" s="774" t="s">
        <v>1512</v>
      </c>
      <c r="CV5" s="774" t="s">
        <v>1570</v>
      </c>
      <c r="CW5" s="774" t="s">
        <v>1513</v>
      </c>
      <c r="CX5" s="889" t="s">
        <v>1568</v>
      </c>
      <c r="CY5" s="774" t="s">
        <v>1514</v>
      </c>
      <c r="CZ5" s="889" t="s">
        <v>1658</v>
      </c>
      <c r="DA5" s="889" t="s">
        <v>1659</v>
      </c>
      <c r="DB5" s="774" t="s">
        <v>1515</v>
      </c>
      <c r="DC5" s="889" t="s">
        <v>1660</v>
      </c>
      <c r="DD5" s="774" t="s">
        <v>1516</v>
      </c>
      <c r="DE5" s="774" t="s">
        <v>1513</v>
      </c>
      <c r="DF5" s="889" t="s">
        <v>1568</v>
      </c>
      <c r="DG5" s="774" t="s">
        <v>1514</v>
      </c>
      <c r="DH5" s="889" t="s">
        <v>1658</v>
      </c>
      <c r="DI5" s="889" t="s">
        <v>1659</v>
      </c>
      <c r="DJ5" s="774" t="s">
        <v>1515</v>
      </c>
      <c r="DK5" s="889" t="s">
        <v>1660</v>
      </c>
      <c r="DL5" s="774" t="s">
        <v>1516</v>
      </c>
      <c r="DM5" s="774" t="s">
        <v>1513</v>
      </c>
      <c r="DN5" s="889" t="s">
        <v>1568</v>
      </c>
      <c r="DO5" s="774" t="s">
        <v>1514</v>
      </c>
      <c r="DP5" s="889" t="s">
        <v>1658</v>
      </c>
      <c r="DQ5" s="889" t="s">
        <v>1659</v>
      </c>
      <c r="DR5" s="774" t="s">
        <v>1515</v>
      </c>
      <c r="DS5" s="889" t="s">
        <v>1660</v>
      </c>
      <c r="DT5" s="774" t="s">
        <v>1516</v>
      </c>
    </row>
    <row r="6" spans="1:124">
      <c r="A6" s="42" t="s">
        <v>92</v>
      </c>
      <c r="B6" s="42" t="s">
        <v>146</v>
      </c>
      <c r="C6" s="42" t="s">
        <v>147</v>
      </c>
      <c r="D6" s="42">
        <v>105300</v>
      </c>
      <c r="E6" s="42" t="s">
        <v>148</v>
      </c>
      <c r="F6" s="42" t="s">
        <v>149</v>
      </c>
      <c r="G6" s="42" t="s">
        <v>150</v>
      </c>
      <c r="H6" s="43" t="s">
        <v>150</v>
      </c>
      <c r="I6" s="44">
        <v>3</v>
      </c>
      <c r="J6" s="45">
        <v>35033.790399999998</v>
      </c>
      <c r="K6" s="46">
        <v>30787.417119999998</v>
      </c>
      <c r="L6" s="47">
        <v>65821.207519999996</v>
      </c>
      <c r="M6" s="48">
        <v>4663587</v>
      </c>
      <c r="N6" s="49">
        <v>521961</v>
      </c>
      <c r="O6" s="49">
        <v>4141626</v>
      </c>
      <c r="P6" s="49">
        <v>0</v>
      </c>
      <c r="Q6" s="50">
        <v>11077.3995249406</v>
      </c>
      <c r="R6" s="51">
        <v>688.35453644154802</v>
      </c>
      <c r="S6" s="49">
        <v>2836.8939417445399</v>
      </c>
      <c r="T6" s="49">
        <v>464.31479355985101</v>
      </c>
      <c r="U6" s="49">
        <f>IFERROR(INDEX('Rentabilidad datos'!$N$2:$N$61,MATCH($C6,'Rentabilidad datos'!$C$2:$C$61,0)),"")</f>
        <v>3989.5632717459348</v>
      </c>
      <c r="V6" s="50">
        <f>IFERROR(INDEX('Rentabilidad datos'!$O$2:$O$61,MATCH($C6,'Rentabilidad datos'!$C$2:$C$61,0)),"")</f>
        <v>1329.8544239153116</v>
      </c>
      <c r="W6" s="51">
        <f>IFERROR(INDEX('Rentabilidad datos'!$M$2:$M$61,MATCH($C6,'Rentabilidad datos'!$C$2:$C$61,0)),"")</f>
        <v>2708.9427499999997</v>
      </c>
      <c r="X6" s="52">
        <f>IFERROR(INDEX('Rentabilidad datos'!$P$2:$P$61,MATCH($C6,'Rentabilidad datos'!$C$2:$C$61,0)),"")</f>
        <v>0.49091270899516487</v>
      </c>
      <c r="Y6" s="43" t="s">
        <v>151</v>
      </c>
      <c r="Z6" s="53">
        <v>36</v>
      </c>
      <c r="AA6" s="43">
        <v>1</v>
      </c>
      <c r="AB6" s="54">
        <v>1</v>
      </c>
      <c r="AC6" s="55">
        <v>0</v>
      </c>
      <c r="AD6" s="752" t="e">
        <f>_xlfn.XLOOKUP(Table1[[#This Row],[Ruta]],#REF!,#REF!)</f>
        <v>#REF!</v>
      </c>
      <c r="AE6" s="752" t="e">
        <f>_xlfn.XLOOKUP(Table1[[#This Row],[Ruta]],#REF!,#REF!)</f>
        <v>#REF!</v>
      </c>
      <c r="AF6" s="752" t="e">
        <f>_xlfn.XLOOKUP(Table1[[#This Row],[Ruta]],#REF!,#REF!)</f>
        <v>#REF!</v>
      </c>
      <c r="AG6" s="752" t="e">
        <f>_xlfn.XLOOKUP(Table1[[#This Row],[Ruta]],#REF!,#REF!)</f>
        <v>#REF!</v>
      </c>
      <c r="AH6" s="52">
        <v>0.11192264666661092</v>
      </c>
      <c r="AI6" s="52">
        <v>0.88807735333338911</v>
      </c>
      <c r="AJ6" s="55">
        <v>0</v>
      </c>
      <c r="AK6" s="56">
        <v>15156</v>
      </c>
      <c r="AL6" s="44">
        <v>5829</v>
      </c>
      <c r="AM6" s="54">
        <v>0.384600158353128</v>
      </c>
      <c r="AN6" s="55">
        <v>0.51668552657086098</v>
      </c>
      <c r="AO6" s="56">
        <v>2001.8858407079699</v>
      </c>
      <c r="AP6" s="48">
        <v>1000.942920353985</v>
      </c>
      <c r="AQ6" s="55">
        <v>0.45064284246199426</v>
      </c>
      <c r="AR6" s="51">
        <v>4663585.2</v>
      </c>
      <c r="AS6" s="49">
        <v>800820.48197077005</v>
      </c>
      <c r="AT6" s="55">
        <v>0.1717177766947991</v>
      </c>
      <c r="AU6" s="51">
        <v>562738.71706054127</v>
      </c>
      <c r="AV6" s="52">
        <v>2.5599516773461739E-3</v>
      </c>
      <c r="AW6" s="44">
        <v>132</v>
      </c>
      <c r="AX6" s="51">
        <v>800.06608337622197</v>
      </c>
      <c r="AY6" s="49">
        <v>754.63814602415403</v>
      </c>
      <c r="AZ6" s="49">
        <v>0</v>
      </c>
      <c r="BA6" s="42" t="s">
        <v>152</v>
      </c>
      <c r="BB6" s="50">
        <v>0</v>
      </c>
      <c r="BC6" s="57">
        <v>562738.71706054127</v>
      </c>
      <c r="BD6" s="42" t="s">
        <v>150</v>
      </c>
      <c r="BE6" s="46">
        <v>36</v>
      </c>
      <c r="BF6" s="46">
        <v>36</v>
      </c>
      <c r="BG6" s="42" t="s">
        <v>150</v>
      </c>
      <c r="BH6" s="52">
        <v>0.384600158353128</v>
      </c>
      <c r="BI6" s="52">
        <v>0.384600158353128</v>
      </c>
      <c r="BJ6" s="42" t="s">
        <v>150</v>
      </c>
      <c r="BK6" s="46">
        <v>156.344910973872</v>
      </c>
      <c r="BL6" s="46">
        <v>156.344910973872</v>
      </c>
      <c r="BM6" s="42" t="s">
        <v>150</v>
      </c>
      <c r="BN6" s="48">
        <v>3</v>
      </c>
      <c r="BO6" s="42" t="s">
        <v>153</v>
      </c>
      <c r="BP6" s="42" t="s">
        <v>150</v>
      </c>
      <c r="BQ6" s="46">
        <v>584.47038810974504</v>
      </c>
      <c r="BR6" s="46" t="e">
        <v>#N/A</v>
      </c>
      <c r="BS6" s="46" t="e">
        <v>#N/A</v>
      </c>
      <c r="BT6" s="46" t="e">
        <v>#N/A</v>
      </c>
      <c r="BU6" s="46" t="e">
        <v>#N/A</v>
      </c>
      <c r="BV6" s="46" t="e">
        <v>#N/A</v>
      </c>
      <c r="BW6" s="46" t="e">
        <v>#N/A</v>
      </c>
      <c r="BX6" s="46" t="e">
        <v>#N/A</v>
      </c>
      <c r="BY6" s="46" t="e">
        <v>#N/A</v>
      </c>
      <c r="BZ6" s="46" t="e">
        <v>#N/A</v>
      </c>
      <c r="CA6" s="46" t="e">
        <v>#N/A</v>
      </c>
      <c r="CB6" s="46" t="e">
        <v>#N/A</v>
      </c>
      <c r="CC6" s="46" t="e">
        <v>#N/A</v>
      </c>
      <c r="CD6" s="46" t="e">
        <v>#N/A</v>
      </c>
      <c r="CE6" s="46" t="e">
        <v>#N/A</v>
      </c>
      <c r="CF6" s="46" t="e">
        <v>#N/A</v>
      </c>
      <c r="CG6" s="46" t="e">
        <v>#N/A</v>
      </c>
      <c r="CH6" s="46" t="e">
        <v>#N/A</v>
      </c>
      <c r="CI6" s="46" t="e">
        <v>#N/A</v>
      </c>
      <c r="CJ6" s="46" t="e">
        <v>#N/A</v>
      </c>
      <c r="CM6">
        <f t="shared" ref="CM6:CM8" si="0">CL6-CK6</f>
        <v>0</v>
      </c>
      <c r="CP6">
        <f t="shared" ref="CP6:CP8" si="1">CO6-CN6</f>
        <v>0</v>
      </c>
      <c r="CS6">
        <f t="shared" ref="CS6:CS8" si="2">CQ6-CR6</f>
        <v>0</v>
      </c>
      <c r="CW6" s="46"/>
      <c r="CX6" s="46" t="e">
        <f t="shared" ref="CX6:CX69" si="3">((CW6-CY6)/BT6)*100</f>
        <v>#N/A</v>
      </c>
      <c r="CY6" s="46"/>
      <c r="CZ6" s="46" t="e">
        <f t="shared" ref="CZ6:CZ69" si="4">((CW6)/BT6)*100</f>
        <v>#N/A</v>
      </c>
      <c r="DA6" s="46" t="e">
        <f t="shared" ref="DA6:DA69" si="5">DB6/(CY6+BT6)</f>
        <v>#N/A</v>
      </c>
      <c r="DB6" s="46"/>
      <c r="DC6" s="46" t="e">
        <f t="shared" ref="DC6:DC69" si="6">DD6/(CY6+BT6)</f>
        <v>#N/A</v>
      </c>
      <c r="DD6" s="46"/>
      <c r="DE6" s="995" t="s">
        <v>194</v>
      </c>
      <c r="DF6" s="995" t="s">
        <v>194</v>
      </c>
      <c r="DG6" s="995" t="s">
        <v>194</v>
      </c>
      <c r="DH6" s="995" t="s">
        <v>194</v>
      </c>
      <c r="DI6" s="995" t="s">
        <v>194</v>
      </c>
      <c r="DJ6" s="995" t="s">
        <v>194</v>
      </c>
      <c r="DK6" s="995" t="s">
        <v>194</v>
      </c>
      <c r="DL6" s="995" t="s">
        <v>194</v>
      </c>
      <c r="DM6" s="995" t="s">
        <v>194</v>
      </c>
      <c r="DN6" s="995" t="s">
        <v>194</v>
      </c>
      <c r="DO6" s="995" t="s">
        <v>194</v>
      </c>
      <c r="DP6" s="995" t="s">
        <v>194</v>
      </c>
      <c r="DQ6" s="995" t="s">
        <v>194</v>
      </c>
      <c r="DR6" s="995" t="s">
        <v>194</v>
      </c>
      <c r="DS6" s="995" t="s">
        <v>194</v>
      </c>
      <c r="DT6" s="995" t="s">
        <v>194</v>
      </c>
    </row>
    <row r="7" spans="1:124">
      <c r="A7" s="42" t="s">
        <v>92</v>
      </c>
      <c r="B7" s="42" t="s">
        <v>146</v>
      </c>
      <c r="C7" s="42" t="s">
        <v>147</v>
      </c>
      <c r="D7" s="42">
        <v>105301</v>
      </c>
      <c r="E7" s="42" t="s">
        <v>154</v>
      </c>
      <c r="F7" s="42" t="s">
        <v>149</v>
      </c>
      <c r="G7" s="42" t="s">
        <v>150</v>
      </c>
      <c r="H7" s="43" t="s">
        <v>150</v>
      </c>
      <c r="I7" s="44">
        <v>3</v>
      </c>
      <c r="J7" s="45">
        <v>40563.958400000003</v>
      </c>
      <c r="K7" s="46">
        <v>13839.586133000001</v>
      </c>
      <c r="L7" s="47">
        <v>54403.544533</v>
      </c>
      <c r="M7" s="48">
        <v>2780293</v>
      </c>
      <c r="N7" s="49">
        <v>624714</v>
      </c>
      <c r="O7" s="49">
        <v>2155579</v>
      </c>
      <c r="P7" s="49">
        <v>0</v>
      </c>
      <c r="Q7" s="50">
        <v>6864.9177037036998</v>
      </c>
      <c r="R7" s="51">
        <v>688.35453644154802</v>
      </c>
      <c r="S7" s="49">
        <v>2836.8939417445399</v>
      </c>
      <c r="T7" s="49">
        <v>464.31479355985101</v>
      </c>
      <c r="U7" s="49">
        <f>IFERROR(INDEX('Rentabilidad datos'!$N$2:$N$61,MATCH($C7,'Rentabilidad datos'!$C$2:$C$61,0)),"")</f>
        <v>3989.5632717459348</v>
      </c>
      <c r="V7" s="50">
        <f>IFERROR(INDEX('Rentabilidad datos'!$O$2:$O$61,MATCH($C7,'Rentabilidad datos'!$C$2:$C$61,0)),"")</f>
        <v>1329.8544239153116</v>
      </c>
      <c r="W7" s="51">
        <f>IFERROR(INDEX('Rentabilidad datos'!$M$2:$M$61,MATCH($C7,'Rentabilidad datos'!$C$2:$C$61,0)),"")</f>
        <v>2708.9427499999997</v>
      </c>
      <c r="X7" s="52">
        <f>IFERROR(INDEX('Rentabilidad datos'!$P$2:$P$61,MATCH($C7,'Rentabilidad datos'!$C$2:$C$61,0)),"")</f>
        <v>0.49091270899516487</v>
      </c>
      <c r="Y7" s="43" t="s">
        <v>151</v>
      </c>
      <c r="Z7" s="53">
        <v>25.1111111111111</v>
      </c>
      <c r="AA7" s="43">
        <v>1</v>
      </c>
      <c r="AB7" s="54">
        <v>1</v>
      </c>
      <c r="AC7" s="55">
        <v>0</v>
      </c>
      <c r="AD7" s="752" t="e">
        <f>_xlfn.XLOOKUP(Table1[[#This Row],[Ruta]],#REF!,#REF!)</f>
        <v>#REF!</v>
      </c>
      <c r="AE7" s="752" t="e">
        <f>_xlfn.XLOOKUP(Table1[[#This Row],[Ruta]],#REF!,#REF!)</f>
        <v>#REF!</v>
      </c>
      <c r="AF7" s="752" t="e">
        <f>_xlfn.XLOOKUP(Table1[[#This Row],[Ruta]],#REF!,#REF!)</f>
        <v>#REF!</v>
      </c>
      <c r="AG7" s="752" t="e">
        <f>_xlfn.XLOOKUP(Table1[[#This Row],[Ruta]],#REF!,#REF!)</f>
        <v>#REF!</v>
      </c>
      <c r="AH7" s="52">
        <v>0.22469358445314935</v>
      </c>
      <c r="AI7" s="52">
        <v>0.77530641554685065</v>
      </c>
      <c r="AJ7" s="55">
        <v>0</v>
      </c>
      <c r="AK7" s="56">
        <v>10170</v>
      </c>
      <c r="AL7" s="44">
        <v>6598</v>
      </c>
      <c r="AM7" s="54">
        <v>0.64877089478859395</v>
      </c>
      <c r="AN7" s="55">
        <v>0.51668552657086098</v>
      </c>
      <c r="AO7" s="56">
        <v>0</v>
      </c>
      <c r="AP7" s="48">
        <v>0</v>
      </c>
      <c r="AQ7" s="55">
        <v>0.64877089478859395</v>
      </c>
      <c r="AR7" s="51">
        <v>2780291.67</v>
      </c>
      <c r="AS7" s="49">
        <v>0</v>
      </c>
      <c r="AT7" s="55">
        <v>0</v>
      </c>
      <c r="AU7" s="51">
        <v>0</v>
      </c>
      <c r="AV7" s="52">
        <v>0</v>
      </c>
      <c r="AW7" s="44">
        <v>490</v>
      </c>
      <c r="AX7" s="51">
        <v>421.38400575932098</v>
      </c>
      <c r="AY7" s="49">
        <v>754.63814602415403</v>
      </c>
      <c r="AZ7" s="49">
        <v>333.25414026483304</v>
      </c>
      <c r="BA7" s="42" t="s">
        <v>150</v>
      </c>
      <c r="BB7" s="50">
        <v>772555.15208312962</v>
      </c>
      <c r="BC7" s="57">
        <v>772555.15208312962</v>
      </c>
      <c r="BD7" s="42" t="s">
        <v>150</v>
      </c>
      <c r="BE7" s="46">
        <v>25.1111111111111</v>
      </c>
      <c r="BF7" s="46">
        <v>36</v>
      </c>
      <c r="BG7" s="42" t="s">
        <v>152</v>
      </c>
      <c r="BH7" s="52">
        <v>0.64877089478859395</v>
      </c>
      <c r="BI7" s="52">
        <v>0.384600158353128</v>
      </c>
      <c r="BJ7" s="42" t="s">
        <v>150</v>
      </c>
      <c r="BK7" s="46">
        <v>134.32973958765399</v>
      </c>
      <c r="BL7" s="46">
        <v>156.344910973872</v>
      </c>
      <c r="BM7" s="42" t="s">
        <v>152</v>
      </c>
      <c r="BN7" s="48">
        <v>1</v>
      </c>
      <c r="BO7" s="42" t="s">
        <v>155</v>
      </c>
      <c r="BP7" s="42" t="s">
        <v>152</v>
      </c>
      <c r="BQ7" s="46">
        <v>0</v>
      </c>
      <c r="BR7" s="46" t="e">
        <v>#N/A</v>
      </c>
      <c r="BS7" s="46" t="e">
        <v>#N/A</v>
      </c>
      <c r="BT7" s="46" t="e">
        <v>#N/A</v>
      </c>
      <c r="BU7" s="46" t="e">
        <v>#N/A</v>
      </c>
      <c r="BV7" s="46" t="e">
        <v>#N/A</v>
      </c>
      <c r="BW7" s="46" t="e">
        <v>#N/A</v>
      </c>
      <c r="BX7" s="46" t="e">
        <v>#N/A</v>
      </c>
      <c r="BY7" s="46" t="e">
        <v>#N/A</v>
      </c>
      <c r="BZ7" s="46" t="e">
        <v>#N/A</v>
      </c>
      <c r="CA7" s="46" t="e">
        <v>#N/A</v>
      </c>
      <c r="CB7" s="46" t="e">
        <v>#N/A</v>
      </c>
      <c r="CC7" s="46" t="e">
        <v>#N/A</v>
      </c>
      <c r="CD7" s="46" t="e">
        <v>#N/A</v>
      </c>
      <c r="CE7" s="46" t="e">
        <v>#N/A</v>
      </c>
      <c r="CF7" s="46" t="e">
        <v>#N/A</v>
      </c>
      <c r="CG7" s="46" t="e">
        <v>#N/A</v>
      </c>
      <c r="CH7" s="46" t="e">
        <v>#N/A</v>
      </c>
      <c r="CI7" s="46" t="e">
        <v>#N/A</v>
      </c>
      <c r="CJ7" s="46" t="e">
        <v>#N/A</v>
      </c>
      <c r="CM7">
        <f t="shared" si="0"/>
        <v>0</v>
      </c>
      <c r="CP7">
        <f t="shared" si="1"/>
        <v>0</v>
      </c>
      <c r="CS7">
        <f t="shared" si="2"/>
        <v>0</v>
      </c>
      <c r="CW7" s="46"/>
      <c r="CX7" s="46" t="e">
        <f t="shared" si="3"/>
        <v>#N/A</v>
      </c>
      <c r="CY7" s="46"/>
      <c r="CZ7" s="46" t="e">
        <f t="shared" si="4"/>
        <v>#N/A</v>
      </c>
      <c r="DA7" s="46" t="e">
        <f t="shared" si="5"/>
        <v>#N/A</v>
      </c>
      <c r="DB7" s="46"/>
      <c r="DC7" s="46" t="e">
        <f t="shared" si="6"/>
        <v>#N/A</v>
      </c>
      <c r="DD7" s="46"/>
      <c r="DE7" s="995" t="s">
        <v>194</v>
      </c>
      <c r="DF7" s="995" t="s">
        <v>194</v>
      </c>
      <c r="DG7" s="995" t="s">
        <v>194</v>
      </c>
      <c r="DH7" s="995" t="s">
        <v>194</v>
      </c>
      <c r="DI7" s="995" t="s">
        <v>194</v>
      </c>
      <c r="DJ7" s="995" t="s">
        <v>194</v>
      </c>
      <c r="DK7" s="995" t="s">
        <v>194</v>
      </c>
      <c r="DL7" s="995" t="s">
        <v>194</v>
      </c>
      <c r="DM7" s="995" t="s">
        <v>194</v>
      </c>
      <c r="DN7" s="995" t="s">
        <v>194</v>
      </c>
      <c r="DO7" s="995" t="s">
        <v>194</v>
      </c>
      <c r="DP7" s="995" t="s">
        <v>194</v>
      </c>
      <c r="DQ7" s="995" t="s">
        <v>194</v>
      </c>
      <c r="DR7" s="995" t="s">
        <v>194</v>
      </c>
      <c r="DS7" s="995" t="s">
        <v>194</v>
      </c>
      <c r="DT7" s="995" t="s">
        <v>194</v>
      </c>
    </row>
    <row r="8" spans="1:124">
      <c r="A8" s="42" t="s">
        <v>92</v>
      </c>
      <c r="B8" s="42" t="s">
        <v>146</v>
      </c>
      <c r="C8" s="42" t="s">
        <v>147</v>
      </c>
      <c r="D8" s="42">
        <v>105302</v>
      </c>
      <c r="E8" s="42" t="s">
        <v>156</v>
      </c>
      <c r="F8" s="42" t="s">
        <v>149</v>
      </c>
      <c r="G8" s="42" t="s">
        <v>150</v>
      </c>
      <c r="H8" s="43" t="s">
        <v>150</v>
      </c>
      <c r="I8" s="44">
        <v>3</v>
      </c>
      <c r="J8" s="45">
        <v>27946.721600000001</v>
      </c>
      <c r="K8" s="46">
        <v>14840.407332000001</v>
      </c>
      <c r="L8" s="47">
        <v>42787.128932</v>
      </c>
      <c r="M8" s="48">
        <v>2616989</v>
      </c>
      <c r="N8" s="49">
        <v>414264</v>
      </c>
      <c r="O8" s="49">
        <v>2202725</v>
      </c>
      <c r="P8" s="49">
        <v>0</v>
      </c>
      <c r="Q8" s="50">
        <v>6260.7312679425804</v>
      </c>
      <c r="R8" s="51">
        <v>688.35453644154802</v>
      </c>
      <c r="S8" s="49">
        <v>2836.8939417445399</v>
      </c>
      <c r="T8" s="49">
        <v>464.31479355985101</v>
      </c>
      <c r="U8" s="49">
        <f>IFERROR(INDEX('Rentabilidad datos'!$N$2:$N$61,MATCH($C8,'Rentabilidad datos'!$C$2:$C$61,0)),"")</f>
        <v>3989.5632717459348</v>
      </c>
      <c r="V8" s="50">
        <f>IFERROR(INDEX('Rentabilidad datos'!$O$2:$O$61,MATCH($C8,'Rentabilidad datos'!$C$2:$C$61,0)),"")</f>
        <v>1329.8544239153116</v>
      </c>
      <c r="W8" s="51">
        <f>IFERROR(INDEX('Rentabilidad datos'!$M$2:$M$61,MATCH($C8,'Rentabilidad datos'!$C$2:$C$61,0)),"")</f>
        <v>2708.9427499999997</v>
      </c>
      <c r="X8" s="52">
        <f>IFERROR(INDEX('Rentabilidad datos'!$P$2:$P$61,MATCH($C8,'Rentabilidad datos'!$C$2:$C$61,0)),"")</f>
        <v>0.49091270899516487</v>
      </c>
      <c r="Y8" s="43" t="s">
        <v>151</v>
      </c>
      <c r="Z8" s="53">
        <v>41.992822966507198</v>
      </c>
      <c r="AA8" s="43">
        <v>1</v>
      </c>
      <c r="AB8" s="54">
        <v>1</v>
      </c>
      <c r="AC8" s="55">
        <v>0</v>
      </c>
      <c r="AD8" s="752" t="e">
        <f>_xlfn.XLOOKUP(Table1[[#This Row],[Ruta]],#REF!,#REF!)</f>
        <v>#REF!</v>
      </c>
      <c r="AE8" s="752" t="e">
        <f>_xlfn.XLOOKUP(Table1[[#This Row],[Ruta]],#REF!,#REF!)</f>
        <v>#REF!</v>
      </c>
      <c r="AF8" s="752" t="e">
        <f>_xlfn.XLOOKUP(Table1[[#This Row],[Ruta]],#REF!,#REF!)</f>
        <v>#REF!</v>
      </c>
      <c r="AG8" s="752" t="e">
        <f>_xlfn.XLOOKUP(Table1[[#This Row],[Ruta]],#REF!,#REF!)</f>
        <v>#REF!</v>
      </c>
      <c r="AH8" s="52">
        <v>0.15829795234141222</v>
      </c>
      <c r="AI8" s="52">
        <v>0.8417020476585878</v>
      </c>
      <c r="AJ8" s="55">
        <v>0</v>
      </c>
      <c r="AK8" s="56">
        <v>17553</v>
      </c>
      <c r="AL8" s="44">
        <v>3690</v>
      </c>
      <c r="AM8" s="54">
        <v>0.21022047513245601</v>
      </c>
      <c r="AN8" s="55">
        <v>0.51668552657086098</v>
      </c>
      <c r="AO8" s="56">
        <v>5379.3810478983196</v>
      </c>
      <c r="AP8" s="48">
        <v>2689.6905239491598</v>
      </c>
      <c r="AQ8" s="55">
        <v>0.36345300085165838</v>
      </c>
      <c r="AR8" s="51">
        <v>2616985.67</v>
      </c>
      <c r="AS8" s="49">
        <v>1907555.97775332</v>
      </c>
      <c r="AT8" s="55">
        <v>0.72891342112443436</v>
      </c>
      <c r="AU8" s="51">
        <v>1340444.741123955</v>
      </c>
      <c r="AV8" s="52">
        <v>6.0978099771673566E-3</v>
      </c>
      <c r="AW8" s="44">
        <v>19</v>
      </c>
      <c r="AX8" s="51">
        <v>709.21020867208699</v>
      </c>
      <c r="AY8" s="49">
        <v>754.63814602415403</v>
      </c>
      <c r="AZ8" s="49">
        <v>45.427937352067033</v>
      </c>
      <c r="BA8" s="42" t="s">
        <v>150</v>
      </c>
      <c r="BB8" s="50">
        <v>58896.706885909633</v>
      </c>
      <c r="BC8" s="57">
        <v>1399341.4480098647</v>
      </c>
      <c r="BD8" s="42" t="s">
        <v>150</v>
      </c>
      <c r="BE8" s="46">
        <v>41.992822966507198</v>
      </c>
      <c r="BF8" s="46">
        <v>36</v>
      </c>
      <c r="BG8" s="42" t="s">
        <v>150</v>
      </c>
      <c r="BH8" s="52">
        <v>0.21022047513245601</v>
      </c>
      <c r="BI8" s="52">
        <v>0.384600158353128</v>
      </c>
      <c r="BJ8" s="42" t="s">
        <v>152</v>
      </c>
      <c r="BK8" s="46">
        <v>102.3615524689</v>
      </c>
      <c r="BL8" s="46">
        <v>156.344910973872</v>
      </c>
      <c r="BM8" s="42" t="s">
        <v>152</v>
      </c>
      <c r="BN8" s="48">
        <v>1</v>
      </c>
      <c r="BO8" s="42" t="s">
        <v>155</v>
      </c>
      <c r="BP8" s="42" t="s">
        <v>152</v>
      </c>
      <c r="BQ8" s="46">
        <v>2642.6796353889499</v>
      </c>
      <c r="BR8" s="46" t="e">
        <v>#N/A</v>
      </c>
      <c r="BS8" s="46" t="e">
        <v>#N/A</v>
      </c>
      <c r="BT8" s="46" t="e">
        <v>#N/A</v>
      </c>
      <c r="BU8" s="46" t="e">
        <v>#N/A</v>
      </c>
      <c r="BV8" s="46" t="e">
        <v>#N/A</v>
      </c>
      <c r="BW8" s="46" t="e">
        <v>#N/A</v>
      </c>
      <c r="BX8" s="46" t="e">
        <v>#N/A</v>
      </c>
      <c r="BY8" s="46" t="e">
        <v>#N/A</v>
      </c>
      <c r="BZ8" s="46" t="e">
        <v>#N/A</v>
      </c>
      <c r="CA8" s="46" t="e">
        <v>#N/A</v>
      </c>
      <c r="CB8" s="46" t="e">
        <v>#N/A</v>
      </c>
      <c r="CC8" s="46" t="e">
        <v>#N/A</v>
      </c>
      <c r="CD8" s="46" t="e">
        <v>#N/A</v>
      </c>
      <c r="CE8" s="46" t="e">
        <v>#N/A</v>
      </c>
      <c r="CF8" s="46" t="e">
        <v>#N/A</v>
      </c>
      <c r="CG8" s="46" t="e">
        <v>#N/A</v>
      </c>
      <c r="CH8" s="46" t="e">
        <v>#N/A</v>
      </c>
      <c r="CI8" s="46" t="e">
        <v>#N/A</v>
      </c>
      <c r="CJ8" s="46" t="e">
        <v>#N/A</v>
      </c>
      <c r="CM8">
        <f t="shared" si="0"/>
        <v>0</v>
      </c>
      <c r="CP8">
        <f t="shared" si="1"/>
        <v>0</v>
      </c>
      <c r="CS8">
        <f t="shared" si="2"/>
        <v>0</v>
      </c>
      <c r="CW8" s="46"/>
      <c r="CX8" s="46" t="e">
        <f t="shared" si="3"/>
        <v>#N/A</v>
      </c>
      <c r="CY8" s="46"/>
      <c r="CZ8" s="46" t="e">
        <f t="shared" si="4"/>
        <v>#N/A</v>
      </c>
      <c r="DA8" s="46" t="e">
        <f t="shared" si="5"/>
        <v>#N/A</v>
      </c>
      <c r="DB8" s="46"/>
      <c r="DC8" s="46" t="e">
        <f t="shared" si="6"/>
        <v>#N/A</v>
      </c>
      <c r="DD8" s="46"/>
      <c r="DE8" s="995" t="s">
        <v>194</v>
      </c>
      <c r="DF8" s="995" t="s">
        <v>194</v>
      </c>
      <c r="DG8" s="995" t="s">
        <v>194</v>
      </c>
      <c r="DH8" s="995" t="s">
        <v>194</v>
      </c>
      <c r="DI8" s="995" t="s">
        <v>194</v>
      </c>
      <c r="DJ8" s="995" t="s">
        <v>194</v>
      </c>
      <c r="DK8" s="995" t="s">
        <v>194</v>
      </c>
      <c r="DL8" s="995" t="s">
        <v>194</v>
      </c>
      <c r="DM8" s="995" t="s">
        <v>194</v>
      </c>
      <c r="DN8" s="995" t="s">
        <v>194</v>
      </c>
      <c r="DO8" s="995" t="s">
        <v>194</v>
      </c>
      <c r="DP8" s="995" t="s">
        <v>194</v>
      </c>
      <c r="DQ8" s="995" t="s">
        <v>194</v>
      </c>
      <c r="DR8" s="995" t="s">
        <v>194</v>
      </c>
      <c r="DS8" s="995" t="s">
        <v>194</v>
      </c>
      <c r="DT8" s="995" t="s">
        <v>194</v>
      </c>
    </row>
    <row r="9" spans="1:124">
      <c r="A9" s="42" t="s">
        <v>92</v>
      </c>
      <c r="B9" s="42" t="s">
        <v>157</v>
      </c>
      <c r="C9" s="42" t="s">
        <v>158</v>
      </c>
      <c r="D9" s="42">
        <v>101340</v>
      </c>
      <c r="E9" s="42" t="s">
        <v>159</v>
      </c>
      <c r="F9" s="42" t="s">
        <v>149</v>
      </c>
      <c r="G9" s="42" t="s">
        <v>150</v>
      </c>
      <c r="H9" s="43" t="s">
        <v>150</v>
      </c>
      <c r="I9" s="44">
        <v>2</v>
      </c>
      <c r="J9" s="45">
        <v>35378.9856</v>
      </c>
      <c r="K9" s="46">
        <v>11093.502887000001</v>
      </c>
      <c r="L9" s="47">
        <v>46472.488487000002</v>
      </c>
      <c r="M9" s="48">
        <v>2161457</v>
      </c>
      <c r="N9" s="49">
        <v>538003</v>
      </c>
      <c r="O9" s="49">
        <v>1623454</v>
      </c>
      <c r="P9" s="49">
        <v>0</v>
      </c>
      <c r="Q9" s="50">
        <v>4901.1325396825396</v>
      </c>
      <c r="R9" s="51">
        <v>688.34135645908998</v>
      </c>
      <c r="S9" s="49">
        <v>2977.2562854805901</v>
      </c>
      <c r="T9" s="49">
        <v>315.23992905544799</v>
      </c>
      <c r="U9" s="49">
        <f>IFERROR(INDEX('Rentabilidad datos'!$N$2:$N$61,MATCH($C9,'Rentabilidad datos'!$C$2:$C$61,0)),"")</f>
        <v>3980.8375709951283</v>
      </c>
      <c r="V9" s="50">
        <f>IFERROR(INDEX('Rentabilidad datos'!$O$2:$O$61,MATCH($C9,'Rentabilidad datos'!$C$2:$C$61,0)),"")</f>
        <v>1990.4187854975642</v>
      </c>
      <c r="W9" s="51">
        <f>IFERROR(INDEX('Rentabilidad datos'!$M$2:$M$61,MATCH($C9,'Rentabilidad datos'!$C$2:$C$61,0)),"")</f>
        <v>2934.5030350000002</v>
      </c>
      <c r="X9" s="52">
        <f>IFERROR(INDEX('Rentabilidad datos'!$P$2:$P$61,MATCH($C9,'Rentabilidad datos'!$C$2:$C$61,0)),"")</f>
        <v>0.67828138589659492</v>
      </c>
      <c r="Y9" s="43" t="s">
        <v>160</v>
      </c>
      <c r="Z9" s="53">
        <v>30.244897959183699</v>
      </c>
      <c r="AA9" s="43">
        <v>1</v>
      </c>
      <c r="AB9" s="54">
        <v>1</v>
      </c>
      <c r="AC9" s="55">
        <v>0</v>
      </c>
      <c r="AD9" s="752" t="e">
        <f>_xlfn.XLOOKUP(Table1[[#This Row],[Ruta]],#REF!,#REF!)</f>
        <v>#REF!</v>
      </c>
      <c r="AE9" s="752" t="e">
        <f>_xlfn.XLOOKUP(Table1[[#This Row],[Ruta]],#REF!,#REF!)</f>
        <v>#REF!</v>
      </c>
      <c r="AF9" s="752" t="e">
        <f>_xlfn.XLOOKUP(Table1[[#This Row],[Ruta]],#REF!,#REF!)</f>
        <v>#REF!</v>
      </c>
      <c r="AG9" s="752" t="e">
        <f>_xlfn.XLOOKUP(Table1[[#This Row],[Ruta]],#REF!,#REF!)</f>
        <v>#REF!</v>
      </c>
      <c r="AH9" s="52">
        <v>0.248907565591173</v>
      </c>
      <c r="AI9" s="52">
        <v>0.751092434408827</v>
      </c>
      <c r="AJ9" s="55">
        <v>0</v>
      </c>
      <c r="AK9" s="56">
        <v>13338</v>
      </c>
      <c r="AL9" s="44">
        <v>7421</v>
      </c>
      <c r="AM9" s="54">
        <v>0.55638026690658304</v>
      </c>
      <c r="AN9" s="55">
        <v>0.504710563338301</v>
      </c>
      <c r="AO9" s="56">
        <v>0</v>
      </c>
      <c r="AP9" s="48">
        <v>0</v>
      </c>
      <c r="AQ9" s="55">
        <v>0.55638026690658271</v>
      </c>
      <c r="AR9" s="51">
        <v>2161399.4500000002</v>
      </c>
      <c r="AS9" s="49">
        <v>0</v>
      </c>
      <c r="AT9" s="55">
        <v>0</v>
      </c>
      <c r="AU9" s="51">
        <v>0</v>
      </c>
      <c r="AV9" s="52">
        <v>0</v>
      </c>
      <c r="AW9" s="44">
        <v>490</v>
      </c>
      <c r="AX9" s="51">
        <v>291.25447379059398</v>
      </c>
      <c r="AY9" s="49">
        <v>1096.29182563419</v>
      </c>
      <c r="AZ9" s="49">
        <v>805.03735184359607</v>
      </c>
      <c r="BA9" s="42" t="s">
        <v>150</v>
      </c>
      <c r="BB9" s="50">
        <v>2099036.9849839802</v>
      </c>
      <c r="BC9" s="57">
        <v>2099036.9849839802</v>
      </c>
      <c r="BD9" s="42" t="s">
        <v>150</v>
      </c>
      <c r="BE9" s="46">
        <v>30.244897959183699</v>
      </c>
      <c r="BF9" s="46">
        <v>25.4444444444444</v>
      </c>
      <c r="BG9" s="42" t="s">
        <v>150</v>
      </c>
      <c r="BH9" s="52">
        <v>0.55638026690658304</v>
      </c>
      <c r="BI9" s="52">
        <v>0.34970145263345498</v>
      </c>
      <c r="BJ9" s="42" t="s">
        <v>150</v>
      </c>
      <c r="BK9" s="46">
        <v>105.37979248752799</v>
      </c>
      <c r="BL9" s="46">
        <v>174.22352253741499</v>
      </c>
      <c r="BM9" s="42" t="s">
        <v>152</v>
      </c>
      <c r="BN9" s="48">
        <v>2</v>
      </c>
      <c r="BO9" s="42" t="s">
        <v>161</v>
      </c>
      <c r="BP9" s="42" t="s">
        <v>152</v>
      </c>
      <c r="BQ9" s="46">
        <v>0</v>
      </c>
      <c r="BR9" s="46">
        <v>2716</v>
      </c>
      <c r="BS9" s="46">
        <v>154754</v>
      </c>
      <c r="BT9" s="46">
        <v>47495</v>
      </c>
      <c r="BU9" s="46">
        <v>3.2583219286240657</v>
      </c>
      <c r="BV9" s="46">
        <v>17.487113402061855</v>
      </c>
      <c r="BW9" s="46">
        <v>1668</v>
      </c>
      <c r="BX9" s="46">
        <v>6941</v>
      </c>
      <c r="BY9" s="46">
        <v>8609</v>
      </c>
      <c r="BZ9" s="46">
        <v>0.18126118538793556</v>
      </c>
      <c r="CA9" s="46">
        <v>3.5119486261711762E-2</v>
      </c>
      <c r="CB9" s="46">
        <v>0.1461416991262238</v>
      </c>
      <c r="CC9" s="46">
        <v>0.21842299189388362</v>
      </c>
      <c r="CD9" s="46">
        <v>4.2109695757448162E-2</v>
      </c>
      <c r="CE9" s="46">
        <v>3.3519317822928732E-2</v>
      </c>
      <c r="CF9" s="46">
        <v>0.52447626065901676</v>
      </c>
      <c r="CG9" s="46">
        <v>2.105484787872408E-4</v>
      </c>
      <c r="CH9" s="46">
        <v>0</v>
      </c>
      <c r="CI9" s="46">
        <v>3.9611253990203799</v>
      </c>
      <c r="CJ9" s="46">
        <v>0.83358103829303287</v>
      </c>
      <c r="CK9">
        <v>168</v>
      </c>
      <c r="CL9">
        <v>370.78</v>
      </c>
      <c r="CM9">
        <f>CL9-CK9</f>
        <v>202.77999999999997</v>
      </c>
      <c r="CN9">
        <v>3.89</v>
      </c>
      <c r="CO9">
        <v>9.4499999999999993</v>
      </c>
      <c r="CP9">
        <f>CO9-CN9</f>
        <v>5.5599999999999987</v>
      </c>
      <c r="CQ9">
        <v>677.25</v>
      </c>
      <c r="CR9">
        <v>105.38</v>
      </c>
      <c r="CS9">
        <f>CQ9-CR9</f>
        <v>571.87</v>
      </c>
      <c r="CT9" t="s">
        <v>152</v>
      </c>
      <c r="CU9">
        <v>41.18</v>
      </c>
      <c r="CV9">
        <v>66</v>
      </c>
      <c r="CW9" s="46">
        <v>8609</v>
      </c>
      <c r="CX9" s="46">
        <f t="shared" si="3"/>
        <v>17.699168333508787</v>
      </c>
      <c r="CY9" s="46">
        <v>202.78</v>
      </c>
      <c r="CZ9" s="46">
        <f t="shared" si="4"/>
        <v>18.126118538793556</v>
      </c>
      <c r="DA9" s="46">
        <f t="shared" si="5"/>
        <v>58.952015586469642</v>
      </c>
      <c r="DB9" s="46">
        <v>2811880.27</v>
      </c>
      <c r="DC9" s="46">
        <f t="shared" si="6"/>
        <v>1.0568638624271403</v>
      </c>
      <c r="DD9" s="46">
        <v>50410.06</v>
      </c>
      <c r="DE9" s="995">
        <v>8609</v>
      </c>
      <c r="DF9" s="995">
        <v>17.866</v>
      </c>
      <c r="DG9" s="995">
        <v>123.4</v>
      </c>
      <c r="DH9" s="995">
        <v>18.126000000000001</v>
      </c>
      <c r="DI9" s="995">
        <v>115.262</v>
      </c>
      <c r="DJ9" s="995">
        <v>5488571</v>
      </c>
      <c r="DK9" s="995">
        <v>1.8240000000000001</v>
      </c>
      <c r="DL9" s="995">
        <v>86870.6</v>
      </c>
      <c r="DM9" s="995">
        <v>8609</v>
      </c>
      <c r="DN9" s="995">
        <v>17.904</v>
      </c>
      <c r="DO9" s="995">
        <v>105.6</v>
      </c>
      <c r="DP9" s="995">
        <v>18.126000000000001</v>
      </c>
      <c r="DQ9" s="995">
        <v>112.011</v>
      </c>
      <c r="DR9" s="995">
        <v>5331784</v>
      </c>
      <c r="DS9" s="995">
        <v>1.7669999999999999</v>
      </c>
      <c r="DT9" s="995">
        <v>84097.600000000006</v>
      </c>
    </row>
    <row r="10" spans="1:124">
      <c r="A10" s="42" t="s">
        <v>92</v>
      </c>
      <c r="B10" s="42" t="s">
        <v>157</v>
      </c>
      <c r="C10" s="42" t="s">
        <v>158</v>
      </c>
      <c r="D10" s="42">
        <v>101341</v>
      </c>
      <c r="E10" s="42" t="s">
        <v>162</v>
      </c>
      <c r="F10" s="42" t="s">
        <v>149</v>
      </c>
      <c r="G10" s="42" t="s">
        <v>150</v>
      </c>
      <c r="H10" s="43" t="s">
        <v>150</v>
      </c>
      <c r="I10" s="44">
        <v>2</v>
      </c>
      <c r="J10" s="45">
        <v>37876.367200000001</v>
      </c>
      <c r="K10" s="46">
        <v>38956.206238999999</v>
      </c>
      <c r="L10" s="47">
        <v>76832.573439</v>
      </c>
      <c r="M10" s="48">
        <v>5354783</v>
      </c>
      <c r="N10" s="49">
        <v>557988</v>
      </c>
      <c r="O10" s="49">
        <v>4796795</v>
      </c>
      <c r="P10" s="49">
        <v>0</v>
      </c>
      <c r="Q10" s="50">
        <v>12142.4897505669</v>
      </c>
      <c r="R10" s="51">
        <v>688.34135645908998</v>
      </c>
      <c r="S10" s="49">
        <v>2977.2562854805901</v>
      </c>
      <c r="T10" s="49">
        <v>315.23992905544799</v>
      </c>
      <c r="U10" s="49">
        <f>IFERROR(INDEX('Rentabilidad datos'!$N$2:$N$61,MATCH($C10,'Rentabilidad datos'!$C$2:$C$61,0)),"")</f>
        <v>3980.8375709951283</v>
      </c>
      <c r="V10" s="50">
        <f>IFERROR(INDEX('Rentabilidad datos'!$O$2:$O$61,MATCH($C10,'Rentabilidad datos'!$C$2:$C$61,0)),"")</f>
        <v>1990.4187854975642</v>
      </c>
      <c r="W10" s="51">
        <f>IFERROR(INDEX('Rentabilidad datos'!$M$2:$M$61,MATCH($C10,'Rentabilidad datos'!$C$2:$C$61,0)),"")</f>
        <v>2934.5030350000002</v>
      </c>
      <c r="X10" s="52">
        <f>IFERROR(INDEX('Rentabilidad datos'!$P$2:$P$61,MATCH($C10,'Rentabilidad datos'!$C$2:$C$61,0)),"")</f>
        <v>0.67828138589659492</v>
      </c>
      <c r="Y10" s="43" t="s">
        <v>160</v>
      </c>
      <c r="Z10" s="53">
        <v>25.4444444444444</v>
      </c>
      <c r="AA10" s="43">
        <v>1</v>
      </c>
      <c r="AB10" s="54">
        <v>1</v>
      </c>
      <c r="AC10" s="55">
        <v>0</v>
      </c>
      <c r="AD10" s="752" t="e">
        <f>_xlfn.XLOOKUP(Table1[[#This Row],[Ruta]],#REF!,#REF!)</f>
        <v>#REF!</v>
      </c>
      <c r="AE10" s="752" t="e">
        <f>_xlfn.XLOOKUP(Table1[[#This Row],[Ruta]],#REF!,#REF!)</f>
        <v>#REF!</v>
      </c>
      <c r="AF10" s="752" t="e">
        <f>_xlfn.XLOOKUP(Table1[[#This Row],[Ruta]],#REF!,#REF!)</f>
        <v>#REF!</v>
      </c>
      <c r="AG10" s="752" t="e">
        <f>_xlfn.XLOOKUP(Table1[[#This Row],[Ruta]],#REF!,#REF!)</f>
        <v>#REF!</v>
      </c>
      <c r="AH10" s="52">
        <v>0.1042036624079818</v>
      </c>
      <c r="AI10" s="52">
        <v>0.89579633759201815</v>
      </c>
      <c r="AJ10" s="55">
        <v>0</v>
      </c>
      <c r="AK10" s="56">
        <v>11221</v>
      </c>
      <c r="AL10" s="44">
        <v>3924</v>
      </c>
      <c r="AM10" s="54">
        <v>0.34970145263345498</v>
      </c>
      <c r="AN10" s="55">
        <v>0.504710563338301</v>
      </c>
      <c r="AO10" s="56">
        <v>1739.3572312190699</v>
      </c>
      <c r="AP10" s="48">
        <v>869.67861560953497</v>
      </c>
      <c r="AQ10" s="55">
        <v>0.42720600798587782</v>
      </c>
      <c r="AR10" s="51">
        <v>5354837.9800000004</v>
      </c>
      <c r="AS10" s="49">
        <v>1186796.1471100349</v>
      </c>
      <c r="AT10" s="55">
        <v>0.22163063598612087</v>
      </c>
      <c r="AU10" s="51">
        <v>833964.86013137619</v>
      </c>
      <c r="AV10" s="52">
        <v>3.7937850690152588E-3</v>
      </c>
      <c r="AW10" s="44">
        <v>69</v>
      </c>
      <c r="AX10" s="51">
        <v>1364.6376095820599</v>
      </c>
      <c r="AY10" s="49">
        <v>1096.29182563419</v>
      </c>
      <c r="AZ10" s="49">
        <v>0</v>
      </c>
      <c r="BA10" s="42" t="s">
        <v>152</v>
      </c>
      <c r="BB10" s="50">
        <v>0</v>
      </c>
      <c r="BC10" s="57">
        <v>833964.86013137619</v>
      </c>
      <c r="BD10" s="42" t="s">
        <v>150</v>
      </c>
      <c r="BE10" s="46">
        <v>25.4444444444444</v>
      </c>
      <c r="BF10" s="46">
        <v>25.4444444444444</v>
      </c>
      <c r="BG10" s="42" t="s">
        <v>150</v>
      </c>
      <c r="BH10" s="52">
        <v>0.34970145263345498</v>
      </c>
      <c r="BI10" s="52">
        <v>0.34970145263345498</v>
      </c>
      <c r="BJ10" s="42" t="s">
        <v>150</v>
      </c>
      <c r="BK10" s="46">
        <v>174.22352253741499</v>
      </c>
      <c r="BL10" s="46">
        <v>174.22352253741499</v>
      </c>
      <c r="BM10" s="42" t="s">
        <v>150</v>
      </c>
      <c r="BN10" s="48">
        <v>3</v>
      </c>
      <c r="BO10" s="42" t="s">
        <v>153</v>
      </c>
      <c r="BP10" s="42" t="s">
        <v>150</v>
      </c>
      <c r="BQ10" s="46">
        <v>1004.1185193729</v>
      </c>
      <c r="BR10" s="46">
        <v>3972</v>
      </c>
      <c r="BS10" s="46">
        <v>293716</v>
      </c>
      <c r="BT10" s="46">
        <v>85066</v>
      </c>
      <c r="BU10" s="46">
        <v>3.4528013542425882</v>
      </c>
      <c r="BV10" s="46">
        <v>21.416414904330313</v>
      </c>
      <c r="BW10" s="46">
        <v>1310</v>
      </c>
      <c r="BX10" s="46">
        <v>5532</v>
      </c>
      <c r="BY10" s="46">
        <v>6842</v>
      </c>
      <c r="BZ10" s="46">
        <v>8.0431664824959448E-2</v>
      </c>
      <c r="CA10" s="46">
        <v>1.539980720852044E-2</v>
      </c>
      <c r="CB10" s="46">
        <v>6.5031857616438996E-2</v>
      </c>
      <c r="CC10" s="46">
        <v>0.22031128770601652</v>
      </c>
      <c r="CD10" s="46">
        <v>8.4910540051254327E-2</v>
      </c>
      <c r="CE10" s="46">
        <v>3.6089624526837977E-2</v>
      </c>
      <c r="CF10" s="46">
        <v>0.5782568828909318</v>
      </c>
      <c r="CG10" s="46">
        <v>0</v>
      </c>
      <c r="CH10" s="46">
        <v>0</v>
      </c>
      <c r="CI10" s="46">
        <v>4.4668999986381399</v>
      </c>
      <c r="CJ10" s="46">
        <v>0.45622301815359062</v>
      </c>
      <c r="CK10">
        <v>149</v>
      </c>
      <c r="CL10">
        <v>347.64</v>
      </c>
      <c r="CM10">
        <f t="shared" ref="CM10:CM73" si="7">CL10-CK10</f>
        <v>198.64</v>
      </c>
      <c r="CN10">
        <v>3.55</v>
      </c>
      <c r="CO10">
        <v>9.4499999999999993</v>
      </c>
      <c r="CP10">
        <f t="shared" ref="CP10:CP73" si="8">CO10-CN10</f>
        <v>5.8999999999999995</v>
      </c>
      <c r="CQ10">
        <v>677.25</v>
      </c>
      <c r="CR10">
        <v>174.22</v>
      </c>
      <c r="CS10">
        <f t="shared" ref="CS10:CS73" si="9">CQ10-CR10</f>
        <v>503.03</v>
      </c>
      <c r="CT10" t="s">
        <v>152</v>
      </c>
      <c r="CU10">
        <v>37.590000000000003</v>
      </c>
      <c r="CV10">
        <v>60</v>
      </c>
      <c r="CW10" s="46">
        <v>6842</v>
      </c>
      <c r="CX10" s="46">
        <f t="shared" si="3"/>
        <v>7.8096536806714782</v>
      </c>
      <c r="CY10" s="46">
        <v>198.64</v>
      </c>
      <c r="CZ10" s="46">
        <f t="shared" si="4"/>
        <v>8.0431664824959448</v>
      </c>
      <c r="DA10" s="46">
        <f t="shared" si="5"/>
        <v>14.962769678028312</v>
      </c>
      <c r="DB10" s="46">
        <v>1275795.17</v>
      </c>
      <c r="DC10" s="46">
        <f t="shared" si="6"/>
        <v>0.44938335516340655</v>
      </c>
      <c r="DD10" s="46">
        <v>38316.51</v>
      </c>
      <c r="DE10" s="995">
        <v>6842</v>
      </c>
      <c r="DF10" s="995">
        <v>7.899</v>
      </c>
      <c r="DG10" s="995">
        <v>122.7</v>
      </c>
      <c r="DH10" s="995">
        <v>8.0429999999999993</v>
      </c>
      <c r="DI10" s="995">
        <v>20.724</v>
      </c>
      <c r="DJ10" s="995">
        <v>1765465</v>
      </c>
      <c r="DK10" s="995">
        <v>0.624</v>
      </c>
      <c r="DL10" s="995">
        <v>53134.6</v>
      </c>
      <c r="DM10" s="995">
        <v>6842</v>
      </c>
      <c r="DN10" s="995">
        <v>7.923</v>
      </c>
      <c r="DO10" s="995">
        <v>102.5</v>
      </c>
      <c r="DP10" s="995">
        <v>8.0429999999999993</v>
      </c>
      <c r="DQ10" s="995">
        <v>19.251000000000001</v>
      </c>
      <c r="DR10" s="995">
        <v>1639556</v>
      </c>
      <c r="DS10" s="995">
        <v>0.57999999999999996</v>
      </c>
      <c r="DT10" s="995">
        <v>49393.4</v>
      </c>
    </row>
    <row r="11" spans="1:124">
      <c r="A11" s="42" t="s">
        <v>92</v>
      </c>
      <c r="B11" s="42" t="s">
        <v>163</v>
      </c>
      <c r="C11" s="42" t="s">
        <v>164</v>
      </c>
      <c r="D11" s="42">
        <v>206300</v>
      </c>
      <c r="E11" s="42" t="s">
        <v>165</v>
      </c>
      <c r="F11" s="42" t="s">
        <v>149</v>
      </c>
      <c r="G11" s="42" t="s">
        <v>150</v>
      </c>
      <c r="H11" s="43" t="s">
        <v>150</v>
      </c>
      <c r="I11" s="44">
        <v>3</v>
      </c>
      <c r="J11" s="45">
        <v>201333.33919999999</v>
      </c>
      <c r="K11" s="46">
        <v>5841.6235139999999</v>
      </c>
      <c r="L11" s="47">
        <v>207174.96271399999</v>
      </c>
      <c r="M11" s="48">
        <v>3983960</v>
      </c>
      <c r="N11" s="49">
        <v>3131217</v>
      </c>
      <c r="O11" s="49">
        <v>852743</v>
      </c>
      <c r="P11" s="49">
        <v>0</v>
      </c>
      <c r="Q11" s="50">
        <v>9075.0806605922498</v>
      </c>
      <c r="R11" s="51">
        <v>1365.80940455777</v>
      </c>
      <c r="S11" s="49">
        <v>3238.6464975533399</v>
      </c>
      <c r="T11" s="49">
        <v>415.65553064469498</v>
      </c>
      <c r="U11" s="49">
        <f>IFERROR(INDEX('Rentabilidad datos'!$N$2:$N$61,MATCH($C11,'Rentabilidad datos'!$C$2:$C$61,0)),"")</f>
        <v>5020.1114327558034</v>
      </c>
      <c r="V11" s="50">
        <f>IFERROR(INDEX('Rentabilidad datos'!$O$2:$O$61,MATCH($C11,'Rentabilidad datos'!$C$2:$C$61,0)),"")</f>
        <v>1673.3704775852677</v>
      </c>
      <c r="W11" s="51">
        <f>IFERROR(INDEX('Rentabilidad datos'!$M$2:$M$61,MATCH($C11,'Rentabilidad datos'!$C$2:$C$61,0)),"")</f>
        <v>2926.3660075054263</v>
      </c>
      <c r="X11" s="52">
        <f>IFERROR(INDEX('Rentabilidad datos'!$P$2:$P$61,MATCH($C11,'Rentabilidad datos'!$C$2:$C$61,0)),"")</f>
        <v>0.5718254221425052</v>
      </c>
      <c r="Y11" s="43" t="s">
        <v>160</v>
      </c>
      <c r="Z11" s="53">
        <v>26.476082004555799</v>
      </c>
      <c r="AA11" s="43">
        <v>1</v>
      </c>
      <c r="AB11" s="54">
        <v>1</v>
      </c>
      <c r="AC11" s="55">
        <v>0</v>
      </c>
      <c r="AD11" s="752" t="e">
        <f>_xlfn.XLOOKUP(Table1[[#This Row],[Ruta]],#REF!,#REF!)</f>
        <v>#REF!</v>
      </c>
      <c r="AE11" s="752" t="e">
        <f>_xlfn.XLOOKUP(Table1[[#This Row],[Ruta]],#REF!,#REF!)</f>
        <v>#REF!</v>
      </c>
      <c r="AF11" s="752" t="e">
        <f>_xlfn.XLOOKUP(Table1[[#This Row],[Ruta]],#REF!,#REF!)</f>
        <v>#REF!</v>
      </c>
      <c r="AG11" s="752" t="e">
        <f>_xlfn.XLOOKUP(Table1[[#This Row],[Ruta]],#REF!,#REF!)</f>
        <v>#REF!</v>
      </c>
      <c r="AH11" s="52">
        <v>0.78595593329250291</v>
      </c>
      <c r="AI11" s="52">
        <v>0.21404406670749707</v>
      </c>
      <c r="AJ11" s="55">
        <v>0</v>
      </c>
      <c r="AK11" s="56">
        <v>11623</v>
      </c>
      <c r="AL11" s="44">
        <v>7614</v>
      </c>
      <c r="AM11" s="54">
        <v>0.65508044394734599</v>
      </c>
      <c r="AN11" s="55">
        <v>0.70543489129178205</v>
      </c>
      <c r="AO11" s="56">
        <v>585.26974148438103</v>
      </c>
      <c r="AP11" s="48">
        <v>292.63487074219051</v>
      </c>
      <c r="AQ11" s="55">
        <v>0.68025766761956385</v>
      </c>
      <c r="AR11" s="51">
        <v>3983960.41</v>
      </c>
      <c r="AS11" s="49">
        <v>153118.694460514</v>
      </c>
      <c r="AT11" s="55">
        <v>3.8433789170237764E-2</v>
      </c>
      <c r="AU11" s="51">
        <v>107596.92043171258</v>
      </c>
      <c r="AV11" s="52">
        <v>4.894685732220774E-4</v>
      </c>
      <c r="AW11" s="44">
        <v>389</v>
      </c>
      <c r="AX11" s="51">
        <v>523.24145127396901</v>
      </c>
      <c r="AY11" s="49">
        <v>433.47414059200099</v>
      </c>
      <c r="AZ11" s="49">
        <v>0</v>
      </c>
      <c r="BA11" s="42" t="s">
        <v>152</v>
      </c>
      <c r="BB11" s="50">
        <v>0</v>
      </c>
      <c r="BC11" s="57">
        <v>107596.92043171258</v>
      </c>
      <c r="BD11" s="42" t="s">
        <v>150</v>
      </c>
      <c r="BE11" s="46">
        <v>26.476082004555799</v>
      </c>
      <c r="BF11" s="46">
        <v>35.429545454545497</v>
      </c>
      <c r="BG11" s="42" t="s">
        <v>152</v>
      </c>
      <c r="BH11" s="52">
        <v>0.65508044394734599</v>
      </c>
      <c r="BI11" s="52">
        <v>0.755789338636218</v>
      </c>
      <c r="BJ11" s="42" t="s">
        <v>152</v>
      </c>
      <c r="BK11" s="46">
        <v>471.924744223235</v>
      </c>
      <c r="BL11" s="46">
        <v>393.27662512272701</v>
      </c>
      <c r="BM11" s="42" t="s">
        <v>150</v>
      </c>
      <c r="BN11" s="48">
        <v>1</v>
      </c>
      <c r="BO11" s="42" t="s">
        <v>155</v>
      </c>
      <c r="BP11" s="42" t="s">
        <v>152</v>
      </c>
      <c r="BQ11" s="46">
        <v>4036.9158517133801</v>
      </c>
      <c r="BR11" s="46">
        <v>1355</v>
      </c>
      <c r="BS11" s="46">
        <v>62940</v>
      </c>
      <c r="BT11" s="46">
        <v>19168</v>
      </c>
      <c r="BU11" s="46">
        <v>3.2835976627712853</v>
      </c>
      <c r="BV11" s="46">
        <v>14.146125461254613</v>
      </c>
      <c r="BW11" s="46">
        <v>2813</v>
      </c>
      <c r="BX11" s="46">
        <v>6425</v>
      </c>
      <c r="BY11" s="46">
        <v>9238</v>
      </c>
      <c r="BZ11" s="46">
        <v>0.481949081803005</v>
      </c>
      <c r="CA11" s="46">
        <v>0.14675500834724539</v>
      </c>
      <c r="CB11" s="46">
        <v>0.33519407345575958</v>
      </c>
      <c r="CC11" s="46">
        <v>0.1113313856427379</v>
      </c>
      <c r="CD11" s="46">
        <v>1.4398998330550918E-2</v>
      </c>
      <c r="CE11" s="46">
        <v>2.378964941569282E-2</v>
      </c>
      <c r="CF11" s="46">
        <v>0.36472245409015019</v>
      </c>
      <c r="CG11" s="46">
        <v>3.7562604340567614E-3</v>
      </c>
      <c r="CH11" s="46">
        <v>5.2170283806343908E-5</v>
      </c>
      <c r="CI11" s="46">
        <v>3.622497616777884</v>
      </c>
      <c r="CJ11" s="46">
        <v>0.69907848744836343</v>
      </c>
      <c r="CK11">
        <v>116</v>
      </c>
      <c r="CL11">
        <v>183.91</v>
      </c>
      <c r="CM11">
        <f t="shared" si="7"/>
        <v>67.91</v>
      </c>
      <c r="CN11">
        <v>2.33</v>
      </c>
      <c r="CO11">
        <v>9.4499999999999993</v>
      </c>
      <c r="CP11">
        <f t="shared" si="8"/>
        <v>7.1199999999999992</v>
      </c>
      <c r="CQ11">
        <v>846.56</v>
      </c>
      <c r="CR11">
        <v>471.92</v>
      </c>
      <c r="CS11">
        <f t="shared" si="9"/>
        <v>374.63999999999993</v>
      </c>
      <c r="CT11" t="s">
        <v>152</v>
      </c>
      <c r="CU11">
        <v>55.75</v>
      </c>
      <c r="CV11">
        <v>70</v>
      </c>
      <c r="CW11" s="46">
        <v>9238</v>
      </c>
      <c r="CX11" s="46">
        <f t="shared" si="3"/>
        <v>47.840619782971622</v>
      </c>
      <c r="CY11" s="46">
        <v>67.91</v>
      </c>
      <c r="CZ11" s="46">
        <f t="shared" si="4"/>
        <v>48.194908180300501</v>
      </c>
      <c r="DA11" s="46">
        <f t="shared" si="5"/>
        <v>74.46613703224854</v>
      </c>
      <c r="DB11" s="46">
        <v>1432423.91</v>
      </c>
      <c r="DC11" s="46">
        <f t="shared" si="6"/>
        <v>3.682514110328027</v>
      </c>
      <c r="DD11" s="46">
        <v>70836.509999999995</v>
      </c>
      <c r="DE11" s="995">
        <v>9238</v>
      </c>
      <c r="DF11" s="995">
        <v>47.847999999999999</v>
      </c>
      <c r="DG11" s="995">
        <v>66.5</v>
      </c>
      <c r="DH11" s="995">
        <v>48.195</v>
      </c>
      <c r="DI11" s="995">
        <v>190.143</v>
      </c>
      <c r="DJ11" s="995">
        <v>3657308</v>
      </c>
      <c r="DK11" s="995">
        <v>9.5640000000000001</v>
      </c>
      <c r="DL11" s="995">
        <v>183955.8</v>
      </c>
      <c r="DM11" s="995">
        <v>9238</v>
      </c>
      <c r="DN11" s="995">
        <v>47.871000000000002</v>
      </c>
      <c r="DO11" s="995">
        <v>62.2</v>
      </c>
      <c r="DP11" s="995">
        <v>48.195</v>
      </c>
      <c r="DQ11" s="995">
        <v>187.33199999999999</v>
      </c>
      <c r="DR11" s="995">
        <v>3602419</v>
      </c>
      <c r="DS11" s="995">
        <v>9.4469999999999992</v>
      </c>
      <c r="DT11" s="995">
        <v>181661.1</v>
      </c>
    </row>
    <row r="12" spans="1:124">
      <c r="A12" s="42" t="s">
        <v>92</v>
      </c>
      <c r="B12" s="42" t="s">
        <v>163</v>
      </c>
      <c r="C12" s="42" t="s">
        <v>164</v>
      </c>
      <c r="D12" s="42">
        <v>206301</v>
      </c>
      <c r="E12" s="42" t="s">
        <v>166</v>
      </c>
      <c r="F12" s="42" t="s">
        <v>149</v>
      </c>
      <c r="G12" s="42" t="s">
        <v>150</v>
      </c>
      <c r="H12" s="43" t="s">
        <v>150</v>
      </c>
      <c r="I12" s="44">
        <v>3</v>
      </c>
      <c r="J12" s="45">
        <v>180853.68291199999</v>
      </c>
      <c r="K12" s="46">
        <v>10231.38903</v>
      </c>
      <c r="L12" s="47">
        <v>191085.07194200001</v>
      </c>
      <c r="M12" s="48">
        <v>3675477</v>
      </c>
      <c r="N12" s="49">
        <v>2748420</v>
      </c>
      <c r="O12" s="49">
        <v>924835</v>
      </c>
      <c r="P12" s="49">
        <v>2222</v>
      </c>
      <c r="Q12" s="50">
        <v>8273.0897747747695</v>
      </c>
      <c r="R12" s="51">
        <v>1365.80940455777</v>
      </c>
      <c r="S12" s="49">
        <v>3238.6464975533399</v>
      </c>
      <c r="T12" s="49">
        <v>415.65553064469498</v>
      </c>
      <c r="U12" s="49">
        <f>IFERROR(INDEX('Rentabilidad datos'!$N$2:$N$61,MATCH($C12,'Rentabilidad datos'!$C$2:$C$61,0)),"")</f>
        <v>5020.1114327558034</v>
      </c>
      <c r="V12" s="50">
        <f>IFERROR(INDEX('Rentabilidad datos'!$O$2:$O$61,MATCH($C12,'Rentabilidad datos'!$C$2:$C$61,0)),"")</f>
        <v>1673.3704775852677</v>
      </c>
      <c r="W12" s="51">
        <f>IFERROR(INDEX('Rentabilidad datos'!$M$2:$M$61,MATCH($C12,'Rentabilidad datos'!$C$2:$C$61,0)),"")</f>
        <v>2926.3660075054263</v>
      </c>
      <c r="X12" s="52">
        <f>IFERROR(INDEX('Rentabilidad datos'!$P$2:$P$61,MATCH($C12,'Rentabilidad datos'!$C$2:$C$61,0)),"")</f>
        <v>0.5718254221425052</v>
      </c>
      <c r="Y12" s="43" t="s">
        <v>160</v>
      </c>
      <c r="Z12" s="53">
        <v>39.218468468468501</v>
      </c>
      <c r="AA12" s="43">
        <v>1</v>
      </c>
      <c r="AB12" s="54">
        <v>1</v>
      </c>
      <c r="AC12" s="55">
        <v>0</v>
      </c>
      <c r="AD12" s="752" t="e">
        <f>_xlfn.XLOOKUP(Table1[[#This Row],[Ruta]],#REF!,#REF!)</f>
        <v>#REF!</v>
      </c>
      <c r="AE12" s="752" t="e">
        <f>_xlfn.XLOOKUP(Table1[[#This Row],[Ruta]],#REF!,#REF!)</f>
        <v>#REF!</v>
      </c>
      <c r="AF12" s="752" t="e">
        <f>_xlfn.XLOOKUP(Table1[[#This Row],[Ruta]],#REF!,#REF!)</f>
        <v>#REF!</v>
      </c>
      <c r="AG12" s="752" t="e">
        <f>_xlfn.XLOOKUP(Table1[[#This Row],[Ruta]],#REF!,#REF!)</f>
        <v>#REF!</v>
      </c>
      <c r="AH12" s="52">
        <v>0.74777232995880538</v>
      </c>
      <c r="AI12" s="52">
        <v>0.25162312265863723</v>
      </c>
      <c r="AJ12" s="55">
        <v>6.045473825574204E-4</v>
      </c>
      <c r="AK12" s="56">
        <v>17413</v>
      </c>
      <c r="AL12" s="44">
        <v>10706</v>
      </c>
      <c r="AM12" s="54">
        <v>0.61482800206742105</v>
      </c>
      <c r="AN12" s="55">
        <v>0.70543489129178205</v>
      </c>
      <c r="AO12" s="56">
        <v>1577.7377620637999</v>
      </c>
      <c r="AP12" s="48">
        <v>788.86888103189995</v>
      </c>
      <c r="AQ12" s="55">
        <v>0.66013144667960144</v>
      </c>
      <c r="AR12" s="51">
        <v>3673251.86</v>
      </c>
      <c r="AS12" s="49">
        <v>270662.62698921497</v>
      </c>
      <c r="AT12" s="55">
        <v>7.3684745099187127E-2</v>
      </c>
      <c r="AU12" s="51">
        <v>190195.3595059349</v>
      </c>
      <c r="AV12" s="52">
        <v>8.6521668907720689E-4</v>
      </c>
      <c r="AW12" s="44">
        <v>317</v>
      </c>
      <c r="AX12" s="51">
        <v>343.10217261348799</v>
      </c>
      <c r="AY12" s="49">
        <v>433.47414059200099</v>
      </c>
      <c r="AZ12" s="49">
        <v>90.371967978512998</v>
      </c>
      <c r="BA12" s="42" t="s">
        <v>150</v>
      </c>
      <c r="BB12" s="50">
        <v>339940.26376522938</v>
      </c>
      <c r="BC12" s="57">
        <v>530135.62327116425</v>
      </c>
      <c r="BD12" s="42" t="s">
        <v>150</v>
      </c>
      <c r="BE12" s="46">
        <v>39.218468468468501</v>
      </c>
      <c r="BF12" s="46">
        <v>35.429545454545497</v>
      </c>
      <c r="BG12" s="42" t="s">
        <v>150</v>
      </c>
      <c r="BH12" s="52">
        <v>0.61482800206742105</v>
      </c>
      <c r="BI12" s="52">
        <v>0.755789338636218</v>
      </c>
      <c r="BJ12" s="42" t="s">
        <v>152</v>
      </c>
      <c r="BK12" s="46">
        <v>430.37178365315401</v>
      </c>
      <c r="BL12" s="46">
        <v>393.27662512272701</v>
      </c>
      <c r="BM12" s="42" t="s">
        <v>150</v>
      </c>
      <c r="BN12" s="48">
        <v>2</v>
      </c>
      <c r="BO12" s="42" t="s">
        <v>161</v>
      </c>
      <c r="BP12" s="42" t="s">
        <v>152</v>
      </c>
      <c r="BQ12" s="46">
        <v>217.85402214605199</v>
      </c>
      <c r="BR12" s="46">
        <v>2167</v>
      </c>
      <c r="BS12" s="46">
        <v>110786</v>
      </c>
      <c r="BT12" s="46">
        <v>31718</v>
      </c>
      <c r="BU12" s="46">
        <v>3.4928431805284066</v>
      </c>
      <c r="BV12" s="46">
        <v>14.63682510383018</v>
      </c>
      <c r="BW12" s="46">
        <v>197</v>
      </c>
      <c r="BX12" s="46">
        <v>3940</v>
      </c>
      <c r="BY12" s="46">
        <v>4137</v>
      </c>
      <c r="BZ12" s="46">
        <v>0.13043067028185887</v>
      </c>
      <c r="CA12" s="46">
        <v>6.210984299136137E-3</v>
      </c>
      <c r="CB12" s="46">
        <v>0.12421968598272271</v>
      </c>
      <c r="CC12" s="46">
        <v>5.463774512894886E-2</v>
      </c>
      <c r="CD12" s="46">
        <v>7.4815562141370834E-2</v>
      </c>
      <c r="CE12" s="46">
        <v>0</v>
      </c>
      <c r="CF12" s="46">
        <v>0.73907560375811843</v>
      </c>
      <c r="CG12" s="46">
        <v>1.040418689703008E-3</v>
      </c>
      <c r="CH12" s="46">
        <v>0</v>
      </c>
      <c r="CI12" s="46">
        <v>5.8400880977740872</v>
      </c>
      <c r="CJ12" s="46">
        <v>0.59574314444063348</v>
      </c>
      <c r="CK12">
        <v>161</v>
      </c>
      <c r="CL12">
        <v>229.27</v>
      </c>
      <c r="CM12">
        <f t="shared" si="7"/>
        <v>68.27000000000001</v>
      </c>
      <c r="CN12">
        <v>3.62</v>
      </c>
      <c r="CO12">
        <v>9.4499999999999993</v>
      </c>
      <c r="CP12">
        <f t="shared" si="8"/>
        <v>5.8299999999999992</v>
      </c>
      <c r="CQ12">
        <v>846.56</v>
      </c>
      <c r="CR12">
        <v>430.37</v>
      </c>
      <c r="CS12">
        <f t="shared" si="9"/>
        <v>416.18999999999994</v>
      </c>
      <c r="CT12" t="s">
        <v>152</v>
      </c>
      <c r="CU12">
        <v>50.84</v>
      </c>
      <c r="CV12">
        <v>66</v>
      </c>
      <c r="CW12" s="46">
        <v>4137</v>
      </c>
      <c r="CX12" s="46">
        <f t="shared" si="3"/>
        <v>12.827826470773692</v>
      </c>
      <c r="CY12" s="46">
        <v>68.27</v>
      </c>
      <c r="CZ12" s="46">
        <f t="shared" si="4"/>
        <v>13.043067028185886</v>
      </c>
      <c r="DA12" s="46">
        <f t="shared" si="5"/>
        <v>37.752934207127794</v>
      </c>
      <c r="DB12" s="46">
        <v>1200024.96</v>
      </c>
      <c r="DC12" s="46">
        <f t="shared" si="6"/>
        <v>1.6840837254575638</v>
      </c>
      <c r="DD12" s="46">
        <v>53530.74</v>
      </c>
      <c r="DE12" s="995">
        <v>4137</v>
      </c>
      <c r="DF12" s="995">
        <v>12.84</v>
      </c>
      <c r="DG12" s="995">
        <v>64.5</v>
      </c>
      <c r="DH12" s="995">
        <v>13.042999999999999</v>
      </c>
      <c r="DI12" s="995">
        <v>127.221</v>
      </c>
      <c r="DJ12" s="995">
        <v>4043396</v>
      </c>
      <c r="DK12" s="995">
        <v>6.1379999999999999</v>
      </c>
      <c r="DL12" s="995">
        <v>195089.6</v>
      </c>
      <c r="DM12" s="995">
        <v>4137</v>
      </c>
      <c r="DN12" s="995">
        <v>12.875999999999999</v>
      </c>
      <c r="DO12" s="995">
        <v>53.1</v>
      </c>
      <c r="DP12" s="995">
        <v>13.042999999999999</v>
      </c>
      <c r="DQ12" s="995">
        <v>121.27</v>
      </c>
      <c r="DR12" s="995">
        <v>3852866</v>
      </c>
      <c r="DS12" s="995">
        <v>5.8719999999999999</v>
      </c>
      <c r="DT12" s="995">
        <v>186568.9</v>
      </c>
    </row>
    <row r="13" spans="1:124">
      <c r="A13" s="42" t="s">
        <v>92</v>
      </c>
      <c r="B13" s="42" t="s">
        <v>163</v>
      </c>
      <c r="C13" s="42" t="s">
        <v>164</v>
      </c>
      <c r="D13" s="42">
        <v>206302</v>
      </c>
      <c r="E13" s="42" t="s">
        <v>167</v>
      </c>
      <c r="F13" s="42" t="s">
        <v>149</v>
      </c>
      <c r="G13" s="42" t="s">
        <v>150</v>
      </c>
      <c r="H13" s="43" t="s">
        <v>150</v>
      </c>
      <c r="I13" s="44">
        <v>3</v>
      </c>
      <c r="J13" s="45">
        <v>161734.5184</v>
      </c>
      <c r="K13" s="46">
        <v>11307.196653999999</v>
      </c>
      <c r="L13" s="47">
        <v>173041.715054</v>
      </c>
      <c r="M13" s="48">
        <v>4049556</v>
      </c>
      <c r="N13" s="49">
        <v>2506515</v>
      </c>
      <c r="O13" s="49">
        <v>1543041</v>
      </c>
      <c r="P13" s="49">
        <v>0</v>
      </c>
      <c r="Q13" s="50">
        <v>9203.5315227272695</v>
      </c>
      <c r="R13" s="51">
        <v>1365.80940455777</v>
      </c>
      <c r="S13" s="49">
        <v>3238.6464975533399</v>
      </c>
      <c r="T13" s="49">
        <v>415.65553064469498</v>
      </c>
      <c r="U13" s="49">
        <f>IFERROR(INDEX('Rentabilidad datos'!$N$2:$N$61,MATCH($C13,'Rentabilidad datos'!$C$2:$C$61,0)),"")</f>
        <v>5020.1114327558034</v>
      </c>
      <c r="V13" s="50">
        <f>IFERROR(INDEX('Rentabilidad datos'!$O$2:$O$61,MATCH($C13,'Rentabilidad datos'!$C$2:$C$61,0)),"")</f>
        <v>1673.3704775852677</v>
      </c>
      <c r="W13" s="51">
        <f>IFERROR(INDEX('Rentabilidad datos'!$M$2:$M$61,MATCH($C13,'Rentabilidad datos'!$C$2:$C$61,0)),"")</f>
        <v>2926.3660075054263</v>
      </c>
      <c r="X13" s="52">
        <f>IFERROR(INDEX('Rentabilidad datos'!$P$2:$P$61,MATCH($C13,'Rentabilidad datos'!$C$2:$C$61,0)),"")</f>
        <v>0.5718254221425052</v>
      </c>
      <c r="Y13" s="43" t="s">
        <v>160</v>
      </c>
      <c r="Z13" s="53">
        <v>35.429545454545497</v>
      </c>
      <c r="AA13" s="43">
        <v>1</v>
      </c>
      <c r="AB13" s="54">
        <v>1</v>
      </c>
      <c r="AC13" s="55">
        <v>0</v>
      </c>
      <c r="AD13" s="752" t="e">
        <f>_xlfn.XLOOKUP(Table1[[#This Row],[Ruta]],#REF!,#REF!)</f>
        <v>#REF!</v>
      </c>
      <c r="AE13" s="752" t="e">
        <f>_xlfn.XLOOKUP(Table1[[#This Row],[Ruta]],#REF!,#REF!)</f>
        <v>#REF!</v>
      </c>
      <c r="AF13" s="752" t="e">
        <f>_xlfn.XLOOKUP(Table1[[#This Row],[Ruta]],#REF!,#REF!)</f>
        <v>#REF!</v>
      </c>
      <c r="AG13" s="752" t="e">
        <f>_xlfn.XLOOKUP(Table1[[#This Row],[Ruta]],#REF!,#REF!)</f>
        <v>#REF!</v>
      </c>
      <c r="AH13" s="52">
        <v>0.61896044899737157</v>
      </c>
      <c r="AI13" s="52">
        <v>0.38103955100262843</v>
      </c>
      <c r="AJ13" s="55">
        <v>0</v>
      </c>
      <c r="AK13" s="56">
        <v>15589</v>
      </c>
      <c r="AL13" s="44">
        <v>11782</v>
      </c>
      <c r="AM13" s="54">
        <v>0.755789338636218</v>
      </c>
      <c r="AN13" s="55">
        <v>0.70543489129178205</v>
      </c>
      <c r="AO13" s="56">
        <v>0</v>
      </c>
      <c r="AP13" s="48">
        <v>0</v>
      </c>
      <c r="AQ13" s="55">
        <v>0.75578933863621789</v>
      </c>
      <c r="AR13" s="51">
        <v>4049553.87</v>
      </c>
      <c r="AS13" s="49">
        <v>0</v>
      </c>
      <c r="AT13" s="55">
        <v>0</v>
      </c>
      <c r="AU13" s="51">
        <v>0</v>
      </c>
      <c r="AV13" s="52">
        <v>0</v>
      </c>
      <c r="AW13" s="44">
        <v>490</v>
      </c>
      <c r="AX13" s="51">
        <v>343.70682991003201</v>
      </c>
      <c r="AY13" s="49">
        <v>433.47414059200099</v>
      </c>
      <c r="AZ13" s="49">
        <v>89.767310681968979</v>
      </c>
      <c r="BA13" s="42" t="s">
        <v>150</v>
      </c>
      <c r="BB13" s="50">
        <v>371602.70021390443</v>
      </c>
      <c r="BC13" s="57">
        <v>371602.70021390443</v>
      </c>
      <c r="BD13" s="42" t="s">
        <v>150</v>
      </c>
      <c r="BE13" s="46">
        <v>35.429545454545497</v>
      </c>
      <c r="BF13" s="46">
        <v>35.429545454545497</v>
      </c>
      <c r="BG13" s="42" t="s">
        <v>150</v>
      </c>
      <c r="BH13" s="52">
        <v>0.755789338636218</v>
      </c>
      <c r="BI13" s="52">
        <v>0.755789338636218</v>
      </c>
      <c r="BJ13" s="42" t="s">
        <v>150</v>
      </c>
      <c r="BK13" s="46">
        <v>393.27662512272701</v>
      </c>
      <c r="BL13" s="46">
        <v>393.27662512272701</v>
      </c>
      <c r="BM13" s="42" t="s">
        <v>150</v>
      </c>
      <c r="BN13" s="48">
        <v>3</v>
      </c>
      <c r="BO13" s="42" t="s">
        <v>153</v>
      </c>
      <c r="BP13" s="42" t="s">
        <v>150</v>
      </c>
      <c r="BQ13" s="46">
        <v>0</v>
      </c>
      <c r="BR13" s="46">
        <v>3002</v>
      </c>
      <c r="BS13" s="46">
        <v>161465</v>
      </c>
      <c r="BT13" s="46">
        <v>46741</v>
      </c>
      <c r="BU13" s="46">
        <v>3.454461821527139</v>
      </c>
      <c r="BV13" s="46">
        <v>15.569953364423718</v>
      </c>
      <c r="BW13" s="46">
        <v>1070</v>
      </c>
      <c r="BX13" s="46">
        <v>5923</v>
      </c>
      <c r="BY13" s="46">
        <v>6993</v>
      </c>
      <c r="BZ13" s="46">
        <v>0.1496116899510066</v>
      </c>
      <c r="CA13" s="46">
        <v>2.2892107571511087E-2</v>
      </c>
      <c r="CB13" s="46">
        <v>0.12671958237949549</v>
      </c>
      <c r="CC13" s="46">
        <v>0.12325367450418261</v>
      </c>
      <c r="CD13" s="46">
        <v>0.15241436854153739</v>
      </c>
      <c r="CE13" s="46">
        <v>3.9579812156350959E-3</v>
      </c>
      <c r="CF13" s="46">
        <v>0.57076228578763821</v>
      </c>
      <c r="CG13" s="46">
        <v>0</v>
      </c>
      <c r="CH13" s="46">
        <v>0</v>
      </c>
      <c r="CI13" s="46">
        <v>5.3076518130864274</v>
      </c>
      <c r="CJ13" s="46">
        <v>0.47688353513145271</v>
      </c>
      <c r="CK13">
        <v>165</v>
      </c>
      <c r="CL13">
        <v>313.52</v>
      </c>
      <c r="CM13">
        <f t="shared" si="7"/>
        <v>148.51999999999998</v>
      </c>
      <c r="CN13">
        <v>3.54</v>
      </c>
      <c r="CO13">
        <v>9.4499999999999993</v>
      </c>
      <c r="CP13">
        <f t="shared" si="8"/>
        <v>5.9099999999999993</v>
      </c>
      <c r="CQ13">
        <v>846.56</v>
      </c>
      <c r="CR13">
        <v>393.28</v>
      </c>
      <c r="CS13">
        <f t="shared" si="9"/>
        <v>453.28</v>
      </c>
      <c r="CT13" t="s">
        <v>152</v>
      </c>
      <c r="CU13">
        <v>47.44</v>
      </c>
      <c r="CV13">
        <v>102</v>
      </c>
      <c r="CW13" s="46">
        <v>6993</v>
      </c>
      <c r="CX13" s="46">
        <f t="shared" si="3"/>
        <v>14.643417984210863</v>
      </c>
      <c r="CY13" s="46">
        <v>148.52000000000001</v>
      </c>
      <c r="CZ13" s="46">
        <f t="shared" si="4"/>
        <v>14.96116899510066</v>
      </c>
      <c r="DA13" s="46">
        <f t="shared" si="5"/>
        <v>81.489118037463385</v>
      </c>
      <c r="DB13" s="46">
        <v>3820985.63</v>
      </c>
      <c r="DC13" s="46">
        <f t="shared" si="6"/>
        <v>3.6734310779892825</v>
      </c>
      <c r="DD13" s="46">
        <v>172245.42</v>
      </c>
      <c r="DE13" s="995">
        <v>6993</v>
      </c>
      <c r="DF13" s="995">
        <v>14.659000000000001</v>
      </c>
      <c r="DG13" s="995">
        <v>141.1</v>
      </c>
      <c r="DH13" s="995">
        <v>14.961</v>
      </c>
      <c r="DI13" s="995">
        <v>134.22</v>
      </c>
      <c r="DJ13" s="995">
        <v>6292506</v>
      </c>
      <c r="DK13" s="995">
        <v>6.0750000000000002</v>
      </c>
      <c r="DL13" s="995">
        <v>284786.90000000002</v>
      </c>
      <c r="DM13" s="995">
        <v>6993</v>
      </c>
      <c r="DN13" s="995">
        <v>14.707000000000001</v>
      </c>
      <c r="DO13" s="995">
        <v>118.9</v>
      </c>
      <c r="DP13" s="995">
        <v>14.961</v>
      </c>
      <c r="DQ13" s="995">
        <v>125.758</v>
      </c>
      <c r="DR13" s="995">
        <v>5892995</v>
      </c>
      <c r="DS13" s="995">
        <v>5.69</v>
      </c>
      <c r="DT13" s="995">
        <v>266613.7</v>
      </c>
    </row>
    <row r="14" spans="1:124">
      <c r="A14" s="753" t="s">
        <v>92</v>
      </c>
      <c r="B14" s="753" t="s">
        <v>168</v>
      </c>
      <c r="C14" s="753" t="s">
        <v>169</v>
      </c>
      <c r="D14" s="753">
        <v>701300</v>
      </c>
      <c r="E14" s="753" t="s">
        <v>170</v>
      </c>
      <c r="F14" s="753" t="s">
        <v>149</v>
      </c>
      <c r="G14" s="753" t="s">
        <v>150</v>
      </c>
      <c r="H14" s="754" t="s">
        <v>150</v>
      </c>
      <c r="I14" s="755">
        <v>22</v>
      </c>
      <c r="J14" s="756">
        <v>121360.7696</v>
      </c>
      <c r="K14" s="757">
        <v>55272.917792</v>
      </c>
      <c r="L14" s="758">
        <v>176633.68739199999</v>
      </c>
      <c r="M14" s="759">
        <v>8811435</v>
      </c>
      <c r="N14" s="760">
        <v>1852259</v>
      </c>
      <c r="O14" s="760">
        <v>6957834</v>
      </c>
      <c r="P14" s="760">
        <v>1342</v>
      </c>
      <c r="Q14" s="761">
        <v>19797.9527191011</v>
      </c>
      <c r="R14" s="762">
        <v>6394.5727445680996</v>
      </c>
      <c r="S14" s="760">
        <v>22541.5189894945</v>
      </c>
      <c r="T14" s="760">
        <v>2275.8097446924298</v>
      </c>
      <c r="U14" s="760">
        <f>IFERROR(INDEX('Rentabilidad datos'!$N$2:$N$61,MATCH($C14,'Rentabilidad datos'!$C$2:$C$61,0)),"")</f>
        <v>31211.901478754982</v>
      </c>
      <c r="V14" s="761">
        <f>IFERROR(INDEX('Rentabilidad datos'!$O$2:$O$61,MATCH($C14,'Rentabilidad datos'!$C$2:$C$61,0)),"")</f>
        <v>1486.2810227978564</v>
      </c>
      <c r="W14" s="762">
        <f>IFERROR(INDEX('Rentabilidad datos'!$M$2:$M$61,MATCH($C14,'Rentabilidad datos'!$C$2:$C$61,0)),"")</f>
        <v>3561.414830517057</v>
      </c>
      <c r="X14" s="763">
        <f>IFERROR(INDEX('Rentabilidad datos'!$P$2:$P$61,MATCH($C14,'Rentabilidad datos'!$C$2:$C$61,0)),"")</f>
        <v>0.41732881271291655</v>
      </c>
      <c r="Y14" s="754" t="s">
        <v>171</v>
      </c>
      <c r="Z14" s="764">
        <v>74.595505617977494</v>
      </c>
      <c r="AA14" s="754">
        <v>1</v>
      </c>
      <c r="AB14" s="765">
        <v>0.99938454973565605</v>
      </c>
      <c r="AC14" s="766">
        <v>6.1545026434400298E-4</v>
      </c>
      <c r="AD14" s="767" t="e">
        <f>_xlfn.XLOOKUP(Table1[[#This Row],[Ruta]],#REF!,#REF!)</f>
        <v>#REF!</v>
      </c>
      <c r="AE14" s="767" t="e">
        <f>_xlfn.XLOOKUP(Table1[[#This Row],[Ruta]],#REF!,#REF!)</f>
        <v>#REF!</v>
      </c>
      <c r="AF14" s="767" t="e">
        <f>_xlfn.XLOOKUP(Table1[[#This Row],[Ruta]],#REF!,#REF!)</f>
        <v>#REF!</v>
      </c>
      <c r="AG14" s="767" t="e">
        <f>_xlfn.XLOOKUP(Table1[[#This Row],[Ruta]],#REF!,#REF!)</f>
        <v>#REF!</v>
      </c>
      <c r="AH14" s="763">
        <v>0.21021082264126104</v>
      </c>
      <c r="AI14" s="763">
        <v>0.78963687526492565</v>
      </c>
      <c r="AJ14" s="766">
        <v>1.5230209381332326E-4</v>
      </c>
      <c r="AK14" s="768">
        <v>33195</v>
      </c>
      <c r="AL14" s="755">
        <v>27229</v>
      </c>
      <c r="AM14" s="765">
        <v>0.82027413767133595</v>
      </c>
      <c r="AN14" s="766">
        <v>0.76950938426078397</v>
      </c>
      <c r="AO14" s="768">
        <v>0</v>
      </c>
      <c r="AP14" s="759">
        <v>0</v>
      </c>
      <c r="AQ14" s="766">
        <v>0.82027413767133606</v>
      </c>
      <c r="AR14" s="762">
        <v>8810088.9600000009</v>
      </c>
      <c r="AS14" s="760">
        <v>0</v>
      </c>
      <c r="AT14" s="766">
        <v>0</v>
      </c>
      <c r="AU14" s="762">
        <v>0</v>
      </c>
      <c r="AV14" s="763">
        <v>0</v>
      </c>
      <c r="AW14" s="755">
        <v>490</v>
      </c>
      <c r="AX14" s="762">
        <v>323.55536229755103</v>
      </c>
      <c r="AY14" s="760">
        <v>436.55824316463099</v>
      </c>
      <c r="AZ14" s="760">
        <v>113.00288086707997</v>
      </c>
      <c r="BA14" s="753" t="s">
        <v>150</v>
      </c>
      <c r="BB14" s="761">
        <v>1081092.4529915238</v>
      </c>
      <c r="BC14" s="769">
        <v>1081092.4529915238</v>
      </c>
      <c r="BD14" s="753" t="s">
        <v>150</v>
      </c>
      <c r="BE14" s="757">
        <v>74.595505617977494</v>
      </c>
      <c r="BF14" s="757">
        <v>48.897321428571402</v>
      </c>
      <c r="BG14" s="753" t="s">
        <v>150</v>
      </c>
      <c r="BH14" s="763">
        <v>0.82027413767133595</v>
      </c>
      <c r="BI14" s="763">
        <v>0.79215712207379996</v>
      </c>
      <c r="BJ14" s="753" t="s">
        <v>150</v>
      </c>
      <c r="BK14" s="757">
        <v>396.92963458876397</v>
      </c>
      <c r="BL14" s="757">
        <v>326.54713917579897</v>
      </c>
      <c r="BM14" s="753" t="s">
        <v>150</v>
      </c>
      <c r="BN14" s="759">
        <v>3</v>
      </c>
      <c r="BO14" s="753" t="s">
        <v>153</v>
      </c>
      <c r="BP14" s="753" t="s">
        <v>150</v>
      </c>
      <c r="BQ14" s="757">
        <v>0</v>
      </c>
      <c r="BR14" s="46">
        <v>128</v>
      </c>
      <c r="BS14" s="46">
        <v>8227</v>
      </c>
      <c r="BT14" s="46">
        <v>2823</v>
      </c>
      <c r="BU14" s="46">
        <v>2.9142755933404181</v>
      </c>
      <c r="BV14" s="46">
        <v>22.0546875</v>
      </c>
      <c r="BW14" s="46">
        <v>1555</v>
      </c>
      <c r="BX14" s="46">
        <v>1268</v>
      </c>
      <c r="BY14" s="46">
        <v>2823</v>
      </c>
      <c r="BZ14" s="46">
        <v>1</v>
      </c>
      <c r="CA14" s="46">
        <v>0.5508324477506199</v>
      </c>
      <c r="CB14" s="46">
        <v>0.4491675522493801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0.85085693448401611</v>
      </c>
      <c r="CJ14" s="46">
        <v>1.701713868968032</v>
      </c>
      <c r="CK14">
        <v>417</v>
      </c>
      <c r="CL14">
        <v>739.88</v>
      </c>
      <c r="CM14">
        <f t="shared" si="7"/>
        <v>322.88</v>
      </c>
      <c r="CN14">
        <v>6.46</v>
      </c>
      <c r="CO14">
        <v>9.4499999999999993</v>
      </c>
      <c r="CP14">
        <f t="shared" si="8"/>
        <v>2.9899999999999993</v>
      </c>
      <c r="CQ14">
        <v>1269.8399999999999</v>
      </c>
      <c r="CR14">
        <v>396.93</v>
      </c>
      <c r="CS14">
        <f t="shared" si="9"/>
        <v>872.90999999999985</v>
      </c>
      <c r="CT14" t="s">
        <v>152</v>
      </c>
      <c r="CU14">
        <v>69.260000000000005</v>
      </c>
      <c r="CV14">
        <v>474</v>
      </c>
      <c r="CW14" s="46">
        <v>2823</v>
      </c>
      <c r="CX14" s="46">
        <f t="shared" si="3"/>
        <v>88.562522139567832</v>
      </c>
      <c r="CY14" s="46">
        <v>322.88</v>
      </c>
      <c r="CZ14" s="46">
        <f t="shared" si="4"/>
        <v>100</v>
      </c>
      <c r="DA14" s="46">
        <f t="shared" si="5"/>
        <v>1051.2865557491068</v>
      </c>
      <c r="DB14" s="46">
        <v>3307221.35</v>
      </c>
      <c r="DC14" s="46">
        <f t="shared" si="6"/>
        <v>22.084663114931274</v>
      </c>
      <c r="DD14" s="46">
        <v>69475.7</v>
      </c>
      <c r="DE14" s="995">
        <v>2823</v>
      </c>
      <c r="DF14" s="995">
        <v>91.563000000000002</v>
      </c>
      <c r="DG14" s="995">
        <v>238.2</v>
      </c>
      <c r="DH14" s="995">
        <v>100</v>
      </c>
      <c r="DI14" s="995">
        <v>2264.0770000000002</v>
      </c>
      <c r="DJ14" s="995">
        <v>6930746</v>
      </c>
      <c r="DK14" s="995">
        <v>47.362000000000002</v>
      </c>
      <c r="DL14" s="995">
        <v>144982.20000000001</v>
      </c>
      <c r="DM14" s="995">
        <v>2823</v>
      </c>
      <c r="DN14" s="995">
        <v>93.052000000000007</v>
      </c>
      <c r="DO14" s="995">
        <v>196.1</v>
      </c>
      <c r="DP14" s="995">
        <v>100</v>
      </c>
      <c r="DQ14" s="995">
        <v>2184.6889999999999</v>
      </c>
      <c r="DR14" s="995">
        <v>6595900</v>
      </c>
      <c r="DS14" s="995">
        <v>45.667999999999999</v>
      </c>
      <c r="DT14" s="995">
        <v>137877.20000000001</v>
      </c>
    </row>
    <row r="15" spans="1:124">
      <c r="A15" s="753" t="s">
        <v>92</v>
      </c>
      <c r="B15" s="753" t="s">
        <v>168</v>
      </c>
      <c r="C15" s="753" t="s">
        <v>169</v>
      </c>
      <c r="D15" s="753">
        <v>701301</v>
      </c>
      <c r="E15" s="753" t="s">
        <v>172</v>
      </c>
      <c r="F15" s="753" t="s">
        <v>149</v>
      </c>
      <c r="G15" s="753" t="s">
        <v>150</v>
      </c>
      <c r="H15" s="754" t="s">
        <v>150</v>
      </c>
      <c r="I15" s="755">
        <v>22</v>
      </c>
      <c r="J15" s="756">
        <v>81082.125599999999</v>
      </c>
      <c r="K15" s="757">
        <v>40142.275153000002</v>
      </c>
      <c r="L15" s="758">
        <v>121224.40075299999</v>
      </c>
      <c r="M15" s="759">
        <v>6501356</v>
      </c>
      <c r="N15" s="760">
        <v>1227962</v>
      </c>
      <c r="O15" s="760">
        <v>5273266</v>
      </c>
      <c r="P15" s="760">
        <v>128</v>
      </c>
      <c r="Q15" s="761">
        <v>14809.179658314401</v>
      </c>
      <c r="R15" s="762">
        <v>6394.5727445680996</v>
      </c>
      <c r="S15" s="760">
        <v>22541.5189894945</v>
      </c>
      <c r="T15" s="760">
        <v>2275.8097446924298</v>
      </c>
      <c r="U15" s="760">
        <f>IFERROR(INDEX('Rentabilidad datos'!$N$2:$N$61,MATCH($C15,'Rentabilidad datos'!$C$2:$C$61,0)),"")</f>
        <v>31211.901478754982</v>
      </c>
      <c r="V15" s="761">
        <f>IFERROR(INDEX('Rentabilidad datos'!$O$2:$O$61,MATCH($C15,'Rentabilidad datos'!$C$2:$C$61,0)),"")</f>
        <v>1486.2810227978564</v>
      </c>
      <c r="W15" s="762">
        <f>IFERROR(INDEX('Rentabilidad datos'!$M$2:$M$61,MATCH($C15,'Rentabilidad datos'!$C$2:$C$61,0)),"")</f>
        <v>3561.414830517057</v>
      </c>
      <c r="X15" s="763">
        <f>IFERROR(INDEX('Rentabilidad datos'!$P$2:$P$61,MATCH($C15,'Rentabilidad datos'!$C$2:$C$61,0)),"")</f>
        <v>0.41732881271291655</v>
      </c>
      <c r="Y15" s="754" t="s">
        <v>171</v>
      </c>
      <c r="Z15" s="764">
        <v>83.913439635535298</v>
      </c>
      <c r="AA15" s="754">
        <v>1</v>
      </c>
      <c r="AB15" s="765">
        <v>0.99880271131130183</v>
      </c>
      <c r="AC15" s="766">
        <v>1.1972886886981731E-3</v>
      </c>
      <c r="AD15" s="767" t="e">
        <f>_xlfn.XLOOKUP(Table1[[#This Row],[Ruta]],#REF!,#REF!)</f>
        <v>#REF!</v>
      </c>
      <c r="AE15" s="767" t="e">
        <f>_xlfn.XLOOKUP(Table1[[#This Row],[Ruta]],#REF!,#REF!)</f>
        <v>#REF!</v>
      </c>
      <c r="AF15" s="767" t="e">
        <f>_xlfn.XLOOKUP(Table1[[#This Row],[Ruta]],#REF!,#REF!)</f>
        <v>#REF!</v>
      </c>
      <c r="AG15" s="767" t="e">
        <f>_xlfn.XLOOKUP(Table1[[#This Row],[Ruta]],#REF!,#REF!)</f>
        <v>#REF!</v>
      </c>
      <c r="AH15" s="763">
        <v>0.18887782794850796</v>
      </c>
      <c r="AI15" s="763">
        <v>0.81110248385106121</v>
      </c>
      <c r="AJ15" s="766">
        <v>1.9688200430802437E-5</v>
      </c>
      <c r="AK15" s="768">
        <v>36838</v>
      </c>
      <c r="AL15" s="755">
        <v>21521</v>
      </c>
      <c r="AM15" s="765">
        <v>0.58420652587002597</v>
      </c>
      <c r="AN15" s="766">
        <v>0.76950938426078397</v>
      </c>
      <c r="AO15" s="768">
        <v>6826.1866973987499</v>
      </c>
      <c r="AP15" s="759">
        <v>3413.0933486993749</v>
      </c>
      <c r="AQ15" s="766">
        <v>0.67685795506540458</v>
      </c>
      <c r="AR15" s="762">
        <v>6501229.8700000001</v>
      </c>
      <c r="AS15" s="760">
        <v>1031053.59544922</v>
      </c>
      <c r="AT15" s="766">
        <v>0.15859362244781233</v>
      </c>
      <c r="AU15" s="762">
        <v>724524.14815350622</v>
      </c>
      <c r="AV15" s="763">
        <v>3.2959289135668915E-3</v>
      </c>
      <c r="AW15" s="755">
        <v>89</v>
      </c>
      <c r="AX15" s="762">
        <v>302.087722224804</v>
      </c>
      <c r="AY15" s="760">
        <v>436.55824316463099</v>
      </c>
      <c r="AZ15" s="760">
        <v>134.470520939827</v>
      </c>
      <c r="BA15" s="753" t="s">
        <v>150</v>
      </c>
      <c r="BB15" s="761">
        <v>1016789.7582404928</v>
      </c>
      <c r="BC15" s="769">
        <v>1741313.906393999</v>
      </c>
      <c r="BD15" s="753" t="s">
        <v>150</v>
      </c>
      <c r="BE15" s="757">
        <v>83.913439635535298</v>
      </c>
      <c r="BF15" s="757">
        <v>48.897321428571402</v>
      </c>
      <c r="BG15" s="753" t="s">
        <v>150</v>
      </c>
      <c r="BH15" s="763">
        <v>0.58420652587002597</v>
      </c>
      <c r="BI15" s="763">
        <v>0.79215712207379996</v>
      </c>
      <c r="BJ15" s="753" t="s">
        <v>152</v>
      </c>
      <c r="BK15" s="757">
        <v>276.13758713667397</v>
      </c>
      <c r="BL15" s="757">
        <v>326.54713917579897</v>
      </c>
      <c r="BM15" s="753" t="s">
        <v>152</v>
      </c>
      <c r="BN15" s="759">
        <v>1</v>
      </c>
      <c r="BO15" s="753" t="s">
        <v>155</v>
      </c>
      <c r="BP15" s="753" t="s">
        <v>152</v>
      </c>
      <c r="BQ15" s="757">
        <v>0</v>
      </c>
      <c r="BR15" s="46">
        <v>110</v>
      </c>
      <c r="BS15" s="46">
        <v>6160</v>
      </c>
      <c r="BT15" s="46">
        <v>1960</v>
      </c>
      <c r="BU15" s="46">
        <v>3.1428571428571428</v>
      </c>
      <c r="BV15" s="46">
        <v>17.818181818181817</v>
      </c>
      <c r="BW15" s="46">
        <v>1960</v>
      </c>
      <c r="BX15" s="46">
        <v>0</v>
      </c>
      <c r="BY15" s="46">
        <v>1960</v>
      </c>
      <c r="BZ15" s="46">
        <v>1</v>
      </c>
      <c r="CA15" s="46">
        <v>1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0.16233766233766231</v>
      </c>
      <c r="CJ15" s="46">
        <v>0.64935064935064934</v>
      </c>
      <c r="CK15">
        <v>375</v>
      </c>
      <c r="CL15">
        <v>515.32000000000005</v>
      </c>
      <c r="CM15">
        <f t="shared" si="7"/>
        <v>140.32000000000005</v>
      </c>
      <c r="CN15">
        <v>6.98</v>
      </c>
      <c r="CO15">
        <v>9.4499999999999993</v>
      </c>
      <c r="CP15">
        <f t="shared" si="8"/>
        <v>2.4699999999999989</v>
      </c>
      <c r="CQ15">
        <v>1269.8399999999999</v>
      </c>
      <c r="CR15">
        <v>276.14</v>
      </c>
      <c r="CS15">
        <f t="shared" si="9"/>
        <v>993.69999999999993</v>
      </c>
      <c r="CT15" t="s">
        <v>152</v>
      </c>
      <c r="CU15">
        <v>73.81</v>
      </c>
      <c r="CV15">
        <v>401</v>
      </c>
      <c r="CW15" s="46">
        <v>1960</v>
      </c>
      <c r="CX15" s="46">
        <f t="shared" si="3"/>
        <v>92.840816326530614</v>
      </c>
      <c r="CY15" s="46">
        <v>140.32</v>
      </c>
      <c r="CZ15" s="46">
        <f t="shared" si="4"/>
        <v>100</v>
      </c>
      <c r="DA15" s="46">
        <f t="shared" si="5"/>
        <v>1238.9229450750361</v>
      </c>
      <c r="DB15" s="46">
        <v>2602134.64</v>
      </c>
      <c r="DC15" s="46">
        <f t="shared" si="6"/>
        <v>23.434014816789819</v>
      </c>
      <c r="DD15" s="46">
        <v>49218.93</v>
      </c>
      <c r="DE15" s="995">
        <v>1960</v>
      </c>
      <c r="DF15" s="995">
        <v>93.944000000000003</v>
      </c>
      <c r="DG15" s="995">
        <v>118.7</v>
      </c>
      <c r="DH15" s="995">
        <v>100</v>
      </c>
      <c r="DI15" s="995">
        <v>3065.636</v>
      </c>
      <c r="DJ15" s="995">
        <v>6372502</v>
      </c>
      <c r="DK15" s="995">
        <v>57.899000000000001</v>
      </c>
      <c r="DL15" s="995">
        <v>120354.5</v>
      </c>
      <c r="DM15" s="995">
        <v>1960</v>
      </c>
      <c r="DN15" s="995">
        <v>95.013000000000005</v>
      </c>
      <c r="DO15" s="995">
        <v>97.7</v>
      </c>
      <c r="DP15" s="995">
        <v>100</v>
      </c>
      <c r="DQ15" s="995">
        <v>2989.2919999999999</v>
      </c>
      <c r="DR15" s="995">
        <v>6151196</v>
      </c>
      <c r="DS15" s="995">
        <v>56.451000000000001</v>
      </c>
      <c r="DT15" s="995">
        <v>116161</v>
      </c>
    </row>
    <row r="16" spans="1:124">
      <c r="A16" s="753" t="s">
        <v>92</v>
      </c>
      <c r="B16" s="753" t="s">
        <v>168</v>
      </c>
      <c r="C16" s="753" t="s">
        <v>169</v>
      </c>
      <c r="D16" s="753">
        <v>701302</v>
      </c>
      <c r="E16" s="753" t="s">
        <v>173</v>
      </c>
      <c r="F16" s="753" t="s">
        <v>149</v>
      </c>
      <c r="G16" s="753" t="s">
        <v>150</v>
      </c>
      <c r="H16" s="754" t="s">
        <v>150</v>
      </c>
      <c r="I16" s="755">
        <v>22</v>
      </c>
      <c r="J16" s="756">
        <v>56273.862399999998</v>
      </c>
      <c r="K16" s="757">
        <v>31872.574336000001</v>
      </c>
      <c r="L16" s="758">
        <v>88146.436736000003</v>
      </c>
      <c r="M16" s="759">
        <v>4786351</v>
      </c>
      <c r="N16" s="760">
        <v>813869</v>
      </c>
      <c r="O16" s="760">
        <v>3972482</v>
      </c>
      <c r="P16" s="760">
        <v>0</v>
      </c>
      <c r="Q16" s="761">
        <v>10706.1088143177</v>
      </c>
      <c r="R16" s="762">
        <v>6394.5727445680996</v>
      </c>
      <c r="S16" s="760">
        <v>22541.5189894945</v>
      </c>
      <c r="T16" s="760">
        <v>2275.8097446924298</v>
      </c>
      <c r="U16" s="760">
        <f>IFERROR(INDEX('Rentabilidad datos'!$N$2:$N$61,MATCH($C16,'Rentabilidad datos'!$C$2:$C$61,0)),"")</f>
        <v>31211.901478754982</v>
      </c>
      <c r="V16" s="761">
        <f>IFERROR(INDEX('Rentabilidad datos'!$O$2:$O$61,MATCH($C16,'Rentabilidad datos'!$C$2:$C$61,0)),"")</f>
        <v>1486.2810227978564</v>
      </c>
      <c r="W16" s="762">
        <f>IFERROR(INDEX('Rentabilidad datos'!$M$2:$M$61,MATCH($C16,'Rentabilidad datos'!$C$2:$C$61,0)),"")</f>
        <v>3561.414830517057</v>
      </c>
      <c r="X16" s="763">
        <f>IFERROR(INDEX('Rentabilidad datos'!$P$2:$P$61,MATCH($C16,'Rentabilidad datos'!$C$2:$C$61,0)),"")</f>
        <v>0.41732881271291655</v>
      </c>
      <c r="Y16" s="754" t="s">
        <v>171</v>
      </c>
      <c r="Z16" s="764">
        <v>75.371364653243802</v>
      </c>
      <c r="AA16" s="754">
        <v>1</v>
      </c>
      <c r="AB16" s="765">
        <v>0.99933853576555498</v>
      </c>
      <c r="AC16" s="766">
        <v>6.6146423444498747E-4</v>
      </c>
      <c r="AD16" s="767" t="e">
        <f>_xlfn.XLOOKUP(Table1[[#This Row],[Ruta]],#REF!,#REF!)</f>
        <v>#REF!</v>
      </c>
      <c r="AE16" s="767" t="e">
        <f>_xlfn.XLOOKUP(Table1[[#This Row],[Ruta]],#REF!,#REF!)</f>
        <v>#REF!</v>
      </c>
      <c r="AF16" s="767" t="e">
        <f>_xlfn.XLOOKUP(Table1[[#This Row],[Ruta]],#REF!,#REF!)</f>
        <v>#REF!</v>
      </c>
      <c r="AG16" s="767" t="e">
        <f>_xlfn.XLOOKUP(Table1[[#This Row],[Ruta]],#REF!,#REF!)</f>
        <v>#REF!</v>
      </c>
      <c r="AH16" s="763">
        <v>0.17003955622978759</v>
      </c>
      <c r="AI16" s="763">
        <v>0.82996044377021239</v>
      </c>
      <c r="AJ16" s="766">
        <v>0</v>
      </c>
      <c r="AK16" s="768">
        <v>33691</v>
      </c>
      <c r="AL16" s="755">
        <v>16384</v>
      </c>
      <c r="AM16" s="765">
        <v>0.48630197975720502</v>
      </c>
      <c r="AN16" s="766">
        <v>0.76950938426078397</v>
      </c>
      <c r="AO16" s="768">
        <v>9541.54066513006</v>
      </c>
      <c r="AP16" s="759">
        <v>4770.77033256503</v>
      </c>
      <c r="AQ16" s="766">
        <v>0.62790568200899433</v>
      </c>
      <c r="AR16" s="762">
        <v>4785630.6399999997</v>
      </c>
      <c r="AS16" s="760">
        <v>1393502.48290565</v>
      </c>
      <c r="AT16" s="766">
        <v>0.29118471268097074</v>
      </c>
      <c r="AU16" s="762">
        <v>979217.96096072742</v>
      </c>
      <c r="AV16" s="763">
        <v>4.454555170369111E-3</v>
      </c>
      <c r="AW16" s="755">
        <v>49</v>
      </c>
      <c r="AX16" s="762">
        <v>292.09171386718702</v>
      </c>
      <c r="AY16" s="760">
        <v>436.55824316463099</v>
      </c>
      <c r="AZ16" s="760">
        <v>144.46652929744397</v>
      </c>
      <c r="BA16" s="753" t="s">
        <v>150</v>
      </c>
      <c r="BB16" s="761">
        <v>831627.4326519242</v>
      </c>
      <c r="BC16" s="769">
        <v>1810845.3936126516</v>
      </c>
      <c r="BD16" s="753" t="s">
        <v>150</v>
      </c>
      <c r="BE16" s="757">
        <v>75.371364653243802</v>
      </c>
      <c r="BF16" s="757">
        <v>48.897321428571402</v>
      </c>
      <c r="BG16" s="753" t="s">
        <v>150</v>
      </c>
      <c r="BH16" s="763">
        <v>0.48630197975720502</v>
      </c>
      <c r="BI16" s="763">
        <v>0.79215712207379996</v>
      </c>
      <c r="BJ16" s="753" t="s">
        <v>152</v>
      </c>
      <c r="BK16" s="757">
        <v>197.19560791051501</v>
      </c>
      <c r="BL16" s="757">
        <v>326.54713917579897</v>
      </c>
      <c r="BM16" s="753" t="s">
        <v>152</v>
      </c>
      <c r="BN16" s="759">
        <v>1</v>
      </c>
      <c r="BO16" s="753" t="s">
        <v>155</v>
      </c>
      <c r="BP16" s="753" t="s">
        <v>152</v>
      </c>
      <c r="BQ16" s="757">
        <v>1188.3453604782501</v>
      </c>
      <c r="BR16" s="46">
        <v>460</v>
      </c>
      <c r="BS16" s="46">
        <v>34849</v>
      </c>
      <c r="BT16" s="46">
        <v>11761</v>
      </c>
      <c r="BU16" s="46">
        <v>2.9630983759884364</v>
      </c>
      <c r="BV16" s="46">
        <v>25.567391304347826</v>
      </c>
      <c r="BW16" s="46">
        <v>44</v>
      </c>
      <c r="BX16" s="46">
        <v>8919</v>
      </c>
      <c r="BY16" s="46">
        <v>8963</v>
      </c>
      <c r="BZ16" s="46">
        <v>0.76209505994388227</v>
      </c>
      <c r="CA16" s="46">
        <v>3.741178471218434E-3</v>
      </c>
      <c r="CB16" s="46">
        <v>0.75835388147266392</v>
      </c>
      <c r="CC16" s="46">
        <v>8.4006462035541199E-2</v>
      </c>
      <c r="CD16" s="46">
        <v>7.9840149647138856E-2</v>
      </c>
      <c r="CE16" s="46">
        <v>0</v>
      </c>
      <c r="CF16" s="46">
        <v>7.4058328373437635E-2</v>
      </c>
      <c r="CG16" s="46">
        <v>0</v>
      </c>
      <c r="CH16" s="46">
        <v>0</v>
      </c>
      <c r="CI16" s="46">
        <v>1.463456627162903</v>
      </c>
      <c r="CJ16" s="46">
        <v>1.17650434732704</v>
      </c>
      <c r="CK16">
        <v>701</v>
      </c>
      <c r="CL16">
        <v>910.77</v>
      </c>
      <c r="CM16">
        <f t="shared" si="7"/>
        <v>209.76999999999998</v>
      </c>
      <c r="CN16">
        <v>8.7200000000000006</v>
      </c>
      <c r="CO16">
        <v>9.4499999999999993</v>
      </c>
      <c r="CP16">
        <f t="shared" si="8"/>
        <v>0.72999999999999865</v>
      </c>
      <c r="CQ16">
        <v>634.91999999999996</v>
      </c>
      <c r="CR16">
        <v>197.2</v>
      </c>
      <c r="CS16">
        <f t="shared" si="9"/>
        <v>437.71999999999997</v>
      </c>
      <c r="CT16" t="s">
        <v>152</v>
      </c>
      <c r="CU16">
        <v>92.23</v>
      </c>
      <c r="CV16">
        <v>819</v>
      </c>
      <c r="CW16" s="46">
        <v>8963</v>
      </c>
      <c r="CX16" s="46">
        <f t="shared" si="3"/>
        <v>74.425899158234841</v>
      </c>
      <c r="CY16" s="46">
        <v>209.77</v>
      </c>
      <c r="CZ16" s="46">
        <f t="shared" si="4"/>
        <v>76.209505994388223</v>
      </c>
      <c r="DA16" s="46">
        <f t="shared" si="5"/>
        <v>286.79557455368365</v>
      </c>
      <c r="DB16" s="46">
        <v>3433163.86</v>
      </c>
      <c r="DC16" s="46">
        <f t="shared" si="6"/>
        <v>6.3716895404389184</v>
      </c>
      <c r="DD16" s="46">
        <v>76274.03</v>
      </c>
      <c r="DE16" s="995">
        <v>8963</v>
      </c>
      <c r="DF16" s="995">
        <v>74.528999999999996</v>
      </c>
      <c r="DG16" s="995">
        <v>197.6</v>
      </c>
      <c r="DH16" s="995">
        <v>76.209999999999994</v>
      </c>
      <c r="DI16" s="995">
        <v>724.22</v>
      </c>
      <c r="DJ16" s="995">
        <v>8660693</v>
      </c>
      <c r="DK16" s="995">
        <v>16.396000000000001</v>
      </c>
      <c r="DL16" s="995">
        <v>196076.79999999999</v>
      </c>
      <c r="DM16" s="995">
        <v>8963</v>
      </c>
      <c r="DN16" s="995">
        <v>74.674999999999997</v>
      </c>
      <c r="DO16" s="995">
        <v>180.4</v>
      </c>
      <c r="DP16" s="995">
        <v>76.209999999999994</v>
      </c>
      <c r="DQ16" s="995">
        <v>717.79399999999998</v>
      </c>
      <c r="DR16" s="995">
        <v>8571492</v>
      </c>
      <c r="DS16" s="995">
        <v>16.225999999999999</v>
      </c>
      <c r="DT16" s="995">
        <v>193756.2</v>
      </c>
    </row>
    <row r="17" spans="1:124">
      <c r="A17" s="753" t="s">
        <v>92</v>
      </c>
      <c r="B17" s="753" t="s">
        <v>168</v>
      </c>
      <c r="C17" s="753" t="s">
        <v>169</v>
      </c>
      <c r="D17" s="753">
        <v>701303</v>
      </c>
      <c r="E17" s="753" t="s">
        <v>174</v>
      </c>
      <c r="F17" s="753" t="s">
        <v>149</v>
      </c>
      <c r="G17" s="753" t="s">
        <v>150</v>
      </c>
      <c r="H17" s="754" t="s">
        <v>150</v>
      </c>
      <c r="I17" s="755">
        <v>22</v>
      </c>
      <c r="J17" s="756">
        <v>96143.907999999996</v>
      </c>
      <c r="K17" s="757">
        <v>49380.949747999999</v>
      </c>
      <c r="L17" s="758">
        <v>145524.85774800001</v>
      </c>
      <c r="M17" s="759">
        <v>7393780</v>
      </c>
      <c r="N17" s="760">
        <v>1369314</v>
      </c>
      <c r="O17" s="760">
        <v>6023284</v>
      </c>
      <c r="P17" s="760">
        <v>1182</v>
      </c>
      <c r="Q17" s="761">
        <v>16852.328022727299</v>
      </c>
      <c r="R17" s="762">
        <v>6394.5727445680996</v>
      </c>
      <c r="S17" s="760">
        <v>22541.5189894945</v>
      </c>
      <c r="T17" s="760">
        <v>2275.8097446924298</v>
      </c>
      <c r="U17" s="760">
        <f>IFERROR(INDEX('Rentabilidad datos'!$N$2:$N$61,MATCH($C17,'Rentabilidad datos'!$C$2:$C$61,0)),"")</f>
        <v>31211.901478754982</v>
      </c>
      <c r="V17" s="761">
        <f>IFERROR(INDEX('Rentabilidad datos'!$O$2:$O$61,MATCH($C17,'Rentabilidad datos'!$C$2:$C$61,0)),"")</f>
        <v>1486.2810227978564</v>
      </c>
      <c r="W17" s="762">
        <f>IFERROR(INDEX('Rentabilidad datos'!$M$2:$M$61,MATCH($C17,'Rentabilidad datos'!$C$2:$C$61,0)),"")</f>
        <v>3561.414830517057</v>
      </c>
      <c r="X17" s="763">
        <f>IFERROR(INDEX('Rentabilidad datos'!$P$2:$P$61,MATCH($C17,'Rentabilidad datos'!$C$2:$C$61,0)),"")</f>
        <v>0.41732881271291655</v>
      </c>
      <c r="Y17" s="754" t="s">
        <v>171</v>
      </c>
      <c r="Z17" s="764">
        <v>92.468181818181804</v>
      </c>
      <c r="AA17" s="754">
        <v>1</v>
      </c>
      <c r="AB17" s="765">
        <v>0.98865127174462863</v>
      </c>
      <c r="AC17" s="766">
        <v>1.1348728255371407E-2</v>
      </c>
      <c r="AD17" s="767" t="e">
        <f>_xlfn.XLOOKUP(Table1[[#This Row],[Ruta]],#REF!,#REF!)</f>
        <v>#REF!</v>
      </c>
      <c r="AE17" s="767" t="e">
        <f>_xlfn.XLOOKUP(Table1[[#This Row],[Ruta]],#REF!,#REF!)</f>
        <v>#REF!</v>
      </c>
      <c r="AF17" s="767" t="e">
        <f>_xlfn.XLOOKUP(Table1[[#This Row],[Ruta]],#REF!,#REF!)</f>
        <v>#REF!</v>
      </c>
      <c r="AG17" s="767" t="e">
        <f>_xlfn.XLOOKUP(Table1[[#This Row],[Ruta]],#REF!,#REF!)</f>
        <v>#REF!</v>
      </c>
      <c r="AH17" s="763">
        <v>0.18519809894262473</v>
      </c>
      <c r="AI17" s="763">
        <v>0.81464203695538684</v>
      </c>
      <c r="AJ17" s="766">
        <v>1.5986410198842811E-4</v>
      </c>
      <c r="AK17" s="768">
        <v>40686</v>
      </c>
      <c r="AL17" s="755">
        <v>32196</v>
      </c>
      <c r="AM17" s="765">
        <v>0.79132871257926596</v>
      </c>
      <c r="AN17" s="766">
        <v>0.76950938426078397</v>
      </c>
      <c r="AO17" s="768">
        <v>0</v>
      </c>
      <c r="AP17" s="759">
        <v>0</v>
      </c>
      <c r="AQ17" s="766">
        <v>0.79132871257926563</v>
      </c>
      <c r="AR17" s="762">
        <v>7415024.3300000001</v>
      </c>
      <c r="AS17" s="760">
        <v>0</v>
      </c>
      <c r="AT17" s="766">
        <v>0</v>
      </c>
      <c r="AU17" s="762">
        <v>0</v>
      </c>
      <c r="AV17" s="763">
        <v>0</v>
      </c>
      <c r="AW17" s="755">
        <v>490</v>
      </c>
      <c r="AX17" s="762">
        <v>230.30886849298099</v>
      </c>
      <c r="AY17" s="760">
        <v>436.55824316463099</v>
      </c>
      <c r="AZ17" s="760">
        <v>206.24937467165</v>
      </c>
      <c r="BA17" s="753" t="s">
        <v>150</v>
      </c>
      <c r="BB17" s="761">
        <v>2333115.2235153997</v>
      </c>
      <c r="BC17" s="769">
        <v>2333115.2235153997</v>
      </c>
      <c r="BD17" s="753" t="s">
        <v>150</v>
      </c>
      <c r="BE17" s="757">
        <v>92.468181818181804</v>
      </c>
      <c r="BF17" s="757">
        <v>48.897321428571402</v>
      </c>
      <c r="BG17" s="753" t="s">
        <v>150</v>
      </c>
      <c r="BH17" s="763">
        <v>0.79132871257926596</v>
      </c>
      <c r="BI17" s="763">
        <v>0.79215712207379996</v>
      </c>
      <c r="BJ17" s="753" t="s">
        <v>152</v>
      </c>
      <c r="BK17" s="757">
        <v>330.73831306363599</v>
      </c>
      <c r="BL17" s="757">
        <v>326.54713917579897</v>
      </c>
      <c r="BM17" s="753" t="s">
        <v>150</v>
      </c>
      <c r="BN17" s="759">
        <v>2</v>
      </c>
      <c r="BO17" s="753" t="s">
        <v>161</v>
      </c>
      <c r="BP17" s="753" t="s">
        <v>152</v>
      </c>
      <c r="BQ17" s="757">
        <v>0</v>
      </c>
      <c r="BR17" s="46">
        <v>421</v>
      </c>
      <c r="BS17" s="46">
        <v>33528</v>
      </c>
      <c r="BT17" s="46">
        <v>10284</v>
      </c>
      <c r="BU17" s="46">
        <v>3.2602100350058345</v>
      </c>
      <c r="BV17" s="46">
        <v>24.427553444180521</v>
      </c>
      <c r="BW17" s="46">
        <v>4048</v>
      </c>
      <c r="BX17" s="46">
        <v>4605</v>
      </c>
      <c r="BY17" s="46">
        <v>8653</v>
      </c>
      <c r="BZ17" s="46">
        <v>0.84140412290937383</v>
      </c>
      <c r="CA17" s="46">
        <v>0.39362115908206918</v>
      </c>
      <c r="CB17" s="46">
        <v>0.44778296382730448</v>
      </c>
      <c r="CC17" s="46">
        <v>0</v>
      </c>
      <c r="CD17" s="46">
        <v>0.14420458965383121</v>
      </c>
      <c r="CE17" s="46">
        <v>0</v>
      </c>
      <c r="CF17" s="46">
        <v>1.4391287436795019E-2</v>
      </c>
      <c r="CG17" s="46">
        <v>0</v>
      </c>
      <c r="CH17" s="46">
        <v>0</v>
      </c>
      <c r="CI17" s="46">
        <v>1.401813409687426</v>
      </c>
      <c r="CJ17" s="46">
        <v>0.62634216177523261</v>
      </c>
      <c r="CK17">
        <v>568</v>
      </c>
      <c r="CL17">
        <v>1158.6199999999999</v>
      </c>
      <c r="CM17">
        <f t="shared" si="7"/>
        <v>590.61999999999989</v>
      </c>
      <c r="CN17">
        <v>7.1</v>
      </c>
      <c r="CO17">
        <v>9.4499999999999993</v>
      </c>
      <c r="CP17">
        <f t="shared" si="8"/>
        <v>2.3499999999999996</v>
      </c>
      <c r="CQ17">
        <v>1269.8399999999999</v>
      </c>
      <c r="CR17">
        <v>330.74</v>
      </c>
      <c r="CS17">
        <f t="shared" si="9"/>
        <v>939.09999999999991</v>
      </c>
      <c r="CT17" t="s">
        <v>152</v>
      </c>
      <c r="CU17">
        <v>75.16</v>
      </c>
      <c r="CV17">
        <v>556</v>
      </c>
      <c r="CW17" s="46">
        <v>8653</v>
      </c>
      <c r="CX17" s="46">
        <f t="shared" si="3"/>
        <v>78.397316219369898</v>
      </c>
      <c r="CY17" s="46">
        <v>590.62</v>
      </c>
      <c r="CZ17" s="46">
        <f t="shared" si="4"/>
        <v>84.140412290937377</v>
      </c>
      <c r="DA17" s="46">
        <f t="shared" si="5"/>
        <v>622.22470394367804</v>
      </c>
      <c r="DB17" s="46">
        <v>6766457.21</v>
      </c>
      <c r="DC17" s="46">
        <f t="shared" si="6"/>
        <v>13.256236999545731</v>
      </c>
      <c r="DD17" s="46">
        <v>144156.54</v>
      </c>
      <c r="DE17" s="995">
        <v>8653</v>
      </c>
      <c r="DF17" s="995">
        <v>78.762</v>
      </c>
      <c r="DG17" s="995">
        <v>553.1</v>
      </c>
      <c r="DH17" s="995">
        <v>84.14</v>
      </c>
      <c r="DI17" s="995">
        <v>975.51800000000003</v>
      </c>
      <c r="DJ17" s="995">
        <v>10571806</v>
      </c>
      <c r="DK17" s="995">
        <v>20.795999999999999</v>
      </c>
      <c r="DL17" s="995">
        <v>225368.2</v>
      </c>
      <c r="DM17" s="995">
        <v>8653</v>
      </c>
      <c r="DN17" s="995">
        <v>78.933000000000007</v>
      </c>
      <c r="DO17" s="995">
        <v>535.6</v>
      </c>
      <c r="DP17" s="995">
        <v>84.14</v>
      </c>
      <c r="DQ17" s="995">
        <v>964.23500000000001</v>
      </c>
      <c r="DR17" s="995">
        <v>10432620</v>
      </c>
      <c r="DS17" s="995">
        <v>20.559000000000001</v>
      </c>
      <c r="DT17" s="995">
        <v>222440.5</v>
      </c>
    </row>
    <row r="18" spans="1:124">
      <c r="A18" s="753" t="s">
        <v>92</v>
      </c>
      <c r="B18" s="753" t="s">
        <v>168</v>
      </c>
      <c r="C18" s="753" t="s">
        <v>169</v>
      </c>
      <c r="D18" s="753">
        <v>701304</v>
      </c>
      <c r="E18" s="753" t="s">
        <v>175</v>
      </c>
      <c r="F18" s="753" t="s">
        <v>149</v>
      </c>
      <c r="G18" s="753" t="s">
        <v>150</v>
      </c>
      <c r="H18" s="754" t="s">
        <v>150</v>
      </c>
      <c r="I18" s="755">
        <v>22</v>
      </c>
      <c r="J18" s="756">
        <v>89454.8704</v>
      </c>
      <c r="K18" s="757">
        <v>33447.393341000003</v>
      </c>
      <c r="L18" s="758">
        <v>122902.263741</v>
      </c>
      <c r="M18" s="759">
        <v>5361383</v>
      </c>
      <c r="N18" s="760">
        <v>1275596</v>
      </c>
      <c r="O18" s="760">
        <v>4085689</v>
      </c>
      <c r="P18" s="760">
        <v>98</v>
      </c>
      <c r="Q18" s="761">
        <v>12167.088526077099</v>
      </c>
      <c r="R18" s="762">
        <v>6394.5727445680996</v>
      </c>
      <c r="S18" s="760">
        <v>22541.5189894945</v>
      </c>
      <c r="T18" s="760">
        <v>2275.8097446924298</v>
      </c>
      <c r="U18" s="760">
        <f>IFERROR(INDEX('Rentabilidad datos'!$N$2:$N$61,MATCH($C18,'Rentabilidad datos'!$C$2:$C$61,0)),"")</f>
        <v>31211.901478754982</v>
      </c>
      <c r="V18" s="761">
        <f>IFERROR(INDEX('Rentabilidad datos'!$O$2:$O$61,MATCH($C18,'Rentabilidad datos'!$C$2:$C$61,0)),"")</f>
        <v>1486.2810227978564</v>
      </c>
      <c r="W18" s="762">
        <f>IFERROR(INDEX('Rentabilidad datos'!$M$2:$M$61,MATCH($C18,'Rentabilidad datos'!$C$2:$C$61,0)),"")</f>
        <v>3561.414830517057</v>
      </c>
      <c r="X18" s="763">
        <f>IFERROR(INDEX('Rentabilidad datos'!$P$2:$P$61,MATCH($C18,'Rentabilidad datos'!$C$2:$C$61,0)),"")</f>
        <v>0.41732881271291655</v>
      </c>
      <c r="Y18" s="754" t="s">
        <v>171</v>
      </c>
      <c r="Z18" s="764">
        <v>56.299319727891202</v>
      </c>
      <c r="AA18" s="754">
        <v>1</v>
      </c>
      <c r="AB18" s="765">
        <v>0.98568802116916476</v>
      </c>
      <c r="AC18" s="766">
        <v>1.4311978830835253E-2</v>
      </c>
      <c r="AD18" s="767" t="e">
        <f>_xlfn.XLOOKUP(Table1[[#This Row],[Ruta]],#REF!,#REF!)</f>
        <v>#REF!</v>
      </c>
      <c r="AE18" s="767" t="e">
        <f>_xlfn.XLOOKUP(Table1[[#This Row],[Ruta]],#REF!,#REF!)</f>
        <v>#REF!</v>
      </c>
      <c r="AF18" s="767" t="e">
        <f>_xlfn.XLOOKUP(Table1[[#This Row],[Ruta]],#REF!,#REF!)</f>
        <v>#REF!</v>
      </c>
      <c r="AG18" s="767" t="e">
        <f>_xlfn.XLOOKUP(Table1[[#This Row],[Ruta]],#REF!,#REF!)</f>
        <v>#REF!</v>
      </c>
      <c r="AH18" s="763">
        <v>0.23792293891333635</v>
      </c>
      <c r="AI18" s="763">
        <v>0.76205878222093071</v>
      </c>
      <c r="AJ18" s="766">
        <v>1.8278865732964795E-5</v>
      </c>
      <c r="AK18" s="768">
        <v>24828</v>
      </c>
      <c r="AL18" s="755">
        <v>15093</v>
      </c>
      <c r="AM18" s="765">
        <v>0.60790236829386202</v>
      </c>
      <c r="AN18" s="766">
        <v>0.76950938426078397</v>
      </c>
      <c r="AO18" s="768">
        <v>4012.3789924267398</v>
      </c>
      <c r="AP18" s="759">
        <v>2006.1894962133699</v>
      </c>
      <c r="AQ18" s="766">
        <v>0.68870587627732283</v>
      </c>
      <c r="AR18" s="762">
        <v>5365686.04</v>
      </c>
      <c r="AS18" s="760">
        <v>713216.91999117006</v>
      </c>
      <c r="AT18" s="766">
        <v>0.13292185093840675</v>
      </c>
      <c r="AU18" s="762">
        <v>501179.45729109267</v>
      </c>
      <c r="AV18" s="763">
        <v>2.2799127791410683E-3</v>
      </c>
      <c r="AW18" s="755">
        <v>147</v>
      </c>
      <c r="AX18" s="762">
        <v>355.50825150732101</v>
      </c>
      <c r="AY18" s="760">
        <v>436.55824316463099</v>
      </c>
      <c r="AZ18" s="760">
        <v>81.049991657309988</v>
      </c>
      <c r="BA18" s="753" t="s">
        <v>150</v>
      </c>
      <c r="BB18" s="761">
        <v>429803.72467808489</v>
      </c>
      <c r="BC18" s="769">
        <v>930983.18196917756</v>
      </c>
      <c r="BD18" s="753" t="s">
        <v>150</v>
      </c>
      <c r="BE18" s="757">
        <v>56.299319727891202</v>
      </c>
      <c r="BF18" s="757">
        <v>48.897321428571402</v>
      </c>
      <c r="BG18" s="753" t="s">
        <v>150</v>
      </c>
      <c r="BH18" s="763">
        <v>0.60790236829386202</v>
      </c>
      <c r="BI18" s="763">
        <v>0.79215712207379996</v>
      </c>
      <c r="BJ18" s="753" t="s">
        <v>152</v>
      </c>
      <c r="BK18" s="757">
        <v>278.68994045578199</v>
      </c>
      <c r="BL18" s="757">
        <v>326.54713917579897</v>
      </c>
      <c r="BM18" s="753" t="s">
        <v>152</v>
      </c>
      <c r="BN18" s="759">
        <v>1</v>
      </c>
      <c r="BO18" s="753" t="s">
        <v>155</v>
      </c>
      <c r="BP18" s="753" t="s">
        <v>152</v>
      </c>
      <c r="BQ18" s="757">
        <v>3881.8703253660101</v>
      </c>
      <c r="BR18" s="46">
        <v>438</v>
      </c>
      <c r="BS18" s="46">
        <v>39340</v>
      </c>
      <c r="BT18" s="46">
        <v>12028</v>
      </c>
      <c r="BU18" s="46">
        <v>3.2707016960425674</v>
      </c>
      <c r="BV18" s="46">
        <v>27.461187214611872</v>
      </c>
      <c r="BW18" s="46">
        <v>871</v>
      </c>
      <c r="BX18" s="46">
        <v>6721</v>
      </c>
      <c r="BY18" s="46">
        <v>7592</v>
      </c>
      <c r="BZ18" s="46">
        <v>0.63119388094446294</v>
      </c>
      <c r="CA18" s="46">
        <v>7.2414366478217487E-2</v>
      </c>
      <c r="CB18" s="46">
        <v>0.55877951446624541</v>
      </c>
      <c r="CC18" s="46">
        <v>0.35384103757898239</v>
      </c>
      <c r="CD18" s="46">
        <v>0</v>
      </c>
      <c r="CE18" s="46">
        <v>0</v>
      </c>
      <c r="CF18" s="46">
        <v>1.496508147655471E-2</v>
      </c>
      <c r="CG18" s="46">
        <v>0</v>
      </c>
      <c r="CH18" s="46">
        <v>0</v>
      </c>
      <c r="CI18" s="46">
        <v>2.4911032028469751</v>
      </c>
      <c r="CJ18" s="46">
        <v>0.73716319267920694</v>
      </c>
      <c r="CK18">
        <v>315</v>
      </c>
      <c r="CL18">
        <v>857.81</v>
      </c>
      <c r="CM18">
        <f t="shared" si="7"/>
        <v>542.80999999999995</v>
      </c>
      <c r="CN18">
        <v>6.28</v>
      </c>
      <c r="CO18">
        <v>9.4499999999999993</v>
      </c>
      <c r="CP18">
        <f t="shared" si="8"/>
        <v>3.169999999999999</v>
      </c>
      <c r="CQ18">
        <v>634.91999999999996</v>
      </c>
      <c r="CR18">
        <v>278.69</v>
      </c>
      <c r="CS18">
        <f t="shared" si="9"/>
        <v>356.22999999999996</v>
      </c>
      <c r="CT18" t="s">
        <v>152</v>
      </c>
      <c r="CU18">
        <v>71.8</v>
      </c>
      <c r="CV18">
        <v>316</v>
      </c>
      <c r="CW18" s="46">
        <v>7592</v>
      </c>
      <c r="CX18" s="46">
        <f t="shared" si="3"/>
        <v>58.606501496508159</v>
      </c>
      <c r="CY18" s="46">
        <v>542.80999999999995</v>
      </c>
      <c r="CZ18" s="46">
        <f t="shared" si="4"/>
        <v>63.119388094446293</v>
      </c>
      <c r="DA18" s="46">
        <f t="shared" si="5"/>
        <v>303.11466246009604</v>
      </c>
      <c r="DB18" s="46">
        <v>3810396.83</v>
      </c>
      <c r="DC18" s="46">
        <f t="shared" si="6"/>
        <v>7.3932252575609692</v>
      </c>
      <c r="DD18" s="46">
        <v>92938.83</v>
      </c>
      <c r="DE18" s="995">
        <v>7592</v>
      </c>
      <c r="DF18" s="995">
        <v>58.838000000000001</v>
      </c>
      <c r="DG18" s="995">
        <v>515</v>
      </c>
      <c r="DH18" s="995">
        <v>63.119</v>
      </c>
      <c r="DI18" s="995">
        <v>502.53699999999998</v>
      </c>
      <c r="DJ18" s="995">
        <v>6303323</v>
      </c>
      <c r="DK18" s="995">
        <v>12.382999999999999</v>
      </c>
      <c r="DL18" s="995">
        <v>155323.29999999999</v>
      </c>
      <c r="DM18" s="995">
        <v>7592</v>
      </c>
      <c r="DN18" s="995">
        <v>58.963999999999999</v>
      </c>
      <c r="DO18" s="995">
        <v>499.8</v>
      </c>
      <c r="DP18" s="995">
        <v>63.119</v>
      </c>
      <c r="DQ18" s="995">
        <v>493.35199999999998</v>
      </c>
      <c r="DR18" s="995">
        <v>6180615</v>
      </c>
      <c r="DS18" s="995">
        <v>12.2</v>
      </c>
      <c r="DT18" s="995">
        <v>152835.9</v>
      </c>
    </row>
    <row r="19" spans="1:124">
      <c r="A19" s="753" t="s">
        <v>92</v>
      </c>
      <c r="B19" s="753" t="s">
        <v>168</v>
      </c>
      <c r="C19" s="753" t="s">
        <v>169</v>
      </c>
      <c r="D19" s="753">
        <v>701305</v>
      </c>
      <c r="E19" s="753" t="s">
        <v>176</v>
      </c>
      <c r="F19" s="753" t="s">
        <v>149</v>
      </c>
      <c r="G19" s="753" t="s">
        <v>150</v>
      </c>
      <c r="H19" s="754" t="s">
        <v>150</v>
      </c>
      <c r="I19" s="755">
        <v>22</v>
      </c>
      <c r="J19" s="756">
        <v>91800.788799999995</v>
      </c>
      <c r="K19" s="757">
        <v>32526.983550000001</v>
      </c>
      <c r="L19" s="758">
        <v>124327.77235</v>
      </c>
      <c r="M19" s="759">
        <v>5837867</v>
      </c>
      <c r="N19" s="760">
        <v>1405782</v>
      </c>
      <c r="O19" s="760">
        <v>4432020</v>
      </c>
      <c r="P19" s="760">
        <v>65</v>
      </c>
      <c r="Q19" s="761">
        <v>13237.0054195011</v>
      </c>
      <c r="R19" s="762">
        <v>6394.5727445680996</v>
      </c>
      <c r="S19" s="760">
        <v>22541.5189894945</v>
      </c>
      <c r="T19" s="760">
        <v>2275.8097446924298</v>
      </c>
      <c r="U19" s="760">
        <f>IFERROR(INDEX('Rentabilidad datos'!$N$2:$N$61,MATCH($C19,'Rentabilidad datos'!$C$2:$C$61,0)),"")</f>
        <v>31211.901478754982</v>
      </c>
      <c r="V19" s="761">
        <f>IFERROR(INDEX('Rentabilidad datos'!$O$2:$O$61,MATCH($C19,'Rentabilidad datos'!$C$2:$C$61,0)),"")</f>
        <v>1486.2810227978564</v>
      </c>
      <c r="W19" s="762">
        <f>IFERROR(INDEX('Rentabilidad datos'!$M$2:$M$61,MATCH($C19,'Rentabilidad datos'!$C$2:$C$61,0)),"")</f>
        <v>3561.414830517057</v>
      </c>
      <c r="X19" s="763">
        <f>IFERROR(INDEX('Rentabilidad datos'!$P$2:$P$61,MATCH($C19,'Rentabilidad datos'!$C$2:$C$61,0)),"")</f>
        <v>0.41732881271291655</v>
      </c>
      <c r="Y19" s="754" t="s">
        <v>171</v>
      </c>
      <c r="Z19" s="764">
        <v>69.360544217687107</v>
      </c>
      <c r="AA19" s="754">
        <v>1</v>
      </c>
      <c r="AB19" s="765">
        <v>0.99208323862122927</v>
      </c>
      <c r="AC19" s="766">
        <v>7.9167613787707054E-3</v>
      </c>
      <c r="AD19" s="767" t="e">
        <f>_xlfn.XLOOKUP(Table1[[#This Row],[Ruta]],#REF!,#REF!)</f>
        <v>#REF!</v>
      </c>
      <c r="AE19" s="767" t="e">
        <f>_xlfn.XLOOKUP(Table1[[#This Row],[Ruta]],#REF!,#REF!)</f>
        <v>#REF!</v>
      </c>
      <c r="AF19" s="767" t="e">
        <f>_xlfn.XLOOKUP(Table1[[#This Row],[Ruta]],#REF!,#REF!)</f>
        <v>#REF!</v>
      </c>
      <c r="AG19" s="767" t="e">
        <f>_xlfn.XLOOKUP(Table1[[#This Row],[Ruta]],#REF!,#REF!)</f>
        <v>#REF!</v>
      </c>
      <c r="AH19" s="763">
        <v>0.24080404709459807</v>
      </c>
      <c r="AI19" s="763">
        <v>0.75918481870176213</v>
      </c>
      <c r="AJ19" s="766">
        <v>1.1134203639788299E-5</v>
      </c>
      <c r="AK19" s="768">
        <v>30588</v>
      </c>
      <c r="AL19" s="755">
        <v>19260</v>
      </c>
      <c r="AM19" s="765">
        <v>0.62965868968222805</v>
      </c>
      <c r="AN19" s="766">
        <v>0.76950938426078397</v>
      </c>
      <c r="AO19" s="768">
        <v>4277.7530457688499</v>
      </c>
      <c r="AP19" s="759">
        <v>2138.876522884425</v>
      </c>
      <c r="AQ19" s="766">
        <v>0.69958403697150595</v>
      </c>
      <c r="AR19" s="762">
        <v>5837519.3899999997</v>
      </c>
      <c r="AS19" s="760">
        <v>648272.75052718504</v>
      </c>
      <c r="AT19" s="766">
        <v>0.11105277896596162</v>
      </c>
      <c r="AU19" s="762">
        <v>455543.01388396806</v>
      </c>
      <c r="AV19" s="763">
        <v>2.0723082793859646E-3</v>
      </c>
      <c r="AW19" s="755">
        <v>160</v>
      </c>
      <c r="AX19" s="762">
        <v>303.09031100726901</v>
      </c>
      <c r="AY19" s="760">
        <v>436.55824316463099</v>
      </c>
      <c r="AZ19" s="760">
        <v>133.46793215736199</v>
      </c>
      <c r="BA19" s="753" t="s">
        <v>150</v>
      </c>
      <c r="BB19" s="761">
        <v>903181.10415027849</v>
      </c>
      <c r="BC19" s="769">
        <v>1358724.1180342466</v>
      </c>
      <c r="BD19" s="753" t="s">
        <v>150</v>
      </c>
      <c r="BE19" s="757">
        <v>69.360544217687107</v>
      </c>
      <c r="BF19" s="757">
        <v>48.897321428571402</v>
      </c>
      <c r="BG19" s="753" t="s">
        <v>150</v>
      </c>
      <c r="BH19" s="763">
        <v>0.62965868968222805</v>
      </c>
      <c r="BI19" s="763">
        <v>0.79215712207379996</v>
      </c>
      <c r="BJ19" s="753" t="s">
        <v>152</v>
      </c>
      <c r="BK19" s="757">
        <v>281.922386281179</v>
      </c>
      <c r="BL19" s="757">
        <v>326.54713917579897</v>
      </c>
      <c r="BM19" s="753" t="s">
        <v>152</v>
      </c>
      <c r="BN19" s="759">
        <v>1</v>
      </c>
      <c r="BO19" s="753" t="s">
        <v>155</v>
      </c>
      <c r="BP19" s="753" t="s">
        <v>152</v>
      </c>
      <c r="BQ19" s="757">
        <v>0</v>
      </c>
      <c r="BR19" s="46">
        <v>164</v>
      </c>
      <c r="BS19" s="46">
        <v>9985</v>
      </c>
      <c r="BT19" s="46">
        <v>3234</v>
      </c>
      <c r="BU19" s="46">
        <v>3.087507730364873</v>
      </c>
      <c r="BV19" s="46">
        <v>19.719512195121951</v>
      </c>
      <c r="BW19" s="46">
        <v>3234</v>
      </c>
      <c r="BX19" s="46">
        <v>0</v>
      </c>
      <c r="BY19" s="46">
        <v>3234</v>
      </c>
      <c r="BZ19" s="46">
        <v>1</v>
      </c>
      <c r="CA19" s="46">
        <v>1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0.70105157736604906</v>
      </c>
      <c r="CJ19" s="46">
        <v>1.502253380070105</v>
      </c>
      <c r="CK19">
        <v>335</v>
      </c>
      <c r="CL19">
        <v>519.13</v>
      </c>
      <c r="CM19">
        <f t="shared" si="7"/>
        <v>184.13</v>
      </c>
      <c r="CN19">
        <v>12.17</v>
      </c>
      <c r="CO19">
        <v>9.4499999999999993</v>
      </c>
      <c r="CP19">
        <f t="shared" si="8"/>
        <v>-2.7200000000000006</v>
      </c>
      <c r="CQ19">
        <v>1269.8399999999999</v>
      </c>
      <c r="CR19">
        <v>281.92</v>
      </c>
      <c r="CS19">
        <f t="shared" si="9"/>
        <v>987.91999999999985</v>
      </c>
      <c r="CT19" t="s">
        <v>150</v>
      </c>
      <c r="CU19">
        <v>129</v>
      </c>
      <c r="CV19">
        <v>362</v>
      </c>
      <c r="CW19" s="46">
        <v>3234</v>
      </c>
      <c r="CX19" s="46">
        <f t="shared" si="3"/>
        <v>94.306431663574514</v>
      </c>
      <c r="CY19" s="46">
        <v>184.13</v>
      </c>
      <c r="CZ19" s="46">
        <f t="shared" si="4"/>
        <v>100</v>
      </c>
      <c r="DA19" s="46">
        <f t="shared" si="5"/>
        <v>678.87110203532347</v>
      </c>
      <c r="DB19" s="46">
        <v>2320469.6800000002</v>
      </c>
      <c r="DC19" s="46">
        <f t="shared" si="6"/>
        <v>16.622270071647364</v>
      </c>
      <c r="DD19" s="46">
        <v>56817.08</v>
      </c>
      <c r="DE19" s="995">
        <v>3234</v>
      </c>
      <c r="DF19" s="995">
        <v>95.94</v>
      </c>
      <c r="DG19" s="995">
        <v>131.30000000000001</v>
      </c>
      <c r="DH19" s="995">
        <v>100</v>
      </c>
      <c r="DI19" s="995">
        <v>1502.2059999999999</v>
      </c>
      <c r="DJ19" s="995">
        <v>5055393</v>
      </c>
      <c r="DK19" s="995">
        <v>33.722999999999999</v>
      </c>
      <c r="DL19" s="995">
        <v>113487.9</v>
      </c>
      <c r="DM19" s="995">
        <v>3234</v>
      </c>
      <c r="DN19" s="995">
        <v>96.186999999999998</v>
      </c>
      <c r="DO19" s="995">
        <v>123.3</v>
      </c>
      <c r="DP19" s="995">
        <v>100</v>
      </c>
      <c r="DQ19" s="995">
        <v>1490.8430000000001</v>
      </c>
      <c r="DR19" s="995">
        <v>5005229</v>
      </c>
      <c r="DS19" s="995">
        <v>33.326000000000001</v>
      </c>
      <c r="DT19" s="995">
        <v>111886.5</v>
      </c>
    </row>
    <row r="20" spans="1:124">
      <c r="A20" s="753" t="s">
        <v>92</v>
      </c>
      <c r="B20" s="753" t="s">
        <v>168</v>
      </c>
      <c r="C20" s="753" t="s">
        <v>169</v>
      </c>
      <c r="D20" s="753">
        <v>701306</v>
      </c>
      <c r="E20" s="753" t="s">
        <v>177</v>
      </c>
      <c r="F20" s="753" t="s">
        <v>149</v>
      </c>
      <c r="G20" s="753" t="s">
        <v>150</v>
      </c>
      <c r="H20" s="754" t="s">
        <v>150</v>
      </c>
      <c r="I20" s="755">
        <v>22</v>
      </c>
      <c r="J20" s="756">
        <v>109613.5656</v>
      </c>
      <c r="K20" s="757">
        <v>38136.486257999997</v>
      </c>
      <c r="L20" s="758">
        <v>147750.05185799999</v>
      </c>
      <c r="M20" s="759">
        <v>6477694</v>
      </c>
      <c r="N20" s="760">
        <v>1667637</v>
      </c>
      <c r="O20" s="760">
        <v>4810057</v>
      </c>
      <c r="P20" s="760">
        <v>0</v>
      </c>
      <c r="Q20" s="761">
        <v>14755.5637129841</v>
      </c>
      <c r="R20" s="762">
        <v>6394.5727445680996</v>
      </c>
      <c r="S20" s="760">
        <v>22541.5189894945</v>
      </c>
      <c r="T20" s="760">
        <v>2275.8097446924298</v>
      </c>
      <c r="U20" s="760">
        <f>IFERROR(INDEX('Rentabilidad datos'!$N$2:$N$61,MATCH($C20,'Rentabilidad datos'!$C$2:$C$61,0)),"")</f>
        <v>31211.901478754982</v>
      </c>
      <c r="V20" s="761">
        <f>IFERROR(INDEX('Rentabilidad datos'!$O$2:$O$61,MATCH($C20,'Rentabilidad datos'!$C$2:$C$61,0)),"")</f>
        <v>1486.2810227978564</v>
      </c>
      <c r="W20" s="762">
        <f>IFERROR(INDEX('Rentabilidad datos'!$M$2:$M$61,MATCH($C20,'Rentabilidad datos'!$C$2:$C$61,0)),"")</f>
        <v>3561.414830517057</v>
      </c>
      <c r="X20" s="763">
        <f>IFERROR(INDEX('Rentabilidad datos'!$P$2:$P$61,MATCH($C20,'Rentabilidad datos'!$C$2:$C$61,0)),"")</f>
        <v>0.41732881271291655</v>
      </c>
      <c r="Y20" s="754" t="s">
        <v>171</v>
      </c>
      <c r="Z20" s="764">
        <v>54.061503416856503</v>
      </c>
      <c r="AA20" s="754">
        <v>1</v>
      </c>
      <c r="AB20" s="765">
        <v>0.99854315440031594</v>
      </c>
      <c r="AC20" s="766">
        <v>1.4568455996840852E-3</v>
      </c>
      <c r="AD20" s="767" t="e">
        <f>_xlfn.XLOOKUP(Table1[[#This Row],[Ruta]],#REF!,#REF!)</f>
        <v>#REF!</v>
      </c>
      <c r="AE20" s="767" t="e">
        <f>_xlfn.XLOOKUP(Table1[[#This Row],[Ruta]],#REF!,#REF!)</f>
        <v>#REF!</v>
      </c>
      <c r="AF20" s="767" t="e">
        <f>_xlfn.XLOOKUP(Table1[[#This Row],[Ruta]],#REF!,#REF!)</f>
        <v>#REF!</v>
      </c>
      <c r="AG20" s="767" t="e">
        <f>_xlfn.XLOOKUP(Table1[[#This Row],[Ruta]],#REF!,#REF!)</f>
        <v>#REF!</v>
      </c>
      <c r="AH20" s="763">
        <v>0.25744300363678801</v>
      </c>
      <c r="AI20" s="763">
        <v>0.74255699636321193</v>
      </c>
      <c r="AJ20" s="766">
        <v>0</v>
      </c>
      <c r="AK20" s="768">
        <v>23733</v>
      </c>
      <c r="AL20" s="755">
        <v>13813</v>
      </c>
      <c r="AM20" s="765">
        <v>0.58201660135676103</v>
      </c>
      <c r="AN20" s="766">
        <v>0.76950938426078397</v>
      </c>
      <c r="AO20" s="768">
        <v>4449.7662166611799</v>
      </c>
      <c r="AP20" s="759">
        <v>2224.8831083305899</v>
      </c>
      <c r="AQ20" s="766">
        <v>0.67576299280877217</v>
      </c>
      <c r="AR20" s="762">
        <v>6477692.4699999997</v>
      </c>
      <c r="AS20" s="760">
        <v>1043372.8051446649</v>
      </c>
      <c r="AT20" s="766">
        <v>0.16107167945635198</v>
      </c>
      <c r="AU20" s="762">
        <v>733180.89010165667</v>
      </c>
      <c r="AV20" s="763">
        <v>3.3353092518991776E-3</v>
      </c>
      <c r="AW20" s="755">
        <v>88</v>
      </c>
      <c r="AX20" s="762">
        <v>468.95623470643602</v>
      </c>
      <c r="AY20" s="760">
        <v>436.55824316463099</v>
      </c>
      <c r="AZ20" s="760">
        <v>0</v>
      </c>
      <c r="BA20" s="753" t="s">
        <v>152</v>
      </c>
      <c r="BB20" s="761">
        <v>0</v>
      </c>
      <c r="BC20" s="769">
        <v>733180.89010165667</v>
      </c>
      <c r="BD20" s="753" t="s">
        <v>150</v>
      </c>
      <c r="BE20" s="757">
        <v>54.061503416856503</v>
      </c>
      <c r="BF20" s="757">
        <v>48.897321428571402</v>
      </c>
      <c r="BG20" s="753" t="s">
        <v>150</v>
      </c>
      <c r="BH20" s="763">
        <v>0.58201660135676103</v>
      </c>
      <c r="BI20" s="763">
        <v>0.79215712207379996</v>
      </c>
      <c r="BJ20" s="753" t="s">
        <v>152</v>
      </c>
      <c r="BK20" s="757">
        <v>336.56048259225503</v>
      </c>
      <c r="BL20" s="757">
        <v>326.54713917579897</v>
      </c>
      <c r="BM20" s="753" t="s">
        <v>150</v>
      </c>
      <c r="BN20" s="759">
        <v>2</v>
      </c>
      <c r="BO20" s="753" t="s">
        <v>161</v>
      </c>
      <c r="BP20" s="753" t="s">
        <v>152</v>
      </c>
      <c r="BQ20" s="757">
        <v>4216.5010499291602</v>
      </c>
      <c r="BR20" s="46">
        <v>198</v>
      </c>
      <c r="BS20" s="46">
        <v>14988</v>
      </c>
      <c r="BT20" s="46">
        <v>4599</v>
      </c>
      <c r="BU20" s="46">
        <v>3.258969341161122</v>
      </c>
      <c r="BV20" s="46">
        <v>23.227272727272727</v>
      </c>
      <c r="BW20" s="46">
        <v>4599</v>
      </c>
      <c r="BX20" s="46">
        <v>0</v>
      </c>
      <c r="BY20" s="46">
        <v>4599</v>
      </c>
      <c r="BZ20" s="46">
        <v>1</v>
      </c>
      <c r="CA20" s="46">
        <v>1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0.60048038430744588</v>
      </c>
      <c r="CJ20" s="46">
        <v>0.80064051240992784</v>
      </c>
      <c r="CK20">
        <v>244</v>
      </c>
      <c r="CL20">
        <v>588.63</v>
      </c>
      <c r="CM20">
        <f t="shared" si="7"/>
        <v>344.63</v>
      </c>
      <c r="CN20">
        <v>6.4</v>
      </c>
      <c r="CO20">
        <v>9.4499999999999993</v>
      </c>
      <c r="CP20">
        <f t="shared" si="8"/>
        <v>3.0499999999999989</v>
      </c>
      <c r="CQ20">
        <v>1269.8399999999999</v>
      </c>
      <c r="CR20">
        <v>336.56</v>
      </c>
      <c r="CS20">
        <f t="shared" si="9"/>
        <v>933.28</v>
      </c>
      <c r="CT20" t="s">
        <v>152</v>
      </c>
      <c r="CU20">
        <v>67.72</v>
      </c>
      <c r="CV20">
        <v>307</v>
      </c>
      <c r="CW20" s="46">
        <v>4599</v>
      </c>
      <c r="CX20" s="46">
        <f t="shared" si="3"/>
        <v>92.506414437921279</v>
      </c>
      <c r="CY20" s="46">
        <v>344.63</v>
      </c>
      <c r="CZ20" s="46">
        <f t="shared" si="4"/>
        <v>100</v>
      </c>
      <c r="DA20" s="46">
        <f t="shared" si="5"/>
        <v>506.93574761865267</v>
      </c>
      <c r="DB20" s="46">
        <v>2506102.77</v>
      </c>
      <c r="DC20" s="46">
        <f t="shared" si="6"/>
        <v>14.008526123516525</v>
      </c>
      <c r="DD20" s="46">
        <v>69252.97</v>
      </c>
      <c r="DE20" s="995">
        <v>4599</v>
      </c>
      <c r="DF20" s="995">
        <v>92.736999999999995</v>
      </c>
      <c r="DG20" s="995">
        <v>334</v>
      </c>
      <c r="DH20" s="995">
        <v>100</v>
      </c>
      <c r="DI20" s="995">
        <v>1058.192</v>
      </c>
      <c r="DJ20" s="995">
        <v>5220090</v>
      </c>
      <c r="DK20" s="995">
        <v>28.905999999999999</v>
      </c>
      <c r="DL20" s="995">
        <v>142594.4</v>
      </c>
      <c r="DM20" s="995">
        <v>4599</v>
      </c>
      <c r="DN20" s="995">
        <v>92.763999999999996</v>
      </c>
      <c r="DO20" s="995">
        <v>332.8</v>
      </c>
      <c r="DP20" s="995">
        <v>100</v>
      </c>
      <c r="DQ20" s="995">
        <v>1056.4290000000001</v>
      </c>
      <c r="DR20" s="995">
        <v>5210059</v>
      </c>
      <c r="DS20" s="995">
        <v>28.861999999999998</v>
      </c>
      <c r="DT20" s="995">
        <v>142341.5</v>
      </c>
    </row>
    <row r="21" spans="1:124">
      <c r="A21" s="753" t="s">
        <v>92</v>
      </c>
      <c r="B21" s="753" t="s">
        <v>168</v>
      </c>
      <c r="C21" s="753" t="s">
        <v>169</v>
      </c>
      <c r="D21" s="753">
        <v>701307</v>
      </c>
      <c r="E21" s="753" t="s">
        <v>178</v>
      </c>
      <c r="F21" s="753" t="s">
        <v>149</v>
      </c>
      <c r="G21" s="753" t="s">
        <v>150</v>
      </c>
      <c r="H21" s="754" t="s">
        <v>150</v>
      </c>
      <c r="I21" s="755">
        <v>22</v>
      </c>
      <c r="J21" s="756">
        <v>89835.289600000004</v>
      </c>
      <c r="K21" s="757">
        <v>23628.037526</v>
      </c>
      <c r="L21" s="758">
        <v>113463.327126</v>
      </c>
      <c r="M21" s="759">
        <v>4501392</v>
      </c>
      <c r="N21" s="760">
        <v>1364598</v>
      </c>
      <c r="O21" s="760">
        <v>3136721</v>
      </c>
      <c r="P21" s="760">
        <v>73</v>
      </c>
      <c r="Q21" s="761">
        <v>10164.0219413093</v>
      </c>
      <c r="R21" s="762">
        <v>6394.5727445680996</v>
      </c>
      <c r="S21" s="760">
        <v>22541.5189894945</v>
      </c>
      <c r="T21" s="760">
        <v>2275.8097446924298</v>
      </c>
      <c r="U21" s="760">
        <f>IFERROR(INDEX('Rentabilidad datos'!$N$2:$N$61,MATCH($C21,'Rentabilidad datos'!$C$2:$C$61,0)),"")</f>
        <v>31211.901478754982</v>
      </c>
      <c r="V21" s="761">
        <f>IFERROR(INDEX('Rentabilidad datos'!$O$2:$O$61,MATCH($C21,'Rentabilidad datos'!$C$2:$C$61,0)),"")</f>
        <v>1486.2810227978564</v>
      </c>
      <c r="W21" s="762">
        <f>IFERROR(INDEX('Rentabilidad datos'!$M$2:$M$61,MATCH($C21,'Rentabilidad datos'!$C$2:$C$61,0)),"")</f>
        <v>3561.414830517057</v>
      </c>
      <c r="X21" s="763">
        <f>IFERROR(INDEX('Rentabilidad datos'!$P$2:$P$61,MATCH($C21,'Rentabilidad datos'!$C$2:$C$61,0)),"")</f>
        <v>0.41732881271291655</v>
      </c>
      <c r="Y21" s="754" t="s">
        <v>171</v>
      </c>
      <c r="Z21" s="764">
        <v>42.514672686230298</v>
      </c>
      <c r="AA21" s="754">
        <v>1</v>
      </c>
      <c r="AB21" s="765">
        <v>0.98488356490614459</v>
      </c>
      <c r="AC21" s="766">
        <v>1.5116435093855412E-2</v>
      </c>
      <c r="AD21" s="767" t="e">
        <f>_xlfn.XLOOKUP(Table1[[#This Row],[Ruta]],#REF!,#REF!)</f>
        <v>#REF!</v>
      </c>
      <c r="AE21" s="767" t="e">
        <f>_xlfn.XLOOKUP(Table1[[#This Row],[Ruta]],#REF!,#REF!)</f>
        <v>#REF!</v>
      </c>
      <c r="AF21" s="767" t="e">
        <f>_xlfn.XLOOKUP(Table1[[#This Row],[Ruta]],#REF!,#REF!)</f>
        <v>#REF!</v>
      </c>
      <c r="AG21" s="767" t="e">
        <f>_xlfn.XLOOKUP(Table1[[#This Row],[Ruta]],#REF!,#REF!)</f>
        <v>#REF!</v>
      </c>
      <c r="AH21" s="763">
        <v>0.30315022553023596</v>
      </c>
      <c r="AI21" s="763">
        <v>0.69683355726406404</v>
      </c>
      <c r="AJ21" s="766">
        <v>1.6217205699925711E-5</v>
      </c>
      <c r="AK21" s="768">
        <v>18834</v>
      </c>
      <c r="AL21" s="755">
        <v>10314</v>
      </c>
      <c r="AM21" s="765">
        <v>0.54762663268556899</v>
      </c>
      <c r="AN21" s="766">
        <v>0.76950938426078397</v>
      </c>
      <c r="AO21" s="768">
        <v>4178.9397431675998</v>
      </c>
      <c r="AP21" s="759">
        <v>2089.4698715837999</v>
      </c>
      <c r="AQ21" s="766">
        <v>0.6585680084731762</v>
      </c>
      <c r="AR21" s="762">
        <v>4502661.72</v>
      </c>
      <c r="AS21" s="760">
        <v>912175.29628404998</v>
      </c>
      <c r="AT21" s="766">
        <v>0.20258579325031995</v>
      </c>
      <c r="AU21" s="762">
        <v>640988.04603744077</v>
      </c>
      <c r="AV21" s="763">
        <v>2.9159152798009097E-3</v>
      </c>
      <c r="AW21" s="755">
        <v>110</v>
      </c>
      <c r="AX21" s="762">
        <v>436.55824316463099</v>
      </c>
      <c r="AY21" s="760">
        <v>436.55824316463099</v>
      </c>
      <c r="AZ21" s="760">
        <v>0</v>
      </c>
      <c r="BA21" s="753" t="s">
        <v>152</v>
      </c>
      <c r="BB21" s="761">
        <v>0</v>
      </c>
      <c r="BC21" s="769">
        <v>640988.04603744077</v>
      </c>
      <c r="BD21" s="753" t="s">
        <v>150</v>
      </c>
      <c r="BE21" s="757">
        <v>42.514672686230298</v>
      </c>
      <c r="BF21" s="757">
        <v>48.897321428571402</v>
      </c>
      <c r="BG21" s="753" t="s">
        <v>152</v>
      </c>
      <c r="BH21" s="763">
        <v>0.54762663268556899</v>
      </c>
      <c r="BI21" s="763">
        <v>0.79215712207379996</v>
      </c>
      <c r="BJ21" s="753" t="s">
        <v>152</v>
      </c>
      <c r="BK21" s="757">
        <v>256.12489193227998</v>
      </c>
      <c r="BL21" s="757">
        <v>326.54713917579897</v>
      </c>
      <c r="BM21" s="753" t="s">
        <v>152</v>
      </c>
      <c r="BN21" s="759">
        <v>0</v>
      </c>
      <c r="BO21" s="753" t="s">
        <v>155</v>
      </c>
      <c r="BP21" s="753" t="s">
        <v>152</v>
      </c>
      <c r="BQ21" s="757">
        <v>6508.7326482769004</v>
      </c>
      <c r="BR21" s="46">
        <v>701</v>
      </c>
      <c r="BS21" s="46">
        <v>47300</v>
      </c>
      <c r="BT21" s="46">
        <v>12908</v>
      </c>
      <c r="BU21" s="46">
        <v>3.6643941741555626</v>
      </c>
      <c r="BV21" s="46">
        <v>18.413694721825962</v>
      </c>
      <c r="BW21" s="46">
        <v>9053</v>
      </c>
      <c r="BX21" s="46">
        <v>0</v>
      </c>
      <c r="BY21" s="46">
        <v>9053</v>
      </c>
      <c r="BZ21" s="46">
        <v>0.70134800123954133</v>
      </c>
      <c r="CA21" s="46">
        <v>0.70134800123954133</v>
      </c>
      <c r="CB21" s="46">
        <v>0</v>
      </c>
      <c r="CC21" s="46">
        <v>5.4229934924078093E-4</v>
      </c>
      <c r="CD21" s="46">
        <v>0</v>
      </c>
      <c r="CE21" s="46">
        <v>0</v>
      </c>
      <c r="CF21" s="46">
        <v>0.29810969941121779</v>
      </c>
      <c r="CG21" s="46">
        <v>0</v>
      </c>
      <c r="CH21" s="46">
        <v>0</v>
      </c>
      <c r="CI21" s="46">
        <v>2.198731501057082</v>
      </c>
      <c r="CJ21" s="46">
        <v>0.57082452431289643</v>
      </c>
      <c r="CK21">
        <v>372</v>
      </c>
      <c r="CL21">
        <v>1022.44</v>
      </c>
      <c r="CM21">
        <f t="shared" si="7"/>
        <v>650.44000000000005</v>
      </c>
      <c r="CN21">
        <v>6.44</v>
      </c>
      <c r="CO21">
        <v>9.4499999999999993</v>
      </c>
      <c r="CP21">
        <f t="shared" si="8"/>
        <v>3.0099999999999989</v>
      </c>
      <c r="CQ21">
        <v>1269.8399999999999</v>
      </c>
      <c r="CR21">
        <v>256.12</v>
      </c>
      <c r="CS21">
        <f t="shared" si="9"/>
        <v>1013.7199999999999</v>
      </c>
      <c r="CT21" t="s">
        <v>152</v>
      </c>
      <c r="CU21">
        <v>68.12</v>
      </c>
      <c r="CV21">
        <v>476</v>
      </c>
      <c r="CW21" s="46">
        <v>9053</v>
      </c>
      <c r="CX21" s="46">
        <f t="shared" si="3"/>
        <v>65.095754570808793</v>
      </c>
      <c r="CY21" s="46">
        <v>650.44000000000005</v>
      </c>
      <c r="CZ21" s="46">
        <f t="shared" si="4"/>
        <v>70.134800123954136</v>
      </c>
      <c r="DA21" s="46">
        <f t="shared" si="5"/>
        <v>377.83535421479166</v>
      </c>
      <c r="DB21" s="46">
        <v>5122857.9800000004</v>
      </c>
      <c r="DC21" s="46">
        <f t="shared" si="6"/>
        <v>10.684062473263886</v>
      </c>
      <c r="DD21" s="46">
        <v>144859.22</v>
      </c>
      <c r="DE21" s="995">
        <v>9053</v>
      </c>
      <c r="DF21" s="995">
        <v>65.173000000000002</v>
      </c>
      <c r="DG21" s="995">
        <v>640.5</v>
      </c>
      <c r="DH21" s="995">
        <v>70.135000000000005</v>
      </c>
      <c r="DI21" s="995">
        <v>654.35</v>
      </c>
      <c r="DJ21" s="995">
        <v>8865446</v>
      </c>
      <c r="DK21" s="995">
        <v>18.405999999999999</v>
      </c>
      <c r="DL21" s="995">
        <v>249376.4</v>
      </c>
      <c r="DM21" s="995">
        <v>9053</v>
      </c>
      <c r="DN21" s="995">
        <v>65.186999999999998</v>
      </c>
      <c r="DO21" s="995">
        <v>638.70000000000005</v>
      </c>
      <c r="DP21" s="995">
        <v>70.135000000000005</v>
      </c>
      <c r="DQ21" s="995">
        <v>653.42499999999995</v>
      </c>
      <c r="DR21" s="995">
        <v>8851723</v>
      </c>
      <c r="DS21" s="995">
        <v>18.382000000000001</v>
      </c>
      <c r="DT21" s="995">
        <v>249011.9</v>
      </c>
    </row>
    <row r="22" spans="1:124">
      <c r="A22" s="753" t="s">
        <v>92</v>
      </c>
      <c r="B22" s="753" t="s">
        <v>168</v>
      </c>
      <c r="C22" s="753" t="s">
        <v>169</v>
      </c>
      <c r="D22" s="753">
        <v>701308</v>
      </c>
      <c r="E22" s="753" t="s">
        <v>179</v>
      </c>
      <c r="F22" s="753" t="s">
        <v>149</v>
      </c>
      <c r="G22" s="753" t="s">
        <v>150</v>
      </c>
      <c r="H22" s="754" t="s">
        <v>150</v>
      </c>
      <c r="I22" s="755">
        <v>22</v>
      </c>
      <c r="J22" s="756">
        <v>132097.0448</v>
      </c>
      <c r="K22" s="757">
        <v>23970.567755</v>
      </c>
      <c r="L22" s="758">
        <v>156067.612555</v>
      </c>
      <c r="M22" s="759">
        <v>5374062</v>
      </c>
      <c r="N22" s="760">
        <v>2032812</v>
      </c>
      <c r="O22" s="760">
        <v>3340544</v>
      </c>
      <c r="P22" s="760">
        <v>706</v>
      </c>
      <c r="Q22" s="761">
        <v>12129.343160270901</v>
      </c>
      <c r="R22" s="762">
        <v>6394.5727445680996</v>
      </c>
      <c r="S22" s="760">
        <v>22541.5189894945</v>
      </c>
      <c r="T22" s="760">
        <v>2275.8097446924298</v>
      </c>
      <c r="U22" s="760">
        <f>IFERROR(INDEX('Rentabilidad datos'!$N$2:$N$61,MATCH($C22,'Rentabilidad datos'!$C$2:$C$61,0)),"")</f>
        <v>31211.901478754982</v>
      </c>
      <c r="V22" s="761">
        <f>IFERROR(INDEX('Rentabilidad datos'!$O$2:$O$61,MATCH($C22,'Rentabilidad datos'!$C$2:$C$61,0)),"")</f>
        <v>1486.2810227978564</v>
      </c>
      <c r="W22" s="762">
        <f>IFERROR(INDEX('Rentabilidad datos'!$M$2:$M$61,MATCH($C22,'Rentabilidad datos'!$C$2:$C$61,0)),"")</f>
        <v>3561.414830517057</v>
      </c>
      <c r="X22" s="763">
        <f>IFERROR(INDEX('Rentabilidad datos'!$P$2:$P$61,MATCH($C22,'Rentabilidad datos'!$C$2:$C$61,0)),"")</f>
        <v>0.41732881271291655</v>
      </c>
      <c r="Y22" s="754" t="s">
        <v>171</v>
      </c>
      <c r="Z22" s="764">
        <v>37.887133182844302</v>
      </c>
      <c r="AA22" s="754">
        <v>1</v>
      </c>
      <c r="AB22" s="765">
        <v>0.98485745047228712</v>
      </c>
      <c r="AC22" s="766">
        <v>1.5142549527712929E-2</v>
      </c>
      <c r="AD22" s="767" t="e">
        <f>_xlfn.XLOOKUP(Table1[[#This Row],[Ruta]],#REF!,#REF!)</f>
        <v>#REF!</v>
      </c>
      <c r="AE22" s="767" t="e">
        <f>_xlfn.XLOOKUP(Table1[[#This Row],[Ruta]],#REF!,#REF!)</f>
        <v>#REF!</v>
      </c>
      <c r="AF22" s="767" t="e">
        <f>_xlfn.XLOOKUP(Table1[[#This Row],[Ruta]],#REF!,#REF!)</f>
        <v>#REF!</v>
      </c>
      <c r="AG22" s="767" t="e">
        <f>_xlfn.XLOOKUP(Table1[[#This Row],[Ruta]],#REF!,#REF!)</f>
        <v>#REF!</v>
      </c>
      <c r="AH22" s="763">
        <v>0.37826359279070471</v>
      </c>
      <c r="AI22" s="763">
        <v>0.62160503544618573</v>
      </c>
      <c r="AJ22" s="766">
        <v>1.3137176310954357E-4</v>
      </c>
      <c r="AK22" s="768">
        <v>16784</v>
      </c>
      <c r="AL22" s="755">
        <v>12081</v>
      </c>
      <c r="AM22" s="765">
        <v>0.71979265967588202</v>
      </c>
      <c r="AN22" s="766">
        <v>0.76950938426078397</v>
      </c>
      <c r="AO22" s="768">
        <v>834.44550543299204</v>
      </c>
      <c r="AP22" s="759">
        <v>417.22275271649602</v>
      </c>
      <c r="AQ22" s="766">
        <v>0.74465102196833266</v>
      </c>
      <c r="AR22" s="762">
        <v>5373299.0199999996</v>
      </c>
      <c r="AS22" s="760">
        <v>185569.29130810799</v>
      </c>
      <c r="AT22" s="766">
        <v>3.4535448449341651E-2</v>
      </c>
      <c r="AU22" s="762">
        <v>130400.04254083268</v>
      </c>
      <c r="AV22" s="763">
        <v>5.9320213361559746E-4</v>
      </c>
      <c r="AW22" s="755">
        <v>370</v>
      </c>
      <c r="AX22" s="762">
        <v>444.77270259084497</v>
      </c>
      <c r="AY22" s="760">
        <v>436.55824316463099</v>
      </c>
      <c r="AZ22" s="760">
        <v>0</v>
      </c>
      <c r="BA22" s="753" t="s">
        <v>152</v>
      </c>
      <c r="BB22" s="761">
        <v>0</v>
      </c>
      <c r="BC22" s="769">
        <v>130400.04254083268</v>
      </c>
      <c r="BD22" s="753" t="s">
        <v>150</v>
      </c>
      <c r="BE22" s="757">
        <v>37.887133182844302</v>
      </c>
      <c r="BF22" s="757">
        <v>48.897321428571402</v>
      </c>
      <c r="BG22" s="753" t="s">
        <v>152</v>
      </c>
      <c r="BH22" s="763">
        <v>0.71979265967588202</v>
      </c>
      <c r="BI22" s="763">
        <v>0.79215712207379996</v>
      </c>
      <c r="BJ22" s="753" t="s">
        <v>152</v>
      </c>
      <c r="BK22" s="757">
        <v>352.297093803613</v>
      </c>
      <c r="BL22" s="757">
        <v>326.54713917579897</v>
      </c>
      <c r="BM22" s="753" t="s">
        <v>150</v>
      </c>
      <c r="BN22" s="759">
        <v>1</v>
      </c>
      <c r="BO22" s="753" t="s">
        <v>155</v>
      </c>
      <c r="BP22" s="753" t="s">
        <v>152</v>
      </c>
      <c r="BQ22" s="757">
        <v>5851.9627920682897</v>
      </c>
      <c r="BR22" s="46">
        <v>434</v>
      </c>
      <c r="BS22" s="46">
        <v>32494</v>
      </c>
      <c r="BT22" s="46">
        <v>8343</v>
      </c>
      <c r="BU22" s="46">
        <v>3.8947620759918493</v>
      </c>
      <c r="BV22" s="46">
        <v>19.223502304147466</v>
      </c>
      <c r="BW22" s="46">
        <v>4792</v>
      </c>
      <c r="BX22" s="46">
        <v>0</v>
      </c>
      <c r="BY22" s="46">
        <v>4792</v>
      </c>
      <c r="BZ22" s="46">
        <v>0.57437372647728635</v>
      </c>
      <c r="CA22" s="46">
        <v>0.57437372647728635</v>
      </c>
      <c r="CB22" s="46">
        <v>0</v>
      </c>
      <c r="CC22" s="46">
        <v>0</v>
      </c>
      <c r="CD22" s="46">
        <v>5.8731871029605656E-3</v>
      </c>
      <c r="CE22" s="46">
        <v>0</v>
      </c>
      <c r="CF22" s="46">
        <v>0.41963322545846821</v>
      </c>
      <c r="CG22" s="46">
        <v>0</v>
      </c>
      <c r="CH22" s="46">
        <v>1.198609612849095E-4</v>
      </c>
      <c r="CI22" s="46">
        <v>3.4160152643564961</v>
      </c>
      <c r="CJ22" s="46">
        <v>0.49239859666399949</v>
      </c>
      <c r="CK22">
        <v>222</v>
      </c>
      <c r="CL22">
        <v>636.73</v>
      </c>
      <c r="CM22">
        <f t="shared" si="7"/>
        <v>414.73</v>
      </c>
      <c r="CN22">
        <v>4.3899999999999997</v>
      </c>
      <c r="CO22">
        <v>9.4499999999999993</v>
      </c>
      <c r="CP22">
        <f t="shared" si="8"/>
        <v>5.0599999999999996</v>
      </c>
      <c r="CQ22">
        <v>1269.8399999999999</v>
      </c>
      <c r="CR22">
        <v>352.3</v>
      </c>
      <c r="CS22">
        <f t="shared" si="9"/>
        <v>917.54</v>
      </c>
      <c r="CT22" t="s">
        <v>152</v>
      </c>
      <c r="CU22">
        <v>47.37</v>
      </c>
      <c r="CV22">
        <v>244</v>
      </c>
      <c r="CW22" s="46">
        <v>4792</v>
      </c>
      <c r="CX22" s="46">
        <f t="shared" si="3"/>
        <v>52.466379000359588</v>
      </c>
      <c r="CY22" s="46">
        <v>414.73</v>
      </c>
      <c r="CZ22" s="46">
        <f t="shared" si="4"/>
        <v>57.437372647728637</v>
      </c>
      <c r="DA22" s="46">
        <f t="shared" si="5"/>
        <v>376.41488262369364</v>
      </c>
      <c r="DB22" s="46">
        <v>3296539.91</v>
      </c>
      <c r="DC22" s="46">
        <f t="shared" si="6"/>
        <v>10.340775520597234</v>
      </c>
      <c r="DD22" s="46">
        <v>90561.72</v>
      </c>
      <c r="DE22" s="995">
        <v>4792</v>
      </c>
      <c r="DF22" s="995">
        <v>53.707000000000001</v>
      </c>
      <c r="DG22" s="995">
        <v>311.2</v>
      </c>
      <c r="DH22" s="995">
        <v>57.436999999999998</v>
      </c>
      <c r="DI22" s="995">
        <v>473.42200000000003</v>
      </c>
      <c r="DJ22" s="995">
        <v>4097110</v>
      </c>
      <c r="DK22" s="995">
        <v>13.25</v>
      </c>
      <c r="DL22" s="995">
        <v>114668.7</v>
      </c>
      <c r="DM22" s="995">
        <v>4792</v>
      </c>
      <c r="DN22" s="995">
        <v>53.890999999999998</v>
      </c>
      <c r="DO22" s="995">
        <v>295.89999999999998</v>
      </c>
      <c r="DP22" s="995">
        <v>57.436999999999998</v>
      </c>
      <c r="DQ22" s="995">
        <v>460.57600000000002</v>
      </c>
      <c r="DR22" s="995">
        <v>3978861</v>
      </c>
      <c r="DS22" s="995">
        <v>12.978999999999999</v>
      </c>
      <c r="DT22" s="995">
        <v>112123.2</v>
      </c>
    </row>
    <row r="23" spans="1:124">
      <c r="A23" s="753" t="s">
        <v>92</v>
      </c>
      <c r="B23" s="753" t="s">
        <v>168</v>
      </c>
      <c r="C23" s="753" t="s">
        <v>169</v>
      </c>
      <c r="D23" s="753">
        <v>701309</v>
      </c>
      <c r="E23" s="753" t="s">
        <v>180</v>
      </c>
      <c r="F23" s="753" t="s">
        <v>149</v>
      </c>
      <c r="G23" s="753" t="s">
        <v>150</v>
      </c>
      <c r="H23" s="754" t="s">
        <v>150</v>
      </c>
      <c r="I23" s="755">
        <v>22</v>
      </c>
      <c r="J23" s="756">
        <v>130952.2648</v>
      </c>
      <c r="K23" s="757">
        <v>30154.644595000002</v>
      </c>
      <c r="L23" s="758">
        <v>161106.909395</v>
      </c>
      <c r="M23" s="759">
        <v>6425494</v>
      </c>
      <c r="N23" s="760">
        <v>2008086</v>
      </c>
      <c r="O23" s="760">
        <v>4417319</v>
      </c>
      <c r="P23" s="760">
        <v>89</v>
      </c>
      <c r="Q23" s="761">
        <v>14615.411613636399</v>
      </c>
      <c r="R23" s="762">
        <v>6394.5727445680996</v>
      </c>
      <c r="S23" s="760">
        <v>22541.5189894945</v>
      </c>
      <c r="T23" s="760">
        <v>2275.8097446924298</v>
      </c>
      <c r="U23" s="760">
        <f>IFERROR(INDEX('Rentabilidad datos'!$N$2:$N$61,MATCH($C23,'Rentabilidad datos'!$C$2:$C$61,0)),"")</f>
        <v>31211.901478754982</v>
      </c>
      <c r="V23" s="761">
        <f>IFERROR(INDEX('Rentabilidad datos'!$O$2:$O$61,MATCH($C23,'Rentabilidad datos'!$C$2:$C$61,0)),"")</f>
        <v>1486.2810227978564</v>
      </c>
      <c r="W23" s="762">
        <f>IFERROR(INDEX('Rentabilidad datos'!$M$2:$M$61,MATCH($C23,'Rentabilidad datos'!$C$2:$C$61,0)),"")</f>
        <v>3561.414830517057</v>
      </c>
      <c r="X23" s="763">
        <f>IFERROR(INDEX('Rentabilidad datos'!$P$2:$P$61,MATCH($C23,'Rentabilidad datos'!$C$2:$C$61,0)),"")</f>
        <v>0.41732881271291655</v>
      </c>
      <c r="Y23" s="754" t="s">
        <v>171</v>
      </c>
      <c r="Z23" s="764">
        <v>43.406818181818203</v>
      </c>
      <c r="AA23" s="754">
        <v>1</v>
      </c>
      <c r="AB23" s="765">
        <v>0.99078218733065504</v>
      </c>
      <c r="AC23" s="766">
        <v>9.2178126693449568E-3</v>
      </c>
      <c r="AD23" s="767" t="e">
        <f>_xlfn.XLOOKUP(Table1[[#This Row],[Ruta]],#REF!,#REF!)</f>
        <v>#REF!</v>
      </c>
      <c r="AE23" s="767" t="e">
        <f>_xlfn.XLOOKUP(Table1[[#This Row],[Ruta]],#REF!,#REF!)</f>
        <v>#REF!</v>
      </c>
      <c r="AF23" s="767" t="e">
        <f>_xlfn.XLOOKUP(Table1[[#This Row],[Ruta]],#REF!,#REF!)</f>
        <v>#REF!</v>
      </c>
      <c r="AG23" s="767" t="e">
        <f>_xlfn.XLOOKUP(Table1[[#This Row],[Ruta]],#REF!,#REF!)</f>
        <v>#REF!</v>
      </c>
      <c r="AH23" s="763">
        <v>0.31251853943058699</v>
      </c>
      <c r="AI23" s="763">
        <v>0.68746760949430508</v>
      </c>
      <c r="AJ23" s="766">
        <v>1.3851075107999478E-5</v>
      </c>
      <c r="AK23" s="768">
        <v>19099</v>
      </c>
      <c r="AL23" s="755">
        <v>12510</v>
      </c>
      <c r="AM23" s="765">
        <v>0.65500811560814698</v>
      </c>
      <c r="AN23" s="766">
        <v>0.76950938426078397</v>
      </c>
      <c r="AO23" s="768">
        <v>2186.85972999671</v>
      </c>
      <c r="AP23" s="759">
        <v>1093.429864998355</v>
      </c>
      <c r="AQ23" s="766">
        <v>0.71225874993446547</v>
      </c>
      <c r="AR23" s="762">
        <v>6430781.1100000003</v>
      </c>
      <c r="AS23" s="760">
        <v>562078.98648611002</v>
      </c>
      <c r="AT23" s="766">
        <v>8.7404465627366063E-2</v>
      </c>
      <c r="AU23" s="762">
        <v>394974.42293618555</v>
      </c>
      <c r="AV23" s="763">
        <v>1.7967760274002016E-3</v>
      </c>
      <c r="AW23" s="755">
        <v>192</v>
      </c>
      <c r="AX23" s="762">
        <v>514.05124780175902</v>
      </c>
      <c r="AY23" s="760">
        <v>436.55824316463099</v>
      </c>
      <c r="AZ23" s="760">
        <v>0</v>
      </c>
      <c r="BA23" s="753" t="s">
        <v>152</v>
      </c>
      <c r="BB23" s="761">
        <v>0</v>
      </c>
      <c r="BC23" s="769">
        <v>394974.42293618555</v>
      </c>
      <c r="BD23" s="753" t="s">
        <v>150</v>
      </c>
      <c r="BE23" s="757">
        <v>43.406818181818203</v>
      </c>
      <c r="BF23" s="757">
        <v>48.897321428571402</v>
      </c>
      <c r="BG23" s="753" t="s">
        <v>152</v>
      </c>
      <c r="BH23" s="763">
        <v>0.65500811560814698</v>
      </c>
      <c r="BI23" s="763">
        <v>0.79215712207379996</v>
      </c>
      <c r="BJ23" s="753" t="s">
        <v>152</v>
      </c>
      <c r="BK23" s="757">
        <v>366.15206680681803</v>
      </c>
      <c r="BL23" s="757">
        <v>326.54713917579897</v>
      </c>
      <c r="BM23" s="753" t="s">
        <v>150</v>
      </c>
      <c r="BN23" s="759">
        <v>1</v>
      </c>
      <c r="BO23" s="753" t="s">
        <v>155</v>
      </c>
      <c r="BP23" s="753" t="s">
        <v>152</v>
      </c>
      <c r="BQ23" s="757">
        <v>6583.70014999871</v>
      </c>
      <c r="BR23" s="46">
        <v>305</v>
      </c>
      <c r="BS23" s="46">
        <v>12137</v>
      </c>
      <c r="BT23" s="46">
        <v>3090</v>
      </c>
      <c r="BU23" s="46">
        <v>3.9278317152103561</v>
      </c>
      <c r="BV23" s="46">
        <v>10.131147540983607</v>
      </c>
      <c r="BW23" s="46">
        <v>3090</v>
      </c>
      <c r="BX23" s="46">
        <v>0</v>
      </c>
      <c r="BY23" s="46">
        <v>3090</v>
      </c>
      <c r="BZ23" s="46">
        <v>1</v>
      </c>
      <c r="CA23" s="46">
        <v>1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0.16478536705940511</v>
      </c>
      <c r="CK23">
        <v>413</v>
      </c>
      <c r="CL23">
        <v>482.13</v>
      </c>
      <c r="CM23">
        <f t="shared" si="7"/>
        <v>69.13</v>
      </c>
      <c r="CN23">
        <v>11.46</v>
      </c>
      <c r="CO23">
        <v>9.4499999999999993</v>
      </c>
      <c r="CP23">
        <f t="shared" si="8"/>
        <v>-2.0100000000000016</v>
      </c>
      <c r="CQ23">
        <v>1269.8399999999999</v>
      </c>
      <c r="CR23">
        <v>366.15</v>
      </c>
      <c r="CS23">
        <f t="shared" si="9"/>
        <v>903.68999999999994</v>
      </c>
      <c r="CT23" t="s">
        <v>150</v>
      </c>
      <c r="CU23">
        <v>121.28</v>
      </c>
      <c r="CV23">
        <v>448</v>
      </c>
      <c r="CW23" s="46">
        <v>3090</v>
      </c>
      <c r="CX23" s="46">
        <f t="shared" si="3"/>
        <v>97.762783171521022</v>
      </c>
      <c r="CY23" s="46">
        <v>69.13</v>
      </c>
      <c r="CZ23" s="46">
        <f t="shared" si="4"/>
        <v>100</v>
      </c>
      <c r="DA23" s="46">
        <f t="shared" si="5"/>
        <v>162.22655921092198</v>
      </c>
      <c r="DB23" s="46">
        <v>512494.79</v>
      </c>
      <c r="DC23" s="46">
        <f t="shared" si="6"/>
        <v>4.3812188798814864</v>
      </c>
      <c r="DD23" s="46">
        <v>13840.84</v>
      </c>
      <c r="DE23" s="995">
        <v>3090</v>
      </c>
      <c r="DF23" s="995">
        <v>98.129000000000005</v>
      </c>
      <c r="DG23" s="995">
        <v>57.8</v>
      </c>
      <c r="DH23" s="995">
        <v>100</v>
      </c>
      <c r="DI23" s="995">
        <v>1830.4190000000001</v>
      </c>
      <c r="DJ23" s="995">
        <v>5761824</v>
      </c>
      <c r="DK23" s="995">
        <v>48.584000000000003</v>
      </c>
      <c r="DL23" s="995">
        <v>152933.79999999999</v>
      </c>
      <c r="DM23" s="995">
        <v>3090</v>
      </c>
      <c r="DN23" s="995">
        <v>98.393000000000001</v>
      </c>
      <c r="DO23" s="995">
        <v>49.7</v>
      </c>
      <c r="DP23" s="995">
        <v>100</v>
      </c>
      <c r="DQ23" s="995">
        <v>1815.943</v>
      </c>
      <c r="DR23" s="995">
        <v>5701429</v>
      </c>
      <c r="DS23" s="995">
        <v>48.19</v>
      </c>
      <c r="DT23" s="995">
        <v>151299.1</v>
      </c>
    </row>
    <row r="24" spans="1:124">
      <c r="A24" s="753" t="s">
        <v>92</v>
      </c>
      <c r="B24" s="753" t="s">
        <v>168</v>
      </c>
      <c r="C24" s="753" t="s">
        <v>169</v>
      </c>
      <c r="D24" s="753">
        <v>701310</v>
      </c>
      <c r="E24" s="753" t="s">
        <v>181</v>
      </c>
      <c r="F24" s="753" t="s">
        <v>149</v>
      </c>
      <c r="G24" s="753" t="s">
        <v>150</v>
      </c>
      <c r="H24" s="754" t="s">
        <v>150</v>
      </c>
      <c r="I24" s="755">
        <v>22</v>
      </c>
      <c r="J24" s="756">
        <v>58327.4215999999</v>
      </c>
      <c r="K24" s="757">
        <v>21729.97839</v>
      </c>
      <c r="L24" s="758">
        <v>80057.399990000005</v>
      </c>
      <c r="M24" s="759">
        <v>3872393</v>
      </c>
      <c r="N24" s="760">
        <v>878293</v>
      </c>
      <c r="O24" s="760">
        <v>2993623</v>
      </c>
      <c r="P24" s="760">
        <v>477</v>
      </c>
      <c r="Q24" s="761">
        <v>8853.8302517162392</v>
      </c>
      <c r="R24" s="762">
        <v>6394.5727445680996</v>
      </c>
      <c r="S24" s="760">
        <v>22541.5189894945</v>
      </c>
      <c r="T24" s="760">
        <v>2275.8097446924298</v>
      </c>
      <c r="U24" s="760">
        <f>IFERROR(INDEX('Rentabilidad datos'!$N$2:$N$61,MATCH($C24,'Rentabilidad datos'!$C$2:$C$61,0)),"")</f>
        <v>31211.901478754982</v>
      </c>
      <c r="V24" s="761">
        <f>IFERROR(INDEX('Rentabilidad datos'!$O$2:$O$61,MATCH($C24,'Rentabilidad datos'!$C$2:$C$61,0)),"")</f>
        <v>1486.2810227978564</v>
      </c>
      <c r="W24" s="762">
        <f>IFERROR(INDEX('Rentabilidad datos'!$M$2:$M$61,MATCH($C24,'Rentabilidad datos'!$C$2:$C$61,0)),"")</f>
        <v>3561.414830517057</v>
      </c>
      <c r="X24" s="763">
        <f>IFERROR(INDEX('Rentabilidad datos'!$P$2:$P$61,MATCH($C24,'Rentabilidad datos'!$C$2:$C$61,0)),"")</f>
        <v>0.41732881271291655</v>
      </c>
      <c r="Y24" s="754" t="s">
        <v>171</v>
      </c>
      <c r="Z24" s="764">
        <v>34.929951690821298</v>
      </c>
      <c r="AA24" s="754">
        <v>1</v>
      </c>
      <c r="AB24" s="765">
        <v>0.94904339513060787</v>
      </c>
      <c r="AC24" s="766">
        <v>5.095660486939213E-2</v>
      </c>
      <c r="AD24" s="767" t="e">
        <f>_xlfn.XLOOKUP(Table1[[#This Row],[Ruta]],#REF!,#REF!)</f>
        <v>#REF!</v>
      </c>
      <c r="AE24" s="767" t="e">
        <f>_xlfn.XLOOKUP(Table1[[#This Row],[Ruta]],#REF!,#REF!)</f>
        <v>#REF!</v>
      </c>
      <c r="AF24" s="767" t="e">
        <f>_xlfn.XLOOKUP(Table1[[#This Row],[Ruta]],#REF!,#REF!)</f>
        <v>#REF!</v>
      </c>
      <c r="AG24" s="767" t="e">
        <f>_xlfn.XLOOKUP(Table1[[#This Row],[Ruta]],#REF!,#REF!)</f>
        <v>#REF!</v>
      </c>
      <c r="AH24" s="763">
        <v>0.22680884920512975</v>
      </c>
      <c r="AI24" s="763">
        <v>0.77306797114858949</v>
      </c>
      <c r="AJ24" s="766">
        <v>1.2317964628073648E-4</v>
      </c>
      <c r="AK24" s="768">
        <v>14461</v>
      </c>
      <c r="AL24" s="755">
        <v>12888</v>
      </c>
      <c r="AM24" s="765">
        <v>0.86757485651061494</v>
      </c>
      <c r="AN24" s="766">
        <v>0.76950938426078397</v>
      </c>
      <c r="AO24" s="768">
        <v>0</v>
      </c>
      <c r="AP24" s="759">
        <v>0</v>
      </c>
      <c r="AQ24" s="766">
        <v>0.8912246732591107</v>
      </c>
      <c r="AR24" s="762">
        <v>3869123.82</v>
      </c>
      <c r="AS24" s="760">
        <v>0</v>
      </c>
      <c r="AT24" s="766">
        <v>0</v>
      </c>
      <c r="AU24" s="762">
        <v>0</v>
      </c>
      <c r="AV24" s="763">
        <v>0</v>
      </c>
      <c r="AW24" s="755">
        <v>490</v>
      </c>
      <c r="AX24" s="762">
        <v>300.21134543761599</v>
      </c>
      <c r="AY24" s="760">
        <v>436.55824316463099</v>
      </c>
      <c r="AZ24" s="760">
        <v>136.346897727015</v>
      </c>
      <c r="BA24" s="753" t="s">
        <v>150</v>
      </c>
      <c r="BB24" s="761">
        <v>617408.23331824352</v>
      </c>
      <c r="BC24" s="769">
        <v>617408.23331824352</v>
      </c>
      <c r="BD24" s="753" t="s">
        <v>150</v>
      </c>
      <c r="BE24" s="757">
        <v>34.929951690821298</v>
      </c>
      <c r="BF24" s="757">
        <v>48.897321428571402</v>
      </c>
      <c r="BG24" s="753" t="s">
        <v>152</v>
      </c>
      <c r="BH24" s="763">
        <v>0.86757485651061494</v>
      </c>
      <c r="BI24" s="763">
        <v>0.79215712207379996</v>
      </c>
      <c r="BJ24" s="753" t="s">
        <v>150</v>
      </c>
      <c r="BK24" s="757">
        <v>183.197711647597</v>
      </c>
      <c r="BL24" s="757">
        <v>326.54713917579897</v>
      </c>
      <c r="BM24" s="753" t="s">
        <v>152</v>
      </c>
      <c r="BN24" s="759">
        <v>1</v>
      </c>
      <c r="BO24" s="753" t="s">
        <v>155</v>
      </c>
      <c r="BP24" s="753" t="s">
        <v>152</v>
      </c>
      <c r="BQ24" s="757">
        <v>4301.4929539856103</v>
      </c>
      <c r="BR24" s="46">
        <v>919</v>
      </c>
      <c r="BS24" s="46">
        <v>38187</v>
      </c>
      <c r="BT24" s="46">
        <v>11711</v>
      </c>
      <c r="BU24" s="46">
        <v>3.2607804628127401</v>
      </c>
      <c r="BV24" s="46">
        <v>12.743199129488575</v>
      </c>
      <c r="BW24" s="46">
        <v>787</v>
      </c>
      <c r="BX24" s="46">
        <v>704</v>
      </c>
      <c r="BY24" s="46">
        <v>1491</v>
      </c>
      <c r="BZ24" s="46">
        <v>0.12731619844590555</v>
      </c>
      <c r="CA24" s="46">
        <v>6.7201776107932709E-2</v>
      </c>
      <c r="CB24" s="46">
        <v>6.0114422337972838E-2</v>
      </c>
      <c r="CC24" s="46">
        <v>0.41798309281871743</v>
      </c>
      <c r="CD24" s="46">
        <v>5.3112458372470327E-2</v>
      </c>
      <c r="CE24" s="46">
        <v>7.685082401161301E-4</v>
      </c>
      <c r="CF24" s="46">
        <v>0.4005635727094185</v>
      </c>
      <c r="CG24" s="46">
        <v>0</v>
      </c>
      <c r="CH24" s="46">
        <v>2.561694133720434E-4</v>
      </c>
      <c r="CI24" s="46">
        <v>3.9018514154031485</v>
      </c>
      <c r="CJ24" s="46">
        <v>0.83798151203289084</v>
      </c>
      <c r="CK24">
        <v>313</v>
      </c>
      <c r="CL24">
        <v>574.85</v>
      </c>
      <c r="CM24">
        <f t="shared" si="7"/>
        <v>261.85000000000002</v>
      </c>
      <c r="CN24">
        <v>5.81</v>
      </c>
      <c r="CO24">
        <v>9.4499999999999993</v>
      </c>
      <c r="CP24">
        <f t="shared" si="8"/>
        <v>3.6399999999999997</v>
      </c>
      <c r="CQ24">
        <v>634.91999999999996</v>
      </c>
      <c r="CR24">
        <v>183.2</v>
      </c>
      <c r="CS24">
        <f t="shared" si="9"/>
        <v>451.71999999999997</v>
      </c>
      <c r="CT24" t="s">
        <v>152</v>
      </c>
      <c r="CU24">
        <v>61.53</v>
      </c>
      <c r="CV24">
        <v>62</v>
      </c>
      <c r="CW24" s="46">
        <v>1491</v>
      </c>
      <c r="CX24" s="46">
        <f t="shared" si="3"/>
        <v>10.495687814874904</v>
      </c>
      <c r="CY24" s="46">
        <v>261.85000000000002</v>
      </c>
      <c r="CZ24" s="46">
        <f t="shared" si="4"/>
        <v>12.731619844590556</v>
      </c>
      <c r="DA24" s="46">
        <f t="shared" si="5"/>
        <v>176.05171533928845</v>
      </c>
      <c r="DB24" s="46">
        <v>2107840.7799999998</v>
      </c>
      <c r="DC24" s="46">
        <f t="shared" si="6"/>
        <v>3.9501513841733589</v>
      </c>
      <c r="DD24" s="46">
        <v>47294.57</v>
      </c>
      <c r="DE24" s="995">
        <v>1491</v>
      </c>
      <c r="DF24" s="995">
        <v>11.364000000000001</v>
      </c>
      <c r="DG24" s="995">
        <v>160.19999999999999</v>
      </c>
      <c r="DH24" s="995">
        <v>12.731999999999999</v>
      </c>
      <c r="DI24" s="995">
        <v>296.11900000000003</v>
      </c>
      <c r="DJ24" s="995">
        <v>3515286</v>
      </c>
      <c r="DK24" s="995">
        <v>6.5880000000000001</v>
      </c>
      <c r="DL24" s="995">
        <v>78204.399999999994</v>
      </c>
      <c r="DM24" s="995">
        <v>1491</v>
      </c>
      <c r="DN24" s="995">
        <v>11.487</v>
      </c>
      <c r="DO24" s="995">
        <v>145.69999999999999</v>
      </c>
      <c r="DP24" s="995">
        <v>12.731999999999999</v>
      </c>
      <c r="DQ24" s="995">
        <v>289.56400000000002</v>
      </c>
      <c r="DR24" s="995">
        <v>3433279</v>
      </c>
      <c r="DS24" s="995">
        <v>6.4409999999999998</v>
      </c>
      <c r="DT24" s="995">
        <v>76368.5</v>
      </c>
    </row>
    <row r="25" spans="1:124">
      <c r="A25" s="753" t="s">
        <v>92</v>
      </c>
      <c r="B25" s="753" t="s">
        <v>168</v>
      </c>
      <c r="C25" s="753" t="s">
        <v>169</v>
      </c>
      <c r="D25" s="753">
        <v>701311</v>
      </c>
      <c r="E25" s="753" t="s">
        <v>182</v>
      </c>
      <c r="F25" s="753" t="s">
        <v>149</v>
      </c>
      <c r="G25" s="753" t="s">
        <v>150</v>
      </c>
      <c r="H25" s="754" t="s">
        <v>150</v>
      </c>
      <c r="I25" s="755">
        <v>22</v>
      </c>
      <c r="J25" s="756">
        <v>77165.216799999893</v>
      </c>
      <c r="K25" s="757">
        <v>44373.545955000001</v>
      </c>
      <c r="L25" s="758">
        <v>121538.762755</v>
      </c>
      <c r="M25" s="759">
        <v>6950472</v>
      </c>
      <c r="N25" s="760">
        <v>1176681</v>
      </c>
      <c r="O25" s="760">
        <v>5773791</v>
      </c>
      <c r="P25" s="760">
        <v>0</v>
      </c>
      <c r="Q25" s="761">
        <v>15760.708163265301</v>
      </c>
      <c r="R25" s="762">
        <v>6394.5727445680996</v>
      </c>
      <c r="S25" s="760">
        <v>22541.5189894945</v>
      </c>
      <c r="T25" s="760">
        <v>2275.8097446924298</v>
      </c>
      <c r="U25" s="760">
        <f>IFERROR(INDEX('Rentabilidad datos'!$N$2:$N$61,MATCH($C25,'Rentabilidad datos'!$C$2:$C$61,0)),"")</f>
        <v>31211.901478754982</v>
      </c>
      <c r="V25" s="761">
        <f>IFERROR(INDEX('Rentabilidad datos'!$O$2:$O$61,MATCH($C25,'Rentabilidad datos'!$C$2:$C$61,0)),"")</f>
        <v>1486.2810227978564</v>
      </c>
      <c r="W25" s="762">
        <f>IFERROR(INDEX('Rentabilidad datos'!$M$2:$M$61,MATCH($C25,'Rentabilidad datos'!$C$2:$C$61,0)),"")</f>
        <v>3561.414830517057</v>
      </c>
      <c r="X25" s="763">
        <f>IFERROR(INDEX('Rentabilidad datos'!$P$2:$P$61,MATCH($C25,'Rentabilidad datos'!$C$2:$C$61,0)),"")</f>
        <v>0.41732881271291655</v>
      </c>
      <c r="Y25" s="754" t="s">
        <v>171</v>
      </c>
      <c r="Z25" s="764">
        <v>71.004535147392303</v>
      </c>
      <c r="AA25" s="754">
        <v>1</v>
      </c>
      <c r="AB25" s="765">
        <v>0.9974888036380839</v>
      </c>
      <c r="AC25" s="766">
        <v>2.5111963619161405E-3</v>
      </c>
      <c r="AD25" s="767" t="e">
        <f>_xlfn.XLOOKUP(Table1[[#This Row],[Ruta]],#REF!,#REF!)</f>
        <v>#REF!</v>
      </c>
      <c r="AE25" s="767" t="e">
        <f>_xlfn.XLOOKUP(Table1[[#This Row],[Ruta]],#REF!,#REF!)</f>
        <v>#REF!</v>
      </c>
      <c r="AF25" s="767" t="e">
        <f>_xlfn.XLOOKUP(Table1[[#This Row],[Ruta]],#REF!,#REF!)</f>
        <v>#REF!</v>
      </c>
      <c r="AG25" s="767" t="e">
        <f>_xlfn.XLOOKUP(Table1[[#This Row],[Ruta]],#REF!,#REF!)</f>
        <v>#REF!</v>
      </c>
      <c r="AH25" s="763">
        <v>0.16929512125219698</v>
      </c>
      <c r="AI25" s="763">
        <v>0.83070487874780308</v>
      </c>
      <c r="AJ25" s="766">
        <v>0</v>
      </c>
      <c r="AK25" s="768">
        <v>31313</v>
      </c>
      <c r="AL25" s="755">
        <v>23972</v>
      </c>
      <c r="AM25" s="765">
        <v>0.76556062977038297</v>
      </c>
      <c r="AN25" s="766">
        <v>0.76950938426078397</v>
      </c>
      <c r="AO25" s="768">
        <v>123.647349357918</v>
      </c>
      <c r="AP25" s="759">
        <v>61.823674678959001</v>
      </c>
      <c r="AQ25" s="766">
        <v>0.7675350070155833</v>
      </c>
      <c r="AR25" s="762">
        <v>6950472.2999999998</v>
      </c>
      <c r="AS25" s="760">
        <v>17925.2352052526</v>
      </c>
      <c r="AT25" s="766">
        <v>2.5789952727748588E-3</v>
      </c>
      <c r="AU25" s="762">
        <v>12596.111225312643</v>
      </c>
      <c r="AV25" s="763">
        <v>5.7300901966922961E-5</v>
      </c>
      <c r="AW25" s="755">
        <v>469</v>
      </c>
      <c r="AX25" s="762">
        <v>289.941277323544</v>
      </c>
      <c r="AY25" s="760">
        <v>436.55824316463099</v>
      </c>
      <c r="AZ25" s="760">
        <v>146.61696584108699</v>
      </c>
      <c r="BA25" s="753" t="s">
        <v>150</v>
      </c>
      <c r="BB25" s="761">
        <v>1234895.263969</v>
      </c>
      <c r="BC25" s="769">
        <v>1247491.3751943125</v>
      </c>
      <c r="BD25" s="753" t="s">
        <v>150</v>
      </c>
      <c r="BE25" s="757">
        <v>71.004535147392303</v>
      </c>
      <c r="BF25" s="757">
        <v>48.897321428571402</v>
      </c>
      <c r="BG25" s="753" t="s">
        <v>150</v>
      </c>
      <c r="BH25" s="763">
        <v>0.76556062977038297</v>
      </c>
      <c r="BI25" s="763">
        <v>0.79215712207379996</v>
      </c>
      <c r="BJ25" s="753" t="s">
        <v>152</v>
      </c>
      <c r="BK25" s="757">
        <v>275.598101485261</v>
      </c>
      <c r="BL25" s="757">
        <v>326.54713917579897</v>
      </c>
      <c r="BM25" s="753" t="s">
        <v>152</v>
      </c>
      <c r="BN25" s="759">
        <v>1</v>
      </c>
      <c r="BO25" s="753" t="s">
        <v>155</v>
      </c>
      <c r="BP25" s="753" t="s">
        <v>152</v>
      </c>
      <c r="BQ25" s="757">
        <v>0</v>
      </c>
      <c r="BR25" s="46">
        <v>388</v>
      </c>
      <c r="BS25" s="46">
        <v>28328</v>
      </c>
      <c r="BT25" s="46">
        <v>9433</v>
      </c>
      <c r="BU25" s="46">
        <v>3.0030743135799853</v>
      </c>
      <c r="BV25" s="46">
        <v>24.311855670103093</v>
      </c>
      <c r="BW25" s="46">
        <v>1872</v>
      </c>
      <c r="BX25" s="46">
        <v>4234</v>
      </c>
      <c r="BY25" s="46">
        <v>6106</v>
      </c>
      <c r="BZ25" s="46">
        <v>0.64730202480653032</v>
      </c>
      <c r="CA25" s="46">
        <v>0.19845224212869716</v>
      </c>
      <c r="CB25" s="46">
        <v>0.44884978267783315</v>
      </c>
      <c r="CC25" s="46">
        <v>0</v>
      </c>
      <c r="CD25" s="46">
        <v>4.4100498250821581E-2</v>
      </c>
      <c r="CE25" s="46">
        <v>0</v>
      </c>
      <c r="CF25" s="46">
        <v>0.30859747694264816</v>
      </c>
      <c r="CG25" s="46">
        <v>0</v>
      </c>
      <c r="CH25" s="46">
        <v>0</v>
      </c>
      <c r="CI25" s="46">
        <v>1.6591358373340863</v>
      </c>
      <c r="CJ25" s="46">
        <v>1.0590228748940982</v>
      </c>
      <c r="CK25">
        <v>359</v>
      </c>
      <c r="CL25">
        <v>638.44000000000005</v>
      </c>
      <c r="CM25">
        <f t="shared" si="7"/>
        <v>279.44000000000005</v>
      </c>
      <c r="CN25">
        <v>5.62</v>
      </c>
      <c r="CO25">
        <v>9.4499999999999993</v>
      </c>
      <c r="CP25">
        <f t="shared" si="8"/>
        <v>3.8299999999999992</v>
      </c>
      <c r="CQ25">
        <v>1269.8399999999999</v>
      </c>
      <c r="CR25">
        <v>275.60000000000002</v>
      </c>
      <c r="CS25">
        <f t="shared" si="9"/>
        <v>994.2399999999999</v>
      </c>
      <c r="CT25" t="s">
        <v>152</v>
      </c>
      <c r="CU25">
        <v>59.52</v>
      </c>
      <c r="CV25">
        <v>433</v>
      </c>
      <c r="CW25" s="46">
        <v>5654</v>
      </c>
      <c r="CX25" s="46">
        <f t="shared" si="3"/>
        <v>56.976147567051839</v>
      </c>
      <c r="CY25" s="46">
        <v>279.44</v>
      </c>
      <c r="CZ25" s="46">
        <f t="shared" si="4"/>
        <v>59.938513728400302</v>
      </c>
      <c r="DA25" s="46">
        <f t="shared" si="5"/>
        <v>275.02457878761669</v>
      </c>
      <c r="DB25" s="46">
        <v>2671159.7200000002</v>
      </c>
      <c r="DC25" s="46">
        <f t="shared" si="6"/>
        <v>6.1511484240829288</v>
      </c>
      <c r="DD25" s="46">
        <v>59742.66</v>
      </c>
      <c r="DE25" s="995">
        <v>5654</v>
      </c>
      <c r="DF25" s="995">
        <v>57.430999999999997</v>
      </c>
      <c r="DG25" s="995">
        <v>236.5</v>
      </c>
      <c r="DH25" s="995">
        <v>59.939</v>
      </c>
      <c r="DI25" s="995">
        <v>676.28499999999997</v>
      </c>
      <c r="DJ25" s="995">
        <v>6539336</v>
      </c>
      <c r="DK25" s="995">
        <v>14.39</v>
      </c>
      <c r="DL25" s="995">
        <v>139148.20000000001</v>
      </c>
      <c r="DM25" s="995">
        <v>5654</v>
      </c>
      <c r="DN25" s="995">
        <v>57.654000000000003</v>
      </c>
      <c r="DO25" s="995">
        <v>215.5</v>
      </c>
      <c r="DP25" s="995">
        <v>59.939</v>
      </c>
      <c r="DQ25" s="995">
        <v>661.37699999999995</v>
      </c>
      <c r="DR25" s="995">
        <v>6381322</v>
      </c>
      <c r="DS25" s="995">
        <v>14.116</v>
      </c>
      <c r="DT25" s="995">
        <v>136203.4</v>
      </c>
    </row>
    <row r="26" spans="1:124">
      <c r="A26" s="753" t="s">
        <v>92</v>
      </c>
      <c r="B26" s="753" t="s">
        <v>168</v>
      </c>
      <c r="C26" s="753" t="s">
        <v>169</v>
      </c>
      <c r="D26" s="753">
        <v>701312</v>
      </c>
      <c r="E26" s="753" t="s">
        <v>183</v>
      </c>
      <c r="F26" s="753" t="s">
        <v>149</v>
      </c>
      <c r="G26" s="753" t="s">
        <v>150</v>
      </c>
      <c r="H26" s="754" t="s">
        <v>150</v>
      </c>
      <c r="I26" s="755">
        <v>22</v>
      </c>
      <c r="J26" s="756">
        <v>58323.899199999898</v>
      </c>
      <c r="K26" s="757">
        <v>23824.265812000001</v>
      </c>
      <c r="L26" s="758">
        <v>82148.165011999998</v>
      </c>
      <c r="M26" s="759">
        <v>3708488</v>
      </c>
      <c r="N26" s="760">
        <v>858124</v>
      </c>
      <c r="O26" s="760">
        <v>2850243</v>
      </c>
      <c r="P26" s="760">
        <v>121</v>
      </c>
      <c r="Q26" s="761">
        <v>9409.7782233502603</v>
      </c>
      <c r="R26" s="762">
        <v>6394.5727445680996</v>
      </c>
      <c r="S26" s="760">
        <v>22541.5189894945</v>
      </c>
      <c r="T26" s="760">
        <v>2275.8097446924298</v>
      </c>
      <c r="U26" s="760">
        <f>IFERROR(INDEX('Rentabilidad datos'!$N$2:$N$61,MATCH($C26,'Rentabilidad datos'!$C$2:$C$61,0)),"")</f>
        <v>31211.901478754982</v>
      </c>
      <c r="V26" s="761">
        <f>IFERROR(INDEX('Rentabilidad datos'!$O$2:$O$61,MATCH($C26,'Rentabilidad datos'!$C$2:$C$61,0)),"")</f>
        <v>1486.2810227978564</v>
      </c>
      <c r="W26" s="762">
        <f>IFERROR(INDEX('Rentabilidad datos'!$M$2:$M$61,MATCH($C26,'Rentabilidad datos'!$C$2:$C$61,0)),"")</f>
        <v>3561.414830517057</v>
      </c>
      <c r="X26" s="763">
        <f>IFERROR(INDEX('Rentabilidad datos'!$P$2:$P$61,MATCH($C26,'Rentabilidad datos'!$C$2:$C$61,0)),"")</f>
        <v>0.41732881271291655</v>
      </c>
      <c r="Y26" s="754" t="s">
        <v>171</v>
      </c>
      <c r="Z26" s="764">
        <v>55.694214876033101</v>
      </c>
      <c r="AA26" s="754">
        <v>1</v>
      </c>
      <c r="AB26" s="765">
        <v>0.9997969522889113</v>
      </c>
      <c r="AC26" s="766">
        <v>2.0304771108872402E-4</v>
      </c>
      <c r="AD26" s="767" t="e">
        <f>_xlfn.XLOOKUP(Table1[[#This Row],[Ruta]],#REF!,#REF!)</f>
        <v>#REF!</v>
      </c>
      <c r="AE26" s="767" t="e">
        <f>_xlfn.XLOOKUP(Table1[[#This Row],[Ruta]],#REF!,#REF!)</f>
        <v>#REF!</v>
      </c>
      <c r="AF26" s="767" t="e">
        <f>_xlfn.XLOOKUP(Table1[[#This Row],[Ruta]],#REF!,#REF!)</f>
        <v>#REF!</v>
      </c>
      <c r="AG26" s="767" t="e">
        <f>_xlfn.XLOOKUP(Table1[[#This Row],[Ruta]],#REF!,#REF!)</f>
        <v>#REF!</v>
      </c>
      <c r="AH26" s="763">
        <v>0.23139457374541861</v>
      </c>
      <c r="AI26" s="763">
        <v>0.76857279840193626</v>
      </c>
      <c r="AJ26" s="766">
        <v>3.2627852645067206E-5</v>
      </c>
      <c r="AK26" s="768">
        <v>13478</v>
      </c>
      <c r="AL26" s="755">
        <v>16266</v>
      </c>
      <c r="AM26" s="765">
        <v>0.75448879655735301</v>
      </c>
      <c r="AN26" s="766">
        <v>0.76950938426078397</v>
      </c>
      <c r="AO26" s="768">
        <v>202.44748106684199</v>
      </c>
      <c r="AP26" s="759">
        <v>101.22374053342099</v>
      </c>
      <c r="AQ26" s="766">
        <v>1.2143659104120361</v>
      </c>
      <c r="AR26" s="762">
        <v>3707452.62</v>
      </c>
      <c r="AS26" s="760">
        <v>23071.573960828198</v>
      </c>
      <c r="AT26" s="766">
        <v>6.2230259764798285E-3</v>
      </c>
      <c r="AU26" s="762">
        <v>16212.45737787928</v>
      </c>
      <c r="AV26" s="763">
        <v>7.3752002839250842E-5</v>
      </c>
      <c r="AW26" s="755">
        <v>463</v>
      </c>
      <c r="AX26" s="762">
        <v>227.926510512726</v>
      </c>
      <c r="AY26" s="760">
        <v>436.55824316463099</v>
      </c>
      <c r="AZ26" s="760">
        <v>208.631732651905</v>
      </c>
      <c r="BA26" s="753" t="s">
        <v>150</v>
      </c>
      <c r="BB26" s="761">
        <v>1192347.2681920687</v>
      </c>
      <c r="BC26" s="769">
        <v>1208559.7255699479</v>
      </c>
      <c r="BD26" s="753" t="s">
        <v>150</v>
      </c>
      <c r="BE26" s="757">
        <v>55.694214876033101</v>
      </c>
      <c r="BF26" s="757">
        <v>48.897321428571402</v>
      </c>
      <c r="BG26" s="753" t="s">
        <v>150</v>
      </c>
      <c r="BH26" s="763">
        <v>0.75448879655735301</v>
      </c>
      <c r="BI26" s="763">
        <v>0.79215712207379996</v>
      </c>
      <c r="BJ26" s="753" t="s">
        <v>152</v>
      </c>
      <c r="BK26" s="757">
        <v>208.497880741117</v>
      </c>
      <c r="BL26" s="757">
        <v>326.54713917579897</v>
      </c>
      <c r="BM26" s="753" t="s">
        <v>152</v>
      </c>
      <c r="BN26" s="759">
        <v>1</v>
      </c>
      <c r="BO26" s="753" t="s">
        <v>155</v>
      </c>
      <c r="BP26" s="753" t="s">
        <v>152</v>
      </c>
      <c r="BQ26" s="757">
        <v>0</v>
      </c>
      <c r="BR26" s="46" t="e">
        <v>#N/A</v>
      </c>
      <c r="BS26" s="46" t="e">
        <v>#N/A</v>
      </c>
      <c r="BT26" s="46" t="e">
        <v>#N/A</v>
      </c>
      <c r="BU26" s="46" t="e">
        <v>#N/A</v>
      </c>
      <c r="BV26" s="46" t="e">
        <v>#N/A</v>
      </c>
      <c r="BW26" s="46" t="e">
        <v>#N/A</v>
      </c>
      <c r="BX26" s="46" t="e">
        <v>#N/A</v>
      </c>
      <c r="BY26" s="46" t="e">
        <v>#N/A</v>
      </c>
      <c r="BZ26" s="46" t="e">
        <v>#N/A</v>
      </c>
      <c r="CA26" s="46" t="e">
        <v>#N/A</v>
      </c>
      <c r="CB26" s="46" t="e">
        <v>#N/A</v>
      </c>
      <c r="CC26" s="46" t="e">
        <v>#N/A</v>
      </c>
      <c r="CD26" s="46" t="e">
        <v>#N/A</v>
      </c>
      <c r="CE26" s="46" t="e">
        <v>#N/A</v>
      </c>
      <c r="CF26" s="46" t="e">
        <v>#N/A</v>
      </c>
      <c r="CG26" s="46" t="e">
        <v>#N/A</v>
      </c>
      <c r="CH26" s="46" t="e">
        <v>#N/A</v>
      </c>
      <c r="CI26" s="46" t="e">
        <v>#N/A</v>
      </c>
      <c r="CJ26" s="46" t="e">
        <v>#N/A</v>
      </c>
      <c r="CM26">
        <f t="shared" si="7"/>
        <v>0</v>
      </c>
      <c r="CP26">
        <f t="shared" si="8"/>
        <v>0</v>
      </c>
      <c r="CS26">
        <f t="shared" si="9"/>
        <v>0</v>
      </c>
      <c r="CW26" s="46"/>
      <c r="CX26" s="46" t="e">
        <f t="shared" si="3"/>
        <v>#N/A</v>
      </c>
      <c r="CY26" s="46"/>
      <c r="CZ26" s="46" t="e">
        <f t="shared" si="4"/>
        <v>#N/A</v>
      </c>
      <c r="DA26" s="46" t="e">
        <f t="shared" si="5"/>
        <v>#N/A</v>
      </c>
      <c r="DB26" s="46"/>
      <c r="DC26" s="46" t="e">
        <f t="shared" si="6"/>
        <v>#N/A</v>
      </c>
      <c r="DD26" s="46"/>
      <c r="DE26" s="995" t="s">
        <v>194</v>
      </c>
      <c r="DF26" s="995" t="s">
        <v>194</v>
      </c>
      <c r="DG26" s="995" t="s">
        <v>194</v>
      </c>
      <c r="DH26" s="995" t="s">
        <v>194</v>
      </c>
      <c r="DI26" s="995" t="s">
        <v>194</v>
      </c>
      <c r="DJ26" s="995" t="s">
        <v>194</v>
      </c>
      <c r="DK26" s="995" t="s">
        <v>194</v>
      </c>
      <c r="DL26" s="995" t="s">
        <v>194</v>
      </c>
      <c r="DM26" s="995" t="s">
        <v>194</v>
      </c>
      <c r="DN26" s="995" t="s">
        <v>194</v>
      </c>
      <c r="DO26" s="995" t="s">
        <v>194</v>
      </c>
      <c r="DP26" s="995" t="s">
        <v>194</v>
      </c>
      <c r="DQ26" s="995" t="s">
        <v>194</v>
      </c>
      <c r="DR26" s="995" t="s">
        <v>194</v>
      </c>
      <c r="DS26" s="995" t="s">
        <v>194</v>
      </c>
      <c r="DT26" s="995" t="s">
        <v>194</v>
      </c>
    </row>
    <row r="27" spans="1:124">
      <c r="A27" s="753" t="s">
        <v>92</v>
      </c>
      <c r="B27" s="753" t="s">
        <v>168</v>
      </c>
      <c r="C27" s="753" t="s">
        <v>169</v>
      </c>
      <c r="D27" s="753">
        <v>701313</v>
      </c>
      <c r="E27" s="753" t="s">
        <v>184</v>
      </c>
      <c r="F27" s="753" t="s">
        <v>149</v>
      </c>
      <c r="G27" s="753" t="s">
        <v>150</v>
      </c>
      <c r="H27" s="754" t="s">
        <v>150</v>
      </c>
      <c r="I27" s="755">
        <v>22</v>
      </c>
      <c r="J27" s="756">
        <v>69687.161600000007</v>
      </c>
      <c r="K27" s="757">
        <v>13658.734114999999</v>
      </c>
      <c r="L27" s="758">
        <v>83345.895715000006</v>
      </c>
      <c r="M27" s="759">
        <v>3073739</v>
      </c>
      <c r="N27" s="760">
        <v>1071382</v>
      </c>
      <c r="O27" s="760">
        <v>2002357</v>
      </c>
      <c r="P27" s="760">
        <v>0</v>
      </c>
      <c r="Q27" s="761">
        <v>7584.5373827160502</v>
      </c>
      <c r="R27" s="762">
        <v>6394.5727445680996</v>
      </c>
      <c r="S27" s="760">
        <v>22541.5189894945</v>
      </c>
      <c r="T27" s="760">
        <v>2275.8097446924298</v>
      </c>
      <c r="U27" s="760">
        <f>IFERROR(INDEX('Rentabilidad datos'!$N$2:$N$61,MATCH($C27,'Rentabilidad datos'!$C$2:$C$61,0)),"")</f>
        <v>31211.901478754982</v>
      </c>
      <c r="V27" s="761">
        <f>IFERROR(INDEX('Rentabilidad datos'!$O$2:$O$61,MATCH($C27,'Rentabilidad datos'!$C$2:$C$61,0)),"")</f>
        <v>1486.2810227978564</v>
      </c>
      <c r="W27" s="762">
        <f>IFERROR(INDEX('Rentabilidad datos'!$M$2:$M$61,MATCH($C27,'Rentabilidad datos'!$C$2:$C$61,0)),"")</f>
        <v>3561.414830517057</v>
      </c>
      <c r="X27" s="763">
        <f>IFERROR(INDEX('Rentabilidad datos'!$P$2:$P$61,MATCH($C27,'Rentabilidad datos'!$C$2:$C$61,0)),"")</f>
        <v>0.41732881271291655</v>
      </c>
      <c r="Y27" s="754" t="s">
        <v>171</v>
      </c>
      <c r="Z27" s="764">
        <v>30.527196652719699</v>
      </c>
      <c r="AA27" s="754">
        <v>1</v>
      </c>
      <c r="AB27" s="765">
        <v>0.99994631945002488</v>
      </c>
      <c r="AC27" s="766">
        <v>5.3680549975128015E-5</v>
      </c>
      <c r="AD27" s="767" t="e">
        <f>_xlfn.XLOOKUP(Table1[[#This Row],[Ruta]],#REF!,#REF!)</f>
        <v>#REF!</v>
      </c>
      <c r="AE27" s="767" t="e">
        <f>_xlfn.XLOOKUP(Table1[[#This Row],[Ruta]],#REF!,#REF!)</f>
        <v>#REF!</v>
      </c>
      <c r="AF27" s="767" t="e">
        <f>_xlfn.XLOOKUP(Table1[[#This Row],[Ruta]],#REF!,#REF!)</f>
        <v>#REF!</v>
      </c>
      <c r="AG27" s="767" t="e">
        <f>_xlfn.XLOOKUP(Table1[[#This Row],[Ruta]],#REF!,#REF!)</f>
        <v>#REF!</v>
      </c>
      <c r="AH27" s="763">
        <v>0.3485598484451673</v>
      </c>
      <c r="AI27" s="763">
        <v>0.6514401515548327</v>
      </c>
      <c r="AJ27" s="766">
        <v>0</v>
      </c>
      <c r="AK27" s="768">
        <v>7296</v>
      </c>
      <c r="AL27" s="755">
        <v>7932</v>
      </c>
      <c r="AM27" s="765">
        <v>0.81154057017543901</v>
      </c>
      <c r="AN27" s="766">
        <v>0.76950938426078397</v>
      </c>
      <c r="AO27" s="768">
        <v>0</v>
      </c>
      <c r="AP27" s="759">
        <v>0</v>
      </c>
      <c r="AQ27" s="766">
        <v>1.087171052631579</v>
      </c>
      <c r="AR27" s="762">
        <v>3071737.64</v>
      </c>
      <c r="AS27" s="760">
        <v>0</v>
      </c>
      <c r="AT27" s="766">
        <v>0</v>
      </c>
      <c r="AU27" s="762">
        <v>0</v>
      </c>
      <c r="AV27" s="763">
        <v>0</v>
      </c>
      <c r="AW27" s="755">
        <v>490</v>
      </c>
      <c r="AX27" s="762">
        <v>387.25890569843699</v>
      </c>
      <c r="AY27" s="760">
        <v>436.55824316463099</v>
      </c>
      <c r="AZ27" s="760">
        <v>49.299337466194004</v>
      </c>
      <c r="BA27" s="753" t="s">
        <v>150</v>
      </c>
      <c r="BB27" s="761">
        <v>137393.25627470438</v>
      </c>
      <c r="BC27" s="769">
        <v>137393.25627470438</v>
      </c>
      <c r="BD27" s="753" t="s">
        <v>150</v>
      </c>
      <c r="BE27" s="757">
        <v>30.527196652719699</v>
      </c>
      <c r="BF27" s="757">
        <v>48.897321428571402</v>
      </c>
      <c r="BG27" s="753" t="s">
        <v>152</v>
      </c>
      <c r="BH27" s="763">
        <v>0.81154057017543901</v>
      </c>
      <c r="BI27" s="763">
        <v>0.79215712207379996</v>
      </c>
      <c r="BJ27" s="753" t="s">
        <v>150</v>
      </c>
      <c r="BK27" s="757">
        <v>205.79233509876499</v>
      </c>
      <c r="BL27" s="757">
        <v>326.54713917579897</v>
      </c>
      <c r="BM27" s="753" t="s">
        <v>152</v>
      </c>
      <c r="BN27" s="759">
        <v>1</v>
      </c>
      <c r="BO27" s="753" t="s">
        <v>155</v>
      </c>
      <c r="BP27" s="753" t="s">
        <v>152</v>
      </c>
      <c r="BQ27" s="757">
        <v>3735.4001793123498</v>
      </c>
      <c r="BR27" s="46">
        <v>123</v>
      </c>
      <c r="BS27" s="46">
        <v>2953</v>
      </c>
      <c r="BT27" s="46">
        <v>863</v>
      </c>
      <c r="BU27" s="46">
        <v>3.4217844727694091</v>
      </c>
      <c r="BV27" s="46">
        <v>7.0162601626016263</v>
      </c>
      <c r="BW27" s="46">
        <v>498</v>
      </c>
      <c r="BX27" s="46">
        <v>0</v>
      </c>
      <c r="BY27" s="46">
        <v>498</v>
      </c>
      <c r="BZ27" s="46">
        <v>0.57705677867902661</v>
      </c>
      <c r="CA27" s="46">
        <v>0.57705677867902661</v>
      </c>
      <c r="CB27" s="46">
        <v>0</v>
      </c>
      <c r="CC27" s="46">
        <v>0</v>
      </c>
      <c r="CD27" s="46">
        <v>0</v>
      </c>
      <c r="CE27" s="46">
        <v>0</v>
      </c>
      <c r="CF27" s="46">
        <v>0.42294322132097328</v>
      </c>
      <c r="CG27" s="46">
        <v>0</v>
      </c>
      <c r="CH27" s="46">
        <v>0</v>
      </c>
      <c r="CI27" s="46">
        <v>3.0477480528276328</v>
      </c>
      <c r="CJ27" s="46">
        <v>2.031832035218422</v>
      </c>
      <c r="CK27">
        <v>65</v>
      </c>
      <c r="CL27">
        <v>182.27</v>
      </c>
      <c r="CM27">
        <f t="shared" si="7"/>
        <v>117.27000000000001</v>
      </c>
      <c r="CN27">
        <v>3.36</v>
      </c>
      <c r="CO27">
        <v>9.4499999999999993</v>
      </c>
      <c r="CP27">
        <f t="shared" si="8"/>
        <v>6.09</v>
      </c>
      <c r="CQ27">
        <v>634.91999999999996</v>
      </c>
      <c r="CR27">
        <v>205.79</v>
      </c>
      <c r="CS27">
        <f t="shared" si="9"/>
        <v>429.13</v>
      </c>
      <c r="CT27" t="s">
        <v>152</v>
      </c>
      <c r="CU27">
        <v>37.5</v>
      </c>
      <c r="CV27">
        <v>53</v>
      </c>
      <c r="CW27" s="46">
        <v>498</v>
      </c>
      <c r="CX27" s="46">
        <f t="shared" si="3"/>
        <v>44.117033603708002</v>
      </c>
      <c r="CY27" s="46">
        <v>117.27</v>
      </c>
      <c r="CZ27" s="46">
        <f t="shared" si="4"/>
        <v>57.705677867902658</v>
      </c>
      <c r="DA27" s="46">
        <f t="shared" si="5"/>
        <v>748.09391290154758</v>
      </c>
      <c r="DB27" s="46">
        <v>733334.02</v>
      </c>
      <c r="DC27" s="46">
        <f t="shared" si="6"/>
        <v>20.7628918563253</v>
      </c>
      <c r="DD27" s="46">
        <v>20353.240000000002</v>
      </c>
      <c r="DE27" s="995">
        <v>498</v>
      </c>
      <c r="DF27" s="995">
        <v>47.869</v>
      </c>
      <c r="DG27" s="995">
        <v>84.9</v>
      </c>
      <c r="DH27" s="995">
        <v>57.706000000000003</v>
      </c>
      <c r="DI27" s="995">
        <v>1404.5719999999999</v>
      </c>
      <c r="DJ27" s="995">
        <v>1331383</v>
      </c>
      <c r="DK27" s="995">
        <v>39.411999999999999</v>
      </c>
      <c r="DL27" s="995">
        <v>37358.800000000003</v>
      </c>
      <c r="DM27" s="995">
        <v>498</v>
      </c>
      <c r="DN27" s="995">
        <v>49.054000000000002</v>
      </c>
      <c r="DO27" s="995">
        <v>74.7</v>
      </c>
      <c r="DP27" s="995">
        <v>57.706000000000003</v>
      </c>
      <c r="DQ27" s="995">
        <v>1360.6669999999999</v>
      </c>
      <c r="DR27" s="995">
        <v>1275844</v>
      </c>
      <c r="DS27" s="995">
        <v>38.223999999999997</v>
      </c>
      <c r="DT27" s="995">
        <v>35841.300000000003</v>
      </c>
    </row>
    <row r="28" spans="1:124">
      <c r="A28" s="753" t="s">
        <v>92</v>
      </c>
      <c r="B28" s="753" t="s">
        <v>168</v>
      </c>
      <c r="C28" s="753" t="s">
        <v>169</v>
      </c>
      <c r="D28" s="753">
        <v>701314</v>
      </c>
      <c r="E28" s="753" t="s">
        <v>185</v>
      </c>
      <c r="F28" s="753" t="s">
        <v>149</v>
      </c>
      <c r="G28" s="753" t="s">
        <v>150</v>
      </c>
      <c r="H28" s="754" t="s">
        <v>150</v>
      </c>
      <c r="I28" s="755">
        <v>22</v>
      </c>
      <c r="J28" s="756">
        <v>82040.218399999998</v>
      </c>
      <c r="K28" s="757">
        <v>31899.304297999999</v>
      </c>
      <c r="L28" s="758">
        <v>113939.522698</v>
      </c>
      <c r="M28" s="759">
        <v>4769085</v>
      </c>
      <c r="N28" s="760">
        <v>1175733</v>
      </c>
      <c r="O28" s="760">
        <v>3591357</v>
      </c>
      <c r="P28" s="760">
        <v>1995</v>
      </c>
      <c r="Q28" s="761">
        <v>10895.619726651499</v>
      </c>
      <c r="R28" s="762">
        <v>6394.5727445680996</v>
      </c>
      <c r="S28" s="760">
        <v>22541.5189894945</v>
      </c>
      <c r="T28" s="760">
        <v>2275.8097446924298</v>
      </c>
      <c r="U28" s="760">
        <f>IFERROR(INDEX('Rentabilidad datos'!$N$2:$N$61,MATCH($C28,'Rentabilidad datos'!$C$2:$C$61,0)),"")</f>
        <v>31211.901478754982</v>
      </c>
      <c r="V28" s="761">
        <f>IFERROR(INDEX('Rentabilidad datos'!$O$2:$O$61,MATCH($C28,'Rentabilidad datos'!$C$2:$C$61,0)),"")</f>
        <v>1486.2810227978564</v>
      </c>
      <c r="W28" s="762">
        <f>IFERROR(INDEX('Rentabilidad datos'!$M$2:$M$61,MATCH($C28,'Rentabilidad datos'!$C$2:$C$61,0)),"")</f>
        <v>3561.414830517057</v>
      </c>
      <c r="X28" s="763">
        <f>IFERROR(INDEX('Rentabilidad datos'!$P$2:$P$61,MATCH($C28,'Rentabilidad datos'!$C$2:$C$61,0)),"")</f>
        <v>0.41732881271291655</v>
      </c>
      <c r="Y28" s="754" t="s">
        <v>171</v>
      </c>
      <c r="Z28" s="764">
        <v>85.111617312072894</v>
      </c>
      <c r="AA28" s="754">
        <v>1</v>
      </c>
      <c r="AB28" s="765">
        <v>0.98517765986557171</v>
      </c>
      <c r="AC28" s="766">
        <v>1.4822340134428302E-2</v>
      </c>
      <c r="AD28" s="767" t="e">
        <f>_xlfn.XLOOKUP(Table1[[#This Row],[Ruta]],#REF!,#REF!)</f>
        <v>#REF!</v>
      </c>
      <c r="AE28" s="767" t="e">
        <f>_xlfn.XLOOKUP(Table1[[#This Row],[Ruta]],#REF!,#REF!)</f>
        <v>#REF!</v>
      </c>
      <c r="AF28" s="767" t="e">
        <f>_xlfn.XLOOKUP(Table1[[#This Row],[Ruta]],#REF!,#REF!)</f>
        <v>#REF!</v>
      </c>
      <c r="AG28" s="767" t="e">
        <f>_xlfn.XLOOKUP(Table1[[#This Row],[Ruta]],#REF!,#REF!)</f>
        <v>#REF!</v>
      </c>
      <c r="AH28" s="763">
        <v>0.24653219642761662</v>
      </c>
      <c r="AI28" s="763">
        <v>0.75304948433504537</v>
      </c>
      <c r="AJ28" s="766">
        <v>4.1831923733797995E-4</v>
      </c>
      <c r="AK28" s="768">
        <v>37364</v>
      </c>
      <c r="AL28" s="755">
        <v>7608</v>
      </c>
      <c r="AM28" s="765">
        <v>0.20361845626806599</v>
      </c>
      <c r="AN28" s="766">
        <v>0.76950938426078397</v>
      </c>
      <c r="AO28" s="768">
        <v>21143.9486335199</v>
      </c>
      <c r="AP28" s="759">
        <v>10571.97431675995</v>
      </c>
      <c r="AQ28" s="766">
        <v>0.48656392026442435</v>
      </c>
      <c r="AR28" s="762">
        <v>4783177.0599999996</v>
      </c>
      <c r="AS28" s="760">
        <v>6646638.4109931001</v>
      </c>
      <c r="AT28" s="766">
        <v>1.3895865295425842</v>
      </c>
      <c r="AU28" s="762">
        <v>4670610.7752924506</v>
      </c>
      <c r="AV28" s="763">
        <v>2.1247050408928412E-2</v>
      </c>
      <c r="AW28" s="755">
        <v>3</v>
      </c>
      <c r="AX28" s="762">
        <v>628.70360935857002</v>
      </c>
      <c r="AY28" s="760">
        <v>436.55824316463099</v>
      </c>
      <c r="AZ28" s="760">
        <v>0</v>
      </c>
      <c r="BA28" s="753" t="s">
        <v>152</v>
      </c>
      <c r="BB28" s="761">
        <v>0</v>
      </c>
      <c r="BC28" s="769">
        <v>4670610.7752924506</v>
      </c>
      <c r="BD28" s="753" t="s">
        <v>150</v>
      </c>
      <c r="BE28" s="757">
        <v>85.111617312072894</v>
      </c>
      <c r="BF28" s="757">
        <v>48.897321428571402</v>
      </c>
      <c r="BG28" s="753" t="s">
        <v>150</v>
      </c>
      <c r="BH28" s="763">
        <v>0.20361845626806599</v>
      </c>
      <c r="BI28" s="763">
        <v>0.79215712207379996</v>
      </c>
      <c r="BJ28" s="753" t="s">
        <v>152</v>
      </c>
      <c r="BK28" s="757">
        <v>259.54333188610502</v>
      </c>
      <c r="BL28" s="757">
        <v>326.54713917579897</v>
      </c>
      <c r="BM28" s="753" t="s">
        <v>152</v>
      </c>
      <c r="BN28" s="759">
        <v>1</v>
      </c>
      <c r="BO28" s="753" t="s">
        <v>155</v>
      </c>
      <c r="BP28" s="753" t="s">
        <v>152</v>
      </c>
      <c r="BQ28" s="757">
        <v>10850.2461524103</v>
      </c>
      <c r="BR28" s="46">
        <v>4212</v>
      </c>
      <c r="BS28" s="46">
        <v>369319</v>
      </c>
      <c r="BT28" s="46">
        <v>102433</v>
      </c>
      <c r="BU28" s="46">
        <v>3.6054689406734157</v>
      </c>
      <c r="BV28" s="46">
        <v>24.319325735992404</v>
      </c>
      <c r="BW28" s="46">
        <v>2541</v>
      </c>
      <c r="BX28" s="46">
        <v>26445</v>
      </c>
      <c r="BY28" s="46">
        <v>28986</v>
      </c>
      <c r="BZ28" s="46">
        <v>0.28297521306610174</v>
      </c>
      <c r="CA28" s="46">
        <v>2.480645885603272E-2</v>
      </c>
      <c r="CB28" s="46">
        <v>0.25816875421006902</v>
      </c>
      <c r="CC28" s="46">
        <v>0.25385373854129045</v>
      </c>
      <c r="CD28" s="46">
        <v>0.11260043150156687</v>
      </c>
      <c r="CE28" s="46">
        <v>0</v>
      </c>
      <c r="CF28" s="46">
        <v>0.35036560483437956</v>
      </c>
      <c r="CG28" s="46">
        <v>2.050120566614275E-4</v>
      </c>
      <c r="CH28" s="46">
        <v>0</v>
      </c>
      <c r="CI28" s="46">
        <v>3.1219623144219497</v>
      </c>
      <c r="CJ28" s="46">
        <v>0.5090450261156344</v>
      </c>
      <c r="CK28">
        <v>418</v>
      </c>
      <c r="CL28">
        <v>1298.53</v>
      </c>
      <c r="CM28">
        <f t="shared" si="7"/>
        <v>880.53</v>
      </c>
      <c r="CN28">
        <v>8.11</v>
      </c>
      <c r="CO28">
        <v>9.4499999999999993</v>
      </c>
      <c r="CP28">
        <f t="shared" si="8"/>
        <v>1.3399999999999999</v>
      </c>
      <c r="CQ28">
        <v>1269.8399999999999</v>
      </c>
      <c r="CR28">
        <v>259.54000000000002</v>
      </c>
      <c r="CS28">
        <f t="shared" si="9"/>
        <v>1010.3</v>
      </c>
      <c r="CT28" t="s">
        <v>152</v>
      </c>
      <c r="CU28">
        <v>85.79</v>
      </c>
      <c r="CV28">
        <v>309</v>
      </c>
      <c r="CW28" s="46">
        <v>16143</v>
      </c>
      <c r="CX28" s="46">
        <f t="shared" si="3"/>
        <v>14.899954116349223</v>
      </c>
      <c r="CY28" s="46">
        <v>880.53</v>
      </c>
      <c r="CZ28" s="46">
        <f t="shared" si="4"/>
        <v>15.75956966993059</v>
      </c>
      <c r="DA28" s="46">
        <f t="shared" si="5"/>
        <v>48.516435940190988</v>
      </c>
      <c r="DB28" s="46">
        <v>5012404.26</v>
      </c>
      <c r="DC28" s="46">
        <f t="shared" si="6"/>
        <v>1.3985578655573963</v>
      </c>
      <c r="DD28" s="46">
        <v>144489.95000000001</v>
      </c>
      <c r="DE28" s="995">
        <v>16143</v>
      </c>
      <c r="DF28" s="995">
        <v>14.9</v>
      </c>
      <c r="DG28" s="995">
        <v>880.5</v>
      </c>
      <c r="DH28" s="995">
        <v>15.76</v>
      </c>
      <c r="DI28" s="995">
        <v>262.36</v>
      </c>
      <c r="DJ28" s="995">
        <v>27105366</v>
      </c>
      <c r="DK28" s="995">
        <v>5.5759999999999996</v>
      </c>
      <c r="DL28" s="995">
        <v>576054.9</v>
      </c>
      <c r="DM28" s="995">
        <v>16143</v>
      </c>
      <c r="DN28" s="995">
        <v>14.9</v>
      </c>
      <c r="DO28" s="995">
        <v>880.5</v>
      </c>
      <c r="DP28" s="995">
        <v>15.76</v>
      </c>
      <c r="DQ28" s="995">
        <v>262.36</v>
      </c>
      <c r="DR28" s="995">
        <v>27105366</v>
      </c>
      <c r="DS28" s="995">
        <v>5.5759999999999996</v>
      </c>
      <c r="DT28" s="995">
        <v>576054.9</v>
      </c>
    </row>
    <row r="29" spans="1:124">
      <c r="A29" s="753" t="s">
        <v>92</v>
      </c>
      <c r="B29" s="753" t="s">
        <v>168</v>
      </c>
      <c r="C29" s="753" t="s">
        <v>169</v>
      </c>
      <c r="D29" s="753">
        <v>701315</v>
      </c>
      <c r="E29" s="753" t="s">
        <v>186</v>
      </c>
      <c r="F29" s="753" t="s">
        <v>149</v>
      </c>
      <c r="G29" s="753" t="s">
        <v>150</v>
      </c>
      <c r="H29" s="754" t="s">
        <v>150</v>
      </c>
      <c r="I29" s="755">
        <v>22</v>
      </c>
      <c r="J29" s="756">
        <v>63927.896703999897</v>
      </c>
      <c r="K29" s="757">
        <v>26359.475089</v>
      </c>
      <c r="L29" s="758">
        <v>90287.371792999998</v>
      </c>
      <c r="M29" s="759">
        <v>4191798</v>
      </c>
      <c r="N29" s="760">
        <v>936776</v>
      </c>
      <c r="O29" s="760">
        <v>3254479</v>
      </c>
      <c r="P29" s="760">
        <v>543</v>
      </c>
      <c r="Q29" s="761">
        <v>9390.1489038031305</v>
      </c>
      <c r="R29" s="762">
        <v>6394.5727445680996</v>
      </c>
      <c r="S29" s="760">
        <v>22541.5189894945</v>
      </c>
      <c r="T29" s="760">
        <v>2275.8097446924298</v>
      </c>
      <c r="U29" s="760">
        <f>IFERROR(INDEX('Rentabilidad datos'!$N$2:$N$61,MATCH($C29,'Rentabilidad datos'!$C$2:$C$61,0)),"")</f>
        <v>31211.901478754982</v>
      </c>
      <c r="V29" s="761">
        <f>IFERROR(INDEX('Rentabilidad datos'!$O$2:$O$61,MATCH($C29,'Rentabilidad datos'!$C$2:$C$61,0)),"")</f>
        <v>1486.2810227978564</v>
      </c>
      <c r="W29" s="762">
        <f>IFERROR(INDEX('Rentabilidad datos'!$M$2:$M$61,MATCH($C29,'Rentabilidad datos'!$C$2:$C$61,0)),"")</f>
        <v>3561.414830517057</v>
      </c>
      <c r="X29" s="763">
        <f>IFERROR(INDEX('Rentabilidad datos'!$P$2:$P$61,MATCH($C29,'Rentabilidad datos'!$C$2:$C$61,0)),"")</f>
        <v>0.41732881271291655</v>
      </c>
      <c r="Y29" s="754" t="s">
        <v>171</v>
      </c>
      <c r="Z29" s="764">
        <v>97.181208053691293</v>
      </c>
      <c r="AA29" s="754">
        <v>1</v>
      </c>
      <c r="AB29" s="765">
        <v>0.98435134517455281</v>
      </c>
      <c r="AC29" s="766">
        <v>1.5648654825447219E-2</v>
      </c>
      <c r="AD29" s="767" t="e">
        <f>_xlfn.XLOOKUP(Table1[[#This Row],[Ruta]],#REF!,#REF!)</f>
        <v>#REF!</v>
      </c>
      <c r="AE29" s="767" t="e">
        <f>_xlfn.XLOOKUP(Table1[[#This Row],[Ruta]],#REF!,#REF!)</f>
        <v>#REF!</v>
      </c>
      <c r="AF29" s="767" t="e">
        <f>_xlfn.XLOOKUP(Table1[[#This Row],[Ruta]],#REF!,#REF!)</f>
        <v>#REF!</v>
      </c>
      <c r="AG29" s="767" t="e">
        <f>_xlfn.XLOOKUP(Table1[[#This Row],[Ruta]],#REF!,#REF!)</f>
        <v>#REF!</v>
      </c>
      <c r="AH29" s="763">
        <v>0.22347832600712153</v>
      </c>
      <c r="AI29" s="763">
        <v>0.77639213530804685</v>
      </c>
      <c r="AJ29" s="766">
        <v>1.2953868483166412E-4</v>
      </c>
      <c r="AK29" s="768">
        <v>43440</v>
      </c>
      <c r="AL29" s="755">
        <v>12630</v>
      </c>
      <c r="AM29" s="765">
        <v>0.29074585635359101</v>
      </c>
      <c r="AN29" s="766">
        <v>0.76950938426078397</v>
      </c>
      <c r="AO29" s="768">
        <v>20797.487652288401</v>
      </c>
      <c r="AP29" s="759">
        <v>10398.7438261442</v>
      </c>
      <c r="AQ29" s="766">
        <v>0.53012762030718696</v>
      </c>
      <c r="AR29" s="762">
        <v>4197396.5599999996</v>
      </c>
      <c r="AS29" s="760">
        <v>3455871.0660474249</v>
      </c>
      <c r="AT29" s="766">
        <v>0.82333680333683446</v>
      </c>
      <c r="AU29" s="762">
        <v>2428449.9383035968</v>
      </c>
      <c r="AV29" s="763">
        <v>1.1047248579917224E-2</v>
      </c>
      <c r="AW29" s="755">
        <v>5</v>
      </c>
      <c r="AX29" s="762">
        <v>332.33543626286598</v>
      </c>
      <c r="AY29" s="760">
        <v>436.55824316463099</v>
      </c>
      <c r="AZ29" s="760">
        <v>104.22280690176501</v>
      </c>
      <c r="BA29" s="753" t="s">
        <v>150</v>
      </c>
      <c r="BB29" s="761">
        <v>462495.74770812981</v>
      </c>
      <c r="BC29" s="769">
        <v>2890945.6860117265</v>
      </c>
      <c r="BD29" s="753" t="s">
        <v>150</v>
      </c>
      <c r="BE29" s="757">
        <v>97.181208053691293</v>
      </c>
      <c r="BF29" s="757">
        <v>48.897321428571402</v>
      </c>
      <c r="BG29" s="753" t="s">
        <v>150</v>
      </c>
      <c r="BH29" s="763">
        <v>0.29074585635359101</v>
      </c>
      <c r="BI29" s="763">
        <v>0.79215712207379996</v>
      </c>
      <c r="BJ29" s="753" t="s">
        <v>152</v>
      </c>
      <c r="BK29" s="757">
        <v>201.98517179642101</v>
      </c>
      <c r="BL29" s="757">
        <v>326.54713917579897</v>
      </c>
      <c r="BM29" s="753" t="s">
        <v>152</v>
      </c>
      <c r="BN29" s="759">
        <v>1</v>
      </c>
      <c r="BO29" s="753" t="s">
        <v>155</v>
      </c>
      <c r="BP29" s="753" t="s">
        <v>152</v>
      </c>
      <c r="BQ29" s="757">
        <v>8402.9563405939607</v>
      </c>
      <c r="BR29" s="46">
        <v>2918</v>
      </c>
      <c r="BS29" s="46">
        <v>244003</v>
      </c>
      <c r="BT29" s="46">
        <v>67766</v>
      </c>
      <c r="BU29" s="46">
        <v>3.6006699524835462</v>
      </c>
      <c r="BV29" s="46">
        <v>23.223440712816998</v>
      </c>
      <c r="BW29" s="46">
        <v>4058</v>
      </c>
      <c r="BX29" s="46">
        <v>17003</v>
      </c>
      <c r="BY29" s="46">
        <v>21061</v>
      </c>
      <c r="BZ29" s="46">
        <v>0.31079007171738038</v>
      </c>
      <c r="CA29" s="46">
        <v>5.9882536965439902E-2</v>
      </c>
      <c r="CB29" s="46">
        <v>0.2509075347519405</v>
      </c>
      <c r="CC29" s="46">
        <v>0.39651152495351655</v>
      </c>
      <c r="CD29" s="46">
        <v>6.6331198536139072E-2</v>
      </c>
      <c r="CE29" s="46">
        <v>0</v>
      </c>
      <c r="CF29" s="46">
        <v>0.22636720479296404</v>
      </c>
      <c r="CG29" s="46">
        <v>0</v>
      </c>
      <c r="CH29" s="46">
        <v>0</v>
      </c>
      <c r="CI29" s="46">
        <v>2.8606205661405806</v>
      </c>
      <c r="CJ29" s="46">
        <v>0.54917357573472458</v>
      </c>
      <c r="CK29">
        <v>556</v>
      </c>
      <c r="CL29">
        <v>1651.65</v>
      </c>
      <c r="CM29">
        <f t="shared" si="7"/>
        <v>1095.6500000000001</v>
      </c>
      <c r="CN29">
        <v>9.3000000000000007</v>
      </c>
      <c r="CO29">
        <v>9.4499999999999993</v>
      </c>
      <c r="CP29">
        <f t="shared" si="8"/>
        <v>0.14999999999999858</v>
      </c>
      <c r="CQ29">
        <v>1269.8399999999999</v>
      </c>
      <c r="CR29">
        <v>201.99</v>
      </c>
      <c r="CS29">
        <f t="shared" si="9"/>
        <v>1067.8499999999999</v>
      </c>
      <c r="CT29" t="s">
        <v>152</v>
      </c>
      <c r="CU29">
        <v>98.36</v>
      </c>
      <c r="CV29">
        <v>466</v>
      </c>
      <c r="CW29" s="46">
        <v>21060</v>
      </c>
      <c r="CX29" s="46">
        <f t="shared" si="3"/>
        <v>29.460717764070477</v>
      </c>
      <c r="CY29" s="46">
        <v>1095.6500000000001</v>
      </c>
      <c r="CZ29" s="46">
        <f t="shared" si="4"/>
        <v>31.07753150547472</v>
      </c>
      <c r="DA29" s="46">
        <f t="shared" si="5"/>
        <v>105.39475295756057</v>
      </c>
      <c r="DB29" s="46">
        <v>7257656.5899999999</v>
      </c>
      <c r="DC29" s="46">
        <f t="shared" si="6"/>
        <v>2.9512467389323378</v>
      </c>
      <c r="DD29" s="46">
        <v>203227.72</v>
      </c>
      <c r="DE29" s="995">
        <v>21060</v>
      </c>
      <c r="DF29" s="995">
        <v>29.460999999999999</v>
      </c>
      <c r="DG29" s="995">
        <v>1095.7</v>
      </c>
      <c r="DH29" s="995">
        <v>31.077999999999999</v>
      </c>
      <c r="DI29" s="995">
        <v>148.56299999999999</v>
      </c>
      <c r="DJ29" s="995">
        <v>10230287</v>
      </c>
      <c r="DK29" s="995">
        <v>4.242</v>
      </c>
      <c r="DL29" s="995">
        <v>292130.7</v>
      </c>
      <c r="DM29" s="995">
        <v>21060</v>
      </c>
      <c r="DN29" s="995">
        <v>29.460999999999999</v>
      </c>
      <c r="DO29" s="995">
        <v>1095.7</v>
      </c>
      <c r="DP29" s="995">
        <v>31.077999999999999</v>
      </c>
      <c r="DQ29" s="995">
        <v>148.56299999999999</v>
      </c>
      <c r="DR29" s="995">
        <v>10230287</v>
      </c>
      <c r="DS29" s="995">
        <v>4.242</v>
      </c>
      <c r="DT29" s="995">
        <v>292130.7</v>
      </c>
    </row>
    <row r="30" spans="1:124">
      <c r="A30" s="753" t="s">
        <v>92</v>
      </c>
      <c r="B30" s="753" t="s">
        <v>168</v>
      </c>
      <c r="C30" s="753" t="s">
        <v>169</v>
      </c>
      <c r="D30" s="753">
        <v>701316</v>
      </c>
      <c r="E30" s="753" t="s">
        <v>187</v>
      </c>
      <c r="F30" s="753" t="s">
        <v>149</v>
      </c>
      <c r="G30" s="753" t="s">
        <v>150</v>
      </c>
      <c r="H30" s="754" t="s">
        <v>150</v>
      </c>
      <c r="I30" s="755">
        <v>22</v>
      </c>
      <c r="J30" s="756">
        <v>40056.732799999998</v>
      </c>
      <c r="K30" s="757">
        <v>7424.2726309999998</v>
      </c>
      <c r="L30" s="758">
        <v>47481.005430999998</v>
      </c>
      <c r="M30" s="759">
        <v>1365956</v>
      </c>
      <c r="N30" s="760">
        <v>596133</v>
      </c>
      <c r="O30" s="760">
        <v>769702</v>
      </c>
      <c r="P30" s="760">
        <v>121</v>
      </c>
      <c r="Q30" s="761">
        <v>3830.1243661971798</v>
      </c>
      <c r="R30" s="762">
        <v>6394.5727445680996</v>
      </c>
      <c r="S30" s="760">
        <v>22541.5189894945</v>
      </c>
      <c r="T30" s="760">
        <v>2275.8097446924298</v>
      </c>
      <c r="U30" s="760">
        <f>IFERROR(INDEX('Rentabilidad datos'!$N$2:$N$61,MATCH($C30,'Rentabilidad datos'!$C$2:$C$61,0)),"")</f>
        <v>31211.901478754982</v>
      </c>
      <c r="V30" s="761">
        <f>IFERROR(INDEX('Rentabilidad datos'!$O$2:$O$61,MATCH($C30,'Rentabilidad datos'!$C$2:$C$61,0)),"")</f>
        <v>1486.2810227978564</v>
      </c>
      <c r="W30" s="762">
        <f>IFERROR(INDEX('Rentabilidad datos'!$M$2:$M$61,MATCH($C30,'Rentabilidad datos'!$C$2:$C$61,0)),"")</f>
        <v>3561.414830517057</v>
      </c>
      <c r="X30" s="763">
        <f>IFERROR(INDEX('Rentabilidad datos'!$P$2:$P$61,MATCH($C30,'Rentabilidad datos'!$C$2:$C$61,0)),"")</f>
        <v>0.41732881271291655</v>
      </c>
      <c r="Y30" s="754" t="s">
        <v>171</v>
      </c>
      <c r="Z30" s="764">
        <v>85.639593908629394</v>
      </c>
      <c r="AA30" s="754">
        <v>1</v>
      </c>
      <c r="AB30" s="765">
        <v>0.99708189722070106</v>
      </c>
      <c r="AC30" s="766">
        <v>2.9181027792988938E-3</v>
      </c>
      <c r="AD30" s="767" t="e">
        <f>_xlfn.XLOOKUP(Table1[[#This Row],[Ruta]],#REF!,#REF!)</f>
        <v>#REF!</v>
      </c>
      <c r="AE30" s="767" t="e">
        <f>_xlfn.XLOOKUP(Table1[[#This Row],[Ruta]],#REF!,#REF!)</f>
        <v>#REF!</v>
      </c>
      <c r="AF30" s="767" t="e">
        <f>_xlfn.XLOOKUP(Table1[[#This Row],[Ruta]],#REF!,#REF!)</f>
        <v>#REF!</v>
      </c>
      <c r="AG30" s="767" t="e">
        <f>_xlfn.XLOOKUP(Table1[[#This Row],[Ruta]],#REF!,#REF!)</f>
        <v>#REF!</v>
      </c>
      <c r="AH30" s="763">
        <v>0.4364218173938253</v>
      </c>
      <c r="AI30" s="763">
        <v>0.56348959995783177</v>
      </c>
      <c r="AJ30" s="766">
        <v>8.8582648342992019E-5</v>
      </c>
      <c r="AK30" s="768">
        <v>16871</v>
      </c>
      <c r="AL30" s="755">
        <v>3993</v>
      </c>
      <c r="AM30" s="765">
        <v>0.200580878430443</v>
      </c>
      <c r="AN30" s="766">
        <v>0.76950938426078397</v>
      </c>
      <c r="AO30" s="768">
        <v>9598.3928218636793</v>
      </c>
      <c r="AP30" s="759">
        <v>4799.1964109318396</v>
      </c>
      <c r="AQ30" s="766">
        <v>0.5211425766659854</v>
      </c>
      <c r="AR30" s="762">
        <v>1359694.15</v>
      </c>
      <c r="AS30" s="760">
        <v>1634219.7056461349</v>
      </c>
      <c r="AT30" s="766">
        <v>1.2019024319889404</v>
      </c>
      <c r="AU30" s="762">
        <v>1148370.6039675546</v>
      </c>
      <c r="AV30" s="763">
        <v>5.2240465507645351E-3</v>
      </c>
      <c r="AW30" s="755">
        <v>29</v>
      </c>
      <c r="AX30" s="762">
        <v>340.51944653142999</v>
      </c>
      <c r="AY30" s="760">
        <v>436.55824316463099</v>
      </c>
      <c r="AZ30" s="760">
        <v>96.038796633201002</v>
      </c>
      <c r="BA30" s="753" t="s">
        <v>150</v>
      </c>
      <c r="BB30" s="761">
        <v>134737.24039007656</v>
      </c>
      <c r="BC30" s="769">
        <v>1283107.8443576312</v>
      </c>
      <c r="BD30" s="753" t="s">
        <v>150</v>
      </c>
      <c r="BE30" s="757">
        <v>85.639593908629394</v>
      </c>
      <c r="BF30" s="757">
        <v>48.897321428571402</v>
      </c>
      <c r="BG30" s="753" t="s">
        <v>150</v>
      </c>
      <c r="BH30" s="763">
        <v>0.200580878430443</v>
      </c>
      <c r="BI30" s="763">
        <v>0.79215712207379996</v>
      </c>
      <c r="BJ30" s="753" t="s">
        <v>152</v>
      </c>
      <c r="BK30" s="757">
        <v>133.74931107323999</v>
      </c>
      <c r="BL30" s="757">
        <v>326.54713917579897</v>
      </c>
      <c r="BM30" s="753" t="s">
        <v>152</v>
      </c>
      <c r="BN30" s="759">
        <v>1</v>
      </c>
      <c r="BO30" s="753" t="s">
        <v>155</v>
      </c>
      <c r="BP30" s="753" t="s">
        <v>152</v>
      </c>
      <c r="BQ30" s="757">
        <v>4427.9530876601602</v>
      </c>
      <c r="BR30" s="46">
        <v>3007</v>
      </c>
      <c r="BS30" s="46">
        <v>270398</v>
      </c>
      <c r="BT30" s="46">
        <v>75874</v>
      </c>
      <c r="BU30" s="46">
        <v>3.5637767878324591</v>
      </c>
      <c r="BV30" s="46">
        <v>25.232457598935817</v>
      </c>
      <c r="BW30" s="46">
        <v>575</v>
      </c>
      <c r="BX30" s="46">
        <v>10466</v>
      </c>
      <c r="BY30" s="46">
        <v>11041</v>
      </c>
      <c r="BZ30" s="46">
        <v>0.14551756860057463</v>
      </c>
      <c r="CA30" s="46">
        <v>7.5783535862087147E-3</v>
      </c>
      <c r="CB30" s="46">
        <v>0.13793921501436593</v>
      </c>
      <c r="CC30" s="46">
        <v>0.24897856973403273</v>
      </c>
      <c r="CD30" s="46">
        <v>0.16055565806468625</v>
      </c>
      <c r="CE30" s="46">
        <v>5.9480190842712916E-2</v>
      </c>
      <c r="CF30" s="46">
        <v>0.38545483301262623</v>
      </c>
      <c r="CG30" s="46">
        <v>0</v>
      </c>
      <c r="CH30" s="46">
        <v>1.3179745367319504E-5</v>
      </c>
      <c r="CI30" s="46">
        <v>3.3986937773208377</v>
      </c>
      <c r="CJ30" s="46">
        <v>0.43269550810287055</v>
      </c>
      <c r="CK30">
        <v>497</v>
      </c>
      <c r="CL30">
        <v>650.52</v>
      </c>
      <c r="CM30">
        <f t="shared" si="7"/>
        <v>153.51999999999998</v>
      </c>
      <c r="CN30">
        <v>14.63</v>
      </c>
      <c r="CO30">
        <v>9.4499999999999993</v>
      </c>
      <c r="CP30">
        <f t="shared" si="8"/>
        <v>-5.1800000000000015</v>
      </c>
      <c r="CQ30">
        <v>846.56</v>
      </c>
      <c r="CR30">
        <v>133.75</v>
      </c>
      <c r="CS30">
        <f t="shared" si="9"/>
        <v>712.81</v>
      </c>
      <c r="CT30" t="s">
        <v>150</v>
      </c>
      <c r="CU30">
        <v>154.82</v>
      </c>
      <c r="CV30">
        <v>150</v>
      </c>
      <c r="CW30" s="46">
        <v>3009</v>
      </c>
      <c r="CX30" s="46">
        <f t="shared" si="3"/>
        <v>3.7634499301473494</v>
      </c>
      <c r="CY30" s="46">
        <v>153.52000000000001</v>
      </c>
      <c r="CZ30" s="46">
        <f t="shared" si="4"/>
        <v>3.9657853810264383</v>
      </c>
      <c r="DA30" s="46">
        <f t="shared" si="5"/>
        <v>22.872083029934423</v>
      </c>
      <c r="DB30" s="46">
        <v>1738907.75</v>
      </c>
      <c r="DC30" s="46">
        <f t="shared" si="6"/>
        <v>0.82730621753807043</v>
      </c>
      <c r="DD30" s="46">
        <v>62898.04</v>
      </c>
      <c r="DE30" s="995">
        <v>3009</v>
      </c>
      <c r="DF30" s="995">
        <v>3.77</v>
      </c>
      <c r="DG30" s="995">
        <v>148.30000000000001</v>
      </c>
      <c r="DH30" s="995">
        <v>3.9660000000000002</v>
      </c>
      <c r="DI30" s="995">
        <v>35.950000000000003</v>
      </c>
      <c r="DJ30" s="995">
        <v>2733014</v>
      </c>
      <c r="DK30" s="995">
        <v>1.323</v>
      </c>
      <c r="DL30" s="995">
        <v>100550.1</v>
      </c>
      <c r="DM30" s="995">
        <v>3009</v>
      </c>
      <c r="DN30" s="995">
        <v>3.778</v>
      </c>
      <c r="DO30" s="995">
        <v>142.1</v>
      </c>
      <c r="DP30" s="995">
        <v>3.9660000000000002</v>
      </c>
      <c r="DQ30" s="995">
        <v>35.694000000000003</v>
      </c>
      <c r="DR30" s="995">
        <v>2713303</v>
      </c>
      <c r="DS30" s="995">
        <v>1.3109999999999999</v>
      </c>
      <c r="DT30" s="995">
        <v>99674.5</v>
      </c>
    </row>
    <row r="31" spans="1:124">
      <c r="A31" s="753" t="s">
        <v>92</v>
      </c>
      <c r="B31" s="753" t="s">
        <v>168</v>
      </c>
      <c r="C31" s="753" t="s">
        <v>169</v>
      </c>
      <c r="D31" s="753">
        <v>701317</v>
      </c>
      <c r="E31" s="753" t="s">
        <v>188</v>
      </c>
      <c r="F31" s="753" t="s">
        <v>149</v>
      </c>
      <c r="G31" s="753" t="s">
        <v>150</v>
      </c>
      <c r="H31" s="754" t="s">
        <v>150</v>
      </c>
      <c r="I31" s="755">
        <v>22</v>
      </c>
      <c r="J31" s="756">
        <v>50669.724000000002</v>
      </c>
      <c r="K31" s="757">
        <v>30029.116787999999</v>
      </c>
      <c r="L31" s="758">
        <v>80698.840788000001</v>
      </c>
      <c r="M31" s="759">
        <v>4476256</v>
      </c>
      <c r="N31" s="760">
        <v>740668</v>
      </c>
      <c r="O31" s="760">
        <v>3735251</v>
      </c>
      <c r="P31" s="760">
        <v>337</v>
      </c>
      <c r="Q31" s="761">
        <v>10119.526004514701</v>
      </c>
      <c r="R31" s="762">
        <v>6394.5727445680996</v>
      </c>
      <c r="S31" s="760">
        <v>22541.5189894945</v>
      </c>
      <c r="T31" s="760">
        <v>2275.8097446924298</v>
      </c>
      <c r="U31" s="760">
        <f>IFERROR(INDEX('Rentabilidad datos'!$N$2:$N$61,MATCH($C31,'Rentabilidad datos'!$C$2:$C$61,0)),"")</f>
        <v>31211.901478754982</v>
      </c>
      <c r="V31" s="761">
        <f>IFERROR(INDEX('Rentabilidad datos'!$O$2:$O$61,MATCH($C31,'Rentabilidad datos'!$C$2:$C$61,0)),"")</f>
        <v>1486.2810227978564</v>
      </c>
      <c r="W31" s="762">
        <f>IFERROR(INDEX('Rentabilidad datos'!$M$2:$M$61,MATCH($C31,'Rentabilidad datos'!$C$2:$C$61,0)),"")</f>
        <v>3561.414830517057</v>
      </c>
      <c r="X31" s="763">
        <f>IFERROR(INDEX('Rentabilidad datos'!$P$2:$P$61,MATCH($C31,'Rentabilidad datos'!$C$2:$C$61,0)),"")</f>
        <v>0.41732881271291655</v>
      </c>
      <c r="Y31" s="754" t="s">
        <v>171</v>
      </c>
      <c r="Z31" s="764">
        <v>73.654627539503394</v>
      </c>
      <c r="AA31" s="754">
        <v>1</v>
      </c>
      <c r="AB31" s="765">
        <v>0.99291774197007499</v>
      </c>
      <c r="AC31" s="766">
        <v>7.0822580299250088E-3</v>
      </c>
      <c r="AD31" s="767" t="e">
        <f>_xlfn.XLOOKUP(Table1[[#This Row],[Ruta]],#REF!,#REF!)</f>
        <v>#REF!</v>
      </c>
      <c r="AE31" s="767" t="e">
        <f>_xlfn.XLOOKUP(Table1[[#This Row],[Ruta]],#REF!,#REF!)</f>
        <v>#REF!</v>
      </c>
      <c r="AF31" s="767" t="e">
        <f>_xlfn.XLOOKUP(Table1[[#This Row],[Ruta]],#REF!,#REF!)</f>
        <v>#REF!</v>
      </c>
      <c r="AG31" s="767" t="e">
        <f>_xlfn.XLOOKUP(Table1[[#This Row],[Ruta]],#REF!,#REF!)</f>
        <v>#REF!</v>
      </c>
      <c r="AH31" s="763">
        <v>0.16546596083870091</v>
      </c>
      <c r="AI31" s="763">
        <v>0.83445875302931738</v>
      </c>
      <c r="AJ31" s="766">
        <v>7.5286131981727587E-5</v>
      </c>
      <c r="AK31" s="768">
        <v>32629</v>
      </c>
      <c r="AL31" s="755">
        <v>6044</v>
      </c>
      <c r="AM31" s="765">
        <v>0.18523399429954901</v>
      </c>
      <c r="AN31" s="766">
        <v>0.76950938426078397</v>
      </c>
      <c r="AO31" s="768">
        <v>19064.3216990451</v>
      </c>
      <c r="AP31" s="759">
        <v>9532.1608495225501</v>
      </c>
      <c r="AQ31" s="766">
        <v>0.47737168928016643</v>
      </c>
      <c r="AR31" s="762">
        <v>4482950.0199999996</v>
      </c>
      <c r="AS31" s="760">
        <v>7070185.4187641004</v>
      </c>
      <c r="AT31" s="766">
        <v>1.5771278705364868</v>
      </c>
      <c r="AU31" s="762">
        <v>4968238.4023747751</v>
      </c>
      <c r="AV31" s="763">
        <v>2.2600986649807302E-2</v>
      </c>
      <c r="AW31" s="755">
        <v>2</v>
      </c>
      <c r="AX31" s="762">
        <v>741.71906353408303</v>
      </c>
      <c r="AY31" s="760">
        <v>436.55824316463099</v>
      </c>
      <c r="AZ31" s="760">
        <v>0</v>
      </c>
      <c r="BA31" s="753" t="s">
        <v>152</v>
      </c>
      <c r="BB31" s="761">
        <v>0</v>
      </c>
      <c r="BC31" s="769">
        <v>4968238.4023747751</v>
      </c>
      <c r="BD31" s="753" t="s">
        <v>150</v>
      </c>
      <c r="BE31" s="757">
        <v>73.654627539503394</v>
      </c>
      <c r="BF31" s="757">
        <v>48.897321428571402</v>
      </c>
      <c r="BG31" s="753" t="s">
        <v>150</v>
      </c>
      <c r="BH31" s="763">
        <v>0.18523399429955001</v>
      </c>
      <c r="BI31" s="763">
        <v>0.79215712207379996</v>
      </c>
      <c r="BJ31" s="753" t="s">
        <v>152</v>
      </c>
      <c r="BK31" s="757">
        <v>182.16442615801401</v>
      </c>
      <c r="BL31" s="757">
        <v>326.54713917579897</v>
      </c>
      <c r="BM31" s="753" t="s">
        <v>152</v>
      </c>
      <c r="BN31" s="759">
        <v>1</v>
      </c>
      <c r="BO31" s="753" t="s">
        <v>155</v>
      </c>
      <c r="BP31" s="753" t="s">
        <v>152</v>
      </c>
      <c r="BQ31" s="757">
        <v>13954.1202041787</v>
      </c>
      <c r="BR31" s="46">
        <v>8714</v>
      </c>
      <c r="BS31" s="46">
        <v>638513</v>
      </c>
      <c r="BT31" s="46">
        <v>184503</v>
      </c>
      <c r="BU31" s="46">
        <v>3.4607187959003376</v>
      </c>
      <c r="BV31" s="46">
        <v>21.173169612118429</v>
      </c>
      <c r="BW31" s="46">
        <v>460</v>
      </c>
      <c r="BX31" s="46">
        <v>8350</v>
      </c>
      <c r="BY31" s="46">
        <v>8810</v>
      </c>
      <c r="BZ31" s="46">
        <v>4.7749901085619204E-2</v>
      </c>
      <c r="CA31" s="46">
        <v>2.4931843926657015E-3</v>
      </c>
      <c r="CB31" s="46">
        <v>4.5256716692953503E-2</v>
      </c>
      <c r="CC31" s="46">
        <v>0.1514663718205124</v>
      </c>
      <c r="CD31" s="46">
        <v>0.19856587697761013</v>
      </c>
      <c r="CE31" s="46">
        <v>2.2015902180452351E-2</v>
      </c>
      <c r="CF31" s="46">
        <v>0.58007186875010164</v>
      </c>
      <c r="CG31" s="46">
        <v>1.2465921963328511E-4</v>
      </c>
      <c r="CH31" s="46">
        <v>5.4199660710123955E-6</v>
      </c>
      <c r="CI31" s="46">
        <v>4.3507336577328886</v>
      </c>
      <c r="CJ31" s="46">
        <v>0.40093153937351317</v>
      </c>
      <c r="CK31">
        <v>524</v>
      </c>
      <c r="CL31">
        <v>905.22</v>
      </c>
      <c r="CM31">
        <f t="shared" si="7"/>
        <v>381.22</v>
      </c>
      <c r="CN31">
        <v>13.56</v>
      </c>
      <c r="CO31">
        <v>9.4499999999999993</v>
      </c>
      <c r="CP31">
        <f t="shared" si="8"/>
        <v>-4.1100000000000012</v>
      </c>
      <c r="CQ31">
        <v>1269.8399999999999</v>
      </c>
      <c r="CR31">
        <v>182.16</v>
      </c>
      <c r="CS31">
        <f t="shared" si="9"/>
        <v>1087.6799999999998</v>
      </c>
      <c r="CT31" t="s">
        <v>150</v>
      </c>
      <c r="CU31">
        <v>143.5</v>
      </c>
      <c r="CV31">
        <v>131</v>
      </c>
      <c r="CW31" s="46">
        <v>7287</v>
      </c>
      <c r="CX31" s="46">
        <f t="shared" si="3"/>
        <v>3.7429093293875977</v>
      </c>
      <c r="CY31" s="46">
        <v>381.22</v>
      </c>
      <c r="CZ31" s="46">
        <f t="shared" si="4"/>
        <v>3.9495292759467322</v>
      </c>
      <c r="DA31" s="46">
        <f t="shared" si="5"/>
        <v>13.180684538680479</v>
      </c>
      <c r="DB31" s="46">
        <v>2436900.58</v>
      </c>
      <c r="DC31" s="46">
        <f t="shared" si="6"/>
        <v>0.49638622484925971</v>
      </c>
      <c r="DD31" s="46">
        <v>91773.98</v>
      </c>
      <c r="DE31" s="995">
        <v>7287</v>
      </c>
      <c r="DF31" s="995">
        <v>3.7610000000000001</v>
      </c>
      <c r="DG31" s="995">
        <v>348</v>
      </c>
      <c r="DH31" s="995">
        <v>3.95</v>
      </c>
      <c r="DI31" s="995">
        <v>22.155000000000001</v>
      </c>
      <c r="DJ31" s="995">
        <v>4095392</v>
      </c>
      <c r="DK31" s="995">
        <v>0.75600000000000001</v>
      </c>
      <c r="DL31" s="995">
        <v>139797.20000000001</v>
      </c>
      <c r="DM31" s="995">
        <v>7287</v>
      </c>
      <c r="DN31" s="995">
        <v>3.7639999999999998</v>
      </c>
      <c r="DO31" s="995">
        <v>343.1</v>
      </c>
      <c r="DP31" s="995">
        <v>3.95</v>
      </c>
      <c r="DQ31" s="995">
        <v>22.036000000000001</v>
      </c>
      <c r="DR31" s="995">
        <v>4073353</v>
      </c>
      <c r="DS31" s="995">
        <v>0.754</v>
      </c>
      <c r="DT31" s="995">
        <v>139344.4</v>
      </c>
    </row>
    <row r="32" spans="1:124">
      <c r="A32" s="753" t="s">
        <v>92</v>
      </c>
      <c r="B32" s="753" t="s">
        <v>168</v>
      </c>
      <c r="C32" s="753" t="s">
        <v>169</v>
      </c>
      <c r="D32" s="753">
        <v>701318</v>
      </c>
      <c r="E32" s="753" t="s">
        <v>189</v>
      </c>
      <c r="F32" s="753" t="s">
        <v>149</v>
      </c>
      <c r="G32" s="753" t="s">
        <v>150</v>
      </c>
      <c r="H32" s="754" t="s">
        <v>150</v>
      </c>
      <c r="I32" s="755">
        <v>22</v>
      </c>
      <c r="J32" s="756">
        <v>55981.503199999897</v>
      </c>
      <c r="K32" s="757">
        <v>18786.253140000001</v>
      </c>
      <c r="L32" s="758">
        <v>74767.756340000007</v>
      </c>
      <c r="M32" s="759">
        <v>3483945</v>
      </c>
      <c r="N32" s="760">
        <v>828474</v>
      </c>
      <c r="O32" s="760">
        <v>2655471</v>
      </c>
      <c r="P32" s="760">
        <v>0</v>
      </c>
      <c r="Q32" s="761">
        <v>8272.8653900709196</v>
      </c>
      <c r="R32" s="762">
        <v>6394.5727445680996</v>
      </c>
      <c r="S32" s="760">
        <v>22541.5189894945</v>
      </c>
      <c r="T32" s="760">
        <v>2275.8097446924298</v>
      </c>
      <c r="U32" s="760">
        <f>IFERROR(INDEX('Rentabilidad datos'!$N$2:$N$61,MATCH($C32,'Rentabilidad datos'!$C$2:$C$61,0)),"")</f>
        <v>31211.901478754982</v>
      </c>
      <c r="V32" s="761">
        <f>IFERROR(INDEX('Rentabilidad datos'!$O$2:$O$61,MATCH($C32,'Rentabilidad datos'!$C$2:$C$61,0)),"")</f>
        <v>1486.2810227978564</v>
      </c>
      <c r="W32" s="762">
        <f>IFERROR(INDEX('Rentabilidad datos'!$M$2:$M$61,MATCH($C32,'Rentabilidad datos'!$C$2:$C$61,0)),"")</f>
        <v>3561.414830517057</v>
      </c>
      <c r="X32" s="763">
        <f>IFERROR(INDEX('Rentabilidad datos'!$P$2:$P$61,MATCH($C32,'Rentabilidad datos'!$C$2:$C$61,0)),"")</f>
        <v>0.41732881271291655</v>
      </c>
      <c r="Y32" s="754" t="s">
        <v>171</v>
      </c>
      <c r="Z32" s="764">
        <v>63.612318840579697</v>
      </c>
      <c r="AA32" s="754">
        <v>1</v>
      </c>
      <c r="AB32" s="765">
        <v>0.9917131297996955</v>
      </c>
      <c r="AC32" s="766">
        <v>8.2868702003045403E-3</v>
      </c>
      <c r="AD32" s="767" t="e">
        <f>_xlfn.XLOOKUP(Table1[[#This Row],[Ruta]],#REF!,#REF!)</f>
        <v>#REF!</v>
      </c>
      <c r="AE32" s="767" t="e">
        <f>_xlfn.XLOOKUP(Table1[[#This Row],[Ruta]],#REF!,#REF!)</f>
        <v>#REF!</v>
      </c>
      <c r="AF32" s="767" t="e">
        <f>_xlfn.XLOOKUP(Table1[[#This Row],[Ruta]],#REF!,#REF!)</f>
        <v>#REF!</v>
      </c>
      <c r="AG32" s="767" t="e">
        <f>_xlfn.XLOOKUP(Table1[[#This Row],[Ruta]],#REF!,#REF!)</f>
        <v>#REF!</v>
      </c>
      <c r="AH32" s="763">
        <v>0.2377976690217555</v>
      </c>
      <c r="AI32" s="763">
        <v>0.76220233097824452</v>
      </c>
      <c r="AJ32" s="766">
        <v>0</v>
      </c>
      <c r="AK32" s="768">
        <v>17557</v>
      </c>
      <c r="AL32" s="755">
        <v>14043</v>
      </c>
      <c r="AM32" s="765">
        <v>0.51882440052400802</v>
      </c>
      <c r="AN32" s="766">
        <v>0.76950938426078397</v>
      </c>
      <c r="AO32" s="768">
        <v>4401.2762594665801</v>
      </c>
      <c r="AP32" s="759">
        <v>2200.63812973329</v>
      </c>
      <c r="AQ32" s="766">
        <v>0.92519440278710996</v>
      </c>
      <c r="AR32" s="762">
        <v>3499422.06</v>
      </c>
      <c r="AS32" s="760">
        <v>548384.36354524002</v>
      </c>
      <c r="AT32" s="766">
        <v>0.15670712310284746</v>
      </c>
      <c r="AU32" s="762">
        <v>385351.1743831418</v>
      </c>
      <c r="AV32" s="763">
        <v>1.7529989590592059E-3</v>
      </c>
      <c r="AW32" s="755">
        <v>196</v>
      </c>
      <c r="AX32" s="762">
        <v>249.19333903012199</v>
      </c>
      <c r="AY32" s="760">
        <v>436.55824316463099</v>
      </c>
      <c r="AZ32" s="760">
        <v>187.364904134509</v>
      </c>
      <c r="BA32" s="753" t="s">
        <v>150</v>
      </c>
      <c r="BB32" s="761">
        <v>924463.50091599568</v>
      </c>
      <c r="BC32" s="769">
        <v>1309814.6752991374</v>
      </c>
      <c r="BD32" s="753" t="s">
        <v>150</v>
      </c>
      <c r="BE32" s="757">
        <v>63.612318840579697</v>
      </c>
      <c r="BF32" s="757">
        <v>48.897321428571402</v>
      </c>
      <c r="BG32" s="753" t="s">
        <v>150</v>
      </c>
      <c r="BH32" s="763">
        <v>0.51882440052400802</v>
      </c>
      <c r="BI32" s="763">
        <v>0.79215712207379996</v>
      </c>
      <c r="BJ32" s="753" t="s">
        <v>152</v>
      </c>
      <c r="BK32" s="757">
        <v>176.75592515366401</v>
      </c>
      <c r="BL32" s="757">
        <v>326.54713917579897</v>
      </c>
      <c r="BM32" s="753" t="s">
        <v>152</v>
      </c>
      <c r="BN32" s="759">
        <v>1</v>
      </c>
      <c r="BO32" s="753" t="s">
        <v>155</v>
      </c>
      <c r="BP32" s="753" t="s">
        <v>152</v>
      </c>
      <c r="BQ32" s="757">
        <v>385.63453518247701</v>
      </c>
      <c r="BR32" s="46">
        <v>226</v>
      </c>
      <c r="BS32" s="46">
        <v>13303</v>
      </c>
      <c r="BT32" s="46">
        <v>4426</v>
      </c>
      <c r="BU32" s="46">
        <v>3.0056484410302757</v>
      </c>
      <c r="BV32" s="46">
        <v>19.584070796460178</v>
      </c>
      <c r="BW32" s="46">
        <v>1557</v>
      </c>
      <c r="BX32" s="46">
        <v>1721</v>
      </c>
      <c r="BY32" s="46">
        <v>3278</v>
      </c>
      <c r="BZ32" s="46">
        <v>0.74062358788974247</v>
      </c>
      <c r="CA32" s="46">
        <v>0.35178490736556711</v>
      </c>
      <c r="CB32" s="46">
        <v>0.38883868052417531</v>
      </c>
      <c r="CC32" s="46">
        <v>0.13330320831450521</v>
      </c>
      <c r="CD32" s="46">
        <v>0</v>
      </c>
      <c r="CE32" s="46">
        <v>0</v>
      </c>
      <c r="CF32" s="46">
        <v>0.1260732037957524</v>
      </c>
      <c r="CG32" s="46">
        <v>0</v>
      </c>
      <c r="CH32" s="46">
        <v>0</v>
      </c>
      <c r="CI32" s="46">
        <v>1.3530782530256331</v>
      </c>
      <c r="CJ32" s="46">
        <v>0.67653912651281656</v>
      </c>
      <c r="CK32">
        <v>241</v>
      </c>
      <c r="CL32">
        <v>706.15</v>
      </c>
      <c r="CM32">
        <f t="shared" si="7"/>
        <v>465.15</v>
      </c>
      <c r="CN32">
        <v>3.21</v>
      </c>
      <c r="CO32">
        <v>9.4499999999999993</v>
      </c>
      <c r="CP32">
        <f t="shared" si="8"/>
        <v>6.2399999999999993</v>
      </c>
      <c r="CQ32">
        <v>634.91999999999996</v>
      </c>
      <c r="CR32">
        <v>176.76</v>
      </c>
      <c r="CS32">
        <f t="shared" si="9"/>
        <v>458.15999999999997</v>
      </c>
      <c r="CT32" t="s">
        <v>152</v>
      </c>
      <c r="CU32">
        <v>34.78</v>
      </c>
      <c r="CV32">
        <v>258</v>
      </c>
      <c r="CW32" s="46">
        <v>1557</v>
      </c>
      <c r="CX32" s="46">
        <f t="shared" si="3"/>
        <v>24.669001355625845</v>
      </c>
      <c r="CY32" s="46">
        <v>465.15</v>
      </c>
      <c r="CZ32" s="46">
        <f t="shared" si="4"/>
        <v>35.178490736556711</v>
      </c>
      <c r="DA32" s="46">
        <f t="shared" si="5"/>
        <v>991.35933062776667</v>
      </c>
      <c r="DB32" s="46">
        <v>4848887.1900000004</v>
      </c>
      <c r="DC32" s="46">
        <f t="shared" si="6"/>
        <v>20.865583758420822</v>
      </c>
      <c r="DD32" s="46">
        <v>102056.7</v>
      </c>
      <c r="DE32" s="995">
        <v>1557</v>
      </c>
      <c r="DF32" s="995">
        <v>27.774999999999999</v>
      </c>
      <c r="DG32" s="995">
        <v>327.7</v>
      </c>
      <c r="DH32" s="995">
        <v>35.177999999999997</v>
      </c>
      <c r="DI32" s="995">
        <v>1280.125</v>
      </c>
      <c r="DJ32" s="995">
        <v>6085296</v>
      </c>
      <c r="DK32" s="995">
        <v>26.873999999999999</v>
      </c>
      <c r="DL32" s="995">
        <v>127750.8</v>
      </c>
      <c r="DM32" s="995">
        <v>1557</v>
      </c>
      <c r="DN32" s="995">
        <v>29.062999999999999</v>
      </c>
      <c r="DO32" s="995">
        <v>270.7</v>
      </c>
      <c r="DP32" s="995">
        <v>35.177999999999997</v>
      </c>
      <c r="DQ32" s="995">
        <v>1180.098</v>
      </c>
      <c r="DR32" s="995">
        <v>5542537</v>
      </c>
      <c r="DS32" s="995">
        <v>24.771000000000001</v>
      </c>
      <c r="DT32" s="995">
        <v>116339</v>
      </c>
    </row>
    <row r="33" spans="1:124">
      <c r="A33" s="753" t="s">
        <v>92</v>
      </c>
      <c r="B33" s="753" t="s">
        <v>168</v>
      </c>
      <c r="C33" s="753" t="s">
        <v>169</v>
      </c>
      <c r="D33" s="753">
        <v>701319</v>
      </c>
      <c r="E33" s="753" t="s">
        <v>190</v>
      </c>
      <c r="F33" s="753" t="s">
        <v>149</v>
      </c>
      <c r="G33" s="753" t="s">
        <v>150</v>
      </c>
      <c r="H33" s="754" t="s">
        <v>150</v>
      </c>
      <c r="I33" s="755">
        <v>22</v>
      </c>
      <c r="J33" s="756">
        <v>86929.309599999993</v>
      </c>
      <c r="K33" s="757">
        <v>18369.995333999999</v>
      </c>
      <c r="L33" s="758">
        <v>105299.304934</v>
      </c>
      <c r="M33" s="759">
        <v>3945196</v>
      </c>
      <c r="N33" s="760">
        <v>1308316</v>
      </c>
      <c r="O33" s="760">
        <v>2636880</v>
      </c>
      <c r="P33" s="760">
        <v>0</v>
      </c>
      <c r="Q33" s="761">
        <v>9840.2676059850401</v>
      </c>
      <c r="R33" s="762">
        <v>6394.5727445680996</v>
      </c>
      <c r="S33" s="760">
        <v>22541.5189894945</v>
      </c>
      <c r="T33" s="760">
        <v>2275.8097446924298</v>
      </c>
      <c r="U33" s="760">
        <f>IFERROR(INDEX('Rentabilidad datos'!$N$2:$N$61,MATCH($C33,'Rentabilidad datos'!$C$2:$C$61,0)),"")</f>
        <v>31211.901478754982</v>
      </c>
      <c r="V33" s="761">
        <f>IFERROR(INDEX('Rentabilidad datos'!$O$2:$O$61,MATCH($C33,'Rentabilidad datos'!$C$2:$C$61,0)),"")</f>
        <v>1486.2810227978564</v>
      </c>
      <c r="W33" s="762">
        <f>IFERROR(INDEX('Rentabilidad datos'!$M$2:$M$61,MATCH($C33,'Rentabilidad datos'!$C$2:$C$61,0)),"")</f>
        <v>3561.414830517057</v>
      </c>
      <c r="X33" s="763">
        <f>IFERROR(INDEX('Rentabilidad datos'!$P$2:$P$61,MATCH($C33,'Rentabilidad datos'!$C$2:$C$61,0)),"")</f>
        <v>0.41732881271291655</v>
      </c>
      <c r="Y33" s="754" t="s">
        <v>171</v>
      </c>
      <c r="Z33" s="764">
        <v>29.2730158730159</v>
      </c>
      <c r="AA33" s="754">
        <v>1</v>
      </c>
      <c r="AB33" s="765">
        <v>0.99796993609442974</v>
      </c>
      <c r="AC33" s="766">
        <v>2.0300639055702177E-3</v>
      </c>
      <c r="AD33" s="767" t="e">
        <f>_xlfn.XLOOKUP(Table1[[#This Row],[Ruta]],#REF!,#REF!)</f>
        <v>#REF!</v>
      </c>
      <c r="AE33" s="767" t="e">
        <f>_xlfn.XLOOKUP(Table1[[#This Row],[Ruta]],#REF!,#REF!)</f>
        <v>#REF!</v>
      </c>
      <c r="AF33" s="767" t="e">
        <f>_xlfn.XLOOKUP(Table1[[#This Row],[Ruta]],#REF!,#REF!)</f>
        <v>#REF!</v>
      </c>
      <c r="AG33" s="767" t="e">
        <f>_xlfn.XLOOKUP(Table1[[#This Row],[Ruta]],#REF!,#REF!)</f>
        <v>#REF!</v>
      </c>
      <c r="AH33" s="763">
        <v>0.33162256070420837</v>
      </c>
      <c r="AI33" s="763">
        <v>0.66837743929579163</v>
      </c>
      <c r="AJ33" s="766">
        <v>0</v>
      </c>
      <c r="AK33" s="768">
        <v>9221</v>
      </c>
      <c r="AL33" s="755">
        <v>13487</v>
      </c>
      <c r="AM33" s="765">
        <v>1.05660991215703</v>
      </c>
      <c r="AN33" s="766">
        <v>0.76950938426078397</v>
      </c>
      <c r="AO33" s="768">
        <v>0</v>
      </c>
      <c r="AP33" s="759">
        <v>0</v>
      </c>
      <c r="AQ33" s="766">
        <v>1.46263962693851</v>
      </c>
      <c r="AR33" s="762">
        <v>3945947.31</v>
      </c>
      <c r="AS33" s="760">
        <v>0</v>
      </c>
      <c r="AT33" s="766">
        <v>0</v>
      </c>
      <c r="AU33" s="762">
        <v>0</v>
      </c>
      <c r="AV33" s="763">
        <v>0</v>
      </c>
      <c r="AW33" s="755">
        <v>490</v>
      </c>
      <c r="AX33" s="762">
        <v>292.57413138577903</v>
      </c>
      <c r="AY33" s="760">
        <v>436.55824316463099</v>
      </c>
      <c r="AZ33" s="760">
        <v>143.98411177885197</v>
      </c>
      <c r="BA33" s="753" t="s">
        <v>150</v>
      </c>
      <c r="BB33" s="761">
        <v>682294.00817021355</v>
      </c>
      <c r="BC33" s="769">
        <v>682294.00817021355</v>
      </c>
      <c r="BD33" s="753" t="s">
        <v>150</v>
      </c>
      <c r="BE33" s="757">
        <v>29.2730158730159</v>
      </c>
      <c r="BF33" s="757">
        <v>48.897321428571402</v>
      </c>
      <c r="BG33" s="753" t="s">
        <v>152</v>
      </c>
      <c r="BH33" s="763">
        <v>1.05660991215703</v>
      </c>
      <c r="BI33" s="763">
        <v>0.79215712207379996</v>
      </c>
      <c r="BJ33" s="753" t="s">
        <v>150</v>
      </c>
      <c r="BK33" s="757">
        <v>262.591782877806</v>
      </c>
      <c r="BL33" s="757">
        <v>326.54713917579897</v>
      </c>
      <c r="BM33" s="753" t="s">
        <v>152</v>
      </c>
      <c r="BN33" s="759">
        <v>1</v>
      </c>
      <c r="BO33" s="753" t="s">
        <v>155</v>
      </c>
      <c r="BP33" s="753" t="s">
        <v>152</v>
      </c>
      <c r="BQ33" s="757">
        <v>1369.2314529384701</v>
      </c>
      <c r="BR33" s="46">
        <v>164</v>
      </c>
      <c r="BS33" s="46">
        <v>10493</v>
      </c>
      <c r="BT33" s="46">
        <v>3045</v>
      </c>
      <c r="BU33" s="46">
        <v>3.4459770114942527</v>
      </c>
      <c r="BV33" s="46">
        <v>18.567073170731707</v>
      </c>
      <c r="BW33" s="46">
        <v>3044</v>
      </c>
      <c r="BX33" s="46">
        <v>0</v>
      </c>
      <c r="BY33" s="46">
        <v>3044</v>
      </c>
      <c r="BZ33" s="46">
        <v>0.99967159277504103</v>
      </c>
      <c r="CA33" s="46">
        <v>0.99967159277504103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3.2840722495894911E-4</v>
      </c>
      <c r="CI33" s="46">
        <v>9.5301629657867148E-2</v>
      </c>
      <c r="CJ33" s="46">
        <v>0.85771466692080434</v>
      </c>
      <c r="CK33">
        <v>250</v>
      </c>
      <c r="CL33">
        <v>509.62</v>
      </c>
      <c r="CM33">
        <f t="shared" si="7"/>
        <v>259.62</v>
      </c>
      <c r="CN33">
        <v>5.28</v>
      </c>
      <c r="CO33">
        <v>9.4499999999999993</v>
      </c>
      <c r="CP33">
        <f t="shared" si="8"/>
        <v>4.169999999999999</v>
      </c>
      <c r="CQ33">
        <v>634.91999999999996</v>
      </c>
      <c r="CR33">
        <v>262.58999999999997</v>
      </c>
      <c r="CS33">
        <f t="shared" si="9"/>
        <v>372.33</v>
      </c>
      <c r="CT33" t="s">
        <v>152</v>
      </c>
      <c r="CU33">
        <v>58.32</v>
      </c>
      <c r="CV33">
        <v>275</v>
      </c>
      <c r="CW33" s="46">
        <v>2939</v>
      </c>
      <c r="CX33" s="46">
        <f t="shared" si="3"/>
        <v>87.992775041050905</v>
      </c>
      <c r="CY33" s="46">
        <v>259.62</v>
      </c>
      <c r="CZ33" s="46">
        <f t="shared" si="4"/>
        <v>96.518883415435141</v>
      </c>
      <c r="DA33" s="46">
        <f t="shared" si="5"/>
        <v>630.33865921043878</v>
      </c>
      <c r="DB33" s="46">
        <v>2083029.74</v>
      </c>
      <c r="DC33" s="46">
        <f t="shared" si="6"/>
        <v>16.955792193958761</v>
      </c>
      <c r="DD33" s="46">
        <v>56032.45</v>
      </c>
      <c r="DE33" s="995">
        <v>3044</v>
      </c>
      <c r="DF33" s="995">
        <v>90.483000000000004</v>
      </c>
      <c r="DG33" s="995">
        <v>288.8</v>
      </c>
      <c r="DH33" s="995">
        <v>99.966999999999999</v>
      </c>
      <c r="DI33" s="995">
        <v>1658.2739999999999</v>
      </c>
      <c r="DJ33" s="995">
        <v>5528360</v>
      </c>
      <c r="DK33" s="995">
        <v>43.247</v>
      </c>
      <c r="DL33" s="995">
        <v>144177</v>
      </c>
      <c r="DM33" s="995">
        <v>3044</v>
      </c>
      <c r="DN33" s="995">
        <v>91.287999999999997</v>
      </c>
      <c r="DO33" s="995">
        <v>264.3</v>
      </c>
      <c r="DP33" s="995">
        <v>99.966999999999999</v>
      </c>
      <c r="DQ33" s="995">
        <v>1607.4939999999999</v>
      </c>
      <c r="DR33" s="995">
        <v>5319661</v>
      </c>
      <c r="DS33" s="995">
        <v>41.963000000000001</v>
      </c>
      <c r="DT33" s="995">
        <v>138868.20000000001</v>
      </c>
    </row>
    <row r="34" spans="1:124">
      <c r="A34" s="753" t="s">
        <v>92</v>
      </c>
      <c r="B34" s="753" t="s">
        <v>168</v>
      </c>
      <c r="C34" s="753" t="s">
        <v>169</v>
      </c>
      <c r="D34" s="753">
        <v>701320</v>
      </c>
      <c r="E34" s="753" t="s">
        <v>191</v>
      </c>
      <c r="F34" s="753" t="s">
        <v>149</v>
      </c>
      <c r="G34" s="753" t="s">
        <v>150</v>
      </c>
      <c r="H34" s="754" t="s">
        <v>150</v>
      </c>
      <c r="I34" s="755">
        <v>22</v>
      </c>
      <c r="J34" s="756">
        <v>60331.667200000004</v>
      </c>
      <c r="K34" s="757">
        <v>16939.755615999999</v>
      </c>
      <c r="L34" s="758">
        <v>77271.422816000006</v>
      </c>
      <c r="M34" s="759">
        <v>3147169</v>
      </c>
      <c r="N34" s="760">
        <v>904594</v>
      </c>
      <c r="O34" s="760">
        <v>2242575</v>
      </c>
      <c r="P34" s="760">
        <v>0</v>
      </c>
      <c r="Q34" s="761">
        <v>8482.9392991913792</v>
      </c>
      <c r="R34" s="762">
        <v>6394.5727445680996</v>
      </c>
      <c r="S34" s="760">
        <v>22541.5189894945</v>
      </c>
      <c r="T34" s="760">
        <v>2275.8097446924298</v>
      </c>
      <c r="U34" s="760">
        <f>IFERROR(INDEX('Rentabilidad datos'!$N$2:$N$61,MATCH($C34,'Rentabilidad datos'!$C$2:$C$61,0)),"")</f>
        <v>31211.901478754982</v>
      </c>
      <c r="V34" s="761">
        <f>IFERROR(INDEX('Rentabilidad datos'!$O$2:$O$61,MATCH($C34,'Rentabilidad datos'!$C$2:$C$61,0)),"")</f>
        <v>1486.2810227978564</v>
      </c>
      <c r="W34" s="762">
        <f>IFERROR(INDEX('Rentabilidad datos'!$M$2:$M$61,MATCH($C34,'Rentabilidad datos'!$C$2:$C$61,0)),"")</f>
        <v>3561.414830517057</v>
      </c>
      <c r="X34" s="763">
        <f>IFERROR(INDEX('Rentabilidad datos'!$P$2:$P$61,MATCH($C34,'Rentabilidad datos'!$C$2:$C$61,0)),"")</f>
        <v>0.41732881271291655</v>
      </c>
      <c r="Y34" s="754" t="s">
        <v>171</v>
      </c>
      <c r="Z34" s="764">
        <v>37.962499999999999</v>
      </c>
      <c r="AA34" s="754">
        <v>1</v>
      </c>
      <c r="AB34" s="765">
        <v>0.99818789521630391</v>
      </c>
      <c r="AC34" s="766">
        <v>1.8121047836960774E-3</v>
      </c>
      <c r="AD34" s="767" t="e">
        <f>_xlfn.XLOOKUP(Table1[[#This Row],[Ruta]],#REF!,#REF!)</f>
        <v>#REF!</v>
      </c>
      <c r="AE34" s="767" t="e">
        <f>_xlfn.XLOOKUP(Table1[[#This Row],[Ruta]],#REF!,#REF!)</f>
        <v>#REF!</v>
      </c>
      <c r="AF34" s="767" t="e">
        <f>_xlfn.XLOOKUP(Table1[[#This Row],[Ruta]],#REF!,#REF!)</f>
        <v>#REF!</v>
      </c>
      <c r="AG34" s="767" t="e">
        <f>_xlfn.XLOOKUP(Table1[[#This Row],[Ruta]],#REF!,#REF!)</f>
        <v>#REF!</v>
      </c>
      <c r="AH34" s="763">
        <v>0.28743102134013138</v>
      </c>
      <c r="AI34" s="763">
        <v>0.71256897865986857</v>
      </c>
      <c r="AJ34" s="766">
        <v>0</v>
      </c>
      <c r="AK34" s="768">
        <v>6074</v>
      </c>
      <c r="AL34" s="755">
        <v>11919</v>
      </c>
      <c r="AM34" s="765">
        <v>0.76950938426078397</v>
      </c>
      <c r="AN34" s="766">
        <v>0.76950938426078397</v>
      </c>
      <c r="AO34" s="768">
        <v>0</v>
      </c>
      <c r="AP34" s="759">
        <v>0</v>
      </c>
      <c r="AQ34" s="766">
        <v>1.9622983207112281</v>
      </c>
      <c r="AR34" s="762">
        <v>3147170.48</v>
      </c>
      <c r="AS34" s="760">
        <v>0</v>
      </c>
      <c r="AT34" s="766">
        <v>0</v>
      </c>
      <c r="AU34" s="762">
        <v>0</v>
      </c>
      <c r="AV34" s="763">
        <v>0</v>
      </c>
      <c r="AW34" s="755">
        <v>490</v>
      </c>
      <c r="AX34" s="762">
        <v>264.04652068126501</v>
      </c>
      <c r="AY34" s="760">
        <v>436.55824316463099</v>
      </c>
      <c r="AZ34" s="760">
        <v>172.51172248336599</v>
      </c>
      <c r="BA34" s="753" t="s">
        <v>150</v>
      </c>
      <c r="BB34" s="761">
        <v>722437.13144946261</v>
      </c>
      <c r="BC34" s="769">
        <v>722437.13144946261</v>
      </c>
      <c r="BD34" s="753" t="s">
        <v>150</v>
      </c>
      <c r="BE34" s="757">
        <v>37.962499999999999</v>
      </c>
      <c r="BF34" s="757">
        <v>48.897321428571402</v>
      </c>
      <c r="BG34" s="753" t="s">
        <v>152</v>
      </c>
      <c r="BH34" s="763">
        <v>0.76950938426078397</v>
      </c>
      <c r="BI34" s="763">
        <v>0.79215712207379996</v>
      </c>
      <c r="BJ34" s="753" t="s">
        <v>152</v>
      </c>
      <c r="BK34" s="757">
        <v>208.278767698113</v>
      </c>
      <c r="BL34" s="757">
        <v>326.54713917579897</v>
      </c>
      <c r="BM34" s="753" t="s">
        <v>152</v>
      </c>
      <c r="BN34" s="759">
        <v>0</v>
      </c>
      <c r="BO34" s="753" t="s">
        <v>155</v>
      </c>
      <c r="BP34" s="753" t="s">
        <v>152</v>
      </c>
      <c r="BQ34" s="757">
        <v>1096.1303924087999</v>
      </c>
      <c r="BR34" s="46">
        <v>415</v>
      </c>
      <c r="BS34" s="46">
        <v>37018</v>
      </c>
      <c r="BT34" s="46">
        <v>10252</v>
      </c>
      <c r="BU34" s="46">
        <v>3.6108076472883339</v>
      </c>
      <c r="BV34" s="46">
        <v>24.703614457831325</v>
      </c>
      <c r="BW34" s="46">
        <v>2562</v>
      </c>
      <c r="BX34" s="46">
        <v>1651</v>
      </c>
      <c r="BY34" s="46">
        <v>4213</v>
      </c>
      <c r="BZ34" s="46">
        <v>0.41094420600858367</v>
      </c>
      <c r="CA34" s="46">
        <v>0.24990245805696448</v>
      </c>
      <c r="CB34" s="46">
        <v>0.16104174795161921</v>
      </c>
      <c r="CC34" s="46">
        <v>0</v>
      </c>
      <c r="CD34" s="46">
        <v>0.1150994927818962</v>
      </c>
      <c r="CE34" s="46">
        <v>0</v>
      </c>
      <c r="CF34" s="46">
        <v>0.47395630120952009</v>
      </c>
      <c r="CG34" s="46">
        <v>0</v>
      </c>
      <c r="CH34" s="46">
        <v>0</v>
      </c>
      <c r="CI34" s="46">
        <v>3.5118050678048518</v>
      </c>
      <c r="CJ34" s="46">
        <v>0.27013885136960403</v>
      </c>
      <c r="CK34">
        <v>247</v>
      </c>
      <c r="CL34">
        <v>641.42999999999995</v>
      </c>
      <c r="CM34">
        <f t="shared" si="7"/>
        <v>394.42999999999995</v>
      </c>
      <c r="CN34">
        <v>4.13</v>
      </c>
      <c r="CO34">
        <v>9.4499999999999993</v>
      </c>
      <c r="CP34">
        <f t="shared" si="8"/>
        <v>5.3199999999999994</v>
      </c>
      <c r="CQ34">
        <v>634.91999999999996</v>
      </c>
      <c r="CR34">
        <v>208.28</v>
      </c>
      <c r="CS34">
        <f t="shared" si="9"/>
        <v>426.64</v>
      </c>
      <c r="CT34" t="s">
        <v>152</v>
      </c>
      <c r="CU34">
        <v>47.29</v>
      </c>
      <c r="CV34">
        <v>308</v>
      </c>
      <c r="CW34" s="46">
        <v>4213</v>
      </c>
      <c r="CX34" s="46">
        <f t="shared" si="3"/>
        <v>37.247073741708938</v>
      </c>
      <c r="CY34" s="46">
        <v>394.43</v>
      </c>
      <c r="CZ34" s="46">
        <f t="shared" si="4"/>
        <v>41.094420600858363</v>
      </c>
      <c r="DA34" s="46">
        <f t="shared" si="5"/>
        <v>222.26276131999177</v>
      </c>
      <c r="DB34" s="46">
        <v>2366304.9300000002</v>
      </c>
      <c r="DC34" s="46">
        <f t="shared" si="6"/>
        <v>6.9662168445197121</v>
      </c>
      <c r="DD34" s="46">
        <v>74165.34</v>
      </c>
      <c r="DE34" s="995">
        <v>4213</v>
      </c>
      <c r="DF34" s="995">
        <v>38.008000000000003</v>
      </c>
      <c r="DG34" s="995">
        <v>316.39999999999998</v>
      </c>
      <c r="DH34" s="995">
        <v>41.094000000000001</v>
      </c>
      <c r="DI34" s="995">
        <v>352.19499999999999</v>
      </c>
      <c r="DJ34" s="995">
        <v>3722129</v>
      </c>
      <c r="DK34" s="995">
        <v>11.086</v>
      </c>
      <c r="DL34" s="995">
        <v>117157.8</v>
      </c>
      <c r="DM34" s="995">
        <v>4213</v>
      </c>
      <c r="DN34" s="995">
        <v>38.284999999999997</v>
      </c>
      <c r="DO34" s="995">
        <v>288</v>
      </c>
      <c r="DP34" s="995">
        <v>41.094000000000001</v>
      </c>
      <c r="DQ34" s="995">
        <v>340.221</v>
      </c>
      <c r="DR34" s="995">
        <v>3585933</v>
      </c>
      <c r="DS34" s="995">
        <v>10.702</v>
      </c>
      <c r="DT34" s="995">
        <v>112799.7</v>
      </c>
    </row>
    <row r="35" spans="1:124">
      <c r="A35" s="753" t="s">
        <v>92</v>
      </c>
      <c r="B35" s="753" t="s">
        <v>168</v>
      </c>
      <c r="C35" s="753" t="s">
        <v>169</v>
      </c>
      <c r="D35" s="753">
        <v>701321</v>
      </c>
      <c r="E35" s="753" t="s">
        <v>192</v>
      </c>
      <c r="F35" s="753" t="s">
        <v>193</v>
      </c>
      <c r="G35" s="753" t="s">
        <v>150</v>
      </c>
      <c r="H35" s="754" t="s">
        <v>152</v>
      </c>
      <c r="I35" s="755">
        <v>22</v>
      </c>
      <c r="J35" s="756">
        <v>14.089600000000001</v>
      </c>
      <c r="K35" s="757">
        <v>6.3020999999999994E-2</v>
      </c>
      <c r="L35" s="758">
        <v>14.152621</v>
      </c>
      <c r="M35" s="759">
        <v>9579</v>
      </c>
      <c r="N35" s="760">
        <v>216</v>
      </c>
      <c r="O35" s="760">
        <v>9</v>
      </c>
      <c r="P35" s="760">
        <v>9354</v>
      </c>
      <c r="Q35" s="761">
        <v>0</v>
      </c>
      <c r="R35" s="762">
        <v>6394.5727445680996</v>
      </c>
      <c r="S35" s="760">
        <v>22541.5189894945</v>
      </c>
      <c r="T35" s="760">
        <v>2275.8097446924298</v>
      </c>
      <c r="U35" s="760">
        <f>IFERROR(INDEX('Rentabilidad datos'!$N$2:$N$61,MATCH($C35,'Rentabilidad datos'!$C$2:$C$61,0)),"")</f>
        <v>31211.901478754982</v>
      </c>
      <c r="V35" s="761">
        <f>IFERROR(INDEX('Rentabilidad datos'!$O$2:$O$61,MATCH($C35,'Rentabilidad datos'!$C$2:$C$61,0)),"")</f>
        <v>1486.2810227978564</v>
      </c>
      <c r="W35" s="762">
        <f>IFERROR(INDEX('Rentabilidad datos'!$M$2:$M$61,MATCH($C35,'Rentabilidad datos'!$C$2:$C$61,0)),"")</f>
        <v>3561.414830517057</v>
      </c>
      <c r="X35" s="763">
        <f>IFERROR(INDEX('Rentabilidad datos'!$P$2:$P$61,MATCH($C35,'Rentabilidad datos'!$C$2:$C$61,0)),"")</f>
        <v>0.41732881271291655</v>
      </c>
      <c r="Y35" s="754" t="s">
        <v>171</v>
      </c>
      <c r="Z35" s="764">
        <v>0</v>
      </c>
      <c r="AA35" s="754">
        <v>1</v>
      </c>
      <c r="AB35" s="765">
        <v>1</v>
      </c>
      <c r="AC35" s="766">
        <v>0</v>
      </c>
      <c r="AD35" s="767" t="e">
        <f>_xlfn.XLOOKUP(Table1[[#This Row],[Ruta]],#REF!,#REF!)</f>
        <v>#REF!</v>
      </c>
      <c r="AE35" s="767" t="e">
        <f>_xlfn.XLOOKUP(Table1[[#This Row],[Ruta]],#REF!,#REF!)</f>
        <v>#REF!</v>
      </c>
      <c r="AF35" s="767" t="e">
        <f>_xlfn.XLOOKUP(Table1[[#This Row],[Ruta]],#REF!,#REF!)</f>
        <v>#REF!</v>
      </c>
      <c r="AG35" s="767" t="e">
        <f>_xlfn.XLOOKUP(Table1[[#This Row],[Ruta]],#REF!,#REF!)</f>
        <v>#REF!</v>
      </c>
      <c r="AH35" s="763">
        <v>2.2549326652051362E-2</v>
      </c>
      <c r="AI35" s="763">
        <v>9.395552771688068E-4</v>
      </c>
      <c r="AJ35" s="766">
        <v>0.97651111807077984</v>
      </c>
      <c r="AK35" s="768">
        <v>0</v>
      </c>
      <c r="AL35" s="755">
        <v>5</v>
      </c>
      <c r="AM35" s="765">
        <v>0</v>
      </c>
      <c r="AN35" s="766">
        <v>0.76950938426078397</v>
      </c>
      <c r="AO35" s="768">
        <v>0</v>
      </c>
      <c r="AP35" s="759">
        <v>0</v>
      </c>
      <c r="AQ35" s="766" t="s">
        <v>194</v>
      </c>
      <c r="AR35" s="762">
        <v>225.48</v>
      </c>
      <c r="AS35" s="760">
        <v>0</v>
      </c>
      <c r="AT35" s="766">
        <v>0</v>
      </c>
      <c r="AU35" s="762">
        <v>0</v>
      </c>
      <c r="AV35" s="763">
        <v>0</v>
      </c>
      <c r="AW35" s="755">
        <v>490</v>
      </c>
      <c r="AX35" s="762">
        <v>45.095999999999997</v>
      </c>
      <c r="AY35" s="760">
        <v>436.55824316463099</v>
      </c>
      <c r="AZ35" s="760">
        <v>391.46224316463099</v>
      </c>
      <c r="BA35" s="753" t="s">
        <v>150</v>
      </c>
      <c r="BB35" s="761">
        <v>687.70394069462225</v>
      </c>
      <c r="BC35" s="769">
        <v>687.70394069462225</v>
      </c>
      <c r="BD35" s="753" t="s">
        <v>152</v>
      </c>
      <c r="BE35" s="757" t="s">
        <v>195</v>
      </c>
      <c r="BF35" s="757" t="s">
        <v>195</v>
      </c>
      <c r="BG35" s="753" t="s">
        <v>195</v>
      </c>
      <c r="BH35" s="763" t="s">
        <v>195</v>
      </c>
      <c r="BI35" s="763" t="s">
        <v>195</v>
      </c>
      <c r="BJ35" s="753" t="s">
        <v>195</v>
      </c>
      <c r="BK35" s="757" t="s">
        <v>195</v>
      </c>
      <c r="BL35" s="757" t="s">
        <v>195</v>
      </c>
      <c r="BM35" s="753" t="s">
        <v>195</v>
      </c>
      <c r="BN35" s="759" t="s">
        <v>195</v>
      </c>
      <c r="BO35" s="753" t="s">
        <v>195</v>
      </c>
      <c r="BP35" s="753" t="s">
        <v>152</v>
      </c>
      <c r="BQ35" s="757">
        <v>0</v>
      </c>
      <c r="BR35" s="46" t="e">
        <v>#N/A</v>
      </c>
      <c r="BS35" s="46" t="e">
        <v>#N/A</v>
      </c>
      <c r="BT35" s="46" t="e">
        <v>#N/A</v>
      </c>
      <c r="BU35" s="46" t="e">
        <v>#N/A</v>
      </c>
      <c r="BV35" s="46" t="e">
        <v>#N/A</v>
      </c>
      <c r="BW35" s="46" t="e">
        <v>#N/A</v>
      </c>
      <c r="BX35" s="46" t="e">
        <v>#N/A</v>
      </c>
      <c r="BY35" s="46" t="e">
        <v>#N/A</v>
      </c>
      <c r="BZ35" s="46" t="e">
        <v>#N/A</v>
      </c>
      <c r="CA35" s="46" t="e">
        <v>#N/A</v>
      </c>
      <c r="CB35" s="46" t="e">
        <v>#N/A</v>
      </c>
      <c r="CC35" s="46" t="e">
        <v>#N/A</v>
      </c>
      <c r="CD35" s="46" t="e">
        <v>#N/A</v>
      </c>
      <c r="CE35" s="46" t="e">
        <v>#N/A</v>
      </c>
      <c r="CF35" s="46" t="e">
        <v>#N/A</v>
      </c>
      <c r="CG35" s="46" t="e">
        <v>#N/A</v>
      </c>
      <c r="CH35" s="46" t="e">
        <v>#N/A</v>
      </c>
      <c r="CI35" s="46" t="e">
        <v>#N/A</v>
      </c>
      <c r="CJ35" s="46" t="e">
        <v>#N/A</v>
      </c>
      <c r="CM35">
        <f t="shared" si="7"/>
        <v>0</v>
      </c>
      <c r="CP35">
        <f t="shared" si="8"/>
        <v>0</v>
      </c>
      <c r="CS35">
        <f t="shared" si="9"/>
        <v>0</v>
      </c>
      <c r="CW35" s="46"/>
      <c r="CX35" s="46" t="e">
        <f t="shared" si="3"/>
        <v>#N/A</v>
      </c>
      <c r="CY35" s="46"/>
      <c r="CZ35" s="46" t="e">
        <f t="shared" si="4"/>
        <v>#N/A</v>
      </c>
      <c r="DA35" s="46" t="e">
        <f t="shared" si="5"/>
        <v>#N/A</v>
      </c>
      <c r="DB35" s="46"/>
      <c r="DC35" s="46" t="e">
        <f t="shared" si="6"/>
        <v>#N/A</v>
      </c>
      <c r="DD35" s="46"/>
      <c r="DE35" s="995" t="s">
        <v>194</v>
      </c>
      <c r="DF35" s="995" t="s">
        <v>194</v>
      </c>
      <c r="DG35" s="995" t="s">
        <v>194</v>
      </c>
      <c r="DH35" s="995" t="s">
        <v>194</v>
      </c>
      <c r="DI35" s="995" t="s">
        <v>194</v>
      </c>
      <c r="DJ35" s="995" t="s">
        <v>194</v>
      </c>
      <c r="DK35" s="995" t="s">
        <v>194</v>
      </c>
      <c r="DL35" s="995" t="s">
        <v>194</v>
      </c>
      <c r="DM35" s="995" t="s">
        <v>194</v>
      </c>
      <c r="DN35" s="995" t="s">
        <v>194</v>
      </c>
      <c r="DO35" s="995" t="s">
        <v>194</v>
      </c>
      <c r="DP35" s="995" t="s">
        <v>194</v>
      </c>
      <c r="DQ35" s="995" t="s">
        <v>194</v>
      </c>
      <c r="DR35" s="995" t="s">
        <v>194</v>
      </c>
      <c r="DS35" s="995" t="s">
        <v>194</v>
      </c>
      <c r="DT35" s="995" t="s">
        <v>194</v>
      </c>
    </row>
    <row r="36" spans="1:124">
      <c r="A36" s="42" t="s">
        <v>92</v>
      </c>
      <c r="B36" s="42" t="s">
        <v>168</v>
      </c>
      <c r="C36" s="42" t="s">
        <v>196</v>
      </c>
      <c r="D36" s="42">
        <v>704300</v>
      </c>
      <c r="E36" s="42" t="s">
        <v>197</v>
      </c>
      <c r="F36" s="42" t="s">
        <v>149</v>
      </c>
      <c r="G36" s="42" t="s">
        <v>150</v>
      </c>
      <c r="H36" s="43" t="s">
        <v>150</v>
      </c>
      <c r="I36" s="44">
        <v>12</v>
      </c>
      <c r="J36" s="45">
        <v>64896.697599999898</v>
      </c>
      <c r="K36" s="46">
        <v>40489.786797000001</v>
      </c>
      <c r="L36" s="47">
        <v>105386.48439699999</v>
      </c>
      <c r="M36" s="48">
        <v>6012460</v>
      </c>
      <c r="N36" s="49">
        <v>931008</v>
      </c>
      <c r="O36" s="49">
        <v>5081452</v>
      </c>
      <c r="P36" s="49">
        <v>0</v>
      </c>
      <c r="Q36" s="50">
        <v>13603.5685067873</v>
      </c>
      <c r="R36" s="51">
        <v>3255.9797438798</v>
      </c>
      <c r="S36" s="49">
        <v>12862.528700987399</v>
      </c>
      <c r="T36" s="49">
        <v>1300.4627112528201</v>
      </c>
      <c r="U36" s="49">
        <f>IFERROR(INDEX('Rentabilidad datos'!$N$2:$N$61,MATCH($C36,'Rentabilidad datos'!$C$2:$C$61,0)),"")</f>
        <v>17418.971156120009</v>
      </c>
      <c r="V36" s="50">
        <f>IFERROR(INDEX('Rentabilidad datos'!$O$2:$O$61,MATCH($C36,'Rentabilidad datos'!$C$2:$C$61,0)),"")</f>
        <v>1451.5809296766674</v>
      </c>
      <c r="W36" s="51">
        <f>IFERROR(INDEX('Rentabilidad datos'!$M$2:$M$61,MATCH($C36,'Rentabilidad datos'!$C$2:$C$61,0)),"")</f>
        <v>3282.4548901856938</v>
      </c>
      <c r="X36" s="52">
        <f>IFERROR(INDEX('Rentabilidad datos'!$P$2:$P$61,MATCH($C36,'Rentabilidad datos'!$C$2:$C$61,0)),"")</f>
        <v>0.44222418227796245</v>
      </c>
      <c r="Y36" s="43" t="s">
        <v>171</v>
      </c>
      <c r="Z36" s="53">
        <v>55.710407239818998</v>
      </c>
      <c r="AA36" s="43">
        <v>1</v>
      </c>
      <c r="AB36" s="54">
        <v>0.99954976831446696</v>
      </c>
      <c r="AC36" s="55">
        <v>4.5023168553304303E-4</v>
      </c>
      <c r="AD36" s="752" t="e">
        <f>_xlfn.XLOOKUP(Table1[[#This Row],[Ruta]],#REF!,#REF!)</f>
        <v>#REF!</v>
      </c>
      <c r="AE36" s="752" t="e">
        <f>_xlfn.XLOOKUP(Table1[[#This Row],[Ruta]],#REF!,#REF!)</f>
        <v>#REF!</v>
      </c>
      <c r="AF36" s="752" t="e">
        <f>_xlfn.XLOOKUP(Table1[[#This Row],[Ruta]],#REF!,#REF!)</f>
        <v>#REF!</v>
      </c>
      <c r="AG36" s="752" t="e">
        <f>_xlfn.XLOOKUP(Table1[[#This Row],[Ruta]],#REF!,#REF!)</f>
        <v>#REF!</v>
      </c>
      <c r="AH36" s="52">
        <v>0.15484643556880212</v>
      </c>
      <c r="AI36" s="52">
        <v>0.84515356443119793</v>
      </c>
      <c r="AJ36" s="55">
        <v>0</v>
      </c>
      <c r="AK36" s="56">
        <v>24624</v>
      </c>
      <c r="AL36" s="44">
        <v>18213</v>
      </c>
      <c r="AM36" s="54">
        <v>0.73964424951267105</v>
      </c>
      <c r="AN36" s="55">
        <v>0.74419034651647398</v>
      </c>
      <c r="AO36" s="56">
        <v>111.943092621663</v>
      </c>
      <c r="AP36" s="48">
        <v>55.971546310831499</v>
      </c>
      <c r="AQ36" s="55">
        <v>0.74191729801457251</v>
      </c>
      <c r="AR36" s="51">
        <v>6012777.2800000003</v>
      </c>
      <c r="AS36" s="49">
        <v>18478.254103345698</v>
      </c>
      <c r="AT36" s="55">
        <v>3.0731645698584228E-3</v>
      </c>
      <c r="AU36" s="51">
        <v>12984.719099648333</v>
      </c>
      <c r="AV36" s="52">
        <v>5.906871596225635E-5</v>
      </c>
      <c r="AW36" s="44">
        <v>468</v>
      </c>
      <c r="AX36" s="51">
        <v>330.13656618898602</v>
      </c>
      <c r="AY36" s="49">
        <v>366.04511818894201</v>
      </c>
      <c r="AZ36" s="49">
        <v>35.908551999955989</v>
      </c>
      <c r="BA36" s="42" t="s">
        <v>150</v>
      </c>
      <c r="BB36" s="50">
        <v>229784.64725615087</v>
      </c>
      <c r="BC36" s="57">
        <v>242769.3663557992</v>
      </c>
      <c r="BD36" s="42" t="s">
        <v>150</v>
      </c>
      <c r="BE36" s="46">
        <v>55.710407239818998</v>
      </c>
      <c r="BF36" s="46">
        <v>48.897321428571402</v>
      </c>
      <c r="BG36" s="42" t="s">
        <v>150</v>
      </c>
      <c r="BH36" s="52">
        <v>0.73964424951267105</v>
      </c>
      <c r="BI36" s="52">
        <v>0.79215712207379996</v>
      </c>
      <c r="BJ36" s="42" t="s">
        <v>152</v>
      </c>
      <c r="BK36" s="46">
        <v>238.430960174208</v>
      </c>
      <c r="BL36" s="46">
        <v>326.54713917579897</v>
      </c>
      <c r="BM36" s="42" t="s">
        <v>152</v>
      </c>
      <c r="BN36" s="48">
        <v>1</v>
      </c>
      <c r="BO36" s="42" t="s">
        <v>155</v>
      </c>
      <c r="BP36" s="42" t="s">
        <v>152</v>
      </c>
      <c r="BQ36" s="46">
        <v>0</v>
      </c>
      <c r="BR36" s="46">
        <v>592</v>
      </c>
      <c r="BS36" s="46">
        <v>56176</v>
      </c>
      <c r="BT36" s="46">
        <v>16936</v>
      </c>
      <c r="BU36" s="46">
        <v>3.316957959376476</v>
      </c>
      <c r="BV36" s="46">
        <v>28.608108108108109</v>
      </c>
      <c r="BW36" s="46">
        <v>0</v>
      </c>
      <c r="BX36" s="46">
        <v>16652</v>
      </c>
      <c r="BY36" s="46">
        <v>16652</v>
      </c>
      <c r="BZ36" s="46">
        <v>0.98323098724610303</v>
      </c>
      <c r="CA36" s="46">
        <v>0</v>
      </c>
      <c r="CB36" s="46">
        <v>0.98323098724610303</v>
      </c>
      <c r="CC36" s="46">
        <v>1.1218705715635333E-3</v>
      </c>
      <c r="CD36" s="46">
        <v>1.5647142182333491E-2</v>
      </c>
      <c r="CE36" s="46">
        <v>0</v>
      </c>
      <c r="CF36" s="46">
        <v>0</v>
      </c>
      <c r="CG36" s="46">
        <v>0</v>
      </c>
      <c r="CH36" s="46">
        <v>0</v>
      </c>
      <c r="CI36" s="46">
        <v>1.1748789518655651</v>
      </c>
      <c r="CJ36" s="46">
        <v>0.64084306465394469</v>
      </c>
      <c r="CK36">
        <v>281</v>
      </c>
      <c r="CL36">
        <v>1040.31</v>
      </c>
      <c r="CM36">
        <f t="shared" si="7"/>
        <v>759.31</v>
      </c>
      <c r="CN36">
        <v>5.09</v>
      </c>
      <c r="CO36">
        <v>9.4499999999999993</v>
      </c>
      <c r="CP36">
        <f t="shared" si="8"/>
        <v>4.3599999999999994</v>
      </c>
      <c r="CQ36">
        <v>1481.48</v>
      </c>
      <c r="CR36">
        <v>238.43</v>
      </c>
      <c r="CS36">
        <f t="shared" si="9"/>
        <v>1243.05</v>
      </c>
      <c r="CT36" t="s">
        <v>152</v>
      </c>
      <c r="CU36">
        <v>53.91</v>
      </c>
      <c r="CV36">
        <v>355</v>
      </c>
      <c r="CW36" s="46">
        <v>14913</v>
      </c>
      <c r="CX36" s="46">
        <f t="shared" si="3"/>
        <v>83.571622579121396</v>
      </c>
      <c r="CY36" s="46">
        <v>759.31</v>
      </c>
      <c r="CZ36" s="46">
        <f t="shared" si="4"/>
        <v>88.055030703826162</v>
      </c>
      <c r="DA36" s="46">
        <f t="shared" si="5"/>
        <v>667.2215999606675</v>
      </c>
      <c r="DB36" s="46">
        <v>11806693.050000001</v>
      </c>
      <c r="DC36" s="46">
        <f t="shared" si="6"/>
        <v>11.777224021506264</v>
      </c>
      <c r="DD36" s="46">
        <v>208401.63</v>
      </c>
      <c r="DE36" s="995">
        <v>14913</v>
      </c>
      <c r="DF36" s="995">
        <v>83.87</v>
      </c>
      <c r="DG36" s="995">
        <v>708.9</v>
      </c>
      <c r="DH36" s="995">
        <v>88.055000000000007</v>
      </c>
      <c r="DI36" s="995">
        <v>861.72299999999996</v>
      </c>
      <c r="DJ36" s="995">
        <v>15204973</v>
      </c>
      <c r="DK36" s="995">
        <v>15.206</v>
      </c>
      <c r="DL36" s="995">
        <v>268301.3</v>
      </c>
      <c r="DM36" s="995">
        <v>14913</v>
      </c>
      <c r="DN36" s="995">
        <v>83.912999999999997</v>
      </c>
      <c r="DO36" s="995">
        <v>701.5</v>
      </c>
      <c r="DP36" s="995">
        <v>88.055000000000007</v>
      </c>
      <c r="DQ36" s="995">
        <v>856.89800000000002</v>
      </c>
      <c r="DR36" s="995">
        <v>15113549</v>
      </c>
      <c r="DS36" s="995">
        <v>15.116</v>
      </c>
      <c r="DT36" s="995">
        <v>266604</v>
      </c>
    </row>
    <row r="37" spans="1:124">
      <c r="A37" s="42" t="s">
        <v>92</v>
      </c>
      <c r="B37" s="42" t="s">
        <v>168</v>
      </c>
      <c r="C37" s="42" t="s">
        <v>196</v>
      </c>
      <c r="D37" s="42">
        <v>704301</v>
      </c>
      <c r="E37" s="42" t="s">
        <v>198</v>
      </c>
      <c r="F37" s="42" t="s">
        <v>149</v>
      </c>
      <c r="G37" s="42" t="s">
        <v>150</v>
      </c>
      <c r="H37" s="43" t="s">
        <v>150</v>
      </c>
      <c r="I37" s="44">
        <v>12</v>
      </c>
      <c r="J37" s="45">
        <v>82403.025599999994</v>
      </c>
      <c r="K37" s="46">
        <v>29859.089849</v>
      </c>
      <c r="L37" s="47">
        <v>112262.115449</v>
      </c>
      <c r="M37" s="48">
        <v>5160118</v>
      </c>
      <c r="N37" s="49">
        <v>1250146</v>
      </c>
      <c r="O37" s="49">
        <v>3909972</v>
      </c>
      <c r="P37" s="49">
        <v>0</v>
      </c>
      <c r="Q37" s="50">
        <v>11674.475158371</v>
      </c>
      <c r="R37" s="51">
        <v>3255.9797438798</v>
      </c>
      <c r="S37" s="49">
        <v>12862.528700987399</v>
      </c>
      <c r="T37" s="49">
        <v>1300.4627112528201</v>
      </c>
      <c r="U37" s="49">
        <f>IFERROR(INDEX('Rentabilidad datos'!$N$2:$N$61,MATCH($C37,'Rentabilidad datos'!$C$2:$C$61,0)),"")</f>
        <v>17418.971156120009</v>
      </c>
      <c r="V37" s="50">
        <f>IFERROR(INDEX('Rentabilidad datos'!$O$2:$O$61,MATCH($C37,'Rentabilidad datos'!$C$2:$C$61,0)),"")</f>
        <v>1451.5809296766674</v>
      </c>
      <c r="W37" s="51">
        <f>IFERROR(INDEX('Rentabilidad datos'!$M$2:$M$61,MATCH($C37,'Rentabilidad datos'!$C$2:$C$61,0)),"")</f>
        <v>3282.4548901856938</v>
      </c>
      <c r="X37" s="52">
        <f>IFERROR(INDEX('Rentabilidad datos'!$P$2:$P$61,MATCH($C37,'Rentabilidad datos'!$C$2:$C$61,0)),"")</f>
        <v>0.44222418227796245</v>
      </c>
      <c r="Y37" s="43" t="s">
        <v>171</v>
      </c>
      <c r="Z37" s="53">
        <v>59.873303167420801</v>
      </c>
      <c r="AA37" s="43">
        <v>1</v>
      </c>
      <c r="AB37" s="54">
        <v>0.99724076077330015</v>
      </c>
      <c r="AC37" s="55">
        <v>2.7592392266998543E-3</v>
      </c>
      <c r="AD37" s="752" t="e">
        <f>_xlfn.XLOOKUP(Table1[[#This Row],[Ruta]],#REF!,#REF!)</f>
        <v>#REF!</v>
      </c>
      <c r="AE37" s="752" t="e">
        <f>_xlfn.XLOOKUP(Table1[[#This Row],[Ruta]],#REF!,#REF!)</f>
        <v>#REF!</v>
      </c>
      <c r="AF37" s="752" t="e">
        <f>_xlfn.XLOOKUP(Table1[[#This Row],[Ruta]],#REF!,#REF!)</f>
        <v>#REF!</v>
      </c>
      <c r="AG37" s="752" t="e">
        <f>_xlfn.XLOOKUP(Table1[[#This Row],[Ruta]],#REF!,#REF!)</f>
        <v>#REF!</v>
      </c>
      <c r="AH37" s="52">
        <v>0.2422708162875345</v>
      </c>
      <c r="AI37" s="52">
        <v>0.75772918371246545</v>
      </c>
      <c r="AJ37" s="55">
        <v>0</v>
      </c>
      <c r="AK37" s="56">
        <v>26464</v>
      </c>
      <c r="AL37" s="44">
        <v>16643</v>
      </c>
      <c r="AM37" s="54">
        <v>0.62889207980652995</v>
      </c>
      <c r="AN37" s="55">
        <v>0.74419034651647398</v>
      </c>
      <c r="AO37" s="56">
        <v>3051.25333021198</v>
      </c>
      <c r="AP37" s="48">
        <v>1525.62666510599</v>
      </c>
      <c r="AQ37" s="55">
        <v>0.68654121316150196</v>
      </c>
      <c r="AR37" s="51">
        <v>5160118.0199999996</v>
      </c>
      <c r="AS37" s="49">
        <v>473016.50221750402</v>
      </c>
      <c r="AT37" s="55">
        <v>9.1667768137114053E-2</v>
      </c>
      <c r="AU37" s="51">
        <v>332389.97453121917</v>
      </c>
      <c r="AV37" s="52">
        <v>1.5120734490758412E-3</v>
      </c>
      <c r="AW37" s="44">
        <v>223</v>
      </c>
      <c r="AX37" s="51">
        <v>310.04734843477701</v>
      </c>
      <c r="AY37" s="49">
        <v>366.04511818894201</v>
      </c>
      <c r="AZ37" s="49">
        <v>55.997769754165006</v>
      </c>
      <c r="BA37" s="42" t="s">
        <v>150</v>
      </c>
      <c r="BB37" s="50">
        <v>327449.22881733492</v>
      </c>
      <c r="BC37" s="57">
        <v>659839.20334855409</v>
      </c>
      <c r="BD37" s="42" t="s">
        <v>150</v>
      </c>
      <c r="BE37" s="46">
        <v>59.873303167420801</v>
      </c>
      <c r="BF37" s="46">
        <v>48.897321428571402</v>
      </c>
      <c r="BG37" s="42" t="s">
        <v>150</v>
      </c>
      <c r="BH37" s="52">
        <v>0.62889207980652995</v>
      </c>
      <c r="BI37" s="52">
        <v>0.79215712207379996</v>
      </c>
      <c r="BJ37" s="42" t="s">
        <v>152</v>
      </c>
      <c r="BK37" s="46">
        <v>253.98668653619899</v>
      </c>
      <c r="BL37" s="46">
        <v>326.54713917579897</v>
      </c>
      <c r="BM37" s="42" t="s">
        <v>152</v>
      </c>
      <c r="BN37" s="48">
        <v>1</v>
      </c>
      <c r="BO37" s="42" t="s">
        <v>155</v>
      </c>
      <c r="BP37" s="42" t="s">
        <v>152</v>
      </c>
      <c r="BQ37" s="46">
        <v>163.74073593280599</v>
      </c>
      <c r="BR37" s="46">
        <v>768</v>
      </c>
      <c r="BS37" s="46">
        <v>67014</v>
      </c>
      <c r="BT37" s="46">
        <v>19418</v>
      </c>
      <c r="BU37" s="46">
        <v>3.4511278195488724</v>
      </c>
      <c r="BV37" s="46">
        <v>25.283854166666668</v>
      </c>
      <c r="BW37" s="46">
        <v>4144</v>
      </c>
      <c r="BX37" s="46">
        <v>10356</v>
      </c>
      <c r="BY37" s="46">
        <v>14500</v>
      </c>
      <c r="BZ37" s="46">
        <v>0.74672983829436601</v>
      </c>
      <c r="CA37" s="46">
        <v>0.21341023792357611</v>
      </c>
      <c r="CB37" s="46">
        <v>0.53331960037078996</v>
      </c>
      <c r="CC37" s="46">
        <v>0.21845710165825519</v>
      </c>
      <c r="CD37" s="46">
        <v>3.4813060047378719E-2</v>
      </c>
      <c r="CE37" s="46">
        <v>0</v>
      </c>
      <c r="CF37" s="46">
        <v>0</v>
      </c>
      <c r="CG37" s="46">
        <v>0</v>
      </c>
      <c r="CH37" s="46">
        <v>0</v>
      </c>
      <c r="CI37" s="46">
        <v>1.8652818813979171</v>
      </c>
      <c r="CJ37" s="46">
        <v>0.59689020204733334</v>
      </c>
      <c r="CK37">
        <v>311</v>
      </c>
      <c r="CL37">
        <v>815.96</v>
      </c>
      <c r="CM37">
        <f t="shared" si="7"/>
        <v>504.96000000000004</v>
      </c>
      <c r="CN37">
        <v>5.04</v>
      </c>
      <c r="CO37">
        <v>9.4499999999999993</v>
      </c>
      <c r="CP37">
        <f t="shared" si="8"/>
        <v>4.4099999999999993</v>
      </c>
      <c r="CQ37">
        <v>1269.8399999999999</v>
      </c>
      <c r="CR37">
        <v>253.99</v>
      </c>
      <c r="CS37">
        <f t="shared" si="9"/>
        <v>1015.8499999999999</v>
      </c>
      <c r="CT37" t="s">
        <v>152</v>
      </c>
      <c r="CU37">
        <v>53.7</v>
      </c>
      <c r="CV37">
        <v>333</v>
      </c>
      <c r="CW37" s="46">
        <v>14500</v>
      </c>
      <c r="CX37" s="46">
        <f t="shared" si="3"/>
        <v>72.07251004222887</v>
      </c>
      <c r="CY37" s="46">
        <v>504.96</v>
      </c>
      <c r="CZ37" s="46">
        <f t="shared" si="4"/>
        <v>74.672983829436603</v>
      </c>
      <c r="DA37" s="46">
        <f t="shared" si="5"/>
        <v>286.02959550187325</v>
      </c>
      <c r="DB37" s="46">
        <v>5698556.1900000004</v>
      </c>
      <c r="DC37" s="46">
        <f t="shared" si="6"/>
        <v>6.3654020286142217</v>
      </c>
      <c r="DD37" s="46">
        <v>126817.65</v>
      </c>
      <c r="DE37" s="995">
        <v>14500</v>
      </c>
      <c r="DF37" s="995">
        <v>72.290999999999997</v>
      </c>
      <c r="DG37" s="995">
        <v>462.6</v>
      </c>
      <c r="DH37" s="995">
        <v>74.673000000000002</v>
      </c>
      <c r="DI37" s="995">
        <v>452.05599999999998</v>
      </c>
      <c r="DJ37" s="995">
        <v>8987143</v>
      </c>
      <c r="DK37" s="995">
        <v>10.303000000000001</v>
      </c>
      <c r="DL37" s="995">
        <v>204823.4</v>
      </c>
      <c r="DM37" s="995">
        <v>14500</v>
      </c>
      <c r="DN37" s="995">
        <v>72.361999999999995</v>
      </c>
      <c r="DO37" s="995">
        <v>448.7</v>
      </c>
      <c r="DP37" s="995">
        <v>74.673000000000002</v>
      </c>
      <c r="DQ37" s="995">
        <v>446.81799999999998</v>
      </c>
      <c r="DR37" s="995">
        <v>8876801</v>
      </c>
      <c r="DS37" s="995">
        <v>10.173</v>
      </c>
      <c r="DT37" s="995">
        <v>202106.1</v>
      </c>
    </row>
    <row r="38" spans="1:124">
      <c r="A38" s="42" t="s">
        <v>92</v>
      </c>
      <c r="B38" s="42" t="s">
        <v>168</v>
      </c>
      <c r="C38" s="42" t="s">
        <v>196</v>
      </c>
      <c r="D38" s="42">
        <v>704302</v>
      </c>
      <c r="E38" s="42" t="s">
        <v>199</v>
      </c>
      <c r="F38" s="42" t="s">
        <v>149</v>
      </c>
      <c r="G38" s="42" t="s">
        <v>150</v>
      </c>
      <c r="H38" s="43" t="s">
        <v>150</v>
      </c>
      <c r="I38" s="44">
        <v>12</v>
      </c>
      <c r="J38" s="45">
        <v>57956.301535999999</v>
      </c>
      <c r="K38" s="46">
        <v>18855.883327</v>
      </c>
      <c r="L38" s="47">
        <v>76812.184863000002</v>
      </c>
      <c r="M38" s="48">
        <v>3299157</v>
      </c>
      <c r="N38" s="49">
        <v>835889</v>
      </c>
      <c r="O38" s="49">
        <v>2463136</v>
      </c>
      <c r="P38" s="49">
        <v>132</v>
      </c>
      <c r="Q38" s="50">
        <v>7533.1486757990897</v>
      </c>
      <c r="R38" s="51">
        <v>3255.9797438798</v>
      </c>
      <c r="S38" s="49">
        <v>12862.528700987399</v>
      </c>
      <c r="T38" s="49">
        <v>1300.4627112528201</v>
      </c>
      <c r="U38" s="49">
        <f>IFERROR(INDEX('Rentabilidad datos'!$N$2:$N$61,MATCH($C38,'Rentabilidad datos'!$C$2:$C$61,0)),"")</f>
        <v>17418.971156120009</v>
      </c>
      <c r="V38" s="50">
        <f>IFERROR(INDEX('Rentabilidad datos'!$O$2:$O$61,MATCH($C38,'Rentabilidad datos'!$C$2:$C$61,0)),"")</f>
        <v>1451.5809296766674</v>
      </c>
      <c r="W38" s="51">
        <f>IFERROR(INDEX('Rentabilidad datos'!$M$2:$M$61,MATCH($C38,'Rentabilidad datos'!$C$2:$C$61,0)),"")</f>
        <v>3282.4548901856938</v>
      </c>
      <c r="X38" s="52">
        <f>IFERROR(INDEX('Rentabilidad datos'!$P$2:$P$61,MATCH($C38,'Rentabilidad datos'!$C$2:$C$61,0)),"")</f>
        <v>0.44222418227796245</v>
      </c>
      <c r="Y38" s="43" t="s">
        <v>171</v>
      </c>
      <c r="Z38" s="53">
        <v>77.002283105022798</v>
      </c>
      <c r="AA38" s="43">
        <v>1</v>
      </c>
      <c r="AB38" s="54">
        <v>0.97412429902547837</v>
      </c>
      <c r="AC38" s="55">
        <v>2.5875700974521673E-2</v>
      </c>
      <c r="AD38" s="752" t="e">
        <f>_xlfn.XLOOKUP(Table1[[#This Row],[Ruta]],#REF!,#REF!)</f>
        <v>#REF!</v>
      </c>
      <c r="AE38" s="752" t="e">
        <f>_xlfn.XLOOKUP(Table1[[#This Row],[Ruta]],#REF!,#REF!)</f>
        <v>#REF!</v>
      </c>
      <c r="AF38" s="752" t="e">
        <f>_xlfn.XLOOKUP(Table1[[#This Row],[Ruta]],#REF!,#REF!)</f>
        <v>#REF!</v>
      </c>
      <c r="AG38" s="752" t="e">
        <f>_xlfn.XLOOKUP(Table1[[#This Row],[Ruta]],#REF!,#REF!)</f>
        <v>#REF!</v>
      </c>
      <c r="AH38" s="52">
        <v>0.25336442006245841</v>
      </c>
      <c r="AI38" s="52">
        <v>0.7465955697167489</v>
      </c>
      <c r="AJ38" s="55">
        <v>4.0010220792766155E-5</v>
      </c>
      <c r="AK38" s="56">
        <v>33727</v>
      </c>
      <c r="AL38" s="44">
        <v>14160</v>
      </c>
      <c r="AM38" s="54">
        <v>0.419841669878732</v>
      </c>
      <c r="AN38" s="55">
        <v>0.74419034651647398</v>
      </c>
      <c r="AO38" s="56">
        <v>10939.3078169611</v>
      </c>
      <c r="AP38" s="48">
        <v>5469.6539084805499</v>
      </c>
      <c r="AQ38" s="55">
        <v>0.5820160081976028</v>
      </c>
      <c r="AR38" s="51">
        <v>3299519.12</v>
      </c>
      <c r="AS38" s="49">
        <v>1274521.7267524251</v>
      </c>
      <c r="AT38" s="55">
        <v>0.3862749935367627</v>
      </c>
      <c r="AU38" s="51">
        <v>895609.86204224499</v>
      </c>
      <c r="AV38" s="52">
        <v>4.0742140163356885E-3</v>
      </c>
      <c r="AW38" s="44">
        <v>59</v>
      </c>
      <c r="AX38" s="51">
        <v>233.01688700565001</v>
      </c>
      <c r="AY38" s="49">
        <v>366.04511818894201</v>
      </c>
      <c r="AZ38" s="49">
        <v>133.02823118329201</v>
      </c>
      <c r="BA38" s="42" t="s">
        <v>150</v>
      </c>
      <c r="BB38" s="50">
        <v>661833.4269248757</v>
      </c>
      <c r="BC38" s="57">
        <v>1557443.2889671207</v>
      </c>
      <c r="BD38" s="42" t="s">
        <v>150</v>
      </c>
      <c r="BE38" s="46">
        <v>77.002283105022798</v>
      </c>
      <c r="BF38" s="46">
        <v>48.897321428571402</v>
      </c>
      <c r="BG38" s="42" t="s">
        <v>150</v>
      </c>
      <c r="BH38" s="52">
        <v>0.419841669878732</v>
      </c>
      <c r="BI38" s="52">
        <v>0.79215712207379996</v>
      </c>
      <c r="BJ38" s="42" t="s">
        <v>152</v>
      </c>
      <c r="BK38" s="46">
        <v>175.37028507534299</v>
      </c>
      <c r="BL38" s="46">
        <v>326.54713917579897</v>
      </c>
      <c r="BM38" s="42" t="s">
        <v>152</v>
      </c>
      <c r="BN38" s="48">
        <v>1</v>
      </c>
      <c r="BO38" s="42" t="s">
        <v>155</v>
      </c>
      <c r="BP38" s="42" t="s">
        <v>152</v>
      </c>
      <c r="BQ38" s="46">
        <v>1967.01105491722</v>
      </c>
      <c r="BR38" s="46">
        <v>1733</v>
      </c>
      <c r="BS38" s="46">
        <v>183729</v>
      </c>
      <c r="BT38" s="46">
        <v>50907</v>
      </c>
      <c r="BU38" s="46">
        <v>3.6091107313336082</v>
      </c>
      <c r="BV38" s="46">
        <v>29.375072129255628</v>
      </c>
      <c r="BW38" s="46">
        <v>2670</v>
      </c>
      <c r="BX38" s="46">
        <v>16686</v>
      </c>
      <c r="BY38" s="46">
        <v>19356</v>
      </c>
      <c r="BZ38" s="46">
        <v>0.38022275914903647</v>
      </c>
      <c r="CA38" s="46">
        <v>5.2448582709647001E-2</v>
      </c>
      <c r="CB38" s="46">
        <v>0.3277741764393895</v>
      </c>
      <c r="CC38" s="46">
        <v>0.45940636847584809</v>
      </c>
      <c r="CD38" s="46">
        <v>0.13536448818433611</v>
      </c>
      <c r="CE38" s="46">
        <v>0</v>
      </c>
      <c r="CF38" s="46">
        <v>2.500638419077926E-2</v>
      </c>
      <c r="CG38" s="46">
        <v>0</v>
      </c>
      <c r="CH38" s="46">
        <v>0</v>
      </c>
      <c r="CI38" s="46">
        <v>1.921308013432828</v>
      </c>
      <c r="CJ38" s="46">
        <v>0.39732432005834678</v>
      </c>
      <c r="CK38">
        <v>852</v>
      </c>
      <c r="CL38">
        <v>1050.58</v>
      </c>
      <c r="CM38">
        <f t="shared" si="7"/>
        <v>198.57999999999993</v>
      </c>
      <c r="CN38">
        <v>13.08</v>
      </c>
      <c r="CO38">
        <v>9.4499999999999993</v>
      </c>
      <c r="CP38">
        <f t="shared" si="8"/>
        <v>-3.6300000000000008</v>
      </c>
      <c r="CQ38">
        <v>846.56</v>
      </c>
      <c r="CR38">
        <v>175.37</v>
      </c>
      <c r="CS38">
        <f t="shared" si="9"/>
        <v>671.18999999999994</v>
      </c>
      <c r="CT38" t="s">
        <v>150</v>
      </c>
      <c r="CU38">
        <v>138.54</v>
      </c>
      <c r="CV38">
        <v>646</v>
      </c>
      <c r="CW38" s="46">
        <v>19356</v>
      </c>
      <c r="CX38" s="46">
        <f t="shared" si="3"/>
        <v>37.63219203645864</v>
      </c>
      <c r="CY38" s="46">
        <v>198.58</v>
      </c>
      <c r="CZ38" s="46">
        <f t="shared" si="4"/>
        <v>38.022275914903645</v>
      </c>
      <c r="DA38" s="46">
        <f t="shared" si="5"/>
        <v>142.69133116188095</v>
      </c>
      <c r="DB38" s="46">
        <v>7292323.2400000002</v>
      </c>
      <c r="DC38" s="46">
        <f t="shared" si="6"/>
        <v>3.7239297548330339</v>
      </c>
      <c r="DD38" s="46">
        <v>190313.59</v>
      </c>
      <c r="DE38" s="995">
        <v>19356</v>
      </c>
      <c r="DF38" s="995">
        <v>37.728000000000002</v>
      </c>
      <c r="DG38" s="995">
        <v>149.80000000000001</v>
      </c>
      <c r="DH38" s="995">
        <v>38.021999999999998</v>
      </c>
      <c r="DI38" s="995">
        <v>208.96199999999999</v>
      </c>
      <c r="DJ38" s="995">
        <v>10668927</v>
      </c>
      <c r="DK38" s="995">
        <v>5.3949999999999996</v>
      </c>
      <c r="DL38" s="995">
        <v>275452.2</v>
      </c>
      <c r="DM38" s="995">
        <v>19356</v>
      </c>
      <c r="DN38" s="995">
        <v>37.744999999999997</v>
      </c>
      <c r="DO38" s="995">
        <v>140.9</v>
      </c>
      <c r="DP38" s="995">
        <v>38.021999999999998</v>
      </c>
      <c r="DQ38" s="995">
        <v>207.76</v>
      </c>
      <c r="DR38" s="995">
        <v>10605700</v>
      </c>
      <c r="DS38" s="995">
        <v>5.3620000000000001</v>
      </c>
      <c r="DT38" s="995">
        <v>273729.3</v>
      </c>
    </row>
    <row r="39" spans="1:124">
      <c r="A39" s="42" t="s">
        <v>92</v>
      </c>
      <c r="B39" s="42" t="s">
        <v>168</v>
      </c>
      <c r="C39" s="42" t="s">
        <v>196</v>
      </c>
      <c r="D39" s="42">
        <v>704303</v>
      </c>
      <c r="E39" s="42" t="s">
        <v>200</v>
      </c>
      <c r="F39" s="42" t="s">
        <v>149</v>
      </c>
      <c r="G39" s="42" t="s">
        <v>150</v>
      </c>
      <c r="H39" s="43" t="s">
        <v>150</v>
      </c>
      <c r="I39" s="44">
        <v>12</v>
      </c>
      <c r="J39" s="45">
        <v>86784.891199999998</v>
      </c>
      <c r="K39" s="46">
        <v>41036.783378</v>
      </c>
      <c r="L39" s="47">
        <v>127821.67457800001</v>
      </c>
      <c r="M39" s="48">
        <v>6823521</v>
      </c>
      <c r="N39" s="49">
        <v>1304126</v>
      </c>
      <c r="O39" s="49">
        <v>5519395</v>
      </c>
      <c r="P39" s="49">
        <v>0</v>
      </c>
      <c r="Q39" s="50">
        <v>15231.077767857099</v>
      </c>
      <c r="R39" s="51">
        <v>3255.9797438798</v>
      </c>
      <c r="S39" s="49">
        <v>12862.528700987399</v>
      </c>
      <c r="T39" s="49">
        <v>1300.4627112528201</v>
      </c>
      <c r="U39" s="49">
        <f>IFERROR(INDEX('Rentabilidad datos'!$N$2:$N$61,MATCH($C39,'Rentabilidad datos'!$C$2:$C$61,0)),"")</f>
        <v>17418.971156120009</v>
      </c>
      <c r="V39" s="50">
        <f>IFERROR(INDEX('Rentabilidad datos'!$O$2:$O$61,MATCH($C39,'Rentabilidad datos'!$C$2:$C$61,0)),"")</f>
        <v>1451.5809296766674</v>
      </c>
      <c r="W39" s="51">
        <f>IFERROR(INDEX('Rentabilidad datos'!$M$2:$M$61,MATCH($C39,'Rentabilidad datos'!$C$2:$C$61,0)),"")</f>
        <v>3282.4548901856938</v>
      </c>
      <c r="X39" s="52">
        <f>IFERROR(INDEX('Rentabilidad datos'!$P$2:$P$61,MATCH($C39,'Rentabilidad datos'!$C$2:$C$61,0)),"")</f>
        <v>0.44222418227796245</v>
      </c>
      <c r="Y39" s="43" t="s">
        <v>171</v>
      </c>
      <c r="Z39" s="53">
        <v>48.897321428571402</v>
      </c>
      <c r="AA39" s="43">
        <v>1</v>
      </c>
      <c r="AB39" s="54">
        <v>0.99989418952473363</v>
      </c>
      <c r="AC39" s="55">
        <v>1.0581047526636175E-4</v>
      </c>
      <c r="AD39" s="752" t="e">
        <f>_xlfn.XLOOKUP(Table1[[#This Row],[Ruta]],#REF!,#REF!)</f>
        <v>#REF!</v>
      </c>
      <c r="AE39" s="752" t="e">
        <f>_xlfn.XLOOKUP(Table1[[#This Row],[Ruta]],#REF!,#REF!)</f>
        <v>#REF!</v>
      </c>
      <c r="AF39" s="752" t="e">
        <f>_xlfn.XLOOKUP(Table1[[#This Row],[Ruta]],#REF!,#REF!)</f>
        <v>#REF!</v>
      </c>
      <c r="AG39" s="752" t="e">
        <f>_xlfn.XLOOKUP(Table1[[#This Row],[Ruta]],#REF!,#REF!)</f>
        <v>#REF!</v>
      </c>
      <c r="AH39" s="52">
        <v>0.19112214940058073</v>
      </c>
      <c r="AI39" s="52">
        <v>0.8088778505994193</v>
      </c>
      <c r="AJ39" s="55">
        <v>0</v>
      </c>
      <c r="AK39" s="56">
        <v>21906</v>
      </c>
      <c r="AL39" s="44">
        <v>19344</v>
      </c>
      <c r="AM39" s="54">
        <v>0.88304574089290599</v>
      </c>
      <c r="AN39" s="55">
        <v>0.74419034651647398</v>
      </c>
      <c r="AO39" s="56">
        <v>0</v>
      </c>
      <c r="AP39" s="48">
        <v>0</v>
      </c>
      <c r="AQ39" s="55">
        <v>0.88304574089290611</v>
      </c>
      <c r="AR39" s="51">
        <v>6823522.8399999999</v>
      </c>
      <c r="AS39" s="49">
        <v>0</v>
      </c>
      <c r="AT39" s="55">
        <v>0</v>
      </c>
      <c r="AU39" s="51">
        <v>0</v>
      </c>
      <c r="AV39" s="52">
        <v>0</v>
      </c>
      <c r="AW39" s="44">
        <v>490</v>
      </c>
      <c r="AX39" s="51">
        <v>352.74621794871803</v>
      </c>
      <c r="AY39" s="49">
        <v>366.04511818894201</v>
      </c>
      <c r="AZ39" s="49">
        <v>13.298900240223986</v>
      </c>
      <c r="BA39" s="42" t="s">
        <v>150</v>
      </c>
      <c r="BB39" s="50">
        <v>90386.514627286684</v>
      </c>
      <c r="BC39" s="57">
        <v>90386.514627286684</v>
      </c>
      <c r="BD39" s="42" t="s">
        <v>150</v>
      </c>
      <c r="BE39" s="46">
        <v>48.897321428571402</v>
      </c>
      <c r="BF39" s="46">
        <v>48.897321428571402</v>
      </c>
      <c r="BG39" s="42" t="s">
        <v>150</v>
      </c>
      <c r="BH39" s="52">
        <v>0.88304574089290599</v>
      </c>
      <c r="BI39" s="52">
        <v>0.79215712207379996</v>
      </c>
      <c r="BJ39" s="42" t="s">
        <v>150</v>
      </c>
      <c r="BK39" s="46">
        <v>285.316237897321</v>
      </c>
      <c r="BL39" s="46">
        <v>326.54713917579897</v>
      </c>
      <c r="BM39" s="42" t="s">
        <v>152</v>
      </c>
      <c r="BN39" s="48">
        <v>2</v>
      </c>
      <c r="BO39" s="42" t="s">
        <v>161</v>
      </c>
      <c r="BP39" s="42" t="s">
        <v>152</v>
      </c>
      <c r="BQ39" s="46">
        <v>0</v>
      </c>
      <c r="BR39" s="46">
        <v>596</v>
      </c>
      <c r="BS39" s="46">
        <v>51754</v>
      </c>
      <c r="BT39" s="46">
        <v>16148</v>
      </c>
      <c r="BU39" s="46">
        <v>3.2049789447609611</v>
      </c>
      <c r="BV39" s="46">
        <v>27.093959731543624</v>
      </c>
      <c r="BW39" s="46">
        <v>711</v>
      </c>
      <c r="BX39" s="46">
        <v>8151</v>
      </c>
      <c r="BY39" s="46">
        <v>8862</v>
      </c>
      <c r="BZ39" s="46">
        <v>0.54879861283131037</v>
      </c>
      <c r="CA39" s="46">
        <v>4.4030220460738172E-2</v>
      </c>
      <c r="CB39" s="46">
        <v>0.50476839237057225</v>
      </c>
      <c r="CC39" s="46">
        <v>0.28176864007926677</v>
      </c>
      <c r="CD39" s="46">
        <v>0.1694327470894228</v>
      </c>
      <c r="CE39" s="46">
        <v>0</v>
      </c>
      <c r="CF39" s="46">
        <v>0</v>
      </c>
      <c r="CG39" s="46">
        <v>0</v>
      </c>
      <c r="CH39" s="46">
        <v>0</v>
      </c>
      <c r="CI39" s="46">
        <v>1.8356069096108512</v>
      </c>
      <c r="CJ39" s="46">
        <v>0.59898751787301474</v>
      </c>
      <c r="CK39">
        <v>298</v>
      </c>
      <c r="CL39">
        <v>741.53</v>
      </c>
      <c r="CM39">
        <f t="shared" si="7"/>
        <v>443.53</v>
      </c>
      <c r="CN39">
        <v>4.26</v>
      </c>
      <c r="CO39">
        <v>9.4499999999999993</v>
      </c>
      <c r="CP39">
        <f t="shared" si="8"/>
        <v>5.1899999999999995</v>
      </c>
      <c r="CQ39">
        <v>846.56</v>
      </c>
      <c r="CR39">
        <v>285.32</v>
      </c>
      <c r="CS39">
        <f t="shared" si="9"/>
        <v>561.24</v>
      </c>
      <c r="CT39" t="s">
        <v>152</v>
      </c>
      <c r="CU39">
        <v>47.86</v>
      </c>
      <c r="CV39">
        <v>277</v>
      </c>
      <c r="CW39" s="46">
        <v>8862</v>
      </c>
      <c r="CX39" s="46">
        <f t="shared" si="3"/>
        <v>52.133205350507794</v>
      </c>
      <c r="CY39" s="46">
        <v>443.53</v>
      </c>
      <c r="CZ39" s="46">
        <f t="shared" si="4"/>
        <v>54.879861283131035</v>
      </c>
      <c r="DA39" s="46">
        <f t="shared" si="5"/>
        <v>301.13062809758958</v>
      </c>
      <c r="DB39" s="46">
        <v>4996217.8499999996</v>
      </c>
      <c r="DC39" s="46">
        <f t="shared" si="6"/>
        <v>6.2331846430076077</v>
      </c>
      <c r="DD39" s="46">
        <v>103418.07</v>
      </c>
      <c r="DE39" s="995">
        <v>8862</v>
      </c>
      <c r="DF39" s="995">
        <v>52.667000000000002</v>
      </c>
      <c r="DG39" s="995">
        <v>357.4</v>
      </c>
      <c r="DH39" s="995">
        <v>54.88</v>
      </c>
      <c r="DI39" s="995">
        <v>547.66200000000003</v>
      </c>
      <c r="DJ39" s="995">
        <v>9039365</v>
      </c>
      <c r="DK39" s="995">
        <v>11.222</v>
      </c>
      <c r="DL39" s="995">
        <v>185225.60000000001</v>
      </c>
      <c r="DM39" s="995">
        <v>8862</v>
      </c>
      <c r="DN39" s="995">
        <v>52.853000000000002</v>
      </c>
      <c r="DO39" s="995">
        <v>327.39999999999998</v>
      </c>
      <c r="DP39" s="995">
        <v>54.88</v>
      </c>
      <c r="DQ39" s="995">
        <v>530.51700000000005</v>
      </c>
      <c r="DR39" s="995">
        <v>8740452</v>
      </c>
      <c r="DS39" s="995">
        <v>10.87</v>
      </c>
      <c r="DT39" s="995">
        <v>179090.8</v>
      </c>
    </row>
    <row r="40" spans="1:124">
      <c r="A40" s="42" t="s">
        <v>92</v>
      </c>
      <c r="B40" s="42" t="s">
        <v>168</v>
      </c>
      <c r="C40" s="42" t="s">
        <v>196</v>
      </c>
      <c r="D40" s="42">
        <v>704304</v>
      </c>
      <c r="E40" s="42" t="s">
        <v>201</v>
      </c>
      <c r="F40" s="42" t="s">
        <v>149</v>
      </c>
      <c r="G40" s="42" t="s">
        <v>150</v>
      </c>
      <c r="H40" s="43" t="s">
        <v>150</v>
      </c>
      <c r="I40" s="44">
        <v>12</v>
      </c>
      <c r="J40" s="45">
        <v>90624.307199999996</v>
      </c>
      <c r="K40" s="46">
        <v>28193.607867999999</v>
      </c>
      <c r="L40" s="47">
        <v>118817.915068</v>
      </c>
      <c r="M40" s="48">
        <v>4462385</v>
      </c>
      <c r="N40" s="49">
        <v>1303983</v>
      </c>
      <c r="O40" s="49">
        <v>3158402</v>
      </c>
      <c r="P40" s="49">
        <v>0</v>
      </c>
      <c r="Q40" s="50">
        <v>10118.7873922903</v>
      </c>
      <c r="R40" s="51">
        <v>3255.9797438798</v>
      </c>
      <c r="S40" s="49">
        <v>12862.528700987399</v>
      </c>
      <c r="T40" s="49">
        <v>1300.4627112528201</v>
      </c>
      <c r="U40" s="49">
        <f>IFERROR(INDEX('Rentabilidad datos'!$N$2:$N$61,MATCH($C40,'Rentabilidad datos'!$C$2:$C$61,0)),"")</f>
        <v>17418.971156120009</v>
      </c>
      <c r="V40" s="50">
        <f>IFERROR(INDEX('Rentabilidad datos'!$O$2:$O$61,MATCH($C40,'Rentabilidad datos'!$C$2:$C$61,0)),"")</f>
        <v>1451.5809296766674</v>
      </c>
      <c r="W40" s="51">
        <f>IFERROR(INDEX('Rentabilidad datos'!$M$2:$M$61,MATCH($C40,'Rentabilidad datos'!$C$2:$C$61,0)),"")</f>
        <v>3282.4548901856938</v>
      </c>
      <c r="X40" s="52">
        <f>IFERROR(INDEX('Rentabilidad datos'!$P$2:$P$61,MATCH($C40,'Rentabilidad datos'!$C$2:$C$61,0)),"")</f>
        <v>0.44222418227796245</v>
      </c>
      <c r="Y40" s="43" t="s">
        <v>171</v>
      </c>
      <c r="Z40" s="53">
        <v>60.437641723356002</v>
      </c>
      <c r="AA40" s="43">
        <v>1</v>
      </c>
      <c r="AB40" s="54">
        <v>0.99708026089187729</v>
      </c>
      <c r="AC40" s="55">
        <v>2.9197391081226742E-3</v>
      </c>
      <c r="AD40" s="752" t="e">
        <f>_xlfn.XLOOKUP(Table1[[#This Row],[Ruta]],#REF!,#REF!)</f>
        <v>#REF!</v>
      </c>
      <c r="AE40" s="752" t="e">
        <f>_xlfn.XLOOKUP(Table1[[#This Row],[Ruta]],#REF!,#REF!)</f>
        <v>#REF!</v>
      </c>
      <c r="AF40" s="752" t="e">
        <f>_xlfn.XLOOKUP(Table1[[#This Row],[Ruta]],#REF!,#REF!)</f>
        <v>#REF!</v>
      </c>
      <c r="AG40" s="752" t="e">
        <f>_xlfn.XLOOKUP(Table1[[#This Row],[Ruta]],#REF!,#REF!)</f>
        <v>#REF!</v>
      </c>
      <c r="AH40" s="52">
        <v>0.29221660614223111</v>
      </c>
      <c r="AI40" s="52">
        <v>0.70778339385776889</v>
      </c>
      <c r="AJ40" s="55">
        <v>0</v>
      </c>
      <c r="AK40" s="56">
        <v>26653</v>
      </c>
      <c r="AL40" s="44">
        <v>11890</v>
      </c>
      <c r="AM40" s="54">
        <v>0.44610362810940601</v>
      </c>
      <c r="AN40" s="55">
        <v>0.74419034651647398</v>
      </c>
      <c r="AO40" s="56">
        <v>7944.9053057035899</v>
      </c>
      <c r="AP40" s="48">
        <v>3972.4526528517949</v>
      </c>
      <c r="AQ40" s="55">
        <v>0.59514698731294013</v>
      </c>
      <c r="AR40" s="51">
        <v>4462385.24</v>
      </c>
      <c r="AS40" s="49">
        <v>1490884.2796202451</v>
      </c>
      <c r="AT40" s="55">
        <v>0.33410030722050454</v>
      </c>
      <c r="AU40" s="51">
        <v>1047648.4127061185</v>
      </c>
      <c r="AV40" s="52">
        <v>4.7658517711116621E-3</v>
      </c>
      <c r="AW40" s="44">
        <v>36</v>
      </c>
      <c r="AX40" s="51">
        <v>375.30573927670298</v>
      </c>
      <c r="AY40" s="49">
        <v>366.04511818894201</v>
      </c>
      <c r="AZ40" s="49">
        <v>0</v>
      </c>
      <c r="BA40" s="42" t="s">
        <v>152</v>
      </c>
      <c r="BB40" s="50">
        <v>0</v>
      </c>
      <c r="BC40" s="57">
        <v>1047648.4127061185</v>
      </c>
      <c r="BD40" s="42" t="s">
        <v>150</v>
      </c>
      <c r="BE40" s="46">
        <v>60.437641723356002</v>
      </c>
      <c r="BF40" s="46">
        <v>48.897321428571402</v>
      </c>
      <c r="BG40" s="42" t="s">
        <v>150</v>
      </c>
      <c r="BH40" s="52">
        <v>0.44610362810940601</v>
      </c>
      <c r="BI40" s="52">
        <v>0.79215712207379996</v>
      </c>
      <c r="BJ40" s="42" t="s">
        <v>152</v>
      </c>
      <c r="BK40" s="46">
        <v>269.42837883900199</v>
      </c>
      <c r="BL40" s="46">
        <v>326.54713917579897</v>
      </c>
      <c r="BM40" s="42" t="s">
        <v>152</v>
      </c>
      <c r="BN40" s="48">
        <v>1</v>
      </c>
      <c r="BO40" s="42" t="s">
        <v>155</v>
      </c>
      <c r="BP40" s="42" t="s">
        <v>152</v>
      </c>
      <c r="BQ40" s="46">
        <v>3674.0360846047702</v>
      </c>
      <c r="BR40" s="46">
        <v>1367</v>
      </c>
      <c r="BS40" s="46">
        <v>110909</v>
      </c>
      <c r="BT40" s="46">
        <v>31319</v>
      </c>
      <c r="BU40" s="46">
        <v>3.5412688783166768</v>
      </c>
      <c r="BV40" s="46">
        <v>22.910753474762252</v>
      </c>
      <c r="BW40" s="46">
        <v>4143</v>
      </c>
      <c r="BX40" s="46">
        <v>12776</v>
      </c>
      <c r="BY40" s="46">
        <v>16919</v>
      </c>
      <c r="BZ40" s="46">
        <v>0.54021520482774033</v>
      </c>
      <c r="CA40" s="46">
        <v>0.13228391711101889</v>
      </c>
      <c r="CB40" s="46">
        <v>0.40793128771672149</v>
      </c>
      <c r="CC40" s="46">
        <v>0.21692902072224529</v>
      </c>
      <c r="CD40" s="46">
        <v>6.9255084772821607E-2</v>
      </c>
      <c r="CE40" s="46">
        <v>0</v>
      </c>
      <c r="CF40" s="46">
        <v>0.1735368306778633</v>
      </c>
      <c r="CG40" s="46">
        <v>0</v>
      </c>
      <c r="CH40" s="46">
        <v>6.3858999329480506E-5</v>
      </c>
      <c r="CI40" s="46">
        <v>2.515575832439207</v>
      </c>
      <c r="CJ40" s="46">
        <v>0.49590204582134906</v>
      </c>
      <c r="CK40">
        <v>551</v>
      </c>
      <c r="CL40">
        <v>967.99</v>
      </c>
      <c r="CM40">
        <f t="shared" si="7"/>
        <v>416.99</v>
      </c>
      <c r="CN40">
        <v>7.05</v>
      </c>
      <c r="CO40">
        <v>9.4499999999999993</v>
      </c>
      <c r="CP40">
        <f t="shared" si="8"/>
        <v>2.3999999999999995</v>
      </c>
      <c r="CQ40">
        <v>846.56</v>
      </c>
      <c r="CR40">
        <v>269.43</v>
      </c>
      <c r="CS40">
        <f t="shared" si="9"/>
        <v>577.12999999999988</v>
      </c>
      <c r="CT40" t="s">
        <v>152</v>
      </c>
      <c r="CU40">
        <v>74.59</v>
      </c>
      <c r="CV40">
        <v>387</v>
      </c>
      <c r="CW40" s="46">
        <v>16919</v>
      </c>
      <c r="CX40" s="46">
        <f t="shared" si="3"/>
        <v>52.690092276254028</v>
      </c>
      <c r="CY40" s="46">
        <v>416.99</v>
      </c>
      <c r="CZ40" s="46">
        <f t="shared" si="4"/>
        <v>54.021520482774029</v>
      </c>
      <c r="DA40" s="46">
        <f t="shared" si="5"/>
        <v>172.23941241473796</v>
      </c>
      <c r="DB40" s="46">
        <v>5466188.2699999996</v>
      </c>
      <c r="DC40" s="46">
        <f t="shared" si="6"/>
        <v>4.4309882880603375</v>
      </c>
      <c r="DD40" s="46">
        <v>140621.79999999999</v>
      </c>
      <c r="DE40" s="995">
        <v>16919</v>
      </c>
      <c r="DF40" s="995">
        <v>52.795000000000002</v>
      </c>
      <c r="DG40" s="995">
        <v>384.2</v>
      </c>
      <c r="DH40" s="995">
        <v>54.021999999999998</v>
      </c>
      <c r="DI40" s="995">
        <v>327.43</v>
      </c>
      <c r="DJ40" s="995">
        <v>10380578</v>
      </c>
      <c r="DK40" s="995">
        <v>8.3889999999999993</v>
      </c>
      <c r="DL40" s="995">
        <v>265961.40000000002</v>
      </c>
      <c r="DM40" s="995">
        <v>16919</v>
      </c>
      <c r="DN40" s="995">
        <v>52.831000000000003</v>
      </c>
      <c r="DO40" s="995">
        <v>373</v>
      </c>
      <c r="DP40" s="995">
        <v>54.021999999999998</v>
      </c>
      <c r="DQ40" s="995">
        <v>324.87299999999999</v>
      </c>
      <c r="DR40" s="995">
        <v>10295876</v>
      </c>
      <c r="DS40" s="995">
        <v>8.3190000000000008</v>
      </c>
      <c r="DT40" s="995">
        <v>263655.8</v>
      </c>
    </row>
    <row r="41" spans="1:124">
      <c r="A41" s="42" t="s">
        <v>92</v>
      </c>
      <c r="B41" s="42" t="s">
        <v>168</v>
      </c>
      <c r="C41" s="42" t="s">
        <v>196</v>
      </c>
      <c r="D41" s="42">
        <v>704305</v>
      </c>
      <c r="E41" s="42" t="s">
        <v>202</v>
      </c>
      <c r="F41" s="42" t="s">
        <v>149</v>
      </c>
      <c r="G41" s="42" t="s">
        <v>150</v>
      </c>
      <c r="H41" s="43" t="s">
        <v>150</v>
      </c>
      <c r="I41" s="44">
        <v>12</v>
      </c>
      <c r="J41" s="45">
        <v>98958.305600000007</v>
      </c>
      <c r="K41" s="46">
        <v>41947.462062999999</v>
      </c>
      <c r="L41" s="47">
        <v>140905.76766300001</v>
      </c>
      <c r="M41" s="48">
        <v>6475539</v>
      </c>
      <c r="N41" s="49">
        <v>1466941</v>
      </c>
      <c r="O41" s="49">
        <v>5008598</v>
      </c>
      <c r="P41" s="49">
        <v>0</v>
      </c>
      <c r="Q41" s="50">
        <v>14750.656127562601</v>
      </c>
      <c r="R41" s="51">
        <v>3255.9797438798</v>
      </c>
      <c r="S41" s="49">
        <v>12862.528700987399</v>
      </c>
      <c r="T41" s="49">
        <v>1300.4627112528201</v>
      </c>
      <c r="U41" s="49">
        <f>IFERROR(INDEX('Rentabilidad datos'!$N$2:$N$61,MATCH($C41,'Rentabilidad datos'!$C$2:$C$61,0)),"")</f>
        <v>17418.971156120009</v>
      </c>
      <c r="V41" s="50">
        <f>IFERROR(INDEX('Rentabilidad datos'!$O$2:$O$61,MATCH($C41,'Rentabilidad datos'!$C$2:$C$61,0)),"")</f>
        <v>1451.5809296766674</v>
      </c>
      <c r="W41" s="51">
        <f>IFERROR(INDEX('Rentabilidad datos'!$M$2:$M$61,MATCH($C41,'Rentabilidad datos'!$C$2:$C$61,0)),"")</f>
        <v>3282.4548901856938</v>
      </c>
      <c r="X41" s="52">
        <f>IFERROR(INDEX('Rentabilidad datos'!$P$2:$P$61,MATCH($C41,'Rentabilidad datos'!$C$2:$C$61,0)),"")</f>
        <v>0.44222418227796245</v>
      </c>
      <c r="Y41" s="43" t="s">
        <v>171</v>
      </c>
      <c r="Z41" s="53">
        <v>47.243735763098002</v>
      </c>
      <c r="AA41" s="43">
        <v>1</v>
      </c>
      <c r="AB41" s="54">
        <v>0.99982024662348568</v>
      </c>
      <c r="AC41" s="55">
        <v>1.7975337651429478E-4</v>
      </c>
      <c r="AD41" s="752" t="e">
        <f>_xlfn.XLOOKUP(Table1[[#This Row],[Ruta]],#REF!,#REF!)</f>
        <v>#REF!</v>
      </c>
      <c r="AE41" s="752" t="e">
        <f>_xlfn.XLOOKUP(Table1[[#This Row],[Ruta]],#REF!,#REF!)</f>
        <v>#REF!</v>
      </c>
      <c r="AF41" s="752" t="e">
        <f>_xlfn.XLOOKUP(Table1[[#This Row],[Ruta]],#REF!,#REF!)</f>
        <v>#REF!</v>
      </c>
      <c r="AG41" s="752" t="e">
        <f>_xlfn.XLOOKUP(Table1[[#This Row],[Ruta]],#REF!,#REF!)</f>
        <v>#REF!</v>
      </c>
      <c r="AH41" s="52">
        <v>0.22653573702513413</v>
      </c>
      <c r="AI41" s="52">
        <v>0.77346426297486592</v>
      </c>
      <c r="AJ41" s="55">
        <v>0</v>
      </c>
      <c r="AK41" s="56">
        <v>20740</v>
      </c>
      <c r="AL41" s="44">
        <v>17841</v>
      </c>
      <c r="AM41" s="54">
        <v>0.86022179363548701</v>
      </c>
      <c r="AN41" s="55">
        <v>0.74419034651647398</v>
      </c>
      <c r="AO41" s="56">
        <v>0</v>
      </c>
      <c r="AP41" s="48">
        <v>0</v>
      </c>
      <c r="AQ41" s="55">
        <v>0.86022179363548701</v>
      </c>
      <c r="AR41" s="51">
        <v>6475538.04</v>
      </c>
      <c r="AS41" s="49">
        <v>0</v>
      </c>
      <c r="AT41" s="55">
        <v>0</v>
      </c>
      <c r="AU41" s="51">
        <v>0</v>
      </c>
      <c r="AV41" s="52">
        <v>0</v>
      </c>
      <c r="AW41" s="44">
        <v>490</v>
      </c>
      <c r="AX41" s="51">
        <v>362.95824449302199</v>
      </c>
      <c r="AY41" s="49">
        <v>366.04511818894201</v>
      </c>
      <c r="AZ41" s="49">
        <v>3.0868736959200191</v>
      </c>
      <c r="BA41" s="42" t="s">
        <v>150</v>
      </c>
      <c r="BB41" s="50">
        <v>19349.942619346435</v>
      </c>
      <c r="BC41" s="57">
        <v>19349.942619346435</v>
      </c>
      <c r="BD41" s="42" t="s">
        <v>150</v>
      </c>
      <c r="BE41" s="46">
        <v>47.243735763098002</v>
      </c>
      <c r="BF41" s="46">
        <v>48.897321428571402</v>
      </c>
      <c r="BG41" s="42" t="s">
        <v>152</v>
      </c>
      <c r="BH41" s="52">
        <v>0.86022179363548701</v>
      </c>
      <c r="BI41" s="52">
        <v>0.79215712207379996</v>
      </c>
      <c r="BJ41" s="42" t="s">
        <v>150</v>
      </c>
      <c r="BK41" s="46">
        <v>320.96985800227799</v>
      </c>
      <c r="BL41" s="46">
        <v>326.54713917579897</v>
      </c>
      <c r="BM41" s="42" t="s">
        <v>152</v>
      </c>
      <c r="BN41" s="48">
        <v>1</v>
      </c>
      <c r="BO41" s="42" t="s">
        <v>155</v>
      </c>
      <c r="BP41" s="42" t="s">
        <v>152</v>
      </c>
      <c r="BQ41" s="46">
        <v>0</v>
      </c>
      <c r="BR41" s="46">
        <v>182</v>
      </c>
      <c r="BS41" s="46">
        <v>11933</v>
      </c>
      <c r="BT41" s="46">
        <v>4085</v>
      </c>
      <c r="BU41" s="46">
        <v>2.921175030599755</v>
      </c>
      <c r="BV41" s="46">
        <v>22.445054945054945</v>
      </c>
      <c r="BW41" s="46">
        <v>587</v>
      </c>
      <c r="BX41" s="46">
        <v>3115</v>
      </c>
      <c r="BY41" s="46">
        <v>3702</v>
      </c>
      <c r="BZ41" s="46">
        <v>0.90624235006119946</v>
      </c>
      <c r="CA41" s="46">
        <v>0.1436964504283966</v>
      </c>
      <c r="CB41" s="46">
        <v>0.76254589963280295</v>
      </c>
      <c r="CC41" s="46">
        <v>9.3757649938800494E-2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1.340819575965809</v>
      </c>
      <c r="CJ41" s="46">
        <v>1.0894159054722199</v>
      </c>
      <c r="CK41">
        <v>276</v>
      </c>
      <c r="CL41">
        <v>728.88</v>
      </c>
      <c r="CM41">
        <f t="shared" si="7"/>
        <v>452.88</v>
      </c>
      <c r="CN41">
        <v>4.54</v>
      </c>
      <c r="CO41">
        <v>9.4499999999999993</v>
      </c>
      <c r="CP41">
        <f t="shared" si="8"/>
        <v>4.9099999999999993</v>
      </c>
      <c r="CQ41">
        <v>1269.8399999999999</v>
      </c>
      <c r="CR41">
        <v>320.97000000000003</v>
      </c>
      <c r="CS41">
        <f t="shared" si="9"/>
        <v>948.86999999999989</v>
      </c>
      <c r="CT41" t="s">
        <v>152</v>
      </c>
      <c r="CU41">
        <v>49.62</v>
      </c>
      <c r="CV41">
        <v>298</v>
      </c>
      <c r="CW41" s="46">
        <v>3702</v>
      </c>
      <c r="CX41" s="46">
        <f t="shared" si="3"/>
        <v>79.537821297429616</v>
      </c>
      <c r="CY41" s="46">
        <v>452.88</v>
      </c>
      <c r="CZ41" s="46">
        <f t="shared" si="4"/>
        <v>90.624235006119946</v>
      </c>
      <c r="DA41" s="46">
        <f t="shared" si="5"/>
        <v>1094.7750381235289</v>
      </c>
      <c r="DB41" s="46">
        <v>4967957.75</v>
      </c>
      <c r="DC41" s="46">
        <f t="shared" si="6"/>
        <v>23.785031776953112</v>
      </c>
      <c r="DD41" s="46">
        <v>107933.62</v>
      </c>
      <c r="DE41" s="995">
        <v>3702</v>
      </c>
      <c r="DF41" s="995">
        <v>82.784999999999997</v>
      </c>
      <c r="DG41" s="995">
        <v>320.2</v>
      </c>
      <c r="DH41" s="995">
        <v>90.623999999999995</v>
      </c>
      <c r="DI41" s="995">
        <v>1746.8820000000001</v>
      </c>
      <c r="DJ41" s="995">
        <v>7695438</v>
      </c>
      <c r="DK41" s="995">
        <v>37.76</v>
      </c>
      <c r="DL41" s="995">
        <v>166342.20000000001</v>
      </c>
      <c r="DM41" s="995">
        <v>3702</v>
      </c>
      <c r="DN41" s="995">
        <v>83.945999999999998</v>
      </c>
      <c r="DO41" s="995">
        <v>272.8</v>
      </c>
      <c r="DP41" s="995">
        <v>90.623999999999995</v>
      </c>
      <c r="DQ41" s="995">
        <v>1651.421</v>
      </c>
      <c r="DR41" s="995">
        <v>7196565</v>
      </c>
      <c r="DS41" s="995">
        <v>35.737000000000002</v>
      </c>
      <c r="DT41" s="995">
        <v>155732.6</v>
      </c>
    </row>
    <row r="42" spans="1:124">
      <c r="A42" s="42" t="s">
        <v>92</v>
      </c>
      <c r="B42" s="42" t="s">
        <v>168</v>
      </c>
      <c r="C42" s="42" t="s">
        <v>196</v>
      </c>
      <c r="D42" s="42">
        <v>704306</v>
      </c>
      <c r="E42" s="42" t="s">
        <v>203</v>
      </c>
      <c r="F42" s="42" t="s">
        <v>149</v>
      </c>
      <c r="G42" s="42" t="s">
        <v>150</v>
      </c>
      <c r="H42" s="43" t="s">
        <v>150</v>
      </c>
      <c r="I42" s="44">
        <v>12</v>
      </c>
      <c r="J42" s="45">
        <v>96753.283200000005</v>
      </c>
      <c r="K42" s="46">
        <v>38742.464134000002</v>
      </c>
      <c r="L42" s="47">
        <v>135495.74733400001</v>
      </c>
      <c r="M42" s="48">
        <v>6219275</v>
      </c>
      <c r="N42" s="49">
        <v>1397595</v>
      </c>
      <c r="O42" s="49">
        <v>4821680</v>
      </c>
      <c r="P42" s="49">
        <v>0</v>
      </c>
      <c r="Q42" s="50">
        <v>14007.3749324324</v>
      </c>
      <c r="R42" s="51">
        <v>3255.9797438798</v>
      </c>
      <c r="S42" s="49">
        <v>12862.528700987399</v>
      </c>
      <c r="T42" s="49">
        <v>1300.4627112528201</v>
      </c>
      <c r="U42" s="49">
        <f>IFERROR(INDEX('Rentabilidad datos'!$N$2:$N$61,MATCH($C42,'Rentabilidad datos'!$C$2:$C$61,0)),"")</f>
        <v>17418.971156120009</v>
      </c>
      <c r="V42" s="50">
        <f>IFERROR(INDEX('Rentabilidad datos'!$O$2:$O$61,MATCH($C42,'Rentabilidad datos'!$C$2:$C$61,0)),"")</f>
        <v>1451.5809296766674</v>
      </c>
      <c r="W42" s="51">
        <f>IFERROR(INDEX('Rentabilidad datos'!$M$2:$M$61,MATCH($C42,'Rentabilidad datos'!$C$2:$C$61,0)),"")</f>
        <v>3282.4548901856938</v>
      </c>
      <c r="X42" s="52">
        <f>IFERROR(INDEX('Rentabilidad datos'!$P$2:$P$61,MATCH($C42,'Rentabilidad datos'!$C$2:$C$61,0)),"")</f>
        <v>0.44222418227796245</v>
      </c>
      <c r="Y42" s="43" t="s">
        <v>171</v>
      </c>
      <c r="Z42" s="53">
        <v>42.527027027027003</v>
      </c>
      <c r="AA42" s="43">
        <v>1</v>
      </c>
      <c r="AB42" s="54">
        <v>0.99960895763573732</v>
      </c>
      <c r="AC42" s="55">
        <v>3.9104236426271551E-4</v>
      </c>
      <c r="AD42" s="752" t="e">
        <f>_xlfn.XLOOKUP(Table1[[#This Row],[Ruta]],#REF!,#REF!)</f>
        <v>#REF!</v>
      </c>
      <c r="AE42" s="752" t="e">
        <f>_xlfn.XLOOKUP(Table1[[#This Row],[Ruta]],#REF!,#REF!)</f>
        <v>#REF!</v>
      </c>
      <c r="AF42" s="752" t="e">
        <f>_xlfn.XLOOKUP(Table1[[#This Row],[Ruta]],#REF!,#REF!)</f>
        <v>#REF!</v>
      </c>
      <c r="AG42" s="752" t="e">
        <f>_xlfn.XLOOKUP(Table1[[#This Row],[Ruta]],#REF!,#REF!)</f>
        <v>#REF!</v>
      </c>
      <c r="AH42" s="52">
        <v>0.22471992314216691</v>
      </c>
      <c r="AI42" s="52">
        <v>0.77528007685783307</v>
      </c>
      <c r="AJ42" s="55">
        <v>0</v>
      </c>
      <c r="AK42" s="56">
        <v>18882</v>
      </c>
      <c r="AL42" s="44">
        <v>13754</v>
      </c>
      <c r="AM42" s="54">
        <v>0.72841859972460499</v>
      </c>
      <c r="AN42" s="55">
        <v>0.74419034651647398</v>
      </c>
      <c r="AO42" s="56">
        <v>297.80212292406799</v>
      </c>
      <c r="AP42" s="48">
        <v>148.90106146203399</v>
      </c>
      <c r="AQ42" s="55">
        <v>0.73630447312053993</v>
      </c>
      <c r="AR42" s="51">
        <v>6219274.4699999997</v>
      </c>
      <c r="AS42" s="49">
        <v>67329.981831229496</v>
      </c>
      <c r="AT42" s="55">
        <v>1.0826018719066036E-2</v>
      </c>
      <c r="AU42" s="51">
        <v>47312.96020572885</v>
      </c>
      <c r="AV42" s="52">
        <v>2.1523113332512714E-4</v>
      </c>
      <c r="AW42" s="44">
        <v>436</v>
      </c>
      <c r="AX42" s="51">
        <v>452.179327468373</v>
      </c>
      <c r="AY42" s="49">
        <v>366.04511818894201</v>
      </c>
      <c r="AZ42" s="49">
        <v>0</v>
      </c>
      <c r="BA42" s="42" t="s">
        <v>152</v>
      </c>
      <c r="BB42" s="50">
        <v>0</v>
      </c>
      <c r="BC42" s="57">
        <v>47312.96020572885</v>
      </c>
      <c r="BD42" s="42" t="s">
        <v>150</v>
      </c>
      <c r="BE42" s="46">
        <v>42.527027027027003</v>
      </c>
      <c r="BF42" s="46">
        <v>48.897321428571402</v>
      </c>
      <c r="BG42" s="42" t="s">
        <v>152</v>
      </c>
      <c r="BH42" s="52">
        <v>0.72841859972460499</v>
      </c>
      <c r="BI42" s="52">
        <v>0.79215712207379996</v>
      </c>
      <c r="BJ42" s="42" t="s">
        <v>152</v>
      </c>
      <c r="BK42" s="46">
        <v>305.17060210360398</v>
      </c>
      <c r="BL42" s="46">
        <v>326.54713917579897</v>
      </c>
      <c r="BM42" s="42" t="s">
        <v>152</v>
      </c>
      <c r="BN42" s="48">
        <v>0</v>
      </c>
      <c r="BO42" s="42" t="s">
        <v>155</v>
      </c>
      <c r="BP42" s="42" t="s">
        <v>152</v>
      </c>
      <c r="BQ42" s="46">
        <v>2375.4982108347099</v>
      </c>
      <c r="BR42" s="46">
        <v>985</v>
      </c>
      <c r="BS42" s="46">
        <v>53536</v>
      </c>
      <c r="BT42" s="46">
        <v>16826</v>
      </c>
      <c r="BU42" s="46">
        <v>3.1817425413051232</v>
      </c>
      <c r="BV42" s="46">
        <v>17.08223350253807</v>
      </c>
      <c r="BW42" s="46">
        <v>392</v>
      </c>
      <c r="BX42" s="46">
        <v>6321</v>
      </c>
      <c r="BY42" s="46">
        <v>6713</v>
      </c>
      <c r="BZ42" s="46">
        <v>0.3989658861286105</v>
      </c>
      <c r="CA42" s="46">
        <v>2.3297278022108639E-2</v>
      </c>
      <c r="CB42" s="46">
        <v>0.37566860810650182</v>
      </c>
      <c r="CC42" s="46">
        <v>2.6863187923451801E-2</v>
      </c>
      <c r="CD42" s="46">
        <v>0</v>
      </c>
      <c r="CE42" s="46">
        <v>0</v>
      </c>
      <c r="CF42" s="46">
        <v>0.57417092594793773</v>
      </c>
      <c r="CG42" s="46">
        <v>0</v>
      </c>
      <c r="CH42" s="46">
        <v>0</v>
      </c>
      <c r="CI42" s="46">
        <v>3.623729826658697</v>
      </c>
      <c r="CJ42" s="46">
        <v>1.2888523610280929</v>
      </c>
      <c r="CK42">
        <v>243</v>
      </c>
      <c r="CL42">
        <v>653.58000000000004</v>
      </c>
      <c r="CM42">
        <f t="shared" si="7"/>
        <v>410.58000000000004</v>
      </c>
      <c r="CN42">
        <v>3.37</v>
      </c>
      <c r="CO42">
        <v>9.4499999999999993</v>
      </c>
      <c r="CP42">
        <f t="shared" si="8"/>
        <v>6.0799999999999992</v>
      </c>
      <c r="CQ42">
        <v>846.56</v>
      </c>
      <c r="CR42">
        <v>305.17</v>
      </c>
      <c r="CS42">
        <f t="shared" si="9"/>
        <v>541.38999999999987</v>
      </c>
      <c r="CT42" t="s">
        <v>152</v>
      </c>
      <c r="CU42">
        <v>42.43</v>
      </c>
      <c r="CV42">
        <v>228</v>
      </c>
      <c r="CW42" s="46">
        <v>6713</v>
      </c>
      <c r="CX42" s="46">
        <f t="shared" si="3"/>
        <v>37.456436467371923</v>
      </c>
      <c r="CY42" s="46">
        <v>410.58</v>
      </c>
      <c r="CZ42" s="46">
        <f t="shared" si="4"/>
        <v>39.896588612861052</v>
      </c>
      <c r="DA42" s="46">
        <f t="shared" si="5"/>
        <v>230.12620891151258</v>
      </c>
      <c r="DB42" s="46">
        <v>3966588.81</v>
      </c>
      <c r="DC42" s="46">
        <f t="shared" si="6"/>
        <v>5.2879944861451627</v>
      </c>
      <c r="DD42" s="46">
        <v>91146.94</v>
      </c>
      <c r="DE42" s="995">
        <v>6713</v>
      </c>
      <c r="DF42" s="995">
        <v>37.76</v>
      </c>
      <c r="DG42" s="995">
        <v>359.4</v>
      </c>
      <c r="DH42" s="995">
        <v>39.896999999999998</v>
      </c>
      <c r="DI42" s="995">
        <v>438.79399999999998</v>
      </c>
      <c r="DJ42" s="995">
        <v>7540857</v>
      </c>
      <c r="DK42" s="995">
        <v>10.069000000000001</v>
      </c>
      <c r="DL42" s="995">
        <v>173038.7</v>
      </c>
      <c r="DM42" s="995">
        <v>6713</v>
      </c>
      <c r="DN42" s="995">
        <v>37.945999999999998</v>
      </c>
      <c r="DO42" s="995">
        <v>328.2</v>
      </c>
      <c r="DP42" s="995">
        <v>39.896999999999998</v>
      </c>
      <c r="DQ42" s="995">
        <v>424.13099999999997</v>
      </c>
      <c r="DR42" s="995">
        <v>7275626</v>
      </c>
      <c r="DS42" s="995">
        <v>9.7319999999999993</v>
      </c>
      <c r="DT42" s="995">
        <v>166951.79999999999</v>
      </c>
    </row>
    <row r="43" spans="1:124">
      <c r="A43" s="42" t="s">
        <v>92</v>
      </c>
      <c r="B43" s="42" t="s">
        <v>168</v>
      </c>
      <c r="C43" s="42" t="s">
        <v>196</v>
      </c>
      <c r="D43" s="42">
        <v>704307</v>
      </c>
      <c r="E43" s="42" t="s">
        <v>204</v>
      </c>
      <c r="F43" s="42" t="s">
        <v>149</v>
      </c>
      <c r="G43" s="42" t="s">
        <v>150</v>
      </c>
      <c r="H43" s="43" t="s">
        <v>150</v>
      </c>
      <c r="I43" s="44">
        <v>12</v>
      </c>
      <c r="J43" s="45">
        <v>70138.0288</v>
      </c>
      <c r="K43" s="46">
        <v>25486.016825999999</v>
      </c>
      <c r="L43" s="47">
        <v>95624.045626000006</v>
      </c>
      <c r="M43" s="48">
        <v>4531528</v>
      </c>
      <c r="N43" s="49">
        <v>1032825</v>
      </c>
      <c r="O43" s="49">
        <v>3498665</v>
      </c>
      <c r="P43" s="49">
        <v>38</v>
      </c>
      <c r="Q43" s="50">
        <v>10513.892227378199</v>
      </c>
      <c r="R43" s="51">
        <v>3255.9797438798</v>
      </c>
      <c r="S43" s="49">
        <v>12862.528700987399</v>
      </c>
      <c r="T43" s="49">
        <v>1300.4627112528201</v>
      </c>
      <c r="U43" s="49">
        <f>IFERROR(INDEX('Rentabilidad datos'!$N$2:$N$61,MATCH($C43,'Rentabilidad datos'!$C$2:$C$61,0)),"")</f>
        <v>17418.971156120009</v>
      </c>
      <c r="V43" s="50">
        <f>IFERROR(INDEX('Rentabilidad datos'!$O$2:$O$61,MATCH($C43,'Rentabilidad datos'!$C$2:$C$61,0)),"")</f>
        <v>1451.5809296766674</v>
      </c>
      <c r="W43" s="51">
        <f>IFERROR(INDEX('Rentabilidad datos'!$M$2:$M$61,MATCH($C43,'Rentabilidad datos'!$C$2:$C$61,0)),"")</f>
        <v>3282.4548901856938</v>
      </c>
      <c r="X43" s="52">
        <f>IFERROR(INDEX('Rentabilidad datos'!$P$2:$P$61,MATCH($C43,'Rentabilidad datos'!$C$2:$C$61,0)),"")</f>
        <v>0.44222418227796245</v>
      </c>
      <c r="Y43" s="43" t="s">
        <v>171</v>
      </c>
      <c r="Z43" s="53">
        <v>48.994764397905797</v>
      </c>
      <c r="AA43" s="43">
        <v>1</v>
      </c>
      <c r="AB43" s="54">
        <v>0.99720624036748751</v>
      </c>
      <c r="AC43" s="55">
        <v>2.7937596325124771E-3</v>
      </c>
      <c r="AD43" s="752" t="e">
        <f>_xlfn.XLOOKUP(Table1[[#This Row],[Ruta]],#REF!,#REF!)</f>
        <v>#REF!</v>
      </c>
      <c r="AE43" s="752" t="e">
        <f>_xlfn.XLOOKUP(Table1[[#This Row],[Ruta]],#REF!,#REF!)</f>
        <v>#REF!</v>
      </c>
      <c r="AF43" s="752" t="e">
        <f>_xlfn.XLOOKUP(Table1[[#This Row],[Ruta]],#REF!,#REF!)</f>
        <v>#REF!</v>
      </c>
      <c r="AG43" s="752" t="e">
        <f>_xlfn.XLOOKUP(Table1[[#This Row],[Ruta]],#REF!,#REF!)</f>
        <v>#REF!</v>
      </c>
      <c r="AH43" s="52">
        <v>0.22791980983015001</v>
      </c>
      <c r="AI43" s="52">
        <v>0.77207180447743018</v>
      </c>
      <c r="AJ43" s="55">
        <v>8.3856924198636743E-6</v>
      </c>
      <c r="AK43" s="56">
        <v>18716</v>
      </c>
      <c r="AL43" s="44">
        <v>13420</v>
      </c>
      <c r="AM43" s="54">
        <v>0.61973712331694797</v>
      </c>
      <c r="AN43" s="55">
        <v>0.74419034651647398</v>
      </c>
      <c r="AO43" s="56">
        <v>2329.26652540233</v>
      </c>
      <c r="AP43" s="48">
        <v>1164.633262701165</v>
      </c>
      <c r="AQ43" s="55">
        <v>0.77926016577800628</v>
      </c>
      <c r="AR43" s="51">
        <v>4531487.55</v>
      </c>
      <c r="AS43" s="49">
        <v>393257.90836409951</v>
      </c>
      <c r="AT43" s="55">
        <v>8.678340258577992E-2</v>
      </c>
      <c r="AU43" s="51">
        <v>276343.39506666461</v>
      </c>
      <c r="AV43" s="52">
        <v>1.2571122552570652E-3</v>
      </c>
      <c r="AW43" s="44">
        <v>261</v>
      </c>
      <c r="AX43" s="51">
        <v>337.66673248882302</v>
      </c>
      <c r="AY43" s="49">
        <v>366.04511818894201</v>
      </c>
      <c r="AZ43" s="49">
        <v>28.378385700118997</v>
      </c>
      <c r="BA43" s="42" t="s">
        <v>150</v>
      </c>
      <c r="BB43" s="50">
        <v>133807.92349304762</v>
      </c>
      <c r="BC43" s="57">
        <v>410151.31855971226</v>
      </c>
      <c r="BD43" s="42" t="s">
        <v>150</v>
      </c>
      <c r="BE43" s="46">
        <v>48.994764397905797</v>
      </c>
      <c r="BF43" s="46">
        <v>48.897321428571402</v>
      </c>
      <c r="BG43" s="42" t="s">
        <v>150</v>
      </c>
      <c r="BH43" s="52">
        <v>0.61973712331694797</v>
      </c>
      <c r="BI43" s="52">
        <v>0.79215712207379996</v>
      </c>
      <c r="BJ43" s="42" t="s">
        <v>152</v>
      </c>
      <c r="BK43" s="46">
        <v>221.865535095128</v>
      </c>
      <c r="BL43" s="46">
        <v>326.54713917579897</v>
      </c>
      <c r="BM43" s="42" t="s">
        <v>152</v>
      </c>
      <c r="BN43" s="48">
        <v>1</v>
      </c>
      <c r="BO43" s="42" t="s">
        <v>155</v>
      </c>
      <c r="BP43" s="42" t="s">
        <v>152</v>
      </c>
      <c r="BQ43" s="46">
        <v>3274.2115639358999</v>
      </c>
      <c r="BR43" s="46">
        <v>945</v>
      </c>
      <c r="BS43" s="46">
        <v>47641</v>
      </c>
      <c r="BT43" s="46">
        <v>14071</v>
      </c>
      <c r="BU43" s="46">
        <v>3.3857579418662498</v>
      </c>
      <c r="BV43" s="46">
        <v>14.889947089947089</v>
      </c>
      <c r="BW43" s="46">
        <v>805</v>
      </c>
      <c r="BX43" s="46">
        <v>7539</v>
      </c>
      <c r="BY43" s="46">
        <v>8344</v>
      </c>
      <c r="BZ43" s="46">
        <v>0.59299267998010097</v>
      </c>
      <c r="CA43" s="46">
        <v>5.7209864259825167E-2</v>
      </c>
      <c r="CB43" s="46">
        <v>0.53578281572027575</v>
      </c>
      <c r="CC43" s="46">
        <v>0.2679980100916779</v>
      </c>
      <c r="CD43" s="46">
        <v>9.8997939023523565E-2</v>
      </c>
      <c r="CE43" s="46">
        <v>1.4213630872006249E-4</v>
      </c>
      <c r="CF43" s="46">
        <v>3.9798166441617509E-2</v>
      </c>
      <c r="CG43" s="46">
        <v>0</v>
      </c>
      <c r="CH43" s="46">
        <v>7.1068154360031272E-5</v>
      </c>
      <c r="CI43" s="46">
        <v>1.3853613484183791</v>
      </c>
      <c r="CJ43" s="46">
        <v>1.1124871434268799</v>
      </c>
      <c r="CK43">
        <v>321</v>
      </c>
      <c r="CL43">
        <v>808.48</v>
      </c>
      <c r="CM43">
        <f t="shared" si="7"/>
        <v>487.48</v>
      </c>
      <c r="CN43">
        <v>4.7300000000000004</v>
      </c>
      <c r="CO43">
        <v>9.4499999999999993</v>
      </c>
      <c r="CP43">
        <f t="shared" si="8"/>
        <v>4.7199999999999989</v>
      </c>
      <c r="CQ43">
        <v>634.91999999999996</v>
      </c>
      <c r="CR43">
        <v>221.87</v>
      </c>
      <c r="CS43">
        <f t="shared" si="9"/>
        <v>413.04999999999995</v>
      </c>
      <c r="CT43" t="s">
        <v>152</v>
      </c>
      <c r="CU43">
        <v>51.27</v>
      </c>
      <c r="CV43">
        <v>287</v>
      </c>
      <c r="CW43" s="46">
        <v>8344</v>
      </c>
      <c r="CX43" s="46">
        <f t="shared" si="3"/>
        <v>55.834837609267282</v>
      </c>
      <c r="CY43" s="46">
        <v>487.48</v>
      </c>
      <c r="CZ43" s="46">
        <f t="shared" si="4"/>
        <v>59.299267998010095</v>
      </c>
      <c r="DA43" s="46">
        <f t="shared" si="5"/>
        <v>414.39116377533918</v>
      </c>
      <c r="DB43" s="46">
        <v>6032905.4699999997</v>
      </c>
      <c r="DC43" s="46">
        <f t="shared" si="6"/>
        <v>9.3693029766843789</v>
      </c>
      <c r="DD43" s="46">
        <v>136402.81</v>
      </c>
      <c r="DE43" s="995">
        <v>8344</v>
      </c>
      <c r="DF43" s="995">
        <v>56.323999999999998</v>
      </c>
      <c r="DG43" s="995">
        <v>418.6</v>
      </c>
      <c r="DH43" s="995">
        <v>59.298999999999999</v>
      </c>
      <c r="DI43" s="995">
        <v>591.98599999999999</v>
      </c>
      <c r="DJ43" s="995">
        <v>8577652</v>
      </c>
      <c r="DK43" s="995">
        <v>13.321</v>
      </c>
      <c r="DL43" s="995">
        <v>193018.3</v>
      </c>
      <c r="DM43" s="995">
        <v>8344</v>
      </c>
      <c r="DN43" s="995">
        <v>56.536999999999999</v>
      </c>
      <c r="DO43" s="995">
        <v>388.7</v>
      </c>
      <c r="DP43" s="995">
        <v>59.298999999999999</v>
      </c>
      <c r="DQ43" s="995">
        <v>577.351</v>
      </c>
      <c r="DR43" s="995">
        <v>8348314</v>
      </c>
      <c r="DS43" s="995">
        <v>12.961</v>
      </c>
      <c r="DT43" s="995">
        <v>187410.1</v>
      </c>
    </row>
    <row r="44" spans="1:124">
      <c r="A44" s="42" t="s">
        <v>92</v>
      </c>
      <c r="B44" s="42" t="s">
        <v>168</v>
      </c>
      <c r="C44" s="42" t="s">
        <v>196</v>
      </c>
      <c r="D44" s="42">
        <v>704308</v>
      </c>
      <c r="E44" s="42" t="s">
        <v>205</v>
      </c>
      <c r="F44" s="42" t="s">
        <v>149</v>
      </c>
      <c r="G44" s="42" t="s">
        <v>150</v>
      </c>
      <c r="H44" s="43" t="s">
        <v>150</v>
      </c>
      <c r="I44" s="44">
        <v>12</v>
      </c>
      <c r="J44" s="45">
        <v>66259.866399999999</v>
      </c>
      <c r="K44" s="46">
        <v>20478.735894000001</v>
      </c>
      <c r="L44" s="47">
        <v>86738.602293999997</v>
      </c>
      <c r="M44" s="48">
        <v>3681027</v>
      </c>
      <c r="N44" s="49">
        <v>960726</v>
      </c>
      <c r="O44" s="49">
        <v>2720301</v>
      </c>
      <c r="P44" s="49">
        <v>0</v>
      </c>
      <c r="Q44" s="50">
        <v>8590.2832009345802</v>
      </c>
      <c r="R44" s="51">
        <v>3255.9797438798</v>
      </c>
      <c r="S44" s="49">
        <v>12862.528700987399</v>
      </c>
      <c r="T44" s="49">
        <v>1300.4627112528201</v>
      </c>
      <c r="U44" s="49">
        <f>IFERROR(INDEX('Rentabilidad datos'!$N$2:$N$61,MATCH($C44,'Rentabilidad datos'!$C$2:$C$61,0)),"")</f>
        <v>17418.971156120009</v>
      </c>
      <c r="V44" s="50">
        <f>IFERROR(INDEX('Rentabilidad datos'!$O$2:$O$61,MATCH($C44,'Rentabilidad datos'!$C$2:$C$61,0)),"")</f>
        <v>1451.5809296766674</v>
      </c>
      <c r="W44" s="51">
        <f>IFERROR(INDEX('Rentabilidad datos'!$M$2:$M$61,MATCH($C44,'Rentabilidad datos'!$C$2:$C$61,0)),"")</f>
        <v>3282.4548901856938</v>
      </c>
      <c r="X44" s="52">
        <f>IFERROR(INDEX('Rentabilidad datos'!$P$2:$P$61,MATCH($C44,'Rentabilidad datos'!$C$2:$C$61,0)),"")</f>
        <v>0.44222418227796245</v>
      </c>
      <c r="Y44" s="43" t="s">
        <v>171</v>
      </c>
      <c r="Z44" s="53">
        <v>45.925925925925903</v>
      </c>
      <c r="AA44" s="43">
        <v>1</v>
      </c>
      <c r="AB44" s="54">
        <v>0.99939962407230376</v>
      </c>
      <c r="AC44" s="55">
        <v>6.0037592769626518E-4</v>
      </c>
      <c r="AD44" s="752" t="e">
        <f>_xlfn.XLOOKUP(Table1[[#This Row],[Ruta]],#REF!,#REF!)</f>
        <v>#REF!</v>
      </c>
      <c r="AE44" s="752" t="e">
        <f>_xlfn.XLOOKUP(Table1[[#This Row],[Ruta]],#REF!,#REF!)</f>
        <v>#REF!</v>
      </c>
      <c r="AF44" s="752" t="e">
        <f>_xlfn.XLOOKUP(Table1[[#This Row],[Ruta]],#REF!,#REF!)</f>
        <v>#REF!</v>
      </c>
      <c r="AG44" s="752" t="e">
        <f>_xlfn.XLOOKUP(Table1[[#This Row],[Ruta]],#REF!,#REF!)</f>
        <v>#REF!</v>
      </c>
      <c r="AH44" s="52">
        <v>0.26099401063887878</v>
      </c>
      <c r="AI44" s="52">
        <v>0.73900598936112127</v>
      </c>
      <c r="AJ44" s="55">
        <v>0</v>
      </c>
      <c r="AK44" s="56">
        <v>16120</v>
      </c>
      <c r="AL44" s="44">
        <v>11042</v>
      </c>
      <c r="AM44" s="54">
        <v>0.54565756823821299</v>
      </c>
      <c r="AN44" s="55">
        <v>0.74419034651647398</v>
      </c>
      <c r="AO44" s="56">
        <v>3200.3483858455702</v>
      </c>
      <c r="AP44" s="48">
        <v>1600.1741929227851</v>
      </c>
      <c r="AQ44" s="55">
        <v>0.78425398219123976</v>
      </c>
      <c r="AR44" s="51">
        <v>3676641.21</v>
      </c>
      <c r="AS44" s="49">
        <v>532808.04028965498</v>
      </c>
      <c r="AT44" s="55">
        <v>0.14491706148548963</v>
      </c>
      <c r="AU44" s="51">
        <v>374405.64993327123</v>
      </c>
      <c r="AV44" s="52">
        <v>1.7032067325331158E-3</v>
      </c>
      <c r="AW44" s="44">
        <v>202</v>
      </c>
      <c r="AX44" s="51">
        <v>332.96877467849998</v>
      </c>
      <c r="AY44" s="49">
        <v>366.04511818894201</v>
      </c>
      <c r="AZ44" s="49">
        <v>33.07634351044203</v>
      </c>
      <c r="BA44" s="42" t="s">
        <v>150</v>
      </c>
      <c r="BB44" s="50">
        <v>128323.69744729495</v>
      </c>
      <c r="BC44" s="57">
        <v>502729.34738056618</v>
      </c>
      <c r="BD44" s="42" t="s">
        <v>150</v>
      </c>
      <c r="BE44" s="46">
        <v>45.925925925925903</v>
      </c>
      <c r="BF44" s="46">
        <v>48.897321428571402</v>
      </c>
      <c r="BG44" s="42" t="s">
        <v>152</v>
      </c>
      <c r="BH44" s="52">
        <v>0.54565756823821299</v>
      </c>
      <c r="BI44" s="52">
        <v>0.79215712207379996</v>
      </c>
      <c r="BJ44" s="42" t="s">
        <v>152</v>
      </c>
      <c r="BK44" s="46">
        <v>202.660285733645</v>
      </c>
      <c r="BL44" s="46">
        <v>326.54713917579897</v>
      </c>
      <c r="BM44" s="42" t="s">
        <v>152</v>
      </c>
      <c r="BN44" s="48">
        <v>0</v>
      </c>
      <c r="BO44" s="42" t="s">
        <v>155</v>
      </c>
      <c r="BP44" s="42" t="s">
        <v>152</v>
      </c>
      <c r="BQ44" s="46">
        <v>4234.5491434511596</v>
      </c>
      <c r="BR44" s="46">
        <v>1046</v>
      </c>
      <c r="BS44" s="46">
        <v>100907</v>
      </c>
      <c r="BT44" s="46">
        <v>28947</v>
      </c>
      <c r="BU44" s="46">
        <v>3.4859225481051577</v>
      </c>
      <c r="BV44" s="46">
        <v>27.673996175908222</v>
      </c>
      <c r="BW44" s="46">
        <v>8697</v>
      </c>
      <c r="BX44" s="46">
        <v>7464</v>
      </c>
      <c r="BY44" s="46">
        <v>16161</v>
      </c>
      <c r="BZ44" s="46">
        <v>0.55829619649704632</v>
      </c>
      <c r="CA44" s="46">
        <v>0.3004456420354441</v>
      </c>
      <c r="CB44" s="46">
        <v>0.25785055446160232</v>
      </c>
      <c r="CC44" s="46">
        <v>0.30510933775520782</v>
      </c>
      <c r="CD44" s="46">
        <v>6.0558952568487243E-2</v>
      </c>
      <c r="CE44" s="46">
        <v>0</v>
      </c>
      <c r="CF44" s="46">
        <v>7.6035513179258649E-2</v>
      </c>
      <c r="CG44" s="46">
        <v>0</v>
      </c>
      <c r="CH44" s="46">
        <v>0</v>
      </c>
      <c r="CI44" s="46">
        <v>1.8730117831270381</v>
      </c>
      <c r="CJ44" s="46">
        <v>0.59460691527842469</v>
      </c>
      <c r="CK44">
        <v>319</v>
      </c>
      <c r="CL44">
        <v>824.33</v>
      </c>
      <c r="CM44">
        <f t="shared" si="7"/>
        <v>505.33000000000004</v>
      </c>
      <c r="CN44">
        <v>3.99</v>
      </c>
      <c r="CO44">
        <v>9.4499999999999993</v>
      </c>
      <c r="CP44">
        <f t="shared" si="8"/>
        <v>5.4599999999999991</v>
      </c>
      <c r="CQ44">
        <v>634.91999999999996</v>
      </c>
      <c r="CR44">
        <v>202.66</v>
      </c>
      <c r="CS44">
        <f t="shared" si="9"/>
        <v>432.26</v>
      </c>
      <c r="CT44" t="s">
        <v>152</v>
      </c>
      <c r="CU44">
        <v>42.51</v>
      </c>
      <c r="CV44">
        <v>414</v>
      </c>
      <c r="CW44" s="46">
        <v>16161</v>
      </c>
      <c r="CX44" s="46">
        <f t="shared" si="3"/>
        <v>54.083911977061526</v>
      </c>
      <c r="CY44" s="46">
        <v>505.33</v>
      </c>
      <c r="CZ44" s="46">
        <f t="shared" si="4"/>
        <v>55.829619649704632</v>
      </c>
      <c r="DA44" s="46">
        <f t="shared" si="5"/>
        <v>158.67060331050206</v>
      </c>
      <c r="DB44" s="46">
        <v>4673218.97</v>
      </c>
      <c r="DC44" s="46">
        <f t="shared" si="6"/>
        <v>4.0576850795845347</v>
      </c>
      <c r="DD44" s="46">
        <v>119508.28</v>
      </c>
      <c r="DE44" s="995">
        <v>16161</v>
      </c>
      <c r="DF44" s="995">
        <v>54.34</v>
      </c>
      <c r="DG44" s="995">
        <v>431.3</v>
      </c>
      <c r="DH44" s="995">
        <v>55.83</v>
      </c>
      <c r="DI44" s="995">
        <v>272.68400000000003</v>
      </c>
      <c r="DJ44" s="995">
        <v>8011004</v>
      </c>
      <c r="DK44" s="995">
        <v>6.9119999999999999</v>
      </c>
      <c r="DL44" s="995">
        <v>203069.5</v>
      </c>
      <c r="DM44" s="995">
        <v>16161</v>
      </c>
      <c r="DN44" s="995">
        <v>54.427</v>
      </c>
      <c r="DO44" s="995">
        <v>406.1</v>
      </c>
      <c r="DP44" s="995">
        <v>55.83</v>
      </c>
      <c r="DQ44" s="995">
        <v>266.47199999999998</v>
      </c>
      <c r="DR44" s="995">
        <v>7821780</v>
      </c>
      <c r="DS44" s="995">
        <v>6.7510000000000003</v>
      </c>
      <c r="DT44" s="995">
        <v>198155.3</v>
      </c>
    </row>
    <row r="45" spans="1:124">
      <c r="A45" s="42" t="s">
        <v>92</v>
      </c>
      <c r="B45" s="42" t="s">
        <v>168</v>
      </c>
      <c r="C45" s="42" t="s">
        <v>196</v>
      </c>
      <c r="D45" s="42">
        <v>704309</v>
      </c>
      <c r="E45" s="42" t="s">
        <v>206</v>
      </c>
      <c r="F45" s="42" t="s">
        <v>149</v>
      </c>
      <c r="G45" s="42" t="s">
        <v>150</v>
      </c>
      <c r="H45" s="43" t="s">
        <v>150</v>
      </c>
      <c r="I45" s="44">
        <v>12</v>
      </c>
      <c r="J45" s="45">
        <v>63068.571999999898</v>
      </c>
      <c r="K45" s="46">
        <v>31975.404809</v>
      </c>
      <c r="L45" s="47">
        <v>95043.976809</v>
      </c>
      <c r="M45" s="48">
        <v>5259200</v>
      </c>
      <c r="N45" s="49">
        <v>947418</v>
      </c>
      <c r="O45" s="49">
        <v>4311782</v>
      </c>
      <c r="P45" s="49">
        <v>0</v>
      </c>
      <c r="Q45" s="50">
        <v>12007.3015068493</v>
      </c>
      <c r="R45" s="51">
        <v>3255.9797438798</v>
      </c>
      <c r="S45" s="49">
        <v>12862.528700987399</v>
      </c>
      <c r="T45" s="49">
        <v>1300.4627112528201</v>
      </c>
      <c r="U45" s="49">
        <f>IFERROR(INDEX('Rentabilidad datos'!$N$2:$N$61,MATCH($C45,'Rentabilidad datos'!$C$2:$C$61,0)),"")</f>
        <v>17418.971156120009</v>
      </c>
      <c r="V45" s="50">
        <f>IFERROR(INDEX('Rentabilidad datos'!$O$2:$O$61,MATCH($C45,'Rentabilidad datos'!$C$2:$C$61,0)),"")</f>
        <v>1451.5809296766674</v>
      </c>
      <c r="W45" s="51">
        <f>IFERROR(INDEX('Rentabilidad datos'!$M$2:$M$61,MATCH($C45,'Rentabilidad datos'!$C$2:$C$61,0)),"")</f>
        <v>3282.4548901856938</v>
      </c>
      <c r="X45" s="52">
        <f>IFERROR(INDEX('Rentabilidad datos'!$P$2:$P$61,MATCH($C45,'Rentabilidad datos'!$C$2:$C$61,0)),"")</f>
        <v>0.44222418227796245</v>
      </c>
      <c r="Y45" s="43" t="s">
        <v>171</v>
      </c>
      <c r="Z45" s="53">
        <v>38.703225806451599</v>
      </c>
      <c r="AA45" s="43">
        <v>1</v>
      </c>
      <c r="AB45" s="54">
        <v>1</v>
      </c>
      <c r="AC45" s="55">
        <v>0</v>
      </c>
      <c r="AD45" s="752" t="e">
        <f>_xlfn.XLOOKUP(Table1[[#This Row],[Ruta]],#REF!,#REF!)</f>
        <v>#REF!</v>
      </c>
      <c r="AE45" s="752" t="e">
        <f>_xlfn.XLOOKUP(Table1[[#This Row],[Ruta]],#REF!,#REF!)</f>
        <v>#REF!</v>
      </c>
      <c r="AF45" s="752" t="e">
        <f>_xlfn.XLOOKUP(Table1[[#This Row],[Ruta]],#REF!,#REF!)</f>
        <v>#REF!</v>
      </c>
      <c r="AG45" s="752" t="e">
        <f>_xlfn.XLOOKUP(Table1[[#This Row],[Ruta]],#REF!,#REF!)</f>
        <v>#REF!</v>
      </c>
      <c r="AH45" s="52">
        <v>0.18014488895649527</v>
      </c>
      <c r="AI45" s="52">
        <v>0.81985511104350473</v>
      </c>
      <c r="AJ45" s="55">
        <v>0</v>
      </c>
      <c r="AK45" s="56">
        <v>11998</v>
      </c>
      <c r="AL45" s="44">
        <v>11051</v>
      </c>
      <c r="AM45" s="54">
        <v>0.69786631105184205</v>
      </c>
      <c r="AN45" s="55">
        <v>0.74419034651647398</v>
      </c>
      <c r="AO45" s="56">
        <v>555.79577750465796</v>
      </c>
      <c r="AP45" s="48">
        <v>277.89788875232898</v>
      </c>
      <c r="AQ45" s="55">
        <v>0.94423219609537667</v>
      </c>
      <c r="AR45" s="51">
        <v>5259198.0599999996</v>
      </c>
      <c r="AS45" s="49">
        <v>132252.288245801</v>
      </c>
      <c r="AT45" s="55">
        <v>2.5146854470394487E-2</v>
      </c>
      <c r="AU45" s="51">
        <v>92934.04038894127</v>
      </c>
      <c r="AV45" s="52">
        <v>4.2276574432079198E-4</v>
      </c>
      <c r="AW45" s="44">
        <v>397</v>
      </c>
      <c r="AX45" s="51">
        <v>475.90245769613603</v>
      </c>
      <c r="AY45" s="49">
        <v>366.04511818894201</v>
      </c>
      <c r="AZ45" s="49">
        <v>0</v>
      </c>
      <c r="BA45" s="42" t="s">
        <v>152</v>
      </c>
      <c r="BB45" s="50">
        <v>0</v>
      </c>
      <c r="BC45" s="57">
        <v>92934.04038894127</v>
      </c>
      <c r="BD45" s="42" t="s">
        <v>150</v>
      </c>
      <c r="BE45" s="46">
        <v>38.703225806451599</v>
      </c>
      <c r="BF45" s="46">
        <v>48.897321428571402</v>
      </c>
      <c r="BG45" s="42" t="s">
        <v>152</v>
      </c>
      <c r="BH45" s="52">
        <v>0.69786631105184205</v>
      </c>
      <c r="BI45" s="52">
        <v>0.79215712207379996</v>
      </c>
      <c r="BJ45" s="42" t="s">
        <v>152</v>
      </c>
      <c r="BK45" s="46">
        <v>216.99538084246601</v>
      </c>
      <c r="BL45" s="46">
        <v>326.54713917579897</v>
      </c>
      <c r="BM45" s="42" t="s">
        <v>152</v>
      </c>
      <c r="BN45" s="48">
        <v>0</v>
      </c>
      <c r="BO45" s="42" t="s">
        <v>155</v>
      </c>
      <c r="BP45" s="42" t="s">
        <v>152</v>
      </c>
      <c r="BQ45" s="46">
        <v>2135.2558791076899</v>
      </c>
      <c r="BR45" s="46">
        <v>905</v>
      </c>
      <c r="BS45" s="46">
        <v>25849</v>
      </c>
      <c r="BT45" s="46">
        <v>9691</v>
      </c>
      <c r="BU45" s="46">
        <v>2.6673201939944278</v>
      </c>
      <c r="BV45" s="46">
        <v>10.70828729281768</v>
      </c>
      <c r="BW45" s="46">
        <v>758</v>
      </c>
      <c r="BX45" s="46">
        <v>7170</v>
      </c>
      <c r="BY45" s="46">
        <v>7928</v>
      </c>
      <c r="BZ45" s="46">
        <v>0.81807862965638223</v>
      </c>
      <c r="CA45" s="46">
        <v>7.8216902280466419E-2</v>
      </c>
      <c r="CB45" s="46">
        <v>0.73986172737591582</v>
      </c>
      <c r="CC45" s="46">
        <v>9.9267361469404597E-2</v>
      </c>
      <c r="CD45" s="46">
        <v>4.6641213497059117E-2</v>
      </c>
      <c r="CE45" s="46">
        <v>0</v>
      </c>
      <c r="CF45" s="46">
        <v>3.6012795377154058E-2</v>
      </c>
      <c r="CG45" s="46">
        <v>0</v>
      </c>
      <c r="CH45" s="46">
        <v>0</v>
      </c>
      <c r="CI45" s="46">
        <v>5.3386978219660337</v>
      </c>
      <c r="CJ45" s="46">
        <v>6.3445394405973152</v>
      </c>
      <c r="CK45">
        <v>229</v>
      </c>
      <c r="CL45">
        <v>702.82</v>
      </c>
      <c r="CM45">
        <f t="shared" si="7"/>
        <v>473.82000000000005</v>
      </c>
      <c r="CN45">
        <v>3.55</v>
      </c>
      <c r="CO45">
        <v>9.4499999999999993</v>
      </c>
      <c r="CP45">
        <f t="shared" si="8"/>
        <v>5.8999999999999995</v>
      </c>
      <c r="CQ45">
        <v>1481.48</v>
      </c>
      <c r="CR45">
        <v>217</v>
      </c>
      <c r="CS45">
        <f t="shared" si="9"/>
        <v>1264.48</v>
      </c>
      <c r="CT45" t="s">
        <v>152</v>
      </c>
      <c r="CU45">
        <v>37.67</v>
      </c>
      <c r="CV45">
        <v>379</v>
      </c>
      <c r="CW45" s="46">
        <v>7928</v>
      </c>
      <c r="CX45" s="46">
        <f t="shared" si="3"/>
        <v>76.918584253431021</v>
      </c>
      <c r="CY45" s="46">
        <v>473.82</v>
      </c>
      <c r="CZ45" s="46">
        <f t="shared" si="4"/>
        <v>81.807862965638222</v>
      </c>
      <c r="DA45" s="46">
        <f t="shared" si="5"/>
        <v>501.37558264681519</v>
      </c>
      <c r="DB45" s="46">
        <v>5096392.55</v>
      </c>
      <c r="DC45" s="46">
        <f t="shared" si="6"/>
        <v>12.390780161380134</v>
      </c>
      <c r="DD45" s="46">
        <v>125950.05</v>
      </c>
      <c r="DE45" s="995">
        <v>7928</v>
      </c>
      <c r="DF45" s="995">
        <v>78.786000000000001</v>
      </c>
      <c r="DG45" s="995">
        <v>292.8</v>
      </c>
      <c r="DH45" s="995">
        <v>81.808000000000007</v>
      </c>
      <c r="DI45" s="995">
        <v>821.64800000000002</v>
      </c>
      <c r="DJ45" s="995">
        <v>8203196</v>
      </c>
      <c r="DK45" s="995">
        <v>20.018999999999998</v>
      </c>
      <c r="DL45" s="995">
        <v>199863.6</v>
      </c>
      <c r="DM45" s="995">
        <v>7928</v>
      </c>
      <c r="DN45" s="995">
        <v>79.308999999999997</v>
      </c>
      <c r="DO45" s="995">
        <v>242.1</v>
      </c>
      <c r="DP45" s="995">
        <v>81.808000000000007</v>
      </c>
      <c r="DQ45" s="995">
        <v>781.33199999999999</v>
      </c>
      <c r="DR45" s="995">
        <v>7761061</v>
      </c>
      <c r="DS45" s="995">
        <v>19.085000000000001</v>
      </c>
      <c r="DT45" s="995">
        <v>189569.8</v>
      </c>
    </row>
    <row r="46" spans="1:124">
      <c r="A46" s="42" t="s">
        <v>92</v>
      </c>
      <c r="B46" s="42" t="s">
        <v>168</v>
      </c>
      <c r="C46" s="42" t="s">
        <v>196</v>
      </c>
      <c r="D46" s="42">
        <v>704310</v>
      </c>
      <c r="E46" s="42" t="s">
        <v>207</v>
      </c>
      <c r="F46" s="42" t="s">
        <v>149</v>
      </c>
      <c r="G46" s="42" t="s">
        <v>150</v>
      </c>
      <c r="H46" s="43" t="s">
        <v>150</v>
      </c>
      <c r="I46" s="44">
        <v>12</v>
      </c>
      <c r="J46" s="45">
        <v>69606.005504000001</v>
      </c>
      <c r="K46" s="46">
        <v>18157.130429000001</v>
      </c>
      <c r="L46" s="47">
        <v>87763.135932999998</v>
      </c>
      <c r="M46" s="48">
        <v>3214267</v>
      </c>
      <c r="N46" s="49">
        <v>1045622</v>
      </c>
      <c r="O46" s="49">
        <v>2168612</v>
      </c>
      <c r="P46" s="49">
        <v>33</v>
      </c>
      <c r="Q46" s="50">
        <v>7321.71523917995</v>
      </c>
      <c r="R46" s="51">
        <v>3255.9797438798</v>
      </c>
      <c r="S46" s="49">
        <v>12862.528700987399</v>
      </c>
      <c r="T46" s="49">
        <v>1300.4627112528201</v>
      </c>
      <c r="U46" s="49">
        <f>IFERROR(INDEX('Rentabilidad datos'!$N$2:$N$61,MATCH($C46,'Rentabilidad datos'!$C$2:$C$61,0)),"")</f>
        <v>17418.971156120009</v>
      </c>
      <c r="V46" s="50">
        <f>IFERROR(INDEX('Rentabilidad datos'!$O$2:$O$61,MATCH($C46,'Rentabilidad datos'!$C$2:$C$61,0)),"")</f>
        <v>1451.5809296766674</v>
      </c>
      <c r="W46" s="51">
        <f>IFERROR(INDEX('Rentabilidad datos'!$M$2:$M$61,MATCH($C46,'Rentabilidad datos'!$C$2:$C$61,0)),"")</f>
        <v>3282.4548901856938</v>
      </c>
      <c r="X46" s="52">
        <f>IFERROR(INDEX('Rentabilidad datos'!$P$2:$P$61,MATCH($C46,'Rentabilidad datos'!$C$2:$C$61,0)),"")</f>
        <v>0.44222418227796245</v>
      </c>
      <c r="Y46" s="43" t="s">
        <v>171</v>
      </c>
      <c r="Z46" s="53">
        <v>43.225000000000001</v>
      </c>
      <c r="AA46" s="43">
        <v>1</v>
      </c>
      <c r="AB46" s="54">
        <v>0.98992554134426292</v>
      </c>
      <c r="AC46" s="55">
        <v>1.0074458655737062E-2</v>
      </c>
      <c r="AD46" s="752" t="e">
        <f>_xlfn.XLOOKUP(Table1[[#This Row],[Ruta]],#REF!,#REF!)</f>
        <v>#REF!</v>
      </c>
      <c r="AE46" s="752" t="e">
        <f>_xlfn.XLOOKUP(Table1[[#This Row],[Ruta]],#REF!,#REF!)</f>
        <v>#REF!</v>
      </c>
      <c r="AF46" s="752" t="e">
        <f>_xlfn.XLOOKUP(Table1[[#This Row],[Ruta]],#REF!,#REF!)</f>
        <v>#REF!</v>
      </c>
      <c r="AG46" s="752" t="e">
        <f>_xlfn.XLOOKUP(Table1[[#This Row],[Ruta]],#REF!,#REF!)</f>
        <v>#REF!</v>
      </c>
      <c r="AH46" s="52">
        <v>0.32530651622905005</v>
      </c>
      <c r="AI46" s="52">
        <v>0.67468321704450818</v>
      </c>
      <c r="AJ46" s="55">
        <v>1.0266726441829506E-5</v>
      </c>
      <c r="AK46" s="56">
        <v>12103</v>
      </c>
      <c r="AL46" s="44">
        <v>13244</v>
      </c>
      <c r="AM46" s="54">
        <v>0.75782863752788598</v>
      </c>
      <c r="AN46" s="55">
        <v>0.74419034651647398</v>
      </c>
      <c r="AO46" s="56">
        <v>0</v>
      </c>
      <c r="AP46" s="48">
        <v>0</v>
      </c>
      <c r="AQ46" s="55">
        <v>1.0942741469057258</v>
      </c>
      <c r="AR46" s="51">
        <v>3214232.99</v>
      </c>
      <c r="AS46" s="49">
        <v>0</v>
      </c>
      <c r="AT46" s="55">
        <v>0</v>
      </c>
      <c r="AU46" s="51">
        <v>0</v>
      </c>
      <c r="AV46" s="52">
        <v>0</v>
      </c>
      <c r="AW46" s="44">
        <v>490</v>
      </c>
      <c r="AX46" s="51">
        <v>242.69352083962599</v>
      </c>
      <c r="AY46" s="49">
        <v>366.04511818894201</v>
      </c>
      <c r="AZ46" s="49">
        <v>123.35159734931602</v>
      </c>
      <c r="BA46" s="42" t="s">
        <v>150</v>
      </c>
      <c r="BB46" s="50">
        <v>573991.65456287691</v>
      </c>
      <c r="BC46" s="57">
        <v>573991.65456287691</v>
      </c>
      <c r="BD46" s="42" t="s">
        <v>150</v>
      </c>
      <c r="BE46" s="46">
        <v>43.225000000000001</v>
      </c>
      <c r="BF46" s="46">
        <v>48.897321428571402</v>
      </c>
      <c r="BG46" s="42" t="s">
        <v>152</v>
      </c>
      <c r="BH46" s="52">
        <v>0.75782863752788598</v>
      </c>
      <c r="BI46" s="52">
        <v>0.79215712207379996</v>
      </c>
      <c r="BJ46" s="42" t="s">
        <v>152</v>
      </c>
      <c r="BK46" s="46">
        <v>199.916027182232</v>
      </c>
      <c r="BL46" s="46">
        <v>326.54713917579897</v>
      </c>
      <c r="BM46" s="42" t="s">
        <v>152</v>
      </c>
      <c r="BN46" s="48">
        <v>0</v>
      </c>
      <c r="BO46" s="42" t="s">
        <v>155</v>
      </c>
      <c r="BP46" s="42" t="s">
        <v>152</v>
      </c>
      <c r="BQ46" s="46">
        <v>850.07885485953898</v>
      </c>
      <c r="BR46" s="46">
        <v>677</v>
      </c>
      <c r="BS46" s="46">
        <v>56363</v>
      </c>
      <c r="BT46" s="46">
        <v>15885</v>
      </c>
      <c r="BU46" s="46">
        <v>3.5481901164620711</v>
      </c>
      <c r="BV46" s="46">
        <v>23.46381093057607</v>
      </c>
      <c r="BW46" s="46">
        <v>647</v>
      </c>
      <c r="BX46" s="46">
        <v>3044</v>
      </c>
      <c r="BY46" s="46">
        <v>3691</v>
      </c>
      <c r="BZ46" s="46">
        <v>0.23235757003462387</v>
      </c>
      <c r="CA46" s="46">
        <v>4.0730248662259994E-2</v>
      </c>
      <c r="CB46" s="46">
        <v>0.19162732137236393</v>
      </c>
      <c r="CC46" s="46">
        <v>8.5426502990242348E-2</v>
      </c>
      <c r="CD46" s="46">
        <v>0.20119609694680515</v>
      </c>
      <c r="CE46" s="46">
        <v>0</v>
      </c>
      <c r="CF46" s="46">
        <v>0.4810198300283286</v>
      </c>
      <c r="CG46" s="46">
        <v>0</v>
      </c>
      <c r="CH46" s="46">
        <v>0</v>
      </c>
      <c r="CI46" s="46">
        <v>3.5129428880648654</v>
      </c>
      <c r="CJ46" s="46">
        <v>0.40806912336107021</v>
      </c>
      <c r="CK46">
        <v>227</v>
      </c>
      <c r="CL46">
        <v>434.73</v>
      </c>
      <c r="CM46">
        <f t="shared" si="7"/>
        <v>207.73000000000002</v>
      </c>
      <c r="CN46">
        <v>4.7699999999999996</v>
      </c>
      <c r="CO46">
        <v>9.4499999999999993</v>
      </c>
      <c r="CP46">
        <f t="shared" si="8"/>
        <v>4.68</v>
      </c>
      <c r="CQ46">
        <v>634.91999999999996</v>
      </c>
      <c r="CR46">
        <v>199.92</v>
      </c>
      <c r="CS46">
        <f t="shared" si="9"/>
        <v>435</v>
      </c>
      <c r="CT46" t="s">
        <v>152</v>
      </c>
      <c r="CU46">
        <v>51.84</v>
      </c>
      <c r="CV46">
        <v>178</v>
      </c>
      <c r="CW46" s="46">
        <v>3691</v>
      </c>
      <c r="CX46" s="46">
        <f t="shared" si="3"/>
        <v>21.928045325779035</v>
      </c>
      <c r="CY46" s="46">
        <v>207.73</v>
      </c>
      <c r="CZ46" s="46">
        <f t="shared" si="4"/>
        <v>23.235757003462389</v>
      </c>
      <c r="DA46" s="46">
        <f t="shared" si="5"/>
        <v>163.44554280100394</v>
      </c>
      <c r="DB46" s="46">
        <v>2630284.9900000002</v>
      </c>
      <c r="DC46" s="46">
        <f t="shared" si="6"/>
        <v>3.6779844066233633</v>
      </c>
      <c r="DD46" s="46">
        <v>59188.81</v>
      </c>
      <c r="DE46" s="995">
        <v>3691</v>
      </c>
      <c r="DF46" s="995">
        <v>22.113</v>
      </c>
      <c r="DG46" s="995">
        <v>178.3</v>
      </c>
      <c r="DH46" s="995">
        <v>23.236000000000001</v>
      </c>
      <c r="DI46" s="995">
        <v>508.846</v>
      </c>
      <c r="DJ46" s="995">
        <v>8173753</v>
      </c>
      <c r="DK46" s="995">
        <v>11.407</v>
      </c>
      <c r="DL46" s="995">
        <v>183235.7</v>
      </c>
      <c r="DM46" s="995">
        <v>3691</v>
      </c>
      <c r="DN46" s="995">
        <v>22.219000000000001</v>
      </c>
      <c r="DO46" s="995">
        <v>161.4</v>
      </c>
      <c r="DP46" s="995">
        <v>23.236000000000001</v>
      </c>
      <c r="DQ46" s="995">
        <v>500.68700000000001</v>
      </c>
      <c r="DR46" s="995">
        <v>8034243</v>
      </c>
      <c r="DS46" s="995">
        <v>11.211</v>
      </c>
      <c r="DT46" s="995">
        <v>179896.7</v>
      </c>
    </row>
    <row r="47" spans="1:124">
      <c r="A47" s="42" t="s">
        <v>92</v>
      </c>
      <c r="B47" s="42" t="s">
        <v>168</v>
      </c>
      <c r="C47" s="42" t="s">
        <v>196</v>
      </c>
      <c r="D47" s="42">
        <v>704311</v>
      </c>
      <c r="E47" s="42" t="s">
        <v>208</v>
      </c>
      <c r="F47" s="42" t="s">
        <v>149</v>
      </c>
      <c r="G47" s="42" t="s">
        <v>150</v>
      </c>
      <c r="H47" s="43" t="s">
        <v>150</v>
      </c>
      <c r="I47" s="44">
        <v>12</v>
      </c>
      <c r="J47" s="45">
        <v>18841.317599999998</v>
      </c>
      <c r="K47" s="46">
        <v>8740.1069889999999</v>
      </c>
      <c r="L47" s="47">
        <v>27581.424588999998</v>
      </c>
      <c r="M47" s="48">
        <v>1376585</v>
      </c>
      <c r="N47" s="49">
        <v>296391</v>
      </c>
      <c r="O47" s="49">
        <v>1080150</v>
      </c>
      <c r="P47" s="49">
        <v>44</v>
      </c>
      <c r="Q47" s="50">
        <v>4664.5577288135601</v>
      </c>
      <c r="R47" s="51">
        <v>3255.9797438798</v>
      </c>
      <c r="S47" s="49">
        <v>12862.528700987399</v>
      </c>
      <c r="T47" s="49">
        <v>1300.4627112528201</v>
      </c>
      <c r="U47" s="49">
        <f>IFERROR(INDEX('Rentabilidad datos'!$N$2:$N$61,MATCH($C47,'Rentabilidad datos'!$C$2:$C$61,0)),"")</f>
        <v>17418.971156120009</v>
      </c>
      <c r="V47" s="50">
        <f>IFERROR(INDEX('Rentabilidad datos'!$O$2:$O$61,MATCH($C47,'Rentabilidad datos'!$C$2:$C$61,0)),"")</f>
        <v>1451.5809296766674</v>
      </c>
      <c r="W47" s="51">
        <f>IFERROR(INDEX('Rentabilidad datos'!$M$2:$M$61,MATCH($C47,'Rentabilidad datos'!$C$2:$C$61,0)),"")</f>
        <v>3282.4548901856938</v>
      </c>
      <c r="X47" s="52">
        <f>IFERROR(INDEX('Rentabilidad datos'!$P$2:$P$61,MATCH($C47,'Rentabilidad datos'!$C$2:$C$61,0)),"")</f>
        <v>0.44222418227796245</v>
      </c>
      <c r="Y47" s="43" t="s">
        <v>171</v>
      </c>
      <c r="Z47" s="53">
        <v>45.931372549019599</v>
      </c>
      <c r="AA47" s="43">
        <v>1</v>
      </c>
      <c r="AB47" s="54">
        <v>0.99874254041704658</v>
      </c>
      <c r="AC47" s="55">
        <v>1.2574595829534681E-3</v>
      </c>
      <c r="AD47" s="752" t="e">
        <f>_xlfn.XLOOKUP(Table1[[#This Row],[Ruta]],#REF!,#REF!)</f>
        <v>#REF!</v>
      </c>
      <c r="AE47" s="752" t="e">
        <f>_xlfn.XLOOKUP(Table1[[#This Row],[Ruta]],#REF!,#REF!)</f>
        <v>#REF!</v>
      </c>
      <c r="AF47" s="752" t="e">
        <f>_xlfn.XLOOKUP(Table1[[#This Row],[Ruta]],#REF!,#REF!)</f>
        <v>#REF!</v>
      </c>
      <c r="AG47" s="752" t="e">
        <f>_xlfn.XLOOKUP(Table1[[#This Row],[Ruta]],#REF!,#REF!)</f>
        <v>#REF!</v>
      </c>
      <c r="AH47" s="52">
        <v>0.21530889846976395</v>
      </c>
      <c r="AI47" s="52">
        <v>0.78465913837503676</v>
      </c>
      <c r="AJ47" s="55">
        <v>3.1963155199279378E-5</v>
      </c>
      <c r="AK47" s="56">
        <v>9370</v>
      </c>
      <c r="AL47" s="44">
        <v>4162</v>
      </c>
      <c r="AM47" s="54">
        <v>0.41344717182497298</v>
      </c>
      <c r="AN47" s="55">
        <v>0.74419034651647398</v>
      </c>
      <c r="AO47" s="56">
        <v>3099.06354685937</v>
      </c>
      <c r="AP47" s="48">
        <v>1549.531773429685</v>
      </c>
      <c r="AQ47" s="55">
        <v>0.60955515191352028</v>
      </c>
      <c r="AR47" s="51">
        <v>1376044.53</v>
      </c>
      <c r="AS47" s="49">
        <v>512307.71765716502</v>
      </c>
      <c r="AT47" s="55">
        <v>0.37230460678272165</v>
      </c>
      <c r="AU47" s="51">
        <v>360000.01781314315</v>
      </c>
      <c r="AV47" s="52">
        <v>1.6376741487759787E-3</v>
      </c>
      <c r="AW47" s="44">
        <v>206</v>
      </c>
      <c r="AX47" s="51">
        <v>330.62098270062501</v>
      </c>
      <c r="AY47" s="49">
        <v>366.04511818894201</v>
      </c>
      <c r="AZ47" s="49">
        <v>35.424135488317006</v>
      </c>
      <c r="BA47" s="42" t="s">
        <v>150</v>
      </c>
      <c r="BB47" s="50">
        <v>51801.574992726499</v>
      </c>
      <c r="BC47" s="57">
        <v>411801.59280586964</v>
      </c>
      <c r="BD47" s="42" t="s">
        <v>150</v>
      </c>
      <c r="BE47" s="46">
        <v>45.931372549019599</v>
      </c>
      <c r="BF47" s="46">
        <v>48.897321428571402</v>
      </c>
      <c r="BG47" s="42" t="s">
        <v>152</v>
      </c>
      <c r="BH47" s="52">
        <v>0.41344717182497298</v>
      </c>
      <c r="BI47" s="52">
        <v>0.79215712207379996</v>
      </c>
      <c r="BJ47" s="42" t="s">
        <v>152</v>
      </c>
      <c r="BK47" s="46">
        <v>93.496354538982999</v>
      </c>
      <c r="BL47" s="46">
        <v>326.54713917579897</v>
      </c>
      <c r="BM47" s="42" t="s">
        <v>152</v>
      </c>
      <c r="BN47" s="48">
        <v>0</v>
      </c>
      <c r="BO47" s="42" t="s">
        <v>155</v>
      </c>
      <c r="BP47" s="42" t="s">
        <v>152</v>
      </c>
      <c r="BQ47" s="46">
        <v>4328.4100875692702</v>
      </c>
      <c r="BR47" s="46" t="e">
        <v>#N/A</v>
      </c>
      <c r="BS47" s="46" t="e">
        <v>#N/A</v>
      </c>
      <c r="BT47" s="46" t="e">
        <v>#N/A</v>
      </c>
      <c r="BU47" s="46" t="e">
        <v>#N/A</v>
      </c>
      <c r="BV47" s="46" t="e">
        <v>#N/A</v>
      </c>
      <c r="BW47" s="46" t="e">
        <v>#N/A</v>
      </c>
      <c r="BX47" s="46" t="e">
        <v>#N/A</v>
      </c>
      <c r="BY47" s="46" t="e">
        <v>#N/A</v>
      </c>
      <c r="BZ47" s="46" t="e">
        <v>#N/A</v>
      </c>
      <c r="CA47" s="46" t="e">
        <v>#N/A</v>
      </c>
      <c r="CB47" s="46" t="e">
        <v>#N/A</v>
      </c>
      <c r="CC47" s="46" t="e">
        <v>#N/A</v>
      </c>
      <c r="CD47" s="46" t="e">
        <v>#N/A</v>
      </c>
      <c r="CE47" s="46" t="e">
        <v>#N/A</v>
      </c>
      <c r="CF47" s="46" t="e">
        <v>#N/A</v>
      </c>
      <c r="CG47" s="46" t="e">
        <v>#N/A</v>
      </c>
      <c r="CH47" s="46" t="e">
        <v>#N/A</v>
      </c>
      <c r="CI47" s="46" t="e">
        <v>#N/A</v>
      </c>
      <c r="CJ47" s="46" t="e">
        <v>#N/A</v>
      </c>
      <c r="CM47">
        <f t="shared" si="7"/>
        <v>0</v>
      </c>
      <c r="CP47">
        <f t="shared" si="8"/>
        <v>0</v>
      </c>
      <c r="CS47">
        <f t="shared" si="9"/>
        <v>0</v>
      </c>
      <c r="CW47" s="46"/>
      <c r="CX47" s="46" t="e">
        <f t="shared" si="3"/>
        <v>#N/A</v>
      </c>
      <c r="CY47" s="46"/>
      <c r="CZ47" s="46" t="e">
        <f t="shared" si="4"/>
        <v>#N/A</v>
      </c>
      <c r="DA47" s="46" t="e">
        <f t="shared" si="5"/>
        <v>#N/A</v>
      </c>
      <c r="DB47" s="46"/>
      <c r="DC47" s="46" t="e">
        <f t="shared" si="6"/>
        <v>#N/A</v>
      </c>
      <c r="DD47" s="46"/>
      <c r="DE47" s="995" t="s">
        <v>194</v>
      </c>
      <c r="DF47" s="995" t="s">
        <v>194</v>
      </c>
      <c r="DG47" s="995" t="s">
        <v>194</v>
      </c>
      <c r="DH47" s="995" t="s">
        <v>194</v>
      </c>
      <c r="DI47" s="995" t="s">
        <v>194</v>
      </c>
      <c r="DJ47" s="995" t="s">
        <v>194</v>
      </c>
      <c r="DK47" s="995" t="s">
        <v>194</v>
      </c>
      <c r="DL47" s="995" t="s">
        <v>194</v>
      </c>
      <c r="DM47" s="995" t="s">
        <v>194</v>
      </c>
      <c r="DN47" s="995" t="s">
        <v>194</v>
      </c>
      <c r="DO47" s="995" t="s">
        <v>194</v>
      </c>
      <c r="DP47" s="995" t="s">
        <v>194</v>
      </c>
      <c r="DQ47" s="995" t="s">
        <v>194</v>
      </c>
      <c r="DR47" s="995" t="s">
        <v>194</v>
      </c>
      <c r="DS47" s="995" t="s">
        <v>194</v>
      </c>
      <c r="DT47" s="995" t="s">
        <v>194</v>
      </c>
    </row>
    <row r="48" spans="1:124">
      <c r="A48" s="42" t="s">
        <v>92</v>
      </c>
      <c r="B48" s="42" t="s">
        <v>168</v>
      </c>
      <c r="C48" s="42" t="s">
        <v>209</v>
      </c>
      <c r="D48" s="42">
        <v>705300</v>
      </c>
      <c r="E48" s="42" t="s">
        <v>210</v>
      </c>
      <c r="F48" s="42" t="s">
        <v>149</v>
      </c>
      <c r="G48" s="42" t="s">
        <v>150</v>
      </c>
      <c r="H48" s="43" t="s">
        <v>150</v>
      </c>
      <c r="I48" s="44">
        <v>27</v>
      </c>
      <c r="J48" s="45">
        <v>35142.984799999998</v>
      </c>
      <c r="K48" s="46">
        <v>9592.7506379999995</v>
      </c>
      <c r="L48" s="47">
        <v>44735.735438000003</v>
      </c>
      <c r="M48" s="48">
        <v>1658582</v>
      </c>
      <c r="N48" s="49">
        <v>494162</v>
      </c>
      <c r="O48" s="49">
        <v>1164331</v>
      </c>
      <c r="P48" s="49">
        <v>89</v>
      </c>
      <c r="Q48" s="50">
        <v>4064.92718137255</v>
      </c>
      <c r="R48" s="51">
        <v>5020.3885272341104</v>
      </c>
      <c r="S48" s="49">
        <v>27731.475878010599</v>
      </c>
      <c r="T48" s="49">
        <v>2817.6692077144398</v>
      </c>
      <c r="U48" s="49">
        <f>IFERROR(INDEX('Rentabilidad datos'!$N$2:$N$61,MATCH($C48,'Rentabilidad datos'!$C$2:$C$61,0)),"")</f>
        <v>35569.533612959094</v>
      </c>
      <c r="V48" s="50">
        <f>IFERROR(INDEX('Rentabilidad datos'!$O$2:$O$61,MATCH($C48,'Rentabilidad datos'!$C$2:$C$61,0)),"")</f>
        <v>1368.0589851138113</v>
      </c>
      <c r="W48" s="51">
        <f>IFERROR(INDEX('Rentabilidad datos'!$M$2:$M$61,MATCH($C48,'Rentabilidad datos'!$C$2:$C$61,0)),"")</f>
        <v>2318.2873272484931</v>
      </c>
      <c r="X48" s="52">
        <f>IFERROR(INDEX('Rentabilidad datos'!$P$2:$P$61,MATCH($C48,'Rentabilidad datos'!$C$2:$C$61,0)),"")</f>
        <v>0.59011623323564488</v>
      </c>
      <c r="Y48" s="43" t="s">
        <v>211</v>
      </c>
      <c r="Z48" s="53">
        <v>85.376175548589302</v>
      </c>
      <c r="AA48" s="43">
        <v>1</v>
      </c>
      <c r="AB48" s="54">
        <v>0.99742309997335077</v>
      </c>
      <c r="AC48" s="55">
        <v>2.5769000266492705E-3</v>
      </c>
      <c r="AD48" s="752" t="e">
        <f>_xlfn.XLOOKUP(Table1[[#This Row],[Ruta]],#REF!,#REF!)</f>
        <v>#REF!</v>
      </c>
      <c r="AE48" s="752" t="e">
        <f>_xlfn.XLOOKUP(Table1[[#This Row],[Ruta]],#REF!,#REF!)</f>
        <v>#REF!</v>
      </c>
      <c r="AF48" s="752" t="e">
        <f>_xlfn.XLOOKUP(Table1[[#This Row],[Ruta]],#REF!,#REF!)</f>
        <v>#REF!</v>
      </c>
      <c r="AG48" s="752" t="e">
        <f>_xlfn.XLOOKUP(Table1[[#This Row],[Ruta]],#REF!,#REF!)</f>
        <v>#REF!</v>
      </c>
      <c r="AH48" s="52">
        <v>0.29794245928148261</v>
      </c>
      <c r="AI48" s="52">
        <v>0.70200388042315665</v>
      </c>
      <c r="AJ48" s="55">
        <v>5.366029536073586E-5</v>
      </c>
      <c r="AK48" s="56">
        <v>27235</v>
      </c>
      <c r="AL48" s="44">
        <v>9390</v>
      </c>
      <c r="AM48" s="54">
        <v>0.29058197172755601</v>
      </c>
      <c r="AN48" s="55">
        <v>0.59461304275985005</v>
      </c>
      <c r="AO48" s="56">
        <v>8280.2862195645303</v>
      </c>
      <c r="AP48" s="48">
        <v>4140.1431097822651</v>
      </c>
      <c r="AQ48" s="55">
        <v>0.49679247695179968</v>
      </c>
      <c r="AR48" s="51">
        <v>1658490.29</v>
      </c>
      <c r="AS48" s="49">
        <v>731244.63757021003</v>
      </c>
      <c r="AT48" s="55">
        <v>0.44090980934848284</v>
      </c>
      <c r="AU48" s="51">
        <v>513847.58315744507</v>
      </c>
      <c r="AV48" s="52">
        <v>2.3375412825250149E-3</v>
      </c>
      <c r="AW48" s="44">
        <v>142</v>
      </c>
      <c r="AX48" s="51">
        <v>176.623034078807</v>
      </c>
      <c r="AY48" s="49">
        <v>377.064073238829</v>
      </c>
      <c r="AZ48" s="49">
        <v>200.441039160022</v>
      </c>
      <c r="BA48" s="42" t="s">
        <v>150</v>
      </c>
      <c r="BB48" s="50">
        <v>661292.90946659178</v>
      </c>
      <c r="BC48" s="57">
        <v>1175140.492624037</v>
      </c>
      <c r="BD48" s="42" t="s">
        <v>150</v>
      </c>
      <c r="BE48" s="46">
        <v>85.376175548589302</v>
      </c>
      <c r="BF48" s="46">
        <v>48.897321428571402</v>
      </c>
      <c r="BG48" s="42" t="s">
        <v>150</v>
      </c>
      <c r="BH48" s="52">
        <v>0.29058197172755701</v>
      </c>
      <c r="BI48" s="52">
        <v>0.79215712207379996</v>
      </c>
      <c r="BJ48" s="42" t="s">
        <v>152</v>
      </c>
      <c r="BK48" s="46">
        <v>109.646410387255</v>
      </c>
      <c r="BL48" s="46">
        <v>326.54713917579897</v>
      </c>
      <c r="BM48" s="42" t="s">
        <v>152</v>
      </c>
      <c r="BN48" s="48">
        <v>1</v>
      </c>
      <c r="BO48" s="42" t="s">
        <v>155</v>
      </c>
      <c r="BP48" s="42" t="s">
        <v>152</v>
      </c>
      <c r="BQ48" s="46">
        <v>1977.3387750029101</v>
      </c>
      <c r="BR48" s="46">
        <v>1408</v>
      </c>
      <c r="BS48" s="46">
        <v>129165</v>
      </c>
      <c r="BT48" s="46">
        <v>35474</v>
      </c>
      <c r="BU48" s="46">
        <v>3.6411174381236964</v>
      </c>
      <c r="BV48" s="46">
        <v>25.194602272727273</v>
      </c>
      <c r="BW48" s="46">
        <v>852</v>
      </c>
      <c r="BX48" s="46">
        <v>11540</v>
      </c>
      <c r="BY48" s="46">
        <v>12392</v>
      </c>
      <c r="BZ48" s="46">
        <v>0.34932626712521847</v>
      </c>
      <c r="CA48" s="46">
        <v>2.4017590347860402E-2</v>
      </c>
      <c r="CB48" s="46">
        <v>0.32530867677735809</v>
      </c>
      <c r="CC48" s="46">
        <v>0.45213395726447542</v>
      </c>
      <c r="CD48" s="46">
        <v>0.10492191464170943</v>
      </c>
      <c r="CE48" s="46">
        <v>0</v>
      </c>
      <c r="CF48" s="46">
        <v>9.3617860968596742E-2</v>
      </c>
      <c r="CG48" s="46">
        <v>0</v>
      </c>
      <c r="CH48" s="46">
        <v>0</v>
      </c>
      <c r="CI48" s="46">
        <v>2.8413269848643208</v>
      </c>
      <c r="CJ48" s="46">
        <v>0.39484380443618627</v>
      </c>
      <c r="CK48">
        <v>491</v>
      </c>
      <c r="CL48">
        <v>1144.06</v>
      </c>
      <c r="CM48">
        <f t="shared" si="7"/>
        <v>653.05999999999995</v>
      </c>
      <c r="CN48">
        <v>13.65</v>
      </c>
      <c r="CO48">
        <v>9.4499999999999993</v>
      </c>
      <c r="CP48">
        <f t="shared" si="8"/>
        <v>-4.2000000000000011</v>
      </c>
      <c r="CQ48">
        <v>634.91999999999996</v>
      </c>
      <c r="CR48">
        <v>109.65</v>
      </c>
      <c r="CS48">
        <f t="shared" si="9"/>
        <v>525.27</v>
      </c>
      <c r="CT48" t="s">
        <v>150</v>
      </c>
      <c r="CU48">
        <v>144.41</v>
      </c>
      <c r="CV48">
        <v>377</v>
      </c>
      <c r="CW48" s="46">
        <v>12392</v>
      </c>
      <c r="CX48" s="46">
        <f t="shared" si="3"/>
        <v>33.091672774426343</v>
      </c>
      <c r="CY48" s="46">
        <v>653.05999999999995</v>
      </c>
      <c r="CZ48" s="46">
        <f t="shared" si="4"/>
        <v>34.932626712521845</v>
      </c>
      <c r="DA48" s="46">
        <f t="shared" si="5"/>
        <v>176.38037277320657</v>
      </c>
      <c r="DB48" s="46">
        <v>6372104.3099999996</v>
      </c>
      <c r="DC48" s="46">
        <f t="shared" si="6"/>
        <v>5.2336384416556454</v>
      </c>
      <c r="DD48" s="46">
        <v>189075.97</v>
      </c>
      <c r="DE48" s="995">
        <v>12392</v>
      </c>
      <c r="DF48" s="995">
        <v>33.091999999999999</v>
      </c>
      <c r="DG48" s="995">
        <v>653.1</v>
      </c>
      <c r="DH48" s="995">
        <v>34.933</v>
      </c>
      <c r="DI48" s="995">
        <v>225.60499999999999</v>
      </c>
      <c r="DJ48" s="995">
        <v>8150457</v>
      </c>
      <c r="DK48" s="995">
        <v>6.7619999999999996</v>
      </c>
      <c r="DL48" s="995">
        <v>244275.1</v>
      </c>
      <c r="DM48" s="995">
        <v>12392</v>
      </c>
      <c r="DN48" s="995">
        <v>33.091999999999999</v>
      </c>
      <c r="DO48" s="995">
        <v>653.1</v>
      </c>
      <c r="DP48" s="995">
        <v>34.933</v>
      </c>
      <c r="DQ48" s="995">
        <v>225.60499999999999</v>
      </c>
      <c r="DR48" s="995">
        <v>8150457</v>
      </c>
      <c r="DS48" s="995">
        <v>6.7619999999999996</v>
      </c>
      <c r="DT48" s="995">
        <v>244275.1</v>
      </c>
    </row>
    <row r="49" spans="1:124">
      <c r="A49" s="42" t="s">
        <v>92</v>
      </c>
      <c r="B49" s="42" t="s">
        <v>168</v>
      </c>
      <c r="C49" s="42" t="s">
        <v>209</v>
      </c>
      <c r="D49" s="42">
        <v>705301</v>
      </c>
      <c r="E49" s="42" t="s">
        <v>212</v>
      </c>
      <c r="F49" s="42" t="s">
        <v>149</v>
      </c>
      <c r="G49" s="42" t="s">
        <v>150</v>
      </c>
      <c r="H49" s="43" t="s">
        <v>150</v>
      </c>
      <c r="I49" s="44">
        <v>27</v>
      </c>
      <c r="J49" s="45">
        <v>73104.030496000007</v>
      </c>
      <c r="K49" s="46">
        <v>31546.920773999998</v>
      </c>
      <c r="L49" s="47">
        <v>104650.95127000001</v>
      </c>
      <c r="M49" s="48">
        <v>4892051</v>
      </c>
      <c r="N49" s="49">
        <v>1100522</v>
      </c>
      <c r="O49" s="49">
        <v>3791529</v>
      </c>
      <c r="P49" s="49">
        <v>0</v>
      </c>
      <c r="Q49" s="50">
        <v>11143.6238041002</v>
      </c>
      <c r="R49" s="51">
        <v>5020.3885272341104</v>
      </c>
      <c r="S49" s="49">
        <v>27731.475878010599</v>
      </c>
      <c r="T49" s="49">
        <v>2817.6692077144398</v>
      </c>
      <c r="U49" s="49">
        <f>IFERROR(INDEX('Rentabilidad datos'!$N$2:$N$61,MATCH($C49,'Rentabilidad datos'!$C$2:$C$61,0)),"")</f>
        <v>35569.533612959094</v>
      </c>
      <c r="V49" s="50">
        <f>IFERROR(INDEX('Rentabilidad datos'!$O$2:$O$61,MATCH($C49,'Rentabilidad datos'!$C$2:$C$61,0)),"")</f>
        <v>1368.0589851138113</v>
      </c>
      <c r="W49" s="51">
        <f>IFERROR(INDEX('Rentabilidad datos'!$M$2:$M$61,MATCH($C49,'Rentabilidad datos'!$C$2:$C$61,0)),"")</f>
        <v>2318.2873272484931</v>
      </c>
      <c r="X49" s="52">
        <f>IFERROR(INDEX('Rentabilidad datos'!$P$2:$P$61,MATCH($C49,'Rentabilidad datos'!$C$2:$C$61,0)),"")</f>
        <v>0.59011623323564488</v>
      </c>
      <c r="Y49" s="43" t="s">
        <v>211</v>
      </c>
      <c r="Z49" s="53">
        <v>59.369020501138998</v>
      </c>
      <c r="AA49" s="43">
        <v>1</v>
      </c>
      <c r="AB49" s="54">
        <v>1</v>
      </c>
      <c r="AC49" s="55">
        <v>0</v>
      </c>
      <c r="AD49" s="752" t="e">
        <f>_xlfn.XLOOKUP(Table1[[#This Row],[Ruta]],#REF!,#REF!)</f>
        <v>#REF!</v>
      </c>
      <c r="AE49" s="752" t="e">
        <f>_xlfn.XLOOKUP(Table1[[#This Row],[Ruta]],#REF!,#REF!)</f>
        <v>#REF!</v>
      </c>
      <c r="AF49" s="752" t="e">
        <f>_xlfn.XLOOKUP(Table1[[#This Row],[Ruta]],#REF!,#REF!)</f>
        <v>#REF!</v>
      </c>
      <c r="AG49" s="752" t="e">
        <f>_xlfn.XLOOKUP(Table1[[#This Row],[Ruta]],#REF!,#REF!)</f>
        <v>#REF!</v>
      </c>
      <c r="AH49" s="52">
        <v>0.22496126880116335</v>
      </c>
      <c r="AI49" s="52">
        <v>0.77503873119883659</v>
      </c>
      <c r="AJ49" s="55">
        <v>0</v>
      </c>
      <c r="AK49" s="56">
        <v>26063</v>
      </c>
      <c r="AL49" s="44">
        <v>16948</v>
      </c>
      <c r="AM49" s="54">
        <v>0.65027049840770501</v>
      </c>
      <c r="AN49" s="55">
        <v>0.59461304275985005</v>
      </c>
      <c r="AO49" s="56">
        <v>0</v>
      </c>
      <c r="AP49" s="48">
        <v>0</v>
      </c>
      <c r="AQ49" s="55">
        <v>0.65027049840770446</v>
      </c>
      <c r="AR49" s="51">
        <v>4892050.8499999996</v>
      </c>
      <c r="AS49" s="49">
        <v>0</v>
      </c>
      <c r="AT49" s="55">
        <v>0</v>
      </c>
      <c r="AU49" s="51">
        <v>0</v>
      </c>
      <c r="AV49" s="52">
        <v>0</v>
      </c>
      <c r="AW49" s="44">
        <v>490</v>
      </c>
      <c r="AX49" s="51">
        <v>288.65062839273099</v>
      </c>
      <c r="AY49" s="49">
        <v>377.064073238829</v>
      </c>
      <c r="AZ49" s="49">
        <v>88.413444846098002</v>
      </c>
      <c r="BA49" s="42" t="s">
        <v>150</v>
      </c>
      <c r="BB49" s="50">
        <v>526475.77898031636</v>
      </c>
      <c r="BC49" s="57">
        <v>526475.77898031636</v>
      </c>
      <c r="BD49" s="42" t="s">
        <v>150</v>
      </c>
      <c r="BE49" s="46">
        <v>59.369020501138998</v>
      </c>
      <c r="BF49" s="46">
        <v>48.897321428571402</v>
      </c>
      <c r="BG49" s="42" t="s">
        <v>150</v>
      </c>
      <c r="BH49" s="52">
        <v>0.65027049840770501</v>
      </c>
      <c r="BI49" s="52">
        <v>0.79215712207379996</v>
      </c>
      <c r="BJ49" s="42" t="s">
        <v>152</v>
      </c>
      <c r="BK49" s="46">
        <v>238.38485482915701</v>
      </c>
      <c r="BL49" s="46">
        <v>326.54713917579897</v>
      </c>
      <c r="BM49" s="42" t="s">
        <v>152</v>
      </c>
      <c r="BN49" s="48">
        <v>1</v>
      </c>
      <c r="BO49" s="42" t="s">
        <v>155</v>
      </c>
      <c r="BP49" s="42" t="s">
        <v>152</v>
      </c>
      <c r="BQ49" s="46">
        <v>460.61743097390399</v>
      </c>
      <c r="BR49" s="46">
        <v>225</v>
      </c>
      <c r="BS49" s="46">
        <v>14045</v>
      </c>
      <c r="BT49" s="46">
        <v>4537</v>
      </c>
      <c r="BU49" s="46">
        <v>3.0956579237381532</v>
      </c>
      <c r="BV49" s="46">
        <v>20.164444444444445</v>
      </c>
      <c r="BW49" s="46">
        <v>3202</v>
      </c>
      <c r="BX49" s="46">
        <v>898</v>
      </c>
      <c r="BY49" s="46">
        <v>4100</v>
      </c>
      <c r="BZ49" s="46">
        <v>0.90368084637425616</v>
      </c>
      <c r="CA49" s="46">
        <v>0.70575270002204105</v>
      </c>
      <c r="CB49" s="46">
        <v>0.19792814635221509</v>
      </c>
      <c r="CC49" s="46">
        <v>9.6319153625743878E-2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1.139195443218227</v>
      </c>
      <c r="CJ49" s="46">
        <v>0.92559629761480955</v>
      </c>
      <c r="CK49">
        <v>292</v>
      </c>
      <c r="CL49">
        <v>728.75</v>
      </c>
      <c r="CM49">
        <f t="shared" si="7"/>
        <v>436.75</v>
      </c>
      <c r="CN49">
        <v>4.13</v>
      </c>
      <c r="CO49">
        <v>9.4499999999999993</v>
      </c>
      <c r="CP49">
        <f t="shared" si="8"/>
        <v>5.3199999999999994</v>
      </c>
      <c r="CQ49">
        <v>634.91999999999996</v>
      </c>
      <c r="CR49">
        <v>238.38</v>
      </c>
      <c r="CS49">
        <f t="shared" si="9"/>
        <v>396.53999999999996</v>
      </c>
      <c r="CT49" t="s">
        <v>152</v>
      </c>
      <c r="CU49">
        <v>45.89</v>
      </c>
      <c r="CV49">
        <v>295</v>
      </c>
      <c r="CW49" s="46">
        <v>4100</v>
      </c>
      <c r="CX49" s="46">
        <f t="shared" si="3"/>
        <v>80.741679523914485</v>
      </c>
      <c r="CY49" s="46">
        <v>436.75</v>
      </c>
      <c r="CZ49" s="46">
        <f t="shared" si="4"/>
        <v>90.368084637425611</v>
      </c>
      <c r="DA49" s="46">
        <f t="shared" si="5"/>
        <v>739.96447750691129</v>
      </c>
      <c r="DB49" s="46">
        <v>3680398.32</v>
      </c>
      <c r="DC49" s="46">
        <f t="shared" si="6"/>
        <v>16.321879869313896</v>
      </c>
      <c r="DD49" s="46">
        <v>81180.95</v>
      </c>
      <c r="DE49" s="995">
        <v>4100</v>
      </c>
      <c r="DF49" s="995">
        <v>82.960999999999999</v>
      </c>
      <c r="DG49" s="995">
        <v>336.1</v>
      </c>
      <c r="DH49" s="995">
        <v>90.367999999999995</v>
      </c>
      <c r="DI49" s="995">
        <v>1391.4280000000001</v>
      </c>
      <c r="DJ49" s="995">
        <v>6780508</v>
      </c>
      <c r="DK49" s="995">
        <v>30.116</v>
      </c>
      <c r="DL49" s="995">
        <v>146756.29999999999</v>
      </c>
      <c r="DM49" s="995">
        <v>4100</v>
      </c>
      <c r="DN49" s="995">
        <v>83.905000000000001</v>
      </c>
      <c r="DO49" s="995">
        <v>293.2</v>
      </c>
      <c r="DP49" s="995">
        <v>90.367999999999995</v>
      </c>
      <c r="DQ49" s="995">
        <v>1334.384</v>
      </c>
      <c r="DR49" s="995">
        <v>6445406</v>
      </c>
      <c r="DS49" s="995">
        <v>28.783999999999999</v>
      </c>
      <c r="DT49" s="995">
        <v>139035.6</v>
      </c>
    </row>
    <row r="50" spans="1:124">
      <c r="A50" s="42" t="s">
        <v>92</v>
      </c>
      <c r="B50" s="42" t="s">
        <v>168</v>
      </c>
      <c r="C50" s="42" t="s">
        <v>209</v>
      </c>
      <c r="D50" s="42">
        <v>705302</v>
      </c>
      <c r="E50" s="42" t="s">
        <v>213</v>
      </c>
      <c r="F50" s="42" t="s">
        <v>149</v>
      </c>
      <c r="G50" s="42" t="s">
        <v>150</v>
      </c>
      <c r="H50" s="43" t="s">
        <v>150</v>
      </c>
      <c r="I50" s="44">
        <v>27</v>
      </c>
      <c r="J50" s="45">
        <v>18658.1528</v>
      </c>
      <c r="K50" s="46">
        <v>4179.4080780000004</v>
      </c>
      <c r="L50" s="47">
        <v>22837.560878</v>
      </c>
      <c r="M50" s="48">
        <v>739807</v>
      </c>
      <c r="N50" s="49">
        <v>265084</v>
      </c>
      <c r="O50" s="49">
        <v>474442</v>
      </c>
      <c r="P50" s="49">
        <v>281</v>
      </c>
      <c r="Q50" s="50">
        <v>1889.4015856777501</v>
      </c>
      <c r="R50" s="51">
        <v>5020.3885272341104</v>
      </c>
      <c r="S50" s="49">
        <v>27731.475878010599</v>
      </c>
      <c r="T50" s="49">
        <v>2817.6692077144398</v>
      </c>
      <c r="U50" s="49">
        <f>IFERROR(INDEX('Rentabilidad datos'!$N$2:$N$61,MATCH($C50,'Rentabilidad datos'!$C$2:$C$61,0)),"")</f>
        <v>35569.533612959094</v>
      </c>
      <c r="V50" s="50">
        <f>IFERROR(INDEX('Rentabilidad datos'!$O$2:$O$61,MATCH($C50,'Rentabilidad datos'!$C$2:$C$61,0)),"")</f>
        <v>1368.0589851138113</v>
      </c>
      <c r="W50" s="51">
        <f>IFERROR(INDEX('Rentabilidad datos'!$M$2:$M$61,MATCH($C50,'Rentabilidad datos'!$C$2:$C$61,0)),"")</f>
        <v>2318.2873272484931</v>
      </c>
      <c r="X50" s="52">
        <f>IFERROR(INDEX('Rentabilidad datos'!$P$2:$P$61,MATCH($C50,'Rentabilidad datos'!$C$2:$C$61,0)),"")</f>
        <v>0.59011623323564488</v>
      </c>
      <c r="Y50" s="43" t="s">
        <v>211</v>
      </c>
      <c r="Z50" s="53">
        <v>51.376666666666701</v>
      </c>
      <c r="AA50" s="43">
        <v>1</v>
      </c>
      <c r="AB50" s="54">
        <v>0.82238070199389846</v>
      </c>
      <c r="AC50" s="55">
        <v>0.1776192980061016</v>
      </c>
      <c r="AD50" s="752" t="e">
        <f>_xlfn.XLOOKUP(Table1[[#This Row],[Ruta]],#REF!,#REF!)</f>
        <v>#REF!</v>
      </c>
      <c r="AE50" s="752" t="e">
        <f>_xlfn.XLOOKUP(Table1[[#This Row],[Ruta]],#REF!,#REF!)</f>
        <v>#REF!</v>
      </c>
      <c r="AF50" s="752" t="e">
        <f>_xlfn.XLOOKUP(Table1[[#This Row],[Ruta]],#REF!,#REF!)</f>
        <v>#REF!</v>
      </c>
      <c r="AG50" s="752" t="e">
        <f>_xlfn.XLOOKUP(Table1[[#This Row],[Ruta]],#REF!,#REF!)</f>
        <v>#REF!</v>
      </c>
      <c r="AH50" s="52">
        <v>0.35831507406661467</v>
      </c>
      <c r="AI50" s="52">
        <v>0.64130509714020012</v>
      </c>
      <c r="AJ50" s="55">
        <v>3.7982879318524966E-4</v>
      </c>
      <c r="AK50" s="56">
        <v>15413</v>
      </c>
      <c r="AL50" s="44">
        <v>2184</v>
      </c>
      <c r="AM50" s="54">
        <v>0.118406539933822</v>
      </c>
      <c r="AN50" s="55">
        <v>0.59461304275985005</v>
      </c>
      <c r="AO50" s="56">
        <v>7339.7708280575698</v>
      </c>
      <c r="AP50" s="48">
        <v>3669.8854140287849</v>
      </c>
      <c r="AQ50" s="55">
        <v>0.37980181755847564</v>
      </c>
      <c r="AR50" s="51">
        <v>738756.02</v>
      </c>
      <c r="AS50" s="49">
        <v>1241369.021210605</v>
      </c>
      <c r="AT50" s="55">
        <v>1.6803504642988967</v>
      </c>
      <c r="AU50" s="51">
        <v>872313.36625610117</v>
      </c>
      <c r="AV50" s="52">
        <v>3.9682360523961456E-3</v>
      </c>
      <c r="AW50" s="44">
        <v>62</v>
      </c>
      <c r="AX50" s="51">
        <v>338.25825091575098</v>
      </c>
      <c r="AY50" s="49">
        <v>377.064073238829</v>
      </c>
      <c r="AZ50" s="49">
        <v>38.805822323078019</v>
      </c>
      <c r="BA50" s="42" t="s">
        <v>150</v>
      </c>
      <c r="BB50" s="50">
        <v>29777.700199914365</v>
      </c>
      <c r="BC50" s="57">
        <v>902091.06645601557</v>
      </c>
      <c r="BD50" s="42" t="s">
        <v>150</v>
      </c>
      <c r="BE50" s="46">
        <v>51.376666666666701</v>
      </c>
      <c r="BF50" s="46">
        <v>48.897321428571402</v>
      </c>
      <c r="BG50" s="42" t="s">
        <v>150</v>
      </c>
      <c r="BH50" s="52">
        <v>0.118406539933822</v>
      </c>
      <c r="BI50" s="52">
        <v>0.79215712207379996</v>
      </c>
      <c r="BJ50" s="42" t="s">
        <v>152</v>
      </c>
      <c r="BK50" s="46">
        <v>58.408084086956499</v>
      </c>
      <c r="BL50" s="46">
        <v>326.54713917579897</v>
      </c>
      <c r="BM50" s="42" t="s">
        <v>152</v>
      </c>
      <c r="BN50" s="48">
        <v>1</v>
      </c>
      <c r="BO50" s="42" t="s">
        <v>155</v>
      </c>
      <c r="BP50" s="42" t="s">
        <v>152</v>
      </c>
      <c r="BQ50" s="46">
        <v>6996.2124025702997</v>
      </c>
      <c r="BR50" s="46">
        <v>2372</v>
      </c>
      <c r="BS50" s="46">
        <v>234591</v>
      </c>
      <c r="BT50" s="46">
        <v>66319</v>
      </c>
      <c r="BU50" s="46">
        <v>3.5373120825102911</v>
      </c>
      <c r="BV50" s="46">
        <v>27.959106239460372</v>
      </c>
      <c r="BW50" s="46">
        <v>0</v>
      </c>
      <c r="BX50" s="46">
        <v>7</v>
      </c>
      <c r="BY50" s="46">
        <v>7</v>
      </c>
      <c r="BZ50" s="46">
        <v>1.0555044557366667E-4</v>
      </c>
      <c r="CA50" s="46">
        <v>0</v>
      </c>
      <c r="CB50" s="46">
        <v>1.055504455736667E-4</v>
      </c>
      <c r="CC50" s="46">
        <v>3.2841267208492293E-2</v>
      </c>
      <c r="CD50" s="46">
        <v>0.13335544866478691</v>
      </c>
      <c r="CE50" s="46">
        <v>4.737707142749438E-2</v>
      </c>
      <c r="CF50" s="46">
        <v>0.78609448272742355</v>
      </c>
      <c r="CG50" s="46">
        <v>2.261795262292857E-4</v>
      </c>
      <c r="CH50" s="46">
        <v>0</v>
      </c>
      <c r="CI50" s="46">
        <v>4.9149370606715506</v>
      </c>
      <c r="CJ50" s="46">
        <v>0.35380726455831629</v>
      </c>
      <c r="CK50">
        <v>325</v>
      </c>
      <c r="CL50">
        <v>372.73</v>
      </c>
      <c r="CM50">
        <f t="shared" si="7"/>
        <v>47.730000000000018</v>
      </c>
      <c r="CN50">
        <v>5.48</v>
      </c>
      <c r="CO50">
        <v>9.4499999999999993</v>
      </c>
      <c r="CP50">
        <f t="shared" si="8"/>
        <v>3.9699999999999989</v>
      </c>
      <c r="CQ50">
        <v>662.01</v>
      </c>
      <c r="CR50">
        <v>58.41</v>
      </c>
      <c r="CS50">
        <f t="shared" si="9"/>
        <v>603.6</v>
      </c>
      <c r="CT50" t="s">
        <v>152</v>
      </c>
      <c r="CU50">
        <v>57.95</v>
      </c>
      <c r="CV50">
        <v>0</v>
      </c>
      <c r="CW50" s="46">
        <v>7</v>
      </c>
      <c r="CX50" s="46">
        <f t="shared" si="3"/>
        <v>-6.1415280688792047E-2</v>
      </c>
      <c r="CY50" s="46">
        <v>47.73</v>
      </c>
      <c r="CZ50" s="46">
        <f t="shared" si="4"/>
        <v>1.0555044557366668E-2</v>
      </c>
      <c r="DA50" s="46">
        <f t="shared" si="5"/>
        <v>4.7009168599989781</v>
      </c>
      <c r="DB50" s="46">
        <v>311984.48</v>
      </c>
      <c r="DC50" s="46">
        <f t="shared" si="6"/>
        <v>0.1627230993601764</v>
      </c>
      <c r="DD50" s="46">
        <v>10799.4</v>
      </c>
      <c r="DE50" s="995">
        <v>7</v>
      </c>
      <c r="DF50" s="995">
        <v>-3.9E-2</v>
      </c>
      <c r="DG50" s="995">
        <v>32.799999999999997</v>
      </c>
      <c r="DH50" s="995">
        <v>1.0999999999999999E-2</v>
      </c>
      <c r="DI50" s="995">
        <v>20.213000000000001</v>
      </c>
      <c r="DJ50" s="995">
        <v>1341181</v>
      </c>
      <c r="DK50" s="995">
        <v>0.60899999999999999</v>
      </c>
      <c r="DL50" s="995">
        <v>40433.300000000003</v>
      </c>
      <c r="DM50" s="995">
        <v>7</v>
      </c>
      <c r="DN50" s="995">
        <v>-0.03</v>
      </c>
      <c r="DO50" s="995">
        <v>27.1</v>
      </c>
      <c r="DP50" s="995">
        <v>1.0999999999999999E-2</v>
      </c>
      <c r="DQ50" s="995">
        <v>19.835000000000001</v>
      </c>
      <c r="DR50" s="995">
        <v>1315998</v>
      </c>
      <c r="DS50" s="995">
        <v>0.59599999999999997</v>
      </c>
      <c r="DT50" s="995">
        <v>39561.599999999999</v>
      </c>
    </row>
    <row r="51" spans="1:124">
      <c r="A51" s="42" t="s">
        <v>92</v>
      </c>
      <c r="B51" s="42" t="s">
        <v>168</v>
      </c>
      <c r="C51" s="42" t="s">
        <v>209</v>
      </c>
      <c r="D51" s="42">
        <v>705303</v>
      </c>
      <c r="E51" s="42" t="s">
        <v>214</v>
      </c>
      <c r="F51" s="42" t="s">
        <v>149</v>
      </c>
      <c r="G51" s="42" t="s">
        <v>150</v>
      </c>
      <c r="H51" s="43" t="s">
        <v>150</v>
      </c>
      <c r="I51" s="44">
        <v>27</v>
      </c>
      <c r="J51" s="45">
        <v>57471.478399999898</v>
      </c>
      <c r="K51" s="46">
        <v>27857.361752000001</v>
      </c>
      <c r="L51" s="47">
        <v>85328.840152000004</v>
      </c>
      <c r="M51" s="48">
        <v>4570959</v>
      </c>
      <c r="N51" s="49">
        <v>795333</v>
      </c>
      <c r="O51" s="49">
        <v>3775570</v>
      </c>
      <c r="P51" s="49">
        <v>56</v>
      </c>
      <c r="Q51" s="50">
        <v>10459.7343020595</v>
      </c>
      <c r="R51" s="51">
        <v>5020.3885272341104</v>
      </c>
      <c r="S51" s="49">
        <v>27731.475878010599</v>
      </c>
      <c r="T51" s="49">
        <v>2817.6692077144398</v>
      </c>
      <c r="U51" s="49">
        <f>IFERROR(INDEX('Rentabilidad datos'!$N$2:$N$61,MATCH($C51,'Rentabilidad datos'!$C$2:$C$61,0)),"")</f>
        <v>35569.533612959094</v>
      </c>
      <c r="V51" s="50">
        <f>IFERROR(INDEX('Rentabilidad datos'!$O$2:$O$61,MATCH($C51,'Rentabilidad datos'!$C$2:$C$61,0)),"")</f>
        <v>1368.0589851138113</v>
      </c>
      <c r="W51" s="51">
        <f>IFERROR(INDEX('Rentabilidad datos'!$M$2:$M$61,MATCH($C51,'Rentabilidad datos'!$C$2:$C$61,0)),"")</f>
        <v>2318.2873272484931</v>
      </c>
      <c r="X51" s="52">
        <f>IFERROR(INDEX('Rentabilidad datos'!$P$2:$P$61,MATCH($C51,'Rentabilidad datos'!$C$2:$C$61,0)),"")</f>
        <v>0.59011623323564488</v>
      </c>
      <c r="Y51" s="43" t="s">
        <v>211</v>
      </c>
      <c r="Z51" s="53">
        <v>73.688787185354698</v>
      </c>
      <c r="AA51" s="43">
        <v>1</v>
      </c>
      <c r="AB51" s="54">
        <v>0.99701288066683602</v>
      </c>
      <c r="AC51" s="55">
        <v>2.9871193331640036E-3</v>
      </c>
      <c r="AD51" s="752" t="e">
        <f>_xlfn.XLOOKUP(Table1[[#This Row],[Ruta]],#REF!,#REF!)</f>
        <v>#REF!</v>
      </c>
      <c r="AE51" s="752" t="e">
        <f>_xlfn.XLOOKUP(Table1[[#This Row],[Ruta]],#REF!,#REF!)</f>
        <v>#REF!</v>
      </c>
      <c r="AF51" s="752" t="e">
        <f>_xlfn.XLOOKUP(Table1[[#This Row],[Ruta]],#REF!,#REF!)</f>
        <v>#REF!</v>
      </c>
      <c r="AG51" s="752" t="e">
        <f>_xlfn.XLOOKUP(Table1[[#This Row],[Ruta]],#REF!,#REF!)</f>
        <v>#REF!</v>
      </c>
      <c r="AH51" s="52">
        <v>0.17399696650090277</v>
      </c>
      <c r="AI51" s="52">
        <v>0.82599078224066325</v>
      </c>
      <c r="AJ51" s="55">
        <v>1.2251258433952263E-5</v>
      </c>
      <c r="AK51" s="56">
        <v>32202</v>
      </c>
      <c r="AL51" s="44">
        <v>17766</v>
      </c>
      <c r="AM51" s="54">
        <v>0.55170486305198396</v>
      </c>
      <c r="AN51" s="55">
        <v>0.59461304275985005</v>
      </c>
      <c r="AO51" s="56">
        <v>1381.7292029527</v>
      </c>
      <c r="AP51" s="48">
        <v>690.86460147635</v>
      </c>
      <c r="AQ51" s="55">
        <v>0.57315895290591734</v>
      </c>
      <c r="AR51" s="51">
        <v>4570903.8899999997</v>
      </c>
      <c r="AS51" s="49">
        <v>177748.266033522</v>
      </c>
      <c r="AT51" s="55">
        <v>3.8886896401911002E-2</v>
      </c>
      <c r="AU51" s="51">
        <v>124904.18694247496</v>
      </c>
      <c r="AV51" s="52">
        <v>5.6820096641146739E-4</v>
      </c>
      <c r="AW51" s="44">
        <v>374</v>
      </c>
      <c r="AX51" s="51">
        <v>257.28379432624098</v>
      </c>
      <c r="AY51" s="49">
        <v>377.064073238829</v>
      </c>
      <c r="AZ51" s="49">
        <v>119.78027891258802</v>
      </c>
      <c r="BA51" s="42" t="s">
        <v>150</v>
      </c>
      <c r="BB51" s="50">
        <v>747681.45019171655</v>
      </c>
      <c r="BC51" s="57">
        <v>872585.63713419146</v>
      </c>
      <c r="BD51" s="42" t="s">
        <v>150</v>
      </c>
      <c r="BE51" s="46">
        <v>73.688787185354698</v>
      </c>
      <c r="BF51" s="46">
        <v>48.897321428571402</v>
      </c>
      <c r="BG51" s="42" t="s">
        <v>150</v>
      </c>
      <c r="BH51" s="52">
        <v>0.55170486305198396</v>
      </c>
      <c r="BI51" s="52">
        <v>0.79215712207379996</v>
      </c>
      <c r="BJ51" s="42" t="s">
        <v>152</v>
      </c>
      <c r="BK51" s="46">
        <v>195.26050378031999</v>
      </c>
      <c r="BL51" s="46">
        <v>326.54713917579897</v>
      </c>
      <c r="BM51" s="42" t="s">
        <v>152</v>
      </c>
      <c r="BN51" s="48">
        <v>1</v>
      </c>
      <c r="BO51" s="42" t="s">
        <v>155</v>
      </c>
      <c r="BP51" s="42" t="s">
        <v>152</v>
      </c>
      <c r="BQ51" s="46">
        <v>0</v>
      </c>
      <c r="BR51" s="46">
        <v>637</v>
      </c>
      <c r="BS51" s="46">
        <v>48970</v>
      </c>
      <c r="BT51" s="46">
        <v>15208</v>
      </c>
      <c r="BU51" s="46">
        <v>3.2200157811678065</v>
      </c>
      <c r="BV51" s="46">
        <v>23.874411302982733</v>
      </c>
      <c r="BW51" s="46">
        <v>4551</v>
      </c>
      <c r="BX51" s="46">
        <v>4001</v>
      </c>
      <c r="BY51" s="46">
        <v>8552</v>
      </c>
      <c r="BZ51" s="46">
        <v>0.56233561283534983</v>
      </c>
      <c r="CA51" s="46">
        <v>0.29925039452919522</v>
      </c>
      <c r="CB51" s="46">
        <v>0.26308521830615472</v>
      </c>
      <c r="CC51" s="46">
        <v>0.12605207785376121</v>
      </c>
      <c r="CD51" s="46">
        <v>0.20002630194634399</v>
      </c>
      <c r="CE51" s="46">
        <v>0</v>
      </c>
      <c r="CF51" s="46">
        <v>0.11158600736454501</v>
      </c>
      <c r="CG51" s="46">
        <v>0</v>
      </c>
      <c r="CH51" s="46">
        <v>0</v>
      </c>
      <c r="CI51" s="46">
        <v>2.4096385542168681</v>
      </c>
      <c r="CJ51" s="46">
        <v>0.59219930569736567</v>
      </c>
      <c r="CK51">
        <v>338</v>
      </c>
      <c r="CL51">
        <v>765.66</v>
      </c>
      <c r="CM51">
        <f t="shared" si="7"/>
        <v>427.65999999999997</v>
      </c>
      <c r="CN51">
        <v>4.75</v>
      </c>
      <c r="CO51">
        <v>9.4499999999999993</v>
      </c>
      <c r="CP51">
        <f t="shared" si="8"/>
        <v>4.6999999999999993</v>
      </c>
      <c r="CQ51">
        <v>634.91999999999996</v>
      </c>
      <c r="CR51">
        <v>195.26</v>
      </c>
      <c r="CS51">
        <f t="shared" si="9"/>
        <v>439.65999999999997</v>
      </c>
      <c r="CT51" t="s">
        <v>152</v>
      </c>
      <c r="CU51">
        <v>51.36</v>
      </c>
      <c r="CV51">
        <v>378</v>
      </c>
      <c r="CW51" s="46">
        <v>8552</v>
      </c>
      <c r="CX51" s="46">
        <f t="shared" si="3"/>
        <v>53.421488690163073</v>
      </c>
      <c r="CY51" s="46">
        <v>427.66</v>
      </c>
      <c r="CZ51" s="46">
        <f t="shared" si="4"/>
        <v>56.233561283534982</v>
      </c>
      <c r="DA51" s="46">
        <f t="shared" si="5"/>
        <v>285.61837172207635</v>
      </c>
      <c r="DB51" s="46">
        <v>4465831.75</v>
      </c>
      <c r="DC51" s="46">
        <f t="shared" si="6"/>
        <v>6.1032972065138278</v>
      </c>
      <c r="DD51" s="46">
        <v>95429.08</v>
      </c>
      <c r="DE51" s="995">
        <v>8552</v>
      </c>
      <c r="DF51" s="995">
        <v>54.054000000000002</v>
      </c>
      <c r="DG51" s="995">
        <v>331.4</v>
      </c>
      <c r="DH51" s="995">
        <v>56.234000000000002</v>
      </c>
      <c r="DI51" s="995">
        <v>481.32499999999999</v>
      </c>
      <c r="DJ51" s="995">
        <v>7479498</v>
      </c>
      <c r="DK51" s="995">
        <v>10.196</v>
      </c>
      <c r="DL51" s="995">
        <v>158432.6</v>
      </c>
      <c r="DM51" s="995">
        <v>8552</v>
      </c>
      <c r="DN51" s="995">
        <v>54.12</v>
      </c>
      <c r="DO51" s="995">
        <v>321.39999999999998</v>
      </c>
      <c r="DP51" s="995">
        <v>56.234000000000002</v>
      </c>
      <c r="DQ51" s="995">
        <v>477.40699999999998</v>
      </c>
      <c r="DR51" s="995">
        <v>7413828</v>
      </c>
      <c r="DS51" s="995">
        <v>10.1</v>
      </c>
      <c r="DT51" s="995">
        <v>156848.20000000001</v>
      </c>
    </row>
    <row r="52" spans="1:124">
      <c r="A52" s="42" t="s">
        <v>92</v>
      </c>
      <c r="B52" s="42" t="s">
        <v>168</v>
      </c>
      <c r="C52" s="42" t="s">
        <v>209</v>
      </c>
      <c r="D52" s="42">
        <v>705304</v>
      </c>
      <c r="E52" s="42" t="s">
        <v>215</v>
      </c>
      <c r="F52" s="42" t="s">
        <v>149</v>
      </c>
      <c r="G52" s="42" t="s">
        <v>150</v>
      </c>
      <c r="H52" s="43" t="s">
        <v>150</v>
      </c>
      <c r="I52" s="44">
        <v>27</v>
      </c>
      <c r="J52" s="45">
        <v>78884.148000000001</v>
      </c>
      <c r="K52" s="46">
        <v>22573.001611</v>
      </c>
      <c r="L52" s="47">
        <v>101457.149611</v>
      </c>
      <c r="M52" s="48">
        <v>4208126</v>
      </c>
      <c r="N52" s="49">
        <v>1171264</v>
      </c>
      <c r="O52" s="49">
        <v>3036134</v>
      </c>
      <c r="P52" s="49">
        <v>728</v>
      </c>
      <c r="Q52" s="50">
        <v>9720.08505773672</v>
      </c>
      <c r="R52" s="51">
        <v>5020.3885272341104</v>
      </c>
      <c r="S52" s="49">
        <v>27731.475878010599</v>
      </c>
      <c r="T52" s="49">
        <v>2817.6692077144398</v>
      </c>
      <c r="U52" s="49">
        <f>IFERROR(INDEX('Rentabilidad datos'!$N$2:$N$61,MATCH($C52,'Rentabilidad datos'!$C$2:$C$61,0)),"")</f>
        <v>35569.533612959094</v>
      </c>
      <c r="V52" s="50">
        <f>IFERROR(INDEX('Rentabilidad datos'!$O$2:$O$61,MATCH($C52,'Rentabilidad datos'!$C$2:$C$61,0)),"")</f>
        <v>1368.0589851138113</v>
      </c>
      <c r="W52" s="51">
        <f>IFERROR(INDEX('Rentabilidad datos'!$M$2:$M$61,MATCH($C52,'Rentabilidad datos'!$C$2:$C$61,0)),"")</f>
        <v>2318.2873272484931</v>
      </c>
      <c r="X52" s="52">
        <f>IFERROR(INDEX('Rentabilidad datos'!$P$2:$P$61,MATCH($C52,'Rentabilidad datos'!$C$2:$C$61,0)),"")</f>
        <v>0.59011623323564488</v>
      </c>
      <c r="Y52" s="43" t="s">
        <v>211</v>
      </c>
      <c r="Z52" s="53">
        <v>45.867313915857601</v>
      </c>
      <c r="AA52" s="43">
        <v>1</v>
      </c>
      <c r="AB52" s="54">
        <v>0.99961146600648365</v>
      </c>
      <c r="AC52" s="55">
        <v>3.8853399351635381E-4</v>
      </c>
      <c r="AD52" s="752" t="e">
        <f>_xlfn.XLOOKUP(Table1[[#This Row],[Ruta]],#REF!,#REF!)</f>
        <v>#REF!</v>
      </c>
      <c r="AE52" s="752" t="e">
        <f>_xlfn.XLOOKUP(Table1[[#This Row],[Ruta]],#REF!,#REF!)</f>
        <v>#REF!</v>
      </c>
      <c r="AF52" s="752" t="e">
        <f>_xlfn.XLOOKUP(Table1[[#This Row],[Ruta]],#REF!,#REF!)</f>
        <v>#REF!</v>
      </c>
      <c r="AG52" s="752" t="e">
        <f>_xlfn.XLOOKUP(Table1[[#This Row],[Ruta]],#REF!,#REF!)</f>
        <v>#REF!</v>
      </c>
      <c r="AH52" s="52">
        <v>0.27833387118161385</v>
      </c>
      <c r="AI52" s="52">
        <v>0.72149313019619654</v>
      </c>
      <c r="AJ52" s="55">
        <v>1.729986221895447E-4</v>
      </c>
      <c r="AK52" s="56">
        <v>14173</v>
      </c>
      <c r="AL52" s="44">
        <v>10364</v>
      </c>
      <c r="AM52" s="54">
        <v>0.49721301065406098</v>
      </c>
      <c r="AN52" s="55">
        <v>0.59461304275985005</v>
      </c>
      <c r="AO52" s="56">
        <v>1380.4506550353599</v>
      </c>
      <c r="AP52" s="48">
        <v>690.22532751767994</v>
      </c>
      <c r="AQ52" s="55">
        <v>0.7799495750735681</v>
      </c>
      <c r="AR52" s="51">
        <v>4208796.83</v>
      </c>
      <c r="AS52" s="49">
        <v>280298.93578175647</v>
      </c>
      <c r="AT52" s="55">
        <v>6.65983527130143E-2</v>
      </c>
      <c r="AU52" s="51">
        <v>196966.81973853166</v>
      </c>
      <c r="AV52" s="52">
        <v>8.9602070247629575E-4</v>
      </c>
      <c r="AW52" s="44">
        <v>314</v>
      </c>
      <c r="AX52" s="51">
        <v>406.09772578155099</v>
      </c>
      <c r="AY52" s="49">
        <v>377.064073238829</v>
      </c>
      <c r="AZ52" s="49">
        <v>0</v>
      </c>
      <c r="BA52" s="42" t="s">
        <v>152</v>
      </c>
      <c r="BB52" s="50">
        <v>0</v>
      </c>
      <c r="BC52" s="57">
        <v>196966.81973853166</v>
      </c>
      <c r="BD52" s="42" t="s">
        <v>150</v>
      </c>
      <c r="BE52" s="46">
        <v>45.867313915857601</v>
      </c>
      <c r="BF52" s="46">
        <v>48.897321428571402</v>
      </c>
      <c r="BG52" s="42" t="s">
        <v>152</v>
      </c>
      <c r="BH52" s="52">
        <v>0.49721301065406098</v>
      </c>
      <c r="BI52" s="52">
        <v>0.79215712207379996</v>
      </c>
      <c r="BJ52" s="42" t="s">
        <v>152</v>
      </c>
      <c r="BK52" s="46">
        <v>234.31212381293301</v>
      </c>
      <c r="BL52" s="46">
        <v>326.54713917579897</v>
      </c>
      <c r="BM52" s="42" t="s">
        <v>152</v>
      </c>
      <c r="BN52" s="48">
        <v>0</v>
      </c>
      <c r="BO52" s="42" t="s">
        <v>155</v>
      </c>
      <c r="BP52" s="42" t="s">
        <v>152</v>
      </c>
      <c r="BQ52" s="46">
        <v>2089.0535924686801</v>
      </c>
      <c r="BR52" s="46">
        <v>186</v>
      </c>
      <c r="BS52" s="46">
        <v>16460</v>
      </c>
      <c r="BT52" s="46">
        <v>5072</v>
      </c>
      <c r="BU52" s="46">
        <v>3.2452681388012619</v>
      </c>
      <c r="BV52" s="46">
        <v>27.268817204301076</v>
      </c>
      <c r="BW52" s="46">
        <v>4905</v>
      </c>
      <c r="BX52" s="46">
        <v>167</v>
      </c>
      <c r="BY52" s="46">
        <v>5072</v>
      </c>
      <c r="BZ52" s="46">
        <v>1</v>
      </c>
      <c r="CA52" s="46">
        <v>0.9670741324921136</v>
      </c>
      <c r="CB52" s="46">
        <v>3.2925867507886439E-2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0.24301336573511545</v>
      </c>
      <c r="CJ52" s="46">
        <v>0.97205346294046169</v>
      </c>
      <c r="CK52">
        <v>261</v>
      </c>
      <c r="CL52">
        <v>564.75</v>
      </c>
      <c r="CM52">
        <f t="shared" si="7"/>
        <v>303.75</v>
      </c>
      <c r="CN52">
        <v>4.68</v>
      </c>
      <c r="CO52">
        <v>9.4499999999999993</v>
      </c>
      <c r="CP52">
        <f t="shared" si="8"/>
        <v>4.7699999999999996</v>
      </c>
      <c r="CQ52">
        <v>634.91999999999996</v>
      </c>
      <c r="CR52">
        <v>234.31</v>
      </c>
      <c r="CS52">
        <f t="shared" si="9"/>
        <v>400.60999999999996</v>
      </c>
      <c r="CT52" t="s">
        <v>152</v>
      </c>
      <c r="CU52">
        <v>52.33</v>
      </c>
      <c r="CV52">
        <v>374</v>
      </c>
      <c r="CW52" s="46">
        <v>4905</v>
      </c>
      <c r="CX52" s="46">
        <f t="shared" si="3"/>
        <v>90.718651419558356</v>
      </c>
      <c r="CY52" s="46">
        <v>303.75</v>
      </c>
      <c r="CZ52" s="46">
        <f t="shared" si="4"/>
        <v>96.707413249211356</v>
      </c>
      <c r="DA52" s="46">
        <f t="shared" si="5"/>
        <v>485.49426591638371</v>
      </c>
      <c r="DB52" s="46">
        <v>2609895.7999999998</v>
      </c>
      <c r="DC52" s="46">
        <f t="shared" si="6"/>
        <v>12.371832767520813</v>
      </c>
      <c r="DD52" s="46">
        <v>66507.88</v>
      </c>
      <c r="DE52" s="995">
        <v>4905</v>
      </c>
      <c r="DF52" s="995">
        <v>91.938999999999993</v>
      </c>
      <c r="DG52" s="995">
        <v>241.9</v>
      </c>
      <c r="DH52" s="995">
        <v>96.706999999999994</v>
      </c>
      <c r="DI52" s="995">
        <v>1071.0709999999999</v>
      </c>
      <c r="DJ52" s="995">
        <v>5691538</v>
      </c>
      <c r="DK52" s="995">
        <v>27.164999999999999</v>
      </c>
      <c r="DL52" s="995">
        <v>144352.4</v>
      </c>
      <c r="DM52" s="995">
        <v>4905</v>
      </c>
      <c r="DN52" s="995">
        <v>92.677000000000007</v>
      </c>
      <c r="DO52" s="995">
        <v>204.4</v>
      </c>
      <c r="DP52" s="995">
        <v>96.706999999999994</v>
      </c>
      <c r="DQ52" s="995">
        <v>1027.5989999999999</v>
      </c>
      <c r="DR52" s="995">
        <v>5422072</v>
      </c>
      <c r="DS52" s="995">
        <v>26.077999999999999</v>
      </c>
      <c r="DT52" s="995">
        <v>137601.5</v>
      </c>
    </row>
    <row r="53" spans="1:124">
      <c r="A53" s="42" t="s">
        <v>92</v>
      </c>
      <c r="B53" s="42" t="s">
        <v>168</v>
      </c>
      <c r="C53" s="42" t="s">
        <v>209</v>
      </c>
      <c r="D53" s="42">
        <v>705305</v>
      </c>
      <c r="E53" s="42" t="s">
        <v>216</v>
      </c>
      <c r="F53" s="42" t="s">
        <v>149</v>
      </c>
      <c r="G53" s="42" t="s">
        <v>150</v>
      </c>
      <c r="H53" s="43" t="s">
        <v>150</v>
      </c>
      <c r="I53" s="44">
        <v>27</v>
      </c>
      <c r="J53" s="45">
        <v>54516.184800000003</v>
      </c>
      <c r="K53" s="46">
        <v>17950.060837000001</v>
      </c>
      <c r="L53" s="47">
        <v>72466.245637</v>
      </c>
      <c r="M53" s="48">
        <v>3195045</v>
      </c>
      <c r="N53" s="49">
        <v>787725</v>
      </c>
      <c r="O53" s="49">
        <v>2407165</v>
      </c>
      <c r="P53" s="49">
        <v>155</v>
      </c>
      <c r="Q53" s="50">
        <v>7246.4627107061497</v>
      </c>
      <c r="R53" s="51">
        <v>5020.3885272341104</v>
      </c>
      <c r="S53" s="49">
        <v>27731.475878010599</v>
      </c>
      <c r="T53" s="49">
        <v>2817.6692077144398</v>
      </c>
      <c r="U53" s="49">
        <f>IFERROR(INDEX('Rentabilidad datos'!$N$2:$N$61,MATCH($C53,'Rentabilidad datos'!$C$2:$C$61,0)),"")</f>
        <v>35569.533612959094</v>
      </c>
      <c r="V53" s="50">
        <f>IFERROR(INDEX('Rentabilidad datos'!$O$2:$O$61,MATCH($C53,'Rentabilidad datos'!$C$2:$C$61,0)),"")</f>
        <v>1368.0589851138113</v>
      </c>
      <c r="W53" s="51">
        <f>IFERROR(INDEX('Rentabilidad datos'!$M$2:$M$61,MATCH($C53,'Rentabilidad datos'!$C$2:$C$61,0)),"")</f>
        <v>2318.2873272484931</v>
      </c>
      <c r="X53" s="52">
        <f>IFERROR(INDEX('Rentabilidad datos'!$P$2:$P$61,MATCH($C53,'Rentabilidad datos'!$C$2:$C$61,0)),"")</f>
        <v>0.59011623323564488</v>
      </c>
      <c r="Y53" s="43" t="s">
        <v>211</v>
      </c>
      <c r="Z53" s="53">
        <v>69.974943052391794</v>
      </c>
      <c r="AA53" s="43">
        <v>1</v>
      </c>
      <c r="AB53" s="54">
        <v>0.99802850977059787</v>
      </c>
      <c r="AC53" s="55">
        <v>1.97149022940209E-3</v>
      </c>
      <c r="AD53" s="752" t="e">
        <f>_xlfn.XLOOKUP(Table1[[#This Row],[Ruta]],#REF!,#REF!)</f>
        <v>#REF!</v>
      </c>
      <c r="AE53" s="752" t="e">
        <f>_xlfn.XLOOKUP(Table1[[#This Row],[Ruta]],#REF!,#REF!)</f>
        <v>#REF!</v>
      </c>
      <c r="AF53" s="752" t="e">
        <f>_xlfn.XLOOKUP(Table1[[#This Row],[Ruta]],#REF!,#REF!)</f>
        <v>#REF!</v>
      </c>
      <c r="AG53" s="752" t="e">
        <f>_xlfn.XLOOKUP(Table1[[#This Row],[Ruta]],#REF!,#REF!)</f>
        <v>#REF!</v>
      </c>
      <c r="AH53" s="52">
        <v>0.24654582329826341</v>
      </c>
      <c r="AI53" s="52">
        <v>0.75340566408297849</v>
      </c>
      <c r="AJ53" s="55">
        <v>4.851261875810826E-5</v>
      </c>
      <c r="AK53" s="56">
        <v>30719</v>
      </c>
      <c r="AL53" s="44">
        <v>7324</v>
      </c>
      <c r="AM53" s="54">
        <v>0.23841921937563099</v>
      </c>
      <c r="AN53" s="55">
        <v>0.59461304275985005</v>
      </c>
      <c r="AO53" s="56">
        <v>10941.9180605398</v>
      </c>
      <c r="AP53" s="48">
        <v>5470.9590302698998</v>
      </c>
      <c r="AQ53" s="55">
        <v>0.41651613106773983</v>
      </c>
      <c r="AR53" s="51">
        <v>3181197.13</v>
      </c>
      <c r="AS53" s="49">
        <v>2376324.2989407801</v>
      </c>
      <c r="AT53" s="55">
        <v>0.74699058305160115</v>
      </c>
      <c r="AU53" s="51">
        <v>1669849.507363792</v>
      </c>
      <c r="AV53" s="52">
        <v>7.5963034312276261E-3</v>
      </c>
      <c r="AW53" s="44">
        <v>11</v>
      </c>
      <c r="AX53" s="51">
        <v>434.35242080830199</v>
      </c>
      <c r="AY53" s="49">
        <v>377.064073238829</v>
      </c>
      <c r="AZ53" s="49">
        <v>0</v>
      </c>
      <c r="BA53" s="42" t="s">
        <v>152</v>
      </c>
      <c r="BB53" s="50">
        <v>0</v>
      </c>
      <c r="BC53" s="57">
        <v>1669849.507363792</v>
      </c>
      <c r="BD53" s="42" t="s">
        <v>150</v>
      </c>
      <c r="BE53" s="46">
        <v>69.974943052391794</v>
      </c>
      <c r="BF53" s="46">
        <v>48.897321428571402</v>
      </c>
      <c r="BG53" s="42" t="s">
        <v>150</v>
      </c>
      <c r="BH53" s="52">
        <v>0.23841921937563099</v>
      </c>
      <c r="BI53" s="52">
        <v>0.79215712207379996</v>
      </c>
      <c r="BJ53" s="42" t="s">
        <v>152</v>
      </c>
      <c r="BK53" s="46">
        <v>165.071174571754</v>
      </c>
      <c r="BL53" s="46">
        <v>326.54713917579897</v>
      </c>
      <c r="BM53" s="42" t="s">
        <v>152</v>
      </c>
      <c r="BN53" s="48">
        <v>1</v>
      </c>
      <c r="BO53" s="42" t="s">
        <v>155</v>
      </c>
      <c r="BP53" s="42" t="s">
        <v>152</v>
      </c>
      <c r="BQ53" s="46">
        <v>10553.8321952223</v>
      </c>
      <c r="BR53" s="46">
        <v>867</v>
      </c>
      <c r="BS53" s="46">
        <v>52549</v>
      </c>
      <c r="BT53" s="46">
        <v>16152</v>
      </c>
      <c r="BU53" s="46">
        <v>3.2534051510648836</v>
      </c>
      <c r="BV53" s="46">
        <v>18.629757785467127</v>
      </c>
      <c r="BW53" s="46">
        <v>276</v>
      </c>
      <c r="BX53" s="46">
        <v>2193</v>
      </c>
      <c r="BY53" s="46">
        <v>2469</v>
      </c>
      <c r="BZ53" s="46">
        <v>0.15286032689450224</v>
      </c>
      <c r="CA53" s="46">
        <v>1.7087667161961362E-2</v>
      </c>
      <c r="CB53" s="46">
        <v>0.13577265973254085</v>
      </c>
      <c r="CC53" s="46">
        <v>5.8940069341258054E-2</v>
      </c>
      <c r="CD53" s="46">
        <v>5.5101535413571087E-3</v>
      </c>
      <c r="CE53" s="46">
        <v>0</v>
      </c>
      <c r="CF53" s="46">
        <v>0.78268945022288261</v>
      </c>
      <c r="CG53" s="46">
        <v>0</v>
      </c>
      <c r="CH53" s="46">
        <v>0</v>
      </c>
      <c r="CI53" s="46">
        <v>3.8440312850863005</v>
      </c>
      <c r="CJ53" s="46">
        <v>1.2369407600525226</v>
      </c>
      <c r="CK53">
        <v>206</v>
      </c>
      <c r="CL53">
        <v>298.27999999999997</v>
      </c>
      <c r="CM53">
        <f t="shared" si="7"/>
        <v>92.279999999999973</v>
      </c>
      <c r="CN53">
        <v>8.43</v>
      </c>
      <c r="CO53">
        <v>9.4499999999999993</v>
      </c>
      <c r="CP53">
        <f t="shared" si="8"/>
        <v>1.0199999999999996</v>
      </c>
      <c r="CQ53">
        <v>846.56</v>
      </c>
      <c r="CR53">
        <v>165.07</v>
      </c>
      <c r="CS53">
        <f t="shared" si="9"/>
        <v>681.49</v>
      </c>
      <c r="CT53" t="s">
        <v>152</v>
      </c>
      <c r="CU53">
        <v>89.33</v>
      </c>
      <c r="CV53">
        <v>217</v>
      </c>
      <c r="CW53" s="46">
        <v>2469</v>
      </c>
      <c r="CX53" s="46">
        <f t="shared" si="3"/>
        <v>14.714710252600296</v>
      </c>
      <c r="CY53" s="46">
        <v>92.28</v>
      </c>
      <c r="CZ53" s="46">
        <f t="shared" si="4"/>
        <v>15.286032689450224</v>
      </c>
      <c r="DA53" s="46">
        <f t="shared" si="5"/>
        <v>83.585789582548443</v>
      </c>
      <c r="DB53" s="46">
        <v>1357790.97</v>
      </c>
      <c r="DC53" s="46">
        <f t="shared" si="6"/>
        <v>2.6191010004752444</v>
      </c>
      <c r="DD53" s="46">
        <v>42545.41</v>
      </c>
      <c r="DE53" s="995">
        <v>2469</v>
      </c>
      <c r="DF53" s="995">
        <v>14.887</v>
      </c>
      <c r="DG53" s="995">
        <v>64.5</v>
      </c>
      <c r="DH53" s="995">
        <v>15.286</v>
      </c>
      <c r="DI53" s="995">
        <v>202.60900000000001</v>
      </c>
      <c r="DJ53" s="995">
        <v>3285606</v>
      </c>
      <c r="DK53" s="995">
        <v>6.0789999999999997</v>
      </c>
      <c r="DL53" s="995">
        <v>98585.3</v>
      </c>
      <c r="DM53" s="995">
        <v>2469</v>
      </c>
      <c r="DN53" s="995">
        <v>14.957000000000001</v>
      </c>
      <c r="DO53" s="995">
        <v>53.1</v>
      </c>
      <c r="DP53" s="995">
        <v>15.286</v>
      </c>
      <c r="DQ53" s="995">
        <v>198.23099999999999</v>
      </c>
      <c r="DR53" s="995">
        <v>3212344</v>
      </c>
      <c r="DS53" s="995">
        <v>5.9729999999999999</v>
      </c>
      <c r="DT53" s="995">
        <v>96794.6</v>
      </c>
    </row>
    <row r="54" spans="1:124">
      <c r="A54" s="42" t="s">
        <v>92</v>
      </c>
      <c r="B54" s="42" t="s">
        <v>168</v>
      </c>
      <c r="C54" s="42" t="s">
        <v>209</v>
      </c>
      <c r="D54" s="42">
        <v>705306</v>
      </c>
      <c r="E54" s="42" t="s">
        <v>217</v>
      </c>
      <c r="F54" s="42" t="s">
        <v>149</v>
      </c>
      <c r="G54" s="42" t="s">
        <v>150</v>
      </c>
      <c r="H54" s="43" t="s">
        <v>150</v>
      </c>
      <c r="I54" s="44">
        <v>27</v>
      </c>
      <c r="J54" s="45">
        <v>45114.8992</v>
      </c>
      <c r="K54" s="46">
        <v>26497.196225</v>
      </c>
      <c r="L54" s="47">
        <v>71612.095425000007</v>
      </c>
      <c r="M54" s="48">
        <v>4085503</v>
      </c>
      <c r="N54" s="49">
        <v>631751</v>
      </c>
      <c r="O54" s="49">
        <v>3453752</v>
      </c>
      <c r="P54" s="49">
        <v>0</v>
      </c>
      <c r="Q54" s="50">
        <v>9330.2166894977108</v>
      </c>
      <c r="R54" s="51">
        <v>5020.3885272341104</v>
      </c>
      <c r="S54" s="49">
        <v>27731.475878010599</v>
      </c>
      <c r="T54" s="49">
        <v>2817.6692077144398</v>
      </c>
      <c r="U54" s="49">
        <f>IFERROR(INDEX('Rentabilidad datos'!$N$2:$N$61,MATCH($C54,'Rentabilidad datos'!$C$2:$C$61,0)),"")</f>
        <v>35569.533612959094</v>
      </c>
      <c r="V54" s="50">
        <f>IFERROR(INDEX('Rentabilidad datos'!$O$2:$O$61,MATCH($C54,'Rentabilidad datos'!$C$2:$C$61,0)),"")</f>
        <v>1368.0589851138113</v>
      </c>
      <c r="W54" s="51">
        <f>IFERROR(INDEX('Rentabilidad datos'!$M$2:$M$61,MATCH($C54,'Rentabilidad datos'!$C$2:$C$61,0)),"")</f>
        <v>2318.2873272484931</v>
      </c>
      <c r="X54" s="52">
        <f>IFERROR(INDEX('Rentabilidad datos'!$P$2:$P$61,MATCH($C54,'Rentabilidad datos'!$C$2:$C$61,0)),"")</f>
        <v>0.59011623323564488</v>
      </c>
      <c r="Y54" s="43" t="s">
        <v>211</v>
      </c>
      <c r="Z54" s="53">
        <v>54.586757990867603</v>
      </c>
      <c r="AA54" s="43">
        <v>1</v>
      </c>
      <c r="AB54" s="54">
        <v>0.99777922082054527</v>
      </c>
      <c r="AC54" s="55">
        <v>2.2207791794547696E-3</v>
      </c>
      <c r="AD54" s="752" t="e">
        <f>_xlfn.XLOOKUP(Table1[[#This Row],[Ruta]],#REF!,#REF!)</f>
        <v>#REF!</v>
      </c>
      <c r="AE54" s="752" t="e">
        <f>_xlfn.XLOOKUP(Table1[[#This Row],[Ruta]],#REF!,#REF!)</f>
        <v>#REF!</v>
      </c>
      <c r="AF54" s="752" t="e">
        <f>_xlfn.XLOOKUP(Table1[[#This Row],[Ruta]],#REF!,#REF!)</f>
        <v>#REF!</v>
      </c>
      <c r="AG54" s="752" t="e">
        <f>_xlfn.XLOOKUP(Table1[[#This Row],[Ruta]],#REF!,#REF!)</f>
        <v>#REF!</v>
      </c>
      <c r="AH54" s="52">
        <v>0.15463236717730963</v>
      </c>
      <c r="AI54" s="52">
        <v>0.84536763282269034</v>
      </c>
      <c r="AJ54" s="55">
        <v>0</v>
      </c>
      <c r="AK54" s="56">
        <v>23909</v>
      </c>
      <c r="AL54" s="44">
        <v>11220</v>
      </c>
      <c r="AM54" s="54">
        <v>0.46927935087205702</v>
      </c>
      <c r="AN54" s="55">
        <v>0.59461304275985005</v>
      </c>
      <c r="AO54" s="56">
        <v>2996.6032393452601</v>
      </c>
      <c r="AP54" s="48">
        <v>1498.3016196726301</v>
      </c>
      <c r="AQ54" s="55">
        <v>0.53194619681595334</v>
      </c>
      <c r="AR54" s="51">
        <v>4086634.91</v>
      </c>
      <c r="AS54" s="49">
        <v>545722.96833009995</v>
      </c>
      <c r="AT54" s="55">
        <v>0.13353846877652692</v>
      </c>
      <c r="AU54" s="51">
        <v>383481.00477250281</v>
      </c>
      <c r="AV54" s="52">
        <v>1.7444913805213637E-3</v>
      </c>
      <c r="AW54" s="44">
        <v>197</v>
      </c>
      <c r="AX54" s="51">
        <v>364.22771033868099</v>
      </c>
      <c r="AY54" s="49">
        <v>377.064073238829</v>
      </c>
      <c r="AZ54" s="49">
        <v>12.836362900148004</v>
      </c>
      <c r="BA54" s="42" t="s">
        <v>150</v>
      </c>
      <c r="BB54" s="50">
        <v>50603.024124745629</v>
      </c>
      <c r="BC54" s="57">
        <v>434084.02889724844</v>
      </c>
      <c r="BD54" s="42" t="s">
        <v>150</v>
      </c>
      <c r="BE54" s="46">
        <v>54.586757990867603</v>
      </c>
      <c r="BF54" s="46">
        <v>48.897321428571402</v>
      </c>
      <c r="BG54" s="42" t="s">
        <v>150</v>
      </c>
      <c r="BH54" s="52">
        <v>0.46927935087205702</v>
      </c>
      <c r="BI54" s="52">
        <v>0.79215712207379996</v>
      </c>
      <c r="BJ54" s="42" t="s">
        <v>152</v>
      </c>
      <c r="BK54" s="46">
        <v>163.49793476027401</v>
      </c>
      <c r="BL54" s="46">
        <v>326.54713917579897</v>
      </c>
      <c r="BM54" s="42" t="s">
        <v>152</v>
      </c>
      <c r="BN54" s="48">
        <v>1</v>
      </c>
      <c r="BO54" s="42" t="s">
        <v>155</v>
      </c>
      <c r="BP54" s="42" t="s">
        <v>152</v>
      </c>
      <c r="BQ54" s="46">
        <v>4147.7349949084501</v>
      </c>
      <c r="BR54" s="46">
        <v>532</v>
      </c>
      <c r="BS54" s="46">
        <v>39765</v>
      </c>
      <c r="BT54" s="46">
        <v>11391</v>
      </c>
      <c r="BU54" s="46">
        <v>3.4909138793784567</v>
      </c>
      <c r="BV54" s="46">
        <v>21.411654135338345</v>
      </c>
      <c r="BW54" s="46">
        <v>3115</v>
      </c>
      <c r="BX54" s="46">
        <v>2902</v>
      </c>
      <c r="BY54" s="46">
        <v>6017</v>
      </c>
      <c r="BZ54" s="46">
        <v>0.52822403652005967</v>
      </c>
      <c r="CA54" s="46">
        <v>0.27346150469669039</v>
      </c>
      <c r="CB54" s="46">
        <v>0.25476253182336933</v>
      </c>
      <c r="CC54" s="46">
        <v>6.5402510754104123E-2</v>
      </c>
      <c r="CD54" s="46">
        <v>0</v>
      </c>
      <c r="CE54" s="46">
        <v>0</v>
      </c>
      <c r="CF54" s="46">
        <v>0.40637345272583619</v>
      </c>
      <c r="CG54" s="46">
        <v>0</v>
      </c>
      <c r="CH54" s="46">
        <v>0</v>
      </c>
      <c r="CI54" s="46">
        <v>3.5458317615993957</v>
      </c>
      <c r="CJ54" s="46">
        <v>0.52810260279139942</v>
      </c>
      <c r="CK54">
        <v>179</v>
      </c>
      <c r="CL54">
        <v>500.65</v>
      </c>
      <c r="CM54">
        <f t="shared" si="7"/>
        <v>321.64999999999998</v>
      </c>
      <c r="CN54">
        <v>3.37</v>
      </c>
      <c r="CO54">
        <v>9.4499999999999993</v>
      </c>
      <c r="CP54">
        <f t="shared" si="8"/>
        <v>6.0799999999999992</v>
      </c>
      <c r="CQ54">
        <v>634.91999999999996</v>
      </c>
      <c r="CR54">
        <v>163.5</v>
      </c>
      <c r="CS54">
        <f t="shared" si="9"/>
        <v>471.41999999999996</v>
      </c>
      <c r="CT54" t="s">
        <v>152</v>
      </c>
      <c r="CU54">
        <v>35.78</v>
      </c>
      <c r="CV54">
        <v>218</v>
      </c>
      <c r="CW54" s="46">
        <v>4879</v>
      </c>
      <c r="CX54" s="46">
        <f t="shared" si="3"/>
        <v>40.008339917478715</v>
      </c>
      <c r="CY54" s="46">
        <v>321.64999999999998</v>
      </c>
      <c r="CZ54" s="46">
        <f t="shared" si="4"/>
        <v>42.832060398560266</v>
      </c>
      <c r="DA54" s="46">
        <f t="shared" si="5"/>
        <v>258.08173385186103</v>
      </c>
      <c r="DB54" s="46">
        <v>3022821.02</v>
      </c>
      <c r="DC54" s="46">
        <f t="shared" si="6"/>
        <v>4.9720643919181402</v>
      </c>
      <c r="DD54" s="46">
        <v>58236.05</v>
      </c>
      <c r="DE54" s="995">
        <v>4879</v>
      </c>
      <c r="DF54" s="995">
        <v>40.686</v>
      </c>
      <c r="DG54" s="995">
        <v>244.5</v>
      </c>
      <c r="DH54" s="995">
        <v>42.832000000000001</v>
      </c>
      <c r="DI54" s="995">
        <v>521.57799999999997</v>
      </c>
      <c r="DJ54" s="995">
        <v>6068811</v>
      </c>
      <c r="DK54" s="995">
        <v>9.952</v>
      </c>
      <c r="DL54" s="995">
        <v>115797.6</v>
      </c>
      <c r="DM54" s="995">
        <v>4879</v>
      </c>
      <c r="DN54" s="995">
        <v>40.811</v>
      </c>
      <c r="DO54" s="995">
        <v>230.3</v>
      </c>
      <c r="DP54" s="995">
        <v>42.832000000000001</v>
      </c>
      <c r="DQ54" s="995">
        <v>511.565</v>
      </c>
      <c r="DR54" s="995">
        <v>5945030</v>
      </c>
      <c r="DS54" s="995">
        <v>9.766</v>
      </c>
      <c r="DT54" s="995">
        <v>113494.39999999999</v>
      </c>
    </row>
    <row r="55" spans="1:124">
      <c r="A55" s="42" t="s">
        <v>92</v>
      </c>
      <c r="B55" s="42" t="s">
        <v>168</v>
      </c>
      <c r="C55" s="42" t="s">
        <v>209</v>
      </c>
      <c r="D55" s="42">
        <v>705307</v>
      </c>
      <c r="E55" s="42" t="s">
        <v>218</v>
      </c>
      <c r="F55" s="42" t="s">
        <v>149</v>
      </c>
      <c r="G55" s="42" t="s">
        <v>150</v>
      </c>
      <c r="H55" s="43" t="s">
        <v>150</v>
      </c>
      <c r="I55" s="44">
        <v>27</v>
      </c>
      <c r="J55" s="45">
        <v>87443.58</v>
      </c>
      <c r="K55" s="46">
        <v>38090.266689999997</v>
      </c>
      <c r="L55" s="47">
        <v>125533.84669000001</v>
      </c>
      <c r="M55" s="48">
        <v>6374281</v>
      </c>
      <c r="N55" s="49">
        <v>1292789</v>
      </c>
      <c r="O55" s="49">
        <v>5081308</v>
      </c>
      <c r="P55" s="49">
        <v>184</v>
      </c>
      <c r="Q55" s="50">
        <v>14486.573477272699</v>
      </c>
      <c r="R55" s="51">
        <v>5020.3885272341104</v>
      </c>
      <c r="S55" s="49">
        <v>27731.475878010599</v>
      </c>
      <c r="T55" s="49">
        <v>2817.6692077144398</v>
      </c>
      <c r="U55" s="49">
        <f>IFERROR(INDEX('Rentabilidad datos'!$N$2:$N$61,MATCH($C55,'Rentabilidad datos'!$C$2:$C$61,0)),"")</f>
        <v>35569.533612959094</v>
      </c>
      <c r="V55" s="50">
        <f>IFERROR(INDEX('Rentabilidad datos'!$O$2:$O$61,MATCH($C55,'Rentabilidad datos'!$C$2:$C$61,0)),"")</f>
        <v>1368.0589851138113</v>
      </c>
      <c r="W55" s="51">
        <f>IFERROR(INDEX('Rentabilidad datos'!$M$2:$M$61,MATCH($C55,'Rentabilidad datos'!$C$2:$C$61,0)),"")</f>
        <v>2318.2873272484931</v>
      </c>
      <c r="X55" s="52">
        <f>IFERROR(INDEX('Rentabilidad datos'!$P$2:$P$61,MATCH($C55,'Rentabilidad datos'!$C$2:$C$61,0)),"")</f>
        <v>0.59011623323564488</v>
      </c>
      <c r="Y55" s="43" t="s">
        <v>211</v>
      </c>
      <c r="Z55" s="53">
        <v>41.9967845659164</v>
      </c>
      <c r="AA55" s="43">
        <v>1</v>
      </c>
      <c r="AB55" s="54">
        <v>0.98964447911850761</v>
      </c>
      <c r="AC55" s="55">
        <v>1.035552088149236E-2</v>
      </c>
      <c r="AD55" s="752" t="e">
        <f>_xlfn.XLOOKUP(Table1[[#This Row],[Ruta]],#REF!,#REF!)</f>
        <v>#REF!</v>
      </c>
      <c r="AE55" s="752" t="e">
        <f>_xlfn.XLOOKUP(Table1[[#This Row],[Ruta]],#REF!,#REF!)</f>
        <v>#REF!</v>
      </c>
      <c r="AF55" s="752" t="e">
        <f>_xlfn.XLOOKUP(Table1[[#This Row],[Ruta]],#REF!,#REF!)</f>
        <v>#REF!</v>
      </c>
      <c r="AG55" s="752" t="e">
        <f>_xlfn.XLOOKUP(Table1[[#This Row],[Ruta]],#REF!,#REF!)</f>
        <v>#REF!</v>
      </c>
      <c r="AH55" s="52">
        <v>0.20281330553202784</v>
      </c>
      <c r="AI55" s="52">
        <v>0.79715782846724204</v>
      </c>
      <c r="AJ55" s="55">
        <v>2.8866000730121561E-5</v>
      </c>
      <c r="AK55" s="56">
        <v>13061</v>
      </c>
      <c r="AL55" s="44">
        <v>16348</v>
      </c>
      <c r="AM55" s="54">
        <v>0.84411607074496597</v>
      </c>
      <c r="AN55" s="55">
        <v>0.59461304275985005</v>
      </c>
      <c r="AO55" s="56">
        <v>0</v>
      </c>
      <c r="AP55" s="48">
        <v>0</v>
      </c>
      <c r="AQ55" s="55">
        <v>1.2516652629967078</v>
      </c>
      <c r="AR55" s="51">
        <v>6374092.3300000001</v>
      </c>
      <c r="AS55" s="49">
        <v>0</v>
      </c>
      <c r="AT55" s="55">
        <v>0</v>
      </c>
      <c r="AU55" s="51">
        <v>0</v>
      </c>
      <c r="AV55" s="52">
        <v>0</v>
      </c>
      <c r="AW55" s="44">
        <v>490</v>
      </c>
      <c r="AX55" s="51">
        <v>389.900436138977</v>
      </c>
      <c r="AY55" s="49">
        <v>377.064073238829</v>
      </c>
      <c r="AZ55" s="49">
        <v>0</v>
      </c>
      <c r="BA55" s="42" t="s">
        <v>152</v>
      </c>
      <c r="BB55" s="50">
        <v>0</v>
      </c>
      <c r="BC55" s="57">
        <v>0</v>
      </c>
      <c r="BD55" s="42" t="s">
        <v>150</v>
      </c>
      <c r="BE55" s="46">
        <v>41.9967845659164</v>
      </c>
      <c r="BF55" s="46">
        <v>48.897321428571402</v>
      </c>
      <c r="BG55" s="42" t="s">
        <v>152</v>
      </c>
      <c r="BH55" s="52">
        <v>0.84411607074496597</v>
      </c>
      <c r="BI55" s="52">
        <v>0.79215712207379996</v>
      </c>
      <c r="BJ55" s="42" t="s">
        <v>150</v>
      </c>
      <c r="BK55" s="46">
        <v>285.30419702272701</v>
      </c>
      <c r="BL55" s="46">
        <v>326.54713917579897</v>
      </c>
      <c r="BM55" s="42" t="s">
        <v>152</v>
      </c>
      <c r="BN55" s="48">
        <v>1</v>
      </c>
      <c r="BO55" s="42" t="s">
        <v>155</v>
      </c>
      <c r="BP55" s="42" t="s">
        <v>152</v>
      </c>
      <c r="BQ55" s="46">
        <v>0</v>
      </c>
      <c r="BR55" s="46">
        <v>184</v>
      </c>
      <c r="BS55" s="46">
        <v>12240</v>
      </c>
      <c r="BT55" s="46">
        <v>4324</v>
      </c>
      <c r="BU55" s="46">
        <v>2.8307123034227568</v>
      </c>
      <c r="BV55" s="46">
        <v>23.5</v>
      </c>
      <c r="BW55" s="46">
        <v>2698</v>
      </c>
      <c r="BX55" s="46">
        <v>1626</v>
      </c>
      <c r="BY55" s="46">
        <v>4324</v>
      </c>
      <c r="BZ55" s="46">
        <v>1</v>
      </c>
      <c r="CA55" s="46">
        <v>0.62395929694727104</v>
      </c>
      <c r="CB55" s="46">
        <v>0.37604070305272902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0.81699346405228757</v>
      </c>
      <c r="CJ55" s="46">
        <v>1.6339869281045749</v>
      </c>
      <c r="CK55">
        <v>228</v>
      </c>
      <c r="CL55">
        <v>702.54</v>
      </c>
      <c r="CM55">
        <f t="shared" si="7"/>
        <v>474.53999999999996</v>
      </c>
      <c r="CN55">
        <v>3.49</v>
      </c>
      <c r="CO55">
        <v>9.4499999999999993</v>
      </c>
      <c r="CP55">
        <f t="shared" si="8"/>
        <v>5.9599999999999991</v>
      </c>
      <c r="CQ55">
        <v>1481.48</v>
      </c>
      <c r="CR55">
        <v>285.3</v>
      </c>
      <c r="CS55">
        <f t="shared" si="9"/>
        <v>1196.18</v>
      </c>
      <c r="CT55" t="s">
        <v>152</v>
      </c>
      <c r="CU55">
        <v>37.32</v>
      </c>
      <c r="CV55">
        <v>354</v>
      </c>
      <c r="CW55" s="46">
        <v>4324</v>
      </c>
      <c r="CX55" s="46">
        <f t="shared" si="3"/>
        <v>89.025439407955602</v>
      </c>
      <c r="CY55" s="46">
        <v>474.54</v>
      </c>
      <c r="CZ55" s="46">
        <f t="shared" si="4"/>
        <v>100</v>
      </c>
      <c r="DA55" s="46">
        <f t="shared" si="5"/>
        <v>811.49792020072778</v>
      </c>
      <c r="DB55" s="46">
        <v>3894005.23</v>
      </c>
      <c r="DC55" s="46">
        <f t="shared" si="6"/>
        <v>17.981015058747033</v>
      </c>
      <c r="DD55" s="46">
        <v>86282.62</v>
      </c>
      <c r="DE55" s="995">
        <v>4324</v>
      </c>
      <c r="DF55" s="995">
        <v>92.796000000000006</v>
      </c>
      <c r="DG55" s="995">
        <v>311.5</v>
      </c>
      <c r="DH55" s="995">
        <v>100</v>
      </c>
      <c r="DI55" s="995">
        <v>1530.2159999999999</v>
      </c>
      <c r="DJ55" s="995">
        <v>7093299</v>
      </c>
      <c r="DK55" s="995">
        <v>33.805</v>
      </c>
      <c r="DL55" s="995">
        <v>156703.29999999999</v>
      </c>
      <c r="DM55" s="995">
        <v>4324</v>
      </c>
      <c r="DN55" s="995">
        <v>93.947000000000003</v>
      </c>
      <c r="DO55" s="995">
        <v>261.7</v>
      </c>
      <c r="DP55" s="995">
        <v>100</v>
      </c>
      <c r="DQ55" s="995">
        <v>1459.5319999999999</v>
      </c>
      <c r="DR55" s="995">
        <v>6693037</v>
      </c>
      <c r="DS55" s="995">
        <v>32.215000000000003</v>
      </c>
      <c r="DT55" s="995">
        <v>147731.4</v>
      </c>
    </row>
    <row r="56" spans="1:124">
      <c r="A56" s="42" t="s">
        <v>92</v>
      </c>
      <c r="B56" s="42" t="s">
        <v>168</v>
      </c>
      <c r="C56" s="42" t="s">
        <v>209</v>
      </c>
      <c r="D56" s="42">
        <v>705308</v>
      </c>
      <c r="E56" s="42" t="s">
        <v>219</v>
      </c>
      <c r="F56" s="42" t="s">
        <v>149</v>
      </c>
      <c r="G56" s="42" t="s">
        <v>150</v>
      </c>
      <c r="H56" s="43" t="s">
        <v>150</v>
      </c>
      <c r="I56" s="44">
        <v>27</v>
      </c>
      <c r="J56" s="45">
        <v>44671.076800000003</v>
      </c>
      <c r="K56" s="46">
        <v>23088.304619999999</v>
      </c>
      <c r="L56" s="47">
        <v>67759.381420000005</v>
      </c>
      <c r="M56" s="48">
        <v>3867134</v>
      </c>
      <c r="N56" s="49">
        <v>688574</v>
      </c>
      <c r="O56" s="49">
        <v>3178560</v>
      </c>
      <c r="P56" s="49">
        <v>0</v>
      </c>
      <c r="Q56" s="50">
        <v>8890.7723448275792</v>
      </c>
      <c r="R56" s="51">
        <v>5020.3885272341104</v>
      </c>
      <c r="S56" s="49">
        <v>27731.475878010599</v>
      </c>
      <c r="T56" s="49">
        <v>2817.6692077144398</v>
      </c>
      <c r="U56" s="49">
        <f>IFERROR(INDEX('Rentabilidad datos'!$N$2:$N$61,MATCH($C56,'Rentabilidad datos'!$C$2:$C$61,0)),"")</f>
        <v>35569.533612959094</v>
      </c>
      <c r="V56" s="50">
        <f>IFERROR(INDEX('Rentabilidad datos'!$O$2:$O$61,MATCH($C56,'Rentabilidad datos'!$C$2:$C$61,0)),"")</f>
        <v>1368.0589851138113</v>
      </c>
      <c r="W56" s="51">
        <f>IFERROR(INDEX('Rentabilidad datos'!$M$2:$M$61,MATCH($C56,'Rentabilidad datos'!$C$2:$C$61,0)),"")</f>
        <v>2318.2873272484931</v>
      </c>
      <c r="X56" s="52">
        <f>IFERROR(INDEX('Rentabilidad datos'!$P$2:$P$61,MATCH($C56,'Rentabilidad datos'!$C$2:$C$61,0)),"")</f>
        <v>0.59011623323564488</v>
      </c>
      <c r="Y56" s="43" t="s">
        <v>211</v>
      </c>
      <c r="Z56" s="53">
        <v>49.227586206896603</v>
      </c>
      <c r="AA56" s="43">
        <v>1</v>
      </c>
      <c r="AB56" s="54">
        <v>0.99954902002361434</v>
      </c>
      <c r="AC56" s="55">
        <v>4.5097997638561272E-4</v>
      </c>
      <c r="AD56" s="752" t="e">
        <f>_xlfn.XLOOKUP(Table1[[#This Row],[Ruta]],#REF!,#REF!)</f>
        <v>#REF!</v>
      </c>
      <c r="AE56" s="752" t="e">
        <f>_xlfn.XLOOKUP(Table1[[#This Row],[Ruta]],#REF!,#REF!)</f>
        <v>#REF!</v>
      </c>
      <c r="AF56" s="752" t="e">
        <f>_xlfn.XLOOKUP(Table1[[#This Row],[Ruta]],#REF!,#REF!)</f>
        <v>#REF!</v>
      </c>
      <c r="AG56" s="752" t="e">
        <f>_xlfn.XLOOKUP(Table1[[#This Row],[Ruta]],#REF!,#REF!)</f>
        <v>#REF!</v>
      </c>
      <c r="AH56" s="52">
        <v>0.17805796230490073</v>
      </c>
      <c r="AI56" s="52">
        <v>0.82194203769509921</v>
      </c>
      <c r="AJ56" s="55">
        <v>0</v>
      </c>
      <c r="AK56" s="56">
        <v>21414</v>
      </c>
      <c r="AL56" s="44">
        <v>12637</v>
      </c>
      <c r="AM56" s="54">
        <v>0.59012795367516602</v>
      </c>
      <c r="AN56" s="55">
        <v>0.59461304275985005</v>
      </c>
      <c r="AO56" s="56">
        <v>96.043697659435594</v>
      </c>
      <c r="AP56" s="48">
        <v>48.021848829717797</v>
      </c>
      <c r="AQ56" s="55">
        <v>0.59237049821750809</v>
      </c>
      <c r="AR56" s="51">
        <v>3867485.97</v>
      </c>
      <c r="AS56" s="49">
        <v>14696.828883627</v>
      </c>
      <c r="AT56" s="55">
        <v>3.800098823274335E-3</v>
      </c>
      <c r="AU56" s="51">
        <v>10327.501377683842</v>
      </c>
      <c r="AV56" s="52">
        <v>4.6980781085571548E-5</v>
      </c>
      <c r="AW56" s="44">
        <v>472</v>
      </c>
      <c r="AX56" s="51">
        <v>306.04462847194702</v>
      </c>
      <c r="AY56" s="49">
        <v>377.064073238829</v>
      </c>
      <c r="AZ56" s="49">
        <v>71.019444766881975</v>
      </c>
      <c r="BA56" s="42" t="s">
        <v>150</v>
      </c>
      <c r="BB56" s="50">
        <v>315328.25420940924</v>
      </c>
      <c r="BC56" s="57">
        <v>325655.75558709307</v>
      </c>
      <c r="BD56" s="42" t="s">
        <v>150</v>
      </c>
      <c r="BE56" s="46">
        <v>49.227586206896603</v>
      </c>
      <c r="BF56" s="46">
        <v>48.897321428571402</v>
      </c>
      <c r="BG56" s="42" t="s">
        <v>150</v>
      </c>
      <c r="BH56" s="52">
        <v>0.59012795367516602</v>
      </c>
      <c r="BI56" s="52">
        <v>0.79215712207379996</v>
      </c>
      <c r="BJ56" s="42" t="s">
        <v>152</v>
      </c>
      <c r="BK56" s="46">
        <v>155.76869291954</v>
      </c>
      <c r="BL56" s="46">
        <v>326.54713917579897</v>
      </c>
      <c r="BM56" s="42" t="s">
        <v>152</v>
      </c>
      <c r="BN56" s="48">
        <v>1</v>
      </c>
      <c r="BO56" s="42" t="s">
        <v>155</v>
      </c>
      <c r="BP56" s="42" t="s">
        <v>152</v>
      </c>
      <c r="BQ56" s="46">
        <v>4295.55677338845</v>
      </c>
      <c r="BR56" s="46">
        <v>682</v>
      </c>
      <c r="BS56" s="46">
        <v>44725</v>
      </c>
      <c r="BT56" s="46">
        <v>14732</v>
      </c>
      <c r="BU56" s="46">
        <v>3.0359082269888678</v>
      </c>
      <c r="BV56" s="46">
        <v>21.60117302052786</v>
      </c>
      <c r="BW56" s="46">
        <v>765</v>
      </c>
      <c r="BX56" s="46">
        <v>8636</v>
      </c>
      <c r="BY56" s="46">
        <v>9401</v>
      </c>
      <c r="BZ56" s="46">
        <v>0.63813467282106973</v>
      </c>
      <c r="CA56" s="46">
        <v>5.1927776269345645E-2</v>
      </c>
      <c r="CB56" s="46">
        <v>0.58620689655172409</v>
      </c>
      <c r="CC56" s="46">
        <v>0.12150420852565846</v>
      </c>
      <c r="CD56" s="46">
        <v>0</v>
      </c>
      <c r="CE56" s="46">
        <v>3.937007874015748E-3</v>
      </c>
      <c r="CF56" s="46">
        <v>0.23642411077925607</v>
      </c>
      <c r="CG56" s="46">
        <v>0</v>
      </c>
      <c r="CH56" s="46">
        <v>0</v>
      </c>
      <c r="CI56" s="46">
        <v>2.414756847400783</v>
      </c>
      <c r="CJ56" s="46">
        <v>1.4533258803801004</v>
      </c>
      <c r="CK56">
        <v>222</v>
      </c>
      <c r="CL56">
        <v>608.22</v>
      </c>
      <c r="CM56">
        <f t="shared" si="7"/>
        <v>386.22</v>
      </c>
      <c r="CN56">
        <v>3.83</v>
      </c>
      <c r="CO56">
        <v>9.4499999999999993</v>
      </c>
      <c r="CP56">
        <f t="shared" si="8"/>
        <v>5.6199999999999992</v>
      </c>
      <c r="CQ56">
        <v>634.91999999999996</v>
      </c>
      <c r="CR56">
        <v>155.77000000000001</v>
      </c>
      <c r="CS56">
        <f t="shared" si="9"/>
        <v>479.15</v>
      </c>
      <c r="CT56" t="s">
        <v>152</v>
      </c>
      <c r="CU56">
        <v>41.21</v>
      </c>
      <c r="CV56">
        <v>357</v>
      </c>
      <c r="CW56" s="46">
        <v>6796</v>
      </c>
      <c r="CX56" s="46">
        <f t="shared" si="3"/>
        <v>43.509231604670106</v>
      </c>
      <c r="CY56" s="46">
        <v>386.22</v>
      </c>
      <c r="CZ56" s="46">
        <f t="shared" si="4"/>
        <v>46.130871572087969</v>
      </c>
      <c r="DA56" s="46">
        <f t="shared" si="5"/>
        <v>247.29367676882597</v>
      </c>
      <c r="DB56" s="46">
        <v>3738640.21</v>
      </c>
      <c r="DC56" s="46">
        <f t="shared" si="6"/>
        <v>5.5297376278424313</v>
      </c>
      <c r="DD56" s="46">
        <v>83599.789999999994</v>
      </c>
      <c r="DE56" s="995">
        <v>6796</v>
      </c>
      <c r="DF56" s="995">
        <v>44.271000000000001</v>
      </c>
      <c r="DG56" s="995">
        <v>274</v>
      </c>
      <c r="DH56" s="995">
        <v>46.131</v>
      </c>
      <c r="DI56" s="995">
        <v>391.65699999999998</v>
      </c>
      <c r="DJ56" s="995">
        <v>5877215</v>
      </c>
      <c r="DK56" s="995">
        <v>8.8770000000000007</v>
      </c>
      <c r="DL56" s="995">
        <v>133212.20000000001</v>
      </c>
      <c r="DM56" s="995">
        <v>6796</v>
      </c>
      <c r="DN56" s="995">
        <v>44.396999999999998</v>
      </c>
      <c r="DO56" s="995">
        <v>255.5</v>
      </c>
      <c r="DP56" s="995">
        <v>46.131</v>
      </c>
      <c r="DQ56" s="995">
        <v>382.30799999999999</v>
      </c>
      <c r="DR56" s="995">
        <v>5729838</v>
      </c>
      <c r="DS56" s="995">
        <v>8.6769999999999996</v>
      </c>
      <c r="DT56" s="995">
        <v>130049.5</v>
      </c>
    </row>
    <row r="57" spans="1:124">
      <c r="A57" s="42" t="s">
        <v>92</v>
      </c>
      <c r="B57" s="42" t="s">
        <v>168</v>
      </c>
      <c r="C57" s="42" t="s">
        <v>209</v>
      </c>
      <c r="D57" s="42">
        <v>705309</v>
      </c>
      <c r="E57" s="42" t="s">
        <v>220</v>
      </c>
      <c r="F57" s="42" t="s">
        <v>149</v>
      </c>
      <c r="G57" s="42" t="s">
        <v>150</v>
      </c>
      <c r="H57" s="43" t="s">
        <v>150</v>
      </c>
      <c r="I57" s="44">
        <v>27</v>
      </c>
      <c r="J57" s="45">
        <v>49852.527199999997</v>
      </c>
      <c r="K57" s="46">
        <v>15067.108679000001</v>
      </c>
      <c r="L57" s="47">
        <v>64919.635879000001</v>
      </c>
      <c r="M57" s="48">
        <v>2861926</v>
      </c>
      <c r="N57" s="49">
        <v>748252</v>
      </c>
      <c r="O57" s="49">
        <v>2112909</v>
      </c>
      <c r="P57" s="49">
        <v>765</v>
      </c>
      <c r="Q57" s="50">
        <v>6716.3393427230103</v>
      </c>
      <c r="R57" s="51">
        <v>5020.3885272341104</v>
      </c>
      <c r="S57" s="49">
        <v>27731.475878010599</v>
      </c>
      <c r="T57" s="49">
        <v>2817.6692077144398</v>
      </c>
      <c r="U57" s="49">
        <f>IFERROR(INDEX('Rentabilidad datos'!$N$2:$N$61,MATCH($C57,'Rentabilidad datos'!$C$2:$C$61,0)),"")</f>
        <v>35569.533612959094</v>
      </c>
      <c r="V57" s="50">
        <f>IFERROR(INDEX('Rentabilidad datos'!$O$2:$O$61,MATCH($C57,'Rentabilidad datos'!$C$2:$C$61,0)),"")</f>
        <v>1368.0589851138113</v>
      </c>
      <c r="W57" s="51">
        <f>IFERROR(INDEX('Rentabilidad datos'!$M$2:$M$61,MATCH($C57,'Rentabilidad datos'!$C$2:$C$61,0)),"")</f>
        <v>2318.2873272484931</v>
      </c>
      <c r="X57" s="52">
        <f>IFERROR(INDEX('Rentabilidad datos'!$P$2:$P$61,MATCH($C57,'Rentabilidad datos'!$C$2:$C$61,0)),"")</f>
        <v>0.59011623323564488</v>
      </c>
      <c r="Y57" s="43" t="s">
        <v>211</v>
      </c>
      <c r="Z57" s="53">
        <v>41.89453125</v>
      </c>
      <c r="AA57" s="43">
        <v>1</v>
      </c>
      <c r="AB57" s="54">
        <v>0.99967574283891336</v>
      </c>
      <c r="AC57" s="55">
        <v>3.2425716108662488E-4</v>
      </c>
      <c r="AD57" s="752" t="e">
        <f>_xlfn.XLOOKUP(Table1[[#This Row],[Ruta]],#REF!,#REF!)</f>
        <v>#REF!</v>
      </c>
      <c r="AE57" s="752" t="e">
        <f>_xlfn.XLOOKUP(Table1[[#This Row],[Ruta]],#REF!,#REF!)</f>
        <v>#REF!</v>
      </c>
      <c r="AF57" s="752" t="e">
        <f>_xlfn.XLOOKUP(Table1[[#This Row],[Ruta]],#REF!,#REF!)</f>
        <v>#REF!</v>
      </c>
      <c r="AG57" s="752" t="e">
        <f>_xlfn.XLOOKUP(Table1[[#This Row],[Ruta]],#REF!,#REF!)</f>
        <v>#REF!</v>
      </c>
      <c r="AH57" s="52">
        <v>0.26145050570839357</v>
      </c>
      <c r="AI57" s="52">
        <v>0.73828219178273657</v>
      </c>
      <c r="AJ57" s="55">
        <v>2.6730250886990088E-4</v>
      </c>
      <c r="AK57" s="56">
        <v>10725</v>
      </c>
      <c r="AL57" s="44">
        <v>10296</v>
      </c>
      <c r="AM57" s="54">
        <v>0.66965034965034997</v>
      </c>
      <c r="AN57" s="55">
        <v>0.59461304275985005</v>
      </c>
      <c r="AO57" s="56">
        <v>0</v>
      </c>
      <c r="AP57" s="48">
        <v>0</v>
      </c>
      <c r="AQ57" s="55">
        <v>0.96</v>
      </c>
      <c r="AR57" s="51">
        <v>2861160.56</v>
      </c>
      <c r="AS57" s="49">
        <v>0</v>
      </c>
      <c r="AT57" s="55">
        <v>0</v>
      </c>
      <c r="AU57" s="51">
        <v>0</v>
      </c>
      <c r="AV57" s="52">
        <v>0</v>
      </c>
      <c r="AW57" s="44">
        <v>490</v>
      </c>
      <c r="AX57" s="51">
        <v>277.89049728049702</v>
      </c>
      <c r="AY57" s="49">
        <v>377.064073238829</v>
      </c>
      <c r="AZ57" s="49">
        <v>99.17357595833198</v>
      </c>
      <c r="BA57" s="42" t="s">
        <v>150</v>
      </c>
      <c r="BB57" s="50">
        <v>358761.75121272501</v>
      </c>
      <c r="BC57" s="57">
        <v>358761.75121272501</v>
      </c>
      <c r="BD57" s="42" t="s">
        <v>150</v>
      </c>
      <c r="BE57" s="46">
        <v>41.89453125</v>
      </c>
      <c r="BF57" s="46">
        <v>48.897321428571402</v>
      </c>
      <c r="BG57" s="42" t="s">
        <v>152</v>
      </c>
      <c r="BH57" s="52">
        <v>0.66965034965034997</v>
      </c>
      <c r="BI57" s="52">
        <v>0.79215712207379996</v>
      </c>
      <c r="BJ57" s="42" t="s">
        <v>152</v>
      </c>
      <c r="BK57" s="46">
        <v>152.39351145305201</v>
      </c>
      <c r="BL57" s="46">
        <v>326.54713917579897</v>
      </c>
      <c r="BM57" s="42" t="s">
        <v>152</v>
      </c>
      <c r="BN57" s="48">
        <v>0</v>
      </c>
      <c r="BO57" s="42" t="s">
        <v>155</v>
      </c>
      <c r="BP57" s="42" t="s">
        <v>152</v>
      </c>
      <c r="BQ57" s="46">
        <v>446.34772191204002</v>
      </c>
      <c r="BR57" s="46">
        <v>93</v>
      </c>
      <c r="BS57" s="46">
        <v>10843</v>
      </c>
      <c r="BT57" s="46">
        <v>3546</v>
      </c>
      <c r="BU57" s="46">
        <v>3.0578116187253244</v>
      </c>
      <c r="BV57" s="46">
        <v>38.12903225806452</v>
      </c>
      <c r="BW57" s="46">
        <v>3430</v>
      </c>
      <c r="BX57" s="46">
        <v>116</v>
      </c>
      <c r="BY57" s="46">
        <v>3546</v>
      </c>
      <c r="BZ57" s="46">
        <v>1</v>
      </c>
      <c r="CA57" s="46">
        <v>0.96728708403835306</v>
      </c>
      <c r="CB57" s="46">
        <v>3.2712915961646917E-2</v>
      </c>
      <c r="CC57" s="46">
        <v>0</v>
      </c>
      <c r="CD57" s="46">
        <v>0</v>
      </c>
      <c r="CE57" s="46">
        <v>0</v>
      </c>
      <c r="CF57" s="46">
        <v>0</v>
      </c>
      <c r="CG57" s="46">
        <v>0</v>
      </c>
      <c r="CH57" s="46">
        <v>0</v>
      </c>
      <c r="CI57" s="46">
        <v>0.1844507977497003</v>
      </c>
      <c r="CJ57" s="46">
        <v>0.7378031909988011</v>
      </c>
      <c r="CK57">
        <v>217</v>
      </c>
      <c r="CL57">
        <v>703.83</v>
      </c>
      <c r="CM57">
        <f t="shared" si="7"/>
        <v>486.83000000000004</v>
      </c>
      <c r="CN57">
        <v>3.28</v>
      </c>
      <c r="CO57">
        <v>9.4499999999999993</v>
      </c>
      <c r="CP57">
        <f t="shared" si="8"/>
        <v>6.17</v>
      </c>
      <c r="CQ57">
        <v>846.56</v>
      </c>
      <c r="CR57">
        <v>152.38999999999999</v>
      </c>
      <c r="CS57">
        <f t="shared" si="9"/>
        <v>694.17</v>
      </c>
      <c r="CT57" t="s">
        <v>152</v>
      </c>
      <c r="CU57">
        <v>35.270000000000003</v>
      </c>
      <c r="CV57">
        <v>284</v>
      </c>
      <c r="CW57" s="46">
        <v>3546</v>
      </c>
      <c r="CX57" s="46">
        <f t="shared" si="3"/>
        <v>86.27100958826847</v>
      </c>
      <c r="CY57" s="46">
        <v>486.83</v>
      </c>
      <c r="CZ57" s="46">
        <f t="shared" si="4"/>
        <v>100</v>
      </c>
      <c r="DA57" s="46">
        <f t="shared" si="5"/>
        <v>1054.6817991336111</v>
      </c>
      <c r="DB57" s="46">
        <v>4253352.4000000004</v>
      </c>
      <c r="DC57" s="46">
        <f t="shared" si="6"/>
        <v>23.596122326009279</v>
      </c>
      <c r="DD57" s="46">
        <v>95159.15</v>
      </c>
      <c r="DE57" s="995">
        <v>3546</v>
      </c>
      <c r="DF57" s="995">
        <v>90.893000000000001</v>
      </c>
      <c r="DG57" s="995">
        <v>322.89999999999998</v>
      </c>
      <c r="DH57" s="995">
        <v>100</v>
      </c>
      <c r="DI57" s="995">
        <v>1354.259</v>
      </c>
      <c r="DJ57" s="995">
        <v>5239522</v>
      </c>
      <c r="DK57" s="995">
        <v>31.835000000000001</v>
      </c>
      <c r="DL57" s="995">
        <v>123166.8</v>
      </c>
      <c r="DM57" s="995">
        <v>3546</v>
      </c>
      <c r="DN57" s="995">
        <v>92.378</v>
      </c>
      <c r="DO57" s="995">
        <v>270.3</v>
      </c>
      <c r="DP57" s="995">
        <v>100</v>
      </c>
      <c r="DQ57" s="995">
        <v>1262.1120000000001</v>
      </c>
      <c r="DR57" s="995">
        <v>4816547</v>
      </c>
      <c r="DS57" s="995">
        <v>29.786000000000001</v>
      </c>
      <c r="DT57" s="995">
        <v>113669.4</v>
      </c>
    </row>
    <row r="58" spans="1:124">
      <c r="A58" s="42" t="s">
        <v>92</v>
      </c>
      <c r="B58" s="42" t="s">
        <v>168</v>
      </c>
      <c r="C58" s="42" t="s">
        <v>209</v>
      </c>
      <c r="D58" s="42">
        <v>705310</v>
      </c>
      <c r="E58" s="42" t="s">
        <v>221</v>
      </c>
      <c r="F58" s="42" t="s">
        <v>149</v>
      </c>
      <c r="G58" s="42" t="s">
        <v>150</v>
      </c>
      <c r="H58" s="43" t="s">
        <v>150</v>
      </c>
      <c r="I58" s="44">
        <v>27</v>
      </c>
      <c r="J58" s="45">
        <v>28115.7968</v>
      </c>
      <c r="K58" s="46">
        <v>22642.210116999999</v>
      </c>
      <c r="L58" s="47">
        <v>50758.006916999999</v>
      </c>
      <c r="M58" s="48">
        <v>3297794</v>
      </c>
      <c r="N58" s="49">
        <v>396877</v>
      </c>
      <c r="O58" s="49">
        <v>2900917</v>
      </c>
      <c r="P58" s="49">
        <v>0</v>
      </c>
      <c r="Q58" s="50">
        <v>8861.0941978609608</v>
      </c>
      <c r="R58" s="51">
        <v>5020.3885272341104</v>
      </c>
      <c r="S58" s="49">
        <v>27731.475878010599</v>
      </c>
      <c r="T58" s="49">
        <v>2817.6692077144398</v>
      </c>
      <c r="U58" s="49">
        <f>IFERROR(INDEX('Rentabilidad datos'!$N$2:$N$61,MATCH($C58,'Rentabilidad datos'!$C$2:$C$61,0)),"")</f>
        <v>35569.533612959094</v>
      </c>
      <c r="V58" s="50">
        <f>IFERROR(INDEX('Rentabilidad datos'!$O$2:$O$61,MATCH($C58,'Rentabilidad datos'!$C$2:$C$61,0)),"")</f>
        <v>1368.0589851138113</v>
      </c>
      <c r="W58" s="51">
        <f>IFERROR(INDEX('Rentabilidad datos'!$M$2:$M$61,MATCH($C58,'Rentabilidad datos'!$C$2:$C$61,0)),"")</f>
        <v>2318.2873272484931</v>
      </c>
      <c r="X58" s="52">
        <f>IFERROR(INDEX('Rentabilidad datos'!$P$2:$P$61,MATCH($C58,'Rentabilidad datos'!$C$2:$C$61,0)),"")</f>
        <v>0.59011623323564488</v>
      </c>
      <c r="Y58" s="43" t="s">
        <v>211</v>
      </c>
      <c r="Z58" s="53">
        <v>37.054187192118199</v>
      </c>
      <c r="AA58" s="43">
        <v>1</v>
      </c>
      <c r="AB58" s="54">
        <v>0.99954211815534866</v>
      </c>
      <c r="AC58" s="55">
        <v>4.5788184465130326E-4</v>
      </c>
      <c r="AD58" s="752" t="e">
        <f>_xlfn.XLOOKUP(Table1[[#This Row],[Ruta]],#REF!,#REF!)</f>
        <v>#REF!</v>
      </c>
      <c r="AE58" s="752" t="e">
        <f>_xlfn.XLOOKUP(Table1[[#This Row],[Ruta]],#REF!,#REF!)</f>
        <v>#REF!</v>
      </c>
      <c r="AF58" s="752" t="e">
        <f>_xlfn.XLOOKUP(Table1[[#This Row],[Ruta]],#REF!,#REF!)</f>
        <v>#REF!</v>
      </c>
      <c r="AG58" s="752" t="e">
        <f>_xlfn.XLOOKUP(Table1[[#This Row],[Ruta]],#REF!,#REF!)</f>
        <v>#REF!</v>
      </c>
      <c r="AH58" s="52">
        <v>0.12034620719183793</v>
      </c>
      <c r="AI58" s="52">
        <v>0.87965379280816203</v>
      </c>
      <c r="AJ58" s="55">
        <v>0</v>
      </c>
      <c r="AK58" s="56">
        <v>7522</v>
      </c>
      <c r="AL58" s="44">
        <v>7985</v>
      </c>
      <c r="AM58" s="54">
        <v>0.52698750332358402</v>
      </c>
      <c r="AN58" s="55">
        <v>0.59461304275985005</v>
      </c>
      <c r="AO58" s="56">
        <v>508.67930763959401</v>
      </c>
      <c r="AP58" s="48">
        <v>254.33965381979701</v>
      </c>
      <c r="AQ58" s="55">
        <v>1.0953655482344853</v>
      </c>
      <c r="AR58" s="51">
        <v>3314049.23</v>
      </c>
      <c r="AS58" s="49">
        <v>105559.6911584175</v>
      </c>
      <c r="AT58" s="55">
        <v>3.1852179564157382E-2</v>
      </c>
      <c r="AU58" s="51">
        <v>74177.080273482599</v>
      </c>
      <c r="AV58" s="52">
        <v>3.3743855773533813E-4</v>
      </c>
      <c r="AW58" s="44">
        <v>413</v>
      </c>
      <c r="AX58" s="51">
        <v>415.03434314339398</v>
      </c>
      <c r="AY58" s="49">
        <v>377.064073238829</v>
      </c>
      <c r="AZ58" s="49">
        <v>0</v>
      </c>
      <c r="BA58" s="42" t="s">
        <v>152</v>
      </c>
      <c r="BB58" s="50">
        <v>0</v>
      </c>
      <c r="BC58" s="57">
        <v>74177.080273482599</v>
      </c>
      <c r="BD58" s="42" t="s">
        <v>150</v>
      </c>
      <c r="BE58" s="46">
        <v>37.054187192118199</v>
      </c>
      <c r="BF58" s="46">
        <v>48.897321428571402</v>
      </c>
      <c r="BG58" s="42" t="s">
        <v>152</v>
      </c>
      <c r="BH58" s="52">
        <v>0.52698750332358402</v>
      </c>
      <c r="BI58" s="52">
        <v>0.79215712207379996</v>
      </c>
      <c r="BJ58" s="42" t="s">
        <v>152</v>
      </c>
      <c r="BK58" s="46">
        <v>135.71659603475899</v>
      </c>
      <c r="BL58" s="46">
        <v>326.54713917579897</v>
      </c>
      <c r="BM58" s="42" t="s">
        <v>152</v>
      </c>
      <c r="BN58" s="48">
        <v>0</v>
      </c>
      <c r="BO58" s="42" t="s">
        <v>155</v>
      </c>
      <c r="BP58" s="42" t="s">
        <v>152</v>
      </c>
      <c r="BQ58" s="46">
        <v>3789.0060492356401</v>
      </c>
      <c r="BR58" s="46">
        <v>288</v>
      </c>
      <c r="BS58" s="46">
        <v>9302</v>
      </c>
      <c r="BT58" s="46">
        <v>2984</v>
      </c>
      <c r="BU58" s="46">
        <v>3.1172922252010724</v>
      </c>
      <c r="BV58" s="46">
        <v>10.361111111111111</v>
      </c>
      <c r="BW58" s="46">
        <v>1460</v>
      </c>
      <c r="BX58" s="46">
        <v>1115</v>
      </c>
      <c r="BY58" s="46">
        <v>2575</v>
      </c>
      <c r="BZ58" s="46">
        <v>0.86293565683646112</v>
      </c>
      <c r="CA58" s="46">
        <v>0.48927613941018766</v>
      </c>
      <c r="CB58" s="46">
        <v>0.37365951742627346</v>
      </c>
      <c r="CC58" s="46">
        <v>2.3458445040214475E-3</v>
      </c>
      <c r="CD58" s="46">
        <v>0</v>
      </c>
      <c r="CE58" s="46">
        <v>0</v>
      </c>
      <c r="CF58" s="46">
        <v>0.13471849865951743</v>
      </c>
      <c r="CG58" s="46">
        <v>0</v>
      </c>
      <c r="CH58" s="46">
        <v>0</v>
      </c>
      <c r="CI58" s="46">
        <v>4.0851429800042993</v>
      </c>
      <c r="CJ58" s="46">
        <v>2.4725865405289187</v>
      </c>
      <c r="CK58">
        <v>173</v>
      </c>
      <c r="CL58">
        <v>577.5</v>
      </c>
      <c r="CM58">
        <f t="shared" si="7"/>
        <v>404.5</v>
      </c>
      <c r="CN58">
        <v>3.24</v>
      </c>
      <c r="CO58">
        <v>9.4499999999999993</v>
      </c>
      <c r="CP58">
        <f t="shared" si="8"/>
        <v>6.2099999999999991</v>
      </c>
      <c r="CQ58">
        <v>634.91999999999996</v>
      </c>
      <c r="CR58">
        <v>135.72</v>
      </c>
      <c r="CS58">
        <f t="shared" si="9"/>
        <v>499.19999999999993</v>
      </c>
      <c r="CT58" t="s">
        <v>152</v>
      </c>
      <c r="CU58">
        <v>34.9</v>
      </c>
      <c r="CV58">
        <v>204</v>
      </c>
      <c r="CW58" s="46">
        <v>1667</v>
      </c>
      <c r="CX58" s="46">
        <f t="shared" si="3"/>
        <v>42.308981233243969</v>
      </c>
      <c r="CY58" s="46">
        <v>404.5</v>
      </c>
      <c r="CZ58" s="46">
        <f t="shared" si="4"/>
        <v>55.864611260053621</v>
      </c>
      <c r="DA58" s="46">
        <f t="shared" si="5"/>
        <v>1388.3744577246568</v>
      </c>
      <c r="DB58" s="46">
        <v>4704506.8499999996</v>
      </c>
      <c r="DC58" s="46">
        <f t="shared" si="6"/>
        <v>22.219967537258373</v>
      </c>
      <c r="DD58" s="46">
        <v>75292.36</v>
      </c>
      <c r="DE58" s="995">
        <v>1667</v>
      </c>
      <c r="DF58" s="995">
        <v>47.173999999999999</v>
      </c>
      <c r="DG58" s="995">
        <v>259.3</v>
      </c>
      <c r="DH58" s="995">
        <v>55.865000000000002</v>
      </c>
      <c r="DI58" s="995">
        <v>2119.9960000000001</v>
      </c>
      <c r="DJ58" s="995">
        <v>6875852</v>
      </c>
      <c r="DK58" s="995">
        <v>34.225999999999999</v>
      </c>
      <c r="DL58" s="995">
        <v>111005.6</v>
      </c>
      <c r="DM58" s="995">
        <v>1667</v>
      </c>
      <c r="DN58" s="995">
        <v>48.670999999999999</v>
      </c>
      <c r="DO58" s="995">
        <v>214.7</v>
      </c>
      <c r="DP58" s="995">
        <v>55.865000000000002</v>
      </c>
      <c r="DQ58" s="995">
        <v>1991.5540000000001</v>
      </c>
      <c r="DR58" s="995">
        <v>6370301</v>
      </c>
      <c r="DS58" s="995">
        <v>32.185000000000002</v>
      </c>
      <c r="DT58" s="995">
        <v>102948.4</v>
      </c>
    </row>
    <row r="59" spans="1:124">
      <c r="A59" s="42" t="s">
        <v>92</v>
      </c>
      <c r="B59" s="42" t="s">
        <v>168</v>
      </c>
      <c r="C59" s="42" t="s">
        <v>209</v>
      </c>
      <c r="D59" s="42">
        <v>705311</v>
      </c>
      <c r="E59" s="42" t="s">
        <v>222</v>
      </c>
      <c r="F59" s="42" t="s">
        <v>149</v>
      </c>
      <c r="G59" s="42" t="s">
        <v>150</v>
      </c>
      <c r="H59" s="43" t="s">
        <v>150</v>
      </c>
      <c r="I59" s="44">
        <v>27</v>
      </c>
      <c r="J59" s="45">
        <v>41772.141600000003</v>
      </c>
      <c r="K59" s="46">
        <v>14968.307289</v>
      </c>
      <c r="L59" s="47">
        <v>56740.448888999999</v>
      </c>
      <c r="M59" s="48">
        <v>2618365</v>
      </c>
      <c r="N59" s="49">
        <v>580482</v>
      </c>
      <c r="O59" s="49">
        <v>2037883</v>
      </c>
      <c r="P59" s="49">
        <v>0</v>
      </c>
      <c r="Q59" s="50">
        <v>5989.0930205949699</v>
      </c>
      <c r="R59" s="51">
        <v>5020.3885272341104</v>
      </c>
      <c r="S59" s="49">
        <v>27731.475878010599</v>
      </c>
      <c r="T59" s="49">
        <v>2817.6692077144398</v>
      </c>
      <c r="U59" s="49">
        <f>IFERROR(INDEX('Rentabilidad datos'!$N$2:$N$61,MATCH($C59,'Rentabilidad datos'!$C$2:$C$61,0)),"")</f>
        <v>35569.533612959094</v>
      </c>
      <c r="V59" s="50">
        <f>IFERROR(INDEX('Rentabilidad datos'!$O$2:$O$61,MATCH($C59,'Rentabilidad datos'!$C$2:$C$61,0)),"")</f>
        <v>1368.0589851138113</v>
      </c>
      <c r="W59" s="51">
        <f>IFERROR(INDEX('Rentabilidad datos'!$M$2:$M$61,MATCH($C59,'Rentabilidad datos'!$C$2:$C$61,0)),"")</f>
        <v>2318.2873272484931</v>
      </c>
      <c r="X59" s="52">
        <f>IFERROR(INDEX('Rentabilidad datos'!$P$2:$P$61,MATCH($C59,'Rentabilidad datos'!$C$2:$C$61,0)),"")</f>
        <v>0.59011623323564488</v>
      </c>
      <c r="Y59" s="43" t="s">
        <v>211</v>
      </c>
      <c r="Z59" s="53">
        <v>73.533180778032005</v>
      </c>
      <c r="AA59" s="43">
        <v>1</v>
      </c>
      <c r="AB59" s="54">
        <v>0.99357728964449188</v>
      </c>
      <c r="AC59" s="55">
        <v>6.4227103555081133E-3</v>
      </c>
      <c r="AD59" s="752" t="e">
        <f>_xlfn.XLOOKUP(Table1[[#This Row],[Ruta]],#REF!,#REF!)</f>
        <v>#REF!</v>
      </c>
      <c r="AE59" s="752" t="e">
        <f>_xlfn.XLOOKUP(Table1[[#This Row],[Ruta]],#REF!,#REF!)</f>
        <v>#REF!</v>
      </c>
      <c r="AF59" s="752" t="e">
        <f>_xlfn.XLOOKUP(Table1[[#This Row],[Ruta]],#REF!,#REF!)</f>
        <v>#REF!</v>
      </c>
      <c r="AG59" s="752" t="e">
        <f>_xlfn.XLOOKUP(Table1[[#This Row],[Ruta]],#REF!,#REF!)</f>
        <v>#REF!</v>
      </c>
      <c r="AH59" s="52">
        <v>0.22169636395231376</v>
      </c>
      <c r="AI59" s="52">
        <v>0.77830363604768626</v>
      </c>
      <c r="AJ59" s="55">
        <v>0</v>
      </c>
      <c r="AK59" s="56">
        <v>32134</v>
      </c>
      <c r="AL59" s="44">
        <v>14386</v>
      </c>
      <c r="AM59" s="54">
        <v>0.447687807306902</v>
      </c>
      <c r="AN59" s="55">
        <v>0.59461304275985005</v>
      </c>
      <c r="AO59" s="56">
        <v>4721.2955160450301</v>
      </c>
      <c r="AP59" s="48">
        <v>2360.6477580225151</v>
      </c>
      <c r="AQ59" s="55">
        <v>0.52115042503337627</v>
      </c>
      <c r="AR59" s="51">
        <v>2617233.65</v>
      </c>
      <c r="AS59" s="49">
        <v>429470.78743873152</v>
      </c>
      <c r="AT59" s="55">
        <v>0.16409340734203517</v>
      </c>
      <c r="AU59" s="51">
        <v>301790.28306505468</v>
      </c>
      <c r="AV59" s="52">
        <v>1.3728725568673604E-3</v>
      </c>
      <c r="AW59" s="44">
        <v>240</v>
      </c>
      <c r="AX59" s="51">
        <v>181.92921242874999</v>
      </c>
      <c r="AY59" s="49">
        <v>377.064073238829</v>
      </c>
      <c r="AZ59" s="49">
        <v>195.134860810079</v>
      </c>
      <c r="BA59" s="42" t="s">
        <v>150</v>
      </c>
      <c r="BB59" s="50">
        <v>986317.0648372802</v>
      </c>
      <c r="BC59" s="57">
        <v>1288107.3479023348</v>
      </c>
      <c r="BD59" s="42" t="s">
        <v>150</v>
      </c>
      <c r="BE59" s="46">
        <v>73.533180778032005</v>
      </c>
      <c r="BF59" s="46">
        <v>48.897321428571402</v>
      </c>
      <c r="BG59" s="42" t="s">
        <v>150</v>
      </c>
      <c r="BH59" s="52">
        <v>0.447687807306902</v>
      </c>
      <c r="BI59" s="52">
        <v>0.79215712207379996</v>
      </c>
      <c r="BJ59" s="42" t="s">
        <v>152</v>
      </c>
      <c r="BK59" s="46">
        <v>129.840844139588</v>
      </c>
      <c r="BL59" s="46">
        <v>326.54713917579897</v>
      </c>
      <c r="BM59" s="42" t="s">
        <v>152</v>
      </c>
      <c r="BN59" s="48">
        <v>1</v>
      </c>
      <c r="BO59" s="42" t="s">
        <v>155</v>
      </c>
      <c r="BP59" s="42" t="s">
        <v>152</v>
      </c>
      <c r="BQ59" s="46">
        <v>0</v>
      </c>
      <c r="BR59" s="46">
        <v>1249</v>
      </c>
      <c r="BS59" s="46">
        <v>87389</v>
      </c>
      <c r="BT59" s="46">
        <v>25386</v>
      </c>
      <c r="BU59" s="46">
        <v>3.4424092019223194</v>
      </c>
      <c r="BV59" s="46">
        <v>20.325060048038431</v>
      </c>
      <c r="BW59" s="46">
        <v>748</v>
      </c>
      <c r="BX59" s="46">
        <v>11480</v>
      </c>
      <c r="BY59" s="46">
        <v>12228</v>
      </c>
      <c r="BZ59" s="46">
        <v>0.48168281730087448</v>
      </c>
      <c r="CA59" s="46">
        <v>2.9465059481604029E-2</v>
      </c>
      <c r="CB59" s="46">
        <v>0.45221775781927048</v>
      </c>
      <c r="CC59" s="46">
        <v>0.33002442291026551</v>
      </c>
      <c r="CD59" s="46">
        <v>4.6324745922949648E-2</v>
      </c>
      <c r="CE59" s="46">
        <v>0</v>
      </c>
      <c r="CF59" s="46">
        <v>0.14192862207515949</v>
      </c>
      <c r="CG59" s="46">
        <v>0</v>
      </c>
      <c r="CH59" s="46">
        <v>3.9391790750807528E-5</v>
      </c>
      <c r="CI59" s="46">
        <v>3.0553044433509937</v>
      </c>
      <c r="CJ59" s="46">
        <v>0.62936982915469908</v>
      </c>
      <c r="CK59">
        <v>530</v>
      </c>
      <c r="CL59">
        <v>1095.79</v>
      </c>
      <c r="CM59">
        <f t="shared" si="7"/>
        <v>565.79</v>
      </c>
      <c r="CN59">
        <v>13.33</v>
      </c>
      <c r="CO59">
        <v>9.4499999999999993</v>
      </c>
      <c r="CP59">
        <f t="shared" si="8"/>
        <v>-3.8800000000000008</v>
      </c>
      <c r="CQ59">
        <v>634.91999999999996</v>
      </c>
      <c r="CR59">
        <v>129.84</v>
      </c>
      <c r="CS59">
        <f t="shared" si="9"/>
        <v>505.07999999999993</v>
      </c>
      <c r="CT59" t="s">
        <v>150</v>
      </c>
      <c r="CU59">
        <v>141.03</v>
      </c>
      <c r="CV59">
        <v>399</v>
      </c>
      <c r="CW59" s="46">
        <v>12228</v>
      </c>
      <c r="CX59" s="46">
        <f t="shared" si="3"/>
        <v>45.93953360119751</v>
      </c>
      <c r="CY59" s="46">
        <v>565.79</v>
      </c>
      <c r="CZ59" s="46">
        <f t="shared" si="4"/>
        <v>48.16828173008745</v>
      </c>
      <c r="DA59" s="46">
        <f t="shared" si="5"/>
        <v>242.51663334205463</v>
      </c>
      <c r="DB59" s="46">
        <v>6293740.7400000002</v>
      </c>
      <c r="DC59" s="46">
        <f t="shared" si="6"/>
        <v>5.6833147154782004</v>
      </c>
      <c r="DD59" s="46">
        <v>147492.19</v>
      </c>
      <c r="DE59" s="995">
        <v>12228</v>
      </c>
      <c r="DF59" s="995">
        <v>46.097999999999999</v>
      </c>
      <c r="DG59" s="995">
        <v>525.6</v>
      </c>
      <c r="DH59" s="995">
        <v>48.167999999999999</v>
      </c>
      <c r="DI59" s="995">
        <v>335.92700000000002</v>
      </c>
      <c r="DJ59" s="995">
        <v>8704389</v>
      </c>
      <c r="DK59" s="995">
        <v>7.9349999999999996</v>
      </c>
      <c r="DL59" s="995">
        <v>205617.6</v>
      </c>
      <c r="DM59" s="995">
        <v>12228</v>
      </c>
      <c r="DN59" s="995">
        <v>46.116999999999997</v>
      </c>
      <c r="DO59" s="995">
        <v>520.70000000000005</v>
      </c>
      <c r="DP59" s="995">
        <v>48.167999999999999</v>
      </c>
      <c r="DQ59" s="995">
        <v>334.69799999999998</v>
      </c>
      <c r="DR59" s="995">
        <v>8670916</v>
      </c>
      <c r="DS59" s="995">
        <v>7.9059999999999997</v>
      </c>
      <c r="DT59" s="995">
        <v>204806</v>
      </c>
    </row>
    <row r="60" spans="1:124">
      <c r="A60" s="42" t="s">
        <v>92</v>
      </c>
      <c r="B60" s="42" t="s">
        <v>168</v>
      </c>
      <c r="C60" s="42" t="s">
        <v>209</v>
      </c>
      <c r="D60" s="42">
        <v>705312</v>
      </c>
      <c r="E60" s="42" t="s">
        <v>223</v>
      </c>
      <c r="F60" s="42" t="s">
        <v>149</v>
      </c>
      <c r="G60" s="42" t="s">
        <v>150</v>
      </c>
      <c r="H60" s="43" t="s">
        <v>150</v>
      </c>
      <c r="I60" s="44">
        <v>27</v>
      </c>
      <c r="J60" s="45">
        <v>61279.192799999902</v>
      </c>
      <c r="K60" s="46">
        <v>24160.215318999999</v>
      </c>
      <c r="L60" s="47">
        <v>85439.408119</v>
      </c>
      <c r="M60" s="48">
        <v>4062859</v>
      </c>
      <c r="N60" s="49">
        <v>877854</v>
      </c>
      <c r="O60" s="49">
        <v>3185005</v>
      </c>
      <c r="P60" s="49">
        <v>0</v>
      </c>
      <c r="Q60" s="50">
        <v>9254.7981093394101</v>
      </c>
      <c r="R60" s="51">
        <v>5020.3885272341104</v>
      </c>
      <c r="S60" s="49">
        <v>27731.475878010599</v>
      </c>
      <c r="T60" s="49">
        <v>2817.6692077144398</v>
      </c>
      <c r="U60" s="49">
        <f>IFERROR(INDEX('Rentabilidad datos'!$N$2:$N$61,MATCH($C60,'Rentabilidad datos'!$C$2:$C$61,0)),"")</f>
        <v>35569.533612959094</v>
      </c>
      <c r="V60" s="50">
        <f>IFERROR(INDEX('Rentabilidad datos'!$O$2:$O$61,MATCH($C60,'Rentabilidad datos'!$C$2:$C$61,0)),"")</f>
        <v>1368.0589851138113</v>
      </c>
      <c r="W60" s="51">
        <f>IFERROR(INDEX('Rentabilidad datos'!$M$2:$M$61,MATCH($C60,'Rentabilidad datos'!$C$2:$C$61,0)),"")</f>
        <v>2318.2873272484931</v>
      </c>
      <c r="X60" s="52">
        <f>IFERROR(INDEX('Rentabilidad datos'!$P$2:$P$61,MATCH($C60,'Rentabilidad datos'!$C$2:$C$61,0)),"")</f>
        <v>0.59011623323564488</v>
      </c>
      <c r="Y60" s="43" t="s">
        <v>211</v>
      </c>
      <c r="Z60" s="53">
        <v>90.282460136674302</v>
      </c>
      <c r="AA60" s="43">
        <v>1</v>
      </c>
      <c r="AB60" s="54">
        <v>0.99501804025195062</v>
      </c>
      <c r="AC60" s="55">
        <v>4.9819597480493414E-3</v>
      </c>
      <c r="AD60" s="752" t="e">
        <f>_xlfn.XLOOKUP(Table1[[#This Row],[Ruta]],#REF!,#REF!)</f>
        <v>#REF!</v>
      </c>
      <c r="AE60" s="752" t="e">
        <f>_xlfn.XLOOKUP(Table1[[#This Row],[Ruta]],#REF!,#REF!)</f>
        <v>#REF!</v>
      </c>
      <c r="AF60" s="752" t="e">
        <f>_xlfn.XLOOKUP(Table1[[#This Row],[Ruta]],#REF!,#REF!)</f>
        <v>#REF!</v>
      </c>
      <c r="AG60" s="752" t="e">
        <f>_xlfn.XLOOKUP(Table1[[#This Row],[Ruta]],#REF!,#REF!)</f>
        <v>#REF!</v>
      </c>
      <c r="AH60" s="52">
        <v>0.21606804469463498</v>
      </c>
      <c r="AI60" s="52">
        <v>0.78393195530536497</v>
      </c>
      <c r="AJ60" s="55">
        <v>0</v>
      </c>
      <c r="AK60" s="56">
        <v>39634</v>
      </c>
      <c r="AL60" s="44">
        <v>15378</v>
      </c>
      <c r="AM60" s="54">
        <v>0.38800020184689898</v>
      </c>
      <c r="AN60" s="55">
        <v>0.59461304275985005</v>
      </c>
      <c r="AO60" s="56">
        <v>8188.8933367439104</v>
      </c>
      <c r="AP60" s="48">
        <v>4094.4466683719552</v>
      </c>
      <c r="AQ60" s="55">
        <v>0.49130662230337474</v>
      </c>
      <c r="AR60" s="51">
        <v>4062856.37</v>
      </c>
      <c r="AS60" s="49">
        <v>1081749.819756815</v>
      </c>
      <c r="AT60" s="55">
        <v>0.26625352245883477</v>
      </c>
      <c r="AU60" s="51">
        <v>760148.52199127572</v>
      </c>
      <c r="AV60" s="52">
        <v>3.4579875613826483E-3</v>
      </c>
      <c r="AW60" s="44">
        <v>83</v>
      </c>
      <c r="AX60" s="51">
        <v>264.199269735987</v>
      </c>
      <c r="AY60" s="49">
        <v>377.064073238829</v>
      </c>
      <c r="AZ60" s="49">
        <v>112.86480350284199</v>
      </c>
      <c r="BA60" s="42" t="s">
        <v>150</v>
      </c>
      <c r="BB60" s="50">
        <v>609817.68452613952</v>
      </c>
      <c r="BC60" s="57">
        <v>1369966.2065174151</v>
      </c>
      <c r="BD60" s="42" t="s">
        <v>150</v>
      </c>
      <c r="BE60" s="46">
        <v>90.282460136674302</v>
      </c>
      <c r="BF60" s="46">
        <v>48.897321428571402</v>
      </c>
      <c r="BG60" s="42" t="s">
        <v>150</v>
      </c>
      <c r="BH60" s="52">
        <v>0.38800020184689898</v>
      </c>
      <c r="BI60" s="52">
        <v>0.79215712207379996</v>
      </c>
      <c r="BJ60" s="42" t="s">
        <v>152</v>
      </c>
      <c r="BK60" s="46">
        <v>194.622797537585</v>
      </c>
      <c r="BL60" s="46">
        <v>326.54713917579897</v>
      </c>
      <c r="BM60" s="42" t="s">
        <v>152</v>
      </c>
      <c r="BN60" s="48">
        <v>1</v>
      </c>
      <c r="BO60" s="42" t="s">
        <v>155</v>
      </c>
      <c r="BP60" s="42" t="s">
        <v>152</v>
      </c>
      <c r="BQ60" s="46">
        <v>3191.9229627698101</v>
      </c>
      <c r="BR60" s="46">
        <v>2508</v>
      </c>
      <c r="BS60" s="46">
        <v>240168</v>
      </c>
      <c r="BT60" s="46">
        <v>62707</v>
      </c>
      <c r="BU60" s="46">
        <v>3.8300030299647569</v>
      </c>
      <c r="BV60" s="46">
        <v>25.002791068580542</v>
      </c>
      <c r="BW60" s="46">
        <v>0</v>
      </c>
      <c r="BX60" s="46">
        <v>10665</v>
      </c>
      <c r="BY60" s="46">
        <v>10665</v>
      </c>
      <c r="BZ60" s="46">
        <v>0.17007670594989396</v>
      </c>
      <c r="CA60" s="46">
        <v>0</v>
      </c>
      <c r="CB60" s="46">
        <v>0.17007670594989399</v>
      </c>
      <c r="CC60" s="46">
        <v>0.18814486420973739</v>
      </c>
      <c r="CD60" s="46">
        <v>3.8416763678696161E-2</v>
      </c>
      <c r="CE60" s="46">
        <v>0</v>
      </c>
      <c r="CF60" s="46">
        <v>0.60336166616167253</v>
      </c>
      <c r="CG60" s="46">
        <v>0</v>
      </c>
      <c r="CH60" s="46">
        <v>0</v>
      </c>
      <c r="CI60" s="46">
        <v>4.6758935411878353</v>
      </c>
      <c r="CJ60" s="46">
        <v>0.37057393158122648</v>
      </c>
      <c r="CK60">
        <v>493</v>
      </c>
      <c r="CL60">
        <v>1152.28</v>
      </c>
      <c r="CM60">
        <f t="shared" si="7"/>
        <v>659.28</v>
      </c>
      <c r="CN60">
        <v>7.34</v>
      </c>
      <c r="CO60">
        <v>9.4499999999999993</v>
      </c>
      <c r="CP60">
        <f t="shared" si="8"/>
        <v>2.1099999999999994</v>
      </c>
      <c r="CQ60">
        <v>634.91999999999996</v>
      </c>
      <c r="CR60">
        <v>194.62</v>
      </c>
      <c r="CS60">
        <f t="shared" si="9"/>
        <v>440.29999999999995</v>
      </c>
      <c r="CT60" t="s">
        <v>152</v>
      </c>
      <c r="CU60">
        <v>78.239999999999995</v>
      </c>
      <c r="CV60">
        <v>234</v>
      </c>
      <c r="CW60" s="46">
        <v>10665</v>
      </c>
      <c r="CX60" s="46">
        <f t="shared" si="3"/>
        <v>15.956304718771428</v>
      </c>
      <c r="CY60" s="46">
        <v>659.28</v>
      </c>
      <c r="CZ60" s="46">
        <f t="shared" si="4"/>
        <v>17.007670594989396</v>
      </c>
      <c r="DA60" s="46">
        <f t="shared" si="5"/>
        <v>108.45372333676524</v>
      </c>
      <c r="DB60" s="46">
        <v>6872309</v>
      </c>
      <c r="DC60" s="46">
        <f t="shared" si="6"/>
        <v>2.4936518287013221</v>
      </c>
      <c r="DD60" s="46">
        <v>158013.44</v>
      </c>
      <c r="DE60" s="995">
        <v>10665</v>
      </c>
      <c r="DF60" s="995">
        <v>16.048999999999999</v>
      </c>
      <c r="DG60" s="995">
        <v>600.9</v>
      </c>
      <c r="DH60" s="995">
        <v>17.007999999999999</v>
      </c>
      <c r="DI60" s="995">
        <v>167.97900000000001</v>
      </c>
      <c r="DJ60" s="995">
        <v>10634392</v>
      </c>
      <c r="DK60" s="995">
        <v>3.8359999999999999</v>
      </c>
      <c r="DL60" s="995">
        <v>242851.9</v>
      </c>
      <c r="DM60" s="995">
        <v>10665</v>
      </c>
      <c r="DN60" s="995">
        <v>16.056000000000001</v>
      </c>
      <c r="DO60" s="995">
        <v>596.5</v>
      </c>
      <c r="DP60" s="995">
        <v>17.007999999999999</v>
      </c>
      <c r="DQ60" s="995">
        <v>167.53</v>
      </c>
      <c r="DR60" s="995">
        <v>10605199</v>
      </c>
      <c r="DS60" s="995">
        <v>3.8250000000000002</v>
      </c>
      <c r="DT60" s="995">
        <v>242167.3</v>
      </c>
    </row>
    <row r="61" spans="1:124">
      <c r="A61" s="42" t="s">
        <v>92</v>
      </c>
      <c r="B61" s="42" t="s">
        <v>168</v>
      </c>
      <c r="C61" s="42" t="s">
        <v>209</v>
      </c>
      <c r="D61" s="42">
        <v>705313</v>
      </c>
      <c r="E61" s="42" t="s">
        <v>224</v>
      </c>
      <c r="F61" s="42" t="s">
        <v>149</v>
      </c>
      <c r="G61" s="42" t="s">
        <v>150</v>
      </c>
      <c r="H61" s="43" t="s">
        <v>150</v>
      </c>
      <c r="I61" s="44">
        <v>27</v>
      </c>
      <c r="J61" s="45">
        <v>30127.087200000002</v>
      </c>
      <c r="K61" s="46">
        <v>22779.865691999999</v>
      </c>
      <c r="L61" s="47">
        <v>52906.952892000001</v>
      </c>
      <c r="M61" s="48">
        <v>3403093</v>
      </c>
      <c r="N61" s="49">
        <v>435778</v>
      </c>
      <c r="O61" s="49">
        <v>2967315</v>
      </c>
      <c r="P61" s="49">
        <v>0</v>
      </c>
      <c r="Q61" s="50">
        <v>8955.5093421052607</v>
      </c>
      <c r="R61" s="51">
        <v>5020.3885272341104</v>
      </c>
      <c r="S61" s="49">
        <v>27731.475878010599</v>
      </c>
      <c r="T61" s="49">
        <v>2817.6692077144398</v>
      </c>
      <c r="U61" s="49">
        <f>IFERROR(INDEX('Rentabilidad datos'!$N$2:$N$61,MATCH($C61,'Rentabilidad datos'!$C$2:$C$61,0)),"")</f>
        <v>35569.533612959094</v>
      </c>
      <c r="V61" s="50">
        <f>IFERROR(INDEX('Rentabilidad datos'!$O$2:$O$61,MATCH($C61,'Rentabilidad datos'!$C$2:$C$61,0)),"")</f>
        <v>1368.0589851138113</v>
      </c>
      <c r="W61" s="51">
        <f>IFERROR(INDEX('Rentabilidad datos'!$M$2:$M$61,MATCH($C61,'Rentabilidad datos'!$C$2:$C$61,0)),"")</f>
        <v>2318.2873272484931</v>
      </c>
      <c r="X61" s="52">
        <f>IFERROR(INDEX('Rentabilidad datos'!$P$2:$P$61,MATCH($C61,'Rentabilidad datos'!$C$2:$C$61,0)),"")</f>
        <v>0.59011623323564488</v>
      </c>
      <c r="Y61" s="43" t="s">
        <v>211</v>
      </c>
      <c r="Z61" s="53">
        <v>44.464566929133902</v>
      </c>
      <c r="AA61" s="43">
        <v>1</v>
      </c>
      <c r="AB61" s="54">
        <v>0.9999606240558222</v>
      </c>
      <c r="AC61" s="55">
        <v>3.9375944177840568E-5</v>
      </c>
      <c r="AD61" s="752" t="e">
        <f>_xlfn.XLOOKUP(Table1[[#This Row],[Ruta]],#REF!,#REF!)</f>
        <v>#REF!</v>
      </c>
      <c r="AE61" s="752" t="e">
        <f>_xlfn.XLOOKUP(Table1[[#This Row],[Ruta]],#REF!,#REF!)</f>
        <v>#REF!</v>
      </c>
      <c r="AF61" s="752" t="e">
        <f>_xlfn.XLOOKUP(Table1[[#This Row],[Ruta]],#REF!,#REF!)</f>
        <v>#REF!</v>
      </c>
      <c r="AG61" s="752" t="e">
        <f>_xlfn.XLOOKUP(Table1[[#This Row],[Ruta]],#REF!,#REF!)</f>
        <v>#REF!</v>
      </c>
      <c r="AH61" s="52">
        <v>0.12805350896963438</v>
      </c>
      <c r="AI61" s="52">
        <v>0.87194649103036559</v>
      </c>
      <c r="AJ61" s="55">
        <v>0</v>
      </c>
      <c r="AK61" s="56">
        <v>11294</v>
      </c>
      <c r="AL61" s="44">
        <v>10879</v>
      </c>
      <c r="AM61" s="54">
        <v>0.55905790685319601</v>
      </c>
      <c r="AN61" s="55">
        <v>0.59461304275985005</v>
      </c>
      <c r="AO61" s="56">
        <v>401.55970492975001</v>
      </c>
      <c r="AP61" s="48">
        <v>200.77985246487501</v>
      </c>
      <c r="AQ61" s="55">
        <v>0.98103239352442673</v>
      </c>
      <c r="AR61" s="51">
        <v>3403093.55</v>
      </c>
      <c r="AS61" s="49">
        <v>62806.565023730996</v>
      </c>
      <c r="AT61" s="55">
        <v>1.8455726855857665E-2</v>
      </c>
      <c r="AU61" s="51">
        <v>44134.342989648823</v>
      </c>
      <c r="AV61" s="52">
        <v>2.0077130280831185E-4</v>
      </c>
      <c r="AW61" s="44">
        <v>439</v>
      </c>
      <c r="AX61" s="51">
        <v>312.813084842357</v>
      </c>
      <c r="AY61" s="49">
        <v>377.064073238829</v>
      </c>
      <c r="AZ61" s="49">
        <v>64.250988396471996</v>
      </c>
      <c r="BA61" s="42" t="s">
        <v>150</v>
      </c>
      <c r="BB61" s="50">
        <v>245589.85232291481</v>
      </c>
      <c r="BC61" s="57">
        <v>289724.19531256362</v>
      </c>
      <c r="BD61" s="42" t="s">
        <v>150</v>
      </c>
      <c r="BE61" s="46">
        <v>44.464566929133902</v>
      </c>
      <c r="BF61" s="46">
        <v>48.897321428571402</v>
      </c>
      <c r="BG61" s="42" t="s">
        <v>152</v>
      </c>
      <c r="BH61" s="52">
        <v>0.55905790685319601</v>
      </c>
      <c r="BI61" s="52">
        <v>0.79215712207379996</v>
      </c>
      <c r="BJ61" s="42" t="s">
        <v>152</v>
      </c>
      <c r="BK61" s="46">
        <v>139.22882340000001</v>
      </c>
      <c r="BL61" s="46">
        <v>326.54713917579897</v>
      </c>
      <c r="BM61" s="42" t="s">
        <v>152</v>
      </c>
      <c r="BN61" s="48">
        <v>0</v>
      </c>
      <c r="BO61" s="42" t="s">
        <v>155</v>
      </c>
      <c r="BP61" s="42" t="s">
        <v>152</v>
      </c>
      <c r="BQ61" s="46">
        <v>507.66163975650102</v>
      </c>
      <c r="BR61" s="46">
        <v>170</v>
      </c>
      <c r="BS61" s="46">
        <v>13228</v>
      </c>
      <c r="BT61" s="46">
        <v>4447</v>
      </c>
      <c r="BU61" s="46">
        <v>2.9745896109736902</v>
      </c>
      <c r="BV61" s="46">
        <v>26.158823529411766</v>
      </c>
      <c r="BW61" s="46">
        <v>0</v>
      </c>
      <c r="BX61" s="46">
        <v>4446</v>
      </c>
      <c r="BY61" s="46">
        <v>4446</v>
      </c>
      <c r="BZ61" s="46">
        <v>0.99977512930065215</v>
      </c>
      <c r="CA61" s="46">
        <v>0</v>
      </c>
      <c r="CB61" s="46">
        <v>0.99977512930065215</v>
      </c>
      <c r="CC61" s="46">
        <v>0</v>
      </c>
      <c r="CD61" s="46">
        <v>0</v>
      </c>
      <c r="CE61" s="46">
        <v>0</v>
      </c>
      <c r="CF61" s="46">
        <v>2.2487069934787503E-4</v>
      </c>
      <c r="CG61" s="46">
        <v>0</v>
      </c>
      <c r="CH61" s="46">
        <v>0</v>
      </c>
      <c r="CI61" s="46">
        <v>1.0583610523132749</v>
      </c>
      <c r="CJ61" s="46">
        <v>0.83156939824614451</v>
      </c>
      <c r="CK61">
        <v>249</v>
      </c>
      <c r="CL61">
        <v>710.28</v>
      </c>
      <c r="CM61">
        <f t="shared" si="7"/>
        <v>461.28</v>
      </c>
      <c r="CN61">
        <v>3.39</v>
      </c>
      <c r="CO61">
        <v>9.4499999999999993</v>
      </c>
      <c r="CP61">
        <f t="shared" si="8"/>
        <v>6.0599999999999987</v>
      </c>
      <c r="CQ61">
        <v>634.91999999999996</v>
      </c>
      <c r="CR61">
        <v>139.22999999999999</v>
      </c>
      <c r="CS61">
        <f t="shared" si="9"/>
        <v>495.68999999999994</v>
      </c>
      <c r="CT61" t="s">
        <v>152</v>
      </c>
      <c r="CU61">
        <v>35.869999999999997</v>
      </c>
      <c r="CV61">
        <v>310</v>
      </c>
      <c r="CW61" s="46">
        <v>4446</v>
      </c>
      <c r="CX61" s="46">
        <f t="shared" si="3"/>
        <v>89.60467731054645</v>
      </c>
      <c r="CY61" s="46">
        <v>461.28</v>
      </c>
      <c r="CZ61" s="46">
        <f t="shared" si="4"/>
        <v>99.977512930065217</v>
      </c>
      <c r="DA61" s="46">
        <f t="shared" si="5"/>
        <v>1402.4291707074576</v>
      </c>
      <c r="DB61" s="46">
        <v>6883515.0499999998</v>
      </c>
      <c r="DC61" s="46">
        <f t="shared" si="6"/>
        <v>23.165925741807722</v>
      </c>
      <c r="DD61" s="46">
        <v>113704.85</v>
      </c>
      <c r="DE61" s="995">
        <v>4446</v>
      </c>
      <c r="DF61" s="995">
        <v>92.593999999999994</v>
      </c>
      <c r="DG61" s="995">
        <v>328.4</v>
      </c>
      <c r="DH61" s="995">
        <v>99.977999999999994</v>
      </c>
      <c r="DI61" s="995">
        <v>1661.9749999999999</v>
      </c>
      <c r="DJ61" s="995">
        <v>7936518</v>
      </c>
      <c r="DK61" s="995">
        <v>27.263000000000002</v>
      </c>
      <c r="DL61" s="995">
        <v>130189</v>
      </c>
      <c r="DM61" s="995">
        <v>4446</v>
      </c>
      <c r="DN61" s="995">
        <v>93.539000000000001</v>
      </c>
      <c r="DO61" s="995">
        <v>286.3</v>
      </c>
      <c r="DP61" s="995">
        <v>99.977999999999994</v>
      </c>
      <c r="DQ61" s="995">
        <v>1577.9480000000001</v>
      </c>
      <c r="DR61" s="995">
        <v>7468941</v>
      </c>
      <c r="DS61" s="995">
        <v>25.902999999999999</v>
      </c>
      <c r="DT61" s="995">
        <v>122609.3</v>
      </c>
    </row>
    <row r="62" spans="1:124">
      <c r="A62" s="42" t="s">
        <v>92</v>
      </c>
      <c r="B62" s="42" t="s">
        <v>168</v>
      </c>
      <c r="C62" s="42" t="s">
        <v>209</v>
      </c>
      <c r="D62" s="42">
        <v>705314</v>
      </c>
      <c r="E62" s="42" t="s">
        <v>225</v>
      </c>
      <c r="F62" s="42" t="s">
        <v>149</v>
      </c>
      <c r="G62" s="42" t="s">
        <v>150</v>
      </c>
      <c r="H62" s="43" t="s">
        <v>150</v>
      </c>
      <c r="I62" s="44">
        <v>27</v>
      </c>
      <c r="J62" s="45">
        <v>48848.643199999999</v>
      </c>
      <c r="K62" s="46">
        <v>22671.639273000001</v>
      </c>
      <c r="L62" s="47">
        <v>71520.282472999999</v>
      </c>
      <c r="M62" s="48">
        <v>3893735</v>
      </c>
      <c r="N62" s="49">
        <v>712510</v>
      </c>
      <c r="O62" s="49">
        <v>3180131</v>
      </c>
      <c r="P62" s="49">
        <v>1094</v>
      </c>
      <c r="Q62" s="50">
        <v>8921.8235091743099</v>
      </c>
      <c r="R62" s="51">
        <v>5020.3885272341104</v>
      </c>
      <c r="S62" s="49">
        <v>27731.475878010599</v>
      </c>
      <c r="T62" s="49">
        <v>2817.6692077144398</v>
      </c>
      <c r="U62" s="49">
        <f>IFERROR(INDEX('Rentabilidad datos'!$N$2:$N$61,MATCH($C62,'Rentabilidad datos'!$C$2:$C$61,0)),"")</f>
        <v>35569.533612959094</v>
      </c>
      <c r="V62" s="50">
        <f>IFERROR(INDEX('Rentabilidad datos'!$O$2:$O$61,MATCH($C62,'Rentabilidad datos'!$C$2:$C$61,0)),"")</f>
        <v>1368.0589851138113</v>
      </c>
      <c r="W62" s="51">
        <f>IFERROR(INDEX('Rentabilidad datos'!$M$2:$M$61,MATCH($C62,'Rentabilidad datos'!$C$2:$C$61,0)),"")</f>
        <v>2318.2873272484931</v>
      </c>
      <c r="X62" s="52">
        <f>IFERROR(INDEX('Rentabilidad datos'!$P$2:$P$61,MATCH($C62,'Rentabilidad datos'!$C$2:$C$61,0)),"")</f>
        <v>0.59011623323564488</v>
      </c>
      <c r="Y62" s="43" t="s">
        <v>211</v>
      </c>
      <c r="Z62" s="53">
        <v>61.238532110091803</v>
      </c>
      <c r="AA62" s="43">
        <v>1</v>
      </c>
      <c r="AB62" s="54">
        <v>0.99372812993180071</v>
      </c>
      <c r="AC62" s="55">
        <v>6.2718700681993001E-3</v>
      </c>
      <c r="AD62" s="752" t="e">
        <f>_xlfn.XLOOKUP(Table1[[#This Row],[Ruta]],#REF!,#REF!)</f>
        <v>#REF!</v>
      </c>
      <c r="AE62" s="752" t="e">
        <f>_xlfn.XLOOKUP(Table1[[#This Row],[Ruta]],#REF!,#REF!)</f>
        <v>#REF!</v>
      </c>
      <c r="AF62" s="752" t="e">
        <f>_xlfn.XLOOKUP(Table1[[#This Row],[Ruta]],#REF!,#REF!)</f>
        <v>#REF!</v>
      </c>
      <c r="AG62" s="752" t="e">
        <f>_xlfn.XLOOKUP(Table1[[#This Row],[Ruta]],#REF!,#REF!)</f>
        <v>#REF!</v>
      </c>
      <c r="AH62" s="52">
        <v>0.18298882692324978</v>
      </c>
      <c r="AI62" s="52">
        <v>0.81673020891252235</v>
      </c>
      <c r="AJ62" s="55">
        <v>2.8096416422791998E-4</v>
      </c>
      <c r="AK62" s="56">
        <v>26700</v>
      </c>
      <c r="AL62" s="44">
        <v>9238</v>
      </c>
      <c r="AM62" s="54">
        <v>0.34599250936329601</v>
      </c>
      <c r="AN62" s="55">
        <v>0.59461304275985005</v>
      </c>
      <c r="AO62" s="56">
        <v>6638.1682416880103</v>
      </c>
      <c r="AP62" s="48">
        <v>3319.0841208440052</v>
      </c>
      <c r="AQ62" s="55">
        <v>0.47030277606157322</v>
      </c>
      <c r="AR62" s="51">
        <v>3889915.05</v>
      </c>
      <c r="AS62" s="49">
        <v>1397592.040905725</v>
      </c>
      <c r="AT62" s="55">
        <v>0.35928600572028557</v>
      </c>
      <c r="AU62" s="51">
        <v>982091.70442023955</v>
      </c>
      <c r="AV62" s="52">
        <v>4.4676281013162978E-3</v>
      </c>
      <c r="AW62" s="44">
        <v>48</v>
      </c>
      <c r="AX62" s="51">
        <v>421.07761961463501</v>
      </c>
      <c r="AY62" s="49">
        <v>377.064073238829</v>
      </c>
      <c r="AZ62" s="49">
        <v>0</v>
      </c>
      <c r="BA62" s="42" t="s">
        <v>152</v>
      </c>
      <c r="BB62" s="50">
        <v>0</v>
      </c>
      <c r="BC62" s="57">
        <v>982091.70442023955</v>
      </c>
      <c r="BD62" s="42" t="s">
        <v>150</v>
      </c>
      <c r="BE62" s="46">
        <v>61.238532110091803</v>
      </c>
      <c r="BF62" s="46">
        <v>48.897321428571402</v>
      </c>
      <c r="BG62" s="42" t="s">
        <v>150</v>
      </c>
      <c r="BH62" s="52">
        <v>0.34599250936329601</v>
      </c>
      <c r="BI62" s="52">
        <v>0.79215712207379996</v>
      </c>
      <c r="BJ62" s="42" t="s">
        <v>152</v>
      </c>
      <c r="BK62" s="46">
        <v>164.03734512156001</v>
      </c>
      <c r="BL62" s="46">
        <v>326.54713917579897</v>
      </c>
      <c r="BM62" s="42" t="s">
        <v>152</v>
      </c>
      <c r="BN62" s="48">
        <v>1</v>
      </c>
      <c r="BO62" s="42" t="s">
        <v>155</v>
      </c>
      <c r="BP62" s="42" t="s">
        <v>152</v>
      </c>
      <c r="BQ62" s="46">
        <v>3580.4001227540002</v>
      </c>
      <c r="BR62" s="46">
        <v>161</v>
      </c>
      <c r="BS62" s="46">
        <v>12648</v>
      </c>
      <c r="BT62" s="46">
        <v>3641</v>
      </c>
      <c r="BU62" s="46">
        <v>3.4737709420488878</v>
      </c>
      <c r="BV62" s="46">
        <v>22.614906832298136</v>
      </c>
      <c r="BW62" s="46">
        <v>3640</v>
      </c>
      <c r="BX62" s="46">
        <v>0</v>
      </c>
      <c r="BY62" s="46">
        <v>3640</v>
      </c>
      <c r="BZ62" s="46">
        <v>0.99972535017852238</v>
      </c>
      <c r="CA62" s="46">
        <v>0.99972535017852238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2.7464982147761599E-4</v>
      </c>
      <c r="CI62" s="46">
        <v>0</v>
      </c>
      <c r="CJ62" s="46">
        <v>0.31625553447185328</v>
      </c>
      <c r="CK62">
        <v>292</v>
      </c>
      <c r="CL62">
        <v>730.78</v>
      </c>
      <c r="CM62">
        <f t="shared" si="7"/>
        <v>438.78</v>
      </c>
      <c r="CN62">
        <v>3.6</v>
      </c>
      <c r="CO62">
        <v>9.4499999999999993</v>
      </c>
      <c r="CP62">
        <f t="shared" si="8"/>
        <v>5.85</v>
      </c>
      <c r="CQ62">
        <v>634.91999999999996</v>
      </c>
      <c r="CR62">
        <v>164.04</v>
      </c>
      <c r="CS62">
        <f t="shared" si="9"/>
        <v>470.88</v>
      </c>
      <c r="CT62" t="s">
        <v>152</v>
      </c>
      <c r="CU62">
        <v>38.65</v>
      </c>
      <c r="CV62">
        <v>352</v>
      </c>
      <c r="CW62" s="46">
        <v>3640</v>
      </c>
      <c r="CX62" s="46">
        <f t="shared" si="3"/>
        <v>87.921450151057414</v>
      </c>
      <c r="CY62" s="46">
        <v>438.78</v>
      </c>
      <c r="CZ62" s="46">
        <f t="shared" si="4"/>
        <v>99.972535017852238</v>
      </c>
      <c r="DA62" s="46">
        <f t="shared" si="5"/>
        <v>1165.7681419096127</v>
      </c>
      <c r="DB62" s="46">
        <v>4756077.55</v>
      </c>
      <c r="DC62" s="46">
        <f t="shared" si="6"/>
        <v>23.184666820269722</v>
      </c>
      <c r="DD62" s="46">
        <v>94588.34</v>
      </c>
      <c r="DE62" s="995">
        <v>3640</v>
      </c>
      <c r="DF62" s="995">
        <v>91.153999999999996</v>
      </c>
      <c r="DG62" s="995">
        <v>321.10000000000002</v>
      </c>
      <c r="DH62" s="995">
        <v>99.972999999999999</v>
      </c>
      <c r="DI62" s="995">
        <v>1680.5730000000001</v>
      </c>
      <c r="DJ62" s="995">
        <v>6658584</v>
      </c>
      <c r="DK62" s="995">
        <v>33.53</v>
      </c>
      <c r="DL62" s="995">
        <v>132849.29999999999</v>
      </c>
      <c r="DM62" s="995">
        <v>3640</v>
      </c>
      <c r="DN62" s="995">
        <v>92.605999999999995</v>
      </c>
      <c r="DO62" s="995">
        <v>268.2</v>
      </c>
      <c r="DP62" s="995">
        <v>99.972999999999999</v>
      </c>
      <c r="DQ62" s="995">
        <v>1581.731</v>
      </c>
      <c r="DR62" s="995">
        <v>6183320</v>
      </c>
      <c r="DS62" s="995">
        <v>31.582999999999998</v>
      </c>
      <c r="DT62" s="995">
        <v>123463</v>
      </c>
    </row>
    <row r="63" spans="1:124">
      <c r="A63" s="42" t="s">
        <v>92</v>
      </c>
      <c r="B63" s="42" t="s">
        <v>168</v>
      </c>
      <c r="C63" s="42" t="s">
        <v>209</v>
      </c>
      <c r="D63" s="42">
        <v>705315</v>
      </c>
      <c r="E63" s="42" t="s">
        <v>226</v>
      </c>
      <c r="F63" s="42" t="s">
        <v>149</v>
      </c>
      <c r="G63" s="42" t="s">
        <v>150</v>
      </c>
      <c r="H63" s="43" t="s">
        <v>150</v>
      </c>
      <c r="I63" s="44">
        <v>27</v>
      </c>
      <c r="J63" s="45">
        <v>34177.847199999997</v>
      </c>
      <c r="K63" s="46">
        <v>20036.582200000001</v>
      </c>
      <c r="L63" s="47">
        <v>54214.429400000001</v>
      </c>
      <c r="M63" s="48">
        <v>3249222</v>
      </c>
      <c r="N63" s="49">
        <v>516447</v>
      </c>
      <c r="O63" s="49">
        <v>2732775</v>
      </c>
      <c r="P63" s="49">
        <v>0</v>
      </c>
      <c r="Q63" s="50">
        <v>8232.7728354430401</v>
      </c>
      <c r="R63" s="51">
        <v>5020.3885272341104</v>
      </c>
      <c r="S63" s="49">
        <v>27731.475878010599</v>
      </c>
      <c r="T63" s="49">
        <v>2817.6692077144398</v>
      </c>
      <c r="U63" s="49">
        <f>IFERROR(INDEX('Rentabilidad datos'!$N$2:$N$61,MATCH($C63,'Rentabilidad datos'!$C$2:$C$61,0)),"")</f>
        <v>35569.533612959094</v>
      </c>
      <c r="V63" s="50">
        <f>IFERROR(INDEX('Rentabilidad datos'!$O$2:$O$61,MATCH($C63,'Rentabilidad datos'!$C$2:$C$61,0)),"")</f>
        <v>1368.0589851138113</v>
      </c>
      <c r="W63" s="51">
        <f>IFERROR(INDEX('Rentabilidad datos'!$M$2:$M$61,MATCH($C63,'Rentabilidad datos'!$C$2:$C$61,0)),"")</f>
        <v>2318.2873272484931</v>
      </c>
      <c r="X63" s="52">
        <f>IFERROR(INDEX('Rentabilidad datos'!$P$2:$P$61,MATCH($C63,'Rentabilidad datos'!$C$2:$C$61,0)),"")</f>
        <v>0.59011623323564488</v>
      </c>
      <c r="Y63" s="43" t="s">
        <v>211</v>
      </c>
      <c r="Z63" s="53">
        <v>27.789215686274499</v>
      </c>
      <c r="AA63" s="43">
        <v>1</v>
      </c>
      <c r="AB63" s="54">
        <v>0.99994829531500151</v>
      </c>
      <c r="AC63" s="55">
        <v>5.1704684998439629E-5</v>
      </c>
      <c r="AD63" s="752" t="e">
        <f>_xlfn.XLOOKUP(Table1[[#This Row],[Ruta]],#REF!,#REF!)</f>
        <v>#REF!</v>
      </c>
      <c r="AE63" s="752" t="e">
        <f>_xlfn.XLOOKUP(Table1[[#This Row],[Ruta]],#REF!,#REF!)</f>
        <v>#REF!</v>
      </c>
      <c r="AF63" s="752" t="e">
        <f>_xlfn.XLOOKUP(Table1[[#This Row],[Ruta]],#REF!,#REF!)</f>
        <v>#REF!</v>
      </c>
      <c r="AG63" s="752" t="e">
        <f>_xlfn.XLOOKUP(Table1[[#This Row],[Ruta]],#REF!,#REF!)</f>
        <v>#REF!</v>
      </c>
      <c r="AH63" s="52">
        <v>0.15894481817493541</v>
      </c>
      <c r="AI63" s="52">
        <v>0.84105518182506456</v>
      </c>
      <c r="AJ63" s="55">
        <v>0</v>
      </c>
      <c r="AK63" s="56">
        <v>5669</v>
      </c>
      <c r="AL63" s="44">
        <v>7989</v>
      </c>
      <c r="AM63" s="54">
        <v>0.51596401481742804</v>
      </c>
      <c r="AN63" s="55">
        <v>0.59461304275985005</v>
      </c>
      <c r="AO63" s="56">
        <v>445.86133940559199</v>
      </c>
      <c r="AP63" s="48">
        <v>222.930669702796</v>
      </c>
      <c r="AQ63" s="55">
        <v>1.4485677667494792</v>
      </c>
      <c r="AR63" s="51">
        <v>3251945.27</v>
      </c>
      <c r="AS63" s="49">
        <v>90744.5658878385</v>
      </c>
      <c r="AT63" s="55">
        <v>2.790470267903325E-2</v>
      </c>
      <c r="AU63" s="51">
        <v>63766.451704967621</v>
      </c>
      <c r="AV63" s="52">
        <v>2.9007962319213212E-4</v>
      </c>
      <c r="AW63" s="44">
        <v>420</v>
      </c>
      <c r="AX63" s="51">
        <v>407.05285642758798</v>
      </c>
      <c r="AY63" s="49">
        <v>377.064073238829</v>
      </c>
      <c r="AZ63" s="49">
        <v>0</v>
      </c>
      <c r="BA63" s="42" t="s">
        <v>152</v>
      </c>
      <c r="BB63" s="50">
        <v>0</v>
      </c>
      <c r="BC63" s="57">
        <v>63766.451704967621</v>
      </c>
      <c r="BD63" s="42" t="s">
        <v>150</v>
      </c>
      <c r="BE63" s="46">
        <v>27.789215686274499</v>
      </c>
      <c r="BF63" s="46">
        <v>48.897321428571402</v>
      </c>
      <c r="BG63" s="42" t="s">
        <v>152</v>
      </c>
      <c r="BH63" s="52">
        <v>0.51596401481742804</v>
      </c>
      <c r="BI63" s="52">
        <v>0.79215712207379996</v>
      </c>
      <c r="BJ63" s="42" t="s">
        <v>152</v>
      </c>
      <c r="BK63" s="46">
        <v>137.25172000000001</v>
      </c>
      <c r="BL63" s="46">
        <v>326.54713917579897</v>
      </c>
      <c r="BM63" s="42" t="s">
        <v>152</v>
      </c>
      <c r="BN63" s="48">
        <v>0</v>
      </c>
      <c r="BO63" s="42" t="s">
        <v>155</v>
      </c>
      <c r="BP63" s="42" t="s">
        <v>152</v>
      </c>
      <c r="BQ63" s="46">
        <v>2313.4769601787498</v>
      </c>
      <c r="BR63" s="46">
        <v>55</v>
      </c>
      <c r="BS63" s="46">
        <v>3877</v>
      </c>
      <c r="BT63" s="46">
        <v>1282</v>
      </c>
      <c r="BU63" s="46">
        <v>3.0241809672386895</v>
      </c>
      <c r="BV63" s="46">
        <v>23.309090909090909</v>
      </c>
      <c r="BW63" s="46">
        <v>604</v>
      </c>
      <c r="BX63" s="46">
        <v>678</v>
      </c>
      <c r="BY63" s="46">
        <v>1282</v>
      </c>
      <c r="BZ63" s="46">
        <v>1</v>
      </c>
      <c r="CA63" s="46">
        <v>0.47113884555382213</v>
      </c>
      <c r="CB63" s="46">
        <v>0.52886115444617787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1.0317255610007741</v>
      </c>
      <c r="CK63">
        <v>89</v>
      </c>
      <c r="CL63">
        <v>533.52</v>
      </c>
      <c r="CM63">
        <f t="shared" si="7"/>
        <v>444.52</v>
      </c>
      <c r="CN63">
        <v>1.82</v>
      </c>
      <c r="CO63">
        <v>9.4499999999999993</v>
      </c>
      <c r="CP63">
        <f t="shared" si="8"/>
        <v>7.629999999999999</v>
      </c>
      <c r="CQ63">
        <v>634.91999999999996</v>
      </c>
      <c r="CR63">
        <v>137.25</v>
      </c>
      <c r="CS63">
        <f t="shared" si="9"/>
        <v>497.66999999999996</v>
      </c>
      <c r="CT63" t="s">
        <v>152</v>
      </c>
      <c r="CU63">
        <v>24.67</v>
      </c>
      <c r="CV63">
        <v>117</v>
      </c>
      <c r="CW63" s="46">
        <v>1282</v>
      </c>
      <c r="CX63" s="46">
        <f t="shared" si="3"/>
        <v>65.326053042121686</v>
      </c>
      <c r="CY63" s="46">
        <v>444.52</v>
      </c>
      <c r="CZ63" s="46">
        <f t="shared" si="4"/>
        <v>100</v>
      </c>
      <c r="DA63" s="46">
        <f t="shared" si="5"/>
        <v>3003.3753156638786</v>
      </c>
      <c r="DB63" s="46">
        <v>5185387.55</v>
      </c>
      <c r="DC63" s="46">
        <f t="shared" si="6"/>
        <v>49.790920464286543</v>
      </c>
      <c r="DD63" s="46">
        <v>85965.02</v>
      </c>
      <c r="DE63" s="995">
        <v>1282</v>
      </c>
      <c r="DF63" s="995">
        <v>77.525000000000006</v>
      </c>
      <c r="DG63" s="995">
        <v>288.10000000000002</v>
      </c>
      <c r="DH63" s="995">
        <v>100</v>
      </c>
      <c r="DI63" s="995">
        <v>3147.6750000000002</v>
      </c>
      <c r="DJ63" s="995">
        <v>4942250</v>
      </c>
      <c r="DK63" s="995">
        <v>52.23</v>
      </c>
      <c r="DL63" s="995">
        <v>82007.899999999994</v>
      </c>
      <c r="DM63" s="995">
        <v>1282</v>
      </c>
      <c r="DN63" s="995">
        <v>81.325000000000003</v>
      </c>
      <c r="DO63" s="995">
        <v>239.4</v>
      </c>
      <c r="DP63" s="995">
        <v>100</v>
      </c>
      <c r="DQ63" s="995">
        <v>2900.3649999999998</v>
      </c>
      <c r="DR63" s="995">
        <v>4412672</v>
      </c>
      <c r="DS63" s="995">
        <v>48.128</v>
      </c>
      <c r="DT63" s="995">
        <v>73223.5</v>
      </c>
    </row>
    <row r="64" spans="1:124">
      <c r="A64" s="42" t="s">
        <v>92</v>
      </c>
      <c r="B64" s="42" t="s">
        <v>168</v>
      </c>
      <c r="C64" s="42" t="s">
        <v>209</v>
      </c>
      <c r="D64" s="42">
        <v>705316</v>
      </c>
      <c r="E64" s="42" t="s">
        <v>227</v>
      </c>
      <c r="F64" s="42" t="s">
        <v>149</v>
      </c>
      <c r="G64" s="42" t="s">
        <v>150</v>
      </c>
      <c r="H64" s="43" t="s">
        <v>150</v>
      </c>
      <c r="I64" s="44">
        <v>27</v>
      </c>
      <c r="J64" s="45">
        <v>65868.88</v>
      </c>
      <c r="K64" s="46">
        <v>10938.205033</v>
      </c>
      <c r="L64" s="47">
        <v>76807.085032999996</v>
      </c>
      <c r="M64" s="48">
        <v>2466174</v>
      </c>
      <c r="N64" s="49">
        <v>962115</v>
      </c>
      <c r="O64" s="49">
        <v>1504049</v>
      </c>
      <c r="P64" s="49">
        <v>10</v>
      </c>
      <c r="Q64" s="50">
        <v>5868.0287648456097</v>
      </c>
      <c r="R64" s="51">
        <v>5020.3885272341104</v>
      </c>
      <c r="S64" s="49">
        <v>27731.475878010599</v>
      </c>
      <c r="T64" s="49">
        <v>2817.6692077144398</v>
      </c>
      <c r="U64" s="49">
        <f>IFERROR(INDEX('Rentabilidad datos'!$N$2:$N$61,MATCH($C64,'Rentabilidad datos'!$C$2:$C$61,0)),"")</f>
        <v>35569.533612959094</v>
      </c>
      <c r="V64" s="50">
        <f>IFERROR(INDEX('Rentabilidad datos'!$O$2:$O$61,MATCH($C64,'Rentabilidad datos'!$C$2:$C$61,0)),"")</f>
        <v>1368.0589851138113</v>
      </c>
      <c r="W64" s="51">
        <f>IFERROR(INDEX('Rentabilidad datos'!$M$2:$M$61,MATCH($C64,'Rentabilidad datos'!$C$2:$C$61,0)),"")</f>
        <v>2318.2873272484931</v>
      </c>
      <c r="X64" s="52">
        <f>IFERROR(INDEX('Rentabilidad datos'!$P$2:$P$61,MATCH($C64,'Rentabilidad datos'!$C$2:$C$61,0)),"")</f>
        <v>0.59011623323564488</v>
      </c>
      <c r="Y64" s="43" t="s">
        <v>211</v>
      </c>
      <c r="Z64" s="53">
        <v>66.887096774193594</v>
      </c>
      <c r="AA64" s="43">
        <v>1</v>
      </c>
      <c r="AB64" s="54">
        <v>0.99543665613213017</v>
      </c>
      <c r="AC64" s="55">
        <v>4.5633438678698256E-3</v>
      </c>
      <c r="AD64" s="752" t="e">
        <f>_xlfn.XLOOKUP(Table1[[#This Row],[Ruta]],#REF!,#REF!)</f>
        <v>#REF!</v>
      </c>
      <c r="AE64" s="752" t="e">
        <f>_xlfn.XLOOKUP(Table1[[#This Row],[Ruta]],#REF!,#REF!)</f>
        <v>#REF!</v>
      </c>
      <c r="AF64" s="752" t="e">
        <f>_xlfn.XLOOKUP(Table1[[#This Row],[Ruta]],#REF!,#REF!)</f>
        <v>#REF!</v>
      </c>
      <c r="AG64" s="752" t="e">
        <f>_xlfn.XLOOKUP(Table1[[#This Row],[Ruta]],#REF!,#REF!)</f>
        <v>#REF!</v>
      </c>
      <c r="AH64" s="52">
        <v>0.3901245410907746</v>
      </c>
      <c r="AI64" s="52">
        <v>0.6098714040452945</v>
      </c>
      <c r="AJ64" s="55">
        <v>4.0548639309310698E-6</v>
      </c>
      <c r="AK64" s="56">
        <v>12441</v>
      </c>
      <c r="AL64" s="44">
        <v>8077</v>
      </c>
      <c r="AM64" s="54">
        <v>0.229242022345471</v>
      </c>
      <c r="AN64" s="55">
        <v>0.59461304275985005</v>
      </c>
      <c r="AO64" s="56">
        <v>4545.5808649752998</v>
      </c>
      <c r="AP64" s="48">
        <v>2272.7904324876499</v>
      </c>
      <c r="AQ64" s="55">
        <v>0.83190984908670129</v>
      </c>
      <c r="AR64" s="51">
        <v>2470440.11</v>
      </c>
      <c r="AS64" s="49">
        <v>695158.18324151996</v>
      </c>
      <c r="AT64" s="55">
        <v>0.28139042125636471</v>
      </c>
      <c r="AU64" s="51">
        <v>488489.53416971694</v>
      </c>
      <c r="AV64" s="52">
        <v>2.222185117981289E-3</v>
      </c>
      <c r="AW64" s="44">
        <v>150</v>
      </c>
      <c r="AX64" s="51">
        <v>305.86110065618402</v>
      </c>
      <c r="AY64" s="49">
        <v>377.064073238829</v>
      </c>
      <c r="AZ64" s="49">
        <v>71.202972582644975</v>
      </c>
      <c r="BA64" s="42" t="s">
        <v>150</v>
      </c>
      <c r="BB64" s="50">
        <v>202064.41416622454</v>
      </c>
      <c r="BC64" s="57">
        <v>690553.94833594142</v>
      </c>
      <c r="BD64" s="42" t="s">
        <v>150</v>
      </c>
      <c r="BE64" s="46">
        <v>66.887096774193594</v>
      </c>
      <c r="BF64" s="46">
        <v>48.897321428571402</v>
      </c>
      <c r="BG64" s="42" t="s">
        <v>150</v>
      </c>
      <c r="BH64" s="52">
        <v>0.229242022345471</v>
      </c>
      <c r="BI64" s="52">
        <v>0.79215712207379996</v>
      </c>
      <c r="BJ64" s="42" t="s">
        <v>152</v>
      </c>
      <c r="BK64" s="46">
        <v>182.43963190736301</v>
      </c>
      <c r="BL64" s="46">
        <v>326.54713917579897</v>
      </c>
      <c r="BM64" s="42" t="s">
        <v>152</v>
      </c>
      <c r="BN64" s="48">
        <v>1</v>
      </c>
      <c r="BO64" s="42" t="s">
        <v>155</v>
      </c>
      <c r="BP64" s="42" t="s">
        <v>152</v>
      </c>
      <c r="BQ64" s="46">
        <v>2214.9226324118699</v>
      </c>
      <c r="BR64" s="46">
        <v>261</v>
      </c>
      <c r="BS64" s="46">
        <v>7460</v>
      </c>
      <c r="BT64" s="46">
        <v>2458</v>
      </c>
      <c r="BU64" s="46">
        <v>3.034987794955248</v>
      </c>
      <c r="BV64" s="46">
        <v>9.4176245210727974</v>
      </c>
      <c r="BW64" s="46">
        <v>0</v>
      </c>
      <c r="BX64" s="46">
        <v>2018</v>
      </c>
      <c r="BY64" s="46">
        <v>2018</v>
      </c>
      <c r="BZ64" s="46">
        <v>0.82099267697314893</v>
      </c>
      <c r="CA64" s="46">
        <v>0</v>
      </c>
      <c r="CB64" s="46">
        <v>0.82099267697314893</v>
      </c>
      <c r="CC64" s="46">
        <v>0.1790073230268511</v>
      </c>
      <c r="CD64" s="46">
        <v>0</v>
      </c>
      <c r="CE64" s="46">
        <v>0</v>
      </c>
      <c r="CF64" s="46">
        <v>0</v>
      </c>
      <c r="CG64" s="46">
        <v>0</v>
      </c>
      <c r="CH64" s="46">
        <v>0</v>
      </c>
      <c r="CI64" s="46">
        <v>0.40214477211796251</v>
      </c>
      <c r="CJ64" s="46">
        <v>0.53619302949061665</v>
      </c>
      <c r="CK64">
        <v>457</v>
      </c>
      <c r="CL64">
        <v>712.07</v>
      </c>
      <c r="CM64">
        <f t="shared" si="7"/>
        <v>255.07000000000005</v>
      </c>
      <c r="CN64">
        <v>5.81</v>
      </c>
      <c r="CO64">
        <v>9.4499999999999993</v>
      </c>
      <c r="CP64">
        <f t="shared" si="8"/>
        <v>3.6399999999999997</v>
      </c>
      <c r="CQ64">
        <v>634.91999999999996</v>
      </c>
      <c r="CR64">
        <v>182.44</v>
      </c>
      <c r="CS64">
        <f t="shared" si="9"/>
        <v>452.47999999999996</v>
      </c>
      <c r="CT64" t="s">
        <v>152</v>
      </c>
      <c r="CU64">
        <v>61.47</v>
      </c>
      <c r="CV64">
        <v>333</v>
      </c>
      <c r="CW64" s="46">
        <v>2018</v>
      </c>
      <c r="CX64" s="46">
        <f t="shared" si="3"/>
        <v>71.722131814483319</v>
      </c>
      <c r="CY64" s="46">
        <v>255.07</v>
      </c>
      <c r="CZ64" s="46">
        <f t="shared" si="4"/>
        <v>82.099267697314886</v>
      </c>
      <c r="DA64" s="46">
        <f t="shared" si="5"/>
        <v>1173.9850317168373</v>
      </c>
      <c r="DB64" s="46">
        <v>3185103.57</v>
      </c>
      <c r="DC64" s="46">
        <f t="shared" si="6"/>
        <v>38.331860217392105</v>
      </c>
      <c r="DD64" s="46">
        <v>103997.02</v>
      </c>
      <c r="DE64" s="995">
        <v>2018</v>
      </c>
      <c r="DF64" s="995">
        <v>73.724999999999994</v>
      </c>
      <c r="DG64" s="995">
        <v>205.8</v>
      </c>
      <c r="DH64" s="995">
        <v>82.099000000000004</v>
      </c>
      <c r="DI64" s="995">
        <v>1804.134</v>
      </c>
      <c r="DJ64" s="995">
        <v>4805935</v>
      </c>
      <c r="DK64" s="995">
        <v>58.762</v>
      </c>
      <c r="DL64" s="995">
        <v>156532.9</v>
      </c>
      <c r="DM64" s="995">
        <v>2018</v>
      </c>
      <c r="DN64" s="995">
        <v>75.185000000000002</v>
      </c>
      <c r="DO64" s="995">
        <v>170</v>
      </c>
      <c r="DP64" s="995">
        <v>82.099000000000004</v>
      </c>
      <c r="DQ64" s="995">
        <v>1753.3520000000001</v>
      </c>
      <c r="DR64" s="995">
        <v>4607734</v>
      </c>
      <c r="DS64" s="995">
        <v>57.100999999999999</v>
      </c>
      <c r="DT64" s="995">
        <v>150060.1</v>
      </c>
    </row>
    <row r="65" spans="1:124">
      <c r="A65" s="42" t="s">
        <v>92</v>
      </c>
      <c r="B65" s="42" t="s">
        <v>168</v>
      </c>
      <c r="C65" s="42" t="s">
        <v>209</v>
      </c>
      <c r="D65" s="42">
        <v>705317</v>
      </c>
      <c r="E65" s="42" t="s">
        <v>228</v>
      </c>
      <c r="F65" s="42" t="s">
        <v>149</v>
      </c>
      <c r="G65" s="42" t="s">
        <v>150</v>
      </c>
      <c r="H65" s="43" t="s">
        <v>150</v>
      </c>
      <c r="I65" s="44">
        <v>27</v>
      </c>
      <c r="J65" s="45">
        <v>24769.516800000001</v>
      </c>
      <c r="K65" s="46">
        <v>17061.941167000001</v>
      </c>
      <c r="L65" s="47">
        <v>41831.457967000002</v>
      </c>
      <c r="M65" s="48">
        <v>2679151</v>
      </c>
      <c r="N65" s="49">
        <v>359704</v>
      </c>
      <c r="O65" s="49">
        <v>2319447</v>
      </c>
      <c r="P65" s="49">
        <v>0</v>
      </c>
      <c r="Q65" s="50">
        <v>9742.3631636363607</v>
      </c>
      <c r="R65" s="51">
        <v>5020.3885272341104</v>
      </c>
      <c r="S65" s="49">
        <v>27731.475878010599</v>
      </c>
      <c r="T65" s="49">
        <v>2817.6692077144398</v>
      </c>
      <c r="U65" s="49">
        <f>IFERROR(INDEX('Rentabilidad datos'!$N$2:$N$61,MATCH($C65,'Rentabilidad datos'!$C$2:$C$61,0)),"")</f>
        <v>35569.533612959094</v>
      </c>
      <c r="V65" s="50">
        <f>IFERROR(INDEX('Rentabilidad datos'!$O$2:$O$61,MATCH($C65,'Rentabilidad datos'!$C$2:$C$61,0)),"")</f>
        <v>1368.0589851138113</v>
      </c>
      <c r="W65" s="51">
        <f>IFERROR(INDEX('Rentabilidad datos'!$M$2:$M$61,MATCH($C65,'Rentabilidad datos'!$C$2:$C$61,0)),"")</f>
        <v>2318.2873272484931</v>
      </c>
      <c r="X65" s="52">
        <f>IFERROR(INDEX('Rentabilidad datos'!$P$2:$P$61,MATCH($C65,'Rentabilidad datos'!$C$2:$C$61,0)),"")</f>
        <v>0.59011623323564488</v>
      </c>
      <c r="Y65" s="43" t="s">
        <v>211</v>
      </c>
      <c r="Z65" s="53">
        <v>33.264285714285698</v>
      </c>
      <c r="AA65" s="43">
        <v>1</v>
      </c>
      <c r="AB65" s="54">
        <v>0.99975290679771311</v>
      </c>
      <c r="AC65" s="55">
        <v>2.4709320228684384E-4</v>
      </c>
      <c r="AD65" s="752" t="e">
        <f>_xlfn.XLOOKUP(Table1[[#This Row],[Ruta]],#REF!,#REF!)</f>
        <v>#REF!</v>
      </c>
      <c r="AE65" s="752" t="e">
        <f>_xlfn.XLOOKUP(Table1[[#This Row],[Ruta]],#REF!,#REF!)</f>
        <v>#REF!</v>
      </c>
      <c r="AF65" s="752" t="e">
        <f>_xlfn.XLOOKUP(Table1[[#This Row],[Ruta]],#REF!,#REF!)</f>
        <v>#REF!</v>
      </c>
      <c r="AG65" s="752" t="e">
        <f>_xlfn.XLOOKUP(Table1[[#This Row],[Ruta]],#REF!,#REF!)</f>
        <v>#REF!</v>
      </c>
      <c r="AH65" s="52">
        <v>0.13426044295375661</v>
      </c>
      <c r="AI65" s="52">
        <v>0.86573955704624339</v>
      </c>
      <c r="AJ65" s="55">
        <v>0</v>
      </c>
      <c r="AK65" s="56">
        <v>4657</v>
      </c>
      <c r="AL65" s="44">
        <v>7970</v>
      </c>
      <c r="AM65" s="54">
        <v>0.59909813184453498</v>
      </c>
      <c r="AN65" s="55">
        <v>0.59461304275985005</v>
      </c>
      <c r="AO65" s="56">
        <v>0</v>
      </c>
      <c r="AP65" s="48">
        <v>0</v>
      </c>
      <c r="AQ65" s="55">
        <v>1.7114021902512346</v>
      </c>
      <c r="AR65" s="51">
        <v>2679149.87</v>
      </c>
      <c r="AS65" s="49">
        <v>0</v>
      </c>
      <c r="AT65" s="55">
        <v>0</v>
      </c>
      <c r="AU65" s="51">
        <v>0</v>
      </c>
      <c r="AV65" s="52">
        <v>0</v>
      </c>
      <c r="AW65" s="44">
        <v>490</v>
      </c>
      <c r="AX65" s="51">
        <v>336.15431242158098</v>
      </c>
      <c r="AY65" s="49">
        <v>377.064073238829</v>
      </c>
      <c r="AZ65" s="49">
        <v>40.909760817248014</v>
      </c>
      <c r="BA65" s="42" t="s">
        <v>150</v>
      </c>
      <c r="BB65" s="50">
        <v>114558.38698040725</v>
      </c>
      <c r="BC65" s="57">
        <v>114558.38698040725</v>
      </c>
      <c r="BD65" s="42" t="s">
        <v>150</v>
      </c>
      <c r="BE65" s="46">
        <v>33.264285714285698</v>
      </c>
      <c r="BF65" s="46">
        <v>48.897321428571402</v>
      </c>
      <c r="BG65" s="42" t="s">
        <v>152</v>
      </c>
      <c r="BH65" s="52">
        <v>0.59909813184453498</v>
      </c>
      <c r="BI65" s="52">
        <v>0.79215712207379996</v>
      </c>
      <c r="BJ65" s="42" t="s">
        <v>152</v>
      </c>
      <c r="BK65" s="46">
        <v>152.114392607273</v>
      </c>
      <c r="BL65" s="46">
        <v>326.54713917579897</v>
      </c>
      <c r="BM65" s="42" t="s">
        <v>152</v>
      </c>
      <c r="BN65" s="48">
        <v>0</v>
      </c>
      <c r="BO65" s="42" t="s">
        <v>155</v>
      </c>
      <c r="BP65" s="42" t="s">
        <v>152</v>
      </c>
      <c r="BQ65" s="46">
        <v>1349.4524362258401</v>
      </c>
      <c r="BR65" s="46">
        <v>4662</v>
      </c>
      <c r="BS65" s="46">
        <v>312356</v>
      </c>
      <c r="BT65" s="46">
        <v>89157</v>
      </c>
      <c r="BU65" s="46">
        <v>3.5034377558688607</v>
      </c>
      <c r="BV65" s="46">
        <v>19.124195624195625</v>
      </c>
      <c r="BW65" s="46">
        <v>129</v>
      </c>
      <c r="BX65" s="46">
        <v>0</v>
      </c>
      <c r="BY65" s="46">
        <v>129</v>
      </c>
      <c r="BZ65" s="46">
        <v>1.4468858306134122E-3</v>
      </c>
      <c r="CA65" s="46">
        <v>1.446885830613412E-3</v>
      </c>
      <c r="CB65" s="46">
        <v>0</v>
      </c>
      <c r="CC65" s="46">
        <v>2.6357997689469138E-3</v>
      </c>
      <c r="CD65" s="46">
        <v>0.1818814002265666</v>
      </c>
      <c r="CE65" s="46">
        <v>3.644133382684478E-2</v>
      </c>
      <c r="CF65" s="46">
        <v>0.777370256962437</v>
      </c>
      <c r="CG65" s="46">
        <v>2.0189104613210399E-4</v>
      </c>
      <c r="CH65" s="46">
        <v>2.2432338459122668E-5</v>
      </c>
      <c r="CI65" s="46">
        <v>4.8374290873234376</v>
      </c>
      <c r="CJ65" s="46">
        <v>0.29773719730051612</v>
      </c>
      <c r="CK65">
        <v>152</v>
      </c>
      <c r="CL65">
        <v>290.74</v>
      </c>
      <c r="CM65">
        <f t="shared" si="7"/>
        <v>138.74</v>
      </c>
      <c r="CN65">
        <v>3.81</v>
      </c>
      <c r="CO65">
        <v>9.4499999999999993</v>
      </c>
      <c r="CP65">
        <f t="shared" si="8"/>
        <v>5.6399999999999988</v>
      </c>
      <c r="CQ65">
        <v>634.91999999999996</v>
      </c>
      <c r="CR65">
        <v>152.11000000000001</v>
      </c>
      <c r="CS65">
        <f t="shared" si="9"/>
        <v>482.80999999999995</v>
      </c>
      <c r="CT65" t="s">
        <v>152</v>
      </c>
      <c r="CU65">
        <v>40.270000000000003</v>
      </c>
      <c r="CV65">
        <v>0</v>
      </c>
      <c r="CW65" s="46">
        <v>129</v>
      </c>
      <c r="CX65" s="46">
        <f t="shared" si="3"/>
        <v>-1.0924548829592751E-2</v>
      </c>
      <c r="CY65" s="46">
        <v>138.74</v>
      </c>
      <c r="CZ65" s="46">
        <f t="shared" si="4"/>
        <v>0.14468858306134122</v>
      </c>
      <c r="DA65" s="46">
        <f t="shared" si="5"/>
        <v>21.726641830842098</v>
      </c>
      <c r="DB65" s="46">
        <v>1940096.56</v>
      </c>
      <c r="DC65" s="46">
        <f t="shared" si="6"/>
        <v>0.28529770849090896</v>
      </c>
      <c r="DD65" s="46">
        <v>25475.87</v>
      </c>
      <c r="DE65" s="995">
        <v>129</v>
      </c>
      <c r="DF65" s="995">
        <v>7.3999999999999996E-2</v>
      </c>
      <c r="DG65" s="995">
        <v>62.8</v>
      </c>
      <c r="DH65" s="995">
        <v>0.14499999999999999</v>
      </c>
      <c r="DI65" s="995">
        <v>29.936</v>
      </c>
      <c r="DJ65" s="995">
        <v>2670846</v>
      </c>
      <c r="DK65" s="995">
        <v>0.433</v>
      </c>
      <c r="DL65" s="995">
        <v>38620.300000000003</v>
      </c>
      <c r="DM65" s="995">
        <v>129</v>
      </c>
      <c r="DN65" s="995">
        <v>8.5000000000000006E-2</v>
      </c>
      <c r="DO65" s="995">
        <v>53.7</v>
      </c>
      <c r="DP65" s="995">
        <v>0.14499999999999999</v>
      </c>
      <c r="DQ65" s="995">
        <v>28.736999999999998</v>
      </c>
      <c r="DR65" s="995">
        <v>2563663</v>
      </c>
      <c r="DS65" s="995">
        <v>0.41699999999999998</v>
      </c>
      <c r="DT65" s="995">
        <v>37211.800000000003</v>
      </c>
    </row>
    <row r="66" spans="1:124">
      <c r="A66" s="42" t="s">
        <v>92</v>
      </c>
      <c r="B66" s="42" t="s">
        <v>168</v>
      </c>
      <c r="C66" s="42" t="s">
        <v>209</v>
      </c>
      <c r="D66" s="42">
        <v>705318</v>
      </c>
      <c r="E66" s="42" t="s">
        <v>229</v>
      </c>
      <c r="F66" s="42" t="s">
        <v>149</v>
      </c>
      <c r="G66" s="42" t="s">
        <v>150</v>
      </c>
      <c r="H66" s="43" t="s">
        <v>150</v>
      </c>
      <c r="I66" s="44">
        <v>27</v>
      </c>
      <c r="J66" s="45">
        <v>60282.353600000002</v>
      </c>
      <c r="K66" s="46">
        <v>32288.907018999998</v>
      </c>
      <c r="L66" s="47">
        <v>92571.260618999993</v>
      </c>
      <c r="M66" s="48">
        <v>4771255</v>
      </c>
      <c r="N66" s="49">
        <v>878509</v>
      </c>
      <c r="O66" s="49">
        <v>3892624</v>
      </c>
      <c r="P66" s="49">
        <v>122</v>
      </c>
      <c r="Q66" s="50">
        <v>10917.9240045767</v>
      </c>
      <c r="R66" s="51">
        <v>5020.3885272341104</v>
      </c>
      <c r="S66" s="49">
        <v>27731.475878010599</v>
      </c>
      <c r="T66" s="49">
        <v>2817.6692077144398</v>
      </c>
      <c r="U66" s="49">
        <f>IFERROR(INDEX('Rentabilidad datos'!$N$2:$N$61,MATCH($C66,'Rentabilidad datos'!$C$2:$C$61,0)),"")</f>
        <v>35569.533612959094</v>
      </c>
      <c r="V66" s="50">
        <f>IFERROR(INDEX('Rentabilidad datos'!$O$2:$O$61,MATCH($C66,'Rentabilidad datos'!$C$2:$C$61,0)),"")</f>
        <v>1368.0589851138113</v>
      </c>
      <c r="W66" s="51">
        <f>IFERROR(INDEX('Rentabilidad datos'!$M$2:$M$61,MATCH($C66,'Rentabilidad datos'!$C$2:$C$61,0)),"")</f>
        <v>2318.2873272484931</v>
      </c>
      <c r="X66" s="52">
        <f>IFERROR(INDEX('Rentabilidad datos'!$P$2:$P$61,MATCH($C66,'Rentabilidad datos'!$C$2:$C$61,0)),"")</f>
        <v>0.59011623323564488</v>
      </c>
      <c r="Y66" s="43" t="s">
        <v>211</v>
      </c>
      <c r="Z66" s="53">
        <v>57.141876430205997</v>
      </c>
      <c r="AA66" s="43">
        <v>1</v>
      </c>
      <c r="AB66" s="54">
        <v>0.99875357741307058</v>
      </c>
      <c r="AC66" s="55">
        <v>1.2464225869294348E-3</v>
      </c>
      <c r="AD66" s="752" t="e">
        <f>_xlfn.XLOOKUP(Table1[[#This Row],[Ruta]],#REF!,#REF!)</f>
        <v>#REF!</v>
      </c>
      <c r="AE66" s="752" t="e">
        <f>_xlfn.XLOOKUP(Table1[[#This Row],[Ruta]],#REF!,#REF!)</f>
        <v>#REF!</v>
      </c>
      <c r="AF66" s="752" t="e">
        <f>_xlfn.XLOOKUP(Table1[[#This Row],[Ruta]],#REF!,#REF!)</f>
        <v>#REF!</v>
      </c>
      <c r="AG66" s="752" t="e">
        <f>_xlfn.XLOOKUP(Table1[[#This Row],[Ruta]],#REF!,#REF!)</f>
        <v>#REF!</v>
      </c>
      <c r="AH66" s="52">
        <v>0.18412535066769645</v>
      </c>
      <c r="AI66" s="52">
        <v>0.81584907953986952</v>
      </c>
      <c r="AJ66" s="55">
        <v>2.5569792434066088E-5</v>
      </c>
      <c r="AK66" s="56">
        <v>24971</v>
      </c>
      <c r="AL66" s="44">
        <v>16116</v>
      </c>
      <c r="AM66" s="54">
        <v>0.64538865083496899</v>
      </c>
      <c r="AN66" s="55">
        <v>0.59461304275985005</v>
      </c>
      <c r="AO66" s="56">
        <v>0</v>
      </c>
      <c r="AP66" s="48">
        <v>0</v>
      </c>
      <c r="AQ66" s="55">
        <v>0.64538865083496855</v>
      </c>
      <c r="AR66" s="51">
        <v>4771132.79</v>
      </c>
      <c r="AS66" s="49">
        <v>0</v>
      </c>
      <c r="AT66" s="55">
        <v>0</v>
      </c>
      <c r="AU66" s="51">
        <v>0</v>
      </c>
      <c r="AV66" s="52">
        <v>0</v>
      </c>
      <c r="AW66" s="44">
        <v>490</v>
      </c>
      <c r="AX66" s="51">
        <v>296.04944092826997</v>
      </c>
      <c r="AY66" s="49">
        <v>377.064073238829</v>
      </c>
      <c r="AZ66" s="49">
        <v>81.014632310559023</v>
      </c>
      <c r="BA66" s="42" t="s">
        <v>150</v>
      </c>
      <c r="BB66" s="50">
        <v>458735.5023275839</v>
      </c>
      <c r="BC66" s="57">
        <v>458735.5023275839</v>
      </c>
      <c r="BD66" s="42" t="s">
        <v>150</v>
      </c>
      <c r="BE66" s="46">
        <v>57.141876430205997</v>
      </c>
      <c r="BF66" s="46">
        <v>48.897321428571402</v>
      </c>
      <c r="BG66" s="42" t="s">
        <v>150</v>
      </c>
      <c r="BH66" s="52">
        <v>0.64538865083496899</v>
      </c>
      <c r="BI66" s="52">
        <v>0.79215712207379996</v>
      </c>
      <c r="BJ66" s="42" t="s">
        <v>152</v>
      </c>
      <c r="BK66" s="46">
        <v>211.833548327231</v>
      </c>
      <c r="BL66" s="46">
        <v>326.54713917579897</v>
      </c>
      <c r="BM66" s="42" t="s">
        <v>152</v>
      </c>
      <c r="BN66" s="48">
        <v>1</v>
      </c>
      <c r="BO66" s="42" t="s">
        <v>155</v>
      </c>
      <c r="BP66" s="42" t="s">
        <v>152</v>
      </c>
      <c r="BQ66" s="46">
        <v>0</v>
      </c>
      <c r="BR66" s="46">
        <v>267</v>
      </c>
      <c r="BS66" s="46">
        <v>13395</v>
      </c>
      <c r="BT66" s="46">
        <v>4349</v>
      </c>
      <c r="BU66" s="46">
        <v>3.0800183950333411</v>
      </c>
      <c r="BV66" s="46">
        <v>16.288389513108616</v>
      </c>
      <c r="BW66" s="46">
        <v>1020</v>
      </c>
      <c r="BX66" s="46">
        <v>1375</v>
      </c>
      <c r="BY66" s="46">
        <v>2395</v>
      </c>
      <c r="BZ66" s="46">
        <v>0.5507013106461256</v>
      </c>
      <c r="CA66" s="46">
        <v>0.23453667509772361</v>
      </c>
      <c r="CB66" s="46">
        <v>0.31616463554840191</v>
      </c>
      <c r="CC66" s="46">
        <v>6.3232927109680384E-2</v>
      </c>
      <c r="CD66" s="46">
        <v>0</v>
      </c>
      <c r="CE66" s="46">
        <v>0</v>
      </c>
      <c r="CF66" s="46">
        <v>0.38606576224419409</v>
      </c>
      <c r="CG66" s="46">
        <v>0</v>
      </c>
      <c r="CH66" s="46">
        <v>0</v>
      </c>
      <c r="CI66" s="46">
        <v>2.164986935423665</v>
      </c>
      <c r="CJ66" s="46">
        <v>2.388951101157148</v>
      </c>
      <c r="CK66">
        <v>151</v>
      </c>
      <c r="CL66">
        <v>380.51</v>
      </c>
      <c r="CM66">
        <f t="shared" si="7"/>
        <v>229.51</v>
      </c>
      <c r="CN66">
        <v>4</v>
      </c>
      <c r="CO66">
        <v>9.4499999999999993</v>
      </c>
      <c r="CP66">
        <f t="shared" si="8"/>
        <v>5.4499999999999993</v>
      </c>
      <c r="CQ66">
        <v>846.56</v>
      </c>
      <c r="CR66">
        <v>211.83</v>
      </c>
      <c r="CS66">
        <f t="shared" si="9"/>
        <v>634.7299999999999</v>
      </c>
      <c r="CT66" t="s">
        <v>152</v>
      </c>
      <c r="CU66">
        <v>42.37</v>
      </c>
      <c r="CV66">
        <v>78</v>
      </c>
      <c r="CW66" s="46">
        <v>2395</v>
      </c>
      <c r="CX66" s="46">
        <f t="shared" si="3"/>
        <v>49.792825936997005</v>
      </c>
      <c r="CY66" s="46">
        <v>229.51</v>
      </c>
      <c r="CZ66" s="46">
        <f t="shared" si="4"/>
        <v>55.070131064612561</v>
      </c>
      <c r="DA66" s="46">
        <f t="shared" si="5"/>
        <v>421.82931128249146</v>
      </c>
      <c r="DB66" s="46">
        <v>1931349.72</v>
      </c>
      <c r="DC66" s="46">
        <f t="shared" si="6"/>
        <v>8.5251926936929259</v>
      </c>
      <c r="DD66" s="46">
        <v>39032.68</v>
      </c>
      <c r="DE66" s="995">
        <v>2395</v>
      </c>
      <c r="DF66" s="995">
        <v>50.837000000000003</v>
      </c>
      <c r="DG66" s="995">
        <v>184.1</v>
      </c>
      <c r="DH66" s="995">
        <v>55.07</v>
      </c>
      <c r="DI66" s="995">
        <v>720.58699999999999</v>
      </c>
      <c r="DJ66" s="995">
        <v>3266504</v>
      </c>
      <c r="DK66" s="995">
        <v>14.733000000000001</v>
      </c>
      <c r="DL66" s="995">
        <v>66785.7</v>
      </c>
      <c r="DM66" s="995">
        <v>2395</v>
      </c>
      <c r="DN66" s="995">
        <v>51.148000000000003</v>
      </c>
      <c r="DO66" s="995">
        <v>170.6</v>
      </c>
      <c r="DP66" s="995">
        <v>55.07</v>
      </c>
      <c r="DQ66" s="995">
        <v>698.83600000000001</v>
      </c>
      <c r="DR66" s="995">
        <v>3158447</v>
      </c>
      <c r="DS66" s="995">
        <v>14.318</v>
      </c>
      <c r="DT66" s="995">
        <v>64711.5</v>
      </c>
    </row>
    <row r="67" spans="1:124">
      <c r="A67" s="42" t="s">
        <v>92</v>
      </c>
      <c r="B67" s="42" t="s">
        <v>168</v>
      </c>
      <c r="C67" s="42" t="s">
        <v>209</v>
      </c>
      <c r="D67" s="42">
        <v>705319</v>
      </c>
      <c r="E67" s="42" t="s">
        <v>230</v>
      </c>
      <c r="F67" s="42" t="s">
        <v>149</v>
      </c>
      <c r="G67" s="42" t="s">
        <v>150</v>
      </c>
      <c r="H67" s="43" t="s">
        <v>150</v>
      </c>
      <c r="I67" s="44">
        <v>27</v>
      </c>
      <c r="J67" s="45">
        <v>1482.9304</v>
      </c>
      <c r="K67" s="46">
        <v>711.49237500000004</v>
      </c>
      <c r="L67" s="47">
        <v>2194.422775</v>
      </c>
      <c r="M67" s="48">
        <v>108389</v>
      </c>
      <c r="N67" s="49">
        <v>23279</v>
      </c>
      <c r="O67" s="49">
        <v>85110</v>
      </c>
      <c r="P67" s="49">
        <v>0</v>
      </c>
      <c r="Q67" s="50">
        <v>1693.5857812500001</v>
      </c>
      <c r="R67" s="51">
        <v>5020.3885272341104</v>
      </c>
      <c r="S67" s="49">
        <v>27731.475878010599</v>
      </c>
      <c r="T67" s="49">
        <v>2817.6692077144398</v>
      </c>
      <c r="U67" s="49">
        <f>IFERROR(INDEX('Rentabilidad datos'!$N$2:$N$61,MATCH($C67,'Rentabilidad datos'!$C$2:$C$61,0)),"")</f>
        <v>35569.533612959094</v>
      </c>
      <c r="V67" s="50">
        <f>IFERROR(INDEX('Rentabilidad datos'!$O$2:$O$61,MATCH($C67,'Rentabilidad datos'!$C$2:$C$61,0)),"")</f>
        <v>1368.0589851138113</v>
      </c>
      <c r="W67" s="51">
        <f>IFERROR(INDEX('Rentabilidad datos'!$M$2:$M$61,MATCH($C67,'Rentabilidad datos'!$C$2:$C$61,0)),"")</f>
        <v>2318.2873272484931</v>
      </c>
      <c r="X67" s="52">
        <f>IFERROR(INDEX('Rentabilidad datos'!$P$2:$P$61,MATCH($C67,'Rentabilidad datos'!$C$2:$C$61,0)),"")</f>
        <v>0.59011623323564488</v>
      </c>
      <c r="Y67" s="43" t="s">
        <v>211</v>
      </c>
      <c r="Z67" s="53">
        <v>5.7966101694915304</v>
      </c>
      <c r="AA67" s="43">
        <v>1</v>
      </c>
      <c r="AB67" s="54">
        <v>0.99750897231268854</v>
      </c>
      <c r="AC67" s="55">
        <v>2.4910276873114428E-3</v>
      </c>
      <c r="AD67" s="752" t="e">
        <f>_xlfn.XLOOKUP(Table1[[#This Row],[Ruta]],#REF!,#REF!)</f>
        <v>#REF!</v>
      </c>
      <c r="AE67" s="752" t="e">
        <f>_xlfn.XLOOKUP(Table1[[#This Row],[Ruta]],#REF!,#REF!)</f>
        <v>#REF!</v>
      </c>
      <c r="AF67" s="752" t="e">
        <f>_xlfn.XLOOKUP(Table1[[#This Row],[Ruta]],#REF!,#REF!)</f>
        <v>#REF!</v>
      </c>
      <c r="AG67" s="752" t="e">
        <f>_xlfn.XLOOKUP(Table1[[#This Row],[Ruta]],#REF!,#REF!)</f>
        <v>#REF!</v>
      </c>
      <c r="AH67" s="52">
        <v>0.21477271678860402</v>
      </c>
      <c r="AI67" s="52">
        <v>0.78522728321139601</v>
      </c>
      <c r="AJ67" s="55">
        <v>0</v>
      </c>
      <c r="AK67" s="56">
        <v>342</v>
      </c>
      <c r="AL67" s="44">
        <v>39</v>
      </c>
      <c r="AM67" s="54">
        <v>0.10233918128654999</v>
      </c>
      <c r="AN67" s="55">
        <v>0.59461304275985005</v>
      </c>
      <c r="AO67" s="56">
        <v>168.35766062386901</v>
      </c>
      <c r="AP67" s="48">
        <v>84.178830311934504</v>
      </c>
      <c r="AQ67" s="55">
        <v>0.36017201845594882</v>
      </c>
      <c r="AR67" s="51">
        <v>108389.49</v>
      </c>
      <c r="AS67" s="49">
        <v>233951.294520695</v>
      </c>
      <c r="AT67" s="55">
        <v>2.1584315464598549</v>
      </c>
      <c r="AU67" s="51">
        <v>164398.20696048843</v>
      </c>
      <c r="AV67" s="52">
        <v>7.4786300089590106E-4</v>
      </c>
      <c r="AW67" s="44">
        <v>340</v>
      </c>
      <c r="AX67" s="51">
        <v>2779.21769230769</v>
      </c>
      <c r="AY67" s="49">
        <v>377.064073238829</v>
      </c>
      <c r="AZ67" s="49">
        <v>0</v>
      </c>
      <c r="BA67" s="42" t="s">
        <v>152</v>
      </c>
      <c r="BB67" s="50">
        <v>0</v>
      </c>
      <c r="BC67" s="57">
        <v>164398.20696048843</v>
      </c>
      <c r="BD67" s="42" t="s">
        <v>150</v>
      </c>
      <c r="BE67" s="46">
        <v>5.7966101694915304</v>
      </c>
      <c r="BF67" s="46">
        <v>48.897321428571402</v>
      </c>
      <c r="BG67" s="42" t="s">
        <v>152</v>
      </c>
      <c r="BH67" s="52">
        <v>0.10233918128654999</v>
      </c>
      <c r="BI67" s="52">
        <v>0.79215712207379996</v>
      </c>
      <c r="BJ67" s="42" t="s">
        <v>152</v>
      </c>
      <c r="BK67" s="46">
        <v>34.287855859375</v>
      </c>
      <c r="BL67" s="46">
        <v>326.54713917579897</v>
      </c>
      <c r="BM67" s="42" t="s">
        <v>152</v>
      </c>
      <c r="BN67" s="48">
        <v>0</v>
      </c>
      <c r="BO67" s="42" t="s">
        <v>155</v>
      </c>
      <c r="BP67" s="42" t="s">
        <v>152</v>
      </c>
      <c r="BQ67" s="46">
        <v>1469.5322467563999</v>
      </c>
      <c r="BR67" s="46" t="e">
        <v>#N/A</v>
      </c>
      <c r="BS67" s="46" t="e">
        <v>#N/A</v>
      </c>
      <c r="BT67" s="46" t="e">
        <v>#N/A</v>
      </c>
      <c r="BU67" s="46" t="e">
        <v>#N/A</v>
      </c>
      <c r="BV67" s="46" t="e">
        <v>#N/A</v>
      </c>
      <c r="BW67" s="46" t="e">
        <v>#N/A</v>
      </c>
      <c r="BX67" s="46" t="e">
        <v>#N/A</v>
      </c>
      <c r="BY67" s="46" t="e">
        <v>#N/A</v>
      </c>
      <c r="BZ67" s="46" t="e">
        <v>#N/A</v>
      </c>
      <c r="CA67" s="46" t="e">
        <v>#N/A</v>
      </c>
      <c r="CB67" s="46" t="e">
        <v>#N/A</v>
      </c>
      <c r="CC67" s="46" t="e">
        <v>#N/A</v>
      </c>
      <c r="CD67" s="46" t="e">
        <v>#N/A</v>
      </c>
      <c r="CE67" s="46" t="e">
        <v>#N/A</v>
      </c>
      <c r="CF67" s="46" t="e">
        <v>#N/A</v>
      </c>
      <c r="CG67" s="46" t="e">
        <v>#N/A</v>
      </c>
      <c r="CH67" s="46" t="e">
        <v>#N/A</v>
      </c>
      <c r="CI67" s="46" t="e">
        <v>#N/A</v>
      </c>
      <c r="CJ67" s="46" t="e">
        <v>#N/A</v>
      </c>
      <c r="CM67">
        <f t="shared" si="7"/>
        <v>0</v>
      </c>
      <c r="CP67">
        <f t="shared" si="8"/>
        <v>0</v>
      </c>
      <c r="CS67">
        <f t="shared" si="9"/>
        <v>0</v>
      </c>
      <c r="CW67" s="46"/>
      <c r="CX67" s="46" t="e">
        <f t="shared" si="3"/>
        <v>#N/A</v>
      </c>
      <c r="CY67" s="46"/>
      <c r="CZ67" s="46" t="e">
        <f t="shared" si="4"/>
        <v>#N/A</v>
      </c>
      <c r="DA67" s="46" t="e">
        <f t="shared" si="5"/>
        <v>#N/A</v>
      </c>
      <c r="DB67" s="46"/>
      <c r="DC67" s="46" t="e">
        <f t="shared" si="6"/>
        <v>#N/A</v>
      </c>
      <c r="DD67" s="46"/>
      <c r="DE67" s="995" t="s">
        <v>194</v>
      </c>
      <c r="DF67" s="995" t="s">
        <v>194</v>
      </c>
      <c r="DG67" s="995" t="s">
        <v>194</v>
      </c>
      <c r="DH67" s="995" t="s">
        <v>194</v>
      </c>
      <c r="DI67" s="995" t="s">
        <v>194</v>
      </c>
      <c r="DJ67" s="995" t="s">
        <v>194</v>
      </c>
      <c r="DK67" s="995" t="s">
        <v>194</v>
      </c>
      <c r="DL67" s="995" t="s">
        <v>194</v>
      </c>
      <c r="DM67" s="995" t="s">
        <v>194</v>
      </c>
      <c r="DN67" s="995" t="s">
        <v>194</v>
      </c>
      <c r="DO67" s="995" t="s">
        <v>194</v>
      </c>
      <c r="DP67" s="995" t="s">
        <v>194</v>
      </c>
      <c r="DQ67" s="995" t="s">
        <v>194</v>
      </c>
      <c r="DR67" s="995" t="s">
        <v>194</v>
      </c>
      <c r="DS67" s="995" t="s">
        <v>194</v>
      </c>
      <c r="DT67" s="995" t="s">
        <v>194</v>
      </c>
    </row>
    <row r="68" spans="1:124">
      <c r="A68" s="42" t="s">
        <v>92</v>
      </c>
      <c r="B68" s="42" t="s">
        <v>168</v>
      </c>
      <c r="C68" s="42" t="s">
        <v>209</v>
      </c>
      <c r="D68" s="42">
        <v>705320</v>
      </c>
      <c r="E68" s="42" t="s">
        <v>231</v>
      </c>
      <c r="F68" s="42" t="s">
        <v>149</v>
      </c>
      <c r="G68" s="42" t="s">
        <v>150</v>
      </c>
      <c r="H68" s="43" t="s">
        <v>150</v>
      </c>
      <c r="I68" s="44">
        <v>27</v>
      </c>
      <c r="J68" s="45">
        <v>95661.339200000002</v>
      </c>
      <c r="K68" s="46">
        <v>16854.534186000001</v>
      </c>
      <c r="L68" s="47">
        <v>112515.87338600001</v>
      </c>
      <c r="M68" s="48">
        <v>3828752</v>
      </c>
      <c r="N68" s="49">
        <v>1471638</v>
      </c>
      <c r="O68" s="49">
        <v>2357114</v>
      </c>
      <c r="P68" s="49">
        <v>0</v>
      </c>
      <c r="Q68" s="50">
        <v>8924.8251282051297</v>
      </c>
      <c r="R68" s="51">
        <v>5020.3885272341104</v>
      </c>
      <c r="S68" s="49">
        <v>27731.475878010599</v>
      </c>
      <c r="T68" s="49">
        <v>2817.6692077144398</v>
      </c>
      <c r="U68" s="49">
        <f>IFERROR(INDEX('Rentabilidad datos'!$N$2:$N$61,MATCH($C68,'Rentabilidad datos'!$C$2:$C$61,0)),"")</f>
        <v>35569.533612959094</v>
      </c>
      <c r="V68" s="50">
        <f>IFERROR(INDEX('Rentabilidad datos'!$O$2:$O$61,MATCH($C68,'Rentabilidad datos'!$C$2:$C$61,0)),"")</f>
        <v>1368.0589851138113</v>
      </c>
      <c r="W68" s="51">
        <f>IFERROR(INDEX('Rentabilidad datos'!$M$2:$M$61,MATCH($C68,'Rentabilidad datos'!$C$2:$C$61,0)),"")</f>
        <v>2318.2873272484931</v>
      </c>
      <c r="X68" s="52">
        <f>IFERROR(INDEX('Rentabilidad datos'!$P$2:$P$61,MATCH($C68,'Rentabilidad datos'!$C$2:$C$61,0)),"")</f>
        <v>0.59011623323564488</v>
      </c>
      <c r="Y68" s="43" t="s">
        <v>211</v>
      </c>
      <c r="Z68" s="53">
        <v>56.144522144522099</v>
      </c>
      <c r="AA68" s="43">
        <v>1</v>
      </c>
      <c r="AB68" s="54">
        <v>0.99760783670501507</v>
      </c>
      <c r="AC68" s="55">
        <v>2.3921632949848934E-3</v>
      </c>
      <c r="AD68" s="752" t="e">
        <f>_xlfn.XLOOKUP(Table1[[#This Row],[Ruta]],#REF!,#REF!)</f>
        <v>#REF!</v>
      </c>
      <c r="AE68" s="752" t="e">
        <f>_xlfn.XLOOKUP(Table1[[#This Row],[Ruta]],#REF!,#REF!)</f>
        <v>#REF!</v>
      </c>
      <c r="AF68" s="752" t="e">
        <f>_xlfn.XLOOKUP(Table1[[#This Row],[Ruta]],#REF!,#REF!)</f>
        <v>#REF!</v>
      </c>
      <c r="AG68" s="752" t="e">
        <f>_xlfn.XLOOKUP(Table1[[#This Row],[Ruta]],#REF!,#REF!)</f>
        <v>#REF!</v>
      </c>
      <c r="AH68" s="52">
        <v>0.38436493144502437</v>
      </c>
      <c r="AI68" s="52">
        <v>0.61563506855497563</v>
      </c>
      <c r="AJ68" s="55">
        <v>0</v>
      </c>
      <c r="AK68" s="56">
        <v>24086</v>
      </c>
      <c r="AL68" s="44">
        <v>14431</v>
      </c>
      <c r="AM68" s="54">
        <v>0.59914473137922397</v>
      </c>
      <c r="AN68" s="55">
        <v>0.59461304275985005</v>
      </c>
      <c r="AO68" s="56">
        <v>0</v>
      </c>
      <c r="AP68" s="48">
        <v>0</v>
      </c>
      <c r="AQ68" s="55">
        <v>0.59914473137922442</v>
      </c>
      <c r="AR68" s="51">
        <v>3828749.98</v>
      </c>
      <c r="AS68" s="49">
        <v>0</v>
      </c>
      <c r="AT68" s="55">
        <v>0</v>
      </c>
      <c r="AU68" s="51">
        <v>0</v>
      </c>
      <c r="AV68" s="52">
        <v>0</v>
      </c>
      <c r="AW68" s="44">
        <v>490</v>
      </c>
      <c r="AX68" s="51">
        <v>265.31425265054401</v>
      </c>
      <c r="AY68" s="49">
        <v>377.064073238829</v>
      </c>
      <c r="AZ68" s="49">
        <v>111.74982058828499</v>
      </c>
      <c r="BA68" s="42" t="s">
        <v>150</v>
      </c>
      <c r="BB68" s="50">
        <v>566610.85383308213</v>
      </c>
      <c r="BC68" s="57">
        <v>566610.85383308213</v>
      </c>
      <c r="BD68" s="42" t="s">
        <v>150</v>
      </c>
      <c r="BE68" s="46">
        <v>56.144522144522099</v>
      </c>
      <c r="BF68" s="46">
        <v>48.897321428571402</v>
      </c>
      <c r="BG68" s="42" t="s">
        <v>150</v>
      </c>
      <c r="BH68" s="52">
        <v>0.59914473137922397</v>
      </c>
      <c r="BI68" s="52">
        <v>0.79215712207379996</v>
      </c>
      <c r="BJ68" s="42" t="s">
        <v>152</v>
      </c>
      <c r="BK68" s="46">
        <v>262.27476313752902</v>
      </c>
      <c r="BL68" s="46">
        <v>326.54713917579897</v>
      </c>
      <c r="BM68" s="42" t="s">
        <v>152</v>
      </c>
      <c r="BN68" s="48">
        <v>1</v>
      </c>
      <c r="BO68" s="42" t="s">
        <v>155</v>
      </c>
      <c r="BP68" s="42" t="s">
        <v>152</v>
      </c>
      <c r="BQ68" s="46">
        <v>0</v>
      </c>
      <c r="BR68" s="46">
        <v>456</v>
      </c>
      <c r="BS68" s="46">
        <v>37291</v>
      </c>
      <c r="BT68" s="46">
        <v>11383</v>
      </c>
      <c r="BU68" s="46">
        <v>3.2760256522885003</v>
      </c>
      <c r="BV68" s="46">
        <v>24.962719298245613</v>
      </c>
      <c r="BW68" s="46">
        <v>11142</v>
      </c>
      <c r="BX68" s="46">
        <v>241</v>
      </c>
      <c r="BY68" s="46">
        <v>11383</v>
      </c>
      <c r="BZ68" s="46">
        <v>1</v>
      </c>
      <c r="CA68" s="46">
        <v>0.97882807695686547</v>
      </c>
      <c r="CB68" s="46">
        <v>2.1171923043134502E-2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0.2145289748196616</v>
      </c>
      <c r="CJ68" s="46">
        <v>0.8581158992786464</v>
      </c>
      <c r="CK68">
        <v>305</v>
      </c>
      <c r="CL68">
        <v>812.61</v>
      </c>
      <c r="CM68">
        <f t="shared" si="7"/>
        <v>507.61</v>
      </c>
      <c r="CN68">
        <v>4.8099999999999996</v>
      </c>
      <c r="CO68">
        <v>9.4499999999999993</v>
      </c>
      <c r="CP68">
        <f t="shared" si="8"/>
        <v>4.6399999999999997</v>
      </c>
      <c r="CQ68">
        <v>634.91999999999996</v>
      </c>
      <c r="CR68">
        <v>262.27</v>
      </c>
      <c r="CS68">
        <f t="shared" si="9"/>
        <v>372.65</v>
      </c>
      <c r="CT68" t="s">
        <v>152</v>
      </c>
      <c r="CU68">
        <v>55.51</v>
      </c>
      <c r="CV68">
        <v>528</v>
      </c>
      <c r="CW68" s="46">
        <v>11383</v>
      </c>
      <c r="CX68" s="46">
        <f t="shared" si="3"/>
        <v>95.540630765176132</v>
      </c>
      <c r="CY68" s="46">
        <v>507.61</v>
      </c>
      <c r="CZ68" s="46">
        <f t="shared" si="4"/>
        <v>100</v>
      </c>
      <c r="DA68" s="46">
        <f t="shared" si="5"/>
        <v>276.37186233506941</v>
      </c>
      <c r="DB68" s="46">
        <v>3286230.03</v>
      </c>
      <c r="DC68" s="46">
        <f t="shared" si="6"/>
        <v>8.3139410005037586</v>
      </c>
      <c r="DD68" s="46">
        <v>98857.83</v>
      </c>
      <c r="DE68" s="995">
        <v>11383</v>
      </c>
      <c r="DF68" s="995">
        <v>95.775000000000006</v>
      </c>
      <c r="DG68" s="995">
        <v>481</v>
      </c>
      <c r="DH68" s="995">
        <v>100</v>
      </c>
      <c r="DI68" s="995">
        <v>577.41899999999998</v>
      </c>
      <c r="DJ68" s="995">
        <v>6850487</v>
      </c>
      <c r="DK68" s="995">
        <v>17.515999999999998</v>
      </c>
      <c r="DL68" s="995">
        <v>207804.9</v>
      </c>
      <c r="DM68" s="995">
        <v>11383</v>
      </c>
      <c r="DN68" s="995">
        <v>95.947000000000003</v>
      </c>
      <c r="DO68" s="995">
        <v>461.3</v>
      </c>
      <c r="DP68" s="995">
        <v>100</v>
      </c>
      <c r="DQ68" s="995">
        <v>568.71400000000006</v>
      </c>
      <c r="DR68" s="995">
        <v>6736021</v>
      </c>
      <c r="DS68" s="995">
        <v>17.245000000000001</v>
      </c>
      <c r="DT68" s="995">
        <v>204259</v>
      </c>
    </row>
    <row r="69" spans="1:124">
      <c r="A69" s="42" t="s">
        <v>92</v>
      </c>
      <c r="B69" s="42" t="s">
        <v>168</v>
      </c>
      <c r="C69" s="42" t="s">
        <v>209</v>
      </c>
      <c r="D69" s="42">
        <v>705322</v>
      </c>
      <c r="E69" s="42" t="s">
        <v>232</v>
      </c>
      <c r="F69" s="42" t="s">
        <v>149</v>
      </c>
      <c r="G69" s="42" t="s">
        <v>150</v>
      </c>
      <c r="H69" s="43" t="s">
        <v>150</v>
      </c>
      <c r="I69" s="44">
        <v>27</v>
      </c>
      <c r="J69" s="45">
        <v>62187.972000000002</v>
      </c>
      <c r="K69" s="46">
        <v>10500.525195</v>
      </c>
      <c r="L69" s="47">
        <v>72688.497195000004</v>
      </c>
      <c r="M69" s="48">
        <v>2429097</v>
      </c>
      <c r="N69" s="49">
        <v>930014</v>
      </c>
      <c r="O69" s="49">
        <v>1499083</v>
      </c>
      <c r="P69" s="49">
        <v>0</v>
      </c>
      <c r="Q69" s="50">
        <v>5584.1307816092003</v>
      </c>
      <c r="R69" s="51">
        <v>5020.3885272341104</v>
      </c>
      <c r="S69" s="49">
        <v>27731.475878010599</v>
      </c>
      <c r="T69" s="49">
        <v>2817.6692077144398</v>
      </c>
      <c r="U69" s="49">
        <f>IFERROR(INDEX('Rentabilidad datos'!$N$2:$N$61,MATCH($C69,'Rentabilidad datos'!$C$2:$C$61,0)),"")</f>
        <v>35569.533612959094</v>
      </c>
      <c r="V69" s="50">
        <f>IFERROR(INDEX('Rentabilidad datos'!$O$2:$O$61,MATCH($C69,'Rentabilidad datos'!$C$2:$C$61,0)),"")</f>
        <v>1368.0589851138113</v>
      </c>
      <c r="W69" s="51">
        <f>IFERROR(INDEX('Rentabilidad datos'!$M$2:$M$61,MATCH($C69,'Rentabilidad datos'!$C$2:$C$61,0)),"")</f>
        <v>2318.2873272484931</v>
      </c>
      <c r="X69" s="52">
        <f>IFERROR(INDEX('Rentabilidad datos'!$P$2:$P$61,MATCH($C69,'Rentabilidad datos'!$C$2:$C$61,0)),"")</f>
        <v>0.59011623323564488</v>
      </c>
      <c r="Y69" s="43" t="s">
        <v>211</v>
      </c>
      <c r="Z69" s="53">
        <v>90.048275862069005</v>
      </c>
      <c r="AA69" s="43">
        <v>1</v>
      </c>
      <c r="AB69" s="54">
        <v>0.99552879115160897</v>
      </c>
      <c r="AC69" s="55">
        <v>4.4712088483909868E-3</v>
      </c>
      <c r="AD69" s="752" t="e">
        <f>_xlfn.XLOOKUP(Table1[[#This Row],[Ruta]],#REF!,#REF!)</f>
        <v>#REF!</v>
      </c>
      <c r="AE69" s="752" t="e">
        <f>_xlfn.XLOOKUP(Table1[[#This Row],[Ruta]],#REF!,#REF!)</f>
        <v>#REF!</v>
      </c>
      <c r="AF69" s="752" t="e">
        <f>_xlfn.XLOOKUP(Table1[[#This Row],[Ruta]],#REF!,#REF!)</f>
        <v>#REF!</v>
      </c>
      <c r="AG69" s="752" t="e">
        <f>_xlfn.XLOOKUP(Table1[[#This Row],[Ruta]],#REF!,#REF!)</f>
        <v>#REF!</v>
      </c>
      <c r="AH69" s="52">
        <v>0.3828640848842183</v>
      </c>
      <c r="AI69" s="52">
        <v>0.6171359151157817</v>
      </c>
      <c r="AJ69" s="55">
        <v>0</v>
      </c>
      <c r="AK69" s="56">
        <v>39171</v>
      </c>
      <c r="AL69" s="44">
        <v>9877</v>
      </c>
      <c r="AM69" s="54">
        <v>0.25215082586607401</v>
      </c>
      <c r="AN69" s="55">
        <v>0.59461304275985005</v>
      </c>
      <c r="AO69" s="56">
        <v>13414.5874979461</v>
      </c>
      <c r="AP69" s="48">
        <v>6707.2937489730502</v>
      </c>
      <c r="AQ69" s="55">
        <v>0.42338193431296239</v>
      </c>
      <c r="AR69" s="51">
        <v>2429096.89</v>
      </c>
      <c r="AS69" s="49">
        <v>1649556.1796038151</v>
      </c>
      <c r="AT69" s="55">
        <v>0.67908208453711161</v>
      </c>
      <c r="AU69" s="51">
        <v>1159147.5856675461</v>
      </c>
      <c r="AV69" s="52">
        <v>5.2730720603717841E-3</v>
      </c>
      <c r="AW69" s="44">
        <v>28</v>
      </c>
      <c r="AX69" s="51">
        <v>245.93468563328901</v>
      </c>
      <c r="AY69" s="49">
        <v>377.064073238829</v>
      </c>
      <c r="AZ69" s="49">
        <v>131.12938760553999</v>
      </c>
      <c r="BA69" s="42" t="s">
        <v>150</v>
      </c>
      <c r="BB69" s="50">
        <v>455057.95940375532</v>
      </c>
      <c r="BC69" s="57">
        <v>1614205.5450713015</v>
      </c>
      <c r="BD69" s="42" t="s">
        <v>150</v>
      </c>
      <c r="BE69" s="46">
        <v>90.048275862069005</v>
      </c>
      <c r="BF69" s="46">
        <v>48.897321428571402</v>
      </c>
      <c r="BG69" s="42" t="s">
        <v>150</v>
      </c>
      <c r="BH69" s="52">
        <v>0.25215082586607401</v>
      </c>
      <c r="BI69" s="52">
        <v>0.79215712207379996</v>
      </c>
      <c r="BJ69" s="42" t="s">
        <v>152</v>
      </c>
      <c r="BK69" s="46">
        <v>167.099993551724</v>
      </c>
      <c r="BL69" s="46">
        <v>326.54713917579897</v>
      </c>
      <c r="BM69" s="42" t="s">
        <v>152</v>
      </c>
      <c r="BN69" s="48">
        <v>1</v>
      </c>
      <c r="BO69" s="42" t="s">
        <v>155</v>
      </c>
      <c r="BP69" s="42" t="s">
        <v>152</v>
      </c>
      <c r="BQ69" s="46">
        <v>5764.2149966984798</v>
      </c>
      <c r="BR69" s="46">
        <v>550</v>
      </c>
      <c r="BS69" s="46">
        <v>27703</v>
      </c>
      <c r="BT69" s="46">
        <v>8879</v>
      </c>
      <c r="BU69" s="46">
        <v>3.1200585651537334</v>
      </c>
      <c r="BV69" s="46">
        <v>16.143636363636364</v>
      </c>
      <c r="BW69" s="46">
        <v>4962</v>
      </c>
      <c r="BX69" s="46">
        <v>3916</v>
      </c>
      <c r="BY69" s="46">
        <v>8878</v>
      </c>
      <c r="BZ69" s="46">
        <v>0.99988737470435862</v>
      </c>
      <c r="CA69" s="46">
        <v>0.55884671697263211</v>
      </c>
      <c r="CB69" s="46">
        <v>0.44104065773172663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1.126252956414011E-4</v>
      </c>
      <c r="CI69" s="46">
        <v>3.6097173591307798E-2</v>
      </c>
      <c r="CJ69" s="46">
        <v>0.75804064541746385</v>
      </c>
      <c r="CK69">
        <v>504</v>
      </c>
      <c r="CL69">
        <v>908.12</v>
      </c>
      <c r="CM69">
        <f t="shared" si="7"/>
        <v>404.12</v>
      </c>
      <c r="CN69">
        <v>8.15</v>
      </c>
      <c r="CO69">
        <v>9.4499999999999993</v>
      </c>
      <c r="CP69">
        <f t="shared" si="8"/>
        <v>1.2999999999999989</v>
      </c>
      <c r="CQ69">
        <v>634.91999999999996</v>
      </c>
      <c r="CR69">
        <v>167.1</v>
      </c>
      <c r="CS69">
        <f t="shared" si="9"/>
        <v>467.81999999999994</v>
      </c>
      <c r="CT69" t="s">
        <v>152</v>
      </c>
      <c r="CU69">
        <v>86.57</v>
      </c>
      <c r="CV69">
        <v>445</v>
      </c>
      <c r="CW69" s="46">
        <v>8878</v>
      </c>
      <c r="CX69" s="46">
        <f t="shared" si="3"/>
        <v>95.43732402297556</v>
      </c>
      <c r="CY69" s="46">
        <v>404.12</v>
      </c>
      <c r="CZ69" s="46">
        <f t="shared" si="4"/>
        <v>99.988737470435865</v>
      </c>
      <c r="DA69" s="46">
        <f t="shared" si="5"/>
        <v>421.05136850541624</v>
      </c>
      <c r="DB69" s="46">
        <v>3908670.38</v>
      </c>
      <c r="DC69" s="46">
        <f t="shared" si="6"/>
        <v>12.967160825239789</v>
      </c>
      <c r="DD69" s="46">
        <v>120375.71</v>
      </c>
      <c r="DE69" s="995">
        <v>8878</v>
      </c>
      <c r="DF69" s="995">
        <v>95.954999999999998</v>
      </c>
      <c r="DG69" s="995">
        <v>358.2</v>
      </c>
      <c r="DH69" s="995">
        <v>99.989000000000004</v>
      </c>
      <c r="DI69" s="995">
        <v>732.24900000000002</v>
      </c>
      <c r="DJ69" s="995">
        <v>6763893</v>
      </c>
      <c r="DK69" s="995">
        <v>22.611999999999998</v>
      </c>
      <c r="DL69" s="995">
        <v>208873.2</v>
      </c>
      <c r="DM69" s="995">
        <v>8878</v>
      </c>
      <c r="DN69" s="995">
        <v>96.051000000000002</v>
      </c>
      <c r="DO69" s="995">
        <v>349.7</v>
      </c>
      <c r="DP69" s="995">
        <v>99.989000000000004</v>
      </c>
      <c r="DQ69" s="995">
        <v>727.452</v>
      </c>
      <c r="DR69" s="995">
        <v>6713414</v>
      </c>
      <c r="DS69" s="995">
        <v>22.466999999999999</v>
      </c>
      <c r="DT69" s="995">
        <v>207343</v>
      </c>
    </row>
    <row r="70" spans="1:124">
      <c r="A70" s="42" t="s">
        <v>92</v>
      </c>
      <c r="B70" s="42" t="s">
        <v>168</v>
      </c>
      <c r="C70" s="42" t="s">
        <v>209</v>
      </c>
      <c r="D70" s="42">
        <v>705323</v>
      </c>
      <c r="E70" s="42" t="s">
        <v>233</v>
      </c>
      <c r="F70" s="42" t="s">
        <v>149</v>
      </c>
      <c r="G70" s="42" t="s">
        <v>150</v>
      </c>
      <c r="H70" s="43" t="s">
        <v>150</v>
      </c>
      <c r="I70" s="44">
        <v>27</v>
      </c>
      <c r="J70" s="45">
        <v>42462.531999999999</v>
      </c>
      <c r="K70" s="46">
        <v>19330.686194000002</v>
      </c>
      <c r="L70" s="47">
        <v>61793.218194000001</v>
      </c>
      <c r="M70" s="48">
        <v>3230007</v>
      </c>
      <c r="N70" s="49">
        <v>600295</v>
      </c>
      <c r="O70" s="49">
        <v>2629712</v>
      </c>
      <c r="P70" s="49">
        <v>0</v>
      </c>
      <c r="Q70" s="50">
        <v>7745.8201918465202</v>
      </c>
      <c r="R70" s="51">
        <v>5020.3885272341104</v>
      </c>
      <c r="S70" s="49">
        <v>27731.475878010599</v>
      </c>
      <c r="T70" s="49">
        <v>2817.6692077144398</v>
      </c>
      <c r="U70" s="49">
        <f>IFERROR(INDEX('Rentabilidad datos'!$N$2:$N$61,MATCH($C70,'Rentabilidad datos'!$C$2:$C$61,0)),"")</f>
        <v>35569.533612959094</v>
      </c>
      <c r="V70" s="50">
        <f>IFERROR(INDEX('Rentabilidad datos'!$O$2:$O$61,MATCH($C70,'Rentabilidad datos'!$C$2:$C$61,0)),"")</f>
        <v>1368.0589851138113</v>
      </c>
      <c r="W70" s="51">
        <f>IFERROR(INDEX('Rentabilidad datos'!$M$2:$M$61,MATCH($C70,'Rentabilidad datos'!$C$2:$C$61,0)),"")</f>
        <v>2318.2873272484931</v>
      </c>
      <c r="X70" s="52">
        <f>IFERROR(INDEX('Rentabilidad datos'!$P$2:$P$61,MATCH($C70,'Rentabilidad datos'!$C$2:$C$61,0)),"")</f>
        <v>0.59011623323564488</v>
      </c>
      <c r="Y70" s="43" t="s">
        <v>211</v>
      </c>
      <c r="Z70" s="53">
        <v>41.676470588235297</v>
      </c>
      <c r="AA70" s="43">
        <v>1</v>
      </c>
      <c r="AB70" s="54">
        <v>0.99982569697217372</v>
      </c>
      <c r="AC70" s="55">
        <v>1.7430302782625549E-4</v>
      </c>
      <c r="AD70" s="752" t="e">
        <f>_xlfn.XLOOKUP(Table1[[#This Row],[Ruta]],#REF!,#REF!)</f>
        <v>#REF!</v>
      </c>
      <c r="AE70" s="752" t="e">
        <f>_xlfn.XLOOKUP(Table1[[#This Row],[Ruta]],#REF!,#REF!)</f>
        <v>#REF!</v>
      </c>
      <c r="AF70" s="752" t="e">
        <f>_xlfn.XLOOKUP(Table1[[#This Row],[Ruta]],#REF!,#REF!)</f>
        <v>#REF!</v>
      </c>
      <c r="AG70" s="752" t="e">
        <f>_xlfn.XLOOKUP(Table1[[#This Row],[Ruta]],#REF!,#REF!)</f>
        <v>#REF!</v>
      </c>
      <c r="AH70" s="52">
        <v>0.18584944243154891</v>
      </c>
      <c r="AI70" s="52">
        <v>0.81415055756845112</v>
      </c>
      <c r="AJ70" s="55">
        <v>0</v>
      </c>
      <c r="AK70" s="56">
        <v>14170</v>
      </c>
      <c r="AL70" s="44">
        <v>12739</v>
      </c>
      <c r="AM70" s="54">
        <v>0.82575864502469998</v>
      </c>
      <c r="AN70" s="55">
        <v>0.59461304275985005</v>
      </c>
      <c r="AO70" s="56">
        <v>0</v>
      </c>
      <c r="AP70" s="48">
        <v>0</v>
      </c>
      <c r="AQ70" s="55">
        <v>0.89901199717713476</v>
      </c>
      <c r="AR70" s="51">
        <v>3230007.02</v>
      </c>
      <c r="AS70" s="49">
        <v>0</v>
      </c>
      <c r="AT70" s="55">
        <v>0</v>
      </c>
      <c r="AU70" s="51">
        <v>0</v>
      </c>
      <c r="AV70" s="52">
        <v>0</v>
      </c>
      <c r="AW70" s="44">
        <v>490</v>
      </c>
      <c r="AX70" s="51">
        <v>253.55263521469499</v>
      </c>
      <c r="AY70" s="49">
        <v>377.064073238829</v>
      </c>
      <c r="AZ70" s="49">
        <v>123.51143802413401</v>
      </c>
      <c r="BA70" s="42" t="s">
        <v>150</v>
      </c>
      <c r="BB70" s="50">
        <v>552820.50586115581</v>
      </c>
      <c r="BC70" s="57">
        <v>552820.50586115581</v>
      </c>
      <c r="BD70" s="42" t="s">
        <v>150</v>
      </c>
      <c r="BE70" s="46">
        <v>41.676470588235297</v>
      </c>
      <c r="BF70" s="46">
        <v>48.897321428571402</v>
      </c>
      <c r="BG70" s="42" t="s">
        <v>152</v>
      </c>
      <c r="BH70" s="52">
        <v>0.82575864502469998</v>
      </c>
      <c r="BI70" s="52">
        <v>0.79215712207379996</v>
      </c>
      <c r="BJ70" s="42" t="s">
        <v>150</v>
      </c>
      <c r="BK70" s="46">
        <v>148.18517552518</v>
      </c>
      <c r="BL70" s="46">
        <v>326.54713917579897</v>
      </c>
      <c r="BM70" s="42" t="s">
        <v>152</v>
      </c>
      <c r="BN70" s="48">
        <v>1</v>
      </c>
      <c r="BO70" s="42" t="s">
        <v>155</v>
      </c>
      <c r="BP70" s="42" t="s">
        <v>152</v>
      </c>
      <c r="BQ70" s="46">
        <v>0</v>
      </c>
      <c r="BR70" s="46">
        <v>255</v>
      </c>
      <c r="BS70" s="46">
        <v>14836</v>
      </c>
      <c r="BT70" s="46">
        <v>4955</v>
      </c>
      <c r="BU70" s="46">
        <v>2.9941473259334006</v>
      </c>
      <c r="BV70" s="46">
        <v>19.431372549019606</v>
      </c>
      <c r="BW70" s="46">
        <v>988</v>
      </c>
      <c r="BX70" s="46">
        <v>2855</v>
      </c>
      <c r="BY70" s="46">
        <v>3843</v>
      </c>
      <c r="BZ70" s="46">
        <v>0.77558022199798182</v>
      </c>
      <c r="CA70" s="46">
        <v>0.19939455095862771</v>
      </c>
      <c r="CB70" s="46">
        <v>0.57618567103935414</v>
      </c>
      <c r="CC70" s="46">
        <v>0</v>
      </c>
      <c r="CD70" s="46">
        <v>0</v>
      </c>
      <c r="CE70" s="46">
        <v>0</v>
      </c>
      <c r="CF70" s="46">
        <v>0.22441977800201807</v>
      </c>
      <c r="CG70" s="46">
        <v>0</v>
      </c>
      <c r="CH70" s="46">
        <v>0</v>
      </c>
      <c r="CI70" s="46">
        <v>1.9547047721757891</v>
      </c>
      <c r="CJ70" s="46">
        <v>1.7524939336748451</v>
      </c>
      <c r="CK70">
        <v>222</v>
      </c>
      <c r="CL70">
        <v>603.04</v>
      </c>
      <c r="CM70">
        <f t="shared" si="7"/>
        <v>381.03999999999996</v>
      </c>
      <c r="CN70">
        <v>3.57</v>
      </c>
      <c r="CO70">
        <v>9.4499999999999993</v>
      </c>
      <c r="CP70">
        <f t="shared" si="8"/>
        <v>5.879999999999999</v>
      </c>
      <c r="CQ70">
        <v>634.91999999999996</v>
      </c>
      <c r="CR70">
        <v>148.19</v>
      </c>
      <c r="CS70">
        <f t="shared" si="9"/>
        <v>486.72999999999996</v>
      </c>
      <c r="CT70" t="s">
        <v>152</v>
      </c>
      <c r="CU70">
        <v>38.35</v>
      </c>
      <c r="CV70">
        <v>234</v>
      </c>
      <c r="CW70" s="46">
        <v>3843</v>
      </c>
      <c r="CX70" s="46">
        <f t="shared" ref="CX70:CX133" si="10">((CW70-CY70)/BT70)*100</f>
        <v>69.868012108980821</v>
      </c>
      <c r="CY70" s="46">
        <v>381.04</v>
      </c>
      <c r="CZ70" s="46">
        <f t="shared" ref="CZ70:CZ133" si="11">((CW70)/BT70)*100</f>
        <v>77.558022199798188</v>
      </c>
      <c r="DA70" s="46">
        <f t="shared" ref="DA70:DA133" si="12">DB70/(CY70+BT70)</f>
        <v>660.70046701299088</v>
      </c>
      <c r="DB70" s="46">
        <v>3525524.12</v>
      </c>
      <c r="DC70" s="46">
        <f t="shared" ref="DC70:DC133" si="13">DD70/(CY70+BT70)</f>
        <v>14.083850570835303</v>
      </c>
      <c r="DD70" s="46">
        <v>75151.990000000005</v>
      </c>
      <c r="DE70" s="995">
        <v>3843</v>
      </c>
      <c r="DF70" s="995">
        <v>72.147000000000006</v>
      </c>
      <c r="DG70" s="995">
        <v>268.10000000000002</v>
      </c>
      <c r="DH70" s="995">
        <v>77.558000000000007</v>
      </c>
      <c r="DI70" s="995">
        <v>1019.889</v>
      </c>
      <c r="DJ70" s="995">
        <v>5327015</v>
      </c>
      <c r="DK70" s="995">
        <v>21.088000000000001</v>
      </c>
      <c r="DL70" s="995">
        <v>110147.9</v>
      </c>
      <c r="DM70" s="995">
        <v>3843</v>
      </c>
      <c r="DN70" s="995">
        <v>72.86</v>
      </c>
      <c r="DO70" s="995">
        <v>232.8</v>
      </c>
      <c r="DP70" s="995">
        <v>77.558000000000007</v>
      </c>
      <c r="DQ70" s="995">
        <v>972.96</v>
      </c>
      <c r="DR70" s="995">
        <v>5047499</v>
      </c>
      <c r="DS70" s="995">
        <v>20.056000000000001</v>
      </c>
      <c r="DT70" s="995">
        <v>104047.8</v>
      </c>
    </row>
    <row r="71" spans="1:124">
      <c r="A71" s="42" t="s">
        <v>92</v>
      </c>
      <c r="B71" s="42" t="s">
        <v>168</v>
      </c>
      <c r="C71" s="42" t="s">
        <v>209</v>
      </c>
      <c r="D71" s="42">
        <v>705324</v>
      </c>
      <c r="E71" s="42" t="s">
        <v>234</v>
      </c>
      <c r="F71" s="42" t="s">
        <v>149</v>
      </c>
      <c r="G71" s="42" t="s">
        <v>150</v>
      </c>
      <c r="H71" s="43" t="s">
        <v>150</v>
      </c>
      <c r="I71" s="44">
        <v>27</v>
      </c>
      <c r="J71" s="45">
        <v>53015.642399999997</v>
      </c>
      <c r="K71" s="46">
        <v>14924.050068</v>
      </c>
      <c r="L71" s="47">
        <v>67939.692467999994</v>
      </c>
      <c r="M71" s="48">
        <v>2697849</v>
      </c>
      <c r="N71" s="49">
        <v>756056</v>
      </c>
      <c r="O71" s="49">
        <v>1941793</v>
      </c>
      <c r="P71" s="49">
        <v>0</v>
      </c>
      <c r="Q71" s="50">
        <v>6230.5967205542702</v>
      </c>
      <c r="R71" s="51">
        <v>5020.3885272341104</v>
      </c>
      <c r="S71" s="49">
        <v>27731.475878010599</v>
      </c>
      <c r="T71" s="49">
        <v>2817.6692077144398</v>
      </c>
      <c r="U71" s="49">
        <f>IFERROR(INDEX('Rentabilidad datos'!$N$2:$N$61,MATCH($C71,'Rentabilidad datos'!$C$2:$C$61,0)),"")</f>
        <v>35569.533612959094</v>
      </c>
      <c r="V71" s="50">
        <f>IFERROR(INDEX('Rentabilidad datos'!$O$2:$O$61,MATCH($C71,'Rentabilidad datos'!$C$2:$C$61,0)),"")</f>
        <v>1368.0589851138113</v>
      </c>
      <c r="W71" s="51">
        <f>IFERROR(INDEX('Rentabilidad datos'!$M$2:$M$61,MATCH($C71,'Rentabilidad datos'!$C$2:$C$61,0)),"")</f>
        <v>2318.2873272484931</v>
      </c>
      <c r="X71" s="52">
        <f>IFERROR(INDEX('Rentabilidad datos'!$P$2:$P$61,MATCH($C71,'Rentabilidad datos'!$C$2:$C$61,0)),"")</f>
        <v>0.59011623323564488</v>
      </c>
      <c r="Y71" s="43" t="s">
        <v>211</v>
      </c>
      <c r="Z71" s="53">
        <v>60.553398058252398</v>
      </c>
      <c r="AA71" s="43">
        <v>1</v>
      </c>
      <c r="AB71" s="54">
        <v>0.99969383015876723</v>
      </c>
      <c r="AC71" s="55">
        <v>3.061698412327747E-4</v>
      </c>
      <c r="AD71" s="752" t="e">
        <f>_xlfn.XLOOKUP(Table1[[#This Row],[Ruta]],#REF!,#REF!)</f>
        <v>#REF!</v>
      </c>
      <c r="AE71" s="752" t="e">
        <f>_xlfn.XLOOKUP(Table1[[#This Row],[Ruta]],#REF!,#REF!)</f>
        <v>#REF!</v>
      </c>
      <c r="AF71" s="752" t="e">
        <f>_xlfn.XLOOKUP(Table1[[#This Row],[Ruta]],#REF!,#REF!)</f>
        <v>#REF!</v>
      </c>
      <c r="AG71" s="752" t="e">
        <f>_xlfn.XLOOKUP(Table1[[#This Row],[Ruta]],#REF!,#REF!)</f>
        <v>#REF!</v>
      </c>
      <c r="AH71" s="52">
        <v>0.28024400179550452</v>
      </c>
      <c r="AI71" s="52">
        <v>0.71975599820449554</v>
      </c>
      <c r="AJ71" s="55">
        <v>0</v>
      </c>
      <c r="AK71" s="56">
        <v>24948</v>
      </c>
      <c r="AL71" s="44">
        <v>13145</v>
      </c>
      <c r="AM71" s="54">
        <v>0.51198492865159495</v>
      </c>
      <c r="AN71" s="55">
        <v>0.59461304275985005</v>
      </c>
      <c r="AO71" s="56">
        <v>2061.4061907727501</v>
      </c>
      <c r="AP71" s="48">
        <v>1030.703095386375</v>
      </c>
      <c r="AQ71" s="55">
        <v>0.56821000061673788</v>
      </c>
      <c r="AR71" s="51">
        <v>2697848.38</v>
      </c>
      <c r="AS71" s="49">
        <v>211539.03964618599</v>
      </c>
      <c r="AT71" s="55">
        <v>7.8410277321139157E-2</v>
      </c>
      <c r="AU71" s="51">
        <v>148649.05488650914</v>
      </c>
      <c r="AV71" s="52">
        <v>6.7621861772788493E-4</v>
      </c>
      <c r="AW71" s="44">
        <v>353</v>
      </c>
      <c r="AX71" s="51">
        <v>205.23760973754301</v>
      </c>
      <c r="AY71" s="49">
        <v>377.064073238829</v>
      </c>
      <c r="AZ71" s="49">
        <v>171.82646350128599</v>
      </c>
      <c r="BA71" s="42" t="s">
        <v>150</v>
      </c>
      <c r="BB71" s="50">
        <v>793582.84365992609</v>
      </c>
      <c r="BC71" s="57">
        <v>942231.89854643517</v>
      </c>
      <c r="BD71" s="42" t="s">
        <v>150</v>
      </c>
      <c r="BE71" s="46">
        <v>60.553398058252398</v>
      </c>
      <c r="BF71" s="46">
        <v>48.897321428571402</v>
      </c>
      <c r="BG71" s="42" t="s">
        <v>150</v>
      </c>
      <c r="BH71" s="52">
        <v>0.51198492865159495</v>
      </c>
      <c r="BI71" s="52">
        <v>0.79215712207379996</v>
      </c>
      <c r="BJ71" s="42" t="s">
        <v>152</v>
      </c>
      <c r="BK71" s="46">
        <v>156.904601542725</v>
      </c>
      <c r="BL71" s="46">
        <v>326.54713917579897</v>
      </c>
      <c r="BM71" s="42" t="s">
        <v>152</v>
      </c>
      <c r="BN71" s="48">
        <v>1</v>
      </c>
      <c r="BO71" s="42" t="s">
        <v>155</v>
      </c>
      <c r="BP71" s="42" t="s">
        <v>152</v>
      </c>
      <c r="BQ71" s="46">
        <v>123.589638349476</v>
      </c>
      <c r="BR71" s="46">
        <v>436</v>
      </c>
      <c r="BS71" s="46">
        <v>39123</v>
      </c>
      <c r="BT71" s="46">
        <v>12033</v>
      </c>
      <c r="BU71" s="46">
        <v>3.25130890052356</v>
      </c>
      <c r="BV71" s="46">
        <v>27.598623853211009</v>
      </c>
      <c r="BW71" s="46">
        <v>3653</v>
      </c>
      <c r="BX71" s="46">
        <v>4388</v>
      </c>
      <c r="BY71" s="46">
        <v>8041</v>
      </c>
      <c r="BZ71" s="46">
        <v>0.66824565777445355</v>
      </c>
      <c r="CA71" s="46">
        <v>0.3035818166708219</v>
      </c>
      <c r="CB71" s="46">
        <v>0.3646638411036317</v>
      </c>
      <c r="CC71" s="46">
        <v>0.15823152995927861</v>
      </c>
      <c r="CD71" s="46">
        <v>6.1746862793983212E-2</v>
      </c>
      <c r="CE71" s="46">
        <v>0</v>
      </c>
      <c r="CF71" s="46">
        <v>0.11177594947228449</v>
      </c>
      <c r="CG71" s="46">
        <v>0</v>
      </c>
      <c r="CH71" s="46">
        <v>0</v>
      </c>
      <c r="CI71" s="46">
        <v>1.405822661861309</v>
      </c>
      <c r="CJ71" s="46">
        <v>0.40896659254147177</v>
      </c>
      <c r="CK71">
        <v>326</v>
      </c>
      <c r="CL71">
        <v>788.32</v>
      </c>
      <c r="CM71">
        <f t="shared" si="7"/>
        <v>462.32000000000005</v>
      </c>
      <c r="CN71">
        <v>4.33</v>
      </c>
      <c r="CO71">
        <v>9.4499999999999993</v>
      </c>
      <c r="CP71">
        <f t="shared" si="8"/>
        <v>5.1199999999999992</v>
      </c>
      <c r="CQ71">
        <v>634.91999999999996</v>
      </c>
      <c r="CR71">
        <v>156.9</v>
      </c>
      <c r="CS71">
        <f t="shared" si="9"/>
        <v>478.02</v>
      </c>
      <c r="CT71" t="s">
        <v>152</v>
      </c>
      <c r="CU71">
        <v>46.45</v>
      </c>
      <c r="CV71">
        <v>445</v>
      </c>
      <c r="CW71" s="46">
        <v>8041</v>
      </c>
      <c r="CX71" s="46">
        <f t="shared" si="10"/>
        <v>62.982464888224058</v>
      </c>
      <c r="CY71" s="46">
        <v>462.32</v>
      </c>
      <c r="CZ71" s="46">
        <f t="shared" si="11"/>
        <v>66.824565777445358</v>
      </c>
      <c r="DA71" s="46">
        <f t="shared" si="12"/>
        <v>371.93903717551854</v>
      </c>
      <c r="DB71" s="46">
        <v>4647497.29</v>
      </c>
      <c r="DC71" s="46">
        <f t="shared" si="13"/>
        <v>9.7785811007641268</v>
      </c>
      <c r="DD71" s="46">
        <v>122186.5</v>
      </c>
      <c r="DE71" s="995">
        <v>8041</v>
      </c>
      <c r="DF71" s="995">
        <v>63.463000000000001</v>
      </c>
      <c r="DG71" s="995">
        <v>404.5</v>
      </c>
      <c r="DH71" s="995">
        <v>66.825000000000003</v>
      </c>
      <c r="DI71" s="995">
        <v>556.52700000000004</v>
      </c>
      <c r="DJ71" s="995">
        <v>6921813</v>
      </c>
      <c r="DK71" s="995">
        <v>15.013999999999999</v>
      </c>
      <c r="DL71" s="995">
        <v>186740.4</v>
      </c>
      <c r="DM71" s="995">
        <v>8041</v>
      </c>
      <c r="DN71" s="995">
        <v>63.688000000000002</v>
      </c>
      <c r="DO71" s="995">
        <v>377.4</v>
      </c>
      <c r="DP71" s="995">
        <v>66.825000000000003</v>
      </c>
      <c r="DQ71" s="995">
        <v>542.48299999999995</v>
      </c>
      <c r="DR71" s="995">
        <v>6732444</v>
      </c>
      <c r="DS71" s="995">
        <v>14.653</v>
      </c>
      <c r="DT71" s="995">
        <v>181855.9</v>
      </c>
    </row>
    <row r="72" spans="1:124">
      <c r="A72" s="42" t="s">
        <v>92</v>
      </c>
      <c r="B72" s="42" t="s">
        <v>168</v>
      </c>
      <c r="C72" s="42" t="s">
        <v>209</v>
      </c>
      <c r="D72" s="42">
        <v>705325</v>
      </c>
      <c r="E72" s="42" t="s">
        <v>235</v>
      </c>
      <c r="F72" s="42" t="s">
        <v>149</v>
      </c>
      <c r="G72" s="42" t="s">
        <v>150</v>
      </c>
      <c r="H72" s="43" t="s">
        <v>150</v>
      </c>
      <c r="I72" s="44">
        <v>27</v>
      </c>
      <c r="J72" s="45">
        <v>71032.718399999998</v>
      </c>
      <c r="K72" s="46">
        <v>13711.387839000001</v>
      </c>
      <c r="L72" s="47">
        <v>84744.106239000001</v>
      </c>
      <c r="M72" s="48">
        <v>2979177</v>
      </c>
      <c r="N72" s="49">
        <v>1028926</v>
      </c>
      <c r="O72" s="49">
        <v>1950160</v>
      </c>
      <c r="P72" s="49">
        <v>91</v>
      </c>
      <c r="Q72" s="50">
        <v>6944.2511655011604</v>
      </c>
      <c r="R72" s="51">
        <v>5020.3885272341104</v>
      </c>
      <c r="S72" s="49">
        <v>27731.475878010599</v>
      </c>
      <c r="T72" s="49">
        <v>2817.6692077144398</v>
      </c>
      <c r="U72" s="49">
        <f>IFERROR(INDEX('Rentabilidad datos'!$N$2:$N$61,MATCH($C72,'Rentabilidad datos'!$C$2:$C$61,0)),"")</f>
        <v>35569.533612959094</v>
      </c>
      <c r="V72" s="50">
        <f>IFERROR(INDEX('Rentabilidad datos'!$O$2:$O$61,MATCH($C72,'Rentabilidad datos'!$C$2:$C$61,0)),"")</f>
        <v>1368.0589851138113</v>
      </c>
      <c r="W72" s="51">
        <f>IFERROR(INDEX('Rentabilidad datos'!$M$2:$M$61,MATCH($C72,'Rentabilidad datos'!$C$2:$C$61,0)),"")</f>
        <v>2318.2873272484931</v>
      </c>
      <c r="X72" s="52">
        <f>IFERROR(INDEX('Rentabilidad datos'!$P$2:$P$61,MATCH($C72,'Rentabilidad datos'!$C$2:$C$61,0)),"")</f>
        <v>0.59011623323564488</v>
      </c>
      <c r="Y72" s="43" t="s">
        <v>211</v>
      </c>
      <c r="Z72" s="53">
        <v>64.991044776119395</v>
      </c>
      <c r="AA72" s="43">
        <v>1</v>
      </c>
      <c r="AB72" s="54">
        <v>0.99525137311411838</v>
      </c>
      <c r="AC72" s="55">
        <v>4.7486268858815709E-3</v>
      </c>
      <c r="AD72" s="752" t="e">
        <f>_xlfn.XLOOKUP(Table1[[#This Row],[Ruta]],#REF!,#REF!)</f>
        <v>#REF!</v>
      </c>
      <c r="AE72" s="752" t="e">
        <f>_xlfn.XLOOKUP(Table1[[#This Row],[Ruta]],#REF!,#REF!)</f>
        <v>#REF!</v>
      </c>
      <c r="AF72" s="752" t="e">
        <f>_xlfn.XLOOKUP(Table1[[#This Row],[Ruta]],#REF!,#REF!)</f>
        <v>#REF!</v>
      </c>
      <c r="AG72" s="752" t="e">
        <f>_xlfn.XLOOKUP(Table1[[#This Row],[Ruta]],#REF!,#REF!)</f>
        <v>#REF!</v>
      </c>
      <c r="AH72" s="52">
        <v>0.34537256430215457</v>
      </c>
      <c r="AI72" s="52">
        <v>0.65459689034924751</v>
      </c>
      <c r="AJ72" s="55">
        <v>3.0545348597951713E-5</v>
      </c>
      <c r="AK72" s="56">
        <v>21772</v>
      </c>
      <c r="AL72" s="44">
        <v>8797</v>
      </c>
      <c r="AM72" s="54">
        <v>0.318344662869741</v>
      </c>
      <c r="AN72" s="55">
        <v>0.59461304275985005</v>
      </c>
      <c r="AO72" s="56">
        <v>6014.9151669674602</v>
      </c>
      <c r="AP72" s="48">
        <v>3007.4575834837301</v>
      </c>
      <c r="AQ72" s="55">
        <v>0.54218526471999495</v>
      </c>
      <c r="AR72" s="51">
        <v>2979083.75</v>
      </c>
      <c r="AS72" s="49">
        <v>1018468.5706230151</v>
      </c>
      <c r="AT72" s="55">
        <v>0.34187309122243209</v>
      </c>
      <c r="AU72" s="51">
        <v>715680.61719455139</v>
      </c>
      <c r="AV72" s="52">
        <v>3.2556988543481231E-3</v>
      </c>
      <c r="AW72" s="44">
        <v>91</v>
      </c>
      <c r="AX72" s="51">
        <v>338.64769239513498</v>
      </c>
      <c r="AY72" s="49">
        <v>377.064073238829</v>
      </c>
      <c r="AZ72" s="49">
        <v>38.416380843694014</v>
      </c>
      <c r="BA72" s="42" t="s">
        <v>150</v>
      </c>
      <c r="BB72" s="50">
        <v>118738.80350447819</v>
      </c>
      <c r="BC72" s="57">
        <v>834419.42069902958</v>
      </c>
      <c r="BD72" s="42" t="s">
        <v>150</v>
      </c>
      <c r="BE72" s="46">
        <v>64.991044776119395</v>
      </c>
      <c r="BF72" s="46">
        <v>48.897321428571402</v>
      </c>
      <c r="BG72" s="42" t="s">
        <v>150</v>
      </c>
      <c r="BH72" s="52">
        <v>0.318344662869741</v>
      </c>
      <c r="BI72" s="52">
        <v>0.79215712207379996</v>
      </c>
      <c r="BJ72" s="42" t="s">
        <v>152</v>
      </c>
      <c r="BK72" s="46">
        <v>197.53870918181801</v>
      </c>
      <c r="BL72" s="46">
        <v>326.54713917579897</v>
      </c>
      <c r="BM72" s="42" t="s">
        <v>152</v>
      </c>
      <c r="BN72" s="48">
        <v>1</v>
      </c>
      <c r="BO72" s="42" t="s">
        <v>155</v>
      </c>
      <c r="BP72" s="42" t="s">
        <v>152</v>
      </c>
      <c r="BQ72" s="46">
        <v>3563.0010802125598</v>
      </c>
      <c r="BR72" s="46">
        <v>323</v>
      </c>
      <c r="BS72" s="46">
        <v>11414</v>
      </c>
      <c r="BT72" s="46">
        <v>3374</v>
      </c>
      <c r="BU72" s="46">
        <v>3.3829282750444576</v>
      </c>
      <c r="BV72" s="46">
        <v>10.445820433436532</v>
      </c>
      <c r="BW72" s="46">
        <v>3210</v>
      </c>
      <c r="BX72" s="46">
        <v>158</v>
      </c>
      <c r="BY72" s="46">
        <v>3368</v>
      </c>
      <c r="BZ72" s="46">
        <v>0.99822169531713101</v>
      </c>
      <c r="CA72" s="46">
        <v>0.951393005334914</v>
      </c>
      <c r="CB72" s="46">
        <v>4.6828689982216953E-2</v>
      </c>
      <c r="CC72" s="46">
        <v>0</v>
      </c>
      <c r="CD72" s="46">
        <v>0</v>
      </c>
      <c r="CE72" s="46">
        <v>0</v>
      </c>
      <c r="CF72" s="46">
        <v>0</v>
      </c>
      <c r="CG72" s="46">
        <v>1.481920569057498E-3</v>
      </c>
      <c r="CH72" s="46">
        <v>2.9638411381149968E-4</v>
      </c>
      <c r="CI72" s="46">
        <v>8.7611704923777817E-2</v>
      </c>
      <c r="CJ72" s="46">
        <v>1.3141755738566669</v>
      </c>
      <c r="CK72">
        <v>400</v>
      </c>
      <c r="CL72">
        <v>637.76</v>
      </c>
      <c r="CM72">
        <f t="shared" si="7"/>
        <v>237.76</v>
      </c>
      <c r="CN72">
        <v>6.55</v>
      </c>
      <c r="CO72">
        <v>9.4499999999999993</v>
      </c>
      <c r="CP72">
        <f t="shared" si="8"/>
        <v>2.8999999999999995</v>
      </c>
      <c r="CQ72">
        <v>634.91999999999996</v>
      </c>
      <c r="CR72">
        <v>197.54</v>
      </c>
      <c r="CS72">
        <f t="shared" si="9"/>
        <v>437.38</v>
      </c>
      <c r="CT72" t="s">
        <v>152</v>
      </c>
      <c r="CU72">
        <v>69.39</v>
      </c>
      <c r="CV72">
        <v>349</v>
      </c>
      <c r="CW72" s="46">
        <v>3368</v>
      </c>
      <c r="CX72" s="46">
        <f t="shared" si="10"/>
        <v>92.77534084173088</v>
      </c>
      <c r="CY72" s="46">
        <v>237.76</v>
      </c>
      <c r="CZ72" s="46">
        <f t="shared" si="11"/>
        <v>99.822169531713101</v>
      </c>
      <c r="DA72" s="46">
        <f t="shared" si="12"/>
        <v>565.57533723170968</v>
      </c>
      <c r="DB72" s="46">
        <v>2042722.38</v>
      </c>
      <c r="DC72" s="46">
        <f t="shared" si="13"/>
        <v>15.843741001616939</v>
      </c>
      <c r="DD72" s="46">
        <v>57223.79</v>
      </c>
      <c r="DE72" s="995">
        <v>3368</v>
      </c>
      <c r="DF72" s="995">
        <v>94.120999999999995</v>
      </c>
      <c r="DG72" s="995">
        <v>192.3</v>
      </c>
      <c r="DH72" s="995">
        <v>99.822000000000003</v>
      </c>
      <c r="DI72" s="995">
        <v>1249.864</v>
      </c>
      <c r="DJ72" s="995">
        <v>4457446</v>
      </c>
      <c r="DK72" s="995">
        <v>35.481999999999999</v>
      </c>
      <c r="DL72" s="995">
        <v>126541.7</v>
      </c>
      <c r="DM72" s="995">
        <v>3368</v>
      </c>
      <c r="DN72" s="995">
        <v>94.870999999999995</v>
      </c>
      <c r="DO72" s="995">
        <v>167</v>
      </c>
      <c r="DP72" s="995">
        <v>99.822000000000003</v>
      </c>
      <c r="DQ72" s="995">
        <v>1210.7059999999999</v>
      </c>
      <c r="DR72" s="995">
        <v>4287159</v>
      </c>
      <c r="DS72" s="995">
        <v>34.460999999999999</v>
      </c>
      <c r="DT72" s="995">
        <v>122026</v>
      </c>
    </row>
    <row r="73" spans="1:124">
      <c r="A73" s="42" t="s">
        <v>92</v>
      </c>
      <c r="B73" s="42" t="s">
        <v>168</v>
      </c>
      <c r="C73" s="42" t="s">
        <v>209</v>
      </c>
      <c r="D73" s="42">
        <v>705326</v>
      </c>
      <c r="E73" s="42" t="s">
        <v>236</v>
      </c>
      <c r="F73" s="42" t="s">
        <v>149</v>
      </c>
      <c r="G73" s="42" t="s">
        <v>150</v>
      </c>
      <c r="H73" s="43" t="s">
        <v>150</v>
      </c>
      <c r="I73" s="44">
        <v>27</v>
      </c>
      <c r="J73" s="45">
        <v>63897.427944000003</v>
      </c>
      <c r="K73" s="46">
        <v>13147.160363000001</v>
      </c>
      <c r="L73" s="47">
        <v>77044.588306999998</v>
      </c>
      <c r="M73" s="48">
        <v>2438142</v>
      </c>
      <c r="N73" s="49">
        <v>943874</v>
      </c>
      <c r="O73" s="49">
        <v>1494268</v>
      </c>
      <c r="P73" s="49">
        <v>0</v>
      </c>
      <c r="Q73" s="50">
        <v>5558.2494965675096</v>
      </c>
      <c r="R73" s="51">
        <v>5020.3885272341104</v>
      </c>
      <c r="S73" s="49">
        <v>27731.475878010599</v>
      </c>
      <c r="T73" s="49">
        <v>2817.6692077144398</v>
      </c>
      <c r="U73" s="49">
        <f>IFERROR(INDEX('Rentabilidad datos'!$N$2:$N$61,MATCH($C73,'Rentabilidad datos'!$C$2:$C$61,0)),"")</f>
        <v>35569.533612959094</v>
      </c>
      <c r="V73" s="50">
        <f>IFERROR(INDEX('Rentabilidad datos'!$O$2:$O$61,MATCH($C73,'Rentabilidad datos'!$C$2:$C$61,0)),"")</f>
        <v>1368.0589851138113</v>
      </c>
      <c r="W73" s="51">
        <f>IFERROR(INDEX('Rentabilidad datos'!$M$2:$M$61,MATCH($C73,'Rentabilidad datos'!$C$2:$C$61,0)),"")</f>
        <v>2318.2873272484931</v>
      </c>
      <c r="X73" s="52">
        <f>IFERROR(INDEX('Rentabilidad datos'!$P$2:$P$61,MATCH($C73,'Rentabilidad datos'!$C$2:$C$61,0)),"")</f>
        <v>0.59011623323564488</v>
      </c>
      <c r="Y73" s="43" t="s">
        <v>211</v>
      </c>
      <c r="Z73" s="53">
        <v>87.199084668192199</v>
      </c>
      <c r="AA73" s="43">
        <v>1</v>
      </c>
      <c r="AB73" s="54">
        <v>0.8785050255481428</v>
      </c>
      <c r="AC73" s="55">
        <v>0.1214949744518572</v>
      </c>
      <c r="AD73" s="752" t="e">
        <f>_xlfn.XLOOKUP(Table1[[#This Row],[Ruta]],#REF!,#REF!)</f>
        <v>#REF!</v>
      </c>
      <c r="AE73" s="752" t="e">
        <f>_xlfn.XLOOKUP(Table1[[#This Row],[Ruta]],#REF!,#REF!)</f>
        <v>#REF!</v>
      </c>
      <c r="AF73" s="752" t="e">
        <f>_xlfn.XLOOKUP(Table1[[#This Row],[Ruta]],#REF!,#REF!)</f>
        <v>#REF!</v>
      </c>
      <c r="AG73" s="752" t="e">
        <f>_xlfn.XLOOKUP(Table1[[#This Row],[Ruta]],#REF!,#REF!)</f>
        <v>#REF!</v>
      </c>
      <c r="AH73" s="52">
        <v>0.38712839531085558</v>
      </c>
      <c r="AI73" s="52">
        <v>0.61287160468914448</v>
      </c>
      <c r="AJ73" s="55">
        <v>0</v>
      </c>
      <c r="AK73" s="56">
        <v>38106</v>
      </c>
      <c r="AL73" s="44">
        <v>10231</v>
      </c>
      <c r="AM73" s="54">
        <v>0.26848790216763802</v>
      </c>
      <c r="AN73" s="55">
        <v>0.59461304275985005</v>
      </c>
      <c r="AO73" s="56">
        <v>12427.324607406899</v>
      </c>
      <c r="AP73" s="48">
        <v>6213.6623037034497</v>
      </c>
      <c r="AQ73" s="55">
        <v>0.43155047246374462</v>
      </c>
      <c r="AR73" s="51">
        <v>2428955.0299999998</v>
      </c>
      <c r="AS73" s="49">
        <v>1475193.6572477601</v>
      </c>
      <c r="AT73" s="55">
        <v>0.60733675141270949</v>
      </c>
      <c r="AU73" s="51">
        <v>1036622.5699578859</v>
      </c>
      <c r="AV73" s="52">
        <v>4.7156941690455921E-3</v>
      </c>
      <c r="AW73" s="44">
        <v>38</v>
      </c>
      <c r="AX73" s="51">
        <v>237.411301925521</v>
      </c>
      <c r="AY73" s="49">
        <v>377.064073238829</v>
      </c>
      <c r="AZ73" s="49">
        <v>139.65277131330799</v>
      </c>
      <c r="BA73" s="42" t="s">
        <v>150</v>
      </c>
      <c r="BB73" s="50">
        <v>502006.42008064623</v>
      </c>
      <c r="BC73" s="57">
        <v>1538628.9900385321</v>
      </c>
      <c r="BD73" s="42" t="s">
        <v>150</v>
      </c>
      <c r="BE73" s="46">
        <v>87.199084668192199</v>
      </c>
      <c r="BF73" s="46">
        <v>48.897321428571402</v>
      </c>
      <c r="BG73" s="42" t="s">
        <v>150</v>
      </c>
      <c r="BH73" s="52">
        <v>0.26848790216763802</v>
      </c>
      <c r="BI73" s="52">
        <v>0.79215712207379996</v>
      </c>
      <c r="BJ73" s="42" t="s">
        <v>152</v>
      </c>
      <c r="BK73" s="46">
        <v>176.303405736842</v>
      </c>
      <c r="BL73" s="46">
        <v>326.54713917579897</v>
      </c>
      <c r="BM73" s="42" t="s">
        <v>152</v>
      </c>
      <c r="BN73" s="48">
        <v>1</v>
      </c>
      <c r="BO73" s="42" t="s">
        <v>155</v>
      </c>
      <c r="BP73" s="42" t="s">
        <v>152</v>
      </c>
      <c r="BQ73" s="46">
        <v>3345.31057411956</v>
      </c>
      <c r="BR73" s="46">
        <v>2433</v>
      </c>
      <c r="BS73" s="46">
        <v>234843</v>
      </c>
      <c r="BT73" s="46">
        <v>66070</v>
      </c>
      <c r="BU73" s="46">
        <v>3.5544573936733768</v>
      </c>
      <c r="BV73" s="46">
        <v>27.155774763666255</v>
      </c>
      <c r="BW73" s="46">
        <v>0</v>
      </c>
      <c r="BX73" s="46">
        <v>4184</v>
      </c>
      <c r="BY73" s="46">
        <v>4184</v>
      </c>
      <c r="BZ73" s="46">
        <v>6.3326774632965044E-2</v>
      </c>
      <c r="CA73" s="46">
        <v>0</v>
      </c>
      <c r="CB73" s="46">
        <v>6.3326774632965044E-2</v>
      </c>
      <c r="CC73" s="46">
        <v>0.12226426517330111</v>
      </c>
      <c r="CD73" s="46">
        <v>0.1505827153019525</v>
      </c>
      <c r="CE73" s="46">
        <v>0.1029060087785682</v>
      </c>
      <c r="CF73" s="46">
        <v>0.56090510065082488</v>
      </c>
      <c r="CG73" s="46">
        <v>0</v>
      </c>
      <c r="CH73" s="46">
        <v>1.5135462388375972E-5</v>
      </c>
      <c r="CI73" s="46">
        <v>4.1942915053887067</v>
      </c>
      <c r="CJ73" s="46">
        <v>0.26826432978628267</v>
      </c>
      <c r="CK73">
        <v>726</v>
      </c>
      <c r="CL73">
        <v>931.64</v>
      </c>
      <c r="CM73">
        <f t="shared" si="7"/>
        <v>205.64</v>
      </c>
      <c r="CN73">
        <v>26.91</v>
      </c>
      <c r="CO73">
        <v>9.4499999999999993</v>
      </c>
      <c r="CP73">
        <f t="shared" si="8"/>
        <v>-17.46</v>
      </c>
      <c r="CQ73">
        <v>634.91999999999996</v>
      </c>
      <c r="CR73">
        <v>176.3</v>
      </c>
      <c r="CS73">
        <f t="shared" si="9"/>
        <v>458.61999999999995</v>
      </c>
      <c r="CT73" t="s">
        <v>150</v>
      </c>
      <c r="CU73">
        <v>284.8</v>
      </c>
      <c r="CV73">
        <v>190</v>
      </c>
      <c r="CW73" s="46">
        <v>4184</v>
      </c>
      <c r="CX73" s="46">
        <f t="shared" si="10"/>
        <v>6.0214318147419403</v>
      </c>
      <c r="CY73" s="46">
        <v>205.64</v>
      </c>
      <c r="CZ73" s="46">
        <f t="shared" si="11"/>
        <v>6.3326774632965046</v>
      </c>
      <c r="DA73" s="46">
        <f t="shared" si="12"/>
        <v>47.259737363532061</v>
      </c>
      <c r="DB73" s="46">
        <v>3132169.34</v>
      </c>
      <c r="DC73" s="46">
        <f t="shared" si="13"/>
        <v>1.5804861333666487</v>
      </c>
      <c r="DD73" s="46">
        <v>104747.73</v>
      </c>
      <c r="DE73" s="995">
        <v>4184</v>
      </c>
      <c r="DF73" s="995">
        <v>6.0490000000000004</v>
      </c>
      <c r="DG73" s="995">
        <v>187.4</v>
      </c>
      <c r="DH73" s="995">
        <v>6.3330000000000002</v>
      </c>
      <c r="DI73" s="995">
        <v>76.281999999999996</v>
      </c>
      <c r="DJ73" s="995">
        <v>5054250</v>
      </c>
      <c r="DK73" s="995">
        <v>2.5920000000000001</v>
      </c>
      <c r="DL73" s="995">
        <v>171738.6</v>
      </c>
      <c r="DM73" s="995">
        <v>4184</v>
      </c>
      <c r="DN73" s="995">
        <v>6.0490000000000004</v>
      </c>
      <c r="DO73" s="995">
        <v>187.4</v>
      </c>
      <c r="DP73" s="995">
        <v>6.3330000000000002</v>
      </c>
      <c r="DQ73" s="995">
        <v>76.281999999999996</v>
      </c>
      <c r="DR73" s="995">
        <v>5054250</v>
      </c>
      <c r="DS73" s="995">
        <v>2.5920000000000001</v>
      </c>
      <c r="DT73" s="995">
        <v>171738.6</v>
      </c>
    </row>
    <row r="74" spans="1:124">
      <c r="A74" s="42" t="s">
        <v>92</v>
      </c>
      <c r="B74" s="42" t="s">
        <v>168</v>
      </c>
      <c r="C74" s="42" t="s">
        <v>209</v>
      </c>
      <c r="D74" s="42">
        <v>705327</v>
      </c>
      <c r="E74" s="42" t="s">
        <v>237</v>
      </c>
      <c r="F74" s="42" t="s">
        <v>149</v>
      </c>
      <c r="G74" s="42" t="s">
        <v>150</v>
      </c>
      <c r="H74" s="43" t="s">
        <v>150</v>
      </c>
      <c r="I74" s="44">
        <v>27</v>
      </c>
      <c r="J74" s="45">
        <v>31222.553599999999</v>
      </c>
      <c r="K74" s="46">
        <v>7308.4381130000002</v>
      </c>
      <c r="L74" s="47">
        <v>38530.991713000003</v>
      </c>
      <c r="M74" s="48">
        <v>1381730</v>
      </c>
      <c r="N74" s="49">
        <v>465257</v>
      </c>
      <c r="O74" s="49">
        <v>916473</v>
      </c>
      <c r="P74" s="49">
        <v>0</v>
      </c>
      <c r="Q74" s="50">
        <v>3282.9247380952402</v>
      </c>
      <c r="R74" s="51">
        <v>5020.3885272341104</v>
      </c>
      <c r="S74" s="49">
        <v>27731.475878010599</v>
      </c>
      <c r="T74" s="49">
        <v>2817.6692077144398</v>
      </c>
      <c r="U74" s="49">
        <f>IFERROR(INDEX('Rentabilidad datos'!$N$2:$N$61,MATCH($C74,'Rentabilidad datos'!$C$2:$C$61,0)),"")</f>
        <v>35569.533612959094</v>
      </c>
      <c r="V74" s="50">
        <f>IFERROR(INDEX('Rentabilidad datos'!$O$2:$O$61,MATCH($C74,'Rentabilidad datos'!$C$2:$C$61,0)),"")</f>
        <v>1368.0589851138113</v>
      </c>
      <c r="W74" s="51">
        <f>IFERROR(INDEX('Rentabilidad datos'!$M$2:$M$61,MATCH($C74,'Rentabilidad datos'!$C$2:$C$61,0)),"")</f>
        <v>2318.2873272484931</v>
      </c>
      <c r="X74" s="52">
        <f>IFERROR(INDEX('Rentabilidad datos'!$P$2:$P$61,MATCH($C74,'Rentabilidad datos'!$C$2:$C$61,0)),"")</f>
        <v>0.59011623323564488</v>
      </c>
      <c r="Y74" s="43" t="s">
        <v>211</v>
      </c>
      <c r="Z74" s="53">
        <v>66.173684210526304</v>
      </c>
      <c r="AA74" s="43">
        <v>1</v>
      </c>
      <c r="AB74" s="54">
        <v>0.98711398030005859</v>
      </c>
      <c r="AC74" s="55">
        <v>1.2886019699941378E-2</v>
      </c>
      <c r="AD74" s="752" t="e">
        <f>_xlfn.XLOOKUP(Table1[[#This Row],[Ruta]],#REF!,#REF!)</f>
        <v>#REF!</v>
      </c>
      <c r="AE74" s="752" t="e">
        <f>_xlfn.XLOOKUP(Table1[[#This Row],[Ruta]],#REF!,#REF!)</f>
        <v>#REF!</v>
      </c>
      <c r="AF74" s="752" t="e">
        <f>_xlfn.XLOOKUP(Table1[[#This Row],[Ruta]],#REF!,#REF!)</f>
        <v>#REF!</v>
      </c>
      <c r="AG74" s="752" t="e">
        <f>_xlfn.XLOOKUP(Table1[[#This Row],[Ruta]],#REF!,#REF!)</f>
        <v>#REF!</v>
      </c>
      <c r="AH74" s="52">
        <v>0.3367206328298582</v>
      </c>
      <c r="AI74" s="52">
        <v>0.6632793671701418</v>
      </c>
      <c r="AJ74" s="55">
        <v>0</v>
      </c>
      <c r="AK74" s="56">
        <v>25146</v>
      </c>
      <c r="AL74" s="44">
        <v>11401</v>
      </c>
      <c r="AM74" s="54">
        <v>0.43708740952835401</v>
      </c>
      <c r="AN74" s="55">
        <v>0.59461304275985005</v>
      </c>
      <c r="AO74" s="56">
        <v>3961.1395732392002</v>
      </c>
      <c r="AP74" s="48">
        <v>1980.5697866196001</v>
      </c>
      <c r="AQ74" s="55">
        <v>0.53215500622841005</v>
      </c>
      <c r="AR74" s="51">
        <v>1378828.39</v>
      </c>
      <c r="AS74" s="49">
        <v>239528.62469672351</v>
      </c>
      <c r="AT74" s="55">
        <v>0.17371895330406092</v>
      </c>
      <c r="AU74" s="51">
        <v>168317.41194904901</v>
      </c>
      <c r="AV74" s="52">
        <v>7.6569183527348979E-4</v>
      </c>
      <c r="AW74" s="44">
        <v>336</v>
      </c>
      <c r="AX74" s="51">
        <v>120.93925006578399</v>
      </c>
      <c r="AY74" s="49">
        <v>377.064073238829</v>
      </c>
      <c r="AZ74" s="49">
        <v>256.124823173045</v>
      </c>
      <c r="BA74" s="42" t="s">
        <v>150</v>
      </c>
      <c r="BB74" s="50">
        <v>1025973.740998555</v>
      </c>
      <c r="BC74" s="57">
        <v>1194291.152947604</v>
      </c>
      <c r="BD74" s="42" t="s">
        <v>150</v>
      </c>
      <c r="BE74" s="46">
        <v>66.173684210526304</v>
      </c>
      <c r="BF74" s="46">
        <v>48.897321428571402</v>
      </c>
      <c r="BG74" s="42" t="s">
        <v>150</v>
      </c>
      <c r="BH74" s="52">
        <v>0.43708740952835401</v>
      </c>
      <c r="BI74" s="52">
        <v>0.79215712207379996</v>
      </c>
      <c r="BJ74" s="42" t="s">
        <v>152</v>
      </c>
      <c r="BK74" s="46">
        <v>91.740456459523799</v>
      </c>
      <c r="BL74" s="46">
        <v>326.54713917579897</v>
      </c>
      <c r="BM74" s="42" t="s">
        <v>152</v>
      </c>
      <c r="BN74" s="48">
        <v>1</v>
      </c>
      <c r="BO74" s="42" t="s">
        <v>155</v>
      </c>
      <c r="BP74" s="42" t="s">
        <v>152</v>
      </c>
      <c r="BQ74" s="46">
        <v>0</v>
      </c>
      <c r="BR74" s="46">
        <v>3145</v>
      </c>
      <c r="BS74" s="46">
        <v>305707</v>
      </c>
      <c r="BT74" s="46">
        <v>77515</v>
      </c>
      <c r="BU74" s="46">
        <v>3.9438431271366832</v>
      </c>
      <c r="BV74" s="46">
        <v>24.647058823529413</v>
      </c>
      <c r="BW74" s="46">
        <v>0</v>
      </c>
      <c r="BX74" s="46">
        <v>6174</v>
      </c>
      <c r="BY74" s="46">
        <v>6174</v>
      </c>
      <c r="BZ74" s="46">
        <v>7.964910017415984E-2</v>
      </c>
      <c r="CA74" s="46">
        <v>0</v>
      </c>
      <c r="CB74" s="46">
        <v>7.964910017415984E-2</v>
      </c>
      <c r="CC74" s="46">
        <v>0.1423982455008708</v>
      </c>
      <c r="CD74" s="46">
        <v>0.15763400632135713</v>
      </c>
      <c r="CE74" s="46">
        <v>4.760368960846288E-3</v>
      </c>
      <c r="CF74" s="46">
        <v>0.61551957685609238</v>
      </c>
      <c r="CG74" s="46">
        <v>3.8702186673547046E-5</v>
      </c>
      <c r="CH74" s="46">
        <v>0</v>
      </c>
      <c r="CI74" s="46">
        <v>4.8379657646046708</v>
      </c>
      <c r="CJ74" s="46">
        <v>0.22897741955532586</v>
      </c>
      <c r="CK74">
        <v>188</v>
      </c>
      <c r="CL74">
        <v>485.24</v>
      </c>
      <c r="CM74">
        <f t="shared" ref="CM74:CM137" si="14">CL74-CK74</f>
        <v>297.24</v>
      </c>
      <c r="CN74">
        <v>8.06</v>
      </c>
      <c r="CO74">
        <v>9.4499999999999993</v>
      </c>
      <c r="CP74">
        <f t="shared" ref="CP74:CP137" si="15">CO74-CN74</f>
        <v>1.3899999999999988</v>
      </c>
      <c r="CQ74">
        <v>634.91999999999996</v>
      </c>
      <c r="CR74">
        <v>91.74</v>
      </c>
      <c r="CS74">
        <f t="shared" ref="CS74:CS137" si="16">CQ74-CR74</f>
        <v>543.17999999999995</v>
      </c>
      <c r="CT74" t="s">
        <v>152</v>
      </c>
      <c r="CU74">
        <v>85.57</v>
      </c>
      <c r="CV74">
        <v>93</v>
      </c>
      <c r="CW74" s="46">
        <v>4063</v>
      </c>
      <c r="CX74" s="46">
        <f t="shared" si="10"/>
        <v>4.8581048829258862</v>
      </c>
      <c r="CY74" s="46">
        <v>297.24</v>
      </c>
      <c r="CZ74" s="46">
        <f t="shared" si="11"/>
        <v>5.2415661484873892</v>
      </c>
      <c r="DA74" s="46">
        <f t="shared" si="12"/>
        <v>25.730248994245635</v>
      </c>
      <c r="DB74" s="46">
        <v>2002128.31</v>
      </c>
      <c r="DC74" s="46">
        <f t="shared" si="13"/>
        <v>0.7035781260120515</v>
      </c>
      <c r="DD74" s="46">
        <v>54746.99</v>
      </c>
      <c r="DE74" s="995">
        <v>4063</v>
      </c>
      <c r="DF74" s="995">
        <v>4.9320000000000004</v>
      </c>
      <c r="DG74" s="995">
        <v>239.8</v>
      </c>
      <c r="DH74" s="995">
        <v>5.242</v>
      </c>
      <c r="DI74" s="995">
        <v>40.194000000000003</v>
      </c>
      <c r="DJ74" s="995">
        <v>3125304</v>
      </c>
      <c r="DK74" s="995">
        <v>1.0509999999999999</v>
      </c>
      <c r="DL74" s="995">
        <v>81701</v>
      </c>
      <c r="DM74" s="995">
        <v>4063</v>
      </c>
      <c r="DN74" s="995">
        <v>4.9409999999999998</v>
      </c>
      <c r="DO74" s="995">
        <v>233.3</v>
      </c>
      <c r="DP74" s="995">
        <v>5.242</v>
      </c>
      <c r="DQ74" s="995">
        <v>39.826999999999998</v>
      </c>
      <c r="DR74" s="995">
        <v>3096444</v>
      </c>
      <c r="DS74" s="995">
        <v>1.038</v>
      </c>
      <c r="DT74" s="995">
        <v>80698.3</v>
      </c>
    </row>
    <row r="75" spans="1:124">
      <c r="A75" s="42" t="s">
        <v>92</v>
      </c>
      <c r="B75" s="42" t="s">
        <v>168</v>
      </c>
      <c r="C75" s="42" t="s">
        <v>238</v>
      </c>
      <c r="D75" s="42">
        <v>712300</v>
      </c>
      <c r="E75" s="42" t="s">
        <v>239</v>
      </c>
      <c r="F75" s="42" t="s">
        <v>149</v>
      </c>
      <c r="G75" s="42" t="s">
        <v>150</v>
      </c>
      <c r="H75" s="43" t="s">
        <v>150</v>
      </c>
      <c r="I75" s="44">
        <v>18</v>
      </c>
      <c r="J75" s="45">
        <v>29133.770400000001</v>
      </c>
      <c r="K75" s="46">
        <v>6832.29144</v>
      </c>
      <c r="L75" s="47">
        <v>35966.061840000002</v>
      </c>
      <c r="M75" s="48">
        <v>1328005</v>
      </c>
      <c r="N75" s="49">
        <v>438026</v>
      </c>
      <c r="O75" s="49">
        <v>889979</v>
      </c>
      <c r="P75" s="49">
        <v>0</v>
      </c>
      <c r="Q75" s="50">
        <v>3306.8037084399002</v>
      </c>
      <c r="R75" s="51">
        <v>5698.9829348098301</v>
      </c>
      <c r="S75" s="49">
        <v>19312.020708898501</v>
      </c>
      <c r="T75" s="49">
        <v>1950.6940668792299</v>
      </c>
      <c r="U75" s="49">
        <f>IFERROR(INDEX('Rentabilidad datos'!$N$2:$N$61,MATCH($C75,'Rentabilidad datos'!$C$2:$C$61,0)),"")</f>
        <v>26961.697710587559</v>
      </c>
      <c r="V75" s="50">
        <f>IFERROR(INDEX('Rentabilidad datos'!$O$2:$O$61,MATCH($C75,'Rentabilidad datos'!$C$2:$C$61,0)),"")</f>
        <v>1497.8720950326422</v>
      </c>
      <c r="W75" s="51">
        <f>IFERROR(INDEX('Rentabilidad datos'!$M$2:$M$61,MATCH($C75,'Rentabilidad datos'!$C$2:$C$61,0)),"")</f>
        <v>3467.2961205401448</v>
      </c>
      <c r="X75" s="52">
        <f>IFERROR(INDEX('Rentabilidad datos'!$P$2:$P$61,MATCH($C75,'Rentabilidad datos'!$C$2:$C$61,0)),"")</f>
        <v>0.43200004930622993</v>
      </c>
      <c r="Y75" s="43" t="s">
        <v>171</v>
      </c>
      <c r="Z75" s="53">
        <v>80.632653061224502</v>
      </c>
      <c r="AA75" s="43">
        <v>1</v>
      </c>
      <c r="AB75" s="54">
        <v>0.99851355981340428</v>
      </c>
      <c r="AC75" s="55">
        <v>1.486440186595683E-3</v>
      </c>
      <c r="AD75" s="752" t="e">
        <f>_xlfn.XLOOKUP(Table1[[#This Row],[Ruta]],#REF!,#REF!)</f>
        <v>#REF!</v>
      </c>
      <c r="AE75" s="752" t="e">
        <f>_xlfn.XLOOKUP(Table1[[#This Row],[Ruta]],#REF!,#REF!)</f>
        <v>#REF!</v>
      </c>
      <c r="AF75" s="752" t="e">
        <f>_xlfn.XLOOKUP(Table1[[#This Row],[Ruta]],#REF!,#REF!)</f>
        <v>#REF!</v>
      </c>
      <c r="AG75" s="752" t="e">
        <f>_xlfn.XLOOKUP(Table1[[#This Row],[Ruta]],#REF!,#REF!)</f>
        <v>#REF!</v>
      </c>
      <c r="AH75" s="52">
        <v>0.32983761356320196</v>
      </c>
      <c r="AI75" s="52">
        <v>0.67016238643679804</v>
      </c>
      <c r="AJ75" s="55">
        <v>0</v>
      </c>
      <c r="AK75" s="56">
        <v>15804</v>
      </c>
      <c r="AL75" s="44">
        <v>8871</v>
      </c>
      <c r="AM75" s="54">
        <v>0.44900025310048097</v>
      </c>
      <c r="AN75" s="55">
        <v>0.83144613465711203</v>
      </c>
      <c r="AO75" s="56">
        <v>6044.1747121209901</v>
      </c>
      <c r="AP75" s="48">
        <v>3022.087356060495</v>
      </c>
      <c r="AQ75" s="55">
        <v>0.75253653227413919</v>
      </c>
      <c r="AR75" s="51">
        <v>1292960.25</v>
      </c>
      <c r="AS75" s="49">
        <v>440473.320190939</v>
      </c>
      <c r="AT75" s="55">
        <v>0.34067042679072229</v>
      </c>
      <c r="AU75" s="51">
        <v>309521.7925666059</v>
      </c>
      <c r="AV75" s="52">
        <v>1.4080439252428985E-3</v>
      </c>
      <c r="AW75" s="44">
        <v>234</v>
      </c>
      <c r="AX75" s="51">
        <v>145.751352722354</v>
      </c>
      <c r="AY75" s="49">
        <v>377.85479996169897</v>
      </c>
      <c r="AZ75" s="49">
        <v>232.10344723934497</v>
      </c>
      <c r="BA75" s="42" t="s">
        <v>150</v>
      </c>
      <c r="BB75" s="50">
        <v>723428.80664818897</v>
      </c>
      <c r="BC75" s="57">
        <v>1032950.5992147948</v>
      </c>
      <c r="BD75" s="42" t="s">
        <v>150</v>
      </c>
      <c r="BE75" s="46">
        <v>80.632653061224502</v>
      </c>
      <c r="BF75" s="46">
        <v>48.897321428571402</v>
      </c>
      <c r="BG75" s="42" t="s">
        <v>150</v>
      </c>
      <c r="BH75" s="52">
        <v>0.44900025310048097</v>
      </c>
      <c r="BI75" s="52">
        <v>0.79215712207379996</v>
      </c>
      <c r="BJ75" s="42" t="s">
        <v>152</v>
      </c>
      <c r="BK75" s="46">
        <v>91.984812890025594</v>
      </c>
      <c r="BL75" s="46">
        <v>326.54713917579897</v>
      </c>
      <c r="BM75" s="42" t="s">
        <v>152</v>
      </c>
      <c r="BN75" s="48">
        <v>1</v>
      </c>
      <c r="BO75" s="42" t="s">
        <v>155</v>
      </c>
      <c r="BP75" s="42" t="s">
        <v>152</v>
      </c>
      <c r="BQ75" s="46">
        <v>0</v>
      </c>
      <c r="BR75" s="46">
        <v>815</v>
      </c>
      <c r="BS75" s="46">
        <v>67628</v>
      </c>
      <c r="BT75" s="46">
        <v>18138</v>
      </c>
      <c r="BU75" s="46">
        <v>3.7285257470503916</v>
      </c>
      <c r="BV75" s="46">
        <v>22.255214723926379</v>
      </c>
      <c r="BW75" s="46">
        <v>0</v>
      </c>
      <c r="BX75" s="46">
        <v>3816</v>
      </c>
      <c r="BY75" s="46">
        <v>3816</v>
      </c>
      <c r="BZ75" s="46">
        <v>0.2103870327489249</v>
      </c>
      <c r="CA75" s="46">
        <v>0</v>
      </c>
      <c r="CB75" s="46">
        <v>0.2103870327489249</v>
      </c>
      <c r="CC75" s="46">
        <v>0.55689712206417463</v>
      </c>
      <c r="CD75" s="46">
        <v>0.1069577682214136</v>
      </c>
      <c r="CE75" s="46">
        <v>0</v>
      </c>
      <c r="CF75" s="46">
        <v>0.1252067482633146</v>
      </c>
      <c r="CG75" s="46">
        <v>4.9619583195501156E-4</v>
      </c>
      <c r="CH75" s="46">
        <v>5.513287021722351E-5</v>
      </c>
      <c r="CI75" s="46">
        <v>2.8982078429053049</v>
      </c>
      <c r="CJ75" s="46">
        <v>0.48796356538711788</v>
      </c>
      <c r="CK75">
        <v>612</v>
      </c>
      <c r="CL75">
        <v>797.55</v>
      </c>
      <c r="CM75">
        <f t="shared" si="14"/>
        <v>185.54999999999995</v>
      </c>
      <c r="CN75">
        <v>7.45</v>
      </c>
      <c r="CO75">
        <v>9.4499999999999993</v>
      </c>
      <c r="CP75">
        <f t="shared" si="15"/>
        <v>1.9999999999999991</v>
      </c>
      <c r="CQ75">
        <v>634.91999999999996</v>
      </c>
      <c r="CR75">
        <v>91.98</v>
      </c>
      <c r="CS75">
        <f t="shared" si="16"/>
        <v>542.93999999999994</v>
      </c>
      <c r="CT75" t="s">
        <v>152</v>
      </c>
      <c r="CU75">
        <v>78.88</v>
      </c>
      <c r="CV75">
        <v>207</v>
      </c>
      <c r="CW75" s="46">
        <v>3816</v>
      </c>
      <c r="CX75" s="46">
        <f t="shared" si="10"/>
        <v>20.01571286801191</v>
      </c>
      <c r="CY75" s="46">
        <v>185.55</v>
      </c>
      <c r="CZ75" s="46">
        <f t="shared" si="11"/>
        <v>21.038703274892491</v>
      </c>
      <c r="DA75" s="46">
        <f t="shared" si="12"/>
        <v>222.99523945960254</v>
      </c>
      <c r="DB75" s="46">
        <v>4086064.42</v>
      </c>
      <c r="DC75" s="46">
        <f t="shared" si="13"/>
        <v>5.6949543074349673</v>
      </c>
      <c r="DD75" s="46">
        <v>104351.78</v>
      </c>
      <c r="DE75" s="995">
        <v>3816</v>
      </c>
      <c r="DF75" s="995">
        <v>20.231000000000002</v>
      </c>
      <c r="DG75" s="995">
        <v>146.5</v>
      </c>
      <c r="DH75" s="995">
        <v>21.039000000000001</v>
      </c>
      <c r="DI75" s="995">
        <v>322.08300000000003</v>
      </c>
      <c r="DJ75" s="995">
        <v>5889132</v>
      </c>
      <c r="DK75" s="995">
        <v>8.2390000000000008</v>
      </c>
      <c r="DL75" s="995">
        <v>150637.20000000001</v>
      </c>
      <c r="DM75" s="995">
        <v>3816</v>
      </c>
      <c r="DN75" s="995">
        <v>20.346</v>
      </c>
      <c r="DO75" s="995">
        <v>125.7</v>
      </c>
      <c r="DP75" s="995">
        <v>21.039000000000001</v>
      </c>
      <c r="DQ75" s="995">
        <v>318.75099999999998</v>
      </c>
      <c r="DR75" s="995">
        <v>5821576</v>
      </c>
      <c r="DS75" s="995">
        <v>8.1470000000000002</v>
      </c>
      <c r="DT75" s="995">
        <v>148792.79999999999</v>
      </c>
    </row>
    <row r="76" spans="1:124">
      <c r="A76" s="42" t="s">
        <v>92</v>
      </c>
      <c r="B76" s="42" t="s">
        <v>168</v>
      </c>
      <c r="C76" s="42" t="s">
        <v>238</v>
      </c>
      <c r="D76" s="42">
        <v>712302</v>
      </c>
      <c r="E76" s="42" t="s">
        <v>240</v>
      </c>
      <c r="F76" s="42" t="s">
        <v>149</v>
      </c>
      <c r="G76" s="42" t="s">
        <v>150</v>
      </c>
      <c r="H76" s="43" t="s">
        <v>150</v>
      </c>
      <c r="I76" s="44">
        <v>18</v>
      </c>
      <c r="J76" s="45">
        <v>72142.274399999995</v>
      </c>
      <c r="K76" s="46">
        <v>11684.570822</v>
      </c>
      <c r="L76" s="47">
        <v>83826.845222000004</v>
      </c>
      <c r="M76" s="48">
        <v>2719495</v>
      </c>
      <c r="N76" s="49">
        <v>1105850</v>
      </c>
      <c r="O76" s="49">
        <v>1613645</v>
      </c>
      <c r="P76" s="49">
        <v>0</v>
      </c>
      <c r="Q76" s="50">
        <v>6266.1135714285701</v>
      </c>
      <c r="R76" s="51">
        <v>5698.9829348098301</v>
      </c>
      <c r="S76" s="49">
        <v>19312.020708898501</v>
      </c>
      <c r="T76" s="49">
        <v>1950.6940668792299</v>
      </c>
      <c r="U76" s="49">
        <f>IFERROR(INDEX('Rentabilidad datos'!$N$2:$N$61,MATCH($C76,'Rentabilidad datos'!$C$2:$C$61,0)),"")</f>
        <v>26961.697710587559</v>
      </c>
      <c r="V76" s="50">
        <f>IFERROR(INDEX('Rentabilidad datos'!$O$2:$O$61,MATCH($C76,'Rentabilidad datos'!$C$2:$C$61,0)),"")</f>
        <v>1497.8720950326422</v>
      </c>
      <c r="W76" s="51">
        <f>IFERROR(INDEX('Rentabilidad datos'!$M$2:$M$61,MATCH($C76,'Rentabilidad datos'!$C$2:$C$61,0)),"")</f>
        <v>3467.2961205401448</v>
      </c>
      <c r="X76" s="52">
        <f>IFERROR(INDEX('Rentabilidad datos'!$P$2:$P$61,MATCH($C76,'Rentabilidad datos'!$C$2:$C$61,0)),"")</f>
        <v>0.43200004930622993</v>
      </c>
      <c r="Y76" s="43" t="s">
        <v>171</v>
      </c>
      <c r="Z76" s="53">
        <v>39.502392344497601</v>
      </c>
      <c r="AA76" s="43">
        <v>1</v>
      </c>
      <c r="AB76" s="54">
        <v>0.99722301383161216</v>
      </c>
      <c r="AC76" s="55">
        <v>2.7769861683878808E-3</v>
      </c>
      <c r="AD76" s="752" t="e">
        <f>_xlfn.XLOOKUP(Table1[[#This Row],[Ruta]],#REF!,#REF!)</f>
        <v>#REF!</v>
      </c>
      <c r="AE76" s="752" t="e">
        <f>_xlfn.XLOOKUP(Table1[[#This Row],[Ruta]],#REF!,#REF!)</f>
        <v>#REF!</v>
      </c>
      <c r="AF76" s="752" t="e">
        <f>_xlfn.XLOOKUP(Table1[[#This Row],[Ruta]],#REF!,#REF!)</f>
        <v>#REF!</v>
      </c>
      <c r="AG76" s="752" t="e">
        <f>_xlfn.XLOOKUP(Table1[[#This Row],[Ruta]],#REF!,#REF!)</f>
        <v>#REF!</v>
      </c>
      <c r="AH76" s="52">
        <v>0.4066379971281433</v>
      </c>
      <c r="AI76" s="52">
        <v>0.5933620028718567</v>
      </c>
      <c r="AJ76" s="55">
        <v>0</v>
      </c>
      <c r="AK76" s="56">
        <v>8256</v>
      </c>
      <c r="AL76" s="44">
        <v>9230</v>
      </c>
      <c r="AM76" s="54">
        <v>0.73946220930232598</v>
      </c>
      <c r="AN76" s="55">
        <v>0.83144613465711203</v>
      </c>
      <c r="AO76" s="56">
        <v>759.41928772911297</v>
      </c>
      <c r="AP76" s="48">
        <v>379.70964386455648</v>
      </c>
      <c r="AQ76" s="55">
        <v>1.1639667688789435</v>
      </c>
      <c r="AR76" s="51">
        <v>2719493.29</v>
      </c>
      <c r="AS76" s="49">
        <v>111876.25445698301</v>
      </c>
      <c r="AT76" s="55">
        <v>4.1138639638630257E-2</v>
      </c>
      <c r="AU76" s="51">
        <v>78615.746375177274</v>
      </c>
      <c r="AV76" s="52">
        <v>3.5763046987453869E-4</v>
      </c>
      <c r="AW76" s="44">
        <v>409</v>
      </c>
      <c r="AX76" s="51">
        <v>294.636326110509</v>
      </c>
      <c r="AY76" s="49">
        <v>377.85479996169897</v>
      </c>
      <c r="AZ76" s="49">
        <v>83.21847385118997</v>
      </c>
      <c r="BA76" s="42" t="s">
        <v>150</v>
      </c>
      <c r="BB76" s="50">
        <v>269875.26155146724</v>
      </c>
      <c r="BC76" s="57">
        <v>348491.00792664452</v>
      </c>
      <c r="BD76" s="42" t="s">
        <v>150</v>
      </c>
      <c r="BE76" s="46">
        <v>39.502392344497601</v>
      </c>
      <c r="BF76" s="46">
        <v>48.897321428571402</v>
      </c>
      <c r="BG76" s="42" t="s">
        <v>152</v>
      </c>
      <c r="BH76" s="52">
        <v>0.73946220930232598</v>
      </c>
      <c r="BI76" s="52">
        <v>0.79215712207379996</v>
      </c>
      <c r="BJ76" s="42" t="s">
        <v>152</v>
      </c>
      <c r="BK76" s="46">
        <v>193.14941295391699</v>
      </c>
      <c r="BL76" s="46">
        <v>326.54713917579897</v>
      </c>
      <c r="BM76" s="42" t="s">
        <v>152</v>
      </c>
      <c r="BN76" s="48">
        <v>0</v>
      </c>
      <c r="BO76" s="42" t="s">
        <v>155</v>
      </c>
      <c r="BP76" s="42" t="s">
        <v>152</v>
      </c>
      <c r="BQ76" s="46">
        <v>2544.6376959948302</v>
      </c>
      <c r="BR76" s="46">
        <v>243</v>
      </c>
      <c r="BS76" s="46">
        <v>20624</v>
      </c>
      <c r="BT76" s="46">
        <v>5629</v>
      </c>
      <c r="BU76" s="46">
        <v>3.6638834606502044</v>
      </c>
      <c r="BV76" s="46">
        <v>23.164609053497941</v>
      </c>
      <c r="BW76" s="46">
        <v>2586</v>
      </c>
      <c r="BX76" s="46">
        <v>0</v>
      </c>
      <c r="BY76" s="46">
        <v>2586</v>
      </c>
      <c r="BZ76" s="46">
        <v>0.45940664416414995</v>
      </c>
      <c r="CA76" s="46">
        <v>0.45940664416414984</v>
      </c>
      <c r="CB76" s="46">
        <v>0</v>
      </c>
      <c r="CC76" s="46">
        <v>7.3903002309468821E-2</v>
      </c>
      <c r="CD76" s="46">
        <v>0</v>
      </c>
      <c r="CE76" s="46">
        <v>0</v>
      </c>
      <c r="CF76" s="46">
        <v>0.46669035352638122</v>
      </c>
      <c r="CG76" s="46">
        <v>0</v>
      </c>
      <c r="CH76" s="46">
        <v>0</v>
      </c>
      <c r="CI76" s="46">
        <v>3.1031807602792858</v>
      </c>
      <c r="CJ76" s="46">
        <v>0.53335919317300229</v>
      </c>
      <c r="CK76">
        <v>436</v>
      </c>
      <c r="CL76">
        <v>603.99</v>
      </c>
      <c r="CM76">
        <f t="shared" si="14"/>
        <v>167.99</v>
      </c>
      <c r="CN76">
        <v>7.62</v>
      </c>
      <c r="CO76">
        <v>9.4499999999999993</v>
      </c>
      <c r="CP76">
        <f t="shared" si="15"/>
        <v>1.8299999999999992</v>
      </c>
      <c r="CQ76">
        <v>634.91999999999996</v>
      </c>
      <c r="CR76">
        <v>193.15</v>
      </c>
      <c r="CS76">
        <f t="shared" si="16"/>
        <v>441.77</v>
      </c>
      <c r="CT76" t="s">
        <v>152</v>
      </c>
      <c r="CU76">
        <v>80.58</v>
      </c>
      <c r="CV76">
        <v>431</v>
      </c>
      <c r="CW76" s="46">
        <v>2586</v>
      </c>
      <c r="CX76" s="46">
        <f t="shared" si="10"/>
        <v>42.956297743826617</v>
      </c>
      <c r="CY76" s="46">
        <v>167.99</v>
      </c>
      <c r="CZ76" s="46">
        <f t="shared" si="11"/>
        <v>45.940664416414997</v>
      </c>
      <c r="DA76" s="46">
        <f t="shared" si="12"/>
        <v>623.75399474554899</v>
      </c>
      <c r="DB76" s="46">
        <v>3615895.67</v>
      </c>
      <c r="DC76" s="46">
        <f t="shared" si="13"/>
        <v>19.308013296555629</v>
      </c>
      <c r="DD76" s="46">
        <v>111928.36</v>
      </c>
      <c r="DE76" s="995">
        <v>2586</v>
      </c>
      <c r="DF76" s="995">
        <v>43.295999999999999</v>
      </c>
      <c r="DG76" s="995">
        <v>148.9</v>
      </c>
      <c r="DH76" s="995">
        <v>45.941000000000003</v>
      </c>
      <c r="DI76" s="995">
        <v>1138.67</v>
      </c>
      <c r="DJ76" s="995">
        <v>6579106</v>
      </c>
      <c r="DK76" s="995">
        <v>34.994</v>
      </c>
      <c r="DL76" s="995">
        <v>202189.4</v>
      </c>
      <c r="DM76" s="995">
        <v>2586</v>
      </c>
      <c r="DN76" s="995">
        <v>43.725999999999999</v>
      </c>
      <c r="DO76" s="995">
        <v>124.7</v>
      </c>
      <c r="DP76" s="995">
        <v>45.941000000000003</v>
      </c>
      <c r="DQ76" s="995">
        <v>1106.2170000000001</v>
      </c>
      <c r="DR76" s="995">
        <v>6364810</v>
      </c>
      <c r="DS76" s="995">
        <v>33.981999999999999</v>
      </c>
      <c r="DT76" s="995">
        <v>195521.4</v>
      </c>
    </row>
    <row r="77" spans="1:124">
      <c r="A77" s="42" t="s">
        <v>92</v>
      </c>
      <c r="B77" s="42" t="s">
        <v>168</v>
      </c>
      <c r="C77" s="42" t="s">
        <v>238</v>
      </c>
      <c r="D77" s="42">
        <v>712303</v>
      </c>
      <c r="E77" s="42" t="s">
        <v>241</v>
      </c>
      <c r="F77" s="42" t="s">
        <v>149</v>
      </c>
      <c r="G77" s="42" t="s">
        <v>150</v>
      </c>
      <c r="H77" s="43" t="s">
        <v>150</v>
      </c>
      <c r="I77" s="44">
        <v>18</v>
      </c>
      <c r="J77" s="45">
        <v>56471.116800000003</v>
      </c>
      <c r="K77" s="46">
        <v>16169.556735</v>
      </c>
      <c r="L77" s="47">
        <v>72640.673534999994</v>
      </c>
      <c r="M77" s="48">
        <v>2941446</v>
      </c>
      <c r="N77" s="49">
        <v>827193</v>
      </c>
      <c r="O77" s="49">
        <v>2114220</v>
      </c>
      <c r="P77" s="49">
        <v>33</v>
      </c>
      <c r="Q77" s="50">
        <v>6493.60667431193</v>
      </c>
      <c r="R77" s="51">
        <v>5698.9829348098301</v>
      </c>
      <c r="S77" s="49">
        <v>19312.020708898501</v>
      </c>
      <c r="T77" s="49">
        <v>1950.6940668792299</v>
      </c>
      <c r="U77" s="49">
        <f>IFERROR(INDEX('Rentabilidad datos'!$N$2:$N$61,MATCH($C77,'Rentabilidad datos'!$C$2:$C$61,0)),"")</f>
        <v>26961.697710587559</v>
      </c>
      <c r="V77" s="50">
        <f>IFERROR(INDEX('Rentabilidad datos'!$O$2:$O$61,MATCH($C77,'Rentabilidad datos'!$C$2:$C$61,0)),"")</f>
        <v>1497.8720950326422</v>
      </c>
      <c r="W77" s="51">
        <f>IFERROR(INDEX('Rentabilidad datos'!$M$2:$M$61,MATCH($C77,'Rentabilidad datos'!$C$2:$C$61,0)),"")</f>
        <v>3467.2961205401448</v>
      </c>
      <c r="X77" s="52">
        <f>IFERROR(INDEX('Rentabilidad datos'!$P$2:$P$61,MATCH($C77,'Rentabilidad datos'!$C$2:$C$61,0)),"")</f>
        <v>0.43200004930622993</v>
      </c>
      <c r="Y77" s="43" t="s">
        <v>171</v>
      </c>
      <c r="Z77" s="53">
        <v>47</v>
      </c>
      <c r="AA77" s="43">
        <v>1</v>
      </c>
      <c r="AB77" s="54">
        <v>0.99859184904295373</v>
      </c>
      <c r="AC77" s="55">
        <v>1.4081509570462963E-3</v>
      </c>
      <c r="AD77" s="752" t="e">
        <f>_xlfn.XLOOKUP(Table1[[#This Row],[Ruta]],#REF!,#REF!)</f>
        <v>#REF!</v>
      </c>
      <c r="AE77" s="752" t="e">
        <f>_xlfn.XLOOKUP(Table1[[#This Row],[Ruta]],#REF!,#REF!)</f>
        <v>#REF!</v>
      </c>
      <c r="AF77" s="752" t="e">
        <f>_xlfn.XLOOKUP(Table1[[#This Row],[Ruta]],#REF!,#REF!)</f>
        <v>#REF!</v>
      </c>
      <c r="AG77" s="752" t="e">
        <f>_xlfn.XLOOKUP(Table1[[#This Row],[Ruta]],#REF!,#REF!)</f>
        <v>#REF!</v>
      </c>
      <c r="AH77" s="52">
        <v>0.28121984901303643</v>
      </c>
      <c r="AI77" s="52">
        <v>0.71876893201507019</v>
      </c>
      <c r="AJ77" s="55">
        <v>1.1218971893415687E-5</v>
      </c>
      <c r="AK77" s="56">
        <v>14570</v>
      </c>
      <c r="AL77" s="44">
        <v>11865</v>
      </c>
      <c r="AM77" s="54">
        <v>0.68949897048730302</v>
      </c>
      <c r="AN77" s="55">
        <v>0.83144613465711203</v>
      </c>
      <c r="AO77" s="56">
        <v>2068.1701819541099</v>
      </c>
      <c r="AP77" s="48">
        <v>1034.085090977055</v>
      </c>
      <c r="AQ77" s="55">
        <v>0.88531812566760837</v>
      </c>
      <c r="AR77" s="51">
        <v>2831212.51</v>
      </c>
      <c r="AS77" s="49">
        <v>246752.182551937</v>
      </c>
      <c r="AT77" s="55">
        <v>8.7154242813068467E-2</v>
      </c>
      <c r="AU77" s="51">
        <v>173393.42557703689</v>
      </c>
      <c r="AV77" s="52">
        <v>7.8878310162366287E-4</v>
      </c>
      <c r="AW77" s="44">
        <v>333</v>
      </c>
      <c r="AX77" s="51">
        <v>238.61883775811199</v>
      </c>
      <c r="AY77" s="49">
        <v>377.85479996169897</v>
      </c>
      <c r="AZ77" s="49">
        <v>139.23596220358698</v>
      </c>
      <c r="BA77" s="42" t="s">
        <v>150</v>
      </c>
      <c r="BB77" s="50">
        <v>580444.62135384546</v>
      </c>
      <c r="BC77" s="57">
        <v>753838.04693088238</v>
      </c>
      <c r="BD77" s="42" t="s">
        <v>150</v>
      </c>
      <c r="BE77" s="46">
        <v>47</v>
      </c>
      <c r="BF77" s="46">
        <v>48.897321428571402</v>
      </c>
      <c r="BG77" s="42" t="s">
        <v>152</v>
      </c>
      <c r="BH77" s="52">
        <v>0.68949897048730302</v>
      </c>
      <c r="BI77" s="52">
        <v>0.79215712207379996</v>
      </c>
      <c r="BJ77" s="42" t="s">
        <v>152</v>
      </c>
      <c r="BK77" s="46">
        <v>166.60704939220199</v>
      </c>
      <c r="BL77" s="46">
        <v>326.54713917579897</v>
      </c>
      <c r="BM77" s="42" t="s">
        <v>152</v>
      </c>
      <c r="BN77" s="48">
        <v>0</v>
      </c>
      <c r="BO77" s="42" t="s">
        <v>155</v>
      </c>
      <c r="BP77" s="42" t="s">
        <v>152</v>
      </c>
      <c r="BQ77" s="46">
        <v>1699.76635926774</v>
      </c>
      <c r="BR77" s="46">
        <v>534</v>
      </c>
      <c r="BS77" s="46">
        <v>42623</v>
      </c>
      <c r="BT77" s="46">
        <v>11893</v>
      </c>
      <c r="BU77" s="46">
        <v>3.5838728663919954</v>
      </c>
      <c r="BV77" s="46">
        <v>22.271535580524343</v>
      </c>
      <c r="BW77" s="46">
        <v>2381</v>
      </c>
      <c r="BX77" s="46">
        <v>1742</v>
      </c>
      <c r="BY77" s="46">
        <v>4123</v>
      </c>
      <c r="BZ77" s="46">
        <v>0.34667451442024722</v>
      </c>
      <c r="CA77" s="46">
        <v>0.20020179937778529</v>
      </c>
      <c r="CB77" s="46">
        <v>0.14647271504246201</v>
      </c>
      <c r="CC77" s="46">
        <v>0.2433364163793828</v>
      </c>
      <c r="CD77" s="46">
        <v>0.1940637349701505</v>
      </c>
      <c r="CE77" s="46">
        <v>0</v>
      </c>
      <c r="CF77" s="46">
        <v>0.21592533423021951</v>
      </c>
      <c r="CG77" s="46">
        <v>0</v>
      </c>
      <c r="CH77" s="46">
        <v>0</v>
      </c>
      <c r="CI77" s="46">
        <v>2.721535321305399</v>
      </c>
      <c r="CJ77" s="46">
        <v>0.35192267085845669</v>
      </c>
      <c r="CK77">
        <v>409</v>
      </c>
      <c r="CL77">
        <v>769.03</v>
      </c>
      <c r="CM77">
        <f t="shared" si="14"/>
        <v>360.03</v>
      </c>
      <c r="CN77">
        <v>5.54</v>
      </c>
      <c r="CO77">
        <v>9.4499999999999993</v>
      </c>
      <c r="CP77">
        <f t="shared" si="15"/>
        <v>3.9099999999999993</v>
      </c>
      <c r="CQ77">
        <v>634.91999999999996</v>
      </c>
      <c r="CR77">
        <v>166.61</v>
      </c>
      <c r="CS77">
        <f t="shared" si="16"/>
        <v>468.30999999999995</v>
      </c>
      <c r="CT77" t="s">
        <v>152</v>
      </c>
      <c r="CU77">
        <v>58.91</v>
      </c>
      <c r="CV77">
        <v>213</v>
      </c>
      <c r="CW77" s="46">
        <v>4123</v>
      </c>
      <c r="CX77" s="46">
        <f t="shared" si="10"/>
        <v>31.640208526023709</v>
      </c>
      <c r="CY77" s="46">
        <v>360.03</v>
      </c>
      <c r="CZ77" s="46">
        <f t="shared" si="11"/>
        <v>34.667451442024721</v>
      </c>
      <c r="DA77" s="46">
        <f t="shared" si="12"/>
        <v>372.48285852560548</v>
      </c>
      <c r="DB77" s="46">
        <v>4564043.6399999997</v>
      </c>
      <c r="DC77" s="46">
        <f t="shared" si="13"/>
        <v>8.8404712956713549</v>
      </c>
      <c r="DD77" s="46">
        <v>108322.56</v>
      </c>
      <c r="DE77" s="995">
        <v>4123</v>
      </c>
      <c r="DF77" s="995">
        <v>32.308999999999997</v>
      </c>
      <c r="DG77" s="995">
        <v>280.5</v>
      </c>
      <c r="DH77" s="995">
        <v>34.667000000000002</v>
      </c>
      <c r="DI77" s="995">
        <v>575.53099999999995</v>
      </c>
      <c r="DJ77" s="995">
        <v>7006209</v>
      </c>
      <c r="DK77" s="995">
        <v>13.718999999999999</v>
      </c>
      <c r="DL77" s="995">
        <v>167002.9</v>
      </c>
      <c r="DM77" s="995">
        <v>4123</v>
      </c>
      <c r="DN77" s="995">
        <v>32.585000000000001</v>
      </c>
      <c r="DO77" s="995">
        <v>247.6</v>
      </c>
      <c r="DP77" s="995">
        <v>34.667000000000002</v>
      </c>
      <c r="DQ77" s="995">
        <v>561.28899999999999</v>
      </c>
      <c r="DR77" s="995">
        <v>6814407</v>
      </c>
      <c r="DS77" s="995">
        <v>13.372999999999999</v>
      </c>
      <c r="DT77" s="995">
        <v>162351</v>
      </c>
    </row>
    <row r="78" spans="1:124">
      <c r="A78" s="42" t="s">
        <v>92</v>
      </c>
      <c r="B78" s="42" t="s">
        <v>168</v>
      </c>
      <c r="C78" s="42" t="s">
        <v>238</v>
      </c>
      <c r="D78" s="42">
        <v>712304</v>
      </c>
      <c r="E78" s="42" t="s">
        <v>242</v>
      </c>
      <c r="F78" s="42" t="s">
        <v>149</v>
      </c>
      <c r="G78" s="42" t="s">
        <v>150</v>
      </c>
      <c r="H78" s="43" t="s">
        <v>150</v>
      </c>
      <c r="I78" s="44">
        <v>18</v>
      </c>
      <c r="J78" s="45">
        <v>18591.227200000001</v>
      </c>
      <c r="K78" s="46">
        <v>6240.8518260000001</v>
      </c>
      <c r="L78" s="47">
        <v>24832.079025999999</v>
      </c>
      <c r="M78" s="48">
        <v>907512</v>
      </c>
      <c r="N78" s="49">
        <v>250119</v>
      </c>
      <c r="O78" s="49">
        <v>657393</v>
      </c>
      <c r="P78" s="49">
        <v>0</v>
      </c>
      <c r="Q78" s="50">
        <v>2680.4811141304299</v>
      </c>
      <c r="R78" s="51">
        <v>5698.9829348098301</v>
      </c>
      <c r="S78" s="49">
        <v>19312.020708898501</v>
      </c>
      <c r="T78" s="49">
        <v>1950.6940668792299</v>
      </c>
      <c r="U78" s="49">
        <f>IFERROR(INDEX('Rentabilidad datos'!$N$2:$N$61,MATCH($C78,'Rentabilidad datos'!$C$2:$C$61,0)),"")</f>
        <v>26961.697710587559</v>
      </c>
      <c r="V78" s="50">
        <f>IFERROR(INDEX('Rentabilidad datos'!$O$2:$O$61,MATCH($C78,'Rentabilidad datos'!$C$2:$C$61,0)),"")</f>
        <v>1497.8720950326422</v>
      </c>
      <c r="W78" s="51">
        <f>IFERROR(INDEX('Rentabilidad datos'!$M$2:$M$61,MATCH($C78,'Rentabilidad datos'!$C$2:$C$61,0)),"")</f>
        <v>3467.2961205401448</v>
      </c>
      <c r="X78" s="52">
        <f>IFERROR(INDEX('Rentabilidad datos'!$P$2:$P$61,MATCH($C78,'Rentabilidad datos'!$C$2:$C$61,0)),"")</f>
        <v>0.43200004930622993</v>
      </c>
      <c r="Y78" s="43" t="s">
        <v>171</v>
      </c>
      <c r="Z78" s="53">
        <v>63.970370370370397</v>
      </c>
      <c r="AA78" s="43">
        <v>1</v>
      </c>
      <c r="AB78" s="54">
        <v>0.99966501820361608</v>
      </c>
      <c r="AC78" s="55">
        <v>3.3498179638395968E-4</v>
      </c>
      <c r="AD78" s="752" t="e">
        <f>_xlfn.XLOOKUP(Table1[[#This Row],[Ruta]],#REF!,#REF!)</f>
        <v>#REF!</v>
      </c>
      <c r="AE78" s="752" t="e">
        <f>_xlfn.XLOOKUP(Table1[[#This Row],[Ruta]],#REF!,#REF!)</f>
        <v>#REF!</v>
      </c>
      <c r="AF78" s="752" t="e">
        <f>_xlfn.XLOOKUP(Table1[[#This Row],[Ruta]],#REF!,#REF!)</f>
        <v>#REF!</v>
      </c>
      <c r="AG78" s="752" t="e">
        <f>_xlfn.XLOOKUP(Table1[[#This Row],[Ruta]],#REF!,#REF!)</f>
        <v>#REF!</v>
      </c>
      <c r="AH78" s="52">
        <v>0.27560957871631447</v>
      </c>
      <c r="AI78" s="52">
        <v>0.72439042128368547</v>
      </c>
      <c r="AJ78" s="55">
        <v>0</v>
      </c>
      <c r="AK78" s="56">
        <v>8636</v>
      </c>
      <c r="AL78" s="44">
        <v>4566</v>
      </c>
      <c r="AM78" s="54">
        <v>0.33117183881426598</v>
      </c>
      <c r="AN78" s="55">
        <v>0.83144613465711203</v>
      </c>
      <c r="AO78" s="56">
        <v>4320.3688188988099</v>
      </c>
      <c r="AP78" s="48">
        <v>2160.1844094494049</v>
      </c>
      <c r="AQ78" s="55">
        <v>0.77885414653189033</v>
      </c>
      <c r="AR78" s="51">
        <v>986417.05</v>
      </c>
      <c r="AS78" s="49">
        <v>466676.02554206649</v>
      </c>
      <c r="AT78" s="55">
        <v>0.47310214836824493</v>
      </c>
      <c r="AU78" s="51">
        <v>327934.50443496578</v>
      </c>
      <c r="AV78" s="52">
        <v>1.4918050939751871E-3</v>
      </c>
      <c r="AW78" s="44">
        <v>227</v>
      </c>
      <c r="AX78" s="51">
        <v>216.03527157249201</v>
      </c>
      <c r="AY78" s="49">
        <v>377.85479996169897</v>
      </c>
      <c r="AZ78" s="49">
        <v>161.81952838920697</v>
      </c>
      <c r="BA78" s="42" t="s">
        <v>150</v>
      </c>
      <c r="BB78" s="50">
        <v>259602.25854396081</v>
      </c>
      <c r="BC78" s="57">
        <v>587536.76297892653</v>
      </c>
      <c r="BD78" s="42" t="s">
        <v>150</v>
      </c>
      <c r="BE78" s="46">
        <v>63.970370370370397</v>
      </c>
      <c r="BF78" s="46">
        <v>48.897321428571402</v>
      </c>
      <c r="BG78" s="42" t="s">
        <v>150</v>
      </c>
      <c r="BH78" s="52">
        <v>0.33117183881426598</v>
      </c>
      <c r="BI78" s="52">
        <v>0.79215712207379996</v>
      </c>
      <c r="BJ78" s="42" t="s">
        <v>152</v>
      </c>
      <c r="BK78" s="46">
        <v>67.478475614130403</v>
      </c>
      <c r="BL78" s="46">
        <v>326.54713917579897</v>
      </c>
      <c r="BM78" s="42" t="s">
        <v>152</v>
      </c>
      <c r="BN78" s="48">
        <v>1</v>
      </c>
      <c r="BO78" s="42" t="s">
        <v>155</v>
      </c>
      <c r="BP78" s="42" t="s">
        <v>152</v>
      </c>
      <c r="BQ78" s="46">
        <v>2719.91539232778</v>
      </c>
      <c r="BR78" s="46">
        <v>634</v>
      </c>
      <c r="BS78" s="46">
        <v>66464</v>
      </c>
      <c r="BT78" s="46">
        <v>17318</v>
      </c>
      <c r="BU78" s="46">
        <v>3.8378565654232593</v>
      </c>
      <c r="BV78" s="46">
        <v>27.315457413249213</v>
      </c>
      <c r="BW78" s="46">
        <v>6</v>
      </c>
      <c r="BX78" s="46">
        <v>1110</v>
      </c>
      <c r="BY78" s="46">
        <v>1116</v>
      </c>
      <c r="BZ78" s="46">
        <v>6.4441621434345772E-2</v>
      </c>
      <c r="CA78" s="46">
        <v>3.4646033029218161E-4</v>
      </c>
      <c r="CB78" s="46">
        <v>6.4095161104053583E-2</v>
      </c>
      <c r="CC78" s="46">
        <v>0.54763829541517495</v>
      </c>
      <c r="CD78" s="46">
        <v>9.6777918928282705E-2</v>
      </c>
      <c r="CE78" s="46">
        <v>0</v>
      </c>
      <c r="CF78" s="46">
        <v>0.28998729645455601</v>
      </c>
      <c r="CG78" s="46">
        <v>1.1548677676406049E-3</v>
      </c>
      <c r="CH78" s="46">
        <v>0</v>
      </c>
      <c r="CI78" s="46">
        <v>3.0091478093403952</v>
      </c>
      <c r="CJ78" s="46">
        <v>0.36109773712084742</v>
      </c>
      <c r="CK78">
        <v>565</v>
      </c>
      <c r="CL78">
        <v>684.54</v>
      </c>
      <c r="CM78">
        <f t="shared" si="14"/>
        <v>119.53999999999996</v>
      </c>
      <c r="CN78">
        <v>6.24</v>
      </c>
      <c r="CO78">
        <v>9.4499999999999993</v>
      </c>
      <c r="CP78">
        <f t="shared" si="15"/>
        <v>3.2099999999999991</v>
      </c>
      <c r="CQ78">
        <v>634.91999999999996</v>
      </c>
      <c r="CR78">
        <v>67.48</v>
      </c>
      <c r="CS78">
        <f t="shared" si="16"/>
        <v>567.43999999999994</v>
      </c>
      <c r="CT78" t="s">
        <v>152</v>
      </c>
      <c r="CU78">
        <v>66.08</v>
      </c>
      <c r="CV78">
        <v>11</v>
      </c>
      <c r="CW78" s="46">
        <v>1116</v>
      </c>
      <c r="CX78" s="46">
        <f t="shared" si="10"/>
        <v>5.7538976787157869</v>
      </c>
      <c r="CY78" s="46">
        <v>119.54</v>
      </c>
      <c r="CZ78" s="46">
        <f t="shared" si="11"/>
        <v>6.4441621434345775</v>
      </c>
      <c r="DA78" s="46">
        <f t="shared" si="12"/>
        <v>131.86338841373265</v>
      </c>
      <c r="DB78" s="46">
        <v>2299373.11</v>
      </c>
      <c r="DC78" s="46">
        <f t="shared" si="13"/>
        <v>3.0260002270962532</v>
      </c>
      <c r="DD78" s="46">
        <v>52766</v>
      </c>
      <c r="DE78" s="995">
        <v>1116</v>
      </c>
      <c r="DF78" s="995">
        <v>5.8849999999999998</v>
      </c>
      <c r="DG78" s="995">
        <v>96.8</v>
      </c>
      <c r="DH78" s="995">
        <v>6.444</v>
      </c>
      <c r="DI78" s="995">
        <v>231.16800000000001</v>
      </c>
      <c r="DJ78" s="995">
        <v>4025751</v>
      </c>
      <c r="DK78" s="995">
        <v>5.69</v>
      </c>
      <c r="DL78" s="995">
        <v>99091.9</v>
      </c>
      <c r="DM78" s="995">
        <v>1116</v>
      </c>
      <c r="DN78" s="995">
        <v>5.944</v>
      </c>
      <c r="DO78" s="995">
        <v>86.6</v>
      </c>
      <c r="DP78" s="995">
        <v>6.444</v>
      </c>
      <c r="DQ78" s="995">
        <v>229.29300000000001</v>
      </c>
      <c r="DR78" s="995">
        <v>3990759</v>
      </c>
      <c r="DS78" s="995">
        <v>5.6449999999999996</v>
      </c>
      <c r="DT78" s="995">
        <v>98245.2</v>
      </c>
    </row>
    <row r="79" spans="1:124">
      <c r="A79" s="42" t="s">
        <v>92</v>
      </c>
      <c r="B79" s="42" t="s">
        <v>168</v>
      </c>
      <c r="C79" s="42" t="s">
        <v>238</v>
      </c>
      <c r="D79" s="42">
        <v>712305</v>
      </c>
      <c r="E79" s="42" t="s">
        <v>243</v>
      </c>
      <c r="F79" s="42" t="s">
        <v>149</v>
      </c>
      <c r="G79" s="42" t="s">
        <v>150</v>
      </c>
      <c r="H79" s="43" t="s">
        <v>150</v>
      </c>
      <c r="I79" s="44">
        <v>18</v>
      </c>
      <c r="J79" s="45">
        <v>125851.8296</v>
      </c>
      <c r="K79" s="46">
        <v>22910.321951000002</v>
      </c>
      <c r="L79" s="47">
        <v>148762.15155099999</v>
      </c>
      <c r="M79" s="48">
        <v>5106868</v>
      </c>
      <c r="N79" s="49">
        <v>1874911</v>
      </c>
      <c r="O79" s="49">
        <v>3231957</v>
      </c>
      <c r="P79" s="49">
        <v>0</v>
      </c>
      <c r="Q79" s="50">
        <v>11639.0941705069</v>
      </c>
      <c r="R79" s="51">
        <v>5698.9829348098301</v>
      </c>
      <c r="S79" s="49">
        <v>19312.020708898501</v>
      </c>
      <c r="T79" s="49">
        <v>1950.6940668792299</v>
      </c>
      <c r="U79" s="49">
        <f>IFERROR(INDEX('Rentabilidad datos'!$N$2:$N$61,MATCH($C79,'Rentabilidad datos'!$C$2:$C$61,0)),"")</f>
        <v>26961.697710587559</v>
      </c>
      <c r="V79" s="50">
        <f>IFERROR(INDEX('Rentabilidad datos'!$O$2:$O$61,MATCH($C79,'Rentabilidad datos'!$C$2:$C$61,0)),"")</f>
        <v>1497.8720950326422</v>
      </c>
      <c r="W79" s="51">
        <f>IFERROR(INDEX('Rentabilidad datos'!$M$2:$M$61,MATCH($C79,'Rentabilidad datos'!$C$2:$C$61,0)),"")</f>
        <v>3467.2961205401448</v>
      </c>
      <c r="X79" s="52">
        <f>IFERROR(INDEX('Rentabilidad datos'!$P$2:$P$61,MATCH($C79,'Rentabilidad datos'!$C$2:$C$61,0)),"")</f>
        <v>0.43200004930622993</v>
      </c>
      <c r="Y79" s="43" t="s">
        <v>171</v>
      </c>
      <c r="Z79" s="53">
        <v>96.313043478260894</v>
      </c>
      <c r="AA79" s="43">
        <v>1</v>
      </c>
      <c r="AB79" s="54">
        <v>0.9987254418951107</v>
      </c>
      <c r="AC79" s="55">
        <v>1.2745581048893373E-3</v>
      </c>
      <c r="AD79" s="752" t="e">
        <f>_xlfn.XLOOKUP(Table1[[#This Row],[Ruta]],#REF!,#REF!)</f>
        <v>#REF!</v>
      </c>
      <c r="AE79" s="752" t="e">
        <f>_xlfn.XLOOKUP(Table1[[#This Row],[Ruta]],#REF!,#REF!)</f>
        <v>#REF!</v>
      </c>
      <c r="AF79" s="752" t="e">
        <f>_xlfn.XLOOKUP(Table1[[#This Row],[Ruta]],#REF!,#REF!)</f>
        <v>#REF!</v>
      </c>
      <c r="AG79" s="752" t="e">
        <f>_xlfn.XLOOKUP(Table1[[#This Row],[Ruta]],#REF!,#REF!)</f>
        <v>#REF!</v>
      </c>
      <c r="AH79" s="52">
        <v>0.36713519910833803</v>
      </c>
      <c r="AI79" s="52">
        <v>0.63286480089166197</v>
      </c>
      <c r="AJ79" s="55">
        <v>0</v>
      </c>
      <c r="AK79" s="56">
        <v>33228</v>
      </c>
      <c r="AL79" s="44">
        <v>15308</v>
      </c>
      <c r="AM79" s="54">
        <v>0.42704947634525098</v>
      </c>
      <c r="AN79" s="55">
        <v>0.83144613465711203</v>
      </c>
      <c r="AO79" s="56">
        <v>13437.2921623865</v>
      </c>
      <c r="AP79" s="48">
        <v>6718.6460811932502</v>
      </c>
      <c r="AQ79" s="55">
        <v>0.66289412787989788</v>
      </c>
      <c r="AR79" s="51">
        <v>5051366.87</v>
      </c>
      <c r="AS79" s="49">
        <v>2217033.33066337</v>
      </c>
      <c r="AT79" s="55">
        <v>0.43889770585270715</v>
      </c>
      <c r="AU79" s="51">
        <v>1557915.3134391254</v>
      </c>
      <c r="AV79" s="52">
        <v>7.0871041904385567E-3</v>
      </c>
      <c r="AW79" s="44">
        <v>14</v>
      </c>
      <c r="AX79" s="51">
        <v>329.982157695323</v>
      </c>
      <c r="AY79" s="49">
        <v>377.85479996169897</v>
      </c>
      <c r="AZ79" s="49">
        <v>47.872642266375976</v>
      </c>
      <c r="BA79" s="42" t="s">
        <v>150</v>
      </c>
      <c r="BB79" s="50">
        <v>257482.3595021051</v>
      </c>
      <c r="BC79" s="57">
        <v>1815397.6729412305</v>
      </c>
      <c r="BD79" s="42" t="s">
        <v>150</v>
      </c>
      <c r="BE79" s="46">
        <v>96.313043478260894</v>
      </c>
      <c r="BF79" s="46">
        <v>48.897321428571402</v>
      </c>
      <c r="BG79" s="42" t="s">
        <v>150</v>
      </c>
      <c r="BH79" s="52">
        <v>0.42704947634525098</v>
      </c>
      <c r="BI79" s="52">
        <v>0.79215712207379996</v>
      </c>
      <c r="BJ79" s="42" t="s">
        <v>152</v>
      </c>
      <c r="BK79" s="46">
        <v>342.76993444930901</v>
      </c>
      <c r="BL79" s="46">
        <v>326.54713917579897</v>
      </c>
      <c r="BM79" s="42" t="s">
        <v>150</v>
      </c>
      <c r="BN79" s="48">
        <v>2</v>
      </c>
      <c r="BO79" s="42" t="s">
        <v>161</v>
      </c>
      <c r="BP79" s="42" t="s">
        <v>152</v>
      </c>
      <c r="BQ79" s="46">
        <v>4910.1887853919598</v>
      </c>
      <c r="BR79" s="46">
        <v>1012</v>
      </c>
      <c r="BS79" s="46">
        <v>104367</v>
      </c>
      <c r="BT79" s="46">
        <v>27783</v>
      </c>
      <c r="BU79" s="46">
        <v>3.7565057769139401</v>
      </c>
      <c r="BV79" s="46">
        <v>27.453557312252965</v>
      </c>
      <c r="BW79" s="46">
        <v>802</v>
      </c>
      <c r="BX79" s="46">
        <v>6048</v>
      </c>
      <c r="BY79" s="46">
        <v>6850</v>
      </c>
      <c r="BZ79" s="46">
        <v>0.24655364791419213</v>
      </c>
      <c r="CA79" s="46">
        <v>2.8866573084260157E-2</v>
      </c>
      <c r="CB79" s="46">
        <v>0.21768707482993199</v>
      </c>
      <c r="CC79" s="46">
        <v>0.27574416009790159</v>
      </c>
      <c r="CD79" s="46">
        <v>0.17640283626678191</v>
      </c>
      <c r="CE79" s="46">
        <v>0</v>
      </c>
      <c r="CF79" s="46">
        <v>0.30129935572112437</v>
      </c>
      <c r="CG79" s="46">
        <v>0</v>
      </c>
      <c r="CH79" s="46">
        <v>0</v>
      </c>
      <c r="CI79" s="46">
        <v>2.9894506884359999</v>
      </c>
      <c r="CJ79" s="46">
        <v>0.28744718158038463</v>
      </c>
      <c r="CK79">
        <v>818</v>
      </c>
      <c r="CL79">
        <v>1162.6099999999999</v>
      </c>
      <c r="CM79">
        <f t="shared" si="14"/>
        <v>344.6099999999999</v>
      </c>
      <c r="CN79">
        <v>10.06</v>
      </c>
      <c r="CO79">
        <v>9.4499999999999993</v>
      </c>
      <c r="CP79">
        <f t="shared" si="15"/>
        <v>-0.61000000000000121</v>
      </c>
      <c r="CQ79">
        <v>634.91999999999996</v>
      </c>
      <c r="CR79">
        <v>342.77</v>
      </c>
      <c r="CS79">
        <f t="shared" si="16"/>
        <v>292.14999999999998</v>
      </c>
      <c r="CT79" t="s">
        <v>150</v>
      </c>
      <c r="CU79">
        <v>106.41</v>
      </c>
      <c r="CV79">
        <v>410</v>
      </c>
      <c r="CW79" s="46">
        <v>6850</v>
      </c>
      <c r="CX79" s="46">
        <f t="shared" si="10"/>
        <v>23.415001979627831</v>
      </c>
      <c r="CY79" s="46">
        <v>344.61</v>
      </c>
      <c r="CZ79" s="46">
        <f t="shared" si="11"/>
        <v>24.655364791419213</v>
      </c>
      <c r="DA79" s="46">
        <f t="shared" si="12"/>
        <v>221.41892290173251</v>
      </c>
      <c r="DB79" s="46">
        <v>6227985.1100000003</v>
      </c>
      <c r="DC79" s="46">
        <f t="shared" si="13"/>
        <v>6.8525690593690687</v>
      </c>
      <c r="DD79" s="46">
        <v>192746.39</v>
      </c>
      <c r="DE79" s="995">
        <v>6850</v>
      </c>
      <c r="DF79" s="995">
        <v>23.422000000000001</v>
      </c>
      <c r="DG79" s="995">
        <v>342.7</v>
      </c>
      <c r="DH79" s="995">
        <v>24.655000000000001</v>
      </c>
      <c r="DI79" s="995">
        <v>339.93599999999998</v>
      </c>
      <c r="DJ79" s="995">
        <v>9560955</v>
      </c>
      <c r="DK79" s="995">
        <v>10.472</v>
      </c>
      <c r="DL79" s="995">
        <v>294528.09999999998</v>
      </c>
      <c r="DM79" s="995">
        <v>6850</v>
      </c>
      <c r="DN79" s="995">
        <v>23.459</v>
      </c>
      <c r="DO79" s="995">
        <v>332.5</v>
      </c>
      <c r="DP79" s="995">
        <v>24.655000000000001</v>
      </c>
      <c r="DQ79" s="995">
        <v>337.98599999999999</v>
      </c>
      <c r="DR79" s="995">
        <v>9502637</v>
      </c>
      <c r="DS79" s="995">
        <v>10.401</v>
      </c>
      <c r="DT79" s="995">
        <v>292438.7</v>
      </c>
    </row>
    <row r="80" spans="1:124">
      <c r="A80" s="42" t="s">
        <v>92</v>
      </c>
      <c r="B80" s="42" t="s">
        <v>168</v>
      </c>
      <c r="C80" s="42" t="s">
        <v>238</v>
      </c>
      <c r="D80" s="42">
        <v>712306</v>
      </c>
      <c r="E80" s="42" t="s">
        <v>244</v>
      </c>
      <c r="F80" s="42" t="s">
        <v>149</v>
      </c>
      <c r="G80" s="42" t="s">
        <v>150</v>
      </c>
      <c r="H80" s="43" t="s">
        <v>150</v>
      </c>
      <c r="I80" s="44">
        <v>18</v>
      </c>
      <c r="J80" s="45">
        <v>112547.7248</v>
      </c>
      <c r="K80" s="46">
        <v>27543.140905</v>
      </c>
      <c r="L80" s="47">
        <v>140090.865705</v>
      </c>
      <c r="M80" s="48">
        <v>5588507</v>
      </c>
      <c r="N80" s="49">
        <v>1698561</v>
      </c>
      <c r="O80" s="49">
        <v>3889946</v>
      </c>
      <c r="P80" s="49">
        <v>0</v>
      </c>
      <c r="Q80" s="50">
        <v>12833.413615560599</v>
      </c>
      <c r="R80" s="51">
        <v>5698.9829348098301</v>
      </c>
      <c r="S80" s="49">
        <v>19312.020708898501</v>
      </c>
      <c r="T80" s="49">
        <v>1950.6940668792299</v>
      </c>
      <c r="U80" s="49">
        <f>IFERROR(INDEX('Rentabilidad datos'!$N$2:$N$61,MATCH($C80,'Rentabilidad datos'!$C$2:$C$61,0)),"")</f>
        <v>26961.697710587559</v>
      </c>
      <c r="V80" s="50">
        <f>IFERROR(INDEX('Rentabilidad datos'!$O$2:$O$61,MATCH($C80,'Rentabilidad datos'!$C$2:$C$61,0)),"")</f>
        <v>1497.8720950326422</v>
      </c>
      <c r="W80" s="51">
        <f>IFERROR(INDEX('Rentabilidad datos'!$M$2:$M$61,MATCH($C80,'Rentabilidad datos'!$C$2:$C$61,0)),"")</f>
        <v>3467.2961205401448</v>
      </c>
      <c r="X80" s="52">
        <f>IFERROR(INDEX('Rentabilidad datos'!$P$2:$P$61,MATCH($C80,'Rentabilidad datos'!$C$2:$C$61,0)),"")</f>
        <v>0.43200004930622993</v>
      </c>
      <c r="Y80" s="43" t="s">
        <v>171</v>
      </c>
      <c r="Z80" s="53">
        <v>52.970967741935503</v>
      </c>
      <c r="AA80" s="43">
        <v>1</v>
      </c>
      <c r="AB80" s="54">
        <v>0.99773177344145758</v>
      </c>
      <c r="AC80" s="55">
        <v>2.2682265585423798E-3</v>
      </c>
      <c r="AD80" s="752" t="e">
        <f>_xlfn.XLOOKUP(Table1[[#This Row],[Ruta]],#REF!,#REF!)</f>
        <v>#REF!</v>
      </c>
      <c r="AE80" s="752" t="e">
        <f>_xlfn.XLOOKUP(Table1[[#This Row],[Ruta]],#REF!,#REF!)</f>
        <v>#REF!</v>
      </c>
      <c r="AF80" s="752" t="e">
        <f>_xlfn.XLOOKUP(Table1[[#This Row],[Ruta]],#REF!,#REF!)</f>
        <v>#REF!</v>
      </c>
      <c r="AG80" s="752" t="e">
        <f>_xlfn.XLOOKUP(Table1[[#This Row],[Ruta]],#REF!,#REF!)</f>
        <v>#REF!</v>
      </c>
      <c r="AH80" s="52">
        <v>0.30393824325530949</v>
      </c>
      <c r="AI80" s="52">
        <v>0.69606175674469051</v>
      </c>
      <c r="AJ80" s="55">
        <v>0</v>
      </c>
      <c r="AK80" s="56">
        <v>16421</v>
      </c>
      <c r="AL80" s="44">
        <v>18177</v>
      </c>
      <c r="AM80" s="54">
        <v>0.83661165580658903</v>
      </c>
      <c r="AN80" s="55">
        <v>0.83144613465711203</v>
      </c>
      <c r="AO80" s="56">
        <v>0</v>
      </c>
      <c r="AP80" s="48">
        <v>0</v>
      </c>
      <c r="AQ80" s="55">
        <v>1.1069362401802569</v>
      </c>
      <c r="AR80" s="51">
        <v>5608201.75</v>
      </c>
      <c r="AS80" s="49">
        <v>0</v>
      </c>
      <c r="AT80" s="55">
        <v>0</v>
      </c>
      <c r="AU80" s="51">
        <v>0</v>
      </c>
      <c r="AV80" s="52">
        <v>0</v>
      </c>
      <c r="AW80" s="44">
        <v>490</v>
      </c>
      <c r="AX80" s="51">
        <v>308.53285745722599</v>
      </c>
      <c r="AY80" s="49">
        <v>377.85479996169897</v>
      </c>
      <c r="AZ80" s="49">
        <v>69.321942504472986</v>
      </c>
      <c r="BA80" s="42" t="s">
        <v>150</v>
      </c>
      <c r="BB80" s="50">
        <v>442725.52258782374</v>
      </c>
      <c r="BC80" s="57">
        <v>442725.52258782374</v>
      </c>
      <c r="BD80" s="42" t="s">
        <v>150</v>
      </c>
      <c r="BE80" s="46">
        <v>52.970967741935503</v>
      </c>
      <c r="BF80" s="46">
        <v>48.897321428571402</v>
      </c>
      <c r="BG80" s="42" t="s">
        <v>150</v>
      </c>
      <c r="BH80" s="52">
        <v>0.83661165580658903</v>
      </c>
      <c r="BI80" s="52">
        <v>0.79215712207379996</v>
      </c>
      <c r="BJ80" s="42" t="s">
        <v>150</v>
      </c>
      <c r="BK80" s="46">
        <v>320.57406339816902</v>
      </c>
      <c r="BL80" s="46">
        <v>326.54713917579897</v>
      </c>
      <c r="BM80" s="42" t="s">
        <v>152</v>
      </c>
      <c r="BN80" s="48">
        <v>2</v>
      </c>
      <c r="BO80" s="42" t="s">
        <v>161</v>
      </c>
      <c r="BP80" s="42" t="s">
        <v>152</v>
      </c>
      <c r="BQ80" s="46">
        <v>0</v>
      </c>
      <c r="BR80" s="46">
        <v>475</v>
      </c>
      <c r="BS80" s="46">
        <v>29518</v>
      </c>
      <c r="BT80" s="46">
        <v>8187</v>
      </c>
      <c r="BU80" s="46">
        <v>3.6054720898986199</v>
      </c>
      <c r="BV80" s="46">
        <v>17.235789473684211</v>
      </c>
      <c r="BW80" s="46">
        <v>5853</v>
      </c>
      <c r="BX80" s="46">
        <v>1303</v>
      </c>
      <c r="BY80" s="46">
        <v>7156</v>
      </c>
      <c r="BZ80" s="46">
        <v>0.87406864541346041</v>
      </c>
      <c r="CA80" s="46">
        <v>0.71491388787101506</v>
      </c>
      <c r="CB80" s="46">
        <v>0.15915475754244529</v>
      </c>
      <c r="CC80" s="46">
        <v>0</v>
      </c>
      <c r="CD80" s="46">
        <v>0</v>
      </c>
      <c r="CE80" s="46">
        <v>0</v>
      </c>
      <c r="CF80" s="46">
        <v>0.12593135458653959</v>
      </c>
      <c r="CG80" s="46">
        <v>0</v>
      </c>
      <c r="CH80" s="46">
        <v>0</v>
      </c>
      <c r="CI80" s="46">
        <v>2.3714343790229688</v>
      </c>
      <c r="CJ80" s="46">
        <v>0.74530794769293307</v>
      </c>
      <c r="CK80">
        <v>400</v>
      </c>
      <c r="CL80">
        <v>838.69</v>
      </c>
      <c r="CM80">
        <f t="shared" si="14"/>
        <v>438.69000000000005</v>
      </c>
      <c r="CN80">
        <v>5.23</v>
      </c>
      <c r="CO80">
        <v>9.4499999999999993</v>
      </c>
      <c r="CP80">
        <f t="shared" si="15"/>
        <v>4.2199999999999989</v>
      </c>
      <c r="CQ80">
        <v>634.91999999999996</v>
      </c>
      <c r="CR80">
        <v>320.57</v>
      </c>
      <c r="CS80">
        <f t="shared" si="16"/>
        <v>314.34999999999997</v>
      </c>
      <c r="CT80" t="s">
        <v>152</v>
      </c>
      <c r="CU80">
        <v>58.45</v>
      </c>
      <c r="CV80">
        <v>455</v>
      </c>
      <c r="CW80" s="46">
        <v>7156</v>
      </c>
      <c r="CX80" s="46">
        <f t="shared" si="10"/>
        <v>82.048491510931981</v>
      </c>
      <c r="CY80" s="46">
        <v>438.69</v>
      </c>
      <c r="CZ80" s="46">
        <f t="shared" si="11"/>
        <v>87.406864541346039</v>
      </c>
      <c r="DA80" s="46">
        <f t="shared" si="12"/>
        <v>784.64224543195951</v>
      </c>
      <c r="DB80" s="46">
        <v>6768080.7699999996</v>
      </c>
      <c r="DC80" s="46">
        <f t="shared" si="13"/>
        <v>18.402617065997038</v>
      </c>
      <c r="DD80" s="46">
        <v>158735.26999999999</v>
      </c>
      <c r="DE80" s="995">
        <v>7156</v>
      </c>
      <c r="DF80" s="995">
        <v>82.305000000000007</v>
      </c>
      <c r="DG80" s="995">
        <v>417.7</v>
      </c>
      <c r="DH80" s="995">
        <v>87.406999999999996</v>
      </c>
      <c r="DI80" s="995">
        <v>1427.164</v>
      </c>
      <c r="DJ80" s="995">
        <v>12280330</v>
      </c>
      <c r="DK80" s="995">
        <v>32.917999999999999</v>
      </c>
      <c r="DL80" s="995">
        <v>283249.7</v>
      </c>
      <c r="DM80" s="995">
        <v>7156</v>
      </c>
      <c r="DN80" s="995">
        <v>82.626999999999995</v>
      </c>
      <c r="DO80" s="995">
        <v>391.3</v>
      </c>
      <c r="DP80" s="995">
        <v>87.406999999999996</v>
      </c>
      <c r="DQ80" s="995">
        <v>1404.941</v>
      </c>
      <c r="DR80" s="995">
        <v>12052044</v>
      </c>
      <c r="DS80" s="995">
        <v>32.326000000000001</v>
      </c>
      <c r="DT80" s="995">
        <v>277306.59999999998</v>
      </c>
    </row>
    <row r="81" spans="1:124">
      <c r="A81" s="42" t="s">
        <v>92</v>
      </c>
      <c r="B81" s="42" t="s">
        <v>168</v>
      </c>
      <c r="C81" s="42" t="s">
        <v>238</v>
      </c>
      <c r="D81" s="42">
        <v>712307</v>
      </c>
      <c r="E81" s="42" t="s">
        <v>245</v>
      </c>
      <c r="F81" s="42" t="s">
        <v>149</v>
      </c>
      <c r="G81" s="42" t="s">
        <v>150</v>
      </c>
      <c r="H81" s="43" t="s">
        <v>150</v>
      </c>
      <c r="I81" s="44">
        <v>18</v>
      </c>
      <c r="J81" s="45">
        <v>110589.27039999999</v>
      </c>
      <c r="K81" s="46">
        <v>43441.292095999997</v>
      </c>
      <c r="L81" s="47">
        <v>154030.562496</v>
      </c>
      <c r="M81" s="48">
        <v>7574626</v>
      </c>
      <c r="N81" s="49">
        <v>1682791</v>
      </c>
      <c r="O81" s="49">
        <v>5891835</v>
      </c>
      <c r="P81" s="49">
        <v>0</v>
      </c>
      <c r="Q81" s="50">
        <v>17340.595616438401</v>
      </c>
      <c r="R81" s="51">
        <v>5698.9829348098301</v>
      </c>
      <c r="S81" s="49">
        <v>19312.020708898501</v>
      </c>
      <c r="T81" s="49">
        <v>1950.6940668792299</v>
      </c>
      <c r="U81" s="49">
        <f>IFERROR(INDEX('Rentabilidad datos'!$N$2:$N$61,MATCH($C81,'Rentabilidad datos'!$C$2:$C$61,0)),"")</f>
        <v>26961.697710587559</v>
      </c>
      <c r="V81" s="50">
        <f>IFERROR(INDEX('Rentabilidad datos'!$O$2:$O$61,MATCH($C81,'Rentabilidad datos'!$C$2:$C$61,0)),"")</f>
        <v>1497.8720950326422</v>
      </c>
      <c r="W81" s="51">
        <f>IFERROR(INDEX('Rentabilidad datos'!$M$2:$M$61,MATCH($C81,'Rentabilidad datos'!$C$2:$C$61,0)),"")</f>
        <v>3467.2961205401448</v>
      </c>
      <c r="X81" s="52">
        <f>IFERROR(INDEX('Rentabilidad datos'!$P$2:$P$61,MATCH($C81,'Rentabilidad datos'!$C$2:$C$61,0)),"")</f>
        <v>0.43200004930622993</v>
      </c>
      <c r="Y81" s="43" t="s">
        <v>171</v>
      </c>
      <c r="Z81" s="53">
        <v>46.6064516129032</v>
      </c>
      <c r="AA81" s="43">
        <v>1</v>
      </c>
      <c r="AB81" s="54">
        <v>0.99830671507741764</v>
      </c>
      <c r="AC81" s="55">
        <v>1.6932849225823163E-3</v>
      </c>
      <c r="AD81" s="752" t="e">
        <f>_xlfn.XLOOKUP(Table1[[#This Row],[Ruta]],#REF!,#REF!)</f>
        <v>#REF!</v>
      </c>
      <c r="AE81" s="752" t="e">
        <f>_xlfn.XLOOKUP(Table1[[#This Row],[Ruta]],#REF!,#REF!)</f>
        <v>#REF!</v>
      </c>
      <c r="AF81" s="752" t="e">
        <f>_xlfn.XLOOKUP(Table1[[#This Row],[Ruta]],#REF!,#REF!)</f>
        <v>#REF!</v>
      </c>
      <c r="AG81" s="752" t="e">
        <f>_xlfn.XLOOKUP(Table1[[#This Row],[Ruta]],#REF!,#REF!)</f>
        <v>#REF!</v>
      </c>
      <c r="AH81" s="52">
        <v>0.22216159583324643</v>
      </c>
      <c r="AI81" s="52">
        <v>0.77783840416675354</v>
      </c>
      <c r="AJ81" s="55">
        <v>0</v>
      </c>
      <c r="AK81" s="56">
        <v>14448</v>
      </c>
      <c r="AL81" s="44">
        <v>19636</v>
      </c>
      <c r="AM81" s="54">
        <v>0.97702104097452902</v>
      </c>
      <c r="AN81" s="55">
        <v>0.83144613465711203</v>
      </c>
      <c r="AO81" s="56">
        <v>0</v>
      </c>
      <c r="AP81" s="48">
        <v>0</v>
      </c>
      <c r="AQ81" s="55">
        <v>1.3590808416389812</v>
      </c>
      <c r="AR81" s="51">
        <v>7595180.8799999999</v>
      </c>
      <c r="AS81" s="49">
        <v>0</v>
      </c>
      <c r="AT81" s="55">
        <v>0</v>
      </c>
      <c r="AU81" s="51">
        <v>0</v>
      </c>
      <c r="AV81" s="52">
        <v>0</v>
      </c>
      <c r="AW81" s="44">
        <v>490</v>
      </c>
      <c r="AX81" s="51">
        <v>386.79878182929298</v>
      </c>
      <c r="AY81" s="49">
        <v>377.85479996169897</v>
      </c>
      <c r="AZ81" s="49">
        <v>0</v>
      </c>
      <c r="BA81" s="42" t="s">
        <v>152</v>
      </c>
      <c r="BB81" s="50">
        <v>0</v>
      </c>
      <c r="BC81" s="57">
        <v>0</v>
      </c>
      <c r="BD81" s="42" t="s">
        <v>150</v>
      </c>
      <c r="BE81" s="46">
        <v>46.6064516129032</v>
      </c>
      <c r="BF81" s="46">
        <v>48.897321428571402</v>
      </c>
      <c r="BG81" s="42" t="s">
        <v>152</v>
      </c>
      <c r="BH81" s="52">
        <v>0.97702104097452902</v>
      </c>
      <c r="BI81" s="52">
        <v>0.79215712207379996</v>
      </c>
      <c r="BJ81" s="42" t="s">
        <v>150</v>
      </c>
      <c r="BK81" s="46">
        <v>351.66795090411</v>
      </c>
      <c r="BL81" s="46">
        <v>326.54713917579897</v>
      </c>
      <c r="BM81" s="42" t="s">
        <v>150</v>
      </c>
      <c r="BN81" s="48">
        <v>2</v>
      </c>
      <c r="BO81" s="42" t="s">
        <v>161</v>
      </c>
      <c r="BP81" s="42" t="s">
        <v>152</v>
      </c>
      <c r="BQ81" s="46">
        <v>0</v>
      </c>
      <c r="BR81" s="46">
        <v>169</v>
      </c>
      <c r="BS81" s="46">
        <v>11866</v>
      </c>
      <c r="BT81" s="46">
        <v>3325</v>
      </c>
      <c r="BU81" s="46">
        <v>3.5687218045112781</v>
      </c>
      <c r="BV81" s="46">
        <v>19.674556213017752</v>
      </c>
      <c r="BW81" s="46">
        <v>3325</v>
      </c>
      <c r="BX81" s="46">
        <v>0</v>
      </c>
      <c r="BY81" s="46">
        <v>3325</v>
      </c>
      <c r="BZ81" s="46">
        <v>1</v>
      </c>
      <c r="CA81" s="46">
        <v>1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0.42137198719029156</v>
      </c>
      <c r="CJ81" s="46">
        <v>0.42137198719029156</v>
      </c>
      <c r="CK81">
        <v>315</v>
      </c>
      <c r="CL81">
        <v>706.97</v>
      </c>
      <c r="CM81">
        <f t="shared" si="14"/>
        <v>391.97</v>
      </c>
      <c r="CN81">
        <v>4.6399999999999997</v>
      </c>
      <c r="CO81">
        <v>9.4499999999999993</v>
      </c>
      <c r="CP81">
        <f t="shared" si="15"/>
        <v>4.8099999999999996</v>
      </c>
      <c r="CQ81">
        <v>1481.48</v>
      </c>
      <c r="CR81">
        <v>351.67</v>
      </c>
      <c r="CS81">
        <f t="shared" si="16"/>
        <v>1129.81</v>
      </c>
      <c r="CT81" t="s">
        <v>152</v>
      </c>
      <c r="CU81">
        <v>49.07</v>
      </c>
      <c r="CV81">
        <v>355</v>
      </c>
      <c r="CW81" s="46">
        <v>3325</v>
      </c>
      <c r="CX81" s="46">
        <f t="shared" si="10"/>
        <v>88.21142857142857</v>
      </c>
      <c r="CY81" s="46">
        <v>391.97</v>
      </c>
      <c r="CZ81" s="46">
        <f t="shared" si="11"/>
        <v>100</v>
      </c>
      <c r="DA81" s="46">
        <f t="shared" si="12"/>
        <v>1951.6543609445325</v>
      </c>
      <c r="DB81" s="46">
        <v>7254240.71</v>
      </c>
      <c r="DC81" s="46">
        <f t="shared" si="13"/>
        <v>37.2261277330729</v>
      </c>
      <c r="DD81" s="46">
        <v>138368.4</v>
      </c>
      <c r="DE81" s="995">
        <v>3325</v>
      </c>
      <c r="DF81" s="995">
        <v>91.686000000000007</v>
      </c>
      <c r="DG81" s="995">
        <v>276.39999999999998</v>
      </c>
      <c r="DH81" s="995">
        <v>100</v>
      </c>
      <c r="DI81" s="995">
        <v>3164.5659999999998</v>
      </c>
      <c r="DJ81" s="995">
        <v>11396953</v>
      </c>
      <c r="DK81" s="995">
        <v>59.850999999999999</v>
      </c>
      <c r="DL81" s="995">
        <v>215547.3</v>
      </c>
      <c r="DM81" s="995">
        <v>3325</v>
      </c>
      <c r="DN81" s="995">
        <v>92.826999999999998</v>
      </c>
      <c r="DO81" s="995">
        <v>238.5</v>
      </c>
      <c r="DP81" s="995">
        <v>100</v>
      </c>
      <c r="DQ81" s="995">
        <v>3036.4670000000001</v>
      </c>
      <c r="DR81" s="995">
        <v>10820471</v>
      </c>
      <c r="DS81" s="995">
        <v>57.454999999999998</v>
      </c>
      <c r="DT81" s="995">
        <v>204741.9</v>
      </c>
    </row>
    <row r="82" spans="1:124">
      <c r="A82" s="42" t="s">
        <v>92</v>
      </c>
      <c r="B82" s="42" t="s">
        <v>168</v>
      </c>
      <c r="C82" s="42" t="s">
        <v>238</v>
      </c>
      <c r="D82" s="42">
        <v>712308</v>
      </c>
      <c r="E82" s="42" t="s">
        <v>246</v>
      </c>
      <c r="F82" s="42" t="s">
        <v>149</v>
      </c>
      <c r="G82" s="42" t="s">
        <v>150</v>
      </c>
      <c r="H82" s="43" t="s">
        <v>150</v>
      </c>
      <c r="I82" s="44">
        <v>18</v>
      </c>
      <c r="J82" s="45">
        <v>126728.20272</v>
      </c>
      <c r="K82" s="46">
        <v>67621.549469000005</v>
      </c>
      <c r="L82" s="47">
        <v>194349.75218899999</v>
      </c>
      <c r="M82" s="48">
        <v>11284763</v>
      </c>
      <c r="N82" s="49">
        <v>1863042</v>
      </c>
      <c r="O82" s="49">
        <v>9421721</v>
      </c>
      <c r="P82" s="49">
        <v>0</v>
      </c>
      <c r="Q82" s="50">
        <v>25764.3012328767</v>
      </c>
      <c r="R82" s="51">
        <v>5698.9829348098301</v>
      </c>
      <c r="S82" s="49">
        <v>19312.020708898501</v>
      </c>
      <c r="T82" s="49">
        <v>1950.6940668792299</v>
      </c>
      <c r="U82" s="49">
        <f>IFERROR(INDEX('Rentabilidad datos'!$N$2:$N$61,MATCH($C82,'Rentabilidad datos'!$C$2:$C$61,0)),"")</f>
        <v>26961.697710587559</v>
      </c>
      <c r="V82" s="50">
        <f>IFERROR(INDEX('Rentabilidad datos'!$O$2:$O$61,MATCH($C82,'Rentabilidad datos'!$C$2:$C$61,0)),"")</f>
        <v>1497.8720950326422</v>
      </c>
      <c r="W82" s="51">
        <f>IFERROR(INDEX('Rentabilidad datos'!$M$2:$M$61,MATCH($C82,'Rentabilidad datos'!$C$2:$C$61,0)),"")</f>
        <v>3467.2961205401448</v>
      </c>
      <c r="X82" s="52">
        <f>IFERROR(INDEX('Rentabilidad datos'!$P$2:$P$61,MATCH($C82,'Rentabilidad datos'!$C$2:$C$61,0)),"")</f>
        <v>0.43200004930622993</v>
      </c>
      <c r="Y82" s="43" t="s">
        <v>171</v>
      </c>
      <c r="Z82" s="53">
        <v>45.221864951768502</v>
      </c>
      <c r="AA82" s="43">
        <v>1</v>
      </c>
      <c r="AB82" s="54">
        <v>1</v>
      </c>
      <c r="AC82" s="55">
        <v>0</v>
      </c>
      <c r="AD82" s="752" t="e">
        <f>_xlfn.XLOOKUP(Table1[[#This Row],[Ruta]],#REF!,#REF!)</f>
        <v>#REF!</v>
      </c>
      <c r="AE82" s="752" t="e">
        <f>_xlfn.XLOOKUP(Table1[[#This Row],[Ruta]],#REF!,#REF!)</f>
        <v>#REF!</v>
      </c>
      <c r="AF82" s="752" t="e">
        <f>_xlfn.XLOOKUP(Table1[[#This Row],[Ruta]],#REF!,#REF!)</f>
        <v>#REF!</v>
      </c>
      <c r="AG82" s="752" t="e">
        <f>_xlfn.XLOOKUP(Table1[[#This Row],[Ruta]],#REF!,#REF!)</f>
        <v>#REF!</v>
      </c>
      <c r="AH82" s="52">
        <v>0.16509358681258968</v>
      </c>
      <c r="AI82" s="52">
        <v>0.83490641318741032</v>
      </c>
      <c r="AJ82" s="55">
        <v>0</v>
      </c>
      <c r="AK82" s="56">
        <v>14064</v>
      </c>
      <c r="AL82" s="44">
        <v>15085</v>
      </c>
      <c r="AM82" s="54">
        <v>0.75910125142207097</v>
      </c>
      <c r="AN82" s="55">
        <v>0.83144613465711203</v>
      </c>
      <c r="AO82" s="56">
        <v>1017.4584378176201</v>
      </c>
      <c r="AP82" s="48">
        <v>508.72921890881003</v>
      </c>
      <c r="AQ82" s="55">
        <v>1.1087691424138801</v>
      </c>
      <c r="AR82" s="51">
        <v>11284763.939999999</v>
      </c>
      <c r="AS82" s="49">
        <v>380569.38314660097</v>
      </c>
      <c r="AT82" s="55">
        <v>3.372417758759081E-2</v>
      </c>
      <c r="AU82" s="51">
        <v>267427.13410301699</v>
      </c>
      <c r="AV82" s="52">
        <v>1.2165513403643187E-3</v>
      </c>
      <c r="AW82" s="44">
        <v>269</v>
      </c>
      <c r="AX82" s="51">
        <v>748.07848458733895</v>
      </c>
      <c r="AY82" s="49">
        <v>377.85479996169897</v>
      </c>
      <c r="AZ82" s="49">
        <v>0</v>
      </c>
      <c r="BA82" s="42" t="s">
        <v>152</v>
      </c>
      <c r="BB82" s="50">
        <v>0</v>
      </c>
      <c r="BC82" s="57">
        <v>267427.13410301699</v>
      </c>
      <c r="BD82" s="42" t="s">
        <v>150</v>
      </c>
      <c r="BE82" s="46">
        <v>45.221864951768502</v>
      </c>
      <c r="BF82" s="46">
        <v>48.897321428571402</v>
      </c>
      <c r="BG82" s="42" t="s">
        <v>152</v>
      </c>
      <c r="BH82" s="52">
        <v>0.75910125142207097</v>
      </c>
      <c r="BI82" s="52">
        <v>0.79215712207379996</v>
      </c>
      <c r="BJ82" s="42" t="s">
        <v>152</v>
      </c>
      <c r="BK82" s="46">
        <v>443.72089540867597</v>
      </c>
      <c r="BL82" s="46">
        <v>326.54713917579897</v>
      </c>
      <c r="BM82" s="42" t="s">
        <v>150</v>
      </c>
      <c r="BN82" s="48">
        <v>1</v>
      </c>
      <c r="BO82" s="42" t="s">
        <v>155</v>
      </c>
      <c r="BP82" s="42" t="s">
        <v>152</v>
      </c>
      <c r="BQ82" s="46">
        <v>2908.0145403547299</v>
      </c>
      <c r="BR82" s="46">
        <v>85</v>
      </c>
      <c r="BS82" s="46">
        <v>6624</v>
      </c>
      <c r="BT82" s="46">
        <v>2027</v>
      </c>
      <c r="BU82" s="46">
        <v>3.2678835717809571</v>
      </c>
      <c r="BV82" s="46">
        <v>23.847058823529412</v>
      </c>
      <c r="BW82" s="46">
        <v>2027</v>
      </c>
      <c r="BX82" s="46">
        <v>0</v>
      </c>
      <c r="BY82" s="46">
        <v>2027</v>
      </c>
      <c r="BZ82" s="46">
        <v>1</v>
      </c>
      <c r="CA82" s="46">
        <v>1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0.60386473429951693</v>
      </c>
      <c r="CJ82" s="46">
        <v>1.3586956521739131</v>
      </c>
      <c r="CK82">
        <v>233</v>
      </c>
      <c r="CL82">
        <v>553.83000000000004</v>
      </c>
      <c r="CM82">
        <f t="shared" si="14"/>
        <v>320.83000000000004</v>
      </c>
      <c r="CN82">
        <v>4.37</v>
      </c>
      <c r="CO82">
        <v>9.4499999999999993</v>
      </c>
      <c r="CP82">
        <f t="shared" si="15"/>
        <v>5.0799999999999992</v>
      </c>
      <c r="CQ82">
        <v>1269.8399999999999</v>
      </c>
      <c r="CR82">
        <v>443.72</v>
      </c>
      <c r="CS82">
        <f t="shared" si="16"/>
        <v>826.11999999999989</v>
      </c>
      <c r="CT82" t="s">
        <v>152</v>
      </c>
      <c r="CU82">
        <v>47.88</v>
      </c>
      <c r="CV82">
        <v>233</v>
      </c>
      <c r="CW82" s="46">
        <v>2027</v>
      </c>
      <c r="CX82" s="46">
        <f t="shared" si="10"/>
        <v>84.172175629008393</v>
      </c>
      <c r="CY82" s="46">
        <v>320.83</v>
      </c>
      <c r="CZ82" s="46">
        <f t="shared" si="11"/>
        <v>100</v>
      </c>
      <c r="DA82" s="46">
        <f t="shared" si="12"/>
        <v>2276.7627979879294</v>
      </c>
      <c r="DB82" s="46">
        <v>5345452</v>
      </c>
      <c r="DC82" s="46">
        <f t="shared" si="13"/>
        <v>39.799866259482165</v>
      </c>
      <c r="DD82" s="46">
        <v>93443.32</v>
      </c>
      <c r="DE82" s="995">
        <v>2027</v>
      </c>
      <c r="DF82" s="995">
        <v>89.031000000000006</v>
      </c>
      <c r="DG82" s="995">
        <v>222.4</v>
      </c>
      <c r="DH82" s="995">
        <v>100</v>
      </c>
      <c r="DI82" s="995">
        <v>4668.3320000000003</v>
      </c>
      <c r="DJ82" s="995">
        <v>10500720</v>
      </c>
      <c r="DK82" s="995">
        <v>83.206000000000003</v>
      </c>
      <c r="DL82" s="995">
        <v>187159.3</v>
      </c>
      <c r="DM82" s="995">
        <v>2027</v>
      </c>
      <c r="DN82" s="995">
        <v>90.801000000000002</v>
      </c>
      <c r="DO82" s="995">
        <v>186.5</v>
      </c>
      <c r="DP82" s="995">
        <v>100</v>
      </c>
      <c r="DQ82" s="995">
        <v>4481.0209999999997</v>
      </c>
      <c r="DR82" s="995">
        <v>9918618</v>
      </c>
      <c r="DS82" s="995">
        <v>79.936000000000007</v>
      </c>
      <c r="DT82" s="995">
        <v>176935.7</v>
      </c>
    </row>
    <row r="83" spans="1:124">
      <c r="A83" s="42" t="s">
        <v>92</v>
      </c>
      <c r="B83" s="42" t="s">
        <v>168</v>
      </c>
      <c r="C83" s="42" t="s">
        <v>238</v>
      </c>
      <c r="D83" s="42">
        <v>712309</v>
      </c>
      <c r="E83" s="42" t="s">
        <v>247</v>
      </c>
      <c r="F83" s="42" t="s">
        <v>149</v>
      </c>
      <c r="G83" s="42" t="s">
        <v>150</v>
      </c>
      <c r="H83" s="43" t="s">
        <v>150</v>
      </c>
      <c r="I83" s="44">
        <v>18</v>
      </c>
      <c r="J83" s="45">
        <v>104136.23360000001</v>
      </c>
      <c r="K83" s="46">
        <v>38891.413358999998</v>
      </c>
      <c r="L83" s="47">
        <v>143027.64695900001</v>
      </c>
      <c r="M83" s="48">
        <v>7034375</v>
      </c>
      <c r="N83" s="49">
        <v>1556226</v>
      </c>
      <c r="O83" s="49">
        <v>5478149</v>
      </c>
      <c r="P83" s="49">
        <v>0</v>
      </c>
      <c r="Q83" s="50">
        <v>16060.2084931507</v>
      </c>
      <c r="R83" s="51">
        <v>5698.9829348098301</v>
      </c>
      <c r="S83" s="49">
        <v>19312.020708898501</v>
      </c>
      <c r="T83" s="49">
        <v>1950.6940668792299</v>
      </c>
      <c r="U83" s="49">
        <f>IFERROR(INDEX('Rentabilidad datos'!$N$2:$N$61,MATCH($C83,'Rentabilidad datos'!$C$2:$C$61,0)),"")</f>
        <v>26961.697710587559</v>
      </c>
      <c r="V83" s="50">
        <f>IFERROR(INDEX('Rentabilidad datos'!$O$2:$O$61,MATCH($C83,'Rentabilidad datos'!$C$2:$C$61,0)),"")</f>
        <v>1497.8720950326422</v>
      </c>
      <c r="W83" s="51">
        <f>IFERROR(INDEX('Rentabilidad datos'!$M$2:$M$61,MATCH($C83,'Rentabilidad datos'!$C$2:$C$61,0)),"")</f>
        <v>3467.2961205401448</v>
      </c>
      <c r="X83" s="52">
        <f>IFERROR(INDEX('Rentabilidad datos'!$P$2:$P$61,MATCH($C83,'Rentabilidad datos'!$C$2:$C$61,0)),"")</f>
        <v>0.43200004930622993</v>
      </c>
      <c r="Y83" s="43" t="s">
        <v>171</v>
      </c>
      <c r="Z83" s="53">
        <v>41.277419354838699</v>
      </c>
      <c r="AA83" s="43">
        <v>1</v>
      </c>
      <c r="AB83" s="54">
        <v>1</v>
      </c>
      <c r="AC83" s="55">
        <v>0</v>
      </c>
      <c r="AD83" s="752" t="e">
        <f>_xlfn.XLOOKUP(Table1[[#This Row],[Ruta]],#REF!,#REF!)</f>
        <v>#REF!</v>
      </c>
      <c r="AE83" s="752" t="e">
        <f>_xlfn.XLOOKUP(Table1[[#This Row],[Ruta]],#REF!,#REF!)</f>
        <v>#REF!</v>
      </c>
      <c r="AF83" s="752" t="e">
        <f>_xlfn.XLOOKUP(Table1[[#This Row],[Ruta]],#REF!,#REF!)</f>
        <v>#REF!</v>
      </c>
      <c r="AG83" s="752" t="e">
        <f>_xlfn.XLOOKUP(Table1[[#This Row],[Ruta]],#REF!,#REF!)</f>
        <v>#REF!</v>
      </c>
      <c r="AH83" s="52">
        <v>0.2212315948467348</v>
      </c>
      <c r="AI83" s="52">
        <v>0.77876840515326518</v>
      </c>
      <c r="AJ83" s="55">
        <v>0</v>
      </c>
      <c r="AK83" s="56">
        <v>12796</v>
      </c>
      <c r="AL83" s="44">
        <v>15511</v>
      </c>
      <c r="AM83" s="54">
        <v>0.87753985620506403</v>
      </c>
      <c r="AN83" s="55">
        <v>0.83144613465711203</v>
      </c>
      <c r="AO83" s="56">
        <v>0</v>
      </c>
      <c r="AP83" s="48">
        <v>0</v>
      </c>
      <c r="AQ83" s="55">
        <v>1.2121756798999688</v>
      </c>
      <c r="AR83" s="51">
        <v>7034371.3200000003</v>
      </c>
      <c r="AS83" s="49">
        <v>0</v>
      </c>
      <c r="AT83" s="55">
        <v>0</v>
      </c>
      <c r="AU83" s="51">
        <v>0</v>
      </c>
      <c r="AV83" s="52">
        <v>0</v>
      </c>
      <c r="AW83" s="44">
        <v>490</v>
      </c>
      <c r="AX83" s="51">
        <v>453.50856295532202</v>
      </c>
      <c r="AY83" s="49">
        <v>377.85479996169897</v>
      </c>
      <c r="AZ83" s="49">
        <v>0</v>
      </c>
      <c r="BA83" s="42" t="s">
        <v>152</v>
      </c>
      <c r="BB83" s="50">
        <v>0</v>
      </c>
      <c r="BC83" s="57">
        <v>0</v>
      </c>
      <c r="BD83" s="42" t="s">
        <v>150</v>
      </c>
      <c r="BE83" s="46">
        <v>41.277419354838699</v>
      </c>
      <c r="BF83" s="46">
        <v>48.897321428571402</v>
      </c>
      <c r="BG83" s="42" t="s">
        <v>152</v>
      </c>
      <c r="BH83" s="52">
        <v>0.87753985620506403</v>
      </c>
      <c r="BI83" s="52">
        <v>0.79215712207379996</v>
      </c>
      <c r="BJ83" s="42" t="s">
        <v>150</v>
      </c>
      <c r="BK83" s="46">
        <v>326.54713917579897</v>
      </c>
      <c r="BL83" s="46">
        <v>326.54713917579897</v>
      </c>
      <c r="BM83" s="42" t="s">
        <v>150</v>
      </c>
      <c r="BN83" s="48">
        <v>2</v>
      </c>
      <c r="BO83" s="42" t="s">
        <v>161</v>
      </c>
      <c r="BP83" s="42" t="s">
        <v>152</v>
      </c>
      <c r="BQ83" s="46">
        <v>1356.8803529238301</v>
      </c>
      <c r="BR83" s="46">
        <v>79</v>
      </c>
      <c r="BS83" s="46">
        <v>5125</v>
      </c>
      <c r="BT83" s="46">
        <v>1697</v>
      </c>
      <c r="BU83" s="46">
        <v>3.020035356511491</v>
      </c>
      <c r="BV83" s="46">
        <v>21.481012658227847</v>
      </c>
      <c r="BW83" s="46">
        <v>1697</v>
      </c>
      <c r="BX83" s="46">
        <v>0</v>
      </c>
      <c r="BY83" s="46">
        <v>1697</v>
      </c>
      <c r="BZ83" s="46">
        <v>1</v>
      </c>
      <c r="CA83" s="46">
        <v>1</v>
      </c>
      <c r="CB83" s="46">
        <v>0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0.58536585365853655</v>
      </c>
      <c r="CJ83" s="46">
        <v>1.365853658536585</v>
      </c>
      <c r="CK83">
        <v>226</v>
      </c>
      <c r="CL83">
        <v>785.5</v>
      </c>
      <c r="CM83">
        <f t="shared" si="14"/>
        <v>559.5</v>
      </c>
      <c r="CN83">
        <v>3.17</v>
      </c>
      <c r="CO83">
        <v>9.4499999999999993</v>
      </c>
      <c r="CP83">
        <f t="shared" si="15"/>
        <v>6.2799999999999994</v>
      </c>
      <c r="CQ83">
        <v>1481.48</v>
      </c>
      <c r="CR83">
        <v>326.55</v>
      </c>
      <c r="CS83">
        <f t="shared" si="16"/>
        <v>1154.93</v>
      </c>
      <c r="CT83" t="s">
        <v>152</v>
      </c>
      <c r="CU83">
        <v>33.869999999999997</v>
      </c>
      <c r="CV83">
        <v>239</v>
      </c>
      <c r="CW83" s="46">
        <v>1697</v>
      </c>
      <c r="CX83" s="46">
        <f t="shared" si="10"/>
        <v>67.030053034767235</v>
      </c>
      <c r="CY83" s="46">
        <v>559.5</v>
      </c>
      <c r="CZ83" s="46">
        <f t="shared" si="11"/>
        <v>100</v>
      </c>
      <c r="DA83" s="46">
        <f t="shared" si="12"/>
        <v>3311.7831774872593</v>
      </c>
      <c r="DB83" s="46">
        <v>7473038.7400000002</v>
      </c>
      <c r="DC83" s="46">
        <f t="shared" si="13"/>
        <v>73.426443607356518</v>
      </c>
      <c r="DD83" s="46">
        <v>165686.76999999999</v>
      </c>
      <c r="DE83" s="995">
        <v>1697</v>
      </c>
      <c r="DF83" s="995">
        <v>80.183999999999997</v>
      </c>
      <c r="DG83" s="995">
        <v>336.3</v>
      </c>
      <c r="DH83" s="995">
        <v>100</v>
      </c>
      <c r="DI83" s="995">
        <v>4009.116</v>
      </c>
      <c r="DJ83" s="995">
        <v>8151667</v>
      </c>
      <c r="DK83" s="995">
        <v>91.543000000000006</v>
      </c>
      <c r="DL83" s="995">
        <v>186132.8</v>
      </c>
      <c r="DM83" s="995">
        <v>1697</v>
      </c>
      <c r="DN83" s="995">
        <v>83.680999999999997</v>
      </c>
      <c r="DO83" s="995">
        <v>276.89999999999998</v>
      </c>
      <c r="DP83" s="995">
        <v>100</v>
      </c>
      <c r="DQ83" s="995">
        <v>3749.9940000000001</v>
      </c>
      <c r="DR83" s="995">
        <v>7402258</v>
      </c>
      <c r="DS83" s="995">
        <v>85.727999999999994</v>
      </c>
      <c r="DT83" s="995">
        <v>169222.7</v>
      </c>
    </row>
    <row r="84" spans="1:124">
      <c r="A84" s="42" t="s">
        <v>92</v>
      </c>
      <c r="B84" s="42" t="s">
        <v>168</v>
      </c>
      <c r="C84" s="42" t="s">
        <v>238</v>
      </c>
      <c r="D84" s="42">
        <v>712310</v>
      </c>
      <c r="E84" s="42" t="s">
        <v>248</v>
      </c>
      <c r="F84" s="42" t="s">
        <v>149</v>
      </c>
      <c r="G84" s="42" t="s">
        <v>150</v>
      </c>
      <c r="H84" s="43" t="s">
        <v>150</v>
      </c>
      <c r="I84" s="44">
        <v>18</v>
      </c>
      <c r="J84" s="45">
        <v>109032.36960000001</v>
      </c>
      <c r="K84" s="46">
        <v>27343.962036000001</v>
      </c>
      <c r="L84" s="47">
        <v>136376.33163599999</v>
      </c>
      <c r="M84" s="48">
        <v>5113594</v>
      </c>
      <c r="N84" s="49">
        <v>1691114</v>
      </c>
      <c r="O84" s="49">
        <v>3422480</v>
      </c>
      <c r="P84" s="49">
        <v>0</v>
      </c>
      <c r="Q84" s="50">
        <v>11674.872694063901</v>
      </c>
      <c r="R84" s="51">
        <v>5698.9829348098301</v>
      </c>
      <c r="S84" s="49">
        <v>19312.020708898501</v>
      </c>
      <c r="T84" s="49">
        <v>1950.6940668792299</v>
      </c>
      <c r="U84" s="49">
        <f>IFERROR(INDEX('Rentabilidad datos'!$N$2:$N$61,MATCH($C84,'Rentabilidad datos'!$C$2:$C$61,0)),"")</f>
        <v>26961.697710587559</v>
      </c>
      <c r="V84" s="50">
        <f>IFERROR(INDEX('Rentabilidad datos'!$O$2:$O$61,MATCH($C84,'Rentabilidad datos'!$C$2:$C$61,0)),"")</f>
        <v>1497.8720950326422</v>
      </c>
      <c r="W84" s="51">
        <f>IFERROR(INDEX('Rentabilidad datos'!$M$2:$M$61,MATCH($C84,'Rentabilidad datos'!$C$2:$C$61,0)),"")</f>
        <v>3467.2961205401448</v>
      </c>
      <c r="X84" s="52">
        <f>IFERROR(INDEX('Rentabilidad datos'!$P$2:$P$61,MATCH($C84,'Rentabilidad datos'!$C$2:$C$61,0)),"")</f>
        <v>0.43200004930622993</v>
      </c>
      <c r="Y84" s="43" t="s">
        <v>171</v>
      </c>
      <c r="Z84" s="53">
        <v>54.5048231511254</v>
      </c>
      <c r="AA84" s="43">
        <v>1</v>
      </c>
      <c r="AB84" s="54">
        <v>0.99903375199517208</v>
      </c>
      <c r="AC84" s="55">
        <v>9.6624800482791558E-4</v>
      </c>
      <c r="AD84" s="752" t="e">
        <f>_xlfn.XLOOKUP(Table1[[#This Row],[Ruta]],#REF!,#REF!)</f>
        <v>#REF!</v>
      </c>
      <c r="AE84" s="752" t="e">
        <f>_xlfn.XLOOKUP(Table1[[#This Row],[Ruta]],#REF!,#REF!)</f>
        <v>#REF!</v>
      </c>
      <c r="AF84" s="752" t="e">
        <f>_xlfn.XLOOKUP(Table1[[#This Row],[Ruta]],#REF!,#REF!)</f>
        <v>#REF!</v>
      </c>
      <c r="AG84" s="752" t="e">
        <f>_xlfn.XLOOKUP(Table1[[#This Row],[Ruta]],#REF!,#REF!)</f>
        <v>#REF!</v>
      </c>
      <c r="AH84" s="52">
        <v>0.33070947752207158</v>
      </c>
      <c r="AI84" s="52">
        <v>0.66929052247792842</v>
      </c>
      <c r="AJ84" s="55">
        <v>0</v>
      </c>
      <c r="AK84" s="56">
        <v>16951</v>
      </c>
      <c r="AL84" s="44">
        <v>18650</v>
      </c>
      <c r="AM84" s="54">
        <v>0.81240044835113001</v>
      </c>
      <c r="AN84" s="55">
        <v>0.83144613465711203</v>
      </c>
      <c r="AO84" s="56">
        <v>322.84342857269598</v>
      </c>
      <c r="AP84" s="48">
        <v>161.42171428634799</v>
      </c>
      <c r="AQ84" s="55">
        <v>1.1097529180748245</v>
      </c>
      <c r="AR84" s="51">
        <v>5113594.24</v>
      </c>
      <c r="AS84" s="49">
        <v>44259.793479120402</v>
      </c>
      <c r="AT84" s="55">
        <v>8.655319800876575E-3</v>
      </c>
      <c r="AU84" s="51">
        <v>31101.476498841377</v>
      </c>
      <c r="AV84" s="52">
        <v>1.4148355980735905E-4</v>
      </c>
      <c r="AW84" s="44">
        <v>448</v>
      </c>
      <c r="AX84" s="51">
        <v>274.18735871313697</v>
      </c>
      <c r="AY84" s="49">
        <v>377.85479996169897</v>
      </c>
      <c r="AZ84" s="49">
        <v>103.667441248562</v>
      </c>
      <c r="BA84" s="42" t="s">
        <v>150</v>
      </c>
      <c r="BB84" s="50">
        <v>679301.92245172604</v>
      </c>
      <c r="BC84" s="57">
        <v>710403.39895056747</v>
      </c>
      <c r="BD84" s="42" t="s">
        <v>150</v>
      </c>
      <c r="BE84" s="46">
        <v>54.5048231511254</v>
      </c>
      <c r="BF84" s="46">
        <v>48.897321428571402</v>
      </c>
      <c r="BG84" s="42" t="s">
        <v>150</v>
      </c>
      <c r="BH84" s="52">
        <v>0.81240044835113001</v>
      </c>
      <c r="BI84" s="52">
        <v>0.79215712207379996</v>
      </c>
      <c r="BJ84" s="42" t="s">
        <v>150</v>
      </c>
      <c r="BK84" s="46">
        <v>311.36148775342502</v>
      </c>
      <c r="BL84" s="46">
        <v>326.54713917579897</v>
      </c>
      <c r="BM84" s="42" t="s">
        <v>152</v>
      </c>
      <c r="BN84" s="48">
        <v>2</v>
      </c>
      <c r="BO84" s="42" t="s">
        <v>161</v>
      </c>
      <c r="BP84" s="42" t="s">
        <v>152</v>
      </c>
      <c r="BQ84" s="46">
        <v>0</v>
      </c>
      <c r="BR84" s="46">
        <v>86</v>
      </c>
      <c r="BS84" s="46">
        <v>5838</v>
      </c>
      <c r="BT84" s="46">
        <v>2100</v>
      </c>
      <c r="BU84" s="46">
        <v>2.78</v>
      </c>
      <c r="BV84" s="46">
        <v>24.418604651162791</v>
      </c>
      <c r="BW84" s="46">
        <v>1531</v>
      </c>
      <c r="BX84" s="46">
        <v>569</v>
      </c>
      <c r="BY84" s="46">
        <v>2100</v>
      </c>
      <c r="BZ84" s="46">
        <v>1</v>
      </c>
      <c r="CA84" s="46">
        <v>0.72904761904761906</v>
      </c>
      <c r="CB84" s="46">
        <v>0.27095238095238089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1.199040767386091</v>
      </c>
      <c r="CJ84" s="46">
        <v>1.8842069201781433</v>
      </c>
      <c r="CK84">
        <v>387</v>
      </c>
      <c r="CL84">
        <v>638.07000000000005</v>
      </c>
      <c r="CM84">
        <f t="shared" si="14"/>
        <v>251.07000000000005</v>
      </c>
      <c r="CN84">
        <v>5.87</v>
      </c>
      <c r="CO84">
        <v>9.4499999999999993</v>
      </c>
      <c r="CP84">
        <f t="shared" si="15"/>
        <v>3.5799999999999992</v>
      </c>
      <c r="CQ84">
        <v>634.91999999999996</v>
      </c>
      <c r="CR84">
        <v>311.36</v>
      </c>
      <c r="CS84">
        <f t="shared" si="16"/>
        <v>323.55999999999995</v>
      </c>
      <c r="CT84" t="s">
        <v>152</v>
      </c>
      <c r="CU84">
        <v>66.069999999999993</v>
      </c>
      <c r="CV84">
        <v>461</v>
      </c>
      <c r="CW84" s="46">
        <v>2100</v>
      </c>
      <c r="CX84" s="46">
        <f t="shared" si="10"/>
        <v>88.044285714285721</v>
      </c>
      <c r="CY84" s="46">
        <v>251.07</v>
      </c>
      <c r="CZ84" s="46">
        <f t="shared" si="11"/>
        <v>100</v>
      </c>
      <c r="DA84" s="46">
        <f t="shared" si="12"/>
        <v>2145.312568319956</v>
      </c>
      <c r="DB84" s="46">
        <v>5043780.0199999996</v>
      </c>
      <c r="DC84" s="46">
        <f t="shared" si="13"/>
        <v>56.516777467280846</v>
      </c>
      <c r="DD84" s="46">
        <v>132874.9</v>
      </c>
      <c r="DE84" s="995">
        <v>2100</v>
      </c>
      <c r="DF84" s="995">
        <v>89.049000000000007</v>
      </c>
      <c r="DG84" s="995">
        <v>230</v>
      </c>
      <c r="DH84" s="995">
        <v>100</v>
      </c>
      <c r="DI84" s="995">
        <v>3836.3440000000001</v>
      </c>
      <c r="DJ84" s="995">
        <v>8938552</v>
      </c>
      <c r="DK84" s="995">
        <v>101</v>
      </c>
      <c r="DL84" s="995">
        <v>235325.8</v>
      </c>
      <c r="DM84" s="995">
        <v>2100</v>
      </c>
      <c r="DN84" s="995">
        <v>90.981999999999999</v>
      </c>
      <c r="DO84" s="995">
        <v>189.4</v>
      </c>
      <c r="DP84" s="995">
        <v>100</v>
      </c>
      <c r="DQ84" s="995">
        <v>3709.0740000000001</v>
      </c>
      <c r="DR84" s="995">
        <v>8491495</v>
      </c>
      <c r="DS84" s="995">
        <v>97.739000000000004</v>
      </c>
      <c r="DT84" s="995">
        <v>223761.9</v>
      </c>
    </row>
    <row r="85" spans="1:124">
      <c r="A85" s="42" t="s">
        <v>92</v>
      </c>
      <c r="B85" s="42" t="s">
        <v>168</v>
      </c>
      <c r="C85" s="42" t="s">
        <v>238</v>
      </c>
      <c r="D85" s="42">
        <v>712311</v>
      </c>
      <c r="E85" s="42" t="s">
        <v>249</v>
      </c>
      <c r="F85" s="42" t="s">
        <v>149</v>
      </c>
      <c r="G85" s="42" t="s">
        <v>150</v>
      </c>
      <c r="H85" s="43" t="s">
        <v>150</v>
      </c>
      <c r="I85" s="44">
        <v>18</v>
      </c>
      <c r="J85" s="45">
        <v>97091.433600000004</v>
      </c>
      <c r="K85" s="46">
        <v>30141.624094999999</v>
      </c>
      <c r="L85" s="47">
        <v>127233.057695</v>
      </c>
      <c r="M85" s="48">
        <v>5722964</v>
      </c>
      <c r="N85" s="49">
        <v>1459902</v>
      </c>
      <c r="O85" s="49">
        <v>4263062</v>
      </c>
      <c r="P85" s="49">
        <v>0</v>
      </c>
      <c r="Q85" s="50">
        <v>13096.020411899301</v>
      </c>
      <c r="R85" s="51">
        <v>5698.9829348098301</v>
      </c>
      <c r="S85" s="49">
        <v>19312.020708898501</v>
      </c>
      <c r="T85" s="49">
        <v>1950.6940668792299</v>
      </c>
      <c r="U85" s="49">
        <f>IFERROR(INDEX('Rentabilidad datos'!$N$2:$N$61,MATCH($C85,'Rentabilidad datos'!$C$2:$C$61,0)),"")</f>
        <v>26961.697710587559</v>
      </c>
      <c r="V85" s="50">
        <f>IFERROR(INDEX('Rentabilidad datos'!$O$2:$O$61,MATCH($C85,'Rentabilidad datos'!$C$2:$C$61,0)),"")</f>
        <v>1497.8720950326422</v>
      </c>
      <c r="W85" s="51">
        <f>IFERROR(INDEX('Rentabilidad datos'!$M$2:$M$61,MATCH($C85,'Rentabilidad datos'!$C$2:$C$61,0)),"")</f>
        <v>3467.2961205401448</v>
      </c>
      <c r="X85" s="52">
        <f>IFERROR(INDEX('Rentabilidad datos'!$P$2:$P$61,MATCH($C85,'Rentabilidad datos'!$C$2:$C$61,0)),"")</f>
        <v>0.43200004930622993</v>
      </c>
      <c r="Y85" s="43" t="s">
        <v>171</v>
      </c>
      <c r="Z85" s="53">
        <v>48.938511326860798</v>
      </c>
      <c r="AA85" s="43">
        <v>1</v>
      </c>
      <c r="AB85" s="54">
        <v>0.99967569252576116</v>
      </c>
      <c r="AC85" s="55">
        <v>3.243074742388734E-4</v>
      </c>
      <c r="AD85" s="752" t="e">
        <f>_xlfn.XLOOKUP(Table1[[#This Row],[Ruta]],#REF!,#REF!)</f>
        <v>#REF!</v>
      </c>
      <c r="AE85" s="752" t="e">
        <f>_xlfn.XLOOKUP(Table1[[#This Row],[Ruta]],#REF!,#REF!)</f>
        <v>#REF!</v>
      </c>
      <c r="AF85" s="752" t="e">
        <f>_xlfn.XLOOKUP(Table1[[#This Row],[Ruta]],#REF!,#REF!)</f>
        <v>#REF!</v>
      </c>
      <c r="AG85" s="752" t="e">
        <f>_xlfn.XLOOKUP(Table1[[#This Row],[Ruta]],#REF!,#REF!)</f>
        <v>#REF!</v>
      </c>
      <c r="AH85" s="52">
        <v>0.2550954365604956</v>
      </c>
      <c r="AI85" s="52">
        <v>0.7449045634395044</v>
      </c>
      <c r="AJ85" s="55">
        <v>0</v>
      </c>
      <c r="AK85" s="56">
        <v>15122</v>
      </c>
      <c r="AL85" s="44">
        <v>15901</v>
      </c>
      <c r="AM85" s="54">
        <v>0.79215712207379996</v>
      </c>
      <c r="AN85" s="55">
        <v>0.83144613465711203</v>
      </c>
      <c r="AO85" s="56">
        <v>594.12844828484106</v>
      </c>
      <c r="AP85" s="48">
        <v>297.06422414242053</v>
      </c>
      <c r="AQ85" s="55">
        <v>1.0711588562453658</v>
      </c>
      <c r="AR85" s="51">
        <v>5722960.9199999999</v>
      </c>
      <c r="AS85" s="49">
        <v>106916.9829254255</v>
      </c>
      <c r="AT85" s="55">
        <v>1.8682109561814989E-2</v>
      </c>
      <c r="AU85" s="51">
        <v>75130.852866515241</v>
      </c>
      <c r="AV85" s="52">
        <v>3.4177735951904065E-4</v>
      </c>
      <c r="AW85" s="44">
        <v>412</v>
      </c>
      <c r="AX85" s="51">
        <v>359.91201308093798</v>
      </c>
      <c r="AY85" s="49">
        <v>377.85479996169897</v>
      </c>
      <c r="AZ85" s="49">
        <v>17.942786880760991</v>
      </c>
      <c r="BA85" s="42" t="s">
        <v>150</v>
      </c>
      <c r="BB85" s="50">
        <v>100243.44066169589</v>
      </c>
      <c r="BC85" s="57">
        <v>175374.29352821113</v>
      </c>
      <c r="BD85" s="42" t="s">
        <v>150</v>
      </c>
      <c r="BE85" s="46">
        <v>48.938511326860798</v>
      </c>
      <c r="BF85" s="46">
        <v>48.897321428571402</v>
      </c>
      <c r="BG85" s="42" t="s">
        <v>150</v>
      </c>
      <c r="BH85" s="52">
        <v>0.79215712207379996</v>
      </c>
      <c r="BI85" s="52">
        <v>0.79215712207379996</v>
      </c>
      <c r="BJ85" s="42" t="s">
        <v>150</v>
      </c>
      <c r="BK85" s="46">
        <v>291.15116177345499</v>
      </c>
      <c r="BL85" s="46">
        <v>326.54713917579897</v>
      </c>
      <c r="BM85" s="42" t="s">
        <v>152</v>
      </c>
      <c r="BN85" s="48">
        <v>2</v>
      </c>
      <c r="BO85" s="42" t="s">
        <v>161</v>
      </c>
      <c r="BP85" s="42" t="s">
        <v>152</v>
      </c>
      <c r="BQ85" s="46">
        <v>991.282710442336</v>
      </c>
      <c r="BR85" s="46">
        <v>82</v>
      </c>
      <c r="BS85" s="46">
        <v>5381</v>
      </c>
      <c r="BT85" s="46">
        <v>1528</v>
      </c>
      <c r="BU85" s="46">
        <v>3.5215968586387434</v>
      </c>
      <c r="BV85" s="46">
        <v>18.634146341463413</v>
      </c>
      <c r="BW85" s="46">
        <v>1528</v>
      </c>
      <c r="BX85" s="46">
        <v>0</v>
      </c>
      <c r="BY85" s="46">
        <v>1528</v>
      </c>
      <c r="BZ85" s="46">
        <v>1</v>
      </c>
      <c r="CA85" s="46">
        <v>1</v>
      </c>
      <c r="CB85" s="46">
        <v>0</v>
      </c>
      <c r="CC85" s="46">
        <v>0</v>
      </c>
      <c r="CD85" s="46">
        <v>0</v>
      </c>
      <c r="CE85" s="46">
        <v>0</v>
      </c>
      <c r="CF85" s="46">
        <v>0</v>
      </c>
      <c r="CG85" s="46">
        <v>0</v>
      </c>
      <c r="CH85" s="46">
        <v>0</v>
      </c>
      <c r="CI85" s="46">
        <v>0.37167812674224121</v>
      </c>
      <c r="CJ85" s="46">
        <v>0.55751719011336176</v>
      </c>
      <c r="CK85">
        <v>295</v>
      </c>
      <c r="CL85">
        <v>589.52</v>
      </c>
      <c r="CM85">
        <f t="shared" si="14"/>
        <v>294.52</v>
      </c>
      <c r="CN85">
        <v>4.59</v>
      </c>
      <c r="CO85">
        <v>9.4499999999999993</v>
      </c>
      <c r="CP85">
        <f t="shared" si="15"/>
        <v>4.8599999999999994</v>
      </c>
      <c r="CQ85">
        <v>634.91999999999996</v>
      </c>
      <c r="CR85">
        <v>291.14999999999998</v>
      </c>
      <c r="CS85">
        <f t="shared" si="16"/>
        <v>343.77</v>
      </c>
      <c r="CT85" t="s">
        <v>152</v>
      </c>
      <c r="CU85">
        <v>54.22</v>
      </c>
      <c r="CV85">
        <v>325</v>
      </c>
      <c r="CW85" s="46">
        <v>1528</v>
      </c>
      <c r="CX85" s="46">
        <f t="shared" si="10"/>
        <v>80.725130890052355</v>
      </c>
      <c r="CY85" s="46">
        <v>294.52</v>
      </c>
      <c r="CZ85" s="46">
        <f t="shared" si="11"/>
        <v>100</v>
      </c>
      <c r="DA85" s="46">
        <f t="shared" si="12"/>
        <v>3089.3729506397735</v>
      </c>
      <c r="DB85" s="46">
        <v>5630443.9900000002</v>
      </c>
      <c r="DC85" s="46">
        <f t="shared" si="13"/>
        <v>67.629781840528508</v>
      </c>
      <c r="DD85" s="46">
        <v>123256.63</v>
      </c>
      <c r="DE85" s="995">
        <v>1528</v>
      </c>
      <c r="DF85" s="995">
        <v>83.024000000000001</v>
      </c>
      <c r="DG85" s="995">
        <v>259.39999999999998</v>
      </c>
      <c r="DH85" s="995">
        <v>100</v>
      </c>
      <c r="DI85" s="995">
        <v>4875.8320000000003</v>
      </c>
      <c r="DJ85" s="995">
        <v>8715051</v>
      </c>
      <c r="DK85" s="995">
        <v>108.325</v>
      </c>
      <c r="DL85" s="995">
        <v>193620.4</v>
      </c>
      <c r="DM85" s="995">
        <v>1528</v>
      </c>
      <c r="DN85" s="995">
        <v>86.02</v>
      </c>
      <c r="DO85" s="995">
        <v>213.6</v>
      </c>
      <c r="DP85" s="995">
        <v>100</v>
      </c>
      <c r="DQ85" s="995">
        <v>4657.924</v>
      </c>
      <c r="DR85" s="995">
        <v>8112342</v>
      </c>
      <c r="DS85" s="995">
        <v>103.68300000000001</v>
      </c>
      <c r="DT85" s="995">
        <v>180576.5</v>
      </c>
    </row>
    <row r="86" spans="1:124">
      <c r="A86" s="42" t="s">
        <v>92</v>
      </c>
      <c r="B86" s="42" t="s">
        <v>168</v>
      </c>
      <c r="C86" s="42" t="s">
        <v>238</v>
      </c>
      <c r="D86" s="42">
        <v>712312</v>
      </c>
      <c r="E86" s="42" t="s">
        <v>250</v>
      </c>
      <c r="F86" s="42" t="s">
        <v>149</v>
      </c>
      <c r="G86" s="42" t="s">
        <v>150</v>
      </c>
      <c r="H86" s="43" t="s">
        <v>150</v>
      </c>
      <c r="I86" s="44">
        <v>18</v>
      </c>
      <c r="J86" s="45">
        <v>108965.444</v>
      </c>
      <c r="K86" s="46">
        <v>31519.660544999999</v>
      </c>
      <c r="L86" s="47">
        <v>140485.10454500001</v>
      </c>
      <c r="M86" s="48">
        <v>6091656</v>
      </c>
      <c r="N86" s="49">
        <v>1685623</v>
      </c>
      <c r="O86" s="49">
        <v>4406033</v>
      </c>
      <c r="P86" s="49">
        <v>0</v>
      </c>
      <c r="Q86" s="50">
        <v>13907.889680365301</v>
      </c>
      <c r="R86" s="51">
        <v>5698.9829348098301</v>
      </c>
      <c r="S86" s="49">
        <v>19312.020708898501</v>
      </c>
      <c r="T86" s="49">
        <v>1950.6940668792299</v>
      </c>
      <c r="U86" s="49">
        <f>IFERROR(INDEX('Rentabilidad datos'!$N$2:$N$61,MATCH($C86,'Rentabilidad datos'!$C$2:$C$61,0)),"")</f>
        <v>26961.697710587559</v>
      </c>
      <c r="V86" s="50">
        <f>IFERROR(INDEX('Rentabilidad datos'!$O$2:$O$61,MATCH($C86,'Rentabilidad datos'!$C$2:$C$61,0)),"")</f>
        <v>1497.8720950326422</v>
      </c>
      <c r="W86" s="51">
        <f>IFERROR(INDEX('Rentabilidad datos'!$M$2:$M$61,MATCH($C86,'Rentabilidad datos'!$C$2:$C$61,0)),"")</f>
        <v>3467.2961205401448</v>
      </c>
      <c r="X86" s="52">
        <f>IFERROR(INDEX('Rentabilidad datos'!$P$2:$P$61,MATCH($C86,'Rentabilidad datos'!$C$2:$C$61,0)),"")</f>
        <v>0.43200004930622993</v>
      </c>
      <c r="Y86" s="43" t="s">
        <v>171</v>
      </c>
      <c r="Z86" s="53">
        <v>54.251612903225798</v>
      </c>
      <c r="AA86" s="43">
        <v>1</v>
      </c>
      <c r="AB86" s="54">
        <v>0.99356529653020464</v>
      </c>
      <c r="AC86" s="55">
        <v>6.4347034697954057E-3</v>
      </c>
      <c r="AD86" s="752" t="e">
        <f>_xlfn.XLOOKUP(Table1[[#This Row],[Ruta]],#REF!,#REF!)</f>
        <v>#REF!</v>
      </c>
      <c r="AE86" s="752" t="e">
        <f>_xlfn.XLOOKUP(Table1[[#This Row],[Ruta]],#REF!,#REF!)</f>
        <v>#REF!</v>
      </c>
      <c r="AF86" s="752" t="e">
        <f>_xlfn.XLOOKUP(Table1[[#This Row],[Ruta]],#REF!,#REF!)</f>
        <v>#REF!</v>
      </c>
      <c r="AG86" s="752" t="e">
        <f>_xlfn.XLOOKUP(Table1[[#This Row],[Ruta]],#REF!,#REF!)</f>
        <v>#REF!</v>
      </c>
      <c r="AH86" s="52">
        <v>0.27671014252938775</v>
      </c>
      <c r="AI86" s="52">
        <v>0.72328985747061225</v>
      </c>
      <c r="AJ86" s="55">
        <v>0</v>
      </c>
      <c r="AK86" s="56">
        <v>16818</v>
      </c>
      <c r="AL86" s="44">
        <v>18970</v>
      </c>
      <c r="AM86" s="54">
        <v>0.79432750624331105</v>
      </c>
      <c r="AN86" s="55">
        <v>0.83144613465711203</v>
      </c>
      <c r="AO86" s="56">
        <v>624.26109266330104</v>
      </c>
      <c r="AP86" s="48">
        <v>312.13054633165052</v>
      </c>
      <c r="AQ86" s="55">
        <v>1.1465174542949013</v>
      </c>
      <c r="AR86" s="51">
        <v>6091655.6799999997</v>
      </c>
      <c r="AS86" s="49">
        <v>100231.5137302425</v>
      </c>
      <c r="AT86" s="55">
        <v>1.6453903338516089E-2</v>
      </c>
      <c r="AU86" s="51">
        <v>70432.955594224492</v>
      </c>
      <c r="AV86" s="52">
        <v>3.2040618025307432E-4</v>
      </c>
      <c r="AW86" s="44">
        <v>415</v>
      </c>
      <c r="AX86" s="51">
        <v>321.12048919346398</v>
      </c>
      <c r="AY86" s="49">
        <v>377.85479996169897</v>
      </c>
      <c r="AZ86" s="49">
        <v>56.734310768234991</v>
      </c>
      <c r="BA86" s="42" t="s">
        <v>150</v>
      </c>
      <c r="BB86" s="50">
        <v>378141.84806903877</v>
      </c>
      <c r="BC86" s="57">
        <v>448574.80366326327</v>
      </c>
      <c r="BD86" s="42" t="s">
        <v>150</v>
      </c>
      <c r="BE86" s="46">
        <v>54.251612903225798</v>
      </c>
      <c r="BF86" s="46">
        <v>48.897321428571402</v>
      </c>
      <c r="BG86" s="42" t="s">
        <v>150</v>
      </c>
      <c r="BH86" s="52">
        <v>0.79432750624331105</v>
      </c>
      <c r="BI86" s="52">
        <v>0.79215712207379996</v>
      </c>
      <c r="BJ86" s="42" t="s">
        <v>150</v>
      </c>
      <c r="BK86" s="46">
        <v>320.742247819635</v>
      </c>
      <c r="BL86" s="46">
        <v>326.54713917579897</v>
      </c>
      <c r="BM86" s="42" t="s">
        <v>152</v>
      </c>
      <c r="BN86" s="48">
        <v>2</v>
      </c>
      <c r="BO86" s="42" t="s">
        <v>161</v>
      </c>
      <c r="BP86" s="42" t="s">
        <v>152</v>
      </c>
      <c r="BQ86" s="46">
        <v>218.24750642520499</v>
      </c>
      <c r="BR86" s="46">
        <v>132</v>
      </c>
      <c r="BS86" s="46">
        <v>9756</v>
      </c>
      <c r="BT86" s="46">
        <v>2972</v>
      </c>
      <c r="BU86" s="46">
        <v>3.2826379542395694</v>
      </c>
      <c r="BV86" s="46">
        <v>22.515151515151516</v>
      </c>
      <c r="BW86" s="46">
        <v>2972</v>
      </c>
      <c r="BX86" s="46">
        <v>0</v>
      </c>
      <c r="BY86" s="46">
        <v>2972</v>
      </c>
      <c r="BZ86" s="46">
        <v>1</v>
      </c>
      <c r="CA86" s="46">
        <v>1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0.1025010250102501</v>
      </c>
      <c r="CJ86" s="46">
        <v>0.51250512505125045</v>
      </c>
      <c r="CK86">
        <v>329</v>
      </c>
      <c r="CL86">
        <v>694.92</v>
      </c>
      <c r="CM86">
        <f t="shared" si="14"/>
        <v>365.91999999999996</v>
      </c>
      <c r="CN86">
        <v>5.23</v>
      </c>
      <c r="CO86">
        <v>9.4499999999999993</v>
      </c>
      <c r="CP86">
        <f t="shared" si="15"/>
        <v>4.2199999999999989</v>
      </c>
      <c r="CQ86">
        <v>1481.48</v>
      </c>
      <c r="CR86">
        <v>320.74</v>
      </c>
      <c r="CS86">
        <f t="shared" si="16"/>
        <v>1160.74</v>
      </c>
      <c r="CT86" t="s">
        <v>152</v>
      </c>
      <c r="CU86">
        <v>55.32</v>
      </c>
      <c r="CV86">
        <v>373</v>
      </c>
      <c r="CW86" s="46">
        <v>2972</v>
      </c>
      <c r="CX86" s="46">
        <f t="shared" si="10"/>
        <v>87.687752355316277</v>
      </c>
      <c r="CY86" s="46">
        <v>365.92</v>
      </c>
      <c r="CZ86" s="46">
        <f t="shared" si="11"/>
        <v>100</v>
      </c>
      <c r="DA86" s="46">
        <f t="shared" si="12"/>
        <v>1880.3774386444252</v>
      </c>
      <c r="DB86" s="46">
        <v>6276549.46</v>
      </c>
      <c r="DC86" s="46">
        <f t="shared" si="13"/>
        <v>41.063081200268428</v>
      </c>
      <c r="DD86" s="46">
        <v>137065.28</v>
      </c>
      <c r="DE86" s="995">
        <v>2972</v>
      </c>
      <c r="DF86" s="995">
        <v>91.792000000000002</v>
      </c>
      <c r="DG86" s="995">
        <v>243.9</v>
      </c>
      <c r="DH86" s="995">
        <v>100</v>
      </c>
      <c r="DI86" s="995">
        <v>2943.5549999999998</v>
      </c>
      <c r="DJ86" s="995">
        <v>9466269</v>
      </c>
      <c r="DK86" s="995">
        <v>64.677000000000007</v>
      </c>
      <c r="DL86" s="995">
        <v>207997.7</v>
      </c>
      <c r="DM86" s="995">
        <v>2972</v>
      </c>
      <c r="DN86" s="995">
        <v>93.162999999999997</v>
      </c>
      <c r="DO86" s="995">
        <v>203.2</v>
      </c>
      <c r="DP86" s="995">
        <v>100</v>
      </c>
      <c r="DQ86" s="995">
        <v>2812.1909999999998</v>
      </c>
      <c r="DR86" s="995">
        <v>8929283</v>
      </c>
      <c r="DS86" s="995">
        <v>61.851999999999997</v>
      </c>
      <c r="DT86" s="995">
        <v>196392.8</v>
      </c>
    </row>
    <row r="87" spans="1:124">
      <c r="A87" s="42" t="s">
        <v>92</v>
      </c>
      <c r="B87" s="42" t="s">
        <v>168</v>
      </c>
      <c r="C87" s="42" t="s">
        <v>238</v>
      </c>
      <c r="D87" s="42">
        <v>712313</v>
      </c>
      <c r="E87" s="42" t="s">
        <v>251</v>
      </c>
      <c r="F87" s="42" t="s">
        <v>149</v>
      </c>
      <c r="G87" s="42" t="s">
        <v>150</v>
      </c>
      <c r="H87" s="43" t="s">
        <v>150</v>
      </c>
      <c r="I87" s="44">
        <v>18</v>
      </c>
      <c r="J87" s="45">
        <v>123079.70080000001</v>
      </c>
      <c r="K87" s="46">
        <v>36571.987421999998</v>
      </c>
      <c r="L87" s="47">
        <v>159651.688222</v>
      </c>
      <c r="M87" s="48">
        <v>7200504</v>
      </c>
      <c r="N87" s="49">
        <v>1811166</v>
      </c>
      <c r="O87" s="49">
        <v>5389338</v>
      </c>
      <c r="P87" s="49">
        <v>0</v>
      </c>
      <c r="Q87" s="50">
        <v>16414.314178082201</v>
      </c>
      <c r="R87" s="51">
        <v>5698.9829348098301</v>
      </c>
      <c r="S87" s="49">
        <v>19312.020708898501</v>
      </c>
      <c r="T87" s="49">
        <v>1950.6940668792299</v>
      </c>
      <c r="U87" s="49">
        <f>IFERROR(INDEX('Rentabilidad datos'!$N$2:$N$61,MATCH($C87,'Rentabilidad datos'!$C$2:$C$61,0)),"")</f>
        <v>26961.697710587559</v>
      </c>
      <c r="V87" s="50">
        <f>IFERROR(INDEX('Rentabilidad datos'!$O$2:$O$61,MATCH($C87,'Rentabilidad datos'!$C$2:$C$61,0)),"")</f>
        <v>1497.8720950326422</v>
      </c>
      <c r="W87" s="51">
        <f>IFERROR(INDEX('Rentabilidad datos'!$M$2:$M$61,MATCH($C87,'Rentabilidad datos'!$C$2:$C$61,0)),"")</f>
        <v>3467.2961205401448</v>
      </c>
      <c r="X87" s="52">
        <f>IFERROR(INDEX('Rentabilidad datos'!$P$2:$P$61,MATCH($C87,'Rentabilidad datos'!$C$2:$C$61,0)),"")</f>
        <v>0.43200004930622993</v>
      </c>
      <c r="Y87" s="43" t="s">
        <v>171</v>
      </c>
      <c r="Z87" s="53">
        <v>44.009677419354801</v>
      </c>
      <c r="AA87" s="43">
        <v>1</v>
      </c>
      <c r="AB87" s="54">
        <v>0.99103951612276031</v>
      </c>
      <c r="AC87" s="55">
        <v>8.9604838772397045E-3</v>
      </c>
      <c r="AD87" s="752" t="e">
        <f>_xlfn.XLOOKUP(Table1[[#This Row],[Ruta]],#REF!,#REF!)</f>
        <v>#REF!</v>
      </c>
      <c r="AE87" s="752" t="e">
        <f>_xlfn.XLOOKUP(Table1[[#This Row],[Ruta]],#REF!,#REF!)</f>
        <v>#REF!</v>
      </c>
      <c r="AF87" s="752" t="e">
        <f>_xlfn.XLOOKUP(Table1[[#This Row],[Ruta]],#REF!,#REF!)</f>
        <v>#REF!</v>
      </c>
      <c r="AG87" s="752" t="e">
        <f>_xlfn.XLOOKUP(Table1[[#This Row],[Ruta]],#REF!,#REF!)</f>
        <v>#REF!</v>
      </c>
      <c r="AH87" s="52">
        <v>0.25153322600751282</v>
      </c>
      <c r="AI87" s="52">
        <v>0.74846677399248718</v>
      </c>
      <c r="AJ87" s="55">
        <v>0</v>
      </c>
      <c r="AK87" s="56">
        <v>13643</v>
      </c>
      <c r="AL87" s="44">
        <v>14413</v>
      </c>
      <c r="AM87" s="54">
        <v>0.81594957120867795</v>
      </c>
      <c r="AN87" s="55">
        <v>0.83144613465711203</v>
      </c>
      <c r="AO87" s="56">
        <v>211.41961512697199</v>
      </c>
      <c r="AP87" s="48">
        <v>105.709807563486</v>
      </c>
      <c r="AQ87" s="55">
        <v>1.0641874813137495</v>
      </c>
      <c r="AR87" s="51">
        <v>7189469.6100000003</v>
      </c>
      <c r="AS87" s="49">
        <v>52729.997152336997</v>
      </c>
      <c r="AT87" s="55">
        <v>7.3343375815920573E-3</v>
      </c>
      <c r="AU87" s="51">
        <v>37053.511512453042</v>
      </c>
      <c r="AV87" s="52">
        <v>1.6855993034093139E-4</v>
      </c>
      <c r="AW87" s="44">
        <v>444</v>
      </c>
      <c r="AX87" s="51">
        <v>498.81840074932398</v>
      </c>
      <c r="AY87" s="49">
        <v>377.85479996169897</v>
      </c>
      <c r="AZ87" s="49">
        <v>0</v>
      </c>
      <c r="BA87" s="42" t="s">
        <v>152</v>
      </c>
      <c r="BB87" s="50">
        <v>0</v>
      </c>
      <c r="BC87" s="57">
        <v>37053.511512453042</v>
      </c>
      <c r="BD87" s="42" t="s">
        <v>150</v>
      </c>
      <c r="BE87" s="46">
        <v>44.009677419354801</v>
      </c>
      <c r="BF87" s="46">
        <v>48.897321428571402</v>
      </c>
      <c r="BG87" s="42" t="s">
        <v>152</v>
      </c>
      <c r="BH87" s="52">
        <v>0.81594957120867795</v>
      </c>
      <c r="BI87" s="52">
        <v>0.79215712207379996</v>
      </c>
      <c r="BJ87" s="42" t="s">
        <v>150</v>
      </c>
      <c r="BK87" s="46">
        <v>364.50157128310502</v>
      </c>
      <c r="BL87" s="46">
        <v>326.54713917579897</v>
      </c>
      <c r="BM87" s="42" t="s">
        <v>150</v>
      </c>
      <c r="BN87" s="48">
        <v>2</v>
      </c>
      <c r="BO87" s="42" t="s">
        <v>161</v>
      </c>
      <c r="BP87" s="42" t="s">
        <v>152</v>
      </c>
      <c r="BQ87" s="46">
        <v>2505.0362414966198</v>
      </c>
      <c r="BR87" s="46">
        <v>120</v>
      </c>
      <c r="BS87" s="46">
        <v>9520</v>
      </c>
      <c r="BT87" s="46">
        <v>2494</v>
      </c>
      <c r="BU87" s="46">
        <v>3.8171611868484363</v>
      </c>
      <c r="BV87" s="46">
        <v>20.783333333333335</v>
      </c>
      <c r="BW87" s="46">
        <v>2494</v>
      </c>
      <c r="BX87" s="46">
        <v>0</v>
      </c>
      <c r="BY87" s="46">
        <v>2494</v>
      </c>
      <c r="BZ87" s="46">
        <v>1</v>
      </c>
      <c r="CA87" s="46">
        <v>1</v>
      </c>
      <c r="CB87" s="46">
        <v>0</v>
      </c>
      <c r="CC87" s="46">
        <v>0</v>
      </c>
      <c r="CD87" s="46">
        <v>0</v>
      </c>
      <c r="CE87" s="46">
        <v>0</v>
      </c>
      <c r="CF87" s="46">
        <v>0</v>
      </c>
      <c r="CG87" s="46">
        <v>0</v>
      </c>
      <c r="CH87" s="46">
        <v>0</v>
      </c>
      <c r="CI87" s="46">
        <v>0.21008403361344541</v>
      </c>
      <c r="CJ87" s="46">
        <v>0.21008403361344541</v>
      </c>
      <c r="CK87">
        <v>240</v>
      </c>
      <c r="CL87">
        <v>667.91</v>
      </c>
      <c r="CM87">
        <f t="shared" si="14"/>
        <v>427.90999999999997</v>
      </c>
      <c r="CN87">
        <v>3.86</v>
      </c>
      <c r="CO87">
        <v>9.4499999999999993</v>
      </c>
      <c r="CP87">
        <f t="shared" si="15"/>
        <v>5.59</v>
      </c>
      <c r="CQ87">
        <v>1481.48</v>
      </c>
      <c r="CR87">
        <v>364.5</v>
      </c>
      <c r="CS87">
        <f t="shared" si="16"/>
        <v>1116.98</v>
      </c>
      <c r="CT87" t="s">
        <v>152</v>
      </c>
      <c r="CU87">
        <v>40.909999999999997</v>
      </c>
      <c r="CV87">
        <v>279</v>
      </c>
      <c r="CW87" s="46">
        <v>2494</v>
      </c>
      <c r="CX87" s="46">
        <f t="shared" si="10"/>
        <v>82.842421812349642</v>
      </c>
      <c r="CY87" s="46">
        <v>427.91</v>
      </c>
      <c r="CZ87" s="46">
        <f t="shared" si="11"/>
        <v>100</v>
      </c>
      <c r="DA87" s="46">
        <f t="shared" si="12"/>
        <v>1931.5598084814385</v>
      </c>
      <c r="DB87" s="46">
        <v>5643843.9199999999</v>
      </c>
      <c r="DC87" s="46">
        <f t="shared" si="13"/>
        <v>44.207853766885357</v>
      </c>
      <c r="DD87" s="46">
        <v>129171.37</v>
      </c>
      <c r="DE87" s="995">
        <v>2494</v>
      </c>
      <c r="DF87" s="995">
        <v>89.292000000000002</v>
      </c>
      <c r="DG87" s="995">
        <v>267.10000000000002</v>
      </c>
      <c r="DH87" s="995">
        <v>100</v>
      </c>
      <c r="DI87" s="995">
        <v>3080.335</v>
      </c>
      <c r="DJ87" s="995">
        <v>8504965</v>
      </c>
      <c r="DK87" s="995">
        <v>69.655000000000001</v>
      </c>
      <c r="DL87" s="995">
        <v>192321.3</v>
      </c>
      <c r="DM87" s="995">
        <v>2494</v>
      </c>
      <c r="DN87" s="995">
        <v>91.05</v>
      </c>
      <c r="DO87" s="995">
        <v>223.2</v>
      </c>
      <c r="DP87" s="995">
        <v>100</v>
      </c>
      <c r="DQ87" s="995">
        <v>2926.8539999999998</v>
      </c>
      <c r="DR87" s="995">
        <v>7952909</v>
      </c>
      <c r="DS87" s="995">
        <v>66.182000000000002</v>
      </c>
      <c r="DT87" s="995">
        <v>179831.4</v>
      </c>
    </row>
    <row r="88" spans="1:124">
      <c r="A88" s="42" t="s">
        <v>92</v>
      </c>
      <c r="B88" s="42" t="s">
        <v>168</v>
      </c>
      <c r="C88" s="42" t="s">
        <v>238</v>
      </c>
      <c r="D88" s="42">
        <v>712314</v>
      </c>
      <c r="E88" s="42" t="s">
        <v>252</v>
      </c>
      <c r="F88" s="42" t="s">
        <v>149</v>
      </c>
      <c r="G88" s="42" t="s">
        <v>150</v>
      </c>
      <c r="H88" s="43" t="s">
        <v>150</v>
      </c>
      <c r="I88" s="44">
        <v>18</v>
      </c>
      <c r="J88" s="45">
        <v>94083.304000000004</v>
      </c>
      <c r="K88" s="46">
        <v>22242.653541</v>
      </c>
      <c r="L88" s="47">
        <v>116325.957541</v>
      </c>
      <c r="M88" s="48">
        <v>4876853</v>
      </c>
      <c r="N88" s="49">
        <v>1436219</v>
      </c>
      <c r="O88" s="49">
        <v>3440634</v>
      </c>
      <c r="P88" s="49">
        <v>0</v>
      </c>
      <c r="Q88" s="50">
        <v>11159.843729977099</v>
      </c>
      <c r="R88" s="51">
        <v>5698.9829348098301</v>
      </c>
      <c r="S88" s="49">
        <v>19312.020708898501</v>
      </c>
      <c r="T88" s="49">
        <v>1950.6940668792299</v>
      </c>
      <c r="U88" s="49">
        <f>IFERROR(INDEX('Rentabilidad datos'!$N$2:$N$61,MATCH($C88,'Rentabilidad datos'!$C$2:$C$61,0)),"")</f>
        <v>26961.697710587559</v>
      </c>
      <c r="V88" s="50">
        <f>IFERROR(INDEX('Rentabilidad datos'!$O$2:$O$61,MATCH($C88,'Rentabilidad datos'!$C$2:$C$61,0)),"")</f>
        <v>1497.8720950326422</v>
      </c>
      <c r="W88" s="51">
        <f>IFERROR(INDEX('Rentabilidad datos'!$M$2:$M$61,MATCH($C88,'Rentabilidad datos'!$C$2:$C$61,0)),"")</f>
        <v>3467.2961205401448</v>
      </c>
      <c r="X88" s="52">
        <f>IFERROR(INDEX('Rentabilidad datos'!$P$2:$P$61,MATCH($C88,'Rentabilidad datos'!$C$2:$C$61,0)),"")</f>
        <v>0.43200004930622993</v>
      </c>
      <c r="Y88" s="43" t="s">
        <v>171</v>
      </c>
      <c r="Z88" s="53">
        <v>51.935275080906202</v>
      </c>
      <c r="AA88" s="43">
        <v>1</v>
      </c>
      <c r="AB88" s="54">
        <v>0.99474394655733933</v>
      </c>
      <c r="AC88" s="55">
        <v>5.2560534426606669E-3</v>
      </c>
      <c r="AD88" s="752" t="e">
        <f>_xlfn.XLOOKUP(Table1[[#This Row],[Ruta]],#REF!,#REF!)</f>
        <v>#REF!</v>
      </c>
      <c r="AE88" s="752" t="e">
        <f>_xlfn.XLOOKUP(Table1[[#This Row],[Ruta]],#REF!,#REF!)</f>
        <v>#REF!</v>
      </c>
      <c r="AF88" s="752" t="e">
        <f>_xlfn.XLOOKUP(Table1[[#This Row],[Ruta]],#REF!,#REF!)</f>
        <v>#REF!</v>
      </c>
      <c r="AG88" s="752" t="e">
        <f>_xlfn.XLOOKUP(Table1[[#This Row],[Ruta]],#REF!,#REF!)</f>
        <v>#REF!</v>
      </c>
      <c r="AH88" s="52">
        <v>0.29449708654330981</v>
      </c>
      <c r="AI88" s="52">
        <v>0.70550291345669025</v>
      </c>
      <c r="AJ88" s="55">
        <v>0</v>
      </c>
      <c r="AK88" s="56">
        <v>16048</v>
      </c>
      <c r="AL88" s="44">
        <v>15236</v>
      </c>
      <c r="AM88" s="54">
        <v>0.72021435692921199</v>
      </c>
      <c r="AN88" s="55">
        <v>0.83144613465711203</v>
      </c>
      <c r="AO88" s="56">
        <v>1785.04756897733</v>
      </c>
      <c r="AP88" s="48">
        <v>892.523784488665</v>
      </c>
      <c r="AQ88" s="55">
        <v>1.0050176834801012</v>
      </c>
      <c r="AR88" s="51">
        <v>4876851.71</v>
      </c>
      <c r="AS88" s="49">
        <v>285685.62251241849</v>
      </c>
      <c r="AT88" s="55">
        <v>5.8579928097181877E-2</v>
      </c>
      <c r="AU88" s="51">
        <v>200752.05906278064</v>
      </c>
      <c r="AV88" s="52">
        <v>9.1324011436940951E-4</v>
      </c>
      <c r="AW88" s="44">
        <v>312</v>
      </c>
      <c r="AX88" s="51">
        <v>320.08740548700501</v>
      </c>
      <c r="AY88" s="49">
        <v>377.85479996169897</v>
      </c>
      <c r="AZ88" s="49">
        <v>57.767394474693958</v>
      </c>
      <c r="BA88" s="42" t="s">
        <v>150</v>
      </c>
      <c r="BB88" s="50">
        <v>309239.79158955911</v>
      </c>
      <c r="BC88" s="57">
        <v>509991.85065233975</v>
      </c>
      <c r="BD88" s="42" t="s">
        <v>150</v>
      </c>
      <c r="BE88" s="46">
        <v>51.935275080906202</v>
      </c>
      <c r="BF88" s="46">
        <v>48.897321428571402</v>
      </c>
      <c r="BG88" s="42" t="s">
        <v>150</v>
      </c>
      <c r="BH88" s="52">
        <v>0.72021435692921199</v>
      </c>
      <c r="BI88" s="52">
        <v>0.79215712207379996</v>
      </c>
      <c r="BJ88" s="42" t="s">
        <v>152</v>
      </c>
      <c r="BK88" s="46">
        <v>266.192122519451</v>
      </c>
      <c r="BL88" s="46">
        <v>326.54713917579897</v>
      </c>
      <c r="BM88" s="42" t="s">
        <v>152</v>
      </c>
      <c r="BN88" s="48">
        <v>1</v>
      </c>
      <c r="BO88" s="42" t="s">
        <v>155</v>
      </c>
      <c r="BP88" s="42" t="s">
        <v>152</v>
      </c>
      <c r="BQ88" s="46">
        <v>3319.9759186442798</v>
      </c>
      <c r="BR88" s="46">
        <v>132</v>
      </c>
      <c r="BS88" s="46">
        <v>7096</v>
      </c>
      <c r="BT88" s="46">
        <v>2242</v>
      </c>
      <c r="BU88" s="46">
        <v>3.1650312221231043</v>
      </c>
      <c r="BV88" s="46">
        <v>16.984848484848484</v>
      </c>
      <c r="BW88" s="46">
        <v>2242</v>
      </c>
      <c r="BX88" s="46">
        <v>0</v>
      </c>
      <c r="BY88" s="46">
        <v>2242</v>
      </c>
      <c r="BZ88" s="46">
        <v>1</v>
      </c>
      <c r="CA88" s="46">
        <v>1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0.42277339346110487</v>
      </c>
      <c r="CJ88" s="46">
        <v>1.972942502818489</v>
      </c>
      <c r="CK88">
        <v>418</v>
      </c>
      <c r="CL88">
        <v>700.31</v>
      </c>
      <c r="CM88">
        <f t="shared" si="14"/>
        <v>282.30999999999995</v>
      </c>
      <c r="CN88">
        <v>9.56</v>
      </c>
      <c r="CO88">
        <v>9.4499999999999993</v>
      </c>
      <c r="CP88">
        <f t="shared" si="15"/>
        <v>-0.11000000000000121</v>
      </c>
      <c r="CQ88">
        <v>634.91999999999996</v>
      </c>
      <c r="CR88">
        <v>266.19</v>
      </c>
      <c r="CS88">
        <f t="shared" si="16"/>
        <v>368.72999999999996</v>
      </c>
      <c r="CT88" t="s">
        <v>150</v>
      </c>
      <c r="CU88">
        <v>103.65</v>
      </c>
      <c r="CV88">
        <v>470</v>
      </c>
      <c r="CW88" s="46">
        <v>2242</v>
      </c>
      <c r="CX88" s="46">
        <f t="shared" si="10"/>
        <v>87.408117752007144</v>
      </c>
      <c r="CY88" s="46">
        <v>282.31</v>
      </c>
      <c r="CZ88" s="46">
        <f t="shared" si="11"/>
        <v>100</v>
      </c>
      <c r="DA88" s="46">
        <f t="shared" si="12"/>
        <v>2469.0617079518761</v>
      </c>
      <c r="DB88" s="46">
        <v>6232677.1600000001</v>
      </c>
      <c r="DC88" s="46">
        <f t="shared" si="13"/>
        <v>61.200490431048486</v>
      </c>
      <c r="DD88" s="46">
        <v>154489.01</v>
      </c>
      <c r="DE88" s="995">
        <v>2242</v>
      </c>
      <c r="DF88" s="995">
        <v>90.835999999999999</v>
      </c>
      <c r="DG88" s="995">
        <v>205.5</v>
      </c>
      <c r="DH88" s="995">
        <v>100</v>
      </c>
      <c r="DI88" s="995">
        <v>4067.1219999999998</v>
      </c>
      <c r="DJ88" s="995">
        <v>9954081</v>
      </c>
      <c r="DK88" s="995">
        <v>99.024000000000001</v>
      </c>
      <c r="DL88" s="995">
        <v>242356.8</v>
      </c>
      <c r="DM88" s="995">
        <v>2242</v>
      </c>
      <c r="DN88" s="995">
        <v>92.418000000000006</v>
      </c>
      <c r="DO88" s="995">
        <v>170</v>
      </c>
      <c r="DP88" s="995">
        <v>100</v>
      </c>
      <c r="DQ88" s="995">
        <v>3959.6880000000001</v>
      </c>
      <c r="DR88" s="995">
        <v>9550739</v>
      </c>
      <c r="DS88" s="995">
        <v>96.290999999999997</v>
      </c>
      <c r="DT88" s="995">
        <v>232252.9</v>
      </c>
    </row>
    <row r="89" spans="1:124">
      <c r="A89" s="42" t="s">
        <v>92</v>
      </c>
      <c r="B89" s="42" t="s">
        <v>168</v>
      </c>
      <c r="C89" s="42" t="s">
        <v>238</v>
      </c>
      <c r="D89" s="42">
        <v>712315</v>
      </c>
      <c r="E89" s="42" t="s">
        <v>253</v>
      </c>
      <c r="F89" s="42" t="s">
        <v>149</v>
      </c>
      <c r="G89" s="42" t="s">
        <v>150</v>
      </c>
      <c r="H89" s="43" t="s">
        <v>150</v>
      </c>
      <c r="I89" s="44">
        <v>18</v>
      </c>
      <c r="J89" s="45">
        <v>141269.3744</v>
      </c>
      <c r="K89" s="46">
        <v>25626.48388</v>
      </c>
      <c r="L89" s="47">
        <v>166895.85827999999</v>
      </c>
      <c r="M89" s="48">
        <v>5881901</v>
      </c>
      <c r="N89" s="49">
        <v>2181822</v>
      </c>
      <c r="O89" s="49">
        <v>3700079</v>
      </c>
      <c r="P89" s="49">
        <v>0</v>
      </c>
      <c r="Q89" s="50">
        <v>13521.606229885099</v>
      </c>
      <c r="R89" s="51">
        <v>5698.9829348098301</v>
      </c>
      <c r="S89" s="49">
        <v>19312.020708898501</v>
      </c>
      <c r="T89" s="49">
        <v>1950.6940668792299</v>
      </c>
      <c r="U89" s="49">
        <f>IFERROR(INDEX('Rentabilidad datos'!$N$2:$N$61,MATCH($C89,'Rentabilidad datos'!$C$2:$C$61,0)),"")</f>
        <v>26961.697710587559</v>
      </c>
      <c r="V89" s="50">
        <f>IFERROR(INDEX('Rentabilidad datos'!$O$2:$O$61,MATCH($C89,'Rentabilidad datos'!$C$2:$C$61,0)),"")</f>
        <v>1497.8720950326422</v>
      </c>
      <c r="W89" s="51">
        <f>IFERROR(INDEX('Rentabilidad datos'!$M$2:$M$61,MATCH($C89,'Rentabilidad datos'!$C$2:$C$61,0)),"")</f>
        <v>3467.2961205401448</v>
      </c>
      <c r="X89" s="52">
        <f>IFERROR(INDEX('Rentabilidad datos'!$P$2:$P$61,MATCH($C89,'Rentabilidad datos'!$C$2:$C$61,0)),"")</f>
        <v>0.43200004930622993</v>
      </c>
      <c r="Y89" s="43" t="s">
        <v>171</v>
      </c>
      <c r="Z89" s="53">
        <v>43.7870967741936</v>
      </c>
      <c r="AA89" s="43">
        <v>1</v>
      </c>
      <c r="AB89" s="54">
        <v>0.99369421552657888</v>
      </c>
      <c r="AC89" s="55">
        <v>6.3057844734210932E-3</v>
      </c>
      <c r="AD89" s="752" t="e">
        <f>_xlfn.XLOOKUP(Table1[[#This Row],[Ruta]],#REF!,#REF!)</f>
        <v>#REF!</v>
      </c>
      <c r="AE89" s="752" t="e">
        <f>_xlfn.XLOOKUP(Table1[[#This Row],[Ruta]],#REF!,#REF!)</f>
        <v>#REF!</v>
      </c>
      <c r="AF89" s="752" t="e">
        <f>_xlfn.XLOOKUP(Table1[[#This Row],[Ruta]],#REF!,#REF!)</f>
        <v>#REF!</v>
      </c>
      <c r="AG89" s="752" t="e">
        <f>_xlfn.XLOOKUP(Table1[[#This Row],[Ruta]],#REF!,#REF!)</f>
        <v>#REF!</v>
      </c>
      <c r="AH89" s="52">
        <v>0.37093823918491658</v>
      </c>
      <c r="AI89" s="52">
        <v>0.62906176081508347</v>
      </c>
      <c r="AJ89" s="55">
        <v>0</v>
      </c>
      <c r="AK89" s="56">
        <v>13574</v>
      </c>
      <c r="AL89" s="44">
        <v>15324</v>
      </c>
      <c r="AM89" s="54">
        <v>0.843156033593635</v>
      </c>
      <c r="AN89" s="55">
        <v>0.83144613465711203</v>
      </c>
      <c r="AO89" s="56">
        <v>0</v>
      </c>
      <c r="AP89" s="48">
        <v>0</v>
      </c>
      <c r="AQ89" s="55">
        <v>1.1289229409164578</v>
      </c>
      <c r="AR89" s="51">
        <v>5881898.71</v>
      </c>
      <c r="AS89" s="49">
        <v>0</v>
      </c>
      <c r="AT89" s="55">
        <v>0</v>
      </c>
      <c r="AU89" s="51">
        <v>0</v>
      </c>
      <c r="AV89" s="52">
        <v>0</v>
      </c>
      <c r="AW89" s="44">
        <v>490</v>
      </c>
      <c r="AX89" s="51">
        <v>383.83572892195298</v>
      </c>
      <c r="AY89" s="49">
        <v>377.85479996169897</v>
      </c>
      <c r="AZ89" s="49">
        <v>0</v>
      </c>
      <c r="BA89" s="42" t="s">
        <v>152</v>
      </c>
      <c r="BB89" s="50">
        <v>0</v>
      </c>
      <c r="BC89" s="57">
        <v>0</v>
      </c>
      <c r="BD89" s="42" t="s">
        <v>150</v>
      </c>
      <c r="BE89" s="46">
        <v>43.7870967741936</v>
      </c>
      <c r="BF89" s="46">
        <v>48.897321428571402</v>
      </c>
      <c r="BG89" s="42" t="s">
        <v>152</v>
      </c>
      <c r="BH89" s="52">
        <v>0.843156033593635</v>
      </c>
      <c r="BI89" s="52">
        <v>0.79215712207379996</v>
      </c>
      <c r="BJ89" s="42" t="s">
        <v>150</v>
      </c>
      <c r="BK89" s="46">
        <v>383.66863972413802</v>
      </c>
      <c r="BL89" s="46">
        <v>326.54713917579897</v>
      </c>
      <c r="BM89" s="42" t="s">
        <v>150</v>
      </c>
      <c r="BN89" s="48">
        <v>2</v>
      </c>
      <c r="BO89" s="42" t="s">
        <v>161</v>
      </c>
      <c r="BP89" s="42" t="s">
        <v>152</v>
      </c>
      <c r="BQ89" s="46">
        <v>388.905317613009</v>
      </c>
      <c r="BR89" s="46">
        <v>154</v>
      </c>
      <c r="BS89" s="46">
        <v>14469</v>
      </c>
      <c r="BT89" s="46">
        <v>3714</v>
      </c>
      <c r="BU89" s="46">
        <v>3.895799676898223</v>
      </c>
      <c r="BV89" s="46">
        <v>24.116883116883116</v>
      </c>
      <c r="BW89" s="46">
        <v>3714</v>
      </c>
      <c r="BX89" s="46">
        <v>0</v>
      </c>
      <c r="BY89" s="46">
        <v>3714</v>
      </c>
      <c r="BZ89" s="46">
        <v>1</v>
      </c>
      <c r="CA89" s="46">
        <v>1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0.96758587324625056</v>
      </c>
      <c r="CJ89" s="46">
        <v>1.3822655332089291</v>
      </c>
      <c r="CK89">
        <v>205</v>
      </c>
      <c r="CL89">
        <v>446.71</v>
      </c>
      <c r="CM89">
        <f t="shared" si="14"/>
        <v>241.70999999999998</v>
      </c>
      <c r="CN89">
        <v>3.48</v>
      </c>
      <c r="CO89">
        <v>9.4499999999999993</v>
      </c>
      <c r="CP89">
        <f t="shared" si="15"/>
        <v>5.9699999999999989</v>
      </c>
      <c r="CQ89">
        <v>634.91999999999996</v>
      </c>
      <c r="CR89">
        <v>383.67</v>
      </c>
      <c r="CS89">
        <f t="shared" si="16"/>
        <v>251.24999999999994</v>
      </c>
      <c r="CT89" t="s">
        <v>152</v>
      </c>
      <c r="CU89">
        <v>60.43</v>
      </c>
      <c r="CV89">
        <v>244</v>
      </c>
      <c r="CW89" s="46">
        <v>3714</v>
      </c>
      <c r="CX89" s="46">
        <f t="shared" si="10"/>
        <v>93.491922455573501</v>
      </c>
      <c r="CY89" s="46">
        <v>241.71</v>
      </c>
      <c r="CZ89" s="46">
        <f t="shared" si="11"/>
        <v>100</v>
      </c>
      <c r="DA89" s="46">
        <f t="shared" si="12"/>
        <v>596.76678522945303</v>
      </c>
      <c r="DB89" s="46">
        <v>2360636.34</v>
      </c>
      <c r="DC89" s="46">
        <f t="shared" si="13"/>
        <v>17.411829987537001</v>
      </c>
      <c r="DD89" s="46">
        <v>68876.149999999994</v>
      </c>
      <c r="DE89" s="995">
        <v>3714</v>
      </c>
      <c r="DF89" s="995">
        <v>93.635000000000005</v>
      </c>
      <c r="DG89" s="995">
        <v>236.4</v>
      </c>
      <c r="DH89" s="995">
        <v>100</v>
      </c>
      <c r="DI89" s="995">
        <v>1542.665</v>
      </c>
      <c r="DJ89" s="995">
        <v>6094135</v>
      </c>
      <c r="DK89" s="995">
        <v>45.106000000000002</v>
      </c>
      <c r="DL89" s="995">
        <v>178185.60000000001</v>
      </c>
      <c r="DM89" s="995">
        <v>3714</v>
      </c>
      <c r="DN89" s="995">
        <v>94.064999999999998</v>
      </c>
      <c r="DO89" s="995">
        <v>220.4</v>
      </c>
      <c r="DP89" s="995">
        <v>100</v>
      </c>
      <c r="DQ89" s="995">
        <v>1509.761</v>
      </c>
      <c r="DR89" s="995">
        <v>5940068</v>
      </c>
      <c r="DS89" s="995">
        <v>44.133000000000003</v>
      </c>
      <c r="DT89" s="995">
        <v>173639.7</v>
      </c>
    </row>
    <row r="90" spans="1:124">
      <c r="A90" s="42" t="s">
        <v>92</v>
      </c>
      <c r="B90" s="42" t="s">
        <v>168</v>
      </c>
      <c r="C90" s="42" t="s">
        <v>238</v>
      </c>
      <c r="D90" s="42">
        <v>712317</v>
      </c>
      <c r="E90" s="42" t="s">
        <v>254</v>
      </c>
      <c r="F90" s="42" t="s">
        <v>149</v>
      </c>
      <c r="G90" s="42" t="s">
        <v>150</v>
      </c>
      <c r="H90" s="43" t="s">
        <v>150</v>
      </c>
      <c r="I90" s="44">
        <v>18</v>
      </c>
      <c r="J90" s="45">
        <v>68169.007199999993</v>
      </c>
      <c r="K90" s="46">
        <v>14250.020973000001</v>
      </c>
      <c r="L90" s="47">
        <v>82419.028172999999</v>
      </c>
      <c r="M90" s="48">
        <v>2842049</v>
      </c>
      <c r="N90" s="49">
        <v>984293</v>
      </c>
      <c r="O90" s="49">
        <v>1857756</v>
      </c>
      <c r="P90" s="49">
        <v>0</v>
      </c>
      <c r="Q90" s="50">
        <v>6713.0885849056604</v>
      </c>
      <c r="R90" s="51">
        <v>5698.9829348098301</v>
      </c>
      <c r="S90" s="49">
        <v>19312.020708898501</v>
      </c>
      <c r="T90" s="49">
        <v>1950.6940668792299</v>
      </c>
      <c r="U90" s="49">
        <f>IFERROR(INDEX('Rentabilidad datos'!$N$2:$N$61,MATCH($C90,'Rentabilidad datos'!$C$2:$C$61,0)),"")</f>
        <v>26961.697710587559</v>
      </c>
      <c r="V90" s="50">
        <f>IFERROR(INDEX('Rentabilidad datos'!$O$2:$O$61,MATCH($C90,'Rentabilidad datos'!$C$2:$C$61,0)),"")</f>
        <v>1497.8720950326422</v>
      </c>
      <c r="W90" s="51">
        <f>IFERROR(INDEX('Rentabilidad datos'!$M$2:$M$61,MATCH($C90,'Rentabilidad datos'!$C$2:$C$61,0)),"")</f>
        <v>3467.2961205401448</v>
      </c>
      <c r="X90" s="52">
        <f>IFERROR(INDEX('Rentabilidad datos'!$P$2:$P$61,MATCH($C90,'Rentabilidad datos'!$C$2:$C$61,0)),"")</f>
        <v>0.43200004930622993</v>
      </c>
      <c r="Y90" s="43" t="s">
        <v>171</v>
      </c>
      <c r="Z90" s="53">
        <v>75.780645161290295</v>
      </c>
      <c r="AA90" s="43">
        <v>1</v>
      </c>
      <c r="AB90" s="54">
        <v>0.9961365901854613</v>
      </c>
      <c r="AC90" s="55">
        <v>3.8634098145387359E-3</v>
      </c>
      <c r="AD90" s="752" t="e">
        <f>_xlfn.XLOOKUP(Table1[[#This Row],[Ruta]],#REF!,#REF!)</f>
        <v>#REF!</v>
      </c>
      <c r="AE90" s="752" t="e">
        <f>_xlfn.XLOOKUP(Table1[[#This Row],[Ruta]],#REF!,#REF!)</f>
        <v>#REF!</v>
      </c>
      <c r="AF90" s="752" t="e">
        <f>_xlfn.XLOOKUP(Table1[[#This Row],[Ruta]],#REF!,#REF!)</f>
        <v>#REF!</v>
      </c>
      <c r="AG90" s="752" t="e">
        <f>_xlfn.XLOOKUP(Table1[[#This Row],[Ruta]],#REF!,#REF!)</f>
        <v>#REF!</v>
      </c>
      <c r="AH90" s="52">
        <v>0.34633217090908708</v>
      </c>
      <c r="AI90" s="52">
        <v>0.65366782909091292</v>
      </c>
      <c r="AJ90" s="55">
        <v>0</v>
      </c>
      <c r="AK90" s="56">
        <v>23492</v>
      </c>
      <c r="AL90" s="44">
        <v>10707</v>
      </c>
      <c r="AM90" s="54">
        <v>0.397667290992678</v>
      </c>
      <c r="AN90" s="55">
        <v>0.83144613465711203</v>
      </c>
      <c r="AO90" s="56">
        <v>10190.3325953649</v>
      </c>
      <c r="AP90" s="48">
        <v>5095.16629768245</v>
      </c>
      <c r="AQ90" s="55">
        <v>0.67266159959485994</v>
      </c>
      <c r="AR90" s="51">
        <v>2846349.56</v>
      </c>
      <c r="AS90" s="49">
        <v>1354499.3321691649</v>
      </c>
      <c r="AT90" s="55">
        <v>0.47587244771480736</v>
      </c>
      <c r="AU90" s="51">
        <v>951810.3415242784</v>
      </c>
      <c r="AV90" s="52">
        <v>4.3298753158979375E-3</v>
      </c>
      <c r="AW90" s="44">
        <v>52</v>
      </c>
      <c r="AX90" s="51">
        <v>265.840063509853</v>
      </c>
      <c r="AY90" s="49">
        <v>377.85479996169897</v>
      </c>
      <c r="AZ90" s="49">
        <v>112.01473645184598</v>
      </c>
      <c r="BA90" s="42" t="s">
        <v>150</v>
      </c>
      <c r="BB90" s="50">
        <v>421390.35625591618</v>
      </c>
      <c r="BC90" s="57">
        <v>1373200.6977801947</v>
      </c>
      <c r="BD90" s="42" t="s">
        <v>150</v>
      </c>
      <c r="BE90" s="46">
        <v>75.780645161290295</v>
      </c>
      <c r="BF90" s="46">
        <v>48.897321428571402</v>
      </c>
      <c r="BG90" s="42" t="s">
        <v>150</v>
      </c>
      <c r="BH90" s="52">
        <v>0.397667290992678</v>
      </c>
      <c r="BI90" s="52">
        <v>0.79215712207379996</v>
      </c>
      <c r="BJ90" s="42" t="s">
        <v>152</v>
      </c>
      <c r="BK90" s="46">
        <v>194.38450040801899</v>
      </c>
      <c r="BL90" s="46">
        <v>326.54713917579897</v>
      </c>
      <c r="BM90" s="42" t="s">
        <v>152</v>
      </c>
      <c r="BN90" s="48">
        <v>1</v>
      </c>
      <c r="BO90" s="42" t="s">
        <v>155</v>
      </c>
      <c r="BP90" s="42" t="s">
        <v>152</v>
      </c>
      <c r="BQ90" s="46">
        <v>1982.33936978632</v>
      </c>
      <c r="BR90" s="46">
        <v>496</v>
      </c>
      <c r="BS90" s="46">
        <v>38766</v>
      </c>
      <c r="BT90" s="46">
        <v>11199</v>
      </c>
      <c r="BU90" s="46">
        <v>3.4615590677739085</v>
      </c>
      <c r="BV90" s="46">
        <v>22.578629032258064</v>
      </c>
      <c r="BW90" s="46">
        <v>1631</v>
      </c>
      <c r="BX90" s="46">
        <v>3150</v>
      </c>
      <c r="BY90" s="46">
        <v>4781</v>
      </c>
      <c r="BZ90" s="46">
        <v>0.42691311724261094</v>
      </c>
      <c r="CA90" s="46">
        <v>0.1456380033931601</v>
      </c>
      <c r="CB90" s="46">
        <v>0.28127511384945092</v>
      </c>
      <c r="CC90" s="46">
        <v>0.18742744887936419</v>
      </c>
      <c r="CD90" s="46">
        <v>5.3933386909545487E-2</v>
      </c>
      <c r="CE90" s="46">
        <v>0</v>
      </c>
      <c r="CF90" s="46">
        <v>0.33172604696847929</v>
      </c>
      <c r="CG90" s="46">
        <v>0</v>
      </c>
      <c r="CH90" s="46">
        <v>0</v>
      </c>
      <c r="CI90" s="46">
        <v>3.2502708559046591</v>
      </c>
      <c r="CJ90" s="46">
        <v>0.82546561419800857</v>
      </c>
      <c r="CK90">
        <v>387</v>
      </c>
      <c r="CL90">
        <v>748.83</v>
      </c>
      <c r="CM90">
        <f t="shared" si="14"/>
        <v>361.83000000000004</v>
      </c>
      <c r="CN90">
        <v>4.68</v>
      </c>
      <c r="CO90">
        <v>9.4499999999999993</v>
      </c>
      <c r="CP90">
        <f t="shared" si="15"/>
        <v>4.7699999999999996</v>
      </c>
      <c r="CQ90">
        <v>1481.48</v>
      </c>
      <c r="CR90">
        <v>194.38</v>
      </c>
      <c r="CS90">
        <f t="shared" si="16"/>
        <v>1287.0999999999999</v>
      </c>
      <c r="CT90" t="s">
        <v>152</v>
      </c>
      <c r="CU90">
        <v>49.52</v>
      </c>
      <c r="CV90">
        <v>274</v>
      </c>
      <c r="CW90" s="46">
        <v>4781</v>
      </c>
      <c r="CX90" s="46">
        <f t="shared" si="10"/>
        <v>39.460398249843735</v>
      </c>
      <c r="CY90" s="46">
        <v>361.83</v>
      </c>
      <c r="CZ90" s="46">
        <f t="shared" si="11"/>
        <v>42.691311724261091</v>
      </c>
      <c r="DA90" s="46">
        <f t="shared" si="12"/>
        <v>328.57174614625421</v>
      </c>
      <c r="DB90" s="46">
        <v>3798562.1</v>
      </c>
      <c r="DC90" s="46">
        <f t="shared" si="13"/>
        <v>8.9917782719752815</v>
      </c>
      <c r="DD90" s="46">
        <v>103952.42</v>
      </c>
      <c r="DE90" s="995">
        <v>4781</v>
      </c>
      <c r="DF90" s="995">
        <v>40.212000000000003</v>
      </c>
      <c r="DG90" s="995">
        <v>277.7</v>
      </c>
      <c r="DH90" s="995">
        <v>42.691000000000003</v>
      </c>
      <c r="DI90" s="995">
        <v>591.02200000000005</v>
      </c>
      <c r="DJ90" s="995">
        <v>6782964</v>
      </c>
      <c r="DK90" s="995">
        <v>16.076000000000001</v>
      </c>
      <c r="DL90" s="995">
        <v>184500</v>
      </c>
      <c r="DM90" s="995">
        <v>4781</v>
      </c>
      <c r="DN90" s="995">
        <v>40.496000000000002</v>
      </c>
      <c r="DO90" s="995">
        <v>245.8</v>
      </c>
      <c r="DP90" s="995">
        <v>42.691000000000003</v>
      </c>
      <c r="DQ90" s="995">
        <v>575.279</v>
      </c>
      <c r="DR90" s="995">
        <v>6583949</v>
      </c>
      <c r="DS90" s="995">
        <v>15.593999999999999</v>
      </c>
      <c r="DT90" s="995">
        <v>178470.39999999999</v>
      </c>
    </row>
    <row r="91" spans="1:124">
      <c r="A91" s="42" t="s">
        <v>92</v>
      </c>
      <c r="B91" s="42" t="s">
        <v>168</v>
      </c>
      <c r="C91" s="42" t="s">
        <v>238</v>
      </c>
      <c r="D91" s="42">
        <v>712318</v>
      </c>
      <c r="E91" s="42" t="s">
        <v>255</v>
      </c>
      <c r="F91" s="42" t="s">
        <v>149</v>
      </c>
      <c r="G91" s="42" t="s">
        <v>150</v>
      </c>
      <c r="H91" s="43" t="s">
        <v>150</v>
      </c>
      <c r="I91" s="44">
        <v>18</v>
      </c>
      <c r="J91" s="45">
        <v>82790.489600000001</v>
      </c>
      <c r="K91" s="46">
        <v>13479.43183</v>
      </c>
      <c r="L91" s="47">
        <v>96269.921430000002</v>
      </c>
      <c r="M91" s="48">
        <v>3030419</v>
      </c>
      <c r="N91" s="49">
        <v>1248917</v>
      </c>
      <c r="O91" s="49">
        <v>1781502</v>
      </c>
      <c r="P91" s="49">
        <v>0</v>
      </c>
      <c r="Q91" s="50">
        <v>7736.2205472636797</v>
      </c>
      <c r="R91" s="51">
        <v>5698.9829348098301</v>
      </c>
      <c r="S91" s="49">
        <v>19312.020708898501</v>
      </c>
      <c r="T91" s="49">
        <v>1950.6940668792299</v>
      </c>
      <c r="U91" s="49">
        <f>IFERROR(INDEX('Rentabilidad datos'!$N$2:$N$61,MATCH($C91,'Rentabilidad datos'!$C$2:$C$61,0)),"")</f>
        <v>26961.697710587559</v>
      </c>
      <c r="V91" s="50">
        <f>IFERROR(INDEX('Rentabilidad datos'!$O$2:$O$61,MATCH($C91,'Rentabilidad datos'!$C$2:$C$61,0)),"")</f>
        <v>1497.8720950326422</v>
      </c>
      <c r="W91" s="51">
        <f>IFERROR(INDEX('Rentabilidad datos'!$M$2:$M$61,MATCH($C91,'Rentabilidad datos'!$C$2:$C$61,0)),"")</f>
        <v>3467.2961205401448</v>
      </c>
      <c r="X91" s="52">
        <f>IFERROR(INDEX('Rentabilidad datos'!$P$2:$P$61,MATCH($C91,'Rentabilidad datos'!$C$2:$C$61,0)),"")</f>
        <v>0.43200004930622993</v>
      </c>
      <c r="Y91" s="43" t="s">
        <v>171</v>
      </c>
      <c r="Z91" s="53">
        <v>56.654838709677399</v>
      </c>
      <c r="AA91" s="43">
        <v>1</v>
      </c>
      <c r="AB91" s="54">
        <v>0.9997742886379738</v>
      </c>
      <c r="AC91" s="55">
        <v>2.2571136202617525E-4</v>
      </c>
      <c r="AD91" s="752" t="e">
        <f>_xlfn.XLOOKUP(Table1[[#This Row],[Ruta]],#REF!,#REF!)</f>
        <v>#REF!</v>
      </c>
      <c r="AE91" s="752" t="e">
        <f>_xlfn.XLOOKUP(Table1[[#This Row],[Ruta]],#REF!,#REF!)</f>
        <v>#REF!</v>
      </c>
      <c r="AF91" s="752" t="e">
        <f>_xlfn.XLOOKUP(Table1[[#This Row],[Ruta]],#REF!,#REF!)</f>
        <v>#REF!</v>
      </c>
      <c r="AG91" s="752" t="e">
        <f>_xlfn.XLOOKUP(Table1[[#This Row],[Ruta]],#REF!,#REF!)</f>
        <v>#REF!</v>
      </c>
      <c r="AH91" s="52">
        <v>0.41212683790591337</v>
      </c>
      <c r="AI91" s="52">
        <v>0.58787316209408669</v>
      </c>
      <c r="AJ91" s="55">
        <v>0</v>
      </c>
      <c r="AK91" s="56">
        <v>17563</v>
      </c>
      <c r="AL91" s="44">
        <v>12221</v>
      </c>
      <c r="AM91" s="54">
        <v>0.61185446677674704</v>
      </c>
      <c r="AN91" s="55">
        <v>0.83144613465711203</v>
      </c>
      <c r="AO91" s="56">
        <v>3856.6884629828501</v>
      </c>
      <c r="AP91" s="48">
        <v>1928.344231491425</v>
      </c>
      <c r="AQ91" s="55">
        <v>0.80563367485574355</v>
      </c>
      <c r="AR91" s="51">
        <v>3109960.66</v>
      </c>
      <c r="AS91" s="49">
        <v>490718.81997187348</v>
      </c>
      <c r="AT91" s="55">
        <v>0.15778939787999552</v>
      </c>
      <c r="AU91" s="51">
        <v>344829.44106131664</v>
      </c>
      <c r="AV91" s="52">
        <v>1.5686617595005328E-3</v>
      </c>
      <c r="AW91" s="44">
        <v>215</v>
      </c>
      <c r="AX91" s="51">
        <v>254.47677440471301</v>
      </c>
      <c r="AY91" s="49">
        <v>377.85479996169897</v>
      </c>
      <c r="AZ91" s="49">
        <v>123.37802555698596</v>
      </c>
      <c r="BA91" s="42" t="s">
        <v>150</v>
      </c>
      <c r="BB91" s="50">
        <v>529768.5690355415</v>
      </c>
      <c r="BC91" s="57">
        <v>874598.01009685814</v>
      </c>
      <c r="BD91" s="42" t="s">
        <v>150</v>
      </c>
      <c r="BE91" s="46">
        <v>56.654838709677399</v>
      </c>
      <c r="BF91" s="46">
        <v>48.897321428571402</v>
      </c>
      <c r="BG91" s="42" t="s">
        <v>150</v>
      </c>
      <c r="BH91" s="52">
        <v>0.61185446677674704</v>
      </c>
      <c r="BI91" s="52">
        <v>0.79215712207379996</v>
      </c>
      <c r="BJ91" s="42" t="s">
        <v>152</v>
      </c>
      <c r="BK91" s="46">
        <v>239.477416492537</v>
      </c>
      <c r="BL91" s="46">
        <v>326.54713917579897</v>
      </c>
      <c r="BM91" s="42" t="s">
        <v>152</v>
      </c>
      <c r="BN91" s="48">
        <v>1</v>
      </c>
      <c r="BO91" s="42" t="s">
        <v>155</v>
      </c>
      <c r="BP91" s="42" t="s">
        <v>152</v>
      </c>
      <c r="BQ91" s="46">
        <v>30.179766933641101</v>
      </c>
      <c r="BR91" s="46">
        <v>627</v>
      </c>
      <c r="BS91" s="46">
        <v>48119</v>
      </c>
      <c r="BT91" s="46">
        <v>13878</v>
      </c>
      <c r="BU91" s="46">
        <v>3.4672863525003601</v>
      </c>
      <c r="BV91" s="46">
        <v>22.133971291866029</v>
      </c>
      <c r="BW91" s="46">
        <v>1136</v>
      </c>
      <c r="BX91" s="46">
        <v>882</v>
      </c>
      <c r="BY91" s="46">
        <v>2018</v>
      </c>
      <c r="BZ91" s="46">
        <v>0.14541000144112984</v>
      </c>
      <c r="CA91" s="46">
        <v>8.1856175241389245E-2</v>
      </c>
      <c r="CB91" s="46">
        <v>6.3553826199740593E-2</v>
      </c>
      <c r="CC91" s="46">
        <v>3.9126675313445741E-2</v>
      </c>
      <c r="CD91" s="46">
        <v>0</v>
      </c>
      <c r="CE91" s="46">
        <v>0</v>
      </c>
      <c r="CF91" s="46">
        <v>0.81546332324542437</v>
      </c>
      <c r="CG91" s="46">
        <v>0</v>
      </c>
      <c r="CH91" s="46">
        <v>0</v>
      </c>
      <c r="CI91" s="46">
        <v>4.3018350339782634</v>
      </c>
      <c r="CJ91" s="46">
        <v>0.49876348220037825</v>
      </c>
      <c r="CK91">
        <v>452</v>
      </c>
      <c r="CL91">
        <v>452.84</v>
      </c>
      <c r="CM91">
        <f t="shared" si="14"/>
        <v>0.83999999999997499</v>
      </c>
      <c r="CN91">
        <v>13.01</v>
      </c>
      <c r="CO91">
        <v>9.4499999999999993</v>
      </c>
      <c r="CP91">
        <f t="shared" si="15"/>
        <v>-3.5600000000000005</v>
      </c>
      <c r="CQ91">
        <v>634.91999999999996</v>
      </c>
      <c r="CR91">
        <v>239.48</v>
      </c>
      <c r="CS91">
        <f t="shared" si="16"/>
        <v>395.43999999999994</v>
      </c>
      <c r="CT91" t="s">
        <v>150</v>
      </c>
      <c r="CU91">
        <v>137.71</v>
      </c>
      <c r="CV91">
        <v>264</v>
      </c>
      <c r="CW91" s="46">
        <v>2018</v>
      </c>
      <c r="CX91" s="46">
        <f t="shared" si="10"/>
        <v>14.534947398760629</v>
      </c>
      <c r="CY91" s="46">
        <v>0.84</v>
      </c>
      <c r="CZ91" s="46">
        <f t="shared" si="11"/>
        <v>14.541000144112983</v>
      </c>
      <c r="DA91" s="46">
        <f t="shared" si="12"/>
        <v>92.550819809148322</v>
      </c>
      <c r="DB91" s="46">
        <v>1284498.02</v>
      </c>
      <c r="DC91" s="46">
        <f t="shared" si="13"/>
        <v>3.9559105804231476</v>
      </c>
      <c r="DD91" s="46">
        <v>54903.45</v>
      </c>
      <c r="DE91" s="995">
        <v>2018</v>
      </c>
      <c r="DF91" s="995">
        <v>14.516</v>
      </c>
      <c r="DG91" s="995">
        <v>3.5</v>
      </c>
      <c r="DH91" s="995">
        <v>14.541</v>
      </c>
      <c r="DI91" s="995">
        <v>277.72000000000003</v>
      </c>
      <c r="DJ91" s="995">
        <v>3855175</v>
      </c>
      <c r="DK91" s="995">
        <v>9.7159999999999993</v>
      </c>
      <c r="DL91" s="995">
        <v>134876.4</v>
      </c>
      <c r="DM91" s="995">
        <v>2018</v>
      </c>
      <c r="DN91" s="995">
        <v>14.52</v>
      </c>
      <c r="DO91" s="995">
        <v>2.9</v>
      </c>
      <c r="DP91" s="995">
        <v>14.541</v>
      </c>
      <c r="DQ91" s="995">
        <v>277.56700000000001</v>
      </c>
      <c r="DR91" s="995">
        <v>3852882</v>
      </c>
      <c r="DS91" s="995">
        <v>9.7129999999999992</v>
      </c>
      <c r="DT91" s="995">
        <v>134824.70000000001</v>
      </c>
    </row>
    <row r="92" spans="1:124">
      <c r="A92" s="42" t="s">
        <v>92</v>
      </c>
      <c r="B92" s="42" t="s">
        <v>168</v>
      </c>
      <c r="C92" s="42" t="s">
        <v>238</v>
      </c>
      <c r="D92" s="42">
        <v>712319</v>
      </c>
      <c r="E92" s="42" t="s">
        <v>256</v>
      </c>
      <c r="F92" s="42" t="s">
        <v>149</v>
      </c>
      <c r="G92" s="42" t="s">
        <v>150</v>
      </c>
      <c r="H92" s="43" t="s">
        <v>150</v>
      </c>
      <c r="I92" s="44">
        <v>18</v>
      </c>
      <c r="J92" s="45">
        <v>57196.731200000002</v>
      </c>
      <c r="K92" s="46">
        <v>21433.823575999999</v>
      </c>
      <c r="L92" s="47">
        <v>78630.554776000004</v>
      </c>
      <c r="M92" s="48">
        <v>3779744</v>
      </c>
      <c r="N92" s="49">
        <v>841665</v>
      </c>
      <c r="O92" s="49">
        <v>2938079</v>
      </c>
      <c r="P92" s="49">
        <v>0</v>
      </c>
      <c r="Q92" s="50">
        <v>9544.7999747474805</v>
      </c>
      <c r="R92" s="51">
        <v>5698.9829348098301</v>
      </c>
      <c r="S92" s="49">
        <v>19312.020708898501</v>
      </c>
      <c r="T92" s="49">
        <v>1950.6940668792299</v>
      </c>
      <c r="U92" s="49">
        <f>IFERROR(INDEX('Rentabilidad datos'!$N$2:$N$61,MATCH($C92,'Rentabilidad datos'!$C$2:$C$61,0)),"")</f>
        <v>26961.697710587559</v>
      </c>
      <c r="V92" s="50">
        <f>IFERROR(INDEX('Rentabilidad datos'!$O$2:$O$61,MATCH($C92,'Rentabilidad datos'!$C$2:$C$61,0)),"")</f>
        <v>1497.8720950326422</v>
      </c>
      <c r="W92" s="51">
        <f>IFERROR(INDEX('Rentabilidad datos'!$M$2:$M$61,MATCH($C92,'Rentabilidad datos'!$C$2:$C$61,0)),"")</f>
        <v>3467.2961205401448</v>
      </c>
      <c r="X92" s="52">
        <f>IFERROR(INDEX('Rentabilidad datos'!$P$2:$P$61,MATCH($C92,'Rentabilidad datos'!$C$2:$C$61,0)),"")</f>
        <v>0.43200004930622993</v>
      </c>
      <c r="Y92" s="43" t="s">
        <v>171</v>
      </c>
      <c r="Z92" s="53">
        <v>50.173410404624299</v>
      </c>
      <c r="AA92" s="43">
        <v>1</v>
      </c>
      <c r="AB92" s="54">
        <v>1</v>
      </c>
      <c r="AC92" s="55">
        <v>0</v>
      </c>
      <c r="AD92" s="752" t="e">
        <f>_xlfn.XLOOKUP(Table1[[#This Row],[Ruta]],#REF!,#REF!)</f>
        <v>#REF!</v>
      </c>
      <c r="AE92" s="752" t="e">
        <f>_xlfn.XLOOKUP(Table1[[#This Row],[Ruta]],#REF!,#REF!)</f>
        <v>#REF!</v>
      </c>
      <c r="AF92" s="752" t="e">
        <f>_xlfn.XLOOKUP(Table1[[#This Row],[Ruta]],#REF!,#REF!)</f>
        <v>#REF!</v>
      </c>
      <c r="AG92" s="752" t="e">
        <f>_xlfn.XLOOKUP(Table1[[#This Row],[Ruta]],#REF!,#REF!)</f>
        <v>#REF!</v>
      </c>
      <c r="AH92" s="52">
        <v>0.22267777923584242</v>
      </c>
      <c r="AI92" s="52">
        <v>0.77732222076415758</v>
      </c>
      <c r="AJ92" s="55">
        <v>0</v>
      </c>
      <c r="AK92" s="56">
        <v>8680</v>
      </c>
      <c r="AL92" s="44">
        <v>13377</v>
      </c>
      <c r="AM92" s="54">
        <v>0.92384792626728096</v>
      </c>
      <c r="AN92" s="55">
        <v>0.83144613465711203</v>
      </c>
      <c r="AO92" s="56">
        <v>0</v>
      </c>
      <c r="AP92" s="48">
        <v>0</v>
      </c>
      <c r="AQ92" s="55">
        <v>1.5411290322580644</v>
      </c>
      <c r="AR92" s="51">
        <v>3779740.79</v>
      </c>
      <c r="AS92" s="49">
        <v>0</v>
      </c>
      <c r="AT92" s="55">
        <v>0</v>
      </c>
      <c r="AU92" s="51">
        <v>0</v>
      </c>
      <c r="AV92" s="52">
        <v>0</v>
      </c>
      <c r="AW92" s="44">
        <v>490</v>
      </c>
      <c r="AX92" s="51">
        <v>282.55519099947702</v>
      </c>
      <c r="AY92" s="49">
        <v>377.85479996169897</v>
      </c>
      <c r="AZ92" s="49">
        <v>95.299608962221953</v>
      </c>
      <c r="BA92" s="42" t="s">
        <v>150</v>
      </c>
      <c r="BB92" s="50">
        <v>447910.73778755043</v>
      </c>
      <c r="BC92" s="57">
        <v>447910.73778755043</v>
      </c>
      <c r="BD92" s="42" t="s">
        <v>150</v>
      </c>
      <c r="BE92" s="46">
        <v>50.173410404624299</v>
      </c>
      <c r="BF92" s="46">
        <v>48.897321428571402</v>
      </c>
      <c r="BG92" s="42" t="s">
        <v>150</v>
      </c>
      <c r="BH92" s="52">
        <v>0.92384792626728096</v>
      </c>
      <c r="BI92" s="52">
        <v>0.79215712207379996</v>
      </c>
      <c r="BJ92" s="42" t="s">
        <v>150</v>
      </c>
      <c r="BK92" s="46">
        <v>198.56200701010101</v>
      </c>
      <c r="BL92" s="46">
        <v>326.54713917579897</v>
      </c>
      <c r="BM92" s="42" t="s">
        <v>152</v>
      </c>
      <c r="BN92" s="48">
        <v>2</v>
      </c>
      <c r="BO92" s="42" t="s">
        <v>161</v>
      </c>
      <c r="BP92" s="42" t="s">
        <v>152</v>
      </c>
      <c r="BQ92" s="46">
        <v>0</v>
      </c>
      <c r="BR92" s="46">
        <v>55</v>
      </c>
      <c r="BS92" s="46">
        <v>3058</v>
      </c>
      <c r="BT92" s="46">
        <v>820</v>
      </c>
      <c r="BU92" s="46">
        <v>3.729268292682927</v>
      </c>
      <c r="BV92" s="46">
        <v>14.909090909090908</v>
      </c>
      <c r="BW92" s="46">
        <v>820</v>
      </c>
      <c r="BX92" s="46">
        <v>0</v>
      </c>
      <c r="BY92" s="46">
        <v>820</v>
      </c>
      <c r="BZ92" s="46">
        <v>1</v>
      </c>
      <c r="CA92" s="46">
        <v>1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>
        <v>337</v>
      </c>
      <c r="CL92">
        <v>592.58000000000004</v>
      </c>
      <c r="CM92">
        <f t="shared" si="14"/>
        <v>255.58000000000004</v>
      </c>
      <c r="CN92">
        <v>5.38</v>
      </c>
      <c r="CO92">
        <v>9.4499999999999993</v>
      </c>
      <c r="CP92">
        <f t="shared" si="15"/>
        <v>4.0699999999999994</v>
      </c>
      <c r="CQ92">
        <v>634.91999999999996</v>
      </c>
      <c r="CR92">
        <v>198.56</v>
      </c>
      <c r="CS92">
        <f t="shared" si="16"/>
        <v>436.35999999999996</v>
      </c>
      <c r="CT92" t="s">
        <v>152</v>
      </c>
      <c r="CU92">
        <v>56.95</v>
      </c>
      <c r="CV92">
        <v>354</v>
      </c>
      <c r="CW92" s="46">
        <v>820</v>
      </c>
      <c r="CX92" s="46">
        <f t="shared" si="10"/>
        <v>68.831707317073167</v>
      </c>
      <c r="CY92" s="46">
        <v>255.58</v>
      </c>
      <c r="CZ92" s="46">
        <f t="shared" si="11"/>
        <v>100</v>
      </c>
      <c r="DA92" s="46">
        <f t="shared" si="12"/>
        <v>6675.9820004090816</v>
      </c>
      <c r="DB92" s="46">
        <v>7180552.7199999997</v>
      </c>
      <c r="DC92" s="46">
        <f t="shared" si="13"/>
        <v>130.82048755090278</v>
      </c>
      <c r="DD92" s="46">
        <v>140707.9</v>
      </c>
      <c r="DE92" s="995">
        <v>820</v>
      </c>
      <c r="DF92" s="995">
        <v>75.033000000000001</v>
      </c>
      <c r="DG92" s="995">
        <v>204.7</v>
      </c>
      <c r="DH92" s="995">
        <v>100</v>
      </c>
      <c r="DI92" s="995">
        <v>9228.8369999999995</v>
      </c>
      <c r="DJ92" s="995">
        <v>9457073</v>
      </c>
      <c r="DK92" s="995">
        <v>184.17</v>
      </c>
      <c r="DL92" s="995">
        <v>188724.4</v>
      </c>
      <c r="DM92" s="995">
        <v>820</v>
      </c>
      <c r="DN92" s="995">
        <v>79.438999999999993</v>
      </c>
      <c r="DO92" s="995">
        <v>168.6</v>
      </c>
      <c r="DP92" s="995">
        <v>100</v>
      </c>
      <c r="DQ92" s="995">
        <v>9034.3719999999994</v>
      </c>
      <c r="DR92" s="995">
        <v>8931396</v>
      </c>
      <c r="DS92" s="995">
        <v>180.48699999999999</v>
      </c>
      <c r="DT92" s="995">
        <v>178429.5</v>
      </c>
    </row>
    <row r="93" spans="1:124">
      <c r="A93" s="42" t="s">
        <v>92</v>
      </c>
      <c r="B93" s="42" t="s">
        <v>168</v>
      </c>
      <c r="C93" s="42" t="s">
        <v>257</v>
      </c>
      <c r="D93" s="42">
        <v>703300</v>
      </c>
      <c r="E93" s="42" t="s">
        <v>258</v>
      </c>
      <c r="F93" s="42" t="s">
        <v>149</v>
      </c>
      <c r="G93" s="42" t="s">
        <v>150</v>
      </c>
      <c r="H93" s="43" t="s">
        <v>150</v>
      </c>
      <c r="I93" s="44">
        <v>10</v>
      </c>
      <c r="J93" s="45">
        <v>135154.48800000001</v>
      </c>
      <c r="K93" s="46">
        <v>27791.659495</v>
      </c>
      <c r="L93" s="47">
        <v>162946.14749500001</v>
      </c>
      <c r="M93" s="48">
        <v>5012440</v>
      </c>
      <c r="N93" s="49">
        <v>1894568</v>
      </c>
      <c r="O93" s="49">
        <v>3104865</v>
      </c>
      <c r="P93" s="49">
        <v>13007</v>
      </c>
      <c r="Q93" s="50">
        <v>11466.588784403701</v>
      </c>
      <c r="R93" s="51">
        <v>3985.3088686087499</v>
      </c>
      <c r="S93" s="49">
        <v>10709.392896953501</v>
      </c>
      <c r="T93" s="49">
        <v>1083.71892604402</v>
      </c>
      <c r="U93" s="49">
        <f>IFERROR(INDEX('Rentabilidad datos'!$N$2:$N$61,MATCH($C93,'Rentabilidad datos'!$C$2:$C$61,0)),"")</f>
        <v>15778.420691606218</v>
      </c>
      <c r="V93" s="50">
        <f>IFERROR(INDEX('Rentabilidad datos'!$O$2:$O$61,MATCH($C93,'Rentabilidad datos'!$C$2:$C$61,0)),"")</f>
        <v>1577.8420691606218</v>
      </c>
      <c r="W93" s="51">
        <f>IFERROR(INDEX('Rentabilidad datos'!$M$2:$M$61,MATCH($C93,'Rentabilidad datos'!$C$2:$C$61,0)),"")</f>
        <v>3111.2206603186733</v>
      </c>
      <c r="X93" s="52">
        <f>IFERROR(INDEX('Rentabilidad datos'!$P$2:$P$61,MATCH($C93,'Rentabilidad datos'!$C$2:$C$61,0)),"")</f>
        <v>0.50714566449266507</v>
      </c>
      <c r="Y93" s="43" t="s">
        <v>171</v>
      </c>
      <c r="Z93" s="53">
        <v>42.339449541284402</v>
      </c>
      <c r="AA93" s="43">
        <v>1</v>
      </c>
      <c r="AB93" s="54">
        <v>1.704439354885046E-2</v>
      </c>
      <c r="AC93" s="55">
        <v>0.98295560645114954</v>
      </c>
      <c r="AD93" s="752" t="e">
        <f>_xlfn.XLOOKUP(Table1[[#This Row],[Ruta]],#REF!,#REF!)</f>
        <v>#REF!</v>
      </c>
      <c r="AE93" s="752" t="e">
        <f>_xlfn.XLOOKUP(Table1[[#This Row],[Ruta]],#REF!,#REF!)</f>
        <v>#REF!</v>
      </c>
      <c r="AF93" s="752" t="e">
        <f>_xlfn.XLOOKUP(Table1[[#This Row],[Ruta]],#REF!,#REF!)</f>
        <v>#REF!</v>
      </c>
      <c r="AG93" s="752" t="e">
        <f>_xlfn.XLOOKUP(Table1[[#This Row],[Ruta]],#REF!,#REF!)</f>
        <v>#REF!</v>
      </c>
      <c r="AH93" s="52">
        <v>0.37797320267175266</v>
      </c>
      <c r="AI93" s="52">
        <v>0.6194318535483716</v>
      </c>
      <c r="AJ93" s="55">
        <v>2.5949437798756694E-3</v>
      </c>
      <c r="AK93" s="56">
        <v>18460</v>
      </c>
      <c r="AL93" s="44">
        <v>11678</v>
      </c>
      <c r="AM93" s="54">
        <v>0.63261105092090997</v>
      </c>
      <c r="AN93" s="55">
        <v>0.70449135053685197</v>
      </c>
      <c r="AO93" s="56">
        <v>1326.91033091028</v>
      </c>
      <c r="AP93" s="48">
        <v>663.45516545513999</v>
      </c>
      <c r="AQ93" s="55">
        <v>0.66855120072888086</v>
      </c>
      <c r="AR93" s="51">
        <v>4999432.71</v>
      </c>
      <c r="AS93" s="49">
        <v>284029.753022341</v>
      </c>
      <c r="AT93" s="55">
        <v>5.6812396425341825E-2</v>
      </c>
      <c r="AU93" s="51">
        <v>199588.47509678022</v>
      </c>
      <c r="AV93" s="52">
        <v>9.0794686079507722E-4</v>
      </c>
      <c r="AW93" s="44">
        <v>313</v>
      </c>
      <c r="AX93" s="51">
        <v>428.10692841239899</v>
      </c>
      <c r="AY93" s="49">
        <v>445.23273222366902</v>
      </c>
      <c r="AZ93" s="49">
        <v>17.125803811270032</v>
      </c>
      <c r="BA93" s="42" t="s">
        <v>150</v>
      </c>
      <c r="BB93" s="50">
        <v>70268.56161632837</v>
      </c>
      <c r="BC93" s="57">
        <v>269857.03671310859</v>
      </c>
      <c r="BD93" s="42" t="s">
        <v>150</v>
      </c>
      <c r="BE93" s="46">
        <v>42.339449541284402</v>
      </c>
      <c r="BF93" s="46">
        <v>48.897321428571402</v>
      </c>
      <c r="BG93" s="42" t="s">
        <v>152</v>
      </c>
      <c r="BH93" s="52">
        <v>0.63261105092090997</v>
      </c>
      <c r="BI93" s="52">
        <v>0.79215712207379996</v>
      </c>
      <c r="BJ93" s="42" t="s">
        <v>152</v>
      </c>
      <c r="BK93" s="46">
        <v>373.72969608944999</v>
      </c>
      <c r="BL93" s="46">
        <v>326.54713917579897</v>
      </c>
      <c r="BM93" s="42" t="s">
        <v>150</v>
      </c>
      <c r="BN93" s="48">
        <v>1</v>
      </c>
      <c r="BO93" s="42" t="s">
        <v>155</v>
      </c>
      <c r="BP93" s="42" t="s">
        <v>152</v>
      </c>
      <c r="BQ93" s="46">
        <v>841.38128574927896</v>
      </c>
      <c r="BR93" s="46">
        <v>1002</v>
      </c>
      <c r="BS93" s="46">
        <v>86090</v>
      </c>
      <c r="BT93" s="46">
        <v>23353</v>
      </c>
      <c r="BU93" s="46">
        <v>3.6864642658330835</v>
      </c>
      <c r="BV93" s="46">
        <v>23.306387225548903</v>
      </c>
      <c r="BW93" s="46">
        <v>0</v>
      </c>
      <c r="BX93" s="46">
        <v>2778</v>
      </c>
      <c r="BY93" s="46">
        <v>2778</v>
      </c>
      <c r="BZ93" s="46">
        <v>0.11895687920181561</v>
      </c>
      <c r="CA93" s="46">
        <v>0</v>
      </c>
      <c r="CB93" s="46">
        <v>0.11895687920181559</v>
      </c>
      <c r="CC93" s="46">
        <v>0.35258853252258809</v>
      </c>
      <c r="CD93" s="46">
        <v>0.27101443069412923</v>
      </c>
      <c r="CE93" s="46">
        <v>0</v>
      </c>
      <c r="CF93" s="46">
        <v>0.25739733653063851</v>
      </c>
      <c r="CG93" s="46">
        <v>0</v>
      </c>
      <c r="CH93" s="46">
        <v>4.2821050828587333E-5</v>
      </c>
      <c r="CI93" s="46">
        <v>3.6473458009060291</v>
      </c>
      <c r="CJ93" s="46">
        <v>0.48786154024857709</v>
      </c>
      <c r="CM93">
        <f t="shared" si="14"/>
        <v>0</v>
      </c>
      <c r="CP93">
        <f t="shared" si="15"/>
        <v>0</v>
      </c>
      <c r="CS93">
        <f t="shared" si="16"/>
        <v>0</v>
      </c>
      <c r="CW93" s="46"/>
      <c r="CX93" s="46">
        <f t="shared" si="10"/>
        <v>0</v>
      </c>
      <c r="CY93" s="46"/>
      <c r="CZ93" s="46">
        <f t="shared" si="11"/>
        <v>0</v>
      </c>
      <c r="DA93" s="46">
        <f t="shared" si="12"/>
        <v>0</v>
      </c>
      <c r="DB93" s="46"/>
      <c r="DC93" s="46">
        <f t="shared" si="13"/>
        <v>0</v>
      </c>
      <c r="DD93" s="46"/>
      <c r="DE93" s="995" t="s">
        <v>194</v>
      </c>
      <c r="DF93" s="995" t="s">
        <v>194</v>
      </c>
      <c r="DG93" s="995" t="s">
        <v>194</v>
      </c>
      <c r="DH93" s="995" t="s">
        <v>194</v>
      </c>
      <c r="DI93" s="995" t="s">
        <v>194</v>
      </c>
      <c r="DJ93" s="995" t="s">
        <v>194</v>
      </c>
      <c r="DK93" s="995" t="s">
        <v>194</v>
      </c>
      <c r="DL93" s="995" t="s">
        <v>194</v>
      </c>
      <c r="DM93" s="995" t="s">
        <v>194</v>
      </c>
      <c r="DN93" s="995" t="s">
        <v>194</v>
      </c>
      <c r="DO93" s="995" t="s">
        <v>194</v>
      </c>
      <c r="DP93" s="995" t="s">
        <v>194</v>
      </c>
      <c r="DQ93" s="995" t="s">
        <v>194</v>
      </c>
      <c r="DR93" s="995" t="s">
        <v>194</v>
      </c>
      <c r="DS93" s="995" t="s">
        <v>194</v>
      </c>
      <c r="DT93" s="995" t="s">
        <v>194</v>
      </c>
    </row>
    <row r="94" spans="1:124">
      <c r="A94" s="42" t="s">
        <v>92</v>
      </c>
      <c r="B94" s="42" t="s">
        <v>168</v>
      </c>
      <c r="C94" s="42" t="s">
        <v>257</v>
      </c>
      <c r="D94" s="42">
        <v>703301</v>
      </c>
      <c r="E94" s="42" t="s">
        <v>259</v>
      </c>
      <c r="F94" s="42" t="s">
        <v>149</v>
      </c>
      <c r="G94" s="42" t="s">
        <v>150</v>
      </c>
      <c r="H94" s="43" t="s">
        <v>150</v>
      </c>
      <c r="I94" s="44">
        <v>10</v>
      </c>
      <c r="J94" s="45">
        <v>163900.79440000001</v>
      </c>
      <c r="K94" s="46">
        <v>37892.061793000001</v>
      </c>
      <c r="L94" s="47">
        <v>201792.85619300001</v>
      </c>
      <c r="M94" s="48">
        <v>6110496</v>
      </c>
      <c r="N94" s="49">
        <v>2192302</v>
      </c>
      <c r="O94" s="49">
        <v>3912181</v>
      </c>
      <c r="P94" s="49">
        <v>6013</v>
      </c>
      <c r="Q94" s="50">
        <v>15581.4144239631</v>
      </c>
      <c r="R94" s="51">
        <v>3985.3088686087499</v>
      </c>
      <c r="S94" s="49">
        <v>10709.392896953501</v>
      </c>
      <c r="T94" s="49">
        <v>1083.71892604402</v>
      </c>
      <c r="U94" s="49">
        <f>IFERROR(INDEX('Rentabilidad datos'!$N$2:$N$61,MATCH($C94,'Rentabilidad datos'!$C$2:$C$61,0)),"")</f>
        <v>15778.420691606218</v>
      </c>
      <c r="V94" s="50">
        <f>IFERROR(INDEX('Rentabilidad datos'!$O$2:$O$61,MATCH($C94,'Rentabilidad datos'!$C$2:$C$61,0)),"")</f>
        <v>1577.8420691606218</v>
      </c>
      <c r="W94" s="51">
        <f>IFERROR(INDEX('Rentabilidad datos'!$M$2:$M$61,MATCH($C94,'Rentabilidad datos'!$C$2:$C$61,0)),"")</f>
        <v>3111.2206603186733</v>
      </c>
      <c r="X94" s="52">
        <f>IFERROR(INDEX('Rentabilidad datos'!$P$2:$P$61,MATCH($C94,'Rentabilidad datos'!$C$2:$C$61,0)),"")</f>
        <v>0.50714566449266507</v>
      </c>
      <c r="Y94" s="43" t="s">
        <v>171</v>
      </c>
      <c r="Z94" s="53">
        <v>41.758064516128997</v>
      </c>
      <c r="AA94" s="43">
        <v>1</v>
      </c>
      <c r="AB94" s="54">
        <v>2.2937417846276308E-2</v>
      </c>
      <c r="AC94" s="55">
        <v>0.97706258215372366</v>
      </c>
      <c r="AD94" s="752" t="e">
        <f>_xlfn.XLOOKUP(Table1[[#This Row],[Ruta]],#REF!,#REF!)</f>
        <v>#REF!</v>
      </c>
      <c r="AE94" s="752" t="e">
        <f>_xlfn.XLOOKUP(Table1[[#This Row],[Ruta]],#REF!,#REF!)</f>
        <v>#REF!</v>
      </c>
      <c r="AF94" s="752" t="e">
        <f>_xlfn.XLOOKUP(Table1[[#This Row],[Ruta]],#REF!,#REF!)</f>
        <v>#REF!</v>
      </c>
      <c r="AG94" s="752" t="e">
        <f>_xlfn.XLOOKUP(Table1[[#This Row],[Ruta]],#REF!,#REF!)</f>
        <v>#REF!</v>
      </c>
      <c r="AH94" s="52">
        <v>0.35877643975219031</v>
      </c>
      <c r="AI94" s="52">
        <v>0.64023951574471205</v>
      </c>
      <c r="AJ94" s="55">
        <v>9.8404450309762096E-4</v>
      </c>
      <c r="AK94" s="56">
        <v>18123</v>
      </c>
      <c r="AL94" s="44">
        <v>13701</v>
      </c>
      <c r="AM94" s="54">
        <v>0.75600066214202899</v>
      </c>
      <c r="AN94" s="55">
        <v>0.70449135053685197</v>
      </c>
      <c r="AO94" s="56">
        <v>0</v>
      </c>
      <c r="AP94" s="48">
        <v>0</v>
      </c>
      <c r="AQ94" s="55">
        <v>0.75600066214202943</v>
      </c>
      <c r="AR94" s="51">
        <v>6762333.8600000003</v>
      </c>
      <c r="AS94" s="49">
        <v>0</v>
      </c>
      <c r="AT94" s="55">
        <v>0</v>
      </c>
      <c r="AU94" s="51">
        <v>0</v>
      </c>
      <c r="AV94" s="52">
        <v>0</v>
      </c>
      <c r="AW94" s="44">
        <v>490</v>
      </c>
      <c r="AX94" s="51">
        <v>493.56498503758797</v>
      </c>
      <c r="AY94" s="49">
        <v>445.23273222366902</v>
      </c>
      <c r="AZ94" s="49">
        <v>0</v>
      </c>
      <c r="BA94" s="42" t="s">
        <v>152</v>
      </c>
      <c r="BB94" s="50">
        <v>0</v>
      </c>
      <c r="BC94" s="57">
        <v>0</v>
      </c>
      <c r="BD94" s="42" t="s">
        <v>150</v>
      </c>
      <c r="BE94" s="46">
        <v>41.758064516128997</v>
      </c>
      <c r="BF94" s="46">
        <v>48.897321428571402</v>
      </c>
      <c r="BG94" s="42" t="s">
        <v>152</v>
      </c>
      <c r="BH94" s="52">
        <v>0.75600066214202899</v>
      </c>
      <c r="BI94" s="52">
        <v>0.79215712207379996</v>
      </c>
      <c r="BJ94" s="42" t="s">
        <v>152</v>
      </c>
      <c r="BK94" s="46">
        <v>464.960498140553</v>
      </c>
      <c r="BL94" s="46">
        <v>326.54713917579897</v>
      </c>
      <c r="BM94" s="42" t="s">
        <v>150</v>
      </c>
      <c r="BN94" s="48">
        <v>1</v>
      </c>
      <c r="BO94" s="42" t="s">
        <v>155</v>
      </c>
      <c r="BP94" s="42" t="s">
        <v>152</v>
      </c>
      <c r="BQ94" s="46">
        <v>0</v>
      </c>
      <c r="BR94" s="46">
        <v>23</v>
      </c>
      <c r="BS94" s="46">
        <v>94</v>
      </c>
      <c r="BT94" s="46">
        <v>23</v>
      </c>
      <c r="BU94" s="46">
        <v>4.0869565217391308</v>
      </c>
      <c r="BV94" s="46">
        <v>1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1</v>
      </c>
      <c r="CG94" s="46">
        <v>0</v>
      </c>
      <c r="CH94" s="46">
        <v>0</v>
      </c>
      <c r="CI94" s="46">
        <v>0</v>
      </c>
      <c r="CJ94" s="46">
        <v>0</v>
      </c>
      <c r="CM94">
        <f t="shared" si="14"/>
        <v>0</v>
      </c>
      <c r="CP94">
        <f t="shared" si="15"/>
        <v>0</v>
      </c>
      <c r="CS94">
        <f t="shared" si="16"/>
        <v>0</v>
      </c>
      <c r="CW94" s="46"/>
      <c r="CX94" s="46">
        <f t="shared" si="10"/>
        <v>0</v>
      </c>
      <c r="CY94" s="46"/>
      <c r="CZ94" s="46">
        <f t="shared" si="11"/>
        <v>0</v>
      </c>
      <c r="DA94" s="46">
        <f t="shared" si="12"/>
        <v>0</v>
      </c>
      <c r="DB94" s="46"/>
      <c r="DC94" s="46">
        <f t="shared" si="13"/>
        <v>0</v>
      </c>
      <c r="DD94" s="46"/>
      <c r="DE94" s="995" t="s">
        <v>194</v>
      </c>
      <c r="DF94" s="995" t="s">
        <v>194</v>
      </c>
      <c r="DG94" s="995" t="s">
        <v>194</v>
      </c>
      <c r="DH94" s="995" t="s">
        <v>194</v>
      </c>
      <c r="DI94" s="995" t="s">
        <v>194</v>
      </c>
      <c r="DJ94" s="995" t="s">
        <v>194</v>
      </c>
      <c r="DK94" s="995" t="s">
        <v>194</v>
      </c>
      <c r="DL94" s="995" t="s">
        <v>194</v>
      </c>
      <c r="DM94" s="995" t="s">
        <v>194</v>
      </c>
      <c r="DN94" s="995" t="s">
        <v>194</v>
      </c>
      <c r="DO94" s="995" t="s">
        <v>194</v>
      </c>
      <c r="DP94" s="995" t="s">
        <v>194</v>
      </c>
      <c r="DQ94" s="995" t="s">
        <v>194</v>
      </c>
      <c r="DR94" s="995" t="s">
        <v>194</v>
      </c>
      <c r="DS94" s="995" t="s">
        <v>194</v>
      </c>
      <c r="DT94" s="995" t="s">
        <v>194</v>
      </c>
    </row>
    <row r="95" spans="1:124">
      <c r="A95" s="42" t="s">
        <v>92</v>
      </c>
      <c r="B95" s="42" t="s">
        <v>168</v>
      </c>
      <c r="C95" s="42" t="s">
        <v>257</v>
      </c>
      <c r="D95" s="42">
        <v>703302</v>
      </c>
      <c r="E95" s="42" t="s">
        <v>260</v>
      </c>
      <c r="F95" s="42" t="s">
        <v>149</v>
      </c>
      <c r="G95" s="42" t="s">
        <v>150</v>
      </c>
      <c r="H95" s="43" t="s">
        <v>150</v>
      </c>
      <c r="I95" s="44">
        <v>10</v>
      </c>
      <c r="J95" s="45">
        <v>208339.3928</v>
      </c>
      <c r="K95" s="46">
        <v>38429.109543999999</v>
      </c>
      <c r="L95" s="47">
        <v>246768.50234400001</v>
      </c>
      <c r="M95" s="48">
        <v>7523765</v>
      </c>
      <c r="N95" s="49">
        <v>2925596</v>
      </c>
      <c r="O95" s="49">
        <v>4582788</v>
      </c>
      <c r="P95" s="49">
        <v>15381</v>
      </c>
      <c r="Q95" s="50">
        <v>17411.257139588099</v>
      </c>
      <c r="R95" s="51">
        <v>3985.3088686087499</v>
      </c>
      <c r="S95" s="49">
        <v>10709.392896953501</v>
      </c>
      <c r="T95" s="49">
        <v>1083.71892604402</v>
      </c>
      <c r="U95" s="49">
        <f>IFERROR(INDEX('Rentabilidad datos'!$N$2:$N$61,MATCH($C95,'Rentabilidad datos'!$C$2:$C$61,0)),"")</f>
        <v>15778.420691606218</v>
      </c>
      <c r="V95" s="50">
        <f>IFERROR(INDEX('Rentabilidad datos'!$O$2:$O$61,MATCH($C95,'Rentabilidad datos'!$C$2:$C$61,0)),"")</f>
        <v>1577.8420691606218</v>
      </c>
      <c r="W95" s="51">
        <f>IFERROR(INDEX('Rentabilidad datos'!$M$2:$M$61,MATCH($C95,'Rentabilidad datos'!$C$2:$C$61,0)),"")</f>
        <v>3111.2206603186733</v>
      </c>
      <c r="X95" s="52">
        <f>IFERROR(INDEX('Rentabilidad datos'!$P$2:$P$61,MATCH($C95,'Rentabilidad datos'!$C$2:$C$61,0)),"")</f>
        <v>0.50714566449266507</v>
      </c>
      <c r="Y95" s="43" t="s">
        <v>171</v>
      </c>
      <c r="Z95" s="53">
        <v>50.116704805491999</v>
      </c>
      <c r="AA95" s="43">
        <v>1</v>
      </c>
      <c r="AB95" s="54">
        <v>2.4634474893886239E-2</v>
      </c>
      <c r="AC95" s="55">
        <v>0.97536552510611374</v>
      </c>
      <c r="AD95" s="752" t="e">
        <f>_xlfn.XLOOKUP(Table1[[#This Row],[Ruta]],#REF!,#REF!)</f>
        <v>#REF!</v>
      </c>
      <c r="AE95" s="752" t="e">
        <f>_xlfn.XLOOKUP(Table1[[#This Row],[Ruta]],#REF!,#REF!)</f>
        <v>#REF!</v>
      </c>
      <c r="AF95" s="752" t="e">
        <f>_xlfn.XLOOKUP(Table1[[#This Row],[Ruta]],#REF!,#REF!)</f>
        <v>#REF!</v>
      </c>
      <c r="AG95" s="752" t="e">
        <f>_xlfn.XLOOKUP(Table1[[#This Row],[Ruta]],#REF!,#REF!)</f>
        <v>#REF!</v>
      </c>
      <c r="AH95" s="52">
        <v>0.3888473390649495</v>
      </c>
      <c r="AI95" s="52">
        <v>0.60910833871073855</v>
      </c>
      <c r="AJ95" s="55">
        <v>2.0443222243118971E-3</v>
      </c>
      <c r="AK95" s="56">
        <v>21901</v>
      </c>
      <c r="AL95" s="44">
        <v>20549</v>
      </c>
      <c r="AM95" s="54">
        <v>0.93826765901100395</v>
      </c>
      <c r="AN95" s="55">
        <v>0.70449135053685197</v>
      </c>
      <c r="AO95" s="56">
        <v>0</v>
      </c>
      <c r="AP95" s="48">
        <v>0</v>
      </c>
      <c r="AQ95" s="55">
        <v>0.93826765901100406</v>
      </c>
      <c r="AR95" s="51">
        <v>7608719.3700000001</v>
      </c>
      <c r="AS95" s="49">
        <v>0</v>
      </c>
      <c r="AT95" s="55">
        <v>0</v>
      </c>
      <c r="AU95" s="51">
        <v>0</v>
      </c>
      <c r="AV95" s="52">
        <v>0</v>
      </c>
      <c r="AW95" s="44">
        <v>490</v>
      </c>
      <c r="AX95" s="51">
        <v>370.27200204389499</v>
      </c>
      <c r="AY95" s="49">
        <v>445.23273222366902</v>
      </c>
      <c r="AZ95" s="49">
        <v>74.960730179774032</v>
      </c>
      <c r="BA95" s="42" t="s">
        <v>150</v>
      </c>
      <c r="BB95" s="50">
        <v>541210.3940009271</v>
      </c>
      <c r="BC95" s="57">
        <v>541210.3940009271</v>
      </c>
      <c r="BD95" s="42" t="s">
        <v>150</v>
      </c>
      <c r="BE95" s="46">
        <v>50.116704805491999</v>
      </c>
      <c r="BF95" s="46">
        <v>48.897321428571402</v>
      </c>
      <c r="BG95" s="42" t="s">
        <v>150</v>
      </c>
      <c r="BH95" s="52">
        <v>0.93826765901100395</v>
      </c>
      <c r="BI95" s="52">
        <v>0.79215712207379996</v>
      </c>
      <c r="BJ95" s="42" t="s">
        <v>150</v>
      </c>
      <c r="BK95" s="46">
        <v>564.68764838443894</v>
      </c>
      <c r="BL95" s="46">
        <v>326.54713917579897</v>
      </c>
      <c r="BM95" s="42" t="s">
        <v>150</v>
      </c>
      <c r="BN95" s="48">
        <v>3</v>
      </c>
      <c r="BO95" s="42" t="s">
        <v>153</v>
      </c>
      <c r="BP95" s="42" t="s">
        <v>150</v>
      </c>
      <c r="BQ95" s="46">
        <v>0</v>
      </c>
      <c r="BR95" s="46">
        <v>1</v>
      </c>
      <c r="BS95" s="46">
        <v>0</v>
      </c>
      <c r="BT95" s="46">
        <v>0</v>
      </c>
      <c r="BU95" s="46" t="s">
        <v>194</v>
      </c>
      <c r="BV95" s="46">
        <v>0</v>
      </c>
      <c r="BW95" s="46">
        <v>0</v>
      </c>
      <c r="BX95" s="46">
        <v>0</v>
      </c>
      <c r="BY95" s="46">
        <v>0</v>
      </c>
      <c r="BZ95" s="46" t="s">
        <v>194</v>
      </c>
      <c r="CA95" s="46" t="s">
        <v>194</v>
      </c>
      <c r="CB95" s="46" t="s">
        <v>194</v>
      </c>
      <c r="CC95" s="46" t="s">
        <v>194</v>
      </c>
      <c r="CD95" s="46" t="s">
        <v>194</v>
      </c>
      <c r="CE95" s="46" t="s">
        <v>194</v>
      </c>
      <c r="CF95" s="46" t="s">
        <v>194</v>
      </c>
      <c r="CG95" s="46" t="s">
        <v>194</v>
      </c>
      <c r="CH95" s="46" t="s">
        <v>194</v>
      </c>
      <c r="CI95" s="46" t="s">
        <v>194</v>
      </c>
      <c r="CJ95" s="46" t="s">
        <v>194</v>
      </c>
      <c r="CM95">
        <f t="shared" si="14"/>
        <v>0</v>
      </c>
      <c r="CP95">
        <f t="shared" si="15"/>
        <v>0</v>
      </c>
      <c r="CS95">
        <f t="shared" si="16"/>
        <v>0</v>
      </c>
      <c r="CW95" s="46"/>
      <c r="CX95" s="46" t="e">
        <f t="shared" si="10"/>
        <v>#DIV/0!</v>
      </c>
      <c r="CY95" s="46"/>
      <c r="CZ95" s="46" t="e">
        <f t="shared" si="11"/>
        <v>#DIV/0!</v>
      </c>
      <c r="DA95" s="46" t="e">
        <f t="shared" si="12"/>
        <v>#DIV/0!</v>
      </c>
      <c r="DB95" s="46"/>
      <c r="DC95" s="46" t="e">
        <f t="shared" si="13"/>
        <v>#DIV/0!</v>
      </c>
      <c r="DD95" s="46"/>
      <c r="DE95" s="995" t="s">
        <v>194</v>
      </c>
      <c r="DF95" s="995" t="s">
        <v>194</v>
      </c>
      <c r="DG95" s="995" t="s">
        <v>194</v>
      </c>
      <c r="DH95" s="995" t="s">
        <v>194</v>
      </c>
      <c r="DI95" s="995" t="s">
        <v>194</v>
      </c>
      <c r="DJ95" s="995" t="s">
        <v>194</v>
      </c>
      <c r="DK95" s="995" t="s">
        <v>194</v>
      </c>
      <c r="DL95" s="995" t="s">
        <v>194</v>
      </c>
      <c r="DM95" s="995" t="s">
        <v>194</v>
      </c>
      <c r="DN95" s="995" t="s">
        <v>194</v>
      </c>
      <c r="DO95" s="995" t="s">
        <v>194</v>
      </c>
      <c r="DP95" s="995" t="s">
        <v>194</v>
      </c>
      <c r="DQ95" s="995" t="s">
        <v>194</v>
      </c>
      <c r="DR95" s="995" t="s">
        <v>194</v>
      </c>
      <c r="DS95" s="995" t="s">
        <v>194</v>
      </c>
      <c r="DT95" s="995" t="s">
        <v>194</v>
      </c>
    </row>
    <row r="96" spans="1:124">
      <c r="A96" s="42" t="s">
        <v>92</v>
      </c>
      <c r="B96" s="42" t="s">
        <v>168</v>
      </c>
      <c r="C96" s="42" t="s">
        <v>257</v>
      </c>
      <c r="D96" s="42">
        <v>703303</v>
      </c>
      <c r="E96" s="42" t="s">
        <v>261</v>
      </c>
      <c r="F96" s="42" t="s">
        <v>149</v>
      </c>
      <c r="G96" s="42" t="s">
        <v>150</v>
      </c>
      <c r="H96" s="43" t="s">
        <v>150</v>
      </c>
      <c r="I96" s="44">
        <v>10</v>
      </c>
      <c r="J96" s="45">
        <v>100596.2216</v>
      </c>
      <c r="K96" s="46">
        <v>20274.96846</v>
      </c>
      <c r="L96" s="47">
        <v>120871.19005999999</v>
      </c>
      <c r="M96" s="48">
        <v>2814482</v>
      </c>
      <c r="N96" s="49">
        <v>1243901</v>
      </c>
      <c r="O96" s="49">
        <v>1565728</v>
      </c>
      <c r="P96" s="49">
        <v>4853</v>
      </c>
      <c r="Q96" s="50">
        <v>8539.0580365296792</v>
      </c>
      <c r="R96" s="51">
        <v>3985.3088686087499</v>
      </c>
      <c r="S96" s="49">
        <v>10709.392896953501</v>
      </c>
      <c r="T96" s="49">
        <v>1083.71892604402</v>
      </c>
      <c r="U96" s="49">
        <f>IFERROR(INDEX('Rentabilidad datos'!$N$2:$N$61,MATCH($C96,'Rentabilidad datos'!$C$2:$C$61,0)),"")</f>
        <v>15778.420691606218</v>
      </c>
      <c r="V96" s="50">
        <f>IFERROR(INDEX('Rentabilidad datos'!$O$2:$O$61,MATCH($C96,'Rentabilidad datos'!$C$2:$C$61,0)),"")</f>
        <v>1577.8420691606218</v>
      </c>
      <c r="W96" s="51">
        <f>IFERROR(INDEX('Rentabilidad datos'!$M$2:$M$61,MATCH($C96,'Rentabilidad datos'!$C$2:$C$61,0)),"")</f>
        <v>3111.2206603186733</v>
      </c>
      <c r="X96" s="52">
        <f>IFERROR(INDEX('Rentabilidad datos'!$P$2:$P$61,MATCH($C96,'Rentabilidad datos'!$C$2:$C$61,0)),"")</f>
        <v>0.50714566449266507</v>
      </c>
      <c r="Y96" s="43" t="s">
        <v>171</v>
      </c>
      <c r="Z96" s="53">
        <v>40.960784313725497</v>
      </c>
      <c r="AA96" s="43">
        <v>1</v>
      </c>
      <c r="AB96" s="54">
        <v>5.5135900673729657E-2</v>
      </c>
      <c r="AC96" s="55">
        <v>0.94486409932627036</v>
      </c>
      <c r="AD96" s="752" t="e">
        <f>_xlfn.XLOOKUP(Table1[[#This Row],[Ruta]],#REF!,#REF!)</f>
        <v>#REF!</v>
      </c>
      <c r="AE96" s="752" t="e">
        <f>_xlfn.XLOOKUP(Table1[[#This Row],[Ruta]],#REF!,#REF!)</f>
        <v>#REF!</v>
      </c>
      <c r="AF96" s="752" t="e">
        <f>_xlfn.XLOOKUP(Table1[[#This Row],[Ruta]],#REF!,#REF!)</f>
        <v>#REF!</v>
      </c>
      <c r="AG96" s="752" t="e">
        <f>_xlfn.XLOOKUP(Table1[[#This Row],[Ruta]],#REF!,#REF!)</f>
        <v>#REF!</v>
      </c>
      <c r="AH96" s="52">
        <v>0.44196445384976701</v>
      </c>
      <c r="AI96" s="52">
        <v>0.55631125016965821</v>
      </c>
      <c r="AJ96" s="55">
        <v>1.7242959805747558E-3</v>
      </c>
      <c r="AK96" s="56">
        <v>16712</v>
      </c>
      <c r="AL96" s="44">
        <v>8294</v>
      </c>
      <c r="AM96" s="54">
        <v>0.44848013403542403</v>
      </c>
      <c r="AN96" s="55">
        <v>0.70449135053685197</v>
      </c>
      <c r="AO96" s="56">
        <v>4278.4594501718702</v>
      </c>
      <c r="AP96" s="48">
        <v>2139.2297250859351</v>
      </c>
      <c r="AQ96" s="55">
        <v>0.62429569920332306</v>
      </c>
      <c r="AR96" s="51">
        <v>3740107.42</v>
      </c>
      <c r="AS96" s="49">
        <v>964667.10488044994</v>
      </c>
      <c r="AT96" s="55">
        <v>0.25792497288231631</v>
      </c>
      <c r="AU96" s="51">
        <v>677874.18180788402</v>
      </c>
      <c r="AV96" s="52">
        <v>3.0837138020522337E-3</v>
      </c>
      <c r="AW96" s="44">
        <v>100</v>
      </c>
      <c r="AX96" s="51">
        <v>450.94133349409202</v>
      </c>
      <c r="AY96" s="49">
        <v>445.23273222366902</v>
      </c>
      <c r="AZ96" s="49">
        <v>0</v>
      </c>
      <c r="BA96" s="42" t="s">
        <v>152</v>
      </c>
      <c r="BB96" s="50">
        <v>0</v>
      </c>
      <c r="BC96" s="57">
        <v>677874.18180788402</v>
      </c>
      <c r="BD96" s="42" t="s">
        <v>150</v>
      </c>
      <c r="BE96" s="46">
        <v>40.960784313725497</v>
      </c>
      <c r="BF96" s="46">
        <v>48.897321428571402</v>
      </c>
      <c r="BG96" s="42" t="s">
        <v>152</v>
      </c>
      <c r="BH96" s="52">
        <v>0.44848013403542403</v>
      </c>
      <c r="BI96" s="52">
        <v>0.79215712207379996</v>
      </c>
      <c r="BJ96" s="42" t="s">
        <v>152</v>
      </c>
      <c r="BK96" s="46">
        <v>275.961621141553</v>
      </c>
      <c r="BL96" s="46">
        <v>326.54713917579897</v>
      </c>
      <c r="BM96" s="42" t="s">
        <v>152</v>
      </c>
      <c r="BN96" s="48">
        <v>0</v>
      </c>
      <c r="BO96" s="42" t="s">
        <v>155</v>
      </c>
      <c r="BP96" s="42" t="s">
        <v>152</v>
      </c>
      <c r="BQ96" s="46">
        <v>3360.3153313329999</v>
      </c>
      <c r="BR96" s="46">
        <v>13</v>
      </c>
      <c r="BS96" s="46">
        <v>141</v>
      </c>
      <c r="BT96" s="46">
        <v>56</v>
      </c>
      <c r="BU96" s="46">
        <v>2.5178571428571428</v>
      </c>
      <c r="BV96" s="46">
        <v>4.3076923076923075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1</v>
      </c>
      <c r="CG96" s="46">
        <v>0</v>
      </c>
      <c r="CH96" s="46">
        <v>0</v>
      </c>
      <c r="CI96" s="46">
        <v>0</v>
      </c>
      <c r="CJ96" s="46">
        <v>0</v>
      </c>
      <c r="CM96">
        <f t="shared" si="14"/>
        <v>0</v>
      </c>
      <c r="CP96">
        <f t="shared" si="15"/>
        <v>0</v>
      </c>
      <c r="CS96">
        <f t="shared" si="16"/>
        <v>0</v>
      </c>
      <c r="CW96" s="46"/>
      <c r="CX96" s="46">
        <f t="shared" si="10"/>
        <v>0</v>
      </c>
      <c r="CY96" s="46"/>
      <c r="CZ96" s="46">
        <f t="shared" si="11"/>
        <v>0</v>
      </c>
      <c r="DA96" s="46">
        <f t="shared" si="12"/>
        <v>0</v>
      </c>
      <c r="DB96" s="46"/>
      <c r="DC96" s="46">
        <f t="shared" si="13"/>
        <v>0</v>
      </c>
      <c r="DD96" s="46"/>
      <c r="DE96" s="995" t="s">
        <v>194</v>
      </c>
      <c r="DF96" s="995" t="s">
        <v>194</v>
      </c>
      <c r="DG96" s="995" t="s">
        <v>194</v>
      </c>
      <c r="DH96" s="995" t="s">
        <v>194</v>
      </c>
      <c r="DI96" s="995" t="s">
        <v>194</v>
      </c>
      <c r="DJ96" s="995" t="s">
        <v>194</v>
      </c>
      <c r="DK96" s="995" t="s">
        <v>194</v>
      </c>
      <c r="DL96" s="995" t="s">
        <v>194</v>
      </c>
      <c r="DM96" s="995" t="s">
        <v>194</v>
      </c>
      <c r="DN96" s="995" t="s">
        <v>194</v>
      </c>
      <c r="DO96" s="995" t="s">
        <v>194</v>
      </c>
      <c r="DP96" s="995" t="s">
        <v>194</v>
      </c>
      <c r="DQ96" s="995" t="s">
        <v>194</v>
      </c>
      <c r="DR96" s="995" t="s">
        <v>194</v>
      </c>
      <c r="DS96" s="995" t="s">
        <v>194</v>
      </c>
      <c r="DT96" s="995" t="s">
        <v>194</v>
      </c>
    </row>
    <row r="97" spans="1:124">
      <c r="A97" s="42" t="s">
        <v>92</v>
      </c>
      <c r="B97" s="42" t="s">
        <v>168</v>
      </c>
      <c r="C97" s="42" t="s">
        <v>257</v>
      </c>
      <c r="D97" s="42">
        <v>703304</v>
      </c>
      <c r="E97" s="42" t="s">
        <v>262</v>
      </c>
      <c r="F97" s="42" t="s">
        <v>149</v>
      </c>
      <c r="G97" s="42" t="s">
        <v>150</v>
      </c>
      <c r="H97" s="43" t="s">
        <v>150</v>
      </c>
      <c r="I97" s="44">
        <v>10</v>
      </c>
      <c r="J97" s="45">
        <v>116602.00719999999</v>
      </c>
      <c r="K97" s="46">
        <v>25466.310621000001</v>
      </c>
      <c r="L97" s="47">
        <v>142068.317821</v>
      </c>
      <c r="M97" s="48">
        <v>3199810</v>
      </c>
      <c r="N97" s="49">
        <v>1277559</v>
      </c>
      <c r="O97" s="49">
        <v>1919088</v>
      </c>
      <c r="P97" s="49">
        <v>3163</v>
      </c>
      <c r="Q97" s="50">
        <v>10467.3463553531</v>
      </c>
      <c r="R97" s="51">
        <v>3985.3088686087499</v>
      </c>
      <c r="S97" s="49">
        <v>10709.392896953501</v>
      </c>
      <c r="T97" s="49">
        <v>1083.71892604402</v>
      </c>
      <c r="U97" s="49">
        <f>IFERROR(INDEX('Rentabilidad datos'!$N$2:$N$61,MATCH($C97,'Rentabilidad datos'!$C$2:$C$61,0)),"")</f>
        <v>15778.420691606218</v>
      </c>
      <c r="V97" s="50">
        <f>IFERROR(INDEX('Rentabilidad datos'!$O$2:$O$61,MATCH($C97,'Rentabilidad datos'!$C$2:$C$61,0)),"")</f>
        <v>1577.8420691606218</v>
      </c>
      <c r="W97" s="51">
        <f>IFERROR(INDEX('Rentabilidad datos'!$M$2:$M$61,MATCH($C97,'Rentabilidad datos'!$C$2:$C$61,0)),"")</f>
        <v>3111.2206603186733</v>
      </c>
      <c r="X97" s="52">
        <f>IFERROR(INDEX('Rentabilidad datos'!$P$2:$P$61,MATCH($C97,'Rentabilidad datos'!$C$2:$C$61,0)),"")</f>
        <v>0.50714566449266507</v>
      </c>
      <c r="Y97" s="43" t="s">
        <v>171</v>
      </c>
      <c r="Z97" s="53">
        <v>41.931662870159499</v>
      </c>
      <c r="AA97" s="43">
        <v>1</v>
      </c>
      <c r="AB97" s="54">
        <v>5.2384360321394083E-2</v>
      </c>
      <c r="AC97" s="55">
        <v>0.94761563967860596</v>
      </c>
      <c r="AD97" s="752" t="e">
        <f>_xlfn.XLOOKUP(Table1[[#This Row],[Ruta]],#REF!,#REF!)</f>
        <v>#REF!</v>
      </c>
      <c r="AE97" s="752" t="e">
        <f>_xlfn.XLOOKUP(Table1[[#This Row],[Ruta]],#REF!,#REF!)</f>
        <v>#REF!</v>
      </c>
      <c r="AF97" s="752" t="e">
        <f>_xlfn.XLOOKUP(Table1[[#This Row],[Ruta]],#REF!,#REF!)</f>
        <v>#REF!</v>
      </c>
      <c r="AG97" s="752" t="e">
        <f>_xlfn.XLOOKUP(Table1[[#This Row],[Ruta]],#REF!,#REF!)</f>
        <v>#REF!</v>
      </c>
      <c r="AH97" s="52">
        <v>0.39926089361555844</v>
      </c>
      <c r="AI97" s="52">
        <v>0.59975061019248022</v>
      </c>
      <c r="AJ97" s="55">
        <v>9.8849619196139768E-4</v>
      </c>
      <c r="AK97" s="56">
        <v>18408</v>
      </c>
      <c r="AL97" s="44">
        <v>10167</v>
      </c>
      <c r="AM97" s="54">
        <v>0.552314211212516</v>
      </c>
      <c r="AN97" s="55">
        <v>0.70449135053685197</v>
      </c>
      <c r="AO97" s="56">
        <v>2801.2767806823699</v>
      </c>
      <c r="AP97" s="48">
        <v>1400.638390341185</v>
      </c>
      <c r="AQ97" s="55">
        <v>0.62840278087468404</v>
      </c>
      <c r="AR97" s="51">
        <v>4595165.05</v>
      </c>
      <c r="AS97" s="49">
        <v>633044.612863585</v>
      </c>
      <c r="AT97" s="55">
        <v>0.13776319369933948</v>
      </c>
      <c r="AU97" s="51">
        <v>444842.16039062745</v>
      </c>
      <c r="AV97" s="52">
        <v>2.0236290841949825E-3</v>
      </c>
      <c r="AW97" s="44">
        <v>167</v>
      </c>
      <c r="AX97" s="51">
        <v>451.968628897413</v>
      </c>
      <c r="AY97" s="49">
        <v>445.23273222366902</v>
      </c>
      <c r="AZ97" s="49">
        <v>0</v>
      </c>
      <c r="BA97" s="42" t="s">
        <v>152</v>
      </c>
      <c r="BB97" s="50">
        <v>0</v>
      </c>
      <c r="BC97" s="57">
        <v>444842.16039062745</v>
      </c>
      <c r="BD97" s="42" t="s">
        <v>150</v>
      </c>
      <c r="BE97" s="46">
        <v>41.931662870159499</v>
      </c>
      <c r="BF97" s="46">
        <v>48.897321428571402</v>
      </c>
      <c r="BG97" s="42" t="s">
        <v>152</v>
      </c>
      <c r="BH97" s="52">
        <v>0.552314211212516</v>
      </c>
      <c r="BI97" s="52">
        <v>0.79215712207379996</v>
      </c>
      <c r="BJ97" s="42" t="s">
        <v>152</v>
      </c>
      <c r="BK97" s="46">
        <v>323.61803603872499</v>
      </c>
      <c r="BL97" s="46">
        <v>326.54713917579897</v>
      </c>
      <c r="BM97" s="42" t="s">
        <v>152</v>
      </c>
      <c r="BN97" s="48">
        <v>0</v>
      </c>
      <c r="BO97" s="42" t="s">
        <v>155</v>
      </c>
      <c r="BP97" s="42" t="s">
        <v>152</v>
      </c>
      <c r="BQ97" s="46">
        <v>4323.4719243988102</v>
      </c>
      <c r="BR97" s="46">
        <v>193</v>
      </c>
      <c r="BS97" s="46">
        <v>6460</v>
      </c>
      <c r="BT97" s="46">
        <v>1796</v>
      </c>
      <c r="BU97" s="46">
        <v>3.5968819599109132</v>
      </c>
      <c r="BV97" s="46">
        <v>9.3056994818652843</v>
      </c>
      <c r="BW97" s="46">
        <v>1</v>
      </c>
      <c r="BX97" s="46">
        <v>14</v>
      </c>
      <c r="BY97" s="46">
        <v>15</v>
      </c>
      <c r="BZ97" s="46">
        <v>8.351893095768375E-3</v>
      </c>
      <c r="CA97" s="46">
        <v>5.5679287305122492E-4</v>
      </c>
      <c r="CB97" s="46">
        <v>7.7951002227171504E-3</v>
      </c>
      <c r="CC97" s="46">
        <v>0.30734966592427609</v>
      </c>
      <c r="CD97" s="46">
        <v>1.7817371937639201E-2</v>
      </c>
      <c r="CE97" s="46">
        <v>0</v>
      </c>
      <c r="CF97" s="46">
        <v>0.66369710467706011</v>
      </c>
      <c r="CG97" s="46">
        <v>2.7839643652561251E-3</v>
      </c>
      <c r="CH97" s="46">
        <v>0</v>
      </c>
      <c r="CI97" s="46">
        <v>3.0959752321981431</v>
      </c>
      <c r="CJ97" s="46">
        <v>1.702786377708978</v>
      </c>
      <c r="CM97">
        <f t="shared" si="14"/>
        <v>0</v>
      </c>
      <c r="CP97">
        <f t="shared" si="15"/>
        <v>0</v>
      </c>
      <c r="CS97">
        <f t="shared" si="16"/>
        <v>0</v>
      </c>
      <c r="CW97" s="46"/>
      <c r="CX97" s="46">
        <f t="shared" si="10"/>
        <v>0</v>
      </c>
      <c r="CY97" s="46"/>
      <c r="CZ97" s="46">
        <f t="shared" si="11"/>
        <v>0</v>
      </c>
      <c r="DA97" s="46">
        <f t="shared" si="12"/>
        <v>0</v>
      </c>
      <c r="DB97" s="46"/>
      <c r="DC97" s="46">
        <f t="shared" si="13"/>
        <v>0</v>
      </c>
      <c r="DD97" s="46"/>
      <c r="DE97" s="995" t="s">
        <v>194</v>
      </c>
      <c r="DF97" s="995" t="s">
        <v>194</v>
      </c>
      <c r="DG97" s="995" t="s">
        <v>194</v>
      </c>
      <c r="DH97" s="995" t="s">
        <v>194</v>
      </c>
      <c r="DI97" s="995" t="s">
        <v>194</v>
      </c>
      <c r="DJ97" s="995" t="s">
        <v>194</v>
      </c>
      <c r="DK97" s="995" t="s">
        <v>194</v>
      </c>
      <c r="DL97" s="995" t="s">
        <v>194</v>
      </c>
      <c r="DM97" s="995" t="s">
        <v>194</v>
      </c>
      <c r="DN97" s="995" t="s">
        <v>194</v>
      </c>
      <c r="DO97" s="995" t="s">
        <v>194</v>
      </c>
      <c r="DP97" s="995" t="s">
        <v>194</v>
      </c>
      <c r="DQ97" s="995" t="s">
        <v>194</v>
      </c>
      <c r="DR97" s="995" t="s">
        <v>194</v>
      </c>
      <c r="DS97" s="995" t="s">
        <v>194</v>
      </c>
      <c r="DT97" s="995" t="s">
        <v>194</v>
      </c>
    </row>
    <row r="98" spans="1:124">
      <c r="A98" s="42" t="s">
        <v>92</v>
      </c>
      <c r="B98" s="42" t="s">
        <v>168</v>
      </c>
      <c r="C98" s="42" t="s">
        <v>257</v>
      </c>
      <c r="D98" s="42">
        <v>703305</v>
      </c>
      <c r="E98" s="42" t="s">
        <v>263</v>
      </c>
      <c r="F98" s="42" t="s">
        <v>149</v>
      </c>
      <c r="G98" s="42" t="s">
        <v>150</v>
      </c>
      <c r="H98" s="43" t="s">
        <v>150</v>
      </c>
      <c r="I98" s="44">
        <v>10</v>
      </c>
      <c r="J98" s="45">
        <v>55875.831200000001</v>
      </c>
      <c r="K98" s="46">
        <v>8874.2430939999995</v>
      </c>
      <c r="L98" s="47">
        <v>64750.074293999998</v>
      </c>
      <c r="M98" s="48">
        <v>6234311</v>
      </c>
      <c r="N98" s="49">
        <v>1784179</v>
      </c>
      <c r="O98" s="49">
        <v>4436962</v>
      </c>
      <c r="P98" s="49">
        <v>13170</v>
      </c>
      <c r="Q98" s="50">
        <v>4103.9409885057503</v>
      </c>
      <c r="R98" s="51">
        <v>3985.3088686087499</v>
      </c>
      <c r="S98" s="49">
        <v>10709.392896953501</v>
      </c>
      <c r="T98" s="49">
        <v>1083.71892604402</v>
      </c>
      <c r="U98" s="49">
        <f>IFERROR(INDEX('Rentabilidad datos'!$N$2:$N$61,MATCH($C98,'Rentabilidad datos'!$C$2:$C$61,0)),"")</f>
        <v>15778.420691606218</v>
      </c>
      <c r="V98" s="50">
        <f>IFERROR(INDEX('Rentabilidad datos'!$O$2:$O$61,MATCH($C98,'Rentabilidad datos'!$C$2:$C$61,0)),"")</f>
        <v>1577.8420691606218</v>
      </c>
      <c r="W98" s="51">
        <f>IFERROR(INDEX('Rentabilidad datos'!$M$2:$M$61,MATCH($C98,'Rentabilidad datos'!$C$2:$C$61,0)),"")</f>
        <v>3111.2206603186733</v>
      </c>
      <c r="X98" s="52">
        <f>IFERROR(INDEX('Rentabilidad datos'!$P$2:$P$61,MATCH($C98,'Rentabilidad datos'!$C$2:$C$61,0)),"")</f>
        <v>0.50714566449266507</v>
      </c>
      <c r="Y98" s="43" t="s">
        <v>171</v>
      </c>
      <c r="Z98" s="53">
        <v>39.208722741433</v>
      </c>
      <c r="AA98" s="43">
        <v>1</v>
      </c>
      <c r="AB98" s="54">
        <v>4.5182859822039678E-2</v>
      </c>
      <c r="AC98" s="55">
        <v>0.95481714017796038</v>
      </c>
      <c r="AD98" s="752" t="e">
        <f>_xlfn.XLOOKUP(Table1[[#This Row],[Ruta]],#REF!,#REF!)</f>
        <v>#REF!</v>
      </c>
      <c r="AE98" s="752" t="e">
        <f>_xlfn.XLOOKUP(Table1[[#This Row],[Ruta]],#REF!,#REF!)</f>
        <v>#REF!</v>
      </c>
      <c r="AF98" s="752" t="e">
        <f>_xlfn.XLOOKUP(Table1[[#This Row],[Ruta]],#REF!,#REF!)</f>
        <v>#REF!</v>
      </c>
      <c r="AG98" s="752" t="e">
        <f>_xlfn.XLOOKUP(Table1[[#This Row],[Ruta]],#REF!,#REF!)</f>
        <v>#REF!</v>
      </c>
      <c r="AH98" s="52">
        <v>0.28618703815064728</v>
      </c>
      <c r="AI98" s="52">
        <v>0.71170045896010004</v>
      </c>
      <c r="AJ98" s="55">
        <v>2.1125028892527179E-3</v>
      </c>
      <c r="AK98" s="56">
        <v>12586</v>
      </c>
      <c r="AL98" s="44">
        <v>4834</v>
      </c>
      <c r="AM98" s="54">
        <v>0.29032258064516098</v>
      </c>
      <c r="AN98" s="55">
        <v>0.70449135053685197</v>
      </c>
      <c r="AO98" s="56">
        <v>5212.7281378568196</v>
      </c>
      <c r="AP98" s="48">
        <v>2606.3640689284098</v>
      </c>
      <c r="AQ98" s="55">
        <v>0.59116193142606144</v>
      </c>
      <c r="AR98" s="51">
        <v>1785214.33</v>
      </c>
      <c r="AS98" s="49">
        <v>962540.02586845495</v>
      </c>
      <c r="AT98" s="55">
        <v>0.53917336965833951</v>
      </c>
      <c r="AU98" s="51">
        <v>676379.47763729293</v>
      </c>
      <c r="AV98" s="52">
        <v>3.0769142513324471E-3</v>
      </c>
      <c r="AW98" s="44">
        <v>101</v>
      </c>
      <c r="AX98" s="51">
        <v>369.30375051716999</v>
      </c>
      <c r="AY98" s="49">
        <v>445.23273222366902</v>
      </c>
      <c r="AZ98" s="49">
        <v>75.92898170649903</v>
      </c>
      <c r="BA98" s="42" t="s">
        <v>150</v>
      </c>
      <c r="BB98" s="50">
        <v>128960.24509188686</v>
      </c>
      <c r="BC98" s="57">
        <v>805339.72272917978</v>
      </c>
      <c r="BD98" s="42" t="s">
        <v>150</v>
      </c>
      <c r="BE98" s="46">
        <v>39.208722741433</v>
      </c>
      <c r="BF98" s="46">
        <v>48.897321428571402</v>
      </c>
      <c r="BG98" s="42" t="s">
        <v>152</v>
      </c>
      <c r="BH98" s="52">
        <v>0.29032258064516098</v>
      </c>
      <c r="BI98" s="52">
        <v>0.79215712207379996</v>
      </c>
      <c r="BJ98" s="42" t="s">
        <v>152</v>
      </c>
      <c r="BK98" s="46">
        <v>148.850745503448</v>
      </c>
      <c r="BL98" s="46">
        <v>326.54713917579897</v>
      </c>
      <c r="BM98" s="42" t="s">
        <v>152</v>
      </c>
      <c r="BN98" s="48">
        <v>0</v>
      </c>
      <c r="BO98" s="42" t="s">
        <v>155</v>
      </c>
      <c r="BP98" s="42" t="s">
        <v>152</v>
      </c>
      <c r="BQ98" s="46">
        <v>5552.4868559838797</v>
      </c>
      <c r="BR98" s="46" t="e">
        <v>#N/A</v>
      </c>
      <c r="BS98" s="46" t="e">
        <v>#N/A</v>
      </c>
      <c r="BT98" s="46" t="e">
        <v>#N/A</v>
      </c>
      <c r="BU98" s="46" t="e">
        <v>#N/A</v>
      </c>
      <c r="BV98" s="46" t="e">
        <v>#N/A</v>
      </c>
      <c r="BW98" s="46" t="e">
        <v>#N/A</v>
      </c>
      <c r="BX98" s="46" t="e">
        <v>#N/A</v>
      </c>
      <c r="BY98" s="46" t="e">
        <v>#N/A</v>
      </c>
      <c r="BZ98" s="46" t="e">
        <v>#N/A</v>
      </c>
      <c r="CA98" s="46" t="e">
        <v>#N/A</v>
      </c>
      <c r="CB98" s="46" t="e">
        <v>#N/A</v>
      </c>
      <c r="CC98" s="46" t="e">
        <v>#N/A</v>
      </c>
      <c r="CD98" s="46" t="e">
        <v>#N/A</v>
      </c>
      <c r="CE98" s="46" t="e">
        <v>#N/A</v>
      </c>
      <c r="CF98" s="46" t="e">
        <v>#N/A</v>
      </c>
      <c r="CG98" s="46" t="e">
        <v>#N/A</v>
      </c>
      <c r="CH98" s="46" t="e">
        <v>#N/A</v>
      </c>
      <c r="CI98" s="46" t="e">
        <v>#N/A</v>
      </c>
      <c r="CJ98" s="46" t="e">
        <v>#N/A</v>
      </c>
      <c r="CM98">
        <f t="shared" si="14"/>
        <v>0</v>
      </c>
      <c r="CP98">
        <f t="shared" si="15"/>
        <v>0</v>
      </c>
      <c r="CS98">
        <f t="shared" si="16"/>
        <v>0</v>
      </c>
      <c r="CW98" s="46"/>
      <c r="CX98" s="46" t="e">
        <f t="shared" si="10"/>
        <v>#N/A</v>
      </c>
      <c r="CY98" s="46"/>
      <c r="CZ98" s="46" t="e">
        <f t="shared" si="11"/>
        <v>#N/A</v>
      </c>
      <c r="DA98" s="46" t="e">
        <f t="shared" si="12"/>
        <v>#N/A</v>
      </c>
      <c r="DB98" s="46"/>
      <c r="DC98" s="46" t="e">
        <f t="shared" si="13"/>
        <v>#N/A</v>
      </c>
      <c r="DD98" s="46"/>
      <c r="DE98" s="995" t="s">
        <v>194</v>
      </c>
      <c r="DF98" s="995" t="s">
        <v>194</v>
      </c>
      <c r="DG98" s="995" t="s">
        <v>194</v>
      </c>
      <c r="DH98" s="995" t="s">
        <v>194</v>
      </c>
      <c r="DI98" s="995" t="s">
        <v>194</v>
      </c>
      <c r="DJ98" s="995" t="s">
        <v>194</v>
      </c>
      <c r="DK98" s="995" t="s">
        <v>194</v>
      </c>
      <c r="DL98" s="995" t="s">
        <v>194</v>
      </c>
      <c r="DM98" s="995" t="s">
        <v>194</v>
      </c>
      <c r="DN98" s="995" t="s">
        <v>194</v>
      </c>
      <c r="DO98" s="995" t="s">
        <v>194</v>
      </c>
      <c r="DP98" s="995" t="s">
        <v>194</v>
      </c>
      <c r="DQ98" s="995" t="s">
        <v>194</v>
      </c>
      <c r="DR98" s="995" t="s">
        <v>194</v>
      </c>
      <c r="DS98" s="995" t="s">
        <v>194</v>
      </c>
      <c r="DT98" s="995" t="s">
        <v>194</v>
      </c>
    </row>
    <row r="99" spans="1:124">
      <c r="A99" s="42" t="s">
        <v>92</v>
      </c>
      <c r="B99" s="42" t="s">
        <v>168</v>
      </c>
      <c r="C99" s="42" t="s">
        <v>257</v>
      </c>
      <c r="D99" s="42">
        <v>703306</v>
      </c>
      <c r="E99" s="42" t="s">
        <v>264</v>
      </c>
      <c r="F99" s="42" t="s">
        <v>149</v>
      </c>
      <c r="G99" s="42" t="s">
        <v>150</v>
      </c>
      <c r="H99" s="43" t="s">
        <v>150</v>
      </c>
      <c r="I99" s="44">
        <v>10</v>
      </c>
      <c r="J99" s="45">
        <v>94037.512799999997</v>
      </c>
      <c r="K99" s="46">
        <v>12709.815898999999</v>
      </c>
      <c r="L99" s="47">
        <v>106747.32869900001</v>
      </c>
      <c r="M99" s="48">
        <v>2758221</v>
      </c>
      <c r="N99" s="49">
        <v>1306818</v>
      </c>
      <c r="O99" s="49">
        <v>1448606</v>
      </c>
      <c r="P99" s="49">
        <v>2797</v>
      </c>
      <c r="Q99" s="50">
        <v>6692.3909195402302</v>
      </c>
      <c r="R99" s="51">
        <v>3985.3088686087499</v>
      </c>
      <c r="S99" s="49">
        <v>10709.392896953501</v>
      </c>
      <c r="T99" s="49">
        <v>1083.71892604402</v>
      </c>
      <c r="U99" s="49">
        <f>IFERROR(INDEX('Rentabilidad datos'!$N$2:$N$61,MATCH($C99,'Rentabilidad datos'!$C$2:$C$61,0)),"")</f>
        <v>15778.420691606218</v>
      </c>
      <c r="V99" s="50">
        <f>IFERROR(INDEX('Rentabilidad datos'!$O$2:$O$61,MATCH($C99,'Rentabilidad datos'!$C$2:$C$61,0)),"")</f>
        <v>1577.8420691606218</v>
      </c>
      <c r="W99" s="51">
        <f>IFERROR(INDEX('Rentabilidad datos'!$M$2:$M$61,MATCH($C99,'Rentabilidad datos'!$C$2:$C$61,0)),"")</f>
        <v>3111.2206603186733</v>
      </c>
      <c r="X99" s="52">
        <f>IFERROR(INDEX('Rentabilidad datos'!$P$2:$P$61,MATCH($C99,'Rentabilidad datos'!$C$2:$C$61,0)),"")</f>
        <v>0.50714566449266507</v>
      </c>
      <c r="Y99" s="43" t="s">
        <v>171</v>
      </c>
      <c r="Z99" s="53">
        <v>41.397701149425302</v>
      </c>
      <c r="AA99" s="43">
        <v>1</v>
      </c>
      <c r="AB99" s="54">
        <v>1.689966104964033E-2</v>
      </c>
      <c r="AC99" s="55">
        <v>0.98310033895035964</v>
      </c>
      <c r="AD99" s="752" t="e">
        <f>_xlfn.XLOOKUP(Table1[[#This Row],[Ruta]],#REF!,#REF!)</f>
        <v>#REF!</v>
      </c>
      <c r="AE99" s="752" t="e">
        <f>_xlfn.XLOOKUP(Table1[[#This Row],[Ruta]],#REF!,#REF!)</f>
        <v>#REF!</v>
      </c>
      <c r="AF99" s="752" t="e">
        <f>_xlfn.XLOOKUP(Table1[[#This Row],[Ruta]],#REF!,#REF!)</f>
        <v>#REF!</v>
      </c>
      <c r="AG99" s="752" t="e">
        <f>_xlfn.XLOOKUP(Table1[[#This Row],[Ruta]],#REF!,#REF!)</f>
        <v>#REF!</v>
      </c>
      <c r="AH99" s="52">
        <v>0.47379017127344036</v>
      </c>
      <c r="AI99" s="52">
        <v>0.52519576930202472</v>
      </c>
      <c r="AJ99" s="55">
        <v>1.0140594245348722E-3</v>
      </c>
      <c r="AK99" s="56">
        <v>18008</v>
      </c>
      <c r="AL99" s="44">
        <v>7939</v>
      </c>
      <c r="AM99" s="54">
        <v>0.440859617947579</v>
      </c>
      <c r="AN99" s="55">
        <v>0.70449135053685197</v>
      </c>
      <c r="AO99" s="56">
        <v>4747.4802404676302</v>
      </c>
      <c r="AP99" s="48">
        <v>2373.7401202338151</v>
      </c>
      <c r="AQ99" s="55">
        <v>0.57267548424221537</v>
      </c>
      <c r="AR99" s="51">
        <v>2911190.05</v>
      </c>
      <c r="AS99" s="49">
        <v>870438.16844823002</v>
      </c>
      <c r="AT99" s="55">
        <v>0.29899736997528897</v>
      </c>
      <c r="AU99" s="51">
        <v>611659.25350416184</v>
      </c>
      <c r="AV99" s="52">
        <v>2.7824958271066179E-3</v>
      </c>
      <c r="AW99" s="44">
        <v>114</v>
      </c>
      <c r="AX99" s="51">
        <v>366.69480413150302</v>
      </c>
      <c r="AY99" s="49">
        <v>445.23273222366902</v>
      </c>
      <c r="AZ99" s="49">
        <v>78.537928092165998</v>
      </c>
      <c r="BA99" s="42" t="s">
        <v>150</v>
      </c>
      <c r="BB99" s="50">
        <v>219071.99850292376</v>
      </c>
      <c r="BC99" s="57">
        <v>830731.2520070856</v>
      </c>
      <c r="BD99" s="42" t="s">
        <v>150</v>
      </c>
      <c r="BE99" s="46">
        <v>41.397701149425302</v>
      </c>
      <c r="BF99" s="46">
        <v>48.897321428571402</v>
      </c>
      <c r="BG99" s="42" t="s">
        <v>152</v>
      </c>
      <c r="BH99" s="52">
        <v>0.440859617947579</v>
      </c>
      <c r="BI99" s="52">
        <v>0.79215712207379996</v>
      </c>
      <c r="BJ99" s="42" t="s">
        <v>152</v>
      </c>
      <c r="BK99" s="46">
        <v>245.39615792873599</v>
      </c>
      <c r="BL99" s="46">
        <v>326.54713917579897</v>
      </c>
      <c r="BM99" s="42" t="s">
        <v>152</v>
      </c>
      <c r="BN99" s="48">
        <v>0</v>
      </c>
      <c r="BO99" s="42" t="s">
        <v>155</v>
      </c>
      <c r="BP99" s="42" t="s">
        <v>152</v>
      </c>
      <c r="BQ99" s="46">
        <v>5456.9150150219903</v>
      </c>
      <c r="BR99" s="46">
        <v>2</v>
      </c>
      <c r="BS99" s="46">
        <v>0</v>
      </c>
      <c r="BT99" s="46">
        <v>0</v>
      </c>
      <c r="BU99" s="46" t="s">
        <v>194</v>
      </c>
      <c r="BV99" s="46">
        <v>0</v>
      </c>
      <c r="BW99" s="46">
        <v>0</v>
      </c>
      <c r="BX99" s="46">
        <v>0</v>
      </c>
      <c r="BY99" s="46">
        <v>0</v>
      </c>
      <c r="BZ99" s="46" t="s">
        <v>194</v>
      </c>
      <c r="CA99" s="46" t="s">
        <v>194</v>
      </c>
      <c r="CB99" s="46" t="s">
        <v>194</v>
      </c>
      <c r="CC99" s="46" t="s">
        <v>194</v>
      </c>
      <c r="CD99" s="46" t="s">
        <v>194</v>
      </c>
      <c r="CE99" s="46" t="s">
        <v>194</v>
      </c>
      <c r="CF99" s="46" t="s">
        <v>194</v>
      </c>
      <c r="CG99" s="46" t="s">
        <v>194</v>
      </c>
      <c r="CH99" s="46" t="s">
        <v>194</v>
      </c>
      <c r="CI99" s="46" t="s">
        <v>194</v>
      </c>
      <c r="CJ99" s="46" t="s">
        <v>194</v>
      </c>
      <c r="CM99">
        <f t="shared" si="14"/>
        <v>0</v>
      </c>
      <c r="CP99">
        <f t="shared" si="15"/>
        <v>0</v>
      </c>
      <c r="CS99">
        <f t="shared" si="16"/>
        <v>0</v>
      </c>
      <c r="CW99" s="46"/>
      <c r="CX99" s="46" t="e">
        <f t="shared" si="10"/>
        <v>#DIV/0!</v>
      </c>
      <c r="CY99" s="46"/>
      <c r="CZ99" s="46" t="e">
        <f t="shared" si="11"/>
        <v>#DIV/0!</v>
      </c>
      <c r="DA99" s="46" t="e">
        <f t="shared" si="12"/>
        <v>#DIV/0!</v>
      </c>
      <c r="DB99" s="46"/>
      <c r="DC99" s="46" t="e">
        <f t="shared" si="13"/>
        <v>#DIV/0!</v>
      </c>
      <c r="DD99" s="46"/>
      <c r="DE99" s="995" t="s">
        <v>194</v>
      </c>
      <c r="DF99" s="995" t="s">
        <v>194</v>
      </c>
      <c r="DG99" s="995" t="s">
        <v>194</v>
      </c>
      <c r="DH99" s="995" t="s">
        <v>194</v>
      </c>
      <c r="DI99" s="995" t="s">
        <v>194</v>
      </c>
      <c r="DJ99" s="995" t="s">
        <v>194</v>
      </c>
      <c r="DK99" s="995" t="s">
        <v>194</v>
      </c>
      <c r="DL99" s="995" t="s">
        <v>194</v>
      </c>
      <c r="DM99" s="995" t="s">
        <v>194</v>
      </c>
      <c r="DN99" s="995" t="s">
        <v>194</v>
      </c>
      <c r="DO99" s="995" t="s">
        <v>194</v>
      </c>
      <c r="DP99" s="995" t="s">
        <v>194</v>
      </c>
      <c r="DQ99" s="995" t="s">
        <v>194</v>
      </c>
      <c r="DR99" s="995" t="s">
        <v>194</v>
      </c>
      <c r="DS99" s="995" t="s">
        <v>194</v>
      </c>
      <c r="DT99" s="995" t="s">
        <v>194</v>
      </c>
    </row>
    <row r="100" spans="1:124">
      <c r="A100" s="42" t="s">
        <v>92</v>
      </c>
      <c r="B100" s="42" t="s">
        <v>168</v>
      </c>
      <c r="C100" s="42" t="s">
        <v>257</v>
      </c>
      <c r="D100" s="42">
        <v>703307</v>
      </c>
      <c r="E100" s="42" t="s">
        <v>265</v>
      </c>
      <c r="F100" s="42" t="s">
        <v>149</v>
      </c>
      <c r="G100" s="42" t="s">
        <v>150</v>
      </c>
      <c r="H100" s="43" t="s">
        <v>150</v>
      </c>
      <c r="I100" s="44">
        <v>10</v>
      </c>
      <c r="J100" s="45">
        <v>72691.768800000005</v>
      </c>
      <c r="K100" s="46">
        <v>7821.7698829999999</v>
      </c>
      <c r="L100" s="47">
        <v>80513.538683000006</v>
      </c>
      <c r="M100" s="48">
        <v>2026020</v>
      </c>
      <c r="N100" s="49">
        <v>1050648</v>
      </c>
      <c r="O100" s="49">
        <v>972986</v>
      </c>
      <c r="P100" s="49">
        <v>2386</v>
      </c>
      <c r="Q100" s="50">
        <v>4727.47693548387</v>
      </c>
      <c r="R100" s="51">
        <v>3985.3088686087499</v>
      </c>
      <c r="S100" s="49">
        <v>10709.392896953501</v>
      </c>
      <c r="T100" s="49">
        <v>1083.71892604402</v>
      </c>
      <c r="U100" s="49">
        <f>IFERROR(INDEX('Rentabilidad datos'!$N$2:$N$61,MATCH($C100,'Rentabilidad datos'!$C$2:$C$61,0)),"")</f>
        <v>15778.420691606218</v>
      </c>
      <c r="V100" s="50">
        <f>IFERROR(INDEX('Rentabilidad datos'!$O$2:$O$61,MATCH($C100,'Rentabilidad datos'!$C$2:$C$61,0)),"")</f>
        <v>1577.8420691606218</v>
      </c>
      <c r="W100" s="51">
        <f>IFERROR(INDEX('Rentabilidad datos'!$M$2:$M$61,MATCH($C100,'Rentabilidad datos'!$C$2:$C$61,0)),"")</f>
        <v>3111.2206603186733</v>
      </c>
      <c r="X100" s="52">
        <f>IFERROR(INDEX('Rentabilidad datos'!$P$2:$P$61,MATCH($C100,'Rentabilidad datos'!$C$2:$C$61,0)),"")</f>
        <v>0.50714566449266507</v>
      </c>
      <c r="Y100" s="43" t="s">
        <v>171</v>
      </c>
      <c r="Z100" s="53">
        <v>40.940092165898598</v>
      </c>
      <c r="AA100" s="43">
        <v>1</v>
      </c>
      <c r="AB100" s="54">
        <v>-5.8661809853802031E-3</v>
      </c>
      <c r="AC100" s="55">
        <v>1.0058661809853802</v>
      </c>
      <c r="AD100" s="752" t="e">
        <f>_xlfn.XLOOKUP(Table1[[#This Row],[Ruta]],#REF!,#REF!)</f>
        <v>#REF!</v>
      </c>
      <c r="AE100" s="752" t="e">
        <f>_xlfn.XLOOKUP(Table1[[#This Row],[Ruta]],#REF!,#REF!)</f>
        <v>#REF!</v>
      </c>
      <c r="AF100" s="752" t="e">
        <f>_xlfn.XLOOKUP(Table1[[#This Row],[Ruta]],#REF!,#REF!)</f>
        <v>#REF!</v>
      </c>
      <c r="AG100" s="752" t="e">
        <f>_xlfn.XLOOKUP(Table1[[#This Row],[Ruta]],#REF!,#REF!)</f>
        <v>#REF!</v>
      </c>
      <c r="AH100" s="52">
        <v>0.51857730920721412</v>
      </c>
      <c r="AI100" s="52">
        <v>0.48024501238882145</v>
      </c>
      <c r="AJ100" s="55">
        <v>1.1776784039644228E-3</v>
      </c>
      <c r="AK100" s="56">
        <v>17768</v>
      </c>
      <c r="AL100" s="44">
        <v>5161</v>
      </c>
      <c r="AM100" s="54">
        <v>0.29046600630346697</v>
      </c>
      <c r="AN100" s="55">
        <v>0.70449135053685197</v>
      </c>
      <c r="AO100" s="56">
        <v>7356.4023163387801</v>
      </c>
      <c r="AP100" s="48">
        <v>3678.2011581693901</v>
      </c>
      <c r="AQ100" s="55">
        <v>0.49747867842015925</v>
      </c>
      <c r="AR100" s="51">
        <v>2051724.99</v>
      </c>
      <c r="AS100" s="49">
        <v>1462247.090576065</v>
      </c>
      <c r="AT100" s="55">
        <v>0.71269156329575389</v>
      </c>
      <c r="AU100" s="51">
        <v>1027524.9825669649</v>
      </c>
      <c r="AV100" s="52">
        <v>4.6743083830757849E-3</v>
      </c>
      <c r="AW100" s="44">
        <v>39</v>
      </c>
      <c r="AX100" s="51">
        <v>397.54407866692497</v>
      </c>
      <c r="AY100" s="49">
        <v>445.23273222366902</v>
      </c>
      <c r="AZ100" s="49">
        <v>47.688653556744043</v>
      </c>
      <c r="BA100" s="42" t="s">
        <v>150</v>
      </c>
      <c r="BB100" s="50">
        <v>86474.995488719709</v>
      </c>
      <c r="BC100" s="57">
        <v>1113999.9780556846</v>
      </c>
      <c r="BD100" s="42" t="s">
        <v>150</v>
      </c>
      <c r="BE100" s="46">
        <v>40.940092165898598</v>
      </c>
      <c r="BF100" s="46">
        <v>48.897321428571402</v>
      </c>
      <c r="BG100" s="42" t="s">
        <v>152</v>
      </c>
      <c r="BH100" s="52">
        <v>0.29046600630346697</v>
      </c>
      <c r="BI100" s="52">
        <v>0.79215712207379996</v>
      </c>
      <c r="BJ100" s="42" t="s">
        <v>152</v>
      </c>
      <c r="BK100" s="46">
        <v>185.51506608986199</v>
      </c>
      <c r="BL100" s="46">
        <v>326.54713917579897</v>
      </c>
      <c r="BM100" s="42" t="s">
        <v>152</v>
      </c>
      <c r="BN100" s="48">
        <v>0</v>
      </c>
      <c r="BO100" s="42" t="s">
        <v>155</v>
      </c>
      <c r="BP100" s="42" t="s">
        <v>152</v>
      </c>
      <c r="BQ100" s="46">
        <v>7292.4804410421702</v>
      </c>
      <c r="BR100" s="46">
        <v>135</v>
      </c>
      <c r="BS100" s="46">
        <v>8235</v>
      </c>
      <c r="BT100" s="46">
        <v>1915</v>
      </c>
      <c r="BU100" s="46">
        <v>4.3002610966057437</v>
      </c>
      <c r="BV100" s="46">
        <v>14.185185185185185</v>
      </c>
      <c r="BW100" s="46">
        <v>37</v>
      </c>
      <c r="BX100" s="46">
        <v>0</v>
      </c>
      <c r="BY100" s="46">
        <v>37</v>
      </c>
      <c r="BZ100" s="46">
        <v>1.9321148825065273E-2</v>
      </c>
      <c r="CA100" s="46">
        <v>1.9321148825065269E-2</v>
      </c>
      <c r="CB100" s="46">
        <v>0</v>
      </c>
      <c r="CC100" s="46">
        <v>0.55404699738903396</v>
      </c>
      <c r="CD100" s="46">
        <v>0</v>
      </c>
      <c r="CE100" s="46">
        <v>0</v>
      </c>
      <c r="CF100" s="46">
        <v>0.42663185378590079</v>
      </c>
      <c r="CG100" s="46">
        <v>0</v>
      </c>
      <c r="CH100" s="46">
        <v>0</v>
      </c>
      <c r="CI100" s="46">
        <v>4.9787492410443228</v>
      </c>
      <c r="CJ100" s="46">
        <v>0</v>
      </c>
      <c r="CM100">
        <f t="shared" si="14"/>
        <v>0</v>
      </c>
      <c r="CP100">
        <f t="shared" si="15"/>
        <v>0</v>
      </c>
      <c r="CS100">
        <f t="shared" si="16"/>
        <v>0</v>
      </c>
      <c r="CW100" s="46"/>
      <c r="CX100" s="46">
        <f t="shared" si="10"/>
        <v>0</v>
      </c>
      <c r="CY100" s="46"/>
      <c r="CZ100" s="46">
        <f t="shared" si="11"/>
        <v>0</v>
      </c>
      <c r="DA100" s="46">
        <f t="shared" si="12"/>
        <v>0</v>
      </c>
      <c r="DB100" s="46"/>
      <c r="DC100" s="46">
        <f t="shared" si="13"/>
        <v>0</v>
      </c>
      <c r="DD100" s="46"/>
      <c r="DE100" s="995" t="s">
        <v>194</v>
      </c>
      <c r="DF100" s="995" t="s">
        <v>194</v>
      </c>
      <c r="DG100" s="995" t="s">
        <v>194</v>
      </c>
      <c r="DH100" s="995" t="s">
        <v>194</v>
      </c>
      <c r="DI100" s="995" t="s">
        <v>194</v>
      </c>
      <c r="DJ100" s="995" t="s">
        <v>194</v>
      </c>
      <c r="DK100" s="995" t="s">
        <v>194</v>
      </c>
      <c r="DL100" s="995" t="s">
        <v>194</v>
      </c>
      <c r="DM100" s="995" t="s">
        <v>194</v>
      </c>
      <c r="DN100" s="995" t="s">
        <v>194</v>
      </c>
      <c r="DO100" s="995" t="s">
        <v>194</v>
      </c>
      <c r="DP100" s="995" t="s">
        <v>194</v>
      </c>
      <c r="DQ100" s="995" t="s">
        <v>194</v>
      </c>
      <c r="DR100" s="995" t="s">
        <v>194</v>
      </c>
      <c r="DS100" s="995" t="s">
        <v>194</v>
      </c>
      <c r="DT100" s="995" t="s">
        <v>194</v>
      </c>
    </row>
    <row r="101" spans="1:124">
      <c r="A101" s="42" t="s">
        <v>92</v>
      </c>
      <c r="B101" s="42" t="s">
        <v>168</v>
      </c>
      <c r="C101" s="42" t="s">
        <v>257</v>
      </c>
      <c r="D101" s="42">
        <v>703308</v>
      </c>
      <c r="E101" s="42" t="s">
        <v>266</v>
      </c>
      <c r="F101" s="42" t="s">
        <v>149</v>
      </c>
      <c r="G101" s="42" t="s">
        <v>150</v>
      </c>
      <c r="H101" s="43" t="s">
        <v>150</v>
      </c>
      <c r="I101" s="44">
        <v>10</v>
      </c>
      <c r="J101" s="45">
        <v>149485.72399999999</v>
      </c>
      <c r="K101" s="46">
        <v>25799.474212000001</v>
      </c>
      <c r="L101" s="47">
        <v>175285.19821199999</v>
      </c>
      <c r="M101" s="48">
        <v>5338046</v>
      </c>
      <c r="N101" s="49">
        <v>2122799</v>
      </c>
      <c r="O101" s="49">
        <v>3205692</v>
      </c>
      <c r="P101" s="49">
        <v>9555</v>
      </c>
      <c r="Q101" s="50">
        <v>12270.5934931507</v>
      </c>
      <c r="R101" s="51">
        <v>3985.3088686087499</v>
      </c>
      <c r="S101" s="49">
        <v>10709.392896953501</v>
      </c>
      <c r="T101" s="49">
        <v>1083.71892604402</v>
      </c>
      <c r="U101" s="49">
        <f>IFERROR(INDEX('Rentabilidad datos'!$N$2:$N$61,MATCH($C101,'Rentabilidad datos'!$C$2:$C$61,0)),"")</f>
        <v>15778.420691606218</v>
      </c>
      <c r="V101" s="50">
        <f>IFERROR(INDEX('Rentabilidad datos'!$O$2:$O$61,MATCH($C101,'Rentabilidad datos'!$C$2:$C$61,0)),"")</f>
        <v>1577.8420691606218</v>
      </c>
      <c r="W101" s="51">
        <f>IFERROR(INDEX('Rentabilidad datos'!$M$2:$M$61,MATCH($C101,'Rentabilidad datos'!$C$2:$C$61,0)),"")</f>
        <v>3111.2206603186733</v>
      </c>
      <c r="X101" s="52">
        <f>IFERROR(INDEX('Rentabilidad datos'!$P$2:$P$61,MATCH($C101,'Rentabilidad datos'!$C$2:$C$61,0)),"")</f>
        <v>0.50714566449266507</v>
      </c>
      <c r="Y101" s="43" t="s">
        <v>171</v>
      </c>
      <c r="Z101" s="53">
        <v>41.855450236966803</v>
      </c>
      <c r="AA101" s="43">
        <v>1</v>
      </c>
      <c r="AB101" s="54">
        <v>0.10223441311670975</v>
      </c>
      <c r="AC101" s="55">
        <v>0.89776558688329022</v>
      </c>
      <c r="AD101" s="752" t="e">
        <f>_xlfn.XLOOKUP(Table1[[#This Row],[Ruta]],#REF!,#REF!)</f>
        <v>#REF!</v>
      </c>
      <c r="AE101" s="752" t="e">
        <f>_xlfn.XLOOKUP(Table1[[#This Row],[Ruta]],#REF!,#REF!)</f>
        <v>#REF!</v>
      </c>
      <c r="AF101" s="752" t="e">
        <f>_xlfn.XLOOKUP(Table1[[#This Row],[Ruta]],#REF!,#REF!)</f>
        <v>#REF!</v>
      </c>
      <c r="AG101" s="752" t="e">
        <f>_xlfn.XLOOKUP(Table1[[#This Row],[Ruta]],#REF!,#REF!)</f>
        <v>#REF!</v>
      </c>
      <c r="AH101" s="52">
        <v>0.39767341832573194</v>
      </c>
      <c r="AI101" s="52">
        <v>0.60053660084607741</v>
      </c>
      <c r="AJ101" s="55">
        <v>1.7899808281906899E-3</v>
      </c>
      <c r="AK101" s="56">
        <v>17663</v>
      </c>
      <c r="AL101" s="44">
        <v>12599</v>
      </c>
      <c r="AM101" s="54">
        <v>0.686859536885014</v>
      </c>
      <c r="AN101" s="55">
        <v>0.70449135053685197</v>
      </c>
      <c r="AO101" s="56">
        <v>311.43072453241302</v>
      </c>
      <c r="AP101" s="48">
        <v>155.71536226620651</v>
      </c>
      <c r="AQ101" s="55">
        <v>0.7221148934080398</v>
      </c>
      <c r="AR101" s="51">
        <v>5374519.9500000002</v>
      </c>
      <c r="AS101" s="49">
        <v>66425.535441003507</v>
      </c>
      <c r="AT101" s="55">
        <v>1.2359342984856444E-2</v>
      </c>
      <c r="AU101" s="51">
        <v>46677.403282867344</v>
      </c>
      <c r="AV101" s="52">
        <v>2.1233992473861495E-4</v>
      </c>
      <c r="AW101" s="44">
        <v>437</v>
      </c>
      <c r="AX101" s="51">
        <v>426.58305817922098</v>
      </c>
      <c r="AY101" s="49">
        <v>445.23273222366902</v>
      </c>
      <c r="AZ101" s="49">
        <v>18.649674044448034</v>
      </c>
      <c r="BA101" s="42" t="s">
        <v>150</v>
      </c>
      <c r="BB101" s="50">
        <v>82556.058451838137</v>
      </c>
      <c r="BC101" s="57">
        <v>129233.46173470549</v>
      </c>
      <c r="BD101" s="42" t="s">
        <v>150</v>
      </c>
      <c r="BE101" s="46">
        <v>41.855450236966803</v>
      </c>
      <c r="BF101" s="46">
        <v>48.897321428571402</v>
      </c>
      <c r="BG101" s="42" t="s">
        <v>152</v>
      </c>
      <c r="BH101" s="52">
        <v>0.686859536885014</v>
      </c>
      <c r="BI101" s="52">
        <v>0.79215712207379996</v>
      </c>
      <c r="BJ101" s="42" t="s">
        <v>152</v>
      </c>
      <c r="BK101" s="46">
        <v>400.19451646575402</v>
      </c>
      <c r="BL101" s="46">
        <v>326.54713917579897</v>
      </c>
      <c r="BM101" s="42" t="s">
        <v>150</v>
      </c>
      <c r="BN101" s="48">
        <v>1</v>
      </c>
      <c r="BO101" s="42" t="s">
        <v>155</v>
      </c>
      <c r="BP101" s="42" t="s">
        <v>152</v>
      </c>
      <c r="BQ101" s="46">
        <v>0</v>
      </c>
      <c r="BR101" s="46">
        <v>1</v>
      </c>
      <c r="BS101" s="46">
        <v>23</v>
      </c>
      <c r="BT101" s="46">
        <v>6</v>
      </c>
      <c r="BU101" s="46">
        <v>3.8333333333333335</v>
      </c>
      <c r="BV101" s="46">
        <v>6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1</v>
      </c>
      <c r="CG101" s="46">
        <v>0</v>
      </c>
      <c r="CH101" s="46">
        <v>0</v>
      </c>
      <c r="CI101" s="46">
        <v>0</v>
      </c>
      <c r="CJ101" s="46">
        <v>0</v>
      </c>
      <c r="CM101">
        <f t="shared" si="14"/>
        <v>0</v>
      </c>
      <c r="CP101">
        <f t="shared" si="15"/>
        <v>0</v>
      </c>
      <c r="CS101">
        <f t="shared" si="16"/>
        <v>0</v>
      </c>
      <c r="CW101" s="46"/>
      <c r="CX101" s="46">
        <f t="shared" si="10"/>
        <v>0</v>
      </c>
      <c r="CY101" s="46"/>
      <c r="CZ101" s="46">
        <f t="shared" si="11"/>
        <v>0</v>
      </c>
      <c r="DA101" s="46">
        <f t="shared" si="12"/>
        <v>0</v>
      </c>
      <c r="DB101" s="46"/>
      <c r="DC101" s="46">
        <f t="shared" si="13"/>
        <v>0</v>
      </c>
      <c r="DD101" s="46"/>
      <c r="DE101" s="995" t="s">
        <v>194</v>
      </c>
      <c r="DF101" s="995" t="s">
        <v>194</v>
      </c>
      <c r="DG101" s="995" t="s">
        <v>194</v>
      </c>
      <c r="DH101" s="995" t="s">
        <v>194</v>
      </c>
      <c r="DI101" s="995" t="s">
        <v>194</v>
      </c>
      <c r="DJ101" s="995" t="s">
        <v>194</v>
      </c>
      <c r="DK101" s="995" t="s">
        <v>194</v>
      </c>
      <c r="DL101" s="995" t="s">
        <v>194</v>
      </c>
      <c r="DM101" s="995" t="s">
        <v>194</v>
      </c>
      <c r="DN101" s="995" t="s">
        <v>194</v>
      </c>
      <c r="DO101" s="995" t="s">
        <v>194</v>
      </c>
      <c r="DP101" s="995" t="s">
        <v>194</v>
      </c>
      <c r="DQ101" s="995" t="s">
        <v>194</v>
      </c>
      <c r="DR101" s="995" t="s">
        <v>194</v>
      </c>
      <c r="DS101" s="995" t="s">
        <v>194</v>
      </c>
      <c r="DT101" s="995" t="s">
        <v>194</v>
      </c>
    </row>
    <row r="102" spans="1:124">
      <c r="A102" s="42" t="s">
        <v>92</v>
      </c>
      <c r="B102" s="42" t="s">
        <v>168</v>
      </c>
      <c r="C102" s="42" t="s">
        <v>257</v>
      </c>
      <c r="D102" s="42">
        <v>703309</v>
      </c>
      <c r="E102" s="42" t="s">
        <v>267</v>
      </c>
      <c r="F102" s="42" t="s">
        <v>149</v>
      </c>
      <c r="G102" s="42" t="s">
        <v>150</v>
      </c>
      <c r="H102" s="43" t="s">
        <v>150</v>
      </c>
      <c r="I102" s="44">
        <v>10</v>
      </c>
      <c r="J102" s="45">
        <v>113470.59359999999</v>
      </c>
      <c r="K102" s="46">
        <v>8759.6627939999998</v>
      </c>
      <c r="L102" s="47">
        <v>122230.256394</v>
      </c>
      <c r="M102" s="48">
        <v>2570516</v>
      </c>
      <c r="N102" s="49">
        <v>1615470</v>
      </c>
      <c r="O102" s="49">
        <v>950344</v>
      </c>
      <c r="P102" s="49">
        <v>4702</v>
      </c>
      <c r="Q102" s="50">
        <v>6117.0196100917401</v>
      </c>
      <c r="R102" s="51">
        <v>3985.3088686087499</v>
      </c>
      <c r="S102" s="49">
        <v>10709.392896953501</v>
      </c>
      <c r="T102" s="49">
        <v>1083.71892604402</v>
      </c>
      <c r="U102" s="49">
        <f>IFERROR(INDEX('Rentabilidad datos'!$N$2:$N$61,MATCH($C102,'Rentabilidad datos'!$C$2:$C$61,0)),"")</f>
        <v>15778.420691606218</v>
      </c>
      <c r="V102" s="50">
        <f>IFERROR(INDEX('Rentabilidad datos'!$O$2:$O$61,MATCH($C102,'Rentabilidad datos'!$C$2:$C$61,0)),"")</f>
        <v>1577.8420691606218</v>
      </c>
      <c r="W102" s="51">
        <f>IFERROR(INDEX('Rentabilidad datos'!$M$2:$M$61,MATCH($C102,'Rentabilidad datos'!$C$2:$C$61,0)),"")</f>
        <v>3111.2206603186733</v>
      </c>
      <c r="X102" s="52">
        <f>IFERROR(INDEX('Rentabilidad datos'!$P$2:$P$61,MATCH($C102,'Rentabilidad datos'!$C$2:$C$61,0)),"")</f>
        <v>0.50714566449266507</v>
      </c>
      <c r="Y102" s="43" t="s">
        <v>171</v>
      </c>
      <c r="Z102" s="53">
        <v>32.204678362573098</v>
      </c>
      <c r="AA102" s="43">
        <v>1</v>
      </c>
      <c r="AB102" s="54">
        <v>1.1636185108359566E-2</v>
      </c>
      <c r="AC102" s="55">
        <v>0.98836381489164038</v>
      </c>
      <c r="AD102" s="752" t="e">
        <f>_xlfn.XLOOKUP(Table1[[#This Row],[Ruta]],#REF!,#REF!)</f>
        <v>#REF!</v>
      </c>
      <c r="AE102" s="752" t="e">
        <f>_xlfn.XLOOKUP(Table1[[#This Row],[Ruta]],#REF!,#REF!)</f>
        <v>#REF!</v>
      </c>
      <c r="AF102" s="752" t="e">
        <f>_xlfn.XLOOKUP(Table1[[#This Row],[Ruta]],#REF!,#REF!)</f>
        <v>#REF!</v>
      </c>
      <c r="AG102" s="752" t="e">
        <f>_xlfn.XLOOKUP(Table1[[#This Row],[Ruta]],#REF!,#REF!)</f>
        <v>#REF!</v>
      </c>
      <c r="AH102" s="52">
        <v>0.62846136728968038</v>
      </c>
      <c r="AI102" s="52">
        <v>0.36970942799033346</v>
      </c>
      <c r="AJ102" s="55">
        <v>1.8292047199861819E-3</v>
      </c>
      <c r="AK102" s="56">
        <v>5507</v>
      </c>
      <c r="AL102" s="44">
        <v>8522</v>
      </c>
      <c r="AM102" s="54">
        <v>0.71036862175413096</v>
      </c>
      <c r="AN102" s="55">
        <v>0.70449135053685197</v>
      </c>
      <c r="AO102" s="56">
        <v>0</v>
      </c>
      <c r="AP102" s="48">
        <v>0</v>
      </c>
      <c r="AQ102" s="55">
        <v>1.5474850190666425</v>
      </c>
      <c r="AR102" s="51">
        <v>2667020.5499999998</v>
      </c>
      <c r="AS102" s="49">
        <v>0</v>
      </c>
      <c r="AT102" s="55">
        <v>0</v>
      </c>
      <c r="AU102" s="51">
        <v>0</v>
      </c>
      <c r="AV102" s="52">
        <v>0</v>
      </c>
      <c r="AW102" s="44">
        <v>490</v>
      </c>
      <c r="AX102" s="51">
        <v>312.95711687397301</v>
      </c>
      <c r="AY102" s="49">
        <v>445.23273222366902</v>
      </c>
      <c r="AZ102" s="49">
        <v>132.27561534969601</v>
      </c>
      <c r="BA102" s="42" t="s">
        <v>150</v>
      </c>
      <c r="BB102" s="50">
        <v>396061.79249003861</v>
      </c>
      <c r="BC102" s="57">
        <v>396061.79249003861</v>
      </c>
      <c r="BD102" s="42" t="s">
        <v>150</v>
      </c>
      <c r="BE102" s="46">
        <v>32.204678362573098</v>
      </c>
      <c r="BF102" s="46">
        <v>48.897321428571402</v>
      </c>
      <c r="BG102" s="42" t="s">
        <v>152</v>
      </c>
      <c r="BH102" s="52">
        <v>0.71036862175413096</v>
      </c>
      <c r="BI102" s="52">
        <v>0.79215712207379996</v>
      </c>
      <c r="BJ102" s="42" t="s">
        <v>152</v>
      </c>
      <c r="BK102" s="46">
        <v>280.34462475688099</v>
      </c>
      <c r="BL102" s="46">
        <v>326.54713917579897</v>
      </c>
      <c r="BM102" s="42" t="s">
        <v>152</v>
      </c>
      <c r="BN102" s="48">
        <v>0</v>
      </c>
      <c r="BO102" s="42" t="s">
        <v>155</v>
      </c>
      <c r="BP102" s="42" t="s">
        <v>152</v>
      </c>
      <c r="BQ102" s="46">
        <v>692.12101061276803</v>
      </c>
      <c r="BR102" s="46" t="e">
        <v>#N/A</v>
      </c>
      <c r="BS102" s="46" t="e">
        <v>#N/A</v>
      </c>
      <c r="BT102" s="46" t="e">
        <v>#N/A</v>
      </c>
      <c r="BU102" s="46" t="e">
        <v>#N/A</v>
      </c>
      <c r="BV102" s="46" t="e">
        <v>#N/A</v>
      </c>
      <c r="BW102" s="46" t="e">
        <v>#N/A</v>
      </c>
      <c r="BX102" s="46" t="e">
        <v>#N/A</v>
      </c>
      <c r="BY102" s="46" t="e">
        <v>#N/A</v>
      </c>
      <c r="BZ102" s="46" t="e">
        <v>#N/A</v>
      </c>
      <c r="CA102" s="46" t="e">
        <v>#N/A</v>
      </c>
      <c r="CB102" s="46" t="e">
        <v>#N/A</v>
      </c>
      <c r="CC102" s="46" t="e">
        <v>#N/A</v>
      </c>
      <c r="CD102" s="46" t="e">
        <v>#N/A</v>
      </c>
      <c r="CE102" s="46" t="e">
        <v>#N/A</v>
      </c>
      <c r="CF102" s="46" t="e">
        <v>#N/A</v>
      </c>
      <c r="CG102" s="46" t="e">
        <v>#N/A</v>
      </c>
      <c r="CH102" s="46" t="e">
        <v>#N/A</v>
      </c>
      <c r="CI102" s="46" t="e">
        <v>#N/A</v>
      </c>
      <c r="CJ102" s="46" t="e">
        <v>#N/A</v>
      </c>
      <c r="CM102">
        <f t="shared" si="14"/>
        <v>0</v>
      </c>
      <c r="CP102">
        <f t="shared" si="15"/>
        <v>0</v>
      </c>
      <c r="CS102">
        <f t="shared" si="16"/>
        <v>0</v>
      </c>
      <c r="CW102" s="46"/>
      <c r="CX102" s="46" t="e">
        <f t="shared" si="10"/>
        <v>#N/A</v>
      </c>
      <c r="CY102" s="46"/>
      <c r="CZ102" s="46" t="e">
        <f t="shared" si="11"/>
        <v>#N/A</v>
      </c>
      <c r="DA102" s="46" t="e">
        <f t="shared" si="12"/>
        <v>#N/A</v>
      </c>
      <c r="DB102" s="46"/>
      <c r="DC102" s="46" t="e">
        <f t="shared" si="13"/>
        <v>#N/A</v>
      </c>
      <c r="DD102" s="46"/>
      <c r="DE102" s="995" t="s">
        <v>194</v>
      </c>
      <c r="DF102" s="995" t="s">
        <v>194</v>
      </c>
      <c r="DG102" s="995" t="s">
        <v>194</v>
      </c>
      <c r="DH102" s="995" t="s">
        <v>194</v>
      </c>
      <c r="DI102" s="995" t="s">
        <v>194</v>
      </c>
      <c r="DJ102" s="995" t="s">
        <v>194</v>
      </c>
      <c r="DK102" s="995" t="s">
        <v>194</v>
      </c>
      <c r="DL102" s="995" t="s">
        <v>194</v>
      </c>
      <c r="DM102" s="995" t="s">
        <v>194</v>
      </c>
      <c r="DN102" s="995" t="s">
        <v>194</v>
      </c>
      <c r="DO102" s="995" t="s">
        <v>194</v>
      </c>
      <c r="DP102" s="995" t="s">
        <v>194</v>
      </c>
      <c r="DQ102" s="995" t="s">
        <v>194</v>
      </c>
      <c r="DR102" s="995" t="s">
        <v>194</v>
      </c>
      <c r="DS102" s="995" t="s">
        <v>194</v>
      </c>
      <c r="DT102" s="995" t="s">
        <v>194</v>
      </c>
    </row>
    <row r="103" spans="1:124">
      <c r="A103" s="42" t="s">
        <v>92</v>
      </c>
      <c r="B103" s="42" t="s">
        <v>168</v>
      </c>
      <c r="C103" s="42" t="s">
        <v>268</v>
      </c>
      <c r="D103" s="42">
        <v>706300</v>
      </c>
      <c r="E103" s="42" t="s">
        <v>269</v>
      </c>
      <c r="F103" s="42" t="s">
        <v>149</v>
      </c>
      <c r="G103" s="42" t="s">
        <v>150</v>
      </c>
      <c r="H103" s="43" t="s">
        <v>150</v>
      </c>
      <c r="I103" s="44">
        <v>1</v>
      </c>
      <c r="J103" s="45">
        <v>6636.2016000000003</v>
      </c>
      <c r="K103" s="46">
        <v>15227.569501</v>
      </c>
      <c r="L103" s="47">
        <v>21863.771100999998</v>
      </c>
      <c r="M103" s="48">
        <v>2060559</v>
      </c>
      <c r="N103" s="49">
        <v>103426</v>
      </c>
      <c r="O103" s="49">
        <v>1957133</v>
      </c>
      <c r="P103" s="49">
        <v>0</v>
      </c>
      <c r="Q103" s="50">
        <v>4769.8135416666701</v>
      </c>
      <c r="R103" s="51">
        <v>63.759113691516802</v>
      </c>
      <c r="S103" s="49">
        <v>1062.58090513507</v>
      </c>
      <c r="T103" s="49">
        <v>108.37189260440201</v>
      </c>
      <c r="U103" s="49">
        <f>IFERROR(INDEX('Rentabilidad datos'!$N$2:$N$61,MATCH($C103,'Rentabilidad datos'!$C$2:$C$61,0)),"")</f>
        <v>1234.711911430986</v>
      </c>
      <c r="V103" s="50">
        <f>IFERROR(INDEX('Rentabilidad datos'!$O$2:$O$61,MATCH($C103,'Rentabilidad datos'!$C$2:$C$61,0)),"")</f>
        <v>1234.711911430986</v>
      </c>
      <c r="W103" s="51">
        <f>IFERROR(INDEX('Rentabilidad datos'!$M$2:$M$61,MATCH($C103,'Rentabilidad datos'!$C$2:$C$61,0)),"")</f>
        <v>1585.5427901842493</v>
      </c>
      <c r="X103" s="52">
        <f>IFERROR(INDEX('Rentabilidad datos'!$P$2:$P$61,MATCH($C103,'Rentabilidad datos'!$C$2:$C$61,0)),"")</f>
        <v>0.77873137141098869</v>
      </c>
      <c r="Y103" s="43" t="s">
        <v>160</v>
      </c>
      <c r="Z103" s="53">
        <v>24.7222222222222</v>
      </c>
      <c r="AA103" s="43">
        <v>1</v>
      </c>
      <c r="AB103" s="54">
        <v>1</v>
      </c>
      <c r="AC103" s="55">
        <v>0</v>
      </c>
      <c r="AD103" s="752" t="e">
        <f>_xlfn.XLOOKUP(Table1[[#This Row],[Ruta]],#REF!,#REF!)</f>
        <v>#REF!</v>
      </c>
      <c r="AE103" s="752" t="e">
        <f>_xlfn.XLOOKUP(Table1[[#This Row],[Ruta]],#REF!,#REF!)</f>
        <v>#REF!</v>
      </c>
      <c r="AF103" s="752" t="e">
        <f>_xlfn.XLOOKUP(Table1[[#This Row],[Ruta]],#REF!,#REF!)</f>
        <v>#REF!</v>
      </c>
      <c r="AG103" s="752" t="e">
        <f>_xlfn.XLOOKUP(Table1[[#This Row],[Ruta]],#REF!,#REF!)</f>
        <v>#REF!</v>
      </c>
      <c r="AH103" s="52">
        <v>5.019317573532231E-2</v>
      </c>
      <c r="AI103" s="52">
        <v>0.94980682426467766</v>
      </c>
      <c r="AJ103" s="55">
        <v>0</v>
      </c>
      <c r="AK103" s="56">
        <v>10680</v>
      </c>
      <c r="AL103" s="44">
        <v>3239</v>
      </c>
      <c r="AM103" s="54">
        <v>0.30327715355805202</v>
      </c>
      <c r="AN103" s="55">
        <v>0.30327715355805202</v>
      </c>
      <c r="AO103" s="56">
        <v>0</v>
      </c>
      <c r="AP103" s="48">
        <v>0</v>
      </c>
      <c r="AQ103" s="55">
        <v>0.30327715355805246</v>
      </c>
      <c r="AR103" s="51">
        <v>2060559.45</v>
      </c>
      <c r="AS103" s="49">
        <v>0</v>
      </c>
      <c r="AT103" s="55">
        <v>0</v>
      </c>
      <c r="AU103" s="51">
        <v>0</v>
      </c>
      <c r="AV103" s="52">
        <v>0</v>
      </c>
      <c r="AW103" s="44">
        <v>490</v>
      </c>
      <c r="AX103" s="51">
        <v>636.17148811361506</v>
      </c>
      <c r="AY103" s="49">
        <v>636.17148811361506</v>
      </c>
      <c r="AZ103" s="49">
        <v>0</v>
      </c>
      <c r="BA103" s="42" t="s">
        <v>152</v>
      </c>
      <c r="BB103" s="50">
        <v>0</v>
      </c>
      <c r="BC103" s="57">
        <v>0</v>
      </c>
      <c r="BD103" s="42" t="s">
        <v>150</v>
      </c>
      <c r="BE103" s="46">
        <v>24.7222222222222</v>
      </c>
      <c r="BF103" s="46">
        <v>48.897321428571402</v>
      </c>
      <c r="BG103" s="42" t="s">
        <v>152</v>
      </c>
      <c r="BH103" s="52">
        <v>0.30327715355805301</v>
      </c>
      <c r="BI103" s="52">
        <v>0.79215712207379996</v>
      </c>
      <c r="BJ103" s="42" t="s">
        <v>152</v>
      </c>
      <c r="BK103" s="46">
        <v>50.610581252314802</v>
      </c>
      <c r="BL103" s="46">
        <v>326.54713917579897</v>
      </c>
      <c r="BM103" s="42" t="s">
        <v>152</v>
      </c>
      <c r="BN103" s="48">
        <v>0</v>
      </c>
      <c r="BO103" s="42" t="s">
        <v>155</v>
      </c>
      <c r="BP103" s="42" t="s">
        <v>152</v>
      </c>
      <c r="BQ103" s="46">
        <v>0</v>
      </c>
      <c r="BR103" s="46" t="e">
        <v>#N/A</v>
      </c>
      <c r="BS103" s="46" t="e">
        <v>#N/A</v>
      </c>
      <c r="BT103" s="46" t="e">
        <v>#N/A</v>
      </c>
      <c r="BU103" s="46" t="e">
        <v>#N/A</v>
      </c>
      <c r="BV103" s="46" t="e">
        <v>#N/A</v>
      </c>
      <c r="BW103" s="46" t="e">
        <v>#N/A</v>
      </c>
      <c r="BX103" s="46" t="e">
        <v>#N/A</v>
      </c>
      <c r="BY103" s="46" t="e">
        <v>#N/A</v>
      </c>
      <c r="BZ103" s="46" t="e">
        <v>#N/A</v>
      </c>
      <c r="CA103" s="46" t="e">
        <v>#N/A</v>
      </c>
      <c r="CB103" s="46" t="e">
        <v>#N/A</v>
      </c>
      <c r="CC103" s="46" t="e">
        <v>#N/A</v>
      </c>
      <c r="CD103" s="46" t="e">
        <v>#N/A</v>
      </c>
      <c r="CE103" s="46" t="e">
        <v>#N/A</v>
      </c>
      <c r="CF103" s="46" t="e">
        <v>#N/A</v>
      </c>
      <c r="CG103" s="46" t="e">
        <v>#N/A</v>
      </c>
      <c r="CH103" s="46" t="e">
        <v>#N/A</v>
      </c>
      <c r="CI103" s="46" t="e">
        <v>#N/A</v>
      </c>
      <c r="CJ103" s="46" t="e">
        <v>#N/A</v>
      </c>
      <c r="CM103">
        <f t="shared" si="14"/>
        <v>0</v>
      </c>
      <c r="CP103">
        <f t="shared" si="15"/>
        <v>0</v>
      </c>
      <c r="CS103">
        <f t="shared" si="16"/>
        <v>0</v>
      </c>
      <c r="CW103" s="46"/>
      <c r="CX103" s="46" t="e">
        <f t="shared" si="10"/>
        <v>#N/A</v>
      </c>
      <c r="CY103" s="46"/>
      <c r="CZ103" s="46" t="e">
        <f t="shared" si="11"/>
        <v>#N/A</v>
      </c>
      <c r="DA103" s="46" t="e">
        <f t="shared" si="12"/>
        <v>#N/A</v>
      </c>
      <c r="DB103" s="46"/>
      <c r="DC103" s="46" t="e">
        <f t="shared" si="13"/>
        <v>#N/A</v>
      </c>
      <c r="DD103" s="46"/>
      <c r="DE103" s="995" t="s">
        <v>194</v>
      </c>
      <c r="DF103" s="995" t="s">
        <v>194</v>
      </c>
      <c r="DG103" s="995" t="s">
        <v>194</v>
      </c>
      <c r="DH103" s="995" t="s">
        <v>194</v>
      </c>
      <c r="DI103" s="995" t="s">
        <v>194</v>
      </c>
      <c r="DJ103" s="995" t="s">
        <v>194</v>
      </c>
      <c r="DK103" s="995" t="s">
        <v>194</v>
      </c>
      <c r="DL103" s="995" t="s">
        <v>194</v>
      </c>
      <c r="DM103" s="995" t="s">
        <v>194</v>
      </c>
      <c r="DN103" s="995" t="s">
        <v>194</v>
      </c>
      <c r="DO103" s="995" t="s">
        <v>194</v>
      </c>
      <c r="DP103" s="995" t="s">
        <v>194</v>
      </c>
      <c r="DQ103" s="995" t="s">
        <v>194</v>
      </c>
      <c r="DR103" s="995" t="s">
        <v>194</v>
      </c>
      <c r="DS103" s="995" t="s">
        <v>194</v>
      </c>
      <c r="DT103" s="995" t="s">
        <v>194</v>
      </c>
    </row>
    <row r="104" spans="1:124">
      <c r="A104" s="42" t="s">
        <v>92</v>
      </c>
      <c r="B104" s="42" t="s">
        <v>270</v>
      </c>
      <c r="C104" s="42" t="s">
        <v>271</v>
      </c>
      <c r="D104" s="42">
        <v>208300</v>
      </c>
      <c r="E104" s="42" t="s">
        <v>272</v>
      </c>
      <c r="F104" s="42" t="s">
        <v>149</v>
      </c>
      <c r="G104" s="42" t="s">
        <v>150</v>
      </c>
      <c r="H104" s="43" t="s">
        <v>150</v>
      </c>
      <c r="I104" s="44">
        <v>1</v>
      </c>
      <c r="J104" s="45">
        <v>191078.058599999</v>
      </c>
      <c r="K104" s="46">
        <v>24349.390667</v>
      </c>
      <c r="L104" s="47">
        <v>215427.449266999</v>
      </c>
      <c r="M104" s="48">
        <v>5435476</v>
      </c>
      <c r="N104" s="49">
        <v>2936075</v>
      </c>
      <c r="O104" s="49">
        <v>2499401</v>
      </c>
      <c r="P104" s="49">
        <v>0</v>
      </c>
      <c r="Q104" s="50">
        <v>11946.100373626399</v>
      </c>
      <c r="R104" s="51">
        <v>341.45599486118999</v>
      </c>
      <c r="S104" s="49">
        <v>1212.36998082029</v>
      </c>
      <c r="T104" s="49">
        <v>141.84187403893199</v>
      </c>
      <c r="U104" s="49">
        <f>IFERROR(INDEX('Rentabilidad datos'!$N$2:$N$61,MATCH($C104,'Rentabilidad datos'!$C$2:$C$61,0)),"")</f>
        <v>1695.6678497204084</v>
      </c>
      <c r="V104" s="50">
        <f>IFERROR(INDEX('Rentabilidad datos'!$O$2:$O$61,MATCH($C104,'Rentabilidad datos'!$C$2:$C$61,0)),"")</f>
        <v>1695.6678497204084</v>
      </c>
      <c r="W104" s="51">
        <f>IFERROR(INDEX('Rentabilidad datos'!$M$2:$M$61,MATCH($C104,'Rentabilidad datos'!$C$2:$C$61,0)),"")</f>
        <v>4082.7295063475231</v>
      </c>
      <c r="X104" s="52">
        <f>IFERROR(INDEX('Rentabilidad datos'!$P$2:$P$61,MATCH($C104,'Rentabilidad datos'!$C$2:$C$61,0)),"")</f>
        <v>0.41532701274578948</v>
      </c>
      <c r="Y104" s="43" t="s">
        <v>151</v>
      </c>
      <c r="Z104" s="53">
        <v>58.890109890109898</v>
      </c>
      <c r="AA104" s="43">
        <v>1</v>
      </c>
      <c r="AB104" s="54">
        <v>1</v>
      </c>
      <c r="AC104" s="55">
        <v>0</v>
      </c>
      <c r="AD104" s="752" t="e">
        <f>_xlfn.XLOOKUP(Table1[[#This Row],[Ruta]],#REF!,#REF!)</f>
        <v>#REF!</v>
      </c>
      <c r="AE104" s="752" t="e">
        <f>_xlfn.XLOOKUP(Table1[[#This Row],[Ruta]],#REF!,#REF!)</f>
        <v>#REF!</v>
      </c>
      <c r="AF104" s="752" t="e">
        <f>_xlfn.XLOOKUP(Table1[[#This Row],[Ruta]],#REF!,#REF!)</f>
        <v>#REF!</v>
      </c>
      <c r="AG104" s="752" t="e">
        <f>_xlfn.XLOOKUP(Table1[[#This Row],[Ruta]],#REF!,#REF!)</f>
        <v>#REF!</v>
      </c>
      <c r="AH104" s="52">
        <v>0.54016888309321942</v>
      </c>
      <c r="AI104" s="52">
        <v>0.45983111690678058</v>
      </c>
      <c r="AJ104" s="55">
        <v>0</v>
      </c>
      <c r="AK104" s="56">
        <v>26795</v>
      </c>
      <c r="AL104" s="44">
        <v>11274</v>
      </c>
      <c r="AM104" s="54">
        <v>0.42075013995148303</v>
      </c>
      <c r="AN104" s="55">
        <v>0.42075013995148303</v>
      </c>
      <c r="AO104" s="56">
        <v>0</v>
      </c>
      <c r="AP104" s="48">
        <v>0</v>
      </c>
      <c r="AQ104" s="55">
        <v>0.42075013995148347</v>
      </c>
      <c r="AR104" s="51">
        <v>5435475.6699999999</v>
      </c>
      <c r="AS104" s="49">
        <v>0</v>
      </c>
      <c r="AT104" s="55">
        <v>0</v>
      </c>
      <c r="AU104" s="51">
        <v>0</v>
      </c>
      <c r="AV104" s="52">
        <v>0</v>
      </c>
      <c r="AW104" s="44">
        <v>490</v>
      </c>
      <c r="AX104" s="51">
        <v>482.12485985453299</v>
      </c>
      <c r="AY104" s="49">
        <v>482.12485985453299</v>
      </c>
      <c r="AZ104" s="49">
        <v>0</v>
      </c>
      <c r="BA104" s="42" t="s">
        <v>152</v>
      </c>
      <c r="BB104" s="50">
        <v>0</v>
      </c>
      <c r="BC104" s="57">
        <v>0</v>
      </c>
      <c r="BD104" s="42" t="s">
        <v>150</v>
      </c>
      <c r="BE104" s="46">
        <v>58.890109890109898</v>
      </c>
      <c r="BF104" s="46">
        <v>58.890109890109898</v>
      </c>
      <c r="BG104" s="42" t="s">
        <v>150</v>
      </c>
      <c r="BH104" s="52">
        <v>0.42075013995148403</v>
      </c>
      <c r="BI104" s="52">
        <v>0.42075013995148403</v>
      </c>
      <c r="BJ104" s="42" t="s">
        <v>150</v>
      </c>
      <c r="BK104" s="46">
        <v>473.46692146593199</v>
      </c>
      <c r="BL104" s="46">
        <v>473.46692146593199</v>
      </c>
      <c r="BM104" s="42" t="s">
        <v>150</v>
      </c>
      <c r="BN104" s="48">
        <v>3</v>
      </c>
      <c r="BO104" s="42" t="s">
        <v>153</v>
      </c>
      <c r="BP104" s="42" t="s">
        <v>150</v>
      </c>
      <c r="BQ104" s="46">
        <v>0</v>
      </c>
      <c r="BR104" s="46">
        <v>3440</v>
      </c>
      <c r="BS104" s="46">
        <v>155019</v>
      </c>
      <c r="BT104" s="46">
        <v>44677</v>
      </c>
      <c r="BU104" s="46">
        <v>3.4697719184367797</v>
      </c>
      <c r="BV104" s="46">
        <v>12.987500000000001</v>
      </c>
      <c r="BW104" s="46">
        <v>36</v>
      </c>
      <c r="BX104" s="46">
        <v>1389</v>
      </c>
      <c r="BY104" s="46">
        <v>1425</v>
      </c>
      <c r="BZ104" s="46">
        <v>3.1895606240347381E-2</v>
      </c>
      <c r="CA104" s="46">
        <v>8.0578373659824965E-4</v>
      </c>
      <c r="CB104" s="46">
        <v>3.1089822503749129E-2</v>
      </c>
      <c r="CC104" s="46">
        <v>8.6039796763435331E-2</v>
      </c>
      <c r="CD104" s="46">
        <v>3.4156277279136907E-2</v>
      </c>
      <c r="CE104" s="46">
        <v>6.4015041296416504E-3</v>
      </c>
      <c r="CF104" s="46">
        <v>0.84148443270586659</v>
      </c>
      <c r="CG104" s="46">
        <v>0</v>
      </c>
      <c r="CH104" s="46">
        <v>2.2382881572173599E-5</v>
      </c>
      <c r="CI104" s="46">
        <v>5.1735593701417253</v>
      </c>
      <c r="CJ104" s="46">
        <v>0.40640179590888859</v>
      </c>
      <c r="CK104">
        <v>252</v>
      </c>
      <c r="CL104">
        <v>418.1</v>
      </c>
      <c r="CM104">
        <f t="shared" si="14"/>
        <v>166.10000000000002</v>
      </c>
      <c r="CN104">
        <v>7.14</v>
      </c>
      <c r="CO104">
        <v>9.4499999999999993</v>
      </c>
      <c r="CP104">
        <f t="shared" si="15"/>
        <v>2.3099999999999996</v>
      </c>
      <c r="CQ104">
        <v>846.56</v>
      </c>
      <c r="CR104">
        <v>473.47</v>
      </c>
      <c r="CS104">
        <f t="shared" si="16"/>
        <v>373.08999999999992</v>
      </c>
      <c r="CT104" t="s">
        <v>152</v>
      </c>
      <c r="CU104">
        <v>80.040000000000006</v>
      </c>
      <c r="CV104">
        <v>41</v>
      </c>
      <c r="CW104" s="46">
        <v>1425</v>
      </c>
      <c r="CX104" s="46">
        <f t="shared" si="10"/>
        <v>2.8177809611209348</v>
      </c>
      <c r="CY104" s="46">
        <v>166.1</v>
      </c>
      <c r="CZ104" s="46">
        <f t="shared" si="11"/>
        <v>3.1895606240347383</v>
      </c>
      <c r="DA104" s="46">
        <f t="shared" si="12"/>
        <v>37.974367739964457</v>
      </c>
      <c r="DB104" s="46">
        <v>1702888.37</v>
      </c>
      <c r="DC104" s="46">
        <f t="shared" si="13"/>
        <v>1.436535163715265</v>
      </c>
      <c r="DD104" s="46">
        <v>64418.69</v>
      </c>
      <c r="DE104" s="995">
        <v>1425</v>
      </c>
      <c r="DF104" s="995">
        <v>2.85</v>
      </c>
      <c r="DG104" s="995">
        <v>151.6</v>
      </c>
      <c r="DH104" s="995">
        <v>3.19</v>
      </c>
      <c r="DI104" s="995">
        <v>122.18</v>
      </c>
      <c r="DJ104" s="995">
        <v>5477167</v>
      </c>
      <c r="DK104" s="995">
        <v>4.702</v>
      </c>
      <c r="DL104" s="995">
        <v>210787</v>
      </c>
      <c r="DM104" s="995">
        <v>1425</v>
      </c>
      <c r="DN104" s="995">
        <v>2.907</v>
      </c>
      <c r="DO104" s="995">
        <v>126.4</v>
      </c>
      <c r="DP104" s="995">
        <v>3.19</v>
      </c>
      <c r="DQ104" s="995">
        <v>117.52200000000001</v>
      </c>
      <c r="DR104" s="995">
        <v>5265404</v>
      </c>
      <c r="DS104" s="995">
        <v>4.5380000000000003</v>
      </c>
      <c r="DT104" s="995">
        <v>203313.3</v>
      </c>
    </row>
    <row r="105" spans="1:124">
      <c r="A105" s="42" t="s">
        <v>92</v>
      </c>
      <c r="B105" s="42" t="s">
        <v>270</v>
      </c>
      <c r="C105" s="42" t="s">
        <v>273</v>
      </c>
      <c r="D105" s="42">
        <v>207300</v>
      </c>
      <c r="E105" s="42" t="s">
        <v>274</v>
      </c>
      <c r="F105" s="42" t="s">
        <v>149</v>
      </c>
      <c r="G105" s="42" t="s">
        <v>150</v>
      </c>
      <c r="H105" s="43" t="s">
        <v>150</v>
      </c>
      <c r="I105" s="44">
        <v>2</v>
      </c>
      <c r="J105" s="45">
        <v>162180.27539999899</v>
      </c>
      <c r="K105" s="46">
        <v>11395.164976</v>
      </c>
      <c r="L105" s="47">
        <v>173575.44037599899</v>
      </c>
      <c r="M105" s="48">
        <v>3565238</v>
      </c>
      <c r="N105" s="49">
        <v>2476645</v>
      </c>
      <c r="O105" s="49">
        <v>1088593</v>
      </c>
      <c r="P105" s="49">
        <v>0</v>
      </c>
      <c r="Q105" s="50">
        <v>8121.2736674259704</v>
      </c>
      <c r="R105" s="51">
        <v>513.37827360209201</v>
      </c>
      <c r="S105" s="49">
        <v>2424.7399616405701</v>
      </c>
      <c r="T105" s="49">
        <v>283.68374807786302</v>
      </c>
      <c r="U105" s="49">
        <f>IFERROR(INDEX('Rentabilidad datos'!$N$2:$N$61,MATCH($C105,'Rentabilidad datos'!$C$2:$C$61,0)),"")</f>
        <v>3221.8019833205281</v>
      </c>
      <c r="V105" s="50">
        <f>IFERROR(INDEX('Rentabilidad datos'!$O$2:$O$61,MATCH($C105,'Rentabilidad datos'!$C$2:$C$61,0)),"")</f>
        <v>1610.900991660264</v>
      </c>
      <c r="W105" s="51">
        <f>IFERROR(INDEX('Rentabilidad datos'!$M$2:$M$61,MATCH($C105,'Rentabilidad datos'!$C$2:$C$61,0)),"")</f>
        <v>2710.5407433212476</v>
      </c>
      <c r="X105" s="52">
        <f>IFERROR(INDEX('Rentabilidad datos'!$P$2:$P$61,MATCH($C105,'Rentabilidad datos'!$C$2:$C$61,0)),"")</f>
        <v>0.59430982383478725</v>
      </c>
      <c r="Y105" s="43" t="s">
        <v>160</v>
      </c>
      <c r="Z105" s="53">
        <v>55.093394077448799</v>
      </c>
      <c r="AA105" s="43">
        <v>1</v>
      </c>
      <c r="AB105" s="54">
        <v>1</v>
      </c>
      <c r="AC105" s="55">
        <v>0</v>
      </c>
      <c r="AD105" s="752" t="e">
        <f>_xlfn.XLOOKUP(Table1[[#This Row],[Ruta]],#REF!,#REF!)</f>
        <v>#REF!</v>
      </c>
      <c r="AE105" s="752" t="e">
        <f>_xlfn.XLOOKUP(Table1[[#This Row],[Ruta]],#REF!,#REF!)</f>
        <v>#REF!</v>
      </c>
      <c r="AF105" s="752" t="e">
        <f>_xlfn.XLOOKUP(Table1[[#This Row],[Ruta]],#REF!,#REF!)</f>
        <v>#REF!</v>
      </c>
      <c r="AG105" s="752" t="e">
        <f>_xlfn.XLOOKUP(Table1[[#This Row],[Ruta]],#REF!,#REF!)</f>
        <v>#REF!</v>
      </c>
      <c r="AH105" s="52">
        <v>0.69466470401134506</v>
      </c>
      <c r="AI105" s="52">
        <v>0.30533529598865489</v>
      </c>
      <c r="AJ105" s="55">
        <v>0</v>
      </c>
      <c r="AK105" s="56">
        <v>24186</v>
      </c>
      <c r="AL105" s="44">
        <v>10658</v>
      </c>
      <c r="AM105" s="54">
        <v>0.440668155131068</v>
      </c>
      <c r="AN105" s="55">
        <v>0.69280731528544004</v>
      </c>
      <c r="AO105" s="56">
        <v>6098.2377274936598</v>
      </c>
      <c r="AP105" s="48">
        <v>3049.1188637468299</v>
      </c>
      <c r="AQ105" s="55">
        <v>0.56673773520825388</v>
      </c>
      <c r="AR105" s="51">
        <v>3565239.14</v>
      </c>
      <c r="AS105" s="49">
        <v>1019969.780028385</v>
      </c>
      <c r="AT105" s="55">
        <v>0.28608733943956</v>
      </c>
      <c r="AU105" s="51">
        <v>716735.52110102761</v>
      </c>
      <c r="AV105" s="52">
        <v>3.2604977120470014E-3</v>
      </c>
      <c r="AW105" s="44">
        <v>90</v>
      </c>
      <c r="AX105" s="51">
        <v>334.51296115593902</v>
      </c>
      <c r="AY105" s="49">
        <v>310.95889830873398</v>
      </c>
      <c r="AZ105" s="49">
        <v>0</v>
      </c>
      <c r="BA105" s="42" t="s">
        <v>152</v>
      </c>
      <c r="BB105" s="50">
        <v>0</v>
      </c>
      <c r="BC105" s="57">
        <v>716735.52110102761</v>
      </c>
      <c r="BD105" s="42" t="s">
        <v>150</v>
      </c>
      <c r="BE105" s="46">
        <v>55.093394077448799</v>
      </c>
      <c r="BF105" s="46">
        <v>58.890109890109898</v>
      </c>
      <c r="BG105" s="42" t="s">
        <v>152</v>
      </c>
      <c r="BH105" s="52">
        <v>0.440668155131068</v>
      </c>
      <c r="BI105" s="52">
        <v>0.42075013995148403</v>
      </c>
      <c r="BJ105" s="42" t="s">
        <v>150</v>
      </c>
      <c r="BK105" s="46">
        <v>395.38824687015801</v>
      </c>
      <c r="BL105" s="46">
        <v>473.46692146593199</v>
      </c>
      <c r="BM105" s="42" t="s">
        <v>152</v>
      </c>
      <c r="BN105" s="48">
        <v>1</v>
      </c>
      <c r="BO105" s="42" t="s">
        <v>155</v>
      </c>
      <c r="BP105" s="42" t="s">
        <v>152</v>
      </c>
      <c r="BQ105" s="46">
        <v>3062.73660064469</v>
      </c>
      <c r="BR105" s="46">
        <v>1213</v>
      </c>
      <c r="BS105" s="46">
        <v>58470</v>
      </c>
      <c r="BT105" s="46">
        <v>17176</v>
      </c>
      <c r="BU105" s="46">
        <v>3.4041686073591055</v>
      </c>
      <c r="BV105" s="46">
        <v>14.159934047815334</v>
      </c>
      <c r="BW105" s="46">
        <v>552</v>
      </c>
      <c r="BX105" s="46">
        <v>4109</v>
      </c>
      <c r="BY105" s="46">
        <v>4661</v>
      </c>
      <c r="BZ105" s="46">
        <v>0.27136702375407545</v>
      </c>
      <c r="CA105" s="46">
        <v>3.2137866790870981E-2</v>
      </c>
      <c r="CB105" s="46">
        <v>0.23922915696320446</v>
      </c>
      <c r="CC105" s="46">
        <v>0.20889613414066141</v>
      </c>
      <c r="CD105" s="46">
        <v>0.21693060083837909</v>
      </c>
      <c r="CE105" s="46">
        <v>0</v>
      </c>
      <c r="CF105" s="46">
        <v>0.30280624126688399</v>
      </c>
      <c r="CG105" s="46">
        <v>0</v>
      </c>
      <c r="CH105" s="46">
        <v>0</v>
      </c>
      <c r="CI105" s="46">
        <v>3.6942021549512569</v>
      </c>
      <c r="CJ105" s="46">
        <v>0.53018642038652297</v>
      </c>
      <c r="CK105">
        <v>176</v>
      </c>
      <c r="CL105">
        <v>517.97</v>
      </c>
      <c r="CM105">
        <f t="shared" si="14"/>
        <v>341.97</v>
      </c>
      <c r="CN105">
        <v>3.39</v>
      </c>
      <c r="CO105">
        <v>9.4499999999999993</v>
      </c>
      <c r="CP105">
        <f t="shared" si="15"/>
        <v>6.0599999999999987</v>
      </c>
      <c r="CQ105">
        <v>846.56</v>
      </c>
      <c r="CR105">
        <v>395.39</v>
      </c>
      <c r="CS105">
        <f t="shared" si="16"/>
        <v>451.16999999999996</v>
      </c>
      <c r="CT105" t="s">
        <v>152</v>
      </c>
      <c r="CU105">
        <v>46.71</v>
      </c>
      <c r="CV105">
        <v>136</v>
      </c>
      <c r="CW105" s="46">
        <v>4661</v>
      </c>
      <c r="CX105" s="46">
        <f t="shared" si="10"/>
        <v>25.145726595249187</v>
      </c>
      <c r="CY105" s="46">
        <v>341.97</v>
      </c>
      <c r="CZ105" s="46">
        <f t="shared" si="11"/>
        <v>27.136702375407545</v>
      </c>
      <c r="DA105" s="46">
        <f t="shared" si="12"/>
        <v>168.05015192970419</v>
      </c>
      <c r="DB105" s="46">
        <v>2943897.52</v>
      </c>
      <c r="DC105" s="46">
        <f t="shared" si="13"/>
        <v>7.2010318547183259</v>
      </c>
      <c r="DD105" s="46">
        <v>126147.46</v>
      </c>
      <c r="DE105" s="995">
        <v>4661</v>
      </c>
      <c r="DF105" s="995">
        <v>25.626999999999999</v>
      </c>
      <c r="DG105" s="995">
        <v>259.2</v>
      </c>
      <c r="DH105" s="995">
        <v>27.137</v>
      </c>
      <c r="DI105" s="995">
        <v>210.13200000000001</v>
      </c>
      <c r="DJ105" s="995">
        <v>3663701</v>
      </c>
      <c r="DK105" s="995">
        <v>9.86</v>
      </c>
      <c r="DL105" s="995">
        <v>171910.8</v>
      </c>
      <c r="DM105" s="995">
        <v>4661</v>
      </c>
      <c r="DN105" s="995">
        <v>25.867999999999999</v>
      </c>
      <c r="DO105" s="995">
        <v>217.9</v>
      </c>
      <c r="DP105" s="995">
        <v>27.137</v>
      </c>
      <c r="DQ105" s="995">
        <v>193.108</v>
      </c>
      <c r="DR105" s="995">
        <v>3358906</v>
      </c>
      <c r="DS105" s="995">
        <v>9.0730000000000004</v>
      </c>
      <c r="DT105" s="995">
        <v>157812</v>
      </c>
    </row>
    <row r="106" spans="1:124">
      <c r="A106" s="42" t="s">
        <v>92</v>
      </c>
      <c r="B106" s="42" t="s">
        <v>270</v>
      </c>
      <c r="C106" s="42" t="s">
        <v>273</v>
      </c>
      <c r="D106" s="42">
        <v>207302</v>
      </c>
      <c r="E106" s="42" t="s">
        <v>275</v>
      </c>
      <c r="F106" s="42" t="s">
        <v>149</v>
      </c>
      <c r="G106" s="42" t="s">
        <v>150</v>
      </c>
      <c r="H106" s="43" t="s">
        <v>150</v>
      </c>
      <c r="I106" s="44">
        <v>2</v>
      </c>
      <c r="J106" s="45">
        <v>126643.6314</v>
      </c>
      <c r="K106" s="46">
        <v>14869.529387</v>
      </c>
      <c r="L106" s="47">
        <v>141513.160787</v>
      </c>
      <c r="M106" s="48">
        <v>3456670</v>
      </c>
      <c r="N106" s="49">
        <v>1947270</v>
      </c>
      <c r="O106" s="49">
        <v>1509400</v>
      </c>
      <c r="P106" s="49">
        <v>0</v>
      </c>
      <c r="Q106" s="50">
        <v>7856.0640227272697</v>
      </c>
      <c r="R106" s="51">
        <v>513.37827360209201</v>
      </c>
      <c r="S106" s="49">
        <v>2424.7399616405701</v>
      </c>
      <c r="T106" s="49">
        <v>283.68374807786302</v>
      </c>
      <c r="U106" s="49">
        <f>IFERROR(INDEX('Rentabilidad datos'!$N$2:$N$61,MATCH($C106,'Rentabilidad datos'!$C$2:$C$61,0)),"")</f>
        <v>3221.8019833205281</v>
      </c>
      <c r="V106" s="50">
        <f>IFERROR(INDEX('Rentabilidad datos'!$O$2:$O$61,MATCH($C106,'Rentabilidad datos'!$C$2:$C$61,0)),"")</f>
        <v>1610.900991660264</v>
      </c>
      <c r="W106" s="51">
        <f>IFERROR(INDEX('Rentabilidad datos'!$M$2:$M$61,MATCH($C106,'Rentabilidad datos'!$C$2:$C$61,0)),"")</f>
        <v>2710.5407433212476</v>
      </c>
      <c r="X106" s="52">
        <f>IFERROR(INDEX('Rentabilidad datos'!$P$2:$P$61,MATCH($C106,'Rentabilidad datos'!$C$2:$C$61,0)),"")</f>
        <v>0.59430982383478725</v>
      </c>
      <c r="Y106" s="43" t="s">
        <v>160</v>
      </c>
      <c r="Z106" s="53">
        <v>42.084090909090897</v>
      </c>
      <c r="AA106" s="43">
        <v>1</v>
      </c>
      <c r="AB106" s="54">
        <v>1</v>
      </c>
      <c r="AC106" s="55">
        <v>0</v>
      </c>
      <c r="AD106" s="752" t="e">
        <f>_xlfn.XLOOKUP(Table1[[#This Row],[Ruta]],#REF!,#REF!)</f>
        <v>#REF!</v>
      </c>
      <c r="AE106" s="752" t="e">
        <f>_xlfn.XLOOKUP(Table1[[#This Row],[Ruta]],#REF!,#REF!)</f>
        <v>#REF!</v>
      </c>
      <c r="AF106" s="752" t="e">
        <f>_xlfn.XLOOKUP(Table1[[#This Row],[Ruta]],#REF!,#REF!)</f>
        <v>#REF!</v>
      </c>
      <c r="AG106" s="752" t="e">
        <f>_xlfn.XLOOKUP(Table1[[#This Row],[Ruta]],#REF!,#REF!)</f>
        <v>#REF!</v>
      </c>
      <c r="AH106" s="52">
        <v>0.56333696881680928</v>
      </c>
      <c r="AI106" s="52">
        <v>0.43666303118319078</v>
      </c>
      <c r="AJ106" s="55">
        <v>0</v>
      </c>
      <c r="AK106" s="56">
        <v>18517</v>
      </c>
      <c r="AL106" s="44">
        <v>14385</v>
      </c>
      <c r="AM106" s="54">
        <v>0.77685370200356396</v>
      </c>
      <c r="AN106" s="55">
        <v>0.69280731528544004</v>
      </c>
      <c r="AO106" s="56">
        <v>0</v>
      </c>
      <c r="AP106" s="48">
        <v>0</v>
      </c>
      <c r="AQ106" s="55">
        <v>0.77685370200356429</v>
      </c>
      <c r="AR106" s="51">
        <v>3456668.17</v>
      </c>
      <c r="AS106" s="49">
        <v>0</v>
      </c>
      <c r="AT106" s="55">
        <v>0</v>
      </c>
      <c r="AU106" s="51">
        <v>0</v>
      </c>
      <c r="AV106" s="52">
        <v>0</v>
      </c>
      <c r="AW106" s="44">
        <v>490</v>
      </c>
      <c r="AX106" s="51">
        <v>240.29670976711901</v>
      </c>
      <c r="AY106" s="49">
        <v>310.95889830873398</v>
      </c>
      <c r="AZ106" s="49">
        <v>70.662188541614967</v>
      </c>
      <c r="BA106" s="42" t="s">
        <v>150</v>
      </c>
      <c r="BB106" s="50">
        <v>357140.0694114787</v>
      </c>
      <c r="BC106" s="57">
        <v>357140.0694114787</v>
      </c>
      <c r="BD106" s="42" t="s">
        <v>150</v>
      </c>
      <c r="BE106" s="46">
        <v>42.084090909090897</v>
      </c>
      <c r="BF106" s="46">
        <v>58.890109890109898</v>
      </c>
      <c r="BG106" s="42" t="s">
        <v>152</v>
      </c>
      <c r="BH106" s="52">
        <v>0.77685370200356396</v>
      </c>
      <c r="BI106" s="52">
        <v>0.42075013995148403</v>
      </c>
      <c r="BJ106" s="42" t="s">
        <v>150</v>
      </c>
      <c r="BK106" s="46">
        <v>321.62081997045402</v>
      </c>
      <c r="BL106" s="46">
        <v>473.46692146593199</v>
      </c>
      <c r="BM106" s="42" t="s">
        <v>152</v>
      </c>
      <c r="BN106" s="48">
        <v>1</v>
      </c>
      <c r="BO106" s="42" t="s">
        <v>155</v>
      </c>
      <c r="BP106" s="42" t="s">
        <v>152</v>
      </c>
      <c r="BQ106" s="46">
        <v>0</v>
      </c>
      <c r="BR106" s="46">
        <v>2532</v>
      </c>
      <c r="BS106" s="46">
        <v>112827</v>
      </c>
      <c r="BT106" s="46">
        <v>33198</v>
      </c>
      <c r="BU106" s="46">
        <v>3.3986083499005963</v>
      </c>
      <c r="BV106" s="46">
        <v>13.111374407582938</v>
      </c>
      <c r="BW106" s="46">
        <v>1006</v>
      </c>
      <c r="BX106" s="46">
        <v>1761</v>
      </c>
      <c r="BY106" s="46">
        <v>2767</v>
      </c>
      <c r="BZ106" s="46">
        <v>8.3348394481595284E-2</v>
      </c>
      <c r="CA106" s="46">
        <v>3.03030303030303E-2</v>
      </c>
      <c r="CB106" s="46">
        <v>5.3045364178564973E-2</v>
      </c>
      <c r="CC106" s="46">
        <v>0.2570938008313754</v>
      </c>
      <c r="CD106" s="46">
        <v>0.20913910476534731</v>
      </c>
      <c r="CE106" s="46">
        <v>2.0212060967528169E-2</v>
      </c>
      <c r="CF106" s="46">
        <v>0.43014639436110608</v>
      </c>
      <c r="CG106" s="46">
        <v>0</v>
      </c>
      <c r="CH106" s="46">
        <v>6.0244593047773963E-5</v>
      </c>
      <c r="CI106" s="46">
        <v>3.864323255958237</v>
      </c>
      <c r="CJ106" s="46">
        <v>0.68246075850638588</v>
      </c>
      <c r="CK106">
        <v>234</v>
      </c>
      <c r="CL106">
        <v>605.48</v>
      </c>
      <c r="CM106">
        <f t="shared" si="14"/>
        <v>371.48</v>
      </c>
      <c r="CN106">
        <v>3.71</v>
      </c>
      <c r="CO106">
        <v>9.4499999999999993</v>
      </c>
      <c r="CP106">
        <f t="shared" si="15"/>
        <v>5.7399999999999993</v>
      </c>
      <c r="CQ106">
        <v>846.56</v>
      </c>
      <c r="CR106">
        <v>321.62</v>
      </c>
      <c r="CS106">
        <f t="shared" si="16"/>
        <v>524.93999999999994</v>
      </c>
      <c r="CT106" t="s">
        <v>152</v>
      </c>
      <c r="CU106">
        <v>42.57</v>
      </c>
      <c r="CV106">
        <v>110</v>
      </c>
      <c r="CW106" s="46">
        <v>2767</v>
      </c>
      <c r="CX106" s="46">
        <f t="shared" si="10"/>
        <v>7.2158563768901747</v>
      </c>
      <c r="CY106" s="46">
        <v>371.48</v>
      </c>
      <c r="CZ106" s="46">
        <f t="shared" si="11"/>
        <v>8.3348394481595278</v>
      </c>
      <c r="DA106" s="46">
        <f t="shared" si="12"/>
        <v>104.70374101713819</v>
      </c>
      <c r="DB106" s="46">
        <v>3514850.14</v>
      </c>
      <c r="DC106" s="46">
        <f t="shared" si="13"/>
        <v>5.5402213558267803</v>
      </c>
      <c r="DD106" s="46">
        <v>185982.35</v>
      </c>
      <c r="DE106" s="995">
        <v>2767</v>
      </c>
      <c r="DF106" s="995">
        <v>7.5289999999999999</v>
      </c>
      <c r="DG106" s="995">
        <v>267.5</v>
      </c>
      <c r="DH106" s="995">
        <v>8.3350000000000009</v>
      </c>
      <c r="DI106" s="995">
        <v>130.38999999999999</v>
      </c>
      <c r="DJ106" s="995">
        <v>4363565</v>
      </c>
      <c r="DK106" s="995">
        <v>6.8730000000000002</v>
      </c>
      <c r="DL106" s="995">
        <v>230011.4</v>
      </c>
      <c r="DM106" s="995">
        <v>2767</v>
      </c>
      <c r="DN106" s="995">
        <v>7.6509999999999998</v>
      </c>
      <c r="DO106" s="995">
        <v>227</v>
      </c>
      <c r="DP106" s="995">
        <v>8.3350000000000009</v>
      </c>
      <c r="DQ106" s="995">
        <v>120.949</v>
      </c>
      <c r="DR106" s="995">
        <v>4042734</v>
      </c>
      <c r="DS106" s="995">
        <v>6.375</v>
      </c>
      <c r="DT106" s="995">
        <v>213082</v>
      </c>
    </row>
    <row r="107" spans="1:124">
      <c r="A107" s="42" t="s">
        <v>92</v>
      </c>
      <c r="B107" s="42" t="s">
        <v>270</v>
      </c>
      <c r="C107" s="42" t="s">
        <v>276</v>
      </c>
      <c r="D107" s="42">
        <v>209300</v>
      </c>
      <c r="E107" s="42" t="s">
        <v>277</v>
      </c>
      <c r="F107" s="42" t="s">
        <v>149</v>
      </c>
      <c r="G107" s="42" t="s">
        <v>150</v>
      </c>
      <c r="H107" s="43" t="s">
        <v>150</v>
      </c>
      <c r="I107" s="44">
        <v>1</v>
      </c>
      <c r="J107" s="45">
        <v>103702.48574400001</v>
      </c>
      <c r="K107" s="46">
        <v>12312.553438000001</v>
      </c>
      <c r="L107" s="47">
        <v>116015.03918199999</v>
      </c>
      <c r="M107" s="48">
        <v>2755567</v>
      </c>
      <c r="N107" s="49">
        <v>1521576</v>
      </c>
      <c r="O107" s="49">
        <v>1233797</v>
      </c>
      <c r="P107" s="49">
        <v>194</v>
      </c>
      <c r="Q107" s="50">
        <v>6305.1962013729999</v>
      </c>
      <c r="R107" s="51">
        <v>181.15488653076699</v>
      </c>
      <c r="S107" s="49">
        <v>1212.36998082029</v>
      </c>
      <c r="T107" s="49">
        <v>141.84187403893199</v>
      </c>
      <c r="U107" s="49">
        <f>IFERROR(INDEX('Rentabilidad datos'!$N$2:$N$61,MATCH($C107,'Rentabilidad datos'!$C$2:$C$61,0)),"")</f>
        <v>1535.3667413899848</v>
      </c>
      <c r="V107" s="50">
        <f>IFERROR(INDEX('Rentabilidad datos'!$O$2:$O$61,MATCH($C107,'Rentabilidad datos'!$C$2:$C$61,0)),"")</f>
        <v>1535.3667413899848</v>
      </c>
      <c r="W107" s="51">
        <f>IFERROR(INDEX('Rentabilidad datos'!$M$2:$M$61,MATCH($C107,'Rentabilidad datos'!$C$2:$C$61,0)),"")</f>
        <v>2075.2417976079637</v>
      </c>
      <c r="X107" s="52">
        <f>IFERROR(INDEX('Rentabilidad datos'!$P$2:$P$61,MATCH($C107,'Rentabilidad datos'!$C$2:$C$61,0)),"")</f>
        <v>0.73984956507705835</v>
      </c>
      <c r="Y107" s="43" t="s">
        <v>160</v>
      </c>
      <c r="Z107" s="53">
        <v>47.377574370709397</v>
      </c>
      <c r="AA107" s="43">
        <v>1</v>
      </c>
      <c r="AB107" s="54">
        <v>1</v>
      </c>
      <c r="AC107" s="55">
        <v>0</v>
      </c>
      <c r="AD107" s="752" t="e">
        <f>_xlfn.XLOOKUP(Table1[[#This Row],[Ruta]],#REF!,#REF!)</f>
        <v>#REF!</v>
      </c>
      <c r="AE107" s="752" t="e">
        <f>_xlfn.XLOOKUP(Table1[[#This Row],[Ruta]],#REF!,#REF!)</f>
        <v>#REF!</v>
      </c>
      <c r="AF107" s="752" t="e">
        <f>_xlfn.XLOOKUP(Table1[[#This Row],[Ruta]],#REF!,#REF!)</f>
        <v>#REF!</v>
      </c>
      <c r="AG107" s="752" t="e">
        <f>_xlfn.XLOOKUP(Table1[[#This Row],[Ruta]],#REF!,#REF!)</f>
        <v>#REF!</v>
      </c>
      <c r="AH107" s="52">
        <v>0.55218254537088007</v>
      </c>
      <c r="AI107" s="52">
        <v>0.44774705169571272</v>
      </c>
      <c r="AJ107" s="55">
        <v>7.040293340717174E-5</v>
      </c>
      <c r="AK107" s="56">
        <v>20704</v>
      </c>
      <c r="AL107" s="44">
        <v>6894</v>
      </c>
      <c r="AM107" s="54">
        <v>0.33297913446677002</v>
      </c>
      <c r="AN107" s="55">
        <v>0.33297913446677002</v>
      </c>
      <c r="AO107" s="56">
        <v>0</v>
      </c>
      <c r="AP107" s="48">
        <v>0</v>
      </c>
      <c r="AQ107" s="55">
        <v>0.33297913446676969</v>
      </c>
      <c r="AR107" s="51">
        <v>2755370.74</v>
      </c>
      <c r="AS107" s="49">
        <v>0</v>
      </c>
      <c r="AT107" s="55">
        <v>0</v>
      </c>
      <c r="AU107" s="51">
        <v>0</v>
      </c>
      <c r="AV107" s="52">
        <v>0</v>
      </c>
      <c r="AW107" s="44">
        <v>490</v>
      </c>
      <c r="AX107" s="51">
        <v>399.67663765593301</v>
      </c>
      <c r="AY107" s="49">
        <v>399.67663765593301</v>
      </c>
      <c r="AZ107" s="49">
        <v>0</v>
      </c>
      <c r="BA107" s="42" t="s">
        <v>152</v>
      </c>
      <c r="BB107" s="50">
        <v>0</v>
      </c>
      <c r="BC107" s="57">
        <v>0</v>
      </c>
      <c r="BD107" s="42" t="s">
        <v>150</v>
      </c>
      <c r="BE107" s="46">
        <v>47.377574370709397</v>
      </c>
      <c r="BF107" s="46">
        <v>58.890109890109898</v>
      </c>
      <c r="BG107" s="42" t="s">
        <v>152</v>
      </c>
      <c r="BH107" s="52">
        <v>0.33297913446677002</v>
      </c>
      <c r="BI107" s="52">
        <v>0.42075013995148403</v>
      </c>
      <c r="BJ107" s="42" t="s">
        <v>152</v>
      </c>
      <c r="BK107" s="46">
        <v>265.480638860412</v>
      </c>
      <c r="BL107" s="46">
        <v>473.46692146593199</v>
      </c>
      <c r="BM107" s="42" t="s">
        <v>152</v>
      </c>
      <c r="BN107" s="48">
        <v>0</v>
      </c>
      <c r="BO107" s="42" t="s">
        <v>155</v>
      </c>
      <c r="BP107" s="42" t="s">
        <v>152</v>
      </c>
      <c r="BQ107" s="46">
        <v>0</v>
      </c>
      <c r="BR107" s="46">
        <v>3891</v>
      </c>
      <c r="BS107" s="46">
        <v>110609</v>
      </c>
      <c r="BT107" s="46">
        <v>33902</v>
      </c>
      <c r="BU107" s="46">
        <v>3.2626098755235677</v>
      </c>
      <c r="BV107" s="46">
        <v>8.712927268054484</v>
      </c>
      <c r="BW107" s="46">
        <v>1241</v>
      </c>
      <c r="BX107" s="46">
        <v>2309</v>
      </c>
      <c r="BY107" s="46">
        <v>3550</v>
      </c>
      <c r="BZ107" s="46">
        <v>0.10471358621910212</v>
      </c>
      <c r="CA107" s="46">
        <v>3.6605509999410063E-2</v>
      </c>
      <c r="CB107" s="46">
        <v>6.810807621969206E-2</v>
      </c>
      <c r="CC107" s="46">
        <v>0.1808152911332665</v>
      </c>
      <c r="CD107" s="46">
        <v>4.1413485930033633E-2</v>
      </c>
      <c r="CE107" s="46">
        <v>4.3714235148368828E-2</v>
      </c>
      <c r="CF107" s="46">
        <v>0.62925491121467758</v>
      </c>
      <c r="CG107" s="46">
        <v>0</v>
      </c>
      <c r="CH107" s="46">
        <v>8.8490354551353908E-5</v>
      </c>
      <c r="CI107" s="46">
        <v>6.0754549810594076</v>
      </c>
      <c r="CJ107" s="46">
        <v>0.55149219322116649</v>
      </c>
      <c r="CK107">
        <v>215</v>
      </c>
      <c r="CL107">
        <v>407.32</v>
      </c>
      <c r="CM107">
        <f t="shared" si="14"/>
        <v>192.32</v>
      </c>
      <c r="CN107">
        <v>6.61</v>
      </c>
      <c r="CO107">
        <v>9.4499999999999993</v>
      </c>
      <c r="CP107">
        <f t="shared" si="15"/>
        <v>2.839999999999999</v>
      </c>
      <c r="CQ107">
        <v>846.56</v>
      </c>
      <c r="CR107">
        <v>265.48</v>
      </c>
      <c r="CS107">
        <f t="shared" si="16"/>
        <v>581.07999999999993</v>
      </c>
      <c r="CT107" t="s">
        <v>152</v>
      </c>
      <c r="CU107">
        <v>69.97</v>
      </c>
      <c r="CV107">
        <v>54</v>
      </c>
      <c r="CW107" s="46">
        <v>3550</v>
      </c>
      <c r="CX107" s="46">
        <f t="shared" si="10"/>
        <v>9.9040764556663312</v>
      </c>
      <c r="CY107" s="46">
        <v>192.32</v>
      </c>
      <c r="CZ107" s="46">
        <f t="shared" si="11"/>
        <v>10.471358621910213</v>
      </c>
      <c r="DA107" s="46">
        <f t="shared" si="12"/>
        <v>69.971195495320046</v>
      </c>
      <c r="DB107" s="46">
        <v>2385620.33</v>
      </c>
      <c r="DC107" s="46">
        <f t="shared" si="13"/>
        <v>3.0452438998636726</v>
      </c>
      <c r="DD107" s="46">
        <v>103825.52</v>
      </c>
      <c r="DE107" s="995">
        <v>3550</v>
      </c>
      <c r="DF107" s="995">
        <v>10.084</v>
      </c>
      <c r="DG107" s="995">
        <v>131.5</v>
      </c>
      <c r="DH107" s="995">
        <v>10.471</v>
      </c>
      <c r="DI107" s="995">
        <v>119.52</v>
      </c>
      <c r="DJ107" s="995">
        <v>4067688</v>
      </c>
      <c r="DK107" s="995">
        <v>4.9989999999999997</v>
      </c>
      <c r="DL107" s="995">
        <v>170116.6</v>
      </c>
      <c r="DM107" s="995">
        <v>3550</v>
      </c>
      <c r="DN107" s="995">
        <v>10.116</v>
      </c>
      <c r="DO107" s="995">
        <v>120.5</v>
      </c>
      <c r="DP107" s="995">
        <v>10.471</v>
      </c>
      <c r="DQ107" s="995">
        <v>117.977</v>
      </c>
      <c r="DR107" s="995">
        <v>4013880</v>
      </c>
      <c r="DS107" s="995">
        <v>4.907</v>
      </c>
      <c r="DT107" s="995">
        <v>166947.9</v>
      </c>
    </row>
    <row r="108" spans="1:124">
      <c r="A108" s="42" t="s">
        <v>92</v>
      </c>
      <c r="B108" s="42" t="s">
        <v>278</v>
      </c>
      <c r="C108" s="42" t="s">
        <v>279</v>
      </c>
      <c r="D108" s="42">
        <v>103340</v>
      </c>
      <c r="E108" s="42" t="s">
        <v>280</v>
      </c>
      <c r="F108" s="42" t="s">
        <v>149</v>
      </c>
      <c r="G108" s="42" t="s">
        <v>150</v>
      </c>
      <c r="H108" s="43" t="s">
        <v>150</v>
      </c>
      <c r="I108" s="44">
        <v>3</v>
      </c>
      <c r="J108" s="45">
        <v>100659.62480000001</v>
      </c>
      <c r="K108" s="46">
        <v>11462.066379</v>
      </c>
      <c r="L108" s="47">
        <v>112121.691179</v>
      </c>
      <c r="M108" s="48">
        <v>3217270</v>
      </c>
      <c r="N108" s="49">
        <v>1522221</v>
      </c>
      <c r="O108" s="49">
        <v>1695049</v>
      </c>
      <c r="P108" s="49">
        <v>0</v>
      </c>
      <c r="Q108" s="50">
        <v>7328.6279043280201</v>
      </c>
      <c r="R108" s="51">
        <v>1205.8195541884199</v>
      </c>
      <c r="S108" s="49">
        <v>2287.5105990285701</v>
      </c>
      <c r="T108" s="49">
        <v>435.19768763078099</v>
      </c>
      <c r="U108" s="49">
        <f>IFERROR(INDEX('Rentabilidad datos'!$N$2:$N$61,MATCH($C108,'Rentabilidad datos'!$C$2:$C$61,0)),"")</f>
        <v>3928.5278408477707</v>
      </c>
      <c r="V108" s="50">
        <f>IFERROR(INDEX('Rentabilidad datos'!$O$2:$O$61,MATCH($C108,'Rentabilidad datos'!$C$2:$C$61,0)),"")</f>
        <v>1309.5092802825902</v>
      </c>
      <c r="W108" s="51">
        <f>IFERROR(INDEX('Rentabilidad datos'!$M$2:$M$61,MATCH($C108,'Rentabilidad datos'!$C$2:$C$61,0)),"")</f>
        <v>2139.0083399999999</v>
      </c>
      <c r="X108" s="52">
        <f>IFERROR(INDEX('Rentabilidad datos'!$P$2:$P$61,MATCH($C108,'Rentabilidad datos'!$C$2:$C$61,0)),"")</f>
        <v>0.61220391514817118</v>
      </c>
      <c r="Y108" s="43" t="s">
        <v>160</v>
      </c>
      <c r="Z108" s="53">
        <v>37.102505694760801</v>
      </c>
      <c r="AA108" s="43">
        <v>1</v>
      </c>
      <c r="AB108" s="54">
        <v>1</v>
      </c>
      <c r="AC108" s="55">
        <v>0</v>
      </c>
      <c r="AD108" s="752" t="e">
        <f>_xlfn.XLOOKUP(Table1[[#This Row],[Ruta]],#REF!,#REF!)</f>
        <v>#REF!</v>
      </c>
      <c r="AE108" s="752" t="e">
        <f>_xlfn.XLOOKUP(Table1[[#This Row],[Ruta]],#REF!,#REF!)</f>
        <v>#REF!</v>
      </c>
      <c r="AF108" s="752" t="e">
        <f>_xlfn.XLOOKUP(Table1[[#This Row],[Ruta]],#REF!,#REF!)</f>
        <v>#REF!</v>
      </c>
      <c r="AG108" s="752" t="e">
        <f>_xlfn.XLOOKUP(Table1[[#This Row],[Ruta]],#REF!,#REF!)</f>
        <v>#REF!</v>
      </c>
      <c r="AH108" s="52">
        <v>0.47314058192194003</v>
      </c>
      <c r="AI108" s="52">
        <v>0.52685941807805992</v>
      </c>
      <c r="AJ108" s="55">
        <v>0</v>
      </c>
      <c r="AK108" s="56">
        <v>16288</v>
      </c>
      <c r="AL108" s="44">
        <v>14364</v>
      </c>
      <c r="AM108" s="54">
        <v>0.88187622789783904</v>
      </c>
      <c r="AN108" s="55">
        <v>0.862014572701435</v>
      </c>
      <c r="AO108" s="56">
        <v>0</v>
      </c>
      <c r="AP108" s="48">
        <v>0</v>
      </c>
      <c r="AQ108" s="55">
        <v>0.88187622789783893</v>
      </c>
      <c r="AR108" s="51">
        <v>3217267.65</v>
      </c>
      <c r="AS108" s="49">
        <v>0</v>
      </c>
      <c r="AT108" s="55">
        <v>0</v>
      </c>
      <c r="AU108" s="51">
        <v>0</v>
      </c>
      <c r="AV108" s="52">
        <v>0</v>
      </c>
      <c r="AW108" s="44">
        <v>490</v>
      </c>
      <c r="AX108" s="51">
        <v>223.98131787802799</v>
      </c>
      <c r="AY108" s="49">
        <v>250.71965950207701</v>
      </c>
      <c r="AZ108" s="49">
        <v>26.738341624049013</v>
      </c>
      <c r="BA108" s="42" t="s">
        <v>150</v>
      </c>
      <c r="BB108" s="50">
        <v>134943.3515714033</v>
      </c>
      <c r="BC108" s="57">
        <v>134943.3515714033</v>
      </c>
      <c r="BD108" s="42" t="s">
        <v>150</v>
      </c>
      <c r="BE108" s="46">
        <v>37.102505694760801</v>
      </c>
      <c r="BF108" s="46">
        <v>37.102505694760801</v>
      </c>
      <c r="BG108" s="42" t="s">
        <v>150</v>
      </c>
      <c r="BH108" s="52">
        <v>0.88187622789783904</v>
      </c>
      <c r="BI108" s="52">
        <v>0.88187622789783904</v>
      </c>
      <c r="BJ108" s="42" t="s">
        <v>150</v>
      </c>
      <c r="BK108" s="46">
        <v>255.402485601367</v>
      </c>
      <c r="BL108" s="46">
        <v>255.402485601367</v>
      </c>
      <c r="BM108" s="42" t="s">
        <v>150</v>
      </c>
      <c r="BN108" s="48">
        <v>3</v>
      </c>
      <c r="BO108" s="42" t="s">
        <v>153</v>
      </c>
      <c r="BP108" s="42" t="s">
        <v>150</v>
      </c>
      <c r="BQ108" s="46">
        <v>0</v>
      </c>
      <c r="BR108" s="46">
        <v>1443</v>
      </c>
      <c r="BS108" s="46">
        <v>90998</v>
      </c>
      <c r="BT108" s="46">
        <v>29541</v>
      </c>
      <c r="BU108" s="46">
        <v>3.0803967367387699</v>
      </c>
      <c r="BV108" s="46">
        <v>20.471933471933472</v>
      </c>
      <c r="BW108" s="46">
        <v>0</v>
      </c>
      <c r="BX108" s="46">
        <v>5173</v>
      </c>
      <c r="BY108" s="46">
        <v>5173</v>
      </c>
      <c r="BZ108" s="46">
        <v>0.17511255543143428</v>
      </c>
      <c r="CA108" s="46">
        <v>0</v>
      </c>
      <c r="CB108" s="46">
        <v>0.17511255543143431</v>
      </c>
      <c r="CC108" s="46">
        <v>0.37117903930131002</v>
      </c>
      <c r="CD108" s="46">
        <v>8.9468873768660501E-2</v>
      </c>
      <c r="CE108" s="46">
        <v>2.5456145695812605E-2</v>
      </c>
      <c r="CF108" s="46">
        <v>0.33878338580278261</v>
      </c>
      <c r="CG108" s="46">
        <v>0</v>
      </c>
      <c r="CH108" s="46">
        <v>0</v>
      </c>
      <c r="CI108" s="46">
        <v>3.0989692081144642</v>
      </c>
      <c r="CJ108" s="46">
        <v>0.80221543330622647</v>
      </c>
      <c r="CK108">
        <v>186</v>
      </c>
      <c r="CL108">
        <v>487.26</v>
      </c>
      <c r="CM108">
        <f t="shared" si="14"/>
        <v>301.26</v>
      </c>
      <c r="CN108">
        <v>2.89</v>
      </c>
      <c r="CO108">
        <v>9.4499999999999993</v>
      </c>
      <c r="CP108">
        <f t="shared" si="15"/>
        <v>6.5599999999999987</v>
      </c>
      <c r="CQ108">
        <v>846.56</v>
      </c>
      <c r="CR108">
        <v>255.4</v>
      </c>
      <c r="CS108">
        <f t="shared" si="16"/>
        <v>591.16</v>
      </c>
      <c r="CT108" t="s">
        <v>152</v>
      </c>
      <c r="CU108">
        <v>33.5</v>
      </c>
      <c r="CV108">
        <v>108</v>
      </c>
      <c r="CW108" s="46">
        <v>5173</v>
      </c>
      <c r="CX108" s="46">
        <f t="shared" si="10"/>
        <v>16.491452557462509</v>
      </c>
      <c r="CY108" s="46">
        <v>301.26</v>
      </c>
      <c r="CZ108" s="46">
        <f t="shared" si="11"/>
        <v>17.511255543143427</v>
      </c>
      <c r="DA108" s="46">
        <f t="shared" si="12"/>
        <v>76.803493435148681</v>
      </c>
      <c r="DB108" s="46">
        <v>2291989.8199999998</v>
      </c>
      <c r="DC108" s="46">
        <f t="shared" si="13"/>
        <v>2.7786092608267605</v>
      </c>
      <c r="DD108" s="46">
        <v>82919.98</v>
      </c>
      <c r="DE108" s="995">
        <v>5173</v>
      </c>
      <c r="DF108" s="995">
        <v>16.812999999999999</v>
      </c>
      <c r="DG108" s="995">
        <v>206.3</v>
      </c>
      <c r="DH108" s="995">
        <v>17.510999999999999</v>
      </c>
      <c r="DI108" s="995">
        <v>112.565</v>
      </c>
      <c r="DJ108" s="995">
        <v>3348509</v>
      </c>
      <c r="DK108" s="995">
        <v>4.077</v>
      </c>
      <c r="DL108" s="995">
        <v>121285.9</v>
      </c>
      <c r="DM108" s="995">
        <v>5173</v>
      </c>
      <c r="DN108" s="995">
        <v>16.934999999999999</v>
      </c>
      <c r="DO108" s="995">
        <v>170.2</v>
      </c>
      <c r="DP108" s="995">
        <v>17.510999999999999</v>
      </c>
      <c r="DQ108" s="995">
        <v>104.01300000000001</v>
      </c>
      <c r="DR108" s="995">
        <v>3090346</v>
      </c>
      <c r="DS108" s="995">
        <v>3.7679999999999998</v>
      </c>
      <c r="DT108" s="995">
        <v>111956.6</v>
      </c>
    </row>
    <row r="109" spans="1:124">
      <c r="A109" s="42" t="s">
        <v>92</v>
      </c>
      <c r="B109" s="42" t="s">
        <v>278</v>
      </c>
      <c r="C109" s="42" t="s">
        <v>279</v>
      </c>
      <c r="D109" s="42">
        <v>103341</v>
      </c>
      <c r="E109" s="42" t="s">
        <v>281</v>
      </c>
      <c r="F109" s="42" t="s">
        <v>149</v>
      </c>
      <c r="G109" s="42" t="s">
        <v>150</v>
      </c>
      <c r="H109" s="43" t="s">
        <v>150</v>
      </c>
      <c r="I109" s="44">
        <v>3</v>
      </c>
      <c r="J109" s="45">
        <v>62219.673600000002</v>
      </c>
      <c r="K109" s="46">
        <v>10582.704605000001</v>
      </c>
      <c r="L109" s="47">
        <v>72802.378205000001</v>
      </c>
      <c r="M109" s="48">
        <v>2470120</v>
      </c>
      <c r="N109" s="49">
        <v>941620</v>
      </c>
      <c r="O109" s="49">
        <v>1528500</v>
      </c>
      <c r="P109" s="49">
        <v>0</v>
      </c>
      <c r="Q109" s="50">
        <v>5650.97947247707</v>
      </c>
      <c r="R109" s="51">
        <v>1205.8195541884199</v>
      </c>
      <c r="S109" s="49">
        <v>2287.5105990285701</v>
      </c>
      <c r="T109" s="49">
        <v>435.19768763078099</v>
      </c>
      <c r="U109" s="49">
        <f>IFERROR(INDEX('Rentabilidad datos'!$N$2:$N$61,MATCH($C109,'Rentabilidad datos'!$C$2:$C$61,0)),"")</f>
        <v>3928.5278408477707</v>
      </c>
      <c r="V109" s="50">
        <f>IFERROR(INDEX('Rentabilidad datos'!$O$2:$O$61,MATCH($C109,'Rentabilidad datos'!$C$2:$C$61,0)),"")</f>
        <v>1309.5092802825902</v>
      </c>
      <c r="W109" s="51">
        <f>IFERROR(INDEX('Rentabilidad datos'!$M$2:$M$61,MATCH($C109,'Rentabilidad datos'!$C$2:$C$61,0)),"")</f>
        <v>2139.0083399999999</v>
      </c>
      <c r="X109" s="52">
        <f>IFERROR(INDEX('Rentabilidad datos'!$P$2:$P$61,MATCH($C109,'Rentabilidad datos'!$C$2:$C$61,0)),"")</f>
        <v>0.61220391514817118</v>
      </c>
      <c r="Y109" s="43" t="s">
        <v>160</v>
      </c>
      <c r="Z109" s="53">
        <v>30.667431192660601</v>
      </c>
      <c r="AA109" s="43">
        <v>1</v>
      </c>
      <c r="AB109" s="54">
        <v>1</v>
      </c>
      <c r="AC109" s="55">
        <v>0</v>
      </c>
      <c r="AD109" s="752" t="e">
        <f>_xlfn.XLOOKUP(Table1[[#This Row],[Ruta]],#REF!,#REF!)</f>
        <v>#REF!</v>
      </c>
      <c r="AE109" s="752" t="e">
        <f>_xlfn.XLOOKUP(Table1[[#This Row],[Ruta]],#REF!,#REF!)</f>
        <v>#REF!</v>
      </c>
      <c r="AF109" s="752" t="e">
        <f>_xlfn.XLOOKUP(Table1[[#This Row],[Ruta]],#REF!,#REF!)</f>
        <v>#REF!</v>
      </c>
      <c r="AG109" s="752" t="e">
        <f>_xlfn.XLOOKUP(Table1[[#This Row],[Ruta]],#REF!,#REF!)</f>
        <v>#REF!</v>
      </c>
      <c r="AH109" s="52">
        <v>0.38120415202500285</v>
      </c>
      <c r="AI109" s="52">
        <v>0.6187958479749972</v>
      </c>
      <c r="AJ109" s="55">
        <v>0</v>
      </c>
      <c r="AK109" s="56">
        <v>13371</v>
      </c>
      <c r="AL109" s="44">
        <v>8880</v>
      </c>
      <c r="AM109" s="54">
        <v>0.66412385012340103</v>
      </c>
      <c r="AN109" s="55">
        <v>0.862014572701435</v>
      </c>
      <c r="AO109" s="56">
        <v>2645.9968515908799</v>
      </c>
      <c r="AP109" s="48">
        <v>1322.99842579544</v>
      </c>
      <c r="AQ109" s="55">
        <v>0.7630692114124179</v>
      </c>
      <c r="AR109" s="51">
        <v>2463827.0499999998</v>
      </c>
      <c r="AS109" s="49">
        <v>367076.49871421448</v>
      </c>
      <c r="AT109" s="55">
        <v>0.14898630921119829</v>
      </c>
      <c r="AU109" s="51">
        <v>257945.64774512377</v>
      </c>
      <c r="AV109" s="52">
        <v>1.1734191616643904E-3</v>
      </c>
      <c r="AW109" s="44">
        <v>272</v>
      </c>
      <c r="AX109" s="51">
        <v>277.45800112612602</v>
      </c>
      <c r="AY109" s="49">
        <v>250.71965950207701</v>
      </c>
      <c r="AZ109" s="49">
        <v>0</v>
      </c>
      <c r="BA109" s="42" t="s">
        <v>152</v>
      </c>
      <c r="BB109" s="50">
        <v>0</v>
      </c>
      <c r="BC109" s="57">
        <v>257945.64774512377</v>
      </c>
      <c r="BD109" s="42" t="s">
        <v>150</v>
      </c>
      <c r="BE109" s="46">
        <v>30.667431192660601</v>
      </c>
      <c r="BF109" s="46">
        <v>37.102505694760801</v>
      </c>
      <c r="BG109" s="42" t="s">
        <v>152</v>
      </c>
      <c r="BH109" s="52">
        <v>0.66412385012340103</v>
      </c>
      <c r="BI109" s="52">
        <v>0.88187622789783904</v>
      </c>
      <c r="BJ109" s="42" t="s">
        <v>152</v>
      </c>
      <c r="BK109" s="46">
        <v>166.97793166284399</v>
      </c>
      <c r="BL109" s="46">
        <v>255.402485601367</v>
      </c>
      <c r="BM109" s="42" t="s">
        <v>152</v>
      </c>
      <c r="BN109" s="48">
        <v>0</v>
      </c>
      <c r="BO109" s="42" t="s">
        <v>155</v>
      </c>
      <c r="BP109" s="42" t="s">
        <v>152</v>
      </c>
      <c r="BQ109" s="46">
        <v>7641.6533214945903</v>
      </c>
      <c r="BR109" s="46">
        <v>7017</v>
      </c>
      <c r="BS109" s="46">
        <v>417828</v>
      </c>
      <c r="BT109" s="46">
        <v>124685</v>
      </c>
      <c r="BU109" s="46">
        <v>3.3510686931066287</v>
      </c>
      <c r="BV109" s="46">
        <v>17.768989596693743</v>
      </c>
      <c r="BW109" s="46">
        <v>0</v>
      </c>
      <c r="BX109" s="46">
        <v>2982</v>
      </c>
      <c r="BY109" s="46">
        <v>2982</v>
      </c>
      <c r="BZ109" s="46">
        <v>2.3916268997874645E-2</v>
      </c>
      <c r="CA109" s="46">
        <v>0</v>
      </c>
      <c r="CB109" s="46">
        <v>2.3916268997874648E-2</v>
      </c>
      <c r="CC109" s="46">
        <v>9.8624533825239585E-2</v>
      </c>
      <c r="CD109" s="46">
        <v>4.2234430765529136E-2</v>
      </c>
      <c r="CE109" s="46">
        <v>3.1727954445201913E-2</v>
      </c>
      <c r="CF109" s="46">
        <v>0.80346473112242855</v>
      </c>
      <c r="CG109" s="46">
        <v>8.0202109315474999E-6</v>
      </c>
      <c r="CH109" s="46">
        <v>2.4060632794642501E-5</v>
      </c>
      <c r="CI109" s="46">
        <v>5.2054912547746923</v>
      </c>
      <c r="CJ109" s="46">
        <v>0.49781249700833835</v>
      </c>
      <c r="CK109">
        <v>62</v>
      </c>
      <c r="CL109">
        <v>251.68</v>
      </c>
      <c r="CM109">
        <f t="shared" si="14"/>
        <v>189.68</v>
      </c>
      <c r="CN109">
        <v>1.63</v>
      </c>
      <c r="CO109">
        <v>9.4499999999999993</v>
      </c>
      <c r="CP109">
        <f t="shared" si="15"/>
        <v>7.8199999999999994</v>
      </c>
      <c r="CQ109">
        <v>846.56</v>
      </c>
      <c r="CR109">
        <v>166.98</v>
      </c>
      <c r="CS109">
        <f t="shared" si="16"/>
        <v>679.57999999999993</v>
      </c>
      <c r="CT109" t="s">
        <v>152</v>
      </c>
      <c r="CU109">
        <v>19.739999999999998</v>
      </c>
      <c r="CV109">
        <v>10</v>
      </c>
      <c r="CW109" s="46">
        <v>2982</v>
      </c>
      <c r="CX109" s="46">
        <f t="shared" si="10"/>
        <v>2.2394995388378716</v>
      </c>
      <c r="CY109" s="46">
        <v>189.68</v>
      </c>
      <c r="CZ109" s="46">
        <f t="shared" si="11"/>
        <v>2.3916268997874646</v>
      </c>
      <c r="DA109" s="46">
        <f t="shared" si="12"/>
        <v>12.005495269337226</v>
      </c>
      <c r="DB109" s="46">
        <v>1499182.38</v>
      </c>
      <c r="DC109" s="46">
        <f t="shared" si="13"/>
        <v>0.46084698675504115</v>
      </c>
      <c r="DD109" s="46">
        <v>57548.12</v>
      </c>
      <c r="DE109" s="995">
        <v>2982</v>
      </c>
      <c r="DF109" s="995">
        <v>2.323</v>
      </c>
      <c r="DG109" s="995">
        <v>86</v>
      </c>
      <c r="DH109" s="995">
        <v>2.3919999999999999</v>
      </c>
      <c r="DI109" s="995">
        <v>11.013</v>
      </c>
      <c r="DJ109" s="995">
        <v>1374124</v>
      </c>
      <c r="DK109" s="995">
        <v>0.40500000000000003</v>
      </c>
      <c r="DL109" s="995">
        <v>50538.7</v>
      </c>
      <c r="DM109" s="995">
        <v>2982</v>
      </c>
      <c r="DN109" s="995">
        <v>2.3290000000000002</v>
      </c>
      <c r="DO109" s="995">
        <v>78.2</v>
      </c>
      <c r="DP109" s="995">
        <v>2.3919999999999999</v>
      </c>
      <c r="DQ109" s="995">
        <v>10.428000000000001</v>
      </c>
      <c r="DR109" s="995">
        <v>1300999</v>
      </c>
      <c r="DS109" s="995">
        <v>0.38900000000000001</v>
      </c>
      <c r="DT109" s="995">
        <v>48538.2</v>
      </c>
    </row>
    <row r="110" spans="1:124">
      <c r="A110" s="42" t="s">
        <v>92</v>
      </c>
      <c r="B110" s="42" t="s">
        <v>278</v>
      </c>
      <c r="C110" s="42" t="s">
        <v>279</v>
      </c>
      <c r="D110" s="42">
        <v>103342</v>
      </c>
      <c r="E110" s="42" t="s">
        <v>282</v>
      </c>
      <c r="F110" s="42" t="s">
        <v>149</v>
      </c>
      <c r="G110" s="42" t="s">
        <v>150</v>
      </c>
      <c r="H110" s="43" t="s">
        <v>150</v>
      </c>
      <c r="I110" s="44">
        <v>3</v>
      </c>
      <c r="J110" s="45">
        <v>103174.61840000001</v>
      </c>
      <c r="K110" s="46">
        <v>7441.1454089999997</v>
      </c>
      <c r="L110" s="47">
        <v>110615.763809</v>
      </c>
      <c r="M110" s="48">
        <v>2715527</v>
      </c>
      <c r="N110" s="49">
        <v>1568360</v>
      </c>
      <c r="O110" s="49">
        <v>1147167</v>
      </c>
      <c r="P110" s="49">
        <v>0</v>
      </c>
      <c r="Q110" s="50">
        <v>6257.0546436781597</v>
      </c>
      <c r="R110" s="51">
        <v>1205.8195541884199</v>
      </c>
      <c r="S110" s="49">
        <v>2287.5105990285701</v>
      </c>
      <c r="T110" s="49">
        <v>435.19768763078099</v>
      </c>
      <c r="U110" s="49">
        <f>IFERROR(INDEX('Rentabilidad datos'!$N$2:$N$61,MATCH($C110,'Rentabilidad datos'!$C$2:$C$61,0)),"")</f>
        <v>3928.5278408477707</v>
      </c>
      <c r="V110" s="50">
        <f>IFERROR(INDEX('Rentabilidad datos'!$O$2:$O$61,MATCH($C110,'Rentabilidad datos'!$C$2:$C$61,0)),"")</f>
        <v>1309.5092802825902</v>
      </c>
      <c r="W110" s="51">
        <f>IFERROR(INDEX('Rentabilidad datos'!$M$2:$M$61,MATCH($C110,'Rentabilidad datos'!$C$2:$C$61,0)),"")</f>
        <v>2139.0083399999999</v>
      </c>
      <c r="X110" s="52">
        <f>IFERROR(INDEX('Rentabilidad datos'!$P$2:$P$61,MATCH($C110,'Rentabilidad datos'!$C$2:$C$61,0)),"")</f>
        <v>0.61220391514817118</v>
      </c>
      <c r="Y110" s="43" t="s">
        <v>160</v>
      </c>
      <c r="Z110" s="53">
        <v>45.701149425287397</v>
      </c>
      <c r="AA110" s="43">
        <v>1</v>
      </c>
      <c r="AB110" s="54">
        <v>1</v>
      </c>
      <c r="AC110" s="55">
        <v>0</v>
      </c>
      <c r="AD110" s="752" t="e">
        <f>_xlfn.XLOOKUP(Table1[[#This Row],[Ruta]],#REF!,#REF!)</f>
        <v>#REF!</v>
      </c>
      <c r="AE110" s="752" t="e">
        <f>_xlfn.XLOOKUP(Table1[[#This Row],[Ruta]],#REF!,#REF!)</f>
        <v>#REF!</v>
      </c>
      <c r="AF110" s="752" t="e">
        <f>_xlfn.XLOOKUP(Table1[[#This Row],[Ruta]],#REF!,#REF!)</f>
        <v>#REF!</v>
      </c>
      <c r="AG110" s="752" t="e">
        <f>_xlfn.XLOOKUP(Table1[[#This Row],[Ruta]],#REF!,#REF!)</f>
        <v>#REF!</v>
      </c>
      <c r="AH110" s="52">
        <v>0.57755271812800979</v>
      </c>
      <c r="AI110" s="52">
        <v>0.42244728187199021</v>
      </c>
      <c r="AJ110" s="55">
        <v>0</v>
      </c>
      <c r="AK110" s="56">
        <v>19880</v>
      </c>
      <c r="AL110" s="44">
        <v>16742</v>
      </c>
      <c r="AM110" s="54">
        <v>0.84215291750502996</v>
      </c>
      <c r="AN110" s="55">
        <v>0.862014572701435</v>
      </c>
      <c r="AO110" s="56">
        <v>394.84970530451801</v>
      </c>
      <c r="AP110" s="48">
        <v>197.42485265225901</v>
      </c>
      <c r="AQ110" s="55">
        <v>0.85208374510323237</v>
      </c>
      <c r="AR110" s="51">
        <v>2721818.77</v>
      </c>
      <c r="AS110" s="49">
        <v>32096.205328718352</v>
      </c>
      <c r="AT110" s="55">
        <v>1.1792190458264181E-2</v>
      </c>
      <c r="AU110" s="51">
        <v>22554.090230991282</v>
      </c>
      <c r="AV110" s="52">
        <v>1.0260069081337355E-4</v>
      </c>
      <c r="AW110" s="44">
        <v>456</v>
      </c>
      <c r="AX110" s="51">
        <v>162.574290407359</v>
      </c>
      <c r="AY110" s="49">
        <v>250.71965950207701</v>
      </c>
      <c r="AZ110" s="49">
        <v>88.145369094718006</v>
      </c>
      <c r="BA110" s="42" t="s">
        <v>150</v>
      </c>
      <c r="BB110" s="50">
        <v>518499.64870240545</v>
      </c>
      <c r="BC110" s="57">
        <v>541053.73893339676</v>
      </c>
      <c r="BD110" s="42" t="s">
        <v>150</v>
      </c>
      <c r="BE110" s="46">
        <v>45.701149425287397</v>
      </c>
      <c r="BF110" s="46">
        <v>37.102505694760801</v>
      </c>
      <c r="BG110" s="42" t="s">
        <v>150</v>
      </c>
      <c r="BH110" s="52">
        <v>0.84215291750502996</v>
      </c>
      <c r="BI110" s="52">
        <v>0.88187622789783904</v>
      </c>
      <c r="BJ110" s="42" t="s">
        <v>152</v>
      </c>
      <c r="BK110" s="46">
        <v>254.28911220459801</v>
      </c>
      <c r="BL110" s="46">
        <v>255.402485601367</v>
      </c>
      <c r="BM110" s="42" t="s">
        <v>152</v>
      </c>
      <c r="BN110" s="48">
        <v>1</v>
      </c>
      <c r="BO110" s="42" t="s">
        <v>155</v>
      </c>
      <c r="BP110" s="42" t="s">
        <v>152</v>
      </c>
      <c r="BQ110" s="46">
        <v>38.661619969905601</v>
      </c>
      <c r="BR110" s="46">
        <v>4510</v>
      </c>
      <c r="BS110" s="46">
        <v>266861</v>
      </c>
      <c r="BT110" s="46">
        <v>82673</v>
      </c>
      <c r="BU110" s="46">
        <v>3.2279099585112432</v>
      </c>
      <c r="BV110" s="46">
        <v>18.331042128603105</v>
      </c>
      <c r="BW110" s="46">
        <v>2611</v>
      </c>
      <c r="BX110" s="46">
        <v>8825</v>
      </c>
      <c r="BY110" s="46">
        <v>11436</v>
      </c>
      <c r="BZ110" s="46">
        <v>0.13832811195916442</v>
      </c>
      <c r="CA110" s="46">
        <v>3.1582257810893521E-2</v>
      </c>
      <c r="CB110" s="46">
        <v>0.1067458541482709</v>
      </c>
      <c r="CC110" s="46">
        <v>0.25349267596434139</v>
      </c>
      <c r="CD110" s="46">
        <v>0.11645881968720141</v>
      </c>
      <c r="CE110" s="46">
        <v>2.0768570149867549E-2</v>
      </c>
      <c r="CF110" s="46">
        <v>0.47092763054443409</v>
      </c>
      <c r="CG110" s="46">
        <v>0</v>
      </c>
      <c r="CH110" s="46">
        <v>2.4191694991109549E-5</v>
      </c>
      <c r="CI110" s="46">
        <v>3.9945889433075639</v>
      </c>
      <c r="CJ110" s="46">
        <v>0.65202483690010904</v>
      </c>
      <c r="CK110">
        <v>341</v>
      </c>
      <c r="CL110">
        <v>737.38</v>
      </c>
      <c r="CM110">
        <f t="shared" si="14"/>
        <v>396.38</v>
      </c>
      <c r="CN110">
        <v>5.43</v>
      </c>
      <c r="CO110">
        <v>9.4499999999999993</v>
      </c>
      <c r="CP110">
        <f t="shared" si="15"/>
        <v>4.0199999999999996</v>
      </c>
      <c r="CQ110">
        <v>846.56</v>
      </c>
      <c r="CR110">
        <v>254.29</v>
      </c>
      <c r="CS110">
        <f t="shared" si="16"/>
        <v>592.27</v>
      </c>
      <c r="CT110" t="s">
        <v>152</v>
      </c>
      <c r="CU110">
        <v>59.14</v>
      </c>
      <c r="CV110">
        <v>190</v>
      </c>
      <c r="CW110" s="46">
        <v>11436</v>
      </c>
      <c r="CX110" s="46">
        <f t="shared" si="10"/>
        <v>13.353355992887641</v>
      </c>
      <c r="CY110" s="46">
        <v>396.38</v>
      </c>
      <c r="CZ110" s="46">
        <f t="shared" si="11"/>
        <v>13.832811195916442</v>
      </c>
      <c r="DA110" s="46">
        <f t="shared" si="12"/>
        <v>48.590813727031545</v>
      </c>
      <c r="DB110" s="46">
        <v>4036408.77</v>
      </c>
      <c r="DC110" s="46">
        <f t="shared" si="13"/>
        <v>2.0621409477234569</v>
      </c>
      <c r="DD110" s="46">
        <v>171300.77</v>
      </c>
      <c r="DE110" s="995">
        <v>11436</v>
      </c>
      <c r="DF110" s="995">
        <v>13.541</v>
      </c>
      <c r="DG110" s="995">
        <v>241.1</v>
      </c>
      <c r="DH110" s="995">
        <v>13.833</v>
      </c>
      <c r="DI110" s="995">
        <v>67.308999999999997</v>
      </c>
      <c r="DJ110" s="995">
        <v>5580872</v>
      </c>
      <c r="DK110" s="995">
        <v>2.7749999999999999</v>
      </c>
      <c r="DL110" s="995">
        <v>230070</v>
      </c>
      <c r="DM110" s="995">
        <v>11436</v>
      </c>
      <c r="DN110" s="995">
        <v>13.579000000000001</v>
      </c>
      <c r="DO110" s="995">
        <v>209.9</v>
      </c>
      <c r="DP110" s="995">
        <v>13.833</v>
      </c>
      <c r="DQ110" s="995">
        <v>64.730999999999995</v>
      </c>
      <c r="DR110" s="995">
        <v>5365093</v>
      </c>
      <c r="DS110" s="995">
        <v>2.673</v>
      </c>
      <c r="DT110" s="995">
        <v>221511.2</v>
      </c>
    </row>
    <row r="111" spans="1:124">
      <c r="A111" s="42" t="s">
        <v>92</v>
      </c>
      <c r="B111" s="42" t="s">
        <v>283</v>
      </c>
      <c r="C111" s="42" t="s">
        <v>284</v>
      </c>
      <c r="D111" s="42">
        <v>203300</v>
      </c>
      <c r="E111" s="42" t="s">
        <v>285</v>
      </c>
      <c r="F111" s="42" t="s">
        <v>149</v>
      </c>
      <c r="G111" s="42" t="s">
        <v>150</v>
      </c>
      <c r="H111" s="43" t="s">
        <v>150</v>
      </c>
      <c r="I111" s="44">
        <v>23</v>
      </c>
      <c r="J111" s="45">
        <v>3156.0704000000001</v>
      </c>
      <c r="K111" s="46">
        <v>205.71827500000001</v>
      </c>
      <c r="L111" s="47">
        <v>3361.7886749999998</v>
      </c>
      <c r="M111" s="48">
        <v>69178</v>
      </c>
      <c r="N111" s="49">
        <v>42072</v>
      </c>
      <c r="O111" s="49">
        <v>27106</v>
      </c>
      <c r="P111" s="49">
        <v>0</v>
      </c>
      <c r="Q111" s="50">
        <v>423.29910614525198</v>
      </c>
      <c r="R111" s="51">
        <v>3749.73774392522</v>
      </c>
      <c r="S111" s="49">
        <v>29778.0800484395</v>
      </c>
      <c r="T111" s="49">
        <v>1011.19608043901</v>
      </c>
      <c r="U111" s="49">
        <f>IFERROR(INDEX('Rentabilidad datos'!$N$2:$N$61,MATCH($C111,'Rentabilidad datos'!$C$2:$C$61,0)),"")</f>
        <v>34539.013872803756</v>
      </c>
      <c r="V111" s="50">
        <f>IFERROR(INDEX('Rentabilidad datos'!$O$2:$O$61,MATCH($C111,'Rentabilidad datos'!$C$2:$C$61,0)),"")</f>
        <v>1644.7149463239884</v>
      </c>
      <c r="W111" s="51">
        <f>IFERROR(INDEX('Rentabilidad datos'!$M$2:$M$61,MATCH($C111,'Rentabilidad datos'!$C$2:$C$61,0)),"")</f>
        <v>2501.9736837243272</v>
      </c>
      <c r="X111" s="52">
        <f>IFERROR(INDEX('Rentabilidad datos'!$P$2:$P$61,MATCH($C111,'Rentabilidad datos'!$C$2:$C$61,0)),"")</f>
        <v>0.6573670047063559</v>
      </c>
      <c r="Y111" s="43" t="s">
        <v>211</v>
      </c>
      <c r="Z111" s="53">
        <v>41.387096774193601</v>
      </c>
      <c r="AA111" s="43">
        <v>1</v>
      </c>
      <c r="AB111" s="54">
        <v>0.54015727543438663</v>
      </c>
      <c r="AC111" s="55">
        <v>0.45984272456561337</v>
      </c>
      <c r="AD111" s="752" t="e">
        <f>_xlfn.XLOOKUP(Table1[[#This Row],[Ruta]],#REF!,#REF!)</f>
        <v>#REF!</v>
      </c>
      <c r="AE111" s="752" t="e">
        <f>_xlfn.XLOOKUP(Table1[[#This Row],[Ruta]],#REF!,#REF!)</f>
        <v>#REF!</v>
      </c>
      <c r="AF111" s="752" t="e">
        <f>_xlfn.XLOOKUP(Table1[[#This Row],[Ruta]],#REF!,#REF!)</f>
        <v>#REF!</v>
      </c>
      <c r="AG111" s="752" t="e">
        <f>_xlfn.XLOOKUP(Table1[[#This Row],[Ruta]],#REF!,#REF!)</f>
        <v>#REF!</v>
      </c>
      <c r="AH111" s="52">
        <v>0.6081702275289832</v>
      </c>
      <c r="AI111" s="52">
        <v>0.3918297724710168</v>
      </c>
      <c r="AJ111" s="55">
        <v>0</v>
      </c>
      <c r="AK111" s="56">
        <v>6415</v>
      </c>
      <c r="AL111" s="44">
        <v>273</v>
      </c>
      <c r="AM111" s="54">
        <v>3.8815276695245503E-2</v>
      </c>
      <c r="AN111" s="55">
        <v>0.73696442291874298</v>
      </c>
      <c r="AO111" s="56">
        <v>4478.6267730237396</v>
      </c>
      <c r="AP111" s="48">
        <v>2239.3133865118698</v>
      </c>
      <c r="AQ111" s="55">
        <v>0.39163108129569285</v>
      </c>
      <c r="AR111" s="51">
        <v>75770.539999999994</v>
      </c>
      <c r="AS111" s="49">
        <v>621516.42683235498</v>
      </c>
      <c r="AT111" s="55">
        <v>8.2026131374061091</v>
      </c>
      <c r="AU111" s="51">
        <v>436741.27290922258</v>
      </c>
      <c r="AV111" s="52">
        <v>1.9867773804338852E-3</v>
      </c>
      <c r="AW111" s="44">
        <v>172</v>
      </c>
      <c r="AX111" s="51">
        <v>277.54776556776602</v>
      </c>
      <c r="AY111" s="49">
        <v>281.804910356444</v>
      </c>
      <c r="AZ111" s="49">
        <v>4.2571447886779765</v>
      </c>
      <c r="BA111" s="42" t="s">
        <v>150</v>
      </c>
      <c r="BB111" s="50">
        <v>408.34072581130124</v>
      </c>
      <c r="BC111" s="57">
        <v>437149.61363503389</v>
      </c>
      <c r="BD111" s="42" t="s">
        <v>150</v>
      </c>
      <c r="BE111" s="46">
        <v>41.387096774193601</v>
      </c>
      <c r="BF111" s="46">
        <v>53.584294640711398</v>
      </c>
      <c r="BG111" s="42" t="s">
        <v>152</v>
      </c>
      <c r="BH111" s="52">
        <v>3.8815276695245503E-2</v>
      </c>
      <c r="BI111" s="52">
        <v>0.84596921589179896</v>
      </c>
      <c r="BJ111" s="42" t="s">
        <v>152</v>
      </c>
      <c r="BK111" s="46">
        <v>18.780942318435802</v>
      </c>
      <c r="BL111" s="46">
        <v>363.16023511435702</v>
      </c>
      <c r="BM111" s="42" t="s">
        <v>152</v>
      </c>
      <c r="BN111" s="48">
        <v>0</v>
      </c>
      <c r="BO111" s="42" t="s">
        <v>155</v>
      </c>
      <c r="BP111" s="42" t="s">
        <v>152</v>
      </c>
      <c r="BQ111" s="46">
        <v>4147.6986624756</v>
      </c>
      <c r="BR111" s="46">
        <v>472</v>
      </c>
      <c r="BS111" s="46">
        <v>24521</v>
      </c>
      <c r="BT111" s="46">
        <v>6992</v>
      </c>
      <c r="BU111" s="46">
        <v>3.507008009153318</v>
      </c>
      <c r="BV111" s="46">
        <v>14.813559322033898</v>
      </c>
      <c r="BW111" s="46">
        <v>0</v>
      </c>
      <c r="BX111" s="46">
        <v>759</v>
      </c>
      <c r="BY111" s="46">
        <v>759</v>
      </c>
      <c r="BZ111" s="46">
        <v>0.10855263157894737</v>
      </c>
      <c r="CA111" s="46">
        <v>0</v>
      </c>
      <c r="CB111" s="46">
        <v>0.1085526315789474</v>
      </c>
      <c r="CC111" s="46">
        <v>6.1355835240274596E-2</v>
      </c>
      <c r="CD111" s="46">
        <v>0.26301487414187641</v>
      </c>
      <c r="CE111" s="46">
        <v>0</v>
      </c>
      <c r="CF111" s="46">
        <v>0.56679061784897022</v>
      </c>
      <c r="CG111" s="46">
        <v>2.8604118993135012E-4</v>
      </c>
      <c r="CH111" s="46">
        <v>0</v>
      </c>
      <c r="CI111" s="46">
        <v>5.4647037233391789</v>
      </c>
      <c r="CJ111" s="46">
        <v>0.61172056604543046</v>
      </c>
      <c r="CM111">
        <f t="shared" si="14"/>
        <v>0</v>
      </c>
      <c r="CP111">
        <f t="shared" si="15"/>
        <v>0</v>
      </c>
      <c r="CS111">
        <f t="shared" si="16"/>
        <v>0</v>
      </c>
      <c r="CW111" s="46"/>
      <c r="CX111" s="46">
        <f t="shared" si="10"/>
        <v>0</v>
      </c>
      <c r="CY111" s="46"/>
      <c r="CZ111" s="46">
        <f t="shared" si="11"/>
        <v>0</v>
      </c>
      <c r="DA111" s="46">
        <f t="shared" si="12"/>
        <v>0</v>
      </c>
      <c r="DB111" s="46"/>
      <c r="DC111" s="46">
        <f t="shared" si="13"/>
        <v>0</v>
      </c>
      <c r="DD111" s="46"/>
      <c r="DE111" s="995" t="s">
        <v>194</v>
      </c>
      <c r="DF111" s="995" t="s">
        <v>194</v>
      </c>
      <c r="DG111" s="995" t="s">
        <v>194</v>
      </c>
      <c r="DH111" s="995" t="s">
        <v>194</v>
      </c>
      <c r="DI111" s="995" t="s">
        <v>194</v>
      </c>
      <c r="DJ111" s="995" t="s">
        <v>194</v>
      </c>
      <c r="DK111" s="995" t="s">
        <v>194</v>
      </c>
      <c r="DL111" s="995" t="s">
        <v>194</v>
      </c>
      <c r="DM111" s="995" t="s">
        <v>194</v>
      </c>
      <c r="DN111" s="995" t="s">
        <v>194</v>
      </c>
      <c r="DO111" s="995" t="s">
        <v>194</v>
      </c>
      <c r="DP111" s="995" t="s">
        <v>194</v>
      </c>
      <c r="DQ111" s="995" t="s">
        <v>194</v>
      </c>
      <c r="DR111" s="995" t="s">
        <v>194</v>
      </c>
      <c r="DS111" s="995" t="s">
        <v>194</v>
      </c>
      <c r="DT111" s="995" t="s">
        <v>194</v>
      </c>
    </row>
    <row r="112" spans="1:124">
      <c r="A112" s="42" t="s">
        <v>92</v>
      </c>
      <c r="B112" s="42" t="s">
        <v>283</v>
      </c>
      <c r="C112" s="42" t="s">
        <v>284</v>
      </c>
      <c r="D112" s="42">
        <v>203301</v>
      </c>
      <c r="E112" s="42" t="s">
        <v>286</v>
      </c>
      <c r="F112" s="42" t="s">
        <v>149</v>
      </c>
      <c r="G112" s="42" t="s">
        <v>150</v>
      </c>
      <c r="H112" s="43" t="s">
        <v>150</v>
      </c>
      <c r="I112" s="44">
        <v>23</v>
      </c>
      <c r="J112" s="45">
        <v>152389.5912</v>
      </c>
      <c r="K112" s="46">
        <v>6568.6153880000002</v>
      </c>
      <c r="L112" s="47">
        <v>158958.206588</v>
      </c>
      <c r="M112" s="48">
        <v>3247654</v>
      </c>
      <c r="N112" s="49">
        <v>2351691</v>
      </c>
      <c r="O112" s="49">
        <v>895963</v>
      </c>
      <c r="P112" s="49">
        <v>0</v>
      </c>
      <c r="Q112" s="50">
        <v>7445.7102293578</v>
      </c>
      <c r="R112" s="51">
        <v>3749.73774392522</v>
      </c>
      <c r="S112" s="49">
        <v>29778.0800484395</v>
      </c>
      <c r="T112" s="49">
        <v>1011.19608043901</v>
      </c>
      <c r="U112" s="49">
        <f>IFERROR(INDEX('Rentabilidad datos'!$N$2:$N$61,MATCH($C112,'Rentabilidad datos'!$C$2:$C$61,0)),"")</f>
        <v>34539.013872803756</v>
      </c>
      <c r="V112" s="50">
        <f>IFERROR(INDEX('Rentabilidad datos'!$O$2:$O$61,MATCH($C112,'Rentabilidad datos'!$C$2:$C$61,0)),"")</f>
        <v>1644.7149463239884</v>
      </c>
      <c r="W112" s="51">
        <f>IFERROR(INDEX('Rentabilidad datos'!$M$2:$M$61,MATCH($C112,'Rentabilidad datos'!$C$2:$C$61,0)),"")</f>
        <v>2501.9736837243272</v>
      </c>
      <c r="X112" s="52">
        <f>IFERROR(INDEX('Rentabilidad datos'!$P$2:$P$61,MATCH($C112,'Rentabilidad datos'!$C$2:$C$61,0)),"")</f>
        <v>0.6573670047063559</v>
      </c>
      <c r="Y112" s="43" t="s">
        <v>211</v>
      </c>
      <c r="Z112" s="53">
        <v>49.055045871559599</v>
      </c>
      <c r="AA112" s="43">
        <v>1</v>
      </c>
      <c r="AB112" s="54">
        <v>0.93864063105244588</v>
      </c>
      <c r="AC112" s="55">
        <v>6.1359368947554144E-2</v>
      </c>
      <c r="AD112" s="752" t="e">
        <f>_xlfn.XLOOKUP(Table1[[#This Row],[Ruta]],#REF!,#REF!)</f>
        <v>#REF!</v>
      </c>
      <c r="AE112" s="752" t="e">
        <f>_xlfn.XLOOKUP(Table1[[#This Row],[Ruta]],#REF!,#REF!)</f>
        <v>#REF!</v>
      </c>
      <c r="AF112" s="752" t="e">
        <f>_xlfn.XLOOKUP(Table1[[#This Row],[Ruta]],#REF!,#REF!)</f>
        <v>#REF!</v>
      </c>
      <c r="AG112" s="752" t="e">
        <f>_xlfn.XLOOKUP(Table1[[#This Row],[Ruta]],#REF!,#REF!)</f>
        <v>#REF!</v>
      </c>
      <c r="AH112" s="52">
        <v>0.72411993395848206</v>
      </c>
      <c r="AI112" s="52">
        <v>0.27588006604151799</v>
      </c>
      <c r="AJ112" s="55">
        <v>0</v>
      </c>
      <c r="AK112" s="56">
        <v>21388</v>
      </c>
      <c r="AL112" s="44">
        <v>15975</v>
      </c>
      <c r="AM112" s="54">
        <v>0.74691415747147905</v>
      </c>
      <c r="AN112" s="55">
        <v>0.73696442291874298</v>
      </c>
      <c r="AO112" s="56">
        <v>0</v>
      </c>
      <c r="AP112" s="48">
        <v>0</v>
      </c>
      <c r="AQ112" s="55">
        <v>0.74691415747147938</v>
      </c>
      <c r="AR112" s="51">
        <v>3246329.66</v>
      </c>
      <c r="AS112" s="49">
        <v>0</v>
      </c>
      <c r="AT112" s="55">
        <v>0</v>
      </c>
      <c r="AU112" s="51">
        <v>0</v>
      </c>
      <c r="AV112" s="52">
        <v>0</v>
      </c>
      <c r="AW112" s="44">
        <v>490</v>
      </c>
      <c r="AX112" s="51">
        <v>203.21312425665101</v>
      </c>
      <c r="AY112" s="49">
        <v>281.804910356444</v>
      </c>
      <c r="AZ112" s="49">
        <v>78.591786099792984</v>
      </c>
      <c r="BA112" s="42" t="s">
        <v>150</v>
      </c>
      <c r="BB112" s="50">
        <v>441122.95076417603</v>
      </c>
      <c r="BC112" s="57">
        <v>441122.95076417603</v>
      </c>
      <c r="BD112" s="42" t="s">
        <v>150</v>
      </c>
      <c r="BE112" s="46">
        <v>49.055045871559599</v>
      </c>
      <c r="BF112" s="46">
        <v>53.584294640711398</v>
      </c>
      <c r="BG112" s="42" t="s">
        <v>152</v>
      </c>
      <c r="BH112" s="52">
        <v>0.74691415747147905</v>
      </c>
      <c r="BI112" s="52">
        <v>0.84596921589179896</v>
      </c>
      <c r="BJ112" s="42" t="s">
        <v>152</v>
      </c>
      <c r="BK112" s="46">
        <v>364.58304263302699</v>
      </c>
      <c r="BL112" s="46">
        <v>363.16023511435702</v>
      </c>
      <c r="BM112" s="42" t="s">
        <v>150</v>
      </c>
      <c r="BN112" s="48">
        <v>1</v>
      </c>
      <c r="BO112" s="42" t="s">
        <v>155</v>
      </c>
      <c r="BP112" s="42" t="s">
        <v>152</v>
      </c>
      <c r="BQ112" s="46">
        <v>4589.67873370097</v>
      </c>
      <c r="BR112" s="46">
        <v>217</v>
      </c>
      <c r="BS112" s="46">
        <v>9259</v>
      </c>
      <c r="BT112" s="46">
        <v>3141</v>
      </c>
      <c r="BU112" s="46">
        <v>2.9477873288761542</v>
      </c>
      <c r="BV112" s="46">
        <v>14.474654377880185</v>
      </c>
      <c r="BW112" s="46">
        <v>2344</v>
      </c>
      <c r="BX112" s="46">
        <v>338</v>
      </c>
      <c r="BY112" s="46">
        <v>2682</v>
      </c>
      <c r="BZ112" s="46">
        <v>0.85386819484240684</v>
      </c>
      <c r="CA112" s="46">
        <v>0.74625915313594393</v>
      </c>
      <c r="CB112" s="46">
        <v>0.1076090417064629</v>
      </c>
      <c r="CC112" s="46">
        <v>0</v>
      </c>
      <c r="CD112" s="46">
        <v>0</v>
      </c>
      <c r="CE112" s="46">
        <v>0</v>
      </c>
      <c r="CF112" s="46">
        <v>0.14613180515759311</v>
      </c>
      <c r="CG112" s="46">
        <v>0</v>
      </c>
      <c r="CH112" s="46">
        <v>0</v>
      </c>
      <c r="CI112" s="46">
        <v>2.8080786262015338</v>
      </c>
      <c r="CJ112" s="46">
        <v>2.700075602116859</v>
      </c>
      <c r="CK112">
        <v>398</v>
      </c>
      <c r="CL112">
        <v>595.64</v>
      </c>
      <c r="CM112">
        <f t="shared" si="14"/>
        <v>197.64</v>
      </c>
      <c r="CN112">
        <v>6.18</v>
      </c>
      <c r="CO112">
        <v>9.4499999999999993</v>
      </c>
      <c r="CP112">
        <f t="shared" si="15"/>
        <v>3.2699999999999996</v>
      </c>
      <c r="CQ112">
        <v>677.25</v>
      </c>
      <c r="CR112">
        <v>364.58</v>
      </c>
      <c r="CS112">
        <f t="shared" si="16"/>
        <v>312.67</v>
      </c>
      <c r="CT112" t="s">
        <v>152</v>
      </c>
      <c r="CU112">
        <v>68.61</v>
      </c>
      <c r="CV112">
        <v>397</v>
      </c>
      <c r="CW112" s="46">
        <v>2682</v>
      </c>
      <c r="CX112" s="46">
        <f t="shared" si="10"/>
        <v>79.094555873925515</v>
      </c>
      <c r="CY112" s="46">
        <v>197.64</v>
      </c>
      <c r="CZ112" s="46">
        <f t="shared" si="11"/>
        <v>85.386819484240689</v>
      </c>
      <c r="DA112" s="46">
        <f t="shared" si="12"/>
        <v>636.32361979728284</v>
      </c>
      <c r="DB112" s="46">
        <v>2124455.4900000002</v>
      </c>
      <c r="DC112" s="46">
        <f t="shared" si="13"/>
        <v>28.88973054896605</v>
      </c>
      <c r="DD112" s="46">
        <v>96452.41</v>
      </c>
      <c r="DE112" s="995">
        <v>2682</v>
      </c>
      <c r="DF112" s="995">
        <v>79.858999999999995</v>
      </c>
      <c r="DG112" s="995">
        <v>173.6</v>
      </c>
      <c r="DH112" s="995">
        <v>85.387</v>
      </c>
      <c r="DI112" s="995">
        <v>1324.5139999999999</v>
      </c>
      <c r="DJ112" s="995">
        <v>4390280</v>
      </c>
      <c r="DK112" s="995">
        <v>58.399000000000001</v>
      </c>
      <c r="DL112" s="995">
        <v>193570.9</v>
      </c>
      <c r="DM112" s="995">
        <v>2682</v>
      </c>
      <c r="DN112" s="995">
        <v>80.834000000000003</v>
      </c>
      <c r="DO112" s="995">
        <v>143</v>
      </c>
      <c r="DP112" s="995">
        <v>85.387</v>
      </c>
      <c r="DQ112" s="995">
        <v>1276.365</v>
      </c>
      <c r="DR112" s="995">
        <v>4191597</v>
      </c>
      <c r="DS112" s="995">
        <v>56.146000000000001</v>
      </c>
      <c r="DT112" s="995">
        <v>184384</v>
      </c>
    </row>
    <row r="113" spans="1:124">
      <c r="A113" s="42" t="s">
        <v>92</v>
      </c>
      <c r="B113" s="42" t="s">
        <v>283</v>
      </c>
      <c r="C113" s="42" t="s">
        <v>284</v>
      </c>
      <c r="D113" s="42">
        <v>203302</v>
      </c>
      <c r="E113" s="42" t="s">
        <v>287</v>
      </c>
      <c r="F113" s="42" t="s">
        <v>193</v>
      </c>
      <c r="G113" s="42" t="s">
        <v>150</v>
      </c>
      <c r="H113" s="43" t="s">
        <v>152</v>
      </c>
      <c r="I113" s="44">
        <v>23</v>
      </c>
      <c r="J113" s="45">
        <v>24.6568</v>
      </c>
      <c r="K113" s="46">
        <v>1.0567</v>
      </c>
      <c r="L113" s="47">
        <v>25.7135</v>
      </c>
      <c r="M113" s="48">
        <v>559</v>
      </c>
      <c r="N113" s="49">
        <v>373</v>
      </c>
      <c r="O113" s="49">
        <v>186</v>
      </c>
      <c r="P113" s="49">
        <v>0</v>
      </c>
      <c r="Q113" s="50">
        <v>0</v>
      </c>
      <c r="R113" s="51">
        <v>3749.73774392522</v>
      </c>
      <c r="S113" s="49">
        <v>29778.0800484395</v>
      </c>
      <c r="T113" s="49">
        <v>1011.19608043901</v>
      </c>
      <c r="U113" s="49">
        <f>IFERROR(INDEX('Rentabilidad datos'!$N$2:$N$61,MATCH($C113,'Rentabilidad datos'!$C$2:$C$61,0)),"")</f>
        <v>34539.013872803756</v>
      </c>
      <c r="V113" s="50">
        <f>IFERROR(INDEX('Rentabilidad datos'!$O$2:$O$61,MATCH($C113,'Rentabilidad datos'!$C$2:$C$61,0)),"")</f>
        <v>1644.7149463239884</v>
      </c>
      <c r="W113" s="51">
        <f>IFERROR(INDEX('Rentabilidad datos'!$M$2:$M$61,MATCH($C113,'Rentabilidad datos'!$C$2:$C$61,0)),"")</f>
        <v>2501.9736837243272</v>
      </c>
      <c r="X113" s="52">
        <f>IFERROR(INDEX('Rentabilidad datos'!$P$2:$P$61,MATCH($C113,'Rentabilidad datos'!$C$2:$C$61,0)),"")</f>
        <v>0.6573670047063559</v>
      </c>
      <c r="Y113" s="43" t="s">
        <v>211</v>
      </c>
      <c r="Z113" s="53">
        <v>38.090909090909101</v>
      </c>
      <c r="AA113" s="43">
        <v>1</v>
      </c>
      <c r="AB113" s="54">
        <v>1</v>
      </c>
      <c r="AC113" s="55">
        <v>0</v>
      </c>
      <c r="AD113" s="752" t="e">
        <f>_xlfn.XLOOKUP(Table1[[#This Row],[Ruta]],#REF!,#REF!)</f>
        <v>#REF!</v>
      </c>
      <c r="AE113" s="752" t="e">
        <f>_xlfn.XLOOKUP(Table1[[#This Row],[Ruta]],#REF!,#REF!)</f>
        <v>#REF!</v>
      </c>
      <c r="AF113" s="752" t="e">
        <f>_xlfn.XLOOKUP(Table1[[#This Row],[Ruta]],#REF!,#REF!)</f>
        <v>#REF!</v>
      </c>
      <c r="AG113" s="752" t="e">
        <f>_xlfn.XLOOKUP(Table1[[#This Row],[Ruta]],#REF!,#REF!)</f>
        <v>#REF!</v>
      </c>
      <c r="AH113" s="52">
        <v>0.66726296958855102</v>
      </c>
      <c r="AI113" s="52">
        <v>0.33273703041144903</v>
      </c>
      <c r="AJ113" s="55">
        <v>0</v>
      </c>
      <c r="AK113" s="56">
        <v>419</v>
      </c>
      <c r="AL113" s="44">
        <v>2</v>
      </c>
      <c r="AM113" s="54">
        <v>4.7732696897374001E-3</v>
      </c>
      <c r="AN113" s="55">
        <v>0.73696442291874298</v>
      </c>
      <c r="AO113" s="56">
        <v>0</v>
      </c>
      <c r="AP113" s="48">
        <v>0</v>
      </c>
      <c r="AQ113" s="55">
        <v>4.7732696897374704E-3</v>
      </c>
      <c r="AR113" s="51">
        <v>559</v>
      </c>
      <c r="AS113" s="49">
        <v>0</v>
      </c>
      <c r="AT113" s="55">
        <v>0</v>
      </c>
      <c r="AU113" s="51">
        <v>0</v>
      </c>
      <c r="AV113" s="52">
        <v>0</v>
      </c>
      <c r="AW113" s="44">
        <v>490</v>
      </c>
      <c r="AX113" s="51">
        <v>279.5</v>
      </c>
      <c r="AY113" s="49">
        <v>281.804910356444</v>
      </c>
      <c r="AZ113" s="49">
        <v>2.3049103564439974</v>
      </c>
      <c r="BA113" s="42" t="s">
        <v>150</v>
      </c>
      <c r="BB113" s="50">
        <v>1.6196667369606474</v>
      </c>
      <c r="BC113" s="57">
        <v>1.6196667369606474</v>
      </c>
      <c r="BD113" s="42" t="s">
        <v>152</v>
      </c>
      <c r="BE113" s="46" t="s">
        <v>195</v>
      </c>
      <c r="BF113" s="46" t="s">
        <v>195</v>
      </c>
      <c r="BG113" s="42" t="s">
        <v>195</v>
      </c>
      <c r="BH113" s="52" t="s">
        <v>195</v>
      </c>
      <c r="BI113" s="52" t="s">
        <v>195</v>
      </c>
      <c r="BJ113" s="42" t="s">
        <v>195</v>
      </c>
      <c r="BK113" s="46" t="s">
        <v>195</v>
      </c>
      <c r="BL113" s="46" t="s">
        <v>195</v>
      </c>
      <c r="BM113" s="42" t="s">
        <v>195</v>
      </c>
      <c r="BN113" s="48" t="s">
        <v>195</v>
      </c>
      <c r="BO113" s="42" t="s">
        <v>195</v>
      </c>
      <c r="BP113" s="42" t="s">
        <v>152</v>
      </c>
      <c r="BQ113" s="46">
        <v>0</v>
      </c>
      <c r="BR113" s="46" t="e">
        <v>#N/A</v>
      </c>
      <c r="BS113" s="46" t="e">
        <v>#N/A</v>
      </c>
      <c r="BT113" s="46" t="e">
        <v>#N/A</v>
      </c>
      <c r="BU113" s="46" t="e">
        <v>#N/A</v>
      </c>
      <c r="BV113" s="46" t="e">
        <v>#N/A</v>
      </c>
      <c r="BW113" s="46" t="e">
        <v>#N/A</v>
      </c>
      <c r="BX113" s="46" t="e">
        <v>#N/A</v>
      </c>
      <c r="BY113" s="46" t="e">
        <v>#N/A</v>
      </c>
      <c r="BZ113" s="46" t="e">
        <v>#N/A</v>
      </c>
      <c r="CA113" s="46" t="e">
        <v>#N/A</v>
      </c>
      <c r="CB113" s="46" t="e">
        <v>#N/A</v>
      </c>
      <c r="CC113" s="46" t="e">
        <v>#N/A</v>
      </c>
      <c r="CD113" s="46" t="e">
        <v>#N/A</v>
      </c>
      <c r="CE113" s="46" t="e">
        <v>#N/A</v>
      </c>
      <c r="CF113" s="46" t="e">
        <v>#N/A</v>
      </c>
      <c r="CG113" s="46" t="e">
        <v>#N/A</v>
      </c>
      <c r="CH113" s="46" t="e">
        <v>#N/A</v>
      </c>
      <c r="CI113" s="46" t="e">
        <v>#N/A</v>
      </c>
      <c r="CJ113" s="46" t="e">
        <v>#N/A</v>
      </c>
      <c r="CM113">
        <f t="shared" si="14"/>
        <v>0</v>
      </c>
      <c r="CP113">
        <f t="shared" si="15"/>
        <v>0</v>
      </c>
      <c r="CS113">
        <f t="shared" si="16"/>
        <v>0</v>
      </c>
      <c r="CW113" s="46"/>
      <c r="CX113" s="46" t="e">
        <f t="shared" si="10"/>
        <v>#N/A</v>
      </c>
      <c r="CY113" s="46"/>
      <c r="CZ113" s="46" t="e">
        <f t="shared" si="11"/>
        <v>#N/A</v>
      </c>
      <c r="DA113" s="46" t="e">
        <f t="shared" si="12"/>
        <v>#N/A</v>
      </c>
      <c r="DB113" s="46"/>
      <c r="DC113" s="46" t="e">
        <f t="shared" si="13"/>
        <v>#N/A</v>
      </c>
      <c r="DD113" s="46"/>
      <c r="DE113" s="995" t="s">
        <v>194</v>
      </c>
      <c r="DF113" s="995" t="s">
        <v>194</v>
      </c>
      <c r="DG113" s="995" t="s">
        <v>194</v>
      </c>
      <c r="DH113" s="995" t="s">
        <v>194</v>
      </c>
      <c r="DI113" s="995" t="s">
        <v>194</v>
      </c>
      <c r="DJ113" s="995" t="s">
        <v>194</v>
      </c>
      <c r="DK113" s="995" t="s">
        <v>194</v>
      </c>
      <c r="DL113" s="995" t="s">
        <v>194</v>
      </c>
      <c r="DM113" s="995" t="s">
        <v>194</v>
      </c>
      <c r="DN113" s="995" t="s">
        <v>194</v>
      </c>
      <c r="DO113" s="995" t="s">
        <v>194</v>
      </c>
      <c r="DP113" s="995" t="s">
        <v>194</v>
      </c>
      <c r="DQ113" s="995" t="s">
        <v>194</v>
      </c>
      <c r="DR113" s="995" t="s">
        <v>194</v>
      </c>
      <c r="DS113" s="995" t="s">
        <v>194</v>
      </c>
      <c r="DT113" s="995" t="s">
        <v>194</v>
      </c>
    </row>
    <row r="114" spans="1:124">
      <c r="A114" s="42" t="s">
        <v>92</v>
      </c>
      <c r="B114" s="42" t="s">
        <v>283</v>
      </c>
      <c r="C114" s="42" t="s">
        <v>284</v>
      </c>
      <c r="D114" s="42">
        <v>203303</v>
      </c>
      <c r="E114" s="42" t="s">
        <v>288</v>
      </c>
      <c r="F114" s="42" t="s">
        <v>149</v>
      </c>
      <c r="G114" s="42" t="s">
        <v>150</v>
      </c>
      <c r="H114" s="43" t="s">
        <v>150</v>
      </c>
      <c r="I114" s="44">
        <v>23</v>
      </c>
      <c r="J114" s="45">
        <v>132333.04560000001</v>
      </c>
      <c r="K114" s="46">
        <v>8311.8162520000005</v>
      </c>
      <c r="L114" s="47">
        <v>140644.861852</v>
      </c>
      <c r="M114" s="48">
        <v>2819422</v>
      </c>
      <c r="N114" s="49">
        <v>1964869</v>
      </c>
      <c r="O114" s="49">
        <v>854553</v>
      </c>
      <c r="P114" s="49">
        <v>0</v>
      </c>
      <c r="Q114" s="50">
        <v>6401.7060138248798</v>
      </c>
      <c r="R114" s="51">
        <v>3749.73774392522</v>
      </c>
      <c r="S114" s="49">
        <v>29778.0800484395</v>
      </c>
      <c r="T114" s="49">
        <v>1011.19608043901</v>
      </c>
      <c r="U114" s="49">
        <f>IFERROR(INDEX('Rentabilidad datos'!$N$2:$N$61,MATCH($C114,'Rentabilidad datos'!$C$2:$C$61,0)),"")</f>
        <v>34539.013872803756</v>
      </c>
      <c r="V114" s="50">
        <f>IFERROR(INDEX('Rentabilidad datos'!$O$2:$O$61,MATCH($C114,'Rentabilidad datos'!$C$2:$C$61,0)),"")</f>
        <v>1644.7149463239884</v>
      </c>
      <c r="W114" s="51">
        <f>IFERROR(INDEX('Rentabilidad datos'!$M$2:$M$61,MATCH($C114,'Rentabilidad datos'!$C$2:$C$61,0)),"")</f>
        <v>2501.9736837243272</v>
      </c>
      <c r="X114" s="52">
        <f>IFERROR(INDEX('Rentabilidad datos'!$P$2:$P$61,MATCH($C114,'Rentabilidad datos'!$C$2:$C$61,0)),"")</f>
        <v>0.6573670047063559</v>
      </c>
      <c r="Y114" s="43" t="s">
        <v>211</v>
      </c>
      <c r="Z114" s="53">
        <v>55.5161290322581</v>
      </c>
      <c r="AA114" s="43">
        <v>1</v>
      </c>
      <c r="AB114" s="54">
        <v>0.76177954204798004</v>
      </c>
      <c r="AC114" s="55">
        <v>0.23822045795201996</v>
      </c>
      <c r="AD114" s="752" t="e">
        <f>_xlfn.XLOOKUP(Table1[[#This Row],[Ruta]],#REF!,#REF!)</f>
        <v>#REF!</v>
      </c>
      <c r="AE114" s="752" t="e">
        <f>_xlfn.XLOOKUP(Table1[[#This Row],[Ruta]],#REF!,#REF!)</f>
        <v>#REF!</v>
      </c>
      <c r="AF114" s="752" t="e">
        <f>_xlfn.XLOOKUP(Table1[[#This Row],[Ruta]],#REF!,#REF!)</f>
        <v>#REF!</v>
      </c>
      <c r="AG114" s="752" t="e">
        <f>_xlfn.XLOOKUP(Table1[[#This Row],[Ruta]],#REF!,#REF!)</f>
        <v>#REF!</v>
      </c>
      <c r="AH114" s="52">
        <v>0.69690489752864238</v>
      </c>
      <c r="AI114" s="52">
        <v>0.30309510247135762</v>
      </c>
      <c r="AJ114" s="55">
        <v>0</v>
      </c>
      <c r="AK114" s="56">
        <v>24094</v>
      </c>
      <c r="AL114" s="44">
        <v>12391</v>
      </c>
      <c r="AM114" s="54">
        <v>0.51427741346393296</v>
      </c>
      <c r="AN114" s="55">
        <v>0.73696442291874298</v>
      </c>
      <c r="AO114" s="56">
        <v>5365.4208058041904</v>
      </c>
      <c r="AP114" s="48">
        <v>2682.7104029020952</v>
      </c>
      <c r="AQ114" s="55">
        <v>0.62562091819133792</v>
      </c>
      <c r="AR114" s="51">
        <v>2778340.41</v>
      </c>
      <c r="AS114" s="49">
        <v>601523.90611817501</v>
      </c>
      <c r="AT114" s="55">
        <v>0.21650475368429564</v>
      </c>
      <c r="AU114" s="51">
        <v>422692.47456952854</v>
      </c>
      <c r="AV114" s="52">
        <v>1.9228680673120573E-3</v>
      </c>
      <c r="AW114" s="44">
        <v>177</v>
      </c>
      <c r="AX114" s="51">
        <v>224.22245258655499</v>
      </c>
      <c r="AY114" s="49">
        <v>281.804910356444</v>
      </c>
      <c r="AZ114" s="49">
        <v>57.582457769889004</v>
      </c>
      <c r="BA114" s="42" t="s">
        <v>150</v>
      </c>
      <c r="BB114" s="50">
        <v>250690.6768904604</v>
      </c>
      <c r="BC114" s="57">
        <v>673383.15145998891</v>
      </c>
      <c r="BD114" s="42" t="s">
        <v>150</v>
      </c>
      <c r="BE114" s="46">
        <v>55.5161290322581</v>
      </c>
      <c r="BF114" s="46">
        <v>53.584294640711398</v>
      </c>
      <c r="BG114" s="42" t="s">
        <v>150</v>
      </c>
      <c r="BH114" s="52">
        <v>0.51427741346393296</v>
      </c>
      <c r="BI114" s="52">
        <v>0.84596921589179896</v>
      </c>
      <c r="BJ114" s="42" t="s">
        <v>152</v>
      </c>
      <c r="BK114" s="46">
        <v>324.06650196313399</v>
      </c>
      <c r="BL114" s="46">
        <v>363.16023511435702</v>
      </c>
      <c r="BM114" s="42" t="s">
        <v>152</v>
      </c>
      <c r="BN114" s="48">
        <v>1</v>
      </c>
      <c r="BO114" s="42" t="s">
        <v>155</v>
      </c>
      <c r="BP114" s="42" t="s">
        <v>152</v>
      </c>
      <c r="BQ114" s="46">
        <v>2305.0836777351301</v>
      </c>
      <c r="BR114" s="46">
        <v>2366</v>
      </c>
      <c r="BS114" s="46">
        <v>153432</v>
      </c>
      <c r="BT114" s="46">
        <v>40307</v>
      </c>
      <c r="BU114" s="46">
        <v>3.8065844642369813</v>
      </c>
      <c r="BV114" s="46">
        <v>17.03592561284869</v>
      </c>
      <c r="BW114" s="46">
        <v>4412</v>
      </c>
      <c r="BX114" s="46">
        <v>6840</v>
      </c>
      <c r="BY114" s="46">
        <v>11252</v>
      </c>
      <c r="BZ114" s="46">
        <v>0.27915746644503436</v>
      </c>
      <c r="CA114" s="46">
        <v>0.10945989530354532</v>
      </c>
      <c r="CB114" s="46">
        <v>0.16969757114148909</v>
      </c>
      <c r="CC114" s="46">
        <v>0.22507256804029083</v>
      </c>
      <c r="CD114" s="46">
        <v>9.6856625400054575E-2</v>
      </c>
      <c r="CE114" s="46">
        <v>0</v>
      </c>
      <c r="CF114" s="46">
        <v>0.39891334011462032</v>
      </c>
      <c r="CG114" s="46">
        <v>0</v>
      </c>
      <c r="CH114" s="46">
        <v>0</v>
      </c>
      <c r="CI114" s="46">
        <v>5.3639397257416963</v>
      </c>
      <c r="CJ114" s="46">
        <v>0.40408780436936231</v>
      </c>
      <c r="CK114">
        <v>546</v>
      </c>
      <c r="CL114">
        <v>1047.17</v>
      </c>
      <c r="CM114">
        <f t="shared" si="14"/>
        <v>501.17000000000007</v>
      </c>
      <c r="CN114">
        <v>14.42</v>
      </c>
      <c r="CO114">
        <v>9.4499999999999993</v>
      </c>
      <c r="CP114">
        <f t="shared" si="15"/>
        <v>-4.9700000000000006</v>
      </c>
      <c r="CQ114">
        <v>677.25</v>
      </c>
      <c r="CR114">
        <v>324.07</v>
      </c>
      <c r="CS114">
        <f t="shared" si="16"/>
        <v>353.18</v>
      </c>
      <c r="CT114" t="s">
        <v>150</v>
      </c>
      <c r="CU114">
        <v>152.61000000000001</v>
      </c>
      <c r="CV114">
        <v>414</v>
      </c>
      <c r="CW114" s="46">
        <v>11252</v>
      </c>
      <c r="CX114" s="46">
        <f t="shared" si="10"/>
        <v>26.672364601682091</v>
      </c>
      <c r="CY114" s="46">
        <v>501.17</v>
      </c>
      <c r="CZ114" s="46">
        <f t="shared" si="11"/>
        <v>27.915746644503436</v>
      </c>
      <c r="DA114" s="46">
        <f t="shared" si="12"/>
        <v>132.93053841914499</v>
      </c>
      <c r="DB114" s="46">
        <v>5424652.0099999998</v>
      </c>
      <c r="DC114" s="46">
        <f t="shared" si="13"/>
        <v>4.7248538711733463</v>
      </c>
      <c r="DD114" s="46">
        <v>192812.64</v>
      </c>
      <c r="DE114" s="995">
        <v>11252</v>
      </c>
      <c r="DF114" s="995">
        <v>26.672000000000001</v>
      </c>
      <c r="DG114" s="995">
        <v>501.2</v>
      </c>
      <c r="DH114" s="995">
        <v>27.916</v>
      </c>
      <c r="DI114" s="995">
        <v>238.792</v>
      </c>
      <c r="DJ114" s="995">
        <v>9744656</v>
      </c>
      <c r="DK114" s="995">
        <v>8.2680000000000007</v>
      </c>
      <c r="DL114" s="995">
        <v>337408.2</v>
      </c>
      <c r="DM114" s="995">
        <v>11252</v>
      </c>
      <c r="DN114" s="995">
        <v>26.672000000000001</v>
      </c>
      <c r="DO114" s="995">
        <v>501.2</v>
      </c>
      <c r="DP114" s="995">
        <v>27.916</v>
      </c>
      <c r="DQ114" s="995">
        <v>238.792</v>
      </c>
      <c r="DR114" s="995">
        <v>9744656</v>
      </c>
      <c r="DS114" s="995">
        <v>8.2680000000000007</v>
      </c>
      <c r="DT114" s="995">
        <v>337408.2</v>
      </c>
    </row>
    <row r="115" spans="1:124">
      <c r="A115" s="42" t="s">
        <v>92</v>
      </c>
      <c r="B115" s="42" t="s">
        <v>283</v>
      </c>
      <c r="C115" s="42" t="s">
        <v>284</v>
      </c>
      <c r="D115" s="42">
        <v>203304</v>
      </c>
      <c r="E115" s="42" t="s">
        <v>289</v>
      </c>
      <c r="F115" s="42" t="s">
        <v>149</v>
      </c>
      <c r="G115" s="42" t="s">
        <v>150</v>
      </c>
      <c r="H115" s="43" t="s">
        <v>150</v>
      </c>
      <c r="I115" s="44">
        <v>23</v>
      </c>
      <c r="J115" s="45">
        <v>117982.788</v>
      </c>
      <c r="K115" s="46">
        <v>6340.1907689999998</v>
      </c>
      <c r="L115" s="47">
        <v>124322.97876899999</v>
      </c>
      <c r="M115" s="48">
        <v>2598977</v>
      </c>
      <c r="N115" s="49">
        <v>1775440</v>
      </c>
      <c r="O115" s="49">
        <v>823537</v>
      </c>
      <c r="P115" s="49">
        <v>0</v>
      </c>
      <c r="Q115" s="50">
        <v>5954.6394700460796</v>
      </c>
      <c r="R115" s="51">
        <v>3749.73774392522</v>
      </c>
      <c r="S115" s="49">
        <v>29778.0800484395</v>
      </c>
      <c r="T115" s="49">
        <v>1011.19608043901</v>
      </c>
      <c r="U115" s="49">
        <f>IFERROR(INDEX('Rentabilidad datos'!$N$2:$N$61,MATCH($C115,'Rentabilidad datos'!$C$2:$C$61,0)),"")</f>
        <v>34539.013872803756</v>
      </c>
      <c r="V115" s="50">
        <f>IFERROR(INDEX('Rentabilidad datos'!$O$2:$O$61,MATCH($C115,'Rentabilidad datos'!$C$2:$C$61,0)),"")</f>
        <v>1644.7149463239884</v>
      </c>
      <c r="W115" s="51">
        <f>IFERROR(INDEX('Rentabilidad datos'!$M$2:$M$61,MATCH($C115,'Rentabilidad datos'!$C$2:$C$61,0)),"")</f>
        <v>2501.9736837243272</v>
      </c>
      <c r="X115" s="52">
        <f>IFERROR(INDEX('Rentabilidad datos'!$P$2:$P$61,MATCH($C115,'Rentabilidad datos'!$C$2:$C$61,0)),"")</f>
        <v>0.6573670047063559</v>
      </c>
      <c r="Y115" s="43" t="s">
        <v>211</v>
      </c>
      <c r="Z115" s="53">
        <v>46.721198156682</v>
      </c>
      <c r="AA115" s="43">
        <v>1</v>
      </c>
      <c r="AB115" s="54">
        <v>0.89097941228414101</v>
      </c>
      <c r="AC115" s="55">
        <v>0.10902058771585897</v>
      </c>
      <c r="AD115" s="752" t="e">
        <f>_xlfn.XLOOKUP(Table1[[#This Row],[Ruta]],#REF!,#REF!)</f>
        <v>#REF!</v>
      </c>
      <c r="AE115" s="752" t="e">
        <f>_xlfn.XLOOKUP(Table1[[#This Row],[Ruta]],#REF!,#REF!)</f>
        <v>#REF!</v>
      </c>
      <c r="AF115" s="752" t="e">
        <f>_xlfn.XLOOKUP(Table1[[#This Row],[Ruta]],#REF!,#REF!)</f>
        <v>#REF!</v>
      </c>
      <c r="AG115" s="752" t="e">
        <f>_xlfn.XLOOKUP(Table1[[#This Row],[Ruta]],#REF!,#REF!)</f>
        <v>#REF!</v>
      </c>
      <c r="AH115" s="52">
        <v>0.68313032396977735</v>
      </c>
      <c r="AI115" s="52">
        <v>0.31686967603022265</v>
      </c>
      <c r="AJ115" s="55">
        <v>0</v>
      </c>
      <c r="AK115" s="56">
        <v>20277</v>
      </c>
      <c r="AL115" s="44">
        <v>10009</v>
      </c>
      <c r="AM115" s="54">
        <v>0.493613453666716</v>
      </c>
      <c r="AN115" s="55">
        <v>0.73696442291874298</v>
      </c>
      <c r="AO115" s="56">
        <v>4934.4276035233497</v>
      </c>
      <c r="AP115" s="48">
        <v>2467.2138017616749</v>
      </c>
      <c r="AQ115" s="55">
        <v>0.61528893829272946</v>
      </c>
      <c r="AR115" s="51">
        <v>2584313.5299999998</v>
      </c>
      <c r="AS115" s="49">
        <v>637032.07206468505</v>
      </c>
      <c r="AT115" s="55">
        <v>0.24649953059862867</v>
      </c>
      <c r="AU115" s="51">
        <v>447644.15874815721</v>
      </c>
      <c r="AV115" s="52">
        <v>2.0363756398838243E-3</v>
      </c>
      <c r="AW115" s="44">
        <v>165</v>
      </c>
      <c r="AX115" s="51">
        <v>258.198973923469</v>
      </c>
      <c r="AY115" s="49">
        <v>281.804910356444</v>
      </c>
      <c r="AZ115" s="49">
        <v>23.605936432975</v>
      </c>
      <c r="BA115" s="42" t="s">
        <v>150</v>
      </c>
      <c r="BB115" s="50">
        <v>83014.422455389446</v>
      </c>
      <c r="BC115" s="57">
        <v>530658.58120354661</v>
      </c>
      <c r="BD115" s="42" t="s">
        <v>150</v>
      </c>
      <c r="BE115" s="46">
        <v>46.721198156682</v>
      </c>
      <c r="BF115" s="46">
        <v>53.584294640711398</v>
      </c>
      <c r="BG115" s="42" t="s">
        <v>152</v>
      </c>
      <c r="BH115" s="52">
        <v>0.493613453666716</v>
      </c>
      <c r="BI115" s="52">
        <v>0.84596921589179896</v>
      </c>
      <c r="BJ115" s="42" t="s">
        <v>152</v>
      </c>
      <c r="BK115" s="46">
        <v>286.458476426267</v>
      </c>
      <c r="BL115" s="46">
        <v>363.16023511435702</v>
      </c>
      <c r="BM115" s="42" t="s">
        <v>152</v>
      </c>
      <c r="BN115" s="48">
        <v>0</v>
      </c>
      <c r="BO115" s="42" t="s">
        <v>155</v>
      </c>
      <c r="BP115" s="42" t="s">
        <v>152</v>
      </c>
      <c r="BQ115" s="46">
        <v>4733.8894103257799</v>
      </c>
      <c r="BR115" s="46">
        <v>1320</v>
      </c>
      <c r="BS115" s="46">
        <v>99591</v>
      </c>
      <c r="BT115" s="46">
        <v>26472</v>
      </c>
      <c r="BU115" s="46">
        <v>3.7621260199456028</v>
      </c>
      <c r="BV115" s="46">
        <v>20.054545454545455</v>
      </c>
      <c r="BW115" s="46">
        <v>813</v>
      </c>
      <c r="BX115" s="46">
        <v>4537</v>
      </c>
      <c r="BY115" s="46">
        <v>5350</v>
      </c>
      <c r="BZ115" s="46">
        <v>0.20210033242671502</v>
      </c>
      <c r="CA115" s="46">
        <v>3.0711695376246597E-2</v>
      </c>
      <c r="CB115" s="46">
        <v>0.17138863705046842</v>
      </c>
      <c r="CC115" s="46">
        <v>0.45550015110305231</v>
      </c>
      <c r="CD115" s="46">
        <v>9.3646116651556366E-2</v>
      </c>
      <c r="CE115" s="46">
        <v>7.3700513750377755E-2</v>
      </c>
      <c r="CF115" s="46">
        <v>0.17505288606829852</v>
      </c>
      <c r="CG115" s="46">
        <v>0</v>
      </c>
      <c r="CH115" s="46">
        <v>0</v>
      </c>
      <c r="CI115" s="46">
        <v>4.2574128184273681</v>
      </c>
      <c r="CJ115" s="46">
        <v>0.33135524294363949</v>
      </c>
      <c r="CK115">
        <v>363</v>
      </c>
      <c r="CL115">
        <v>645.17999999999995</v>
      </c>
      <c r="CM115">
        <f t="shared" si="14"/>
        <v>282.17999999999995</v>
      </c>
      <c r="CN115">
        <v>9.4600000000000009</v>
      </c>
      <c r="CO115">
        <v>9.4499999999999993</v>
      </c>
      <c r="CP115">
        <f t="shared" si="15"/>
        <v>-1.0000000000001563E-2</v>
      </c>
      <c r="CQ115">
        <v>677.25</v>
      </c>
      <c r="CR115">
        <v>286.45999999999998</v>
      </c>
      <c r="CS115">
        <f t="shared" si="16"/>
        <v>390.79</v>
      </c>
      <c r="CT115" t="s">
        <v>150</v>
      </c>
      <c r="CU115">
        <v>100.15</v>
      </c>
      <c r="CV115">
        <v>129</v>
      </c>
      <c r="CW115" s="46">
        <v>5350</v>
      </c>
      <c r="CX115" s="46">
        <f t="shared" si="10"/>
        <v>19.144076760350558</v>
      </c>
      <c r="CY115" s="46">
        <v>282.18</v>
      </c>
      <c r="CZ115" s="46">
        <f t="shared" si="11"/>
        <v>20.210033242671503</v>
      </c>
      <c r="DA115" s="46">
        <f t="shared" si="12"/>
        <v>81.30633942060642</v>
      </c>
      <c r="DB115" s="46">
        <v>2175284.44</v>
      </c>
      <c r="DC115" s="46">
        <f t="shared" si="13"/>
        <v>3.9927263702344828</v>
      </c>
      <c r="DD115" s="46">
        <v>106822.12</v>
      </c>
      <c r="DE115" s="995">
        <v>5350</v>
      </c>
      <c r="DF115" s="995">
        <v>19.143999999999998</v>
      </c>
      <c r="DG115" s="995">
        <v>282.2</v>
      </c>
      <c r="DH115" s="995">
        <v>20.21</v>
      </c>
      <c r="DI115" s="995">
        <v>156.833</v>
      </c>
      <c r="DJ115" s="995">
        <v>4195934</v>
      </c>
      <c r="DK115" s="995">
        <v>7.6539999999999999</v>
      </c>
      <c r="DL115" s="995">
        <v>204788.2</v>
      </c>
      <c r="DM115" s="995">
        <v>5350</v>
      </c>
      <c r="DN115" s="995">
        <v>19.143999999999998</v>
      </c>
      <c r="DO115" s="995">
        <v>282.2</v>
      </c>
      <c r="DP115" s="995">
        <v>20.21</v>
      </c>
      <c r="DQ115" s="995">
        <v>156.833</v>
      </c>
      <c r="DR115" s="995">
        <v>4195934</v>
      </c>
      <c r="DS115" s="995">
        <v>7.6539999999999999</v>
      </c>
      <c r="DT115" s="995">
        <v>204788.2</v>
      </c>
    </row>
    <row r="116" spans="1:124">
      <c r="A116" s="42" t="s">
        <v>92</v>
      </c>
      <c r="B116" s="42" t="s">
        <v>283</v>
      </c>
      <c r="C116" s="42" t="s">
        <v>284</v>
      </c>
      <c r="D116" s="42">
        <v>203305</v>
      </c>
      <c r="E116" s="42" t="s">
        <v>290</v>
      </c>
      <c r="F116" s="42" t="s">
        <v>149</v>
      </c>
      <c r="G116" s="42" t="s">
        <v>150</v>
      </c>
      <c r="H116" s="43" t="s">
        <v>150</v>
      </c>
      <c r="I116" s="44">
        <v>23</v>
      </c>
      <c r="J116" s="45">
        <v>133107.9736</v>
      </c>
      <c r="K116" s="46">
        <v>10170.591391</v>
      </c>
      <c r="L116" s="47">
        <v>143278.56499099999</v>
      </c>
      <c r="M116" s="48">
        <v>3089134</v>
      </c>
      <c r="N116" s="49">
        <v>2027167</v>
      </c>
      <c r="O116" s="49">
        <v>1061967</v>
      </c>
      <c r="P116" s="49">
        <v>0</v>
      </c>
      <c r="Q116" s="50">
        <v>7178.5020000000004</v>
      </c>
      <c r="R116" s="51">
        <v>3749.73774392522</v>
      </c>
      <c r="S116" s="49">
        <v>29778.0800484395</v>
      </c>
      <c r="T116" s="49">
        <v>1011.19608043901</v>
      </c>
      <c r="U116" s="49">
        <f>IFERROR(INDEX('Rentabilidad datos'!$N$2:$N$61,MATCH($C116,'Rentabilidad datos'!$C$2:$C$61,0)),"")</f>
        <v>34539.013872803756</v>
      </c>
      <c r="V116" s="50">
        <f>IFERROR(INDEX('Rentabilidad datos'!$O$2:$O$61,MATCH($C116,'Rentabilidad datos'!$C$2:$C$61,0)),"")</f>
        <v>1644.7149463239884</v>
      </c>
      <c r="W116" s="51">
        <f>IFERROR(INDEX('Rentabilidad datos'!$M$2:$M$61,MATCH($C116,'Rentabilidad datos'!$C$2:$C$61,0)),"")</f>
        <v>2501.9736837243272</v>
      </c>
      <c r="X116" s="52">
        <f>IFERROR(INDEX('Rentabilidad datos'!$P$2:$P$61,MATCH($C116,'Rentabilidad datos'!$C$2:$C$61,0)),"")</f>
        <v>0.6573670047063559</v>
      </c>
      <c r="Y116" s="43" t="s">
        <v>211</v>
      </c>
      <c r="Z116" s="53">
        <v>53.3720930232558</v>
      </c>
      <c r="AA116" s="43">
        <v>1</v>
      </c>
      <c r="AB116" s="54">
        <v>0.97614185723248004</v>
      </c>
      <c r="AC116" s="55">
        <v>2.385814276751996E-2</v>
      </c>
      <c r="AD116" s="752" t="e">
        <f>_xlfn.XLOOKUP(Table1[[#This Row],[Ruta]],#REF!,#REF!)</f>
        <v>#REF!</v>
      </c>
      <c r="AE116" s="752" t="e">
        <f>_xlfn.XLOOKUP(Table1[[#This Row],[Ruta]],#REF!,#REF!)</f>
        <v>#REF!</v>
      </c>
      <c r="AF116" s="752" t="e">
        <f>_xlfn.XLOOKUP(Table1[[#This Row],[Ruta]],#REF!,#REF!)</f>
        <v>#REF!</v>
      </c>
      <c r="AG116" s="752" t="e">
        <f>_xlfn.XLOOKUP(Table1[[#This Row],[Ruta]],#REF!,#REF!)</f>
        <v>#REF!</v>
      </c>
      <c r="AH116" s="52">
        <v>0.6562250132237708</v>
      </c>
      <c r="AI116" s="52">
        <v>0.3437749867762292</v>
      </c>
      <c r="AJ116" s="55">
        <v>0</v>
      </c>
      <c r="AK116" s="56">
        <v>22950</v>
      </c>
      <c r="AL116" s="44">
        <v>15471</v>
      </c>
      <c r="AM116" s="54">
        <v>0.67411764705882404</v>
      </c>
      <c r="AN116" s="55">
        <v>0.73696442291874298</v>
      </c>
      <c r="AO116" s="56">
        <v>1442.3335059851499</v>
      </c>
      <c r="AP116" s="48">
        <v>721.16675299257497</v>
      </c>
      <c r="AQ116" s="55">
        <v>0.70554103498878318</v>
      </c>
      <c r="AR116" s="51">
        <v>3086755.86</v>
      </c>
      <c r="AS116" s="49">
        <v>143886.3487064185</v>
      </c>
      <c r="AT116" s="55">
        <v>4.661410076870106E-2</v>
      </c>
      <c r="AU116" s="51">
        <v>101109.32611802385</v>
      </c>
      <c r="AV116" s="52">
        <v>4.5995589275107609E-4</v>
      </c>
      <c r="AW116" s="44">
        <v>394</v>
      </c>
      <c r="AX116" s="51">
        <v>199.518832654644</v>
      </c>
      <c r="AY116" s="49">
        <v>281.804910356444</v>
      </c>
      <c r="AZ116" s="49">
        <v>82.286077701799996</v>
      </c>
      <c r="BA116" s="42" t="s">
        <v>150</v>
      </c>
      <c r="BB116" s="50">
        <v>447287.10285457096</v>
      </c>
      <c r="BC116" s="57">
        <v>548396.42897259479</v>
      </c>
      <c r="BD116" s="42" t="s">
        <v>150</v>
      </c>
      <c r="BE116" s="46">
        <v>53.3720930232558</v>
      </c>
      <c r="BF116" s="46">
        <v>53.584294640711398</v>
      </c>
      <c r="BG116" s="42" t="s">
        <v>152</v>
      </c>
      <c r="BH116" s="52">
        <v>0.67411764705882404</v>
      </c>
      <c r="BI116" s="52">
        <v>0.84596921589179896</v>
      </c>
      <c r="BJ116" s="42" t="s">
        <v>152</v>
      </c>
      <c r="BK116" s="46">
        <v>333.20596509534897</v>
      </c>
      <c r="BL116" s="46">
        <v>363.16023511435702</v>
      </c>
      <c r="BM116" s="42" t="s">
        <v>152</v>
      </c>
      <c r="BN116" s="48">
        <v>0</v>
      </c>
      <c r="BO116" s="42" t="s">
        <v>155</v>
      </c>
      <c r="BP116" s="42" t="s">
        <v>152</v>
      </c>
      <c r="BQ116" s="46">
        <v>1633.64517283548</v>
      </c>
      <c r="BR116" s="46">
        <v>273</v>
      </c>
      <c r="BS116" s="46">
        <v>20726</v>
      </c>
      <c r="BT116" s="46">
        <v>5880</v>
      </c>
      <c r="BU116" s="46">
        <v>3.5248299319727892</v>
      </c>
      <c r="BV116" s="46">
        <v>21.53846153846154</v>
      </c>
      <c r="BW116" s="46">
        <v>1132</v>
      </c>
      <c r="BX116" s="46">
        <v>3495</v>
      </c>
      <c r="BY116" s="46">
        <v>4627</v>
      </c>
      <c r="BZ116" s="46">
        <v>0.78690476190476188</v>
      </c>
      <c r="CA116" s="46">
        <v>0.19251700680272107</v>
      </c>
      <c r="CB116" s="46">
        <v>0.59438775510204078</v>
      </c>
      <c r="CC116" s="46">
        <v>0.21309523809523809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4.5836147833638909</v>
      </c>
      <c r="CJ116" s="46">
        <v>0.48248576666988313</v>
      </c>
      <c r="CK116">
        <v>372</v>
      </c>
      <c r="CL116">
        <v>427.49</v>
      </c>
      <c r="CM116">
        <f t="shared" si="14"/>
        <v>55.490000000000009</v>
      </c>
      <c r="CN116">
        <v>9.09</v>
      </c>
      <c r="CO116">
        <v>9.4499999999999993</v>
      </c>
      <c r="CP116">
        <f t="shared" si="15"/>
        <v>0.35999999999999943</v>
      </c>
      <c r="CQ116">
        <v>677.25</v>
      </c>
      <c r="CR116">
        <v>333.21</v>
      </c>
      <c r="CS116">
        <f t="shared" si="16"/>
        <v>344.04</v>
      </c>
      <c r="CT116" t="s">
        <v>152</v>
      </c>
      <c r="CU116">
        <v>96.14</v>
      </c>
      <c r="CV116">
        <v>351</v>
      </c>
      <c r="CW116" s="46">
        <v>4627</v>
      </c>
      <c r="CX116" s="46">
        <f t="shared" si="10"/>
        <v>77.746768707483</v>
      </c>
      <c r="CY116" s="46">
        <v>55.49</v>
      </c>
      <c r="CZ116" s="46">
        <f t="shared" si="11"/>
        <v>78.69047619047619</v>
      </c>
      <c r="DA116" s="46">
        <f t="shared" si="12"/>
        <v>175.04988299196864</v>
      </c>
      <c r="DB116" s="46">
        <v>1039006.83</v>
      </c>
      <c r="DC116" s="46">
        <f t="shared" si="13"/>
        <v>7.839816089320343</v>
      </c>
      <c r="DD116" s="46">
        <v>46533.15</v>
      </c>
      <c r="DE116" s="995">
        <v>4627</v>
      </c>
      <c r="DF116" s="995">
        <v>77.792000000000002</v>
      </c>
      <c r="DG116" s="995">
        <v>52.8</v>
      </c>
      <c r="DH116" s="995">
        <v>78.69</v>
      </c>
      <c r="DI116" s="995">
        <v>546.06299999999999</v>
      </c>
      <c r="DJ116" s="995">
        <v>3239687</v>
      </c>
      <c r="DK116" s="995">
        <v>24.280999999999999</v>
      </c>
      <c r="DL116" s="995">
        <v>144054.6</v>
      </c>
      <c r="DM116" s="995">
        <v>4627</v>
      </c>
      <c r="DN116" s="995">
        <v>77.855000000000004</v>
      </c>
      <c r="DO116" s="995">
        <v>49.1</v>
      </c>
      <c r="DP116" s="995">
        <v>78.69</v>
      </c>
      <c r="DQ116" s="995">
        <v>542.15300000000002</v>
      </c>
      <c r="DR116" s="995">
        <v>3214488</v>
      </c>
      <c r="DS116" s="995">
        <v>24.12</v>
      </c>
      <c r="DT116" s="995">
        <v>143010.70000000001</v>
      </c>
    </row>
    <row r="117" spans="1:124">
      <c r="A117" s="42" t="s">
        <v>92</v>
      </c>
      <c r="B117" s="42" t="s">
        <v>283</v>
      </c>
      <c r="C117" s="42" t="s">
        <v>284</v>
      </c>
      <c r="D117" s="42">
        <v>203307</v>
      </c>
      <c r="E117" s="42" t="s">
        <v>291</v>
      </c>
      <c r="F117" s="42" t="s">
        <v>149</v>
      </c>
      <c r="G117" s="42" t="s">
        <v>150</v>
      </c>
      <c r="H117" s="43" t="s">
        <v>150</v>
      </c>
      <c r="I117" s="44">
        <v>23</v>
      </c>
      <c r="J117" s="45">
        <v>46471.023200000003</v>
      </c>
      <c r="K117" s="46">
        <v>2802.0434059999998</v>
      </c>
      <c r="L117" s="47">
        <v>49273.066606</v>
      </c>
      <c r="M117" s="48">
        <v>997813</v>
      </c>
      <c r="N117" s="49">
        <v>698586</v>
      </c>
      <c r="O117" s="49">
        <v>299227</v>
      </c>
      <c r="P117" s="49">
        <v>0</v>
      </c>
      <c r="Q117" s="50">
        <v>2333.2332943925198</v>
      </c>
      <c r="R117" s="51">
        <v>3749.73774392522</v>
      </c>
      <c r="S117" s="49">
        <v>29778.0800484395</v>
      </c>
      <c r="T117" s="49">
        <v>1011.19608043901</v>
      </c>
      <c r="U117" s="49">
        <f>IFERROR(INDEX('Rentabilidad datos'!$N$2:$N$61,MATCH($C117,'Rentabilidad datos'!$C$2:$C$61,0)),"")</f>
        <v>34539.013872803756</v>
      </c>
      <c r="V117" s="50">
        <f>IFERROR(INDEX('Rentabilidad datos'!$O$2:$O$61,MATCH($C117,'Rentabilidad datos'!$C$2:$C$61,0)),"")</f>
        <v>1644.7149463239884</v>
      </c>
      <c r="W117" s="51">
        <f>IFERROR(INDEX('Rentabilidad datos'!$M$2:$M$61,MATCH($C117,'Rentabilidad datos'!$C$2:$C$61,0)),"")</f>
        <v>2501.9736837243272</v>
      </c>
      <c r="X117" s="52">
        <f>IFERROR(INDEX('Rentabilidad datos'!$P$2:$P$61,MATCH($C117,'Rentabilidad datos'!$C$2:$C$61,0)),"")</f>
        <v>0.6573670047063559</v>
      </c>
      <c r="Y117" s="43" t="s">
        <v>211</v>
      </c>
      <c r="Z117" s="53">
        <v>52.135514018691602</v>
      </c>
      <c r="AA117" s="43">
        <v>1</v>
      </c>
      <c r="AB117" s="54">
        <v>0.81775142236070286</v>
      </c>
      <c r="AC117" s="55">
        <v>0.18224857763929714</v>
      </c>
      <c r="AD117" s="752" t="e">
        <f>_xlfn.XLOOKUP(Table1[[#This Row],[Ruta]],#REF!,#REF!)</f>
        <v>#REF!</v>
      </c>
      <c r="AE117" s="752" t="e">
        <f>_xlfn.XLOOKUP(Table1[[#This Row],[Ruta]],#REF!,#REF!)</f>
        <v>#REF!</v>
      </c>
      <c r="AF117" s="752" t="e">
        <f>_xlfn.XLOOKUP(Table1[[#This Row],[Ruta]],#REF!,#REF!)</f>
        <v>#REF!</v>
      </c>
      <c r="AG117" s="752" t="e">
        <f>_xlfn.XLOOKUP(Table1[[#This Row],[Ruta]],#REF!,#REF!)</f>
        <v>#REF!</v>
      </c>
      <c r="AH117" s="52">
        <v>0.70011715622065462</v>
      </c>
      <c r="AI117" s="52">
        <v>0.29988284377934543</v>
      </c>
      <c r="AJ117" s="55">
        <v>0</v>
      </c>
      <c r="AK117" s="56">
        <v>22314</v>
      </c>
      <c r="AL117" s="44">
        <v>3737</v>
      </c>
      <c r="AM117" s="54">
        <v>0.16747333512592999</v>
      </c>
      <c r="AN117" s="55">
        <v>0.73696442291874298</v>
      </c>
      <c r="AO117" s="56">
        <v>12707.6241330088</v>
      </c>
      <c r="AP117" s="48">
        <v>6353.8120665043998</v>
      </c>
      <c r="AQ117" s="55">
        <v>0.45221887902233576</v>
      </c>
      <c r="AR117" s="51">
        <v>998623.85</v>
      </c>
      <c r="AS117" s="49">
        <v>1697904.2729539999</v>
      </c>
      <c r="AT117" s="55">
        <v>1.7002440638224292</v>
      </c>
      <c r="AU117" s="51">
        <v>1193121.9215352437</v>
      </c>
      <c r="AV117" s="52">
        <v>5.4276245293142719E-3</v>
      </c>
      <c r="AW117" s="44">
        <v>26</v>
      </c>
      <c r="AX117" s="51">
        <v>267.22607706716599</v>
      </c>
      <c r="AY117" s="49">
        <v>281.804910356444</v>
      </c>
      <c r="AZ117" s="49">
        <v>14.578833289278009</v>
      </c>
      <c r="BA117" s="42" t="s">
        <v>150</v>
      </c>
      <c r="BB117" s="50">
        <v>19142.008108822032</v>
      </c>
      <c r="BC117" s="57">
        <v>1212263.9296440657</v>
      </c>
      <c r="BD117" s="42" t="s">
        <v>150</v>
      </c>
      <c r="BE117" s="46">
        <v>52.135514018691602</v>
      </c>
      <c r="BF117" s="46">
        <v>53.584294640711398</v>
      </c>
      <c r="BG117" s="42" t="s">
        <v>152</v>
      </c>
      <c r="BH117" s="52">
        <v>0.16747333512592999</v>
      </c>
      <c r="BI117" s="52">
        <v>0.84596921589179896</v>
      </c>
      <c r="BJ117" s="42" t="s">
        <v>152</v>
      </c>
      <c r="BK117" s="46">
        <v>115.123987397196</v>
      </c>
      <c r="BL117" s="46">
        <v>363.16023511435702</v>
      </c>
      <c r="BM117" s="42" t="s">
        <v>152</v>
      </c>
      <c r="BN117" s="48">
        <v>0</v>
      </c>
      <c r="BO117" s="42" t="s">
        <v>155</v>
      </c>
      <c r="BP117" s="42" t="s">
        <v>152</v>
      </c>
      <c r="BQ117" s="46">
        <v>10024.478785625201</v>
      </c>
      <c r="BR117" s="46">
        <v>1389</v>
      </c>
      <c r="BS117" s="46">
        <v>87025</v>
      </c>
      <c r="BT117" s="46">
        <v>23116</v>
      </c>
      <c r="BU117" s="46">
        <v>3.7647084270635056</v>
      </c>
      <c r="BV117" s="46">
        <v>16.642188624910006</v>
      </c>
      <c r="BW117" s="46">
        <v>498</v>
      </c>
      <c r="BX117" s="46">
        <v>4131</v>
      </c>
      <c r="BY117" s="46">
        <v>4629</v>
      </c>
      <c r="BZ117" s="46">
        <v>0.20025090846167157</v>
      </c>
      <c r="CA117" s="46">
        <v>2.1543519640076132E-2</v>
      </c>
      <c r="CB117" s="46">
        <v>0.17870738882159534</v>
      </c>
      <c r="CC117" s="46">
        <v>0.17130991521024397</v>
      </c>
      <c r="CD117" s="46">
        <v>7.4839937705485377E-3</v>
      </c>
      <c r="CE117" s="46">
        <v>9.2706350579685071E-2</v>
      </c>
      <c r="CF117" s="46">
        <v>0.52785949126146392</v>
      </c>
      <c r="CG117" s="46">
        <v>3.8934071638691817E-4</v>
      </c>
      <c r="CH117" s="46">
        <v>0</v>
      </c>
      <c r="CI117" s="46">
        <v>5.3547831083022128</v>
      </c>
      <c r="CJ117" s="46">
        <v>0.32174662453318015</v>
      </c>
      <c r="CK117">
        <v>468</v>
      </c>
      <c r="CL117">
        <v>530.71</v>
      </c>
      <c r="CM117">
        <f t="shared" si="14"/>
        <v>62.710000000000036</v>
      </c>
      <c r="CN117">
        <v>12.2</v>
      </c>
      <c r="CO117">
        <v>9.4499999999999993</v>
      </c>
      <c r="CP117">
        <f t="shared" si="15"/>
        <v>-2.75</v>
      </c>
      <c r="CQ117">
        <v>677.25</v>
      </c>
      <c r="CR117">
        <v>115.12</v>
      </c>
      <c r="CS117">
        <f t="shared" si="16"/>
        <v>562.13</v>
      </c>
      <c r="CT117" t="s">
        <v>150</v>
      </c>
      <c r="CU117">
        <v>129.07</v>
      </c>
      <c r="CV117">
        <v>303</v>
      </c>
      <c r="CW117" s="46">
        <v>4629</v>
      </c>
      <c r="CX117" s="46">
        <f t="shared" si="10"/>
        <v>19.753806887004671</v>
      </c>
      <c r="CY117" s="46">
        <v>62.71</v>
      </c>
      <c r="CZ117" s="46">
        <f t="shared" si="11"/>
        <v>20.025090846167156</v>
      </c>
      <c r="DA117" s="46">
        <f t="shared" si="12"/>
        <v>95.078619560795232</v>
      </c>
      <c r="DB117" s="46">
        <v>2203799.75</v>
      </c>
      <c r="DC117" s="46">
        <f t="shared" si="13"/>
        <v>4.1695141791756321</v>
      </c>
      <c r="DD117" s="46">
        <v>96643.96</v>
      </c>
      <c r="DE117" s="995">
        <v>4629</v>
      </c>
      <c r="DF117" s="995">
        <v>19.754000000000001</v>
      </c>
      <c r="DG117" s="995">
        <v>62.7</v>
      </c>
      <c r="DH117" s="995">
        <v>20.024999999999999</v>
      </c>
      <c r="DI117" s="995">
        <v>189.96</v>
      </c>
      <c r="DJ117" s="995">
        <v>4403017</v>
      </c>
      <c r="DK117" s="995">
        <v>8.2569999999999997</v>
      </c>
      <c r="DL117" s="995">
        <v>191380.6</v>
      </c>
      <c r="DM117" s="995">
        <v>4629</v>
      </c>
      <c r="DN117" s="995">
        <v>19.754000000000001</v>
      </c>
      <c r="DO117" s="995">
        <v>62.7</v>
      </c>
      <c r="DP117" s="995">
        <v>20.024999999999999</v>
      </c>
      <c r="DQ117" s="995">
        <v>189.96</v>
      </c>
      <c r="DR117" s="995">
        <v>4403017</v>
      </c>
      <c r="DS117" s="995">
        <v>8.2569999999999997</v>
      </c>
      <c r="DT117" s="995">
        <v>191380.6</v>
      </c>
    </row>
    <row r="118" spans="1:124">
      <c r="A118" s="42" t="s">
        <v>92</v>
      </c>
      <c r="B118" s="42" t="s">
        <v>283</v>
      </c>
      <c r="C118" s="42" t="s">
        <v>284</v>
      </c>
      <c r="D118" s="42">
        <v>203309</v>
      </c>
      <c r="E118" s="42" t="s">
        <v>292</v>
      </c>
      <c r="F118" s="42" t="s">
        <v>149</v>
      </c>
      <c r="G118" s="42" t="s">
        <v>150</v>
      </c>
      <c r="H118" s="43" t="s">
        <v>150</v>
      </c>
      <c r="I118" s="44">
        <v>23</v>
      </c>
      <c r="J118" s="45">
        <v>211629.3144</v>
      </c>
      <c r="K118" s="46">
        <v>7724.739251</v>
      </c>
      <c r="L118" s="47">
        <v>219354.05365099999</v>
      </c>
      <c r="M118" s="48">
        <v>4233069</v>
      </c>
      <c r="N118" s="49">
        <v>3219096</v>
      </c>
      <c r="O118" s="49">
        <v>1013973</v>
      </c>
      <c r="P118" s="49">
        <v>0</v>
      </c>
      <c r="Q118" s="50">
        <v>9664.5410958904104</v>
      </c>
      <c r="R118" s="51">
        <v>3749.73774392522</v>
      </c>
      <c r="S118" s="49">
        <v>29778.0800484395</v>
      </c>
      <c r="T118" s="49">
        <v>1011.19608043901</v>
      </c>
      <c r="U118" s="49">
        <f>IFERROR(INDEX('Rentabilidad datos'!$N$2:$N$61,MATCH($C118,'Rentabilidad datos'!$C$2:$C$61,0)),"")</f>
        <v>34539.013872803756</v>
      </c>
      <c r="V118" s="50">
        <f>IFERROR(INDEX('Rentabilidad datos'!$O$2:$O$61,MATCH($C118,'Rentabilidad datos'!$C$2:$C$61,0)),"")</f>
        <v>1644.7149463239884</v>
      </c>
      <c r="W118" s="51">
        <f>IFERROR(INDEX('Rentabilidad datos'!$M$2:$M$61,MATCH($C118,'Rentabilidad datos'!$C$2:$C$61,0)),"")</f>
        <v>2501.9736837243272</v>
      </c>
      <c r="X118" s="52">
        <f>IFERROR(INDEX('Rentabilidad datos'!$P$2:$P$61,MATCH($C118,'Rentabilidad datos'!$C$2:$C$61,0)),"")</f>
        <v>0.6573670047063559</v>
      </c>
      <c r="Y118" s="43" t="s">
        <v>211</v>
      </c>
      <c r="Z118" s="53">
        <v>56.3264840182648</v>
      </c>
      <c r="AA118" s="43">
        <v>1</v>
      </c>
      <c r="AB118" s="54">
        <v>0.95499317398322592</v>
      </c>
      <c r="AC118" s="55">
        <v>4.5006826016774117E-2</v>
      </c>
      <c r="AD118" s="752" t="e">
        <f>_xlfn.XLOOKUP(Table1[[#This Row],[Ruta]],#REF!,#REF!)</f>
        <v>#REF!</v>
      </c>
      <c r="AE118" s="752" t="e">
        <f>_xlfn.XLOOKUP(Table1[[#This Row],[Ruta]],#REF!,#REF!)</f>
        <v>#REF!</v>
      </c>
      <c r="AF118" s="752" t="e">
        <f>_xlfn.XLOOKUP(Table1[[#This Row],[Ruta]],#REF!,#REF!)</f>
        <v>#REF!</v>
      </c>
      <c r="AG118" s="752" t="e">
        <f>_xlfn.XLOOKUP(Table1[[#This Row],[Ruta]],#REF!,#REF!)</f>
        <v>#REF!</v>
      </c>
      <c r="AH118" s="52">
        <v>0.76046386203484995</v>
      </c>
      <c r="AI118" s="52">
        <v>0.23953613796515011</v>
      </c>
      <c r="AJ118" s="55">
        <v>0</v>
      </c>
      <c r="AK118" s="56">
        <v>24671</v>
      </c>
      <c r="AL118" s="44">
        <v>20728</v>
      </c>
      <c r="AM118" s="54">
        <v>0.84017672571034796</v>
      </c>
      <c r="AN118" s="55">
        <v>0.73696442291874298</v>
      </c>
      <c r="AO118" s="56">
        <v>0</v>
      </c>
      <c r="AP118" s="48">
        <v>0</v>
      </c>
      <c r="AQ118" s="55">
        <v>0.84017672571034818</v>
      </c>
      <c r="AR118" s="51">
        <v>4233069</v>
      </c>
      <c r="AS118" s="49">
        <v>0</v>
      </c>
      <c r="AT118" s="55">
        <v>0</v>
      </c>
      <c r="AU118" s="51">
        <v>0</v>
      </c>
      <c r="AV118" s="52">
        <v>0</v>
      </c>
      <c r="AW118" s="44">
        <v>490</v>
      </c>
      <c r="AX118" s="51">
        <v>204.21984754920899</v>
      </c>
      <c r="AY118" s="49">
        <v>281.804910356444</v>
      </c>
      <c r="AZ118" s="49">
        <v>77.585062807235005</v>
      </c>
      <c r="BA118" s="42" t="s">
        <v>150</v>
      </c>
      <c r="BB118" s="50">
        <v>565037.33416996698</v>
      </c>
      <c r="BC118" s="57">
        <v>565037.33416996698</v>
      </c>
      <c r="BD118" s="42" t="s">
        <v>150</v>
      </c>
      <c r="BE118" s="46">
        <v>56.3264840182648</v>
      </c>
      <c r="BF118" s="46">
        <v>53.584294640711398</v>
      </c>
      <c r="BG118" s="42" t="s">
        <v>150</v>
      </c>
      <c r="BH118" s="52">
        <v>0.84017672571034796</v>
      </c>
      <c r="BI118" s="52">
        <v>0.84596921589179896</v>
      </c>
      <c r="BJ118" s="42" t="s">
        <v>152</v>
      </c>
      <c r="BK118" s="46">
        <v>500.80834166894903</v>
      </c>
      <c r="BL118" s="46">
        <v>363.16023511435702</v>
      </c>
      <c r="BM118" s="42" t="s">
        <v>150</v>
      </c>
      <c r="BN118" s="48">
        <v>2</v>
      </c>
      <c r="BO118" s="42" t="s">
        <v>161</v>
      </c>
      <c r="BP118" s="42" t="s">
        <v>152</v>
      </c>
      <c r="BQ118" s="46">
        <v>0</v>
      </c>
      <c r="BR118" s="46">
        <v>336</v>
      </c>
      <c r="BS118" s="46">
        <v>19312</v>
      </c>
      <c r="BT118" s="46">
        <v>5901</v>
      </c>
      <c r="BU118" s="46">
        <v>3.272665649889849</v>
      </c>
      <c r="BV118" s="46">
        <v>17.5625</v>
      </c>
      <c r="BW118" s="46">
        <v>0</v>
      </c>
      <c r="BX118" s="46">
        <v>3644</v>
      </c>
      <c r="BY118" s="46">
        <v>3644</v>
      </c>
      <c r="BZ118" s="46">
        <v>0.61752245382138615</v>
      </c>
      <c r="CA118" s="46">
        <v>0</v>
      </c>
      <c r="CB118" s="46">
        <v>0.61752245382138615</v>
      </c>
      <c r="CC118" s="46">
        <v>0.11201491272665649</v>
      </c>
      <c r="CD118" s="46">
        <v>0</v>
      </c>
      <c r="CE118" s="46">
        <v>0</v>
      </c>
      <c r="CF118" s="46">
        <v>0.27046263345195731</v>
      </c>
      <c r="CG118" s="46">
        <v>0</v>
      </c>
      <c r="CH118" s="46">
        <v>0</v>
      </c>
      <c r="CI118" s="46">
        <v>4.8156586578293288</v>
      </c>
      <c r="CJ118" s="46">
        <v>1.5016570008285</v>
      </c>
      <c r="CK118">
        <v>413</v>
      </c>
      <c r="CL118">
        <v>521.83000000000004</v>
      </c>
      <c r="CM118">
        <f t="shared" si="14"/>
        <v>108.83000000000004</v>
      </c>
      <c r="CN118">
        <v>5.44</v>
      </c>
      <c r="CO118">
        <v>9.4499999999999993</v>
      </c>
      <c r="CP118">
        <f t="shared" si="15"/>
        <v>4.0099999999999989</v>
      </c>
      <c r="CQ118">
        <v>677.25</v>
      </c>
      <c r="CR118">
        <v>500.81</v>
      </c>
      <c r="CS118">
        <f t="shared" si="16"/>
        <v>176.44</v>
      </c>
      <c r="CT118" t="s">
        <v>152</v>
      </c>
      <c r="CU118">
        <v>75.92</v>
      </c>
      <c r="CV118">
        <v>315</v>
      </c>
      <c r="CW118" s="46">
        <v>3644</v>
      </c>
      <c r="CX118" s="46">
        <f t="shared" si="10"/>
        <v>59.907981698017288</v>
      </c>
      <c r="CY118" s="46">
        <v>108.83</v>
      </c>
      <c r="CZ118" s="46">
        <f t="shared" si="11"/>
        <v>61.752245382138618</v>
      </c>
      <c r="DA118" s="46">
        <f t="shared" si="12"/>
        <v>141.8718882231278</v>
      </c>
      <c r="DB118" s="46">
        <v>852625.93</v>
      </c>
      <c r="DC118" s="46">
        <f t="shared" si="13"/>
        <v>6.4171349272774769</v>
      </c>
      <c r="DD118" s="46">
        <v>38565.89</v>
      </c>
      <c r="DE118" s="995">
        <v>3644</v>
      </c>
      <c r="DF118" s="995">
        <v>59.996000000000002</v>
      </c>
      <c r="DG118" s="995">
        <v>103.6</v>
      </c>
      <c r="DH118" s="995">
        <v>61.752000000000002</v>
      </c>
      <c r="DI118" s="995">
        <v>689.37300000000005</v>
      </c>
      <c r="DJ118" s="995">
        <v>4139418</v>
      </c>
      <c r="DK118" s="995">
        <v>33.478000000000002</v>
      </c>
      <c r="DL118" s="995">
        <v>201024.9</v>
      </c>
      <c r="DM118" s="995">
        <v>3644</v>
      </c>
      <c r="DN118" s="995">
        <v>60.256</v>
      </c>
      <c r="DO118" s="995">
        <v>88.3</v>
      </c>
      <c r="DP118" s="995">
        <v>61.752000000000002</v>
      </c>
      <c r="DQ118" s="995">
        <v>675.673</v>
      </c>
      <c r="DR118" s="995">
        <v>4046790</v>
      </c>
      <c r="DS118" s="995">
        <v>32.826999999999998</v>
      </c>
      <c r="DT118" s="995">
        <v>196609.9</v>
      </c>
    </row>
    <row r="119" spans="1:124">
      <c r="A119" s="42" t="s">
        <v>92</v>
      </c>
      <c r="B119" s="42" t="s">
        <v>283</v>
      </c>
      <c r="C119" s="42" t="s">
        <v>284</v>
      </c>
      <c r="D119" s="42">
        <v>203310</v>
      </c>
      <c r="E119" s="42" t="s">
        <v>293</v>
      </c>
      <c r="F119" s="42" t="s">
        <v>149</v>
      </c>
      <c r="G119" s="42" t="s">
        <v>150</v>
      </c>
      <c r="H119" s="43" t="s">
        <v>150</v>
      </c>
      <c r="I119" s="44">
        <v>23</v>
      </c>
      <c r="J119" s="45">
        <v>162428.43119999999</v>
      </c>
      <c r="K119" s="46">
        <v>10701.739742</v>
      </c>
      <c r="L119" s="47">
        <v>173130.170942</v>
      </c>
      <c r="M119" s="48">
        <v>3707475</v>
      </c>
      <c r="N119" s="49">
        <v>2521661</v>
      </c>
      <c r="O119" s="49">
        <v>1185814</v>
      </c>
      <c r="P119" s="49">
        <v>0</v>
      </c>
      <c r="Q119" s="50">
        <v>8503.3885550458708</v>
      </c>
      <c r="R119" s="51">
        <v>3749.73774392522</v>
      </c>
      <c r="S119" s="49">
        <v>29778.0800484395</v>
      </c>
      <c r="T119" s="49">
        <v>1011.19608043901</v>
      </c>
      <c r="U119" s="49">
        <f>IFERROR(INDEX('Rentabilidad datos'!$N$2:$N$61,MATCH($C119,'Rentabilidad datos'!$C$2:$C$61,0)),"")</f>
        <v>34539.013872803756</v>
      </c>
      <c r="V119" s="50">
        <f>IFERROR(INDEX('Rentabilidad datos'!$O$2:$O$61,MATCH($C119,'Rentabilidad datos'!$C$2:$C$61,0)),"")</f>
        <v>1644.7149463239884</v>
      </c>
      <c r="W119" s="51">
        <f>IFERROR(INDEX('Rentabilidad datos'!$M$2:$M$61,MATCH($C119,'Rentabilidad datos'!$C$2:$C$61,0)),"")</f>
        <v>2501.9736837243272</v>
      </c>
      <c r="X119" s="52">
        <f>IFERROR(INDEX('Rentabilidad datos'!$P$2:$P$61,MATCH($C119,'Rentabilidad datos'!$C$2:$C$61,0)),"")</f>
        <v>0.6573670047063559</v>
      </c>
      <c r="Y119" s="43" t="s">
        <v>211</v>
      </c>
      <c r="Z119" s="53">
        <v>73.493119266055103</v>
      </c>
      <c r="AA119" s="43">
        <v>1</v>
      </c>
      <c r="AB119" s="54">
        <v>0.94811428263171027</v>
      </c>
      <c r="AC119" s="55">
        <v>5.1885717368289737E-2</v>
      </c>
      <c r="AD119" s="752" t="e">
        <f>_xlfn.XLOOKUP(Table1[[#This Row],[Ruta]],#REF!,#REF!)</f>
        <v>#REF!</v>
      </c>
      <c r="AE119" s="752" t="e">
        <f>_xlfn.XLOOKUP(Table1[[#This Row],[Ruta]],#REF!,#REF!)</f>
        <v>#REF!</v>
      </c>
      <c r="AF119" s="752" t="e">
        <f>_xlfn.XLOOKUP(Table1[[#This Row],[Ruta]],#REF!,#REF!)</f>
        <v>#REF!</v>
      </c>
      <c r="AG119" s="752" t="e">
        <f>_xlfn.XLOOKUP(Table1[[#This Row],[Ruta]],#REF!,#REF!)</f>
        <v>#REF!</v>
      </c>
      <c r="AH119" s="52">
        <v>0.68015590125354852</v>
      </c>
      <c r="AI119" s="52">
        <v>0.31984409874645142</v>
      </c>
      <c r="AJ119" s="55">
        <v>0</v>
      </c>
      <c r="AK119" s="56">
        <v>32043</v>
      </c>
      <c r="AL119" s="44">
        <v>13901</v>
      </c>
      <c r="AM119" s="54">
        <v>0.43382329994070501</v>
      </c>
      <c r="AN119" s="55">
        <v>0.73696442291874298</v>
      </c>
      <c r="AO119" s="56">
        <v>9713.5510035852803</v>
      </c>
      <c r="AP119" s="48">
        <v>4856.7755017926402</v>
      </c>
      <c r="AQ119" s="55">
        <v>0.58539386142972383</v>
      </c>
      <c r="AR119" s="51">
        <v>3707477.41</v>
      </c>
      <c r="AS119" s="49">
        <v>1295330.22504407</v>
      </c>
      <c r="AT119" s="55">
        <v>0.34938317400134072</v>
      </c>
      <c r="AU119" s="51">
        <v>910232.0500309685</v>
      </c>
      <c r="AV119" s="52">
        <v>4.1407317332323151E-3</v>
      </c>
      <c r="AW119" s="44">
        <v>57</v>
      </c>
      <c r="AX119" s="51">
        <v>266.70580605711802</v>
      </c>
      <c r="AY119" s="49">
        <v>281.804910356444</v>
      </c>
      <c r="AZ119" s="49">
        <v>15.099104299325973</v>
      </c>
      <c r="BA119" s="42" t="s">
        <v>150</v>
      </c>
      <c r="BB119" s="50">
        <v>73746.065817407987</v>
      </c>
      <c r="BC119" s="57">
        <v>983978.11584837653</v>
      </c>
      <c r="BD119" s="42" t="s">
        <v>150</v>
      </c>
      <c r="BE119" s="46">
        <v>73.493119266055103</v>
      </c>
      <c r="BF119" s="46">
        <v>53.584294640711398</v>
      </c>
      <c r="BG119" s="42" t="s">
        <v>150</v>
      </c>
      <c r="BH119" s="52">
        <v>0.43382329994070501</v>
      </c>
      <c r="BI119" s="52">
        <v>0.84596921589179896</v>
      </c>
      <c r="BJ119" s="42" t="s">
        <v>152</v>
      </c>
      <c r="BK119" s="46">
        <v>397.08754803211002</v>
      </c>
      <c r="BL119" s="46">
        <v>363.16023511435702</v>
      </c>
      <c r="BM119" s="42" t="s">
        <v>150</v>
      </c>
      <c r="BN119" s="48">
        <v>2</v>
      </c>
      <c r="BO119" s="42" t="s">
        <v>161</v>
      </c>
      <c r="BP119" s="42" t="s">
        <v>152</v>
      </c>
      <c r="BQ119" s="46">
        <v>8212.1878753767996</v>
      </c>
      <c r="BR119" s="46">
        <v>348</v>
      </c>
      <c r="BS119" s="46">
        <v>24284</v>
      </c>
      <c r="BT119" s="46">
        <v>7225</v>
      </c>
      <c r="BU119" s="46">
        <v>3.3611072664359862</v>
      </c>
      <c r="BV119" s="46">
        <v>20.761494252873565</v>
      </c>
      <c r="BW119" s="46">
        <v>2212</v>
      </c>
      <c r="BX119" s="46">
        <v>3984</v>
      </c>
      <c r="BY119" s="46">
        <v>6196</v>
      </c>
      <c r="BZ119" s="46">
        <v>0.85757785467128023</v>
      </c>
      <c r="CA119" s="46">
        <v>0.30615916955017303</v>
      </c>
      <c r="CB119" s="46">
        <v>0.55141868512110725</v>
      </c>
      <c r="CC119" s="46">
        <v>0.1342560553633218</v>
      </c>
      <c r="CD119" s="46">
        <v>0</v>
      </c>
      <c r="CE119" s="46">
        <v>2.7681660899653982E-4</v>
      </c>
      <c r="CF119" s="46">
        <v>7.8892733564013846E-3</v>
      </c>
      <c r="CG119" s="46">
        <v>0</v>
      </c>
      <c r="CH119" s="46">
        <v>0</v>
      </c>
      <c r="CI119" s="46">
        <v>2.7178389062757371</v>
      </c>
      <c r="CJ119" s="46">
        <v>0.4529731510459562</v>
      </c>
      <c r="CK119">
        <v>393</v>
      </c>
      <c r="CL119">
        <v>561.70000000000005</v>
      </c>
      <c r="CM119">
        <f t="shared" si="14"/>
        <v>168.70000000000005</v>
      </c>
      <c r="CN119">
        <v>9.14</v>
      </c>
      <c r="CO119">
        <v>9.4499999999999993</v>
      </c>
      <c r="CP119">
        <f t="shared" si="15"/>
        <v>0.30999999999999872</v>
      </c>
      <c r="CQ119">
        <v>677.25</v>
      </c>
      <c r="CR119">
        <v>397.09</v>
      </c>
      <c r="CS119">
        <f t="shared" si="16"/>
        <v>280.16000000000003</v>
      </c>
      <c r="CT119" t="s">
        <v>152</v>
      </c>
      <c r="CU119">
        <v>96.73</v>
      </c>
      <c r="CV119">
        <v>385</v>
      </c>
      <c r="CW119" s="46">
        <v>6196</v>
      </c>
      <c r="CX119" s="46">
        <f t="shared" si="10"/>
        <v>83.42283737024222</v>
      </c>
      <c r="CY119" s="46">
        <v>168.7</v>
      </c>
      <c r="CZ119" s="46">
        <f t="shared" si="11"/>
        <v>85.757785467128016</v>
      </c>
      <c r="DA119" s="46">
        <f t="shared" si="12"/>
        <v>188.3241962752073</v>
      </c>
      <c r="DB119" s="46">
        <v>1392412.61</v>
      </c>
      <c r="DC119" s="46">
        <f t="shared" si="13"/>
        <v>8.5090982863789453</v>
      </c>
      <c r="DD119" s="46">
        <v>62913.72</v>
      </c>
      <c r="DE119" s="995">
        <v>6196</v>
      </c>
      <c r="DF119" s="995">
        <v>83.346999999999994</v>
      </c>
      <c r="DG119" s="995">
        <v>174.2</v>
      </c>
      <c r="DH119" s="995">
        <v>85.757999999999996</v>
      </c>
      <c r="DI119" s="995">
        <v>564.45399999999995</v>
      </c>
      <c r="DJ119" s="995">
        <v>4176499</v>
      </c>
      <c r="DK119" s="995">
        <v>25.564</v>
      </c>
      <c r="DL119" s="995">
        <v>189151.2</v>
      </c>
      <c r="DM119" s="995">
        <v>6196</v>
      </c>
      <c r="DN119" s="995">
        <v>83.36</v>
      </c>
      <c r="DO119" s="995">
        <v>173.2</v>
      </c>
      <c r="DP119" s="995">
        <v>85.757999999999996</v>
      </c>
      <c r="DQ119" s="995">
        <v>563.68100000000004</v>
      </c>
      <c r="DR119" s="995">
        <v>4170236</v>
      </c>
      <c r="DS119" s="995">
        <v>25.527999999999999</v>
      </c>
      <c r="DT119" s="995">
        <v>188860.9</v>
      </c>
    </row>
    <row r="120" spans="1:124">
      <c r="A120" s="42" t="s">
        <v>92</v>
      </c>
      <c r="B120" s="42" t="s">
        <v>283</v>
      </c>
      <c r="C120" s="42" t="s">
        <v>284</v>
      </c>
      <c r="D120" s="42">
        <v>203311</v>
      </c>
      <c r="E120" s="42" t="s">
        <v>294</v>
      </c>
      <c r="F120" s="42" t="s">
        <v>149</v>
      </c>
      <c r="G120" s="42" t="s">
        <v>150</v>
      </c>
      <c r="H120" s="43" t="s">
        <v>150</v>
      </c>
      <c r="I120" s="44">
        <v>23</v>
      </c>
      <c r="J120" s="45">
        <v>169416.87280000001</v>
      </c>
      <c r="K120" s="46">
        <v>10541.255905</v>
      </c>
      <c r="L120" s="47">
        <v>179958.12870500001</v>
      </c>
      <c r="M120" s="48">
        <v>4025593</v>
      </c>
      <c r="N120" s="49">
        <v>2603874</v>
      </c>
      <c r="O120" s="49">
        <v>1421719</v>
      </c>
      <c r="P120" s="49">
        <v>0</v>
      </c>
      <c r="Q120" s="50">
        <v>9156.1648519362207</v>
      </c>
      <c r="R120" s="51">
        <v>3749.73774392522</v>
      </c>
      <c r="S120" s="49">
        <v>29778.0800484395</v>
      </c>
      <c r="T120" s="49">
        <v>1011.19608043901</v>
      </c>
      <c r="U120" s="49">
        <f>IFERROR(INDEX('Rentabilidad datos'!$N$2:$N$61,MATCH($C120,'Rentabilidad datos'!$C$2:$C$61,0)),"")</f>
        <v>34539.013872803756</v>
      </c>
      <c r="V120" s="50">
        <f>IFERROR(INDEX('Rentabilidad datos'!$O$2:$O$61,MATCH($C120,'Rentabilidad datos'!$C$2:$C$61,0)),"")</f>
        <v>1644.7149463239884</v>
      </c>
      <c r="W120" s="51">
        <f>IFERROR(INDEX('Rentabilidad datos'!$M$2:$M$61,MATCH($C120,'Rentabilidad datos'!$C$2:$C$61,0)),"")</f>
        <v>2501.9736837243272</v>
      </c>
      <c r="X120" s="52">
        <f>IFERROR(INDEX('Rentabilidad datos'!$P$2:$P$61,MATCH($C120,'Rentabilidad datos'!$C$2:$C$61,0)),"")</f>
        <v>0.6573670047063559</v>
      </c>
      <c r="Y120" s="43" t="s">
        <v>211</v>
      </c>
      <c r="Z120" s="53">
        <v>64.842824601366701</v>
      </c>
      <c r="AA120" s="43">
        <v>1</v>
      </c>
      <c r="AB120" s="54">
        <v>0.97468546869989092</v>
      </c>
      <c r="AC120" s="55">
        <v>2.5314531300109078E-2</v>
      </c>
      <c r="AD120" s="752" t="e">
        <f>_xlfn.XLOOKUP(Table1[[#This Row],[Ruta]],#REF!,#REF!)</f>
        <v>#REF!</v>
      </c>
      <c r="AE120" s="752" t="e">
        <f>_xlfn.XLOOKUP(Table1[[#This Row],[Ruta]],#REF!,#REF!)</f>
        <v>#REF!</v>
      </c>
      <c r="AF120" s="752" t="e">
        <f>_xlfn.XLOOKUP(Table1[[#This Row],[Ruta]],#REF!,#REF!)</f>
        <v>#REF!</v>
      </c>
      <c r="AG120" s="752" t="e">
        <f>_xlfn.XLOOKUP(Table1[[#This Row],[Ruta]],#REF!,#REF!)</f>
        <v>#REF!</v>
      </c>
      <c r="AH120" s="52">
        <v>0.64682992046140775</v>
      </c>
      <c r="AI120" s="52">
        <v>0.3531700795385922</v>
      </c>
      <c r="AJ120" s="55">
        <v>0</v>
      </c>
      <c r="AK120" s="56">
        <v>28466</v>
      </c>
      <c r="AL120" s="44">
        <v>13168</v>
      </c>
      <c r="AM120" s="54">
        <v>0.46258694583011301</v>
      </c>
      <c r="AN120" s="55">
        <v>0.73696442291874298</v>
      </c>
      <c r="AO120" s="56">
        <v>7810.4292628049297</v>
      </c>
      <c r="AP120" s="48">
        <v>3905.2146314024649</v>
      </c>
      <c r="AQ120" s="55">
        <v>0.59977568437442796</v>
      </c>
      <c r="AR120" s="51">
        <v>4019556.37</v>
      </c>
      <c r="AS120" s="49">
        <v>1192073.9936110999</v>
      </c>
      <c r="AT120" s="55">
        <v>0.29656854734222821</v>
      </c>
      <c r="AU120" s="51">
        <v>837673.61713212461</v>
      </c>
      <c r="AV120" s="52">
        <v>3.8106565555810464E-3</v>
      </c>
      <c r="AW120" s="44">
        <v>67</v>
      </c>
      <c r="AX120" s="51">
        <v>305.25185069866302</v>
      </c>
      <c r="AY120" s="49">
        <v>281.804910356444</v>
      </c>
      <c r="AZ120" s="49">
        <v>0</v>
      </c>
      <c r="BA120" s="42" t="s">
        <v>152</v>
      </c>
      <c r="BB120" s="50">
        <v>0</v>
      </c>
      <c r="BC120" s="57">
        <v>837673.61713212461</v>
      </c>
      <c r="BD120" s="42" t="s">
        <v>150</v>
      </c>
      <c r="BE120" s="46">
        <v>64.842824601366701</v>
      </c>
      <c r="BF120" s="46">
        <v>53.584294640711398</v>
      </c>
      <c r="BG120" s="42" t="s">
        <v>150</v>
      </c>
      <c r="BH120" s="52">
        <v>0.46258694583011301</v>
      </c>
      <c r="BI120" s="52">
        <v>0.84596921589179896</v>
      </c>
      <c r="BJ120" s="42" t="s">
        <v>152</v>
      </c>
      <c r="BK120" s="46">
        <v>409.92740023917997</v>
      </c>
      <c r="BL120" s="46">
        <v>363.16023511435702</v>
      </c>
      <c r="BM120" s="42" t="s">
        <v>150</v>
      </c>
      <c r="BN120" s="48">
        <v>2</v>
      </c>
      <c r="BO120" s="42" t="s">
        <v>161</v>
      </c>
      <c r="BP120" s="42" t="s">
        <v>152</v>
      </c>
      <c r="BQ120" s="46">
        <v>4583.3759574027599</v>
      </c>
      <c r="BR120" s="46">
        <v>329</v>
      </c>
      <c r="BS120" s="46">
        <v>24419</v>
      </c>
      <c r="BT120" s="46">
        <v>7568</v>
      </c>
      <c r="BU120" s="46">
        <v>3.2266120507399578</v>
      </c>
      <c r="BV120" s="46">
        <v>23.003039513677813</v>
      </c>
      <c r="BW120" s="46">
        <v>31</v>
      </c>
      <c r="BX120" s="46">
        <v>4818</v>
      </c>
      <c r="BY120" s="46">
        <v>4849</v>
      </c>
      <c r="BZ120" s="46">
        <v>0.64072410147991543</v>
      </c>
      <c r="CA120" s="46">
        <v>4.0961945031712478E-3</v>
      </c>
      <c r="CB120" s="46">
        <v>0.63662790697674421</v>
      </c>
      <c r="CC120" s="46">
        <v>0.14442389006342499</v>
      </c>
      <c r="CD120" s="46">
        <v>0</v>
      </c>
      <c r="CE120" s="46">
        <v>0</v>
      </c>
      <c r="CF120" s="46">
        <v>0.21485200845665961</v>
      </c>
      <c r="CG120" s="46">
        <v>0</v>
      </c>
      <c r="CH120" s="46">
        <v>0</v>
      </c>
      <c r="CI120" s="46">
        <v>4.0951717924566937</v>
      </c>
      <c r="CJ120" s="46">
        <v>1.228551537737008</v>
      </c>
      <c r="CK120">
        <v>411</v>
      </c>
      <c r="CL120">
        <v>523.66999999999996</v>
      </c>
      <c r="CM120">
        <f t="shared" si="14"/>
        <v>112.66999999999996</v>
      </c>
      <c r="CN120">
        <v>16.2</v>
      </c>
      <c r="CO120">
        <v>9.4499999999999993</v>
      </c>
      <c r="CP120">
        <f t="shared" si="15"/>
        <v>-6.75</v>
      </c>
      <c r="CQ120">
        <v>677.25</v>
      </c>
      <c r="CR120">
        <v>409.93</v>
      </c>
      <c r="CS120">
        <f t="shared" si="16"/>
        <v>267.32</v>
      </c>
      <c r="CT120" t="s">
        <v>150</v>
      </c>
      <c r="CU120">
        <v>171.43</v>
      </c>
      <c r="CV120">
        <v>260</v>
      </c>
      <c r="CW120" s="46">
        <v>4849</v>
      </c>
      <c r="CX120" s="46">
        <f t="shared" si="10"/>
        <v>62.58364164904863</v>
      </c>
      <c r="CY120" s="46">
        <v>112.67</v>
      </c>
      <c r="CZ120" s="46">
        <f t="shared" si="11"/>
        <v>64.072410147991548</v>
      </c>
      <c r="DA120" s="46">
        <f t="shared" si="12"/>
        <v>239.5307792158757</v>
      </c>
      <c r="DB120" s="46">
        <v>1839756.87</v>
      </c>
      <c r="DC120" s="46">
        <f t="shared" si="13"/>
        <v>10.242430673365734</v>
      </c>
      <c r="DD120" s="46">
        <v>78668.73</v>
      </c>
      <c r="DE120" s="995">
        <v>4849</v>
      </c>
      <c r="DF120" s="995">
        <v>62.584000000000003</v>
      </c>
      <c r="DG120" s="995">
        <v>112.7</v>
      </c>
      <c r="DH120" s="995">
        <v>64.072000000000003</v>
      </c>
      <c r="DI120" s="995">
        <v>540.89800000000002</v>
      </c>
      <c r="DJ120" s="995">
        <v>4154464</v>
      </c>
      <c r="DK120" s="995">
        <v>23.01</v>
      </c>
      <c r="DL120" s="995">
        <v>176734.5</v>
      </c>
      <c r="DM120" s="995">
        <v>4849</v>
      </c>
      <c r="DN120" s="995">
        <v>62.584000000000003</v>
      </c>
      <c r="DO120" s="995">
        <v>112.7</v>
      </c>
      <c r="DP120" s="995">
        <v>64.072000000000003</v>
      </c>
      <c r="DQ120" s="995">
        <v>540.89800000000002</v>
      </c>
      <c r="DR120" s="995">
        <v>4154464</v>
      </c>
      <c r="DS120" s="995">
        <v>23.01</v>
      </c>
      <c r="DT120" s="995">
        <v>176734.5</v>
      </c>
    </row>
    <row r="121" spans="1:124">
      <c r="A121" s="42" t="s">
        <v>92</v>
      </c>
      <c r="B121" s="42" t="s">
        <v>283</v>
      </c>
      <c r="C121" s="42" t="s">
        <v>284</v>
      </c>
      <c r="D121" s="42">
        <v>203312</v>
      </c>
      <c r="E121" s="42" t="s">
        <v>295</v>
      </c>
      <c r="F121" s="42" t="s">
        <v>149</v>
      </c>
      <c r="G121" s="42" t="s">
        <v>150</v>
      </c>
      <c r="H121" s="43" t="s">
        <v>150</v>
      </c>
      <c r="I121" s="44">
        <v>23</v>
      </c>
      <c r="J121" s="45">
        <v>103227.4544</v>
      </c>
      <c r="K121" s="46">
        <v>8206.3002620000007</v>
      </c>
      <c r="L121" s="47">
        <v>111433.75466200001</v>
      </c>
      <c r="M121" s="48">
        <v>2527488</v>
      </c>
      <c r="N121" s="49">
        <v>1559289</v>
      </c>
      <c r="O121" s="49">
        <v>968199</v>
      </c>
      <c r="P121" s="49">
        <v>0</v>
      </c>
      <c r="Q121" s="50">
        <v>6031.24505966587</v>
      </c>
      <c r="R121" s="51">
        <v>3749.73774392522</v>
      </c>
      <c r="S121" s="49">
        <v>29778.0800484395</v>
      </c>
      <c r="T121" s="49">
        <v>1011.19608043901</v>
      </c>
      <c r="U121" s="49">
        <f>IFERROR(INDEX('Rentabilidad datos'!$N$2:$N$61,MATCH($C121,'Rentabilidad datos'!$C$2:$C$61,0)),"")</f>
        <v>34539.013872803756</v>
      </c>
      <c r="V121" s="50">
        <f>IFERROR(INDEX('Rentabilidad datos'!$O$2:$O$61,MATCH($C121,'Rentabilidad datos'!$C$2:$C$61,0)),"")</f>
        <v>1644.7149463239884</v>
      </c>
      <c r="W121" s="51">
        <f>IFERROR(INDEX('Rentabilidad datos'!$M$2:$M$61,MATCH($C121,'Rentabilidad datos'!$C$2:$C$61,0)),"")</f>
        <v>2501.9736837243272</v>
      </c>
      <c r="X121" s="52">
        <f>IFERROR(INDEX('Rentabilidad datos'!$P$2:$P$61,MATCH($C121,'Rentabilidad datos'!$C$2:$C$61,0)),"")</f>
        <v>0.6573670047063559</v>
      </c>
      <c r="Y121" s="43" t="s">
        <v>211</v>
      </c>
      <c r="Z121" s="53">
        <v>40.651551312649197</v>
      </c>
      <c r="AA121" s="43">
        <v>1</v>
      </c>
      <c r="AB121" s="54">
        <v>0.96482634141091872</v>
      </c>
      <c r="AC121" s="55">
        <v>3.5173658589081336E-2</v>
      </c>
      <c r="AD121" s="752" t="e">
        <f>_xlfn.XLOOKUP(Table1[[#This Row],[Ruta]],#REF!,#REF!)</f>
        <v>#REF!</v>
      </c>
      <c r="AE121" s="752" t="e">
        <f>_xlfn.XLOOKUP(Table1[[#This Row],[Ruta]],#REF!,#REF!)</f>
        <v>#REF!</v>
      </c>
      <c r="AF121" s="752" t="e">
        <f>_xlfn.XLOOKUP(Table1[[#This Row],[Ruta]],#REF!,#REF!)</f>
        <v>#REF!</v>
      </c>
      <c r="AG121" s="752" t="e">
        <f>_xlfn.XLOOKUP(Table1[[#This Row],[Ruta]],#REF!,#REF!)</f>
        <v>#REF!</v>
      </c>
      <c r="AH121" s="52">
        <v>0.61693230591005777</v>
      </c>
      <c r="AI121" s="52">
        <v>0.38306769408994229</v>
      </c>
      <c r="AJ121" s="55">
        <v>0</v>
      </c>
      <c r="AK121" s="56">
        <v>17033</v>
      </c>
      <c r="AL121" s="44">
        <v>7838</v>
      </c>
      <c r="AM121" s="54">
        <v>0.46016556096988198</v>
      </c>
      <c r="AN121" s="55">
        <v>0.73696442291874298</v>
      </c>
      <c r="AO121" s="56">
        <v>4714.7150155749496</v>
      </c>
      <c r="AP121" s="48">
        <v>2357.3575077874748</v>
      </c>
      <c r="AQ121" s="55">
        <v>0.59856499194431245</v>
      </c>
      <c r="AR121" s="51">
        <v>2527091.6800000002</v>
      </c>
      <c r="AS121" s="49">
        <v>760048.29608512996</v>
      </c>
      <c r="AT121" s="55">
        <v>0.30076008009536476</v>
      </c>
      <c r="AU121" s="51">
        <v>534087.99184360506</v>
      </c>
      <c r="AV121" s="52">
        <v>2.4296168170412102E-3</v>
      </c>
      <c r="AW121" s="44">
        <v>138</v>
      </c>
      <c r="AX121" s="51">
        <v>322.41537126818099</v>
      </c>
      <c r="AY121" s="49">
        <v>281.804910356444</v>
      </c>
      <c r="AZ121" s="49">
        <v>0</v>
      </c>
      <c r="BA121" s="42" t="s">
        <v>152</v>
      </c>
      <c r="BB121" s="50">
        <v>0</v>
      </c>
      <c r="BC121" s="57">
        <v>534087.99184360506</v>
      </c>
      <c r="BD121" s="42" t="s">
        <v>150</v>
      </c>
      <c r="BE121" s="46">
        <v>40.651551312649197</v>
      </c>
      <c r="BF121" s="46">
        <v>53.584294640711398</v>
      </c>
      <c r="BG121" s="42" t="s">
        <v>152</v>
      </c>
      <c r="BH121" s="52">
        <v>0.46016556096988198</v>
      </c>
      <c r="BI121" s="52">
        <v>0.84596921589179896</v>
      </c>
      <c r="BJ121" s="42" t="s">
        <v>152</v>
      </c>
      <c r="BK121" s="46">
        <v>265.951681770883</v>
      </c>
      <c r="BL121" s="46">
        <v>363.16023511435702</v>
      </c>
      <c r="BM121" s="42" t="s">
        <v>152</v>
      </c>
      <c r="BN121" s="48">
        <v>0</v>
      </c>
      <c r="BO121" s="42" t="s">
        <v>155</v>
      </c>
      <c r="BP121" s="42" t="s">
        <v>152</v>
      </c>
      <c r="BQ121" s="46">
        <v>6027.0381195359696</v>
      </c>
      <c r="BR121" s="46">
        <v>1173</v>
      </c>
      <c r="BS121" s="46">
        <v>74977</v>
      </c>
      <c r="BT121" s="46">
        <v>21060</v>
      </c>
      <c r="BU121" s="46">
        <v>3.5601614434947768</v>
      </c>
      <c r="BV121" s="46">
        <v>17.953964194373402</v>
      </c>
      <c r="BW121" s="46">
        <v>0</v>
      </c>
      <c r="BX121" s="46">
        <v>512</v>
      </c>
      <c r="BY121" s="46">
        <v>512</v>
      </c>
      <c r="BZ121" s="46">
        <v>2.4311490978157643E-2</v>
      </c>
      <c r="CA121" s="46">
        <v>0</v>
      </c>
      <c r="CB121" s="46">
        <v>2.431149097815764E-2</v>
      </c>
      <c r="CC121" s="46">
        <v>0.19154795821462489</v>
      </c>
      <c r="CD121" s="46">
        <v>5.9781576448243112E-2</v>
      </c>
      <c r="CE121" s="46">
        <v>0</v>
      </c>
      <c r="CF121" s="46">
        <v>0.72236467236467239</v>
      </c>
      <c r="CG121" s="46">
        <v>1.994301994301994E-3</v>
      </c>
      <c r="CH121" s="46">
        <v>0</v>
      </c>
      <c r="CI121" s="46">
        <v>5.5750430131907116</v>
      </c>
      <c r="CJ121" s="46">
        <v>0.52015951558477935</v>
      </c>
      <c r="CK121">
        <v>341</v>
      </c>
      <c r="CL121">
        <v>397.65</v>
      </c>
      <c r="CM121">
        <f t="shared" si="14"/>
        <v>56.649999999999977</v>
      </c>
      <c r="CN121">
        <v>17.05</v>
      </c>
      <c r="CO121">
        <v>9.4499999999999993</v>
      </c>
      <c r="CP121">
        <f t="shared" si="15"/>
        <v>-7.6000000000000014</v>
      </c>
      <c r="CQ121">
        <v>677.25</v>
      </c>
      <c r="CR121">
        <v>265.95</v>
      </c>
      <c r="CS121">
        <f t="shared" si="16"/>
        <v>411.3</v>
      </c>
      <c r="CT121" t="s">
        <v>150</v>
      </c>
      <c r="CU121">
        <v>181.59</v>
      </c>
      <c r="CV121">
        <v>40</v>
      </c>
      <c r="CW121" s="46">
        <v>512</v>
      </c>
      <c r="CX121" s="46">
        <f t="shared" si="10"/>
        <v>2.1621557454890787</v>
      </c>
      <c r="CY121" s="46">
        <v>56.65</v>
      </c>
      <c r="CZ121" s="46">
        <f t="shared" si="11"/>
        <v>2.4311490978157644</v>
      </c>
      <c r="DA121" s="46">
        <f t="shared" si="12"/>
        <v>11.708021868999108</v>
      </c>
      <c r="DB121" s="46">
        <v>247234.2</v>
      </c>
      <c r="DC121" s="46">
        <f t="shared" si="13"/>
        <v>0.52156947243052276</v>
      </c>
      <c r="DD121" s="46">
        <v>11013.8</v>
      </c>
      <c r="DE121" s="995">
        <v>512</v>
      </c>
      <c r="DF121" s="995">
        <v>2.214</v>
      </c>
      <c r="DG121" s="995">
        <v>45.8</v>
      </c>
      <c r="DH121" s="995">
        <v>2.431</v>
      </c>
      <c r="DI121" s="995">
        <v>124.146</v>
      </c>
      <c r="DJ121" s="995">
        <v>2620207</v>
      </c>
      <c r="DK121" s="995">
        <v>5.6639999999999997</v>
      </c>
      <c r="DL121" s="995">
        <v>119549.7</v>
      </c>
      <c r="DM121" s="995">
        <v>512</v>
      </c>
      <c r="DN121" s="995">
        <v>2.2509999999999999</v>
      </c>
      <c r="DO121" s="995">
        <v>37.799999999999997</v>
      </c>
      <c r="DP121" s="995">
        <v>2.431</v>
      </c>
      <c r="DQ121" s="995">
        <v>122.547</v>
      </c>
      <c r="DR121" s="995">
        <v>2585468</v>
      </c>
      <c r="DS121" s="995">
        <v>5.593</v>
      </c>
      <c r="DT121" s="995">
        <v>118002.2</v>
      </c>
    </row>
    <row r="122" spans="1:124">
      <c r="A122" s="42" t="s">
        <v>92</v>
      </c>
      <c r="B122" s="42" t="s">
        <v>283</v>
      </c>
      <c r="C122" s="42" t="s">
        <v>284</v>
      </c>
      <c r="D122" s="42">
        <v>203313</v>
      </c>
      <c r="E122" s="42" t="s">
        <v>296</v>
      </c>
      <c r="F122" s="42" t="s">
        <v>149</v>
      </c>
      <c r="G122" s="42" t="s">
        <v>150</v>
      </c>
      <c r="H122" s="43" t="s">
        <v>150</v>
      </c>
      <c r="I122" s="44">
        <v>23</v>
      </c>
      <c r="J122" s="45">
        <v>129768.7384</v>
      </c>
      <c r="K122" s="46">
        <v>6120.5881520000003</v>
      </c>
      <c r="L122" s="47">
        <v>135889.32655200001</v>
      </c>
      <c r="M122" s="48">
        <v>2935471</v>
      </c>
      <c r="N122" s="49">
        <v>1991568</v>
      </c>
      <c r="O122" s="49">
        <v>943903</v>
      </c>
      <c r="P122" s="49">
        <v>0</v>
      </c>
      <c r="Q122" s="50">
        <v>6764.9529629629697</v>
      </c>
      <c r="R122" s="51">
        <v>3749.73774392522</v>
      </c>
      <c r="S122" s="49">
        <v>29778.0800484395</v>
      </c>
      <c r="T122" s="49">
        <v>1011.19608043901</v>
      </c>
      <c r="U122" s="49">
        <f>IFERROR(INDEX('Rentabilidad datos'!$N$2:$N$61,MATCH($C122,'Rentabilidad datos'!$C$2:$C$61,0)),"")</f>
        <v>34539.013872803756</v>
      </c>
      <c r="V122" s="50">
        <f>IFERROR(INDEX('Rentabilidad datos'!$O$2:$O$61,MATCH($C122,'Rentabilidad datos'!$C$2:$C$61,0)),"")</f>
        <v>1644.7149463239884</v>
      </c>
      <c r="W122" s="51">
        <f>IFERROR(INDEX('Rentabilidad datos'!$M$2:$M$61,MATCH($C122,'Rentabilidad datos'!$C$2:$C$61,0)),"")</f>
        <v>2501.9736837243272</v>
      </c>
      <c r="X122" s="52">
        <f>IFERROR(INDEX('Rentabilidad datos'!$P$2:$P$61,MATCH($C122,'Rentabilidad datos'!$C$2:$C$61,0)),"")</f>
        <v>0.6573670047063559</v>
      </c>
      <c r="Y122" s="43" t="s">
        <v>211</v>
      </c>
      <c r="Z122" s="53">
        <v>51.432870370370402</v>
      </c>
      <c r="AA122" s="43">
        <v>1</v>
      </c>
      <c r="AB122" s="54">
        <v>0.89086623577613266</v>
      </c>
      <c r="AC122" s="55">
        <v>0.10913376422386731</v>
      </c>
      <c r="AD122" s="752" t="e">
        <f>_xlfn.XLOOKUP(Table1[[#This Row],[Ruta]],#REF!,#REF!)</f>
        <v>#REF!</v>
      </c>
      <c r="AE122" s="752" t="e">
        <f>_xlfn.XLOOKUP(Table1[[#This Row],[Ruta]],#REF!,#REF!)</f>
        <v>#REF!</v>
      </c>
      <c r="AF122" s="752" t="e">
        <f>_xlfn.XLOOKUP(Table1[[#This Row],[Ruta]],#REF!,#REF!)</f>
        <v>#REF!</v>
      </c>
      <c r="AG122" s="752" t="e">
        <f>_xlfn.XLOOKUP(Table1[[#This Row],[Ruta]],#REF!,#REF!)</f>
        <v>#REF!</v>
      </c>
      <c r="AH122" s="52">
        <v>0.67844921649711409</v>
      </c>
      <c r="AI122" s="52">
        <v>0.32155078350288591</v>
      </c>
      <c r="AJ122" s="55">
        <v>0</v>
      </c>
      <c r="AK122" s="56">
        <v>22219</v>
      </c>
      <c r="AL122" s="44">
        <v>13433</v>
      </c>
      <c r="AM122" s="54">
        <v>0.60457266303613999</v>
      </c>
      <c r="AN122" s="55">
        <v>0.73696442291874298</v>
      </c>
      <c r="AO122" s="56">
        <v>2941.6125128315498</v>
      </c>
      <c r="AP122" s="48">
        <v>1470.8062564157749</v>
      </c>
      <c r="AQ122" s="55">
        <v>0.6707685429774416</v>
      </c>
      <c r="AR122" s="51">
        <v>2922459.68</v>
      </c>
      <c r="AS122" s="49">
        <v>319986.00323582551</v>
      </c>
      <c r="AT122" s="55">
        <v>0.10949201640852937</v>
      </c>
      <c r="AU122" s="51">
        <v>224855.02930085044</v>
      </c>
      <c r="AV122" s="52">
        <v>1.0228868069095526E-3</v>
      </c>
      <c r="AW122" s="44">
        <v>291</v>
      </c>
      <c r="AX122" s="51">
        <v>217.55822824387701</v>
      </c>
      <c r="AY122" s="49">
        <v>281.804910356444</v>
      </c>
      <c r="AZ122" s="49">
        <v>64.246682112566987</v>
      </c>
      <c r="BA122" s="42" t="s">
        <v>150</v>
      </c>
      <c r="BB122" s="50">
        <v>303225.23920636391</v>
      </c>
      <c r="BC122" s="57">
        <v>528080.26850721438</v>
      </c>
      <c r="BD122" s="42" t="s">
        <v>150</v>
      </c>
      <c r="BE122" s="46">
        <v>51.432870370370402</v>
      </c>
      <c r="BF122" s="46">
        <v>53.584294640711398</v>
      </c>
      <c r="BG122" s="42" t="s">
        <v>152</v>
      </c>
      <c r="BH122" s="52">
        <v>0.60457266303613999</v>
      </c>
      <c r="BI122" s="52">
        <v>0.84596921589179896</v>
      </c>
      <c r="BJ122" s="42" t="s">
        <v>152</v>
      </c>
      <c r="BK122" s="46">
        <v>314.55862627777799</v>
      </c>
      <c r="BL122" s="46">
        <v>363.16023511435702</v>
      </c>
      <c r="BM122" s="42" t="s">
        <v>152</v>
      </c>
      <c r="BN122" s="48">
        <v>0</v>
      </c>
      <c r="BO122" s="42" t="s">
        <v>155</v>
      </c>
      <c r="BP122" s="42" t="s">
        <v>152</v>
      </c>
      <c r="BQ122" s="46">
        <v>0</v>
      </c>
      <c r="BR122" s="46">
        <v>365</v>
      </c>
      <c r="BS122" s="46">
        <v>13783</v>
      </c>
      <c r="BT122" s="46">
        <v>4371</v>
      </c>
      <c r="BU122" s="46">
        <v>3.1532830016014644</v>
      </c>
      <c r="BV122" s="46">
        <v>11.975342465753425</v>
      </c>
      <c r="BW122" s="46">
        <v>4190</v>
      </c>
      <c r="BX122" s="46">
        <v>181</v>
      </c>
      <c r="BY122" s="46">
        <v>4371</v>
      </c>
      <c r="BZ122" s="46">
        <v>1</v>
      </c>
      <c r="CA122" s="46">
        <v>0.95859071150766417</v>
      </c>
      <c r="CB122" s="46">
        <v>4.1409288492335848E-2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0.72553145178843503</v>
      </c>
      <c r="CJ122" s="46">
        <v>1.233403468040339</v>
      </c>
      <c r="CK122">
        <v>454</v>
      </c>
      <c r="CL122">
        <v>642.47</v>
      </c>
      <c r="CM122">
        <f t="shared" si="14"/>
        <v>188.47000000000003</v>
      </c>
      <c r="CN122">
        <v>9.39</v>
      </c>
      <c r="CO122">
        <v>9.4499999999999993</v>
      </c>
      <c r="CP122">
        <f t="shared" si="15"/>
        <v>5.9999999999998721E-2</v>
      </c>
      <c r="CQ122">
        <v>677.25</v>
      </c>
      <c r="CR122">
        <v>314.56</v>
      </c>
      <c r="CS122">
        <f t="shared" si="16"/>
        <v>362.69</v>
      </c>
      <c r="CT122" t="s">
        <v>150</v>
      </c>
      <c r="CU122">
        <v>101.79</v>
      </c>
      <c r="CV122">
        <v>452</v>
      </c>
      <c r="CW122" s="46">
        <v>4371</v>
      </c>
      <c r="CX122" s="46">
        <f t="shared" si="10"/>
        <v>95.688172043010738</v>
      </c>
      <c r="CY122" s="46">
        <v>188.47</v>
      </c>
      <c r="CZ122" s="46">
        <f t="shared" si="11"/>
        <v>100</v>
      </c>
      <c r="DA122" s="46">
        <f t="shared" si="12"/>
        <v>493.4274027463718</v>
      </c>
      <c r="DB122" s="46">
        <v>2249767.44</v>
      </c>
      <c r="DC122" s="46">
        <f t="shared" si="13"/>
        <v>18.170449635593609</v>
      </c>
      <c r="DD122" s="46">
        <v>82847.62</v>
      </c>
      <c r="DE122" s="995">
        <v>4371</v>
      </c>
      <c r="DF122" s="995">
        <v>96.120999999999995</v>
      </c>
      <c r="DG122" s="995">
        <v>169.5</v>
      </c>
      <c r="DH122" s="995">
        <v>100</v>
      </c>
      <c r="DI122" s="995">
        <v>1274.9659999999999</v>
      </c>
      <c r="DJ122" s="995">
        <v>5789021</v>
      </c>
      <c r="DK122" s="995">
        <v>46.432000000000002</v>
      </c>
      <c r="DL122" s="995">
        <v>210824.5</v>
      </c>
      <c r="DM122" s="995">
        <v>4371</v>
      </c>
      <c r="DN122" s="995">
        <v>96.55</v>
      </c>
      <c r="DO122" s="995">
        <v>150.80000000000001</v>
      </c>
      <c r="DP122" s="995">
        <v>100</v>
      </c>
      <c r="DQ122" s="995">
        <v>1245.0429999999999</v>
      </c>
      <c r="DR122" s="995">
        <v>5629821</v>
      </c>
      <c r="DS122" s="995">
        <v>45.381</v>
      </c>
      <c r="DT122" s="995">
        <v>205201.8</v>
      </c>
    </row>
    <row r="123" spans="1:124">
      <c r="A123" s="42" t="s">
        <v>92</v>
      </c>
      <c r="B123" s="42" t="s">
        <v>283</v>
      </c>
      <c r="C123" s="42" t="s">
        <v>284</v>
      </c>
      <c r="D123" s="42">
        <v>203314</v>
      </c>
      <c r="E123" s="42" t="s">
        <v>297</v>
      </c>
      <c r="F123" s="42" t="s">
        <v>149</v>
      </c>
      <c r="G123" s="42" t="s">
        <v>150</v>
      </c>
      <c r="H123" s="43" t="s">
        <v>150</v>
      </c>
      <c r="I123" s="44">
        <v>23</v>
      </c>
      <c r="J123" s="45">
        <v>123005.7304</v>
      </c>
      <c r="K123" s="46">
        <v>10441.684254</v>
      </c>
      <c r="L123" s="47">
        <v>133447.41465399999</v>
      </c>
      <c r="M123" s="48">
        <v>2902851</v>
      </c>
      <c r="N123" s="49">
        <v>1856955</v>
      </c>
      <c r="O123" s="49">
        <v>1045896</v>
      </c>
      <c r="P123" s="49">
        <v>0</v>
      </c>
      <c r="Q123" s="50">
        <v>6655.1104377880201</v>
      </c>
      <c r="R123" s="51">
        <v>3749.73774392522</v>
      </c>
      <c r="S123" s="49">
        <v>29778.0800484395</v>
      </c>
      <c r="T123" s="49">
        <v>1011.19608043901</v>
      </c>
      <c r="U123" s="49">
        <f>IFERROR(INDEX('Rentabilidad datos'!$N$2:$N$61,MATCH($C123,'Rentabilidad datos'!$C$2:$C$61,0)),"")</f>
        <v>34539.013872803756</v>
      </c>
      <c r="V123" s="50">
        <f>IFERROR(INDEX('Rentabilidad datos'!$O$2:$O$61,MATCH($C123,'Rentabilidad datos'!$C$2:$C$61,0)),"")</f>
        <v>1644.7149463239884</v>
      </c>
      <c r="W123" s="51">
        <f>IFERROR(INDEX('Rentabilidad datos'!$M$2:$M$61,MATCH($C123,'Rentabilidad datos'!$C$2:$C$61,0)),"")</f>
        <v>2501.9736837243272</v>
      </c>
      <c r="X123" s="52">
        <f>IFERROR(INDEX('Rentabilidad datos'!$P$2:$P$61,MATCH($C123,'Rentabilidad datos'!$C$2:$C$61,0)),"")</f>
        <v>0.6573670047063559</v>
      </c>
      <c r="Y123" s="43" t="s">
        <v>211</v>
      </c>
      <c r="Z123" s="53">
        <v>36.767281105990797</v>
      </c>
      <c r="AA123" s="43">
        <v>1</v>
      </c>
      <c r="AB123" s="54">
        <v>0.92473985058137675</v>
      </c>
      <c r="AC123" s="55">
        <v>7.5260149418623273E-2</v>
      </c>
      <c r="AD123" s="752" t="e">
        <f>_xlfn.XLOOKUP(Table1[[#This Row],[Ruta]],#REF!,#REF!)</f>
        <v>#REF!</v>
      </c>
      <c r="AE123" s="752" t="e">
        <f>_xlfn.XLOOKUP(Table1[[#This Row],[Ruta]],#REF!,#REF!)</f>
        <v>#REF!</v>
      </c>
      <c r="AF123" s="752" t="e">
        <f>_xlfn.XLOOKUP(Table1[[#This Row],[Ruta]],#REF!,#REF!)</f>
        <v>#REF!</v>
      </c>
      <c r="AG123" s="752" t="e">
        <f>_xlfn.XLOOKUP(Table1[[#This Row],[Ruta]],#REF!,#REF!)</f>
        <v>#REF!</v>
      </c>
      <c r="AH123" s="52">
        <v>0.63970041865738203</v>
      </c>
      <c r="AI123" s="52">
        <v>0.36029958134261802</v>
      </c>
      <c r="AJ123" s="55">
        <v>0</v>
      </c>
      <c r="AK123" s="56">
        <v>15957</v>
      </c>
      <c r="AL123" s="44">
        <v>10198</v>
      </c>
      <c r="AM123" s="54">
        <v>0.63909256125838199</v>
      </c>
      <c r="AN123" s="55">
        <v>0.73696442291874298</v>
      </c>
      <c r="AO123" s="56">
        <v>1561.7412965143801</v>
      </c>
      <c r="AP123" s="48">
        <v>780.87064825719006</v>
      </c>
      <c r="AQ123" s="55">
        <v>0.68802849208856243</v>
      </c>
      <c r="AR123" s="51">
        <v>2888317.93</v>
      </c>
      <c r="AS123" s="49">
        <v>221161.2761690495</v>
      </c>
      <c r="AT123" s="55">
        <v>7.6570959821258139E-2</v>
      </c>
      <c r="AU123" s="51">
        <v>155410.62649716999</v>
      </c>
      <c r="AV123" s="52">
        <v>7.069776468500011E-4</v>
      </c>
      <c r="AW123" s="44">
        <v>346</v>
      </c>
      <c r="AX123" s="51">
        <v>283.223958619337</v>
      </c>
      <c r="AY123" s="49">
        <v>281.804910356444</v>
      </c>
      <c r="AZ123" s="49">
        <v>0</v>
      </c>
      <c r="BA123" s="42" t="s">
        <v>152</v>
      </c>
      <c r="BB123" s="50">
        <v>0</v>
      </c>
      <c r="BC123" s="57">
        <v>155410.62649716999</v>
      </c>
      <c r="BD123" s="42" t="s">
        <v>150</v>
      </c>
      <c r="BE123" s="46">
        <v>36.767281105990797</v>
      </c>
      <c r="BF123" s="46">
        <v>53.584294640711398</v>
      </c>
      <c r="BG123" s="42" t="s">
        <v>152</v>
      </c>
      <c r="BH123" s="52">
        <v>0.63909256125838199</v>
      </c>
      <c r="BI123" s="52">
        <v>0.84596921589179896</v>
      </c>
      <c r="BJ123" s="42" t="s">
        <v>152</v>
      </c>
      <c r="BK123" s="46">
        <v>307.48252224423999</v>
      </c>
      <c r="BL123" s="46">
        <v>363.16023511435702</v>
      </c>
      <c r="BM123" s="42" t="s">
        <v>152</v>
      </c>
      <c r="BN123" s="48">
        <v>0</v>
      </c>
      <c r="BO123" s="42" t="s">
        <v>155</v>
      </c>
      <c r="BP123" s="42" t="s">
        <v>152</v>
      </c>
      <c r="BQ123" s="46">
        <v>5247.9856177436504</v>
      </c>
      <c r="BR123" s="46">
        <v>1022</v>
      </c>
      <c r="BS123" s="46">
        <v>86550</v>
      </c>
      <c r="BT123" s="46">
        <v>22889</v>
      </c>
      <c r="BU123" s="46">
        <v>3.7812923238236706</v>
      </c>
      <c r="BV123" s="46">
        <v>22.396281800391389</v>
      </c>
      <c r="BW123" s="46">
        <v>1088</v>
      </c>
      <c r="BX123" s="46">
        <v>5986</v>
      </c>
      <c r="BY123" s="46">
        <v>7074</v>
      </c>
      <c r="BZ123" s="46">
        <v>0.3090567521516886</v>
      </c>
      <c r="CA123" s="46">
        <v>4.7533749836165852E-2</v>
      </c>
      <c r="CB123" s="46">
        <v>0.26152300231552272</v>
      </c>
      <c r="CC123" s="46">
        <v>0.1142470182183582</v>
      </c>
      <c r="CD123" s="46">
        <v>0.47520643103674248</v>
      </c>
      <c r="CE123" s="46">
        <v>0</v>
      </c>
      <c r="CF123" s="46">
        <v>0.1014461094849054</v>
      </c>
      <c r="CG123" s="46">
        <v>0</v>
      </c>
      <c r="CH123" s="46">
        <v>4.368910830529949E-5</v>
      </c>
      <c r="CI123" s="46">
        <v>3.8012709416522243</v>
      </c>
      <c r="CJ123" s="46">
        <v>0.40439052570768341</v>
      </c>
      <c r="CK123">
        <v>238</v>
      </c>
      <c r="CL123">
        <v>683.49</v>
      </c>
      <c r="CM123">
        <f t="shared" si="14"/>
        <v>445.49</v>
      </c>
      <c r="CN123">
        <v>5.85</v>
      </c>
      <c r="CO123">
        <v>9.4499999999999993</v>
      </c>
      <c r="CP123">
        <f t="shared" si="15"/>
        <v>3.5999999999999996</v>
      </c>
      <c r="CQ123">
        <v>677.25</v>
      </c>
      <c r="CR123">
        <v>307.48</v>
      </c>
      <c r="CS123">
        <f t="shared" si="16"/>
        <v>369.77</v>
      </c>
      <c r="CT123" t="s">
        <v>152</v>
      </c>
      <c r="CU123">
        <v>61.92</v>
      </c>
      <c r="CV123">
        <v>144</v>
      </c>
      <c r="CW123" s="46">
        <v>7074</v>
      </c>
      <c r="CX123" s="46">
        <f t="shared" si="10"/>
        <v>28.959369129276073</v>
      </c>
      <c r="CY123" s="46">
        <v>445.49</v>
      </c>
      <c r="CZ123" s="46">
        <f t="shared" si="11"/>
        <v>30.905675215168859</v>
      </c>
      <c r="DA123" s="46">
        <f t="shared" si="12"/>
        <v>138.02529431755312</v>
      </c>
      <c r="DB123" s="46">
        <v>3220749.85</v>
      </c>
      <c r="DC123" s="46">
        <f t="shared" si="13"/>
        <v>5.9266082095644688</v>
      </c>
      <c r="DD123" s="46">
        <v>138294.38</v>
      </c>
      <c r="DE123" s="995">
        <v>7074</v>
      </c>
      <c r="DF123" s="995">
        <v>28.984000000000002</v>
      </c>
      <c r="DG123" s="995">
        <v>439.9</v>
      </c>
      <c r="DH123" s="995">
        <v>30.905999999999999</v>
      </c>
      <c r="DI123" s="995">
        <v>200.71799999999999</v>
      </c>
      <c r="DJ123" s="995">
        <v>4682520</v>
      </c>
      <c r="DK123" s="995">
        <v>8.6349999999999998</v>
      </c>
      <c r="DL123" s="995">
        <v>201454.6</v>
      </c>
      <c r="DM123" s="995">
        <v>7074</v>
      </c>
      <c r="DN123" s="995">
        <v>29.006</v>
      </c>
      <c r="DO123" s="995">
        <v>434.8</v>
      </c>
      <c r="DP123" s="995">
        <v>30.905999999999999</v>
      </c>
      <c r="DQ123" s="995">
        <v>199.755</v>
      </c>
      <c r="DR123" s="995">
        <v>4659041</v>
      </c>
      <c r="DS123" s="995">
        <v>8.593</v>
      </c>
      <c r="DT123" s="995">
        <v>200416.3</v>
      </c>
    </row>
    <row r="124" spans="1:124">
      <c r="A124" s="42" t="s">
        <v>92</v>
      </c>
      <c r="B124" s="42" t="s">
        <v>283</v>
      </c>
      <c r="C124" s="42" t="s">
        <v>284</v>
      </c>
      <c r="D124" s="42">
        <v>203315</v>
      </c>
      <c r="E124" s="42" t="s">
        <v>298</v>
      </c>
      <c r="F124" s="42" t="s">
        <v>149</v>
      </c>
      <c r="G124" s="42" t="s">
        <v>150</v>
      </c>
      <c r="H124" s="43" t="s">
        <v>150</v>
      </c>
      <c r="I124" s="44">
        <v>23</v>
      </c>
      <c r="J124" s="45">
        <v>192826.7432</v>
      </c>
      <c r="K124" s="46">
        <v>6847.8836209999999</v>
      </c>
      <c r="L124" s="47">
        <v>199674.62682100001</v>
      </c>
      <c r="M124" s="48">
        <v>3810075</v>
      </c>
      <c r="N124" s="49">
        <v>2992473</v>
      </c>
      <c r="O124" s="49">
        <v>817602</v>
      </c>
      <c r="P124" s="49">
        <v>0</v>
      </c>
      <c r="Q124" s="50">
        <v>8718.7010755148804</v>
      </c>
      <c r="R124" s="51">
        <v>3749.73774392522</v>
      </c>
      <c r="S124" s="49">
        <v>29778.0800484395</v>
      </c>
      <c r="T124" s="49">
        <v>1011.19608043901</v>
      </c>
      <c r="U124" s="49">
        <f>IFERROR(INDEX('Rentabilidad datos'!$N$2:$N$61,MATCH($C124,'Rentabilidad datos'!$C$2:$C$61,0)),"")</f>
        <v>34539.013872803756</v>
      </c>
      <c r="V124" s="50">
        <f>IFERROR(INDEX('Rentabilidad datos'!$O$2:$O$61,MATCH($C124,'Rentabilidad datos'!$C$2:$C$61,0)),"")</f>
        <v>1644.7149463239884</v>
      </c>
      <c r="W124" s="51">
        <f>IFERROR(INDEX('Rentabilidad datos'!$M$2:$M$61,MATCH($C124,'Rentabilidad datos'!$C$2:$C$61,0)),"")</f>
        <v>2501.9736837243272</v>
      </c>
      <c r="X124" s="52">
        <f>IFERROR(INDEX('Rentabilidad datos'!$P$2:$P$61,MATCH($C124,'Rentabilidad datos'!$C$2:$C$61,0)),"")</f>
        <v>0.6573670047063559</v>
      </c>
      <c r="Y124" s="43" t="s">
        <v>211</v>
      </c>
      <c r="Z124" s="53">
        <v>76.370709382151006</v>
      </c>
      <c r="AA124" s="43">
        <v>1</v>
      </c>
      <c r="AB124" s="54">
        <v>0.96978642152713534</v>
      </c>
      <c r="AC124" s="55">
        <v>3.0213578472864707E-2</v>
      </c>
      <c r="AD124" s="752" t="e">
        <f>_xlfn.XLOOKUP(Table1[[#This Row],[Ruta]],#REF!,#REF!)</f>
        <v>#REF!</v>
      </c>
      <c r="AE124" s="752" t="e">
        <f>_xlfn.XLOOKUP(Table1[[#This Row],[Ruta]],#REF!,#REF!)</f>
        <v>#REF!</v>
      </c>
      <c r="AF124" s="752" t="e">
        <f>_xlfn.XLOOKUP(Table1[[#This Row],[Ruta]],#REF!,#REF!)</f>
        <v>#REF!</v>
      </c>
      <c r="AG124" s="752" t="e">
        <f>_xlfn.XLOOKUP(Table1[[#This Row],[Ruta]],#REF!,#REF!)</f>
        <v>#REF!</v>
      </c>
      <c r="AH124" s="52">
        <v>0.78541052341489337</v>
      </c>
      <c r="AI124" s="52">
        <v>0.2145894765851066</v>
      </c>
      <c r="AJ124" s="55">
        <v>0</v>
      </c>
      <c r="AK124" s="56">
        <v>33374</v>
      </c>
      <c r="AL124" s="44">
        <v>11369</v>
      </c>
      <c r="AM124" s="54">
        <v>0.34065440163001098</v>
      </c>
      <c r="AN124" s="55">
        <v>0.73696442291874298</v>
      </c>
      <c r="AO124" s="56">
        <v>13226.4506504901</v>
      </c>
      <c r="AP124" s="48">
        <v>6613.22532524505</v>
      </c>
      <c r="AQ124" s="55">
        <v>0.53880941227437673</v>
      </c>
      <c r="AR124" s="51">
        <v>3810072.37</v>
      </c>
      <c r="AS124" s="49">
        <v>2216278.2204503901</v>
      </c>
      <c r="AT124" s="55">
        <v>0.58168927128551895</v>
      </c>
      <c r="AU124" s="51">
        <v>1557384.6954516261</v>
      </c>
      <c r="AV124" s="52">
        <v>7.0846903589996532E-3</v>
      </c>
      <c r="AW124" s="44">
        <v>15</v>
      </c>
      <c r="AX124" s="51">
        <v>335.12818805523801</v>
      </c>
      <c r="AY124" s="49">
        <v>281.804910356444</v>
      </c>
      <c r="AZ124" s="49">
        <v>0</v>
      </c>
      <c r="BA124" s="42" t="s">
        <v>152</v>
      </c>
      <c r="BB124" s="50">
        <v>0</v>
      </c>
      <c r="BC124" s="57">
        <v>1557384.6954516261</v>
      </c>
      <c r="BD124" s="42" t="s">
        <v>150</v>
      </c>
      <c r="BE124" s="46">
        <v>76.370709382151006</v>
      </c>
      <c r="BF124" s="46">
        <v>53.584294640711398</v>
      </c>
      <c r="BG124" s="42" t="s">
        <v>150</v>
      </c>
      <c r="BH124" s="52">
        <v>0.34065440163001098</v>
      </c>
      <c r="BI124" s="52">
        <v>0.84596921589179896</v>
      </c>
      <c r="BJ124" s="42" t="s">
        <v>152</v>
      </c>
      <c r="BK124" s="46">
        <v>456.92134283981699</v>
      </c>
      <c r="BL124" s="46">
        <v>363.16023511435702</v>
      </c>
      <c r="BM124" s="42" t="s">
        <v>150</v>
      </c>
      <c r="BN124" s="48">
        <v>2</v>
      </c>
      <c r="BO124" s="42" t="s">
        <v>161</v>
      </c>
      <c r="BP124" s="42" t="s">
        <v>152</v>
      </c>
      <c r="BQ124" s="46">
        <v>5984.3880270375703</v>
      </c>
      <c r="BR124" s="46">
        <v>185</v>
      </c>
      <c r="BS124" s="46">
        <v>13781</v>
      </c>
      <c r="BT124" s="46">
        <v>4457</v>
      </c>
      <c r="BU124" s="46">
        <v>3.0919901278887143</v>
      </c>
      <c r="BV124" s="46">
        <v>24.091891891891891</v>
      </c>
      <c r="BW124" s="46">
        <v>1661</v>
      </c>
      <c r="BX124" s="46">
        <v>2796</v>
      </c>
      <c r="BY124" s="46">
        <v>4457</v>
      </c>
      <c r="BZ124" s="46">
        <v>1</v>
      </c>
      <c r="CA124" s="46">
        <v>0.37267220103208443</v>
      </c>
      <c r="CB124" s="46">
        <v>0.62732779896791568</v>
      </c>
      <c r="CC124" s="46">
        <v>0</v>
      </c>
      <c r="CD124" s="46">
        <v>0</v>
      </c>
      <c r="CE124" s="46">
        <v>0</v>
      </c>
      <c r="CF124" s="46">
        <v>0</v>
      </c>
      <c r="CG124" s="46">
        <v>0</v>
      </c>
      <c r="CH124" s="46">
        <v>0</v>
      </c>
      <c r="CI124" s="46">
        <v>2.176910238734489</v>
      </c>
      <c r="CJ124" s="46">
        <v>0.50794572237138091</v>
      </c>
      <c r="CK124">
        <v>294</v>
      </c>
      <c r="CL124">
        <v>363.44</v>
      </c>
      <c r="CM124">
        <f t="shared" si="14"/>
        <v>69.44</v>
      </c>
      <c r="CN124">
        <v>9.98</v>
      </c>
      <c r="CO124">
        <v>9.4499999999999993</v>
      </c>
      <c r="CP124">
        <f t="shared" si="15"/>
        <v>-0.53000000000000114</v>
      </c>
      <c r="CQ124">
        <v>677.25</v>
      </c>
      <c r="CR124">
        <v>456.92</v>
      </c>
      <c r="CS124">
        <f t="shared" si="16"/>
        <v>220.32999999999998</v>
      </c>
      <c r="CT124" t="s">
        <v>150</v>
      </c>
      <c r="CU124">
        <v>105.58</v>
      </c>
      <c r="CV124">
        <v>296</v>
      </c>
      <c r="CW124" s="46">
        <v>4457</v>
      </c>
      <c r="CX124" s="46">
        <f t="shared" si="10"/>
        <v>98.442001346197003</v>
      </c>
      <c r="CY124" s="46">
        <v>69.44</v>
      </c>
      <c r="CZ124" s="46">
        <f t="shared" si="11"/>
        <v>100</v>
      </c>
      <c r="DA124" s="46">
        <f t="shared" si="12"/>
        <v>89.753216655915026</v>
      </c>
      <c r="DB124" s="46">
        <v>406262.55</v>
      </c>
      <c r="DC124" s="46">
        <f t="shared" si="13"/>
        <v>4.6021796378611013</v>
      </c>
      <c r="DD124" s="46">
        <v>20831.490000000002</v>
      </c>
      <c r="DE124" s="995">
        <v>4457</v>
      </c>
      <c r="DF124" s="995">
        <v>98.441999999999993</v>
      </c>
      <c r="DG124" s="995">
        <v>69.400000000000006</v>
      </c>
      <c r="DH124" s="995">
        <v>100</v>
      </c>
      <c r="DI124" s="995">
        <v>678.32399999999996</v>
      </c>
      <c r="DJ124" s="995">
        <v>3070393</v>
      </c>
      <c r="DK124" s="995">
        <v>34.747</v>
      </c>
      <c r="DL124" s="995">
        <v>157279.6</v>
      </c>
      <c r="DM124" s="995">
        <v>4457</v>
      </c>
      <c r="DN124" s="995">
        <v>98.441999999999993</v>
      </c>
      <c r="DO124" s="995">
        <v>69.400000000000006</v>
      </c>
      <c r="DP124" s="995">
        <v>100</v>
      </c>
      <c r="DQ124" s="995">
        <v>678.32399999999996</v>
      </c>
      <c r="DR124" s="995">
        <v>3070393</v>
      </c>
      <c r="DS124" s="995">
        <v>34.747</v>
      </c>
      <c r="DT124" s="995">
        <v>157279.6</v>
      </c>
    </row>
    <row r="125" spans="1:124">
      <c r="A125" s="42" t="s">
        <v>92</v>
      </c>
      <c r="B125" s="42" t="s">
        <v>283</v>
      </c>
      <c r="C125" s="42" t="s">
        <v>284</v>
      </c>
      <c r="D125" s="42">
        <v>203316</v>
      </c>
      <c r="E125" s="42" t="s">
        <v>299</v>
      </c>
      <c r="F125" s="42" t="s">
        <v>149</v>
      </c>
      <c r="G125" s="42" t="s">
        <v>150</v>
      </c>
      <c r="H125" s="43" t="s">
        <v>150</v>
      </c>
      <c r="I125" s="44">
        <v>23</v>
      </c>
      <c r="J125" s="45">
        <v>133005.82399999999</v>
      </c>
      <c r="K125" s="46">
        <v>9938.1849299999994</v>
      </c>
      <c r="L125" s="47">
        <v>142944.00893000001</v>
      </c>
      <c r="M125" s="48">
        <v>2880919</v>
      </c>
      <c r="N125" s="49">
        <v>1963194</v>
      </c>
      <c r="O125" s="49">
        <v>917725</v>
      </c>
      <c r="P125" s="49">
        <v>0</v>
      </c>
      <c r="Q125" s="50">
        <v>6533.7657858769899</v>
      </c>
      <c r="R125" s="51">
        <v>3749.73774392522</v>
      </c>
      <c r="S125" s="49">
        <v>29778.0800484395</v>
      </c>
      <c r="T125" s="49">
        <v>1011.19608043901</v>
      </c>
      <c r="U125" s="49">
        <f>IFERROR(INDEX('Rentabilidad datos'!$N$2:$N$61,MATCH($C125,'Rentabilidad datos'!$C$2:$C$61,0)),"")</f>
        <v>34539.013872803756</v>
      </c>
      <c r="V125" s="50">
        <f>IFERROR(INDEX('Rentabilidad datos'!$O$2:$O$61,MATCH($C125,'Rentabilidad datos'!$C$2:$C$61,0)),"")</f>
        <v>1644.7149463239884</v>
      </c>
      <c r="W125" s="51">
        <f>IFERROR(INDEX('Rentabilidad datos'!$M$2:$M$61,MATCH($C125,'Rentabilidad datos'!$C$2:$C$61,0)),"")</f>
        <v>2501.9736837243272</v>
      </c>
      <c r="X125" s="52">
        <f>IFERROR(INDEX('Rentabilidad datos'!$P$2:$P$61,MATCH($C125,'Rentabilidad datos'!$C$2:$C$61,0)),"")</f>
        <v>0.6573670047063559</v>
      </c>
      <c r="Y125" s="43" t="s">
        <v>211</v>
      </c>
      <c r="Z125" s="53">
        <v>67.792710706150302</v>
      </c>
      <c r="AA125" s="43">
        <v>1</v>
      </c>
      <c r="AB125" s="54">
        <v>0.78572705445727564</v>
      </c>
      <c r="AC125" s="55">
        <v>0.21427294554272439</v>
      </c>
      <c r="AD125" s="752" t="e">
        <f>_xlfn.XLOOKUP(Table1[[#This Row],[Ruta]],#REF!,#REF!)</f>
        <v>#REF!</v>
      </c>
      <c r="AE125" s="752" t="e">
        <f>_xlfn.XLOOKUP(Table1[[#This Row],[Ruta]],#REF!,#REF!)</f>
        <v>#REF!</v>
      </c>
      <c r="AF125" s="752" t="e">
        <f>_xlfn.XLOOKUP(Table1[[#This Row],[Ruta]],#REF!,#REF!)</f>
        <v>#REF!</v>
      </c>
      <c r="AG125" s="752" t="e">
        <f>_xlfn.XLOOKUP(Table1[[#This Row],[Ruta]],#REF!,#REF!)</f>
        <v>#REF!</v>
      </c>
      <c r="AH125" s="52">
        <v>0.68144713544532143</v>
      </c>
      <c r="AI125" s="52">
        <v>0.31855286455467857</v>
      </c>
      <c r="AJ125" s="55">
        <v>0</v>
      </c>
      <c r="AK125" s="56">
        <v>29761</v>
      </c>
      <c r="AL125" s="44">
        <v>10898</v>
      </c>
      <c r="AM125" s="54">
        <v>0.36618393199153298</v>
      </c>
      <c r="AN125" s="55">
        <v>0.73696442291874298</v>
      </c>
      <c r="AO125" s="56">
        <v>11034.7981904847</v>
      </c>
      <c r="AP125" s="48">
        <v>5517.3990952423501</v>
      </c>
      <c r="AQ125" s="55">
        <v>0.55157417745513759</v>
      </c>
      <c r="AR125" s="51">
        <v>2868323.18</v>
      </c>
      <c r="AS125" s="49">
        <v>1452164.0409428049</v>
      </c>
      <c r="AT125" s="55">
        <v>0.50627629796681584</v>
      </c>
      <c r="AU125" s="51">
        <v>1020439.5963381876</v>
      </c>
      <c r="AV125" s="52">
        <v>4.6420762906124319E-3</v>
      </c>
      <c r="AW125" s="44">
        <v>41</v>
      </c>
      <c r="AX125" s="51">
        <v>263.19720866213999</v>
      </c>
      <c r="AY125" s="49">
        <v>281.804910356444</v>
      </c>
      <c r="AZ125" s="49">
        <v>18.607701694304012</v>
      </c>
      <c r="BA125" s="42" t="s">
        <v>150</v>
      </c>
      <c r="BB125" s="50">
        <v>71249.392698346695</v>
      </c>
      <c r="BC125" s="57">
        <v>1091688.9890365342</v>
      </c>
      <c r="BD125" s="42" t="s">
        <v>150</v>
      </c>
      <c r="BE125" s="46">
        <v>67.792710706150302</v>
      </c>
      <c r="BF125" s="46">
        <v>53.584294640711398</v>
      </c>
      <c r="BG125" s="42" t="s">
        <v>150</v>
      </c>
      <c r="BH125" s="52">
        <v>0.36618393199153298</v>
      </c>
      <c r="BI125" s="52">
        <v>0.84596921589179896</v>
      </c>
      <c r="BJ125" s="42" t="s">
        <v>152</v>
      </c>
      <c r="BK125" s="46">
        <v>325.61277660592299</v>
      </c>
      <c r="BL125" s="46">
        <v>363.16023511435702</v>
      </c>
      <c r="BM125" s="42" t="s">
        <v>152</v>
      </c>
      <c r="BN125" s="48">
        <v>1</v>
      </c>
      <c r="BO125" s="42" t="s">
        <v>155</v>
      </c>
      <c r="BP125" s="42" t="s">
        <v>152</v>
      </c>
      <c r="BQ125" s="46">
        <v>2628.0787708656098</v>
      </c>
      <c r="BR125" s="46">
        <v>1757</v>
      </c>
      <c r="BS125" s="46">
        <v>146967</v>
      </c>
      <c r="BT125" s="46">
        <v>39939</v>
      </c>
      <c r="BU125" s="46">
        <v>3.6797866746788852</v>
      </c>
      <c r="BV125" s="46">
        <v>22.731360273192944</v>
      </c>
      <c r="BW125" s="46">
        <v>0</v>
      </c>
      <c r="BX125" s="46">
        <v>7468</v>
      </c>
      <c r="BY125" s="46">
        <v>7468</v>
      </c>
      <c r="BZ125" s="46">
        <v>0.18698515235734495</v>
      </c>
      <c r="CA125" s="46">
        <v>0</v>
      </c>
      <c r="CB125" s="46">
        <v>0.18698515235734489</v>
      </c>
      <c r="CC125" s="46">
        <v>0.40168757354966322</v>
      </c>
      <c r="CD125" s="46">
        <v>0.16660407120859311</v>
      </c>
      <c r="CE125" s="46">
        <v>4.5995142592453492E-2</v>
      </c>
      <c r="CF125" s="46">
        <v>0.1987280602919452</v>
      </c>
      <c r="CG125" s="46">
        <v>0</v>
      </c>
      <c r="CH125" s="46">
        <v>0</v>
      </c>
      <c r="CI125" s="46">
        <v>4.4159573237529512</v>
      </c>
      <c r="CJ125" s="46">
        <v>0.29258268863078107</v>
      </c>
      <c r="CK125">
        <v>414</v>
      </c>
      <c r="CL125">
        <v>909.2</v>
      </c>
      <c r="CM125">
        <f t="shared" si="14"/>
        <v>495.20000000000005</v>
      </c>
      <c r="CN125">
        <v>8.33</v>
      </c>
      <c r="CO125">
        <v>9.4499999999999993</v>
      </c>
      <c r="CP125">
        <f t="shared" si="15"/>
        <v>1.1199999999999992</v>
      </c>
      <c r="CQ125">
        <v>677.25</v>
      </c>
      <c r="CR125">
        <v>325.61</v>
      </c>
      <c r="CS125">
        <f t="shared" si="16"/>
        <v>351.64</v>
      </c>
      <c r="CT125" t="s">
        <v>152</v>
      </c>
      <c r="CU125">
        <v>89.76</v>
      </c>
      <c r="CV125">
        <v>147</v>
      </c>
      <c r="CW125" s="46">
        <v>7468</v>
      </c>
      <c r="CX125" s="46">
        <f t="shared" si="10"/>
        <v>17.458624402213378</v>
      </c>
      <c r="CY125" s="46">
        <v>495.2</v>
      </c>
      <c r="CZ125" s="46">
        <f t="shared" si="11"/>
        <v>18.698515235734494</v>
      </c>
      <c r="DA125" s="46">
        <f t="shared" si="12"/>
        <v>96.481639305340536</v>
      </c>
      <c r="DB125" s="46">
        <v>3901157.9</v>
      </c>
      <c r="DC125" s="46">
        <f t="shared" si="13"/>
        <v>4.730609484050631</v>
      </c>
      <c r="DD125" s="46">
        <v>191278.41</v>
      </c>
      <c r="DE125" s="995">
        <v>7468</v>
      </c>
      <c r="DF125" s="995">
        <v>17.483000000000001</v>
      </c>
      <c r="DG125" s="995">
        <v>485.6</v>
      </c>
      <c r="DH125" s="995">
        <v>18.699000000000002</v>
      </c>
      <c r="DI125" s="995">
        <v>144.69399999999999</v>
      </c>
      <c r="DJ125" s="995">
        <v>5849192</v>
      </c>
      <c r="DK125" s="995">
        <v>7.0940000000000003</v>
      </c>
      <c r="DL125" s="995">
        <v>286777.2</v>
      </c>
      <c r="DM125" s="995">
        <v>7468</v>
      </c>
      <c r="DN125" s="995">
        <v>17.507999999999999</v>
      </c>
      <c r="DO125" s="995">
        <v>475.6</v>
      </c>
      <c r="DP125" s="995">
        <v>18.699000000000002</v>
      </c>
      <c r="DQ125" s="995">
        <v>143.46299999999999</v>
      </c>
      <c r="DR125" s="995">
        <v>5797987</v>
      </c>
      <c r="DS125" s="995">
        <v>7.0259999999999998</v>
      </c>
      <c r="DT125" s="995">
        <v>283970</v>
      </c>
    </row>
    <row r="126" spans="1:124">
      <c r="A126" s="42" t="s">
        <v>92</v>
      </c>
      <c r="B126" s="42" t="s">
        <v>283</v>
      </c>
      <c r="C126" s="42" t="s">
        <v>284</v>
      </c>
      <c r="D126" s="42">
        <v>203318</v>
      </c>
      <c r="E126" s="42" t="s">
        <v>300</v>
      </c>
      <c r="F126" s="42" t="s">
        <v>149</v>
      </c>
      <c r="G126" s="42" t="s">
        <v>150</v>
      </c>
      <c r="H126" s="43" t="s">
        <v>150</v>
      </c>
      <c r="I126" s="44">
        <v>23</v>
      </c>
      <c r="J126" s="45">
        <v>196271.65040000001</v>
      </c>
      <c r="K126" s="46">
        <v>10601.876907</v>
      </c>
      <c r="L126" s="47">
        <v>206873.52730700001</v>
      </c>
      <c r="M126" s="48">
        <v>4472128</v>
      </c>
      <c r="N126" s="49">
        <v>2994464</v>
      </c>
      <c r="O126" s="49">
        <v>1477664</v>
      </c>
      <c r="P126" s="49">
        <v>0</v>
      </c>
      <c r="Q126" s="50">
        <v>10140.9048858448</v>
      </c>
      <c r="R126" s="51">
        <v>3749.73774392522</v>
      </c>
      <c r="S126" s="49">
        <v>29778.0800484395</v>
      </c>
      <c r="T126" s="49">
        <v>1011.19608043901</v>
      </c>
      <c r="U126" s="49">
        <f>IFERROR(INDEX('Rentabilidad datos'!$N$2:$N$61,MATCH($C126,'Rentabilidad datos'!$C$2:$C$61,0)),"")</f>
        <v>34539.013872803756</v>
      </c>
      <c r="V126" s="50">
        <f>IFERROR(INDEX('Rentabilidad datos'!$O$2:$O$61,MATCH($C126,'Rentabilidad datos'!$C$2:$C$61,0)),"")</f>
        <v>1644.7149463239884</v>
      </c>
      <c r="W126" s="51">
        <f>IFERROR(INDEX('Rentabilidad datos'!$M$2:$M$61,MATCH($C126,'Rentabilidad datos'!$C$2:$C$61,0)),"")</f>
        <v>2501.9736837243272</v>
      </c>
      <c r="X126" s="52">
        <f>IFERROR(INDEX('Rentabilidad datos'!$P$2:$P$61,MATCH($C126,'Rentabilidad datos'!$C$2:$C$61,0)),"")</f>
        <v>0.6573670047063559</v>
      </c>
      <c r="Y126" s="43" t="s">
        <v>211</v>
      </c>
      <c r="Z126" s="53">
        <v>76.470319634703202</v>
      </c>
      <c r="AA126" s="43">
        <v>1</v>
      </c>
      <c r="AB126" s="54">
        <v>0.92637733088140595</v>
      </c>
      <c r="AC126" s="55">
        <v>7.3622669118594095E-2</v>
      </c>
      <c r="AD126" s="752" t="e">
        <f>_xlfn.XLOOKUP(Table1[[#This Row],[Ruta]],#REF!,#REF!)</f>
        <v>#REF!</v>
      </c>
      <c r="AE126" s="752" t="e">
        <f>_xlfn.XLOOKUP(Table1[[#This Row],[Ruta]],#REF!,#REF!)</f>
        <v>#REF!</v>
      </c>
      <c r="AF126" s="752" t="e">
        <f>_xlfn.XLOOKUP(Table1[[#This Row],[Ruta]],#REF!,#REF!)</f>
        <v>#REF!</v>
      </c>
      <c r="AG126" s="752" t="e">
        <f>_xlfn.XLOOKUP(Table1[[#This Row],[Ruta]],#REF!,#REF!)</f>
        <v>#REF!</v>
      </c>
      <c r="AH126" s="52">
        <v>0.66958369706770471</v>
      </c>
      <c r="AI126" s="52">
        <v>0.33041630293229529</v>
      </c>
      <c r="AJ126" s="55">
        <v>0</v>
      </c>
      <c r="AK126" s="56">
        <v>33494</v>
      </c>
      <c r="AL126" s="44">
        <v>18846</v>
      </c>
      <c r="AM126" s="54">
        <v>0.56266794052666202</v>
      </c>
      <c r="AN126" s="55">
        <v>0.73696442291874298</v>
      </c>
      <c r="AO126" s="56">
        <v>5837.8863812403697</v>
      </c>
      <c r="AP126" s="48">
        <v>2918.9431906201849</v>
      </c>
      <c r="AQ126" s="55">
        <v>0.64981618172270217</v>
      </c>
      <c r="AR126" s="51">
        <v>4441716.34</v>
      </c>
      <c r="AS126" s="49">
        <v>687950.63489915</v>
      </c>
      <c r="AT126" s="55">
        <v>0.15488396426935044</v>
      </c>
      <c r="AU126" s="51">
        <v>483424.77046967315</v>
      </c>
      <c r="AV126" s="52">
        <v>2.1991450286179435E-3</v>
      </c>
      <c r="AW126" s="44">
        <v>152</v>
      </c>
      <c r="AX126" s="51">
        <v>235.684831794545</v>
      </c>
      <c r="AY126" s="49">
        <v>281.804910356444</v>
      </c>
      <c r="AZ126" s="49">
        <v>46.120078561898993</v>
      </c>
      <c r="BA126" s="42" t="s">
        <v>150</v>
      </c>
      <c r="BB126" s="50">
        <v>305387.21641913871</v>
      </c>
      <c r="BC126" s="57">
        <v>788811.98688881192</v>
      </c>
      <c r="BD126" s="42" t="s">
        <v>150</v>
      </c>
      <c r="BE126" s="46">
        <v>76.470319634703202</v>
      </c>
      <c r="BF126" s="46">
        <v>53.584294640711398</v>
      </c>
      <c r="BG126" s="42" t="s">
        <v>150</v>
      </c>
      <c r="BH126" s="52">
        <v>0.56266794052666202</v>
      </c>
      <c r="BI126" s="52">
        <v>0.84596921589179896</v>
      </c>
      <c r="BJ126" s="42" t="s">
        <v>152</v>
      </c>
      <c r="BK126" s="46">
        <v>472.313989285388</v>
      </c>
      <c r="BL126" s="46">
        <v>363.16023511435702</v>
      </c>
      <c r="BM126" s="42" t="s">
        <v>150</v>
      </c>
      <c r="BN126" s="48">
        <v>2</v>
      </c>
      <c r="BO126" s="42" t="s">
        <v>161</v>
      </c>
      <c r="BP126" s="42" t="s">
        <v>152</v>
      </c>
      <c r="BQ126" s="46">
        <v>0</v>
      </c>
      <c r="BR126" s="46">
        <v>352</v>
      </c>
      <c r="BS126" s="46">
        <v>12651</v>
      </c>
      <c r="BT126" s="46">
        <v>4420</v>
      </c>
      <c r="BU126" s="46">
        <v>2.8622171945701358</v>
      </c>
      <c r="BV126" s="46">
        <v>12.556818181818182</v>
      </c>
      <c r="BW126" s="46">
        <v>3090</v>
      </c>
      <c r="BX126" s="46">
        <v>1324</v>
      </c>
      <c r="BY126" s="46">
        <v>4414</v>
      </c>
      <c r="BZ126" s="46">
        <v>0.99864253393665159</v>
      </c>
      <c r="CA126" s="46">
        <v>0.69909502262443435</v>
      </c>
      <c r="CB126" s="46">
        <v>0.29954751131221719</v>
      </c>
      <c r="CC126" s="46">
        <v>1.357466063348416E-3</v>
      </c>
      <c r="CD126" s="46">
        <v>0</v>
      </c>
      <c r="CE126" s="46">
        <v>0</v>
      </c>
      <c r="CF126" s="46">
        <v>0</v>
      </c>
      <c r="CG126" s="46">
        <v>0</v>
      </c>
      <c r="CH126" s="46">
        <v>0</v>
      </c>
      <c r="CI126" s="46">
        <v>0.94854161726345743</v>
      </c>
      <c r="CJ126" s="46">
        <v>2.1342186388427788</v>
      </c>
      <c r="CK126">
        <v>513</v>
      </c>
      <c r="CL126">
        <v>645.87</v>
      </c>
      <c r="CM126">
        <f t="shared" si="14"/>
        <v>132.87</v>
      </c>
      <c r="CN126">
        <v>7.3</v>
      </c>
      <c r="CO126">
        <v>9.4499999999999993</v>
      </c>
      <c r="CP126">
        <f t="shared" si="15"/>
        <v>2.1499999999999995</v>
      </c>
      <c r="CQ126">
        <v>677.25</v>
      </c>
      <c r="CR126">
        <v>472.31</v>
      </c>
      <c r="CS126">
        <f t="shared" si="16"/>
        <v>204.94</v>
      </c>
      <c r="CT126" t="s">
        <v>152</v>
      </c>
      <c r="CU126">
        <v>86.45</v>
      </c>
      <c r="CV126">
        <v>516</v>
      </c>
      <c r="CW126" s="46">
        <v>4414</v>
      </c>
      <c r="CX126" s="46">
        <f t="shared" si="10"/>
        <v>96.858144796380103</v>
      </c>
      <c r="CY126" s="46">
        <v>132.87</v>
      </c>
      <c r="CZ126" s="46">
        <f t="shared" si="11"/>
        <v>99.864253393665166</v>
      </c>
      <c r="DA126" s="46">
        <f t="shared" si="12"/>
        <v>449.99131097527493</v>
      </c>
      <c r="DB126" s="46">
        <v>2048751.94</v>
      </c>
      <c r="DC126" s="46">
        <f t="shared" si="13"/>
        <v>17.361046987943869</v>
      </c>
      <c r="DD126" s="46">
        <v>79042.59</v>
      </c>
      <c r="DE126" s="995">
        <v>4414</v>
      </c>
      <c r="DF126" s="995">
        <v>96.974999999999994</v>
      </c>
      <c r="DG126" s="995">
        <v>127.7</v>
      </c>
      <c r="DH126" s="995">
        <v>99.864000000000004</v>
      </c>
      <c r="DI126" s="995">
        <v>1245.817</v>
      </c>
      <c r="DJ126" s="995">
        <v>5665605</v>
      </c>
      <c r="DK126" s="995">
        <v>48.427</v>
      </c>
      <c r="DL126" s="995">
        <v>220233</v>
      </c>
      <c r="DM126" s="995">
        <v>4414</v>
      </c>
      <c r="DN126" s="995">
        <v>97.462999999999994</v>
      </c>
      <c r="DO126" s="995">
        <v>106.1</v>
      </c>
      <c r="DP126" s="995">
        <v>99.864000000000004</v>
      </c>
      <c r="DQ126" s="995">
        <v>1214.55</v>
      </c>
      <c r="DR126" s="995">
        <v>5497194</v>
      </c>
      <c r="DS126" s="995">
        <v>47.228000000000002</v>
      </c>
      <c r="DT126" s="995">
        <v>213757.2</v>
      </c>
    </row>
    <row r="127" spans="1:124">
      <c r="A127" s="42" t="s">
        <v>92</v>
      </c>
      <c r="B127" s="42" t="s">
        <v>283</v>
      </c>
      <c r="C127" s="42" t="s">
        <v>284</v>
      </c>
      <c r="D127" s="42">
        <v>203322</v>
      </c>
      <c r="E127" s="42" t="s">
        <v>301</v>
      </c>
      <c r="F127" s="42" t="s">
        <v>149</v>
      </c>
      <c r="G127" s="42" t="s">
        <v>150</v>
      </c>
      <c r="H127" s="43" t="s">
        <v>150</v>
      </c>
      <c r="I127" s="44">
        <v>23</v>
      </c>
      <c r="J127" s="45">
        <v>170248.15919999999</v>
      </c>
      <c r="K127" s="46">
        <v>18744.867160999998</v>
      </c>
      <c r="L127" s="47">
        <v>188993.026361</v>
      </c>
      <c r="M127" s="48">
        <v>4229837</v>
      </c>
      <c r="N127" s="49">
        <v>2453620</v>
      </c>
      <c r="O127" s="49">
        <v>1776217</v>
      </c>
      <c r="P127" s="49">
        <v>0</v>
      </c>
      <c r="Q127" s="50">
        <v>9651.5348853210999</v>
      </c>
      <c r="R127" s="51">
        <v>3749.73774392522</v>
      </c>
      <c r="S127" s="49">
        <v>29778.0800484395</v>
      </c>
      <c r="T127" s="49">
        <v>1011.19608043901</v>
      </c>
      <c r="U127" s="49">
        <f>IFERROR(INDEX('Rentabilidad datos'!$N$2:$N$61,MATCH($C127,'Rentabilidad datos'!$C$2:$C$61,0)),"")</f>
        <v>34539.013872803756</v>
      </c>
      <c r="V127" s="50">
        <f>IFERROR(INDEX('Rentabilidad datos'!$O$2:$O$61,MATCH($C127,'Rentabilidad datos'!$C$2:$C$61,0)),"")</f>
        <v>1644.7149463239884</v>
      </c>
      <c r="W127" s="51">
        <f>IFERROR(INDEX('Rentabilidad datos'!$M$2:$M$61,MATCH($C127,'Rentabilidad datos'!$C$2:$C$61,0)),"")</f>
        <v>2501.9736837243272</v>
      </c>
      <c r="X127" s="52">
        <f>IFERROR(INDEX('Rentabilidad datos'!$P$2:$P$61,MATCH($C127,'Rentabilidad datos'!$C$2:$C$61,0)),"")</f>
        <v>0.6573670047063559</v>
      </c>
      <c r="Y127" s="43" t="s">
        <v>211</v>
      </c>
      <c r="Z127" s="53">
        <v>61.364678899082598</v>
      </c>
      <c r="AA127" s="43">
        <v>1</v>
      </c>
      <c r="AB127" s="54">
        <v>0.71155720657793664</v>
      </c>
      <c r="AC127" s="55">
        <v>0.2884427934220633</v>
      </c>
      <c r="AD127" s="752" t="e">
        <f>_xlfn.XLOOKUP(Table1[[#This Row],[Ruta]],#REF!,#REF!)</f>
        <v>#REF!</v>
      </c>
      <c r="AE127" s="752" t="e">
        <f>_xlfn.XLOOKUP(Table1[[#This Row],[Ruta]],#REF!,#REF!)</f>
        <v>#REF!</v>
      </c>
      <c r="AF127" s="752" t="e">
        <f>_xlfn.XLOOKUP(Table1[[#This Row],[Ruta]],#REF!,#REF!)</f>
        <v>#REF!</v>
      </c>
      <c r="AG127" s="752" t="e">
        <f>_xlfn.XLOOKUP(Table1[[#This Row],[Ruta]],#REF!,#REF!)</f>
        <v>#REF!</v>
      </c>
      <c r="AH127" s="52">
        <v>0.58007436220355535</v>
      </c>
      <c r="AI127" s="52">
        <v>0.41992563779644465</v>
      </c>
      <c r="AJ127" s="55">
        <v>0</v>
      </c>
      <c r="AK127" s="56">
        <v>26755</v>
      </c>
      <c r="AL127" s="44">
        <v>17511</v>
      </c>
      <c r="AM127" s="54">
        <v>0.65449448701177404</v>
      </c>
      <c r="AN127" s="55">
        <v>0.73696442291874298</v>
      </c>
      <c r="AO127" s="56">
        <v>2206.4831351909702</v>
      </c>
      <c r="AP127" s="48">
        <v>1103.2415675954851</v>
      </c>
      <c r="AQ127" s="55">
        <v>0.69572945496525818</v>
      </c>
      <c r="AR127" s="51">
        <v>4208069.21</v>
      </c>
      <c r="AS127" s="49">
        <v>265120.03151108947</v>
      </c>
      <c r="AT127" s="55">
        <v>6.3002773547797583E-2</v>
      </c>
      <c r="AU127" s="51">
        <v>186300.56268346834</v>
      </c>
      <c r="AV127" s="52">
        <v>8.4749888975698849E-4</v>
      </c>
      <c r="AW127" s="44">
        <v>321</v>
      </c>
      <c r="AX127" s="51">
        <v>240.31004568556901</v>
      </c>
      <c r="AY127" s="49">
        <v>281.804910356444</v>
      </c>
      <c r="AZ127" s="49">
        <v>41.494864670874989</v>
      </c>
      <c r="BA127" s="42" t="s">
        <v>150</v>
      </c>
      <c r="BB127" s="50">
        <v>255297.71562897295</v>
      </c>
      <c r="BC127" s="57">
        <v>441598.27831244131</v>
      </c>
      <c r="BD127" s="42" t="s">
        <v>150</v>
      </c>
      <c r="BE127" s="46">
        <v>61.364678899082598</v>
      </c>
      <c r="BF127" s="46">
        <v>53.584294640711398</v>
      </c>
      <c r="BG127" s="42" t="s">
        <v>150</v>
      </c>
      <c r="BH127" s="52">
        <v>0.65449448701177404</v>
      </c>
      <c r="BI127" s="52">
        <v>0.84596921589179896</v>
      </c>
      <c r="BJ127" s="42" t="s">
        <v>152</v>
      </c>
      <c r="BK127" s="46">
        <v>433.47024394724798</v>
      </c>
      <c r="BL127" s="46">
        <v>363.16023511435702</v>
      </c>
      <c r="BM127" s="42" t="s">
        <v>150</v>
      </c>
      <c r="BN127" s="48">
        <v>2</v>
      </c>
      <c r="BO127" s="42" t="s">
        <v>161</v>
      </c>
      <c r="BP127" s="42" t="s">
        <v>152</v>
      </c>
      <c r="BQ127" s="46">
        <v>0</v>
      </c>
      <c r="BR127" s="46">
        <v>1341</v>
      </c>
      <c r="BS127" s="46">
        <v>99482</v>
      </c>
      <c r="BT127" s="46">
        <v>26271</v>
      </c>
      <c r="BU127" s="46">
        <v>3.7867610673366068</v>
      </c>
      <c r="BV127" s="46">
        <v>19.590604026845636</v>
      </c>
      <c r="BW127" s="46">
        <v>0</v>
      </c>
      <c r="BX127" s="46">
        <v>4252</v>
      </c>
      <c r="BY127" s="46">
        <v>4252</v>
      </c>
      <c r="BZ127" s="46">
        <v>0.16185147120398918</v>
      </c>
      <c r="CA127" s="46">
        <v>0</v>
      </c>
      <c r="CB127" s="46">
        <v>0.16185147120398916</v>
      </c>
      <c r="CC127" s="46">
        <v>0.14384682730006471</v>
      </c>
      <c r="CD127" s="46">
        <v>1.9336911423242356E-2</v>
      </c>
      <c r="CE127" s="46">
        <v>0</v>
      </c>
      <c r="CF127" s="46">
        <v>0.67416542956111303</v>
      </c>
      <c r="CG127" s="46">
        <v>7.6129572532450233E-4</v>
      </c>
      <c r="CH127" s="46">
        <v>3.8064786266225115E-5</v>
      </c>
      <c r="CI127" s="46">
        <v>5.6995235318952169</v>
      </c>
      <c r="CJ127" s="46">
        <v>0.28145795219235642</v>
      </c>
      <c r="CK127">
        <v>398</v>
      </c>
      <c r="CL127">
        <v>529.29999999999995</v>
      </c>
      <c r="CM127">
        <f t="shared" si="14"/>
        <v>131.29999999999995</v>
      </c>
      <c r="CN127">
        <v>7.94</v>
      </c>
      <c r="CO127">
        <v>9.4499999999999993</v>
      </c>
      <c r="CP127">
        <f t="shared" si="15"/>
        <v>1.5099999999999989</v>
      </c>
      <c r="CQ127">
        <v>677.25</v>
      </c>
      <c r="CR127">
        <v>433.47</v>
      </c>
      <c r="CS127">
        <f t="shared" si="16"/>
        <v>243.77999999999997</v>
      </c>
      <c r="CT127" t="s">
        <v>152</v>
      </c>
      <c r="CU127">
        <v>96.36</v>
      </c>
      <c r="CV127">
        <v>124</v>
      </c>
      <c r="CW127" s="46">
        <v>4252</v>
      </c>
      <c r="CX127" s="46">
        <f t="shared" si="10"/>
        <v>15.685356476723383</v>
      </c>
      <c r="CY127" s="46">
        <v>131.30000000000001</v>
      </c>
      <c r="CZ127" s="46">
        <f t="shared" si="11"/>
        <v>16.18514712039892</v>
      </c>
      <c r="DA127" s="46">
        <f t="shared" si="12"/>
        <v>34.666929775057476</v>
      </c>
      <c r="DB127" s="46">
        <v>915286.68</v>
      </c>
      <c r="DC127" s="46">
        <f t="shared" si="13"/>
        <v>1.4989777405756317</v>
      </c>
      <c r="DD127" s="46">
        <v>39576.46</v>
      </c>
      <c r="DE127" s="995">
        <v>4252</v>
      </c>
      <c r="DF127" s="995">
        <v>15.691000000000001</v>
      </c>
      <c r="DG127" s="995">
        <v>129.80000000000001</v>
      </c>
      <c r="DH127" s="995">
        <v>16.184999999999999</v>
      </c>
      <c r="DI127" s="995">
        <v>127.01</v>
      </c>
      <c r="DJ127" s="995">
        <v>3353158</v>
      </c>
      <c r="DK127" s="995">
        <v>5.7309999999999999</v>
      </c>
      <c r="DL127" s="995">
        <v>151309.20000000001</v>
      </c>
      <c r="DM127" s="995">
        <v>4252</v>
      </c>
      <c r="DN127" s="995">
        <v>15.709</v>
      </c>
      <c r="DO127" s="995">
        <v>125.1</v>
      </c>
      <c r="DP127" s="995">
        <v>16.184999999999999</v>
      </c>
      <c r="DQ127" s="995">
        <v>125.79</v>
      </c>
      <c r="DR127" s="995">
        <v>3320353</v>
      </c>
      <c r="DS127" s="995">
        <v>5.6820000000000004</v>
      </c>
      <c r="DT127" s="995">
        <v>149995.29999999999</v>
      </c>
    </row>
    <row r="128" spans="1:124">
      <c r="A128" s="42" t="s">
        <v>92</v>
      </c>
      <c r="B128" s="42" t="s">
        <v>283</v>
      </c>
      <c r="C128" s="42" t="s">
        <v>284</v>
      </c>
      <c r="D128" s="42">
        <v>203323</v>
      </c>
      <c r="E128" s="42" t="s">
        <v>302</v>
      </c>
      <c r="F128" s="42" t="s">
        <v>149</v>
      </c>
      <c r="G128" s="42" t="s">
        <v>150</v>
      </c>
      <c r="H128" s="43" t="s">
        <v>150</v>
      </c>
      <c r="I128" s="44">
        <v>23</v>
      </c>
      <c r="J128" s="45">
        <v>159212.48000000001</v>
      </c>
      <c r="K128" s="46">
        <v>8765.8791550000005</v>
      </c>
      <c r="L128" s="47">
        <v>167978.35915500001</v>
      </c>
      <c r="M128" s="48">
        <v>3470022</v>
      </c>
      <c r="N128" s="49">
        <v>2396252</v>
      </c>
      <c r="O128" s="49">
        <v>1073770</v>
      </c>
      <c r="P128" s="49">
        <v>0</v>
      </c>
      <c r="Q128" s="50">
        <v>7920.5917084282501</v>
      </c>
      <c r="R128" s="51">
        <v>3749.73774392522</v>
      </c>
      <c r="S128" s="49">
        <v>29778.0800484395</v>
      </c>
      <c r="T128" s="49">
        <v>1011.19608043901</v>
      </c>
      <c r="U128" s="49">
        <f>IFERROR(INDEX('Rentabilidad datos'!$N$2:$N$61,MATCH($C128,'Rentabilidad datos'!$C$2:$C$61,0)),"")</f>
        <v>34539.013872803756</v>
      </c>
      <c r="V128" s="50">
        <f>IFERROR(INDEX('Rentabilidad datos'!$O$2:$O$61,MATCH($C128,'Rentabilidad datos'!$C$2:$C$61,0)),"")</f>
        <v>1644.7149463239884</v>
      </c>
      <c r="W128" s="51">
        <f>IFERROR(INDEX('Rentabilidad datos'!$M$2:$M$61,MATCH($C128,'Rentabilidad datos'!$C$2:$C$61,0)),"")</f>
        <v>2501.9736837243272</v>
      </c>
      <c r="X128" s="52">
        <f>IFERROR(INDEX('Rentabilidad datos'!$P$2:$P$61,MATCH($C128,'Rentabilidad datos'!$C$2:$C$61,0)),"")</f>
        <v>0.6573670047063559</v>
      </c>
      <c r="Y128" s="43" t="s">
        <v>211</v>
      </c>
      <c r="Z128" s="53">
        <v>42.3872437357631</v>
      </c>
      <c r="AA128" s="43">
        <v>1</v>
      </c>
      <c r="AB128" s="54">
        <v>0.82458065107368195</v>
      </c>
      <c r="AC128" s="55">
        <v>0.17541934892631805</v>
      </c>
      <c r="AD128" s="752" t="e">
        <f>_xlfn.XLOOKUP(Table1[[#This Row],[Ruta]],#REF!,#REF!)</f>
        <v>#REF!</v>
      </c>
      <c r="AE128" s="752" t="e">
        <f>_xlfn.XLOOKUP(Table1[[#This Row],[Ruta]],#REF!,#REF!)</f>
        <v>#REF!</v>
      </c>
      <c r="AF128" s="752" t="e">
        <f>_xlfn.XLOOKUP(Table1[[#This Row],[Ruta]],#REF!,#REF!)</f>
        <v>#REF!</v>
      </c>
      <c r="AG128" s="752" t="e">
        <f>_xlfn.XLOOKUP(Table1[[#This Row],[Ruta]],#REF!,#REF!)</f>
        <v>#REF!</v>
      </c>
      <c r="AH128" s="52">
        <v>0.69055815784453245</v>
      </c>
      <c r="AI128" s="52">
        <v>0.30944184215546761</v>
      </c>
      <c r="AJ128" s="55">
        <v>0</v>
      </c>
      <c r="AK128" s="56">
        <v>18608</v>
      </c>
      <c r="AL128" s="44">
        <v>13158</v>
      </c>
      <c r="AM128" s="54">
        <v>0.707115219260533</v>
      </c>
      <c r="AN128" s="55">
        <v>0.73696442291874298</v>
      </c>
      <c r="AO128" s="56">
        <v>555.43398167196801</v>
      </c>
      <c r="AP128" s="48">
        <v>277.71699083598401</v>
      </c>
      <c r="AQ128" s="55">
        <v>0.72203982108963805</v>
      </c>
      <c r="AR128" s="51">
        <v>3477139.76</v>
      </c>
      <c r="AS128" s="49">
        <v>73389.632988551006</v>
      </c>
      <c r="AT128" s="55">
        <v>2.1106322452955129E-2</v>
      </c>
      <c r="AU128" s="51">
        <v>51571.093451414243</v>
      </c>
      <c r="AV128" s="52">
        <v>2.3460178441804473E-4</v>
      </c>
      <c r="AW128" s="44">
        <v>427</v>
      </c>
      <c r="AX128" s="51">
        <v>264.26050767593898</v>
      </c>
      <c r="AY128" s="49">
        <v>281.804910356444</v>
      </c>
      <c r="AZ128" s="49">
        <v>17.544402680505016</v>
      </c>
      <c r="BA128" s="42" t="s">
        <v>150</v>
      </c>
      <c r="BB128" s="50">
        <v>81109.196111110985</v>
      </c>
      <c r="BC128" s="57">
        <v>132680.28956252523</v>
      </c>
      <c r="BD128" s="42" t="s">
        <v>150</v>
      </c>
      <c r="BE128" s="46">
        <v>42.3872437357631</v>
      </c>
      <c r="BF128" s="46">
        <v>53.584294640711398</v>
      </c>
      <c r="BG128" s="42" t="s">
        <v>152</v>
      </c>
      <c r="BH128" s="52">
        <v>0.707115219260533</v>
      </c>
      <c r="BI128" s="52">
        <v>0.84596921589179896</v>
      </c>
      <c r="BJ128" s="42" t="s">
        <v>152</v>
      </c>
      <c r="BK128" s="46">
        <v>382.63863133257399</v>
      </c>
      <c r="BL128" s="46">
        <v>363.16023511435702</v>
      </c>
      <c r="BM128" s="42" t="s">
        <v>150</v>
      </c>
      <c r="BN128" s="48">
        <v>1</v>
      </c>
      <c r="BO128" s="42" t="s">
        <v>155</v>
      </c>
      <c r="BP128" s="42" t="s">
        <v>152</v>
      </c>
      <c r="BQ128" s="46">
        <v>1594.68932578612</v>
      </c>
      <c r="BR128" s="46">
        <v>1284</v>
      </c>
      <c r="BS128" s="46">
        <v>48778</v>
      </c>
      <c r="BT128" s="46">
        <v>14083</v>
      </c>
      <c r="BU128" s="46">
        <v>3.4636086061208551</v>
      </c>
      <c r="BV128" s="46">
        <v>10.968068535825545</v>
      </c>
      <c r="BW128" s="46">
        <v>4441</v>
      </c>
      <c r="BX128" s="46">
        <v>4635</v>
      </c>
      <c r="BY128" s="46">
        <v>9076</v>
      </c>
      <c r="BZ128" s="46">
        <v>0.64446495775047929</v>
      </c>
      <c r="CA128" s="46">
        <v>0.31534474188738187</v>
      </c>
      <c r="CB128" s="46">
        <v>0.32912021586309742</v>
      </c>
      <c r="CC128" s="46">
        <v>0.1116949513597955</v>
      </c>
      <c r="CD128" s="46">
        <v>0</v>
      </c>
      <c r="CE128" s="46">
        <v>7.1007597812965985E-4</v>
      </c>
      <c r="CF128" s="46">
        <v>0.24291699211815657</v>
      </c>
      <c r="CG128" s="46">
        <v>0</v>
      </c>
      <c r="CH128" s="46">
        <v>2.1302279343889799E-4</v>
      </c>
      <c r="CI128" s="46">
        <v>3.8336955184714419</v>
      </c>
      <c r="CJ128" s="46">
        <v>0.47152404772643403</v>
      </c>
      <c r="CK128">
        <v>658</v>
      </c>
      <c r="CL128">
        <v>785.92</v>
      </c>
      <c r="CM128">
        <f t="shared" si="14"/>
        <v>127.91999999999996</v>
      </c>
      <c r="CN128">
        <v>10.52</v>
      </c>
      <c r="CO128">
        <v>9.4499999999999993</v>
      </c>
      <c r="CP128">
        <f t="shared" si="15"/>
        <v>-1.0700000000000003</v>
      </c>
      <c r="CQ128">
        <v>677.25</v>
      </c>
      <c r="CR128">
        <v>382.64</v>
      </c>
      <c r="CS128">
        <f t="shared" si="16"/>
        <v>294.61</v>
      </c>
      <c r="CT128" t="s">
        <v>150</v>
      </c>
      <c r="CU128">
        <v>113.21</v>
      </c>
      <c r="CV128">
        <v>513</v>
      </c>
      <c r="CW128" s="46">
        <v>9076</v>
      </c>
      <c r="CX128" s="46">
        <f t="shared" si="10"/>
        <v>63.538166583824477</v>
      </c>
      <c r="CY128" s="46">
        <v>127.92</v>
      </c>
      <c r="CZ128" s="46">
        <f t="shared" si="11"/>
        <v>64.446495775047936</v>
      </c>
      <c r="DA128" s="46">
        <f t="shared" si="12"/>
        <v>88.977567954784078</v>
      </c>
      <c r="DB128" s="46">
        <v>1264453.1000000001</v>
      </c>
      <c r="DC128" s="46">
        <f t="shared" si="13"/>
        <v>3.6524996270473689</v>
      </c>
      <c r="DD128" s="46">
        <v>51905.38</v>
      </c>
      <c r="DE128" s="995">
        <v>9076</v>
      </c>
      <c r="DF128" s="995">
        <v>63.488999999999997</v>
      </c>
      <c r="DG128" s="995">
        <v>134.9</v>
      </c>
      <c r="DH128" s="995">
        <v>64.445999999999998</v>
      </c>
      <c r="DI128" s="995">
        <v>388.899</v>
      </c>
      <c r="DJ128" s="995">
        <v>5529313</v>
      </c>
      <c r="DK128" s="995">
        <v>17.466000000000001</v>
      </c>
      <c r="DL128" s="995">
        <v>248326.3</v>
      </c>
      <c r="DM128" s="995">
        <v>9076</v>
      </c>
      <c r="DN128" s="995">
        <v>63.497</v>
      </c>
      <c r="DO128" s="995">
        <v>133.69999999999999</v>
      </c>
      <c r="DP128" s="995">
        <v>64.445999999999998</v>
      </c>
      <c r="DQ128" s="995">
        <v>388.351</v>
      </c>
      <c r="DR128" s="995">
        <v>5521052</v>
      </c>
      <c r="DS128" s="995">
        <v>17.440999999999999</v>
      </c>
      <c r="DT128" s="995">
        <v>247958.1</v>
      </c>
    </row>
    <row r="129" spans="1:124">
      <c r="A129" s="42" t="s">
        <v>92</v>
      </c>
      <c r="B129" s="42" t="s">
        <v>283</v>
      </c>
      <c r="C129" s="42" t="s">
        <v>284</v>
      </c>
      <c r="D129" s="42">
        <v>203324</v>
      </c>
      <c r="E129" s="42" t="s">
        <v>303</v>
      </c>
      <c r="F129" s="42" t="s">
        <v>149</v>
      </c>
      <c r="G129" s="42" t="s">
        <v>150</v>
      </c>
      <c r="H129" s="43" t="s">
        <v>150</v>
      </c>
      <c r="I129" s="44">
        <v>23</v>
      </c>
      <c r="J129" s="45">
        <v>217265.1544</v>
      </c>
      <c r="K129" s="46">
        <v>6129.1893499999996</v>
      </c>
      <c r="L129" s="47">
        <v>223394.34375</v>
      </c>
      <c r="M129" s="48">
        <v>4045363</v>
      </c>
      <c r="N129" s="49">
        <v>3347442</v>
      </c>
      <c r="O129" s="49">
        <v>697921</v>
      </c>
      <c r="P129" s="49">
        <v>0</v>
      </c>
      <c r="Q129" s="50">
        <v>9214.9526195899798</v>
      </c>
      <c r="R129" s="51">
        <v>3749.73774392522</v>
      </c>
      <c r="S129" s="49">
        <v>29778.0800484395</v>
      </c>
      <c r="T129" s="49">
        <v>1011.19608043901</v>
      </c>
      <c r="U129" s="49">
        <f>IFERROR(INDEX('Rentabilidad datos'!$N$2:$N$61,MATCH($C129,'Rentabilidad datos'!$C$2:$C$61,0)),"")</f>
        <v>34539.013872803756</v>
      </c>
      <c r="V129" s="50">
        <f>IFERROR(INDEX('Rentabilidad datos'!$O$2:$O$61,MATCH($C129,'Rentabilidad datos'!$C$2:$C$61,0)),"")</f>
        <v>1644.7149463239884</v>
      </c>
      <c r="W129" s="51">
        <f>IFERROR(INDEX('Rentabilidad datos'!$M$2:$M$61,MATCH($C129,'Rentabilidad datos'!$C$2:$C$61,0)),"")</f>
        <v>2501.9736837243272</v>
      </c>
      <c r="X129" s="52">
        <f>IFERROR(INDEX('Rentabilidad datos'!$P$2:$P$61,MATCH($C129,'Rentabilidad datos'!$C$2:$C$61,0)),"")</f>
        <v>0.6573670047063559</v>
      </c>
      <c r="Y129" s="43" t="s">
        <v>211</v>
      </c>
      <c r="Z129" s="53">
        <v>58.348519362186799</v>
      </c>
      <c r="AA129" s="43">
        <v>1</v>
      </c>
      <c r="AB129" s="54">
        <v>0.8400499534899587</v>
      </c>
      <c r="AC129" s="55">
        <v>0.15995004651004124</v>
      </c>
      <c r="AD129" s="752" t="e">
        <f>_xlfn.XLOOKUP(Table1[[#This Row],[Ruta]],#REF!,#REF!)</f>
        <v>#REF!</v>
      </c>
      <c r="AE129" s="752" t="e">
        <f>_xlfn.XLOOKUP(Table1[[#This Row],[Ruta]],#REF!,#REF!)</f>
        <v>#REF!</v>
      </c>
      <c r="AF129" s="752" t="e">
        <f>_xlfn.XLOOKUP(Table1[[#This Row],[Ruta]],#REF!,#REF!)</f>
        <v>#REF!</v>
      </c>
      <c r="AG129" s="752" t="e">
        <f>_xlfn.XLOOKUP(Table1[[#This Row],[Ruta]],#REF!,#REF!)</f>
        <v>#REF!</v>
      </c>
      <c r="AH129" s="52">
        <v>0.82747629817151147</v>
      </c>
      <c r="AI129" s="52">
        <v>0.17252370182848856</v>
      </c>
      <c r="AJ129" s="55">
        <v>0</v>
      </c>
      <c r="AK129" s="56">
        <v>25615</v>
      </c>
      <c r="AL129" s="44">
        <v>21661</v>
      </c>
      <c r="AM129" s="54">
        <v>0.84563732188171004</v>
      </c>
      <c r="AN129" s="55">
        <v>0.73696442291874298</v>
      </c>
      <c r="AO129" s="56">
        <v>0</v>
      </c>
      <c r="AP129" s="48">
        <v>0</v>
      </c>
      <c r="AQ129" s="55">
        <v>0.84563732188170992</v>
      </c>
      <c r="AR129" s="51">
        <v>4045364.2</v>
      </c>
      <c r="AS129" s="49">
        <v>0</v>
      </c>
      <c r="AT129" s="55">
        <v>0</v>
      </c>
      <c r="AU129" s="51">
        <v>0</v>
      </c>
      <c r="AV129" s="52">
        <v>0</v>
      </c>
      <c r="AW129" s="44">
        <v>490</v>
      </c>
      <c r="AX129" s="51">
        <v>186.757961312959</v>
      </c>
      <c r="AY129" s="49">
        <v>281.804910356444</v>
      </c>
      <c r="AZ129" s="49">
        <v>95.046949043485</v>
      </c>
      <c r="BA129" s="42" t="s">
        <v>150</v>
      </c>
      <c r="BB129" s="50">
        <v>723366.36545951571</v>
      </c>
      <c r="BC129" s="57">
        <v>723366.36545951571</v>
      </c>
      <c r="BD129" s="42" t="s">
        <v>150</v>
      </c>
      <c r="BE129" s="46">
        <v>58.348519362186799</v>
      </c>
      <c r="BF129" s="46">
        <v>53.584294640711398</v>
      </c>
      <c r="BG129" s="42" t="s">
        <v>150</v>
      </c>
      <c r="BH129" s="52">
        <v>0.84563732188171004</v>
      </c>
      <c r="BI129" s="52">
        <v>0.84596921589179896</v>
      </c>
      <c r="BJ129" s="42" t="s">
        <v>152</v>
      </c>
      <c r="BK129" s="46">
        <v>508.87094248291498</v>
      </c>
      <c r="BL129" s="46">
        <v>363.16023511435702</v>
      </c>
      <c r="BM129" s="42" t="s">
        <v>150</v>
      </c>
      <c r="BN129" s="48">
        <v>2</v>
      </c>
      <c r="BO129" s="42" t="s">
        <v>161</v>
      </c>
      <c r="BP129" s="42" t="s">
        <v>152</v>
      </c>
      <c r="BQ129" s="46">
        <v>0</v>
      </c>
      <c r="BR129" s="46">
        <v>1000</v>
      </c>
      <c r="BS129" s="46">
        <v>45115</v>
      </c>
      <c r="BT129" s="46">
        <v>12871</v>
      </c>
      <c r="BU129" s="46">
        <v>3.50516665371766</v>
      </c>
      <c r="BV129" s="46">
        <v>12.871</v>
      </c>
      <c r="BW129" s="46">
        <v>3806</v>
      </c>
      <c r="BX129" s="46">
        <v>4069</v>
      </c>
      <c r="BY129" s="46">
        <v>7875</v>
      </c>
      <c r="BZ129" s="46">
        <v>0.61184057182814078</v>
      </c>
      <c r="CA129" s="46">
        <v>0.29570351954005131</v>
      </c>
      <c r="CB129" s="46">
        <v>0.31613705228808953</v>
      </c>
      <c r="CC129" s="46">
        <v>0.1531349545489861</v>
      </c>
      <c r="CD129" s="46">
        <v>0.13790692253904119</v>
      </c>
      <c r="CE129" s="46">
        <v>0</v>
      </c>
      <c r="CF129" s="46">
        <v>9.7117551083831868E-2</v>
      </c>
      <c r="CG129" s="46">
        <v>0</v>
      </c>
      <c r="CH129" s="46">
        <v>0</v>
      </c>
      <c r="CI129" s="46">
        <v>3.0588496065610116</v>
      </c>
      <c r="CJ129" s="46">
        <v>0.79796076692895934</v>
      </c>
      <c r="CK129">
        <v>516</v>
      </c>
      <c r="CL129">
        <v>861.01</v>
      </c>
      <c r="CM129">
        <f t="shared" si="14"/>
        <v>345.01</v>
      </c>
      <c r="CN129">
        <v>11.93</v>
      </c>
      <c r="CO129">
        <v>9.4499999999999993</v>
      </c>
      <c r="CP129">
        <f t="shared" si="15"/>
        <v>-2.4800000000000004</v>
      </c>
      <c r="CQ129">
        <v>677.25</v>
      </c>
      <c r="CR129">
        <v>508.87</v>
      </c>
      <c r="CS129">
        <f t="shared" si="16"/>
        <v>168.38</v>
      </c>
      <c r="CT129" t="s">
        <v>150</v>
      </c>
      <c r="CU129">
        <v>140.18</v>
      </c>
      <c r="CV129">
        <v>396</v>
      </c>
      <c r="CW129" s="46">
        <v>7875</v>
      </c>
      <c r="CX129" s="46">
        <f t="shared" si="10"/>
        <v>58.50353507885945</v>
      </c>
      <c r="CY129" s="46">
        <v>345.01</v>
      </c>
      <c r="CZ129" s="46">
        <f t="shared" si="11"/>
        <v>61.18405718281408</v>
      </c>
      <c r="DA129" s="46">
        <f t="shared" si="12"/>
        <v>211.09970255773109</v>
      </c>
      <c r="DB129" s="46">
        <v>2789895.78</v>
      </c>
      <c r="DC129" s="46">
        <f t="shared" si="13"/>
        <v>9.3952312384751533</v>
      </c>
      <c r="DD129" s="46">
        <v>124167.47</v>
      </c>
      <c r="DE129" s="995">
        <v>7875</v>
      </c>
      <c r="DF129" s="995">
        <v>58.511000000000003</v>
      </c>
      <c r="DG129" s="995">
        <v>344</v>
      </c>
      <c r="DH129" s="995">
        <v>61.183999999999997</v>
      </c>
      <c r="DI129" s="995">
        <v>508.54599999999999</v>
      </c>
      <c r="DJ129" s="995">
        <v>6720456</v>
      </c>
      <c r="DK129" s="995">
        <v>22.443000000000001</v>
      </c>
      <c r="DL129" s="995">
        <v>296584.90000000002</v>
      </c>
      <c r="DM129" s="995">
        <v>7875</v>
      </c>
      <c r="DN129" s="995">
        <v>58.533999999999999</v>
      </c>
      <c r="DO129" s="995">
        <v>341.1</v>
      </c>
      <c r="DP129" s="995">
        <v>61.183999999999997</v>
      </c>
      <c r="DQ129" s="995">
        <v>507.36700000000002</v>
      </c>
      <c r="DR129" s="995">
        <v>6703406</v>
      </c>
      <c r="DS129" s="995">
        <v>22.382000000000001</v>
      </c>
      <c r="DT129" s="995">
        <v>295716.09999999998</v>
      </c>
    </row>
    <row r="130" spans="1:124">
      <c r="A130" s="42" t="s">
        <v>92</v>
      </c>
      <c r="B130" s="42" t="s">
        <v>283</v>
      </c>
      <c r="C130" s="42" t="s">
        <v>284</v>
      </c>
      <c r="D130" s="42">
        <v>203325</v>
      </c>
      <c r="E130" s="42" t="s">
        <v>304</v>
      </c>
      <c r="F130" s="42" t="s">
        <v>149</v>
      </c>
      <c r="G130" s="42" t="s">
        <v>150</v>
      </c>
      <c r="H130" s="43" t="s">
        <v>150</v>
      </c>
      <c r="I130" s="44">
        <v>23</v>
      </c>
      <c r="J130" s="45">
        <v>154957.42079999999</v>
      </c>
      <c r="K130" s="46">
        <v>11794.494035</v>
      </c>
      <c r="L130" s="47">
        <v>166751.914835</v>
      </c>
      <c r="M130" s="48">
        <v>4011326</v>
      </c>
      <c r="N130" s="49">
        <v>2397677</v>
      </c>
      <c r="O130" s="49">
        <v>1613649</v>
      </c>
      <c r="P130" s="49">
        <v>0</v>
      </c>
      <c r="Q130" s="50">
        <v>9179.2365675057208</v>
      </c>
      <c r="R130" s="51">
        <v>3749.73774392522</v>
      </c>
      <c r="S130" s="49">
        <v>29778.0800484395</v>
      </c>
      <c r="T130" s="49">
        <v>1011.19608043901</v>
      </c>
      <c r="U130" s="49">
        <f>IFERROR(INDEX('Rentabilidad datos'!$N$2:$N$61,MATCH($C130,'Rentabilidad datos'!$C$2:$C$61,0)),"")</f>
        <v>34539.013872803756</v>
      </c>
      <c r="V130" s="50">
        <f>IFERROR(INDEX('Rentabilidad datos'!$O$2:$O$61,MATCH($C130,'Rentabilidad datos'!$C$2:$C$61,0)),"")</f>
        <v>1644.7149463239884</v>
      </c>
      <c r="W130" s="51">
        <f>IFERROR(INDEX('Rentabilidad datos'!$M$2:$M$61,MATCH($C130,'Rentabilidad datos'!$C$2:$C$61,0)),"")</f>
        <v>2501.9736837243272</v>
      </c>
      <c r="X130" s="52">
        <f>IFERROR(INDEX('Rentabilidad datos'!$P$2:$P$61,MATCH($C130,'Rentabilidad datos'!$C$2:$C$61,0)),"")</f>
        <v>0.6573670047063559</v>
      </c>
      <c r="Y130" s="43" t="s">
        <v>211</v>
      </c>
      <c r="Z130" s="53">
        <v>73.450800915331797</v>
      </c>
      <c r="AA130" s="43">
        <v>1</v>
      </c>
      <c r="AB130" s="54">
        <v>0.94120074010439436</v>
      </c>
      <c r="AC130" s="55">
        <v>5.8799259895605596E-2</v>
      </c>
      <c r="AD130" s="752" t="e">
        <f>_xlfn.XLOOKUP(Table1[[#This Row],[Ruta]],#REF!,#REF!)</f>
        <v>#REF!</v>
      </c>
      <c r="AE130" s="752" t="e">
        <f>_xlfn.XLOOKUP(Table1[[#This Row],[Ruta]],#REF!,#REF!)</f>
        <v>#REF!</v>
      </c>
      <c r="AF130" s="752" t="e">
        <f>_xlfn.XLOOKUP(Table1[[#This Row],[Ruta]],#REF!,#REF!)</f>
        <v>#REF!</v>
      </c>
      <c r="AG130" s="752" t="e">
        <f>_xlfn.XLOOKUP(Table1[[#This Row],[Ruta]],#REF!,#REF!)</f>
        <v>#REF!</v>
      </c>
      <c r="AH130" s="52">
        <v>0.59772678660373157</v>
      </c>
      <c r="AI130" s="52">
        <v>0.40227321339626848</v>
      </c>
      <c r="AJ130" s="55">
        <v>0</v>
      </c>
      <c r="AK130" s="56">
        <v>32098</v>
      </c>
      <c r="AL130" s="44">
        <v>20380</v>
      </c>
      <c r="AM130" s="54">
        <v>0.63493052526637195</v>
      </c>
      <c r="AN130" s="55">
        <v>0.73696442291874298</v>
      </c>
      <c r="AO130" s="56">
        <v>3275.08404684581</v>
      </c>
      <c r="AP130" s="48">
        <v>1637.542023422905</v>
      </c>
      <c r="AQ130" s="55">
        <v>0.68594747409255741</v>
      </c>
      <c r="AR130" s="51">
        <v>4011326.38</v>
      </c>
      <c r="AS130" s="49">
        <v>322311.85068277101</v>
      </c>
      <c r="AT130" s="55">
        <v>8.0350442758729351E-2</v>
      </c>
      <c r="AU130" s="51">
        <v>226489.40858789324</v>
      </c>
      <c r="AV130" s="52">
        <v>1.0303217529519001E-3</v>
      </c>
      <c r="AW130" s="44">
        <v>290</v>
      </c>
      <c r="AX130" s="51">
        <v>196.82661334641799</v>
      </c>
      <c r="AY130" s="49">
        <v>281.804910356444</v>
      </c>
      <c r="AZ130" s="49">
        <v>84.978297010026012</v>
      </c>
      <c r="BA130" s="42" t="s">
        <v>150</v>
      </c>
      <c r="BB130" s="50">
        <v>608490.5408063865</v>
      </c>
      <c r="BC130" s="57">
        <v>834979.94939427974</v>
      </c>
      <c r="BD130" s="42" t="s">
        <v>150</v>
      </c>
      <c r="BE130" s="46">
        <v>73.450800915331797</v>
      </c>
      <c r="BF130" s="46">
        <v>53.584294640711398</v>
      </c>
      <c r="BG130" s="42" t="s">
        <v>150</v>
      </c>
      <c r="BH130" s="52">
        <v>0.63493052526637195</v>
      </c>
      <c r="BI130" s="52">
        <v>0.84596921589179896</v>
      </c>
      <c r="BJ130" s="42" t="s">
        <v>152</v>
      </c>
      <c r="BK130" s="46">
        <v>381.58332914187599</v>
      </c>
      <c r="BL130" s="46">
        <v>363.16023511435702</v>
      </c>
      <c r="BM130" s="42" t="s">
        <v>150</v>
      </c>
      <c r="BN130" s="48">
        <v>2</v>
      </c>
      <c r="BO130" s="42" t="s">
        <v>161</v>
      </c>
      <c r="BP130" s="42" t="s">
        <v>152</v>
      </c>
      <c r="BQ130" s="46">
        <v>105.636688290058</v>
      </c>
      <c r="BR130" s="46">
        <v>290</v>
      </c>
      <c r="BS130" s="46">
        <v>11959</v>
      </c>
      <c r="BT130" s="46">
        <v>4101</v>
      </c>
      <c r="BU130" s="46">
        <v>2.9161180199951233</v>
      </c>
      <c r="BV130" s="46">
        <v>14.141379310344828</v>
      </c>
      <c r="BW130" s="46">
        <v>1907</v>
      </c>
      <c r="BX130" s="46">
        <v>2194</v>
      </c>
      <c r="BY130" s="46">
        <v>4101</v>
      </c>
      <c r="BZ130" s="46">
        <v>1</v>
      </c>
      <c r="CA130" s="46">
        <v>0.46500853450377949</v>
      </c>
      <c r="CB130" s="46">
        <v>0.53499146549622045</v>
      </c>
      <c r="CC130" s="46">
        <v>0</v>
      </c>
      <c r="CD130" s="46">
        <v>0</v>
      </c>
      <c r="CE130" s="46">
        <v>0</v>
      </c>
      <c r="CF130" s="46">
        <v>0</v>
      </c>
      <c r="CG130" s="46">
        <v>0</v>
      </c>
      <c r="CH130" s="46">
        <v>0</v>
      </c>
      <c r="CI130" s="46">
        <v>2.7594280458232285</v>
      </c>
      <c r="CJ130" s="46">
        <v>1.67238063383226</v>
      </c>
      <c r="CK130">
        <v>515</v>
      </c>
      <c r="CL130">
        <v>739.95</v>
      </c>
      <c r="CM130">
        <f t="shared" si="14"/>
        <v>224.95000000000005</v>
      </c>
      <c r="CN130">
        <v>7.23</v>
      </c>
      <c r="CO130">
        <v>9.4499999999999993</v>
      </c>
      <c r="CP130">
        <f t="shared" si="15"/>
        <v>2.2199999999999989</v>
      </c>
      <c r="CQ130">
        <v>677.25</v>
      </c>
      <c r="CR130">
        <v>381.58</v>
      </c>
      <c r="CS130">
        <f t="shared" si="16"/>
        <v>295.67</v>
      </c>
      <c r="CT130" t="s">
        <v>152</v>
      </c>
      <c r="CU130">
        <v>80.3</v>
      </c>
      <c r="CV130">
        <v>520</v>
      </c>
      <c r="CW130" s="46">
        <v>4101</v>
      </c>
      <c r="CX130" s="46">
        <f t="shared" si="10"/>
        <v>94.514752499390397</v>
      </c>
      <c r="CY130" s="46">
        <v>224.95</v>
      </c>
      <c r="CZ130" s="46">
        <f t="shared" si="11"/>
        <v>100</v>
      </c>
      <c r="DA130" s="46">
        <f t="shared" si="12"/>
        <v>712.02926987135777</v>
      </c>
      <c r="DB130" s="46">
        <v>3080203.02</v>
      </c>
      <c r="DC130" s="46">
        <f t="shared" si="13"/>
        <v>28.243507206509555</v>
      </c>
      <c r="DD130" s="46">
        <v>122180</v>
      </c>
      <c r="DE130" s="995">
        <v>4101</v>
      </c>
      <c r="DF130" s="995">
        <v>95.153000000000006</v>
      </c>
      <c r="DG130" s="995">
        <v>198.8</v>
      </c>
      <c r="DH130" s="995">
        <v>100</v>
      </c>
      <c r="DI130" s="995">
        <v>1426.58</v>
      </c>
      <c r="DJ130" s="995">
        <v>6133960</v>
      </c>
      <c r="DK130" s="995">
        <v>55.774999999999999</v>
      </c>
      <c r="DL130" s="995">
        <v>239819.3</v>
      </c>
      <c r="DM130" s="995">
        <v>4101</v>
      </c>
      <c r="DN130" s="995">
        <v>95.882999999999996</v>
      </c>
      <c r="DO130" s="995">
        <v>168.9</v>
      </c>
      <c r="DP130" s="995">
        <v>100</v>
      </c>
      <c r="DQ130" s="995">
        <v>1385.3530000000001</v>
      </c>
      <c r="DR130" s="995">
        <v>5915259</v>
      </c>
      <c r="DS130" s="995">
        <v>54.07</v>
      </c>
      <c r="DT130" s="995">
        <v>230871.6</v>
      </c>
    </row>
    <row r="131" spans="1:124">
      <c r="A131" s="42" t="s">
        <v>92</v>
      </c>
      <c r="B131" s="42" t="s">
        <v>283</v>
      </c>
      <c r="C131" s="42" t="s">
        <v>284</v>
      </c>
      <c r="D131" s="42">
        <v>203327</v>
      </c>
      <c r="E131" s="42" t="s">
        <v>305</v>
      </c>
      <c r="F131" s="42" t="s">
        <v>149</v>
      </c>
      <c r="G131" s="42" t="s">
        <v>150</v>
      </c>
      <c r="H131" s="43" t="s">
        <v>150</v>
      </c>
      <c r="I131" s="44">
        <v>23</v>
      </c>
      <c r="J131" s="45">
        <v>60476.085599999897</v>
      </c>
      <c r="K131" s="46">
        <v>23843.116543</v>
      </c>
      <c r="L131" s="47">
        <v>84319.202143000002</v>
      </c>
      <c r="M131" s="48">
        <v>4466070</v>
      </c>
      <c r="N131" s="49">
        <v>930907</v>
      </c>
      <c r="O131" s="49">
        <v>3535163</v>
      </c>
      <c r="P131" s="49">
        <v>0</v>
      </c>
      <c r="Q131" s="50">
        <v>10149.630159090901</v>
      </c>
      <c r="R131" s="51">
        <v>3749.73774392522</v>
      </c>
      <c r="S131" s="49">
        <v>29778.0800484395</v>
      </c>
      <c r="T131" s="49">
        <v>1011.19608043901</v>
      </c>
      <c r="U131" s="49">
        <f>IFERROR(INDEX('Rentabilidad datos'!$N$2:$N$61,MATCH($C131,'Rentabilidad datos'!$C$2:$C$61,0)),"")</f>
        <v>34539.013872803756</v>
      </c>
      <c r="V131" s="50">
        <f>IFERROR(INDEX('Rentabilidad datos'!$O$2:$O$61,MATCH($C131,'Rentabilidad datos'!$C$2:$C$61,0)),"")</f>
        <v>1644.7149463239884</v>
      </c>
      <c r="W131" s="51">
        <f>IFERROR(INDEX('Rentabilidad datos'!$M$2:$M$61,MATCH($C131,'Rentabilidad datos'!$C$2:$C$61,0)),"")</f>
        <v>2501.9736837243272</v>
      </c>
      <c r="X131" s="52">
        <f>IFERROR(INDEX('Rentabilidad datos'!$P$2:$P$61,MATCH($C131,'Rentabilidad datos'!$C$2:$C$61,0)),"")</f>
        <v>0.6573670047063559</v>
      </c>
      <c r="Y131" s="43" t="s">
        <v>211</v>
      </c>
      <c r="Z131" s="53">
        <v>39.218181818181797</v>
      </c>
      <c r="AA131" s="43">
        <v>1</v>
      </c>
      <c r="AB131" s="54">
        <v>1</v>
      </c>
      <c r="AC131" s="55">
        <v>0</v>
      </c>
      <c r="AD131" s="752" t="e">
        <f>_xlfn.XLOOKUP(Table1[[#This Row],[Ruta]],#REF!,#REF!)</f>
        <v>#REF!</v>
      </c>
      <c r="AE131" s="752" t="e">
        <f>_xlfn.XLOOKUP(Table1[[#This Row],[Ruta]],#REF!,#REF!)</f>
        <v>#REF!</v>
      </c>
      <c r="AF131" s="752" t="e">
        <f>_xlfn.XLOOKUP(Table1[[#This Row],[Ruta]],#REF!,#REF!)</f>
        <v>#REF!</v>
      </c>
      <c r="AG131" s="752" t="e">
        <f>_xlfn.XLOOKUP(Table1[[#This Row],[Ruta]],#REF!,#REF!)</f>
        <v>#REF!</v>
      </c>
      <c r="AH131" s="52">
        <v>0.20843985875725191</v>
      </c>
      <c r="AI131" s="52">
        <v>0.79156014124274809</v>
      </c>
      <c r="AJ131" s="55">
        <v>0</v>
      </c>
      <c r="AK131" s="56">
        <v>17256</v>
      </c>
      <c r="AL131" s="44">
        <v>14698</v>
      </c>
      <c r="AM131" s="54">
        <v>0.85176170607324997</v>
      </c>
      <c r="AN131" s="55">
        <v>0.73696442291874298</v>
      </c>
      <c r="AO131" s="56">
        <v>0</v>
      </c>
      <c r="AP131" s="48">
        <v>0</v>
      </c>
      <c r="AQ131" s="55">
        <v>0.85176170607324986</v>
      </c>
      <c r="AR131" s="51">
        <v>4465837.2699999996</v>
      </c>
      <c r="AS131" s="49">
        <v>0</v>
      </c>
      <c r="AT131" s="55">
        <v>0</v>
      </c>
      <c r="AU131" s="51">
        <v>0</v>
      </c>
      <c r="AV131" s="52">
        <v>0</v>
      </c>
      <c r="AW131" s="44">
        <v>490</v>
      </c>
      <c r="AX131" s="51">
        <v>303.83979248877398</v>
      </c>
      <c r="AY131" s="49">
        <v>281.804910356444</v>
      </c>
      <c r="AZ131" s="49">
        <v>0</v>
      </c>
      <c r="BA131" s="42" t="s">
        <v>152</v>
      </c>
      <c r="BB131" s="50">
        <v>0</v>
      </c>
      <c r="BC131" s="57">
        <v>0</v>
      </c>
      <c r="BD131" s="42" t="s">
        <v>150</v>
      </c>
      <c r="BE131" s="46">
        <v>39.218181818181797</v>
      </c>
      <c r="BF131" s="46">
        <v>53.584294640711398</v>
      </c>
      <c r="BG131" s="42" t="s">
        <v>152</v>
      </c>
      <c r="BH131" s="52">
        <v>0.85176170607324997</v>
      </c>
      <c r="BI131" s="52">
        <v>0.84596921589179896</v>
      </c>
      <c r="BJ131" s="42" t="s">
        <v>150</v>
      </c>
      <c r="BK131" s="46">
        <v>191.63455032499999</v>
      </c>
      <c r="BL131" s="46">
        <v>363.16023511435702</v>
      </c>
      <c r="BM131" s="42" t="s">
        <v>152</v>
      </c>
      <c r="BN131" s="48">
        <v>1</v>
      </c>
      <c r="BO131" s="42" t="s">
        <v>155</v>
      </c>
      <c r="BP131" s="42" t="s">
        <v>152</v>
      </c>
      <c r="BQ131" s="46">
        <v>4647.4610695506199</v>
      </c>
      <c r="BR131" s="46" t="e">
        <v>#N/A</v>
      </c>
      <c r="BS131" s="46" t="e">
        <v>#N/A</v>
      </c>
      <c r="BT131" s="46" t="e">
        <v>#N/A</v>
      </c>
      <c r="BU131" s="46" t="e">
        <v>#N/A</v>
      </c>
      <c r="BV131" s="46" t="e">
        <v>#N/A</v>
      </c>
      <c r="BW131" s="46" t="e">
        <v>#N/A</v>
      </c>
      <c r="BX131" s="46" t="e">
        <v>#N/A</v>
      </c>
      <c r="BY131" s="46" t="e">
        <v>#N/A</v>
      </c>
      <c r="BZ131" s="46" t="e">
        <v>#N/A</v>
      </c>
      <c r="CA131" s="46" t="e">
        <v>#N/A</v>
      </c>
      <c r="CB131" s="46" t="e">
        <v>#N/A</v>
      </c>
      <c r="CC131" s="46" t="e">
        <v>#N/A</v>
      </c>
      <c r="CD131" s="46" t="e">
        <v>#N/A</v>
      </c>
      <c r="CE131" s="46" t="e">
        <v>#N/A</v>
      </c>
      <c r="CF131" s="46" t="e">
        <v>#N/A</v>
      </c>
      <c r="CG131" s="46" t="e">
        <v>#N/A</v>
      </c>
      <c r="CH131" s="46" t="e">
        <v>#N/A</v>
      </c>
      <c r="CI131" s="46" t="e">
        <v>#N/A</v>
      </c>
      <c r="CJ131" s="46" t="e">
        <v>#N/A</v>
      </c>
      <c r="CM131">
        <f t="shared" si="14"/>
        <v>0</v>
      </c>
      <c r="CP131">
        <f t="shared" si="15"/>
        <v>0</v>
      </c>
      <c r="CS131">
        <f t="shared" si="16"/>
        <v>0</v>
      </c>
      <c r="CW131" s="46"/>
      <c r="CX131" s="46" t="e">
        <f t="shared" si="10"/>
        <v>#N/A</v>
      </c>
      <c r="CY131" s="46"/>
      <c r="CZ131" s="46" t="e">
        <f t="shared" si="11"/>
        <v>#N/A</v>
      </c>
      <c r="DA131" s="46" t="e">
        <f t="shared" si="12"/>
        <v>#N/A</v>
      </c>
      <c r="DB131" s="46"/>
      <c r="DC131" s="46" t="e">
        <f t="shared" si="13"/>
        <v>#N/A</v>
      </c>
      <c r="DD131" s="46"/>
      <c r="DE131" s="995" t="s">
        <v>194</v>
      </c>
      <c r="DF131" s="995" t="s">
        <v>194</v>
      </c>
      <c r="DG131" s="995" t="s">
        <v>194</v>
      </c>
      <c r="DH131" s="995" t="s">
        <v>194</v>
      </c>
      <c r="DI131" s="995" t="s">
        <v>194</v>
      </c>
      <c r="DJ131" s="995" t="s">
        <v>194</v>
      </c>
      <c r="DK131" s="995" t="s">
        <v>194</v>
      </c>
      <c r="DL131" s="995" t="s">
        <v>194</v>
      </c>
      <c r="DM131" s="995" t="s">
        <v>194</v>
      </c>
      <c r="DN131" s="995" t="s">
        <v>194</v>
      </c>
      <c r="DO131" s="995" t="s">
        <v>194</v>
      </c>
      <c r="DP131" s="995" t="s">
        <v>194</v>
      </c>
      <c r="DQ131" s="995" t="s">
        <v>194</v>
      </c>
      <c r="DR131" s="995" t="s">
        <v>194</v>
      </c>
      <c r="DS131" s="995" t="s">
        <v>194</v>
      </c>
      <c r="DT131" s="995" t="s">
        <v>194</v>
      </c>
    </row>
    <row r="132" spans="1:124">
      <c r="A132" s="42" t="s">
        <v>92</v>
      </c>
      <c r="B132" s="42" t="s">
        <v>283</v>
      </c>
      <c r="C132" s="42" t="s">
        <v>284</v>
      </c>
      <c r="D132" s="42">
        <v>203329</v>
      </c>
      <c r="E132" s="42" t="s">
        <v>306</v>
      </c>
      <c r="F132" s="42" t="s">
        <v>149</v>
      </c>
      <c r="G132" s="42" t="s">
        <v>150</v>
      </c>
      <c r="H132" s="43" t="s">
        <v>150</v>
      </c>
      <c r="I132" s="44">
        <v>23</v>
      </c>
      <c r="J132" s="45">
        <v>109740.372</v>
      </c>
      <c r="K132" s="46">
        <v>18235.176885000001</v>
      </c>
      <c r="L132" s="47">
        <v>127975.548885</v>
      </c>
      <c r="M132" s="48">
        <v>4410698</v>
      </c>
      <c r="N132" s="49">
        <v>1705495</v>
      </c>
      <c r="O132" s="49">
        <v>2705203</v>
      </c>
      <c r="P132" s="49">
        <v>0</v>
      </c>
      <c r="Q132" s="50">
        <v>10047.317208238001</v>
      </c>
      <c r="R132" s="51">
        <v>3749.73774392522</v>
      </c>
      <c r="S132" s="49">
        <v>29778.0800484395</v>
      </c>
      <c r="T132" s="49">
        <v>1011.19608043901</v>
      </c>
      <c r="U132" s="49">
        <f>IFERROR(INDEX('Rentabilidad datos'!$N$2:$N$61,MATCH($C132,'Rentabilidad datos'!$C$2:$C$61,0)),"")</f>
        <v>34539.013872803756</v>
      </c>
      <c r="V132" s="50">
        <f>IFERROR(INDEX('Rentabilidad datos'!$O$2:$O$61,MATCH($C132,'Rentabilidad datos'!$C$2:$C$61,0)),"")</f>
        <v>1644.7149463239884</v>
      </c>
      <c r="W132" s="51">
        <f>IFERROR(INDEX('Rentabilidad datos'!$M$2:$M$61,MATCH($C132,'Rentabilidad datos'!$C$2:$C$61,0)),"")</f>
        <v>2501.9736837243272</v>
      </c>
      <c r="X132" s="52">
        <f>IFERROR(INDEX('Rentabilidad datos'!$P$2:$P$61,MATCH($C132,'Rentabilidad datos'!$C$2:$C$61,0)),"")</f>
        <v>0.6573670047063559</v>
      </c>
      <c r="Y132" s="43" t="s">
        <v>211</v>
      </c>
      <c r="Z132" s="53">
        <v>50.842105263157897</v>
      </c>
      <c r="AA132" s="43">
        <v>1</v>
      </c>
      <c r="AB132" s="54">
        <v>0.9985748287459264</v>
      </c>
      <c r="AC132" s="55">
        <v>1.4251712540736183E-3</v>
      </c>
      <c r="AD132" s="752" t="e">
        <f>_xlfn.XLOOKUP(Table1[[#This Row],[Ruta]],#REF!,#REF!)</f>
        <v>#REF!</v>
      </c>
      <c r="AE132" s="752" t="e">
        <f>_xlfn.XLOOKUP(Table1[[#This Row],[Ruta]],#REF!,#REF!)</f>
        <v>#REF!</v>
      </c>
      <c r="AF132" s="752" t="e">
        <f>_xlfn.XLOOKUP(Table1[[#This Row],[Ruta]],#REF!,#REF!)</f>
        <v>#REF!</v>
      </c>
      <c r="AG132" s="752" t="e">
        <f>_xlfn.XLOOKUP(Table1[[#This Row],[Ruta]],#REF!,#REF!)</f>
        <v>#REF!</v>
      </c>
      <c r="AH132" s="52">
        <v>0.38667235888741419</v>
      </c>
      <c r="AI132" s="52">
        <v>0.61332764111258575</v>
      </c>
      <c r="AJ132" s="55">
        <v>0</v>
      </c>
      <c r="AK132" s="56">
        <v>22218</v>
      </c>
      <c r="AL132" s="44">
        <v>20545</v>
      </c>
      <c r="AM132" s="54">
        <v>0.92470069313169501</v>
      </c>
      <c r="AN132" s="55">
        <v>0.73696442291874298</v>
      </c>
      <c r="AO132" s="56">
        <v>0</v>
      </c>
      <c r="AP132" s="48">
        <v>0</v>
      </c>
      <c r="AQ132" s="55">
        <v>0.92470069313169501</v>
      </c>
      <c r="AR132" s="51">
        <v>4390677.62</v>
      </c>
      <c r="AS132" s="49">
        <v>0</v>
      </c>
      <c r="AT132" s="55">
        <v>0</v>
      </c>
      <c r="AU132" s="51">
        <v>0</v>
      </c>
      <c r="AV132" s="52">
        <v>0</v>
      </c>
      <c r="AW132" s="44">
        <v>490</v>
      </c>
      <c r="AX132" s="51">
        <v>213.710275979557</v>
      </c>
      <c r="AY132" s="49">
        <v>281.804910356444</v>
      </c>
      <c r="AZ132" s="49">
        <v>68.094634376887001</v>
      </c>
      <c r="BA132" s="42" t="s">
        <v>150</v>
      </c>
      <c r="BB132" s="50">
        <v>491542.03844732087</v>
      </c>
      <c r="BC132" s="57">
        <v>491542.03844732087</v>
      </c>
      <c r="BD132" s="42" t="s">
        <v>150</v>
      </c>
      <c r="BE132" s="46">
        <v>50.842105263157897</v>
      </c>
      <c r="BF132" s="46">
        <v>53.584294640711398</v>
      </c>
      <c r="BG132" s="42" t="s">
        <v>152</v>
      </c>
      <c r="BH132" s="52">
        <v>0.92470069313169501</v>
      </c>
      <c r="BI132" s="52">
        <v>0.84596921589179896</v>
      </c>
      <c r="BJ132" s="42" t="s">
        <v>150</v>
      </c>
      <c r="BK132" s="46">
        <v>292.85022628146498</v>
      </c>
      <c r="BL132" s="46">
        <v>363.16023511435702</v>
      </c>
      <c r="BM132" s="42" t="s">
        <v>152</v>
      </c>
      <c r="BN132" s="48">
        <v>1</v>
      </c>
      <c r="BO132" s="42" t="s">
        <v>155</v>
      </c>
      <c r="BP132" s="42" t="s">
        <v>152</v>
      </c>
      <c r="BQ132" s="46">
        <v>0</v>
      </c>
      <c r="BR132" s="46" t="e">
        <v>#N/A</v>
      </c>
      <c r="BS132" s="46" t="e">
        <v>#N/A</v>
      </c>
      <c r="BT132" s="46" t="e">
        <v>#N/A</v>
      </c>
      <c r="BU132" s="46" t="e">
        <v>#N/A</v>
      </c>
      <c r="BV132" s="46" t="e">
        <v>#N/A</v>
      </c>
      <c r="BW132" s="46" t="e">
        <v>#N/A</v>
      </c>
      <c r="BX132" s="46" t="e">
        <v>#N/A</v>
      </c>
      <c r="BY132" s="46" t="e">
        <v>#N/A</v>
      </c>
      <c r="BZ132" s="46" t="e">
        <v>#N/A</v>
      </c>
      <c r="CA132" s="46" t="e">
        <v>#N/A</v>
      </c>
      <c r="CB132" s="46" t="e">
        <v>#N/A</v>
      </c>
      <c r="CC132" s="46" t="e">
        <v>#N/A</v>
      </c>
      <c r="CD132" s="46" t="e">
        <v>#N/A</v>
      </c>
      <c r="CE132" s="46" t="e">
        <v>#N/A</v>
      </c>
      <c r="CF132" s="46" t="e">
        <v>#N/A</v>
      </c>
      <c r="CG132" s="46" t="e">
        <v>#N/A</v>
      </c>
      <c r="CH132" s="46" t="e">
        <v>#N/A</v>
      </c>
      <c r="CI132" s="46" t="e">
        <v>#N/A</v>
      </c>
      <c r="CJ132" s="46" t="e">
        <v>#N/A</v>
      </c>
      <c r="CM132">
        <f t="shared" si="14"/>
        <v>0</v>
      </c>
      <c r="CP132">
        <f t="shared" si="15"/>
        <v>0</v>
      </c>
      <c r="CS132">
        <f t="shared" si="16"/>
        <v>0</v>
      </c>
      <c r="CW132" s="46"/>
      <c r="CX132" s="46" t="e">
        <f t="shared" si="10"/>
        <v>#N/A</v>
      </c>
      <c r="CY132" s="46"/>
      <c r="CZ132" s="46" t="e">
        <f t="shared" si="11"/>
        <v>#N/A</v>
      </c>
      <c r="DA132" s="46" t="e">
        <f t="shared" si="12"/>
        <v>#N/A</v>
      </c>
      <c r="DB132" s="46"/>
      <c r="DC132" s="46" t="e">
        <f t="shared" si="13"/>
        <v>#N/A</v>
      </c>
      <c r="DD132" s="46"/>
      <c r="DE132" s="995" t="s">
        <v>194</v>
      </c>
      <c r="DF132" s="995" t="s">
        <v>194</v>
      </c>
      <c r="DG132" s="995" t="s">
        <v>194</v>
      </c>
      <c r="DH132" s="995" t="s">
        <v>194</v>
      </c>
      <c r="DI132" s="995" t="s">
        <v>194</v>
      </c>
      <c r="DJ132" s="995" t="s">
        <v>194</v>
      </c>
      <c r="DK132" s="995" t="s">
        <v>194</v>
      </c>
      <c r="DL132" s="995" t="s">
        <v>194</v>
      </c>
      <c r="DM132" s="995" t="s">
        <v>194</v>
      </c>
      <c r="DN132" s="995" t="s">
        <v>194</v>
      </c>
      <c r="DO132" s="995" t="s">
        <v>194</v>
      </c>
      <c r="DP132" s="995" t="s">
        <v>194</v>
      </c>
      <c r="DQ132" s="995" t="s">
        <v>194</v>
      </c>
      <c r="DR132" s="995" t="s">
        <v>194</v>
      </c>
      <c r="DS132" s="995" t="s">
        <v>194</v>
      </c>
      <c r="DT132" s="995" t="s">
        <v>194</v>
      </c>
    </row>
    <row r="133" spans="1:124">
      <c r="A133" s="42" t="s">
        <v>92</v>
      </c>
      <c r="B133" s="42" t="s">
        <v>283</v>
      </c>
      <c r="C133" s="42" t="s">
        <v>284</v>
      </c>
      <c r="D133" s="42">
        <v>203331</v>
      </c>
      <c r="E133" s="42" t="s">
        <v>307</v>
      </c>
      <c r="F133" s="42" t="s">
        <v>149</v>
      </c>
      <c r="G133" s="42" t="s">
        <v>150</v>
      </c>
      <c r="H133" s="43" t="s">
        <v>150</v>
      </c>
      <c r="I133" s="44">
        <v>23</v>
      </c>
      <c r="J133" s="45">
        <v>59926.591199999901</v>
      </c>
      <c r="K133" s="46">
        <v>30087.398087000001</v>
      </c>
      <c r="L133" s="47">
        <v>90013.989287000004</v>
      </c>
      <c r="M133" s="48">
        <v>4566610</v>
      </c>
      <c r="N133" s="49">
        <v>921124</v>
      </c>
      <c r="O133" s="49">
        <v>3645486</v>
      </c>
      <c r="P133" s="49">
        <v>0</v>
      </c>
      <c r="Q133" s="50">
        <v>10470.6953103448</v>
      </c>
      <c r="R133" s="51">
        <v>3749.73774392522</v>
      </c>
      <c r="S133" s="49">
        <v>29778.0800484395</v>
      </c>
      <c r="T133" s="49">
        <v>1011.19608043901</v>
      </c>
      <c r="U133" s="49">
        <f>IFERROR(INDEX('Rentabilidad datos'!$N$2:$N$61,MATCH($C133,'Rentabilidad datos'!$C$2:$C$61,0)),"")</f>
        <v>34539.013872803756</v>
      </c>
      <c r="V133" s="50">
        <f>IFERROR(INDEX('Rentabilidad datos'!$O$2:$O$61,MATCH($C133,'Rentabilidad datos'!$C$2:$C$61,0)),"")</f>
        <v>1644.7149463239884</v>
      </c>
      <c r="W133" s="51">
        <f>IFERROR(INDEX('Rentabilidad datos'!$M$2:$M$61,MATCH($C133,'Rentabilidad datos'!$C$2:$C$61,0)),"")</f>
        <v>2501.9736837243272</v>
      </c>
      <c r="X133" s="52">
        <f>IFERROR(INDEX('Rentabilidad datos'!$P$2:$P$61,MATCH($C133,'Rentabilidad datos'!$C$2:$C$61,0)),"")</f>
        <v>0.6573670047063559</v>
      </c>
      <c r="Y133" s="43" t="s">
        <v>211</v>
      </c>
      <c r="Z133" s="53">
        <v>40.719540229885098</v>
      </c>
      <c r="AA133" s="43">
        <v>1</v>
      </c>
      <c r="AB133" s="54">
        <v>0.99982437738278507</v>
      </c>
      <c r="AC133" s="55">
        <v>1.7562261721495813E-4</v>
      </c>
      <c r="AD133" s="752" t="e">
        <f>_xlfn.XLOOKUP(Table1[[#This Row],[Ruta]],#REF!,#REF!)</f>
        <v>#REF!</v>
      </c>
      <c r="AE133" s="752" t="e">
        <f>_xlfn.XLOOKUP(Table1[[#This Row],[Ruta]],#REF!,#REF!)</f>
        <v>#REF!</v>
      </c>
      <c r="AF133" s="752" t="e">
        <f>_xlfn.XLOOKUP(Table1[[#This Row],[Ruta]],#REF!,#REF!)</f>
        <v>#REF!</v>
      </c>
      <c r="AG133" s="752" t="e">
        <f>_xlfn.XLOOKUP(Table1[[#This Row],[Ruta]],#REF!,#REF!)</f>
        <v>#REF!</v>
      </c>
      <c r="AH133" s="52">
        <v>0.20170848835350511</v>
      </c>
      <c r="AI133" s="52">
        <v>0.79829151164649492</v>
      </c>
      <c r="AJ133" s="55">
        <v>0</v>
      </c>
      <c r="AK133" s="56">
        <v>17713</v>
      </c>
      <c r="AL133" s="44">
        <v>15356</v>
      </c>
      <c r="AM133" s="54">
        <v>0.86693389036301005</v>
      </c>
      <c r="AN133" s="55">
        <v>0.73696442291874298</v>
      </c>
      <c r="AO133" s="56">
        <v>0</v>
      </c>
      <c r="AP133" s="48">
        <v>0</v>
      </c>
      <c r="AQ133" s="55">
        <v>0.86693389036301027</v>
      </c>
      <c r="AR133" s="51">
        <v>4554752.46</v>
      </c>
      <c r="AS133" s="49">
        <v>0</v>
      </c>
      <c r="AT133" s="55">
        <v>0</v>
      </c>
      <c r="AU133" s="51">
        <v>0</v>
      </c>
      <c r="AV133" s="52">
        <v>0</v>
      </c>
      <c r="AW133" s="44">
        <v>490</v>
      </c>
      <c r="AX133" s="51">
        <v>296.61060562646497</v>
      </c>
      <c r="AY133" s="49">
        <v>281.804910356444</v>
      </c>
      <c r="AZ133" s="49">
        <v>0</v>
      </c>
      <c r="BA133" s="42" t="s">
        <v>152</v>
      </c>
      <c r="BB133" s="50">
        <v>0</v>
      </c>
      <c r="BC133" s="57">
        <v>0</v>
      </c>
      <c r="BD133" s="42" t="s">
        <v>150</v>
      </c>
      <c r="BE133" s="46">
        <v>40.719540229885098</v>
      </c>
      <c r="BF133" s="46">
        <v>53.584294640711398</v>
      </c>
      <c r="BG133" s="42" t="s">
        <v>152</v>
      </c>
      <c r="BH133" s="52">
        <v>0.86693389036301005</v>
      </c>
      <c r="BI133" s="52">
        <v>0.84596921589179896</v>
      </c>
      <c r="BJ133" s="42" t="s">
        <v>150</v>
      </c>
      <c r="BK133" s="46">
        <v>206.928711004598</v>
      </c>
      <c r="BL133" s="46">
        <v>363.16023511435702</v>
      </c>
      <c r="BM133" s="42" t="s">
        <v>152</v>
      </c>
      <c r="BN133" s="48">
        <v>1</v>
      </c>
      <c r="BO133" s="42" t="s">
        <v>155</v>
      </c>
      <c r="BP133" s="42" t="s">
        <v>152</v>
      </c>
      <c r="BQ133" s="46">
        <v>1816.57958679443</v>
      </c>
      <c r="BR133" s="46" t="e">
        <v>#N/A</v>
      </c>
      <c r="BS133" s="46" t="e">
        <v>#N/A</v>
      </c>
      <c r="BT133" s="46" t="e">
        <v>#N/A</v>
      </c>
      <c r="BU133" s="46" t="e">
        <v>#N/A</v>
      </c>
      <c r="BV133" s="46" t="e">
        <v>#N/A</v>
      </c>
      <c r="BW133" s="46" t="e">
        <v>#N/A</v>
      </c>
      <c r="BX133" s="46" t="e">
        <v>#N/A</v>
      </c>
      <c r="BY133" s="46" t="e">
        <v>#N/A</v>
      </c>
      <c r="BZ133" s="46" t="e">
        <v>#N/A</v>
      </c>
      <c r="CA133" s="46" t="e">
        <v>#N/A</v>
      </c>
      <c r="CB133" s="46" t="e">
        <v>#N/A</v>
      </c>
      <c r="CC133" s="46" t="e">
        <v>#N/A</v>
      </c>
      <c r="CD133" s="46" t="e">
        <v>#N/A</v>
      </c>
      <c r="CE133" s="46" t="e">
        <v>#N/A</v>
      </c>
      <c r="CF133" s="46" t="e">
        <v>#N/A</v>
      </c>
      <c r="CG133" s="46" t="e">
        <v>#N/A</v>
      </c>
      <c r="CH133" s="46" t="e">
        <v>#N/A</v>
      </c>
      <c r="CI133" s="46" t="e">
        <v>#N/A</v>
      </c>
      <c r="CJ133" s="46" t="e">
        <v>#N/A</v>
      </c>
      <c r="CM133">
        <f t="shared" si="14"/>
        <v>0</v>
      </c>
      <c r="CP133">
        <f t="shared" si="15"/>
        <v>0</v>
      </c>
      <c r="CS133">
        <f t="shared" si="16"/>
        <v>0</v>
      </c>
      <c r="CW133" s="46"/>
      <c r="CX133" s="46" t="e">
        <f t="shared" si="10"/>
        <v>#N/A</v>
      </c>
      <c r="CY133" s="46"/>
      <c r="CZ133" s="46" t="e">
        <f t="shared" si="11"/>
        <v>#N/A</v>
      </c>
      <c r="DA133" s="46" t="e">
        <f t="shared" si="12"/>
        <v>#N/A</v>
      </c>
      <c r="DB133" s="46"/>
      <c r="DC133" s="46" t="e">
        <f t="shared" si="13"/>
        <v>#N/A</v>
      </c>
      <c r="DD133" s="46"/>
      <c r="DE133" s="995" t="s">
        <v>194</v>
      </c>
      <c r="DF133" s="995" t="s">
        <v>194</v>
      </c>
      <c r="DG133" s="995" t="s">
        <v>194</v>
      </c>
      <c r="DH133" s="995" t="s">
        <v>194</v>
      </c>
      <c r="DI133" s="995" t="s">
        <v>194</v>
      </c>
      <c r="DJ133" s="995" t="s">
        <v>194</v>
      </c>
      <c r="DK133" s="995" t="s">
        <v>194</v>
      </c>
      <c r="DL133" s="995" t="s">
        <v>194</v>
      </c>
      <c r="DM133" s="995" t="s">
        <v>194</v>
      </c>
      <c r="DN133" s="995" t="s">
        <v>194</v>
      </c>
      <c r="DO133" s="995" t="s">
        <v>194</v>
      </c>
      <c r="DP133" s="995" t="s">
        <v>194</v>
      </c>
      <c r="DQ133" s="995" t="s">
        <v>194</v>
      </c>
      <c r="DR133" s="995" t="s">
        <v>194</v>
      </c>
      <c r="DS133" s="995" t="s">
        <v>194</v>
      </c>
      <c r="DT133" s="995" t="s">
        <v>194</v>
      </c>
    </row>
    <row r="134" spans="1:124">
      <c r="A134" s="42" t="s">
        <v>93</v>
      </c>
      <c r="B134" s="42" t="s">
        <v>308</v>
      </c>
      <c r="C134" s="42" t="s">
        <v>309</v>
      </c>
      <c r="D134" s="42">
        <v>308340</v>
      </c>
      <c r="E134" s="42" t="s">
        <v>310</v>
      </c>
      <c r="F134" s="42" t="s">
        <v>149</v>
      </c>
      <c r="G134" s="42" t="s">
        <v>150</v>
      </c>
      <c r="H134" s="43" t="s">
        <v>150</v>
      </c>
      <c r="I134" s="44">
        <v>10</v>
      </c>
      <c r="J134" s="45">
        <v>137338.08660000001</v>
      </c>
      <c r="K134" s="46">
        <v>20405.322423000001</v>
      </c>
      <c r="L134" s="47">
        <v>157743.40902299999</v>
      </c>
      <c r="M134" s="48">
        <v>5020634</v>
      </c>
      <c r="N134" s="49">
        <v>2028428</v>
      </c>
      <c r="O134" s="49">
        <v>2982370</v>
      </c>
      <c r="P134" s="49">
        <v>9836</v>
      </c>
      <c r="Q134" s="50">
        <v>11526.693180778</v>
      </c>
      <c r="R134" s="51">
        <v>1263.9564972912301</v>
      </c>
      <c r="S134" s="49">
        <v>9006.0589465777393</v>
      </c>
      <c r="T134" s="49">
        <v>1205.7392148451099</v>
      </c>
      <c r="U134" s="49">
        <f>IFERROR(INDEX('Rentabilidad datos'!$N$2:$N$61,MATCH($C134,'Rentabilidad datos'!$C$2:$C$61,0)),"")</f>
        <v>11475.754658714084</v>
      </c>
      <c r="V134" s="50">
        <f>IFERROR(INDEX('Rentabilidad datos'!$O$2:$O$61,MATCH($C134,'Rentabilidad datos'!$C$2:$C$61,0)),"")</f>
        <v>1434.4693323392605</v>
      </c>
      <c r="W134" s="51">
        <f>IFERROR(INDEX('Rentabilidad datos'!$M$2:$M$61,MATCH($C134,'Rentabilidad datos'!$C$2:$C$61,0)),"")</f>
        <v>2692.8351820114153</v>
      </c>
      <c r="X134" s="52">
        <f>IFERROR(INDEX('Rentabilidad datos'!$P$2:$P$61,MATCH($C134,'Rentabilidad datos'!$C$2:$C$61,0)),"")</f>
        <v>0.53269852604487389</v>
      </c>
      <c r="Y134" s="43" t="s">
        <v>211</v>
      </c>
      <c r="Z134" s="53">
        <v>68.3638443935927</v>
      </c>
      <c r="AA134" s="43">
        <v>1</v>
      </c>
      <c r="AB134" s="54">
        <v>0.90861652133973514</v>
      </c>
      <c r="AC134" s="55">
        <v>9.1383478660264819E-2</v>
      </c>
      <c r="AD134" s="752" t="e">
        <f>_xlfn.XLOOKUP(Table1[[#This Row],[Ruta]],#REF!,#REF!)</f>
        <v>#REF!</v>
      </c>
      <c r="AE134" s="752" t="e">
        <f>_xlfn.XLOOKUP(Table1[[#This Row],[Ruta]],#REF!,#REF!)</f>
        <v>#REF!</v>
      </c>
      <c r="AF134" s="752" t="e">
        <f>_xlfn.XLOOKUP(Table1[[#This Row],[Ruta]],#REF!,#REF!)</f>
        <v>#REF!</v>
      </c>
      <c r="AG134" s="752" t="e">
        <f>_xlfn.XLOOKUP(Table1[[#This Row],[Ruta]],#REF!,#REF!)</f>
        <v>#REF!</v>
      </c>
      <c r="AH134" s="52">
        <v>0.40401829729074057</v>
      </c>
      <c r="AI134" s="52">
        <v>0.59402258758555193</v>
      </c>
      <c r="AJ134" s="55">
        <v>1.9591151237074839E-3</v>
      </c>
      <c r="AK134" s="56">
        <v>29875</v>
      </c>
      <c r="AL134" s="44">
        <v>22916</v>
      </c>
      <c r="AM134" s="54">
        <v>0.76706276150627595</v>
      </c>
      <c r="AN134" s="55">
        <v>0.76706276150627595</v>
      </c>
      <c r="AO134" s="56">
        <v>0</v>
      </c>
      <c r="AP134" s="48">
        <v>0</v>
      </c>
      <c r="AQ134" s="55">
        <v>0.76706276150627617</v>
      </c>
      <c r="AR134" s="51">
        <v>5037164.92</v>
      </c>
      <c r="AS134" s="49">
        <v>0</v>
      </c>
      <c r="AT134" s="55">
        <v>0</v>
      </c>
      <c r="AU134" s="51">
        <v>0</v>
      </c>
      <c r="AV134" s="52">
        <v>0</v>
      </c>
      <c r="AW134" s="44">
        <v>490</v>
      </c>
      <c r="AX134" s="51">
        <v>219.809954616862</v>
      </c>
      <c r="AY134" s="49">
        <v>312.28158299102398</v>
      </c>
      <c r="AZ134" s="49">
        <v>92.47162837416198</v>
      </c>
      <c r="BA134" s="42" t="s">
        <v>150</v>
      </c>
      <c r="BB134" s="50">
        <v>744541.56393756368</v>
      </c>
      <c r="BC134" s="57">
        <v>744541.56393756368</v>
      </c>
      <c r="BD134" s="42" t="s">
        <v>150</v>
      </c>
      <c r="BE134" s="46">
        <v>68.3638443935927</v>
      </c>
      <c r="BF134" s="46">
        <v>59.133027522935798</v>
      </c>
      <c r="BG134" s="42" t="s">
        <v>150</v>
      </c>
      <c r="BH134" s="52">
        <v>0.76706276150627595</v>
      </c>
      <c r="BI134" s="52">
        <v>0.76706276150627595</v>
      </c>
      <c r="BJ134" s="42" t="s">
        <v>150</v>
      </c>
      <c r="BK134" s="46">
        <v>360.96889936613201</v>
      </c>
      <c r="BL134" s="46">
        <v>295.25863977522903</v>
      </c>
      <c r="BM134" s="42" t="s">
        <v>150</v>
      </c>
      <c r="BN134" s="48">
        <v>3</v>
      </c>
      <c r="BO134" s="42" t="s">
        <v>153</v>
      </c>
      <c r="BP134" s="42" t="s">
        <v>150</v>
      </c>
      <c r="BQ134" s="46">
        <v>0</v>
      </c>
      <c r="BR134" s="46">
        <v>432</v>
      </c>
      <c r="BS134" s="46">
        <v>27358</v>
      </c>
      <c r="BT134" s="46">
        <v>8709</v>
      </c>
      <c r="BU134" s="46">
        <v>3.1413480307727637</v>
      </c>
      <c r="BV134" s="46">
        <v>20.159722222222221</v>
      </c>
      <c r="BW134" s="46">
        <v>8611</v>
      </c>
      <c r="BX134" s="46">
        <v>98</v>
      </c>
      <c r="BY134" s="46">
        <v>8709</v>
      </c>
      <c r="BZ134" s="46">
        <v>1</v>
      </c>
      <c r="CA134" s="46">
        <v>0.98874727293604314</v>
      </c>
      <c r="CB134" s="46">
        <v>1.125272706395683E-2</v>
      </c>
      <c r="CC134" s="46">
        <v>0</v>
      </c>
      <c r="CD134" s="46">
        <v>0</v>
      </c>
      <c r="CE134" s="46">
        <v>0</v>
      </c>
      <c r="CF134" s="46">
        <v>0</v>
      </c>
      <c r="CG134" s="46">
        <v>0</v>
      </c>
      <c r="CH134" s="46">
        <v>0</v>
      </c>
      <c r="CI134" s="46">
        <v>0.21931427735945611</v>
      </c>
      <c r="CJ134" s="46">
        <v>0.62139045251845904</v>
      </c>
      <c r="CK134">
        <v>483</v>
      </c>
      <c r="CL134">
        <v>667.99</v>
      </c>
      <c r="CM134">
        <f t="shared" si="14"/>
        <v>184.99</v>
      </c>
      <c r="CN134">
        <v>8.26</v>
      </c>
      <c r="CO134">
        <v>9.4499999999999993</v>
      </c>
      <c r="CP134">
        <f t="shared" si="15"/>
        <v>1.1899999999999995</v>
      </c>
      <c r="CQ134">
        <v>602.75</v>
      </c>
      <c r="CR134">
        <v>360.97</v>
      </c>
      <c r="CS134">
        <f t="shared" si="16"/>
        <v>241.77999999999997</v>
      </c>
      <c r="CT134" t="s">
        <v>152</v>
      </c>
      <c r="CU134">
        <v>89.42</v>
      </c>
      <c r="CV134">
        <v>481</v>
      </c>
      <c r="CW134" s="46">
        <v>8709</v>
      </c>
      <c r="CX134" s="46">
        <f t="shared" ref="CX134:CX197" si="17">((CW134-CY134)/BT134)*100</f>
        <v>97.875875531059833</v>
      </c>
      <c r="CY134" s="46">
        <v>184.99</v>
      </c>
      <c r="CZ134" s="46">
        <f t="shared" ref="CZ134:CZ197" si="18">((CW134)/BT134)*100</f>
        <v>100</v>
      </c>
      <c r="DA134" s="46">
        <f t="shared" ref="DA134:DA197" si="19">DB134/(CY134+BT134)</f>
        <v>209.45232229854093</v>
      </c>
      <c r="DB134" s="46">
        <v>1862866.86</v>
      </c>
      <c r="DC134" s="46">
        <f t="shared" ref="DC134:DC197" si="20">DD134/(CY134+BT134)</f>
        <v>7.110138419314616</v>
      </c>
      <c r="DD134" s="46">
        <v>63237.5</v>
      </c>
      <c r="DE134" s="995">
        <v>8709</v>
      </c>
      <c r="DF134" s="995">
        <v>98.186000000000007</v>
      </c>
      <c r="DG134" s="995">
        <v>158</v>
      </c>
      <c r="DH134" s="995">
        <v>100</v>
      </c>
      <c r="DI134" s="995">
        <v>618.05799999999999</v>
      </c>
      <c r="DJ134" s="995">
        <v>5480306</v>
      </c>
      <c r="DK134" s="995">
        <v>20.997</v>
      </c>
      <c r="DL134" s="995">
        <v>186181.3</v>
      </c>
      <c r="DM134" s="995">
        <v>8709</v>
      </c>
      <c r="DN134" s="995">
        <v>98.414000000000001</v>
      </c>
      <c r="DO134" s="995">
        <v>138.1</v>
      </c>
      <c r="DP134" s="995">
        <v>100</v>
      </c>
      <c r="DQ134" s="995">
        <v>602.68899999999996</v>
      </c>
      <c r="DR134" s="995">
        <v>5332064</v>
      </c>
      <c r="DS134" s="995">
        <v>20.463000000000001</v>
      </c>
      <c r="DT134" s="995">
        <v>181041.4</v>
      </c>
    </row>
    <row r="135" spans="1:124">
      <c r="A135" s="42" t="s">
        <v>93</v>
      </c>
      <c r="B135" s="42" t="s">
        <v>308</v>
      </c>
      <c r="C135" s="42" t="s">
        <v>309</v>
      </c>
      <c r="D135" s="42">
        <v>308341</v>
      </c>
      <c r="E135" s="42" t="s">
        <v>311</v>
      </c>
      <c r="F135" s="42" t="s">
        <v>149</v>
      </c>
      <c r="G135" s="42" t="s">
        <v>150</v>
      </c>
      <c r="H135" s="43" t="s">
        <v>150</v>
      </c>
      <c r="I135" s="44">
        <v>10</v>
      </c>
      <c r="J135" s="45">
        <v>105880.4604</v>
      </c>
      <c r="K135" s="46">
        <v>22852.306541999998</v>
      </c>
      <c r="L135" s="47">
        <v>128732.766942</v>
      </c>
      <c r="M135" s="48">
        <v>4150034</v>
      </c>
      <c r="N135" s="49">
        <v>1578433</v>
      </c>
      <c r="O135" s="49">
        <v>2558820</v>
      </c>
      <c r="P135" s="49">
        <v>12781</v>
      </c>
      <c r="Q135" s="50">
        <v>9489.1021100917405</v>
      </c>
      <c r="R135" s="51">
        <v>1263.9564972912301</v>
      </c>
      <c r="S135" s="49">
        <v>9006.0589465777393</v>
      </c>
      <c r="T135" s="49">
        <v>1205.7392148451099</v>
      </c>
      <c r="U135" s="49">
        <f>IFERROR(INDEX('Rentabilidad datos'!$N$2:$N$61,MATCH($C135,'Rentabilidad datos'!$C$2:$C$61,0)),"")</f>
        <v>11475.754658714084</v>
      </c>
      <c r="V135" s="50">
        <f>IFERROR(INDEX('Rentabilidad datos'!$O$2:$O$61,MATCH($C135,'Rentabilidad datos'!$C$2:$C$61,0)),"")</f>
        <v>1434.4693323392605</v>
      </c>
      <c r="W135" s="51">
        <f>IFERROR(INDEX('Rentabilidad datos'!$M$2:$M$61,MATCH($C135,'Rentabilidad datos'!$C$2:$C$61,0)),"")</f>
        <v>2692.8351820114153</v>
      </c>
      <c r="X135" s="52">
        <f>IFERROR(INDEX('Rentabilidad datos'!$P$2:$P$61,MATCH($C135,'Rentabilidad datos'!$C$2:$C$61,0)),"")</f>
        <v>0.53269852604487389</v>
      </c>
      <c r="Y135" s="43" t="s">
        <v>211</v>
      </c>
      <c r="Z135" s="53">
        <v>59.133027522935798</v>
      </c>
      <c r="AA135" s="43">
        <v>1</v>
      </c>
      <c r="AB135" s="54">
        <v>0.9571157730274017</v>
      </c>
      <c r="AC135" s="55">
        <v>4.2884226972598298E-2</v>
      </c>
      <c r="AD135" s="752" t="e">
        <f>_xlfn.XLOOKUP(Table1[[#This Row],[Ruta]],#REF!,#REF!)</f>
        <v>#REF!</v>
      </c>
      <c r="AE135" s="752" t="e">
        <f>_xlfn.XLOOKUP(Table1[[#This Row],[Ruta]],#REF!,#REF!)</f>
        <v>#REF!</v>
      </c>
      <c r="AF135" s="752" t="e">
        <f>_xlfn.XLOOKUP(Table1[[#This Row],[Ruta]],#REF!,#REF!)</f>
        <v>#REF!</v>
      </c>
      <c r="AG135" s="752" t="e">
        <f>_xlfn.XLOOKUP(Table1[[#This Row],[Ruta]],#REF!,#REF!)</f>
        <v>#REF!</v>
      </c>
      <c r="AH135" s="52">
        <v>0.38034218514836265</v>
      </c>
      <c r="AI135" s="52">
        <v>0.61657808104704681</v>
      </c>
      <c r="AJ135" s="55">
        <v>3.0797338045905165E-3</v>
      </c>
      <c r="AK135" s="56">
        <v>25782</v>
      </c>
      <c r="AL135" s="44">
        <v>21531</v>
      </c>
      <c r="AM135" s="54">
        <v>0.83511752385385196</v>
      </c>
      <c r="AN135" s="55">
        <v>0.76706276150627595</v>
      </c>
      <c r="AO135" s="56">
        <v>0</v>
      </c>
      <c r="AP135" s="48">
        <v>0</v>
      </c>
      <c r="AQ135" s="55">
        <v>0.83511752385385152</v>
      </c>
      <c r="AR135" s="51">
        <v>4137248.52</v>
      </c>
      <c r="AS135" s="49">
        <v>0</v>
      </c>
      <c r="AT135" s="55">
        <v>0</v>
      </c>
      <c r="AU135" s="51">
        <v>0</v>
      </c>
      <c r="AV135" s="52">
        <v>0</v>
      </c>
      <c r="AW135" s="44">
        <v>490</v>
      </c>
      <c r="AX135" s="51">
        <v>192.15310575449399</v>
      </c>
      <c r="AY135" s="49">
        <v>312.28158299102398</v>
      </c>
      <c r="AZ135" s="49">
        <v>120.12847723652999</v>
      </c>
      <c r="BA135" s="42" t="s">
        <v>150</v>
      </c>
      <c r="BB135" s="50">
        <v>908765.43686314765</v>
      </c>
      <c r="BC135" s="57">
        <v>908765.43686314765</v>
      </c>
      <c r="BD135" s="42" t="s">
        <v>150</v>
      </c>
      <c r="BE135" s="46">
        <v>59.133027522935798</v>
      </c>
      <c r="BF135" s="46">
        <v>59.133027522935798</v>
      </c>
      <c r="BG135" s="42" t="s">
        <v>150</v>
      </c>
      <c r="BH135" s="52">
        <v>0.83511752385385196</v>
      </c>
      <c r="BI135" s="52">
        <v>0.76706276150627595</v>
      </c>
      <c r="BJ135" s="42" t="s">
        <v>150</v>
      </c>
      <c r="BK135" s="46">
        <v>295.25863977522903</v>
      </c>
      <c r="BL135" s="46">
        <v>295.25863977522903</v>
      </c>
      <c r="BM135" s="42" t="s">
        <v>150</v>
      </c>
      <c r="BN135" s="48">
        <v>3</v>
      </c>
      <c r="BO135" s="42" t="s">
        <v>153</v>
      </c>
      <c r="BP135" s="42" t="s">
        <v>150</v>
      </c>
      <c r="BQ135" s="46">
        <v>0</v>
      </c>
      <c r="BR135" s="46">
        <v>851</v>
      </c>
      <c r="BS135" s="46">
        <v>35033</v>
      </c>
      <c r="BT135" s="46">
        <v>12440</v>
      </c>
      <c r="BU135" s="46">
        <v>2.8161575562700967</v>
      </c>
      <c r="BV135" s="46">
        <v>14.618096357226792</v>
      </c>
      <c r="BW135" s="46">
        <v>4562</v>
      </c>
      <c r="BX135" s="46">
        <v>3697</v>
      </c>
      <c r="BY135" s="46">
        <v>8259</v>
      </c>
      <c r="BZ135" s="46">
        <v>0.6639067524115756</v>
      </c>
      <c r="CA135" s="46">
        <v>0.36672025723472668</v>
      </c>
      <c r="CB135" s="46">
        <v>0.29718649517684886</v>
      </c>
      <c r="CC135" s="46">
        <v>5.6270096463022508E-2</v>
      </c>
      <c r="CD135" s="46">
        <v>0</v>
      </c>
      <c r="CE135" s="46">
        <v>0</v>
      </c>
      <c r="CF135" s="46">
        <v>0.27958199356913183</v>
      </c>
      <c r="CG135" s="46">
        <v>2.4115755627009645E-4</v>
      </c>
      <c r="CH135" s="46">
        <v>0</v>
      </c>
      <c r="CI135" s="46">
        <v>1.9981160619986866</v>
      </c>
      <c r="CJ135" s="46">
        <v>0.68506836411383554</v>
      </c>
      <c r="CK135">
        <v>383</v>
      </c>
      <c r="CL135">
        <v>636.77</v>
      </c>
      <c r="CM135">
        <f t="shared" si="14"/>
        <v>253.76999999999998</v>
      </c>
      <c r="CN135">
        <v>6.41</v>
      </c>
      <c r="CO135">
        <v>9.4499999999999993</v>
      </c>
      <c r="CP135">
        <f t="shared" si="15"/>
        <v>3.0399999999999991</v>
      </c>
      <c r="CQ135">
        <v>602.75</v>
      </c>
      <c r="CR135">
        <v>295.26</v>
      </c>
      <c r="CS135">
        <f t="shared" si="16"/>
        <v>307.49</v>
      </c>
      <c r="CT135" t="s">
        <v>152</v>
      </c>
      <c r="CU135">
        <v>70.900000000000006</v>
      </c>
      <c r="CV135">
        <v>351</v>
      </c>
      <c r="CW135" s="46">
        <v>8259</v>
      </c>
      <c r="CX135" s="46">
        <f t="shared" si="17"/>
        <v>64.350723472668804</v>
      </c>
      <c r="CY135" s="46">
        <v>253.77</v>
      </c>
      <c r="CZ135" s="46">
        <f t="shared" si="18"/>
        <v>66.390675241157567</v>
      </c>
      <c r="DA135" s="46">
        <f t="shared" si="19"/>
        <v>219.88664439327326</v>
      </c>
      <c r="DB135" s="46">
        <v>2791190.49</v>
      </c>
      <c r="DC135" s="46">
        <f t="shared" si="20"/>
        <v>6.4973148245162777</v>
      </c>
      <c r="DD135" s="46">
        <v>82475.42</v>
      </c>
      <c r="DE135" s="995">
        <v>8259</v>
      </c>
      <c r="DF135" s="995">
        <v>64.706999999999994</v>
      </c>
      <c r="DG135" s="995">
        <v>209.5</v>
      </c>
      <c r="DH135" s="995">
        <v>66.391000000000005</v>
      </c>
      <c r="DI135" s="995">
        <v>406.30700000000002</v>
      </c>
      <c r="DJ135" s="995">
        <v>5139575</v>
      </c>
      <c r="DK135" s="995">
        <v>12.837999999999999</v>
      </c>
      <c r="DL135" s="995">
        <v>162390.5</v>
      </c>
      <c r="DM135" s="995">
        <v>8259</v>
      </c>
      <c r="DN135" s="995">
        <v>64.866</v>
      </c>
      <c r="DO135" s="995">
        <v>189.7</v>
      </c>
      <c r="DP135" s="995">
        <v>66.391000000000005</v>
      </c>
      <c r="DQ135" s="995">
        <v>395.04300000000001</v>
      </c>
      <c r="DR135" s="995">
        <v>4989269</v>
      </c>
      <c r="DS135" s="995">
        <v>12.489000000000001</v>
      </c>
      <c r="DT135" s="995">
        <v>157732</v>
      </c>
    </row>
    <row r="136" spans="1:124">
      <c r="A136" s="42" t="s">
        <v>93</v>
      </c>
      <c r="B136" s="42" t="s">
        <v>308</v>
      </c>
      <c r="C136" s="42" t="s">
        <v>309</v>
      </c>
      <c r="D136" s="42">
        <v>308342</v>
      </c>
      <c r="E136" s="42" t="s">
        <v>312</v>
      </c>
      <c r="F136" s="42" t="s">
        <v>149</v>
      </c>
      <c r="G136" s="42" t="s">
        <v>150</v>
      </c>
      <c r="H136" s="43" t="s">
        <v>150</v>
      </c>
      <c r="I136" s="44">
        <v>10</v>
      </c>
      <c r="J136" s="45">
        <v>88021.790999999997</v>
      </c>
      <c r="K136" s="46">
        <v>15181.226542</v>
      </c>
      <c r="L136" s="47">
        <v>103203.017542</v>
      </c>
      <c r="M136" s="48">
        <v>3615006</v>
      </c>
      <c r="N136" s="49">
        <v>1340315</v>
      </c>
      <c r="O136" s="49">
        <v>2259430</v>
      </c>
      <c r="P136" s="49">
        <v>15261</v>
      </c>
      <c r="Q136" s="50">
        <v>8181.3998623853204</v>
      </c>
      <c r="R136" s="51">
        <v>1263.9564972912301</v>
      </c>
      <c r="S136" s="49">
        <v>9006.0589465777393</v>
      </c>
      <c r="T136" s="49">
        <v>1205.7392148451099</v>
      </c>
      <c r="U136" s="49">
        <f>IFERROR(INDEX('Rentabilidad datos'!$N$2:$N$61,MATCH($C136,'Rentabilidad datos'!$C$2:$C$61,0)),"")</f>
        <v>11475.754658714084</v>
      </c>
      <c r="V136" s="50">
        <f>IFERROR(INDEX('Rentabilidad datos'!$O$2:$O$61,MATCH($C136,'Rentabilidad datos'!$C$2:$C$61,0)),"")</f>
        <v>1434.4693323392605</v>
      </c>
      <c r="W136" s="51">
        <f>IFERROR(INDEX('Rentabilidad datos'!$M$2:$M$61,MATCH($C136,'Rentabilidad datos'!$C$2:$C$61,0)),"")</f>
        <v>2692.8351820114153</v>
      </c>
      <c r="X136" s="52">
        <f>IFERROR(INDEX('Rentabilidad datos'!$P$2:$P$61,MATCH($C136,'Rentabilidad datos'!$C$2:$C$61,0)),"")</f>
        <v>0.53269852604487389</v>
      </c>
      <c r="Y136" s="43" t="s">
        <v>211</v>
      </c>
      <c r="Z136" s="53">
        <v>44.711009174311897</v>
      </c>
      <c r="AA136" s="43">
        <v>1</v>
      </c>
      <c r="AB136" s="54">
        <v>0.92290109615309079</v>
      </c>
      <c r="AC136" s="55">
        <v>7.7098903846909247E-2</v>
      </c>
      <c r="AD136" s="752" t="e">
        <f>_xlfn.XLOOKUP(Table1[[#This Row],[Ruta]],#REF!,#REF!)</f>
        <v>#REF!</v>
      </c>
      <c r="AE136" s="752" t="e">
        <f>_xlfn.XLOOKUP(Table1[[#This Row],[Ruta]],#REF!,#REF!)</f>
        <v>#REF!</v>
      </c>
      <c r="AF136" s="752" t="e">
        <f>_xlfn.XLOOKUP(Table1[[#This Row],[Ruta]],#REF!,#REF!)</f>
        <v>#REF!</v>
      </c>
      <c r="AG136" s="752" t="e">
        <f>_xlfn.XLOOKUP(Table1[[#This Row],[Ruta]],#REF!,#REF!)</f>
        <v>#REF!</v>
      </c>
      <c r="AH136" s="52">
        <v>0.37076425322668899</v>
      </c>
      <c r="AI136" s="52">
        <v>0.62501417701658035</v>
      </c>
      <c r="AJ136" s="55">
        <v>4.2215697567306943E-3</v>
      </c>
      <c r="AK136" s="56">
        <v>19494</v>
      </c>
      <c r="AL136" s="44">
        <v>13418</v>
      </c>
      <c r="AM136" s="54">
        <v>0.68831435313429801</v>
      </c>
      <c r="AN136" s="55">
        <v>0.76706276150627595</v>
      </c>
      <c r="AO136" s="56">
        <v>1535.1214728033499</v>
      </c>
      <c r="AP136" s="48">
        <v>767.56073640167494</v>
      </c>
      <c r="AQ136" s="55">
        <v>0.72768855732028692</v>
      </c>
      <c r="AR136" s="51">
        <v>3567090.34</v>
      </c>
      <c r="AS136" s="49">
        <v>204051.16173660001</v>
      </c>
      <c r="AT136" s="55">
        <v>5.7203811030084546E-2</v>
      </c>
      <c r="AU136" s="51">
        <v>143387.30284193519</v>
      </c>
      <c r="AV136" s="52">
        <v>6.5228240974374936E-4</v>
      </c>
      <c r="AW136" s="44">
        <v>357</v>
      </c>
      <c r="AX136" s="51">
        <v>265.84366820688598</v>
      </c>
      <c r="AY136" s="49">
        <v>312.28158299102398</v>
      </c>
      <c r="AZ136" s="49">
        <v>46.437914784138002</v>
      </c>
      <c r="BA136" s="42" t="s">
        <v>150</v>
      </c>
      <c r="BB136" s="50">
        <v>218928.41155287382</v>
      </c>
      <c r="BC136" s="57">
        <v>362315.71439480898</v>
      </c>
      <c r="BD136" s="42" t="s">
        <v>150</v>
      </c>
      <c r="BE136" s="46">
        <v>44.711009174311897</v>
      </c>
      <c r="BF136" s="46">
        <v>59.133027522935798</v>
      </c>
      <c r="BG136" s="42" t="s">
        <v>152</v>
      </c>
      <c r="BH136" s="52">
        <v>0.68831435313429801</v>
      </c>
      <c r="BI136" s="52">
        <v>0.76706276150627595</v>
      </c>
      <c r="BJ136" s="42" t="s">
        <v>152</v>
      </c>
      <c r="BK136" s="46">
        <v>236.704168674312</v>
      </c>
      <c r="BL136" s="46">
        <v>295.25863977522903</v>
      </c>
      <c r="BM136" s="42" t="s">
        <v>152</v>
      </c>
      <c r="BN136" s="48">
        <v>0</v>
      </c>
      <c r="BO136" s="42" t="s">
        <v>155</v>
      </c>
      <c r="BP136" s="42" t="s">
        <v>152</v>
      </c>
      <c r="BQ136" s="46">
        <v>0</v>
      </c>
      <c r="BR136" s="46">
        <v>1181</v>
      </c>
      <c r="BS136" s="46">
        <v>68900</v>
      </c>
      <c r="BT136" s="46">
        <v>24509</v>
      </c>
      <c r="BU136" s="46">
        <v>2.8112122077604145</v>
      </c>
      <c r="BV136" s="46">
        <v>20.752751905165113</v>
      </c>
      <c r="BW136" s="46">
        <v>5378</v>
      </c>
      <c r="BX136" s="46">
        <v>11305</v>
      </c>
      <c r="BY136" s="46">
        <v>16683</v>
      </c>
      <c r="BZ136" s="46">
        <v>0.68068872659023216</v>
      </c>
      <c r="CA136" s="46">
        <v>0.21942959729079109</v>
      </c>
      <c r="CB136" s="46">
        <v>0.46125912929944102</v>
      </c>
      <c r="CC136" s="46">
        <v>0.31498633155167488</v>
      </c>
      <c r="CD136" s="46">
        <v>3.42731241584724E-3</v>
      </c>
      <c r="CE136" s="46">
        <v>0</v>
      </c>
      <c r="CF136" s="46">
        <v>8.9762944224570571E-4</v>
      </c>
      <c r="CG136" s="46">
        <v>0</v>
      </c>
      <c r="CH136" s="46">
        <v>0</v>
      </c>
      <c r="CI136" s="46">
        <v>1.8432510885341069</v>
      </c>
      <c r="CJ136" s="46">
        <v>0.71117561683599417</v>
      </c>
      <c r="CK136">
        <v>325</v>
      </c>
      <c r="CL136">
        <v>950.71</v>
      </c>
      <c r="CM136">
        <f t="shared" si="14"/>
        <v>625.71</v>
      </c>
      <c r="CN136">
        <v>5.42</v>
      </c>
      <c r="CO136">
        <v>9.4499999999999993</v>
      </c>
      <c r="CP136">
        <f t="shared" si="15"/>
        <v>4.0299999999999994</v>
      </c>
      <c r="CQ136">
        <v>602.75</v>
      </c>
      <c r="CR136">
        <v>236.7</v>
      </c>
      <c r="CS136">
        <f t="shared" si="16"/>
        <v>366.05</v>
      </c>
      <c r="CT136" t="s">
        <v>152</v>
      </c>
      <c r="CU136">
        <v>61.27</v>
      </c>
      <c r="CV136">
        <v>310</v>
      </c>
      <c r="CW136" s="46">
        <v>16683</v>
      </c>
      <c r="CX136" s="46">
        <f t="shared" si="17"/>
        <v>65.515892121261572</v>
      </c>
      <c r="CY136" s="46">
        <v>625.71</v>
      </c>
      <c r="CZ136" s="46">
        <f t="shared" si="18"/>
        <v>68.068872659023214</v>
      </c>
      <c r="DA136" s="46">
        <f t="shared" si="19"/>
        <v>223.46740463685478</v>
      </c>
      <c r="DB136" s="46">
        <v>5616788.4100000001</v>
      </c>
      <c r="DC136" s="46">
        <f t="shared" si="20"/>
        <v>6.8245116016854777</v>
      </c>
      <c r="DD136" s="46">
        <v>171532.12</v>
      </c>
      <c r="DE136" s="995">
        <v>16683</v>
      </c>
      <c r="DF136" s="995">
        <v>65.608999999999995</v>
      </c>
      <c r="DG136" s="995">
        <v>602.9</v>
      </c>
      <c r="DH136" s="995">
        <v>68.069000000000003</v>
      </c>
      <c r="DI136" s="995">
        <v>347.95</v>
      </c>
      <c r="DJ136" s="995">
        <v>8737696</v>
      </c>
      <c r="DK136" s="995">
        <v>10.015000000000001</v>
      </c>
      <c r="DL136" s="995">
        <v>251502.8</v>
      </c>
      <c r="DM136" s="995">
        <v>16683</v>
      </c>
      <c r="DN136" s="995">
        <v>65.653000000000006</v>
      </c>
      <c r="DO136" s="995">
        <v>592.20000000000005</v>
      </c>
      <c r="DP136" s="995">
        <v>68.069000000000003</v>
      </c>
      <c r="DQ136" s="995">
        <v>345.83199999999999</v>
      </c>
      <c r="DR136" s="995">
        <v>8680790</v>
      </c>
      <c r="DS136" s="995">
        <v>9.92</v>
      </c>
      <c r="DT136" s="995">
        <v>249006.5</v>
      </c>
    </row>
    <row r="137" spans="1:124">
      <c r="A137" s="42" t="s">
        <v>93</v>
      </c>
      <c r="B137" s="42" t="s">
        <v>308</v>
      </c>
      <c r="C137" s="42" t="s">
        <v>309</v>
      </c>
      <c r="D137" s="42">
        <v>308343</v>
      </c>
      <c r="E137" s="42" t="s">
        <v>313</v>
      </c>
      <c r="F137" s="42" t="s">
        <v>149</v>
      </c>
      <c r="G137" s="42" t="s">
        <v>150</v>
      </c>
      <c r="H137" s="43" t="s">
        <v>150</v>
      </c>
      <c r="I137" s="44">
        <v>10</v>
      </c>
      <c r="J137" s="45">
        <v>108229.49280000001</v>
      </c>
      <c r="K137" s="46">
        <v>11914.173992</v>
      </c>
      <c r="L137" s="47">
        <v>120143.666792</v>
      </c>
      <c r="M137" s="48">
        <v>3463739</v>
      </c>
      <c r="N137" s="49">
        <v>1655324</v>
      </c>
      <c r="O137" s="49">
        <v>1799569</v>
      </c>
      <c r="P137" s="49">
        <v>8846</v>
      </c>
      <c r="Q137" s="50">
        <v>7996.0823112128101</v>
      </c>
      <c r="R137" s="51">
        <v>1263.9564972912301</v>
      </c>
      <c r="S137" s="49">
        <v>9006.0589465777393</v>
      </c>
      <c r="T137" s="49">
        <v>1205.7392148451099</v>
      </c>
      <c r="U137" s="49">
        <f>IFERROR(INDEX('Rentabilidad datos'!$N$2:$N$61,MATCH($C137,'Rentabilidad datos'!$C$2:$C$61,0)),"")</f>
        <v>11475.754658714084</v>
      </c>
      <c r="V137" s="50">
        <f>IFERROR(INDEX('Rentabilidad datos'!$O$2:$O$61,MATCH($C137,'Rentabilidad datos'!$C$2:$C$61,0)),"")</f>
        <v>1434.4693323392605</v>
      </c>
      <c r="W137" s="51">
        <f>IFERROR(INDEX('Rentabilidad datos'!$M$2:$M$61,MATCH($C137,'Rentabilidad datos'!$C$2:$C$61,0)),"")</f>
        <v>2692.8351820114153</v>
      </c>
      <c r="X137" s="52">
        <f>IFERROR(INDEX('Rentabilidad datos'!$P$2:$P$61,MATCH($C137,'Rentabilidad datos'!$C$2:$C$61,0)),"")</f>
        <v>0.53269852604487389</v>
      </c>
      <c r="Y137" s="43" t="s">
        <v>211</v>
      </c>
      <c r="Z137" s="53">
        <v>54.800915331807801</v>
      </c>
      <c r="AA137" s="43">
        <v>1</v>
      </c>
      <c r="AB137" s="54">
        <v>0.91873030849033366</v>
      </c>
      <c r="AC137" s="55">
        <v>8.1269691509666286E-2</v>
      </c>
      <c r="AD137" s="752" t="e">
        <f>_xlfn.XLOOKUP(Table1[[#This Row],[Ruta]],#REF!,#REF!)</f>
        <v>#REF!</v>
      </c>
      <c r="AE137" s="752" t="e">
        <f>_xlfn.XLOOKUP(Table1[[#This Row],[Ruta]],#REF!,#REF!)</f>
        <v>#REF!</v>
      </c>
      <c r="AF137" s="752" t="e">
        <f>_xlfn.XLOOKUP(Table1[[#This Row],[Ruta]],#REF!,#REF!)</f>
        <v>#REF!</v>
      </c>
      <c r="AG137" s="752" t="e">
        <f>_xlfn.XLOOKUP(Table1[[#This Row],[Ruta]],#REF!,#REF!)</f>
        <v>#REF!</v>
      </c>
      <c r="AH137" s="52">
        <v>0.47790090419630349</v>
      </c>
      <c r="AI137" s="52">
        <v>0.51954520822729422</v>
      </c>
      <c r="AJ137" s="55">
        <v>2.5538875764022635E-3</v>
      </c>
      <c r="AK137" s="56">
        <v>23948</v>
      </c>
      <c r="AL137" s="44">
        <v>14344</v>
      </c>
      <c r="AM137" s="54">
        <v>0.59896442291631902</v>
      </c>
      <c r="AN137" s="55">
        <v>0.76706276150627595</v>
      </c>
      <c r="AO137" s="56">
        <v>4025.6190125522999</v>
      </c>
      <c r="AP137" s="48">
        <v>2012.8095062761499</v>
      </c>
      <c r="AQ137" s="55">
        <v>0.68301359221129743</v>
      </c>
      <c r="AR137" s="51">
        <v>3494287.97</v>
      </c>
      <c r="AS137" s="49">
        <v>490332.96456235298</v>
      </c>
      <c r="AT137" s="55">
        <v>0.140324142936151</v>
      </c>
      <c r="AU137" s="51">
        <v>344558.29942219413</v>
      </c>
      <c r="AV137" s="52">
        <v>1.5674283105253214E-3</v>
      </c>
      <c r="AW137" s="44">
        <v>216</v>
      </c>
      <c r="AX137" s="51">
        <v>243.606244422755</v>
      </c>
      <c r="AY137" s="49">
        <v>312.28158299102398</v>
      </c>
      <c r="AZ137" s="49">
        <v>68.675338568268984</v>
      </c>
      <c r="BA137" s="42" t="s">
        <v>150</v>
      </c>
      <c r="BB137" s="50">
        <v>346108.85766222322</v>
      </c>
      <c r="BC137" s="57">
        <v>690667.1570844173</v>
      </c>
      <c r="BD137" s="42" t="s">
        <v>150</v>
      </c>
      <c r="BE137" s="46">
        <v>54.800915331807801</v>
      </c>
      <c r="BF137" s="46">
        <v>59.133027522935798</v>
      </c>
      <c r="BG137" s="42" t="s">
        <v>152</v>
      </c>
      <c r="BH137" s="52">
        <v>0.59896442291631902</v>
      </c>
      <c r="BI137" s="52">
        <v>0.76706276150627595</v>
      </c>
      <c r="BJ137" s="42" t="s">
        <v>152</v>
      </c>
      <c r="BK137" s="46">
        <v>274.92829929519502</v>
      </c>
      <c r="BL137" s="46">
        <v>295.25863977522903</v>
      </c>
      <c r="BM137" s="42" t="s">
        <v>152</v>
      </c>
      <c r="BN137" s="48">
        <v>0</v>
      </c>
      <c r="BO137" s="42" t="s">
        <v>155</v>
      </c>
      <c r="BP137" s="42" t="s">
        <v>152</v>
      </c>
      <c r="BQ137" s="46">
        <v>2421.21743636972</v>
      </c>
      <c r="BR137" s="46">
        <v>2089</v>
      </c>
      <c r="BS137" s="46">
        <v>115446</v>
      </c>
      <c r="BT137" s="46">
        <v>37025</v>
      </c>
      <c r="BU137" s="46">
        <v>3.1180553679945984</v>
      </c>
      <c r="BV137" s="46">
        <v>17.723791287697463</v>
      </c>
      <c r="BW137" s="46">
        <v>8901</v>
      </c>
      <c r="BX137" s="46">
        <v>10663</v>
      </c>
      <c r="BY137" s="46">
        <v>19564</v>
      </c>
      <c r="BZ137" s="46">
        <v>0.52839972991222151</v>
      </c>
      <c r="CA137" s="46">
        <v>0.24040513166779204</v>
      </c>
      <c r="CB137" s="46">
        <v>0.28799459824442952</v>
      </c>
      <c r="CC137" s="46">
        <v>0.29066846725185691</v>
      </c>
      <c r="CD137" s="46">
        <v>0</v>
      </c>
      <c r="CE137" s="46">
        <v>0</v>
      </c>
      <c r="CF137" s="46">
        <v>0.1809318028359217</v>
      </c>
      <c r="CG137" s="46">
        <v>0</v>
      </c>
      <c r="CH137" s="46">
        <v>0</v>
      </c>
      <c r="CI137" s="46">
        <v>2.2261490220536011</v>
      </c>
      <c r="CJ137" s="46">
        <v>0.4677511563848033</v>
      </c>
      <c r="CK137">
        <v>498</v>
      </c>
      <c r="CL137">
        <v>1099.67</v>
      </c>
      <c r="CM137">
        <f t="shared" si="14"/>
        <v>601.67000000000007</v>
      </c>
      <c r="CN137">
        <v>8.57</v>
      </c>
      <c r="CO137">
        <v>9.4499999999999993</v>
      </c>
      <c r="CP137">
        <f t="shared" si="15"/>
        <v>0.87999999999999901</v>
      </c>
      <c r="CQ137">
        <v>602.75</v>
      </c>
      <c r="CR137">
        <v>274.93</v>
      </c>
      <c r="CS137">
        <f t="shared" si="16"/>
        <v>327.82</v>
      </c>
      <c r="CT137" t="s">
        <v>152</v>
      </c>
      <c r="CU137">
        <v>93.99</v>
      </c>
      <c r="CV137">
        <v>448</v>
      </c>
      <c r="CW137" s="46">
        <v>19564</v>
      </c>
      <c r="CX137" s="46">
        <f t="shared" si="17"/>
        <v>51.2149358541526</v>
      </c>
      <c r="CY137" s="46">
        <v>601.66999999999996</v>
      </c>
      <c r="CZ137" s="46">
        <f t="shared" si="18"/>
        <v>52.839972991222147</v>
      </c>
      <c r="DA137" s="46">
        <f t="shared" si="19"/>
        <v>144.33951529593239</v>
      </c>
      <c r="DB137" s="46">
        <v>5431015.3099999996</v>
      </c>
      <c r="DC137" s="46">
        <f t="shared" si="20"/>
        <v>4.4192087686739221</v>
      </c>
      <c r="DD137" s="46">
        <v>166280.10999999999</v>
      </c>
      <c r="DE137" s="995">
        <v>19564</v>
      </c>
      <c r="DF137" s="995">
        <v>51.296999999999997</v>
      </c>
      <c r="DG137" s="995">
        <v>571.5</v>
      </c>
      <c r="DH137" s="995">
        <v>52.84</v>
      </c>
      <c r="DI137" s="995">
        <v>246.80199999999999</v>
      </c>
      <c r="DJ137" s="995">
        <v>9278868</v>
      </c>
      <c r="DK137" s="995">
        <v>7.7910000000000004</v>
      </c>
      <c r="DL137" s="995">
        <v>292912.90000000002</v>
      </c>
      <c r="DM137" s="995">
        <v>19564</v>
      </c>
      <c r="DN137" s="995">
        <v>51.350999999999999</v>
      </c>
      <c r="DO137" s="995">
        <v>551.20000000000005</v>
      </c>
      <c r="DP137" s="995">
        <v>52.84</v>
      </c>
      <c r="DQ137" s="995">
        <v>242.983</v>
      </c>
      <c r="DR137" s="995">
        <v>9130392</v>
      </c>
      <c r="DS137" s="995">
        <v>7.6580000000000004</v>
      </c>
      <c r="DT137" s="995">
        <v>287768.8</v>
      </c>
    </row>
    <row r="138" spans="1:124">
      <c r="A138" s="42" t="s">
        <v>93</v>
      </c>
      <c r="B138" s="42" t="s">
        <v>308</v>
      </c>
      <c r="C138" s="42" t="s">
        <v>309</v>
      </c>
      <c r="D138" s="42">
        <v>308344</v>
      </c>
      <c r="E138" s="42" t="s">
        <v>314</v>
      </c>
      <c r="F138" s="42" t="s">
        <v>149</v>
      </c>
      <c r="G138" s="42" t="s">
        <v>150</v>
      </c>
      <c r="H138" s="43" t="s">
        <v>150</v>
      </c>
      <c r="I138" s="44">
        <v>10</v>
      </c>
      <c r="J138" s="45">
        <v>105759.9972</v>
      </c>
      <c r="K138" s="46">
        <v>16277.959386</v>
      </c>
      <c r="L138" s="47">
        <v>122037.956586</v>
      </c>
      <c r="M138" s="48">
        <v>4159844</v>
      </c>
      <c r="N138" s="49">
        <v>1596388</v>
      </c>
      <c r="O138" s="49">
        <v>2546775</v>
      </c>
      <c r="P138" s="49">
        <v>16681</v>
      </c>
      <c r="Q138" s="50">
        <v>9394.1732036613303</v>
      </c>
      <c r="R138" s="51">
        <v>1263.9564972912301</v>
      </c>
      <c r="S138" s="49">
        <v>9006.0589465777393</v>
      </c>
      <c r="T138" s="49">
        <v>1205.7392148451099</v>
      </c>
      <c r="U138" s="49">
        <f>IFERROR(INDEX('Rentabilidad datos'!$N$2:$N$61,MATCH($C138,'Rentabilidad datos'!$C$2:$C$61,0)),"")</f>
        <v>11475.754658714084</v>
      </c>
      <c r="V138" s="50">
        <f>IFERROR(INDEX('Rentabilidad datos'!$O$2:$O$61,MATCH($C138,'Rentabilidad datos'!$C$2:$C$61,0)),"")</f>
        <v>1434.4693323392605</v>
      </c>
      <c r="W138" s="51">
        <f>IFERROR(INDEX('Rentabilidad datos'!$M$2:$M$61,MATCH($C138,'Rentabilidad datos'!$C$2:$C$61,0)),"")</f>
        <v>2692.8351820114153</v>
      </c>
      <c r="X138" s="52">
        <f>IFERROR(INDEX('Rentabilidad datos'!$P$2:$P$61,MATCH($C138,'Rentabilidad datos'!$C$2:$C$61,0)),"")</f>
        <v>0.53269852604487389</v>
      </c>
      <c r="Y138" s="43" t="s">
        <v>211</v>
      </c>
      <c r="Z138" s="53">
        <v>43.711670480549202</v>
      </c>
      <c r="AA138" s="43">
        <v>1</v>
      </c>
      <c r="AB138" s="54">
        <v>0.93041902532883447</v>
      </c>
      <c r="AC138" s="55">
        <v>6.9580974671165557E-2</v>
      </c>
      <c r="AD138" s="752" t="e">
        <f>_xlfn.XLOOKUP(Table1[[#This Row],[Ruta]],#REF!,#REF!)</f>
        <v>#REF!</v>
      </c>
      <c r="AE138" s="752" t="e">
        <f>_xlfn.XLOOKUP(Table1[[#This Row],[Ruta]],#REF!,#REF!)</f>
        <v>#REF!</v>
      </c>
      <c r="AF138" s="752" t="e">
        <f>_xlfn.XLOOKUP(Table1[[#This Row],[Ruta]],#REF!,#REF!)</f>
        <v>#REF!</v>
      </c>
      <c r="AG138" s="752" t="e">
        <f>_xlfn.XLOOKUP(Table1[[#This Row],[Ruta]],#REF!,#REF!)</f>
        <v>#REF!</v>
      </c>
      <c r="AH138" s="52">
        <v>0.3837615064411069</v>
      </c>
      <c r="AI138" s="52">
        <v>0.61222848741443192</v>
      </c>
      <c r="AJ138" s="55">
        <v>4.0100061444611869E-3</v>
      </c>
      <c r="AK138" s="56">
        <v>19102</v>
      </c>
      <c r="AL138" s="44">
        <v>13146</v>
      </c>
      <c r="AM138" s="54">
        <v>0.68820018846194098</v>
      </c>
      <c r="AN138" s="55">
        <v>0.76706276150627595</v>
      </c>
      <c r="AO138" s="56">
        <v>1506.4328702928899</v>
      </c>
      <c r="AP138" s="48">
        <v>753.21643514644495</v>
      </c>
      <c r="AQ138" s="55">
        <v>0.72763147498410874</v>
      </c>
      <c r="AR138" s="51">
        <v>4105253.69</v>
      </c>
      <c r="AS138" s="49">
        <v>235215.6207023875</v>
      </c>
      <c r="AT138" s="55">
        <v>5.729624487649812E-2</v>
      </c>
      <c r="AU138" s="51">
        <v>165286.65238546155</v>
      </c>
      <c r="AV138" s="52">
        <v>7.519046232100199E-4</v>
      </c>
      <c r="AW138" s="44">
        <v>339</v>
      </c>
      <c r="AX138" s="51">
        <v>312.28158299102398</v>
      </c>
      <c r="AY138" s="49">
        <v>312.28158299102398</v>
      </c>
      <c r="AZ138" s="49">
        <v>0</v>
      </c>
      <c r="BA138" s="42" t="s">
        <v>152</v>
      </c>
      <c r="BB138" s="50">
        <v>0</v>
      </c>
      <c r="BC138" s="57">
        <v>165286.65238546155</v>
      </c>
      <c r="BD138" s="42" t="s">
        <v>150</v>
      </c>
      <c r="BE138" s="46">
        <v>43.711670480549202</v>
      </c>
      <c r="BF138" s="46">
        <v>59.133027522935798</v>
      </c>
      <c r="BG138" s="42" t="s">
        <v>152</v>
      </c>
      <c r="BH138" s="52">
        <v>0.68820018846194098</v>
      </c>
      <c r="BI138" s="52">
        <v>0.76706276150627595</v>
      </c>
      <c r="BJ138" s="42" t="s">
        <v>152</v>
      </c>
      <c r="BK138" s="46">
        <v>279.263058549199</v>
      </c>
      <c r="BL138" s="46">
        <v>295.25863977522903</v>
      </c>
      <c r="BM138" s="42" t="s">
        <v>152</v>
      </c>
      <c r="BN138" s="48">
        <v>0</v>
      </c>
      <c r="BO138" s="42" t="s">
        <v>155</v>
      </c>
      <c r="BP138" s="42" t="s">
        <v>152</v>
      </c>
      <c r="BQ138" s="46">
        <v>5087.5789215791601</v>
      </c>
      <c r="BR138" s="46">
        <v>5758</v>
      </c>
      <c r="BS138" s="46">
        <v>209452</v>
      </c>
      <c r="BT138" s="46">
        <v>68274</v>
      </c>
      <c r="BU138" s="46">
        <v>3.0678149808126078</v>
      </c>
      <c r="BV138" s="46">
        <v>11.857242097950678</v>
      </c>
      <c r="BW138" s="46">
        <v>2428</v>
      </c>
      <c r="BX138" s="46">
        <v>18830</v>
      </c>
      <c r="BY138" s="46">
        <v>21258</v>
      </c>
      <c r="BZ138" s="46">
        <v>0.31136303717374109</v>
      </c>
      <c r="CA138" s="46">
        <v>3.5562586050326625E-2</v>
      </c>
      <c r="CB138" s="46">
        <v>0.2758004511234145</v>
      </c>
      <c r="CC138" s="46">
        <v>0.21614377361806836</v>
      </c>
      <c r="CD138" s="46">
        <v>4.8759410610188361E-2</v>
      </c>
      <c r="CE138" s="46">
        <v>1.684389372235404E-2</v>
      </c>
      <c r="CF138" s="46">
        <v>0.40649441954477544</v>
      </c>
      <c r="CG138" s="46">
        <v>2.050560974895275E-4</v>
      </c>
      <c r="CH138" s="46">
        <v>1.904092333831327E-4</v>
      </c>
      <c r="CI138" s="46">
        <v>3.1224337795771824</v>
      </c>
      <c r="CJ138" s="46">
        <v>0.47743635773351417</v>
      </c>
      <c r="CK138">
        <v>321</v>
      </c>
      <c r="CL138">
        <v>1063.6500000000001</v>
      </c>
      <c r="CM138">
        <f t="shared" ref="CM138:CM201" si="21">CL138-CK138</f>
        <v>742.65000000000009</v>
      </c>
      <c r="CN138">
        <v>5.12</v>
      </c>
      <c r="CO138">
        <v>9.4499999999999993</v>
      </c>
      <c r="CP138">
        <f t="shared" ref="CP138:CP201" si="22">CO138-CN138</f>
        <v>4.3299999999999992</v>
      </c>
      <c r="CQ138">
        <v>602.75</v>
      </c>
      <c r="CR138">
        <v>279.26</v>
      </c>
      <c r="CS138">
        <f t="shared" ref="CS138:CS201" si="23">CQ138-CR138</f>
        <v>323.49</v>
      </c>
      <c r="CT138" t="s">
        <v>152</v>
      </c>
      <c r="CU138">
        <v>58.69</v>
      </c>
      <c r="CV138">
        <v>255</v>
      </c>
      <c r="CW138" s="46">
        <v>21258</v>
      </c>
      <c r="CX138" s="46">
        <f t="shared" si="17"/>
        <v>30.048554354512696</v>
      </c>
      <c r="CY138" s="46">
        <v>742.65</v>
      </c>
      <c r="CZ138" s="46">
        <f t="shared" si="18"/>
        <v>31.136303717374108</v>
      </c>
      <c r="DA138" s="46">
        <f t="shared" si="19"/>
        <v>79.414821640864929</v>
      </c>
      <c r="DB138" s="46">
        <v>5480944.9500000002</v>
      </c>
      <c r="DC138" s="46">
        <f t="shared" si="20"/>
        <v>2.7465082701058368</v>
      </c>
      <c r="DD138" s="46">
        <v>189554.8</v>
      </c>
      <c r="DE138" s="995">
        <v>21258</v>
      </c>
      <c r="DF138" s="995">
        <v>30.073</v>
      </c>
      <c r="DG138" s="995">
        <v>725.9</v>
      </c>
      <c r="DH138" s="995">
        <v>31.135999999999999</v>
      </c>
      <c r="DI138" s="995">
        <v>125.905</v>
      </c>
      <c r="DJ138" s="995">
        <v>8687432</v>
      </c>
      <c r="DK138" s="995">
        <v>4.1609999999999996</v>
      </c>
      <c r="DL138" s="995">
        <v>287083.3</v>
      </c>
      <c r="DM138" s="995">
        <v>21258</v>
      </c>
      <c r="DN138" s="995">
        <v>30.09</v>
      </c>
      <c r="DO138" s="995">
        <v>714.7</v>
      </c>
      <c r="DP138" s="995">
        <v>31.135999999999999</v>
      </c>
      <c r="DQ138" s="995">
        <v>124.425</v>
      </c>
      <c r="DR138" s="995">
        <v>8583885</v>
      </c>
      <c r="DS138" s="995">
        <v>4.1260000000000003</v>
      </c>
      <c r="DT138" s="995">
        <v>284635.3</v>
      </c>
    </row>
    <row r="139" spans="1:124">
      <c r="A139" s="42" t="s">
        <v>93</v>
      </c>
      <c r="B139" s="42" t="s">
        <v>308</v>
      </c>
      <c r="C139" s="42" t="s">
        <v>309</v>
      </c>
      <c r="D139" s="42">
        <v>308345</v>
      </c>
      <c r="E139" s="42" t="s">
        <v>315</v>
      </c>
      <c r="F139" s="42" t="s">
        <v>193</v>
      </c>
      <c r="G139" s="42" t="s">
        <v>150</v>
      </c>
      <c r="H139" s="43" t="s">
        <v>152</v>
      </c>
      <c r="I139" s="44">
        <v>10</v>
      </c>
      <c r="J139" s="45">
        <v>10.038600000000001</v>
      </c>
      <c r="K139" s="46">
        <v>34.959200000000003</v>
      </c>
      <c r="L139" s="47">
        <v>44.997799999999998</v>
      </c>
      <c r="M139" s="48">
        <v>3496</v>
      </c>
      <c r="N139" s="49">
        <v>156</v>
      </c>
      <c r="O139" s="49">
        <v>3340</v>
      </c>
      <c r="P139" s="49">
        <v>0</v>
      </c>
      <c r="Q139" s="50">
        <v>0</v>
      </c>
      <c r="R139" s="51">
        <v>1263.9564972912301</v>
      </c>
      <c r="S139" s="49">
        <v>9006.0589465777393</v>
      </c>
      <c r="T139" s="49">
        <v>1205.7392148451099</v>
      </c>
      <c r="U139" s="49">
        <f>IFERROR(INDEX('Rentabilidad datos'!$N$2:$N$61,MATCH($C139,'Rentabilidad datos'!$C$2:$C$61,0)),"")</f>
        <v>11475.754658714084</v>
      </c>
      <c r="V139" s="50">
        <f>IFERROR(INDEX('Rentabilidad datos'!$O$2:$O$61,MATCH($C139,'Rentabilidad datos'!$C$2:$C$61,0)),"")</f>
        <v>1434.4693323392605</v>
      </c>
      <c r="W139" s="51">
        <f>IFERROR(INDEX('Rentabilidad datos'!$M$2:$M$61,MATCH($C139,'Rentabilidad datos'!$C$2:$C$61,0)),"")</f>
        <v>2692.8351820114153</v>
      </c>
      <c r="X139" s="52">
        <f>IFERROR(INDEX('Rentabilidad datos'!$P$2:$P$61,MATCH($C139,'Rentabilidad datos'!$C$2:$C$61,0)),"")</f>
        <v>0.53269852604487389</v>
      </c>
      <c r="Y139" s="43" t="s">
        <v>211</v>
      </c>
      <c r="Z139" s="53">
        <v>0</v>
      </c>
      <c r="AA139" s="43">
        <v>1</v>
      </c>
      <c r="AB139" s="54">
        <v>0.19879862700228834</v>
      </c>
      <c r="AC139" s="55">
        <v>0.80120137299771166</v>
      </c>
      <c r="AD139" s="752" t="e">
        <f>_xlfn.XLOOKUP(Table1[[#This Row],[Ruta]],#REF!,#REF!)</f>
        <v>#REF!</v>
      </c>
      <c r="AE139" s="752" t="e">
        <f>_xlfn.XLOOKUP(Table1[[#This Row],[Ruta]],#REF!,#REF!)</f>
        <v>#REF!</v>
      </c>
      <c r="AF139" s="752" t="e">
        <f>_xlfn.XLOOKUP(Table1[[#This Row],[Ruta]],#REF!,#REF!)</f>
        <v>#REF!</v>
      </c>
      <c r="AG139" s="752" t="e">
        <f>_xlfn.XLOOKUP(Table1[[#This Row],[Ruta]],#REF!,#REF!)</f>
        <v>#REF!</v>
      </c>
      <c r="AH139" s="52">
        <v>4.462242562929062E-2</v>
      </c>
      <c r="AI139" s="52">
        <v>0.95537757437070936</v>
      </c>
      <c r="AJ139" s="55">
        <v>0</v>
      </c>
      <c r="AK139" s="56">
        <v>0</v>
      </c>
      <c r="AL139" s="44">
        <v>5</v>
      </c>
      <c r="AM139" s="54">
        <v>0</v>
      </c>
      <c r="AN139" s="55">
        <v>0.76706276150627595</v>
      </c>
      <c r="AO139" s="56">
        <v>0</v>
      </c>
      <c r="AP139" s="48">
        <v>0</v>
      </c>
      <c r="AQ139" s="55" t="s">
        <v>194</v>
      </c>
      <c r="AR139" s="51">
        <v>3496.05</v>
      </c>
      <c r="AS139" s="49">
        <v>0</v>
      </c>
      <c r="AT139" s="55">
        <v>0</v>
      </c>
      <c r="AU139" s="51">
        <v>0</v>
      </c>
      <c r="AV139" s="52">
        <v>0</v>
      </c>
      <c r="AW139" s="44">
        <v>490</v>
      </c>
      <c r="AX139" s="51">
        <v>699.21</v>
      </c>
      <c r="AY139" s="49">
        <v>312.28158299102398</v>
      </c>
      <c r="AZ139" s="49">
        <v>0</v>
      </c>
      <c r="BA139" s="42" t="s">
        <v>152</v>
      </c>
      <c r="BB139" s="50">
        <v>0</v>
      </c>
      <c r="BC139" s="57">
        <v>0</v>
      </c>
      <c r="BD139" s="42" t="s">
        <v>152</v>
      </c>
      <c r="BE139" s="46" t="s">
        <v>195</v>
      </c>
      <c r="BF139" s="46" t="s">
        <v>195</v>
      </c>
      <c r="BG139" s="42" t="s">
        <v>195</v>
      </c>
      <c r="BH139" s="52" t="s">
        <v>195</v>
      </c>
      <c r="BI139" s="52" t="s">
        <v>195</v>
      </c>
      <c r="BJ139" s="42" t="s">
        <v>195</v>
      </c>
      <c r="BK139" s="46" t="s">
        <v>195</v>
      </c>
      <c r="BL139" s="46" t="s">
        <v>195</v>
      </c>
      <c r="BM139" s="42" t="s">
        <v>195</v>
      </c>
      <c r="BN139" s="48" t="s">
        <v>195</v>
      </c>
      <c r="BO139" s="42" t="s">
        <v>195</v>
      </c>
      <c r="BP139" s="42" t="s">
        <v>152</v>
      </c>
      <c r="BQ139" s="46">
        <v>0</v>
      </c>
      <c r="BR139" s="46" t="e">
        <v>#N/A</v>
      </c>
      <c r="BS139" s="46" t="e">
        <v>#N/A</v>
      </c>
      <c r="BT139" s="46" t="e">
        <v>#N/A</v>
      </c>
      <c r="BU139" s="46" t="e">
        <v>#N/A</v>
      </c>
      <c r="BV139" s="46" t="e">
        <v>#N/A</v>
      </c>
      <c r="BW139" s="46" t="e">
        <v>#N/A</v>
      </c>
      <c r="BX139" s="46" t="e">
        <v>#N/A</v>
      </c>
      <c r="BY139" s="46" t="e">
        <v>#N/A</v>
      </c>
      <c r="BZ139" s="46" t="e">
        <v>#N/A</v>
      </c>
      <c r="CA139" s="46" t="e">
        <v>#N/A</v>
      </c>
      <c r="CB139" s="46" t="e">
        <v>#N/A</v>
      </c>
      <c r="CC139" s="46" t="e">
        <v>#N/A</v>
      </c>
      <c r="CD139" s="46" t="e">
        <v>#N/A</v>
      </c>
      <c r="CE139" s="46" t="e">
        <v>#N/A</v>
      </c>
      <c r="CF139" s="46" t="e">
        <v>#N/A</v>
      </c>
      <c r="CG139" s="46" t="e">
        <v>#N/A</v>
      </c>
      <c r="CH139" s="46" t="e">
        <v>#N/A</v>
      </c>
      <c r="CI139" s="46" t="e">
        <v>#N/A</v>
      </c>
      <c r="CJ139" s="46" t="e">
        <v>#N/A</v>
      </c>
      <c r="CM139">
        <f t="shared" si="21"/>
        <v>0</v>
      </c>
      <c r="CP139">
        <f t="shared" si="22"/>
        <v>0</v>
      </c>
      <c r="CS139">
        <f t="shared" si="23"/>
        <v>0</v>
      </c>
      <c r="CW139" s="46"/>
      <c r="CX139" s="46" t="e">
        <f t="shared" si="17"/>
        <v>#N/A</v>
      </c>
      <c r="CY139" s="46"/>
      <c r="CZ139" s="46" t="e">
        <f t="shared" si="18"/>
        <v>#N/A</v>
      </c>
      <c r="DA139" s="46" t="e">
        <f t="shared" si="19"/>
        <v>#N/A</v>
      </c>
      <c r="DB139" s="46"/>
      <c r="DC139" s="46" t="e">
        <f t="shared" si="20"/>
        <v>#N/A</v>
      </c>
      <c r="DD139" s="46"/>
      <c r="DE139" s="995" t="s">
        <v>194</v>
      </c>
      <c r="DF139" s="995" t="s">
        <v>194</v>
      </c>
      <c r="DG139" s="995" t="s">
        <v>194</v>
      </c>
      <c r="DH139" s="995" t="s">
        <v>194</v>
      </c>
      <c r="DI139" s="995" t="s">
        <v>194</v>
      </c>
      <c r="DJ139" s="995" t="s">
        <v>194</v>
      </c>
      <c r="DK139" s="995" t="s">
        <v>194</v>
      </c>
      <c r="DL139" s="995" t="s">
        <v>194</v>
      </c>
      <c r="DM139" s="995" t="s">
        <v>194</v>
      </c>
      <c r="DN139" s="995" t="s">
        <v>194</v>
      </c>
      <c r="DO139" s="995" t="s">
        <v>194</v>
      </c>
      <c r="DP139" s="995" t="s">
        <v>194</v>
      </c>
      <c r="DQ139" s="995" t="s">
        <v>194</v>
      </c>
      <c r="DR139" s="995" t="s">
        <v>194</v>
      </c>
      <c r="DS139" s="995" t="s">
        <v>194</v>
      </c>
      <c r="DT139" s="995" t="s">
        <v>194</v>
      </c>
    </row>
    <row r="140" spans="1:124">
      <c r="A140" s="42" t="s">
        <v>93</v>
      </c>
      <c r="B140" s="42" t="s">
        <v>308</v>
      </c>
      <c r="C140" s="42" t="s">
        <v>309</v>
      </c>
      <c r="D140" s="42">
        <v>308346</v>
      </c>
      <c r="E140" s="42" t="s">
        <v>316</v>
      </c>
      <c r="F140" s="42" t="s">
        <v>149</v>
      </c>
      <c r="G140" s="42" t="s">
        <v>150</v>
      </c>
      <c r="H140" s="43" t="s">
        <v>150</v>
      </c>
      <c r="I140" s="44">
        <v>10</v>
      </c>
      <c r="J140" s="45">
        <v>60131.214</v>
      </c>
      <c r="K140" s="46">
        <v>9154.1086169999999</v>
      </c>
      <c r="L140" s="47">
        <v>69285.322616999998</v>
      </c>
      <c r="M140" s="48">
        <v>2277259</v>
      </c>
      <c r="N140" s="49">
        <v>938172</v>
      </c>
      <c r="O140" s="49">
        <v>1305356</v>
      </c>
      <c r="P140" s="49">
        <v>33731</v>
      </c>
      <c r="Q140" s="50">
        <v>5029.0409655172398</v>
      </c>
      <c r="R140" s="51">
        <v>1263.9564972912301</v>
      </c>
      <c r="S140" s="49">
        <v>9006.0589465777393</v>
      </c>
      <c r="T140" s="49">
        <v>1205.7392148451099</v>
      </c>
      <c r="U140" s="49">
        <f>IFERROR(INDEX('Rentabilidad datos'!$N$2:$N$61,MATCH($C140,'Rentabilidad datos'!$C$2:$C$61,0)),"")</f>
        <v>11475.754658714084</v>
      </c>
      <c r="V140" s="50">
        <f>IFERROR(INDEX('Rentabilidad datos'!$O$2:$O$61,MATCH($C140,'Rentabilidad datos'!$C$2:$C$61,0)),"")</f>
        <v>1434.4693323392605</v>
      </c>
      <c r="W140" s="51">
        <f>IFERROR(INDEX('Rentabilidad datos'!$M$2:$M$61,MATCH($C140,'Rentabilidad datos'!$C$2:$C$61,0)),"")</f>
        <v>2692.8351820114153</v>
      </c>
      <c r="X140" s="52">
        <f>IFERROR(INDEX('Rentabilidad datos'!$P$2:$P$61,MATCH($C140,'Rentabilidad datos'!$C$2:$C$61,0)),"")</f>
        <v>0.53269852604487389</v>
      </c>
      <c r="Y140" s="43" t="s">
        <v>211</v>
      </c>
      <c r="Z140" s="53">
        <v>37.089655172413799</v>
      </c>
      <c r="AA140" s="43">
        <v>1</v>
      </c>
      <c r="AB140" s="54">
        <v>0.77916477660204664</v>
      </c>
      <c r="AC140" s="55">
        <v>0.22083522339795342</v>
      </c>
      <c r="AD140" s="752" t="e">
        <f>_xlfn.XLOOKUP(Table1[[#This Row],[Ruta]],#REF!,#REF!)</f>
        <v>#REF!</v>
      </c>
      <c r="AE140" s="752" t="e">
        <f>_xlfn.XLOOKUP(Table1[[#This Row],[Ruta]],#REF!,#REF!)</f>
        <v>#REF!</v>
      </c>
      <c r="AF140" s="752" t="e">
        <f>_xlfn.XLOOKUP(Table1[[#This Row],[Ruta]],#REF!,#REF!)</f>
        <v>#REF!</v>
      </c>
      <c r="AG140" s="752" t="e">
        <f>_xlfn.XLOOKUP(Table1[[#This Row],[Ruta]],#REF!,#REF!)</f>
        <v>#REF!</v>
      </c>
      <c r="AH140" s="52">
        <v>0.41197421988451904</v>
      </c>
      <c r="AI140" s="52">
        <v>0.57321367486087438</v>
      </c>
      <c r="AJ140" s="55">
        <v>1.4812105254606524E-2</v>
      </c>
      <c r="AK140" s="56">
        <v>16134</v>
      </c>
      <c r="AL140" s="44">
        <v>7700</v>
      </c>
      <c r="AM140" s="54">
        <v>0.47725300607412902</v>
      </c>
      <c r="AN140" s="55">
        <v>0.76706276150627595</v>
      </c>
      <c r="AO140" s="56">
        <v>4675.7905941422596</v>
      </c>
      <c r="AP140" s="48">
        <v>2337.8952970711298</v>
      </c>
      <c r="AQ140" s="55">
        <v>0.62215788379020265</v>
      </c>
      <c r="AR140" s="51">
        <v>2187632.8199999998</v>
      </c>
      <c r="AS140" s="49">
        <v>664215.12748005998</v>
      </c>
      <c r="AT140" s="55">
        <v>0.30362276585339398</v>
      </c>
      <c r="AU140" s="51">
        <v>466745.76525625854</v>
      </c>
      <c r="AV140" s="52">
        <v>2.1232706555241996E-3</v>
      </c>
      <c r="AW140" s="44">
        <v>155</v>
      </c>
      <c r="AX140" s="51">
        <v>284.10815844155798</v>
      </c>
      <c r="AY140" s="49">
        <v>312.28158299102398</v>
      </c>
      <c r="AZ140" s="49">
        <v>28.173424549466006</v>
      </c>
      <c r="BA140" s="42" t="s">
        <v>150</v>
      </c>
      <c r="BB140" s="50">
        <v>76220.535064906711</v>
      </c>
      <c r="BC140" s="57">
        <v>542966.30032116524</v>
      </c>
      <c r="BD140" s="42" t="s">
        <v>150</v>
      </c>
      <c r="BE140" s="46">
        <v>37.089655172413799</v>
      </c>
      <c r="BF140" s="46">
        <v>59.133027522935798</v>
      </c>
      <c r="BG140" s="42" t="s">
        <v>152</v>
      </c>
      <c r="BH140" s="52">
        <v>0.47725300607412902</v>
      </c>
      <c r="BI140" s="52">
        <v>0.76706276150627595</v>
      </c>
      <c r="BJ140" s="42" t="s">
        <v>152</v>
      </c>
      <c r="BK140" s="46">
        <v>159.27660371724099</v>
      </c>
      <c r="BL140" s="46">
        <v>295.25863977522903</v>
      </c>
      <c r="BM140" s="42" t="s">
        <v>152</v>
      </c>
      <c r="BN140" s="48">
        <v>0</v>
      </c>
      <c r="BO140" s="42" t="s">
        <v>155</v>
      </c>
      <c r="BP140" s="42" t="s">
        <v>152</v>
      </c>
      <c r="BQ140" s="46">
        <v>6925.8737280462301</v>
      </c>
      <c r="BR140" s="46">
        <v>6596</v>
      </c>
      <c r="BS140" s="46">
        <v>243543</v>
      </c>
      <c r="BT140" s="46">
        <v>77118</v>
      </c>
      <c r="BU140" s="46">
        <v>3.158056484867346</v>
      </c>
      <c r="BV140" s="46">
        <v>11.691631291691934</v>
      </c>
      <c r="BW140" s="46">
        <v>1235</v>
      </c>
      <c r="BX140" s="46">
        <v>8203</v>
      </c>
      <c r="BY140" s="46">
        <v>9438</v>
      </c>
      <c r="BZ140" s="46">
        <v>0.12238387924998055</v>
      </c>
      <c r="CA140" s="46">
        <v>1.6014419461085609E-2</v>
      </c>
      <c r="CB140" s="46">
        <v>0.10636945978889496</v>
      </c>
      <c r="CC140" s="46">
        <v>0.33190694779428925</v>
      </c>
      <c r="CD140" s="46">
        <v>4.0574185015171557E-2</v>
      </c>
      <c r="CE140" s="46">
        <v>2.9824424907284939E-4</v>
      </c>
      <c r="CF140" s="46">
        <v>0.50408464949817167</v>
      </c>
      <c r="CG140" s="46">
        <v>6.6132420446588349E-4</v>
      </c>
      <c r="CH140" s="46">
        <v>9.076998884825851E-5</v>
      </c>
      <c r="CI140" s="46">
        <v>4.196384211412358</v>
      </c>
      <c r="CJ140" s="46">
        <v>0.42702931309871367</v>
      </c>
      <c r="CK140">
        <v>292</v>
      </c>
      <c r="CL140">
        <v>692.7</v>
      </c>
      <c r="CM140">
        <f t="shared" si="21"/>
        <v>400.70000000000005</v>
      </c>
      <c r="CN140">
        <v>5.72</v>
      </c>
      <c r="CO140">
        <v>9.4499999999999993</v>
      </c>
      <c r="CP140">
        <f t="shared" si="22"/>
        <v>3.7299999999999995</v>
      </c>
      <c r="CQ140">
        <v>602.75</v>
      </c>
      <c r="CR140">
        <v>159.28</v>
      </c>
      <c r="CS140">
        <f t="shared" si="23"/>
        <v>443.47</v>
      </c>
      <c r="CT140" t="s">
        <v>152</v>
      </c>
      <c r="CU140">
        <v>61.21</v>
      </c>
      <c r="CV140">
        <v>109</v>
      </c>
      <c r="CW140" s="46">
        <v>9438</v>
      </c>
      <c r="CX140" s="46">
        <f t="shared" si="17"/>
        <v>11.718794574548093</v>
      </c>
      <c r="CY140" s="46">
        <v>400.7</v>
      </c>
      <c r="CZ140" s="46">
        <f t="shared" si="18"/>
        <v>12.238387924998055</v>
      </c>
      <c r="DA140" s="46">
        <f t="shared" si="19"/>
        <v>57.809485066184031</v>
      </c>
      <c r="DB140" s="46">
        <v>4481316.13</v>
      </c>
      <c r="DC140" s="46">
        <f t="shared" si="20"/>
        <v>1.4433366400623335</v>
      </c>
      <c r="DD140" s="46">
        <v>111885.58</v>
      </c>
      <c r="DE140" s="995">
        <v>9438</v>
      </c>
      <c r="DF140" s="995">
        <v>11.952999999999999</v>
      </c>
      <c r="DG140" s="995">
        <v>220.2</v>
      </c>
      <c r="DH140" s="995">
        <v>12.238</v>
      </c>
      <c r="DI140" s="995">
        <v>68.165999999999997</v>
      </c>
      <c r="DJ140" s="995">
        <v>5271846</v>
      </c>
      <c r="DK140" s="995">
        <v>1.8160000000000001</v>
      </c>
      <c r="DL140" s="995">
        <v>140441.79999999999</v>
      </c>
      <c r="DM140" s="995">
        <v>9438</v>
      </c>
      <c r="DN140" s="995">
        <v>11.974</v>
      </c>
      <c r="DO140" s="995">
        <v>203.6</v>
      </c>
      <c r="DP140" s="995">
        <v>12.238</v>
      </c>
      <c r="DQ140" s="995">
        <v>66.227000000000004</v>
      </c>
      <c r="DR140" s="995">
        <v>5120743</v>
      </c>
      <c r="DS140" s="995">
        <v>1.768</v>
      </c>
      <c r="DT140" s="995">
        <v>136669.70000000001</v>
      </c>
    </row>
    <row r="141" spans="1:124">
      <c r="A141" s="42" t="s">
        <v>93</v>
      </c>
      <c r="B141" s="42" t="s">
        <v>308</v>
      </c>
      <c r="C141" s="42" t="s">
        <v>309</v>
      </c>
      <c r="D141" s="42">
        <v>308347</v>
      </c>
      <c r="E141" s="42" t="s">
        <v>317</v>
      </c>
      <c r="F141" s="42" t="s">
        <v>149</v>
      </c>
      <c r="G141" s="42" t="s">
        <v>150</v>
      </c>
      <c r="H141" s="43" t="s">
        <v>150</v>
      </c>
      <c r="I141" s="44">
        <v>10</v>
      </c>
      <c r="J141" s="45">
        <v>96191.605223999999</v>
      </c>
      <c r="K141" s="46">
        <v>15840.893203</v>
      </c>
      <c r="L141" s="47">
        <v>112032.498427</v>
      </c>
      <c r="M141" s="48">
        <v>3735656</v>
      </c>
      <c r="N141" s="49">
        <v>1397227</v>
      </c>
      <c r="O141" s="49">
        <v>2319560</v>
      </c>
      <c r="P141" s="49">
        <v>18869</v>
      </c>
      <c r="Q141" s="50">
        <v>8363.2483752860408</v>
      </c>
      <c r="R141" s="51">
        <v>1263.9564972912301</v>
      </c>
      <c r="S141" s="49">
        <v>9006.0589465777393</v>
      </c>
      <c r="T141" s="49">
        <v>1205.7392148451099</v>
      </c>
      <c r="U141" s="49">
        <f>IFERROR(INDEX('Rentabilidad datos'!$N$2:$N$61,MATCH($C141,'Rentabilidad datos'!$C$2:$C$61,0)),"")</f>
        <v>11475.754658714084</v>
      </c>
      <c r="V141" s="50">
        <f>IFERROR(INDEX('Rentabilidad datos'!$O$2:$O$61,MATCH($C141,'Rentabilidad datos'!$C$2:$C$61,0)),"")</f>
        <v>1434.4693323392605</v>
      </c>
      <c r="W141" s="51">
        <f>IFERROR(INDEX('Rentabilidad datos'!$M$2:$M$61,MATCH($C141,'Rentabilidad datos'!$C$2:$C$61,0)),"")</f>
        <v>2692.8351820114153</v>
      </c>
      <c r="X141" s="52">
        <f>IFERROR(INDEX('Rentabilidad datos'!$P$2:$P$61,MATCH($C141,'Rentabilidad datos'!$C$2:$C$61,0)),"")</f>
        <v>0.53269852604487389</v>
      </c>
      <c r="Y141" s="43" t="s">
        <v>211</v>
      </c>
      <c r="Z141" s="53">
        <v>49.7734553775744</v>
      </c>
      <c r="AA141" s="43">
        <v>1</v>
      </c>
      <c r="AB141" s="54">
        <v>0.68960070199183221</v>
      </c>
      <c r="AC141" s="55">
        <v>0.31039929800816779</v>
      </c>
      <c r="AD141" s="752" t="e">
        <f>_xlfn.XLOOKUP(Table1[[#This Row],[Ruta]],#REF!,#REF!)</f>
        <v>#REF!</v>
      </c>
      <c r="AE141" s="752" t="e">
        <f>_xlfn.XLOOKUP(Table1[[#This Row],[Ruta]],#REF!,#REF!)</f>
        <v>#REF!</v>
      </c>
      <c r="AF141" s="752" t="e">
        <f>_xlfn.XLOOKUP(Table1[[#This Row],[Ruta]],#REF!,#REF!)</f>
        <v>#REF!</v>
      </c>
      <c r="AG141" s="752" t="e">
        <f>_xlfn.XLOOKUP(Table1[[#This Row],[Ruta]],#REF!,#REF!)</f>
        <v>#REF!</v>
      </c>
      <c r="AH141" s="52">
        <v>0.37402453544973091</v>
      </c>
      <c r="AI141" s="52">
        <v>0.62092441059883463</v>
      </c>
      <c r="AJ141" s="55">
        <v>5.0510539514345004E-3</v>
      </c>
      <c r="AK141" s="56">
        <v>21751</v>
      </c>
      <c r="AL141" s="44">
        <v>12548</v>
      </c>
      <c r="AM141" s="54">
        <v>0.57689301641303903</v>
      </c>
      <c r="AN141" s="55">
        <v>0.76706276150627595</v>
      </c>
      <c r="AO141" s="56">
        <v>4136.3821255230096</v>
      </c>
      <c r="AP141" s="48">
        <v>2068.1910627615048</v>
      </c>
      <c r="AQ141" s="55">
        <v>0.67197788895965727</v>
      </c>
      <c r="AR141" s="51">
        <v>3654739.54</v>
      </c>
      <c r="AS141" s="49">
        <v>602382.82223056501</v>
      </c>
      <c r="AT141" s="55">
        <v>0.16482236713113763</v>
      </c>
      <c r="AU141" s="51">
        <v>423296.03724309988</v>
      </c>
      <c r="AV141" s="52">
        <v>1.925613731030849E-3</v>
      </c>
      <c r="AW141" s="44">
        <v>176</v>
      </c>
      <c r="AX141" s="51">
        <v>291.260722027415</v>
      </c>
      <c r="AY141" s="49">
        <v>312.28158299102398</v>
      </c>
      <c r="AZ141" s="49">
        <v>21.020860963608982</v>
      </c>
      <c r="BA141" s="42" t="s">
        <v>150</v>
      </c>
      <c r="BB141" s="50">
        <v>92675.862806155477</v>
      </c>
      <c r="BC141" s="57">
        <v>515971.90004925535</v>
      </c>
      <c r="BD141" s="42" t="s">
        <v>150</v>
      </c>
      <c r="BE141" s="46">
        <v>49.7734553775744</v>
      </c>
      <c r="BF141" s="46">
        <v>59.133027522935798</v>
      </c>
      <c r="BG141" s="42" t="s">
        <v>152</v>
      </c>
      <c r="BH141" s="52">
        <v>0.57689301641303903</v>
      </c>
      <c r="BI141" s="52">
        <v>0.76706276150627595</v>
      </c>
      <c r="BJ141" s="42" t="s">
        <v>152</v>
      </c>
      <c r="BK141" s="46">
        <v>256.36727328833001</v>
      </c>
      <c r="BL141" s="46">
        <v>295.25863977522903</v>
      </c>
      <c r="BM141" s="42" t="s">
        <v>152</v>
      </c>
      <c r="BN141" s="48">
        <v>0</v>
      </c>
      <c r="BO141" s="42" t="s">
        <v>155</v>
      </c>
      <c r="BP141" s="42" t="s">
        <v>152</v>
      </c>
      <c r="BQ141" s="46">
        <v>4300.7752311486802</v>
      </c>
      <c r="BR141" s="46">
        <v>3932</v>
      </c>
      <c r="BS141" s="46">
        <v>243509</v>
      </c>
      <c r="BT141" s="46">
        <v>73878</v>
      </c>
      <c r="BU141" s="46">
        <v>3.2960962668182678</v>
      </c>
      <c r="BV141" s="46">
        <v>18.788911495422177</v>
      </c>
      <c r="BW141" s="46">
        <v>5662</v>
      </c>
      <c r="BX141" s="46">
        <v>15830</v>
      </c>
      <c r="BY141" s="46">
        <v>21492</v>
      </c>
      <c r="BZ141" s="46">
        <v>0.29091204418094696</v>
      </c>
      <c r="CA141" s="46">
        <v>7.6639865724572945E-2</v>
      </c>
      <c r="CB141" s="46">
        <v>0.214272178456374</v>
      </c>
      <c r="CC141" s="46">
        <v>0.42798938790979718</v>
      </c>
      <c r="CD141" s="46">
        <v>3.4381006524269737E-2</v>
      </c>
      <c r="CE141" s="46">
        <v>1.2507106310403641E-2</v>
      </c>
      <c r="CF141" s="46">
        <v>0.23421045507458241</v>
      </c>
      <c r="CG141" s="46">
        <v>0</v>
      </c>
      <c r="CH141" s="46">
        <v>0</v>
      </c>
      <c r="CI141" s="46">
        <v>2.698052228049066</v>
      </c>
      <c r="CJ141" s="46">
        <v>0.31210345408177931</v>
      </c>
      <c r="CK141">
        <v>354</v>
      </c>
      <c r="CL141">
        <v>891.87</v>
      </c>
      <c r="CM141">
        <f t="shared" si="21"/>
        <v>537.87</v>
      </c>
      <c r="CN141">
        <v>6.67</v>
      </c>
      <c r="CO141">
        <v>9.4499999999999993</v>
      </c>
      <c r="CP141">
        <f t="shared" si="22"/>
        <v>2.7799999999999994</v>
      </c>
      <c r="CQ141">
        <v>602.75</v>
      </c>
      <c r="CR141">
        <v>256.37</v>
      </c>
      <c r="CS141">
        <f t="shared" si="23"/>
        <v>346.38</v>
      </c>
      <c r="CT141" t="s">
        <v>152</v>
      </c>
      <c r="CU141">
        <v>72.13</v>
      </c>
      <c r="CV141">
        <v>189</v>
      </c>
      <c r="CW141" s="46">
        <v>21492</v>
      </c>
      <c r="CX141" s="46">
        <f t="shared" si="17"/>
        <v>28.363152765369936</v>
      </c>
      <c r="CY141" s="46">
        <v>537.87</v>
      </c>
      <c r="CZ141" s="46">
        <f t="shared" si="18"/>
        <v>29.091204418094698</v>
      </c>
      <c r="DA141" s="46">
        <f t="shared" si="19"/>
        <v>95.48659069631249</v>
      </c>
      <c r="DB141" s="46">
        <v>7105717.7199999997</v>
      </c>
      <c r="DC141" s="46">
        <f t="shared" si="20"/>
        <v>2.34552737205115</v>
      </c>
      <c r="DD141" s="46">
        <v>174544.46</v>
      </c>
      <c r="DE141" s="995">
        <v>21492</v>
      </c>
      <c r="DF141" s="995">
        <v>28.363</v>
      </c>
      <c r="DG141" s="995">
        <v>537.9</v>
      </c>
      <c r="DH141" s="995">
        <v>29.091000000000001</v>
      </c>
      <c r="DI141" s="995">
        <v>127.044</v>
      </c>
      <c r="DJ141" s="995">
        <v>9454094</v>
      </c>
      <c r="DK141" s="995">
        <v>3.1819999999999999</v>
      </c>
      <c r="DL141" s="995">
        <v>236761.3</v>
      </c>
      <c r="DM141" s="995">
        <v>21492</v>
      </c>
      <c r="DN141" s="995">
        <v>28.363</v>
      </c>
      <c r="DO141" s="995">
        <v>537.9</v>
      </c>
      <c r="DP141" s="995">
        <v>29.091000000000001</v>
      </c>
      <c r="DQ141" s="995">
        <v>127.044</v>
      </c>
      <c r="DR141" s="995">
        <v>9454094</v>
      </c>
      <c r="DS141" s="995">
        <v>3.1819999999999999</v>
      </c>
      <c r="DT141" s="995">
        <v>236761.3</v>
      </c>
    </row>
    <row r="142" spans="1:124">
      <c r="A142" s="42" t="s">
        <v>93</v>
      </c>
      <c r="B142" s="42" t="s">
        <v>308</v>
      </c>
      <c r="C142" s="42" t="s">
        <v>309</v>
      </c>
      <c r="D142" s="42">
        <v>308348</v>
      </c>
      <c r="E142" s="42" t="s">
        <v>318</v>
      </c>
      <c r="F142" s="42" t="s">
        <v>149</v>
      </c>
      <c r="G142" s="42" t="s">
        <v>150</v>
      </c>
      <c r="H142" s="43" t="s">
        <v>150</v>
      </c>
      <c r="I142" s="44">
        <v>10</v>
      </c>
      <c r="J142" s="45">
        <v>96079.440600000002</v>
      </c>
      <c r="K142" s="46">
        <v>14427.998415</v>
      </c>
      <c r="L142" s="47">
        <v>110507.439015</v>
      </c>
      <c r="M142" s="48">
        <v>4275803</v>
      </c>
      <c r="N142" s="49">
        <v>1518966</v>
      </c>
      <c r="O142" s="49">
        <v>2756837</v>
      </c>
      <c r="P142" s="49">
        <v>0</v>
      </c>
      <c r="Q142" s="50">
        <v>9568.2902298850604</v>
      </c>
      <c r="R142" s="51">
        <v>1263.9564972912301</v>
      </c>
      <c r="S142" s="49">
        <v>9006.0589465777393</v>
      </c>
      <c r="T142" s="49">
        <v>1205.7392148451099</v>
      </c>
      <c r="U142" s="49">
        <f>IFERROR(INDEX('Rentabilidad datos'!$N$2:$N$61,MATCH($C142,'Rentabilidad datos'!$C$2:$C$61,0)),"")</f>
        <v>11475.754658714084</v>
      </c>
      <c r="V142" s="50">
        <f>IFERROR(INDEX('Rentabilidad datos'!$O$2:$O$61,MATCH($C142,'Rentabilidad datos'!$C$2:$C$61,0)),"")</f>
        <v>1434.4693323392605</v>
      </c>
      <c r="W142" s="51">
        <f>IFERROR(INDEX('Rentabilidad datos'!$M$2:$M$61,MATCH($C142,'Rentabilidad datos'!$C$2:$C$61,0)),"")</f>
        <v>2692.8351820114153</v>
      </c>
      <c r="X142" s="52">
        <f>IFERROR(INDEX('Rentabilidad datos'!$P$2:$P$61,MATCH($C142,'Rentabilidad datos'!$C$2:$C$61,0)),"")</f>
        <v>0.53269852604487389</v>
      </c>
      <c r="Y142" s="43" t="s">
        <v>211</v>
      </c>
      <c r="Z142" s="53">
        <v>16.250574712643701</v>
      </c>
      <c r="AA142" s="43">
        <v>1</v>
      </c>
      <c r="AB142" s="54">
        <v>0.98387858374204795</v>
      </c>
      <c r="AC142" s="55">
        <v>1.6121416257952013E-2</v>
      </c>
      <c r="AD142" s="752" t="e">
        <f>_xlfn.XLOOKUP(Table1[[#This Row],[Ruta]],#REF!,#REF!)</f>
        <v>#REF!</v>
      </c>
      <c r="AE142" s="752" t="e">
        <f>_xlfn.XLOOKUP(Table1[[#This Row],[Ruta]],#REF!,#REF!)</f>
        <v>#REF!</v>
      </c>
      <c r="AF142" s="752" t="e">
        <f>_xlfn.XLOOKUP(Table1[[#This Row],[Ruta]],#REF!,#REF!)</f>
        <v>#REF!</v>
      </c>
      <c r="AG142" s="752" t="e">
        <f>_xlfn.XLOOKUP(Table1[[#This Row],[Ruta]],#REF!,#REF!)</f>
        <v>#REF!</v>
      </c>
      <c r="AH142" s="52">
        <v>0.35524695595189953</v>
      </c>
      <c r="AI142" s="52">
        <v>0.64475304404810041</v>
      </c>
      <c r="AJ142" s="55">
        <v>0</v>
      </c>
      <c r="AK142" s="56">
        <v>7069</v>
      </c>
      <c r="AL142" s="44">
        <v>4936</v>
      </c>
      <c r="AM142" s="54">
        <v>0.69826000848776404</v>
      </c>
      <c r="AN142" s="55">
        <v>0.76706276150627595</v>
      </c>
      <c r="AO142" s="56">
        <v>486.36666108786602</v>
      </c>
      <c r="AP142" s="48">
        <v>243.18333054393301</v>
      </c>
      <c r="AQ142" s="55">
        <v>0.73266138499701983</v>
      </c>
      <c r="AR142" s="51">
        <v>4162206.25</v>
      </c>
      <c r="AS142" s="49">
        <v>205060.611484152</v>
      </c>
      <c r="AT142" s="55">
        <v>4.9267287387344635E-2</v>
      </c>
      <c r="AU142" s="51">
        <v>144096.64590778254</v>
      </c>
      <c r="AV142" s="52">
        <v>6.5550927847727995E-4</v>
      </c>
      <c r="AW142" s="44">
        <v>356</v>
      </c>
      <c r="AX142" s="51">
        <v>843.23465356563997</v>
      </c>
      <c r="AY142" s="49">
        <v>312.28158299102398</v>
      </c>
      <c r="AZ142" s="49">
        <v>0</v>
      </c>
      <c r="BA142" s="42" t="s">
        <v>152</v>
      </c>
      <c r="BB142" s="50">
        <v>0</v>
      </c>
      <c r="BC142" s="57">
        <v>144096.64590778254</v>
      </c>
      <c r="BD142" s="42" t="s">
        <v>150</v>
      </c>
      <c r="BE142" s="46">
        <v>16.250574712643701</v>
      </c>
      <c r="BF142" s="46">
        <v>59.133027522935798</v>
      </c>
      <c r="BG142" s="42" t="s">
        <v>152</v>
      </c>
      <c r="BH142" s="52">
        <v>0.69826000848776404</v>
      </c>
      <c r="BI142" s="52">
        <v>0.76706276150627595</v>
      </c>
      <c r="BJ142" s="42" t="s">
        <v>152</v>
      </c>
      <c r="BK142" s="46">
        <v>254.04008968965499</v>
      </c>
      <c r="BL142" s="46">
        <v>295.25863977522903</v>
      </c>
      <c r="BM142" s="42" t="s">
        <v>152</v>
      </c>
      <c r="BN142" s="48">
        <v>0</v>
      </c>
      <c r="BO142" s="42" t="s">
        <v>155</v>
      </c>
      <c r="BP142" s="42" t="s">
        <v>152</v>
      </c>
      <c r="BQ142" s="46">
        <v>7637.6125429335198</v>
      </c>
      <c r="BR142" s="46">
        <v>7</v>
      </c>
      <c r="BS142" s="46">
        <v>74</v>
      </c>
      <c r="BT142" s="46">
        <v>30</v>
      </c>
      <c r="BU142" s="46">
        <v>2.4666666666666668</v>
      </c>
      <c r="BV142" s="46">
        <v>4.2857142857142856</v>
      </c>
      <c r="BW142" s="46">
        <v>0</v>
      </c>
      <c r="BX142" s="46">
        <v>0</v>
      </c>
      <c r="BY142" s="46">
        <v>0</v>
      </c>
      <c r="BZ142" s="46">
        <v>0</v>
      </c>
      <c r="CA142" s="46">
        <v>0</v>
      </c>
      <c r="CB142" s="46">
        <v>0</v>
      </c>
      <c r="CC142" s="46">
        <v>1</v>
      </c>
      <c r="CD142" s="46">
        <v>0</v>
      </c>
      <c r="CE142" s="46">
        <v>0</v>
      </c>
      <c r="CF142" s="46">
        <v>0</v>
      </c>
      <c r="CG142" s="46">
        <v>0</v>
      </c>
      <c r="CH142" s="46">
        <v>0</v>
      </c>
      <c r="CI142" s="46">
        <v>0</v>
      </c>
      <c r="CJ142" s="46">
        <v>0</v>
      </c>
      <c r="CK142">
        <v>22</v>
      </c>
      <c r="CL142">
        <v>22</v>
      </c>
      <c r="CM142">
        <f t="shared" si="21"/>
        <v>0</v>
      </c>
      <c r="CO142">
        <v>9.4499999999999993</v>
      </c>
      <c r="CP142">
        <f t="shared" si="22"/>
        <v>9.4499999999999993</v>
      </c>
      <c r="CS142">
        <f t="shared" si="23"/>
        <v>0</v>
      </c>
      <c r="CV142">
        <v>0</v>
      </c>
      <c r="CW142" s="46">
        <v>0</v>
      </c>
      <c r="CX142" s="46">
        <f t="shared" si="17"/>
        <v>0</v>
      </c>
      <c r="CY142" s="46">
        <v>0</v>
      </c>
      <c r="CZ142" s="46">
        <f t="shared" si="18"/>
        <v>0</v>
      </c>
      <c r="DA142" s="46">
        <f t="shared" si="19"/>
        <v>0</v>
      </c>
      <c r="DB142" s="46">
        <v>0</v>
      </c>
      <c r="DC142" s="46">
        <f t="shared" si="20"/>
        <v>0</v>
      </c>
      <c r="DD142" s="46">
        <v>0</v>
      </c>
      <c r="DE142" s="995">
        <v>0</v>
      </c>
      <c r="DF142" s="995">
        <v>0</v>
      </c>
      <c r="DG142" s="995">
        <v>0</v>
      </c>
      <c r="DH142" s="995">
        <v>0</v>
      </c>
      <c r="DI142" s="995">
        <v>4104.9589999999998</v>
      </c>
      <c r="DJ142" s="995">
        <v>123149</v>
      </c>
      <c r="DK142" s="995">
        <v>197.678</v>
      </c>
      <c r="DL142" s="995">
        <v>5930.3</v>
      </c>
      <c r="DM142" s="995">
        <v>0</v>
      </c>
      <c r="DN142" s="995">
        <v>0</v>
      </c>
      <c r="DO142" s="995">
        <v>0</v>
      </c>
      <c r="DP142" s="995">
        <v>0</v>
      </c>
      <c r="DQ142" s="995">
        <v>4104.9589999999998</v>
      </c>
      <c r="DR142" s="995">
        <v>123149</v>
      </c>
      <c r="DS142" s="995">
        <v>197.678</v>
      </c>
      <c r="DT142" s="995">
        <v>5930.3</v>
      </c>
    </row>
    <row r="143" spans="1:124">
      <c r="A143" s="42" t="s">
        <v>93</v>
      </c>
      <c r="B143" s="42" t="s">
        <v>308</v>
      </c>
      <c r="C143" s="42" t="s">
        <v>309</v>
      </c>
      <c r="D143" s="42">
        <v>308349</v>
      </c>
      <c r="E143" s="42" t="s">
        <v>319</v>
      </c>
      <c r="F143" s="42" t="s">
        <v>149</v>
      </c>
      <c r="G143" s="42" t="s">
        <v>150</v>
      </c>
      <c r="H143" s="43" t="s">
        <v>150</v>
      </c>
      <c r="I143" s="44">
        <v>10</v>
      </c>
      <c r="J143" s="45">
        <v>2218.5306</v>
      </c>
      <c r="K143" s="46">
        <v>782.09423800000002</v>
      </c>
      <c r="L143" s="47">
        <v>3000.6248380000002</v>
      </c>
      <c r="M143" s="48">
        <v>118744</v>
      </c>
      <c r="N143" s="49">
        <v>26348</v>
      </c>
      <c r="O143" s="49">
        <v>92300</v>
      </c>
      <c r="P143" s="49">
        <v>96</v>
      </c>
      <c r="Q143" s="50">
        <v>728.193351351351</v>
      </c>
      <c r="R143" s="51">
        <v>1263.9564972912301</v>
      </c>
      <c r="S143" s="49">
        <v>9006.0589465777393</v>
      </c>
      <c r="T143" s="49">
        <v>1205.7392148451099</v>
      </c>
      <c r="U143" s="49">
        <f>IFERROR(INDEX('Rentabilidad datos'!$N$2:$N$61,MATCH($C143,'Rentabilidad datos'!$C$2:$C$61,0)),"")</f>
        <v>11475.754658714084</v>
      </c>
      <c r="V143" s="50">
        <f>IFERROR(INDEX('Rentabilidad datos'!$O$2:$O$61,MATCH($C143,'Rentabilidad datos'!$C$2:$C$61,0)),"")</f>
        <v>1434.4693323392605</v>
      </c>
      <c r="W143" s="51">
        <f>IFERROR(INDEX('Rentabilidad datos'!$M$2:$M$61,MATCH($C143,'Rentabilidad datos'!$C$2:$C$61,0)),"")</f>
        <v>2692.8351820114153</v>
      </c>
      <c r="X143" s="52">
        <f>IFERROR(INDEX('Rentabilidad datos'!$P$2:$P$61,MATCH($C143,'Rentabilidad datos'!$C$2:$C$61,0)),"")</f>
        <v>0.53269852604487389</v>
      </c>
      <c r="Y143" s="43" t="s">
        <v>211</v>
      </c>
      <c r="Z143" s="53">
        <v>1.6956521739130399</v>
      </c>
      <c r="AA143" s="43">
        <v>1</v>
      </c>
      <c r="AB143" s="54">
        <v>0.17506568752947518</v>
      </c>
      <c r="AC143" s="55">
        <v>0.82493431247052484</v>
      </c>
      <c r="AD143" s="752" t="e">
        <f>_xlfn.XLOOKUP(Table1[[#This Row],[Ruta]],#REF!,#REF!)</f>
        <v>#REF!</v>
      </c>
      <c r="AE143" s="752" t="e">
        <f>_xlfn.XLOOKUP(Table1[[#This Row],[Ruta]],#REF!,#REF!)</f>
        <v>#REF!</v>
      </c>
      <c r="AF143" s="752" t="e">
        <f>_xlfn.XLOOKUP(Table1[[#This Row],[Ruta]],#REF!,#REF!)</f>
        <v>#REF!</v>
      </c>
      <c r="AG143" s="752" t="e">
        <f>_xlfn.XLOOKUP(Table1[[#This Row],[Ruta]],#REF!,#REF!)</f>
        <v>#REF!</v>
      </c>
      <c r="AH143" s="52">
        <v>0.22188910597588088</v>
      </c>
      <c r="AI143" s="52">
        <v>0.77730243212288619</v>
      </c>
      <c r="AJ143" s="55">
        <v>8.084619012329044E-4</v>
      </c>
      <c r="AK143" s="56">
        <v>39</v>
      </c>
      <c r="AL143" s="44">
        <v>290</v>
      </c>
      <c r="AM143" s="54">
        <v>1.05128205128205</v>
      </c>
      <c r="AN143" s="55">
        <v>0.76706276150627595</v>
      </c>
      <c r="AO143" s="56">
        <v>0</v>
      </c>
      <c r="AP143" s="48">
        <v>0</v>
      </c>
      <c r="AQ143" s="55">
        <v>7.4358974358974361</v>
      </c>
      <c r="AR143" s="51">
        <v>134715.76999999999</v>
      </c>
      <c r="AS143" s="49">
        <v>0</v>
      </c>
      <c r="AT143" s="55">
        <v>0</v>
      </c>
      <c r="AU143" s="51">
        <v>0</v>
      </c>
      <c r="AV143" s="52">
        <v>0</v>
      </c>
      <c r="AW143" s="44">
        <v>490</v>
      </c>
      <c r="AX143" s="51">
        <v>464.53713793103498</v>
      </c>
      <c r="AY143" s="49">
        <v>312.28158299102398</v>
      </c>
      <c r="AZ143" s="49">
        <v>0</v>
      </c>
      <c r="BA143" s="42" t="s">
        <v>152</v>
      </c>
      <c r="BB143" s="50">
        <v>0</v>
      </c>
      <c r="BC143" s="57">
        <v>0</v>
      </c>
      <c r="BD143" s="42" t="s">
        <v>150</v>
      </c>
      <c r="BE143" s="46">
        <v>1.6956521739130399</v>
      </c>
      <c r="BF143" s="46">
        <v>59.133027522935798</v>
      </c>
      <c r="BG143" s="42" t="s">
        <v>152</v>
      </c>
      <c r="BH143" s="52">
        <v>1.05128205128205</v>
      </c>
      <c r="BI143" s="52">
        <v>0.76706276150627595</v>
      </c>
      <c r="BJ143" s="42" t="s">
        <v>150</v>
      </c>
      <c r="BK143" s="46">
        <v>16.219593718918901</v>
      </c>
      <c r="BL143" s="46">
        <v>295.25863977522903</v>
      </c>
      <c r="BM143" s="42" t="s">
        <v>152</v>
      </c>
      <c r="BN143" s="48">
        <v>1</v>
      </c>
      <c r="BO143" s="42" t="s">
        <v>155</v>
      </c>
      <c r="BP143" s="42" t="s">
        <v>152</v>
      </c>
      <c r="BQ143" s="46">
        <v>151.573160277977</v>
      </c>
      <c r="BR143" s="46" t="e">
        <v>#N/A</v>
      </c>
      <c r="BS143" s="46" t="e">
        <v>#N/A</v>
      </c>
      <c r="BT143" s="46" t="e">
        <v>#N/A</v>
      </c>
      <c r="BU143" s="46" t="e">
        <v>#N/A</v>
      </c>
      <c r="BV143" s="46" t="e">
        <v>#N/A</v>
      </c>
      <c r="BW143" s="46" t="e">
        <v>#N/A</v>
      </c>
      <c r="BX143" s="46" t="e">
        <v>#N/A</v>
      </c>
      <c r="BY143" s="46" t="e">
        <v>#N/A</v>
      </c>
      <c r="BZ143" s="46" t="e">
        <v>#N/A</v>
      </c>
      <c r="CA143" s="46" t="e">
        <v>#N/A</v>
      </c>
      <c r="CB143" s="46" t="e">
        <v>#N/A</v>
      </c>
      <c r="CC143" s="46" t="e">
        <v>#N/A</v>
      </c>
      <c r="CD143" s="46" t="e">
        <v>#N/A</v>
      </c>
      <c r="CE143" s="46" t="e">
        <v>#N/A</v>
      </c>
      <c r="CF143" s="46" t="e">
        <v>#N/A</v>
      </c>
      <c r="CG143" s="46" t="e">
        <v>#N/A</v>
      </c>
      <c r="CH143" s="46" t="e">
        <v>#N/A</v>
      </c>
      <c r="CI143" s="46" t="e">
        <v>#N/A</v>
      </c>
      <c r="CJ143" s="46" t="e">
        <v>#N/A</v>
      </c>
      <c r="CM143">
        <f t="shared" si="21"/>
        <v>0</v>
      </c>
      <c r="CP143">
        <f t="shared" si="22"/>
        <v>0</v>
      </c>
      <c r="CS143">
        <f t="shared" si="23"/>
        <v>0</v>
      </c>
      <c r="CW143" s="46"/>
      <c r="CX143" s="46" t="e">
        <f t="shared" si="17"/>
        <v>#N/A</v>
      </c>
      <c r="CY143" s="46"/>
      <c r="CZ143" s="46" t="e">
        <f t="shared" si="18"/>
        <v>#N/A</v>
      </c>
      <c r="DA143" s="46" t="e">
        <f t="shared" si="19"/>
        <v>#N/A</v>
      </c>
      <c r="DB143" s="46"/>
      <c r="DC143" s="46" t="e">
        <f t="shared" si="20"/>
        <v>#N/A</v>
      </c>
      <c r="DD143" s="46"/>
      <c r="DE143" s="995" t="s">
        <v>194</v>
      </c>
      <c r="DF143" s="995" t="s">
        <v>194</v>
      </c>
      <c r="DG143" s="995" t="s">
        <v>194</v>
      </c>
      <c r="DH143" s="995" t="s">
        <v>194</v>
      </c>
      <c r="DI143" s="995" t="s">
        <v>194</v>
      </c>
      <c r="DJ143" s="995" t="s">
        <v>194</v>
      </c>
      <c r="DK143" s="995" t="s">
        <v>194</v>
      </c>
      <c r="DL143" s="995" t="s">
        <v>194</v>
      </c>
      <c r="DM143" s="995" t="s">
        <v>194</v>
      </c>
      <c r="DN143" s="995" t="s">
        <v>194</v>
      </c>
      <c r="DO143" s="995" t="s">
        <v>194</v>
      </c>
      <c r="DP143" s="995" t="s">
        <v>194</v>
      </c>
      <c r="DQ143" s="995" t="s">
        <v>194</v>
      </c>
      <c r="DR143" s="995" t="s">
        <v>194</v>
      </c>
      <c r="DS143" s="995" t="s">
        <v>194</v>
      </c>
      <c r="DT143" s="995" t="s">
        <v>194</v>
      </c>
    </row>
    <row r="144" spans="1:124">
      <c r="A144" s="42" t="s">
        <v>93</v>
      </c>
      <c r="B144" s="42" t="s">
        <v>320</v>
      </c>
      <c r="C144" s="42" t="s">
        <v>321</v>
      </c>
      <c r="D144" s="42" t="s">
        <v>322</v>
      </c>
      <c r="E144" s="42" t="s">
        <v>323</v>
      </c>
      <c r="F144" s="42" t="s">
        <v>324</v>
      </c>
      <c r="G144" s="42" t="s">
        <v>152</v>
      </c>
      <c r="H144" s="43" t="s">
        <v>152</v>
      </c>
      <c r="I144" s="44">
        <v>1</v>
      </c>
      <c r="J144" s="45">
        <v>0</v>
      </c>
      <c r="K144" s="46">
        <v>0</v>
      </c>
      <c r="L144" s="47">
        <v>4766.942532</v>
      </c>
      <c r="M144" s="48">
        <v>0</v>
      </c>
      <c r="N144" s="49">
        <v>0</v>
      </c>
      <c r="O144" s="49">
        <v>0</v>
      </c>
      <c r="P144" s="49">
        <v>0</v>
      </c>
      <c r="Q144" s="50">
        <v>0</v>
      </c>
      <c r="R144" s="51" t="s">
        <v>194</v>
      </c>
      <c r="S144" s="49" t="s">
        <v>194</v>
      </c>
      <c r="T144" s="49" t="s">
        <v>194</v>
      </c>
      <c r="U144" s="49" t="str">
        <f>IFERROR(INDEX('Rentabilidad datos'!$N$2:$N$61,MATCH($C144,'Rentabilidad datos'!$C$2:$C$61,0)),"")</f>
        <v/>
      </c>
      <c r="V144" s="50" t="str">
        <f>IFERROR(INDEX('Rentabilidad datos'!$O$2:$O$61,MATCH($C144,'Rentabilidad datos'!$C$2:$C$61,0)),"")</f>
        <v/>
      </c>
      <c r="W144" s="51" t="str">
        <f>IFERROR(INDEX('Rentabilidad datos'!$M$2:$M$61,MATCH($C144,'Rentabilidad datos'!$C$2:$C$61,0)),"")</f>
        <v/>
      </c>
      <c r="X144" s="52" t="str">
        <f>IFERROR(INDEX('Rentabilidad datos'!$P$2:$P$61,MATCH($C144,'Rentabilidad datos'!$C$2:$C$61,0)),"")</f>
        <v/>
      </c>
      <c r="Y144" s="43">
        <v>0</v>
      </c>
      <c r="Z144" s="53">
        <v>0</v>
      </c>
      <c r="AA144" s="43">
        <v>1</v>
      </c>
      <c r="AB144" s="54">
        <v>0</v>
      </c>
      <c r="AC144" s="55">
        <v>0</v>
      </c>
      <c r="AD144" s="752" t="e">
        <f>_xlfn.XLOOKUP(Table1[[#This Row],[Ruta]],#REF!,#REF!)</f>
        <v>#REF!</v>
      </c>
      <c r="AE144" s="752" t="e">
        <f>_xlfn.XLOOKUP(Table1[[#This Row],[Ruta]],#REF!,#REF!)</f>
        <v>#REF!</v>
      </c>
      <c r="AF144" s="752" t="e">
        <f>_xlfn.XLOOKUP(Table1[[#This Row],[Ruta]],#REF!,#REF!)</f>
        <v>#REF!</v>
      </c>
      <c r="AG144" s="752" t="e">
        <f>_xlfn.XLOOKUP(Table1[[#This Row],[Ruta]],#REF!,#REF!)</f>
        <v>#REF!</v>
      </c>
      <c r="AH144" s="52">
        <v>0</v>
      </c>
      <c r="AI144" s="52">
        <v>0</v>
      </c>
      <c r="AJ144" s="55">
        <v>0</v>
      </c>
      <c r="AK144" s="56">
        <v>0</v>
      </c>
      <c r="AL144" s="44">
        <v>718</v>
      </c>
      <c r="AM144" s="54">
        <v>0</v>
      </c>
      <c r="AN144" s="55">
        <v>0</v>
      </c>
      <c r="AO144" s="56">
        <v>0</v>
      </c>
      <c r="AP144" s="48">
        <v>0</v>
      </c>
      <c r="AQ144" s="55" t="s">
        <v>194</v>
      </c>
      <c r="AR144" s="51">
        <v>290499.06</v>
      </c>
      <c r="AS144" s="49">
        <v>0</v>
      </c>
      <c r="AT144" s="55">
        <v>0</v>
      </c>
      <c r="AU144" s="51">
        <v>0</v>
      </c>
      <c r="AV144" s="52">
        <v>0</v>
      </c>
      <c r="AW144" s="44">
        <v>490</v>
      </c>
      <c r="AX144" s="51">
        <v>404.59479108635099</v>
      </c>
      <c r="AY144" s="49">
        <v>0</v>
      </c>
      <c r="AZ144" s="49">
        <v>0</v>
      </c>
      <c r="BA144" s="42" t="s">
        <v>152</v>
      </c>
      <c r="BB144" s="50">
        <v>0</v>
      </c>
      <c r="BC144" s="57">
        <v>0</v>
      </c>
      <c r="BD144" s="42" t="s">
        <v>152</v>
      </c>
      <c r="BE144" s="46" t="s">
        <v>195</v>
      </c>
      <c r="BF144" s="46" t="s">
        <v>195</v>
      </c>
      <c r="BG144" s="42" t="s">
        <v>195</v>
      </c>
      <c r="BH144" s="52" t="s">
        <v>195</v>
      </c>
      <c r="BI144" s="52" t="s">
        <v>195</v>
      </c>
      <c r="BJ144" s="42" t="s">
        <v>195</v>
      </c>
      <c r="BK144" s="46" t="s">
        <v>195</v>
      </c>
      <c r="BL144" s="46" t="s">
        <v>195</v>
      </c>
      <c r="BM144" s="42" t="s">
        <v>195</v>
      </c>
      <c r="BN144" s="48" t="s">
        <v>195</v>
      </c>
      <c r="BO144" s="42" t="s">
        <v>195</v>
      </c>
      <c r="BP144" s="42" t="s">
        <v>152</v>
      </c>
      <c r="BQ144" s="46">
        <v>0</v>
      </c>
      <c r="BR144" s="46" t="e">
        <v>#N/A</v>
      </c>
      <c r="BS144" s="46" t="e">
        <v>#N/A</v>
      </c>
      <c r="BT144" s="46" t="e">
        <v>#N/A</v>
      </c>
      <c r="BU144" s="46" t="e">
        <v>#N/A</v>
      </c>
      <c r="BV144" s="46" t="e">
        <v>#N/A</v>
      </c>
      <c r="BW144" s="46" t="e">
        <v>#N/A</v>
      </c>
      <c r="BX144" s="46" t="e">
        <v>#N/A</v>
      </c>
      <c r="BY144" s="46" t="e">
        <v>#N/A</v>
      </c>
      <c r="BZ144" s="46" t="e">
        <v>#N/A</v>
      </c>
      <c r="CA144" s="46" t="e">
        <v>#N/A</v>
      </c>
      <c r="CB144" s="46" t="e">
        <v>#N/A</v>
      </c>
      <c r="CC144" s="46" t="e">
        <v>#N/A</v>
      </c>
      <c r="CD144" s="46" t="e">
        <v>#N/A</v>
      </c>
      <c r="CE144" s="46" t="e">
        <v>#N/A</v>
      </c>
      <c r="CF144" s="46" t="e">
        <v>#N/A</v>
      </c>
      <c r="CG144" s="46" t="e">
        <v>#N/A</v>
      </c>
      <c r="CH144" s="46" t="e">
        <v>#N/A</v>
      </c>
      <c r="CI144" s="46" t="e">
        <v>#N/A</v>
      </c>
      <c r="CJ144" s="46" t="e">
        <v>#N/A</v>
      </c>
      <c r="CM144">
        <f t="shared" si="21"/>
        <v>0</v>
      </c>
      <c r="CP144">
        <f t="shared" si="22"/>
        <v>0</v>
      </c>
      <c r="CS144">
        <f t="shared" si="23"/>
        <v>0</v>
      </c>
      <c r="CW144" s="46"/>
      <c r="CX144" s="46" t="e">
        <f t="shared" si="17"/>
        <v>#N/A</v>
      </c>
      <c r="CY144" s="46"/>
      <c r="CZ144" s="46" t="e">
        <f t="shared" si="18"/>
        <v>#N/A</v>
      </c>
      <c r="DA144" s="46" t="e">
        <f t="shared" si="19"/>
        <v>#N/A</v>
      </c>
      <c r="DB144" s="46"/>
      <c r="DC144" s="46" t="e">
        <f t="shared" si="20"/>
        <v>#N/A</v>
      </c>
      <c r="DD144" s="46"/>
      <c r="DE144" s="995" t="s">
        <v>194</v>
      </c>
      <c r="DF144" s="995" t="s">
        <v>194</v>
      </c>
      <c r="DG144" s="995" t="s">
        <v>194</v>
      </c>
      <c r="DH144" s="995" t="s">
        <v>194</v>
      </c>
      <c r="DI144" s="995" t="s">
        <v>194</v>
      </c>
      <c r="DJ144" s="995" t="s">
        <v>194</v>
      </c>
      <c r="DK144" s="995" t="s">
        <v>194</v>
      </c>
      <c r="DL144" s="995" t="s">
        <v>194</v>
      </c>
      <c r="DM144" s="995" t="s">
        <v>194</v>
      </c>
      <c r="DN144" s="995" t="s">
        <v>194</v>
      </c>
      <c r="DO144" s="995" t="s">
        <v>194</v>
      </c>
      <c r="DP144" s="995" t="s">
        <v>194</v>
      </c>
      <c r="DQ144" s="995" t="s">
        <v>194</v>
      </c>
      <c r="DR144" s="995" t="s">
        <v>194</v>
      </c>
      <c r="DS144" s="995" t="s">
        <v>194</v>
      </c>
      <c r="DT144" s="995" t="s">
        <v>194</v>
      </c>
    </row>
    <row r="145" spans="1:124">
      <c r="A145" s="42" t="s">
        <v>93</v>
      </c>
      <c r="B145" s="42" t="s">
        <v>320</v>
      </c>
      <c r="C145" s="42" t="s">
        <v>325</v>
      </c>
      <c r="D145" s="42" t="s">
        <v>322</v>
      </c>
      <c r="E145" s="42" t="s">
        <v>326</v>
      </c>
      <c r="F145" s="42" t="s">
        <v>324</v>
      </c>
      <c r="G145" s="42" t="s">
        <v>152</v>
      </c>
      <c r="H145" s="43" t="s">
        <v>152</v>
      </c>
      <c r="I145" s="44">
        <v>1</v>
      </c>
      <c r="J145" s="45">
        <v>0</v>
      </c>
      <c r="K145" s="46">
        <v>0</v>
      </c>
      <c r="L145" s="47">
        <v>4236.2901350000002</v>
      </c>
      <c r="M145" s="48">
        <v>0</v>
      </c>
      <c r="N145" s="49">
        <v>0</v>
      </c>
      <c r="O145" s="49">
        <v>0</v>
      </c>
      <c r="P145" s="49">
        <v>0</v>
      </c>
      <c r="Q145" s="50">
        <v>0</v>
      </c>
      <c r="R145" s="51" t="s">
        <v>194</v>
      </c>
      <c r="S145" s="49" t="s">
        <v>194</v>
      </c>
      <c r="T145" s="49" t="s">
        <v>194</v>
      </c>
      <c r="U145" s="49" t="str">
        <f>IFERROR(INDEX('Rentabilidad datos'!$N$2:$N$61,MATCH($C145,'Rentabilidad datos'!$C$2:$C$61,0)),"")</f>
        <v/>
      </c>
      <c r="V145" s="50" t="str">
        <f>IFERROR(INDEX('Rentabilidad datos'!$O$2:$O$61,MATCH($C145,'Rentabilidad datos'!$C$2:$C$61,0)),"")</f>
        <v/>
      </c>
      <c r="W145" s="51" t="str">
        <f>IFERROR(INDEX('Rentabilidad datos'!$M$2:$M$61,MATCH($C145,'Rentabilidad datos'!$C$2:$C$61,0)),"")</f>
        <v/>
      </c>
      <c r="X145" s="52" t="str">
        <f>IFERROR(INDEX('Rentabilidad datos'!$P$2:$P$61,MATCH($C145,'Rentabilidad datos'!$C$2:$C$61,0)),"")</f>
        <v/>
      </c>
      <c r="Y145" s="43">
        <v>0</v>
      </c>
      <c r="Z145" s="53">
        <v>0</v>
      </c>
      <c r="AA145" s="43">
        <v>1</v>
      </c>
      <c r="AB145" s="54">
        <v>0</v>
      </c>
      <c r="AC145" s="55">
        <v>0</v>
      </c>
      <c r="AD145" s="752" t="e">
        <f>_xlfn.XLOOKUP(Table1[[#This Row],[Ruta]],#REF!,#REF!)</f>
        <v>#REF!</v>
      </c>
      <c r="AE145" s="752" t="e">
        <f>_xlfn.XLOOKUP(Table1[[#This Row],[Ruta]],#REF!,#REF!)</f>
        <v>#REF!</v>
      </c>
      <c r="AF145" s="752" t="e">
        <f>_xlfn.XLOOKUP(Table1[[#This Row],[Ruta]],#REF!,#REF!)</f>
        <v>#REF!</v>
      </c>
      <c r="AG145" s="752" t="e">
        <f>_xlfn.XLOOKUP(Table1[[#This Row],[Ruta]],#REF!,#REF!)</f>
        <v>#REF!</v>
      </c>
      <c r="AH145" s="52">
        <v>0</v>
      </c>
      <c r="AI145" s="52">
        <v>0</v>
      </c>
      <c r="AJ145" s="55">
        <v>0</v>
      </c>
      <c r="AK145" s="56">
        <v>0</v>
      </c>
      <c r="AL145" s="44">
        <v>494</v>
      </c>
      <c r="AM145" s="54">
        <v>0</v>
      </c>
      <c r="AN145" s="55">
        <v>0</v>
      </c>
      <c r="AO145" s="56">
        <v>0</v>
      </c>
      <c r="AP145" s="48">
        <v>0</v>
      </c>
      <c r="AQ145" s="55" t="s">
        <v>194</v>
      </c>
      <c r="AR145" s="51">
        <v>233639.13</v>
      </c>
      <c r="AS145" s="49">
        <v>0</v>
      </c>
      <c r="AT145" s="55">
        <v>0</v>
      </c>
      <c r="AU145" s="51">
        <v>0</v>
      </c>
      <c r="AV145" s="52">
        <v>0</v>
      </c>
      <c r="AW145" s="44">
        <v>490</v>
      </c>
      <c r="AX145" s="51">
        <v>472.95370445344099</v>
      </c>
      <c r="AY145" s="49">
        <v>0</v>
      </c>
      <c r="AZ145" s="49">
        <v>0</v>
      </c>
      <c r="BA145" s="42" t="s">
        <v>152</v>
      </c>
      <c r="BB145" s="50">
        <v>0</v>
      </c>
      <c r="BC145" s="57">
        <v>0</v>
      </c>
      <c r="BD145" s="42" t="s">
        <v>152</v>
      </c>
      <c r="BE145" s="46" t="s">
        <v>195</v>
      </c>
      <c r="BF145" s="46" t="s">
        <v>195</v>
      </c>
      <c r="BG145" s="42" t="s">
        <v>195</v>
      </c>
      <c r="BH145" s="52" t="s">
        <v>195</v>
      </c>
      <c r="BI145" s="52" t="s">
        <v>195</v>
      </c>
      <c r="BJ145" s="42" t="s">
        <v>195</v>
      </c>
      <c r="BK145" s="46" t="s">
        <v>195</v>
      </c>
      <c r="BL145" s="46" t="s">
        <v>195</v>
      </c>
      <c r="BM145" s="42" t="s">
        <v>195</v>
      </c>
      <c r="BN145" s="48" t="s">
        <v>195</v>
      </c>
      <c r="BO145" s="42" t="s">
        <v>195</v>
      </c>
      <c r="BP145" s="42" t="s">
        <v>152</v>
      </c>
      <c r="BQ145" s="46">
        <v>0</v>
      </c>
      <c r="BR145" s="46" t="e">
        <v>#N/A</v>
      </c>
      <c r="BS145" s="46" t="e">
        <v>#N/A</v>
      </c>
      <c r="BT145" s="46" t="e">
        <v>#N/A</v>
      </c>
      <c r="BU145" s="46" t="e">
        <v>#N/A</v>
      </c>
      <c r="BV145" s="46" t="e">
        <v>#N/A</v>
      </c>
      <c r="BW145" s="46" t="e">
        <v>#N/A</v>
      </c>
      <c r="BX145" s="46" t="e">
        <v>#N/A</v>
      </c>
      <c r="BY145" s="46" t="e">
        <v>#N/A</v>
      </c>
      <c r="BZ145" s="46" t="e">
        <v>#N/A</v>
      </c>
      <c r="CA145" s="46" t="e">
        <v>#N/A</v>
      </c>
      <c r="CB145" s="46" t="e">
        <v>#N/A</v>
      </c>
      <c r="CC145" s="46" t="e">
        <v>#N/A</v>
      </c>
      <c r="CD145" s="46" t="e">
        <v>#N/A</v>
      </c>
      <c r="CE145" s="46" t="e">
        <v>#N/A</v>
      </c>
      <c r="CF145" s="46" t="e">
        <v>#N/A</v>
      </c>
      <c r="CG145" s="46" t="e">
        <v>#N/A</v>
      </c>
      <c r="CH145" s="46" t="e">
        <v>#N/A</v>
      </c>
      <c r="CI145" s="46" t="e">
        <v>#N/A</v>
      </c>
      <c r="CJ145" s="46" t="e">
        <v>#N/A</v>
      </c>
      <c r="CM145">
        <f t="shared" si="21"/>
        <v>0</v>
      </c>
      <c r="CP145">
        <f t="shared" si="22"/>
        <v>0</v>
      </c>
      <c r="CS145">
        <f t="shared" si="23"/>
        <v>0</v>
      </c>
      <c r="CW145" s="46"/>
      <c r="CX145" s="46" t="e">
        <f t="shared" si="17"/>
        <v>#N/A</v>
      </c>
      <c r="CY145" s="46"/>
      <c r="CZ145" s="46" t="e">
        <f t="shared" si="18"/>
        <v>#N/A</v>
      </c>
      <c r="DA145" s="46" t="e">
        <f t="shared" si="19"/>
        <v>#N/A</v>
      </c>
      <c r="DB145" s="46"/>
      <c r="DC145" s="46" t="e">
        <f t="shared" si="20"/>
        <v>#N/A</v>
      </c>
      <c r="DD145" s="46"/>
      <c r="DE145" s="995" t="s">
        <v>194</v>
      </c>
      <c r="DF145" s="995" t="s">
        <v>194</v>
      </c>
      <c r="DG145" s="995" t="s">
        <v>194</v>
      </c>
      <c r="DH145" s="995" t="s">
        <v>194</v>
      </c>
      <c r="DI145" s="995" t="s">
        <v>194</v>
      </c>
      <c r="DJ145" s="995" t="s">
        <v>194</v>
      </c>
      <c r="DK145" s="995" t="s">
        <v>194</v>
      </c>
      <c r="DL145" s="995" t="s">
        <v>194</v>
      </c>
      <c r="DM145" s="995" t="s">
        <v>194</v>
      </c>
      <c r="DN145" s="995" t="s">
        <v>194</v>
      </c>
      <c r="DO145" s="995" t="s">
        <v>194</v>
      </c>
      <c r="DP145" s="995" t="s">
        <v>194</v>
      </c>
      <c r="DQ145" s="995" t="s">
        <v>194</v>
      </c>
      <c r="DR145" s="995" t="s">
        <v>194</v>
      </c>
      <c r="DS145" s="995" t="s">
        <v>194</v>
      </c>
      <c r="DT145" s="995" t="s">
        <v>194</v>
      </c>
    </row>
    <row r="146" spans="1:124">
      <c r="A146" s="42" t="s">
        <v>93</v>
      </c>
      <c r="B146" s="42" t="s">
        <v>327</v>
      </c>
      <c r="C146" s="42" t="s">
        <v>328</v>
      </c>
      <c r="D146" s="42">
        <v>931400</v>
      </c>
      <c r="E146" s="42" t="s">
        <v>329</v>
      </c>
      <c r="F146" s="42" t="s">
        <v>149</v>
      </c>
      <c r="G146" s="42" t="s">
        <v>150</v>
      </c>
      <c r="H146" s="43" t="s">
        <v>150</v>
      </c>
      <c r="I146" s="44">
        <v>30</v>
      </c>
      <c r="J146" s="45">
        <v>245729.66880000001</v>
      </c>
      <c r="K146" s="46">
        <v>13067.311742</v>
      </c>
      <c r="L146" s="47">
        <v>258796.980542</v>
      </c>
      <c r="M146" s="48">
        <v>5042364</v>
      </c>
      <c r="N146" s="49">
        <v>3589812</v>
      </c>
      <c r="O146" s="49">
        <v>1452552</v>
      </c>
      <c r="P146" s="49">
        <v>0</v>
      </c>
      <c r="Q146" s="50">
        <v>11591.637517241399</v>
      </c>
      <c r="R146" s="51">
        <v>8688.5825669476799</v>
      </c>
      <c r="S146" s="49">
        <v>19152.017921397801</v>
      </c>
      <c r="T146" s="49">
        <v>3894.6408247793702</v>
      </c>
      <c r="U146" s="49">
        <f>IFERROR(INDEX('Rentabilidad datos'!$N$2:$N$61,MATCH($C146,'Rentabilidad datos'!$C$2:$C$61,0)),"")</f>
        <v>31735.24131312489</v>
      </c>
      <c r="V146" s="50">
        <f>IFERROR(INDEX('Rentabilidad datos'!$O$2:$O$61,MATCH($C146,'Rentabilidad datos'!$C$2:$C$61,0)),"")</f>
        <v>1133.4014754687462</v>
      </c>
      <c r="W146" s="51">
        <f>IFERROR(INDEX('Rentabilidad datos'!$M$2:$M$61,MATCH($C146,'Rentabilidad datos'!$C$2:$C$61,0)),"")</f>
        <v>2998.2139778064675</v>
      </c>
      <c r="X146" s="52">
        <f>IFERROR(INDEX('Rentabilidad datos'!$P$2:$P$61,MATCH($C146,'Rentabilidad datos'!$C$2:$C$61,0)),"")</f>
        <v>0.3780255458277722</v>
      </c>
      <c r="Y146" s="43" t="s">
        <v>171</v>
      </c>
      <c r="Z146" s="53">
        <v>59.731034482758602</v>
      </c>
      <c r="AA146" s="43">
        <v>2</v>
      </c>
      <c r="AB146" s="54">
        <v>0.9622873318943258</v>
      </c>
      <c r="AC146" s="55">
        <v>3.7712668105674245E-2</v>
      </c>
      <c r="AD146" s="752" t="e">
        <f>_xlfn.XLOOKUP(Table1[[#This Row],[Ruta]],#REF!,#REF!)</f>
        <v>#REF!</v>
      </c>
      <c r="AE146" s="752" t="e">
        <f>_xlfn.XLOOKUP(Table1[[#This Row],[Ruta]],#REF!,#REF!)</f>
        <v>#REF!</v>
      </c>
      <c r="AF146" s="752" t="e">
        <f>_xlfn.XLOOKUP(Table1[[#This Row],[Ruta]],#REF!,#REF!)</f>
        <v>#REF!</v>
      </c>
      <c r="AG146" s="752" t="e">
        <f>_xlfn.XLOOKUP(Table1[[#This Row],[Ruta]],#REF!,#REF!)</f>
        <v>#REF!</v>
      </c>
      <c r="AH146" s="52">
        <v>0.71193035647565306</v>
      </c>
      <c r="AI146" s="52">
        <v>0.28806964352434694</v>
      </c>
      <c r="AJ146" s="55">
        <v>0</v>
      </c>
      <c r="AK146" s="56">
        <v>25983</v>
      </c>
      <c r="AL146" s="44">
        <v>17727</v>
      </c>
      <c r="AM146" s="54">
        <v>0.68225378131855396</v>
      </c>
      <c r="AN146" s="55">
        <v>0.71946747217665497</v>
      </c>
      <c r="AO146" s="56">
        <v>966.92332956603104</v>
      </c>
      <c r="AP146" s="48">
        <v>483.46166478301552</v>
      </c>
      <c r="AQ146" s="55">
        <v>0.70086062674760474</v>
      </c>
      <c r="AR146" s="51">
        <v>5042362.32</v>
      </c>
      <c r="AS146" s="49">
        <v>137518.41155674099</v>
      </c>
      <c r="AT146" s="55">
        <v>2.7272616053647843E-2</v>
      </c>
      <c r="AU146" s="51">
        <v>96634.559472304521</v>
      </c>
      <c r="AV146" s="52">
        <v>4.3959975582081841E-4</v>
      </c>
      <c r="AW146" s="44">
        <v>395</v>
      </c>
      <c r="AX146" s="51">
        <v>284.445327466577</v>
      </c>
      <c r="AY146" s="49">
        <v>222.22925855150001</v>
      </c>
      <c r="AZ146" s="49">
        <v>0</v>
      </c>
      <c r="BA146" s="42" t="s">
        <v>152</v>
      </c>
      <c r="BB146" s="50">
        <v>0</v>
      </c>
      <c r="BC146" s="57">
        <v>96634.559472304521</v>
      </c>
      <c r="BD146" s="42" t="s">
        <v>150</v>
      </c>
      <c r="BE146" s="46">
        <v>59.731034482758602</v>
      </c>
      <c r="BF146" s="46">
        <v>75.178899082568805</v>
      </c>
      <c r="BG146" s="42" t="s">
        <v>152</v>
      </c>
      <c r="BH146" s="52">
        <v>0.68225378131855396</v>
      </c>
      <c r="BI146" s="52">
        <v>0.68279353391244302</v>
      </c>
      <c r="BJ146" s="42" t="s">
        <v>152</v>
      </c>
      <c r="BK146" s="46">
        <v>594.93558745287396</v>
      </c>
      <c r="BL146" s="46">
        <v>577.22407290825595</v>
      </c>
      <c r="BM146" s="42" t="s">
        <v>150</v>
      </c>
      <c r="BN146" s="48">
        <v>1</v>
      </c>
      <c r="BO146" s="42" t="s">
        <v>155</v>
      </c>
      <c r="BP146" s="42" t="s">
        <v>152</v>
      </c>
      <c r="BQ146" s="46">
        <v>5260.9850460228899</v>
      </c>
      <c r="BR146" s="46">
        <v>488</v>
      </c>
      <c r="BS146" s="46">
        <v>25067</v>
      </c>
      <c r="BT146" s="46">
        <v>7056</v>
      </c>
      <c r="BU146" s="46">
        <v>3.5525793650793651</v>
      </c>
      <c r="BV146" s="46">
        <v>14.459016393442623</v>
      </c>
      <c r="BW146" s="46">
        <v>1828</v>
      </c>
      <c r="BX146" s="46">
        <v>1884</v>
      </c>
      <c r="BY146" s="46">
        <v>3712</v>
      </c>
      <c r="BZ146" s="46">
        <v>0.52607709750566889</v>
      </c>
      <c r="CA146" s="46">
        <v>0.25907029478458049</v>
      </c>
      <c r="CB146" s="46">
        <v>0.26700680272108851</v>
      </c>
      <c r="CC146" s="46">
        <v>1.133786848072562E-3</v>
      </c>
      <c r="CD146" s="46">
        <v>6.8168934240362813E-2</v>
      </c>
      <c r="CE146" s="46">
        <v>0</v>
      </c>
      <c r="CF146" s="46">
        <v>0.4041950113378685</v>
      </c>
      <c r="CG146" s="46">
        <v>4.2517006802721092E-4</v>
      </c>
      <c r="CH146" s="46">
        <v>0</v>
      </c>
      <c r="CI146" s="46">
        <v>3.2712330953045838</v>
      </c>
      <c r="CJ146" s="46">
        <v>0.55850321139346548</v>
      </c>
      <c r="CK146">
        <v>346</v>
      </c>
      <c r="CL146">
        <v>806.31</v>
      </c>
      <c r="CM146">
        <f t="shared" si="21"/>
        <v>460.30999999999995</v>
      </c>
      <c r="CN146">
        <v>4.42</v>
      </c>
      <c r="CO146">
        <v>9.4499999999999993</v>
      </c>
      <c r="CP146">
        <f t="shared" si="22"/>
        <v>5.0299999999999994</v>
      </c>
      <c r="CQ146">
        <v>814.39</v>
      </c>
      <c r="CR146">
        <v>594.94000000000005</v>
      </c>
      <c r="CS146">
        <f t="shared" si="23"/>
        <v>219.44999999999993</v>
      </c>
      <c r="CT146" t="s">
        <v>152</v>
      </c>
      <c r="CU146">
        <v>73.05</v>
      </c>
      <c r="CV146">
        <v>247</v>
      </c>
      <c r="CW146" s="46">
        <v>3712</v>
      </c>
      <c r="CX146" s="46">
        <f t="shared" si="17"/>
        <v>46.084041950113381</v>
      </c>
      <c r="CY146" s="46">
        <v>460.31</v>
      </c>
      <c r="CZ146" s="46">
        <f t="shared" si="18"/>
        <v>52.60770975056689</v>
      </c>
      <c r="DA146" s="46">
        <f t="shared" si="19"/>
        <v>475.8854371360415</v>
      </c>
      <c r="DB146" s="46">
        <v>3576902.47</v>
      </c>
      <c r="DC146" s="46">
        <f t="shared" si="20"/>
        <v>26.336908669280536</v>
      </c>
      <c r="DD146" s="46">
        <v>197956.37</v>
      </c>
      <c r="DE146" s="995">
        <v>3712</v>
      </c>
      <c r="DF146" s="995">
        <v>46.104999999999997</v>
      </c>
      <c r="DG146" s="995">
        <v>458.8</v>
      </c>
      <c r="DH146" s="995">
        <v>52.607999999999997</v>
      </c>
      <c r="DI146" s="995">
        <v>939.92100000000005</v>
      </c>
      <c r="DJ146" s="995">
        <v>7063354</v>
      </c>
      <c r="DK146" s="995">
        <v>50.856999999999999</v>
      </c>
      <c r="DL146" s="995">
        <v>382184</v>
      </c>
      <c r="DM146" s="995">
        <v>3712</v>
      </c>
      <c r="DN146" s="995">
        <v>46.167000000000002</v>
      </c>
      <c r="DO146" s="995">
        <v>454.4</v>
      </c>
      <c r="DP146" s="995">
        <v>52.607999999999997</v>
      </c>
      <c r="DQ146" s="995">
        <v>936.59799999999996</v>
      </c>
      <c r="DR146" s="995">
        <v>7034272</v>
      </c>
      <c r="DS146" s="995">
        <v>50.656999999999996</v>
      </c>
      <c r="DT146" s="995">
        <v>380455.4</v>
      </c>
    </row>
    <row r="147" spans="1:124">
      <c r="A147" s="42" t="s">
        <v>93</v>
      </c>
      <c r="B147" s="42" t="s">
        <v>327</v>
      </c>
      <c r="C147" s="42" t="s">
        <v>328</v>
      </c>
      <c r="D147" s="42">
        <v>931401</v>
      </c>
      <c r="E147" s="42" t="s">
        <v>330</v>
      </c>
      <c r="F147" s="42" t="s">
        <v>149</v>
      </c>
      <c r="G147" s="42" t="s">
        <v>150</v>
      </c>
      <c r="H147" s="43" t="s">
        <v>150</v>
      </c>
      <c r="I147" s="44">
        <v>30</v>
      </c>
      <c r="J147" s="45">
        <v>220407.135199999</v>
      </c>
      <c r="K147" s="46">
        <v>9415.7866140000006</v>
      </c>
      <c r="L147" s="47">
        <v>229822.92181399901</v>
      </c>
      <c r="M147" s="48">
        <v>4275970</v>
      </c>
      <c r="N147" s="49">
        <v>3099972</v>
      </c>
      <c r="O147" s="49">
        <v>1175998</v>
      </c>
      <c r="P147" s="49">
        <v>0</v>
      </c>
      <c r="Q147" s="50">
        <v>9807.2685321100907</v>
      </c>
      <c r="R147" s="51">
        <v>8688.5825669476799</v>
      </c>
      <c r="S147" s="49">
        <v>19152.017921397801</v>
      </c>
      <c r="T147" s="49">
        <v>3894.6408247793702</v>
      </c>
      <c r="U147" s="49">
        <f>IFERROR(INDEX('Rentabilidad datos'!$N$2:$N$61,MATCH($C147,'Rentabilidad datos'!$C$2:$C$61,0)),"")</f>
        <v>31735.24131312489</v>
      </c>
      <c r="V147" s="50">
        <f>IFERROR(INDEX('Rentabilidad datos'!$O$2:$O$61,MATCH($C147,'Rentabilidad datos'!$C$2:$C$61,0)),"")</f>
        <v>1133.4014754687462</v>
      </c>
      <c r="W147" s="51">
        <f>IFERROR(INDEX('Rentabilidad datos'!$M$2:$M$61,MATCH($C147,'Rentabilidad datos'!$C$2:$C$61,0)),"")</f>
        <v>2998.2139778064675</v>
      </c>
      <c r="X147" s="52">
        <f>IFERROR(INDEX('Rentabilidad datos'!$P$2:$P$61,MATCH($C147,'Rentabilidad datos'!$C$2:$C$61,0)),"")</f>
        <v>0.3780255458277722</v>
      </c>
      <c r="Y147" s="43" t="s">
        <v>171</v>
      </c>
      <c r="Z147" s="53">
        <v>103.69954128440401</v>
      </c>
      <c r="AA147" s="43">
        <v>2</v>
      </c>
      <c r="AB147" s="54">
        <v>0.97488406139425676</v>
      </c>
      <c r="AC147" s="55">
        <v>2.5115938605743258E-2</v>
      </c>
      <c r="AD147" s="752" t="e">
        <f>_xlfn.XLOOKUP(Table1[[#This Row],[Ruta]],#REF!,#REF!)</f>
        <v>#REF!</v>
      </c>
      <c r="AE147" s="752" t="e">
        <f>_xlfn.XLOOKUP(Table1[[#This Row],[Ruta]],#REF!,#REF!)</f>
        <v>#REF!</v>
      </c>
      <c r="AF147" s="752" t="e">
        <f>_xlfn.XLOOKUP(Table1[[#This Row],[Ruta]],#REF!,#REF!)</f>
        <v>#REF!</v>
      </c>
      <c r="AG147" s="752" t="e">
        <f>_xlfn.XLOOKUP(Table1[[#This Row],[Ruta]],#REF!,#REF!)</f>
        <v>#REF!</v>
      </c>
      <c r="AH147" s="52">
        <v>0.72497515183689309</v>
      </c>
      <c r="AI147" s="52">
        <v>0.27502484816310685</v>
      </c>
      <c r="AJ147" s="55">
        <v>0</v>
      </c>
      <c r="AK147" s="56">
        <v>45213</v>
      </c>
      <c r="AL147" s="44">
        <v>26284</v>
      </c>
      <c r="AM147" s="54">
        <v>0.58133722601906501</v>
      </c>
      <c r="AN147" s="55">
        <v>0.71946747217665497</v>
      </c>
      <c r="AO147" s="56">
        <v>6245.2828195231104</v>
      </c>
      <c r="AP147" s="48">
        <v>3122.6414097615552</v>
      </c>
      <c r="AQ147" s="55">
        <v>0.65040234909786021</v>
      </c>
      <c r="AR147" s="51">
        <v>4275969.08</v>
      </c>
      <c r="AS147" s="49">
        <v>508001.75453005498</v>
      </c>
      <c r="AT147" s="55">
        <v>0.1188038886684501</v>
      </c>
      <c r="AU147" s="51">
        <v>356974.2058859847</v>
      </c>
      <c r="AV147" s="52">
        <v>1.6239094439788322E-3</v>
      </c>
      <c r="AW147" s="44">
        <v>208</v>
      </c>
      <c r="AX147" s="51">
        <v>162.68334652259901</v>
      </c>
      <c r="AY147" s="49">
        <v>222.22925855150001</v>
      </c>
      <c r="AZ147" s="49">
        <v>59.545912028901</v>
      </c>
      <c r="BA147" s="42" t="s">
        <v>150</v>
      </c>
      <c r="BB147" s="50">
        <v>549901.66953997966</v>
      </c>
      <c r="BC147" s="57">
        <v>906875.87542596436</v>
      </c>
      <c r="BD147" s="42" t="s">
        <v>150</v>
      </c>
      <c r="BE147" s="46">
        <v>103.69954128440401</v>
      </c>
      <c r="BF147" s="46">
        <v>75.178899082568805</v>
      </c>
      <c r="BG147" s="42" t="s">
        <v>150</v>
      </c>
      <c r="BH147" s="52">
        <v>0.58133722601906501</v>
      </c>
      <c r="BI147" s="52">
        <v>0.68279353391244302</v>
      </c>
      <c r="BJ147" s="42" t="s">
        <v>152</v>
      </c>
      <c r="BK147" s="46">
        <v>527.11679315137405</v>
      </c>
      <c r="BL147" s="46">
        <v>577.22407290825595</v>
      </c>
      <c r="BM147" s="42" t="s">
        <v>152</v>
      </c>
      <c r="BN147" s="48">
        <v>1</v>
      </c>
      <c r="BO147" s="42" t="s">
        <v>155</v>
      </c>
      <c r="BP147" s="42" t="s">
        <v>152</v>
      </c>
      <c r="BQ147" s="46">
        <v>0</v>
      </c>
      <c r="BR147" s="46">
        <v>1125</v>
      </c>
      <c r="BS147" s="46">
        <v>41411</v>
      </c>
      <c r="BT147" s="46">
        <v>10072</v>
      </c>
      <c r="BU147" s="46">
        <v>4.1114972200158855</v>
      </c>
      <c r="BV147" s="46">
        <v>8.9528888888888893</v>
      </c>
      <c r="BW147" s="46">
        <v>911</v>
      </c>
      <c r="BX147" s="46">
        <v>802</v>
      </c>
      <c r="BY147" s="46">
        <v>1713</v>
      </c>
      <c r="BZ147" s="46">
        <v>0.17007545671167593</v>
      </c>
      <c r="CA147" s="46">
        <v>9.0448768864177922E-2</v>
      </c>
      <c r="CB147" s="46">
        <v>7.9626687847498018E-2</v>
      </c>
      <c r="CC147" s="46">
        <v>8.5385226370135025E-3</v>
      </c>
      <c r="CD147" s="46">
        <v>2.9785544082605236E-2</v>
      </c>
      <c r="CE147" s="46">
        <v>1.3602065131056388E-2</v>
      </c>
      <c r="CF147" s="46">
        <v>0.77779984114376488</v>
      </c>
      <c r="CG147" s="46">
        <v>0</v>
      </c>
      <c r="CH147" s="46">
        <v>1.9857029388403491E-4</v>
      </c>
      <c r="CI147" s="46">
        <v>4.8296346381396242</v>
      </c>
      <c r="CJ147" s="46">
        <v>0.21733355871628313</v>
      </c>
      <c r="CK147">
        <v>386</v>
      </c>
      <c r="CL147">
        <v>770.73</v>
      </c>
      <c r="CM147">
        <f t="shared" si="21"/>
        <v>384.73</v>
      </c>
      <c r="CN147">
        <v>4.68</v>
      </c>
      <c r="CO147">
        <v>9.4499999999999993</v>
      </c>
      <c r="CP147">
        <f t="shared" si="22"/>
        <v>4.7699999999999996</v>
      </c>
      <c r="CQ147">
        <v>814.39</v>
      </c>
      <c r="CR147">
        <v>527.12</v>
      </c>
      <c r="CS147">
        <f t="shared" si="23"/>
        <v>287.27</v>
      </c>
      <c r="CT147" t="s">
        <v>152</v>
      </c>
      <c r="CU147">
        <v>64.72</v>
      </c>
      <c r="CV147">
        <v>221</v>
      </c>
      <c r="CW147" s="46">
        <v>1713</v>
      </c>
      <c r="CX147" s="46">
        <f t="shared" si="17"/>
        <v>13.187748212867357</v>
      </c>
      <c r="CY147" s="46">
        <v>384.73</v>
      </c>
      <c r="CZ147" s="46">
        <f t="shared" si="18"/>
        <v>17.007545671167591</v>
      </c>
      <c r="DA147" s="46">
        <f t="shared" si="19"/>
        <v>322.33735785470225</v>
      </c>
      <c r="DB147" s="46">
        <v>3370594.72</v>
      </c>
      <c r="DC147" s="46">
        <f t="shared" si="20"/>
        <v>17.169501364193206</v>
      </c>
      <c r="DD147" s="46">
        <v>179536.84</v>
      </c>
      <c r="DE147" s="995">
        <v>1713</v>
      </c>
      <c r="DF147" s="995">
        <v>13.632999999999999</v>
      </c>
      <c r="DG147" s="995">
        <v>339.9</v>
      </c>
      <c r="DH147" s="995">
        <v>17.007999999999999</v>
      </c>
      <c r="DI147" s="995">
        <v>562.53399999999999</v>
      </c>
      <c r="DJ147" s="995">
        <v>5857048</v>
      </c>
      <c r="DK147" s="995">
        <v>30.216999999999999</v>
      </c>
      <c r="DL147" s="995">
        <v>314620</v>
      </c>
      <c r="DM147" s="995">
        <v>1713</v>
      </c>
      <c r="DN147" s="995">
        <v>14.191000000000001</v>
      </c>
      <c r="DO147" s="995">
        <v>283.7</v>
      </c>
      <c r="DP147" s="995">
        <v>17.007999999999999</v>
      </c>
      <c r="DQ147" s="995">
        <v>526.82399999999996</v>
      </c>
      <c r="DR147" s="995">
        <v>5455635</v>
      </c>
      <c r="DS147" s="995">
        <v>28.323</v>
      </c>
      <c r="DT147" s="995">
        <v>293303.8</v>
      </c>
    </row>
    <row r="148" spans="1:124">
      <c r="A148" s="42" t="s">
        <v>93</v>
      </c>
      <c r="B148" s="42" t="s">
        <v>327</v>
      </c>
      <c r="C148" s="42" t="s">
        <v>328</v>
      </c>
      <c r="D148" s="42">
        <v>931402</v>
      </c>
      <c r="E148" s="42" t="s">
        <v>331</v>
      </c>
      <c r="F148" s="42" t="s">
        <v>149</v>
      </c>
      <c r="G148" s="42" t="s">
        <v>150</v>
      </c>
      <c r="H148" s="43" t="s">
        <v>150</v>
      </c>
      <c r="I148" s="44">
        <v>30</v>
      </c>
      <c r="J148" s="45">
        <v>229325.85200000001</v>
      </c>
      <c r="K148" s="46">
        <v>10274.775807</v>
      </c>
      <c r="L148" s="47">
        <v>239600.62780700001</v>
      </c>
      <c r="M148" s="48">
        <v>4474015</v>
      </c>
      <c r="N148" s="49">
        <v>3308988</v>
      </c>
      <c r="O148" s="49">
        <v>1165027</v>
      </c>
      <c r="P148" s="49">
        <v>0</v>
      </c>
      <c r="Q148" s="50">
        <v>10285.0851954023</v>
      </c>
      <c r="R148" s="51">
        <v>8688.5825669476799</v>
      </c>
      <c r="S148" s="49">
        <v>19152.017921397801</v>
      </c>
      <c r="T148" s="49">
        <v>3894.6408247793702</v>
      </c>
      <c r="U148" s="49">
        <f>IFERROR(INDEX('Rentabilidad datos'!$N$2:$N$61,MATCH($C148,'Rentabilidad datos'!$C$2:$C$61,0)),"")</f>
        <v>31735.24131312489</v>
      </c>
      <c r="V148" s="50">
        <f>IFERROR(INDEX('Rentabilidad datos'!$O$2:$O$61,MATCH($C148,'Rentabilidad datos'!$C$2:$C$61,0)),"")</f>
        <v>1133.4014754687462</v>
      </c>
      <c r="W148" s="51">
        <f>IFERROR(INDEX('Rentabilidad datos'!$M$2:$M$61,MATCH($C148,'Rentabilidad datos'!$C$2:$C$61,0)),"")</f>
        <v>2998.2139778064675</v>
      </c>
      <c r="X148" s="52">
        <f>IFERROR(INDEX('Rentabilidad datos'!$P$2:$P$61,MATCH($C148,'Rentabilidad datos'!$C$2:$C$61,0)),"")</f>
        <v>0.3780255458277722</v>
      </c>
      <c r="Y148" s="43" t="s">
        <v>171</v>
      </c>
      <c r="Z148" s="53">
        <v>65.8827586206897</v>
      </c>
      <c r="AA148" s="43">
        <v>2</v>
      </c>
      <c r="AB148" s="54">
        <v>0.9734920423825133</v>
      </c>
      <c r="AC148" s="55">
        <v>2.6507957617486755E-2</v>
      </c>
      <c r="AD148" s="752" t="e">
        <f>_xlfn.XLOOKUP(Table1[[#This Row],[Ruta]],#REF!,#REF!)</f>
        <v>#REF!</v>
      </c>
      <c r="AE148" s="752" t="e">
        <f>_xlfn.XLOOKUP(Table1[[#This Row],[Ruta]],#REF!,#REF!)</f>
        <v>#REF!</v>
      </c>
      <c r="AF148" s="752" t="e">
        <f>_xlfn.XLOOKUP(Table1[[#This Row],[Ruta]],#REF!,#REF!)</f>
        <v>#REF!</v>
      </c>
      <c r="AG148" s="752" t="e">
        <f>_xlfn.XLOOKUP(Table1[[#This Row],[Ruta]],#REF!,#REF!)</f>
        <v>#REF!</v>
      </c>
      <c r="AH148" s="52">
        <v>0.73960145417482959</v>
      </c>
      <c r="AI148" s="52">
        <v>0.26039854582517047</v>
      </c>
      <c r="AJ148" s="55">
        <v>0</v>
      </c>
      <c r="AK148" s="56">
        <v>28659</v>
      </c>
      <c r="AL148" s="44">
        <v>20538</v>
      </c>
      <c r="AM148" s="54">
        <v>0.716633518266513</v>
      </c>
      <c r="AN148" s="55">
        <v>0.71946747217665497</v>
      </c>
      <c r="AO148" s="56">
        <v>81.218285110757293</v>
      </c>
      <c r="AP148" s="48">
        <v>40.609142555378646</v>
      </c>
      <c r="AQ148" s="55">
        <v>0.71805049522158415</v>
      </c>
      <c r="AR148" s="51">
        <v>4474012.0599999996</v>
      </c>
      <c r="AS148" s="49">
        <v>8846.3235728417003</v>
      </c>
      <c r="AT148" s="55">
        <v>1.9772686023653008E-3</v>
      </c>
      <c r="AU148" s="51">
        <v>6216.3354836184944</v>
      </c>
      <c r="AV148" s="52">
        <v>2.8278698383078689E-5</v>
      </c>
      <c r="AW148" s="44">
        <v>476</v>
      </c>
      <c r="AX148" s="51">
        <v>217.84068847989101</v>
      </c>
      <c r="AY148" s="49">
        <v>222.22925855150001</v>
      </c>
      <c r="AZ148" s="49">
        <v>4.3885700716089957</v>
      </c>
      <c r="BA148" s="42" t="s">
        <v>150</v>
      </c>
      <c r="BB148" s="50">
        <v>31668.158856734397</v>
      </c>
      <c r="BC148" s="57">
        <v>37884.494340352889</v>
      </c>
      <c r="BD148" s="42" t="s">
        <v>150</v>
      </c>
      <c r="BE148" s="46">
        <v>65.8827586206897</v>
      </c>
      <c r="BF148" s="46">
        <v>75.178899082568805</v>
      </c>
      <c r="BG148" s="42" t="s">
        <v>152</v>
      </c>
      <c r="BH148" s="52">
        <v>0.716633518266513</v>
      </c>
      <c r="BI148" s="52">
        <v>0.68279353391244302</v>
      </c>
      <c r="BJ148" s="42" t="s">
        <v>150</v>
      </c>
      <c r="BK148" s="46">
        <v>550.80604093563204</v>
      </c>
      <c r="BL148" s="46">
        <v>577.22407290825595</v>
      </c>
      <c r="BM148" s="42" t="s">
        <v>152</v>
      </c>
      <c r="BN148" s="48">
        <v>1</v>
      </c>
      <c r="BO148" s="42" t="s">
        <v>155</v>
      </c>
      <c r="BP148" s="42" t="s">
        <v>152</v>
      </c>
      <c r="BQ148" s="46">
        <v>1780.9651491168299</v>
      </c>
      <c r="BR148" s="46">
        <v>253</v>
      </c>
      <c r="BS148" s="46">
        <v>16666</v>
      </c>
      <c r="BT148" s="46">
        <v>4872</v>
      </c>
      <c r="BU148" s="46">
        <v>3.4207717569786533</v>
      </c>
      <c r="BV148" s="46">
        <v>19.25691699604743</v>
      </c>
      <c r="BW148" s="46">
        <v>360</v>
      </c>
      <c r="BX148" s="46">
        <v>1936</v>
      </c>
      <c r="BY148" s="46">
        <v>2296</v>
      </c>
      <c r="BZ148" s="46">
        <v>0.47126436781609193</v>
      </c>
      <c r="CA148" s="46">
        <v>7.3891625615763554E-2</v>
      </c>
      <c r="CB148" s="46">
        <v>0.39737274220032842</v>
      </c>
      <c r="CC148" s="46">
        <v>0</v>
      </c>
      <c r="CD148" s="46">
        <v>0.14408866995073891</v>
      </c>
      <c r="CE148" s="46">
        <v>0</v>
      </c>
      <c r="CF148" s="46">
        <v>0.38464696223316908</v>
      </c>
      <c r="CG148" s="46">
        <v>0</v>
      </c>
      <c r="CH148" s="46">
        <v>0</v>
      </c>
      <c r="CI148" s="46">
        <v>2.7001080043201728</v>
      </c>
      <c r="CJ148" s="46">
        <v>0.30001200048001919</v>
      </c>
      <c r="CK148">
        <v>360</v>
      </c>
      <c r="CL148">
        <v>641.69000000000005</v>
      </c>
      <c r="CM148">
        <f t="shared" si="21"/>
        <v>281.69000000000005</v>
      </c>
      <c r="CN148">
        <v>3.97</v>
      </c>
      <c r="CO148">
        <v>9.4499999999999993</v>
      </c>
      <c r="CP148">
        <f t="shared" si="22"/>
        <v>5.4799999999999986</v>
      </c>
      <c r="CQ148">
        <v>814.39</v>
      </c>
      <c r="CR148">
        <v>550.80999999999995</v>
      </c>
      <c r="CS148">
        <f t="shared" si="23"/>
        <v>263.58000000000004</v>
      </c>
      <c r="CT148" t="s">
        <v>152</v>
      </c>
      <c r="CU148">
        <v>67.63</v>
      </c>
      <c r="CV148">
        <v>244</v>
      </c>
      <c r="CW148" s="46">
        <v>2296</v>
      </c>
      <c r="CX148" s="46">
        <f t="shared" si="17"/>
        <v>41.344622331691298</v>
      </c>
      <c r="CY148" s="46">
        <v>281.69</v>
      </c>
      <c r="CZ148" s="46">
        <f t="shared" si="18"/>
        <v>47.126436781609193</v>
      </c>
      <c r="DA148" s="46">
        <f t="shared" si="19"/>
        <v>475.58814752148464</v>
      </c>
      <c r="DB148" s="46">
        <v>2451033.88</v>
      </c>
      <c r="DC148" s="46">
        <f t="shared" si="20"/>
        <v>25.373602215111891</v>
      </c>
      <c r="DD148" s="46">
        <v>130767.67999999999</v>
      </c>
      <c r="DE148" s="995">
        <v>2296</v>
      </c>
      <c r="DF148" s="995">
        <v>41.466000000000001</v>
      </c>
      <c r="DG148" s="995">
        <v>275.8</v>
      </c>
      <c r="DH148" s="995">
        <v>47.125999999999998</v>
      </c>
      <c r="DI148" s="995">
        <v>1080.136</v>
      </c>
      <c r="DJ148" s="995">
        <v>5560283</v>
      </c>
      <c r="DK148" s="995">
        <v>57.204999999999998</v>
      </c>
      <c r="DL148" s="995">
        <v>294479.59999999998</v>
      </c>
      <c r="DM148" s="995">
        <v>2296</v>
      </c>
      <c r="DN148" s="995">
        <v>41.831000000000003</v>
      </c>
      <c r="DO148" s="995">
        <v>258</v>
      </c>
      <c r="DP148" s="995">
        <v>47.125999999999998</v>
      </c>
      <c r="DQ148" s="995">
        <v>1058.0170000000001</v>
      </c>
      <c r="DR148" s="995">
        <v>5427616</v>
      </c>
      <c r="DS148" s="995">
        <v>56.067999999999998</v>
      </c>
      <c r="DT148" s="995">
        <v>287629.3</v>
      </c>
    </row>
    <row r="149" spans="1:124">
      <c r="A149" s="42" t="s">
        <v>93</v>
      </c>
      <c r="B149" s="42" t="s">
        <v>327</v>
      </c>
      <c r="C149" s="42" t="s">
        <v>328</v>
      </c>
      <c r="D149" s="42">
        <v>931403</v>
      </c>
      <c r="E149" s="42" t="s">
        <v>332</v>
      </c>
      <c r="F149" s="42" t="s">
        <v>149</v>
      </c>
      <c r="G149" s="42" t="s">
        <v>150</v>
      </c>
      <c r="H149" s="43" t="s">
        <v>150</v>
      </c>
      <c r="I149" s="44">
        <v>30</v>
      </c>
      <c r="J149" s="45">
        <v>211946.33040000001</v>
      </c>
      <c r="K149" s="46">
        <v>6249.1797989999995</v>
      </c>
      <c r="L149" s="47">
        <v>218195.51019900001</v>
      </c>
      <c r="M149" s="48">
        <v>3885815</v>
      </c>
      <c r="N149" s="49">
        <v>3009477</v>
      </c>
      <c r="O149" s="49">
        <v>876338</v>
      </c>
      <c r="P149" s="49">
        <v>0</v>
      </c>
      <c r="Q149" s="50">
        <v>8912.4197018348605</v>
      </c>
      <c r="R149" s="51">
        <v>8688.5825669476799</v>
      </c>
      <c r="S149" s="49">
        <v>19152.017921397801</v>
      </c>
      <c r="T149" s="49">
        <v>3894.6408247793702</v>
      </c>
      <c r="U149" s="49">
        <f>IFERROR(INDEX('Rentabilidad datos'!$N$2:$N$61,MATCH($C149,'Rentabilidad datos'!$C$2:$C$61,0)),"")</f>
        <v>31735.24131312489</v>
      </c>
      <c r="V149" s="50">
        <f>IFERROR(INDEX('Rentabilidad datos'!$O$2:$O$61,MATCH($C149,'Rentabilidad datos'!$C$2:$C$61,0)),"")</f>
        <v>1133.4014754687462</v>
      </c>
      <c r="W149" s="51">
        <f>IFERROR(INDEX('Rentabilidad datos'!$M$2:$M$61,MATCH($C149,'Rentabilidad datos'!$C$2:$C$61,0)),"")</f>
        <v>2998.2139778064675</v>
      </c>
      <c r="X149" s="52">
        <f>IFERROR(INDEX('Rentabilidad datos'!$P$2:$P$61,MATCH($C149,'Rentabilidad datos'!$C$2:$C$61,0)),"")</f>
        <v>0.3780255458277722</v>
      </c>
      <c r="Y149" s="43" t="s">
        <v>171</v>
      </c>
      <c r="Z149" s="53">
        <v>48.573394495412799</v>
      </c>
      <c r="AA149" s="43">
        <v>2</v>
      </c>
      <c r="AB149" s="54">
        <v>0.9960924542213152</v>
      </c>
      <c r="AC149" s="55">
        <v>3.9075457786847808E-3</v>
      </c>
      <c r="AD149" s="752" t="e">
        <f>_xlfn.XLOOKUP(Table1[[#This Row],[Ruta]],#REF!,#REF!)</f>
        <v>#REF!</v>
      </c>
      <c r="AE149" s="752" t="e">
        <f>_xlfn.XLOOKUP(Table1[[#This Row],[Ruta]],#REF!,#REF!)</f>
        <v>#REF!</v>
      </c>
      <c r="AF149" s="752" t="e">
        <f>_xlfn.XLOOKUP(Table1[[#This Row],[Ruta]],#REF!,#REF!)</f>
        <v>#REF!</v>
      </c>
      <c r="AG149" s="752" t="e">
        <f>_xlfn.XLOOKUP(Table1[[#This Row],[Ruta]],#REF!,#REF!)</f>
        <v>#REF!</v>
      </c>
      <c r="AH149" s="52">
        <v>0.77447768357474556</v>
      </c>
      <c r="AI149" s="52">
        <v>0.22552231642525442</v>
      </c>
      <c r="AJ149" s="55">
        <v>0</v>
      </c>
      <c r="AK149" s="56">
        <v>21178</v>
      </c>
      <c r="AL149" s="44">
        <v>15030</v>
      </c>
      <c r="AM149" s="54">
        <v>0.70969874397960098</v>
      </c>
      <c r="AN149" s="55">
        <v>0.71946747217665497</v>
      </c>
      <c r="AO149" s="56">
        <v>206.882125757202</v>
      </c>
      <c r="AP149" s="48">
        <v>103.441062878601</v>
      </c>
      <c r="AQ149" s="55">
        <v>0.7145831080781283</v>
      </c>
      <c r="AR149" s="51">
        <v>3885814.99</v>
      </c>
      <c r="AS149" s="49">
        <v>26743.36877679305</v>
      </c>
      <c r="AT149" s="55">
        <v>6.8823062460812235E-3</v>
      </c>
      <c r="AU149" s="51">
        <v>18792.637518827556</v>
      </c>
      <c r="AV149" s="52">
        <v>8.5489486469624953E-5</v>
      </c>
      <c r="AW149" s="44">
        <v>461</v>
      </c>
      <c r="AX149" s="51">
        <v>258.53725815036597</v>
      </c>
      <c r="AY149" s="49">
        <v>222.22925855150001</v>
      </c>
      <c r="AZ149" s="49">
        <v>0</v>
      </c>
      <c r="BA149" s="42" t="s">
        <v>152</v>
      </c>
      <c r="BB149" s="50">
        <v>0</v>
      </c>
      <c r="BC149" s="57">
        <v>18792.637518827556</v>
      </c>
      <c r="BD149" s="42" t="s">
        <v>150</v>
      </c>
      <c r="BE149" s="46">
        <v>48.573394495412799</v>
      </c>
      <c r="BF149" s="46">
        <v>75.178899082568805</v>
      </c>
      <c r="BG149" s="42" t="s">
        <v>152</v>
      </c>
      <c r="BH149" s="52">
        <v>0.70969874397960098</v>
      </c>
      <c r="BI149" s="52">
        <v>0.68279353391244302</v>
      </c>
      <c r="BJ149" s="42" t="s">
        <v>150</v>
      </c>
      <c r="BK149" s="46">
        <v>500.44841788761403</v>
      </c>
      <c r="BL149" s="46">
        <v>577.22407290825595</v>
      </c>
      <c r="BM149" s="42" t="s">
        <v>152</v>
      </c>
      <c r="BN149" s="48">
        <v>1</v>
      </c>
      <c r="BO149" s="42" t="s">
        <v>155</v>
      </c>
      <c r="BP149" s="42" t="s">
        <v>152</v>
      </c>
      <c r="BQ149" s="46">
        <v>8838.3024601714606</v>
      </c>
      <c r="BR149" s="46">
        <v>117</v>
      </c>
      <c r="BS149" s="46">
        <v>4735</v>
      </c>
      <c r="BT149" s="46">
        <v>1568</v>
      </c>
      <c r="BU149" s="46">
        <v>3.0197704081632653</v>
      </c>
      <c r="BV149" s="46">
        <v>13.401709401709402</v>
      </c>
      <c r="BW149" s="46">
        <v>1182</v>
      </c>
      <c r="BX149" s="46">
        <v>214</v>
      </c>
      <c r="BY149" s="46">
        <v>1396</v>
      </c>
      <c r="BZ149" s="46">
        <v>0.89030612244897955</v>
      </c>
      <c r="CA149" s="46">
        <v>0.75382653061224492</v>
      </c>
      <c r="CB149" s="46">
        <v>0.13647959183673469</v>
      </c>
      <c r="CC149" s="46">
        <v>0</v>
      </c>
      <c r="CD149" s="46">
        <v>0</v>
      </c>
      <c r="CE149" s="46">
        <v>0</v>
      </c>
      <c r="CF149" s="46">
        <v>0.10969387755102041</v>
      </c>
      <c r="CG149" s="46">
        <v>0</v>
      </c>
      <c r="CH149" s="46">
        <v>0</v>
      </c>
      <c r="CI149" s="46">
        <v>3.8014783526927136</v>
      </c>
      <c r="CJ149" s="46">
        <v>0.84477296726504747</v>
      </c>
      <c r="CK149">
        <v>283</v>
      </c>
      <c r="CL149">
        <v>454.84</v>
      </c>
      <c r="CM149">
        <f t="shared" si="21"/>
        <v>171.83999999999997</v>
      </c>
      <c r="CN149">
        <v>3.65</v>
      </c>
      <c r="CO149">
        <v>9.4499999999999993</v>
      </c>
      <c r="CP149">
        <f t="shared" si="22"/>
        <v>5.7999999999999989</v>
      </c>
      <c r="CQ149">
        <v>814.39</v>
      </c>
      <c r="CR149">
        <v>500.45</v>
      </c>
      <c r="CS149">
        <f t="shared" si="23"/>
        <v>313.94</v>
      </c>
      <c r="CT149" t="s">
        <v>152</v>
      </c>
      <c r="CU149">
        <v>61.45</v>
      </c>
      <c r="CV149">
        <v>265</v>
      </c>
      <c r="CW149" s="46">
        <v>1396</v>
      </c>
      <c r="CX149" s="46">
        <f t="shared" si="17"/>
        <v>78.071428571428584</v>
      </c>
      <c r="CY149" s="46">
        <v>171.84</v>
      </c>
      <c r="CZ149" s="46">
        <f t="shared" si="18"/>
        <v>89.030612244897952</v>
      </c>
      <c r="DA149" s="46">
        <f t="shared" si="19"/>
        <v>1024.2529313040279</v>
      </c>
      <c r="DB149" s="46">
        <v>1782036.22</v>
      </c>
      <c r="DC149" s="46">
        <f t="shared" si="20"/>
        <v>51.896599687327573</v>
      </c>
      <c r="DD149" s="46">
        <v>90291.78</v>
      </c>
      <c r="DE149" s="995">
        <v>1396</v>
      </c>
      <c r="DF149" s="995">
        <v>78.459000000000003</v>
      </c>
      <c r="DG149" s="995">
        <v>165.8</v>
      </c>
      <c r="DH149" s="995">
        <v>89.031000000000006</v>
      </c>
      <c r="DI149" s="995">
        <v>2591.4180000000001</v>
      </c>
      <c r="DJ149" s="995">
        <v>4492902</v>
      </c>
      <c r="DK149" s="995">
        <v>132.48500000000001</v>
      </c>
      <c r="DL149" s="995">
        <v>229697</v>
      </c>
      <c r="DM149" s="995">
        <v>1396</v>
      </c>
      <c r="DN149" s="995">
        <v>79.622</v>
      </c>
      <c r="DO149" s="995">
        <v>147.5</v>
      </c>
      <c r="DP149" s="995">
        <v>89.031000000000006</v>
      </c>
      <c r="DQ149" s="995">
        <v>2537.9250000000002</v>
      </c>
      <c r="DR149" s="995">
        <v>4353895</v>
      </c>
      <c r="DS149" s="995">
        <v>129.62</v>
      </c>
      <c r="DT149" s="995">
        <v>222366.6</v>
      </c>
    </row>
    <row r="150" spans="1:124">
      <c r="A150" s="42" t="s">
        <v>93</v>
      </c>
      <c r="B150" s="42" t="s">
        <v>327</v>
      </c>
      <c r="C150" s="42" t="s">
        <v>328</v>
      </c>
      <c r="D150" s="42">
        <v>931404</v>
      </c>
      <c r="E150" s="42" t="s">
        <v>333</v>
      </c>
      <c r="F150" s="42" t="s">
        <v>149</v>
      </c>
      <c r="G150" s="42" t="s">
        <v>150</v>
      </c>
      <c r="H150" s="43" t="s">
        <v>150</v>
      </c>
      <c r="I150" s="44">
        <v>30</v>
      </c>
      <c r="J150" s="45">
        <v>223225.0552</v>
      </c>
      <c r="K150" s="46">
        <v>9656.447075</v>
      </c>
      <c r="L150" s="47">
        <v>232881.50227500001</v>
      </c>
      <c r="M150" s="48">
        <v>4377016</v>
      </c>
      <c r="N150" s="49">
        <v>3253008</v>
      </c>
      <c r="O150" s="49">
        <v>1124008</v>
      </c>
      <c r="P150" s="49">
        <v>0</v>
      </c>
      <c r="Q150" s="50">
        <v>10039.0303669725</v>
      </c>
      <c r="R150" s="51">
        <v>8688.5825669476799</v>
      </c>
      <c r="S150" s="49">
        <v>19152.017921397801</v>
      </c>
      <c r="T150" s="49">
        <v>3894.6408247793702</v>
      </c>
      <c r="U150" s="49">
        <f>IFERROR(INDEX('Rentabilidad datos'!$N$2:$N$61,MATCH($C150,'Rentabilidad datos'!$C$2:$C$61,0)),"")</f>
        <v>31735.24131312489</v>
      </c>
      <c r="V150" s="50">
        <f>IFERROR(INDEX('Rentabilidad datos'!$O$2:$O$61,MATCH($C150,'Rentabilidad datos'!$C$2:$C$61,0)),"")</f>
        <v>1133.4014754687462</v>
      </c>
      <c r="W150" s="51">
        <f>IFERROR(INDEX('Rentabilidad datos'!$M$2:$M$61,MATCH($C150,'Rentabilidad datos'!$C$2:$C$61,0)),"")</f>
        <v>2998.2139778064675</v>
      </c>
      <c r="X150" s="52">
        <f>IFERROR(INDEX('Rentabilidad datos'!$P$2:$P$61,MATCH($C150,'Rentabilidad datos'!$C$2:$C$61,0)),"")</f>
        <v>0.3780255458277722</v>
      </c>
      <c r="Y150" s="43" t="s">
        <v>171</v>
      </c>
      <c r="Z150" s="53">
        <v>63.318807339449499</v>
      </c>
      <c r="AA150" s="43">
        <v>2</v>
      </c>
      <c r="AB150" s="54">
        <v>0.97172777070040406</v>
      </c>
      <c r="AC150" s="55">
        <v>2.8272229299595889E-2</v>
      </c>
      <c r="AD150" s="752" t="e">
        <f>_xlfn.XLOOKUP(Table1[[#This Row],[Ruta]],#REF!,#REF!)</f>
        <v>#REF!</v>
      </c>
      <c r="AE150" s="752" t="e">
        <f>_xlfn.XLOOKUP(Table1[[#This Row],[Ruta]],#REF!,#REF!)</f>
        <v>#REF!</v>
      </c>
      <c r="AF150" s="752" t="e">
        <f>_xlfn.XLOOKUP(Table1[[#This Row],[Ruta]],#REF!,#REF!)</f>
        <v>#REF!</v>
      </c>
      <c r="AG150" s="752" t="e">
        <f>_xlfn.XLOOKUP(Table1[[#This Row],[Ruta]],#REF!,#REF!)</f>
        <v>#REF!</v>
      </c>
      <c r="AH150" s="52">
        <v>0.74320221813217036</v>
      </c>
      <c r="AI150" s="52">
        <v>0.25679778186782959</v>
      </c>
      <c r="AJ150" s="55">
        <v>0</v>
      </c>
      <c r="AK150" s="56">
        <v>27607</v>
      </c>
      <c r="AL150" s="44">
        <v>19792</v>
      </c>
      <c r="AM150" s="54">
        <v>0.71691962183504199</v>
      </c>
      <c r="AN150" s="55">
        <v>0.71946747217665497</v>
      </c>
      <c r="AO150" s="56">
        <v>70.338504380917598</v>
      </c>
      <c r="AP150" s="48">
        <v>35.169252190458799</v>
      </c>
      <c r="AQ150" s="55">
        <v>0.71819354700584848</v>
      </c>
      <c r="AR150" s="51">
        <v>4377017.24</v>
      </c>
      <c r="AS150" s="49">
        <v>7777.7093348598501</v>
      </c>
      <c r="AT150" s="55">
        <v>1.7769428147968295E-3</v>
      </c>
      <c r="AU150" s="51">
        <v>5465.4173704420591</v>
      </c>
      <c r="AV150" s="52">
        <v>2.4862700824892497E-5</v>
      </c>
      <c r="AW150" s="44">
        <v>479</v>
      </c>
      <c r="AX150" s="51">
        <v>221.15083063864199</v>
      </c>
      <c r="AY150" s="49">
        <v>222.22925855150001</v>
      </c>
      <c r="AZ150" s="49">
        <v>1.0784279128580181</v>
      </c>
      <c r="BA150" s="42" t="s">
        <v>150</v>
      </c>
      <c r="BB150" s="50">
        <v>7499.3294126139654</v>
      </c>
      <c r="BC150" s="57">
        <v>12964.746783056024</v>
      </c>
      <c r="BD150" s="42" t="s">
        <v>150</v>
      </c>
      <c r="BE150" s="46">
        <v>63.318807339449499</v>
      </c>
      <c r="BF150" s="46">
        <v>75.178899082568805</v>
      </c>
      <c r="BG150" s="42" t="s">
        <v>152</v>
      </c>
      <c r="BH150" s="52">
        <v>0.71691962183504199</v>
      </c>
      <c r="BI150" s="52">
        <v>0.68279353391244302</v>
      </c>
      <c r="BJ150" s="42" t="s">
        <v>150</v>
      </c>
      <c r="BK150" s="46">
        <v>534.13188595183397</v>
      </c>
      <c r="BL150" s="46">
        <v>577.22407290825595</v>
      </c>
      <c r="BM150" s="42" t="s">
        <v>152</v>
      </c>
      <c r="BN150" s="48">
        <v>1</v>
      </c>
      <c r="BO150" s="42" t="s">
        <v>155</v>
      </c>
      <c r="BP150" s="42" t="s">
        <v>152</v>
      </c>
      <c r="BQ150" s="46">
        <v>2212.3205315745199</v>
      </c>
      <c r="BR150" s="46">
        <v>320</v>
      </c>
      <c r="BS150" s="46">
        <v>26929</v>
      </c>
      <c r="BT150" s="46">
        <v>7182</v>
      </c>
      <c r="BU150" s="46">
        <v>3.7495126705653021</v>
      </c>
      <c r="BV150" s="46">
        <v>22.443750000000001</v>
      </c>
      <c r="BW150" s="46">
        <v>2840</v>
      </c>
      <c r="BX150" s="46">
        <v>1034</v>
      </c>
      <c r="BY150" s="46">
        <v>3874</v>
      </c>
      <c r="BZ150" s="46">
        <v>0.53940406571985522</v>
      </c>
      <c r="CA150" s="46">
        <v>0.39543302701197447</v>
      </c>
      <c r="CB150" s="46">
        <v>0.14397103870788081</v>
      </c>
      <c r="CC150" s="46">
        <v>0</v>
      </c>
      <c r="CD150" s="46">
        <v>0</v>
      </c>
      <c r="CE150" s="46">
        <v>0</v>
      </c>
      <c r="CF150" s="46">
        <v>0.46059593428014478</v>
      </c>
      <c r="CG150" s="46">
        <v>0</v>
      </c>
      <c r="CH150" s="46">
        <v>0</v>
      </c>
      <c r="CI150" s="46">
        <v>4.4932971889041564</v>
      </c>
      <c r="CJ150" s="46">
        <v>0.33421218760444132</v>
      </c>
      <c r="CK150">
        <v>303</v>
      </c>
      <c r="CL150">
        <v>776.47</v>
      </c>
      <c r="CM150">
        <f t="shared" si="21"/>
        <v>473.47</v>
      </c>
      <c r="CN150">
        <v>3.87</v>
      </c>
      <c r="CO150">
        <v>9.4499999999999993</v>
      </c>
      <c r="CP150">
        <f t="shared" si="22"/>
        <v>5.5799999999999992</v>
      </c>
      <c r="CQ150">
        <v>814.39</v>
      </c>
      <c r="CR150">
        <v>534.13</v>
      </c>
      <c r="CS150">
        <f t="shared" si="23"/>
        <v>280.26</v>
      </c>
      <c r="CT150" t="s">
        <v>152</v>
      </c>
      <c r="CU150">
        <v>65.59</v>
      </c>
      <c r="CV150">
        <v>248</v>
      </c>
      <c r="CW150" s="46">
        <v>3874</v>
      </c>
      <c r="CX150" s="46">
        <f t="shared" si="17"/>
        <v>47.347953216374265</v>
      </c>
      <c r="CY150" s="46">
        <v>473.47</v>
      </c>
      <c r="CZ150" s="46">
        <f t="shared" si="18"/>
        <v>53.94040657198552</v>
      </c>
      <c r="DA150" s="46">
        <f t="shared" si="19"/>
        <v>481.19383525766546</v>
      </c>
      <c r="DB150" s="46">
        <v>3683764.97</v>
      </c>
      <c r="DC150" s="46">
        <f t="shared" si="20"/>
        <v>25.547334128407531</v>
      </c>
      <c r="DD150" s="46">
        <v>195576.85</v>
      </c>
      <c r="DE150" s="995">
        <v>3874</v>
      </c>
      <c r="DF150" s="995">
        <v>47.408000000000001</v>
      </c>
      <c r="DG150" s="995">
        <v>469.1</v>
      </c>
      <c r="DH150" s="995">
        <v>53.94</v>
      </c>
      <c r="DI150" s="995">
        <v>875.00400000000002</v>
      </c>
      <c r="DJ150" s="995">
        <v>6694782</v>
      </c>
      <c r="DK150" s="995">
        <v>45.77</v>
      </c>
      <c r="DL150" s="995">
        <v>350193.2</v>
      </c>
      <c r="DM150" s="995">
        <v>3874</v>
      </c>
      <c r="DN150" s="995">
        <v>47.588999999999999</v>
      </c>
      <c r="DO150" s="995">
        <v>456.2</v>
      </c>
      <c r="DP150" s="995">
        <v>53.94</v>
      </c>
      <c r="DQ150" s="995">
        <v>864.322</v>
      </c>
      <c r="DR150" s="995">
        <v>6601841</v>
      </c>
      <c r="DS150" s="995">
        <v>45.206000000000003</v>
      </c>
      <c r="DT150" s="995">
        <v>345291.3</v>
      </c>
    </row>
    <row r="151" spans="1:124">
      <c r="A151" s="42" t="s">
        <v>93</v>
      </c>
      <c r="B151" s="42" t="s">
        <v>327</v>
      </c>
      <c r="C151" s="42" t="s">
        <v>328</v>
      </c>
      <c r="D151" s="42">
        <v>931405</v>
      </c>
      <c r="E151" s="42" t="s">
        <v>334</v>
      </c>
      <c r="F151" s="42" t="s">
        <v>149</v>
      </c>
      <c r="G151" s="42" t="s">
        <v>150</v>
      </c>
      <c r="H151" s="43" t="s">
        <v>150</v>
      </c>
      <c r="I151" s="44">
        <v>30</v>
      </c>
      <c r="J151" s="45">
        <v>167983.25599999999</v>
      </c>
      <c r="K151" s="46">
        <v>11003.051933999999</v>
      </c>
      <c r="L151" s="47">
        <v>178986.30793400001</v>
      </c>
      <c r="M151" s="48">
        <v>3651966</v>
      </c>
      <c r="N151" s="49">
        <v>2417582</v>
      </c>
      <c r="O151" s="49">
        <v>1234384</v>
      </c>
      <c r="P151" s="49">
        <v>0</v>
      </c>
      <c r="Q151" s="50">
        <v>8376.0639220183493</v>
      </c>
      <c r="R151" s="51">
        <v>8688.5825669476799</v>
      </c>
      <c r="S151" s="49">
        <v>19152.017921397801</v>
      </c>
      <c r="T151" s="49">
        <v>3894.6408247793702</v>
      </c>
      <c r="U151" s="49">
        <f>IFERROR(INDEX('Rentabilidad datos'!$N$2:$N$61,MATCH($C151,'Rentabilidad datos'!$C$2:$C$61,0)),"")</f>
        <v>31735.24131312489</v>
      </c>
      <c r="V151" s="50">
        <f>IFERROR(INDEX('Rentabilidad datos'!$O$2:$O$61,MATCH($C151,'Rentabilidad datos'!$C$2:$C$61,0)),"")</f>
        <v>1133.4014754687462</v>
      </c>
      <c r="W151" s="51">
        <f>IFERROR(INDEX('Rentabilidad datos'!$M$2:$M$61,MATCH($C151,'Rentabilidad datos'!$C$2:$C$61,0)),"")</f>
        <v>2998.2139778064675</v>
      </c>
      <c r="X151" s="52">
        <f>IFERROR(INDEX('Rentabilidad datos'!$P$2:$P$61,MATCH($C151,'Rentabilidad datos'!$C$2:$C$61,0)),"")</f>
        <v>0.3780255458277722</v>
      </c>
      <c r="Y151" s="43" t="s">
        <v>171</v>
      </c>
      <c r="Z151" s="53">
        <v>91.993119266055103</v>
      </c>
      <c r="AA151" s="43">
        <v>2</v>
      </c>
      <c r="AB151" s="54">
        <v>0.98967405501584627</v>
      </c>
      <c r="AC151" s="55">
        <v>1.0325944984153741E-2</v>
      </c>
      <c r="AD151" s="752" t="e">
        <f>_xlfn.XLOOKUP(Table1[[#This Row],[Ruta]],#REF!,#REF!)</f>
        <v>#REF!</v>
      </c>
      <c r="AE151" s="752" t="e">
        <f>_xlfn.XLOOKUP(Table1[[#This Row],[Ruta]],#REF!,#REF!)</f>
        <v>#REF!</v>
      </c>
      <c r="AF151" s="752" t="e">
        <f>_xlfn.XLOOKUP(Table1[[#This Row],[Ruta]],#REF!,#REF!)</f>
        <v>#REF!</v>
      </c>
      <c r="AG151" s="752" t="e">
        <f>_xlfn.XLOOKUP(Table1[[#This Row],[Ruta]],#REF!,#REF!)</f>
        <v>#REF!</v>
      </c>
      <c r="AH151" s="52">
        <v>0.66199466260091144</v>
      </c>
      <c r="AI151" s="52">
        <v>0.33800533739908861</v>
      </c>
      <c r="AJ151" s="55">
        <v>0</v>
      </c>
      <c r="AK151" s="56">
        <v>40109</v>
      </c>
      <c r="AL151" s="44">
        <v>25627</v>
      </c>
      <c r="AM151" s="54">
        <v>0.63893390510857895</v>
      </c>
      <c r="AN151" s="55">
        <v>0.71946747217665497</v>
      </c>
      <c r="AO151" s="56">
        <v>3230.12084153346</v>
      </c>
      <c r="AP151" s="48">
        <v>1615.06042076673</v>
      </c>
      <c r="AQ151" s="55">
        <v>0.67920068864261718</v>
      </c>
      <c r="AR151" s="51">
        <v>3651963.87</v>
      </c>
      <c r="AS151" s="49">
        <v>230153.44380954051</v>
      </c>
      <c r="AT151" s="55">
        <v>6.302182935055721E-2</v>
      </c>
      <c r="AU151" s="51">
        <v>161729.4470012988</v>
      </c>
      <c r="AV151" s="52">
        <v>7.3572255928980703E-4</v>
      </c>
      <c r="AW151" s="44">
        <v>341</v>
      </c>
      <c r="AX151" s="51">
        <v>142.50454091387999</v>
      </c>
      <c r="AY151" s="49">
        <v>222.22925855150001</v>
      </c>
      <c r="AZ151" s="49">
        <v>79.724717637620017</v>
      </c>
      <c r="BA151" s="42" t="s">
        <v>150</v>
      </c>
      <c r="BB151" s="50">
        <v>717847.82177542581</v>
      </c>
      <c r="BC151" s="57">
        <v>879577.26877672458</v>
      </c>
      <c r="BD151" s="42" t="s">
        <v>150</v>
      </c>
      <c r="BE151" s="46">
        <v>91.993119266055103</v>
      </c>
      <c r="BF151" s="46">
        <v>75.178899082568805</v>
      </c>
      <c r="BG151" s="42" t="s">
        <v>150</v>
      </c>
      <c r="BH151" s="52">
        <v>0.63893390510857895</v>
      </c>
      <c r="BI151" s="52">
        <v>0.68279353391244302</v>
      </c>
      <c r="BJ151" s="42" t="s">
        <v>152</v>
      </c>
      <c r="BK151" s="46">
        <v>410.51905489449501</v>
      </c>
      <c r="BL151" s="46">
        <v>577.22407290825595</v>
      </c>
      <c r="BM151" s="42" t="s">
        <v>152</v>
      </c>
      <c r="BN151" s="48">
        <v>1</v>
      </c>
      <c r="BO151" s="42" t="s">
        <v>155</v>
      </c>
      <c r="BP151" s="42" t="s">
        <v>152</v>
      </c>
      <c r="BQ151" s="46">
        <v>0</v>
      </c>
      <c r="BR151" s="46">
        <v>182</v>
      </c>
      <c r="BS151" s="46">
        <v>12671</v>
      </c>
      <c r="BT151" s="46">
        <v>3578</v>
      </c>
      <c r="BU151" s="46">
        <v>3.5413638904415876</v>
      </c>
      <c r="BV151" s="46">
        <v>19.659340659340661</v>
      </c>
      <c r="BW151" s="46">
        <v>29</v>
      </c>
      <c r="BX151" s="46">
        <v>396</v>
      </c>
      <c r="BY151" s="46">
        <v>425</v>
      </c>
      <c r="BZ151" s="46">
        <v>0.11878144214645053</v>
      </c>
      <c r="CA151" s="46">
        <v>8.1050866405813302E-3</v>
      </c>
      <c r="CB151" s="46">
        <v>0.1106763555058692</v>
      </c>
      <c r="CC151" s="46">
        <v>0.18865287870318606</v>
      </c>
      <c r="CD151" s="46">
        <v>0.20849636668529911</v>
      </c>
      <c r="CE151" s="46">
        <v>0</v>
      </c>
      <c r="CF151" s="46">
        <v>0.48406931246506429</v>
      </c>
      <c r="CG151" s="46">
        <v>0</v>
      </c>
      <c r="CH151" s="46">
        <v>0</v>
      </c>
      <c r="CI151" s="46">
        <v>6.3136295477862836</v>
      </c>
      <c r="CJ151" s="46">
        <v>0.23676110804198561</v>
      </c>
      <c r="CK151">
        <v>415</v>
      </c>
      <c r="CL151">
        <v>479.58</v>
      </c>
      <c r="CM151">
        <f t="shared" si="21"/>
        <v>64.579999999999984</v>
      </c>
      <c r="CN151">
        <v>6.87</v>
      </c>
      <c r="CO151">
        <v>9.4499999999999993</v>
      </c>
      <c r="CP151">
        <f t="shared" si="22"/>
        <v>2.5799999999999992</v>
      </c>
      <c r="CQ151">
        <v>814.39</v>
      </c>
      <c r="CR151">
        <v>410.52</v>
      </c>
      <c r="CS151">
        <f t="shared" si="23"/>
        <v>403.87</v>
      </c>
      <c r="CT151" t="s">
        <v>152</v>
      </c>
      <c r="CU151">
        <v>72.709999999999994</v>
      </c>
      <c r="CV151">
        <v>57</v>
      </c>
      <c r="CW151" s="46">
        <v>425</v>
      </c>
      <c r="CX151" s="46">
        <f t="shared" si="17"/>
        <v>10.073225265511459</v>
      </c>
      <c r="CY151" s="46">
        <v>64.58</v>
      </c>
      <c r="CZ151" s="46">
        <f t="shared" si="18"/>
        <v>11.878144214645053</v>
      </c>
      <c r="DA151" s="46">
        <f t="shared" si="19"/>
        <v>275.97140762865882</v>
      </c>
      <c r="DB151" s="46">
        <v>1005247.93</v>
      </c>
      <c r="DC151" s="46">
        <f t="shared" si="20"/>
        <v>13.559276666538553</v>
      </c>
      <c r="DD151" s="46">
        <v>49390.75</v>
      </c>
      <c r="DE151" s="995">
        <v>425</v>
      </c>
      <c r="DF151" s="995">
        <v>10.292999999999999</v>
      </c>
      <c r="DG151" s="995">
        <v>56.7</v>
      </c>
      <c r="DH151" s="995">
        <v>11.878</v>
      </c>
      <c r="DI151" s="995">
        <v>978.82399999999996</v>
      </c>
      <c r="DJ151" s="995">
        <v>3557756</v>
      </c>
      <c r="DK151" s="995">
        <v>48.354999999999997</v>
      </c>
      <c r="DL151" s="995">
        <v>175757.7</v>
      </c>
      <c r="DM151" s="995">
        <v>425</v>
      </c>
      <c r="DN151" s="995">
        <v>10.573</v>
      </c>
      <c r="DO151" s="995">
        <v>46.7</v>
      </c>
      <c r="DP151" s="995">
        <v>11.878</v>
      </c>
      <c r="DQ151" s="995">
        <v>960.70699999999999</v>
      </c>
      <c r="DR151" s="995">
        <v>3482286</v>
      </c>
      <c r="DS151" s="995">
        <v>47.466000000000001</v>
      </c>
      <c r="DT151" s="995">
        <v>172052.1</v>
      </c>
    </row>
    <row r="152" spans="1:124">
      <c r="A152" s="42" t="s">
        <v>93</v>
      </c>
      <c r="B152" s="42" t="s">
        <v>327</v>
      </c>
      <c r="C152" s="42" t="s">
        <v>328</v>
      </c>
      <c r="D152" s="42">
        <v>931406</v>
      </c>
      <c r="E152" s="42" t="s">
        <v>335</v>
      </c>
      <c r="F152" s="42" t="s">
        <v>149</v>
      </c>
      <c r="G152" s="42" t="s">
        <v>150</v>
      </c>
      <c r="H152" s="43" t="s">
        <v>150</v>
      </c>
      <c r="I152" s="44">
        <v>30</v>
      </c>
      <c r="J152" s="45">
        <v>243330.91439999899</v>
      </c>
      <c r="K152" s="46">
        <v>10087.556283</v>
      </c>
      <c r="L152" s="47">
        <v>253418.470682999</v>
      </c>
      <c r="M152" s="48">
        <v>4651706</v>
      </c>
      <c r="N152" s="49">
        <v>3449936</v>
      </c>
      <c r="O152" s="49">
        <v>1201770</v>
      </c>
      <c r="P152" s="49">
        <v>0</v>
      </c>
      <c r="Q152" s="50">
        <v>10669.043211009201</v>
      </c>
      <c r="R152" s="51">
        <v>8688.5825669476799</v>
      </c>
      <c r="S152" s="49">
        <v>19152.017921397801</v>
      </c>
      <c r="T152" s="49">
        <v>3894.6408247793702</v>
      </c>
      <c r="U152" s="49">
        <f>IFERROR(INDEX('Rentabilidad datos'!$N$2:$N$61,MATCH($C152,'Rentabilidad datos'!$C$2:$C$61,0)),"")</f>
        <v>31735.24131312489</v>
      </c>
      <c r="V152" s="50">
        <f>IFERROR(INDEX('Rentabilidad datos'!$O$2:$O$61,MATCH($C152,'Rentabilidad datos'!$C$2:$C$61,0)),"")</f>
        <v>1133.4014754687462</v>
      </c>
      <c r="W152" s="51">
        <f>IFERROR(INDEX('Rentabilidad datos'!$M$2:$M$61,MATCH($C152,'Rentabilidad datos'!$C$2:$C$61,0)),"")</f>
        <v>2998.2139778064675</v>
      </c>
      <c r="X152" s="52">
        <f>IFERROR(INDEX('Rentabilidad datos'!$P$2:$P$61,MATCH($C152,'Rentabilidad datos'!$C$2:$C$61,0)),"")</f>
        <v>0.3780255458277722</v>
      </c>
      <c r="Y152" s="43" t="s">
        <v>171</v>
      </c>
      <c r="Z152" s="53">
        <v>72.305045871559599</v>
      </c>
      <c r="AA152" s="43">
        <v>2</v>
      </c>
      <c r="AB152" s="54">
        <v>0.98252576581581041</v>
      </c>
      <c r="AC152" s="55">
        <v>1.7474234184189627E-2</v>
      </c>
      <c r="AD152" s="752" t="e">
        <f>_xlfn.XLOOKUP(Table1[[#This Row],[Ruta]],#REF!,#REF!)</f>
        <v>#REF!</v>
      </c>
      <c r="AE152" s="752" t="e">
        <f>_xlfn.XLOOKUP(Table1[[#This Row],[Ruta]],#REF!,#REF!)</f>
        <v>#REF!</v>
      </c>
      <c r="AF152" s="752" t="e">
        <f>_xlfn.XLOOKUP(Table1[[#This Row],[Ruta]],#REF!,#REF!)</f>
        <v>#REF!</v>
      </c>
      <c r="AG152" s="752" t="e">
        <f>_xlfn.XLOOKUP(Table1[[#This Row],[Ruta]],#REF!,#REF!)</f>
        <v>#REF!</v>
      </c>
      <c r="AH152" s="52">
        <v>0.74164962274056012</v>
      </c>
      <c r="AI152" s="52">
        <v>0.25835037725943988</v>
      </c>
      <c r="AJ152" s="55">
        <v>0</v>
      </c>
      <c r="AK152" s="56">
        <v>31525</v>
      </c>
      <c r="AL152" s="44">
        <v>20932</v>
      </c>
      <c r="AM152" s="54">
        <v>0.66398096748612201</v>
      </c>
      <c r="AN152" s="55">
        <v>0.71946747217665497</v>
      </c>
      <c r="AO152" s="56">
        <v>1749.2120603690501</v>
      </c>
      <c r="AP152" s="48">
        <v>874.60603018452503</v>
      </c>
      <c r="AQ152" s="55">
        <v>0.69172421983138854</v>
      </c>
      <c r="AR152" s="51">
        <v>4651702.84</v>
      </c>
      <c r="AS152" s="49">
        <v>194363.0496125785</v>
      </c>
      <c r="AT152" s="55">
        <v>4.1783204193795512E-2</v>
      </c>
      <c r="AU152" s="51">
        <v>136579.44026829847</v>
      </c>
      <c r="AV152" s="52">
        <v>6.2131279865042092E-4</v>
      </c>
      <c r="AW152" s="44">
        <v>362</v>
      </c>
      <c r="AX152" s="51">
        <v>222.22925855150001</v>
      </c>
      <c r="AY152" s="49">
        <v>222.22925855150001</v>
      </c>
      <c r="AZ152" s="49">
        <v>0</v>
      </c>
      <c r="BA152" s="42" t="s">
        <v>152</v>
      </c>
      <c r="BB152" s="50">
        <v>0</v>
      </c>
      <c r="BC152" s="57">
        <v>136579.44026829847</v>
      </c>
      <c r="BD152" s="42" t="s">
        <v>150</v>
      </c>
      <c r="BE152" s="46">
        <v>72.305045871559599</v>
      </c>
      <c r="BF152" s="46">
        <v>75.178899082568805</v>
      </c>
      <c r="BG152" s="42" t="s">
        <v>152</v>
      </c>
      <c r="BH152" s="52">
        <v>0.66398096748612201</v>
      </c>
      <c r="BI152" s="52">
        <v>0.68279353391244302</v>
      </c>
      <c r="BJ152" s="42" t="s">
        <v>152</v>
      </c>
      <c r="BK152" s="46">
        <v>581.23502450229205</v>
      </c>
      <c r="BL152" s="46">
        <v>577.22407290825595</v>
      </c>
      <c r="BM152" s="42" t="s">
        <v>150</v>
      </c>
      <c r="BN152" s="48">
        <v>1</v>
      </c>
      <c r="BO152" s="42" t="s">
        <v>155</v>
      </c>
      <c r="BP152" s="42" t="s">
        <v>152</v>
      </c>
      <c r="BQ152" s="46">
        <v>3500.9543805581302</v>
      </c>
      <c r="BR152" s="46">
        <v>398</v>
      </c>
      <c r="BS152" s="46">
        <v>25642</v>
      </c>
      <c r="BT152" s="46">
        <v>7094</v>
      </c>
      <c r="BU152" s="46">
        <v>3.6146038906117846</v>
      </c>
      <c r="BV152" s="46">
        <v>17.824120603015075</v>
      </c>
      <c r="BW152" s="46">
        <v>70</v>
      </c>
      <c r="BX152" s="46">
        <v>3327</v>
      </c>
      <c r="BY152" s="46">
        <v>3397</v>
      </c>
      <c r="BZ152" s="46">
        <v>0.47885537073583312</v>
      </c>
      <c r="CA152" s="46">
        <v>9.86749365661122E-3</v>
      </c>
      <c r="CB152" s="46">
        <v>0.4689878770792219</v>
      </c>
      <c r="CC152" s="46">
        <v>0.17691006484352981</v>
      </c>
      <c r="CD152" s="46">
        <v>0</v>
      </c>
      <c r="CE152" s="46">
        <v>0</v>
      </c>
      <c r="CF152" s="46">
        <v>0.34423456442063721</v>
      </c>
      <c r="CG152" s="46">
        <v>0</v>
      </c>
      <c r="CH152" s="46">
        <v>0</v>
      </c>
      <c r="CI152" s="46">
        <v>4.7968177209266054</v>
      </c>
      <c r="CJ152" s="46">
        <v>0.2339911083378832</v>
      </c>
      <c r="CK152">
        <v>375</v>
      </c>
      <c r="CL152">
        <v>616.94000000000005</v>
      </c>
      <c r="CM152">
        <f t="shared" si="21"/>
        <v>241.94000000000005</v>
      </c>
      <c r="CN152">
        <v>5.12</v>
      </c>
      <c r="CO152">
        <v>9.4499999999999993</v>
      </c>
      <c r="CP152">
        <f t="shared" si="22"/>
        <v>4.3299999999999992</v>
      </c>
      <c r="CQ152">
        <v>814.39</v>
      </c>
      <c r="CR152">
        <v>581.24</v>
      </c>
      <c r="CS152">
        <f t="shared" si="23"/>
        <v>233.14999999999998</v>
      </c>
      <c r="CT152" t="s">
        <v>152</v>
      </c>
      <c r="CU152">
        <v>74.040000000000006</v>
      </c>
      <c r="CV152">
        <v>218</v>
      </c>
      <c r="CW152" s="46">
        <v>3397</v>
      </c>
      <c r="CX152" s="46">
        <f t="shared" si="17"/>
        <v>44.475049337468278</v>
      </c>
      <c r="CY152" s="46">
        <v>241.94</v>
      </c>
      <c r="CZ152" s="46">
        <f t="shared" si="18"/>
        <v>47.885537073583315</v>
      </c>
      <c r="DA152" s="46">
        <f t="shared" si="19"/>
        <v>289.29831759801743</v>
      </c>
      <c r="DB152" s="46">
        <v>2122275.1</v>
      </c>
      <c r="DC152" s="46">
        <f t="shared" si="20"/>
        <v>14.998901299628949</v>
      </c>
      <c r="DD152" s="46">
        <v>110031.03999999999</v>
      </c>
      <c r="DE152" s="995">
        <v>3397</v>
      </c>
      <c r="DF152" s="995">
        <v>44.597999999999999</v>
      </c>
      <c r="DG152" s="995">
        <v>233.2</v>
      </c>
      <c r="DH152" s="995">
        <v>47.886000000000003</v>
      </c>
      <c r="DI152" s="995">
        <v>718.32</v>
      </c>
      <c r="DJ152" s="995">
        <v>5263274</v>
      </c>
      <c r="DK152" s="995">
        <v>37.764000000000003</v>
      </c>
      <c r="DL152" s="995">
        <v>276705.90000000002</v>
      </c>
      <c r="DM152" s="995">
        <v>3397</v>
      </c>
      <c r="DN152" s="995">
        <v>44.936</v>
      </c>
      <c r="DO152" s="995">
        <v>209.2</v>
      </c>
      <c r="DP152" s="995">
        <v>47.886000000000003</v>
      </c>
      <c r="DQ152" s="995">
        <v>697.10299999999995</v>
      </c>
      <c r="DR152" s="995">
        <v>5091109</v>
      </c>
      <c r="DS152" s="995">
        <v>36.655000000000001</v>
      </c>
      <c r="DT152" s="995">
        <v>267697.90000000002</v>
      </c>
    </row>
    <row r="153" spans="1:124">
      <c r="A153" s="42" t="s">
        <v>93</v>
      </c>
      <c r="B153" s="42" t="s">
        <v>327</v>
      </c>
      <c r="C153" s="42" t="s">
        <v>328</v>
      </c>
      <c r="D153" s="42">
        <v>931407</v>
      </c>
      <c r="E153" s="42" t="s">
        <v>336</v>
      </c>
      <c r="F153" s="42" t="s">
        <v>149</v>
      </c>
      <c r="G153" s="42" t="s">
        <v>150</v>
      </c>
      <c r="H153" s="43" t="s">
        <v>150</v>
      </c>
      <c r="I153" s="44">
        <v>30</v>
      </c>
      <c r="J153" s="45">
        <v>167018.11840000001</v>
      </c>
      <c r="K153" s="46">
        <v>11651.760893999999</v>
      </c>
      <c r="L153" s="47">
        <v>178669.87929400001</v>
      </c>
      <c r="M153" s="48">
        <v>3915313</v>
      </c>
      <c r="N153" s="49">
        <v>2414468</v>
      </c>
      <c r="O153" s="49">
        <v>1500845</v>
      </c>
      <c r="P153" s="49">
        <v>0</v>
      </c>
      <c r="Q153" s="50">
        <v>8980.0720871559606</v>
      </c>
      <c r="R153" s="51">
        <v>8688.5825669476799</v>
      </c>
      <c r="S153" s="49">
        <v>19152.017921397801</v>
      </c>
      <c r="T153" s="49">
        <v>3894.6408247793702</v>
      </c>
      <c r="U153" s="49">
        <f>IFERROR(INDEX('Rentabilidad datos'!$N$2:$N$61,MATCH($C153,'Rentabilidad datos'!$C$2:$C$61,0)),"")</f>
        <v>31735.24131312489</v>
      </c>
      <c r="V153" s="50">
        <f>IFERROR(INDEX('Rentabilidad datos'!$O$2:$O$61,MATCH($C153,'Rentabilidad datos'!$C$2:$C$61,0)),"")</f>
        <v>1133.4014754687462</v>
      </c>
      <c r="W153" s="51">
        <f>IFERROR(INDEX('Rentabilidad datos'!$M$2:$M$61,MATCH($C153,'Rentabilidad datos'!$C$2:$C$61,0)),"")</f>
        <v>2998.2139778064675</v>
      </c>
      <c r="X153" s="52">
        <f>IFERROR(INDEX('Rentabilidad datos'!$P$2:$P$61,MATCH($C153,'Rentabilidad datos'!$C$2:$C$61,0)),"")</f>
        <v>0.3780255458277722</v>
      </c>
      <c r="Y153" s="43" t="s">
        <v>171</v>
      </c>
      <c r="Z153" s="53">
        <v>70.752293577981703</v>
      </c>
      <c r="AA153" s="43">
        <v>2</v>
      </c>
      <c r="AB153" s="54">
        <v>0.99164562322348171</v>
      </c>
      <c r="AC153" s="55">
        <v>8.3543767765182509E-3</v>
      </c>
      <c r="AD153" s="752" t="e">
        <f>_xlfn.XLOOKUP(Table1[[#This Row],[Ruta]],#REF!,#REF!)</f>
        <v>#REF!</v>
      </c>
      <c r="AE153" s="752" t="e">
        <f>_xlfn.XLOOKUP(Table1[[#This Row],[Ruta]],#REF!,#REF!)</f>
        <v>#REF!</v>
      </c>
      <c r="AF153" s="752" t="e">
        <f>_xlfn.XLOOKUP(Table1[[#This Row],[Ruta]],#REF!,#REF!)</f>
        <v>#REF!</v>
      </c>
      <c r="AG153" s="752" t="e">
        <f>_xlfn.XLOOKUP(Table1[[#This Row],[Ruta]],#REF!,#REF!)</f>
        <v>#REF!</v>
      </c>
      <c r="AH153" s="52">
        <v>0.61667304759542851</v>
      </c>
      <c r="AI153" s="52">
        <v>0.38332695240457149</v>
      </c>
      <c r="AJ153" s="55">
        <v>0</v>
      </c>
      <c r="AK153" s="56">
        <v>30848</v>
      </c>
      <c r="AL153" s="44">
        <v>23046</v>
      </c>
      <c r="AM153" s="54">
        <v>0.747082468879668</v>
      </c>
      <c r="AN153" s="55">
        <v>0.71946747217665497</v>
      </c>
      <c r="AO153" s="56">
        <v>0</v>
      </c>
      <c r="AP153" s="48">
        <v>0</v>
      </c>
      <c r="AQ153" s="55">
        <v>0.747082468879668</v>
      </c>
      <c r="AR153" s="51">
        <v>3915311.43</v>
      </c>
      <c r="AS153" s="49">
        <v>0</v>
      </c>
      <c r="AT153" s="55">
        <v>0</v>
      </c>
      <c r="AU153" s="51">
        <v>0</v>
      </c>
      <c r="AV153" s="52">
        <v>0</v>
      </c>
      <c r="AW153" s="44">
        <v>490</v>
      </c>
      <c r="AX153" s="51">
        <v>169.89114944024999</v>
      </c>
      <c r="AY153" s="49">
        <v>222.22925855150001</v>
      </c>
      <c r="AZ153" s="49">
        <v>52.33810911125002</v>
      </c>
      <c r="BA153" s="42" t="s">
        <v>150</v>
      </c>
      <c r="BB153" s="50">
        <v>423794.40036519698</v>
      </c>
      <c r="BC153" s="57">
        <v>423794.40036519698</v>
      </c>
      <c r="BD153" s="42" t="s">
        <v>150</v>
      </c>
      <c r="BE153" s="46">
        <v>70.752293577981703</v>
      </c>
      <c r="BF153" s="46">
        <v>75.178899082568805</v>
      </c>
      <c r="BG153" s="42" t="s">
        <v>152</v>
      </c>
      <c r="BH153" s="52">
        <v>0.747082468879668</v>
      </c>
      <c r="BI153" s="52">
        <v>0.68279353391244302</v>
      </c>
      <c r="BJ153" s="42" t="s">
        <v>150</v>
      </c>
      <c r="BK153" s="46">
        <v>409.793301133027</v>
      </c>
      <c r="BL153" s="46">
        <v>577.22407290825595</v>
      </c>
      <c r="BM153" s="42" t="s">
        <v>152</v>
      </c>
      <c r="BN153" s="48">
        <v>1</v>
      </c>
      <c r="BO153" s="42" t="s">
        <v>155</v>
      </c>
      <c r="BP153" s="42" t="s">
        <v>152</v>
      </c>
      <c r="BQ153" s="46">
        <v>114.283046516117</v>
      </c>
      <c r="BR153" s="46">
        <v>127</v>
      </c>
      <c r="BS153" s="46">
        <v>9949</v>
      </c>
      <c r="BT153" s="46">
        <v>3061</v>
      </c>
      <c r="BU153" s="46">
        <v>3.2502450179679845</v>
      </c>
      <c r="BV153" s="46">
        <v>24.102362204724411</v>
      </c>
      <c r="BW153" s="46">
        <v>2291</v>
      </c>
      <c r="BX153" s="46">
        <v>0</v>
      </c>
      <c r="BY153" s="46">
        <v>2291</v>
      </c>
      <c r="BZ153" s="46">
        <v>0.7484482195360993</v>
      </c>
      <c r="CA153" s="46">
        <v>0.7484482195360993</v>
      </c>
      <c r="CB153" s="46">
        <v>0</v>
      </c>
      <c r="CC153" s="46">
        <v>9.1473374714145708E-3</v>
      </c>
      <c r="CD153" s="46">
        <v>0</v>
      </c>
      <c r="CE153" s="46">
        <v>0</v>
      </c>
      <c r="CF153" s="46">
        <v>0.24240444299248609</v>
      </c>
      <c r="CG153" s="46">
        <v>0</v>
      </c>
      <c r="CH153" s="46">
        <v>0</v>
      </c>
      <c r="CI153" s="46">
        <v>4.1210171876570509</v>
      </c>
      <c r="CJ153" s="46">
        <v>0.90461352899788927</v>
      </c>
      <c r="CK153">
        <v>382</v>
      </c>
      <c r="CL153">
        <v>611.76</v>
      </c>
      <c r="CM153">
        <f t="shared" si="21"/>
        <v>229.76</v>
      </c>
      <c r="CN153">
        <v>7.29</v>
      </c>
      <c r="CO153">
        <v>9.4499999999999993</v>
      </c>
      <c r="CP153">
        <f t="shared" si="22"/>
        <v>2.1599999999999993</v>
      </c>
      <c r="CQ153">
        <v>814.39</v>
      </c>
      <c r="CR153">
        <v>409.79</v>
      </c>
      <c r="CS153">
        <f t="shared" si="23"/>
        <v>404.59999999999997</v>
      </c>
      <c r="CT153" t="s">
        <v>152</v>
      </c>
      <c r="CU153">
        <v>79.05</v>
      </c>
      <c r="CV153">
        <v>320</v>
      </c>
      <c r="CW153" s="46">
        <v>2291</v>
      </c>
      <c r="CX153" s="46">
        <f t="shared" si="17"/>
        <v>67.338778177066317</v>
      </c>
      <c r="CY153" s="46">
        <v>229.76</v>
      </c>
      <c r="CZ153" s="46">
        <f t="shared" si="18"/>
        <v>74.844821953609937</v>
      </c>
      <c r="DA153" s="46">
        <f t="shared" si="19"/>
        <v>1051.9677095868431</v>
      </c>
      <c r="DB153" s="46">
        <v>3461773.26</v>
      </c>
      <c r="DC153" s="46">
        <f t="shared" si="20"/>
        <v>46.186683319354799</v>
      </c>
      <c r="DD153" s="46">
        <v>151989.29</v>
      </c>
      <c r="DE153" s="995">
        <v>2291</v>
      </c>
      <c r="DF153" s="995">
        <v>67.622</v>
      </c>
      <c r="DG153" s="995">
        <v>221.1</v>
      </c>
      <c r="DH153" s="995">
        <v>74.844999999999999</v>
      </c>
      <c r="DI153" s="995">
        <v>1922.749</v>
      </c>
      <c r="DJ153" s="995">
        <v>6310654</v>
      </c>
      <c r="DK153" s="995">
        <v>84.832999999999998</v>
      </c>
      <c r="DL153" s="995">
        <v>278431.8</v>
      </c>
      <c r="DM153" s="995">
        <v>2291</v>
      </c>
      <c r="DN153" s="995">
        <v>67.968999999999994</v>
      </c>
      <c r="DO153" s="995">
        <v>210.5</v>
      </c>
      <c r="DP153" s="995">
        <v>74.844999999999999</v>
      </c>
      <c r="DQ153" s="995">
        <v>1900.5630000000001</v>
      </c>
      <c r="DR153" s="995">
        <v>6217606</v>
      </c>
      <c r="DS153" s="995">
        <v>83.801000000000002</v>
      </c>
      <c r="DT153" s="995">
        <v>274151</v>
      </c>
    </row>
    <row r="154" spans="1:124">
      <c r="A154" s="42" t="s">
        <v>93</v>
      </c>
      <c r="B154" s="42" t="s">
        <v>327</v>
      </c>
      <c r="C154" s="42" t="s">
        <v>328</v>
      </c>
      <c r="D154" s="42">
        <v>931408</v>
      </c>
      <c r="E154" s="42" t="s">
        <v>337</v>
      </c>
      <c r="F154" s="42" t="s">
        <v>149</v>
      </c>
      <c r="G154" s="42" t="s">
        <v>150</v>
      </c>
      <c r="H154" s="43" t="s">
        <v>150</v>
      </c>
      <c r="I154" s="44">
        <v>30</v>
      </c>
      <c r="J154" s="45">
        <v>192382.920799999</v>
      </c>
      <c r="K154" s="46">
        <v>11445.647719000001</v>
      </c>
      <c r="L154" s="47">
        <v>203828.568518999</v>
      </c>
      <c r="M154" s="48">
        <v>4159277</v>
      </c>
      <c r="N154" s="49">
        <v>2812356</v>
      </c>
      <c r="O154" s="49">
        <v>1346921</v>
      </c>
      <c r="P154" s="49">
        <v>0</v>
      </c>
      <c r="Q154" s="50">
        <v>9539.6272247706402</v>
      </c>
      <c r="R154" s="51">
        <v>8688.5825669476799</v>
      </c>
      <c r="S154" s="49">
        <v>19152.017921397801</v>
      </c>
      <c r="T154" s="49">
        <v>3894.6408247793702</v>
      </c>
      <c r="U154" s="49">
        <f>IFERROR(INDEX('Rentabilidad datos'!$N$2:$N$61,MATCH($C154,'Rentabilidad datos'!$C$2:$C$61,0)),"")</f>
        <v>31735.24131312489</v>
      </c>
      <c r="V154" s="50">
        <f>IFERROR(INDEX('Rentabilidad datos'!$O$2:$O$61,MATCH($C154,'Rentabilidad datos'!$C$2:$C$61,0)),"")</f>
        <v>1133.4014754687462</v>
      </c>
      <c r="W154" s="51">
        <f>IFERROR(INDEX('Rentabilidad datos'!$M$2:$M$61,MATCH($C154,'Rentabilidad datos'!$C$2:$C$61,0)),"")</f>
        <v>2998.2139778064675</v>
      </c>
      <c r="X154" s="52">
        <f>IFERROR(INDEX('Rentabilidad datos'!$P$2:$P$61,MATCH($C154,'Rentabilidad datos'!$C$2:$C$61,0)),"")</f>
        <v>0.3780255458277722</v>
      </c>
      <c r="Y154" s="43" t="s">
        <v>171</v>
      </c>
      <c r="Z154" s="53">
        <v>83.866972477064195</v>
      </c>
      <c r="AA154" s="43">
        <v>2</v>
      </c>
      <c r="AB154" s="54">
        <v>0.98134603682322674</v>
      </c>
      <c r="AC154" s="55">
        <v>1.8653963176773272E-2</v>
      </c>
      <c r="AD154" s="752" t="e">
        <f>_xlfn.XLOOKUP(Table1[[#This Row],[Ruta]],#REF!,#REF!)</f>
        <v>#REF!</v>
      </c>
      <c r="AE154" s="752" t="e">
        <f>_xlfn.XLOOKUP(Table1[[#This Row],[Ruta]],#REF!,#REF!)</f>
        <v>#REF!</v>
      </c>
      <c r="AF154" s="752" t="e">
        <f>_xlfn.XLOOKUP(Table1[[#This Row],[Ruta]],#REF!,#REF!)</f>
        <v>#REF!</v>
      </c>
      <c r="AG154" s="752" t="e">
        <f>_xlfn.XLOOKUP(Table1[[#This Row],[Ruta]],#REF!,#REF!)</f>
        <v>#REF!</v>
      </c>
      <c r="AH154" s="52">
        <v>0.67616463149725303</v>
      </c>
      <c r="AI154" s="52">
        <v>0.32383536850274697</v>
      </c>
      <c r="AJ154" s="55">
        <v>0</v>
      </c>
      <c r="AK154" s="56">
        <v>36566</v>
      </c>
      <c r="AL154" s="44">
        <v>28373</v>
      </c>
      <c r="AM154" s="54">
        <v>0.77593939725427996</v>
      </c>
      <c r="AN154" s="55">
        <v>0.71946747217665497</v>
      </c>
      <c r="AO154" s="56">
        <v>0</v>
      </c>
      <c r="AP154" s="48">
        <v>0</v>
      </c>
      <c r="AQ154" s="55">
        <v>0.77593939725427996</v>
      </c>
      <c r="AR154" s="51">
        <v>4159277.47</v>
      </c>
      <c r="AS154" s="49">
        <v>0</v>
      </c>
      <c r="AT154" s="55">
        <v>0</v>
      </c>
      <c r="AU154" s="51">
        <v>0</v>
      </c>
      <c r="AV154" s="52">
        <v>0</v>
      </c>
      <c r="AW154" s="44">
        <v>490</v>
      </c>
      <c r="AX154" s="51">
        <v>146.59279843513201</v>
      </c>
      <c r="AY154" s="49">
        <v>222.22925855150001</v>
      </c>
      <c r="AZ154" s="49">
        <v>75.636460116367999</v>
      </c>
      <c r="BA154" s="42" t="s">
        <v>150</v>
      </c>
      <c r="BB154" s="50">
        <v>754011.69398546568</v>
      </c>
      <c r="BC154" s="57">
        <v>754011.69398546568</v>
      </c>
      <c r="BD154" s="42" t="s">
        <v>150</v>
      </c>
      <c r="BE154" s="46">
        <v>83.866972477064195</v>
      </c>
      <c r="BF154" s="46">
        <v>75.178899082568805</v>
      </c>
      <c r="BG154" s="42" t="s">
        <v>150</v>
      </c>
      <c r="BH154" s="52">
        <v>0.77593939725427996</v>
      </c>
      <c r="BI154" s="52">
        <v>0.68279353391244302</v>
      </c>
      <c r="BJ154" s="42" t="s">
        <v>150</v>
      </c>
      <c r="BK154" s="46">
        <v>467.49671678669603</v>
      </c>
      <c r="BL154" s="46">
        <v>577.22407290825595</v>
      </c>
      <c r="BM154" s="42" t="s">
        <v>152</v>
      </c>
      <c r="BN154" s="48">
        <v>2</v>
      </c>
      <c r="BO154" s="42" t="s">
        <v>161</v>
      </c>
      <c r="BP154" s="42" t="s">
        <v>152</v>
      </c>
      <c r="BQ154" s="46">
        <v>0</v>
      </c>
      <c r="BR154" s="46">
        <v>353</v>
      </c>
      <c r="BS154" s="46">
        <v>24945</v>
      </c>
      <c r="BT154" s="46">
        <v>6953</v>
      </c>
      <c r="BU154" s="46">
        <v>3.587660002876456</v>
      </c>
      <c r="BV154" s="46">
        <v>19.696883852691219</v>
      </c>
      <c r="BW154" s="46">
        <v>315</v>
      </c>
      <c r="BX154" s="46">
        <v>2609</v>
      </c>
      <c r="BY154" s="46">
        <v>2924</v>
      </c>
      <c r="BZ154" s="46">
        <v>0.42053789731051344</v>
      </c>
      <c r="CA154" s="46">
        <v>4.5304185243779667E-2</v>
      </c>
      <c r="CB154" s="46">
        <v>0.37523371206673378</v>
      </c>
      <c r="CC154" s="46">
        <v>0</v>
      </c>
      <c r="CD154" s="46">
        <v>0</v>
      </c>
      <c r="CE154" s="46">
        <v>0</v>
      </c>
      <c r="CF154" s="46">
        <v>0.5794621026894865</v>
      </c>
      <c r="CG154" s="46">
        <v>0</v>
      </c>
      <c r="CH154" s="46">
        <v>0</v>
      </c>
      <c r="CI154" s="46">
        <v>4.4497895369813589</v>
      </c>
      <c r="CJ154" s="46">
        <v>0.40088194026859092</v>
      </c>
      <c r="CK154">
        <v>518</v>
      </c>
      <c r="CL154">
        <v>708.71</v>
      </c>
      <c r="CM154">
        <f t="shared" si="21"/>
        <v>190.71000000000004</v>
      </c>
      <c r="CN154">
        <v>7.97</v>
      </c>
      <c r="CO154">
        <v>9.4499999999999993</v>
      </c>
      <c r="CP154">
        <f t="shared" si="22"/>
        <v>1.4799999999999995</v>
      </c>
      <c r="CQ154">
        <v>814.39</v>
      </c>
      <c r="CR154">
        <v>467.5</v>
      </c>
      <c r="CS154">
        <f t="shared" si="23"/>
        <v>346.89</v>
      </c>
      <c r="CT154" t="s">
        <v>152</v>
      </c>
      <c r="CU154">
        <v>89.68</v>
      </c>
      <c r="CV154">
        <v>320</v>
      </c>
      <c r="CW154" s="46">
        <v>2924</v>
      </c>
      <c r="CX154" s="46">
        <f t="shared" si="17"/>
        <v>39.310944915863658</v>
      </c>
      <c r="CY154" s="46">
        <v>190.71</v>
      </c>
      <c r="CZ154" s="46">
        <f t="shared" si="18"/>
        <v>42.053789731051346</v>
      </c>
      <c r="DA154" s="46">
        <f t="shared" si="19"/>
        <v>374.15925338514586</v>
      </c>
      <c r="DB154" s="46">
        <v>2672885.2000000002</v>
      </c>
      <c r="DC154" s="46">
        <f t="shared" si="20"/>
        <v>17.641674984006908</v>
      </c>
      <c r="DD154" s="46">
        <v>126027.01</v>
      </c>
      <c r="DE154" s="995">
        <v>2924</v>
      </c>
      <c r="DF154" s="995">
        <v>39.466000000000001</v>
      </c>
      <c r="DG154" s="995">
        <v>179.9</v>
      </c>
      <c r="DH154" s="995">
        <v>42.054000000000002</v>
      </c>
      <c r="DI154" s="995">
        <v>858.822</v>
      </c>
      <c r="DJ154" s="995">
        <v>6125901</v>
      </c>
      <c r="DK154" s="995">
        <v>40.640999999999998</v>
      </c>
      <c r="DL154" s="995">
        <v>289886.3</v>
      </c>
      <c r="DM154" s="995">
        <v>2924</v>
      </c>
      <c r="DN154" s="995">
        <v>39.918999999999997</v>
      </c>
      <c r="DO154" s="995">
        <v>148.4</v>
      </c>
      <c r="DP154" s="995">
        <v>42.054000000000002</v>
      </c>
      <c r="DQ154" s="995">
        <v>827.649</v>
      </c>
      <c r="DR154" s="995">
        <v>5877502</v>
      </c>
      <c r="DS154" s="995">
        <v>39.18</v>
      </c>
      <c r="DT154" s="995">
        <v>278237.40000000002</v>
      </c>
    </row>
    <row r="155" spans="1:124">
      <c r="A155" s="42" t="s">
        <v>93</v>
      </c>
      <c r="B155" s="42" t="s">
        <v>327</v>
      </c>
      <c r="C155" s="42" t="s">
        <v>328</v>
      </c>
      <c r="D155" s="42">
        <v>931410</v>
      </c>
      <c r="E155" s="42" t="s">
        <v>338</v>
      </c>
      <c r="F155" s="42" t="s">
        <v>149</v>
      </c>
      <c r="G155" s="42" t="s">
        <v>150</v>
      </c>
      <c r="H155" s="43" t="s">
        <v>150</v>
      </c>
      <c r="I155" s="44">
        <v>30</v>
      </c>
      <c r="J155" s="45">
        <v>172823.0336</v>
      </c>
      <c r="K155" s="46">
        <v>13035.790446999999</v>
      </c>
      <c r="L155" s="47">
        <v>185858.824047</v>
      </c>
      <c r="M155" s="48">
        <v>3901336</v>
      </c>
      <c r="N155" s="49">
        <v>2449776</v>
      </c>
      <c r="O155" s="49">
        <v>1451560</v>
      </c>
      <c r="P155" s="49">
        <v>0</v>
      </c>
      <c r="Q155" s="50">
        <v>8948.0137614678897</v>
      </c>
      <c r="R155" s="51">
        <v>8688.5825669476799</v>
      </c>
      <c r="S155" s="49">
        <v>19152.017921397801</v>
      </c>
      <c r="T155" s="49">
        <v>3894.6408247793702</v>
      </c>
      <c r="U155" s="49">
        <f>IFERROR(INDEX('Rentabilidad datos'!$N$2:$N$61,MATCH($C155,'Rentabilidad datos'!$C$2:$C$61,0)),"")</f>
        <v>31735.24131312489</v>
      </c>
      <c r="V155" s="50">
        <f>IFERROR(INDEX('Rentabilidad datos'!$O$2:$O$61,MATCH($C155,'Rentabilidad datos'!$C$2:$C$61,0)),"")</f>
        <v>1133.4014754687462</v>
      </c>
      <c r="W155" s="51">
        <f>IFERROR(INDEX('Rentabilidad datos'!$M$2:$M$61,MATCH($C155,'Rentabilidad datos'!$C$2:$C$61,0)),"")</f>
        <v>2998.2139778064675</v>
      </c>
      <c r="X155" s="52">
        <f>IFERROR(INDEX('Rentabilidad datos'!$P$2:$P$61,MATCH($C155,'Rentabilidad datos'!$C$2:$C$61,0)),"")</f>
        <v>0.3780255458277722</v>
      </c>
      <c r="Y155" s="43" t="s">
        <v>171</v>
      </c>
      <c r="Z155" s="53">
        <v>75.022935779816507</v>
      </c>
      <c r="AA155" s="43">
        <v>2</v>
      </c>
      <c r="AB155" s="54">
        <v>0.98912526375580057</v>
      </c>
      <c r="AC155" s="55">
        <v>1.0874736244199422E-2</v>
      </c>
      <c r="AD155" s="752" t="e">
        <f>_xlfn.XLOOKUP(Table1[[#This Row],[Ruta]],#REF!,#REF!)</f>
        <v>#REF!</v>
      </c>
      <c r="AE155" s="752" t="e">
        <f>_xlfn.XLOOKUP(Table1[[#This Row],[Ruta]],#REF!,#REF!)</f>
        <v>#REF!</v>
      </c>
      <c r="AF155" s="752" t="e">
        <f>_xlfn.XLOOKUP(Table1[[#This Row],[Ruta]],#REF!,#REF!)</f>
        <v>#REF!</v>
      </c>
      <c r="AG155" s="752" t="e">
        <f>_xlfn.XLOOKUP(Table1[[#This Row],[Ruta]],#REF!,#REF!)</f>
        <v>#REF!</v>
      </c>
      <c r="AH155" s="52">
        <v>0.62793258514519124</v>
      </c>
      <c r="AI155" s="52">
        <v>0.37206741485480871</v>
      </c>
      <c r="AJ155" s="55">
        <v>0</v>
      </c>
      <c r="AK155" s="56">
        <v>32710</v>
      </c>
      <c r="AL155" s="44">
        <v>24653</v>
      </c>
      <c r="AM155" s="54">
        <v>0.75368388871904601</v>
      </c>
      <c r="AN155" s="55">
        <v>0.71946747217665497</v>
      </c>
      <c r="AO155" s="56">
        <v>0</v>
      </c>
      <c r="AP155" s="48">
        <v>0</v>
      </c>
      <c r="AQ155" s="55">
        <v>0.75368388871904612</v>
      </c>
      <c r="AR155" s="51">
        <v>3901334</v>
      </c>
      <c r="AS155" s="49">
        <v>0</v>
      </c>
      <c r="AT155" s="55">
        <v>0</v>
      </c>
      <c r="AU155" s="51">
        <v>0</v>
      </c>
      <c r="AV155" s="52">
        <v>0</v>
      </c>
      <c r="AW155" s="44">
        <v>490</v>
      </c>
      <c r="AX155" s="51">
        <v>158.24986817020201</v>
      </c>
      <c r="AY155" s="49">
        <v>222.22925855150001</v>
      </c>
      <c r="AZ155" s="49">
        <v>63.979390381298003</v>
      </c>
      <c r="BA155" s="42" t="s">
        <v>150</v>
      </c>
      <c r="BB155" s="50">
        <v>554180.83361923846</v>
      </c>
      <c r="BC155" s="57">
        <v>554180.83361923846</v>
      </c>
      <c r="BD155" s="42" t="s">
        <v>150</v>
      </c>
      <c r="BE155" s="46">
        <v>75.022935779816507</v>
      </c>
      <c r="BF155" s="46">
        <v>75.178899082568805</v>
      </c>
      <c r="BG155" s="42" t="s">
        <v>152</v>
      </c>
      <c r="BH155" s="52">
        <v>0.75368388871904601</v>
      </c>
      <c r="BI155" s="52">
        <v>0.68279353391244302</v>
      </c>
      <c r="BJ155" s="42" t="s">
        <v>150</v>
      </c>
      <c r="BK155" s="46">
        <v>426.28170652981601</v>
      </c>
      <c r="BL155" s="46">
        <v>577.22407290825595</v>
      </c>
      <c r="BM155" s="42" t="s">
        <v>152</v>
      </c>
      <c r="BN155" s="48">
        <v>1</v>
      </c>
      <c r="BO155" s="42" t="s">
        <v>155</v>
      </c>
      <c r="BP155" s="42" t="s">
        <v>152</v>
      </c>
      <c r="BQ155" s="46">
        <v>0</v>
      </c>
      <c r="BR155" s="46">
        <v>881</v>
      </c>
      <c r="BS155" s="46">
        <v>35088</v>
      </c>
      <c r="BT155" s="46">
        <v>8996</v>
      </c>
      <c r="BU155" s="46">
        <v>3.9004001778568251</v>
      </c>
      <c r="BV155" s="46">
        <v>10.211123723041998</v>
      </c>
      <c r="BW155" s="46">
        <v>642</v>
      </c>
      <c r="BX155" s="46">
        <v>1496</v>
      </c>
      <c r="BY155" s="46">
        <v>2138</v>
      </c>
      <c r="BZ155" s="46">
        <v>0.23766118274788794</v>
      </c>
      <c r="CA155" s="46">
        <v>7.136505113383726E-2</v>
      </c>
      <c r="CB155" s="46">
        <v>0.16629613161405071</v>
      </c>
      <c r="CC155" s="46">
        <v>7.6923076923076927E-2</v>
      </c>
      <c r="CD155" s="46">
        <v>7.9035126722988E-2</v>
      </c>
      <c r="CE155" s="46">
        <v>1.9786571809693201E-2</v>
      </c>
      <c r="CF155" s="46">
        <v>0.58637172076478439</v>
      </c>
      <c r="CG155" s="46">
        <v>0</v>
      </c>
      <c r="CH155" s="46">
        <v>2.2232103156958648E-4</v>
      </c>
      <c r="CI155" s="46">
        <v>5.1014591883264933</v>
      </c>
      <c r="CJ155" s="46">
        <v>0.22799817601459191</v>
      </c>
      <c r="CK155">
        <v>363</v>
      </c>
      <c r="CL155">
        <v>449.32</v>
      </c>
      <c r="CM155">
        <f t="shared" si="21"/>
        <v>86.32</v>
      </c>
      <c r="CN155">
        <v>8.64</v>
      </c>
      <c r="CO155">
        <v>9.4499999999999993</v>
      </c>
      <c r="CP155">
        <f t="shared" si="22"/>
        <v>0.80999999999999872</v>
      </c>
      <c r="CQ155">
        <v>814.39</v>
      </c>
      <c r="CR155">
        <v>426.28</v>
      </c>
      <c r="CS155">
        <f t="shared" si="23"/>
        <v>388.11</v>
      </c>
      <c r="CT155" t="s">
        <v>152</v>
      </c>
      <c r="CU155">
        <v>91.38</v>
      </c>
      <c r="CV155">
        <v>170</v>
      </c>
      <c r="CW155" s="46">
        <v>2138</v>
      </c>
      <c r="CX155" s="46">
        <f t="shared" si="17"/>
        <v>22.806580702534458</v>
      </c>
      <c r="CY155" s="46">
        <v>86.32</v>
      </c>
      <c r="CZ155" s="46">
        <f t="shared" si="18"/>
        <v>23.766118274788795</v>
      </c>
      <c r="DA155" s="46">
        <f t="shared" si="19"/>
        <v>136.36445423636252</v>
      </c>
      <c r="DB155" s="46">
        <v>1238505.6100000001</v>
      </c>
      <c r="DC155" s="46">
        <f t="shared" si="20"/>
        <v>6.6200387125756412</v>
      </c>
      <c r="DD155" s="46">
        <v>60125.31</v>
      </c>
      <c r="DE155" s="995">
        <v>2138</v>
      </c>
      <c r="DF155" s="995">
        <v>23.006</v>
      </c>
      <c r="DG155" s="995">
        <v>68.400000000000006</v>
      </c>
      <c r="DH155" s="995">
        <v>23.765999999999998</v>
      </c>
      <c r="DI155" s="995">
        <v>407.15199999999999</v>
      </c>
      <c r="DJ155" s="995">
        <v>3690591</v>
      </c>
      <c r="DK155" s="995">
        <v>19.536000000000001</v>
      </c>
      <c r="DL155" s="995">
        <v>177081.4</v>
      </c>
      <c r="DM155" s="995">
        <v>2138</v>
      </c>
      <c r="DN155" s="995">
        <v>23.117999999999999</v>
      </c>
      <c r="DO155" s="995">
        <v>58.3</v>
      </c>
      <c r="DP155" s="995">
        <v>23.765999999999998</v>
      </c>
      <c r="DQ155" s="995">
        <v>398.483</v>
      </c>
      <c r="DR155" s="995">
        <v>3607973</v>
      </c>
      <c r="DS155" s="995">
        <v>19.138000000000002</v>
      </c>
      <c r="DT155" s="995">
        <v>173279.3</v>
      </c>
    </row>
    <row r="156" spans="1:124">
      <c r="A156" s="42" t="s">
        <v>93</v>
      </c>
      <c r="B156" s="42" t="s">
        <v>327</v>
      </c>
      <c r="C156" s="42" t="s">
        <v>328</v>
      </c>
      <c r="D156" s="42">
        <v>931411</v>
      </c>
      <c r="E156" s="42" t="s">
        <v>339</v>
      </c>
      <c r="F156" s="42" t="s">
        <v>149</v>
      </c>
      <c r="G156" s="42" t="s">
        <v>150</v>
      </c>
      <c r="H156" s="43" t="s">
        <v>150</v>
      </c>
      <c r="I156" s="44">
        <v>30</v>
      </c>
      <c r="J156" s="45">
        <v>177870.63279999999</v>
      </c>
      <c r="K156" s="46">
        <v>10214.930498</v>
      </c>
      <c r="L156" s="47">
        <v>188085.56329799999</v>
      </c>
      <c r="M156" s="48">
        <v>3641128</v>
      </c>
      <c r="N156" s="49">
        <v>2546756</v>
      </c>
      <c r="O156" s="49">
        <v>1094372</v>
      </c>
      <c r="P156" s="49">
        <v>0</v>
      </c>
      <c r="Q156" s="50">
        <v>8365.89411494253</v>
      </c>
      <c r="R156" s="51">
        <v>8688.5825669476799</v>
      </c>
      <c r="S156" s="49">
        <v>19152.017921397801</v>
      </c>
      <c r="T156" s="49">
        <v>3894.6408247793702</v>
      </c>
      <c r="U156" s="49">
        <f>IFERROR(INDEX('Rentabilidad datos'!$N$2:$N$61,MATCH($C156,'Rentabilidad datos'!$C$2:$C$61,0)),"")</f>
        <v>31735.24131312489</v>
      </c>
      <c r="V156" s="50">
        <f>IFERROR(INDEX('Rentabilidad datos'!$O$2:$O$61,MATCH($C156,'Rentabilidad datos'!$C$2:$C$61,0)),"")</f>
        <v>1133.4014754687462</v>
      </c>
      <c r="W156" s="51">
        <f>IFERROR(INDEX('Rentabilidad datos'!$M$2:$M$61,MATCH($C156,'Rentabilidad datos'!$C$2:$C$61,0)),"")</f>
        <v>2998.2139778064675</v>
      </c>
      <c r="X156" s="52">
        <f>IFERROR(INDEX('Rentabilidad datos'!$P$2:$P$61,MATCH($C156,'Rentabilidad datos'!$C$2:$C$61,0)),"")</f>
        <v>0.3780255458277722</v>
      </c>
      <c r="Y156" s="43" t="s">
        <v>171</v>
      </c>
      <c r="Z156" s="53">
        <v>77.960919540229895</v>
      </c>
      <c r="AA156" s="43">
        <v>2</v>
      </c>
      <c r="AB156" s="54">
        <v>0.97623346391557786</v>
      </c>
      <c r="AC156" s="55">
        <v>2.3766536084422189E-2</v>
      </c>
      <c r="AD156" s="752" t="e">
        <f>_xlfn.XLOOKUP(Table1[[#This Row],[Ruta]],#REF!,#REF!)</f>
        <v>#REF!</v>
      </c>
      <c r="AE156" s="752" t="e">
        <f>_xlfn.XLOOKUP(Table1[[#This Row],[Ruta]],#REF!,#REF!)</f>
        <v>#REF!</v>
      </c>
      <c r="AF156" s="752" t="e">
        <f>_xlfn.XLOOKUP(Table1[[#This Row],[Ruta]],#REF!,#REF!)</f>
        <v>#REF!</v>
      </c>
      <c r="AG156" s="752" t="e">
        <f>_xlfn.XLOOKUP(Table1[[#This Row],[Ruta]],#REF!,#REF!)</f>
        <v>#REF!</v>
      </c>
      <c r="AH156" s="52">
        <v>0.69944149175749937</v>
      </c>
      <c r="AI156" s="52">
        <v>0.30055850824250069</v>
      </c>
      <c r="AJ156" s="55">
        <v>0</v>
      </c>
      <c r="AK156" s="56">
        <v>33913</v>
      </c>
      <c r="AL156" s="44">
        <v>16809</v>
      </c>
      <c r="AM156" s="54">
        <v>0.49565063544953297</v>
      </c>
      <c r="AN156" s="55">
        <v>0.71946747217665497</v>
      </c>
      <c r="AO156" s="56">
        <v>7590.3003839269004</v>
      </c>
      <c r="AP156" s="48">
        <v>3795.1501919634502</v>
      </c>
      <c r="AQ156" s="55">
        <v>0.60755905381309383</v>
      </c>
      <c r="AR156" s="51">
        <v>3639163.94</v>
      </c>
      <c r="AS156" s="49">
        <v>821653.50261630502</v>
      </c>
      <c r="AT156" s="55">
        <v>0.22578084311758295</v>
      </c>
      <c r="AU156" s="51">
        <v>577378.13697361993</v>
      </c>
      <c r="AV156" s="52">
        <v>2.626547783897394E-3</v>
      </c>
      <c r="AW156" s="44">
        <v>127</v>
      </c>
      <c r="AX156" s="51">
        <v>216.500918555536</v>
      </c>
      <c r="AY156" s="49">
        <v>222.22925855150001</v>
      </c>
      <c r="AZ156" s="49">
        <v>5.7283399959640064</v>
      </c>
      <c r="BA156" s="42" t="s">
        <v>150</v>
      </c>
      <c r="BB156" s="50">
        <v>33830.801916163975</v>
      </c>
      <c r="BC156" s="57">
        <v>611208.93888978392</v>
      </c>
      <c r="BD156" s="42" t="s">
        <v>150</v>
      </c>
      <c r="BE156" s="46">
        <v>77.960919540229895</v>
      </c>
      <c r="BF156" s="46">
        <v>75.178899082568805</v>
      </c>
      <c r="BG156" s="42" t="s">
        <v>150</v>
      </c>
      <c r="BH156" s="52">
        <v>0.49565063544953297</v>
      </c>
      <c r="BI156" s="52">
        <v>0.68279353391244302</v>
      </c>
      <c r="BJ156" s="42" t="s">
        <v>152</v>
      </c>
      <c r="BK156" s="46">
        <v>432.38060528275798</v>
      </c>
      <c r="BL156" s="46">
        <v>577.22407290825595</v>
      </c>
      <c r="BM156" s="42" t="s">
        <v>152</v>
      </c>
      <c r="BN156" s="48">
        <v>1</v>
      </c>
      <c r="BO156" s="42" t="s">
        <v>155</v>
      </c>
      <c r="BP156" s="42" t="s">
        <v>152</v>
      </c>
      <c r="BQ156" s="46">
        <v>6357.0129060323998</v>
      </c>
      <c r="BR156" s="46">
        <v>527</v>
      </c>
      <c r="BS156" s="46">
        <v>34093</v>
      </c>
      <c r="BT156" s="46">
        <v>8968</v>
      </c>
      <c r="BU156" s="46">
        <v>3.8016280107047278</v>
      </c>
      <c r="BV156" s="46">
        <v>17.017077798861479</v>
      </c>
      <c r="BW156" s="46">
        <v>74</v>
      </c>
      <c r="BX156" s="46">
        <v>2002</v>
      </c>
      <c r="BY156" s="46">
        <v>2076</v>
      </c>
      <c r="BZ156" s="46">
        <v>0.23148974130240857</v>
      </c>
      <c r="CA156" s="46">
        <v>8.2515611061552193E-3</v>
      </c>
      <c r="CB156" s="46">
        <v>0.22323818019625341</v>
      </c>
      <c r="CC156" s="46">
        <v>9.5115967885816236E-2</v>
      </c>
      <c r="CD156" s="46">
        <v>4.293041926851026E-2</v>
      </c>
      <c r="CE156" s="46">
        <v>3.2337198929527208E-3</v>
      </c>
      <c r="CF156" s="46">
        <v>0.6271186440677966</v>
      </c>
      <c r="CG156" s="46">
        <v>0</v>
      </c>
      <c r="CH156" s="46">
        <v>1.1150758251561108E-4</v>
      </c>
      <c r="CI156" s="46">
        <v>4.5757193558795066</v>
      </c>
      <c r="CJ156" s="46">
        <v>0.26398380899304841</v>
      </c>
      <c r="CK156">
        <v>331</v>
      </c>
      <c r="CL156">
        <v>589.5</v>
      </c>
      <c r="CM156">
        <f t="shared" si="21"/>
        <v>258.5</v>
      </c>
      <c r="CN156">
        <v>5.19</v>
      </c>
      <c r="CO156">
        <v>9.4499999999999993</v>
      </c>
      <c r="CP156">
        <f t="shared" si="22"/>
        <v>4.2599999999999989</v>
      </c>
      <c r="CQ156">
        <v>814.39</v>
      </c>
      <c r="CR156">
        <v>432.38</v>
      </c>
      <c r="CS156">
        <f t="shared" si="23"/>
        <v>382.01</v>
      </c>
      <c r="CT156" t="s">
        <v>152</v>
      </c>
      <c r="CU156">
        <v>63.49</v>
      </c>
      <c r="CV156">
        <v>149</v>
      </c>
      <c r="CW156" s="46">
        <v>2076</v>
      </c>
      <c r="CX156" s="46">
        <f t="shared" si="17"/>
        <v>20.26650312221231</v>
      </c>
      <c r="CY156" s="46">
        <v>258.5</v>
      </c>
      <c r="CZ156" s="46">
        <f t="shared" si="18"/>
        <v>23.148974130240855</v>
      </c>
      <c r="DA156" s="46">
        <f t="shared" si="19"/>
        <v>216.72633392944238</v>
      </c>
      <c r="DB156" s="46">
        <v>1999625.52</v>
      </c>
      <c r="DC156" s="46">
        <f t="shared" si="20"/>
        <v>10.987397171191676</v>
      </c>
      <c r="DD156" s="46">
        <v>101375.22</v>
      </c>
      <c r="DE156" s="995">
        <v>2076</v>
      </c>
      <c r="DF156" s="995">
        <v>20.67</v>
      </c>
      <c r="DG156" s="995">
        <v>222.3</v>
      </c>
      <c r="DH156" s="995">
        <v>23.149000000000001</v>
      </c>
      <c r="DI156" s="995">
        <v>494.09800000000001</v>
      </c>
      <c r="DJ156" s="995">
        <v>4540919</v>
      </c>
      <c r="DK156" s="995">
        <v>24.917000000000002</v>
      </c>
      <c r="DL156" s="995">
        <v>228992.6</v>
      </c>
      <c r="DM156" s="995">
        <v>2076</v>
      </c>
      <c r="DN156" s="995">
        <v>21.042000000000002</v>
      </c>
      <c r="DO156" s="995">
        <v>189</v>
      </c>
      <c r="DP156" s="995">
        <v>23.149000000000001</v>
      </c>
      <c r="DQ156" s="995">
        <v>469.33800000000002</v>
      </c>
      <c r="DR156" s="995">
        <v>4297728</v>
      </c>
      <c r="DS156" s="995">
        <v>23.652999999999999</v>
      </c>
      <c r="DT156" s="995">
        <v>216589.9</v>
      </c>
    </row>
    <row r="157" spans="1:124">
      <c r="A157" s="42" t="s">
        <v>93</v>
      </c>
      <c r="B157" s="42" t="s">
        <v>327</v>
      </c>
      <c r="C157" s="42" t="s">
        <v>328</v>
      </c>
      <c r="D157" s="42">
        <v>931412</v>
      </c>
      <c r="E157" s="42" t="s">
        <v>340</v>
      </c>
      <c r="F157" s="42" t="s">
        <v>149</v>
      </c>
      <c r="G157" s="42" t="s">
        <v>150</v>
      </c>
      <c r="H157" s="43" t="s">
        <v>152</v>
      </c>
      <c r="I157" s="44">
        <v>30</v>
      </c>
      <c r="J157" s="45">
        <v>0</v>
      </c>
      <c r="K157" s="46">
        <v>3.1764399999999999</v>
      </c>
      <c r="L157" s="47">
        <v>3.1764399999999999</v>
      </c>
      <c r="M157" s="48">
        <v>156</v>
      </c>
      <c r="N157" s="49">
        <v>0</v>
      </c>
      <c r="O157" s="49">
        <v>156</v>
      </c>
      <c r="P157" s="49">
        <v>0</v>
      </c>
      <c r="Q157" s="50">
        <v>155.54</v>
      </c>
      <c r="R157" s="51">
        <v>8688.5825669476799</v>
      </c>
      <c r="S157" s="49">
        <v>19152.017921397801</v>
      </c>
      <c r="T157" s="49">
        <v>3894.6408247793702</v>
      </c>
      <c r="U157" s="49">
        <f>IFERROR(INDEX('Rentabilidad datos'!$N$2:$N$61,MATCH($C157,'Rentabilidad datos'!$C$2:$C$61,0)),"")</f>
        <v>31735.24131312489</v>
      </c>
      <c r="V157" s="50">
        <f>IFERROR(INDEX('Rentabilidad datos'!$O$2:$O$61,MATCH($C157,'Rentabilidad datos'!$C$2:$C$61,0)),"")</f>
        <v>1133.4014754687462</v>
      </c>
      <c r="W157" s="51">
        <f>IFERROR(INDEX('Rentabilidad datos'!$M$2:$M$61,MATCH($C157,'Rentabilidad datos'!$C$2:$C$61,0)),"")</f>
        <v>2998.2139778064675</v>
      </c>
      <c r="X157" s="52">
        <f>IFERROR(INDEX('Rentabilidad datos'!$P$2:$P$61,MATCH($C157,'Rentabilidad datos'!$C$2:$C$61,0)),"")</f>
        <v>0.3780255458277722</v>
      </c>
      <c r="Y157" s="43" t="s">
        <v>171</v>
      </c>
      <c r="Z157" s="53">
        <v>0</v>
      </c>
      <c r="AA157" s="43">
        <v>2</v>
      </c>
      <c r="AB157" s="54">
        <v>0</v>
      </c>
      <c r="AC157" s="55">
        <v>1</v>
      </c>
      <c r="AD157" s="752" t="e">
        <f>_xlfn.XLOOKUP(Table1[[#This Row],[Ruta]],#REF!,#REF!)</f>
        <v>#REF!</v>
      </c>
      <c r="AE157" s="752" t="e">
        <f>_xlfn.XLOOKUP(Table1[[#This Row],[Ruta]],#REF!,#REF!)</f>
        <v>#REF!</v>
      </c>
      <c r="AF157" s="752" t="e">
        <f>_xlfn.XLOOKUP(Table1[[#This Row],[Ruta]],#REF!,#REF!)</f>
        <v>#REF!</v>
      </c>
      <c r="AG157" s="752" t="e">
        <f>_xlfn.XLOOKUP(Table1[[#This Row],[Ruta]],#REF!,#REF!)</f>
        <v>#REF!</v>
      </c>
      <c r="AH157" s="52">
        <v>0</v>
      </c>
      <c r="AI157" s="52">
        <v>1</v>
      </c>
      <c r="AJ157" s="55">
        <v>0</v>
      </c>
      <c r="AK157" s="56">
        <v>0</v>
      </c>
      <c r="AL157" s="44">
        <v>1</v>
      </c>
      <c r="AM157" s="54">
        <v>0</v>
      </c>
      <c r="AN157" s="55">
        <v>0.71946747217665497</v>
      </c>
      <c r="AO157" s="56">
        <v>0</v>
      </c>
      <c r="AP157" s="48">
        <v>0</v>
      </c>
      <c r="AQ157" s="55" t="s">
        <v>194</v>
      </c>
      <c r="AR157" s="51">
        <v>155.54</v>
      </c>
      <c r="AS157" s="49">
        <v>0</v>
      </c>
      <c r="AT157" s="55">
        <v>0</v>
      </c>
      <c r="AU157" s="51">
        <v>0</v>
      </c>
      <c r="AV157" s="52">
        <v>0</v>
      </c>
      <c r="AW157" s="44">
        <v>490</v>
      </c>
      <c r="AX157" s="51">
        <v>155.54</v>
      </c>
      <c r="AY157" s="49">
        <v>222.22925855150001</v>
      </c>
      <c r="AZ157" s="49">
        <v>66.689258551500018</v>
      </c>
      <c r="BA157" s="42" t="s">
        <v>150</v>
      </c>
      <c r="BB157" s="50">
        <v>23.431361112689203</v>
      </c>
      <c r="BC157" s="57">
        <v>23.431361112689203</v>
      </c>
      <c r="BD157" s="42" t="s">
        <v>152</v>
      </c>
      <c r="BE157" s="46" t="s">
        <v>195</v>
      </c>
      <c r="BF157" s="46" t="s">
        <v>195</v>
      </c>
      <c r="BG157" s="42" t="s">
        <v>195</v>
      </c>
      <c r="BH157" s="52" t="s">
        <v>195</v>
      </c>
      <c r="BI157" s="52" t="s">
        <v>195</v>
      </c>
      <c r="BJ157" s="42" t="s">
        <v>195</v>
      </c>
      <c r="BK157" s="46" t="s">
        <v>195</v>
      </c>
      <c r="BL157" s="46" t="s">
        <v>195</v>
      </c>
      <c r="BM157" s="42" t="s">
        <v>195</v>
      </c>
      <c r="BN157" s="48" t="s">
        <v>195</v>
      </c>
      <c r="BO157" s="42" t="s">
        <v>195</v>
      </c>
      <c r="BP157" s="42" t="s">
        <v>152</v>
      </c>
      <c r="BQ157" s="46">
        <v>0</v>
      </c>
      <c r="BR157" s="46" t="e">
        <v>#N/A</v>
      </c>
      <c r="BS157" s="46" t="e">
        <v>#N/A</v>
      </c>
      <c r="BT157" s="46" t="e">
        <v>#N/A</v>
      </c>
      <c r="BU157" s="46" t="e">
        <v>#N/A</v>
      </c>
      <c r="BV157" s="46" t="e">
        <v>#N/A</v>
      </c>
      <c r="BW157" s="46" t="e">
        <v>#N/A</v>
      </c>
      <c r="BX157" s="46" t="e">
        <v>#N/A</v>
      </c>
      <c r="BY157" s="46" t="e">
        <v>#N/A</v>
      </c>
      <c r="BZ157" s="46" t="e">
        <v>#N/A</v>
      </c>
      <c r="CA157" s="46" t="e">
        <v>#N/A</v>
      </c>
      <c r="CB157" s="46" t="e">
        <v>#N/A</v>
      </c>
      <c r="CC157" s="46" t="e">
        <v>#N/A</v>
      </c>
      <c r="CD157" s="46" t="e">
        <v>#N/A</v>
      </c>
      <c r="CE157" s="46" t="e">
        <v>#N/A</v>
      </c>
      <c r="CF157" s="46" t="e">
        <v>#N/A</v>
      </c>
      <c r="CG157" s="46" t="e">
        <v>#N/A</v>
      </c>
      <c r="CH157" s="46" t="e">
        <v>#N/A</v>
      </c>
      <c r="CI157" s="46" t="e">
        <v>#N/A</v>
      </c>
      <c r="CJ157" s="46" t="e">
        <v>#N/A</v>
      </c>
      <c r="CM157">
        <f t="shared" si="21"/>
        <v>0</v>
      </c>
      <c r="CP157">
        <f t="shared" si="22"/>
        <v>0</v>
      </c>
      <c r="CS157">
        <f t="shared" si="23"/>
        <v>0</v>
      </c>
      <c r="CW157" s="46"/>
      <c r="CX157" s="46" t="e">
        <f t="shared" si="17"/>
        <v>#N/A</v>
      </c>
      <c r="CY157" s="46"/>
      <c r="CZ157" s="46" t="e">
        <f t="shared" si="18"/>
        <v>#N/A</v>
      </c>
      <c r="DA157" s="46" t="e">
        <f t="shared" si="19"/>
        <v>#N/A</v>
      </c>
      <c r="DB157" s="46"/>
      <c r="DC157" s="46" t="e">
        <f t="shared" si="20"/>
        <v>#N/A</v>
      </c>
      <c r="DD157" s="46"/>
      <c r="DE157" s="995" t="s">
        <v>194</v>
      </c>
      <c r="DF157" s="995" t="s">
        <v>194</v>
      </c>
      <c r="DG157" s="995" t="s">
        <v>194</v>
      </c>
      <c r="DH157" s="995" t="s">
        <v>194</v>
      </c>
      <c r="DI157" s="995" t="s">
        <v>194</v>
      </c>
      <c r="DJ157" s="995" t="s">
        <v>194</v>
      </c>
      <c r="DK157" s="995" t="s">
        <v>194</v>
      </c>
      <c r="DL157" s="995" t="s">
        <v>194</v>
      </c>
      <c r="DM157" s="995" t="s">
        <v>194</v>
      </c>
      <c r="DN157" s="995" t="s">
        <v>194</v>
      </c>
      <c r="DO157" s="995" t="s">
        <v>194</v>
      </c>
      <c r="DP157" s="995" t="s">
        <v>194</v>
      </c>
      <c r="DQ157" s="995" t="s">
        <v>194</v>
      </c>
      <c r="DR157" s="995" t="s">
        <v>194</v>
      </c>
      <c r="DS157" s="995" t="s">
        <v>194</v>
      </c>
      <c r="DT157" s="995" t="s">
        <v>194</v>
      </c>
    </row>
    <row r="158" spans="1:124">
      <c r="A158" s="42" t="s">
        <v>93</v>
      </c>
      <c r="B158" s="42" t="s">
        <v>327</v>
      </c>
      <c r="C158" s="42" t="s">
        <v>328</v>
      </c>
      <c r="D158" s="42">
        <v>931413</v>
      </c>
      <c r="E158" s="42" t="s">
        <v>341</v>
      </c>
      <c r="F158" s="42" t="s">
        <v>149</v>
      </c>
      <c r="G158" s="42" t="s">
        <v>150</v>
      </c>
      <c r="H158" s="43" t="s">
        <v>150</v>
      </c>
      <c r="I158" s="44">
        <v>30</v>
      </c>
      <c r="J158" s="45">
        <v>231002.514399999</v>
      </c>
      <c r="K158" s="46">
        <v>11391.531596999999</v>
      </c>
      <c r="L158" s="47">
        <v>242394.04599699899</v>
      </c>
      <c r="M158" s="48">
        <v>4737819</v>
      </c>
      <c r="N158" s="49">
        <v>3263110</v>
      </c>
      <c r="O158" s="49">
        <v>1474709</v>
      </c>
      <c r="P158" s="49">
        <v>0</v>
      </c>
      <c r="Q158" s="50">
        <v>10866.551834862399</v>
      </c>
      <c r="R158" s="51">
        <v>8688.5825669476799</v>
      </c>
      <c r="S158" s="49">
        <v>19152.017921397801</v>
      </c>
      <c r="T158" s="49">
        <v>3894.6408247793702</v>
      </c>
      <c r="U158" s="49">
        <f>IFERROR(INDEX('Rentabilidad datos'!$N$2:$N$61,MATCH($C158,'Rentabilidad datos'!$C$2:$C$61,0)),"")</f>
        <v>31735.24131312489</v>
      </c>
      <c r="V158" s="50">
        <f>IFERROR(INDEX('Rentabilidad datos'!$O$2:$O$61,MATCH($C158,'Rentabilidad datos'!$C$2:$C$61,0)),"")</f>
        <v>1133.4014754687462</v>
      </c>
      <c r="W158" s="51">
        <f>IFERROR(INDEX('Rentabilidad datos'!$M$2:$M$61,MATCH($C158,'Rentabilidad datos'!$C$2:$C$61,0)),"")</f>
        <v>2998.2139778064675</v>
      </c>
      <c r="X158" s="52">
        <f>IFERROR(INDEX('Rentabilidad datos'!$P$2:$P$61,MATCH($C158,'Rentabilidad datos'!$C$2:$C$61,0)),"")</f>
        <v>0.3780255458277722</v>
      </c>
      <c r="Y158" s="43" t="s">
        <v>171</v>
      </c>
      <c r="Z158" s="53">
        <v>79.738532110091697</v>
      </c>
      <c r="AA158" s="43">
        <v>2</v>
      </c>
      <c r="AB158" s="54">
        <v>0.98663224576540387</v>
      </c>
      <c r="AC158" s="55">
        <v>1.336775423459613E-2</v>
      </c>
      <c r="AD158" s="752" t="e">
        <f>_xlfn.XLOOKUP(Table1[[#This Row],[Ruta]],#REF!,#REF!)</f>
        <v>#REF!</v>
      </c>
      <c r="AE158" s="752" t="e">
        <f>_xlfn.XLOOKUP(Table1[[#This Row],[Ruta]],#REF!,#REF!)</f>
        <v>#REF!</v>
      </c>
      <c r="AF158" s="752" t="e">
        <f>_xlfn.XLOOKUP(Table1[[#This Row],[Ruta]],#REF!,#REF!)</f>
        <v>#REF!</v>
      </c>
      <c r="AG158" s="752" t="e">
        <f>_xlfn.XLOOKUP(Table1[[#This Row],[Ruta]],#REF!,#REF!)</f>
        <v>#REF!</v>
      </c>
      <c r="AH158" s="52">
        <v>0.68873673730465435</v>
      </c>
      <c r="AI158" s="52">
        <v>0.31126326269534571</v>
      </c>
      <c r="AJ158" s="55">
        <v>0</v>
      </c>
      <c r="AK158" s="56">
        <v>34766</v>
      </c>
      <c r="AL158" s="44">
        <v>23738</v>
      </c>
      <c r="AM158" s="54">
        <v>0.68279353391244302</v>
      </c>
      <c r="AN158" s="55">
        <v>0.71946747217665497</v>
      </c>
      <c r="AO158" s="56">
        <v>1275.0061376935901</v>
      </c>
      <c r="AP158" s="48">
        <v>637.50306884679503</v>
      </c>
      <c r="AQ158" s="55">
        <v>0.70113050304454916</v>
      </c>
      <c r="AR158" s="51">
        <v>4737816.5999999996</v>
      </c>
      <c r="AS158" s="49">
        <v>127237.8726991865</v>
      </c>
      <c r="AT158" s="55">
        <v>2.6855803725958177E-2</v>
      </c>
      <c r="AU158" s="51">
        <v>89410.397031860819</v>
      </c>
      <c r="AV158" s="52">
        <v>4.0673635723783891E-4</v>
      </c>
      <c r="AW158" s="44">
        <v>400</v>
      </c>
      <c r="AX158" s="51">
        <v>199.587859128823</v>
      </c>
      <c r="AY158" s="49">
        <v>222.22925855150001</v>
      </c>
      <c r="AZ158" s="49">
        <v>22.641399422677011</v>
      </c>
      <c r="BA158" s="42" t="s">
        <v>150</v>
      </c>
      <c r="BB158" s="50">
        <v>188837.8382011241</v>
      </c>
      <c r="BC158" s="57">
        <v>278248.23523298494</v>
      </c>
      <c r="BD158" s="42" t="s">
        <v>150</v>
      </c>
      <c r="BE158" s="46">
        <v>79.738532110091697</v>
      </c>
      <c r="BF158" s="46">
        <v>75.178899082568805</v>
      </c>
      <c r="BG158" s="42" t="s">
        <v>150</v>
      </c>
      <c r="BH158" s="52">
        <v>0.68279353391244302</v>
      </c>
      <c r="BI158" s="52">
        <v>0.68279353391244302</v>
      </c>
      <c r="BJ158" s="42" t="s">
        <v>150</v>
      </c>
      <c r="BK158" s="46">
        <v>555.94964678210897</v>
      </c>
      <c r="BL158" s="46">
        <v>577.22407290825595</v>
      </c>
      <c r="BM158" s="42" t="s">
        <v>152</v>
      </c>
      <c r="BN158" s="48">
        <v>2</v>
      </c>
      <c r="BO158" s="42" t="s">
        <v>161</v>
      </c>
      <c r="BP158" s="42" t="s">
        <v>152</v>
      </c>
      <c r="BQ158" s="46">
        <v>1205.7503935341599</v>
      </c>
      <c r="BR158" s="46">
        <v>151</v>
      </c>
      <c r="BS158" s="46">
        <v>7281</v>
      </c>
      <c r="BT158" s="46">
        <v>2419</v>
      </c>
      <c r="BU158" s="46">
        <v>3.0099214551467548</v>
      </c>
      <c r="BV158" s="46">
        <v>16.019867549668874</v>
      </c>
      <c r="BW158" s="46">
        <v>1132</v>
      </c>
      <c r="BX158" s="46">
        <v>1262</v>
      </c>
      <c r="BY158" s="46">
        <v>2394</v>
      </c>
      <c r="BZ158" s="46">
        <v>0.98966515088879703</v>
      </c>
      <c r="CA158" s="46">
        <v>0.46796196775527088</v>
      </c>
      <c r="CB158" s="46">
        <v>0.52170318313352626</v>
      </c>
      <c r="CC158" s="46">
        <v>1.0334849111202979E-2</v>
      </c>
      <c r="CD158" s="46">
        <v>0</v>
      </c>
      <c r="CE158" s="46">
        <v>0</v>
      </c>
      <c r="CF158" s="46">
        <v>0</v>
      </c>
      <c r="CG158" s="46">
        <v>0</v>
      </c>
      <c r="CH158" s="46">
        <v>0</v>
      </c>
      <c r="CI158" s="46">
        <v>4.3950006867188574</v>
      </c>
      <c r="CJ158" s="46">
        <v>1.3734377145996433</v>
      </c>
      <c r="CK158">
        <v>392</v>
      </c>
      <c r="CL158">
        <v>684.1</v>
      </c>
      <c r="CM158">
        <f t="shared" si="21"/>
        <v>292.10000000000002</v>
      </c>
      <c r="CN158">
        <v>4.1399999999999997</v>
      </c>
      <c r="CO158">
        <v>9.4499999999999993</v>
      </c>
      <c r="CP158">
        <f t="shared" si="22"/>
        <v>5.31</v>
      </c>
      <c r="CQ158">
        <v>814.39</v>
      </c>
      <c r="CR158">
        <v>555.95000000000005</v>
      </c>
      <c r="CS158">
        <f t="shared" si="23"/>
        <v>258.43999999999994</v>
      </c>
      <c r="CT158" t="s">
        <v>152</v>
      </c>
      <c r="CU158">
        <v>68.27</v>
      </c>
      <c r="CV158">
        <v>393</v>
      </c>
      <c r="CW158" s="46">
        <v>2394</v>
      </c>
      <c r="CX158" s="46">
        <f t="shared" si="17"/>
        <v>86.891277387350158</v>
      </c>
      <c r="CY158" s="46">
        <v>292.10000000000002</v>
      </c>
      <c r="CZ158" s="46">
        <f t="shared" si="18"/>
        <v>98.966515088879703</v>
      </c>
      <c r="DA158" s="46">
        <f t="shared" si="19"/>
        <v>1311.1901479104422</v>
      </c>
      <c r="DB158" s="46">
        <v>3554767.61</v>
      </c>
      <c r="DC158" s="46">
        <f t="shared" si="20"/>
        <v>61.357032200951643</v>
      </c>
      <c r="DD158" s="46">
        <v>166345.04999999999</v>
      </c>
      <c r="DE158" s="995">
        <v>2394</v>
      </c>
      <c r="DF158" s="995">
        <v>87.253</v>
      </c>
      <c r="DG158" s="995">
        <v>283.3</v>
      </c>
      <c r="DH158" s="995">
        <v>98.966999999999999</v>
      </c>
      <c r="DI158" s="995">
        <v>2429.134</v>
      </c>
      <c r="DJ158" s="995">
        <v>6564354</v>
      </c>
      <c r="DK158" s="995">
        <v>116.48</v>
      </c>
      <c r="DL158" s="995">
        <v>314768.40000000002</v>
      </c>
      <c r="DM158" s="995">
        <v>2394</v>
      </c>
      <c r="DN158" s="995">
        <v>88.34</v>
      </c>
      <c r="DO158" s="995">
        <v>257.10000000000002</v>
      </c>
      <c r="DP158" s="995">
        <v>98.966999999999999</v>
      </c>
      <c r="DQ158" s="995">
        <v>2373.232</v>
      </c>
      <c r="DR158" s="995">
        <v>6350915</v>
      </c>
      <c r="DS158" s="995">
        <v>113.67400000000001</v>
      </c>
      <c r="DT158" s="995">
        <v>304199.90000000002</v>
      </c>
    </row>
    <row r="159" spans="1:124">
      <c r="A159" s="42" t="s">
        <v>93</v>
      </c>
      <c r="B159" s="42" t="s">
        <v>327</v>
      </c>
      <c r="C159" s="42" t="s">
        <v>328</v>
      </c>
      <c r="D159" s="42">
        <v>931415</v>
      </c>
      <c r="E159" s="42" t="s">
        <v>342</v>
      </c>
      <c r="F159" s="42" t="s">
        <v>149</v>
      </c>
      <c r="G159" s="42" t="s">
        <v>150</v>
      </c>
      <c r="H159" s="43" t="s">
        <v>150</v>
      </c>
      <c r="I159" s="44">
        <v>30</v>
      </c>
      <c r="J159" s="45">
        <v>228758.74559999901</v>
      </c>
      <c r="K159" s="46">
        <v>14946.360715999999</v>
      </c>
      <c r="L159" s="47">
        <v>243705.106315999</v>
      </c>
      <c r="M159" s="48">
        <v>5313591</v>
      </c>
      <c r="N159" s="49">
        <v>3263083</v>
      </c>
      <c r="O159" s="49">
        <v>2050508</v>
      </c>
      <c r="P159" s="49">
        <v>0</v>
      </c>
      <c r="Q159" s="50">
        <v>12187.128440367</v>
      </c>
      <c r="R159" s="51">
        <v>8688.5825669476799</v>
      </c>
      <c r="S159" s="49">
        <v>19152.017921397801</v>
      </c>
      <c r="T159" s="49">
        <v>3894.6408247793702</v>
      </c>
      <c r="U159" s="49">
        <f>IFERROR(INDEX('Rentabilidad datos'!$N$2:$N$61,MATCH($C159,'Rentabilidad datos'!$C$2:$C$61,0)),"")</f>
        <v>31735.24131312489</v>
      </c>
      <c r="V159" s="50">
        <f>IFERROR(INDEX('Rentabilidad datos'!$O$2:$O$61,MATCH($C159,'Rentabilidad datos'!$C$2:$C$61,0)),"")</f>
        <v>1133.4014754687462</v>
      </c>
      <c r="W159" s="51">
        <f>IFERROR(INDEX('Rentabilidad datos'!$M$2:$M$61,MATCH($C159,'Rentabilidad datos'!$C$2:$C$61,0)),"")</f>
        <v>2998.2139778064675</v>
      </c>
      <c r="X159" s="52">
        <f>IFERROR(INDEX('Rentabilidad datos'!$P$2:$P$61,MATCH($C159,'Rentabilidad datos'!$C$2:$C$61,0)),"")</f>
        <v>0.3780255458277722</v>
      </c>
      <c r="Y159" s="43" t="s">
        <v>171</v>
      </c>
      <c r="Z159" s="53">
        <v>84.935779816513801</v>
      </c>
      <c r="AA159" s="43">
        <v>2</v>
      </c>
      <c r="AB159" s="54">
        <v>0.99800022244843456</v>
      </c>
      <c r="AC159" s="55">
        <v>1.9997775515654104E-3</v>
      </c>
      <c r="AD159" s="752" t="e">
        <f>_xlfn.XLOOKUP(Table1[[#This Row],[Ruta]],#REF!,#REF!)</f>
        <v>#REF!</v>
      </c>
      <c r="AE159" s="752" t="e">
        <f>_xlfn.XLOOKUP(Table1[[#This Row],[Ruta]],#REF!,#REF!)</f>
        <v>#REF!</v>
      </c>
      <c r="AF159" s="752" t="e">
        <f>_xlfn.XLOOKUP(Table1[[#This Row],[Ruta]],#REF!,#REF!)</f>
        <v>#REF!</v>
      </c>
      <c r="AG159" s="752" t="e">
        <f>_xlfn.XLOOKUP(Table1[[#This Row],[Ruta]],#REF!,#REF!)</f>
        <v>#REF!</v>
      </c>
      <c r="AH159" s="52">
        <v>0.61410127350787824</v>
      </c>
      <c r="AI159" s="52">
        <v>0.38589872649212181</v>
      </c>
      <c r="AJ159" s="55">
        <v>0</v>
      </c>
      <c r="AK159" s="56">
        <v>37032</v>
      </c>
      <c r="AL159" s="44">
        <v>27735</v>
      </c>
      <c r="AM159" s="54">
        <v>0.74894685677252104</v>
      </c>
      <c r="AN159" s="55">
        <v>0.71946747217665497</v>
      </c>
      <c r="AO159" s="56">
        <v>0</v>
      </c>
      <c r="AP159" s="48">
        <v>0</v>
      </c>
      <c r="AQ159" s="55">
        <v>0.74894685677252104</v>
      </c>
      <c r="AR159" s="51">
        <v>5313588</v>
      </c>
      <c r="AS159" s="49">
        <v>0</v>
      </c>
      <c r="AT159" s="55">
        <v>0</v>
      </c>
      <c r="AU159" s="51">
        <v>0</v>
      </c>
      <c r="AV159" s="52">
        <v>0</v>
      </c>
      <c r="AW159" s="44">
        <v>490</v>
      </c>
      <c r="AX159" s="51">
        <v>191.58420767982699</v>
      </c>
      <c r="AY159" s="49">
        <v>222.22925855150001</v>
      </c>
      <c r="AZ159" s="49">
        <v>30.645050871673021</v>
      </c>
      <c r="BA159" s="42" t="s">
        <v>150</v>
      </c>
      <c r="BB159" s="50">
        <v>298627.73829827219</v>
      </c>
      <c r="BC159" s="57">
        <v>298627.73829827219</v>
      </c>
      <c r="BD159" s="42" t="s">
        <v>150</v>
      </c>
      <c r="BE159" s="46">
        <v>84.935779816513801</v>
      </c>
      <c r="BF159" s="46">
        <v>75.178899082568805</v>
      </c>
      <c r="BG159" s="42" t="s">
        <v>150</v>
      </c>
      <c r="BH159" s="52">
        <v>0.74894685677252104</v>
      </c>
      <c r="BI159" s="52">
        <v>0.68279353391244302</v>
      </c>
      <c r="BJ159" s="42" t="s">
        <v>150</v>
      </c>
      <c r="BK159" s="46">
        <v>558.95666586238406</v>
      </c>
      <c r="BL159" s="46">
        <v>577.22407290825595</v>
      </c>
      <c r="BM159" s="42" t="s">
        <v>152</v>
      </c>
      <c r="BN159" s="48">
        <v>2</v>
      </c>
      <c r="BO159" s="42" t="s">
        <v>161</v>
      </c>
      <c r="BP159" s="42" t="s">
        <v>152</v>
      </c>
      <c r="BQ159" s="46">
        <v>0</v>
      </c>
      <c r="BR159" s="46">
        <v>161</v>
      </c>
      <c r="BS159" s="46">
        <v>5408</v>
      </c>
      <c r="BT159" s="46">
        <v>1833</v>
      </c>
      <c r="BU159" s="46">
        <v>2.9503546099290778</v>
      </c>
      <c r="BV159" s="46">
        <v>11.385093167701863</v>
      </c>
      <c r="BW159" s="46">
        <v>709</v>
      </c>
      <c r="BX159" s="46">
        <v>991</v>
      </c>
      <c r="BY159" s="46">
        <v>1700</v>
      </c>
      <c r="BZ159" s="46">
        <v>0.92744135297326791</v>
      </c>
      <c r="CA159" s="46">
        <v>0.38679759956355703</v>
      </c>
      <c r="CB159" s="46">
        <v>0.54064375340971083</v>
      </c>
      <c r="CC159" s="46">
        <v>0</v>
      </c>
      <c r="CD159" s="46">
        <v>0</v>
      </c>
      <c r="CE159" s="46">
        <v>0</v>
      </c>
      <c r="CF159" s="46">
        <v>7.2558647026732134E-2</v>
      </c>
      <c r="CG159" s="46">
        <v>0</v>
      </c>
      <c r="CH159" s="46">
        <v>0</v>
      </c>
      <c r="CI159" s="46">
        <v>3.1434911242603549</v>
      </c>
      <c r="CJ159" s="46">
        <v>1.4792899408284019</v>
      </c>
      <c r="CK159">
        <v>438</v>
      </c>
      <c r="CL159">
        <v>610.59</v>
      </c>
      <c r="CM159">
        <f t="shared" si="21"/>
        <v>172.59000000000003</v>
      </c>
      <c r="CN159">
        <v>6.77</v>
      </c>
      <c r="CO159">
        <v>9.4499999999999993</v>
      </c>
      <c r="CP159">
        <f t="shared" si="22"/>
        <v>2.6799999999999997</v>
      </c>
      <c r="CQ159">
        <v>814.39</v>
      </c>
      <c r="CR159">
        <v>558.96</v>
      </c>
      <c r="CS159">
        <f t="shared" si="23"/>
        <v>255.42999999999995</v>
      </c>
      <c r="CT159" t="s">
        <v>152</v>
      </c>
      <c r="CU159">
        <v>82.66</v>
      </c>
      <c r="CV159">
        <v>435</v>
      </c>
      <c r="CW159" s="46">
        <v>1700</v>
      </c>
      <c r="CX159" s="46">
        <f t="shared" si="17"/>
        <v>83.32842334969996</v>
      </c>
      <c r="CY159" s="46">
        <v>172.59</v>
      </c>
      <c r="CZ159" s="46">
        <f t="shared" si="18"/>
        <v>92.744135297326793</v>
      </c>
      <c r="DA159" s="46">
        <f t="shared" si="19"/>
        <v>1326.5402350430547</v>
      </c>
      <c r="DB159" s="46">
        <v>2660495.83</v>
      </c>
      <c r="DC159" s="46">
        <f t="shared" si="20"/>
        <v>62.169645839877546</v>
      </c>
      <c r="DD159" s="46">
        <v>124686.82</v>
      </c>
      <c r="DE159" s="995">
        <v>1700</v>
      </c>
      <c r="DF159" s="995">
        <v>83.665999999999997</v>
      </c>
      <c r="DG159" s="995">
        <v>166.4</v>
      </c>
      <c r="DH159" s="995">
        <v>92.744</v>
      </c>
      <c r="DI159" s="995">
        <v>3235.9659999999999</v>
      </c>
      <c r="DJ159" s="995">
        <v>6470012</v>
      </c>
      <c r="DK159" s="995">
        <v>150.316</v>
      </c>
      <c r="DL159" s="995">
        <v>300541.90000000002</v>
      </c>
      <c r="DM159" s="995">
        <v>1700</v>
      </c>
      <c r="DN159" s="995">
        <v>85.125</v>
      </c>
      <c r="DO159" s="995">
        <v>139.69999999999999</v>
      </c>
      <c r="DP159" s="995">
        <v>92.744</v>
      </c>
      <c r="DQ159" s="995">
        <v>3173.9920000000002</v>
      </c>
      <c r="DR159" s="995">
        <v>6261187</v>
      </c>
      <c r="DS159" s="995">
        <v>146.995</v>
      </c>
      <c r="DT159" s="995">
        <v>289969.8</v>
      </c>
    </row>
    <row r="160" spans="1:124">
      <c r="A160" s="42" t="s">
        <v>93</v>
      </c>
      <c r="B160" s="42" t="s">
        <v>327</v>
      </c>
      <c r="C160" s="42" t="s">
        <v>328</v>
      </c>
      <c r="D160" s="42">
        <v>931416</v>
      </c>
      <c r="E160" s="42" t="s">
        <v>343</v>
      </c>
      <c r="F160" s="42" t="s">
        <v>193</v>
      </c>
      <c r="G160" s="42" t="s">
        <v>150</v>
      </c>
      <c r="H160" s="43" t="s">
        <v>152</v>
      </c>
      <c r="I160" s="44">
        <v>30</v>
      </c>
      <c r="J160" s="45">
        <v>116.2392</v>
      </c>
      <c r="K160" s="46">
        <v>1.2716000000000001</v>
      </c>
      <c r="L160" s="47">
        <v>117.5108</v>
      </c>
      <c r="M160" s="48">
        <v>1511</v>
      </c>
      <c r="N160" s="49">
        <v>1302</v>
      </c>
      <c r="O160" s="49">
        <v>209</v>
      </c>
      <c r="P160" s="49">
        <v>0</v>
      </c>
      <c r="Q160" s="50">
        <v>0</v>
      </c>
      <c r="R160" s="51">
        <v>8688.5825669476799</v>
      </c>
      <c r="S160" s="49">
        <v>19152.017921397801</v>
      </c>
      <c r="T160" s="49">
        <v>3894.6408247793702</v>
      </c>
      <c r="U160" s="49">
        <f>IFERROR(INDEX('Rentabilidad datos'!$N$2:$N$61,MATCH($C160,'Rentabilidad datos'!$C$2:$C$61,0)),"")</f>
        <v>31735.24131312489</v>
      </c>
      <c r="V160" s="50">
        <f>IFERROR(INDEX('Rentabilidad datos'!$O$2:$O$61,MATCH($C160,'Rentabilidad datos'!$C$2:$C$61,0)),"")</f>
        <v>1133.4014754687462</v>
      </c>
      <c r="W160" s="51">
        <f>IFERROR(INDEX('Rentabilidad datos'!$M$2:$M$61,MATCH($C160,'Rentabilidad datos'!$C$2:$C$61,0)),"")</f>
        <v>2998.2139778064675</v>
      </c>
      <c r="X160" s="52">
        <f>IFERROR(INDEX('Rentabilidad datos'!$P$2:$P$61,MATCH($C160,'Rentabilidad datos'!$C$2:$C$61,0)),"")</f>
        <v>0.3780255458277722</v>
      </c>
      <c r="Y160" s="43" t="s">
        <v>171</v>
      </c>
      <c r="Z160" s="53">
        <v>0</v>
      </c>
      <c r="AA160" s="43">
        <v>2</v>
      </c>
      <c r="AB160" s="54">
        <v>0</v>
      </c>
      <c r="AC160" s="55">
        <v>1</v>
      </c>
      <c r="AD160" s="752" t="e">
        <f>_xlfn.XLOOKUP(Table1[[#This Row],[Ruta]],#REF!,#REF!)</f>
        <v>#REF!</v>
      </c>
      <c r="AE160" s="752" t="e">
        <f>_xlfn.XLOOKUP(Table1[[#This Row],[Ruta]],#REF!,#REF!)</f>
        <v>#REF!</v>
      </c>
      <c r="AF160" s="752" t="e">
        <f>_xlfn.XLOOKUP(Table1[[#This Row],[Ruta]],#REF!,#REF!)</f>
        <v>#REF!</v>
      </c>
      <c r="AG160" s="752" t="e">
        <f>_xlfn.XLOOKUP(Table1[[#This Row],[Ruta]],#REF!,#REF!)</f>
        <v>#REF!</v>
      </c>
      <c r="AH160" s="52">
        <v>0.86168100595632036</v>
      </c>
      <c r="AI160" s="52">
        <v>0.13831899404367967</v>
      </c>
      <c r="AJ160" s="55">
        <v>0</v>
      </c>
      <c r="AK160" s="56">
        <v>0</v>
      </c>
      <c r="AL160" s="44">
        <v>11</v>
      </c>
      <c r="AM160" s="54">
        <v>0</v>
      </c>
      <c r="AN160" s="55">
        <v>0.71946747217665497</v>
      </c>
      <c r="AO160" s="56">
        <v>0</v>
      </c>
      <c r="AP160" s="48">
        <v>0</v>
      </c>
      <c r="AQ160" s="55" t="s">
        <v>194</v>
      </c>
      <c r="AR160" s="51">
        <v>1510.6</v>
      </c>
      <c r="AS160" s="49">
        <v>0</v>
      </c>
      <c r="AT160" s="55">
        <v>0</v>
      </c>
      <c r="AU160" s="51">
        <v>0</v>
      </c>
      <c r="AV160" s="52">
        <v>0</v>
      </c>
      <c r="AW160" s="44">
        <v>490</v>
      </c>
      <c r="AX160" s="51">
        <v>137.327272727273</v>
      </c>
      <c r="AY160" s="49">
        <v>222.22925855150001</v>
      </c>
      <c r="AZ160" s="49">
        <v>84.901985824227012</v>
      </c>
      <c r="BA160" s="42" t="s">
        <v>150</v>
      </c>
      <c r="BB160" s="50">
        <v>328.1347019693099</v>
      </c>
      <c r="BC160" s="57">
        <v>328.1347019693099</v>
      </c>
      <c r="BD160" s="42" t="s">
        <v>152</v>
      </c>
      <c r="BE160" s="46" t="s">
        <v>195</v>
      </c>
      <c r="BF160" s="46" t="s">
        <v>195</v>
      </c>
      <c r="BG160" s="42" t="s">
        <v>195</v>
      </c>
      <c r="BH160" s="52" t="s">
        <v>195</v>
      </c>
      <c r="BI160" s="52" t="s">
        <v>195</v>
      </c>
      <c r="BJ160" s="42" t="s">
        <v>195</v>
      </c>
      <c r="BK160" s="46" t="s">
        <v>195</v>
      </c>
      <c r="BL160" s="46" t="s">
        <v>195</v>
      </c>
      <c r="BM160" s="42" t="s">
        <v>195</v>
      </c>
      <c r="BN160" s="48" t="s">
        <v>195</v>
      </c>
      <c r="BO160" s="42" t="s">
        <v>195</v>
      </c>
      <c r="BP160" s="42" t="s">
        <v>152</v>
      </c>
      <c r="BQ160" s="46">
        <v>0</v>
      </c>
      <c r="BR160" s="46" t="e">
        <v>#N/A</v>
      </c>
      <c r="BS160" s="46" t="e">
        <v>#N/A</v>
      </c>
      <c r="BT160" s="46" t="e">
        <v>#N/A</v>
      </c>
      <c r="BU160" s="46" t="e">
        <v>#N/A</v>
      </c>
      <c r="BV160" s="46" t="e">
        <v>#N/A</v>
      </c>
      <c r="BW160" s="46" t="e">
        <v>#N/A</v>
      </c>
      <c r="BX160" s="46" t="e">
        <v>#N/A</v>
      </c>
      <c r="BY160" s="46" t="e">
        <v>#N/A</v>
      </c>
      <c r="BZ160" s="46" t="e">
        <v>#N/A</v>
      </c>
      <c r="CA160" s="46" t="e">
        <v>#N/A</v>
      </c>
      <c r="CB160" s="46" t="e">
        <v>#N/A</v>
      </c>
      <c r="CC160" s="46" t="e">
        <v>#N/A</v>
      </c>
      <c r="CD160" s="46" t="e">
        <v>#N/A</v>
      </c>
      <c r="CE160" s="46" t="e">
        <v>#N/A</v>
      </c>
      <c r="CF160" s="46" t="e">
        <v>#N/A</v>
      </c>
      <c r="CG160" s="46" t="e">
        <v>#N/A</v>
      </c>
      <c r="CH160" s="46" t="e">
        <v>#N/A</v>
      </c>
      <c r="CI160" s="46" t="e">
        <v>#N/A</v>
      </c>
      <c r="CJ160" s="46" t="e">
        <v>#N/A</v>
      </c>
      <c r="CM160">
        <f t="shared" si="21"/>
        <v>0</v>
      </c>
      <c r="CP160">
        <f t="shared" si="22"/>
        <v>0</v>
      </c>
      <c r="CS160">
        <f t="shared" si="23"/>
        <v>0</v>
      </c>
      <c r="CW160" s="46"/>
      <c r="CX160" s="46" t="e">
        <f t="shared" si="17"/>
        <v>#N/A</v>
      </c>
      <c r="CY160" s="46"/>
      <c r="CZ160" s="46" t="e">
        <f t="shared" si="18"/>
        <v>#N/A</v>
      </c>
      <c r="DA160" s="46" t="e">
        <f t="shared" si="19"/>
        <v>#N/A</v>
      </c>
      <c r="DB160" s="46"/>
      <c r="DC160" s="46" t="e">
        <f t="shared" si="20"/>
        <v>#N/A</v>
      </c>
      <c r="DD160" s="46"/>
      <c r="DE160" s="995" t="s">
        <v>194</v>
      </c>
      <c r="DF160" s="995" t="s">
        <v>194</v>
      </c>
      <c r="DG160" s="995" t="s">
        <v>194</v>
      </c>
      <c r="DH160" s="995" t="s">
        <v>194</v>
      </c>
      <c r="DI160" s="995" t="s">
        <v>194</v>
      </c>
      <c r="DJ160" s="995" t="s">
        <v>194</v>
      </c>
      <c r="DK160" s="995" t="s">
        <v>194</v>
      </c>
      <c r="DL160" s="995" t="s">
        <v>194</v>
      </c>
      <c r="DM160" s="995" t="s">
        <v>194</v>
      </c>
      <c r="DN160" s="995" t="s">
        <v>194</v>
      </c>
      <c r="DO160" s="995" t="s">
        <v>194</v>
      </c>
      <c r="DP160" s="995" t="s">
        <v>194</v>
      </c>
      <c r="DQ160" s="995" t="s">
        <v>194</v>
      </c>
      <c r="DR160" s="995" t="s">
        <v>194</v>
      </c>
      <c r="DS160" s="995" t="s">
        <v>194</v>
      </c>
      <c r="DT160" s="995" t="s">
        <v>194</v>
      </c>
    </row>
    <row r="161" spans="1:124">
      <c r="A161" s="42" t="s">
        <v>93</v>
      </c>
      <c r="B161" s="42" t="s">
        <v>327</v>
      </c>
      <c r="C161" s="42" t="s">
        <v>328</v>
      </c>
      <c r="D161" s="42">
        <v>931417</v>
      </c>
      <c r="E161" s="42" t="s">
        <v>344</v>
      </c>
      <c r="F161" s="42" t="s">
        <v>149</v>
      </c>
      <c r="G161" s="42" t="s">
        <v>150</v>
      </c>
      <c r="H161" s="43" t="s">
        <v>150</v>
      </c>
      <c r="I161" s="44">
        <v>30</v>
      </c>
      <c r="J161" s="45">
        <v>207275.628</v>
      </c>
      <c r="K161" s="46">
        <v>9065.5498459999999</v>
      </c>
      <c r="L161" s="47">
        <v>216341.17784600001</v>
      </c>
      <c r="M161" s="48">
        <v>4212285</v>
      </c>
      <c r="N161" s="49">
        <v>3008408</v>
      </c>
      <c r="O161" s="49">
        <v>1203877</v>
      </c>
      <c r="P161" s="49">
        <v>0</v>
      </c>
      <c r="Q161" s="50">
        <v>9661.1986697247703</v>
      </c>
      <c r="R161" s="51">
        <v>8688.5825669476799</v>
      </c>
      <c r="S161" s="49">
        <v>19152.017921397801</v>
      </c>
      <c r="T161" s="49">
        <v>3894.6408247793702</v>
      </c>
      <c r="U161" s="49">
        <f>IFERROR(INDEX('Rentabilidad datos'!$N$2:$N$61,MATCH($C161,'Rentabilidad datos'!$C$2:$C$61,0)),"")</f>
        <v>31735.24131312489</v>
      </c>
      <c r="V161" s="50">
        <f>IFERROR(INDEX('Rentabilidad datos'!$O$2:$O$61,MATCH($C161,'Rentabilidad datos'!$C$2:$C$61,0)),"")</f>
        <v>1133.4014754687462</v>
      </c>
      <c r="W161" s="51">
        <f>IFERROR(INDEX('Rentabilidad datos'!$M$2:$M$61,MATCH($C161,'Rentabilidad datos'!$C$2:$C$61,0)),"")</f>
        <v>2998.2139778064675</v>
      </c>
      <c r="X161" s="52">
        <f>IFERROR(INDEX('Rentabilidad datos'!$P$2:$P$61,MATCH($C161,'Rentabilidad datos'!$C$2:$C$61,0)),"")</f>
        <v>0.3780255458277722</v>
      </c>
      <c r="Y161" s="43" t="s">
        <v>171</v>
      </c>
      <c r="Z161" s="53">
        <v>93.433486238532097</v>
      </c>
      <c r="AA161" s="43">
        <v>2</v>
      </c>
      <c r="AB161" s="54">
        <v>0.986916364870848</v>
      </c>
      <c r="AC161" s="55">
        <v>1.3083635129151993E-2</v>
      </c>
      <c r="AD161" s="752" t="e">
        <f>_xlfn.XLOOKUP(Table1[[#This Row],[Ruta]],#REF!,#REF!)</f>
        <v>#REF!</v>
      </c>
      <c r="AE161" s="752" t="e">
        <f>_xlfn.XLOOKUP(Table1[[#This Row],[Ruta]],#REF!,#REF!)</f>
        <v>#REF!</v>
      </c>
      <c r="AF161" s="752" t="e">
        <f>_xlfn.XLOOKUP(Table1[[#This Row],[Ruta]],#REF!,#REF!)</f>
        <v>#REF!</v>
      </c>
      <c r="AG161" s="752" t="e">
        <f>_xlfn.XLOOKUP(Table1[[#This Row],[Ruta]],#REF!,#REF!)</f>
        <v>#REF!</v>
      </c>
      <c r="AH161" s="52">
        <v>0.71419858817720072</v>
      </c>
      <c r="AI161" s="52">
        <v>0.28580141182279928</v>
      </c>
      <c r="AJ161" s="55">
        <v>0</v>
      </c>
      <c r="AK161" s="56">
        <v>40737</v>
      </c>
      <c r="AL161" s="44">
        <v>20974</v>
      </c>
      <c r="AM161" s="54">
        <v>0.51486363747944097</v>
      </c>
      <c r="AN161" s="55">
        <v>0.71946747217665497</v>
      </c>
      <c r="AO161" s="56">
        <v>8334.9464140603995</v>
      </c>
      <c r="AP161" s="48">
        <v>4167.4732070301998</v>
      </c>
      <c r="AQ161" s="55">
        <v>0.61716555482804814</v>
      </c>
      <c r="AR161" s="51">
        <v>4212282.62</v>
      </c>
      <c r="AS161" s="49">
        <v>836968.38749351504</v>
      </c>
      <c r="AT161" s="55">
        <v>0.19869711104368279</v>
      </c>
      <c r="AU161" s="51">
        <v>588139.94796841615</v>
      </c>
      <c r="AV161" s="52">
        <v>2.6755042805310658E-3</v>
      </c>
      <c r="AW161" s="44">
        <v>120</v>
      </c>
      <c r="AX161" s="51">
        <v>200.83353771335899</v>
      </c>
      <c r="AY161" s="49">
        <v>222.22925855150001</v>
      </c>
      <c r="AZ161" s="49">
        <v>21.395720838141017</v>
      </c>
      <c r="BA161" s="42" t="s">
        <v>150</v>
      </c>
      <c r="BB161" s="50">
        <v>157670.27122078941</v>
      </c>
      <c r="BC161" s="57">
        <v>745810.21918920556</v>
      </c>
      <c r="BD161" s="42" t="s">
        <v>150</v>
      </c>
      <c r="BE161" s="46">
        <v>93.433486238532097</v>
      </c>
      <c r="BF161" s="46">
        <v>75.178899082568805</v>
      </c>
      <c r="BG161" s="42" t="s">
        <v>150</v>
      </c>
      <c r="BH161" s="52">
        <v>0.51486363747944097</v>
      </c>
      <c r="BI161" s="52">
        <v>0.68279353391244302</v>
      </c>
      <c r="BJ161" s="42" t="s">
        <v>152</v>
      </c>
      <c r="BK161" s="46">
        <v>496.19536203210902</v>
      </c>
      <c r="BL161" s="46">
        <v>577.22407290825595</v>
      </c>
      <c r="BM161" s="42" t="s">
        <v>152</v>
      </c>
      <c r="BN161" s="48">
        <v>1</v>
      </c>
      <c r="BO161" s="42" t="s">
        <v>155</v>
      </c>
      <c r="BP161" s="42" t="s">
        <v>152</v>
      </c>
      <c r="BQ161" s="46">
        <v>5241.7178513179197</v>
      </c>
      <c r="BR161" s="46">
        <v>258</v>
      </c>
      <c r="BS161" s="46">
        <v>14753</v>
      </c>
      <c r="BT161" s="46">
        <v>4624</v>
      </c>
      <c r="BU161" s="46">
        <v>3.1905276816608996</v>
      </c>
      <c r="BV161" s="46">
        <v>17.922480620155039</v>
      </c>
      <c r="BW161" s="46">
        <v>1640</v>
      </c>
      <c r="BX161" s="46">
        <v>1800</v>
      </c>
      <c r="BY161" s="46">
        <v>3440</v>
      </c>
      <c r="BZ161" s="46">
        <v>0.74394463667820065</v>
      </c>
      <c r="CA161" s="46">
        <v>0.3546712802768166</v>
      </c>
      <c r="CB161" s="46">
        <v>0.38927335640138411</v>
      </c>
      <c r="CC161" s="46">
        <v>0</v>
      </c>
      <c r="CD161" s="46">
        <v>0</v>
      </c>
      <c r="CE161" s="46">
        <v>0</v>
      </c>
      <c r="CF161" s="46">
        <v>0.25605536332179929</v>
      </c>
      <c r="CG161" s="46">
        <v>0</v>
      </c>
      <c r="CH161" s="46">
        <v>0</v>
      </c>
      <c r="CI161" s="46">
        <v>3.18579272012472</v>
      </c>
      <c r="CJ161" s="46">
        <v>0.33891411916220432</v>
      </c>
      <c r="CK161">
        <v>394</v>
      </c>
      <c r="CL161">
        <v>686.88</v>
      </c>
      <c r="CM161">
        <f t="shared" si="21"/>
        <v>292.88</v>
      </c>
      <c r="CN161">
        <v>7.99</v>
      </c>
      <c r="CO161">
        <v>9.4499999999999993</v>
      </c>
      <c r="CP161">
        <f t="shared" si="22"/>
        <v>1.4599999999999991</v>
      </c>
      <c r="CQ161">
        <v>814.39</v>
      </c>
      <c r="CR161">
        <v>496.2</v>
      </c>
      <c r="CS161">
        <f t="shared" si="23"/>
        <v>318.19</v>
      </c>
      <c r="CT161" t="s">
        <v>152</v>
      </c>
      <c r="CU161">
        <v>87.43</v>
      </c>
      <c r="CV161">
        <v>340</v>
      </c>
      <c r="CW161" s="46">
        <v>3440</v>
      </c>
      <c r="CX161" s="46">
        <f t="shared" si="17"/>
        <v>68.060553633217992</v>
      </c>
      <c r="CY161" s="46">
        <v>292.88</v>
      </c>
      <c r="CZ161" s="46">
        <f t="shared" si="18"/>
        <v>74.394463667820062</v>
      </c>
      <c r="DA161" s="46">
        <f t="shared" si="19"/>
        <v>681.70860789769119</v>
      </c>
      <c r="DB161" s="46">
        <v>3351879.42</v>
      </c>
      <c r="DC161" s="46">
        <f t="shared" si="20"/>
        <v>34.115583459429558</v>
      </c>
      <c r="DD161" s="46">
        <v>167742.23000000001</v>
      </c>
      <c r="DE161" s="995">
        <v>3440</v>
      </c>
      <c r="DF161" s="995">
        <v>68.007000000000005</v>
      </c>
      <c r="DG161" s="995">
        <v>295.39999999999998</v>
      </c>
      <c r="DH161" s="995">
        <v>74.394000000000005</v>
      </c>
      <c r="DI161" s="995">
        <v>1237.4960000000001</v>
      </c>
      <c r="DJ161" s="995">
        <v>6087707</v>
      </c>
      <c r="DK161" s="995">
        <v>61.896999999999998</v>
      </c>
      <c r="DL161" s="995">
        <v>304492.90000000002</v>
      </c>
      <c r="DM161" s="995">
        <v>3440</v>
      </c>
      <c r="DN161" s="995">
        <v>68.016000000000005</v>
      </c>
      <c r="DO161" s="995">
        <v>294.89999999999998</v>
      </c>
      <c r="DP161" s="995">
        <v>74.394000000000005</v>
      </c>
      <c r="DQ161" s="995">
        <v>1236.954</v>
      </c>
      <c r="DR161" s="995">
        <v>6084495</v>
      </c>
      <c r="DS161" s="995">
        <v>61.869</v>
      </c>
      <c r="DT161" s="995">
        <v>304330</v>
      </c>
    </row>
    <row r="162" spans="1:124">
      <c r="A162" s="42" t="s">
        <v>93</v>
      </c>
      <c r="B162" s="42" t="s">
        <v>327</v>
      </c>
      <c r="C162" s="42" t="s">
        <v>328</v>
      </c>
      <c r="D162" s="42">
        <v>931418</v>
      </c>
      <c r="E162" s="42" t="s">
        <v>345</v>
      </c>
      <c r="F162" s="42" t="s">
        <v>149</v>
      </c>
      <c r="G162" s="42" t="s">
        <v>150</v>
      </c>
      <c r="H162" s="43" t="s">
        <v>150</v>
      </c>
      <c r="I162" s="44">
        <v>30</v>
      </c>
      <c r="J162" s="45">
        <v>211520.12</v>
      </c>
      <c r="K162" s="46">
        <v>9165.4827139999998</v>
      </c>
      <c r="L162" s="47">
        <v>220685.60271400001</v>
      </c>
      <c r="M162" s="48">
        <v>4176155</v>
      </c>
      <c r="N162" s="49">
        <v>3126159</v>
      </c>
      <c r="O162" s="49">
        <v>1049996</v>
      </c>
      <c r="P162" s="49">
        <v>0</v>
      </c>
      <c r="Q162" s="50">
        <v>9198.03722477064</v>
      </c>
      <c r="R162" s="51">
        <v>8688.5825669476799</v>
      </c>
      <c r="S162" s="49">
        <v>19152.017921397801</v>
      </c>
      <c r="T162" s="49">
        <v>3894.6408247793702</v>
      </c>
      <c r="U162" s="49">
        <f>IFERROR(INDEX('Rentabilidad datos'!$N$2:$N$61,MATCH($C162,'Rentabilidad datos'!$C$2:$C$61,0)),"")</f>
        <v>31735.24131312489</v>
      </c>
      <c r="V162" s="50">
        <f>IFERROR(INDEX('Rentabilidad datos'!$O$2:$O$61,MATCH($C162,'Rentabilidad datos'!$C$2:$C$61,0)),"")</f>
        <v>1133.4014754687462</v>
      </c>
      <c r="W162" s="51">
        <f>IFERROR(INDEX('Rentabilidad datos'!$M$2:$M$61,MATCH($C162,'Rentabilidad datos'!$C$2:$C$61,0)),"")</f>
        <v>2998.2139778064675</v>
      </c>
      <c r="X162" s="52">
        <f>IFERROR(INDEX('Rentabilidad datos'!$P$2:$P$61,MATCH($C162,'Rentabilidad datos'!$C$2:$C$61,0)),"")</f>
        <v>0.3780255458277722</v>
      </c>
      <c r="Y162" s="43" t="s">
        <v>171</v>
      </c>
      <c r="Z162" s="53">
        <v>94.233944954128503</v>
      </c>
      <c r="AA162" s="43">
        <v>2</v>
      </c>
      <c r="AB162" s="54">
        <v>0.99311926880108614</v>
      </c>
      <c r="AC162" s="55">
        <v>6.8807311989138335E-3</v>
      </c>
      <c r="AD162" s="752" t="e">
        <f>_xlfn.XLOOKUP(Table1[[#This Row],[Ruta]],#REF!,#REF!)</f>
        <v>#REF!</v>
      </c>
      <c r="AE162" s="752" t="e">
        <f>_xlfn.XLOOKUP(Table1[[#This Row],[Ruta]],#REF!,#REF!)</f>
        <v>#REF!</v>
      </c>
      <c r="AF162" s="752" t="e">
        <f>_xlfn.XLOOKUP(Table1[[#This Row],[Ruta]],#REF!,#REF!)</f>
        <v>#REF!</v>
      </c>
      <c r="AG162" s="752" t="e">
        <f>_xlfn.XLOOKUP(Table1[[#This Row],[Ruta]],#REF!,#REF!)</f>
        <v>#REF!</v>
      </c>
      <c r="AH162" s="52">
        <v>0.74857350840665637</v>
      </c>
      <c r="AI162" s="52">
        <v>0.25142649159334363</v>
      </c>
      <c r="AJ162" s="55">
        <v>0</v>
      </c>
      <c r="AK162" s="56">
        <v>41086</v>
      </c>
      <c r="AL162" s="44">
        <v>25847</v>
      </c>
      <c r="AM162" s="54">
        <v>0.62909506887990996</v>
      </c>
      <c r="AN162" s="55">
        <v>0.71946747217665497</v>
      </c>
      <c r="AO162" s="56">
        <v>3713.0405618500499</v>
      </c>
      <c r="AP162" s="48">
        <v>1856.520280925025</v>
      </c>
      <c r="AQ162" s="55">
        <v>0.67428127052828279</v>
      </c>
      <c r="AR162" s="51">
        <v>4010344.23</v>
      </c>
      <c r="AS162" s="49">
        <v>288052.20708343951</v>
      </c>
      <c r="AT162" s="55">
        <v>7.1827302237204585E-2</v>
      </c>
      <c r="AU162" s="51">
        <v>202415.06443701164</v>
      </c>
      <c r="AV162" s="52">
        <v>9.208052831913378E-4</v>
      </c>
      <c r="AW162" s="44">
        <v>310</v>
      </c>
      <c r="AX162" s="51">
        <v>155.15704840020101</v>
      </c>
      <c r="AY162" s="49">
        <v>222.22925855150001</v>
      </c>
      <c r="AZ162" s="49">
        <v>67.072210151299004</v>
      </c>
      <c r="BA162" s="42" t="s">
        <v>150</v>
      </c>
      <c r="BB162" s="50">
        <v>609108.11905805778</v>
      </c>
      <c r="BC162" s="57">
        <v>811523.18349506939</v>
      </c>
      <c r="BD162" s="42" t="s">
        <v>150</v>
      </c>
      <c r="BE162" s="46">
        <v>94.233944954128503</v>
      </c>
      <c r="BF162" s="46">
        <v>75.178899082568805</v>
      </c>
      <c r="BG162" s="42" t="s">
        <v>150</v>
      </c>
      <c r="BH162" s="52">
        <v>0.62909506887990996</v>
      </c>
      <c r="BI162" s="52">
        <v>0.68279353391244302</v>
      </c>
      <c r="BJ162" s="42" t="s">
        <v>152</v>
      </c>
      <c r="BK162" s="46">
        <v>506.159639252293</v>
      </c>
      <c r="BL162" s="46">
        <v>577.22407290825595</v>
      </c>
      <c r="BM162" s="42" t="s">
        <v>152</v>
      </c>
      <c r="BN162" s="48">
        <v>1</v>
      </c>
      <c r="BO162" s="42" t="s">
        <v>155</v>
      </c>
      <c r="BP162" s="42" t="s">
        <v>152</v>
      </c>
      <c r="BQ162" s="46">
        <v>199.477366580861</v>
      </c>
      <c r="BR162" s="46">
        <v>307</v>
      </c>
      <c r="BS162" s="46">
        <v>25109</v>
      </c>
      <c r="BT162" s="46">
        <v>7427</v>
      </c>
      <c r="BU162" s="46">
        <v>3.3807728557964185</v>
      </c>
      <c r="BV162" s="46">
        <v>24.192182410423452</v>
      </c>
      <c r="BW162" s="46">
        <v>0</v>
      </c>
      <c r="BX162" s="46">
        <v>4092</v>
      </c>
      <c r="BY162" s="46">
        <v>4092</v>
      </c>
      <c r="BZ162" s="46">
        <v>0.55096270364884881</v>
      </c>
      <c r="CA162" s="46">
        <v>0</v>
      </c>
      <c r="CB162" s="46">
        <v>0.55096270364884881</v>
      </c>
      <c r="CC162" s="46">
        <v>9.950181769220412E-2</v>
      </c>
      <c r="CD162" s="46">
        <v>0.28261747677393301</v>
      </c>
      <c r="CE162" s="46">
        <v>0</v>
      </c>
      <c r="CF162" s="46">
        <v>6.6918001885014136E-2</v>
      </c>
      <c r="CG162" s="46">
        <v>0</v>
      </c>
      <c r="CH162" s="46">
        <v>0</v>
      </c>
      <c r="CI162" s="46">
        <v>3.4250667091481146</v>
      </c>
      <c r="CJ162" s="46">
        <v>0.39826357083117597</v>
      </c>
      <c r="CK162">
        <v>398</v>
      </c>
      <c r="CL162">
        <v>799.22</v>
      </c>
      <c r="CM162">
        <f t="shared" si="21"/>
        <v>401.22</v>
      </c>
      <c r="CN162">
        <v>4.75</v>
      </c>
      <c r="CO162">
        <v>9.4499999999999993</v>
      </c>
      <c r="CP162">
        <f t="shared" si="22"/>
        <v>4.6999999999999993</v>
      </c>
      <c r="CQ162">
        <v>814.39</v>
      </c>
      <c r="CR162">
        <v>506.16</v>
      </c>
      <c r="CS162">
        <f t="shared" si="23"/>
        <v>308.22999999999996</v>
      </c>
      <c r="CT162" t="s">
        <v>152</v>
      </c>
      <c r="CU162">
        <v>62.15</v>
      </c>
      <c r="CV162">
        <v>285</v>
      </c>
      <c r="CW162" s="46">
        <v>4092</v>
      </c>
      <c r="CX162" s="46">
        <f t="shared" si="17"/>
        <v>49.694089134239931</v>
      </c>
      <c r="CY162" s="46">
        <v>401.22</v>
      </c>
      <c r="CZ162" s="46">
        <f t="shared" si="18"/>
        <v>55.09627036488488</v>
      </c>
      <c r="DA162" s="46">
        <f t="shared" si="19"/>
        <v>515.52891461915988</v>
      </c>
      <c r="DB162" s="46">
        <v>4035673.76</v>
      </c>
      <c r="DC162" s="46">
        <f t="shared" si="20"/>
        <v>26.173349752561883</v>
      </c>
      <c r="DD162" s="46">
        <v>204890.74</v>
      </c>
      <c r="DE162" s="995">
        <v>4092</v>
      </c>
      <c r="DF162" s="995">
        <v>49.981999999999999</v>
      </c>
      <c r="DG162" s="995">
        <v>379.8</v>
      </c>
      <c r="DH162" s="995">
        <v>55.095999999999997</v>
      </c>
      <c r="DI162" s="995">
        <v>869.053</v>
      </c>
      <c r="DJ162" s="995">
        <v>6784537</v>
      </c>
      <c r="DK162" s="995">
        <v>44.546999999999997</v>
      </c>
      <c r="DL162" s="995">
        <v>347767.2</v>
      </c>
      <c r="DM162" s="995">
        <v>4092</v>
      </c>
      <c r="DN162" s="995">
        <v>50.207999999999998</v>
      </c>
      <c r="DO162" s="995">
        <v>363.1</v>
      </c>
      <c r="DP162" s="995">
        <v>55.095999999999997</v>
      </c>
      <c r="DQ162" s="995">
        <v>853.851</v>
      </c>
      <c r="DR162" s="995">
        <v>6651545</v>
      </c>
      <c r="DS162" s="995">
        <v>43.81</v>
      </c>
      <c r="DT162" s="995">
        <v>341279.6</v>
      </c>
    </row>
    <row r="163" spans="1:124">
      <c r="A163" s="42" t="s">
        <v>93</v>
      </c>
      <c r="B163" s="42" t="s">
        <v>327</v>
      </c>
      <c r="C163" s="42" t="s">
        <v>328</v>
      </c>
      <c r="D163" s="42">
        <v>931419</v>
      </c>
      <c r="E163" s="42" t="s">
        <v>346</v>
      </c>
      <c r="F163" s="42" t="s">
        <v>149</v>
      </c>
      <c r="G163" s="42" t="s">
        <v>150</v>
      </c>
      <c r="H163" s="43" t="s">
        <v>150</v>
      </c>
      <c r="I163" s="44">
        <v>30</v>
      </c>
      <c r="J163" s="45">
        <v>223563.20559999999</v>
      </c>
      <c r="K163" s="46">
        <v>8230.5671480000001</v>
      </c>
      <c r="L163" s="47">
        <v>231793.77274799999</v>
      </c>
      <c r="M163" s="48">
        <v>4081990</v>
      </c>
      <c r="N163" s="49">
        <v>3200984</v>
      </c>
      <c r="O163" s="49">
        <v>881006</v>
      </c>
      <c r="P163" s="49">
        <v>0</v>
      </c>
      <c r="Q163" s="50">
        <v>9362.3590825688098</v>
      </c>
      <c r="R163" s="51">
        <v>8688.5825669476799</v>
      </c>
      <c r="S163" s="49">
        <v>19152.017921397801</v>
      </c>
      <c r="T163" s="49">
        <v>3894.6408247793702</v>
      </c>
      <c r="U163" s="49">
        <f>IFERROR(INDEX('Rentabilidad datos'!$N$2:$N$61,MATCH($C163,'Rentabilidad datos'!$C$2:$C$61,0)),"")</f>
        <v>31735.24131312489</v>
      </c>
      <c r="V163" s="50">
        <f>IFERROR(INDEX('Rentabilidad datos'!$O$2:$O$61,MATCH($C163,'Rentabilidad datos'!$C$2:$C$61,0)),"")</f>
        <v>1133.4014754687462</v>
      </c>
      <c r="W163" s="51">
        <f>IFERROR(INDEX('Rentabilidad datos'!$M$2:$M$61,MATCH($C163,'Rentabilidad datos'!$C$2:$C$61,0)),"")</f>
        <v>2998.2139778064675</v>
      </c>
      <c r="X163" s="52">
        <f>IFERROR(INDEX('Rentabilidad datos'!$P$2:$P$61,MATCH($C163,'Rentabilidad datos'!$C$2:$C$61,0)),"")</f>
        <v>0.3780255458277722</v>
      </c>
      <c r="Y163" s="43" t="s">
        <v>171</v>
      </c>
      <c r="Z163" s="53">
        <v>86.181192660550494</v>
      </c>
      <c r="AA163" s="43">
        <v>2</v>
      </c>
      <c r="AB163" s="54">
        <v>0.96261872273082494</v>
      </c>
      <c r="AC163" s="55">
        <v>3.7381277269175082E-2</v>
      </c>
      <c r="AD163" s="752" t="e">
        <f>_xlfn.XLOOKUP(Table1[[#This Row],[Ruta]],#REF!,#REF!)</f>
        <v>#REF!</v>
      </c>
      <c r="AE163" s="752" t="e">
        <f>_xlfn.XLOOKUP(Table1[[#This Row],[Ruta]],#REF!,#REF!)</f>
        <v>#REF!</v>
      </c>
      <c r="AF163" s="752" t="e">
        <f>_xlfn.XLOOKUP(Table1[[#This Row],[Ruta]],#REF!,#REF!)</f>
        <v>#REF!</v>
      </c>
      <c r="AG163" s="752" t="e">
        <f>_xlfn.XLOOKUP(Table1[[#This Row],[Ruta]],#REF!,#REF!)</f>
        <v>#REF!</v>
      </c>
      <c r="AH163" s="52">
        <v>0.78417242570412959</v>
      </c>
      <c r="AI163" s="52">
        <v>0.21582757429587041</v>
      </c>
      <c r="AJ163" s="55">
        <v>0</v>
      </c>
      <c r="AK163" s="56">
        <v>37575</v>
      </c>
      <c r="AL163" s="44">
        <v>21141</v>
      </c>
      <c r="AM163" s="54">
        <v>0.56263473053892199</v>
      </c>
      <c r="AN163" s="55">
        <v>0.71946747217665497</v>
      </c>
      <c r="AO163" s="56">
        <v>5892.9902670378096</v>
      </c>
      <c r="AP163" s="48">
        <v>2946.4951335189048</v>
      </c>
      <c r="AQ163" s="55">
        <v>0.64105110135778853</v>
      </c>
      <c r="AR163" s="51">
        <v>4081988.56</v>
      </c>
      <c r="AS163" s="49">
        <v>568921.02677829005</v>
      </c>
      <c r="AT163" s="55">
        <v>0.13937349858185052</v>
      </c>
      <c r="AU163" s="51">
        <v>399782.34314150125</v>
      </c>
      <c r="AV163" s="52">
        <v>1.8186477114002565E-3</v>
      </c>
      <c r="AW163" s="44">
        <v>190</v>
      </c>
      <c r="AX163" s="51">
        <v>193.08398656638801</v>
      </c>
      <c r="AY163" s="49">
        <v>222.22925855150001</v>
      </c>
      <c r="AZ163" s="49">
        <v>29.145271985112004</v>
      </c>
      <c r="BA163" s="42" t="s">
        <v>150</v>
      </c>
      <c r="BB163" s="50">
        <v>216488.71717525108</v>
      </c>
      <c r="BC163" s="57">
        <v>616271.06031675229</v>
      </c>
      <c r="BD163" s="42" t="s">
        <v>150</v>
      </c>
      <c r="BE163" s="46">
        <v>86.181192660550494</v>
      </c>
      <c r="BF163" s="46">
        <v>75.178899082568805</v>
      </c>
      <c r="BG163" s="42" t="s">
        <v>150</v>
      </c>
      <c r="BH163" s="52">
        <v>0.56263473053892199</v>
      </c>
      <c r="BI163" s="52">
        <v>0.68279353391244302</v>
      </c>
      <c r="BJ163" s="42" t="s">
        <v>152</v>
      </c>
      <c r="BK163" s="46">
        <v>531.63709345871496</v>
      </c>
      <c r="BL163" s="46">
        <v>577.22407290825595</v>
      </c>
      <c r="BM163" s="42" t="s">
        <v>152</v>
      </c>
      <c r="BN163" s="48">
        <v>1</v>
      </c>
      <c r="BO163" s="42" t="s">
        <v>155</v>
      </c>
      <c r="BP163" s="42" t="s">
        <v>152</v>
      </c>
      <c r="BQ163" s="46">
        <v>4264.7948801974899</v>
      </c>
      <c r="BR163" s="46">
        <v>475</v>
      </c>
      <c r="BS163" s="46">
        <v>37219</v>
      </c>
      <c r="BT163" s="46">
        <v>10480</v>
      </c>
      <c r="BU163" s="46">
        <v>3.5514312977099238</v>
      </c>
      <c r="BV163" s="46">
        <v>22.063157894736843</v>
      </c>
      <c r="BW163" s="46">
        <v>0</v>
      </c>
      <c r="BX163" s="46">
        <v>2378</v>
      </c>
      <c r="BY163" s="46">
        <v>2378</v>
      </c>
      <c r="BZ163" s="46">
        <v>0.22690839694656489</v>
      </c>
      <c r="CA163" s="46">
        <v>0</v>
      </c>
      <c r="CB163" s="46">
        <v>0.22690839694656489</v>
      </c>
      <c r="CC163" s="46">
        <v>0.43368320610687022</v>
      </c>
      <c r="CD163" s="46">
        <v>4.0458015267175573E-2</v>
      </c>
      <c r="CE163" s="46">
        <v>4.3893129770992368E-3</v>
      </c>
      <c r="CF163" s="46">
        <v>0.29446564885496179</v>
      </c>
      <c r="CG163" s="46">
        <v>0</v>
      </c>
      <c r="CH163" s="46">
        <v>9.5419847328244274E-5</v>
      </c>
      <c r="CI163" s="46">
        <v>3.7883876514683359</v>
      </c>
      <c r="CJ163" s="46">
        <v>0.13433998764072111</v>
      </c>
      <c r="CK163">
        <v>377</v>
      </c>
      <c r="CL163">
        <v>518.54999999999995</v>
      </c>
      <c r="CM163">
        <f t="shared" si="21"/>
        <v>141.54999999999995</v>
      </c>
      <c r="CN163">
        <v>10.26</v>
      </c>
      <c r="CO163">
        <v>9.4499999999999993</v>
      </c>
      <c r="CP163">
        <f t="shared" si="22"/>
        <v>-0.8100000000000005</v>
      </c>
      <c r="CQ163">
        <v>814.39</v>
      </c>
      <c r="CR163">
        <v>531.64</v>
      </c>
      <c r="CS163">
        <f t="shared" si="23"/>
        <v>282.75</v>
      </c>
      <c r="CT163" t="s">
        <v>150</v>
      </c>
      <c r="CU163">
        <v>114.57</v>
      </c>
      <c r="CV163">
        <v>95</v>
      </c>
      <c r="CW163" s="46">
        <v>2378</v>
      </c>
      <c r="CX163" s="46">
        <f t="shared" si="17"/>
        <v>21.340171755725191</v>
      </c>
      <c r="CY163" s="46">
        <v>141.55000000000001</v>
      </c>
      <c r="CZ163" s="46">
        <f t="shared" si="18"/>
        <v>22.690839694656489</v>
      </c>
      <c r="DA163" s="46">
        <f t="shared" si="19"/>
        <v>106.76685229556892</v>
      </c>
      <c r="DB163" s="46">
        <v>1134029.46</v>
      </c>
      <c r="DC163" s="46">
        <f t="shared" si="20"/>
        <v>5.6171942889691246</v>
      </c>
      <c r="DD163" s="46">
        <v>59663.31</v>
      </c>
      <c r="DE163" s="995">
        <v>2378</v>
      </c>
      <c r="DF163" s="995">
        <v>21.376999999999999</v>
      </c>
      <c r="DG163" s="995">
        <v>137.69999999999999</v>
      </c>
      <c r="DH163" s="995">
        <v>22.690999999999999</v>
      </c>
      <c r="DI163" s="995">
        <v>359.32499999999999</v>
      </c>
      <c r="DJ163" s="995">
        <v>3815188</v>
      </c>
      <c r="DK163" s="995">
        <v>19.228000000000002</v>
      </c>
      <c r="DL163" s="995">
        <v>204156.79999999999</v>
      </c>
      <c r="DM163" s="995">
        <v>2378</v>
      </c>
      <c r="DN163" s="995">
        <v>21.489000000000001</v>
      </c>
      <c r="DO163" s="995">
        <v>126</v>
      </c>
      <c r="DP163" s="995">
        <v>22.690999999999999</v>
      </c>
      <c r="DQ163" s="995">
        <v>351.71800000000002</v>
      </c>
      <c r="DR163" s="995">
        <v>3730310</v>
      </c>
      <c r="DS163" s="995">
        <v>18.841999999999999</v>
      </c>
      <c r="DT163" s="995">
        <v>199833.60000000001</v>
      </c>
    </row>
    <row r="164" spans="1:124">
      <c r="A164" s="42" t="s">
        <v>93</v>
      </c>
      <c r="B164" s="42" t="s">
        <v>327</v>
      </c>
      <c r="C164" s="42" t="s">
        <v>328</v>
      </c>
      <c r="D164" s="42">
        <v>931420</v>
      </c>
      <c r="E164" s="42" t="s">
        <v>347</v>
      </c>
      <c r="F164" s="42" t="s">
        <v>149</v>
      </c>
      <c r="G164" s="42" t="s">
        <v>150</v>
      </c>
      <c r="H164" s="43" t="s">
        <v>150</v>
      </c>
      <c r="I164" s="44">
        <v>30</v>
      </c>
      <c r="J164" s="45">
        <v>195376.9608</v>
      </c>
      <c r="K164" s="46">
        <v>7963.7339140000004</v>
      </c>
      <c r="L164" s="47">
        <v>203340.69471399899</v>
      </c>
      <c r="M164" s="48">
        <v>3921435</v>
      </c>
      <c r="N164" s="49">
        <v>2753479</v>
      </c>
      <c r="O164" s="49">
        <v>1167956</v>
      </c>
      <c r="P164" s="49">
        <v>0</v>
      </c>
      <c r="Q164" s="50">
        <v>8994.1218119266105</v>
      </c>
      <c r="R164" s="51">
        <v>8688.5825669476799</v>
      </c>
      <c r="S164" s="49">
        <v>19152.017921397801</v>
      </c>
      <c r="T164" s="49">
        <v>3894.6408247793702</v>
      </c>
      <c r="U164" s="49">
        <f>IFERROR(INDEX('Rentabilidad datos'!$N$2:$N$61,MATCH($C164,'Rentabilidad datos'!$C$2:$C$61,0)),"")</f>
        <v>31735.24131312489</v>
      </c>
      <c r="V164" s="50">
        <f>IFERROR(INDEX('Rentabilidad datos'!$O$2:$O$61,MATCH($C164,'Rentabilidad datos'!$C$2:$C$61,0)),"")</f>
        <v>1133.4014754687462</v>
      </c>
      <c r="W164" s="51">
        <f>IFERROR(INDEX('Rentabilidad datos'!$M$2:$M$61,MATCH($C164,'Rentabilidad datos'!$C$2:$C$61,0)),"")</f>
        <v>2998.2139778064675</v>
      </c>
      <c r="X164" s="52">
        <f>IFERROR(INDEX('Rentabilidad datos'!$P$2:$P$61,MATCH($C164,'Rentabilidad datos'!$C$2:$C$61,0)),"")</f>
        <v>0.3780255458277722</v>
      </c>
      <c r="Y164" s="43" t="s">
        <v>171</v>
      </c>
      <c r="Z164" s="53">
        <v>89.497706422018396</v>
      </c>
      <c r="AA164" s="43">
        <v>2</v>
      </c>
      <c r="AB164" s="54">
        <v>0.9818900479033823</v>
      </c>
      <c r="AC164" s="55">
        <v>1.8109952096617692E-2</v>
      </c>
      <c r="AD164" s="752" t="e">
        <f>_xlfn.XLOOKUP(Table1[[#This Row],[Ruta]],#REF!,#REF!)</f>
        <v>#REF!</v>
      </c>
      <c r="AE164" s="752" t="e">
        <f>_xlfn.XLOOKUP(Table1[[#This Row],[Ruta]],#REF!,#REF!)</f>
        <v>#REF!</v>
      </c>
      <c r="AF164" s="752" t="e">
        <f>_xlfn.XLOOKUP(Table1[[#This Row],[Ruta]],#REF!,#REF!)</f>
        <v>#REF!</v>
      </c>
      <c r="AG164" s="752" t="e">
        <f>_xlfn.XLOOKUP(Table1[[#This Row],[Ruta]],#REF!,#REF!)</f>
        <v>#REF!</v>
      </c>
      <c r="AH164" s="52">
        <v>0.70216107113849902</v>
      </c>
      <c r="AI164" s="52">
        <v>0.29783892886150093</v>
      </c>
      <c r="AJ164" s="55">
        <v>0</v>
      </c>
      <c r="AK164" s="56">
        <v>39021</v>
      </c>
      <c r="AL164" s="44">
        <v>15893</v>
      </c>
      <c r="AM164" s="54">
        <v>0.40729350862356201</v>
      </c>
      <c r="AN164" s="55">
        <v>0.71946747217665497</v>
      </c>
      <c r="AO164" s="56">
        <v>12181.340231805299</v>
      </c>
      <c r="AP164" s="48">
        <v>6090.6701159026497</v>
      </c>
      <c r="AQ164" s="55">
        <v>0.56338049040010885</v>
      </c>
      <c r="AR164" s="51">
        <v>3921437.11</v>
      </c>
      <c r="AS164" s="49">
        <v>1502811.2890749751</v>
      </c>
      <c r="AT164" s="55">
        <v>0.38322973107044805</v>
      </c>
      <c r="AU164" s="51">
        <v>1056029.554485118</v>
      </c>
      <c r="AV164" s="52">
        <v>4.8039783781937146E-3</v>
      </c>
      <c r="AW164" s="44">
        <v>34</v>
      </c>
      <c r="AX164" s="51">
        <v>246.739892405462</v>
      </c>
      <c r="AY164" s="49">
        <v>222.22925855150001</v>
      </c>
      <c r="AZ164" s="49">
        <v>0</v>
      </c>
      <c r="BA164" s="42" t="s">
        <v>152</v>
      </c>
      <c r="BB164" s="50">
        <v>0</v>
      </c>
      <c r="BC164" s="57">
        <v>1056029.554485118</v>
      </c>
      <c r="BD164" s="42" t="s">
        <v>150</v>
      </c>
      <c r="BE164" s="46">
        <v>89.497706422018396</v>
      </c>
      <c r="BF164" s="46">
        <v>75.178899082568805</v>
      </c>
      <c r="BG164" s="42" t="s">
        <v>150</v>
      </c>
      <c r="BH164" s="52">
        <v>0.40729350862356201</v>
      </c>
      <c r="BI164" s="52">
        <v>0.68279353391244302</v>
      </c>
      <c r="BJ164" s="42" t="s">
        <v>152</v>
      </c>
      <c r="BK164" s="46">
        <v>466.37774016972401</v>
      </c>
      <c r="BL164" s="46">
        <v>577.22407290825595</v>
      </c>
      <c r="BM164" s="42" t="s">
        <v>152</v>
      </c>
      <c r="BN164" s="48">
        <v>1</v>
      </c>
      <c r="BO164" s="42" t="s">
        <v>155</v>
      </c>
      <c r="BP164" s="42" t="s">
        <v>152</v>
      </c>
      <c r="BQ164" s="46">
        <v>8056.9742620393499</v>
      </c>
      <c r="BR164" s="46">
        <v>346</v>
      </c>
      <c r="BS164" s="46">
        <v>22994</v>
      </c>
      <c r="BT164" s="46">
        <v>6627</v>
      </c>
      <c r="BU164" s="46">
        <v>3.4697449826467484</v>
      </c>
      <c r="BV164" s="46">
        <v>19.153179190751445</v>
      </c>
      <c r="BW164" s="46">
        <v>718</v>
      </c>
      <c r="BX164" s="46">
        <v>2064</v>
      </c>
      <c r="BY164" s="46">
        <v>2782</v>
      </c>
      <c r="BZ164" s="46">
        <v>0.41979779689150443</v>
      </c>
      <c r="CA164" s="46">
        <v>0.1083446506714954</v>
      </c>
      <c r="CB164" s="46">
        <v>0.31145314622000908</v>
      </c>
      <c r="CC164" s="46">
        <v>0</v>
      </c>
      <c r="CD164" s="46">
        <v>0.26527840651878681</v>
      </c>
      <c r="CE164" s="46">
        <v>0</v>
      </c>
      <c r="CF164" s="46">
        <v>0.31432020522106541</v>
      </c>
      <c r="CG164" s="46">
        <v>6.0359136864342839E-4</v>
      </c>
      <c r="CH164" s="46">
        <v>0</v>
      </c>
      <c r="CI164" s="46">
        <v>3.000782812907715</v>
      </c>
      <c r="CJ164" s="46">
        <v>0.34791684787335819</v>
      </c>
      <c r="CK164">
        <v>333</v>
      </c>
      <c r="CL164">
        <v>749.84</v>
      </c>
      <c r="CM164">
        <f t="shared" si="21"/>
        <v>416.84000000000003</v>
      </c>
      <c r="CN164">
        <v>5.86</v>
      </c>
      <c r="CO164">
        <v>9.4499999999999993</v>
      </c>
      <c r="CP164">
        <f t="shared" si="22"/>
        <v>3.589999999999999</v>
      </c>
      <c r="CQ164">
        <v>814.39</v>
      </c>
      <c r="CR164">
        <v>466.38</v>
      </c>
      <c r="CS164">
        <f t="shared" si="23"/>
        <v>348.01</v>
      </c>
      <c r="CT164" t="s">
        <v>152</v>
      </c>
      <c r="CU164">
        <v>71.2</v>
      </c>
      <c r="CV164">
        <v>287</v>
      </c>
      <c r="CW164" s="46">
        <v>2782</v>
      </c>
      <c r="CX164" s="46">
        <f t="shared" si="17"/>
        <v>35.689754036517272</v>
      </c>
      <c r="CY164" s="46">
        <v>416.84</v>
      </c>
      <c r="CZ164" s="46">
        <f t="shared" si="18"/>
        <v>41.97977968915044</v>
      </c>
      <c r="DA164" s="46">
        <f t="shared" si="19"/>
        <v>566.60980800245318</v>
      </c>
      <c r="DB164" s="46">
        <v>3991108.83</v>
      </c>
      <c r="DC164" s="46">
        <f t="shared" si="20"/>
        <v>27.01251732009813</v>
      </c>
      <c r="DD164" s="46">
        <v>190271.85</v>
      </c>
      <c r="DE164" s="995">
        <v>2782</v>
      </c>
      <c r="DF164" s="995">
        <v>35.837000000000003</v>
      </c>
      <c r="DG164" s="995">
        <v>407.1</v>
      </c>
      <c r="DH164" s="995">
        <v>41.98</v>
      </c>
      <c r="DI164" s="995">
        <v>913.37900000000002</v>
      </c>
      <c r="DJ164" s="995">
        <v>6424779</v>
      </c>
      <c r="DK164" s="995">
        <v>43.093000000000004</v>
      </c>
      <c r="DL164" s="995">
        <v>303118.90000000002</v>
      </c>
      <c r="DM164" s="995">
        <v>2782</v>
      </c>
      <c r="DN164" s="995">
        <v>36.085000000000001</v>
      </c>
      <c r="DO164" s="995">
        <v>390.7</v>
      </c>
      <c r="DP164" s="995">
        <v>41.98</v>
      </c>
      <c r="DQ164" s="995">
        <v>894.84500000000003</v>
      </c>
      <c r="DR164" s="995">
        <v>6279727</v>
      </c>
      <c r="DS164" s="995">
        <v>42.302</v>
      </c>
      <c r="DT164" s="995">
        <v>296864.7</v>
      </c>
    </row>
    <row r="165" spans="1:124">
      <c r="A165" s="42" t="s">
        <v>93</v>
      </c>
      <c r="B165" s="42" t="s">
        <v>327</v>
      </c>
      <c r="C165" s="42" t="s">
        <v>328</v>
      </c>
      <c r="D165" s="42">
        <v>931421</v>
      </c>
      <c r="E165" s="42" t="s">
        <v>348</v>
      </c>
      <c r="F165" s="42" t="s">
        <v>149</v>
      </c>
      <c r="G165" s="42" t="s">
        <v>150</v>
      </c>
      <c r="H165" s="43" t="s">
        <v>150</v>
      </c>
      <c r="I165" s="44">
        <v>30</v>
      </c>
      <c r="J165" s="45">
        <v>190191.98800000001</v>
      </c>
      <c r="K165" s="46">
        <v>10034.140963</v>
      </c>
      <c r="L165" s="47">
        <v>200226.128963</v>
      </c>
      <c r="M165" s="48">
        <v>3994108</v>
      </c>
      <c r="N165" s="49">
        <v>2696795</v>
      </c>
      <c r="O165" s="49">
        <v>1297313</v>
      </c>
      <c r="P165" s="49">
        <v>0</v>
      </c>
      <c r="Q165" s="50">
        <v>9160.7883486238607</v>
      </c>
      <c r="R165" s="51">
        <v>8688.5825669476799</v>
      </c>
      <c r="S165" s="49">
        <v>19152.017921397801</v>
      </c>
      <c r="T165" s="49">
        <v>3894.6408247793702</v>
      </c>
      <c r="U165" s="49">
        <f>IFERROR(INDEX('Rentabilidad datos'!$N$2:$N$61,MATCH($C165,'Rentabilidad datos'!$C$2:$C$61,0)),"")</f>
        <v>31735.24131312489</v>
      </c>
      <c r="V165" s="50">
        <f>IFERROR(INDEX('Rentabilidad datos'!$O$2:$O$61,MATCH($C165,'Rentabilidad datos'!$C$2:$C$61,0)),"")</f>
        <v>1133.4014754687462</v>
      </c>
      <c r="W165" s="51">
        <f>IFERROR(INDEX('Rentabilidad datos'!$M$2:$M$61,MATCH($C165,'Rentabilidad datos'!$C$2:$C$61,0)),"")</f>
        <v>2998.2139778064675</v>
      </c>
      <c r="X165" s="52">
        <f>IFERROR(INDEX('Rentabilidad datos'!$P$2:$P$61,MATCH($C165,'Rentabilidad datos'!$C$2:$C$61,0)),"")</f>
        <v>0.3780255458277722</v>
      </c>
      <c r="Y165" s="43" t="s">
        <v>171</v>
      </c>
      <c r="Z165" s="53">
        <v>69.162844036697294</v>
      </c>
      <c r="AA165" s="43">
        <v>2</v>
      </c>
      <c r="AB165" s="54">
        <v>0.98506975775317041</v>
      </c>
      <c r="AC165" s="55">
        <v>1.4930242246829579E-2</v>
      </c>
      <c r="AD165" s="752" t="e">
        <f>_xlfn.XLOOKUP(Table1[[#This Row],[Ruta]],#REF!,#REF!)</f>
        <v>#REF!</v>
      </c>
      <c r="AE165" s="752" t="e">
        <f>_xlfn.XLOOKUP(Table1[[#This Row],[Ruta]],#REF!,#REF!)</f>
        <v>#REF!</v>
      </c>
      <c r="AF165" s="752" t="e">
        <f>_xlfn.XLOOKUP(Table1[[#This Row],[Ruta]],#REF!,#REF!)</f>
        <v>#REF!</v>
      </c>
      <c r="AG165" s="752" t="e">
        <f>_xlfn.XLOOKUP(Table1[[#This Row],[Ruta]],#REF!,#REF!)</f>
        <v>#REF!</v>
      </c>
      <c r="AH165" s="52">
        <v>0.67519330974525471</v>
      </c>
      <c r="AI165" s="52">
        <v>0.32480669025474523</v>
      </c>
      <c r="AJ165" s="55">
        <v>0</v>
      </c>
      <c r="AK165" s="56">
        <v>30155</v>
      </c>
      <c r="AL165" s="44">
        <v>21290</v>
      </c>
      <c r="AM165" s="54">
        <v>0.70601890233792097</v>
      </c>
      <c r="AN165" s="55">
        <v>0.71946747217665497</v>
      </c>
      <c r="AO165" s="56">
        <v>405.541623487035</v>
      </c>
      <c r="AP165" s="48">
        <v>202.7708117435175</v>
      </c>
      <c r="AQ165" s="55">
        <v>0.71274318725728791</v>
      </c>
      <c r="AR165" s="51">
        <v>3994103.72</v>
      </c>
      <c r="AS165" s="49">
        <v>38040.754039088948</v>
      </c>
      <c r="AT165" s="55">
        <v>9.524227888375654E-3</v>
      </c>
      <c r="AU165" s="51">
        <v>26731.340676116568</v>
      </c>
      <c r="AV165" s="52">
        <v>1.216033983923921E-4</v>
      </c>
      <c r="AW165" s="44">
        <v>453</v>
      </c>
      <c r="AX165" s="51">
        <v>187.60468388915001</v>
      </c>
      <c r="AY165" s="49">
        <v>222.22925855150001</v>
      </c>
      <c r="AZ165" s="49">
        <v>34.62457466235</v>
      </c>
      <c r="BA165" s="42" t="s">
        <v>150</v>
      </c>
      <c r="BB165" s="50">
        <v>259001.17646753008</v>
      </c>
      <c r="BC165" s="57">
        <v>285732.51714364666</v>
      </c>
      <c r="BD165" s="42" t="s">
        <v>150</v>
      </c>
      <c r="BE165" s="46">
        <v>69.162844036697294</v>
      </c>
      <c r="BF165" s="46">
        <v>75.178899082568805</v>
      </c>
      <c r="BG165" s="42" t="s">
        <v>152</v>
      </c>
      <c r="BH165" s="52">
        <v>0.70601890233792097</v>
      </c>
      <c r="BI165" s="52">
        <v>0.68279353391244302</v>
      </c>
      <c r="BJ165" s="42" t="s">
        <v>150</v>
      </c>
      <c r="BK165" s="46">
        <v>459.23424074082499</v>
      </c>
      <c r="BL165" s="46">
        <v>577.22407290825595</v>
      </c>
      <c r="BM165" s="42" t="s">
        <v>152</v>
      </c>
      <c r="BN165" s="48">
        <v>1</v>
      </c>
      <c r="BO165" s="42" t="s">
        <v>155</v>
      </c>
      <c r="BP165" s="42" t="s">
        <v>152</v>
      </c>
      <c r="BQ165" s="46">
        <v>2857.8776787647698</v>
      </c>
      <c r="BR165" s="46">
        <v>245</v>
      </c>
      <c r="BS165" s="46">
        <v>15947</v>
      </c>
      <c r="BT165" s="46">
        <v>4289</v>
      </c>
      <c r="BU165" s="46">
        <v>3.7181161109815806</v>
      </c>
      <c r="BV165" s="46">
        <v>17.506122448979593</v>
      </c>
      <c r="BW165" s="46">
        <v>1791</v>
      </c>
      <c r="BX165" s="46">
        <v>0</v>
      </c>
      <c r="BY165" s="46">
        <v>1791</v>
      </c>
      <c r="BZ165" s="46">
        <v>0.41757985544415949</v>
      </c>
      <c r="CA165" s="46">
        <v>0.41757985544415949</v>
      </c>
      <c r="CB165" s="46">
        <v>0</v>
      </c>
      <c r="CC165" s="46">
        <v>0</v>
      </c>
      <c r="CD165" s="46">
        <v>0</v>
      </c>
      <c r="CE165" s="46">
        <v>0</v>
      </c>
      <c r="CF165" s="46">
        <v>0.58242014455584057</v>
      </c>
      <c r="CG165" s="46">
        <v>0</v>
      </c>
      <c r="CH165" s="46">
        <v>0</v>
      </c>
      <c r="CI165" s="46">
        <v>4.7030789490186242</v>
      </c>
      <c r="CJ165" s="46">
        <v>0.56436947388223491</v>
      </c>
      <c r="CK165">
        <v>379</v>
      </c>
      <c r="CL165">
        <v>611.38</v>
      </c>
      <c r="CM165">
        <f t="shared" si="21"/>
        <v>232.38</v>
      </c>
      <c r="CN165">
        <v>5.19</v>
      </c>
      <c r="CO165">
        <v>9.4499999999999993</v>
      </c>
      <c r="CP165">
        <f t="shared" si="22"/>
        <v>4.2599999999999989</v>
      </c>
      <c r="CQ165">
        <v>814.39</v>
      </c>
      <c r="CR165">
        <v>459.23</v>
      </c>
      <c r="CS165">
        <f t="shared" si="23"/>
        <v>355.15999999999997</v>
      </c>
      <c r="CT165" t="s">
        <v>152</v>
      </c>
      <c r="CU165">
        <v>59.77</v>
      </c>
      <c r="CV165">
        <v>333</v>
      </c>
      <c r="CW165" s="46">
        <v>1791</v>
      </c>
      <c r="CX165" s="46">
        <f t="shared" si="17"/>
        <v>36.339939379808811</v>
      </c>
      <c r="CY165" s="46">
        <v>232.38</v>
      </c>
      <c r="CZ165" s="46">
        <f t="shared" si="18"/>
        <v>41.757985544415952</v>
      </c>
      <c r="DA165" s="46">
        <f t="shared" si="19"/>
        <v>633.46752761325081</v>
      </c>
      <c r="DB165" s="46">
        <v>2864147.41</v>
      </c>
      <c r="DC165" s="46">
        <f t="shared" si="20"/>
        <v>31.083182568153973</v>
      </c>
      <c r="DD165" s="46">
        <v>140538.88</v>
      </c>
      <c r="DE165" s="995">
        <v>1791</v>
      </c>
      <c r="DF165" s="995">
        <v>36.935000000000002</v>
      </c>
      <c r="DG165" s="995">
        <v>206.9</v>
      </c>
      <c r="DH165" s="995">
        <v>41.758000000000003</v>
      </c>
      <c r="DI165" s="995">
        <v>1259.04</v>
      </c>
      <c r="DJ165" s="995">
        <v>5660461</v>
      </c>
      <c r="DK165" s="995">
        <v>63.536999999999999</v>
      </c>
      <c r="DL165" s="995">
        <v>285654.7</v>
      </c>
      <c r="DM165" s="995">
        <v>1791</v>
      </c>
      <c r="DN165" s="995">
        <v>37.606999999999999</v>
      </c>
      <c r="DO165" s="995">
        <v>178</v>
      </c>
      <c r="DP165" s="995">
        <v>41.758000000000003</v>
      </c>
      <c r="DQ165" s="995">
        <v>1216.3610000000001</v>
      </c>
      <c r="DR165" s="995">
        <v>5433532</v>
      </c>
      <c r="DS165" s="995">
        <v>61.41</v>
      </c>
      <c r="DT165" s="995">
        <v>274323.09999999998</v>
      </c>
    </row>
    <row r="166" spans="1:124">
      <c r="A166" s="42" t="s">
        <v>93</v>
      </c>
      <c r="B166" s="42" t="s">
        <v>327</v>
      </c>
      <c r="C166" s="42" t="s">
        <v>328</v>
      </c>
      <c r="D166" s="42">
        <v>931422</v>
      </c>
      <c r="E166" s="42" t="s">
        <v>349</v>
      </c>
      <c r="F166" s="42" t="s">
        <v>149</v>
      </c>
      <c r="G166" s="42" t="s">
        <v>150</v>
      </c>
      <c r="H166" s="43" t="s">
        <v>150</v>
      </c>
      <c r="I166" s="44">
        <v>30</v>
      </c>
      <c r="J166" s="45">
        <v>202312.56640000001</v>
      </c>
      <c r="K166" s="46">
        <v>8505.6012129999999</v>
      </c>
      <c r="L166" s="47">
        <v>210818.167613</v>
      </c>
      <c r="M166" s="48">
        <v>3941831</v>
      </c>
      <c r="N166" s="49">
        <v>2852393</v>
      </c>
      <c r="O166" s="49">
        <v>1089438</v>
      </c>
      <c r="P166" s="49">
        <v>0</v>
      </c>
      <c r="Q166" s="50">
        <v>9040.8947935779797</v>
      </c>
      <c r="R166" s="51">
        <v>8688.5825669476799</v>
      </c>
      <c r="S166" s="49">
        <v>19152.017921397801</v>
      </c>
      <c r="T166" s="49">
        <v>3894.6408247793702</v>
      </c>
      <c r="U166" s="49">
        <f>IFERROR(INDEX('Rentabilidad datos'!$N$2:$N$61,MATCH($C166,'Rentabilidad datos'!$C$2:$C$61,0)),"")</f>
        <v>31735.24131312489</v>
      </c>
      <c r="V166" s="50">
        <f>IFERROR(INDEX('Rentabilidad datos'!$O$2:$O$61,MATCH($C166,'Rentabilidad datos'!$C$2:$C$61,0)),"")</f>
        <v>1133.4014754687462</v>
      </c>
      <c r="W166" s="51">
        <f>IFERROR(INDEX('Rentabilidad datos'!$M$2:$M$61,MATCH($C166,'Rentabilidad datos'!$C$2:$C$61,0)),"")</f>
        <v>2998.2139778064675</v>
      </c>
      <c r="X166" s="52">
        <f>IFERROR(INDEX('Rentabilidad datos'!$P$2:$P$61,MATCH($C166,'Rentabilidad datos'!$C$2:$C$61,0)),"")</f>
        <v>0.3780255458277722</v>
      </c>
      <c r="Y166" s="43" t="s">
        <v>171</v>
      </c>
      <c r="Z166" s="53">
        <v>79.834862385321102</v>
      </c>
      <c r="AA166" s="43">
        <v>2</v>
      </c>
      <c r="AB166" s="54">
        <v>0.98758825530571959</v>
      </c>
      <c r="AC166" s="55">
        <v>1.2411744694280399E-2</v>
      </c>
      <c r="AD166" s="752" t="e">
        <f>_xlfn.XLOOKUP(Table1[[#This Row],[Ruta]],#REF!,#REF!)</f>
        <v>#REF!</v>
      </c>
      <c r="AE166" s="752" t="e">
        <f>_xlfn.XLOOKUP(Table1[[#This Row],[Ruta]],#REF!,#REF!)</f>
        <v>#REF!</v>
      </c>
      <c r="AF166" s="752" t="e">
        <f>_xlfn.XLOOKUP(Table1[[#This Row],[Ruta]],#REF!,#REF!)</f>
        <v>#REF!</v>
      </c>
      <c r="AG166" s="752" t="e">
        <f>_xlfn.XLOOKUP(Table1[[#This Row],[Ruta]],#REF!,#REF!)</f>
        <v>#REF!</v>
      </c>
      <c r="AH166" s="52">
        <v>0.72362133231992953</v>
      </c>
      <c r="AI166" s="52">
        <v>0.27637866768007052</v>
      </c>
      <c r="AJ166" s="55">
        <v>0</v>
      </c>
      <c r="AK166" s="56">
        <v>34808</v>
      </c>
      <c r="AL166" s="44">
        <v>17587</v>
      </c>
      <c r="AM166" s="54">
        <v>0.50525741208917496</v>
      </c>
      <c r="AN166" s="55">
        <v>0.71946747217665497</v>
      </c>
      <c r="AO166" s="56">
        <v>7456.2237715250103</v>
      </c>
      <c r="AP166" s="48">
        <v>3728.1118857625052</v>
      </c>
      <c r="AQ166" s="55">
        <v>0.61236244213291502</v>
      </c>
      <c r="AR166" s="51">
        <v>3941830.13</v>
      </c>
      <c r="AS166" s="49">
        <v>835593.54974183999</v>
      </c>
      <c r="AT166" s="55">
        <v>0.21198111592440438</v>
      </c>
      <c r="AU166" s="51">
        <v>587173.84576453641</v>
      </c>
      <c r="AV166" s="52">
        <v>2.6711093901808365E-3</v>
      </c>
      <c r="AW166" s="44">
        <v>122</v>
      </c>
      <c r="AX166" s="51">
        <v>224.133173935293</v>
      </c>
      <c r="AY166" s="49">
        <v>222.22925855150001</v>
      </c>
      <c r="AZ166" s="49">
        <v>0</v>
      </c>
      <c r="BA166" s="42" t="s">
        <v>152</v>
      </c>
      <c r="BB166" s="50">
        <v>0</v>
      </c>
      <c r="BC166" s="57">
        <v>587173.84576453641</v>
      </c>
      <c r="BD166" s="42" t="s">
        <v>150</v>
      </c>
      <c r="BE166" s="46">
        <v>79.834862385321102</v>
      </c>
      <c r="BF166" s="46">
        <v>75.178899082568805</v>
      </c>
      <c r="BG166" s="42" t="s">
        <v>150</v>
      </c>
      <c r="BH166" s="52">
        <v>0.50525741208917496</v>
      </c>
      <c r="BI166" s="52">
        <v>0.68279353391244302</v>
      </c>
      <c r="BJ166" s="42" t="s">
        <v>152</v>
      </c>
      <c r="BK166" s="46">
        <v>483.52790736926499</v>
      </c>
      <c r="BL166" s="46">
        <v>577.22407290825595</v>
      </c>
      <c r="BM166" s="42" t="s">
        <v>152</v>
      </c>
      <c r="BN166" s="48">
        <v>1</v>
      </c>
      <c r="BO166" s="42" t="s">
        <v>155</v>
      </c>
      <c r="BP166" s="42" t="s">
        <v>152</v>
      </c>
      <c r="BQ166" s="46">
        <v>5649.5300587229904</v>
      </c>
      <c r="BR166" s="46">
        <v>183</v>
      </c>
      <c r="BS166" s="46">
        <v>10032</v>
      </c>
      <c r="BT166" s="46">
        <v>2863</v>
      </c>
      <c r="BU166" s="46">
        <v>3.5040167656304577</v>
      </c>
      <c r="BV166" s="46">
        <v>15.644808743169399</v>
      </c>
      <c r="BW166" s="46">
        <v>48</v>
      </c>
      <c r="BX166" s="46">
        <v>1088</v>
      </c>
      <c r="BY166" s="46">
        <v>1136</v>
      </c>
      <c r="BZ166" s="46">
        <v>0.39678658749563395</v>
      </c>
      <c r="CA166" s="46">
        <v>1.6765630457561999E-2</v>
      </c>
      <c r="CB166" s="46">
        <v>0.38002095703807193</v>
      </c>
      <c r="CC166" s="46">
        <v>0.17743625567586449</v>
      </c>
      <c r="CD166" s="46">
        <v>0</v>
      </c>
      <c r="CE166" s="46">
        <v>0</v>
      </c>
      <c r="CF166" s="46">
        <v>0.42577715682850159</v>
      </c>
      <c r="CG166" s="46">
        <v>0</v>
      </c>
      <c r="CH166" s="46">
        <v>0</v>
      </c>
      <c r="CI166" s="46">
        <v>4.585326953748007</v>
      </c>
      <c r="CJ166" s="46">
        <v>0.39872408293460931</v>
      </c>
      <c r="CK166">
        <v>303</v>
      </c>
      <c r="CL166">
        <v>410.35</v>
      </c>
      <c r="CM166">
        <f t="shared" si="21"/>
        <v>107.35000000000002</v>
      </c>
      <c r="CN166">
        <v>6.52</v>
      </c>
      <c r="CO166">
        <v>9.4499999999999993</v>
      </c>
      <c r="CP166">
        <f t="shared" si="22"/>
        <v>2.9299999999999997</v>
      </c>
      <c r="CQ166">
        <v>814.39</v>
      </c>
      <c r="CR166">
        <v>483.53</v>
      </c>
      <c r="CS166">
        <f t="shared" si="23"/>
        <v>330.86</v>
      </c>
      <c r="CT166" t="s">
        <v>152</v>
      </c>
      <c r="CU166">
        <v>76.45</v>
      </c>
      <c r="CV166">
        <v>110</v>
      </c>
      <c r="CW166" s="46">
        <v>1136</v>
      </c>
      <c r="CX166" s="46">
        <f t="shared" si="17"/>
        <v>35.929095354523234</v>
      </c>
      <c r="CY166" s="46">
        <v>107.35</v>
      </c>
      <c r="CZ166" s="46">
        <f t="shared" si="18"/>
        <v>39.678658749563397</v>
      </c>
      <c r="DA166" s="46">
        <f t="shared" si="19"/>
        <v>441.03840288181527</v>
      </c>
      <c r="DB166" s="46">
        <v>1310038.42</v>
      </c>
      <c r="DC166" s="46">
        <f t="shared" si="20"/>
        <v>22.350369485077515</v>
      </c>
      <c r="DD166" s="46">
        <v>66388.42</v>
      </c>
      <c r="DE166" s="995">
        <v>1136</v>
      </c>
      <c r="DF166" s="995">
        <v>36.039000000000001</v>
      </c>
      <c r="DG166" s="995">
        <v>104.2</v>
      </c>
      <c r="DH166" s="995">
        <v>39.679000000000002</v>
      </c>
      <c r="DI166" s="995">
        <v>1084.953</v>
      </c>
      <c r="DJ166" s="995">
        <v>3219279</v>
      </c>
      <c r="DK166" s="995">
        <v>54.72</v>
      </c>
      <c r="DL166" s="995">
        <v>162365.79999999999</v>
      </c>
      <c r="DM166" s="995">
        <v>1136</v>
      </c>
      <c r="DN166" s="995">
        <v>36.680999999999997</v>
      </c>
      <c r="DO166" s="995">
        <v>85.8</v>
      </c>
      <c r="DP166" s="995">
        <v>39.679000000000002</v>
      </c>
      <c r="DQ166" s="995">
        <v>1046.67</v>
      </c>
      <c r="DR166" s="995">
        <v>3086438</v>
      </c>
      <c r="DS166" s="995">
        <v>52.753</v>
      </c>
      <c r="DT166" s="995">
        <v>155558.29999999999</v>
      </c>
    </row>
    <row r="167" spans="1:124">
      <c r="A167" s="42" t="s">
        <v>93</v>
      </c>
      <c r="B167" s="42" t="s">
        <v>327</v>
      </c>
      <c r="C167" s="42" t="s">
        <v>328</v>
      </c>
      <c r="D167" s="42">
        <v>931423</v>
      </c>
      <c r="E167" s="42" t="s">
        <v>350</v>
      </c>
      <c r="F167" s="42" t="s">
        <v>149</v>
      </c>
      <c r="G167" s="42" t="s">
        <v>150</v>
      </c>
      <c r="H167" s="43" t="s">
        <v>150</v>
      </c>
      <c r="I167" s="44">
        <v>30</v>
      </c>
      <c r="J167" s="45">
        <v>192055.3376</v>
      </c>
      <c r="K167" s="46">
        <v>12012.59225</v>
      </c>
      <c r="L167" s="47">
        <v>204067.92984999999</v>
      </c>
      <c r="M167" s="48">
        <v>4076039</v>
      </c>
      <c r="N167" s="49">
        <v>2729495</v>
      </c>
      <c r="O167" s="49">
        <v>1346544</v>
      </c>
      <c r="P167" s="49">
        <v>0</v>
      </c>
      <c r="Q167" s="50">
        <v>9347.9700229357804</v>
      </c>
      <c r="R167" s="51">
        <v>8688.5825669476799</v>
      </c>
      <c r="S167" s="49">
        <v>19152.017921397801</v>
      </c>
      <c r="T167" s="49">
        <v>3894.6408247793702</v>
      </c>
      <c r="U167" s="49">
        <f>IFERROR(INDEX('Rentabilidad datos'!$N$2:$N$61,MATCH($C167,'Rentabilidad datos'!$C$2:$C$61,0)),"")</f>
        <v>31735.24131312489</v>
      </c>
      <c r="V167" s="50">
        <f>IFERROR(INDEX('Rentabilidad datos'!$O$2:$O$61,MATCH($C167,'Rentabilidad datos'!$C$2:$C$61,0)),"")</f>
        <v>1133.4014754687462</v>
      </c>
      <c r="W167" s="51">
        <f>IFERROR(INDEX('Rentabilidad datos'!$M$2:$M$61,MATCH($C167,'Rentabilidad datos'!$C$2:$C$61,0)),"")</f>
        <v>2998.2139778064675</v>
      </c>
      <c r="X167" s="52">
        <f>IFERROR(INDEX('Rentabilidad datos'!$P$2:$P$61,MATCH($C167,'Rentabilidad datos'!$C$2:$C$61,0)),"")</f>
        <v>0.3780255458277722</v>
      </c>
      <c r="Y167" s="43" t="s">
        <v>171</v>
      </c>
      <c r="Z167" s="53">
        <v>80.577981651376206</v>
      </c>
      <c r="AA167" s="43">
        <v>2</v>
      </c>
      <c r="AB167" s="54">
        <v>0.99040465510756892</v>
      </c>
      <c r="AC167" s="55">
        <v>9.5953448924311069E-3</v>
      </c>
      <c r="AD167" s="752" t="e">
        <f>_xlfn.XLOOKUP(Table1[[#This Row],[Ruta]],#REF!,#REF!)</f>
        <v>#REF!</v>
      </c>
      <c r="AE167" s="752" t="e">
        <f>_xlfn.XLOOKUP(Table1[[#This Row],[Ruta]],#REF!,#REF!)</f>
        <v>#REF!</v>
      </c>
      <c r="AF167" s="752" t="e">
        <f>_xlfn.XLOOKUP(Table1[[#This Row],[Ruta]],#REF!,#REF!)</f>
        <v>#REF!</v>
      </c>
      <c r="AG167" s="752" t="e">
        <f>_xlfn.XLOOKUP(Table1[[#This Row],[Ruta]],#REF!,#REF!)</f>
        <v>#REF!</v>
      </c>
      <c r="AH167" s="52">
        <v>0.66964398525136781</v>
      </c>
      <c r="AI167" s="52">
        <v>0.33035601474863219</v>
      </c>
      <c r="AJ167" s="55">
        <v>0</v>
      </c>
      <c r="AK167" s="56">
        <v>35132</v>
      </c>
      <c r="AL167" s="44">
        <v>16042</v>
      </c>
      <c r="AM167" s="54">
        <v>0.45662074462028901</v>
      </c>
      <c r="AN167" s="55">
        <v>0.71946747217665497</v>
      </c>
      <c r="AO167" s="56">
        <v>9234.3312325102397</v>
      </c>
      <c r="AP167" s="48">
        <v>4617.1656162551199</v>
      </c>
      <c r="AQ167" s="55">
        <v>0.58804410839847199</v>
      </c>
      <c r="AR167" s="51">
        <v>4075714.93</v>
      </c>
      <c r="AS167" s="49">
        <v>1173061.391126645</v>
      </c>
      <c r="AT167" s="55">
        <v>0.2878173305233212</v>
      </c>
      <c r="AU167" s="51">
        <v>824313.40998088603</v>
      </c>
      <c r="AV167" s="52">
        <v>3.7498797089386888E-3</v>
      </c>
      <c r="AW167" s="44">
        <v>74</v>
      </c>
      <c r="AX167" s="51">
        <v>254.06526181274199</v>
      </c>
      <c r="AY167" s="49">
        <v>222.22925855150001</v>
      </c>
      <c r="AZ167" s="49">
        <v>0</v>
      </c>
      <c r="BA167" s="42" t="s">
        <v>152</v>
      </c>
      <c r="BB167" s="50">
        <v>0</v>
      </c>
      <c r="BC167" s="57">
        <v>824313.40998088603</v>
      </c>
      <c r="BD167" s="42" t="s">
        <v>150</v>
      </c>
      <c r="BE167" s="46">
        <v>80.577981651376206</v>
      </c>
      <c r="BF167" s="46">
        <v>75.178899082568805</v>
      </c>
      <c r="BG167" s="42" t="s">
        <v>150</v>
      </c>
      <c r="BH167" s="52">
        <v>0.45662074462028901</v>
      </c>
      <c r="BI167" s="52">
        <v>0.68279353391244302</v>
      </c>
      <c r="BJ167" s="42" t="s">
        <v>152</v>
      </c>
      <c r="BK167" s="46">
        <v>468.04571066513699</v>
      </c>
      <c r="BL167" s="46">
        <v>577.22407290825595</v>
      </c>
      <c r="BM167" s="42" t="s">
        <v>152</v>
      </c>
      <c r="BN167" s="48">
        <v>1</v>
      </c>
      <c r="BO167" s="42" t="s">
        <v>155</v>
      </c>
      <c r="BP167" s="42" t="s">
        <v>152</v>
      </c>
      <c r="BQ167" s="46">
        <v>8453.6061847455494</v>
      </c>
      <c r="BR167" s="46">
        <v>213</v>
      </c>
      <c r="BS167" s="46">
        <v>12852</v>
      </c>
      <c r="BT167" s="46">
        <v>3541</v>
      </c>
      <c r="BU167" s="46">
        <v>3.6294831968370516</v>
      </c>
      <c r="BV167" s="46">
        <v>16.624413145539908</v>
      </c>
      <c r="BW167" s="46">
        <v>1001</v>
      </c>
      <c r="BX167" s="46">
        <v>1056</v>
      </c>
      <c r="BY167" s="46">
        <v>2057</v>
      </c>
      <c r="BZ167" s="46">
        <v>0.58090934764190905</v>
      </c>
      <c r="CA167" s="46">
        <v>0.28268850607173113</v>
      </c>
      <c r="CB167" s="46">
        <v>0.29822084157017792</v>
      </c>
      <c r="CC167" s="46">
        <v>0.15758260378424169</v>
      </c>
      <c r="CD167" s="46">
        <v>0.1157865009884213</v>
      </c>
      <c r="CE167" s="46">
        <v>0</v>
      </c>
      <c r="CF167" s="46">
        <v>0.14572154758542791</v>
      </c>
      <c r="CG167" s="46">
        <v>0</v>
      </c>
      <c r="CH167" s="46">
        <v>0</v>
      </c>
      <c r="CI167" s="46">
        <v>4.1238717709305952</v>
      </c>
      <c r="CJ167" s="46">
        <v>0.38904450669156554</v>
      </c>
      <c r="CK167">
        <v>257</v>
      </c>
      <c r="CL167">
        <v>364.58</v>
      </c>
      <c r="CM167">
        <f t="shared" si="21"/>
        <v>107.57999999999998</v>
      </c>
      <c r="CN167">
        <v>8.4499999999999993</v>
      </c>
      <c r="CO167">
        <v>9.4499999999999993</v>
      </c>
      <c r="CP167">
        <f t="shared" si="22"/>
        <v>1</v>
      </c>
      <c r="CQ167">
        <v>814.39</v>
      </c>
      <c r="CR167">
        <v>468.05</v>
      </c>
      <c r="CS167">
        <f t="shared" si="23"/>
        <v>346.34</v>
      </c>
      <c r="CT167" t="s">
        <v>152</v>
      </c>
      <c r="CU167">
        <v>89.41</v>
      </c>
      <c r="CV167">
        <v>169</v>
      </c>
      <c r="CW167" s="46">
        <v>2057</v>
      </c>
      <c r="CX167" s="46">
        <f t="shared" si="17"/>
        <v>55.052809940694722</v>
      </c>
      <c r="CY167" s="46">
        <v>107.58</v>
      </c>
      <c r="CZ167" s="46">
        <f t="shared" si="18"/>
        <v>58.090934764190905</v>
      </c>
      <c r="DA167" s="46">
        <f t="shared" si="19"/>
        <v>287.23246029962343</v>
      </c>
      <c r="DB167" s="46">
        <v>1047990.61</v>
      </c>
      <c r="DC167" s="46">
        <f t="shared" si="20"/>
        <v>13.839192233690916</v>
      </c>
      <c r="DD167" s="46">
        <v>50493.4</v>
      </c>
      <c r="DE167" s="995">
        <v>2057</v>
      </c>
      <c r="DF167" s="995">
        <v>55.052999999999997</v>
      </c>
      <c r="DG167" s="995">
        <v>107.6</v>
      </c>
      <c r="DH167" s="995">
        <v>58.091000000000001</v>
      </c>
      <c r="DI167" s="995">
        <v>912.01700000000005</v>
      </c>
      <c r="DJ167" s="995">
        <v>3327567</v>
      </c>
      <c r="DK167" s="995">
        <v>44.38</v>
      </c>
      <c r="DL167" s="995">
        <v>161925</v>
      </c>
      <c r="DM167" s="995">
        <v>2057</v>
      </c>
      <c r="DN167" s="995">
        <v>55.052999999999997</v>
      </c>
      <c r="DO167" s="995">
        <v>107.6</v>
      </c>
      <c r="DP167" s="995">
        <v>58.091000000000001</v>
      </c>
      <c r="DQ167" s="995">
        <v>912.01700000000005</v>
      </c>
      <c r="DR167" s="995">
        <v>3327567</v>
      </c>
      <c r="DS167" s="995">
        <v>44.38</v>
      </c>
      <c r="DT167" s="995">
        <v>161925</v>
      </c>
    </row>
    <row r="168" spans="1:124">
      <c r="A168" s="42" t="s">
        <v>93</v>
      </c>
      <c r="B168" s="42" t="s">
        <v>327</v>
      </c>
      <c r="C168" s="42" t="s">
        <v>328</v>
      </c>
      <c r="D168" s="42">
        <v>931424</v>
      </c>
      <c r="E168" s="42" t="s">
        <v>351</v>
      </c>
      <c r="F168" s="42" t="s">
        <v>149</v>
      </c>
      <c r="G168" s="42" t="s">
        <v>150</v>
      </c>
      <c r="H168" s="43" t="s">
        <v>150</v>
      </c>
      <c r="I168" s="44">
        <v>30</v>
      </c>
      <c r="J168" s="45">
        <v>192238.5024</v>
      </c>
      <c r="K168" s="46">
        <v>11937.108909</v>
      </c>
      <c r="L168" s="47">
        <v>204175.611309</v>
      </c>
      <c r="M168" s="48">
        <v>4016440</v>
      </c>
      <c r="N168" s="49">
        <v>2762881</v>
      </c>
      <c r="O168" s="49">
        <v>1253559</v>
      </c>
      <c r="P168" s="49">
        <v>0</v>
      </c>
      <c r="Q168" s="50">
        <v>9212.0138532110104</v>
      </c>
      <c r="R168" s="51">
        <v>8688.5825669476799</v>
      </c>
      <c r="S168" s="49">
        <v>19152.017921397801</v>
      </c>
      <c r="T168" s="49">
        <v>3894.6408247793702</v>
      </c>
      <c r="U168" s="49">
        <f>IFERROR(INDEX('Rentabilidad datos'!$N$2:$N$61,MATCH($C168,'Rentabilidad datos'!$C$2:$C$61,0)),"")</f>
        <v>31735.24131312489</v>
      </c>
      <c r="V168" s="50">
        <f>IFERROR(INDEX('Rentabilidad datos'!$O$2:$O$61,MATCH($C168,'Rentabilidad datos'!$C$2:$C$61,0)),"")</f>
        <v>1133.4014754687462</v>
      </c>
      <c r="W168" s="51">
        <f>IFERROR(INDEX('Rentabilidad datos'!$M$2:$M$61,MATCH($C168,'Rentabilidad datos'!$C$2:$C$61,0)),"")</f>
        <v>2998.2139778064675</v>
      </c>
      <c r="X168" s="52">
        <f>IFERROR(INDEX('Rentabilidad datos'!$P$2:$P$61,MATCH($C168,'Rentabilidad datos'!$C$2:$C$61,0)),"")</f>
        <v>0.3780255458277722</v>
      </c>
      <c r="Y168" s="43" t="s">
        <v>171</v>
      </c>
      <c r="Z168" s="53">
        <v>95.174311926605498</v>
      </c>
      <c r="AA168" s="43">
        <v>2</v>
      </c>
      <c r="AB168" s="54">
        <v>0.96585359173795704</v>
      </c>
      <c r="AC168" s="55">
        <v>3.4146408262043002E-2</v>
      </c>
      <c r="AD168" s="752" t="e">
        <f>_xlfn.XLOOKUP(Table1[[#This Row],[Ruta]],#REF!,#REF!)</f>
        <v>#REF!</v>
      </c>
      <c r="AE168" s="752" t="e">
        <f>_xlfn.XLOOKUP(Table1[[#This Row],[Ruta]],#REF!,#REF!)</f>
        <v>#REF!</v>
      </c>
      <c r="AF168" s="752" t="e">
        <f>_xlfn.XLOOKUP(Table1[[#This Row],[Ruta]],#REF!,#REF!)</f>
        <v>#REF!</v>
      </c>
      <c r="AG168" s="752" t="e">
        <f>_xlfn.XLOOKUP(Table1[[#This Row],[Ruta]],#REF!,#REF!)</f>
        <v>#REF!</v>
      </c>
      <c r="AH168" s="52">
        <v>0.68789300973000966</v>
      </c>
      <c r="AI168" s="52">
        <v>0.31210699026999034</v>
      </c>
      <c r="AJ168" s="55">
        <v>0</v>
      </c>
      <c r="AK168" s="56">
        <v>41496</v>
      </c>
      <c r="AL168" s="44">
        <v>24446</v>
      </c>
      <c r="AM168" s="54">
        <v>0.58911702332755</v>
      </c>
      <c r="AN168" s="55">
        <v>0.71946747217665497</v>
      </c>
      <c r="AO168" s="56">
        <v>5409.0222254424798</v>
      </c>
      <c r="AP168" s="48">
        <v>2704.5111127212399</v>
      </c>
      <c r="AQ168" s="55">
        <v>0.65429224775210237</v>
      </c>
      <c r="AR168" s="51">
        <v>4016438.04</v>
      </c>
      <c r="AS168" s="49">
        <v>444346.77708976198</v>
      </c>
      <c r="AT168" s="55">
        <v>0.11063205075354828</v>
      </c>
      <c r="AU168" s="51">
        <v>312243.68119821121</v>
      </c>
      <c r="AV168" s="52">
        <v>1.4204260542075168E-3</v>
      </c>
      <c r="AW168" s="44">
        <v>233</v>
      </c>
      <c r="AX168" s="51">
        <v>164.29837355804599</v>
      </c>
      <c r="AY168" s="49">
        <v>222.22925855150001</v>
      </c>
      <c r="AZ168" s="49">
        <v>57.930884993454015</v>
      </c>
      <c r="BA168" s="42" t="s">
        <v>150</v>
      </c>
      <c r="BB168" s="50">
        <v>497576.19970674883</v>
      </c>
      <c r="BC168" s="57">
        <v>809819.88090495998</v>
      </c>
      <c r="BD168" s="42" t="s">
        <v>150</v>
      </c>
      <c r="BE168" s="46">
        <v>95.174311926605498</v>
      </c>
      <c r="BF168" s="46">
        <v>75.178899082568805</v>
      </c>
      <c r="BG168" s="42" t="s">
        <v>150</v>
      </c>
      <c r="BH168" s="52">
        <v>0.58911702332755</v>
      </c>
      <c r="BI168" s="52">
        <v>0.68279353391244302</v>
      </c>
      <c r="BJ168" s="42" t="s">
        <v>152</v>
      </c>
      <c r="BK168" s="46">
        <v>468.29268648853099</v>
      </c>
      <c r="BL168" s="46">
        <v>577.22407290825595</v>
      </c>
      <c r="BM168" s="42" t="s">
        <v>152</v>
      </c>
      <c r="BN168" s="48">
        <v>1</v>
      </c>
      <c r="BO168" s="42" t="s">
        <v>155</v>
      </c>
      <c r="BP168" s="42" t="s">
        <v>152</v>
      </c>
      <c r="BQ168" s="46">
        <v>1123.2646021974499</v>
      </c>
      <c r="BR168" s="46">
        <v>618</v>
      </c>
      <c r="BS168" s="46">
        <v>36228</v>
      </c>
      <c r="BT168" s="46">
        <v>8781</v>
      </c>
      <c r="BU168" s="46">
        <v>4.1257259993167068</v>
      </c>
      <c r="BV168" s="46">
        <v>14.208737864077669</v>
      </c>
      <c r="BW168" s="46">
        <v>0</v>
      </c>
      <c r="BX168" s="46">
        <v>50</v>
      </c>
      <c r="BY168" s="46">
        <v>50</v>
      </c>
      <c r="BZ168" s="46">
        <v>5.6941122878943172E-3</v>
      </c>
      <c r="CA168" s="46">
        <v>0</v>
      </c>
      <c r="CB168" s="46">
        <v>5.6941122878943172E-3</v>
      </c>
      <c r="CC168" s="46">
        <v>2.357362487188247E-2</v>
      </c>
      <c r="CD168" s="46">
        <v>1.7082336863682951E-3</v>
      </c>
      <c r="CE168" s="46">
        <v>4.4300193599817787E-2</v>
      </c>
      <c r="CF168" s="46">
        <v>0.92404054207948982</v>
      </c>
      <c r="CG168" s="46">
        <v>3.4164673727365898E-4</v>
      </c>
      <c r="CH168" s="46">
        <v>3.4164673727365898E-4</v>
      </c>
      <c r="CI168" s="46">
        <v>5.8794302749254719</v>
      </c>
      <c r="CJ168" s="46">
        <v>0.24842663133487911</v>
      </c>
      <c r="CK168">
        <v>409</v>
      </c>
      <c r="CL168">
        <v>467.72</v>
      </c>
      <c r="CM168">
        <f t="shared" si="21"/>
        <v>58.720000000000027</v>
      </c>
      <c r="CN168">
        <v>4.5599999999999996</v>
      </c>
      <c r="CO168">
        <v>9.4499999999999993</v>
      </c>
      <c r="CP168">
        <f t="shared" si="22"/>
        <v>4.8899999999999997</v>
      </c>
      <c r="CQ168">
        <v>814.39</v>
      </c>
      <c r="CR168">
        <v>468.29</v>
      </c>
      <c r="CS168">
        <f t="shared" si="23"/>
        <v>346.09999999999997</v>
      </c>
      <c r="CT168" t="s">
        <v>152</v>
      </c>
      <c r="CU168">
        <v>57.5</v>
      </c>
      <c r="CV168">
        <v>4</v>
      </c>
      <c r="CW168" s="46">
        <v>50</v>
      </c>
      <c r="CX168" s="46">
        <f t="shared" si="17"/>
        <v>-9.9305318300876882E-2</v>
      </c>
      <c r="CY168" s="46">
        <v>58.72</v>
      </c>
      <c r="CZ168" s="46">
        <f t="shared" si="18"/>
        <v>0.56941122878943173</v>
      </c>
      <c r="DA168" s="46">
        <f t="shared" si="19"/>
        <v>57.106597267786768</v>
      </c>
      <c r="DB168" s="46">
        <v>504806.33</v>
      </c>
      <c r="DC168" s="46">
        <f t="shared" si="20"/>
        <v>3.0479313824419783</v>
      </c>
      <c r="DD168" s="46">
        <v>26942.86</v>
      </c>
      <c r="DE168" s="995">
        <v>50</v>
      </c>
      <c r="DF168" s="995">
        <v>9.2999999999999999E-2</v>
      </c>
      <c r="DG168" s="995">
        <v>41.9</v>
      </c>
      <c r="DH168" s="995">
        <v>0.56899999999999995</v>
      </c>
      <c r="DI168" s="995">
        <v>337.62400000000002</v>
      </c>
      <c r="DJ168" s="995">
        <v>2978814</v>
      </c>
      <c r="DK168" s="995">
        <v>16.981000000000002</v>
      </c>
      <c r="DL168" s="995">
        <v>149817.5</v>
      </c>
      <c r="DM168" s="995">
        <v>50</v>
      </c>
      <c r="DN168" s="995">
        <v>0.17699999999999999</v>
      </c>
      <c r="DO168" s="995">
        <v>34.5</v>
      </c>
      <c r="DP168" s="995">
        <v>0.56899999999999995</v>
      </c>
      <c r="DQ168" s="995">
        <v>331.887</v>
      </c>
      <c r="DR168" s="995">
        <v>2925745</v>
      </c>
      <c r="DS168" s="995">
        <v>16.673999999999999</v>
      </c>
      <c r="DT168" s="995">
        <v>146985.1</v>
      </c>
    </row>
    <row r="169" spans="1:124">
      <c r="A169" s="42" t="s">
        <v>93</v>
      </c>
      <c r="B169" s="42" t="s">
        <v>327</v>
      </c>
      <c r="C169" s="42" t="s">
        <v>328</v>
      </c>
      <c r="D169" s="42">
        <v>931425</v>
      </c>
      <c r="E169" s="42" t="s">
        <v>352</v>
      </c>
      <c r="F169" s="42" t="s">
        <v>149</v>
      </c>
      <c r="G169" s="42" t="s">
        <v>150</v>
      </c>
      <c r="H169" s="43" t="s">
        <v>150</v>
      </c>
      <c r="I169" s="44">
        <v>30</v>
      </c>
      <c r="J169" s="45">
        <v>154101.47760000001</v>
      </c>
      <c r="K169" s="46">
        <v>8594.4178520000005</v>
      </c>
      <c r="L169" s="47">
        <v>162695.895452</v>
      </c>
      <c r="M169" s="48">
        <v>3272251</v>
      </c>
      <c r="N169" s="49">
        <v>2205166</v>
      </c>
      <c r="O169" s="49">
        <v>1067085</v>
      </c>
      <c r="P169" s="49">
        <v>0</v>
      </c>
      <c r="Q169" s="50">
        <v>7505.16674311927</v>
      </c>
      <c r="R169" s="51">
        <v>8688.5825669476799</v>
      </c>
      <c r="S169" s="49">
        <v>19152.017921397801</v>
      </c>
      <c r="T169" s="49">
        <v>3894.6408247793702</v>
      </c>
      <c r="U169" s="49">
        <f>IFERROR(INDEX('Rentabilidad datos'!$N$2:$N$61,MATCH($C169,'Rentabilidad datos'!$C$2:$C$61,0)),"")</f>
        <v>31735.24131312489</v>
      </c>
      <c r="V169" s="50">
        <f>IFERROR(INDEX('Rentabilidad datos'!$O$2:$O$61,MATCH($C169,'Rentabilidad datos'!$C$2:$C$61,0)),"")</f>
        <v>1133.4014754687462</v>
      </c>
      <c r="W169" s="51">
        <f>IFERROR(INDEX('Rentabilidad datos'!$M$2:$M$61,MATCH($C169,'Rentabilidad datos'!$C$2:$C$61,0)),"")</f>
        <v>2998.2139778064675</v>
      </c>
      <c r="X169" s="52">
        <f>IFERROR(INDEX('Rentabilidad datos'!$P$2:$P$61,MATCH($C169,'Rentabilidad datos'!$C$2:$C$61,0)),"")</f>
        <v>0.3780255458277722</v>
      </c>
      <c r="Y169" s="43" t="s">
        <v>171</v>
      </c>
      <c r="Z169" s="53">
        <v>55.4724770642202</v>
      </c>
      <c r="AA169" s="43">
        <v>2</v>
      </c>
      <c r="AB169" s="54">
        <v>0.97550432408760823</v>
      </c>
      <c r="AC169" s="55">
        <v>2.4495675912391806E-2</v>
      </c>
      <c r="AD169" s="752" t="e">
        <f>_xlfn.XLOOKUP(Table1[[#This Row],[Ruta]],#REF!,#REF!)</f>
        <v>#REF!</v>
      </c>
      <c r="AE169" s="752" t="e">
        <f>_xlfn.XLOOKUP(Table1[[#This Row],[Ruta]],#REF!,#REF!)</f>
        <v>#REF!</v>
      </c>
      <c r="AF169" s="752" t="e">
        <f>_xlfn.XLOOKUP(Table1[[#This Row],[Ruta]],#REF!,#REF!)</f>
        <v>#REF!</v>
      </c>
      <c r="AG169" s="752" t="e">
        <f>_xlfn.XLOOKUP(Table1[[#This Row],[Ruta]],#REF!,#REF!)</f>
        <v>#REF!</v>
      </c>
      <c r="AH169" s="52">
        <v>0.67389879321604607</v>
      </c>
      <c r="AI169" s="52">
        <v>0.32610120678395393</v>
      </c>
      <c r="AJ169" s="55">
        <v>0</v>
      </c>
      <c r="AK169" s="56">
        <v>24186</v>
      </c>
      <c r="AL169" s="44">
        <v>18269</v>
      </c>
      <c r="AM169" s="54">
        <v>0.75535433721987899</v>
      </c>
      <c r="AN169" s="55">
        <v>0.71946747217665497</v>
      </c>
      <c r="AO169" s="56">
        <v>0</v>
      </c>
      <c r="AP169" s="48">
        <v>0</v>
      </c>
      <c r="AQ169" s="55">
        <v>0.75535433721987932</v>
      </c>
      <c r="AR169" s="51">
        <v>3272252.7</v>
      </c>
      <c r="AS169" s="49">
        <v>0</v>
      </c>
      <c r="AT169" s="55">
        <v>0</v>
      </c>
      <c r="AU169" s="51">
        <v>0</v>
      </c>
      <c r="AV169" s="52">
        <v>0</v>
      </c>
      <c r="AW169" s="44">
        <v>490</v>
      </c>
      <c r="AX169" s="51">
        <v>179.11504187421301</v>
      </c>
      <c r="AY169" s="49">
        <v>222.22925855150001</v>
      </c>
      <c r="AZ169" s="49">
        <v>43.114216677287004</v>
      </c>
      <c r="BA169" s="42" t="s">
        <v>150</v>
      </c>
      <c r="BB169" s="50">
        <v>276743.1653569091</v>
      </c>
      <c r="BC169" s="57">
        <v>276743.1653569091</v>
      </c>
      <c r="BD169" s="42" t="s">
        <v>150</v>
      </c>
      <c r="BE169" s="46">
        <v>55.4724770642202</v>
      </c>
      <c r="BF169" s="46">
        <v>75.178899082568805</v>
      </c>
      <c r="BG169" s="42" t="s">
        <v>152</v>
      </c>
      <c r="BH169" s="52">
        <v>0.75535433721987899</v>
      </c>
      <c r="BI169" s="52">
        <v>0.68279353391244302</v>
      </c>
      <c r="BJ169" s="42" t="s">
        <v>150</v>
      </c>
      <c r="BK169" s="46">
        <v>373.15572351376198</v>
      </c>
      <c r="BL169" s="46">
        <v>577.22407290825595</v>
      </c>
      <c r="BM169" s="42" t="s">
        <v>152</v>
      </c>
      <c r="BN169" s="48">
        <v>1</v>
      </c>
      <c r="BO169" s="42" t="s">
        <v>155</v>
      </c>
      <c r="BP169" s="42" t="s">
        <v>152</v>
      </c>
      <c r="BQ169" s="46">
        <v>3974.4169002656099</v>
      </c>
      <c r="BR169" s="46">
        <v>1202</v>
      </c>
      <c r="BS169" s="46">
        <v>46775</v>
      </c>
      <c r="BT169" s="46">
        <v>11657</v>
      </c>
      <c r="BU169" s="46">
        <v>4.0126104486574592</v>
      </c>
      <c r="BV169" s="46">
        <v>9.6980033277870223</v>
      </c>
      <c r="BW169" s="46">
        <v>173</v>
      </c>
      <c r="BX169" s="46">
        <v>187</v>
      </c>
      <c r="BY169" s="46">
        <v>360</v>
      </c>
      <c r="BZ169" s="46">
        <v>3.0882731406022133E-2</v>
      </c>
      <c r="CA169" s="46">
        <v>1.484086814789397E-2</v>
      </c>
      <c r="CB169" s="46">
        <v>1.6041863258128161E-2</v>
      </c>
      <c r="CC169" s="46">
        <v>4.6324097109033201E-2</v>
      </c>
      <c r="CD169" s="46">
        <v>3.4314146006691258E-3</v>
      </c>
      <c r="CE169" s="46">
        <v>3.6887706957193095E-3</v>
      </c>
      <c r="CF169" s="46">
        <v>0.91532984472848933</v>
      </c>
      <c r="CG169" s="46">
        <v>0</v>
      </c>
      <c r="CH169" s="46">
        <v>3.4314146006691256E-4</v>
      </c>
      <c r="CI169" s="46">
        <v>6.328166755745591</v>
      </c>
      <c r="CJ169" s="46">
        <v>0.1282736504543025</v>
      </c>
      <c r="CK169">
        <v>389</v>
      </c>
      <c r="CL169">
        <v>475.46</v>
      </c>
      <c r="CM169">
        <f t="shared" si="21"/>
        <v>86.45999999999998</v>
      </c>
      <c r="CN169">
        <v>5.96</v>
      </c>
      <c r="CO169">
        <v>9.4499999999999993</v>
      </c>
      <c r="CP169">
        <f t="shared" si="22"/>
        <v>3.4899999999999993</v>
      </c>
      <c r="CQ169">
        <v>814.39</v>
      </c>
      <c r="CR169">
        <v>373.16</v>
      </c>
      <c r="CS169">
        <f t="shared" si="23"/>
        <v>441.22999999999996</v>
      </c>
      <c r="CT169" t="s">
        <v>152</v>
      </c>
      <c r="CU169">
        <v>63.05</v>
      </c>
      <c r="CV169">
        <v>54</v>
      </c>
      <c r="CW169" s="46">
        <v>360</v>
      </c>
      <c r="CX169" s="46">
        <f t="shared" si="17"/>
        <v>2.346572874667582</v>
      </c>
      <c r="CY169" s="46">
        <v>86.46</v>
      </c>
      <c r="CZ169" s="46">
        <f t="shared" si="18"/>
        <v>3.0882731406022135</v>
      </c>
      <c r="DA169" s="46">
        <f t="shared" si="19"/>
        <v>103.1166760051978</v>
      </c>
      <c r="DB169" s="46">
        <v>1210946.5600000001</v>
      </c>
      <c r="DC169" s="46">
        <f t="shared" si="20"/>
        <v>4.8698731038382217</v>
      </c>
      <c r="DD169" s="46">
        <v>57189.16</v>
      </c>
      <c r="DE169" s="995">
        <v>360</v>
      </c>
      <c r="DF169" s="995">
        <v>2.544</v>
      </c>
      <c r="DG169" s="995">
        <v>63.5</v>
      </c>
      <c r="DH169" s="995">
        <v>3.0880000000000001</v>
      </c>
      <c r="DI169" s="995">
        <v>294.29599999999999</v>
      </c>
      <c r="DJ169" s="995">
        <v>3449281</v>
      </c>
      <c r="DK169" s="995">
        <v>14.164</v>
      </c>
      <c r="DL169" s="995">
        <v>166005.4</v>
      </c>
      <c r="DM169" s="995">
        <v>360</v>
      </c>
      <c r="DN169" s="995">
        <v>2.64</v>
      </c>
      <c r="DO169" s="995">
        <v>52.3</v>
      </c>
      <c r="DP169" s="995">
        <v>3.0880000000000001</v>
      </c>
      <c r="DQ169" s="995">
        <v>287.06200000000001</v>
      </c>
      <c r="DR169" s="995">
        <v>3361279</v>
      </c>
      <c r="DS169" s="995">
        <v>13.823</v>
      </c>
      <c r="DT169" s="995">
        <v>161859.6</v>
      </c>
    </row>
    <row r="170" spans="1:124">
      <c r="A170" s="42" t="s">
        <v>93</v>
      </c>
      <c r="B170" s="42" t="s">
        <v>327</v>
      </c>
      <c r="C170" s="42" t="s">
        <v>328</v>
      </c>
      <c r="D170" s="42">
        <v>931427</v>
      </c>
      <c r="E170" s="42" t="s">
        <v>353</v>
      </c>
      <c r="F170" s="42" t="s">
        <v>149</v>
      </c>
      <c r="G170" s="42" t="s">
        <v>150</v>
      </c>
      <c r="H170" s="43" t="s">
        <v>150</v>
      </c>
      <c r="I170" s="44">
        <v>30</v>
      </c>
      <c r="J170" s="45">
        <v>204761.90246400001</v>
      </c>
      <c r="K170" s="46">
        <v>9499.4586660000004</v>
      </c>
      <c r="L170" s="47">
        <v>214261.36113</v>
      </c>
      <c r="M170" s="48">
        <v>4009446</v>
      </c>
      <c r="N170" s="49">
        <v>2981560</v>
      </c>
      <c r="O170" s="49">
        <v>1027886</v>
      </c>
      <c r="P170" s="49">
        <v>0</v>
      </c>
      <c r="Q170" s="50">
        <v>9174.9262700228792</v>
      </c>
      <c r="R170" s="51">
        <v>8688.5825669476799</v>
      </c>
      <c r="S170" s="49">
        <v>19152.017921397801</v>
      </c>
      <c r="T170" s="49">
        <v>3894.6408247793702</v>
      </c>
      <c r="U170" s="49">
        <f>IFERROR(INDEX('Rentabilidad datos'!$N$2:$N$61,MATCH($C170,'Rentabilidad datos'!$C$2:$C$61,0)),"")</f>
        <v>31735.24131312489</v>
      </c>
      <c r="V170" s="50">
        <f>IFERROR(INDEX('Rentabilidad datos'!$O$2:$O$61,MATCH($C170,'Rentabilidad datos'!$C$2:$C$61,0)),"")</f>
        <v>1133.4014754687462</v>
      </c>
      <c r="W170" s="51">
        <f>IFERROR(INDEX('Rentabilidad datos'!$M$2:$M$61,MATCH($C170,'Rentabilidad datos'!$C$2:$C$61,0)),"")</f>
        <v>2998.2139778064675</v>
      </c>
      <c r="X170" s="52">
        <f>IFERROR(INDEX('Rentabilidad datos'!$P$2:$P$61,MATCH($C170,'Rentabilidad datos'!$C$2:$C$61,0)),"")</f>
        <v>0.3780255458277722</v>
      </c>
      <c r="Y170" s="43" t="s">
        <v>171</v>
      </c>
      <c r="Z170" s="53">
        <v>76.704805491990896</v>
      </c>
      <c r="AA170" s="43">
        <v>2</v>
      </c>
      <c r="AB170" s="54">
        <v>0.98217060411837442</v>
      </c>
      <c r="AC170" s="55">
        <v>1.7829395881625541E-2</v>
      </c>
      <c r="AD170" s="752" t="e">
        <f>_xlfn.XLOOKUP(Table1[[#This Row],[Ruta]],#REF!,#REF!)</f>
        <v>#REF!</v>
      </c>
      <c r="AE170" s="752" t="e">
        <f>_xlfn.XLOOKUP(Table1[[#This Row],[Ruta]],#REF!,#REF!)</f>
        <v>#REF!</v>
      </c>
      <c r="AF170" s="752" t="e">
        <f>_xlfn.XLOOKUP(Table1[[#This Row],[Ruta]],#REF!,#REF!)</f>
        <v>#REF!</v>
      </c>
      <c r="AG170" s="752" t="e">
        <f>_xlfn.XLOOKUP(Table1[[#This Row],[Ruta]],#REF!,#REF!)</f>
        <v>#REF!</v>
      </c>
      <c r="AH170" s="52">
        <v>0.74363390852501821</v>
      </c>
      <c r="AI170" s="52">
        <v>0.25636609147498185</v>
      </c>
      <c r="AJ170" s="55">
        <v>0</v>
      </c>
      <c r="AK170" s="56">
        <v>33520</v>
      </c>
      <c r="AL170" s="44">
        <v>20892</v>
      </c>
      <c r="AM170" s="54">
        <v>0.62326968973746999</v>
      </c>
      <c r="AN170" s="55">
        <v>0.71946747217665497</v>
      </c>
      <c r="AO170" s="56">
        <v>3224.5496673614798</v>
      </c>
      <c r="AP170" s="48">
        <v>1612.2748336807399</v>
      </c>
      <c r="AQ170" s="55">
        <v>0.67136858095706275</v>
      </c>
      <c r="AR170" s="51">
        <v>4009442.78</v>
      </c>
      <c r="AS170" s="49">
        <v>309416.22110266797</v>
      </c>
      <c r="AT170" s="55">
        <v>7.7171876013820556E-2</v>
      </c>
      <c r="AU170" s="51">
        <v>217427.61482890189</v>
      </c>
      <c r="AV170" s="52">
        <v>9.890987956009858E-4</v>
      </c>
      <c r="AW170" s="44">
        <v>297</v>
      </c>
      <c r="AX170" s="51">
        <v>191.912826919395</v>
      </c>
      <c r="AY170" s="49">
        <v>222.22925855150001</v>
      </c>
      <c r="AZ170" s="49">
        <v>30.316431632105008</v>
      </c>
      <c r="BA170" s="42" t="s">
        <v>150</v>
      </c>
      <c r="BB170" s="50">
        <v>222535.71798792417</v>
      </c>
      <c r="BC170" s="57">
        <v>439963.33281682606</v>
      </c>
      <c r="BD170" s="42" t="s">
        <v>150</v>
      </c>
      <c r="BE170" s="46">
        <v>76.704805491990896</v>
      </c>
      <c r="BF170" s="46">
        <v>75.178899082568805</v>
      </c>
      <c r="BG170" s="42" t="s">
        <v>150</v>
      </c>
      <c r="BH170" s="52">
        <v>0.62326968973746999</v>
      </c>
      <c r="BI170" s="52">
        <v>0.68279353391244302</v>
      </c>
      <c r="BJ170" s="42" t="s">
        <v>152</v>
      </c>
      <c r="BK170" s="46">
        <v>490.30059755148699</v>
      </c>
      <c r="BL170" s="46">
        <v>577.22407290825595</v>
      </c>
      <c r="BM170" s="42" t="s">
        <v>152</v>
      </c>
      <c r="BN170" s="48">
        <v>1</v>
      </c>
      <c r="BO170" s="42" t="s">
        <v>155</v>
      </c>
      <c r="BP170" s="42" t="s">
        <v>152</v>
      </c>
      <c r="BQ170" s="46">
        <v>4976.3148668028298</v>
      </c>
      <c r="BR170" s="46">
        <v>508</v>
      </c>
      <c r="BS170" s="46">
        <v>28419</v>
      </c>
      <c r="BT170" s="46">
        <v>7606</v>
      </c>
      <c r="BU170" s="46">
        <v>3.7363923218511701</v>
      </c>
      <c r="BV170" s="46">
        <v>14.972440944881889</v>
      </c>
      <c r="BW170" s="46">
        <v>559</v>
      </c>
      <c r="BX170" s="46">
        <v>896</v>
      </c>
      <c r="BY170" s="46">
        <v>1455</v>
      </c>
      <c r="BZ170" s="46">
        <v>0.19129634499079673</v>
      </c>
      <c r="CA170" s="46">
        <v>7.3494609518800949E-2</v>
      </c>
      <c r="CB170" s="46">
        <v>0.11780173547199579</v>
      </c>
      <c r="CC170" s="46">
        <v>0</v>
      </c>
      <c r="CD170" s="46">
        <v>7.9148041020247167E-2</v>
      </c>
      <c r="CE170" s="46">
        <v>0</v>
      </c>
      <c r="CF170" s="46">
        <v>0.72955561398895608</v>
      </c>
      <c r="CG170" s="46">
        <v>0</v>
      </c>
      <c r="CH170" s="46">
        <v>0</v>
      </c>
      <c r="CI170" s="46">
        <v>5.6300362433583162</v>
      </c>
      <c r="CJ170" s="46">
        <v>0.45744044477286322</v>
      </c>
      <c r="CK170">
        <v>316</v>
      </c>
      <c r="CL170">
        <v>619.12</v>
      </c>
      <c r="CM170">
        <f t="shared" si="21"/>
        <v>303.12</v>
      </c>
      <c r="CN170">
        <v>5.29</v>
      </c>
      <c r="CO170">
        <v>9.4499999999999993</v>
      </c>
      <c r="CP170">
        <f t="shared" si="22"/>
        <v>4.1599999999999993</v>
      </c>
      <c r="CQ170">
        <v>814.39</v>
      </c>
      <c r="CR170">
        <v>490.3</v>
      </c>
      <c r="CS170">
        <f t="shared" si="23"/>
        <v>324.08999999999997</v>
      </c>
      <c r="CT170" t="s">
        <v>152</v>
      </c>
      <c r="CU170">
        <v>62.02</v>
      </c>
      <c r="CV170">
        <v>114</v>
      </c>
      <c r="CW170" s="46">
        <v>1455</v>
      </c>
      <c r="CX170" s="46">
        <f t="shared" si="17"/>
        <v>15.144359716013675</v>
      </c>
      <c r="CY170" s="46">
        <v>303.12</v>
      </c>
      <c r="CZ170" s="46">
        <f t="shared" si="18"/>
        <v>19.129634499079671</v>
      </c>
      <c r="DA170" s="46">
        <f t="shared" si="19"/>
        <v>332.25070045719372</v>
      </c>
      <c r="DB170" s="46">
        <v>2627810.66</v>
      </c>
      <c r="DC170" s="46">
        <f t="shared" si="20"/>
        <v>17.83159188379997</v>
      </c>
      <c r="DD170" s="46">
        <v>141032.20000000001</v>
      </c>
      <c r="DE170" s="995">
        <v>1455</v>
      </c>
      <c r="DF170" s="995">
        <v>15.445</v>
      </c>
      <c r="DG170" s="995">
        <v>280.2</v>
      </c>
      <c r="DH170" s="995">
        <v>19.13</v>
      </c>
      <c r="DI170" s="995">
        <v>608.84</v>
      </c>
      <c r="DJ170" s="995">
        <v>4801452</v>
      </c>
      <c r="DK170" s="995">
        <v>32.101999999999997</v>
      </c>
      <c r="DL170" s="995">
        <v>253159.8</v>
      </c>
      <c r="DM170" s="995">
        <v>1455</v>
      </c>
      <c r="DN170" s="995">
        <v>15.742000000000001</v>
      </c>
      <c r="DO170" s="995">
        <v>257.60000000000002</v>
      </c>
      <c r="DP170" s="995">
        <v>19.13</v>
      </c>
      <c r="DQ170" s="995">
        <v>589.06200000000001</v>
      </c>
      <c r="DR170" s="995">
        <v>4632174</v>
      </c>
      <c r="DS170" s="995">
        <v>31.114999999999998</v>
      </c>
      <c r="DT170" s="995">
        <v>244679.4</v>
      </c>
    </row>
    <row r="171" spans="1:124">
      <c r="A171" s="42" t="s">
        <v>93</v>
      </c>
      <c r="B171" s="42" t="s">
        <v>327</v>
      </c>
      <c r="C171" s="42" t="s">
        <v>328</v>
      </c>
      <c r="D171" s="42">
        <v>931428</v>
      </c>
      <c r="E171" s="42" t="s">
        <v>354</v>
      </c>
      <c r="F171" s="42" t="s">
        <v>149</v>
      </c>
      <c r="G171" s="42" t="s">
        <v>150</v>
      </c>
      <c r="H171" s="43" t="s">
        <v>150</v>
      </c>
      <c r="I171" s="44">
        <v>30</v>
      </c>
      <c r="J171" s="45">
        <v>171192.1624</v>
      </c>
      <c r="K171" s="46">
        <v>7351.026965</v>
      </c>
      <c r="L171" s="47">
        <v>178543.189365</v>
      </c>
      <c r="M171" s="48">
        <v>3361435</v>
      </c>
      <c r="N171" s="49">
        <v>2473134</v>
      </c>
      <c r="O171" s="49">
        <v>888301</v>
      </c>
      <c r="P171" s="49">
        <v>0</v>
      </c>
      <c r="Q171" s="50">
        <v>7709.7111926605503</v>
      </c>
      <c r="R171" s="51">
        <v>8688.5825669476799</v>
      </c>
      <c r="S171" s="49">
        <v>19152.017921397801</v>
      </c>
      <c r="T171" s="49">
        <v>3894.6408247793702</v>
      </c>
      <c r="U171" s="49">
        <f>IFERROR(INDEX('Rentabilidad datos'!$N$2:$N$61,MATCH($C171,'Rentabilidad datos'!$C$2:$C$61,0)),"")</f>
        <v>31735.24131312489</v>
      </c>
      <c r="V171" s="50">
        <f>IFERROR(INDEX('Rentabilidad datos'!$O$2:$O$61,MATCH($C171,'Rentabilidad datos'!$C$2:$C$61,0)),"")</f>
        <v>1133.4014754687462</v>
      </c>
      <c r="W171" s="51">
        <f>IFERROR(INDEX('Rentabilidad datos'!$M$2:$M$61,MATCH($C171,'Rentabilidad datos'!$C$2:$C$61,0)),"")</f>
        <v>2998.2139778064675</v>
      </c>
      <c r="X171" s="52">
        <f>IFERROR(INDEX('Rentabilidad datos'!$P$2:$P$61,MATCH($C171,'Rentabilidad datos'!$C$2:$C$61,0)),"")</f>
        <v>0.3780255458277722</v>
      </c>
      <c r="Y171" s="43" t="s">
        <v>171</v>
      </c>
      <c r="Z171" s="53">
        <v>71.293577981651396</v>
      </c>
      <c r="AA171" s="43">
        <v>2</v>
      </c>
      <c r="AB171" s="54">
        <v>0.98042383684349099</v>
      </c>
      <c r="AC171" s="55">
        <v>1.9576163156509049E-2</v>
      </c>
      <c r="AD171" s="752" t="e">
        <f>_xlfn.XLOOKUP(Table1[[#This Row],[Ruta]],#REF!,#REF!)</f>
        <v>#REF!</v>
      </c>
      <c r="AE171" s="752" t="e">
        <f>_xlfn.XLOOKUP(Table1[[#This Row],[Ruta]],#REF!,#REF!)</f>
        <v>#REF!</v>
      </c>
      <c r="AF171" s="752" t="e">
        <f>_xlfn.XLOOKUP(Table1[[#This Row],[Ruta]],#REF!,#REF!)</f>
        <v>#REF!</v>
      </c>
      <c r="AG171" s="752" t="e">
        <f>_xlfn.XLOOKUP(Table1[[#This Row],[Ruta]],#REF!,#REF!)</f>
        <v>#REF!</v>
      </c>
      <c r="AH171" s="52">
        <v>0.73573756446279637</v>
      </c>
      <c r="AI171" s="52">
        <v>0.26426243553720363</v>
      </c>
      <c r="AJ171" s="55">
        <v>0</v>
      </c>
      <c r="AK171" s="56">
        <v>31084</v>
      </c>
      <c r="AL171" s="44">
        <v>14064</v>
      </c>
      <c r="AM171" s="54">
        <v>0.45245142195341698</v>
      </c>
      <c r="AN171" s="55">
        <v>0.71946747217665497</v>
      </c>
      <c r="AO171" s="56">
        <v>8299.9269051391493</v>
      </c>
      <c r="AP171" s="48">
        <v>4149.9634525695747</v>
      </c>
      <c r="AQ171" s="55">
        <v>0.58595944706503578</v>
      </c>
      <c r="AR171" s="51">
        <v>3361434.08</v>
      </c>
      <c r="AS171" s="49">
        <v>991882.00940144004</v>
      </c>
      <c r="AT171" s="55">
        <v>0.29507703729874724</v>
      </c>
      <c r="AU171" s="51">
        <v>696998.16876857972</v>
      </c>
      <c r="AV171" s="52">
        <v>3.1707106284893818E-3</v>
      </c>
      <c r="AW171" s="44">
        <v>97</v>
      </c>
      <c r="AX171" s="51">
        <v>239.00981797497201</v>
      </c>
      <c r="AY171" s="49">
        <v>222.22925855150001</v>
      </c>
      <c r="AZ171" s="49">
        <v>0</v>
      </c>
      <c r="BA171" s="42" t="s">
        <v>152</v>
      </c>
      <c r="BB171" s="50">
        <v>0</v>
      </c>
      <c r="BC171" s="57">
        <v>696998.16876857972</v>
      </c>
      <c r="BD171" s="42" t="s">
        <v>150</v>
      </c>
      <c r="BE171" s="46">
        <v>71.293577981651396</v>
      </c>
      <c r="BF171" s="46">
        <v>75.178899082568805</v>
      </c>
      <c r="BG171" s="42" t="s">
        <v>152</v>
      </c>
      <c r="BH171" s="52">
        <v>0.45245142195341698</v>
      </c>
      <c r="BI171" s="52">
        <v>0.68279353391244302</v>
      </c>
      <c r="BJ171" s="42" t="s">
        <v>152</v>
      </c>
      <c r="BK171" s="46">
        <v>409.50272790137598</v>
      </c>
      <c r="BL171" s="46">
        <v>577.22407290825595</v>
      </c>
      <c r="BM171" s="42" t="s">
        <v>152</v>
      </c>
      <c r="BN171" s="48">
        <v>0</v>
      </c>
      <c r="BO171" s="42" t="s">
        <v>155</v>
      </c>
      <c r="BP171" s="42" t="s">
        <v>152</v>
      </c>
      <c r="BQ171" s="46">
        <v>8312.0660453790497</v>
      </c>
      <c r="BR171" s="46">
        <v>284</v>
      </c>
      <c r="BS171" s="46">
        <v>21571</v>
      </c>
      <c r="BT171" s="46">
        <v>5642</v>
      </c>
      <c r="BU171" s="46">
        <v>3.8232896136121943</v>
      </c>
      <c r="BV171" s="46">
        <v>19.866197183098592</v>
      </c>
      <c r="BW171" s="46">
        <v>1551</v>
      </c>
      <c r="BX171" s="46">
        <v>251</v>
      </c>
      <c r="BY171" s="46">
        <v>1802</v>
      </c>
      <c r="BZ171" s="46">
        <v>0.31939028713222262</v>
      </c>
      <c r="CA171" s="46">
        <v>0.27490251683800071</v>
      </c>
      <c r="CB171" s="46">
        <v>4.4487770294221907E-2</v>
      </c>
      <c r="CC171" s="46">
        <v>3.7220843672456573E-2</v>
      </c>
      <c r="CD171" s="46">
        <v>0.119815668202765</v>
      </c>
      <c r="CE171" s="46">
        <v>0</v>
      </c>
      <c r="CF171" s="46">
        <v>0.52357320099255578</v>
      </c>
      <c r="CG171" s="46">
        <v>0</v>
      </c>
      <c r="CH171" s="46">
        <v>0</v>
      </c>
      <c r="CI171" s="46">
        <v>5.3312317463260852</v>
      </c>
      <c r="CJ171" s="46">
        <v>0.46358536924574661</v>
      </c>
      <c r="CK171">
        <v>346</v>
      </c>
      <c r="CL171">
        <v>532.77</v>
      </c>
      <c r="CM171">
        <f t="shared" si="21"/>
        <v>186.76999999999998</v>
      </c>
      <c r="CN171">
        <v>9.23</v>
      </c>
      <c r="CO171">
        <v>9.4499999999999993</v>
      </c>
      <c r="CP171">
        <f t="shared" si="22"/>
        <v>0.21999999999999886</v>
      </c>
      <c r="CQ171">
        <v>814.39</v>
      </c>
      <c r="CR171">
        <v>409.5</v>
      </c>
      <c r="CS171">
        <f t="shared" si="23"/>
        <v>404.89</v>
      </c>
      <c r="CT171" t="s">
        <v>152</v>
      </c>
      <c r="CU171">
        <v>98.88</v>
      </c>
      <c r="CV171">
        <v>156</v>
      </c>
      <c r="CW171" s="46">
        <v>1802</v>
      </c>
      <c r="CX171" s="46">
        <f t="shared" si="17"/>
        <v>28.628677773839062</v>
      </c>
      <c r="CY171" s="46">
        <v>186.77</v>
      </c>
      <c r="CZ171" s="46">
        <f t="shared" si="18"/>
        <v>31.93902871322226</v>
      </c>
      <c r="DA171" s="46">
        <f t="shared" si="19"/>
        <v>274.57317753145173</v>
      </c>
      <c r="DB171" s="46">
        <v>1600423.9</v>
      </c>
      <c r="DC171" s="46">
        <f t="shared" si="20"/>
        <v>13.49320354036958</v>
      </c>
      <c r="DD171" s="46">
        <v>78648.78</v>
      </c>
      <c r="DE171" s="995">
        <v>1802</v>
      </c>
      <c r="DF171" s="995">
        <v>28.919</v>
      </c>
      <c r="DG171" s="995">
        <v>170.4</v>
      </c>
      <c r="DH171" s="995">
        <v>31.939</v>
      </c>
      <c r="DI171" s="995">
        <v>883.55700000000002</v>
      </c>
      <c r="DJ171" s="995">
        <v>5135578</v>
      </c>
      <c r="DK171" s="995">
        <v>45.936999999999998</v>
      </c>
      <c r="DL171" s="995">
        <v>267003.2</v>
      </c>
      <c r="DM171" s="995">
        <v>1802</v>
      </c>
      <c r="DN171" s="995">
        <v>29.056000000000001</v>
      </c>
      <c r="DO171" s="995">
        <v>162.6</v>
      </c>
      <c r="DP171" s="995">
        <v>31.939</v>
      </c>
      <c r="DQ171" s="995">
        <v>875.65099999999995</v>
      </c>
      <c r="DR171" s="995">
        <v>5082844</v>
      </c>
      <c r="DS171" s="995">
        <v>45.503999999999998</v>
      </c>
      <c r="DT171" s="995">
        <v>264136.59999999998</v>
      </c>
    </row>
    <row r="172" spans="1:124">
      <c r="A172" s="42" t="s">
        <v>93</v>
      </c>
      <c r="B172" s="42" t="s">
        <v>327</v>
      </c>
      <c r="C172" s="42" t="s">
        <v>328</v>
      </c>
      <c r="D172" s="42">
        <v>931429</v>
      </c>
      <c r="E172" s="42" t="s">
        <v>355</v>
      </c>
      <c r="F172" s="42" t="s">
        <v>149</v>
      </c>
      <c r="G172" s="42" t="s">
        <v>150</v>
      </c>
      <c r="H172" s="43" t="s">
        <v>150</v>
      </c>
      <c r="I172" s="44">
        <v>30</v>
      </c>
      <c r="J172" s="45">
        <v>248156.6024</v>
      </c>
      <c r="K172" s="46">
        <v>13791.549019</v>
      </c>
      <c r="L172" s="47">
        <v>261948.151419</v>
      </c>
      <c r="M172" s="48">
        <v>5141925</v>
      </c>
      <c r="N172" s="49">
        <v>3506993</v>
      </c>
      <c r="O172" s="49">
        <v>1634932</v>
      </c>
      <c r="P172" s="49">
        <v>0</v>
      </c>
      <c r="Q172" s="50">
        <v>11793.398348623899</v>
      </c>
      <c r="R172" s="51">
        <v>8688.5825669476799</v>
      </c>
      <c r="S172" s="49">
        <v>19152.017921397801</v>
      </c>
      <c r="T172" s="49">
        <v>3894.6408247793702</v>
      </c>
      <c r="U172" s="49">
        <f>IFERROR(INDEX('Rentabilidad datos'!$N$2:$N$61,MATCH($C172,'Rentabilidad datos'!$C$2:$C$61,0)),"")</f>
        <v>31735.24131312489</v>
      </c>
      <c r="V172" s="50">
        <f>IFERROR(INDEX('Rentabilidad datos'!$O$2:$O$61,MATCH($C172,'Rentabilidad datos'!$C$2:$C$61,0)),"")</f>
        <v>1133.4014754687462</v>
      </c>
      <c r="W172" s="51">
        <f>IFERROR(INDEX('Rentabilidad datos'!$M$2:$M$61,MATCH($C172,'Rentabilidad datos'!$C$2:$C$61,0)),"")</f>
        <v>2998.2139778064675</v>
      </c>
      <c r="X172" s="52">
        <f>IFERROR(INDEX('Rentabilidad datos'!$P$2:$P$61,MATCH($C172,'Rentabilidad datos'!$C$2:$C$61,0)),"")</f>
        <v>0.3780255458277722</v>
      </c>
      <c r="Y172" s="43" t="s">
        <v>171</v>
      </c>
      <c r="Z172" s="53">
        <v>74.4908256880734</v>
      </c>
      <c r="AA172" s="43">
        <v>2</v>
      </c>
      <c r="AB172" s="54">
        <v>0.99172916757829022</v>
      </c>
      <c r="AC172" s="55">
        <v>8.2708324217097683E-3</v>
      </c>
      <c r="AD172" s="752" t="e">
        <f>_xlfn.XLOOKUP(Table1[[#This Row],[Ruta]],#REF!,#REF!)</f>
        <v>#REF!</v>
      </c>
      <c r="AE172" s="752" t="e">
        <f>_xlfn.XLOOKUP(Table1[[#This Row],[Ruta]],#REF!,#REF!)</f>
        <v>#REF!</v>
      </c>
      <c r="AF172" s="752" t="e">
        <f>_xlfn.XLOOKUP(Table1[[#This Row],[Ruta]],#REF!,#REF!)</f>
        <v>#REF!</v>
      </c>
      <c r="AG172" s="752" t="e">
        <f>_xlfn.XLOOKUP(Table1[[#This Row],[Ruta]],#REF!,#REF!)</f>
        <v>#REF!</v>
      </c>
      <c r="AH172" s="52">
        <v>0.68203892511073183</v>
      </c>
      <c r="AI172" s="52">
        <v>0.31796107488926811</v>
      </c>
      <c r="AJ172" s="55">
        <v>0</v>
      </c>
      <c r="AK172" s="56">
        <v>32478</v>
      </c>
      <c r="AL172" s="44">
        <v>20864</v>
      </c>
      <c r="AM172" s="54">
        <v>0.64240408892173195</v>
      </c>
      <c r="AN172" s="55">
        <v>0.71946747217665497</v>
      </c>
      <c r="AO172" s="56">
        <v>2502.8645613533999</v>
      </c>
      <c r="AP172" s="48">
        <v>1251.4322806767</v>
      </c>
      <c r="AQ172" s="55">
        <v>0.68093578054919335</v>
      </c>
      <c r="AR172" s="51">
        <v>5141921.68</v>
      </c>
      <c r="AS172" s="49">
        <v>308414.81859007751</v>
      </c>
      <c r="AT172" s="55">
        <v>5.9980458237955413E-2</v>
      </c>
      <c r="AU172" s="51">
        <v>216723.9265768113</v>
      </c>
      <c r="AV172" s="52">
        <v>9.8589765115036443E-4</v>
      </c>
      <c r="AW172" s="44">
        <v>298</v>
      </c>
      <c r="AX172" s="51">
        <v>246.44946702454001</v>
      </c>
      <c r="AY172" s="49">
        <v>222.22925855150001</v>
      </c>
      <c r="AZ172" s="49">
        <v>0</v>
      </c>
      <c r="BA172" s="42" t="s">
        <v>152</v>
      </c>
      <c r="BB172" s="50">
        <v>0</v>
      </c>
      <c r="BC172" s="57">
        <v>216723.9265768113</v>
      </c>
      <c r="BD172" s="42" t="s">
        <v>150</v>
      </c>
      <c r="BE172" s="46">
        <v>74.4908256880734</v>
      </c>
      <c r="BF172" s="46">
        <v>75.178899082568805</v>
      </c>
      <c r="BG172" s="42" t="s">
        <v>152</v>
      </c>
      <c r="BH172" s="52">
        <v>0.64240408892173195</v>
      </c>
      <c r="BI172" s="52">
        <v>0.68279353391244302</v>
      </c>
      <c r="BJ172" s="42" t="s">
        <v>152</v>
      </c>
      <c r="BK172" s="46">
        <v>600.79851242889799</v>
      </c>
      <c r="BL172" s="46">
        <v>577.22407290825595</v>
      </c>
      <c r="BM172" s="42" t="s">
        <v>150</v>
      </c>
      <c r="BN172" s="48">
        <v>1</v>
      </c>
      <c r="BO172" s="42" t="s">
        <v>155</v>
      </c>
      <c r="BP172" s="42" t="s">
        <v>152</v>
      </c>
      <c r="BQ172" s="46">
        <v>2094.7187915274699</v>
      </c>
      <c r="BR172" s="46">
        <v>415</v>
      </c>
      <c r="BS172" s="46">
        <v>22887</v>
      </c>
      <c r="BT172" s="46">
        <v>6138</v>
      </c>
      <c r="BU172" s="46">
        <v>3.7287390029325511</v>
      </c>
      <c r="BV172" s="46">
        <v>14.790361445783132</v>
      </c>
      <c r="BW172" s="46">
        <v>0</v>
      </c>
      <c r="BX172" s="46">
        <v>419</v>
      </c>
      <c r="BY172" s="46">
        <v>419</v>
      </c>
      <c r="BZ172" s="46">
        <v>6.8263277940697295E-2</v>
      </c>
      <c r="CA172" s="46">
        <v>0</v>
      </c>
      <c r="CB172" s="46">
        <v>6.8263277940697295E-2</v>
      </c>
      <c r="CC172" s="46">
        <v>0.21375040729879441</v>
      </c>
      <c r="CD172" s="46">
        <v>0.14141414141414141</v>
      </c>
      <c r="CE172" s="46">
        <v>5.3763440860215058E-3</v>
      </c>
      <c r="CF172" s="46">
        <v>0.57070707070707072</v>
      </c>
      <c r="CG172" s="46">
        <v>4.8875855327468231E-4</v>
      </c>
      <c r="CH172" s="46">
        <v>0</v>
      </c>
      <c r="CI172" s="46">
        <v>3.976056276488837</v>
      </c>
      <c r="CJ172" s="46">
        <v>0.21846463057630969</v>
      </c>
      <c r="CK172">
        <v>395</v>
      </c>
      <c r="CL172">
        <v>432.17</v>
      </c>
      <c r="CM172">
        <f t="shared" si="21"/>
        <v>37.170000000000016</v>
      </c>
      <c r="CN172">
        <v>7.45</v>
      </c>
      <c r="CO172">
        <v>9.4499999999999993</v>
      </c>
      <c r="CP172">
        <f t="shared" si="22"/>
        <v>1.9999999999999991</v>
      </c>
      <c r="CQ172">
        <v>814.39</v>
      </c>
      <c r="CR172">
        <v>600.79999999999995</v>
      </c>
      <c r="CS172">
        <f t="shared" si="23"/>
        <v>213.59000000000003</v>
      </c>
      <c r="CT172" t="s">
        <v>152</v>
      </c>
      <c r="CU172">
        <v>86.15</v>
      </c>
      <c r="CV172">
        <v>91</v>
      </c>
      <c r="CW172" s="46">
        <v>419</v>
      </c>
      <c r="CX172" s="46">
        <f t="shared" si="17"/>
        <v>6.2207559465623978</v>
      </c>
      <c r="CY172" s="46">
        <v>37.17</v>
      </c>
      <c r="CZ172" s="46">
        <f t="shared" si="18"/>
        <v>6.8263277940697291</v>
      </c>
      <c r="DA172" s="46">
        <f t="shared" si="19"/>
        <v>101.53282257816383</v>
      </c>
      <c r="DB172" s="46">
        <v>626982.43999999994</v>
      </c>
      <c r="DC172" s="46">
        <f t="shared" si="20"/>
        <v>4.290566899372811</v>
      </c>
      <c r="DD172" s="46">
        <v>26494.98</v>
      </c>
      <c r="DE172" s="995">
        <v>419</v>
      </c>
      <c r="DF172" s="995">
        <v>6.1920000000000002</v>
      </c>
      <c r="DG172" s="995">
        <v>38.9</v>
      </c>
      <c r="DH172" s="995">
        <v>6.8259999999999996</v>
      </c>
      <c r="DI172" s="995">
        <v>541.06700000000001</v>
      </c>
      <c r="DJ172" s="995">
        <v>3342133</v>
      </c>
      <c r="DK172" s="995">
        <v>25.87</v>
      </c>
      <c r="DL172" s="995">
        <v>159797.70000000001</v>
      </c>
      <c r="DM172" s="995">
        <v>419</v>
      </c>
      <c r="DN172" s="995">
        <v>6.2859999999999996</v>
      </c>
      <c r="DO172" s="995">
        <v>33.200000000000003</v>
      </c>
      <c r="DP172" s="995">
        <v>6.8259999999999996</v>
      </c>
      <c r="DQ172" s="995">
        <v>532.86699999999996</v>
      </c>
      <c r="DR172" s="995">
        <v>3288422</v>
      </c>
      <c r="DS172" s="995">
        <v>25.533999999999999</v>
      </c>
      <c r="DT172" s="995">
        <v>157576.29999999999</v>
      </c>
    </row>
    <row r="173" spans="1:124">
      <c r="A173" s="42" t="s">
        <v>93</v>
      </c>
      <c r="B173" s="42" t="s">
        <v>327</v>
      </c>
      <c r="C173" s="42" t="s">
        <v>328</v>
      </c>
      <c r="D173" s="42">
        <v>931430</v>
      </c>
      <c r="E173" s="42" t="s">
        <v>356</v>
      </c>
      <c r="F173" s="42" t="s">
        <v>149</v>
      </c>
      <c r="G173" s="42" t="s">
        <v>150</v>
      </c>
      <c r="H173" s="43" t="s">
        <v>150</v>
      </c>
      <c r="I173" s="44">
        <v>30</v>
      </c>
      <c r="J173" s="45">
        <v>237973.34399999899</v>
      </c>
      <c r="K173" s="46">
        <v>12203.747216</v>
      </c>
      <c r="L173" s="47">
        <v>250177.09121599901</v>
      </c>
      <c r="M173" s="48">
        <v>5343757</v>
      </c>
      <c r="N173" s="49">
        <v>3518817</v>
      </c>
      <c r="O173" s="49">
        <v>1824940</v>
      </c>
      <c r="P173" s="49">
        <v>0</v>
      </c>
      <c r="Q173" s="50">
        <v>12256.3194266055</v>
      </c>
      <c r="R173" s="51">
        <v>8688.5825669476799</v>
      </c>
      <c r="S173" s="49">
        <v>19152.017921397801</v>
      </c>
      <c r="T173" s="49">
        <v>3894.6408247793702</v>
      </c>
      <c r="U173" s="49">
        <f>IFERROR(INDEX('Rentabilidad datos'!$N$2:$N$61,MATCH($C173,'Rentabilidad datos'!$C$2:$C$61,0)),"")</f>
        <v>31735.24131312489</v>
      </c>
      <c r="V173" s="50">
        <f>IFERROR(INDEX('Rentabilidad datos'!$O$2:$O$61,MATCH($C173,'Rentabilidad datos'!$C$2:$C$61,0)),"")</f>
        <v>1133.4014754687462</v>
      </c>
      <c r="W173" s="51">
        <f>IFERROR(INDEX('Rentabilidad datos'!$M$2:$M$61,MATCH($C173,'Rentabilidad datos'!$C$2:$C$61,0)),"")</f>
        <v>2998.2139778064675</v>
      </c>
      <c r="X173" s="52">
        <f>IFERROR(INDEX('Rentabilidad datos'!$P$2:$P$61,MATCH($C173,'Rentabilidad datos'!$C$2:$C$61,0)),"")</f>
        <v>0.3780255458277722</v>
      </c>
      <c r="Y173" s="43" t="s">
        <v>171</v>
      </c>
      <c r="Z173" s="53">
        <v>78.385321100917395</v>
      </c>
      <c r="AA173" s="43">
        <v>2</v>
      </c>
      <c r="AB173" s="54">
        <v>0.99028941622906885</v>
      </c>
      <c r="AC173" s="55">
        <v>9.7105837709312009E-3</v>
      </c>
      <c r="AD173" s="752" t="e">
        <f>_xlfn.XLOOKUP(Table1[[#This Row],[Ruta]],#REF!,#REF!)</f>
        <v>#REF!</v>
      </c>
      <c r="AE173" s="752" t="e">
        <f>_xlfn.XLOOKUP(Table1[[#This Row],[Ruta]],#REF!,#REF!)</f>
        <v>#REF!</v>
      </c>
      <c r="AF173" s="752" t="e">
        <f>_xlfn.XLOOKUP(Table1[[#This Row],[Ruta]],#REF!,#REF!)</f>
        <v>#REF!</v>
      </c>
      <c r="AG173" s="752" t="e">
        <f>_xlfn.XLOOKUP(Table1[[#This Row],[Ruta]],#REF!,#REF!)</f>
        <v>#REF!</v>
      </c>
      <c r="AH173" s="52">
        <v>0.65849120759046487</v>
      </c>
      <c r="AI173" s="52">
        <v>0.34150879240953508</v>
      </c>
      <c r="AJ173" s="55">
        <v>0</v>
      </c>
      <c r="AK173" s="56">
        <v>34176</v>
      </c>
      <c r="AL173" s="44">
        <v>24720</v>
      </c>
      <c r="AM173" s="54">
        <v>0.723314606741573</v>
      </c>
      <c r="AN173" s="55">
        <v>0.71946747217665497</v>
      </c>
      <c r="AO173" s="56">
        <v>0</v>
      </c>
      <c r="AP173" s="48">
        <v>0</v>
      </c>
      <c r="AQ173" s="55">
        <v>0.723314606741573</v>
      </c>
      <c r="AR173" s="51">
        <v>5343755.2699999996</v>
      </c>
      <c r="AS173" s="49">
        <v>0</v>
      </c>
      <c r="AT173" s="55">
        <v>0</v>
      </c>
      <c r="AU173" s="51">
        <v>0</v>
      </c>
      <c r="AV173" s="52">
        <v>0</v>
      </c>
      <c r="AW173" s="44">
        <v>490</v>
      </c>
      <c r="AX173" s="51">
        <v>216.17132969255701</v>
      </c>
      <c r="AY173" s="49">
        <v>222.22925855150001</v>
      </c>
      <c r="AZ173" s="49">
        <v>6.0579288589430007</v>
      </c>
      <c r="BA173" s="42" t="s">
        <v>150</v>
      </c>
      <c r="BB173" s="50">
        <v>52615.568057024953</v>
      </c>
      <c r="BC173" s="57">
        <v>52615.568057024953</v>
      </c>
      <c r="BD173" s="42" t="s">
        <v>150</v>
      </c>
      <c r="BE173" s="46">
        <v>78.385321100917395</v>
      </c>
      <c r="BF173" s="46">
        <v>75.178899082568805</v>
      </c>
      <c r="BG173" s="42" t="s">
        <v>150</v>
      </c>
      <c r="BH173" s="52">
        <v>0.723314606741573</v>
      </c>
      <c r="BI173" s="52">
        <v>0.68279353391244302</v>
      </c>
      <c r="BJ173" s="42" t="s">
        <v>150</v>
      </c>
      <c r="BK173" s="46">
        <v>573.80066792660398</v>
      </c>
      <c r="BL173" s="46">
        <v>577.22407290825595</v>
      </c>
      <c r="BM173" s="42" t="s">
        <v>152</v>
      </c>
      <c r="BN173" s="48">
        <v>2</v>
      </c>
      <c r="BO173" s="42" t="s">
        <v>161</v>
      </c>
      <c r="BP173" s="42" t="s">
        <v>152</v>
      </c>
      <c r="BQ173" s="46">
        <v>0</v>
      </c>
      <c r="BR173" s="46">
        <v>367</v>
      </c>
      <c r="BS173" s="46">
        <v>14358</v>
      </c>
      <c r="BT173" s="46">
        <v>4326</v>
      </c>
      <c r="BU173" s="46">
        <v>3.3190013869625519</v>
      </c>
      <c r="BV173" s="46">
        <v>11.787465940054496</v>
      </c>
      <c r="BW173" s="46">
        <v>3071</v>
      </c>
      <c r="BX173" s="46">
        <v>1042</v>
      </c>
      <c r="BY173" s="46">
        <v>4113</v>
      </c>
      <c r="BZ173" s="46">
        <v>0.95076282940360612</v>
      </c>
      <c r="CA173" s="46">
        <v>0.7098936662043458</v>
      </c>
      <c r="CB173" s="46">
        <v>0.2408691631992603</v>
      </c>
      <c r="CC173" s="46">
        <v>0</v>
      </c>
      <c r="CD173" s="46">
        <v>0</v>
      </c>
      <c r="CE173" s="46">
        <v>0</v>
      </c>
      <c r="CF173" s="46">
        <v>4.9006010171058711E-2</v>
      </c>
      <c r="CG173" s="46">
        <v>0</v>
      </c>
      <c r="CH173" s="46">
        <v>2.311604253351826E-4</v>
      </c>
      <c r="CI173" s="46">
        <v>1.8804847471792729</v>
      </c>
      <c r="CJ173" s="46">
        <v>0.55718066583089565</v>
      </c>
      <c r="CK173">
        <v>479</v>
      </c>
      <c r="CL173">
        <v>862</v>
      </c>
      <c r="CM173">
        <f t="shared" si="21"/>
        <v>383</v>
      </c>
      <c r="CN173">
        <v>7.81</v>
      </c>
      <c r="CO173">
        <v>9.4499999999999993</v>
      </c>
      <c r="CP173">
        <f t="shared" si="22"/>
        <v>1.6399999999999997</v>
      </c>
      <c r="CQ173">
        <v>814.39</v>
      </c>
      <c r="CR173">
        <v>573.79999999999995</v>
      </c>
      <c r="CS173">
        <f t="shared" si="23"/>
        <v>240.59000000000003</v>
      </c>
      <c r="CT173" t="s">
        <v>152</v>
      </c>
      <c r="CU173">
        <v>91.04</v>
      </c>
      <c r="CV173">
        <v>437</v>
      </c>
      <c r="CW173" s="46">
        <v>4113</v>
      </c>
      <c r="CX173" s="46">
        <f t="shared" si="17"/>
        <v>86.222838650023121</v>
      </c>
      <c r="CY173" s="46">
        <v>383</v>
      </c>
      <c r="CZ173" s="46">
        <f t="shared" si="18"/>
        <v>95.076282940360613</v>
      </c>
      <c r="DA173" s="46">
        <f t="shared" si="19"/>
        <v>912.80280526651097</v>
      </c>
      <c r="DB173" s="46">
        <v>4298388.41</v>
      </c>
      <c r="DC173" s="46">
        <f t="shared" si="20"/>
        <v>42.473881928222553</v>
      </c>
      <c r="DD173" s="46">
        <v>200009.51</v>
      </c>
      <c r="DE173" s="995">
        <v>4113</v>
      </c>
      <c r="DF173" s="995">
        <v>86.32</v>
      </c>
      <c r="DG173" s="995">
        <v>378.8</v>
      </c>
      <c r="DH173" s="995">
        <v>95.075999999999993</v>
      </c>
      <c r="DI173" s="995">
        <v>1771.479</v>
      </c>
      <c r="DJ173" s="995">
        <v>8334475</v>
      </c>
      <c r="DK173" s="995">
        <v>82.528999999999996</v>
      </c>
      <c r="DL173" s="995">
        <v>388285.3</v>
      </c>
      <c r="DM173" s="995">
        <v>4113</v>
      </c>
      <c r="DN173" s="995">
        <v>86.61</v>
      </c>
      <c r="DO173" s="995">
        <v>366.2</v>
      </c>
      <c r="DP173" s="995">
        <v>95.075999999999993</v>
      </c>
      <c r="DQ173" s="995">
        <v>1755.796</v>
      </c>
      <c r="DR173" s="995">
        <v>8238629</v>
      </c>
      <c r="DS173" s="995">
        <v>81.724999999999994</v>
      </c>
      <c r="DT173" s="995">
        <v>383471.7</v>
      </c>
    </row>
    <row r="174" spans="1:124">
      <c r="A174" s="42" t="s">
        <v>93</v>
      </c>
      <c r="B174" s="42" t="s">
        <v>327</v>
      </c>
      <c r="C174" s="42" t="s">
        <v>328</v>
      </c>
      <c r="D174" s="42">
        <v>931431</v>
      </c>
      <c r="E174" s="42" t="s">
        <v>357</v>
      </c>
      <c r="F174" s="42" t="s">
        <v>149</v>
      </c>
      <c r="G174" s="42" t="s">
        <v>150</v>
      </c>
      <c r="H174" s="43" t="s">
        <v>150</v>
      </c>
      <c r="I174" s="44">
        <v>30</v>
      </c>
      <c r="J174" s="45">
        <v>239023.01919999899</v>
      </c>
      <c r="K174" s="46">
        <v>12646.676588</v>
      </c>
      <c r="L174" s="47">
        <v>251669.69578799899</v>
      </c>
      <c r="M174" s="48">
        <v>5089122</v>
      </c>
      <c r="N174" s="49">
        <v>3495786</v>
      </c>
      <c r="O174" s="49">
        <v>1593336</v>
      </c>
      <c r="P174" s="49">
        <v>0</v>
      </c>
      <c r="Q174" s="50">
        <v>11672.292798165099</v>
      </c>
      <c r="R174" s="51">
        <v>8688.5825669476799</v>
      </c>
      <c r="S174" s="49">
        <v>19152.017921397801</v>
      </c>
      <c r="T174" s="49">
        <v>3894.6408247793702</v>
      </c>
      <c r="U174" s="49">
        <f>IFERROR(INDEX('Rentabilidad datos'!$N$2:$N$61,MATCH($C174,'Rentabilidad datos'!$C$2:$C$61,0)),"")</f>
        <v>31735.24131312489</v>
      </c>
      <c r="V174" s="50">
        <f>IFERROR(INDEX('Rentabilidad datos'!$O$2:$O$61,MATCH($C174,'Rentabilidad datos'!$C$2:$C$61,0)),"")</f>
        <v>1133.4014754687462</v>
      </c>
      <c r="W174" s="51">
        <f>IFERROR(INDEX('Rentabilidad datos'!$M$2:$M$61,MATCH($C174,'Rentabilidad datos'!$C$2:$C$61,0)),"")</f>
        <v>2998.2139778064675</v>
      </c>
      <c r="X174" s="52">
        <f>IFERROR(INDEX('Rentabilidad datos'!$P$2:$P$61,MATCH($C174,'Rentabilidad datos'!$C$2:$C$61,0)),"")</f>
        <v>0.3780255458277722</v>
      </c>
      <c r="Y174" s="43" t="s">
        <v>171</v>
      </c>
      <c r="Z174" s="53">
        <v>75.178899082568805</v>
      </c>
      <c r="AA174" s="43">
        <v>2</v>
      </c>
      <c r="AB174" s="54">
        <v>0.99620975877567874</v>
      </c>
      <c r="AC174" s="55">
        <v>3.7902412243212089E-3</v>
      </c>
      <c r="AD174" s="752" t="e">
        <f>_xlfn.XLOOKUP(Table1[[#This Row],[Ruta]],#REF!,#REF!)</f>
        <v>#REF!</v>
      </c>
      <c r="AE174" s="752" t="e">
        <f>_xlfn.XLOOKUP(Table1[[#This Row],[Ruta]],#REF!,#REF!)</f>
        <v>#REF!</v>
      </c>
      <c r="AF174" s="752" t="e">
        <f>_xlfn.XLOOKUP(Table1[[#This Row],[Ruta]],#REF!,#REF!)</f>
        <v>#REF!</v>
      </c>
      <c r="AG174" s="752" t="e">
        <f>_xlfn.XLOOKUP(Table1[[#This Row],[Ruta]],#REF!,#REF!)</f>
        <v>#REF!</v>
      </c>
      <c r="AH174" s="52">
        <v>0.68691338112939715</v>
      </c>
      <c r="AI174" s="52">
        <v>0.31308661887060285</v>
      </c>
      <c r="AJ174" s="55">
        <v>0</v>
      </c>
      <c r="AK174" s="56">
        <v>32778</v>
      </c>
      <c r="AL174" s="44">
        <v>29174</v>
      </c>
      <c r="AM174" s="54">
        <v>0.89004820306303001</v>
      </c>
      <c r="AN174" s="55">
        <v>0.71946747217665497</v>
      </c>
      <c r="AO174" s="56">
        <v>0</v>
      </c>
      <c r="AP174" s="48">
        <v>0</v>
      </c>
      <c r="AQ174" s="55">
        <v>0.89004820306303012</v>
      </c>
      <c r="AR174" s="51">
        <v>5089119.66</v>
      </c>
      <c r="AS174" s="49">
        <v>0</v>
      </c>
      <c r="AT174" s="55">
        <v>0</v>
      </c>
      <c r="AU174" s="51">
        <v>0</v>
      </c>
      <c r="AV174" s="52">
        <v>0</v>
      </c>
      <c r="AW174" s="44">
        <v>490</v>
      </c>
      <c r="AX174" s="51">
        <v>174.44024336738201</v>
      </c>
      <c r="AY174" s="49">
        <v>222.22925855150001</v>
      </c>
      <c r="AZ174" s="49">
        <v>47.789015184118</v>
      </c>
      <c r="BA174" s="42" t="s">
        <v>150</v>
      </c>
      <c r="BB174" s="50">
        <v>489852.9047772694</v>
      </c>
      <c r="BC174" s="57">
        <v>489852.9047772694</v>
      </c>
      <c r="BD174" s="42" t="s">
        <v>150</v>
      </c>
      <c r="BE174" s="46">
        <v>75.178899082568805</v>
      </c>
      <c r="BF174" s="46">
        <v>75.178899082568805</v>
      </c>
      <c r="BG174" s="42" t="s">
        <v>150</v>
      </c>
      <c r="BH174" s="52">
        <v>0.89004820306303001</v>
      </c>
      <c r="BI174" s="52">
        <v>0.68279353391244302</v>
      </c>
      <c r="BJ174" s="42" t="s">
        <v>150</v>
      </c>
      <c r="BK174" s="46">
        <v>577.22407290825595</v>
      </c>
      <c r="BL174" s="46">
        <v>577.22407290825595</v>
      </c>
      <c r="BM174" s="42" t="s">
        <v>150</v>
      </c>
      <c r="BN174" s="48">
        <v>3</v>
      </c>
      <c r="BO174" s="42" t="s">
        <v>153</v>
      </c>
      <c r="BP174" s="42" t="s">
        <v>150</v>
      </c>
      <c r="BQ174" s="46">
        <v>0</v>
      </c>
      <c r="BR174" s="46">
        <v>183</v>
      </c>
      <c r="BS174" s="46">
        <v>8475</v>
      </c>
      <c r="BT174" s="46">
        <v>2964</v>
      </c>
      <c r="BU174" s="46">
        <v>2.8593117408906883</v>
      </c>
      <c r="BV174" s="46">
        <v>16.196721311475411</v>
      </c>
      <c r="BW174" s="46">
        <v>188</v>
      </c>
      <c r="BX174" s="46">
        <v>2776</v>
      </c>
      <c r="BY174" s="46">
        <v>2964</v>
      </c>
      <c r="BZ174" s="46">
        <v>1</v>
      </c>
      <c r="CA174" s="46">
        <v>6.3427800269905535E-2</v>
      </c>
      <c r="CB174" s="46">
        <v>0.93657219973009442</v>
      </c>
      <c r="CC174" s="46">
        <v>0</v>
      </c>
      <c r="CD174" s="46">
        <v>0</v>
      </c>
      <c r="CE174" s="46">
        <v>0</v>
      </c>
      <c r="CF174" s="46">
        <v>0</v>
      </c>
      <c r="CG174" s="46">
        <v>0</v>
      </c>
      <c r="CH174" s="46">
        <v>0</v>
      </c>
      <c r="CI174" s="46">
        <v>3.775811209439528</v>
      </c>
      <c r="CJ174" s="46">
        <v>1.415929203539823</v>
      </c>
      <c r="CK174">
        <v>514</v>
      </c>
      <c r="CL174">
        <v>726.26</v>
      </c>
      <c r="CM174">
        <f t="shared" si="21"/>
        <v>212.26</v>
      </c>
      <c r="CN174">
        <v>8.01</v>
      </c>
      <c r="CO174">
        <v>9.4499999999999993</v>
      </c>
      <c r="CP174">
        <f t="shared" si="22"/>
        <v>1.4399999999999995</v>
      </c>
      <c r="CQ174">
        <v>814.39</v>
      </c>
      <c r="CR174">
        <v>577.22</v>
      </c>
      <c r="CS174">
        <f t="shared" si="23"/>
        <v>237.16999999999996</v>
      </c>
      <c r="CT174" t="s">
        <v>152</v>
      </c>
      <c r="CU174">
        <v>93.61</v>
      </c>
      <c r="CV174">
        <v>518</v>
      </c>
      <c r="CW174" s="46">
        <v>2964</v>
      </c>
      <c r="CX174" s="46">
        <f t="shared" si="17"/>
        <v>92.83873144399459</v>
      </c>
      <c r="CY174" s="46">
        <v>212.26</v>
      </c>
      <c r="CZ174" s="46">
        <f t="shared" si="18"/>
        <v>100</v>
      </c>
      <c r="DA174" s="46">
        <f t="shared" si="19"/>
        <v>651.16458665222615</v>
      </c>
      <c r="DB174" s="46">
        <v>2068268.03</v>
      </c>
      <c r="DC174" s="46">
        <f t="shared" si="20"/>
        <v>31.983732440039539</v>
      </c>
      <c r="DD174" s="46">
        <v>101588.65</v>
      </c>
      <c r="DE174" s="995">
        <v>2964</v>
      </c>
      <c r="DF174" s="995">
        <v>92.957999999999998</v>
      </c>
      <c r="DG174" s="995">
        <v>208.7</v>
      </c>
      <c r="DH174" s="995">
        <v>100</v>
      </c>
      <c r="DI174" s="995">
        <v>2209.94</v>
      </c>
      <c r="DJ174" s="995">
        <v>7011552</v>
      </c>
      <c r="DK174" s="995">
        <v>110.762</v>
      </c>
      <c r="DL174" s="995">
        <v>351417.9</v>
      </c>
      <c r="DM174" s="995">
        <v>2964</v>
      </c>
      <c r="DN174" s="995">
        <v>93.534999999999997</v>
      </c>
      <c r="DO174" s="995">
        <v>191.6</v>
      </c>
      <c r="DP174" s="995">
        <v>100</v>
      </c>
      <c r="DQ174" s="995">
        <v>2177.328</v>
      </c>
      <c r="DR174" s="995">
        <v>6870814</v>
      </c>
      <c r="DS174" s="995">
        <v>109.181</v>
      </c>
      <c r="DT174" s="995">
        <v>344535.1</v>
      </c>
    </row>
    <row r="175" spans="1:124">
      <c r="A175" s="42" t="s">
        <v>93</v>
      </c>
      <c r="B175" s="42" t="s">
        <v>327</v>
      </c>
      <c r="C175" s="42" t="s">
        <v>328</v>
      </c>
      <c r="D175" s="42">
        <v>931432</v>
      </c>
      <c r="E175" s="42" t="s">
        <v>358</v>
      </c>
      <c r="F175" s="42" t="s">
        <v>149</v>
      </c>
      <c r="G175" s="42" t="s">
        <v>150</v>
      </c>
      <c r="H175" s="43" t="s">
        <v>150</v>
      </c>
      <c r="I175" s="44">
        <v>30</v>
      </c>
      <c r="J175" s="45">
        <v>198599.95680000001</v>
      </c>
      <c r="K175" s="46">
        <v>8570.5553519999994</v>
      </c>
      <c r="L175" s="47">
        <v>207170.51215200001</v>
      </c>
      <c r="M175" s="48">
        <v>3874068</v>
      </c>
      <c r="N175" s="49">
        <v>2716783</v>
      </c>
      <c r="O175" s="49">
        <v>1157285</v>
      </c>
      <c r="P175" s="49">
        <v>0</v>
      </c>
      <c r="Q175" s="50">
        <v>8885.4686009174293</v>
      </c>
      <c r="R175" s="51">
        <v>8688.5825669476799</v>
      </c>
      <c r="S175" s="49">
        <v>19152.017921397801</v>
      </c>
      <c r="T175" s="49">
        <v>3894.6408247793702</v>
      </c>
      <c r="U175" s="49">
        <f>IFERROR(INDEX('Rentabilidad datos'!$N$2:$N$61,MATCH($C175,'Rentabilidad datos'!$C$2:$C$61,0)),"")</f>
        <v>31735.24131312489</v>
      </c>
      <c r="V175" s="50">
        <f>IFERROR(INDEX('Rentabilidad datos'!$O$2:$O$61,MATCH($C175,'Rentabilidad datos'!$C$2:$C$61,0)),"")</f>
        <v>1133.4014754687462</v>
      </c>
      <c r="W175" s="51">
        <f>IFERROR(INDEX('Rentabilidad datos'!$M$2:$M$61,MATCH($C175,'Rentabilidad datos'!$C$2:$C$61,0)),"")</f>
        <v>2998.2139778064675</v>
      </c>
      <c r="X175" s="52">
        <f>IFERROR(INDEX('Rentabilidad datos'!$P$2:$P$61,MATCH($C175,'Rentabilidad datos'!$C$2:$C$61,0)),"")</f>
        <v>0.3780255458277722</v>
      </c>
      <c r="Y175" s="43" t="s">
        <v>171</v>
      </c>
      <c r="Z175" s="53">
        <v>76.380733944954102</v>
      </c>
      <c r="AA175" s="43">
        <v>2</v>
      </c>
      <c r="AB175" s="54">
        <v>0.9784626908975268</v>
      </c>
      <c r="AC175" s="55">
        <v>2.1537309102473163E-2</v>
      </c>
      <c r="AD175" s="752" t="e">
        <f>_xlfn.XLOOKUP(Table1[[#This Row],[Ruta]],#REF!,#REF!)</f>
        <v>#REF!</v>
      </c>
      <c r="AE175" s="752" t="e">
        <f>_xlfn.XLOOKUP(Table1[[#This Row],[Ruta]],#REF!,#REF!)</f>
        <v>#REF!</v>
      </c>
      <c r="AF175" s="752" t="e">
        <f>_xlfn.XLOOKUP(Table1[[#This Row],[Ruta]],#REF!,#REF!)</f>
        <v>#REF!</v>
      </c>
      <c r="AG175" s="752" t="e">
        <f>_xlfn.XLOOKUP(Table1[[#This Row],[Ruta]],#REF!,#REF!)</f>
        <v>#REF!</v>
      </c>
      <c r="AH175" s="52">
        <v>0.70127395802035486</v>
      </c>
      <c r="AI175" s="52">
        <v>0.2987260419796452</v>
      </c>
      <c r="AJ175" s="55">
        <v>0</v>
      </c>
      <c r="AK175" s="56">
        <v>33302</v>
      </c>
      <c r="AL175" s="44">
        <v>23917</v>
      </c>
      <c r="AM175" s="54">
        <v>0.71818509398834895</v>
      </c>
      <c r="AN175" s="55">
        <v>0.71946747217665497</v>
      </c>
      <c r="AO175" s="56">
        <v>42.705758426967797</v>
      </c>
      <c r="AP175" s="48">
        <v>21.352879213483899</v>
      </c>
      <c r="AQ175" s="55">
        <v>0.71882628308250196</v>
      </c>
      <c r="AR175" s="51">
        <v>3874064.31</v>
      </c>
      <c r="AS175" s="49">
        <v>3458.7292418237598</v>
      </c>
      <c r="AT175" s="55">
        <v>8.927908689837314E-4</v>
      </c>
      <c r="AU175" s="51">
        <v>2430.4583861464266</v>
      </c>
      <c r="AV175" s="52">
        <v>1.1056385199218934E-5</v>
      </c>
      <c r="AW175" s="44">
        <v>484</v>
      </c>
      <c r="AX175" s="51">
        <v>161.979525442154</v>
      </c>
      <c r="AY175" s="49">
        <v>222.22925855150001</v>
      </c>
      <c r="AZ175" s="49">
        <v>60.24973310934601</v>
      </c>
      <c r="BA175" s="42" t="s">
        <v>150</v>
      </c>
      <c r="BB175" s="50">
        <v>506294.79102948587</v>
      </c>
      <c r="BC175" s="57">
        <v>508725.24941563228</v>
      </c>
      <c r="BD175" s="42" t="s">
        <v>150</v>
      </c>
      <c r="BE175" s="46">
        <v>76.380733944954102</v>
      </c>
      <c r="BF175" s="46">
        <v>75.178899082568805</v>
      </c>
      <c r="BG175" s="42" t="s">
        <v>150</v>
      </c>
      <c r="BH175" s="52">
        <v>0.71818509398834895</v>
      </c>
      <c r="BI175" s="52">
        <v>0.68279353391244302</v>
      </c>
      <c r="BJ175" s="42" t="s">
        <v>150</v>
      </c>
      <c r="BK175" s="46">
        <v>475.16172511926499</v>
      </c>
      <c r="BL175" s="46">
        <v>577.22407290825595</v>
      </c>
      <c r="BM175" s="42" t="s">
        <v>152</v>
      </c>
      <c r="BN175" s="48">
        <v>2</v>
      </c>
      <c r="BO175" s="42" t="s">
        <v>161</v>
      </c>
      <c r="BP175" s="42" t="s">
        <v>152</v>
      </c>
      <c r="BQ175" s="46">
        <v>579.27086208384605</v>
      </c>
      <c r="BR175" s="46">
        <v>95</v>
      </c>
      <c r="BS175" s="46">
        <v>7069</v>
      </c>
      <c r="BT175" s="46">
        <v>2300</v>
      </c>
      <c r="BU175" s="46">
        <v>3.0734782608695652</v>
      </c>
      <c r="BV175" s="46">
        <v>24.210526315789473</v>
      </c>
      <c r="BW175" s="46">
        <v>1257</v>
      </c>
      <c r="BX175" s="46">
        <v>608</v>
      </c>
      <c r="BY175" s="46">
        <v>1865</v>
      </c>
      <c r="BZ175" s="46">
        <v>0.81086956521739129</v>
      </c>
      <c r="CA175" s="46">
        <v>0.54652173913043478</v>
      </c>
      <c r="CB175" s="46">
        <v>0.26434782608695651</v>
      </c>
      <c r="CC175" s="46">
        <v>0.18913043478260869</v>
      </c>
      <c r="CD175" s="46">
        <v>0</v>
      </c>
      <c r="CE175" s="46">
        <v>0</v>
      </c>
      <c r="CF175" s="46">
        <v>0</v>
      </c>
      <c r="CG175" s="46">
        <v>0</v>
      </c>
      <c r="CH175" s="46">
        <v>0</v>
      </c>
      <c r="CI175" s="46">
        <v>4.9511953600226342</v>
      </c>
      <c r="CJ175" s="46">
        <v>1.5560899702928279</v>
      </c>
      <c r="CK175">
        <v>321</v>
      </c>
      <c r="CL175">
        <v>575.47</v>
      </c>
      <c r="CM175">
        <f t="shared" si="21"/>
        <v>254.47000000000003</v>
      </c>
      <c r="CN175">
        <v>6.34</v>
      </c>
      <c r="CO175">
        <v>9.4499999999999993</v>
      </c>
      <c r="CP175">
        <f t="shared" si="22"/>
        <v>3.1099999999999994</v>
      </c>
      <c r="CQ175">
        <v>814.39</v>
      </c>
      <c r="CR175">
        <v>475.16</v>
      </c>
      <c r="CS175">
        <f t="shared" si="23"/>
        <v>339.22999999999996</v>
      </c>
      <c r="CT175" t="s">
        <v>152</v>
      </c>
      <c r="CU175">
        <v>78.010000000000005</v>
      </c>
      <c r="CV175">
        <v>283</v>
      </c>
      <c r="CW175" s="46">
        <v>1865</v>
      </c>
      <c r="CX175" s="46">
        <f t="shared" si="17"/>
        <v>70.023043478260874</v>
      </c>
      <c r="CY175" s="46">
        <v>254.47</v>
      </c>
      <c r="CZ175" s="46">
        <f t="shared" si="18"/>
        <v>81.086956521739125</v>
      </c>
      <c r="DA175" s="46">
        <f t="shared" si="19"/>
        <v>1475.4610897759615</v>
      </c>
      <c r="DB175" s="46">
        <v>3769021.09</v>
      </c>
      <c r="DC175" s="46">
        <f t="shared" si="20"/>
        <v>69.261075683018404</v>
      </c>
      <c r="DD175" s="46">
        <v>176925.34</v>
      </c>
      <c r="DE175" s="995">
        <v>1865</v>
      </c>
      <c r="DF175" s="995">
        <v>70.427000000000007</v>
      </c>
      <c r="DG175" s="995">
        <v>245.2</v>
      </c>
      <c r="DH175" s="995">
        <v>81.087000000000003</v>
      </c>
      <c r="DI175" s="995">
        <v>2142.7570000000001</v>
      </c>
      <c r="DJ175" s="995">
        <v>5453682</v>
      </c>
      <c r="DK175" s="995">
        <v>101.495</v>
      </c>
      <c r="DL175" s="995">
        <v>258321.9</v>
      </c>
      <c r="DM175" s="995">
        <v>1865</v>
      </c>
      <c r="DN175" s="995">
        <v>71.415000000000006</v>
      </c>
      <c r="DO175" s="995">
        <v>222.5</v>
      </c>
      <c r="DP175" s="995">
        <v>81.087000000000003</v>
      </c>
      <c r="DQ175" s="995">
        <v>2084.194</v>
      </c>
      <c r="DR175" s="995">
        <v>5257280</v>
      </c>
      <c r="DS175" s="995">
        <v>98.891000000000005</v>
      </c>
      <c r="DT175" s="995">
        <v>249447.4</v>
      </c>
    </row>
    <row r="176" spans="1:124">
      <c r="A176" s="42" t="s">
        <v>93</v>
      </c>
      <c r="B176" s="42" t="s">
        <v>320</v>
      </c>
      <c r="C176" s="42" t="s">
        <v>359</v>
      </c>
      <c r="D176" s="42" t="s">
        <v>322</v>
      </c>
      <c r="E176" s="42" t="s">
        <v>360</v>
      </c>
      <c r="F176" s="42" t="s">
        <v>324</v>
      </c>
      <c r="G176" s="42" t="s">
        <v>152</v>
      </c>
      <c r="H176" s="43" t="s">
        <v>152</v>
      </c>
      <c r="I176" s="44">
        <v>1</v>
      </c>
      <c r="J176" s="45">
        <v>0</v>
      </c>
      <c r="K176" s="46">
        <v>0</v>
      </c>
      <c r="L176" s="47">
        <v>35.223999999999997</v>
      </c>
      <c r="M176" s="48">
        <v>0</v>
      </c>
      <c r="N176" s="49">
        <v>0</v>
      </c>
      <c r="O176" s="49">
        <v>0</v>
      </c>
      <c r="P176" s="49">
        <v>0</v>
      </c>
      <c r="Q176" s="50">
        <v>0</v>
      </c>
      <c r="R176" s="51" t="s">
        <v>194</v>
      </c>
      <c r="S176" s="49" t="s">
        <v>194</v>
      </c>
      <c r="T176" s="49" t="s">
        <v>194</v>
      </c>
      <c r="U176" s="49" t="str">
        <f>IFERROR(INDEX('Rentabilidad datos'!$N$2:$N$61,MATCH($C176,'Rentabilidad datos'!$C$2:$C$61,0)),"")</f>
        <v/>
      </c>
      <c r="V176" s="50" t="str">
        <f>IFERROR(INDEX('Rentabilidad datos'!$O$2:$O$61,MATCH($C176,'Rentabilidad datos'!$C$2:$C$61,0)),"")</f>
        <v/>
      </c>
      <c r="W176" s="51" t="str">
        <f>IFERROR(INDEX('Rentabilidad datos'!$M$2:$M$61,MATCH($C176,'Rentabilidad datos'!$C$2:$C$61,0)),"")</f>
        <v/>
      </c>
      <c r="X176" s="52" t="str">
        <f>IFERROR(INDEX('Rentabilidad datos'!$P$2:$P$61,MATCH($C176,'Rentabilidad datos'!$C$2:$C$61,0)),"")</f>
        <v/>
      </c>
      <c r="Y176" s="43">
        <v>0</v>
      </c>
      <c r="Z176" s="53">
        <v>0</v>
      </c>
      <c r="AA176" s="43">
        <v>1</v>
      </c>
      <c r="AB176" s="54">
        <v>0</v>
      </c>
      <c r="AC176" s="55">
        <v>0</v>
      </c>
      <c r="AD176" s="752" t="e">
        <f>_xlfn.XLOOKUP(Table1[[#This Row],[Ruta]],#REF!,#REF!)</f>
        <v>#REF!</v>
      </c>
      <c r="AE176" s="752" t="e">
        <f>_xlfn.XLOOKUP(Table1[[#This Row],[Ruta]],#REF!,#REF!)</f>
        <v>#REF!</v>
      </c>
      <c r="AF176" s="752" t="e">
        <f>_xlfn.XLOOKUP(Table1[[#This Row],[Ruta]],#REF!,#REF!)</f>
        <v>#REF!</v>
      </c>
      <c r="AG176" s="752" t="e">
        <f>_xlfn.XLOOKUP(Table1[[#This Row],[Ruta]],#REF!,#REF!)</f>
        <v>#REF!</v>
      </c>
      <c r="AH176" s="52">
        <v>0</v>
      </c>
      <c r="AI176" s="52">
        <v>0</v>
      </c>
      <c r="AJ176" s="55">
        <v>0</v>
      </c>
      <c r="AK176" s="56">
        <v>0</v>
      </c>
      <c r="AL176" s="44">
        <v>1</v>
      </c>
      <c r="AM176" s="54">
        <v>0</v>
      </c>
      <c r="AN176" s="55">
        <v>0</v>
      </c>
      <c r="AO176" s="56">
        <v>0</v>
      </c>
      <c r="AP176" s="48">
        <v>0</v>
      </c>
      <c r="AQ176" s="55" t="s">
        <v>194</v>
      </c>
      <c r="AR176" s="51">
        <v>432</v>
      </c>
      <c r="AS176" s="49">
        <v>0</v>
      </c>
      <c r="AT176" s="55">
        <v>0</v>
      </c>
      <c r="AU176" s="51">
        <v>0</v>
      </c>
      <c r="AV176" s="52">
        <v>0</v>
      </c>
      <c r="AW176" s="44">
        <v>490</v>
      </c>
      <c r="AX176" s="51">
        <v>432</v>
      </c>
      <c r="AY176" s="49">
        <v>0</v>
      </c>
      <c r="AZ176" s="49">
        <v>0</v>
      </c>
      <c r="BA176" s="42" t="s">
        <v>152</v>
      </c>
      <c r="BB176" s="50">
        <v>0</v>
      </c>
      <c r="BC176" s="57">
        <v>0</v>
      </c>
      <c r="BD176" s="42" t="s">
        <v>152</v>
      </c>
      <c r="BE176" s="46" t="s">
        <v>195</v>
      </c>
      <c r="BF176" s="46" t="s">
        <v>195</v>
      </c>
      <c r="BG176" s="42" t="s">
        <v>195</v>
      </c>
      <c r="BH176" s="52" t="s">
        <v>195</v>
      </c>
      <c r="BI176" s="52" t="s">
        <v>195</v>
      </c>
      <c r="BJ176" s="42" t="s">
        <v>195</v>
      </c>
      <c r="BK176" s="46" t="s">
        <v>195</v>
      </c>
      <c r="BL176" s="46" t="s">
        <v>195</v>
      </c>
      <c r="BM176" s="42" t="s">
        <v>195</v>
      </c>
      <c r="BN176" s="48" t="s">
        <v>195</v>
      </c>
      <c r="BO176" s="42" t="s">
        <v>195</v>
      </c>
      <c r="BP176" s="42" t="s">
        <v>152</v>
      </c>
      <c r="BQ176" s="46">
        <v>0</v>
      </c>
      <c r="BR176" s="46" t="e">
        <v>#N/A</v>
      </c>
      <c r="BS176" s="46" t="e">
        <v>#N/A</v>
      </c>
      <c r="BT176" s="46" t="e">
        <v>#N/A</v>
      </c>
      <c r="BU176" s="46" t="e">
        <v>#N/A</v>
      </c>
      <c r="BV176" s="46" t="e">
        <v>#N/A</v>
      </c>
      <c r="BW176" s="46" t="e">
        <v>#N/A</v>
      </c>
      <c r="BX176" s="46" t="e">
        <v>#N/A</v>
      </c>
      <c r="BY176" s="46" t="e">
        <v>#N/A</v>
      </c>
      <c r="BZ176" s="46" t="e">
        <v>#N/A</v>
      </c>
      <c r="CA176" s="46" t="e">
        <v>#N/A</v>
      </c>
      <c r="CB176" s="46" t="e">
        <v>#N/A</v>
      </c>
      <c r="CC176" s="46" t="e">
        <v>#N/A</v>
      </c>
      <c r="CD176" s="46" t="e">
        <v>#N/A</v>
      </c>
      <c r="CE176" s="46" t="e">
        <v>#N/A</v>
      </c>
      <c r="CF176" s="46" t="e">
        <v>#N/A</v>
      </c>
      <c r="CG176" s="46" t="e">
        <v>#N/A</v>
      </c>
      <c r="CH176" s="46" t="e">
        <v>#N/A</v>
      </c>
      <c r="CI176" s="46" t="e">
        <v>#N/A</v>
      </c>
      <c r="CJ176" s="46" t="e">
        <v>#N/A</v>
      </c>
      <c r="CM176">
        <f t="shared" si="21"/>
        <v>0</v>
      </c>
      <c r="CP176">
        <f t="shared" si="22"/>
        <v>0</v>
      </c>
      <c r="CS176">
        <f t="shared" si="23"/>
        <v>0</v>
      </c>
      <c r="CW176" s="46"/>
      <c r="CX176" s="46" t="e">
        <f t="shared" si="17"/>
        <v>#N/A</v>
      </c>
      <c r="CY176" s="46"/>
      <c r="CZ176" s="46" t="e">
        <f t="shared" si="18"/>
        <v>#N/A</v>
      </c>
      <c r="DA176" s="46" t="e">
        <f t="shared" si="19"/>
        <v>#N/A</v>
      </c>
      <c r="DB176" s="46"/>
      <c r="DC176" s="46" t="e">
        <f t="shared" si="20"/>
        <v>#N/A</v>
      </c>
      <c r="DD176" s="46"/>
      <c r="DE176" s="995" t="s">
        <v>194</v>
      </c>
      <c r="DF176" s="995" t="s">
        <v>194</v>
      </c>
      <c r="DG176" s="995" t="s">
        <v>194</v>
      </c>
      <c r="DH176" s="995" t="s">
        <v>194</v>
      </c>
      <c r="DI176" s="995" t="s">
        <v>194</v>
      </c>
      <c r="DJ176" s="995" t="s">
        <v>194</v>
      </c>
      <c r="DK176" s="995" t="s">
        <v>194</v>
      </c>
      <c r="DL176" s="995" t="s">
        <v>194</v>
      </c>
      <c r="DM176" s="995" t="s">
        <v>194</v>
      </c>
      <c r="DN176" s="995" t="s">
        <v>194</v>
      </c>
      <c r="DO176" s="995" t="s">
        <v>194</v>
      </c>
      <c r="DP176" s="995" t="s">
        <v>194</v>
      </c>
      <c r="DQ176" s="995" t="s">
        <v>194</v>
      </c>
      <c r="DR176" s="995" t="s">
        <v>194</v>
      </c>
      <c r="DS176" s="995" t="s">
        <v>194</v>
      </c>
      <c r="DT176" s="995" t="s">
        <v>194</v>
      </c>
    </row>
    <row r="177" spans="1:124">
      <c r="A177" s="42" t="s">
        <v>93</v>
      </c>
      <c r="B177" s="42" t="s">
        <v>361</v>
      </c>
      <c r="C177" s="42" t="s">
        <v>362</v>
      </c>
      <c r="D177" s="42">
        <v>301340</v>
      </c>
      <c r="E177" s="42" t="s">
        <v>363</v>
      </c>
      <c r="F177" s="42" t="s">
        <v>149</v>
      </c>
      <c r="G177" s="42" t="s">
        <v>150</v>
      </c>
      <c r="H177" s="43" t="s">
        <v>150</v>
      </c>
      <c r="I177" s="44">
        <v>23</v>
      </c>
      <c r="J177" s="45">
        <v>128674.7748</v>
      </c>
      <c r="K177" s="46">
        <v>14478.957504</v>
      </c>
      <c r="L177" s="47">
        <v>143153.732304</v>
      </c>
      <c r="M177" s="48">
        <v>4220232</v>
      </c>
      <c r="N177" s="49">
        <v>1940748</v>
      </c>
      <c r="O177" s="49">
        <v>2279484</v>
      </c>
      <c r="P177" s="49">
        <v>0</v>
      </c>
      <c r="Q177" s="50">
        <v>9976.8162844036706</v>
      </c>
      <c r="R177" s="51">
        <v>2617.7199802636401</v>
      </c>
      <c r="S177" s="49">
        <v>27673.204792902601</v>
      </c>
      <c r="T177" s="49">
        <v>3072.8545955521699</v>
      </c>
      <c r="U177" s="49">
        <f>IFERROR(INDEX('Rentabilidad datos'!$N$2:$N$61,MATCH($C177,'Rentabilidad datos'!$C$2:$C$61,0)),"")</f>
        <v>33363.779368718446</v>
      </c>
      <c r="V177" s="50">
        <f>IFERROR(INDEX('Rentabilidad datos'!$O$2:$O$61,MATCH($C177,'Rentabilidad datos'!$C$2:$C$61,0)),"")</f>
        <v>1588.7513985104022</v>
      </c>
      <c r="W177" s="51">
        <f>IFERROR(INDEX('Rentabilidad datos'!$M$2:$M$61,MATCH($C177,'Rentabilidad datos'!$C$2:$C$61,0)),"")</f>
        <v>2501.4542944353198</v>
      </c>
      <c r="X177" s="52">
        <f>IFERROR(INDEX('Rentabilidad datos'!$P$2:$P$61,MATCH($C177,'Rentabilidad datos'!$C$2:$C$61,0)),"")</f>
        <v>0.63513109235883447</v>
      </c>
      <c r="Y177" s="43" t="s">
        <v>211</v>
      </c>
      <c r="Z177" s="53">
        <v>56.376146788990802</v>
      </c>
      <c r="AA177" s="43">
        <v>1</v>
      </c>
      <c r="AB177" s="54">
        <v>0.9989979223891009</v>
      </c>
      <c r="AC177" s="55">
        <v>1.0020776108991165E-3</v>
      </c>
      <c r="AD177" s="752" t="e">
        <f>_xlfn.XLOOKUP(Table1[[#This Row],[Ruta]],#REF!,#REF!)</f>
        <v>#REF!</v>
      </c>
      <c r="AE177" s="752" t="e">
        <f>_xlfn.XLOOKUP(Table1[[#This Row],[Ruta]],#REF!,#REF!)</f>
        <v>#REF!</v>
      </c>
      <c r="AF177" s="752" t="e">
        <f>_xlfn.XLOOKUP(Table1[[#This Row],[Ruta]],#REF!,#REF!)</f>
        <v>#REF!</v>
      </c>
      <c r="AG177" s="752" t="e">
        <f>_xlfn.XLOOKUP(Table1[[#This Row],[Ruta]],#REF!,#REF!)</f>
        <v>#REF!</v>
      </c>
      <c r="AH177" s="52">
        <v>0.45986760917409281</v>
      </c>
      <c r="AI177" s="52">
        <v>0.54013239082590725</v>
      </c>
      <c r="AJ177" s="55">
        <v>0</v>
      </c>
      <c r="AK177" s="56">
        <v>24580</v>
      </c>
      <c r="AL177" s="44">
        <v>17953</v>
      </c>
      <c r="AM177" s="54">
        <v>0.73039056143205905</v>
      </c>
      <c r="AN177" s="55">
        <v>0.76227312282453297</v>
      </c>
      <c r="AO177" s="56">
        <v>783.673359027027</v>
      </c>
      <c r="AP177" s="48">
        <v>391.8366795135135</v>
      </c>
      <c r="AQ177" s="55">
        <v>0.74633184212829595</v>
      </c>
      <c r="AR177" s="51">
        <v>4349891.9000000004</v>
      </c>
      <c r="AS177" s="49">
        <v>94939.408362877002</v>
      </c>
      <c r="AT177" s="55">
        <v>2.1825693728820476E-2</v>
      </c>
      <c r="AU177" s="51">
        <v>66714.178849589269</v>
      </c>
      <c r="AV177" s="52">
        <v>3.0348911292415141E-4</v>
      </c>
      <c r="AW177" s="44">
        <v>418</v>
      </c>
      <c r="AX177" s="51">
        <v>242.29331588035399</v>
      </c>
      <c r="AY177" s="49">
        <v>397.41142810899697</v>
      </c>
      <c r="AZ177" s="49">
        <v>155.11811222864299</v>
      </c>
      <c r="BA177" s="42" t="s">
        <v>150</v>
      </c>
      <c r="BB177" s="50">
        <v>978455.70526839932</v>
      </c>
      <c r="BC177" s="57">
        <v>1045169.8841179886</v>
      </c>
      <c r="BD177" s="42" t="s">
        <v>150</v>
      </c>
      <c r="BE177" s="46">
        <v>56.376146788990802</v>
      </c>
      <c r="BF177" s="46">
        <v>38.539172378641602</v>
      </c>
      <c r="BG177" s="42" t="s">
        <v>150</v>
      </c>
      <c r="BH177" s="52">
        <v>0.73039056143205905</v>
      </c>
      <c r="BI177" s="52">
        <v>0.66503705286792802</v>
      </c>
      <c r="BJ177" s="42" t="s">
        <v>150</v>
      </c>
      <c r="BK177" s="46">
        <v>328.33424840366899</v>
      </c>
      <c r="BL177" s="46">
        <v>393.04436199544199</v>
      </c>
      <c r="BM177" s="42" t="s">
        <v>152</v>
      </c>
      <c r="BN177" s="48">
        <v>2</v>
      </c>
      <c r="BO177" s="42" t="s">
        <v>161</v>
      </c>
      <c r="BP177" s="42" t="s">
        <v>152</v>
      </c>
      <c r="BQ177" s="46">
        <v>28.866641982323902</v>
      </c>
      <c r="BR177" s="46">
        <v>108</v>
      </c>
      <c r="BS177" s="46">
        <v>6545</v>
      </c>
      <c r="BT177" s="46">
        <v>2206</v>
      </c>
      <c r="BU177" s="46">
        <v>2.9669084315503174</v>
      </c>
      <c r="BV177" s="46">
        <v>20.425925925925927</v>
      </c>
      <c r="BW177" s="46">
        <v>2028</v>
      </c>
      <c r="BX177" s="46">
        <v>178</v>
      </c>
      <c r="BY177" s="46">
        <v>2206</v>
      </c>
      <c r="BZ177" s="46">
        <v>1</v>
      </c>
      <c r="CA177" s="46">
        <v>0.91931097008159568</v>
      </c>
      <c r="CB177" s="46">
        <v>8.0689029918404348E-2</v>
      </c>
      <c r="CC177" s="46">
        <v>0</v>
      </c>
      <c r="CD177" s="46">
        <v>0</v>
      </c>
      <c r="CE177" s="46">
        <v>0</v>
      </c>
      <c r="CF177" s="46">
        <v>0</v>
      </c>
      <c r="CG177" s="46">
        <v>0</v>
      </c>
      <c r="CH177" s="46">
        <v>0</v>
      </c>
      <c r="CI177" s="46">
        <v>0.15278838808250569</v>
      </c>
      <c r="CJ177" s="46">
        <v>1.222307104660046</v>
      </c>
      <c r="CK177">
        <v>347</v>
      </c>
      <c r="CL177">
        <v>601.44000000000005</v>
      </c>
      <c r="CM177">
        <f t="shared" si="21"/>
        <v>254.44000000000005</v>
      </c>
      <c r="CN177">
        <v>4.66</v>
      </c>
      <c r="CO177">
        <v>9.4499999999999993</v>
      </c>
      <c r="CP177">
        <f t="shared" si="22"/>
        <v>4.7899999999999991</v>
      </c>
      <c r="CQ177">
        <v>602.75</v>
      </c>
      <c r="CR177">
        <v>328.33</v>
      </c>
      <c r="CS177">
        <f t="shared" si="23"/>
        <v>274.42</v>
      </c>
      <c r="CT177" t="s">
        <v>152</v>
      </c>
      <c r="CU177">
        <v>56.37</v>
      </c>
      <c r="CV177">
        <v>362</v>
      </c>
      <c r="CW177" s="46">
        <v>2206</v>
      </c>
      <c r="CX177" s="46">
        <f t="shared" si="17"/>
        <v>88.46600181323663</v>
      </c>
      <c r="CY177" s="46">
        <v>254.44</v>
      </c>
      <c r="CZ177" s="46">
        <f t="shared" si="18"/>
        <v>100</v>
      </c>
      <c r="DA177" s="46">
        <f t="shared" si="19"/>
        <v>1378.0504015541935</v>
      </c>
      <c r="DB177" s="46">
        <v>3390610.33</v>
      </c>
      <c r="DC177" s="46">
        <f t="shared" si="20"/>
        <v>44.024983336313831</v>
      </c>
      <c r="DD177" s="46">
        <v>108320.83</v>
      </c>
      <c r="DE177" s="995">
        <v>2206</v>
      </c>
      <c r="DF177" s="995">
        <v>89.290999999999997</v>
      </c>
      <c r="DG177" s="995">
        <v>236.2</v>
      </c>
      <c r="DH177" s="995">
        <v>100</v>
      </c>
      <c r="DI177" s="995">
        <v>2710.8090000000002</v>
      </c>
      <c r="DJ177" s="995">
        <v>6620438</v>
      </c>
      <c r="DK177" s="995">
        <v>87.203999999999994</v>
      </c>
      <c r="DL177" s="995">
        <v>212973.5</v>
      </c>
      <c r="DM177" s="995">
        <v>2206</v>
      </c>
      <c r="DN177" s="995">
        <v>91.180999999999997</v>
      </c>
      <c r="DO177" s="995">
        <v>194.5</v>
      </c>
      <c r="DP177" s="995">
        <v>100</v>
      </c>
      <c r="DQ177" s="995">
        <v>2590.3029999999999</v>
      </c>
      <c r="DR177" s="995">
        <v>6218147</v>
      </c>
      <c r="DS177" s="995">
        <v>83.394999999999996</v>
      </c>
      <c r="DT177" s="995">
        <v>200192.8</v>
      </c>
    </row>
    <row r="178" spans="1:124">
      <c r="A178" s="42" t="s">
        <v>93</v>
      </c>
      <c r="B178" s="42" t="s">
        <v>361</v>
      </c>
      <c r="C178" s="42" t="s">
        <v>362</v>
      </c>
      <c r="D178" s="42">
        <v>301341</v>
      </c>
      <c r="E178" s="42" t="s">
        <v>364</v>
      </c>
      <c r="F178" s="42" t="s">
        <v>149</v>
      </c>
      <c r="G178" s="42" t="s">
        <v>150</v>
      </c>
      <c r="H178" s="43" t="s">
        <v>150</v>
      </c>
      <c r="I178" s="44">
        <v>23</v>
      </c>
      <c r="J178" s="45">
        <v>137411.70300000001</v>
      </c>
      <c r="K178" s="46">
        <v>14552.359902</v>
      </c>
      <c r="L178" s="47">
        <v>151964.06290200001</v>
      </c>
      <c r="M178" s="48">
        <v>4431376</v>
      </c>
      <c r="N178" s="49">
        <v>2165610</v>
      </c>
      <c r="O178" s="49">
        <v>2265766</v>
      </c>
      <c r="P178" s="49">
        <v>0</v>
      </c>
      <c r="Q178" s="50">
        <v>9911.7866359446998</v>
      </c>
      <c r="R178" s="51">
        <v>2617.7199802636401</v>
      </c>
      <c r="S178" s="49">
        <v>27673.204792902601</v>
      </c>
      <c r="T178" s="49">
        <v>3072.8545955521699</v>
      </c>
      <c r="U178" s="49">
        <f>IFERROR(INDEX('Rentabilidad datos'!$N$2:$N$61,MATCH($C178,'Rentabilidad datos'!$C$2:$C$61,0)),"")</f>
        <v>33363.779368718446</v>
      </c>
      <c r="V178" s="50">
        <f>IFERROR(INDEX('Rentabilidad datos'!$O$2:$O$61,MATCH($C178,'Rentabilidad datos'!$C$2:$C$61,0)),"")</f>
        <v>1588.7513985104022</v>
      </c>
      <c r="W178" s="51">
        <f>IFERROR(INDEX('Rentabilidad datos'!$M$2:$M$61,MATCH($C178,'Rentabilidad datos'!$C$2:$C$61,0)),"")</f>
        <v>2501.4542944353198</v>
      </c>
      <c r="X178" s="52">
        <f>IFERROR(INDEX('Rentabilidad datos'!$P$2:$P$61,MATCH($C178,'Rentabilidad datos'!$C$2:$C$61,0)),"")</f>
        <v>0.63513109235883447</v>
      </c>
      <c r="Y178" s="43" t="s">
        <v>211</v>
      </c>
      <c r="Z178" s="53">
        <v>54.218894009216598</v>
      </c>
      <c r="AA178" s="43">
        <v>1</v>
      </c>
      <c r="AB178" s="54">
        <v>0.99733762154238326</v>
      </c>
      <c r="AC178" s="55">
        <v>2.6623784576167765E-3</v>
      </c>
      <c r="AD178" s="752" t="e">
        <f>_xlfn.XLOOKUP(Table1[[#This Row],[Ruta]],#REF!,#REF!)</f>
        <v>#REF!</v>
      </c>
      <c r="AE178" s="752" t="e">
        <f>_xlfn.XLOOKUP(Table1[[#This Row],[Ruta]],#REF!,#REF!)</f>
        <v>#REF!</v>
      </c>
      <c r="AF178" s="752" t="e">
        <f>_xlfn.XLOOKUP(Table1[[#This Row],[Ruta]],#REF!,#REF!)</f>
        <v>#REF!</v>
      </c>
      <c r="AG178" s="752" t="e">
        <f>_xlfn.XLOOKUP(Table1[[#This Row],[Ruta]],#REF!,#REF!)</f>
        <v>#REF!</v>
      </c>
      <c r="AH178" s="52">
        <v>0.48869922118998704</v>
      </c>
      <c r="AI178" s="52">
        <v>0.51130077881001301</v>
      </c>
      <c r="AJ178" s="55">
        <v>0</v>
      </c>
      <c r="AK178" s="56">
        <v>23531</v>
      </c>
      <c r="AL178" s="44">
        <v>19609</v>
      </c>
      <c r="AM178" s="54">
        <v>0.83332625047809294</v>
      </c>
      <c r="AN178" s="55">
        <v>0.76227312282453297</v>
      </c>
      <c r="AO178" s="56">
        <v>0</v>
      </c>
      <c r="AP178" s="48">
        <v>0</v>
      </c>
      <c r="AQ178" s="55">
        <v>0.83332625047809272</v>
      </c>
      <c r="AR178" s="51">
        <v>4301715.4000000004</v>
      </c>
      <c r="AS178" s="49">
        <v>0</v>
      </c>
      <c r="AT178" s="55">
        <v>0</v>
      </c>
      <c r="AU178" s="51">
        <v>0</v>
      </c>
      <c r="AV178" s="52">
        <v>0</v>
      </c>
      <c r="AW178" s="44">
        <v>490</v>
      </c>
      <c r="AX178" s="51">
        <v>219.37454230200399</v>
      </c>
      <c r="AY178" s="49">
        <v>397.41142810899697</v>
      </c>
      <c r="AZ178" s="49">
        <v>178.03688580699298</v>
      </c>
      <c r="BA178" s="42" t="s">
        <v>150</v>
      </c>
      <c r="BB178" s="50">
        <v>1226611.5897097634</v>
      </c>
      <c r="BC178" s="57">
        <v>1226611.5897097634</v>
      </c>
      <c r="BD178" s="42" t="s">
        <v>150</v>
      </c>
      <c r="BE178" s="46">
        <v>54.218894009216598</v>
      </c>
      <c r="BF178" s="46">
        <v>38.539172378641602</v>
      </c>
      <c r="BG178" s="42" t="s">
        <v>150</v>
      </c>
      <c r="BH178" s="52">
        <v>0.83332625047809294</v>
      </c>
      <c r="BI178" s="52">
        <v>0.66503705286792802</v>
      </c>
      <c r="BJ178" s="42" t="s">
        <v>150</v>
      </c>
      <c r="BK178" s="46">
        <v>350.14761037327202</v>
      </c>
      <c r="BL178" s="46">
        <v>393.04436199544199</v>
      </c>
      <c r="BM178" s="42" t="s">
        <v>152</v>
      </c>
      <c r="BN178" s="48">
        <v>2</v>
      </c>
      <c r="BO178" s="42" t="s">
        <v>161</v>
      </c>
      <c r="BP178" s="42" t="s">
        <v>152</v>
      </c>
      <c r="BQ178" s="46">
        <v>0</v>
      </c>
      <c r="BR178" s="46">
        <v>149</v>
      </c>
      <c r="BS178" s="46">
        <v>4548</v>
      </c>
      <c r="BT178" s="46">
        <v>1440</v>
      </c>
      <c r="BU178" s="46">
        <v>3.1583333333333332</v>
      </c>
      <c r="BV178" s="46">
        <v>9.6644295302013425</v>
      </c>
      <c r="BW178" s="46">
        <v>1440</v>
      </c>
      <c r="BX178" s="46">
        <v>0</v>
      </c>
      <c r="BY178" s="46">
        <v>1440</v>
      </c>
      <c r="BZ178" s="46">
        <v>1</v>
      </c>
      <c r="CA178" s="46">
        <v>1</v>
      </c>
      <c r="CB178" s="46">
        <v>0</v>
      </c>
      <c r="CC178" s="46">
        <v>0</v>
      </c>
      <c r="CD178" s="46">
        <v>0</v>
      </c>
      <c r="CE178" s="46">
        <v>0</v>
      </c>
      <c r="CF178" s="46">
        <v>0</v>
      </c>
      <c r="CG178" s="46">
        <v>0</v>
      </c>
      <c r="CH178" s="46">
        <v>0</v>
      </c>
      <c r="CI178" s="46">
        <v>0</v>
      </c>
      <c r="CJ178" s="46">
        <v>1.0993843447669309</v>
      </c>
      <c r="CK178">
        <v>318</v>
      </c>
      <c r="CL178">
        <v>529.22</v>
      </c>
      <c r="CM178">
        <f t="shared" si="21"/>
        <v>211.22000000000003</v>
      </c>
      <c r="CN178">
        <v>4.1399999999999997</v>
      </c>
      <c r="CO178">
        <v>9.4499999999999993</v>
      </c>
      <c r="CP178">
        <f t="shared" si="22"/>
        <v>5.31</v>
      </c>
      <c r="CQ178">
        <v>602.75</v>
      </c>
      <c r="CR178">
        <v>350.15</v>
      </c>
      <c r="CS178">
        <f t="shared" si="23"/>
        <v>252.60000000000002</v>
      </c>
      <c r="CT178" t="s">
        <v>152</v>
      </c>
      <c r="CU178">
        <v>58.09</v>
      </c>
      <c r="CV178">
        <v>281</v>
      </c>
      <c r="CW178" s="46">
        <v>1440</v>
      </c>
      <c r="CX178" s="46">
        <f t="shared" si="17"/>
        <v>85.331944444444446</v>
      </c>
      <c r="CY178" s="46">
        <v>211.22</v>
      </c>
      <c r="CZ178" s="46">
        <f t="shared" si="18"/>
        <v>100</v>
      </c>
      <c r="DA178" s="46">
        <f t="shared" si="19"/>
        <v>1351.1739017211517</v>
      </c>
      <c r="DB178" s="46">
        <v>2231085.37</v>
      </c>
      <c r="DC178" s="46">
        <f t="shared" si="20"/>
        <v>49.099889778466832</v>
      </c>
      <c r="DD178" s="46">
        <v>81074.720000000001</v>
      </c>
      <c r="DE178" s="995">
        <v>1440</v>
      </c>
      <c r="DF178" s="995">
        <v>86.147000000000006</v>
      </c>
      <c r="DG178" s="995">
        <v>199.5</v>
      </c>
      <c r="DH178" s="995">
        <v>100</v>
      </c>
      <c r="DI178" s="995">
        <v>3093.0439999999999</v>
      </c>
      <c r="DJ178" s="995">
        <v>5071006</v>
      </c>
      <c r="DK178" s="995">
        <v>111.992</v>
      </c>
      <c r="DL178" s="995">
        <v>183608.8</v>
      </c>
      <c r="DM178" s="995">
        <v>1440</v>
      </c>
      <c r="DN178" s="995">
        <v>88.590999999999994</v>
      </c>
      <c r="DO178" s="995">
        <v>164.3</v>
      </c>
      <c r="DP178" s="995">
        <v>100</v>
      </c>
      <c r="DQ178" s="995">
        <v>2974.779</v>
      </c>
      <c r="DR178" s="995">
        <v>4772388</v>
      </c>
      <c r="DS178" s="995">
        <v>107.72199999999999</v>
      </c>
      <c r="DT178" s="995">
        <v>172816.3</v>
      </c>
    </row>
    <row r="179" spans="1:124">
      <c r="A179" s="42" t="s">
        <v>93</v>
      </c>
      <c r="B179" s="42" t="s">
        <v>361</v>
      </c>
      <c r="C179" s="42" t="s">
        <v>362</v>
      </c>
      <c r="D179" s="42">
        <v>301342</v>
      </c>
      <c r="E179" s="42" t="s">
        <v>365</v>
      </c>
      <c r="F179" s="42" t="s">
        <v>149</v>
      </c>
      <c r="G179" s="42" t="s">
        <v>150</v>
      </c>
      <c r="H179" s="43" t="s">
        <v>150</v>
      </c>
      <c r="I179" s="44">
        <v>23</v>
      </c>
      <c r="J179" s="45">
        <v>78997.089600000007</v>
      </c>
      <c r="K179" s="46">
        <v>9224.6044610000008</v>
      </c>
      <c r="L179" s="47">
        <v>88221.694061000002</v>
      </c>
      <c r="M179" s="48">
        <v>2668792</v>
      </c>
      <c r="N179" s="49">
        <v>1208681</v>
      </c>
      <c r="O179" s="49">
        <v>1460111</v>
      </c>
      <c r="P179" s="49">
        <v>0</v>
      </c>
      <c r="Q179" s="50">
        <v>6163.4961662817605</v>
      </c>
      <c r="R179" s="51">
        <v>2617.7199802636401</v>
      </c>
      <c r="S179" s="49">
        <v>27673.204792902601</v>
      </c>
      <c r="T179" s="49">
        <v>3072.8545955521699</v>
      </c>
      <c r="U179" s="49">
        <f>IFERROR(INDEX('Rentabilidad datos'!$N$2:$N$61,MATCH($C179,'Rentabilidad datos'!$C$2:$C$61,0)),"")</f>
        <v>33363.779368718446</v>
      </c>
      <c r="V179" s="50">
        <f>IFERROR(INDEX('Rentabilidad datos'!$O$2:$O$61,MATCH($C179,'Rentabilidad datos'!$C$2:$C$61,0)),"")</f>
        <v>1588.7513985104022</v>
      </c>
      <c r="W179" s="51">
        <f>IFERROR(INDEX('Rentabilidad datos'!$M$2:$M$61,MATCH($C179,'Rentabilidad datos'!$C$2:$C$61,0)),"")</f>
        <v>2501.4542944353198</v>
      </c>
      <c r="X179" s="52">
        <f>IFERROR(INDEX('Rentabilidad datos'!$P$2:$P$61,MATCH($C179,'Rentabilidad datos'!$C$2:$C$61,0)),"")</f>
        <v>0.63513109235883447</v>
      </c>
      <c r="Y179" s="43" t="s">
        <v>211</v>
      </c>
      <c r="Z179" s="53">
        <v>50.150115473441097</v>
      </c>
      <c r="AA179" s="43">
        <v>1</v>
      </c>
      <c r="AB179" s="54">
        <v>0.99417189499968528</v>
      </c>
      <c r="AC179" s="55">
        <v>5.8281050003147492E-3</v>
      </c>
      <c r="AD179" s="752" t="e">
        <f>_xlfn.XLOOKUP(Table1[[#This Row],[Ruta]],#REF!,#REF!)</f>
        <v>#REF!</v>
      </c>
      <c r="AE179" s="752" t="e">
        <f>_xlfn.XLOOKUP(Table1[[#This Row],[Ruta]],#REF!,#REF!)</f>
        <v>#REF!</v>
      </c>
      <c r="AF179" s="752" t="e">
        <f>_xlfn.XLOOKUP(Table1[[#This Row],[Ruta]],#REF!,#REF!)</f>
        <v>#REF!</v>
      </c>
      <c r="AG179" s="752" t="e">
        <f>_xlfn.XLOOKUP(Table1[[#This Row],[Ruta]],#REF!,#REF!)</f>
        <v>#REF!</v>
      </c>
      <c r="AH179" s="52">
        <v>0.45289441814873543</v>
      </c>
      <c r="AI179" s="52">
        <v>0.54710558185126457</v>
      </c>
      <c r="AJ179" s="55">
        <v>0</v>
      </c>
      <c r="AK179" s="56">
        <v>21715</v>
      </c>
      <c r="AL179" s="44">
        <v>14028</v>
      </c>
      <c r="AM179" s="54">
        <v>0.64600506562284099</v>
      </c>
      <c r="AN179" s="55">
        <v>0.76227312282453297</v>
      </c>
      <c r="AO179" s="56">
        <v>2524.7608621347399</v>
      </c>
      <c r="AP179" s="48">
        <v>1262.38043106737</v>
      </c>
      <c r="AQ179" s="55">
        <v>0.70413909422368726</v>
      </c>
      <c r="AR179" s="51">
        <v>2668793.84</v>
      </c>
      <c r="AS179" s="49">
        <v>240164.892940486</v>
      </c>
      <c r="AT179" s="55">
        <v>8.9990050689148032E-2</v>
      </c>
      <c r="AU179" s="51">
        <v>168764.51936358481</v>
      </c>
      <c r="AV179" s="52">
        <v>7.6772576921315815E-4</v>
      </c>
      <c r="AW179" s="44">
        <v>335</v>
      </c>
      <c r="AX179" s="51">
        <v>190.24763615625901</v>
      </c>
      <c r="AY179" s="49">
        <v>397.41142810899697</v>
      </c>
      <c r="AZ179" s="49">
        <v>207.16379195273797</v>
      </c>
      <c r="BA179" s="42" t="s">
        <v>150</v>
      </c>
      <c r="BB179" s="50">
        <v>1021059.9393424087</v>
      </c>
      <c r="BC179" s="57">
        <v>1189824.4587059934</v>
      </c>
      <c r="BD179" s="42" t="s">
        <v>150</v>
      </c>
      <c r="BE179" s="46">
        <v>50.150115473441097</v>
      </c>
      <c r="BF179" s="46">
        <v>38.539172378641602</v>
      </c>
      <c r="BG179" s="42" t="s">
        <v>150</v>
      </c>
      <c r="BH179" s="52">
        <v>0.64600506562284099</v>
      </c>
      <c r="BI179" s="52">
        <v>0.66503705286792802</v>
      </c>
      <c r="BJ179" s="42" t="s">
        <v>152</v>
      </c>
      <c r="BK179" s="46">
        <v>203.745251872979</v>
      </c>
      <c r="BL179" s="46">
        <v>393.04436199544199</v>
      </c>
      <c r="BM179" s="42" t="s">
        <v>152</v>
      </c>
      <c r="BN179" s="48">
        <v>1</v>
      </c>
      <c r="BO179" s="42" t="s">
        <v>155</v>
      </c>
      <c r="BP179" s="42" t="s">
        <v>152</v>
      </c>
      <c r="BQ179" s="46">
        <v>4322.8658218677401</v>
      </c>
      <c r="BR179" s="46">
        <v>328</v>
      </c>
      <c r="BS179" s="46">
        <v>15381</v>
      </c>
      <c r="BT179" s="46">
        <v>6156</v>
      </c>
      <c r="BU179" s="46">
        <v>2.4985380116959064</v>
      </c>
      <c r="BV179" s="46">
        <v>18.76829268292683</v>
      </c>
      <c r="BW179" s="46">
        <v>0</v>
      </c>
      <c r="BX179" s="46">
        <v>4865</v>
      </c>
      <c r="BY179" s="46">
        <v>4865</v>
      </c>
      <c r="BZ179" s="46">
        <v>0.79028589993502274</v>
      </c>
      <c r="CA179" s="46">
        <v>0</v>
      </c>
      <c r="CB179" s="46">
        <v>0.79028589993502274</v>
      </c>
      <c r="CC179" s="46">
        <v>0.20971410006497729</v>
      </c>
      <c r="CD179" s="46">
        <v>0</v>
      </c>
      <c r="CE179" s="46">
        <v>0</v>
      </c>
      <c r="CF179" s="46">
        <v>0</v>
      </c>
      <c r="CG179" s="46">
        <v>0</v>
      </c>
      <c r="CH179" s="46">
        <v>0</v>
      </c>
      <c r="CI179" s="46">
        <v>1.365320850399844</v>
      </c>
      <c r="CJ179" s="46">
        <v>0.7801833430856252</v>
      </c>
      <c r="CK179">
        <v>352</v>
      </c>
      <c r="CL179">
        <v>720.05</v>
      </c>
      <c r="CM179">
        <f t="shared" si="21"/>
        <v>368.04999999999995</v>
      </c>
      <c r="CN179">
        <v>4.8600000000000003</v>
      </c>
      <c r="CO179">
        <v>9.4499999999999993</v>
      </c>
      <c r="CP179">
        <f t="shared" si="22"/>
        <v>4.589999999999999</v>
      </c>
      <c r="CQ179">
        <v>602.75</v>
      </c>
      <c r="CR179">
        <v>203.75</v>
      </c>
      <c r="CS179">
        <f t="shared" si="23"/>
        <v>399</v>
      </c>
      <c r="CT179" t="s">
        <v>152</v>
      </c>
      <c r="CU179">
        <v>51.71</v>
      </c>
      <c r="CV179">
        <v>314</v>
      </c>
      <c r="CW179" s="46">
        <v>4865</v>
      </c>
      <c r="CX179" s="46">
        <f t="shared" si="17"/>
        <v>73.049870045484084</v>
      </c>
      <c r="CY179" s="46">
        <v>368.05</v>
      </c>
      <c r="CZ179" s="46">
        <f t="shared" si="18"/>
        <v>79.02858999350228</v>
      </c>
      <c r="DA179" s="46">
        <f t="shared" si="19"/>
        <v>503.09696890735046</v>
      </c>
      <c r="DB179" s="46">
        <v>3282229.78</v>
      </c>
      <c r="DC179" s="46">
        <f t="shared" si="20"/>
        <v>19.918069297445605</v>
      </c>
      <c r="DD179" s="46">
        <v>129946.48</v>
      </c>
      <c r="DE179" s="995">
        <v>4865</v>
      </c>
      <c r="DF179" s="995">
        <v>74.56</v>
      </c>
      <c r="DG179" s="995">
        <v>275.10000000000002</v>
      </c>
      <c r="DH179" s="995">
        <v>79.028999999999996</v>
      </c>
      <c r="DI179" s="995">
        <v>880.33199999999999</v>
      </c>
      <c r="DJ179" s="995">
        <v>5661476</v>
      </c>
      <c r="DK179" s="995">
        <v>35.072000000000003</v>
      </c>
      <c r="DL179" s="995">
        <v>225548.6</v>
      </c>
      <c r="DM179" s="995">
        <v>4865</v>
      </c>
      <c r="DN179" s="995">
        <v>75.057000000000002</v>
      </c>
      <c r="DO179" s="995">
        <v>244.5</v>
      </c>
      <c r="DP179" s="995">
        <v>79.028999999999996</v>
      </c>
      <c r="DQ179" s="995">
        <v>849.87800000000004</v>
      </c>
      <c r="DR179" s="995">
        <v>5439650</v>
      </c>
      <c r="DS179" s="995">
        <v>33.774999999999999</v>
      </c>
      <c r="DT179" s="995">
        <v>216179.5</v>
      </c>
    </row>
    <row r="180" spans="1:124">
      <c r="A180" s="42" t="s">
        <v>93</v>
      </c>
      <c r="B180" s="42" t="s">
        <v>361</v>
      </c>
      <c r="C180" s="42" t="s">
        <v>362</v>
      </c>
      <c r="D180" s="42">
        <v>301343</v>
      </c>
      <c r="E180" s="42" t="s">
        <v>366</v>
      </c>
      <c r="F180" s="42" t="s">
        <v>149</v>
      </c>
      <c r="G180" s="42" t="s">
        <v>150</v>
      </c>
      <c r="H180" s="43" t="s">
        <v>150</v>
      </c>
      <c r="I180" s="44">
        <v>23</v>
      </c>
      <c r="J180" s="45">
        <v>75583.965599999996</v>
      </c>
      <c r="K180" s="46">
        <v>20077.939947999999</v>
      </c>
      <c r="L180" s="47">
        <v>95661.905547999995</v>
      </c>
      <c r="M180" s="48">
        <v>3195247</v>
      </c>
      <c r="N180" s="49">
        <v>1090298</v>
      </c>
      <c r="O180" s="49">
        <v>2104949</v>
      </c>
      <c r="P180" s="49">
        <v>0</v>
      </c>
      <c r="Q180" s="50">
        <v>7276.3095862069003</v>
      </c>
      <c r="R180" s="51">
        <v>2617.7199802636401</v>
      </c>
      <c r="S180" s="49">
        <v>27673.204792902601</v>
      </c>
      <c r="T180" s="49">
        <v>3072.8545955521699</v>
      </c>
      <c r="U180" s="49">
        <f>IFERROR(INDEX('Rentabilidad datos'!$N$2:$N$61,MATCH($C180,'Rentabilidad datos'!$C$2:$C$61,0)),"")</f>
        <v>33363.779368718446</v>
      </c>
      <c r="V180" s="50">
        <f>IFERROR(INDEX('Rentabilidad datos'!$O$2:$O$61,MATCH($C180,'Rentabilidad datos'!$C$2:$C$61,0)),"")</f>
        <v>1588.7513985104022</v>
      </c>
      <c r="W180" s="51">
        <f>IFERROR(INDEX('Rentabilidad datos'!$M$2:$M$61,MATCH($C180,'Rentabilidad datos'!$C$2:$C$61,0)),"")</f>
        <v>2501.4542944353198</v>
      </c>
      <c r="X180" s="52">
        <f>IFERROR(INDEX('Rentabilidad datos'!$P$2:$P$61,MATCH($C180,'Rentabilidad datos'!$C$2:$C$61,0)),"")</f>
        <v>0.63513109235883447</v>
      </c>
      <c r="Y180" s="43" t="s">
        <v>211</v>
      </c>
      <c r="Z180" s="53">
        <v>55.1264367816092</v>
      </c>
      <c r="AA180" s="43">
        <v>1</v>
      </c>
      <c r="AB180" s="54">
        <v>0.10882194709829944</v>
      </c>
      <c r="AC180" s="55">
        <v>0.8911780529017006</v>
      </c>
      <c r="AD180" s="752" t="e">
        <f>_xlfn.XLOOKUP(Table1[[#This Row],[Ruta]],#REF!,#REF!)</f>
        <v>#REF!</v>
      </c>
      <c r="AE180" s="752" t="e">
        <f>_xlfn.XLOOKUP(Table1[[#This Row],[Ruta]],#REF!,#REF!)</f>
        <v>#REF!</v>
      </c>
      <c r="AF180" s="752" t="e">
        <f>_xlfn.XLOOKUP(Table1[[#This Row],[Ruta]],#REF!,#REF!)</f>
        <v>#REF!</v>
      </c>
      <c r="AG180" s="752" t="e">
        <f>_xlfn.XLOOKUP(Table1[[#This Row],[Ruta]],#REF!,#REF!)</f>
        <v>#REF!</v>
      </c>
      <c r="AH180" s="52">
        <v>0.34122495068456365</v>
      </c>
      <c r="AI180" s="52">
        <v>0.65877504931543629</v>
      </c>
      <c r="AJ180" s="55">
        <v>0</v>
      </c>
      <c r="AK180" s="56">
        <v>23980</v>
      </c>
      <c r="AL180" s="44">
        <v>7423</v>
      </c>
      <c r="AM180" s="54">
        <v>0.30954962468723901</v>
      </c>
      <c r="AN180" s="55">
        <v>0.76227312282453297</v>
      </c>
      <c r="AO180" s="56">
        <v>10856.3094853323</v>
      </c>
      <c r="AP180" s="48">
        <v>5428.15474266615</v>
      </c>
      <c r="AQ180" s="55">
        <v>0.53591137375588616</v>
      </c>
      <c r="AR180" s="51">
        <v>3165194.67</v>
      </c>
      <c r="AS180" s="49">
        <v>2314585.27002858</v>
      </c>
      <c r="AT180" s="55">
        <v>0.73126158462429736</v>
      </c>
      <c r="AU180" s="51">
        <v>1626465.3248849488</v>
      </c>
      <c r="AV180" s="52">
        <v>7.3989446795726214E-3</v>
      </c>
      <c r="AW180" s="44">
        <v>12</v>
      </c>
      <c r="AX180" s="51">
        <v>426.40370066011099</v>
      </c>
      <c r="AY180" s="49">
        <v>397.41142810899697</v>
      </c>
      <c r="AZ180" s="49">
        <v>0</v>
      </c>
      <c r="BA180" s="42" t="s">
        <v>152</v>
      </c>
      <c r="BB180" s="50">
        <v>0</v>
      </c>
      <c r="BC180" s="57">
        <v>1626465.3248849488</v>
      </c>
      <c r="BD180" s="42" t="s">
        <v>150</v>
      </c>
      <c r="BE180" s="46">
        <v>55.1264367816092</v>
      </c>
      <c r="BF180" s="46">
        <v>38.539172378641602</v>
      </c>
      <c r="BG180" s="42" t="s">
        <v>150</v>
      </c>
      <c r="BH180" s="52">
        <v>0.30954962468723901</v>
      </c>
      <c r="BI180" s="52">
        <v>0.66503705286792802</v>
      </c>
      <c r="BJ180" s="42" t="s">
        <v>152</v>
      </c>
      <c r="BK180" s="46">
        <v>219.91242654712701</v>
      </c>
      <c r="BL180" s="46">
        <v>393.04436199544199</v>
      </c>
      <c r="BM180" s="42" t="s">
        <v>152</v>
      </c>
      <c r="BN180" s="48">
        <v>1</v>
      </c>
      <c r="BO180" s="42" t="s">
        <v>155</v>
      </c>
      <c r="BP180" s="42" t="s">
        <v>152</v>
      </c>
      <c r="BQ180" s="46">
        <v>10446.5530782152</v>
      </c>
      <c r="BR180" s="46">
        <v>6804</v>
      </c>
      <c r="BS180" s="46">
        <v>536270</v>
      </c>
      <c r="BT180" s="46">
        <v>154405</v>
      </c>
      <c r="BU180" s="46">
        <v>3.4731388232246365</v>
      </c>
      <c r="BV180" s="46">
        <v>22.693268665490887</v>
      </c>
      <c r="BW180" s="46">
        <v>3620</v>
      </c>
      <c r="BX180" s="46">
        <v>4968</v>
      </c>
      <c r="BY180" s="46">
        <v>8588</v>
      </c>
      <c r="BZ180" s="46">
        <v>5.5619960493507335E-2</v>
      </c>
      <c r="CA180" s="46">
        <v>2.3444836630938121E-2</v>
      </c>
      <c r="CB180" s="46">
        <v>3.2175123862569217E-2</v>
      </c>
      <c r="CC180" s="46">
        <v>0.19697548654512481</v>
      </c>
      <c r="CD180" s="46">
        <v>8.4472653087659083E-2</v>
      </c>
      <c r="CE180" s="46">
        <v>1.4831125935040961E-3</v>
      </c>
      <c r="CF180" s="46">
        <v>0.66127392247660377</v>
      </c>
      <c r="CG180" s="46">
        <v>1.165765357339464E-4</v>
      </c>
      <c r="CH180" s="46">
        <v>5.828826786697322E-5</v>
      </c>
      <c r="CI180" s="46">
        <v>4.0632517202155629</v>
      </c>
      <c r="CJ180" s="46">
        <v>0.19579689335595871</v>
      </c>
      <c r="CK180">
        <v>245</v>
      </c>
      <c r="CL180">
        <v>876.67</v>
      </c>
      <c r="CM180">
        <f t="shared" si="21"/>
        <v>631.66999999999996</v>
      </c>
      <c r="CN180">
        <v>3.24</v>
      </c>
      <c r="CO180">
        <v>9.4499999999999993</v>
      </c>
      <c r="CP180">
        <f t="shared" si="22"/>
        <v>6.2099999999999991</v>
      </c>
      <c r="CQ180">
        <v>602.75</v>
      </c>
      <c r="CR180">
        <v>219.91</v>
      </c>
      <c r="CS180">
        <f t="shared" si="23"/>
        <v>382.84000000000003</v>
      </c>
      <c r="CT180" t="s">
        <v>152</v>
      </c>
      <c r="CU180">
        <v>38.46</v>
      </c>
      <c r="CV180">
        <v>142</v>
      </c>
      <c r="CW180" s="46">
        <v>6780</v>
      </c>
      <c r="CX180" s="46">
        <f t="shared" si="17"/>
        <v>3.9819500663838605</v>
      </c>
      <c r="CY180" s="46">
        <v>631.66999999999996</v>
      </c>
      <c r="CZ180" s="46">
        <f t="shared" si="18"/>
        <v>4.3910495126453162</v>
      </c>
      <c r="DA180" s="46">
        <f t="shared" si="19"/>
        <v>29.205597101640528</v>
      </c>
      <c r="DB180" s="46">
        <v>4527938.5199999996</v>
      </c>
      <c r="DC180" s="46">
        <f t="shared" si="20"/>
        <v>1.293831323905499</v>
      </c>
      <c r="DD180" s="46">
        <v>200591.3</v>
      </c>
      <c r="DE180" s="995">
        <v>6780</v>
      </c>
      <c r="DF180" s="995">
        <v>4.0389999999999997</v>
      </c>
      <c r="DG180" s="995">
        <v>543.9</v>
      </c>
      <c r="DH180" s="995">
        <v>4.391</v>
      </c>
      <c r="DI180" s="995">
        <v>40.880000000000003</v>
      </c>
      <c r="DJ180" s="995">
        <v>6334321</v>
      </c>
      <c r="DK180" s="995">
        <v>1.8069999999999999</v>
      </c>
      <c r="DL180" s="995">
        <v>279916.2</v>
      </c>
      <c r="DM180" s="995">
        <v>6780</v>
      </c>
      <c r="DN180" s="995">
        <v>4.0549999999999997</v>
      </c>
      <c r="DO180" s="995">
        <v>519.1</v>
      </c>
      <c r="DP180" s="995">
        <v>4.391</v>
      </c>
      <c r="DQ180" s="995">
        <v>39.841000000000001</v>
      </c>
      <c r="DR180" s="995">
        <v>6172333</v>
      </c>
      <c r="DS180" s="995">
        <v>1.758</v>
      </c>
      <c r="DT180" s="995">
        <v>272332.2</v>
      </c>
    </row>
    <row r="181" spans="1:124">
      <c r="A181" s="42" t="s">
        <v>93</v>
      </c>
      <c r="B181" s="42" t="s">
        <v>361</v>
      </c>
      <c r="C181" s="42" t="s">
        <v>362</v>
      </c>
      <c r="D181" s="42">
        <v>301344</v>
      </c>
      <c r="E181" s="42" t="s">
        <v>367</v>
      </c>
      <c r="F181" s="42" t="s">
        <v>149</v>
      </c>
      <c r="G181" s="42" t="s">
        <v>150</v>
      </c>
      <c r="H181" s="43" t="s">
        <v>150</v>
      </c>
      <c r="I181" s="44">
        <v>23</v>
      </c>
      <c r="J181" s="45">
        <v>135427.40640000001</v>
      </c>
      <c r="K181" s="46">
        <v>10569.105401999999</v>
      </c>
      <c r="L181" s="47">
        <v>145996.51180199999</v>
      </c>
      <c r="M181" s="48">
        <v>3798295</v>
      </c>
      <c r="N181" s="49">
        <v>2079011</v>
      </c>
      <c r="O181" s="49">
        <v>1719284</v>
      </c>
      <c r="P181" s="49">
        <v>0</v>
      </c>
      <c r="Q181" s="50">
        <v>8725.8865287356293</v>
      </c>
      <c r="R181" s="51">
        <v>2617.7199802636401</v>
      </c>
      <c r="S181" s="49">
        <v>27673.204792902601</v>
      </c>
      <c r="T181" s="49">
        <v>3072.8545955521699</v>
      </c>
      <c r="U181" s="49">
        <f>IFERROR(INDEX('Rentabilidad datos'!$N$2:$N$61,MATCH($C181,'Rentabilidad datos'!$C$2:$C$61,0)),"")</f>
        <v>33363.779368718446</v>
      </c>
      <c r="V181" s="50">
        <f>IFERROR(INDEX('Rentabilidad datos'!$O$2:$O$61,MATCH($C181,'Rentabilidad datos'!$C$2:$C$61,0)),"")</f>
        <v>1588.7513985104022</v>
      </c>
      <c r="W181" s="51">
        <f>IFERROR(INDEX('Rentabilidad datos'!$M$2:$M$61,MATCH($C181,'Rentabilidad datos'!$C$2:$C$61,0)),"")</f>
        <v>2501.4542944353198</v>
      </c>
      <c r="X181" s="52">
        <f>IFERROR(INDEX('Rentabilidad datos'!$P$2:$P$61,MATCH($C181,'Rentabilidad datos'!$C$2:$C$61,0)),"")</f>
        <v>0.63513109235883447</v>
      </c>
      <c r="Y181" s="43" t="s">
        <v>211</v>
      </c>
      <c r="Z181" s="53">
        <v>56.565517241379297</v>
      </c>
      <c r="AA181" s="43">
        <v>1</v>
      </c>
      <c r="AB181" s="54">
        <v>0.98998234734268931</v>
      </c>
      <c r="AC181" s="55">
        <v>1.0017652657310715E-2</v>
      </c>
      <c r="AD181" s="752" t="e">
        <f>_xlfn.XLOOKUP(Table1[[#This Row],[Ruta]],#REF!,#REF!)</f>
        <v>#REF!</v>
      </c>
      <c r="AE181" s="752" t="e">
        <f>_xlfn.XLOOKUP(Table1[[#This Row],[Ruta]],#REF!,#REF!)</f>
        <v>#REF!</v>
      </c>
      <c r="AF181" s="752" t="e">
        <f>_xlfn.XLOOKUP(Table1[[#This Row],[Ruta]],#REF!,#REF!)</f>
        <v>#REF!</v>
      </c>
      <c r="AG181" s="752" t="e">
        <f>_xlfn.XLOOKUP(Table1[[#This Row],[Ruta]],#REF!,#REF!)</f>
        <v>#REF!</v>
      </c>
      <c r="AH181" s="52">
        <v>0.54735374687853366</v>
      </c>
      <c r="AI181" s="52">
        <v>0.45264625312146634</v>
      </c>
      <c r="AJ181" s="55">
        <v>0</v>
      </c>
      <c r="AK181" s="56">
        <v>24606</v>
      </c>
      <c r="AL181" s="44">
        <v>15751</v>
      </c>
      <c r="AM181" s="54">
        <v>0.64012842396163505</v>
      </c>
      <c r="AN181" s="55">
        <v>0.76227312282453297</v>
      </c>
      <c r="AO181" s="56">
        <v>3005.4924602204701</v>
      </c>
      <c r="AP181" s="48">
        <v>1502.746230110235</v>
      </c>
      <c r="AQ181" s="55">
        <v>0.7012007733930844</v>
      </c>
      <c r="AR181" s="51">
        <v>3795760.64</v>
      </c>
      <c r="AS181" s="49">
        <v>362139.86363791552</v>
      </c>
      <c r="AT181" s="55">
        <v>9.5406401505316069E-2</v>
      </c>
      <c r="AU181" s="51">
        <v>254476.66093475153</v>
      </c>
      <c r="AV181" s="52">
        <v>1.1576384123847051E-3</v>
      </c>
      <c r="AW181" s="44">
        <v>274</v>
      </c>
      <c r="AX181" s="51">
        <v>240.98537489683201</v>
      </c>
      <c r="AY181" s="49">
        <v>397.41142810899697</v>
      </c>
      <c r="AZ181" s="49">
        <v>156.42605321216496</v>
      </c>
      <c r="BA181" s="42" t="s">
        <v>150</v>
      </c>
      <c r="BB181" s="50">
        <v>865682.91713196074</v>
      </c>
      <c r="BC181" s="57">
        <v>1120159.5780667122</v>
      </c>
      <c r="BD181" s="42" t="s">
        <v>150</v>
      </c>
      <c r="BE181" s="46">
        <v>56.565517241379297</v>
      </c>
      <c r="BF181" s="46">
        <v>38.539172378641602</v>
      </c>
      <c r="BG181" s="42" t="s">
        <v>150</v>
      </c>
      <c r="BH181" s="52">
        <v>0.64012842396163505</v>
      </c>
      <c r="BI181" s="52">
        <v>0.66503705286792802</v>
      </c>
      <c r="BJ181" s="42" t="s">
        <v>152</v>
      </c>
      <c r="BK181" s="46">
        <v>335.62416506206898</v>
      </c>
      <c r="BL181" s="46">
        <v>393.04436199544199</v>
      </c>
      <c r="BM181" s="42" t="s">
        <v>152</v>
      </c>
      <c r="BN181" s="48">
        <v>1</v>
      </c>
      <c r="BO181" s="42" t="s">
        <v>155</v>
      </c>
      <c r="BP181" s="42" t="s">
        <v>152</v>
      </c>
      <c r="BQ181" s="46">
        <v>3036.9177880390598</v>
      </c>
      <c r="BR181" s="46">
        <v>322</v>
      </c>
      <c r="BS181" s="46">
        <v>16414</v>
      </c>
      <c r="BT181" s="46">
        <v>5308</v>
      </c>
      <c r="BU181" s="46">
        <v>3.092313489073097</v>
      </c>
      <c r="BV181" s="46">
        <v>16.48447204968944</v>
      </c>
      <c r="BW181" s="46">
        <v>3761</v>
      </c>
      <c r="BX181" s="46">
        <v>402</v>
      </c>
      <c r="BY181" s="46">
        <v>4163</v>
      </c>
      <c r="BZ181" s="46">
        <v>0.78428786737000755</v>
      </c>
      <c r="CA181" s="46">
        <v>0.70855312735493592</v>
      </c>
      <c r="CB181" s="46">
        <v>7.5734740015071592E-2</v>
      </c>
      <c r="CC181" s="46">
        <v>0.2157121326299925</v>
      </c>
      <c r="CD181" s="46">
        <v>0</v>
      </c>
      <c r="CE181" s="46">
        <v>0</v>
      </c>
      <c r="CF181" s="46">
        <v>0</v>
      </c>
      <c r="CG181" s="46">
        <v>0</v>
      </c>
      <c r="CH181" s="46">
        <v>0</v>
      </c>
      <c r="CI181" s="46">
        <v>1.035701230656757</v>
      </c>
      <c r="CJ181" s="46">
        <v>0.48738881442670889</v>
      </c>
      <c r="CK181">
        <v>328</v>
      </c>
      <c r="CL181">
        <v>594.09</v>
      </c>
      <c r="CM181">
        <f t="shared" si="21"/>
        <v>266.09000000000003</v>
      </c>
      <c r="CN181">
        <v>4.57</v>
      </c>
      <c r="CO181">
        <v>9.4499999999999993</v>
      </c>
      <c r="CP181">
        <f t="shared" si="22"/>
        <v>4.879999999999999</v>
      </c>
      <c r="CQ181">
        <v>602.75</v>
      </c>
      <c r="CR181">
        <v>335.62</v>
      </c>
      <c r="CS181">
        <f t="shared" si="23"/>
        <v>267.13</v>
      </c>
      <c r="CT181" t="s">
        <v>152</v>
      </c>
      <c r="CU181">
        <v>57.01</v>
      </c>
      <c r="CV181">
        <v>239</v>
      </c>
      <c r="CW181" s="46">
        <v>4163</v>
      </c>
      <c r="CX181" s="46">
        <f t="shared" si="17"/>
        <v>73.415787490580257</v>
      </c>
      <c r="CY181" s="46">
        <v>266.08999999999997</v>
      </c>
      <c r="CZ181" s="46">
        <f t="shared" si="18"/>
        <v>78.428786737000749</v>
      </c>
      <c r="DA181" s="46">
        <f t="shared" si="19"/>
        <v>515.45177777897379</v>
      </c>
      <c r="DB181" s="46">
        <v>2873174.6</v>
      </c>
      <c r="DC181" s="46">
        <f t="shared" si="20"/>
        <v>18.522065485128515</v>
      </c>
      <c r="DD181" s="46">
        <v>103243.66</v>
      </c>
      <c r="DE181" s="995">
        <v>4163</v>
      </c>
      <c r="DF181" s="995">
        <v>73.742999999999995</v>
      </c>
      <c r="DG181" s="995">
        <v>248.7</v>
      </c>
      <c r="DH181" s="995">
        <v>78.429000000000002</v>
      </c>
      <c r="DI181" s="995">
        <v>1047.029</v>
      </c>
      <c r="DJ181" s="995">
        <v>5818027</v>
      </c>
      <c r="DK181" s="995">
        <v>36.520000000000003</v>
      </c>
      <c r="DL181" s="995">
        <v>202932.5</v>
      </c>
      <c r="DM181" s="995">
        <v>4163</v>
      </c>
      <c r="DN181" s="995">
        <v>74.174999999999997</v>
      </c>
      <c r="DO181" s="995">
        <v>225.8</v>
      </c>
      <c r="DP181" s="995">
        <v>78.429000000000002</v>
      </c>
      <c r="DQ181" s="995">
        <v>1012.54</v>
      </c>
      <c r="DR181" s="995">
        <v>5603201</v>
      </c>
      <c r="DS181" s="995">
        <v>35.402999999999999</v>
      </c>
      <c r="DT181" s="995">
        <v>195913.8</v>
      </c>
    </row>
    <row r="182" spans="1:124">
      <c r="A182" s="42" t="s">
        <v>93</v>
      </c>
      <c r="B182" s="42" t="s">
        <v>361</v>
      </c>
      <c r="C182" s="42" t="s">
        <v>362</v>
      </c>
      <c r="D182" s="42">
        <v>301347</v>
      </c>
      <c r="E182" s="42" t="s">
        <v>368</v>
      </c>
      <c r="F182" s="42" t="s">
        <v>149</v>
      </c>
      <c r="G182" s="42" t="s">
        <v>150</v>
      </c>
      <c r="H182" s="43" t="s">
        <v>150</v>
      </c>
      <c r="I182" s="44">
        <v>23</v>
      </c>
      <c r="J182" s="45">
        <v>165830.97959999999</v>
      </c>
      <c r="K182" s="46">
        <v>8524.9928510000009</v>
      </c>
      <c r="L182" s="47">
        <v>174355.97245100001</v>
      </c>
      <c r="M182" s="48">
        <v>4002623</v>
      </c>
      <c r="N182" s="49">
        <v>2557774</v>
      </c>
      <c r="O182" s="49">
        <v>1444849</v>
      </c>
      <c r="P182" s="49">
        <v>0</v>
      </c>
      <c r="Q182" s="50">
        <v>9156.9254919908508</v>
      </c>
      <c r="R182" s="51">
        <v>2617.7199802636401</v>
      </c>
      <c r="S182" s="49">
        <v>27673.204792902601</v>
      </c>
      <c r="T182" s="49">
        <v>3072.8545955521699</v>
      </c>
      <c r="U182" s="49">
        <f>IFERROR(INDEX('Rentabilidad datos'!$N$2:$N$61,MATCH($C182,'Rentabilidad datos'!$C$2:$C$61,0)),"")</f>
        <v>33363.779368718446</v>
      </c>
      <c r="V182" s="50">
        <f>IFERROR(INDEX('Rentabilidad datos'!$O$2:$O$61,MATCH($C182,'Rentabilidad datos'!$C$2:$C$61,0)),"")</f>
        <v>1588.7513985104022</v>
      </c>
      <c r="W182" s="51">
        <f>IFERROR(INDEX('Rentabilidad datos'!$M$2:$M$61,MATCH($C182,'Rentabilidad datos'!$C$2:$C$61,0)),"")</f>
        <v>2501.4542944353198</v>
      </c>
      <c r="X182" s="52">
        <f>IFERROR(INDEX('Rentabilidad datos'!$P$2:$P$61,MATCH($C182,'Rentabilidad datos'!$C$2:$C$61,0)),"")</f>
        <v>0.63513109235883447</v>
      </c>
      <c r="Y182" s="43" t="s">
        <v>211</v>
      </c>
      <c r="Z182" s="53">
        <v>52.038901601830702</v>
      </c>
      <c r="AA182" s="43">
        <v>1</v>
      </c>
      <c r="AB182" s="54">
        <v>0.99993629177666743</v>
      </c>
      <c r="AC182" s="55">
        <v>6.3708223332549686E-5</v>
      </c>
      <c r="AD182" s="752" t="e">
        <f>_xlfn.XLOOKUP(Table1[[#This Row],[Ruta]],#REF!,#REF!)</f>
        <v>#REF!</v>
      </c>
      <c r="AE182" s="752" t="e">
        <f>_xlfn.XLOOKUP(Table1[[#This Row],[Ruta]],#REF!,#REF!)</f>
        <v>#REF!</v>
      </c>
      <c r="AF182" s="752" t="e">
        <f>_xlfn.XLOOKUP(Table1[[#This Row],[Ruta]],#REF!,#REF!)</f>
        <v>#REF!</v>
      </c>
      <c r="AG182" s="752" t="e">
        <f>_xlfn.XLOOKUP(Table1[[#This Row],[Ruta]],#REF!,#REF!)</f>
        <v>#REF!</v>
      </c>
      <c r="AH182" s="52">
        <v>0.63902445971054478</v>
      </c>
      <c r="AI182" s="52">
        <v>0.36097554028945517</v>
      </c>
      <c r="AJ182" s="55">
        <v>0</v>
      </c>
      <c r="AK182" s="56">
        <v>22741</v>
      </c>
      <c r="AL182" s="44">
        <v>18651</v>
      </c>
      <c r="AM182" s="54">
        <v>0.82014863022734297</v>
      </c>
      <c r="AN182" s="55">
        <v>0.76227312282453297</v>
      </c>
      <c r="AO182" s="56">
        <v>0</v>
      </c>
      <c r="AP182" s="48">
        <v>0</v>
      </c>
      <c r="AQ182" s="55">
        <v>0.82014863022734263</v>
      </c>
      <c r="AR182" s="51">
        <v>4001576.44</v>
      </c>
      <c r="AS182" s="49">
        <v>0</v>
      </c>
      <c r="AT182" s="55">
        <v>0</v>
      </c>
      <c r="AU182" s="51">
        <v>0</v>
      </c>
      <c r="AV182" s="52">
        <v>0</v>
      </c>
      <c r="AW182" s="44">
        <v>490</v>
      </c>
      <c r="AX182" s="51">
        <v>214.55023537611899</v>
      </c>
      <c r="AY182" s="49">
        <v>397.41142810899697</v>
      </c>
      <c r="AZ182" s="49">
        <v>182.86119273287798</v>
      </c>
      <c r="BA182" s="42" t="s">
        <v>150</v>
      </c>
      <c r="BB182" s="50">
        <v>1198299.2803673462</v>
      </c>
      <c r="BC182" s="57">
        <v>1198299.2803673462</v>
      </c>
      <c r="BD182" s="42" t="s">
        <v>150</v>
      </c>
      <c r="BE182" s="46">
        <v>52.038901601830702</v>
      </c>
      <c r="BF182" s="46">
        <v>38.539172378641602</v>
      </c>
      <c r="BG182" s="42" t="s">
        <v>150</v>
      </c>
      <c r="BH182" s="52">
        <v>0.82014863022734297</v>
      </c>
      <c r="BI182" s="52">
        <v>0.66503705286792802</v>
      </c>
      <c r="BJ182" s="42" t="s">
        <v>150</v>
      </c>
      <c r="BK182" s="46">
        <v>398.98391865217297</v>
      </c>
      <c r="BL182" s="46">
        <v>393.04436199544199</v>
      </c>
      <c r="BM182" s="42" t="s">
        <v>150</v>
      </c>
      <c r="BN182" s="48">
        <v>3</v>
      </c>
      <c r="BO182" s="42" t="s">
        <v>153</v>
      </c>
      <c r="BP182" s="42" t="s">
        <v>150</v>
      </c>
      <c r="BQ182" s="46">
        <v>0</v>
      </c>
      <c r="BR182" s="46">
        <v>112</v>
      </c>
      <c r="BS182" s="46">
        <v>8230</v>
      </c>
      <c r="BT182" s="46">
        <v>2514</v>
      </c>
      <c r="BU182" s="46">
        <v>3.2736674622116149</v>
      </c>
      <c r="BV182" s="46">
        <v>22.446428571428573</v>
      </c>
      <c r="BW182" s="46">
        <v>2514</v>
      </c>
      <c r="BX182" s="46">
        <v>0</v>
      </c>
      <c r="BY182" s="46">
        <v>2514</v>
      </c>
      <c r="BZ182" s="46">
        <v>1</v>
      </c>
      <c r="CA182" s="46">
        <v>1</v>
      </c>
      <c r="CB182" s="46">
        <v>0</v>
      </c>
      <c r="CC182" s="46">
        <v>0</v>
      </c>
      <c r="CD182" s="46">
        <v>0</v>
      </c>
      <c r="CE182" s="46">
        <v>0</v>
      </c>
      <c r="CF182" s="46">
        <v>0</v>
      </c>
      <c r="CG182" s="46">
        <v>0</v>
      </c>
      <c r="CH182" s="46">
        <v>0</v>
      </c>
      <c r="CI182" s="46">
        <v>0.60753341433778851</v>
      </c>
      <c r="CJ182" s="46">
        <v>0.9720534629404618</v>
      </c>
      <c r="CK182">
        <v>333</v>
      </c>
      <c r="CL182">
        <v>476.52</v>
      </c>
      <c r="CM182">
        <f t="shared" si="21"/>
        <v>143.51999999999998</v>
      </c>
      <c r="CN182">
        <v>4.32</v>
      </c>
      <c r="CO182">
        <v>9.4499999999999993</v>
      </c>
      <c r="CP182">
        <f t="shared" si="22"/>
        <v>5.129999999999999</v>
      </c>
      <c r="CQ182">
        <v>602.75</v>
      </c>
      <c r="CR182">
        <v>398.98</v>
      </c>
      <c r="CS182">
        <f t="shared" si="23"/>
        <v>203.76999999999998</v>
      </c>
      <c r="CT182" t="s">
        <v>152</v>
      </c>
      <c r="CU182">
        <v>66.19</v>
      </c>
      <c r="CV182">
        <v>294</v>
      </c>
      <c r="CW182" s="46">
        <v>2514</v>
      </c>
      <c r="CX182" s="46">
        <f t="shared" si="17"/>
        <v>94.291169451073984</v>
      </c>
      <c r="CY182" s="46">
        <v>143.52000000000001</v>
      </c>
      <c r="CZ182" s="46">
        <f t="shared" si="18"/>
        <v>100</v>
      </c>
      <c r="DA182" s="46">
        <f t="shared" si="19"/>
        <v>488.6396828622174</v>
      </c>
      <c r="DB182" s="46">
        <v>1298569.73</v>
      </c>
      <c r="DC182" s="46">
        <f t="shared" si="20"/>
        <v>22.623483548571603</v>
      </c>
      <c r="DD182" s="46">
        <v>60122.36</v>
      </c>
      <c r="DE182" s="995">
        <v>2514</v>
      </c>
      <c r="DF182" s="995">
        <v>94.608000000000004</v>
      </c>
      <c r="DG182" s="995">
        <v>135.5</v>
      </c>
      <c r="DH182" s="995">
        <v>100</v>
      </c>
      <c r="DI182" s="995">
        <v>1524.884</v>
      </c>
      <c r="DJ182" s="995">
        <v>4040249</v>
      </c>
      <c r="DK182" s="995">
        <v>72.304000000000002</v>
      </c>
      <c r="DL182" s="995">
        <v>191574</v>
      </c>
      <c r="DM182" s="995">
        <v>2514</v>
      </c>
      <c r="DN182" s="995">
        <v>95.56</v>
      </c>
      <c r="DO182" s="995">
        <v>111.6</v>
      </c>
      <c r="DP182" s="995">
        <v>100</v>
      </c>
      <c r="DQ182" s="995">
        <v>1479.5940000000001</v>
      </c>
      <c r="DR182" s="995">
        <v>3884859</v>
      </c>
      <c r="DS182" s="995">
        <v>70.17</v>
      </c>
      <c r="DT182" s="995">
        <v>184240.8</v>
      </c>
    </row>
    <row r="183" spans="1:124">
      <c r="A183" s="42" t="s">
        <v>93</v>
      </c>
      <c r="B183" s="42" t="s">
        <v>361</v>
      </c>
      <c r="C183" s="42" t="s">
        <v>362</v>
      </c>
      <c r="D183" s="42">
        <v>301348</v>
      </c>
      <c r="E183" s="42" t="s">
        <v>369</v>
      </c>
      <c r="F183" s="42" t="s">
        <v>149</v>
      </c>
      <c r="G183" s="42" t="s">
        <v>150</v>
      </c>
      <c r="H183" s="43" t="s">
        <v>150</v>
      </c>
      <c r="I183" s="44">
        <v>23</v>
      </c>
      <c r="J183" s="45">
        <v>124150.7124</v>
      </c>
      <c r="K183" s="46">
        <v>7751.8883260000002</v>
      </c>
      <c r="L183" s="47">
        <v>131902.600726</v>
      </c>
      <c r="M183" s="48">
        <v>3097310</v>
      </c>
      <c r="N183" s="49">
        <v>1839584</v>
      </c>
      <c r="O183" s="49">
        <v>1257726</v>
      </c>
      <c r="P183" s="49">
        <v>0</v>
      </c>
      <c r="Q183" s="50">
        <v>7103.9229587155896</v>
      </c>
      <c r="R183" s="51">
        <v>2617.7199802636401</v>
      </c>
      <c r="S183" s="49">
        <v>27673.204792902601</v>
      </c>
      <c r="T183" s="49">
        <v>3072.8545955521699</v>
      </c>
      <c r="U183" s="49">
        <f>IFERROR(INDEX('Rentabilidad datos'!$N$2:$N$61,MATCH($C183,'Rentabilidad datos'!$C$2:$C$61,0)),"")</f>
        <v>33363.779368718446</v>
      </c>
      <c r="V183" s="50">
        <f>IFERROR(INDEX('Rentabilidad datos'!$O$2:$O$61,MATCH($C183,'Rentabilidad datos'!$C$2:$C$61,0)),"")</f>
        <v>1588.7513985104022</v>
      </c>
      <c r="W183" s="51">
        <f>IFERROR(INDEX('Rentabilidad datos'!$M$2:$M$61,MATCH($C183,'Rentabilidad datos'!$C$2:$C$61,0)),"")</f>
        <v>2501.4542944353198</v>
      </c>
      <c r="X183" s="52">
        <f>IFERROR(INDEX('Rentabilidad datos'!$P$2:$P$61,MATCH($C183,'Rentabilidad datos'!$C$2:$C$61,0)),"")</f>
        <v>0.63513109235883447</v>
      </c>
      <c r="Y183" s="43" t="s">
        <v>211</v>
      </c>
      <c r="Z183" s="53">
        <v>50.559633027522899</v>
      </c>
      <c r="AA183" s="43">
        <v>1</v>
      </c>
      <c r="AB183" s="54">
        <v>0.9990743580720044</v>
      </c>
      <c r="AC183" s="55">
        <v>9.2564192799558331E-4</v>
      </c>
      <c r="AD183" s="752" t="e">
        <f>_xlfn.XLOOKUP(Table1[[#This Row],[Ruta]],#REF!,#REF!)</f>
        <v>#REF!</v>
      </c>
      <c r="AE183" s="752" t="e">
        <f>_xlfn.XLOOKUP(Table1[[#This Row],[Ruta]],#REF!,#REF!)</f>
        <v>#REF!</v>
      </c>
      <c r="AF183" s="752" t="e">
        <f>_xlfn.XLOOKUP(Table1[[#This Row],[Ruta]],#REF!,#REF!)</f>
        <v>#REF!</v>
      </c>
      <c r="AG183" s="752" t="e">
        <f>_xlfn.XLOOKUP(Table1[[#This Row],[Ruta]],#REF!,#REF!)</f>
        <v>#REF!</v>
      </c>
      <c r="AH183" s="52">
        <v>0.5939295711439927</v>
      </c>
      <c r="AI183" s="52">
        <v>0.4060704288560073</v>
      </c>
      <c r="AJ183" s="55">
        <v>0</v>
      </c>
      <c r="AK183" s="56">
        <v>22044</v>
      </c>
      <c r="AL183" s="44">
        <v>16827</v>
      </c>
      <c r="AM183" s="54">
        <v>0.76333696243875904</v>
      </c>
      <c r="AN183" s="55">
        <v>0.76227312282453297</v>
      </c>
      <c r="AO183" s="56">
        <v>0</v>
      </c>
      <c r="AP183" s="48">
        <v>0</v>
      </c>
      <c r="AQ183" s="55">
        <v>0.76333696243875881</v>
      </c>
      <c r="AR183" s="51">
        <v>3097310.41</v>
      </c>
      <c r="AS183" s="49">
        <v>0</v>
      </c>
      <c r="AT183" s="55">
        <v>0</v>
      </c>
      <c r="AU183" s="51">
        <v>0</v>
      </c>
      <c r="AV183" s="52">
        <v>0</v>
      </c>
      <c r="AW183" s="44">
        <v>490</v>
      </c>
      <c r="AX183" s="51">
        <v>184.067891483925</v>
      </c>
      <c r="AY183" s="49">
        <v>397.41142810899697</v>
      </c>
      <c r="AZ183" s="49">
        <v>213.34353662507198</v>
      </c>
      <c r="BA183" s="42" t="s">
        <v>150</v>
      </c>
      <c r="BB183" s="50">
        <v>1261327.3508181388</v>
      </c>
      <c r="BC183" s="57">
        <v>1261327.3508181388</v>
      </c>
      <c r="BD183" s="42" t="s">
        <v>150</v>
      </c>
      <c r="BE183" s="46">
        <v>50.559633027522899</v>
      </c>
      <c r="BF183" s="46">
        <v>38.539172378641602</v>
      </c>
      <c r="BG183" s="42" t="s">
        <v>150</v>
      </c>
      <c r="BH183" s="52">
        <v>0.76333696243875904</v>
      </c>
      <c r="BI183" s="52">
        <v>0.66503705286792802</v>
      </c>
      <c r="BJ183" s="42" t="s">
        <v>150</v>
      </c>
      <c r="BK183" s="46">
        <v>302.52890074770602</v>
      </c>
      <c r="BL183" s="46">
        <v>393.04436199544199</v>
      </c>
      <c r="BM183" s="42" t="s">
        <v>152</v>
      </c>
      <c r="BN183" s="48">
        <v>2</v>
      </c>
      <c r="BO183" s="42" t="s">
        <v>161</v>
      </c>
      <c r="BP183" s="42" t="s">
        <v>152</v>
      </c>
      <c r="BQ183" s="46">
        <v>1090.0517203556701</v>
      </c>
      <c r="BR183" s="46">
        <v>184</v>
      </c>
      <c r="BS183" s="46">
        <v>9162</v>
      </c>
      <c r="BT183" s="46">
        <v>3005</v>
      </c>
      <c r="BU183" s="46">
        <v>3.0489184692179698</v>
      </c>
      <c r="BV183" s="46">
        <v>16.331521739130434</v>
      </c>
      <c r="BW183" s="46">
        <v>2923</v>
      </c>
      <c r="BX183" s="46">
        <v>0</v>
      </c>
      <c r="BY183" s="46">
        <v>2923</v>
      </c>
      <c r="BZ183" s="46">
        <v>0.97271214642262893</v>
      </c>
      <c r="CA183" s="46">
        <v>0.97271214642262893</v>
      </c>
      <c r="CB183" s="46">
        <v>0</v>
      </c>
      <c r="CC183" s="46">
        <v>2.7287853577371055E-2</v>
      </c>
      <c r="CD183" s="46">
        <v>0</v>
      </c>
      <c r="CE183" s="46">
        <v>0</v>
      </c>
      <c r="CF183" s="46">
        <v>0</v>
      </c>
      <c r="CG183" s="46">
        <v>0</v>
      </c>
      <c r="CH183" s="46">
        <v>0</v>
      </c>
      <c r="CI183" s="46">
        <v>0.21829294913774289</v>
      </c>
      <c r="CJ183" s="46">
        <v>0.21829294913774289</v>
      </c>
      <c r="CK183">
        <v>352</v>
      </c>
      <c r="CL183">
        <v>622.94000000000005</v>
      </c>
      <c r="CM183">
        <f t="shared" si="21"/>
        <v>270.94000000000005</v>
      </c>
      <c r="CN183">
        <v>4.5199999999999996</v>
      </c>
      <c r="CO183">
        <v>9.4499999999999993</v>
      </c>
      <c r="CP183">
        <f t="shared" si="22"/>
        <v>4.93</v>
      </c>
      <c r="CQ183">
        <v>602.75</v>
      </c>
      <c r="CR183">
        <v>302.52999999999997</v>
      </c>
      <c r="CS183">
        <f t="shared" si="23"/>
        <v>300.22000000000003</v>
      </c>
      <c r="CT183" t="s">
        <v>152</v>
      </c>
      <c r="CU183">
        <v>51.6</v>
      </c>
      <c r="CV183">
        <v>338</v>
      </c>
      <c r="CW183" s="46">
        <v>2923</v>
      </c>
      <c r="CX183" s="46">
        <f t="shared" si="17"/>
        <v>88.254908485856902</v>
      </c>
      <c r="CY183" s="46">
        <v>270.94</v>
      </c>
      <c r="CZ183" s="46">
        <f t="shared" si="18"/>
        <v>97.27121464226289</v>
      </c>
      <c r="DA183" s="46">
        <f t="shared" si="19"/>
        <v>761.38214680366548</v>
      </c>
      <c r="DB183" s="46">
        <v>2494242.23</v>
      </c>
      <c r="DC183" s="46">
        <f t="shared" si="20"/>
        <v>32.480689512017925</v>
      </c>
      <c r="DD183" s="46">
        <v>106404.79</v>
      </c>
      <c r="DE183" s="995">
        <v>2923</v>
      </c>
      <c r="DF183" s="995">
        <v>88.94</v>
      </c>
      <c r="DG183" s="995">
        <v>250.4</v>
      </c>
      <c r="DH183" s="995">
        <v>97.271000000000001</v>
      </c>
      <c r="DI183" s="995">
        <v>1553.1890000000001</v>
      </c>
      <c r="DJ183" s="995">
        <v>5056199</v>
      </c>
      <c r="DK183" s="995">
        <v>66.131</v>
      </c>
      <c r="DL183" s="995">
        <v>215281.9</v>
      </c>
      <c r="DM183" s="995">
        <v>2923</v>
      </c>
      <c r="DN183" s="995">
        <v>90.41</v>
      </c>
      <c r="DO183" s="995">
        <v>206.2</v>
      </c>
      <c r="DP183" s="995">
        <v>97.271000000000001</v>
      </c>
      <c r="DQ183" s="995">
        <v>1476.076</v>
      </c>
      <c r="DR183" s="995">
        <v>4739953</v>
      </c>
      <c r="DS183" s="995">
        <v>62.823</v>
      </c>
      <c r="DT183" s="995">
        <v>201736.8</v>
      </c>
    </row>
    <row r="184" spans="1:124">
      <c r="A184" s="42" t="s">
        <v>93</v>
      </c>
      <c r="B184" s="42" t="s">
        <v>361</v>
      </c>
      <c r="C184" s="42" t="s">
        <v>362</v>
      </c>
      <c r="D184" s="42">
        <v>301349</v>
      </c>
      <c r="E184" s="42" t="s">
        <v>370</v>
      </c>
      <c r="F184" s="42" t="s">
        <v>149</v>
      </c>
      <c r="G184" s="42" t="s">
        <v>150</v>
      </c>
      <c r="H184" s="43" t="s">
        <v>150</v>
      </c>
      <c r="I184" s="44">
        <v>23</v>
      </c>
      <c r="J184" s="45">
        <v>82386.790199999901</v>
      </c>
      <c r="K184" s="46">
        <v>11756.19089</v>
      </c>
      <c r="L184" s="47">
        <v>94142.981090000001</v>
      </c>
      <c r="M184" s="48">
        <v>2877421</v>
      </c>
      <c r="N184" s="49">
        <v>1256041</v>
      </c>
      <c r="O184" s="49">
        <v>1621380</v>
      </c>
      <c r="P184" s="49">
        <v>0</v>
      </c>
      <c r="Q184" s="50">
        <v>6630.00714285715</v>
      </c>
      <c r="R184" s="51">
        <v>2617.7199802636401</v>
      </c>
      <c r="S184" s="49">
        <v>27673.204792902601</v>
      </c>
      <c r="T184" s="49">
        <v>3072.8545955521699</v>
      </c>
      <c r="U184" s="49">
        <f>IFERROR(INDEX('Rentabilidad datos'!$N$2:$N$61,MATCH($C184,'Rentabilidad datos'!$C$2:$C$61,0)),"")</f>
        <v>33363.779368718446</v>
      </c>
      <c r="V184" s="50">
        <f>IFERROR(INDEX('Rentabilidad datos'!$O$2:$O$61,MATCH($C184,'Rentabilidad datos'!$C$2:$C$61,0)),"")</f>
        <v>1588.7513985104022</v>
      </c>
      <c r="W184" s="51">
        <f>IFERROR(INDEX('Rentabilidad datos'!$M$2:$M$61,MATCH($C184,'Rentabilidad datos'!$C$2:$C$61,0)),"")</f>
        <v>2501.4542944353198</v>
      </c>
      <c r="X184" s="52">
        <f>IFERROR(INDEX('Rentabilidad datos'!$P$2:$P$61,MATCH($C184,'Rentabilidad datos'!$C$2:$C$61,0)),"")</f>
        <v>0.63513109235883447</v>
      </c>
      <c r="Y184" s="43" t="s">
        <v>211</v>
      </c>
      <c r="Z184" s="53">
        <v>47.009216589861801</v>
      </c>
      <c r="AA184" s="43">
        <v>1</v>
      </c>
      <c r="AB184" s="54">
        <v>0.93326141708147681</v>
      </c>
      <c r="AC184" s="55">
        <v>6.673858291852322E-2</v>
      </c>
      <c r="AD184" s="752" t="e">
        <f>_xlfn.XLOOKUP(Table1[[#This Row],[Ruta]],#REF!,#REF!)</f>
        <v>#REF!</v>
      </c>
      <c r="AE184" s="752" t="e">
        <f>_xlfn.XLOOKUP(Table1[[#This Row],[Ruta]],#REF!,#REF!)</f>
        <v>#REF!</v>
      </c>
      <c r="AF184" s="752" t="e">
        <f>_xlfn.XLOOKUP(Table1[[#This Row],[Ruta]],#REF!,#REF!)</f>
        <v>#REF!</v>
      </c>
      <c r="AG184" s="752" t="e">
        <f>_xlfn.XLOOKUP(Table1[[#This Row],[Ruta]],#REF!,#REF!)</f>
        <v>#REF!</v>
      </c>
      <c r="AH184" s="52">
        <v>0.43651624145371848</v>
      </c>
      <c r="AI184" s="52">
        <v>0.56348375854628152</v>
      </c>
      <c r="AJ184" s="55">
        <v>0</v>
      </c>
      <c r="AK184" s="56">
        <v>20402</v>
      </c>
      <c r="AL184" s="44">
        <v>17179</v>
      </c>
      <c r="AM184" s="54">
        <v>0.84202529163807505</v>
      </c>
      <c r="AN184" s="55">
        <v>0.76227312282453297</v>
      </c>
      <c r="AO184" s="56">
        <v>0</v>
      </c>
      <c r="AP184" s="48">
        <v>0</v>
      </c>
      <c r="AQ184" s="55">
        <v>0.84202529163807471</v>
      </c>
      <c r="AR184" s="51">
        <v>2877423.1</v>
      </c>
      <c r="AS184" s="49">
        <v>0</v>
      </c>
      <c r="AT184" s="55">
        <v>0</v>
      </c>
      <c r="AU184" s="51">
        <v>0</v>
      </c>
      <c r="AV184" s="52">
        <v>0</v>
      </c>
      <c r="AW184" s="44">
        <v>490</v>
      </c>
      <c r="AX184" s="51">
        <v>167.49654229000501</v>
      </c>
      <c r="AY184" s="49">
        <v>397.41142810899697</v>
      </c>
      <c r="AZ184" s="49">
        <v>229.91488581899196</v>
      </c>
      <c r="BA184" s="42" t="s">
        <v>150</v>
      </c>
      <c r="BB184" s="50">
        <v>1387735.1812242712</v>
      </c>
      <c r="BC184" s="57">
        <v>1387735.1812242712</v>
      </c>
      <c r="BD184" s="42" t="s">
        <v>150</v>
      </c>
      <c r="BE184" s="46">
        <v>47.009216589861801</v>
      </c>
      <c r="BF184" s="46">
        <v>38.539172378641602</v>
      </c>
      <c r="BG184" s="42" t="s">
        <v>150</v>
      </c>
      <c r="BH184" s="52">
        <v>0.84202529163807505</v>
      </c>
      <c r="BI184" s="52">
        <v>0.66503705286792802</v>
      </c>
      <c r="BJ184" s="42" t="s">
        <v>150</v>
      </c>
      <c r="BK184" s="46">
        <v>216.91931126728099</v>
      </c>
      <c r="BL184" s="46">
        <v>393.04436199544199</v>
      </c>
      <c r="BM184" s="42" t="s">
        <v>152</v>
      </c>
      <c r="BN184" s="48">
        <v>2</v>
      </c>
      <c r="BO184" s="42" t="s">
        <v>161</v>
      </c>
      <c r="BP184" s="42" t="s">
        <v>152</v>
      </c>
      <c r="BQ184" s="46">
        <v>345.93286348340598</v>
      </c>
      <c r="BR184" s="46">
        <v>1274</v>
      </c>
      <c r="BS184" s="46">
        <v>109709</v>
      </c>
      <c r="BT184" s="46">
        <v>33021</v>
      </c>
      <c r="BU184" s="46">
        <v>3.3224008963992611</v>
      </c>
      <c r="BV184" s="46">
        <v>25.919152276295133</v>
      </c>
      <c r="BW184" s="46">
        <v>659</v>
      </c>
      <c r="BX184" s="46">
        <v>2029</v>
      </c>
      <c r="BY184" s="46">
        <v>2688</v>
      </c>
      <c r="BZ184" s="46">
        <v>8.1402743708549108E-2</v>
      </c>
      <c r="CA184" s="46">
        <v>1.995699706247539E-2</v>
      </c>
      <c r="CB184" s="46">
        <v>6.1445746646073711E-2</v>
      </c>
      <c r="CC184" s="46">
        <v>0.7381363374822083</v>
      </c>
      <c r="CD184" s="46">
        <v>4.9756215741497828E-2</v>
      </c>
      <c r="CE184" s="46">
        <v>0</v>
      </c>
      <c r="CF184" s="46">
        <v>0.13070470306774479</v>
      </c>
      <c r="CG184" s="46">
        <v>0</v>
      </c>
      <c r="CH184" s="46">
        <v>0</v>
      </c>
      <c r="CI184" s="46">
        <v>2.9441522573353138</v>
      </c>
      <c r="CJ184" s="46">
        <v>0.36460089874121537</v>
      </c>
      <c r="CK184">
        <v>338</v>
      </c>
      <c r="CL184">
        <v>557.80999999999995</v>
      </c>
      <c r="CM184">
        <f t="shared" si="21"/>
        <v>219.80999999999995</v>
      </c>
      <c r="CN184">
        <v>4.8099999999999996</v>
      </c>
      <c r="CO184">
        <v>9.4499999999999993</v>
      </c>
      <c r="CP184">
        <f t="shared" si="22"/>
        <v>4.6399999999999997</v>
      </c>
      <c r="CQ184">
        <v>602.75</v>
      </c>
      <c r="CR184">
        <v>216.92</v>
      </c>
      <c r="CS184">
        <f t="shared" si="23"/>
        <v>385.83000000000004</v>
      </c>
      <c r="CT184" t="s">
        <v>152</v>
      </c>
      <c r="CU184">
        <v>50.89</v>
      </c>
      <c r="CV184">
        <v>101</v>
      </c>
      <c r="CW184" s="46">
        <v>2688</v>
      </c>
      <c r="CX184" s="46">
        <f t="shared" si="17"/>
        <v>7.4746070682293082</v>
      </c>
      <c r="CY184" s="46">
        <v>219.81</v>
      </c>
      <c r="CZ184" s="46">
        <f t="shared" si="18"/>
        <v>8.140274370854911</v>
      </c>
      <c r="DA184" s="46">
        <f t="shared" si="19"/>
        <v>63.749195642344461</v>
      </c>
      <c r="DB184" s="46">
        <v>2119074.9</v>
      </c>
      <c r="DC184" s="46">
        <f t="shared" si="20"/>
        <v>2.5142705607956004</v>
      </c>
      <c r="DD184" s="46">
        <v>83576.39</v>
      </c>
      <c r="DE184" s="995">
        <v>2688</v>
      </c>
      <c r="DF184" s="995">
        <v>7.5289999999999999</v>
      </c>
      <c r="DG184" s="995">
        <v>201.8</v>
      </c>
      <c r="DH184" s="995">
        <v>8.14</v>
      </c>
      <c r="DI184" s="995">
        <v>133.673</v>
      </c>
      <c r="DJ184" s="995">
        <v>4441009</v>
      </c>
      <c r="DK184" s="995">
        <v>5.1239999999999997</v>
      </c>
      <c r="DL184" s="995">
        <v>170217.8</v>
      </c>
      <c r="DM184" s="995">
        <v>2688</v>
      </c>
      <c r="DN184" s="995">
        <v>7.5549999999999997</v>
      </c>
      <c r="DO184" s="995">
        <v>193.4</v>
      </c>
      <c r="DP184" s="995">
        <v>8.14</v>
      </c>
      <c r="DQ184" s="995">
        <v>131.684</v>
      </c>
      <c r="DR184" s="995">
        <v>4373794</v>
      </c>
      <c r="DS184" s="995">
        <v>5.0469999999999997</v>
      </c>
      <c r="DT184" s="995">
        <v>167626.4</v>
      </c>
    </row>
    <row r="185" spans="1:124">
      <c r="A185" s="42" t="s">
        <v>93</v>
      </c>
      <c r="B185" s="42" t="s">
        <v>361</v>
      </c>
      <c r="C185" s="42" t="s">
        <v>362</v>
      </c>
      <c r="D185" s="42">
        <v>301350</v>
      </c>
      <c r="E185" s="42" t="s">
        <v>371</v>
      </c>
      <c r="F185" s="42" t="s">
        <v>149</v>
      </c>
      <c r="G185" s="42" t="s">
        <v>150</v>
      </c>
      <c r="H185" s="43" t="s">
        <v>150</v>
      </c>
      <c r="I185" s="44">
        <v>23</v>
      </c>
      <c r="J185" s="45">
        <v>6140.277</v>
      </c>
      <c r="K185" s="46">
        <v>360.770127</v>
      </c>
      <c r="L185" s="47">
        <v>6501.0471269999998</v>
      </c>
      <c r="M185" s="48">
        <v>123192</v>
      </c>
      <c r="N185" s="49">
        <v>80631</v>
      </c>
      <c r="O185" s="49">
        <v>42561</v>
      </c>
      <c r="P185" s="49">
        <v>0</v>
      </c>
      <c r="Q185" s="50">
        <v>1280.4749999999999</v>
      </c>
      <c r="R185" s="51">
        <v>2617.7199802636401</v>
      </c>
      <c r="S185" s="49">
        <v>27673.204792902601</v>
      </c>
      <c r="T185" s="49">
        <v>3072.8545955521699</v>
      </c>
      <c r="U185" s="49">
        <f>IFERROR(INDEX('Rentabilidad datos'!$N$2:$N$61,MATCH($C185,'Rentabilidad datos'!$C$2:$C$61,0)),"")</f>
        <v>33363.779368718446</v>
      </c>
      <c r="V185" s="50">
        <f>IFERROR(INDEX('Rentabilidad datos'!$O$2:$O$61,MATCH($C185,'Rentabilidad datos'!$C$2:$C$61,0)),"")</f>
        <v>1588.7513985104022</v>
      </c>
      <c r="W185" s="51">
        <f>IFERROR(INDEX('Rentabilidad datos'!$M$2:$M$61,MATCH($C185,'Rentabilidad datos'!$C$2:$C$61,0)),"")</f>
        <v>2501.4542944353198</v>
      </c>
      <c r="X185" s="52">
        <f>IFERROR(INDEX('Rentabilidad datos'!$P$2:$P$61,MATCH($C185,'Rentabilidad datos'!$C$2:$C$61,0)),"")</f>
        <v>0.63513109235883447</v>
      </c>
      <c r="Y185" s="43" t="s">
        <v>211</v>
      </c>
      <c r="Z185" s="53">
        <v>40.310344827586199</v>
      </c>
      <c r="AA185" s="43">
        <v>1</v>
      </c>
      <c r="AB185" s="54">
        <v>0.99296220533800894</v>
      </c>
      <c r="AC185" s="55">
        <v>7.0377946619910384E-3</v>
      </c>
      <c r="AD185" s="752" t="e">
        <f>_xlfn.XLOOKUP(Table1[[#This Row],[Ruta]],#REF!,#REF!)</f>
        <v>#REF!</v>
      </c>
      <c r="AE185" s="752" t="e">
        <f>_xlfn.XLOOKUP(Table1[[#This Row],[Ruta]],#REF!,#REF!)</f>
        <v>#REF!</v>
      </c>
      <c r="AF185" s="752" t="e">
        <f>_xlfn.XLOOKUP(Table1[[#This Row],[Ruta]],#REF!,#REF!)</f>
        <v>#REF!</v>
      </c>
      <c r="AG185" s="752" t="e">
        <f>_xlfn.XLOOKUP(Table1[[#This Row],[Ruta]],#REF!,#REF!)</f>
        <v>#REF!</v>
      </c>
      <c r="AH185" s="52">
        <v>0.65451490356516662</v>
      </c>
      <c r="AI185" s="52">
        <v>0.34548509643483344</v>
      </c>
      <c r="AJ185" s="55">
        <v>0</v>
      </c>
      <c r="AK185" s="56">
        <v>4676</v>
      </c>
      <c r="AL185" s="44">
        <v>677</v>
      </c>
      <c r="AM185" s="54">
        <v>0.14435414884516701</v>
      </c>
      <c r="AN185" s="55">
        <v>0.76227312282453297</v>
      </c>
      <c r="AO185" s="56">
        <v>2889.38912232752</v>
      </c>
      <c r="AP185" s="48">
        <v>1444.69456116376</v>
      </c>
      <c r="AQ185" s="55">
        <v>0.45374135183142861</v>
      </c>
      <c r="AR185" s="51">
        <v>151096.04999999999</v>
      </c>
      <c r="AS185" s="49">
        <v>322433.7395100845</v>
      </c>
      <c r="AT185" s="55">
        <v>2.1339653783807355</v>
      </c>
      <c r="AU185" s="51">
        <v>226575.06019627568</v>
      </c>
      <c r="AV185" s="52">
        <v>1.0307113902238677E-3</v>
      </c>
      <c r="AW185" s="44">
        <v>289</v>
      </c>
      <c r="AX185" s="51">
        <v>223.184711964549</v>
      </c>
      <c r="AY185" s="49">
        <v>397.41142810899697</v>
      </c>
      <c r="AZ185" s="49">
        <v>174.22671614444798</v>
      </c>
      <c r="BA185" s="42" t="s">
        <v>150</v>
      </c>
      <c r="BB185" s="50">
        <v>41442.414291548303</v>
      </c>
      <c r="BC185" s="57">
        <v>268017.47448782396</v>
      </c>
      <c r="BD185" s="42" t="s">
        <v>150</v>
      </c>
      <c r="BE185" s="46">
        <v>40.310344827586199</v>
      </c>
      <c r="BF185" s="46">
        <v>38.539172378641602</v>
      </c>
      <c r="BG185" s="42" t="s">
        <v>150</v>
      </c>
      <c r="BH185" s="52">
        <v>0.14435414884516701</v>
      </c>
      <c r="BI185" s="52">
        <v>0.66503705286792802</v>
      </c>
      <c r="BJ185" s="42" t="s">
        <v>152</v>
      </c>
      <c r="BK185" s="46">
        <v>55.093619720338999</v>
      </c>
      <c r="BL185" s="46">
        <v>393.04436199544199</v>
      </c>
      <c r="BM185" s="42" t="s">
        <v>152</v>
      </c>
      <c r="BN185" s="48">
        <v>1</v>
      </c>
      <c r="BO185" s="42" t="s">
        <v>155</v>
      </c>
      <c r="BP185" s="42" t="s">
        <v>152</v>
      </c>
      <c r="BQ185" s="46">
        <v>3953.5093881194498</v>
      </c>
      <c r="BR185" s="46">
        <v>889</v>
      </c>
      <c r="BS185" s="46">
        <v>42129</v>
      </c>
      <c r="BT185" s="46">
        <v>13032</v>
      </c>
      <c r="BU185" s="46">
        <v>3.2327348066298343</v>
      </c>
      <c r="BV185" s="46">
        <v>14.659167604049493</v>
      </c>
      <c r="BW185" s="46">
        <v>2826</v>
      </c>
      <c r="BX185" s="46">
        <v>1179</v>
      </c>
      <c r="BY185" s="46">
        <v>4005</v>
      </c>
      <c r="BZ185" s="46">
        <v>0.30732044198895025</v>
      </c>
      <c r="CA185" s="46">
        <v>0.2168508287292818</v>
      </c>
      <c r="CB185" s="46">
        <v>9.0469613259668513E-2</v>
      </c>
      <c r="CC185" s="46">
        <v>0.35228667894413751</v>
      </c>
      <c r="CD185" s="46">
        <v>0</v>
      </c>
      <c r="CE185" s="46">
        <v>0</v>
      </c>
      <c r="CF185" s="46">
        <v>0.3403161448741559</v>
      </c>
      <c r="CG185" s="46">
        <v>0</v>
      </c>
      <c r="CH185" s="46">
        <v>7.6734192756292198E-5</v>
      </c>
      <c r="CI185" s="46">
        <v>3.4180730613116861</v>
      </c>
      <c r="CJ185" s="46">
        <v>0.56967884355194753</v>
      </c>
      <c r="CK185">
        <v>281</v>
      </c>
      <c r="CL185">
        <v>711.2</v>
      </c>
      <c r="CM185">
        <f t="shared" si="21"/>
        <v>430.20000000000005</v>
      </c>
      <c r="CN185">
        <v>3.96</v>
      </c>
      <c r="CO185">
        <v>9.4499999999999993</v>
      </c>
      <c r="CP185">
        <f t="shared" si="22"/>
        <v>5.4899999999999993</v>
      </c>
      <c r="CQ185">
        <v>602.75</v>
      </c>
      <c r="CR185">
        <v>55.09</v>
      </c>
      <c r="CS185">
        <f t="shared" si="23"/>
        <v>547.66</v>
      </c>
      <c r="CT185" t="s">
        <v>152</v>
      </c>
      <c r="CU185">
        <v>41.93</v>
      </c>
      <c r="CV185">
        <v>265</v>
      </c>
      <c r="CW185" s="46">
        <v>4005</v>
      </c>
      <c r="CX185" s="46">
        <f t="shared" si="17"/>
        <v>27.430939226519342</v>
      </c>
      <c r="CY185" s="46">
        <v>430.2</v>
      </c>
      <c r="CZ185" s="46">
        <f t="shared" si="18"/>
        <v>30.732044198895025</v>
      </c>
      <c r="DA185" s="46">
        <f t="shared" si="19"/>
        <v>276.19759103266921</v>
      </c>
      <c r="DB185" s="46">
        <v>3718227.21</v>
      </c>
      <c r="DC185" s="46">
        <f t="shared" si="20"/>
        <v>11.099352260403203</v>
      </c>
      <c r="DD185" s="46">
        <v>149421.70000000001</v>
      </c>
      <c r="DE185" s="995">
        <v>4005</v>
      </c>
      <c r="DF185" s="995">
        <v>28.442</v>
      </c>
      <c r="DG185" s="995">
        <v>298.39999999999998</v>
      </c>
      <c r="DH185" s="995">
        <v>30.731999999999999</v>
      </c>
      <c r="DI185" s="995">
        <v>398.40100000000001</v>
      </c>
      <c r="DJ185" s="995">
        <v>5310845</v>
      </c>
      <c r="DK185" s="995">
        <v>16.414000000000001</v>
      </c>
      <c r="DL185" s="995">
        <v>218809.7</v>
      </c>
      <c r="DM185" s="995">
        <v>4005</v>
      </c>
      <c r="DN185" s="995">
        <v>28.741</v>
      </c>
      <c r="DO185" s="995">
        <v>259.5</v>
      </c>
      <c r="DP185" s="995">
        <v>30.731999999999999</v>
      </c>
      <c r="DQ185" s="995">
        <v>376.52199999999999</v>
      </c>
      <c r="DR185" s="995">
        <v>5004547</v>
      </c>
      <c r="DS185" s="995">
        <v>15.565</v>
      </c>
      <c r="DT185" s="995">
        <v>206887.7</v>
      </c>
    </row>
    <row r="186" spans="1:124">
      <c r="A186" s="42" t="s">
        <v>93</v>
      </c>
      <c r="B186" s="42" t="s">
        <v>361</v>
      </c>
      <c r="C186" s="42" t="s">
        <v>362</v>
      </c>
      <c r="D186" s="42">
        <v>301351</v>
      </c>
      <c r="E186" s="42" t="s">
        <v>372</v>
      </c>
      <c r="F186" s="42" t="s">
        <v>149</v>
      </c>
      <c r="G186" s="42" t="s">
        <v>150</v>
      </c>
      <c r="H186" s="43" t="s">
        <v>150</v>
      </c>
      <c r="I186" s="44">
        <v>23</v>
      </c>
      <c r="J186" s="45">
        <v>94376.224799999996</v>
      </c>
      <c r="K186" s="46">
        <v>7008.6565879999998</v>
      </c>
      <c r="L186" s="47">
        <v>101384.88138799999</v>
      </c>
      <c r="M186" s="48">
        <v>2339410</v>
      </c>
      <c r="N186" s="49">
        <v>1411226</v>
      </c>
      <c r="O186" s="49">
        <v>928184</v>
      </c>
      <c r="P186" s="49">
        <v>0</v>
      </c>
      <c r="Q186" s="50">
        <v>5377.9612183908102</v>
      </c>
      <c r="R186" s="51">
        <v>2617.7199802636401</v>
      </c>
      <c r="S186" s="49">
        <v>27673.204792902601</v>
      </c>
      <c r="T186" s="49">
        <v>3072.8545955521699</v>
      </c>
      <c r="U186" s="49">
        <f>IFERROR(INDEX('Rentabilidad datos'!$N$2:$N$61,MATCH($C186,'Rentabilidad datos'!$C$2:$C$61,0)),"")</f>
        <v>33363.779368718446</v>
      </c>
      <c r="V186" s="50">
        <f>IFERROR(INDEX('Rentabilidad datos'!$O$2:$O$61,MATCH($C186,'Rentabilidad datos'!$C$2:$C$61,0)),"")</f>
        <v>1588.7513985104022</v>
      </c>
      <c r="W186" s="51">
        <f>IFERROR(INDEX('Rentabilidad datos'!$M$2:$M$61,MATCH($C186,'Rentabilidad datos'!$C$2:$C$61,0)),"")</f>
        <v>2501.4542944353198</v>
      </c>
      <c r="X186" s="52">
        <f>IFERROR(INDEX('Rentabilidad datos'!$P$2:$P$61,MATCH($C186,'Rentabilidad datos'!$C$2:$C$61,0)),"")</f>
        <v>0.63513109235883447</v>
      </c>
      <c r="Y186" s="43" t="s">
        <v>211</v>
      </c>
      <c r="Z186" s="53">
        <v>53.172413793103402</v>
      </c>
      <c r="AA186" s="43">
        <v>1</v>
      </c>
      <c r="AB186" s="54">
        <v>0.96583540294347725</v>
      </c>
      <c r="AC186" s="55">
        <v>3.4164597056522798E-2</v>
      </c>
      <c r="AD186" s="752" t="e">
        <f>_xlfn.XLOOKUP(Table1[[#This Row],[Ruta]],#REF!,#REF!)</f>
        <v>#REF!</v>
      </c>
      <c r="AE186" s="752" t="e">
        <f>_xlfn.XLOOKUP(Table1[[#This Row],[Ruta]],#REF!,#REF!)</f>
        <v>#REF!</v>
      </c>
      <c r="AF186" s="752" t="e">
        <f>_xlfn.XLOOKUP(Table1[[#This Row],[Ruta]],#REF!,#REF!)</f>
        <v>#REF!</v>
      </c>
      <c r="AG186" s="752" t="e">
        <f>_xlfn.XLOOKUP(Table1[[#This Row],[Ruta]],#REF!,#REF!)</f>
        <v>#REF!</v>
      </c>
      <c r="AH186" s="52">
        <v>0.6032401331959768</v>
      </c>
      <c r="AI186" s="52">
        <v>0.39675986680402325</v>
      </c>
      <c r="AJ186" s="55">
        <v>0</v>
      </c>
      <c r="AK186" s="56">
        <v>23130</v>
      </c>
      <c r="AL186" s="44">
        <v>15120</v>
      </c>
      <c r="AM186" s="54">
        <v>0.65369649805447505</v>
      </c>
      <c r="AN186" s="55">
        <v>0.76227312282453297</v>
      </c>
      <c r="AO186" s="56">
        <v>2511.3773309314602</v>
      </c>
      <c r="AP186" s="48">
        <v>1255.6886654657301</v>
      </c>
      <c r="AQ186" s="55">
        <v>0.70798481043950412</v>
      </c>
      <c r="AR186" s="51">
        <v>2339413.13</v>
      </c>
      <c r="AS186" s="49">
        <v>194284.03116287701</v>
      </c>
      <c r="AT186" s="55">
        <v>8.3048192160431716E-2</v>
      </c>
      <c r="AU186" s="51">
        <v>136523.91379012985</v>
      </c>
      <c r="AV186" s="52">
        <v>6.2106020344661588E-4</v>
      </c>
      <c r="AW186" s="44">
        <v>363</v>
      </c>
      <c r="AX186" s="51">
        <v>154.72309060846601</v>
      </c>
      <c r="AY186" s="49">
        <v>397.41142810899697</v>
      </c>
      <c r="AZ186" s="49">
        <v>242.68833750053096</v>
      </c>
      <c r="BA186" s="42" t="s">
        <v>150</v>
      </c>
      <c r="BB186" s="50">
        <v>1289265.3951109294</v>
      </c>
      <c r="BC186" s="57">
        <v>1425789.3089010592</v>
      </c>
      <c r="BD186" s="42" t="s">
        <v>150</v>
      </c>
      <c r="BE186" s="46">
        <v>53.172413793103402</v>
      </c>
      <c r="BF186" s="46">
        <v>38.539172378641602</v>
      </c>
      <c r="BG186" s="42" t="s">
        <v>150</v>
      </c>
      <c r="BH186" s="52">
        <v>0.65369649805447505</v>
      </c>
      <c r="BI186" s="52">
        <v>0.66503705286792802</v>
      </c>
      <c r="BJ186" s="42" t="s">
        <v>152</v>
      </c>
      <c r="BK186" s="46">
        <v>233.06869284597701</v>
      </c>
      <c r="BL186" s="46">
        <v>393.04436199544199</v>
      </c>
      <c r="BM186" s="42" t="s">
        <v>152</v>
      </c>
      <c r="BN186" s="48">
        <v>1</v>
      </c>
      <c r="BO186" s="42" t="s">
        <v>155</v>
      </c>
      <c r="BP186" s="42" t="s">
        <v>152</v>
      </c>
      <c r="BQ186" s="46">
        <v>3389.7901228984201</v>
      </c>
      <c r="BR186" s="46">
        <v>2589</v>
      </c>
      <c r="BS186" s="46">
        <v>195235</v>
      </c>
      <c r="BT186" s="46">
        <v>54676</v>
      </c>
      <c r="BU186" s="46">
        <v>3.5707623088740945</v>
      </c>
      <c r="BV186" s="46">
        <v>21.118578601776747</v>
      </c>
      <c r="BW186" s="46">
        <v>753</v>
      </c>
      <c r="BX186" s="46">
        <v>214</v>
      </c>
      <c r="BY186" s="46">
        <v>967</v>
      </c>
      <c r="BZ186" s="46">
        <v>1.7686004828443923E-2</v>
      </c>
      <c r="CA186" s="46">
        <v>1.377203892018436E-2</v>
      </c>
      <c r="CB186" s="46">
        <v>3.9139659082595658E-3</v>
      </c>
      <c r="CC186" s="46">
        <v>0.37155241787987409</v>
      </c>
      <c r="CD186" s="46">
        <v>2.309971468285902E-2</v>
      </c>
      <c r="CE186" s="46">
        <v>0</v>
      </c>
      <c r="CF186" s="46">
        <v>0.58766186260882292</v>
      </c>
      <c r="CG186" s="46">
        <v>0</v>
      </c>
      <c r="CH186" s="46">
        <v>0</v>
      </c>
      <c r="CI186" s="46">
        <v>3.908110738340973</v>
      </c>
      <c r="CJ186" s="46">
        <v>0.2868338156580531</v>
      </c>
      <c r="CK186">
        <v>505</v>
      </c>
      <c r="CL186">
        <v>666.96</v>
      </c>
      <c r="CM186">
        <f t="shared" si="21"/>
        <v>161.96000000000004</v>
      </c>
      <c r="CN186">
        <v>5.33</v>
      </c>
      <c r="CO186">
        <v>9.4499999999999993</v>
      </c>
      <c r="CP186">
        <f t="shared" si="22"/>
        <v>4.1199999999999992</v>
      </c>
      <c r="CQ186">
        <v>602.75</v>
      </c>
      <c r="CR186">
        <v>233.07</v>
      </c>
      <c r="CS186">
        <f t="shared" si="23"/>
        <v>369.68</v>
      </c>
      <c r="CT186" t="s">
        <v>152</v>
      </c>
      <c r="CU186">
        <v>57.56</v>
      </c>
      <c r="CV186">
        <v>106</v>
      </c>
      <c r="CW186" s="46">
        <v>967</v>
      </c>
      <c r="CX186" s="46">
        <f t="shared" si="17"/>
        <v>1.4723827639183553</v>
      </c>
      <c r="CY186" s="46">
        <v>161.96</v>
      </c>
      <c r="CZ186" s="46">
        <f t="shared" si="18"/>
        <v>1.7686004828443922</v>
      </c>
      <c r="DA186" s="46">
        <f t="shared" si="19"/>
        <v>20.767319936773724</v>
      </c>
      <c r="DB186" s="46">
        <v>1138837.46</v>
      </c>
      <c r="DC186" s="46">
        <f t="shared" si="20"/>
        <v>1.0086600595645789</v>
      </c>
      <c r="DD186" s="46">
        <v>55312.86</v>
      </c>
      <c r="DE186" s="995">
        <v>967</v>
      </c>
      <c r="DF186" s="995">
        <v>1.57</v>
      </c>
      <c r="DG186" s="995">
        <v>108.4</v>
      </c>
      <c r="DH186" s="995">
        <v>1.7689999999999999</v>
      </c>
      <c r="DI186" s="995">
        <v>80.58</v>
      </c>
      <c r="DJ186" s="995">
        <v>4414544</v>
      </c>
      <c r="DK186" s="995">
        <v>3.617</v>
      </c>
      <c r="DL186" s="995">
        <v>198176.4</v>
      </c>
      <c r="DM186" s="995">
        <v>967</v>
      </c>
      <c r="DN186" s="995">
        <v>1.6040000000000001</v>
      </c>
      <c r="DO186" s="995">
        <v>89.8</v>
      </c>
      <c r="DP186" s="995">
        <v>1.7689999999999999</v>
      </c>
      <c r="DQ186" s="995">
        <v>78.453999999999994</v>
      </c>
      <c r="DR186" s="995">
        <v>4296600</v>
      </c>
      <c r="DS186" s="995">
        <v>3.5139999999999998</v>
      </c>
      <c r="DT186" s="995">
        <v>192472.2</v>
      </c>
    </row>
    <row r="187" spans="1:124">
      <c r="A187" s="42" t="s">
        <v>93</v>
      </c>
      <c r="B187" s="42" t="s">
        <v>361</v>
      </c>
      <c r="C187" s="42" t="s">
        <v>362</v>
      </c>
      <c r="D187" s="42">
        <v>301352</v>
      </c>
      <c r="E187" s="42" t="s">
        <v>373</v>
      </c>
      <c r="F187" s="42" t="s">
        <v>193</v>
      </c>
      <c r="G187" s="42" t="s">
        <v>150</v>
      </c>
      <c r="H187" s="43" t="s">
        <v>152</v>
      </c>
      <c r="I187" s="44">
        <v>23</v>
      </c>
      <c r="J187" s="45">
        <v>3821.3604</v>
      </c>
      <c r="K187" s="46">
        <v>205.194613</v>
      </c>
      <c r="L187" s="47">
        <v>4026.5550130000001</v>
      </c>
      <c r="M187" s="48">
        <v>80941</v>
      </c>
      <c r="N187" s="49">
        <v>53751</v>
      </c>
      <c r="O187" s="49">
        <v>27190</v>
      </c>
      <c r="P187" s="49">
        <v>0</v>
      </c>
      <c r="Q187" s="50">
        <v>0</v>
      </c>
      <c r="R187" s="51">
        <v>2617.7199802636401</v>
      </c>
      <c r="S187" s="49">
        <v>27673.204792902601</v>
      </c>
      <c r="T187" s="49">
        <v>3072.8545955521699</v>
      </c>
      <c r="U187" s="49">
        <f>IFERROR(INDEX('Rentabilidad datos'!$N$2:$N$61,MATCH($C187,'Rentabilidad datos'!$C$2:$C$61,0)),"")</f>
        <v>33363.779368718446</v>
      </c>
      <c r="V187" s="50">
        <f>IFERROR(INDEX('Rentabilidad datos'!$O$2:$O$61,MATCH($C187,'Rentabilidad datos'!$C$2:$C$61,0)),"")</f>
        <v>1588.7513985104022</v>
      </c>
      <c r="W187" s="51">
        <f>IFERROR(INDEX('Rentabilidad datos'!$M$2:$M$61,MATCH($C187,'Rentabilidad datos'!$C$2:$C$61,0)),"")</f>
        <v>2501.4542944353198</v>
      </c>
      <c r="X187" s="52">
        <f>IFERROR(INDEX('Rentabilidad datos'!$P$2:$P$61,MATCH($C187,'Rentabilidad datos'!$C$2:$C$61,0)),"")</f>
        <v>0.63513109235883447</v>
      </c>
      <c r="Y187" s="43" t="s">
        <v>211</v>
      </c>
      <c r="Z187" s="53">
        <v>40.568075117370903</v>
      </c>
      <c r="AA187" s="43">
        <v>1</v>
      </c>
      <c r="AB187" s="54">
        <v>0.95798173978576984</v>
      </c>
      <c r="AC187" s="55">
        <v>4.2018260214230121E-2</v>
      </c>
      <c r="AD187" s="752" t="e">
        <f>_xlfn.XLOOKUP(Table1[[#This Row],[Ruta]],#REF!,#REF!)</f>
        <v>#REF!</v>
      </c>
      <c r="AE187" s="752" t="e">
        <f>_xlfn.XLOOKUP(Table1[[#This Row],[Ruta]],#REF!,#REF!)</f>
        <v>#REF!</v>
      </c>
      <c r="AF187" s="752" t="e">
        <f>_xlfn.XLOOKUP(Table1[[#This Row],[Ruta]],#REF!,#REF!)</f>
        <v>#REF!</v>
      </c>
      <c r="AG187" s="752" t="e">
        <f>_xlfn.XLOOKUP(Table1[[#This Row],[Ruta]],#REF!,#REF!)</f>
        <v>#REF!</v>
      </c>
      <c r="AH187" s="52">
        <v>0.66407630249193861</v>
      </c>
      <c r="AI187" s="52">
        <v>0.33592369750806145</v>
      </c>
      <c r="AJ187" s="55">
        <v>0</v>
      </c>
      <c r="AK187" s="56">
        <v>8641</v>
      </c>
      <c r="AL187" s="44">
        <v>326</v>
      </c>
      <c r="AM187" s="54">
        <v>3.7611387570882997E-2</v>
      </c>
      <c r="AN187" s="55">
        <v>0.76227312282453297</v>
      </c>
      <c r="AO187" s="56">
        <v>0</v>
      </c>
      <c r="AP187" s="48">
        <v>0</v>
      </c>
      <c r="AQ187" s="55">
        <v>3.7727114917254945E-2</v>
      </c>
      <c r="AR187" s="51">
        <v>87183.43</v>
      </c>
      <c r="AS187" s="49">
        <v>0</v>
      </c>
      <c r="AT187" s="55">
        <v>0</v>
      </c>
      <c r="AU187" s="51">
        <v>0</v>
      </c>
      <c r="AV187" s="52">
        <v>0</v>
      </c>
      <c r="AW187" s="44">
        <v>490</v>
      </c>
      <c r="AX187" s="51">
        <v>267.43383435582803</v>
      </c>
      <c r="AY187" s="49">
        <v>397.41142810899697</v>
      </c>
      <c r="AZ187" s="49">
        <v>129.97759375316895</v>
      </c>
      <c r="BA187" s="42" t="s">
        <v>150</v>
      </c>
      <c r="BB187" s="50">
        <v>14887.703846646762</v>
      </c>
      <c r="BC187" s="57">
        <v>14887.703846646762</v>
      </c>
      <c r="BD187" s="42" t="s">
        <v>152</v>
      </c>
      <c r="BE187" s="46" t="s">
        <v>195</v>
      </c>
      <c r="BF187" s="46" t="s">
        <v>195</v>
      </c>
      <c r="BG187" s="42" t="s">
        <v>195</v>
      </c>
      <c r="BH187" s="52" t="s">
        <v>195</v>
      </c>
      <c r="BI187" s="52" t="s">
        <v>195</v>
      </c>
      <c r="BJ187" s="42" t="s">
        <v>195</v>
      </c>
      <c r="BK187" s="46" t="s">
        <v>195</v>
      </c>
      <c r="BL187" s="46" t="s">
        <v>195</v>
      </c>
      <c r="BM187" s="42" t="s">
        <v>195</v>
      </c>
      <c r="BN187" s="48" t="s">
        <v>195</v>
      </c>
      <c r="BO187" s="42" t="s">
        <v>195</v>
      </c>
      <c r="BP187" s="42" t="s">
        <v>152</v>
      </c>
      <c r="BQ187" s="46">
        <v>0</v>
      </c>
      <c r="BR187" s="46">
        <v>217</v>
      </c>
      <c r="BS187" s="46">
        <v>16620</v>
      </c>
      <c r="BT187" s="46">
        <v>5871</v>
      </c>
      <c r="BU187" s="46">
        <v>2.8308635666836994</v>
      </c>
      <c r="BV187" s="46">
        <v>27.055299539170505</v>
      </c>
      <c r="BW187" s="46">
        <v>512</v>
      </c>
      <c r="BX187" s="46">
        <v>2652</v>
      </c>
      <c r="BY187" s="46">
        <v>3164</v>
      </c>
      <c r="BZ187" s="46">
        <v>0.53892011582353938</v>
      </c>
      <c r="CA187" s="46">
        <v>8.7208312042241526E-2</v>
      </c>
      <c r="CB187" s="46">
        <v>0.45171180378129788</v>
      </c>
      <c r="CC187" s="46">
        <v>0.46107988417646062</v>
      </c>
      <c r="CD187" s="46">
        <v>0</v>
      </c>
      <c r="CE187" s="46">
        <v>0</v>
      </c>
      <c r="CF187" s="46">
        <v>0</v>
      </c>
      <c r="CG187" s="46">
        <v>0</v>
      </c>
      <c r="CH187" s="46">
        <v>0</v>
      </c>
      <c r="CI187" s="46">
        <v>1.2033694344163659</v>
      </c>
      <c r="CJ187" s="46">
        <v>0.36101083032490972</v>
      </c>
      <c r="CK187">
        <v>202</v>
      </c>
      <c r="CL187">
        <v>499.4</v>
      </c>
      <c r="CM187">
        <f t="shared" si="21"/>
        <v>297.39999999999998</v>
      </c>
      <c r="CN187">
        <v>3.32</v>
      </c>
      <c r="CO187">
        <v>9.4499999999999993</v>
      </c>
      <c r="CP187">
        <f t="shared" si="22"/>
        <v>6.129999999999999</v>
      </c>
      <c r="CQ187">
        <v>602.75</v>
      </c>
      <c r="CR187">
        <v>297.98</v>
      </c>
      <c r="CS187">
        <f t="shared" si="23"/>
        <v>304.77</v>
      </c>
      <c r="CT187" t="s">
        <v>152</v>
      </c>
      <c r="CU187">
        <v>49.44</v>
      </c>
      <c r="CV187">
        <v>115</v>
      </c>
      <c r="CW187" s="46">
        <v>3164</v>
      </c>
      <c r="CX187" s="46">
        <f t="shared" si="17"/>
        <v>48.826435019587805</v>
      </c>
      <c r="CY187" s="46">
        <v>297.39999999999998</v>
      </c>
      <c r="CZ187" s="46">
        <f t="shared" si="18"/>
        <v>53.892011582353938</v>
      </c>
      <c r="DA187" s="46">
        <f t="shared" si="19"/>
        <v>500.82780137474873</v>
      </c>
      <c r="DB187" s="46">
        <v>3089306.21</v>
      </c>
      <c r="DC187" s="46">
        <f t="shared" si="20"/>
        <v>19.018429414434863</v>
      </c>
      <c r="DD187" s="46">
        <v>117313.28</v>
      </c>
      <c r="DE187" s="995">
        <v>3164</v>
      </c>
      <c r="DF187" s="995">
        <v>48.969000000000001</v>
      </c>
      <c r="DG187" s="995">
        <v>289</v>
      </c>
      <c r="DH187" s="995">
        <v>53.892000000000003</v>
      </c>
      <c r="DI187" s="995">
        <v>706.75099999999998</v>
      </c>
      <c r="DJ187" s="995">
        <v>4353616</v>
      </c>
      <c r="DK187" s="995">
        <v>27.012</v>
      </c>
      <c r="DL187" s="995">
        <v>166395.6</v>
      </c>
      <c r="DM187" s="995">
        <v>3164</v>
      </c>
      <c r="DN187" s="995">
        <v>49.396000000000001</v>
      </c>
      <c r="DO187" s="995">
        <v>264</v>
      </c>
      <c r="DP187" s="995">
        <v>53.892000000000003</v>
      </c>
      <c r="DQ187" s="995">
        <v>675.85500000000002</v>
      </c>
      <c r="DR187" s="995">
        <v>4146351</v>
      </c>
      <c r="DS187" s="995">
        <v>25.87</v>
      </c>
      <c r="DT187" s="995">
        <v>158709.4</v>
      </c>
    </row>
    <row r="188" spans="1:124">
      <c r="A188" s="42" t="s">
        <v>93</v>
      </c>
      <c r="B188" s="42" t="s">
        <v>361</v>
      </c>
      <c r="C188" s="42" t="s">
        <v>362</v>
      </c>
      <c r="D188" s="42">
        <v>301354</v>
      </c>
      <c r="E188" s="42" t="s">
        <v>374</v>
      </c>
      <c r="F188" s="42" t="s">
        <v>149</v>
      </c>
      <c r="G188" s="42" t="s">
        <v>150</v>
      </c>
      <c r="H188" s="43" t="s">
        <v>150</v>
      </c>
      <c r="I188" s="44">
        <v>23</v>
      </c>
      <c r="J188" s="45">
        <v>110223.82799999999</v>
      </c>
      <c r="K188" s="46">
        <v>9842.2708660000008</v>
      </c>
      <c r="L188" s="47">
        <v>120066.098866</v>
      </c>
      <c r="M188" s="48">
        <v>3233876</v>
      </c>
      <c r="N188" s="49">
        <v>1685604</v>
      </c>
      <c r="O188" s="49">
        <v>1548272</v>
      </c>
      <c r="P188" s="49">
        <v>0</v>
      </c>
      <c r="Q188" s="50">
        <v>7465.89535796767</v>
      </c>
      <c r="R188" s="51">
        <v>2617.7199802636401</v>
      </c>
      <c r="S188" s="49">
        <v>27673.204792902601</v>
      </c>
      <c r="T188" s="49">
        <v>3072.8545955521699</v>
      </c>
      <c r="U188" s="49">
        <f>IFERROR(INDEX('Rentabilidad datos'!$N$2:$N$61,MATCH($C188,'Rentabilidad datos'!$C$2:$C$61,0)),"")</f>
        <v>33363.779368718446</v>
      </c>
      <c r="V188" s="50">
        <f>IFERROR(INDEX('Rentabilidad datos'!$O$2:$O$61,MATCH($C188,'Rentabilidad datos'!$C$2:$C$61,0)),"")</f>
        <v>1588.7513985104022</v>
      </c>
      <c r="W188" s="51">
        <f>IFERROR(INDEX('Rentabilidad datos'!$M$2:$M$61,MATCH($C188,'Rentabilidad datos'!$C$2:$C$61,0)),"")</f>
        <v>2501.4542944353198</v>
      </c>
      <c r="X188" s="52">
        <f>IFERROR(INDEX('Rentabilidad datos'!$P$2:$P$61,MATCH($C188,'Rentabilidad datos'!$C$2:$C$61,0)),"")</f>
        <v>0.63513109235883447</v>
      </c>
      <c r="Y188" s="43" t="s">
        <v>211</v>
      </c>
      <c r="Z188" s="53">
        <v>45.697459584295601</v>
      </c>
      <c r="AA188" s="43">
        <v>1</v>
      </c>
      <c r="AB188" s="54">
        <v>0.99325515264036102</v>
      </c>
      <c r="AC188" s="55">
        <v>6.7448473596390217E-3</v>
      </c>
      <c r="AD188" s="752" t="e">
        <f>_xlfn.XLOOKUP(Table1[[#This Row],[Ruta]],#REF!,#REF!)</f>
        <v>#REF!</v>
      </c>
      <c r="AE188" s="752" t="e">
        <f>_xlfn.XLOOKUP(Table1[[#This Row],[Ruta]],#REF!,#REF!)</f>
        <v>#REF!</v>
      </c>
      <c r="AF188" s="752" t="e">
        <f>_xlfn.XLOOKUP(Table1[[#This Row],[Ruta]],#REF!,#REF!)</f>
        <v>#REF!</v>
      </c>
      <c r="AG188" s="752" t="e">
        <f>_xlfn.XLOOKUP(Table1[[#This Row],[Ruta]],#REF!,#REF!)</f>
        <v>#REF!</v>
      </c>
      <c r="AH188" s="52">
        <v>0.52123334351719108</v>
      </c>
      <c r="AI188" s="52">
        <v>0.47876665648280886</v>
      </c>
      <c r="AJ188" s="55">
        <v>0</v>
      </c>
      <c r="AK188" s="56">
        <v>19787</v>
      </c>
      <c r="AL188" s="44">
        <v>14930</v>
      </c>
      <c r="AM188" s="54">
        <v>0.75453580633749395</v>
      </c>
      <c r="AN188" s="55">
        <v>0.76227312282453297</v>
      </c>
      <c r="AO188" s="56">
        <v>153.09828132904099</v>
      </c>
      <c r="AP188" s="48">
        <v>76.549140664520493</v>
      </c>
      <c r="AQ188" s="55">
        <v>0.75840446458101374</v>
      </c>
      <c r="AR188" s="51">
        <v>3232732.69</v>
      </c>
      <c r="AS188" s="49">
        <v>16574.876719196502</v>
      </c>
      <c r="AT188" s="55">
        <v>5.1272029915954793E-3</v>
      </c>
      <c r="AU188" s="51">
        <v>11647.210667543492</v>
      </c>
      <c r="AV188" s="52">
        <v>5.2984263532687547E-5</v>
      </c>
      <c r="AW188" s="44">
        <v>471</v>
      </c>
      <c r="AX188" s="51">
        <v>216.52596718017401</v>
      </c>
      <c r="AY188" s="49">
        <v>397.41142810899697</v>
      </c>
      <c r="AZ188" s="49">
        <v>180.88546092882297</v>
      </c>
      <c r="BA188" s="42" t="s">
        <v>150</v>
      </c>
      <c r="BB188" s="50">
        <v>948866.46247770987</v>
      </c>
      <c r="BC188" s="57">
        <v>960513.67314525333</v>
      </c>
      <c r="BD188" s="42" t="s">
        <v>150</v>
      </c>
      <c r="BE188" s="46">
        <v>45.697459584295601</v>
      </c>
      <c r="BF188" s="46">
        <v>38.539172378641602</v>
      </c>
      <c r="BG188" s="42" t="s">
        <v>150</v>
      </c>
      <c r="BH188" s="52">
        <v>0.75453580633749395</v>
      </c>
      <c r="BI188" s="52">
        <v>0.66503705286792802</v>
      </c>
      <c r="BJ188" s="42" t="s">
        <v>150</v>
      </c>
      <c r="BK188" s="46">
        <v>277.28891193071598</v>
      </c>
      <c r="BL188" s="46">
        <v>393.04436199544199</v>
      </c>
      <c r="BM188" s="42" t="s">
        <v>152</v>
      </c>
      <c r="BN188" s="48">
        <v>2</v>
      </c>
      <c r="BO188" s="42" t="s">
        <v>161</v>
      </c>
      <c r="BP188" s="42" t="s">
        <v>152</v>
      </c>
      <c r="BQ188" s="46">
        <v>4565.1404256465303</v>
      </c>
      <c r="BR188" s="46">
        <v>5619</v>
      </c>
      <c r="BS188" s="46">
        <v>214139</v>
      </c>
      <c r="BT188" s="46">
        <v>65695</v>
      </c>
      <c r="BU188" s="46">
        <v>3.2595935763756754</v>
      </c>
      <c r="BV188" s="46">
        <v>11.691582132051966</v>
      </c>
      <c r="BW188" s="46">
        <v>0</v>
      </c>
      <c r="BX188" s="46">
        <v>1290</v>
      </c>
      <c r="BY188" s="46">
        <v>1290</v>
      </c>
      <c r="BZ188" s="46">
        <v>1.9636197579724485E-2</v>
      </c>
      <c r="CA188" s="46">
        <v>0</v>
      </c>
      <c r="CB188" s="46">
        <v>1.9636197579724481E-2</v>
      </c>
      <c r="CC188" s="46">
        <v>8.0995509551716263E-2</v>
      </c>
      <c r="CD188" s="46">
        <v>7.3673795570439148E-3</v>
      </c>
      <c r="CE188" s="46">
        <v>6.0582997183956161E-3</v>
      </c>
      <c r="CF188" s="46">
        <v>0.88592739173453083</v>
      </c>
      <c r="CG188" s="46">
        <v>0</v>
      </c>
      <c r="CH188" s="46">
        <v>1.5221858588933708E-5</v>
      </c>
      <c r="CI188" s="46">
        <v>4.3336337612485343</v>
      </c>
      <c r="CJ188" s="46">
        <v>0.29420142991234671</v>
      </c>
      <c r="CK188">
        <v>333</v>
      </c>
      <c r="CL188">
        <v>453.29</v>
      </c>
      <c r="CM188">
        <f t="shared" si="21"/>
        <v>120.29000000000002</v>
      </c>
      <c r="CN188">
        <v>6.07</v>
      </c>
      <c r="CO188">
        <v>9.4499999999999993</v>
      </c>
      <c r="CP188">
        <f t="shared" si="22"/>
        <v>3.379999999999999</v>
      </c>
      <c r="CQ188">
        <v>602.75</v>
      </c>
      <c r="CR188">
        <v>277.29000000000002</v>
      </c>
      <c r="CS188">
        <f t="shared" si="23"/>
        <v>325.45999999999998</v>
      </c>
      <c r="CT188" t="s">
        <v>152</v>
      </c>
      <c r="CU188">
        <v>64.209999999999994</v>
      </c>
      <c r="CV188">
        <v>82</v>
      </c>
      <c r="CW188" s="46">
        <v>1290</v>
      </c>
      <c r="CX188" s="46">
        <f t="shared" si="17"/>
        <v>1.7805160210061648</v>
      </c>
      <c r="CY188" s="46">
        <v>120.29</v>
      </c>
      <c r="CZ188" s="46">
        <f t="shared" si="18"/>
        <v>1.9636197579724484</v>
      </c>
      <c r="DA188" s="46">
        <f t="shared" si="19"/>
        <v>12.310431664131542</v>
      </c>
      <c r="DB188" s="46">
        <v>810214.63</v>
      </c>
      <c r="DC188" s="46">
        <f t="shared" si="20"/>
        <v>0.56031721504227983</v>
      </c>
      <c r="DD188" s="46">
        <v>36877.440000000002</v>
      </c>
      <c r="DE188" s="995">
        <v>1290</v>
      </c>
      <c r="DF188" s="995">
        <v>1.8320000000000001</v>
      </c>
      <c r="DG188" s="995">
        <v>86.8</v>
      </c>
      <c r="DH188" s="995">
        <v>1.964</v>
      </c>
      <c r="DI188" s="995">
        <v>64.149000000000001</v>
      </c>
      <c r="DJ188" s="995">
        <v>4219804</v>
      </c>
      <c r="DK188" s="995">
        <v>2.77</v>
      </c>
      <c r="DL188" s="995">
        <v>182193.5</v>
      </c>
      <c r="DM188" s="995">
        <v>1290</v>
      </c>
      <c r="DN188" s="995">
        <v>1.849</v>
      </c>
      <c r="DO188" s="995">
        <v>75.2</v>
      </c>
      <c r="DP188" s="995">
        <v>1.964</v>
      </c>
      <c r="DQ188" s="995">
        <v>62.970999999999997</v>
      </c>
      <c r="DR188" s="995">
        <v>4141630</v>
      </c>
      <c r="DS188" s="995">
        <v>2.7160000000000002</v>
      </c>
      <c r="DT188" s="995">
        <v>178658.5</v>
      </c>
    </row>
    <row r="189" spans="1:124">
      <c r="A189" s="42" t="s">
        <v>93</v>
      </c>
      <c r="B189" s="42" t="s">
        <v>361</v>
      </c>
      <c r="C189" s="42" t="s">
        <v>362</v>
      </c>
      <c r="D189" s="42">
        <v>301355</v>
      </c>
      <c r="E189" s="42" t="s">
        <v>375</v>
      </c>
      <c r="F189" s="42" t="s">
        <v>149</v>
      </c>
      <c r="G189" s="42" t="s">
        <v>150</v>
      </c>
      <c r="H189" s="43" t="s">
        <v>150</v>
      </c>
      <c r="I189" s="44">
        <v>23</v>
      </c>
      <c r="J189" s="45">
        <v>119599.88039999999</v>
      </c>
      <c r="K189" s="46">
        <v>8044.2286180000001</v>
      </c>
      <c r="L189" s="47">
        <v>127644.109018</v>
      </c>
      <c r="M189" s="48">
        <v>3201462</v>
      </c>
      <c r="N189" s="49">
        <v>1839258</v>
      </c>
      <c r="O189" s="49">
        <v>1362204</v>
      </c>
      <c r="P189" s="49">
        <v>0</v>
      </c>
      <c r="Q189" s="50">
        <v>7359.6788505747099</v>
      </c>
      <c r="R189" s="51">
        <v>2617.7199802636401</v>
      </c>
      <c r="S189" s="49">
        <v>27673.204792902601</v>
      </c>
      <c r="T189" s="49">
        <v>3072.8545955521699</v>
      </c>
      <c r="U189" s="49">
        <f>IFERROR(INDEX('Rentabilidad datos'!$N$2:$N$61,MATCH($C189,'Rentabilidad datos'!$C$2:$C$61,0)),"")</f>
        <v>33363.779368718446</v>
      </c>
      <c r="V189" s="50">
        <f>IFERROR(INDEX('Rentabilidad datos'!$O$2:$O$61,MATCH($C189,'Rentabilidad datos'!$C$2:$C$61,0)),"")</f>
        <v>1588.7513985104022</v>
      </c>
      <c r="W189" s="51">
        <f>IFERROR(INDEX('Rentabilidad datos'!$M$2:$M$61,MATCH($C189,'Rentabilidad datos'!$C$2:$C$61,0)),"")</f>
        <v>2501.4542944353198</v>
      </c>
      <c r="X189" s="52">
        <f>IFERROR(INDEX('Rentabilidad datos'!$P$2:$P$61,MATCH($C189,'Rentabilidad datos'!$C$2:$C$61,0)),"")</f>
        <v>0.63513109235883447</v>
      </c>
      <c r="Y189" s="43" t="s">
        <v>211</v>
      </c>
      <c r="Z189" s="53">
        <v>62.188505747126399</v>
      </c>
      <c r="AA189" s="43">
        <v>1</v>
      </c>
      <c r="AB189" s="54">
        <v>0.99943619508836901</v>
      </c>
      <c r="AC189" s="55">
        <v>5.6380491163099855E-4</v>
      </c>
      <c r="AD189" s="752" t="e">
        <f>_xlfn.XLOOKUP(Table1[[#This Row],[Ruta]],#REF!,#REF!)</f>
        <v>#REF!</v>
      </c>
      <c r="AE189" s="752" t="e">
        <f>_xlfn.XLOOKUP(Table1[[#This Row],[Ruta]],#REF!,#REF!)</f>
        <v>#REF!</v>
      </c>
      <c r="AF189" s="752" t="e">
        <f>_xlfn.XLOOKUP(Table1[[#This Row],[Ruta]],#REF!,#REF!)</f>
        <v>#REF!</v>
      </c>
      <c r="AG189" s="752" t="e">
        <f>_xlfn.XLOOKUP(Table1[[#This Row],[Ruta]],#REF!,#REF!)</f>
        <v>#REF!</v>
      </c>
      <c r="AH189" s="52">
        <v>0.57450564773219237</v>
      </c>
      <c r="AI189" s="52">
        <v>0.42549435226780763</v>
      </c>
      <c r="AJ189" s="55">
        <v>0</v>
      </c>
      <c r="AK189" s="56">
        <v>27052</v>
      </c>
      <c r="AL189" s="44">
        <v>16566</v>
      </c>
      <c r="AM189" s="54">
        <v>0.61237616442407194</v>
      </c>
      <c r="AN189" s="55">
        <v>0.76227312282453297</v>
      </c>
      <c r="AO189" s="56">
        <v>4055.0125186492701</v>
      </c>
      <c r="AP189" s="48">
        <v>2027.506259324635</v>
      </c>
      <c r="AQ189" s="55">
        <v>0.68732464362430268</v>
      </c>
      <c r="AR189" s="51">
        <v>3201460.3</v>
      </c>
      <c r="AS189" s="49">
        <v>391825.47369487648</v>
      </c>
      <c r="AT189" s="55">
        <v>0.12238960879660962</v>
      </c>
      <c r="AU189" s="51">
        <v>275336.81935315655</v>
      </c>
      <c r="AV189" s="52">
        <v>1.2525332470814225E-3</v>
      </c>
      <c r="AW189" s="44">
        <v>263</v>
      </c>
      <c r="AX189" s="51">
        <v>193.25487745985799</v>
      </c>
      <c r="AY189" s="49">
        <v>397.41142810899697</v>
      </c>
      <c r="AZ189" s="49">
        <v>204.15655064913898</v>
      </c>
      <c r="BA189" s="42" t="s">
        <v>150</v>
      </c>
      <c r="BB189" s="50">
        <v>1188290.4441810078</v>
      </c>
      <c r="BC189" s="57">
        <v>1463627.2635341643</v>
      </c>
      <c r="BD189" s="42" t="s">
        <v>150</v>
      </c>
      <c r="BE189" s="46">
        <v>62.188505747126399</v>
      </c>
      <c r="BF189" s="46">
        <v>38.539172378641602</v>
      </c>
      <c r="BG189" s="42" t="s">
        <v>150</v>
      </c>
      <c r="BH189" s="52">
        <v>0.61237616442407194</v>
      </c>
      <c r="BI189" s="52">
        <v>0.66503705286792802</v>
      </c>
      <c r="BJ189" s="42" t="s">
        <v>152</v>
      </c>
      <c r="BK189" s="46">
        <v>293.43473337471301</v>
      </c>
      <c r="BL189" s="46">
        <v>393.04436199544199</v>
      </c>
      <c r="BM189" s="42" t="s">
        <v>152</v>
      </c>
      <c r="BN189" s="48">
        <v>1</v>
      </c>
      <c r="BO189" s="42" t="s">
        <v>155</v>
      </c>
      <c r="BP189" s="42" t="s">
        <v>152</v>
      </c>
      <c r="BQ189" s="46">
        <v>0</v>
      </c>
      <c r="BR189" s="46">
        <v>193</v>
      </c>
      <c r="BS189" s="46">
        <v>9514</v>
      </c>
      <c r="BT189" s="46">
        <v>2929</v>
      </c>
      <c r="BU189" s="46">
        <v>3.2482075793786276</v>
      </c>
      <c r="BV189" s="46">
        <v>15.176165803108809</v>
      </c>
      <c r="BW189" s="46">
        <v>2929</v>
      </c>
      <c r="BX189" s="46">
        <v>0</v>
      </c>
      <c r="BY189" s="46">
        <v>2929</v>
      </c>
      <c r="BZ189" s="46">
        <v>1</v>
      </c>
      <c r="CA189" s="46">
        <v>1</v>
      </c>
      <c r="CB189" s="46">
        <v>0</v>
      </c>
      <c r="CC189" s="46">
        <v>0</v>
      </c>
      <c r="CD189" s="46">
        <v>0</v>
      </c>
      <c r="CE189" s="46">
        <v>0</v>
      </c>
      <c r="CF189" s="46">
        <v>0</v>
      </c>
      <c r="CG189" s="46">
        <v>0</v>
      </c>
      <c r="CH189" s="46">
        <v>0</v>
      </c>
      <c r="CI189" s="46">
        <v>0</v>
      </c>
      <c r="CJ189" s="46">
        <v>0.10510826150935459</v>
      </c>
      <c r="CK189">
        <v>349</v>
      </c>
      <c r="CL189">
        <v>682</v>
      </c>
      <c r="CM189">
        <f t="shared" si="21"/>
        <v>333</v>
      </c>
      <c r="CN189">
        <v>4.67</v>
      </c>
      <c r="CO189">
        <v>9.4499999999999993</v>
      </c>
      <c r="CP189">
        <f t="shared" si="22"/>
        <v>4.7799999999999994</v>
      </c>
      <c r="CQ189">
        <v>602.75</v>
      </c>
      <c r="CR189">
        <v>293.43</v>
      </c>
      <c r="CS189">
        <f t="shared" si="23"/>
        <v>309.32</v>
      </c>
      <c r="CT189" t="s">
        <v>152</v>
      </c>
      <c r="CU189">
        <v>51.94</v>
      </c>
      <c r="CV189">
        <v>302</v>
      </c>
      <c r="CW189" s="46">
        <v>2929</v>
      </c>
      <c r="CX189" s="46">
        <f t="shared" si="17"/>
        <v>88.630932058723104</v>
      </c>
      <c r="CY189" s="46">
        <v>333</v>
      </c>
      <c r="CZ189" s="46">
        <f t="shared" si="18"/>
        <v>100</v>
      </c>
      <c r="DA189" s="46">
        <f t="shared" si="19"/>
        <v>1127.5109779276518</v>
      </c>
      <c r="DB189" s="46">
        <v>3677940.81</v>
      </c>
      <c r="DC189" s="46">
        <f t="shared" si="20"/>
        <v>44.756011649294905</v>
      </c>
      <c r="DD189" s="46">
        <v>145994.10999999999</v>
      </c>
      <c r="DE189" s="995">
        <v>2929</v>
      </c>
      <c r="DF189" s="995">
        <v>90.891000000000005</v>
      </c>
      <c r="DG189" s="995">
        <v>266.8</v>
      </c>
      <c r="DH189" s="995">
        <v>100</v>
      </c>
      <c r="DI189" s="995">
        <v>1695.066</v>
      </c>
      <c r="DJ189" s="995">
        <v>5417120</v>
      </c>
      <c r="DK189" s="995">
        <v>67.527000000000001</v>
      </c>
      <c r="DL189" s="995">
        <v>215802.4</v>
      </c>
      <c r="DM189" s="995">
        <v>2929</v>
      </c>
      <c r="DN189" s="995">
        <v>92.486999999999995</v>
      </c>
      <c r="DO189" s="995">
        <v>220</v>
      </c>
      <c r="DP189" s="995">
        <v>100</v>
      </c>
      <c r="DQ189" s="995">
        <v>1604.9090000000001</v>
      </c>
      <c r="DR189" s="995">
        <v>5053929</v>
      </c>
      <c r="DS189" s="995">
        <v>63.975999999999999</v>
      </c>
      <c r="DT189" s="995">
        <v>201463.2</v>
      </c>
    </row>
    <row r="190" spans="1:124">
      <c r="A190" s="42" t="s">
        <v>93</v>
      </c>
      <c r="B190" s="42" t="s">
        <v>361</v>
      </c>
      <c r="C190" s="42" t="s">
        <v>362</v>
      </c>
      <c r="D190" s="42">
        <v>301356</v>
      </c>
      <c r="E190" s="42" t="s">
        <v>376</v>
      </c>
      <c r="F190" s="42" t="s">
        <v>149</v>
      </c>
      <c r="G190" s="42" t="s">
        <v>150</v>
      </c>
      <c r="H190" s="43" t="s">
        <v>150</v>
      </c>
      <c r="I190" s="44">
        <v>23</v>
      </c>
      <c r="J190" s="45">
        <v>108357.183792</v>
      </c>
      <c r="K190" s="46">
        <v>12095.91408</v>
      </c>
      <c r="L190" s="47">
        <v>120453.097872</v>
      </c>
      <c r="M190" s="48">
        <v>3272528</v>
      </c>
      <c r="N190" s="49">
        <v>1627269</v>
      </c>
      <c r="O190" s="49">
        <v>1645259</v>
      </c>
      <c r="P190" s="49">
        <v>0</v>
      </c>
      <c r="Q190" s="50">
        <v>7508.1931880734001</v>
      </c>
      <c r="R190" s="51">
        <v>2617.7199802636401</v>
      </c>
      <c r="S190" s="49">
        <v>27673.204792902601</v>
      </c>
      <c r="T190" s="49">
        <v>3072.8545955521699</v>
      </c>
      <c r="U190" s="49">
        <f>IFERROR(INDEX('Rentabilidad datos'!$N$2:$N$61,MATCH($C190,'Rentabilidad datos'!$C$2:$C$61,0)),"")</f>
        <v>33363.779368718446</v>
      </c>
      <c r="V190" s="50">
        <f>IFERROR(INDEX('Rentabilidad datos'!$O$2:$O$61,MATCH($C190,'Rentabilidad datos'!$C$2:$C$61,0)),"")</f>
        <v>1588.7513985104022</v>
      </c>
      <c r="W190" s="51">
        <f>IFERROR(INDEX('Rentabilidad datos'!$M$2:$M$61,MATCH($C190,'Rentabilidad datos'!$C$2:$C$61,0)),"")</f>
        <v>2501.4542944353198</v>
      </c>
      <c r="X190" s="52">
        <f>IFERROR(INDEX('Rentabilidad datos'!$P$2:$P$61,MATCH($C190,'Rentabilidad datos'!$C$2:$C$61,0)),"")</f>
        <v>0.63513109235883447</v>
      </c>
      <c r="Y190" s="43" t="s">
        <v>211</v>
      </c>
      <c r="Z190" s="53">
        <v>57.139908256880702</v>
      </c>
      <c r="AA190" s="43">
        <v>1</v>
      </c>
      <c r="AB190" s="54">
        <v>0.98087869683620732</v>
      </c>
      <c r="AC190" s="55">
        <v>1.9121303163792638E-2</v>
      </c>
      <c r="AD190" s="752" t="e">
        <f>_xlfn.XLOOKUP(Table1[[#This Row],[Ruta]],#REF!,#REF!)</f>
        <v>#REF!</v>
      </c>
      <c r="AE190" s="752" t="e">
        <f>_xlfn.XLOOKUP(Table1[[#This Row],[Ruta]],#REF!,#REF!)</f>
        <v>#REF!</v>
      </c>
      <c r="AF190" s="752" t="e">
        <f>_xlfn.XLOOKUP(Table1[[#This Row],[Ruta]],#REF!,#REF!)</f>
        <v>#REF!</v>
      </c>
      <c r="AG190" s="752" t="e">
        <f>_xlfn.XLOOKUP(Table1[[#This Row],[Ruta]],#REF!,#REF!)</f>
        <v>#REF!</v>
      </c>
      <c r="AH190" s="52">
        <v>0.49725136041616758</v>
      </c>
      <c r="AI190" s="52">
        <v>0.50274863958383242</v>
      </c>
      <c r="AJ190" s="55">
        <v>0</v>
      </c>
      <c r="AK190" s="56">
        <v>24913</v>
      </c>
      <c r="AL190" s="44">
        <v>18911</v>
      </c>
      <c r="AM190" s="54">
        <v>0.75908160398185698</v>
      </c>
      <c r="AN190" s="55">
        <v>0.76227312282453297</v>
      </c>
      <c r="AO190" s="56">
        <v>79.510308927598103</v>
      </c>
      <c r="AP190" s="48">
        <v>39.755154463799052</v>
      </c>
      <c r="AQ190" s="55">
        <v>0.76067736340319514</v>
      </c>
      <c r="AR190" s="51">
        <v>3273572.23</v>
      </c>
      <c r="AS190" s="49">
        <v>6881.78148442985</v>
      </c>
      <c r="AT190" s="55">
        <v>2.1022238096239745E-3</v>
      </c>
      <c r="AU190" s="51">
        <v>4835.8464485182749</v>
      </c>
      <c r="AV190" s="52">
        <v>2.199872312311695E-5</v>
      </c>
      <c r="AW190" s="44">
        <v>482</v>
      </c>
      <c r="AX190" s="51">
        <v>173.104131457882</v>
      </c>
      <c r="AY190" s="49">
        <v>397.41142810899697</v>
      </c>
      <c r="AZ190" s="49">
        <v>224.30729665111497</v>
      </c>
      <c r="BA190" s="42" t="s">
        <v>150</v>
      </c>
      <c r="BB190" s="50">
        <v>1490388.6143405426</v>
      </c>
      <c r="BC190" s="57">
        <v>1495224.4607890609</v>
      </c>
      <c r="BD190" s="42" t="s">
        <v>150</v>
      </c>
      <c r="BE190" s="46">
        <v>57.139908256880702</v>
      </c>
      <c r="BF190" s="46">
        <v>38.539172378641602</v>
      </c>
      <c r="BG190" s="42" t="s">
        <v>150</v>
      </c>
      <c r="BH190" s="52">
        <v>0.75908160398185698</v>
      </c>
      <c r="BI190" s="52">
        <v>0.66503705286792802</v>
      </c>
      <c r="BJ190" s="42" t="s">
        <v>150</v>
      </c>
      <c r="BK190" s="46">
        <v>276.26857310091702</v>
      </c>
      <c r="BL190" s="46">
        <v>393.04436199544199</v>
      </c>
      <c r="BM190" s="42" t="s">
        <v>152</v>
      </c>
      <c r="BN190" s="48">
        <v>2</v>
      </c>
      <c r="BO190" s="42" t="s">
        <v>161</v>
      </c>
      <c r="BP190" s="42" t="s">
        <v>152</v>
      </c>
      <c r="BQ190" s="46">
        <v>0</v>
      </c>
      <c r="BR190" s="46">
        <v>2242</v>
      </c>
      <c r="BS190" s="46">
        <v>211607</v>
      </c>
      <c r="BT190" s="46">
        <v>60957</v>
      </c>
      <c r="BU190" s="46">
        <v>3.4714142756369242</v>
      </c>
      <c r="BV190" s="46">
        <v>27.188670829616413</v>
      </c>
      <c r="BW190" s="46">
        <v>4292</v>
      </c>
      <c r="BX190" s="46">
        <v>5519</v>
      </c>
      <c r="BY190" s="46">
        <v>9811</v>
      </c>
      <c r="BZ190" s="46">
        <v>0.16094952179405153</v>
      </c>
      <c r="CA190" s="46">
        <v>7.0410289220270025E-2</v>
      </c>
      <c r="CB190" s="46">
        <v>9.053923257378152E-2</v>
      </c>
      <c r="CC190" s="46">
        <v>0.72129533933756584</v>
      </c>
      <c r="CD190" s="46">
        <v>1.5092606263431599E-2</v>
      </c>
      <c r="CE190" s="46">
        <v>0</v>
      </c>
      <c r="CF190" s="46">
        <v>0.10266253260495101</v>
      </c>
      <c r="CG190" s="46">
        <v>0</v>
      </c>
      <c r="CH190" s="46">
        <v>0</v>
      </c>
      <c r="CI190" s="46">
        <v>2.4479341420652432</v>
      </c>
      <c r="CJ190" s="46">
        <v>0.23156133776292837</v>
      </c>
      <c r="CK190">
        <v>417</v>
      </c>
      <c r="CL190">
        <v>1052.58</v>
      </c>
      <c r="CM190">
        <f t="shared" si="21"/>
        <v>635.57999999999993</v>
      </c>
      <c r="CN190">
        <v>6.94</v>
      </c>
      <c r="CO190">
        <v>9.4499999999999993</v>
      </c>
      <c r="CP190">
        <f t="shared" si="22"/>
        <v>2.5099999999999989</v>
      </c>
      <c r="CQ190">
        <v>602.75</v>
      </c>
      <c r="CR190">
        <v>276.27</v>
      </c>
      <c r="CS190">
        <f t="shared" si="23"/>
        <v>326.48</v>
      </c>
      <c r="CT190" t="s">
        <v>152</v>
      </c>
      <c r="CU190">
        <v>75.78</v>
      </c>
      <c r="CV190">
        <v>151</v>
      </c>
      <c r="CW190" s="46">
        <v>9811</v>
      </c>
      <c r="CX190" s="46">
        <f t="shared" si="17"/>
        <v>15.052282756697345</v>
      </c>
      <c r="CY190" s="46">
        <v>635.58000000000004</v>
      </c>
      <c r="CZ190" s="46">
        <f t="shared" si="18"/>
        <v>16.094952179405155</v>
      </c>
      <c r="DA190" s="46">
        <f t="shared" si="19"/>
        <v>118.33631794609026</v>
      </c>
      <c r="DB190" s="46">
        <v>7288639.1299999999</v>
      </c>
      <c r="DC190" s="46">
        <f t="shared" si="20"/>
        <v>3.8060186795227606</v>
      </c>
      <c r="DD190" s="46">
        <v>234422.51</v>
      </c>
      <c r="DE190" s="995">
        <v>9811</v>
      </c>
      <c r="DF190" s="995">
        <v>15.052</v>
      </c>
      <c r="DG190" s="995">
        <v>635.6</v>
      </c>
      <c r="DH190" s="995">
        <v>16.094999999999999</v>
      </c>
      <c r="DI190" s="995">
        <v>176.571</v>
      </c>
      <c r="DJ190" s="995">
        <v>10875482</v>
      </c>
      <c r="DK190" s="995">
        <v>5.8479999999999999</v>
      </c>
      <c r="DL190" s="995">
        <v>360219.9</v>
      </c>
      <c r="DM190" s="995">
        <v>9811</v>
      </c>
      <c r="DN190" s="995">
        <v>15.052</v>
      </c>
      <c r="DO190" s="995">
        <v>635.6</v>
      </c>
      <c r="DP190" s="995">
        <v>16.094999999999999</v>
      </c>
      <c r="DQ190" s="995">
        <v>176.571</v>
      </c>
      <c r="DR190" s="995">
        <v>10875482</v>
      </c>
      <c r="DS190" s="995">
        <v>5.8479999999999999</v>
      </c>
      <c r="DT190" s="995">
        <v>360219.9</v>
      </c>
    </row>
    <row r="191" spans="1:124">
      <c r="A191" s="42" t="s">
        <v>93</v>
      </c>
      <c r="B191" s="42" t="s">
        <v>361</v>
      </c>
      <c r="C191" s="42" t="s">
        <v>362</v>
      </c>
      <c r="D191" s="42">
        <v>301357</v>
      </c>
      <c r="E191" s="42" t="s">
        <v>377</v>
      </c>
      <c r="F191" s="42" t="s">
        <v>149</v>
      </c>
      <c r="G191" s="42" t="s">
        <v>150</v>
      </c>
      <c r="H191" s="43" t="s">
        <v>150</v>
      </c>
      <c r="I191" s="44">
        <v>23</v>
      </c>
      <c r="J191" s="45">
        <v>96822.297000000006</v>
      </c>
      <c r="K191" s="46">
        <v>10412.927215</v>
      </c>
      <c r="L191" s="47">
        <v>107235.22421499999</v>
      </c>
      <c r="M191" s="48">
        <v>3052615</v>
      </c>
      <c r="N191" s="49">
        <v>1501119</v>
      </c>
      <c r="O191" s="49">
        <v>1551496</v>
      </c>
      <c r="P191" s="49">
        <v>0</v>
      </c>
      <c r="Q191" s="50">
        <v>6984.4235469107598</v>
      </c>
      <c r="R191" s="51">
        <v>2617.7199802636401</v>
      </c>
      <c r="S191" s="49">
        <v>27673.204792902601</v>
      </c>
      <c r="T191" s="49">
        <v>3072.8545955521699</v>
      </c>
      <c r="U191" s="49">
        <f>IFERROR(INDEX('Rentabilidad datos'!$N$2:$N$61,MATCH($C191,'Rentabilidad datos'!$C$2:$C$61,0)),"")</f>
        <v>33363.779368718446</v>
      </c>
      <c r="V191" s="50">
        <f>IFERROR(INDEX('Rentabilidad datos'!$O$2:$O$61,MATCH($C191,'Rentabilidad datos'!$C$2:$C$61,0)),"")</f>
        <v>1588.7513985104022</v>
      </c>
      <c r="W191" s="51">
        <f>IFERROR(INDEX('Rentabilidad datos'!$M$2:$M$61,MATCH($C191,'Rentabilidad datos'!$C$2:$C$61,0)),"")</f>
        <v>2501.4542944353198</v>
      </c>
      <c r="X191" s="52">
        <f>IFERROR(INDEX('Rentabilidad datos'!$P$2:$P$61,MATCH($C191,'Rentabilidad datos'!$C$2:$C$61,0)),"")</f>
        <v>0.63513109235883447</v>
      </c>
      <c r="Y191" s="43" t="s">
        <v>211</v>
      </c>
      <c r="Z191" s="53">
        <v>29.6773455377574</v>
      </c>
      <c r="AA191" s="43">
        <v>1</v>
      </c>
      <c r="AB191" s="54">
        <v>0.99629694540582414</v>
      </c>
      <c r="AC191" s="55">
        <v>3.703054594175813E-3</v>
      </c>
      <c r="AD191" s="752" t="e">
        <f>_xlfn.XLOOKUP(Table1[[#This Row],[Ruta]],#REF!,#REF!)</f>
        <v>#REF!</v>
      </c>
      <c r="AE191" s="752" t="e">
        <f>_xlfn.XLOOKUP(Table1[[#This Row],[Ruta]],#REF!,#REF!)</f>
        <v>#REF!</v>
      </c>
      <c r="AF191" s="752" t="e">
        <f>_xlfn.XLOOKUP(Table1[[#This Row],[Ruta]],#REF!,#REF!)</f>
        <v>#REF!</v>
      </c>
      <c r="AG191" s="752" t="e">
        <f>_xlfn.XLOOKUP(Table1[[#This Row],[Ruta]],#REF!,#REF!)</f>
        <v>#REF!</v>
      </c>
      <c r="AH191" s="52">
        <v>0.49174855001367679</v>
      </c>
      <c r="AI191" s="52">
        <v>0.50825144998632321</v>
      </c>
      <c r="AJ191" s="55">
        <v>0</v>
      </c>
      <c r="AK191" s="56">
        <v>12969</v>
      </c>
      <c r="AL191" s="44">
        <v>9832</v>
      </c>
      <c r="AM191" s="54">
        <v>0.75811550620710899</v>
      </c>
      <c r="AN191" s="55">
        <v>0.76227312282453297</v>
      </c>
      <c r="AO191" s="56">
        <v>53.920129911372001</v>
      </c>
      <c r="AP191" s="48">
        <v>26.960064955686001</v>
      </c>
      <c r="AQ191" s="55">
        <v>0.76019431451582131</v>
      </c>
      <c r="AR191" s="51">
        <v>3052193.09</v>
      </c>
      <c r="AS191" s="49">
        <v>8369.3372623775504</v>
      </c>
      <c r="AT191" s="55">
        <v>2.7420733274701016E-3</v>
      </c>
      <c r="AU191" s="51">
        <v>5881.1559141031457</v>
      </c>
      <c r="AV191" s="52">
        <v>2.6753934802433367E-5</v>
      </c>
      <c r="AW191" s="44">
        <v>478</v>
      </c>
      <c r="AX191" s="51">
        <v>310.43461045565499</v>
      </c>
      <c r="AY191" s="49">
        <v>397.41142810899697</v>
      </c>
      <c r="AZ191" s="49">
        <v>86.976817653341982</v>
      </c>
      <c r="BA191" s="42" t="s">
        <v>150</v>
      </c>
      <c r="BB191" s="50">
        <v>300460.24122106924</v>
      </c>
      <c r="BC191" s="57">
        <v>306341.39713517239</v>
      </c>
      <c r="BD191" s="42" t="s">
        <v>150</v>
      </c>
      <c r="BE191" s="46">
        <v>29.6773455377574</v>
      </c>
      <c r="BF191" s="46">
        <v>38.539172378641602</v>
      </c>
      <c r="BG191" s="42" t="s">
        <v>152</v>
      </c>
      <c r="BH191" s="52">
        <v>0.75811550620710899</v>
      </c>
      <c r="BI191" s="52">
        <v>0.66503705286792802</v>
      </c>
      <c r="BJ191" s="42" t="s">
        <v>150</v>
      </c>
      <c r="BK191" s="46">
        <v>245.38952909611001</v>
      </c>
      <c r="BL191" s="46">
        <v>393.04436199544199</v>
      </c>
      <c r="BM191" s="42" t="s">
        <v>152</v>
      </c>
      <c r="BN191" s="48">
        <v>1</v>
      </c>
      <c r="BO191" s="42" t="s">
        <v>155</v>
      </c>
      <c r="BP191" s="42" t="s">
        <v>152</v>
      </c>
      <c r="BQ191" s="46">
        <v>11487.471192818501</v>
      </c>
      <c r="BR191" s="46">
        <v>716</v>
      </c>
      <c r="BS191" s="46">
        <v>37901</v>
      </c>
      <c r="BT191" s="46">
        <v>13825</v>
      </c>
      <c r="BU191" s="46">
        <v>2.7414828209764917</v>
      </c>
      <c r="BV191" s="46">
        <v>19.308659217877096</v>
      </c>
      <c r="BW191" s="46">
        <v>0</v>
      </c>
      <c r="BX191" s="46">
        <v>9327</v>
      </c>
      <c r="BY191" s="46">
        <v>9327</v>
      </c>
      <c r="BZ191" s="46">
        <v>0.67464737793851715</v>
      </c>
      <c r="CA191" s="46">
        <v>0</v>
      </c>
      <c r="CB191" s="46">
        <v>0.67464737793851715</v>
      </c>
      <c r="CC191" s="46">
        <v>0.18155515370705241</v>
      </c>
      <c r="CD191" s="46">
        <v>0</v>
      </c>
      <c r="CE191" s="46">
        <v>0</v>
      </c>
      <c r="CF191" s="46">
        <v>0.14379746835443041</v>
      </c>
      <c r="CG191" s="46">
        <v>0</v>
      </c>
      <c r="CH191" s="46">
        <v>0</v>
      </c>
      <c r="CI191" s="46">
        <v>1.583071686762882</v>
      </c>
      <c r="CJ191" s="46">
        <v>0.81792037149415586</v>
      </c>
      <c r="CK191">
        <v>282</v>
      </c>
      <c r="CL191">
        <v>791.89</v>
      </c>
      <c r="CM191">
        <f t="shared" si="21"/>
        <v>509.89</v>
      </c>
      <c r="CN191">
        <v>4.51</v>
      </c>
      <c r="CO191">
        <v>9.4499999999999993</v>
      </c>
      <c r="CP191">
        <f t="shared" si="22"/>
        <v>4.9399999999999995</v>
      </c>
      <c r="CQ191">
        <v>602.75</v>
      </c>
      <c r="CR191">
        <v>245.39</v>
      </c>
      <c r="CS191">
        <f t="shared" si="23"/>
        <v>357.36</v>
      </c>
      <c r="CT191" t="s">
        <v>152</v>
      </c>
      <c r="CU191">
        <v>52.23</v>
      </c>
      <c r="CV191">
        <v>253</v>
      </c>
      <c r="CW191" s="46">
        <v>9327</v>
      </c>
      <c r="CX191" s="46">
        <f t="shared" si="17"/>
        <v>63.776564195298377</v>
      </c>
      <c r="CY191" s="46">
        <v>509.89</v>
      </c>
      <c r="CZ191" s="46">
        <f t="shared" si="18"/>
        <v>67.464737793851711</v>
      </c>
      <c r="DA191" s="46">
        <f t="shared" si="19"/>
        <v>360.17866687501618</v>
      </c>
      <c r="DB191" s="46">
        <v>5163121.57</v>
      </c>
      <c r="DC191" s="46">
        <f t="shared" si="20"/>
        <v>11.946310714627039</v>
      </c>
      <c r="DD191" s="46">
        <v>171249.05</v>
      </c>
      <c r="DE191" s="995">
        <v>9327</v>
      </c>
      <c r="DF191" s="995">
        <v>63.79</v>
      </c>
      <c r="DG191" s="995">
        <v>508.1</v>
      </c>
      <c r="DH191" s="995">
        <v>67.465000000000003</v>
      </c>
      <c r="DI191" s="995">
        <v>557.39700000000005</v>
      </c>
      <c r="DJ191" s="995">
        <v>7989228</v>
      </c>
      <c r="DK191" s="995">
        <v>18.631</v>
      </c>
      <c r="DL191" s="995">
        <v>267045.2</v>
      </c>
      <c r="DM191" s="995">
        <v>9327</v>
      </c>
      <c r="DN191" s="995">
        <v>63.807000000000002</v>
      </c>
      <c r="DO191" s="995">
        <v>505.7</v>
      </c>
      <c r="DP191" s="995">
        <v>67.465000000000003</v>
      </c>
      <c r="DQ191" s="995">
        <v>556.38800000000003</v>
      </c>
      <c r="DR191" s="995">
        <v>7973460</v>
      </c>
      <c r="DS191" s="995">
        <v>18.584</v>
      </c>
      <c r="DT191" s="995">
        <v>266324.5</v>
      </c>
    </row>
    <row r="192" spans="1:124">
      <c r="A192" s="42" t="s">
        <v>93</v>
      </c>
      <c r="B192" s="42" t="s">
        <v>361</v>
      </c>
      <c r="C192" s="42" t="s">
        <v>362</v>
      </c>
      <c r="D192" s="42">
        <v>301358</v>
      </c>
      <c r="E192" s="42" t="s">
        <v>378</v>
      </c>
      <c r="F192" s="42" t="s">
        <v>149</v>
      </c>
      <c r="G192" s="42" t="s">
        <v>150</v>
      </c>
      <c r="H192" s="43" t="s">
        <v>150</v>
      </c>
      <c r="I192" s="44">
        <v>23</v>
      </c>
      <c r="J192" s="45">
        <v>117833.0868</v>
      </c>
      <c r="K192" s="46">
        <v>7080.9760189999997</v>
      </c>
      <c r="L192" s="47">
        <v>124914.062819</v>
      </c>
      <c r="M192" s="48">
        <v>3032235</v>
      </c>
      <c r="N192" s="49">
        <v>1830813</v>
      </c>
      <c r="O192" s="49">
        <v>1201422</v>
      </c>
      <c r="P192" s="49">
        <v>0</v>
      </c>
      <c r="Q192" s="50">
        <v>6986.7173732718902</v>
      </c>
      <c r="R192" s="51">
        <v>2617.7199802636401</v>
      </c>
      <c r="S192" s="49">
        <v>27673.204792902601</v>
      </c>
      <c r="T192" s="49">
        <v>3072.8545955521699</v>
      </c>
      <c r="U192" s="49">
        <f>IFERROR(INDEX('Rentabilidad datos'!$N$2:$N$61,MATCH($C192,'Rentabilidad datos'!$C$2:$C$61,0)),"")</f>
        <v>33363.779368718446</v>
      </c>
      <c r="V192" s="50">
        <f>IFERROR(INDEX('Rentabilidad datos'!$O$2:$O$61,MATCH($C192,'Rentabilidad datos'!$C$2:$C$61,0)),"")</f>
        <v>1588.7513985104022</v>
      </c>
      <c r="W192" s="51">
        <f>IFERROR(INDEX('Rentabilidad datos'!$M$2:$M$61,MATCH($C192,'Rentabilidad datos'!$C$2:$C$61,0)),"")</f>
        <v>2501.4542944353198</v>
      </c>
      <c r="X192" s="52">
        <f>IFERROR(INDEX('Rentabilidad datos'!$P$2:$P$61,MATCH($C192,'Rentabilidad datos'!$C$2:$C$61,0)),"")</f>
        <v>0.63513109235883447</v>
      </c>
      <c r="Y192" s="43" t="s">
        <v>211</v>
      </c>
      <c r="Z192" s="53">
        <v>42.444700460829502</v>
      </c>
      <c r="AA192" s="43">
        <v>1</v>
      </c>
      <c r="AB192" s="54">
        <v>0.99898358801346199</v>
      </c>
      <c r="AC192" s="55">
        <v>1.0164119865379826E-3</v>
      </c>
      <c r="AD192" s="752" t="e">
        <f>_xlfn.XLOOKUP(Table1[[#This Row],[Ruta]],#REF!,#REF!)</f>
        <v>#REF!</v>
      </c>
      <c r="AE192" s="752" t="e">
        <f>_xlfn.XLOOKUP(Table1[[#This Row],[Ruta]],#REF!,#REF!)</f>
        <v>#REF!</v>
      </c>
      <c r="AF192" s="752" t="e">
        <f>_xlfn.XLOOKUP(Table1[[#This Row],[Ruta]],#REF!,#REF!)</f>
        <v>#REF!</v>
      </c>
      <c r="AG192" s="752" t="e">
        <f>_xlfn.XLOOKUP(Table1[[#This Row],[Ruta]],#REF!,#REF!)</f>
        <v>#REF!</v>
      </c>
      <c r="AH192" s="52">
        <v>0.60378334792652943</v>
      </c>
      <c r="AI192" s="52">
        <v>0.39621665207347057</v>
      </c>
      <c r="AJ192" s="55">
        <v>0</v>
      </c>
      <c r="AK192" s="56">
        <v>18421</v>
      </c>
      <c r="AL192" s="44">
        <v>15761</v>
      </c>
      <c r="AM192" s="54">
        <v>0.85559958742739295</v>
      </c>
      <c r="AN192" s="55">
        <v>0.76227312282453297</v>
      </c>
      <c r="AO192" s="56">
        <v>0</v>
      </c>
      <c r="AP192" s="48">
        <v>0</v>
      </c>
      <c r="AQ192" s="55">
        <v>0.85559958742739262</v>
      </c>
      <c r="AR192" s="51">
        <v>3032235.34</v>
      </c>
      <c r="AS192" s="49">
        <v>0</v>
      </c>
      <c r="AT192" s="55">
        <v>0</v>
      </c>
      <c r="AU192" s="51">
        <v>0</v>
      </c>
      <c r="AV192" s="52">
        <v>0</v>
      </c>
      <c r="AW192" s="44">
        <v>490</v>
      </c>
      <c r="AX192" s="51">
        <v>192.388512150244</v>
      </c>
      <c r="AY192" s="49">
        <v>397.41142810899697</v>
      </c>
      <c r="AZ192" s="49">
        <v>205.02291595875298</v>
      </c>
      <c r="BA192" s="42" t="s">
        <v>150</v>
      </c>
      <c r="BB192" s="50">
        <v>1135344.8735009944</v>
      </c>
      <c r="BC192" s="57">
        <v>1135344.8735009944</v>
      </c>
      <c r="BD192" s="42" t="s">
        <v>150</v>
      </c>
      <c r="BE192" s="46">
        <v>42.444700460829502</v>
      </c>
      <c r="BF192" s="46">
        <v>38.539172378641602</v>
      </c>
      <c r="BG192" s="42" t="s">
        <v>150</v>
      </c>
      <c r="BH192" s="52">
        <v>0.85559958742739295</v>
      </c>
      <c r="BI192" s="52">
        <v>0.66503705286792802</v>
      </c>
      <c r="BJ192" s="42" t="s">
        <v>150</v>
      </c>
      <c r="BK192" s="46">
        <v>287.82042124193498</v>
      </c>
      <c r="BL192" s="46">
        <v>393.04436199544199</v>
      </c>
      <c r="BM192" s="42" t="s">
        <v>152</v>
      </c>
      <c r="BN192" s="48">
        <v>2</v>
      </c>
      <c r="BO192" s="42" t="s">
        <v>161</v>
      </c>
      <c r="BP192" s="42" t="s">
        <v>152</v>
      </c>
      <c r="BQ192" s="46">
        <v>4675.0527968153901</v>
      </c>
      <c r="BR192" s="46">
        <v>138</v>
      </c>
      <c r="BS192" s="46">
        <v>8135</v>
      </c>
      <c r="BT192" s="46">
        <v>2907</v>
      </c>
      <c r="BU192" s="46">
        <v>2.7984176126590987</v>
      </c>
      <c r="BV192" s="46">
        <v>21.065217391304348</v>
      </c>
      <c r="BW192" s="46">
        <v>2792</v>
      </c>
      <c r="BX192" s="46">
        <v>115</v>
      </c>
      <c r="BY192" s="46">
        <v>2907</v>
      </c>
      <c r="BZ192" s="46">
        <v>1</v>
      </c>
      <c r="CA192" s="46">
        <v>0.96044031647746819</v>
      </c>
      <c r="CB192" s="46">
        <v>3.9559683522531822E-2</v>
      </c>
      <c r="CC192" s="46">
        <v>0</v>
      </c>
      <c r="CD192" s="46">
        <v>0</v>
      </c>
      <c r="CE192" s="46">
        <v>0</v>
      </c>
      <c r="CF192" s="46">
        <v>0</v>
      </c>
      <c r="CG192" s="46">
        <v>0</v>
      </c>
      <c r="CH192" s="46">
        <v>0</v>
      </c>
      <c r="CI192" s="46">
        <v>0.1229256299938537</v>
      </c>
      <c r="CJ192" s="46">
        <v>0.61462814996926851</v>
      </c>
      <c r="CK192">
        <v>294</v>
      </c>
      <c r="CL192">
        <v>545.25</v>
      </c>
      <c r="CM192">
        <f t="shared" si="21"/>
        <v>251.25</v>
      </c>
      <c r="CN192">
        <v>4</v>
      </c>
      <c r="CO192">
        <v>9.4499999999999993</v>
      </c>
      <c r="CP192">
        <f t="shared" si="22"/>
        <v>5.4499999999999993</v>
      </c>
      <c r="CQ192">
        <v>602.75</v>
      </c>
      <c r="CR192">
        <v>287.82</v>
      </c>
      <c r="CS192">
        <f t="shared" si="23"/>
        <v>314.93</v>
      </c>
      <c r="CT192" t="s">
        <v>152</v>
      </c>
      <c r="CU192">
        <v>48.53</v>
      </c>
      <c r="CV192">
        <v>268</v>
      </c>
      <c r="CW192" s="46">
        <v>2907</v>
      </c>
      <c r="CX192" s="46">
        <f t="shared" si="17"/>
        <v>91.35706914344685</v>
      </c>
      <c r="CY192" s="46">
        <v>251.25</v>
      </c>
      <c r="CZ192" s="46">
        <f t="shared" si="18"/>
        <v>100</v>
      </c>
      <c r="DA192" s="46">
        <f t="shared" si="19"/>
        <v>669.84502810100537</v>
      </c>
      <c r="DB192" s="46">
        <v>2115538.06</v>
      </c>
      <c r="DC192" s="46">
        <f t="shared" si="20"/>
        <v>29.687200189978629</v>
      </c>
      <c r="DD192" s="46">
        <v>93759.6</v>
      </c>
      <c r="DE192" s="995">
        <v>2907</v>
      </c>
      <c r="DF192" s="995">
        <v>91.828000000000003</v>
      </c>
      <c r="DG192" s="995">
        <v>237.5</v>
      </c>
      <c r="DH192" s="995">
        <v>100</v>
      </c>
      <c r="DI192" s="995">
        <v>1297.941</v>
      </c>
      <c r="DJ192" s="995">
        <v>4081439</v>
      </c>
      <c r="DK192" s="995">
        <v>58.051000000000002</v>
      </c>
      <c r="DL192" s="995">
        <v>182544.8</v>
      </c>
      <c r="DM192" s="995">
        <v>2907</v>
      </c>
      <c r="DN192" s="995">
        <v>93.242999999999995</v>
      </c>
      <c r="DO192" s="995">
        <v>196.4</v>
      </c>
      <c r="DP192" s="995">
        <v>100</v>
      </c>
      <c r="DQ192" s="995">
        <v>1224.3119999999999</v>
      </c>
      <c r="DR192" s="995">
        <v>3799574</v>
      </c>
      <c r="DS192" s="995">
        <v>54.759</v>
      </c>
      <c r="DT192" s="995">
        <v>169941.3</v>
      </c>
    </row>
    <row r="193" spans="1:124">
      <c r="A193" s="42" t="s">
        <v>93</v>
      </c>
      <c r="B193" s="42" t="s">
        <v>361</v>
      </c>
      <c r="C193" s="42" t="s">
        <v>362</v>
      </c>
      <c r="D193" s="42">
        <v>301359</v>
      </c>
      <c r="E193" s="42" t="s">
        <v>379</v>
      </c>
      <c r="F193" s="42" t="s">
        <v>149</v>
      </c>
      <c r="G193" s="42" t="s">
        <v>150</v>
      </c>
      <c r="H193" s="43" t="s">
        <v>150</v>
      </c>
      <c r="I193" s="44">
        <v>23</v>
      </c>
      <c r="J193" s="45">
        <v>114486.88679999999</v>
      </c>
      <c r="K193" s="46">
        <v>8407.6829500000003</v>
      </c>
      <c r="L193" s="47">
        <v>122894.56975</v>
      </c>
      <c r="M193" s="48">
        <v>3080777</v>
      </c>
      <c r="N193" s="49">
        <v>1742699</v>
      </c>
      <c r="O193" s="49">
        <v>1338078</v>
      </c>
      <c r="P193" s="49">
        <v>0</v>
      </c>
      <c r="Q193" s="50">
        <v>7049.8286956521797</v>
      </c>
      <c r="R193" s="51">
        <v>2617.7199802636401</v>
      </c>
      <c r="S193" s="49">
        <v>27673.204792902601</v>
      </c>
      <c r="T193" s="49">
        <v>3072.8545955521699</v>
      </c>
      <c r="U193" s="49">
        <f>IFERROR(INDEX('Rentabilidad datos'!$N$2:$N$61,MATCH($C193,'Rentabilidad datos'!$C$2:$C$61,0)),"")</f>
        <v>33363.779368718446</v>
      </c>
      <c r="V193" s="50">
        <f>IFERROR(INDEX('Rentabilidad datos'!$O$2:$O$61,MATCH($C193,'Rentabilidad datos'!$C$2:$C$61,0)),"")</f>
        <v>1588.7513985104022</v>
      </c>
      <c r="W193" s="51">
        <f>IFERROR(INDEX('Rentabilidad datos'!$M$2:$M$61,MATCH($C193,'Rentabilidad datos'!$C$2:$C$61,0)),"")</f>
        <v>2501.4542944353198</v>
      </c>
      <c r="X193" s="52">
        <f>IFERROR(INDEX('Rentabilidad datos'!$P$2:$P$61,MATCH($C193,'Rentabilidad datos'!$C$2:$C$61,0)),"")</f>
        <v>0.63513109235883447</v>
      </c>
      <c r="Y193" s="43" t="s">
        <v>211</v>
      </c>
      <c r="Z193" s="53">
        <v>48.839816933638502</v>
      </c>
      <c r="AA193" s="43">
        <v>1</v>
      </c>
      <c r="AB193" s="54">
        <v>0.9987353839632015</v>
      </c>
      <c r="AC193" s="55">
        <v>1.264616036798509E-3</v>
      </c>
      <c r="AD193" s="752" t="e">
        <f>_xlfn.XLOOKUP(Table1[[#This Row],[Ruta]],#REF!,#REF!)</f>
        <v>#REF!</v>
      </c>
      <c r="AE193" s="752" t="e">
        <f>_xlfn.XLOOKUP(Table1[[#This Row],[Ruta]],#REF!,#REF!)</f>
        <v>#REF!</v>
      </c>
      <c r="AF193" s="752" t="e">
        <f>_xlfn.XLOOKUP(Table1[[#This Row],[Ruta]],#REF!,#REF!)</f>
        <v>#REF!</v>
      </c>
      <c r="AG193" s="752" t="e">
        <f>_xlfn.XLOOKUP(Table1[[#This Row],[Ruta]],#REF!,#REF!)</f>
        <v>#REF!</v>
      </c>
      <c r="AH193" s="52">
        <v>0.56566866086055567</v>
      </c>
      <c r="AI193" s="52">
        <v>0.43433133913944438</v>
      </c>
      <c r="AJ193" s="55">
        <v>0</v>
      </c>
      <c r="AK193" s="56">
        <v>21343</v>
      </c>
      <c r="AL193" s="44">
        <v>17627</v>
      </c>
      <c r="AM193" s="54">
        <v>0.82589139296256397</v>
      </c>
      <c r="AN193" s="55">
        <v>0.76227312282453297</v>
      </c>
      <c r="AO193" s="56">
        <v>0</v>
      </c>
      <c r="AP193" s="48">
        <v>0</v>
      </c>
      <c r="AQ193" s="55">
        <v>0.82589139296256386</v>
      </c>
      <c r="AR193" s="51">
        <v>3080775.14</v>
      </c>
      <c r="AS193" s="49">
        <v>0</v>
      </c>
      <c r="AT193" s="55">
        <v>0</v>
      </c>
      <c r="AU193" s="51">
        <v>0</v>
      </c>
      <c r="AV193" s="52">
        <v>0</v>
      </c>
      <c r="AW193" s="44">
        <v>490</v>
      </c>
      <c r="AX193" s="51">
        <v>174.775919895615</v>
      </c>
      <c r="AY193" s="49">
        <v>397.41142810899697</v>
      </c>
      <c r="AZ193" s="49">
        <v>222.63550821338197</v>
      </c>
      <c r="BA193" s="42" t="s">
        <v>150</v>
      </c>
      <c r="BB193" s="50">
        <v>1378841.8741244515</v>
      </c>
      <c r="BC193" s="57">
        <v>1378841.8741244515</v>
      </c>
      <c r="BD193" s="42" t="s">
        <v>150</v>
      </c>
      <c r="BE193" s="46">
        <v>48.839816933638502</v>
      </c>
      <c r="BF193" s="46">
        <v>38.539172378641602</v>
      </c>
      <c r="BG193" s="42" t="s">
        <v>150</v>
      </c>
      <c r="BH193" s="52">
        <v>0.82589139296256397</v>
      </c>
      <c r="BI193" s="52">
        <v>0.66503705286792802</v>
      </c>
      <c r="BJ193" s="42" t="s">
        <v>150</v>
      </c>
      <c r="BK193" s="46">
        <v>281.22327173912998</v>
      </c>
      <c r="BL193" s="46">
        <v>393.04436199544199</v>
      </c>
      <c r="BM193" s="42" t="s">
        <v>152</v>
      </c>
      <c r="BN193" s="48">
        <v>2</v>
      </c>
      <c r="BO193" s="42" t="s">
        <v>161</v>
      </c>
      <c r="BP193" s="42" t="s">
        <v>152</v>
      </c>
      <c r="BQ193" s="46">
        <v>0</v>
      </c>
      <c r="BR193" s="46">
        <v>98</v>
      </c>
      <c r="BS193" s="46">
        <v>7581</v>
      </c>
      <c r="BT193" s="46">
        <v>2684</v>
      </c>
      <c r="BU193" s="46">
        <v>2.8245156482861402</v>
      </c>
      <c r="BV193" s="46">
        <v>27.387755102040817</v>
      </c>
      <c r="BW193" s="46">
        <v>1397</v>
      </c>
      <c r="BX193" s="46">
        <v>1287</v>
      </c>
      <c r="BY193" s="46">
        <v>2684</v>
      </c>
      <c r="BZ193" s="46">
        <v>1</v>
      </c>
      <c r="CA193" s="46">
        <v>0.52049180327868849</v>
      </c>
      <c r="CB193" s="46">
        <v>0.47950819672131145</v>
      </c>
      <c r="CC193" s="46">
        <v>0</v>
      </c>
      <c r="CD193" s="46">
        <v>0</v>
      </c>
      <c r="CE193" s="46">
        <v>0</v>
      </c>
      <c r="CF193" s="46">
        <v>0</v>
      </c>
      <c r="CG193" s="46">
        <v>0</v>
      </c>
      <c r="CH193" s="46">
        <v>0</v>
      </c>
      <c r="CI193" s="46">
        <v>0.39572615749901069</v>
      </c>
      <c r="CJ193" s="46">
        <v>0.39572615749901069</v>
      </c>
      <c r="CK193">
        <v>288</v>
      </c>
      <c r="CL193">
        <v>584.12</v>
      </c>
      <c r="CM193">
        <f t="shared" si="21"/>
        <v>296.12</v>
      </c>
      <c r="CN193">
        <v>4.2</v>
      </c>
      <c r="CO193">
        <v>9.4499999999999993</v>
      </c>
      <c r="CP193">
        <f t="shared" si="22"/>
        <v>5.2499999999999991</v>
      </c>
      <c r="CQ193">
        <v>602.75</v>
      </c>
      <c r="CR193">
        <v>281.22000000000003</v>
      </c>
      <c r="CS193">
        <f t="shared" si="23"/>
        <v>321.52999999999997</v>
      </c>
      <c r="CT193" t="s">
        <v>152</v>
      </c>
      <c r="CU193">
        <v>51.12</v>
      </c>
      <c r="CV193">
        <v>271</v>
      </c>
      <c r="CW193" s="46">
        <v>2684</v>
      </c>
      <c r="CX193" s="46">
        <f t="shared" si="17"/>
        <v>88.967213114754102</v>
      </c>
      <c r="CY193" s="46">
        <v>296.12</v>
      </c>
      <c r="CZ193" s="46">
        <f t="shared" si="18"/>
        <v>100</v>
      </c>
      <c r="DA193" s="46">
        <f t="shared" si="19"/>
        <v>911.91464773230609</v>
      </c>
      <c r="DB193" s="46">
        <v>2717615.08</v>
      </c>
      <c r="DC193" s="46">
        <f t="shared" si="20"/>
        <v>37.119303920647489</v>
      </c>
      <c r="DD193" s="46">
        <v>110619.98</v>
      </c>
      <c r="DE193" s="995">
        <v>2684</v>
      </c>
      <c r="DF193" s="995">
        <v>89.798000000000002</v>
      </c>
      <c r="DG193" s="995">
        <v>273.8</v>
      </c>
      <c r="DH193" s="995">
        <v>100</v>
      </c>
      <c r="DI193" s="995">
        <v>1556.6969999999999</v>
      </c>
      <c r="DJ193" s="995">
        <v>4604443</v>
      </c>
      <c r="DK193" s="995">
        <v>64.376999999999995</v>
      </c>
      <c r="DL193" s="995">
        <v>190417</v>
      </c>
      <c r="DM193" s="995">
        <v>2684</v>
      </c>
      <c r="DN193" s="995">
        <v>91.45</v>
      </c>
      <c r="DO193" s="995">
        <v>229.5</v>
      </c>
      <c r="DP193" s="995">
        <v>100</v>
      </c>
      <c r="DQ193" s="995">
        <v>1468.9849999999999</v>
      </c>
      <c r="DR193" s="995">
        <v>4279869</v>
      </c>
      <c r="DS193" s="995">
        <v>60.691000000000003</v>
      </c>
      <c r="DT193" s="995">
        <v>176823.3</v>
      </c>
    </row>
    <row r="194" spans="1:124">
      <c r="A194" s="42" t="s">
        <v>93</v>
      </c>
      <c r="B194" s="42" t="s">
        <v>361</v>
      </c>
      <c r="C194" s="42" t="s">
        <v>362</v>
      </c>
      <c r="D194" s="42">
        <v>301360</v>
      </c>
      <c r="E194" s="42" t="s">
        <v>380</v>
      </c>
      <c r="F194" s="42" t="s">
        <v>149</v>
      </c>
      <c r="G194" s="42" t="s">
        <v>150</v>
      </c>
      <c r="H194" s="43" t="s">
        <v>150</v>
      </c>
      <c r="I194" s="44">
        <v>23</v>
      </c>
      <c r="J194" s="45">
        <v>120188.8116</v>
      </c>
      <c r="K194" s="46">
        <v>10426.928085</v>
      </c>
      <c r="L194" s="47">
        <v>130615.73968499999</v>
      </c>
      <c r="M194" s="48">
        <v>3540012</v>
      </c>
      <c r="N194" s="49">
        <v>1809727</v>
      </c>
      <c r="O194" s="49">
        <v>1730285</v>
      </c>
      <c r="P194" s="49">
        <v>0</v>
      </c>
      <c r="Q194" s="50">
        <v>8251.7741958042006</v>
      </c>
      <c r="R194" s="51">
        <v>2617.7199802636401</v>
      </c>
      <c r="S194" s="49">
        <v>27673.204792902601</v>
      </c>
      <c r="T194" s="49">
        <v>3072.8545955521699</v>
      </c>
      <c r="U194" s="49">
        <f>IFERROR(INDEX('Rentabilidad datos'!$N$2:$N$61,MATCH($C194,'Rentabilidad datos'!$C$2:$C$61,0)),"")</f>
        <v>33363.779368718446</v>
      </c>
      <c r="V194" s="50">
        <f>IFERROR(INDEX('Rentabilidad datos'!$O$2:$O$61,MATCH($C194,'Rentabilidad datos'!$C$2:$C$61,0)),"")</f>
        <v>1588.7513985104022</v>
      </c>
      <c r="W194" s="51">
        <f>IFERROR(INDEX('Rentabilidad datos'!$M$2:$M$61,MATCH($C194,'Rentabilidad datos'!$C$2:$C$61,0)),"")</f>
        <v>2501.4542944353198</v>
      </c>
      <c r="X194" s="52">
        <f>IFERROR(INDEX('Rentabilidad datos'!$P$2:$P$61,MATCH($C194,'Rentabilidad datos'!$C$2:$C$61,0)),"")</f>
        <v>0.63513109235883447</v>
      </c>
      <c r="Y194" s="43" t="s">
        <v>211</v>
      </c>
      <c r="Z194" s="53">
        <v>61.997668997669003</v>
      </c>
      <c r="AA194" s="43">
        <v>1</v>
      </c>
      <c r="AB194" s="54">
        <v>0.99924294041941097</v>
      </c>
      <c r="AC194" s="55">
        <v>7.5705958058899239E-4</v>
      </c>
      <c r="AD194" s="752" t="e">
        <f>_xlfn.XLOOKUP(Table1[[#This Row],[Ruta]],#REF!,#REF!)</f>
        <v>#REF!</v>
      </c>
      <c r="AE194" s="752" t="e">
        <f>_xlfn.XLOOKUP(Table1[[#This Row],[Ruta]],#REF!,#REF!)</f>
        <v>#REF!</v>
      </c>
      <c r="AF194" s="752" t="e">
        <f>_xlfn.XLOOKUP(Table1[[#This Row],[Ruta]],#REF!,#REF!)</f>
        <v>#REF!</v>
      </c>
      <c r="AG194" s="752" t="e">
        <f>_xlfn.XLOOKUP(Table1[[#This Row],[Ruta]],#REF!,#REF!)</f>
        <v>#REF!</v>
      </c>
      <c r="AH194" s="52">
        <v>0.51122058343305055</v>
      </c>
      <c r="AI194" s="52">
        <v>0.48877941656694951</v>
      </c>
      <c r="AJ194" s="55">
        <v>0</v>
      </c>
      <c r="AK194" s="56">
        <v>26597</v>
      </c>
      <c r="AL194" s="44">
        <v>17313</v>
      </c>
      <c r="AM194" s="54">
        <v>0.65093807572282603</v>
      </c>
      <c r="AN194" s="55">
        <v>0.76227312282453297</v>
      </c>
      <c r="AO194" s="56">
        <v>2961.17824776411</v>
      </c>
      <c r="AP194" s="48">
        <v>1480.589123882055</v>
      </c>
      <c r="AQ194" s="55">
        <v>0.7066055992736795</v>
      </c>
      <c r="AR194" s="51">
        <v>3540011.13</v>
      </c>
      <c r="AS194" s="49">
        <v>302737.94128686149</v>
      </c>
      <c r="AT194" s="55">
        <v>8.5518923576622066E-2</v>
      </c>
      <c r="AU194" s="51">
        <v>212734.76955292976</v>
      </c>
      <c r="AV194" s="52">
        <v>9.6775059834435645E-4</v>
      </c>
      <c r="AW194" s="44">
        <v>299</v>
      </c>
      <c r="AX194" s="51">
        <v>204.471271876625</v>
      </c>
      <c r="AY194" s="49">
        <v>397.41142810899697</v>
      </c>
      <c r="AZ194" s="49">
        <v>192.94015623237198</v>
      </c>
      <c r="BA194" s="42" t="s">
        <v>150</v>
      </c>
      <c r="BB194" s="50">
        <v>1173644.541163885</v>
      </c>
      <c r="BC194" s="57">
        <v>1386379.3107168148</v>
      </c>
      <c r="BD194" s="42" t="s">
        <v>150</v>
      </c>
      <c r="BE194" s="46">
        <v>61.997668997669003</v>
      </c>
      <c r="BF194" s="46">
        <v>38.539172378641602</v>
      </c>
      <c r="BG194" s="42" t="s">
        <v>150</v>
      </c>
      <c r="BH194" s="52">
        <v>0.65093807572282603</v>
      </c>
      <c r="BI194" s="52">
        <v>0.66503705286792802</v>
      </c>
      <c r="BJ194" s="42" t="s">
        <v>152</v>
      </c>
      <c r="BK194" s="46">
        <v>304.46559367132801</v>
      </c>
      <c r="BL194" s="46">
        <v>393.04436199544199</v>
      </c>
      <c r="BM194" s="42" t="s">
        <v>152</v>
      </c>
      <c r="BN194" s="48">
        <v>1</v>
      </c>
      <c r="BO194" s="42" t="s">
        <v>155</v>
      </c>
      <c r="BP194" s="42" t="s">
        <v>152</v>
      </c>
      <c r="BQ194" s="46">
        <v>0</v>
      </c>
      <c r="BR194" s="46">
        <v>181</v>
      </c>
      <c r="BS194" s="46">
        <v>12132</v>
      </c>
      <c r="BT194" s="46">
        <v>4076</v>
      </c>
      <c r="BU194" s="46">
        <v>2.9764474975466144</v>
      </c>
      <c r="BV194" s="46">
        <v>22.519337016574585</v>
      </c>
      <c r="BW194" s="46">
        <v>2203</v>
      </c>
      <c r="BX194" s="46">
        <v>1873</v>
      </c>
      <c r="BY194" s="46">
        <v>4076</v>
      </c>
      <c r="BZ194" s="46">
        <v>1</v>
      </c>
      <c r="CA194" s="46">
        <v>0.54048086359175662</v>
      </c>
      <c r="CB194" s="46">
        <v>0.45951913640824338</v>
      </c>
      <c r="CC194" s="46">
        <v>0</v>
      </c>
      <c r="CD194" s="46">
        <v>0</v>
      </c>
      <c r="CE194" s="46">
        <v>0</v>
      </c>
      <c r="CF194" s="46">
        <v>0</v>
      </c>
      <c r="CG194" s="46">
        <v>0</v>
      </c>
      <c r="CH194" s="46">
        <v>0</v>
      </c>
      <c r="CI194" s="46">
        <v>0.24727992087042527</v>
      </c>
      <c r="CJ194" s="46">
        <v>0.32970656116056712</v>
      </c>
      <c r="CK194">
        <v>394</v>
      </c>
      <c r="CL194">
        <v>704.01</v>
      </c>
      <c r="CM194">
        <f t="shared" si="21"/>
        <v>310.01</v>
      </c>
      <c r="CN194">
        <v>5.1100000000000003</v>
      </c>
      <c r="CO194">
        <v>9.4499999999999993</v>
      </c>
      <c r="CP194">
        <f t="shared" si="22"/>
        <v>4.339999999999999</v>
      </c>
      <c r="CQ194">
        <v>602.75</v>
      </c>
      <c r="CR194">
        <v>304.47000000000003</v>
      </c>
      <c r="CS194">
        <f t="shared" si="23"/>
        <v>298.27999999999997</v>
      </c>
      <c r="CT194" t="s">
        <v>152</v>
      </c>
      <c r="CU194">
        <v>55.73</v>
      </c>
      <c r="CV194">
        <v>379</v>
      </c>
      <c r="CW194" s="46">
        <v>4076</v>
      </c>
      <c r="CX194" s="46">
        <f t="shared" si="17"/>
        <v>92.394259077526982</v>
      </c>
      <c r="CY194" s="46">
        <v>310.01</v>
      </c>
      <c r="CZ194" s="46">
        <f t="shared" si="18"/>
        <v>100</v>
      </c>
      <c r="DA194" s="46">
        <f t="shared" si="19"/>
        <v>806.6282863012168</v>
      </c>
      <c r="DB194" s="46">
        <v>3537879.73</v>
      </c>
      <c r="DC194" s="46">
        <f t="shared" si="20"/>
        <v>30.897097817834432</v>
      </c>
      <c r="DD194" s="46">
        <v>135514.98000000001</v>
      </c>
      <c r="DE194" s="995">
        <v>4076</v>
      </c>
      <c r="DF194" s="995">
        <v>93.631</v>
      </c>
      <c r="DG194" s="995">
        <v>259.60000000000002</v>
      </c>
      <c r="DH194" s="995">
        <v>100</v>
      </c>
      <c r="DI194" s="995">
        <v>1428.6210000000001</v>
      </c>
      <c r="DJ194" s="995">
        <v>6193923</v>
      </c>
      <c r="DK194" s="995">
        <v>54.756999999999998</v>
      </c>
      <c r="DL194" s="995">
        <v>237404.5</v>
      </c>
      <c r="DM194" s="995">
        <v>4076</v>
      </c>
      <c r="DN194" s="995">
        <v>94.5</v>
      </c>
      <c r="DO194" s="995">
        <v>224.2</v>
      </c>
      <c r="DP194" s="995">
        <v>100</v>
      </c>
      <c r="DQ194" s="995">
        <v>1374.617</v>
      </c>
      <c r="DR194" s="995">
        <v>5911122</v>
      </c>
      <c r="DS194" s="995">
        <v>52.683999999999997</v>
      </c>
      <c r="DT194" s="995">
        <v>226552.6</v>
      </c>
    </row>
    <row r="195" spans="1:124">
      <c r="A195" s="42" t="s">
        <v>93</v>
      </c>
      <c r="B195" s="42" t="s">
        <v>361</v>
      </c>
      <c r="C195" s="42" t="s">
        <v>362</v>
      </c>
      <c r="D195" s="42">
        <v>301400</v>
      </c>
      <c r="E195" s="42" t="s">
        <v>381</v>
      </c>
      <c r="F195" s="42" t="s">
        <v>149</v>
      </c>
      <c r="G195" s="42" t="s">
        <v>150</v>
      </c>
      <c r="H195" s="43" t="s">
        <v>150</v>
      </c>
      <c r="I195" s="44">
        <v>23</v>
      </c>
      <c r="J195" s="45">
        <v>159673.97159999999</v>
      </c>
      <c r="K195" s="46">
        <v>8329.5139170000002</v>
      </c>
      <c r="L195" s="47">
        <v>168003.48551699999</v>
      </c>
      <c r="M195" s="48">
        <v>4964976</v>
      </c>
      <c r="N195" s="49">
        <v>3202571</v>
      </c>
      <c r="O195" s="49">
        <v>1762405</v>
      </c>
      <c r="P195" s="49">
        <v>0</v>
      </c>
      <c r="Q195" s="50">
        <v>9759.9469124423995</v>
      </c>
      <c r="R195" s="51">
        <v>2617.7199802636401</v>
      </c>
      <c r="S195" s="49">
        <v>27673.204792902601</v>
      </c>
      <c r="T195" s="49">
        <v>3072.8545955521699</v>
      </c>
      <c r="U195" s="49">
        <f>IFERROR(INDEX('Rentabilidad datos'!$N$2:$N$61,MATCH($C195,'Rentabilidad datos'!$C$2:$C$61,0)),"")</f>
        <v>33363.779368718446</v>
      </c>
      <c r="V195" s="50">
        <f>IFERROR(INDEX('Rentabilidad datos'!$O$2:$O$61,MATCH($C195,'Rentabilidad datos'!$C$2:$C$61,0)),"")</f>
        <v>1588.7513985104022</v>
      </c>
      <c r="W195" s="51">
        <f>IFERROR(INDEX('Rentabilidad datos'!$M$2:$M$61,MATCH($C195,'Rentabilidad datos'!$C$2:$C$61,0)),"")</f>
        <v>2501.4542944353198</v>
      </c>
      <c r="X195" s="52">
        <f>IFERROR(INDEX('Rentabilidad datos'!$P$2:$P$61,MATCH($C195,'Rentabilidad datos'!$C$2:$C$61,0)),"")</f>
        <v>0.63513109235883447</v>
      </c>
      <c r="Y195" s="43" t="s">
        <v>211</v>
      </c>
      <c r="Z195" s="53">
        <v>24.755760368663601</v>
      </c>
      <c r="AA195" s="43">
        <v>1</v>
      </c>
      <c r="AB195" s="54">
        <v>0.99917361131252191</v>
      </c>
      <c r="AC195" s="55">
        <v>8.2638868747804623E-4</v>
      </c>
      <c r="AD195" s="752" t="e">
        <f>_xlfn.XLOOKUP(Table1[[#This Row],[Ruta]],#REF!,#REF!)</f>
        <v>#REF!</v>
      </c>
      <c r="AE195" s="752" t="e">
        <f>_xlfn.XLOOKUP(Table1[[#This Row],[Ruta]],#REF!,#REF!)</f>
        <v>#REF!</v>
      </c>
      <c r="AF195" s="752" t="e">
        <f>_xlfn.XLOOKUP(Table1[[#This Row],[Ruta]],#REF!,#REF!)</f>
        <v>#REF!</v>
      </c>
      <c r="AG195" s="752" t="e">
        <f>_xlfn.XLOOKUP(Table1[[#This Row],[Ruta]],#REF!,#REF!)</f>
        <v>#REF!</v>
      </c>
      <c r="AH195" s="52">
        <v>0.64503252382287446</v>
      </c>
      <c r="AI195" s="52">
        <v>0.35496747617712554</v>
      </c>
      <c r="AJ195" s="55">
        <v>0</v>
      </c>
      <c r="AK195" s="56">
        <v>10744</v>
      </c>
      <c r="AL195" s="44">
        <v>6443</v>
      </c>
      <c r="AM195" s="54">
        <v>0.599683544303797</v>
      </c>
      <c r="AN195" s="55">
        <v>0.76227312282453297</v>
      </c>
      <c r="AO195" s="56">
        <v>1746.8624316267901</v>
      </c>
      <c r="AP195" s="48">
        <v>873.43121581339506</v>
      </c>
      <c r="AQ195" s="55">
        <v>0.68097833356416559</v>
      </c>
      <c r="AR195" s="51">
        <v>4235816.96</v>
      </c>
      <c r="AS195" s="49">
        <v>574219.27011265</v>
      </c>
      <c r="AT195" s="55">
        <v>0.13556281480884622</v>
      </c>
      <c r="AU195" s="51">
        <v>403505.4330521326</v>
      </c>
      <c r="AV195" s="52">
        <v>1.8355843997294619E-3</v>
      </c>
      <c r="AW195" s="44">
        <v>187</v>
      </c>
      <c r="AX195" s="51">
        <v>657.42929691137704</v>
      </c>
      <c r="AY195" s="49">
        <v>397.41142810899697</v>
      </c>
      <c r="AZ195" s="49">
        <v>0</v>
      </c>
      <c r="BA195" s="42" t="s">
        <v>152</v>
      </c>
      <c r="BB195" s="50">
        <v>0</v>
      </c>
      <c r="BC195" s="57">
        <v>403505.4330521326</v>
      </c>
      <c r="BD195" s="42" t="s">
        <v>150</v>
      </c>
      <c r="BE195" s="46">
        <v>24.755760368663601</v>
      </c>
      <c r="BF195" s="46">
        <v>38.539172378641602</v>
      </c>
      <c r="BG195" s="42" t="s">
        <v>152</v>
      </c>
      <c r="BH195" s="52">
        <v>0.599683544303797</v>
      </c>
      <c r="BI195" s="52">
        <v>0.66503705286792802</v>
      </c>
      <c r="BJ195" s="42" t="s">
        <v>152</v>
      </c>
      <c r="BK195" s="46">
        <v>387.10480533870998</v>
      </c>
      <c r="BL195" s="46">
        <v>393.04436199544199</v>
      </c>
      <c r="BM195" s="42" t="s">
        <v>152</v>
      </c>
      <c r="BN195" s="48">
        <v>0</v>
      </c>
      <c r="BO195" s="42" t="s">
        <v>155</v>
      </c>
      <c r="BP195" s="42" t="s">
        <v>152</v>
      </c>
      <c r="BQ195" s="46">
        <v>10452.047594408201</v>
      </c>
      <c r="BR195" s="46" t="e">
        <v>#N/A</v>
      </c>
      <c r="BS195" s="46" t="e">
        <v>#N/A</v>
      </c>
      <c r="BT195" s="46" t="e">
        <v>#N/A</v>
      </c>
      <c r="BU195" s="46" t="e">
        <v>#N/A</v>
      </c>
      <c r="BV195" s="46" t="e">
        <v>#N/A</v>
      </c>
      <c r="BW195" s="46" t="e">
        <v>#N/A</v>
      </c>
      <c r="BX195" s="46" t="e">
        <v>#N/A</v>
      </c>
      <c r="BY195" s="46" t="e">
        <v>#N/A</v>
      </c>
      <c r="BZ195" s="46" t="e">
        <v>#N/A</v>
      </c>
      <c r="CA195" s="46" t="e">
        <v>#N/A</v>
      </c>
      <c r="CB195" s="46" t="e">
        <v>#N/A</v>
      </c>
      <c r="CC195" s="46" t="e">
        <v>#N/A</v>
      </c>
      <c r="CD195" s="46" t="e">
        <v>#N/A</v>
      </c>
      <c r="CE195" s="46" t="e">
        <v>#N/A</v>
      </c>
      <c r="CF195" s="46" t="e">
        <v>#N/A</v>
      </c>
      <c r="CG195" s="46" t="e">
        <v>#N/A</v>
      </c>
      <c r="CH195" s="46" t="e">
        <v>#N/A</v>
      </c>
      <c r="CI195" s="46" t="e">
        <v>#N/A</v>
      </c>
      <c r="CJ195" s="46" t="e">
        <v>#N/A</v>
      </c>
      <c r="CM195">
        <f t="shared" si="21"/>
        <v>0</v>
      </c>
      <c r="CP195">
        <f t="shared" si="22"/>
        <v>0</v>
      </c>
      <c r="CS195">
        <f t="shared" si="23"/>
        <v>0</v>
      </c>
      <c r="CW195" s="46"/>
      <c r="CX195" s="46" t="e">
        <f t="shared" si="17"/>
        <v>#N/A</v>
      </c>
      <c r="CY195" s="46"/>
      <c r="CZ195" s="46" t="e">
        <f t="shared" si="18"/>
        <v>#N/A</v>
      </c>
      <c r="DA195" s="46" t="e">
        <f t="shared" si="19"/>
        <v>#N/A</v>
      </c>
      <c r="DB195" s="46"/>
      <c r="DC195" s="46" t="e">
        <f t="shared" si="20"/>
        <v>#N/A</v>
      </c>
      <c r="DD195" s="46"/>
      <c r="DE195" s="995" t="s">
        <v>194</v>
      </c>
      <c r="DF195" s="995" t="s">
        <v>194</v>
      </c>
      <c r="DG195" s="995" t="s">
        <v>194</v>
      </c>
      <c r="DH195" s="995" t="s">
        <v>194</v>
      </c>
      <c r="DI195" s="995" t="s">
        <v>194</v>
      </c>
      <c r="DJ195" s="995" t="s">
        <v>194</v>
      </c>
      <c r="DK195" s="995" t="s">
        <v>194</v>
      </c>
      <c r="DL195" s="995" t="s">
        <v>194</v>
      </c>
      <c r="DM195" s="995" t="s">
        <v>194</v>
      </c>
      <c r="DN195" s="995" t="s">
        <v>194</v>
      </c>
      <c r="DO195" s="995" t="s">
        <v>194</v>
      </c>
      <c r="DP195" s="995" t="s">
        <v>194</v>
      </c>
      <c r="DQ195" s="995" t="s">
        <v>194</v>
      </c>
      <c r="DR195" s="995" t="s">
        <v>194</v>
      </c>
      <c r="DS195" s="995" t="s">
        <v>194</v>
      </c>
      <c r="DT195" s="995" t="s">
        <v>194</v>
      </c>
    </row>
    <row r="196" spans="1:124">
      <c r="A196" s="42" t="s">
        <v>93</v>
      </c>
      <c r="B196" s="42" t="s">
        <v>361</v>
      </c>
      <c r="C196" s="42" t="s">
        <v>362</v>
      </c>
      <c r="D196" s="42">
        <v>301401</v>
      </c>
      <c r="E196" s="42" t="s">
        <v>382</v>
      </c>
      <c r="F196" s="42" t="s">
        <v>149</v>
      </c>
      <c r="G196" s="42" t="s">
        <v>150</v>
      </c>
      <c r="H196" s="43" t="s">
        <v>150</v>
      </c>
      <c r="I196" s="44">
        <v>23</v>
      </c>
      <c r="J196" s="45">
        <v>188996.72219999999</v>
      </c>
      <c r="K196" s="46">
        <v>5582.6352710000001</v>
      </c>
      <c r="L196" s="47">
        <v>194579.357471</v>
      </c>
      <c r="M196" s="48">
        <v>3815488</v>
      </c>
      <c r="N196" s="49">
        <v>2944169</v>
      </c>
      <c r="O196" s="49">
        <v>871319</v>
      </c>
      <c r="P196" s="49">
        <v>0</v>
      </c>
      <c r="Q196" s="50">
        <v>8852.6404872389794</v>
      </c>
      <c r="R196" s="51">
        <v>2617.7199802636401</v>
      </c>
      <c r="S196" s="49">
        <v>27673.204792902601</v>
      </c>
      <c r="T196" s="49">
        <v>3072.8545955521699</v>
      </c>
      <c r="U196" s="49">
        <f>IFERROR(INDEX('Rentabilidad datos'!$N$2:$N$61,MATCH($C196,'Rentabilidad datos'!$C$2:$C$61,0)),"")</f>
        <v>33363.779368718446</v>
      </c>
      <c r="V196" s="50">
        <f>IFERROR(INDEX('Rentabilidad datos'!$O$2:$O$61,MATCH($C196,'Rentabilidad datos'!$C$2:$C$61,0)),"")</f>
        <v>1588.7513985104022</v>
      </c>
      <c r="W196" s="51">
        <f>IFERROR(INDEX('Rentabilidad datos'!$M$2:$M$61,MATCH($C196,'Rentabilidad datos'!$C$2:$C$61,0)),"")</f>
        <v>2501.4542944353198</v>
      </c>
      <c r="X196" s="52">
        <f>IFERROR(INDEX('Rentabilidad datos'!$P$2:$P$61,MATCH($C196,'Rentabilidad datos'!$C$2:$C$61,0)),"")</f>
        <v>0.63513109235883447</v>
      </c>
      <c r="Y196" s="43" t="s">
        <v>211</v>
      </c>
      <c r="Z196" s="53">
        <v>25.0394431554524</v>
      </c>
      <c r="AA196" s="43">
        <v>1</v>
      </c>
      <c r="AB196" s="54">
        <v>0.99990459935924314</v>
      </c>
      <c r="AC196" s="55">
        <v>9.54006407568311E-5</v>
      </c>
      <c r="AD196" s="752" t="e">
        <f>_xlfn.XLOOKUP(Table1[[#This Row],[Ruta]],#REF!,#REF!)</f>
        <v>#REF!</v>
      </c>
      <c r="AE196" s="752" t="e">
        <f>_xlfn.XLOOKUP(Table1[[#This Row],[Ruta]],#REF!,#REF!)</f>
        <v>#REF!</v>
      </c>
      <c r="AF196" s="752" t="e">
        <f>_xlfn.XLOOKUP(Table1[[#This Row],[Ruta]],#REF!,#REF!)</f>
        <v>#REF!</v>
      </c>
      <c r="AG196" s="752" t="e">
        <f>_xlfn.XLOOKUP(Table1[[#This Row],[Ruta]],#REF!,#REF!)</f>
        <v>#REF!</v>
      </c>
      <c r="AH196" s="52">
        <v>0.77163628872637002</v>
      </c>
      <c r="AI196" s="52">
        <v>0.22836371127363</v>
      </c>
      <c r="AJ196" s="55">
        <v>0</v>
      </c>
      <c r="AK196" s="56">
        <v>10792</v>
      </c>
      <c r="AL196" s="44">
        <v>6171</v>
      </c>
      <c r="AM196" s="54">
        <v>0.57181245366938505</v>
      </c>
      <c r="AN196" s="55">
        <v>0.76227312282453297</v>
      </c>
      <c r="AO196" s="56">
        <v>2055.45154152236</v>
      </c>
      <c r="AP196" s="48">
        <v>1027.72577076118</v>
      </c>
      <c r="AQ196" s="55">
        <v>0.66704278824695884</v>
      </c>
      <c r="AR196" s="51">
        <v>3815488.05</v>
      </c>
      <c r="AS196" s="49">
        <v>635435.97423696995</v>
      </c>
      <c r="AT196" s="55">
        <v>0.16654120414214638</v>
      </c>
      <c r="AU196" s="51">
        <v>446522.5764908439</v>
      </c>
      <c r="AV196" s="52">
        <v>2.0312734560570412E-3</v>
      </c>
      <c r="AW196" s="44">
        <v>166</v>
      </c>
      <c r="AX196" s="51">
        <v>618.29331550802101</v>
      </c>
      <c r="AY196" s="49">
        <v>397.41142810899697</v>
      </c>
      <c r="AZ196" s="49">
        <v>0</v>
      </c>
      <c r="BA196" s="42" t="s">
        <v>152</v>
      </c>
      <c r="BB196" s="50">
        <v>0</v>
      </c>
      <c r="BC196" s="57">
        <v>446522.5764908439</v>
      </c>
      <c r="BD196" s="42" t="s">
        <v>150</v>
      </c>
      <c r="BE196" s="46">
        <v>25.0394431554524</v>
      </c>
      <c r="BF196" s="46">
        <v>38.539172378641602</v>
      </c>
      <c r="BG196" s="42" t="s">
        <v>152</v>
      </c>
      <c r="BH196" s="52">
        <v>0.57181245366938505</v>
      </c>
      <c r="BI196" s="52">
        <v>0.66503705286792802</v>
      </c>
      <c r="BJ196" s="42" t="s">
        <v>152</v>
      </c>
      <c r="BK196" s="46">
        <v>451.46022615081199</v>
      </c>
      <c r="BL196" s="46">
        <v>393.04436199544199</v>
      </c>
      <c r="BM196" s="42" t="s">
        <v>150</v>
      </c>
      <c r="BN196" s="48">
        <v>1</v>
      </c>
      <c r="BO196" s="42" t="s">
        <v>155</v>
      </c>
      <c r="BP196" s="42" t="s">
        <v>152</v>
      </c>
      <c r="BQ196" s="46">
        <v>9565.2399514304398</v>
      </c>
      <c r="BR196" s="46" t="e">
        <v>#N/A</v>
      </c>
      <c r="BS196" s="46" t="e">
        <v>#N/A</v>
      </c>
      <c r="BT196" s="46" t="e">
        <v>#N/A</v>
      </c>
      <c r="BU196" s="46" t="e">
        <v>#N/A</v>
      </c>
      <c r="BV196" s="46" t="e">
        <v>#N/A</v>
      </c>
      <c r="BW196" s="46" t="e">
        <v>#N/A</v>
      </c>
      <c r="BX196" s="46" t="e">
        <v>#N/A</v>
      </c>
      <c r="BY196" s="46" t="e">
        <v>#N/A</v>
      </c>
      <c r="BZ196" s="46" t="e">
        <v>#N/A</v>
      </c>
      <c r="CA196" s="46" t="e">
        <v>#N/A</v>
      </c>
      <c r="CB196" s="46" t="e">
        <v>#N/A</v>
      </c>
      <c r="CC196" s="46" t="e">
        <v>#N/A</v>
      </c>
      <c r="CD196" s="46" t="e">
        <v>#N/A</v>
      </c>
      <c r="CE196" s="46" t="e">
        <v>#N/A</v>
      </c>
      <c r="CF196" s="46" t="e">
        <v>#N/A</v>
      </c>
      <c r="CG196" s="46" t="e">
        <v>#N/A</v>
      </c>
      <c r="CH196" s="46" t="e">
        <v>#N/A</v>
      </c>
      <c r="CI196" s="46" t="e">
        <v>#N/A</v>
      </c>
      <c r="CJ196" s="46" t="e">
        <v>#N/A</v>
      </c>
      <c r="CM196">
        <f t="shared" si="21"/>
        <v>0</v>
      </c>
      <c r="CP196">
        <f t="shared" si="22"/>
        <v>0</v>
      </c>
      <c r="CS196">
        <f t="shared" si="23"/>
        <v>0</v>
      </c>
      <c r="CW196" s="46"/>
      <c r="CX196" s="46" t="e">
        <f t="shared" si="17"/>
        <v>#N/A</v>
      </c>
      <c r="CY196" s="46"/>
      <c r="CZ196" s="46" t="e">
        <f t="shared" si="18"/>
        <v>#N/A</v>
      </c>
      <c r="DA196" s="46" t="e">
        <f t="shared" si="19"/>
        <v>#N/A</v>
      </c>
      <c r="DB196" s="46"/>
      <c r="DC196" s="46" t="e">
        <f t="shared" si="20"/>
        <v>#N/A</v>
      </c>
      <c r="DD196" s="46"/>
      <c r="DE196" s="995" t="s">
        <v>194</v>
      </c>
      <c r="DF196" s="995" t="s">
        <v>194</v>
      </c>
      <c r="DG196" s="995" t="s">
        <v>194</v>
      </c>
      <c r="DH196" s="995" t="s">
        <v>194</v>
      </c>
      <c r="DI196" s="995" t="s">
        <v>194</v>
      </c>
      <c r="DJ196" s="995" t="s">
        <v>194</v>
      </c>
      <c r="DK196" s="995" t="s">
        <v>194</v>
      </c>
      <c r="DL196" s="995" t="s">
        <v>194</v>
      </c>
      <c r="DM196" s="995" t="s">
        <v>194</v>
      </c>
      <c r="DN196" s="995" t="s">
        <v>194</v>
      </c>
      <c r="DO196" s="995" t="s">
        <v>194</v>
      </c>
      <c r="DP196" s="995" t="s">
        <v>194</v>
      </c>
      <c r="DQ196" s="995" t="s">
        <v>194</v>
      </c>
      <c r="DR196" s="995" t="s">
        <v>194</v>
      </c>
      <c r="DS196" s="995" t="s">
        <v>194</v>
      </c>
      <c r="DT196" s="995" t="s">
        <v>194</v>
      </c>
    </row>
    <row r="197" spans="1:124">
      <c r="A197" s="42" t="s">
        <v>93</v>
      </c>
      <c r="B197" s="42" t="s">
        <v>361</v>
      </c>
      <c r="C197" s="42" t="s">
        <v>362</v>
      </c>
      <c r="D197" s="42">
        <v>301402</v>
      </c>
      <c r="E197" s="42" t="s">
        <v>383</v>
      </c>
      <c r="F197" s="42" t="s">
        <v>149</v>
      </c>
      <c r="G197" s="42" t="s">
        <v>150</v>
      </c>
      <c r="H197" s="43" t="s">
        <v>150</v>
      </c>
      <c r="I197" s="44">
        <v>23</v>
      </c>
      <c r="J197" s="45">
        <v>141761.76300000001</v>
      </c>
      <c r="K197" s="46">
        <v>6256.293396</v>
      </c>
      <c r="L197" s="47">
        <v>148018.056396</v>
      </c>
      <c r="M197" s="48">
        <v>3363504</v>
      </c>
      <c r="N197" s="49">
        <v>2195275</v>
      </c>
      <c r="O197" s="49">
        <v>1168229</v>
      </c>
      <c r="P197" s="49">
        <v>0</v>
      </c>
      <c r="Q197" s="50">
        <v>7776.0164896073902</v>
      </c>
      <c r="R197" s="51">
        <v>2617.7199802636401</v>
      </c>
      <c r="S197" s="49">
        <v>27673.204792902601</v>
      </c>
      <c r="T197" s="49">
        <v>3072.8545955521699</v>
      </c>
      <c r="U197" s="49">
        <f>IFERROR(INDEX('Rentabilidad datos'!$N$2:$N$61,MATCH($C197,'Rentabilidad datos'!$C$2:$C$61,0)),"")</f>
        <v>33363.779368718446</v>
      </c>
      <c r="V197" s="50">
        <f>IFERROR(INDEX('Rentabilidad datos'!$O$2:$O$61,MATCH($C197,'Rentabilidad datos'!$C$2:$C$61,0)),"")</f>
        <v>1588.7513985104022</v>
      </c>
      <c r="W197" s="51">
        <f>IFERROR(INDEX('Rentabilidad datos'!$M$2:$M$61,MATCH($C197,'Rentabilidad datos'!$C$2:$C$61,0)),"")</f>
        <v>2501.4542944353198</v>
      </c>
      <c r="X197" s="52">
        <f>IFERROR(INDEX('Rentabilidad datos'!$P$2:$P$61,MATCH($C197,'Rentabilidad datos'!$C$2:$C$61,0)),"")</f>
        <v>0.63513109235883447</v>
      </c>
      <c r="Y197" s="43" t="s">
        <v>211</v>
      </c>
      <c r="Z197" s="53">
        <v>19.3348837209302</v>
      </c>
      <c r="AA197" s="43">
        <v>1</v>
      </c>
      <c r="AB197" s="54">
        <v>1</v>
      </c>
      <c r="AC197" s="55">
        <v>0</v>
      </c>
      <c r="AD197" s="752" t="e">
        <f>_xlfn.XLOOKUP(Table1[[#This Row],[Ruta]],#REF!,#REF!)</f>
        <v>#REF!</v>
      </c>
      <c r="AE197" s="752" t="e">
        <f>_xlfn.XLOOKUP(Table1[[#This Row],[Ruta]],#REF!,#REF!)</f>
        <v>#REF!</v>
      </c>
      <c r="AF197" s="752" t="e">
        <f>_xlfn.XLOOKUP(Table1[[#This Row],[Ruta]],#REF!,#REF!)</f>
        <v>#REF!</v>
      </c>
      <c r="AG197" s="752" t="e">
        <f>_xlfn.XLOOKUP(Table1[[#This Row],[Ruta]],#REF!,#REF!)</f>
        <v>#REF!</v>
      </c>
      <c r="AH197" s="52">
        <v>0.65267500796788114</v>
      </c>
      <c r="AI197" s="52">
        <v>0.34732499203211886</v>
      </c>
      <c r="AJ197" s="55">
        <v>0</v>
      </c>
      <c r="AK197" s="56">
        <v>8314</v>
      </c>
      <c r="AL197" s="44">
        <v>5518</v>
      </c>
      <c r="AM197" s="54">
        <v>0.66117392350252602</v>
      </c>
      <c r="AN197" s="55">
        <v>0.76227312282453297</v>
      </c>
      <c r="AO197" s="56">
        <v>840.53874316317001</v>
      </c>
      <c r="AP197" s="48">
        <v>420.26937158158501</v>
      </c>
      <c r="AQ197" s="55">
        <v>0.71424938315871844</v>
      </c>
      <c r="AR197" s="51">
        <v>3367015.14</v>
      </c>
      <c r="AS197" s="49">
        <v>256443.1563960645</v>
      </c>
      <c r="AT197" s="55">
        <v>7.6163351138380825E-2</v>
      </c>
      <c r="AU197" s="51">
        <v>180203.29908912646</v>
      </c>
      <c r="AV197" s="52">
        <v>8.1976186066631373E-4</v>
      </c>
      <c r="AW197" s="44">
        <v>327</v>
      </c>
      <c r="AX197" s="51">
        <v>610.18759333091703</v>
      </c>
      <c r="AY197" s="49">
        <v>397.41142810899697</v>
      </c>
      <c r="AZ197" s="49">
        <v>0</v>
      </c>
      <c r="BA197" s="42" t="s">
        <v>152</v>
      </c>
      <c r="BB197" s="50">
        <v>0</v>
      </c>
      <c r="BC197" s="57">
        <v>180203.29908912646</v>
      </c>
      <c r="BD197" s="42" t="s">
        <v>150</v>
      </c>
      <c r="BE197" s="46">
        <v>19.3348837209302</v>
      </c>
      <c r="BF197" s="46">
        <v>38.539172378641602</v>
      </c>
      <c r="BG197" s="42" t="s">
        <v>152</v>
      </c>
      <c r="BH197" s="52">
        <v>0.66117392350252602</v>
      </c>
      <c r="BI197" s="52">
        <v>0.66503705286792802</v>
      </c>
      <c r="BJ197" s="42" t="s">
        <v>152</v>
      </c>
      <c r="BK197" s="46">
        <v>341.84308636489601</v>
      </c>
      <c r="BL197" s="46">
        <v>393.04436199544199</v>
      </c>
      <c r="BM197" s="42" t="s">
        <v>152</v>
      </c>
      <c r="BN197" s="48">
        <v>0</v>
      </c>
      <c r="BO197" s="42" t="s">
        <v>155</v>
      </c>
      <c r="BP197" s="42" t="s">
        <v>152</v>
      </c>
      <c r="BQ197" s="46">
        <v>10721.0990980841</v>
      </c>
      <c r="BR197" s="46" t="e">
        <v>#N/A</v>
      </c>
      <c r="BS197" s="46" t="e">
        <v>#N/A</v>
      </c>
      <c r="BT197" s="46" t="e">
        <v>#N/A</v>
      </c>
      <c r="BU197" s="46" t="e">
        <v>#N/A</v>
      </c>
      <c r="BV197" s="46" t="e">
        <v>#N/A</v>
      </c>
      <c r="BW197" s="46" t="e">
        <v>#N/A</v>
      </c>
      <c r="BX197" s="46" t="e">
        <v>#N/A</v>
      </c>
      <c r="BY197" s="46" t="e">
        <v>#N/A</v>
      </c>
      <c r="BZ197" s="46" t="e">
        <v>#N/A</v>
      </c>
      <c r="CA197" s="46" t="e">
        <v>#N/A</v>
      </c>
      <c r="CB197" s="46" t="e">
        <v>#N/A</v>
      </c>
      <c r="CC197" s="46" t="e">
        <v>#N/A</v>
      </c>
      <c r="CD197" s="46" t="e">
        <v>#N/A</v>
      </c>
      <c r="CE197" s="46" t="e">
        <v>#N/A</v>
      </c>
      <c r="CF197" s="46" t="e">
        <v>#N/A</v>
      </c>
      <c r="CG197" s="46" t="e">
        <v>#N/A</v>
      </c>
      <c r="CH197" s="46" t="e">
        <v>#N/A</v>
      </c>
      <c r="CI197" s="46" t="e">
        <v>#N/A</v>
      </c>
      <c r="CJ197" s="46" t="e">
        <v>#N/A</v>
      </c>
      <c r="CM197">
        <f t="shared" si="21"/>
        <v>0</v>
      </c>
      <c r="CP197">
        <f t="shared" si="22"/>
        <v>0</v>
      </c>
      <c r="CS197">
        <f t="shared" si="23"/>
        <v>0</v>
      </c>
      <c r="CW197" s="46"/>
      <c r="CX197" s="46" t="e">
        <f t="shared" si="17"/>
        <v>#N/A</v>
      </c>
      <c r="CY197" s="46"/>
      <c r="CZ197" s="46" t="e">
        <f t="shared" si="18"/>
        <v>#N/A</v>
      </c>
      <c r="DA197" s="46" t="e">
        <f t="shared" si="19"/>
        <v>#N/A</v>
      </c>
      <c r="DB197" s="46"/>
      <c r="DC197" s="46" t="e">
        <f t="shared" si="20"/>
        <v>#N/A</v>
      </c>
      <c r="DD197" s="46"/>
      <c r="DE197" s="995" t="s">
        <v>194</v>
      </c>
      <c r="DF197" s="995" t="s">
        <v>194</v>
      </c>
      <c r="DG197" s="995" t="s">
        <v>194</v>
      </c>
      <c r="DH197" s="995" t="s">
        <v>194</v>
      </c>
      <c r="DI197" s="995" t="s">
        <v>194</v>
      </c>
      <c r="DJ197" s="995" t="s">
        <v>194</v>
      </c>
      <c r="DK197" s="995" t="s">
        <v>194</v>
      </c>
      <c r="DL197" s="995" t="s">
        <v>194</v>
      </c>
      <c r="DM197" s="995" t="s">
        <v>194</v>
      </c>
      <c r="DN197" s="995" t="s">
        <v>194</v>
      </c>
      <c r="DO197" s="995" t="s">
        <v>194</v>
      </c>
      <c r="DP197" s="995" t="s">
        <v>194</v>
      </c>
      <c r="DQ197" s="995" t="s">
        <v>194</v>
      </c>
      <c r="DR197" s="995" t="s">
        <v>194</v>
      </c>
      <c r="DS197" s="995" t="s">
        <v>194</v>
      </c>
      <c r="DT197" s="995" t="s">
        <v>194</v>
      </c>
    </row>
    <row r="198" spans="1:124">
      <c r="A198" s="42" t="s">
        <v>93</v>
      </c>
      <c r="B198" s="42" t="s">
        <v>361</v>
      </c>
      <c r="C198" s="42" t="s">
        <v>362</v>
      </c>
      <c r="D198" s="42">
        <v>301403</v>
      </c>
      <c r="E198" s="42" t="s">
        <v>384</v>
      </c>
      <c r="F198" s="42" t="s">
        <v>149</v>
      </c>
      <c r="G198" s="42" t="s">
        <v>150</v>
      </c>
      <c r="H198" s="43" t="s">
        <v>150</v>
      </c>
      <c r="I198" s="44">
        <v>23</v>
      </c>
      <c r="J198" s="45">
        <v>202331.32920000001</v>
      </c>
      <c r="K198" s="46">
        <v>5692.0971820000004</v>
      </c>
      <c r="L198" s="47">
        <v>208023.42638200001</v>
      </c>
      <c r="M198" s="48">
        <v>4212314</v>
      </c>
      <c r="N198" s="49">
        <v>3283303</v>
      </c>
      <c r="O198" s="49">
        <v>929011</v>
      </c>
      <c r="P198" s="49">
        <v>0</v>
      </c>
      <c r="Q198" s="50">
        <v>9373.9971954023003</v>
      </c>
      <c r="R198" s="51">
        <v>2617.7199802636401</v>
      </c>
      <c r="S198" s="49">
        <v>27673.204792902601</v>
      </c>
      <c r="T198" s="49">
        <v>3072.8545955521699</v>
      </c>
      <c r="U198" s="49">
        <f>IFERROR(INDEX('Rentabilidad datos'!$N$2:$N$61,MATCH($C198,'Rentabilidad datos'!$C$2:$C$61,0)),"")</f>
        <v>33363.779368718446</v>
      </c>
      <c r="V198" s="50">
        <f>IFERROR(INDEX('Rentabilidad datos'!$O$2:$O$61,MATCH($C198,'Rentabilidad datos'!$C$2:$C$61,0)),"")</f>
        <v>1588.7513985104022</v>
      </c>
      <c r="W198" s="51">
        <f>IFERROR(INDEX('Rentabilidad datos'!$M$2:$M$61,MATCH($C198,'Rentabilidad datos'!$C$2:$C$61,0)),"")</f>
        <v>2501.4542944353198</v>
      </c>
      <c r="X198" s="52">
        <f>IFERROR(INDEX('Rentabilidad datos'!$P$2:$P$61,MATCH($C198,'Rentabilidad datos'!$C$2:$C$61,0)),"")</f>
        <v>0.63513109235883447</v>
      </c>
      <c r="Y198" s="43" t="s">
        <v>211</v>
      </c>
      <c r="Z198" s="53">
        <v>22.3680781758958</v>
      </c>
      <c r="AA198" s="43">
        <v>1</v>
      </c>
      <c r="AB198" s="54">
        <v>1</v>
      </c>
      <c r="AC198" s="55">
        <v>0</v>
      </c>
      <c r="AD198" s="752" t="e">
        <f>_xlfn.XLOOKUP(Table1[[#This Row],[Ruta]],#REF!,#REF!)</f>
        <v>#REF!</v>
      </c>
      <c r="AE198" s="752" t="e">
        <f>_xlfn.XLOOKUP(Table1[[#This Row],[Ruta]],#REF!,#REF!)</f>
        <v>#REF!</v>
      </c>
      <c r="AF198" s="752" t="e">
        <f>_xlfn.XLOOKUP(Table1[[#This Row],[Ruta]],#REF!,#REF!)</f>
        <v>#REF!</v>
      </c>
      <c r="AG198" s="752" t="e">
        <f>_xlfn.XLOOKUP(Table1[[#This Row],[Ruta]],#REF!,#REF!)</f>
        <v>#REF!</v>
      </c>
      <c r="AH198" s="52">
        <v>0.77945352601919038</v>
      </c>
      <c r="AI198" s="52">
        <v>0.22054647398080959</v>
      </c>
      <c r="AJ198" s="55">
        <v>0</v>
      </c>
      <c r="AK198" s="56">
        <v>6867</v>
      </c>
      <c r="AL198" s="44">
        <v>5046</v>
      </c>
      <c r="AM198" s="54">
        <v>0.52978010776175899</v>
      </c>
      <c r="AN198" s="55">
        <v>0.76227312282453297</v>
      </c>
      <c r="AO198" s="56">
        <v>1596.52953443607</v>
      </c>
      <c r="AP198" s="48">
        <v>798.26476721803499</v>
      </c>
      <c r="AQ198" s="55">
        <v>0.85106520565283739</v>
      </c>
      <c r="AR198" s="51">
        <v>4077688.78</v>
      </c>
      <c r="AS198" s="49">
        <v>645080.31802502996</v>
      </c>
      <c r="AT198" s="55">
        <v>0.15819753611138268</v>
      </c>
      <c r="AU198" s="51">
        <v>453299.68293650768</v>
      </c>
      <c r="AV198" s="52">
        <v>2.0621031546136878E-3</v>
      </c>
      <c r="AW198" s="44">
        <v>161</v>
      </c>
      <c r="AX198" s="51">
        <v>808.10320650019798</v>
      </c>
      <c r="AY198" s="49">
        <v>397.41142810899697</v>
      </c>
      <c r="AZ198" s="49">
        <v>0</v>
      </c>
      <c r="BA198" s="42" t="s">
        <v>152</v>
      </c>
      <c r="BB198" s="50">
        <v>0</v>
      </c>
      <c r="BC198" s="57">
        <v>453299.68293650768</v>
      </c>
      <c r="BD198" s="42" t="s">
        <v>150</v>
      </c>
      <c r="BE198" s="46">
        <v>22.3680781758958</v>
      </c>
      <c r="BF198" s="46">
        <v>38.539172378641602</v>
      </c>
      <c r="BG198" s="42" t="s">
        <v>152</v>
      </c>
      <c r="BH198" s="52">
        <v>0.52978010776175899</v>
      </c>
      <c r="BI198" s="52">
        <v>0.66503705286792802</v>
      </c>
      <c r="BJ198" s="42" t="s">
        <v>152</v>
      </c>
      <c r="BK198" s="46">
        <v>478.21477329195397</v>
      </c>
      <c r="BL198" s="46">
        <v>393.04436199544199</v>
      </c>
      <c r="BM198" s="42" t="s">
        <v>150</v>
      </c>
      <c r="BN198" s="48">
        <v>1</v>
      </c>
      <c r="BO198" s="42" t="s">
        <v>155</v>
      </c>
      <c r="BP198" s="42" t="s">
        <v>152</v>
      </c>
      <c r="BQ198" s="46">
        <v>8684.96498809283</v>
      </c>
      <c r="BR198" s="46" t="e">
        <v>#N/A</v>
      </c>
      <c r="BS198" s="46" t="e">
        <v>#N/A</v>
      </c>
      <c r="BT198" s="46" t="e">
        <v>#N/A</v>
      </c>
      <c r="BU198" s="46" t="e">
        <v>#N/A</v>
      </c>
      <c r="BV198" s="46" t="e">
        <v>#N/A</v>
      </c>
      <c r="BW198" s="46" t="e">
        <v>#N/A</v>
      </c>
      <c r="BX198" s="46" t="e">
        <v>#N/A</v>
      </c>
      <c r="BY198" s="46" t="e">
        <v>#N/A</v>
      </c>
      <c r="BZ198" s="46" t="e">
        <v>#N/A</v>
      </c>
      <c r="CA198" s="46" t="e">
        <v>#N/A</v>
      </c>
      <c r="CB198" s="46" t="e">
        <v>#N/A</v>
      </c>
      <c r="CC198" s="46" t="e">
        <v>#N/A</v>
      </c>
      <c r="CD198" s="46" t="e">
        <v>#N/A</v>
      </c>
      <c r="CE198" s="46" t="e">
        <v>#N/A</v>
      </c>
      <c r="CF198" s="46" t="e">
        <v>#N/A</v>
      </c>
      <c r="CG198" s="46" t="e">
        <v>#N/A</v>
      </c>
      <c r="CH198" s="46" t="e">
        <v>#N/A</v>
      </c>
      <c r="CI198" s="46" t="e">
        <v>#N/A</v>
      </c>
      <c r="CJ198" s="46" t="e">
        <v>#N/A</v>
      </c>
      <c r="CM198">
        <f t="shared" si="21"/>
        <v>0</v>
      </c>
      <c r="CP198">
        <f t="shared" si="22"/>
        <v>0</v>
      </c>
      <c r="CS198">
        <f t="shared" si="23"/>
        <v>0</v>
      </c>
      <c r="CW198" s="46"/>
      <c r="CX198" s="46" t="e">
        <f t="shared" ref="CX198:CX261" si="24">((CW198-CY198)/BT198)*100</f>
        <v>#N/A</v>
      </c>
      <c r="CY198" s="46"/>
      <c r="CZ198" s="46" t="e">
        <f t="shared" ref="CZ198:CZ261" si="25">((CW198)/BT198)*100</f>
        <v>#N/A</v>
      </c>
      <c r="DA198" s="46" t="e">
        <f t="shared" ref="DA198:DA261" si="26">DB198/(CY198+BT198)</f>
        <v>#N/A</v>
      </c>
      <c r="DB198" s="46"/>
      <c r="DC198" s="46" t="e">
        <f t="shared" ref="DC198:DC261" si="27">DD198/(CY198+BT198)</f>
        <v>#N/A</v>
      </c>
      <c r="DD198" s="46"/>
      <c r="DE198" s="995" t="s">
        <v>194</v>
      </c>
      <c r="DF198" s="995" t="s">
        <v>194</v>
      </c>
      <c r="DG198" s="995" t="s">
        <v>194</v>
      </c>
      <c r="DH198" s="995" t="s">
        <v>194</v>
      </c>
      <c r="DI198" s="995" t="s">
        <v>194</v>
      </c>
      <c r="DJ198" s="995" t="s">
        <v>194</v>
      </c>
      <c r="DK198" s="995" t="s">
        <v>194</v>
      </c>
      <c r="DL198" s="995" t="s">
        <v>194</v>
      </c>
      <c r="DM198" s="995" t="s">
        <v>194</v>
      </c>
      <c r="DN198" s="995" t="s">
        <v>194</v>
      </c>
      <c r="DO198" s="995" t="s">
        <v>194</v>
      </c>
      <c r="DP198" s="995" t="s">
        <v>194</v>
      </c>
      <c r="DQ198" s="995" t="s">
        <v>194</v>
      </c>
      <c r="DR198" s="995" t="s">
        <v>194</v>
      </c>
      <c r="DS198" s="995" t="s">
        <v>194</v>
      </c>
      <c r="DT198" s="995" t="s">
        <v>194</v>
      </c>
    </row>
    <row r="199" spans="1:124">
      <c r="A199" s="42" t="s">
        <v>93</v>
      </c>
      <c r="B199" s="42" t="s">
        <v>361</v>
      </c>
      <c r="C199" s="42" t="s">
        <v>362</v>
      </c>
      <c r="D199" s="42">
        <v>301404</v>
      </c>
      <c r="E199" s="42" t="s">
        <v>385</v>
      </c>
      <c r="F199" s="42" t="s">
        <v>149</v>
      </c>
      <c r="G199" s="42" t="s">
        <v>150</v>
      </c>
      <c r="H199" s="43" t="s">
        <v>150</v>
      </c>
      <c r="I199" s="44">
        <v>23</v>
      </c>
      <c r="J199" s="45">
        <v>168213.47399999999</v>
      </c>
      <c r="K199" s="46">
        <v>4592.0521699999999</v>
      </c>
      <c r="L199" s="47">
        <v>172805.52617</v>
      </c>
      <c r="M199" s="48">
        <v>3508712</v>
      </c>
      <c r="N199" s="49">
        <v>2606620</v>
      </c>
      <c r="O199" s="49">
        <v>902092</v>
      </c>
      <c r="P199" s="49">
        <v>0</v>
      </c>
      <c r="Q199" s="50">
        <v>8159.7920465116304</v>
      </c>
      <c r="R199" s="51">
        <v>2617.7199802636401</v>
      </c>
      <c r="S199" s="49">
        <v>27673.204792902601</v>
      </c>
      <c r="T199" s="49">
        <v>3072.8545955521699</v>
      </c>
      <c r="U199" s="49">
        <f>IFERROR(INDEX('Rentabilidad datos'!$N$2:$N$61,MATCH($C199,'Rentabilidad datos'!$C$2:$C$61,0)),"")</f>
        <v>33363.779368718446</v>
      </c>
      <c r="V199" s="50">
        <f>IFERROR(INDEX('Rentabilidad datos'!$O$2:$O$61,MATCH($C199,'Rentabilidad datos'!$C$2:$C$61,0)),"")</f>
        <v>1588.7513985104022</v>
      </c>
      <c r="W199" s="51">
        <f>IFERROR(INDEX('Rentabilidad datos'!$M$2:$M$61,MATCH($C199,'Rentabilidad datos'!$C$2:$C$61,0)),"")</f>
        <v>2501.4542944353198</v>
      </c>
      <c r="X199" s="52">
        <f>IFERROR(INDEX('Rentabilidad datos'!$P$2:$P$61,MATCH($C199,'Rentabilidad datos'!$C$2:$C$61,0)),"")</f>
        <v>0.63513109235883447</v>
      </c>
      <c r="Y199" s="43" t="s">
        <v>211</v>
      </c>
      <c r="Z199" s="53">
        <v>25.950331125827802</v>
      </c>
      <c r="AA199" s="43">
        <v>1</v>
      </c>
      <c r="AB199" s="54">
        <v>1</v>
      </c>
      <c r="AC199" s="55">
        <v>0</v>
      </c>
      <c r="AD199" s="752" t="e">
        <f>_xlfn.XLOOKUP(Table1[[#This Row],[Ruta]],#REF!,#REF!)</f>
        <v>#REF!</v>
      </c>
      <c r="AE199" s="752" t="e">
        <f>_xlfn.XLOOKUP(Table1[[#This Row],[Ruta]],#REF!,#REF!)</f>
        <v>#REF!</v>
      </c>
      <c r="AF199" s="752" t="e">
        <f>_xlfn.XLOOKUP(Table1[[#This Row],[Ruta]],#REF!,#REF!)</f>
        <v>#REF!</v>
      </c>
      <c r="AG199" s="752" t="e">
        <f>_xlfn.XLOOKUP(Table1[[#This Row],[Ruta]],#REF!,#REF!)</f>
        <v>#REF!</v>
      </c>
      <c r="AH199" s="52">
        <v>0.74289938872155936</v>
      </c>
      <c r="AI199" s="52">
        <v>0.25710061127844064</v>
      </c>
      <c r="AJ199" s="55">
        <v>0</v>
      </c>
      <c r="AK199" s="56">
        <v>7837</v>
      </c>
      <c r="AL199" s="44">
        <v>5758</v>
      </c>
      <c r="AM199" s="54">
        <v>0.50082939900472101</v>
      </c>
      <c r="AN199" s="55">
        <v>0.76227312282453297</v>
      </c>
      <c r="AO199" s="56">
        <v>2048.9344635758698</v>
      </c>
      <c r="AP199" s="48">
        <v>1024.4672317879349</v>
      </c>
      <c r="AQ199" s="55">
        <v>0.86544178024600416</v>
      </c>
      <c r="AR199" s="51">
        <v>3508710.58</v>
      </c>
      <c r="AS199" s="49">
        <v>624272.14571684995</v>
      </c>
      <c r="AT199" s="55">
        <v>0.17792067241888326</v>
      </c>
      <c r="AU199" s="51">
        <v>438677.72401724604</v>
      </c>
      <c r="AV199" s="52">
        <v>1.995586479775721E-3</v>
      </c>
      <c r="AW199" s="44">
        <v>170</v>
      </c>
      <c r="AX199" s="51">
        <v>609.36272664119497</v>
      </c>
      <c r="AY199" s="49">
        <v>397.41142810899697</v>
      </c>
      <c r="AZ199" s="49">
        <v>0</v>
      </c>
      <c r="BA199" s="42" t="s">
        <v>152</v>
      </c>
      <c r="BB199" s="50">
        <v>0</v>
      </c>
      <c r="BC199" s="57">
        <v>438677.72401724604</v>
      </c>
      <c r="BD199" s="42" t="s">
        <v>150</v>
      </c>
      <c r="BE199" s="46">
        <v>25.950331125827802</v>
      </c>
      <c r="BF199" s="46">
        <v>38.539172378641602</v>
      </c>
      <c r="BG199" s="42" t="s">
        <v>152</v>
      </c>
      <c r="BH199" s="52">
        <v>0.50082939900472101</v>
      </c>
      <c r="BI199" s="52">
        <v>0.66503705286792802</v>
      </c>
      <c r="BJ199" s="42" t="s">
        <v>152</v>
      </c>
      <c r="BK199" s="46">
        <v>401.87331667441902</v>
      </c>
      <c r="BL199" s="46">
        <v>393.04436199544199</v>
      </c>
      <c r="BM199" s="42" t="s">
        <v>150</v>
      </c>
      <c r="BN199" s="48">
        <v>1</v>
      </c>
      <c r="BO199" s="42" t="s">
        <v>155</v>
      </c>
      <c r="BP199" s="42" t="s">
        <v>152</v>
      </c>
      <c r="BQ199" s="46">
        <v>10816.799295627799</v>
      </c>
      <c r="BR199" s="46" t="e">
        <v>#N/A</v>
      </c>
      <c r="BS199" s="46" t="e">
        <v>#N/A</v>
      </c>
      <c r="BT199" s="46" t="e">
        <v>#N/A</v>
      </c>
      <c r="BU199" s="46" t="e">
        <v>#N/A</v>
      </c>
      <c r="BV199" s="46" t="e">
        <v>#N/A</v>
      </c>
      <c r="BW199" s="46" t="e">
        <v>#N/A</v>
      </c>
      <c r="BX199" s="46" t="e">
        <v>#N/A</v>
      </c>
      <c r="BY199" s="46" t="e">
        <v>#N/A</v>
      </c>
      <c r="BZ199" s="46" t="e">
        <v>#N/A</v>
      </c>
      <c r="CA199" s="46" t="e">
        <v>#N/A</v>
      </c>
      <c r="CB199" s="46" t="e">
        <v>#N/A</v>
      </c>
      <c r="CC199" s="46" t="e">
        <v>#N/A</v>
      </c>
      <c r="CD199" s="46" t="e">
        <v>#N/A</v>
      </c>
      <c r="CE199" s="46" t="e">
        <v>#N/A</v>
      </c>
      <c r="CF199" s="46" t="e">
        <v>#N/A</v>
      </c>
      <c r="CG199" s="46" t="e">
        <v>#N/A</v>
      </c>
      <c r="CH199" s="46" t="e">
        <v>#N/A</v>
      </c>
      <c r="CI199" s="46" t="e">
        <v>#N/A</v>
      </c>
      <c r="CJ199" s="46" t="e">
        <v>#N/A</v>
      </c>
      <c r="CM199">
        <f t="shared" si="21"/>
        <v>0</v>
      </c>
      <c r="CP199">
        <f t="shared" si="22"/>
        <v>0</v>
      </c>
      <c r="CS199">
        <f t="shared" si="23"/>
        <v>0</v>
      </c>
      <c r="CW199" s="46"/>
      <c r="CX199" s="46" t="e">
        <f t="shared" si="24"/>
        <v>#N/A</v>
      </c>
      <c r="CY199" s="46"/>
      <c r="CZ199" s="46" t="e">
        <f t="shared" si="25"/>
        <v>#N/A</v>
      </c>
      <c r="DA199" s="46" t="e">
        <f t="shared" si="26"/>
        <v>#N/A</v>
      </c>
      <c r="DB199" s="46"/>
      <c r="DC199" s="46" t="e">
        <f t="shared" si="27"/>
        <v>#N/A</v>
      </c>
      <c r="DD199" s="46"/>
      <c r="DE199" s="995" t="s">
        <v>194</v>
      </c>
      <c r="DF199" s="995" t="s">
        <v>194</v>
      </c>
      <c r="DG199" s="995" t="s">
        <v>194</v>
      </c>
      <c r="DH199" s="995" t="s">
        <v>194</v>
      </c>
      <c r="DI199" s="995" t="s">
        <v>194</v>
      </c>
      <c r="DJ199" s="995" t="s">
        <v>194</v>
      </c>
      <c r="DK199" s="995" t="s">
        <v>194</v>
      </c>
      <c r="DL199" s="995" t="s">
        <v>194</v>
      </c>
      <c r="DM199" s="995" t="s">
        <v>194</v>
      </c>
      <c r="DN199" s="995" t="s">
        <v>194</v>
      </c>
      <c r="DO199" s="995" t="s">
        <v>194</v>
      </c>
      <c r="DP199" s="995" t="s">
        <v>194</v>
      </c>
      <c r="DQ199" s="995" t="s">
        <v>194</v>
      </c>
      <c r="DR199" s="995" t="s">
        <v>194</v>
      </c>
      <c r="DS199" s="995" t="s">
        <v>194</v>
      </c>
      <c r="DT199" s="995" t="s">
        <v>194</v>
      </c>
    </row>
    <row r="200" spans="1:124">
      <c r="A200" s="42" t="s">
        <v>93</v>
      </c>
      <c r="B200" s="42" t="s">
        <v>361</v>
      </c>
      <c r="C200" s="42" t="s">
        <v>386</v>
      </c>
      <c r="D200" s="42">
        <v>305400</v>
      </c>
      <c r="E200" s="42" t="s">
        <v>387</v>
      </c>
      <c r="F200" s="42" t="s">
        <v>149</v>
      </c>
      <c r="G200" s="42" t="s">
        <v>150</v>
      </c>
      <c r="H200" s="43" t="s">
        <v>150</v>
      </c>
      <c r="I200" s="44">
        <v>1</v>
      </c>
      <c r="J200" s="45">
        <v>99673.259399999995</v>
      </c>
      <c r="K200" s="46">
        <v>6153.7337559999996</v>
      </c>
      <c r="L200" s="47">
        <v>105826.993156</v>
      </c>
      <c r="M200" s="48">
        <v>2124683</v>
      </c>
      <c r="N200" s="49">
        <v>1377670</v>
      </c>
      <c r="O200" s="49">
        <v>747013</v>
      </c>
      <c r="P200" s="49">
        <v>0</v>
      </c>
      <c r="Q200" s="50">
        <v>4929.6584222737802</v>
      </c>
      <c r="R200" s="51">
        <v>97.562005984760006</v>
      </c>
      <c r="S200" s="49">
        <v>1312.3712804379199</v>
      </c>
      <c r="T200" s="49">
        <v>146.326409312008</v>
      </c>
      <c r="U200" s="49">
        <f>IFERROR(INDEX('Rentabilidad datos'!$N$2:$N$61,MATCH($C200,'Rentabilidad datos'!$C$2:$C$61,0)),"")</f>
        <v>1556.2596957346921</v>
      </c>
      <c r="V200" s="50">
        <f>IFERROR(INDEX('Rentabilidad datos'!$O$2:$O$61,MATCH($C200,'Rentabilidad datos'!$C$2:$C$61,0)),"")</f>
        <v>1556.2596957346921</v>
      </c>
      <c r="W200" s="51">
        <f>IFERROR(INDEX('Rentabilidad datos'!$M$2:$M$61,MATCH($C200,'Rentabilidad datos'!$C$2:$C$61,0)),"")</f>
        <v>1586.1500308831457</v>
      </c>
      <c r="X200" s="52">
        <f>IFERROR(INDEX('Rentabilidad datos'!$P$2:$P$61,MATCH($C200,'Rentabilidad datos'!$C$2:$C$61,0)),"")</f>
        <v>0.98115541747850221</v>
      </c>
      <c r="Y200" s="43" t="s">
        <v>160</v>
      </c>
      <c r="Z200" s="53">
        <v>25.883990719257501</v>
      </c>
      <c r="AA200" s="43">
        <v>1</v>
      </c>
      <c r="AB200" s="54">
        <v>1</v>
      </c>
      <c r="AC200" s="55">
        <v>0</v>
      </c>
      <c r="AD200" s="752" t="e">
        <f>_xlfn.XLOOKUP(Table1[[#This Row],[Ruta]],#REF!,#REF!)</f>
        <v>#REF!</v>
      </c>
      <c r="AE200" s="752" t="e">
        <f>_xlfn.XLOOKUP(Table1[[#This Row],[Ruta]],#REF!,#REF!)</f>
        <v>#REF!</v>
      </c>
      <c r="AF200" s="752" t="e">
        <f>_xlfn.XLOOKUP(Table1[[#This Row],[Ruta]],#REF!,#REF!)</f>
        <v>#REF!</v>
      </c>
      <c r="AG200" s="752" t="e">
        <f>_xlfn.XLOOKUP(Table1[[#This Row],[Ruta]],#REF!,#REF!)</f>
        <v>#REF!</v>
      </c>
      <c r="AH200" s="52">
        <v>0.64841202193456626</v>
      </c>
      <c r="AI200" s="52">
        <v>0.35158797806543374</v>
      </c>
      <c r="AJ200" s="55">
        <v>0</v>
      </c>
      <c r="AK200" s="56">
        <v>11156</v>
      </c>
      <c r="AL200" s="44">
        <v>4335</v>
      </c>
      <c r="AM200" s="54">
        <v>0.38858013624955201</v>
      </c>
      <c r="AN200" s="55">
        <v>0.38858013624955201</v>
      </c>
      <c r="AO200" s="56">
        <v>0</v>
      </c>
      <c r="AP200" s="48">
        <v>0</v>
      </c>
      <c r="AQ200" s="55">
        <v>0.38858013624955179</v>
      </c>
      <c r="AR200" s="51">
        <v>2124682.7799999998</v>
      </c>
      <c r="AS200" s="49">
        <v>0</v>
      </c>
      <c r="AT200" s="55">
        <v>0</v>
      </c>
      <c r="AU200" s="51">
        <v>0</v>
      </c>
      <c r="AV200" s="52">
        <v>0</v>
      </c>
      <c r="AW200" s="44">
        <v>490</v>
      </c>
      <c r="AX200" s="51">
        <v>490.12290196078402</v>
      </c>
      <c r="AY200" s="49">
        <v>490.12290196078402</v>
      </c>
      <c r="AZ200" s="49">
        <v>0</v>
      </c>
      <c r="BA200" s="42" t="s">
        <v>152</v>
      </c>
      <c r="BB200" s="50">
        <v>0</v>
      </c>
      <c r="BC200" s="57">
        <v>0</v>
      </c>
      <c r="BD200" s="42" t="s">
        <v>150</v>
      </c>
      <c r="BE200" s="46">
        <v>25.883990719257501</v>
      </c>
      <c r="BF200" s="46">
        <v>38.539172378641602</v>
      </c>
      <c r="BG200" s="42" t="s">
        <v>152</v>
      </c>
      <c r="BH200" s="52">
        <v>0.38858013624955201</v>
      </c>
      <c r="BI200" s="52">
        <v>0.66503705286792802</v>
      </c>
      <c r="BJ200" s="42" t="s">
        <v>152</v>
      </c>
      <c r="BK200" s="46">
        <v>245.53826718329501</v>
      </c>
      <c r="BL200" s="46">
        <v>393.04436199544199</v>
      </c>
      <c r="BM200" s="42" t="s">
        <v>152</v>
      </c>
      <c r="BN200" s="48">
        <v>0</v>
      </c>
      <c r="BO200" s="42" t="s">
        <v>155</v>
      </c>
      <c r="BP200" s="42" t="s">
        <v>152</v>
      </c>
      <c r="BQ200" s="46">
        <v>0</v>
      </c>
      <c r="BR200" s="46" t="e">
        <v>#N/A</v>
      </c>
      <c r="BS200" s="46" t="e">
        <v>#N/A</v>
      </c>
      <c r="BT200" s="46" t="e">
        <v>#N/A</v>
      </c>
      <c r="BU200" s="46" t="e">
        <v>#N/A</v>
      </c>
      <c r="BV200" s="46" t="e">
        <v>#N/A</v>
      </c>
      <c r="BW200" s="46" t="e">
        <v>#N/A</v>
      </c>
      <c r="BX200" s="46" t="e">
        <v>#N/A</v>
      </c>
      <c r="BY200" s="46" t="e">
        <v>#N/A</v>
      </c>
      <c r="BZ200" s="46" t="e">
        <v>#N/A</v>
      </c>
      <c r="CA200" s="46" t="e">
        <v>#N/A</v>
      </c>
      <c r="CB200" s="46" t="e">
        <v>#N/A</v>
      </c>
      <c r="CC200" s="46" t="e">
        <v>#N/A</v>
      </c>
      <c r="CD200" s="46" t="e">
        <v>#N/A</v>
      </c>
      <c r="CE200" s="46" t="e">
        <v>#N/A</v>
      </c>
      <c r="CF200" s="46" t="e">
        <v>#N/A</v>
      </c>
      <c r="CG200" s="46" t="e">
        <v>#N/A</v>
      </c>
      <c r="CH200" s="46" t="e">
        <v>#N/A</v>
      </c>
      <c r="CI200" s="46" t="e">
        <v>#N/A</v>
      </c>
      <c r="CJ200" s="46" t="e">
        <v>#N/A</v>
      </c>
      <c r="CM200">
        <f t="shared" si="21"/>
        <v>0</v>
      </c>
      <c r="CP200">
        <f t="shared" si="22"/>
        <v>0</v>
      </c>
      <c r="CS200">
        <f t="shared" si="23"/>
        <v>0</v>
      </c>
      <c r="CW200" s="46"/>
      <c r="CX200" s="46" t="e">
        <f t="shared" si="24"/>
        <v>#N/A</v>
      </c>
      <c r="CY200" s="46"/>
      <c r="CZ200" s="46" t="e">
        <f t="shared" si="25"/>
        <v>#N/A</v>
      </c>
      <c r="DA200" s="46" t="e">
        <f t="shared" si="26"/>
        <v>#N/A</v>
      </c>
      <c r="DB200" s="46"/>
      <c r="DC200" s="46" t="e">
        <f t="shared" si="27"/>
        <v>#N/A</v>
      </c>
      <c r="DD200" s="46"/>
      <c r="DE200" s="995" t="s">
        <v>194</v>
      </c>
      <c r="DF200" s="995" t="s">
        <v>194</v>
      </c>
      <c r="DG200" s="995" t="s">
        <v>194</v>
      </c>
      <c r="DH200" s="995" t="s">
        <v>194</v>
      </c>
      <c r="DI200" s="995" t="s">
        <v>194</v>
      </c>
      <c r="DJ200" s="995" t="s">
        <v>194</v>
      </c>
      <c r="DK200" s="995" t="s">
        <v>194</v>
      </c>
      <c r="DL200" s="995" t="s">
        <v>194</v>
      </c>
      <c r="DM200" s="995" t="s">
        <v>194</v>
      </c>
      <c r="DN200" s="995" t="s">
        <v>194</v>
      </c>
      <c r="DO200" s="995" t="s">
        <v>194</v>
      </c>
      <c r="DP200" s="995" t="s">
        <v>194</v>
      </c>
      <c r="DQ200" s="995" t="s">
        <v>194</v>
      </c>
      <c r="DR200" s="995" t="s">
        <v>194</v>
      </c>
      <c r="DS200" s="995" t="s">
        <v>194</v>
      </c>
      <c r="DT200" s="995" t="s">
        <v>194</v>
      </c>
    </row>
    <row r="201" spans="1:124">
      <c r="A201" s="42" t="s">
        <v>93</v>
      </c>
      <c r="B201" s="42" t="s">
        <v>388</v>
      </c>
      <c r="C201" s="42" t="s">
        <v>389</v>
      </c>
      <c r="D201" s="42">
        <v>217340</v>
      </c>
      <c r="E201" s="42" t="s">
        <v>390</v>
      </c>
      <c r="F201" s="42" t="s">
        <v>149</v>
      </c>
      <c r="G201" s="42" t="s">
        <v>150</v>
      </c>
      <c r="H201" s="43" t="s">
        <v>150</v>
      </c>
      <c r="I201" s="44">
        <v>13</v>
      </c>
      <c r="J201" s="45">
        <v>140635.34239999999</v>
      </c>
      <c r="K201" s="46">
        <v>10459.930883999999</v>
      </c>
      <c r="L201" s="47">
        <v>151095.273284</v>
      </c>
      <c r="M201" s="48">
        <v>3162868</v>
      </c>
      <c r="N201" s="49">
        <v>2042064</v>
      </c>
      <c r="O201" s="49">
        <v>1120804</v>
      </c>
      <c r="P201" s="49">
        <v>0</v>
      </c>
      <c r="Q201" s="50">
        <v>7155.3190825688098</v>
      </c>
      <c r="R201" s="51">
        <v>3204.3830289684602</v>
      </c>
      <c r="S201" s="49">
        <v>7796.8716590759504</v>
      </c>
      <c r="T201" s="49">
        <v>1771.5728801298601</v>
      </c>
      <c r="U201" s="49">
        <f>IFERROR(INDEX('Rentabilidad datos'!$N$2:$N$61,MATCH($C201,'Rentabilidad datos'!$C$2:$C$61,0)),"")</f>
        <v>12772.827568174269</v>
      </c>
      <c r="V201" s="50">
        <f>IFERROR(INDEX('Rentabilidad datos'!$O$2:$O$61,MATCH($C201,'Rentabilidad datos'!$C$2:$C$61,0)),"")</f>
        <v>1064.4022973478557</v>
      </c>
      <c r="W201" s="51">
        <f>IFERROR(INDEX('Rentabilidad datos'!$M$2:$M$61,MATCH($C201,'Rentabilidad datos'!$C$2:$C$61,0)),"")</f>
        <v>1969.9340858657986</v>
      </c>
      <c r="X201" s="52">
        <f>IFERROR(INDEX('Rentabilidad datos'!$P$2:$P$61,MATCH($C201,'Rentabilidad datos'!$C$2:$C$61,0)),"")</f>
        <v>0.5403238133625391</v>
      </c>
      <c r="Y201" s="43" t="s">
        <v>211</v>
      </c>
      <c r="Z201" s="53">
        <v>54.589449541284402</v>
      </c>
      <c r="AA201" s="43">
        <v>2</v>
      </c>
      <c r="AB201" s="54">
        <v>0.86309008153359545</v>
      </c>
      <c r="AC201" s="55">
        <v>0.13690991846640455</v>
      </c>
      <c r="AD201" s="752" t="e">
        <f>_xlfn.XLOOKUP(Table1[[#This Row],[Ruta]],#REF!,#REF!)</f>
        <v>#REF!</v>
      </c>
      <c r="AE201" s="752" t="e">
        <f>_xlfn.XLOOKUP(Table1[[#This Row],[Ruta]],#REF!,#REF!)</f>
        <v>#REF!</v>
      </c>
      <c r="AF201" s="752" t="e">
        <f>_xlfn.XLOOKUP(Table1[[#This Row],[Ruta]],#REF!,#REF!)</f>
        <v>#REF!</v>
      </c>
      <c r="AG201" s="752" t="e">
        <f>_xlfn.XLOOKUP(Table1[[#This Row],[Ruta]],#REF!,#REF!)</f>
        <v>#REF!</v>
      </c>
      <c r="AH201" s="52">
        <v>0.64563680811213109</v>
      </c>
      <c r="AI201" s="52">
        <v>0.35436319188786886</v>
      </c>
      <c r="AJ201" s="55">
        <v>0</v>
      </c>
      <c r="AK201" s="56">
        <v>23801</v>
      </c>
      <c r="AL201" s="44">
        <v>13898</v>
      </c>
      <c r="AM201" s="54">
        <v>0.58392504516617005</v>
      </c>
      <c r="AN201" s="55">
        <v>0.50763802729528495</v>
      </c>
      <c r="AO201" s="56">
        <v>0</v>
      </c>
      <c r="AP201" s="48">
        <v>0</v>
      </c>
      <c r="AQ201" s="55">
        <v>0.5839250451661695</v>
      </c>
      <c r="AR201" s="51">
        <v>3119719.12</v>
      </c>
      <c r="AS201" s="49">
        <v>0</v>
      </c>
      <c r="AT201" s="55">
        <v>0</v>
      </c>
      <c r="AU201" s="51">
        <v>0</v>
      </c>
      <c r="AV201" s="52">
        <v>0</v>
      </c>
      <c r="AW201" s="44">
        <v>490</v>
      </c>
      <c r="AX201" s="51">
        <v>224.472522665132</v>
      </c>
      <c r="AY201" s="49">
        <v>265.02091257220798</v>
      </c>
      <c r="AZ201" s="49">
        <v>40.548389907075972</v>
      </c>
      <c r="BA201" s="42" t="s">
        <v>150</v>
      </c>
      <c r="BB201" s="50">
        <v>198001.07562354181</v>
      </c>
      <c r="BC201" s="57">
        <v>198001.07562354181</v>
      </c>
      <c r="BD201" s="42" t="s">
        <v>150</v>
      </c>
      <c r="BE201" s="46">
        <v>54.589449541284402</v>
      </c>
      <c r="BF201" s="46">
        <v>53.200688073394502</v>
      </c>
      <c r="BG201" s="42" t="s">
        <v>150</v>
      </c>
      <c r="BH201" s="52">
        <v>0.58392504516617005</v>
      </c>
      <c r="BI201" s="52">
        <v>0.59727423215011399</v>
      </c>
      <c r="BJ201" s="42" t="s">
        <v>152</v>
      </c>
      <c r="BK201" s="46">
        <v>346.54879193578</v>
      </c>
      <c r="BL201" s="46">
        <v>326.63180315825701</v>
      </c>
      <c r="BM201" s="42" t="s">
        <v>150</v>
      </c>
      <c r="BN201" s="48">
        <v>2</v>
      </c>
      <c r="BO201" s="42" t="s">
        <v>161</v>
      </c>
      <c r="BP201" s="42" t="s">
        <v>152</v>
      </c>
      <c r="BQ201" s="46">
        <v>0</v>
      </c>
      <c r="BR201" s="46">
        <v>419</v>
      </c>
      <c r="BS201" s="46">
        <v>16196</v>
      </c>
      <c r="BT201" s="46">
        <v>5630</v>
      </c>
      <c r="BU201" s="46">
        <v>2.8767317939609236</v>
      </c>
      <c r="BV201" s="46">
        <v>13.436754176610979</v>
      </c>
      <c r="BW201" s="46">
        <v>2120</v>
      </c>
      <c r="BX201" s="46">
        <v>3182</v>
      </c>
      <c r="BY201" s="46">
        <v>5302</v>
      </c>
      <c r="BZ201" s="46">
        <v>0.94174067495559499</v>
      </c>
      <c r="CA201" s="46">
        <v>0.37655417406749558</v>
      </c>
      <c r="CB201" s="46">
        <v>0.56518650088809952</v>
      </c>
      <c r="CC201" s="46">
        <v>0</v>
      </c>
      <c r="CD201" s="46">
        <v>0</v>
      </c>
      <c r="CE201" s="46">
        <v>0</v>
      </c>
      <c r="CF201" s="46">
        <v>5.8259325044404973E-2</v>
      </c>
      <c r="CG201" s="46">
        <v>0</v>
      </c>
      <c r="CH201" s="46">
        <v>0</v>
      </c>
      <c r="CI201" s="46">
        <v>0.67918004445542102</v>
      </c>
      <c r="CJ201" s="46">
        <v>0.98789824648061242</v>
      </c>
      <c r="CK201">
        <v>268</v>
      </c>
      <c r="CL201">
        <v>412.57</v>
      </c>
      <c r="CM201">
        <f t="shared" si="21"/>
        <v>144.57</v>
      </c>
      <c r="CN201">
        <v>6.28</v>
      </c>
      <c r="CO201">
        <v>9.4499999999999993</v>
      </c>
      <c r="CP201">
        <f t="shared" si="22"/>
        <v>3.169999999999999</v>
      </c>
      <c r="CQ201">
        <v>609.19000000000005</v>
      </c>
      <c r="CR201">
        <v>346.55</v>
      </c>
      <c r="CS201">
        <f t="shared" si="23"/>
        <v>262.64000000000004</v>
      </c>
      <c r="CT201" t="s">
        <v>152</v>
      </c>
      <c r="CU201">
        <v>67.61</v>
      </c>
      <c r="CV201">
        <v>266</v>
      </c>
      <c r="CW201" s="46">
        <v>5302</v>
      </c>
      <c r="CX201" s="46">
        <f t="shared" si="24"/>
        <v>91.606216696269982</v>
      </c>
      <c r="CY201" s="46">
        <v>144.57</v>
      </c>
      <c r="CZ201" s="46">
        <f t="shared" si="25"/>
        <v>94.174067495559498</v>
      </c>
      <c r="DA201" s="46">
        <f t="shared" si="26"/>
        <v>161.89057020695915</v>
      </c>
      <c r="DB201" s="46">
        <v>934848.43</v>
      </c>
      <c r="DC201" s="46">
        <f t="shared" si="27"/>
        <v>7.5954521289031049</v>
      </c>
      <c r="DD201" s="46">
        <v>43860.47</v>
      </c>
      <c r="DE201" s="995">
        <v>5302</v>
      </c>
      <c r="DF201" s="995">
        <v>91.772000000000006</v>
      </c>
      <c r="DG201" s="995">
        <v>135.19999999999999</v>
      </c>
      <c r="DH201" s="995">
        <v>94.174000000000007</v>
      </c>
      <c r="DI201" s="995">
        <v>450.67099999999999</v>
      </c>
      <c r="DJ201" s="995">
        <v>2598218</v>
      </c>
      <c r="DK201" s="995">
        <v>21.178999999999998</v>
      </c>
      <c r="DL201" s="995">
        <v>122100</v>
      </c>
      <c r="DM201" s="995">
        <v>5302</v>
      </c>
      <c r="DN201" s="995">
        <v>91.885000000000005</v>
      </c>
      <c r="DO201" s="995">
        <v>128.9</v>
      </c>
      <c r="DP201" s="995">
        <v>94.174000000000007</v>
      </c>
      <c r="DQ201" s="995">
        <v>444.74900000000002</v>
      </c>
      <c r="DR201" s="995">
        <v>2561261</v>
      </c>
      <c r="DS201" s="995">
        <v>20.899000000000001</v>
      </c>
      <c r="DT201" s="995">
        <v>120356.5</v>
      </c>
    </row>
    <row r="202" spans="1:124">
      <c r="A202" s="42" t="s">
        <v>93</v>
      </c>
      <c r="B202" s="42" t="s">
        <v>388</v>
      </c>
      <c r="C202" s="42" t="s">
        <v>389</v>
      </c>
      <c r="D202" s="42">
        <v>217341</v>
      </c>
      <c r="E202" s="42" t="s">
        <v>391</v>
      </c>
      <c r="F202" s="42" t="s">
        <v>149</v>
      </c>
      <c r="G202" s="42" t="s">
        <v>150</v>
      </c>
      <c r="H202" s="43" t="s">
        <v>150</v>
      </c>
      <c r="I202" s="44">
        <v>13</v>
      </c>
      <c r="J202" s="45">
        <v>19658.5144</v>
      </c>
      <c r="K202" s="46">
        <v>2246.8765960000001</v>
      </c>
      <c r="L202" s="47">
        <v>21905.390995999998</v>
      </c>
      <c r="M202" s="48">
        <v>454633</v>
      </c>
      <c r="N202" s="49">
        <v>257863</v>
      </c>
      <c r="O202" s="49">
        <v>196770</v>
      </c>
      <c r="P202" s="49">
        <v>0</v>
      </c>
      <c r="Q202" s="50">
        <v>1299.6956919060101</v>
      </c>
      <c r="R202" s="51">
        <v>3204.3830289684602</v>
      </c>
      <c r="S202" s="49">
        <v>7796.8716590759504</v>
      </c>
      <c r="T202" s="49">
        <v>1771.5728801298601</v>
      </c>
      <c r="U202" s="49">
        <f>IFERROR(INDEX('Rentabilidad datos'!$N$2:$N$61,MATCH($C202,'Rentabilidad datos'!$C$2:$C$61,0)),"")</f>
        <v>12772.827568174269</v>
      </c>
      <c r="V202" s="50">
        <f>IFERROR(INDEX('Rentabilidad datos'!$O$2:$O$61,MATCH($C202,'Rentabilidad datos'!$C$2:$C$61,0)),"")</f>
        <v>1064.4022973478557</v>
      </c>
      <c r="W202" s="51">
        <f>IFERROR(INDEX('Rentabilidad datos'!$M$2:$M$61,MATCH($C202,'Rentabilidad datos'!$C$2:$C$61,0)),"")</f>
        <v>1969.9340858657986</v>
      </c>
      <c r="X202" s="52">
        <f>IFERROR(INDEX('Rentabilidad datos'!$P$2:$P$61,MATCH($C202,'Rentabilidad datos'!$C$2:$C$61,0)),"")</f>
        <v>0.5403238133625391</v>
      </c>
      <c r="Y202" s="43" t="s">
        <v>211</v>
      </c>
      <c r="Z202" s="53">
        <v>66.0750670241287</v>
      </c>
      <c r="AA202" s="43">
        <v>2</v>
      </c>
      <c r="AB202" s="54">
        <v>0.82718808357510343</v>
      </c>
      <c r="AC202" s="55">
        <v>0.17281191642489657</v>
      </c>
      <c r="AD202" s="752" t="e">
        <f>_xlfn.XLOOKUP(Table1[[#This Row],[Ruta]],#REF!,#REF!)</f>
        <v>#REF!</v>
      </c>
      <c r="AE202" s="752" t="e">
        <f>_xlfn.XLOOKUP(Table1[[#This Row],[Ruta]],#REF!,#REF!)</f>
        <v>#REF!</v>
      </c>
      <c r="AF202" s="752" t="e">
        <f>_xlfn.XLOOKUP(Table1[[#This Row],[Ruta]],#REF!,#REF!)</f>
        <v>#REF!</v>
      </c>
      <c r="AG202" s="752" t="e">
        <f>_xlfn.XLOOKUP(Table1[[#This Row],[Ruta]],#REF!,#REF!)</f>
        <v>#REF!</v>
      </c>
      <c r="AH202" s="52">
        <v>0.56718935932939318</v>
      </c>
      <c r="AI202" s="52">
        <v>0.43281064067060682</v>
      </c>
      <c r="AJ202" s="55">
        <v>0</v>
      </c>
      <c r="AK202" s="56">
        <v>24646</v>
      </c>
      <c r="AL202" s="44">
        <v>2690</v>
      </c>
      <c r="AM202" s="54">
        <v>0.107644242473424</v>
      </c>
      <c r="AN202" s="55">
        <v>0.50763802729528495</v>
      </c>
      <c r="AO202" s="56">
        <v>9858.2468207195998</v>
      </c>
      <c r="AP202" s="48">
        <v>4929.1234103597999</v>
      </c>
      <c r="AQ202" s="55">
        <v>0.30914239269495253</v>
      </c>
      <c r="AR202" s="51">
        <v>497783.45</v>
      </c>
      <c r="AS202" s="49">
        <v>912132.36307980004</v>
      </c>
      <c r="AT202" s="55">
        <v>1.8323878848921153</v>
      </c>
      <c r="AU202" s="51">
        <v>640957.8767587787</v>
      </c>
      <c r="AV202" s="52">
        <v>2.9157780368972781E-3</v>
      </c>
      <c r="AW202" s="44">
        <v>111</v>
      </c>
      <c r="AX202" s="51">
        <v>185.04960966542799</v>
      </c>
      <c r="AY202" s="49">
        <v>265.02091257220798</v>
      </c>
      <c r="AZ202" s="49">
        <v>79.971302906779982</v>
      </c>
      <c r="BA202" s="42" t="s">
        <v>150</v>
      </c>
      <c r="BB202" s="50">
        <v>75583.688179732344</v>
      </c>
      <c r="BC202" s="57">
        <v>716541.564938511</v>
      </c>
      <c r="BD202" s="42" t="s">
        <v>150</v>
      </c>
      <c r="BE202" s="46">
        <v>66.0750670241287</v>
      </c>
      <c r="BF202" s="46">
        <v>53.200688073394502</v>
      </c>
      <c r="BG202" s="42" t="s">
        <v>150</v>
      </c>
      <c r="BH202" s="52">
        <v>0.107644242473424</v>
      </c>
      <c r="BI202" s="52">
        <v>0.59727423215011399</v>
      </c>
      <c r="BJ202" s="42" t="s">
        <v>152</v>
      </c>
      <c r="BK202" s="46">
        <v>57.1942323655352</v>
      </c>
      <c r="BL202" s="46">
        <v>326.63180315825701</v>
      </c>
      <c r="BM202" s="42" t="s">
        <v>152</v>
      </c>
      <c r="BN202" s="48">
        <v>1</v>
      </c>
      <c r="BO202" s="42" t="s">
        <v>155</v>
      </c>
      <c r="BP202" s="42" t="s">
        <v>152</v>
      </c>
      <c r="BQ202" s="46">
        <v>8025.5971355725496</v>
      </c>
      <c r="BR202" s="46">
        <v>313</v>
      </c>
      <c r="BS202" s="46">
        <v>20073</v>
      </c>
      <c r="BT202" s="46">
        <v>6207</v>
      </c>
      <c r="BU202" s="46">
        <v>3.2339294345094247</v>
      </c>
      <c r="BV202" s="46">
        <v>19.830670926517573</v>
      </c>
      <c r="BW202" s="46">
        <v>923</v>
      </c>
      <c r="BX202" s="46">
        <v>2915</v>
      </c>
      <c r="BY202" s="46">
        <v>3838</v>
      </c>
      <c r="BZ202" s="46">
        <v>0.61833413887546318</v>
      </c>
      <c r="CA202" s="46">
        <v>0.148703077170936</v>
      </c>
      <c r="CB202" s="46">
        <v>0.46963106170452712</v>
      </c>
      <c r="CC202" s="46">
        <v>0</v>
      </c>
      <c r="CD202" s="46">
        <v>0</v>
      </c>
      <c r="CE202" s="46">
        <v>0</v>
      </c>
      <c r="CF202" s="46">
        <v>0.38166586112453682</v>
      </c>
      <c r="CG202" s="46">
        <v>0</v>
      </c>
      <c r="CH202" s="46">
        <v>0</v>
      </c>
      <c r="CI202" s="46">
        <v>3.4374532954715291</v>
      </c>
      <c r="CJ202" s="46">
        <v>0.59781796442983104</v>
      </c>
      <c r="CK202">
        <v>288</v>
      </c>
      <c r="CL202">
        <v>443.77</v>
      </c>
      <c r="CM202">
        <f t="shared" ref="CM202:CM265" si="28">CL202-CK202</f>
        <v>155.76999999999998</v>
      </c>
      <c r="CN202">
        <v>7.41</v>
      </c>
      <c r="CO202">
        <v>9.4499999999999993</v>
      </c>
      <c r="CP202">
        <f t="shared" ref="CP202:CP265" si="29">CO202-CN202</f>
        <v>2.0399999999999991</v>
      </c>
      <c r="CQ202">
        <v>609.19000000000005</v>
      </c>
      <c r="CR202">
        <v>57.19</v>
      </c>
      <c r="CS202">
        <f t="shared" ref="CS202:CS265" si="30">CQ202-CR202</f>
        <v>552</v>
      </c>
      <c r="CT202" t="s">
        <v>152</v>
      </c>
      <c r="CU202">
        <v>78.41</v>
      </c>
      <c r="CV202">
        <v>210</v>
      </c>
      <c r="CW202" s="46">
        <v>3838</v>
      </c>
      <c r="CX202" s="46">
        <f t="shared" si="24"/>
        <v>59.32382793620107</v>
      </c>
      <c r="CY202" s="46">
        <v>155.77000000000001</v>
      </c>
      <c r="CZ202" s="46">
        <f t="shared" si="25"/>
        <v>61.833413887546321</v>
      </c>
      <c r="DA202" s="46">
        <f t="shared" si="26"/>
        <v>213.38008446007004</v>
      </c>
      <c r="DB202" s="46">
        <v>1357688.4</v>
      </c>
      <c r="DC202" s="46">
        <f t="shared" si="27"/>
        <v>10.430713352832177</v>
      </c>
      <c r="DD202" s="46">
        <v>66368.23</v>
      </c>
      <c r="DE202" s="995">
        <v>3838</v>
      </c>
      <c r="DF202" s="995">
        <v>59.712000000000003</v>
      </c>
      <c r="DG202" s="995">
        <v>131.69999999999999</v>
      </c>
      <c r="DH202" s="995">
        <v>61.832999999999998</v>
      </c>
      <c r="DI202" s="995">
        <v>429.96899999999999</v>
      </c>
      <c r="DJ202" s="995">
        <v>2725430</v>
      </c>
      <c r="DK202" s="995">
        <v>20.803000000000001</v>
      </c>
      <c r="DL202" s="995">
        <v>131861.6</v>
      </c>
      <c r="DM202" s="995">
        <v>3838</v>
      </c>
      <c r="DN202" s="995">
        <v>59.939</v>
      </c>
      <c r="DO202" s="995">
        <v>117.6</v>
      </c>
      <c r="DP202" s="995">
        <v>61.832999999999998</v>
      </c>
      <c r="DQ202" s="995">
        <v>418.81799999999998</v>
      </c>
      <c r="DR202" s="995">
        <v>2648860</v>
      </c>
      <c r="DS202" s="995">
        <v>20.242999999999999</v>
      </c>
      <c r="DT202" s="995">
        <v>128030.8</v>
      </c>
    </row>
    <row r="203" spans="1:124">
      <c r="A203" s="42" t="s">
        <v>93</v>
      </c>
      <c r="B203" s="42" t="s">
        <v>388</v>
      </c>
      <c r="C203" s="42" t="s">
        <v>389</v>
      </c>
      <c r="D203" s="42">
        <v>217342</v>
      </c>
      <c r="E203" s="42" t="s">
        <v>392</v>
      </c>
      <c r="F203" s="42" t="s">
        <v>149</v>
      </c>
      <c r="G203" s="42" t="s">
        <v>150</v>
      </c>
      <c r="H203" s="43" t="s">
        <v>150</v>
      </c>
      <c r="I203" s="44">
        <v>13</v>
      </c>
      <c r="J203" s="45">
        <v>128181.404064</v>
      </c>
      <c r="K203" s="46">
        <v>11930.625865</v>
      </c>
      <c r="L203" s="47">
        <v>140112.02992900001</v>
      </c>
      <c r="M203" s="48">
        <v>3103782</v>
      </c>
      <c r="N203" s="49">
        <v>1812963</v>
      </c>
      <c r="O203" s="49">
        <v>1290819</v>
      </c>
      <c r="P203" s="49">
        <v>0</v>
      </c>
      <c r="Q203" s="50">
        <v>7070.69550458716</v>
      </c>
      <c r="R203" s="51">
        <v>3204.3830289684602</v>
      </c>
      <c r="S203" s="49">
        <v>7796.8716590759504</v>
      </c>
      <c r="T203" s="49">
        <v>1771.5728801298601</v>
      </c>
      <c r="U203" s="49">
        <f>IFERROR(INDEX('Rentabilidad datos'!$N$2:$N$61,MATCH($C203,'Rentabilidad datos'!$C$2:$C$61,0)),"")</f>
        <v>12772.827568174269</v>
      </c>
      <c r="V203" s="50">
        <f>IFERROR(INDEX('Rentabilidad datos'!$O$2:$O$61,MATCH($C203,'Rentabilidad datos'!$C$2:$C$61,0)),"")</f>
        <v>1064.4022973478557</v>
      </c>
      <c r="W203" s="51">
        <f>IFERROR(INDEX('Rentabilidad datos'!$M$2:$M$61,MATCH($C203,'Rentabilidad datos'!$C$2:$C$61,0)),"")</f>
        <v>1969.9340858657986</v>
      </c>
      <c r="X203" s="52">
        <f>IFERROR(INDEX('Rentabilidad datos'!$P$2:$P$61,MATCH($C203,'Rentabilidad datos'!$C$2:$C$61,0)),"")</f>
        <v>0.5403238133625391</v>
      </c>
      <c r="Y203" s="43" t="s">
        <v>211</v>
      </c>
      <c r="Z203" s="53">
        <v>59.155963302752298</v>
      </c>
      <c r="AA203" s="43">
        <v>2</v>
      </c>
      <c r="AB203" s="54">
        <v>0.7663473143410201</v>
      </c>
      <c r="AC203" s="55">
        <v>0.23365268565897993</v>
      </c>
      <c r="AD203" s="752" t="e">
        <f>_xlfn.XLOOKUP(Table1[[#This Row],[Ruta]],#REF!,#REF!)</f>
        <v>#REF!</v>
      </c>
      <c r="AE203" s="752" t="e">
        <f>_xlfn.XLOOKUP(Table1[[#This Row],[Ruta]],#REF!,#REF!)</f>
        <v>#REF!</v>
      </c>
      <c r="AF203" s="752" t="e">
        <f>_xlfn.XLOOKUP(Table1[[#This Row],[Ruta]],#REF!,#REF!)</f>
        <v>#REF!</v>
      </c>
      <c r="AG203" s="752" t="e">
        <f>_xlfn.XLOOKUP(Table1[[#This Row],[Ruta]],#REF!,#REF!)</f>
        <v>#REF!</v>
      </c>
      <c r="AH203" s="52">
        <v>0.58411415492454044</v>
      </c>
      <c r="AI203" s="52">
        <v>0.41588584507545956</v>
      </c>
      <c r="AJ203" s="55">
        <v>0</v>
      </c>
      <c r="AK203" s="56">
        <v>25792</v>
      </c>
      <c r="AL203" s="44">
        <v>13093</v>
      </c>
      <c r="AM203" s="54">
        <v>0.50763802729528495</v>
      </c>
      <c r="AN203" s="55">
        <v>0.50763802729528495</v>
      </c>
      <c r="AO203" s="56">
        <v>0</v>
      </c>
      <c r="AP203" s="48">
        <v>0</v>
      </c>
      <c r="AQ203" s="55">
        <v>0.5076380272952854</v>
      </c>
      <c r="AR203" s="51">
        <v>3082823.24</v>
      </c>
      <c r="AS203" s="49">
        <v>0</v>
      </c>
      <c r="AT203" s="55">
        <v>0</v>
      </c>
      <c r="AU203" s="51">
        <v>0</v>
      </c>
      <c r="AV203" s="52">
        <v>0</v>
      </c>
      <c r="AW203" s="44">
        <v>490</v>
      </c>
      <c r="AX203" s="51">
        <v>235.45583441533699</v>
      </c>
      <c r="AY203" s="49">
        <v>265.02091257220798</v>
      </c>
      <c r="AZ203" s="49">
        <v>29.565078156870982</v>
      </c>
      <c r="BA203" s="42" t="s">
        <v>150</v>
      </c>
      <c r="BB203" s="50">
        <v>136006.55102710417</v>
      </c>
      <c r="BC203" s="57">
        <v>136006.55102710417</v>
      </c>
      <c r="BD203" s="42" t="s">
        <v>150</v>
      </c>
      <c r="BE203" s="46">
        <v>59.155963302752298</v>
      </c>
      <c r="BF203" s="46">
        <v>53.200688073394502</v>
      </c>
      <c r="BG203" s="42" t="s">
        <v>150</v>
      </c>
      <c r="BH203" s="52">
        <v>0.50763802729528495</v>
      </c>
      <c r="BI203" s="52">
        <v>0.59727423215011399</v>
      </c>
      <c r="BJ203" s="42" t="s">
        <v>152</v>
      </c>
      <c r="BK203" s="46">
        <v>321.35786680963298</v>
      </c>
      <c r="BL203" s="46">
        <v>326.63180315825701</v>
      </c>
      <c r="BM203" s="42" t="s">
        <v>152</v>
      </c>
      <c r="BN203" s="48">
        <v>1</v>
      </c>
      <c r="BO203" s="42" t="s">
        <v>155</v>
      </c>
      <c r="BP203" s="42" t="s">
        <v>152</v>
      </c>
      <c r="BQ203" s="46">
        <v>0</v>
      </c>
      <c r="BR203" s="46">
        <v>631</v>
      </c>
      <c r="BS203" s="46">
        <v>37392</v>
      </c>
      <c r="BT203" s="46">
        <v>11040</v>
      </c>
      <c r="BU203" s="46">
        <v>3.3869565217391306</v>
      </c>
      <c r="BV203" s="46">
        <v>17.496038034865293</v>
      </c>
      <c r="BW203" s="46">
        <v>1002</v>
      </c>
      <c r="BX203" s="46">
        <v>1624</v>
      </c>
      <c r="BY203" s="46">
        <v>2626</v>
      </c>
      <c r="BZ203" s="46">
        <v>0.23786231884057971</v>
      </c>
      <c r="CA203" s="46">
        <v>9.0760869565217395E-2</v>
      </c>
      <c r="CB203" s="46">
        <v>0.14710144927536231</v>
      </c>
      <c r="CC203" s="46">
        <v>0</v>
      </c>
      <c r="CD203" s="46">
        <v>0</v>
      </c>
      <c r="CE203" s="46">
        <v>0</v>
      </c>
      <c r="CF203" s="46">
        <v>0.76213768115942027</v>
      </c>
      <c r="CG203" s="46">
        <v>0</v>
      </c>
      <c r="CH203" s="46">
        <v>0</v>
      </c>
      <c r="CI203" s="46">
        <v>4.8940949935815148</v>
      </c>
      <c r="CJ203" s="46">
        <v>0.69533590072742835</v>
      </c>
      <c r="CK203">
        <v>264</v>
      </c>
      <c r="CL203">
        <v>373.76</v>
      </c>
      <c r="CM203">
        <f t="shared" si="28"/>
        <v>109.75999999999999</v>
      </c>
      <c r="CN203">
        <v>6.36</v>
      </c>
      <c r="CO203">
        <v>9.4499999999999993</v>
      </c>
      <c r="CP203">
        <f t="shared" si="29"/>
        <v>3.089999999999999</v>
      </c>
      <c r="CQ203">
        <v>609.19000000000005</v>
      </c>
      <c r="CR203">
        <v>321.36</v>
      </c>
      <c r="CS203">
        <f t="shared" si="30"/>
        <v>287.83000000000004</v>
      </c>
      <c r="CT203" t="s">
        <v>152</v>
      </c>
      <c r="CU203">
        <v>69.94</v>
      </c>
      <c r="CV203">
        <v>127</v>
      </c>
      <c r="CW203" s="46">
        <v>2626</v>
      </c>
      <c r="CX203" s="46">
        <f t="shared" si="24"/>
        <v>22.792028985507244</v>
      </c>
      <c r="CY203" s="46">
        <v>109.76</v>
      </c>
      <c r="CZ203" s="46">
        <f t="shared" si="25"/>
        <v>23.786231884057969</v>
      </c>
      <c r="DA203" s="46">
        <f t="shared" si="26"/>
        <v>89.44387861263381</v>
      </c>
      <c r="DB203" s="46">
        <v>997277.78</v>
      </c>
      <c r="DC203" s="46">
        <f t="shared" si="27"/>
        <v>4.3280510073759437</v>
      </c>
      <c r="DD203" s="46">
        <v>48256.73</v>
      </c>
      <c r="DE203" s="995">
        <v>2626</v>
      </c>
      <c r="DF203" s="995">
        <v>22.94</v>
      </c>
      <c r="DG203" s="995">
        <v>93.4</v>
      </c>
      <c r="DH203" s="995">
        <v>23.786000000000001</v>
      </c>
      <c r="DI203" s="995">
        <v>212.33600000000001</v>
      </c>
      <c r="DJ203" s="995">
        <v>2364020</v>
      </c>
      <c r="DK203" s="995">
        <v>10.496</v>
      </c>
      <c r="DL203" s="995">
        <v>116851.5</v>
      </c>
      <c r="DM203" s="995">
        <v>2626</v>
      </c>
      <c r="DN203" s="995">
        <v>23.024000000000001</v>
      </c>
      <c r="DO203" s="995">
        <v>84.1</v>
      </c>
      <c r="DP203" s="995">
        <v>23.786000000000001</v>
      </c>
      <c r="DQ203" s="995">
        <v>207.672</v>
      </c>
      <c r="DR203" s="995">
        <v>2310172</v>
      </c>
      <c r="DS203" s="995">
        <v>10.276999999999999</v>
      </c>
      <c r="DT203" s="995">
        <v>114317.9</v>
      </c>
    </row>
    <row r="204" spans="1:124">
      <c r="A204" s="42" t="s">
        <v>93</v>
      </c>
      <c r="B204" s="42" t="s">
        <v>388</v>
      </c>
      <c r="C204" s="42" t="s">
        <v>389</v>
      </c>
      <c r="D204" s="42">
        <v>217343</v>
      </c>
      <c r="E204" s="42" t="s">
        <v>393</v>
      </c>
      <c r="F204" s="42" t="s">
        <v>149</v>
      </c>
      <c r="G204" s="42" t="s">
        <v>150</v>
      </c>
      <c r="H204" s="43" t="s">
        <v>150</v>
      </c>
      <c r="I204" s="44">
        <v>13</v>
      </c>
      <c r="J204" s="45">
        <v>124562.6312</v>
      </c>
      <c r="K204" s="46">
        <v>12095.846914</v>
      </c>
      <c r="L204" s="47">
        <v>136658.478114</v>
      </c>
      <c r="M204" s="48">
        <v>2844693</v>
      </c>
      <c r="N204" s="49">
        <v>1724518</v>
      </c>
      <c r="O204" s="49">
        <v>1120175</v>
      </c>
      <c r="P204" s="49">
        <v>0</v>
      </c>
      <c r="Q204" s="50">
        <v>6596.7538532110102</v>
      </c>
      <c r="R204" s="51">
        <v>3204.3830289684602</v>
      </c>
      <c r="S204" s="49">
        <v>7796.8716590759504</v>
      </c>
      <c r="T204" s="49">
        <v>1771.5728801298601</v>
      </c>
      <c r="U204" s="49">
        <f>IFERROR(INDEX('Rentabilidad datos'!$N$2:$N$61,MATCH($C204,'Rentabilidad datos'!$C$2:$C$61,0)),"")</f>
        <v>12772.827568174269</v>
      </c>
      <c r="V204" s="50">
        <f>IFERROR(INDEX('Rentabilidad datos'!$O$2:$O$61,MATCH($C204,'Rentabilidad datos'!$C$2:$C$61,0)),"")</f>
        <v>1064.4022973478557</v>
      </c>
      <c r="W204" s="51">
        <f>IFERROR(INDEX('Rentabilidad datos'!$M$2:$M$61,MATCH($C204,'Rentabilidad datos'!$C$2:$C$61,0)),"")</f>
        <v>1969.9340858657986</v>
      </c>
      <c r="X204" s="52">
        <f>IFERROR(INDEX('Rentabilidad datos'!$P$2:$P$61,MATCH($C204,'Rentabilidad datos'!$C$2:$C$61,0)),"")</f>
        <v>0.5403238133625391</v>
      </c>
      <c r="Y204" s="43" t="s">
        <v>211</v>
      </c>
      <c r="Z204" s="53">
        <v>73.889908256880702</v>
      </c>
      <c r="AA204" s="43">
        <v>2</v>
      </c>
      <c r="AB204" s="54">
        <v>0.75246748946195596</v>
      </c>
      <c r="AC204" s="55">
        <v>0.24753251053804401</v>
      </c>
      <c r="AD204" s="752" t="e">
        <f>_xlfn.XLOOKUP(Table1[[#This Row],[Ruta]],#REF!,#REF!)</f>
        <v>#REF!</v>
      </c>
      <c r="AE204" s="752" t="e">
        <f>_xlfn.XLOOKUP(Table1[[#This Row],[Ruta]],#REF!,#REF!)</f>
        <v>#REF!</v>
      </c>
      <c r="AF204" s="752" t="e">
        <f>_xlfn.XLOOKUP(Table1[[#This Row],[Ruta]],#REF!,#REF!)</f>
        <v>#REF!</v>
      </c>
      <c r="AG204" s="752" t="e">
        <f>_xlfn.XLOOKUP(Table1[[#This Row],[Ruta]],#REF!,#REF!)</f>
        <v>#REF!</v>
      </c>
      <c r="AH204" s="52">
        <v>0.60622288591422691</v>
      </c>
      <c r="AI204" s="52">
        <v>0.39377711408577304</v>
      </c>
      <c r="AJ204" s="55">
        <v>0</v>
      </c>
      <c r="AK204" s="56">
        <v>32216</v>
      </c>
      <c r="AL204" s="44">
        <v>10567</v>
      </c>
      <c r="AM204" s="54">
        <v>0.32800471815247101</v>
      </c>
      <c r="AN204" s="55">
        <v>0.50763802729528495</v>
      </c>
      <c r="AO204" s="56">
        <v>5787.06668734491</v>
      </c>
      <c r="AP204" s="48">
        <v>2893.533343672455</v>
      </c>
      <c r="AQ204" s="55">
        <v>0.41782137272387804</v>
      </c>
      <c r="AR204" s="51">
        <v>2876184.68</v>
      </c>
      <c r="AS204" s="49">
        <v>787577.95723856497</v>
      </c>
      <c r="AT204" s="55">
        <v>0.2738273250376137</v>
      </c>
      <c r="AU204" s="51">
        <v>553433.1591406134</v>
      </c>
      <c r="AV204" s="52">
        <v>2.5176198137591187E-3</v>
      </c>
      <c r="AW204" s="44">
        <v>134</v>
      </c>
      <c r="AX204" s="51">
        <v>272.18554745907102</v>
      </c>
      <c r="AY204" s="49">
        <v>265.02091257220798</v>
      </c>
      <c r="AZ204" s="49">
        <v>0</v>
      </c>
      <c r="BA204" s="42" t="s">
        <v>152</v>
      </c>
      <c r="BB204" s="50">
        <v>0</v>
      </c>
      <c r="BC204" s="57">
        <v>553433.1591406134</v>
      </c>
      <c r="BD204" s="42" t="s">
        <v>150</v>
      </c>
      <c r="BE204" s="46">
        <v>73.889908256880702</v>
      </c>
      <c r="BF204" s="46">
        <v>53.200688073394502</v>
      </c>
      <c r="BG204" s="42" t="s">
        <v>150</v>
      </c>
      <c r="BH204" s="52">
        <v>0.32800471815247101</v>
      </c>
      <c r="BI204" s="52">
        <v>0.59727423215011399</v>
      </c>
      <c r="BJ204" s="42" t="s">
        <v>152</v>
      </c>
      <c r="BK204" s="46">
        <v>313.43687640825698</v>
      </c>
      <c r="BL204" s="46">
        <v>326.63180315825701</v>
      </c>
      <c r="BM204" s="42" t="s">
        <v>152</v>
      </c>
      <c r="BN204" s="48">
        <v>1</v>
      </c>
      <c r="BO204" s="42" t="s">
        <v>155</v>
      </c>
      <c r="BP204" s="42" t="s">
        <v>152</v>
      </c>
      <c r="BQ204" s="46">
        <v>3471.34345684039</v>
      </c>
      <c r="BR204" s="46">
        <v>467</v>
      </c>
      <c r="BS204" s="46">
        <v>25477</v>
      </c>
      <c r="BT204" s="46">
        <v>7584</v>
      </c>
      <c r="BU204" s="46">
        <v>3.3593090717299576</v>
      </c>
      <c r="BV204" s="46">
        <v>16.239828693790148</v>
      </c>
      <c r="BW204" s="46">
        <v>3276</v>
      </c>
      <c r="BX204" s="46">
        <v>287</v>
      </c>
      <c r="BY204" s="46">
        <v>3563</v>
      </c>
      <c r="BZ204" s="46">
        <v>0.46980485232067509</v>
      </c>
      <c r="CA204" s="46">
        <v>0.43196202531645572</v>
      </c>
      <c r="CB204" s="46">
        <v>3.7842827004219412E-2</v>
      </c>
      <c r="CC204" s="46">
        <v>0</v>
      </c>
      <c r="CD204" s="46">
        <v>0</v>
      </c>
      <c r="CE204" s="46">
        <v>0</v>
      </c>
      <c r="CF204" s="46">
        <v>0.53019514767932485</v>
      </c>
      <c r="CG204" s="46">
        <v>0</v>
      </c>
      <c r="CH204" s="46">
        <v>0</v>
      </c>
      <c r="CI204" s="46">
        <v>2.9045806021117091</v>
      </c>
      <c r="CJ204" s="46">
        <v>0.54951524904816107</v>
      </c>
      <c r="CK204">
        <v>326</v>
      </c>
      <c r="CL204">
        <v>400.56</v>
      </c>
      <c r="CM204">
        <f t="shared" si="28"/>
        <v>74.56</v>
      </c>
      <c r="CN204">
        <v>8.82</v>
      </c>
      <c r="CO204">
        <v>9.4499999999999993</v>
      </c>
      <c r="CP204">
        <f t="shared" si="29"/>
        <v>0.62999999999999901</v>
      </c>
      <c r="CQ204">
        <v>609.19000000000005</v>
      </c>
      <c r="CR204">
        <v>313.44</v>
      </c>
      <c r="CS204">
        <f t="shared" si="30"/>
        <v>295.75000000000006</v>
      </c>
      <c r="CT204" t="s">
        <v>152</v>
      </c>
      <c r="CU204">
        <v>95.56</v>
      </c>
      <c r="CV204">
        <v>283</v>
      </c>
      <c r="CW204" s="46">
        <v>3563</v>
      </c>
      <c r="CX204" s="46">
        <f t="shared" si="24"/>
        <v>45.997362869198312</v>
      </c>
      <c r="CY204" s="46">
        <v>74.56</v>
      </c>
      <c r="CZ204" s="46">
        <f t="shared" si="25"/>
        <v>46.980485232067508</v>
      </c>
      <c r="DA204" s="46">
        <f t="shared" si="26"/>
        <v>134.07143901725649</v>
      </c>
      <c r="DB204" s="46">
        <v>1026794.16</v>
      </c>
      <c r="DC204" s="46">
        <f t="shared" si="27"/>
        <v>6.4045460243178871</v>
      </c>
      <c r="DD204" s="46">
        <v>49049.599999999999</v>
      </c>
      <c r="DE204" s="995">
        <v>3563</v>
      </c>
      <c r="DF204" s="995">
        <v>46.177</v>
      </c>
      <c r="DG204" s="995">
        <v>60.9</v>
      </c>
      <c r="DH204" s="995">
        <v>46.98</v>
      </c>
      <c r="DI204" s="995">
        <v>344.57900000000001</v>
      </c>
      <c r="DJ204" s="995">
        <v>2634273</v>
      </c>
      <c r="DK204" s="995">
        <v>16.225000000000001</v>
      </c>
      <c r="DL204" s="995">
        <v>124040.8</v>
      </c>
      <c r="DM204" s="995">
        <v>3563</v>
      </c>
      <c r="DN204" s="995">
        <v>46.289000000000001</v>
      </c>
      <c r="DO204" s="995">
        <v>52.4</v>
      </c>
      <c r="DP204" s="995">
        <v>46.98</v>
      </c>
      <c r="DQ204" s="995">
        <v>338.71899999999999</v>
      </c>
      <c r="DR204" s="995">
        <v>2586603</v>
      </c>
      <c r="DS204" s="995">
        <v>15.942</v>
      </c>
      <c r="DT204" s="995">
        <v>121738</v>
      </c>
    </row>
    <row r="205" spans="1:124">
      <c r="A205" s="42" t="s">
        <v>93</v>
      </c>
      <c r="B205" s="42" t="s">
        <v>388</v>
      </c>
      <c r="C205" s="42" t="s">
        <v>389</v>
      </c>
      <c r="D205" s="42">
        <v>217344</v>
      </c>
      <c r="E205" s="42" t="s">
        <v>394</v>
      </c>
      <c r="F205" s="42" t="s">
        <v>149</v>
      </c>
      <c r="G205" s="42" t="s">
        <v>150</v>
      </c>
      <c r="H205" s="43" t="s">
        <v>150</v>
      </c>
      <c r="I205" s="44">
        <v>13</v>
      </c>
      <c r="J205" s="45">
        <v>146496.61600000001</v>
      </c>
      <c r="K205" s="46">
        <v>7350.6288050000003</v>
      </c>
      <c r="L205" s="47">
        <v>153847.24480499999</v>
      </c>
      <c r="M205" s="48">
        <v>2963122</v>
      </c>
      <c r="N205" s="49">
        <v>2089391</v>
      </c>
      <c r="O205" s="49">
        <v>873731</v>
      </c>
      <c r="P205" s="49">
        <v>0</v>
      </c>
      <c r="Q205" s="50">
        <v>6781.3006928406503</v>
      </c>
      <c r="R205" s="51">
        <v>3204.3830289684602</v>
      </c>
      <c r="S205" s="49">
        <v>7796.8716590759504</v>
      </c>
      <c r="T205" s="49">
        <v>1771.5728801298601</v>
      </c>
      <c r="U205" s="49">
        <f>IFERROR(INDEX('Rentabilidad datos'!$N$2:$N$61,MATCH($C205,'Rentabilidad datos'!$C$2:$C$61,0)),"")</f>
        <v>12772.827568174269</v>
      </c>
      <c r="V205" s="50">
        <f>IFERROR(INDEX('Rentabilidad datos'!$O$2:$O$61,MATCH($C205,'Rentabilidad datos'!$C$2:$C$61,0)),"")</f>
        <v>1064.4022973478557</v>
      </c>
      <c r="W205" s="51">
        <f>IFERROR(INDEX('Rentabilidad datos'!$M$2:$M$61,MATCH($C205,'Rentabilidad datos'!$C$2:$C$61,0)),"")</f>
        <v>1969.9340858657986</v>
      </c>
      <c r="X205" s="52">
        <f>IFERROR(INDEX('Rentabilidad datos'!$P$2:$P$61,MATCH($C205,'Rentabilidad datos'!$C$2:$C$61,0)),"")</f>
        <v>0.5403238133625391</v>
      </c>
      <c r="Y205" s="43" t="s">
        <v>211</v>
      </c>
      <c r="Z205" s="53">
        <v>58.5704387990762</v>
      </c>
      <c r="AA205" s="43">
        <v>2</v>
      </c>
      <c r="AB205" s="54">
        <v>0.86661635936691095</v>
      </c>
      <c r="AC205" s="55">
        <v>0.13338364063308902</v>
      </c>
      <c r="AD205" s="752" t="e">
        <f>_xlfn.XLOOKUP(Table1[[#This Row],[Ruta]],#REF!,#REF!)</f>
        <v>#REF!</v>
      </c>
      <c r="AE205" s="752" t="e">
        <f>_xlfn.XLOOKUP(Table1[[#This Row],[Ruta]],#REF!,#REF!)</f>
        <v>#REF!</v>
      </c>
      <c r="AF205" s="752" t="e">
        <f>_xlfn.XLOOKUP(Table1[[#This Row],[Ruta]],#REF!,#REF!)</f>
        <v>#REF!</v>
      </c>
      <c r="AG205" s="752" t="e">
        <f>_xlfn.XLOOKUP(Table1[[#This Row],[Ruta]],#REF!,#REF!)</f>
        <v>#REF!</v>
      </c>
      <c r="AH205" s="52">
        <v>0.70513161456058848</v>
      </c>
      <c r="AI205" s="52">
        <v>0.29486838543941152</v>
      </c>
      <c r="AJ205" s="55">
        <v>0</v>
      </c>
      <c r="AK205" s="56">
        <v>25361</v>
      </c>
      <c r="AL205" s="44">
        <v>9279</v>
      </c>
      <c r="AM205" s="54">
        <v>0.36587673987618802</v>
      </c>
      <c r="AN205" s="55">
        <v>0.50763802729528495</v>
      </c>
      <c r="AO205" s="56">
        <v>3595.2080102357299</v>
      </c>
      <c r="AP205" s="48">
        <v>1797.604005117865</v>
      </c>
      <c r="AQ205" s="55">
        <v>0.43675738358573651</v>
      </c>
      <c r="AR205" s="51">
        <v>2936303.2</v>
      </c>
      <c r="AS205" s="49">
        <v>568844.74539933505</v>
      </c>
      <c r="AT205" s="55">
        <v>0.193728204021756</v>
      </c>
      <c r="AU205" s="51">
        <v>399728.74001034372</v>
      </c>
      <c r="AV205" s="52">
        <v>1.8184038656840163E-3</v>
      </c>
      <c r="AW205" s="44">
        <v>191</v>
      </c>
      <c r="AX205" s="51">
        <v>316.44608255199898</v>
      </c>
      <c r="AY205" s="49">
        <v>265.02091257220798</v>
      </c>
      <c r="AZ205" s="49">
        <v>0</v>
      </c>
      <c r="BA205" s="42" t="s">
        <v>152</v>
      </c>
      <c r="BB205" s="50">
        <v>0</v>
      </c>
      <c r="BC205" s="57">
        <v>399728.74001034372</v>
      </c>
      <c r="BD205" s="42" t="s">
        <v>150</v>
      </c>
      <c r="BE205" s="46">
        <v>58.5704387990762</v>
      </c>
      <c r="BF205" s="46">
        <v>53.200688073394502</v>
      </c>
      <c r="BG205" s="42" t="s">
        <v>150</v>
      </c>
      <c r="BH205" s="52">
        <v>0.36587673987618802</v>
      </c>
      <c r="BI205" s="52">
        <v>0.59727423215011399</v>
      </c>
      <c r="BJ205" s="42" t="s">
        <v>152</v>
      </c>
      <c r="BK205" s="46">
        <v>355.30541525404198</v>
      </c>
      <c r="BL205" s="46">
        <v>326.63180315825701</v>
      </c>
      <c r="BM205" s="42" t="s">
        <v>150</v>
      </c>
      <c r="BN205" s="48">
        <v>2</v>
      </c>
      <c r="BO205" s="42" t="s">
        <v>161</v>
      </c>
      <c r="BP205" s="42" t="s">
        <v>152</v>
      </c>
      <c r="BQ205" s="46">
        <v>4147.4543459773004</v>
      </c>
      <c r="BR205" s="46">
        <v>830</v>
      </c>
      <c r="BS205" s="46">
        <v>40865</v>
      </c>
      <c r="BT205" s="46">
        <v>13440</v>
      </c>
      <c r="BU205" s="46">
        <v>3.0405505952380953</v>
      </c>
      <c r="BV205" s="46">
        <v>16.192771084337348</v>
      </c>
      <c r="BW205" s="46">
        <v>3144</v>
      </c>
      <c r="BX205" s="46">
        <v>1957</v>
      </c>
      <c r="BY205" s="46">
        <v>5101</v>
      </c>
      <c r="BZ205" s="46">
        <v>0.37953869047619049</v>
      </c>
      <c r="CA205" s="46">
        <v>0.2339285714285714</v>
      </c>
      <c r="CB205" s="46">
        <v>0.14561011904761911</v>
      </c>
      <c r="CC205" s="46">
        <v>0.1683779761904762</v>
      </c>
      <c r="CD205" s="46">
        <v>2.6190476190476191E-2</v>
      </c>
      <c r="CE205" s="46">
        <v>0</v>
      </c>
      <c r="CF205" s="46">
        <v>0.42589285714285707</v>
      </c>
      <c r="CG205" s="46">
        <v>0</v>
      </c>
      <c r="CH205" s="46">
        <v>0</v>
      </c>
      <c r="CI205" s="46">
        <v>4.7718096170316899</v>
      </c>
      <c r="CJ205" s="46">
        <v>0.88094946775969651</v>
      </c>
      <c r="CK205">
        <v>353</v>
      </c>
      <c r="CL205">
        <v>494.41</v>
      </c>
      <c r="CM205">
        <f t="shared" si="28"/>
        <v>141.41000000000003</v>
      </c>
      <c r="CN205">
        <v>10.130000000000001</v>
      </c>
      <c r="CO205">
        <v>9.4499999999999993</v>
      </c>
      <c r="CP205">
        <f t="shared" si="29"/>
        <v>-0.68000000000000149</v>
      </c>
      <c r="CQ205">
        <v>609.19000000000005</v>
      </c>
      <c r="CR205">
        <v>355.31</v>
      </c>
      <c r="CS205">
        <f t="shared" si="30"/>
        <v>253.88000000000005</v>
      </c>
      <c r="CT205" t="s">
        <v>150</v>
      </c>
      <c r="CU205">
        <v>109.25</v>
      </c>
      <c r="CV205">
        <v>199</v>
      </c>
      <c r="CW205" s="46">
        <v>5101</v>
      </c>
      <c r="CX205" s="46">
        <f t="shared" si="24"/>
        <v>36.901711309523812</v>
      </c>
      <c r="CY205" s="46">
        <v>141.41</v>
      </c>
      <c r="CZ205" s="46">
        <f t="shared" si="25"/>
        <v>37.953869047619051</v>
      </c>
      <c r="DA205" s="46">
        <f t="shared" si="26"/>
        <v>71.664411868870758</v>
      </c>
      <c r="DB205" s="46">
        <v>973303.76</v>
      </c>
      <c r="DC205" s="46">
        <f t="shared" si="27"/>
        <v>3.8051601416936829</v>
      </c>
      <c r="DD205" s="46">
        <v>51679.44</v>
      </c>
      <c r="DE205" s="995">
        <v>5101</v>
      </c>
      <c r="DF205" s="995">
        <v>36.929000000000002</v>
      </c>
      <c r="DG205" s="995">
        <v>137.69999999999999</v>
      </c>
      <c r="DH205" s="995">
        <v>37.954000000000001</v>
      </c>
      <c r="DI205" s="995">
        <v>225.60599999999999</v>
      </c>
      <c r="DJ205" s="995">
        <v>3063212</v>
      </c>
      <c r="DK205" s="995">
        <v>12.053000000000001</v>
      </c>
      <c r="DL205" s="995">
        <v>163652.1</v>
      </c>
      <c r="DM205" s="995">
        <v>5101</v>
      </c>
      <c r="DN205" s="995">
        <v>36.988999999999997</v>
      </c>
      <c r="DO205" s="995">
        <v>129.6</v>
      </c>
      <c r="DP205" s="995">
        <v>37.954000000000001</v>
      </c>
      <c r="DQ205" s="995">
        <v>222.904</v>
      </c>
      <c r="DR205" s="995">
        <v>3024720</v>
      </c>
      <c r="DS205" s="995">
        <v>11.898999999999999</v>
      </c>
      <c r="DT205" s="995">
        <v>161459.4</v>
      </c>
    </row>
    <row r="206" spans="1:124">
      <c r="A206" s="42" t="s">
        <v>93</v>
      </c>
      <c r="B206" s="42" t="s">
        <v>388</v>
      </c>
      <c r="C206" s="42" t="s">
        <v>389</v>
      </c>
      <c r="D206" s="42">
        <v>217346</v>
      </c>
      <c r="E206" s="42" t="s">
        <v>395</v>
      </c>
      <c r="F206" s="42" t="s">
        <v>149</v>
      </c>
      <c r="G206" s="42" t="s">
        <v>150</v>
      </c>
      <c r="H206" s="43" t="s">
        <v>150</v>
      </c>
      <c r="I206" s="44">
        <v>13</v>
      </c>
      <c r="J206" s="45">
        <v>129152.3184</v>
      </c>
      <c r="K206" s="46">
        <v>8554.5504070000006</v>
      </c>
      <c r="L206" s="47">
        <v>137706.86880699999</v>
      </c>
      <c r="M206" s="48">
        <v>2736546</v>
      </c>
      <c r="N206" s="49">
        <v>1820999</v>
      </c>
      <c r="O206" s="49">
        <v>915547</v>
      </c>
      <c r="P206" s="49">
        <v>0</v>
      </c>
      <c r="Q206" s="50">
        <v>6352.9381880733999</v>
      </c>
      <c r="R206" s="51">
        <v>3204.3830289684602</v>
      </c>
      <c r="S206" s="49">
        <v>7796.8716590759504</v>
      </c>
      <c r="T206" s="49">
        <v>1771.5728801298601</v>
      </c>
      <c r="U206" s="49">
        <f>IFERROR(INDEX('Rentabilidad datos'!$N$2:$N$61,MATCH($C206,'Rentabilidad datos'!$C$2:$C$61,0)),"")</f>
        <v>12772.827568174269</v>
      </c>
      <c r="V206" s="50">
        <f>IFERROR(INDEX('Rentabilidad datos'!$O$2:$O$61,MATCH($C206,'Rentabilidad datos'!$C$2:$C$61,0)),"")</f>
        <v>1064.4022973478557</v>
      </c>
      <c r="W206" s="51">
        <f>IFERROR(INDEX('Rentabilidad datos'!$M$2:$M$61,MATCH($C206,'Rentabilidad datos'!$C$2:$C$61,0)),"")</f>
        <v>1969.9340858657986</v>
      </c>
      <c r="X206" s="52">
        <f>IFERROR(INDEX('Rentabilidad datos'!$P$2:$P$61,MATCH($C206,'Rentabilidad datos'!$C$2:$C$61,0)),"")</f>
        <v>0.5403238133625391</v>
      </c>
      <c r="Y206" s="43" t="s">
        <v>211</v>
      </c>
      <c r="Z206" s="53">
        <v>63.529816513761503</v>
      </c>
      <c r="AA206" s="43">
        <v>2</v>
      </c>
      <c r="AB206" s="54">
        <v>0.87850122015124177</v>
      </c>
      <c r="AC206" s="55">
        <v>0.12149877984875825</v>
      </c>
      <c r="AD206" s="752" t="e">
        <f>_xlfn.XLOOKUP(Table1[[#This Row],[Ruta]],#REF!,#REF!)</f>
        <v>#REF!</v>
      </c>
      <c r="AE206" s="752" t="e">
        <f>_xlfn.XLOOKUP(Table1[[#This Row],[Ruta]],#REF!,#REF!)</f>
        <v>#REF!</v>
      </c>
      <c r="AF206" s="752" t="e">
        <f>_xlfn.XLOOKUP(Table1[[#This Row],[Ruta]],#REF!,#REF!)</f>
        <v>#REF!</v>
      </c>
      <c r="AG206" s="752" t="e">
        <f>_xlfn.XLOOKUP(Table1[[#This Row],[Ruta]],#REF!,#REF!)</f>
        <v>#REF!</v>
      </c>
      <c r="AH206" s="52">
        <v>0.66543701439698077</v>
      </c>
      <c r="AI206" s="52">
        <v>0.33456298560301928</v>
      </c>
      <c r="AJ206" s="55">
        <v>0</v>
      </c>
      <c r="AK206" s="56">
        <v>27699</v>
      </c>
      <c r="AL206" s="44">
        <v>12406</v>
      </c>
      <c r="AM206" s="54">
        <v>0.44788620527816903</v>
      </c>
      <c r="AN206" s="55">
        <v>0.50763802729528495</v>
      </c>
      <c r="AO206" s="56">
        <v>1655.06571805211</v>
      </c>
      <c r="AP206" s="48">
        <v>827.53285902605501</v>
      </c>
      <c r="AQ206" s="55">
        <v>0.4777621162867271</v>
      </c>
      <c r="AR206" s="51">
        <v>2769881.05</v>
      </c>
      <c r="AS206" s="49">
        <v>184762.82318785999</v>
      </c>
      <c r="AT206" s="55">
        <v>6.6704244641790672E-2</v>
      </c>
      <c r="AU206" s="51">
        <v>129833.33521309085</v>
      </c>
      <c r="AV206" s="52">
        <v>5.9062412835270204E-4</v>
      </c>
      <c r="AW206" s="44">
        <v>371</v>
      </c>
      <c r="AX206" s="51">
        <v>223.26947041753999</v>
      </c>
      <c r="AY206" s="49">
        <v>265.02091257220798</v>
      </c>
      <c r="AZ206" s="49">
        <v>41.751442154667984</v>
      </c>
      <c r="BA206" s="42" t="s">
        <v>150</v>
      </c>
      <c r="BB206" s="50">
        <v>181988.89426542015</v>
      </c>
      <c r="BC206" s="57">
        <v>311822.22947851103</v>
      </c>
      <c r="BD206" s="42" t="s">
        <v>150</v>
      </c>
      <c r="BE206" s="46">
        <v>63.529816513761503</v>
      </c>
      <c r="BF206" s="46">
        <v>53.200688073394502</v>
      </c>
      <c r="BG206" s="42" t="s">
        <v>150</v>
      </c>
      <c r="BH206" s="52">
        <v>0.44788620527816903</v>
      </c>
      <c r="BI206" s="52">
        <v>0.59727423215011399</v>
      </c>
      <c r="BJ206" s="42" t="s">
        <v>152</v>
      </c>
      <c r="BK206" s="46">
        <v>315.84144221789001</v>
      </c>
      <c r="BL206" s="46">
        <v>326.63180315825701</v>
      </c>
      <c r="BM206" s="42" t="s">
        <v>152</v>
      </c>
      <c r="BN206" s="48">
        <v>1</v>
      </c>
      <c r="BO206" s="42" t="s">
        <v>155</v>
      </c>
      <c r="BP206" s="42" t="s">
        <v>152</v>
      </c>
      <c r="BQ206" s="46">
        <v>961.07516064426795</v>
      </c>
      <c r="BR206" s="46">
        <v>508</v>
      </c>
      <c r="BS206" s="46">
        <v>28112</v>
      </c>
      <c r="BT206" s="46">
        <v>8029</v>
      </c>
      <c r="BU206" s="46">
        <v>3.5013077593722755</v>
      </c>
      <c r="BV206" s="46">
        <v>15.80511811023622</v>
      </c>
      <c r="BW206" s="46">
        <v>0</v>
      </c>
      <c r="BX206" s="46">
        <v>861</v>
      </c>
      <c r="BY206" s="46">
        <v>861</v>
      </c>
      <c r="BZ206" s="46">
        <v>0.10723626852659111</v>
      </c>
      <c r="CA206" s="46">
        <v>0</v>
      </c>
      <c r="CB206" s="46">
        <v>0.1072362685265911</v>
      </c>
      <c r="CC206" s="46">
        <v>0</v>
      </c>
      <c r="CD206" s="46">
        <v>0.15892390085938471</v>
      </c>
      <c r="CE206" s="46">
        <v>0</v>
      </c>
      <c r="CF206" s="46">
        <v>0.73383983061402414</v>
      </c>
      <c r="CG206" s="46">
        <v>0</v>
      </c>
      <c r="CH206" s="46">
        <v>0</v>
      </c>
      <c r="CI206" s="46">
        <v>5.79823562891292</v>
      </c>
      <c r="CJ206" s="46">
        <v>0.32014797951052931</v>
      </c>
      <c r="CK206">
        <v>148</v>
      </c>
      <c r="CL206">
        <v>237.75</v>
      </c>
      <c r="CM206">
        <f t="shared" si="28"/>
        <v>89.75</v>
      </c>
      <c r="CN206">
        <v>5.5</v>
      </c>
      <c r="CO206">
        <v>9.4499999999999993</v>
      </c>
      <c r="CP206">
        <f t="shared" si="29"/>
        <v>3.9499999999999993</v>
      </c>
      <c r="CQ206">
        <v>609.19000000000005</v>
      </c>
      <c r="CR206">
        <v>315.83999999999997</v>
      </c>
      <c r="CS206">
        <f t="shared" si="30"/>
        <v>293.35000000000008</v>
      </c>
      <c r="CT206" t="s">
        <v>152</v>
      </c>
      <c r="CU206">
        <v>61.82</v>
      </c>
      <c r="CV206">
        <v>61</v>
      </c>
      <c r="CW206" s="46">
        <v>861</v>
      </c>
      <c r="CX206" s="46">
        <f t="shared" si="24"/>
        <v>9.6058039606426693</v>
      </c>
      <c r="CY206" s="46">
        <v>89.75</v>
      </c>
      <c r="CZ206" s="46">
        <f t="shared" si="25"/>
        <v>10.723626852659111</v>
      </c>
      <c r="DA206" s="46">
        <f t="shared" si="26"/>
        <v>56.688396612779059</v>
      </c>
      <c r="DB206" s="46">
        <v>460238.92</v>
      </c>
      <c r="DC206" s="46">
        <f t="shared" si="27"/>
        <v>2.9962371054657431</v>
      </c>
      <c r="DD206" s="46">
        <v>24325.7</v>
      </c>
      <c r="DE206" s="995">
        <v>861</v>
      </c>
      <c r="DF206" s="995">
        <v>9.8160000000000007</v>
      </c>
      <c r="DG206" s="995">
        <v>72.8</v>
      </c>
      <c r="DH206" s="995">
        <v>10.724</v>
      </c>
      <c r="DI206" s="995">
        <v>165.81100000000001</v>
      </c>
      <c r="DJ206" s="995">
        <v>1343375</v>
      </c>
      <c r="DK206" s="995">
        <v>8.7739999999999991</v>
      </c>
      <c r="DL206" s="995">
        <v>71089.100000000006</v>
      </c>
      <c r="DM206" s="995">
        <v>861</v>
      </c>
      <c r="DN206" s="995">
        <v>9.9719999999999995</v>
      </c>
      <c r="DO206" s="995">
        <v>60.4</v>
      </c>
      <c r="DP206" s="995">
        <v>10.724</v>
      </c>
      <c r="DQ206" s="995">
        <v>158.16300000000001</v>
      </c>
      <c r="DR206" s="995">
        <v>1279440</v>
      </c>
      <c r="DS206" s="995">
        <v>8.3710000000000004</v>
      </c>
      <c r="DT206" s="995">
        <v>67713.7</v>
      </c>
    </row>
    <row r="207" spans="1:124">
      <c r="A207" s="42" t="s">
        <v>93</v>
      </c>
      <c r="B207" s="42" t="s">
        <v>388</v>
      </c>
      <c r="C207" s="42" t="s">
        <v>389</v>
      </c>
      <c r="D207" s="42">
        <v>217400</v>
      </c>
      <c r="E207" s="42" t="s">
        <v>396</v>
      </c>
      <c r="F207" s="42" t="s">
        <v>149</v>
      </c>
      <c r="G207" s="42" t="s">
        <v>150</v>
      </c>
      <c r="H207" s="43" t="s">
        <v>150</v>
      </c>
      <c r="I207" s="44">
        <v>13</v>
      </c>
      <c r="J207" s="45">
        <v>112065.156</v>
      </c>
      <c r="K207" s="46">
        <v>9990.7839070000009</v>
      </c>
      <c r="L207" s="47">
        <v>122055.93990700001</v>
      </c>
      <c r="M207" s="48">
        <v>2681783</v>
      </c>
      <c r="N207" s="49">
        <v>1614662</v>
      </c>
      <c r="O207" s="49">
        <v>1067121</v>
      </c>
      <c r="P207" s="49">
        <v>0</v>
      </c>
      <c r="Q207" s="50">
        <v>6153.0256192660499</v>
      </c>
      <c r="R207" s="51">
        <v>3204.3830289684602</v>
      </c>
      <c r="S207" s="49">
        <v>7796.8716590759504</v>
      </c>
      <c r="T207" s="49">
        <v>1771.5728801298601</v>
      </c>
      <c r="U207" s="49">
        <f>IFERROR(INDEX('Rentabilidad datos'!$N$2:$N$61,MATCH($C207,'Rentabilidad datos'!$C$2:$C$61,0)),"")</f>
        <v>12772.827568174269</v>
      </c>
      <c r="V207" s="50">
        <f>IFERROR(INDEX('Rentabilidad datos'!$O$2:$O$61,MATCH($C207,'Rentabilidad datos'!$C$2:$C$61,0)),"")</f>
        <v>1064.4022973478557</v>
      </c>
      <c r="W207" s="51">
        <f>IFERROR(INDEX('Rentabilidad datos'!$M$2:$M$61,MATCH($C207,'Rentabilidad datos'!$C$2:$C$61,0)),"")</f>
        <v>1969.9340858657986</v>
      </c>
      <c r="X207" s="52">
        <f>IFERROR(INDEX('Rentabilidad datos'!$P$2:$P$61,MATCH($C207,'Rentabilidad datos'!$C$2:$C$61,0)),"")</f>
        <v>0.5403238133625391</v>
      </c>
      <c r="Y207" s="43" t="s">
        <v>211</v>
      </c>
      <c r="Z207" s="53">
        <v>46.889908256880702</v>
      </c>
      <c r="AA207" s="43">
        <v>2</v>
      </c>
      <c r="AB207" s="54">
        <v>0.9470363560362639</v>
      </c>
      <c r="AC207" s="55">
        <v>5.2963643963736068E-2</v>
      </c>
      <c r="AD207" s="752" t="e">
        <f>_xlfn.XLOOKUP(Table1[[#This Row],[Ruta]],#REF!,#REF!)</f>
        <v>#REF!</v>
      </c>
      <c r="AE207" s="752" t="e">
        <f>_xlfn.XLOOKUP(Table1[[#This Row],[Ruta]],#REF!,#REF!)</f>
        <v>#REF!</v>
      </c>
      <c r="AF207" s="752" t="e">
        <f>_xlfn.XLOOKUP(Table1[[#This Row],[Ruta]],#REF!,#REF!)</f>
        <v>#REF!</v>
      </c>
      <c r="AG207" s="752" t="e">
        <f>_xlfn.XLOOKUP(Table1[[#This Row],[Ruta]],#REF!,#REF!)</f>
        <v>#REF!</v>
      </c>
      <c r="AH207" s="52">
        <v>0.60208525447435535</v>
      </c>
      <c r="AI207" s="52">
        <v>0.39791474552564471</v>
      </c>
      <c r="AJ207" s="55">
        <v>0</v>
      </c>
      <c r="AK207" s="56">
        <v>20444</v>
      </c>
      <c r="AL207" s="44">
        <v>10514</v>
      </c>
      <c r="AM207" s="54">
        <v>0.51428291919389602</v>
      </c>
      <c r="AN207" s="55">
        <v>0.50763802729528495</v>
      </c>
      <c r="AO207" s="56">
        <v>0</v>
      </c>
      <c r="AP207" s="48">
        <v>0</v>
      </c>
      <c r="AQ207" s="55">
        <v>0.51428291919389557</v>
      </c>
      <c r="AR207" s="51">
        <v>2682719.17</v>
      </c>
      <c r="AS207" s="49">
        <v>0</v>
      </c>
      <c r="AT207" s="55">
        <v>0</v>
      </c>
      <c r="AU207" s="51">
        <v>0</v>
      </c>
      <c r="AV207" s="52">
        <v>0</v>
      </c>
      <c r="AW207" s="44">
        <v>490</v>
      </c>
      <c r="AX207" s="51">
        <v>255.15685466996399</v>
      </c>
      <c r="AY207" s="49">
        <v>265.02091257220798</v>
      </c>
      <c r="AZ207" s="49">
        <v>9.8640579022439852</v>
      </c>
      <c r="BA207" s="42" t="s">
        <v>150</v>
      </c>
      <c r="BB207" s="50">
        <v>36438.896275527375</v>
      </c>
      <c r="BC207" s="57">
        <v>36438.896275527375</v>
      </c>
      <c r="BD207" s="42" t="s">
        <v>150</v>
      </c>
      <c r="BE207" s="46">
        <v>46.889908256880702</v>
      </c>
      <c r="BF207" s="46">
        <v>53.200688073394502</v>
      </c>
      <c r="BG207" s="42" t="s">
        <v>152</v>
      </c>
      <c r="BH207" s="52">
        <v>0.51428291919389602</v>
      </c>
      <c r="BI207" s="52">
        <v>0.59727423215011399</v>
      </c>
      <c r="BJ207" s="42" t="s">
        <v>152</v>
      </c>
      <c r="BK207" s="46">
        <v>279.94481630045902</v>
      </c>
      <c r="BL207" s="46">
        <v>326.63180315825701</v>
      </c>
      <c r="BM207" s="42" t="s">
        <v>152</v>
      </c>
      <c r="BN207" s="48">
        <v>0</v>
      </c>
      <c r="BO207" s="42" t="s">
        <v>155</v>
      </c>
      <c r="BP207" s="42" t="s">
        <v>152</v>
      </c>
      <c r="BQ207" s="46">
        <v>5003.5743348680398</v>
      </c>
      <c r="BR207" s="46">
        <v>1054</v>
      </c>
      <c r="BS207" s="46">
        <v>39076</v>
      </c>
      <c r="BT207" s="46">
        <v>11949</v>
      </c>
      <c r="BU207" s="46">
        <v>3.2702318185622228</v>
      </c>
      <c r="BV207" s="46">
        <v>11.336812144212523</v>
      </c>
      <c r="BW207" s="46">
        <v>0</v>
      </c>
      <c r="BX207" s="46">
        <v>35</v>
      </c>
      <c r="BY207" s="46">
        <v>35</v>
      </c>
      <c r="BZ207" s="46">
        <v>2.9291154071470417E-3</v>
      </c>
      <c r="CA207" s="46">
        <v>0</v>
      </c>
      <c r="CB207" s="46">
        <v>2.9291154071470421E-3</v>
      </c>
      <c r="CC207" s="46">
        <v>0</v>
      </c>
      <c r="CD207" s="46">
        <v>0</v>
      </c>
      <c r="CE207" s="46">
        <v>0</v>
      </c>
      <c r="CF207" s="46">
        <v>0.99707088459285298</v>
      </c>
      <c r="CG207" s="46">
        <v>0</v>
      </c>
      <c r="CH207" s="46">
        <v>0</v>
      </c>
      <c r="CI207" s="46">
        <v>7.600573241887604</v>
      </c>
      <c r="CJ207" s="46">
        <v>0.33268502405568628</v>
      </c>
      <c r="CK207">
        <v>228</v>
      </c>
      <c r="CL207">
        <v>228</v>
      </c>
      <c r="CM207">
        <f t="shared" si="28"/>
        <v>0</v>
      </c>
      <c r="CN207">
        <v>15.44</v>
      </c>
      <c r="CO207">
        <v>9.4499999999999993</v>
      </c>
      <c r="CP207">
        <f t="shared" si="29"/>
        <v>-5.99</v>
      </c>
      <c r="CQ207">
        <v>609.19000000000005</v>
      </c>
      <c r="CR207">
        <v>279.94</v>
      </c>
      <c r="CS207">
        <f t="shared" si="30"/>
        <v>329.25000000000006</v>
      </c>
      <c r="CT207" t="s">
        <v>150</v>
      </c>
      <c r="CU207">
        <v>163.38999999999999</v>
      </c>
      <c r="CV207">
        <v>2</v>
      </c>
      <c r="CW207" s="46">
        <v>35</v>
      </c>
      <c r="CX207" s="46">
        <f t="shared" si="24"/>
        <v>0.29291154071470415</v>
      </c>
      <c r="CY207" s="46">
        <v>0</v>
      </c>
      <c r="CZ207" s="46">
        <f t="shared" si="25"/>
        <v>0.29291154071470415</v>
      </c>
      <c r="DA207" s="46">
        <f t="shared" si="26"/>
        <v>0</v>
      </c>
      <c r="DB207" s="46">
        <v>0</v>
      </c>
      <c r="DC207" s="46">
        <f t="shared" si="27"/>
        <v>0</v>
      </c>
      <c r="DD207" s="46">
        <v>0</v>
      </c>
      <c r="DE207" s="995">
        <v>35</v>
      </c>
      <c r="DF207" s="995">
        <v>0.29299999999999998</v>
      </c>
      <c r="DG207" s="995">
        <v>0</v>
      </c>
      <c r="DH207" s="995">
        <v>0.29299999999999998</v>
      </c>
      <c r="DI207" s="995">
        <v>150.84800000000001</v>
      </c>
      <c r="DJ207" s="995">
        <v>1802479</v>
      </c>
      <c r="DK207" s="995">
        <v>7.1829999999999998</v>
      </c>
      <c r="DL207" s="995">
        <v>85830.8</v>
      </c>
      <c r="DM207" s="995">
        <v>35</v>
      </c>
      <c r="DN207" s="995">
        <v>0.29299999999999998</v>
      </c>
      <c r="DO207" s="995">
        <v>0</v>
      </c>
      <c r="DP207" s="995">
        <v>0.29299999999999998</v>
      </c>
      <c r="DQ207" s="995">
        <v>150.84800000000001</v>
      </c>
      <c r="DR207" s="995">
        <v>1802479</v>
      </c>
      <c r="DS207" s="995">
        <v>7.1829999999999998</v>
      </c>
      <c r="DT207" s="995">
        <v>85830.8</v>
      </c>
    </row>
    <row r="208" spans="1:124">
      <c r="A208" s="42" t="s">
        <v>93</v>
      </c>
      <c r="B208" s="42" t="s">
        <v>388</v>
      </c>
      <c r="C208" s="42" t="s">
        <v>389</v>
      </c>
      <c r="D208" s="42">
        <v>217401</v>
      </c>
      <c r="E208" s="42" t="s">
        <v>397</v>
      </c>
      <c r="F208" s="42" t="s">
        <v>149</v>
      </c>
      <c r="G208" s="42" t="s">
        <v>150</v>
      </c>
      <c r="H208" s="43" t="s">
        <v>150</v>
      </c>
      <c r="I208" s="44">
        <v>13</v>
      </c>
      <c r="J208" s="45">
        <v>165859.2488</v>
      </c>
      <c r="K208" s="46">
        <v>17226.843499999999</v>
      </c>
      <c r="L208" s="47">
        <v>183086.09229999999</v>
      </c>
      <c r="M208" s="48">
        <v>4097498</v>
      </c>
      <c r="N208" s="49">
        <v>2336417</v>
      </c>
      <c r="O208" s="49">
        <v>1761081</v>
      </c>
      <c r="P208" s="49">
        <v>0</v>
      </c>
      <c r="Q208" s="50">
        <v>9386.61425287356</v>
      </c>
      <c r="R208" s="51">
        <v>3204.3830289684602</v>
      </c>
      <c r="S208" s="49">
        <v>7796.8716590759504</v>
      </c>
      <c r="T208" s="49">
        <v>1771.5728801298601</v>
      </c>
      <c r="U208" s="49">
        <f>IFERROR(INDEX('Rentabilidad datos'!$N$2:$N$61,MATCH($C208,'Rentabilidad datos'!$C$2:$C$61,0)),"")</f>
        <v>12772.827568174269</v>
      </c>
      <c r="V208" s="50">
        <f>IFERROR(INDEX('Rentabilidad datos'!$O$2:$O$61,MATCH($C208,'Rentabilidad datos'!$C$2:$C$61,0)),"")</f>
        <v>1064.4022973478557</v>
      </c>
      <c r="W208" s="51">
        <f>IFERROR(INDEX('Rentabilidad datos'!$M$2:$M$61,MATCH($C208,'Rentabilidad datos'!$C$2:$C$61,0)),"")</f>
        <v>1969.9340858657986</v>
      </c>
      <c r="X208" s="52">
        <f>IFERROR(INDEX('Rentabilidad datos'!$P$2:$P$61,MATCH($C208,'Rentabilidad datos'!$C$2:$C$61,0)),"")</f>
        <v>0.5403238133625391</v>
      </c>
      <c r="Y208" s="43" t="s">
        <v>211</v>
      </c>
      <c r="Z208" s="53">
        <v>44.435897435897402</v>
      </c>
      <c r="AA208" s="43">
        <v>2</v>
      </c>
      <c r="AB208" s="54">
        <v>0.71956813645790674</v>
      </c>
      <c r="AC208" s="55">
        <v>0.28043186354209326</v>
      </c>
      <c r="AD208" s="752" t="e">
        <f>_xlfn.XLOOKUP(Table1[[#This Row],[Ruta]],#REF!,#REF!)</f>
        <v>#REF!</v>
      </c>
      <c r="AE208" s="752" t="e">
        <f>_xlfn.XLOOKUP(Table1[[#This Row],[Ruta]],#REF!,#REF!)</f>
        <v>#REF!</v>
      </c>
      <c r="AF208" s="752" t="e">
        <f>_xlfn.XLOOKUP(Table1[[#This Row],[Ruta]],#REF!,#REF!)</f>
        <v>#REF!</v>
      </c>
      <c r="AG208" s="752" t="e">
        <f>_xlfn.XLOOKUP(Table1[[#This Row],[Ruta]],#REF!,#REF!)</f>
        <v>#REF!</v>
      </c>
      <c r="AH208" s="52">
        <v>0.57020576947200463</v>
      </c>
      <c r="AI208" s="52">
        <v>0.42979423052799537</v>
      </c>
      <c r="AJ208" s="55">
        <v>0</v>
      </c>
      <c r="AK208" s="56">
        <v>19063</v>
      </c>
      <c r="AL208" s="44">
        <v>15407</v>
      </c>
      <c r="AM208" s="54">
        <v>0.80249698368567401</v>
      </c>
      <c r="AN208" s="55">
        <v>0.50763802729528495</v>
      </c>
      <c r="AO208" s="56">
        <v>0</v>
      </c>
      <c r="AP208" s="48">
        <v>0</v>
      </c>
      <c r="AQ208" s="55">
        <v>0.80821486649530505</v>
      </c>
      <c r="AR208" s="51">
        <v>4083177.2</v>
      </c>
      <c r="AS208" s="49">
        <v>0</v>
      </c>
      <c r="AT208" s="55">
        <v>0</v>
      </c>
      <c r="AU208" s="51">
        <v>0</v>
      </c>
      <c r="AV208" s="52">
        <v>0</v>
      </c>
      <c r="AW208" s="44">
        <v>490</v>
      </c>
      <c r="AX208" s="51">
        <v>265.02091257220798</v>
      </c>
      <c r="AY208" s="49">
        <v>265.02091257220798</v>
      </c>
      <c r="AZ208" s="49">
        <v>0</v>
      </c>
      <c r="BA208" s="42" t="s">
        <v>152</v>
      </c>
      <c r="BB208" s="50">
        <v>0</v>
      </c>
      <c r="BC208" s="57">
        <v>0</v>
      </c>
      <c r="BD208" s="42" t="s">
        <v>150</v>
      </c>
      <c r="BE208" s="46">
        <v>44.435897435897402</v>
      </c>
      <c r="BF208" s="46">
        <v>53.200688073394502</v>
      </c>
      <c r="BG208" s="42" t="s">
        <v>152</v>
      </c>
      <c r="BH208" s="52">
        <v>0.80249698368567401</v>
      </c>
      <c r="BI208" s="52">
        <v>0.59727423215011399</v>
      </c>
      <c r="BJ208" s="42" t="s">
        <v>150</v>
      </c>
      <c r="BK208" s="46">
        <v>420.88756850574703</v>
      </c>
      <c r="BL208" s="46">
        <v>326.63180315825701</v>
      </c>
      <c r="BM208" s="42" t="s">
        <v>150</v>
      </c>
      <c r="BN208" s="48">
        <v>2</v>
      </c>
      <c r="BO208" s="42" t="s">
        <v>161</v>
      </c>
      <c r="BP208" s="42" t="s">
        <v>152</v>
      </c>
      <c r="BQ208" s="46">
        <v>0</v>
      </c>
      <c r="BR208" s="46">
        <v>959</v>
      </c>
      <c r="BS208" s="46">
        <v>66103</v>
      </c>
      <c r="BT208" s="46">
        <v>19141</v>
      </c>
      <c r="BU208" s="46">
        <v>3.4534768298417009</v>
      </c>
      <c r="BV208" s="46">
        <v>19.959332638164756</v>
      </c>
      <c r="BW208" s="46">
        <v>713</v>
      </c>
      <c r="BX208" s="46">
        <v>4622</v>
      </c>
      <c r="BY208" s="46">
        <v>5335</v>
      </c>
      <c r="BZ208" s="46">
        <v>0.27872106995454782</v>
      </c>
      <c r="CA208" s="46">
        <v>3.7249882451282593E-2</v>
      </c>
      <c r="CB208" s="46">
        <v>0.24147118750326518</v>
      </c>
      <c r="CC208" s="46">
        <v>0.22339480695888411</v>
      </c>
      <c r="CD208" s="46">
        <v>0.11331696358601949</v>
      </c>
      <c r="CE208" s="46">
        <v>0</v>
      </c>
      <c r="CF208" s="46">
        <v>0.38456715950054848</v>
      </c>
      <c r="CG208" s="46">
        <v>0</v>
      </c>
      <c r="CH208" s="46">
        <v>0</v>
      </c>
      <c r="CI208" s="46">
        <v>3.5701859219702579</v>
      </c>
      <c r="CJ208" s="46">
        <v>0.27230231608247729</v>
      </c>
      <c r="CK208">
        <v>310</v>
      </c>
      <c r="CL208">
        <v>450.68</v>
      </c>
      <c r="CM208">
        <f t="shared" si="28"/>
        <v>140.68</v>
      </c>
      <c r="CN208">
        <v>14.91</v>
      </c>
      <c r="CO208">
        <v>9.4499999999999993</v>
      </c>
      <c r="CP208">
        <f t="shared" si="29"/>
        <v>-5.4600000000000009</v>
      </c>
      <c r="CQ208">
        <v>609.19000000000005</v>
      </c>
      <c r="CR208">
        <v>420.89</v>
      </c>
      <c r="CS208">
        <f t="shared" si="30"/>
        <v>188.30000000000007</v>
      </c>
      <c r="CT208" t="s">
        <v>150</v>
      </c>
      <c r="CU208">
        <v>161.77000000000001</v>
      </c>
      <c r="CV208">
        <v>188</v>
      </c>
      <c r="CW208" s="46">
        <v>5335</v>
      </c>
      <c r="CX208" s="46">
        <f t="shared" si="24"/>
        <v>27.137140170315028</v>
      </c>
      <c r="CY208" s="46">
        <v>140.68</v>
      </c>
      <c r="CZ208" s="46">
        <f t="shared" si="25"/>
        <v>27.872106995454782</v>
      </c>
      <c r="DA208" s="46">
        <f t="shared" si="26"/>
        <v>68.561012318428681</v>
      </c>
      <c r="DB208" s="46">
        <v>1321971.5</v>
      </c>
      <c r="DC208" s="46">
        <f t="shared" si="27"/>
        <v>3.0478127424581261</v>
      </c>
      <c r="DD208" s="46">
        <v>58766.95</v>
      </c>
      <c r="DE208" s="995">
        <v>5335</v>
      </c>
      <c r="DF208" s="995">
        <v>27.141999999999999</v>
      </c>
      <c r="DG208" s="995">
        <v>139.69999999999999</v>
      </c>
      <c r="DH208" s="995">
        <v>27.872</v>
      </c>
      <c r="DI208" s="995">
        <v>173.785</v>
      </c>
      <c r="DJ208" s="995">
        <v>3350695</v>
      </c>
      <c r="DK208" s="995">
        <v>7.8529999999999998</v>
      </c>
      <c r="DL208" s="995">
        <v>151416.79999999999</v>
      </c>
      <c r="DM208" s="995">
        <v>5335</v>
      </c>
      <c r="DN208" s="995">
        <v>27.158000000000001</v>
      </c>
      <c r="DO208" s="995">
        <v>136.69999999999999</v>
      </c>
      <c r="DP208" s="995">
        <v>27.872</v>
      </c>
      <c r="DQ208" s="995">
        <v>172.87100000000001</v>
      </c>
      <c r="DR208" s="995">
        <v>3332561</v>
      </c>
      <c r="DS208" s="995">
        <v>7.8129999999999997</v>
      </c>
      <c r="DT208" s="995">
        <v>150608.6</v>
      </c>
    </row>
    <row r="209" spans="1:124">
      <c r="A209" s="42" t="s">
        <v>93</v>
      </c>
      <c r="B209" s="42" t="s">
        <v>388</v>
      </c>
      <c r="C209" s="42" t="s">
        <v>389</v>
      </c>
      <c r="D209" s="42">
        <v>217402</v>
      </c>
      <c r="E209" s="42" t="s">
        <v>398</v>
      </c>
      <c r="F209" s="42" t="s">
        <v>149</v>
      </c>
      <c r="G209" s="42" t="s">
        <v>150</v>
      </c>
      <c r="H209" s="43" t="s">
        <v>150</v>
      </c>
      <c r="I209" s="44">
        <v>13</v>
      </c>
      <c r="J209" s="45">
        <v>91790.221600000004</v>
      </c>
      <c r="K209" s="46">
        <v>12972.212164</v>
      </c>
      <c r="L209" s="47">
        <v>104762.433764</v>
      </c>
      <c r="M209" s="48">
        <v>2529922</v>
      </c>
      <c r="N209" s="49">
        <v>1330482</v>
      </c>
      <c r="O209" s="49">
        <v>1199440</v>
      </c>
      <c r="P209" s="49">
        <v>0</v>
      </c>
      <c r="Q209" s="50">
        <v>5643.2329425287398</v>
      </c>
      <c r="R209" s="51">
        <v>3204.3830289684602</v>
      </c>
      <c r="S209" s="49">
        <v>7796.8716590759504</v>
      </c>
      <c r="T209" s="49">
        <v>1771.5728801298601</v>
      </c>
      <c r="U209" s="49">
        <f>IFERROR(INDEX('Rentabilidad datos'!$N$2:$N$61,MATCH($C209,'Rentabilidad datos'!$C$2:$C$61,0)),"")</f>
        <v>12772.827568174269</v>
      </c>
      <c r="V209" s="50">
        <f>IFERROR(INDEX('Rentabilidad datos'!$O$2:$O$61,MATCH($C209,'Rentabilidad datos'!$C$2:$C$61,0)),"")</f>
        <v>1064.4022973478557</v>
      </c>
      <c r="W209" s="51">
        <f>IFERROR(INDEX('Rentabilidad datos'!$M$2:$M$61,MATCH($C209,'Rentabilidad datos'!$C$2:$C$61,0)),"")</f>
        <v>1969.9340858657986</v>
      </c>
      <c r="X209" s="52">
        <f>IFERROR(INDEX('Rentabilidad datos'!$P$2:$P$61,MATCH($C209,'Rentabilidad datos'!$C$2:$C$61,0)),"")</f>
        <v>0.5403238133625391</v>
      </c>
      <c r="Y209" s="43" t="s">
        <v>211</v>
      </c>
      <c r="Z209" s="53">
        <v>51.406896551724103</v>
      </c>
      <c r="AA209" s="43">
        <v>2</v>
      </c>
      <c r="AB209" s="54">
        <v>0.72947031568562193</v>
      </c>
      <c r="AC209" s="55">
        <v>0.27052968431437807</v>
      </c>
      <c r="AD209" s="752" t="e">
        <f>_xlfn.XLOOKUP(Table1[[#This Row],[Ruta]],#REF!,#REF!)</f>
        <v>#REF!</v>
      </c>
      <c r="AE209" s="752" t="e">
        <f>_xlfn.XLOOKUP(Table1[[#This Row],[Ruta]],#REF!,#REF!)</f>
        <v>#REF!</v>
      </c>
      <c r="AF209" s="752" t="e">
        <f>_xlfn.XLOOKUP(Table1[[#This Row],[Ruta]],#REF!,#REF!)</f>
        <v>#REF!</v>
      </c>
      <c r="AG209" s="752" t="e">
        <f>_xlfn.XLOOKUP(Table1[[#This Row],[Ruta]],#REF!,#REF!)</f>
        <v>#REF!</v>
      </c>
      <c r="AH209" s="52">
        <v>0.52589842690802324</v>
      </c>
      <c r="AI209" s="52">
        <v>0.47410157309197676</v>
      </c>
      <c r="AJ209" s="55">
        <v>0</v>
      </c>
      <c r="AK209" s="56">
        <v>22362</v>
      </c>
      <c r="AL209" s="44">
        <v>9510</v>
      </c>
      <c r="AM209" s="54">
        <v>0.425275020123424</v>
      </c>
      <c r="AN209" s="55">
        <v>0.50763802729528495</v>
      </c>
      <c r="AO209" s="56">
        <v>1841.80156637717</v>
      </c>
      <c r="AP209" s="48">
        <v>920.90078318858502</v>
      </c>
      <c r="AQ209" s="55">
        <v>0.46645652370935448</v>
      </c>
      <c r="AR209" s="51">
        <v>2454806.33</v>
      </c>
      <c r="AS209" s="49">
        <v>237711.15371958949</v>
      </c>
      <c r="AT209" s="55">
        <v>9.683499297461462E-2</v>
      </c>
      <c r="AU209" s="51">
        <v>167040.27018133321</v>
      </c>
      <c r="AV209" s="52">
        <v>7.5988199651288221E-4</v>
      </c>
      <c r="AW209" s="44">
        <v>338</v>
      </c>
      <c r="AX209" s="51">
        <v>258.12895162986302</v>
      </c>
      <c r="AY209" s="49">
        <v>265.02091257220798</v>
      </c>
      <c r="AZ209" s="49">
        <v>6.8919609423449515</v>
      </c>
      <c r="BA209" s="42" t="s">
        <v>150</v>
      </c>
      <c r="BB209" s="50">
        <v>23028.463008165047</v>
      </c>
      <c r="BC209" s="57">
        <v>190068.73318949825</v>
      </c>
      <c r="BD209" s="42" t="s">
        <v>150</v>
      </c>
      <c r="BE209" s="46">
        <v>51.406896551724103</v>
      </c>
      <c r="BF209" s="46">
        <v>53.200688073394502</v>
      </c>
      <c r="BG209" s="42" t="s">
        <v>152</v>
      </c>
      <c r="BH209" s="52">
        <v>0.425275020123424</v>
      </c>
      <c r="BI209" s="52">
        <v>0.59727423215011399</v>
      </c>
      <c r="BJ209" s="42" t="s">
        <v>152</v>
      </c>
      <c r="BK209" s="46">
        <v>240.83318106666701</v>
      </c>
      <c r="BL209" s="46">
        <v>326.63180315825701</v>
      </c>
      <c r="BM209" s="42" t="s">
        <v>152</v>
      </c>
      <c r="BN209" s="48">
        <v>0</v>
      </c>
      <c r="BO209" s="42" t="s">
        <v>155</v>
      </c>
      <c r="BP209" s="42" t="s">
        <v>152</v>
      </c>
      <c r="BQ209" s="46">
        <v>5127.1151611962796</v>
      </c>
      <c r="BR209" s="46">
        <v>1680</v>
      </c>
      <c r="BS209" s="46">
        <v>106665</v>
      </c>
      <c r="BT209" s="46">
        <v>30005</v>
      </c>
      <c r="BU209" s="46">
        <v>3.5549075154140977</v>
      </c>
      <c r="BV209" s="46">
        <v>17.860119047619047</v>
      </c>
      <c r="BW209" s="46">
        <v>284</v>
      </c>
      <c r="BX209" s="46">
        <v>2070</v>
      </c>
      <c r="BY209" s="46">
        <v>2354</v>
      </c>
      <c r="BZ209" s="46">
        <v>7.8453591068155304E-2</v>
      </c>
      <c r="CA209" s="46">
        <v>9.4650891518080326E-3</v>
      </c>
      <c r="CB209" s="46">
        <v>6.898850191634727E-2</v>
      </c>
      <c r="CC209" s="46">
        <v>0.1833361106482253</v>
      </c>
      <c r="CD209" s="46">
        <v>0</v>
      </c>
      <c r="CE209" s="46">
        <v>0</v>
      </c>
      <c r="CF209" s="46">
        <v>0.73821029828361939</v>
      </c>
      <c r="CG209" s="46">
        <v>0</v>
      </c>
      <c r="CH209" s="46">
        <v>0</v>
      </c>
      <c r="CI209" s="46">
        <v>4.4250691417053396</v>
      </c>
      <c r="CJ209" s="46">
        <v>0.22500351567993249</v>
      </c>
      <c r="CK209">
        <v>277</v>
      </c>
      <c r="CL209">
        <v>338.22</v>
      </c>
      <c r="CM209">
        <f t="shared" si="28"/>
        <v>61.220000000000027</v>
      </c>
      <c r="CN209">
        <v>7.15</v>
      </c>
      <c r="CO209">
        <v>9.4499999999999993</v>
      </c>
      <c r="CP209">
        <f t="shared" si="29"/>
        <v>2.2999999999999989</v>
      </c>
      <c r="CQ209">
        <v>609.19000000000005</v>
      </c>
      <c r="CR209">
        <v>240.83</v>
      </c>
      <c r="CS209">
        <f t="shared" si="30"/>
        <v>368.36</v>
      </c>
      <c r="CT209" t="s">
        <v>152</v>
      </c>
      <c r="CU209">
        <v>75.7</v>
      </c>
      <c r="CV209">
        <v>93</v>
      </c>
      <c r="CW209" s="46">
        <v>2354</v>
      </c>
      <c r="CX209" s="46">
        <f t="shared" si="24"/>
        <v>7.6413264455924015</v>
      </c>
      <c r="CY209" s="46">
        <v>61.22</v>
      </c>
      <c r="CZ209" s="46">
        <f t="shared" si="25"/>
        <v>7.8453591068155308</v>
      </c>
      <c r="DA209" s="46">
        <f t="shared" si="26"/>
        <v>30.504166469878818</v>
      </c>
      <c r="DB209" s="46">
        <v>917144.98</v>
      </c>
      <c r="DC209" s="46">
        <f t="shared" si="27"/>
        <v>1.2562586849959854</v>
      </c>
      <c r="DD209" s="46">
        <v>37770.949999999997</v>
      </c>
      <c r="DE209" s="995">
        <v>2354</v>
      </c>
      <c r="DF209" s="995">
        <v>7.6639999999999997</v>
      </c>
      <c r="DG209" s="995">
        <v>54.4</v>
      </c>
      <c r="DH209" s="995">
        <v>7.8449999999999998</v>
      </c>
      <c r="DI209" s="995">
        <v>93.158000000000001</v>
      </c>
      <c r="DJ209" s="995">
        <v>2800274</v>
      </c>
      <c r="DK209" s="995">
        <v>3.8879999999999999</v>
      </c>
      <c r="DL209" s="995">
        <v>116857.4</v>
      </c>
      <c r="DM209" s="995">
        <v>2354</v>
      </c>
      <c r="DN209" s="995">
        <v>7.6719999999999997</v>
      </c>
      <c r="DO209" s="995">
        <v>52.1</v>
      </c>
      <c r="DP209" s="995">
        <v>7.8449999999999998</v>
      </c>
      <c r="DQ209" s="995">
        <v>92.665999999999997</v>
      </c>
      <c r="DR209" s="995">
        <v>2785261</v>
      </c>
      <c r="DS209" s="995">
        <v>3.867</v>
      </c>
      <c r="DT209" s="995">
        <v>116226.2</v>
      </c>
    </row>
    <row r="210" spans="1:124">
      <c r="A210" s="42" t="s">
        <v>93</v>
      </c>
      <c r="B210" s="42" t="s">
        <v>388</v>
      </c>
      <c r="C210" s="42" t="s">
        <v>389</v>
      </c>
      <c r="D210" s="42">
        <v>217403</v>
      </c>
      <c r="E210" s="42" t="s">
        <v>399</v>
      </c>
      <c r="F210" s="42" t="s">
        <v>149</v>
      </c>
      <c r="G210" s="42" t="s">
        <v>150</v>
      </c>
      <c r="H210" s="43" t="s">
        <v>150</v>
      </c>
      <c r="I210" s="44">
        <v>13</v>
      </c>
      <c r="J210" s="45">
        <v>112054.5888</v>
      </c>
      <c r="K210" s="46">
        <v>10178.176458</v>
      </c>
      <c r="L210" s="47">
        <v>122232.765258</v>
      </c>
      <c r="M210" s="48">
        <v>2457214</v>
      </c>
      <c r="N210" s="49">
        <v>1599217</v>
      </c>
      <c r="O210" s="49">
        <v>857997</v>
      </c>
      <c r="P210" s="49">
        <v>0</v>
      </c>
      <c r="Q210" s="50">
        <v>5691.92135632184</v>
      </c>
      <c r="R210" s="51">
        <v>3204.3830289684602</v>
      </c>
      <c r="S210" s="49">
        <v>7796.8716590759504</v>
      </c>
      <c r="T210" s="49">
        <v>1771.5728801298601</v>
      </c>
      <c r="U210" s="49">
        <f>IFERROR(INDEX('Rentabilidad datos'!$N$2:$N$61,MATCH($C210,'Rentabilidad datos'!$C$2:$C$61,0)),"")</f>
        <v>12772.827568174269</v>
      </c>
      <c r="V210" s="50">
        <f>IFERROR(INDEX('Rentabilidad datos'!$O$2:$O$61,MATCH($C210,'Rentabilidad datos'!$C$2:$C$61,0)),"")</f>
        <v>1064.4022973478557</v>
      </c>
      <c r="W210" s="51">
        <f>IFERROR(INDEX('Rentabilidad datos'!$M$2:$M$61,MATCH($C210,'Rentabilidad datos'!$C$2:$C$61,0)),"")</f>
        <v>1969.9340858657986</v>
      </c>
      <c r="X210" s="52">
        <f>IFERROR(INDEX('Rentabilidad datos'!$P$2:$P$61,MATCH($C210,'Rentabilidad datos'!$C$2:$C$61,0)),"")</f>
        <v>0.5403238133625391</v>
      </c>
      <c r="Y210" s="43" t="s">
        <v>211</v>
      </c>
      <c r="Z210" s="53">
        <v>90.303448275862095</v>
      </c>
      <c r="AA210" s="43">
        <v>2</v>
      </c>
      <c r="AB210" s="54">
        <v>0.810696178680408</v>
      </c>
      <c r="AC210" s="55">
        <v>0.18930382131959203</v>
      </c>
      <c r="AD210" s="752" t="e">
        <f>_xlfn.XLOOKUP(Table1[[#This Row],[Ruta]],#REF!,#REF!)</f>
        <v>#REF!</v>
      </c>
      <c r="AE210" s="752" t="e">
        <f>_xlfn.XLOOKUP(Table1[[#This Row],[Ruta]],#REF!,#REF!)</f>
        <v>#REF!</v>
      </c>
      <c r="AF210" s="752" t="e">
        <f>_xlfn.XLOOKUP(Table1[[#This Row],[Ruta]],#REF!,#REF!)</f>
        <v>#REF!</v>
      </c>
      <c r="AG210" s="752" t="e">
        <f>_xlfn.XLOOKUP(Table1[[#This Row],[Ruta]],#REF!,#REF!)</f>
        <v>#REF!</v>
      </c>
      <c r="AH210" s="52">
        <v>0.65082528424467712</v>
      </c>
      <c r="AI210" s="52">
        <v>0.34917471575532288</v>
      </c>
      <c r="AJ210" s="55">
        <v>0</v>
      </c>
      <c r="AK210" s="56">
        <v>39282</v>
      </c>
      <c r="AL210" s="44">
        <v>14846</v>
      </c>
      <c r="AM210" s="54">
        <v>0.37793391375184598</v>
      </c>
      <c r="AN210" s="55">
        <v>0.50763802729528495</v>
      </c>
      <c r="AO210" s="56">
        <v>5095.0369882134</v>
      </c>
      <c r="AP210" s="48">
        <v>2547.5184941067</v>
      </c>
      <c r="AQ210" s="55">
        <v>0.44278597052356544</v>
      </c>
      <c r="AR210" s="51">
        <v>2475985.79</v>
      </c>
      <c r="AS210" s="49">
        <v>424869.9711148045</v>
      </c>
      <c r="AT210" s="55">
        <v>0.17159628816561362</v>
      </c>
      <c r="AU210" s="51">
        <v>298557.27699959249</v>
      </c>
      <c r="AV210" s="52">
        <v>1.3581653063277465E-3</v>
      </c>
      <c r="AW210" s="44">
        <v>244</v>
      </c>
      <c r="AX210" s="51">
        <v>166.77797319143201</v>
      </c>
      <c r="AY210" s="49">
        <v>265.02091257220798</v>
      </c>
      <c r="AZ210" s="49">
        <v>98.242939380775965</v>
      </c>
      <c r="BA210" s="42" t="s">
        <v>150</v>
      </c>
      <c r="BB210" s="50">
        <v>512451.10309759475</v>
      </c>
      <c r="BC210" s="57">
        <v>811008.38009718724</v>
      </c>
      <c r="BD210" s="42" t="s">
        <v>150</v>
      </c>
      <c r="BE210" s="46">
        <v>90.303448275862095</v>
      </c>
      <c r="BF210" s="46">
        <v>53.200688073394502</v>
      </c>
      <c r="BG210" s="42" t="s">
        <v>150</v>
      </c>
      <c r="BH210" s="52">
        <v>0.37793391375184598</v>
      </c>
      <c r="BI210" s="52">
        <v>0.59727423215011399</v>
      </c>
      <c r="BJ210" s="42" t="s">
        <v>152</v>
      </c>
      <c r="BK210" s="46">
        <v>280.99486266206901</v>
      </c>
      <c r="BL210" s="46">
        <v>326.63180315825701</v>
      </c>
      <c r="BM210" s="42" t="s">
        <v>152</v>
      </c>
      <c r="BN210" s="48">
        <v>1</v>
      </c>
      <c r="BO210" s="42" t="s">
        <v>155</v>
      </c>
      <c r="BP210" s="42" t="s">
        <v>152</v>
      </c>
      <c r="BQ210" s="46">
        <v>0</v>
      </c>
      <c r="BR210" s="46">
        <v>1392</v>
      </c>
      <c r="BS210" s="46">
        <v>116737</v>
      </c>
      <c r="BT210" s="46">
        <v>34296</v>
      </c>
      <c r="BU210" s="46">
        <v>3.4038080242593889</v>
      </c>
      <c r="BV210" s="46">
        <v>24.637931034482758</v>
      </c>
      <c r="BW210" s="46">
        <v>0</v>
      </c>
      <c r="BX210" s="46">
        <v>5101</v>
      </c>
      <c r="BY210" s="46">
        <v>5101</v>
      </c>
      <c r="BZ210" s="46">
        <v>0.14873454630277583</v>
      </c>
      <c r="CA210" s="46">
        <v>0</v>
      </c>
      <c r="CB210" s="46">
        <v>0.1487345463027758</v>
      </c>
      <c r="CC210" s="46">
        <v>0.28431887100536513</v>
      </c>
      <c r="CD210" s="46">
        <v>0.1169524142757173</v>
      </c>
      <c r="CE210" s="46">
        <v>0</v>
      </c>
      <c r="CF210" s="46">
        <v>0.44999416841614182</v>
      </c>
      <c r="CG210" s="46">
        <v>0</v>
      </c>
      <c r="CH210" s="46">
        <v>0</v>
      </c>
      <c r="CI210" s="46">
        <v>3.3836744134250489</v>
      </c>
      <c r="CJ210" s="46">
        <v>0.35121683784918228</v>
      </c>
      <c r="CK210">
        <v>401</v>
      </c>
      <c r="CL210">
        <v>531.66</v>
      </c>
      <c r="CM210">
        <f t="shared" si="28"/>
        <v>130.65999999999997</v>
      </c>
      <c r="CN210">
        <v>10.029999999999999</v>
      </c>
      <c r="CO210">
        <v>9.4499999999999993</v>
      </c>
      <c r="CP210">
        <f t="shared" si="29"/>
        <v>-0.58000000000000007</v>
      </c>
      <c r="CQ210">
        <v>609.19000000000005</v>
      </c>
      <c r="CR210">
        <v>280.99</v>
      </c>
      <c r="CS210">
        <f t="shared" si="30"/>
        <v>328.20000000000005</v>
      </c>
      <c r="CT210" t="s">
        <v>150</v>
      </c>
      <c r="CU210">
        <v>106.18</v>
      </c>
      <c r="CV210">
        <v>189</v>
      </c>
      <c r="CW210" s="46">
        <v>5101</v>
      </c>
      <c r="CX210" s="46">
        <f t="shared" si="24"/>
        <v>14.492477256822953</v>
      </c>
      <c r="CY210" s="46">
        <v>130.66</v>
      </c>
      <c r="CZ210" s="46">
        <f t="shared" si="25"/>
        <v>14.873454630277582</v>
      </c>
      <c r="DA210" s="46">
        <f t="shared" si="26"/>
        <v>39.220257788585933</v>
      </c>
      <c r="DB210" s="46">
        <v>1350222.48</v>
      </c>
      <c r="DC210" s="46">
        <f t="shared" si="27"/>
        <v>1.9091959545305877</v>
      </c>
      <c r="DD210" s="46">
        <v>65727.240000000005</v>
      </c>
      <c r="DE210" s="995">
        <v>5101</v>
      </c>
      <c r="DF210" s="995">
        <v>14.526</v>
      </c>
      <c r="DG210" s="995">
        <v>119.1</v>
      </c>
      <c r="DH210" s="995">
        <v>14.872999999999999</v>
      </c>
      <c r="DI210" s="995">
        <v>106.776</v>
      </c>
      <c r="DJ210" s="995">
        <v>3674696</v>
      </c>
      <c r="DK210" s="995">
        <v>5.1950000000000003</v>
      </c>
      <c r="DL210" s="995">
        <v>178780</v>
      </c>
      <c r="DM210" s="995">
        <v>5101</v>
      </c>
      <c r="DN210" s="995">
        <v>14.535</v>
      </c>
      <c r="DO210" s="995">
        <v>116</v>
      </c>
      <c r="DP210" s="995">
        <v>14.872999999999999</v>
      </c>
      <c r="DQ210" s="995">
        <v>106.29900000000001</v>
      </c>
      <c r="DR210" s="995">
        <v>3657963</v>
      </c>
      <c r="DS210" s="995">
        <v>5.1710000000000003</v>
      </c>
      <c r="DT210" s="995">
        <v>177958.1</v>
      </c>
    </row>
    <row r="211" spans="1:124">
      <c r="A211" s="42" t="s">
        <v>93</v>
      </c>
      <c r="B211" s="42" t="s">
        <v>388</v>
      </c>
      <c r="C211" s="42" t="s">
        <v>389</v>
      </c>
      <c r="D211" s="42">
        <v>217404</v>
      </c>
      <c r="E211" s="42" t="s">
        <v>400</v>
      </c>
      <c r="F211" s="42" t="s">
        <v>149</v>
      </c>
      <c r="G211" s="42" t="s">
        <v>150</v>
      </c>
      <c r="H211" s="43" t="s">
        <v>150</v>
      </c>
      <c r="I211" s="44">
        <v>13</v>
      </c>
      <c r="J211" s="45">
        <v>1630.8712</v>
      </c>
      <c r="K211" s="46">
        <v>352.12611800000002</v>
      </c>
      <c r="L211" s="47">
        <v>1982.997318</v>
      </c>
      <c r="M211" s="48">
        <v>33835</v>
      </c>
      <c r="N211" s="49">
        <v>20880</v>
      </c>
      <c r="O211" s="49">
        <v>12955</v>
      </c>
      <c r="P211" s="49">
        <v>0</v>
      </c>
      <c r="Q211" s="50">
        <v>214.44917012448099</v>
      </c>
      <c r="R211" s="51">
        <v>3204.3830289684602</v>
      </c>
      <c r="S211" s="49">
        <v>7796.8716590759504</v>
      </c>
      <c r="T211" s="49">
        <v>1771.5728801298601</v>
      </c>
      <c r="U211" s="49">
        <f>IFERROR(INDEX('Rentabilidad datos'!$N$2:$N$61,MATCH($C211,'Rentabilidad datos'!$C$2:$C$61,0)),"")</f>
        <v>12772.827568174269</v>
      </c>
      <c r="V211" s="50">
        <f>IFERROR(INDEX('Rentabilidad datos'!$O$2:$O$61,MATCH($C211,'Rentabilidad datos'!$C$2:$C$61,0)),"")</f>
        <v>1064.4022973478557</v>
      </c>
      <c r="W211" s="51">
        <f>IFERROR(INDEX('Rentabilidad datos'!$M$2:$M$61,MATCH($C211,'Rentabilidad datos'!$C$2:$C$61,0)),"")</f>
        <v>1969.9340858657986</v>
      </c>
      <c r="X211" s="52">
        <f>IFERROR(INDEX('Rentabilidad datos'!$P$2:$P$61,MATCH($C211,'Rentabilidad datos'!$C$2:$C$61,0)),"")</f>
        <v>0.5403238133625391</v>
      </c>
      <c r="Y211" s="43" t="s">
        <v>211</v>
      </c>
      <c r="Z211" s="53">
        <v>71.766949152542395</v>
      </c>
      <c r="AA211" s="43">
        <v>2</v>
      </c>
      <c r="AB211" s="54">
        <v>0.98404019506428253</v>
      </c>
      <c r="AC211" s="55">
        <v>1.5959804935717452E-2</v>
      </c>
      <c r="AD211" s="752" t="e">
        <f>_xlfn.XLOOKUP(Table1[[#This Row],[Ruta]],#REF!,#REF!)</f>
        <v>#REF!</v>
      </c>
      <c r="AE211" s="752" t="e">
        <f>_xlfn.XLOOKUP(Table1[[#This Row],[Ruta]],#REF!,#REF!)</f>
        <v>#REF!</v>
      </c>
      <c r="AF211" s="752" t="e">
        <f>_xlfn.XLOOKUP(Table1[[#This Row],[Ruta]],#REF!,#REF!)</f>
        <v>#REF!</v>
      </c>
      <c r="AG211" s="752" t="e">
        <f>_xlfn.XLOOKUP(Table1[[#This Row],[Ruta]],#REF!,#REF!)</f>
        <v>#REF!</v>
      </c>
      <c r="AH211" s="52">
        <v>0.61711245751440813</v>
      </c>
      <c r="AI211" s="52">
        <v>0.38288754248559187</v>
      </c>
      <c r="AJ211" s="55">
        <v>0</v>
      </c>
      <c r="AK211" s="56">
        <v>16937</v>
      </c>
      <c r="AL211" s="44">
        <v>261</v>
      </c>
      <c r="AM211" s="54">
        <v>1.50557950050185E-2</v>
      </c>
      <c r="AN211" s="55">
        <v>0.50763802729528495</v>
      </c>
      <c r="AO211" s="56">
        <v>8342.8652683002492</v>
      </c>
      <c r="AP211" s="48">
        <v>4171.4326341501246</v>
      </c>
      <c r="AQ211" s="55">
        <v>0.26170116515027009</v>
      </c>
      <c r="AR211" s="51">
        <v>51682.25</v>
      </c>
      <c r="AS211" s="49">
        <v>826011.58718890999</v>
      </c>
      <c r="AT211" s="55">
        <v>15.982500513985169</v>
      </c>
      <c r="AU211" s="51">
        <v>580440.57478139643</v>
      </c>
      <c r="AV211" s="52">
        <v>2.640479103291475E-3</v>
      </c>
      <c r="AW211" s="44">
        <v>126</v>
      </c>
      <c r="AX211" s="51">
        <v>198.016283524904</v>
      </c>
      <c r="AY211" s="49">
        <v>265.02091257220798</v>
      </c>
      <c r="AZ211" s="49">
        <v>67.004629047303979</v>
      </c>
      <c r="BA211" s="42" t="s">
        <v>150</v>
      </c>
      <c r="BB211" s="50">
        <v>6144.5055772297965</v>
      </c>
      <c r="BC211" s="57">
        <v>586585.0803586262</v>
      </c>
      <c r="BD211" s="42" t="s">
        <v>150</v>
      </c>
      <c r="BE211" s="46">
        <v>71.766949152542395</v>
      </c>
      <c r="BF211" s="46">
        <v>53.200688073394502</v>
      </c>
      <c r="BG211" s="42" t="s">
        <v>150</v>
      </c>
      <c r="BH211" s="52">
        <v>1.50557950050186E-2</v>
      </c>
      <c r="BI211" s="52">
        <v>0.59727423215011399</v>
      </c>
      <c r="BJ211" s="42" t="s">
        <v>152</v>
      </c>
      <c r="BK211" s="46">
        <v>8.2282046390041508</v>
      </c>
      <c r="BL211" s="46">
        <v>326.63180315825701</v>
      </c>
      <c r="BM211" s="42" t="s">
        <v>152</v>
      </c>
      <c r="BN211" s="48">
        <v>1</v>
      </c>
      <c r="BO211" s="42" t="s">
        <v>155</v>
      </c>
      <c r="BP211" s="42" t="s">
        <v>152</v>
      </c>
      <c r="BQ211" s="46">
        <v>6929.2322135529403</v>
      </c>
      <c r="BR211" s="46">
        <v>663</v>
      </c>
      <c r="BS211" s="46">
        <v>51944</v>
      </c>
      <c r="BT211" s="46">
        <v>15522</v>
      </c>
      <c r="BU211" s="46">
        <v>3.3464759695915474</v>
      </c>
      <c r="BV211" s="46">
        <v>23.411764705882351</v>
      </c>
      <c r="BW211" s="46">
        <v>545</v>
      </c>
      <c r="BX211" s="46">
        <v>7583</v>
      </c>
      <c r="BY211" s="46">
        <v>8128</v>
      </c>
      <c r="BZ211" s="46">
        <v>0.52364386032727739</v>
      </c>
      <c r="CA211" s="46">
        <v>3.511145470944467E-2</v>
      </c>
      <c r="CB211" s="46">
        <v>0.48853240561783268</v>
      </c>
      <c r="CC211" s="46">
        <v>3.8010565648756598E-3</v>
      </c>
      <c r="CD211" s="46">
        <v>0.1912124726195078</v>
      </c>
      <c r="CE211" s="46">
        <v>0</v>
      </c>
      <c r="CF211" s="46">
        <v>0.28134261048833908</v>
      </c>
      <c r="CG211" s="46">
        <v>0</v>
      </c>
      <c r="CH211" s="46">
        <v>0</v>
      </c>
      <c r="CI211" s="46">
        <v>3.523024795934083</v>
      </c>
      <c r="CJ211" s="46">
        <v>0.42353303557677496</v>
      </c>
      <c r="CK211">
        <v>460</v>
      </c>
      <c r="CL211">
        <v>718.28</v>
      </c>
      <c r="CM211">
        <f t="shared" si="28"/>
        <v>258.27999999999997</v>
      </c>
      <c r="CN211">
        <v>14.69</v>
      </c>
      <c r="CO211">
        <v>9.4499999999999993</v>
      </c>
      <c r="CP211">
        <f t="shared" si="29"/>
        <v>-5.24</v>
      </c>
      <c r="CQ211">
        <v>609.19000000000005</v>
      </c>
      <c r="CR211">
        <v>8.23</v>
      </c>
      <c r="CS211">
        <f t="shared" si="30"/>
        <v>600.96</v>
      </c>
      <c r="CT211" t="s">
        <v>150</v>
      </c>
      <c r="CU211">
        <v>155.44999999999999</v>
      </c>
      <c r="CV211">
        <v>305</v>
      </c>
      <c r="CW211" s="46">
        <v>8128</v>
      </c>
      <c r="CX211" s="46">
        <f t="shared" si="24"/>
        <v>50.700425202937772</v>
      </c>
      <c r="CY211" s="46">
        <v>258.27999999999997</v>
      </c>
      <c r="CZ211" s="46">
        <f t="shared" si="25"/>
        <v>52.364386032727737</v>
      </c>
      <c r="DA211" s="46">
        <f t="shared" si="26"/>
        <v>208.0925065968411</v>
      </c>
      <c r="DB211" s="46">
        <v>3283758.02</v>
      </c>
      <c r="DC211" s="46">
        <f t="shared" si="27"/>
        <v>10.285908108094407</v>
      </c>
      <c r="DD211" s="46">
        <v>162314.51</v>
      </c>
      <c r="DE211" s="995">
        <v>8128</v>
      </c>
      <c r="DF211" s="995">
        <v>50.872</v>
      </c>
      <c r="DG211" s="995">
        <v>231.7</v>
      </c>
      <c r="DH211" s="995">
        <v>52.363999999999997</v>
      </c>
      <c r="DI211" s="995">
        <v>291.30500000000001</v>
      </c>
      <c r="DJ211" s="995">
        <v>4589130</v>
      </c>
      <c r="DK211" s="995">
        <v>14.35</v>
      </c>
      <c r="DL211" s="995">
        <v>226063.4</v>
      </c>
      <c r="DM211" s="995">
        <v>8128</v>
      </c>
      <c r="DN211" s="995">
        <v>50.94</v>
      </c>
      <c r="DO211" s="995">
        <v>221.1</v>
      </c>
      <c r="DP211" s="995">
        <v>52.363999999999997</v>
      </c>
      <c r="DQ211" s="995">
        <v>288.29599999999999</v>
      </c>
      <c r="DR211" s="995">
        <v>4538665</v>
      </c>
      <c r="DS211" s="995">
        <v>14.173</v>
      </c>
      <c r="DT211" s="995">
        <v>223130.2</v>
      </c>
    </row>
    <row r="212" spans="1:124">
      <c r="A212" s="42" t="s">
        <v>93</v>
      </c>
      <c r="B212" s="42" t="s">
        <v>388</v>
      </c>
      <c r="C212" s="42" t="s">
        <v>389</v>
      </c>
      <c r="D212" s="42">
        <v>217405</v>
      </c>
      <c r="E212" s="42" t="s">
        <v>401</v>
      </c>
      <c r="F212" s="42" t="s">
        <v>149</v>
      </c>
      <c r="G212" s="42" t="s">
        <v>150</v>
      </c>
      <c r="H212" s="43" t="s">
        <v>150</v>
      </c>
      <c r="I212" s="44">
        <v>13</v>
      </c>
      <c r="J212" s="45">
        <v>131582.77439999999</v>
      </c>
      <c r="K212" s="46">
        <v>11555.660347999999</v>
      </c>
      <c r="L212" s="47">
        <v>143138.434748</v>
      </c>
      <c r="M212" s="48">
        <v>2927537</v>
      </c>
      <c r="N212" s="49">
        <v>1856394</v>
      </c>
      <c r="O212" s="49">
        <v>1071143</v>
      </c>
      <c r="P212" s="49">
        <v>0</v>
      </c>
      <c r="Q212" s="50">
        <v>6729.9684827586198</v>
      </c>
      <c r="R212" s="51">
        <v>3204.3830289684602</v>
      </c>
      <c r="S212" s="49">
        <v>7796.8716590759504</v>
      </c>
      <c r="T212" s="49">
        <v>1771.5728801298601</v>
      </c>
      <c r="U212" s="49">
        <f>IFERROR(INDEX('Rentabilidad datos'!$N$2:$N$61,MATCH($C212,'Rentabilidad datos'!$C$2:$C$61,0)),"")</f>
        <v>12772.827568174269</v>
      </c>
      <c r="V212" s="50">
        <f>IFERROR(INDEX('Rentabilidad datos'!$O$2:$O$61,MATCH($C212,'Rentabilidad datos'!$C$2:$C$61,0)),"")</f>
        <v>1064.4022973478557</v>
      </c>
      <c r="W212" s="51">
        <f>IFERROR(INDEX('Rentabilidad datos'!$M$2:$M$61,MATCH($C212,'Rentabilidad datos'!$C$2:$C$61,0)),"")</f>
        <v>1969.9340858657986</v>
      </c>
      <c r="X212" s="52">
        <f>IFERROR(INDEX('Rentabilidad datos'!$P$2:$P$61,MATCH($C212,'Rentabilidad datos'!$C$2:$C$61,0)),"")</f>
        <v>0.5403238133625391</v>
      </c>
      <c r="Y212" s="43" t="s">
        <v>211</v>
      </c>
      <c r="Z212" s="53">
        <v>71.508045977011506</v>
      </c>
      <c r="AA212" s="43">
        <v>2</v>
      </c>
      <c r="AB212" s="54">
        <v>0.76689107601372764</v>
      </c>
      <c r="AC212" s="55">
        <v>0.23310892398627242</v>
      </c>
      <c r="AD212" s="752" t="e">
        <f>_xlfn.XLOOKUP(Table1[[#This Row],[Ruta]],#REF!,#REF!)</f>
        <v>#REF!</v>
      </c>
      <c r="AE212" s="752" t="e">
        <f>_xlfn.XLOOKUP(Table1[[#This Row],[Ruta]],#REF!,#REF!)</f>
        <v>#REF!</v>
      </c>
      <c r="AF212" s="752" t="e">
        <f>_xlfn.XLOOKUP(Table1[[#This Row],[Ruta]],#REF!,#REF!)</f>
        <v>#REF!</v>
      </c>
      <c r="AG212" s="752" t="e">
        <f>_xlfn.XLOOKUP(Table1[[#This Row],[Ruta]],#REF!,#REF!)</f>
        <v>#REF!</v>
      </c>
      <c r="AH212" s="52">
        <v>0.63411461580161066</v>
      </c>
      <c r="AI212" s="52">
        <v>0.36588538419838929</v>
      </c>
      <c r="AJ212" s="55">
        <v>0</v>
      </c>
      <c r="AK212" s="56">
        <v>31106</v>
      </c>
      <c r="AL212" s="44">
        <v>11516</v>
      </c>
      <c r="AM212" s="54">
        <v>0.37021796437986199</v>
      </c>
      <c r="AN212" s="55">
        <v>0.50763802729528495</v>
      </c>
      <c r="AO212" s="56">
        <v>4274.5884770471503</v>
      </c>
      <c r="AP212" s="48">
        <v>2137.2942385235751</v>
      </c>
      <c r="AQ212" s="55">
        <v>0.43892799583757391</v>
      </c>
      <c r="AR212" s="51">
        <v>2927536.29</v>
      </c>
      <c r="AS212" s="49">
        <v>543331.57743015501</v>
      </c>
      <c r="AT212" s="55">
        <v>0.18559345593292542</v>
      </c>
      <c r="AU212" s="51">
        <v>381800.56792389287</v>
      </c>
      <c r="AV212" s="52">
        <v>1.7368469142728996E-3</v>
      </c>
      <c r="AW212" s="44">
        <v>198</v>
      </c>
      <c r="AX212" s="51">
        <v>254.21468304966999</v>
      </c>
      <c r="AY212" s="49">
        <v>265.02091257220798</v>
      </c>
      <c r="AZ212" s="49">
        <v>10.80622952253799</v>
      </c>
      <c r="BA212" s="42" t="s">
        <v>150</v>
      </c>
      <c r="BB212" s="50">
        <v>43723.757009732915</v>
      </c>
      <c r="BC212" s="57">
        <v>425524.32493362576</v>
      </c>
      <c r="BD212" s="42" t="s">
        <v>150</v>
      </c>
      <c r="BE212" s="46">
        <v>71.508045977011506</v>
      </c>
      <c r="BF212" s="46">
        <v>53.200688073394502</v>
      </c>
      <c r="BG212" s="42" t="s">
        <v>150</v>
      </c>
      <c r="BH212" s="52">
        <v>0.37021796437986199</v>
      </c>
      <c r="BI212" s="52">
        <v>0.59727423215011399</v>
      </c>
      <c r="BJ212" s="42" t="s">
        <v>152</v>
      </c>
      <c r="BK212" s="46">
        <v>329.05387298390798</v>
      </c>
      <c r="BL212" s="46">
        <v>326.63180315825701</v>
      </c>
      <c r="BM212" s="42" t="s">
        <v>150</v>
      </c>
      <c r="BN212" s="48">
        <v>2</v>
      </c>
      <c r="BO212" s="42" t="s">
        <v>161</v>
      </c>
      <c r="BP212" s="42" t="s">
        <v>152</v>
      </c>
      <c r="BQ212" s="46">
        <v>1185.4730616166701</v>
      </c>
      <c r="BR212" s="46">
        <v>461</v>
      </c>
      <c r="BS212" s="46">
        <v>22681</v>
      </c>
      <c r="BT212" s="46">
        <v>7462</v>
      </c>
      <c r="BU212" s="46">
        <v>3.0395336370946127</v>
      </c>
      <c r="BV212" s="46">
        <v>16.186550976138829</v>
      </c>
      <c r="BW212" s="46">
        <v>1</v>
      </c>
      <c r="BX212" s="46">
        <v>5271</v>
      </c>
      <c r="BY212" s="46">
        <v>5272</v>
      </c>
      <c r="BZ212" s="46">
        <v>0.70651299919592603</v>
      </c>
      <c r="CA212" s="46">
        <v>1.3401232913428041E-4</v>
      </c>
      <c r="CB212" s="46">
        <v>0.70637898686679179</v>
      </c>
      <c r="CC212" s="46">
        <v>6.5398016617528809E-2</v>
      </c>
      <c r="CD212" s="46">
        <v>8.6437952291610831E-2</v>
      </c>
      <c r="CE212" s="46">
        <v>0</v>
      </c>
      <c r="CF212" s="46">
        <v>0.1416510318949343</v>
      </c>
      <c r="CG212" s="46">
        <v>0</v>
      </c>
      <c r="CH212" s="46">
        <v>0</v>
      </c>
      <c r="CI212" s="46">
        <v>3.2185529738547691</v>
      </c>
      <c r="CJ212" s="46">
        <v>1.1022441691283451</v>
      </c>
      <c r="CK212">
        <v>258</v>
      </c>
      <c r="CL212">
        <v>449.64</v>
      </c>
      <c r="CM212">
        <f t="shared" si="28"/>
        <v>191.64</v>
      </c>
      <c r="CN212">
        <v>6.46</v>
      </c>
      <c r="CO212">
        <v>9.4499999999999993</v>
      </c>
      <c r="CP212">
        <f t="shared" si="29"/>
        <v>2.9899999999999993</v>
      </c>
      <c r="CQ212">
        <v>609.19000000000005</v>
      </c>
      <c r="CR212">
        <v>329.05</v>
      </c>
      <c r="CS212">
        <f t="shared" si="30"/>
        <v>280.14000000000004</v>
      </c>
      <c r="CT212" t="s">
        <v>152</v>
      </c>
      <c r="CU212">
        <v>71.45</v>
      </c>
      <c r="CV212">
        <v>192</v>
      </c>
      <c r="CW212" s="46">
        <v>5272</v>
      </c>
      <c r="CX212" s="46">
        <f t="shared" si="24"/>
        <v>68.083087644063241</v>
      </c>
      <c r="CY212" s="46">
        <v>191.64</v>
      </c>
      <c r="CZ212" s="46">
        <f t="shared" si="25"/>
        <v>70.651299919592603</v>
      </c>
      <c r="DA212" s="46">
        <f t="shared" si="26"/>
        <v>242.94658619950766</v>
      </c>
      <c r="DB212" s="46">
        <v>1859425.71</v>
      </c>
      <c r="DC212" s="46">
        <f t="shared" si="27"/>
        <v>11.702353390020958</v>
      </c>
      <c r="DD212" s="46">
        <v>89565.6</v>
      </c>
      <c r="DE212" s="995">
        <v>5272</v>
      </c>
      <c r="DF212" s="995">
        <v>68.143000000000001</v>
      </c>
      <c r="DG212" s="995">
        <v>187.2</v>
      </c>
      <c r="DH212" s="995">
        <v>70.650999999999996</v>
      </c>
      <c r="DI212" s="995">
        <v>384.79700000000003</v>
      </c>
      <c r="DJ212" s="995">
        <v>2943375</v>
      </c>
      <c r="DK212" s="995">
        <v>18.363</v>
      </c>
      <c r="DL212" s="995">
        <v>140461.20000000001</v>
      </c>
      <c r="DM212" s="995">
        <v>5272</v>
      </c>
      <c r="DN212" s="995">
        <v>68.245000000000005</v>
      </c>
      <c r="DO212" s="995">
        <v>179.5</v>
      </c>
      <c r="DP212" s="995">
        <v>70.650999999999996</v>
      </c>
      <c r="DQ212" s="995">
        <v>380.24799999999999</v>
      </c>
      <c r="DR212" s="995">
        <v>2905677</v>
      </c>
      <c r="DS212" s="995">
        <v>18.11</v>
      </c>
      <c r="DT212" s="995">
        <v>138390.79999999999</v>
      </c>
    </row>
    <row r="213" spans="1:124">
      <c r="A213" s="42" t="s">
        <v>93</v>
      </c>
      <c r="B213" s="42" t="s">
        <v>388</v>
      </c>
      <c r="C213" s="42" t="s">
        <v>389</v>
      </c>
      <c r="D213" s="42">
        <v>217406</v>
      </c>
      <c r="E213" s="42" t="s">
        <v>402</v>
      </c>
      <c r="F213" s="42" t="s">
        <v>149</v>
      </c>
      <c r="G213" s="42" t="s">
        <v>150</v>
      </c>
      <c r="H213" s="43" t="s">
        <v>150</v>
      </c>
      <c r="I213" s="44">
        <v>13</v>
      </c>
      <c r="J213" s="45">
        <v>130818.4136</v>
      </c>
      <c r="K213" s="46">
        <v>11977.897967000001</v>
      </c>
      <c r="L213" s="47">
        <v>142796.311567</v>
      </c>
      <c r="M213" s="48">
        <v>3213685</v>
      </c>
      <c r="N213" s="49">
        <v>1845075</v>
      </c>
      <c r="O213" s="49">
        <v>1368610</v>
      </c>
      <c r="P213" s="49">
        <v>0</v>
      </c>
      <c r="Q213" s="50">
        <v>7370.8332339449598</v>
      </c>
      <c r="R213" s="51">
        <v>3204.3830289684602</v>
      </c>
      <c r="S213" s="49">
        <v>7796.8716590759504</v>
      </c>
      <c r="T213" s="49">
        <v>1771.5728801298601</v>
      </c>
      <c r="U213" s="49">
        <f>IFERROR(INDEX('Rentabilidad datos'!$N$2:$N$61,MATCH($C213,'Rentabilidad datos'!$C$2:$C$61,0)),"")</f>
        <v>12772.827568174269</v>
      </c>
      <c r="V213" s="50">
        <f>IFERROR(INDEX('Rentabilidad datos'!$O$2:$O$61,MATCH($C213,'Rentabilidad datos'!$C$2:$C$61,0)),"")</f>
        <v>1064.4022973478557</v>
      </c>
      <c r="W213" s="51">
        <f>IFERROR(INDEX('Rentabilidad datos'!$M$2:$M$61,MATCH($C213,'Rentabilidad datos'!$C$2:$C$61,0)),"")</f>
        <v>1969.9340858657986</v>
      </c>
      <c r="X213" s="52">
        <f>IFERROR(INDEX('Rentabilidad datos'!$P$2:$P$61,MATCH($C213,'Rentabilidad datos'!$C$2:$C$61,0)),"")</f>
        <v>0.5403238133625391</v>
      </c>
      <c r="Y213" s="43" t="s">
        <v>211</v>
      </c>
      <c r="Z213" s="53">
        <v>96.025229357798196</v>
      </c>
      <c r="AA213" s="43">
        <v>2</v>
      </c>
      <c r="AB213" s="54">
        <v>0.74240443602904449</v>
      </c>
      <c r="AC213" s="55">
        <v>0.25759556397095545</v>
      </c>
      <c r="AD213" s="752" t="e">
        <f>_xlfn.XLOOKUP(Table1[[#This Row],[Ruta]],#REF!,#REF!)</f>
        <v>#REF!</v>
      </c>
      <c r="AE213" s="752" t="e">
        <f>_xlfn.XLOOKUP(Table1[[#This Row],[Ruta]],#REF!,#REF!)</f>
        <v>#REF!</v>
      </c>
      <c r="AF213" s="752" t="e">
        <f>_xlfn.XLOOKUP(Table1[[#This Row],[Ruta]],#REF!,#REF!)</f>
        <v>#REF!</v>
      </c>
      <c r="AG213" s="752" t="e">
        <f>_xlfn.XLOOKUP(Table1[[#This Row],[Ruta]],#REF!,#REF!)</f>
        <v>#REF!</v>
      </c>
      <c r="AH213" s="52">
        <v>0.5741306319692191</v>
      </c>
      <c r="AI213" s="52">
        <v>0.42586936803078085</v>
      </c>
      <c r="AJ213" s="55">
        <v>0</v>
      </c>
      <c r="AK213" s="56">
        <v>41867</v>
      </c>
      <c r="AL213" s="44">
        <v>10988</v>
      </c>
      <c r="AM213" s="54">
        <v>0.26245013972818698</v>
      </c>
      <c r="AN213" s="55">
        <v>0.50763802729528495</v>
      </c>
      <c r="AO213" s="56">
        <v>10265.281288771699</v>
      </c>
      <c r="AP213" s="48">
        <v>5132.6406443858496</v>
      </c>
      <c r="AQ213" s="55">
        <v>0.38504408351173597</v>
      </c>
      <c r="AR213" s="51">
        <v>3213683.29</v>
      </c>
      <c r="AS213" s="49">
        <v>1501154.120170885</v>
      </c>
      <c r="AT213" s="55">
        <v>0.4671132730602352</v>
      </c>
      <c r="AU213" s="51">
        <v>1054865.057417379</v>
      </c>
      <c r="AV213" s="52">
        <v>4.7986809708331643E-3</v>
      </c>
      <c r="AW213" s="44">
        <v>35</v>
      </c>
      <c r="AX213" s="51">
        <v>292.472086821988</v>
      </c>
      <c r="AY213" s="49">
        <v>265.02091257220798</v>
      </c>
      <c r="AZ213" s="49">
        <v>0</v>
      </c>
      <c r="BA213" s="42" t="s">
        <v>152</v>
      </c>
      <c r="BB213" s="50">
        <v>0</v>
      </c>
      <c r="BC213" s="57">
        <v>1054865.057417379</v>
      </c>
      <c r="BD213" s="42" t="s">
        <v>150</v>
      </c>
      <c r="BE213" s="46">
        <v>96.025229357798196</v>
      </c>
      <c r="BF213" s="46">
        <v>53.200688073394502</v>
      </c>
      <c r="BG213" s="42" t="s">
        <v>150</v>
      </c>
      <c r="BH213" s="52">
        <v>0.26245013972818698</v>
      </c>
      <c r="BI213" s="52">
        <v>0.59727423215011399</v>
      </c>
      <c r="BJ213" s="42" t="s">
        <v>152</v>
      </c>
      <c r="BK213" s="46">
        <v>327.514476071101</v>
      </c>
      <c r="BL213" s="46">
        <v>326.63180315825701</v>
      </c>
      <c r="BM213" s="42" t="s">
        <v>150</v>
      </c>
      <c r="BN213" s="48">
        <v>2</v>
      </c>
      <c r="BO213" s="42" t="s">
        <v>161</v>
      </c>
      <c r="BP213" s="42" t="s">
        <v>152</v>
      </c>
      <c r="BQ213" s="46">
        <v>6085.4736624478001</v>
      </c>
      <c r="BR213" s="46">
        <v>1796</v>
      </c>
      <c r="BS213" s="46">
        <v>93784</v>
      </c>
      <c r="BT213" s="46">
        <v>25966</v>
      </c>
      <c r="BU213" s="46">
        <v>3.6118000462142801</v>
      </c>
      <c r="BV213" s="46">
        <v>14.457683741648108</v>
      </c>
      <c r="BW213" s="46">
        <v>3567</v>
      </c>
      <c r="BX213" s="46">
        <v>943</v>
      </c>
      <c r="BY213" s="46">
        <v>4510</v>
      </c>
      <c r="BZ213" s="46">
        <v>0.17368866979896788</v>
      </c>
      <c r="CA213" s="46">
        <v>0.13737194793191099</v>
      </c>
      <c r="CB213" s="46">
        <v>3.6316721867056923E-2</v>
      </c>
      <c r="CC213" s="46">
        <v>8.511129939151197E-3</v>
      </c>
      <c r="CD213" s="46">
        <v>3.6393745667411229E-2</v>
      </c>
      <c r="CE213" s="46">
        <v>0</v>
      </c>
      <c r="CF213" s="46">
        <v>0.78140645459446967</v>
      </c>
      <c r="CG213" s="46">
        <v>0</v>
      </c>
      <c r="CH213" s="46">
        <v>0</v>
      </c>
      <c r="CI213" s="46">
        <v>5.8752025931928689</v>
      </c>
      <c r="CJ213" s="46">
        <v>0.41584918536210869</v>
      </c>
      <c r="CK213">
        <v>398</v>
      </c>
      <c r="CL213">
        <v>491.05</v>
      </c>
      <c r="CM213">
        <f t="shared" si="28"/>
        <v>93.050000000000011</v>
      </c>
      <c r="CN213">
        <v>9.57</v>
      </c>
      <c r="CO213">
        <v>9.4499999999999993</v>
      </c>
      <c r="CP213">
        <f t="shared" si="29"/>
        <v>-0.12000000000000099</v>
      </c>
      <c r="CQ213">
        <v>609.19000000000005</v>
      </c>
      <c r="CR213">
        <v>327.51</v>
      </c>
      <c r="CS213">
        <f t="shared" si="30"/>
        <v>281.68000000000006</v>
      </c>
      <c r="CT213" t="s">
        <v>150</v>
      </c>
      <c r="CU213">
        <v>101.28</v>
      </c>
      <c r="CV213">
        <v>274</v>
      </c>
      <c r="CW213" s="46">
        <v>4510</v>
      </c>
      <c r="CX213" s="46">
        <f t="shared" si="24"/>
        <v>17.010513748748362</v>
      </c>
      <c r="CY213" s="46">
        <v>93.05</v>
      </c>
      <c r="CZ213" s="46">
        <f t="shared" si="25"/>
        <v>17.368866979896787</v>
      </c>
      <c r="DA213" s="46">
        <f t="shared" si="26"/>
        <v>34.816659087725768</v>
      </c>
      <c r="DB213" s="46">
        <v>907289.06</v>
      </c>
      <c r="DC213" s="46">
        <f t="shared" si="27"/>
        <v>1.6503111203209635</v>
      </c>
      <c r="DD213" s="46">
        <v>43005.54</v>
      </c>
      <c r="DE213" s="995">
        <v>4510</v>
      </c>
      <c r="DF213" s="995">
        <v>17.033999999999999</v>
      </c>
      <c r="DG213" s="995">
        <v>86.9</v>
      </c>
      <c r="DH213" s="995">
        <v>17.369</v>
      </c>
      <c r="DI213" s="995">
        <v>127.87</v>
      </c>
      <c r="DJ213" s="995">
        <v>3331374</v>
      </c>
      <c r="DK213" s="995">
        <v>5.9720000000000004</v>
      </c>
      <c r="DL213" s="995">
        <v>155595.70000000001</v>
      </c>
      <c r="DM213" s="995">
        <v>4510</v>
      </c>
      <c r="DN213" s="995">
        <v>17.048999999999999</v>
      </c>
      <c r="DO213" s="995">
        <v>83.1</v>
      </c>
      <c r="DP213" s="995">
        <v>17.369</v>
      </c>
      <c r="DQ213" s="995">
        <v>127.072</v>
      </c>
      <c r="DR213" s="995">
        <v>3310111</v>
      </c>
      <c r="DS213" s="995">
        <v>5.9329999999999998</v>
      </c>
      <c r="DT213" s="995">
        <v>154552.20000000001</v>
      </c>
    </row>
    <row r="214" spans="1:124">
      <c r="A214" s="42" t="s">
        <v>93</v>
      </c>
      <c r="B214" s="42" t="s">
        <v>388</v>
      </c>
      <c r="C214" s="42" t="s">
        <v>403</v>
      </c>
      <c r="D214" s="42">
        <v>219340</v>
      </c>
      <c r="E214" s="42" t="s">
        <v>404</v>
      </c>
      <c r="F214" s="42" t="s">
        <v>149</v>
      </c>
      <c r="G214" s="42" t="s">
        <v>150</v>
      </c>
      <c r="H214" s="43" t="s">
        <v>150</v>
      </c>
      <c r="I214" s="44">
        <v>1</v>
      </c>
      <c r="J214" s="45">
        <v>113354.3544</v>
      </c>
      <c r="K214" s="46">
        <v>3051.2156500000001</v>
      </c>
      <c r="L214" s="47">
        <v>116405.57004999999</v>
      </c>
      <c r="M214" s="48">
        <v>1971456</v>
      </c>
      <c r="N214" s="49">
        <v>1663345</v>
      </c>
      <c r="O214" s="49">
        <v>308111</v>
      </c>
      <c r="P214" s="49">
        <v>0</v>
      </c>
      <c r="Q214" s="50">
        <v>4532.0714942528803</v>
      </c>
      <c r="R214" s="51">
        <v>238.72554698404301</v>
      </c>
      <c r="S214" s="49">
        <v>649.73930492299598</v>
      </c>
      <c r="T214" s="49">
        <v>147.631073344155</v>
      </c>
      <c r="U214" s="49">
        <f>IFERROR(INDEX('Rentabilidad datos'!$N$2:$N$61,MATCH($C214,'Rentabilidad datos'!$C$2:$C$61,0)),"")</f>
        <v>1036.0959252511934</v>
      </c>
      <c r="V214" s="50">
        <f>IFERROR(INDEX('Rentabilidad datos'!$O$2:$O$61,MATCH($C214,'Rentabilidad datos'!$C$2:$C$61,0)),"")</f>
        <v>1036.0959252511934</v>
      </c>
      <c r="W214" s="51">
        <f>IFERROR(INDEX('Rentabilidad datos'!$M$2:$M$61,MATCH($C214,'Rentabilidad datos'!$C$2:$C$61,0)),"")</f>
        <v>1406.8633675876576</v>
      </c>
      <c r="X214" s="52">
        <f>IFERROR(INDEX('Rentabilidad datos'!$P$2:$P$61,MATCH($C214,'Rentabilidad datos'!$C$2:$C$61,0)),"")</f>
        <v>0.73645810184665084</v>
      </c>
      <c r="Y214" s="43" t="s">
        <v>160</v>
      </c>
      <c r="Z214" s="53">
        <v>27.2229885057471</v>
      </c>
      <c r="AA214" s="43">
        <v>1</v>
      </c>
      <c r="AB214" s="54">
        <v>1</v>
      </c>
      <c r="AC214" s="55">
        <v>0</v>
      </c>
      <c r="AD214" s="752" t="e">
        <f>_xlfn.XLOOKUP(Table1[[#This Row],[Ruta]],#REF!,#REF!)</f>
        <v>#REF!</v>
      </c>
      <c r="AE214" s="752" t="e">
        <f>_xlfn.XLOOKUP(Table1[[#This Row],[Ruta]],#REF!,#REF!)</f>
        <v>#REF!</v>
      </c>
      <c r="AF214" s="752" t="e">
        <f>_xlfn.XLOOKUP(Table1[[#This Row],[Ruta]],#REF!,#REF!)</f>
        <v>#REF!</v>
      </c>
      <c r="AG214" s="752" t="e">
        <f>_xlfn.XLOOKUP(Table1[[#This Row],[Ruta]],#REF!,#REF!)</f>
        <v>#REF!</v>
      </c>
      <c r="AH214" s="52">
        <v>0.8437139860083106</v>
      </c>
      <c r="AI214" s="52">
        <v>0.1562860139916894</v>
      </c>
      <c r="AJ214" s="55">
        <v>0</v>
      </c>
      <c r="AK214" s="56">
        <v>11842</v>
      </c>
      <c r="AL214" s="44">
        <v>4975</v>
      </c>
      <c r="AM214" s="54">
        <v>0.42011484546529299</v>
      </c>
      <c r="AN214" s="55">
        <v>0.42011484546529299</v>
      </c>
      <c r="AO214" s="56">
        <v>0</v>
      </c>
      <c r="AP214" s="48">
        <v>0</v>
      </c>
      <c r="AQ214" s="55">
        <v>0.42011484546529304</v>
      </c>
      <c r="AR214" s="51">
        <v>1971451.1</v>
      </c>
      <c r="AS214" s="49">
        <v>0</v>
      </c>
      <c r="AT214" s="55">
        <v>0</v>
      </c>
      <c r="AU214" s="51">
        <v>0</v>
      </c>
      <c r="AV214" s="52">
        <v>0</v>
      </c>
      <c r="AW214" s="44">
        <v>490</v>
      </c>
      <c r="AX214" s="51">
        <v>396.27157788944697</v>
      </c>
      <c r="AY214" s="49">
        <v>396.27157788944697</v>
      </c>
      <c r="AZ214" s="49">
        <v>0</v>
      </c>
      <c r="BA214" s="42" t="s">
        <v>152</v>
      </c>
      <c r="BB214" s="50">
        <v>0</v>
      </c>
      <c r="BC214" s="57">
        <v>0</v>
      </c>
      <c r="BD214" s="42" t="s">
        <v>150</v>
      </c>
      <c r="BE214" s="46">
        <v>27.2229885057471</v>
      </c>
      <c r="BF214" s="46">
        <v>53.200688073394502</v>
      </c>
      <c r="BG214" s="42" t="s">
        <v>152</v>
      </c>
      <c r="BH214" s="52">
        <v>0.42011484546529299</v>
      </c>
      <c r="BI214" s="52">
        <v>0.59727423215011399</v>
      </c>
      <c r="BJ214" s="42" t="s">
        <v>152</v>
      </c>
      <c r="BK214" s="46">
        <v>267.59901160919497</v>
      </c>
      <c r="BL214" s="46">
        <v>326.63180315825701</v>
      </c>
      <c r="BM214" s="42" t="s">
        <v>152</v>
      </c>
      <c r="BN214" s="48">
        <v>0</v>
      </c>
      <c r="BO214" s="42" t="s">
        <v>155</v>
      </c>
      <c r="BP214" s="42" t="s">
        <v>152</v>
      </c>
      <c r="BQ214" s="46">
        <v>0</v>
      </c>
      <c r="BR214" s="46" t="e">
        <v>#N/A</v>
      </c>
      <c r="BS214" s="46" t="e">
        <v>#N/A</v>
      </c>
      <c r="BT214" s="46" t="e">
        <v>#N/A</v>
      </c>
      <c r="BU214" s="46" t="e">
        <v>#N/A</v>
      </c>
      <c r="BV214" s="46" t="e">
        <v>#N/A</v>
      </c>
      <c r="BW214" s="46" t="e">
        <v>#N/A</v>
      </c>
      <c r="BX214" s="46" t="e">
        <v>#N/A</v>
      </c>
      <c r="BY214" s="46" t="e">
        <v>#N/A</v>
      </c>
      <c r="BZ214" s="46" t="e">
        <v>#N/A</v>
      </c>
      <c r="CA214" s="46" t="e">
        <v>#N/A</v>
      </c>
      <c r="CB214" s="46" t="e">
        <v>#N/A</v>
      </c>
      <c r="CC214" s="46" t="e">
        <v>#N/A</v>
      </c>
      <c r="CD214" s="46" t="e">
        <v>#N/A</v>
      </c>
      <c r="CE214" s="46" t="e">
        <v>#N/A</v>
      </c>
      <c r="CF214" s="46" t="e">
        <v>#N/A</v>
      </c>
      <c r="CG214" s="46" t="e">
        <v>#N/A</v>
      </c>
      <c r="CH214" s="46" t="e">
        <v>#N/A</v>
      </c>
      <c r="CI214" s="46" t="e">
        <v>#N/A</v>
      </c>
      <c r="CJ214" s="46" t="e">
        <v>#N/A</v>
      </c>
      <c r="CM214">
        <f t="shared" si="28"/>
        <v>0</v>
      </c>
      <c r="CP214">
        <f t="shared" si="29"/>
        <v>0</v>
      </c>
      <c r="CS214">
        <f t="shared" si="30"/>
        <v>0</v>
      </c>
      <c r="CW214" s="46"/>
      <c r="CX214" s="46" t="e">
        <f t="shared" si="24"/>
        <v>#N/A</v>
      </c>
      <c r="CY214" s="46"/>
      <c r="CZ214" s="46" t="e">
        <f t="shared" si="25"/>
        <v>#N/A</v>
      </c>
      <c r="DA214" s="46" t="e">
        <f t="shared" si="26"/>
        <v>#N/A</v>
      </c>
      <c r="DB214" s="46"/>
      <c r="DC214" s="46" t="e">
        <f t="shared" si="27"/>
        <v>#N/A</v>
      </c>
      <c r="DD214" s="46"/>
      <c r="DE214" s="995" t="s">
        <v>194</v>
      </c>
      <c r="DF214" s="995" t="s">
        <v>194</v>
      </c>
      <c r="DG214" s="995" t="s">
        <v>194</v>
      </c>
      <c r="DH214" s="995" t="s">
        <v>194</v>
      </c>
      <c r="DI214" s="995" t="s">
        <v>194</v>
      </c>
      <c r="DJ214" s="995" t="s">
        <v>194</v>
      </c>
      <c r="DK214" s="995" t="s">
        <v>194</v>
      </c>
      <c r="DL214" s="995" t="s">
        <v>194</v>
      </c>
      <c r="DM214" s="995" t="s">
        <v>194</v>
      </c>
      <c r="DN214" s="995" t="s">
        <v>194</v>
      </c>
      <c r="DO214" s="995" t="s">
        <v>194</v>
      </c>
      <c r="DP214" s="995" t="s">
        <v>194</v>
      </c>
      <c r="DQ214" s="995" t="s">
        <v>194</v>
      </c>
      <c r="DR214" s="995" t="s">
        <v>194</v>
      </c>
      <c r="DS214" s="995" t="s">
        <v>194</v>
      </c>
      <c r="DT214" s="995" t="s">
        <v>194</v>
      </c>
    </row>
    <row r="215" spans="1:124">
      <c r="A215" s="42" t="s">
        <v>93</v>
      </c>
      <c r="B215" s="42" t="s">
        <v>388</v>
      </c>
      <c r="C215" s="42" t="s">
        <v>405</v>
      </c>
      <c r="D215" s="42">
        <v>220340</v>
      </c>
      <c r="E215" s="42" t="s">
        <v>406</v>
      </c>
      <c r="F215" s="42" t="s">
        <v>149</v>
      </c>
      <c r="G215" s="42" t="s">
        <v>150</v>
      </c>
      <c r="H215" s="43" t="s">
        <v>150</v>
      </c>
      <c r="I215" s="44">
        <v>8</v>
      </c>
      <c r="J215" s="45">
        <v>124960.6624</v>
      </c>
      <c r="K215" s="46">
        <v>9392.9648550000002</v>
      </c>
      <c r="L215" s="47">
        <v>134353.627255</v>
      </c>
      <c r="M215" s="48">
        <v>2884074</v>
      </c>
      <c r="N215" s="49">
        <v>1816548</v>
      </c>
      <c r="O215" s="49">
        <v>1067526</v>
      </c>
      <c r="P215" s="49">
        <v>0</v>
      </c>
      <c r="Q215" s="50">
        <v>6614.8466972477099</v>
      </c>
      <c r="R215" s="51">
        <v>2029.5120146644799</v>
      </c>
      <c r="S215" s="49">
        <v>5197.9144393839697</v>
      </c>
      <c r="T215" s="49">
        <v>1181.04858675324</v>
      </c>
      <c r="U215" s="49">
        <f>IFERROR(INDEX('Rentabilidad datos'!$N$2:$N$61,MATCH($C215,'Rentabilidad datos'!$C$2:$C$61,0)),"")</f>
        <v>8408.4750408016844</v>
      </c>
      <c r="V215" s="50">
        <f>IFERROR(INDEX('Rentabilidad datos'!$O$2:$O$61,MATCH($C215,'Rentabilidad datos'!$C$2:$C$61,0)),"")</f>
        <v>1051.0593801002105</v>
      </c>
      <c r="W215" s="51">
        <f>IFERROR(INDEX('Rentabilidad datos'!$M$2:$M$61,MATCH($C215,'Rentabilidad datos'!$C$2:$C$61,0)),"")</f>
        <v>1889.2641835913792</v>
      </c>
      <c r="X215" s="52">
        <f>IFERROR(INDEX('Rentabilidad datos'!$P$2:$P$61,MATCH($C215,'Rentabilidad datos'!$C$2:$C$61,0)),"")</f>
        <v>0.556332666034143</v>
      </c>
      <c r="Y215" s="43" t="s">
        <v>211</v>
      </c>
      <c r="Z215" s="53">
        <v>63.802752293578003</v>
      </c>
      <c r="AA215" s="43">
        <v>2</v>
      </c>
      <c r="AB215" s="54">
        <v>0.92549567036074665</v>
      </c>
      <c r="AC215" s="55">
        <v>7.4504329639253367E-2</v>
      </c>
      <c r="AD215" s="752" t="e">
        <f>_xlfn.XLOOKUP(Table1[[#This Row],[Ruta]],#REF!,#REF!)</f>
        <v>#REF!</v>
      </c>
      <c r="AE215" s="752" t="e">
        <f>_xlfn.XLOOKUP(Table1[[#This Row],[Ruta]],#REF!,#REF!)</f>
        <v>#REF!</v>
      </c>
      <c r="AF215" s="752" t="e">
        <f>_xlfn.XLOOKUP(Table1[[#This Row],[Ruta]],#REF!,#REF!)</f>
        <v>#REF!</v>
      </c>
      <c r="AG215" s="752" t="e">
        <f>_xlfn.XLOOKUP(Table1[[#This Row],[Ruta]],#REF!,#REF!)</f>
        <v>#REF!</v>
      </c>
      <c r="AH215" s="52">
        <v>0.6298548511584654</v>
      </c>
      <c r="AI215" s="52">
        <v>0.3701451488415346</v>
      </c>
      <c r="AJ215" s="55">
        <v>0</v>
      </c>
      <c r="AK215" s="56">
        <v>27818</v>
      </c>
      <c r="AL215" s="44">
        <v>17183</v>
      </c>
      <c r="AM215" s="54">
        <v>0.61769357969659899</v>
      </c>
      <c r="AN215" s="55">
        <v>0.62069890798831595</v>
      </c>
      <c r="AO215" s="56">
        <v>83.6022224189837</v>
      </c>
      <c r="AP215" s="48">
        <v>41.80111120949185</v>
      </c>
      <c r="AQ215" s="55">
        <v>0.61919624384245775</v>
      </c>
      <c r="AR215" s="51">
        <v>2884073.16</v>
      </c>
      <c r="AS215" s="49">
        <v>7016.0893265128498</v>
      </c>
      <c r="AT215" s="55">
        <v>2.4327015776925884E-3</v>
      </c>
      <c r="AU215" s="51">
        <v>4930.2249321441668</v>
      </c>
      <c r="AV215" s="52">
        <v>2.2428059776414077E-5</v>
      </c>
      <c r="AW215" s="44">
        <v>481</v>
      </c>
      <c r="AX215" s="51">
        <v>167.844564977012</v>
      </c>
      <c r="AY215" s="49">
        <v>264.34906545163398</v>
      </c>
      <c r="AZ215" s="49">
        <v>96.504500474621977</v>
      </c>
      <c r="BA215" s="42" t="s">
        <v>150</v>
      </c>
      <c r="BB215" s="50">
        <v>582623.75166271871</v>
      </c>
      <c r="BC215" s="57">
        <v>587553.97659486288</v>
      </c>
      <c r="BD215" s="42" t="s">
        <v>150</v>
      </c>
      <c r="BE215" s="46">
        <v>63.802752293578003</v>
      </c>
      <c r="BF215" s="46">
        <v>53.200688073394502</v>
      </c>
      <c r="BG215" s="42" t="s">
        <v>150</v>
      </c>
      <c r="BH215" s="52">
        <v>0.61769357969659899</v>
      </c>
      <c r="BI215" s="52">
        <v>0.59727423215011399</v>
      </c>
      <c r="BJ215" s="42" t="s">
        <v>150</v>
      </c>
      <c r="BK215" s="46">
        <v>308.15052122706402</v>
      </c>
      <c r="BL215" s="46">
        <v>326.63180315825701</v>
      </c>
      <c r="BM215" s="42" t="s">
        <v>152</v>
      </c>
      <c r="BN215" s="48">
        <v>2</v>
      </c>
      <c r="BO215" s="42" t="s">
        <v>161</v>
      </c>
      <c r="BP215" s="42" t="s">
        <v>152</v>
      </c>
      <c r="BQ215" s="46">
        <v>0</v>
      </c>
      <c r="BR215" s="46">
        <v>765</v>
      </c>
      <c r="BS215" s="46">
        <v>36973</v>
      </c>
      <c r="BT215" s="46">
        <v>11681</v>
      </c>
      <c r="BU215" s="46">
        <v>3.1652255800017124</v>
      </c>
      <c r="BV215" s="46">
        <v>15.269281045751635</v>
      </c>
      <c r="BW215" s="46">
        <v>2214</v>
      </c>
      <c r="BX215" s="46">
        <v>5003</v>
      </c>
      <c r="BY215" s="46">
        <v>7217</v>
      </c>
      <c r="BZ215" s="46">
        <v>0.61784093827583253</v>
      </c>
      <c r="CA215" s="46">
        <v>0.1895385669035185</v>
      </c>
      <c r="CB215" s="46">
        <v>0.42830237137231392</v>
      </c>
      <c r="CC215" s="46">
        <v>0.23251433952572551</v>
      </c>
      <c r="CD215" s="46">
        <v>6.0011985275233277E-2</v>
      </c>
      <c r="CE215" s="46">
        <v>0</v>
      </c>
      <c r="CF215" s="46">
        <v>8.9632736923208625E-2</v>
      </c>
      <c r="CG215" s="46">
        <v>0</v>
      </c>
      <c r="CH215" s="46">
        <v>0</v>
      </c>
      <c r="CI215" s="46">
        <v>2.434208746923431</v>
      </c>
      <c r="CJ215" s="46">
        <v>0.40570145782057182</v>
      </c>
      <c r="CK215">
        <v>470</v>
      </c>
      <c r="CL215">
        <v>597.75</v>
      </c>
      <c r="CM215">
        <f t="shared" si="28"/>
        <v>127.75</v>
      </c>
      <c r="CN215">
        <v>12.4</v>
      </c>
      <c r="CO215">
        <v>9.4499999999999993</v>
      </c>
      <c r="CP215">
        <f t="shared" si="29"/>
        <v>-2.9500000000000011</v>
      </c>
      <c r="CQ215">
        <v>630.35</v>
      </c>
      <c r="CR215">
        <v>308.14999999999998</v>
      </c>
      <c r="CS215">
        <f t="shared" si="30"/>
        <v>322.20000000000005</v>
      </c>
      <c r="CT215" t="s">
        <v>150</v>
      </c>
      <c r="CU215">
        <v>132.55000000000001</v>
      </c>
      <c r="CV215">
        <v>378</v>
      </c>
      <c r="CW215" s="46">
        <v>7217</v>
      </c>
      <c r="CX215" s="46">
        <f t="shared" si="24"/>
        <v>60.690437462546008</v>
      </c>
      <c r="CY215" s="46">
        <v>127.75</v>
      </c>
      <c r="CZ215" s="46">
        <f t="shared" si="25"/>
        <v>61.784093827583256</v>
      </c>
      <c r="DA215" s="46">
        <f t="shared" si="26"/>
        <v>107.71855615539324</v>
      </c>
      <c r="DB215" s="46">
        <v>1272021.5</v>
      </c>
      <c r="DC215" s="46">
        <f t="shared" si="27"/>
        <v>5.213669524716841</v>
      </c>
      <c r="DD215" s="46">
        <v>61566.92</v>
      </c>
      <c r="DE215" s="995">
        <v>7217</v>
      </c>
      <c r="DF215" s="995">
        <v>60.844999999999999</v>
      </c>
      <c r="DG215" s="995">
        <v>109.7</v>
      </c>
      <c r="DH215" s="995">
        <v>61.783999999999999</v>
      </c>
      <c r="DI215" s="995">
        <v>410.42700000000002</v>
      </c>
      <c r="DJ215" s="995">
        <v>4839238</v>
      </c>
      <c r="DK215" s="995">
        <v>18.510999999999999</v>
      </c>
      <c r="DL215" s="995">
        <v>218255.8</v>
      </c>
      <c r="DM215" s="995">
        <v>7217</v>
      </c>
      <c r="DN215" s="995">
        <v>61.005000000000003</v>
      </c>
      <c r="DO215" s="995">
        <v>91</v>
      </c>
      <c r="DP215" s="995">
        <v>61.783999999999999</v>
      </c>
      <c r="DQ215" s="995">
        <v>400.339</v>
      </c>
      <c r="DR215" s="995">
        <v>4712791</v>
      </c>
      <c r="DS215" s="995">
        <v>17.998999999999999</v>
      </c>
      <c r="DT215" s="995">
        <v>211888.5</v>
      </c>
    </row>
    <row r="216" spans="1:124">
      <c r="A216" s="42" t="s">
        <v>93</v>
      </c>
      <c r="B216" s="42" t="s">
        <v>388</v>
      </c>
      <c r="C216" s="42" t="s">
        <v>405</v>
      </c>
      <c r="D216" s="42">
        <v>220341</v>
      </c>
      <c r="E216" s="42" t="s">
        <v>407</v>
      </c>
      <c r="F216" s="42" t="s">
        <v>149</v>
      </c>
      <c r="G216" s="42" t="s">
        <v>150</v>
      </c>
      <c r="H216" s="43" t="s">
        <v>150</v>
      </c>
      <c r="I216" s="44">
        <v>8</v>
      </c>
      <c r="J216" s="45">
        <v>126415.4136</v>
      </c>
      <c r="K216" s="46">
        <v>6982.7469700000001</v>
      </c>
      <c r="L216" s="47">
        <v>133398.16057000001</v>
      </c>
      <c r="M216" s="48">
        <v>2770367</v>
      </c>
      <c r="N216" s="49">
        <v>1868464</v>
      </c>
      <c r="O216" s="49">
        <v>901903</v>
      </c>
      <c r="P216" s="49">
        <v>0</v>
      </c>
      <c r="Q216" s="50">
        <v>6266.5276443417997</v>
      </c>
      <c r="R216" s="51">
        <v>2029.5120146644799</v>
      </c>
      <c r="S216" s="49">
        <v>5197.9144393839697</v>
      </c>
      <c r="T216" s="49">
        <v>1181.04858675324</v>
      </c>
      <c r="U216" s="49">
        <f>IFERROR(INDEX('Rentabilidad datos'!$N$2:$N$61,MATCH($C216,'Rentabilidad datos'!$C$2:$C$61,0)),"")</f>
        <v>8408.4750408016844</v>
      </c>
      <c r="V216" s="50">
        <f>IFERROR(INDEX('Rentabilidad datos'!$O$2:$O$61,MATCH($C216,'Rentabilidad datos'!$C$2:$C$61,0)),"")</f>
        <v>1051.0593801002105</v>
      </c>
      <c r="W216" s="51">
        <f>IFERROR(INDEX('Rentabilidad datos'!$M$2:$M$61,MATCH($C216,'Rentabilidad datos'!$C$2:$C$61,0)),"")</f>
        <v>1889.2641835913792</v>
      </c>
      <c r="X216" s="52">
        <f>IFERROR(INDEX('Rentabilidad datos'!$P$2:$P$61,MATCH($C216,'Rentabilidad datos'!$C$2:$C$61,0)),"")</f>
        <v>0.556332666034143</v>
      </c>
      <c r="Y216" s="43" t="s">
        <v>211</v>
      </c>
      <c r="Z216" s="53">
        <v>41.990762124711303</v>
      </c>
      <c r="AA216" s="43">
        <v>2</v>
      </c>
      <c r="AB216" s="54">
        <v>0.93799413579500479</v>
      </c>
      <c r="AC216" s="55">
        <v>6.2005864204995223E-2</v>
      </c>
      <c r="AD216" s="752" t="e">
        <f>_xlfn.XLOOKUP(Table1[[#This Row],[Ruta]],#REF!,#REF!)</f>
        <v>#REF!</v>
      </c>
      <c r="AE216" s="752" t="e">
        <f>_xlfn.XLOOKUP(Table1[[#This Row],[Ruta]],#REF!,#REF!)</f>
        <v>#REF!</v>
      </c>
      <c r="AF216" s="752" t="e">
        <f>_xlfn.XLOOKUP(Table1[[#This Row],[Ruta]],#REF!,#REF!)</f>
        <v>#REF!</v>
      </c>
      <c r="AG216" s="752" t="e">
        <f>_xlfn.XLOOKUP(Table1[[#This Row],[Ruta]],#REF!,#REF!)</f>
        <v>#REF!</v>
      </c>
      <c r="AH216" s="52">
        <v>0.67444638201364659</v>
      </c>
      <c r="AI216" s="52">
        <v>0.32555361798635341</v>
      </c>
      <c r="AJ216" s="55">
        <v>0</v>
      </c>
      <c r="AK216" s="56">
        <v>18182</v>
      </c>
      <c r="AL216" s="44">
        <v>9705</v>
      </c>
      <c r="AM216" s="54">
        <v>0.53376966230337697</v>
      </c>
      <c r="AN216" s="55">
        <v>0.62069890798831595</v>
      </c>
      <c r="AO216" s="56">
        <v>1580.5475450435699</v>
      </c>
      <c r="AP216" s="48">
        <v>790.27377252178496</v>
      </c>
      <c r="AQ216" s="55">
        <v>0.57723428514584674</v>
      </c>
      <c r="AR216" s="51">
        <v>2713406.47</v>
      </c>
      <c r="AS216" s="49">
        <v>220951.46495949649</v>
      </c>
      <c r="AT216" s="55">
        <v>8.1429548946087851E-2</v>
      </c>
      <c r="AU216" s="51">
        <v>155263.19159315975</v>
      </c>
      <c r="AV216" s="52">
        <v>7.0630695151950769E-4</v>
      </c>
      <c r="AW216" s="44">
        <v>347</v>
      </c>
      <c r="AX216" s="51">
        <v>279.58850798557501</v>
      </c>
      <c r="AY216" s="49">
        <v>264.34906545163398</v>
      </c>
      <c r="AZ216" s="49">
        <v>0</v>
      </c>
      <c r="BA216" s="42" t="s">
        <v>152</v>
      </c>
      <c r="BB216" s="50">
        <v>0</v>
      </c>
      <c r="BC216" s="57">
        <v>155263.19159315975</v>
      </c>
      <c r="BD216" s="42" t="s">
        <v>150</v>
      </c>
      <c r="BE216" s="46">
        <v>41.990762124711303</v>
      </c>
      <c r="BF216" s="46">
        <v>53.200688073394502</v>
      </c>
      <c r="BG216" s="42" t="s">
        <v>152</v>
      </c>
      <c r="BH216" s="52">
        <v>0.53376966230337697</v>
      </c>
      <c r="BI216" s="52">
        <v>0.59727423215011399</v>
      </c>
      <c r="BJ216" s="42" t="s">
        <v>152</v>
      </c>
      <c r="BK216" s="46">
        <v>308.07889277136297</v>
      </c>
      <c r="BL216" s="46">
        <v>326.63180315825701</v>
      </c>
      <c r="BM216" s="42" t="s">
        <v>152</v>
      </c>
      <c r="BN216" s="48">
        <v>0</v>
      </c>
      <c r="BO216" s="42" t="s">
        <v>155</v>
      </c>
      <c r="BP216" s="42" t="s">
        <v>152</v>
      </c>
      <c r="BQ216" s="46">
        <v>2012.0227394301301</v>
      </c>
      <c r="BR216" s="46">
        <v>556</v>
      </c>
      <c r="BS216" s="46">
        <v>23507</v>
      </c>
      <c r="BT216" s="46">
        <v>6935</v>
      </c>
      <c r="BU216" s="46">
        <v>3.3896178803172314</v>
      </c>
      <c r="BV216" s="46">
        <v>12.473021582733812</v>
      </c>
      <c r="BW216" s="46">
        <v>2510</v>
      </c>
      <c r="BX216" s="46">
        <v>1548</v>
      </c>
      <c r="BY216" s="46">
        <v>4058</v>
      </c>
      <c r="BZ216" s="46">
        <v>0.58514780100937269</v>
      </c>
      <c r="CA216" s="46">
        <v>0.36193222782984857</v>
      </c>
      <c r="CB216" s="46">
        <v>0.22321557317952409</v>
      </c>
      <c r="CC216" s="46">
        <v>0</v>
      </c>
      <c r="CD216" s="46">
        <v>0</v>
      </c>
      <c r="CE216" s="46">
        <v>0</v>
      </c>
      <c r="CF216" s="46">
        <v>0.41485219899062731</v>
      </c>
      <c r="CG216" s="46">
        <v>0</v>
      </c>
      <c r="CH216" s="46">
        <v>0</v>
      </c>
      <c r="CI216" s="46">
        <v>5.2750244607989112</v>
      </c>
      <c r="CJ216" s="46">
        <v>0.63810779767728754</v>
      </c>
      <c r="CK216">
        <v>169</v>
      </c>
      <c r="CL216">
        <v>225.17</v>
      </c>
      <c r="CM216">
        <f t="shared" si="28"/>
        <v>56.169999999999987</v>
      </c>
      <c r="CN216">
        <v>6.71</v>
      </c>
      <c r="CO216">
        <v>9.4499999999999993</v>
      </c>
      <c r="CP216">
        <f t="shared" si="29"/>
        <v>2.7399999999999993</v>
      </c>
      <c r="CQ216">
        <v>630.35</v>
      </c>
      <c r="CR216">
        <v>308.08</v>
      </c>
      <c r="CS216">
        <f t="shared" si="30"/>
        <v>322.27000000000004</v>
      </c>
      <c r="CT216" t="s">
        <v>152</v>
      </c>
      <c r="CU216">
        <v>74.540000000000006</v>
      </c>
      <c r="CV216">
        <v>154</v>
      </c>
      <c r="CW216" s="46">
        <v>4058</v>
      </c>
      <c r="CX216" s="46">
        <f t="shared" si="24"/>
        <v>57.704830569574618</v>
      </c>
      <c r="CY216" s="46">
        <v>56.17</v>
      </c>
      <c r="CZ216" s="46">
        <f t="shared" si="25"/>
        <v>58.514780100937273</v>
      </c>
      <c r="DA216" s="46">
        <f t="shared" si="26"/>
        <v>41.545243500015019</v>
      </c>
      <c r="DB216" s="46">
        <v>290449.86</v>
      </c>
      <c r="DC216" s="46">
        <f t="shared" si="27"/>
        <v>2.1153412089821875</v>
      </c>
      <c r="DD216" s="46">
        <v>14788.71</v>
      </c>
      <c r="DE216" s="995">
        <v>4058</v>
      </c>
      <c r="DF216" s="995">
        <v>57.802999999999997</v>
      </c>
      <c r="DG216" s="995">
        <v>49.4</v>
      </c>
      <c r="DH216" s="995">
        <v>58.515000000000001</v>
      </c>
      <c r="DI216" s="995">
        <v>247.21299999999999</v>
      </c>
      <c r="DJ216" s="995">
        <v>1726629</v>
      </c>
      <c r="DK216" s="995">
        <v>12.58</v>
      </c>
      <c r="DL216" s="995">
        <v>87863.4</v>
      </c>
      <c r="DM216" s="995">
        <v>4058</v>
      </c>
      <c r="DN216" s="995">
        <v>57.927999999999997</v>
      </c>
      <c r="DO216" s="995">
        <v>40.700000000000003</v>
      </c>
      <c r="DP216" s="995">
        <v>58.515000000000001</v>
      </c>
      <c r="DQ216" s="995">
        <v>241.59700000000001</v>
      </c>
      <c r="DR216" s="995">
        <v>1685298</v>
      </c>
      <c r="DS216" s="995">
        <v>12.294</v>
      </c>
      <c r="DT216" s="995">
        <v>85757.8</v>
      </c>
    </row>
    <row r="217" spans="1:124">
      <c r="A217" s="42" t="s">
        <v>93</v>
      </c>
      <c r="B217" s="42" t="s">
        <v>388</v>
      </c>
      <c r="C217" s="42" t="s">
        <v>405</v>
      </c>
      <c r="D217" s="42">
        <v>220342</v>
      </c>
      <c r="E217" s="42" t="s">
        <v>408</v>
      </c>
      <c r="F217" s="42" t="s">
        <v>149</v>
      </c>
      <c r="G217" s="42" t="s">
        <v>150</v>
      </c>
      <c r="H217" s="43" t="s">
        <v>150</v>
      </c>
      <c r="I217" s="44">
        <v>8</v>
      </c>
      <c r="J217" s="45">
        <v>106809.7352</v>
      </c>
      <c r="K217" s="46">
        <v>7105.0296429999999</v>
      </c>
      <c r="L217" s="47">
        <v>113914.764843</v>
      </c>
      <c r="M217" s="48">
        <v>2338737</v>
      </c>
      <c r="N217" s="49">
        <v>1526133</v>
      </c>
      <c r="O217" s="49">
        <v>812604</v>
      </c>
      <c r="P217" s="49">
        <v>0</v>
      </c>
      <c r="Q217" s="50">
        <v>5351.0122883295198</v>
      </c>
      <c r="R217" s="51">
        <v>2029.5120146644799</v>
      </c>
      <c r="S217" s="49">
        <v>5197.9144393839697</v>
      </c>
      <c r="T217" s="49">
        <v>1181.04858675324</v>
      </c>
      <c r="U217" s="49">
        <f>IFERROR(INDEX('Rentabilidad datos'!$N$2:$N$61,MATCH($C217,'Rentabilidad datos'!$C$2:$C$61,0)),"")</f>
        <v>8408.4750408016844</v>
      </c>
      <c r="V217" s="50">
        <f>IFERROR(INDEX('Rentabilidad datos'!$O$2:$O$61,MATCH($C217,'Rentabilidad datos'!$C$2:$C$61,0)),"")</f>
        <v>1051.0593801002105</v>
      </c>
      <c r="W217" s="51">
        <f>IFERROR(INDEX('Rentabilidad datos'!$M$2:$M$61,MATCH($C217,'Rentabilidad datos'!$C$2:$C$61,0)),"")</f>
        <v>1889.2641835913792</v>
      </c>
      <c r="X217" s="52">
        <f>IFERROR(INDEX('Rentabilidad datos'!$P$2:$P$61,MATCH($C217,'Rentabilidad datos'!$C$2:$C$61,0)),"")</f>
        <v>0.556332666034143</v>
      </c>
      <c r="Y217" s="43" t="s">
        <v>211</v>
      </c>
      <c r="Z217" s="53">
        <v>52.894736842105303</v>
      </c>
      <c r="AA217" s="43">
        <v>2</v>
      </c>
      <c r="AB217" s="54">
        <v>0.91741055107949288</v>
      </c>
      <c r="AC217" s="55">
        <v>8.2589448920507097E-2</v>
      </c>
      <c r="AD217" s="752" t="e">
        <f>_xlfn.XLOOKUP(Table1[[#This Row],[Ruta]],#REF!,#REF!)</f>
        <v>#REF!</v>
      </c>
      <c r="AE217" s="752" t="e">
        <f>_xlfn.XLOOKUP(Table1[[#This Row],[Ruta]],#REF!,#REF!)</f>
        <v>#REF!</v>
      </c>
      <c r="AF217" s="752" t="e">
        <f>_xlfn.XLOOKUP(Table1[[#This Row],[Ruta]],#REF!,#REF!)</f>
        <v>#REF!</v>
      </c>
      <c r="AG217" s="752" t="e">
        <f>_xlfn.XLOOKUP(Table1[[#This Row],[Ruta]],#REF!,#REF!)</f>
        <v>#REF!</v>
      </c>
      <c r="AH217" s="52">
        <v>0.65254579715461802</v>
      </c>
      <c r="AI217" s="52">
        <v>0.34745420284538192</v>
      </c>
      <c r="AJ217" s="55">
        <v>0</v>
      </c>
      <c r="AK217" s="56">
        <v>23115</v>
      </c>
      <c r="AL217" s="44">
        <v>11776</v>
      </c>
      <c r="AM217" s="54">
        <v>0.50945273631840804</v>
      </c>
      <c r="AN217" s="55">
        <v>0.62069890798831595</v>
      </c>
      <c r="AO217" s="56">
        <v>2571.4552581499302</v>
      </c>
      <c r="AP217" s="48">
        <v>1285.7276290749651</v>
      </c>
      <c r="AQ217" s="55">
        <v>0.56507582215336205</v>
      </c>
      <c r="AR217" s="51">
        <v>2338392.37</v>
      </c>
      <c r="AS217" s="49">
        <v>255310.43458959649</v>
      </c>
      <c r="AT217" s="55">
        <v>0.10918203371900177</v>
      </c>
      <c r="AU217" s="51">
        <v>179407.33241431112</v>
      </c>
      <c r="AV217" s="52">
        <v>8.1614093293816881E-4</v>
      </c>
      <c r="AW217" s="44">
        <v>329</v>
      </c>
      <c r="AX217" s="51">
        <v>198.572721637228</v>
      </c>
      <c r="AY217" s="49">
        <v>264.34906545163398</v>
      </c>
      <c r="AZ217" s="49">
        <v>65.776343814405976</v>
      </c>
      <c r="BA217" s="42" t="s">
        <v>150</v>
      </c>
      <c r="BB217" s="50">
        <v>272150.51140161586</v>
      </c>
      <c r="BC217" s="57">
        <v>451557.84381592699</v>
      </c>
      <c r="BD217" s="42" t="s">
        <v>150</v>
      </c>
      <c r="BE217" s="46">
        <v>52.894736842105303</v>
      </c>
      <c r="BF217" s="46">
        <v>53.200688073394502</v>
      </c>
      <c r="BG217" s="42" t="s">
        <v>152</v>
      </c>
      <c r="BH217" s="52">
        <v>0.50945273631840804</v>
      </c>
      <c r="BI217" s="52">
        <v>0.59727423215011399</v>
      </c>
      <c r="BJ217" s="42" t="s">
        <v>152</v>
      </c>
      <c r="BK217" s="46">
        <v>260.674519091533</v>
      </c>
      <c r="BL217" s="46">
        <v>326.63180315825701</v>
      </c>
      <c r="BM217" s="42" t="s">
        <v>152</v>
      </c>
      <c r="BN217" s="48">
        <v>0</v>
      </c>
      <c r="BO217" s="42" t="s">
        <v>155</v>
      </c>
      <c r="BP217" s="42" t="s">
        <v>152</v>
      </c>
      <c r="BQ217" s="46">
        <v>858.29521594480696</v>
      </c>
      <c r="BR217" s="46">
        <v>740</v>
      </c>
      <c r="BS217" s="46">
        <v>44058</v>
      </c>
      <c r="BT217" s="46">
        <v>13150</v>
      </c>
      <c r="BU217" s="46">
        <v>3.3504182509505704</v>
      </c>
      <c r="BV217" s="46">
        <v>17.77027027027027</v>
      </c>
      <c r="BW217" s="46">
        <v>1215</v>
      </c>
      <c r="BX217" s="46">
        <v>2618</v>
      </c>
      <c r="BY217" s="46">
        <v>3833</v>
      </c>
      <c r="BZ217" s="46">
        <v>0.29148288973384029</v>
      </c>
      <c r="CA217" s="46">
        <v>9.2395437262357411E-2</v>
      </c>
      <c r="CB217" s="46">
        <v>0.19908745247148288</v>
      </c>
      <c r="CC217" s="46">
        <v>4.5171102661596955E-2</v>
      </c>
      <c r="CD217" s="46">
        <v>0</v>
      </c>
      <c r="CE217" s="46">
        <v>0</v>
      </c>
      <c r="CF217" s="46">
        <v>0.66334600760456275</v>
      </c>
      <c r="CG217" s="46">
        <v>0</v>
      </c>
      <c r="CH217" s="46">
        <v>0</v>
      </c>
      <c r="CI217" s="46">
        <v>4.7664442326024794</v>
      </c>
      <c r="CJ217" s="46">
        <v>0.68092060465749693</v>
      </c>
      <c r="CK217">
        <v>267</v>
      </c>
      <c r="CL217">
        <v>383.11</v>
      </c>
      <c r="CM217">
        <f t="shared" si="28"/>
        <v>116.11000000000001</v>
      </c>
      <c r="CN217">
        <v>6.46</v>
      </c>
      <c r="CO217">
        <v>9.4499999999999993</v>
      </c>
      <c r="CP217">
        <f t="shared" si="29"/>
        <v>2.9899999999999993</v>
      </c>
      <c r="CQ217">
        <v>630.35</v>
      </c>
      <c r="CR217">
        <v>260.67</v>
      </c>
      <c r="CS217">
        <f t="shared" si="30"/>
        <v>369.68</v>
      </c>
      <c r="CT217" t="s">
        <v>152</v>
      </c>
      <c r="CU217">
        <v>68.319999999999993</v>
      </c>
      <c r="CV217">
        <v>163</v>
      </c>
      <c r="CW217" s="46">
        <v>3833</v>
      </c>
      <c r="CX217" s="46">
        <f t="shared" si="24"/>
        <v>28.265323193916348</v>
      </c>
      <c r="CY217" s="46">
        <v>116.11</v>
      </c>
      <c r="CZ217" s="46">
        <f t="shared" si="25"/>
        <v>29.14828897338403</v>
      </c>
      <c r="DA217" s="46">
        <f t="shared" si="26"/>
        <v>87.087711469300331</v>
      </c>
      <c r="DB217" s="46">
        <v>1155315.1599999999</v>
      </c>
      <c r="DC217" s="46">
        <f t="shared" si="27"/>
        <v>4.1519993426859871</v>
      </c>
      <c r="DD217" s="46">
        <v>55080.88</v>
      </c>
      <c r="DE217" s="995">
        <v>3833</v>
      </c>
      <c r="DF217" s="995">
        <v>28.518000000000001</v>
      </c>
      <c r="DG217" s="995">
        <v>82.9</v>
      </c>
      <c r="DH217" s="995">
        <v>29.148</v>
      </c>
      <c r="DI217" s="995">
        <v>199.82300000000001</v>
      </c>
      <c r="DJ217" s="995">
        <v>2644240</v>
      </c>
      <c r="DK217" s="995">
        <v>9.6519999999999992</v>
      </c>
      <c r="DL217" s="995">
        <v>127727.2</v>
      </c>
      <c r="DM217" s="995">
        <v>3833</v>
      </c>
      <c r="DN217" s="995">
        <v>28.605</v>
      </c>
      <c r="DO217" s="995">
        <v>71.400000000000006</v>
      </c>
      <c r="DP217" s="995">
        <v>29.148</v>
      </c>
      <c r="DQ217" s="995">
        <v>196.03299999999999</v>
      </c>
      <c r="DR217" s="995">
        <v>2591830</v>
      </c>
      <c r="DS217" s="995">
        <v>9.4649999999999999</v>
      </c>
      <c r="DT217" s="995">
        <v>125135</v>
      </c>
    </row>
    <row r="218" spans="1:124">
      <c r="A218" s="42" t="s">
        <v>93</v>
      </c>
      <c r="B218" s="42" t="s">
        <v>388</v>
      </c>
      <c r="C218" s="42" t="s">
        <v>405</v>
      </c>
      <c r="D218" s="42">
        <v>220343</v>
      </c>
      <c r="E218" s="42" t="s">
        <v>409</v>
      </c>
      <c r="F218" s="42" t="s">
        <v>149</v>
      </c>
      <c r="G218" s="42" t="s">
        <v>150</v>
      </c>
      <c r="H218" s="43" t="s">
        <v>150</v>
      </c>
      <c r="I218" s="44">
        <v>8</v>
      </c>
      <c r="J218" s="45">
        <v>129796.9176</v>
      </c>
      <c r="K218" s="46">
        <v>12229.703186999999</v>
      </c>
      <c r="L218" s="47">
        <v>142026.62078699999</v>
      </c>
      <c r="M218" s="48">
        <v>2973192</v>
      </c>
      <c r="N218" s="49">
        <v>1873629</v>
      </c>
      <c r="O218" s="49">
        <v>1099563</v>
      </c>
      <c r="P218" s="49">
        <v>0</v>
      </c>
      <c r="Q218" s="50">
        <v>6819.2493807339497</v>
      </c>
      <c r="R218" s="51">
        <v>2029.5120146644799</v>
      </c>
      <c r="S218" s="49">
        <v>5197.9144393839697</v>
      </c>
      <c r="T218" s="49">
        <v>1181.04858675324</v>
      </c>
      <c r="U218" s="49">
        <f>IFERROR(INDEX('Rentabilidad datos'!$N$2:$N$61,MATCH($C218,'Rentabilidad datos'!$C$2:$C$61,0)),"")</f>
        <v>8408.4750408016844</v>
      </c>
      <c r="V218" s="50">
        <f>IFERROR(INDEX('Rentabilidad datos'!$O$2:$O$61,MATCH($C218,'Rentabilidad datos'!$C$2:$C$61,0)),"")</f>
        <v>1051.0593801002105</v>
      </c>
      <c r="W218" s="51">
        <f>IFERROR(INDEX('Rentabilidad datos'!$M$2:$M$61,MATCH($C218,'Rentabilidad datos'!$C$2:$C$61,0)),"")</f>
        <v>1889.2641835913792</v>
      </c>
      <c r="X218" s="52">
        <f>IFERROR(INDEX('Rentabilidad datos'!$P$2:$P$61,MATCH($C218,'Rentabilidad datos'!$C$2:$C$61,0)),"")</f>
        <v>0.556332666034143</v>
      </c>
      <c r="Y218" s="43" t="s">
        <v>211</v>
      </c>
      <c r="Z218" s="53">
        <v>51.811926605504603</v>
      </c>
      <c r="AA218" s="43">
        <v>2</v>
      </c>
      <c r="AB218" s="54">
        <v>0.88844178243450134</v>
      </c>
      <c r="AC218" s="55">
        <v>0.11155821756549864</v>
      </c>
      <c r="AD218" s="752" t="e">
        <f>_xlfn.XLOOKUP(Table1[[#This Row],[Ruta]],#REF!,#REF!)</f>
        <v>#REF!</v>
      </c>
      <c r="AE218" s="752" t="e">
        <f>_xlfn.XLOOKUP(Table1[[#This Row],[Ruta]],#REF!,#REF!)</f>
        <v>#REF!</v>
      </c>
      <c r="AF218" s="752" t="e">
        <f>_xlfn.XLOOKUP(Table1[[#This Row],[Ruta]],#REF!,#REF!)</f>
        <v>#REF!</v>
      </c>
      <c r="AG218" s="752" t="e">
        <f>_xlfn.XLOOKUP(Table1[[#This Row],[Ruta]],#REF!,#REF!)</f>
        <v>#REF!</v>
      </c>
      <c r="AH218" s="52">
        <v>0.63017423698166819</v>
      </c>
      <c r="AI218" s="52">
        <v>0.36982576301833181</v>
      </c>
      <c r="AJ218" s="55">
        <v>0</v>
      </c>
      <c r="AK218" s="56">
        <v>22590</v>
      </c>
      <c r="AL218" s="44">
        <v>15538</v>
      </c>
      <c r="AM218" s="54">
        <v>0.68782647189021695</v>
      </c>
      <c r="AN218" s="55">
        <v>0.62069890798831595</v>
      </c>
      <c r="AO218" s="56">
        <v>0</v>
      </c>
      <c r="AP218" s="48">
        <v>0</v>
      </c>
      <c r="AQ218" s="55">
        <v>0.68782647189021695</v>
      </c>
      <c r="AR218" s="51">
        <v>2973192.73</v>
      </c>
      <c r="AS218" s="49">
        <v>0</v>
      </c>
      <c r="AT218" s="55">
        <v>0</v>
      </c>
      <c r="AU218" s="51">
        <v>0</v>
      </c>
      <c r="AV218" s="52">
        <v>0</v>
      </c>
      <c r="AW218" s="44">
        <v>490</v>
      </c>
      <c r="AX218" s="51">
        <v>191.3497702407</v>
      </c>
      <c r="AY218" s="49">
        <v>264.34906545163398</v>
      </c>
      <c r="AZ218" s="49">
        <v>72.99929521093398</v>
      </c>
      <c r="BA218" s="42" t="s">
        <v>150</v>
      </c>
      <c r="BB218" s="50">
        <v>398524.85504965956</v>
      </c>
      <c r="BC218" s="57">
        <v>398524.85504965956</v>
      </c>
      <c r="BD218" s="42" t="s">
        <v>150</v>
      </c>
      <c r="BE218" s="46">
        <v>51.811926605504603</v>
      </c>
      <c r="BF218" s="46">
        <v>53.200688073394502</v>
      </c>
      <c r="BG218" s="42" t="s">
        <v>152</v>
      </c>
      <c r="BH218" s="52">
        <v>0.68782647189021695</v>
      </c>
      <c r="BI218" s="52">
        <v>0.59727423215011399</v>
      </c>
      <c r="BJ218" s="42" t="s">
        <v>150</v>
      </c>
      <c r="BK218" s="46">
        <v>325.74913024541303</v>
      </c>
      <c r="BL218" s="46">
        <v>326.63180315825701</v>
      </c>
      <c r="BM218" s="42" t="s">
        <v>152</v>
      </c>
      <c r="BN218" s="48">
        <v>1</v>
      </c>
      <c r="BO218" s="42" t="s">
        <v>155</v>
      </c>
      <c r="BP218" s="42" t="s">
        <v>152</v>
      </c>
      <c r="BQ218" s="46">
        <v>0</v>
      </c>
      <c r="BR218" s="46">
        <v>955</v>
      </c>
      <c r="BS218" s="46">
        <v>50129</v>
      </c>
      <c r="BT218" s="46">
        <v>14808</v>
      </c>
      <c r="BU218" s="46">
        <v>3.3852647217720153</v>
      </c>
      <c r="BV218" s="46">
        <v>15.505759162303665</v>
      </c>
      <c r="BW218" s="46">
        <v>1626</v>
      </c>
      <c r="BX218" s="46">
        <v>778</v>
      </c>
      <c r="BY218" s="46">
        <v>2404</v>
      </c>
      <c r="BZ218" s="46">
        <v>0.16234467855213397</v>
      </c>
      <c r="CA218" s="46">
        <v>0.10980551053484602</v>
      </c>
      <c r="CB218" s="46">
        <v>5.2539168017287953E-2</v>
      </c>
      <c r="CC218" s="46">
        <v>0.15613182063749326</v>
      </c>
      <c r="CD218" s="46">
        <v>1.1817936250675313E-2</v>
      </c>
      <c r="CE218" s="46">
        <v>0</v>
      </c>
      <c r="CF218" s="46">
        <v>0.66950297136682879</v>
      </c>
      <c r="CG218" s="46">
        <v>0</v>
      </c>
      <c r="CH218" s="46">
        <v>2.025931928687196E-4</v>
      </c>
      <c r="CI218" s="46">
        <v>5.3661553192762677</v>
      </c>
      <c r="CJ218" s="46">
        <v>0.85778690977278604</v>
      </c>
      <c r="CK218">
        <v>287</v>
      </c>
      <c r="CL218">
        <v>350.8</v>
      </c>
      <c r="CM218">
        <f t="shared" si="28"/>
        <v>63.800000000000011</v>
      </c>
      <c r="CN218">
        <v>7.89</v>
      </c>
      <c r="CO218">
        <v>9.4499999999999993</v>
      </c>
      <c r="CP218">
        <f t="shared" si="29"/>
        <v>1.5599999999999996</v>
      </c>
      <c r="CQ218">
        <v>630.35</v>
      </c>
      <c r="CR218">
        <v>325.75</v>
      </c>
      <c r="CS218">
        <f t="shared" si="30"/>
        <v>304.60000000000002</v>
      </c>
      <c r="CT218" t="s">
        <v>152</v>
      </c>
      <c r="CU218">
        <v>86.45</v>
      </c>
      <c r="CV218">
        <v>127</v>
      </c>
      <c r="CW218" s="46">
        <v>2404</v>
      </c>
      <c r="CX218" s="46">
        <f t="shared" si="24"/>
        <v>15.80361966504592</v>
      </c>
      <c r="CY218" s="46">
        <v>63.8</v>
      </c>
      <c r="CZ218" s="46">
        <f t="shared" si="25"/>
        <v>16.234467855213396</v>
      </c>
      <c r="DA218" s="46">
        <f t="shared" si="26"/>
        <v>60.132996005863447</v>
      </c>
      <c r="DB218" s="46">
        <v>894285.89</v>
      </c>
      <c r="DC218" s="46">
        <f t="shared" si="27"/>
        <v>2.893715622856682</v>
      </c>
      <c r="DD218" s="46">
        <v>43034.76</v>
      </c>
      <c r="DE218" s="995">
        <v>2404</v>
      </c>
      <c r="DF218" s="995">
        <v>15.859</v>
      </c>
      <c r="DG218" s="995">
        <v>55.7</v>
      </c>
      <c r="DH218" s="995">
        <v>16.234000000000002</v>
      </c>
      <c r="DI218" s="995">
        <v>180.00800000000001</v>
      </c>
      <c r="DJ218" s="995">
        <v>2675587</v>
      </c>
      <c r="DK218" s="995">
        <v>8.5879999999999992</v>
      </c>
      <c r="DL218" s="995">
        <v>127649.9</v>
      </c>
      <c r="DM218" s="995">
        <v>2404</v>
      </c>
      <c r="DN218" s="995">
        <v>15.925000000000001</v>
      </c>
      <c r="DO218" s="995">
        <v>45.8</v>
      </c>
      <c r="DP218" s="995">
        <v>16.234000000000002</v>
      </c>
      <c r="DQ218" s="995">
        <v>177.33</v>
      </c>
      <c r="DR218" s="995">
        <v>2634033</v>
      </c>
      <c r="DS218" s="995">
        <v>8.4469999999999992</v>
      </c>
      <c r="DT218" s="995">
        <v>125464.7</v>
      </c>
    </row>
    <row r="219" spans="1:124">
      <c r="A219" s="42" t="s">
        <v>93</v>
      </c>
      <c r="B219" s="42" t="s">
        <v>388</v>
      </c>
      <c r="C219" s="42" t="s">
        <v>405</v>
      </c>
      <c r="D219" s="42">
        <v>220344</v>
      </c>
      <c r="E219" s="42" t="s">
        <v>410</v>
      </c>
      <c r="F219" s="42" t="s">
        <v>149</v>
      </c>
      <c r="G219" s="42" t="s">
        <v>150</v>
      </c>
      <c r="H219" s="43" t="s">
        <v>150</v>
      </c>
      <c r="I219" s="44">
        <v>8</v>
      </c>
      <c r="J219" s="45">
        <v>122646.163808</v>
      </c>
      <c r="K219" s="46">
        <v>12502.417598</v>
      </c>
      <c r="L219" s="47">
        <v>135148.58140600001</v>
      </c>
      <c r="M219" s="48">
        <v>2849891</v>
      </c>
      <c r="N219" s="49">
        <v>1764930</v>
      </c>
      <c r="O219" s="49">
        <v>1084961</v>
      </c>
      <c r="P219" s="49">
        <v>0</v>
      </c>
      <c r="Q219" s="50">
        <v>6521.4819450800896</v>
      </c>
      <c r="R219" s="51">
        <v>2029.5120146644799</v>
      </c>
      <c r="S219" s="49">
        <v>5197.9144393839697</v>
      </c>
      <c r="T219" s="49">
        <v>1181.04858675324</v>
      </c>
      <c r="U219" s="49">
        <f>IFERROR(INDEX('Rentabilidad datos'!$N$2:$N$61,MATCH($C219,'Rentabilidad datos'!$C$2:$C$61,0)),"")</f>
        <v>8408.4750408016844</v>
      </c>
      <c r="V219" s="50">
        <f>IFERROR(INDEX('Rentabilidad datos'!$O$2:$O$61,MATCH($C219,'Rentabilidad datos'!$C$2:$C$61,0)),"")</f>
        <v>1051.0593801002105</v>
      </c>
      <c r="W219" s="51">
        <f>IFERROR(INDEX('Rentabilidad datos'!$M$2:$M$61,MATCH($C219,'Rentabilidad datos'!$C$2:$C$61,0)),"")</f>
        <v>1889.2641835913792</v>
      </c>
      <c r="X219" s="52">
        <f>IFERROR(INDEX('Rentabilidad datos'!$P$2:$P$61,MATCH($C219,'Rentabilidad datos'!$C$2:$C$61,0)),"")</f>
        <v>0.556332666034143</v>
      </c>
      <c r="Y219" s="43" t="s">
        <v>211</v>
      </c>
      <c r="Z219" s="53">
        <v>48.839816933638502</v>
      </c>
      <c r="AA219" s="43">
        <v>2</v>
      </c>
      <c r="AB219" s="54">
        <v>0.89039440455792873</v>
      </c>
      <c r="AC219" s="55">
        <v>0.1096055954420713</v>
      </c>
      <c r="AD219" s="752" t="e">
        <f>_xlfn.XLOOKUP(Table1[[#This Row],[Ruta]],#REF!,#REF!)</f>
        <v>#REF!</v>
      </c>
      <c r="AE219" s="752" t="e">
        <f>_xlfn.XLOOKUP(Table1[[#This Row],[Ruta]],#REF!,#REF!)</f>
        <v>#REF!</v>
      </c>
      <c r="AF219" s="752" t="e">
        <f>_xlfn.XLOOKUP(Table1[[#This Row],[Ruta]],#REF!,#REF!)</f>
        <v>#REF!</v>
      </c>
      <c r="AG219" s="752" t="e">
        <f>_xlfn.XLOOKUP(Table1[[#This Row],[Ruta]],#REF!,#REF!)</f>
        <v>#REF!</v>
      </c>
      <c r="AH219" s="52">
        <v>0.61929736961869775</v>
      </c>
      <c r="AI219" s="52">
        <v>0.38070263038130231</v>
      </c>
      <c r="AJ219" s="55">
        <v>0</v>
      </c>
      <c r="AK219" s="56">
        <v>21343</v>
      </c>
      <c r="AL219" s="44">
        <v>10992</v>
      </c>
      <c r="AM219" s="54">
        <v>0.51501663308813195</v>
      </c>
      <c r="AN219" s="55">
        <v>0.62069890798831595</v>
      </c>
      <c r="AO219" s="56">
        <v>2255.5767931946302</v>
      </c>
      <c r="AP219" s="48">
        <v>1127.7883965973151</v>
      </c>
      <c r="AQ219" s="55">
        <v>0.56785777053822406</v>
      </c>
      <c r="AR219" s="51">
        <v>2849887.61</v>
      </c>
      <c r="AS219" s="49">
        <v>292400.85318090051</v>
      </c>
      <c r="AT219" s="55">
        <v>0.10260083666278352</v>
      </c>
      <c r="AU219" s="51">
        <v>205470.86980279503</v>
      </c>
      <c r="AV219" s="52">
        <v>9.3470643097914689E-4</v>
      </c>
      <c r="AW219" s="44">
        <v>307</v>
      </c>
      <c r="AX219" s="51">
        <v>259.26925127365399</v>
      </c>
      <c r="AY219" s="49">
        <v>264.34906545163398</v>
      </c>
      <c r="AZ219" s="49">
        <v>5.0798141779799835</v>
      </c>
      <c r="BA219" s="42" t="s">
        <v>150</v>
      </c>
      <c r="BB219" s="50">
        <v>19618.516939908863</v>
      </c>
      <c r="BC219" s="57">
        <v>225089.38674270391</v>
      </c>
      <c r="BD219" s="42" t="s">
        <v>150</v>
      </c>
      <c r="BE219" s="46">
        <v>48.839816933638502</v>
      </c>
      <c r="BF219" s="46">
        <v>53.200688073394502</v>
      </c>
      <c r="BG219" s="42" t="s">
        <v>152</v>
      </c>
      <c r="BH219" s="52">
        <v>0.51501663308813195</v>
      </c>
      <c r="BI219" s="52">
        <v>0.59727423215011399</v>
      </c>
      <c r="BJ219" s="42" t="s">
        <v>152</v>
      </c>
      <c r="BK219" s="46">
        <v>309.26448834324901</v>
      </c>
      <c r="BL219" s="46">
        <v>326.63180315825701</v>
      </c>
      <c r="BM219" s="42" t="s">
        <v>152</v>
      </c>
      <c r="BN219" s="48">
        <v>0</v>
      </c>
      <c r="BO219" s="42" t="s">
        <v>155</v>
      </c>
      <c r="BP219" s="42" t="s">
        <v>152</v>
      </c>
      <c r="BQ219" s="46">
        <v>2109.7147485816799</v>
      </c>
      <c r="BR219" s="46">
        <v>1413</v>
      </c>
      <c r="BS219" s="46">
        <v>88191</v>
      </c>
      <c r="BT219" s="46">
        <v>24048</v>
      </c>
      <c r="BU219" s="46">
        <v>3.6672904191616769</v>
      </c>
      <c r="BV219" s="46">
        <v>17.019108280254777</v>
      </c>
      <c r="BW219" s="46">
        <v>0</v>
      </c>
      <c r="BX219" s="46">
        <v>7342</v>
      </c>
      <c r="BY219" s="46">
        <v>7342</v>
      </c>
      <c r="BZ219" s="46">
        <v>0.30530605455755155</v>
      </c>
      <c r="CA219" s="46">
        <v>0</v>
      </c>
      <c r="CB219" s="46">
        <v>0.30530605455755161</v>
      </c>
      <c r="CC219" s="46">
        <v>4.3912175648702603E-2</v>
      </c>
      <c r="CD219" s="46">
        <v>3.3266799733865598E-4</v>
      </c>
      <c r="CE219" s="46">
        <v>5.6553559547571526E-3</v>
      </c>
      <c r="CF219" s="46">
        <v>0.64466899534264799</v>
      </c>
      <c r="CG219" s="46">
        <v>1.24750499001996E-4</v>
      </c>
      <c r="CH219" s="46">
        <v>0</v>
      </c>
      <c r="CI219" s="46">
        <v>4.4108809288929711</v>
      </c>
      <c r="CJ219" s="46">
        <v>0.32883174020024719</v>
      </c>
      <c r="CK219">
        <v>255</v>
      </c>
      <c r="CL219">
        <v>399.31</v>
      </c>
      <c r="CM219">
        <f t="shared" si="28"/>
        <v>144.31</v>
      </c>
      <c r="CN219">
        <v>6.73</v>
      </c>
      <c r="CO219">
        <v>9.4499999999999993</v>
      </c>
      <c r="CP219">
        <f t="shared" si="29"/>
        <v>2.7199999999999989</v>
      </c>
      <c r="CQ219">
        <v>630.35</v>
      </c>
      <c r="CR219">
        <v>309.26</v>
      </c>
      <c r="CS219">
        <f t="shared" si="30"/>
        <v>321.09000000000003</v>
      </c>
      <c r="CT219" t="s">
        <v>152</v>
      </c>
      <c r="CU219">
        <v>73.459999999999994</v>
      </c>
      <c r="CV219">
        <v>149</v>
      </c>
      <c r="CW219" s="46">
        <v>7342</v>
      </c>
      <c r="CX219" s="46">
        <f t="shared" si="24"/>
        <v>29.930513972055888</v>
      </c>
      <c r="CY219" s="46">
        <v>144.31</v>
      </c>
      <c r="CZ219" s="46">
        <f t="shared" si="25"/>
        <v>30.530605455755154</v>
      </c>
      <c r="DA219" s="46">
        <f t="shared" si="26"/>
        <v>43.677333003752018</v>
      </c>
      <c r="DB219" s="46">
        <v>1056655.58</v>
      </c>
      <c r="DC219" s="46">
        <f t="shared" si="27"/>
        <v>2.1288793835727136</v>
      </c>
      <c r="DD219" s="46">
        <v>51502.51</v>
      </c>
      <c r="DE219" s="995">
        <v>7342</v>
      </c>
      <c r="DF219" s="995">
        <v>29.978999999999999</v>
      </c>
      <c r="DG219" s="995">
        <v>132.6</v>
      </c>
      <c r="DH219" s="995">
        <v>30.530999999999999</v>
      </c>
      <c r="DI219" s="995">
        <v>120.89400000000001</v>
      </c>
      <c r="DJ219" s="995">
        <v>2923286</v>
      </c>
      <c r="DK219" s="995">
        <v>5.7439999999999998</v>
      </c>
      <c r="DL219" s="995">
        <v>138900.6</v>
      </c>
      <c r="DM219" s="995">
        <v>7342</v>
      </c>
      <c r="DN219" s="995">
        <v>30.007000000000001</v>
      </c>
      <c r="DO219" s="995">
        <v>126</v>
      </c>
      <c r="DP219" s="995">
        <v>30.530999999999999</v>
      </c>
      <c r="DQ219" s="995">
        <v>119.685</v>
      </c>
      <c r="DR219" s="995">
        <v>2893255</v>
      </c>
      <c r="DS219" s="995">
        <v>5.6890000000000001</v>
      </c>
      <c r="DT219" s="995">
        <v>137530.5</v>
      </c>
    </row>
    <row r="220" spans="1:124">
      <c r="A220" s="42" t="s">
        <v>93</v>
      </c>
      <c r="B220" s="42" t="s">
        <v>388</v>
      </c>
      <c r="C220" s="42" t="s">
        <v>405</v>
      </c>
      <c r="D220" s="42">
        <v>220345</v>
      </c>
      <c r="E220" s="42" t="s">
        <v>411</v>
      </c>
      <c r="F220" s="42" t="s">
        <v>149</v>
      </c>
      <c r="G220" s="42" t="s">
        <v>150</v>
      </c>
      <c r="H220" s="43" t="s">
        <v>150</v>
      </c>
      <c r="I220" s="44">
        <v>8</v>
      </c>
      <c r="J220" s="45">
        <v>126137.144</v>
      </c>
      <c r="K220" s="46">
        <v>14873.594725000001</v>
      </c>
      <c r="L220" s="47">
        <v>141010.738725</v>
      </c>
      <c r="M220" s="48">
        <v>3102581</v>
      </c>
      <c r="N220" s="49">
        <v>1799768</v>
      </c>
      <c r="O220" s="49">
        <v>1302813</v>
      </c>
      <c r="P220" s="49">
        <v>0</v>
      </c>
      <c r="Q220" s="50">
        <v>7076.6160640732296</v>
      </c>
      <c r="R220" s="51">
        <v>2029.5120146644799</v>
      </c>
      <c r="S220" s="49">
        <v>5197.9144393839697</v>
      </c>
      <c r="T220" s="49">
        <v>1181.04858675324</v>
      </c>
      <c r="U220" s="49">
        <f>IFERROR(INDEX('Rentabilidad datos'!$N$2:$N$61,MATCH($C220,'Rentabilidad datos'!$C$2:$C$61,0)),"")</f>
        <v>8408.4750408016844</v>
      </c>
      <c r="V220" s="50">
        <f>IFERROR(INDEX('Rentabilidad datos'!$O$2:$O$61,MATCH($C220,'Rentabilidad datos'!$C$2:$C$61,0)),"")</f>
        <v>1051.0593801002105</v>
      </c>
      <c r="W220" s="51">
        <f>IFERROR(INDEX('Rentabilidad datos'!$M$2:$M$61,MATCH($C220,'Rentabilidad datos'!$C$2:$C$61,0)),"")</f>
        <v>1889.2641835913792</v>
      </c>
      <c r="X220" s="52">
        <f>IFERROR(INDEX('Rentabilidad datos'!$P$2:$P$61,MATCH($C220,'Rentabilidad datos'!$C$2:$C$61,0)),"")</f>
        <v>0.556332666034143</v>
      </c>
      <c r="Y220" s="43" t="s">
        <v>211</v>
      </c>
      <c r="Z220" s="53">
        <v>46.139588100686503</v>
      </c>
      <c r="AA220" s="43">
        <v>2</v>
      </c>
      <c r="AB220" s="54">
        <v>0.92178254169673568</v>
      </c>
      <c r="AC220" s="55">
        <v>7.8217458303264278E-2</v>
      </c>
      <c r="AD220" s="752" t="e">
        <f>_xlfn.XLOOKUP(Table1[[#This Row],[Ruta]],#REF!,#REF!)</f>
        <v>#REF!</v>
      </c>
      <c r="AE220" s="752" t="e">
        <f>_xlfn.XLOOKUP(Table1[[#This Row],[Ruta]],#REF!,#REF!)</f>
        <v>#REF!</v>
      </c>
      <c r="AF220" s="752" t="e">
        <f>_xlfn.XLOOKUP(Table1[[#This Row],[Ruta]],#REF!,#REF!)</f>
        <v>#REF!</v>
      </c>
      <c r="AG220" s="752" t="e">
        <f>_xlfn.XLOOKUP(Table1[[#This Row],[Ruta]],#REF!,#REF!)</f>
        <v>#REF!</v>
      </c>
      <c r="AH220" s="52">
        <v>0.58008735307796955</v>
      </c>
      <c r="AI220" s="52">
        <v>0.4199126469220304</v>
      </c>
      <c r="AJ220" s="55">
        <v>0</v>
      </c>
      <c r="AK220" s="56">
        <v>20163</v>
      </c>
      <c r="AL220" s="44">
        <v>12312</v>
      </c>
      <c r="AM220" s="54">
        <v>0.61062341913405704</v>
      </c>
      <c r="AN220" s="55">
        <v>0.62069890798831595</v>
      </c>
      <c r="AO220" s="56">
        <v>203.152081768421</v>
      </c>
      <c r="AP220" s="48">
        <v>101.5760408842105</v>
      </c>
      <c r="AQ220" s="55">
        <v>0.61566116356118683</v>
      </c>
      <c r="AR220" s="51">
        <v>3092481.22</v>
      </c>
      <c r="AS220" s="49">
        <v>25513.482686515101</v>
      </c>
      <c r="AT220" s="55">
        <v>8.2501657638247832E-3</v>
      </c>
      <c r="AU220" s="51">
        <v>17928.393239172779</v>
      </c>
      <c r="AV220" s="52">
        <v>8.1557957455777007E-5</v>
      </c>
      <c r="AW220" s="44">
        <v>462</v>
      </c>
      <c r="AX220" s="51">
        <v>251.17618745938901</v>
      </c>
      <c r="AY220" s="49">
        <v>264.34906545163398</v>
      </c>
      <c r="AZ220" s="49">
        <v>13.172877992244963</v>
      </c>
      <c r="BA220" s="42" t="s">
        <v>150</v>
      </c>
      <c r="BB220" s="50">
        <v>56983.734052074615</v>
      </c>
      <c r="BC220" s="57">
        <v>74912.127291247394</v>
      </c>
      <c r="BD220" s="42" t="s">
        <v>150</v>
      </c>
      <c r="BE220" s="46">
        <v>46.139588100686503</v>
      </c>
      <c r="BF220" s="46">
        <v>53.200688073394502</v>
      </c>
      <c r="BG220" s="42" t="s">
        <v>152</v>
      </c>
      <c r="BH220" s="52">
        <v>0.61062341913405704</v>
      </c>
      <c r="BI220" s="52">
        <v>0.59727423215011399</v>
      </c>
      <c r="BJ220" s="42" t="s">
        <v>150</v>
      </c>
      <c r="BK220" s="46">
        <v>322.67903598398198</v>
      </c>
      <c r="BL220" s="46">
        <v>326.63180315825701</v>
      </c>
      <c r="BM220" s="42" t="s">
        <v>152</v>
      </c>
      <c r="BN220" s="48">
        <v>1</v>
      </c>
      <c r="BO220" s="42" t="s">
        <v>155</v>
      </c>
      <c r="BP220" s="42" t="s">
        <v>152</v>
      </c>
      <c r="BQ220" s="46">
        <v>1143.0048519458701</v>
      </c>
      <c r="BR220" s="46">
        <v>1233</v>
      </c>
      <c r="BS220" s="46">
        <v>59769</v>
      </c>
      <c r="BT220" s="46">
        <v>17707</v>
      </c>
      <c r="BU220" s="46">
        <v>3.3754447393686111</v>
      </c>
      <c r="BV220" s="46">
        <v>14.360908353609084</v>
      </c>
      <c r="BW220" s="46">
        <v>1535</v>
      </c>
      <c r="BX220" s="46">
        <v>6055</v>
      </c>
      <c r="BY220" s="46">
        <v>7590</v>
      </c>
      <c r="BZ220" s="46">
        <v>0.42864403908058962</v>
      </c>
      <c r="CA220" s="46">
        <v>8.6688880103913707E-2</v>
      </c>
      <c r="CB220" s="46">
        <v>0.34195515897667589</v>
      </c>
      <c r="CC220" s="46">
        <v>5.9185632800587341E-2</v>
      </c>
      <c r="CD220" s="46">
        <v>0.1462698367877111</v>
      </c>
      <c r="CE220" s="46">
        <v>0</v>
      </c>
      <c r="CF220" s="46">
        <v>0.36590049133111202</v>
      </c>
      <c r="CG220" s="46">
        <v>0</v>
      </c>
      <c r="CH220" s="46">
        <v>0</v>
      </c>
      <c r="CI220" s="46">
        <v>4.4504676337231661</v>
      </c>
      <c r="CJ220" s="46">
        <v>0.51866352122337667</v>
      </c>
      <c r="CK220">
        <v>206</v>
      </c>
      <c r="CL220">
        <v>327.52</v>
      </c>
      <c r="CM220">
        <f t="shared" si="28"/>
        <v>121.51999999999998</v>
      </c>
      <c r="CN220">
        <v>6.31</v>
      </c>
      <c r="CO220">
        <v>9.4499999999999993</v>
      </c>
      <c r="CP220">
        <f t="shared" si="29"/>
        <v>3.1399999999999997</v>
      </c>
      <c r="CQ220">
        <v>630.35</v>
      </c>
      <c r="CR220">
        <v>322.68</v>
      </c>
      <c r="CS220">
        <f t="shared" si="30"/>
        <v>307.67</v>
      </c>
      <c r="CT220" t="s">
        <v>152</v>
      </c>
      <c r="CU220">
        <v>66.790000000000006</v>
      </c>
      <c r="CV220">
        <v>118</v>
      </c>
      <c r="CW220" s="46">
        <v>7590</v>
      </c>
      <c r="CX220" s="46">
        <f t="shared" si="24"/>
        <v>42.178121646806346</v>
      </c>
      <c r="CY220" s="46">
        <v>121.52</v>
      </c>
      <c r="CZ220" s="46">
        <f t="shared" si="25"/>
        <v>42.864403908058961</v>
      </c>
      <c r="DA220" s="46">
        <f t="shared" si="26"/>
        <v>50.577400704040485</v>
      </c>
      <c r="DB220" s="46">
        <v>901720.2</v>
      </c>
      <c r="DC220" s="46">
        <f t="shared" si="27"/>
        <v>2.352253019319607</v>
      </c>
      <c r="DD220" s="46">
        <v>41937.19</v>
      </c>
      <c r="DE220" s="995">
        <v>7590</v>
      </c>
      <c r="DF220" s="995">
        <v>42.177999999999997</v>
      </c>
      <c r="DG220" s="995">
        <v>121.5</v>
      </c>
      <c r="DH220" s="995">
        <v>42.863999999999997</v>
      </c>
      <c r="DI220" s="995">
        <v>155.67400000000001</v>
      </c>
      <c r="DJ220" s="995">
        <v>2775440</v>
      </c>
      <c r="DK220" s="995">
        <v>7.0149999999999997</v>
      </c>
      <c r="DL220" s="995">
        <v>125074.3</v>
      </c>
      <c r="DM220" s="995">
        <v>7590</v>
      </c>
      <c r="DN220" s="995">
        <v>42.177999999999997</v>
      </c>
      <c r="DO220" s="995">
        <v>121.5</v>
      </c>
      <c r="DP220" s="995">
        <v>42.863999999999997</v>
      </c>
      <c r="DQ220" s="995">
        <v>155.67400000000001</v>
      </c>
      <c r="DR220" s="995">
        <v>2775440</v>
      </c>
      <c r="DS220" s="995">
        <v>7.0149999999999997</v>
      </c>
      <c r="DT220" s="995">
        <v>125074.3</v>
      </c>
    </row>
    <row r="221" spans="1:124">
      <c r="A221" s="42" t="s">
        <v>93</v>
      </c>
      <c r="B221" s="42" t="s">
        <v>388</v>
      </c>
      <c r="C221" s="42" t="s">
        <v>405</v>
      </c>
      <c r="D221" s="42">
        <v>220346</v>
      </c>
      <c r="E221" s="42" t="s">
        <v>412</v>
      </c>
      <c r="F221" s="42" t="s">
        <v>149</v>
      </c>
      <c r="G221" s="42" t="s">
        <v>150</v>
      </c>
      <c r="H221" s="43" t="s">
        <v>150</v>
      </c>
      <c r="I221" s="44">
        <v>8</v>
      </c>
      <c r="J221" s="45">
        <v>85576.707999999999</v>
      </c>
      <c r="K221" s="46">
        <v>7151.9969659999997</v>
      </c>
      <c r="L221" s="47">
        <v>92728.704966000107</v>
      </c>
      <c r="M221" s="48">
        <v>2327072</v>
      </c>
      <c r="N221" s="49">
        <v>1260513</v>
      </c>
      <c r="O221" s="49">
        <v>1066559</v>
      </c>
      <c r="P221" s="49">
        <v>0</v>
      </c>
      <c r="Q221" s="50">
        <v>4529.3692219679597</v>
      </c>
      <c r="R221" s="51">
        <v>2029.5120146644799</v>
      </c>
      <c r="S221" s="49">
        <v>5197.9144393839697</v>
      </c>
      <c r="T221" s="49">
        <v>1181.04858675324</v>
      </c>
      <c r="U221" s="49">
        <f>IFERROR(INDEX('Rentabilidad datos'!$N$2:$N$61,MATCH($C221,'Rentabilidad datos'!$C$2:$C$61,0)),"")</f>
        <v>8408.4750408016844</v>
      </c>
      <c r="V221" s="50">
        <f>IFERROR(INDEX('Rentabilidad datos'!$O$2:$O$61,MATCH($C221,'Rentabilidad datos'!$C$2:$C$61,0)),"")</f>
        <v>1051.0593801002105</v>
      </c>
      <c r="W221" s="51">
        <f>IFERROR(INDEX('Rentabilidad datos'!$M$2:$M$61,MATCH($C221,'Rentabilidad datos'!$C$2:$C$61,0)),"")</f>
        <v>1889.2641835913792</v>
      </c>
      <c r="X221" s="52">
        <f>IFERROR(INDEX('Rentabilidad datos'!$P$2:$P$61,MATCH($C221,'Rentabilidad datos'!$C$2:$C$61,0)),"")</f>
        <v>0.556332666034143</v>
      </c>
      <c r="Y221" s="43" t="s">
        <v>211</v>
      </c>
      <c r="Z221" s="53">
        <v>48.2997711670481</v>
      </c>
      <c r="AA221" s="43">
        <v>2</v>
      </c>
      <c r="AB221" s="54">
        <v>0.73089573506964978</v>
      </c>
      <c r="AC221" s="55">
        <v>0.26910426493035022</v>
      </c>
      <c r="AD221" s="752" t="e">
        <f>_xlfn.XLOOKUP(Table1[[#This Row],[Ruta]],#REF!,#REF!)</f>
        <v>#REF!</v>
      </c>
      <c r="AE221" s="752" t="e">
        <f>_xlfn.XLOOKUP(Table1[[#This Row],[Ruta]],#REF!,#REF!)</f>
        <v>#REF!</v>
      </c>
      <c r="AF221" s="752" t="e">
        <f>_xlfn.XLOOKUP(Table1[[#This Row],[Ruta]],#REF!,#REF!)</f>
        <v>#REF!</v>
      </c>
      <c r="AG221" s="752" t="e">
        <f>_xlfn.XLOOKUP(Table1[[#This Row],[Ruta]],#REF!,#REF!)</f>
        <v>#REF!</v>
      </c>
      <c r="AH221" s="52">
        <v>0.54167339901816536</v>
      </c>
      <c r="AI221" s="52">
        <v>0.4583266009818347</v>
      </c>
      <c r="AJ221" s="55">
        <v>0</v>
      </c>
      <c r="AK221" s="56">
        <v>21107</v>
      </c>
      <c r="AL221" s="44">
        <v>6817</v>
      </c>
      <c r="AM221" s="54">
        <v>0.32297342113990601</v>
      </c>
      <c r="AN221" s="55">
        <v>0.62069890798831595</v>
      </c>
      <c r="AO221" s="56">
        <v>6284.0918509093899</v>
      </c>
      <c r="AP221" s="48">
        <v>3142.045925454695</v>
      </c>
      <c r="AQ221" s="55">
        <v>0.4718361645641112</v>
      </c>
      <c r="AR221" s="51">
        <v>1979334.35</v>
      </c>
      <c r="AS221" s="49">
        <v>912301.51526037999</v>
      </c>
      <c r="AT221" s="55">
        <v>0.46091329403765463</v>
      </c>
      <c r="AU221" s="51">
        <v>641076.74045324023</v>
      </c>
      <c r="AV221" s="52">
        <v>2.9163187590917662E-3</v>
      </c>
      <c r="AW221" s="44">
        <v>109</v>
      </c>
      <c r="AX221" s="51">
        <v>290.35269913451702</v>
      </c>
      <c r="AY221" s="49">
        <v>264.34906545163398</v>
      </c>
      <c r="AZ221" s="49">
        <v>0</v>
      </c>
      <c r="BA221" s="42" t="s">
        <v>152</v>
      </c>
      <c r="BB221" s="50">
        <v>0</v>
      </c>
      <c r="BC221" s="57">
        <v>641076.74045324023</v>
      </c>
      <c r="BD221" s="42" t="s">
        <v>150</v>
      </c>
      <c r="BE221" s="46">
        <v>48.2997711670481</v>
      </c>
      <c r="BF221" s="46">
        <v>53.200688073394502</v>
      </c>
      <c r="BG221" s="42" t="s">
        <v>152</v>
      </c>
      <c r="BH221" s="52">
        <v>0.32297342113990601</v>
      </c>
      <c r="BI221" s="52">
        <v>0.59727423215011399</v>
      </c>
      <c r="BJ221" s="42" t="s">
        <v>152</v>
      </c>
      <c r="BK221" s="46">
        <v>212.193832874142</v>
      </c>
      <c r="BL221" s="46">
        <v>326.63180315825701</v>
      </c>
      <c r="BM221" s="42" t="s">
        <v>152</v>
      </c>
      <c r="BN221" s="48">
        <v>0</v>
      </c>
      <c r="BO221" s="42" t="s">
        <v>155</v>
      </c>
      <c r="BP221" s="42" t="s">
        <v>152</v>
      </c>
      <c r="BQ221" s="46">
        <v>6025.7820381391202</v>
      </c>
      <c r="BR221" s="46">
        <v>3782</v>
      </c>
      <c r="BS221" s="46">
        <v>183011</v>
      </c>
      <c r="BT221" s="46">
        <v>50826</v>
      </c>
      <c r="BU221" s="46">
        <v>3.6007358438594421</v>
      </c>
      <c r="BV221" s="46">
        <v>13.438921205711264</v>
      </c>
      <c r="BW221" s="46">
        <v>4</v>
      </c>
      <c r="BX221" s="46">
        <v>3059</v>
      </c>
      <c r="BY221" s="46">
        <v>3063</v>
      </c>
      <c r="BZ221" s="46">
        <v>6.0264431590131035E-2</v>
      </c>
      <c r="CA221" s="46">
        <v>7.8699878015189078E-5</v>
      </c>
      <c r="CB221" s="46">
        <v>6.0185731712115838E-2</v>
      </c>
      <c r="CC221" s="46">
        <v>3.3290048400424981E-2</v>
      </c>
      <c r="CD221" s="46">
        <v>2.8390980993979461E-2</v>
      </c>
      <c r="CE221" s="46">
        <v>4.6432928028961552E-3</v>
      </c>
      <c r="CF221" s="46">
        <v>0.87228977295085197</v>
      </c>
      <c r="CG221" s="46">
        <v>6.4927399362530987E-4</v>
      </c>
      <c r="CH221" s="46">
        <v>4.7219926809113439E-4</v>
      </c>
      <c r="CI221" s="46">
        <v>4.7046352405046692</v>
      </c>
      <c r="CJ221" s="46">
        <v>0.1693887252678801</v>
      </c>
      <c r="CK221">
        <v>300</v>
      </c>
      <c r="CL221">
        <v>395.73</v>
      </c>
      <c r="CM221">
        <f t="shared" si="28"/>
        <v>95.730000000000018</v>
      </c>
      <c r="CN221">
        <v>7.36</v>
      </c>
      <c r="CO221">
        <v>9.4499999999999993</v>
      </c>
      <c r="CP221">
        <f t="shared" si="29"/>
        <v>2.089999999999999</v>
      </c>
      <c r="CQ221">
        <v>630.35</v>
      </c>
      <c r="CR221">
        <v>212.19</v>
      </c>
      <c r="CS221">
        <f t="shared" si="30"/>
        <v>418.16</v>
      </c>
      <c r="CT221" t="s">
        <v>152</v>
      </c>
      <c r="CU221">
        <v>77.84</v>
      </c>
      <c r="CV221">
        <v>36</v>
      </c>
      <c r="CW221" s="46">
        <v>3063</v>
      </c>
      <c r="CX221" s="46">
        <f t="shared" si="24"/>
        <v>5.8380946759532524</v>
      </c>
      <c r="CY221" s="46">
        <v>95.73</v>
      </c>
      <c r="CZ221" s="46">
        <f t="shared" si="25"/>
        <v>6.0264431590131036</v>
      </c>
      <c r="DA221" s="46">
        <f t="shared" si="26"/>
        <v>15.339024420419337</v>
      </c>
      <c r="DB221" s="46">
        <v>781089.66</v>
      </c>
      <c r="DC221" s="46">
        <f t="shared" si="27"/>
        <v>0.70115489006363285</v>
      </c>
      <c r="DD221" s="46">
        <v>35704.019999999997</v>
      </c>
      <c r="DE221" s="995">
        <v>3063</v>
      </c>
      <c r="DF221" s="995">
        <v>5.88</v>
      </c>
      <c r="DG221" s="995">
        <v>74.2</v>
      </c>
      <c r="DH221" s="995">
        <v>6.0259999999999998</v>
      </c>
      <c r="DI221" s="995">
        <v>47.619</v>
      </c>
      <c r="DJ221" s="995">
        <v>2423791</v>
      </c>
      <c r="DK221" s="995">
        <v>2.2050000000000001</v>
      </c>
      <c r="DL221" s="995">
        <v>112258.7</v>
      </c>
      <c r="DM221" s="995">
        <v>3063</v>
      </c>
      <c r="DN221" s="995">
        <v>5.8890000000000002</v>
      </c>
      <c r="DO221" s="995">
        <v>69.8</v>
      </c>
      <c r="DP221" s="995">
        <v>6.0259999999999998</v>
      </c>
      <c r="DQ221" s="995">
        <v>47.215000000000003</v>
      </c>
      <c r="DR221" s="995">
        <v>2403031</v>
      </c>
      <c r="DS221" s="995">
        <v>2.1869999999999998</v>
      </c>
      <c r="DT221" s="995">
        <v>111289.7</v>
      </c>
    </row>
    <row r="222" spans="1:124">
      <c r="A222" s="42" t="s">
        <v>93</v>
      </c>
      <c r="B222" s="42" t="s">
        <v>388</v>
      </c>
      <c r="C222" s="42" t="s">
        <v>405</v>
      </c>
      <c r="D222" s="42">
        <v>220347</v>
      </c>
      <c r="E222" s="42" t="s">
        <v>413</v>
      </c>
      <c r="F222" s="42" t="s">
        <v>149</v>
      </c>
      <c r="G222" s="42" t="s">
        <v>150</v>
      </c>
      <c r="H222" s="43" t="s">
        <v>150</v>
      </c>
      <c r="I222" s="44">
        <v>8</v>
      </c>
      <c r="J222" s="45">
        <v>96263.669599999994</v>
      </c>
      <c r="K222" s="46">
        <v>8025.732841</v>
      </c>
      <c r="L222" s="47">
        <v>104289.402441</v>
      </c>
      <c r="M222" s="48">
        <v>2438995</v>
      </c>
      <c r="N222" s="49">
        <v>1425703</v>
      </c>
      <c r="O222" s="49">
        <v>1013292</v>
      </c>
      <c r="P222" s="49">
        <v>0</v>
      </c>
      <c r="Q222" s="50">
        <v>5571.0687155963296</v>
      </c>
      <c r="R222" s="51">
        <v>2029.5120146644799</v>
      </c>
      <c r="S222" s="49">
        <v>5197.9144393839697</v>
      </c>
      <c r="T222" s="49">
        <v>1181.04858675324</v>
      </c>
      <c r="U222" s="49">
        <f>IFERROR(INDEX('Rentabilidad datos'!$N$2:$N$61,MATCH($C222,'Rentabilidad datos'!$C$2:$C$61,0)),"")</f>
        <v>8408.4750408016844</v>
      </c>
      <c r="V222" s="50">
        <f>IFERROR(INDEX('Rentabilidad datos'!$O$2:$O$61,MATCH($C222,'Rentabilidad datos'!$C$2:$C$61,0)),"")</f>
        <v>1051.0593801002105</v>
      </c>
      <c r="W222" s="51">
        <f>IFERROR(INDEX('Rentabilidad datos'!$M$2:$M$61,MATCH($C222,'Rentabilidad datos'!$C$2:$C$61,0)),"")</f>
        <v>1889.2641835913792</v>
      </c>
      <c r="X222" s="52">
        <f>IFERROR(INDEX('Rentabilidad datos'!$P$2:$P$61,MATCH($C222,'Rentabilidad datos'!$C$2:$C$61,0)),"")</f>
        <v>0.556332666034143</v>
      </c>
      <c r="Y222" s="43" t="s">
        <v>211</v>
      </c>
      <c r="Z222" s="53">
        <v>38.855504587155998</v>
      </c>
      <c r="AA222" s="43">
        <v>2</v>
      </c>
      <c r="AB222" s="54">
        <v>0.92518270845163686</v>
      </c>
      <c r="AC222" s="55">
        <v>7.4817291548363155E-2</v>
      </c>
      <c r="AD222" s="752" t="e">
        <f>_xlfn.XLOOKUP(Table1[[#This Row],[Ruta]],#REF!,#REF!)</f>
        <v>#REF!</v>
      </c>
      <c r="AE222" s="752" t="e">
        <f>_xlfn.XLOOKUP(Table1[[#This Row],[Ruta]],#REF!,#REF!)</f>
        <v>#REF!</v>
      </c>
      <c r="AF222" s="752" t="e">
        <f>_xlfn.XLOOKUP(Table1[[#This Row],[Ruta]],#REF!,#REF!)</f>
        <v>#REF!</v>
      </c>
      <c r="AG222" s="752" t="e">
        <f>_xlfn.XLOOKUP(Table1[[#This Row],[Ruta]],#REF!,#REF!)</f>
        <v>#REF!</v>
      </c>
      <c r="AH222" s="52">
        <v>0.58454527377054899</v>
      </c>
      <c r="AI222" s="52">
        <v>0.41545472622945107</v>
      </c>
      <c r="AJ222" s="55">
        <v>0</v>
      </c>
      <c r="AK222" s="56">
        <v>16941</v>
      </c>
      <c r="AL222" s="44">
        <v>10668</v>
      </c>
      <c r="AM222" s="54">
        <v>0.62971489286346705</v>
      </c>
      <c r="AN222" s="55">
        <v>0.62069890798831595</v>
      </c>
      <c r="AO222" s="56">
        <v>0</v>
      </c>
      <c r="AP222" s="48">
        <v>0</v>
      </c>
      <c r="AQ222" s="55">
        <v>0.62971489286346738</v>
      </c>
      <c r="AR222" s="51">
        <v>2428985.96</v>
      </c>
      <c r="AS222" s="49">
        <v>0</v>
      </c>
      <c r="AT222" s="55">
        <v>0</v>
      </c>
      <c r="AU222" s="51">
        <v>0</v>
      </c>
      <c r="AV222" s="52">
        <v>0</v>
      </c>
      <c r="AW222" s="44">
        <v>490</v>
      </c>
      <c r="AX222" s="51">
        <v>227.68897262842199</v>
      </c>
      <c r="AY222" s="49">
        <v>264.34906545163398</v>
      </c>
      <c r="AZ222" s="49">
        <v>36.660092823211983</v>
      </c>
      <c r="BA222" s="42" t="s">
        <v>150</v>
      </c>
      <c r="BB222" s="50">
        <v>137409.95440795494</v>
      </c>
      <c r="BC222" s="57">
        <v>137409.95440795494</v>
      </c>
      <c r="BD222" s="42" t="s">
        <v>150</v>
      </c>
      <c r="BE222" s="46">
        <v>38.855504587155998</v>
      </c>
      <c r="BF222" s="46">
        <v>53.200688073394502</v>
      </c>
      <c r="BG222" s="42" t="s">
        <v>152</v>
      </c>
      <c r="BH222" s="52">
        <v>0.62971489286346705</v>
      </c>
      <c r="BI222" s="52">
        <v>0.59727423215011399</v>
      </c>
      <c r="BJ222" s="42" t="s">
        <v>150</v>
      </c>
      <c r="BK222" s="46">
        <v>239.19587715825699</v>
      </c>
      <c r="BL222" s="46">
        <v>326.63180315825701</v>
      </c>
      <c r="BM222" s="42" t="s">
        <v>152</v>
      </c>
      <c r="BN222" s="48">
        <v>1</v>
      </c>
      <c r="BO222" s="42" t="s">
        <v>155</v>
      </c>
      <c r="BP222" s="42" t="s">
        <v>152</v>
      </c>
      <c r="BQ222" s="46">
        <v>1172.4259764825899</v>
      </c>
      <c r="BR222" s="46">
        <v>1064</v>
      </c>
      <c r="BS222" s="46">
        <v>41675</v>
      </c>
      <c r="BT222" s="46">
        <v>11169</v>
      </c>
      <c r="BU222" s="46">
        <v>3.7313098755483929</v>
      </c>
      <c r="BV222" s="46">
        <v>10.49718045112782</v>
      </c>
      <c r="BW222" s="46">
        <v>0</v>
      </c>
      <c r="BX222" s="46">
        <v>452</v>
      </c>
      <c r="BY222" s="46">
        <v>452</v>
      </c>
      <c r="BZ222" s="46">
        <v>4.0469155698809205E-2</v>
      </c>
      <c r="CA222" s="46">
        <v>0</v>
      </c>
      <c r="CB222" s="46">
        <v>4.0469155698809198E-2</v>
      </c>
      <c r="CC222" s="46">
        <v>7.8610439609633806E-2</v>
      </c>
      <c r="CD222" s="46">
        <v>7.3417494851822007E-3</v>
      </c>
      <c r="CE222" s="46">
        <v>0</v>
      </c>
      <c r="CF222" s="46">
        <v>0.87348912167606774</v>
      </c>
      <c r="CG222" s="46">
        <v>0</v>
      </c>
      <c r="CH222" s="46">
        <v>8.9533530307100002E-5</v>
      </c>
      <c r="CI222" s="46">
        <v>8.8782243551289728</v>
      </c>
      <c r="CJ222" s="46">
        <v>0.40791841631673675</v>
      </c>
      <c r="CK222">
        <v>182</v>
      </c>
      <c r="CL222">
        <v>238.59</v>
      </c>
      <c r="CM222">
        <f t="shared" si="28"/>
        <v>56.59</v>
      </c>
      <c r="CN222">
        <v>4.76</v>
      </c>
      <c r="CO222">
        <v>9.4499999999999993</v>
      </c>
      <c r="CP222">
        <f t="shared" si="29"/>
        <v>4.6899999999999995</v>
      </c>
      <c r="CQ222">
        <v>630.35</v>
      </c>
      <c r="CR222">
        <v>239.2</v>
      </c>
      <c r="CS222">
        <f t="shared" si="30"/>
        <v>391.15000000000003</v>
      </c>
      <c r="CT222" t="s">
        <v>152</v>
      </c>
      <c r="CU222">
        <v>50.41</v>
      </c>
      <c r="CV222">
        <v>13</v>
      </c>
      <c r="CW222" s="46">
        <v>452</v>
      </c>
      <c r="CX222" s="46">
        <f t="shared" si="24"/>
        <v>3.5402453218730408</v>
      </c>
      <c r="CY222" s="46">
        <v>56.59</v>
      </c>
      <c r="CZ222" s="46">
        <f t="shared" si="25"/>
        <v>4.0469155698809205</v>
      </c>
      <c r="DA222" s="46">
        <f t="shared" si="26"/>
        <v>27.210997372966588</v>
      </c>
      <c r="DB222" s="46">
        <v>305459.5</v>
      </c>
      <c r="DC222" s="46">
        <f t="shared" si="27"/>
        <v>1.2924077932652094</v>
      </c>
      <c r="DD222" s="46">
        <v>14508.04</v>
      </c>
      <c r="DE222" s="995">
        <v>452</v>
      </c>
      <c r="DF222" s="995">
        <v>3.75</v>
      </c>
      <c r="DG222" s="995">
        <v>33.200000000000003</v>
      </c>
      <c r="DH222" s="995">
        <v>4.0469999999999997</v>
      </c>
      <c r="DI222" s="995">
        <v>116.087</v>
      </c>
      <c r="DJ222" s="995">
        <v>1300427</v>
      </c>
      <c r="DK222" s="995">
        <v>5.4189999999999996</v>
      </c>
      <c r="DL222" s="995">
        <v>60700.5</v>
      </c>
      <c r="DM222" s="995">
        <v>452</v>
      </c>
      <c r="DN222" s="995">
        <v>3.7970000000000002</v>
      </c>
      <c r="DO222" s="995">
        <v>28</v>
      </c>
      <c r="DP222" s="995">
        <v>4.0469999999999997</v>
      </c>
      <c r="DQ222" s="995">
        <v>114.083</v>
      </c>
      <c r="DR222" s="995">
        <v>1277387</v>
      </c>
      <c r="DS222" s="995">
        <v>5.3230000000000004</v>
      </c>
      <c r="DT222" s="995">
        <v>59606.2</v>
      </c>
    </row>
    <row r="223" spans="1:124">
      <c r="A223" s="42" t="s">
        <v>93</v>
      </c>
      <c r="B223" s="42" t="s">
        <v>414</v>
      </c>
      <c r="C223" s="42" t="s">
        <v>415</v>
      </c>
      <c r="D223" s="42">
        <v>946400</v>
      </c>
      <c r="E223" s="42" t="s">
        <v>416</v>
      </c>
      <c r="F223" s="42" t="s">
        <v>149</v>
      </c>
      <c r="G223" s="42" t="s">
        <v>150</v>
      </c>
      <c r="H223" s="43" t="s">
        <v>150</v>
      </c>
      <c r="I223" s="44">
        <v>13</v>
      </c>
      <c r="J223" s="45">
        <v>163178.70240000001</v>
      </c>
      <c r="K223" s="46">
        <v>7519.7511670000004</v>
      </c>
      <c r="L223" s="47">
        <v>170698.45356699999</v>
      </c>
      <c r="M223" s="48">
        <v>3411573</v>
      </c>
      <c r="N223" s="49">
        <v>2403205</v>
      </c>
      <c r="O223" s="49">
        <v>1005533</v>
      </c>
      <c r="P223" s="49">
        <v>2835</v>
      </c>
      <c r="Q223" s="50">
        <v>7800.3196796338698</v>
      </c>
      <c r="R223" s="51">
        <v>7372.79527992568</v>
      </c>
      <c r="S223" s="49">
        <v>7180.6408351987502</v>
      </c>
      <c r="T223" s="49">
        <v>1673.1474260371899</v>
      </c>
      <c r="U223" s="49">
        <f>IFERROR(INDEX('Rentabilidad datos'!$N$2:$N$61,MATCH($C223,'Rentabilidad datos'!$C$2:$C$61,0)),"")</f>
        <v>16226.583541161614</v>
      </c>
      <c r="V223" s="50">
        <f>IFERROR(INDEX('Rentabilidad datos'!$O$2:$O$61,MATCH($C223,'Rentabilidad datos'!$C$2:$C$61,0)),"")</f>
        <v>1352.2152950968011</v>
      </c>
      <c r="W223" s="51">
        <f>IFERROR(INDEX('Rentabilidad datos'!$M$2:$M$61,MATCH($C223,'Rentabilidad datos'!$C$2:$C$61,0)),"")</f>
        <v>2865.9870486706945</v>
      </c>
      <c r="X223" s="52">
        <f>IFERROR(INDEX('Rentabilidad datos'!$P$2:$P$61,MATCH($C223,'Rentabilidad datos'!$C$2:$C$61,0)),"")</f>
        <v>0.47181486591992355</v>
      </c>
      <c r="Y223" s="43" t="s">
        <v>171</v>
      </c>
      <c r="Z223" s="53">
        <v>67.505720823798598</v>
      </c>
      <c r="AA223" s="43">
        <v>2</v>
      </c>
      <c r="AB223" s="54">
        <v>0.98946233892694069</v>
      </c>
      <c r="AC223" s="55">
        <v>1.053766107305926E-2</v>
      </c>
      <c r="AD223" s="752" t="e">
        <f>_xlfn.XLOOKUP(Table1[[#This Row],[Ruta]],#REF!,#REF!)</f>
        <v>#REF!</v>
      </c>
      <c r="AE223" s="752" t="e">
        <f>_xlfn.XLOOKUP(Table1[[#This Row],[Ruta]],#REF!,#REF!)</f>
        <v>#REF!</v>
      </c>
      <c r="AF223" s="752" t="e">
        <f>_xlfn.XLOOKUP(Table1[[#This Row],[Ruta]],#REF!,#REF!)</f>
        <v>#REF!</v>
      </c>
      <c r="AG223" s="752" t="e">
        <f>_xlfn.XLOOKUP(Table1[[#This Row],[Ruta]],#REF!,#REF!)</f>
        <v>#REF!</v>
      </c>
      <c r="AH223" s="52">
        <v>0.70442725393828598</v>
      </c>
      <c r="AI223" s="52">
        <v>0.2947417510925312</v>
      </c>
      <c r="AJ223" s="55">
        <v>8.3099496918283733E-4</v>
      </c>
      <c r="AK223" s="56">
        <v>29500</v>
      </c>
      <c r="AL223" s="44">
        <v>15308</v>
      </c>
      <c r="AM223" s="54">
        <v>0.51891525423728802</v>
      </c>
      <c r="AN223" s="55">
        <v>0.63241987281794299</v>
      </c>
      <c r="AO223" s="56">
        <v>3348.3862481293299</v>
      </c>
      <c r="AP223" s="48">
        <v>1674.193124064665</v>
      </c>
      <c r="AQ223" s="55">
        <v>0.57566756352761583</v>
      </c>
      <c r="AR223" s="51">
        <v>3408739.7</v>
      </c>
      <c r="AS223" s="49">
        <v>372804.32241091301</v>
      </c>
      <c r="AT223" s="55">
        <v>0.10936720172881285</v>
      </c>
      <c r="AU223" s="51">
        <v>261970.60493739843</v>
      </c>
      <c r="AV223" s="52">
        <v>1.1917290728242823E-3</v>
      </c>
      <c r="AW223" s="44">
        <v>270</v>
      </c>
      <c r="AX223" s="51">
        <v>222.67701201985901</v>
      </c>
      <c r="AY223" s="49">
        <v>257.18382817993</v>
      </c>
      <c r="AZ223" s="49">
        <v>34.506816160070997</v>
      </c>
      <c r="BA223" s="42" t="s">
        <v>150</v>
      </c>
      <c r="BB223" s="50">
        <v>185594.44440861544</v>
      </c>
      <c r="BC223" s="57">
        <v>447565.04934601387</v>
      </c>
      <c r="BD223" s="42" t="s">
        <v>150</v>
      </c>
      <c r="BE223" s="46">
        <v>67.505720823798598</v>
      </c>
      <c r="BF223" s="46">
        <v>72.681922196796293</v>
      </c>
      <c r="BG223" s="42" t="s">
        <v>152</v>
      </c>
      <c r="BH223" s="52">
        <v>0.51891525423728802</v>
      </c>
      <c r="BI223" s="52">
        <v>0.629853079087215</v>
      </c>
      <c r="BJ223" s="42" t="s">
        <v>152</v>
      </c>
      <c r="BK223" s="46">
        <v>390.614310221967</v>
      </c>
      <c r="BL223" s="46">
        <v>501.572578807779</v>
      </c>
      <c r="BM223" s="42" t="s">
        <v>152</v>
      </c>
      <c r="BN223" s="48">
        <v>0</v>
      </c>
      <c r="BO223" s="42" t="s">
        <v>155</v>
      </c>
      <c r="BP223" s="42" t="s">
        <v>152</v>
      </c>
      <c r="BQ223" s="46">
        <v>2679.73906521954</v>
      </c>
      <c r="BR223" s="46">
        <v>463</v>
      </c>
      <c r="BS223" s="46">
        <v>25456</v>
      </c>
      <c r="BT223" s="46">
        <v>6925</v>
      </c>
      <c r="BU223" s="46">
        <v>3.675956678700361</v>
      </c>
      <c r="BV223" s="46">
        <v>14.956803455723541</v>
      </c>
      <c r="BW223" s="46">
        <v>132</v>
      </c>
      <c r="BX223" s="46">
        <v>2522</v>
      </c>
      <c r="BY223" s="46">
        <v>2654</v>
      </c>
      <c r="BZ223" s="46">
        <v>0.38324909747292418</v>
      </c>
      <c r="CA223" s="46">
        <v>1.906137184115524E-2</v>
      </c>
      <c r="CB223" s="46">
        <v>0.36418772563176888</v>
      </c>
      <c r="CC223" s="46">
        <v>0.29631768953068588</v>
      </c>
      <c r="CD223" s="46">
        <v>5.1263537906137177E-2</v>
      </c>
      <c r="CE223" s="46">
        <v>0</v>
      </c>
      <c r="CF223" s="46">
        <v>0.26916967509025269</v>
      </c>
      <c r="CG223" s="46">
        <v>0</v>
      </c>
      <c r="CH223" s="46">
        <v>0</v>
      </c>
      <c r="CI223" s="46">
        <v>5.1068510370835947</v>
      </c>
      <c r="CJ223" s="46">
        <v>0.19641734758013829</v>
      </c>
      <c r="CK223">
        <v>270</v>
      </c>
      <c r="CL223">
        <v>345.39</v>
      </c>
      <c r="CM223">
        <f t="shared" si="28"/>
        <v>75.389999999999986</v>
      </c>
      <c r="CN223">
        <v>7.98</v>
      </c>
      <c r="CO223">
        <v>9.4499999999999993</v>
      </c>
      <c r="CP223">
        <f t="shared" si="29"/>
        <v>1.4699999999999989</v>
      </c>
      <c r="CQ223">
        <v>929.55</v>
      </c>
      <c r="CR223">
        <v>390.61</v>
      </c>
      <c r="CS223">
        <f t="shared" si="30"/>
        <v>538.93999999999994</v>
      </c>
      <c r="CT223" t="s">
        <v>152</v>
      </c>
      <c r="CU223">
        <v>84.45</v>
      </c>
      <c r="CV223">
        <v>123</v>
      </c>
      <c r="CW223" s="46">
        <v>2654</v>
      </c>
      <c r="CX223" s="46">
        <f t="shared" si="24"/>
        <v>37.23624548736462</v>
      </c>
      <c r="CY223" s="46">
        <v>75.39</v>
      </c>
      <c r="CZ223" s="46">
        <f t="shared" si="25"/>
        <v>38.324909747292416</v>
      </c>
      <c r="DA223" s="46">
        <f t="shared" si="26"/>
        <v>82.269570695346957</v>
      </c>
      <c r="DB223" s="46">
        <v>575919.07999999996</v>
      </c>
      <c r="DC223" s="46">
        <f t="shared" si="27"/>
        <v>3.9811639065823474</v>
      </c>
      <c r="DD223" s="46">
        <v>27869.7</v>
      </c>
      <c r="DE223" s="995">
        <v>2654</v>
      </c>
      <c r="DF223" s="995">
        <v>37.243000000000002</v>
      </c>
      <c r="DG223" s="995">
        <v>74.900000000000006</v>
      </c>
      <c r="DH223" s="995">
        <v>38.325000000000003</v>
      </c>
      <c r="DI223" s="995">
        <v>443.4</v>
      </c>
      <c r="DJ223" s="995">
        <v>3103754</v>
      </c>
      <c r="DK223" s="995">
        <v>21.381</v>
      </c>
      <c r="DL223" s="995">
        <v>149666.1</v>
      </c>
      <c r="DM223" s="995">
        <v>2654</v>
      </c>
      <c r="DN223" s="995">
        <v>37.29</v>
      </c>
      <c r="DO223" s="995">
        <v>71.7</v>
      </c>
      <c r="DP223" s="995">
        <v>38.325000000000003</v>
      </c>
      <c r="DQ223" s="995">
        <v>440.048</v>
      </c>
      <c r="DR223" s="995">
        <v>3078871</v>
      </c>
      <c r="DS223" s="995">
        <v>21.221</v>
      </c>
      <c r="DT223" s="995">
        <v>148474.1</v>
      </c>
    </row>
    <row r="224" spans="1:124">
      <c r="A224" s="42" t="s">
        <v>93</v>
      </c>
      <c r="B224" s="42" t="s">
        <v>414</v>
      </c>
      <c r="C224" s="42" t="s">
        <v>415</v>
      </c>
      <c r="D224" s="42">
        <v>946401</v>
      </c>
      <c r="E224" s="42" t="s">
        <v>417</v>
      </c>
      <c r="F224" s="42" t="s">
        <v>149</v>
      </c>
      <c r="G224" s="42" t="s">
        <v>150</v>
      </c>
      <c r="H224" s="43" t="s">
        <v>150</v>
      </c>
      <c r="I224" s="44">
        <v>13</v>
      </c>
      <c r="J224" s="45">
        <v>148398.712</v>
      </c>
      <c r="K224" s="46">
        <v>6702.853349</v>
      </c>
      <c r="L224" s="47">
        <v>155101.56534900001</v>
      </c>
      <c r="M224" s="48">
        <v>2948717</v>
      </c>
      <c r="N224" s="49">
        <v>2125447</v>
      </c>
      <c r="O224" s="49">
        <v>818240</v>
      </c>
      <c r="P224" s="49">
        <v>5030</v>
      </c>
      <c r="Q224" s="50">
        <v>6736.1341647597301</v>
      </c>
      <c r="R224" s="51">
        <v>7372.79527992568</v>
      </c>
      <c r="S224" s="49">
        <v>7180.6408351987502</v>
      </c>
      <c r="T224" s="49">
        <v>1673.1474260371899</v>
      </c>
      <c r="U224" s="49">
        <f>IFERROR(INDEX('Rentabilidad datos'!$N$2:$N$61,MATCH($C224,'Rentabilidad datos'!$C$2:$C$61,0)),"")</f>
        <v>16226.583541161614</v>
      </c>
      <c r="V224" s="50">
        <f>IFERROR(INDEX('Rentabilidad datos'!$O$2:$O$61,MATCH($C224,'Rentabilidad datos'!$C$2:$C$61,0)),"")</f>
        <v>1352.2152950968011</v>
      </c>
      <c r="W224" s="51">
        <f>IFERROR(INDEX('Rentabilidad datos'!$M$2:$M$61,MATCH($C224,'Rentabilidad datos'!$C$2:$C$61,0)),"")</f>
        <v>2865.9870486706945</v>
      </c>
      <c r="X224" s="52">
        <f>IFERROR(INDEX('Rentabilidad datos'!$P$2:$P$61,MATCH($C224,'Rentabilidad datos'!$C$2:$C$61,0)),"")</f>
        <v>0.47181486591992355</v>
      </c>
      <c r="Y224" s="43" t="s">
        <v>171</v>
      </c>
      <c r="Z224" s="53">
        <v>74.958810068649896</v>
      </c>
      <c r="AA224" s="43">
        <v>2</v>
      </c>
      <c r="AB224" s="54">
        <v>0.97698897520514849</v>
      </c>
      <c r="AC224" s="55">
        <v>2.3011024794851457E-2</v>
      </c>
      <c r="AD224" s="752" t="e">
        <f>_xlfn.XLOOKUP(Table1[[#This Row],[Ruta]],#REF!,#REF!)</f>
        <v>#REF!</v>
      </c>
      <c r="AE224" s="752" t="e">
        <f>_xlfn.XLOOKUP(Table1[[#This Row],[Ruta]],#REF!,#REF!)</f>
        <v>#REF!</v>
      </c>
      <c r="AF224" s="752" t="e">
        <f>_xlfn.XLOOKUP(Table1[[#This Row],[Ruta]],#REF!,#REF!)</f>
        <v>#REF!</v>
      </c>
      <c r="AG224" s="752" t="e">
        <f>_xlfn.XLOOKUP(Table1[[#This Row],[Ruta]],#REF!,#REF!)</f>
        <v>#REF!</v>
      </c>
      <c r="AH224" s="52">
        <v>0.7208039971282425</v>
      </c>
      <c r="AI224" s="52">
        <v>0.27749017623596972</v>
      </c>
      <c r="AJ224" s="55">
        <v>1.7058266357877002E-3</v>
      </c>
      <c r="AK224" s="56">
        <v>32757</v>
      </c>
      <c r="AL224" s="44">
        <v>13377</v>
      </c>
      <c r="AM224" s="54">
        <v>0.40837072992032197</v>
      </c>
      <c r="AN224" s="55">
        <v>0.63241987281794299</v>
      </c>
      <c r="AO224" s="56">
        <v>7339.1777738973697</v>
      </c>
      <c r="AP224" s="48">
        <v>3669.5888869486848</v>
      </c>
      <c r="AQ224" s="55">
        <v>0.52039530136913281</v>
      </c>
      <c r="AR224" s="51">
        <v>2943690.63</v>
      </c>
      <c r="AS224" s="49">
        <v>807515.46852530504</v>
      </c>
      <c r="AT224" s="55">
        <v>0.27432076601246141</v>
      </c>
      <c r="AU224" s="51">
        <v>567443.30220697133</v>
      </c>
      <c r="AV224" s="52">
        <v>2.581353280384491E-3</v>
      </c>
      <c r="AW224" s="44">
        <v>129</v>
      </c>
      <c r="AX224" s="51">
        <v>220.05611347835799</v>
      </c>
      <c r="AY224" s="49">
        <v>257.18382817993</v>
      </c>
      <c r="AZ224" s="49">
        <v>37.127714701572017</v>
      </c>
      <c r="BA224" s="42" t="s">
        <v>150</v>
      </c>
      <c r="BB224" s="50">
        <v>174501.26254913723</v>
      </c>
      <c r="BC224" s="57">
        <v>741944.56475610856</v>
      </c>
      <c r="BD224" s="42" t="s">
        <v>150</v>
      </c>
      <c r="BE224" s="46">
        <v>74.958810068649896</v>
      </c>
      <c r="BF224" s="46">
        <v>72.681922196796293</v>
      </c>
      <c r="BG224" s="42" t="s">
        <v>150</v>
      </c>
      <c r="BH224" s="52">
        <v>0.40837072992032197</v>
      </c>
      <c r="BI224" s="52">
        <v>0.629853079087215</v>
      </c>
      <c r="BJ224" s="42" t="s">
        <v>152</v>
      </c>
      <c r="BK224" s="46">
        <v>354.92349050114399</v>
      </c>
      <c r="BL224" s="46">
        <v>501.572578807779</v>
      </c>
      <c r="BM224" s="42" t="s">
        <v>152</v>
      </c>
      <c r="BN224" s="48">
        <v>1</v>
      </c>
      <c r="BO224" s="42" t="s">
        <v>155</v>
      </c>
      <c r="BP224" s="42" t="s">
        <v>152</v>
      </c>
      <c r="BQ224" s="46">
        <v>3551.7005660528898</v>
      </c>
      <c r="BR224" s="46">
        <v>764</v>
      </c>
      <c r="BS224" s="46">
        <v>30600</v>
      </c>
      <c r="BT224" s="46">
        <v>8041</v>
      </c>
      <c r="BU224" s="46">
        <v>3.8054968287526427</v>
      </c>
      <c r="BV224" s="46">
        <v>10.524869109947645</v>
      </c>
      <c r="BW224" s="46">
        <v>0</v>
      </c>
      <c r="BX224" s="46">
        <v>3186</v>
      </c>
      <c r="BY224" s="46">
        <v>3186</v>
      </c>
      <c r="BZ224" s="46">
        <v>0.39621937569953986</v>
      </c>
      <c r="CA224" s="46">
        <v>0</v>
      </c>
      <c r="CB224" s="46">
        <v>0.39621937569953986</v>
      </c>
      <c r="CC224" s="46">
        <v>0.41400323342867801</v>
      </c>
      <c r="CD224" s="46">
        <v>6.3176221862952367E-2</v>
      </c>
      <c r="CE224" s="46">
        <v>3.8552418853376445E-3</v>
      </c>
      <c r="CF224" s="46">
        <v>0.12175102599179211</v>
      </c>
      <c r="CG224" s="46">
        <v>3.7308792438751404E-4</v>
      </c>
      <c r="CH224" s="46">
        <v>6.218132073125233E-4</v>
      </c>
      <c r="CI224" s="46">
        <v>4.7712418300653594</v>
      </c>
      <c r="CJ224" s="46">
        <v>0.16339869281045749</v>
      </c>
      <c r="CK224">
        <v>312</v>
      </c>
      <c r="CL224">
        <v>557.87</v>
      </c>
      <c r="CM224">
        <f t="shared" si="28"/>
        <v>245.87</v>
      </c>
      <c r="CN224">
        <v>6.86</v>
      </c>
      <c r="CO224">
        <v>9.4499999999999993</v>
      </c>
      <c r="CP224">
        <f t="shared" si="29"/>
        <v>2.589999999999999</v>
      </c>
      <c r="CQ224">
        <v>929.55</v>
      </c>
      <c r="CR224">
        <v>354.92</v>
      </c>
      <c r="CS224">
        <f t="shared" si="30"/>
        <v>574.62999999999988</v>
      </c>
      <c r="CT224" t="s">
        <v>152</v>
      </c>
      <c r="CU224">
        <v>74.03</v>
      </c>
      <c r="CV224">
        <v>103</v>
      </c>
      <c r="CW224" s="46">
        <v>3186</v>
      </c>
      <c r="CX224" s="46">
        <f t="shared" si="24"/>
        <v>36.564233304315387</v>
      </c>
      <c r="CY224" s="46">
        <v>245.87</v>
      </c>
      <c r="CZ224" s="46">
        <f t="shared" si="25"/>
        <v>39.621937569953985</v>
      </c>
      <c r="DA224" s="46">
        <f t="shared" si="26"/>
        <v>290.46868721242157</v>
      </c>
      <c r="DB224" s="46">
        <v>2407076.25</v>
      </c>
      <c r="DC224" s="46">
        <f t="shared" si="27"/>
        <v>14.929683945808248</v>
      </c>
      <c r="DD224" s="46">
        <v>123720.35</v>
      </c>
      <c r="DE224" s="995">
        <v>3186</v>
      </c>
      <c r="DF224" s="995">
        <v>37.182000000000002</v>
      </c>
      <c r="DG224" s="995">
        <v>196.2</v>
      </c>
      <c r="DH224" s="995">
        <v>39.622</v>
      </c>
      <c r="DI224" s="995">
        <v>491.78300000000002</v>
      </c>
      <c r="DJ224" s="995">
        <v>4050910</v>
      </c>
      <c r="DK224" s="995">
        <v>25.635999999999999</v>
      </c>
      <c r="DL224" s="995">
        <v>211165.9</v>
      </c>
      <c r="DM224" s="995">
        <v>3186</v>
      </c>
      <c r="DN224" s="995">
        <v>37.365000000000002</v>
      </c>
      <c r="DO224" s="995">
        <v>181.5</v>
      </c>
      <c r="DP224" s="995">
        <v>39.622</v>
      </c>
      <c r="DQ224" s="995">
        <v>478.86399999999998</v>
      </c>
      <c r="DR224" s="995">
        <v>3937442</v>
      </c>
      <c r="DS224" s="995">
        <v>24.983000000000001</v>
      </c>
      <c r="DT224" s="995">
        <v>205419.2</v>
      </c>
    </row>
    <row r="225" spans="1:124">
      <c r="A225" s="42" t="s">
        <v>93</v>
      </c>
      <c r="B225" s="42" t="s">
        <v>414</v>
      </c>
      <c r="C225" s="42" t="s">
        <v>415</v>
      </c>
      <c r="D225" s="42">
        <v>946402</v>
      </c>
      <c r="E225" s="42" t="s">
        <v>418</v>
      </c>
      <c r="F225" s="42" t="s">
        <v>149</v>
      </c>
      <c r="G225" s="42" t="s">
        <v>150</v>
      </c>
      <c r="H225" s="43" t="s">
        <v>150</v>
      </c>
      <c r="I225" s="44">
        <v>13</v>
      </c>
      <c r="J225" s="45">
        <v>169466.18640000001</v>
      </c>
      <c r="K225" s="46">
        <v>6632.1507529999999</v>
      </c>
      <c r="L225" s="47">
        <v>176098.337153</v>
      </c>
      <c r="M225" s="48">
        <v>3332460</v>
      </c>
      <c r="N225" s="49">
        <v>2460475</v>
      </c>
      <c r="O225" s="49">
        <v>868406</v>
      </c>
      <c r="P225" s="49">
        <v>3579</v>
      </c>
      <c r="Q225" s="50">
        <v>7652.6043908046004</v>
      </c>
      <c r="R225" s="51">
        <v>7372.79527992568</v>
      </c>
      <c r="S225" s="49">
        <v>7180.6408351987502</v>
      </c>
      <c r="T225" s="49">
        <v>1673.1474260371899</v>
      </c>
      <c r="U225" s="49">
        <f>IFERROR(INDEX('Rentabilidad datos'!$N$2:$N$61,MATCH($C225,'Rentabilidad datos'!$C$2:$C$61,0)),"")</f>
        <v>16226.583541161614</v>
      </c>
      <c r="V225" s="50">
        <f>IFERROR(INDEX('Rentabilidad datos'!$O$2:$O$61,MATCH($C225,'Rentabilidad datos'!$C$2:$C$61,0)),"")</f>
        <v>1352.2152950968011</v>
      </c>
      <c r="W225" s="51">
        <f>IFERROR(INDEX('Rentabilidad datos'!$M$2:$M$61,MATCH($C225,'Rentabilidad datos'!$C$2:$C$61,0)),"")</f>
        <v>2865.9870486706945</v>
      </c>
      <c r="X225" s="52">
        <f>IFERROR(INDEX('Rentabilidad datos'!$P$2:$P$61,MATCH($C225,'Rentabilidad datos'!$C$2:$C$61,0)),"")</f>
        <v>0.47181486591992355</v>
      </c>
      <c r="Y225" s="43" t="s">
        <v>171</v>
      </c>
      <c r="Z225" s="53">
        <v>69.526436781609206</v>
      </c>
      <c r="AA225" s="43">
        <v>2</v>
      </c>
      <c r="AB225" s="54">
        <v>0.97573804336736225</v>
      </c>
      <c r="AC225" s="55">
        <v>2.4261956632637752E-2</v>
      </c>
      <c r="AD225" s="752" t="e">
        <f>_xlfn.XLOOKUP(Table1[[#This Row],[Ruta]],#REF!,#REF!)</f>
        <v>#REF!</v>
      </c>
      <c r="AE225" s="752" t="e">
        <f>_xlfn.XLOOKUP(Table1[[#This Row],[Ruta]],#REF!,#REF!)</f>
        <v>#REF!</v>
      </c>
      <c r="AF225" s="752" t="e">
        <f>_xlfn.XLOOKUP(Table1[[#This Row],[Ruta]],#REF!,#REF!)</f>
        <v>#REF!</v>
      </c>
      <c r="AG225" s="752" t="e">
        <f>_xlfn.XLOOKUP(Table1[[#This Row],[Ruta]],#REF!,#REF!)</f>
        <v>#REF!</v>
      </c>
      <c r="AH225" s="52">
        <v>0.73833594401733249</v>
      </c>
      <c r="AI225" s="52">
        <v>0.26059007459954509</v>
      </c>
      <c r="AJ225" s="55">
        <v>1.0739813831223781E-3</v>
      </c>
      <c r="AK225" s="56">
        <v>30244</v>
      </c>
      <c r="AL225" s="44">
        <v>12903</v>
      </c>
      <c r="AM225" s="54">
        <v>0.42663007538685399</v>
      </c>
      <c r="AN225" s="55">
        <v>0.63241987281794299</v>
      </c>
      <c r="AO225" s="56">
        <v>6223.9066335058797</v>
      </c>
      <c r="AP225" s="48">
        <v>3111.9533167529398</v>
      </c>
      <c r="AQ225" s="55">
        <v>0.52952497410239852</v>
      </c>
      <c r="AR225" s="51">
        <v>3328882.91</v>
      </c>
      <c r="AS225" s="49">
        <v>802861.98658115999</v>
      </c>
      <c r="AT225" s="55">
        <v>0.2411806027089009</v>
      </c>
      <c r="AU225" s="51">
        <v>564173.28786784236</v>
      </c>
      <c r="AV225" s="52">
        <v>2.5664776757057771E-3</v>
      </c>
      <c r="AW225" s="44">
        <v>131</v>
      </c>
      <c r="AX225" s="51">
        <v>257.99294040145702</v>
      </c>
      <c r="AY225" s="49">
        <v>257.18382817993</v>
      </c>
      <c r="AZ225" s="49">
        <v>0</v>
      </c>
      <c r="BA225" s="42" t="s">
        <v>152</v>
      </c>
      <c r="BB225" s="50">
        <v>0</v>
      </c>
      <c r="BC225" s="57">
        <v>564173.28786784236</v>
      </c>
      <c r="BD225" s="42" t="s">
        <v>150</v>
      </c>
      <c r="BE225" s="46">
        <v>69.526436781609206</v>
      </c>
      <c r="BF225" s="46">
        <v>72.681922196796293</v>
      </c>
      <c r="BG225" s="42" t="s">
        <v>152</v>
      </c>
      <c r="BH225" s="52">
        <v>0.42663007538685399</v>
      </c>
      <c r="BI225" s="52">
        <v>0.629853079087215</v>
      </c>
      <c r="BJ225" s="42" t="s">
        <v>152</v>
      </c>
      <c r="BK225" s="46">
        <v>404.82376357011498</v>
      </c>
      <c r="BL225" s="46">
        <v>501.572578807779</v>
      </c>
      <c r="BM225" s="42" t="s">
        <v>152</v>
      </c>
      <c r="BN225" s="48">
        <v>0</v>
      </c>
      <c r="BO225" s="42" t="s">
        <v>155</v>
      </c>
      <c r="BP225" s="42" t="s">
        <v>152</v>
      </c>
      <c r="BQ225" s="46">
        <v>5085.9774487825098</v>
      </c>
      <c r="BR225" s="46">
        <v>721</v>
      </c>
      <c r="BS225" s="46">
        <v>26218</v>
      </c>
      <c r="BT225" s="46">
        <v>7770</v>
      </c>
      <c r="BU225" s="46">
        <v>3.3742599742599744</v>
      </c>
      <c r="BV225" s="46">
        <v>10.776699029126213</v>
      </c>
      <c r="BW225" s="46">
        <v>3664</v>
      </c>
      <c r="BX225" s="46">
        <v>3006</v>
      </c>
      <c r="BY225" s="46">
        <v>6670</v>
      </c>
      <c r="BZ225" s="46">
        <v>0.85842985842985842</v>
      </c>
      <c r="CA225" s="46">
        <v>0.47155727155727162</v>
      </c>
      <c r="CB225" s="46">
        <v>0.38687258687258691</v>
      </c>
      <c r="CC225" s="46">
        <v>0</v>
      </c>
      <c r="CD225" s="46">
        <v>3.3462033462033458E-3</v>
      </c>
      <c r="CE225" s="46">
        <v>1.171171171171171E-2</v>
      </c>
      <c r="CF225" s="46">
        <v>0.1241956241956242</v>
      </c>
      <c r="CG225" s="46">
        <v>1.544401544401544E-3</v>
      </c>
      <c r="CH225" s="46">
        <v>7.722007722007722E-4</v>
      </c>
      <c r="CI225" s="46">
        <v>2.9369135708292009</v>
      </c>
      <c r="CJ225" s="46">
        <v>0.72469295903577713</v>
      </c>
      <c r="CK225">
        <v>245</v>
      </c>
      <c r="CL225">
        <v>660.24</v>
      </c>
      <c r="CM225">
        <f t="shared" si="28"/>
        <v>415.24</v>
      </c>
      <c r="CN225">
        <v>4.6900000000000004</v>
      </c>
      <c r="CO225">
        <v>9.4499999999999993</v>
      </c>
      <c r="CP225">
        <f t="shared" si="29"/>
        <v>4.7599999999999989</v>
      </c>
      <c r="CQ225">
        <v>929.55</v>
      </c>
      <c r="CR225">
        <v>404.82</v>
      </c>
      <c r="CS225">
        <f t="shared" si="30"/>
        <v>524.73</v>
      </c>
      <c r="CT225" t="s">
        <v>152</v>
      </c>
      <c r="CU225">
        <v>56.5</v>
      </c>
      <c r="CV225">
        <v>209</v>
      </c>
      <c r="CW225" s="46">
        <v>6670</v>
      </c>
      <c r="CX225" s="46">
        <f t="shared" si="24"/>
        <v>80.498841698841701</v>
      </c>
      <c r="CY225" s="46">
        <v>415.24</v>
      </c>
      <c r="CZ225" s="46">
        <f t="shared" si="25"/>
        <v>85.84298584298584</v>
      </c>
      <c r="DA225" s="46">
        <f t="shared" si="26"/>
        <v>407.05936661600634</v>
      </c>
      <c r="DB225" s="46">
        <v>3331878.61</v>
      </c>
      <c r="DC225" s="46">
        <f t="shared" si="27"/>
        <v>20.264264700851776</v>
      </c>
      <c r="DD225" s="46">
        <v>165867.87</v>
      </c>
      <c r="DE225" s="995">
        <v>6670</v>
      </c>
      <c r="DF225" s="995">
        <v>82.418000000000006</v>
      </c>
      <c r="DG225" s="995">
        <v>266.10000000000002</v>
      </c>
      <c r="DH225" s="995">
        <v>85.843000000000004</v>
      </c>
      <c r="DI225" s="995">
        <v>571.81500000000005</v>
      </c>
      <c r="DJ225" s="995">
        <v>4595184</v>
      </c>
      <c r="DK225" s="995">
        <v>29.015999999999998</v>
      </c>
      <c r="DL225" s="995">
        <v>233178.8</v>
      </c>
      <c r="DM225" s="995">
        <v>6670</v>
      </c>
      <c r="DN225" s="995">
        <v>82.885999999999996</v>
      </c>
      <c r="DO225" s="995">
        <v>229.7</v>
      </c>
      <c r="DP225" s="995">
        <v>85.843000000000004</v>
      </c>
      <c r="DQ225" s="995">
        <v>538.16499999999996</v>
      </c>
      <c r="DR225" s="995">
        <v>4305178</v>
      </c>
      <c r="DS225" s="995">
        <v>27.353999999999999</v>
      </c>
      <c r="DT225" s="995">
        <v>218822.39999999999</v>
      </c>
    </row>
    <row r="226" spans="1:124">
      <c r="A226" s="42" t="s">
        <v>93</v>
      </c>
      <c r="B226" s="42" t="s">
        <v>414</v>
      </c>
      <c r="C226" s="42" t="s">
        <v>415</v>
      </c>
      <c r="D226" s="42">
        <v>946403</v>
      </c>
      <c r="E226" s="42" t="s">
        <v>419</v>
      </c>
      <c r="F226" s="42" t="s">
        <v>149</v>
      </c>
      <c r="G226" s="42" t="s">
        <v>150</v>
      </c>
      <c r="H226" s="43" t="s">
        <v>150</v>
      </c>
      <c r="I226" s="44">
        <v>13</v>
      </c>
      <c r="J226" s="45">
        <v>174682.86079999999</v>
      </c>
      <c r="K226" s="46">
        <v>7474.0232219999998</v>
      </c>
      <c r="L226" s="47">
        <v>182156.88402200001</v>
      </c>
      <c r="M226" s="48">
        <v>3520315</v>
      </c>
      <c r="N226" s="49">
        <v>2533930</v>
      </c>
      <c r="O226" s="49">
        <v>978424</v>
      </c>
      <c r="P226" s="49">
        <v>7961</v>
      </c>
      <c r="Q226" s="50">
        <v>8055.8476605504602</v>
      </c>
      <c r="R226" s="51">
        <v>7372.79527992568</v>
      </c>
      <c r="S226" s="49">
        <v>7180.6408351987502</v>
      </c>
      <c r="T226" s="49">
        <v>1673.1474260371899</v>
      </c>
      <c r="U226" s="49">
        <f>IFERROR(INDEX('Rentabilidad datos'!$N$2:$N$61,MATCH($C226,'Rentabilidad datos'!$C$2:$C$61,0)),"")</f>
        <v>16226.583541161614</v>
      </c>
      <c r="V226" s="50">
        <f>IFERROR(INDEX('Rentabilidad datos'!$O$2:$O$61,MATCH($C226,'Rentabilidad datos'!$C$2:$C$61,0)),"")</f>
        <v>1352.2152950968011</v>
      </c>
      <c r="W226" s="51">
        <f>IFERROR(INDEX('Rentabilidad datos'!$M$2:$M$61,MATCH($C226,'Rentabilidad datos'!$C$2:$C$61,0)),"")</f>
        <v>2865.9870486706945</v>
      </c>
      <c r="X226" s="52">
        <f>IFERROR(INDEX('Rentabilidad datos'!$P$2:$P$61,MATCH($C226,'Rentabilidad datos'!$C$2:$C$61,0)),"")</f>
        <v>0.47181486591992355</v>
      </c>
      <c r="Y226" s="43" t="s">
        <v>171</v>
      </c>
      <c r="Z226" s="53">
        <v>51.7133027522936</v>
      </c>
      <c r="AA226" s="43">
        <v>2</v>
      </c>
      <c r="AB226" s="54">
        <v>0.99442038567571367</v>
      </c>
      <c r="AC226" s="55">
        <v>5.579614324286321E-3</v>
      </c>
      <c r="AD226" s="752" t="e">
        <f>_xlfn.XLOOKUP(Table1[[#This Row],[Ruta]],#REF!,#REF!)</f>
        <v>#REF!</v>
      </c>
      <c r="AE226" s="752" t="e">
        <f>_xlfn.XLOOKUP(Table1[[#This Row],[Ruta]],#REF!,#REF!)</f>
        <v>#REF!</v>
      </c>
      <c r="AF226" s="752" t="e">
        <f>_xlfn.XLOOKUP(Table1[[#This Row],[Ruta]],#REF!,#REF!)</f>
        <v>#REF!</v>
      </c>
      <c r="AG226" s="752" t="e">
        <f>_xlfn.XLOOKUP(Table1[[#This Row],[Ruta]],#REF!,#REF!)</f>
        <v>#REF!</v>
      </c>
      <c r="AH226" s="52">
        <v>0.71980206316764261</v>
      </c>
      <c r="AI226" s="52">
        <v>0.2779364914787455</v>
      </c>
      <c r="AJ226" s="55">
        <v>2.2614453536118216E-3</v>
      </c>
      <c r="AK226" s="56">
        <v>22547</v>
      </c>
      <c r="AL226" s="44">
        <v>14374</v>
      </c>
      <c r="AM226" s="54">
        <v>0.63751275114205896</v>
      </c>
      <c r="AN226" s="55">
        <v>0.63241987281794299</v>
      </c>
      <c r="AO226" s="56">
        <v>0</v>
      </c>
      <c r="AP226" s="48">
        <v>0</v>
      </c>
      <c r="AQ226" s="55">
        <v>0.63751275114205885</v>
      </c>
      <c r="AR226" s="51">
        <v>3512349.58</v>
      </c>
      <c r="AS226" s="49">
        <v>0</v>
      </c>
      <c r="AT226" s="55">
        <v>0</v>
      </c>
      <c r="AU226" s="51">
        <v>0</v>
      </c>
      <c r="AV226" s="52">
        <v>0</v>
      </c>
      <c r="AW226" s="44">
        <v>490</v>
      </c>
      <c r="AX226" s="51">
        <v>244.35436065117599</v>
      </c>
      <c r="AY226" s="49">
        <v>257.18382817993</v>
      </c>
      <c r="AZ226" s="49">
        <v>12.829467528754009</v>
      </c>
      <c r="BA226" s="42" t="s">
        <v>150</v>
      </c>
      <c r="BB226" s="50">
        <v>64792.971928595471</v>
      </c>
      <c r="BC226" s="57">
        <v>64792.971928595471</v>
      </c>
      <c r="BD226" s="42" t="s">
        <v>150</v>
      </c>
      <c r="BE226" s="46">
        <v>51.7133027522936</v>
      </c>
      <c r="BF226" s="46">
        <v>72.681922196796293</v>
      </c>
      <c r="BG226" s="42" t="s">
        <v>152</v>
      </c>
      <c r="BH226" s="52">
        <v>0.63751275114205896</v>
      </c>
      <c r="BI226" s="52">
        <v>0.629853079087215</v>
      </c>
      <c r="BJ226" s="42" t="s">
        <v>150</v>
      </c>
      <c r="BK226" s="46">
        <v>417.79101839908202</v>
      </c>
      <c r="BL226" s="46">
        <v>501.572578807779</v>
      </c>
      <c r="BM226" s="42" t="s">
        <v>152</v>
      </c>
      <c r="BN226" s="48">
        <v>1</v>
      </c>
      <c r="BO226" s="42" t="s">
        <v>155</v>
      </c>
      <c r="BP226" s="42" t="s">
        <v>152</v>
      </c>
      <c r="BQ226" s="46">
        <v>3296.7635591513799</v>
      </c>
      <c r="BR226" s="46">
        <v>273</v>
      </c>
      <c r="BS226" s="46">
        <v>13012</v>
      </c>
      <c r="BT226" s="46">
        <v>4129</v>
      </c>
      <c r="BU226" s="46">
        <v>3.1513683700653909</v>
      </c>
      <c r="BV226" s="46">
        <v>15.124542124542124</v>
      </c>
      <c r="BW226" s="46">
        <v>1980</v>
      </c>
      <c r="BX226" s="46">
        <v>2033</v>
      </c>
      <c r="BY226" s="46">
        <v>4013</v>
      </c>
      <c r="BZ226" s="46">
        <v>0.97190603051586344</v>
      </c>
      <c r="CA226" s="46">
        <v>0.47953499636715913</v>
      </c>
      <c r="CB226" s="46">
        <v>0.49237103414870431</v>
      </c>
      <c r="CC226" s="46">
        <v>0</v>
      </c>
      <c r="CD226" s="46">
        <v>0</v>
      </c>
      <c r="CE226" s="46">
        <v>0</v>
      </c>
      <c r="CF226" s="46">
        <v>2.8093969484136599E-2</v>
      </c>
      <c r="CG226" s="46">
        <v>0</v>
      </c>
      <c r="CH226" s="46">
        <v>0</v>
      </c>
      <c r="CI226" s="46">
        <v>2.1518598217030429</v>
      </c>
      <c r="CJ226" s="46">
        <v>0.38426068244697198</v>
      </c>
      <c r="CK226">
        <v>274</v>
      </c>
      <c r="CL226">
        <v>609.72</v>
      </c>
      <c r="CM226">
        <f t="shared" si="28"/>
        <v>335.72</v>
      </c>
      <c r="CN226">
        <v>4.16</v>
      </c>
      <c r="CO226">
        <v>9.4499999999999993</v>
      </c>
      <c r="CP226">
        <f t="shared" si="29"/>
        <v>5.2899999999999991</v>
      </c>
      <c r="CQ226">
        <v>929.55</v>
      </c>
      <c r="CR226">
        <v>417.79</v>
      </c>
      <c r="CS226">
        <f t="shared" si="30"/>
        <v>511.75999999999993</v>
      </c>
      <c r="CT226" t="s">
        <v>152</v>
      </c>
      <c r="CU226">
        <v>49.27</v>
      </c>
      <c r="CV226">
        <v>268</v>
      </c>
      <c r="CW226" s="46">
        <v>4013</v>
      </c>
      <c r="CX226" s="46">
        <f t="shared" si="24"/>
        <v>89.059820779849844</v>
      </c>
      <c r="CY226" s="46">
        <v>335.72</v>
      </c>
      <c r="CZ226" s="46">
        <f t="shared" si="25"/>
        <v>97.190603051586351</v>
      </c>
      <c r="DA226" s="46">
        <f t="shared" si="26"/>
        <v>705.91965901557091</v>
      </c>
      <c r="DB226" s="46">
        <v>3151733.62</v>
      </c>
      <c r="DC226" s="46">
        <f t="shared" si="27"/>
        <v>34.293371140855413</v>
      </c>
      <c r="DD226" s="46">
        <v>153110.29999999999</v>
      </c>
      <c r="DE226" s="995">
        <v>4013</v>
      </c>
      <c r="DF226" s="995">
        <v>90.43</v>
      </c>
      <c r="DG226" s="995">
        <v>279.2</v>
      </c>
      <c r="DH226" s="995">
        <v>97.191000000000003</v>
      </c>
      <c r="DI226" s="995">
        <v>1194.5170000000001</v>
      </c>
      <c r="DJ226" s="995">
        <v>5265625</v>
      </c>
      <c r="DK226" s="995">
        <v>59.265000000000001</v>
      </c>
      <c r="DL226" s="995">
        <v>261249</v>
      </c>
      <c r="DM226" s="995">
        <v>4013</v>
      </c>
      <c r="DN226" s="995">
        <v>91.623000000000005</v>
      </c>
      <c r="DO226" s="995">
        <v>229.9</v>
      </c>
      <c r="DP226" s="995">
        <v>97.191000000000003</v>
      </c>
      <c r="DQ226" s="995">
        <v>1113.326</v>
      </c>
      <c r="DR226" s="995">
        <v>4852875</v>
      </c>
      <c r="DS226" s="995">
        <v>55.341000000000001</v>
      </c>
      <c r="DT226" s="995">
        <v>241225.60000000001</v>
      </c>
    </row>
    <row r="227" spans="1:124">
      <c r="A227" s="42" t="s">
        <v>93</v>
      </c>
      <c r="B227" s="42" t="s">
        <v>414</v>
      </c>
      <c r="C227" s="42" t="s">
        <v>415</v>
      </c>
      <c r="D227" s="42">
        <v>946404</v>
      </c>
      <c r="E227" s="42" t="s">
        <v>420</v>
      </c>
      <c r="F227" s="42" t="s">
        <v>149</v>
      </c>
      <c r="G227" s="42" t="s">
        <v>150</v>
      </c>
      <c r="H227" s="43" t="s">
        <v>150</v>
      </c>
      <c r="I227" s="44">
        <v>13</v>
      </c>
      <c r="J227" s="45">
        <v>201967.37119999999</v>
      </c>
      <c r="K227" s="46">
        <v>13047.258172</v>
      </c>
      <c r="L227" s="47">
        <v>215014.629372</v>
      </c>
      <c r="M227" s="48">
        <v>4574234</v>
      </c>
      <c r="N227" s="49">
        <v>2868826</v>
      </c>
      <c r="O227" s="49">
        <v>1693718</v>
      </c>
      <c r="P227" s="49">
        <v>11690</v>
      </c>
      <c r="Q227" s="50">
        <v>10464.5365366973</v>
      </c>
      <c r="R227" s="51">
        <v>7372.79527992568</v>
      </c>
      <c r="S227" s="49">
        <v>7180.6408351987502</v>
      </c>
      <c r="T227" s="49">
        <v>1673.1474260371899</v>
      </c>
      <c r="U227" s="49">
        <f>IFERROR(INDEX('Rentabilidad datos'!$N$2:$N$61,MATCH($C227,'Rentabilidad datos'!$C$2:$C$61,0)),"")</f>
        <v>16226.583541161614</v>
      </c>
      <c r="V227" s="50">
        <f>IFERROR(INDEX('Rentabilidad datos'!$O$2:$O$61,MATCH($C227,'Rentabilidad datos'!$C$2:$C$61,0)),"")</f>
        <v>1352.2152950968011</v>
      </c>
      <c r="W227" s="51">
        <f>IFERROR(INDEX('Rentabilidad datos'!$M$2:$M$61,MATCH($C227,'Rentabilidad datos'!$C$2:$C$61,0)),"")</f>
        <v>2865.9870486706945</v>
      </c>
      <c r="X227" s="52">
        <f>IFERROR(INDEX('Rentabilidad datos'!$P$2:$P$61,MATCH($C227,'Rentabilidad datos'!$C$2:$C$61,0)),"")</f>
        <v>0.47181486591992355</v>
      </c>
      <c r="Y227" s="43" t="s">
        <v>171</v>
      </c>
      <c r="Z227" s="53">
        <v>71.525229357798196</v>
      </c>
      <c r="AA227" s="43">
        <v>2</v>
      </c>
      <c r="AB227" s="54">
        <v>0.98229561495979434</v>
      </c>
      <c r="AC227" s="55">
        <v>1.770438504020564E-2</v>
      </c>
      <c r="AD227" s="752" t="e">
        <f>_xlfn.XLOOKUP(Table1[[#This Row],[Ruta]],#REF!,#REF!)</f>
        <v>#REF!</v>
      </c>
      <c r="AE227" s="752" t="e">
        <f>_xlfn.XLOOKUP(Table1[[#This Row],[Ruta]],#REF!,#REF!)</f>
        <v>#REF!</v>
      </c>
      <c r="AF227" s="752" t="e">
        <f>_xlfn.XLOOKUP(Table1[[#This Row],[Ruta]],#REF!,#REF!)</f>
        <v>#REF!</v>
      </c>
      <c r="AG227" s="752" t="e">
        <f>_xlfn.XLOOKUP(Table1[[#This Row],[Ruta]],#REF!,#REF!)</f>
        <v>#REF!</v>
      </c>
      <c r="AH227" s="52">
        <v>0.62717080061929498</v>
      </c>
      <c r="AI227" s="52">
        <v>0.37027358023223123</v>
      </c>
      <c r="AJ227" s="55">
        <v>2.5556191484738208E-3</v>
      </c>
      <c r="AK227" s="56">
        <v>31185</v>
      </c>
      <c r="AL227" s="44">
        <v>17759</v>
      </c>
      <c r="AM227" s="54">
        <v>0.56947250280583595</v>
      </c>
      <c r="AN227" s="55">
        <v>0.63241987281794299</v>
      </c>
      <c r="AO227" s="56">
        <v>1963.0137338275699</v>
      </c>
      <c r="AP227" s="48">
        <v>981.50686691378496</v>
      </c>
      <c r="AQ227" s="55">
        <v>0.6009461878118898</v>
      </c>
      <c r="AR227" s="51">
        <v>4562537.93</v>
      </c>
      <c r="AS227" s="49">
        <v>252162.97701726449</v>
      </c>
      <c r="AT227" s="55">
        <v>5.526813823491096E-2</v>
      </c>
      <c r="AU227" s="51">
        <v>177195.60547159132</v>
      </c>
      <c r="AV227" s="52">
        <v>8.0607957777422659E-4</v>
      </c>
      <c r="AW227" s="44">
        <v>330</v>
      </c>
      <c r="AX227" s="51">
        <v>256.914124106087</v>
      </c>
      <c r="AY227" s="49">
        <v>257.18382817993</v>
      </c>
      <c r="AZ227" s="49">
        <v>0.26970407384300188</v>
      </c>
      <c r="BA227" s="42" t="s">
        <v>150</v>
      </c>
      <c r="BB227" s="50">
        <v>1682.8586598895226</v>
      </c>
      <c r="BC227" s="57">
        <v>178878.46413148084</v>
      </c>
      <c r="BD227" s="42" t="s">
        <v>150</v>
      </c>
      <c r="BE227" s="46">
        <v>71.525229357798196</v>
      </c>
      <c r="BF227" s="46">
        <v>72.681922196796293</v>
      </c>
      <c r="BG227" s="42" t="s">
        <v>152</v>
      </c>
      <c r="BH227" s="52">
        <v>0.56947250280583595</v>
      </c>
      <c r="BI227" s="52">
        <v>0.629853079087215</v>
      </c>
      <c r="BJ227" s="42" t="s">
        <v>152</v>
      </c>
      <c r="BK227" s="46">
        <v>493.15281966054999</v>
      </c>
      <c r="BL227" s="46">
        <v>501.572578807779</v>
      </c>
      <c r="BM227" s="42" t="s">
        <v>152</v>
      </c>
      <c r="BN227" s="48">
        <v>0</v>
      </c>
      <c r="BO227" s="42" t="s">
        <v>155</v>
      </c>
      <c r="BP227" s="42" t="s">
        <v>152</v>
      </c>
      <c r="BQ227" s="46">
        <v>1031.41435823761</v>
      </c>
      <c r="BR227" s="46">
        <v>1260</v>
      </c>
      <c r="BS227" s="46">
        <v>53823</v>
      </c>
      <c r="BT227" s="46">
        <v>14791</v>
      </c>
      <c r="BU227" s="46">
        <v>3.6389020350212968</v>
      </c>
      <c r="BV227" s="46">
        <v>11.738888888888889</v>
      </c>
      <c r="BW227" s="46">
        <v>91</v>
      </c>
      <c r="BX227" s="46">
        <v>2994</v>
      </c>
      <c r="BY227" s="46">
        <v>3085</v>
      </c>
      <c r="BZ227" s="46">
        <v>0.20857278074504768</v>
      </c>
      <c r="CA227" s="46">
        <v>6.1523899668717462E-3</v>
      </c>
      <c r="CB227" s="46">
        <v>0.20242039077817592</v>
      </c>
      <c r="CC227" s="46">
        <v>0.1009397606652694</v>
      </c>
      <c r="CD227" s="46">
        <v>0.12399432087079978</v>
      </c>
      <c r="CE227" s="46">
        <v>8.70123723886147E-2</v>
      </c>
      <c r="CF227" s="46">
        <v>0.47900750456358593</v>
      </c>
      <c r="CG227" s="46">
        <v>2.0282604286390372E-4</v>
      </c>
      <c r="CH227" s="46">
        <v>2.7043472381853837E-4</v>
      </c>
      <c r="CI227" s="46">
        <v>5.4066105568251492</v>
      </c>
      <c r="CJ227" s="46">
        <v>0.31585010125782659</v>
      </c>
      <c r="CK227">
        <v>317</v>
      </c>
      <c r="CL227">
        <v>474.26</v>
      </c>
      <c r="CM227">
        <f t="shared" si="28"/>
        <v>157.26</v>
      </c>
      <c r="CN227">
        <v>8.42</v>
      </c>
      <c r="CO227">
        <v>9.4499999999999993</v>
      </c>
      <c r="CP227">
        <f t="shared" si="29"/>
        <v>1.0299999999999994</v>
      </c>
      <c r="CQ227">
        <v>929.55</v>
      </c>
      <c r="CR227">
        <v>493.15</v>
      </c>
      <c r="CS227">
        <f t="shared" si="30"/>
        <v>436.4</v>
      </c>
      <c r="CT227" t="s">
        <v>152</v>
      </c>
      <c r="CU227">
        <v>89.08</v>
      </c>
      <c r="CV227">
        <v>121</v>
      </c>
      <c r="CW227" s="46">
        <v>3081</v>
      </c>
      <c r="CX227" s="46">
        <f t="shared" si="24"/>
        <v>19.767020485430329</v>
      </c>
      <c r="CY227" s="46">
        <v>157.26</v>
      </c>
      <c r="CZ227" s="46">
        <f t="shared" si="25"/>
        <v>20.830234602122914</v>
      </c>
      <c r="DA227" s="46">
        <f t="shared" si="26"/>
        <v>90.201381966864361</v>
      </c>
      <c r="DB227" s="46">
        <v>1348353.71</v>
      </c>
      <c r="DC227" s="46">
        <f t="shared" si="27"/>
        <v>4.1215151462444464</v>
      </c>
      <c r="DD227" s="46">
        <v>61609.48</v>
      </c>
      <c r="DE227" s="995">
        <v>3081</v>
      </c>
      <c r="DF227" s="995">
        <v>19.835999999999999</v>
      </c>
      <c r="DG227" s="995">
        <v>147</v>
      </c>
      <c r="DH227" s="995">
        <v>20.83</v>
      </c>
      <c r="DI227" s="995">
        <v>319.90499999999997</v>
      </c>
      <c r="DJ227" s="995">
        <v>4778752</v>
      </c>
      <c r="DK227" s="995">
        <v>14.433</v>
      </c>
      <c r="DL227" s="995">
        <v>215606.9</v>
      </c>
      <c r="DM227" s="995">
        <v>3081</v>
      </c>
      <c r="DN227" s="995">
        <v>19.887</v>
      </c>
      <c r="DO227" s="995">
        <v>139.6</v>
      </c>
      <c r="DP227" s="995">
        <v>20.83</v>
      </c>
      <c r="DQ227" s="995">
        <v>315.642</v>
      </c>
      <c r="DR227" s="995">
        <v>4712705</v>
      </c>
      <c r="DS227" s="995">
        <v>14.256</v>
      </c>
      <c r="DT227" s="995">
        <v>212850.4</v>
      </c>
    </row>
    <row r="228" spans="1:124">
      <c r="A228" s="42" t="s">
        <v>93</v>
      </c>
      <c r="B228" s="42" t="s">
        <v>414</v>
      </c>
      <c r="C228" s="42" t="s">
        <v>415</v>
      </c>
      <c r="D228" s="42">
        <v>946405</v>
      </c>
      <c r="E228" s="42" t="s">
        <v>421</v>
      </c>
      <c r="F228" s="42" t="s">
        <v>149</v>
      </c>
      <c r="G228" s="42" t="s">
        <v>150</v>
      </c>
      <c r="H228" s="43" t="s">
        <v>150</v>
      </c>
      <c r="I228" s="44">
        <v>13</v>
      </c>
      <c r="J228" s="45">
        <v>165411.90400000001</v>
      </c>
      <c r="K228" s="46">
        <v>6753.3314369999998</v>
      </c>
      <c r="L228" s="47">
        <v>172165.235437</v>
      </c>
      <c r="M228" s="48">
        <v>3314781</v>
      </c>
      <c r="N228" s="49">
        <v>2433857</v>
      </c>
      <c r="O228" s="49">
        <v>880924</v>
      </c>
      <c r="P228" s="49">
        <v>0</v>
      </c>
      <c r="Q228" s="50">
        <v>7602.7016743119302</v>
      </c>
      <c r="R228" s="51">
        <v>7372.79527992568</v>
      </c>
      <c r="S228" s="49">
        <v>7180.6408351987502</v>
      </c>
      <c r="T228" s="49">
        <v>1673.1474260371899</v>
      </c>
      <c r="U228" s="49">
        <f>IFERROR(INDEX('Rentabilidad datos'!$N$2:$N$61,MATCH($C228,'Rentabilidad datos'!$C$2:$C$61,0)),"")</f>
        <v>16226.583541161614</v>
      </c>
      <c r="V228" s="50">
        <f>IFERROR(INDEX('Rentabilidad datos'!$O$2:$O$61,MATCH($C228,'Rentabilidad datos'!$C$2:$C$61,0)),"")</f>
        <v>1352.2152950968011</v>
      </c>
      <c r="W228" s="51">
        <f>IFERROR(INDEX('Rentabilidad datos'!$M$2:$M$61,MATCH($C228,'Rentabilidad datos'!$C$2:$C$61,0)),"")</f>
        <v>2865.9870486706945</v>
      </c>
      <c r="X228" s="52">
        <f>IFERROR(INDEX('Rentabilidad datos'!$P$2:$P$61,MATCH($C228,'Rentabilidad datos'!$C$2:$C$61,0)),"")</f>
        <v>0.47181486591992355</v>
      </c>
      <c r="Y228" s="43" t="s">
        <v>171</v>
      </c>
      <c r="Z228" s="53">
        <v>64.396788990825698</v>
      </c>
      <c r="AA228" s="43">
        <v>2</v>
      </c>
      <c r="AB228" s="54">
        <v>0.99432662368946845</v>
      </c>
      <c r="AC228" s="55">
        <v>5.6733763105315249E-3</v>
      </c>
      <c r="AD228" s="752" t="e">
        <f>_xlfn.XLOOKUP(Table1[[#This Row],[Ruta]],#REF!,#REF!)</f>
        <v>#REF!</v>
      </c>
      <c r="AE228" s="752" t="e">
        <f>_xlfn.XLOOKUP(Table1[[#This Row],[Ruta]],#REF!,#REF!)</f>
        <v>#REF!</v>
      </c>
      <c r="AF228" s="752" t="e">
        <f>_xlfn.XLOOKUP(Table1[[#This Row],[Ruta]],#REF!,#REF!)</f>
        <v>#REF!</v>
      </c>
      <c r="AG228" s="752" t="e">
        <f>_xlfn.XLOOKUP(Table1[[#This Row],[Ruta]],#REF!,#REF!)</f>
        <v>#REF!</v>
      </c>
      <c r="AH228" s="52">
        <v>0.73424368005005458</v>
      </c>
      <c r="AI228" s="52">
        <v>0.26575631994994542</v>
      </c>
      <c r="AJ228" s="55">
        <v>0</v>
      </c>
      <c r="AK228" s="56">
        <v>28077</v>
      </c>
      <c r="AL228" s="44">
        <v>14835</v>
      </c>
      <c r="AM228" s="54">
        <v>0.52836841542899904</v>
      </c>
      <c r="AN228" s="55">
        <v>0.63241987281794299</v>
      </c>
      <c r="AO228" s="56">
        <v>2921.4527691093999</v>
      </c>
      <c r="AP228" s="48">
        <v>1460.7263845547</v>
      </c>
      <c r="AQ228" s="55">
        <v>0.58039414412347123</v>
      </c>
      <c r="AR228" s="51">
        <v>3314777.93</v>
      </c>
      <c r="AS228" s="49">
        <v>326389.18647055002</v>
      </c>
      <c r="AT228" s="55">
        <v>9.8464872568567507E-2</v>
      </c>
      <c r="AU228" s="51">
        <v>229354.56346579199</v>
      </c>
      <c r="AV228" s="52">
        <v>1.0433556136285672E-3</v>
      </c>
      <c r="AW228" s="44">
        <v>287</v>
      </c>
      <c r="AX228" s="51">
        <v>223.44306909336001</v>
      </c>
      <c r="AY228" s="49">
        <v>257.18382817993</v>
      </c>
      <c r="AZ228" s="49">
        <v>33.740759086569994</v>
      </c>
      <c r="BA228" s="42" t="s">
        <v>150</v>
      </c>
      <c r="BB228" s="50">
        <v>175866.86739568808</v>
      </c>
      <c r="BC228" s="57">
        <v>405221.43086148007</v>
      </c>
      <c r="BD228" s="42" t="s">
        <v>150</v>
      </c>
      <c r="BE228" s="46">
        <v>64.396788990825698</v>
      </c>
      <c r="BF228" s="46">
        <v>72.681922196796293</v>
      </c>
      <c r="BG228" s="42" t="s">
        <v>152</v>
      </c>
      <c r="BH228" s="52">
        <v>0.52836841542899904</v>
      </c>
      <c r="BI228" s="52">
        <v>0.629853079087215</v>
      </c>
      <c r="BJ228" s="42" t="s">
        <v>152</v>
      </c>
      <c r="BK228" s="46">
        <v>394.87439320412801</v>
      </c>
      <c r="BL228" s="46">
        <v>501.572578807779</v>
      </c>
      <c r="BM228" s="42" t="s">
        <v>152</v>
      </c>
      <c r="BN228" s="48">
        <v>0</v>
      </c>
      <c r="BO228" s="42" t="s">
        <v>155</v>
      </c>
      <c r="BP228" s="42" t="s">
        <v>152</v>
      </c>
      <c r="BQ228" s="46">
        <v>3141.15250750314</v>
      </c>
      <c r="BR228" s="46">
        <v>253</v>
      </c>
      <c r="BS228" s="46">
        <v>15575</v>
      </c>
      <c r="BT228" s="46">
        <v>4635</v>
      </c>
      <c r="BU228" s="46">
        <v>3.3603020496224381</v>
      </c>
      <c r="BV228" s="46">
        <v>18.320158102766797</v>
      </c>
      <c r="BW228" s="46">
        <v>567</v>
      </c>
      <c r="BX228" s="46">
        <v>3441</v>
      </c>
      <c r="BY228" s="46">
        <v>4008</v>
      </c>
      <c r="BZ228" s="46">
        <v>0.86472491909385119</v>
      </c>
      <c r="CA228" s="46">
        <v>0.12233009708737859</v>
      </c>
      <c r="CB228" s="46">
        <v>0.74239482200647244</v>
      </c>
      <c r="CC228" s="46">
        <v>0.11909385113268611</v>
      </c>
      <c r="CD228" s="46">
        <v>1.6181229773462778E-2</v>
      </c>
      <c r="CE228" s="46">
        <v>0</v>
      </c>
      <c r="CF228" s="46">
        <v>0</v>
      </c>
      <c r="CG228" s="46">
        <v>0</v>
      </c>
      <c r="CH228" s="46">
        <v>0</v>
      </c>
      <c r="CI228" s="46">
        <v>5.7784911717495993</v>
      </c>
      <c r="CJ228" s="46">
        <v>1.0914927768860352</v>
      </c>
      <c r="CK228">
        <v>266</v>
      </c>
      <c r="CL228">
        <v>638.25</v>
      </c>
      <c r="CM228">
        <f t="shared" si="28"/>
        <v>372.25</v>
      </c>
      <c r="CN228">
        <v>5.59</v>
      </c>
      <c r="CO228">
        <v>9.4499999999999993</v>
      </c>
      <c r="CP228">
        <f t="shared" si="29"/>
        <v>3.8599999999999994</v>
      </c>
      <c r="CQ228">
        <v>929.55</v>
      </c>
      <c r="CR228">
        <v>394.87</v>
      </c>
      <c r="CS228">
        <f t="shared" si="30"/>
        <v>534.67999999999995</v>
      </c>
      <c r="CT228" t="s">
        <v>152</v>
      </c>
      <c r="CU228">
        <v>62.33</v>
      </c>
      <c r="CV228">
        <v>238</v>
      </c>
      <c r="CW228" s="46">
        <v>4008</v>
      </c>
      <c r="CX228" s="46">
        <f t="shared" si="24"/>
        <v>78.441208198489747</v>
      </c>
      <c r="CY228" s="46">
        <v>372.25</v>
      </c>
      <c r="CZ228" s="46">
        <f t="shared" si="25"/>
        <v>86.472491909385113</v>
      </c>
      <c r="DA228" s="46">
        <f t="shared" si="26"/>
        <v>863.79367916521051</v>
      </c>
      <c r="DB228" s="46">
        <v>4325230.9000000004</v>
      </c>
      <c r="DC228" s="46">
        <f t="shared" si="27"/>
        <v>30.845741674571869</v>
      </c>
      <c r="DD228" s="46">
        <v>154452.34</v>
      </c>
      <c r="DE228" s="995">
        <v>4008</v>
      </c>
      <c r="DF228" s="995">
        <v>80.777000000000001</v>
      </c>
      <c r="DG228" s="995">
        <v>264</v>
      </c>
      <c r="DH228" s="995">
        <v>86.471999999999994</v>
      </c>
      <c r="DI228" s="995">
        <v>1120.374</v>
      </c>
      <c r="DJ228" s="995">
        <v>5488709</v>
      </c>
      <c r="DK228" s="995">
        <v>47.795999999999999</v>
      </c>
      <c r="DL228" s="995">
        <v>234150.7</v>
      </c>
      <c r="DM228" s="995">
        <v>4008</v>
      </c>
      <c r="DN228" s="995">
        <v>81.772999999999996</v>
      </c>
      <c r="DO228" s="995">
        <v>217.8</v>
      </c>
      <c r="DP228" s="995">
        <v>86.471999999999994</v>
      </c>
      <c r="DQ228" s="995">
        <v>1037.7719999999999</v>
      </c>
      <c r="DR228" s="995">
        <v>5036138</v>
      </c>
      <c r="DS228" s="995">
        <v>44.622999999999998</v>
      </c>
      <c r="DT228" s="995">
        <v>216550.2</v>
      </c>
    </row>
    <row r="229" spans="1:124">
      <c r="A229" s="42" t="s">
        <v>93</v>
      </c>
      <c r="B229" s="42" t="s">
        <v>414</v>
      </c>
      <c r="C229" s="42" t="s">
        <v>415</v>
      </c>
      <c r="D229" s="42">
        <v>946406</v>
      </c>
      <c r="E229" s="42" t="s">
        <v>422</v>
      </c>
      <c r="F229" s="42" t="s">
        <v>149</v>
      </c>
      <c r="G229" s="42" t="s">
        <v>150</v>
      </c>
      <c r="H229" s="43" t="s">
        <v>150</v>
      </c>
      <c r="I229" s="44">
        <v>13</v>
      </c>
      <c r="J229" s="45">
        <v>245845.908</v>
      </c>
      <c r="K229" s="46">
        <v>8416.5092449999993</v>
      </c>
      <c r="L229" s="47">
        <v>254262.41724499999</v>
      </c>
      <c r="M229" s="48">
        <v>4773756</v>
      </c>
      <c r="N229" s="49">
        <v>3534946</v>
      </c>
      <c r="O229" s="49">
        <v>1231953</v>
      </c>
      <c r="P229" s="49">
        <v>6857</v>
      </c>
      <c r="Q229" s="50">
        <v>10908.234439359299</v>
      </c>
      <c r="R229" s="51">
        <v>7372.79527992568</v>
      </c>
      <c r="S229" s="49">
        <v>7180.6408351987502</v>
      </c>
      <c r="T229" s="49">
        <v>1673.1474260371899</v>
      </c>
      <c r="U229" s="49">
        <f>IFERROR(INDEX('Rentabilidad datos'!$N$2:$N$61,MATCH($C229,'Rentabilidad datos'!$C$2:$C$61,0)),"")</f>
        <v>16226.583541161614</v>
      </c>
      <c r="V229" s="50">
        <f>IFERROR(INDEX('Rentabilidad datos'!$O$2:$O$61,MATCH($C229,'Rentabilidad datos'!$C$2:$C$61,0)),"")</f>
        <v>1352.2152950968011</v>
      </c>
      <c r="W229" s="51">
        <f>IFERROR(INDEX('Rentabilidad datos'!$M$2:$M$61,MATCH($C229,'Rentabilidad datos'!$C$2:$C$61,0)),"")</f>
        <v>2865.9870486706945</v>
      </c>
      <c r="X229" s="52">
        <f>IFERROR(INDEX('Rentabilidad datos'!$P$2:$P$61,MATCH($C229,'Rentabilidad datos'!$C$2:$C$61,0)),"")</f>
        <v>0.47181486591992355</v>
      </c>
      <c r="Y229" s="43" t="s">
        <v>171</v>
      </c>
      <c r="Z229" s="53">
        <v>73.203661327231103</v>
      </c>
      <c r="AA229" s="43">
        <v>2</v>
      </c>
      <c r="AB229" s="54">
        <v>0.98325616139576466</v>
      </c>
      <c r="AC229" s="55">
        <v>1.6743838604235322E-2</v>
      </c>
      <c r="AD229" s="752" t="e">
        <f>_xlfn.XLOOKUP(Table1[[#This Row],[Ruta]],#REF!,#REF!)</f>
        <v>#REF!</v>
      </c>
      <c r="AE229" s="752" t="e">
        <f>_xlfn.XLOOKUP(Table1[[#This Row],[Ruta]],#REF!,#REF!)</f>
        <v>#REF!</v>
      </c>
      <c r="AF229" s="752" t="e">
        <f>_xlfn.XLOOKUP(Table1[[#This Row],[Ruta]],#REF!,#REF!)</f>
        <v>#REF!</v>
      </c>
      <c r="AG229" s="752" t="e">
        <f>_xlfn.XLOOKUP(Table1[[#This Row],[Ruta]],#REF!,#REF!)</f>
        <v>#REF!</v>
      </c>
      <c r="AH229" s="52">
        <v>0.74049574381262884</v>
      </c>
      <c r="AI229" s="52">
        <v>0.25806786103018253</v>
      </c>
      <c r="AJ229" s="55">
        <v>1.4363951571885953E-3</v>
      </c>
      <c r="AK229" s="56">
        <v>31990</v>
      </c>
      <c r="AL229" s="44">
        <v>20149</v>
      </c>
      <c r="AM229" s="54">
        <v>0.629853079087215</v>
      </c>
      <c r="AN229" s="55">
        <v>0.63241987281794299</v>
      </c>
      <c r="AO229" s="56">
        <v>82.111731446009799</v>
      </c>
      <c r="AP229" s="48">
        <v>41.055865723004899</v>
      </c>
      <c r="AQ229" s="55">
        <v>0.63113647595257916</v>
      </c>
      <c r="AR229" s="51">
        <v>4766898.45</v>
      </c>
      <c r="AS229" s="49">
        <v>9713.0945793041992</v>
      </c>
      <c r="AT229" s="55">
        <v>2.0376130687877773E-3</v>
      </c>
      <c r="AU229" s="51">
        <v>6825.4178124840346</v>
      </c>
      <c r="AV229" s="52">
        <v>3.1049471536143093E-5</v>
      </c>
      <c r="AW229" s="44">
        <v>475</v>
      </c>
      <c r="AX229" s="51">
        <v>236.58238374112901</v>
      </c>
      <c r="AY229" s="49">
        <v>257.18382817993</v>
      </c>
      <c r="AZ229" s="49">
        <v>20.601444438800996</v>
      </c>
      <c r="BA229" s="42" t="s">
        <v>150</v>
      </c>
      <c r="BB229" s="50">
        <v>145845.42032341132</v>
      </c>
      <c r="BC229" s="57">
        <v>152670.83813589535</v>
      </c>
      <c r="BD229" s="42" t="s">
        <v>150</v>
      </c>
      <c r="BE229" s="46">
        <v>73.203661327231103</v>
      </c>
      <c r="BF229" s="46">
        <v>72.681922196796293</v>
      </c>
      <c r="BG229" s="42" t="s">
        <v>150</v>
      </c>
      <c r="BH229" s="52">
        <v>0.629853079087215</v>
      </c>
      <c r="BI229" s="52">
        <v>0.629853079087215</v>
      </c>
      <c r="BJ229" s="42" t="s">
        <v>150</v>
      </c>
      <c r="BK229" s="46">
        <v>581.83619506864898</v>
      </c>
      <c r="BL229" s="46">
        <v>501.572578807779</v>
      </c>
      <c r="BM229" s="42" t="s">
        <v>150</v>
      </c>
      <c r="BN229" s="48">
        <v>3</v>
      </c>
      <c r="BO229" s="42" t="s">
        <v>153</v>
      </c>
      <c r="BP229" s="42" t="s">
        <v>150</v>
      </c>
      <c r="BQ229" s="46">
        <v>0</v>
      </c>
      <c r="BR229" s="46">
        <v>421</v>
      </c>
      <c r="BS229" s="46">
        <v>18694</v>
      </c>
      <c r="BT229" s="46">
        <v>5975</v>
      </c>
      <c r="BU229" s="46">
        <v>3.1287029288702928</v>
      </c>
      <c r="BV229" s="46">
        <v>14.192399049881235</v>
      </c>
      <c r="BW229" s="46">
        <v>2534</v>
      </c>
      <c r="BX229" s="46">
        <v>1407</v>
      </c>
      <c r="BY229" s="46">
        <v>3941</v>
      </c>
      <c r="BZ229" s="46">
        <v>0.65958158995815896</v>
      </c>
      <c r="CA229" s="46">
        <v>0.42410041841004192</v>
      </c>
      <c r="CB229" s="46">
        <v>0.23548117154811718</v>
      </c>
      <c r="CC229" s="46">
        <v>6.677824267782427E-2</v>
      </c>
      <c r="CD229" s="46">
        <v>0.27347280334728041</v>
      </c>
      <c r="CE229" s="46">
        <v>0</v>
      </c>
      <c r="CF229" s="46">
        <v>0</v>
      </c>
      <c r="CG229" s="46">
        <v>0</v>
      </c>
      <c r="CH229" s="46">
        <v>1.6736401673640171E-4</v>
      </c>
      <c r="CI229" s="46">
        <v>2.4071894725580401</v>
      </c>
      <c r="CJ229" s="46">
        <v>0.53493099390178667</v>
      </c>
      <c r="CK229">
        <v>389</v>
      </c>
      <c r="CL229">
        <v>572.08000000000004</v>
      </c>
      <c r="CM229">
        <f t="shared" si="28"/>
        <v>183.08000000000004</v>
      </c>
      <c r="CN229">
        <v>6</v>
      </c>
      <c r="CO229">
        <v>9.4499999999999993</v>
      </c>
      <c r="CP229">
        <f t="shared" si="29"/>
        <v>3.4499999999999993</v>
      </c>
      <c r="CQ229">
        <v>929.55</v>
      </c>
      <c r="CR229">
        <v>581.84</v>
      </c>
      <c r="CS229">
        <f t="shared" si="30"/>
        <v>347.70999999999992</v>
      </c>
      <c r="CT229" t="s">
        <v>152</v>
      </c>
      <c r="CU229">
        <v>67.260000000000005</v>
      </c>
      <c r="CV229">
        <v>308</v>
      </c>
      <c r="CW229" s="46">
        <v>3941</v>
      </c>
      <c r="CX229" s="46">
        <f t="shared" si="24"/>
        <v>62.89405857740585</v>
      </c>
      <c r="CY229" s="46">
        <v>183.08</v>
      </c>
      <c r="CZ229" s="46">
        <f t="shared" si="25"/>
        <v>65.958158995815893</v>
      </c>
      <c r="DA229" s="46">
        <f t="shared" si="26"/>
        <v>420.08263614633131</v>
      </c>
      <c r="DB229" s="46">
        <v>2586902.48</v>
      </c>
      <c r="DC229" s="46">
        <f t="shared" si="27"/>
        <v>20.745544065682811</v>
      </c>
      <c r="DD229" s="46">
        <v>127752.72</v>
      </c>
      <c r="DE229" s="995">
        <v>3941</v>
      </c>
      <c r="DF229" s="995">
        <v>63.22</v>
      </c>
      <c r="DG229" s="995">
        <v>163.6</v>
      </c>
      <c r="DH229" s="995">
        <v>65.957999999999998</v>
      </c>
      <c r="DI229" s="995">
        <v>837.75400000000002</v>
      </c>
      <c r="DJ229" s="995">
        <v>5142640</v>
      </c>
      <c r="DK229" s="995">
        <v>41.567999999999998</v>
      </c>
      <c r="DL229" s="995">
        <v>255170.7</v>
      </c>
      <c r="DM229" s="995">
        <v>3941</v>
      </c>
      <c r="DN229" s="995">
        <v>63.697000000000003</v>
      </c>
      <c r="DO229" s="995">
        <v>135.1</v>
      </c>
      <c r="DP229" s="995">
        <v>65.957999999999998</v>
      </c>
      <c r="DQ229" s="995">
        <v>803.46600000000001</v>
      </c>
      <c r="DR229" s="995">
        <v>4909277</v>
      </c>
      <c r="DS229" s="995">
        <v>39.866999999999997</v>
      </c>
      <c r="DT229" s="995">
        <v>243592.9</v>
      </c>
    </row>
    <row r="230" spans="1:124">
      <c r="A230" s="42" t="s">
        <v>93</v>
      </c>
      <c r="B230" s="42" t="s">
        <v>414</v>
      </c>
      <c r="C230" s="42" t="s">
        <v>415</v>
      </c>
      <c r="D230" s="42">
        <v>946407</v>
      </c>
      <c r="E230" s="42" t="s">
        <v>423</v>
      </c>
      <c r="F230" s="42" t="s">
        <v>149</v>
      </c>
      <c r="G230" s="42" t="s">
        <v>150</v>
      </c>
      <c r="H230" s="43" t="s">
        <v>150</v>
      </c>
      <c r="I230" s="44">
        <v>13</v>
      </c>
      <c r="J230" s="45">
        <v>171488.04399999999</v>
      </c>
      <c r="K230" s="46">
        <v>12528.475581000001</v>
      </c>
      <c r="L230" s="47">
        <v>184016.519581</v>
      </c>
      <c r="M230" s="48">
        <v>4086377</v>
      </c>
      <c r="N230" s="49">
        <v>2460583</v>
      </c>
      <c r="O230" s="49">
        <v>1625794</v>
      </c>
      <c r="P230" s="49">
        <v>0</v>
      </c>
      <c r="Q230" s="50">
        <v>9350.9664073226595</v>
      </c>
      <c r="R230" s="51">
        <v>7372.79527992568</v>
      </c>
      <c r="S230" s="49">
        <v>7180.6408351987502</v>
      </c>
      <c r="T230" s="49">
        <v>1673.1474260371899</v>
      </c>
      <c r="U230" s="49">
        <f>IFERROR(INDEX('Rentabilidad datos'!$N$2:$N$61,MATCH($C230,'Rentabilidad datos'!$C$2:$C$61,0)),"")</f>
        <v>16226.583541161614</v>
      </c>
      <c r="V230" s="50">
        <f>IFERROR(INDEX('Rentabilidad datos'!$O$2:$O$61,MATCH($C230,'Rentabilidad datos'!$C$2:$C$61,0)),"")</f>
        <v>1352.2152950968011</v>
      </c>
      <c r="W230" s="51">
        <f>IFERROR(INDEX('Rentabilidad datos'!$M$2:$M$61,MATCH($C230,'Rentabilidad datos'!$C$2:$C$61,0)),"")</f>
        <v>2865.9870486706945</v>
      </c>
      <c r="X230" s="52">
        <f>IFERROR(INDEX('Rentabilidad datos'!$P$2:$P$61,MATCH($C230,'Rentabilidad datos'!$C$2:$C$61,0)),"")</f>
        <v>0.47181486591992355</v>
      </c>
      <c r="Y230" s="43" t="s">
        <v>171</v>
      </c>
      <c r="Z230" s="53">
        <v>54.430205949656802</v>
      </c>
      <c r="AA230" s="43">
        <v>2</v>
      </c>
      <c r="AB230" s="54">
        <v>0.98960595167797782</v>
      </c>
      <c r="AC230" s="55">
        <v>1.0394048322022172E-2</v>
      </c>
      <c r="AD230" s="752" t="e">
        <f>_xlfn.XLOOKUP(Table1[[#This Row],[Ruta]],#REF!,#REF!)</f>
        <v>#REF!</v>
      </c>
      <c r="AE230" s="752" t="e">
        <f>_xlfn.XLOOKUP(Table1[[#This Row],[Ruta]],#REF!,#REF!)</f>
        <v>#REF!</v>
      </c>
      <c r="AF230" s="752" t="e">
        <f>_xlfn.XLOOKUP(Table1[[#This Row],[Ruta]],#REF!,#REF!)</f>
        <v>#REF!</v>
      </c>
      <c r="AG230" s="752" t="e">
        <f>_xlfn.XLOOKUP(Table1[[#This Row],[Ruta]],#REF!,#REF!)</f>
        <v>#REF!</v>
      </c>
      <c r="AH230" s="52">
        <v>0.60214292513882106</v>
      </c>
      <c r="AI230" s="52">
        <v>0.39785707486117899</v>
      </c>
      <c r="AJ230" s="55">
        <v>0</v>
      </c>
      <c r="AK230" s="56">
        <v>23786</v>
      </c>
      <c r="AL230" s="44">
        <v>15169</v>
      </c>
      <c r="AM230" s="54">
        <v>0.63772807533843401</v>
      </c>
      <c r="AN230" s="55">
        <v>0.63241987281794299</v>
      </c>
      <c r="AO230" s="56">
        <v>0</v>
      </c>
      <c r="AP230" s="48">
        <v>0</v>
      </c>
      <c r="AQ230" s="55">
        <v>0.63772807533843434</v>
      </c>
      <c r="AR230" s="51">
        <v>4086372.32</v>
      </c>
      <c r="AS230" s="49">
        <v>0</v>
      </c>
      <c r="AT230" s="55">
        <v>0</v>
      </c>
      <c r="AU230" s="51">
        <v>0</v>
      </c>
      <c r="AV230" s="52">
        <v>0</v>
      </c>
      <c r="AW230" s="44">
        <v>490</v>
      </c>
      <c r="AX230" s="51">
        <v>269.38969740918998</v>
      </c>
      <c r="AY230" s="49">
        <v>257.18382817993</v>
      </c>
      <c r="AZ230" s="49">
        <v>0</v>
      </c>
      <c r="BA230" s="42" t="s">
        <v>152</v>
      </c>
      <c r="BB230" s="50">
        <v>0</v>
      </c>
      <c r="BC230" s="57">
        <v>0</v>
      </c>
      <c r="BD230" s="42" t="s">
        <v>150</v>
      </c>
      <c r="BE230" s="46">
        <v>54.430205949656802</v>
      </c>
      <c r="BF230" s="46">
        <v>72.681922196796293</v>
      </c>
      <c r="BG230" s="42" t="s">
        <v>152</v>
      </c>
      <c r="BH230" s="52">
        <v>0.63772807533843401</v>
      </c>
      <c r="BI230" s="52">
        <v>0.629853079087215</v>
      </c>
      <c r="BJ230" s="42" t="s">
        <v>150</v>
      </c>
      <c r="BK230" s="46">
        <v>421.090433823799</v>
      </c>
      <c r="BL230" s="46">
        <v>501.572578807779</v>
      </c>
      <c r="BM230" s="42" t="s">
        <v>152</v>
      </c>
      <c r="BN230" s="48">
        <v>1</v>
      </c>
      <c r="BO230" s="42" t="s">
        <v>155</v>
      </c>
      <c r="BP230" s="42" t="s">
        <v>152</v>
      </c>
      <c r="BQ230" s="46">
        <v>3046.01669635811</v>
      </c>
      <c r="BR230" s="46">
        <v>466</v>
      </c>
      <c r="BS230" s="46">
        <v>19582</v>
      </c>
      <c r="BT230" s="46">
        <v>5902</v>
      </c>
      <c r="BU230" s="46">
        <v>3.317858353100644</v>
      </c>
      <c r="BV230" s="46">
        <v>12.665236051502147</v>
      </c>
      <c r="BW230" s="46">
        <v>363</v>
      </c>
      <c r="BX230" s="46">
        <v>2698</v>
      </c>
      <c r="BY230" s="46">
        <v>3061</v>
      </c>
      <c r="BZ230" s="46">
        <v>0.518637749915283</v>
      </c>
      <c r="CA230" s="46">
        <v>6.1504574720433754E-2</v>
      </c>
      <c r="CB230" s="46">
        <v>0.4571331751948492</v>
      </c>
      <c r="CC230" s="46">
        <v>0.2648254828871569</v>
      </c>
      <c r="CD230" s="46">
        <v>0.13724161301253809</v>
      </c>
      <c r="CE230" s="46">
        <v>0</v>
      </c>
      <c r="CF230" s="46">
        <v>7.9295154185022032E-2</v>
      </c>
      <c r="CG230" s="46">
        <v>0</v>
      </c>
      <c r="CH230" s="46">
        <v>0</v>
      </c>
      <c r="CI230" s="46">
        <v>5.2088652844448982</v>
      </c>
      <c r="CJ230" s="46">
        <v>0.56174037381268516</v>
      </c>
      <c r="CK230">
        <v>288</v>
      </c>
      <c r="CL230">
        <v>551.51</v>
      </c>
      <c r="CM230">
        <f t="shared" si="28"/>
        <v>263.51</v>
      </c>
      <c r="CN230">
        <v>5.1100000000000003</v>
      </c>
      <c r="CO230">
        <v>9.4499999999999993</v>
      </c>
      <c r="CP230">
        <f t="shared" si="29"/>
        <v>4.339999999999999</v>
      </c>
      <c r="CQ230">
        <v>929.55</v>
      </c>
      <c r="CR230">
        <v>421.09</v>
      </c>
      <c r="CS230">
        <f t="shared" si="30"/>
        <v>508.46</v>
      </c>
      <c r="CT230" t="s">
        <v>152</v>
      </c>
      <c r="CU230">
        <v>56.5</v>
      </c>
      <c r="CV230">
        <v>179</v>
      </c>
      <c r="CW230" s="46">
        <v>3061</v>
      </c>
      <c r="CX230" s="46">
        <f t="shared" si="24"/>
        <v>47.399017282277192</v>
      </c>
      <c r="CY230" s="46">
        <v>263.51</v>
      </c>
      <c r="CZ230" s="46">
        <f t="shared" si="25"/>
        <v>51.863774991528302</v>
      </c>
      <c r="DA230" s="46">
        <f t="shared" si="26"/>
        <v>368.25055672604537</v>
      </c>
      <c r="DB230" s="46">
        <v>2270452.4900000002</v>
      </c>
      <c r="DC230" s="46">
        <f t="shared" si="27"/>
        <v>17.436225064917583</v>
      </c>
      <c r="DD230" s="46">
        <v>107503.22</v>
      </c>
      <c r="DE230" s="995">
        <v>3061</v>
      </c>
      <c r="DF230" s="995">
        <v>48.682000000000002</v>
      </c>
      <c r="DG230" s="995">
        <v>187.8</v>
      </c>
      <c r="DH230" s="995">
        <v>51.863999999999997</v>
      </c>
      <c r="DI230" s="995">
        <v>762.35500000000002</v>
      </c>
      <c r="DJ230" s="995">
        <v>4642566</v>
      </c>
      <c r="DK230" s="995">
        <v>33.746000000000002</v>
      </c>
      <c r="DL230" s="995">
        <v>205507.4</v>
      </c>
      <c r="DM230" s="995">
        <v>3061</v>
      </c>
      <c r="DN230" s="995">
        <v>49.204000000000001</v>
      </c>
      <c r="DO230" s="995">
        <v>157</v>
      </c>
      <c r="DP230" s="995">
        <v>51.863999999999997</v>
      </c>
      <c r="DQ230" s="995">
        <v>722.52300000000002</v>
      </c>
      <c r="DR230" s="995">
        <v>4377761</v>
      </c>
      <c r="DS230" s="995">
        <v>31.923999999999999</v>
      </c>
      <c r="DT230" s="995">
        <v>193428.3</v>
      </c>
    </row>
    <row r="231" spans="1:124">
      <c r="A231" s="42" t="s">
        <v>93</v>
      </c>
      <c r="B231" s="42" t="s">
        <v>414</v>
      </c>
      <c r="C231" s="42" t="s">
        <v>415</v>
      </c>
      <c r="D231" s="42">
        <v>946408</v>
      </c>
      <c r="E231" s="42" t="s">
        <v>424</v>
      </c>
      <c r="F231" s="42" t="s">
        <v>149</v>
      </c>
      <c r="G231" s="42" t="s">
        <v>150</v>
      </c>
      <c r="H231" s="43" t="s">
        <v>150</v>
      </c>
      <c r="I231" s="44">
        <v>13</v>
      </c>
      <c r="J231" s="45">
        <v>208593.0056</v>
      </c>
      <c r="K231" s="46">
        <v>10337.892034</v>
      </c>
      <c r="L231" s="47">
        <v>218930.89763399999</v>
      </c>
      <c r="M231" s="48">
        <v>4310749</v>
      </c>
      <c r="N231" s="49">
        <v>2997061</v>
      </c>
      <c r="O231" s="49">
        <v>1270876</v>
      </c>
      <c r="P231" s="49">
        <v>42812</v>
      </c>
      <c r="Q231" s="50">
        <v>9766.4411212814703</v>
      </c>
      <c r="R231" s="51">
        <v>7372.79527992568</v>
      </c>
      <c r="S231" s="49">
        <v>7180.6408351987502</v>
      </c>
      <c r="T231" s="49">
        <v>1673.1474260371899</v>
      </c>
      <c r="U231" s="49">
        <f>IFERROR(INDEX('Rentabilidad datos'!$N$2:$N$61,MATCH($C231,'Rentabilidad datos'!$C$2:$C$61,0)),"")</f>
        <v>16226.583541161614</v>
      </c>
      <c r="V231" s="50">
        <f>IFERROR(INDEX('Rentabilidad datos'!$O$2:$O$61,MATCH($C231,'Rentabilidad datos'!$C$2:$C$61,0)),"")</f>
        <v>1352.2152950968011</v>
      </c>
      <c r="W231" s="51">
        <f>IFERROR(INDEX('Rentabilidad datos'!$M$2:$M$61,MATCH($C231,'Rentabilidad datos'!$C$2:$C$61,0)),"")</f>
        <v>2865.9870486706945</v>
      </c>
      <c r="X231" s="52">
        <f>IFERROR(INDEX('Rentabilidad datos'!$P$2:$P$61,MATCH($C231,'Rentabilidad datos'!$C$2:$C$61,0)),"")</f>
        <v>0.47181486591992355</v>
      </c>
      <c r="Y231" s="43" t="s">
        <v>171</v>
      </c>
      <c r="Z231" s="53">
        <v>84.885583524027496</v>
      </c>
      <c r="AA231" s="43">
        <v>2</v>
      </c>
      <c r="AB231" s="54">
        <v>0.99160215544908781</v>
      </c>
      <c r="AC231" s="55">
        <v>8.3978445509121508E-3</v>
      </c>
      <c r="AD231" s="752" t="e">
        <f>_xlfn.XLOOKUP(Table1[[#This Row],[Ruta]],#REF!,#REF!)</f>
        <v>#REF!</v>
      </c>
      <c r="AE231" s="752" t="e">
        <f>_xlfn.XLOOKUP(Table1[[#This Row],[Ruta]],#REF!,#REF!)</f>
        <v>#REF!</v>
      </c>
      <c r="AF231" s="752" t="e">
        <f>_xlfn.XLOOKUP(Table1[[#This Row],[Ruta]],#REF!,#REF!)</f>
        <v>#REF!</v>
      </c>
      <c r="AG231" s="752" t="e">
        <f>_xlfn.XLOOKUP(Table1[[#This Row],[Ruta]],#REF!,#REF!)</f>
        <v>#REF!</v>
      </c>
      <c r="AH231" s="52">
        <v>0.69525295952049171</v>
      </c>
      <c r="AI231" s="52">
        <v>0.29481558773196953</v>
      </c>
      <c r="AJ231" s="55">
        <v>9.9314527475387691E-3</v>
      </c>
      <c r="AK231" s="56">
        <v>37095</v>
      </c>
      <c r="AL231" s="44">
        <v>19121</v>
      </c>
      <c r="AM231" s="54">
        <v>0.51546030462326498</v>
      </c>
      <c r="AN231" s="55">
        <v>0.63241987281794299</v>
      </c>
      <c r="AO231" s="56">
        <v>4338.6151821816102</v>
      </c>
      <c r="AP231" s="48">
        <v>2169.3075910908051</v>
      </c>
      <c r="AQ231" s="55">
        <v>0.57394008872060398</v>
      </c>
      <c r="AR231" s="51">
        <v>4267934.7699999996</v>
      </c>
      <c r="AS231" s="49">
        <v>484203.92734906101</v>
      </c>
      <c r="AT231" s="55">
        <v>0.11345157633443893</v>
      </c>
      <c r="AU231" s="51">
        <v>340251.40840744838</v>
      </c>
      <c r="AV231" s="52">
        <v>1.5478358557268731E-3</v>
      </c>
      <c r="AW231" s="44">
        <v>217</v>
      </c>
      <c r="AX231" s="51">
        <v>223.20667172219001</v>
      </c>
      <c r="AY231" s="49">
        <v>257.18382817993</v>
      </c>
      <c r="AZ231" s="49">
        <v>33.977156457739994</v>
      </c>
      <c r="BA231" s="42" t="s">
        <v>150</v>
      </c>
      <c r="BB231" s="50">
        <v>228264.96519377857</v>
      </c>
      <c r="BC231" s="57">
        <v>568516.37360122695</v>
      </c>
      <c r="BD231" s="42" t="s">
        <v>150</v>
      </c>
      <c r="BE231" s="46">
        <v>84.885583524027496</v>
      </c>
      <c r="BF231" s="46">
        <v>72.681922196796293</v>
      </c>
      <c r="BG231" s="42" t="s">
        <v>150</v>
      </c>
      <c r="BH231" s="52">
        <v>0.51546030462326498</v>
      </c>
      <c r="BI231" s="52">
        <v>0.629853079087215</v>
      </c>
      <c r="BJ231" s="42" t="s">
        <v>152</v>
      </c>
      <c r="BK231" s="46">
        <v>500.98603577574301</v>
      </c>
      <c r="BL231" s="46">
        <v>501.572578807779</v>
      </c>
      <c r="BM231" s="42" t="s">
        <v>152</v>
      </c>
      <c r="BN231" s="48">
        <v>1</v>
      </c>
      <c r="BO231" s="42" t="s">
        <v>155</v>
      </c>
      <c r="BP231" s="42" t="s">
        <v>152</v>
      </c>
      <c r="BQ231" s="46">
        <v>441.73281524298699</v>
      </c>
      <c r="BR231" s="46">
        <v>531</v>
      </c>
      <c r="BS231" s="46">
        <v>20191</v>
      </c>
      <c r="BT231" s="46">
        <v>5701</v>
      </c>
      <c r="BU231" s="46">
        <v>3.541659358007367</v>
      </c>
      <c r="BV231" s="46">
        <v>10.736346516007533</v>
      </c>
      <c r="BW231" s="46">
        <v>101</v>
      </c>
      <c r="BX231" s="46">
        <v>2695</v>
      </c>
      <c r="BY231" s="46">
        <v>2796</v>
      </c>
      <c r="BZ231" s="46">
        <v>0.49044027363620418</v>
      </c>
      <c r="CA231" s="46">
        <v>1.771619014208034E-2</v>
      </c>
      <c r="CB231" s="46">
        <v>0.47272408349412381</v>
      </c>
      <c r="CC231" s="46">
        <v>0.26083143308191548</v>
      </c>
      <c r="CD231" s="46">
        <v>3.8940536747938959E-2</v>
      </c>
      <c r="CE231" s="46">
        <v>2.6311173478337129E-3</v>
      </c>
      <c r="CF231" s="46">
        <v>0.20698123136291879</v>
      </c>
      <c r="CG231" s="46">
        <v>0</v>
      </c>
      <c r="CH231" s="46">
        <v>1.7540782318891421E-4</v>
      </c>
      <c r="CI231" s="46">
        <v>5.893715021544252</v>
      </c>
      <c r="CJ231" s="46">
        <v>1.6839185775840717</v>
      </c>
      <c r="CK231">
        <v>435</v>
      </c>
      <c r="CL231">
        <v>630.03</v>
      </c>
      <c r="CM231">
        <f t="shared" si="28"/>
        <v>195.02999999999997</v>
      </c>
      <c r="CN231">
        <v>7.35</v>
      </c>
      <c r="CO231">
        <v>9.4499999999999993</v>
      </c>
      <c r="CP231">
        <f t="shared" si="29"/>
        <v>2.0999999999999996</v>
      </c>
      <c r="CQ231">
        <v>929.55</v>
      </c>
      <c r="CR231">
        <v>500.99</v>
      </c>
      <c r="CS231">
        <f t="shared" si="30"/>
        <v>428.55999999999995</v>
      </c>
      <c r="CT231" t="s">
        <v>152</v>
      </c>
      <c r="CU231">
        <v>81.44</v>
      </c>
      <c r="CV231">
        <v>257</v>
      </c>
      <c r="CW231" s="46">
        <v>2796</v>
      </c>
      <c r="CX231" s="46">
        <f t="shared" si="24"/>
        <v>45.62304858796702</v>
      </c>
      <c r="CY231" s="46">
        <v>195.03</v>
      </c>
      <c r="CZ231" s="46">
        <f t="shared" si="25"/>
        <v>49.044027363620415</v>
      </c>
      <c r="DA231" s="46">
        <f t="shared" si="26"/>
        <v>472.72471137358531</v>
      </c>
      <c r="DB231" s="46">
        <v>2787199.08</v>
      </c>
      <c r="DC231" s="46">
        <f t="shared" si="27"/>
        <v>20.588563830238314</v>
      </c>
      <c r="DD231" s="46">
        <v>121390.79</v>
      </c>
      <c r="DE231" s="995">
        <v>2796</v>
      </c>
      <c r="DF231" s="995">
        <v>46.12</v>
      </c>
      <c r="DG231" s="995">
        <v>166.7</v>
      </c>
      <c r="DH231" s="995">
        <v>49.043999999999997</v>
      </c>
      <c r="DI231" s="995">
        <v>1005.3869999999999</v>
      </c>
      <c r="DJ231" s="995">
        <v>5899289</v>
      </c>
      <c r="DK231" s="995">
        <v>46.582000000000001</v>
      </c>
      <c r="DL231" s="995">
        <v>273329</v>
      </c>
      <c r="DM231" s="995">
        <v>2796</v>
      </c>
      <c r="DN231" s="995">
        <v>46.594999999999999</v>
      </c>
      <c r="DO231" s="995">
        <v>139.6</v>
      </c>
      <c r="DP231" s="995">
        <v>49.043999999999997</v>
      </c>
      <c r="DQ231" s="995">
        <v>968.27800000000002</v>
      </c>
      <c r="DR231" s="995">
        <v>5655349</v>
      </c>
      <c r="DS231" s="995">
        <v>44.968000000000004</v>
      </c>
      <c r="DT231" s="995">
        <v>262639.7</v>
      </c>
    </row>
    <row r="232" spans="1:124">
      <c r="A232" s="42" t="s">
        <v>93</v>
      </c>
      <c r="B232" s="42" t="s">
        <v>414</v>
      </c>
      <c r="C232" s="42" t="s">
        <v>415</v>
      </c>
      <c r="D232" s="42">
        <v>946409</v>
      </c>
      <c r="E232" s="42" t="s">
        <v>425</v>
      </c>
      <c r="F232" s="42" t="s">
        <v>149</v>
      </c>
      <c r="G232" s="42" t="s">
        <v>150</v>
      </c>
      <c r="H232" s="43" t="s">
        <v>150</v>
      </c>
      <c r="I232" s="44">
        <v>13</v>
      </c>
      <c r="J232" s="45">
        <v>210695.878399999</v>
      </c>
      <c r="K232" s="46">
        <v>10209.691408000001</v>
      </c>
      <c r="L232" s="47">
        <v>220905.56980799901</v>
      </c>
      <c r="M232" s="48">
        <v>4288275</v>
      </c>
      <c r="N232" s="49">
        <v>3083361</v>
      </c>
      <c r="O232" s="49">
        <v>1204914</v>
      </c>
      <c r="P232" s="49">
        <v>0</v>
      </c>
      <c r="Q232" s="50">
        <v>9835.5001834862396</v>
      </c>
      <c r="R232" s="51">
        <v>7372.79527992568</v>
      </c>
      <c r="S232" s="49">
        <v>7180.6408351987502</v>
      </c>
      <c r="T232" s="49">
        <v>1673.1474260371899</v>
      </c>
      <c r="U232" s="49">
        <f>IFERROR(INDEX('Rentabilidad datos'!$N$2:$N$61,MATCH($C232,'Rentabilidad datos'!$C$2:$C$61,0)),"")</f>
        <v>16226.583541161614</v>
      </c>
      <c r="V232" s="50">
        <f>IFERROR(INDEX('Rentabilidad datos'!$O$2:$O$61,MATCH($C232,'Rentabilidad datos'!$C$2:$C$61,0)),"")</f>
        <v>1352.2152950968011</v>
      </c>
      <c r="W232" s="51">
        <f>IFERROR(INDEX('Rentabilidad datos'!$M$2:$M$61,MATCH($C232,'Rentabilidad datos'!$C$2:$C$61,0)),"")</f>
        <v>2865.9870486706945</v>
      </c>
      <c r="X232" s="52">
        <f>IFERROR(INDEX('Rentabilidad datos'!$P$2:$P$61,MATCH($C232,'Rentabilidad datos'!$C$2:$C$61,0)),"")</f>
        <v>0.47181486591992355</v>
      </c>
      <c r="Y232" s="43" t="s">
        <v>171</v>
      </c>
      <c r="Z232" s="53">
        <v>81.029816513761503</v>
      </c>
      <c r="AA232" s="43">
        <v>2</v>
      </c>
      <c r="AB232" s="54">
        <v>0.96774950300528773</v>
      </c>
      <c r="AC232" s="55">
        <v>3.2250496994712323E-2</v>
      </c>
      <c r="AD232" s="752" t="e">
        <f>_xlfn.XLOOKUP(Table1[[#This Row],[Ruta]],#REF!,#REF!)</f>
        <v>#REF!</v>
      </c>
      <c r="AE232" s="752" t="e">
        <f>_xlfn.XLOOKUP(Table1[[#This Row],[Ruta]],#REF!,#REF!)</f>
        <v>#REF!</v>
      </c>
      <c r="AF232" s="752" t="e">
        <f>_xlfn.XLOOKUP(Table1[[#This Row],[Ruta]],#REF!,#REF!)</f>
        <v>#REF!</v>
      </c>
      <c r="AG232" s="752" t="e">
        <f>_xlfn.XLOOKUP(Table1[[#This Row],[Ruta]],#REF!,#REF!)</f>
        <v>#REF!</v>
      </c>
      <c r="AH232" s="52">
        <v>0.71902128478234251</v>
      </c>
      <c r="AI232" s="52">
        <v>0.28097871521765744</v>
      </c>
      <c r="AJ232" s="55">
        <v>0</v>
      </c>
      <c r="AK232" s="56">
        <v>35329</v>
      </c>
      <c r="AL232" s="44">
        <v>24739</v>
      </c>
      <c r="AM232" s="54">
        <v>0.70024625661637796</v>
      </c>
      <c r="AN232" s="55">
        <v>0.63241987281794299</v>
      </c>
      <c r="AO232" s="56">
        <v>0</v>
      </c>
      <c r="AP232" s="48">
        <v>0</v>
      </c>
      <c r="AQ232" s="55">
        <v>0.70024625661637752</v>
      </c>
      <c r="AR232" s="51">
        <v>4288278.08</v>
      </c>
      <c r="AS232" s="49">
        <v>0</v>
      </c>
      <c r="AT232" s="55">
        <v>0</v>
      </c>
      <c r="AU232" s="51">
        <v>0</v>
      </c>
      <c r="AV232" s="52">
        <v>0</v>
      </c>
      <c r="AW232" s="44">
        <v>490</v>
      </c>
      <c r="AX232" s="51">
        <v>173.34080116415399</v>
      </c>
      <c r="AY232" s="49">
        <v>257.18382817993</v>
      </c>
      <c r="AZ232" s="49">
        <v>83.843027015776016</v>
      </c>
      <c r="BA232" s="42" t="s">
        <v>150</v>
      </c>
      <c r="BB232" s="50">
        <v>728770.38890439703</v>
      </c>
      <c r="BC232" s="57">
        <v>728770.38890439703</v>
      </c>
      <c r="BD232" s="42" t="s">
        <v>150</v>
      </c>
      <c r="BE232" s="46">
        <v>81.029816513761503</v>
      </c>
      <c r="BF232" s="46">
        <v>72.681922196796293</v>
      </c>
      <c r="BG232" s="42" t="s">
        <v>150</v>
      </c>
      <c r="BH232" s="52">
        <v>0.70024625661637796</v>
      </c>
      <c r="BI232" s="52">
        <v>0.629853079087215</v>
      </c>
      <c r="BJ232" s="42" t="s">
        <v>150</v>
      </c>
      <c r="BK232" s="46">
        <v>506.66415093577899</v>
      </c>
      <c r="BL232" s="46">
        <v>501.572578807779</v>
      </c>
      <c r="BM232" s="42" t="s">
        <v>150</v>
      </c>
      <c r="BN232" s="48">
        <v>3</v>
      </c>
      <c r="BO232" s="42" t="s">
        <v>153</v>
      </c>
      <c r="BP232" s="42" t="s">
        <v>150</v>
      </c>
      <c r="BQ232" s="46">
        <v>0</v>
      </c>
      <c r="BR232" s="46">
        <v>1516</v>
      </c>
      <c r="BS232" s="46">
        <v>73677</v>
      </c>
      <c r="BT232" s="46">
        <v>20992</v>
      </c>
      <c r="BU232" s="46">
        <v>3.509765625</v>
      </c>
      <c r="BV232" s="46">
        <v>13.846965699208443</v>
      </c>
      <c r="BW232" s="46">
        <v>1060</v>
      </c>
      <c r="BX232" s="46">
        <v>6500</v>
      </c>
      <c r="BY232" s="46">
        <v>7560</v>
      </c>
      <c r="BZ232" s="46">
        <v>0.36013719512195119</v>
      </c>
      <c r="CA232" s="46">
        <v>5.0495426829268303E-2</v>
      </c>
      <c r="CB232" s="46">
        <v>0.30964176829268292</v>
      </c>
      <c r="CC232" s="46">
        <v>0.1898342225609756</v>
      </c>
      <c r="CD232" s="46">
        <v>0.18997713414634149</v>
      </c>
      <c r="CE232" s="46">
        <v>7.1455792682926832E-3</v>
      </c>
      <c r="CF232" s="46">
        <v>0.25166730182926828</v>
      </c>
      <c r="CG232" s="46">
        <v>9.5274390243902437E-4</v>
      </c>
      <c r="CH232" s="46">
        <v>2.858231707317073E-4</v>
      </c>
      <c r="CI232" s="46">
        <v>4.9947744886463887</v>
      </c>
      <c r="CJ232" s="46">
        <v>0.33931891906565143</v>
      </c>
      <c r="CK232">
        <v>366</v>
      </c>
      <c r="CL232">
        <v>782.66</v>
      </c>
      <c r="CM232">
        <f t="shared" si="28"/>
        <v>416.65999999999997</v>
      </c>
      <c r="CN232">
        <v>5.46</v>
      </c>
      <c r="CO232">
        <v>9.4499999999999993</v>
      </c>
      <c r="CP232">
        <f t="shared" si="29"/>
        <v>3.9899999999999993</v>
      </c>
      <c r="CQ232">
        <v>929.55</v>
      </c>
      <c r="CR232">
        <v>506.66</v>
      </c>
      <c r="CS232">
        <f t="shared" si="30"/>
        <v>422.88999999999993</v>
      </c>
      <c r="CT232" t="s">
        <v>152</v>
      </c>
      <c r="CU232">
        <v>63.41</v>
      </c>
      <c r="CV232">
        <v>235</v>
      </c>
      <c r="CW232" s="46">
        <v>7560</v>
      </c>
      <c r="CX232" s="46">
        <f t="shared" si="24"/>
        <v>34.028868140243901</v>
      </c>
      <c r="CY232" s="46">
        <v>416.66</v>
      </c>
      <c r="CZ232" s="46">
        <f t="shared" si="25"/>
        <v>36.013719512195117</v>
      </c>
      <c r="DA232" s="46">
        <f t="shared" si="26"/>
        <v>168.99244978433961</v>
      </c>
      <c r="DB232" s="46">
        <v>3617901.9</v>
      </c>
      <c r="DC232" s="46">
        <f t="shared" si="27"/>
        <v>8.1287745239543252</v>
      </c>
      <c r="DD232" s="46">
        <v>174026.17</v>
      </c>
      <c r="DE232" s="995">
        <v>7560</v>
      </c>
      <c r="DF232" s="995">
        <v>34.362000000000002</v>
      </c>
      <c r="DG232" s="995">
        <v>346.8</v>
      </c>
      <c r="DH232" s="995">
        <v>36.014000000000003</v>
      </c>
      <c r="DI232" s="995">
        <v>283.65499999999997</v>
      </c>
      <c r="DJ232" s="995">
        <v>6052852</v>
      </c>
      <c r="DK232" s="995">
        <v>13.906000000000001</v>
      </c>
      <c r="DL232" s="995">
        <v>296733.8</v>
      </c>
      <c r="DM232" s="995">
        <v>7560</v>
      </c>
      <c r="DN232" s="995">
        <v>34.463000000000001</v>
      </c>
      <c r="DO232" s="995">
        <v>325.5</v>
      </c>
      <c r="DP232" s="995">
        <v>36.014000000000003</v>
      </c>
      <c r="DQ232" s="995">
        <v>275.84699999999998</v>
      </c>
      <c r="DR232" s="995">
        <v>5880358</v>
      </c>
      <c r="DS232" s="995">
        <v>13.532999999999999</v>
      </c>
      <c r="DT232" s="995">
        <v>288490.8</v>
      </c>
    </row>
    <row r="233" spans="1:124">
      <c r="A233" s="42" t="s">
        <v>93</v>
      </c>
      <c r="B233" s="42" t="s">
        <v>414</v>
      </c>
      <c r="C233" s="42" t="s">
        <v>415</v>
      </c>
      <c r="D233" s="42">
        <v>946410</v>
      </c>
      <c r="E233" s="42" t="s">
        <v>426</v>
      </c>
      <c r="F233" s="42" t="s">
        <v>149</v>
      </c>
      <c r="G233" s="42" t="s">
        <v>150</v>
      </c>
      <c r="H233" s="43" t="s">
        <v>150</v>
      </c>
      <c r="I233" s="44">
        <v>13</v>
      </c>
      <c r="J233" s="45">
        <v>203799.01919999899</v>
      </c>
      <c r="K233" s="46">
        <v>15388.197738999999</v>
      </c>
      <c r="L233" s="47">
        <v>219187.21693899899</v>
      </c>
      <c r="M233" s="48">
        <v>4597172</v>
      </c>
      <c r="N233" s="49">
        <v>2900513</v>
      </c>
      <c r="O233" s="49">
        <v>1696659</v>
      </c>
      <c r="P233" s="49">
        <v>0</v>
      </c>
      <c r="Q233" s="50">
        <v>10519.8403203661</v>
      </c>
      <c r="R233" s="51">
        <v>7372.79527992568</v>
      </c>
      <c r="S233" s="49">
        <v>7180.6408351987502</v>
      </c>
      <c r="T233" s="49">
        <v>1673.1474260371899</v>
      </c>
      <c r="U233" s="49">
        <f>IFERROR(INDEX('Rentabilidad datos'!$N$2:$N$61,MATCH($C233,'Rentabilidad datos'!$C$2:$C$61,0)),"")</f>
        <v>16226.583541161614</v>
      </c>
      <c r="V233" s="50">
        <f>IFERROR(INDEX('Rentabilidad datos'!$O$2:$O$61,MATCH($C233,'Rentabilidad datos'!$C$2:$C$61,0)),"")</f>
        <v>1352.2152950968011</v>
      </c>
      <c r="W233" s="51">
        <f>IFERROR(INDEX('Rentabilidad datos'!$M$2:$M$61,MATCH($C233,'Rentabilidad datos'!$C$2:$C$61,0)),"")</f>
        <v>2865.9870486706945</v>
      </c>
      <c r="X233" s="52">
        <f>IFERROR(INDEX('Rentabilidad datos'!$P$2:$P$61,MATCH($C233,'Rentabilidad datos'!$C$2:$C$61,0)),"")</f>
        <v>0.47181486591992355</v>
      </c>
      <c r="Y233" s="43" t="s">
        <v>171</v>
      </c>
      <c r="Z233" s="53">
        <v>72.681922196796293</v>
      </c>
      <c r="AA233" s="43">
        <v>2</v>
      </c>
      <c r="AB233" s="54">
        <v>0.95997430594287092</v>
      </c>
      <c r="AC233" s="55">
        <v>4.0025694057129038E-2</v>
      </c>
      <c r="AD233" s="752" t="e">
        <f>_xlfn.XLOOKUP(Table1[[#This Row],[Ruta]],#REF!,#REF!)</f>
        <v>#REF!</v>
      </c>
      <c r="AE233" s="752" t="e">
        <f>_xlfn.XLOOKUP(Table1[[#This Row],[Ruta]],#REF!,#REF!)</f>
        <v>#REF!</v>
      </c>
      <c r="AF233" s="752" t="e">
        <f>_xlfn.XLOOKUP(Table1[[#This Row],[Ruta]],#REF!,#REF!)</f>
        <v>#REF!</v>
      </c>
      <c r="AG233" s="752" t="e">
        <f>_xlfn.XLOOKUP(Table1[[#This Row],[Ruta]],#REF!,#REF!)</f>
        <v>#REF!</v>
      </c>
      <c r="AH233" s="52">
        <v>0.63093419171612464</v>
      </c>
      <c r="AI233" s="52">
        <v>0.36906580828387542</v>
      </c>
      <c r="AJ233" s="55">
        <v>0</v>
      </c>
      <c r="AK233" s="56">
        <v>31762</v>
      </c>
      <c r="AL233" s="44">
        <v>20033</v>
      </c>
      <c r="AM233" s="54">
        <v>0.63072224670990495</v>
      </c>
      <c r="AN233" s="55">
        <v>0.63241987281794299</v>
      </c>
      <c r="AO233" s="56">
        <v>53.920000443518802</v>
      </c>
      <c r="AP233" s="48">
        <v>26.960000221759401</v>
      </c>
      <c r="AQ233" s="55">
        <v>0.63157105976392414</v>
      </c>
      <c r="AR233" s="51">
        <v>4597170.22</v>
      </c>
      <c r="AS233" s="49">
        <v>6186.7773249471502</v>
      </c>
      <c r="AT233" s="55">
        <v>1.3457794749543014E-3</v>
      </c>
      <c r="AU233" s="51">
        <v>4347.4651472601608</v>
      </c>
      <c r="AV233" s="52">
        <v>1.9777030366892907E-5</v>
      </c>
      <c r="AW233" s="44">
        <v>483</v>
      </c>
      <c r="AX233" s="51">
        <v>229.479869215794</v>
      </c>
      <c r="AY233" s="49">
        <v>257.18382817993</v>
      </c>
      <c r="AZ233" s="49">
        <v>27.703958964136007</v>
      </c>
      <c r="BA233" s="42" t="s">
        <v>150</v>
      </c>
      <c r="BB233" s="50">
        <v>194997.68456948592</v>
      </c>
      <c r="BC233" s="57">
        <v>199345.14971674609</v>
      </c>
      <c r="BD233" s="42" t="s">
        <v>150</v>
      </c>
      <c r="BE233" s="46">
        <v>72.681922196796293</v>
      </c>
      <c r="BF233" s="46">
        <v>72.681922196796293</v>
      </c>
      <c r="BG233" s="42" t="s">
        <v>150</v>
      </c>
      <c r="BH233" s="52">
        <v>0.63072224670990495</v>
      </c>
      <c r="BI233" s="52">
        <v>0.629853079087215</v>
      </c>
      <c r="BJ233" s="42" t="s">
        <v>150</v>
      </c>
      <c r="BK233" s="46">
        <v>501.572578807779</v>
      </c>
      <c r="BL233" s="46">
        <v>501.572578807779</v>
      </c>
      <c r="BM233" s="42" t="s">
        <v>150</v>
      </c>
      <c r="BN233" s="48">
        <v>3</v>
      </c>
      <c r="BO233" s="42" t="s">
        <v>153</v>
      </c>
      <c r="BP233" s="42" t="s">
        <v>150</v>
      </c>
      <c r="BQ233" s="46">
        <v>0</v>
      </c>
      <c r="BR233" s="46">
        <v>1534</v>
      </c>
      <c r="BS233" s="46">
        <v>55538</v>
      </c>
      <c r="BT233" s="46">
        <v>14472</v>
      </c>
      <c r="BU233" s="46">
        <v>3.837617468214483</v>
      </c>
      <c r="BV233" s="46">
        <v>9.4341590612777058</v>
      </c>
      <c r="BW233" s="46">
        <v>269</v>
      </c>
      <c r="BX233" s="46">
        <v>146</v>
      </c>
      <c r="BY233" s="46">
        <v>415</v>
      </c>
      <c r="BZ233" s="46">
        <v>2.8676064123825319E-2</v>
      </c>
      <c r="CA233" s="46">
        <v>1.8587617468214478E-2</v>
      </c>
      <c r="CB233" s="46">
        <v>1.008844665561083E-2</v>
      </c>
      <c r="CC233" s="46">
        <v>2.6741293532338312E-2</v>
      </c>
      <c r="CD233" s="46">
        <v>0.12817855168601441</v>
      </c>
      <c r="CE233" s="46">
        <v>4.3186843559977893E-2</v>
      </c>
      <c r="CF233" s="46">
        <v>0.77162797125483695</v>
      </c>
      <c r="CG233" s="46">
        <v>7.6008844665561084E-4</v>
      </c>
      <c r="CH233" s="46">
        <v>8.2918739635157548E-4</v>
      </c>
      <c r="CI233" s="46">
        <v>5.9958947027260612</v>
      </c>
      <c r="CJ233" s="46">
        <v>0.41413086535345178</v>
      </c>
      <c r="CK233">
        <v>352</v>
      </c>
      <c r="CL233">
        <v>500.79</v>
      </c>
      <c r="CM233">
        <f t="shared" si="28"/>
        <v>148.79000000000002</v>
      </c>
      <c r="CN233">
        <v>5.35</v>
      </c>
      <c r="CO233">
        <v>9.4499999999999993</v>
      </c>
      <c r="CP233">
        <f t="shared" si="29"/>
        <v>4.0999999999999996</v>
      </c>
      <c r="CQ233">
        <v>929.55</v>
      </c>
      <c r="CR233">
        <v>501.57</v>
      </c>
      <c r="CS233">
        <f t="shared" si="30"/>
        <v>427.97999999999996</v>
      </c>
      <c r="CT233" t="s">
        <v>152</v>
      </c>
      <c r="CU233">
        <v>59.44</v>
      </c>
      <c r="CV233">
        <v>47</v>
      </c>
      <c r="CW233" s="46">
        <v>413</v>
      </c>
      <c r="CX233" s="46">
        <f t="shared" si="24"/>
        <v>1.8256633499170813</v>
      </c>
      <c r="CY233" s="46">
        <v>148.79</v>
      </c>
      <c r="CZ233" s="46">
        <f t="shared" si="25"/>
        <v>2.8537866224433386</v>
      </c>
      <c r="DA233" s="46">
        <f t="shared" si="26"/>
        <v>145.86945780631552</v>
      </c>
      <c r="DB233" s="46">
        <v>2132726.71</v>
      </c>
      <c r="DC233" s="46">
        <f t="shared" si="27"/>
        <v>5.8557376174611626</v>
      </c>
      <c r="DD233" s="46">
        <v>85615.51</v>
      </c>
      <c r="DE233" s="995">
        <v>413</v>
      </c>
      <c r="DF233" s="995">
        <v>2.133</v>
      </c>
      <c r="DG233" s="995">
        <v>104.3</v>
      </c>
      <c r="DH233" s="995">
        <v>2.8540000000000001</v>
      </c>
      <c r="DI233" s="995">
        <v>350.02499999999998</v>
      </c>
      <c r="DJ233" s="995">
        <v>5102085</v>
      </c>
      <c r="DK233" s="995">
        <v>15.27</v>
      </c>
      <c r="DL233" s="995">
        <v>222578.5</v>
      </c>
      <c r="DM233" s="995">
        <v>413</v>
      </c>
      <c r="DN233" s="995">
        <v>2.2599999999999998</v>
      </c>
      <c r="DO233" s="995">
        <v>86</v>
      </c>
      <c r="DP233" s="995">
        <v>2.8540000000000001</v>
      </c>
      <c r="DQ233" s="995">
        <v>339.00700000000001</v>
      </c>
      <c r="DR233" s="995">
        <v>4935245</v>
      </c>
      <c r="DS233" s="995">
        <v>14.835000000000001</v>
      </c>
      <c r="DT233" s="995">
        <v>215960.8</v>
      </c>
    </row>
    <row r="234" spans="1:124">
      <c r="A234" s="42" t="s">
        <v>93</v>
      </c>
      <c r="B234" s="42" t="s">
        <v>414</v>
      </c>
      <c r="C234" s="42" t="s">
        <v>415</v>
      </c>
      <c r="D234" s="42">
        <v>946411</v>
      </c>
      <c r="E234" s="42" t="s">
        <v>427</v>
      </c>
      <c r="F234" s="42" t="s">
        <v>149</v>
      </c>
      <c r="G234" s="42" t="s">
        <v>150</v>
      </c>
      <c r="H234" s="43" t="s">
        <v>150</v>
      </c>
      <c r="I234" s="44">
        <v>13</v>
      </c>
      <c r="J234" s="45">
        <v>183330.35279999999</v>
      </c>
      <c r="K234" s="46">
        <v>18857.234768999999</v>
      </c>
      <c r="L234" s="47">
        <v>202187.587569</v>
      </c>
      <c r="M234" s="48">
        <v>5510630</v>
      </c>
      <c r="N234" s="49">
        <v>2705367</v>
      </c>
      <c r="O234" s="49">
        <v>2796332</v>
      </c>
      <c r="P234" s="49">
        <v>8931</v>
      </c>
      <c r="Q234" s="50">
        <v>12589.6958352403</v>
      </c>
      <c r="R234" s="51">
        <v>7372.79527992568</v>
      </c>
      <c r="S234" s="49">
        <v>7180.6408351987502</v>
      </c>
      <c r="T234" s="49">
        <v>1673.1474260371899</v>
      </c>
      <c r="U234" s="49">
        <f>IFERROR(INDEX('Rentabilidad datos'!$N$2:$N$61,MATCH($C234,'Rentabilidad datos'!$C$2:$C$61,0)),"")</f>
        <v>16226.583541161614</v>
      </c>
      <c r="V234" s="50">
        <f>IFERROR(INDEX('Rentabilidad datos'!$O$2:$O$61,MATCH($C234,'Rentabilidad datos'!$C$2:$C$61,0)),"")</f>
        <v>1352.2152950968011</v>
      </c>
      <c r="W234" s="51">
        <f>IFERROR(INDEX('Rentabilidad datos'!$M$2:$M$61,MATCH($C234,'Rentabilidad datos'!$C$2:$C$61,0)),"")</f>
        <v>2865.9870486706945</v>
      </c>
      <c r="X234" s="52">
        <f>IFERROR(INDEX('Rentabilidad datos'!$P$2:$P$61,MATCH($C234,'Rentabilidad datos'!$C$2:$C$61,0)),"")</f>
        <v>0.47181486591992355</v>
      </c>
      <c r="Y234" s="43" t="s">
        <v>171</v>
      </c>
      <c r="Z234" s="53">
        <v>76.116704805492006</v>
      </c>
      <c r="AA234" s="43">
        <v>2</v>
      </c>
      <c r="AB234" s="54">
        <v>0.99144163190052681</v>
      </c>
      <c r="AC234" s="55">
        <v>8.5583680994732007E-3</v>
      </c>
      <c r="AD234" s="752" t="e">
        <f>_xlfn.XLOOKUP(Table1[[#This Row],[Ruta]],#REF!,#REF!)</f>
        <v>#REF!</v>
      </c>
      <c r="AE234" s="752" t="e">
        <f>_xlfn.XLOOKUP(Table1[[#This Row],[Ruta]],#REF!,#REF!)</f>
        <v>#REF!</v>
      </c>
      <c r="AF234" s="752" t="e">
        <f>_xlfn.XLOOKUP(Table1[[#This Row],[Ruta]],#REF!,#REF!)</f>
        <v>#REF!</v>
      </c>
      <c r="AG234" s="752" t="e">
        <f>_xlfn.XLOOKUP(Table1[[#This Row],[Ruta]],#REF!,#REF!)</f>
        <v>#REF!</v>
      </c>
      <c r="AH234" s="52">
        <v>0.49093606357167874</v>
      </c>
      <c r="AI234" s="52">
        <v>0.50744325059022288</v>
      </c>
      <c r="AJ234" s="55">
        <v>1.6206858380983663E-3</v>
      </c>
      <c r="AK234" s="56">
        <v>33263</v>
      </c>
      <c r="AL234" s="44">
        <v>18786</v>
      </c>
      <c r="AM234" s="54">
        <v>0.56477166821994396</v>
      </c>
      <c r="AN234" s="55">
        <v>0.63241987281794299</v>
      </c>
      <c r="AO234" s="56">
        <v>2250.1822295432498</v>
      </c>
      <c r="AP234" s="48">
        <v>1125.0911147716249</v>
      </c>
      <c r="AQ234" s="55">
        <v>0.59859577051894375</v>
      </c>
      <c r="AR234" s="51">
        <v>5501697.0800000001</v>
      </c>
      <c r="AS234" s="49">
        <v>329495.92786505952</v>
      </c>
      <c r="AT234" s="55">
        <v>5.9889870902354279E-2</v>
      </c>
      <c r="AU234" s="51">
        <v>231537.67904031218</v>
      </c>
      <c r="AV234" s="52">
        <v>1.0532868129710007E-3</v>
      </c>
      <c r="AW234" s="44">
        <v>285</v>
      </c>
      <c r="AX234" s="51">
        <v>292.86155009049298</v>
      </c>
      <c r="AY234" s="49">
        <v>257.18382817993</v>
      </c>
      <c r="AZ234" s="49">
        <v>0</v>
      </c>
      <c r="BA234" s="42" t="s">
        <v>152</v>
      </c>
      <c r="BB234" s="50">
        <v>0</v>
      </c>
      <c r="BC234" s="57">
        <v>231537.67904031218</v>
      </c>
      <c r="BD234" s="42" t="s">
        <v>150</v>
      </c>
      <c r="BE234" s="46">
        <v>76.116704805492006</v>
      </c>
      <c r="BF234" s="46">
        <v>72.681922196796293</v>
      </c>
      <c r="BG234" s="42" t="s">
        <v>150</v>
      </c>
      <c r="BH234" s="52">
        <v>0.56477166821994396</v>
      </c>
      <c r="BI234" s="52">
        <v>0.629853079087215</v>
      </c>
      <c r="BJ234" s="42" t="s">
        <v>152</v>
      </c>
      <c r="BK234" s="46">
        <v>462.67182510068602</v>
      </c>
      <c r="BL234" s="46">
        <v>501.572578807779</v>
      </c>
      <c r="BM234" s="42" t="s">
        <v>152</v>
      </c>
      <c r="BN234" s="48">
        <v>1</v>
      </c>
      <c r="BO234" s="42" t="s">
        <v>155</v>
      </c>
      <c r="BP234" s="42" t="s">
        <v>152</v>
      </c>
      <c r="BQ234" s="46">
        <v>2298.6596377637402</v>
      </c>
      <c r="BR234" s="46">
        <v>685</v>
      </c>
      <c r="BS234" s="46">
        <v>31712</v>
      </c>
      <c r="BT234" s="46">
        <v>9117</v>
      </c>
      <c r="BU234" s="46">
        <v>3.4783371723154546</v>
      </c>
      <c r="BV234" s="46">
        <v>13.309489051094891</v>
      </c>
      <c r="BW234" s="46">
        <v>2596</v>
      </c>
      <c r="BX234" s="46">
        <v>3532</v>
      </c>
      <c r="BY234" s="46">
        <v>6128</v>
      </c>
      <c r="BZ234" s="46">
        <v>0.67215092683996924</v>
      </c>
      <c r="CA234" s="46">
        <v>0.28474278819787208</v>
      </c>
      <c r="CB234" s="46">
        <v>0.38740813864209722</v>
      </c>
      <c r="CC234" s="46">
        <v>0.14862345069650101</v>
      </c>
      <c r="CD234" s="46">
        <v>2.654381923878469E-2</v>
      </c>
      <c r="CE234" s="46">
        <v>2.0182077437753649E-2</v>
      </c>
      <c r="CF234" s="46">
        <v>0.13118350334539869</v>
      </c>
      <c r="CG234" s="46">
        <v>1.3162224415926289E-3</v>
      </c>
      <c r="CH234" s="46">
        <v>0</v>
      </c>
      <c r="CI234" s="46">
        <v>3.8155903128153379</v>
      </c>
      <c r="CJ234" s="46">
        <v>0.28380423814328959</v>
      </c>
      <c r="CK234">
        <v>376</v>
      </c>
      <c r="CL234">
        <v>718.05</v>
      </c>
      <c r="CM234">
        <f t="shared" si="28"/>
        <v>342.04999999999995</v>
      </c>
      <c r="CN234">
        <v>6.62</v>
      </c>
      <c r="CO234">
        <v>9.4499999999999993</v>
      </c>
      <c r="CP234">
        <f t="shared" si="29"/>
        <v>2.8299999999999992</v>
      </c>
      <c r="CQ234">
        <v>929.55</v>
      </c>
      <c r="CR234">
        <v>462.67</v>
      </c>
      <c r="CS234">
        <f t="shared" si="30"/>
        <v>466.87999999999994</v>
      </c>
      <c r="CT234" t="s">
        <v>152</v>
      </c>
      <c r="CU234">
        <v>74.89</v>
      </c>
      <c r="CV234">
        <v>344</v>
      </c>
      <c r="CW234" s="46">
        <v>6128</v>
      </c>
      <c r="CX234" s="46">
        <f t="shared" si="24"/>
        <v>63.4633102994406</v>
      </c>
      <c r="CY234" s="46">
        <v>342.05</v>
      </c>
      <c r="CZ234" s="46">
        <f t="shared" si="25"/>
        <v>67.215092683996929</v>
      </c>
      <c r="DA234" s="46">
        <f t="shared" si="26"/>
        <v>425.98278579772818</v>
      </c>
      <c r="DB234" s="46">
        <v>4029392.47</v>
      </c>
      <c r="DC234" s="46">
        <f t="shared" si="27"/>
        <v>16.234517208387736</v>
      </c>
      <c r="DD234" s="46">
        <v>153563.10999999999</v>
      </c>
      <c r="DE234" s="995">
        <v>6128</v>
      </c>
      <c r="DF234" s="995">
        <v>64.119</v>
      </c>
      <c r="DG234" s="995">
        <v>282.3</v>
      </c>
      <c r="DH234" s="995">
        <v>67.215000000000003</v>
      </c>
      <c r="DI234" s="995">
        <v>829.971</v>
      </c>
      <c r="DJ234" s="995">
        <v>7801116</v>
      </c>
      <c r="DK234" s="995">
        <v>30.571000000000002</v>
      </c>
      <c r="DL234" s="995">
        <v>287344.40000000002</v>
      </c>
      <c r="DM234" s="995">
        <v>6128</v>
      </c>
      <c r="DN234" s="995">
        <v>64.418000000000006</v>
      </c>
      <c r="DO234" s="995">
        <v>255.1</v>
      </c>
      <c r="DP234" s="995">
        <v>67.215000000000003</v>
      </c>
      <c r="DQ234" s="995">
        <v>799.99199999999996</v>
      </c>
      <c r="DR234" s="995">
        <v>7497563</v>
      </c>
      <c r="DS234" s="995">
        <v>29.501000000000001</v>
      </c>
      <c r="DT234" s="995">
        <v>276482.8</v>
      </c>
    </row>
    <row r="235" spans="1:124">
      <c r="A235" s="42" t="s">
        <v>93</v>
      </c>
      <c r="B235" s="42" t="s">
        <v>414</v>
      </c>
      <c r="C235" s="42" t="s">
        <v>415</v>
      </c>
      <c r="D235" s="42" t="s">
        <v>322</v>
      </c>
      <c r="E235" s="42" t="s">
        <v>428</v>
      </c>
      <c r="F235" s="42" t="s">
        <v>324</v>
      </c>
      <c r="G235" s="42" t="s">
        <v>152</v>
      </c>
      <c r="H235" s="43" t="s">
        <v>152</v>
      </c>
      <c r="I235" s="44">
        <v>13</v>
      </c>
      <c r="J235" s="45">
        <v>0</v>
      </c>
      <c r="K235" s="46">
        <v>0</v>
      </c>
      <c r="L235" s="47">
        <v>4803.4182760000003</v>
      </c>
      <c r="M235" s="48">
        <v>0</v>
      </c>
      <c r="N235" s="49">
        <v>0</v>
      </c>
      <c r="O235" s="49">
        <v>0</v>
      </c>
      <c r="P235" s="49">
        <v>0</v>
      </c>
      <c r="Q235" s="50">
        <v>0</v>
      </c>
      <c r="R235" s="51">
        <v>7372.79527992568</v>
      </c>
      <c r="S235" s="49">
        <v>7180.6408351987502</v>
      </c>
      <c r="T235" s="49">
        <v>1673.1474260371899</v>
      </c>
      <c r="U235" s="49">
        <f>IFERROR(INDEX('Rentabilidad datos'!$N$2:$N$61,MATCH($C235,'Rentabilidad datos'!$C$2:$C$61,0)),"")</f>
        <v>16226.583541161614</v>
      </c>
      <c r="V235" s="50">
        <f>IFERROR(INDEX('Rentabilidad datos'!$O$2:$O$61,MATCH($C235,'Rentabilidad datos'!$C$2:$C$61,0)),"")</f>
        <v>1352.2152950968011</v>
      </c>
      <c r="W235" s="51">
        <f>IFERROR(INDEX('Rentabilidad datos'!$M$2:$M$61,MATCH($C235,'Rentabilidad datos'!$C$2:$C$61,0)),"")</f>
        <v>2865.9870486706945</v>
      </c>
      <c r="X235" s="52">
        <f>IFERROR(INDEX('Rentabilidad datos'!$P$2:$P$61,MATCH($C235,'Rentabilidad datos'!$C$2:$C$61,0)),"")</f>
        <v>0.47181486591992355</v>
      </c>
      <c r="Y235" s="43" t="s">
        <v>171</v>
      </c>
      <c r="Z235" s="53">
        <v>0</v>
      </c>
      <c r="AA235" s="43">
        <v>2</v>
      </c>
      <c r="AB235" s="54">
        <v>0</v>
      </c>
      <c r="AC235" s="55">
        <v>0</v>
      </c>
      <c r="AD235" s="752" t="e">
        <f>_xlfn.XLOOKUP(Table1[[#This Row],[Ruta]],#REF!,#REF!)</f>
        <v>#REF!</v>
      </c>
      <c r="AE235" s="752" t="e">
        <f>_xlfn.XLOOKUP(Table1[[#This Row],[Ruta]],#REF!,#REF!)</f>
        <v>#REF!</v>
      </c>
      <c r="AF235" s="752" t="e">
        <f>_xlfn.XLOOKUP(Table1[[#This Row],[Ruta]],#REF!,#REF!)</f>
        <v>#REF!</v>
      </c>
      <c r="AG235" s="752" t="e">
        <f>_xlfn.XLOOKUP(Table1[[#This Row],[Ruta]],#REF!,#REF!)</f>
        <v>#REF!</v>
      </c>
      <c r="AH235" s="52">
        <v>0</v>
      </c>
      <c r="AI235" s="52">
        <v>0</v>
      </c>
      <c r="AJ235" s="55">
        <v>0</v>
      </c>
      <c r="AK235" s="56">
        <v>0</v>
      </c>
      <c r="AL235" s="44">
        <v>832</v>
      </c>
      <c r="AM235" s="54">
        <v>0</v>
      </c>
      <c r="AN235" s="55">
        <v>0.63241987281794299</v>
      </c>
      <c r="AO235" s="56">
        <v>0</v>
      </c>
      <c r="AP235" s="48">
        <v>0</v>
      </c>
      <c r="AQ235" s="55" t="s">
        <v>194</v>
      </c>
      <c r="AR235" s="51">
        <v>365615.15</v>
      </c>
      <c r="AS235" s="49">
        <v>0</v>
      </c>
      <c r="AT235" s="55">
        <v>0</v>
      </c>
      <c r="AU235" s="51">
        <v>0</v>
      </c>
      <c r="AV235" s="52">
        <v>0</v>
      </c>
      <c r="AW235" s="44">
        <v>490</v>
      </c>
      <c r="AX235" s="51">
        <v>439.44128605769203</v>
      </c>
      <c r="AY235" s="49">
        <v>257.18382817993</v>
      </c>
      <c r="AZ235" s="49">
        <v>0</v>
      </c>
      <c r="BA235" s="42" t="s">
        <v>152</v>
      </c>
      <c r="BB235" s="50">
        <v>0</v>
      </c>
      <c r="BC235" s="57">
        <v>0</v>
      </c>
      <c r="BD235" s="42" t="s">
        <v>152</v>
      </c>
      <c r="BE235" s="46" t="s">
        <v>195</v>
      </c>
      <c r="BF235" s="46" t="s">
        <v>195</v>
      </c>
      <c r="BG235" s="42" t="s">
        <v>195</v>
      </c>
      <c r="BH235" s="52" t="s">
        <v>195</v>
      </c>
      <c r="BI235" s="52" t="s">
        <v>195</v>
      </c>
      <c r="BJ235" s="42" t="s">
        <v>195</v>
      </c>
      <c r="BK235" s="46" t="s">
        <v>195</v>
      </c>
      <c r="BL235" s="46" t="s">
        <v>195</v>
      </c>
      <c r="BM235" s="42" t="s">
        <v>195</v>
      </c>
      <c r="BN235" s="48" t="s">
        <v>195</v>
      </c>
      <c r="BO235" s="42" t="s">
        <v>195</v>
      </c>
      <c r="BP235" s="42" t="s">
        <v>152</v>
      </c>
      <c r="BQ235" s="46">
        <v>0</v>
      </c>
      <c r="BR235" s="46" t="e">
        <v>#N/A</v>
      </c>
      <c r="BS235" s="46" t="e">
        <v>#N/A</v>
      </c>
      <c r="BT235" s="46" t="e">
        <v>#N/A</v>
      </c>
      <c r="BU235" s="46" t="e">
        <v>#N/A</v>
      </c>
      <c r="BV235" s="46" t="e">
        <v>#N/A</v>
      </c>
      <c r="BW235" s="46" t="e">
        <v>#N/A</v>
      </c>
      <c r="BX235" s="46" t="e">
        <v>#N/A</v>
      </c>
      <c r="BY235" s="46" t="e">
        <v>#N/A</v>
      </c>
      <c r="BZ235" s="46" t="e">
        <v>#N/A</v>
      </c>
      <c r="CA235" s="46" t="e">
        <v>#N/A</v>
      </c>
      <c r="CB235" s="46" t="e">
        <v>#N/A</v>
      </c>
      <c r="CC235" s="46" t="e">
        <v>#N/A</v>
      </c>
      <c r="CD235" s="46" t="e">
        <v>#N/A</v>
      </c>
      <c r="CE235" s="46" t="e">
        <v>#N/A</v>
      </c>
      <c r="CF235" s="46" t="e">
        <v>#N/A</v>
      </c>
      <c r="CG235" s="46" t="e">
        <v>#N/A</v>
      </c>
      <c r="CH235" s="46" t="e">
        <v>#N/A</v>
      </c>
      <c r="CI235" s="46" t="e">
        <v>#N/A</v>
      </c>
      <c r="CJ235" s="46" t="e">
        <v>#N/A</v>
      </c>
      <c r="CM235">
        <f t="shared" si="28"/>
        <v>0</v>
      </c>
      <c r="CP235">
        <f t="shared" si="29"/>
        <v>0</v>
      </c>
      <c r="CS235">
        <f t="shared" si="30"/>
        <v>0</v>
      </c>
      <c r="CW235" s="46"/>
      <c r="CX235" s="46" t="e">
        <f t="shared" si="24"/>
        <v>#N/A</v>
      </c>
      <c r="CY235" s="46"/>
      <c r="CZ235" s="46" t="e">
        <f t="shared" si="25"/>
        <v>#N/A</v>
      </c>
      <c r="DA235" s="46" t="e">
        <f t="shared" si="26"/>
        <v>#N/A</v>
      </c>
      <c r="DB235" s="46"/>
      <c r="DC235" s="46" t="e">
        <f t="shared" si="27"/>
        <v>#N/A</v>
      </c>
      <c r="DD235" s="46"/>
      <c r="DE235" s="995" t="s">
        <v>194</v>
      </c>
      <c r="DF235" s="995" t="s">
        <v>194</v>
      </c>
      <c r="DG235" s="995" t="s">
        <v>194</v>
      </c>
      <c r="DH235" s="995" t="s">
        <v>194</v>
      </c>
      <c r="DI235" s="995" t="s">
        <v>194</v>
      </c>
      <c r="DJ235" s="995" t="s">
        <v>194</v>
      </c>
      <c r="DK235" s="995" t="s">
        <v>194</v>
      </c>
      <c r="DL235" s="995" t="s">
        <v>194</v>
      </c>
      <c r="DM235" s="995" t="s">
        <v>194</v>
      </c>
      <c r="DN235" s="995" t="s">
        <v>194</v>
      </c>
      <c r="DO235" s="995" t="s">
        <v>194</v>
      </c>
      <c r="DP235" s="995" t="s">
        <v>194</v>
      </c>
      <c r="DQ235" s="995" t="s">
        <v>194</v>
      </c>
      <c r="DR235" s="995" t="s">
        <v>194</v>
      </c>
      <c r="DS235" s="995" t="s">
        <v>194</v>
      </c>
      <c r="DT235" s="995" t="s">
        <v>194</v>
      </c>
    </row>
    <row r="236" spans="1:124">
      <c r="A236" s="42" t="s">
        <v>93</v>
      </c>
      <c r="B236" s="42" t="s">
        <v>320</v>
      </c>
      <c r="C236" s="42" t="s">
        <v>429</v>
      </c>
      <c r="D236" s="42" t="s">
        <v>322</v>
      </c>
      <c r="E236" s="42" t="s">
        <v>430</v>
      </c>
      <c r="F236" s="42" t="s">
        <v>324</v>
      </c>
      <c r="G236" s="42" t="s">
        <v>152</v>
      </c>
      <c r="H236" s="43" t="s">
        <v>152</v>
      </c>
      <c r="I236" s="44">
        <v>1</v>
      </c>
      <c r="J236" s="45">
        <v>0</v>
      </c>
      <c r="K236" s="46">
        <v>0</v>
      </c>
      <c r="L236" s="47">
        <v>2313.6770689999998</v>
      </c>
      <c r="M236" s="48">
        <v>0</v>
      </c>
      <c r="N236" s="49">
        <v>0</v>
      </c>
      <c r="O236" s="49">
        <v>0</v>
      </c>
      <c r="P236" s="49">
        <v>0</v>
      </c>
      <c r="Q236" s="50">
        <v>0</v>
      </c>
      <c r="R236" s="51" t="s">
        <v>194</v>
      </c>
      <c r="S236" s="49" t="s">
        <v>194</v>
      </c>
      <c r="T236" s="49" t="s">
        <v>194</v>
      </c>
      <c r="U236" s="49" t="str">
        <f>IFERROR(INDEX('Rentabilidad datos'!$N$2:$N$61,MATCH($C236,'Rentabilidad datos'!$C$2:$C$61,0)),"")</f>
        <v/>
      </c>
      <c r="V236" s="50" t="str">
        <f>IFERROR(INDEX('Rentabilidad datos'!$O$2:$O$61,MATCH($C236,'Rentabilidad datos'!$C$2:$C$61,0)),"")</f>
        <v/>
      </c>
      <c r="W236" s="51" t="str">
        <f>IFERROR(INDEX('Rentabilidad datos'!$M$2:$M$61,MATCH($C236,'Rentabilidad datos'!$C$2:$C$61,0)),"")</f>
        <v/>
      </c>
      <c r="X236" s="52" t="str">
        <f>IFERROR(INDEX('Rentabilidad datos'!$P$2:$P$61,MATCH($C236,'Rentabilidad datos'!$C$2:$C$61,0)),"")</f>
        <v/>
      </c>
      <c r="Y236" s="43">
        <v>0</v>
      </c>
      <c r="Z236" s="53">
        <v>0</v>
      </c>
      <c r="AA236" s="43">
        <v>1</v>
      </c>
      <c r="AB236" s="54">
        <v>0</v>
      </c>
      <c r="AC236" s="55">
        <v>0</v>
      </c>
      <c r="AD236" s="752" t="e">
        <f>_xlfn.XLOOKUP(Table1[[#This Row],[Ruta]],#REF!,#REF!)</f>
        <v>#REF!</v>
      </c>
      <c r="AE236" s="752" t="e">
        <f>_xlfn.XLOOKUP(Table1[[#This Row],[Ruta]],#REF!,#REF!)</f>
        <v>#REF!</v>
      </c>
      <c r="AF236" s="752" t="e">
        <f>_xlfn.XLOOKUP(Table1[[#This Row],[Ruta]],#REF!,#REF!)</f>
        <v>#REF!</v>
      </c>
      <c r="AG236" s="752" t="e">
        <f>_xlfn.XLOOKUP(Table1[[#This Row],[Ruta]],#REF!,#REF!)</f>
        <v>#REF!</v>
      </c>
      <c r="AH236" s="52">
        <v>0</v>
      </c>
      <c r="AI236" s="52">
        <v>0</v>
      </c>
      <c r="AJ236" s="55">
        <v>0</v>
      </c>
      <c r="AK236" s="56">
        <v>0</v>
      </c>
      <c r="AL236" s="44">
        <v>203</v>
      </c>
      <c r="AM236" s="54">
        <v>0</v>
      </c>
      <c r="AN236" s="55">
        <v>0</v>
      </c>
      <c r="AO236" s="56">
        <v>0</v>
      </c>
      <c r="AP236" s="48">
        <v>0</v>
      </c>
      <c r="AQ236" s="55" t="s">
        <v>194</v>
      </c>
      <c r="AR236" s="51">
        <v>114618.96</v>
      </c>
      <c r="AS236" s="49">
        <v>0</v>
      </c>
      <c r="AT236" s="55">
        <v>0</v>
      </c>
      <c r="AU236" s="51">
        <v>0</v>
      </c>
      <c r="AV236" s="52">
        <v>0</v>
      </c>
      <c r="AW236" s="44">
        <v>490</v>
      </c>
      <c r="AX236" s="51">
        <v>564.62541871921201</v>
      </c>
      <c r="AY236" s="49">
        <v>0</v>
      </c>
      <c r="AZ236" s="49">
        <v>0</v>
      </c>
      <c r="BA236" s="42" t="s">
        <v>152</v>
      </c>
      <c r="BB236" s="50">
        <v>0</v>
      </c>
      <c r="BC236" s="57">
        <v>0</v>
      </c>
      <c r="BD236" s="42" t="s">
        <v>152</v>
      </c>
      <c r="BE236" s="46" t="s">
        <v>195</v>
      </c>
      <c r="BF236" s="46" t="s">
        <v>195</v>
      </c>
      <c r="BG236" s="42" t="s">
        <v>195</v>
      </c>
      <c r="BH236" s="52" t="s">
        <v>195</v>
      </c>
      <c r="BI236" s="52" t="s">
        <v>195</v>
      </c>
      <c r="BJ236" s="42" t="s">
        <v>195</v>
      </c>
      <c r="BK236" s="46" t="s">
        <v>195</v>
      </c>
      <c r="BL236" s="46" t="s">
        <v>195</v>
      </c>
      <c r="BM236" s="42" t="s">
        <v>195</v>
      </c>
      <c r="BN236" s="48" t="s">
        <v>195</v>
      </c>
      <c r="BO236" s="42" t="s">
        <v>195</v>
      </c>
      <c r="BP236" s="42" t="s">
        <v>152</v>
      </c>
      <c r="BQ236" s="46">
        <v>0</v>
      </c>
      <c r="BR236" s="46" t="e">
        <v>#N/A</v>
      </c>
      <c r="BS236" s="46" t="e">
        <v>#N/A</v>
      </c>
      <c r="BT236" s="46" t="e">
        <v>#N/A</v>
      </c>
      <c r="BU236" s="46" t="e">
        <v>#N/A</v>
      </c>
      <c r="BV236" s="46" t="e">
        <v>#N/A</v>
      </c>
      <c r="BW236" s="46" t="e">
        <v>#N/A</v>
      </c>
      <c r="BX236" s="46" t="e">
        <v>#N/A</v>
      </c>
      <c r="BY236" s="46" t="e">
        <v>#N/A</v>
      </c>
      <c r="BZ236" s="46" t="e">
        <v>#N/A</v>
      </c>
      <c r="CA236" s="46" t="e">
        <v>#N/A</v>
      </c>
      <c r="CB236" s="46" t="e">
        <v>#N/A</v>
      </c>
      <c r="CC236" s="46" t="e">
        <v>#N/A</v>
      </c>
      <c r="CD236" s="46" t="e">
        <v>#N/A</v>
      </c>
      <c r="CE236" s="46" t="e">
        <v>#N/A</v>
      </c>
      <c r="CF236" s="46" t="e">
        <v>#N/A</v>
      </c>
      <c r="CG236" s="46" t="e">
        <v>#N/A</v>
      </c>
      <c r="CH236" s="46" t="e">
        <v>#N/A</v>
      </c>
      <c r="CI236" s="46" t="e">
        <v>#N/A</v>
      </c>
      <c r="CJ236" s="46" t="e">
        <v>#N/A</v>
      </c>
      <c r="CM236">
        <f t="shared" si="28"/>
        <v>0</v>
      </c>
      <c r="CP236">
        <f t="shared" si="29"/>
        <v>0</v>
      </c>
      <c r="CS236">
        <f t="shared" si="30"/>
        <v>0</v>
      </c>
      <c r="CW236" s="46"/>
      <c r="CX236" s="46" t="e">
        <f t="shared" si="24"/>
        <v>#N/A</v>
      </c>
      <c r="CY236" s="46"/>
      <c r="CZ236" s="46" t="e">
        <f t="shared" si="25"/>
        <v>#N/A</v>
      </c>
      <c r="DA236" s="46" t="e">
        <f t="shared" si="26"/>
        <v>#N/A</v>
      </c>
      <c r="DB236" s="46"/>
      <c r="DC236" s="46" t="e">
        <f t="shared" si="27"/>
        <v>#N/A</v>
      </c>
      <c r="DD236" s="46"/>
      <c r="DE236" s="995" t="s">
        <v>194</v>
      </c>
      <c r="DF236" s="995" t="s">
        <v>194</v>
      </c>
      <c r="DG236" s="995" t="s">
        <v>194</v>
      </c>
      <c r="DH236" s="995" t="s">
        <v>194</v>
      </c>
      <c r="DI236" s="995" t="s">
        <v>194</v>
      </c>
      <c r="DJ236" s="995" t="s">
        <v>194</v>
      </c>
      <c r="DK236" s="995" t="s">
        <v>194</v>
      </c>
      <c r="DL236" s="995" t="s">
        <v>194</v>
      </c>
      <c r="DM236" s="995" t="s">
        <v>194</v>
      </c>
      <c r="DN236" s="995" t="s">
        <v>194</v>
      </c>
      <c r="DO236" s="995" t="s">
        <v>194</v>
      </c>
      <c r="DP236" s="995" t="s">
        <v>194</v>
      </c>
      <c r="DQ236" s="995" t="s">
        <v>194</v>
      </c>
      <c r="DR236" s="995" t="s">
        <v>194</v>
      </c>
      <c r="DS236" s="995" t="s">
        <v>194</v>
      </c>
      <c r="DT236" s="995" t="s">
        <v>194</v>
      </c>
    </row>
    <row r="237" spans="1:124">
      <c r="A237" s="42" t="s">
        <v>93</v>
      </c>
      <c r="B237" s="42" t="s">
        <v>414</v>
      </c>
      <c r="C237" s="42" t="s">
        <v>431</v>
      </c>
      <c r="D237" s="42">
        <v>950340</v>
      </c>
      <c r="E237" s="42" t="s">
        <v>432</v>
      </c>
      <c r="F237" s="42" t="s">
        <v>149</v>
      </c>
      <c r="G237" s="42" t="s">
        <v>150</v>
      </c>
      <c r="H237" s="43" t="s">
        <v>150</v>
      </c>
      <c r="I237" s="44">
        <v>4</v>
      </c>
      <c r="J237" s="45">
        <v>144013.32399999999</v>
      </c>
      <c r="K237" s="46">
        <v>9561.2260530000003</v>
      </c>
      <c r="L237" s="47">
        <v>153574.55005300001</v>
      </c>
      <c r="M237" s="48">
        <v>3128498</v>
      </c>
      <c r="N237" s="49">
        <v>2084233</v>
      </c>
      <c r="O237" s="49">
        <v>1041880</v>
      </c>
      <c r="P237" s="49">
        <v>2385</v>
      </c>
      <c r="Q237" s="50">
        <v>7046.4073226544597</v>
      </c>
      <c r="R237" s="51">
        <v>2035.37042695324</v>
      </c>
      <c r="S237" s="49">
        <v>2393.5469450662499</v>
      </c>
      <c r="T237" s="49">
        <v>557.71580867906198</v>
      </c>
      <c r="U237" s="49">
        <f>IFERROR(INDEX('Rentabilidad datos'!$N$2:$N$61,MATCH($C237,'Rentabilidad datos'!$C$2:$C$61,0)),"")</f>
        <v>4986.6331806985536</v>
      </c>
      <c r="V237" s="50">
        <f>IFERROR(INDEX('Rentabilidad datos'!$O$2:$O$61,MATCH($C237,'Rentabilidad datos'!$C$2:$C$61,0)),"")</f>
        <v>1246.6582951746384</v>
      </c>
      <c r="W237" s="51">
        <f>IFERROR(INDEX('Rentabilidad datos'!$M$2:$M$61,MATCH($C237,'Rentabilidad datos'!$C$2:$C$61,0)),"")</f>
        <v>2263.4604844889545</v>
      </c>
      <c r="X237" s="52">
        <f>IFERROR(INDEX('Rentabilidad datos'!$P$2:$P$61,MATCH($C237,'Rentabilidad datos'!$C$2:$C$61,0)),"")</f>
        <v>0.55077537413077904</v>
      </c>
      <c r="Y237" s="43" t="s">
        <v>160</v>
      </c>
      <c r="Z237" s="53">
        <v>64.988558352402805</v>
      </c>
      <c r="AA237" s="43">
        <v>2</v>
      </c>
      <c r="AB237" s="54">
        <v>0.90945559178877533</v>
      </c>
      <c r="AC237" s="55">
        <v>9.0544408211224683E-2</v>
      </c>
      <c r="AD237" s="752" t="e">
        <f>_xlfn.XLOOKUP(Table1[[#This Row],[Ruta]],#REF!,#REF!)</f>
        <v>#REF!</v>
      </c>
      <c r="AE237" s="752" t="e">
        <f>_xlfn.XLOOKUP(Table1[[#This Row],[Ruta]],#REF!,#REF!)</f>
        <v>#REF!</v>
      </c>
      <c r="AF237" s="752" t="e">
        <f>_xlfn.XLOOKUP(Table1[[#This Row],[Ruta]],#REF!,#REF!)</f>
        <v>#REF!</v>
      </c>
      <c r="AG237" s="752" t="e">
        <f>_xlfn.XLOOKUP(Table1[[#This Row],[Ruta]],#REF!,#REF!)</f>
        <v>#REF!</v>
      </c>
      <c r="AH237" s="52">
        <v>0.66620883248127372</v>
      </c>
      <c r="AI237" s="52">
        <v>0.3330288208590832</v>
      </c>
      <c r="AJ237" s="55">
        <v>7.6234665964306197E-4</v>
      </c>
      <c r="AK237" s="56">
        <v>28400</v>
      </c>
      <c r="AL237" s="44">
        <v>19888</v>
      </c>
      <c r="AM237" s="54">
        <v>0.70028169014084496</v>
      </c>
      <c r="AN237" s="55">
        <v>0.72882545853387504</v>
      </c>
      <c r="AO237" s="56">
        <v>810.64302236205594</v>
      </c>
      <c r="AP237" s="48">
        <v>405.32151118102797</v>
      </c>
      <c r="AQ237" s="55">
        <v>0.71455357433736011</v>
      </c>
      <c r="AR237" s="51">
        <v>3079280</v>
      </c>
      <c r="AS237" s="49">
        <v>62756.356745249002</v>
      </c>
      <c r="AT237" s="55">
        <v>2.0380204705401587E-2</v>
      </c>
      <c r="AU237" s="51">
        <v>44099.061496661474</v>
      </c>
      <c r="AV237" s="52">
        <v>2.0061080395793236E-4</v>
      </c>
      <c r="AW237" s="44">
        <v>440</v>
      </c>
      <c r="AX237" s="51">
        <v>154.83105390185</v>
      </c>
      <c r="AY237" s="49">
        <v>191.75736825184799</v>
      </c>
      <c r="AZ237" s="49">
        <v>36.926314349997995</v>
      </c>
      <c r="BA237" s="42" t="s">
        <v>150</v>
      </c>
      <c r="BB237" s="50">
        <v>258029.10857583475</v>
      </c>
      <c r="BC237" s="57">
        <v>302128.17007249623</v>
      </c>
      <c r="BD237" s="42" t="s">
        <v>150</v>
      </c>
      <c r="BE237" s="46">
        <v>64.988558352402805</v>
      </c>
      <c r="BF237" s="46">
        <v>72.681922196796293</v>
      </c>
      <c r="BG237" s="42" t="s">
        <v>152</v>
      </c>
      <c r="BH237" s="52">
        <v>0.70028169014084496</v>
      </c>
      <c r="BI237" s="52">
        <v>0.629853079087215</v>
      </c>
      <c r="BJ237" s="42" t="s">
        <v>150</v>
      </c>
      <c r="BK237" s="46">
        <v>351.42917632265397</v>
      </c>
      <c r="BL237" s="46">
        <v>501.572578807779</v>
      </c>
      <c r="BM237" s="42" t="s">
        <v>152</v>
      </c>
      <c r="BN237" s="48">
        <v>1</v>
      </c>
      <c r="BO237" s="42" t="s">
        <v>155</v>
      </c>
      <c r="BP237" s="42" t="s">
        <v>152</v>
      </c>
      <c r="BQ237" s="46">
        <v>1719.2840127042</v>
      </c>
      <c r="BR237" s="46">
        <v>619</v>
      </c>
      <c r="BS237" s="46">
        <v>27011</v>
      </c>
      <c r="BT237" s="46">
        <v>7262</v>
      </c>
      <c r="BU237" s="46">
        <v>3.7194987606719914</v>
      </c>
      <c r="BV237" s="46">
        <v>11.731825525040387</v>
      </c>
      <c r="BW237" s="46">
        <v>0</v>
      </c>
      <c r="BX237" s="46">
        <v>2339</v>
      </c>
      <c r="BY237" s="46">
        <v>2339</v>
      </c>
      <c r="BZ237" s="46">
        <v>0.32208757917928943</v>
      </c>
      <c r="CA237" s="46">
        <v>0</v>
      </c>
      <c r="CB237" s="46">
        <v>0.32208757917928937</v>
      </c>
      <c r="CC237" s="46">
        <v>0.35486091985678869</v>
      </c>
      <c r="CD237" s="46">
        <v>0.13632608096942991</v>
      </c>
      <c r="CE237" s="46">
        <v>0</v>
      </c>
      <c r="CF237" s="46">
        <v>0.1858992013219499</v>
      </c>
      <c r="CG237" s="46">
        <v>5.50812448361333E-4</v>
      </c>
      <c r="CH237" s="46">
        <v>2.754062241806665E-4</v>
      </c>
      <c r="CI237" s="46">
        <v>6.4788419532782937</v>
      </c>
      <c r="CJ237" s="46">
        <v>0.29617563214986492</v>
      </c>
      <c r="CK237">
        <v>389</v>
      </c>
      <c r="CL237">
        <v>587.97</v>
      </c>
      <c r="CM237">
        <f t="shared" si="28"/>
        <v>198.97000000000003</v>
      </c>
      <c r="CN237">
        <v>5.4</v>
      </c>
      <c r="CO237">
        <v>9.4499999999999993</v>
      </c>
      <c r="CP237">
        <f t="shared" si="29"/>
        <v>4.0499999999999989</v>
      </c>
      <c r="CQ237">
        <v>602.75</v>
      </c>
      <c r="CR237">
        <v>351.43</v>
      </c>
      <c r="CS237">
        <f t="shared" si="30"/>
        <v>251.32</v>
      </c>
      <c r="CT237" t="s">
        <v>152</v>
      </c>
      <c r="CU237">
        <v>62.99</v>
      </c>
      <c r="CV237">
        <v>159</v>
      </c>
      <c r="CW237" s="46">
        <v>2339</v>
      </c>
      <c r="CX237" s="46">
        <f t="shared" si="24"/>
        <v>29.468879096667589</v>
      </c>
      <c r="CY237" s="46">
        <v>198.97</v>
      </c>
      <c r="CZ237" s="46">
        <f t="shared" si="25"/>
        <v>32.208757917928942</v>
      </c>
      <c r="DA237" s="46">
        <f t="shared" si="26"/>
        <v>294.17954367863695</v>
      </c>
      <c r="DB237" s="46">
        <v>2194864.75</v>
      </c>
      <c r="DC237" s="46">
        <f t="shared" si="27"/>
        <v>14.652244949383258</v>
      </c>
      <c r="DD237" s="46">
        <v>109319.96</v>
      </c>
      <c r="DE237" s="995">
        <v>2339</v>
      </c>
      <c r="DF237" s="995">
        <v>29.734999999999999</v>
      </c>
      <c r="DG237" s="995">
        <v>179.6</v>
      </c>
      <c r="DH237" s="995">
        <v>32.209000000000003</v>
      </c>
      <c r="DI237" s="995">
        <v>575.99300000000005</v>
      </c>
      <c r="DJ237" s="995">
        <v>4286333</v>
      </c>
      <c r="DK237" s="995">
        <v>28.548999999999999</v>
      </c>
      <c r="DL237" s="995">
        <v>212450.8</v>
      </c>
      <c r="DM237" s="995">
        <v>2339</v>
      </c>
      <c r="DN237" s="995">
        <v>30.158999999999999</v>
      </c>
      <c r="DO237" s="995">
        <v>148.80000000000001</v>
      </c>
      <c r="DP237" s="995">
        <v>32.209000000000003</v>
      </c>
      <c r="DQ237" s="995">
        <v>552.58399999999995</v>
      </c>
      <c r="DR237" s="995">
        <v>4095101</v>
      </c>
      <c r="DS237" s="995">
        <v>27.393000000000001</v>
      </c>
      <c r="DT237" s="995">
        <v>203000.9</v>
      </c>
    </row>
    <row r="238" spans="1:124">
      <c r="A238" s="42" t="s">
        <v>93</v>
      </c>
      <c r="B238" s="42" t="s">
        <v>414</v>
      </c>
      <c r="C238" s="42" t="s">
        <v>431</v>
      </c>
      <c r="D238" s="42">
        <v>950341</v>
      </c>
      <c r="E238" s="42" t="s">
        <v>433</v>
      </c>
      <c r="F238" s="42" t="s">
        <v>149</v>
      </c>
      <c r="G238" s="42" t="s">
        <v>150</v>
      </c>
      <c r="H238" s="43" t="s">
        <v>150</v>
      </c>
      <c r="I238" s="44">
        <v>4</v>
      </c>
      <c r="J238" s="45">
        <v>163939.54079999999</v>
      </c>
      <c r="K238" s="46">
        <v>10033.371974</v>
      </c>
      <c r="L238" s="47">
        <v>173972.912774</v>
      </c>
      <c r="M238" s="48">
        <v>3579221</v>
      </c>
      <c r="N238" s="49">
        <v>2349415</v>
      </c>
      <c r="O238" s="49">
        <v>1229238</v>
      </c>
      <c r="P238" s="49">
        <v>568</v>
      </c>
      <c r="Q238" s="50">
        <v>8189.133798627</v>
      </c>
      <c r="R238" s="51">
        <v>2035.37042695324</v>
      </c>
      <c r="S238" s="49">
        <v>2393.5469450662499</v>
      </c>
      <c r="T238" s="49">
        <v>557.71580867906198</v>
      </c>
      <c r="U238" s="49">
        <f>IFERROR(INDEX('Rentabilidad datos'!$N$2:$N$61,MATCH($C238,'Rentabilidad datos'!$C$2:$C$61,0)),"")</f>
        <v>4986.6331806985536</v>
      </c>
      <c r="V238" s="50">
        <f>IFERROR(INDEX('Rentabilidad datos'!$O$2:$O$61,MATCH($C238,'Rentabilidad datos'!$C$2:$C$61,0)),"")</f>
        <v>1246.6582951746384</v>
      </c>
      <c r="W238" s="51">
        <f>IFERROR(INDEX('Rentabilidad datos'!$M$2:$M$61,MATCH($C238,'Rentabilidad datos'!$C$2:$C$61,0)),"")</f>
        <v>2263.4604844889545</v>
      </c>
      <c r="X238" s="52">
        <f>IFERROR(INDEX('Rentabilidad datos'!$P$2:$P$61,MATCH($C238,'Rentabilidad datos'!$C$2:$C$61,0)),"")</f>
        <v>0.55077537413077904</v>
      </c>
      <c r="Y238" s="43" t="s">
        <v>160</v>
      </c>
      <c r="Z238" s="53">
        <v>63.482837528604101</v>
      </c>
      <c r="AA238" s="43">
        <v>2</v>
      </c>
      <c r="AB238" s="54">
        <v>0.97527339049474737</v>
      </c>
      <c r="AC238" s="55">
        <v>2.472660950525268E-2</v>
      </c>
      <c r="AD238" s="752" t="e">
        <f>_xlfn.XLOOKUP(Table1[[#This Row],[Ruta]],#REF!,#REF!)</f>
        <v>#REF!</v>
      </c>
      <c r="AE238" s="752" t="e">
        <f>_xlfn.XLOOKUP(Table1[[#This Row],[Ruta]],#REF!,#REF!)</f>
        <v>#REF!</v>
      </c>
      <c r="AF238" s="752" t="e">
        <f>_xlfn.XLOOKUP(Table1[[#This Row],[Ruta]],#REF!,#REF!)</f>
        <v>#REF!</v>
      </c>
      <c r="AG238" s="752" t="e">
        <f>_xlfn.XLOOKUP(Table1[[#This Row],[Ruta]],#REF!,#REF!)</f>
        <v>#REF!</v>
      </c>
      <c r="AH238" s="52">
        <v>0.65640400522907083</v>
      </c>
      <c r="AI238" s="52">
        <v>0.34343730102164688</v>
      </c>
      <c r="AJ238" s="55">
        <v>1.5869374928231589E-4</v>
      </c>
      <c r="AK238" s="56">
        <v>27742</v>
      </c>
      <c r="AL238" s="44">
        <v>19742</v>
      </c>
      <c r="AM238" s="54">
        <v>0.71162857760795895</v>
      </c>
      <c r="AN238" s="55">
        <v>0.72882545853387504</v>
      </c>
      <c r="AO238" s="56">
        <v>477.07587064676397</v>
      </c>
      <c r="AP238" s="48">
        <v>238.53793532338199</v>
      </c>
      <c r="AQ238" s="55">
        <v>0.72022701807091705</v>
      </c>
      <c r="AR238" s="51">
        <v>3578651.47</v>
      </c>
      <c r="AS238" s="49">
        <v>43240.002679352947</v>
      </c>
      <c r="AT238" s="55">
        <v>1.2082764427281024E-2</v>
      </c>
      <c r="AU238" s="51">
        <v>30384.866747653432</v>
      </c>
      <c r="AV238" s="52">
        <v>1.382236342345486E-4</v>
      </c>
      <c r="AW238" s="44">
        <v>450</v>
      </c>
      <c r="AX238" s="51">
        <v>181.27096900010099</v>
      </c>
      <c r="AY238" s="49">
        <v>191.75736825184799</v>
      </c>
      <c r="AZ238" s="49">
        <v>10.486399251747002</v>
      </c>
      <c r="BA238" s="42" t="s">
        <v>150</v>
      </c>
      <c r="BB238" s="50">
        <v>72737.633036861138</v>
      </c>
      <c r="BC238" s="57">
        <v>103122.49978451457</v>
      </c>
      <c r="BD238" s="42" t="s">
        <v>150</v>
      </c>
      <c r="BE238" s="46">
        <v>63.482837528604101</v>
      </c>
      <c r="BF238" s="46">
        <v>72.681922196796293</v>
      </c>
      <c r="BG238" s="42" t="s">
        <v>152</v>
      </c>
      <c r="BH238" s="52">
        <v>0.71162857760795895</v>
      </c>
      <c r="BI238" s="52">
        <v>0.629853079087215</v>
      </c>
      <c r="BJ238" s="42" t="s">
        <v>150</v>
      </c>
      <c r="BK238" s="46">
        <v>398.107351885583</v>
      </c>
      <c r="BL238" s="46">
        <v>501.572578807779</v>
      </c>
      <c r="BM238" s="42" t="s">
        <v>152</v>
      </c>
      <c r="BN238" s="48">
        <v>1</v>
      </c>
      <c r="BO238" s="42" t="s">
        <v>155</v>
      </c>
      <c r="BP238" s="42" t="s">
        <v>152</v>
      </c>
      <c r="BQ238" s="46">
        <v>587.91926452094401</v>
      </c>
      <c r="BR238" s="46">
        <v>469</v>
      </c>
      <c r="BS238" s="46">
        <v>28600</v>
      </c>
      <c r="BT238" s="46">
        <v>8717</v>
      </c>
      <c r="BU238" s="46">
        <v>3.2809452793392224</v>
      </c>
      <c r="BV238" s="46">
        <v>18.586353944562898</v>
      </c>
      <c r="BW238" s="46">
        <v>0</v>
      </c>
      <c r="BX238" s="46">
        <v>3416</v>
      </c>
      <c r="BY238" s="46">
        <v>3416</v>
      </c>
      <c r="BZ238" s="46">
        <v>0.39187793965813927</v>
      </c>
      <c r="CA238" s="46">
        <v>0</v>
      </c>
      <c r="CB238" s="46">
        <v>0.39187793965813927</v>
      </c>
      <c r="CC238" s="46">
        <v>0.33348629115521389</v>
      </c>
      <c r="CD238" s="46">
        <v>1.8010783526442579E-2</v>
      </c>
      <c r="CE238" s="46">
        <v>0</v>
      </c>
      <c r="CF238" s="46">
        <v>0.2566249856602042</v>
      </c>
      <c r="CG238" s="46">
        <v>0</v>
      </c>
      <c r="CH238" s="46">
        <v>0</v>
      </c>
      <c r="CI238" s="46">
        <v>6.3986013986013983</v>
      </c>
      <c r="CJ238" s="46">
        <v>0.66433566433566438</v>
      </c>
      <c r="CK238">
        <v>341</v>
      </c>
      <c r="CL238">
        <v>469.97</v>
      </c>
      <c r="CM238">
        <f t="shared" si="28"/>
        <v>128.97000000000003</v>
      </c>
      <c r="CN238">
        <v>5.82</v>
      </c>
      <c r="CO238">
        <v>9.4499999999999993</v>
      </c>
      <c r="CP238">
        <f t="shared" si="29"/>
        <v>3.629999999999999</v>
      </c>
      <c r="CQ238">
        <v>602.75</v>
      </c>
      <c r="CR238">
        <v>398.11</v>
      </c>
      <c r="CS238">
        <f t="shared" si="30"/>
        <v>204.64</v>
      </c>
      <c r="CT238" t="s">
        <v>152</v>
      </c>
      <c r="CU238">
        <v>76.08</v>
      </c>
      <c r="CV238">
        <v>127</v>
      </c>
      <c r="CW238" s="46">
        <v>3416</v>
      </c>
      <c r="CX238" s="46">
        <f t="shared" si="24"/>
        <v>37.708271194218199</v>
      </c>
      <c r="CY238" s="46">
        <v>128.97</v>
      </c>
      <c r="CZ238" s="46">
        <f t="shared" si="25"/>
        <v>39.187793965813924</v>
      </c>
      <c r="DA238" s="46">
        <f t="shared" si="26"/>
        <v>131.40888336722824</v>
      </c>
      <c r="DB238" s="46">
        <v>1162439.04</v>
      </c>
      <c r="DC238" s="46">
        <f t="shared" si="27"/>
        <v>6.4002014476648688</v>
      </c>
      <c r="DD238" s="46">
        <v>56615.99</v>
      </c>
      <c r="DE238" s="995">
        <v>3416</v>
      </c>
      <c r="DF238" s="995">
        <v>37.753</v>
      </c>
      <c r="DG238" s="995">
        <v>125</v>
      </c>
      <c r="DH238" s="995">
        <v>39.188000000000002</v>
      </c>
      <c r="DI238" s="995">
        <v>468.97699999999998</v>
      </c>
      <c r="DJ238" s="995">
        <v>4146705</v>
      </c>
      <c r="DK238" s="995">
        <v>22.283999999999999</v>
      </c>
      <c r="DL238" s="995">
        <v>197031.5</v>
      </c>
      <c r="DM238" s="995">
        <v>3416</v>
      </c>
      <c r="DN238" s="995">
        <v>37.968000000000004</v>
      </c>
      <c r="DO238" s="995">
        <v>106.3</v>
      </c>
      <c r="DP238" s="995">
        <v>39.188000000000002</v>
      </c>
      <c r="DQ238" s="995">
        <v>456.34500000000003</v>
      </c>
      <c r="DR238" s="995">
        <v>4026463</v>
      </c>
      <c r="DS238" s="995">
        <v>21.673999999999999</v>
      </c>
      <c r="DT238" s="995">
        <v>191236.9</v>
      </c>
    </row>
    <row r="239" spans="1:124">
      <c r="A239" s="42" t="s">
        <v>93</v>
      </c>
      <c r="B239" s="42" t="s">
        <v>414</v>
      </c>
      <c r="C239" s="42" t="s">
        <v>431</v>
      </c>
      <c r="D239" s="42">
        <v>950342</v>
      </c>
      <c r="E239" s="42" t="s">
        <v>434</v>
      </c>
      <c r="F239" s="42" t="s">
        <v>149</v>
      </c>
      <c r="G239" s="42" t="s">
        <v>150</v>
      </c>
      <c r="H239" s="43" t="s">
        <v>150</v>
      </c>
      <c r="I239" s="44">
        <v>4</v>
      </c>
      <c r="J239" s="45">
        <v>155504.20295199999</v>
      </c>
      <c r="K239" s="46">
        <v>7477.3887430000004</v>
      </c>
      <c r="L239" s="47">
        <v>162981.59169500001</v>
      </c>
      <c r="M239" s="48">
        <v>3023546</v>
      </c>
      <c r="N239" s="49">
        <v>2249193</v>
      </c>
      <c r="O239" s="49">
        <v>773832</v>
      </c>
      <c r="P239" s="49">
        <v>521</v>
      </c>
      <c r="Q239" s="50">
        <v>6918.1811670480602</v>
      </c>
      <c r="R239" s="51">
        <v>2035.37042695324</v>
      </c>
      <c r="S239" s="49">
        <v>2393.5469450662499</v>
      </c>
      <c r="T239" s="49">
        <v>557.71580867906198</v>
      </c>
      <c r="U239" s="49">
        <f>IFERROR(INDEX('Rentabilidad datos'!$N$2:$N$61,MATCH($C239,'Rentabilidad datos'!$C$2:$C$61,0)),"")</f>
        <v>4986.6331806985536</v>
      </c>
      <c r="V239" s="50">
        <f>IFERROR(INDEX('Rentabilidad datos'!$O$2:$O$61,MATCH($C239,'Rentabilidad datos'!$C$2:$C$61,0)),"")</f>
        <v>1246.6582951746384</v>
      </c>
      <c r="W239" s="51">
        <f>IFERROR(INDEX('Rentabilidad datos'!$M$2:$M$61,MATCH($C239,'Rentabilidad datos'!$C$2:$C$61,0)),"")</f>
        <v>2263.4604844889545</v>
      </c>
      <c r="X239" s="52">
        <f>IFERROR(INDEX('Rentabilidad datos'!$P$2:$P$61,MATCH($C239,'Rentabilidad datos'!$C$2:$C$61,0)),"")</f>
        <v>0.55077537413077904</v>
      </c>
      <c r="Y239" s="43" t="s">
        <v>160</v>
      </c>
      <c r="Z239" s="53">
        <v>52.292906178489702</v>
      </c>
      <c r="AA239" s="43">
        <v>2</v>
      </c>
      <c r="AB239" s="54">
        <v>0.95205927080322239</v>
      </c>
      <c r="AC239" s="55">
        <v>4.7940729196777561E-2</v>
      </c>
      <c r="AD239" s="752" t="e">
        <f>_xlfn.XLOOKUP(Table1[[#This Row],[Ruta]],#REF!,#REF!)</f>
        <v>#REF!</v>
      </c>
      <c r="AE239" s="752" t="e">
        <f>_xlfn.XLOOKUP(Table1[[#This Row],[Ruta]],#REF!,#REF!)</f>
        <v>#REF!</v>
      </c>
      <c r="AF239" s="752" t="e">
        <f>_xlfn.XLOOKUP(Table1[[#This Row],[Ruta]],#REF!,#REF!)</f>
        <v>#REF!</v>
      </c>
      <c r="AG239" s="752" t="e">
        <f>_xlfn.XLOOKUP(Table1[[#This Row],[Ruta]],#REF!,#REF!)</f>
        <v>#REF!</v>
      </c>
      <c r="AH239" s="52">
        <v>0.74389243623215917</v>
      </c>
      <c r="AI239" s="52">
        <v>0.25593524953812508</v>
      </c>
      <c r="AJ239" s="55">
        <v>1.7231422971570467E-4</v>
      </c>
      <c r="AK239" s="56">
        <v>22852</v>
      </c>
      <c r="AL239" s="44">
        <v>13544</v>
      </c>
      <c r="AM239" s="54">
        <v>0.59268335375459502</v>
      </c>
      <c r="AN239" s="55">
        <v>0.72882545853387504</v>
      </c>
      <c r="AO239" s="56">
        <v>3111.1193784161201</v>
      </c>
      <c r="AP239" s="48">
        <v>1555.55968920806</v>
      </c>
      <c r="AQ239" s="55">
        <v>0.66075440614423508</v>
      </c>
      <c r="AR239" s="51">
        <v>3023245.17</v>
      </c>
      <c r="AS239" s="49">
        <v>347226.69204407552</v>
      </c>
      <c r="AT239" s="55">
        <v>0.11485231018960845</v>
      </c>
      <c r="AU239" s="51">
        <v>243997.13494989098</v>
      </c>
      <c r="AV239" s="52">
        <v>1.1099660569746002E-3</v>
      </c>
      <c r="AW239" s="44">
        <v>278</v>
      </c>
      <c r="AX239" s="51">
        <v>223.21656600708801</v>
      </c>
      <c r="AY239" s="49">
        <v>191.75736825184799</v>
      </c>
      <c r="AZ239" s="49">
        <v>0</v>
      </c>
      <c r="BA239" s="42" t="s">
        <v>152</v>
      </c>
      <c r="BB239" s="50">
        <v>0</v>
      </c>
      <c r="BC239" s="57">
        <v>243997.13494989098</v>
      </c>
      <c r="BD239" s="42" t="s">
        <v>150</v>
      </c>
      <c r="BE239" s="46">
        <v>52.292906178489702</v>
      </c>
      <c r="BF239" s="46">
        <v>72.681922196796293</v>
      </c>
      <c r="BG239" s="42" t="s">
        <v>152</v>
      </c>
      <c r="BH239" s="52">
        <v>0.59268335375459502</v>
      </c>
      <c r="BI239" s="52">
        <v>0.629853079087215</v>
      </c>
      <c r="BJ239" s="42" t="s">
        <v>152</v>
      </c>
      <c r="BK239" s="46">
        <v>372.955587402746</v>
      </c>
      <c r="BL239" s="46">
        <v>501.572578807779</v>
      </c>
      <c r="BM239" s="42" t="s">
        <v>152</v>
      </c>
      <c r="BN239" s="48">
        <v>0</v>
      </c>
      <c r="BO239" s="42" t="s">
        <v>155</v>
      </c>
      <c r="BP239" s="42" t="s">
        <v>152</v>
      </c>
      <c r="BQ239" s="46">
        <v>7112.3267586185302</v>
      </c>
      <c r="BR239" s="46">
        <v>1351</v>
      </c>
      <c r="BS239" s="46">
        <v>42754</v>
      </c>
      <c r="BT239" s="46">
        <v>10587</v>
      </c>
      <c r="BU239" s="46">
        <v>4.0383489184849344</v>
      </c>
      <c r="BV239" s="46">
        <v>7.8364174685418213</v>
      </c>
      <c r="BW239" s="46">
        <v>9</v>
      </c>
      <c r="BX239" s="46">
        <v>0</v>
      </c>
      <c r="BY239" s="46">
        <v>9</v>
      </c>
      <c r="BZ239" s="46">
        <v>8.5009917823746103E-4</v>
      </c>
      <c r="CA239" s="46">
        <v>8.5009917823746103E-4</v>
      </c>
      <c r="CB239" s="46">
        <v>0</v>
      </c>
      <c r="CC239" s="46">
        <v>0.18050439217908759</v>
      </c>
      <c r="CD239" s="46">
        <v>5.8090110512893173E-2</v>
      </c>
      <c r="CE239" s="46">
        <v>3.7782185699442705E-3</v>
      </c>
      <c r="CF239" s="46">
        <v>0.75517143666761122</v>
      </c>
      <c r="CG239" s="46">
        <v>4.7227732124303391E-4</v>
      </c>
      <c r="CH239" s="46">
        <v>1.133465570983281E-3</v>
      </c>
      <c r="CI239" s="46">
        <v>7.4379005473172084</v>
      </c>
      <c r="CJ239" s="46">
        <v>0.1871169949010619</v>
      </c>
      <c r="CK239">
        <v>281</v>
      </c>
      <c r="CL239">
        <v>310.04000000000002</v>
      </c>
      <c r="CM239">
        <f t="shared" si="28"/>
        <v>29.04000000000002</v>
      </c>
      <c r="CN239">
        <v>3.86</v>
      </c>
      <c r="CO239">
        <v>9.4499999999999993</v>
      </c>
      <c r="CP239">
        <f t="shared" si="29"/>
        <v>5.59</v>
      </c>
      <c r="CQ239">
        <v>602.75</v>
      </c>
      <c r="CR239">
        <v>372.96</v>
      </c>
      <c r="CS239">
        <f t="shared" si="30"/>
        <v>229.79000000000002</v>
      </c>
      <c r="CT239" t="s">
        <v>152</v>
      </c>
      <c r="CU239">
        <v>61.88</v>
      </c>
      <c r="CV239">
        <v>0</v>
      </c>
      <c r="CW239" s="46">
        <v>9</v>
      </c>
      <c r="CX239" s="46">
        <f t="shared" si="24"/>
        <v>-0.18928875035420797</v>
      </c>
      <c r="CY239" s="46">
        <v>29.04</v>
      </c>
      <c r="CZ239" s="46">
        <f t="shared" si="25"/>
        <v>8.5009917823746103E-2</v>
      </c>
      <c r="DA239" s="46">
        <f t="shared" si="26"/>
        <v>23.466940591783754</v>
      </c>
      <c r="DB239" s="46">
        <v>249125.98</v>
      </c>
      <c r="DC239" s="46">
        <f t="shared" si="27"/>
        <v>1.1841571810204181</v>
      </c>
      <c r="DD239" s="46">
        <v>12571.06</v>
      </c>
      <c r="DE239" s="995">
        <v>9</v>
      </c>
      <c r="DF239" s="995">
        <v>-0.17399999999999999</v>
      </c>
      <c r="DG239" s="995">
        <v>27.4</v>
      </c>
      <c r="DH239" s="995">
        <v>8.5000000000000006E-2</v>
      </c>
      <c r="DI239" s="995">
        <v>231.61500000000001</v>
      </c>
      <c r="DJ239" s="995">
        <v>2458464</v>
      </c>
      <c r="DK239" s="995">
        <v>12.032999999999999</v>
      </c>
      <c r="DL239" s="995">
        <v>127725.9</v>
      </c>
      <c r="DM239" s="995">
        <v>9</v>
      </c>
      <c r="DN239" s="995">
        <v>-0.129</v>
      </c>
      <c r="DO239" s="995">
        <v>22.7</v>
      </c>
      <c r="DP239" s="995">
        <v>8.5000000000000006E-2</v>
      </c>
      <c r="DQ239" s="995">
        <v>228.96199999999999</v>
      </c>
      <c r="DR239" s="995">
        <v>2429209</v>
      </c>
      <c r="DS239" s="995">
        <v>11.898999999999999</v>
      </c>
      <c r="DT239" s="995">
        <v>126249.7</v>
      </c>
    </row>
    <row r="240" spans="1:124">
      <c r="A240" s="42" t="s">
        <v>93</v>
      </c>
      <c r="B240" s="42" t="s">
        <v>414</v>
      </c>
      <c r="C240" s="42" t="s">
        <v>431</v>
      </c>
      <c r="D240" s="42">
        <v>950344</v>
      </c>
      <c r="E240" s="42" t="s">
        <v>435</v>
      </c>
      <c r="F240" s="42" t="s">
        <v>149</v>
      </c>
      <c r="G240" s="42" t="s">
        <v>150</v>
      </c>
      <c r="H240" s="43" t="s">
        <v>150</v>
      </c>
      <c r="I240" s="44">
        <v>4</v>
      </c>
      <c r="J240" s="45">
        <v>163932.49600000001</v>
      </c>
      <c r="K240" s="46">
        <v>9672.3280379999997</v>
      </c>
      <c r="L240" s="47">
        <v>173604.82403799999</v>
      </c>
      <c r="M240" s="48">
        <v>3266780</v>
      </c>
      <c r="N240" s="49">
        <v>2293709</v>
      </c>
      <c r="O240" s="49">
        <v>972307</v>
      </c>
      <c r="P240" s="49">
        <v>764</v>
      </c>
      <c r="Q240" s="50">
        <v>7580.8814187643002</v>
      </c>
      <c r="R240" s="51">
        <v>2035.37042695324</v>
      </c>
      <c r="S240" s="49">
        <v>2393.5469450662499</v>
      </c>
      <c r="T240" s="49">
        <v>557.71580867906198</v>
      </c>
      <c r="U240" s="49">
        <f>IFERROR(INDEX('Rentabilidad datos'!$N$2:$N$61,MATCH($C240,'Rentabilidad datos'!$C$2:$C$61,0)),"")</f>
        <v>4986.6331806985536</v>
      </c>
      <c r="V240" s="50">
        <f>IFERROR(INDEX('Rentabilidad datos'!$O$2:$O$61,MATCH($C240,'Rentabilidad datos'!$C$2:$C$61,0)),"")</f>
        <v>1246.6582951746384</v>
      </c>
      <c r="W240" s="51">
        <f>IFERROR(INDEX('Rentabilidad datos'!$M$2:$M$61,MATCH($C240,'Rentabilidad datos'!$C$2:$C$61,0)),"")</f>
        <v>2263.4604844889545</v>
      </c>
      <c r="X240" s="52">
        <f>IFERROR(INDEX('Rentabilidad datos'!$P$2:$P$61,MATCH($C240,'Rentabilidad datos'!$C$2:$C$61,0)),"")</f>
        <v>0.55077537413077904</v>
      </c>
      <c r="Y240" s="43" t="s">
        <v>160</v>
      </c>
      <c r="Z240" s="53">
        <v>60.713958810068704</v>
      </c>
      <c r="AA240" s="43">
        <v>2</v>
      </c>
      <c r="AB240" s="54">
        <v>0.90117516331066061</v>
      </c>
      <c r="AC240" s="55">
        <v>9.8824836689339349E-2</v>
      </c>
      <c r="AD240" s="752" t="e">
        <f>_xlfn.XLOOKUP(Table1[[#This Row],[Ruta]],#REF!,#REF!)</f>
        <v>#REF!</v>
      </c>
      <c r="AE240" s="752" t="e">
        <f>_xlfn.XLOOKUP(Table1[[#This Row],[Ruta]],#REF!,#REF!)</f>
        <v>#REF!</v>
      </c>
      <c r="AF240" s="752" t="e">
        <f>_xlfn.XLOOKUP(Table1[[#This Row],[Ruta]],#REF!,#REF!)</f>
        <v>#REF!</v>
      </c>
      <c r="AG240" s="752" t="e">
        <f>_xlfn.XLOOKUP(Table1[[#This Row],[Ruta]],#REF!,#REF!)</f>
        <v>#REF!</v>
      </c>
      <c r="AH240" s="52">
        <v>0.70213145666374843</v>
      </c>
      <c r="AI240" s="52">
        <v>0.29763467389906878</v>
      </c>
      <c r="AJ240" s="55">
        <v>2.3386943718279162E-4</v>
      </c>
      <c r="AK240" s="56">
        <v>26532</v>
      </c>
      <c r="AL240" s="44">
        <v>20706</v>
      </c>
      <c r="AM240" s="54">
        <v>0.78041610131162398</v>
      </c>
      <c r="AN240" s="55">
        <v>0.72882545853387504</v>
      </c>
      <c r="AO240" s="56">
        <v>0</v>
      </c>
      <c r="AP240" s="48">
        <v>0</v>
      </c>
      <c r="AQ240" s="55">
        <v>0.78041610131162364</v>
      </c>
      <c r="AR240" s="51">
        <v>3312845.18</v>
      </c>
      <c r="AS240" s="49">
        <v>0</v>
      </c>
      <c r="AT240" s="55">
        <v>0</v>
      </c>
      <c r="AU240" s="51">
        <v>0</v>
      </c>
      <c r="AV240" s="52">
        <v>0</v>
      </c>
      <c r="AW240" s="44">
        <v>490</v>
      </c>
      <c r="AX240" s="51">
        <v>159.994454747416</v>
      </c>
      <c r="AY240" s="49">
        <v>191.75736825184799</v>
      </c>
      <c r="AZ240" s="49">
        <v>31.762913504431992</v>
      </c>
      <c r="BA240" s="42" t="s">
        <v>150</v>
      </c>
      <c r="BB240" s="50">
        <v>231077.77111610805</v>
      </c>
      <c r="BC240" s="57">
        <v>231077.77111610805</v>
      </c>
      <c r="BD240" s="42" t="s">
        <v>150</v>
      </c>
      <c r="BE240" s="46">
        <v>60.713958810068704</v>
      </c>
      <c r="BF240" s="46">
        <v>72.681922196796293</v>
      </c>
      <c r="BG240" s="42" t="s">
        <v>152</v>
      </c>
      <c r="BH240" s="52">
        <v>0.78041610131162398</v>
      </c>
      <c r="BI240" s="52">
        <v>0.629853079087215</v>
      </c>
      <c r="BJ240" s="42" t="s">
        <v>150</v>
      </c>
      <c r="BK240" s="46">
        <v>397.26504356521701</v>
      </c>
      <c r="BL240" s="46">
        <v>501.572578807779</v>
      </c>
      <c r="BM240" s="42" t="s">
        <v>152</v>
      </c>
      <c r="BN240" s="48">
        <v>1</v>
      </c>
      <c r="BO240" s="42" t="s">
        <v>155</v>
      </c>
      <c r="BP240" s="42" t="s">
        <v>152</v>
      </c>
      <c r="BQ240" s="46">
        <v>0</v>
      </c>
      <c r="BR240" s="46">
        <v>1169</v>
      </c>
      <c r="BS240" s="46">
        <v>57002</v>
      </c>
      <c r="BT240" s="46">
        <v>15189</v>
      </c>
      <c r="BU240" s="46">
        <v>3.7528474553953517</v>
      </c>
      <c r="BV240" s="46">
        <v>12.993156544054747</v>
      </c>
      <c r="BW240" s="46">
        <v>0</v>
      </c>
      <c r="BX240" s="46">
        <v>1119</v>
      </c>
      <c r="BY240" s="46">
        <v>1119</v>
      </c>
      <c r="BZ240" s="46">
        <v>7.3671736124827178E-2</v>
      </c>
      <c r="CA240" s="46">
        <v>0</v>
      </c>
      <c r="CB240" s="46">
        <v>7.3671736124827178E-2</v>
      </c>
      <c r="CC240" s="46">
        <v>0.40009217196655472</v>
      </c>
      <c r="CD240" s="46">
        <v>5.4710645862137072E-2</v>
      </c>
      <c r="CE240" s="46">
        <v>5.5434854170781478E-2</v>
      </c>
      <c r="CF240" s="46">
        <v>0.41595891763776421</v>
      </c>
      <c r="CG240" s="46">
        <v>0</v>
      </c>
      <c r="CH240" s="46">
        <v>1.3167423793534791E-4</v>
      </c>
      <c r="CI240" s="46">
        <v>6.2629381425213149</v>
      </c>
      <c r="CJ240" s="46">
        <v>0.17543244096698363</v>
      </c>
      <c r="CK240">
        <v>371</v>
      </c>
      <c r="CL240">
        <v>513.80999999999995</v>
      </c>
      <c r="CM240">
        <f t="shared" si="28"/>
        <v>142.80999999999995</v>
      </c>
      <c r="CN240">
        <v>4.57</v>
      </c>
      <c r="CO240">
        <v>9.4499999999999993</v>
      </c>
      <c r="CP240">
        <f t="shared" si="29"/>
        <v>4.879999999999999</v>
      </c>
      <c r="CQ240">
        <v>602.75</v>
      </c>
      <c r="CR240">
        <v>397.27</v>
      </c>
      <c r="CS240">
        <f t="shared" si="30"/>
        <v>205.48000000000002</v>
      </c>
      <c r="CT240" t="s">
        <v>152</v>
      </c>
      <c r="CU240">
        <v>65.91</v>
      </c>
      <c r="CV240">
        <v>43</v>
      </c>
      <c r="CW240" s="46">
        <v>1119</v>
      </c>
      <c r="CX240" s="46">
        <f t="shared" si="24"/>
        <v>6.4269537165053663</v>
      </c>
      <c r="CY240" s="46">
        <v>142.81</v>
      </c>
      <c r="CZ240" s="46">
        <f t="shared" si="25"/>
        <v>7.3671736124827181</v>
      </c>
      <c r="DA240" s="46">
        <f t="shared" si="26"/>
        <v>94.924828184017414</v>
      </c>
      <c r="DB240" s="46">
        <v>1455369.43</v>
      </c>
      <c r="DC240" s="46">
        <f t="shared" si="27"/>
        <v>4.8959757523736593</v>
      </c>
      <c r="DD240" s="46">
        <v>75064.17</v>
      </c>
      <c r="DE240" s="995">
        <v>1119</v>
      </c>
      <c r="DF240" s="995">
        <v>6.4740000000000002</v>
      </c>
      <c r="DG240" s="995">
        <v>135.69999999999999</v>
      </c>
      <c r="DH240" s="995">
        <v>7.367</v>
      </c>
      <c r="DI240" s="995">
        <v>247.88900000000001</v>
      </c>
      <c r="DJ240" s="995">
        <v>3798827</v>
      </c>
      <c r="DK240" s="995">
        <v>12.629</v>
      </c>
      <c r="DL240" s="995">
        <v>193537.7</v>
      </c>
      <c r="DM240" s="995">
        <v>1119</v>
      </c>
      <c r="DN240" s="995">
        <v>6.6139999999999999</v>
      </c>
      <c r="DO240" s="995">
        <v>114.4</v>
      </c>
      <c r="DP240" s="995">
        <v>7.367</v>
      </c>
      <c r="DQ240" s="995">
        <v>239.87899999999999</v>
      </c>
      <c r="DR240" s="995">
        <v>3670965</v>
      </c>
      <c r="DS240" s="995">
        <v>12.215999999999999</v>
      </c>
      <c r="DT240" s="995">
        <v>186943.9</v>
      </c>
    </row>
    <row r="241" spans="1:124">
      <c r="A241" s="42" t="s">
        <v>93</v>
      </c>
      <c r="B241" s="42" t="s">
        <v>320</v>
      </c>
      <c r="C241" s="42" t="s">
        <v>436</v>
      </c>
      <c r="D241" s="42" t="s">
        <v>322</v>
      </c>
      <c r="E241" s="42" t="s">
        <v>437</v>
      </c>
      <c r="F241" s="42" t="s">
        <v>324</v>
      </c>
      <c r="G241" s="42" t="s">
        <v>152</v>
      </c>
      <c r="H241" s="43" t="s">
        <v>152</v>
      </c>
      <c r="I241" s="44">
        <v>1</v>
      </c>
      <c r="J241" s="45">
        <v>0</v>
      </c>
      <c r="K241" s="46">
        <v>0</v>
      </c>
      <c r="L241" s="47">
        <v>16.160699999999999</v>
      </c>
      <c r="M241" s="48">
        <v>0</v>
      </c>
      <c r="N241" s="49">
        <v>0</v>
      </c>
      <c r="O241" s="49">
        <v>0</v>
      </c>
      <c r="P241" s="49">
        <v>0</v>
      </c>
      <c r="Q241" s="50">
        <v>0</v>
      </c>
      <c r="R241" s="51" t="s">
        <v>194</v>
      </c>
      <c r="S241" s="49" t="s">
        <v>194</v>
      </c>
      <c r="T241" s="49" t="s">
        <v>194</v>
      </c>
      <c r="U241" s="49" t="str">
        <f>IFERROR(INDEX('Rentabilidad datos'!$N$2:$N$61,MATCH($C241,'Rentabilidad datos'!$C$2:$C$61,0)),"")</f>
        <v/>
      </c>
      <c r="V241" s="50" t="str">
        <f>IFERROR(INDEX('Rentabilidad datos'!$O$2:$O$61,MATCH($C241,'Rentabilidad datos'!$C$2:$C$61,0)),"")</f>
        <v/>
      </c>
      <c r="W241" s="51" t="str">
        <f>IFERROR(INDEX('Rentabilidad datos'!$M$2:$M$61,MATCH($C241,'Rentabilidad datos'!$C$2:$C$61,0)),"")</f>
        <v/>
      </c>
      <c r="X241" s="52" t="str">
        <f>IFERROR(INDEX('Rentabilidad datos'!$P$2:$P$61,MATCH($C241,'Rentabilidad datos'!$C$2:$C$61,0)),"")</f>
        <v/>
      </c>
      <c r="Y241" s="43">
        <v>0</v>
      </c>
      <c r="Z241" s="53">
        <v>0</v>
      </c>
      <c r="AA241" s="43">
        <v>1</v>
      </c>
      <c r="AB241" s="54">
        <v>0</v>
      </c>
      <c r="AC241" s="55">
        <v>0</v>
      </c>
      <c r="AD241" s="752" t="e">
        <f>_xlfn.XLOOKUP(Table1[[#This Row],[Ruta]],#REF!,#REF!)</f>
        <v>#REF!</v>
      </c>
      <c r="AE241" s="752" t="e">
        <f>_xlfn.XLOOKUP(Table1[[#This Row],[Ruta]],#REF!,#REF!)</f>
        <v>#REF!</v>
      </c>
      <c r="AF241" s="752" t="e">
        <f>_xlfn.XLOOKUP(Table1[[#This Row],[Ruta]],#REF!,#REF!)</f>
        <v>#REF!</v>
      </c>
      <c r="AG241" s="752" t="e">
        <f>_xlfn.XLOOKUP(Table1[[#This Row],[Ruta]],#REF!,#REF!)</f>
        <v>#REF!</v>
      </c>
      <c r="AH241" s="52">
        <v>0</v>
      </c>
      <c r="AI241" s="52">
        <v>0</v>
      </c>
      <c r="AJ241" s="55">
        <v>0</v>
      </c>
      <c r="AK241" s="56">
        <v>0</v>
      </c>
      <c r="AL241" s="44">
        <v>2</v>
      </c>
      <c r="AM241" s="54">
        <v>0</v>
      </c>
      <c r="AN241" s="55">
        <v>0</v>
      </c>
      <c r="AO241" s="56">
        <v>0</v>
      </c>
      <c r="AP241" s="48">
        <v>0</v>
      </c>
      <c r="AQ241" s="55" t="s">
        <v>194</v>
      </c>
      <c r="AR241" s="51">
        <v>998.5</v>
      </c>
      <c r="AS241" s="49">
        <v>0</v>
      </c>
      <c r="AT241" s="55">
        <v>0</v>
      </c>
      <c r="AU241" s="51">
        <v>0</v>
      </c>
      <c r="AV241" s="52">
        <v>0</v>
      </c>
      <c r="AW241" s="44">
        <v>490</v>
      </c>
      <c r="AX241" s="51">
        <v>499.25</v>
      </c>
      <c r="AY241" s="49">
        <v>0</v>
      </c>
      <c r="AZ241" s="49">
        <v>0</v>
      </c>
      <c r="BA241" s="42" t="s">
        <v>152</v>
      </c>
      <c r="BB241" s="50">
        <v>0</v>
      </c>
      <c r="BC241" s="57">
        <v>0</v>
      </c>
      <c r="BD241" s="42" t="s">
        <v>152</v>
      </c>
      <c r="BE241" s="46" t="s">
        <v>195</v>
      </c>
      <c r="BF241" s="46" t="s">
        <v>195</v>
      </c>
      <c r="BG241" s="42" t="s">
        <v>195</v>
      </c>
      <c r="BH241" s="52" t="s">
        <v>195</v>
      </c>
      <c r="BI241" s="52" t="s">
        <v>195</v>
      </c>
      <c r="BJ241" s="42" t="s">
        <v>195</v>
      </c>
      <c r="BK241" s="46" t="s">
        <v>195</v>
      </c>
      <c r="BL241" s="46" t="s">
        <v>195</v>
      </c>
      <c r="BM241" s="42" t="s">
        <v>195</v>
      </c>
      <c r="BN241" s="48" t="s">
        <v>195</v>
      </c>
      <c r="BO241" s="42" t="s">
        <v>195</v>
      </c>
      <c r="BP241" s="42" t="s">
        <v>152</v>
      </c>
      <c r="BQ241" s="46">
        <v>0</v>
      </c>
      <c r="BR241" s="46" t="e">
        <v>#N/A</v>
      </c>
      <c r="BS241" s="46" t="e">
        <v>#N/A</v>
      </c>
      <c r="BT241" s="46" t="e">
        <v>#N/A</v>
      </c>
      <c r="BU241" s="46" t="e">
        <v>#N/A</v>
      </c>
      <c r="BV241" s="46" t="e">
        <v>#N/A</v>
      </c>
      <c r="BW241" s="46" t="e">
        <v>#N/A</v>
      </c>
      <c r="BX241" s="46" t="e">
        <v>#N/A</v>
      </c>
      <c r="BY241" s="46" t="e">
        <v>#N/A</v>
      </c>
      <c r="BZ241" s="46" t="e">
        <v>#N/A</v>
      </c>
      <c r="CA241" s="46" t="e">
        <v>#N/A</v>
      </c>
      <c r="CB241" s="46" t="e">
        <v>#N/A</v>
      </c>
      <c r="CC241" s="46" t="e">
        <v>#N/A</v>
      </c>
      <c r="CD241" s="46" t="e">
        <v>#N/A</v>
      </c>
      <c r="CE241" s="46" t="e">
        <v>#N/A</v>
      </c>
      <c r="CF241" s="46" t="e">
        <v>#N/A</v>
      </c>
      <c r="CG241" s="46" t="e">
        <v>#N/A</v>
      </c>
      <c r="CH241" s="46" t="e">
        <v>#N/A</v>
      </c>
      <c r="CI241" s="46" t="e">
        <v>#N/A</v>
      </c>
      <c r="CJ241" s="46" t="e">
        <v>#N/A</v>
      </c>
      <c r="CM241">
        <f t="shared" si="28"/>
        <v>0</v>
      </c>
      <c r="CP241">
        <f t="shared" si="29"/>
        <v>0</v>
      </c>
      <c r="CS241">
        <f t="shared" si="30"/>
        <v>0</v>
      </c>
      <c r="CW241" s="46"/>
      <c r="CX241" s="46" t="e">
        <f t="shared" si="24"/>
        <v>#N/A</v>
      </c>
      <c r="CY241" s="46"/>
      <c r="CZ241" s="46" t="e">
        <f t="shared" si="25"/>
        <v>#N/A</v>
      </c>
      <c r="DA241" s="46" t="e">
        <f t="shared" si="26"/>
        <v>#N/A</v>
      </c>
      <c r="DB241" s="46"/>
      <c r="DC241" s="46" t="e">
        <f t="shared" si="27"/>
        <v>#N/A</v>
      </c>
      <c r="DD241" s="46"/>
      <c r="DE241" s="995" t="s">
        <v>194</v>
      </c>
      <c r="DF241" s="995" t="s">
        <v>194</v>
      </c>
      <c r="DG241" s="995" t="s">
        <v>194</v>
      </c>
      <c r="DH241" s="995" t="s">
        <v>194</v>
      </c>
      <c r="DI241" s="995" t="s">
        <v>194</v>
      </c>
      <c r="DJ241" s="995" t="s">
        <v>194</v>
      </c>
      <c r="DK241" s="995" t="s">
        <v>194</v>
      </c>
      <c r="DL241" s="995" t="s">
        <v>194</v>
      </c>
      <c r="DM241" s="995" t="s">
        <v>194</v>
      </c>
      <c r="DN241" s="995" t="s">
        <v>194</v>
      </c>
      <c r="DO241" s="995" t="s">
        <v>194</v>
      </c>
      <c r="DP241" s="995" t="s">
        <v>194</v>
      </c>
      <c r="DQ241" s="995" t="s">
        <v>194</v>
      </c>
      <c r="DR241" s="995" t="s">
        <v>194</v>
      </c>
      <c r="DS241" s="995" t="s">
        <v>194</v>
      </c>
      <c r="DT241" s="995" t="s">
        <v>194</v>
      </c>
    </row>
    <row r="242" spans="1:124">
      <c r="A242" s="42" t="s">
        <v>93</v>
      </c>
      <c r="B242" s="42" t="s">
        <v>414</v>
      </c>
      <c r="C242" s="42" t="s">
        <v>438</v>
      </c>
      <c r="D242" s="42">
        <v>948470</v>
      </c>
      <c r="E242" s="42" t="s">
        <v>439</v>
      </c>
      <c r="F242" s="42" t="s">
        <v>149</v>
      </c>
      <c r="G242" s="42" t="s">
        <v>150</v>
      </c>
      <c r="H242" s="43" t="s">
        <v>150</v>
      </c>
      <c r="I242" s="44">
        <v>1</v>
      </c>
      <c r="J242" s="45">
        <v>295532.88239999901</v>
      </c>
      <c r="K242" s="46">
        <v>11411.784815000001</v>
      </c>
      <c r="L242" s="47">
        <v>306944.66721499898</v>
      </c>
      <c r="M242" s="48">
        <v>5138111</v>
      </c>
      <c r="N242" s="49">
        <v>3968729</v>
      </c>
      <c r="O242" s="49">
        <v>1169382</v>
      </c>
      <c r="P242" s="49">
        <v>0</v>
      </c>
      <c r="Q242" s="50">
        <v>11598.448758465</v>
      </c>
      <c r="R242" s="51">
        <v>938.56179355063603</v>
      </c>
      <c r="S242" s="49">
        <v>598.38673626656202</v>
      </c>
      <c r="T242" s="49">
        <v>139.42895216976601</v>
      </c>
      <c r="U242" s="49">
        <f>IFERROR(INDEX('Rentabilidad datos'!$N$2:$N$61,MATCH($C242,'Rentabilidad datos'!$C$2:$C$61,0)),"")</f>
        <v>1676.3774819869632</v>
      </c>
      <c r="V242" s="50">
        <f>IFERROR(INDEX('Rentabilidad datos'!$O$2:$O$61,MATCH($C242,'Rentabilidad datos'!$C$2:$C$61,0)),"")</f>
        <v>1676.3774819869632</v>
      </c>
      <c r="W242" s="51">
        <f>IFERROR(INDEX('Rentabilidad datos'!$M$2:$M$61,MATCH($C242,'Rentabilidad datos'!$C$2:$C$61,0)),"")</f>
        <v>3597.2918502060097</v>
      </c>
      <c r="X242" s="52">
        <f>IFERROR(INDEX('Rentabilidad datos'!$P$2:$P$61,MATCH($C242,'Rentabilidad datos'!$C$2:$C$61,0)),"")</f>
        <v>0.46601097486459442</v>
      </c>
      <c r="Y242" s="43" t="s">
        <v>151</v>
      </c>
      <c r="Z242" s="53">
        <v>61.216704288939098</v>
      </c>
      <c r="AA242" s="43">
        <v>1</v>
      </c>
      <c r="AB242" s="54">
        <v>1</v>
      </c>
      <c r="AC242" s="55">
        <v>0</v>
      </c>
      <c r="AD242" s="752" t="e">
        <f>_xlfn.XLOOKUP(Table1[[#This Row],[Ruta]],#REF!,#REF!)</f>
        <v>#REF!</v>
      </c>
      <c r="AE242" s="752" t="e">
        <f>_xlfn.XLOOKUP(Table1[[#This Row],[Ruta]],#REF!,#REF!)</f>
        <v>#REF!</v>
      </c>
      <c r="AF242" s="752" t="e">
        <f>_xlfn.XLOOKUP(Table1[[#This Row],[Ruta]],#REF!,#REF!)</f>
        <v>#REF!</v>
      </c>
      <c r="AG242" s="752" t="e">
        <f>_xlfn.XLOOKUP(Table1[[#This Row],[Ruta]],#REF!,#REF!)</f>
        <v>#REF!</v>
      </c>
      <c r="AH242" s="52">
        <v>0.77241013282897153</v>
      </c>
      <c r="AI242" s="52">
        <v>0.22758986717102841</v>
      </c>
      <c r="AJ242" s="55">
        <v>0</v>
      </c>
      <c r="AK242" s="56">
        <v>27119</v>
      </c>
      <c r="AL242" s="44">
        <v>20472</v>
      </c>
      <c r="AM242" s="54">
        <v>0.75489509200191796</v>
      </c>
      <c r="AN242" s="55">
        <v>0.75489509200191796</v>
      </c>
      <c r="AO242" s="56">
        <v>0</v>
      </c>
      <c r="AP242" s="48">
        <v>0</v>
      </c>
      <c r="AQ242" s="55">
        <v>0.75489509200191751</v>
      </c>
      <c r="AR242" s="51">
        <v>5138112.8</v>
      </c>
      <c r="AS242" s="49">
        <v>0</v>
      </c>
      <c r="AT242" s="55">
        <v>0</v>
      </c>
      <c r="AU242" s="51">
        <v>0</v>
      </c>
      <c r="AV242" s="52">
        <v>0</v>
      </c>
      <c r="AW242" s="44">
        <v>490</v>
      </c>
      <c r="AX242" s="51">
        <v>250.98245408362601</v>
      </c>
      <c r="AY242" s="49">
        <v>250.98245408362601</v>
      </c>
      <c r="AZ242" s="49">
        <v>0</v>
      </c>
      <c r="BA242" s="42" t="s">
        <v>152</v>
      </c>
      <c r="BB242" s="50">
        <v>0</v>
      </c>
      <c r="BC242" s="57">
        <v>0</v>
      </c>
      <c r="BD242" s="42" t="s">
        <v>150</v>
      </c>
      <c r="BE242" s="46">
        <v>61.216704288939098</v>
      </c>
      <c r="BF242" s="46">
        <v>72.681922196796293</v>
      </c>
      <c r="BG242" s="42" t="s">
        <v>152</v>
      </c>
      <c r="BH242" s="52">
        <v>0.75489509200191796</v>
      </c>
      <c r="BI242" s="52">
        <v>0.629853079087215</v>
      </c>
      <c r="BJ242" s="42" t="s">
        <v>150</v>
      </c>
      <c r="BK242" s="46">
        <v>692.87735262979504</v>
      </c>
      <c r="BL242" s="46">
        <v>501.572578807779</v>
      </c>
      <c r="BM242" s="42" t="s">
        <v>150</v>
      </c>
      <c r="BN242" s="48">
        <v>2</v>
      </c>
      <c r="BO242" s="42" t="s">
        <v>161</v>
      </c>
      <c r="BP242" s="42" t="s">
        <v>152</v>
      </c>
      <c r="BQ242" s="46">
        <v>0</v>
      </c>
      <c r="BR242" s="46">
        <v>2224</v>
      </c>
      <c r="BS242" s="46">
        <v>62925</v>
      </c>
      <c r="BT242" s="46">
        <v>15174</v>
      </c>
      <c r="BU242" s="46">
        <v>4.1468960063266112</v>
      </c>
      <c r="BV242" s="46">
        <v>6.8228417266187051</v>
      </c>
      <c r="BW242" s="46">
        <v>3</v>
      </c>
      <c r="BX242" s="46">
        <v>57</v>
      </c>
      <c r="BY242" s="46">
        <v>60</v>
      </c>
      <c r="BZ242" s="46">
        <v>3.9541320680110716E-3</v>
      </c>
      <c r="CA242" s="46">
        <v>1.9770660340055361E-4</v>
      </c>
      <c r="CB242" s="46">
        <v>3.7564254646105179E-3</v>
      </c>
      <c r="CC242" s="46">
        <v>1.252141821536839E-3</v>
      </c>
      <c r="CD242" s="46">
        <v>3.097403453275339E-3</v>
      </c>
      <c r="CE242" s="46">
        <v>1.9177540529853696E-2</v>
      </c>
      <c r="CF242" s="46">
        <v>0.9663239752207724</v>
      </c>
      <c r="CG242" s="46">
        <v>3.097403453275339E-3</v>
      </c>
      <c r="CH242" s="46">
        <v>3.097403453275339E-3</v>
      </c>
      <c r="CI242" s="46">
        <v>9.1060786650774723</v>
      </c>
      <c r="CJ242" s="46">
        <v>0.19070321811680571</v>
      </c>
      <c r="CK242">
        <v>282</v>
      </c>
      <c r="CL242">
        <v>306.45</v>
      </c>
      <c r="CM242">
        <f t="shared" si="28"/>
        <v>24.449999999999989</v>
      </c>
      <c r="CN242">
        <v>4.71</v>
      </c>
      <c r="CO242">
        <v>9.4499999999999993</v>
      </c>
      <c r="CP242">
        <f t="shared" si="29"/>
        <v>4.7399999999999993</v>
      </c>
      <c r="CQ242">
        <v>846.56</v>
      </c>
      <c r="CR242">
        <v>692.88</v>
      </c>
      <c r="CS242">
        <f t="shared" si="30"/>
        <v>153.67999999999995</v>
      </c>
      <c r="CT242" t="s">
        <v>152</v>
      </c>
      <c r="CU242">
        <v>81.849999999999994</v>
      </c>
      <c r="CV242">
        <v>2</v>
      </c>
      <c r="CW242" s="46">
        <v>60</v>
      </c>
      <c r="CX242" s="46">
        <f t="shared" si="24"/>
        <v>0.23428232502965599</v>
      </c>
      <c r="CY242" s="46">
        <v>24.45</v>
      </c>
      <c r="CZ242" s="46">
        <f t="shared" si="25"/>
        <v>0.39541320680110714</v>
      </c>
      <c r="DA242" s="46">
        <f t="shared" si="26"/>
        <v>27.367567745395089</v>
      </c>
      <c r="DB242" s="46">
        <v>415944.61</v>
      </c>
      <c r="DC242" s="46">
        <f t="shared" si="27"/>
        <v>1.7402978593211809</v>
      </c>
      <c r="DD242" s="46">
        <v>26449.83</v>
      </c>
      <c r="DE242" s="995">
        <v>60</v>
      </c>
      <c r="DF242" s="995">
        <v>0.24299999999999999</v>
      </c>
      <c r="DG242" s="995">
        <v>23.1</v>
      </c>
      <c r="DH242" s="995">
        <v>0.39500000000000002</v>
      </c>
      <c r="DI242" s="995">
        <v>220.68600000000001</v>
      </c>
      <c r="DJ242" s="995">
        <v>3353787</v>
      </c>
      <c r="DK242" s="995">
        <v>13.243</v>
      </c>
      <c r="DL242" s="995">
        <v>201248.7</v>
      </c>
      <c r="DM242" s="995">
        <v>60</v>
      </c>
      <c r="DN242" s="995">
        <v>0.27</v>
      </c>
      <c r="DO242" s="995">
        <v>19</v>
      </c>
      <c r="DP242" s="995">
        <v>0.39500000000000002</v>
      </c>
      <c r="DQ242" s="995">
        <v>218.548</v>
      </c>
      <c r="DR242" s="995">
        <v>3320407</v>
      </c>
      <c r="DS242" s="995">
        <v>13.106</v>
      </c>
      <c r="DT242" s="995">
        <v>199125.9</v>
      </c>
    </row>
    <row r="243" spans="1:124">
      <c r="A243" s="42" t="s">
        <v>93</v>
      </c>
      <c r="B243" s="42" t="s">
        <v>320</v>
      </c>
      <c r="C243" s="42" t="s">
        <v>440</v>
      </c>
      <c r="D243" s="42" t="s">
        <v>322</v>
      </c>
      <c r="E243" s="42" t="s">
        <v>441</v>
      </c>
      <c r="F243" s="42" t="s">
        <v>324</v>
      </c>
      <c r="G243" s="42" t="s">
        <v>152</v>
      </c>
      <c r="H243" s="43" t="s">
        <v>152</v>
      </c>
      <c r="I243" s="44">
        <v>1</v>
      </c>
      <c r="J243" s="45">
        <v>0</v>
      </c>
      <c r="K243" s="46">
        <v>0</v>
      </c>
      <c r="L243" s="47">
        <v>274.40445</v>
      </c>
      <c r="M243" s="48">
        <v>0</v>
      </c>
      <c r="N243" s="49">
        <v>0</v>
      </c>
      <c r="O243" s="49">
        <v>0</v>
      </c>
      <c r="P243" s="49">
        <v>0</v>
      </c>
      <c r="Q243" s="50">
        <v>0</v>
      </c>
      <c r="R243" s="51" t="s">
        <v>194</v>
      </c>
      <c r="S243" s="49" t="s">
        <v>194</v>
      </c>
      <c r="T243" s="49" t="s">
        <v>194</v>
      </c>
      <c r="U243" s="49" t="str">
        <f>IFERROR(INDEX('Rentabilidad datos'!$N$2:$N$61,MATCH($C243,'Rentabilidad datos'!$C$2:$C$61,0)),"")</f>
        <v/>
      </c>
      <c r="V243" s="50" t="str">
        <f>IFERROR(INDEX('Rentabilidad datos'!$O$2:$O$61,MATCH($C243,'Rentabilidad datos'!$C$2:$C$61,0)),"")</f>
        <v/>
      </c>
      <c r="W243" s="51" t="str">
        <f>IFERROR(INDEX('Rentabilidad datos'!$M$2:$M$61,MATCH($C243,'Rentabilidad datos'!$C$2:$C$61,0)),"")</f>
        <v/>
      </c>
      <c r="X243" s="52" t="str">
        <f>IFERROR(INDEX('Rentabilidad datos'!$P$2:$P$61,MATCH($C243,'Rentabilidad datos'!$C$2:$C$61,0)),"")</f>
        <v/>
      </c>
      <c r="Y243" s="43">
        <v>0</v>
      </c>
      <c r="Z243" s="53">
        <v>0</v>
      </c>
      <c r="AA243" s="43">
        <v>1</v>
      </c>
      <c r="AB243" s="54">
        <v>0</v>
      </c>
      <c r="AC243" s="55">
        <v>0</v>
      </c>
      <c r="AD243" s="752" t="e">
        <f>_xlfn.XLOOKUP(Table1[[#This Row],[Ruta]],#REF!,#REF!)</f>
        <v>#REF!</v>
      </c>
      <c r="AE243" s="752" t="e">
        <f>_xlfn.XLOOKUP(Table1[[#This Row],[Ruta]],#REF!,#REF!)</f>
        <v>#REF!</v>
      </c>
      <c r="AF243" s="752" t="e">
        <f>_xlfn.XLOOKUP(Table1[[#This Row],[Ruta]],#REF!,#REF!)</f>
        <v>#REF!</v>
      </c>
      <c r="AG243" s="752" t="e">
        <f>_xlfn.XLOOKUP(Table1[[#This Row],[Ruta]],#REF!,#REF!)</f>
        <v>#REF!</v>
      </c>
      <c r="AH243" s="52">
        <v>0</v>
      </c>
      <c r="AI243" s="52">
        <v>0</v>
      </c>
      <c r="AJ243" s="55">
        <v>0</v>
      </c>
      <c r="AK243" s="56">
        <v>0</v>
      </c>
      <c r="AL243" s="44">
        <v>21</v>
      </c>
      <c r="AM243" s="54">
        <v>0</v>
      </c>
      <c r="AN243" s="55">
        <v>0</v>
      </c>
      <c r="AO243" s="56">
        <v>0</v>
      </c>
      <c r="AP243" s="48">
        <v>0</v>
      </c>
      <c r="AQ243" s="55" t="s">
        <v>194</v>
      </c>
      <c r="AR243" s="51">
        <v>11249.61</v>
      </c>
      <c r="AS243" s="49">
        <v>0</v>
      </c>
      <c r="AT243" s="55">
        <v>0</v>
      </c>
      <c r="AU243" s="51">
        <v>0</v>
      </c>
      <c r="AV243" s="52">
        <v>0</v>
      </c>
      <c r="AW243" s="44">
        <v>490</v>
      </c>
      <c r="AX243" s="51">
        <v>535.69571428571396</v>
      </c>
      <c r="AY243" s="49">
        <v>0</v>
      </c>
      <c r="AZ243" s="49">
        <v>0</v>
      </c>
      <c r="BA243" s="42" t="s">
        <v>152</v>
      </c>
      <c r="BB243" s="50">
        <v>0</v>
      </c>
      <c r="BC243" s="57">
        <v>0</v>
      </c>
      <c r="BD243" s="42" t="s">
        <v>152</v>
      </c>
      <c r="BE243" s="46" t="s">
        <v>195</v>
      </c>
      <c r="BF243" s="46" t="s">
        <v>195</v>
      </c>
      <c r="BG243" s="42" t="s">
        <v>195</v>
      </c>
      <c r="BH243" s="52" t="s">
        <v>195</v>
      </c>
      <c r="BI243" s="52" t="s">
        <v>195</v>
      </c>
      <c r="BJ243" s="42" t="s">
        <v>195</v>
      </c>
      <c r="BK243" s="46" t="s">
        <v>195</v>
      </c>
      <c r="BL243" s="46" t="s">
        <v>195</v>
      </c>
      <c r="BM243" s="42" t="s">
        <v>195</v>
      </c>
      <c r="BN243" s="48" t="s">
        <v>195</v>
      </c>
      <c r="BO243" s="42" t="s">
        <v>195</v>
      </c>
      <c r="BP243" s="42" t="s">
        <v>152</v>
      </c>
      <c r="BQ243" s="46">
        <v>0</v>
      </c>
      <c r="BR243" s="46" t="e">
        <v>#N/A</v>
      </c>
      <c r="BS243" s="46" t="e">
        <v>#N/A</v>
      </c>
      <c r="BT243" s="46" t="e">
        <v>#N/A</v>
      </c>
      <c r="BU243" s="46" t="e">
        <v>#N/A</v>
      </c>
      <c r="BV243" s="46" t="e">
        <v>#N/A</v>
      </c>
      <c r="BW243" s="46" t="e">
        <v>#N/A</v>
      </c>
      <c r="BX243" s="46" t="e">
        <v>#N/A</v>
      </c>
      <c r="BY243" s="46" t="e">
        <v>#N/A</v>
      </c>
      <c r="BZ243" s="46" t="e">
        <v>#N/A</v>
      </c>
      <c r="CA243" s="46" t="e">
        <v>#N/A</v>
      </c>
      <c r="CB243" s="46" t="e">
        <v>#N/A</v>
      </c>
      <c r="CC243" s="46" t="e">
        <v>#N/A</v>
      </c>
      <c r="CD243" s="46" t="e">
        <v>#N/A</v>
      </c>
      <c r="CE243" s="46" t="e">
        <v>#N/A</v>
      </c>
      <c r="CF243" s="46" t="e">
        <v>#N/A</v>
      </c>
      <c r="CG243" s="46" t="e">
        <v>#N/A</v>
      </c>
      <c r="CH243" s="46" t="e">
        <v>#N/A</v>
      </c>
      <c r="CI243" s="46" t="e">
        <v>#N/A</v>
      </c>
      <c r="CJ243" s="46" t="e">
        <v>#N/A</v>
      </c>
      <c r="CM243">
        <f t="shared" si="28"/>
        <v>0</v>
      </c>
      <c r="CP243">
        <f t="shared" si="29"/>
        <v>0</v>
      </c>
      <c r="CS243">
        <f t="shared" si="30"/>
        <v>0</v>
      </c>
      <c r="CW243" s="46"/>
      <c r="CX243" s="46" t="e">
        <f t="shared" si="24"/>
        <v>#N/A</v>
      </c>
      <c r="CY243" s="46"/>
      <c r="CZ243" s="46" t="e">
        <f t="shared" si="25"/>
        <v>#N/A</v>
      </c>
      <c r="DA243" s="46" t="e">
        <f t="shared" si="26"/>
        <v>#N/A</v>
      </c>
      <c r="DB243" s="46"/>
      <c r="DC243" s="46" t="e">
        <f t="shared" si="27"/>
        <v>#N/A</v>
      </c>
      <c r="DD243" s="46"/>
      <c r="DE243" s="995" t="s">
        <v>194</v>
      </c>
      <c r="DF243" s="995" t="s">
        <v>194</v>
      </c>
      <c r="DG243" s="995" t="s">
        <v>194</v>
      </c>
      <c r="DH243" s="995" t="s">
        <v>194</v>
      </c>
      <c r="DI243" s="995" t="s">
        <v>194</v>
      </c>
      <c r="DJ243" s="995" t="s">
        <v>194</v>
      </c>
      <c r="DK243" s="995" t="s">
        <v>194</v>
      </c>
      <c r="DL243" s="995" t="s">
        <v>194</v>
      </c>
      <c r="DM243" s="995" t="s">
        <v>194</v>
      </c>
      <c r="DN243" s="995" t="s">
        <v>194</v>
      </c>
      <c r="DO243" s="995" t="s">
        <v>194</v>
      </c>
      <c r="DP243" s="995" t="s">
        <v>194</v>
      </c>
      <c r="DQ243" s="995" t="s">
        <v>194</v>
      </c>
      <c r="DR243" s="995" t="s">
        <v>194</v>
      </c>
      <c r="DS243" s="995" t="s">
        <v>194</v>
      </c>
      <c r="DT243" s="995" t="s">
        <v>194</v>
      </c>
    </row>
    <row r="244" spans="1:124">
      <c r="A244" s="42" t="s">
        <v>93</v>
      </c>
      <c r="B244" s="42" t="s">
        <v>320</v>
      </c>
      <c r="C244" s="42" t="s">
        <v>442</v>
      </c>
      <c r="D244" s="42" t="s">
        <v>322</v>
      </c>
      <c r="E244" s="42" t="s">
        <v>443</v>
      </c>
      <c r="F244" s="42" t="s">
        <v>324</v>
      </c>
      <c r="G244" s="42" t="s">
        <v>152</v>
      </c>
      <c r="H244" s="43" t="s">
        <v>152</v>
      </c>
      <c r="I244" s="44">
        <v>1</v>
      </c>
      <c r="J244" s="45">
        <v>0</v>
      </c>
      <c r="K244" s="46">
        <v>0</v>
      </c>
      <c r="L244" s="47">
        <v>3486.0648510000001</v>
      </c>
      <c r="M244" s="48">
        <v>0</v>
      </c>
      <c r="N244" s="49">
        <v>0</v>
      </c>
      <c r="O244" s="49">
        <v>0</v>
      </c>
      <c r="P244" s="49">
        <v>0</v>
      </c>
      <c r="Q244" s="50">
        <v>0</v>
      </c>
      <c r="R244" s="51" t="s">
        <v>194</v>
      </c>
      <c r="S244" s="49" t="s">
        <v>194</v>
      </c>
      <c r="T244" s="49" t="s">
        <v>194</v>
      </c>
      <c r="U244" s="49" t="str">
        <f>IFERROR(INDEX('Rentabilidad datos'!$N$2:$N$61,MATCH($C244,'Rentabilidad datos'!$C$2:$C$61,0)),"")</f>
        <v/>
      </c>
      <c r="V244" s="50" t="str">
        <f>IFERROR(INDEX('Rentabilidad datos'!$O$2:$O$61,MATCH($C244,'Rentabilidad datos'!$C$2:$C$61,0)),"")</f>
        <v/>
      </c>
      <c r="W244" s="51" t="str">
        <f>IFERROR(INDEX('Rentabilidad datos'!$M$2:$M$61,MATCH($C244,'Rentabilidad datos'!$C$2:$C$61,0)),"")</f>
        <v/>
      </c>
      <c r="X244" s="52" t="str">
        <f>IFERROR(INDEX('Rentabilidad datos'!$P$2:$P$61,MATCH($C244,'Rentabilidad datos'!$C$2:$C$61,0)),"")</f>
        <v/>
      </c>
      <c r="Y244" s="43">
        <v>0</v>
      </c>
      <c r="Z244" s="53">
        <v>0</v>
      </c>
      <c r="AA244" s="43">
        <v>1</v>
      </c>
      <c r="AB244" s="54">
        <v>0</v>
      </c>
      <c r="AC244" s="55">
        <v>0</v>
      </c>
      <c r="AD244" s="752" t="e">
        <f>_xlfn.XLOOKUP(Table1[[#This Row],[Ruta]],#REF!,#REF!)</f>
        <v>#REF!</v>
      </c>
      <c r="AE244" s="752" t="e">
        <f>_xlfn.XLOOKUP(Table1[[#This Row],[Ruta]],#REF!,#REF!)</f>
        <v>#REF!</v>
      </c>
      <c r="AF244" s="752" t="e">
        <f>_xlfn.XLOOKUP(Table1[[#This Row],[Ruta]],#REF!,#REF!)</f>
        <v>#REF!</v>
      </c>
      <c r="AG244" s="752" t="e">
        <f>_xlfn.XLOOKUP(Table1[[#This Row],[Ruta]],#REF!,#REF!)</f>
        <v>#REF!</v>
      </c>
      <c r="AH244" s="52">
        <v>0</v>
      </c>
      <c r="AI244" s="52">
        <v>0</v>
      </c>
      <c r="AJ244" s="55">
        <v>0</v>
      </c>
      <c r="AK244" s="56">
        <v>0</v>
      </c>
      <c r="AL244" s="44">
        <v>481</v>
      </c>
      <c r="AM244" s="54">
        <v>0</v>
      </c>
      <c r="AN244" s="55">
        <v>0</v>
      </c>
      <c r="AO244" s="56">
        <v>0</v>
      </c>
      <c r="AP244" s="48">
        <v>0</v>
      </c>
      <c r="AQ244" s="55" t="s">
        <v>194</v>
      </c>
      <c r="AR244" s="51">
        <v>271103.34000000003</v>
      </c>
      <c r="AS244" s="49">
        <v>0</v>
      </c>
      <c r="AT244" s="55">
        <v>0</v>
      </c>
      <c r="AU244" s="51">
        <v>0</v>
      </c>
      <c r="AV244" s="52">
        <v>0</v>
      </c>
      <c r="AW244" s="44">
        <v>490</v>
      </c>
      <c r="AX244" s="51">
        <v>563.62440748440804</v>
      </c>
      <c r="AY244" s="49">
        <v>0</v>
      </c>
      <c r="AZ244" s="49">
        <v>0</v>
      </c>
      <c r="BA244" s="42" t="s">
        <v>152</v>
      </c>
      <c r="BB244" s="50">
        <v>0</v>
      </c>
      <c r="BC244" s="57">
        <v>0</v>
      </c>
      <c r="BD244" s="42" t="s">
        <v>152</v>
      </c>
      <c r="BE244" s="46" t="s">
        <v>195</v>
      </c>
      <c r="BF244" s="46" t="s">
        <v>195</v>
      </c>
      <c r="BG244" s="42" t="s">
        <v>195</v>
      </c>
      <c r="BH244" s="52" t="s">
        <v>195</v>
      </c>
      <c r="BI244" s="52" t="s">
        <v>195</v>
      </c>
      <c r="BJ244" s="42" t="s">
        <v>195</v>
      </c>
      <c r="BK244" s="46" t="s">
        <v>195</v>
      </c>
      <c r="BL244" s="46" t="s">
        <v>195</v>
      </c>
      <c r="BM244" s="42" t="s">
        <v>195</v>
      </c>
      <c r="BN244" s="48" t="s">
        <v>195</v>
      </c>
      <c r="BO244" s="42" t="s">
        <v>195</v>
      </c>
      <c r="BP244" s="42" t="s">
        <v>152</v>
      </c>
      <c r="BQ244" s="46">
        <v>0</v>
      </c>
      <c r="BR244" s="46" t="e">
        <v>#N/A</v>
      </c>
      <c r="BS244" s="46" t="e">
        <v>#N/A</v>
      </c>
      <c r="BT244" s="46" t="e">
        <v>#N/A</v>
      </c>
      <c r="BU244" s="46" t="e">
        <v>#N/A</v>
      </c>
      <c r="BV244" s="46" t="e">
        <v>#N/A</v>
      </c>
      <c r="BW244" s="46" t="e">
        <v>#N/A</v>
      </c>
      <c r="BX244" s="46" t="e">
        <v>#N/A</v>
      </c>
      <c r="BY244" s="46" t="e">
        <v>#N/A</v>
      </c>
      <c r="BZ244" s="46" t="e">
        <v>#N/A</v>
      </c>
      <c r="CA244" s="46" t="e">
        <v>#N/A</v>
      </c>
      <c r="CB244" s="46" t="e">
        <v>#N/A</v>
      </c>
      <c r="CC244" s="46" t="e">
        <v>#N/A</v>
      </c>
      <c r="CD244" s="46" t="e">
        <v>#N/A</v>
      </c>
      <c r="CE244" s="46" t="e">
        <v>#N/A</v>
      </c>
      <c r="CF244" s="46" t="e">
        <v>#N/A</v>
      </c>
      <c r="CG244" s="46" t="e">
        <v>#N/A</v>
      </c>
      <c r="CH244" s="46" t="e">
        <v>#N/A</v>
      </c>
      <c r="CI244" s="46" t="e">
        <v>#N/A</v>
      </c>
      <c r="CJ244" s="46" t="e">
        <v>#N/A</v>
      </c>
      <c r="CM244">
        <f t="shared" si="28"/>
        <v>0</v>
      </c>
      <c r="CP244">
        <f t="shared" si="29"/>
        <v>0</v>
      </c>
      <c r="CS244">
        <f t="shared" si="30"/>
        <v>0</v>
      </c>
      <c r="CW244" s="46"/>
      <c r="CX244" s="46" t="e">
        <f t="shared" si="24"/>
        <v>#N/A</v>
      </c>
      <c r="CY244" s="46"/>
      <c r="CZ244" s="46" t="e">
        <f t="shared" si="25"/>
        <v>#N/A</v>
      </c>
      <c r="DA244" s="46" t="e">
        <f t="shared" si="26"/>
        <v>#N/A</v>
      </c>
      <c r="DB244" s="46"/>
      <c r="DC244" s="46" t="e">
        <f t="shared" si="27"/>
        <v>#N/A</v>
      </c>
      <c r="DD244" s="46"/>
      <c r="DE244" s="995" t="s">
        <v>194</v>
      </c>
      <c r="DF244" s="995" t="s">
        <v>194</v>
      </c>
      <c r="DG244" s="995" t="s">
        <v>194</v>
      </c>
      <c r="DH244" s="995" t="s">
        <v>194</v>
      </c>
      <c r="DI244" s="995" t="s">
        <v>194</v>
      </c>
      <c r="DJ244" s="995" t="s">
        <v>194</v>
      </c>
      <c r="DK244" s="995" t="s">
        <v>194</v>
      </c>
      <c r="DL244" s="995" t="s">
        <v>194</v>
      </c>
      <c r="DM244" s="995" t="s">
        <v>194</v>
      </c>
      <c r="DN244" s="995" t="s">
        <v>194</v>
      </c>
      <c r="DO244" s="995" t="s">
        <v>194</v>
      </c>
      <c r="DP244" s="995" t="s">
        <v>194</v>
      </c>
      <c r="DQ244" s="995" t="s">
        <v>194</v>
      </c>
      <c r="DR244" s="995" t="s">
        <v>194</v>
      </c>
      <c r="DS244" s="995" t="s">
        <v>194</v>
      </c>
      <c r="DT244" s="995" t="s">
        <v>194</v>
      </c>
    </row>
    <row r="245" spans="1:124">
      <c r="A245" s="42" t="s">
        <v>93</v>
      </c>
      <c r="B245" s="42" t="s">
        <v>320</v>
      </c>
      <c r="C245" s="42" t="s">
        <v>444</v>
      </c>
      <c r="D245" s="42" t="s">
        <v>322</v>
      </c>
      <c r="E245" s="42" t="s">
        <v>445</v>
      </c>
      <c r="F245" s="42" t="s">
        <v>324</v>
      </c>
      <c r="G245" s="42" t="s">
        <v>152</v>
      </c>
      <c r="H245" s="43" t="s">
        <v>152</v>
      </c>
      <c r="I245" s="44">
        <v>1</v>
      </c>
      <c r="J245" s="45">
        <v>0</v>
      </c>
      <c r="K245" s="46">
        <v>0</v>
      </c>
      <c r="L245" s="47">
        <v>70.799000000000007</v>
      </c>
      <c r="M245" s="48">
        <v>0</v>
      </c>
      <c r="N245" s="49">
        <v>0</v>
      </c>
      <c r="O245" s="49">
        <v>0</v>
      </c>
      <c r="P245" s="49">
        <v>0</v>
      </c>
      <c r="Q245" s="50">
        <v>0</v>
      </c>
      <c r="R245" s="51" t="s">
        <v>194</v>
      </c>
      <c r="S245" s="49" t="s">
        <v>194</v>
      </c>
      <c r="T245" s="49" t="s">
        <v>194</v>
      </c>
      <c r="U245" s="49" t="str">
        <f>IFERROR(INDEX('Rentabilidad datos'!$N$2:$N$61,MATCH($C245,'Rentabilidad datos'!$C$2:$C$61,0)),"")</f>
        <v/>
      </c>
      <c r="V245" s="50" t="str">
        <f>IFERROR(INDEX('Rentabilidad datos'!$O$2:$O$61,MATCH($C245,'Rentabilidad datos'!$C$2:$C$61,0)),"")</f>
        <v/>
      </c>
      <c r="W245" s="51" t="str">
        <f>IFERROR(INDEX('Rentabilidad datos'!$M$2:$M$61,MATCH($C245,'Rentabilidad datos'!$C$2:$C$61,0)),"")</f>
        <v/>
      </c>
      <c r="X245" s="52" t="str">
        <f>IFERROR(INDEX('Rentabilidad datos'!$P$2:$P$61,MATCH($C245,'Rentabilidad datos'!$C$2:$C$61,0)),"")</f>
        <v/>
      </c>
      <c r="Y245" s="43">
        <v>0</v>
      </c>
      <c r="Z245" s="53">
        <v>0</v>
      </c>
      <c r="AA245" s="43">
        <v>1</v>
      </c>
      <c r="AB245" s="54">
        <v>0</v>
      </c>
      <c r="AC245" s="55">
        <v>0</v>
      </c>
      <c r="AD245" s="752" t="e">
        <f>_xlfn.XLOOKUP(Table1[[#This Row],[Ruta]],#REF!,#REF!)</f>
        <v>#REF!</v>
      </c>
      <c r="AE245" s="752" t="e">
        <f>_xlfn.XLOOKUP(Table1[[#This Row],[Ruta]],#REF!,#REF!)</f>
        <v>#REF!</v>
      </c>
      <c r="AF245" s="752" t="e">
        <f>_xlfn.XLOOKUP(Table1[[#This Row],[Ruta]],#REF!,#REF!)</f>
        <v>#REF!</v>
      </c>
      <c r="AG245" s="752" t="e">
        <f>_xlfn.XLOOKUP(Table1[[#This Row],[Ruta]],#REF!,#REF!)</f>
        <v>#REF!</v>
      </c>
      <c r="AH245" s="52">
        <v>0</v>
      </c>
      <c r="AI245" s="52">
        <v>0</v>
      </c>
      <c r="AJ245" s="55">
        <v>0</v>
      </c>
      <c r="AK245" s="56">
        <v>0</v>
      </c>
      <c r="AL245" s="44">
        <v>4</v>
      </c>
      <c r="AM245" s="54">
        <v>0</v>
      </c>
      <c r="AN245" s="55">
        <v>0</v>
      </c>
      <c r="AO245" s="56">
        <v>0</v>
      </c>
      <c r="AP245" s="48">
        <v>0</v>
      </c>
      <c r="AQ245" s="55" t="s">
        <v>194</v>
      </c>
      <c r="AR245" s="51">
        <v>4979.93</v>
      </c>
      <c r="AS245" s="49">
        <v>0</v>
      </c>
      <c r="AT245" s="55">
        <v>0</v>
      </c>
      <c r="AU245" s="51">
        <v>0</v>
      </c>
      <c r="AV245" s="52">
        <v>0</v>
      </c>
      <c r="AW245" s="44">
        <v>490</v>
      </c>
      <c r="AX245" s="51">
        <v>1244.9825000000001</v>
      </c>
      <c r="AY245" s="49">
        <v>0</v>
      </c>
      <c r="AZ245" s="49">
        <v>0</v>
      </c>
      <c r="BA245" s="42" t="s">
        <v>152</v>
      </c>
      <c r="BB245" s="50">
        <v>0</v>
      </c>
      <c r="BC245" s="57">
        <v>0</v>
      </c>
      <c r="BD245" s="42" t="s">
        <v>152</v>
      </c>
      <c r="BE245" s="46" t="s">
        <v>195</v>
      </c>
      <c r="BF245" s="46" t="s">
        <v>195</v>
      </c>
      <c r="BG245" s="42" t="s">
        <v>195</v>
      </c>
      <c r="BH245" s="52" t="s">
        <v>195</v>
      </c>
      <c r="BI245" s="52" t="s">
        <v>195</v>
      </c>
      <c r="BJ245" s="42" t="s">
        <v>195</v>
      </c>
      <c r="BK245" s="46" t="s">
        <v>195</v>
      </c>
      <c r="BL245" s="46" t="s">
        <v>195</v>
      </c>
      <c r="BM245" s="42" t="s">
        <v>195</v>
      </c>
      <c r="BN245" s="48" t="s">
        <v>195</v>
      </c>
      <c r="BO245" s="42" t="s">
        <v>195</v>
      </c>
      <c r="BP245" s="42" t="s">
        <v>152</v>
      </c>
      <c r="BQ245" s="46">
        <v>0</v>
      </c>
      <c r="BR245" s="46" t="e">
        <v>#N/A</v>
      </c>
      <c r="BS245" s="46" t="e">
        <v>#N/A</v>
      </c>
      <c r="BT245" s="46" t="e">
        <v>#N/A</v>
      </c>
      <c r="BU245" s="46" t="e">
        <v>#N/A</v>
      </c>
      <c r="BV245" s="46" t="e">
        <v>#N/A</v>
      </c>
      <c r="BW245" s="46" t="e">
        <v>#N/A</v>
      </c>
      <c r="BX245" s="46" t="e">
        <v>#N/A</v>
      </c>
      <c r="BY245" s="46" t="e">
        <v>#N/A</v>
      </c>
      <c r="BZ245" s="46" t="e">
        <v>#N/A</v>
      </c>
      <c r="CA245" s="46" t="e">
        <v>#N/A</v>
      </c>
      <c r="CB245" s="46" t="e">
        <v>#N/A</v>
      </c>
      <c r="CC245" s="46" t="e">
        <v>#N/A</v>
      </c>
      <c r="CD245" s="46" t="e">
        <v>#N/A</v>
      </c>
      <c r="CE245" s="46" t="e">
        <v>#N/A</v>
      </c>
      <c r="CF245" s="46" t="e">
        <v>#N/A</v>
      </c>
      <c r="CG245" s="46" t="e">
        <v>#N/A</v>
      </c>
      <c r="CH245" s="46" t="e">
        <v>#N/A</v>
      </c>
      <c r="CI245" s="46" t="e">
        <v>#N/A</v>
      </c>
      <c r="CJ245" s="46" t="e">
        <v>#N/A</v>
      </c>
      <c r="CM245">
        <f t="shared" si="28"/>
        <v>0</v>
      </c>
      <c r="CP245">
        <f t="shared" si="29"/>
        <v>0</v>
      </c>
      <c r="CS245">
        <f t="shared" si="30"/>
        <v>0</v>
      </c>
      <c r="CW245" s="46"/>
      <c r="CX245" s="46" t="e">
        <f t="shared" si="24"/>
        <v>#N/A</v>
      </c>
      <c r="CY245" s="46"/>
      <c r="CZ245" s="46" t="e">
        <f t="shared" si="25"/>
        <v>#N/A</v>
      </c>
      <c r="DA245" s="46" t="e">
        <f t="shared" si="26"/>
        <v>#N/A</v>
      </c>
      <c r="DB245" s="46"/>
      <c r="DC245" s="46" t="e">
        <f t="shared" si="27"/>
        <v>#N/A</v>
      </c>
      <c r="DD245" s="46"/>
      <c r="DE245" s="995" t="s">
        <v>194</v>
      </c>
      <c r="DF245" s="995" t="s">
        <v>194</v>
      </c>
      <c r="DG245" s="995" t="s">
        <v>194</v>
      </c>
      <c r="DH245" s="995" t="s">
        <v>194</v>
      </c>
      <c r="DI245" s="995" t="s">
        <v>194</v>
      </c>
      <c r="DJ245" s="995" t="s">
        <v>194</v>
      </c>
      <c r="DK245" s="995" t="s">
        <v>194</v>
      </c>
      <c r="DL245" s="995" t="s">
        <v>194</v>
      </c>
      <c r="DM245" s="995" t="s">
        <v>194</v>
      </c>
      <c r="DN245" s="995" t="s">
        <v>194</v>
      </c>
      <c r="DO245" s="995" t="s">
        <v>194</v>
      </c>
      <c r="DP245" s="995" t="s">
        <v>194</v>
      </c>
      <c r="DQ245" s="995" t="s">
        <v>194</v>
      </c>
      <c r="DR245" s="995" t="s">
        <v>194</v>
      </c>
      <c r="DS245" s="995" t="s">
        <v>194</v>
      </c>
      <c r="DT245" s="995" t="s">
        <v>194</v>
      </c>
    </row>
    <row r="246" spans="1:124">
      <c r="A246" s="42" t="s">
        <v>94</v>
      </c>
      <c r="B246" s="42" t="s">
        <v>446</v>
      </c>
      <c r="C246" s="42" t="s">
        <v>447</v>
      </c>
      <c r="D246" s="42">
        <v>901340</v>
      </c>
      <c r="E246" s="42" t="s">
        <v>448</v>
      </c>
      <c r="F246" s="42" t="s">
        <v>149</v>
      </c>
      <c r="G246" s="42" t="s">
        <v>150</v>
      </c>
      <c r="H246" s="43" t="s">
        <v>150</v>
      </c>
      <c r="I246" s="44">
        <v>22</v>
      </c>
      <c r="J246" s="45">
        <v>181389.5104</v>
      </c>
      <c r="K246" s="46">
        <v>8554.5052739999992</v>
      </c>
      <c r="L246" s="47">
        <v>189944.01567399999</v>
      </c>
      <c r="M246" s="48">
        <v>3777144</v>
      </c>
      <c r="N246" s="49">
        <v>2658222</v>
      </c>
      <c r="O246" s="49">
        <v>1109212</v>
      </c>
      <c r="P246" s="49">
        <v>9710</v>
      </c>
      <c r="Q246" s="50">
        <v>8660.6075514874101</v>
      </c>
      <c r="R246" s="51">
        <v>5746.8139000759302</v>
      </c>
      <c r="S246" s="49">
        <v>13015.529808507201</v>
      </c>
      <c r="T246" s="49">
        <v>2661.4088152055001</v>
      </c>
      <c r="U246" s="49">
        <f>IFERROR(INDEX('Rentabilidad datos'!$N$2:$N$61,MATCH($C246,'Rentabilidad datos'!$C$2:$C$61,0)),"")</f>
        <v>21423.752523788604</v>
      </c>
      <c r="V246" s="50">
        <f>IFERROR(INDEX('Rentabilidad datos'!$O$2:$O$61,MATCH($C246,'Rentabilidad datos'!$C$2:$C$61,0)),"")</f>
        <v>1127.5659223046634</v>
      </c>
      <c r="W246" s="51">
        <f>IFERROR(INDEX('Rentabilidad datos'!$M$2:$M$61,MATCH($C246,'Rentabilidad datos'!$C$2:$C$61,0)),"")</f>
        <v>2854.7551675604168</v>
      </c>
      <c r="X246" s="52">
        <f>IFERROR(INDEX('Rentabilidad datos'!$P$2:$P$61,MATCH($C246,'Rentabilidad datos'!$C$2:$C$61,0)),"")</f>
        <v>0.39497815263374947</v>
      </c>
      <c r="Y246" s="43" t="s">
        <v>171</v>
      </c>
      <c r="Z246" s="53">
        <v>91.883295194507994</v>
      </c>
      <c r="AA246" s="43">
        <v>1</v>
      </c>
      <c r="AB246" s="54">
        <v>0.91874972201218696</v>
      </c>
      <c r="AC246" s="55">
        <v>8.1250277987813008E-2</v>
      </c>
      <c r="AD246" s="752" t="e">
        <f>_xlfn.XLOOKUP(Table1[[#This Row],[Ruta]],#REF!,#REF!)</f>
        <v>#REF!</v>
      </c>
      <c r="AE246" s="752" t="e">
        <f>_xlfn.XLOOKUP(Table1[[#This Row],[Ruta]],#REF!,#REF!)</f>
        <v>#REF!</v>
      </c>
      <c r="AF246" s="752" t="e">
        <f>_xlfn.XLOOKUP(Table1[[#This Row],[Ruta]],#REF!,#REF!)</f>
        <v>#REF!</v>
      </c>
      <c r="AG246" s="752" t="e">
        <f>_xlfn.XLOOKUP(Table1[[#This Row],[Ruta]],#REF!,#REF!)</f>
        <v>#REF!</v>
      </c>
      <c r="AH246" s="52">
        <v>0.70376506693946539</v>
      </c>
      <c r="AI246" s="52">
        <v>0.29366420766589785</v>
      </c>
      <c r="AJ246" s="55">
        <v>2.5707253946367944E-3</v>
      </c>
      <c r="AK246" s="56">
        <v>40153</v>
      </c>
      <c r="AL246" s="44">
        <v>15401</v>
      </c>
      <c r="AM246" s="54">
        <v>0.38355789106666999</v>
      </c>
      <c r="AN246" s="55">
        <v>0.57187636047017898</v>
      </c>
      <c r="AO246" s="56">
        <v>7561.5515019590803</v>
      </c>
      <c r="AP246" s="48">
        <v>3780.7757509795401</v>
      </c>
      <c r="AQ246" s="55">
        <v>0.47771712576842429</v>
      </c>
      <c r="AR246" s="51">
        <v>3784685.5</v>
      </c>
      <c r="AS246" s="49">
        <v>929098.57564338995</v>
      </c>
      <c r="AT246" s="55">
        <v>0.2454889780520442</v>
      </c>
      <c r="AU246" s="51">
        <v>652880.08018184185</v>
      </c>
      <c r="AV246" s="52">
        <v>2.9700132684981088E-3</v>
      </c>
      <c r="AW246" s="44">
        <v>107</v>
      </c>
      <c r="AX246" s="51">
        <v>245.74284137393701</v>
      </c>
      <c r="AY246" s="49">
        <v>396.99386229061702</v>
      </c>
      <c r="AZ246" s="49">
        <v>151.25102091668001</v>
      </c>
      <c r="BA246" s="42" t="s">
        <v>150</v>
      </c>
      <c r="BB246" s="50">
        <v>818443.80137273693</v>
      </c>
      <c r="BC246" s="57">
        <v>1471323.8815545789</v>
      </c>
      <c r="BD246" s="42" t="s">
        <v>150</v>
      </c>
      <c r="BE246" s="46">
        <v>91.883295194507994</v>
      </c>
      <c r="BF246" s="46">
        <v>55.840687053637701</v>
      </c>
      <c r="BG246" s="42" t="s">
        <v>150</v>
      </c>
      <c r="BH246" s="52">
        <v>0.38355789106666999</v>
      </c>
      <c r="BI246" s="52">
        <v>0.639829102646158</v>
      </c>
      <c r="BJ246" s="42" t="s">
        <v>152</v>
      </c>
      <c r="BK246" s="46">
        <v>434.65449810983898</v>
      </c>
      <c r="BL246" s="46">
        <v>626.21699529020998</v>
      </c>
      <c r="BM246" s="42" t="s">
        <v>152</v>
      </c>
      <c r="BN246" s="48">
        <v>1</v>
      </c>
      <c r="BO246" s="42" t="s">
        <v>155</v>
      </c>
      <c r="BP246" s="42" t="s">
        <v>152</v>
      </c>
      <c r="BQ246" s="46">
        <v>0</v>
      </c>
      <c r="BR246" s="46">
        <v>481</v>
      </c>
      <c r="BS246" s="46">
        <v>22253</v>
      </c>
      <c r="BT246" s="46">
        <v>6488</v>
      </c>
      <c r="BU246" s="46">
        <v>3.4298705302096177</v>
      </c>
      <c r="BV246" s="46">
        <v>13.488565488565488</v>
      </c>
      <c r="BW246" s="46">
        <v>2314</v>
      </c>
      <c r="BX246" s="46">
        <v>3280</v>
      </c>
      <c r="BY246" s="46">
        <v>5594</v>
      </c>
      <c r="BZ246" s="46">
        <v>0.86220715166461159</v>
      </c>
      <c r="CA246" s="46">
        <v>0.35665844636251542</v>
      </c>
      <c r="CB246" s="46">
        <v>0.50554870530209617</v>
      </c>
      <c r="CC246" s="46">
        <v>0.13733045622688039</v>
      </c>
      <c r="CD246" s="46">
        <v>0</v>
      </c>
      <c r="CE246" s="46">
        <v>0</v>
      </c>
      <c r="CF246" s="46">
        <v>4.623921085080148E-4</v>
      </c>
      <c r="CG246" s="46">
        <v>0</v>
      </c>
      <c r="CH246" s="46">
        <v>0</v>
      </c>
      <c r="CI246" s="46">
        <v>2.7861411944456931</v>
      </c>
      <c r="CJ246" s="46">
        <v>0.44937761200736981</v>
      </c>
      <c r="CK246">
        <v>410</v>
      </c>
      <c r="CL246">
        <v>469.08</v>
      </c>
      <c r="CM246">
        <f t="shared" si="28"/>
        <v>59.079999999999984</v>
      </c>
      <c r="CN246">
        <v>14.64</v>
      </c>
      <c r="CO246">
        <v>9.4499999999999993</v>
      </c>
      <c r="CP246">
        <f t="shared" si="29"/>
        <v>-5.1900000000000013</v>
      </c>
      <c r="CQ246">
        <v>846.56</v>
      </c>
      <c r="CR246">
        <v>434.65</v>
      </c>
      <c r="CS246">
        <f t="shared" si="30"/>
        <v>411.90999999999997</v>
      </c>
      <c r="CT246" t="s">
        <v>150</v>
      </c>
      <c r="CU246">
        <v>154.93</v>
      </c>
      <c r="CV246">
        <v>353</v>
      </c>
      <c r="CW246" s="46">
        <v>5594</v>
      </c>
      <c r="CX246" s="46">
        <f t="shared" si="24"/>
        <v>85.310110974106053</v>
      </c>
      <c r="CY246" s="46">
        <v>59.08</v>
      </c>
      <c r="CZ246" s="46">
        <f t="shared" si="25"/>
        <v>86.220715166461162</v>
      </c>
      <c r="DA246" s="46">
        <f t="shared" si="26"/>
        <v>516.3735940297048</v>
      </c>
      <c r="DB246" s="46">
        <v>3380739.23</v>
      </c>
      <c r="DC246" s="46">
        <f t="shared" si="27"/>
        <v>26.168653812081111</v>
      </c>
      <c r="DD246" s="46">
        <v>171328.27</v>
      </c>
      <c r="DE246" s="995">
        <v>5594</v>
      </c>
      <c r="DF246" s="995">
        <v>85.31</v>
      </c>
      <c r="DG246" s="995">
        <v>59.1</v>
      </c>
      <c r="DH246" s="995">
        <v>86.221000000000004</v>
      </c>
      <c r="DI246" s="995">
        <v>902.64099999999996</v>
      </c>
      <c r="DJ246" s="995">
        <v>5909666</v>
      </c>
      <c r="DK246" s="995">
        <v>45.563000000000002</v>
      </c>
      <c r="DL246" s="995">
        <v>298306</v>
      </c>
      <c r="DM246" s="995">
        <v>5594</v>
      </c>
      <c r="DN246" s="995">
        <v>85.31</v>
      </c>
      <c r="DO246" s="995">
        <v>59.1</v>
      </c>
      <c r="DP246" s="995">
        <v>86.221000000000004</v>
      </c>
      <c r="DQ246" s="995">
        <v>902.64099999999996</v>
      </c>
      <c r="DR246" s="995">
        <v>5909666</v>
      </c>
      <c r="DS246" s="995">
        <v>45.563000000000002</v>
      </c>
      <c r="DT246" s="995">
        <v>298306</v>
      </c>
    </row>
    <row r="247" spans="1:124">
      <c r="A247" s="42" t="s">
        <v>94</v>
      </c>
      <c r="B247" s="42" t="s">
        <v>446</v>
      </c>
      <c r="C247" s="42" t="s">
        <v>447</v>
      </c>
      <c r="D247" s="42">
        <v>901341</v>
      </c>
      <c r="E247" s="42" t="s">
        <v>449</v>
      </c>
      <c r="F247" s="42" t="s">
        <v>149</v>
      </c>
      <c r="G247" s="42" t="s">
        <v>150</v>
      </c>
      <c r="H247" s="43" t="s">
        <v>150</v>
      </c>
      <c r="I247" s="44">
        <v>22</v>
      </c>
      <c r="J247" s="45">
        <v>270435.78240000003</v>
      </c>
      <c r="K247" s="46">
        <v>11867.937325000001</v>
      </c>
      <c r="L247" s="47">
        <v>282303.71972499997</v>
      </c>
      <c r="M247" s="48">
        <v>5671533</v>
      </c>
      <c r="N247" s="49">
        <v>4019174</v>
      </c>
      <c r="O247" s="49">
        <v>1641984</v>
      </c>
      <c r="P247" s="49">
        <v>10375</v>
      </c>
      <c r="Q247" s="50">
        <v>12925.007716894999</v>
      </c>
      <c r="R247" s="51">
        <v>5746.8139000759302</v>
      </c>
      <c r="S247" s="49">
        <v>13015.529808507201</v>
      </c>
      <c r="T247" s="49">
        <v>2661.4088152055001</v>
      </c>
      <c r="U247" s="49">
        <f>IFERROR(INDEX('Rentabilidad datos'!$N$2:$N$61,MATCH($C247,'Rentabilidad datos'!$C$2:$C$61,0)),"")</f>
        <v>21423.752523788604</v>
      </c>
      <c r="V247" s="50">
        <f>IFERROR(INDEX('Rentabilidad datos'!$O$2:$O$61,MATCH($C247,'Rentabilidad datos'!$C$2:$C$61,0)),"")</f>
        <v>1127.5659223046634</v>
      </c>
      <c r="W247" s="51">
        <f>IFERROR(INDEX('Rentabilidad datos'!$M$2:$M$61,MATCH($C247,'Rentabilidad datos'!$C$2:$C$61,0)),"")</f>
        <v>2854.7551675604168</v>
      </c>
      <c r="X247" s="52">
        <f>IFERROR(INDEX('Rentabilidad datos'!$P$2:$P$61,MATCH($C247,'Rentabilidad datos'!$C$2:$C$61,0)),"")</f>
        <v>0.39497815263374947</v>
      </c>
      <c r="Y247" s="43" t="s">
        <v>171</v>
      </c>
      <c r="Z247" s="53">
        <v>62.3196347031964</v>
      </c>
      <c r="AA247" s="43">
        <v>1</v>
      </c>
      <c r="AB247" s="54">
        <v>0.9386324649790454</v>
      </c>
      <c r="AC247" s="55">
        <v>6.1367535020954649E-2</v>
      </c>
      <c r="AD247" s="752" t="e">
        <f>_xlfn.XLOOKUP(Table1[[#This Row],[Ruta]],#REF!,#REF!)</f>
        <v>#REF!</v>
      </c>
      <c r="AE247" s="752" t="e">
        <f>_xlfn.XLOOKUP(Table1[[#This Row],[Ruta]],#REF!,#REF!)</f>
        <v>#REF!</v>
      </c>
      <c r="AF247" s="752" t="e">
        <f>_xlfn.XLOOKUP(Table1[[#This Row],[Ruta]],#REF!,#REF!)</f>
        <v>#REF!</v>
      </c>
      <c r="AG247" s="752" t="e">
        <f>_xlfn.XLOOKUP(Table1[[#This Row],[Ruta]],#REF!,#REF!)</f>
        <v>#REF!</v>
      </c>
      <c r="AH247" s="52">
        <v>0.7086574300105456</v>
      </c>
      <c r="AI247" s="52">
        <v>0.28951325858458377</v>
      </c>
      <c r="AJ247" s="55">
        <v>1.8293114048706055E-3</v>
      </c>
      <c r="AK247" s="56">
        <v>27296</v>
      </c>
      <c r="AL247" s="44">
        <v>17433</v>
      </c>
      <c r="AM247" s="54">
        <v>0.63866500586166497</v>
      </c>
      <c r="AN247" s="55">
        <v>0.57187636047017898</v>
      </c>
      <c r="AO247" s="56">
        <v>0</v>
      </c>
      <c r="AP247" s="48">
        <v>0</v>
      </c>
      <c r="AQ247" s="55">
        <v>0.63866500586166475</v>
      </c>
      <c r="AR247" s="51">
        <v>5661153.3799999999</v>
      </c>
      <c r="AS247" s="49">
        <v>0</v>
      </c>
      <c r="AT247" s="55">
        <v>0</v>
      </c>
      <c r="AU247" s="51">
        <v>0</v>
      </c>
      <c r="AV247" s="52">
        <v>0</v>
      </c>
      <c r="AW247" s="44">
        <v>490</v>
      </c>
      <c r="AX247" s="51">
        <v>324.73776056903603</v>
      </c>
      <c r="AY247" s="49">
        <v>396.99386229061702</v>
      </c>
      <c r="AZ247" s="49">
        <v>72.25610172158099</v>
      </c>
      <c r="BA247" s="42" t="s">
        <v>150</v>
      </c>
      <c r="BB247" s="50">
        <v>442576.43451514014</v>
      </c>
      <c r="BC247" s="57">
        <v>442576.43451514014</v>
      </c>
      <c r="BD247" s="42" t="s">
        <v>150</v>
      </c>
      <c r="BE247" s="46">
        <v>62.3196347031964</v>
      </c>
      <c r="BF247" s="46">
        <v>55.840687053637701</v>
      </c>
      <c r="BG247" s="42" t="s">
        <v>150</v>
      </c>
      <c r="BH247" s="52">
        <v>0.63866500586166497</v>
      </c>
      <c r="BI247" s="52">
        <v>0.639829102646158</v>
      </c>
      <c r="BJ247" s="42" t="s">
        <v>152</v>
      </c>
      <c r="BK247" s="46">
        <v>644.52904046803599</v>
      </c>
      <c r="BL247" s="46">
        <v>626.21699529020998</v>
      </c>
      <c r="BM247" s="42" t="s">
        <v>150</v>
      </c>
      <c r="BN247" s="48">
        <v>2</v>
      </c>
      <c r="BO247" s="42" t="s">
        <v>161</v>
      </c>
      <c r="BP247" s="42" t="s">
        <v>152</v>
      </c>
      <c r="BQ247" s="46">
        <v>0</v>
      </c>
      <c r="BR247" s="46">
        <v>336</v>
      </c>
      <c r="BS247" s="46">
        <v>14681</v>
      </c>
      <c r="BT247" s="46">
        <v>4641</v>
      </c>
      <c r="BU247" s="46">
        <v>3.163326869209222</v>
      </c>
      <c r="BV247" s="46">
        <v>13.8125</v>
      </c>
      <c r="BW247" s="46">
        <v>2529</v>
      </c>
      <c r="BX247" s="46">
        <v>2106</v>
      </c>
      <c r="BY247" s="46">
        <v>4635</v>
      </c>
      <c r="BZ247" s="46">
        <v>0.99870717517776342</v>
      </c>
      <c r="CA247" s="46">
        <v>0.54492566257272135</v>
      </c>
      <c r="CB247" s="46">
        <v>0.45378151260504201</v>
      </c>
      <c r="CC247" s="46">
        <v>0</v>
      </c>
      <c r="CD247" s="46">
        <v>0</v>
      </c>
      <c r="CE247" s="46">
        <v>0</v>
      </c>
      <c r="CF247" s="46">
        <v>1.2928248222365869E-3</v>
      </c>
      <c r="CG247" s="46">
        <v>0</v>
      </c>
      <c r="CH247" s="46">
        <v>0</v>
      </c>
      <c r="CI247" s="46">
        <v>0.34057625502349981</v>
      </c>
      <c r="CJ247" s="46">
        <v>0.20434575301409991</v>
      </c>
      <c r="CK247">
        <v>371</v>
      </c>
      <c r="CL247">
        <v>388.58</v>
      </c>
      <c r="CM247">
        <f t="shared" si="28"/>
        <v>17.579999999999984</v>
      </c>
      <c r="CN247">
        <v>15.25</v>
      </c>
      <c r="CO247">
        <v>9.4499999999999993</v>
      </c>
      <c r="CP247">
        <f t="shared" si="29"/>
        <v>-5.8000000000000007</v>
      </c>
      <c r="CQ247">
        <v>846.56</v>
      </c>
      <c r="CR247">
        <v>644.53</v>
      </c>
      <c r="CS247">
        <f t="shared" si="30"/>
        <v>202.02999999999997</v>
      </c>
      <c r="CT247" t="s">
        <v>150</v>
      </c>
      <c r="CU247">
        <v>161.41</v>
      </c>
      <c r="CV247">
        <v>329</v>
      </c>
      <c r="CW247" s="46">
        <v>4635</v>
      </c>
      <c r="CX247" s="46">
        <f t="shared" si="24"/>
        <v>99.491919844861016</v>
      </c>
      <c r="CY247" s="46">
        <v>17.579999999999998</v>
      </c>
      <c r="CZ247" s="46">
        <f t="shared" si="25"/>
        <v>99.870717517776342</v>
      </c>
      <c r="DA247" s="46">
        <f t="shared" si="26"/>
        <v>267.45557444543186</v>
      </c>
      <c r="DB247" s="46">
        <v>1245963.19</v>
      </c>
      <c r="DC247" s="46">
        <f t="shared" si="27"/>
        <v>14.143028562351617</v>
      </c>
      <c r="DD247" s="46">
        <v>65886.429999999993</v>
      </c>
      <c r="DE247" s="995">
        <v>4635</v>
      </c>
      <c r="DF247" s="995">
        <v>99.513000000000005</v>
      </c>
      <c r="DG247" s="995">
        <v>16.600000000000001</v>
      </c>
      <c r="DH247" s="995">
        <v>99.870999999999995</v>
      </c>
      <c r="DI247" s="995">
        <v>1039.913</v>
      </c>
      <c r="DJ247" s="995">
        <v>4843501</v>
      </c>
      <c r="DK247" s="995">
        <v>54.847999999999999</v>
      </c>
      <c r="DL247" s="995">
        <v>255461.3</v>
      </c>
      <c r="DM247" s="995">
        <v>4635</v>
      </c>
      <c r="DN247" s="995">
        <v>99.575999999999993</v>
      </c>
      <c r="DO247" s="995">
        <v>13.7</v>
      </c>
      <c r="DP247" s="995">
        <v>99.870999999999995</v>
      </c>
      <c r="DQ247" s="995">
        <v>1034.5809999999999</v>
      </c>
      <c r="DR247" s="995">
        <v>4815638</v>
      </c>
      <c r="DS247" s="995">
        <v>54.57</v>
      </c>
      <c r="DT247" s="995">
        <v>254007.3</v>
      </c>
    </row>
    <row r="248" spans="1:124">
      <c r="A248" s="42" t="s">
        <v>94</v>
      </c>
      <c r="B248" s="42" t="s">
        <v>446</v>
      </c>
      <c r="C248" s="42" t="s">
        <v>447</v>
      </c>
      <c r="D248" s="42">
        <v>901342</v>
      </c>
      <c r="E248" s="42" t="s">
        <v>450</v>
      </c>
      <c r="F248" s="42" t="s">
        <v>149</v>
      </c>
      <c r="G248" s="42" t="s">
        <v>150</v>
      </c>
      <c r="H248" s="43" t="s">
        <v>150</v>
      </c>
      <c r="I248" s="44">
        <v>22</v>
      </c>
      <c r="J248" s="45">
        <v>230689.0208</v>
      </c>
      <c r="K248" s="46">
        <v>13916.453675000001</v>
      </c>
      <c r="L248" s="47">
        <v>244605.474475</v>
      </c>
      <c r="M248" s="48">
        <v>5427674</v>
      </c>
      <c r="N248" s="49">
        <v>3491435</v>
      </c>
      <c r="O248" s="49">
        <v>1923384</v>
      </c>
      <c r="P248" s="49">
        <v>12855</v>
      </c>
      <c r="Q248" s="50">
        <v>12102.214233409601</v>
      </c>
      <c r="R248" s="51">
        <v>5746.8139000759302</v>
      </c>
      <c r="S248" s="49">
        <v>13015.529808507201</v>
      </c>
      <c r="T248" s="49">
        <v>2661.4088152055001</v>
      </c>
      <c r="U248" s="49">
        <f>IFERROR(INDEX('Rentabilidad datos'!$N$2:$N$61,MATCH($C248,'Rentabilidad datos'!$C$2:$C$61,0)),"")</f>
        <v>21423.752523788604</v>
      </c>
      <c r="V248" s="50">
        <f>IFERROR(INDEX('Rentabilidad datos'!$O$2:$O$61,MATCH($C248,'Rentabilidad datos'!$C$2:$C$61,0)),"")</f>
        <v>1127.5659223046634</v>
      </c>
      <c r="W248" s="51">
        <f>IFERROR(INDEX('Rentabilidad datos'!$M$2:$M$61,MATCH($C248,'Rentabilidad datos'!$C$2:$C$61,0)),"")</f>
        <v>2854.7551675604168</v>
      </c>
      <c r="X248" s="52">
        <f>IFERROR(INDEX('Rentabilidad datos'!$P$2:$P$61,MATCH($C248,'Rentabilidad datos'!$C$2:$C$61,0)),"")</f>
        <v>0.39497815263374947</v>
      </c>
      <c r="Y248" s="43" t="s">
        <v>171</v>
      </c>
      <c r="Z248" s="53">
        <v>48.601830663615601</v>
      </c>
      <c r="AA248" s="43">
        <v>1</v>
      </c>
      <c r="AB248" s="54">
        <v>0.9711627853846786</v>
      </c>
      <c r="AC248" s="55">
        <v>2.8837214615321405E-2</v>
      </c>
      <c r="AD248" s="752" t="e">
        <f>_xlfn.XLOOKUP(Table1[[#This Row],[Ruta]],#REF!,#REF!)</f>
        <v>#REF!</v>
      </c>
      <c r="AE248" s="752" t="e">
        <f>_xlfn.XLOOKUP(Table1[[#This Row],[Ruta]],#REF!,#REF!)</f>
        <v>#REF!</v>
      </c>
      <c r="AF248" s="752" t="e">
        <f>_xlfn.XLOOKUP(Table1[[#This Row],[Ruta]],#REF!,#REF!)</f>
        <v>#REF!</v>
      </c>
      <c r="AG248" s="752" t="e">
        <f>_xlfn.XLOOKUP(Table1[[#This Row],[Ruta]],#REF!,#REF!)</f>
        <v>#REF!</v>
      </c>
      <c r="AH248" s="52">
        <v>0.643265420878262</v>
      </c>
      <c r="AI248" s="52">
        <v>0.35436616126908138</v>
      </c>
      <c r="AJ248" s="55">
        <v>2.3684178526565893E-3</v>
      </c>
      <c r="AK248" s="56">
        <v>21239</v>
      </c>
      <c r="AL248" s="44">
        <v>18420</v>
      </c>
      <c r="AM248" s="54">
        <v>0.86727247045529499</v>
      </c>
      <c r="AN248" s="55">
        <v>0.57187636047017898</v>
      </c>
      <c r="AO248" s="56">
        <v>0</v>
      </c>
      <c r="AP248" s="48">
        <v>0</v>
      </c>
      <c r="AQ248" s="55">
        <v>0.86727247045529454</v>
      </c>
      <c r="AR248" s="51">
        <v>5288667.62</v>
      </c>
      <c r="AS248" s="49">
        <v>0</v>
      </c>
      <c r="AT248" s="55">
        <v>0</v>
      </c>
      <c r="AU248" s="51">
        <v>0</v>
      </c>
      <c r="AV248" s="52">
        <v>0</v>
      </c>
      <c r="AW248" s="44">
        <v>490</v>
      </c>
      <c r="AX248" s="51">
        <v>287.11550597177001</v>
      </c>
      <c r="AY248" s="49">
        <v>396.99386229061702</v>
      </c>
      <c r="AZ248" s="49">
        <v>109.87835631884701</v>
      </c>
      <c r="BA248" s="42" t="s">
        <v>150</v>
      </c>
      <c r="BB248" s="50">
        <v>711120.84335435438</v>
      </c>
      <c r="BC248" s="57">
        <v>711120.84335435438</v>
      </c>
      <c r="BD248" s="42" t="s">
        <v>150</v>
      </c>
      <c r="BE248" s="46">
        <v>48.601830663615601</v>
      </c>
      <c r="BF248" s="46">
        <v>55.840687053637701</v>
      </c>
      <c r="BG248" s="42" t="s">
        <v>152</v>
      </c>
      <c r="BH248" s="52">
        <v>0.86727247045529499</v>
      </c>
      <c r="BI248" s="52">
        <v>0.639829102646158</v>
      </c>
      <c r="BJ248" s="42" t="s">
        <v>150</v>
      </c>
      <c r="BK248" s="46">
        <v>559.73792786041201</v>
      </c>
      <c r="BL248" s="46">
        <v>626.21699529020998</v>
      </c>
      <c r="BM248" s="42" t="s">
        <v>152</v>
      </c>
      <c r="BN248" s="48">
        <v>1</v>
      </c>
      <c r="BO248" s="42" t="s">
        <v>155</v>
      </c>
      <c r="BP248" s="42" t="s">
        <v>152</v>
      </c>
      <c r="BQ248" s="46">
        <v>0</v>
      </c>
      <c r="BR248" s="46">
        <v>144</v>
      </c>
      <c r="BS248" s="46">
        <v>7179</v>
      </c>
      <c r="BT248" s="46">
        <v>2388</v>
      </c>
      <c r="BU248" s="46">
        <v>3.0062814070351758</v>
      </c>
      <c r="BV248" s="46">
        <v>16.583333333333332</v>
      </c>
      <c r="BW248" s="46">
        <v>1785</v>
      </c>
      <c r="BX248" s="46">
        <v>603</v>
      </c>
      <c r="BY248" s="46">
        <v>2388</v>
      </c>
      <c r="BZ248" s="46">
        <v>1</v>
      </c>
      <c r="CA248" s="46">
        <v>0.74748743718592969</v>
      </c>
      <c r="CB248" s="46">
        <v>0.25251256281407042</v>
      </c>
      <c r="CC248" s="46">
        <v>0</v>
      </c>
      <c r="CD248" s="46">
        <v>0</v>
      </c>
      <c r="CE248" s="46">
        <v>0</v>
      </c>
      <c r="CF248" s="46">
        <v>0</v>
      </c>
      <c r="CG248" s="46">
        <v>0</v>
      </c>
      <c r="CH248" s="46">
        <v>0</v>
      </c>
      <c r="CI248" s="46">
        <v>1.6715419974926871</v>
      </c>
      <c r="CJ248" s="46">
        <v>0.69647583228861953</v>
      </c>
      <c r="CK248">
        <v>281</v>
      </c>
      <c r="CL248">
        <v>325.83</v>
      </c>
      <c r="CM248">
        <f t="shared" si="28"/>
        <v>44.829999999999984</v>
      </c>
      <c r="CN248">
        <v>8.66</v>
      </c>
      <c r="CO248">
        <v>9.4499999999999993</v>
      </c>
      <c r="CP248">
        <f t="shared" si="29"/>
        <v>0.78999999999999915</v>
      </c>
      <c r="CQ248">
        <v>846.56</v>
      </c>
      <c r="CR248">
        <v>559.74</v>
      </c>
      <c r="CS248">
        <f t="shared" si="30"/>
        <v>286.81999999999994</v>
      </c>
      <c r="CT248" t="s">
        <v>152</v>
      </c>
      <c r="CU248">
        <v>98.8</v>
      </c>
      <c r="CV248">
        <v>284</v>
      </c>
      <c r="CW248" s="46">
        <v>2388</v>
      </c>
      <c r="CX248" s="46">
        <f t="shared" si="24"/>
        <v>98.122696817420447</v>
      </c>
      <c r="CY248" s="46">
        <v>44.83</v>
      </c>
      <c r="CZ248" s="46">
        <f t="shared" si="25"/>
        <v>100</v>
      </c>
      <c r="DA248" s="46">
        <f t="shared" si="26"/>
        <v>702.87807614999826</v>
      </c>
      <c r="DB248" s="46">
        <v>1709982.87</v>
      </c>
      <c r="DC248" s="46">
        <f t="shared" si="27"/>
        <v>30.682920713736678</v>
      </c>
      <c r="DD248" s="46">
        <v>74646.33</v>
      </c>
      <c r="DE248" s="995">
        <v>2388</v>
      </c>
      <c r="DF248" s="995">
        <v>98.227000000000004</v>
      </c>
      <c r="DG248" s="995">
        <v>42.3</v>
      </c>
      <c r="DH248" s="995">
        <v>100</v>
      </c>
      <c r="DI248" s="995">
        <v>1987.885</v>
      </c>
      <c r="DJ248" s="995">
        <v>4831233</v>
      </c>
      <c r="DK248" s="995">
        <v>85.893000000000001</v>
      </c>
      <c r="DL248" s="995">
        <v>208749.7</v>
      </c>
      <c r="DM248" s="995">
        <v>2388</v>
      </c>
      <c r="DN248" s="995">
        <v>98.54</v>
      </c>
      <c r="DO248" s="995">
        <v>34.9</v>
      </c>
      <c r="DP248" s="995">
        <v>100</v>
      </c>
      <c r="DQ248" s="995">
        <v>1959.7729999999999</v>
      </c>
      <c r="DR248" s="995">
        <v>4748268</v>
      </c>
      <c r="DS248" s="995">
        <v>84.628</v>
      </c>
      <c r="DT248" s="995">
        <v>205042.3</v>
      </c>
    </row>
    <row r="249" spans="1:124">
      <c r="A249" s="42" t="s">
        <v>94</v>
      </c>
      <c r="B249" s="42" t="s">
        <v>446</v>
      </c>
      <c r="C249" s="42" t="s">
        <v>447</v>
      </c>
      <c r="D249" s="42">
        <v>901343</v>
      </c>
      <c r="E249" s="42" t="s">
        <v>451</v>
      </c>
      <c r="F249" s="42" t="s">
        <v>149</v>
      </c>
      <c r="G249" s="42" t="s">
        <v>150</v>
      </c>
      <c r="H249" s="43" t="s">
        <v>150</v>
      </c>
      <c r="I249" s="44">
        <v>22</v>
      </c>
      <c r="J249" s="45">
        <v>272842.42697600002</v>
      </c>
      <c r="K249" s="46">
        <v>19346.158800000001</v>
      </c>
      <c r="L249" s="47">
        <v>292188.58577599999</v>
      </c>
      <c r="M249" s="48">
        <v>6448403</v>
      </c>
      <c r="N249" s="49">
        <v>4053912</v>
      </c>
      <c r="O249" s="49">
        <v>2368425</v>
      </c>
      <c r="P249" s="49">
        <v>26066</v>
      </c>
      <c r="Q249" s="50">
        <v>14538.964584269699</v>
      </c>
      <c r="R249" s="51">
        <v>5746.8139000759302</v>
      </c>
      <c r="S249" s="49">
        <v>13015.529808507201</v>
      </c>
      <c r="T249" s="49">
        <v>2661.4088152055001</v>
      </c>
      <c r="U249" s="49">
        <f>IFERROR(INDEX('Rentabilidad datos'!$N$2:$N$61,MATCH($C249,'Rentabilidad datos'!$C$2:$C$61,0)),"")</f>
        <v>21423.752523788604</v>
      </c>
      <c r="V249" s="50">
        <f>IFERROR(INDEX('Rentabilidad datos'!$O$2:$O$61,MATCH($C249,'Rentabilidad datos'!$C$2:$C$61,0)),"")</f>
        <v>1127.5659223046634</v>
      </c>
      <c r="W249" s="51">
        <f>IFERROR(INDEX('Rentabilidad datos'!$M$2:$M$61,MATCH($C249,'Rentabilidad datos'!$C$2:$C$61,0)),"")</f>
        <v>2854.7551675604168</v>
      </c>
      <c r="X249" s="52">
        <f>IFERROR(INDEX('Rentabilidad datos'!$P$2:$P$61,MATCH($C249,'Rentabilidad datos'!$C$2:$C$61,0)),"")</f>
        <v>0.39497815263374947</v>
      </c>
      <c r="Y249" s="43" t="s">
        <v>171</v>
      </c>
      <c r="Z249" s="53">
        <v>41.676404494381998</v>
      </c>
      <c r="AA249" s="43">
        <v>1</v>
      </c>
      <c r="AB249" s="54">
        <v>0.92751879806519533</v>
      </c>
      <c r="AC249" s="55">
        <v>7.2481201934804632E-2</v>
      </c>
      <c r="AD249" s="752" t="e">
        <f>_xlfn.XLOOKUP(Table1[[#This Row],[Ruta]],#REF!,#REF!)</f>
        <v>#REF!</v>
      </c>
      <c r="AE249" s="752" t="e">
        <f>_xlfn.XLOOKUP(Table1[[#This Row],[Ruta]],#REF!,#REF!)</f>
        <v>#REF!</v>
      </c>
      <c r="AF249" s="752" t="e">
        <f>_xlfn.XLOOKUP(Table1[[#This Row],[Ruta]],#REF!,#REF!)</f>
        <v>#REF!</v>
      </c>
      <c r="AG249" s="752" t="e">
        <f>_xlfn.XLOOKUP(Table1[[#This Row],[Ruta]],#REF!,#REF!)</f>
        <v>#REF!</v>
      </c>
      <c r="AH249" s="52">
        <v>0.62866914490300929</v>
      </c>
      <c r="AI249" s="52">
        <v>0.36728861394053691</v>
      </c>
      <c r="AJ249" s="55">
        <v>4.0422411564537764E-3</v>
      </c>
      <c r="AK249" s="56">
        <v>18546</v>
      </c>
      <c r="AL249" s="44">
        <v>15265</v>
      </c>
      <c r="AM249" s="54">
        <v>0.82308853661166803</v>
      </c>
      <c r="AN249" s="55">
        <v>0.57187636047017898</v>
      </c>
      <c r="AO249" s="56">
        <v>0</v>
      </c>
      <c r="AP249" s="48">
        <v>0</v>
      </c>
      <c r="AQ249" s="55">
        <v>0.82308853661166825</v>
      </c>
      <c r="AR249" s="51">
        <v>6469839.2400000002</v>
      </c>
      <c r="AS249" s="49">
        <v>0</v>
      </c>
      <c r="AT249" s="55">
        <v>0</v>
      </c>
      <c r="AU249" s="51">
        <v>0</v>
      </c>
      <c r="AV249" s="52">
        <v>0</v>
      </c>
      <c r="AW249" s="44">
        <v>490</v>
      </c>
      <c r="AX249" s="51">
        <v>423.83486668850298</v>
      </c>
      <c r="AY249" s="49">
        <v>396.99386229061702</v>
      </c>
      <c r="AZ249" s="49">
        <v>0</v>
      </c>
      <c r="BA249" s="42" t="s">
        <v>152</v>
      </c>
      <c r="BB249" s="50">
        <v>0</v>
      </c>
      <c r="BC249" s="57">
        <v>0</v>
      </c>
      <c r="BD249" s="42" t="s">
        <v>150</v>
      </c>
      <c r="BE249" s="46">
        <v>41.676404494381998</v>
      </c>
      <c r="BF249" s="46">
        <v>55.840687053637701</v>
      </c>
      <c r="BG249" s="42" t="s">
        <v>152</v>
      </c>
      <c r="BH249" s="52">
        <v>0.82308853661166803</v>
      </c>
      <c r="BI249" s="52">
        <v>0.639829102646158</v>
      </c>
      <c r="BJ249" s="42" t="s">
        <v>150</v>
      </c>
      <c r="BK249" s="46">
        <v>656.60356354157295</v>
      </c>
      <c r="BL249" s="46">
        <v>626.21699529020998</v>
      </c>
      <c r="BM249" s="42" t="s">
        <v>150</v>
      </c>
      <c r="BN249" s="48">
        <v>2</v>
      </c>
      <c r="BO249" s="42" t="s">
        <v>161</v>
      </c>
      <c r="BP249" s="42" t="s">
        <v>152</v>
      </c>
      <c r="BQ249" s="46">
        <v>4337.12359495275</v>
      </c>
      <c r="BR249" s="46">
        <v>398</v>
      </c>
      <c r="BS249" s="46">
        <v>28931</v>
      </c>
      <c r="BT249" s="46">
        <v>9125</v>
      </c>
      <c r="BU249" s="46">
        <v>3.1705205479452054</v>
      </c>
      <c r="BV249" s="46">
        <v>22.927135678391959</v>
      </c>
      <c r="BW249" s="46">
        <v>1550</v>
      </c>
      <c r="BX249" s="46">
        <v>3224</v>
      </c>
      <c r="BY249" s="46">
        <v>4774</v>
      </c>
      <c r="BZ249" s="46">
        <v>0.52317808219178086</v>
      </c>
      <c r="CA249" s="46">
        <v>0.16986301369863011</v>
      </c>
      <c r="CB249" s="46">
        <v>0.3533150684931507</v>
      </c>
      <c r="CC249" s="46">
        <v>0.16306849315068489</v>
      </c>
      <c r="CD249" s="46">
        <v>0</v>
      </c>
      <c r="CE249" s="46">
        <v>0</v>
      </c>
      <c r="CF249" s="46">
        <v>0.31375342465753431</v>
      </c>
      <c r="CG249" s="46">
        <v>0</v>
      </c>
      <c r="CH249" s="46">
        <v>0</v>
      </c>
      <c r="CI249" s="46">
        <v>4.5280149320797758</v>
      </c>
      <c r="CJ249" s="46">
        <v>0.65673499014897518</v>
      </c>
      <c r="CK249">
        <v>341</v>
      </c>
      <c r="CL249">
        <v>416.78</v>
      </c>
      <c r="CM249">
        <f t="shared" si="28"/>
        <v>75.779999999999973</v>
      </c>
      <c r="CN249">
        <v>9.5299999999999994</v>
      </c>
      <c r="CO249">
        <v>9.4499999999999993</v>
      </c>
      <c r="CP249">
        <f t="shared" si="29"/>
        <v>-8.0000000000000071E-2</v>
      </c>
      <c r="CQ249">
        <v>846.56</v>
      </c>
      <c r="CR249">
        <v>656.6</v>
      </c>
      <c r="CS249">
        <f t="shared" si="30"/>
        <v>189.95999999999992</v>
      </c>
      <c r="CT249" t="s">
        <v>150</v>
      </c>
      <c r="CU249">
        <v>106.59</v>
      </c>
      <c r="CV249">
        <v>239</v>
      </c>
      <c r="CW249" s="46">
        <v>4774</v>
      </c>
      <c r="CX249" s="46">
        <f t="shared" si="24"/>
        <v>51.487342465753429</v>
      </c>
      <c r="CY249" s="46">
        <v>75.78</v>
      </c>
      <c r="CZ249" s="46">
        <f t="shared" si="25"/>
        <v>52.317808219178083</v>
      </c>
      <c r="DA249" s="46">
        <f t="shared" si="26"/>
        <v>113.7852769004367</v>
      </c>
      <c r="DB249" s="46">
        <v>1046913.3</v>
      </c>
      <c r="DC249" s="46">
        <f t="shared" si="27"/>
        <v>5.6735939779018727</v>
      </c>
      <c r="DD249" s="46">
        <v>52201.49</v>
      </c>
      <c r="DE249" s="995">
        <v>4774</v>
      </c>
      <c r="DF249" s="995">
        <v>51.487000000000002</v>
      </c>
      <c r="DG249" s="995">
        <v>75.8</v>
      </c>
      <c r="DH249" s="995">
        <v>52.317999999999998</v>
      </c>
      <c r="DI249" s="995">
        <v>628.77300000000002</v>
      </c>
      <c r="DJ249" s="995">
        <v>5785201</v>
      </c>
      <c r="DK249" s="995">
        <v>28.888999999999999</v>
      </c>
      <c r="DL249" s="995">
        <v>265798.8</v>
      </c>
      <c r="DM249" s="995">
        <v>4774</v>
      </c>
      <c r="DN249" s="995">
        <v>51.487000000000002</v>
      </c>
      <c r="DO249" s="995">
        <v>75.8</v>
      </c>
      <c r="DP249" s="995">
        <v>52.317999999999998</v>
      </c>
      <c r="DQ249" s="995">
        <v>628.77300000000002</v>
      </c>
      <c r="DR249" s="995">
        <v>5785201</v>
      </c>
      <c r="DS249" s="995">
        <v>28.888999999999999</v>
      </c>
      <c r="DT249" s="995">
        <v>265798.8</v>
      </c>
    </row>
    <row r="250" spans="1:124">
      <c r="A250" s="42" t="s">
        <v>94</v>
      </c>
      <c r="B250" s="42" t="s">
        <v>446</v>
      </c>
      <c r="C250" s="42" t="s">
        <v>447</v>
      </c>
      <c r="D250" s="42">
        <v>901344</v>
      </c>
      <c r="E250" s="42" t="s">
        <v>452</v>
      </c>
      <c r="F250" s="42" t="s">
        <v>149</v>
      </c>
      <c r="G250" s="42" t="s">
        <v>150</v>
      </c>
      <c r="H250" s="43" t="s">
        <v>150</v>
      </c>
      <c r="I250" s="44">
        <v>22</v>
      </c>
      <c r="J250" s="45">
        <v>247677.55600000001</v>
      </c>
      <c r="K250" s="46">
        <v>17369.002249000001</v>
      </c>
      <c r="L250" s="47">
        <v>265046.55824899999</v>
      </c>
      <c r="M250" s="48">
        <v>5858444</v>
      </c>
      <c r="N250" s="49">
        <v>3695602</v>
      </c>
      <c r="O250" s="49">
        <v>2154546</v>
      </c>
      <c r="P250" s="49">
        <v>8296</v>
      </c>
      <c r="Q250" s="50">
        <v>13381.402752293599</v>
      </c>
      <c r="R250" s="51">
        <v>5746.8139000759302</v>
      </c>
      <c r="S250" s="49">
        <v>13015.529808507201</v>
      </c>
      <c r="T250" s="49">
        <v>2661.4088152055001</v>
      </c>
      <c r="U250" s="49">
        <f>IFERROR(INDEX('Rentabilidad datos'!$N$2:$N$61,MATCH($C250,'Rentabilidad datos'!$C$2:$C$61,0)),"")</f>
        <v>21423.752523788604</v>
      </c>
      <c r="V250" s="50">
        <f>IFERROR(INDEX('Rentabilidad datos'!$O$2:$O$61,MATCH($C250,'Rentabilidad datos'!$C$2:$C$61,0)),"")</f>
        <v>1127.5659223046634</v>
      </c>
      <c r="W250" s="51">
        <f>IFERROR(INDEX('Rentabilidad datos'!$M$2:$M$61,MATCH($C250,'Rentabilidad datos'!$C$2:$C$61,0)),"")</f>
        <v>2854.7551675604168</v>
      </c>
      <c r="X250" s="52">
        <f>IFERROR(INDEX('Rentabilidad datos'!$P$2:$P$61,MATCH($C250,'Rentabilidad datos'!$C$2:$C$61,0)),"")</f>
        <v>0.39497815263374947</v>
      </c>
      <c r="Y250" s="43" t="s">
        <v>171</v>
      </c>
      <c r="Z250" s="53">
        <v>58.0091743119266</v>
      </c>
      <c r="AA250" s="43">
        <v>1</v>
      </c>
      <c r="AB250" s="54">
        <v>0.95447750290008748</v>
      </c>
      <c r="AC250" s="55">
        <v>4.5522497099912539E-2</v>
      </c>
      <c r="AD250" s="752" t="e">
        <f>_xlfn.XLOOKUP(Table1[[#This Row],[Ruta]],#REF!,#REF!)</f>
        <v>#REF!</v>
      </c>
      <c r="AE250" s="752" t="e">
        <f>_xlfn.XLOOKUP(Table1[[#This Row],[Ruta]],#REF!,#REF!)</f>
        <v>#REF!</v>
      </c>
      <c r="AF250" s="752" t="e">
        <f>_xlfn.XLOOKUP(Table1[[#This Row],[Ruta]],#REF!,#REF!)</f>
        <v>#REF!</v>
      </c>
      <c r="AG250" s="752" t="e">
        <f>_xlfn.XLOOKUP(Table1[[#This Row],[Ruta]],#REF!,#REF!)</f>
        <v>#REF!</v>
      </c>
      <c r="AH250" s="52">
        <v>0.63081630548999013</v>
      </c>
      <c r="AI250" s="52">
        <v>0.36776761884213621</v>
      </c>
      <c r="AJ250" s="55">
        <v>1.4160756678735856E-3</v>
      </c>
      <c r="AK250" s="56">
        <v>25292</v>
      </c>
      <c r="AL250" s="44">
        <v>16212</v>
      </c>
      <c r="AM250" s="54">
        <v>0.64099319943065003</v>
      </c>
      <c r="AN250" s="55">
        <v>0.57187636047017898</v>
      </c>
      <c r="AO250" s="56">
        <v>0</v>
      </c>
      <c r="AP250" s="48">
        <v>0</v>
      </c>
      <c r="AQ250" s="55">
        <v>0.64099319943065003</v>
      </c>
      <c r="AR250" s="51">
        <v>5834291.5999999996</v>
      </c>
      <c r="AS250" s="49">
        <v>0</v>
      </c>
      <c r="AT250" s="55">
        <v>0</v>
      </c>
      <c r="AU250" s="51">
        <v>0</v>
      </c>
      <c r="AV250" s="52">
        <v>0</v>
      </c>
      <c r="AW250" s="44">
        <v>490</v>
      </c>
      <c r="AX250" s="51">
        <v>359.87488280286198</v>
      </c>
      <c r="AY250" s="49">
        <v>396.99386229061702</v>
      </c>
      <c r="AZ250" s="49">
        <v>37.118979487755041</v>
      </c>
      <c r="BA250" s="42" t="s">
        <v>150</v>
      </c>
      <c r="BB250" s="50">
        <v>211433.72002490013</v>
      </c>
      <c r="BC250" s="57">
        <v>211433.72002490013</v>
      </c>
      <c r="BD250" s="42" t="s">
        <v>150</v>
      </c>
      <c r="BE250" s="46">
        <v>58.0091743119266</v>
      </c>
      <c r="BF250" s="46">
        <v>55.840687053637701</v>
      </c>
      <c r="BG250" s="42" t="s">
        <v>150</v>
      </c>
      <c r="BH250" s="52">
        <v>0.64099319943065003</v>
      </c>
      <c r="BI250" s="52">
        <v>0.639829102646158</v>
      </c>
      <c r="BJ250" s="42" t="s">
        <v>150</v>
      </c>
      <c r="BK250" s="46">
        <v>607.904950112385</v>
      </c>
      <c r="BL250" s="46">
        <v>626.21699529020998</v>
      </c>
      <c r="BM250" s="42" t="s">
        <v>152</v>
      </c>
      <c r="BN250" s="48">
        <v>2</v>
      </c>
      <c r="BO250" s="42" t="s">
        <v>161</v>
      </c>
      <c r="BP250" s="42" t="s">
        <v>152</v>
      </c>
      <c r="BQ250" s="46">
        <v>1332.57420901612</v>
      </c>
      <c r="BR250" s="46">
        <v>251</v>
      </c>
      <c r="BS250" s="46">
        <v>13086</v>
      </c>
      <c r="BT250" s="46">
        <v>4249</v>
      </c>
      <c r="BU250" s="46">
        <v>3.0797834784655214</v>
      </c>
      <c r="BV250" s="46">
        <v>16.92828685258964</v>
      </c>
      <c r="BW250" s="46">
        <v>1457</v>
      </c>
      <c r="BX250" s="46">
        <v>2476</v>
      </c>
      <c r="BY250" s="46">
        <v>3933</v>
      </c>
      <c r="BZ250" s="46">
        <v>0.92562955989644624</v>
      </c>
      <c r="CA250" s="46">
        <v>0.34290421275594257</v>
      </c>
      <c r="CB250" s="46">
        <v>0.58272534714050361</v>
      </c>
      <c r="CC250" s="46">
        <v>2.353494939985879E-4</v>
      </c>
      <c r="CD250" s="46">
        <v>0</v>
      </c>
      <c r="CE250" s="46">
        <v>0</v>
      </c>
      <c r="CF250" s="46">
        <v>7.4135090609555185E-2</v>
      </c>
      <c r="CG250" s="46">
        <v>0</v>
      </c>
      <c r="CH250" s="46">
        <v>0</v>
      </c>
      <c r="CI250" s="46">
        <v>4.3558000917010551</v>
      </c>
      <c r="CJ250" s="46">
        <v>1.2990982729634719</v>
      </c>
      <c r="CK250">
        <v>350</v>
      </c>
      <c r="CL250">
        <v>370.5</v>
      </c>
      <c r="CM250">
        <f t="shared" si="28"/>
        <v>20.5</v>
      </c>
      <c r="CN250">
        <v>10.15</v>
      </c>
      <c r="CO250">
        <v>9.4499999999999993</v>
      </c>
      <c r="CP250">
        <f t="shared" si="29"/>
        <v>-0.70000000000000107</v>
      </c>
      <c r="CQ250">
        <v>846.56</v>
      </c>
      <c r="CR250">
        <v>607.9</v>
      </c>
      <c r="CS250">
        <f t="shared" si="30"/>
        <v>238.65999999999997</v>
      </c>
      <c r="CT250" t="s">
        <v>150</v>
      </c>
      <c r="CU250">
        <v>111.57</v>
      </c>
      <c r="CV250">
        <v>348</v>
      </c>
      <c r="CW250" s="46">
        <v>3933</v>
      </c>
      <c r="CX250" s="46">
        <f t="shared" si="24"/>
        <v>92.080489526947517</v>
      </c>
      <c r="CY250" s="46">
        <v>20.5</v>
      </c>
      <c r="CZ250" s="46">
        <f t="shared" si="25"/>
        <v>92.562955989644621</v>
      </c>
      <c r="DA250" s="46">
        <f t="shared" si="26"/>
        <v>72.627935355428036</v>
      </c>
      <c r="DB250" s="46">
        <v>310084.96999999997</v>
      </c>
      <c r="DC250" s="46">
        <f t="shared" si="27"/>
        <v>4.1585993676074482</v>
      </c>
      <c r="DD250" s="46">
        <v>17755.14</v>
      </c>
      <c r="DE250" s="995">
        <v>3933</v>
      </c>
      <c r="DF250" s="995">
        <v>92.106999999999999</v>
      </c>
      <c r="DG250" s="995">
        <v>19.399999999999999</v>
      </c>
      <c r="DH250" s="995">
        <v>92.563000000000002</v>
      </c>
      <c r="DI250" s="995">
        <v>1202.4259999999999</v>
      </c>
      <c r="DJ250" s="995">
        <v>5132386</v>
      </c>
      <c r="DK250" s="995">
        <v>59.524000000000001</v>
      </c>
      <c r="DL250" s="995">
        <v>254071.4</v>
      </c>
      <c r="DM250" s="995">
        <v>3933</v>
      </c>
      <c r="DN250" s="995">
        <v>92.188000000000002</v>
      </c>
      <c r="DO250" s="995">
        <v>15.9</v>
      </c>
      <c r="DP250" s="995">
        <v>92.563000000000002</v>
      </c>
      <c r="DQ250" s="995">
        <v>1196.4480000000001</v>
      </c>
      <c r="DR250" s="995">
        <v>5102782</v>
      </c>
      <c r="DS250" s="995">
        <v>59.174999999999997</v>
      </c>
      <c r="DT250" s="995">
        <v>252376.3</v>
      </c>
    </row>
    <row r="251" spans="1:124">
      <c r="A251" s="42" t="s">
        <v>94</v>
      </c>
      <c r="B251" s="42" t="s">
        <v>446</v>
      </c>
      <c r="C251" s="42" t="s">
        <v>447</v>
      </c>
      <c r="D251" s="42">
        <v>901345</v>
      </c>
      <c r="E251" s="42" t="s">
        <v>453</v>
      </c>
      <c r="F251" s="42" t="s">
        <v>149</v>
      </c>
      <c r="G251" s="42" t="s">
        <v>150</v>
      </c>
      <c r="H251" s="43" t="s">
        <v>150</v>
      </c>
      <c r="I251" s="44">
        <v>22</v>
      </c>
      <c r="J251" s="45">
        <v>227165.95154400001</v>
      </c>
      <c r="K251" s="46">
        <v>10562.5965</v>
      </c>
      <c r="L251" s="47">
        <v>237728.548044</v>
      </c>
      <c r="M251" s="48">
        <v>4395413</v>
      </c>
      <c r="N251" s="49">
        <v>3299278</v>
      </c>
      <c r="O251" s="49">
        <v>1090473</v>
      </c>
      <c r="P251" s="49">
        <v>5662</v>
      </c>
      <c r="Q251" s="50">
        <v>10151.364795454499</v>
      </c>
      <c r="R251" s="51">
        <v>5746.8139000759302</v>
      </c>
      <c r="S251" s="49">
        <v>13015.529808507201</v>
      </c>
      <c r="T251" s="49">
        <v>2661.4088152055001</v>
      </c>
      <c r="U251" s="49">
        <f>IFERROR(INDEX('Rentabilidad datos'!$N$2:$N$61,MATCH($C251,'Rentabilidad datos'!$C$2:$C$61,0)),"")</f>
        <v>21423.752523788604</v>
      </c>
      <c r="V251" s="50">
        <f>IFERROR(INDEX('Rentabilidad datos'!$O$2:$O$61,MATCH($C251,'Rentabilidad datos'!$C$2:$C$61,0)),"")</f>
        <v>1127.5659223046634</v>
      </c>
      <c r="W251" s="51">
        <f>IFERROR(INDEX('Rentabilidad datos'!$M$2:$M$61,MATCH($C251,'Rentabilidad datos'!$C$2:$C$61,0)),"")</f>
        <v>2854.7551675604168</v>
      </c>
      <c r="X251" s="52">
        <f>IFERROR(INDEX('Rentabilidad datos'!$P$2:$P$61,MATCH($C251,'Rentabilidad datos'!$C$2:$C$61,0)),"")</f>
        <v>0.39497815263374947</v>
      </c>
      <c r="Y251" s="43" t="s">
        <v>171</v>
      </c>
      <c r="Z251" s="53">
        <v>50.218181818181797</v>
      </c>
      <c r="AA251" s="43">
        <v>1</v>
      </c>
      <c r="AB251" s="54">
        <v>0.93771643301778462</v>
      </c>
      <c r="AC251" s="55">
        <v>6.2283566982215322E-2</v>
      </c>
      <c r="AD251" s="752" t="e">
        <f>_xlfn.XLOOKUP(Table1[[#This Row],[Ruta]],#REF!,#REF!)</f>
        <v>#REF!</v>
      </c>
      <c r="AE251" s="752" t="e">
        <f>_xlfn.XLOOKUP(Table1[[#This Row],[Ruta]],#REF!,#REF!)</f>
        <v>#REF!</v>
      </c>
      <c r="AF251" s="752" t="e">
        <f>_xlfn.XLOOKUP(Table1[[#This Row],[Ruta]],#REF!,#REF!)</f>
        <v>#REF!</v>
      </c>
      <c r="AG251" s="752" t="e">
        <f>_xlfn.XLOOKUP(Table1[[#This Row],[Ruta]],#REF!,#REF!)</f>
        <v>#REF!</v>
      </c>
      <c r="AH251" s="52">
        <v>0.75061842880293617</v>
      </c>
      <c r="AI251" s="52">
        <v>0.24809341010730959</v>
      </c>
      <c r="AJ251" s="55">
        <v>1.2881610897542506E-3</v>
      </c>
      <c r="AK251" s="56">
        <v>22096</v>
      </c>
      <c r="AL251" s="44">
        <v>12774</v>
      </c>
      <c r="AM251" s="54">
        <v>0.57811368573497501</v>
      </c>
      <c r="AN251" s="55">
        <v>0.57187636047017898</v>
      </c>
      <c r="AO251" s="56">
        <v>0</v>
      </c>
      <c r="AP251" s="48">
        <v>0</v>
      </c>
      <c r="AQ251" s="55">
        <v>0.57811368573497468</v>
      </c>
      <c r="AR251" s="51">
        <v>4466600.51</v>
      </c>
      <c r="AS251" s="49">
        <v>0</v>
      </c>
      <c r="AT251" s="55">
        <v>0</v>
      </c>
      <c r="AU251" s="51">
        <v>0</v>
      </c>
      <c r="AV251" s="52">
        <v>0</v>
      </c>
      <c r="AW251" s="44">
        <v>490</v>
      </c>
      <c r="AX251" s="51">
        <v>349.66341866290901</v>
      </c>
      <c r="AY251" s="49">
        <v>396.99386229061702</v>
      </c>
      <c r="AZ251" s="49">
        <v>47.330443627708007</v>
      </c>
      <c r="BA251" s="42" t="s">
        <v>150</v>
      </c>
      <c r="BB251" s="50">
        <v>212426.7062082284</v>
      </c>
      <c r="BC251" s="57">
        <v>212426.7062082284</v>
      </c>
      <c r="BD251" s="42" t="s">
        <v>150</v>
      </c>
      <c r="BE251" s="46">
        <v>50.218181818181797</v>
      </c>
      <c r="BF251" s="46">
        <v>55.840687053637701</v>
      </c>
      <c r="BG251" s="42" t="s">
        <v>152</v>
      </c>
      <c r="BH251" s="52">
        <v>0.57811368573497501</v>
      </c>
      <c r="BI251" s="52">
        <v>0.639829102646158</v>
      </c>
      <c r="BJ251" s="42" t="s">
        <v>152</v>
      </c>
      <c r="BK251" s="46">
        <v>540.29215464545405</v>
      </c>
      <c r="BL251" s="46">
        <v>626.21699529020998</v>
      </c>
      <c r="BM251" s="42" t="s">
        <v>152</v>
      </c>
      <c r="BN251" s="48">
        <v>0</v>
      </c>
      <c r="BO251" s="42" t="s">
        <v>155</v>
      </c>
      <c r="BP251" s="42" t="s">
        <v>152</v>
      </c>
      <c r="BQ251" s="46">
        <v>2006.4425725000699</v>
      </c>
      <c r="BR251" s="46">
        <v>518</v>
      </c>
      <c r="BS251" s="46">
        <v>23951</v>
      </c>
      <c r="BT251" s="46">
        <v>7754</v>
      </c>
      <c r="BU251" s="46">
        <v>3.0888573639411918</v>
      </c>
      <c r="BV251" s="46">
        <v>14.969111969111969</v>
      </c>
      <c r="BW251" s="46">
        <v>611</v>
      </c>
      <c r="BX251" s="46">
        <v>3203</v>
      </c>
      <c r="BY251" s="46">
        <v>3814</v>
      </c>
      <c r="BZ251" s="46">
        <v>0.49187516120711888</v>
      </c>
      <c r="CA251" s="46">
        <v>7.8798039721434093E-2</v>
      </c>
      <c r="CB251" s="46">
        <v>0.41307712148568482</v>
      </c>
      <c r="CC251" s="46">
        <v>0.21756512767603819</v>
      </c>
      <c r="CD251" s="46">
        <v>2.5664173329894249E-2</v>
      </c>
      <c r="CE251" s="46">
        <v>1.16069125612587E-3</v>
      </c>
      <c r="CF251" s="46">
        <v>0.2637348465308228</v>
      </c>
      <c r="CG251" s="46">
        <v>0</v>
      </c>
      <c r="CH251" s="46">
        <v>0</v>
      </c>
      <c r="CI251" s="46">
        <v>2.1710993277942472</v>
      </c>
      <c r="CJ251" s="46">
        <v>0.83503820299778719</v>
      </c>
      <c r="CK251">
        <v>258</v>
      </c>
      <c r="CL251">
        <v>379</v>
      </c>
      <c r="CM251">
        <f t="shared" si="28"/>
        <v>121</v>
      </c>
      <c r="CN251">
        <v>7.45</v>
      </c>
      <c r="CO251">
        <v>9.4499999999999993</v>
      </c>
      <c r="CP251">
        <f t="shared" si="29"/>
        <v>1.9999999999999991</v>
      </c>
      <c r="CQ251">
        <v>564.37</v>
      </c>
      <c r="CR251">
        <v>540.29</v>
      </c>
      <c r="CS251">
        <f t="shared" si="30"/>
        <v>24.080000000000041</v>
      </c>
      <c r="CT251" t="s">
        <v>150</v>
      </c>
      <c r="CU251">
        <v>101.24</v>
      </c>
      <c r="CV251">
        <v>117</v>
      </c>
      <c r="CW251" s="46">
        <v>3814</v>
      </c>
      <c r="CX251" s="46">
        <f t="shared" si="24"/>
        <v>47.627031209698224</v>
      </c>
      <c r="CY251" s="46">
        <v>121</v>
      </c>
      <c r="CZ251" s="46">
        <f t="shared" si="25"/>
        <v>49.187516120711891</v>
      </c>
      <c r="DA251" s="46">
        <f t="shared" si="26"/>
        <v>329.2439936507937</v>
      </c>
      <c r="DB251" s="46">
        <v>2592796.4500000002</v>
      </c>
      <c r="DC251" s="46">
        <f t="shared" si="27"/>
        <v>16.846694603174605</v>
      </c>
      <c r="DD251" s="46">
        <v>132667.72</v>
      </c>
      <c r="DE251" s="995">
        <v>3814</v>
      </c>
      <c r="DF251" s="995">
        <v>47.628</v>
      </c>
      <c r="DG251" s="995">
        <v>120.9</v>
      </c>
      <c r="DH251" s="995">
        <v>49.188000000000002</v>
      </c>
      <c r="DI251" s="995">
        <v>560.81100000000004</v>
      </c>
      <c r="DJ251" s="995">
        <v>4416330</v>
      </c>
      <c r="DK251" s="995">
        <v>28.719000000000001</v>
      </c>
      <c r="DL251" s="995">
        <v>226157.4</v>
      </c>
      <c r="DM251" s="995">
        <v>3814</v>
      </c>
      <c r="DN251" s="995">
        <v>47.631999999999998</v>
      </c>
      <c r="DO251" s="995">
        <v>120.6</v>
      </c>
      <c r="DP251" s="995">
        <v>49.188000000000002</v>
      </c>
      <c r="DQ251" s="995">
        <v>560.48900000000003</v>
      </c>
      <c r="DR251" s="995">
        <v>4413634</v>
      </c>
      <c r="DS251" s="995">
        <v>28.702000000000002</v>
      </c>
      <c r="DT251" s="995">
        <v>226017.9</v>
      </c>
    </row>
    <row r="252" spans="1:124">
      <c r="A252" s="42" t="s">
        <v>94</v>
      </c>
      <c r="B252" s="42" t="s">
        <v>446</v>
      </c>
      <c r="C252" s="42" t="s">
        <v>447</v>
      </c>
      <c r="D252" s="42">
        <v>901346</v>
      </c>
      <c r="E252" s="42" t="s">
        <v>454</v>
      </c>
      <c r="F252" s="42" t="s">
        <v>149</v>
      </c>
      <c r="G252" s="42" t="s">
        <v>150</v>
      </c>
      <c r="H252" s="43" t="s">
        <v>152</v>
      </c>
      <c r="I252" s="44">
        <v>22</v>
      </c>
      <c r="J252" s="45">
        <v>63.403199999999998</v>
      </c>
      <c r="K252" s="46">
        <v>1.2681</v>
      </c>
      <c r="L252" s="47">
        <v>64.671300000000002</v>
      </c>
      <c r="M252" s="48">
        <v>1005</v>
      </c>
      <c r="N252" s="49">
        <v>798</v>
      </c>
      <c r="O252" s="49">
        <v>207</v>
      </c>
      <c r="P252" s="49">
        <v>0</v>
      </c>
      <c r="Q252" s="50">
        <v>200.98</v>
      </c>
      <c r="R252" s="51">
        <v>5746.8139000759302</v>
      </c>
      <c r="S252" s="49">
        <v>13015.529808507201</v>
      </c>
      <c r="T252" s="49">
        <v>2661.4088152055001</v>
      </c>
      <c r="U252" s="49">
        <f>IFERROR(INDEX('Rentabilidad datos'!$N$2:$N$61,MATCH($C252,'Rentabilidad datos'!$C$2:$C$61,0)),"")</f>
        <v>21423.752523788604</v>
      </c>
      <c r="V252" s="50">
        <f>IFERROR(INDEX('Rentabilidad datos'!$O$2:$O$61,MATCH($C252,'Rentabilidad datos'!$C$2:$C$61,0)),"")</f>
        <v>1127.5659223046634</v>
      </c>
      <c r="W252" s="51">
        <f>IFERROR(INDEX('Rentabilidad datos'!$M$2:$M$61,MATCH($C252,'Rentabilidad datos'!$C$2:$C$61,0)),"")</f>
        <v>2854.7551675604168</v>
      </c>
      <c r="X252" s="52">
        <f>IFERROR(INDEX('Rentabilidad datos'!$P$2:$P$61,MATCH($C252,'Rentabilidad datos'!$C$2:$C$61,0)),"")</f>
        <v>0.39497815263374947</v>
      </c>
      <c r="Y252" s="43" t="s">
        <v>171</v>
      </c>
      <c r="Z252" s="53">
        <v>0</v>
      </c>
      <c r="AA252" s="43">
        <v>1</v>
      </c>
      <c r="AB252" s="54">
        <v>0.40497512437810945</v>
      </c>
      <c r="AC252" s="55">
        <v>0.59502487562189055</v>
      </c>
      <c r="AD252" s="752" t="e">
        <f>_xlfn.XLOOKUP(Table1[[#This Row],[Ruta]],#REF!,#REF!)</f>
        <v>#REF!</v>
      </c>
      <c r="AE252" s="752" t="e">
        <f>_xlfn.XLOOKUP(Table1[[#This Row],[Ruta]],#REF!,#REF!)</f>
        <v>#REF!</v>
      </c>
      <c r="AF252" s="752" t="e">
        <f>_xlfn.XLOOKUP(Table1[[#This Row],[Ruta]],#REF!,#REF!)</f>
        <v>#REF!</v>
      </c>
      <c r="AG252" s="752" t="e">
        <f>_xlfn.XLOOKUP(Table1[[#This Row],[Ruta]],#REF!,#REF!)</f>
        <v>#REF!</v>
      </c>
      <c r="AH252" s="52">
        <v>0.79402985074626864</v>
      </c>
      <c r="AI252" s="52">
        <v>0.20597014925373133</v>
      </c>
      <c r="AJ252" s="55">
        <v>0</v>
      </c>
      <c r="AK252" s="56">
        <v>0</v>
      </c>
      <c r="AL252" s="44">
        <v>5</v>
      </c>
      <c r="AM252" s="54">
        <v>0</v>
      </c>
      <c r="AN252" s="55">
        <v>0.57187636047017898</v>
      </c>
      <c r="AO252" s="56">
        <v>0</v>
      </c>
      <c r="AP252" s="48">
        <v>0</v>
      </c>
      <c r="AQ252" s="55" t="s">
        <v>194</v>
      </c>
      <c r="AR252" s="51">
        <v>1004.9</v>
      </c>
      <c r="AS252" s="49">
        <v>0</v>
      </c>
      <c r="AT252" s="55">
        <v>0</v>
      </c>
      <c r="AU252" s="51">
        <v>0</v>
      </c>
      <c r="AV252" s="52">
        <v>0</v>
      </c>
      <c r="AW252" s="44">
        <v>490</v>
      </c>
      <c r="AX252" s="51">
        <v>200.98</v>
      </c>
      <c r="AY252" s="49">
        <v>396.99386229061702</v>
      </c>
      <c r="AZ252" s="49">
        <v>196.01386229061703</v>
      </c>
      <c r="BA252" s="42" t="s">
        <v>150</v>
      </c>
      <c r="BB252" s="50">
        <v>344.34867699703005</v>
      </c>
      <c r="BC252" s="57">
        <v>344.34867699703005</v>
      </c>
      <c r="BD252" s="42" t="s">
        <v>152</v>
      </c>
      <c r="BE252" s="46" t="s">
        <v>195</v>
      </c>
      <c r="BF252" s="46" t="s">
        <v>195</v>
      </c>
      <c r="BG252" s="42" t="s">
        <v>195</v>
      </c>
      <c r="BH252" s="52" t="s">
        <v>195</v>
      </c>
      <c r="BI252" s="52" t="s">
        <v>195</v>
      </c>
      <c r="BJ252" s="42" t="s">
        <v>195</v>
      </c>
      <c r="BK252" s="46" t="s">
        <v>195</v>
      </c>
      <c r="BL252" s="46" t="s">
        <v>195</v>
      </c>
      <c r="BM252" s="42" t="s">
        <v>195</v>
      </c>
      <c r="BN252" s="48" t="s">
        <v>195</v>
      </c>
      <c r="BO252" s="42" t="s">
        <v>195</v>
      </c>
      <c r="BP252" s="42" t="s">
        <v>152</v>
      </c>
      <c r="BQ252" s="46">
        <v>0</v>
      </c>
      <c r="BR252" s="46" t="e">
        <v>#N/A</v>
      </c>
      <c r="BS252" s="46" t="e">
        <v>#N/A</v>
      </c>
      <c r="BT252" s="46" t="e">
        <v>#N/A</v>
      </c>
      <c r="BU252" s="46" t="e">
        <v>#N/A</v>
      </c>
      <c r="BV252" s="46" t="e">
        <v>#N/A</v>
      </c>
      <c r="BW252" s="46" t="e">
        <v>#N/A</v>
      </c>
      <c r="BX252" s="46" t="e">
        <v>#N/A</v>
      </c>
      <c r="BY252" s="46" t="e">
        <v>#N/A</v>
      </c>
      <c r="BZ252" s="46" t="e">
        <v>#N/A</v>
      </c>
      <c r="CA252" s="46" t="e">
        <v>#N/A</v>
      </c>
      <c r="CB252" s="46" t="e">
        <v>#N/A</v>
      </c>
      <c r="CC252" s="46" t="e">
        <v>#N/A</v>
      </c>
      <c r="CD252" s="46" t="e">
        <v>#N/A</v>
      </c>
      <c r="CE252" s="46" t="e">
        <v>#N/A</v>
      </c>
      <c r="CF252" s="46" t="e">
        <v>#N/A</v>
      </c>
      <c r="CG252" s="46" t="e">
        <v>#N/A</v>
      </c>
      <c r="CH252" s="46" t="e">
        <v>#N/A</v>
      </c>
      <c r="CI252" s="46" t="e">
        <v>#N/A</v>
      </c>
      <c r="CJ252" s="46" t="e">
        <v>#N/A</v>
      </c>
      <c r="CM252">
        <f t="shared" si="28"/>
        <v>0</v>
      </c>
      <c r="CP252">
        <f t="shared" si="29"/>
        <v>0</v>
      </c>
      <c r="CS252">
        <f t="shared" si="30"/>
        <v>0</v>
      </c>
      <c r="CW252" s="46"/>
      <c r="CX252" s="46" t="e">
        <f t="shared" si="24"/>
        <v>#N/A</v>
      </c>
      <c r="CY252" s="46"/>
      <c r="CZ252" s="46" t="e">
        <f t="shared" si="25"/>
        <v>#N/A</v>
      </c>
      <c r="DA252" s="46" t="e">
        <f t="shared" si="26"/>
        <v>#N/A</v>
      </c>
      <c r="DB252" s="46"/>
      <c r="DC252" s="46" t="e">
        <f t="shared" si="27"/>
        <v>#N/A</v>
      </c>
      <c r="DD252" s="46"/>
      <c r="DE252" s="995" t="s">
        <v>194</v>
      </c>
      <c r="DF252" s="995" t="s">
        <v>194</v>
      </c>
      <c r="DG252" s="995" t="s">
        <v>194</v>
      </c>
      <c r="DH252" s="995" t="s">
        <v>194</v>
      </c>
      <c r="DI252" s="995" t="s">
        <v>194</v>
      </c>
      <c r="DJ252" s="995" t="s">
        <v>194</v>
      </c>
      <c r="DK252" s="995" t="s">
        <v>194</v>
      </c>
      <c r="DL252" s="995" t="s">
        <v>194</v>
      </c>
      <c r="DM252" s="995" t="s">
        <v>194</v>
      </c>
      <c r="DN252" s="995" t="s">
        <v>194</v>
      </c>
      <c r="DO252" s="995" t="s">
        <v>194</v>
      </c>
      <c r="DP252" s="995" t="s">
        <v>194</v>
      </c>
      <c r="DQ252" s="995" t="s">
        <v>194</v>
      </c>
      <c r="DR252" s="995" t="s">
        <v>194</v>
      </c>
      <c r="DS252" s="995" t="s">
        <v>194</v>
      </c>
      <c r="DT252" s="995" t="s">
        <v>194</v>
      </c>
    </row>
    <row r="253" spans="1:124">
      <c r="A253" s="42" t="s">
        <v>94</v>
      </c>
      <c r="B253" s="42" t="s">
        <v>446</v>
      </c>
      <c r="C253" s="42" t="s">
        <v>447</v>
      </c>
      <c r="D253" s="42">
        <v>901401</v>
      </c>
      <c r="E253" s="42" t="s">
        <v>455</v>
      </c>
      <c r="F253" s="42" t="s">
        <v>149</v>
      </c>
      <c r="G253" s="42" t="s">
        <v>150</v>
      </c>
      <c r="H253" s="43" t="s">
        <v>150</v>
      </c>
      <c r="I253" s="44">
        <v>22</v>
      </c>
      <c r="J253" s="45">
        <v>120716.1704</v>
      </c>
      <c r="K253" s="46">
        <v>4555.8688750000001</v>
      </c>
      <c r="L253" s="47">
        <v>125272.039275</v>
      </c>
      <c r="M253" s="48">
        <v>2393520</v>
      </c>
      <c r="N253" s="49">
        <v>1824001</v>
      </c>
      <c r="O253" s="49">
        <v>561273</v>
      </c>
      <c r="P253" s="49">
        <v>8246</v>
      </c>
      <c r="Q253" s="50">
        <v>5819.1875561097304</v>
      </c>
      <c r="R253" s="51">
        <v>5746.8139000759302</v>
      </c>
      <c r="S253" s="49">
        <v>13015.529808507201</v>
      </c>
      <c r="T253" s="49">
        <v>2661.4088152055001</v>
      </c>
      <c r="U253" s="49">
        <f>IFERROR(INDEX('Rentabilidad datos'!$N$2:$N$61,MATCH($C253,'Rentabilidad datos'!$C$2:$C$61,0)),"")</f>
        <v>21423.752523788604</v>
      </c>
      <c r="V253" s="50">
        <f>IFERROR(INDEX('Rentabilidad datos'!$O$2:$O$61,MATCH($C253,'Rentabilidad datos'!$C$2:$C$61,0)),"")</f>
        <v>1127.5659223046634</v>
      </c>
      <c r="W253" s="51">
        <f>IFERROR(INDEX('Rentabilidad datos'!$M$2:$M$61,MATCH($C253,'Rentabilidad datos'!$C$2:$C$61,0)),"")</f>
        <v>2854.7551675604168</v>
      </c>
      <c r="X253" s="52">
        <f>IFERROR(INDEX('Rentabilidad datos'!$P$2:$P$61,MATCH($C253,'Rentabilidad datos'!$C$2:$C$61,0)),"")</f>
        <v>0.39497815263374947</v>
      </c>
      <c r="Y253" s="43" t="s">
        <v>171</v>
      </c>
      <c r="Z253" s="53">
        <v>43.535714285714299</v>
      </c>
      <c r="AA253" s="43">
        <v>1</v>
      </c>
      <c r="AB253" s="54">
        <v>0.95684389518366253</v>
      </c>
      <c r="AC253" s="55">
        <v>4.3156104816337443E-2</v>
      </c>
      <c r="AD253" s="752" t="e">
        <f>_xlfn.XLOOKUP(Table1[[#This Row],[Ruta]],#REF!,#REF!)</f>
        <v>#REF!</v>
      </c>
      <c r="AE253" s="752" t="e">
        <f>_xlfn.XLOOKUP(Table1[[#This Row],[Ruta]],#REF!,#REF!)</f>
        <v>#REF!</v>
      </c>
      <c r="AF253" s="752" t="e">
        <f>_xlfn.XLOOKUP(Table1[[#This Row],[Ruta]],#REF!,#REF!)</f>
        <v>#REF!</v>
      </c>
      <c r="AG253" s="752" t="e">
        <f>_xlfn.XLOOKUP(Table1[[#This Row],[Ruta]],#REF!,#REF!)</f>
        <v>#REF!</v>
      </c>
      <c r="AH253" s="52">
        <v>0.76205797319429125</v>
      </c>
      <c r="AI253" s="52">
        <v>0.23449689160733983</v>
      </c>
      <c r="AJ253" s="55">
        <v>3.4451351983689296E-3</v>
      </c>
      <c r="AK253" s="56">
        <v>15847</v>
      </c>
      <c r="AL253" s="44">
        <v>5856</v>
      </c>
      <c r="AM253" s="54">
        <v>0.36303401274689201</v>
      </c>
      <c r="AN253" s="55">
        <v>0.57187636047017898</v>
      </c>
      <c r="AO253" s="56">
        <v>3309.5246843709201</v>
      </c>
      <c r="AP253" s="48">
        <v>1654.7623421854601</v>
      </c>
      <c r="AQ253" s="55">
        <v>0.47395483953968959</v>
      </c>
      <c r="AR253" s="51">
        <v>2333494.21</v>
      </c>
      <c r="AS253" s="49">
        <v>659388.37848630501</v>
      </c>
      <c r="AT253" s="55">
        <v>0.28257553657538537</v>
      </c>
      <c r="AU253" s="51">
        <v>463353.99569307937</v>
      </c>
      <c r="AV253" s="52">
        <v>2.1078411748092661E-3</v>
      </c>
      <c r="AW253" s="44">
        <v>158</v>
      </c>
      <c r="AX253" s="51">
        <v>398.479202527322</v>
      </c>
      <c r="AY253" s="49">
        <v>396.99386229061702</v>
      </c>
      <c r="AZ253" s="49">
        <v>0</v>
      </c>
      <c r="BA253" s="42" t="s">
        <v>152</v>
      </c>
      <c r="BB253" s="50">
        <v>0</v>
      </c>
      <c r="BC253" s="57">
        <v>463353.99569307937</v>
      </c>
      <c r="BD253" s="42" t="s">
        <v>150</v>
      </c>
      <c r="BE253" s="46">
        <v>43.535714285714299</v>
      </c>
      <c r="BF253" s="46">
        <v>55.840687053637701</v>
      </c>
      <c r="BG253" s="42" t="s">
        <v>152</v>
      </c>
      <c r="BH253" s="52">
        <v>0.36303401274689201</v>
      </c>
      <c r="BI253" s="52">
        <v>0.639829102646158</v>
      </c>
      <c r="BJ253" s="42" t="s">
        <v>152</v>
      </c>
      <c r="BK253" s="46">
        <v>312.39910043640901</v>
      </c>
      <c r="BL253" s="46">
        <v>626.21699529020998</v>
      </c>
      <c r="BM253" s="42" t="s">
        <v>152</v>
      </c>
      <c r="BN253" s="48">
        <v>0</v>
      </c>
      <c r="BO253" s="42" t="s">
        <v>155</v>
      </c>
      <c r="BP253" s="42" t="s">
        <v>152</v>
      </c>
      <c r="BQ253" s="46">
        <v>1690.81567282069</v>
      </c>
      <c r="BR253" s="46">
        <v>188</v>
      </c>
      <c r="BS253" s="46">
        <v>26926</v>
      </c>
      <c r="BT253" s="46">
        <v>6720</v>
      </c>
      <c r="BU253" s="46">
        <v>4.006845238095238</v>
      </c>
      <c r="BV253" s="46">
        <v>35.744680851063826</v>
      </c>
      <c r="BW253" s="46">
        <v>0</v>
      </c>
      <c r="BX253" s="46">
        <v>402</v>
      </c>
      <c r="BY253" s="46">
        <v>402</v>
      </c>
      <c r="BZ253" s="46">
        <v>5.9821428571428574E-2</v>
      </c>
      <c r="CA253" s="46">
        <v>0</v>
      </c>
      <c r="CB253" s="46">
        <v>5.982142857142856E-2</v>
      </c>
      <c r="CC253" s="46">
        <v>0.37916666666666671</v>
      </c>
      <c r="CD253" s="46">
        <v>0</v>
      </c>
      <c r="CE253" s="46">
        <v>0</v>
      </c>
      <c r="CF253" s="46">
        <v>0.56101190476190477</v>
      </c>
      <c r="CG253" s="46">
        <v>0</v>
      </c>
      <c r="CH253" s="46">
        <v>0</v>
      </c>
      <c r="CI253" s="46">
        <v>4.8280472405853079</v>
      </c>
      <c r="CJ253" s="46">
        <v>0.1485552997103172</v>
      </c>
      <c r="CK253">
        <v>181</v>
      </c>
      <c r="CL253">
        <v>227.07</v>
      </c>
      <c r="CM253">
        <f t="shared" si="28"/>
        <v>46.069999999999993</v>
      </c>
      <c r="CN253">
        <v>5.62</v>
      </c>
      <c r="CO253">
        <v>9.4499999999999993</v>
      </c>
      <c r="CP253">
        <f t="shared" si="29"/>
        <v>3.8299999999999992</v>
      </c>
      <c r="CQ253">
        <v>846.56</v>
      </c>
      <c r="CR253">
        <v>312.39999999999998</v>
      </c>
      <c r="CS253">
        <f t="shared" si="30"/>
        <v>534.16</v>
      </c>
      <c r="CT253" t="s">
        <v>152</v>
      </c>
      <c r="CU253">
        <v>59.49</v>
      </c>
      <c r="CV253">
        <v>26</v>
      </c>
      <c r="CW253" s="46">
        <v>402</v>
      </c>
      <c r="CX253" s="46">
        <f t="shared" si="24"/>
        <v>5.2965773809523808</v>
      </c>
      <c r="CY253" s="46">
        <v>46.07</v>
      </c>
      <c r="CZ253" s="46">
        <f t="shared" si="25"/>
        <v>5.9821428571428577</v>
      </c>
      <c r="DA253" s="46">
        <f t="shared" si="26"/>
        <v>59.974833248843126</v>
      </c>
      <c r="DB253" s="46">
        <v>405793.92</v>
      </c>
      <c r="DC253" s="46">
        <f t="shared" si="27"/>
        <v>3.2127468382680049</v>
      </c>
      <c r="DD253" s="46">
        <v>21737.67</v>
      </c>
      <c r="DE253" s="995">
        <v>402</v>
      </c>
      <c r="DF253" s="995">
        <v>5.46</v>
      </c>
      <c r="DG253" s="995">
        <v>35.1</v>
      </c>
      <c r="DH253" s="995">
        <v>5.9820000000000002</v>
      </c>
      <c r="DI253" s="995">
        <v>316.22899999999998</v>
      </c>
      <c r="DJ253" s="995">
        <v>2136148</v>
      </c>
      <c r="DK253" s="995">
        <v>16.788</v>
      </c>
      <c r="DL253" s="995">
        <v>113402.2</v>
      </c>
      <c r="DM253" s="995">
        <v>402</v>
      </c>
      <c r="DN253" s="995">
        <v>5.5490000000000004</v>
      </c>
      <c r="DO253" s="995">
        <v>29.1</v>
      </c>
      <c r="DP253" s="995">
        <v>5.9820000000000002</v>
      </c>
      <c r="DQ253" s="995">
        <v>308.72899999999998</v>
      </c>
      <c r="DR253" s="995">
        <v>2083648</v>
      </c>
      <c r="DS253" s="995">
        <v>16.385999999999999</v>
      </c>
      <c r="DT253" s="995">
        <v>110589.9</v>
      </c>
    </row>
    <row r="254" spans="1:124">
      <c r="A254" s="42" t="s">
        <v>94</v>
      </c>
      <c r="B254" s="42" t="s">
        <v>446</v>
      </c>
      <c r="C254" s="42" t="s">
        <v>447</v>
      </c>
      <c r="D254" s="42">
        <v>901402</v>
      </c>
      <c r="E254" s="42" t="s">
        <v>456</v>
      </c>
      <c r="F254" s="42" t="s">
        <v>149</v>
      </c>
      <c r="G254" s="42" t="s">
        <v>150</v>
      </c>
      <c r="H254" s="43" t="s">
        <v>150</v>
      </c>
      <c r="I254" s="44">
        <v>22</v>
      </c>
      <c r="J254" s="45">
        <v>168689.84943999999</v>
      </c>
      <c r="K254" s="46">
        <v>7010.1410139999998</v>
      </c>
      <c r="L254" s="47">
        <v>175699.99045400001</v>
      </c>
      <c r="M254" s="48">
        <v>3200387</v>
      </c>
      <c r="N254" s="49">
        <v>2437695</v>
      </c>
      <c r="O254" s="49">
        <v>756983</v>
      </c>
      <c r="P254" s="49">
        <v>5709</v>
      </c>
      <c r="Q254" s="50">
        <v>7594.8076595744697</v>
      </c>
      <c r="R254" s="51">
        <v>5746.8139000759302</v>
      </c>
      <c r="S254" s="49">
        <v>13015.529808507201</v>
      </c>
      <c r="T254" s="49">
        <v>2661.4088152055001</v>
      </c>
      <c r="U254" s="49">
        <f>IFERROR(INDEX('Rentabilidad datos'!$N$2:$N$61,MATCH($C254,'Rentabilidad datos'!$C$2:$C$61,0)),"")</f>
        <v>21423.752523788604</v>
      </c>
      <c r="V254" s="50">
        <f>IFERROR(INDEX('Rentabilidad datos'!$O$2:$O$61,MATCH($C254,'Rentabilidad datos'!$C$2:$C$61,0)),"")</f>
        <v>1127.5659223046634</v>
      </c>
      <c r="W254" s="51">
        <f>IFERROR(INDEX('Rentabilidad datos'!$M$2:$M$61,MATCH($C254,'Rentabilidad datos'!$C$2:$C$61,0)),"")</f>
        <v>2854.7551675604168</v>
      </c>
      <c r="X254" s="52">
        <f>IFERROR(INDEX('Rentabilidad datos'!$P$2:$P$61,MATCH($C254,'Rentabilidad datos'!$C$2:$C$61,0)),"")</f>
        <v>0.39497815263374947</v>
      </c>
      <c r="Y254" s="43" t="s">
        <v>171</v>
      </c>
      <c r="Z254" s="53">
        <v>47.323877068557898</v>
      </c>
      <c r="AA254" s="43">
        <v>1</v>
      </c>
      <c r="AB254" s="54">
        <v>0.95991359794924802</v>
      </c>
      <c r="AC254" s="55">
        <v>4.0086402050751986E-2</v>
      </c>
      <c r="AD254" s="752" t="e">
        <f>_xlfn.XLOOKUP(Table1[[#This Row],[Ruta]],#REF!,#REF!)</f>
        <v>#REF!</v>
      </c>
      <c r="AE254" s="752" t="e">
        <f>_xlfn.XLOOKUP(Table1[[#This Row],[Ruta]],#REF!,#REF!)</f>
        <v>#REF!</v>
      </c>
      <c r="AF254" s="752" t="e">
        <f>_xlfn.XLOOKUP(Table1[[#This Row],[Ruta]],#REF!,#REF!)</f>
        <v>#REF!</v>
      </c>
      <c r="AG254" s="752" t="e">
        <f>_xlfn.XLOOKUP(Table1[[#This Row],[Ruta]],#REF!,#REF!)</f>
        <v>#REF!</v>
      </c>
      <c r="AH254" s="52">
        <v>0.7616875709093931</v>
      </c>
      <c r="AI254" s="52">
        <v>0.23652858232457513</v>
      </c>
      <c r="AJ254" s="55">
        <v>1.783846766031733E-3</v>
      </c>
      <c r="AK254" s="56">
        <v>20018</v>
      </c>
      <c r="AL254" s="44">
        <v>8254</v>
      </c>
      <c r="AM254" s="54">
        <v>0.41232890398641198</v>
      </c>
      <c r="AN254" s="55">
        <v>0.57187636047017898</v>
      </c>
      <c r="AO254" s="56">
        <v>3193.8209838920302</v>
      </c>
      <c r="AP254" s="48">
        <v>1596.9104919460151</v>
      </c>
      <c r="AQ254" s="55">
        <v>0.49210263222829531</v>
      </c>
      <c r="AR254" s="51">
        <v>3212603.64</v>
      </c>
      <c r="AS254" s="49">
        <v>621545.97276229504</v>
      </c>
      <c r="AT254" s="55">
        <v>0.19347110394306066</v>
      </c>
      <c r="AU254" s="51">
        <v>436762.0349140453</v>
      </c>
      <c r="AV254" s="52">
        <v>1.9868718287585868E-3</v>
      </c>
      <c r="AW254" s="44">
        <v>171</v>
      </c>
      <c r="AX254" s="51">
        <v>389.21779016234501</v>
      </c>
      <c r="AY254" s="49">
        <v>396.99386229061702</v>
      </c>
      <c r="AZ254" s="49">
        <v>7.7760721282720056</v>
      </c>
      <c r="BA254" s="42" t="s">
        <v>150</v>
      </c>
      <c r="BB254" s="50">
        <v>22551.029500211975</v>
      </c>
      <c r="BC254" s="57">
        <v>459313.0644142573</v>
      </c>
      <c r="BD254" s="42" t="s">
        <v>150</v>
      </c>
      <c r="BE254" s="46">
        <v>47.323877068557898</v>
      </c>
      <c r="BF254" s="46">
        <v>55.840687053637701</v>
      </c>
      <c r="BG254" s="42" t="s">
        <v>152</v>
      </c>
      <c r="BH254" s="52">
        <v>0.41232890398641198</v>
      </c>
      <c r="BI254" s="52">
        <v>0.639829102646158</v>
      </c>
      <c r="BJ254" s="42" t="s">
        <v>152</v>
      </c>
      <c r="BK254" s="46">
        <v>415.36640769267098</v>
      </c>
      <c r="BL254" s="46">
        <v>626.21699529020998</v>
      </c>
      <c r="BM254" s="42" t="s">
        <v>152</v>
      </c>
      <c r="BN254" s="48">
        <v>0</v>
      </c>
      <c r="BO254" s="42" t="s">
        <v>155</v>
      </c>
      <c r="BP254" s="42" t="s">
        <v>152</v>
      </c>
      <c r="BQ254" s="46">
        <v>2873.6734948808999</v>
      </c>
      <c r="BR254" s="46" t="e">
        <v>#N/A</v>
      </c>
      <c r="BS254" s="46" t="e">
        <v>#N/A</v>
      </c>
      <c r="BT254" s="46" t="e">
        <v>#N/A</v>
      </c>
      <c r="BU254" s="46" t="e">
        <v>#N/A</v>
      </c>
      <c r="BV254" s="46" t="e">
        <v>#N/A</v>
      </c>
      <c r="BW254" s="46" t="e">
        <v>#N/A</v>
      </c>
      <c r="BX254" s="46" t="e">
        <v>#N/A</v>
      </c>
      <c r="BY254" s="46" t="e">
        <v>#N/A</v>
      </c>
      <c r="BZ254" s="46" t="e">
        <v>#N/A</v>
      </c>
      <c r="CA254" s="46" t="e">
        <v>#N/A</v>
      </c>
      <c r="CB254" s="46" t="e">
        <v>#N/A</v>
      </c>
      <c r="CC254" s="46" t="e">
        <v>#N/A</v>
      </c>
      <c r="CD254" s="46" t="e">
        <v>#N/A</v>
      </c>
      <c r="CE254" s="46" t="e">
        <v>#N/A</v>
      </c>
      <c r="CF254" s="46" t="e">
        <v>#N/A</v>
      </c>
      <c r="CG254" s="46" t="e">
        <v>#N/A</v>
      </c>
      <c r="CH254" s="46" t="e">
        <v>#N/A</v>
      </c>
      <c r="CI254" s="46" t="e">
        <v>#N/A</v>
      </c>
      <c r="CJ254" s="46" t="e">
        <v>#N/A</v>
      </c>
      <c r="CM254">
        <f t="shared" si="28"/>
        <v>0</v>
      </c>
      <c r="CP254">
        <f t="shared" si="29"/>
        <v>0</v>
      </c>
      <c r="CS254">
        <f t="shared" si="30"/>
        <v>0</v>
      </c>
      <c r="CW254" s="46"/>
      <c r="CX254" s="46" t="e">
        <f t="shared" si="24"/>
        <v>#N/A</v>
      </c>
      <c r="CY254" s="46"/>
      <c r="CZ254" s="46" t="e">
        <f t="shared" si="25"/>
        <v>#N/A</v>
      </c>
      <c r="DA254" s="46" t="e">
        <f t="shared" si="26"/>
        <v>#N/A</v>
      </c>
      <c r="DB254" s="46"/>
      <c r="DC254" s="46" t="e">
        <f t="shared" si="27"/>
        <v>#N/A</v>
      </c>
      <c r="DD254" s="46"/>
      <c r="DE254" s="995" t="s">
        <v>194</v>
      </c>
      <c r="DF254" s="995" t="s">
        <v>194</v>
      </c>
      <c r="DG254" s="995" t="s">
        <v>194</v>
      </c>
      <c r="DH254" s="995" t="s">
        <v>194</v>
      </c>
      <c r="DI254" s="995" t="s">
        <v>194</v>
      </c>
      <c r="DJ254" s="995" t="s">
        <v>194</v>
      </c>
      <c r="DK254" s="995" t="s">
        <v>194</v>
      </c>
      <c r="DL254" s="995" t="s">
        <v>194</v>
      </c>
      <c r="DM254" s="995" t="s">
        <v>194</v>
      </c>
      <c r="DN254" s="995" t="s">
        <v>194</v>
      </c>
      <c r="DO254" s="995" t="s">
        <v>194</v>
      </c>
      <c r="DP254" s="995" t="s">
        <v>194</v>
      </c>
      <c r="DQ254" s="995" t="s">
        <v>194</v>
      </c>
      <c r="DR254" s="995" t="s">
        <v>194</v>
      </c>
      <c r="DS254" s="995" t="s">
        <v>194</v>
      </c>
      <c r="DT254" s="995" t="s">
        <v>194</v>
      </c>
    </row>
    <row r="255" spans="1:124">
      <c r="A255" s="42" t="s">
        <v>94</v>
      </c>
      <c r="B255" s="42" t="s">
        <v>446</v>
      </c>
      <c r="C255" s="42" t="s">
        <v>447</v>
      </c>
      <c r="D255" s="42">
        <v>901403</v>
      </c>
      <c r="E255" s="42" t="s">
        <v>457</v>
      </c>
      <c r="F255" s="42" t="s">
        <v>149</v>
      </c>
      <c r="G255" s="42" t="s">
        <v>150</v>
      </c>
      <c r="H255" s="43" t="s">
        <v>150</v>
      </c>
      <c r="I255" s="44">
        <v>22</v>
      </c>
      <c r="J255" s="45">
        <v>208237.2432</v>
      </c>
      <c r="K255" s="46">
        <v>13352.65955</v>
      </c>
      <c r="L255" s="47">
        <v>221589.90275000001</v>
      </c>
      <c r="M255" s="48">
        <v>4439505</v>
      </c>
      <c r="N255" s="49">
        <v>3110132</v>
      </c>
      <c r="O255" s="49">
        <v>1315913</v>
      </c>
      <c r="P255" s="49">
        <v>13460</v>
      </c>
      <c r="Q255" s="50">
        <v>10256.7893953488</v>
      </c>
      <c r="R255" s="51">
        <v>5746.8139000759302</v>
      </c>
      <c r="S255" s="49">
        <v>13015.529808507201</v>
      </c>
      <c r="T255" s="49">
        <v>2661.4088152055001</v>
      </c>
      <c r="U255" s="49">
        <f>IFERROR(INDEX('Rentabilidad datos'!$N$2:$N$61,MATCH($C255,'Rentabilidad datos'!$C$2:$C$61,0)),"")</f>
        <v>21423.752523788604</v>
      </c>
      <c r="V255" s="50">
        <f>IFERROR(INDEX('Rentabilidad datos'!$O$2:$O$61,MATCH($C255,'Rentabilidad datos'!$C$2:$C$61,0)),"")</f>
        <v>1127.5659223046634</v>
      </c>
      <c r="W255" s="51">
        <f>IFERROR(INDEX('Rentabilidad datos'!$M$2:$M$61,MATCH($C255,'Rentabilidad datos'!$C$2:$C$61,0)),"")</f>
        <v>2854.7551675604168</v>
      </c>
      <c r="X255" s="52">
        <f>IFERROR(INDEX('Rentabilidad datos'!$P$2:$P$61,MATCH($C255,'Rentabilidad datos'!$C$2:$C$61,0)),"")</f>
        <v>0.39497815263374947</v>
      </c>
      <c r="Y255" s="43" t="s">
        <v>171</v>
      </c>
      <c r="Z255" s="53">
        <v>65.941860465116307</v>
      </c>
      <c r="AA255" s="43">
        <v>1</v>
      </c>
      <c r="AB255" s="54">
        <v>0.93657333418928457</v>
      </c>
      <c r="AC255" s="55">
        <v>6.3426665810715377E-2</v>
      </c>
      <c r="AD255" s="752" t="e">
        <f>_xlfn.XLOOKUP(Table1[[#This Row],[Ruta]],#REF!,#REF!)</f>
        <v>#REF!</v>
      </c>
      <c r="AE255" s="752" t="e">
        <f>_xlfn.XLOOKUP(Table1[[#This Row],[Ruta]],#REF!,#REF!)</f>
        <v>#REF!</v>
      </c>
      <c r="AF255" s="752" t="e">
        <f>_xlfn.XLOOKUP(Table1[[#This Row],[Ruta]],#REF!,#REF!)</f>
        <v>#REF!</v>
      </c>
      <c r="AG255" s="752" t="e">
        <f>_xlfn.XLOOKUP(Table1[[#This Row],[Ruta]],#REF!,#REF!)</f>
        <v>#REF!</v>
      </c>
      <c r="AH255" s="52">
        <v>0.70055828296172662</v>
      </c>
      <c r="AI255" s="52">
        <v>0.29640984749425892</v>
      </c>
      <c r="AJ255" s="55">
        <v>3.0318695440144793E-3</v>
      </c>
      <c r="AK255" s="56">
        <v>28355</v>
      </c>
      <c r="AL255" s="44">
        <v>10582</v>
      </c>
      <c r="AM255" s="54">
        <v>0.37319696702521599</v>
      </c>
      <c r="AN255" s="55">
        <v>0.57187636047017898</v>
      </c>
      <c r="AO255" s="56">
        <v>5633.5542011319103</v>
      </c>
      <c r="AP255" s="48">
        <v>2816.7771005659552</v>
      </c>
      <c r="AQ255" s="55">
        <v>0.47253666374769726</v>
      </c>
      <c r="AR255" s="51">
        <v>4410419.4400000004</v>
      </c>
      <c r="AS255" s="49">
        <v>1173990.59558523</v>
      </c>
      <c r="AT255" s="55">
        <v>0.26618570218918453</v>
      </c>
      <c r="AU255" s="51">
        <v>824966.36446529708</v>
      </c>
      <c r="AV255" s="52">
        <v>3.7528500606790667E-3</v>
      </c>
      <c r="AW255" s="44">
        <v>72</v>
      </c>
      <c r="AX255" s="51">
        <v>416.78505386505401</v>
      </c>
      <c r="AY255" s="49">
        <v>396.99386229061702</v>
      </c>
      <c r="AZ255" s="49">
        <v>0</v>
      </c>
      <c r="BA255" s="42" t="s">
        <v>152</v>
      </c>
      <c r="BB255" s="50">
        <v>0</v>
      </c>
      <c r="BC255" s="57">
        <v>824966.36446529708</v>
      </c>
      <c r="BD255" s="42" t="s">
        <v>150</v>
      </c>
      <c r="BE255" s="46">
        <v>65.941860465116307</v>
      </c>
      <c r="BF255" s="46">
        <v>55.840687053637701</v>
      </c>
      <c r="BG255" s="42" t="s">
        <v>150</v>
      </c>
      <c r="BH255" s="52">
        <v>0.37319696702521599</v>
      </c>
      <c r="BI255" s="52">
        <v>0.639829102646158</v>
      </c>
      <c r="BJ255" s="42" t="s">
        <v>152</v>
      </c>
      <c r="BK255" s="46">
        <v>515.32535523255797</v>
      </c>
      <c r="BL255" s="46">
        <v>626.21699529020998</v>
      </c>
      <c r="BM255" s="42" t="s">
        <v>152</v>
      </c>
      <c r="BN255" s="48">
        <v>1</v>
      </c>
      <c r="BO255" s="42" t="s">
        <v>155</v>
      </c>
      <c r="BP255" s="42" t="s">
        <v>152</v>
      </c>
      <c r="BQ255" s="46">
        <v>7234.73644496629</v>
      </c>
      <c r="BR255" s="46">
        <v>195</v>
      </c>
      <c r="BS255" s="46">
        <v>17813</v>
      </c>
      <c r="BT255" s="46">
        <v>5128</v>
      </c>
      <c r="BU255" s="46">
        <v>3.4736739469578781</v>
      </c>
      <c r="BV255" s="46">
        <v>26.297435897435896</v>
      </c>
      <c r="BW255" s="46">
        <v>319</v>
      </c>
      <c r="BX255" s="46">
        <v>1222</v>
      </c>
      <c r="BY255" s="46">
        <v>1541</v>
      </c>
      <c r="BZ255" s="46">
        <v>0.30050702028081122</v>
      </c>
      <c r="CA255" s="46">
        <v>6.2207488299531981E-2</v>
      </c>
      <c r="CB255" s="46">
        <v>0.23829953198127929</v>
      </c>
      <c r="CC255" s="46">
        <v>3.8026521060842443E-2</v>
      </c>
      <c r="CD255" s="46">
        <v>0</v>
      </c>
      <c r="CE255" s="46">
        <v>0</v>
      </c>
      <c r="CF255" s="46">
        <v>0.6614664586583463</v>
      </c>
      <c r="CG255" s="46">
        <v>0</v>
      </c>
      <c r="CH255" s="46">
        <v>0</v>
      </c>
      <c r="CI255" s="46">
        <v>4.4349632291023413</v>
      </c>
      <c r="CJ255" s="46">
        <v>0.50524897546735537</v>
      </c>
      <c r="CK255">
        <v>301</v>
      </c>
      <c r="CL255">
        <v>362.19</v>
      </c>
      <c r="CM255">
        <f t="shared" si="28"/>
        <v>61.19</v>
      </c>
      <c r="CN255">
        <v>6.55</v>
      </c>
      <c r="CO255">
        <v>9.4499999999999993</v>
      </c>
      <c r="CP255">
        <f t="shared" si="29"/>
        <v>2.8999999999999995</v>
      </c>
      <c r="CQ255">
        <v>846.56</v>
      </c>
      <c r="CR255">
        <v>515.33000000000004</v>
      </c>
      <c r="CS255">
        <f t="shared" si="30"/>
        <v>331.2299999999999</v>
      </c>
      <c r="CT255" t="s">
        <v>152</v>
      </c>
      <c r="CU255">
        <v>73.819999999999993</v>
      </c>
      <c r="CV255">
        <v>114</v>
      </c>
      <c r="CW255" s="46">
        <v>1541</v>
      </c>
      <c r="CX255" s="46">
        <f t="shared" si="24"/>
        <v>28.857449297971915</v>
      </c>
      <c r="CY255" s="46">
        <v>61.19</v>
      </c>
      <c r="CZ255" s="46">
        <f t="shared" si="25"/>
        <v>30.050702028081123</v>
      </c>
      <c r="DA255" s="46">
        <f t="shared" si="26"/>
        <v>215.54519876897936</v>
      </c>
      <c r="DB255" s="46">
        <v>1118504.99</v>
      </c>
      <c r="DC255" s="46">
        <f t="shared" si="27"/>
        <v>10.328810469456698</v>
      </c>
      <c r="DD255" s="46">
        <v>53598.16</v>
      </c>
      <c r="DE255" s="995">
        <v>1541</v>
      </c>
      <c r="DF255" s="995">
        <v>28.869</v>
      </c>
      <c r="DG255" s="995">
        <v>60.6</v>
      </c>
      <c r="DH255" s="995">
        <v>30.050999999999998</v>
      </c>
      <c r="DI255" s="995">
        <v>885.16800000000001</v>
      </c>
      <c r="DJ255" s="995">
        <v>4592776</v>
      </c>
      <c r="DK255" s="995">
        <v>42.637</v>
      </c>
      <c r="DL255" s="995">
        <v>221225</v>
      </c>
      <c r="DM255" s="995">
        <v>1541</v>
      </c>
      <c r="DN255" s="995">
        <v>29.016999999999999</v>
      </c>
      <c r="DO255" s="995">
        <v>53</v>
      </c>
      <c r="DP255" s="995">
        <v>30.050999999999998</v>
      </c>
      <c r="DQ255" s="995">
        <v>871.1</v>
      </c>
      <c r="DR255" s="995">
        <v>4513156</v>
      </c>
      <c r="DS255" s="995">
        <v>41.970999999999997</v>
      </c>
      <c r="DT255" s="995">
        <v>217449.4</v>
      </c>
    </row>
    <row r="256" spans="1:124">
      <c r="A256" s="42" t="s">
        <v>94</v>
      </c>
      <c r="B256" s="42" t="s">
        <v>446</v>
      </c>
      <c r="C256" s="42" t="s">
        <v>447</v>
      </c>
      <c r="D256" s="42">
        <v>901404</v>
      </c>
      <c r="E256" s="42" t="s">
        <v>458</v>
      </c>
      <c r="F256" s="42" t="s">
        <v>149</v>
      </c>
      <c r="G256" s="42" t="s">
        <v>150</v>
      </c>
      <c r="H256" s="43" t="s">
        <v>150</v>
      </c>
      <c r="I256" s="44">
        <v>22</v>
      </c>
      <c r="J256" s="45">
        <v>177521.91519999999</v>
      </c>
      <c r="K256" s="46">
        <v>6357.7654899999998</v>
      </c>
      <c r="L256" s="47">
        <v>183879.68069000001</v>
      </c>
      <c r="M256" s="48">
        <v>3509821</v>
      </c>
      <c r="N256" s="49">
        <v>2679768</v>
      </c>
      <c r="O256" s="49">
        <v>822703</v>
      </c>
      <c r="P256" s="49">
        <v>7350</v>
      </c>
      <c r="Q256" s="50">
        <v>7844.3043648960702</v>
      </c>
      <c r="R256" s="51">
        <v>5746.8139000759302</v>
      </c>
      <c r="S256" s="49">
        <v>13015.529808507201</v>
      </c>
      <c r="T256" s="49">
        <v>2661.4088152055001</v>
      </c>
      <c r="U256" s="49">
        <f>IFERROR(INDEX('Rentabilidad datos'!$N$2:$N$61,MATCH($C256,'Rentabilidad datos'!$C$2:$C$61,0)),"")</f>
        <v>21423.752523788604</v>
      </c>
      <c r="V256" s="50">
        <f>IFERROR(INDEX('Rentabilidad datos'!$O$2:$O$61,MATCH($C256,'Rentabilidad datos'!$C$2:$C$61,0)),"")</f>
        <v>1127.5659223046634</v>
      </c>
      <c r="W256" s="51">
        <f>IFERROR(INDEX('Rentabilidad datos'!$M$2:$M$61,MATCH($C256,'Rentabilidad datos'!$C$2:$C$61,0)),"")</f>
        <v>2854.7551675604168</v>
      </c>
      <c r="X256" s="52">
        <f>IFERROR(INDEX('Rentabilidad datos'!$P$2:$P$61,MATCH($C256,'Rentabilidad datos'!$C$2:$C$61,0)),"")</f>
        <v>0.39497815263374947</v>
      </c>
      <c r="Y256" s="43" t="s">
        <v>171</v>
      </c>
      <c r="Z256" s="53">
        <v>60.117782909930703</v>
      </c>
      <c r="AA256" s="43">
        <v>1</v>
      </c>
      <c r="AB256" s="54">
        <v>0.92806071876599971</v>
      </c>
      <c r="AC256" s="55">
        <v>7.1939281234000257E-2</v>
      </c>
      <c r="AD256" s="752" t="e">
        <f>_xlfn.XLOOKUP(Table1[[#This Row],[Ruta]],#REF!,#REF!)</f>
        <v>#REF!</v>
      </c>
      <c r="AE256" s="752" t="e">
        <f>_xlfn.XLOOKUP(Table1[[#This Row],[Ruta]],#REF!,#REF!)</f>
        <v>#REF!</v>
      </c>
      <c r="AF256" s="752" t="e">
        <f>_xlfn.XLOOKUP(Table1[[#This Row],[Ruta]],#REF!,#REF!)</f>
        <v>#REF!</v>
      </c>
      <c r="AG256" s="752" t="e">
        <f>_xlfn.XLOOKUP(Table1[[#This Row],[Ruta]],#REF!,#REF!)</f>
        <v>#REF!</v>
      </c>
      <c r="AH256" s="52">
        <v>0.76350560327720418</v>
      </c>
      <c r="AI256" s="52">
        <v>0.2344002728344266</v>
      </c>
      <c r="AJ256" s="55">
        <v>2.0941238883692361E-3</v>
      </c>
      <c r="AK256" s="56">
        <v>26031</v>
      </c>
      <c r="AL256" s="44">
        <v>11123</v>
      </c>
      <c r="AM256" s="54">
        <v>0.427298221351466</v>
      </c>
      <c r="AN256" s="55">
        <v>0.57187636047017898</v>
      </c>
      <c r="AO256" s="56">
        <v>3763.51353939922</v>
      </c>
      <c r="AP256" s="48">
        <v>1881.75676969961</v>
      </c>
      <c r="AQ256" s="55">
        <v>0.4995872909108221</v>
      </c>
      <c r="AR256" s="51">
        <v>3396583.79</v>
      </c>
      <c r="AS256" s="49">
        <v>574624.16080953495</v>
      </c>
      <c r="AT256" s="55">
        <v>0.16917708978689289</v>
      </c>
      <c r="AU256" s="51">
        <v>403789.95083913283</v>
      </c>
      <c r="AV256" s="52">
        <v>1.8368786980671888E-3</v>
      </c>
      <c r="AW256" s="44">
        <v>186</v>
      </c>
      <c r="AX256" s="51">
        <v>305.36579969432699</v>
      </c>
      <c r="AY256" s="49">
        <v>396.99386229061702</v>
      </c>
      <c r="AZ256" s="49">
        <v>91.628062596290022</v>
      </c>
      <c r="BA256" s="42" t="s">
        <v>150</v>
      </c>
      <c r="BB256" s="50">
        <v>358089.89792867424</v>
      </c>
      <c r="BC256" s="57">
        <v>761879.84876780701</v>
      </c>
      <c r="BD256" s="42" t="s">
        <v>150</v>
      </c>
      <c r="BE256" s="46">
        <v>60.117782909930703</v>
      </c>
      <c r="BF256" s="46">
        <v>55.840687053637701</v>
      </c>
      <c r="BG256" s="42" t="s">
        <v>150</v>
      </c>
      <c r="BH256" s="52">
        <v>0.427298221351466</v>
      </c>
      <c r="BI256" s="52">
        <v>0.639829102646158</v>
      </c>
      <c r="BJ256" s="42" t="s">
        <v>152</v>
      </c>
      <c r="BK256" s="46">
        <v>424.66438958429598</v>
      </c>
      <c r="BL256" s="46">
        <v>626.21699529020998</v>
      </c>
      <c r="BM256" s="42" t="s">
        <v>152</v>
      </c>
      <c r="BN256" s="48">
        <v>1</v>
      </c>
      <c r="BO256" s="42" t="s">
        <v>155</v>
      </c>
      <c r="BP256" s="42" t="s">
        <v>152</v>
      </c>
      <c r="BQ256" s="46">
        <v>3992.0879049699702</v>
      </c>
      <c r="BR256" s="46">
        <v>271</v>
      </c>
      <c r="BS256" s="46">
        <v>29917</v>
      </c>
      <c r="BT256" s="46">
        <v>7650</v>
      </c>
      <c r="BU256" s="46">
        <v>3.9107189542483658</v>
      </c>
      <c r="BV256" s="46">
        <v>28.228782287822877</v>
      </c>
      <c r="BW256" s="46">
        <v>0</v>
      </c>
      <c r="BX256" s="46">
        <v>1677</v>
      </c>
      <c r="BY256" s="46">
        <v>1677</v>
      </c>
      <c r="BZ256" s="46">
        <v>0.2192156862745098</v>
      </c>
      <c r="CA256" s="46">
        <v>0</v>
      </c>
      <c r="CB256" s="46">
        <v>0.2192156862745098</v>
      </c>
      <c r="CC256" s="46">
        <v>5.1372549019607847E-2</v>
      </c>
      <c r="CD256" s="46">
        <v>0</v>
      </c>
      <c r="CE256" s="46">
        <v>0</v>
      </c>
      <c r="CF256" s="46">
        <v>0.72941176470588232</v>
      </c>
      <c r="CG256" s="46">
        <v>0</v>
      </c>
      <c r="CH256" s="46">
        <v>0</v>
      </c>
      <c r="CI256" s="46">
        <v>4.2450780492696456</v>
      </c>
      <c r="CJ256" s="46">
        <v>0.13370324564628799</v>
      </c>
      <c r="CK256">
        <v>265</v>
      </c>
      <c r="CL256">
        <v>322.31</v>
      </c>
      <c r="CM256">
        <f t="shared" si="28"/>
        <v>57.31</v>
      </c>
      <c r="CN256">
        <v>7.72</v>
      </c>
      <c r="CO256">
        <v>9.4499999999999993</v>
      </c>
      <c r="CP256">
        <f t="shared" si="29"/>
        <v>1.7299999999999995</v>
      </c>
      <c r="CQ256">
        <v>846.56</v>
      </c>
      <c r="CR256">
        <v>424.66</v>
      </c>
      <c r="CS256">
        <f t="shared" si="30"/>
        <v>421.89999999999992</v>
      </c>
      <c r="CT256" t="s">
        <v>152</v>
      </c>
      <c r="CU256">
        <v>84.98</v>
      </c>
      <c r="CV256">
        <v>127</v>
      </c>
      <c r="CW256" s="46">
        <v>1677</v>
      </c>
      <c r="CX256" s="46">
        <f t="shared" si="24"/>
        <v>21.172418300653597</v>
      </c>
      <c r="CY256" s="46">
        <v>57.31</v>
      </c>
      <c r="CZ256" s="46">
        <f t="shared" si="25"/>
        <v>21.921568627450981</v>
      </c>
      <c r="DA256" s="46">
        <f t="shared" si="26"/>
        <v>99.738118747007704</v>
      </c>
      <c r="DB256" s="46">
        <v>768712.6</v>
      </c>
      <c r="DC256" s="46">
        <f t="shared" si="27"/>
        <v>4.0058061762145289</v>
      </c>
      <c r="DD256" s="46">
        <v>30873.99</v>
      </c>
      <c r="DE256" s="995">
        <v>1677</v>
      </c>
      <c r="DF256" s="995">
        <v>21.152000000000001</v>
      </c>
      <c r="DG256" s="995">
        <v>58.8</v>
      </c>
      <c r="DH256" s="995">
        <v>21.922000000000001</v>
      </c>
      <c r="DI256" s="995">
        <v>477.02199999999999</v>
      </c>
      <c r="DJ256" s="995">
        <v>3677288</v>
      </c>
      <c r="DK256" s="995">
        <v>22.913</v>
      </c>
      <c r="DL256" s="995">
        <v>176636.2</v>
      </c>
      <c r="DM256" s="995">
        <v>1677</v>
      </c>
      <c r="DN256" s="995">
        <v>21.288</v>
      </c>
      <c r="DO256" s="995">
        <v>48.5</v>
      </c>
      <c r="DP256" s="995">
        <v>21.922000000000001</v>
      </c>
      <c r="DQ256" s="995">
        <v>461.24400000000003</v>
      </c>
      <c r="DR256" s="995">
        <v>3550872</v>
      </c>
      <c r="DS256" s="995">
        <v>22.28</v>
      </c>
      <c r="DT256" s="995">
        <v>171522.9</v>
      </c>
    </row>
    <row r="257" spans="1:124">
      <c r="A257" s="42" t="s">
        <v>94</v>
      </c>
      <c r="B257" s="42" t="s">
        <v>446</v>
      </c>
      <c r="C257" s="42" t="s">
        <v>447</v>
      </c>
      <c r="D257" s="42">
        <v>901405</v>
      </c>
      <c r="E257" s="42" t="s">
        <v>459</v>
      </c>
      <c r="F257" s="42" t="s">
        <v>149</v>
      </c>
      <c r="G257" s="42" t="s">
        <v>150</v>
      </c>
      <c r="H257" s="43" t="s">
        <v>150</v>
      </c>
      <c r="I257" s="44">
        <v>22</v>
      </c>
      <c r="J257" s="45">
        <v>67499.751199999999</v>
      </c>
      <c r="K257" s="46">
        <v>3434.944825</v>
      </c>
      <c r="L257" s="47">
        <v>70934.696024999997</v>
      </c>
      <c r="M257" s="48">
        <v>1300887</v>
      </c>
      <c r="N257" s="49">
        <v>942266</v>
      </c>
      <c r="O257" s="49">
        <v>356212</v>
      </c>
      <c r="P257" s="49">
        <v>2409</v>
      </c>
      <c r="Q257" s="50">
        <v>3720.76865753425</v>
      </c>
      <c r="R257" s="51">
        <v>5746.8139000759302</v>
      </c>
      <c r="S257" s="49">
        <v>13015.529808507201</v>
      </c>
      <c r="T257" s="49">
        <v>2661.4088152055001</v>
      </c>
      <c r="U257" s="49">
        <f>IFERROR(INDEX('Rentabilidad datos'!$N$2:$N$61,MATCH($C257,'Rentabilidad datos'!$C$2:$C$61,0)),"")</f>
        <v>21423.752523788604</v>
      </c>
      <c r="V257" s="50">
        <f>IFERROR(INDEX('Rentabilidad datos'!$O$2:$O$61,MATCH($C257,'Rentabilidad datos'!$C$2:$C$61,0)),"")</f>
        <v>1127.5659223046634</v>
      </c>
      <c r="W257" s="51">
        <f>IFERROR(INDEX('Rentabilidad datos'!$M$2:$M$61,MATCH($C257,'Rentabilidad datos'!$C$2:$C$61,0)),"")</f>
        <v>2854.7551675604168</v>
      </c>
      <c r="X257" s="52">
        <f>IFERROR(INDEX('Rentabilidad datos'!$P$2:$P$61,MATCH($C257,'Rentabilidad datos'!$C$2:$C$61,0)),"")</f>
        <v>0.39497815263374947</v>
      </c>
      <c r="Y257" s="43" t="s">
        <v>171</v>
      </c>
      <c r="Z257" s="53">
        <v>50.034188034187999</v>
      </c>
      <c r="AA257" s="43">
        <v>1</v>
      </c>
      <c r="AB257" s="54">
        <v>0.98366960389334357</v>
      </c>
      <c r="AC257" s="55">
        <v>1.6330396106656458E-2</v>
      </c>
      <c r="AD257" s="752" t="e">
        <f>_xlfn.XLOOKUP(Table1[[#This Row],[Ruta]],#REF!,#REF!)</f>
        <v>#REF!</v>
      </c>
      <c r="AE257" s="752" t="e">
        <f>_xlfn.XLOOKUP(Table1[[#This Row],[Ruta]],#REF!,#REF!)</f>
        <v>#REF!</v>
      </c>
      <c r="AF257" s="752" t="e">
        <f>_xlfn.XLOOKUP(Table1[[#This Row],[Ruta]],#REF!,#REF!)</f>
        <v>#REF!</v>
      </c>
      <c r="AG257" s="752" t="e">
        <f>_xlfn.XLOOKUP(Table1[[#This Row],[Ruta]],#REF!,#REF!)</f>
        <v>#REF!</v>
      </c>
      <c r="AH257" s="52">
        <v>0.72432578694383143</v>
      </c>
      <c r="AI257" s="52">
        <v>0.27382239963963051</v>
      </c>
      <c r="AJ257" s="55">
        <v>1.8518134165381006E-3</v>
      </c>
      <c r="AK257" s="56">
        <v>17562</v>
      </c>
      <c r="AL257" s="44">
        <v>3686</v>
      </c>
      <c r="AM257" s="54">
        <v>0.20476027787268</v>
      </c>
      <c r="AN257" s="55">
        <v>0.57187636047017898</v>
      </c>
      <c r="AO257" s="56">
        <v>6447.2926425772803</v>
      </c>
      <c r="AP257" s="48">
        <v>3223.6463212886401</v>
      </c>
      <c r="AQ257" s="55">
        <v>0.39344302023053412</v>
      </c>
      <c r="AR257" s="51">
        <v>1358080.56</v>
      </c>
      <c r="AS257" s="49">
        <v>1187729.6259516049</v>
      </c>
      <c r="AT257" s="55">
        <v>0.87456492709946809</v>
      </c>
      <c r="AU257" s="51">
        <v>834620.81823626324</v>
      </c>
      <c r="AV257" s="52">
        <v>3.7967690845094226E-3</v>
      </c>
      <c r="AW257" s="44">
        <v>68</v>
      </c>
      <c r="AX257" s="51">
        <v>368.442908301682</v>
      </c>
      <c r="AY257" s="49">
        <v>396.99386229061702</v>
      </c>
      <c r="AZ257" s="49">
        <v>28.550953988935021</v>
      </c>
      <c r="BA257" s="42" t="s">
        <v>150</v>
      </c>
      <c r="BB257" s="50">
        <v>36975.800357886183</v>
      </c>
      <c r="BC257" s="57">
        <v>871596.61859414936</v>
      </c>
      <c r="BD257" s="42" t="s">
        <v>150</v>
      </c>
      <c r="BE257" s="46">
        <v>50.034188034187999</v>
      </c>
      <c r="BF257" s="46">
        <v>55.840687053637701</v>
      </c>
      <c r="BG257" s="42" t="s">
        <v>152</v>
      </c>
      <c r="BH257" s="52">
        <v>0.20476027787268</v>
      </c>
      <c r="BI257" s="52">
        <v>0.639829102646158</v>
      </c>
      <c r="BJ257" s="42" t="s">
        <v>152</v>
      </c>
      <c r="BK257" s="46">
        <v>194.34163294520499</v>
      </c>
      <c r="BL257" s="46">
        <v>626.21699529020998</v>
      </c>
      <c r="BM257" s="42" t="s">
        <v>152</v>
      </c>
      <c r="BN257" s="48">
        <v>0</v>
      </c>
      <c r="BO257" s="42" t="s">
        <v>155</v>
      </c>
      <c r="BP257" s="42" t="s">
        <v>152</v>
      </c>
      <c r="BQ257" s="46">
        <v>6760.0055136317496</v>
      </c>
      <c r="BR257" s="46">
        <v>242</v>
      </c>
      <c r="BS257" s="46">
        <v>17925</v>
      </c>
      <c r="BT257" s="46">
        <v>4917</v>
      </c>
      <c r="BU257" s="46">
        <v>3.6455155582672361</v>
      </c>
      <c r="BV257" s="46">
        <v>20.318181818181817</v>
      </c>
      <c r="BW257" s="46">
        <v>1</v>
      </c>
      <c r="BX257" s="46">
        <v>0</v>
      </c>
      <c r="BY257" s="46">
        <v>1</v>
      </c>
      <c r="BZ257" s="46">
        <v>2.0337604230221681E-4</v>
      </c>
      <c r="CA257" s="46">
        <v>2.0337604230221681E-4</v>
      </c>
      <c r="CB257" s="46">
        <v>0</v>
      </c>
      <c r="CC257" s="46">
        <v>0.34655277608297741</v>
      </c>
      <c r="CD257" s="46">
        <v>2.0337604230221681E-4</v>
      </c>
      <c r="CE257" s="46">
        <v>0</v>
      </c>
      <c r="CF257" s="46">
        <v>0.65304047183241809</v>
      </c>
      <c r="CG257" s="46">
        <v>0</v>
      </c>
      <c r="CH257" s="46">
        <v>0</v>
      </c>
      <c r="CI257" s="46">
        <v>3.514644351464435</v>
      </c>
      <c r="CJ257" s="46">
        <v>0.50209205020920511</v>
      </c>
      <c r="CK257">
        <v>207</v>
      </c>
      <c r="CL257">
        <v>291.06</v>
      </c>
      <c r="CM257">
        <f t="shared" si="28"/>
        <v>84.06</v>
      </c>
      <c r="CN257">
        <v>2.44</v>
      </c>
      <c r="CO257">
        <v>9.4499999999999993</v>
      </c>
      <c r="CP257">
        <f t="shared" si="29"/>
        <v>7.01</v>
      </c>
      <c r="CQ257">
        <v>564.37</v>
      </c>
      <c r="CR257">
        <v>194.34</v>
      </c>
      <c r="CS257">
        <f t="shared" si="30"/>
        <v>370.03</v>
      </c>
      <c r="CT257" t="s">
        <v>152</v>
      </c>
      <c r="CU257">
        <v>34.43</v>
      </c>
      <c r="CV257">
        <v>30</v>
      </c>
      <c r="CW257" s="46">
        <v>1</v>
      </c>
      <c r="CX257" s="46">
        <f t="shared" si="24"/>
        <v>-1.6892414073622126</v>
      </c>
      <c r="CY257" s="46">
        <v>84.06</v>
      </c>
      <c r="CZ257" s="46">
        <f t="shared" si="25"/>
        <v>2.0337604230221681E-2</v>
      </c>
      <c r="DA257" s="46">
        <f t="shared" si="26"/>
        <v>146.6161753708214</v>
      </c>
      <c r="DB257" s="46">
        <v>733236.29</v>
      </c>
      <c r="DC257" s="46">
        <f t="shared" si="27"/>
        <v>8.3407117691049493</v>
      </c>
      <c r="DD257" s="46">
        <v>41712.400000000001</v>
      </c>
      <c r="DE257" s="995">
        <v>1</v>
      </c>
      <c r="DF257" s="995">
        <v>-0.96299999999999997</v>
      </c>
      <c r="DG257" s="995">
        <v>48.3</v>
      </c>
      <c r="DH257" s="995">
        <v>0.02</v>
      </c>
      <c r="DI257" s="995">
        <v>415.63900000000001</v>
      </c>
      <c r="DJ257" s="995">
        <v>2063792</v>
      </c>
      <c r="DK257" s="995">
        <v>22.806999999999999</v>
      </c>
      <c r="DL257" s="995">
        <v>113243.6</v>
      </c>
      <c r="DM257" s="995">
        <v>1</v>
      </c>
      <c r="DN257" s="995">
        <v>-0.78900000000000003</v>
      </c>
      <c r="DO257" s="995">
        <v>39.799999999999997</v>
      </c>
      <c r="DP257" s="995">
        <v>0.02</v>
      </c>
      <c r="DQ257" s="995">
        <v>401.339</v>
      </c>
      <c r="DR257" s="995">
        <v>1989366</v>
      </c>
      <c r="DS257" s="995">
        <v>21.992000000000001</v>
      </c>
      <c r="DT257" s="995">
        <v>109009.7</v>
      </c>
    </row>
    <row r="258" spans="1:124">
      <c r="A258" s="42" t="s">
        <v>94</v>
      </c>
      <c r="B258" s="42" t="s">
        <v>446</v>
      </c>
      <c r="C258" s="42" t="s">
        <v>447</v>
      </c>
      <c r="D258" s="42">
        <v>901406</v>
      </c>
      <c r="E258" s="42" t="s">
        <v>460</v>
      </c>
      <c r="F258" s="42" t="s">
        <v>149</v>
      </c>
      <c r="G258" s="42" t="s">
        <v>150</v>
      </c>
      <c r="H258" s="43" t="s">
        <v>150</v>
      </c>
      <c r="I258" s="44">
        <v>22</v>
      </c>
      <c r="J258" s="45">
        <v>327058.36239999998</v>
      </c>
      <c r="K258" s="46">
        <v>12245.777119</v>
      </c>
      <c r="L258" s="47">
        <v>339304.13951900002</v>
      </c>
      <c r="M258" s="48">
        <v>6430167</v>
      </c>
      <c r="N258" s="49">
        <v>4908292</v>
      </c>
      <c r="O258" s="49">
        <v>1486737</v>
      </c>
      <c r="P258" s="49">
        <v>35138</v>
      </c>
      <c r="Q258" s="50">
        <v>14561.540753424701</v>
      </c>
      <c r="R258" s="51">
        <v>5746.8139000759302</v>
      </c>
      <c r="S258" s="49">
        <v>13015.529808507201</v>
      </c>
      <c r="T258" s="49">
        <v>2661.4088152055001</v>
      </c>
      <c r="U258" s="49">
        <f>IFERROR(INDEX('Rentabilidad datos'!$N$2:$N$61,MATCH($C258,'Rentabilidad datos'!$C$2:$C$61,0)),"")</f>
        <v>21423.752523788604</v>
      </c>
      <c r="V258" s="50">
        <f>IFERROR(INDEX('Rentabilidad datos'!$O$2:$O$61,MATCH($C258,'Rentabilidad datos'!$C$2:$C$61,0)),"")</f>
        <v>1127.5659223046634</v>
      </c>
      <c r="W258" s="51">
        <f>IFERROR(INDEX('Rentabilidad datos'!$M$2:$M$61,MATCH($C258,'Rentabilidad datos'!$C$2:$C$61,0)),"")</f>
        <v>2854.7551675604168</v>
      </c>
      <c r="X258" s="52">
        <f>IFERROR(INDEX('Rentabilidad datos'!$P$2:$P$61,MATCH($C258,'Rentabilidad datos'!$C$2:$C$61,0)),"")</f>
        <v>0.39497815263374947</v>
      </c>
      <c r="Y258" s="43" t="s">
        <v>171</v>
      </c>
      <c r="Z258" s="53">
        <v>83.440639269406404</v>
      </c>
      <c r="AA258" s="43">
        <v>1</v>
      </c>
      <c r="AB258" s="54">
        <v>0.9855212158564467</v>
      </c>
      <c r="AC258" s="55">
        <v>1.4478784143553348E-2</v>
      </c>
      <c r="AD258" s="752" t="e">
        <f>_xlfn.XLOOKUP(Table1[[#This Row],[Ruta]],#REF!,#REF!)</f>
        <v>#REF!</v>
      </c>
      <c r="AE258" s="752" t="e">
        <f>_xlfn.XLOOKUP(Table1[[#This Row],[Ruta]],#REF!,#REF!)</f>
        <v>#REF!</v>
      </c>
      <c r="AF258" s="752" t="e">
        <f>_xlfn.XLOOKUP(Table1[[#This Row],[Ruta]],#REF!,#REF!)</f>
        <v>#REF!</v>
      </c>
      <c r="AG258" s="752" t="e">
        <f>_xlfn.XLOOKUP(Table1[[#This Row],[Ruta]],#REF!,#REF!)</f>
        <v>#REF!</v>
      </c>
      <c r="AH258" s="52">
        <v>0.76332263221157393</v>
      </c>
      <c r="AI258" s="52">
        <v>0.23121281297981841</v>
      </c>
      <c r="AJ258" s="55">
        <v>5.4645548086076148E-3</v>
      </c>
      <c r="AK258" s="56">
        <v>36547</v>
      </c>
      <c r="AL258" s="44">
        <v>16248</v>
      </c>
      <c r="AM258" s="54">
        <v>0.44457821435411898</v>
      </c>
      <c r="AN258" s="55">
        <v>0.57187636047017898</v>
      </c>
      <c r="AO258" s="56">
        <v>4652.3653461036201</v>
      </c>
      <c r="AP258" s="48">
        <v>2326.1826730518101</v>
      </c>
      <c r="AQ258" s="55">
        <v>0.50822728741214906</v>
      </c>
      <c r="AR258" s="51">
        <v>6377954.8499999996</v>
      </c>
      <c r="AS258" s="49">
        <v>913114.72560172004</v>
      </c>
      <c r="AT258" s="55">
        <v>0.14316732355070216</v>
      </c>
      <c r="AU258" s="51">
        <v>641648.18555796565</v>
      </c>
      <c r="AV258" s="52">
        <v>2.9189183169505079E-3</v>
      </c>
      <c r="AW258" s="44">
        <v>108</v>
      </c>
      <c r="AX258" s="51">
        <v>392.537841580502</v>
      </c>
      <c r="AY258" s="49">
        <v>396.99386229061702</v>
      </c>
      <c r="AZ258" s="49">
        <v>4.4560207101150127</v>
      </c>
      <c r="BA258" s="42" t="s">
        <v>150</v>
      </c>
      <c r="BB258" s="50">
        <v>25438.338337117129</v>
      </c>
      <c r="BC258" s="57">
        <v>667086.52389508276</v>
      </c>
      <c r="BD258" s="42" t="s">
        <v>150</v>
      </c>
      <c r="BE258" s="46">
        <v>83.440639269406404</v>
      </c>
      <c r="BF258" s="46">
        <v>55.840687053637701</v>
      </c>
      <c r="BG258" s="42" t="s">
        <v>150</v>
      </c>
      <c r="BH258" s="52">
        <v>0.44457821435411898</v>
      </c>
      <c r="BI258" s="52">
        <v>0.639829102646158</v>
      </c>
      <c r="BJ258" s="42" t="s">
        <v>152</v>
      </c>
      <c r="BK258" s="46">
        <v>774.66698520319596</v>
      </c>
      <c r="BL258" s="46">
        <v>626.21699529020998</v>
      </c>
      <c r="BM258" s="42" t="s">
        <v>150</v>
      </c>
      <c r="BN258" s="48">
        <v>2</v>
      </c>
      <c r="BO258" s="42" t="s">
        <v>161</v>
      </c>
      <c r="BP258" s="42" t="s">
        <v>152</v>
      </c>
      <c r="BQ258" s="46">
        <v>4322.8811717296303</v>
      </c>
      <c r="BR258" s="46">
        <v>214</v>
      </c>
      <c r="BS258" s="46">
        <v>26498</v>
      </c>
      <c r="BT258" s="46">
        <v>7834</v>
      </c>
      <c r="BU258" s="46">
        <v>3.3824355374010722</v>
      </c>
      <c r="BV258" s="46">
        <v>36.607476635514018</v>
      </c>
      <c r="BW258" s="46">
        <v>622</v>
      </c>
      <c r="BX258" s="46">
        <v>5310</v>
      </c>
      <c r="BY258" s="46">
        <v>5932</v>
      </c>
      <c r="BZ258" s="46">
        <v>0.75721215215726323</v>
      </c>
      <c r="CA258" s="46">
        <v>7.9397498085269344E-2</v>
      </c>
      <c r="CB258" s="46">
        <v>0.67781465407199393</v>
      </c>
      <c r="CC258" s="46">
        <v>0</v>
      </c>
      <c r="CD258" s="46">
        <v>0</v>
      </c>
      <c r="CE258" s="46">
        <v>0</v>
      </c>
      <c r="CF258" s="46">
        <v>0.2427878478427368</v>
      </c>
      <c r="CG258" s="46">
        <v>0</v>
      </c>
      <c r="CH258" s="46">
        <v>0</v>
      </c>
      <c r="CI258" s="46">
        <v>2.8681409917729641</v>
      </c>
      <c r="CJ258" s="46">
        <v>0.18869348630085289</v>
      </c>
      <c r="CK258">
        <v>276</v>
      </c>
      <c r="CL258">
        <v>399.19</v>
      </c>
      <c r="CM258">
        <f t="shared" si="28"/>
        <v>123.19</v>
      </c>
      <c r="CN258">
        <v>7.95</v>
      </c>
      <c r="CO258">
        <v>9.4499999999999993</v>
      </c>
      <c r="CP258">
        <f t="shared" si="29"/>
        <v>1.4999999999999991</v>
      </c>
      <c r="CQ258">
        <v>846.56</v>
      </c>
      <c r="CR258">
        <v>774.67</v>
      </c>
      <c r="CS258">
        <f t="shared" si="30"/>
        <v>71.889999999999986</v>
      </c>
      <c r="CT258" t="s">
        <v>152</v>
      </c>
      <c r="CU258">
        <v>95.1</v>
      </c>
      <c r="CV258">
        <v>252</v>
      </c>
      <c r="CW258" s="46">
        <v>5932</v>
      </c>
      <c r="CX258" s="46">
        <f t="shared" si="24"/>
        <v>74.148710748021458</v>
      </c>
      <c r="CY258" s="46">
        <v>123.19</v>
      </c>
      <c r="CZ258" s="46">
        <f t="shared" si="25"/>
        <v>75.721215215726318</v>
      </c>
      <c r="DA258" s="46">
        <f t="shared" si="26"/>
        <v>148.5015828452004</v>
      </c>
      <c r="DB258" s="46">
        <v>1181655.31</v>
      </c>
      <c r="DC258" s="46">
        <f t="shared" si="27"/>
        <v>7.6821943424751709</v>
      </c>
      <c r="DD258" s="46">
        <v>61128.68</v>
      </c>
      <c r="DE258" s="995">
        <v>5932</v>
      </c>
      <c r="DF258" s="995">
        <v>74.149000000000001</v>
      </c>
      <c r="DG258" s="995">
        <v>123.2</v>
      </c>
      <c r="DH258" s="995">
        <v>75.721000000000004</v>
      </c>
      <c r="DI258" s="995">
        <v>714.56200000000001</v>
      </c>
      <c r="DJ258" s="995">
        <v>5685901</v>
      </c>
      <c r="DK258" s="995">
        <v>37.323999999999998</v>
      </c>
      <c r="DL258" s="995">
        <v>296991.7</v>
      </c>
      <c r="DM258" s="995">
        <v>5932</v>
      </c>
      <c r="DN258" s="995">
        <v>74.149000000000001</v>
      </c>
      <c r="DO258" s="995">
        <v>123.2</v>
      </c>
      <c r="DP258" s="995">
        <v>75.721000000000004</v>
      </c>
      <c r="DQ258" s="995">
        <v>714.56200000000001</v>
      </c>
      <c r="DR258" s="995">
        <v>5685901</v>
      </c>
      <c r="DS258" s="995">
        <v>37.323999999999998</v>
      </c>
      <c r="DT258" s="995">
        <v>296991.7</v>
      </c>
    </row>
    <row r="259" spans="1:124">
      <c r="A259" s="42" t="s">
        <v>94</v>
      </c>
      <c r="B259" s="42" t="s">
        <v>446</v>
      </c>
      <c r="C259" s="42" t="s">
        <v>447</v>
      </c>
      <c r="D259" s="42">
        <v>901407</v>
      </c>
      <c r="E259" s="42" t="s">
        <v>461</v>
      </c>
      <c r="F259" s="42" t="s">
        <v>149</v>
      </c>
      <c r="G259" s="42" t="s">
        <v>150</v>
      </c>
      <c r="H259" s="43" t="s">
        <v>150</v>
      </c>
      <c r="I259" s="44">
        <v>22</v>
      </c>
      <c r="J259" s="45">
        <v>180797.74720000001</v>
      </c>
      <c r="K259" s="46">
        <v>6958.5839500000002</v>
      </c>
      <c r="L259" s="47">
        <v>187756.33115000001</v>
      </c>
      <c r="M259" s="48">
        <v>3477343</v>
      </c>
      <c r="N259" s="49">
        <v>2730300</v>
      </c>
      <c r="O259" s="49">
        <v>732922</v>
      </c>
      <c r="P259" s="49">
        <v>14121</v>
      </c>
      <c r="Q259" s="50">
        <v>7997.8220000000001</v>
      </c>
      <c r="R259" s="51">
        <v>5746.8139000759302</v>
      </c>
      <c r="S259" s="49">
        <v>13015.529808507201</v>
      </c>
      <c r="T259" s="49">
        <v>2661.4088152055001</v>
      </c>
      <c r="U259" s="49">
        <f>IFERROR(INDEX('Rentabilidad datos'!$N$2:$N$61,MATCH($C259,'Rentabilidad datos'!$C$2:$C$61,0)),"")</f>
        <v>21423.752523788604</v>
      </c>
      <c r="V259" s="50">
        <f>IFERROR(INDEX('Rentabilidad datos'!$O$2:$O$61,MATCH($C259,'Rentabilidad datos'!$C$2:$C$61,0)),"")</f>
        <v>1127.5659223046634</v>
      </c>
      <c r="W259" s="51">
        <f>IFERROR(INDEX('Rentabilidad datos'!$M$2:$M$61,MATCH($C259,'Rentabilidad datos'!$C$2:$C$61,0)),"")</f>
        <v>2854.7551675604168</v>
      </c>
      <c r="X259" s="52">
        <f>IFERROR(INDEX('Rentabilidad datos'!$P$2:$P$61,MATCH($C259,'Rentabilidad datos'!$C$2:$C$61,0)),"")</f>
        <v>0.39497815263374947</v>
      </c>
      <c r="Y259" s="43" t="s">
        <v>171</v>
      </c>
      <c r="Z259" s="53">
        <v>54.610849056603797</v>
      </c>
      <c r="AA259" s="43">
        <v>1</v>
      </c>
      <c r="AB259" s="54">
        <v>0.95428089780041836</v>
      </c>
      <c r="AC259" s="55">
        <v>4.5719102199581689E-2</v>
      </c>
      <c r="AD259" s="752" t="e">
        <f>_xlfn.XLOOKUP(Table1[[#This Row],[Ruta]],#REF!,#REF!)</f>
        <v>#REF!</v>
      </c>
      <c r="AE259" s="752" t="e">
        <f>_xlfn.XLOOKUP(Table1[[#This Row],[Ruta]],#REF!,#REF!)</f>
        <v>#REF!</v>
      </c>
      <c r="AF259" s="752" t="e">
        <f>_xlfn.XLOOKUP(Table1[[#This Row],[Ruta]],#REF!,#REF!)</f>
        <v>#REF!</v>
      </c>
      <c r="AG259" s="752" t="e">
        <f>_xlfn.XLOOKUP(Table1[[#This Row],[Ruta]],#REF!,#REF!)</f>
        <v>#REF!</v>
      </c>
      <c r="AH259" s="52">
        <v>0.78516844613833037</v>
      </c>
      <c r="AI259" s="52">
        <v>0.21077069475171128</v>
      </c>
      <c r="AJ259" s="55">
        <v>4.0608591099583792E-3</v>
      </c>
      <c r="AK259" s="56">
        <v>23155</v>
      </c>
      <c r="AL259" s="44">
        <v>10142</v>
      </c>
      <c r="AM259" s="54">
        <v>0.43761606564456901</v>
      </c>
      <c r="AN259" s="55">
        <v>0.57187636047017898</v>
      </c>
      <c r="AO259" s="56">
        <v>3108.7971266869799</v>
      </c>
      <c r="AP259" s="48">
        <v>1554.39856334349</v>
      </c>
      <c r="AQ259" s="55">
        <v>0.50513489800662881</v>
      </c>
      <c r="AR259" s="51">
        <v>3439063.46</v>
      </c>
      <c r="AS259" s="49">
        <v>527082.95222551003</v>
      </c>
      <c r="AT259" s="55">
        <v>0.15326351442945169</v>
      </c>
      <c r="AU259" s="51">
        <v>370382.61507738556</v>
      </c>
      <c r="AV259" s="52">
        <v>1.6849055662633732E-3</v>
      </c>
      <c r="AW259" s="44">
        <v>204</v>
      </c>
      <c r="AX259" s="51">
        <v>339.09125024650001</v>
      </c>
      <c r="AY259" s="49">
        <v>396.99386229061702</v>
      </c>
      <c r="AZ259" s="49">
        <v>57.902612044117006</v>
      </c>
      <c r="BA259" s="42" t="s">
        <v>150</v>
      </c>
      <c r="BB259" s="50">
        <v>206330.48074509873</v>
      </c>
      <c r="BC259" s="57">
        <v>576713.09582248423</v>
      </c>
      <c r="BD259" s="42" t="s">
        <v>150</v>
      </c>
      <c r="BE259" s="46">
        <v>54.610849056603797</v>
      </c>
      <c r="BF259" s="46">
        <v>55.840687053637701</v>
      </c>
      <c r="BG259" s="42" t="s">
        <v>152</v>
      </c>
      <c r="BH259" s="52">
        <v>0.43761606564456901</v>
      </c>
      <c r="BI259" s="52">
        <v>0.639829102646158</v>
      </c>
      <c r="BJ259" s="42" t="s">
        <v>152</v>
      </c>
      <c r="BK259" s="46">
        <v>436.642630581395</v>
      </c>
      <c r="BL259" s="46">
        <v>626.21699529020998</v>
      </c>
      <c r="BM259" s="42" t="s">
        <v>152</v>
      </c>
      <c r="BN259" s="48">
        <v>0</v>
      </c>
      <c r="BO259" s="42" t="s">
        <v>155</v>
      </c>
      <c r="BP259" s="42" t="s">
        <v>152</v>
      </c>
      <c r="BQ259" s="46">
        <v>4524.85664057345</v>
      </c>
      <c r="BR259" s="46">
        <v>280</v>
      </c>
      <c r="BS259" s="46">
        <v>33992</v>
      </c>
      <c r="BT259" s="46">
        <v>8704</v>
      </c>
      <c r="BU259" s="46">
        <v>3.9053308823529411</v>
      </c>
      <c r="BV259" s="46">
        <v>31.085714285714285</v>
      </c>
      <c r="BW259" s="46">
        <v>0</v>
      </c>
      <c r="BX259" s="46">
        <v>1422</v>
      </c>
      <c r="BY259" s="46">
        <v>1422</v>
      </c>
      <c r="BZ259" s="46">
        <v>0.16337316176470587</v>
      </c>
      <c r="CA259" s="46">
        <v>0</v>
      </c>
      <c r="CB259" s="46">
        <v>0.1633731617647059</v>
      </c>
      <c r="CC259" s="46">
        <v>0.30078125</v>
      </c>
      <c r="CD259" s="46">
        <v>0.1750919117647059</v>
      </c>
      <c r="CE259" s="46">
        <v>0</v>
      </c>
      <c r="CF259" s="46">
        <v>0.36075367647058831</v>
      </c>
      <c r="CG259" s="46">
        <v>0</v>
      </c>
      <c r="CH259" s="46">
        <v>0</v>
      </c>
      <c r="CI259" s="46">
        <v>4.2657095787244046</v>
      </c>
      <c r="CJ259" s="46">
        <v>0.20593080724876439</v>
      </c>
      <c r="CK259">
        <v>259</v>
      </c>
      <c r="CL259">
        <v>327.64</v>
      </c>
      <c r="CM259">
        <f t="shared" si="28"/>
        <v>68.639999999999986</v>
      </c>
      <c r="CN259">
        <v>8.44</v>
      </c>
      <c r="CO259">
        <v>9.4499999999999993</v>
      </c>
      <c r="CP259">
        <f t="shared" si="29"/>
        <v>1.0099999999999998</v>
      </c>
      <c r="CQ259">
        <v>846.56</v>
      </c>
      <c r="CR259">
        <v>436.64</v>
      </c>
      <c r="CS259">
        <f t="shared" si="30"/>
        <v>409.91999999999996</v>
      </c>
      <c r="CT259" t="s">
        <v>152</v>
      </c>
      <c r="CU259">
        <v>91.71</v>
      </c>
      <c r="CV259">
        <v>91</v>
      </c>
      <c r="CW259" s="46">
        <v>1422</v>
      </c>
      <c r="CX259" s="46">
        <f t="shared" si="24"/>
        <v>15.548713235294118</v>
      </c>
      <c r="CY259" s="46">
        <v>68.64</v>
      </c>
      <c r="CZ259" s="46">
        <f t="shared" si="25"/>
        <v>16.337316176470587</v>
      </c>
      <c r="DA259" s="46">
        <f t="shared" si="26"/>
        <v>154.65908666034397</v>
      </c>
      <c r="DB259" s="46">
        <v>1356768.49</v>
      </c>
      <c r="DC259" s="46">
        <f t="shared" si="27"/>
        <v>7.6015247405570054</v>
      </c>
      <c r="DD259" s="46">
        <v>66685.440000000002</v>
      </c>
      <c r="DE259" s="995">
        <v>1422</v>
      </c>
      <c r="DF259" s="995">
        <v>15.577999999999999</v>
      </c>
      <c r="DG259" s="995">
        <v>66.099999999999994</v>
      </c>
      <c r="DH259" s="995">
        <v>16.337</v>
      </c>
      <c r="DI259" s="995">
        <v>412.202</v>
      </c>
      <c r="DJ259" s="995">
        <v>3615045</v>
      </c>
      <c r="DK259" s="995">
        <v>21.234999999999999</v>
      </c>
      <c r="DL259" s="995">
        <v>186235.2</v>
      </c>
      <c r="DM259" s="995">
        <v>1422</v>
      </c>
      <c r="DN259" s="995">
        <v>15.667</v>
      </c>
      <c r="DO259" s="995">
        <v>58.4</v>
      </c>
      <c r="DP259" s="995">
        <v>16.337</v>
      </c>
      <c r="DQ259" s="995">
        <v>403.221</v>
      </c>
      <c r="DR259" s="995">
        <v>3533175</v>
      </c>
      <c r="DS259" s="995">
        <v>20.818000000000001</v>
      </c>
      <c r="DT259" s="995">
        <v>182419.1</v>
      </c>
    </row>
    <row r="260" spans="1:124">
      <c r="A260" s="42" t="s">
        <v>94</v>
      </c>
      <c r="B260" s="42" t="s">
        <v>446</v>
      </c>
      <c r="C260" s="42" t="s">
        <v>447</v>
      </c>
      <c r="D260" s="42">
        <v>901409</v>
      </c>
      <c r="E260" s="42" t="s">
        <v>462</v>
      </c>
      <c r="F260" s="42" t="s">
        <v>149</v>
      </c>
      <c r="G260" s="42" t="s">
        <v>150</v>
      </c>
      <c r="H260" s="43" t="s">
        <v>150</v>
      </c>
      <c r="I260" s="44">
        <v>22</v>
      </c>
      <c r="J260" s="45">
        <v>206331.62479999999</v>
      </c>
      <c r="K260" s="46">
        <v>9409.7404999999999</v>
      </c>
      <c r="L260" s="47">
        <v>215741.3653</v>
      </c>
      <c r="M260" s="48">
        <v>3951356</v>
      </c>
      <c r="N260" s="49">
        <v>3012826</v>
      </c>
      <c r="O260" s="49">
        <v>924131</v>
      </c>
      <c r="P260" s="49">
        <v>14399</v>
      </c>
      <c r="Q260" s="50">
        <v>9377.62152424942</v>
      </c>
      <c r="R260" s="51">
        <v>5746.8139000759302</v>
      </c>
      <c r="S260" s="49">
        <v>13015.529808507201</v>
      </c>
      <c r="T260" s="49">
        <v>2661.4088152055001</v>
      </c>
      <c r="U260" s="49">
        <f>IFERROR(INDEX('Rentabilidad datos'!$N$2:$N$61,MATCH($C260,'Rentabilidad datos'!$C$2:$C$61,0)),"")</f>
        <v>21423.752523788604</v>
      </c>
      <c r="V260" s="50">
        <f>IFERROR(INDEX('Rentabilidad datos'!$O$2:$O$61,MATCH($C260,'Rentabilidad datos'!$C$2:$C$61,0)),"")</f>
        <v>1127.5659223046634</v>
      </c>
      <c r="W260" s="51">
        <f>IFERROR(INDEX('Rentabilidad datos'!$M$2:$M$61,MATCH($C260,'Rentabilidad datos'!$C$2:$C$61,0)),"")</f>
        <v>2854.7551675604168</v>
      </c>
      <c r="X260" s="52">
        <f>IFERROR(INDEX('Rentabilidad datos'!$P$2:$P$61,MATCH($C260,'Rentabilidad datos'!$C$2:$C$61,0)),"")</f>
        <v>0.39497815263374947</v>
      </c>
      <c r="Y260" s="43" t="s">
        <v>171</v>
      </c>
      <c r="Z260" s="53">
        <v>71.371824480369497</v>
      </c>
      <c r="AA260" s="43">
        <v>1</v>
      </c>
      <c r="AB260" s="54">
        <v>0.94249290623269577</v>
      </c>
      <c r="AC260" s="55">
        <v>5.7507093767304188E-2</v>
      </c>
      <c r="AD260" s="752" t="e">
        <f>_xlfn.XLOOKUP(Table1[[#This Row],[Ruta]],#REF!,#REF!)</f>
        <v>#REF!</v>
      </c>
      <c r="AE260" s="752" t="e">
        <f>_xlfn.XLOOKUP(Table1[[#This Row],[Ruta]],#REF!,#REF!)</f>
        <v>#REF!</v>
      </c>
      <c r="AF260" s="752" t="e">
        <f>_xlfn.XLOOKUP(Table1[[#This Row],[Ruta]],#REF!,#REF!)</f>
        <v>#REF!</v>
      </c>
      <c r="AG260" s="752" t="e">
        <f>_xlfn.XLOOKUP(Table1[[#This Row],[Ruta]],#REF!,#REF!)</f>
        <v>#REF!</v>
      </c>
      <c r="AH260" s="52">
        <v>0.76247900720663997</v>
      </c>
      <c r="AI260" s="52">
        <v>0.23387692731305404</v>
      </c>
      <c r="AJ260" s="55">
        <v>3.6440654803060013E-3</v>
      </c>
      <c r="AK260" s="56">
        <v>30904</v>
      </c>
      <c r="AL260" s="44">
        <v>13657</v>
      </c>
      <c r="AM260" s="54">
        <v>0.44191690396065197</v>
      </c>
      <c r="AN260" s="55">
        <v>0.57187636047017898</v>
      </c>
      <c r="AO260" s="56">
        <v>4016.2670439704002</v>
      </c>
      <c r="AP260" s="48">
        <v>2008.1335219852001</v>
      </c>
      <c r="AQ260" s="55">
        <v>0.50689663221541548</v>
      </c>
      <c r="AR260" s="51">
        <v>4060510.12</v>
      </c>
      <c r="AS260" s="49">
        <v>597059.85855840496</v>
      </c>
      <c r="AT260" s="55">
        <v>0.14704060349895273</v>
      </c>
      <c r="AU260" s="51">
        <v>419555.5762842847</v>
      </c>
      <c r="AV260" s="52">
        <v>1.9085980201595874E-3</v>
      </c>
      <c r="AW260" s="44">
        <v>180</v>
      </c>
      <c r="AX260" s="51">
        <v>297.32079666105301</v>
      </c>
      <c r="AY260" s="49">
        <v>396.99386229061702</v>
      </c>
      <c r="AZ260" s="49">
        <v>99.673065629564007</v>
      </c>
      <c r="BA260" s="42" t="s">
        <v>150</v>
      </c>
      <c r="BB260" s="50">
        <v>478271.7768902278</v>
      </c>
      <c r="BC260" s="57">
        <v>897827.35317451251</v>
      </c>
      <c r="BD260" s="42" t="s">
        <v>150</v>
      </c>
      <c r="BE260" s="46">
        <v>71.371824480369497</v>
      </c>
      <c r="BF260" s="46">
        <v>55.840687053637701</v>
      </c>
      <c r="BG260" s="42" t="s">
        <v>150</v>
      </c>
      <c r="BH260" s="52">
        <v>0.44191690396065197</v>
      </c>
      <c r="BI260" s="52">
        <v>0.639829102646158</v>
      </c>
      <c r="BJ260" s="42" t="s">
        <v>152</v>
      </c>
      <c r="BK260" s="46">
        <v>498.24795681293199</v>
      </c>
      <c r="BL260" s="46">
        <v>626.21699529020998</v>
      </c>
      <c r="BM260" s="42" t="s">
        <v>152</v>
      </c>
      <c r="BN260" s="48">
        <v>1</v>
      </c>
      <c r="BO260" s="42" t="s">
        <v>155</v>
      </c>
      <c r="BP260" s="42" t="s">
        <v>152</v>
      </c>
      <c r="BQ260" s="46">
        <v>1410.9634557039701</v>
      </c>
      <c r="BR260" s="46">
        <v>264</v>
      </c>
      <c r="BS260" s="46">
        <v>22677</v>
      </c>
      <c r="BT260" s="46">
        <v>6745</v>
      </c>
      <c r="BU260" s="46">
        <v>3.3620459599703483</v>
      </c>
      <c r="BV260" s="46">
        <v>25.549242424242426</v>
      </c>
      <c r="BW260" s="46">
        <v>0</v>
      </c>
      <c r="BX260" s="46">
        <v>2375</v>
      </c>
      <c r="BY260" s="46">
        <v>2375</v>
      </c>
      <c r="BZ260" s="46">
        <v>0.352112676056338</v>
      </c>
      <c r="CA260" s="46">
        <v>0</v>
      </c>
      <c r="CB260" s="46">
        <v>0.352112676056338</v>
      </c>
      <c r="CC260" s="46">
        <v>0.17331356560415118</v>
      </c>
      <c r="CD260" s="46">
        <v>0</v>
      </c>
      <c r="CE260" s="46">
        <v>0</v>
      </c>
      <c r="CF260" s="46">
        <v>0.47457375833951082</v>
      </c>
      <c r="CG260" s="46">
        <v>0</v>
      </c>
      <c r="CH260" s="46">
        <v>0</v>
      </c>
      <c r="CI260" s="46">
        <v>3.968778939013097</v>
      </c>
      <c r="CJ260" s="46">
        <v>0.13229263130043659</v>
      </c>
      <c r="CK260">
        <v>304</v>
      </c>
      <c r="CL260">
        <v>338.52</v>
      </c>
      <c r="CM260">
        <f t="shared" si="28"/>
        <v>34.519999999999982</v>
      </c>
      <c r="CN260">
        <v>8.6</v>
      </c>
      <c r="CO260">
        <v>9.4499999999999993</v>
      </c>
      <c r="CP260">
        <f t="shared" si="29"/>
        <v>0.84999999999999964</v>
      </c>
      <c r="CQ260">
        <v>846.56</v>
      </c>
      <c r="CR260">
        <v>498.25</v>
      </c>
      <c r="CS260">
        <f t="shared" si="30"/>
        <v>348.30999999999995</v>
      </c>
      <c r="CT260" t="s">
        <v>152</v>
      </c>
      <c r="CU260">
        <v>90.99</v>
      </c>
      <c r="CV260">
        <v>125</v>
      </c>
      <c r="CW260" s="46">
        <v>2375</v>
      </c>
      <c r="CX260" s="46">
        <f t="shared" si="24"/>
        <v>34.699481097108972</v>
      </c>
      <c r="CY260" s="46">
        <v>34.520000000000003</v>
      </c>
      <c r="CZ260" s="46">
        <f t="shared" si="25"/>
        <v>35.2112676056338</v>
      </c>
      <c r="DA260" s="46">
        <f t="shared" si="26"/>
        <v>110.94944479845179</v>
      </c>
      <c r="DB260" s="46">
        <v>752183.98</v>
      </c>
      <c r="DC260" s="46">
        <f t="shared" si="27"/>
        <v>5.8297018077976022</v>
      </c>
      <c r="DD260" s="46">
        <v>39522.58</v>
      </c>
      <c r="DE260" s="995">
        <v>2375</v>
      </c>
      <c r="DF260" s="995">
        <v>34.701000000000001</v>
      </c>
      <c r="DG260" s="995">
        <v>34.4</v>
      </c>
      <c r="DH260" s="995">
        <v>35.210999999999999</v>
      </c>
      <c r="DI260" s="995">
        <v>573.66300000000001</v>
      </c>
      <c r="DJ260" s="995">
        <v>3889091</v>
      </c>
      <c r="DK260" s="995">
        <v>30.364999999999998</v>
      </c>
      <c r="DL260" s="995">
        <v>205853.5</v>
      </c>
      <c r="DM260" s="995">
        <v>2375</v>
      </c>
      <c r="DN260" s="995">
        <v>34.707000000000001</v>
      </c>
      <c r="DO260" s="995">
        <v>34</v>
      </c>
      <c r="DP260" s="995">
        <v>35.210999999999999</v>
      </c>
      <c r="DQ260" s="995">
        <v>573.15200000000004</v>
      </c>
      <c r="DR260" s="995">
        <v>3885401</v>
      </c>
      <c r="DS260" s="995">
        <v>30.338000000000001</v>
      </c>
      <c r="DT260" s="995">
        <v>205659.4</v>
      </c>
    </row>
    <row r="261" spans="1:124">
      <c r="A261" s="42" t="s">
        <v>94</v>
      </c>
      <c r="B261" s="42" t="s">
        <v>446</v>
      </c>
      <c r="C261" s="42" t="s">
        <v>447</v>
      </c>
      <c r="D261" s="42">
        <v>901411</v>
      </c>
      <c r="E261" s="42" t="s">
        <v>463</v>
      </c>
      <c r="F261" s="42" t="s">
        <v>149</v>
      </c>
      <c r="G261" s="42" t="s">
        <v>150</v>
      </c>
      <c r="H261" s="43" t="s">
        <v>150</v>
      </c>
      <c r="I261" s="44">
        <v>22</v>
      </c>
      <c r="J261" s="45">
        <v>204126.6024</v>
      </c>
      <c r="K261" s="46">
        <v>9867.5377499999995</v>
      </c>
      <c r="L261" s="47">
        <v>213994.14014999999</v>
      </c>
      <c r="M261" s="48">
        <v>4214069</v>
      </c>
      <c r="N261" s="49">
        <v>3034085</v>
      </c>
      <c r="O261" s="49">
        <v>1153493</v>
      </c>
      <c r="P261" s="49">
        <v>26491</v>
      </c>
      <c r="Q261" s="50">
        <v>9445.6217090069294</v>
      </c>
      <c r="R261" s="51">
        <v>5746.8139000759302</v>
      </c>
      <c r="S261" s="49">
        <v>13015.529808507201</v>
      </c>
      <c r="T261" s="49">
        <v>2661.4088152055001</v>
      </c>
      <c r="U261" s="49">
        <f>IFERROR(INDEX('Rentabilidad datos'!$N$2:$N$61,MATCH($C261,'Rentabilidad datos'!$C$2:$C$61,0)),"")</f>
        <v>21423.752523788604</v>
      </c>
      <c r="V261" s="50">
        <f>IFERROR(INDEX('Rentabilidad datos'!$O$2:$O$61,MATCH($C261,'Rentabilidad datos'!$C$2:$C$61,0)),"")</f>
        <v>1127.5659223046634</v>
      </c>
      <c r="W261" s="51">
        <f>IFERROR(INDEX('Rentabilidad datos'!$M$2:$M$61,MATCH($C261,'Rentabilidad datos'!$C$2:$C$61,0)),"")</f>
        <v>2854.7551675604168</v>
      </c>
      <c r="X261" s="52">
        <f>IFERROR(INDEX('Rentabilidad datos'!$P$2:$P$61,MATCH($C261,'Rentabilidad datos'!$C$2:$C$61,0)),"")</f>
        <v>0.39497815263374947</v>
      </c>
      <c r="Y261" s="43" t="s">
        <v>171</v>
      </c>
      <c r="Z261" s="53">
        <v>97.9930715935335</v>
      </c>
      <c r="AA261" s="43">
        <v>1</v>
      </c>
      <c r="AB261" s="54">
        <v>0.92776506507131229</v>
      </c>
      <c r="AC261" s="55">
        <v>7.2234934928687683E-2</v>
      </c>
      <c r="AD261" s="752" t="e">
        <f>_xlfn.XLOOKUP(Table1[[#This Row],[Ruta]],#REF!,#REF!)</f>
        <v>#REF!</v>
      </c>
      <c r="AE261" s="752" t="e">
        <f>_xlfn.XLOOKUP(Table1[[#This Row],[Ruta]],#REF!,#REF!)</f>
        <v>#REF!</v>
      </c>
      <c r="AF261" s="752" t="e">
        <f>_xlfn.XLOOKUP(Table1[[#This Row],[Ruta]],#REF!,#REF!)</f>
        <v>#REF!</v>
      </c>
      <c r="AG261" s="752" t="e">
        <f>_xlfn.XLOOKUP(Table1[[#This Row],[Ruta]],#REF!,#REF!)</f>
        <v>#REF!</v>
      </c>
      <c r="AH261" s="52">
        <v>0.71998939742087753</v>
      </c>
      <c r="AI261" s="52">
        <v>0.27372427931293958</v>
      </c>
      <c r="AJ261" s="55">
        <v>6.2863232661828743E-3</v>
      </c>
      <c r="AK261" s="56">
        <v>42431</v>
      </c>
      <c r="AL261" s="44">
        <v>17262</v>
      </c>
      <c r="AM261" s="54">
        <v>0.40682519855765797</v>
      </c>
      <c r="AN261" s="55">
        <v>0.57187636047017898</v>
      </c>
      <c r="AO261" s="56">
        <v>7003.2858511101404</v>
      </c>
      <c r="AP261" s="48">
        <v>3501.6429255550702</v>
      </c>
      <c r="AQ261" s="55">
        <v>0.48935077951391831</v>
      </c>
      <c r="AR261" s="51">
        <v>4089954.2</v>
      </c>
      <c r="AS261" s="49">
        <v>829658.16187430499</v>
      </c>
      <c r="AT261" s="55">
        <v>0.20285267787945033</v>
      </c>
      <c r="AU261" s="51">
        <v>583003.03266843071</v>
      </c>
      <c r="AV261" s="52">
        <v>2.6521359667116911E-3</v>
      </c>
      <c r="AW261" s="44">
        <v>125</v>
      </c>
      <c r="AX261" s="51">
        <v>236.93397057119699</v>
      </c>
      <c r="AY261" s="49">
        <v>396.99386229061702</v>
      </c>
      <c r="AZ261" s="49">
        <v>160.05989171942002</v>
      </c>
      <c r="BA261" s="42" t="s">
        <v>150</v>
      </c>
      <c r="BB261" s="50">
        <v>970767.56922130217</v>
      </c>
      <c r="BC261" s="57">
        <v>1553770.6018897328</v>
      </c>
      <c r="BD261" s="42" t="s">
        <v>150</v>
      </c>
      <c r="BE261" s="46">
        <v>97.9930715935335</v>
      </c>
      <c r="BF261" s="46">
        <v>55.840687053637701</v>
      </c>
      <c r="BG261" s="42" t="s">
        <v>150</v>
      </c>
      <c r="BH261" s="52">
        <v>0.40682519855765797</v>
      </c>
      <c r="BI261" s="52">
        <v>0.639829102646158</v>
      </c>
      <c r="BJ261" s="42" t="s">
        <v>152</v>
      </c>
      <c r="BK261" s="46">
        <v>494.21279480369401</v>
      </c>
      <c r="BL261" s="46">
        <v>626.21699529020998</v>
      </c>
      <c r="BM261" s="42" t="s">
        <v>152</v>
      </c>
      <c r="BN261" s="48">
        <v>1</v>
      </c>
      <c r="BO261" s="42" t="s">
        <v>155</v>
      </c>
      <c r="BP261" s="42" t="s">
        <v>152</v>
      </c>
      <c r="BQ261" s="46">
        <v>0</v>
      </c>
      <c r="BR261" s="46">
        <v>175</v>
      </c>
      <c r="BS261" s="46">
        <v>12979</v>
      </c>
      <c r="BT261" s="46">
        <v>3887</v>
      </c>
      <c r="BU261" s="46">
        <v>3.3390789812194495</v>
      </c>
      <c r="BV261" s="46">
        <v>22.21142857142857</v>
      </c>
      <c r="BW261" s="46">
        <v>0</v>
      </c>
      <c r="BX261" s="46">
        <v>1529</v>
      </c>
      <c r="BY261" s="46">
        <v>1529</v>
      </c>
      <c r="BZ261" s="46">
        <v>0.39336249035245691</v>
      </c>
      <c r="CA261" s="46">
        <v>0</v>
      </c>
      <c r="CB261" s="46">
        <v>0.39336249035245691</v>
      </c>
      <c r="CC261" s="46">
        <v>0.15513249292513509</v>
      </c>
      <c r="CD261" s="46">
        <v>0.20941600205814251</v>
      </c>
      <c r="CE261" s="46">
        <v>0</v>
      </c>
      <c r="CF261" s="46">
        <v>0.24208901466426549</v>
      </c>
      <c r="CG261" s="46">
        <v>0</v>
      </c>
      <c r="CH261" s="46">
        <v>0</v>
      </c>
      <c r="CI261" s="46">
        <v>3.081901533246012</v>
      </c>
      <c r="CJ261" s="46">
        <v>0.15409507666230071</v>
      </c>
      <c r="CK261">
        <v>306</v>
      </c>
      <c r="CL261">
        <v>339.72</v>
      </c>
      <c r="CM261">
        <f t="shared" si="28"/>
        <v>33.720000000000027</v>
      </c>
      <c r="CN261">
        <v>8.19</v>
      </c>
      <c r="CO261">
        <v>9.4499999999999993</v>
      </c>
      <c r="CP261">
        <f t="shared" si="29"/>
        <v>1.2599999999999998</v>
      </c>
      <c r="CQ261">
        <v>846.56</v>
      </c>
      <c r="CR261">
        <v>494.21</v>
      </c>
      <c r="CS261">
        <f t="shared" si="30"/>
        <v>352.34999999999997</v>
      </c>
      <c r="CT261" t="s">
        <v>152</v>
      </c>
      <c r="CU261">
        <v>86.65</v>
      </c>
      <c r="CV261">
        <v>131</v>
      </c>
      <c r="CW261" s="46">
        <v>1529</v>
      </c>
      <c r="CX261" s="46">
        <f t="shared" si="24"/>
        <v>38.468741960380754</v>
      </c>
      <c r="CY261" s="46">
        <v>33.72</v>
      </c>
      <c r="CZ261" s="46">
        <f t="shared" si="25"/>
        <v>39.336249035245693</v>
      </c>
      <c r="DA261" s="46">
        <f t="shared" si="26"/>
        <v>272.36082913342449</v>
      </c>
      <c r="DB261" s="46">
        <v>1067850.55</v>
      </c>
      <c r="DC261" s="46">
        <f t="shared" si="27"/>
        <v>14.14754177804077</v>
      </c>
      <c r="DD261" s="46">
        <v>55468.55</v>
      </c>
      <c r="DE261" s="995">
        <v>1529</v>
      </c>
      <c r="DF261" s="995">
        <v>38.314</v>
      </c>
      <c r="DG261" s="995">
        <v>39.700000000000003</v>
      </c>
      <c r="DH261" s="995">
        <v>39.335999999999999</v>
      </c>
      <c r="DI261" s="995">
        <v>1071.547</v>
      </c>
      <c r="DJ261" s="995">
        <v>4207669</v>
      </c>
      <c r="DK261" s="995">
        <v>54.706000000000003</v>
      </c>
      <c r="DL261" s="995">
        <v>214816.1</v>
      </c>
      <c r="DM261" s="995">
        <v>1529</v>
      </c>
      <c r="DN261" s="995">
        <v>38.494999999999997</v>
      </c>
      <c r="DO261" s="995">
        <v>32.700000000000003</v>
      </c>
      <c r="DP261" s="995">
        <v>39.335999999999999</v>
      </c>
      <c r="DQ261" s="995">
        <v>1056.3920000000001</v>
      </c>
      <c r="DR261" s="995">
        <v>4140755</v>
      </c>
      <c r="DS261" s="995">
        <v>53.917000000000002</v>
      </c>
      <c r="DT261" s="995">
        <v>211337.60000000001</v>
      </c>
    </row>
    <row r="262" spans="1:124">
      <c r="A262" s="42" t="s">
        <v>94</v>
      </c>
      <c r="B262" s="42" t="s">
        <v>446</v>
      </c>
      <c r="C262" s="42" t="s">
        <v>447</v>
      </c>
      <c r="D262" s="42">
        <v>901412</v>
      </c>
      <c r="E262" s="42" t="s">
        <v>464</v>
      </c>
      <c r="F262" s="42" t="s">
        <v>149</v>
      </c>
      <c r="G262" s="42" t="s">
        <v>150</v>
      </c>
      <c r="H262" s="43" t="s">
        <v>150</v>
      </c>
      <c r="I262" s="44">
        <v>22</v>
      </c>
      <c r="J262" s="45">
        <v>197377.68400000001</v>
      </c>
      <c r="K262" s="46">
        <v>9216.1891410000007</v>
      </c>
      <c r="L262" s="47">
        <v>206593.87314099999</v>
      </c>
      <c r="M262" s="48">
        <v>3939216</v>
      </c>
      <c r="N262" s="49">
        <v>2912284</v>
      </c>
      <c r="O262" s="49">
        <v>1004449</v>
      </c>
      <c r="P262" s="49">
        <v>22483</v>
      </c>
      <c r="Q262" s="50">
        <v>8869.0502758620696</v>
      </c>
      <c r="R262" s="51">
        <v>5746.8139000759302</v>
      </c>
      <c r="S262" s="49">
        <v>13015.529808507201</v>
      </c>
      <c r="T262" s="49">
        <v>2661.4088152055001</v>
      </c>
      <c r="U262" s="49">
        <f>IFERROR(INDEX('Rentabilidad datos'!$N$2:$N$61,MATCH($C262,'Rentabilidad datos'!$C$2:$C$61,0)),"")</f>
        <v>21423.752523788604</v>
      </c>
      <c r="V262" s="50">
        <f>IFERROR(INDEX('Rentabilidad datos'!$O$2:$O$61,MATCH($C262,'Rentabilidad datos'!$C$2:$C$61,0)),"")</f>
        <v>1127.5659223046634</v>
      </c>
      <c r="W262" s="51">
        <f>IFERROR(INDEX('Rentabilidad datos'!$M$2:$M$61,MATCH($C262,'Rentabilidad datos'!$C$2:$C$61,0)),"")</f>
        <v>2854.7551675604168</v>
      </c>
      <c r="X262" s="52">
        <f>IFERROR(INDEX('Rentabilidad datos'!$P$2:$P$61,MATCH($C262,'Rentabilidad datos'!$C$2:$C$61,0)),"")</f>
        <v>0.39497815263374947</v>
      </c>
      <c r="Y262" s="43" t="s">
        <v>171</v>
      </c>
      <c r="Z262" s="53">
        <v>110.947126436782</v>
      </c>
      <c r="AA262" s="43">
        <v>1</v>
      </c>
      <c r="AB262" s="54">
        <v>0.89187594688892413</v>
      </c>
      <c r="AC262" s="55">
        <v>0.10812405311107591</v>
      </c>
      <c r="AD262" s="752" t="e">
        <f>_xlfn.XLOOKUP(Table1[[#This Row],[Ruta]],#REF!,#REF!)</f>
        <v>#REF!</v>
      </c>
      <c r="AE262" s="752" t="e">
        <f>_xlfn.XLOOKUP(Table1[[#This Row],[Ruta]],#REF!,#REF!)</f>
        <v>#REF!</v>
      </c>
      <c r="AF262" s="752" t="e">
        <f>_xlfn.XLOOKUP(Table1[[#This Row],[Ruta]],#REF!,#REF!)</f>
        <v>#REF!</v>
      </c>
      <c r="AG262" s="752" t="e">
        <f>_xlfn.XLOOKUP(Table1[[#This Row],[Ruta]],#REF!,#REF!)</f>
        <v>#REF!</v>
      </c>
      <c r="AH262" s="52">
        <v>0.739305486167806</v>
      </c>
      <c r="AI262" s="52">
        <v>0.25498703295274999</v>
      </c>
      <c r="AJ262" s="55">
        <v>5.7074808794440315E-3</v>
      </c>
      <c r="AK262" s="56">
        <v>48262</v>
      </c>
      <c r="AL262" s="44">
        <v>15940</v>
      </c>
      <c r="AM262" s="54">
        <v>0.33028055198707101</v>
      </c>
      <c r="AN262" s="55">
        <v>0.57187636047017898</v>
      </c>
      <c r="AO262" s="56">
        <v>11659.896909011801</v>
      </c>
      <c r="AP262" s="48">
        <v>5829.9484545059004</v>
      </c>
      <c r="AQ262" s="55">
        <v>0.45107845622862502</v>
      </c>
      <c r="AR262" s="51">
        <v>3858036.87</v>
      </c>
      <c r="AS262" s="49">
        <v>1411051.197470715</v>
      </c>
      <c r="AT262" s="55">
        <v>0.36574331584102127</v>
      </c>
      <c r="AU262" s="51">
        <v>991549.49011455686</v>
      </c>
      <c r="AV262" s="52">
        <v>4.5106524634547628E-3</v>
      </c>
      <c r="AW262" s="44">
        <v>44</v>
      </c>
      <c r="AX262" s="51">
        <v>242.03493538268501</v>
      </c>
      <c r="AY262" s="49">
        <v>396.99386229061702</v>
      </c>
      <c r="AZ262" s="49">
        <v>154.95892690793201</v>
      </c>
      <c r="BA262" s="42" t="s">
        <v>150</v>
      </c>
      <c r="BB262" s="50">
        <v>867853.75226653193</v>
      </c>
      <c r="BC262" s="57">
        <v>1859403.2423810889</v>
      </c>
      <c r="BD262" s="42" t="s">
        <v>150</v>
      </c>
      <c r="BE262" s="46">
        <v>110.947126436782</v>
      </c>
      <c r="BF262" s="46">
        <v>55.840687053637701</v>
      </c>
      <c r="BG262" s="42" t="s">
        <v>150</v>
      </c>
      <c r="BH262" s="52">
        <v>0.33028055198707101</v>
      </c>
      <c r="BI262" s="52">
        <v>0.639829102646158</v>
      </c>
      <c r="BJ262" s="42" t="s">
        <v>152</v>
      </c>
      <c r="BK262" s="46">
        <v>474.92844400229802</v>
      </c>
      <c r="BL262" s="46">
        <v>626.21699529020998</v>
      </c>
      <c r="BM262" s="42" t="s">
        <v>152</v>
      </c>
      <c r="BN262" s="48">
        <v>1</v>
      </c>
      <c r="BO262" s="42" t="s">
        <v>155</v>
      </c>
      <c r="BP262" s="42" t="s">
        <v>152</v>
      </c>
      <c r="BQ262" s="46">
        <v>0</v>
      </c>
      <c r="BR262" s="46">
        <v>355</v>
      </c>
      <c r="BS262" s="46">
        <v>45124</v>
      </c>
      <c r="BT262" s="46">
        <v>12303</v>
      </c>
      <c r="BU262" s="46">
        <v>3.6677233195155652</v>
      </c>
      <c r="BV262" s="46">
        <v>34.656338028169017</v>
      </c>
      <c r="BW262" s="46">
        <v>0</v>
      </c>
      <c r="BX262" s="46">
        <v>1967</v>
      </c>
      <c r="BY262" s="46">
        <v>1967</v>
      </c>
      <c r="BZ262" s="46">
        <v>0.15987970413720232</v>
      </c>
      <c r="CA262" s="46">
        <v>0</v>
      </c>
      <c r="CB262" s="46">
        <v>0.15987970413720229</v>
      </c>
      <c r="CC262" s="46">
        <v>0.69893521905226363</v>
      </c>
      <c r="CD262" s="46">
        <v>9.0872145005283261E-2</v>
      </c>
      <c r="CE262" s="46">
        <v>0</v>
      </c>
      <c r="CF262" s="46">
        <v>5.0312931805250753E-2</v>
      </c>
      <c r="CG262" s="46">
        <v>0</v>
      </c>
      <c r="CH262" s="46">
        <v>0</v>
      </c>
      <c r="CI262" s="46">
        <v>3.700913039624147</v>
      </c>
      <c r="CJ262" s="46">
        <v>0.1994504033330379</v>
      </c>
      <c r="CK262">
        <v>467</v>
      </c>
      <c r="CL262">
        <v>497.49</v>
      </c>
      <c r="CM262">
        <f t="shared" si="28"/>
        <v>30.490000000000009</v>
      </c>
      <c r="CN262">
        <v>12.88</v>
      </c>
      <c r="CO262">
        <v>9.4499999999999993</v>
      </c>
      <c r="CP262">
        <f t="shared" si="29"/>
        <v>-3.4300000000000015</v>
      </c>
      <c r="CQ262">
        <v>846.56</v>
      </c>
      <c r="CR262">
        <v>474.93</v>
      </c>
      <c r="CS262">
        <f t="shared" si="30"/>
        <v>371.62999999999994</v>
      </c>
      <c r="CT262" t="s">
        <v>150</v>
      </c>
      <c r="CU262">
        <v>136.32</v>
      </c>
      <c r="CV262">
        <v>91</v>
      </c>
      <c r="CW262" s="46">
        <v>1967</v>
      </c>
      <c r="CX262" s="46">
        <f t="shared" ref="CX262:CX325" si="31">((CW262-CY262)/BT262)*100</f>
        <v>15.740144680159309</v>
      </c>
      <c r="CY262" s="46">
        <v>30.49</v>
      </c>
      <c r="CZ262" s="46">
        <f t="shared" ref="CZ262:CZ325" si="32">((CW262)/BT262)*100</f>
        <v>15.987970413720232</v>
      </c>
      <c r="DA262" s="46">
        <f t="shared" ref="DA262:DA325" si="33">DB262/(CY262+BT262)</f>
        <v>218.67408414001227</v>
      </c>
      <c r="DB262" s="46">
        <v>2697014.63</v>
      </c>
      <c r="DC262" s="46">
        <f t="shared" ref="DC262:DC325" si="34">DD262/(CY262+BT262)</f>
        <v>11.589871155690725</v>
      </c>
      <c r="DD262" s="46">
        <v>142943.56</v>
      </c>
      <c r="DE262" s="995">
        <v>1967</v>
      </c>
      <c r="DF262" s="995">
        <v>15.74</v>
      </c>
      <c r="DG262" s="995">
        <v>30.5</v>
      </c>
      <c r="DH262" s="995">
        <v>15.988</v>
      </c>
      <c r="DI262" s="995">
        <v>466.327</v>
      </c>
      <c r="DJ262" s="995">
        <v>5751437</v>
      </c>
      <c r="DK262" s="995">
        <v>24.79</v>
      </c>
      <c r="DL262" s="995">
        <v>305742.3</v>
      </c>
      <c r="DM262" s="995">
        <v>1967</v>
      </c>
      <c r="DN262" s="995">
        <v>15.74</v>
      </c>
      <c r="DO262" s="995">
        <v>30.5</v>
      </c>
      <c r="DP262" s="995">
        <v>15.988</v>
      </c>
      <c r="DQ262" s="995">
        <v>466.327</v>
      </c>
      <c r="DR262" s="995">
        <v>5751437</v>
      </c>
      <c r="DS262" s="995">
        <v>24.79</v>
      </c>
      <c r="DT262" s="995">
        <v>305742.3</v>
      </c>
    </row>
    <row r="263" spans="1:124">
      <c r="A263" s="42" t="s">
        <v>94</v>
      </c>
      <c r="B263" s="42" t="s">
        <v>446</v>
      </c>
      <c r="C263" s="42" t="s">
        <v>447</v>
      </c>
      <c r="D263" s="42">
        <v>901414</v>
      </c>
      <c r="E263" s="42" t="s">
        <v>465</v>
      </c>
      <c r="F263" s="42" t="s">
        <v>149</v>
      </c>
      <c r="G263" s="42" t="s">
        <v>150</v>
      </c>
      <c r="H263" s="43" t="s">
        <v>150</v>
      </c>
      <c r="I263" s="44">
        <v>22</v>
      </c>
      <c r="J263" s="45">
        <v>186560.39360000001</v>
      </c>
      <c r="K263" s="46">
        <v>4082.2304749999998</v>
      </c>
      <c r="L263" s="47">
        <v>190642.624075</v>
      </c>
      <c r="M263" s="48">
        <v>3306689</v>
      </c>
      <c r="N263" s="49">
        <v>2812955</v>
      </c>
      <c r="O263" s="49">
        <v>486090</v>
      </c>
      <c r="P263" s="49">
        <v>7644</v>
      </c>
      <c r="Q263" s="50">
        <v>7818.7587142857101</v>
      </c>
      <c r="R263" s="51">
        <v>5746.8139000759302</v>
      </c>
      <c r="S263" s="49">
        <v>13015.529808507201</v>
      </c>
      <c r="T263" s="49">
        <v>2661.4088152055001</v>
      </c>
      <c r="U263" s="49">
        <f>IFERROR(INDEX('Rentabilidad datos'!$N$2:$N$61,MATCH($C263,'Rentabilidad datos'!$C$2:$C$61,0)),"")</f>
        <v>21423.752523788604</v>
      </c>
      <c r="V263" s="50">
        <f>IFERROR(INDEX('Rentabilidad datos'!$O$2:$O$61,MATCH($C263,'Rentabilidad datos'!$C$2:$C$61,0)),"")</f>
        <v>1127.5659223046634</v>
      </c>
      <c r="W263" s="51">
        <f>IFERROR(INDEX('Rentabilidad datos'!$M$2:$M$61,MATCH($C263,'Rentabilidad datos'!$C$2:$C$61,0)),"")</f>
        <v>2854.7551675604168</v>
      </c>
      <c r="X263" s="52">
        <f>IFERROR(INDEX('Rentabilidad datos'!$P$2:$P$61,MATCH($C263,'Rentabilidad datos'!$C$2:$C$61,0)),"")</f>
        <v>0.39497815263374947</v>
      </c>
      <c r="Y263" s="43" t="s">
        <v>171</v>
      </c>
      <c r="Z263" s="53">
        <v>50.369047619047599</v>
      </c>
      <c r="AA263" s="43">
        <v>1</v>
      </c>
      <c r="AB263" s="54">
        <v>0.99028635592884606</v>
      </c>
      <c r="AC263" s="55">
        <v>9.7136440711539547E-3</v>
      </c>
      <c r="AD263" s="752" t="e">
        <f>_xlfn.XLOOKUP(Table1[[#This Row],[Ruta]],#REF!,#REF!)</f>
        <v>#REF!</v>
      </c>
      <c r="AE263" s="752" t="e">
        <f>_xlfn.XLOOKUP(Table1[[#This Row],[Ruta]],#REF!,#REF!)</f>
        <v>#REF!</v>
      </c>
      <c r="AF263" s="752" t="e">
        <f>_xlfn.XLOOKUP(Table1[[#This Row],[Ruta]],#REF!,#REF!)</f>
        <v>#REF!</v>
      </c>
      <c r="AG263" s="752" t="e">
        <f>_xlfn.XLOOKUP(Table1[[#This Row],[Ruta]],#REF!,#REF!)</f>
        <v>#REF!</v>
      </c>
      <c r="AH263" s="52">
        <v>0.85068629072767354</v>
      </c>
      <c r="AI263" s="52">
        <v>0.14700203133708672</v>
      </c>
      <c r="AJ263" s="55">
        <v>2.3116779352397518E-3</v>
      </c>
      <c r="AK263" s="56">
        <v>21155</v>
      </c>
      <c r="AL263" s="44">
        <v>9743</v>
      </c>
      <c r="AM263" s="54">
        <v>0.46055306074214097</v>
      </c>
      <c r="AN263" s="55">
        <v>0.57187636047017898</v>
      </c>
      <c r="AO263" s="56">
        <v>2355.0444057466302</v>
      </c>
      <c r="AP263" s="48">
        <v>1177.5222028733151</v>
      </c>
      <c r="AQ263" s="55">
        <v>0.51621471060615998</v>
      </c>
      <c r="AR263" s="51">
        <v>3283878.66</v>
      </c>
      <c r="AS263" s="49">
        <v>396883.920116172</v>
      </c>
      <c r="AT263" s="55">
        <v>0.12085827803277359</v>
      </c>
      <c r="AU263" s="51">
        <v>278891.40332487773</v>
      </c>
      <c r="AV263" s="52">
        <v>1.2687033859483676E-3</v>
      </c>
      <c r="AW263" s="44">
        <v>259</v>
      </c>
      <c r="AX263" s="51">
        <v>337.05005234527403</v>
      </c>
      <c r="AY263" s="49">
        <v>396.99386229061702</v>
      </c>
      <c r="AZ263" s="49">
        <v>59.943809945342991</v>
      </c>
      <c r="BA263" s="42" t="s">
        <v>150</v>
      </c>
      <c r="BB263" s="50">
        <v>205200.62226668111</v>
      </c>
      <c r="BC263" s="57">
        <v>484092.02559155884</v>
      </c>
      <c r="BD263" s="42" t="s">
        <v>150</v>
      </c>
      <c r="BE263" s="46">
        <v>50.369047619047599</v>
      </c>
      <c r="BF263" s="46">
        <v>55.840687053637701</v>
      </c>
      <c r="BG263" s="42" t="s">
        <v>152</v>
      </c>
      <c r="BH263" s="52">
        <v>0.46055306074214097</v>
      </c>
      <c r="BI263" s="52">
        <v>0.639829102646158</v>
      </c>
      <c r="BJ263" s="42" t="s">
        <v>152</v>
      </c>
      <c r="BK263" s="46">
        <v>453.91100970238102</v>
      </c>
      <c r="BL263" s="46">
        <v>626.21699529020998</v>
      </c>
      <c r="BM263" s="42" t="s">
        <v>152</v>
      </c>
      <c r="BN263" s="48">
        <v>0</v>
      </c>
      <c r="BO263" s="42" t="s">
        <v>155</v>
      </c>
      <c r="BP263" s="42" t="s">
        <v>152</v>
      </c>
      <c r="BQ263" s="46">
        <v>0</v>
      </c>
      <c r="BR263" s="46">
        <v>427</v>
      </c>
      <c r="BS263" s="46">
        <v>19421</v>
      </c>
      <c r="BT263" s="46">
        <v>5215</v>
      </c>
      <c r="BU263" s="46">
        <v>3.7240651965484179</v>
      </c>
      <c r="BV263" s="46">
        <v>12.21311475409836</v>
      </c>
      <c r="BW263" s="46">
        <v>0</v>
      </c>
      <c r="BX263" s="46">
        <v>11</v>
      </c>
      <c r="BY263" s="46">
        <v>11</v>
      </c>
      <c r="BZ263" s="46">
        <v>2.1093000958772772E-3</v>
      </c>
      <c r="CA263" s="46">
        <v>0</v>
      </c>
      <c r="CB263" s="46">
        <v>2.1093000958772772E-3</v>
      </c>
      <c r="CC263" s="46">
        <v>0</v>
      </c>
      <c r="CD263" s="46">
        <v>0</v>
      </c>
      <c r="CE263" s="46">
        <v>2.0325982742090121E-2</v>
      </c>
      <c r="CF263" s="46">
        <v>0.97756471716203264</v>
      </c>
      <c r="CG263" s="46">
        <v>0</v>
      </c>
      <c r="CH263" s="46">
        <v>0</v>
      </c>
      <c r="CI263" s="46">
        <v>8.4444673291797532</v>
      </c>
      <c r="CJ263" s="46">
        <v>0.15447196333865401</v>
      </c>
      <c r="CK263">
        <v>243</v>
      </c>
      <c r="CL263">
        <v>243</v>
      </c>
      <c r="CM263">
        <f t="shared" si="28"/>
        <v>0</v>
      </c>
      <c r="CN263">
        <v>17.53</v>
      </c>
      <c r="CO263">
        <v>9.4499999999999993</v>
      </c>
      <c r="CP263">
        <f t="shared" si="29"/>
        <v>-8.0800000000000018</v>
      </c>
      <c r="CQ263">
        <v>564.37</v>
      </c>
      <c r="CR263">
        <v>453.91</v>
      </c>
      <c r="CS263">
        <f t="shared" si="30"/>
        <v>110.45999999999998</v>
      </c>
      <c r="CT263" t="s">
        <v>150</v>
      </c>
      <c r="CU263">
        <v>185.47</v>
      </c>
      <c r="CV263">
        <v>2</v>
      </c>
      <c r="CW263" s="46">
        <v>11</v>
      </c>
      <c r="CX263" s="46">
        <f t="shared" si="31"/>
        <v>0.21093000958772773</v>
      </c>
      <c r="CY263" s="46">
        <v>0</v>
      </c>
      <c r="CZ263" s="46">
        <f t="shared" si="32"/>
        <v>0.21093000958772773</v>
      </c>
      <c r="DA263" s="46">
        <f t="shared" si="33"/>
        <v>0</v>
      </c>
      <c r="DB263" s="46">
        <v>0</v>
      </c>
      <c r="DC263" s="46">
        <f t="shared" si="34"/>
        <v>0</v>
      </c>
      <c r="DD263" s="46">
        <v>0</v>
      </c>
      <c r="DE263" s="995">
        <v>11</v>
      </c>
      <c r="DF263" s="995">
        <v>0.21099999999999999</v>
      </c>
      <c r="DG263" s="995">
        <v>0</v>
      </c>
      <c r="DH263" s="995">
        <v>0.21099999999999999</v>
      </c>
      <c r="DI263" s="995">
        <v>499.346</v>
      </c>
      <c r="DJ263" s="995">
        <v>2604092</v>
      </c>
      <c r="DK263" s="995">
        <v>27.884</v>
      </c>
      <c r="DL263" s="995">
        <v>145412.9</v>
      </c>
      <c r="DM263" s="995">
        <v>11</v>
      </c>
      <c r="DN263" s="995">
        <v>0.21099999999999999</v>
      </c>
      <c r="DO263" s="995">
        <v>0</v>
      </c>
      <c r="DP263" s="995">
        <v>0.21099999999999999</v>
      </c>
      <c r="DQ263" s="995">
        <v>499.346</v>
      </c>
      <c r="DR263" s="995">
        <v>2604092</v>
      </c>
      <c r="DS263" s="995">
        <v>27.884</v>
      </c>
      <c r="DT263" s="995">
        <v>145412.9</v>
      </c>
    </row>
    <row r="264" spans="1:124">
      <c r="A264" s="42" t="s">
        <v>94</v>
      </c>
      <c r="B264" s="42" t="s">
        <v>446</v>
      </c>
      <c r="C264" s="42" t="s">
        <v>447</v>
      </c>
      <c r="D264" s="42">
        <v>901415</v>
      </c>
      <c r="E264" s="42" t="s">
        <v>466</v>
      </c>
      <c r="F264" s="42" t="s">
        <v>149</v>
      </c>
      <c r="G264" s="42" t="s">
        <v>150</v>
      </c>
      <c r="H264" s="43" t="s">
        <v>150</v>
      </c>
      <c r="I264" s="44">
        <v>22</v>
      </c>
      <c r="J264" s="45">
        <v>124111.764</v>
      </c>
      <c r="K264" s="46">
        <v>4733.5263500000001</v>
      </c>
      <c r="L264" s="47">
        <v>128845.29035</v>
      </c>
      <c r="M264" s="48">
        <v>2493629</v>
      </c>
      <c r="N264" s="49">
        <v>1854409</v>
      </c>
      <c r="O264" s="49">
        <v>634303</v>
      </c>
      <c r="P264" s="49">
        <v>4917</v>
      </c>
      <c r="Q264" s="50">
        <v>5732.6971596244202</v>
      </c>
      <c r="R264" s="51">
        <v>5746.8139000759302</v>
      </c>
      <c r="S264" s="49">
        <v>13015.529808507201</v>
      </c>
      <c r="T264" s="49">
        <v>2661.4088152055001</v>
      </c>
      <c r="U264" s="49">
        <f>IFERROR(INDEX('Rentabilidad datos'!$N$2:$N$61,MATCH($C264,'Rentabilidad datos'!$C$2:$C$61,0)),"")</f>
        <v>21423.752523788604</v>
      </c>
      <c r="V264" s="50">
        <f>IFERROR(INDEX('Rentabilidad datos'!$O$2:$O$61,MATCH($C264,'Rentabilidad datos'!$C$2:$C$61,0)),"")</f>
        <v>1127.5659223046634</v>
      </c>
      <c r="W264" s="51">
        <f>IFERROR(INDEX('Rentabilidad datos'!$M$2:$M$61,MATCH($C264,'Rentabilidad datos'!$C$2:$C$61,0)),"")</f>
        <v>2854.7551675604168</v>
      </c>
      <c r="X264" s="52">
        <f>IFERROR(INDEX('Rentabilidad datos'!$P$2:$P$61,MATCH($C264,'Rentabilidad datos'!$C$2:$C$61,0)),"")</f>
        <v>0.39497815263374947</v>
      </c>
      <c r="Y264" s="43" t="s">
        <v>171</v>
      </c>
      <c r="Z264" s="53">
        <v>27.345238095238098</v>
      </c>
      <c r="AA264" s="43">
        <v>1</v>
      </c>
      <c r="AB264" s="54">
        <v>0.89924924678049545</v>
      </c>
      <c r="AC264" s="55">
        <v>0.10075075321950458</v>
      </c>
      <c r="AD264" s="752" t="e">
        <f>_xlfn.XLOOKUP(Table1[[#This Row],[Ruta]],#REF!,#REF!)</f>
        <v>#REF!</v>
      </c>
      <c r="AE264" s="752" t="e">
        <f>_xlfn.XLOOKUP(Table1[[#This Row],[Ruta]],#REF!,#REF!)</f>
        <v>#REF!</v>
      </c>
      <c r="AF264" s="752" t="e">
        <f>_xlfn.XLOOKUP(Table1[[#This Row],[Ruta]],#REF!,#REF!)</f>
        <v>#REF!</v>
      </c>
      <c r="AG264" s="752" t="e">
        <f>_xlfn.XLOOKUP(Table1[[#This Row],[Ruta]],#REF!,#REF!)</f>
        <v>#REF!</v>
      </c>
      <c r="AH264" s="52">
        <v>0.74365873993284481</v>
      </c>
      <c r="AI264" s="52">
        <v>0.25436943506832815</v>
      </c>
      <c r="AJ264" s="55">
        <v>1.9718249988270107E-3</v>
      </c>
      <c r="AK264" s="56">
        <v>11485</v>
      </c>
      <c r="AL264" s="44">
        <v>6603</v>
      </c>
      <c r="AM264" s="54">
        <v>0.57187636047017898</v>
      </c>
      <c r="AN264" s="55">
        <v>0.57187636047017898</v>
      </c>
      <c r="AO264" s="56">
        <v>0</v>
      </c>
      <c r="AP264" s="48">
        <v>0</v>
      </c>
      <c r="AQ264" s="55">
        <v>0.57492381367000434</v>
      </c>
      <c r="AR264" s="51">
        <v>2442128.9900000002</v>
      </c>
      <c r="AS264" s="49">
        <v>0</v>
      </c>
      <c r="AT264" s="55">
        <v>0</v>
      </c>
      <c r="AU264" s="51">
        <v>0</v>
      </c>
      <c r="AV264" s="52">
        <v>0</v>
      </c>
      <c r="AW264" s="44">
        <v>490</v>
      </c>
      <c r="AX264" s="51">
        <v>369.85142965318801</v>
      </c>
      <c r="AY264" s="49">
        <v>396.99386229061702</v>
      </c>
      <c r="AZ264" s="49">
        <v>27.14243263742901</v>
      </c>
      <c r="BA264" s="42" t="s">
        <v>150</v>
      </c>
      <c r="BB264" s="50">
        <v>62969.710139574854</v>
      </c>
      <c r="BC264" s="57">
        <v>62969.710139574854</v>
      </c>
      <c r="BD264" s="42" t="s">
        <v>150</v>
      </c>
      <c r="BE264" s="46">
        <v>27.345238095238098</v>
      </c>
      <c r="BF264" s="46">
        <v>55.840687053637701</v>
      </c>
      <c r="BG264" s="42" t="s">
        <v>152</v>
      </c>
      <c r="BH264" s="52">
        <v>0.57187636047017898</v>
      </c>
      <c r="BI264" s="52">
        <v>0.639829102646158</v>
      </c>
      <c r="BJ264" s="42" t="s">
        <v>152</v>
      </c>
      <c r="BK264" s="46">
        <v>302.45373321596202</v>
      </c>
      <c r="BL264" s="46">
        <v>626.21699529020998</v>
      </c>
      <c r="BM264" s="42" t="s">
        <v>152</v>
      </c>
      <c r="BN264" s="48">
        <v>0</v>
      </c>
      <c r="BO264" s="42" t="s">
        <v>155</v>
      </c>
      <c r="BP264" s="42" t="s">
        <v>152</v>
      </c>
      <c r="BQ264" s="46">
        <v>4663.4931301631004</v>
      </c>
      <c r="BR264" s="46">
        <v>226</v>
      </c>
      <c r="BS264" s="46">
        <v>15392</v>
      </c>
      <c r="BT264" s="46">
        <v>5222</v>
      </c>
      <c r="BU264" s="46">
        <v>2.9475296821141326</v>
      </c>
      <c r="BV264" s="46">
        <v>23.106194690265486</v>
      </c>
      <c r="BW264" s="46">
        <v>0</v>
      </c>
      <c r="BX264" s="46">
        <v>2385</v>
      </c>
      <c r="BY264" s="46">
        <v>2385</v>
      </c>
      <c r="BZ264" s="46">
        <v>0.45672156261968594</v>
      </c>
      <c r="CA264" s="46">
        <v>0</v>
      </c>
      <c r="CB264" s="46">
        <v>0.45672156261968588</v>
      </c>
      <c r="CC264" s="46">
        <v>0.10264266564534662</v>
      </c>
      <c r="CD264" s="46">
        <v>6.3194178475679819E-2</v>
      </c>
      <c r="CE264" s="46">
        <v>0</v>
      </c>
      <c r="CF264" s="46">
        <v>0.37744159325928761</v>
      </c>
      <c r="CG264" s="46">
        <v>0</v>
      </c>
      <c r="CH264" s="46">
        <v>0</v>
      </c>
      <c r="CI264" s="46">
        <v>5.7822245322245323</v>
      </c>
      <c r="CJ264" s="46">
        <v>1.689189189189189</v>
      </c>
      <c r="CK264">
        <v>199</v>
      </c>
      <c r="CL264">
        <v>272.31</v>
      </c>
      <c r="CM264">
        <f t="shared" si="28"/>
        <v>73.31</v>
      </c>
      <c r="CN264">
        <v>9.23</v>
      </c>
      <c r="CO264">
        <v>9.4499999999999993</v>
      </c>
      <c r="CP264">
        <f t="shared" si="29"/>
        <v>0.21999999999999886</v>
      </c>
      <c r="CQ264">
        <v>564.37</v>
      </c>
      <c r="CR264">
        <v>302.45</v>
      </c>
      <c r="CS264">
        <f t="shared" si="30"/>
        <v>261.92</v>
      </c>
      <c r="CT264" t="s">
        <v>150</v>
      </c>
      <c r="CU264">
        <v>100.69</v>
      </c>
      <c r="CV264">
        <v>74</v>
      </c>
      <c r="CW264" s="46">
        <v>2385</v>
      </c>
      <c r="CX264" s="46">
        <f t="shared" si="31"/>
        <v>44.268288012255837</v>
      </c>
      <c r="CY264" s="46">
        <v>73.31</v>
      </c>
      <c r="CZ264" s="46">
        <f t="shared" si="32"/>
        <v>45.672156261968595</v>
      </c>
      <c r="DA264" s="46">
        <f t="shared" si="33"/>
        <v>320.98360247086572</v>
      </c>
      <c r="DB264" s="46">
        <v>1699707.68</v>
      </c>
      <c r="DC264" s="46">
        <f t="shared" si="34"/>
        <v>17.535268001306815</v>
      </c>
      <c r="DD264" s="46">
        <v>92854.68</v>
      </c>
      <c r="DE264" s="995">
        <v>2385</v>
      </c>
      <c r="DF264" s="995">
        <v>44.268000000000001</v>
      </c>
      <c r="DG264" s="995">
        <v>73.3</v>
      </c>
      <c r="DH264" s="995">
        <v>45.671999999999997</v>
      </c>
      <c r="DI264" s="995">
        <v>607.79700000000003</v>
      </c>
      <c r="DJ264" s="995">
        <v>3218474</v>
      </c>
      <c r="DK264" s="995">
        <v>32.585999999999999</v>
      </c>
      <c r="DL264" s="995">
        <v>172555.5</v>
      </c>
      <c r="DM264" s="995">
        <v>2385</v>
      </c>
      <c r="DN264" s="995">
        <v>44.268000000000001</v>
      </c>
      <c r="DO264" s="995">
        <v>73.3</v>
      </c>
      <c r="DP264" s="995">
        <v>45.671999999999997</v>
      </c>
      <c r="DQ264" s="995">
        <v>607.79700000000003</v>
      </c>
      <c r="DR264" s="995">
        <v>3218474</v>
      </c>
      <c r="DS264" s="995">
        <v>32.585999999999999</v>
      </c>
      <c r="DT264" s="995">
        <v>172555.5</v>
      </c>
    </row>
    <row r="265" spans="1:124">
      <c r="A265" s="42" t="s">
        <v>94</v>
      </c>
      <c r="B265" s="42" t="s">
        <v>446</v>
      </c>
      <c r="C265" s="42" t="s">
        <v>447</v>
      </c>
      <c r="D265" s="42">
        <v>901416</v>
      </c>
      <c r="E265" s="42" t="s">
        <v>467</v>
      </c>
      <c r="F265" s="42" t="s">
        <v>149</v>
      </c>
      <c r="G265" s="42" t="s">
        <v>150</v>
      </c>
      <c r="H265" s="43" t="s">
        <v>150</v>
      </c>
      <c r="I265" s="44">
        <v>22</v>
      </c>
      <c r="J265" s="45">
        <v>57270.7016</v>
      </c>
      <c r="K265" s="46">
        <v>21.134399999999999</v>
      </c>
      <c r="L265" s="47">
        <v>57291.836000000003</v>
      </c>
      <c r="M265" s="48">
        <v>845306</v>
      </c>
      <c r="N265" s="49">
        <v>844581</v>
      </c>
      <c r="O265" s="49">
        <v>684</v>
      </c>
      <c r="P265" s="49">
        <v>41</v>
      </c>
      <c r="Q265" s="50">
        <v>14573.5289655172</v>
      </c>
      <c r="R265" s="51">
        <v>5746.8139000759302</v>
      </c>
      <c r="S265" s="49">
        <v>13015.529808507201</v>
      </c>
      <c r="T265" s="49">
        <v>2661.4088152055001</v>
      </c>
      <c r="U265" s="49">
        <f>IFERROR(INDEX('Rentabilidad datos'!$N$2:$N$61,MATCH($C265,'Rentabilidad datos'!$C$2:$C$61,0)),"")</f>
        <v>21423.752523788604</v>
      </c>
      <c r="V265" s="50">
        <f>IFERROR(INDEX('Rentabilidad datos'!$O$2:$O$61,MATCH($C265,'Rentabilidad datos'!$C$2:$C$61,0)),"")</f>
        <v>1127.5659223046634</v>
      </c>
      <c r="W265" s="51">
        <f>IFERROR(INDEX('Rentabilidad datos'!$M$2:$M$61,MATCH($C265,'Rentabilidad datos'!$C$2:$C$61,0)),"")</f>
        <v>2854.7551675604168</v>
      </c>
      <c r="X265" s="52">
        <f>IFERROR(INDEX('Rentabilidad datos'!$P$2:$P$61,MATCH($C265,'Rentabilidad datos'!$C$2:$C$61,0)),"")</f>
        <v>0.39497815263374947</v>
      </c>
      <c r="Y265" s="43" t="s">
        <v>171</v>
      </c>
      <c r="Z265" s="53">
        <v>139.37931034482801</v>
      </c>
      <c r="AA265" s="43">
        <v>1</v>
      </c>
      <c r="AB265" s="54">
        <v>1</v>
      </c>
      <c r="AC265" s="55">
        <v>0</v>
      </c>
      <c r="AD265" s="752" t="e">
        <f>_xlfn.XLOOKUP(Table1[[#This Row],[Ruta]],#REF!,#REF!)</f>
        <v>#REF!</v>
      </c>
      <c r="AE265" s="752" t="e">
        <f>_xlfn.XLOOKUP(Table1[[#This Row],[Ruta]],#REF!,#REF!)</f>
        <v>#REF!</v>
      </c>
      <c r="AF265" s="752" t="e">
        <f>_xlfn.XLOOKUP(Table1[[#This Row],[Ruta]],#REF!,#REF!)</f>
        <v>#REF!</v>
      </c>
      <c r="AG265" s="752" t="e">
        <f>_xlfn.XLOOKUP(Table1[[#This Row],[Ruta]],#REF!,#REF!)</f>
        <v>#REF!</v>
      </c>
      <c r="AH265" s="52">
        <v>0.99914232242525192</v>
      </c>
      <c r="AI265" s="52">
        <v>8.0917442914163625E-4</v>
      </c>
      <c r="AJ265" s="55">
        <v>4.8503145606443108E-5</v>
      </c>
      <c r="AK265" s="56">
        <v>8084</v>
      </c>
      <c r="AL265" s="44">
        <v>144</v>
      </c>
      <c r="AM265" s="54">
        <v>1.7812963879267601E-2</v>
      </c>
      <c r="AN265" s="55">
        <v>0.57187636047017898</v>
      </c>
      <c r="AO265" s="56">
        <v>4479.0484980409201</v>
      </c>
      <c r="AP265" s="48">
        <v>2239.52424902046</v>
      </c>
      <c r="AQ265" s="55">
        <v>0.29484466217472294</v>
      </c>
      <c r="AR265" s="51">
        <v>845264.68</v>
      </c>
      <c r="AS265" s="49">
        <v>13145769.081253599</v>
      </c>
      <c r="AT265" s="55">
        <v>15.55225172930874</v>
      </c>
      <c r="AU265" s="51">
        <v>9237567.4625025336</v>
      </c>
      <c r="AV265" s="52">
        <v>4.2022568562112464E-2</v>
      </c>
      <c r="AW265" s="44">
        <v>1</v>
      </c>
      <c r="AX265" s="51">
        <v>5869.8936111111097</v>
      </c>
      <c r="AY265" s="49">
        <v>396.99386229061702</v>
      </c>
      <c r="AZ265" s="49">
        <v>0</v>
      </c>
      <c r="BA265" s="42" t="s">
        <v>152</v>
      </c>
      <c r="BB265" s="50">
        <v>0</v>
      </c>
      <c r="BC265" s="57">
        <v>9237567.4625025336</v>
      </c>
      <c r="BD265" s="42" t="s">
        <v>150</v>
      </c>
      <c r="BE265" s="46">
        <v>139.37931034482801</v>
      </c>
      <c r="BF265" s="46">
        <v>55.840687053637701</v>
      </c>
      <c r="BG265" s="42" t="s">
        <v>150</v>
      </c>
      <c r="BH265" s="52">
        <v>1.7812963879267701E-2</v>
      </c>
      <c r="BI265" s="52">
        <v>0.639829102646158</v>
      </c>
      <c r="BJ265" s="42" t="s">
        <v>152</v>
      </c>
      <c r="BK265" s="46">
        <v>987.79027586206905</v>
      </c>
      <c r="BL265" s="46">
        <v>626.21699529020998</v>
      </c>
      <c r="BM265" s="42" t="s">
        <v>150</v>
      </c>
      <c r="BN265" s="48">
        <v>2</v>
      </c>
      <c r="BO265" s="42" t="s">
        <v>161</v>
      </c>
      <c r="BP265" s="42" t="s">
        <v>152</v>
      </c>
      <c r="BQ265" s="46">
        <v>1823.6771366220401</v>
      </c>
      <c r="BR265" s="46" t="e">
        <v>#N/A</v>
      </c>
      <c r="BS265" s="46" t="e">
        <v>#N/A</v>
      </c>
      <c r="BT265" s="46" t="e">
        <v>#N/A</v>
      </c>
      <c r="BU265" s="46" t="e">
        <v>#N/A</v>
      </c>
      <c r="BV265" s="46" t="e">
        <v>#N/A</v>
      </c>
      <c r="BW265" s="46" t="e">
        <v>#N/A</v>
      </c>
      <c r="BX265" s="46" t="e">
        <v>#N/A</v>
      </c>
      <c r="BY265" s="46" t="e">
        <v>#N/A</v>
      </c>
      <c r="BZ265" s="46" t="e">
        <v>#N/A</v>
      </c>
      <c r="CA265" s="46" t="e">
        <v>#N/A</v>
      </c>
      <c r="CB265" s="46" t="e">
        <v>#N/A</v>
      </c>
      <c r="CC265" s="46" t="e">
        <v>#N/A</v>
      </c>
      <c r="CD265" s="46" t="e">
        <v>#N/A</v>
      </c>
      <c r="CE265" s="46" t="e">
        <v>#N/A</v>
      </c>
      <c r="CF265" s="46" t="e">
        <v>#N/A</v>
      </c>
      <c r="CG265" s="46" t="e">
        <v>#N/A</v>
      </c>
      <c r="CH265" s="46" t="e">
        <v>#N/A</v>
      </c>
      <c r="CI265" s="46" t="e">
        <v>#N/A</v>
      </c>
      <c r="CJ265" s="46" t="e">
        <v>#N/A</v>
      </c>
      <c r="CM265">
        <f t="shared" si="28"/>
        <v>0</v>
      </c>
      <c r="CP265">
        <f t="shared" si="29"/>
        <v>0</v>
      </c>
      <c r="CS265">
        <f t="shared" si="30"/>
        <v>0</v>
      </c>
      <c r="CW265" s="46"/>
      <c r="CX265" s="46" t="e">
        <f t="shared" si="31"/>
        <v>#N/A</v>
      </c>
      <c r="CY265" s="46"/>
      <c r="CZ265" s="46" t="e">
        <f t="shared" si="32"/>
        <v>#N/A</v>
      </c>
      <c r="DA265" s="46" t="e">
        <f t="shared" si="33"/>
        <v>#N/A</v>
      </c>
      <c r="DB265" s="46"/>
      <c r="DC265" s="46" t="e">
        <f t="shared" si="34"/>
        <v>#N/A</v>
      </c>
      <c r="DD265" s="46"/>
      <c r="DE265" s="995" t="s">
        <v>194</v>
      </c>
      <c r="DF265" s="995" t="s">
        <v>194</v>
      </c>
      <c r="DG265" s="995" t="s">
        <v>194</v>
      </c>
      <c r="DH265" s="995" t="s">
        <v>194</v>
      </c>
      <c r="DI265" s="995" t="s">
        <v>194</v>
      </c>
      <c r="DJ265" s="995" t="s">
        <v>194</v>
      </c>
      <c r="DK265" s="995" t="s">
        <v>194</v>
      </c>
      <c r="DL265" s="995" t="s">
        <v>194</v>
      </c>
      <c r="DM265" s="995" t="s">
        <v>194</v>
      </c>
      <c r="DN265" s="995" t="s">
        <v>194</v>
      </c>
      <c r="DO265" s="995" t="s">
        <v>194</v>
      </c>
      <c r="DP265" s="995" t="s">
        <v>194</v>
      </c>
      <c r="DQ265" s="995" t="s">
        <v>194</v>
      </c>
      <c r="DR265" s="995" t="s">
        <v>194</v>
      </c>
      <c r="DS265" s="995" t="s">
        <v>194</v>
      </c>
      <c r="DT265" s="995" t="s">
        <v>194</v>
      </c>
    </row>
    <row r="266" spans="1:124">
      <c r="A266" s="42" t="s">
        <v>94</v>
      </c>
      <c r="B266" s="42" t="s">
        <v>446</v>
      </c>
      <c r="C266" s="42" t="s">
        <v>447</v>
      </c>
      <c r="D266" s="42">
        <v>901417</v>
      </c>
      <c r="E266" s="42" t="s">
        <v>468</v>
      </c>
      <c r="F266" s="42" t="s">
        <v>149</v>
      </c>
      <c r="G266" s="42" t="s">
        <v>150</v>
      </c>
      <c r="H266" s="43" t="s">
        <v>150</v>
      </c>
      <c r="I266" s="44">
        <v>22</v>
      </c>
      <c r="J266" s="45">
        <v>186475.856</v>
      </c>
      <c r="K266" s="46">
        <v>5569.8284999999996</v>
      </c>
      <c r="L266" s="47">
        <v>192045.6845</v>
      </c>
      <c r="M266" s="48">
        <v>3483632</v>
      </c>
      <c r="N266" s="49">
        <v>2788123</v>
      </c>
      <c r="O266" s="49">
        <v>670114</v>
      </c>
      <c r="P266" s="49">
        <v>25395</v>
      </c>
      <c r="Q266" s="50">
        <v>8367.9518115941992</v>
      </c>
      <c r="R266" s="51">
        <v>5746.8139000759302</v>
      </c>
      <c r="S266" s="49">
        <v>13015.529808507201</v>
      </c>
      <c r="T266" s="49">
        <v>2661.4088152055001</v>
      </c>
      <c r="U266" s="49">
        <f>IFERROR(INDEX('Rentabilidad datos'!$N$2:$N$61,MATCH($C266,'Rentabilidad datos'!$C$2:$C$61,0)),"")</f>
        <v>21423.752523788604</v>
      </c>
      <c r="V266" s="50">
        <f>IFERROR(INDEX('Rentabilidad datos'!$O$2:$O$61,MATCH($C266,'Rentabilidad datos'!$C$2:$C$61,0)),"")</f>
        <v>1127.5659223046634</v>
      </c>
      <c r="W266" s="51">
        <f>IFERROR(INDEX('Rentabilidad datos'!$M$2:$M$61,MATCH($C266,'Rentabilidad datos'!$C$2:$C$61,0)),"")</f>
        <v>2854.7551675604168</v>
      </c>
      <c r="X266" s="52">
        <f>IFERROR(INDEX('Rentabilidad datos'!$P$2:$P$61,MATCH($C266,'Rentabilidad datos'!$C$2:$C$61,0)),"")</f>
        <v>0.39497815263374947</v>
      </c>
      <c r="Y266" s="43" t="s">
        <v>171</v>
      </c>
      <c r="Z266" s="53">
        <v>35.5343137254902</v>
      </c>
      <c r="AA266" s="43">
        <v>1</v>
      </c>
      <c r="AB266" s="54">
        <v>0.9910099574237462</v>
      </c>
      <c r="AC266" s="55">
        <v>8.9900425762537498E-3</v>
      </c>
      <c r="AD266" s="752" t="e">
        <f>_xlfn.XLOOKUP(Table1[[#This Row],[Ruta]],#REF!,#REF!)</f>
        <v>#REF!</v>
      </c>
      <c r="AE266" s="752" t="e">
        <f>_xlfn.XLOOKUP(Table1[[#This Row],[Ruta]],#REF!,#REF!)</f>
        <v>#REF!</v>
      </c>
      <c r="AF266" s="752" t="e">
        <f>_xlfn.XLOOKUP(Table1[[#This Row],[Ruta]],#REF!,#REF!)</f>
        <v>#REF!</v>
      </c>
      <c r="AG266" s="752" t="e">
        <f>_xlfn.XLOOKUP(Table1[[#This Row],[Ruta]],#REF!,#REF!)</f>
        <v>#REF!</v>
      </c>
      <c r="AH266" s="52">
        <v>0.80034946285945241</v>
      </c>
      <c r="AI266" s="52">
        <v>0.19236073155832764</v>
      </c>
      <c r="AJ266" s="55">
        <v>7.2898055822199362E-3</v>
      </c>
      <c r="AK266" s="56">
        <v>14498</v>
      </c>
      <c r="AL266" s="44">
        <v>5708</v>
      </c>
      <c r="AM266" s="54">
        <v>0.392812801765761</v>
      </c>
      <c r="AN266" s="55">
        <v>0.57187636047017898</v>
      </c>
      <c r="AO266" s="56">
        <v>2596.0634740966502</v>
      </c>
      <c r="AP266" s="48">
        <v>1298.0317370483251</v>
      </c>
      <c r="AQ266" s="55">
        <v>0.48324125652147365</v>
      </c>
      <c r="AR266" s="51">
        <v>3464332.05</v>
      </c>
      <c r="AS266" s="49">
        <v>787808.85574171005</v>
      </c>
      <c r="AT266" s="55">
        <v>0.2274057002537358</v>
      </c>
      <c r="AU266" s="51">
        <v>553595.41214282345</v>
      </c>
      <c r="AV266" s="52">
        <v>2.5183579180205985E-3</v>
      </c>
      <c r="AW266" s="44">
        <v>133</v>
      </c>
      <c r="AX266" s="51">
        <v>606.92572704975498</v>
      </c>
      <c r="AY266" s="49">
        <v>396.99386229061702</v>
      </c>
      <c r="AZ266" s="49">
        <v>0</v>
      </c>
      <c r="BA266" s="42" t="s">
        <v>152</v>
      </c>
      <c r="BB266" s="50">
        <v>0</v>
      </c>
      <c r="BC266" s="57">
        <v>553595.41214282345</v>
      </c>
      <c r="BD266" s="42" t="s">
        <v>150</v>
      </c>
      <c r="BE266" s="46">
        <v>35.5343137254902</v>
      </c>
      <c r="BF266" s="46">
        <v>55.840687053637701</v>
      </c>
      <c r="BG266" s="42" t="s">
        <v>152</v>
      </c>
      <c r="BH266" s="52">
        <v>0.392812801765761</v>
      </c>
      <c r="BI266" s="52">
        <v>0.639829102646158</v>
      </c>
      <c r="BJ266" s="42" t="s">
        <v>152</v>
      </c>
      <c r="BK266" s="46">
        <v>463.87846497584502</v>
      </c>
      <c r="BL266" s="46">
        <v>626.21699529020998</v>
      </c>
      <c r="BM266" s="42" t="s">
        <v>152</v>
      </c>
      <c r="BN266" s="48">
        <v>0</v>
      </c>
      <c r="BO266" s="42" t="s">
        <v>155</v>
      </c>
      <c r="BP266" s="42" t="s">
        <v>152</v>
      </c>
      <c r="BQ266" s="46">
        <v>8147.2830287135102</v>
      </c>
      <c r="BR266" s="46">
        <v>272</v>
      </c>
      <c r="BS266" s="46">
        <v>8441</v>
      </c>
      <c r="BT266" s="46">
        <v>2260</v>
      </c>
      <c r="BU266" s="46">
        <v>3.7349557522123895</v>
      </c>
      <c r="BV266" s="46">
        <v>8.3088235294117645</v>
      </c>
      <c r="BW266" s="46">
        <v>0</v>
      </c>
      <c r="BX266" s="46">
        <v>0</v>
      </c>
      <c r="BY266" s="46">
        <v>0</v>
      </c>
      <c r="BZ266" s="46">
        <v>0</v>
      </c>
      <c r="CA266" s="46">
        <v>0</v>
      </c>
      <c r="CB266" s="46">
        <v>0</v>
      </c>
      <c r="CC266" s="46">
        <v>0</v>
      </c>
      <c r="CD266" s="46">
        <v>9.9557522123893807E-2</v>
      </c>
      <c r="CE266" s="46">
        <v>4.7787610619469033E-2</v>
      </c>
      <c r="CF266" s="46">
        <v>0.85265486725663719</v>
      </c>
      <c r="CG266" s="46">
        <v>0</v>
      </c>
      <c r="CH266" s="46">
        <v>0</v>
      </c>
      <c r="CI266" s="46">
        <v>7.4635706669825854</v>
      </c>
      <c r="CJ266" s="46">
        <v>0.47387750266556089</v>
      </c>
      <c r="CK266">
        <v>117</v>
      </c>
      <c r="CL266">
        <v>117</v>
      </c>
      <c r="CM266">
        <f t="shared" ref="CM266:CM329" si="35">CL266-CK266</f>
        <v>0</v>
      </c>
      <c r="CO266">
        <v>9.4499999999999993</v>
      </c>
      <c r="CP266">
        <f t="shared" ref="CP266:CP329" si="36">CO266-CN266</f>
        <v>9.4499999999999993</v>
      </c>
      <c r="CS266">
        <f t="shared" ref="CS266:CS329" si="37">CQ266-CR266</f>
        <v>0</v>
      </c>
      <c r="CV266">
        <v>0</v>
      </c>
      <c r="CW266" s="46">
        <v>0</v>
      </c>
      <c r="CX266" s="46">
        <f t="shared" si="31"/>
        <v>0</v>
      </c>
      <c r="CY266" s="46">
        <v>0</v>
      </c>
      <c r="CZ266" s="46">
        <f t="shared" si="32"/>
        <v>0</v>
      </c>
      <c r="DA266" s="46">
        <f t="shared" si="33"/>
        <v>0</v>
      </c>
      <c r="DB266" s="46">
        <v>0</v>
      </c>
      <c r="DC266" s="46">
        <f t="shared" si="34"/>
        <v>0</v>
      </c>
      <c r="DD266" s="46">
        <v>0</v>
      </c>
      <c r="DE266" s="995">
        <v>0</v>
      </c>
      <c r="DF266" s="995">
        <v>0</v>
      </c>
      <c r="DG266" s="995">
        <v>0</v>
      </c>
      <c r="DH266" s="995">
        <v>0</v>
      </c>
      <c r="DI266" s="995">
        <v>1014.12</v>
      </c>
      <c r="DJ266" s="995">
        <v>2291911</v>
      </c>
      <c r="DK266" s="995">
        <v>52.899000000000001</v>
      </c>
      <c r="DL266" s="995">
        <v>119551.6</v>
      </c>
      <c r="DM266" s="995">
        <v>0</v>
      </c>
      <c r="DN266" s="995">
        <v>0</v>
      </c>
      <c r="DO266" s="995">
        <v>0</v>
      </c>
      <c r="DP266" s="995">
        <v>0</v>
      </c>
      <c r="DQ266" s="995">
        <v>1014.12</v>
      </c>
      <c r="DR266" s="995">
        <v>2291911</v>
      </c>
      <c r="DS266" s="995">
        <v>52.899000000000001</v>
      </c>
      <c r="DT266" s="995">
        <v>119551.6</v>
      </c>
    </row>
    <row r="267" spans="1:124">
      <c r="A267" s="42" t="s">
        <v>94</v>
      </c>
      <c r="B267" s="42" t="s">
        <v>446</v>
      </c>
      <c r="C267" s="42" t="s">
        <v>447</v>
      </c>
      <c r="D267" s="42">
        <v>901418</v>
      </c>
      <c r="E267" s="42" t="s">
        <v>469</v>
      </c>
      <c r="F267" s="42" t="s">
        <v>149</v>
      </c>
      <c r="G267" s="42" t="s">
        <v>150</v>
      </c>
      <c r="H267" s="43" t="s">
        <v>150</v>
      </c>
      <c r="I267" s="44">
        <v>22</v>
      </c>
      <c r="J267" s="45">
        <v>30412.401600000001</v>
      </c>
      <c r="K267" s="46">
        <v>3255.5562500000001</v>
      </c>
      <c r="L267" s="47">
        <v>33667.957849999999</v>
      </c>
      <c r="M267" s="48">
        <v>731104</v>
      </c>
      <c r="N267" s="49">
        <v>433236</v>
      </c>
      <c r="O267" s="49">
        <v>296845</v>
      </c>
      <c r="P267" s="49">
        <v>1023</v>
      </c>
      <c r="Q267" s="50">
        <v>3004.4450617283901</v>
      </c>
      <c r="R267" s="51">
        <v>5746.8139000759302</v>
      </c>
      <c r="S267" s="49">
        <v>13015.529808507201</v>
      </c>
      <c r="T267" s="49">
        <v>2661.4088152055001</v>
      </c>
      <c r="U267" s="49">
        <f>IFERROR(INDEX('Rentabilidad datos'!$N$2:$N$61,MATCH($C267,'Rentabilidad datos'!$C$2:$C$61,0)),"")</f>
        <v>21423.752523788604</v>
      </c>
      <c r="V267" s="50">
        <f>IFERROR(INDEX('Rentabilidad datos'!$O$2:$O$61,MATCH($C267,'Rentabilidad datos'!$C$2:$C$61,0)),"")</f>
        <v>1127.5659223046634</v>
      </c>
      <c r="W267" s="51">
        <f>IFERROR(INDEX('Rentabilidad datos'!$M$2:$M$61,MATCH($C267,'Rentabilidad datos'!$C$2:$C$61,0)),"")</f>
        <v>2854.7551675604168</v>
      </c>
      <c r="X267" s="52">
        <f>IFERROR(INDEX('Rentabilidad datos'!$P$2:$P$61,MATCH($C267,'Rentabilidad datos'!$C$2:$C$61,0)),"")</f>
        <v>0.39497815263374947</v>
      </c>
      <c r="Y267" s="43" t="s">
        <v>171</v>
      </c>
      <c r="Z267" s="53">
        <v>62.158333333333303</v>
      </c>
      <c r="AA267" s="43">
        <v>1</v>
      </c>
      <c r="AB267" s="54">
        <v>0.75460946732612599</v>
      </c>
      <c r="AC267" s="55">
        <v>0.24539053267387403</v>
      </c>
      <c r="AD267" s="752" t="e">
        <f>_xlfn.XLOOKUP(Table1[[#This Row],[Ruta]],#REF!,#REF!)</f>
        <v>#REF!</v>
      </c>
      <c r="AE267" s="752" t="e">
        <f>_xlfn.XLOOKUP(Table1[[#This Row],[Ruta]],#REF!,#REF!)</f>
        <v>#REF!</v>
      </c>
      <c r="AF267" s="752" t="e">
        <f>_xlfn.XLOOKUP(Table1[[#This Row],[Ruta]],#REF!,#REF!)</f>
        <v>#REF!</v>
      </c>
      <c r="AG267" s="752" t="e">
        <f>_xlfn.XLOOKUP(Table1[[#This Row],[Ruta]],#REF!,#REF!)</f>
        <v>#REF!</v>
      </c>
      <c r="AH267" s="52">
        <v>0.592577800148816</v>
      </c>
      <c r="AI267" s="52">
        <v>0.40602294611984069</v>
      </c>
      <c r="AJ267" s="55">
        <v>1.3992537313432835E-3</v>
      </c>
      <c r="AK267" s="56">
        <v>14918</v>
      </c>
      <c r="AL267" s="44">
        <v>927</v>
      </c>
      <c r="AM267" s="54">
        <v>6.2005630781606098E-2</v>
      </c>
      <c r="AN267" s="55">
        <v>0.57187636047017898</v>
      </c>
      <c r="AO267" s="56">
        <v>7606.2515454941204</v>
      </c>
      <c r="AP267" s="48">
        <v>3803.1257727470602</v>
      </c>
      <c r="AQ267" s="55">
        <v>0.31707506185460921</v>
      </c>
      <c r="AR267" s="51">
        <v>730080.15</v>
      </c>
      <c r="AS267" s="49">
        <v>2995239.0880647702</v>
      </c>
      <c r="AT267" s="55">
        <v>4.1026167990798958</v>
      </c>
      <c r="AU267" s="51">
        <v>2104762.6024238933</v>
      </c>
      <c r="AV267" s="52">
        <v>9.5747642576206032E-3</v>
      </c>
      <c r="AW267" s="44">
        <v>7</v>
      </c>
      <c r="AX267" s="51">
        <v>787.57297734627798</v>
      </c>
      <c r="AY267" s="49">
        <v>396.99386229061702</v>
      </c>
      <c r="AZ267" s="49">
        <v>0</v>
      </c>
      <c r="BA267" s="42" t="s">
        <v>152</v>
      </c>
      <c r="BB267" s="50">
        <v>0</v>
      </c>
      <c r="BC267" s="57">
        <v>2104762.6024238933</v>
      </c>
      <c r="BD267" s="42" t="s">
        <v>150</v>
      </c>
      <c r="BE267" s="46">
        <v>62.158333333333303</v>
      </c>
      <c r="BF267" s="46">
        <v>55.840687053637701</v>
      </c>
      <c r="BG267" s="42" t="s">
        <v>150</v>
      </c>
      <c r="BH267" s="52">
        <v>6.2005630781606098E-2</v>
      </c>
      <c r="BI267" s="52">
        <v>0.639829102646158</v>
      </c>
      <c r="BJ267" s="42" t="s">
        <v>152</v>
      </c>
      <c r="BK267" s="46">
        <v>138.55126687242799</v>
      </c>
      <c r="BL267" s="46">
        <v>626.21699529020998</v>
      </c>
      <c r="BM267" s="42" t="s">
        <v>152</v>
      </c>
      <c r="BN267" s="48">
        <v>1</v>
      </c>
      <c r="BO267" s="42" t="s">
        <v>155</v>
      </c>
      <c r="BP267" s="42" t="s">
        <v>152</v>
      </c>
      <c r="BQ267" s="46">
        <v>6542.23565324836</v>
      </c>
      <c r="BR267" s="46">
        <v>689</v>
      </c>
      <c r="BS267" s="46">
        <v>47152</v>
      </c>
      <c r="BT267" s="46">
        <v>12821</v>
      </c>
      <c r="BU267" s="46">
        <v>3.6777162467826221</v>
      </c>
      <c r="BV267" s="46">
        <v>18.608127721335268</v>
      </c>
      <c r="BW267" s="46">
        <v>0</v>
      </c>
      <c r="BX267" s="46">
        <v>1076</v>
      </c>
      <c r="BY267" s="46">
        <v>1076</v>
      </c>
      <c r="BZ267" s="46">
        <v>8.3924810857187421E-2</v>
      </c>
      <c r="CA267" s="46">
        <v>0</v>
      </c>
      <c r="CB267" s="46">
        <v>8.3924810857187421E-2</v>
      </c>
      <c r="CC267" s="46">
        <v>0.30590437563372591</v>
      </c>
      <c r="CD267" s="46">
        <v>0</v>
      </c>
      <c r="CE267" s="46">
        <v>8.1350908665470706E-2</v>
      </c>
      <c r="CF267" s="46">
        <v>0.52881990484361596</v>
      </c>
      <c r="CG267" s="46">
        <v>0</v>
      </c>
      <c r="CH267" s="46">
        <v>0</v>
      </c>
      <c r="CI267" s="46">
        <v>3.8598574821852734</v>
      </c>
      <c r="CJ267" s="46">
        <v>0.21208008143875126</v>
      </c>
      <c r="CK267">
        <v>172</v>
      </c>
      <c r="CL267">
        <v>334.14</v>
      </c>
      <c r="CM267">
        <f t="shared" si="35"/>
        <v>162.13999999999999</v>
      </c>
      <c r="CN267">
        <v>6.3</v>
      </c>
      <c r="CO267">
        <v>9.4499999999999993</v>
      </c>
      <c r="CP267">
        <f t="shared" si="36"/>
        <v>3.1499999999999995</v>
      </c>
      <c r="CQ267">
        <v>744.26</v>
      </c>
      <c r="CR267">
        <v>138.55000000000001</v>
      </c>
      <c r="CS267">
        <f t="shared" si="37"/>
        <v>605.71</v>
      </c>
      <c r="CT267" t="s">
        <v>152</v>
      </c>
      <c r="CU267">
        <v>67.11</v>
      </c>
      <c r="CV267">
        <v>0</v>
      </c>
      <c r="CW267" s="46">
        <v>1076</v>
      </c>
      <c r="CX267" s="46">
        <f t="shared" si="31"/>
        <v>7.1278371421885964</v>
      </c>
      <c r="CY267" s="46">
        <v>162.13999999999999</v>
      </c>
      <c r="CZ267" s="46">
        <f t="shared" si="32"/>
        <v>8.3924810857187424</v>
      </c>
      <c r="DA267" s="46">
        <f t="shared" si="33"/>
        <v>182.89362665734177</v>
      </c>
      <c r="DB267" s="46">
        <v>2374533.56</v>
      </c>
      <c r="DC267" s="46">
        <f t="shared" si="34"/>
        <v>9.8695592899714555</v>
      </c>
      <c r="DD267" s="46">
        <v>128137.87</v>
      </c>
      <c r="DE267" s="995">
        <v>1076</v>
      </c>
      <c r="DF267" s="995">
        <v>7.6959999999999997</v>
      </c>
      <c r="DG267" s="995">
        <v>89.2</v>
      </c>
      <c r="DH267" s="995">
        <v>8.3919999999999995</v>
      </c>
      <c r="DI267" s="995">
        <v>172.983</v>
      </c>
      <c r="DJ267" s="995">
        <v>2233246</v>
      </c>
      <c r="DK267" s="995">
        <v>9.73</v>
      </c>
      <c r="DL267" s="995">
        <v>125620.8</v>
      </c>
      <c r="DM267" s="995">
        <v>1076</v>
      </c>
      <c r="DN267" s="995">
        <v>7.726</v>
      </c>
      <c r="DO267" s="995">
        <v>85.5</v>
      </c>
      <c r="DP267" s="995">
        <v>8.3919999999999995</v>
      </c>
      <c r="DQ267" s="995">
        <v>170.20599999999999</v>
      </c>
      <c r="DR267" s="995">
        <v>2196759</v>
      </c>
      <c r="DS267" s="995">
        <v>9.5950000000000006</v>
      </c>
      <c r="DT267" s="995">
        <v>123835.4</v>
      </c>
    </row>
    <row r="268" spans="1:124">
      <c r="A268" s="42" t="s">
        <v>94</v>
      </c>
      <c r="B268" s="42" t="s">
        <v>446</v>
      </c>
      <c r="C268" s="42" t="s">
        <v>470</v>
      </c>
      <c r="D268" s="42">
        <v>907341</v>
      </c>
      <c r="E268" s="42" t="s">
        <v>471</v>
      </c>
      <c r="F268" s="42" t="s">
        <v>149</v>
      </c>
      <c r="G268" s="42" t="s">
        <v>150</v>
      </c>
      <c r="H268" s="43" t="s">
        <v>150</v>
      </c>
      <c r="I268" s="44">
        <v>14</v>
      </c>
      <c r="J268" s="45">
        <v>190079.27119999999</v>
      </c>
      <c r="K268" s="46">
        <v>13301.061909</v>
      </c>
      <c r="L268" s="47">
        <v>203380.333109</v>
      </c>
      <c r="M268" s="48">
        <v>4941653</v>
      </c>
      <c r="N268" s="49">
        <v>2787299</v>
      </c>
      <c r="O268" s="49">
        <v>2148311</v>
      </c>
      <c r="P268" s="49">
        <v>6043</v>
      </c>
      <c r="Q268" s="50">
        <v>10972.375033407599</v>
      </c>
      <c r="R268" s="51">
        <v>3870.7942304851499</v>
      </c>
      <c r="S268" s="49">
        <v>9590.3903852158091</v>
      </c>
      <c r="T268" s="49">
        <v>1961.0380743619501</v>
      </c>
      <c r="U268" s="49">
        <f>IFERROR(INDEX('Rentabilidad datos'!$N$2:$N$61,MATCH($C268,'Rentabilidad datos'!$C$2:$C$61,0)),"")</f>
        <v>15422.222690062908</v>
      </c>
      <c r="V268" s="50">
        <f>IFERROR(INDEX('Rentabilidad datos'!$O$2:$O$61,MATCH($C268,'Rentabilidad datos'!$C$2:$C$61,0)),"")</f>
        <v>1101.5873350044935</v>
      </c>
      <c r="W268" s="51">
        <f>IFERROR(INDEX('Rentabilidad datos'!$M$2:$M$61,MATCH($C268,'Rentabilidad datos'!$C$2:$C$61,0)),"")</f>
        <v>2767.0116391629381</v>
      </c>
      <c r="X268" s="52">
        <f>IFERROR(INDEX('Rentabilidad datos'!$P$2:$P$61,MATCH($C268,'Rentabilidad datos'!$C$2:$C$61,0)),"")</f>
        <v>0.39811445655419792</v>
      </c>
      <c r="Y268" s="43" t="s">
        <v>171</v>
      </c>
      <c r="Z268" s="53">
        <v>50.587973273942097</v>
      </c>
      <c r="AA268" s="43">
        <v>2</v>
      </c>
      <c r="AB268" s="54">
        <v>0.9300274624705539</v>
      </c>
      <c r="AC268" s="55">
        <v>6.9972537529446113E-2</v>
      </c>
      <c r="AD268" s="752" t="e">
        <f>_xlfn.XLOOKUP(Table1[[#This Row],[Ruta]],#REF!,#REF!)</f>
        <v>#REF!</v>
      </c>
      <c r="AE268" s="752" t="e">
        <f>_xlfn.XLOOKUP(Table1[[#This Row],[Ruta]],#REF!,#REF!)</f>
        <v>#REF!</v>
      </c>
      <c r="AF268" s="752" t="e">
        <f>_xlfn.XLOOKUP(Table1[[#This Row],[Ruta]],#REF!,#REF!)</f>
        <v>#REF!</v>
      </c>
      <c r="AG268" s="752" t="e">
        <f>_xlfn.XLOOKUP(Table1[[#This Row],[Ruta]],#REF!,#REF!)</f>
        <v>#REF!</v>
      </c>
      <c r="AH268" s="52">
        <v>0.56404182972782591</v>
      </c>
      <c r="AI268" s="52">
        <v>0.43473530011111666</v>
      </c>
      <c r="AJ268" s="55">
        <v>1.2228701610574437E-3</v>
      </c>
      <c r="AK268" s="56">
        <v>22714</v>
      </c>
      <c r="AL268" s="44">
        <v>18200</v>
      </c>
      <c r="AM268" s="54">
        <v>0.80126794047723904</v>
      </c>
      <c r="AN268" s="55">
        <v>0.77820466152725898</v>
      </c>
      <c r="AO268" s="56">
        <v>0</v>
      </c>
      <c r="AP268" s="48">
        <v>0</v>
      </c>
      <c r="AQ268" s="55">
        <v>0.8012679404772387</v>
      </c>
      <c r="AR268" s="51">
        <v>4926596.3899999997</v>
      </c>
      <c r="AS268" s="49">
        <v>0</v>
      </c>
      <c r="AT268" s="55">
        <v>0</v>
      </c>
      <c r="AU268" s="51">
        <v>0</v>
      </c>
      <c r="AV268" s="52">
        <v>0</v>
      </c>
      <c r="AW268" s="44">
        <v>490</v>
      </c>
      <c r="AX268" s="51">
        <v>270.69210934065899</v>
      </c>
      <c r="AY268" s="49">
        <v>342.62655542326002</v>
      </c>
      <c r="AZ268" s="49">
        <v>71.934446082601028</v>
      </c>
      <c r="BA268" s="42" t="s">
        <v>150</v>
      </c>
      <c r="BB268" s="50">
        <v>459991.62008495699</v>
      </c>
      <c r="BC268" s="57">
        <v>459991.62008495699</v>
      </c>
      <c r="BD268" s="42" t="s">
        <v>150</v>
      </c>
      <c r="BE268" s="46">
        <v>50.587973273942097</v>
      </c>
      <c r="BF268" s="46">
        <v>55.840687053637701</v>
      </c>
      <c r="BG268" s="42" t="s">
        <v>152</v>
      </c>
      <c r="BH268" s="52">
        <v>0.80126794047723904</v>
      </c>
      <c r="BI268" s="52">
        <v>0.639829102646158</v>
      </c>
      <c r="BJ268" s="42" t="s">
        <v>150</v>
      </c>
      <c r="BK268" s="46">
        <v>452.96287997550098</v>
      </c>
      <c r="BL268" s="46">
        <v>626.21699529020998</v>
      </c>
      <c r="BM268" s="42" t="s">
        <v>152</v>
      </c>
      <c r="BN268" s="48">
        <v>1</v>
      </c>
      <c r="BO268" s="42" t="s">
        <v>155</v>
      </c>
      <c r="BP268" s="42" t="s">
        <v>152</v>
      </c>
      <c r="BQ268" s="46">
        <v>0</v>
      </c>
      <c r="BR268" s="46">
        <v>265</v>
      </c>
      <c r="BS268" s="46">
        <v>11858</v>
      </c>
      <c r="BT268" s="46">
        <v>3646</v>
      </c>
      <c r="BU268" s="46">
        <v>3.2523313219967087</v>
      </c>
      <c r="BV268" s="46">
        <v>13.758490566037736</v>
      </c>
      <c r="BW268" s="46">
        <v>2405</v>
      </c>
      <c r="BX268" s="46">
        <v>1241</v>
      </c>
      <c r="BY268" s="46">
        <v>3646</v>
      </c>
      <c r="BZ268" s="46">
        <v>1</v>
      </c>
      <c r="CA268" s="46">
        <v>0.65962698848052659</v>
      </c>
      <c r="CB268" s="46">
        <v>0.34037301151947341</v>
      </c>
      <c r="CC268" s="46">
        <v>0</v>
      </c>
      <c r="CD268" s="46">
        <v>0</v>
      </c>
      <c r="CE268" s="46">
        <v>0</v>
      </c>
      <c r="CF268" s="46">
        <v>0</v>
      </c>
      <c r="CG268" s="46">
        <v>0</v>
      </c>
      <c r="CH268" s="46">
        <v>0</v>
      </c>
      <c r="CI268" s="46">
        <v>2.3612750885478162</v>
      </c>
      <c r="CJ268" s="46">
        <v>0.59031877213695394</v>
      </c>
      <c r="CK268">
        <v>341</v>
      </c>
      <c r="CL268">
        <v>500.34</v>
      </c>
      <c r="CM268">
        <f t="shared" si="35"/>
        <v>159.33999999999997</v>
      </c>
      <c r="CN268">
        <v>11.25</v>
      </c>
      <c r="CO268">
        <v>9.4499999999999993</v>
      </c>
      <c r="CP268">
        <f t="shared" si="36"/>
        <v>-1.8000000000000007</v>
      </c>
      <c r="CQ268">
        <v>564.37</v>
      </c>
      <c r="CR268">
        <v>452.96</v>
      </c>
      <c r="CS268">
        <f t="shared" si="37"/>
        <v>111.41000000000003</v>
      </c>
      <c r="CT268" t="s">
        <v>150</v>
      </c>
      <c r="CU268">
        <v>121.39</v>
      </c>
      <c r="CV268">
        <v>341</v>
      </c>
      <c r="CW268" s="46">
        <v>3646</v>
      </c>
      <c r="CX268" s="46">
        <f t="shared" si="31"/>
        <v>95.629731212287439</v>
      </c>
      <c r="CY268" s="46">
        <v>159.34</v>
      </c>
      <c r="CZ268" s="46">
        <f t="shared" si="32"/>
        <v>100</v>
      </c>
      <c r="DA268" s="46">
        <f t="shared" si="33"/>
        <v>477.17639159707142</v>
      </c>
      <c r="DB268" s="46">
        <v>1815818.41</v>
      </c>
      <c r="DC268" s="46">
        <f t="shared" si="34"/>
        <v>19.303799397688511</v>
      </c>
      <c r="DD268" s="46">
        <v>73457.52</v>
      </c>
      <c r="DE268" s="995">
        <v>3646</v>
      </c>
      <c r="DF268" s="995">
        <v>95.63</v>
      </c>
      <c r="DG268" s="995">
        <v>159.30000000000001</v>
      </c>
      <c r="DH268" s="995">
        <v>100</v>
      </c>
      <c r="DI268" s="995">
        <v>1450.6559999999999</v>
      </c>
      <c r="DJ268" s="995">
        <v>5520240</v>
      </c>
      <c r="DK268" s="995">
        <v>59.494</v>
      </c>
      <c r="DL268" s="995">
        <v>226395.1</v>
      </c>
      <c r="DM268" s="995">
        <v>3646</v>
      </c>
      <c r="DN268" s="995">
        <v>95.63</v>
      </c>
      <c r="DO268" s="995">
        <v>159.30000000000001</v>
      </c>
      <c r="DP268" s="995">
        <v>100</v>
      </c>
      <c r="DQ268" s="995">
        <v>1450.6559999999999</v>
      </c>
      <c r="DR268" s="995">
        <v>5520240</v>
      </c>
      <c r="DS268" s="995">
        <v>59.494</v>
      </c>
      <c r="DT268" s="995">
        <v>226395.1</v>
      </c>
    </row>
    <row r="269" spans="1:124">
      <c r="A269" s="42" t="s">
        <v>94</v>
      </c>
      <c r="B269" s="42" t="s">
        <v>446</v>
      </c>
      <c r="C269" s="42" t="s">
        <v>470</v>
      </c>
      <c r="D269" s="42">
        <v>907342</v>
      </c>
      <c r="E269" s="42" t="s">
        <v>472</v>
      </c>
      <c r="F269" s="42" t="s">
        <v>149</v>
      </c>
      <c r="G269" s="42" t="s">
        <v>150</v>
      </c>
      <c r="H269" s="43" t="s">
        <v>150</v>
      </c>
      <c r="I269" s="44">
        <v>14</v>
      </c>
      <c r="J269" s="45">
        <v>194211.04639999999</v>
      </c>
      <c r="K269" s="46">
        <v>13383.827272</v>
      </c>
      <c r="L269" s="47">
        <v>207594.87367199999</v>
      </c>
      <c r="M269" s="48">
        <v>4709283</v>
      </c>
      <c r="N269" s="49">
        <v>2865804</v>
      </c>
      <c r="O269" s="49">
        <v>1836703</v>
      </c>
      <c r="P269" s="49">
        <v>6776</v>
      </c>
      <c r="Q269" s="50">
        <v>10782.2049311927</v>
      </c>
      <c r="R269" s="51">
        <v>3870.7942304851499</v>
      </c>
      <c r="S269" s="49">
        <v>9590.3903852158091</v>
      </c>
      <c r="T269" s="49">
        <v>1961.0380743619501</v>
      </c>
      <c r="U269" s="49">
        <f>IFERROR(INDEX('Rentabilidad datos'!$N$2:$N$61,MATCH($C269,'Rentabilidad datos'!$C$2:$C$61,0)),"")</f>
        <v>15422.222690062908</v>
      </c>
      <c r="V269" s="50">
        <f>IFERROR(INDEX('Rentabilidad datos'!$O$2:$O$61,MATCH($C269,'Rentabilidad datos'!$C$2:$C$61,0)),"")</f>
        <v>1101.5873350044935</v>
      </c>
      <c r="W269" s="51">
        <f>IFERROR(INDEX('Rentabilidad datos'!$M$2:$M$61,MATCH($C269,'Rentabilidad datos'!$C$2:$C$61,0)),"")</f>
        <v>2767.0116391629381</v>
      </c>
      <c r="X269" s="52">
        <f>IFERROR(INDEX('Rentabilidad datos'!$P$2:$P$61,MATCH($C269,'Rentabilidad datos'!$C$2:$C$61,0)),"")</f>
        <v>0.39811445655419792</v>
      </c>
      <c r="Y269" s="43" t="s">
        <v>171</v>
      </c>
      <c r="Z269" s="53">
        <v>39.440366972477101</v>
      </c>
      <c r="AA269" s="43">
        <v>2</v>
      </c>
      <c r="AB269" s="54">
        <v>0.98406402843065499</v>
      </c>
      <c r="AC269" s="55">
        <v>1.5935971569345057E-2</v>
      </c>
      <c r="AD269" s="752" t="e">
        <f>_xlfn.XLOOKUP(Table1[[#This Row],[Ruta]],#REF!,#REF!)</f>
        <v>#REF!</v>
      </c>
      <c r="AE269" s="752" t="e">
        <f>_xlfn.XLOOKUP(Table1[[#This Row],[Ruta]],#REF!,#REF!)</f>
        <v>#REF!</v>
      </c>
      <c r="AF269" s="752" t="e">
        <f>_xlfn.XLOOKUP(Table1[[#This Row],[Ruta]],#REF!,#REF!)</f>
        <v>#REF!</v>
      </c>
      <c r="AG269" s="752" t="e">
        <f>_xlfn.XLOOKUP(Table1[[#This Row],[Ruta]],#REF!,#REF!)</f>
        <v>#REF!</v>
      </c>
      <c r="AH269" s="52">
        <v>0.60854359357889509</v>
      </c>
      <c r="AI269" s="52">
        <v>0.3900175461954612</v>
      </c>
      <c r="AJ269" s="55">
        <v>1.4388602256436914E-3</v>
      </c>
      <c r="AK269" s="56">
        <v>17196</v>
      </c>
      <c r="AL269" s="44">
        <v>14658</v>
      </c>
      <c r="AM269" s="54">
        <v>0.85240753663642699</v>
      </c>
      <c r="AN269" s="55">
        <v>0.77820466152725898</v>
      </c>
      <c r="AO269" s="56">
        <v>0</v>
      </c>
      <c r="AP269" s="48">
        <v>0</v>
      </c>
      <c r="AQ269" s="55">
        <v>0.8524075366364271</v>
      </c>
      <c r="AR269" s="51">
        <v>4701041.3499999996</v>
      </c>
      <c r="AS269" s="49">
        <v>0</v>
      </c>
      <c r="AT269" s="55">
        <v>0</v>
      </c>
      <c r="AU269" s="51">
        <v>0</v>
      </c>
      <c r="AV269" s="52">
        <v>0</v>
      </c>
      <c r="AW269" s="44">
        <v>490</v>
      </c>
      <c r="AX269" s="51">
        <v>320.71506003547501</v>
      </c>
      <c r="AY269" s="49">
        <v>342.62655542326002</v>
      </c>
      <c r="AZ269" s="49">
        <v>21.91149538778501</v>
      </c>
      <c r="BA269" s="42" t="s">
        <v>150</v>
      </c>
      <c r="BB269" s="50">
        <v>112846.57005740504</v>
      </c>
      <c r="BC269" s="57">
        <v>112846.57005740504</v>
      </c>
      <c r="BD269" s="42" t="s">
        <v>150</v>
      </c>
      <c r="BE269" s="46">
        <v>39.440366972477101</v>
      </c>
      <c r="BF269" s="46">
        <v>55.840687053637701</v>
      </c>
      <c r="BG269" s="42" t="s">
        <v>152</v>
      </c>
      <c r="BH269" s="52">
        <v>0.85240753663642699</v>
      </c>
      <c r="BI269" s="52">
        <v>0.639829102646158</v>
      </c>
      <c r="BJ269" s="42" t="s">
        <v>150</v>
      </c>
      <c r="BK269" s="46">
        <v>476.13503135779803</v>
      </c>
      <c r="BL269" s="46">
        <v>626.21699529020998</v>
      </c>
      <c r="BM269" s="42" t="s">
        <v>152</v>
      </c>
      <c r="BN269" s="48">
        <v>1</v>
      </c>
      <c r="BO269" s="42" t="s">
        <v>155</v>
      </c>
      <c r="BP269" s="42" t="s">
        <v>152</v>
      </c>
      <c r="BQ269" s="46">
        <v>1402.3900238745</v>
      </c>
      <c r="BR269" s="46">
        <v>112</v>
      </c>
      <c r="BS269" s="46">
        <v>6145</v>
      </c>
      <c r="BT269" s="46">
        <v>1793</v>
      </c>
      <c r="BU269" s="46">
        <v>3.427216954824317</v>
      </c>
      <c r="BV269" s="46">
        <v>16.008928571428573</v>
      </c>
      <c r="BW269" s="46">
        <v>1793</v>
      </c>
      <c r="BX269" s="46">
        <v>0</v>
      </c>
      <c r="BY269" s="46">
        <v>1793</v>
      </c>
      <c r="BZ269" s="46">
        <v>1</v>
      </c>
      <c r="CA269" s="46">
        <v>1</v>
      </c>
      <c r="CB269" s="46">
        <v>0</v>
      </c>
      <c r="CC269" s="46">
        <v>0</v>
      </c>
      <c r="CD269" s="46">
        <v>0</v>
      </c>
      <c r="CE269" s="46">
        <v>0</v>
      </c>
      <c r="CF269" s="46">
        <v>0</v>
      </c>
      <c r="CG269" s="46">
        <v>0</v>
      </c>
      <c r="CH269" s="46">
        <v>0</v>
      </c>
      <c r="CI269" s="46">
        <v>1.627339300244101</v>
      </c>
      <c r="CJ269" s="46">
        <v>0.8136696501220505</v>
      </c>
      <c r="CK269">
        <v>291</v>
      </c>
      <c r="CL269">
        <v>311.27999999999997</v>
      </c>
      <c r="CM269">
        <f t="shared" si="35"/>
        <v>20.279999999999973</v>
      </c>
      <c r="CN269">
        <v>5.95</v>
      </c>
      <c r="CO269">
        <v>9.4499999999999993</v>
      </c>
      <c r="CP269">
        <f t="shared" si="36"/>
        <v>3.4999999999999991</v>
      </c>
      <c r="CQ269">
        <v>564.37</v>
      </c>
      <c r="CR269">
        <v>476.14</v>
      </c>
      <c r="CS269">
        <f t="shared" si="37"/>
        <v>88.230000000000018</v>
      </c>
      <c r="CT269" t="s">
        <v>152</v>
      </c>
      <c r="CU269">
        <v>85.73</v>
      </c>
      <c r="CV269">
        <v>278</v>
      </c>
      <c r="CW269" s="46">
        <v>1793</v>
      </c>
      <c r="CX269" s="46">
        <f t="shared" si="31"/>
        <v>98.868934746235354</v>
      </c>
      <c r="CY269" s="46">
        <v>20.28</v>
      </c>
      <c r="CZ269" s="46">
        <f t="shared" si="32"/>
        <v>100</v>
      </c>
      <c r="DA269" s="46">
        <f t="shared" si="33"/>
        <v>109.346168269655</v>
      </c>
      <c r="DB269" s="46">
        <v>198275.22</v>
      </c>
      <c r="DC269" s="46">
        <f t="shared" si="34"/>
        <v>4.9195491043854238</v>
      </c>
      <c r="DD269" s="46">
        <v>8920.52</v>
      </c>
      <c r="DE269" s="995">
        <v>1793</v>
      </c>
      <c r="DF269" s="995">
        <v>98.915000000000006</v>
      </c>
      <c r="DG269" s="995">
        <v>19.5</v>
      </c>
      <c r="DH269" s="995">
        <v>100</v>
      </c>
      <c r="DI269" s="995">
        <v>2353.3989999999999</v>
      </c>
      <c r="DJ269" s="995">
        <v>4265431</v>
      </c>
      <c r="DK269" s="995">
        <v>105.648</v>
      </c>
      <c r="DL269" s="995">
        <v>191482.5</v>
      </c>
      <c r="DM269" s="995">
        <v>1793</v>
      </c>
      <c r="DN269" s="995">
        <v>99.052999999999997</v>
      </c>
      <c r="DO269" s="995">
        <v>17</v>
      </c>
      <c r="DP269" s="995">
        <v>100</v>
      </c>
      <c r="DQ269" s="995">
        <v>2343.2399999999998</v>
      </c>
      <c r="DR269" s="995">
        <v>4241227</v>
      </c>
      <c r="DS269" s="995">
        <v>105.19199999999999</v>
      </c>
      <c r="DT269" s="995">
        <v>190395.3</v>
      </c>
    </row>
    <row r="270" spans="1:124">
      <c r="A270" s="42" t="s">
        <v>94</v>
      </c>
      <c r="B270" s="42" t="s">
        <v>446</v>
      </c>
      <c r="C270" s="42" t="s">
        <v>470</v>
      </c>
      <c r="D270" s="42">
        <v>907343</v>
      </c>
      <c r="E270" s="42" t="s">
        <v>473</v>
      </c>
      <c r="F270" s="42" t="s">
        <v>149</v>
      </c>
      <c r="G270" s="42" t="s">
        <v>150</v>
      </c>
      <c r="H270" s="43" t="s">
        <v>150</v>
      </c>
      <c r="I270" s="44">
        <v>14</v>
      </c>
      <c r="J270" s="45">
        <v>187243.73920000001</v>
      </c>
      <c r="K270" s="46">
        <v>9012.4547120000007</v>
      </c>
      <c r="L270" s="47">
        <v>196256.19391199999</v>
      </c>
      <c r="M270" s="48">
        <v>4047960</v>
      </c>
      <c r="N270" s="49">
        <v>2786148</v>
      </c>
      <c r="O270" s="49">
        <v>1256352</v>
      </c>
      <c r="P270" s="49">
        <v>5460</v>
      </c>
      <c r="Q270" s="50">
        <v>9313.3557142857098</v>
      </c>
      <c r="R270" s="51">
        <v>3870.7942304851499</v>
      </c>
      <c r="S270" s="49">
        <v>9590.3903852158091</v>
      </c>
      <c r="T270" s="49">
        <v>1961.0380743619501</v>
      </c>
      <c r="U270" s="49">
        <f>IFERROR(INDEX('Rentabilidad datos'!$N$2:$N$61,MATCH($C270,'Rentabilidad datos'!$C$2:$C$61,0)),"")</f>
        <v>15422.222690062908</v>
      </c>
      <c r="V270" s="50">
        <f>IFERROR(INDEX('Rentabilidad datos'!$O$2:$O$61,MATCH($C270,'Rentabilidad datos'!$C$2:$C$61,0)),"")</f>
        <v>1101.5873350044935</v>
      </c>
      <c r="W270" s="51">
        <f>IFERROR(INDEX('Rentabilidad datos'!$M$2:$M$61,MATCH($C270,'Rentabilidad datos'!$C$2:$C$61,0)),"")</f>
        <v>2767.0116391629381</v>
      </c>
      <c r="X270" s="52">
        <f>IFERROR(INDEX('Rentabilidad datos'!$P$2:$P$61,MATCH($C270,'Rentabilidad datos'!$C$2:$C$61,0)),"")</f>
        <v>0.39811445655419792</v>
      </c>
      <c r="Y270" s="43" t="s">
        <v>171</v>
      </c>
      <c r="Z270" s="53">
        <v>55.354838709677402</v>
      </c>
      <c r="AA270" s="43">
        <v>2</v>
      </c>
      <c r="AB270" s="54">
        <v>0.94164986808170037</v>
      </c>
      <c r="AC270" s="55">
        <v>5.8350131918299589E-2</v>
      </c>
      <c r="AD270" s="752" t="e">
        <f>_xlfn.XLOOKUP(Table1[[#This Row],[Ruta]],#REF!,#REF!)</f>
        <v>#REF!</v>
      </c>
      <c r="AE270" s="752" t="e">
        <f>_xlfn.XLOOKUP(Table1[[#This Row],[Ruta]],#REF!,#REF!)</f>
        <v>#REF!</v>
      </c>
      <c r="AF270" s="752" t="e">
        <f>_xlfn.XLOOKUP(Table1[[#This Row],[Ruta]],#REF!,#REF!)</f>
        <v>#REF!</v>
      </c>
      <c r="AG270" s="752" t="e">
        <f>_xlfn.XLOOKUP(Table1[[#This Row],[Ruta]],#REF!,#REF!)</f>
        <v>#REF!</v>
      </c>
      <c r="AH270" s="52">
        <v>0.68828446921412267</v>
      </c>
      <c r="AI270" s="52">
        <v>0.3103667032282928</v>
      </c>
      <c r="AJ270" s="55">
        <v>1.3488275575845611E-3</v>
      </c>
      <c r="AK270" s="56">
        <v>24024</v>
      </c>
      <c r="AL270" s="44">
        <v>17663</v>
      </c>
      <c r="AM270" s="54">
        <v>0.73522311022311004</v>
      </c>
      <c r="AN270" s="55">
        <v>0.77820466152725898</v>
      </c>
      <c r="AO270" s="56">
        <v>1032.58878853086</v>
      </c>
      <c r="AP270" s="48">
        <v>516.29439426543001</v>
      </c>
      <c r="AQ270" s="55">
        <v>0.7567138858751844</v>
      </c>
      <c r="AR270" s="51">
        <v>4041996.38</v>
      </c>
      <c r="AS270" s="49">
        <v>118148.67647824049</v>
      </c>
      <c r="AT270" s="55">
        <v>2.9230277657557056E-2</v>
      </c>
      <c r="AU270" s="51">
        <v>83023.394282006862</v>
      </c>
      <c r="AV270" s="52">
        <v>3.7768127730996502E-4</v>
      </c>
      <c r="AW270" s="44">
        <v>405</v>
      </c>
      <c r="AX270" s="51">
        <v>228.839742965521</v>
      </c>
      <c r="AY270" s="49">
        <v>342.62655542326002</v>
      </c>
      <c r="AZ270" s="49">
        <v>113.78681245773902</v>
      </c>
      <c r="BA270" s="42" t="s">
        <v>150</v>
      </c>
      <c r="BB270" s="50">
        <v>706151.73215496179</v>
      </c>
      <c r="BC270" s="57">
        <v>789175.12643696868</v>
      </c>
      <c r="BD270" s="42" t="s">
        <v>150</v>
      </c>
      <c r="BE270" s="46">
        <v>55.354838709677402</v>
      </c>
      <c r="BF270" s="46">
        <v>55.840687053637701</v>
      </c>
      <c r="BG270" s="42" t="s">
        <v>152</v>
      </c>
      <c r="BH270" s="52">
        <v>0.73522311022311004</v>
      </c>
      <c r="BI270" s="52">
        <v>0.639829102646158</v>
      </c>
      <c r="BJ270" s="42" t="s">
        <v>150</v>
      </c>
      <c r="BK270" s="46">
        <v>452.20321177880197</v>
      </c>
      <c r="BL270" s="46">
        <v>626.21699529020998</v>
      </c>
      <c r="BM270" s="42" t="s">
        <v>152</v>
      </c>
      <c r="BN270" s="48">
        <v>1</v>
      </c>
      <c r="BO270" s="42" t="s">
        <v>155</v>
      </c>
      <c r="BP270" s="42" t="s">
        <v>152</v>
      </c>
      <c r="BQ270" s="46">
        <v>0</v>
      </c>
      <c r="BR270" s="46">
        <v>319</v>
      </c>
      <c r="BS270" s="46">
        <v>17654</v>
      </c>
      <c r="BT270" s="46">
        <v>5611</v>
      </c>
      <c r="BU270" s="46">
        <v>3.1463197291035465</v>
      </c>
      <c r="BV270" s="46">
        <v>17.589341692789969</v>
      </c>
      <c r="BW270" s="46">
        <v>1312</v>
      </c>
      <c r="BX270" s="46">
        <v>4190</v>
      </c>
      <c r="BY270" s="46">
        <v>5502</v>
      </c>
      <c r="BZ270" s="46">
        <v>0.98057387274995544</v>
      </c>
      <c r="CA270" s="46">
        <v>0.23382641240420601</v>
      </c>
      <c r="CB270" s="46">
        <v>0.74674746034574946</v>
      </c>
      <c r="CC270" s="46">
        <v>0</v>
      </c>
      <c r="CD270" s="46">
        <v>0</v>
      </c>
      <c r="CE270" s="46">
        <v>0</v>
      </c>
      <c r="CF270" s="46">
        <v>1.9426127250044559E-2</v>
      </c>
      <c r="CG270" s="46">
        <v>0</v>
      </c>
      <c r="CH270" s="46">
        <v>0</v>
      </c>
      <c r="CI270" s="46">
        <v>2.832219327064688</v>
      </c>
      <c r="CJ270" s="46">
        <v>0.39651070578905628</v>
      </c>
      <c r="CK270">
        <v>303</v>
      </c>
      <c r="CL270">
        <v>445.56</v>
      </c>
      <c r="CM270">
        <f t="shared" si="35"/>
        <v>142.56</v>
      </c>
      <c r="CN270">
        <v>9</v>
      </c>
      <c r="CO270">
        <v>9.4499999999999993</v>
      </c>
      <c r="CP270">
        <f t="shared" si="36"/>
        <v>0.44999999999999929</v>
      </c>
      <c r="CQ270">
        <v>846.56</v>
      </c>
      <c r="CR270">
        <v>452.2</v>
      </c>
      <c r="CS270">
        <f t="shared" si="37"/>
        <v>394.35999999999996</v>
      </c>
      <c r="CT270" t="s">
        <v>152</v>
      </c>
      <c r="CU270">
        <v>98.22</v>
      </c>
      <c r="CV270">
        <v>243</v>
      </c>
      <c r="CW270" s="46">
        <v>5502</v>
      </c>
      <c r="CX270" s="46">
        <f t="shared" si="31"/>
        <v>95.516663696310815</v>
      </c>
      <c r="CY270" s="46">
        <v>142.56</v>
      </c>
      <c r="CZ270" s="46">
        <f t="shared" si="32"/>
        <v>98.057387274995548</v>
      </c>
      <c r="DA270" s="46">
        <f t="shared" si="33"/>
        <v>291.7099326330133</v>
      </c>
      <c r="DB270" s="46">
        <v>1678370.6</v>
      </c>
      <c r="DC270" s="46">
        <f t="shared" si="34"/>
        <v>14.166538629996037</v>
      </c>
      <c r="DD270" s="46">
        <v>81508.03</v>
      </c>
      <c r="DE270" s="995">
        <v>5502</v>
      </c>
      <c r="DF270" s="995">
        <v>95.734999999999999</v>
      </c>
      <c r="DG270" s="995">
        <v>130.30000000000001</v>
      </c>
      <c r="DH270" s="995">
        <v>98.057000000000002</v>
      </c>
      <c r="DI270" s="995">
        <v>730.36900000000003</v>
      </c>
      <c r="DJ270" s="995">
        <v>4193269</v>
      </c>
      <c r="DK270" s="995">
        <v>35.414999999999999</v>
      </c>
      <c r="DL270" s="995">
        <v>203326.8</v>
      </c>
      <c r="DM270" s="995">
        <v>5502</v>
      </c>
      <c r="DN270" s="995">
        <v>95.784999999999997</v>
      </c>
      <c r="DO270" s="995">
        <v>127.5</v>
      </c>
      <c r="DP270" s="995">
        <v>98.057000000000002</v>
      </c>
      <c r="DQ270" s="995">
        <v>725.83600000000001</v>
      </c>
      <c r="DR270" s="995">
        <v>4165222</v>
      </c>
      <c r="DS270" s="995">
        <v>35.219000000000001</v>
      </c>
      <c r="DT270" s="995">
        <v>202102.3</v>
      </c>
    </row>
    <row r="271" spans="1:124">
      <c r="A271" s="42" t="s">
        <v>94</v>
      </c>
      <c r="B271" s="42" t="s">
        <v>446</v>
      </c>
      <c r="C271" s="42" t="s">
        <v>470</v>
      </c>
      <c r="D271" s="42">
        <v>907344</v>
      </c>
      <c r="E271" s="42" t="s">
        <v>474</v>
      </c>
      <c r="F271" s="42" t="s">
        <v>149</v>
      </c>
      <c r="G271" s="42" t="s">
        <v>150</v>
      </c>
      <c r="H271" s="43" t="s">
        <v>150</v>
      </c>
      <c r="I271" s="44">
        <v>14</v>
      </c>
      <c r="J271" s="45">
        <v>171209.77439999999</v>
      </c>
      <c r="K271" s="46">
        <v>8647.7828470000004</v>
      </c>
      <c r="L271" s="47">
        <v>179857.55724699999</v>
      </c>
      <c r="M271" s="48">
        <v>3582017</v>
      </c>
      <c r="N271" s="49">
        <v>2511485</v>
      </c>
      <c r="O271" s="49">
        <v>1065793</v>
      </c>
      <c r="P271" s="49">
        <v>4739</v>
      </c>
      <c r="Q271" s="50">
        <v>8176.9888302752297</v>
      </c>
      <c r="R271" s="51">
        <v>3870.7942304851499</v>
      </c>
      <c r="S271" s="49">
        <v>9590.3903852158091</v>
      </c>
      <c r="T271" s="49">
        <v>1961.0380743619501</v>
      </c>
      <c r="U271" s="49">
        <f>IFERROR(INDEX('Rentabilidad datos'!$N$2:$N$61,MATCH($C271,'Rentabilidad datos'!$C$2:$C$61,0)),"")</f>
        <v>15422.222690062908</v>
      </c>
      <c r="V271" s="50">
        <f>IFERROR(INDEX('Rentabilidad datos'!$O$2:$O$61,MATCH($C271,'Rentabilidad datos'!$C$2:$C$61,0)),"")</f>
        <v>1101.5873350044935</v>
      </c>
      <c r="W271" s="51">
        <f>IFERROR(INDEX('Rentabilidad datos'!$M$2:$M$61,MATCH($C271,'Rentabilidad datos'!$C$2:$C$61,0)),"")</f>
        <v>2767.0116391629381</v>
      </c>
      <c r="X271" s="52">
        <f>IFERROR(INDEX('Rentabilidad datos'!$P$2:$P$61,MATCH($C271,'Rentabilidad datos'!$C$2:$C$61,0)),"")</f>
        <v>0.39811445655419792</v>
      </c>
      <c r="Y271" s="43" t="s">
        <v>171</v>
      </c>
      <c r="Z271" s="53">
        <v>44.160550458715598</v>
      </c>
      <c r="AA271" s="43">
        <v>2</v>
      </c>
      <c r="AB271" s="54">
        <v>0.9182650445265893</v>
      </c>
      <c r="AC271" s="55">
        <v>8.1734955473410656E-2</v>
      </c>
      <c r="AD271" s="752" t="e">
        <f>_xlfn.XLOOKUP(Table1[[#This Row],[Ruta]],#REF!,#REF!)</f>
        <v>#REF!</v>
      </c>
      <c r="AE271" s="752" t="e">
        <f>_xlfn.XLOOKUP(Table1[[#This Row],[Ruta]],#REF!,#REF!)</f>
        <v>#REF!</v>
      </c>
      <c r="AF271" s="752" t="e">
        <f>_xlfn.XLOOKUP(Table1[[#This Row],[Ruta]],#REF!,#REF!)</f>
        <v>#REF!</v>
      </c>
      <c r="AG271" s="752" t="e">
        <f>_xlfn.XLOOKUP(Table1[[#This Row],[Ruta]],#REF!,#REF!)</f>
        <v>#REF!</v>
      </c>
      <c r="AH271" s="52">
        <v>0.70113709678094771</v>
      </c>
      <c r="AI271" s="52">
        <v>0.29753990558950444</v>
      </c>
      <c r="AJ271" s="55">
        <v>1.3229976295478219E-3</v>
      </c>
      <c r="AK271" s="56">
        <v>19254</v>
      </c>
      <c r="AL271" s="44">
        <v>12142</v>
      </c>
      <c r="AM271" s="54">
        <v>0.630622208372286</v>
      </c>
      <c r="AN271" s="55">
        <v>0.77820466152725898</v>
      </c>
      <c r="AO271" s="56">
        <v>2841.5525530458399</v>
      </c>
      <c r="AP271" s="48">
        <v>1420.7762765229199</v>
      </c>
      <c r="AQ271" s="55">
        <v>0.70441343494977249</v>
      </c>
      <c r="AR271" s="51">
        <v>3565167.13</v>
      </c>
      <c r="AS271" s="49">
        <v>417172.2022849035</v>
      </c>
      <c r="AT271" s="55">
        <v>0.11701336489235037</v>
      </c>
      <c r="AU271" s="51">
        <v>293148.03403804038</v>
      </c>
      <c r="AV271" s="52">
        <v>1.3335581482048257E-3</v>
      </c>
      <c r="AW271" s="44">
        <v>249</v>
      </c>
      <c r="AX271" s="51">
        <v>293.62272525119403</v>
      </c>
      <c r="AY271" s="49">
        <v>342.62655542326002</v>
      </c>
      <c r="AZ271" s="49">
        <v>49.003830172065989</v>
      </c>
      <c r="BA271" s="42" t="s">
        <v>150</v>
      </c>
      <c r="BB271" s="50">
        <v>209055.63722540357</v>
      </c>
      <c r="BC271" s="57">
        <v>502203.67126344395</v>
      </c>
      <c r="BD271" s="42" t="s">
        <v>150</v>
      </c>
      <c r="BE271" s="46">
        <v>44.160550458715598</v>
      </c>
      <c r="BF271" s="46">
        <v>55.840687053637701</v>
      </c>
      <c r="BG271" s="42" t="s">
        <v>152</v>
      </c>
      <c r="BH271" s="52">
        <v>0.630622208372286</v>
      </c>
      <c r="BI271" s="52">
        <v>0.639829102646158</v>
      </c>
      <c r="BJ271" s="42" t="s">
        <v>152</v>
      </c>
      <c r="BK271" s="46">
        <v>412.517333135321</v>
      </c>
      <c r="BL271" s="46">
        <v>626.21699529020998</v>
      </c>
      <c r="BM271" s="42" t="s">
        <v>152</v>
      </c>
      <c r="BN271" s="48">
        <v>0</v>
      </c>
      <c r="BO271" s="42" t="s">
        <v>155</v>
      </c>
      <c r="BP271" s="42" t="s">
        <v>152</v>
      </c>
      <c r="BQ271" s="46">
        <v>4039.02348039874</v>
      </c>
      <c r="BR271" s="46">
        <v>726</v>
      </c>
      <c r="BS271" s="46">
        <v>53639</v>
      </c>
      <c r="BT271" s="46">
        <v>12597</v>
      </c>
      <c r="BU271" s="46">
        <v>4.2580773199968247</v>
      </c>
      <c r="BV271" s="46">
        <v>17.351239669421489</v>
      </c>
      <c r="BW271" s="46">
        <v>902</v>
      </c>
      <c r="BX271" s="46">
        <v>775</v>
      </c>
      <c r="BY271" s="46">
        <v>1677</v>
      </c>
      <c r="BZ271" s="46">
        <v>0.13312693498452013</v>
      </c>
      <c r="CA271" s="46">
        <v>7.160435024212114E-2</v>
      </c>
      <c r="CB271" s="46">
        <v>6.1522584742398981E-2</v>
      </c>
      <c r="CC271" s="46">
        <v>1.174882908629039E-2</v>
      </c>
      <c r="CD271" s="46">
        <v>9.1609113280939902E-2</v>
      </c>
      <c r="CE271" s="46">
        <v>0</v>
      </c>
      <c r="CF271" s="46">
        <v>0.76351512264824961</v>
      </c>
      <c r="CG271" s="46">
        <v>0</v>
      </c>
      <c r="CH271" s="46">
        <v>0</v>
      </c>
      <c r="CI271" s="46">
        <v>5.3505844627975909</v>
      </c>
      <c r="CJ271" s="46">
        <v>0.29829042301310621</v>
      </c>
      <c r="CK271">
        <v>359</v>
      </c>
      <c r="CL271">
        <v>373.63</v>
      </c>
      <c r="CM271">
        <f t="shared" si="35"/>
        <v>14.629999999999995</v>
      </c>
      <c r="CN271">
        <v>10.5</v>
      </c>
      <c r="CO271">
        <v>9.4499999999999993</v>
      </c>
      <c r="CP271">
        <f t="shared" si="36"/>
        <v>-1.0500000000000007</v>
      </c>
      <c r="CQ271">
        <v>564.37</v>
      </c>
      <c r="CR271">
        <v>412.52</v>
      </c>
      <c r="CS271">
        <f t="shared" si="37"/>
        <v>151.85000000000002</v>
      </c>
      <c r="CT271" t="s">
        <v>150</v>
      </c>
      <c r="CU271">
        <v>111.14</v>
      </c>
      <c r="CV271">
        <v>104</v>
      </c>
      <c r="CW271" s="46">
        <v>1677</v>
      </c>
      <c r="CX271" s="46">
        <f t="shared" si="31"/>
        <v>13.196554735254425</v>
      </c>
      <c r="CY271" s="46">
        <v>14.63</v>
      </c>
      <c r="CZ271" s="46">
        <f t="shared" si="32"/>
        <v>13.312693498452013</v>
      </c>
      <c r="DA271" s="46">
        <f t="shared" si="33"/>
        <v>105.52942244579012</v>
      </c>
      <c r="DB271" s="46">
        <v>1330898.03</v>
      </c>
      <c r="DC271" s="46">
        <f t="shared" si="34"/>
        <v>5.5890087165576539</v>
      </c>
      <c r="DD271" s="46">
        <v>70486.509999999995</v>
      </c>
      <c r="DE271" s="995">
        <v>1677</v>
      </c>
      <c r="DF271" s="995">
        <v>13.202999999999999</v>
      </c>
      <c r="DG271" s="995">
        <v>13.8</v>
      </c>
      <c r="DH271" s="995">
        <v>13.313000000000001</v>
      </c>
      <c r="DI271" s="995">
        <v>309.05500000000001</v>
      </c>
      <c r="DJ271" s="995">
        <v>3897438</v>
      </c>
      <c r="DK271" s="995">
        <v>16.004000000000001</v>
      </c>
      <c r="DL271" s="995">
        <v>201823.6</v>
      </c>
      <c r="DM271" s="995">
        <v>1677</v>
      </c>
      <c r="DN271" s="995">
        <v>13.222</v>
      </c>
      <c r="DO271" s="995">
        <v>11.4</v>
      </c>
      <c r="DP271" s="995">
        <v>13.313000000000001</v>
      </c>
      <c r="DQ271" s="995">
        <v>308.00299999999999</v>
      </c>
      <c r="DR271" s="995">
        <v>3883418</v>
      </c>
      <c r="DS271" s="995">
        <v>15.948</v>
      </c>
      <c r="DT271" s="995">
        <v>201079.3</v>
      </c>
    </row>
    <row r="272" spans="1:124">
      <c r="A272" s="42" t="s">
        <v>94</v>
      </c>
      <c r="B272" s="42" t="s">
        <v>446</v>
      </c>
      <c r="C272" s="42" t="s">
        <v>470</v>
      </c>
      <c r="D272" s="42">
        <v>907345</v>
      </c>
      <c r="E272" s="42" t="s">
        <v>475</v>
      </c>
      <c r="F272" s="42" t="s">
        <v>149</v>
      </c>
      <c r="G272" s="42" t="s">
        <v>150</v>
      </c>
      <c r="H272" s="43" t="s">
        <v>150</v>
      </c>
      <c r="I272" s="44">
        <v>14</v>
      </c>
      <c r="J272" s="45">
        <v>208249.36025600001</v>
      </c>
      <c r="K272" s="46">
        <v>10622.597313</v>
      </c>
      <c r="L272" s="47">
        <v>218871.95756899999</v>
      </c>
      <c r="M272" s="48">
        <v>4339690</v>
      </c>
      <c r="N272" s="49">
        <v>3084310</v>
      </c>
      <c r="O272" s="49">
        <v>1248839</v>
      </c>
      <c r="P272" s="49">
        <v>6541</v>
      </c>
      <c r="Q272" s="50">
        <v>9930.0947477064201</v>
      </c>
      <c r="R272" s="51">
        <v>3870.7942304851499</v>
      </c>
      <c r="S272" s="49">
        <v>9590.3903852158091</v>
      </c>
      <c r="T272" s="49">
        <v>1961.0380743619501</v>
      </c>
      <c r="U272" s="49">
        <f>IFERROR(INDEX('Rentabilidad datos'!$N$2:$N$61,MATCH($C272,'Rentabilidad datos'!$C$2:$C$61,0)),"")</f>
        <v>15422.222690062908</v>
      </c>
      <c r="V272" s="50">
        <f>IFERROR(INDEX('Rentabilidad datos'!$O$2:$O$61,MATCH($C272,'Rentabilidad datos'!$C$2:$C$61,0)),"")</f>
        <v>1101.5873350044935</v>
      </c>
      <c r="W272" s="51">
        <f>IFERROR(INDEX('Rentabilidad datos'!$M$2:$M$61,MATCH($C272,'Rentabilidad datos'!$C$2:$C$61,0)),"")</f>
        <v>2767.0116391629381</v>
      </c>
      <c r="X272" s="52">
        <f>IFERROR(INDEX('Rentabilidad datos'!$P$2:$P$61,MATCH($C272,'Rentabilidad datos'!$C$2:$C$61,0)),"")</f>
        <v>0.39811445655419792</v>
      </c>
      <c r="Y272" s="43" t="s">
        <v>171</v>
      </c>
      <c r="Z272" s="53">
        <v>44.396788990825698</v>
      </c>
      <c r="AA272" s="43">
        <v>2</v>
      </c>
      <c r="AB272" s="54">
        <v>0.86707944576686358</v>
      </c>
      <c r="AC272" s="55">
        <v>0.13292055423313648</v>
      </c>
      <c r="AD272" s="752" t="e">
        <f>_xlfn.XLOOKUP(Table1[[#This Row],[Ruta]],#REF!,#REF!)</f>
        <v>#REF!</v>
      </c>
      <c r="AE272" s="752" t="e">
        <f>_xlfn.XLOOKUP(Table1[[#This Row],[Ruta]],#REF!,#REF!)</f>
        <v>#REF!</v>
      </c>
      <c r="AF272" s="752" t="e">
        <f>_xlfn.XLOOKUP(Table1[[#This Row],[Ruta]],#REF!,#REF!)</f>
        <v>#REF!</v>
      </c>
      <c r="AG272" s="752" t="e">
        <f>_xlfn.XLOOKUP(Table1[[#This Row],[Ruta]],#REF!,#REF!)</f>
        <v>#REF!</v>
      </c>
      <c r="AH272" s="52">
        <v>0.71072127271763652</v>
      </c>
      <c r="AI272" s="52">
        <v>0.28777147676446935</v>
      </c>
      <c r="AJ272" s="55">
        <v>1.5072505178941353E-3</v>
      </c>
      <c r="AK272" s="56">
        <v>19357</v>
      </c>
      <c r="AL272" s="44">
        <v>15143</v>
      </c>
      <c r="AM272" s="54">
        <v>0.78230097639096996</v>
      </c>
      <c r="AN272" s="55">
        <v>0.77820466152725898</v>
      </c>
      <c r="AO272" s="56">
        <v>0</v>
      </c>
      <c r="AP272" s="48">
        <v>0</v>
      </c>
      <c r="AQ272" s="55">
        <v>0.78230097639096963</v>
      </c>
      <c r="AR272" s="51">
        <v>4329521.3099999996</v>
      </c>
      <c r="AS272" s="49">
        <v>0</v>
      </c>
      <c r="AT272" s="55">
        <v>0</v>
      </c>
      <c r="AU272" s="51">
        <v>0</v>
      </c>
      <c r="AV272" s="52">
        <v>0</v>
      </c>
      <c r="AW272" s="44">
        <v>490</v>
      </c>
      <c r="AX272" s="51">
        <v>285.90908736710003</v>
      </c>
      <c r="AY272" s="49">
        <v>342.62655542326002</v>
      </c>
      <c r="AZ272" s="49">
        <v>56.717468056159987</v>
      </c>
      <c r="BA272" s="42" t="s">
        <v>150</v>
      </c>
      <c r="BB272" s="50">
        <v>301766.05524507037</v>
      </c>
      <c r="BC272" s="57">
        <v>301766.05524507037</v>
      </c>
      <c r="BD272" s="42" t="s">
        <v>150</v>
      </c>
      <c r="BE272" s="46">
        <v>44.396788990825698</v>
      </c>
      <c r="BF272" s="46">
        <v>55.840687053637701</v>
      </c>
      <c r="BG272" s="42" t="s">
        <v>152</v>
      </c>
      <c r="BH272" s="52">
        <v>0.78230097639096996</v>
      </c>
      <c r="BI272" s="52">
        <v>0.639829102646158</v>
      </c>
      <c r="BJ272" s="42" t="s">
        <v>150</v>
      </c>
      <c r="BK272" s="46">
        <v>501.99990268119302</v>
      </c>
      <c r="BL272" s="46">
        <v>626.21699529020998</v>
      </c>
      <c r="BM272" s="42" t="s">
        <v>152</v>
      </c>
      <c r="BN272" s="48">
        <v>1</v>
      </c>
      <c r="BO272" s="42" t="s">
        <v>155</v>
      </c>
      <c r="BP272" s="42" t="s">
        <v>152</v>
      </c>
      <c r="BQ272" s="46">
        <v>1876.32362022744</v>
      </c>
      <c r="BR272" s="46">
        <v>536</v>
      </c>
      <c r="BS272" s="46">
        <v>47537</v>
      </c>
      <c r="BT272" s="46">
        <v>13445</v>
      </c>
      <c r="BU272" s="46">
        <v>3.5356638155448121</v>
      </c>
      <c r="BV272" s="46">
        <v>25.083955223880597</v>
      </c>
      <c r="BW272" s="46">
        <v>1777</v>
      </c>
      <c r="BX272" s="46">
        <v>6261</v>
      </c>
      <c r="BY272" s="46">
        <v>8038</v>
      </c>
      <c r="BZ272" s="46">
        <v>0.5978430643361845</v>
      </c>
      <c r="CA272" s="46">
        <v>0.1321680922275939</v>
      </c>
      <c r="CB272" s="46">
        <v>0.46567497210859049</v>
      </c>
      <c r="CC272" s="46">
        <v>0.1584975827445147</v>
      </c>
      <c r="CD272" s="46">
        <v>0</v>
      </c>
      <c r="CE272" s="46">
        <v>0</v>
      </c>
      <c r="CF272" s="46">
        <v>0.24365935291930094</v>
      </c>
      <c r="CG272" s="46">
        <v>0</v>
      </c>
      <c r="CH272" s="46">
        <v>0</v>
      </c>
      <c r="CI272" s="46">
        <v>3.6392704630077626</v>
      </c>
      <c r="CJ272" s="46">
        <v>0.35761617266550272</v>
      </c>
      <c r="CK272">
        <v>375</v>
      </c>
      <c r="CL272">
        <v>441.34</v>
      </c>
      <c r="CM272">
        <f t="shared" si="35"/>
        <v>66.339999999999975</v>
      </c>
      <c r="CN272">
        <v>10.31</v>
      </c>
      <c r="CO272">
        <v>9.4499999999999993</v>
      </c>
      <c r="CP272">
        <f t="shared" si="36"/>
        <v>-0.86000000000000121</v>
      </c>
      <c r="CQ272">
        <v>564.37</v>
      </c>
      <c r="CR272">
        <v>502</v>
      </c>
      <c r="CS272">
        <f t="shared" si="37"/>
        <v>62.370000000000005</v>
      </c>
      <c r="CT272" t="s">
        <v>150</v>
      </c>
      <c r="CU272">
        <v>121.39</v>
      </c>
      <c r="CV272">
        <v>267</v>
      </c>
      <c r="CW272" s="46">
        <v>8038</v>
      </c>
      <c r="CX272" s="46">
        <f t="shared" si="31"/>
        <v>59.290888806247679</v>
      </c>
      <c r="CY272" s="46">
        <v>66.34</v>
      </c>
      <c r="CZ272" s="46">
        <f t="shared" si="32"/>
        <v>59.784306433618454</v>
      </c>
      <c r="DA272" s="46">
        <f t="shared" si="33"/>
        <v>71.454703974587275</v>
      </c>
      <c r="DB272" s="46">
        <v>965448.8</v>
      </c>
      <c r="DC272" s="46">
        <f t="shared" si="34"/>
        <v>3.605900673064256</v>
      </c>
      <c r="DD272" s="46">
        <v>48720.55</v>
      </c>
      <c r="DE272" s="995">
        <v>8038</v>
      </c>
      <c r="DF272" s="995">
        <v>59.292999999999999</v>
      </c>
      <c r="DG272" s="995">
        <v>66.099999999999994</v>
      </c>
      <c r="DH272" s="995">
        <v>59.783999999999999</v>
      </c>
      <c r="DI272" s="995">
        <v>311.66899999999998</v>
      </c>
      <c r="DJ272" s="995">
        <v>4210973</v>
      </c>
      <c r="DK272" s="995">
        <v>16.079000000000001</v>
      </c>
      <c r="DL272" s="995">
        <v>217246.6</v>
      </c>
      <c r="DM272" s="995">
        <v>8038</v>
      </c>
      <c r="DN272" s="995">
        <v>59.298999999999999</v>
      </c>
      <c r="DO272" s="995">
        <v>65.2</v>
      </c>
      <c r="DP272" s="995">
        <v>59.783999999999999</v>
      </c>
      <c r="DQ272" s="995">
        <v>311.26400000000001</v>
      </c>
      <c r="DR272" s="995">
        <v>4205253</v>
      </c>
      <c r="DS272" s="995">
        <v>16.056000000000001</v>
      </c>
      <c r="DT272" s="995">
        <v>216924.1</v>
      </c>
    </row>
    <row r="273" spans="1:124">
      <c r="A273" s="42" t="s">
        <v>94</v>
      </c>
      <c r="B273" s="42" t="s">
        <v>446</v>
      </c>
      <c r="C273" s="42" t="s">
        <v>470</v>
      </c>
      <c r="D273" s="42">
        <v>907346</v>
      </c>
      <c r="E273" s="42" t="s">
        <v>476</v>
      </c>
      <c r="F273" s="42" t="s">
        <v>149</v>
      </c>
      <c r="G273" s="42" t="s">
        <v>150</v>
      </c>
      <c r="H273" s="43" t="s">
        <v>150</v>
      </c>
      <c r="I273" s="44">
        <v>14</v>
      </c>
      <c r="J273" s="45">
        <v>232203.65280000001</v>
      </c>
      <c r="K273" s="46">
        <v>10145.528716999999</v>
      </c>
      <c r="L273" s="47">
        <v>242349.18151699999</v>
      </c>
      <c r="M273" s="48">
        <v>4604611</v>
      </c>
      <c r="N273" s="49">
        <v>3463713</v>
      </c>
      <c r="O273" s="49">
        <v>1125788</v>
      </c>
      <c r="P273" s="49">
        <v>15110</v>
      </c>
      <c r="Q273" s="50">
        <v>10666.8638317757</v>
      </c>
      <c r="R273" s="51">
        <v>3870.7942304851499</v>
      </c>
      <c r="S273" s="49">
        <v>9590.3903852158091</v>
      </c>
      <c r="T273" s="49">
        <v>1961.0380743619501</v>
      </c>
      <c r="U273" s="49">
        <f>IFERROR(INDEX('Rentabilidad datos'!$N$2:$N$61,MATCH($C273,'Rentabilidad datos'!$C$2:$C$61,0)),"")</f>
        <v>15422.222690062908</v>
      </c>
      <c r="V273" s="50">
        <f>IFERROR(INDEX('Rentabilidad datos'!$O$2:$O$61,MATCH($C273,'Rentabilidad datos'!$C$2:$C$61,0)),"")</f>
        <v>1101.5873350044935</v>
      </c>
      <c r="W273" s="51">
        <f>IFERROR(INDEX('Rentabilidad datos'!$M$2:$M$61,MATCH($C273,'Rentabilidad datos'!$C$2:$C$61,0)),"")</f>
        <v>2767.0116391629381</v>
      </c>
      <c r="X273" s="52">
        <f>IFERROR(INDEX('Rentabilidad datos'!$P$2:$P$61,MATCH($C273,'Rentabilidad datos'!$C$2:$C$61,0)),"")</f>
        <v>0.39811445655419792</v>
      </c>
      <c r="Y273" s="43" t="s">
        <v>171</v>
      </c>
      <c r="Z273" s="53">
        <v>54.037383177570099</v>
      </c>
      <c r="AA273" s="43">
        <v>2</v>
      </c>
      <c r="AB273" s="54">
        <v>0.93341674247835482</v>
      </c>
      <c r="AC273" s="55">
        <v>6.6583257521645151E-2</v>
      </c>
      <c r="AD273" s="752" t="e">
        <f>_xlfn.XLOOKUP(Table1[[#This Row],[Ruta]],#REF!,#REF!)</f>
        <v>#REF!</v>
      </c>
      <c r="AE273" s="752" t="e">
        <f>_xlfn.XLOOKUP(Table1[[#This Row],[Ruta]],#REF!,#REF!)</f>
        <v>#REF!</v>
      </c>
      <c r="AF273" s="752" t="e">
        <f>_xlfn.XLOOKUP(Table1[[#This Row],[Ruta]],#REF!,#REF!)</f>
        <v>#REF!</v>
      </c>
      <c r="AG273" s="752" t="e">
        <f>_xlfn.XLOOKUP(Table1[[#This Row],[Ruta]],#REF!,#REF!)</f>
        <v>#REF!</v>
      </c>
      <c r="AH273" s="52">
        <v>0.75222706109158843</v>
      </c>
      <c r="AI273" s="52">
        <v>0.24449144564003344</v>
      </c>
      <c r="AJ273" s="55">
        <v>3.2814932683781538E-3</v>
      </c>
      <c r="AK273" s="56">
        <v>23128</v>
      </c>
      <c r="AL273" s="44">
        <v>12944</v>
      </c>
      <c r="AM273" s="54">
        <v>0.55966793497059797</v>
      </c>
      <c r="AN273" s="55">
        <v>0.77820466152725898</v>
      </c>
      <c r="AO273" s="56">
        <v>5054.3174118024399</v>
      </c>
      <c r="AP273" s="48">
        <v>2527.1587059012199</v>
      </c>
      <c r="AQ273" s="55">
        <v>0.66893629824892853</v>
      </c>
      <c r="AR273" s="51">
        <v>4565417.72</v>
      </c>
      <c r="AS273" s="49">
        <v>891342.33136385004</v>
      </c>
      <c r="AT273" s="55">
        <v>0.19523784810732503</v>
      </c>
      <c r="AU273" s="51">
        <v>626348.66528270568</v>
      </c>
      <c r="AV273" s="52">
        <v>2.8493193513847003E-3</v>
      </c>
      <c r="AW273" s="44">
        <v>113</v>
      </c>
      <c r="AX273" s="51">
        <v>352.70532447466002</v>
      </c>
      <c r="AY273" s="49">
        <v>342.62655542326002</v>
      </c>
      <c r="AZ273" s="49">
        <v>0</v>
      </c>
      <c r="BA273" s="42" t="s">
        <v>152</v>
      </c>
      <c r="BB273" s="50">
        <v>0</v>
      </c>
      <c r="BC273" s="57">
        <v>626348.66528270568</v>
      </c>
      <c r="BD273" s="42" t="s">
        <v>150</v>
      </c>
      <c r="BE273" s="46">
        <v>54.037383177570099</v>
      </c>
      <c r="BF273" s="46">
        <v>55.840687053637701</v>
      </c>
      <c r="BG273" s="42" t="s">
        <v>152</v>
      </c>
      <c r="BH273" s="52">
        <v>0.55966793497059797</v>
      </c>
      <c r="BI273" s="52">
        <v>0.639829102646158</v>
      </c>
      <c r="BJ273" s="42" t="s">
        <v>152</v>
      </c>
      <c r="BK273" s="46">
        <v>566.23640541355098</v>
      </c>
      <c r="BL273" s="46">
        <v>626.21699529020998</v>
      </c>
      <c r="BM273" s="42" t="s">
        <v>152</v>
      </c>
      <c r="BN273" s="48">
        <v>0</v>
      </c>
      <c r="BO273" s="42" t="s">
        <v>155</v>
      </c>
      <c r="BP273" s="42" t="s">
        <v>152</v>
      </c>
      <c r="BQ273" s="46">
        <v>4863.1896064819102</v>
      </c>
      <c r="BR273" s="46">
        <v>680</v>
      </c>
      <c r="BS273" s="46">
        <v>58787</v>
      </c>
      <c r="BT273" s="46">
        <v>16445</v>
      </c>
      <c r="BU273" s="46">
        <v>3.5747643660687141</v>
      </c>
      <c r="BV273" s="46">
        <v>24.183823529411764</v>
      </c>
      <c r="BW273" s="46">
        <v>54</v>
      </c>
      <c r="BX273" s="46">
        <v>5216</v>
      </c>
      <c r="BY273" s="46">
        <v>5270</v>
      </c>
      <c r="BZ273" s="46">
        <v>0.32046214654910304</v>
      </c>
      <c r="CA273" s="46">
        <v>3.2836728488902399E-3</v>
      </c>
      <c r="CB273" s="46">
        <v>0.31717847370021279</v>
      </c>
      <c r="CC273" s="46">
        <v>0.32143508665247789</v>
      </c>
      <c r="CD273" s="46">
        <v>0.13098206141684399</v>
      </c>
      <c r="CE273" s="46">
        <v>0</v>
      </c>
      <c r="CF273" s="46">
        <v>0.22712070538157489</v>
      </c>
      <c r="CG273" s="46">
        <v>0</v>
      </c>
      <c r="CH273" s="46">
        <v>0</v>
      </c>
      <c r="CI273" s="46">
        <v>4.1675880721928316</v>
      </c>
      <c r="CJ273" s="46">
        <v>0.25515845339956111</v>
      </c>
      <c r="CK273">
        <v>345</v>
      </c>
      <c r="CL273">
        <v>368.96</v>
      </c>
      <c r="CM273">
        <f t="shared" si="35"/>
        <v>23.95999999999998</v>
      </c>
      <c r="CN273">
        <v>8.7200000000000006</v>
      </c>
      <c r="CO273">
        <v>9.4499999999999993</v>
      </c>
      <c r="CP273">
        <f t="shared" si="36"/>
        <v>0.72999999999999865</v>
      </c>
      <c r="CQ273">
        <v>846.56</v>
      </c>
      <c r="CR273">
        <v>566.24</v>
      </c>
      <c r="CS273">
        <f t="shared" si="37"/>
        <v>280.31999999999994</v>
      </c>
      <c r="CT273" t="s">
        <v>152</v>
      </c>
      <c r="CU273">
        <v>92.32</v>
      </c>
      <c r="CV273">
        <v>227</v>
      </c>
      <c r="CW273" s="46">
        <v>5270</v>
      </c>
      <c r="CX273" s="46">
        <f t="shared" si="31"/>
        <v>31.900516874429918</v>
      </c>
      <c r="CY273" s="46">
        <v>23.96</v>
      </c>
      <c r="CZ273" s="46">
        <f t="shared" si="32"/>
        <v>32.046214654910301</v>
      </c>
      <c r="DA273" s="46">
        <f t="shared" si="33"/>
        <v>18.98015296655041</v>
      </c>
      <c r="DB273" s="46">
        <v>312583.38</v>
      </c>
      <c r="DC273" s="46">
        <f t="shared" si="34"/>
        <v>1.0232595136547786</v>
      </c>
      <c r="DD273" s="46">
        <v>16852.02</v>
      </c>
      <c r="DE273" s="995">
        <v>5270</v>
      </c>
      <c r="DF273" s="995">
        <v>31.898</v>
      </c>
      <c r="DG273" s="995">
        <v>24.4</v>
      </c>
      <c r="DH273" s="995">
        <v>32.045999999999999</v>
      </c>
      <c r="DI273" s="995">
        <v>197.02600000000001</v>
      </c>
      <c r="DJ273" s="995">
        <v>3244902</v>
      </c>
      <c r="DK273" s="995">
        <v>10.548</v>
      </c>
      <c r="DL273" s="995">
        <v>173722.6</v>
      </c>
      <c r="DM273" s="995">
        <v>5270</v>
      </c>
      <c r="DN273" s="995">
        <v>31.923999999999999</v>
      </c>
      <c r="DO273" s="995">
        <v>20.100000000000001</v>
      </c>
      <c r="DP273" s="995">
        <v>32.045999999999999</v>
      </c>
      <c r="DQ273" s="995">
        <v>195.18600000000001</v>
      </c>
      <c r="DR273" s="995">
        <v>3213769</v>
      </c>
      <c r="DS273" s="995">
        <v>10.449</v>
      </c>
      <c r="DT273" s="995">
        <v>172042</v>
      </c>
    </row>
    <row r="274" spans="1:124">
      <c r="A274" s="42" t="s">
        <v>94</v>
      </c>
      <c r="B274" s="42" t="s">
        <v>446</v>
      </c>
      <c r="C274" s="42" t="s">
        <v>470</v>
      </c>
      <c r="D274" s="42">
        <v>907347</v>
      </c>
      <c r="E274" s="42" t="s">
        <v>477</v>
      </c>
      <c r="F274" s="42" t="s">
        <v>149</v>
      </c>
      <c r="G274" s="42" t="s">
        <v>150</v>
      </c>
      <c r="H274" s="43" t="s">
        <v>150</v>
      </c>
      <c r="I274" s="44">
        <v>14</v>
      </c>
      <c r="J274" s="45">
        <v>200639.4264</v>
      </c>
      <c r="K274" s="46">
        <v>8974.8428210000002</v>
      </c>
      <c r="L274" s="47">
        <v>209614.269221</v>
      </c>
      <c r="M274" s="48">
        <v>4401230</v>
      </c>
      <c r="N274" s="49">
        <v>2980196</v>
      </c>
      <c r="O274" s="49">
        <v>1416281</v>
      </c>
      <c r="P274" s="49">
        <v>4753</v>
      </c>
      <c r="Q274" s="50">
        <v>10050.513949771699</v>
      </c>
      <c r="R274" s="51">
        <v>3870.7942304851499</v>
      </c>
      <c r="S274" s="49">
        <v>9590.3903852158091</v>
      </c>
      <c r="T274" s="49">
        <v>1961.0380743619501</v>
      </c>
      <c r="U274" s="49">
        <f>IFERROR(INDEX('Rentabilidad datos'!$N$2:$N$61,MATCH($C274,'Rentabilidad datos'!$C$2:$C$61,0)),"")</f>
        <v>15422.222690062908</v>
      </c>
      <c r="V274" s="50">
        <f>IFERROR(INDEX('Rentabilidad datos'!$O$2:$O$61,MATCH($C274,'Rentabilidad datos'!$C$2:$C$61,0)),"")</f>
        <v>1101.5873350044935</v>
      </c>
      <c r="W274" s="51">
        <f>IFERROR(INDEX('Rentabilidad datos'!$M$2:$M$61,MATCH($C274,'Rentabilidad datos'!$C$2:$C$61,0)),"")</f>
        <v>2767.0116391629381</v>
      </c>
      <c r="X274" s="52">
        <f>IFERROR(INDEX('Rentabilidad datos'!$P$2:$P$61,MATCH($C274,'Rentabilidad datos'!$C$2:$C$61,0)),"")</f>
        <v>0.39811445655419792</v>
      </c>
      <c r="Y274" s="43" t="s">
        <v>171</v>
      </c>
      <c r="Z274" s="53">
        <v>43.043378995433798</v>
      </c>
      <c r="AA274" s="43">
        <v>2</v>
      </c>
      <c r="AB274" s="54">
        <v>0.91057817928170082</v>
      </c>
      <c r="AC274" s="55">
        <v>8.9421820718299197E-2</v>
      </c>
      <c r="AD274" s="752" t="e">
        <f>_xlfn.XLOOKUP(Table1[[#This Row],[Ruta]],#REF!,#REF!)</f>
        <v>#REF!</v>
      </c>
      <c r="AE274" s="752" t="e">
        <f>_xlfn.XLOOKUP(Table1[[#This Row],[Ruta]],#REF!,#REF!)</f>
        <v>#REF!</v>
      </c>
      <c r="AF274" s="752" t="e">
        <f>_xlfn.XLOOKUP(Table1[[#This Row],[Ruta]],#REF!,#REF!)</f>
        <v>#REF!</v>
      </c>
      <c r="AG274" s="752" t="e">
        <f>_xlfn.XLOOKUP(Table1[[#This Row],[Ruta]],#REF!,#REF!)</f>
        <v>#REF!</v>
      </c>
      <c r="AH274" s="52">
        <v>0.67712798467701074</v>
      </c>
      <c r="AI274" s="52">
        <v>0.32179208993849445</v>
      </c>
      <c r="AJ274" s="55">
        <v>1.0799253844947889E-3</v>
      </c>
      <c r="AK274" s="56">
        <v>18853</v>
      </c>
      <c r="AL274" s="44">
        <v>12816</v>
      </c>
      <c r="AM274" s="54">
        <v>0.67978571049700298</v>
      </c>
      <c r="AN274" s="55">
        <v>0.77820466152725898</v>
      </c>
      <c r="AO274" s="56">
        <v>1855.49248377341</v>
      </c>
      <c r="AP274" s="48">
        <v>927.74624188670498</v>
      </c>
      <c r="AQ274" s="55">
        <v>0.72899518601213098</v>
      </c>
      <c r="AR274" s="51">
        <v>4402125.1100000003</v>
      </c>
      <c r="AS274" s="49">
        <v>318668.46341429348</v>
      </c>
      <c r="AT274" s="55">
        <v>7.2389688037351907E-2</v>
      </c>
      <c r="AU274" s="51">
        <v>223929.19050734144</v>
      </c>
      <c r="AV274" s="52">
        <v>1.0186750786233317E-3</v>
      </c>
      <c r="AW274" s="44">
        <v>292</v>
      </c>
      <c r="AX274" s="51">
        <v>343.48666588639202</v>
      </c>
      <c r="AY274" s="49">
        <v>342.62655542326002</v>
      </c>
      <c r="AZ274" s="49">
        <v>0</v>
      </c>
      <c r="BA274" s="42" t="s">
        <v>152</v>
      </c>
      <c r="BB274" s="50">
        <v>0</v>
      </c>
      <c r="BC274" s="57">
        <v>223929.19050734144</v>
      </c>
      <c r="BD274" s="42" t="s">
        <v>150</v>
      </c>
      <c r="BE274" s="46">
        <v>43.043378995433798</v>
      </c>
      <c r="BF274" s="46">
        <v>55.840687053637701</v>
      </c>
      <c r="BG274" s="42" t="s">
        <v>152</v>
      </c>
      <c r="BH274" s="52">
        <v>0.67978571049700298</v>
      </c>
      <c r="BI274" s="52">
        <v>0.639829102646158</v>
      </c>
      <c r="BJ274" s="42" t="s">
        <v>150</v>
      </c>
      <c r="BK274" s="46">
        <v>478.571390915525</v>
      </c>
      <c r="BL274" s="46">
        <v>626.21699529020998</v>
      </c>
      <c r="BM274" s="42" t="s">
        <v>152</v>
      </c>
      <c r="BN274" s="48">
        <v>1</v>
      </c>
      <c r="BO274" s="42" t="s">
        <v>155</v>
      </c>
      <c r="BP274" s="42" t="s">
        <v>152</v>
      </c>
      <c r="BQ274" s="46">
        <v>3056.6185547918999</v>
      </c>
      <c r="BR274" s="46">
        <v>193</v>
      </c>
      <c r="BS274" s="46">
        <v>12973</v>
      </c>
      <c r="BT274" s="46">
        <v>4062</v>
      </c>
      <c r="BU274" s="46">
        <v>3.1937469226981783</v>
      </c>
      <c r="BV274" s="46">
        <v>21.046632124352332</v>
      </c>
      <c r="BW274" s="46">
        <v>3120</v>
      </c>
      <c r="BX274" s="46">
        <v>695</v>
      </c>
      <c r="BY274" s="46">
        <v>3815</v>
      </c>
      <c r="BZ274" s="46">
        <v>0.93919251600196951</v>
      </c>
      <c r="CA274" s="46">
        <v>0.76809453471196454</v>
      </c>
      <c r="CB274" s="46">
        <v>0.17109798129000489</v>
      </c>
      <c r="CC274" s="46">
        <v>0</v>
      </c>
      <c r="CD274" s="46">
        <v>0</v>
      </c>
      <c r="CE274" s="46">
        <v>0</v>
      </c>
      <c r="CF274" s="46">
        <v>6.0807483998030529E-2</v>
      </c>
      <c r="CG274" s="46">
        <v>0</v>
      </c>
      <c r="CH274" s="46">
        <v>0</v>
      </c>
      <c r="CI274" s="46">
        <v>2.6979110460186542</v>
      </c>
      <c r="CJ274" s="46">
        <v>1.3104139366376319</v>
      </c>
      <c r="CK274">
        <v>321</v>
      </c>
      <c r="CL274">
        <v>541.53</v>
      </c>
      <c r="CM274">
        <f t="shared" si="35"/>
        <v>220.52999999999997</v>
      </c>
      <c r="CN274">
        <v>7.24</v>
      </c>
      <c r="CO274">
        <v>9.4499999999999993</v>
      </c>
      <c r="CP274">
        <f t="shared" si="36"/>
        <v>2.2099999999999991</v>
      </c>
      <c r="CQ274">
        <v>846.56</v>
      </c>
      <c r="CR274">
        <v>478.57</v>
      </c>
      <c r="CS274">
        <f t="shared" si="37"/>
        <v>367.98999999999995</v>
      </c>
      <c r="CT274" t="s">
        <v>152</v>
      </c>
      <c r="CU274">
        <v>76.63</v>
      </c>
      <c r="CV274">
        <v>303</v>
      </c>
      <c r="CW274" s="46">
        <v>3815</v>
      </c>
      <c r="CX274" s="46">
        <f t="shared" si="31"/>
        <v>88.490152634170343</v>
      </c>
      <c r="CY274" s="46">
        <v>220.53</v>
      </c>
      <c r="CZ274" s="46">
        <f t="shared" si="32"/>
        <v>93.919251600196958</v>
      </c>
      <c r="DA274" s="46">
        <f t="shared" si="33"/>
        <v>584.76531863174341</v>
      </c>
      <c r="DB274" s="46">
        <v>2504275.02</v>
      </c>
      <c r="DC274" s="46">
        <f t="shared" si="34"/>
        <v>26.502595428403307</v>
      </c>
      <c r="DD274" s="46">
        <v>113498.16</v>
      </c>
      <c r="DE274" s="995">
        <v>3815</v>
      </c>
      <c r="DF274" s="995">
        <v>88.49</v>
      </c>
      <c r="DG274" s="995">
        <v>220.5</v>
      </c>
      <c r="DH274" s="995">
        <v>93.918999999999997</v>
      </c>
      <c r="DI274" s="995">
        <v>1261.5029999999999</v>
      </c>
      <c r="DJ274" s="995">
        <v>5402426</v>
      </c>
      <c r="DK274" s="995">
        <v>57.24</v>
      </c>
      <c r="DL274" s="995">
        <v>245132.9</v>
      </c>
      <c r="DM274" s="995">
        <v>3815</v>
      </c>
      <c r="DN274" s="995">
        <v>88.49</v>
      </c>
      <c r="DO274" s="995">
        <v>220.5</v>
      </c>
      <c r="DP274" s="995">
        <v>93.918999999999997</v>
      </c>
      <c r="DQ274" s="995">
        <v>1261.5029999999999</v>
      </c>
      <c r="DR274" s="995">
        <v>5402426</v>
      </c>
      <c r="DS274" s="995">
        <v>57.24</v>
      </c>
      <c r="DT274" s="995">
        <v>245132.9</v>
      </c>
    </row>
    <row r="275" spans="1:124">
      <c r="A275" s="42" t="s">
        <v>94</v>
      </c>
      <c r="B275" s="42" t="s">
        <v>446</v>
      </c>
      <c r="C275" s="42" t="s">
        <v>470</v>
      </c>
      <c r="D275" s="42">
        <v>907401</v>
      </c>
      <c r="E275" s="42" t="s">
        <v>478</v>
      </c>
      <c r="F275" s="42" t="s">
        <v>149</v>
      </c>
      <c r="G275" s="42" t="s">
        <v>150</v>
      </c>
      <c r="H275" s="43" t="s">
        <v>150</v>
      </c>
      <c r="I275" s="44">
        <v>14</v>
      </c>
      <c r="J275" s="45">
        <v>169361.71185600001</v>
      </c>
      <c r="K275" s="46">
        <v>10826.372608</v>
      </c>
      <c r="L275" s="47">
        <v>180188.08446400001</v>
      </c>
      <c r="M275" s="48">
        <v>3718473</v>
      </c>
      <c r="N275" s="49">
        <v>2462800</v>
      </c>
      <c r="O275" s="49">
        <v>1234116</v>
      </c>
      <c r="P275" s="49">
        <v>21557</v>
      </c>
      <c r="Q275" s="50">
        <v>8496.7521609195392</v>
      </c>
      <c r="R275" s="51">
        <v>3870.7942304851499</v>
      </c>
      <c r="S275" s="49">
        <v>9590.3903852158091</v>
      </c>
      <c r="T275" s="49">
        <v>1961.0380743619501</v>
      </c>
      <c r="U275" s="49">
        <f>IFERROR(INDEX('Rentabilidad datos'!$N$2:$N$61,MATCH($C275,'Rentabilidad datos'!$C$2:$C$61,0)),"")</f>
        <v>15422.222690062908</v>
      </c>
      <c r="V275" s="50">
        <f>IFERROR(INDEX('Rentabilidad datos'!$O$2:$O$61,MATCH($C275,'Rentabilidad datos'!$C$2:$C$61,0)),"")</f>
        <v>1101.5873350044935</v>
      </c>
      <c r="W275" s="51">
        <f>IFERROR(INDEX('Rentabilidad datos'!$M$2:$M$61,MATCH($C275,'Rentabilidad datos'!$C$2:$C$61,0)),"")</f>
        <v>2767.0116391629381</v>
      </c>
      <c r="X275" s="52">
        <f>IFERROR(INDEX('Rentabilidad datos'!$P$2:$P$61,MATCH($C275,'Rentabilidad datos'!$C$2:$C$61,0)),"")</f>
        <v>0.39811445655419792</v>
      </c>
      <c r="Y275" s="43" t="s">
        <v>171</v>
      </c>
      <c r="Z275" s="53">
        <v>58.586206896551701</v>
      </c>
      <c r="AA275" s="43">
        <v>2</v>
      </c>
      <c r="AB275" s="54">
        <v>0.8952481300792019</v>
      </c>
      <c r="AC275" s="55">
        <v>0.10475186992079813</v>
      </c>
      <c r="AD275" s="752" t="e">
        <f>_xlfn.XLOOKUP(Table1[[#This Row],[Ruta]],#REF!,#REF!)</f>
        <v>#REF!</v>
      </c>
      <c r="AE275" s="752" t="e">
        <f>_xlfn.XLOOKUP(Table1[[#This Row],[Ruta]],#REF!,#REF!)</f>
        <v>#REF!</v>
      </c>
      <c r="AF275" s="752" t="e">
        <f>_xlfn.XLOOKUP(Table1[[#This Row],[Ruta]],#REF!,#REF!)</f>
        <v>#REF!</v>
      </c>
      <c r="AG275" s="752" t="e">
        <f>_xlfn.XLOOKUP(Table1[[#This Row],[Ruta]],#REF!,#REF!)</f>
        <v>#REF!</v>
      </c>
      <c r="AH275" s="52">
        <v>0.662314880328565</v>
      </c>
      <c r="AI275" s="52">
        <v>0.3318878475115995</v>
      </c>
      <c r="AJ275" s="55">
        <v>5.7972721598355025E-3</v>
      </c>
      <c r="AK275" s="56">
        <v>25485</v>
      </c>
      <c r="AL275" s="44">
        <v>17952</v>
      </c>
      <c r="AM275" s="54">
        <v>0.704414361389052</v>
      </c>
      <c r="AN275" s="55">
        <v>0.77820466152725898</v>
      </c>
      <c r="AO275" s="56">
        <v>1880.5457990221801</v>
      </c>
      <c r="AP275" s="48">
        <v>940.27289951109003</v>
      </c>
      <c r="AQ275" s="55">
        <v>0.74130951145815527</v>
      </c>
      <c r="AR275" s="51">
        <v>3696087.19</v>
      </c>
      <c r="AS275" s="49">
        <v>193590.16371363099</v>
      </c>
      <c r="AT275" s="55">
        <v>5.2377055454049228E-2</v>
      </c>
      <c r="AU275" s="51">
        <v>136036.33125822723</v>
      </c>
      <c r="AV275" s="52">
        <v>6.1884214436777965E-4</v>
      </c>
      <c r="AW275" s="44">
        <v>364</v>
      </c>
      <c r="AX275" s="51">
        <v>205.88720978164</v>
      </c>
      <c r="AY275" s="49">
        <v>342.62655542326002</v>
      </c>
      <c r="AZ275" s="49">
        <v>136.73934564162002</v>
      </c>
      <c r="BA275" s="42" t="s">
        <v>150</v>
      </c>
      <c r="BB275" s="50">
        <v>862477.87914753309</v>
      </c>
      <c r="BC275" s="57">
        <v>998514.21040576033</v>
      </c>
      <c r="BD275" s="42" t="s">
        <v>150</v>
      </c>
      <c r="BE275" s="46">
        <v>58.586206896551701</v>
      </c>
      <c r="BF275" s="46">
        <v>55.840687053637701</v>
      </c>
      <c r="BG275" s="42" t="s">
        <v>150</v>
      </c>
      <c r="BH275" s="52">
        <v>0.704414361389052</v>
      </c>
      <c r="BI275" s="52">
        <v>0.639829102646158</v>
      </c>
      <c r="BJ275" s="42" t="s">
        <v>150</v>
      </c>
      <c r="BK275" s="46">
        <v>414.22548152643702</v>
      </c>
      <c r="BL275" s="46">
        <v>626.21699529020998</v>
      </c>
      <c r="BM275" s="42" t="s">
        <v>152</v>
      </c>
      <c r="BN275" s="48">
        <v>2</v>
      </c>
      <c r="BO275" s="42" t="s">
        <v>161</v>
      </c>
      <c r="BP275" s="42" t="s">
        <v>152</v>
      </c>
      <c r="BQ275" s="46">
        <v>0</v>
      </c>
      <c r="BR275" s="46">
        <v>388</v>
      </c>
      <c r="BS275" s="46">
        <v>20825</v>
      </c>
      <c r="BT275" s="46">
        <v>6296</v>
      </c>
      <c r="BU275" s="46">
        <v>3.3076556543837357</v>
      </c>
      <c r="BV275" s="46">
        <v>16.226804123711339</v>
      </c>
      <c r="BW275" s="46">
        <v>2274</v>
      </c>
      <c r="BX275" s="46">
        <v>2362</v>
      </c>
      <c r="BY275" s="46">
        <v>4636</v>
      </c>
      <c r="BZ275" s="46">
        <v>0.73634053367217278</v>
      </c>
      <c r="CA275" s="46">
        <v>0.36118170266836092</v>
      </c>
      <c r="CB275" s="46">
        <v>0.37515883100381192</v>
      </c>
      <c r="CC275" s="46">
        <v>6.734434561626429E-2</v>
      </c>
      <c r="CD275" s="46">
        <v>0</v>
      </c>
      <c r="CE275" s="46">
        <v>0</v>
      </c>
      <c r="CF275" s="46">
        <v>0.1963151207115629</v>
      </c>
      <c r="CG275" s="46">
        <v>0</v>
      </c>
      <c r="CH275" s="46">
        <v>0</v>
      </c>
      <c r="CI275" s="46">
        <v>6.3865546218487399</v>
      </c>
      <c r="CJ275" s="46">
        <v>1.008403361344538</v>
      </c>
      <c r="CK275">
        <v>413</v>
      </c>
      <c r="CL275">
        <v>501.14</v>
      </c>
      <c r="CM275">
        <f t="shared" si="35"/>
        <v>88.139999999999986</v>
      </c>
      <c r="CN275">
        <v>9.5</v>
      </c>
      <c r="CO275">
        <v>9.4499999999999993</v>
      </c>
      <c r="CP275">
        <f t="shared" si="36"/>
        <v>-5.0000000000000711E-2</v>
      </c>
      <c r="CQ275">
        <v>846.56</v>
      </c>
      <c r="CR275">
        <v>414.23</v>
      </c>
      <c r="CS275">
        <f t="shared" si="37"/>
        <v>432.32999999999993</v>
      </c>
      <c r="CT275" t="s">
        <v>150</v>
      </c>
      <c r="CU275">
        <v>100.51</v>
      </c>
      <c r="CV275">
        <v>381</v>
      </c>
      <c r="CW275" s="46">
        <v>4636</v>
      </c>
      <c r="CX275" s="46">
        <f t="shared" si="31"/>
        <v>72.234116899618812</v>
      </c>
      <c r="CY275" s="46">
        <v>88.14</v>
      </c>
      <c r="CZ275" s="46">
        <f t="shared" si="32"/>
        <v>73.634053367217277</v>
      </c>
      <c r="DA275" s="46">
        <f t="shared" si="33"/>
        <v>292.91816752138897</v>
      </c>
      <c r="DB275" s="46">
        <v>1870030.59</v>
      </c>
      <c r="DC275" s="46">
        <f t="shared" si="34"/>
        <v>14.078588502131844</v>
      </c>
      <c r="DD275" s="46">
        <v>89879.679999999993</v>
      </c>
      <c r="DE275" s="995">
        <v>4636</v>
      </c>
      <c r="DF275" s="995">
        <v>72.239999999999995</v>
      </c>
      <c r="DG275" s="995">
        <v>87.8</v>
      </c>
      <c r="DH275" s="995">
        <v>73.634</v>
      </c>
      <c r="DI275" s="995">
        <v>754.17600000000004</v>
      </c>
      <c r="DJ275" s="995">
        <v>4814475</v>
      </c>
      <c r="DK275" s="995">
        <v>36.104999999999997</v>
      </c>
      <c r="DL275" s="995">
        <v>230487.9</v>
      </c>
      <c r="DM275" s="995">
        <v>4636</v>
      </c>
      <c r="DN275" s="995">
        <v>72.298000000000002</v>
      </c>
      <c r="DO275" s="995">
        <v>84.1</v>
      </c>
      <c r="DP275" s="995">
        <v>73.634</v>
      </c>
      <c r="DQ275" s="995">
        <v>749.62300000000005</v>
      </c>
      <c r="DR275" s="995">
        <v>4782658</v>
      </c>
      <c r="DS275" s="995">
        <v>35.902000000000001</v>
      </c>
      <c r="DT275" s="995">
        <v>229057.7</v>
      </c>
    </row>
    <row r="276" spans="1:124">
      <c r="A276" s="42" t="s">
        <v>94</v>
      </c>
      <c r="B276" s="42" t="s">
        <v>446</v>
      </c>
      <c r="C276" s="42" t="s">
        <v>470</v>
      </c>
      <c r="D276" s="42">
        <v>907402</v>
      </c>
      <c r="E276" s="42" t="s">
        <v>479</v>
      </c>
      <c r="F276" s="42" t="s">
        <v>149</v>
      </c>
      <c r="G276" s="42" t="s">
        <v>150</v>
      </c>
      <c r="H276" s="43" t="s">
        <v>150</v>
      </c>
      <c r="I276" s="44">
        <v>14</v>
      </c>
      <c r="J276" s="45">
        <v>148173.27840000001</v>
      </c>
      <c r="K276" s="46">
        <v>9024.3394750000007</v>
      </c>
      <c r="L276" s="47">
        <v>157197.617875</v>
      </c>
      <c r="M276" s="48">
        <v>3332999</v>
      </c>
      <c r="N276" s="49">
        <v>2203561</v>
      </c>
      <c r="O276" s="49">
        <v>1113734</v>
      </c>
      <c r="P276" s="49">
        <v>15704</v>
      </c>
      <c r="Q276" s="50">
        <v>7644.6816359447002</v>
      </c>
      <c r="R276" s="51">
        <v>3870.7942304851499</v>
      </c>
      <c r="S276" s="49">
        <v>9590.3903852158091</v>
      </c>
      <c r="T276" s="49">
        <v>1961.0380743619501</v>
      </c>
      <c r="U276" s="49">
        <f>IFERROR(INDEX('Rentabilidad datos'!$N$2:$N$61,MATCH($C276,'Rentabilidad datos'!$C$2:$C$61,0)),"")</f>
        <v>15422.222690062908</v>
      </c>
      <c r="V276" s="50">
        <f>IFERROR(INDEX('Rentabilidad datos'!$O$2:$O$61,MATCH($C276,'Rentabilidad datos'!$C$2:$C$61,0)),"")</f>
        <v>1101.5873350044935</v>
      </c>
      <c r="W276" s="51">
        <f>IFERROR(INDEX('Rentabilidad datos'!$M$2:$M$61,MATCH($C276,'Rentabilidad datos'!$C$2:$C$61,0)),"")</f>
        <v>2767.0116391629381</v>
      </c>
      <c r="X276" s="52">
        <f>IFERROR(INDEX('Rentabilidad datos'!$P$2:$P$61,MATCH($C276,'Rentabilidad datos'!$C$2:$C$61,0)),"")</f>
        <v>0.39811445655419792</v>
      </c>
      <c r="Y276" s="43" t="s">
        <v>171</v>
      </c>
      <c r="Z276" s="53">
        <v>36.695852534562199</v>
      </c>
      <c r="AA276" s="43">
        <v>2</v>
      </c>
      <c r="AB276" s="54">
        <v>0.93219649930888071</v>
      </c>
      <c r="AC276" s="55">
        <v>6.7803500691119317E-2</v>
      </c>
      <c r="AD276" s="752" t="e">
        <f>_xlfn.XLOOKUP(Table1[[#This Row],[Ruta]],#REF!,#REF!)</f>
        <v>#REF!</v>
      </c>
      <c r="AE276" s="752" t="e">
        <f>_xlfn.XLOOKUP(Table1[[#This Row],[Ruta]],#REF!,#REF!)</f>
        <v>#REF!</v>
      </c>
      <c r="AF276" s="752" t="e">
        <f>_xlfn.XLOOKUP(Table1[[#This Row],[Ruta]],#REF!,#REF!)</f>
        <v>#REF!</v>
      </c>
      <c r="AG276" s="752" t="e">
        <f>_xlfn.XLOOKUP(Table1[[#This Row],[Ruta]],#REF!,#REF!)</f>
        <v>#REF!</v>
      </c>
      <c r="AH276" s="52">
        <v>0.66113461180156374</v>
      </c>
      <c r="AI276" s="52">
        <v>0.33415371561767643</v>
      </c>
      <c r="AJ276" s="55">
        <v>4.71167258075985E-3</v>
      </c>
      <c r="AK276" s="56">
        <v>15926</v>
      </c>
      <c r="AL276" s="44">
        <v>8868</v>
      </c>
      <c r="AM276" s="54">
        <v>0.55682531709154803</v>
      </c>
      <c r="AN276" s="55">
        <v>0.77820466152725898</v>
      </c>
      <c r="AO276" s="56">
        <v>3525.6874394831202</v>
      </c>
      <c r="AP276" s="48">
        <v>1762.8437197415601</v>
      </c>
      <c r="AQ276" s="55">
        <v>0.66751498930940356</v>
      </c>
      <c r="AR276" s="51">
        <v>3317791.83</v>
      </c>
      <c r="AS276" s="49">
        <v>659534.11038851505</v>
      </c>
      <c r="AT276" s="55">
        <v>0.19878706808091545</v>
      </c>
      <c r="AU276" s="51">
        <v>463456.40189463238</v>
      </c>
      <c r="AV276" s="52">
        <v>2.1083070303110976E-3</v>
      </c>
      <c r="AW276" s="44">
        <v>157</v>
      </c>
      <c r="AX276" s="51">
        <v>374.13078822733399</v>
      </c>
      <c r="AY276" s="49">
        <v>342.62655542326002</v>
      </c>
      <c r="AZ276" s="49">
        <v>0</v>
      </c>
      <c r="BA276" s="42" t="s">
        <v>152</v>
      </c>
      <c r="BB276" s="50">
        <v>0</v>
      </c>
      <c r="BC276" s="57">
        <v>463456.40189463238</v>
      </c>
      <c r="BD276" s="42" t="s">
        <v>150</v>
      </c>
      <c r="BE276" s="46">
        <v>36.695852534562199</v>
      </c>
      <c r="BF276" s="46">
        <v>55.840687053637701</v>
      </c>
      <c r="BG276" s="42" t="s">
        <v>152</v>
      </c>
      <c r="BH276" s="52">
        <v>0.55682531709154803</v>
      </c>
      <c r="BI276" s="52">
        <v>0.639829102646158</v>
      </c>
      <c r="BJ276" s="42" t="s">
        <v>152</v>
      </c>
      <c r="BK276" s="46">
        <v>362.20649279953898</v>
      </c>
      <c r="BL276" s="46">
        <v>626.21699529020998</v>
      </c>
      <c r="BM276" s="42" t="s">
        <v>152</v>
      </c>
      <c r="BN276" s="48">
        <v>0</v>
      </c>
      <c r="BO276" s="42" t="s">
        <v>155</v>
      </c>
      <c r="BP276" s="42" t="s">
        <v>152</v>
      </c>
      <c r="BQ276" s="46">
        <v>8094.2058830492997</v>
      </c>
      <c r="BR276" s="46">
        <v>454</v>
      </c>
      <c r="BS276" s="46">
        <v>34367</v>
      </c>
      <c r="BT276" s="46">
        <v>10388</v>
      </c>
      <c r="BU276" s="46">
        <v>3.3083365421640356</v>
      </c>
      <c r="BV276" s="46">
        <v>22.881057268722468</v>
      </c>
      <c r="BW276" s="46">
        <v>0</v>
      </c>
      <c r="BX276" s="46">
        <v>3443</v>
      </c>
      <c r="BY276" s="46">
        <v>3443</v>
      </c>
      <c r="BZ276" s="46">
        <v>0.33144012321909894</v>
      </c>
      <c r="CA276" s="46">
        <v>0</v>
      </c>
      <c r="CB276" s="46">
        <v>0.33144012321909888</v>
      </c>
      <c r="CC276" s="46">
        <v>3.0804774740084709E-2</v>
      </c>
      <c r="CD276" s="46">
        <v>4.0431266846361188E-3</v>
      </c>
      <c r="CE276" s="46">
        <v>0</v>
      </c>
      <c r="CF276" s="46">
        <v>0.63371197535618018</v>
      </c>
      <c r="CG276" s="46">
        <v>0</v>
      </c>
      <c r="CH276" s="46">
        <v>0</v>
      </c>
      <c r="CI276" s="46">
        <v>5.6158524165624</v>
      </c>
      <c r="CJ276" s="46">
        <v>0.3491721709779731</v>
      </c>
      <c r="CK276">
        <v>254</v>
      </c>
      <c r="CL276">
        <v>296.82</v>
      </c>
      <c r="CM276">
        <f t="shared" si="35"/>
        <v>42.819999999999993</v>
      </c>
      <c r="CN276">
        <v>11.47</v>
      </c>
      <c r="CO276">
        <v>9.4499999999999993</v>
      </c>
      <c r="CP276">
        <f t="shared" si="36"/>
        <v>-2.0200000000000014</v>
      </c>
      <c r="CQ276">
        <v>564.37</v>
      </c>
      <c r="CR276">
        <v>362.21</v>
      </c>
      <c r="CS276">
        <f t="shared" si="37"/>
        <v>202.16000000000003</v>
      </c>
      <c r="CT276" t="s">
        <v>150</v>
      </c>
      <c r="CU276">
        <v>125.92</v>
      </c>
      <c r="CV276">
        <v>113</v>
      </c>
      <c r="CW276" s="46">
        <v>3443</v>
      </c>
      <c r="CX276" s="46">
        <f t="shared" si="31"/>
        <v>32.731805929919133</v>
      </c>
      <c r="CY276" s="46">
        <v>42.82</v>
      </c>
      <c r="CZ276" s="46">
        <f t="shared" si="32"/>
        <v>33.144012321909891</v>
      </c>
      <c r="DA276" s="46">
        <f t="shared" si="33"/>
        <v>33.174927762151015</v>
      </c>
      <c r="DB276" s="46">
        <v>346041.7</v>
      </c>
      <c r="DC276" s="46">
        <f t="shared" si="34"/>
        <v>1.6052036177405036</v>
      </c>
      <c r="DD276" s="46">
        <v>16743.59</v>
      </c>
      <c r="DE276" s="995">
        <v>3443</v>
      </c>
      <c r="DF276" s="995">
        <v>32.741999999999997</v>
      </c>
      <c r="DG276" s="995">
        <v>41.8</v>
      </c>
      <c r="DH276" s="995">
        <v>33.143999999999998</v>
      </c>
      <c r="DI276" s="995">
        <v>286.75200000000001</v>
      </c>
      <c r="DJ276" s="995">
        <v>2990762</v>
      </c>
      <c r="DK276" s="995">
        <v>13.837</v>
      </c>
      <c r="DL276" s="995">
        <v>144315.6</v>
      </c>
      <c r="DM276" s="995">
        <v>3443</v>
      </c>
      <c r="DN276" s="995">
        <v>32.771000000000001</v>
      </c>
      <c r="DO276" s="995">
        <v>38.700000000000003</v>
      </c>
      <c r="DP276" s="995">
        <v>33.143999999999998</v>
      </c>
      <c r="DQ276" s="995">
        <v>285.03699999999998</v>
      </c>
      <c r="DR276" s="995">
        <v>2971998</v>
      </c>
      <c r="DS276" s="995">
        <v>13.750999999999999</v>
      </c>
      <c r="DT276" s="995">
        <v>143377.9</v>
      </c>
    </row>
    <row r="277" spans="1:124">
      <c r="A277" s="42" t="s">
        <v>94</v>
      </c>
      <c r="B277" s="42" t="s">
        <v>446</v>
      </c>
      <c r="C277" s="42" t="s">
        <v>470</v>
      </c>
      <c r="D277" s="42">
        <v>907403</v>
      </c>
      <c r="E277" s="42" t="s">
        <v>480</v>
      </c>
      <c r="F277" s="42" t="s">
        <v>149</v>
      </c>
      <c r="G277" s="42" t="s">
        <v>150</v>
      </c>
      <c r="H277" s="43" t="s">
        <v>150</v>
      </c>
      <c r="I277" s="44">
        <v>14</v>
      </c>
      <c r="J277" s="45">
        <v>142319.0496</v>
      </c>
      <c r="K277" s="46">
        <v>6690.3918210000002</v>
      </c>
      <c r="L277" s="47">
        <v>149009.441421</v>
      </c>
      <c r="M277" s="48">
        <v>2758669</v>
      </c>
      <c r="N277" s="49">
        <v>2087345</v>
      </c>
      <c r="O277" s="49">
        <v>665127</v>
      </c>
      <c r="P277" s="49">
        <v>6197</v>
      </c>
      <c r="Q277" s="50">
        <v>6344.8247018348702</v>
      </c>
      <c r="R277" s="51">
        <v>3870.7942304851499</v>
      </c>
      <c r="S277" s="49">
        <v>9590.3903852158091</v>
      </c>
      <c r="T277" s="49">
        <v>1961.0380743619501</v>
      </c>
      <c r="U277" s="49">
        <f>IFERROR(INDEX('Rentabilidad datos'!$N$2:$N$61,MATCH($C277,'Rentabilidad datos'!$C$2:$C$61,0)),"")</f>
        <v>15422.222690062908</v>
      </c>
      <c r="V277" s="50">
        <f>IFERROR(INDEX('Rentabilidad datos'!$O$2:$O$61,MATCH($C277,'Rentabilidad datos'!$C$2:$C$61,0)),"")</f>
        <v>1101.5873350044935</v>
      </c>
      <c r="W277" s="51">
        <f>IFERROR(INDEX('Rentabilidad datos'!$M$2:$M$61,MATCH($C277,'Rentabilidad datos'!$C$2:$C$61,0)),"")</f>
        <v>2767.0116391629381</v>
      </c>
      <c r="X277" s="52">
        <f>IFERROR(INDEX('Rentabilidad datos'!$P$2:$P$61,MATCH($C277,'Rentabilidad datos'!$C$2:$C$61,0)),"")</f>
        <v>0.39811445655419792</v>
      </c>
      <c r="Y277" s="43" t="s">
        <v>171</v>
      </c>
      <c r="Z277" s="53">
        <v>46.674311926605498</v>
      </c>
      <c r="AA277" s="43">
        <v>2</v>
      </c>
      <c r="AB277" s="54">
        <v>0.87949768529678629</v>
      </c>
      <c r="AC277" s="55">
        <v>0.12050231470321376</v>
      </c>
      <c r="AD277" s="752" t="e">
        <f>_xlfn.XLOOKUP(Table1[[#This Row],[Ruta]],#REF!,#REF!)</f>
        <v>#REF!</v>
      </c>
      <c r="AE277" s="752" t="e">
        <f>_xlfn.XLOOKUP(Table1[[#This Row],[Ruta]],#REF!,#REF!)</f>
        <v>#REF!</v>
      </c>
      <c r="AF277" s="752" t="e">
        <f>_xlfn.XLOOKUP(Table1[[#This Row],[Ruta]],#REF!,#REF!)</f>
        <v>#REF!</v>
      </c>
      <c r="AG277" s="752" t="e">
        <f>_xlfn.XLOOKUP(Table1[[#This Row],[Ruta]],#REF!,#REF!)</f>
        <v>#REF!</v>
      </c>
      <c r="AH277" s="52">
        <v>0.75664931167892924</v>
      </c>
      <c r="AI277" s="52">
        <v>0.24110431516068076</v>
      </c>
      <c r="AJ277" s="55">
        <v>2.2463731603900288E-3</v>
      </c>
      <c r="AK277" s="56">
        <v>20350</v>
      </c>
      <c r="AL277" s="44">
        <v>10407</v>
      </c>
      <c r="AM277" s="54">
        <v>0.51140049140049104</v>
      </c>
      <c r="AN277" s="55">
        <v>0.77820466152725898</v>
      </c>
      <c r="AO277" s="56">
        <v>5429.4648620797097</v>
      </c>
      <c r="AP277" s="48">
        <v>2714.7324310398549</v>
      </c>
      <c r="AQ277" s="55">
        <v>0.64480257646387495</v>
      </c>
      <c r="AR277" s="51">
        <v>2766343.57</v>
      </c>
      <c r="AS277" s="49">
        <v>721618.39193596505</v>
      </c>
      <c r="AT277" s="55">
        <v>0.26085638810799089</v>
      </c>
      <c r="AU277" s="51">
        <v>507083.19433338102</v>
      </c>
      <c r="AV277" s="52">
        <v>2.3067694376325272E-3</v>
      </c>
      <c r="AW277" s="44">
        <v>145</v>
      </c>
      <c r="AX277" s="51">
        <v>265.81565965215702</v>
      </c>
      <c r="AY277" s="49">
        <v>342.62655542326002</v>
      </c>
      <c r="AZ277" s="49">
        <v>76.810895771102992</v>
      </c>
      <c r="BA277" s="42" t="s">
        <v>150</v>
      </c>
      <c r="BB277" s="50">
        <v>280860.0783721162</v>
      </c>
      <c r="BC277" s="57">
        <v>787943.27270549722</v>
      </c>
      <c r="BD277" s="42" t="s">
        <v>150</v>
      </c>
      <c r="BE277" s="46">
        <v>46.674311926605498</v>
      </c>
      <c r="BF277" s="46">
        <v>55.840687053637701</v>
      </c>
      <c r="BG277" s="42" t="s">
        <v>152</v>
      </c>
      <c r="BH277" s="52">
        <v>0.51140049140049104</v>
      </c>
      <c r="BI277" s="52">
        <v>0.639829102646158</v>
      </c>
      <c r="BJ277" s="42" t="s">
        <v>152</v>
      </c>
      <c r="BK277" s="46">
        <v>341.76477390137597</v>
      </c>
      <c r="BL277" s="46">
        <v>626.21699529020998</v>
      </c>
      <c r="BM277" s="42" t="s">
        <v>152</v>
      </c>
      <c r="BN277" s="48">
        <v>0</v>
      </c>
      <c r="BO277" s="42" t="s">
        <v>155</v>
      </c>
      <c r="BP277" s="42" t="s">
        <v>152</v>
      </c>
      <c r="BQ277" s="46">
        <v>4593.4414946358802</v>
      </c>
      <c r="BR277" s="46">
        <v>1236</v>
      </c>
      <c r="BS277" s="46">
        <v>107310</v>
      </c>
      <c r="BT277" s="46">
        <v>29051</v>
      </c>
      <c r="BU277" s="46">
        <v>3.6938487487521945</v>
      </c>
      <c r="BV277" s="46">
        <v>23.504045307443366</v>
      </c>
      <c r="BW277" s="46">
        <v>0</v>
      </c>
      <c r="BX277" s="46">
        <v>5375</v>
      </c>
      <c r="BY277" s="46">
        <v>5375</v>
      </c>
      <c r="BZ277" s="46">
        <v>0.18501944855598776</v>
      </c>
      <c r="CA277" s="46">
        <v>0</v>
      </c>
      <c r="CB277" s="46">
        <v>0.18501944855598779</v>
      </c>
      <c r="CC277" s="46">
        <v>0.35554714123438091</v>
      </c>
      <c r="CD277" s="46">
        <v>5.8276823517262738E-2</v>
      </c>
      <c r="CE277" s="46">
        <v>4.1754156483425703E-2</v>
      </c>
      <c r="CF277" s="46">
        <v>0.35940243020894291</v>
      </c>
      <c r="CG277" s="46">
        <v>0</v>
      </c>
      <c r="CH277" s="46">
        <v>0</v>
      </c>
      <c r="CI277" s="46">
        <v>3.8673003447954519</v>
      </c>
      <c r="CJ277" s="46">
        <v>0.2236511042773274</v>
      </c>
      <c r="CK277">
        <v>343</v>
      </c>
      <c r="CL277">
        <v>502.54</v>
      </c>
      <c r="CM277">
        <f t="shared" si="35"/>
        <v>159.54000000000002</v>
      </c>
      <c r="CN277">
        <v>9.5399999999999991</v>
      </c>
      <c r="CO277">
        <v>9.4499999999999993</v>
      </c>
      <c r="CP277">
        <f t="shared" si="36"/>
        <v>-8.9999999999999858E-2</v>
      </c>
      <c r="CQ277">
        <v>564.37</v>
      </c>
      <c r="CR277">
        <v>341.76</v>
      </c>
      <c r="CS277">
        <f t="shared" si="37"/>
        <v>222.61</v>
      </c>
      <c r="CT277" t="s">
        <v>150</v>
      </c>
      <c r="CU277">
        <v>100.93</v>
      </c>
      <c r="CV277">
        <v>54</v>
      </c>
      <c r="CW277" s="46">
        <v>5375</v>
      </c>
      <c r="CX277" s="46">
        <f t="shared" si="31"/>
        <v>17.952772710061616</v>
      </c>
      <c r="CY277" s="46">
        <v>159.54</v>
      </c>
      <c r="CZ277" s="46">
        <f t="shared" si="32"/>
        <v>18.501944855598776</v>
      </c>
      <c r="DA277" s="46">
        <f t="shared" si="33"/>
        <v>65.388790484530574</v>
      </c>
      <c r="DB277" s="46">
        <v>1910041.88</v>
      </c>
      <c r="DC277" s="46">
        <f t="shared" si="34"/>
        <v>3.4571264344993278</v>
      </c>
      <c r="DD277" s="46">
        <v>100984.53</v>
      </c>
      <c r="DE277" s="995">
        <v>5375</v>
      </c>
      <c r="DF277" s="995">
        <v>17.952999999999999</v>
      </c>
      <c r="DG277" s="995">
        <v>159.5</v>
      </c>
      <c r="DH277" s="995">
        <v>18.501999999999999</v>
      </c>
      <c r="DI277" s="995">
        <v>138.428</v>
      </c>
      <c r="DJ277" s="995">
        <v>4043566</v>
      </c>
      <c r="DK277" s="995">
        <v>7.35</v>
      </c>
      <c r="DL277" s="995">
        <v>214703.7</v>
      </c>
      <c r="DM277" s="995">
        <v>5375</v>
      </c>
      <c r="DN277" s="995">
        <v>17.952999999999999</v>
      </c>
      <c r="DO277" s="995">
        <v>159.5</v>
      </c>
      <c r="DP277" s="995">
        <v>18.501999999999999</v>
      </c>
      <c r="DQ277" s="995">
        <v>138.428</v>
      </c>
      <c r="DR277" s="995">
        <v>4043566</v>
      </c>
      <c r="DS277" s="995">
        <v>7.35</v>
      </c>
      <c r="DT277" s="995">
        <v>214703.7</v>
      </c>
    </row>
    <row r="278" spans="1:124">
      <c r="A278" s="42" t="s">
        <v>94</v>
      </c>
      <c r="B278" s="42" t="s">
        <v>446</v>
      </c>
      <c r="C278" s="42" t="s">
        <v>470</v>
      </c>
      <c r="D278" s="42">
        <v>907405</v>
      </c>
      <c r="E278" s="42" t="s">
        <v>481</v>
      </c>
      <c r="F278" s="42" t="s">
        <v>149</v>
      </c>
      <c r="G278" s="42" t="s">
        <v>150</v>
      </c>
      <c r="H278" s="43" t="s">
        <v>150</v>
      </c>
      <c r="I278" s="44">
        <v>14</v>
      </c>
      <c r="J278" s="45">
        <v>199084.21635199999</v>
      </c>
      <c r="K278" s="46">
        <v>11293.24394</v>
      </c>
      <c r="L278" s="47">
        <v>210377.460292</v>
      </c>
      <c r="M278" s="48">
        <v>4338319</v>
      </c>
      <c r="N278" s="49">
        <v>2941048</v>
      </c>
      <c r="O278" s="49">
        <v>1383339</v>
      </c>
      <c r="P278" s="49">
        <v>13932</v>
      </c>
      <c r="Q278" s="50">
        <v>9972.3440919540208</v>
      </c>
      <c r="R278" s="51">
        <v>3870.7942304851499</v>
      </c>
      <c r="S278" s="49">
        <v>9590.3903852158091</v>
      </c>
      <c r="T278" s="49">
        <v>1961.0380743619501</v>
      </c>
      <c r="U278" s="49">
        <f>IFERROR(INDEX('Rentabilidad datos'!$N$2:$N$61,MATCH($C278,'Rentabilidad datos'!$C$2:$C$61,0)),"")</f>
        <v>15422.222690062908</v>
      </c>
      <c r="V278" s="50">
        <f>IFERROR(INDEX('Rentabilidad datos'!$O$2:$O$61,MATCH($C278,'Rentabilidad datos'!$C$2:$C$61,0)),"")</f>
        <v>1101.5873350044935</v>
      </c>
      <c r="W278" s="51">
        <f>IFERROR(INDEX('Rentabilidad datos'!$M$2:$M$61,MATCH($C278,'Rentabilidad datos'!$C$2:$C$61,0)),"")</f>
        <v>2767.0116391629381</v>
      </c>
      <c r="X278" s="52">
        <f>IFERROR(INDEX('Rentabilidad datos'!$P$2:$P$61,MATCH($C278,'Rentabilidad datos'!$C$2:$C$61,0)),"")</f>
        <v>0.39811445655419792</v>
      </c>
      <c r="Y278" s="43" t="s">
        <v>171</v>
      </c>
      <c r="Z278" s="53">
        <v>45.834482758620702</v>
      </c>
      <c r="AA278" s="43">
        <v>2</v>
      </c>
      <c r="AB278" s="54">
        <v>0.89688125746400849</v>
      </c>
      <c r="AC278" s="55">
        <v>0.10311874253599147</v>
      </c>
      <c r="AD278" s="752" t="e">
        <f>_xlfn.XLOOKUP(Table1[[#This Row],[Ruta]],#REF!,#REF!)</f>
        <v>#REF!</v>
      </c>
      <c r="AE278" s="752" t="e">
        <f>_xlfn.XLOOKUP(Table1[[#This Row],[Ruta]],#REF!,#REF!)</f>
        <v>#REF!</v>
      </c>
      <c r="AF278" s="752" t="e">
        <f>_xlfn.XLOOKUP(Table1[[#This Row],[Ruta]],#REF!,#REF!)</f>
        <v>#REF!</v>
      </c>
      <c r="AG278" s="752" t="e">
        <f>_xlfn.XLOOKUP(Table1[[#This Row],[Ruta]],#REF!,#REF!)</f>
        <v>#REF!</v>
      </c>
      <c r="AH278" s="52">
        <v>0.67792340766089354</v>
      </c>
      <c r="AI278" s="52">
        <v>0.31886521023465542</v>
      </c>
      <c r="AJ278" s="55">
        <v>3.2113821044510559E-3</v>
      </c>
      <c r="AK278" s="56">
        <v>19938</v>
      </c>
      <c r="AL278" s="44">
        <v>12757</v>
      </c>
      <c r="AM278" s="54">
        <v>0.639833483799779</v>
      </c>
      <c r="AN278" s="55">
        <v>0.77820466152725898</v>
      </c>
      <c r="AO278" s="56">
        <v>2758.84454153048</v>
      </c>
      <c r="AP278" s="48">
        <v>1379.42227076524</v>
      </c>
      <c r="AQ278" s="55">
        <v>0.70901907266351893</v>
      </c>
      <c r="AR278" s="51">
        <v>4337969.68</v>
      </c>
      <c r="AS278" s="49">
        <v>469067.334521938</v>
      </c>
      <c r="AT278" s="55">
        <v>0.10813061619230543</v>
      </c>
      <c r="AU278" s="51">
        <v>329614.88371811871</v>
      </c>
      <c r="AV278" s="52">
        <v>1.4994492983529397E-3</v>
      </c>
      <c r="AW278" s="44">
        <v>225</v>
      </c>
      <c r="AX278" s="51">
        <v>340.04622403386401</v>
      </c>
      <c r="AY278" s="49">
        <v>342.62655542326002</v>
      </c>
      <c r="AZ278" s="49">
        <v>2.580331389396008</v>
      </c>
      <c r="BA278" s="42" t="s">
        <v>150</v>
      </c>
      <c r="BB278" s="50">
        <v>11565.533458076312</v>
      </c>
      <c r="BC278" s="57">
        <v>341180.41717619501</v>
      </c>
      <c r="BD278" s="42" t="s">
        <v>150</v>
      </c>
      <c r="BE278" s="46">
        <v>45.834482758620702</v>
      </c>
      <c r="BF278" s="46">
        <v>55.840687053637701</v>
      </c>
      <c r="BG278" s="42" t="s">
        <v>152</v>
      </c>
      <c r="BH278" s="52">
        <v>0.639833483799779</v>
      </c>
      <c r="BI278" s="52">
        <v>0.639829102646158</v>
      </c>
      <c r="BJ278" s="42" t="s">
        <v>150</v>
      </c>
      <c r="BK278" s="46">
        <v>483.62634549885098</v>
      </c>
      <c r="BL278" s="46">
        <v>626.21699529020998</v>
      </c>
      <c r="BM278" s="42" t="s">
        <v>152</v>
      </c>
      <c r="BN278" s="48">
        <v>1</v>
      </c>
      <c r="BO278" s="42" t="s">
        <v>155</v>
      </c>
      <c r="BP278" s="42" t="s">
        <v>152</v>
      </c>
      <c r="BQ278" s="46">
        <v>3621.2401969704201</v>
      </c>
      <c r="BR278" s="46">
        <v>470</v>
      </c>
      <c r="BS278" s="46">
        <v>24990</v>
      </c>
      <c r="BT278" s="46">
        <v>7509</v>
      </c>
      <c r="BU278" s="46">
        <v>3.3280063923292049</v>
      </c>
      <c r="BV278" s="46">
        <v>15.976595744680852</v>
      </c>
      <c r="BW278" s="46">
        <v>4592</v>
      </c>
      <c r="BX278" s="46">
        <v>2170</v>
      </c>
      <c r="BY278" s="46">
        <v>6762</v>
      </c>
      <c r="BZ278" s="46">
        <v>0.9005193767479025</v>
      </c>
      <c r="CA278" s="46">
        <v>0.61153282727393798</v>
      </c>
      <c r="CB278" s="46">
        <v>0.28898654947396463</v>
      </c>
      <c r="CC278" s="46">
        <v>7.0049274204288192E-2</v>
      </c>
      <c r="CD278" s="46">
        <v>0</v>
      </c>
      <c r="CE278" s="46">
        <v>0</v>
      </c>
      <c r="CF278" s="46">
        <v>2.9431349047809301E-2</v>
      </c>
      <c r="CG278" s="46">
        <v>0</v>
      </c>
      <c r="CH278" s="46">
        <v>0</v>
      </c>
      <c r="CI278" s="46">
        <v>2.5210084033613449</v>
      </c>
      <c r="CJ278" s="46">
        <v>0.68027210884353739</v>
      </c>
      <c r="CK278">
        <v>371</v>
      </c>
      <c r="CL278">
        <v>1014.95</v>
      </c>
      <c r="CM278">
        <f t="shared" si="35"/>
        <v>643.95000000000005</v>
      </c>
      <c r="CN278">
        <v>13.89</v>
      </c>
      <c r="CO278">
        <v>9.4499999999999993</v>
      </c>
      <c r="CP278">
        <f t="shared" si="36"/>
        <v>-4.4400000000000013</v>
      </c>
      <c r="CQ278">
        <v>846.56</v>
      </c>
      <c r="CR278">
        <v>483.63</v>
      </c>
      <c r="CS278">
        <f t="shared" si="37"/>
        <v>362.92999999999995</v>
      </c>
      <c r="CT278" t="s">
        <v>150</v>
      </c>
      <c r="CU278">
        <v>146.93</v>
      </c>
      <c r="CV278">
        <v>284</v>
      </c>
      <c r="CW278" s="46">
        <v>6762</v>
      </c>
      <c r="CX278" s="46">
        <f t="shared" si="31"/>
        <v>81.476228525769073</v>
      </c>
      <c r="CY278" s="46">
        <v>643.95000000000005</v>
      </c>
      <c r="CZ278" s="46">
        <f t="shared" si="32"/>
        <v>90.051937674790253</v>
      </c>
      <c r="DA278" s="46">
        <f t="shared" si="33"/>
        <v>712.42173814386206</v>
      </c>
      <c r="DB278" s="46">
        <v>5808338.8099999996</v>
      </c>
      <c r="DC278" s="46">
        <f t="shared" si="34"/>
        <v>34.888153367799383</v>
      </c>
      <c r="DD278" s="46">
        <v>284441.37</v>
      </c>
      <c r="DE278" s="995">
        <v>6762</v>
      </c>
      <c r="DF278" s="995">
        <v>81.475999999999999</v>
      </c>
      <c r="DG278" s="995">
        <v>644</v>
      </c>
      <c r="DH278" s="995">
        <v>90.052000000000007</v>
      </c>
      <c r="DI278" s="995">
        <v>1149.7429999999999</v>
      </c>
      <c r="DJ278" s="995">
        <v>9373795</v>
      </c>
      <c r="DK278" s="995">
        <v>56.106999999999999</v>
      </c>
      <c r="DL278" s="995">
        <v>457439.6</v>
      </c>
      <c r="DM278" s="995">
        <v>6762</v>
      </c>
      <c r="DN278" s="995">
        <v>81.475999999999999</v>
      </c>
      <c r="DO278" s="995">
        <v>644</v>
      </c>
      <c r="DP278" s="995">
        <v>90.052000000000007</v>
      </c>
      <c r="DQ278" s="995">
        <v>1149.7429999999999</v>
      </c>
      <c r="DR278" s="995">
        <v>9373795</v>
      </c>
      <c r="DS278" s="995">
        <v>56.106999999999999</v>
      </c>
      <c r="DT278" s="995">
        <v>457439.6</v>
      </c>
    </row>
    <row r="279" spans="1:124">
      <c r="A279" s="42" t="s">
        <v>94</v>
      </c>
      <c r="B279" s="42" t="s">
        <v>446</v>
      </c>
      <c r="C279" s="42" t="s">
        <v>470</v>
      </c>
      <c r="D279" s="42">
        <v>907406</v>
      </c>
      <c r="E279" s="42" t="s">
        <v>482</v>
      </c>
      <c r="F279" s="42" t="s">
        <v>149</v>
      </c>
      <c r="G279" s="42" t="s">
        <v>150</v>
      </c>
      <c r="H279" s="43" t="s">
        <v>150</v>
      </c>
      <c r="I279" s="44">
        <v>14</v>
      </c>
      <c r="J279" s="45">
        <v>178698.39679999999</v>
      </c>
      <c r="K279" s="46">
        <v>9249.5547160000006</v>
      </c>
      <c r="L279" s="47">
        <v>187947.951516</v>
      </c>
      <c r="M279" s="48">
        <v>3432364</v>
      </c>
      <c r="N279" s="49">
        <v>2626785</v>
      </c>
      <c r="O279" s="49">
        <v>791123</v>
      </c>
      <c r="P279" s="49">
        <v>14456</v>
      </c>
      <c r="Q279" s="50">
        <v>7870.0033944954102</v>
      </c>
      <c r="R279" s="51">
        <v>3870.7942304851499</v>
      </c>
      <c r="S279" s="49">
        <v>9590.3903852158091</v>
      </c>
      <c r="T279" s="49">
        <v>1961.0380743619501</v>
      </c>
      <c r="U279" s="49">
        <f>IFERROR(INDEX('Rentabilidad datos'!$N$2:$N$61,MATCH($C279,'Rentabilidad datos'!$C$2:$C$61,0)),"")</f>
        <v>15422.222690062908</v>
      </c>
      <c r="V279" s="50">
        <f>IFERROR(INDEX('Rentabilidad datos'!$O$2:$O$61,MATCH($C279,'Rentabilidad datos'!$C$2:$C$61,0)),"")</f>
        <v>1101.5873350044935</v>
      </c>
      <c r="W279" s="51">
        <f>IFERROR(INDEX('Rentabilidad datos'!$M$2:$M$61,MATCH($C279,'Rentabilidad datos'!$C$2:$C$61,0)),"")</f>
        <v>2767.0116391629381</v>
      </c>
      <c r="X279" s="52">
        <f>IFERROR(INDEX('Rentabilidad datos'!$P$2:$P$61,MATCH($C279,'Rentabilidad datos'!$C$2:$C$61,0)),"")</f>
        <v>0.39811445655419792</v>
      </c>
      <c r="Y279" s="43" t="s">
        <v>171</v>
      </c>
      <c r="Z279" s="53">
        <v>57.534403669724803</v>
      </c>
      <c r="AA279" s="43">
        <v>2</v>
      </c>
      <c r="AB279" s="54">
        <v>0.8893768260009719</v>
      </c>
      <c r="AC279" s="55">
        <v>0.11062317399902807</v>
      </c>
      <c r="AD279" s="752" t="e">
        <f>_xlfn.XLOOKUP(Table1[[#This Row],[Ruta]],#REF!,#REF!)</f>
        <v>#REF!</v>
      </c>
      <c r="AE279" s="752" t="e">
        <f>_xlfn.XLOOKUP(Table1[[#This Row],[Ruta]],#REF!,#REF!)</f>
        <v>#REF!</v>
      </c>
      <c r="AF279" s="752" t="e">
        <f>_xlfn.XLOOKUP(Table1[[#This Row],[Ruta]],#REF!,#REF!)</f>
        <v>#REF!</v>
      </c>
      <c r="AG279" s="752" t="e">
        <f>_xlfn.XLOOKUP(Table1[[#This Row],[Ruta]],#REF!,#REF!)</f>
        <v>#REF!</v>
      </c>
      <c r="AH279" s="52">
        <v>0.76529907667135533</v>
      </c>
      <c r="AI279" s="52">
        <v>0.23048924880927546</v>
      </c>
      <c r="AJ279" s="55">
        <v>4.2116745193691582E-3</v>
      </c>
      <c r="AK279" s="56">
        <v>25085</v>
      </c>
      <c r="AL279" s="44">
        <v>15712</v>
      </c>
      <c r="AM279" s="54">
        <v>0.626350408610724</v>
      </c>
      <c r="AN279" s="55">
        <v>0.77820466152725898</v>
      </c>
      <c r="AO279" s="56">
        <v>3809.2639344112799</v>
      </c>
      <c r="AP279" s="48">
        <v>1904.63196720564</v>
      </c>
      <c r="AQ279" s="55">
        <v>0.70227753506899104</v>
      </c>
      <c r="AR279" s="51">
        <v>3431321.48</v>
      </c>
      <c r="AS279" s="49">
        <v>415949.88420107949</v>
      </c>
      <c r="AT279" s="55">
        <v>0.12122148467449324</v>
      </c>
      <c r="AU279" s="51">
        <v>292289.10781697487</v>
      </c>
      <c r="AV279" s="52">
        <v>1.3296508115427622E-3</v>
      </c>
      <c r="AW279" s="44">
        <v>250</v>
      </c>
      <c r="AX279" s="51">
        <v>218.38858706721001</v>
      </c>
      <c r="AY279" s="49">
        <v>342.62655542326002</v>
      </c>
      <c r="AZ279" s="49">
        <v>124.23796835605</v>
      </c>
      <c r="BA279" s="42" t="s">
        <v>150</v>
      </c>
      <c r="BB279" s="50">
        <v>685847.30985225295</v>
      </c>
      <c r="BC279" s="57">
        <v>978136.41766922781</v>
      </c>
      <c r="BD279" s="42" t="s">
        <v>150</v>
      </c>
      <c r="BE279" s="46">
        <v>57.534403669724803</v>
      </c>
      <c r="BF279" s="46">
        <v>55.840687053637701</v>
      </c>
      <c r="BG279" s="42" t="s">
        <v>150</v>
      </c>
      <c r="BH279" s="52">
        <v>0.626350408610724</v>
      </c>
      <c r="BI279" s="52">
        <v>0.639829102646158</v>
      </c>
      <c r="BJ279" s="42" t="s">
        <v>152</v>
      </c>
      <c r="BK279" s="46">
        <v>431.07328329357802</v>
      </c>
      <c r="BL279" s="46">
        <v>626.21699529020998</v>
      </c>
      <c r="BM279" s="42" t="s">
        <v>152</v>
      </c>
      <c r="BN279" s="48">
        <v>1</v>
      </c>
      <c r="BO279" s="42" t="s">
        <v>155</v>
      </c>
      <c r="BP279" s="42" t="s">
        <v>152</v>
      </c>
      <c r="BQ279" s="46">
        <v>0</v>
      </c>
      <c r="BR279" s="46">
        <v>1549</v>
      </c>
      <c r="BS279" s="46">
        <v>147496</v>
      </c>
      <c r="BT279" s="46">
        <v>39500</v>
      </c>
      <c r="BU279" s="46">
        <v>3.7340759493670888</v>
      </c>
      <c r="BV279" s="46">
        <v>25.500322788896064</v>
      </c>
      <c r="BW279" s="46">
        <v>8</v>
      </c>
      <c r="BX279" s="46">
        <v>2125</v>
      </c>
      <c r="BY279" s="46">
        <v>2133</v>
      </c>
      <c r="BZ279" s="46">
        <v>5.3999999999999999E-2</v>
      </c>
      <c r="CA279" s="46">
        <v>2.0253164556962029E-4</v>
      </c>
      <c r="CB279" s="46">
        <v>5.3797468354430382E-2</v>
      </c>
      <c r="CC279" s="46">
        <v>0.10632911392405062</v>
      </c>
      <c r="CD279" s="46">
        <v>0.14260759493670891</v>
      </c>
      <c r="CE279" s="46">
        <v>3.6177215189873407E-2</v>
      </c>
      <c r="CF279" s="46">
        <v>0.6608860759493671</v>
      </c>
      <c r="CG279" s="46">
        <v>0</v>
      </c>
      <c r="CH279" s="46">
        <v>0</v>
      </c>
      <c r="CI279" s="46">
        <v>4.0543472365352278</v>
      </c>
      <c r="CJ279" s="46">
        <v>0.1830558116830287</v>
      </c>
      <c r="CK279">
        <v>431</v>
      </c>
      <c r="CL279">
        <v>466.2</v>
      </c>
      <c r="CM279">
        <f t="shared" si="35"/>
        <v>35.199999999999989</v>
      </c>
      <c r="CN279">
        <v>13.28</v>
      </c>
      <c r="CO279">
        <v>9.4499999999999993</v>
      </c>
      <c r="CP279">
        <f t="shared" si="36"/>
        <v>-3.83</v>
      </c>
      <c r="CQ279">
        <v>564.37</v>
      </c>
      <c r="CR279">
        <v>431.07</v>
      </c>
      <c r="CS279">
        <f t="shared" si="37"/>
        <v>133.30000000000001</v>
      </c>
      <c r="CT279" t="s">
        <v>150</v>
      </c>
      <c r="CU279">
        <v>147.37</v>
      </c>
      <c r="CV279">
        <v>47</v>
      </c>
      <c r="CW279" s="46">
        <v>2133</v>
      </c>
      <c r="CX279" s="46">
        <f t="shared" si="31"/>
        <v>5.3108860759493677</v>
      </c>
      <c r="CY279" s="46">
        <v>35.200000000000003</v>
      </c>
      <c r="CZ279" s="46">
        <f t="shared" si="32"/>
        <v>5.4</v>
      </c>
      <c r="DA279" s="46">
        <f t="shared" si="33"/>
        <v>71.57458846799814</v>
      </c>
      <c r="DB279" s="46">
        <v>2829715.67</v>
      </c>
      <c r="DC279" s="46">
        <f t="shared" si="34"/>
        <v>3.6630311722212112</v>
      </c>
      <c r="DD279" s="46">
        <v>144818.67000000001</v>
      </c>
      <c r="DE279" s="995">
        <v>2133</v>
      </c>
      <c r="DF279" s="995">
        <v>5.3109999999999999</v>
      </c>
      <c r="DG279" s="995">
        <v>35.200000000000003</v>
      </c>
      <c r="DH279" s="995">
        <v>5.4</v>
      </c>
      <c r="DI279" s="995">
        <v>134.68600000000001</v>
      </c>
      <c r="DJ279" s="995">
        <v>5324823</v>
      </c>
      <c r="DK279" s="995">
        <v>7</v>
      </c>
      <c r="DL279" s="995">
        <v>276755.90000000002</v>
      </c>
      <c r="DM279" s="995">
        <v>2133</v>
      </c>
      <c r="DN279" s="995">
        <v>5.3109999999999999</v>
      </c>
      <c r="DO279" s="995">
        <v>35.200000000000003</v>
      </c>
      <c r="DP279" s="995">
        <v>5.4</v>
      </c>
      <c r="DQ279" s="995">
        <v>134.68600000000001</v>
      </c>
      <c r="DR279" s="995">
        <v>5324823</v>
      </c>
      <c r="DS279" s="995">
        <v>7</v>
      </c>
      <c r="DT279" s="995">
        <v>276755.90000000002</v>
      </c>
    </row>
    <row r="280" spans="1:124">
      <c r="A280" s="42" t="s">
        <v>94</v>
      </c>
      <c r="B280" s="42" t="s">
        <v>446</v>
      </c>
      <c r="C280" s="42" t="s">
        <v>470</v>
      </c>
      <c r="D280" s="42">
        <v>907407</v>
      </c>
      <c r="E280" s="42" t="s">
        <v>483</v>
      </c>
      <c r="F280" s="42" t="s">
        <v>149</v>
      </c>
      <c r="G280" s="42" t="s">
        <v>150</v>
      </c>
      <c r="H280" s="43" t="s">
        <v>150</v>
      </c>
      <c r="I280" s="44">
        <v>14</v>
      </c>
      <c r="J280" s="45">
        <v>236505.20767999999</v>
      </c>
      <c r="K280" s="46">
        <v>11368.06207</v>
      </c>
      <c r="L280" s="47">
        <v>247873.26975000001</v>
      </c>
      <c r="M280" s="48">
        <v>4639239</v>
      </c>
      <c r="N280" s="49">
        <v>3474478</v>
      </c>
      <c r="O280" s="49">
        <v>1141926</v>
      </c>
      <c r="P280" s="49">
        <v>22835</v>
      </c>
      <c r="Q280" s="50">
        <v>10606.5229748284</v>
      </c>
      <c r="R280" s="51">
        <v>3870.7942304851499</v>
      </c>
      <c r="S280" s="49">
        <v>9590.3903852158091</v>
      </c>
      <c r="T280" s="49">
        <v>1961.0380743619501</v>
      </c>
      <c r="U280" s="49">
        <f>IFERROR(INDEX('Rentabilidad datos'!$N$2:$N$61,MATCH($C280,'Rentabilidad datos'!$C$2:$C$61,0)),"")</f>
        <v>15422.222690062908</v>
      </c>
      <c r="V280" s="50">
        <f>IFERROR(INDEX('Rentabilidad datos'!$O$2:$O$61,MATCH($C280,'Rentabilidad datos'!$C$2:$C$61,0)),"")</f>
        <v>1101.5873350044935</v>
      </c>
      <c r="W280" s="51">
        <f>IFERROR(INDEX('Rentabilidad datos'!$M$2:$M$61,MATCH($C280,'Rentabilidad datos'!$C$2:$C$61,0)),"")</f>
        <v>2767.0116391629381</v>
      </c>
      <c r="X280" s="52">
        <f>IFERROR(INDEX('Rentabilidad datos'!$P$2:$P$61,MATCH($C280,'Rentabilidad datos'!$C$2:$C$61,0)),"")</f>
        <v>0.39811445655419792</v>
      </c>
      <c r="Y280" s="43" t="s">
        <v>171</v>
      </c>
      <c r="Z280" s="53">
        <v>43.169336384439397</v>
      </c>
      <c r="AA280" s="43">
        <v>2</v>
      </c>
      <c r="AB280" s="54">
        <v>0.91362505790281556</v>
      </c>
      <c r="AC280" s="55">
        <v>8.6374942097184479E-2</v>
      </c>
      <c r="AD280" s="752" t="e">
        <f>_xlfn.XLOOKUP(Table1[[#This Row],[Ruta]],#REF!,#REF!)</f>
        <v>#REF!</v>
      </c>
      <c r="AE280" s="752" t="e">
        <f>_xlfn.XLOOKUP(Table1[[#This Row],[Ruta]],#REF!,#REF!)</f>
        <v>#REF!</v>
      </c>
      <c r="AF280" s="752" t="e">
        <f>_xlfn.XLOOKUP(Table1[[#This Row],[Ruta]],#REF!,#REF!)</f>
        <v>#REF!</v>
      </c>
      <c r="AG280" s="752" t="e">
        <f>_xlfn.XLOOKUP(Table1[[#This Row],[Ruta]],#REF!,#REF!)</f>
        <v>#REF!</v>
      </c>
      <c r="AH280" s="52">
        <v>0.74893274521963626</v>
      </c>
      <c r="AI280" s="52">
        <v>0.24614511129950409</v>
      </c>
      <c r="AJ280" s="55">
        <v>4.922143480859684E-3</v>
      </c>
      <c r="AK280" s="56">
        <v>18865</v>
      </c>
      <c r="AL280" s="44">
        <v>14449</v>
      </c>
      <c r="AM280" s="54">
        <v>0.76591571693612504</v>
      </c>
      <c r="AN280" s="55">
        <v>0.77820466152725898</v>
      </c>
      <c r="AO280" s="56">
        <v>231.83093971173199</v>
      </c>
      <c r="AP280" s="48">
        <v>115.91546985586599</v>
      </c>
      <c r="AQ280" s="55">
        <v>0.77206018923169184</v>
      </c>
      <c r="AR280" s="51">
        <v>4635050.54</v>
      </c>
      <c r="AS280" s="49">
        <v>37184.169226229147</v>
      </c>
      <c r="AT280" s="55">
        <v>8.0223870064271511E-3</v>
      </c>
      <c r="AU280" s="51">
        <v>26129.416213025896</v>
      </c>
      <c r="AV280" s="52">
        <v>1.1886518704810515E-4</v>
      </c>
      <c r="AW280" s="44">
        <v>455</v>
      </c>
      <c r="AX280" s="51">
        <v>320.78694304104101</v>
      </c>
      <c r="AY280" s="49">
        <v>342.62655542326002</v>
      </c>
      <c r="AZ280" s="49">
        <v>21.839612382219002</v>
      </c>
      <c r="BA280" s="42" t="s">
        <v>150</v>
      </c>
      <c r="BB280" s="50">
        <v>110872.62894699654</v>
      </c>
      <c r="BC280" s="57">
        <v>137002.04516002245</v>
      </c>
      <c r="BD280" s="42" t="s">
        <v>150</v>
      </c>
      <c r="BE280" s="46">
        <v>43.169336384439397</v>
      </c>
      <c r="BF280" s="46">
        <v>55.840687053637701</v>
      </c>
      <c r="BG280" s="42" t="s">
        <v>152</v>
      </c>
      <c r="BH280" s="52">
        <v>0.76591571693612504</v>
      </c>
      <c r="BI280" s="52">
        <v>0.639829102646158</v>
      </c>
      <c r="BJ280" s="42" t="s">
        <v>150</v>
      </c>
      <c r="BK280" s="46">
        <v>567.21572025171599</v>
      </c>
      <c r="BL280" s="46">
        <v>626.21699529020998</v>
      </c>
      <c r="BM280" s="42" t="s">
        <v>152</v>
      </c>
      <c r="BN280" s="48">
        <v>1</v>
      </c>
      <c r="BO280" s="42" t="s">
        <v>155</v>
      </c>
      <c r="BP280" s="42" t="s">
        <v>152</v>
      </c>
      <c r="BQ280" s="46">
        <v>2190.1307336831001</v>
      </c>
      <c r="BR280" s="46">
        <v>837</v>
      </c>
      <c r="BS280" s="46">
        <v>53006</v>
      </c>
      <c r="BT280" s="46">
        <v>14823</v>
      </c>
      <c r="BU280" s="46">
        <v>3.5759292990622682</v>
      </c>
      <c r="BV280" s="46">
        <v>17.70967741935484</v>
      </c>
      <c r="BW280" s="46">
        <v>0</v>
      </c>
      <c r="BX280" s="46">
        <v>3729</v>
      </c>
      <c r="BY280" s="46">
        <v>3729</v>
      </c>
      <c r="BZ280" s="46">
        <v>0.25156850839910949</v>
      </c>
      <c r="CA280" s="46">
        <v>0</v>
      </c>
      <c r="CB280" s="46">
        <v>0.25156850839910949</v>
      </c>
      <c r="CC280" s="46">
        <v>0.19827295419280849</v>
      </c>
      <c r="CD280" s="46">
        <v>0</v>
      </c>
      <c r="CE280" s="46">
        <v>1.9968967145652033E-2</v>
      </c>
      <c r="CF280" s="46">
        <v>0.53018957026242997</v>
      </c>
      <c r="CG280" s="46">
        <v>0</v>
      </c>
      <c r="CH280" s="46">
        <v>0</v>
      </c>
      <c r="CI280" s="46">
        <v>3.358110402595933</v>
      </c>
      <c r="CJ280" s="46">
        <v>0.18865788778628831</v>
      </c>
      <c r="CK280">
        <v>321</v>
      </c>
      <c r="CL280">
        <v>381.97</v>
      </c>
      <c r="CM280">
        <f t="shared" si="35"/>
        <v>60.970000000000027</v>
      </c>
      <c r="CN280">
        <v>11.29</v>
      </c>
      <c r="CO280">
        <v>9.4499999999999993</v>
      </c>
      <c r="CP280">
        <f t="shared" si="36"/>
        <v>-1.8399999999999999</v>
      </c>
      <c r="CQ280">
        <v>846.56</v>
      </c>
      <c r="CR280">
        <v>567.22</v>
      </c>
      <c r="CS280">
        <f t="shared" si="37"/>
        <v>279.33999999999992</v>
      </c>
      <c r="CT280" t="s">
        <v>150</v>
      </c>
      <c r="CU280">
        <v>120.75</v>
      </c>
      <c r="CV280">
        <v>88</v>
      </c>
      <c r="CW280" s="46">
        <v>3729</v>
      </c>
      <c r="CX280" s="46">
        <f t="shared" si="31"/>
        <v>24.745530594346622</v>
      </c>
      <c r="CY280" s="46">
        <v>60.97</v>
      </c>
      <c r="CZ280" s="46">
        <f t="shared" si="32"/>
        <v>25.156850839910948</v>
      </c>
      <c r="DA280" s="46">
        <f t="shared" si="33"/>
        <v>44.68320280140312</v>
      </c>
      <c r="DB280" s="46">
        <v>665063.44999999995</v>
      </c>
      <c r="DC280" s="46">
        <f t="shared" si="34"/>
        <v>2.276601605620006</v>
      </c>
      <c r="DD280" s="46">
        <v>33884.870000000003</v>
      </c>
      <c r="DE280" s="995">
        <v>3729</v>
      </c>
      <c r="DF280" s="995">
        <v>24.745999999999999</v>
      </c>
      <c r="DG280" s="995">
        <v>61</v>
      </c>
      <c r="DH280" s="995">
        <v>25.157</v>
      </c>
      <c r="DI280" s="995">
        <v>298.24099999999999</v>
      </c>
      <c r="DJ280" s="995">
        <v>4439009</v>
      </c>
      <c r="DK280" s="995">
        <v>15.473000000000001</v>
      </c>
      <c r="DL280" s="995">
        <v>230300.6</v>
      </c>
      <c r="DM280" s="995">
        <v>3729</v>
      </c>
      <c r="DN280" s="995">
        <v>24.745999999999999</v>
      </c>
      <c r="DO280" s="995">
        <v>61</v>
      </c>
      <c r="DP280" s="995">
        <v>25.157</v>
      </c>
      <c r="DQ280" s="995">
        <v>298.24099999999999</v>
      </c>
      <c r="DR280" s="995">
        <v>4439009</v>
      </c>
      <c r="DS280" s="995">
        <v>15.473000000000001</v>
      </c>
      <c r="DT280" s="995">
        <v>230300.6</v>
      </c>
    </row>
    <row r="281" spans="1:124">
      <c r="A281" s="42" t="s">
        <v>94</v>
      </c>
      <c r="B281" s="42" t="s">
        <v>446</v>
      </c>
      <c r="C281" s="42" t="s">
        <v>470</v>
      </c>
      <c r="D281" s="42">
        <v>907408</v>
      </c>
      <c r="E281" s="42" t="s">
        <v>484</v>
      </c>
      <c r="F281" s="42" t="s">
        <v>149</v>
      </c>
      <c r="G281" s="42" t="s">
        <v>150</v>
      </c>
      <c r="H281" s="43" t="s">
        <v>150</v>
      </c>
      <c r="I281" s="44">
        <v>14</v>
      </c>
      <c r="J281" s="45">
        <v>176982.98800000001</v>
      </c>
      <c r="K281" s="46">
        <v>19143.360275999999</v>
      </c>
      <c r="L281" s="47">
        <v>196126.348276</v>
      </c>
      <c r="M281" s="48">
        <v>4381477</v>
      </c>
      <c r="N281" s="49">
        <v>2595522</v>
      </c>
      <c r="O281" s="49">
        <v>1747682</v>
      </c>
      <c r="P281" s="49">
        <v>38273</v>
      </c>
      <c r="Q281" s="50">
        <v>9760.0063146067405</v>
      </c>
      <c r="R281" s="51">
        <v>3870.7942304851499</v>
      </c>
      <c r="S281" s="49">
        <v>9590.3903852158091</v>
      </c>
      <c r="T281" s="49">
        <v>1961.0380743619501</v>
      </c>
      <c r="U281" s="49">
        <f>IFERROR(INDEX('Rentabilidad datos'!$N$2:$N$61,MATCH($C281,'Rentabilidad datos'!$C$2:$C$61,0)),"")</f>
        <v>15422.222690062908</v>
      </c>
      <c r="V281" s="50">
        <f>IFERROR(INDEX('Rentabilidad datos'!$O$2:$O$61,MATCH($C281,'Rentabilidad datos'!$C$2:$C$61,0)),"")</f>
        <v>1101.5873350044935</v>
      </c>
      <c r="W281" s="51">
        <f>IFERROR(INDEX('Rentabilidad datos'!$M$2:$M$61,MATCH($C281,'Rentabilidad datos'!$C$2:$C$61,0)),"")</f>
        <v>2767.0116391629381</v>
      </c>
      <c r="X281" s="52">
        <f>IFERROR(INDEX('Rentabilidad datos'!$P$2:$P$61,MATCH($C281,'Rentabilidad datos'!$C$2:$C$61,0)),"")</f>
        <v>0.39811445655419792</v>
      </c>
      <c r="Y281" s="43" t="s">
        <v>171</v>
      </c>
      <c r="Z281" s="53">
        <v>31.7775280898876</v>
      </c>
      <c r="AA281" s="43">
        <v>2</v>
      </c>
      <c r="AB281" s="54">
        <v>0.98978312564461712</v>
      </c>
      <c r="AC281" s="55">
        <v>1.0216874355382899E-2</v>
      </c>
      <c r="AD281" s="752" t="e">
        <f>_xlfn.XLOOKUP(Table1[[#This Row],[Ruta]],#REF!,#REF!)</f>
        <v>#REF!</v>
      </c>
      <c r="AE281" s="752" t="e">
        <f>_xlfn.XLOOKUP(Table1[[#This Row],[Ruta]],#REF!,#REF!)</f>
        <v>#REF!</v>
      </c>
      <c r="AF281" s="752" t="e">
        <f>_xlfn.XLOOKUP(Table1[[#This Row],[Ruta]],#REF!,#REF!)</f>
        <v>#REF!</v>
      </c>
      <c r="AG281" s="752" t="e">
        <f>_xlfn.XLOOKUP(Table1[[#This Row],[Ruta]],#REF!,#REF!)</f>
        <v>#REF!</v>
      </c>
      <c r="AH281" s="52">
        <v>0.59238517057147622</v>
      </c>
      <c r="AI281" s="52">
        <v>0.39887964720572539</v>
      </c>
      <c r="AJ281" s="55">
        <v>8.735182222798385E-3</v>
      </c>
      <c r="AK281" s="56">
        <v>14141</v>
      </c>
      <c r="AL281" s="44">
        <v>12182</v>
      </c>
      <c r="AM281" s="54">
        <v>0.86146665723781901</v>
      </c>
      <c r="AN281" s="55">
        <v>0.77820466152725898</v>
      </c>
      <c r="AO281" s="56">
        <v>0</v>
      </c>
      <c r="AP281" s="48">
        <v>0</v>
      </c>
      <c r="AQ281" s="55">
        <v>0.86146665723781912</v>
      </c>
      <c r="AR281" s="51">
        <v>4343202.8099999996</v>
      </c>
      <c r="AS281" s="49">
        <v>0</v>
      </c>
      <c r="AT281" s="55">
        <v>0</v>
      </c>
      <c r="AU281" s="51">
        <v>0</v>
      </c>
      <c r="AV281" s="52">
        <v>0</v>
      </c>
      <c r="AW281" s="44">
        <v>490</v>
      </c>
      <c r="AX281" s="51">
        <v>356.52625266787101</v>
      </c>
      <c r="AY281" s="49">
        <v>342.62655542326002</v>
      </c>
      <c r="AZ281" s="49">
        <v>0</v>
      </c>
      <c r="BA281" s="42" t="s">
        <v>152</v>
      </c>
      <c r="BB281" s="50">
        <v>0</v>
      </c>
      <c r="BC281" s="57">
        <v>0</v>
      </c>
      <c r="BD281" s="42" t="s">
        <v>150</v>
      </c>
      <c r="BE281" s="46">
        <v>31.7775280898876</v>
      </c>
      <c r="BF281" s="46">
        <v>55.840687053637701</v>
      </c>
      <c r="BG281" s="42" t="s">
        <v>152</v>
      </c>
      <c r="BH281" s="52">
        <v>0.86146665723781901</v>
      </c>
      <c r="BI281" s="52">
        <v>0.639829102646158</v>
      </c>
      <c r="BJ281" s="42" t="s">
        <v>150</v>
      </c>
      <c r="BK281" s="46">
        <v>440.73336691236</v>
      </c>
      <c r="BL281" s="46">
        <v>626.21699529020998</v>
      </c>
      <c r="BM281" s="42" t="s">
        <v>152</v>
      </c>
      <c r="BN281" s="48">
        <v>1</v>
      </c>
      <c r="BO281" s="42" t="s">
        <v>155</v>
      </c>
      <c r="BP281" s="42" t="s">
        <v>152</v>
      </c>
      <c r="BQ281" s="46">
        <v>4446.8044567643601</v>
      </c>
      <c r="BR281" s="46">
        <v>2094</v>
      </c>
      <c r="BS281" s="46">
        <v>129753</v>
      </c>
      <c r="BT281" s="46">
        <v>31696</v>
      </c>
      <c r="BU281" s="46">
        <v>4.0936711256940939</v>
      </c>
      <c r="BV281" s="46">
        <v>15.136580706781279</v>
      </c>
      <c r="BW281" s="46">
        <v>0</v>
      </c>
      <c r="BX281" s="46">
        <v>4185</v>
      </c>
      <c r="BY281" s="46">
        <v>4185</v>
      </c>
      <c r="BZ281" s="46">
        <v>0.13203558808682483</v>
      </c>
      <c r="CA281" s="46">
        <v>0</v>
      </c>
      <c r="CB281" s="46">
        <v>0.13203558808682481</v>
      </c>
      <c r="CC281" s="46">
        <v>0.22453937405350829</v>
      </c>
      <c r="CD281" s="46">
        <v>5.0511105502271579E-2</v>
      </c>
      <c r="CE281" s="46">
        <v>0</v>
      </c>
      <c r="CF281" s="46">
        <v>0.59288238263503279</v>
      </c>
      <c r="CG281" s="46">
        <v>0</v>
      </c>
      <c r="CH281" s="46">
        <v>3.154972236244321E-5</v>
      </c>
      <c r="CI281" s="46">
        <v>6.2965788844959274</v>
      </c>
      <c r="CJ281" s="46">
        <v>0.22350157607145879</v>
      </c>
      <c r="CK281">
        <v>271</v>
      </c>
      <c r="CL281">
        <v>272.70999999999998</v>
      </c>
      <c r="CM281">
        <f t="shared" si="35"/>
        <v>1.7099999999999795</v>
      </c>
      <c r="CN281">
        <v>9.6</v>
      </c>
      <c r="CO281">
        <v>9.4499999999999993</v>
      </c>
      <c r="CP281">
        <f t="shared" si="36"/>
        <v>-0.15000000000000036</v>
      </c>
      <c r="CQ281">
        <v>846.56</v>
      </c>
      <c r="CR281">
        <v>440.73</v>
      </c>
      <c r="CS281">
        <f t="shared" si="37"/>
        <v>405.82999999999993</v>
      </c>
      <c r="CT281" t="s">
        <v>150</v>
      </c>
      <c r="CU281">
        <v>101.6</v>
      </c>
      <c r="CV281">
        <v>22</v>
      </c>
      <c r="CW281" s="46">
        <v>4185</v>
      </c>
      <c r="CX281" s="46">
        <f t="shared" si="31"/>
        <v>13.198163806158506</v>
      </c>
      <c r="CY281" s="46">
        <v>1.71</v>
      </c>
      <c r="CZ281" s="46">
        <f t="shared" si="32"/>
        <v>13.203558808682484</v>
      </c>
      <c r="DA281" s="46">
        <f t="shared" si="33"/>
        <v>0.44111451584357358</v>
      </c>
      <c r="DB281" s="46">
        <v>13982.32</v>
      </c>
      <c r="DC281" s="46">
        <f t="shared" si="34"/>
        <v>1.7641337497251382E-2</v>
      </c>
      <c r="DD281" s="46">
        <v>559.19000000000005</v>
      </c>
      <c r="DE281" s="995">
        <v>4185</v>
      </c>
      <c r="DF281" s="995">
        <v>13.2</v>
      </c>
      <c r="DG281" s="995">
        <v>1.2</v>
      </c>
      <c r="DH281" s="995">
        <v>13.204000000000001</v>
      </c>
      <c r="DI281" s="995">
        <v>88.587999999999994</v>
      </c>
      <c r="DJ281" s="995">
        <v>2808000</v>
      </c>
      <c r="DK281" s="995">
        <v>3.9249999999999998</v>
      </c>
      <c r="DL281" s="995">
        <v>124424.8</v>
      </c>
      <c r="DM281" s="995">
        <v>4185</v>
      </c>
      <c r="DN281" s="995">
        <v>13.2</v>
      </c>
      <c r="DO281" s="995">
        <v>1.2</v>
      </c>
      <c r="DP281" s="995">
        <v>13.204000000000001</v>
      </c>
      <c r="DQ281" s="995">
        <v>88.587000000000003</v>
      </c>
      <c r="DR281" s="995">
        <v>2807971</v>
      </c>
      <c r="DS281" s="995">
        <v>3.9249999999999998</v>
      </c>
      <c r="DT281" s="995">
        <v>124423.3</v>
      </c>
    </row>
    <row r="282" spans="1:124">
      <c r="A282" s="42" t="s">
        <v>94</v>
      </c>
      <c r="B282" s="42" t="s">
        <v>446</v>
      </c>
      <c r="C282" s="42" t="s">
        <v>485</v>
      </c>
      <c r="D282" s="42">
        <v>908400</v>
      </c>
      <c r="E282" s="42" t="s">
        <v>486</v>
      </c>
      <c r="F282" s="42" t="s">
        <v>149</v>
      </c>
      <c r="G282" s="42" t="s">
        <v>150</v>
      </c>
      <c r="H282" s="43" t="s">
        <v>150</v>
      </c>
      <c r="I282" s="44">
        <v>1</v>
      </c>
      <c r="J282" s="45">
        <v>171061.83360000001</v>
      </c>
      <c r="K282" s="46">
        <v>5878.7678089999999</v>
      </c>
      <c r="L282" s="47">
        <v>176940.601409</v>
      </c>
      <c r="M282" s="48">
        <v>2994605</v>
      </c>
      <c r="N282" s="49">
        <v>2409101</v>
      </c>
      <c r="O282" s="49">
        <v>585504</v>
      </c>
      <c r="P282" s="49">
        <v>0</v>
      </c>
      <c r="Q282" s="50">
        <v>6790.4785714285699</v>
      </c>
      <c r="R282" s="51">
        <v>237.59491447729599</v>
      </c>
      <c r="S282" s="49">
        <v>685.02788465827302</v>
      </c>
      <c r="T282" s="49">
        <v>140.07414816871099</v>
      </c>
      <c r="U282" s="49">
        <f>IFERROR(INDEX('Rentabilidad datos'!$N$2:$N$61,MATCH($C282,'Rentabilidad datos'!$C$2:$C$61,0)),"")</f>
        <v>1062.6969473042786</v>
      </c>
      <c r="V282" s="50">
        <f>IFERROR(INDEX('Rentabilidad datos'!$O$2:$O$61,MATCH($C282,'Rentabilidad datos'!$C$2:$C$61,0)),"")</f>
        <v>1062.6969473042786</v>
      </c>
      <c r="W282" s="51">
        <f>IFERROR(INDEX('Rentabilidad datos'!$M$2:$M$61,MATCH($C282,'Rentabilidad datos'!$C$2:$C$61,0)),"")</f>
        <v>1993.1247910307675</v>
      </c>
      <c r="X282" s="52">
        <f>IFERROR(INDEX('Rentabilidad datos'!$P$2:$P$61,MATCH($C282,'Rentabilidad datos'!$C$2:$C$61,0)),"")</f>
        <v>0.5331813402183877</v>
      </c>
      <c r="Y282" s="43" t="s">
        <v>160</v>
      </c>
      <c r="Z282" s="53">
        <v>35.710610932475902</v>
      </c>
      <c r="AA282" s="43">
        <v>1</v>
      </c>
      <c r="AB282" s="54">
        <v>1</v>
      </c>
      <c r="AC282" s="55">
        <v>0</v>
      </c>
      <c r="AD282" s="752" t="e">
        <f>_xlfn.XLOOKUP(Table1[[#This Row],[Ruta]],#REF!,#REF!)</f>
        <v>#REF!</v>
      </c>
      <c r="AE282" s="752" t="e">
        <f>_xlfn.XLOOKUP(Table1[[#This Row],[Ruta]],#REF!,#REF!)</f>
        <v>#REF!</v>
      </c>
      <c r="AF282" s="752" t="e">
        <f>_xlfn.XLOOKUP(Table1[[#This Row],[Ruta]],#REF!,#REF!)</f>
        <v>#REF!</v>
      </c>
      <c r="AG282" s="752" t="e">
        <f>_xlfn.XLOOKUP(Table1[[#This Row],[Ruta]],#REF!,#REF!)</f>
        <v>#REF!</v>
      </c>
      <c r="AH282" s="52">
        <v>0.80448039056903997</v>
      </c>
      <c r="AI282" s="52">
        <v>0.19551960943096</v>
      </c>
      <c r="AJ282" s="55">
        <v>0</v>
      </c>
      <c r="AK282" s="56">
        <v>11106</v>
      </c>
      <c r="AL282" s="44">
        <v>8365</v>
      </c>
      <c r="AM282" s="54">
        <v>0.69241851251575703</v>
      </c>
      <c r="AN282" s="55">
        <v>0.69241851251575703</v>
      </c>
      <c r="AO282" s="56">
        <v>0</v>
      </c>
      <c r="AP282" s="48">
        <v>0</v>
      </c>
      <c r="AQ282" s="55">
        <v>0.75319647037637316</v>
      </c>
      <c r="AR282" s="51">
        <v>2994601.05</v>
      </c>
      <c r="AS282" s="49">
        <v>0</v>
      </c>
      <c r="AT282" s="55">
        <v>0</v>
      </c>
      <c r="AU282" s="51">
        <v>0</v>
      </c>
      <c r="AV282" s="52">
        <v>0</v>
      </c>
      <c r="AW282" s="44">
        <v>490</v>
      </c>
      <c r="AX282" s="51">
        <v>357.991757322176</v>
      </c>
      <c r="AY282" s="49">
        <v>357.991757322176</v>
      </c>
      <c r="AZ282" s="49">
        <v>0</v>
      </c>
      <c r="BA282" s="42" t="s">
        <v>152</v>
      </c>
      <c r="BB282" s="50">
        <v>0</v>
      </c>
      <c r="BC282" s="57">
        <v>0</v>
      </c>
      <c r="BD282" s="42" t="s">
        <v>150</v>
      </c>
      <c r="BE282" s="46">
        <v>35.710610932475902</v>
      </c>
      <c r="BF282" s="46">
        <v>55.840687053637701</v>
      </c>
      <c r="BG282" s="42" t="s">
        <v>152</v>
      </c>
      <c r="BH282" s="52">
        <v>0.69241851251575703</v>
      </c>
      <c r="BI282" s="52">
        <v>0.639829102646158</v>
      </c>
      <c r="BJ282" s="42" t="s">
        <v>150</v>
      </c>
      <c r="BK282" s="46">
        <v>401.225853535147</v>
      </c>
      <c r="BL282" s="46">
        <v>626.21699529020998</v>
      </c>
      <c r="BM282" s="42" t="s">
        <v>152</v>
      </c>
      <c r="BN282" s="48">
        <v>1</v>
      </c>
      <c r="BO282" s="42" t="s">
        <v>155</v>
      </c>
      <c r="BP282" s="42" t="s">
        <v>152</v>
      </c>
      <c r="BQ282" s="46">
        <v>0</v>
      </c>
      <c r="BR282" s="46">
        <v>1782</v>
      </c>
      <c r="BS282" s="46">
        <v>60496</v>
      </c>
      <c r="BT282" s="46">
        <v>14663</v>
      </c>
      <c r="BU282" s="46">
        <v>4.1257587124053741</v>
      </c>
      <c r="BV282" s="46">
        <v>8.2283950617283956</v>
      </c>
      <c r="BW282" s="46">
        <v>17</v>
      </c>
      <c r="BX282" s="46">
        <v>501</v>
      </c>
      <c r="BY282" s="46">
        <v>518</v>
      </c>
      <c r="BZ282" s="46">
        <v>3.5327013571574709E-2</v>
      </c>
      <c r="CA282" s="46">
        <v>1.1593807542794789E-3</v>
      </c>
      <c r="CB282" s="46">
        <v>3.4167632817295235E-2</v>
      </c>
      <c r="CC282" s="46">
        <v>3.696378640114574E-2</v>
      </c>
      <c r="CD282" s="46">
        <v>5.0467162245106728E-3</v>
      </c>
      <c r="CE282" s="46">
        <v>1.0639023392211688E-2</v>
      </c>
      <c r="CF282" s="46">
        <v>0.9079315283366296</v>
      </c>
      <c r="CG282" s="46">
        <v>3.4099433949396438E-3</v>
      </c>
      <c r="CH282" s="46">
        <v>6.8198867898792905E-4</v>
      </c>
      <c r="CI282" s="46">
        <v>8.8104998677598516</v>
      </c>
      <c r="CJ282" s="46">
        <v>0.19836022216344878</v>
      </c>
      <c r="CK282">
        <v>184</v>
      </c>
      <c r="CL282">
        <v>252.91</v>
      </c>
      <c r="CM282">
        <f t="shared" si="35"/>
        <v>68.91</v>
      </c>
      <c r="CN282">
        <v>7.36</v>
      </c>
      <c r="CO282">
        <v>9.4499999999999993</v>
      </c>
      <c r="CP282">
        <f t="shared" si="36"/>
        <v>2.089999999999999</v>
      </c>
      <c r="CQ282">
        <v>1128.75</v>
      </c>
      <c r="CR282">
        <v>401.23</v>
      </c>
      <c r="CS282">
        <f t="shared" si="37"/>
        <v>727.52</v>
      </c>
      <c r="CT282" t="s">
        <v>152</v>
      </c>
      <c r="CU282">
        <v>77.84</v>
      </c>
      <c r="CV282">
        <v>6</v>
      </c>
      <c r="CW282" s="46">
        <v>518</v>
      </c>
      <c r="CX282" s="46">
        <f t="shared" si="31"/>
        <v>3.0627429584668899</v>
      </c>
      <c r="CY282" s="46">
        <v>68.91</v>
      </c>
      <c r="CZ282" s="46">
        <f t="shared" si="32"/>
        <v>3.532701357157471</v>
      </c>
      <c r="DA282" s="46">
        <f t="shared" si="33"/>
        <v>77.794162467731624</v>
      </c>
      <c r="DB282" s="46">
        <v>1146056.6000000001</v>
      </c>
      <c r="DC282" s="46">
        <f t="shared" si="34"/>
        <v>4.789032107852953</v>
      </c>
      <c r="DD282" s="46">
        <v>70551.59</v>
      </c>
      <c r="DE282" s="995">
        <v>518</v>
      </c>
      <c r="DF282" s="995">
        <v>3.2690000000000001</v>
      </c>
      <c r="DG282" s="995">
        <v>38.700000000000003</v>
      </c>
      <c r="DH282" s="995">
        <v>3.5329999999999999</v>
      </c>
      <c r="DI282" s="995">
        <v>171.43</v>
      </c>
      <c r="DJ282" s="995">
        <v>2520318</v>
      </c>
      <c r="DK282" s="995">
        <v>10.422000000000001</v>
      </c>
      <c r="DL282" s="995">
        <v>153220.29999999999</v>
      </c>
      <c r="DM282" s="995">
        <v>518</v>
      </c>
      <c r="DN282" s="995">
        <v>3.3079999999999998</v>
      </c>
      <c r="DO282" s="995">
        <v>33</v>
      </c>
      <c r="DP282" s="995">
        <v>3.5329999999999999</v>
      </c>
      <c r="DQ282" s="995">
        <v>168.30099999999999</v>
      </c>
      <c r="DR282" s="995">
        <v>2473358</v>
      </c>
      <c r="DS282" s="995">
        <v>10.223000000000001</v>
      </c>
      <c r="DT282" s="995">
        <v>150234.9</v>
      </c>
    </row>
    <row r="283" spans="1:124">
      <c r="A283" s="42" t="s">
        <v>94</v>
      </c>
      <c r="B283" s="42" t="s">
        <v>446</v>
      </c>
      <c r="C283" s="42" t="s">
        <v>487</v>
      </c>
      <c r="D283" s="42">
        <v>903400</v>
      </c>
      <c r="E283" s="42" t="s">
        <v>488</v>
      </c>
      <c r="F283" s="42" t="s">
        <v>149</v>
      </c>
      <c r="G283" s="42" t="s">
        <v>150</v>
      </c>
      <c r="H283" s="43" t="s">
        <v>150</v>
      </c>
      <c r="I283" s="44">
        <v>1</v>
      </c>
      <c r="J283" s="45">
        <v>341430.04675899999</v>
      </c>
      <c r="K283" s="46">
        <v>7284.3135249999996</v>
      </c>
      <c r="L283" s="47">
        <v>348714.36028399999</v>
      </c>
      <c r="M283" s="48">
        <v>5836502</v>
      </c>
      <c r="N283" s="49">
        <v>4913153</v>
      </c>
      <c r="O283" s="49">
        <v>923349</v>
      </c>
      <c r="P283" s="49">
        <v>0</v>
      </c>
      <c r="Q283" s="50">
        <v>13234.699138321999</v>
      </c>
      <c r="R283" s="51">
        <v>530.83520292586604</v>
      </c>
      <c r="S283" s="49">
        <v>685.02788465827302</v>
      </c>
      <c r="T283" s="49">
        <v>140.07414816871099</v>
      </c>
      <c r="U283" s="49">
        <f>IFERROR(INDEX('Rentabilidad datos'!$N$2:$N$61,MATCH($C283,'Rentabilidad datos'!$C$2:$C$61,0)),"")</f>
        <v>1355.9372357528496</v>
      </c>
      <c r="V283" s="50">
        <f>IFERROR(INDEX('Rentabilidad datos'!$O$2:$O$61,MATCH($C283,'Rentabilidad datos'!$C$2:$C$61,0)),"")</f>
        <v>1355.9372357528496</v>
      </c>
      <c r="W283" s="51">
        <f>IFERROR(INDEX('Rentabilidad datos'!$M$2:$M$61,MATCH($C283,'Rentabilidad datos'!$C$2:$C$61,0)),"")</f>
        <v>4224.6263774826693</v>
      </c>
      <c r="X283" s="52">
        <f>IFERROR(INDEX('Rentabilidad datos'!$P$2:$P$61,MATCH($C283,'Rentabilidad datos'!$C$2:$C$61,0)),"")</f>
        <v>0.32096027307409197</v>
      </c>
      <c r="Y283" s="43" t="s">
        <v>151</v>
      </c>
      <c r="Z283" s="53">
        <v>57.643990929705197</v>
      </c>
      <c r="AA283" s="43">
        <v>1</v>
      </c>
      <c r="AB283" s="54">
        <v>1</v>
      </c>
      <c r="AC283" s="55">
        <v>0</v>
      </c>
      <c r="AD283" s="752" t="e">
        <f>_xlfn.XLOOKUP(Table1[[#This Row],[Ruta]],#REF!,#REF!)</f>
        <v>#REF!</v>
      </c>
      <c r="AE283" s="752" t="e">
        <f>_xlfn.XLOOKUP(Table1[[#This Row],[Ruta]],#REF!,#REF!)</f>
        <v>#REF!</v>
      </c>
      <c r="AF283" s="752" t="e">
        <f>_xlfn.XLOOKUP(Table1[[#This Row],[Ruta]],#REF!,#REF!)</f>
        <v>#REF!</v>
      </c>
      <c r="AG283" s="752" t="e">
        <f>_xlfn.XLOOKUP(Table1[[#This Row],[Ruta]],#REF!,#REF!)</f>
        <v>#REF!</v>
      </c>
      <c r="AH283" s="52">
        <v>0.84179753557867365</v>
      </c>
      <c r="AI283" s="52">
        <v>0.15820246442132632</v>
      </c>
      <c r="AJ283" s="55">
        <v>0</v>
      </c>
      <c r="AK283" s="56">
        <v>25421</v>
      </c>
      <c r="AL283" s="44">
        <v>14977</v>
      </c>
      <c r="AM283" s="54">
        <v>0.58915856968647995</v>
      </c>
      <c r="AN283" s="55">
        <v>0.58915856968647995</v>
      </c>
      <c r="AO283" s="56">
        <v>0</v>
      </c>
      <c r="AP283" s="48">
        <v>0</v>
      </c>
      <c r="AQ283" s="55">
        <v>0.58915856968647973</v>
      </c>
      <c r="AR283" s="51">
        <v>5836502.3200000003</v>
      </c>
      <c r="AS283" s="49">
        <v>0</v>
      </c>
      <c r="AT283" s="55">
        <v>0</v>
      </c>
      <c r="AU283" s="51">
        <v>0</v>
      </c>
      <c r="AV283" s="52">
        <v>0</v>
      </c>
      <c r="AW283" s="44">
        <v>490</v>
      </c>
      <c r="AX283" s="51">
        <v>389.69769112639398</v>
      </c>
      <c r="AY283" s="49">
        <v>389.69769112639398</v>
      </c>
      <c r="AZ283" s="49">
        <v>0</v>
      </c>
      <c r="BA283" s="42" t="s">
        <v>152</v>
      </c>
      <c r="BB283" s="50">
        <v>0</v>
      </c>
      <c r="BC283" s="57">
        <v>0</v>
      </c>
      <c r="BD283" s="42" t="s">
        <v>150</v>
      </c>
      <c r="BE283" s="46">
        <v>57.643990929705197</v>
      </c>
      <c r="BF283" s="46">
        <v>55.840687053637701</v>
      </c>
      <c r="BG283" s="42" t="s">
        <v>150</v>
      </c>
      <c r="BH283" s="52">
        <v>0.58915856968647995</v>
      </c>
      <c r="BI283" s="52">
        <v>0.639829102646158</v>
      </c>
      <c r="BJ283" s="42" t="s">
        <v>152</v>
      </c>
      <c r="BK283" s="46">
        <v>790.73551084807195</v>
      </c>
      <c r="BL283" s="46">
        <v>626.21699529020998</v>
      </c>
      <c r="BM283" s="42" t="s">
        <v>150</v>
      </c>
      <c r="BN283" s="48">
        <v>2</v>
      </c>
      <c r="BO283" s="42" t="s">
        <v>161</v>
      </c>
      <c r="BP283" s="42" t="s">
        <v>152</v>
      </c>
      <c r="BQ283" s="46">
        <v>0</v>
      </c>
      <c r="BR283" s="46">
        <v>1034</v>
      </c>
      <c r="BS283" s="46">
        <v>25402</v>
      </c>
      <c r="BT283" s="46">
        <v>7095</v>
      </c>
      <c r="BU283" s="46">
        <v>3.5802677942212826</v>
      </c>
      <c r="BV283" s="46">
        <v>6.8617021276595747</v>
      </c>
      <c r="BW283" s="46">
        <v>0</v>
      </c>
      <c r="BX283" s="46">
        <v>4</v>
      </c>
      <c r="BY283" s="46">
        <v>4</v>
      </c>
      <c r="BZ283" s="46">
        <v>5.6377730796335448E-4</v>
      </c>
      <c r="CA283" s="46">
        <v>0</v>
      </c>
      <c r="CB283" s="46">
        <v>5.6377730796335448E-4</v>
      </c>
      <c r="CC283" s="46">
        <v>4.2142353770260745E-2</v>
      </c>
      <c r="CD283" s="46">
        <v>1.1275546159267088E-2</v>
      </c>
      <c r="CE283" s="46">
        <v>5.186751233262861E-2</v>
      </c>
      <c r="CF283" s="46">
        <v>0.89161381254404515</v>
      </c>
      <c r="CG283" s="46">
        <v>5.6377730796335448E-4</v>
      </c>
      <c r="CH283" s="46">
        <v>1.9732205778717408E-3</v>
      </c>
      <c r="CI283" s="46">
        <v>9.4874419337060054</v>
      </c>
      <c r="CJ283" s="46">
        <v>0.35430281080229897</v>
      </c>
      <c r="CK283">
        <v>237</v>
      </c>
      <c r="CL283">
        <v>237</v>
      </c>
      <c r="CM283">
        <f t="shared" si="35"/>
        <v>0</v>
      </c>
      <c r="CN283">
        <v>2.5299999999999998</v>
      </c>
      <c r="CO283">
        <v>9.4499999999999993</v>
      </c>
      <c r="CP283">
        <f t="shared" si="36"/>
        <v>6.92</v>
      </c>
      <c r="CQ283">
        <v>564.37</v>
      </c>
      <c r="CR283">
        <v>790.74</v>
      </c>
      <c r="CS283">
        <f t="shared" si="37"/>
        <v>-226.37</v>
      </c>
      <c r="CT283" t="s">
        <v>150</v>
      </c>
      <c r="CU283">
        <v>140.11000000000001</v>
      </c>
      <c r="CV283">
        <v>0</v>
      </c>
      <c r="CW283" s="46">
        <v>4</v>
      </c>
      <c r="CX283" s="46">
        <f t="shared" si="31"/>
        <v>5.637773079633545E-2</v>
      </c>
      <c r="CY283" s="46">
        <v>0</v>
      </c>
      <c r="CZ283" s="46">
        <f t="shared" si="32"/>
        <v>5.637773079633545E-2</v>
      </c>
      <c r="DA283" s="46">
        <f t="shared" si="33"/>
        <v>0</v>
      </c>
      <c r="DB283" s="46">
        <v>0</v>
      </c>
      <c r="DC283" s="46">
        <f t="shared" si="34"/>
        <v>0</v>
      </c>
      <c r="DD283" s="46">
        <v>0</v>
      </c>
      <c r="DE283" s="995">
        <v>4</v>
      </c>
      <c r="DF283" s="995">
        <v>5.6000000000000001E-2</v>
      </c>
      <c r="DG283" s="995">
        <v>0</v>
      </c>
      <c r="DH283" s="995">
        <v>5.6000000000000001E-2</v>
      </c>
      <c r="DI283" s="995">
        <v>469.09</v>
      </c>
      <c r="DJ283" s="995">
        <v>3328191</v>
      </c>
      <c r="DK283" s="995">
        <v>25.896999999999998</v>
      </c>
      <c r="DL283" s="995">
        <v>183737.1</v>
      </c>
      <c r="DM283" s="995">
        <v>4</v>
      </c>
      <c r="DN283" s="995">
        <v>5.6000000000000001E-2</v>
      </c>
      <c r="DO283" s="995">
        <v>0</v>
      </c>
      <c r="DP283" s="995">
        <v>5.6000000000000001E-2</v>
      </c>
      <c r="DQ283" s="995">
        <v>469.09</v>
      </c>
      <c r="DR283" s="995">
        <v>3328191</v>
      </c>
      <c r="DS283" s="995">
        <v>25.896999999999998</v>
      </c>
      <c r="DT283" s="995">
        <v>183737.1</v>
      </c>
    </row>
    <row r="284" spans="1:124">
      <c r="A284" s="42" t="s">
        <v>94</v>
      </c>
      <c r="B284" s="42" t="s">
        <v>446</v>
      </c>
      <c r="C284" s="42" t="s">
        <v>489</v>
      </c>
      <c r="D284" s="42">
        <v>904400</v>
      </c>
      <c r="E284" s="42" t="s">
        <v>490</v>
      </c>
      <c r="F284" s="42" t="s">
        <v>149</v>
      </c>
      <c r="G284" s="42" t="s">
        <v>150</v>
      </c>
      <c r="H284" s="43" t="s">
        <v>150</v>
      </c>
      <c r="I284" s="44">
        <v>1</v>
      </c>
      <c r="J284" s="45">
        <v>152502.30799999999</v>
      </c>
      <c r="K284" s="46">
        <v>2260.4977090000002</v>
      </c>
      <c r="L284" s="47">
        <v>154762.80570900001</v>
      </c>
      <c r="M284" s="48">
        <v>2386651</v>
      </c>
      <c r="N284" s="49">
        <v>2143475</v>
      </c>
      <c r="O284" s="49">
        <v>243176</v>
      </c>
      <c r="P284" s="49">
        <v>0</v>
      </c>
      <c r="Q284" s="50">
        <v>5351.23473094171</v>
      </c>
      <c r="R284" s="51">
        <v>221.32670547572599</v>
      </c>
      <c r="S284" s="49">
        <v>685.02788465827302</v>
      </c>
      <c r="T284" s="49">
        <v>140.07414816871099</v>
      </c>
      <c r="U284" s="49">
        <f>IFERROR(INDEX('Rentabilidad datos'!$N$2:$N$61,MATCH($C284,'Rentabilidad datos'!$C$2:$C$61,0)),"")</f>
        <v>1046.428738302709</v>
      </c>
      <c r="V284" s="50">
        <f>IFERROR(INDEX('Rentabilidad datos'!$O$2:$O$61,MATCH($C284,'Rentabilidad datos'!$C$2:$C$61,0)),"")</f>
        <v>1046.428738302709</v>
      </c>
      <c r="W284" s="51">
        <f>IFERROR(INDEX('Rentabilidad datos'!$M$2:$M$61,MATCH($C284,'Rentabilidad datos'!$C$2:$C$61,0)),"")</f>
        <v>1656.0369040335643</v>
      </c>
      <c r="X284" s="52">
        <f>IFERROR(INDEX('Rentabilidad datos'!$P$2:$P$61,MATCH($C284,'Rentabilidad datos'!$C$2:$C$61,0)),"")</f>
        <v>0.63188733038131628</v>
      </c>
      <c r="Y284" s="43" t="s">
        <v>160</v>
      </c>
      <c r="Z284" s="53">
        <v>28.677108433734901</v>
      </c>
      <c r="AA284" s="43">
        <v>1</v>
      </c>
      <c r="AB284" s="54">
        <v>1</v>
      </c>
      <c r="AC284" s="55">
        <v>0</v>
      </c>
      <c r="AD284" s="752" t="e">
        <f>_xlfn.XLOOKUP(Table1[[#This Row],[Ruta]],#REF!,#REF!)</f>
        <v>#REF!</v>
      </c>
      <c r="AE284" s="752" t="e">
        <f>_xlfn.XLOOKUP(Table1[[#This Row],[Ruta]],#REF!,#REF!)</f>
        <v>#REF!</v>
      </c>
      <c r="AF284" s="752" t="e">
        <f>_xlfn.XLOOKUP(Table1[[#This Row],[Ruta]],#REF!,#REF!)</f>
        <v>#REF!</v>
      </c>
      <c r="AG284" s="752" t="e">
        <f>_xlfn.XLOOKUP(Table1[[#This Row],[Ruta]],#REF!,#REF!)</f>
        <v>#REF!</v>
      </c>
      <c r="AH284" s="52">
        <v>0.89810994569377756</v>
      </c>
      <c r="AI284" s="52">
        <v>0.1018900543062224</v>
      </c>
      <c r="AJ284" s="55">
        <v>0</v>
      </c>
      <c r="AK284" s="56">
        <v>11901</v>
      </c>
      <c r="AL284" s="44">
        <v>8688</v>
      </c>
      <c r="AM284" s="54">
        <v>0.71699857154860902</v>
      </c>
      <c r="AN284" s="55">
        <v>0.71699857154860902</v>
      </c>
      <c r="AO284" s="56">
        <v>0</v>
      </c>
      <c r="AP284" s="48">
        <v>0</v>
      </c>
      <c r="AQ284" s="55">
        <v>0.73002268716914542</v>
      </c>
      <c r="AR284" s="51">
        <v>2386650.69</v>
      </c>
      <c r="AS284" s="49">
        <v>0</v>
      </c>
      <c r="AT284" s="55">
        <v>0</v>
      </c>
      <c r="AU284" s="51">
        <v>0</v>
      </c>
      <c r="AV284" s="52">
        <v>0</v>
      </c>
      <c r="AW284" s="44">
        <v>490</v>
      </c>
      <c r="AX284" s="51">
        <v>274.70657113259699</v>
      </c>
      <c r="AY284" s="49">
        <v>274.70657113259699</v>
      </c>
      <c r="AZ284" s="49">
        <v>0</v>
      </c>
      <c r="BA284" s="42" t="s">
        <v>152</v>
      </c>
      <c r="BB284" s="50">
        <v>0</v>
      </c>
      <c r="BC284" s="57">
        <v>0</v>
      </c>
      <c r="BD284" s="42" t="s">
        <v>150</v>
      </c>
      <c r="BE284" s="46">
        <v>28.677108433734901</v>
      </c>
      <c r="BF284" s="46">
        <v>55.840687053637701</v>
      </c>
      <c r="BG284" s="42" t="s">
        <v>152</v>
      </c>
      <c r="BH284" s="52">
        <v>0.71699857154860902</v>
      </c>
      <c r="BI284" s="52">
        <v>0.639829102646158</v>
      </c>
      <c r="BJ284" s="42" t="s">
        <v>150</v>
      </c>
      <c r="BK284" s="46">
        <v>347.00180652242102</v>
      </c>
      <c r="BL284" s="46">
        <v>626.21699529020998</v>
      </c>
      <c r="BM284" s="42" t="s">
        <v>152</v>
      </c>
      <c r="BN284" s="48">
        <v>1</v>
      </c>
      <c r="BO284" s="42" t="s">
        <v>155</v>
      </c>
      <c r="BP284" s="42" t="s">
        <v>152</v>
      </c>
      <c r="BQ284" s="46">
        <v>0</v>
      </c>
      <c r="BR284" s="46">
        <v>410</v>
      </c>
      <c r="BS284" s="46">
        <v>10581</v>
      </c>
      <c r="BT284" s="46">
        <v>3326</v>
      </c>
      <c r="BU284" s="46">
        <v>3.1812988574864702</v>
      </c>
      <c r="BV284" s="46">
        <v>8.1121951219512187</v>
      </c>
      <c r="BW284" s="46">
        <v>0</v>
      </c>
      <c r="BX284" s="46">
        <v>0</v>
      </c>
      <c r="BY284" s="46">
        <v>0</v>
      </c>
      <c r="BZ284" s="46">
        <v>0</v>
      </c>
      <c r="CA284" s="46">
        <v>0</v>
      </c>
      <c r="CB284" s="46">
        <v>0</v>
      </c>
      <c r="CC284" s="46">
        <v>0</v>
      </c>
      <c r="CD284" s="46">
        <v>9.0198436560432957E-4</v>
      </c>
      <c r="CE284" s="46">
        <v>9.0198436560432957E-4</v>
      </c>
      <c r="CF284" s="46">
        <v>0.99579073962717979</v>
      </c>
      <c r="CG284" s="46">
        <v>1.5033072760072159E-3</v>
      </c>
      <c r="CH284" s="46">
        <v>9.0198436560432957E-4</v>
      </c>
      <c r="CI284" s="46">
        <v>10.017956714866269</v>
      </c>
      <c r="CJ284" s="46">
        <v>0.28352707683583778</v>
      </c>
      <c r="CK284">
        <v>140</v>
      </c>
      <c r="CL284">
        <v>140</v>
      </c>
      <c r="CM284">
        <f t="shared" si="35"/>
        <v>0</v>
      </c>
      <c r="CO284">
        <v>9.4499999999999993</v>
      </c>
      <c r="CP284">
        <f t="shared" si="36"/>
        <v>9.4499999999999993</v>
      </c>
      <c r="CS284">
        <f t="shared" si="37"/>
        <v>0</v>
      </c>
      <c r="CV284">
        <v>0</v>
      </c>
      <c r="CW284" s="46">
        <v>0</v>
      </c>
      <c r="CX284" s="46">
        <f t="shared" si="31"/>
        <v>0</v>
      </c>
      <c r="CY284" s="46">
        <v>0</v>
      </c>
      <c r="CZ284" s="46">
        <f t="shared" si="32"/>
        <v>0</v>
      </c>
      <c r="DA284" s="46">
        <f t="shared" si="33"/>
        <v>0</v>
      </c>
      <c r="DB284" s="46">
        <v>0</v>
      </c>
      <c r="DC284" s="46">
        <f t="shared" si="34"/>
        <v>0</v>
      </c>
      <c r="DD284" s="46">
        <v>0</v>
      </c>
      <c r="DE284" s="995">
        <v>0</v>
      </c>
      <c r="DF284" s="995">
        <v>0</v>
      </c>
      <c r="DG284" s="995">
        <v>0</v>
      </c>
      <c r="DH284" s="995">
        <v>0</v>
      </c>
      <c r="DI284" s="995">
        <v>487.911</v>
      </c>
      <c r="DJ284" s="995">
        <v>1622793</v>
      </c>
      <c r="DK284" s="995">
        <v>31.173999999999999</v>
      </c>
      <c r="DL284" s="995">
        <v>103685.3</v>
      </c>
      <c r="DM284" s="995">
        <v>0</v>
      </c>
      <c r="DN284" s="995">
        <v>0</v>
      </c>
      <c r="DO284" s="995">
        <v>0</v>
      </c>
      <c r="DP284" s="995">
        <v>0</v>
      </c>
      <c r="DQ284" s="995">
        <v>487.911</v>
      </c>
      <c r="DR284" s="995">
        <v>1622793</v>
      </c>
      <c r="DS284" s="995">
        <v>31.173999999999999</v>
      </c>
      <c r="DT284" s="995">
        <v>103685.3</v>
      </c>
    </row>
    <row r="285" spans="1:124">
      <c r="A285" s="42" t="s">
        <v>94</v>
      </c>
      <c r="B285" s="42" t="s">
        <v>446</v>
      </c>
      <c r="C285" s="42" t="s">
        <v>491</v>
      </c>
      <c r="D285" s="42">
        <v>906400</v>
      </c>
      <c r="E285" s="42" t="s">
        <v>492</v>
      </c>
      <c r="F285" s="42" t="s">
        <v>149</v>
      </c>
      <c r="G285" s="42" t="s">
        <v>150</v>
      </c>
      <c r="H285" s="43" t="s">
        <v>150</v>
      </c>
      <c r="I285" s="44">
        <v>1</v>
      </c>
      <c r="J285" s="45">
        <v>179011.8904</v>
      </c>
      <c r="K285" s="46">
        <v>1057.048675</v>
      </c>
      <c r="L285" s="47">
        <v>180068.939075</v>
      </c>
      <c r="M285" s="48">
        <v>2754287</v>
      </c>
      <c r="N285" s="49">
        <v>2648481</v>
      </c>
      <c r="O285" s="49">
        <v>105806</v>
      </c>
      <c r="P285" s="49">
        <v>0</v>
      </c>
      <c r="Q285" s="50">
        <v>6259.7333863636404</v>
      </c>
      <c r="R285" s="51">
        <v>256.50852921448501</v>
      </c>
      <c r="S285" s="49">
        <v>685.02788465827302</v>
      </c>
      <c r="T285" s="49">
        <v>140.07414816871099</v>
      </c>
      <c r="U285" s="49">
        <f>IFERROR(INDEX('Rentabilidad datos'!$N$2:$N$61,MATCH($C285,'Rentabilidad datos'!$C$2:$C$61,0)),"")</f>
        <v>1081.6105620414683</v>
      </c>
      <c r="V285" s="50">
        <f>IFERROR(INDEX('Rentabilidad datos'!$O$2:$O$61,MATCH($C285,'Rentabilidad datos'!$C$2:$C$61,0)),"")</f>
        <v>1081.6105620414683</v>
      </c>
      <c r="W285" s="51">
        <f>IFERROR(INDEX('Rentabilidad datos'!$M$2:$M$61,MATCH($C285,'Rentabilidad datos'!$C$2:$C$61,0)),"")</f>
        <v>1879.0737607763299</v>
      </c>
      <c r="X285" s="52">
        <f>IFERROR(INDEX('Rentabilidad datos'!$P$2:$P$61,MATCH($C285,'Rentabilidad datos'!$C$2:$C$61,0)),"")</f>
        <v>0.57560835802135102</v>
      </c>
      <c r="Y285" s="43" t="s">
        <v>160</v>
      </c>
      <c r="Z285" s="53">
        <v>63.686363636363602</v>
      </c>
      <c r="AA285" s="43">
        <v>1</v>
      </c>
      <c r="AB285" s="54">
        <v>1</v>
      </c>
      <c r="AC285" s="55">
        <v>0</v>
      </c>
      <c r="AD285" s="752" t="e">
        <f>_xlfn.XLOOKUP(Table1[[#This Row],[Ruta]],#REF!,#REF!)</f>
        <v>#REF!</v>
      </c>
      <c r="AE285" s="752" t="e">
        <f>_xlfn.XLOOKUP(Table1[[#This Row],[Ruta]],#REF!,#REF!)</f>
        <v>#REF!</v>
      </c>
      <c r="AF285" s="752" t="e">
        <f>_xlfn.XLOOKUP(Table1[[#This Row],[Ruta]],#REF!,#REF!)</f>
        <v>#REF!</v>
      </c>
      <c r="AG285" s="752" t="e">
        <f>_xlfn.XLOOKUP(Table1[[#This Row],[Ruta]],#REF!,#REF!)</f>
        <v>#REF!</v>
      </c>
      <c r="AH285" s="52">
        <v>0.96158497643854834</v>
      </c>
      <c r="AI285" s="52">
        <v>3.8415023561451656E-2</v>
      </c>
      <c r="AJ285" s="55">
        <v>0</v>
      </c>
      <c r="AK285" s="56">
        <v>28022</v>
      </c>
      <c r="AL285" s="44">
        <v>10641</v>
      </c>
      <c r="AM285" s="54">
        <v>0.37973734922560898</v>
      </c>
      <c r="AN285" s="55">
        <v>0.37973734922560898</v>
      </c>
      <c r="AO285" s="56">
        <v>0</v>
      </c>
      <c r="AP285" s="48">
        <v>0</v>
      </c>
      <c r="AQ285" s="55">
        <v>0.37973734922560848</v>
      </c>
      <c r="AR285" s="51">
        <v>2754282.69</v>
      </c>
      <c r="AS285" s="49">
        <v>0</v>
      </c>
      <c r="AT285" s="55">
        <v>0</v>
      </c>
      <c r="AU285" s="51">
        <v>0</v>
      </c>
      <c r="AV285" s="52">
        <v>0</v>
      </c>
      <c r="AW285" s="44">
        <v>490</v>
      </c>
      <c r="AX285" s="51">
        <v>258.83682830561003</v>
      </c>
      <c r="AY285" s="49">
        <v>258.83682830561003</v>
      </c>
      <c r="AZ285" s="49">
        <v>0</v>
      </c>
      <c r="BA285" s="42" t="s">
        <v>152</v>
      </c>
      <c r="BB285" s="50">
        <v>0</v>
      </c>
      <c r="BC285" s="57">
        <v>0</v>
      </c>
      <c r="BD285" s="42" t="s">
        <v>150</v>
      </c>
      <c r="BE285" s="46">
        <v>63.686363636363602</v>
      </c>
      <c r="BF285" s="46">
        <v>55.840687053637701</v>
      </c>
      <c r="BG285" s="42" t="s">
        <v>150</v>
      </c>
      <c r="BH285" s="52">
        <v>0.37973734922560898</v>
      </c>
      <c r="BI285" s="52">
        <v>0.639829102646158</v>
      </c>
      <c r="BJ285" s="42" t="s">
        <v>152</v>
      </c>
      <c r="BK285" s="46">
        <v>409.24758880681799</v>
      </c>
      <c r="BL285" s="46">
        <v>626.21699529020998</v>
      </c>
      <c r="BM285" s="42" t="s">
        <v>152</v>
      </c>
      <c r="BN285" s="48">
        <v>1</v>
      </c>
      <c r="BO285" s="42" t="s">
        <v>155</v>
      </c>
      <c r="BP285" s="42" t="s">
        <v>152</v>
      </c>
      <c r="BQ285" s="46">
        <v>0</v>
      </c>
      <c r="BR285" s="46">
        <v>1696</v>
      </c>
      <c r="BS285" s="46">
        <v>61245</v>
      </c>
      <c r="BT285" s="46">
        <v>17308</v>
      </c>
      <c r="BU285" s="46">
        <v>3.5385370926739079</v>
      </c>
      <c r="BV285" s="46">
        <v>10.205188679245284</v>
      </c>
      <c r="BW285" s="46">
        <v>0</v>
      </c>
      <c r="BX285" s="46">
        <v>156</v>
      </c>
      <c r="BY285" s="46">
        <v>156</v>
      </c>
      <c r="BZ285" s="46">
        <v>9.0131730991449034E-3</v>
      </c>
      <c r="CA285" s="46">
        <v>0</v>
      </c>
      <c r="CB285" s="46">
        <v>9.0131730991449017E-3</v>
      </c>
      <c r="CC285" s="46">
        <v>4.8648024035128266E-2</v>
      </c>
      <c r="CD285" s="46">
        <v>8.7762884215391732E-2</v>
      </c>
      <c r="CE285" s="46">
        <v>2.1550727987058007E-2</v>
      </c>
      <c r="CF285" s="46">
        <v>0.83175410214929513</v>
      </c>
      <c r="CG285" s="46">
        <v>8.0887450889761958E-4</v>
      </c>
      <c r="CH285" s="46">
        <v>4.6221400508435407E-4</v>
      </c>
      <c r="CI285" s="46">
        <v>10.580455547391624</v>
      </c>
      <c r="CJ285" s="46">
        <v>0.21226222548779491</v>
      </c>
      <c r="CK285">
        <v>164</v>
      </c>
      <c r="CL285">
        <v>185.73</v>
      </c>
      <c r="CM285">
        <f t="shared" si="35"/>
        <v>21.72999999999999</v>
      </c>
      <c r="CN285">
        <v>3.8</v>
      </c>
      <c r="CO285">
        <v>9.4499999999999993</v>
      </c>
      <c r="CP285">
        <f t="shared" si="36"/>
        <v>5.6499999999999995</v>
      </c>
      <c r="CQ285">
        <v>564.37</v>
      </c>
      <c r="CR285">
        <v>409.25</v>
      </c>
      <c r="CS285">
        <f t="shared" si="37"/>
        <v>155.12</v>
      </c>
      <c r="CT285" t="s">
        <v>152</v>
      </c>
      <c r="CU285">
        <v>72.510000000000005</v>
      </c>
      <c r="CV285">
        <v>0</v>
      </c>
      <c r="CW285" s="46">
        <v>156</v>
      </c>
      <c r="CX285" s="46">
        <f t="shared" si="31"/>
        <v>0.77576843078345281</v>
      </c>
      <c r="CY285" s="46">
        <v>21.73</v>
      </c>
      <c r="CZ285" s="46">
        <f t="shared" si="32"/>
        <v>0.90131730991449033</v>
      </c>
      <c r="DA285" s="46">
        <f t="shared" si="33"/>
        <v>34.054737725284816</v>
      </c>
      <c r="DB285" s="46">
        <v>590159.41</v>
      </c>
      <c r="DC285" s="46">
        <f t="shared" si="34"/>
        <v>2.1424817351453251</v>
      </c>
      <c r="DD285" s="46">
        <v>37128.629999999997</v>
      </c>
      <c r="DE285" s="995">
        <v>156</v>
      </c>
      <c r="DF285" s="995">
        <v>0.78300000000000003</v>
      </c>
      <c r="DG285" s="995">
        <v>20.5</v>
      </c>
      <c r="DH285" s="995">
        <v>0.90100000000000002</v>
      </c>
      <c r="DI285" s="995">
        <v>147.78899999999999</v>
      </c>
      <c r="DJ285" s="995">
        <v>2560957</v>
      </c>
      <c r="DK285" s="995">
        <v>9.2840000000000007</v>
      </c>
      <c r="DL285" s="995">
        <v>160874.79999999999</v>
      </c>
      <c r="DM285" s="995">
        <v>156</v>
      </c>
      <c r="DN285" s="995">
        <v>0.80400000000000005</v>
      </c>
      <c r="DO285" s="995">
        <v>16.899999999999999</v>
      </c>
      <c r="DP285" s="995">
        <v>0.90100000000000002</v>
      </c>
      <c r="DQ285" s="995">
        <v>146.27500000000001</v>
      </c>
      <c r="DR285" s="995">
        <v>2534197</v>
      </c>
      <c r="DS285" s="995">
        <v>9.1890000000000001</v>
      </c>
      <c r="DT285" s="995">
        <v>159191.29999999999</v>
      </c>
    </row>
    <row r="286" spans="1:124">
      <c r="A286" s="42" t="s">
        <v>94</v>
      </c>
      <c r="B286" s="42" t="s">
        <v>493</v>
      </c>
      <c r="C286" s="42" t="s">
        <v>494</v>
      </c>
      <c r="D286" s="42">
        <v>925300</v>
      </c>
      <c r="E286" s="42" t="s">
        <v>495</v>
      </c>
      <c r="F286" s="42" t="s">
        <v>149</v>
      </c>
      <c r="G286" s="42" t="s">
        <v>150</v>
      </c>
      <c r="H286" s="43" t="s">
        <v>150</v>
      </c>
      <c r="I286" s="44">
        <v>5</v>
      </c>
      <c r="J286" s="45">
        <v>168441.449792</v>
      </c>
      <c r="K286" s="46">
        <v>11526.1878</v>
      </c>
      <c r="L286" s="47">
        <v>179967.63759200001</v>
      </c>
      <c r="M286" s="48">
        <v>3754878</v>
      </c>
      <c r="N286" s="49">
        <v>2463754</v>
      </c>
      <c r="O286" s="49">
        <v>1291124</v>
      </c>
      <c r="P286" s="49">
        <v>0</v>
      </c>
      <c r="Q286" s="50">
        <v>8400.1772706935099</v>
      </c>
      <c r="R286" s="51">
        <v>1580.94040713458</v>
      </c>
      <c r="S286" s="49">
        <v>2386.2112970803801</v>
      </c>
      <c r="T286" s="49">
        <v>551.59205334400599</v>
      </c>
      <c r="U286" s="49">
        <f>IFERROR(INDEX('Rentabilidad datos'!$N$2:$N$61,MATCH($C286,'Rentabilidad datos'!$C$2:$C$61,0)),"")</f>
        <v>4518.7437575589584</v>
      </c>
      <c r="V286" s="50">
        <f>IFERROR(INDEX('Rentabilidad datos'!$O$2:$O$61,MATCH($C286,'Rentabilidad datos'!$C$2:$C$61,0)),"")</f>
        <v>1506.2479191863195</v>
      </c>
      <c r="W286" s="51">
        <f>IFERROR(INDEX('Rentabilidad datos'!$M$2:$M$61,MATCH($C286,'Rentabilidad datos'!$C$2:$C$61,0)),"")</f>
        <v>2809.9981624323286</v>
      </c>
      <c r="X286" s="52">
        <f>IFERROR(INDEX('Rentabilidad datos'!$P$2:$P$61,MATCH($C286,'Rentabilidad datos'!$C$2:$C$61,0)),"")</f>
        <v>0.53603163849848012</v>
      </c>
      <c r="Y286" s="43" t="s">
        <v>160</v>
      </c>
      <c r="Z286" s="53">
        <v>70.328859060402706</v>
      </c>
      <c r="AA286" s="43">
        <v>1</v>
      </c>
      <c r="AB286" s="54">
        <v>1</v>
      </c>
      <c r="AC286" s="55">
        <v>0</v>
      </c>
      <c r="AD286" s="752" t="e">
        <f>_xlfn.XLOOKUP(Table1[[#This Row],[Ruta]],#REF!,#REF!)</f>
        <v>#REF!</v>
      </c>
      <c r="AE286" s="752" t="e">
        <f>_xlfn.XLOOKUP(Table1[[#This Row],[Ruta]],#REF!,#REF!)</f>
        <v>#REF!</v>
      </c>
      <c r="AF286" s="752" t="e">
        <f>_xlfn.XLOOKUP(Table1[[#This Row],[Ruta]],#REF!,#REF!)</f>
        <v>#REF!</v>
      </c>
      <c r="AG286" s="752" t="e">
        <f>_xlfn.XLOOKUP(Table1[[#This Row],[Ruta]],#REF!,#REF!)</f>
        <v>#REF!</v>
      </c>
      <c r="AH286" s="52">
        <v>0.65614754993371294</v>
      </c>
      <c r="AI286" s="52">
        <v>0.34385245006628712</v>
      </c>
      <c r="AJ286" s="55">
        <v>0</v>
      </c>
      <c r="AK286" s="56">
        <v>31437</v>
      </c>
      <c r="AL286" s="44">
        <v>17821</v>
      </c>
      <c r="AM286" s="54">
        <v>0.56687979132868904</v>
      </c>
      <c r="AN286" s="55">
        <v>0.58453877355359296</v>
      </c>
      <c r="AO286" s="56">
        <v>555.14542420431496</v>
      </c>
      <c r="AP286" s="48">
        <v>277.57271210215748</v>
      </c>
      <c r="AQ286" s="55">
        <v>0.57570928244114128</v>
      </c>
      <c r="AR286" s="51">
        <v>3754879.24</v>
      </c>
      <c r="AS286" s="49">
        <v>58484.485397165503</v>
      </c>
      <c r="AT286" s="55">
        <v>1.5575596885817691E-2</v>
      </c>
      <c r="AU286" s="51">
        <v>41097.205954764962</v>
      </c>
      <c r="AV286" s="52">
        <v>1.8695507902439783E-4</v>
      </c>
      <c r="AW286" s="44">
        <v>442</v>
      </c>
      <c r="AX286" s="51">
        <v>210.699693619887</v>
      </c>
      <c r="AY286" s="49">
        <v>236.796267877682</v>
      </c>
      <c r="AZ286" s="49">
        <v>26.096574257794998</v>
      </c>
      <c r="BA286" s="42" t="s">
        <v>150</v>
      </c>
      <c r="BB286" s="50">
        <v>163401.936433139</v>
      </c>
      <c r="BC286" s="57">
        <v>204499.14238790396</v>
      </c>
      <c r="BD286" s="42" t="s">
        <v>150</v>
      </c>
      <c r="BE286" s="46">
        <v>70.328859060402706</v>
      </c>
      <c r="BF286" s="46">
        <v>268.09210526315798</v>
      </c>
      <c r="BG286" s="42" t="s">
        <v>152</v>
      </c>
      <c r="BH286" s="52">
        <v>0.56687979132868904</v>
      </c>
      <c r="BI286" s="52">
        <v>0.119558282208589</v>
      </c>
      <c r="BJ286" s="42" t="s">
        <v>150</v>
      </c>
      <c r="BK286" s="46">
        <v>402.61216463534601</v>
      </c>
      <c r="BL286" s="46">
        <v>130.24672563291099</v>
      </c>
      <c r="BM286" s="42" t="s">
        <v>150</v>
      </c>
      <c r="BN286" s="48">
        <v>2</v>
      </c>
      <c r="BO286" s="42" t="s">
        <v>161</v>
      </c>
      <c r="BP286" s="42" t="s">
        <v>152</v>
      </c>
      <c r="BQ286" s="46">
        <v>7377.4010703310196</v>
      </c>
      <c r="BR286" s="46">
        <v>1327</v>
      </c>
      <c r="BS286" s="46">
        <v>55323</v>
      </c>
      <c r="BT286" s="46">
        <v>14684</v>
      </c>
      <c r="BU286" s="46">
        <v>3.76757014437483</v>
      </c>
      <c r="BV286" s="46">
        <v>11.065561416729466</v>
      </c>
      <c r="BW286" s="46">
        <v>0</v>
      </c>
      <c r="BX286" s="46">
        <v>2871</v>
      </c>
      <c r="BY286" s="46">
        <v>2871</v>
      </c>
      <c r="BZ286" s="46">
        <v>0.19551893217107055</v>
      </c>
      <c r="CA286" s="46">
        <v>0</v>
      </c>
      <c r="CB286" s="46">
        <v>0.19551893217107061</v>
      </c>
      <c r="CC286" s="46">
        <v>0.1012666848270226</v>
      </c>
      <c r="CD286" s="46">
        <v>0</v>
      </c>
      <c r="CE286" s="46">
        <v>9.670389539634977E-3</v>
      </c>
      <c r="CF286" s="46">
        <v>0.69245437210569327</v>
      </c>
      <c r="CG286" s="46">
        <v>7.4911468264777994E-4</v>
      </c>
      <c r="CH286" s="46">
        <v>3.4050667393080902E-4</v>
      </c>
      <c r="CI286" s="46">
        <v>9.1462863546806936</v>
      </c>
      <c r="CJ286" s="46">
        <v>0.25305930625598749</v>
      </c>
      <c r="CK286">
        <v>705</v>
      </c>
      <c r="CL286">
        <v>1029.03</v>
      </c>
      <c r="CM286">
        <f t="shared" si="35"/>
        <v>324.02999999999997</v>
      </c>
      <c r="CN286">
        <v>6.64</v>
      </c>
      <c r="CO286">
        <v>9.4499999999999993</v>
      </c>
      <c r="CP286">
        <f t="shared" si="36"/>
        <v>2.8099999999999996</v>
      </c>
      <c r="CQ286">
        <v>846.56</v>
      </c>
      <c r="CR286">
        <v>402.61</v>
      </c>
      <c r="CS286">
        <f t="shared" si="37"/>
        <v>443.94999999999993</v>
      </c>
      <c r="CT286" t="s">
        <v>152</v>
      </c>
      <c r="CU286">
        <v>73.87</v>
      </c>
      <c r="CV286">
        <v>145</v>
      </c>
      <c r="CW286" s="46">
        <v>2871</v>
      </c>
      <c r="CX286" s="46">
        <f t="shared" si="31"/>
        <v>17.345205666031056</v>
      </c>
      <c r="CY286" s="46">
        <v>324.02999999999997</v>
      </c>
      <c r="CZ286" s="46">
        <f t="shared" si="32"/>
        <v>19.551893217107054</v>
      </c>
      <c r="DA286" s="46">
        <f t="shared" si="33"/>
        <v>368.22224235959015</v>
      </c>
      <c r="DB286" s="46">
        <v>5526290.46</v>
      </c>
      <c r="DC286" s="46">
        <f t="shared" si="34"/>
        <v>13.06483995567706</v>
      </c>
      <c r="DD286" s="46">
        <v>196077.51</v>
      </c>
      <c r="DE286" s="995">
        <v>2871</v>
      </c>
      <c r="DF286" s="995">
        <v>17.78</v>
      </c>
      <c r="DG286" s="995">
        <v>260.10000000000002</v>
      </c>
      <c r="DH286" s="995">
        <v>19.552</v>
      </c>
      <c r="DI286" s="995">
        <v>551.78399999999999</v>
      </c>
      <c r="DJ286" s="995">
        <v>8245934</v>
      </c>
      <c r="DK286" s="995">
        <v>20.512</v>
      </c>
      <c r="DL286" s="995">
        <v>306535.3</v>
      </c>
      <c r="DM286" s="995">
        <v>2871</v>
      </c>
      <c r="DN286" s="995">
        <v>18.047999999999998</v>
      </c>
      <c r="DO286" s="995">
        <v>220.9</v>
      </c>
      <c r="DP286" s="995">
        <v>19.552</v>
      </c>
      <c r="DQ286" s="995">
        <v>533.649</v>
      </c>
      <c r="DR286" s="995">
        <v>7953975</v>
      </c>
      <c r="DS286" s="995">
        <v>19.786000000000001</v>
      </c>
      <c r="DT286" s="995">
        <v>294910.59999999998</v>
      </c>
    </row>
    <row r="287" spans="1:124">
      <c r="A287" s="42" t="s">
        <v>94</v>
      </c>
      <c r="B287" s="42" t="s">
        <v>493</v>
      </c>
      <c r="C287" s="42" t="s">
        <v>494</v>
      </c>
      <c r="D287" s="42">
        <v>925301</v>
      </c>
      <c r="E287" s="42" t="s">
        <v>496</v>
      </c>
      <c r="F287" s="42" t="s">
        <v>149</v>
      </c>
      <c r="G287" s="42" t="s">
        <v>150</v>
      </c>
      <c r="H287" s="43" t="s">
        <v>150</v>
      </c>
      <c r="I287" s="44">
        <v>5</v>
      </c>
      <c r="J287" s="45">
        <v>179436.55094399999</v>
      </c>
      <c r="K287" s="46">
        <v>8513.3384999999998</v>
      </c>
      <c r="L287" s="47">
        <v>187949.889444</v>
      </c>
      <c r="M287" s="48">
        <v>3634403</v>
      </c>
      <c r="N287" s="49">
        <v>2642303</v>
      </c>
      <c r="O287" s="49">
        <v>992100</v>
      </c>
      <c r="P287" s="49">
        <v>0</v>
      </c>
      <c r="Q287" s="50">
        <v>8131.7277181208101</v>
      </c>
      <c r="R287" s="51">
        <v>1580.94040713458</v>
      </c>
      <c r="S287" s="49">
        <v>2386.2112970803801</v>
      </c>
      <c r="T287" s="49">
        <v>551.59205334400599</v>
      </c>
      <c r="U287" s="49">
        <f>IFERROR(INDEX('Rentabilidad datos'!$N$2:$N$61,MATCH($C287,'Rentabilidad datos'!$C$2:$C$61,0)),"")</f>
        <v>4518.7437575589584</v>
      </c>
      <c r="V287" s="50">
        <f>IFERROR(INDEX('Rentabilidad datos'!$O$2:$O$61,MATCH($C287,'Rentabilidad datos'!$C$2:$C$61,0)),"")</f>
        <v>1506.2479191863195</v>
      </c>
      <c r="W287" s="51">
        <f>IFERROR(INDEX('Rentabilidad datos'!$M$2:$M$61,MATCH($C287,'Rentabilidad datos'!$C$2:$C$61,0)),"")</f>
        <v>2809.9981624323286</v>
      </c>
      <c r="X287" s="52">
        <f>IFERROR(INDEX('Rentabilidad datos'!$P$2:$P$61,MATCH($C287,'Rentabilidad datos'!$C$2:$C$61,0)),"")</f>
        <v>0.53603163849848012</v>
      </c>
      <c r="Y287" s="43" t="s">
        <v>160</v>
      </c>
      <c r="Z287" s="53">
        <v>69.375838926174495</v>
      </c>
      <c r="AA287" s="43">
        <v>1</v>
      </c>
      <c r="AB287" s="54">
        <v>1</v>
      </c>
      <c r="AC287" s="55">
        <v>0</v>
      </c>
      <c r="AD287" s="752" t="e">
        <f>_xlfn.XLOOKUP(Table1[[#This Row],[Ruta]],#REF!,#REF!)</f>
        <v>#REF!</v>
      </c>
      <c r="AE287" s="752" t="e">
        <f>_xlfn.XLOOKUP(Table1[[#This Row],[Ruta]],#REF!,#REF!)</f>
        <v>#REF!</v>
      </c>
      <c r="AF287" s="752" t="e">
        <f>_xlfn.XLOOKUP(Table1[[#This Row],[Ruta]],#REF!,#REF!)</f>
        <v>#REF!</v>
      </c>
      <c r="AG287" s="752" t="e">
        <f>_xlfn.XLOOKUP(Table1[[#This Row],[Ruta]],#REF!,#REF!)</f>
        <v>#REF!</v>
      </c>
      <c r="AH287" s="52">
        <v>0.72702531887630517</v>
      </c>
      <c r="AI287" s="52">
        <v>0.27297468112369488</v>
      </c>
      <c r="AJ287" s="55">
        <v>0</v>
      </c>
      <c r="AK287" s="56">
        <v>31011</v>
      </c>
      <c r="AL287" s="44">
        <v>19770</v>
      </c>
      <c r="AM287" s="54">
        <v>0.63751572022830605</v>
      </c>
      <c r="AN287" s="55">
        <v>0.58453877355359296</v>
      </c>
      <c r="AO287" s="56">
        <v>0</v>
      </c>
      <c r="AP287" s="48">
        <v>0</v>
      </c>
      <c r="AQ287" s="55">
        <v>0.63751572022830605</v>
      </c>
      <c r="AR287" s="51">
        <v>3634882.29</v>
      </c>
      <c r="AS287" s="49">
        <v>0</v>
      </c>
      <c r="AT287" s="55">
        <v>0</v>
      </c>
      <c r="AU287" s="51">
        <v>0</v>
      </c>
      <c r="AV287" s="52">
        <v>0</v>
      </c>
      <c r="AW287" s="44">
        <v>490</v>
      </c>
      <c r="AX287" s="51">
        <v>183.858487101669</v>
      </c>
      <c r="AY287" s="49">
        <v>236.796267877682</v>
      </c>
      <c r="AZ287" s="49">
        <v>52.937780776013</v>
      </c>
      <c r="BA287" s="42" t="s">
        <v>150</v>
      </c>
      <c r="BB287" s="50">
        <v>367717.27127684071</v>
      </c>
      <c r="BC287" s="57">
        <v>367717.27127684071</v>
      </c>
      <c r="BD287" s="42" t="s">
        <v>150</v>
      </c>
      <c r="BE287" s="46">
        <v>69.375838926174495</v>
      </c>
      <c r="BF287" s="46">
        <v>268.09210526315798</v>
      </c>
      <c r="BG287" s="42" t="s">
        <v>152</v>
      </c>
      <c r="BH287" s="52">
        <v>0.63751572022830605</v>
      </c>
      <c r="BI287" s="52">
        <v>0.119558282208589</v>
      </c>
      <c r="BJ287" s="42" t="s">
        <v>150</v>
      </c>
      <c r="BK287" s="46">
        <v>420.46955132885898</v>
      </c>
      <c r="BL287" s="46">
        <v>130.24672563291099</v>
      </c>
      <c r="BM287" s="42" t="s">
        <v>150</v>
      </c>
      <c r="BN287" s="48">
        <v>2</v>
      </c>
      <c r="BO287" s="42" t="s">
        <v>161</v>
      </c>
      <c r="BP287" s="42" t="s">
        <v>152</v>
      </c>
      <c r="BQ287" s="46">
        <v>5241.6283494671197</v>
      </c>
      <c r="BR287" s="46">
        <v>368</v>
      </c>
      <c r="BS287" s="46">
        <v>17518</v>
      </c>
      <c r="BT287" s="46">
        <v>4851</v>
      </c>
      <c r="BU287" s="46">
        <v>3.6112141826427542</v>
      </c>
      <c r="BV287" s="46">
        <v>13.182065217391305</v>
      </c>
      <c r="BW287" s="46">
        <v>0</v>
      </c>
      <c r="BX287" s="46">
        <v>1577</v>
      </c>
      <c r="BY287" s="46">
        <v>1577</v>
      </c>
      <c r="BZ287" s="46">
        <v>0.32508761080189652</v>
      </c>
      <c r="CA287" s="46">
        <v>0</v>
      </c>
      <c r="CB287" s="46">
        <v>0.32508761080189652</v>
      </c>
      <c r="CC287" s="46">
        <v>1.0925582354153781E-2</v>
      </c>
      <c r="CD287" s="46">
        <v>0</v>
      </c>
      <c r="CE287" s="46">
        <v>0</v>
      </c>
      <c r="CF287" s="46">
        <v>0.6637806637806638</v>
      </c>
      <c r="CG287" s="46">
        <v>0</v>
      </c>
      <c r="CH287" s="46">
        <v>2.0614306328592039E-4</v>
      </c>
      <c r="CI287" s="46">
        <v>11.58808083114511</v>
      </c>
      <c r="CJ287" s="46">
        <v>0.3995889941774175</v>
      </c>
      <c r="CK287">
        <v>321</v>
      </c>
      <c r="CL287">
        <v>321</v>
      </c>
      <c r="CM287">
        <f t="shared" si="35"/>
        <v>0</v>
      </c>
      <c r="CN287">
        <v>19.22</v>
      </c>
      <c r="CO287">
        <v>9.4499999999999993</v>
      </c>
      <c r="CP287">
        <f t="shared" si="36"/>
        <v>-9.77</v>
      </c>
      <c r="CQ287">
        <v>846.56</v>
      </c>
      <c r="CR287">
        <v>420.47</v>
      </c>
      <c r="CS287">
        <f t="shared" si="37"/>
        <v>426.08999999999992</v>
      </c>
      <c r="CT287" t="s">
        <v>150</v>
      </c>
      <c r="CU287">
        <v>203.35</v>
      </c>
      <c r="CV287">
        <v>155</v>
      </c>
      <c r="CW287" s="46">
        <v>1577</v>
      </c>
      <c r="CX287" s="46">
        <f t="shared" si="31"/>
        <v>32.50876108018965</v>
      </c>
      <c r="CY287" s="46">
        <v>0</v>
      </c>
      <c r="CZ287" s="46">
        <f t="shared" si="32"/>
        <v>32.50876108018965</v>
      </c>
      <c r="DA287" s="46">
        <f t="shared" si="33"/>
        <v>0</v>
      </c>
      <c r="DB287" s="46">
        <v>0</v>
      </c>
      <c r="DC287" s="46">
        <f t="shared" si="34"/>
        <v>0</v>
      </c>
      <c r="DD287" s="46">
        <v>0</v>
      </c>
      <c r="DE287" s="995">
        <v>1577</v>
      </c>
      <c r="DF287" s="995">
        <v>32.509</v>
      </c>
      <c r="DG287" s="995">
        <v>0</v>
      </c>
      <c r="DH287" s="995">
        <v>32.509</v>
      </c>
      <c r="DI287" s="995">
        <v>526.02599999999995</v>
      </c>
      <c r="DJ287" s="995">
        <v>2551753</v>
      </c>
      <c r="DK287" s="995">
        <v>25.573</v>
      </c>
      <c r="DL287" s="995">
        <v>124053</v>
      </c>
      <c r="DM287" s="995">
        <v>1577</v>
      </c>
      <c r="DN287" s="995">
        <v>32.509</v>
      </c>
      <c r="DO287" s="995">
        <v>0</v>
      </c>
      <c r="DP287" s="995">
        <v>32.509</v>
      </c>
      <c r="DQ287" s="995">
        <v>526.02599999999995</v>
      </c>
      <c r="DR287" s="995">
        <v>2551753</v>
      </c>
      <c r="DS287" s="995">
        <v>25.573</v>
      </c>
      <c r="DT287" s="995">
        <v>124053</v>
      </c>
    </row>
    <row r="288" spans="1:124">
      <c r="A288" s="42" t="s">
        <v>94</v>
      </c>
      <c r="B288" s="42" t="s">
        <v>493</v>
      </c>
      <c r="C288" s="42" t="s">
        <v>494</v>
      </c>
      <c r="D288" s="42">
        <v>925302</v>
      </c>
      <c r="E288" s="42" t="s">
        <v>497</v>
      </c>
      <c r="F288" s="42" t="s">
        <v>193</v>
      </c>
      <c r="G288" s="42" t="s">
        <v>150</v>
      </c>
      <c r="H288" s="43" t="s">
        <v>152</v>
      </c>
      <c r="I288" s="44">
        <v>5</v>
      </c>
      <c r="J288" s="45">
        <v>57006.5216</v>
      </c>
      <c r="K288" s="46">
        <v>4764.735377</v>
      </c>
      <c r="L288" s="47">
        <v>61771.256976999997</v>
      </c>
      <c r="M288" s="48">
        <v>1317737</v>
      </c>
      <c r="N288" s="49">
        <v>827740</v>
      </c>
      <c r="O288" s="49">
        <v>489997</v>
      </c>
      <c r="P288" s="49">
        <v>0</v>
      </c>
      <c r="Q288" s="50">
        <v>0</v>
      </c>
      <c r="R288" s="51">
        <v>1580.94040713458</v>
      </c>
      <c r="S288" s="49">
        <v>2386.2112970803801</v>
      </c>
      <c r="T288" s="49">
        <v>551.59205334400599</v>
      </c>
      <c r="U288" s="49">
        <f>IFERROR(INDEX('Rentabilidad datos'!$N$2:$N$61,MATCH($C288,'Rentabilidad datos'!$C$2:$C$61,0)),"")</f>
        <v>4518.7437575589584</v>
      </c>
      <c r="V288" s="50">
        <f>IFERROR(INDEX('Rentabilidad datos'!$O$2:$O$61,MATCH($C288,'Rentabilidad datos'!$C$2:$C$61,0)),"")</f>
        <v>1506.2479191863195</v>
      </c>
      <c r="W288" s="51">
        <f>IFERROR(INDEX('Rentabilidad datos'!$M$2:$M$61,MATCH($C288,'Rentabilidad datos'!$C$2:$C$61,0)),"")</f>
        <v>2809.9981624323286</v>
      </c>
      <c r="X288" s="52">
        <f>IFERROR(INDEX('Rentabilidad datos'!$P$2:$P$61,MATCH($C288,'Rentabilidad datos'!$C$2:$C$61,0)),"")</f>
        <v>0.53603163849848012</v>
      </c>
      <c r="Y288" s="43" t="s">
        <v>160</v>
      </c>
      <c r="Z288" s="53">
        <v>42.9752066115703</v>
      </c>
      <c r="AA288" s="43">
        <v>1</v>
      </c>
      <c r="AB288" s="54">
        <v>1</v>
      </c>
      <c r="AC288" s="55">
        <v>0</v>
      </c>
      <c r="AD288" s="752" t="e">
        <f>_xlfn.XLOOKUP(Table1[[#This Row],[Ruta]],#REF!,#REF!)</f>
        <v>#REF!</v>
      </c>
      <c r="AE288" s="752" t="e">
        <f>_xlfn.XLOOKUP(Table1[[#This Row],[Ruta]],#REF!,#REF!)</f>
        <v>#REF!</v>
      </c>
      <c r="AF288" s="752" t="e">
        <f>_xlfn.XLOOKUP(Table1[[#This Row],[Ruta]],#REF!,#REF!)</f>
        <v>#REF!</v>
      </c>
      <c r="AG288" s="752" t="e">
        <f>_xlfn.XLOOKUP(Table1[[#This Row],[Ruta]],#REF!,#REF!)</f>
        <v>#REF!</v>
      </c>
      <c r="AH288" s="52">
        <v>0.62815265868682446</v>
      </c>
      <c r="AI288" s="52">
        <v>0.37184734131317554</v>
      </c>
      <c r="AJ288" s="55">
        <v>0</v>
      </c>
      <c r="AK288" s="56">
        <v>10400</v>
      </c>
      <c r="AL288" s="44">
        <v>5573</v>
      </c>
      <c r="AM288" s="54">
        <v>0.53528846153846199</v>
      </c>
      <c r="AN288" s="55">
        <v>0.58453877355359296</v>
      </c>
      <c r="AO288" s="56">
        <v>0</v>
      </c>
      <c r="AP288" s="48">
        <v>0</v>
      </c>
      <c r="AQ288" s="55">
        <v>0.53586538461538458</v>
      </c>
      <c r="AR288" s="51">
        <v>1317737.92</v>
      </c>
      <c r="AS288" s="49">
        <v>0</v>
      </c>
      <c r="AT288" s="55">
        <v>0</v>
      </c>
      <c r="AU288" s="51">
        <v>0</v>
      </c>
      <c r="AV288" s="52">
        <v>0</v>
      </c>
      <c r="AW288" s="44">
        <v>490</v>
      </c>
      <c r="AX288" s="51">
        <v>236.450371433698</v>
      </c>
      <c r="AY288" s="49">
        <v>236.796267877682</v>
      </c>
      <c r="AZ288" s="49">
        <v>0.3458964439840031</v>
      </c>
      <c r="BA288" s="42" t="s">
        <v>150</v>
      </c>
      <c r="BB288" s="50">
        <v>677.29328297829863</v>
      </c>
      <c r="BC288" s="57">
        <v>677.29328297829863</v>
      </c>
      <c r="BD288" s="42" t="s">
        <v>152</v>
      </c>
      <c r="BE288" s="46" t="s">
        <v>195</v>
      </c>
      <c r="BF288" s="46" t="s">
        <v>195</v>
      </c>
      <c r="BG288" s="42" t="s">
        <v>195</v>
      </c>
      <c r="BH288" s="52" t="s">
        <v>195</v>
      </c>
      <c r="BI288" s="52" t="s">
        <v>195</v>
      </c>
      <c r="BJ288" s="42" t="s">
        <v>195</v>
      </c>
      <c r="BK288" s="46" t="s">
        <v>195</v>
      </c>
      <c r="BL288" s="46" t="s">
        <v>195</v>
      </c>
      <c r="BM288" s="42" t="s">
        <v>195</v>
      </c>
      <c r="BN288" s="48" t="s">
        <v>195</v>
      </c>
      <c r="BO288" s="42" t="s">
        <v>195</v>
      </c>
      <c r="BP288" s="42" t="s">
        <v>152</v>
      </c>
      <c r="BQ288" s="46">
        <v>0</v>
      </c>
      <c r="BR288" s="46">
        <v>194</v>
      </c>
      <c r="BS288" s="46">
        <v>965</v>
      </c>
      <c r="BT288" s="46">
        <v>253</v>
      </c>
      <c r="BU288" s="46">
        <v>3.8142292490118579</v>
      </c>
      <c r="BV288" s="46">
        <v>1.3041237113402062</v>
      </c>
      <c r="BW288" s="46">
        <v>0</v>
      </c>
      <c r="BX288" s="46">
        <v>0</v>
      </c>
      <c r="BY288" s="46">
        <v>0</v>
      </c>
      <c r="BZ288" s="46">
        <v>0</v>
      </c>
      <c r="CA288" s="46">
        <v>0</v>
      </c>
      <c r="CB288" s="46">
        <v>0</v>
      </c>
      <c r="CC288" s="46">
        <v>0</v>
      </c>
      <c r="CD288" s="46">
        <v>0</v>
      </c>
      <c r="CE288" s="46">
        <v>1.58102766798419E-2</v>
      </c>
      <c r="CF288" s="46">
        <v>0.98418972332015808</v>
      </c>
      <c r="CG288" s="46">
        <v>0</v>
      </c>
      <c r="CH288" s="46">
        <v>0</v>
      </c>
      <c r="CI288" s="46">
        <v>19.689119170984458</v>
      </c>
      <c r="CJ288" s="46">
        <v>0</v>
      </c>
      <c r="CK288">
        <v>33</v>
      </c>
      <c r="CL288">
        <v>33</v>
      </c>
      <c r="CM288">
        <f t="shared" si="35"/>
        <v>0</v>
      </c>
      <c r="CO288">
        <v>9.4499999999999993</v>
      </c>
      <c r="CP288">
        <f t="shared" si="36"/>
        <v>9.4499999999999993</v>
      </c>
      <c r="CS288">
        <f t="shared" si="37"/>
        <v>0</v>
      </c>
      <c r="CV288">
        <v>0</v>
      </c>
      <c r="CW288" s="46">
        <v>0</v>
      </c>
      <c r="CX288" s="46">
        <f t="shared" si="31"/>
        <v>0</v>
      </c>
      <c r="CY288" s="46">
        <v>0</v>
      </c>
      <c r="CZ288" s="46">
        <f t="shared" si="32"/>
        <v>0</v>
      </c>
      <c r="DA288" s="46">
        <f t="shared" si="33"/>
        <v>0</v>
      </c>
      <c r="DB288" s="46">
        <v>0</v>
      </c>
      <c r="DC288" s="46">
        <f t="shared" si="34"/>
        <v>0</v>
      </c>
      <c r="DD288" s="46">
        <v>0</v>
      </c>
      <c r="DE288" s="995">
        <v>0</v>
      </c>
      <c r="DF288" s="995">
        <v>0</v>
      </c>
      <c r="DG288" s="995">
        <v>0</v>
      </c>
      <c r="DH288" s="995">
        <v>0</v>
      </c>
      <c r="DI288" s="995">
        <v>2247.489</v>
      </c>
      <c r="DJ288" s="995">
        <v>568615</v>
      </c>
      <c r="DK288" s="995">
        <v>113.919</v>
      </c>
      <c r="DL288" s="995">
        <v>28821.5</v>
      </c>
      <c r="DM288" s="995">
        <v>0</v>
      </c>
      <c r="DN288" s="995">
        <v>0</v>
      </c>
      <c r="DO288" s="995">
        <v>0</v>
      </c>
      <c r="DP288" s="995">
        <v>0</v>
      </c>
      <c r="DQ288" s="995">
        <v>2247.489</v>
      </c>
      <c r="DR288" s="995">
        <v>568615</v>
      </c>
      <c r="DS288" s="995">
        <v>113.919</v>
      </c>
      <c r="DT288" s="995">
        <v>28821.5</v>
      </c>
    </row>
    <row r="289" spans="1:124">
      <c r="A289" s="42" t="s">
        <v>94</v>
      </c>
      <c r="B289" s="42" t="s">
        <v>493</v>
      </c>
      <c r="C289" s="42" t="s">
        <v>494</v>
      </c>
      <c r="D289" s="42">
        <v>925303</v>
      </c>
      <c r="E289" s="42" t="s">
        <v>498</v>
      </c>
      <c r="F289" s="42" t="s">
        <v>149</v>
      </c>
      <c r="G289" s="42" t="s">
        <v>150</v>
      </c>
      <c r="H289" s="43" t="s">
        <v>150</v>
      </c>
      <c r="I289" s="44">
        <v>5</v>
      </c>
      <c r="J289" s="45">
        <v>194276.70393600001</v>
      </c>
      <c r="K289" s="46">
        <v>8846.6229380000004</v>
      </c>
      <c r="L289" s="47">
        <v>203123.32687399999</v>
      </c>
      <c r="M289" s="48">
        <v>3766876</v>
      </c>
      <c r="N289" s="49">
        <v>2852665</v>
      </c>
      <c r="O289" s="49">
        <v>914211</v>
      </c>
      <c r="P289" s="49">
        <v>0</v>
      </c>
      <c r="Q289" s="50">
        <v>8444.8397533632306</v>
      </c>
      <c r="R289" s="51">
        <v>1580.94040713458</v>
      </c>
      <c r="S289" s="49">
        <v>2386.2112970803801</v>
      </c>
      <c r="T289" s="49">
        <v>551.59205334400599</v>
      </c>
      <c r="U289" s="49">
        <f>IFERROR(INDEX('Rentabilidad datos'!$N$2:$N$61,MATCH($C289,'Rentabilidad datos'!$C$2:$C$61,0)),"")</f>
        <v>4518.7437575589584</v>
      </c>
      <c r="V289" s="50">
        <f>IFERROR(INDEX('Rentabilidad datos'!$O$2:$O$61,MATCH($C289,'Rentabilidad datos'!$C$2:$C$61,0)),"")</f>
        <v>1506.2479191863195</v>
      </c>
      <c r="W289" s="51">
        <f>IFERROR(INDEX('Rentabilidad datos'!$M$2:$M$61,MATCH($C289,'Rentabilidad datos'!$C$2:$C$61,0)),"")</f>
        <v>2809.9981624323286</v>
      </c>
      <c r="X289" s="52">
        <f>IFERROR(INDEX('Rentabilidad datos'!$P$2:$P$61,MATCH($C289,'Rentabilidad datos'!$C$2:$C$61,0)),"")</f>
        <v>0.53603163849848012</v>
      </c>
      <c r="Y289" s="43" t="s">
        <v>160</v>
      </c>
      <c r="Z289" s="53">
        <v>70.316143497757906</v>
      </c>
      <c r="AA289" s="43">
        <v>1</v>
      </c>
      <c r="AB289" s="54">
        <v>1</v>
      </c>
      <c r="AC289" s="55">
        <v>0</v>
      </c>
      <c r="AD289" s="752" t="e">
        <f>_xlfn.XLOOKUP(Table1[[#This Row],[Ruta]],#REF!,#REF!)</f>
        <v>#REF!</v>
      </c>
      <c r="AE289" s="752" t="e">
        <f>_xlfn.XLOOKUP(Table1[[#This Row],[Ruta]],#REF!,#REF!)</f>
        <v>#REF!</v>
      </c>
      <c r="AF289" s="752" t="e">
        <f>_xlfn.XLOOKUP(Table1[[#This Row],[Ruta]],#REF!,#REF!)</f>
        <v>#REF!</v>
      </c>
      <c r="AG289" s="752" t="e">
        <f>_xlfn.XLOOKUP(Table1[[#This Row],[Ruta]],#REF!,#REF!)</f>
        <v>#REF!</v>
      </c>
      <c r="AH289" s="52">
        <v>0.7573026030057799</v>
      </c>
      <c r="AI289" s="52">
        <v>0.24269739699422013</v>
      </c>
      <c r="AJ289" s="55">
        <v>0</v>
      </c>
      <c r="AK289" s="56">
        <v>31361</v>
      </c>
      <c r="AL289" s="44">
        <v>17224</v>
      </c>
      <c r="AM289" s="54">
        <v>0.54921718057459901</v>
      </c>
      <c r="AN289" s="55">
        <v>0.58453877355359296</v>
      </c>
      <c r="AO289" s="56">
        <v>1107.7204774142399</v>
      </c>
      <c r="AP289" s="48">
        <v>553.86023870711995</v>
      </c>
      <c r="AQ289" s="55">
        <v>0.56687797706409615</v>
      </c>
      <c r="AR289" s="51">
        <v>3766398.53</v>
      </c>
      <c r="AS289" s="49">
        <v>121113.468932417</v>
      </c>
      <c r="AT289" s="55">
        <v>3.2156307402875131E-2</v>
      </c>
      <c r="AU289" s="51">
        <v>85106.761952509274</v>
      </c>
      <c r="AV289" s="52">
        <v>3.8715871399761637E-4</v>
      </c>
      <c r="AW289" s="44">
        <v>403</v>
      </c>
      <c r="AX289" s="51">
        <v>218.67153564793301</v>
      </c>
      <c r="AY289" s="49">
        <v>236.796267877682</v>
      </c>
      <c r="AZ289" s="49">
        <v>18.124732229748986</v>
      </c>
      <c r="BA289" s="42" t="s">
        <v>150</v>
      </c>
      <c r="BB289" s="50">
        <v>109685.00116290693</v>
      </c>
      <c r="BC289" s="57">
        <v>194791.76311541622</v>
      </c>
      <c r="BD289" s="42" t="s">
        <v>150</v>
      </c>
      <c r="BE289" s="46">
        <v>70.316143497757906</v>
      </c>
      <c r="BF289" s="46">
        <v>268.09210526315798</v>
      </c>
      <c r="BG289" s="42" t="s">
        <v>152</v>
      </c>
      <c r="BH289" s="52">
        <v>0.54921718057459901</v>
      </c>
      <c r="BI289" s="52">
        <v>0.119558282208589</v>
      </c>
      <c r="BJ289" s="42" t="s">
        <v>150</v>
      </c>
      <c r="BK289" s="46">
        <v>455.43346832735398</v>
      </c>
      <c r="BL289" s="46">
        <v>130.24672563291099</v>
      </c>
      <c r="BM289" s="42" t="s">
        <v>150</v>
      </c>
      <c r="BN289" s="48">
        <v>2</v>
      </c>
      <c r="BO289" s="42" t="s">
        <v>161</v>
      </c>
      <c r="BP289" s="42" t="s">
        <v>152</v>
      </c>
      <c r="BQ289" s="46">
        <v>7132.0297398632902</v>
      </c>
      <c r="BR289" s="46">
        <v>1634</v>
      </c>
      <c r="BS289" s="46">
        <v>55596</v>
      </c>
      <c r="BT289" s="46">
        <v>14490</v>
      </c>
      <c r="BU289" s="46">
        <v>3.8368530020703933</v>
      </c>
      <c r="BV289" s="46">
        <v>8.8678090575275395</v>
      </c>
      <c r="BW289" s="46">
        <v>0</v>
      </c>
      <c r="BX289" s="46">
        <v>595</v>
      </c>
      <c r="BY289" s="46">
        <v>595</v>
      </c>
      <c r="BZ289" s="46">
        <v>4.1062801932367152E-2</v>
      </c>
      <c r="CA289" s="46">
        <v>0</v>
      </c>
      <c r="CB289" s="46">
        <v>4.1062801932367152E-2</v>
      </c>
      <c r="CC289" s="46">
        <v>3.5610766045548643E-2</v>
      </c>
      <c r="CD289" s="46">
        <v>1.8633540372670807E-3</v>
      </c>
      <c r="CE289" s="46">
        <v>6.694271911663216E-2</v>
      </c>
      <c r="CF289" s="46">
        <v>0.8527260179434093</v>
      </c>
      <c r="CG289" s="46">
        <v>1.4492753623188402E-3</v>
      </c>
      <c r="CH289" s="46">
        <v>3.4506556245686676E-4</v>
      </c>
      <c r="CI289" s="46">
        <v>10.648248075401108</v>
      </c>
      <c r="CJ289" s="46">
        <v>0.19785596086049356</v>
      </c>
      <c r="CK289">
        <v>337</v>
      </c>
      <c r="CL289">
        <v>490.85</v>
      </c>
      <c r="CM289">
        <f t="shared" si="35"/>
        <v>153.85000000000002</v>
      </c>
      <c r="CN289">
        <v>6.65</v>
      </c>
      <c r="CO289">
        <v>9.4499999999999993</v>
      </c>
      <c r="CP289">
        <f t="shared" si="36"/>
        <v>2.7999999999999989</v>
      </c>
      <c r="CQ289">
        <v>1128.75</v>
      </c>
      <c r="CR289">
        <v>455.43</v>
      </c>
      <c r="CS289">
        <f t="shared" si="37"/>
        <v>673.31999999999994</v>
      </c>
      <c r="CT289" t="s">
        <v>152</v>
      </c>
      <c r="CU289">
        <v>70.33</v>
      </c>
      <c r="CV289">
        <v>31</v>
      </c>
      <c r="CW289" s="46">
        <v>595</v>
      </c>
      <c r="CX289" s="46">
        <f t="shared" si="31"/>
        <v>3.0445824706694271</v>
      </c>
      <c r="CY289" s="46">
        <v>153.84</v>
      </c>
      <c r="CZ289" s="46">
        <f t="shared" si="32"/>
        <v>4.1062801932367154</v>
      </c>
      <c r="DA289" s="46">
        <f t="shared" si="33"/>
        <v>79.435118793977537</v>
      </c>
      <c r="DB289" s="46">
        <v>1163235.17</v>
      </c>
      <c r="DC289" s="46">
        <f t="shared" si="34"/>
        <v>4.0786794993662863</v>
      </c>
      <c r="DD289" s="46">
        <v>59727.53</v>
      </c>
      <c r="DE289" s="995">
        <v>595</v>
      </c>
      <c r="DF289" s="995">
        <v>3.4340000000000002</v>
      </c>
      <c r="DG289" s="995">
        <v>97.4</v>
      </c>
      <c r="DH289" s="995">
        <v>4.1059999999999999</v>
      </c>
      <c r="DI289" s="995">
        <v>230.422</v>
      </c>
      <c r="DJ289" s="995">
        <v>3361252</v>
      </c>
      <c r="DK289" s="995">
        <v>11.62</v>
      </c>
      <c r="DL289" s="995">
        <v>169504.8</v>
      </c>
      <c r="DM289" s="995">
        <v>595</v>
      </c>
      <c r="DN289" s="995">
        <v>3.5489999999999999</v>
      </c>
      <c r="DO289" s="995">
        <v>80.8</v>
      </c>
      <c r="DP289" s="995">
        <v>4.1059999999999999</v>
      </c>
      <c r="DQ289" s="995">
        <v>223.79300000000001</v>
      </c>
      <c r="DR289" s="995">
        <v>3260842</v>
      </c>
      <c r="DS289" s="995">
        <v>11.282999999999999</v>
      </c>
      <c r="DT289" s="995">
        <v>164405.70000000001</v>
      </c>
    </row>
    <row r="290" spans="1:124">
      <c r="A290" s="42" t="s">
        <v>94</v>
      </c>
      <c r="B290" s="42" t="s">
        <v>493</v>
      </c>
      <c r="C290" s="42" t="s">
        <v>494</v>
      </c>
      <c r="D290" s="42">
        <v>925399</v>
      </c>
      <c r="E290" s="42" t="s">
        <v>499</v>
      </c>
      <c r="F290" s="42" t="s">
        <v>149</v>
      </c>
      <c r="G290" s="42" t="s">
        <v>150</v>
      </c>
      <c r="H290" s="43" t="s">
        <v>150</v>
      </c>
      <c r="I290" s="44">
        <v>5</v>
      </c>
      <c r="J290" s="45">
        <v>4029.6255999999998</v>
      </c>
      <c r="K290" s="46">
        <v>6259.8657249999997</v>
      </c>
      <c r="L290" s="47">
        <v>10289.491325000001</v>
      </c>
      <c r="M290" s="48">
        <v>739575</v>
      </c>
      <c r="N290" s="49">
        <v>48315</v>
      </c>
      <c r="O290" s="49">
        <v>691260</v>
      </c>
      <c r="P290" s="49">
        <v>0</v>
      </c>
      <c r="Q290" s="50">
        <v>9361.6832911392394</v>
      </c>
      <c r="R290" s="51">
        <v>1580.94040713458</v>
      </c>
      <c r="S290" s="49">
        <v>2386.2112970803801</v>
      </c>
      <c r="T290" s="49">
        <v>551.59205334400599</v>
      </c>
      <c r="U290" s="49">
        <f>IFERROR(INDEX('Rentabilidad datos'!$N$2:$N$61,MATCH($C290,'Rentabilidad datos'!$C$2:$C$61,0)),"")</f>
        <v>4518.7437575589584</v>
      </c>
      <c r="V290" s="50">
        <f>IFERROR(INDEX('Rentabilidad datos'!$O$2:$O$61,MATCH($C290,'Rentabilidad datos'!$C$2:$C$61,0)),"")</f>
        <v>1506.2479191863195</v>
      </c>
      <c r="W290" s="51">
        <f>IFERROR(INDEX('Rentabilidad datos'!$M$2:$M$61,MATCH($C290,'Rentabilidad datos'!$C$2:$C$61,0)),"")</f>
        <v>2809.9981624323286</v>
      </c>
      <c r="X290" s="52">
        <f>IFERROR(INDEX('Rentabilidad datos'!$P$2:$P$61,MATCH($C290,'Rentabilidad datos'!$C$2:$C$61,0)),"")</f>
        <v>0.53603163849848012</v>
      </c>
      <c r="Y290" s="43" t="s">
        <v>160</v>
      </c>
      <c r="Z290" s="53">
        <v>268.09210526315798</v>
      </c>
      <c r="AA290" s="43">
        <v>1</v>
      </c>
      <c r="AB290" s="54">
        <v>1</v>
      </c>
      <c r="AC290" s="55">
        <v>0</v>
      </c>
      <c r="AD290" s="752" t="e">
        <f>_xlfn.XLOOKUP(Table1[[#This Row],[Ruta]],#REF!,#REF!)</f>
        <v>#REF!</v>
      </c>
      <c r="AE290" s="752" t="e">
        <f>_xlfn.XLOOKUP(Table1[[#This Row],[Ruta]],#REF!,#REF!)</f>
        <v>#REF!</v>
      </c>
      <c r="AF290" s="752" t="e">
        <f>_xlfn.XLOOKUP(Table1[[#This Row],[Ruta]],#REF!,#REF!)</f>
        <v>#REF!</v>
      </c>
      <c r="AG290" s="752" t="e">
        <f>_xlfn.XLOOKUP(Table1[[#This Row],[Ruta]],#REF!,#REF!)</f>
        <v>#REF!</v>
      </c>
      <c r="AH290" s="52">
        <v>6.532806003447926E-2</v>
      </c>
      <c r="AI290" s="52">
        <v>0.93467193996552078</v>
      </c>
      <c r="AJ290" s="55">
        <v>0</v>
      </c>
      <c r="AK290" s="56">
        <v>20375</v>
      </c>
      <c r="AL290" s="44">
        <v>2540</v>
      </c>
      <c r="AM290" s="54">
        <v>0.119558282208589</v>
      </c>
      <c r="AN290" s="55">
        <v>0.58453877355359296</v>
      </c>
      <c r="AO290" s="56">
        <v>9473.9775111544695</v>
      </c>
      <c r="AP290" s="48">
        <v>4736.9887555772348</v>
      </c>
      <c r="AQ290" s="55">
        <v>0.35715282235961887</v>
      </c>
      <c r="AR290" s="51">
        <v>739572.98</v>
      </c>
      <c r="AS290" s="49">
        <v>1379271.2166097451</v>
      </c>
      <c r="AT290" s="55">
        <v>1.8649562029831661</v>
      </c>
      <c r="AU290" s="51">
        <v>969217.61167171306</v>
      </c>
      <c r="AV290" s="52">
        <v>4.4090626350941553E-3</v>
      </c>
      <c r="AW290" s="44">
        <v>50</v>
      </c>
      <c r="AX290" s="51">
        <v>291.17046456692901</v>
      </c>
      <c r="AY290" s="49">
        <v>236.796267877682</v>
      </c>
      <c r="AZ290" s="49">
        <v>0</v>
      </c>
      <c r="BA290" s="42" t="s">
        <v>152</v>
      </c>
      <c r="BB290" s="50">
        <v>0</v>
      </c>
      <c r="BC290" s="57">
        <v>969217.61167171306</v>
      </c>
      <c r="BD290" s="42" t="s">
        <v>150</v>
      </c>
      <c r="BE290" s="46">
        <v>268.09210526315798</v>
      </c>
      <c r="BF290" s="46">
        <v>268.09210526315798</v>
      </c>
      <c r="BG290" s="42" t="s">
        <v>150</v>
      </c>
      <c r="BH290" s="52">
        <v>0.119558282208589</v>
      </c>
      <c r="BI290" s="52">
        <v>0.119558282208589</v>
      </c>
      <c r="BJ290" s="42" t="s">
        <v>150</v>
      </c>
      <c r="BK290" s="46">
        <v>130.24672563291099</v>
      </c>
      <c r="BL290" s="46">
        <v>130.24672563291099</v>
      </c>
      <c r="BM290" s="42" t="s">
        <v>150</v>
      </c>
      <c r="BN290" s="48">
        <v>3</v>
      </c>
      <c r="BO290" s="42" t="s">
        <v>153</v>
      </c>
      <c r="BP290" s="42" t="s">
        <v>150</v>
      </c>
      <c r="BQ290" s="46">
        <v>0</v>
      </c>
      <c r="BR290" s="46" t="e">
        <v>#N/A</v>
      </c>
      <c r="BS290" s="46" t="e">
        <v>#N/A</v>
      </c>
      <c r="BT290" s="46" t="e">
        <v>#N/A</v>
      </c>
      <c r="BU290" s="46" t="e">
        <v>#N/A</v>
      </c>
      <c r="BV290" s="46" t="e">
        <v>#N/A</v>
      </c>
      <c r="BW290" s="46" t="e">
        <v>#N/A</v>
      </c>
      <c r="BX290" s="46" t="e">
        <v>#N/A</v>
      </c>
      <c r="BY290" s="46" t="e">
        <v>#N/A</v>
      </c>
      <c r="BZ290" s="46" t="e">
        <v>#N/A</v>
      </c>
      <c r="CA290" s="46" t="e">
        <v>#N/A</v>
      </c>
      <c r="CB290" s="46" t="e">
        <v>#N/A</v>
      </c>
      <c r="CC290" s="46" t="e">
        <v>#N/A</v>
      </c>
      <c r="CD290" s="46" t="e">
        <v>#N/A</v>
      </c>
      <c r="CE290" s="46" t="e">
        <v>#N/A</v>
      </c>
      <c r="CF290" s="46" t="e">
        <v>#N/A</v>
      </c>
      <c r="CG290" s="46" t="e">
        <v>#N/A</v>
      </c>
      <c r="CH290" s="46" t="e">
        <v>#N/A</v>
      </c>
      <c r="CI290" s="46" t="e">
        <v>#N/A</v>
      </c>
      <c r="CJ290" s="46" t="e">
        <v>#N/A</v>
      </c>
      <c r="CM290">
        <f t="shared" si="35"/>
        <v>0</v>
      </c>
      <c r="CP290">
        <f t="shared" si="36"/>
        <v>0</v>
      </c>
      <c r="CS290">
        <f t="shared" si="37"/>
        <v>0</v>
      </c>
      <c r="CW290" s="46"/>
      <c r="CX290" s="46" t="e">
        <f t="shared" si="31"/>
        <v>#N/A</v>
      </c>
      <c r="CY290" s="46"/>
      <c r="CZ290" s="46" t="e">
        <f t="shared" si="32"/>
        <v>#N/A</v>
      </c>
      <c r="DA290" s="46" t="e">
        <f t="shared" si="33"/>
        <v>#N/A</v>
      </c>
      <c r="DB290" s="46"/>
      <c r="DC290" s="46" t="e">
        <f t="shared" si="34"/>
        <v>#N/A</v>
      </c>
      <c r="DD290" s="46"/>
      <c r="DE290" s="995" t="s">
        <v>194</v>
      </c>
      <c r="DF290" s="995" t="s">
        <v>194</v>
      </c>
      <c r="DG290" s="995" t="s">
        <v>194</v>
      </c>
      <c r="DH290" s="995" t="s">
        <v>194</v>
      </c>
      <c r="DI290" s="995" t="s">
        <v>194</v>
      </c>
      <c r="DJ290" s="995" t="s">
        <v>194</v>
      </c>
      <c r="DK290" s="995" t="s">
        <v>194</v>
      </c>
      <c r="DL290" s="995" t="s">
        <v>194</v>
      </c>
      <c r="DM290" s="995" t="s">
        <v>194</v>
      </c>
      <c r="DN290" s="995" t="s">
        <v>194</v>
      </c>
      <c r="DO290" s="995" t="s">
        <v>194</v>
      </c>
      <c r="DP290" s="995" t="s">
        <v>194</v>
      </c>
      <c r="DQ290" s="995" t="s">
        <v>194</v>
      </c>
      <c r="DR290" s="995" t="s">
        <v>194</v>
      </c>
      <c r="DS290" s="995" t="s">
        <v>194</v>
      </c>
      <c r="DT290" s="995" t="s">
        <v>194</v>
      </c>
    </row>
    <row r="291" spans="1:124">
      <c r="A291" s="42" t="s">
        <v>94</v>
      </c>
      <c r="B291" s="42" t="s">
        <v>320</v>
      </c>
      <c r="C291" s="42" t="s">
        <v>500</v>
      </c>
      <c r="D291" s="42">
        <v>918399</v>
      </c>
      <c r="E291" s="42" t="s">
        <v>501</v>
      </c>
      <c r="F291" s="42" t="s">
        <v>193</v>
      </c>
      <c r="G291" s="42" t="s">
        <v>150</v>
      </c>
      <c r="H291" s="43" t="s">
        <v>152</v>
      </c>
      <c r="I291" s="44">
        <v>1</v>
      </c>
      <c r="J291" s="45">
        <v>0</v>
      </c>
      <c r="K291" s="46">
        <v>293.25957499999998</v>
      </c>
      <c r="L291" s="47">
        <v>293.25957499999998</v>
      </c>
      <c r="M291" s="48">
        <v>25296</v>
      </c>
      <c r="N291" s="49">
        <v>0</v>
      </c>
      <c r="O291" s="49">
        <v>25296</v>
      </c>
      <c r="P291" s="49">
        <v>0</v>
      </c>
      <c r="Q291" s="50">
        <v>0</v>
      </c>
      <c r="R291" s="51" t="s">
        <v>194</v>
      </c>
      <c r="S291" s="49" t="s">
        <v>194</v>
      </c>
      <c r="T291" s="49" t="s">
        <v>194</v>
      </c>
      <c r="U291" s="49" t="str">
        <f>IFERROR(INDEX('Rentabilidad datos'!$N$2:$N$61,MATCH($C291,'Rentabilidad datos'!$C$2:$C$61,0)),"")</f>
        <v/>
      </c>
      <c r="V291" s="50" t="str">
        <f>IFERROR(INDEX('Rentabilidad datos'!$O$2:$O$61,MATCH($C291,'Rentabilidad datos'!$C$2:$C$61,0)),"")</f>
        <v/>
      </c>
      <c r="W291" s="51" t="str">
        <f>IFERROR(INDEX('Rentabilidad datos'!$M$2:$M$61,MATCH($C291,'Rentabilidad datos'!$C$2:$C$61,0)),"")</f>
        <v/>
      </c>
      <c r="X291" s="52" t="str">
        <f>IFERROR(INDEX('Rentabilidad datos'!$P$2:$P$61,MATCH($C291,'Rentabilidad datos'!$C$2:$C$61,0)),"")</f>
        <v/>
      </c>
      <c r="Y291" s="43">
        <v>0</v>
      </c>
      <c r="Z291" s="53">
        <v>0</v>
      </c>
      <c r="AA291" s="43">
        <v>1</v>
      </c>
      <c r="AB291" s="54">
        <v>1</v>
      </c>
      <c r="AC291" s="55">
        <v>0</v>
      </c>
      <c r="AD291" s="752" t="e">
        <f>_xlfn.XLOOKUP(Table1[[#This Row],[Ruta]],#REF!,#REF!)</f>
        <v>#REF!</v>
      </c>
      <c r="AE291" s="752" t="e">
        <f>_xlfn.XLOOKUP(Table1[[#This Row],[Ruta]],#REF!,#REF!)</f>
        <v>#REF!</v>
      </c>
      <c r="AF291" s="752" t="e">
        <f>_xlfn.XLOOKUP(Table1[[#This Row],[Ruta]],#REF!,#REF!)</f>
        <v>#REF!</v>
      </c>
      <c r="AG291" s="752" t="e">
        <f>_xlfn.XLOOKUP(Table1[[#This Row],[Ruta]],#REF!,#REF!)</f>
        <v>#REF!</v>
      </c>
      <c r="AH291" s="52">
        <v>0</v>
      </c>
      <c r="AI291" s="52">
        <v>1</v>
      </c>
      <c r="AJ291" s="55">
        <v>0</v>
      </c>
      <c r="AK291" s="56">
        <v>0</v>
      </c>
      <c r="AL291" s="44">
        <v>87</v>
      </c>
      <c r="AM291" s="54">
        <v>0</v>
      </c>
      <c r="AN291" s="55">
        <v>0</v>
      </c>
      <c r="AO291" s="56">
        <v>0</v>
      </c>
      <c r="AP291" s="48">
        <v>0</v>
      </c>
      <c r="AQ291" s="55" t="s">
        <v>194</v>
      </c>
      <c r="AR291" s="51">
        <v>25295.38</v>
      </c>
      <c r="AS291" s="49">
        <v>0</v>
      </c>
      <c r="AT291" s="55">
        <v>0</v>
      </c>
      <c r="AU291" s="51">
        <v>0</v>
      </c>
      <c r="AV291" s="52">
        <v>0</v>
      </c>
      <c r="AW291" s="44">
        <v>490</v>
      </c>
      <c r="AX291" s="51">
        <v>290.75149425287401</v>
      </c>
      <c r="AY291" s="49">
        <v>0</v>
      </c>
      <c r="AZ291" s="49">
        <v>0</v>
      </c>
      <c r="BA291" s="42" t="s">
        <v>152</v>
      </c>
      <c r="BB291" s="50">
        <v>0</v>
      </c>
      <c r="BC291" s="57">
        <v>0</v>
      </c>
      <c r="BD291" s="42" t="s">
        <v>152</v>
      </c>
      <c r="BE291" s="46" t="s">
        <v>195</v>
      </c>
      <c r="BF291" s="46" t="s">
        <v>195</v>
      </c>
      <c r="BG291" s="42" t="s">
        <v>195</v>
      </c>
      <c r="BH291" s="52" t="s">
        <v>195</v>
      </c>
      <c r="BI291" s="52" t="s">
        <v>195</v>
      </c>
      <c r="BJ291" s="42" t="s">
        <v>195</v>
      </c>
      <c r="BK291" s="46" t="s">
        <v>195</v>
      </c>
      <c r="BL291" s="46" t="s">
        <v>195</v>
      </c>
      <c r="BM291" s="42" t="s">
        <v>195</v>
      </c>
      <c r="BN291" s="48" t="s">
        <v>195</v>
      </c>
      <c r="BO291" s="42" t="s">
        <v>195</v>
      </c>
      <c r="BP291" s="42" t="s">
        <v>152</v>
      </c>
      <c r="BQ291" s="46">
        <v>0</v>
      </c>
      <c r="BR291" s="46" t="e">
        <v>#N/A</v>
      </c>
      <c r="BS291" s="46" t="e">
        <v>#N/A</v>
      </c>
      <c r="BT291" s="46" t="e">
        <v>#N/A</v>
      </c>
      <c r="BU291" s="46" t="e">
        <v>#N/A</v>
      </c>
      <c r="BV291" s="46" t="e">
        <v>#N/A</v>
      </c>
      <c r="BW291" s="46" t="e">
        <v>#N/A</v>
      </c>
      <c r="BX291" s="46" t="e">
        <v>#N/A</v>
      </c>
      <c r="BY291" s="46" t="e">
        <v>#N/A</v>
      </c>
      <c r="BZ291" s="46" t="e">
        <v>#N/A</v>
      </c>
      <c r="CA291" s="46" t="e">
        <v>#N/A</v>
      </c>
      <c r="CB291" s="46" t="e">
        <v>#N/A</v>
      </c>
      <c r="CC291" s="46" t="e">
        <v>#N/A</v>
      </c>
      <c r="CD291" s="46" t="e">
        <v>#N/A</v>
      </c>
      <c r="CE291" s="46" t="e">
        <v>#N/A</v>
      </c>
      <c r="CF291" s="46" t="e">
        <v>#N/A</v>
      </c>
      <c r="CG291" s="46" t="e">
        <v>#N/A</v>
      </c>
      <c r="CH291" s="46" t="e">
        <v>#N/A</v>
      </c>
      <c r="CI291" s="46" t="e">
        <v>#N/A</v>
      </c>
      <c r="CJ291" s="46" t="e">
        <v>#N/A</v>
      </c>
      <c r="CM291">
        <f t="shared" si="35"/>
        <v>0</v>
      </c>
      <c r="CP291">
        <f t="shared" si="36"/>
        <v>0</v>
      </c>
      <c r="CS291">
        <f t="shared" si="37"/>
        <v>0</v>
      </c>
      <c r="CW291" s="46"/>
      <c r="CX291" s="46" t="e">
        <f t="shared" si="31"/>
        <v>#N/A</v>
      </c>
      <c r="CY291" s="46"/>
      <c r="CZ291" s="46" t="e">
        <f t="shared" si="32"/>
        <v>#N/A</v>
      </c>
      <c r="DA291" s="46" t="e">
        <f t="shared" si="33"/>
        <v>#N/A</v>
      </c>
      <c r="DB291" s="46"/>
      <c r="DC291" s="46" t="e">
        <f t="shared" si="34"/>
        <v>#N/A</v>
      </c>
      <c r="DD291" s="46"/>
      <c r="DE291" s="995" t="s">
        <v>194</v>
      </c>
      <c r="DF291" s="995" t="s">
        <v>194</v>
      </c>
      <c r="DG291" s="995" t="s">
        <v>194</v>
      </c>
      <c r="DH291" s="995" t="s">
        <v>194</v>
      </c>
      <c r="DI291" s="995" t="s">
        <v>194</v>
      </c>
      <c r="DJ291" s="995" t="s">
        <v>194</v>
      </c>
      <c r="DK291" s="995" t="s">
        <v>194</v>
      </c>
      <c r="DL291" s="995" t="s">
        <v>194</v>
      </c>
      <c r="DM291" s="995" t="s">
        <v>194</v>
      </c>
      <c r="DN291" s="995" t="s">
        <v>194</v>
      </c>
      <c r="DO291" s="995" t="s">
        <v>194</v>
      </c>
      <c r="DP291" s="995" t="s">
        <v>194</v>
      </c>
      <c r="DQ291" s="995" t="s">
        <v>194</v>
      </c>
      <c r="DR291" s="995" t="s">
        <v>194</v>
      </c>
      <c r="DS291" s="995" t="s">
        <v>194</v>
      </c>
      <c r="DT291" s="995" t="s">
        <v>194</v>
      </c>
    </row>
    <row r="292" spans="1:124">
      <c r="A292" s="42" t="s">
        <v>94</v>
      </c>
      <c r="B292" s="42" t="s">
        <v>502</v>
      </c>
      <c r="C292" s="42" t="s">
        <v>503</v>
      </c>
      <c r="D292" s="42">
        <v>921399</v>
      </c>
      <c r="E292" s="42" t="s">
        <v>504</v>
      </c>
      <c r="F292" s="42" t="s">
        <v>149</v>
      </c>
      <c r="G292" s="42" t="s">
        <v>150</v>
      </c>
      <c r="H292" s="43" t="s">
        <v>150</v>
      </c>
      <c r="I292" s="44">
        <v>6</v>
      </c>
      <c r="J292" s="45">
        <v>52.835999999999999</v>
      </c>
      <c r="K292" s="46">
        <v>5738.4831119999999</v>
      </c>
      <c r="L292" s="47">
        <v>5791.3191120000001</v>
      </c>
      <c r="M292" s="48">
        <v>673225</v>
      </c>
      <c r="N292" s="49">
        <v>646</v>
      </c>
      <c r="O292" s="49">
        <v>672579</v>
      </c>
      <c r="P292" s="49">
        <v>0</v>
      </c>
      <c r="Q292" s="50">
        <v>8346.037875</v>
      </c>
      <c r="R292" s="51">
        <v>1497.3006833480699</v>
      </c>
      <c r="S292" s="49">
        <v>2806.8030641517598</v>
      </c>
      <c r="T292" s="49">
        <v>564.46047051486903</v>
      </c>
      <c r="U292" s="49">
        <f>IFERROR(INDEX('Rentabilidad datos'!$N$2:$N$61,MATCH($C292,'Rentabilidad datos'!$C$2:$C$61,0)),"")</f>
        <v>4868.5642180146951</v>
      </c>
      <c r="V292" s="50">
        <f>IFERROR(INDEX('Rentabilidad datos'!$O$2:$O$61,MATCH($C292,'Rentabilidad datos'!$C$2:$C$61,0)),"")</f>
        <v>1217.1410545036738</v>
      </c>
      <c r="W292" s="51">
        <f>IFERROR(INDEX('Rentabilidad datos'!$M$2:$M$61,MATCH($C292,'Rentabilidad datos'!$C$2:$C$61,0)),"")</f>
        <v>2793.6211682944554</v>
      </c>
      <c r="X292" s="52">
        <f>IFERROR(INDEX('Rentabilidad datos'!$P$2:$P$61,MATCH($C292,'Rentabilidad datos'!$C$2:$C$61,0)),"")</f>
        <v>0.43568579316241196</v>
      </c>
      <c r="Y292" s="43" t="s">
        <v>171</v>
      </c>
      <c r="Z292" s="53">
        <v>252.51282051282101</v>
      </c>
      <c r="AA292" s="43">
        <v>1</v>
      </c>
      <c r="AB292" s="54">
        <v>1</v>
      </c>
      <c r="AC292" s="55">
        <v>0</v>
      </c>
      <c r="AD292" s="752" t="e">
        <f>_xlfn.XLOOKUP(Table1[[#This Row],[Ruta]],#REF!,#REF!)</f>
        <v>#REF!</v>
      </c>
      <c r="AE292" s="752" t="e">
        <f>_xlfn.XLOOKUP(Table1[[#This Row],[Ruta]],#REF!,#REF!)</f>
        <v>#REF!</v>
      </c>
      <c r="AF292" s="752" t="e">
        <f>_xlfn.XLOOKUP(Table1[[#This Row],[Ruta]],#REF!,#REF!)</f>
        <v>#REF!</v>
      </c>
      <c r="AG292" s="752" t="e">
        <f>_xlfn.XLOOKUP(Table1[[#This Row],[Ruta]],#REF!,#REF!)</f>
        <v>#REF!</v>
      </c>
      <c r="AH292" s="52">
        <v>9.595603252998626E-4</v>
      </c>
      <c r="AI292" s="52">
        <v>0.99904043967470013</v>
      </c>
      <c r="AJ292" s="55">
        <v>0</v>
      </c>
      <c r="AK292" s="56">
        <v>19696</v>
      </c>
      <c r="AL292" s="44">
        <v>2551</v>
      </c>
      <c r="AM292" s="54">
        <v>0.12494922826969899</v>
      </c>
      <c r="AN292" s="55">
        <v>0.54654333008763401</v>
      </c>
      <c r="AO292" s="56">
        <v>8303.7174294060405</v>
      </c>
      <c r="AP292" s="48">
        <v>4151.8587147030203</v>
      </c>
      <c r="AQ292" s="55">
        <v>0.34031573490571793</v>
      </c>
      <c r="AR292" s="51">
        <v>667683.03</v>
      </c>
      <c r="AS292" s="49">
        <v>1086681.9313072599</v>
      </c>
      <c r="AT292" s="55">
        <v>1.627541636496677</v>
      </c>
      <c r="AU292" s="51">
        <v>763614.33010780462</v>
      </c>
      <c r="AV292" s="52">
        <v>3.4737538504832324E-3</v>
      </c>
      <c r="AW292" s="44">
        <v>80</v>
      </c>
      <c r="AX292" s="51">
        <v>261.73384163073302</v>
      </c>
      <c r="AY292" s="49">
        <v>269.438682709587</v>
      </c>
      <c r="AZ292" s="49">
        <v>7.7048410788539741</v>
      </c>
      <c r="BA292" s="42" t="s">
        <v>150</v>
      </c>
      <c r="BB292" s="50">
        <v>6905.8282350820118</v>
      </c>
      <c r="BC292" s="57">
        <v>770520.1583428866</v>
      </c>
      <c r="BD292" s="42" t="s">
        <v>150</v>
      </c>
      <c r="BE292" s="46">
        <v>252.51282051282101</v>
      </c>
      <c r="BF292" s="46">
        <v>77.052752293577996</v>
      </c>
      <c r="BG292" s="42" t="s">
        <v>150</v>
      </c>
      <c r="BH292" s="52">
        <v>0.12494922826969899</v>
      </c>
      <c r="BI292" s="52">
        <v>0.58451671985922604</v>
      </c>
      <c r="BJ292" s="42" t="s">
        <v>152</v>
      </c>
      <c r="BK292" s="46">
        <v>72.391488899999999</v>
      </c>
      <c r="BL292" s="46">
        <v>592.94411248383199</v>
      </c>
      <c r="BM292" s="42" t="s">
        <v>152</v>
      </c>
      <c r="BN292" s="48">
        <v>1</v>
      </c>
      <c r="BO292" s="42" t="s">
        <v>155</v>
      </c>
      <c r="BP292" s="42" t="s">
        <v>152</v>
      </c>
      <c r="BQ292" s="46">
        <v>0</v>
      </c>
      <c r="BR292" s="46" t="e">
        <v>#N/A</v>
      </c>
      <c r="BS292" s="46" t="e">
        <v>#N/A</v>
      </c>
      <c r="BT292" s="46" t="e">
        <v>#N/A</v>
      </c>
      <c r="BU292" s="46" t="e">
        <v>#N/A</v>
      </c>
      <c r="BV292" s="46" t="e">
        <v>#N/A</v>
      </c>
      <c r="BW292" s="46" t="e">
        <v>#N/A</v>
      </c>
      <c r="BX292" s="46" t="e">
        <v>#N/A</v>
      </c>
      <c r="BY292" s="46" t="e">
        <v>#N/A</v>
      </c>
      <c r="BZ292" s="46" t="e">
        <v>#N/A</v>
      </c>
      <c r="CA292" s="46" t="e">
        <v>#N/A</v>
      </c>
      <c r="CB292" s="46" t="e">
        <v>#N/A</v>
      </c>
      <c r="CC292" s="46" t="e">
        <v>#N/A</v>
      </c>
      <c r="CD292" s="46" t="e">
        <v>#N/A</v>
      </c>
      <c r="CE292" s="46" t="e">
        <v>#N/A</v>
      </c>
      <c r="CF292" s="46" t="e">
        <v>#N/A</v>
      </c>
      <c r="CG292" s="46" t="e">
        <v>#N/A</v>
      </c>
      <c r="CH292" s="46" t="e">
        <v>#N/A</v>
      </c>
      <c r="CI292" s="46" t="e">
        <v>#N/A</v>
      </c>
      <c r="CJ292" s="46" t="e">
        <v>#N/A</v>
      </c>
      <c r="CM292">
        <f t="shared" si="35"/>
        <v>0</v>
      </c>
      <c r="CP292">
        <f t="shared" si="36"/>
        <v>0</v>
      </c>
      <c r="CS292">
        <f t="shared" si="37"/>
        <v>0</v>
      </c>
      <c r="CW292" s="46"/>
      <c r="CX292" s="46" t="e">
        <f t="shared" si="31"/>
        <v>#N/A</v>
      </c>
      <c r="CY292" s="46"/>
      <c r="CZ292" s="46" t="e">
        <f t="shared" si="32"/>
        <v>#N/A</v>
      </c>
      <c r="DA292" s="46" t="e">
        <f t="shared" si="33"/>
        <v>#N/A</v>
      </c>
      <c r="DB292" s="46"/>
      <c r="DC292" s="46" t="e">
        <f t="shared" si="34"/>
        <v>#N/A</v>
      </c>
      <c r="DD292" s="46"/>
      <c r="DE292" s="995" t="s">
        <v>194</v>
      </c>
      <c r="DF292" s="995" t="s">
        <v>194</v>
      </c>
      <c r="DG292" s="995" t="s">
        <v>194</v>
      </c>
      <c r="DH292" s="995" t="s">
        <v>194</v>
      </c>
      <c r="DI292" s="995" t="s">
        <v>194</v>
      </c>
      <c r="DJ292" s="995" t="s">
        <v>194</v>
      </c>
      <c r="DK292" s="995" t="s">
        <v>194</v>
      </c>
      <c r="DL292" s="995" t="s">
        <v>194</v>
      </c>
      <c r="DM292" s="995" t="s">
        <v>194</v>
      </c>
      <c r="DN292" s="995" t="s">
        <v>194</v>
      </c>
      <c r="DO292" s="995" t="s">
        <v>194</v>
      </c>
      <c r="DP292" s="995" t="s">
        <v>194</v>
      </c>
      <c r="DQ292" s="995" t="s">
        <v>194</v>
      </c>
      <c r="DR292" s="995" t="s">
        <v>194</v>
      </c>
      <c r="DS292" s="995" t="s">
        <v>194</v>
      </c>
      <c r="DT292" s="995" t="s">
        <v>194</v>
      </c>
    </row>
    <row r="293" spans="1:124">
      <c r="A293" s="42" t="s">
        <v>94</v>
      </c>
      <c r="B293" s="42" t="s">
        <v>502</v>
      </c>
      <c r="C293" s="42" t="s">
        <v>503</v>
      </c>
      <c r="D293" s="42">
        <v>921401</v>
      </c>
      <c r="E293" s="42" t="s">
        <v>505</v>
      </c>
      <c r="F293" s="42" t="s">
        <v>149</v>
      </c>
      <c r="G293" s="42" t="s">
        <v>150</v>
      </c>
      <c r="H293" s="43" t="s">
        <v>150</v>
      </c>
      <c r="I293" s="44">
        <v>6</v>
      </c>
      <c r="J293" s="45">
        <v>180596.97039999999</v>
      </c>
      <c r="K293" s="46">
        <v>12187.162485999999</v>
      </c>
      <c r="L293" s="47">
        <v>192784.13288600001</v>
      </c>
      <c r="M293" s="48">
        <v>3912753</v>
      </c>
      <c r="N293" s="49">
        <v>2653460</v>
      </c>
      <c r="O293" s="49">
        <v>1259293</v>
      </c>
      <c r="P293" s="49">
        <v>0</v>
      </c>
      <c r="Q293" s="50">
        <v>8832.3913318284394</v>
      </c>
      <c r="R293" s="51">
        <v>1497.3006833480699</v>
      </c>
      <c r="S293" s="49">
        <v>2806.8030641517598</v>
      </c>
      <c r="T293" s="49">
        <v>564.46047051486903</v>
      </c>
      <c r="U293" s="49">
        <f>IFERROR(INDEX('Rentabilidad datos'!$N$2:$N$61,MATCH($C293,'Rentabilidad datos'!$C$2:$C$61,0)),"")</f>
        <v>4868.5642180146951</v>
      </c>
      <c r="V293" s="50">
        <f>IFERROR(INDEX('Rentabilidad datos'!$O$2:$O$61,MATCH($C293,'Rentabilidad datos'!$C$2:$C$61,0)),"")</f>
        <v>1217.1410545036738</v>
      </c>
      <c r="W293" s="51">
        <f>IFERROR(INDEX('Rentabilidad datos'!$M$2:$M$61,MATCH($C293,'Rentabilidad datos'!$C$2:$C$61,0)),"")</f>
        <v>2793.6211682944554</v>
      </c>
      <c r="X293" s="52">
        <f>IFERROR(INDEX('Rentabilidad datos'!$P$2:$P$61,MATCH($C293,'Rentabilidad datos'!$C$2:$C$61,0)),"")</f>
        <v>0.43568579316241196</v>
      </c>
      <c r="Y293" s="43" t="s">
        <v>171</v>
      </c>
      <c r="Z293" s="53">
        <v>55.266365688487603</v>
      </c>
      <c r="AA293" s="43">
        <v>1</v>
      </c>
      <c r="AB293" s="54">
        <v>1</v>
      </c>
      <c r="AC293" s="55">
        <v>0</v>
      </c>
      <c r="AD293" s="752" t="e">
        <f>_xlfn.XLOOKUP(Table1[[#This Row],[Ruta]],#REF!,#REF!)</f>
        <v>#REF!</v>
      </c>
      <c r="AE293" s="752" t="e">
        <f>_xlfn.XLOOKUP(Table1[[#This Row],[Ruta]],#REF!,#REF!)</f>
        <v>#REF!</v>
      </c>
      <c r="AF293" s="752" t="e">
        <f>_xlfn.XLOOKUP(Table1[[#This Row],[Ruta]],#REF!,#REF!)</f>
        <v>#REF!</v>
      </c>
      <c r="AG293" s="752" t="e">
        <f>_xlfn.XLOOKUP(Table1[[#This Row],[Ruta]],#REF!,#REF!)</f>
        <v>#REF!</v>
      </c>
      <c r="AH293" s="52">
        <v>0.67815678628321285</v>
      </c>
      <c r="AI293" s="52">
        <v>0.32184321371678715</v>
      </c>
      <c r="AJ293" s="55">
        <v>0</v>
      </c>
      <c r="AK293" s="56">
        <v>24483</v>
      </c>
      <c r="AL293" s="44">
        <v>12760</v>
      </c>
      <c r="AM293" s="54">
        <v>0.52117796021729401</v>
      </c>
      <c r="AN293" s="55">
        <v>0.54654333008763401</v>
      </c>
      <c r="AO293" s="56">
        <v>621.02035053554005</v>
      </c>
      <c r="AP293" s="48">
        <v>310.51017526777002</v>
      </c>
      <c r="AQ293" s="55">
        <v>0.53386064515246368</v>
      </c>
      <c r="AR293" s="51">
        <v>3912749.36</v>
      </c>
      <c r="AS293" s="49">
        <v>95215.398867747499</v>
      </c>
      <c r="AT293" s="55">
        <v>2.4334653234151318E-2</v>
      </c>
      <c r="AU293" s="51">
        <v>66908.118123282053</v>
      </c>
      <c r="AV293" s="52">
        <v>3.04371361033161E-4</v>
      </c>
      <c r="AW293" s="44">
        <v>417</v>
      </c>
      <c r="AX293" s="51">
        <v>306.64179937304101</v>
      </c>
      <c r="AY293" s="49">
        <v>269.438682709587</v>
      </c>
      <c r="AZ293" s="49">
        <v>0</v>
      </c>
      <c r="BA293" s="42" t="s">
        <v>152</v>
      </c>
      <c r="BB293" s="50">
        <v>0</v>
      </c>
      <c r="BC293" s="57">
        <v>66908.118123282053</v>
      </c>
      <c r="BD293" s="42" t="s">
        <v>150</v>
      </c>
      <c r="BE293" s="46">
        <v>55.266365688487603</v>
      </c>
      <c r="BF293" s="46">
        <v>77.052752293577996</v>
      </c>
      <c r="BG293" s="42" t="s">
        <v>152</v>
      </c>
      <c r="BH293" s="52">
        <v>0.52117796021729401</v>
      </c>
      <c r="BI293" s="52">
        <v>0.58451671985922604</v>
      </c>
      <c r="BJ293" s="42" t="s">
        <v>152</v>
      </c>
      <c r="BK293" s="46">
        <v>435.17862953950299</v>
      </c>
      <c r="BL293" s="46">
        <v>592.94411248383199</v>
      </c>
      <c r="BM293" s="42" t="s">
        <v>152</v>
      </c>
      <c r="BN293" s="48">
        <v>0</v>
      </c>
      <c r="BO293" s="42" t="s">
        <v>155</v>
      </c>
      <c r="BP293" s="42" t="s">
        <v>152</v>
      </c>
      <c r="BQ293" s="46">
        <v>3458.53827878232</v>
      </c>
      <c r="BR293" s="46">
        <v>1048</v>
      </c>
      <c r="BS293" s="46">
        <v>41307</v>
      </c>
      <c r="BT293" s="46">
        <v>11442</v>
      </c>
      <c r="BU293" s="46">
        <v>3.6101206082852646</v>
      </c>
      <c r="BV293" s="46">
        <v>10.91793893129771</v>
      </c>
      <c r="BW293" s="46">
        <v>0</v>
      </c>
      <c r="BX293" s="46">
        <v>42</v>
      </c>
      <c r="BY293" s="46">
        <v>42</v>
      </c>
      <c r="BZ293" s="46">
        <v>3.6706869428421605E-3</v>
      </c>
      <c r="CA293" s="46">
        <v>0</v>
      </c>
      <c r="CB293" s="46">
        <v>3.6706869428421609E-3</v>
      </c>
      <c r="CC293" s="46">
        <v>7.8482782730291911E-2</v>
      </c>
      <c r="CD293" s="46">
        <v>0</v>
      </c>
      <c r="CE293" s="46">
        <v>3.408495018353435E-2</v>
      </c>
      <c r="CF293" s="46">
        <v>0.87974130396783778</v>
      </c>
      <c r="CG293" s="46">
        <v>3.2337004020276182E-3</v>
      </c>
      <c r="CH293" s="46">
        <v>7.8657577346617725E-4</v>
      </c>
      <c r="CI293" s="46">
        <v>10.4582758370252</v>
      </c>
      <c r="CJ293" s="46">
        <v>9.6835887379862984E-2</v>
      </c>
      <c r="CK293">
        <v>280</v>
      </c>
      <c r="CL293">
        <v>327.02</v>
      </c>
      <c r="CM293">
        <f t="shared" si="35"/>
        <v>47.019999999999982</v>
      </c>
      <c r="CN293">
        <v>3.42</v>
      </c>
      <c r="CO293">
        <v>9.4499999999999993</v>
      </c>
      <c r="CP293">
        <f t="shared" si="36"/>
        <v>6.0299999999999994</v>
      </c>
      <c r="CQ293">
        <v>846.56</v>
      </c>
      <c r="CR293">
        <v>435.18</v>
      </c>
      <c r="CS293">
        <f t="shared" si="37"/>
        <v>411.37999999999994</v>
      </c>
      <c r="CT293" t="s">
        <v>152</v>
      </c>
      <c r="CU293">
        <v>51.41</v>
      </c>
      <c r="CV293">
        <v>5</v>
      </c>
      <c r="CW293" s="46">
        <v>42</v>
      </c>
      <c r="CX293" s="46">
        <f t="shared" si="31"/>
        <v>-4.3873448697780135E-2</v>
      </c>
      <c r="CY293" s="46">
        <v>47.02</v>
      </c>
      <c r="CZ293" s="46">
        <f t="shared" si="32"/>
        <v>0.36706869428421607</v>
      </c>
      <c r="DA293" s="46">
        <f t="shared" si="33"/>
        <v>49.022417925984982</v>
      </c>
      <c r="DB293" s="46">
        <v>563219.54</v>
      </c>
      <c r="DC293" s="46">
        <f t="shared" si="34"/>
        <v>2.0711035405978926</v>
      </c>
      <c r="DD293" s="46">
        <v>23794.95</v>
      </c>
      <c r="DE293" s="995">
        <v>42</v>
      </c>
      <c r="DF293" s="995">
        <v>0.109</v>
      </c>
      <c r="DG293" s="995">
        <v>29.5</v>
      </c>
      <c r="DH293" s="995">
        <v>0.36699999999999999</v>
      </c>
      <c r="DI293" s="995">
        <v>249.53800000000001</v>
      </c>
      <c r="DJ293" s="995">
        <v>2862581</v>
      </c>
      <c r="DK293" s="995">
        <v>12.15</v>
      </c>
      <c r="DL293" s="995">
        <v>139377.4</v>
      </c>
      <c r="DM293" s="995">
        <v>42</v>
      </c>
      <c r="DN293" s="995">
        <v>0.155</v>
      </c>
      <c r="DO293" s="995">
        <v>24.3</v>
      </c>
      <c r="DP293" s="995">
        <v>0.36699999999999999</v>
      </c>
      <c r="DQ293" s="995">
        <v>244.20699999999999</v>
      </c>
      <c r="DR293" s="995">
        <v>2800159</v>
      </c>
      <c r="DS293" s="995">
        <v>11.925000000000001</v>
      </c>
      <c r="DT293" s="995">
        <v>136740.29999999999</v>
      </c>
    </row>
    <row r="294" spans="1:124">
      <c r="A294" s="42" t="s">
        <v>94</v>
      </c>
      <c r="B294" s="42" t="s">
        <v>502</v>
      </c>
      <c r="C294" s="42" t="s">
        <v>503</v>
      </c>
      <c r="D294" s="42">
        <v>921402</v>
      </c>
      <c r="E294" s="42" t="s">
        <v>506</v>
      </c>
      <c r="F294" s="42" t="s">
        <v>149</v>
      </c>
      <c r="G294" s="42" t="s">
        <v>150</v>
      </c>
      <c r="H294" s="43" t="s">
        <v>150</v>
      </c>
      <c r="I294" s="44">
        <v>6</v>
      </c>
      <c r="J294" s="45">
        <v>171072.4008</v>
      </c>
      <c r="K294" s="46">
        <v>8216.6441709999999</v>
      </c>
      <c r="L294" s="47">
        <v>179289.044971</v>
      </c>
      <c r="M294" s="48">
        <v>3457824</v>
      </c>
      <c r="N294" s="49">
        <v>2517077</v>
      </c>
      <c r="O294" s="49">
        <v>940747</v>
      </c>
      <c r="P294" s="49">
        <v>0</v>
      </c>
      <c r="Q294" s="50">
        <v>7805.46930022573</v>
      </c>
      <c r="R294" s="51">
        <v>1497.3006833480699</v>
      </c>
      <c r="S294" s="49">
        <v>2806.8030641517598</v>
      </c>
      <c r="T294" s="49">
        <v>564.46047051486903</v>
      </c>
      <c r="U294" s="49">
        <f>IFERROR(INDEX('Rentabilidad datos'!$N$2:$N$61,MATCH($C294,'Rentabilidad datos'!$C$2:$C$61,0)),"")</f>
        <v>4868.5642180146951</v>
      </c>
      <c r="V294" s="50">
        <f>IFERROR(INDEX('Rentabilidad datos'!$O$2:$O$61,MATCH($C294,'Rentabilidad datos'!$C$2:$C$61,0)),"")</f>
        <v>1217.1410545036738</v>
      </c>
      <c r="W294" s="51">
        <f>IFERROR(INDEX('Rentabilidad datos'!$M$2:$M$61,MATCH($C294,'Rentabilidad datos'!$C$2:$C$61,0)),"")</f>
        <v>2793.6211682944554</v>
      </c>
      <c r="X294" s="52">
        <f>IFERROR(INDEX('Rentabilidad datos'!$P$2:$P$61,MATCH($C294,'Rentabilidad datos'!$C$2:$C$61,0)),"")</f>
        <v>0.43568579316241196</v>
      </c>
      <c r="Y294" s="43" t="s">
        <v>171</v>
      </c>
      <c r="Z294" s="53">
        <v>67.002257336343106</v>
      </c>
      <c r="AA294" s="43">
        <v>1</v>
      </c>
      <c r="AB294" s="54">
        <v>1</v>
      </c>
      <c r="AC294" s="55">
        <v>0</v>
      </c>
      <c r="AD294" s="752" t="e">
        <f>_xlfn.XLOOKUP(Table1[[#This Row],[Ruta]],#REF!,#REF!)</f>
        <v>#REF!</v>
      </c>
      <c r="AE294" s="752" t="e">
        <f>_xlfn.XLOOKUP(Table1[[#This Row],[Ruta]],#REF!,#REF!)</f>
        <v>#REF!</v>
      </c>
      <c r="AF294" s="752" t="e">
        <f>_xlfn.XLOOKUP(Table1[[#This Row],[Ruta]],#REF!,#REF!)</f>
        <v>#REF!</v>
      </c>
      <c r="AG294" s="752" t="e">
        <f>_xlfn.XLOOKUP(Table1[[#This Row],[Ruta]],#REF!,#REF!)</f>
        <v>#REF!</v>
      </c>
      <c r="AH294" s="52">
        <v>0.72793670238855424</v>
      </c>
      <c r="AI294" s="52">
        <v>0.27206329761144582</v>
      </c>
      <c r="AJ294" s="55">
        <v>0</v>
      </c>
      <c r="AK294" s="56">
        <v>29682</v>
      </c>
      <c r="AL294" s="44">
        <v>14404</v>
      </c>
      <c r="AM294" s="54">
        <v>0.485277272420996</v>
      </c>
      <c r="AN294" s="55">
        <v>0.54654333008763401</v>
      </c>
      <c r="AO294" s="56">
        <v>1818.49912366115</v>
      </c>
      <c r="AP294" s="48">
        <v>909.24956183057498</v>
      </c>
      <c r="AQ294" s="55">
        <v>0.51591030125431492</v>
      </c>
      <c r="AR294" s="51">
        <v>3457822.9</v>
      </c>
      <c r="AS294" s="49">
        <v>218274.36522582101</v>
      </c>
      <c r="AT294" s="55">
        <v>6.3124796017118456E-2</v>
      </c>
      <c r="AU294" s="51">
        <v>153381.98637490132</v>
      </c>
      <c r="AV294" s="52">
        <v>6.9774917095827619E-4</v>
      </c>
      <c r="AW294" s="44">
        <v>349</v>
      </c>
      <c r="AX294" s="51">
        <v>240.05990697028599</v>
      </c>
      <c r="AY294" s="49">
        <v>269.438682709587</v>
      </c>
      <c r="AZ294" s="49">
        <v>29.378775739301005</v>
      </c>
      <c r="BA294" s="42" t="s">
        <v>150</v>
      </c>
      <c r="BB294" s="50">
        <v>148682.01391177281</v>
      </c>
      <c r="BC294" s="57">
        <v>302064.00028667413</v>
      </c>
      <c r="BD294" s="42" t="s">
        <v>150</v>
      </c>
      <c r="BE294" s="46">
        <v>67.002257336343106</v>
      </c>
      <c r="BF294" s="46">
        <v>77.052752293577996</v>
      </c>
      <c r="BG294" s="42" t="s">
        <v>152</v>
      </c>
      <c r="BH294" s="52">
        <v>0.485277272420996</v>
      </c>
      <c r="BI294" s="52">
        <v>0.58451671985922604</v>
      </c>
      <c r="BJ294" s="42" t="s">
        <v>152</v>
      </c>
      <c r="BK294" s="46">
        <v>404.71567713543902</v>
      </c>
      <c r="BL294" s="46">
        <v>592.94411248383199</v>
      </c>
      <c r="BM294" s="42" t="s">
        <v>152</v>
      </c>
      <c r="BN294" s="48">
        <v>0</v>
      </c>
      <c r="BO294" s="42" t="s">
        <v>155</v>
      </c>
      <c r="BP294" s="42" t="s">
        <v>152</v>
      </c>
      <c r="BQ294" s="46">
        <v>3421.29167211916</v>
      </c>
      <c r="BR294" s="46">
        <v>150</v>
      </c>
      <c r="BS294" s="46">
        <v>10286</v>
      </c>
      <c r="BT294" s="46">
        <v>3166</v>
      </c>
      <c r="BU294" s="46">
        <v>3.2488945041061275</v>
      </c>
      <c r="BV294" s="46">
        <v>21.106666666666666</v>
      </c>
      <c r="BW294" s="46">
        <v>0</v>
      </c>
      <c r="BX294" s="46">
        <v>306</v>
      </c>
      <c r="BY294" s="46">
        <v>306</v>
      </c>
      <c r="BZ294" s="46">
        <v>9.6651926721415038E-2</v>
      </c>
      <c r="CA294" s="46">
        <v>0</v>
      </c>
      <c r="CB294" s="46">
        <v>9.6651926721415038E-2</v>
      </c>
      <c r="CC294" s="46">
        <v>0.14939987365761209</v>
      </c>
      <c r="CD294" s="46">
        <v>0</v>
      </c>
      <c r="CE294" s="46">
        <v>0</v>
      </c>
      <c r="CF294" s="46">
        <v>0.75363234365129506</v>
      </c>
      <c r="CG294" s="46">
        <v>0</v>
      </c>
      <c r="CH294" s="46">
        <v>3.1585596967782689E-4</v>
      </c>
      <c r="CI294" s="46">
        <v>9.7219521679953331</v>
      </c>
      <c r="CJ294" s="46">
        <v>0.48609760839976668</v>
      </c>
      <c r="CK294">
        <v>286</v>
      </c>
      <c r="CL294">
        <v>309.79000000000002</v>
      </c>
      <c r="CM294">
        <f t="shared" si="35"/>
        <v>23.79000000000002</v>
      </c>
      <c r="CN294">
        <v>5.77</v>
      </c>
      <c r="CO294">
        <v>9.4499999999999993</v>
      </c>
      <c r="CP294">
        <f t="shared" si="36"/>
        <v>3.6799999999999997</v>
      </c>
      <c r="CQ294">
        <v>564.37</v>
      </c>
      <c r="CR294">
        <v>404.72</v>
      </c>
      <c r="CS294">
        <f t="shared" si="37"/>
        <v>159.64999999999998</v>
      </c>
      <c r="CT294" t="s">
        <v>152</v>
      </c>
      <c r="CU294">
        <v>71.709999999999994</v>
      </c>
      <c r="CV294">
        <v>38</v>
      </c>
      <c r="CW294" s="46">
        <v>306</v>
      </c>
      <c r="CX294" s="46">
        <f t="shared" si="31"/>
        <v>8.9137713202779523</v>
      </c>
      <c r="CY294" s="46">
        <v>23.79</v>
      </c>
      <c r="CZ294" s="46">
        <f t="shared" si="32"/>
        <v>9.6651926721415045</v>
      </c>
      <c r="DA294" s="46">
        <f t="shared" si="33"/>
        <v>77.462494396182819</v>
      </c>
      <c r="DB294" s="46">
        <v>247089.09</v>
      </c>
      <c r="DC294" s="46">
        <f t="shared" si="34"/>
        <v>4.1492010445828722</v>
      </c>
      <c r="DD294" s="46">
        <v>13235.08</v>
      </c>
      <c r="DE294" s="995">
        <v>306</v>
      </c>
      <c r="DF294" s="995">
        <v>8.9559999999999995</v>
      </c>
      <c r="DG294" s="995">
        <v>22.5</v>
      </c>
      <c r="DH294" s="995">
        <v>9.6649999999999991</v>
      </c>
      <c r="DI294" s="995">
        <v>818.93499999999995</v>
      </c>
      <c r="DJ294" s="995">
        <v>2611146</v>
      </c>
      <c r="DK294" s="995">
        <v>42.488</v>
      </c>
      <c r="DL294" s="995">
        <v>135472.70000000001</v>
      </c>
      <c r="DM294" s="995">
        <v>306</v>
      </c>
      <c r="DN294" s="995">
        <v>9.0809999999999995</v>
      </c>
      <c r="DO294" s="995">
        <v>18.5</v>
      </c>
      <c r="DP294" s="995">
        <v>9.6649999999999991</v>
      </c>
      <c r="DQ294" s="995">
        <v>807.02200000000005</v>
      </c>
      <c r="DR294" s="995">
        <v>2569965</v>
      </c>
      <c r="DS294" s="995">
        <v>41.848999999999997</v>
      </c>
      <c r="DT294" s="995">
        <v>133266.79999999999</v>
      </c>
    </row>
    <row r="295" spans="1:124">
      <c r="A295" s="42" t="s">
        <v>94</v>
      </c>
      <c r="B295" s="42" t="s">
        <v>502</v>
      </c>
      <c r="C295" s="42" t="s">
        <v>503</v>
      </c>
      <c r="D295" s="42">
        <v>921403</v>
      </c>
      <c r="E295" s="42" t="s">
        <v>507</v>
      </c>
      <c r="F295" s="42" t="s">
        <v>149</v>
      </c>
      <c r="G295" s="42" t="s">
        <v>150</v>
      </c>
      <c r="H295" s="43" t="s">
        <v>150</v>
      </c>
      <c r="I295" s="44">
        <v>6</v>
      </c>
      <c r="J295" s="45">
        <v>150298.69456</v>
      </c>
      <c r="K295" s="46">
        <v>10835.589529999999</v>
      </c>
      <c r="L295" s="47">
        <v>161134.28409</v>
      </c>
      <c r="M295" s="48">
        <v>3446251</v>
      </c>
      <c r="N295" s="49">
        <v>2179531</v>
      </c>
      <c r="O295" s="49">
        <v>1266720</v>
      </c>
      <c r="P295" s="49">
        <v>0</v>
      </c>
      <c r="Q295" s="50">
        <v>7873.3920091324198</v>
      </c>
      <c r="R295" s="51">
        <v>1497.3006833480699</v>
      </c>
      <c r="S295" s="49">
        <v>2806.8030641517598</v>
      </c>
      <c r="T295" s="49">
        <v>564.46047051486903</v>
      </c>
      <c r="U295" s="49">
        <f>IFERROR(INDEX('Rentabilidad datos'!$N$2:$N$61,MATCH($C295,'Rentabilidad datos'!$C$2:$C$61,0)),"")</f>
        <v>4868.5642180146951</v>
      </c>
      <c r="V295" s="50">
        <f>IFERROR(INDEX('Rentabilidad datos'!$O$2:$O$61,MATCH($C295,'Rentabilidad datos'!$C$2:$C$61,0)),"")</f>
        <v>1217.1410545036738</v>
      </c>
      <c r="W295" s="51">
        <f>IFERROR(INDEX('Rentabilidad datos'!$M$2:$M$61,MATCH($C295,'Rentabilidad datos'!$C$2:$C$61,0)),"")</f>
        <v>2793.6211682944554</v>
      </c>
      <c r="X295" s="52">
        <f>IFERROR(INDEX('Rentabilidad datos'!$P$2:$P$61,MATCH($C295,'Rentabilidad datos'!$C$2:$C$61,0)),"")</f>
        <v>0.43568579316241196</v>
      </c>
      <c r="Y295" s="43" t="s">
        <v>171</v>
      </c>
      <c r="Z295" s="53">
        <v>51.203196347031998</v>
      </c>
      <c r="AA295" s="43">
        <v>1</v>
      </c>
      <c r="AB295" s="54">
        <v>1</v>
      </c>
      <c r="AC295" s="55">
        <v>0</v>
      </c>
      <c r="AD295" s="752" t="e">
        <f>_xlfn.XLOOKUP(Table1[[#This Row],[Ruta]],#REF!,#REF!)</f>
        <v>#REF!</v>
      </c>
      <c r="AE295" s="752" t="e">
        <f>_xlfn.XLOOKUP(Table1[[#This Row],[Ruta]],#REF!,#REF!)</f>
        <v>#REF!</v>
      </c>
      <c r="AF295" s="752" t="e">
        <f>_xlfn.XLOOKUP(Table1[[#This Row],[Ruta]],#REF!,#REF!)</f>
        <v>#REF!</v>
      </c>
      <c r="AG295" s="752" t="e">
        <f>_xlfn.XLOOKUP(Table1[[#This Row],[Ruta]],#REF!,#REF!)</f>
        <v>#REF!</v>
      </c>
      <c r="AH295" s="52">
        <v>0.63243536236913678</v>
      </c>
      <c r="AI295" s="52">
        <v>0.36756463763086322</v>
      </c>
      <c r="AJ295" s="55">
        <v>0</v>
      </c>
      <c r="AK295" s="56">
        <v>22427</v>
      </c>
      <c r="AL295" s="44">
        <v>12799</v>
      </c>
      <c r="AM295" s="54">
        <v>0.57069603602800201</v>
      </c>
      <c r="AN295" s="55">
        <v>0.54654333008763401</v>
      </c>
      <c r="AO295" s="56">
        <v>0</v>
      </c>
      <c r="AP295" s="48">
        <v>0</v>
      </c>
      <c r="AQ295" s="55">
        <v>0.57069603602800201</v>
      </c>
      <c r="AR295" s="51">
        <v>3448545.7</v>
      </c>
      <c r="AS295" s="49">
        <v>0</v>
      </c>
      <c r="AT295" s="55">
        <v>0</v>
      </c>
      <c r="AU295" s="51">
        <v>0</v>
      </c>
      <c r="AV295" s="52">
        <v>0</v>
      </c>
      <c r="AW295" s="44">
        <v>490</v>
      </c>
      <c r="AX295" s="51">
        <v>269.438682709587</v>
      </c>
      <c r="AY295" s="49">
        <v>269.438682709587</v>
      </c>
      <c r="AZ295" s="49">
        <v>0</v>
      </c>
      <c r="BA295" s="42" t="s">
        <v>152</v>
      </c>
      <c r="BB295" s="50">
        <v>0</v>
      </c>
      <c r="BC295" s="57">
        <v>0</v>
      </c>
      <c r="BD295" s="42" t="s">
        <v>150</v>
      </c>
      <c r="BE295" s="46">
        <v>51.203196347031998</v>
      </c>
      <c r="BF295" s="46">
        <v>77.052752293577996</v>
      </c>
      <c r="BG295" s="42" t="s">
        <v>152</v>
      </c>
      <c r="BH295" s="52">
        <v>0.57069603602800201</v>
      </c>
      <c r="BI295" s="52">
        <v>0.58451671985922604</v>
      </c>
      <c r="BJ295" s="42" t="s">
        <v>152</v>
      </c>
      <c r="BK295" s="46">
        <v>367.88649335616498</v>
      </c>
      <c r="BL295" s="46">
        <v>592.94411248383199</v>
      </c>
      <c r="BM295" s="42" t="s">
        <v>152</v>
      </c>
      <c r="BN295" s="48">
        <v>0</v>
      </c>
      <c r="BO295" s="42" t="s">
        <v>155</v>
      </c>
      <c r="BP295" s="42" t="s">
        <v>152</v>
      </c>
      <c r="BQ295" s="46">
        <v>4867.3491066592997</v>
      </c>
      <c r="BR295" s="46">
        <v>1068</v>
      </c>
      <c r="BS295" s="46">
        <v>46205</v>
      </c>
      <c r="BT295" s="46">
        <v>12753</v>
      </c>
      <c r="BU295" s="46">
        <v>3.6230690817846782</v>
      </c>
      <c r="BV295" s="46">
        <v>11.941011235955056</v>
      </c>
      <c r="BW295" s="46">
        <v>0</v>
      </c>
      <c r="BX295" s="46">
        <v>142</v>
      </c>
      <c r="BY295" s="46">
        <v>142</v>
      </c>
      <c r="BZ295" s="46">
        <v>1.1134634987845997E-2</v>
      </c>
      <c r="CA295" s="46">
        <v>0</v>
      </c>
      <c r="CB295" s="46">
        <v>1.1134634987845999E-2</v>
      </c>
      <c r="CC295" s="46">
        <v>4.2970281502391593E-2</v>
      </c>
      <c r="CD295" s="46">
        <v>1.105622206539638E-2</v>
      </c>
      <c r="CE295" s="46">
        <v>1.5682584489923939E-3</v>
      </c>
      <c r="CF295" s="46">
        <v>0.93131027993413318</v>
      </c>
      <c r="CG295" s="46">
        <v>1.4114326040931551E-3</v>
      </c>
      <c r="CH295" s="46">
        <v>5.488904571473379E-4</v>
      </c>
      <c r="CI295" s="46">
        <v>10.86462504058002</v>
      </c>
      <c r="CJ295" s="46">
        <v>0.17314143490964179</v>
      </c>
      <c r="CK295">
        <v>275</v>
      </c>
      <c r="CL295">
        <v>369.08</v>
      </c>
      <c r="CM295">
        <f t="shared" si="35"/>
        <v>94.079999999999984</v>
      </c>
      <c r="CN295">
        <v>5.62</v>
      </c>
      <c r="CO295">
        <v>9.4499999999999993</v>
      </c>
      <c r="CP295">
        <f t="shared" si="36"/>
        <v>3.8299999999999992</v>
      </c>
      <c r="CQ295">
        <v>846.56</v>
      </c>
      <c r="CR295">
        <v>367.89</v>
      </c>
      <c r="CS295">
        <f t="shared" si="37"/>
        <v>478.66999999999996</v>
      </c>
      <c r="CT295" t="s">
        <v>152</v>
      </c>
      <c r="CU295">
        <v>59.46</v>
      </c>
      <c r="CV295">
        <v>4</v>
      </c>
      <c r="CW295" s="46">
        <v>142</v>
      </c>
      <c r="CX295" s="46">
        <f t="shared" si="31"/>
        <v>0.3757547243785776</v>
      </c>
      <c r="CY295" s="46">
        <v>94.08</v>
      </c>
      <c r="CZ295" s="46">
        <f t="shared" si="32"/>
        <v>1.1134634987845997</v>
      </c>
      <c r="DA295" s="46">
        <f t="shared" si="33"/>
        <v>119.30569981661203</v>
      </c>
      <c r="DB295" s="46">
        <v>1532729.87</v>
      </c>
      <c r="DC295" s="46">
        <f t="shared" si="34"/>
        <v>6.4305663232423242</v>
      </c>
      <c r="DD295" s="46">
        <v>82614</v>
      </c>
      <c r="DE295" s="995">
        <v>142</v>
      </c>
      <c r="DF295" s="995">
        <v>0.57199999999999995</v>
      </c>
      <c r="DG295" s="995">
        <v>69.099999999999994</v>
      </c>
      <c r="DH295" s="995">
        <v>1.113</v>
      </c>
      <c r="DI295" s="995">
        <v>262.27300000000002</v>
      </c>
      <c r="DJ295" s="995">
        <v>3362886</v>
      </c>
      <c r="DK295" s="995">
        <v>13.063000000000001</v>
      </c>
      <c r="DL295" s="995">
        <v>167493.29999999999</v>
      </c>
      <c r="DM295" s="995">
        <v>142</v>
      </c>
      <c r="DN295" s="995">
        <v>0.65600000000000003</v>
      </c>
      <c r="DO295" s="995">
        <v>58.3</v>
      </c>
      <c r="DP295" s="995">
        <v>1.113</v>
      </c>
      <c r="DQ295" s="995">
        <v>254.01</v>
      </c>
      <c r="DR295" s="995">
        <v>3254210</v>
      </c>
      <c r="DS295" s="995">
        <v>12.63</v>
      </c>
      <c r="DT295" s="995">
        <v>161808.79999999999</v>
      </c>
    </row>
    <row r="296" spans="1:124">
      <c r="A296" s="42" t="s">
        <v>94</v>
      </c>
      <c r="B296" s="42" t="s">
        <v>502</v>
      </c>
      <c r="C296" s="42" t="s">
        <v>503</v>
      </c>
      <c r="D296" s="42">
        <v>921404</v>
      </c>
      <c r="E296" s="42" t="s">
        <v>508</v>
      </c>
      <c r="F296" s="42" t="s">
        <v>149</v>
      </c>
      <c r="G296" s="42" t="s">
        <v>150</v>
      </c>
      <c r="H296" s="43" t="s">
        <v>150</v>
      </c>
      <c r="I296" s="44">
        <v>6</v>
      </c>
      <c r="J296" s="45">
        <v>183858.71280000001</v>
      </c>
      <c r="K296" s="46">
        <v>10172.002901</v>
      </c>
      <c r="L296" s="47">
        <v>194030.71570100001</v>
      </c>
      <c r="M296" s="48">
        <v>3949408</v>
      </c>
      <c r="N296" s="49">
        <v>2726333</v>
      </c>
      <c r="O296" s="49">
        <v>1223075</v>
      </c>
      <c r="P296" s="49">
        <v>0</v>
      </c>
      <c r="Q296" s="50">
        <v>8991.1308656036399</v>
      </c>
      <c r="R296" s="51">
        <v>1497.3006833480699</v>
      </c>
      <c r="S296" s="49">
        <v>2806.8030641517598</v>
      </c>
      <c r="T296" s="49">
        <v>564.46047051486903</v>
      </c>
      <c r="U296" s="49">
        <f>IFERROR(INDEX('Rentabilidad datos'!$N$2:$N$61,MATCH($C296,'Rentabilidad datos'!$C$2:$C$61,0)),"")</f>
        <v>4868.5642180146951</v>
      </c>
      <c r="V296" s="50">
        <f>IFERROR(INDEX('Rentabilidad datos'!$O$2:$O$61,MATCH($C296,'Rentabilidad datos'!$C$2:$C$61,0)),"")</f>
        <v>1217.1410545036738</v>
      </c>
      <c r="W296" s="51">
        <f>IFERROR(INDEX('Rentabilidad datos'!$M$2:$M$61,MATCH($C296,'Rentabilidad datos'!$C$2:$C$61,0)),"")</f>
        <v>2793.6211682944554</v>
      </c>
      <c r="X296" s="52">
        <f>IFERROR(INDEX('Rentabilidad datos'!$P$2:$P$61,MATCH($C296,'Rentabilidad datos'!$C$2:$C$61,0)),"")</f>
        <v>0.43568579316241196</v>
      </c>
      <c r="Y296" s="43" t="s">
        <v>171</v>
      </c>
      <c r="Z296" s="53">
        <v>70.182232346241506</v>
      </c>
      <c r="AA296" s="43">
        <v>1</v>
      </c>
      <c r="AB296" s="54">
        <v>1</v>
      </c>
      <c r="AC296" s="55">
        <v>0</v>
      </c>
      <c r="AD296" s="752" t="e">
        <f>_xlfn.XLOOKUP(Table1[[#This Row],[Ruta]],#REF!,#REF!)</f>
        <v>#REF!</v>
      </c>
      <c r="AE296" s="752" t="e">
        <f>_xlfn.XLOOKUP(Table1[[#This Row],[Ruta]],#REF!,#REF!)</f>
        <v>#REF!</v>
      </c>
      <c r="AF296" s="752" t="e">
        <f>_xlfn.XLOOKUP(Table1[[#This Row],[Ruta]],#REF!,#REF!)</f>
        <v>#REF!</v>
      </c>
      <c r="AG296" s="752" t="e">
        <f>_xlfn.XLOOKUP(Table1[[#This Row],[Ruta]],#REF!,#REF!)</f>
        <v>#REF!</v>
      </c>
      <c r="AH296" s="52">
        <v>0.6903143458462635</v>
      </c>
      <c r="AI296" s="52">
        <v>0.30968565415373644</v>
      </c>
      <c r="AJ296" s="55">
        <v>0</v>
      </c>
      <c r="AK296" s="56">
        <v>30810</v>
      </c>
      <c r="AL296" s="44">
        <v>16839</v>
      </c>
      <c r="AM296" s="54">
        <v>0.54654333008763401</v>
      </c>
      <c r="AN296" s="55">
        <v>0.54654333008763401</v>
      </c>
      <c r="AO296" s="56">
        <v>0</v>
      </c>
      <c r="AP296" s="48">
        <v>0</v>
      </c>
      <c r="AQ296" s="55">
        <v>0.54654333008763389</v>
      </c>
      <c r="AR296" s="51">
        <v>3947106.45</v>
      </c>
      <c r="AS296" s="49">
        <v>0</v>
      </c>
      <c r="AT296" s="55">
        <v>0</v>
      </c>
      <c r="AU296" s="51">
        <v>0</v>
      </c>
      <c r="AV296" s="52">
        <v>0</v>
      </c>
      <c r="AW296" s="44">
        <v>490</v>
      </c>
      <c r="AX296" s="51">
        <v>234.40266345982499</v>
      </c>
      <c r="AY296" s="49">
        <v>269.438682709587</v>
      </c>
      <c r="AZ296" s="49">
        <v>35.036019249762006</v>
      </c>
      <c r="BA296" s="42" t="s">
        <v>150</v>
      </c>
      <c r="BB296" s="50">
        <v>207287.29367317984</v>
      </c>
      <c r="BC296" s="57">
        <v>207287.29367317984</v>
      </c>
      <c r="BD296" s="42" t="s">
        <v>150</v>
      </c>
      <c r="BE296" s="46">
        <v>70.182232346241506</v>
      </c>
      <c r="BF296" s="46">
        <v>77.052752293577996</v>
      </c>
      <c r="BG296" s="42" t="s">
        <v>152</v>
      </c>
      <c r="BH296" s="52">
        <v>0.54654333008763401</v>
      </c>
      <c r="BI296" s="52">
        <v>0.58451671985922604</v>
      </c>
      <c r="BJ296" s="42" t="s">
        <v>152</v>
      </c>
      <c r="BK296" s="46">
        <v>441.98340706378099</v>
      </c>
      <c r="BL296" s="46">
        <v>592.94411248383199</v>
      </c>
      <c r="BM296" s="42" t="s">
        <v>152</v>
      </c>
      <c r="BN296" s="48">
        <v>0</v>
      </c>
      <c r="BO296" s="42" t="s">
        <v>155</v>
      </c>
      <c r="BP296" s="42" t="s">
        <v>152</v>
      </c>
      <c r="BQ296" s="46">
        <v>0</v>
      </c>
      <c r="BR296" s="46">
        <v>594</v>
      </c>
      <c r="BS296" s="46">
        <v>36933</v>
      </c>
      <c r="BT296" s="46">
        <v>9584</v>
      </c>
      <c r="BU296" s="46">
        <v>3.853610183639399</v>
      </c>
      <c r="BV296" s="46">
        <v>16.134680134680135</v>
      </c>
      <c r="BW296" s="46">
        <v>0</v>
      </c>
      <c r="BX296" s="46">
        <v>0</v>
      </c>
      <c r="BY296" s="46">
        <v>0</v>
      </c>
      <c r="BZ296" s="46">
        <v>0</v>
      </c>
      <c r="CA296" s="46">
        <v>0</v>
      </c>
      <c r="CB296" s="46">
        <v>0</v>
      </c>
      <c r="CC296" s="46">
        <v>0.14378130217028379</v>
      </c>
      <c r="CD296" s="46">
        <v>0</v>
      </c>
      <c r="CE296" s="46">
        <v>0</v>
      </c>
      <c r="CF296" s="46">
        <v>0.85621869782971616</v>
      </c>
      <c r="CG296" s="46">
        <v>0</v>
      </c>
      <c r="CH296" s="46">
        <v>0</v>
      </c>
      <c r="CI296" s="46">
        <v>10.207673354452661</v>
      </c>
      <c r="CJ296" s="46">
        <v>0.13538028321555251</v>
      </c>
      <c r="CK296">
        <v>262</v>
      </c>
      <c r="CL296">
        <v>262</v>
      </c>
      <c r="CM296">
        <f t="shared" si="35"/>
        <v>0</v>
      </c>
      <c r="CO296">
        <v>9.4499999999999993</v>
      </c>
      <c r="CP296">
        <f t="shared" si="36"/>
        <v>9.4499999999999993</v>
      </c>
      <c r="CS296">
        <f t="shared" si="37"/>
        <v>0</v>
      </c>
      <c r="CV296">
        <v>0</v>
      </c>
      <c r="CW296" s="46">
        <v>0</v>
      </c>
      <c r="CX296" s="46">
        <f t="shared" si="31"/>
        <v>0</v>
      </c>
      <c r="CY296" s="46">
        <v>0</v>
      </c>
      <c r="CZ296" s="46">
        <f t="shared" si="32"/>
        <v>0</v>
      </c>
      <c r="DA296" s="46">
        <f t="shared" si="33"/>
        <v>0</v>
      </c>
      <c r="DB296" s="46">
        <v>0</v>
      </c>
      <c r="DC296" s="46">
        <f t="shared" si="34"/>
        <v>0</v>
      </c>
      <c r="DD296" s="46">
        <v>0</v>
      </c>
      <c r="DE296" s="995">
        <v>0</v>
      </c>
      <c r="DF296" s="995">
        <v>0</v>
      </c>
      <c r="DG296" s="995">
        <v>0</v>
      </c>
      <c r="DH296" s="995">
        <v>0</v>
      </c>
      <c r="DI296" s="995">
        <v>290.25200000000001</v>
      </c>
      <c r="DJ296" s="995">
        <v>2781774</v>
      </c>
      <c r="DK296" s="995">
        <v>13.718</v>
      </c>
      <c r="DL296" s="995">
        <v>131474.1</v>
      </c>
      <c r="DM296" s="995">
        <v>0</v>
      </c>
      <c r="DN296" s="995">
        <v>0</v>
      </c>
      <c r="DO296" s="995">
        <v>0</v>
      </c>
      <c r="DP296" s="995">
        <v>0</v>
      </c>
      <c r="DQ296" s="995">
        <v>290.25200000000001</v>
      </c>
      <c r="DR296" s="995">
        <v>2781774</v>
      </c>
      <c r="DS296" s="995">
        <v>13.718</v>
      </c>
      <c r="DT296" s="995">
        <v>131474.1</v>
      </c>
    </row>
    <row r="297" spans="1:124">
      <c r="A297" s="42" t="s">
        <v>94</v>
      </c>
      <c r="B297" s="42" t="s">
        <v>502</v>
      </c>
      <c r="C297" s="42" t="s">
        <v>503</v>
      </c>
      <c r="D297" s="42">
        <v>921405</v>
      </c>
      <c r="E297" s="42" t="s">
        <v>509</v>
      </c>
      <c r="F297" s="42" t="s">
        <v>193</v>
      </c>
      <c r="G297" s="42" t="s">
        <v>150</v>
      </c>
      <c r="H297" s="43" t="s">
        <v>152</v>
      </c>
      <c r="I297" s="44">
        <v>6</v>
      </c>
      <c r="J297" s="45">
        <v>3532.9672</v>
      </c>
      <c r="K297" s="46">
        <v>500.16821800000002</v>
      </c>
      <c r="L297" s="47">
        <v>4033.1354179999998</v>
      </c>
      <c r="M297" s="48">
        <v>86617</v>
      </c>
      <c r="N297" s="49">
        <v>39791</v>
      </c>
      <c r="O297" s="49">
        <v>46826</v>
      </c>
      <c r="P297" s="49">
        <v>0</v>
      </c>
      <c r="Q297" s="50">
        <v>0</v>
      </c>
      <c r="R297" s="51">
        <v>1497.3006833480699</v>
      </c>
      <c r="S297" s="49">
        <v>2806.8030641517598</v>
      </c>
      <c r="T297" s="49">
        <v>564.46047051486903</v>
      </c>
      <c r="U297" s="49">
        <f>IFERROR(INDEX('Rentabilidad datos'!$N$2:$N$61,MATCH($C297,'Rentabilidad datos'!$C$2:$C$61,0)),"")</f>
        <v>4868.5642180146951</v>
      </c>
      <c r="V297" s="50">
        <f>IFERROR(INDEX('Rentabilidad datos'!$O$2:$O$61,MATCH($C297,'Rentabilidad datos'!$C$2:$C$61,0)),"")</f>
        <v>1217.1410545036738</v>
      </c>
      <c r="W297" s="51">
        <f>IFERROR(INDEX('Rentabilidad datos'!$M$2:$M$61,MATCH($C297,'Rentabilidad datos'!$C$2:$C$61,0)),"")</f>
        <v>2793.6211682944554</v>
      </c>
      <c r="X297" s="52">
        <f>IFERROR(INDEX('Rentabilidad datos'!$P$2:$P$61,MATCH($C297,'Rentabilidad datos'!$C$2:$C$61,0)),"")</f>
        <v>0.43568579316241196</v>
      </c>
      <c r="Y297" s="43" t="s">
        <v>171</v>
      </c>
      <c r="Z297" s="53">
        <v>11.285714285714301</v>
      </c>
      <c r="AA297" s="43">
        <v>1</v>
      </c>
      <c r="AB297" s="54">
        <v>1</v>
      </c>
      <c r="AC297" s="55">
        <v>0</v>
      </c>
      <c r="AD297" s="752" t="e">
        <f>_xlfn.XLOOKUP(Table1[[#This Row],[Ruta]],#REF!,#REF!)</f>
        <v>#REF!</v>
      </c>
      <c r="AE297" s="752" t="e">
        <f>_xlfn.XLOOKUP(Table1[[#This Row],[Ruta]],#REF!,#REF!)</f>
        <v>#REF!</v>
      </c>
      <c r="AF297" s="752" t="e">
        <f>_xlfn.XLOOKUP(Table1[[#This Row],[Ruta]],#REF!,#REF!)</f>
        <v>#REF!</v>
      </c>
      <c r="AG297" s="752" t="e">
        <f>_xlfn.XLOOKUP(Table1[[#This Row],[Ruta]],#REF!,#REF!)</f>
        <v>#REF!</v>
      </c>
      <c r="AH297" s="52">
        <v>0.45939018899292289</v>
      </c>
      <c r="AI297" s="52">
        <v>0.54060981100707717</v>
      </c>
      <c r="AJ297" s="55">
        <v>0</v>
      </c>
      <c r="AK297" s="56">
        <v>632</v>
      </c>
      <c r="AL297" s="44">
        <v>99</v>
      </c>
      <c r="AM297" s="54">
        <v>0.155063291139241</v>
      </c>
      <c r="AN297" s="55">
        <v>0.54654333008763401</v>
      </c>
      <c r="AO297" s="56">
        <v>0</v>
      </c>
      <c r="AP297" s="48">
        <v>0</v>
      </c>
      <c r="AQ297" s="55">
        <v>0.15664556962025317</v>
      </c>
      <c r="AR297" s="51">
        <v>86615.03</v>
      </c>
      <c r="AS297" s="49">
        <v>0</v>
      </c>
      <c r="AT297" s="55">
        <v>0</v>
      </c>
      <c r="AU297" s="51">
        <v>0</v>
      </c>
      <c r="AV297" s="52">
        <v>0</v>
      </c>
      <c r="AW297" s="44">
        <v>490</v>
      </c>
      <c r="AX297" s="51">
        <v>874.89929292929298</v>
      </c>
      <c r="AY297" s="49">
        <v>269.438682709587</v>
      </c>
      <c r="AZ297" s="49">
        <v>0</v>
      </c>
      <c r="BA297" s="42" t="s">
        <v>152</v>
      </c>
      <c r="BB297" s="50">
        <v>0</v>
      </c>
      <c r="BC297" s="57">
        <v>0</v>
      </c>
      <c r="BD297" s="42" t="s">
        <v>152</v>
      </c>
      <c r="BE297" s="46" t="s">
        <v>195</v>
      </c>
      <c r="BF297" s="46" t="s">
        <v>195</v>
      </c>
      <c r="BG297" s="42" t="s">
        <v>195</v>
      </c>
      <c r="BH297" s="52" t="s">
        <v>195</v>
      </c>
      <c r="BI297" s="52" t="s">
        <v>195</v>
      </c>
      <c r="BJ297" s="42" t="s">
        <v>195</v>
      </c>
      <c r="BK297" s="46" t="s">
        <v>195</v>
      </c>
      <c r="BL297" s="46" t="s">
        <v>195</v>
      </c>
      <c r="BM297" s="42" t="s">
        <v>195</v>
      </c>
      <c r="BN297" s="48" t="s">
        <v>195</v>
      </c>
      <c r="BO297" s="42" t="s">
        <v>195</v>
      </c>
      <c r="BP297" s="42" t="s">
        <v>152</v>
      </c>
      <c r="BQ297" s="46">
        <v>0</v>
      </c>
      <c r="BR297" s="46" t="e">
        <v>#N/A</v>
      </c>
      <c r="BS297" s="46" t="e">
        <v>#N/A</v>
      </c>
      <c r="BT297" s="46" t="e">
        <v>#N/A</v>
      </c>
      <c r="BU297" s="46" t="e">
        <v>#N/A</v>
      </c>
      <c r="BV297" s="46" t="e">
        <v>#N/A</v>
      </c>
      <c r="BW297" s="46" t="e">
        <v>#N/A</v>
      </c>
      <c r="BX297" s="46" t="e">
        <v>#N/A</v>
      </c>
      <c r="BY297" s="46" t="e">
        <v>#N/A</v>
      </c>
      <c r="BZ297" s="46" t="e">
        <v>#N/A</v>
      </c>
      <c r="CA297" s="46" t="e">
        <v>#N/A</v>
      </c>
      <c r="CB297" s="46" t="e">
        <v>#N/A</v>
      </c>
      <c r="CC297" s="46" t="e">
        <v>#N/A</v>
      </c>
      <c r="CD297" s="46" t="e">
        <v>#N/A</v>
      </c>
      <c r="CE297" s="46" t="e">
        <v>#N/A</v>
      </c>
      <c r="CF297" s="46" t="e">
        <v>#N/A</v>
      </c>
      <c r="CG297" s="46" t="e">
        <v>#N/A</v>
      </c>
      <c r="CH297" s="46" t="e">
        <v>#N/A</v>
      </c>
      <c r="CI297" s="46" t="e">
        <v>#N/A</v>
      </c>
      <c r="CJ297" s="46" t="e">
        <v>#N/A</v>
      </c>
      <c r="CM297">
        <f t="shared" si="35"/>
        <v>0</v>
      </c>
      <c r="CP297">
        <f t="shared" si="36"/>
        <v>0</v>
      </c>
      <c r="CS297">
        <f t="shared" si="37"/>
        <v>0</v>
      </c>
      <c r="CW297" s="46"/>
      <c r="CX297" s="46" t="e">
        <f t="shared" si="31"/>
        <v>#N/A</v>
      </c>
      <c r="CY297" s="46"/>
      <c r="CZ297" s="46" t="e">
        <f t="shared" si="32"/>
        <v>#N/A</v>
      </c>
      <c r="DA297" s="46" t="e">
        <f t="shared" si="33"/>
        <v>#N/A</v>
      </c>
      <c r="DB297" s="46"/>
      <c r="DC297" s="46" t="e">
        <f t="shared" si="34"/>
        <v>#N/A</v>
      </c>
      <c r="DD297" s="46"/>
      <c r="DE297" s="995" t="s">
        <v>194</v>
      </c>
      <c r="DF297" s="995" t="s">
        <v>194</v>
      </c>
      <c r="DG297" s="995" t="s">
        <v>194</v>
      </c>
      <c r="DH297" s="995" t="s">
        <v>194</v>
      </c>
      <c r="DI297" s="995" t="s">
        <v>194</v>
      </c>
      <c r="DJ297" s="995" t="s">
        <v>194</v>
      </c>
      <c r="DK297" s="995" t="s">
        <v>194</v>
      </c>
      <c r="DL297" s="995" t="s">
        <v>194</v>
      </c>
      <c r="DM297" s="995" t="s">
        <v>194</v>
      </c>
      <c r="DN297" s="995" t="s">
        <v>194</v>
      </c>
      <c r="DO297" s="995" t="s">
        <v>194</v>
      </c>
      <c r="DP297" s="995" t="s">
        <v>194</v>
      </c>
      <c r="DQ297" s="995" t="s">
        <v>194</v>
      </c>
      <c r="DR297" s="995" t="s">
        <v>194</v>
      </c>
      <c r="DS297" s="995" t="s">
        <v>194</v>
      </c>
      <c r="DT297" s="995" t="s">
        <v>194</v>
      </c>
    </row>
    <row r="298" spans="1:124">
      <c r="A298" s="42" t="s">
        <v>94</v>
      </c>
      <c r="B298" s="42" t="s">
        <v>510</v>
      </c>
      <c r="C298" s="42" t="s">
        <v>511</v>
      </c>
      <c r="D298" s="42">
        <v>810320</v>
      </c>
      <c r="E298" s="42" t="s">
        <v>512</v>
      </c>
      <c r="F298" s="42" t="s">
        <v>149</v>
      </c>
      <c r="G298" s="42" t="s">
        <v>150</v>
      </c>
      <c r="H298" s="43" t="s">
        <v>150</v>
      </c>
      <c r="I298" s="44">
        <v>37</v>
      </c>
      <c r="J298" s="45">
        <v>162298.1024</v>
      </c>
      <c r="K298" s="46">
        <v>12968.499288000001</v>
      </c>
      <c r="L298" s="47">
        <v>175266.601688</v>
      </c>
      <c r="M298" s="48">
        <v>3885096</v>
      </c>
      <c r="N298" s="49">
        <v>2372199</v>
      </c>
      <c r="O298" s="49">
        <v>1511265</v>
      </c>
      <c r="P298" s="49">
        <v>1632</v>
      </c>
      <c r="Q298" s="50">
        <v>8766.2808352144493</v>
      </c>
      <c r="R298" s="51">
        <v>19019.595825971701</v>
      </c>
      <c r="S298" s="49">
        <v>33024.392916467499</v>
      </c>
      <c r="T298" s="49">
        <v>5153.20904220803</v>
      </c>
      <c r="U298" s="49">
        <f>IFERROR(INDEX('Rentabilidad datos'!$N$2:$N$61,MATCH($C298,'Rentabilidad datos'!$C$2:$C$61,0)),"")</f>
        <v>57197.197784647178</v>
      </c>
      <c r="V298" s="50">
        <f>IFERROR(INDEX('Rentabilidad datos'!$O$2:$O$61,MATCH($C298,'Rentabilidad datos'!$C$2:$C$61,0)),"")</f>
        <v>1545.8702103958697</v>
      </c>
      <c r="W298" s="51">
        <f>IFERROR(INDEX('Rentabilidad datos'!$M$2:$M$61,MATCH($C298,'Rentabilidad datos'!$C$2:$C$61,0)),"")</f>
        <v>2982.1586443005776</v>
      </c>
      <c r="X298" s="52">
        <f>IFERROR(INDEX('Rentabilidad datos'!$P$2:$P$61,MATCH($C298,'Rentabilidad datos'!$C$2:$C$61,0)),"")</f>
        <v>0.51837289520136554</v>
      </c>
      <c r="Y298" s="43" t="s">
        <v>211</v>
      </c>
      <c r="Z298" s="53">
        <v>99.038929440389296</v>
      </c>
      <c r="AA298" s="43">
        <v>2</v>
      </c>
      <c r="AB298" s="54">
        <v>0.95723194484769492</v>
      </c>
      <c r="AC298" s="55">
        <v>4.2768055152305119E-2</v>
      </c>
      <c r="AD298" s="752" t="e">
        <f>_xlfn.XLOOKUP(Table1[[#This Row],[Ruta]],#REF!,#REF!)</f>
        <v>#REF!</v>
      </c>
      <c r="AE298" s="752" t="e">
        <f>_xlfn.XLOOKUP(Table1[[#This Row],[Ruta]],#REF!,#REF!)</f>
        <v>#REF!</v>
      </c>
      <c r="AF298" s="752" t="e">
        <f>_xlfn.XLOOKUP(Table1[[#This Row],[Ruta]],#REF!,#REF!)</f>
        <v>#REF!</v>
      </c>
      <c r="AG298" s="752" t="e">
        <f>_xlfn.XLOOKUP(Table1[[#This Row],[Ruta]],#REF!,#REF!)</f>
        <v>#REF!</v>
      </c>
      <c r="AH298" s="52">
        <v>0.61058954527764564</v>
      </c>
      <c r="AI298" s="52">
        <v>0.38899038788230716</v>
      </c>
      <c r="AJ298" s="55">
        <v>4.2006684004719573E-4</v>
      </c>
      <c r="AK298" s="56">
        <v>40705</v>
      </c>
      <c r="AL298" s="44">
        <v>14977</v>
      </c>
      <c r="AM298" s="54">
        <v>0.34460140031937098</v>
      </c>
      <c r="AN298" s="55">
        <v>0.59299875749554298</v>
      </c>
      <c r="AO298" s="56">
        <v>10111.014423856101</v>
      </c>
      <c r="AP298" s="48">
        <v>5055.5072119280503</v>
      </c>
      <c r="AQ298" s="55">
        <v>0.49213873509220124</v>
      </c>
      <c r="AR298" s="51">
        <v>3883462.41</v>
      </c>
      <c r="AS298" s="49">
        <v>1310868.1458907949</v>
      </c>
      <c r="AT298" s="55">
        <v>0.33755139293103004</v>
      </c>
      <c r="AU298" s="51">
        <v>921150.58900434268</v>
      </c>
      <c r="AV298" s="52">
        <v>4.1904012002721164E-3</v>
      </c>
      <c r="AW298" s="44">
        <v>55</v>
      </c>
      <c r="AX298" s="51">
        <v>259.29507978901</v>
      </c>
      <c r="AY298" s="49">
        <v>323.84896749365402</v>
      </c>
      <c r="AZ298" s="49">
        <v>64.553887704644012</v>
      </c>
      <c r="BA298" s="42" t="s">
        <v>150</v>
      </c>
      <c r="BB298" s="50">
        <v>339694.76999951073</v>
      </c>
      <c r="BC298" s="57">
        <v>1260845.3590038535</v>
      </c>
      <c r="BD298" s="42" t="s">
        <v>150</v>
      </c>
      <c r="BE298" s="46">
        <v>99.038929440389296</v>
      </c>
      <c r="BF298" s="46">
        <v>72.425990467051307</v>
      </c>
      <c r="BG298" s="42" t="s">
        <v>150</v>
      </c>
      <c r="BH298" s="52">
        <v>0.34460140031937098</v>
      </c>
      <c r="BI298" s="52">
        <v>0.49337264070319697</v>
      </c>
      <c r="BJ298" s="42" t="s">
        <v>152</v>
      </c>
      <c r="BK298" s="46">
        <v>395.63566972460501</v>
      </c>
      <c r="BL298" s="46">
        <v>605.59017138979505</v>
      </c>
      <c r="BM298" s="42" t="s">
        <v>152</v>
      </c>
      <c r="BN298" s="48">
        <v>1</v>
      </c>
      <c r="BO298" s="42" t="s">
        <v>155</v>
      </c>
      <c r="BP298" s="42" t="s">
        <v>152</v>
      </c>
      <c r="BQ298" s="46">
        <v>6327.4694108703097</v>
      </c>
      <c r="BR298" s="46">
        <v>1056</v>
      </c>
      <c r="BS298" s="46">
        <v>67668</v>
      </c>
      <c r="BT298" s="46">
        <v>16845</v>
      </c>
      <c r="BU298" s="46">
        <v>4.0170970614425645</v>
      </c>
      <c r="BV298" s="46">
        <v>15.951704545454545</v>
      </c>
      <c r="BW298" s="46">
        <v>0</v>
      </c>
      <c r="BX298" s="46">
        <v>2928</v>
      </c>
      <c r="BY298" s="46">
        <v>2928</v>
      </c>
      <c r="BZ298" s="46">
        <v>0.17382012466607302</v>
      </c>
      <c r="CA298" s="46">
        <v>0</v>
      </c>
      <c r="CB298" s="46">
        <v>0.17382012466607299</v>
      </c>
      <c r="CC298" s="46">
        <v>0.14384090234490951</v>
      </c>
      <c r="CD298" s="46">
        <v>0</v>
      </c>
      <c r="CE298" s="46">
        <v>1.55535767289997E-2</v>
      </c>
      <c r="CF298" s="46">
        <v>0.66601365390323541</v>
      </c>
      <c r="CG298" s="46">
        <v>7.7174235678242799E-4</v>
      </c>
      <c r="CH298" s="46">
        <v>0</v>
      </c>
      <c r="CI298" s="46">
        <v>6.162440148962582</v>
      </c>
      <c r="CJ298" s="46">
        <v>0.147780339303659</v>
      </c>
      <c r="CK298">
        <v>296</v>
      </c>
      <c r="CL298">
        <v>428.81</v>
      </c>
      <c r="CM298">
        <f t="shared" si="35"/>
        <v>132.81</v>
      </c>
      <c r="CN298">
        <v>9.06</v>
      </c>
      <c r="CO298">
        <v>9.4499999999999993</v>
      </c>
      <c r="CP298">
        <f t="shared" si="36"/>
        <v>0.38999999999999879</v>
      </c>
      <c r="CQ298">
        <v>846.56</v>
      </c>
      <c r="CR298">
        <v>395.64</v>
      </c>
      <c r="CS298">
        <f t="shared" si="37"/>
        <v>450.91999999999996</v>
      </c>
      <c r="CT298" t="s">
        <v>152</v>
      </c>
      <c r="CU298">
        <v>95.89</v>
      </c>
      <c r="CV298">
        <v>94</v>
      </c>
      <c r="CW298" s="46">
        <v>2928</v>
      </c>
      <c r="CX298" s="46">
        <f t="shared" si="31"/>
        <v>16.593588601959038</v>
      </c>
      <c r="CY298" s="46">
        <v>132.81</v>
      </c>
      <c r="CZ298" s="46">
        <f t="shared" si="32"/>
        <v>17.382012466607303</v>
      </c>
      <c r="DA298" s="46">
        <f t="shared" si="33"/>
        <v>118.34060046613784</v>
      </c>
      <c r="DB298" s="46">
        <v>2009164.23</v>
      </c>
      <c r="DC298" s="46">
        <f t="shared" si="34"/>
        <v>5.3490944945196111</v>
      </c>
      <c r="DD298" s="46">
        <v>90815.91</v>
      </c>
      <c r="DE298" s="995">
        <v>2928</v>
      </c>
      <c r="DF298" s="995">
        <v>16.634</v>
      </c>
      <c r="DG298" s="995">
        <v>126</v>
      </c>
      <c r="DH298" s="995">
        <v>17.382000000000001</v>
      </c>
      <c r="DI298" s="995">
        <v>288.37400000000002</v>
      </c>
      <c r="DJ298" s="995">
        <v>4893989</v>
      </c>
      <c r="DK298" s="995">
        <v>12.87</v>
      </c>
      <c r="DL298" s="995">
        <v>218421.4</v>
      </c>
      <c r="DM298" s="995">
        <v>2928</v>
      </c>
      <c r="DN298" s="995">
        <v>16.640999999999998</v>
      </c>
      <c r="DO298" s="995">
        <v>124.8</v>
      </c>
      <c r="DP298" s="995">
        <v>17.382000000000001</v>
      </c>
      <c r="DQ298" s="995">
        <v>287.53699999999998</v>
      </c>
      <c r="DR298" s="995">
        <v>4879432</v>
      </c>
      <c r="DS298" s="995">
        <v>12.832000000000001</v>
      </c>
      <c r="DT298" s="995">
        <v>217750.8</v>
      </c>
    </row>
    <row r="299" spans="1:124">
      <c r="A299" s="42" t="s">
        <v>94</v>
      </c>
      <c r="B299" s="42" t="s">
        <v>510</v>
      </c>
      <c r="C299" s="42" t="s">
        <v>511</v>
      </c>
      <c r="D299" s="42">
        <v>810321</v>
      </c>
      <c r="E299" s="42" t="s">
        <v>513</v>
      </c>
      <c r="F299" s="42" t="s">
        <v>149</v>
      </c>
      <c r="G299" s="42" t="s">
        <v>150</v>
      </c>
      <c r="H299" s="43" t="s">
        <v>150</v>
      </c>
      <c r="I299" s="44">
        <v>37</v>
      </c>
      <c r="J299" s="45">
        <v>193538.26799999899</v>
      </c>
      <c r="K299" s="46">
        <v>14237.178142000001</v>
      </c>
      <c r="L299" s="47">
        <v>207775.44614199901</v>
      </c>
      <c r="M299" s="48">
        <v>4430190</v>
      </c>
      <c r="N299" s="49">
        <v>2786316</v>
      </c>
      <c r="O299" s="49">
        <v>1643733</v>
      </c>
      <c r="P299" s="49">
        <v>141</v>
      </c>
      <c r="Q299" s="50">
        <v>10231.066997690499</v>
      </c>
      <c r="R299" s="51">
        <v>19019.595825971701</v>
      </c>
      <c r="S299" s="49">
        <v>33024.392916467499</v>
      </c>
      <c r="T299" s="49">
        <v>5153.20904220803</v>
      </c>
      <c r="U299" s="49">
        <f>IFERROR(INDEX('Rentabilidad datos'!$N$2:$N$61,MATCH($C299,'Rentabilidad datos'!$C$2:$C$61,0)),"")</f>
        <v>57197.197784647178</v>
      </c>
      <c r="V299" s="50">
        <f>IFERROR(INDEX('Rentabilidad datos'!$O$2:$O$61,MATCH($C299,'Rentabilidad datos'!$C$2:$C$61,0)),"")</f>
        <v>1545.8702103958697</v>
      </c>
      <c r="W299" s="51">
        <f>IFERROR(INDEX('Rentabilidad datos'!$M$2:$M$61,MATCH($C299,'Rentabilidad datos'!$C$2:$C$61,0)),"")</f>
        <v>2982.1586443005776</v>
      </c>
      <c r="X299" s="52">
        <f>IFERROR(INDEX('Rentabilidad datos'!$P$2:$P$61,MATCH($C299,'Rentabilidad datos'!$C$2:$C$61,0)),"")</f>
        <v>0.51837289520136554</v>
      </c>
      <c r="Y299" s="43" t="s">
        <v>211</v>
      </c>
      <c r="Z299" s="53">
        <v>93.179104477611901</v>
      </c>
      <c r="AA299" s="43">
        <v>2</v>
      </c>
      <c r="AB299" s="54">
        <v>0.98359370591329043</v>
      </c>
      <c r="AC299" s="55">
        <v>1.64062940867096E-2</v>
      </c>
      <c r="AD299" s="752" t="e">
        <f>_xlfn.XLOOKUP(Table1[[#This Row],[Ruta]],#REF!,#REF!)</f>
        <v>#REF!</v>
      </c>
      <c r="AE299" s="752" t="e">
        <f>_xlfn.XLOOKUP(Table1[[#This Row],[Ruta]],#REF!,#REF!)</f>
        <v>#REF!</v>
      </c>
      <c r="AF299" s="752" t="e">
        <f>_xlfn.XLOOKUP(Table1[[#This Row],[Ruta]],#REF!,#REF!)</f>
        <v>#REF!</v>
      </c>
      <c r="AG299" s="752" t="e">
        <f>_xlfn.XLOOKUP(Table1[[#This Row],[Ruta]],#REF!,#REF!)</f>
        <v>#REF!</v>
      </c>
      <c r="AH299" s="52">
        <v>0.62893826224157434</v>
      </c>
      <c r="AI299" s="52">
        <v>0.37102991068103175</v>
      </c>
      <c r="AJ299" s="55">
        <v>3.1827077393971818E-5</v>
      </c>
      <c r="AK299" s="56">
        <v>37458</v>
      </c>
      <c r="AL299" s="44">
        <v>20275</v>
      </c>
      <c r="AM299" s="54">
        <v>0.50563297559933795</v>
      </c>
      <c r="AN299" s="55">
        <v>0.59299875749554298</v>
      </c>
      <c r="AO299" s="56">
        <v>3272.5474582680599</v>
      </c>
      <c r="AP299" s="48">
        <v>1636.27372913403</v>
      </c>
      <c r="AQ299" s="55">
        <v>0.5849557832541521</v>
      </c>
      <c r="AR299" s="51">
        <v>4430052.01</v>
      </c>
      <c r="AS299" s="49">
        <v>357522.94563059951</v>
      </c>
      <c r="AT299" s="55">
        <v>8.0704006369126016E-2</v>
      </c>
      <c r="AU299" s="51">
        <v>251232.34017285382</v>
      </c>
      <c r="AV299" s="52">
        <v>1.1428796902202666E-3</v>
      </c>
      <c r="AW299" s="44">
        <v>276</v>
      </c>
      <c r="AX299" s="51">
        <v>218.49824956843401</v>
      </c>
      <c r="AY299" s="49">
        <v>323.84896749365402</v>
      </c>
      <c r="AZ299" s="49">
        <v>105.35071792522001</v>
      </c>
      <c r="BA299" s="42" t="s">
        <v>150</v>
      </c>
      <c r="BB299" s="50">
        <v>750481.49938215886</v>
      </c>
      <c r="BC299" s="57">
        <v>1001713.8395550126</v>
      </c>
      <c r="BD299" s="42" t="s">
        <v>150</v>
      </c>
      <c r="BE299" s="46">
        <v>93.179104477611901</v>
      </c>
      <c r="BF299" s="46">
        <v>72.425990467051307</v>
      </c>
      <c r="BG299" s="42" t="s">
        <v>150</v>
      </c>
      <c r="BH299" s="52">
        <v>0.50563297559933795</v>
      </c>
      <c r="BI299" s="52">
        <v>0.49337264070319697</v>
      </c>
      <c r="BJ299" s="42" t="s">
        <v>150</v>
      </c>
      <c r="BK299" s="46">
        <v>479.85091487759701</v>
      </c>
      <c r="BL299" s="46">
        <v>605.59017138979505</v>
      </c>
      <c r="BM299" s="42" t="s">
        <v>152</v>
      </c>
      <c r="BN299" s="48">
        <v>2</v>
      </c>
      <c r="BO299" s="42" t="s">
        <v>161</v>
      </c>
      <c r="BP299" s="42" t="s">
        <v>152</v>
      </c>
      <c r="BQ299" s="46">
        <v>0</v>
      </c>
      <c r="BR299" s="46">
        <v>838</v>
      </c>
      <c r="BS299" s="46">
        <v>82634</v>
      </c>
      <c r="BT299" s="46">
        <v>20115</v>
      </c>
      <c r="BU299" s="46">
        <v>4.108078548347005</v>
      </c>
      <c r="BV299" s="46">
        <v>24.003579952267302</v>
      </c>
      <c r="BW299" s="46">
        <v>0</v>
      </c>
      <c r="BX299" s="46">
        <v>0</v>
      </c>
      <c r="BY299" s="46">
        <v>0</v>
      </c>
      <c r="BZ299" s="46">
        <v>0</v>
      </c>
      <c r="CA299" s="46">
        <v>0</v>
      </c>
      <c r="CB299" s="46">
        <v>0</v>
      </c>
      <c r="CC299" s="46">
        <v>0</v>
      </c>
      <c r="CD299" s="46">
        <v>8.5160328113348241E-2</v>
      </c>
      <c r="CE299" s="46">
        <v>8.2525478498632863E-3</v>
      </c>
      <c r="CF299" s="46">
        <v>0.90658712403678843</v>
      </c>
      <c r="CG299" s="46">
        <v>0</v>
      </c>
      <c r="CH299" s="46">
        <v>0</v>
      </c>
      <c r="CI299" s="46">
        <v>6.9220901807972508</v>
      </c>
      <c r="CJ299" s="46">
        <v>6.050778130067528E-2</v>
      </c>
      <c r="CK299">
        <v>368</v>
      </c>
      <c r="CL299">
        <v>368</v>
      </c>
      <c r="CM299">
        <f t="shared" si="35"/>
        <v>0</v>
      </c>
      <c r="CO299">
        <v>9.4499999999999993</v>
      </c>
      <c r="CP299">
        <f t="shared" si="36"/>
        <v>9.4499999999999993</v>
      </c>
      <c r="CS299">
        <f t="shared" si="37"/>
        <v>0</v>
      </c>
      <c r="CV299">
        <v>0</v>
      </c>
      <c r="CW299" s="46">
        <v>0</v>
      </c>
      <c r="CX299" s="46">
        <f t="shared" si="31"/>
        <v>0</v>
      </c>
      <c r="CY299" s="46">
        <v>0</v>
      </c>
      <c r="CZ299" s="46">
        <f t="shared" si="32"/>
        <v>0</v>
      </c>
      <c r="DA299" s="46">
        <f t="shared" si="33"/>
        <v>0</v>
      </c>
      <c r="DB299" s="46">
        <v>0</v>
      </c>
      <c r="DC299" s="46">
        <f t="shared" si="34"/>
        <v>0</v>
      </c>
      <c r="DD299" s="46">
        <v>0</v>
      </c>
      <c r="DE299" s="995">
        <v>0</v>
      </c>
      <c r="DF299" s="995">
        <v>0</v>
      </c>
      <c r="DG299" s="995">
        <v>0</v>
      </c>
      <c r="DH299" s="995">
        <v>0</v>
      </c>
      <c r="DI299" s="995">
        <v>182.91499999999999</v>
      </c>
      <c r="DJ299" s="995">
        <v>3679340</v>
      </c>
      <c r="DK299" s="995">
        <v>8.2119999999999997</v>
      </c>
      <c r="DL299" s="995">
        <v>165177.60000000001</v>
      </c>
      <c r="DM299" s="995">
        <v>0</v>
      </c>
      <c r="DN299" s="995">
        <v>0</v>
      </c>
      <c r="DO299" s="995">
        <v>0</v>
      </c>
      <c r="DP299" s="995">
        <v>0</v>
      </c>
      <c r="DQ299" s="995">
        <v>182.91499999999999</v>
      </c>
      <c r="DR299" s="995">
        <v>3679340</v>
      </c>
      <c r="DS299" s="995">
        <v>8.2119999999999997</v>
      </c>
      <c r="DT299" s="995">
        <v>165177.60000000001</v>
      </c>
    </row>
    <row r="300" spans="1:124">
      <c r="A300" s="42" t="s">
        <v>94</v>
      </c>
      <c r="B300" s="42" t="s">
        <v>510</v>
      </c>
      <c r="C300" s="42" t="s">
        <v>511</v>
      </c>
      <c r="D300" s="42">
        <v>810322</v>
      </c>
      <c r="E300" s="42" t="s">
        <v>514</v>
      </c>
      <c r="F300" s="42" t="s">
        <v>149</v>
      </c>
      <c r="G300" s="42" t="s">
        <v>150</v>
      </c>
      <c r="H300" s="43" t="s">
        <v>150</v>
      </c>
      <c r="I300" s="44">
        <v>37</v>
      </c>
      <c r="J300" s="45">
        <v>214323.95039999901</v>
      </c>
      <c r="K300" s="46">
        <v>11949.620363</v>
      </c>
      <c r="L300" s="47">
        <v>226273.570763</v>
      </c>
      <c r="M300" s="48">
        <v>4645023</v>
      </c>
      <c r="N300" s="49">
        <v>3112459</v>
      </c>
      <c r="O300" s="49">
        <v>1534473</v>
      </c>
      <c r="P300" s="49">
        <v>-1909</v>
      </c>
      <c r="Q300" s="50">
        <v>10609.4407990868</v>
      </c>
      <c r="R300" s="51">
        <v>19019.595825971701</v>
      </c>
      <c r="S300" s="49">
        <v>33024.392916467499</v>
      </c>
      <c r="T300" s="49">
        <v>5153.20904220803</v>
      </c>
      <c r="U300" s="49">
        <f>IFERROR(INDEX('Rentabilidad datos'!$N$2:$N$61,MATCH($C300,'Rentabilidad datos'!$C$2:$C$61,0)),"")</f>
        <v>57197.197784647178</v>
      </c>
      <c r="V300" s="50">
        <f>IFERROR(INDEX('Rentabilidad datos'!$O$2:$O$61,MATCH($C300,'Rentabilidad datos'!$C$2:$C$61,0)),"")</f>
        <v>1545.8702103958697</v>
      </c>
      <c r="W300" s="51">
        <f>IFERROR(INDEX('Rentabilidad datos'!$M$2:$M$61,MATCH($C300,'Rentabilidad datos'!$C$2:$C$61,0)),"")</f>
        <v>2982.1586443005776</v>
      </c>
      <c r="X300" s="52">
        <f>IFERROR(INDEX('Rentabilidad datos'!$P$2:$P$61,MATCH($C300,'Rentabilidad datos'!$C$2:$C$61,0)),"")</f>
        <v>0.51837289520136554</v>
      </c>
      <c r="Y300" s="43" t="s">
        <v>211</v>
      </c>
      <c r="Z300" s="53">
        <v>81.886977886977903</v>
      </c>
      <c r="AA300" s="43">
        <v>2</v>
      </c>
      <c r="AB300" s="54">
        <v>0.97357860230186155</v>
      </c>
      <c r="AC300" s="55">
        <v>2.6421397698138414E-2</v>
      </c>
      <c r="AD300" s="752" t="e">
        <f>_xlfn.XLOOKUP(Table1[[#This Row],[Ruta]],#REF!,#REF!)</f>
        <v>#REF!</v>
      </c>
      <c r="AE300" s="752" t="e">
        <f>_xlfn.XLOOKUP(Table1[[#This Row],[Ruta]],#REF!,#REF!)</f>
        <v>#REF!</v>
      </c>
      <c r="AF300" s="752" t="e">
        <f>_xlfn.XLOOKUP(Table1[[#This Row],[Ruta]],#REF!,#REF!)</f>
        <v>#REF!</v>
      </c>
      <c r="AG300" s="752" t="e">
        <f>_xlfn.XLOOKUP(Table1[[#This Row],[Ruta]],#REF!,#REF!)</f>
        <v>#REF!</v>
      </c>
      <c r="AH300" s="52">
        <v>0.67006320528445174</v>
      </c>
      <c r="AI300" s="52">
        <v>0.33034777222846906</v>
      </c>
      <c r="AJ300" s="55">
        <v>-4.109775129208187E-4</v>
      </c>
      <c r="AK300" s="56">
        <v>33328</v>
      </c>
      <c r="AL300" s="44">
        <v>20796</v>
      </c>
      <c r="AM300" s="54">
        <v>0.57693230916946703</v>
      </c>
      <c r="AN300" s="55">
        <v>0.59299875749554298</v>
      </c>
      <c r="AO300" s="56">
        <v>535.46258981146502</v>
      </c>
      <c r="AP300" s="48">
        <v>267.73129490573251</v>
      </c>
      <c r="AQ300" s="55">
        <v>0.63201306093692189</v>
      </c>
      <c r="AR300" s="51">
        <v>4646935.07</v>
      </c>
      <c r="AS300" s="49">
        <v>59825.444490957998</v>
      </c>
      <c r="AT300" s="55">
        <v>1.2874172672905023E-2</v>
      </c>
      <c r="AU300" s="51">
        <v>42039.501534186718</v>
      </c>
      <c r="AV300" s="52">
        <v>1.9124167078708452E-4</v>
      </c>
      <c r="AW300" s="44">
        <v>441</v>
      </c>
      <c r="AX300" s="51">
        <v>223.45331169455699</v>
      </c>
      <c r="AY300" s="49">
        <v>323.84896749365402</v>
      </c>
      <c r="AZ300" s="49">
        <v>100.39565579909703</v>
      </c>
      <c r="BA300" s="42" t="s">
        <v>150</v>
      </c>
      <c r="BB300" s="50">
        <v>733561.2095668728</v>
      </c>
      <c r="BC300" s="57">
        <v>775600.71110105957</v>
      </c>
      <c r="BD300" s="42" t="s">
        <v>150</v>
      </c>
      <c r="BE300" s="46">
        <v>81.886977886977903</v>
      </c>
      <c r="BF300" s="46">
        <v>72.425990467051307</v>
      </c>
      <c r="BG300" s="42" t="s">
        <v>150</v>
      </c>
      <c r="BH300" s="52">
        <v>0.57693230916946703</v>
      </c>
      <c r="BI300" s="52">
        <v>0.49337264070319697</v>
      </c>
      <c r="BJ300" s="42" t="s">
        <v>150</v>
      </c>
      <c r="BK300" s="46">
        <v>516.60632594292099</v>
      </c>
      <c r="BL300" s="46">
        <v>605.59017138979505</v>
      </c>
      <c r="BM300" s="42" t="s">
        <v>152</v>
      </c>
      <c r="BN300" s="48">
        <v>2</v>
      </c>
      <c r="BO300" s="42" t="s">
        <v>161</v>
      </c>
      <c r="BP300" s="42" t="s">
        <v>152</v>
      </c>
      <c r="BQ300" s="46">
        <v>0</v>
      </c>
      <c r="BR300" s="46">
        <v>293</v>
      </c>
      <c r="BS300" s="46">
        <v>24750</v>
      </c>
      <c r="BT300" s="46">
        <v>6771</v>
      </c>
      <c r="BU300" s="46">
        <v>3.6552946389011964</v>
      </c>
      <c r="BV300" s="46">
        <v>23.109215017064848</v>
      </c>
      <c r="BW300" s="46">
        <v>0</v>
      </c>
      <c r="BX300" s="46">
        <v>3114</v>
      </c>
      <c r="BY300" s="46">
        <v>3114</v>
      </c>
      <c r="BZ300" s="46">
        <v>0.45990252547629595</v>
      </c>
      <c r="CA300" s="46">
        <v>0</v>
      </c>
      <c r="CB300" s="46">
        <v>0.45990252547629601</v>
      </c>
      <c r="CC300" s="46">
        <v>0.39713483975779063</v>
      </c>
      <c r="CD300" s="46">
        <v>2.9537734455767242E-4</v>
      </c>
      <c r="CE300" s="46">
        <v>0</v>
      </c>
      <c r="CF300" s="46">
        <v>0.14251956874907701</v>
      </c>
      <c r="CG300" s="46">
        <v>0</v>
      </c>
      <c r="CH300" s="46">
        <v>1.4768867227883621E-4</v>
      </c>
      <c r="CI300" s="46">
        <v>5.4545454545454541</v>
      </c>
      <c r="CJ300" s="46">
        <v>0.32323232323232332</v>
      </c>
      <c r="CK300">
        <v>360</v>
      </c>
      <c r="CL300">
        <v>465.75</v>
      </c>
      <c r="CM300">
        <f t="shared" si="35"/>
        <v>105.75</v>
      </c>
      <c r="CN300">
        <v>7.92</v>
      </c>
      <c r="CO300">
        <v>9.4499999999999993</v>
      </c>
      <c r="CP300">
        <f t="shared" si="36"/>
        <v>1.5299999999999994</v>
      </c>
      <c r="CQ300">
        <v>846.56</v>
      </c>
      <c r="CR300">
        <v>516.61</v>
      </c>
      <c r="CS300">
        <f t="shared" si="37"/>
        <v>329.94999999999993</v>
      </c>
      <c r="CT300" t="s">
        <v>152</v>
      </c>
      <c r="CU300">
        <v>85.6</v>
      </c>
      <c r="CV300">
        <v>237</v>
      </c>
      <c r="CW300" s="46">
        <v>3114</v>
      </c>
      <c r="CX300" s="46">
        <f t="shared" si="31"/>
        <v>44.428444838280903</v>
      </c>
      <c r="CY300" s="46">
        <v>105.75</v>
      </c>
      <c r="CZ300" s="46">
        <f t="shared" si="32"/>
        <v>45.990252547629595</v>
      </c>
      <c r="DA300" s="46">
        <f t="shared" si="33"/>
        <v>285.85460428254623</v>
      </c>
      <c r="DB300" s="46">
        <v>1965750.65</v>
      </c>
      <c r="DC300" s="46">
        <f t="shared" si="34"/>
        <v>13.87904024430145</v>
      </c>
      <c r="DD300" s="46">
        <v>95442.69</v>
      </c>
      <c r="DE300" s="995">
        <v>3114</v>
      </c>
      <c r="DF300" s="995">
        <v>44.524000000000001</v>
      </c>
      <c r="DG300" s="995">
        <v>99.3</v>
      </c>
      <c r="DH300" s="995">
        <v>45.99</v>
      </c>
      <c r="DI300" s="995">
        <v>792.87900000000002</v>
      </c>
      <c r="DJ300" s="995">
        <v>5447295</v>
      </c>
      <c r="DK300" s="995">
        <v>37.957000000000001</v>
      </c>
      <c r="DL300" s="995">
        <v>260776.1</v>
      </c>
      <c r="DM300" s="995">
        <v>3114</v>
      </c>
      <c r="DN300" s="995">
        <v>44.783000000000001</v>
      </c>
      <c r="DO300" s="995">
        <v>81.8</v>
      </c>
      <c r="DP300" s="995">
        <v>45.99</v>
      </c>
      <c r="DQ300" s="995">
        <v>767.96900000000005</v>
      </c>
      <c r="DR300" s="995">
        <v>5262701</v>
      </c>
      <c r="DS300" s="995">
        <v>36.698999999999998</v>
      </c>
      <c r="DT300" s="995">
        <v>251490.8</v>
      </c>
    </row>
    <row r="301" spans="1:124">
      <c r="A301" s="42" t="s">
        <v>94</v>
      </c>
      <c r="B301" s="42" t="s">
        <v>510</v>
      </c>
      <c r="C301" s="42" t="s">
        <v>511</v>
      </c>
      <c r="D301" s="42">
        <v>810323</v>
      </c>
      <c r="E301" s="42" t="s">
        <v>515</v>
      </c>
      <c r="F301" s="42" t="s">
        <v>149</v>
      </c>
      <c r="G301" s="42" t="s">
        <v>150</v>
      </c>
      <c r="H301" s="43" t="s">
        <v>150</v>
      </c>
      <c r="I301" s="44">
        <v>37</v>
      </c>
      <c r="J301" s="45">
        <v>225673.1232</v>
      </c>
      <c r="K301" s="46">
        <v>8449.9800379999997</v>
      </c>
      <c r="L301" s="47">
        <v>234123.10323800001</v>
      </c>
      <c r="M301" s="48">
        <v>4475789</v>
      </c>
      <c r="N301" s="49">
        <v>3268431</v>
      </c>
      <c r="O301" s="49">
        <v>1206971</v>
      </c>
      <c r="P301" s="49">
        <v>387</v>
      </c>
      <c r="Q301" s="50">
        <v>10311.993018433201</v>
      </c>
      <c r="R301" s="51">
        <v>19019.595825971701</v>
      </c>
      <c r="S301" s="49">
        <v>33024.392916467499</v>
      </c>
      <c r="T301" s="49">
        <v>5153.20904220803</v>
      </c>
      <c r="U301" s="49">
        <f>IFERROR(INDEX('Rentabilidad datos'!$N$2:$N$61,MATCH($C301,'Rentabilidad datos'!$C$2:$C$61,0)),"")</f>
        <v>57197.197784647178</v>
      </c>
      <c r="V301" s="50">
        <f>IFERROR(INDEX('Rentabilidad datos'!$O$2:$O$61,MATCH($C301,'Rentabilidad datos'!$C$2:$C$61,0)),"")</f>
        <v>1545.8702103958697</v>
      </c>
      <c r="W301" s="51">
        <f>IFERROR(INDEX('Rentabilidad datos'!$M$2:$M$61,MATCH($C301,'Rentabilidad datos'!$C$2:$C$61,0)),"")</f>
        <v>2982.1586443005776</v>
      </c>
      <c r="X301" s="52">
        <f>IFERROR(INDEX('Rentabilidad datos'!$P$2:$P$61,MATCH($C301,'Rentabilidad datos'!$C$2:$C$61,0)),"")</f>
        <v>0.51837289520136554</v>
      </c>
      <c r="Y301" s="43" t="s">
        <v>211</v>
      </c>
      <c r="Z301" s="53">
        <v>86.858560794044706</v>
      </c>
      <c r="AA301" s="43">
        <v>2</v>
      </c>
      <c r="AB301" s="54">
        <v>0.96688963666517791</v>
      </c>
      <c r="AC301" s="55">
        <v>3.3110363334822084E-2</v>
      </c>
      <c r="AD301" s="752" t="e">
        <f>_xlfn.XLOOKUP(Table1[[#This Row],[Ruta]],#REF!,#REF!)</f>
        <v>#REF!</v>
      </c>
      <c r="AE301" s="752" t="e">
        <f>_xlfn.XLOOKUP(Table1[[#This Row],[Ruta]],#REF!,#REF!)</f>
        <v>#REF!</v>
      </c>
      <c r="AF301" s="752" t="e">
        <f>_xlfn.XLOOKUP(Table1[[#This Row],[Ruta]],#REF!,#REF!)</f>
        <v>#REF!</v>
      </c>
      <c r="AG301" s="752" t="e">
        <f>_xlfn.XLOOKUP(Table1[[#This Row],[Ruta]],#REF!,#REF!)</f>
        <v>#REF!</v>
      </c>
      <c r="AH301" s="52">
        <v>0.73024689054823633</v>
      </c>
      <c r="AI301" s="52">
        <v>0.26966664424976244</v>
      </c>
      <c r="AJ301" s="55">
        <v>8.6465202001256088E-5</v>
      </c>
      <c r="AK301" s="56">
        <v>35004</v>
      </c>
      <c r="AL301" s="44">
        <v>16503</v>
      </c>
      <c r="AM301" s="54">
        <v>0.42952234030396502</v>
      </c>
      <c r="AN301" s="55">
        <v>0.59299875749554298</v>
      </c>
      <c r="AO301" s="56">
        <v>5722.3285073739899</v>
      </c>
      <c r="AP301" s="48">
        <v>2861.1642536869949</v>
      </c>
      <c r="AQ301" s="55">
        <v>0.55319861312098606</v>
      </c>
      <c r="AR301" s="51">
        <v>4475404.97</v>
      </c>
      <c r="AS301" s="49">
        <v>775911.57492196001</v>
      </c>
      <c r="AT301" s="55">
        <v>0.17337237191340923</v>
      </c>
      <c r="AU301" s="51">
        <v>545235.16075597215</v>
      </c>
      <c r="AV301" s="52">
        <v>2.4803263433093403E-3</v>
      </c>
      <c r="AW301" s="44">
        <v>137</v>
      </c>
      <c r="AX301" s="51">
        <v>271.18735805611101</v>
      </c>
      <c r="AY301" s="49">
        <v>323.84896749365402</v>
      </c>
      <c r="AZ301" s="49">
        <v>52.661609437543007</v>
      </c>
      <c r="BA301" s="42" t="s">
        <v>150</v>
      </c>
      <c r="BB301" s="50">
        <v>305350.51424651465</v>
      </c>
      <c r="BC301" s="57">
        <v>850585.67500248679</v>
      </c>
      <c r="BD301" s="42" t="s">
        <v>150</v>
      </c>
      <c r="BE301" s="46">
        <v>86.858560794044706</v>
      </c>
      <c r="BF301" s="46">
        <v>72.425990467051307</v>
      </c>
      <c r="BG301" s="42" t="s">
        <v>150</v>
      </c>
      <c r="BH301" s="52">
        <v>0.42952234030396502</v>
      </c>
      <c r="BI301" s="52">
        <v>0.49337264070319697</v>
      </c>
      <c r="BJ301" s="42" t="s">
        <v>152</v>
      </c>
      <c r="BK301" s="46">
        <v>539.45415492626705</v>
      </c>
      <c r="BL301" s="46">
        <v>605.59017138979505</v>
      </c>
      <c r="BM301" s="42" t="s">
        <v>152</v>
      </c>
      <c r="BN301" s="48">
        <v>1</v>
      </c>
      <c r="BO301" s="42" t="s">
        <v>155</v>
      </c>
      <c r="BP301" s="42" t="s">
        <v>152</v>
      </c>
      <c r="BQ301" s="46">
        <v>1464.34707329505</v>
      </c>
      <c r="BR301" s="46">
        <v>195</v>
      </c>
      <c r="BS301" s="46">
        <v>22237</v>
      </c>
      <c r="BT301" s="46">
        <v>6536</v>
      </c>
      <c r="BU301" s="46">
        <v>3.402233782129743</v>
      </c>
      <c r="BV301" s="46">
        <v>33.51794871794872</v>
      </c>
      <c r="BW301" s="46">
        <v>0</v>
      </c>
      <c r="BX301" s="46">
        <v>3203</v>
      </c>
      <c r="BY301" s="46">
        <v>3203</v>
      </c>
      <c r="BZ301" s="46">
        <v>0.4900550795593635</v>
      </c>
      <c r="CA301" s="46">
        <v>0</v>
      </c>
      <c r="CB301" s="46">
        <v>0.4900550795593635</v>
      </c>
      <c r="CC301" s="46">
        <v>0.1227050183598531</v>
      </c>
      <c r="CD301" s="46">
        <v>0.29880660954712362</v>
      </c>
      <c r="CE301" s="46">
        <v>0</v>
      </c>
      <c r="CF301" s="46">
        <v>8.8433292533659724E-2</v>
      </c>
      <c r="CG301" s="46">
        <v>0</v>
      </c>
      <c r="CH301" s="46">
        <v>0</v>
      </c>
      <c r="CI301" s="46">
        <v>4.0922786347079194</v>
      </c>
      <c r="CJ301" s="46">
        <v>0.1798803795476008</v>
      </c>
      <c r="CK301">
        <v>306</v>
      </c>
      <c r="CL301">
        <v>362.19</v>
      </c>
      <c r="CM301">
        <f t="shared" si="35"/>
        <v>56.19</v>
      </c>
      <c r="CN301">
        <v>7.42</v>
      </c>
      <c r="CO301">
        <v>9.4499999999999993</v>
      </c>
      <c r="CP301">
        <f t="shared" si="36"/>
        <v>2.0299999999999994</v>
      </c>
      <c r="CQ301">
        <v>846.56</v>
      </c>
      <c r="CR301">
        <v>539.45000000000005</v>
      </c>
      <c r="CS301">
        <f t="shared" si="37"/>
        <v>307.1099999999999</v>
      </c>
      <c r="CT301" t="s">
        <v>152</v>
      </c>
      <c r="CU301">
        <v>78.53</v>
      </c>
      <c r="CV301">
        <v>140</v>
      </c>
      <c r="CW301" s="46">
        <v>3203</v>
      </c>
      <c r="CX301" s="46">
        <f t="shared" si="31"/>
        <v>48.145807833537333</v>
      </c>
      <c r="CY301" s="46">
        <v>56.19</v>
      </c>
      <c r="CZ301" s="46">
        <f t="shared" si="32"/>
        <v>49.005507955936352</v>
      </c>
      <c r="DA301" s="46">
        <f t="shared" si="33"/>
        <v>160.50068035053602</v>
      </c>
      <c r="DB301" s="46">
        <v>1058050.98</v>
      </c>
      <c r="DC301" s="46">
        <f t="shared" si="34"/>
        <v>7.7172214393092435</v>
      </c>
      <c r="DD301" s="46">
        <v>50873.39</v>
      </c>
      <c r="DE301" s="995">
        <v>3203</v>
      </c>
      <c r="DF301" s="995">
        <v>48.107999999999997</v>
      </c>
      <c r="DG301" s="995">
        <v>58.7</v>
      </c>
      <c r="DH301" s="995">
        <v>49.006</v>
      </c>
      <c r="DI301" s="995">
        <v>677.91300000000001</v>
      </c>
      <c r="DJ301" s="995">
        <v>4470614</v>
      </c>
      <c r="DK301" s="995">
        <v>32.825000000000003</v>
      </c>
      <c r="DL301" s="995">
        <v>216473</v>
      </c>
      <c r="DM301" s="995">
        <v>3203</v>
      </c>
      <c r="DN301" s="995">
        <v>48.15</v>
      </c>
      <c r="DO301" s="995">
        <v>55.9</v>
      </c>
      <c r="DP301" s="995">
        <v>49.006</v>
      </c>
      <c r="DQ301" s="995">
        <v>673.46199999999999</v>
      </c>
      <c r="DR301" s="995">
        <v>4439415</v>
      </c>
      <c r="DS301" s="995">
        <v>32.606000000000002</v>
      </c>
      <c r="DT301" s="995">
        <v>214937.7</v>
      </c>
    </row>
    <row r="302" spans="1:124">
      <c r="A302" s="42" t="s">
        <v>94</v>
      </c>
      <c r="B302" s="42" t="s">
        <v>510</v>
      </c>
      <c r="C302" s="42" t="s">
        <v>511</v>
      </c>
      <c r="D302" s="42">
        <v>810324</v>
      </c>
      <c r="E302" s="42" t="s">
        <v>516</v>
      </c>
      <c r="F302" s="42" t="s">
        <v>149</v>
      </c>
      <c r="G302" s="42" t="s">
        <v>150</v>
      </c>
      <c r="H302" s="43" t="s">
        <v>150</v>
      </c>
      <c r="I302" s="44">
        <v>37</v>
      </c>
      <c r="J302" s="45">
        <v>170032.30652799999</v>
      </c>
      <c r="K302" s="46">
        <v>11538.073222999999</v>
      </c>
      <c r="L302" s="47">
        <v>181570.379751</v>
      </c>
      <c r="M302" s="48">
        <v>3923823</v>
      </c>
      <c r="N302" s="49">
        <v>2450742</v>
      </c>
      <c r="O302" s="49">
        <v>1470466</v>
      </c>
      <c r="P302" s="49">
        <v>2615</v>
      </c>
      <c r="Q302" s="50">
        <v>8952.5215525114108</v>
      </c>
      <c r="R302" s="51">
        <v>19019.595825971701</v>
      </c>
      <c r="S302" s="49">
        <v>33024.392916467499</v>
      </c>
      <c r="T302" s="49">
        <v>5153.20904220803</v>
      </c>
      <c r="U302" s="49">
        <f>IFERROR(INDEX('Rentabilidad datos'!$N$2:$N$61,MATCH($C302,'Rentabilidad datos'!$C$2:$C$61,0)),"")</f>
        <v>57197.197784647178</v>
      </c>
      <c r="V302" s="50">
        <f>IFERROR(INDEX('Rentabilidad datos'!$O$2:$O$61,MATCH($C302,'Rentabilidad datos'!$C$2:$C$61,0)),"")</f>
        <v>1545.8702103958697</v>
      </c>
      <c r="W302" s="51">
        <f>IFERROR(INDEX('Rentabilidad datos'!$M$2:$M$61,MATCH($C302,'Rentabilidad datos'!$C$2:$C$61,0)),"")</f>
        <v>2982.1586443005776</v>
      </c>
      <c r="X302" s="52">
        <f>IFERROR(INDEX('Rentabilidad datos'!$P$2:$P$61,MATCH($C302,'Rentabilidad datos'!$C$2:$C$61,0)),"")</f>
        <v>0.51837289520136554</v>
      </c>
      <c r="Y302" s="43" t="s">
        <v>211</v>
      </c>
      <c r="Z302" s="53">
        <v>63.879310344827601</v>
      </c>
      <c r="AA302" s="43">
        <v>2</v>
      </c>
      <c r="AB302" s="54">
        <v>0.92792157036645129</v>
      </c>
      <c r="AC302" s="55">
        <v>7.2078429633548713E-2</v>
      </c>
      <c r="AD302" s="752" t="e">
        <f>_xlfn.XLOOKUP(Table1[[#This Row],[Ruta]],#REF!,#REF!)</f>
        <v>#REF!</v>
      </c>
      <c r="AE302" s="752" t="e">
        <f>_xlfn.XLOOKUP(Table1[[#This Row],[Ruta]],#REF!,#REF!)</f>
        <v>#REF!</v>
      </c>
      <c r="AF302" s="752" t="e">
        <f>_xlfn.XLOOKUP(Table1[[#This Row],[Ruta]],#REF!,#REF!)</f>
        <v>#REF!</v>
      </c>
      <c r="AG302" s="752" t="e">
        <f>_xlfn.XLOOKUP(Table1[[#This Row],[Ruta]],#REF!,#REF!)</f>
        <v>#REF!</v>
      </c>
      <c r="AH302" s="52">
        <v>0.62458016072590428</v>
      </c>
      <c r="AI302" s="52">
        <v>0.37475339738821045</v>
      </c>
      <c r="AJ302" s="55">
        <v>6.6644188588527056E-4</v>
      </c>
      <c r="AK302" s="56">
        <v>25935</v>
      </c>
      <c r="AL302" s="44">
        <v>17345</v>
      </c>
      <c r="AM302" s="54">
        <v>0.61943319838056699</v>
      </c>
      <c r="AN302" s="55">
        <v>0.59299875749554298</v>
      </c>
      <c r="AO302" s="56">
        <v>0</v>
      </c>
      <c r="AP302" s="48">
        <v>0</v>
      </c>
      <c r="AQ302" s="55">
        <v>0.66878735299787928</v>
      </c>
      <c r="AR302" s="51">
        <v>3921204.44</v>
      </c>
      <c r="AS302" s="49">
        <v>0</v>
      </c>
      <c r="AT302" s="55">
        <v>0</v>
      </c>
      <c r="AU302" s="51">
        <v>0</v>
      </c>
      <c r="AV302" s="52">
        <v>0</v>
      </c>
      <c r="AW302" s="44">
        <v>490</v>
      </c>
      <c r="AX302" s="51">
        <v>226.071169789565</v>
      </c>
      <c r="AY302" s="49">
        <v>323.84896749365402</v>
      </c>
      <c r="AZ302" s="49">
        <v>97.777797704089011</v>
      </c>
      <c r="BA302" s="42" t="s">
        <v>150</v>
      </c>
      <c r="BB302" s="50">
        <v>595876.39771098702</v>
      </c>
      <c r="BC302" s="57">
        <v>595876.39771098702</v>
      </c>
      <c r="BD302" s="42" t="s">
        <v>150</v>
      </c>
      <c r="BE302" s="46">
        <v>63.879310344827601</v>
      </c>
      <c r="BF302" s="46">
        <v>72.425990467051307</v>
      </c>
      <c r="BG302" s="42" t="s">
        <v>152</v>
      </c>
      <c r="BH302" s="52">
        <v>0.61943319838056699</v>
      </c>
      <c r="BI302" s="52">
        <v>0.49337264070319697</v>
      </c>
      <c r="BJ302" s="42" t="s">
        <v>150</v>
      </c>
      <c r="BK302" s="46">
        <v>414.54424600684899</v>
      </c>
      <c r="BL302" s="46">
        <v>605.59017138979505</v>
      </c>
      <c r="BM302" s="42" t="s">
        <v>152</v>
      </c>
      <c r="BN302" s="48">
        <v>1</v>
      </c>
      <c r="BO302" s="42" t="s">
        <v>155</v>
      </c>
      <c r="BP302" s="42" t="s">
        <v>152</v>
      </c>
      <c r="BQ302" s="46">
        <v>1177.67626598028</v>
      </c>
      <c r="BR302" s="46">
        <v>193</v>
      </c>
      <c r="BS302" s="46">
        <v>25324</v>
      </c>
      <c r="BT302" s="46">
        <v>7105</v>
      </c>
      <c r="BU302" s="46">
        <v>3.5642505277973258</v>
      </c>
      <c r="BV302" s="46">
        <v>36.813471502590673</v>
      </c>
      <c r="BW302" s="46">
        <v>26</v>
      </c>
      <c r="BX302" s="46">
        <v>1610</v>
      </c>
      <c r="BY302" s="46">
        <v>1636</v>
      </c>
      <c r="BZ302" s="46">
        <v>0.23026038001407459</v>
      </c>
      <c r="CA302" s="46">
        <v>3.659394792399719E-3</v>
      </c>
      <c r="CB302" s="46">
        <v>0.22660098522167491</v>
      </c>
      <c r="CC302" s="46">
        <v>0.13638282899366641</v>
      </c>
      <c r="CD302" s="46">
        <v>9.1484869809992965E-3</v>
      </c>
      <c r="CE302" s="46">
        <v>0</v>
      </c>
      <c r="CF302" s="46">
        <v>0.62420830401125971</v>
      </c>
      <c r="CG302" s="46">
        <v>0</v>
      </c>
      <c r="CH302" s="46">
        <v>0</v>
      </c>
      <c r="CI302" s="46">
        <v>5.449376085926394</v>
      </c>
      <c r="CJ302" s="46">
        <v>0.39488232506713</v>
      </c>
      <c r="CK302">
        <v>378</v>
      </c>
      <c r="CL302">
        <v>431.38</v>
      </c>
      <c r="CM302">
        <f t="shared" si="35"/>
        <v>53.379999999999995</v>
      </c>
      <c r="CN302">
        <v>9.8800000000000008</v>
      </c>
      <c r="CO302">
        <v>9.4499999999999993</v>
      </c>
      <c r="CP302">
        <f t="shared" si="36"/>
        <v>-0.43000000000000149</v>
      </c>
      <c r="CQ302">
        <v>846.56</v>
      </c>
      <c r="CR302">
        <v>414.54</v>
      </c>
      <c r="CS302">
        <f t="shared" si="37"/>
        <v>432.01999999999992</v>
      </c>
      <c r="CT302" t="s">
        <v>150</v>
      </c>
      <c r="CU302">
        <v>104.58</v>
      </c>
      <c r="CV302">
        <v>134</v>
      </c>
      <c r="CW302" s="46">
        <v>1636</v>
      </c>
      <c r="CX302" s="46">
        <f t="shared" si="31"/>
        <v>22.274736101337083</v>
      </c>
      <c r="CY302" s="46">
        <v>53.38</v>
      </c>
      <c r="CZ302" s="46">
        <f t="shared" si="32"/>
        <v>23.026038001407461</v>
      </c>
      <c r="DA302" s="46">
        <f t="shared" si="33"/>
        <v>355.96138511786182</v>
      </c>
      <c r="DB302" s="46">
        <v>2548106.86</v>
      </c>
      <c r="DC302" s="46">
        <f t="shared" si="34"/>
        <v>16.346771196835036</v>
      </c>
      <c r="DD302" s="46">
        <v>117016.4</v>
      </c>
      <c r="DE302" s="995">
        <v>1636</v>
      </c>
      <c r="DF302" s="995">
        <v>22.353999999999999</v>
      </c>
      <c r="DG302" s="995">
        <v>47.7</v>
      </c>
      <c r="DH302" s="995">
        <v>23.026</v>
      </c>
      <c r="DI302" s="995">
        <v>753.26700000000005</v>
      </c>
      <c r="DJ302" s="995">
        <v>5387923</v>
      </c>
      <c r="DK302" s="995">
        <v>35.067999999999998</v>
      </c>
      <c r="DL302" s="995">
        <v>250832.9</v>
      </c>
      <c r="DM302" s="995">
        <v>1636</v>
      </c>
      <c r="DN302" s="995">
        <v>22.472999999999999</v>
      </c>
      <c r="DO302" s="995">
        <v>39.299999999999997</v>
      </c>
      <c r="DP302" s="995">
        <v>23.026</v>
      </c>
      <c r="DQ302" s="995">
        <v>739.57399999999996</v>
      </c>
      <c r="DR302" s="995">
        <v>5283752</v>
      </c>
      <c r="DS302" s="995">
        <v>34.463999999999999</v>
      </c>
      <c r="DT302" s="995">
        <v>246220.4</v>
      </c>
    </row>
    <row r="303" spans="1:124">
      <c r="A303" s="42" t="s">
        <v>94</v>
      </c>
      <c r="B303" s="42" t="s">
        <v>510</v>
      </c>
      <c r="C303" s="42" t="s">
        <v>511</v>
      </c>
      <c r="D303" s="42">
        <v>810325</v>
      </c>
      <c r="E303" s="42" t="s">
        <v>517</v>
      </c>
      <c r="F303" s="42" t="s">
        <v>149</v>
      </c>
      <c r="G303" s="42" t="s">
        <v>150</v>
      </c>
      <c r="H303" s="43" t="s">
        <v>150</v>
      </c>
      <c r="I303" s="44">
        <v>37</v>
      </c>
      <c r="J303" s="45">
        <v>177676.9008</v>
      </c>
      <c r="K303" s="46">
        <v>7795.3812079999998</v>
      </c>
      <c r="L303" s="47">
        <v>185472.28200800001</v>
      </c>
      <c r="M303" s="48">
        <v>3512507</v>
      </c>
      <c r="N303" s="49">
        <v>2558633</v>
      </c>
      <c r="O303" s="49">
        <v>953874</v>
      </c>
      <c r="P303" s="49">
        <v>0</v>
      </c>
      <c r="Q303" s="50">
        <v>8112.0278752886798</v>
      </c>
      <c r="R303" s="51">
        <v>19019.595825971701</v>
      </c>
      <c r="S303" s="49">
        <v>33024.392916467499</v>
      </c>
      <c r="T303" s="49">
        <v>5153.20904220803</v>
      </c>
      <c r="U303" s="49">
        <f>IFERROR(INDEX('Rentabilidad datos'!$N$2:$N$61,MATCH($C303,'Rentabilidad datos'!$C$2:$C$61,0)),"")</f>
        <v>57197.197784647178</v>
      </c>
      <c r="V303" s="50">
        <f>IFERROR(INDEX('Rentabilidad datos'!$O$2:$O$61,MATCH($C303,'Rentabilidad datos'!$C$2:$C$61,0)),"")</f>
        <v>1545.8702103958697</v>
      </c>
      <c r="W303" s="51">
        <f>IFERROR(INDEX('Rentabilidad datos'!$M$2:$M$61,MATCH($C303,'Rentabilidad datos'!$C$2:$C$61,0)),"")</f>
        <v>2982.1586443005776</v>
      </c>
      <c r="X303" s="52">
        <f>IFERROR(INDEX('Rentabilidad datos'!$P$2:$P$61,MATCH($C303,'Rentabilidad datos'!$C$2:$C$61,0)),"")</f>
        <v>0.51837289520136554</v>
      </c>
      <c r="Y303" s="43" t="s">
        <v>211</v>
      </c>
      <c r="Z303" s="53">
        <v>101.40648379052401</v>
      </c>
      <c r="AA303" s="43">
        <v>2</v>
      </c>
      <c r="AB303" s="54">
        <v>0.95664207928980638</v>
      </c>
      <c r="AC303" s="55">
        <v>4.33579207101936E-2</v>
      </c>
      <c r="AD303" s="752" t="e">
        <f>_xlfn.XLOOKUP(Table1[[#This Row],[Ruta]],#REF!,#REF!)</f>
        <v>#REF!</v>
      </c>
      <c r="AE303" s="752" t="e">
        <f>_xlfn.XLOOKUP(Table1[[#This Row],[Ruta]],#REF!,#REF!)</f>
        <v>#REF!</v>
      </c>
      <c r="AF303" s="752" t="e">
        <f>_xlfn.XLOOKUP(Table1[[#This Row],[Ruta]],#REF!,#REF!)</f>
        <v>#REF!</v>
      </c>
      <c r="AG303" s="752" t="e">
        <f>_xlfn.XLOOKUP(Table1[[#This Row],[Ruta]],#REF!,#REF!)</f>
        <v>#REF!</v>
      </c>
      <c r="AH303" s="52">
        <v>0.72843498959575026</v>
      </c>
      <c r="AI303" s="52">
        <v>0.27156501040424974</v>
      </c>
      <c r="AJ303" s="55">
        <v>0</v>
      </c>
      <c r="AK303" s="56">
        <v>40664</v>
      </c>
      <c r="AL303" s="44">
        <v>19460</v>
      </c>
      <c r="AM303" s="54">
        <v>0.44272575250836099</v>
      </c>
      <c r="AN303" s="55">
        <v>0.59299875749554298</v>
      </c>
      <c r="AO303" s="56">
        <v>6110.7014747987696</v>
      </c>
      <c r="AP303" s="48">
        <v>3055.3507373993848</v>
      </c>
      <c r="AQ303" s="55">
        <v>0.55369247337692762</v>
      </c>
      <c r="AR303" s="51">
        <v>3512508.07</v>
      </c>
      <c r="AS303" s="49">
        <v>551487.36494325998</v>
      </c>
      <c r="AT303" s="55">
        <v>0.15700671826307291</v>
      </c>
      <c r="AU303" s="51">
        <v>387531.66185202065</v>
      </c>
      <c r="AV303" s="52">
        <v>1.7629182029003725E-3</v>
      </c>
      <c r="AW303" s="44">
        <v>195</v>
      </c>
      <c r="AX303" s="51">
        <v>180.49887307297001</v>
      </c>
      <c r="AY303" s="49">
        <v>323.84896749365402</v>
      </c>
      <c r="AZ303" s="49">
        <v>143.350094420684</v>
      </c>
      <c r="BA303" s="42" t="s">
        <v>150</v>
      </c>
      <c r="BB303" s="50">
        <v>980127.2131498555</v>
      </c>
      <c r="BC303" s="57">
        <v>1367658.8750018761</v>
      </c>
      <c r="BD303" s="42" t="s">
        <v>150</v>
      </c>
      <c r="BE303" s="46">
        <v>101.40648379052401</v>
      </c>
      <c r="BF303" s="46">
        <v>72.425990467051307</v>
      </c>
      <c r="BG303" s="42" t="s">
        <v>150</v>
      </c>
      <c r="BH303" s="52">
        <v>0.44272575250836099</v>
      </c>
      <c r="BI303" s="52">
        <v>0.49337264070319697</v>
      </c>
      <c r="BJ303" s="42" t="s">
        <v>152</v>
      </c>
      <c r="BK303" s="46">
        <v>428.34245267436398</v>
      </c>
      <c r="BL303" s="46">
        <v>605.59017138979505</v>
      </c>
      <c r="BM303" s="42" t="s">
        <v>152</v>
      </c>
      <c r="BN303" s="48">
        <v>1</v>
      </c>
      <c r="BO303" s="42" t="s">
        <v>155</v>
      </c>
      <c r="BP303" s="42" t="s">
        <v>152</v>
      </c>
      <c r="BQ303" s="46">
        <v>1744.1125257224101</v>
      </c>
      <c r="BR303" s="46">
        <v>275</v>
      </c>
      <c r="BS303" s="46">
        <v>33660</v>
      </c>
      <c r="BT303" s="46">
        <v>9113</v>
      </c>
      <c r="BU303" s="46">
        <v>3.6936244924832655</v>
      </c>
      <c r="BV303" s="46">
        <v>33.13818181818182</v>
      </c>
      <c r="BW303" s="46">
        <v>0</v>
      </c>
      <c r="BX303" s="46">
        <v>17</v>
      </c>
      <c r="BY303" s="46">
        <v>17</v>
      </c>
      <c r="BZ303" s="46">
        <v>1.8654669153955886E-3</v>
      </c>
      <c r="CA303" s="46">
        <v>0</v>
      </c>
      <c r="CB303" s="46">
        <v>1.8654669153955891E-3</v>
      </c>
      <c r="CC303" s="46">
        <v>0.39174805223307357</v>
      </c>
      <c r="CD303" s="46">
        <v>9.1517612202348289E-2</v>
      </c>
      <c r="CE303" s="46">
        <v>0</v>
      </c>
      <c r="CF303" s="46">
        <v>0.51486886864918247</v>
      </c>
      <c r="CG303" s="46">
        <v>0</v>
      </c>
      <c r="CH303" s="46">
        <v>0</v>
      </c>
      <c r="CI303" s="46">
        <v>5.3475935828877006</v>
      </c>
      <c r="CJ303" s="46">
        <v>0.32679738562091498</v>
      </c>
      <c r="CK303">
        <v>375</v>
      </c>
      <c r="CL303">
        <v>376.02</v>
      </c>
      <c r="CM303">
        <f t="shared" si="35"/>
        <v>1.0199999999999818</v>
      </c>
      <c r="CN303">
        <v>9.77</v>
      </c>
      <c r="CO303">
        <v>9.4499999999999993</v>
      </c>
      <c r="CP303">
        <f t="shared" si="36"/>
        <v>-0.32000000000000028</v>
      </c>
      <c r="CQ303">
        <v>846.56</v>
      </c>
      <c r="CR303">
        <v>428.34</v>
      </c>
      <c r="CS303">
        <f t="shared" si="37"/>
        <v>418.21999999999997</v>
      </c>
      <c r="CT303" t="s">
        <v>150</v>
      </c>
      <c r="CU303">
        <v>103.39</v>
      </c>
      <c r="CV303">
        <v>0</v>
      </c>
      <c r="CW303" s="46">
        <v>17</v>
      </c>
      <c r="CX303" s="46">
        <f t="shared" si="31"/>
        <v>0.17535389004718532</v>
      </c>
      <c r="CY303" s="46">
        <v>1.02</v>
      </c>
      <c r="CZ303" s="46">
        <f t="shared" si="32"/>
        <v>0.18654669153955886</v>
      </c>
      <c r="DA303" s="46">
        <f t="shared" si="33"/>
        <v>100.80767652473881</v>
      </c>
      <c r="DB303" s="46">
        <v>918763.18</v>
      </c>
      <c r="DC303" s="46">
        <f t="shared" si="34"/>
        <v>5.1298943825008063</v>
      </c>
      <c r="DD303" s="46">
        <v>46753.96</v>
      </c>
      <c r="DE303" s="995">
        <v>17</v>
      </c>
      <c r="DF303" s="995">
        <v>0.13900000000000001</v>
      </c>
      <c r="DG303" s="995">
        <v>4.4000000000000004</v>
      </c>
      <c r="DH303" s="995">
        <v>0.187</v>
      </c>
      <c r="DI303" s="995">
        <v>391.17899999999997</v>
      </c>
      <c r="DJ303" s="995">
        <v>3566520</v>
      </c>
      <c r="DK303" s="995">
        <v>19.695</v>
      </c>
      <c r="DL303" s="995">
        <v>179566.4</v>
      </c>
      <c r="DM303" s="995">
        <v>17</v>
      </c>
      <c r="DN303" s="995">
        <v>0.14499999999999999</v>
      </c>
      <c r="DO303" s="995">
        <v>3.8</v>
      </c>
      <c r="DP303" s="995">
        <v>0.187</v>
      </c>
      <c r="DQ303" s="995">
        <v>390.49200000000002</v>
      </c>
      <c r="DR303" s="995">
        <v>3560027</v>
      </c>
      <c r="DS303" s="995">
        <v>19.66</v>
      </c>
      <c r="DT303" s="995">
        <v>179236</v>
      </c>
    </row>
    <row r="304" spans="1:124">
      <c r="A304" s="42" t="s">
        <v>94</v>
      </c>
      <c r="B304" s="42" t="s">
        <v>510</v>
      </c>
      <c r="C304" s="42" t="s">
        <v>511</v>
      </c>
      <c r="D304" s="42">
        <v>810326</v>
      </c>
      <c r="E304" s="42" t="s">
        <v>518</v>
      </c>
      <c r="F304" s="42" t="s">
        <v>149</v>
      </c>
      <c r="G304" s="42" t="s">
        <v>150</v>
      </c>
      <c r="H304" s="43" t="s">
        <v>150</v>
      </c>
      <c r="I304" s="44">
        <v>37</v>
      </c>
      <c r="J304" s="45">
        <v>241235.0864</v>
      </c>
      <c r="K304" s="46">
        <v>14430.789126</v>
      </c>
      <c r="L304" s="47">
        <v>255665.87552599999</v>
      </c>
      <c r="M304" s="48">
        <v>5231905</v>
      </c>
      <c r="N304" s="49">
        <v>3490379</v>
      </c>
      <c r="O304" s="49">
        <v>1741526</v>
      </c>
      <c r="P304" s="49">
        <v>0</v>
      </c>
      <c r="Q304" s="50">
        <v>12027.3704597701</v>
      </c>
      <c r="R304" s="51">
        <v>19019.595825971701</v>
      </c>
      <c r="S304" s="49">
        <v>33024.392916467499</v>
      </c>
      <c r="T304" s="49">
        <v>5153.20904220803</v>
      </c>
      <c r="U304" s="49">
        <f>IFERROR(INDEX('Rentabilidad datos'!$N$2:$N$61,MATCH($C304,'Rentabilidad datos'!$C$2:$C$61,0)),"")</f>
        <v>57197.197784647178</v>
      </c>
      <c r="V304" s="50">
        <f>IFERROR(INDEX('Rentabilidad datos'!$O$2:$O$61,MATCH($C304,'Rentabilidad datos'!$C$2:$C$61,0)),"")</f>
        <v>1545.8702103958697</v>
      </c>
      <c r="W304" s="51">
        <f>IFERROR(INDEX('Rentabilidad datos'!$M$2:$M$61,MATCH($C304,'Rentabilidad datos'!$C$2:$C$61,0)),"")</f>
        <v>2982.1586443005776</v>
      </c>
      <c r="X304" s="52">
        <f>IFERROR(INDEX('Rentabilidad datos'!$P$2:$P$61,MATCH($C304,'Rentabilidad datos'!$C$2:$C$61,0)),"")</f>
        <v>0.51837289520136554</v>
      </c>
      <c r="Y304" s="43" t="s">
        <v>211</v>
      </c>
      <c r="Z304" s="53">
        <v>91.496277915632803</v>
      </c>
      <c r="AA304" s="43">
        <v>2</v>
      </c>
      <c r="AB304" s="54">
        <v>0.98952752391337384</v>
      </c>
      <c r="AC304" s="55">
        <v>1.047247608662619E-2</v>
      </c>
      <c r="AD304" s="752" t="e">
        <f>_xlfn.XLOOKUP(Table1[[#This Row],[Ruta]],#REF!,#REF!)</f>
        <v>#REF!</v>
      </c>
      <c r="AE304" s="752" t="e">
        <f>_xlfn.XLOOKUP(Table1[[#This Row],[Ruta]],#REF!,#REF!)</f>
        <v>#REF!</v>
      </c>
      <c r="AF304" s="752" t="e">
        <f>_xlfn.XLOOKUP(Table1[[#This Row],[Ruta]],#REF!,#REF!)</f>
        <v>#REF!</v>
      </c>
      <c r="AG304" s="752" t="e">
        <f>_xlfn.XLOOKUP(Table1[[#This Row],[Ruta]],#REF!,#REF!)</f>
        <v>#REF!</v>
      </c>
      <c r="AH304" s="52">
        <v>0.66713348197262756</v>
      </c>
      <c r="AI304" s="52">
        <v>0.33286651802737244</v>
      </c>
      <c r="AJ304" s="55">
        <v>0</v>
      </c>
      <c r="AK304" s="56">
        <v>36873</v>
      </c>
      <c r="AL304" s="44">
        <v>22211</v>
      </c>
      <c r="AM304" s="54">
        <v>0.55053833428253696</v>
      </c>
      <c r="AN304" s="55">
        <v>0.59299875749554298</v>
      </c>
      <c r="AO304" s="56">
        <v>1565.6431851331699</v>
      </c>
      <c r="AP304" s="48">
        <v>782.82159256658497</v>
      </c>
      <c r="AQ304" s="55">
        <v>0.62359508563356891</v>
      </c>
      <c r="AR304" s="51">
        <v>5231906.1500000004</v>
      </c>
      <c r="AS304" s="49">
        <v>184397.3303544145</v>
      </c>
      <c r="AT304" s="55">
        <v>3.5244770274484853E-2</v>
      </c>
      <c r="AU304" s="51">
        <v>129576.50241121024</v>
      </c>
      <c r="AV304" s="52">
        <v>5.8945577163218687E-4</v>
      </c>
      <c r="AW304" s="44">
        <v>372</v>
      </c>
      <c r="AX304" s="51">
        <v>235.554731889604</v>
      </c>
      <c r="AY304" s="49">
        <v>323.84896749365402</v>
      </c>
      <c r="AZ304" s="49">
        <v>88.294235604050016</v>
      </c>
      <c r="BA304" s="42" t="s">
        <v>150</v>
      </c>
      <c r="BB304" s="50">
        <v>689036.28300054651</v>
      </c>
      <c r="BC304" s="57">
        <v>818612.78541175672</v>
      </c>
      <c r="BD304" s="42" t="s">
        <v>150</v>
      </c>
      <c r="BE304" s="46">
        <v>91.496277915632803</v>
      </c>
      <c r="BF304" s="46">
        <v>72.425990467051307</v>
      </c>
      <c r="BG304" s="42" t="s">
        <v>150</v>
      </c>
      <c r="BH304" s="52">
        <v>0.55053833428253696</v>
      </c>
      <c r="BI304" s="52">
        <v>0.49337264070319697</v>
      </c>
      <c r="BJ304" s="42" t="s">
        <v>150</v>
      </c>
      <c r="BK304" s="46">
        <v>587.73764488735503</v>
      </c>
      <c r="BL304" s="46">
        <v>605.59017138979505</v>
      </c>
      <c r="BM304" s="42" t="s">
        <v>152</v>
      </c>
      <c r="BN304" s="48">
        <v>2</v>
      </c>
      <c r="BO304" s="42" t="s">
        <v>161</v>
      </c>
      <c r="BP304" s="42" t="s">
        <v>152</v>
      </c>
      <c r="BQ304" s="46">
        <v>0</v>
      </c>
      <c r="BR304" s="46">
        <v>57</v>
      </c>
      <c r="BS304" s="46">
        <v>5571</v>
      </c>
      <c r="BT304" s="46">
        <v>1785</v>
      </c>
      <c r="BU304" s="46">
        <v>3.1210084033613446</v>
      </c>
      <c r="BV304" s="46">
        <v>31.315789473684209</v>
      </c>
      <c r="BW304" s="46">
        <v>0</v>
      </c>
      <c r="BX304" s="46">
        <v>876</v>
      </c>
      <c r="BY304" s="46">
        <v>876</v>
      </c>
      <c r="BZ304" s="46">
        <v>0.49075630252100838</v>
      </c>
      <c r="CA304" s="46">
        <v>0</v>
      </c>
      <c r="CB304" s="46">
        <v>0.49075630252100838</v>
      </c>
      <c r="CC304" s="46">
        <v>0.50924369747899156</v>
      </c>
      <c r="CD304" s="46">
        <v>0</v>
      </c>
      <c r="CE304" s="46">
        <v>0</v>
      </c>
      <c r="CF304" s="46">
        <v>0</v>
      </c>
      <c r="CG304" s="46">
        <v>0</v>
      </c>
      <c r="CH304" s="46">
        <v>0</v>
      </c>
      <c r="CI304" s="46">
        <v>2.333512834320588</v>
      </c>
      <c r="CJ304" s="46">
        <v>0</v>
      </c>
      <c r="CK304">
        <v>324</v>
      </c>
      <c r="CL304">
        <v>329.75</v>
      </c>
      <c r="CM304">
        <f t="shared" si="35"/>
        <v>5.75</v>
      </c>
      <c r="CN304">
        <v>11.22</v>
      </c>
      <c r="CO304">
        <v>9.4499999999999993</v>
      </c>
      <c r="CP304">
        <f t="shared" si="36"/>
        <v>-1.7700000000000014</v>
      </c>
      <c r="CQ304">
        <v>846.56</v>
      </c>
      <c r="CR304">
        <v>587.74</v>
      </c>
      <c r="CS304">
        <f t="shared" si="37"/>
        <v>258.81999999999994</v>
      </c>
      <c r="CT304" t="s">
        <v>150</v>
      </c>
      <c r="CU304">
        <v>118.7</v>
      </c>
      <c r="CV304">
        <v>167</v>
      </c>
      <c r="CW304" s="46">
        <v>876</v>
      </c>
      <c r="CX304" s="46">
        <f t="shared" si="31"/>
        <v>48.753501400560225</v>
      </c>
      <c r="CY304" s="46">
        <v>5.75</v>
      </c>
      <c r="CZ304" s="46">
        <f t="shared" si="32"/>
        <v>49.075630252100837</v>
      </c>
      <c r="DA304" s="46">
        <f t="shared" si="33"/>
        <v>446.69611615245009</v>
      </c>
      <c r="DB304" s="46">
        <v>799921.07</v>
      </c>
      <c r="DC304" s="46">
        <f t="shared" si="34"/>
        <v>20.187887756526596</v>
      </c>
      <c r="DD304" s="46">
        <v>36151.46</v>
      </c>
      <c r="DE304" s="995">
        <v>876</v>
      </c>
      <c r="DF304" s="995">
        <v>48.753999999999998</v>
      </c>
      <c r="DG304" s="995">
        <v>5.8</v>
      </c>
      <c r="DH304" s="995">
        <v>49.076000000000001</v>
      </c>
      <c r="DI304" s="995">
        <v>2705.1370000000002</v>
      </c>
      <c r="DJ304" s="995">
        <v>4844225</v>
      </c>
      <c r="DK304" s="995">
        <v>125.69199999999999</v>
      </c>
      <c r="DL304" s="995">
        <v>225083.1</v>
      </c>
      <c r="DM304" s="995">
        <v>876</v>
      </c>
      <c r="DN304" s="995">
        <v>48.753999999999998</v>
      </c>
      <c r="DO304" s="995">
        <v>5.8</v>
      </c>
      <c r="DP304" s="995">
        <v>49.076000000000001</v>
      </c>
      <c r="DQ304" s="995">
        <v>2705.1370000000002</v>
      </c>
      <c r="DR304" s="995">
        <v>4844225</v>
      </c>
      <c r="DS304" s="995">
        <v>125.69199999999999</v>
      </c>
      <c r="DT304" s="995">
        <v>225083.1</v>
      </c>
    </row>
    <row r="305" spans="1:124">
      <c r="A305" s="42" t="s">
        <v>94</v>
      </c>
      <c r="B305" s="42" t="s">
        <v>510</v>
      </c>
      <c r="C305" s="42" t="s">
        <v>511</v>
      </c>
      <c r="D305" s="42">
        <v>810327</v>
      </c>
      <c r="E305" s="42" t="s">
        <v>519</v>
      </c>
      <c r="F305" s="42" t="s">
        <v>149</v>
      </c>
      <c r="G305" s="42" t="s">
        <v>150</v>
      </c>
      <c r="H305" s="43" t="s">
        <v>150</v>
      </c>
      <c r="I305" s="44">
        <v>37</v>
      </c>
      <c r="J305" s="45">
        <v>261809.42480000001</v>
      </c>
      <c r="K305" s="46">
        <v>21133.462299999999</v>
      </c>
      <c r="L305" s="47">
        <v>282942.88709999999</v>
      </c>
      <c r="M305" s="48">
        <v>6583961</v>
      </c>
      <c r="N305" s="49">
        <v>3782162</v>
      </c>
      <c r="O305" s="49">
        <v>2797334</v>
      </c>
      <c r="P305" s="49">
        <v>4465</v>
      </c>
      <c r="Q305" s="50">
        <v>15125.274275862101</v>
      </c>
      <c r="R305" s="51">
        <v>19019.595825971701</v>
      </c>
      <c r="S305" s="49">
        <v>33024.392916467499</v>
      </c>
      <c r="T305" s="49">
        <v>5153.20904220803</v>
      </c>
      <c r="U305" s="49">
        <f>IFERROR(INDEX('Rentabilidad datos'!$N$2:$N$61,MATCH($C305,'Rentabilidad datos'!$C$2:$C$61,0)),"")</f>
        <v>57197.197784647178</v>
      </c>
      <c r="V305" s="50">
        <f>IFERROR(INDEX('Rentabilidad datos'!$O$2:$O$61,MATCH($C305,'Rentabilidad datos'!$C$2:$C$61,0)),"")</f>
        <v>1545.8702103958697</v>
      </c>
      <c r="W305" s="51">
        <f>IFERROR(INDEX('Rentabilidad datos'!$M$2:$M$61,MATCH($C305,'Rentabilidad datos'!$C$2:$C$61,0)),"")</f>
        <v>2982.1586443005776</v>
      </c>
      <c r="X305" s="52">
        <f>IFERROR(INDEX('Rentabilidad datos'!$P$2:$P$61,MATCH($C305,'Rentabilidad datos'!$C$2:$C$61,0)),"")</f>
        <v>0.51837289520136554</v>
      </c>
      <c r="Y305" s="43" t="s">
        <v>211</v>
      </c>
      <c r="Z305" s="53">
        <v>57.114143920595502</v>
      </c>
      <c r="AA305" s="43">
        <v>2</v>
      </c>
      <c r="AB305" s="54">
        <v>0.99088254016085453</v>
      </c>
      <c r="AC305" s="55">
        <v>9.1174598391454628E-3</v>
      </c>
      <c r="AD305" s="752" t="e">
        <f>_xlfn.XLOOKUP(Table1[[#This Row],[Ruta]],#REF!,#REF!)</f>
        <v>#REF!</v>
      </c>
      <c r="AE305" s="752" t="e">
        <f>_xlfn.XLOOKUP(Table1[[#This Row],[Ruta]],#REF!,#REF!)</f>
        <v>#REF!</v>
      </c>
      <c r="AF305" s="752" t="e">
        <f>_xlfn.XLOOKUP(Table1[[#This Row],[Ruta]],#REF!,#REF!)</f>
        <v>#REF!</v>
      </c>
      <c r="AG305" s="752" t="e">
        <f>_xlfn.XLOOKUP(Table1[[#This Row],[Ruta]],#REF!,#REF!)</f>
        <v>#REF!</v>
      </c>
      <c r="AH305" s="52">
        <v>0.57445085109100735</v>
      </c>
      <c r="AI305" s="52">
        <v>0.42487098571817178</v>
      </c>
      <c r="AJ305" s="55">
        <v>6.7816319082084477E-4</v>
      </c>
      <c r="AK305" s="56">
        <v>23017</v>
      </c>
      <c r="AL305" s="44">
        <v>20678</v>
      </c>
      <c r="AM305" s="54">
        <v>0.81496285354303299</v>
      </c>
      <c r="AN305" s="55">
        <v>0.59299875749554298</v>
      </c>
      <c r="AO305" s="56">
        <v>0</v>
      </c>
      <c r="AP305" s="48">
        <v>0</v>
      </c>
      <c r="AQ305" s="55">
        <v>0.89837945866098967</v>
      </c>
      <c r="AR305" s="51">
        <v>6579494.3099999996</v>
      </c>
      <c r="AS305" s="49">
        <v>0</v>
      </c>
      <c r="AT305" s="55">
        <v>0</v>
      </c>
      <c r="AU305" s="51">
        <v>0</v>
      </c>
      <c r="AV305" s="52">
        <v>0</v>
      </c>
      <c r="AW305" s="44">
        <v>490</v>
      </c>
      <c r="AX305" s="51">
        <v>318.18813763420098</v>
      </c>
      <c r="AY305" s="49">
        <v>323.84896749365402</v>
      </c>
      <c r="AZ305" s="49">
        <v>5.6608298594530311</v>
      </c>
      <c r="BA305" s="42" t="s">
        <v>150</v>
      </c>
      <c r="BB305" s="50">
        <v>41127.305887540744</v>
      </c>
      <c r="BC305" s="57">
        <v>41127.305887540744</v>
      </c>
      <c r="BD305" s="42" t="s">
        <v>150</v>
      </c>
      <c r="BE305" s="46">
        <v>57.114143920595502</v>
      </c>
      <c r="BF305" s="46">
        <v>72.425990467051307</v>
      </c>
      <c r="BG305" s="42" t="s">
        <v>152</v>
      </c>
      <c r="BH305" s="52">
        <v>0.81496285354303299</v>
      </c>
      <c r="BI305" s="52">
        <v>0.49337264070319697</v>
      </c>
      <c r="BJ305" s="42" t="s">
        <v>150</v>
      </c>
      <c r="BK305" s="46">
        <v>650.44341862068995</v>
      </c>
      <c r="BL305" s="46">
        <v>605.59017138979505</v>
      </c>
      <c r="BM305" s="42" t="s">
        <v>150</v>
      </c>
      <c r="BN305" s="48">
        <v>2</v>
      </c>
      <c r="BO305" s="42" t="s">
        <v>161</v>
      </c>
      <c r="BP305" s="42" t="s">
        <v>152</v>
      </c>
      <c r="BQ305" s="46">
        <v>0</v>
      </c>
      <c r="BR305" s="46">
        <v>82</v>
      </c>
      <c r="BS305" s="46">
        <v>9870</v>
      </c>
      <c r="BT305" s="46">
        <v>2878</v>
      </c>
      <c r="BU305" s="46">
        <v>3.4294649061848506</v>
      </c>
      <c r="BV305" s="46">
        <v>35.097560975609753</v>
      </c>
      <c r="BW305" s="46">
        <v>0</v>
      </c>
      <c r="BX305" s="46">
        <v>2338</v>
      </c>
      <c r="BY305" s="46">
        <v>2338</v>
      </c>
      <c r="BZ305" s="46">
        <v>0.81236970118137597</v>
      </c>
      <c r="CA305" s="46">
        <v>0</v>
      </c>
      <c r="CB305" s="46">
        <v>0.81236970118137597</v>
      </c>
      <c r="CC305" s="46">
        <v>0</v>
      </c>
      <c r="CD305" s="46">
        <v>0</v>
      </c>
      <c r="CE305" s="46">
        <v>0</v>
      </c>
      <c r="CF305" s="46">
        <v>0.18763029881862411</v>
      </c>
      <c r="CG305" s="46">
        <v>0</v>
      </c>
      <c r="CH305" s="46">
        <v>0</v>
      </c>
      <c r="CI305" s="46">
        <v>2.836879432624114</v>
      </c>
      <c r="CJ305" s="46">
        <v>0.30395136778115511</v>
      </c>
      <c r="CK305">
        <v>325</v>
      </c>
      <c r="CL305">
        <v>457.42</v>
      </c>
      <c r="CM305">
        <f t="shared" si="35"/>
        <v>132.42000000000002</v>
      </c>
      <c r="CN305">
        <v>8.74</v>
      </c>
      <c r="CO305">
        <v>9.4499999999999993</v>
      </c>
      <c r="CP305">
        <f t="shared" si="36"/>
        <v>0.70999999999999908</v>
      </c>
      <c r="CQ305">
        <v>846.56</v>
      </c>
      <c r="CR305">
        <v>650.44000000000005</v>
      </c>
      <c r="CS305">
        <f t="shared" si="37"/>
        <v>196.11999999999989</v>
      </c>
      <c r="CT305" t="s">
        <v>150</v>
      </c>
      <c r="CU305">
        <v>100.34</v>
      </c>
      <c r="CV305">
        <v>284</v>
      </c>
      <c r="CW305" s="46">
        <v>2338</v>
      </c>
      <c r="CX305" s="46">
        <f t="shared" si="31"/>
        <v>76.635858234885333</v>
      </c>
      <c r="CY305" s="46">
        <v>132.41999999999999</v>
      </c>
      <c r="CZ305" s="46">
        <f t="shared" si="32"/>
        <v>81.236970118137592</v>
      </c>
      <c r="DA305" s="46">
        <f t="shared" si="33"/>
        <v>667.04061891696176</v>
      </c>
      <c r="DB305" s="46">
        <v>2008072.42</v>
      </c>
      <c r="DC305" s="46">
        <f t="shared" si="34"/>
        <v>29.64980966111041</v>
      </c>
      <c r="DD305" s="46">
        <v>89258.38</v>
      </c>
      <c r="DE305" s="995">
        <v>2338</v>
      </c>
      <c r="DF305" s="995">
        <v>76.665999999999997</v>
      </c>
      <c r="DG305" s="995">
        <v>131.6</v>
      </c>
      <c r="DH305" s="995">
        <v>81.236999999999995</v>
      </c>
      <c r="DI305" s="995">
        <v>2269.2629999999999</v>
      </c>
      <c r="DJ305" s="995">
        <v>6829482</v>
      </c>
      <c r="DK305" s="995">
        <v>98.385000000000005</v>
      </c>
      <c r="DL305" s="995">
        <v>296094.2</v>
      </c>
      <c r="DM305" s="995">
        <v>2338</v>
      </c>
      <c r="DN305" s="995">
        <v>76.756</v>
      </c>
      <c r="DO305" s="995">
        <v>129</v>
      </c>
      <c r="DP305" s="995">
        <v>81.236999999999995</v>
      </c>
      <c r="DQ305" s="995">
        <v>2260.951</v>
      </c>
      <c r="DR305" s="995">
        <v>6798628</v>
      </c>
      <c r="DS305" s="995">
        <v>97.986999999999995</v>
      </c>
      <c r="DT305" s="995">
        <v>294646.09999999998</v>
      </c>
    </row>
    <row r="306" spans="1:124">
      <c r="A306" s="42" t="s">
        <v>94</v>
      </c>
      <c r="B306" s="42" t="s">
        <v>510</v>
      </c>
      <c r="C306" s="42" t="s">
        <v>511</v>
      </c>
      <c r="D306" s="42">
        <v>810328</v>
      </c>
      <c r="E306" s="42" t="s">
        <v>520</v>
      </c>
      <c r="F306" s="42" t="s">
        <v>149</v>
      </c>
      <c r="G306" s="42" t="s">
        <v>150</v>
      </c>
      <c r="H306" s="43" t="s">
        <v>150</v>
      </c>
      <c r="I306" s="44">
        <v>37</v>
      </c>
      <c r="J306" s="45">
        <v>207575.03200000001</v>
      </c>
      <c r="K306" s="46">
        <v>10367.405819</v>
      </c>
      <c r="L306" s="47">
        <v>217942.43781900001</v>
      </c>
      <c r="M306" s="48">
        <v>4408015</v>
      </c>
      <c r="N306" s="49">
        <v>3002509</v>
      </c>
      <c r="O306" s="49">
        <v>1403804</v>
      </c>
      <c r="P306" s="49">
        <v>1702</v>
      </c>
      <c r="Q306" s="50">
        <v>10129.4536321839</v>
      </c>
      <c r="R306" s="51">
        <v>19019.595825971701</v>
      </c>
      <c r="S306" s="49">
        <v>33024.392916467499</v>
      </c>
      <c r="T306" s="49">
        <v>5153.20904220803</v>
      </c>
      <c r="U306" s="49">
        <f>IFERROR(INDEX('Rentabilidad datos'!$N$2:$N$61,MATCH($C306,'Rentabilidad datos'!$C$2:$C$61,0)),"")</f>
        <v>57197.197784647178</v>
      </c>
      <c r="V306" s="50">
        <f>IFERROR(INDEX('Rentabilidad datos'!$O$2:$O$61,MATCH($C306,'Rentabilidad datos'!$C$2:$C$61,0)),"")</f>
        <v>1545.8702103958697</v>
      </c>
      <c r="W306" s="51">
        <f>IFERROR(INDEX('Rentabilidad datos'!$M$2:$M$61,MATCH($C306,'Rentabilidad datos'!$C$2:$C$61,0)),"")</f>
        <v>2982.1586443005776</v>
      </c>
      <c r="X306" s="52">
        <f>IFERROR(INDEX('Rentabilidad datos'!$P$2:$P$61,MATCH($C306,'Rentabilidad datos'!$C$2:$C$61,0)),"")</f>
        <v>0.51837289520136554</v>
      </c>
      <c r="Y306" s="43" t="s">
        <v>211</v>
      </c>
      <c r="Z306" s="53">
        <v>52.3449131513648</v>
      </c>
      <c r="AA306" s="43">
        <v>2</v>
      </c>
      <c r="AB306" s="54">
        <v>0.98095219730422878</v>
      </c>
      <c r="AC306" s="55">
        <v>1.9047802695771224E-2</v>
      </c>
      <c r="AD306" s="752" t="e">
        <f>_xlfn.XLOOKUP(Table1[[#This Row],[Ruta]],#REF!,#REF!)</f>
        <v>#REF!</v>
      </c>
      <c r="AE306" s="752" t="e">
        <f>_xlfn.XLOOKUP(Table1[[#This Row],[Ruta]],#REF!,#REF!)</f>
        <v>#REF!</v>
      </c>
      <c r="AF306" s="752" t="e">
        <f>_xlfn.XLOOKUP(Table1[[#This Row],[Ruta]],#REF!,#REF!)</f>
        <v>#REF!</v>
      </c>
      <c r="AG306" s="752" t="e">
        <f>_xlfn.XLOOKUP(Table1[[#This Row],[Ruta]],#REF!,#REF!)</f>
        <v>#REF!</v>
      </c>
      <c r="AH306" s="52">
        <v>0.68114763674806011</v>
      </c>
      <c r="AI306" s="52">
        <v>0.31846624841340149</v>
      </c>
      <c r="AJ306" s="55">
        <v>3.861148385384351E-4</v>
      </c>
      <c r="AK306" s="56">
        <v>21095</v>
      </c>
      <c r="AL306" s="44">
        <v>15721</v>
      </c>
      <c r="AM306" s="54">
        <v>0.69637354823417896</v>
      </c>
      <c r="AN306" s="55">
        <v>0.59299875749554298</v>
      </c>
      <c r="AO306" s="56">
        <v>0</v>
      </c>
      <c r="AP306" s="48">
        <v>0</v>
      </c>
      <c r="AQ306" s="55">
        <v>0.74524768902583549</v>
      </c>
      <c r="AR306" s="51">
        <v>4406312.33</v>
      </c>
      <c r="AS306" s="49">
        <v>0</v>
      </c>
      <c r="AT306" s="55">
        <v>0</v>
      </c>
      <c r="AU306" s="51">
        <v>0</v>
      </c>
      <c r="AV306" s="52">
        <v>0</v>
      </c>
      <c r="AW306" s="44">
        <v>490</v>
      </c>
      <c r="AX306" s="51">
        <v>280.28193689968799</v>
      </c>
      <c r="AY306" s="49">
        <v>323.84896749365402</v>
      </c>
      <c r="AZ306" s="49">
        <v>43.567030593966024</v>
      </c>
      <c r="BA306" s="42" t="s">
        <v>150</v>
      </c>
      <c r="BB306" s="50">
        <v>240646.61469136816</v>
      </c>
      <c r="BC306" s="57">
        <v>240646.61469136816</v>
      </c>
      <c r="BD306" s="42" t="s">
        <v>150</v>
      </c>
      <c r="BE306" s="46">
        <v>52.3449131513648</v>
      </c>
      <c r="BF306" s="46">
        <v>72.425990467051307</v>
      </c>
      <c r="BG306" s="42" t="s">
        <v>152</v>
      </c>
      <c r="BH306" s="52">
        <v>0.69637354823417896</v>
      </c>
      <c r="BI306" s="52">
        <v>0.49337264070319697</v>
      </c>
      <c r="BJ306" s="42" t="s">
        <v>150</v>
      </c>
      <c r="BK306" s="46">
        <v>501.01709843448299</v>
      </c>
      <c r="BL306" s="46">
        <v>605.59017138979505</v>
      </c>
      <c r="BM306" s="42" t="s">
        <v>152</v>
      </c>
      <c r="BN306" s="48">
        <v>1</v>
      </c>
      <c r="BO306" s="42" t="s">
        <v>155</v>
      </c>
      <c r="BP306" s="42" t="s">
        <v>152</v>
      </c>
      <c r="BQ306" s="46">
        <v>3924.8242813988199</v>
      </c>
      <c r="BR306" s="46">
        <v>59</v>
      </c>
      <c r="BS306" s="46">
        <v>7598</v>
      </c>
      <c r="BT306" s="46">
        <v>2292</v>
      </c>
      <c r="BU306" s="46">
        <v>3.3150087260034904</v>
      </c>
      <c r="BV306" s="46">
        <v>38.847457627118644</v>
      </c>
      <c r="BW306" s="46">
        <v>0</v>
      </c>
      <c r="BX306" s="46">
        <v>1798</v>
      </c>
      <c r="BY306" s="46">
        <v>1798</v>
      </c>
      <c r="BZ306" s="46">
        <v>0.78446771378708546</v>
      </c>
      <c r="CA306" s="46">
        <v>0</v>
      </c>
      <c r="CB306" s="46">
        <v>0.78446771378708546</v>
      </c>
      <c r="CC306" s="46">
        <v>6.5008726003490405E-2</v>
      </c>
      <c r="CD306" s="46">
        <v>0</v>
      </c>
      <c r="CE306" s="46">
        <v>0</v>
      </c>
      <c r="CF306" s="46">
        <v>0.15052356020942409</v>
      </c>
      <c r="CG306" s="46">
        <v>0</v>
      </c>
      <c r="CH306" s="46">
        <v>0</v>
      </c>
      <c r="CI306" s="46">
        <v>2.8954988154777568</v>
      </c>
      <c r="CJ306" s="46">
        <v>0.26322716504343252</v>
      </c>
      <c r="CK306">
        <v>298</v>
      </c>
      <c r="CL306">
        <v>387.78</v>
      </c>
      <c r="CM306">
        <f t="shared" si="35"/>
        <v>89.779999999999973</v>
      </c>
      <c r="CN306">
        <v>6.96</v>
      </c>
      <c r="CO306">
        <v>9.4499999999999993</v>
      </c>
      <c r="CP306">
        <f t="shared" si="36"/>
        <v>2.4899999999999993</v>
      </c>
      <c r="CQ306">
        <v>846.56</v>
      </c>
      <c r="CR306">
        <v>501.02</v>
      </c>
      <c r="CS306">
        <f t="shared" si="37"/>
        <v>345.53999999999996</v>
      </c>
      <c r="CT306" t="s">
        <v>152</v>
      </c>
      <c r="CU306">
        <v>73.69</v>
      </c>
      <c r="CV306">
        <v>285</v>
      </c>
      <c r="CW306" s="46">
        <v>1798</v>
      </c>
      <c r="CX306" s="46">
        <f t="shared" si="31"/>
        <v>74.529668411867362</v>
      </c>
      <c r="CY306" s="46">
        <v>89.78</v>
      </c>
      <c r="CZ306" s="46">
        <f t="shared" si="32"/>
        <v>78.446771378708547</v>
      </c>
      <c r="DA306" s="46">
        <f t="shared" si="33"/>
        <v>857.6569540427746</v>
      </c>
      <c r="DB306" s="46">
        <v>2042750.18</v>
      </c>
      <c r="DC306" s="46">
        <f t="shared" si="34"/>
        <v>43.068864462712753</v>
      </c>
      <c r="DD306" s="46">
        <v>102580.56</v>
      </c>
      <c r="DE306" s="995">
        <v>1798</v>
      </c>
      <c r="DF306" s="995">
        <v>74.652000000000001</v>
      </c>
      <c r="DG306" s="995">
        <v>87</v>
      </c>
      <c r="DH306" s="995">
        <v>78.447000000000003</v>
      </c>
      <c r="DI306" s="995">
        <v>2194.2869999999998</v>
      </c>
      <c r="DJ306" s="995">
        <v>5220179</v>
      </c>
      <c r="DK306" s="995">
        <v>110.006</v>
      </c>
      <c r="DL306" s="995">
        <v>261703</v>
      </c>
      <c r="DM306" s="995">
        <v>1798</v>
      </c>
      <c r="DN306" s="995">
        <v>75.314999999999998</v>
      </c>
      <c r="DO306" s="995">
        <v>71.8</v>
      </c>
      <c r="DP306" s="995">
        <v>78.447000000000003</v>
      </c>
      <c r="DQ306" s="995">
        <v>2128.9059999999999</v>
      </c>
      <c r="DR306" s="995">
        <v>5032287</v>
      </c>
      <c r="DS306" s="995">
        <v>106.752</v>
      </c>
      <c r="DT306" s="995">
        <v>252339.3</v>
      </c>
    </row>
    <row r="307" spans="1:124">
      <c r="A307" s="42" t="s">
        <v>94</v>
      </c>
      <c r="B307" s="42" t="s">
        <v>510</v>
      </c>
      <c r="C307" s="42" t="s">
        <v>511</v>
      </c>
      <c r="D307" s="42">
        <v>810329</v>
      </c>
      <c r="E307" s="42" t="s">
        <v>521</v>
      </c>
      <c r="F307" s="42" t="s">
        <v>149</v>
      </c>
      <c r="G307" s="42" t="s">
        <v>150</v>
      </c>
      <c r="H307" s="43" t="s">
        <v>150</v>
      </c>
      <c r="I307" s="44">
        <v>37</v>
      </c>
      <c r="J307" s="45">
        <v>245680.35519999999</v>
      </c>
      <c r="K307" s="46">
        <v>14323.373353000001</v>
      </c>
      <c r="L307" s="47">
        <v>260003.72855299999</v>
      </c>
      <c r="M307" s="48">
        <v>5404220</v>
      </c>
      <c r="N307" s="49">
        <v>3596687</v>
      </c>
      <c r="O307" s="49">
        <v>1797849</v>
      </c>
      <c r="P307" s="49">
        <v>9684</v>
      </c>
      <c r="Q307" s="50">
        <v>12316.289908675801</v>
      </c>
      <c r="R307" s="51">
        <v>19019.595825971701</v>
      </c>
      <c r="S307" s="49">
        <v>33024.392916467499</v>
      </c>
      <c r="T307" s="49">
        <v>5153.20904220803</v>
      </c>
      <c r="U307" s="49">
        <f>IFERROR(INDEX('Rentabilidad datos'!$N$2:$N$61,MATCH($C307,'Rentabilidad datos'!$C$2:$C$61,0)),"")</f>
        <v>57197.197784647178</v>
      </c>
      <c r="V307" s="50">
        <f>IFERROR(INDEX('Rentabilidad datos'!$O$2:$O$61,MATCH($C307,'Rentabilidad datos'!$C$2:$C$61,0)),"")</f>
        <v>1545.8702103958697</v>
      </c>
      <c r="W307" s="51">
        <f>IFERROR(INDEX('Rentabilidad datos'!$M$2:$M$61,MATCH($C307,'Rentabilidad datos'!$C$2:$C$61,0)),"")</f>
        <v>2982.1586443005776</v>
      </c>
      <c r="X307" s="52">
        <f>IFERROR(INDEX('Rentabilidad datos'!$P$2:$P$61,MATCH($C307,'Rentabilidad datos'!$C$2:$C$61,0)),"")</f>
        <v>0.51837289520136554</v>
      </c>
      <c r="Y307" s="43" t="s">
        <v>211</v>
      </c>
      <c r="Z307" s="53">
        <v>70.307881773399004</v>
      </c>
      <c r="AA307" s="43">
        <v>2</v>
      </c>
      <c r="AB307" s="54">
        <v>0.9896386527565495</v>
      </c>
      <c r="AC307" s="55">
        <v>1.0361347243450489E-2</v>
      </c>
      <c r="AD307" s="752" t="e">
        <f>_xlfn.XLOOKUP(Table1[[#This Row],[Ruta]],#REF!,#REF!)</f>
        <v>#REF!</v>
      </c>
      <c r="AE307" s="752" t="e">
        <f>_xlfn.XLOOKUP(Table1[[#This Row],[Ruta]],#REF!,#REF!)</f>
        <v>#REF!</v>
      </c>
      <c r="AF307" s="752" t="e">
        <f>_xlfn.XLOOKUP(Table1[[#This Row],[Ruta]],#REF!,#REF!)</f>
        <v>#REF!</v>
      </c>
      <c r="AG307" s="752" t="e">
        <f>_xlfn.XLOOKUP(Table1[[#This Row],[Ruta]],#REF!,#REF!)</f>
        <v>#REF!</v>
      </c>
      <c r="AH307" s="52">
        <v>0.66553304639707489</v>
      </c>
      <c r="AI307" s="52">
        <v>0.33267502063202459</v>
      </c>
      <c r="AJ307" s="55">
        <v>1.7919329709005184E-3</v>
      </c>
      <c r="AK307" s="56">
        <v>28545</v>
      </c>
      <c r="AL307" s="44">
        <v>15219</v>
      </c>
      <c r="AM307" s="54">
        <v>0.49238045191802399</v>
      </c>
      <c r="AN307" s="55">
        <v>0.59299875749554298</v>
      </c>
      <c r="AO307" s="56">
        <v>2872.1495327102798</v>
      </c>
      <c r="AP307" s="48">
        <v>1436.0747663551399</v>
      </c>
      <c r="AQ307" s="55">
        <v>0.58346732409721991</v>
      </c>
      <c r="AR307" s="51">
        <v>5394534.9800000004</v>
      </c>
      <c r="AS307" s="49">
        <v>509031.83921402</v>
      </c>
      <c r="AT307" s="55">
        <v>9.4360652234387762E-2</v>
      </c>
      <c r="AU307" s="51">
        <v>357698.04917741957</v>
      </c>
      <c r="AV307" s="52">
        <v>1.6272022756107548E-3</v>
      </c>
      <c r="AW307" s="44">
        <v>207</v>
      </c>
      <c r="AX307" s="51">
        <v>354.46054142847697</v>
      </c>
      <c r="AY307" s="49">
        <v>323.84896749365402</v>
      </c>
      <c r="AZ307" s="49">
        <v>0</v>
      </c>
      <c r="BA307" s="42" t="s">
        <v>152</v>
      </c>
      <c r="BB307" s="50">
        <v>0</v>
      </c>
      <c r="BC307" s="57">
        <v>357698.04917741957</v>
      </c>
      <c r="BD307" s="42" t="s">
        <v>150</v>
      </c>
      <c r="BE307" s="46">
        <v>70.307881773399004</v>
      </c>
      <c r="BF307" s="46">
        <v>72.425990467051307</v>
      </c>
      <c r="BG307" s="42" t="s">
        <v>152</v>
      </c>
      <c r="BH307" s="52">
        <v>0.49238045191802399</v>
      </c>
      <c r="BI307" s="52">
        <v>0.49337264070319697</v>
      </c>
      <c r="BJ307" s="42" t="s">
        <v>152</v>
      </c>
      <c r="BK307" s="46">
        <v>593.61581861415505</v>
      </c>
      <c r="BL307" s="46">
        <v>605.59017138979505</v>
      </c>
      <c r="BM307" s="42" t="s">
        <v>152</v>
      </c>
      <c r="BN307" s="48">
        <v>0</v>
      </c>
      <c r="BO307" s="42" t="s">
        <v>155</v>
      </c>
      <c r="BP307" s="42" t="s">
        <v>152</v>
      </c>
      <c r="BQ307" s="46">
        <v>6167.5393822920596</v>
      </c>
      <c r="BR307" s="46">
        <v>23</v>
      </c>
      <c r="BS307" s="46">
        <v>5124</v>
      </c>
      <c r="BT307" s="46">
        <v>1533</v>
      </c>
      <c r="BU307" s="46">
        <v>3.3424657534246576</v>
      </c>
      <c r="BV307" s="46">
        <v>66.652173913043484</v>
      </c>
      <c r="BW307" s="46">
        <v>0</v>
      </c>
      <c r="BX307" s="46">
        <v>1533</v>
      </c>
      <c r="BY307" s="46">
        <v>1533</v>
      </c>
      <c r="BZ307" s="46">
        <v>1</v>
      </c>
      <c r="CA307" s="46">
        <v>0</v>
      </c>
      <c r="CB307" s="46">
        <v>1</v>
      </c>
      <c r="CC307" s="46">
        <v>0</v>
      </c>
      <c r="CD307" s="46">
        <v>0</v>
      </c>
      <c r="CE307" s="46">
        <v>0</v>
      </c>
      <c r="CF307" s="46">
        <v>0</v>
      </c>
      <c r="CG307" s="46">
        <v>0</v>
      </c>
      <c r="CH307" s="46">
        <v>0</v>
      </c>
      <c r="CI307" s="46">
        <v>1.5612802498048399</v>
      </c>
      <c r="CJ307" s="46">
        <v>0.19516003122560499</v>
      </c>
      <c r="CK307">
        <v>265</v>
      </c>
      <c r="CL307">
        <v>356.12</v>
      </c>
      <c r="CM307">
        <f t="shared" si="35"/>
        <v>91.12</v>
      </c>
      <c r="CN307">
        <v>6.4</v>
      </c>
      <c r="CO307">
        <v>9.4499999999999993</v>
      </c>
      <c r="CP307">
        <f t="shared" si="36"/>
        <v>3.0499999999999989</v>
      </c>
      <c r="CQ307">
        <v>846.56</v>
      </c>
      <c r="CR307">
        <v>593.62</v>
      </c>
      <c r="CS307">
        <f t="shared" si="37"/>
        <v>252.93999999999994</v>
      </c>
      <c r="CT307" t="s">
        <v>152</v>
      </c>
      <c r="CU307">
        <v>72.349999999999994</v>
      </c>
      <c r="CV307">
        <v>257</v>
      </c>
      <c r="CW307" s="46">
        <v>1533</v>
      </c>
      <c r="CX307" s="46">
        <f t="shared" si="31"/>
        <v>94.056099151989571</v>
      </c>
      <c r="CY307" s="46">
        <v>91.12</v>
      </c>
      <c r="CZ307" s="46">
        <f t="shared" si="32"/>
        <v>100</v>
      </c>
      <c r="DA307" s="46">
        <f t="shared" si="33"/>
        <v>828.75788734822561</v>
      </c>
      <c r="DB307" s="46">
        <v>1346002.26</v>
      </c>
      <c r="DC307" s="46">
        <f t="shared" si="34"/>
        <v>39.418583602196883</v>
      </c>
      <c r="DD307" s="46">
        <v>64020.51</v>
      </c>
      <c r="DE307" s="995">
        <v>1533</v>
      </c>
      <c r="DF307" s="995">
        <v>94.251000000000005</v>
      </c>
      <c r="DG307" s="995">
        <v>88.1</v>
      </c>
      <c r="DH307" s="995">
        <v>100</v>
      </c>
      <c r="DI307" s="995">
        <v>3096.0070000000001</v>
      </c>
      <c r="DJ307" s="995">
        <v>5019024</v>
      </c>
      <c r="DK307" s="995">
        <v>147.292</v>
      </c>
      <c r="DL307" s="995">
        <v>238778.7</v>
      </c>
      <c r="DM307" s="995">
        <v>1533</v>
      </c>
      <c r="DN307" s="995">
        <v>94.837999999999994</v>
      </c>
      <c r="DO307" s="995">
        <v>79.099999999999994</v>
      </c>
      <c r="DP307" s="995">
        <v>100</v>
      </c>
      <c r="DQ307" s="995">
        <v>3038.2049999999999</v>
      </c>
      <c r="DR307" s="995">
        <v>4898015</v>
      </c>
      <c r="DS307" s="995">
        <v>144.51900000000001</v>
      </c>
      <c r="DT307" s="995">
        <v>232984.4</v>
      </c>
    </row>
    <row r="308" spans="1:124">
      <c r="A308" s="42" t="s">
        <v>94</v>
      </c>
      <c r="B308" s="42" t="s">
        <v>510</v>
      </c>
      <c r="C308" s="42" t="s">
        <v>511</v>
      </c>
      <c r="D308" s="42">
        <v>810330</v>
      </c>
      <c r="E308" s="42" t="s">
        <v>522</v>
      </c>
      <c r="F308" s="42" t="s">
        <v>149</v>
      </c>
      <c r="G308" s="42" t="s">
        <v>150</v>
      </c>
      <c r="H308" s="43" t="s">
        <v>150</v>
      </c>
      <c r="I308" s="44">
        <v>37</v>
      </c>
      <c r="J308" s="45">
        <v>163865.5704</v>
      </c>
      <c r="K308" s="46">
        <v>10085.183751</v>
      </c>
      <c r="L308" s="47">
        <v>173950.754151</v>
      </c>
      <c r="M308" s="48">
        <v>3689697</v>
      </c>
      <c r="N308" s="49">
        <v>2316554</v>
      </c>
      <c r="O308" s="49">
        <v>1370336</v>
      </c>
      <c r="P308" s="49">
        <v>2807</v>
      </c>
      <c r="Q308" s="50">
        <v>8248.0739373601791</v>
      </c>
      <c r="R308" s="51">
        <v>19019.595825971701</v>
      </c>
      <c r="S308" s="49">
        <v>33024.392916467499</v>
      </c>
      <c r="T308" s="49">
        <v>5153.20904220803</v>
      </c>
      <c r="U308" s="49">
        <f>IFERROR(INDEX('Rentabilidad datos'!$N$2:$N$61,MATCH($C308,'Rentabilidad datos'!$C$2:$C$61,0)),"")</f>
        <v>57197.197784647178</v>
      </c>
      <c r="V308" s="50">
        <f>IFERROR(INDEX('Rentabilidad datos'!$O$2:$O$61,MATCH($C308,'Rentabilidad datos'!$C$2:$C$61,0)),"")</f>
        <v>1545.8702103958697</v>
      </c>
      <c r="W308" s="51">
        <f>IFERROR(INDEX('Rentabilidad datos'!$M$2:$M$61,MATCH($C308,'Rentabilidad datos'!$C$2:$C$61,0)),"")</f>
        <v>2982.1586443005776</v>
      </c>
      <c r="X308" s="52">
        <f>IFERROR(INDEX('Rentabilidad datos'!$P$2:$P$61,MATCH($C308,'Rentabilidad datos'!$C$2:$C$61,0)),"")</f>
        <v>0.51837289520136554</v>
      </c>
      <c r="Y308" s="43" t="s">
        <v>211</v>
      </c>
      <c r="Z308" s="53">
        <v>57.860240963855397</v>
      </c>
      <c r="AA308" s="43">
        <v>2</v>
      </c>
      <c r="AB308" s="54">
        <v>0.99240100203350035</v>
      </c>
      <c r="AC308" s="55">
        <v>7.5989979664996881E-3</v>
      </c>
      <c r="AD308" s="752" t="e">
        <f>_xlfn.XLOOKUP(Table1[[#This Row],[Ruta]],#REF!,#REF!)</f>
        <v>#REF!</v>
      </c>
      <c r="AE308" s="752" t="e">
        <f>_xlfn.XLOOKUP(Table1[[#This Row],[Ruta]],#REF!,#REF!)</f>
        <v>#REF!</v>
      </c>
      <c r="AF308" s="752" t="e">
        <f>_xlfn.XLOOKUP(Table1[[#This Row],[Ruta]],#REF!,#REF!)</f>
        <v>#REF!</v>
      </c>
      <c r="AG308" s="752" t="e">
        <f>_xlfn.XLOOKUP(Table1[[#This Row],[Ruta]],#REF!,#REF!)</f>
        <v>#REF!</v>
      </c>
      <c r="AH308" s="52">
        <v>0.6278439665912946</v>
      </c>
      <c r="AI308" s="52">
        <v>0.37139526633216763</v>
      </c>
      <c r="AJ308" s="55">
        <v>7.6076707653772112E-4</v>
      </c>
      <c r="AK308" s="56">
        <v>24012</v>
      </c>
      <c r="AL308" s="44">
        <v>15865</v>
      </c>
      <c r="AM308" s="54">
        <v>0.61894052973513303</v>
      </c>
      <c r="AN308" s="55">
        <v>0.59299875749554298</v>
      </c>
      <c r="AO308" s="56">
        <v>0</v>
      </c>
      <c r="AP308" s="48">
        <v>0</v>
      </c>
      <c r="AQ308" s="55">
        <v>0.6607113110111611</v>
      </c>
      <c r="AR308" s="51">
        <v>3686889.05</v>
      </c>
      <c r="AS308" s="49">
        <v>0</v>
      </c>
      <c r="AT308" s="55">
        <v>0</v>
      </c>
      <c r="AU308" s="51">
        <v>0</v>
      </c>
      <c r="AV308" s="52">
        <v>0</v>
      </c>
      <c r="AW308" s="44">
        <v>490</v>
      </c>
      <c r="AX308" s="51">
        <v>232.39136779073399</v>
      </c>
      <c r="AY308" s="49">
        <v>323.84896749365402</v>
      </c>
      <c r="AZ308" s="49">
        <v>91.457599702920021</v>
      </c>
      <c r="BA308" s="42" t="s">
        <v>150</v>
      </c>
      <c r="BB308" s="50">
        <v>509801.96353320935</v>
      </c>
      <c r="BC308" s="57">
        <v>509801.96353320935</v>
      </c>
      <c r="BD308" s="42" t="s">
        <v>150</v>
      </c>
      <c r="BE308" s="46">
        <v>57.860240963855397</v>
      </c>
      <c r="BF308" s="46">
        <v>72.425990467051307</v>
      </c>
      <c r="BG308" s="42" t="s">
        <v>152</v>
      </c>
      <c r="BH308" s="52">
        <v>0.61894052973513303</v>
      </c>
      <c r="BI308" s="52">
        <v>0.49337264070319697</v>
      </c>
      <c r="BJ308" s="42" t="s">
        <v>150</v>
      </c>
      <c r="BK308" s="46">
        <v>389.15157528187899</v>
      </c>
      <c r="BL308" s="46">
        <v>605.59017138979505</v>
      </c>
      <c r="BM308" s="42" t="s">
        <v>152</v>
      </c>
      <c r="BN308" s="48">
        <v>1</v>
      </c>
      <c r="BO308" s="42" t="s">
        <v>155</v>
      </c>
      <c r="BP308" s="42" t="s">
        <v>152</v>
      </c>
      <c r="BQ308" s="46">
        <v>6913.4213864499297</v>
      </c>
      <c r="BR308" s="46">
        <v>65</v>
      </c>
      <c r="BS308" s="46">
        <v>6061</v>
      </c>
      <c r="BT308" s="46">
        <v>2185</v>
      </c>
      <c r="BU308" s="46">
        <v>2.7739130434782608</v>
      </c>
      <c r="BV308" s="46">
        <v>33.615384615384613</v>
      </c>
      <c r="BW308" s="46">
        <v>0</v>
      </c>
      <c r="BX308" s="46">
        <v>1055</v>
      </c>
      <c r="BY308" s="46">
        <v>1055</v>
      </c>
      <c r="BZ308" s="46">
        <v>0.48283752860411899</v>
      </c>
      <c r="CA308" s="46">
        <v>0</v>
      </c>
      <c r="CB308" s="46">
        <v>0.48283752860411899</v>
      </c>
      <c r="CC308" s="46">
        <v>0.51716247139588101</v>
      </c>
      <c r="CD308" s="46">
        <v>0</v>
      </c>
      <c r="CE308" s="46">
        <v>0</v>
      </c>
      <c r="CF308" s="46">
        <v>0</v>
      </c>
      <c r="CG308" s="46">
        <v>0</v>
      </c>
      <c r="CH308" s="46">
        <v>0</v>
      </c>
      <c r="CI308" s="46">
        <v>3.4647747896386729</v>
      </c>
      <c r="CJ308" s="46">
        <v>0.49496782709123899</v>
      </c>
      <c r="CK308">
        <v>322</v>
      </c>
      <c r="CL308">
        <v>370.8</v>
      </c>
      <c r="CM308">
        <f t="shared" si="35"/>
        <v>48.800000000000011</v>
      </c>
      <c r="CN308">
        <v>9.31</v>
      </c>
      <c r="CO308">
        <v>9.4499999999999993</v>
      </c>
      <c r="CP308">
        <f t="shared" si="36"/>
        <v>0.13999999999999879</v>
      </c>
      <c r="CQ308">
        <v>846.56</v>
      </c>
      <c r="CR308">
        <v>389.15</v>
      </c>
      <c r="CS308">
        <f t="shared" si="37"/>
        <v>457.40999999999997</v>
      </c>
      <c r="CT308" t="s">
        <v>152</v>
      </c>
      <c r="CU308">
        <v>98.49</v>
      </c>
      <c r="CV308">
        <v>234</v>
      </c>
      <c r="CW308" s="46">
        <v>1055</v>
      </c>
      <c r="CX308" s="46">
        <f t="shared" si="31"/>
        <v>46.050343249427925</v>
      </c>
      <c r="CY308" s="46">
        <v>48.8</v>
      </c>
      <c r="CZ308" s="46">
        <f t="shared" si="32"/>
        <v>48.283752860411902</v>
      </c>
      <c r="DA308" s="46">
        <f t="shared" si="33"/>
        <v>910.99820485271732</v>
      </c>
      <c r="DB308" s="46">
        <v>2034987.79</v>
      </c>
      <c r="DC308" s="46">
        <f t="shared" si="34"/>
        <v>40.193038768018624</v>
      </c>
      <c r="DD308" s="46">
        <v>89783.21</v>
      </c>
      <c r="DE308" s="995">
        <v>1055</v>
      </c>
      <c r="DF308" s="995">
        <v>46.442</v>
      </c>
      <c r="DG308" s="995">
        <v>40.200000000000003</v>
      </c>
      <c r="DH308" s="995">
        <v>48.283999999999999</v>
      </c>
      <c r="DI308" s="995">
        <v>2132.0030000000002</v>
      </c>
      <c r="DJ308" s="995">
        <v>4744235</v>
      </c>
      <c r="DK308" s="995">
        <v>95.114999999999995</v>
      </c>
      <c r="DL308" s="995">
        <v>211653.6</v>
      </c>
      <c r="DM308" s="995">
        <v>1055</v>
      </c>
      <c r="DN308" s="995">
        <v>46.767000000000003</v>
      </c>
      <c r="DO308" s="995">
        <v>33.1</v>
      </c>
      <c r="DP308" s="995">
        <v>48.283999999999999</v>
      </c>
      <c r="DQ308" s="995">
        <v>2097.9659999999999</v>
      </c>
      <c r="DR308" s="995">
        <v>4653592</v>
      </c>
      <c r="DS308" s="995">
        <v>93.623999999999995</v>
      </c>
      <c r="DT308" s="995">
        <v>207671.7</v>
      </c>
    </row>
    <row r="309" spans="1:124">
      <c r="A309" s="42" t="s">
        <v>94</v>
      </c>
      <c r="B309" s="42" t="s">
        <v>510</v>
      </c>
      <c r="C309" s="42" t="s">
        <v>511</v>
      </c>
      <c r="D309" s="42">
        <v>810331</v>
      </c>
      <c r="E309" s="42" t="s">
        <v>523</v>
      </c>
      <c r="F309" s="42" t="s">
        <v>149</v>
      </c>
      <c r="G309" s="42" t="s">
        <v>150</v>
      </c>
      <c r="H309" s="43" t="s">
        <v>150</v>
      </c>
      <c r="I309" s="44">
        <v>37</v>
      </c>
      <c r="J309" s="45">
        <v>171269.65520000001</v>
      </c>
      <c r="K309" s="46">
        <v>9569.5088909999995</v>
      </c>
      <c r="L309" s="47">
        <v>180839.16409100001</v>
      </c>
      <c r="M309" s="48">
        <v>3602178</v>
      </c>
      <c r="N309" s="49">
        <v>2472840</v>
      </c>
      <c r="O309" s="49">
        <v>1127742</v>
      </c>
      <c r="P309" s="49">
        <v>1596</v>
      </c>
      <c r="Q309" s="50">
        <v>8296.2726267281105</v>
      </c>
      <c r="R309" s="51">
        <v>19019.595825971701</v>
      </c>
      <c r="S309" s="49">
        <v>33024.392916467499</v>
      </c>
      <c r="T309" s="49">
        <v>5153.20904220803</v>
      </c>
      <c r="U309" s="49">
        <f>IFERROR(INDEX('Rentabilidad datos'!$N$2:$N$61,MATCH($C309,'Rentabilidad datos'!$C$2:$C$61,0)),"")</f>
        <v>57197.197784647178</v>
      </c>
      <c r="V309" s="50">
        <f>IFERROR(INDEX('Rentabilidad datos'!$O$2:$O$61,MATCH($C309,'Rentabilidad datos'!$C$2:$C$61,0)),"")</f>
        <v>1545.8702103958697</v>
      </c>
      <c r="W309" s="51">
        <f>IFERROR(INDEX('Rentabilidad datos'!$M$2:$M$61,MATCH($C309,'Rentabilidad datos'!$C$2:$C$61,0)),"")</f>
        <v>2982.1586443005776</v>
      </c>
      <c r="X309" s="52">
        <f>IFERROR(INDEX('Rentabilidad datos'!$P$2:$P$61,MATCH($C309,'Rentabilidad datos'!$C$2:$C$61,0)),"")</f>
        <v>0.51837289520136554</v>
      </c>
      <c r="Y309" s="43" t="s">
        <v>211</v>
      </c>
      <c r="Z309" s="53">
        <v>102.669154228856</v>
      </c>
      <c r="AA309" s="43">
        <v>2</v>
      </c>
      <c r="AB309" s="54">
        <v>0.98401411590432231</v>
      </c>
      <c r="AC309" s="55">
        <v>1.5985884095677669E-2</v>
      </c>
      <c r="AD309" s="752" t="e">
        <f>_xlfn.XLOOKUP(Table1[[#This Row],[Ruta]],#REF!,#REF!)</f>
        <v>#REF!</v>
      </c>
      <c r="AE309" s="752" t="e">
        <f>_xlfn.XLOOKUP(Table1[[#This Row],[Ruta]],#REF!,#REF!)</f>
        <v>#REF!</v>
      </c>
      <c r="AF309" s="752" t="e">
        <f>_xlfn.XLOOKUP(Table1[[#This Row],[Ruta]],#REF!,#REF!)</f>
        <v>#REF!</v>
      </c>
      <c r="AG309" s="752" t="e">
        <f>_xlfn.XLOOKUP(Table1[[#This Row],[Ruta]],#REF!,#REF!)</f>
        <v>#REF!</v>
      </c>
      <c r="AH309" s="52">
        <v>0.6864846767705538</v>
      </c>
      <c r="AI309" s="52">
        <v>0.31307225795060656</v>
      </c>
      <c r="AJ309" s="55">
        <v>4.4306527883963533E-4</v>
      </c>
      <c r="AK309" s="56">
        <v>41273</v>
      </c>
      <c r="AL309" s="44">
        <v>22698</v>
      </c>
      <c r="AM309" s="54">
        <v>0.50434909020425001</v>
      </c>
      <c r="AN309" s="55">
        <v>0.59299875749554298</v>
      </c>
      <c r="AO309" s="56">
        <v>3658.8377181135502</v>
      </c>
      <c r="AP309" s="48">
        <v>1829.4188590567751</v>
      </c>
      <c r="AQ309" s="55">
        <v>0.59427274147885478</v>
      </c>
      <c r="AR309" s="51">
        <v>3600582.32</v>
      </c>
      <c r="AS309" s="49">
        <v>290200.5991626755</v>
      </c>
      <c r="AT309" s="55">
        <v>8.0598240332045934E-2</v>
      </c>
      <c r="AU309" s="51">
        <v>203924.74535755583</v>
      </c>
      <c r="AV309" s="52">
        <v>9.2767296456395046E-4</v>
      </c>
      <c r="AW309" s="44">
        <v>309</v>
      </c>
      <c r="AX309" s="51">
        <v>158.62993743942201</v>
      </c>
      <c r="AY309" s="49">
        <v>323.84896749365402</v>
      </c>
      <c r="AZ309" s="49">
        <v>165.21903005423201</v>
      </c>
      <c r="BA309" s="42" t="s">
        <v>150</v>
      </c>
      <c r="BB309" s="50">
        <v>1317617.29930331</v>
      </c>
      <c r="BC309" s="57">
        <v>1521542.0446608658</v>
      </c>
      <c r="BD309" s="42" t="s">
        <v>150</v>
      </c>
      <c r="BE309" s="46">
        <v>102.669154228856</v>
      </c>
      <c r="BF309" s="46">
        <v>72.425990467051307</v>
      </c>
      <c r="BG309" s="42" t="s">
        <v>150</v>
      </c>
      <c r="BH309" s="52">
        <v>0.50434909020425001</v>
      </c>
      <c r="BI309" s="52">
        <v>0.49337264070319697</v>
      </c>
      <c r="BJ309" s="42" t="s">
        <v>150</v>
      </c>
      <c r="BK309" s="46">
        <v>416.68010159216601</v>
      </c>
      <c r="BL309" s="46">
        <v>605.59017138979505</v>
      </c>
      <c r="BM309" s="42" t="s">
        <v>152</v>
      </c>
      <c r="BN309" s="48">
        <v>2</v>
      </c>
      <c r="BO309" s="42" t="s">
        <v>161</v>
      </c>
      <c r="BP309" s="42" t="s">
        <v>152</v>
      </c>
      <c r="BQ309" s="46">
        <v>0</v>
      </c>
      <c r="BR309" s="46">
        <v>178</v>
      </c>
      <c r="BS309" s="46">
        <v>20758</v>
      </c>
      <c r="BT309" s="46">
        <v>5334</v>
      </c>
      <c r="BU309" s="46">
        <v>3.8916385451818525</v>
      </c>
      <c r="BV309" s="46">
        <v>29.966292134831459</v>
      </c>
      <c r="BW309" s="46">
        <v>0</v>
      </c>
      <c r="BX309" s="46">
        <v>64</v>
      </c>
      <c r="BY309" s="46">
        <v>64</v>
      </c>
      <c r="BZ309" s="46">
        <v>1.1998500187476566E-2</v>
      </c>
      <c r="CA309" s="46">
        <v>0</v>
      </c>
      <c r="CB309" s="46">
        <v>1.1998500187476571E-2</v>
      </c>
      <c r="CC309" s="46">
        <v>0.90082489688788903</v>
      </c>
      <c r="CD309" s="46">
        <v>8.7176602924634417E-2</v>
      </c>
      <c r="CE309" s="46">
        <v>0</v>
      </c>
      <c r="CF309" s="46">
        <v>0</v>
      </c>
      <c r="CG309" s="46">
        <v>0</v>
      </c>
      <c r="CH309" s="46">
        <v>0</v>
      </c>
      <c r="CI309" s="46">
        <v>5.3473359668561518</v>
      </c>
      <c r="CJ309" s="46">
        <v>9.6348395799209938E-2</v>
      </c>
      <c r="CK309">
        <v>377</v>
      </c>
      <c r="CL309">
        <v>377</v>
      </c>
      <c r="CM309">
        <f t="shared" si="35"/>
        <v>0</v>
      </c>
      <c r="CN309">
        <v>15.62</v>
      </c>
      <c r="CO309">
        <v>9.4499999999999993</v>
      </c>
      <c r="CP309">
        <f t="shared" si="36"/>
        <v>-6.17</v>
      </c>
      <c r="CQ309">
        <v>846.56</v>
      </c>
      <c r="CR309">
        <v>416.68</v>
      </c>
      <c r="CS309">
        <f t="shared" si="37"/>
        <v>429.87999999999994</v>
      </c>
      <c r="CT309" t="s">
        <v>150</v>
      </c>
      <c r="CU309">
        <v>165.26</v>
      </c>
      <c r="CV309">
        <v>12</v>
      </c>
      <c r="CW309" s="46">
        <v>64</v>
      </c>
      <c r="CX309" s="46">
        <f t="shared" si="31"/>
        <v>1.1998500187476566</v>
      </c>
      <c r="CY309" s="46">
        <v>0</v>
      </c>
      <c r="CZ309" s="46">
        <f t="shared" si="32"/>
        <v>1.1998500187476566</v>
      </c>
      <c r="DA309" s="46">
        <f t="shared" si="33"/>
        <v>224.68050993625798</v>
      </c>
      <c r="DB309" s="46">
        <v>1198445.8400000001</v>
      </c>
      <c r="DC309" s="46">
        <f t="shared" si="34"/>
        <v>10.898119610048743</v>
      </c>
      <c r="DD309" s="46">
        <v>58130.57</v>
      </c>
      <c r="DE309" s="995">
        <v>64</v>
      </c>
      <c r="DF309" s="995">
        <v>1.2</v>
      </c>
      <c r="DG309" s="995">
        <v>0</v>
      </c>
      <c r="DH309" s="995">
        <v>1.2</v>
      </c>
      <c r="DI309" s="995">
        <v>753.38699999999994</v>
      </c>
      <c r="DJ309" s="995">
        <v>4018565</v>
      </c>
      <c r="DK309" s="995">
        <v>36.506</v>
      </c>
      <c r="DL309" s="995">
        <v>194723.9</v>
      </c>
      <c r="DM309" s="995">
        <v>64</v>
      </c>
      <c r="DN309" s="995">
        <v>1.2</v>
      </c>
      <c r="DO309" s="995">
        <v>0</v>
      </c>
      <c r="DP309" s="995">
        <v>1.2</v>
      </c>
      <c r="DQ309" s="995">
        <v>753.38699999999994</v>
      </c>
      <c r="DR309" s="995">
        <v>4018565</v>
      </c>
      <c r="DS309" s="995">
        <v>36.506</v>
      </c>
      <c r="DT309" s="995">
        <v>194723.9</v>
      </c>
    </row>
    <row r="310" spans="1:124">
      <c r="A310" s="42" t="s">
        <v>94</v>
      </c>
      <c r="B310" s="42" t="s">
        <v>510</v>
      </c>
      <c r="C310" s="42" t="s">
        <v>511</v>
      </c>
      <c r="D310" s="42">
        <v>810332</v>
      </c>
      <c r="E310" s="42" t="s">
        <v>524</v>
      </c>
      <c r="F310" s="42" t="s">
        <v>149</v>
      </c>
      <c r="G310" s="42" t="s">
        <v>150</v>
      </c>
      <c r="H310" s="43" t="s">
        <v>150</v>
      </c>
      <c r="I310" s="44">
        <v>37</v>
      </c>
      <c r="J310" s="45">
        <v>157204.712</v>
      </c>
      <c r="K310" s="46">
        <v>5906.2658499999998</v>
      </c>
      <c r="L310" s="47">
        <v>163110.97785</v>
      </c>
      <c r="M310" s="48">
        <v>2945620</v>
      </c>
      <c r="N310" s="49">
        <v>2259502</v>
      </c>
      <c r="O310" s="49">
        <v>686051</v>
      </c>
      <c r="P310" s="49">
        <v>67</v>
      </c>
      <c r="Q310" s="50">
        <v>6818.4082638888904</v>
      </c>
      <c r="R310" s="51">
        <v>19019.595825971701</v>
      </c>
      <c r="S310" s="49">
        <v>33024.392916467499</v>
      </c>
      <c r="T310" s="49">
        <v>5153.20904220803</v>
      </c>
      <c r="U310" s="49">
        <f>IFERROR(INDEX('Rentabilidad datos'!$N$2:$N$61,MATCH($C310,'Rentabilidad datos'!$C$2:$C$61,0)),"")</f>
        <v>57197.197784647178</v>
      </c>
      <c r="V310" s="50">
        <f>IFERROR(INDEX('Rentabilidad datos'!$O$2:$O$61,MATCH($C310,'Rentabilidad datos'!$C$2:$C$61,0)),"")</f>
        <v>1545.8702103958697</v>
      </c>
      <c r="W310" s="51">
        <f>IFERROR(INDEX('Rentabilidad datos'!$M$2:$M$61,MATCH($C310,'Rentabilidad datos'!$C$2:$C$61,0)),"")</f>
        <v>2982.1586443005776</v>
      </c>
      <c r="X310" s="52">
        <f>IFERROR(INDEX('Rentabilidad datos'!$P$2:$P$61,MATCH($C310,'Rentabilidad datos'!$C$2:$C$61,0)),"")</f>
        <v>0.51837289520136554</v>
      </c>
      <c r="Y310" s="43" t="s">
        <v>211</v>
      </c>
      <c r="Z310" s="53">
        <v>40.18</v>
      </c>
      <c r="AA310" s="43">
        <v>2</v>
      </c>
      <c r="AB310" s="54">
        <v>0.97126988545705151</v>
      </c>
      <c r="AC310" s="55">
        <v>2.8730114542948514E-2</v>
      </c>
      <c r="AD310" s="752" t="e">
        <f>_xlfn.XLOOKUP(Table1[[#This Row],[Ruta]],#REF!,#REF!)</f>
        <v>#REF!</v>
      </c>
      <c r="AE310" s="752" t="e">
        <f>_xlfn.XLOOKUP(Table1[[#This Row],[Ruta]],#REF!,#REF!)</f>
        <v>#REF!</v>
      </c>
      <c r="AF310" s="752" t="e">
        <f>_xlfn.XLOOKUP(Table1[[#This Row],[Ruta]],#REF!,#REF!)</f>
        <v>#REF!</v>
      </c>
      <c r="AG310" s="752" t="e">
        <f>_xlfn.XLOOKUP(Table1[[#This Row],[Ruta]],#REF!,#REF!)</f>
        <v>#REF!</v>
      </c>
      <c r="AH310" s="52">
        <v>0.76707178794277608</v>
      </c>
      <c r="AI310" s="52">
        <v>0.23290546642133064</v>
      </c>
      <c r="AJ310" s="55">
        <v>2.2745635893292415E-5</v>
      </c>
      <c r="AK310" s="56">
        <v>16072</v>
      </c>
      <c r="AL310" s="44">
        <v>7046</v>
      </c>
      <c r="AM310" s="54">
        <v>0.41065206570433099</v>
      </c>
      <c r="AN310" s="55">
        <v>0.59299875749554298</v>
      </c>
      <c r="AO310" s="56">
        <v>2930.6760304683698</v>
      </c>
      <c r="AP310" s="48">
        <v>1465.3380152341849</v>
      </c>
      <c r="AQ310" s="55">
        <v>0.52957553603995677</v>
      </c>
      <c r="AR310" s="51">
        <v>2945552.37</v>
      </c>
      <c r="AS310" s="49">
        <v>612578.74874029995</v>
      </c>
      <c r="AT310" s="55">
        <v>0.20796735952798556</v>
      </c>
      <c r="AU310" s="51">
        <v>430460.7423580488</v>
      </c>
      <c r="AV310" s="52">
        <v>1.9582066526135501E-3</v>
      </c>
      <c r="AW310" s="44">
        <v>175</v>
      </c>
      <c r="AX310" s="51">
        <v>418.04603604882197</v>
      </c>
      <c r="AY310" s="49">
        <v>323.84896749365402</v>
      </c>
      <c r="AZ310" s="49">
        <v>0</v>
      </c>
      <c r="BA310" s="42" t="s">
        <v>152</v>
      </c>
      <c r="BB310" s="50">
        <v>0</v>
      </c>
      <c r="BC310" s="57">
        <v>430460.7423580488</v>
      </c>
      <c r="BD310" s="42" t="s">
        <v>150</v>
      </c>
      <c r="BE310" s="46">
        <v>40.18</v>
      </c>
      <c r="BF310" s="46">
        <v>72.425990467051307</v>
      </c>
      <c r="BG310" s="42" t="s">
        <v>152</v>
      </c>
      <c r="BH310" s="52">
        <v>0.41065206570433099</v>
      </c>
      <c r="BI310" s="52">
        <v>0.49337264070319697</v>
      </c>
      <c r="BJ310" s="42" t="s">
        <v>152</v>
      </c>
      <c r="BK310" s="46">
        <v>377.57170798611099</v>
      </c>
      <c r="BL310" s="46">
        <v>605.59017138979505</v>
      </c>
      <c r="BM310" s="42" t="s">
        <v>152</v>
      </c>
      <c r="BN310" s="48">
        <v>0</v>
      </c>
      <c r="BO310" s="42" t="s">
        <v>155</v>
      </c>
      <c r="BP310" s="42" t="s">
        <v>152</v>
      </c>
      <c r="BQ310" s="46">
        <v>9763.2987494498702</v>
      </c>
      <c r="BR310" s="46">
        <v>187</v>
      </c>
      <c r="BS310" s="46">
        <v>24434</v>
      </c>
      <c r="BT310" s="46">
        <v>6048</v>
      </c>
      <c r="BU310" s="46">
        <v>4.0400132275132279</v>
      </c>
      <c r="BV310" s="46">
        <v>32.342245989304814</v>
      </c>
      <c r="BW310" s="46">
        <v>0</v>
      </c>
      <c r="BX310" s="46">
        <v>639</v>
      </c>
      <c r="BY310" s="46">
        <v>639</v>
      </c>
      <c r="BZ310" s="46">
        <v>0.1056547619047619</v>
      </c>
      <c r="CA310" s="46">
        <v>0</v>
      </c>
      <c r="CB310" s="46">
        <v>0.1056547619047619</v>
      </c>
      <c r="CC310" s="46">
        <v>0.48214285714285721</v>
      </c>
      <c r="CD310" s="46">
        <v>0.3525132275132275</v>
      </c>
      <c r="CE310" s="46">
        <v>0</v>
      </c>
      <c r="CF310" s="46">
        <v>5.9689153439153438E-2</v>
      </c>
      <c r="CG310" s="46">
        <v>0</v>
      </c>
      <c r="CH310" s="46">
        <v>0</v>
      </c>
      <c r="CI310" s="46">
        <v>4.7065564377506748</v>
      </c>
      <c r="CJ310" s="46">
        <v>0.16370631087828441</v>
      </c>
      <c r="CK310">
        <v>215</v>
      </c>
      <c r="CL310">
        <v>217.94</v>
      </c>
      <c r="CM310">
        <f t="shared" si="35"/>
        <v>2.9399999999999977</v>
      </c>
      <c r="CN310">
        <v>14.65</v>
      </c>
      <c r="CO310">
        <v>9.4499999999999993</v>
      </c>
      <c r="CP310">
        <f t="shared" si="36"/>
        <v>-5.2000000000000011</v>
      </c>
      <c r="CQ310">
        <v>765.54</v>
      </c>
      <c r="CR310">
        <v>377.57</v>
      </c>
      <c r="CS310">
        <f t="shared" si="37"/>
        <v>387.96999999999997</v>
      </c>
      <c r="CT310" t="s">
        <v>150</v>
      </c>
      <c r="CU310">
        <v>154.97</v>
      </c>
      <c r="CV310">
        <v>37</v>
      </c>
      <c r="CW310" s="46">
        <v>639</v>
      </c>
      <c r="CX310" s="46">
        <f t="shared" si="31"/>
        <v>10.516865079365079</v>
      </c>
      <c r="CY310" s="46">
        <v>2.94</v>
      </c>
      <c r="CZ310" s="46">
        <f t="shared" si="32"/>
        <v>10.56547619047619</v>
      </c>
      <c r="DA310" s="46">
        <f t="shared" si="33"/>
        <v>5.8471229263552438</v>
      </c>
      <c r="DB310" s="46">
        <v>35380.589999999997</v>
      </c>
      <c r="DC310" s="46">
        <f t="shared" si="34"/>
        <v>0.31033855896769758</v>
      </c>
      <c r="DD310" s="46">
        <v>1877.84</v>
      </c>
      <c r="DE310" s="995">
        <v>639</v>
      </c>
      <c r="DF310" s="995">
        <v>10.516999999999999</v>
      </c>
      <c r="DG310" s="995">
        <v>2.9</v>
      </c>
      <c r="DH310" s="995">
        <v>10.565</v>
      </c>
      <c r="DI310" s="995">
        <v>369.62099999999998</v>
      </c>
      <c r="DJ310" s="995">
        <v>2236551</v>
      </c>
      <c r="DK310" s="995">
        <v>19.617999999999999</v>
      </c>
      <c r="DL310" s="995">
        <v>118706.1</v>
      </c>
      <c r="DM310" s="995">
        <v>639</v>
      </c>
      <c r="DN310" s="995">
        <v>10.516999999999999</v>
      </c>
      <c r="DO310" s="995">
        <v>2.9</v>
      </c>
      <c r="DP310" s="995">
        <v>10.565</v>
      </c>
      <c r="DQ310" s="995">
        <v>369.62099999999998</v>
      </c>
      <c r="DR310" s="995">
        <v>2236551</v>
      </c>
      <c r="DS310" s="995">
        <v>19.617999999999999</v>
      </c>
      <c r="DT310" s="995">
        <v>118706.1</v>
      </c>
    </row>
    <row r="311" spans="1:124">
      <c r="A311" s="42" t="s">
        <v>94</v>
      </c>
      <c r="B311" s="42" t="s">
        <v>510</v>
      </c>
      <c r="C311" s="42" t="s">
        <v>511</v>
      </c>
      <c r="D311" s="42">
        <v>810333</v>
      </c>
      <c r="E311" s="42" t="s">
        <v>525</v>
      </c>
      <c r="F311" s="42" t="s">
        <v>149</v>
      </c>
      <c r="G311" s="42" t="s">
        <v>150</v>
      </c>
      <c r="H311" s="43" t="s">
        <v>150</v>
      </c>
      <c r="I311" s="44">
        <v>37</v>
      </c>
      <c r="J311" s="45">
        <v>215820.97039999999</v>
      </c>
      <c r="K311" s="46">
        <v>11553.228338999999</v>
      </c>
      <c r="L311" s="47">
        <v>227374.19873900001</v>
      </c>
      <c r="M311" s="48">
        <v>4501725</v>
      </c>
      <c r="N311" s="49">
        <v>3143929</v>
      </c>
      <c r="O311" s="49">
        <v>1355893</v>
      </c>
      <c r="P311" s="49">
        <v>1903</v>
      </c>
      <c r="Q311" s="50">
        <v>10320.6858486239</v>
      </c>
      <c r="R311" s="51">
        <v>19019.595825971701</v>
      </c>
      <c r="S311" s="49">
        <v>33024.392916467499</v>
      </c>
      <c r="T311" s="49">
        <v>5153.20904220803</v>
      </c>
      <c r="U311" s="49">
        <f>IFERROR(INDEX('Rentabilidad datos'!$N$2:$N$61,MATCH($C311,'Rentabilidad datos'!$C$2:$C$61,0)),"")</f>
        <v>57197.197784647178</v>
      </c>
      <c r="V311" s="50">
        <f>IFERROR(INDEX('Rentabilidad datos'!$O$2:$O$61,MATCH($C311,'Rentabilidad datos'!$C$2:$C$61,0)),"")</f>
        <v>1545.8702103958697</v>
      </c>
      <c r="W311" s="51">
        <f>IFERROR(INDEX('Rentabilidad datos'!$M$2:$M$61,MATCH($C311,'Rentabilidad datos'!$C$2:$C$61,0)),"")</f>
        <v>2982.1586443005776</v>
      </c>
      <c r="X311" s="52">
        <f>IFERROR(INDEX('Rentabilidad datos'!$P$2:$P$61,MATCH($C311,'Rentabilidad datos'!$C$2:$C$61,0)),"")</f>
        <v>0.51837289520136554</v>
      </c>
      <c r="Y311" s="43" t="s">
        <v>211</v>
      </c>
      <c r="Z311" s="53">
        <v>73.397530864197506</v>
      </c>
      <c r="AA311" s="43">
        <v>2</v>
      </c>
      <c r="AB311" s="54">
        <v>0.97355369330645469</v>
      </c>
      <c r="AC311" s="55">
        <v>2.6446306693545252E-2</v>
      </c>
      <c r="AD311" s="752" t="e">
        <f>_xlfn.XLOOKUP(Table1[[#This Row],[Ruta]],#REF!,#REF!)</f>
        <v>#REF!</v>
      </c>
      <c r="AE311" s="752" t="e">
        <f>_xlfn.XLOOKUP(Table1[[#This Row],[Ruta]],#REF!,#REF!)</f>
        <v>#REF!</v>
      </c>
      <c r="AF311" s="752" t="e">
        <f>_xlfn.XLOOKUP(Table1[[#This Row],[Ruta]],#REF!,#REF!)</f>
        <v>#REF!</v>
      </c>
      <c r="AG311" s="752" t="e">
        <f>_xlfn.XLOOKUP(Table1[[#This Row],[Ruta]],#REF!,#REF!)</f>
        <v>#REF!</v>
      </c>
      <c r="AH311" s="52">
        <v>0.69838317533834249</v>
      </c>
      <c r="AI311" s="52">
        <v>0.30119409781805861</v>
      </c>
      <c r="AJ311" s="55">
        <v>4.2272684359884264E-4</v>
      </c>
      <c r="AK311" s="56">
        <v>29726</v>
      </c>
      <c r="AL311" s="44">
        <v>14569</v>
      </c>
      <c r="AM311" s="54">
        <v>0.46884881921550198</v>
      </c>
      <c r="AN311" s="55">
        <v>0.59299875749554298</v>
      </c>
      <c r="AO311" s="56">
        <v>3690.4810653125201</v>
      </c>
      <c r="AP311" s="48">
        <v>1845.24053265626</v>
      </c>
      <c r="AQ311" s="55">
        <v>0.55218463744386259</v>
      </c>
      <c r="AR311" s="51">
        <v>4499819.03</v>
      </c>
      <c r="AS311" s="49">
        <v>569925.76455308998</v>
      </c>
      <c r="AT311" s="55">
        <v>0.12665526341246883</v>
      </c>
      <c r="AU311" s="51">
        <v>400488.37509136065</v>
      </c>
      <c r="AV311" s="52">
        <v>1.8218595175538183E-3</v>
      </c>
      <c r="AW311" s="44">
        <v>189</v>
      </c>
      <c r="AX311" s="51">
        <v>308.86258699979402</v>
      </c>
      <c r="AY311" s="49">
        <v>323.84896749365402</v>
      </c>
      <c r="AZ311" s="49">
        <v>14.986380493859997</v>
      </c>
      <c r="BA311" s="42" t="s">
        <v>150</v>
      </c>
      <c r="BB311" s="50">
        <v>76712.851524205485</v>
      </c>
      <c r="BC311" s="57">
        <v>477201.22661556612</v>
      </c>
      <c r="BD311" s="42" t="s">
        <v>150</v>
      </c>
      <c r="BE311" s="46">
        <v>73.397530864197506</v>
      </c>
      <c r="BF311" s="46">
        <v>72.425990467051307</v>
      </c>
      <c r="BG311" s="42" t="s">
        <v>150</v>
      </c>
      <c r="BH311" s="52">
        <v>0.46884881921550198</v>
      </c>
      <c r="BI311" s="52">
        <v>0.49337264070319697</v>
      </c>
      <c r="BJ311" s="42" t="s">
        <v>152</v>
      </c>
      <c r="BK311" s="46">
        <v>521.50045582339396</v>
      </c>
      <c r="BL311" s="46">
        <v>605.59017138979505</v>
      </c>
      <c r="BM311" s="42" t="s">
        <v>152</v>
      </c>
      <c r="BN311" s="48">
        <v>1</v>
      </c>
      <c r="BO311" s="42" t="s">
        <v>155</v>
      </c>
      <c r="BP311" s="42" t="s">
        <v>152</v>
      </c>
      <c r="BQ311" s="46">
        <v>7786.2279932678603</v>
      </c>
      <c r="BR311" s="46">
        <v>448</v>
      </c>
      <c r="BS311" s="46">
        <v>28609</v>
      </c>
      <c r="BT311" s="46">
        <v>8610</v>
      </c>
      <c r="BU311" s="46">
        <v>3.3227642276422764</v>
      </c>
      <c r="BV311" s="46">
        <v>19.21875</v>
      </c>
      <c r="BW311" s="46">
        <v>0</v>
      </c>
      <c r="BX311" s="46">
        <v>553</v>
      </c>
      <c r="BY311" s="46">
        <v>553</v>
      </c>
      <c r="BZ311" s="46">
        <v>6.4227642276422761E-2</v>
      </c>
      <c r="CA311" s="46">
        <v>0</v>
      </c>
      <c r="CB311" s="46">
        <v>6.4227642276422761E-2</v>
      </c>
      <c r="CC311" s="46">
        <v>0.34866434378629502</v>
      </c>
      <c r="CD311" s="46">
        <v>0.34541231126596977</v>
      </c>
      <c r="CE311" s="46">
        <v>0.19152148664343779</v>
      </c>
      <c r="CF311" s="46">
        <v>5.0174216027874557E-2</v>
      </c>
      <c r="CG311" s="46">
        <v>0</v>
      </c>
      <c r="CH311" s="46">
        <v>0</v>
      </c>
      <c r="CI311" s="46">
        <v>3.1808172253486671</v>
      </c>
      <c r="CJ311" s="46">
        <v>0.1747701772169597</v>
      </c>
      <c r="CK311">
        <v>284</v>
      </c>
      <c r="CL311">
        <v>306.89999999999998</v>
      </c>
      <c r="CM311">
        <f t="shared" si="35"/>
        <v>22.899999999999977</v>
      </c>
      <c r="CN311">
        <v>7.16</v>
      </c>
      <c r="CO311">
        <v>9.4499999999999993</v>
      </c>
      <c r="CP311">
        <f t="shared" si="36"/>
        <v>2.2899999999999991</v>
      </c>
      <c r="CQ311">
        <v>564.37</v>
      </c>
      <c r="CR311">
        <v>521.5</v>
      </c>
      <c r="CS311">
        <f t="shared" si="37"/>
        <v>42.870000000000005</v>
      </c>
      <c r="CT311" t="s">
        <v>152</v>
      </c>
      <c r="CU311">
        <v>92.4</v>
      </c>
      <c r="CV311">
        <v>25</v>
      </c>
      <c r="CW311" s="46">
        <v>553</v>
      </c>
      <c r="CX311" s="46">
        <f t="shared" si="31"/>
        <v>6.1567944250871083</v>
      </c>
      <c r="CY311" s="46">
        <v>22.9</v>
      </c>
      <c r="CZ311" s="46">
        <f t="shared" si="32"/>
        <v>6.4227642276422765</v>
      </c>
      <c r="DA311" s="46">
        <f t="shared" si="33"/>
        <v>29.530739380741121</v>
      </c>
      <c r="DB311" s="46">
        <v>254935.92</v>
      </c>
      <c r="DC311" s="46">
        <f t="shared" si="34"/>
        <v>1.4000011583592999</v>
      </c>
      <c r="DD311" s="46">
        <v>12086.07</v>
      </c>
      <c r="DE311" s="995">
        <v>553</v>
      </c>
      <c r="DF311" s="995">
        <v>6.16</v>
      </c>
      <c r="DG311" s="995">
        <v>22.6</v>
      </c>
      <c r="DH311" s="995">
        <v>6.423</v>
      </c>
      <c r="DI311" s="995">
        <v>427.71699999999998</v>
      </c>
      <c r="DJ311" s="995">
        <v>3692309</v>
      </c>
      <c r="DK311" s="995">
        <v>20.548999999999999</v>
      </c>
      <c r="DL311" s="995">
        <v>177388.9</v>
      </c>
      <c r="DM311" s="995">
        <v>553</v>
      </c>
      <c r="DN311" s="995">
        <v>6.1710000000000003</v>
      </c>
      <c r="DO311" s="995">
        <v>21.7</v>
      </c>
      <c r="DP311" s="995">
        <v>6.423</v>
      </c>
      <c r="DQ311" s="995">
        <v>426.87099999999998</v>
      </c>
      <c r="DR311" s="995">
        <v>3684624</v>
      </c>
      <c r="DS311" s="995">
        <v>20.507000000000001</v>
      </c>
      <c r="DT311" s="995">
        <v>177007.4</v>
      </c>
    </row>
    <row r="312" spans="1:124">
      <c r="A312" s="42" t="s">
        <v>94</v>
      </c>
      <c r="B312" s="42" t="s">
        <v>510</v>
      </c>
      <c r="C312" s="42" t="s">
        <v>511</v>
      </c>
      <c r="D312" s="42">
        <v>810335</v>
      </c>
      <c r="E312" s="42" t="s">
        <v>526</v>
      </c>
      <c r="F312" s="42" t="s">
        <v>149</v>
      </c>
      <c r="G312" s="42" t="s">
        <v>150</v>
      </c>
      <c r="H312" s="43" t="s">
        <v>150</v>
      </c>
      <c r="I312" s="44">
        <v>37</v>
      </c>
      <c r="J312" s="45">
        <v>195221.97519999999</v>
      </c>
      <c r="K312" s="46">
        <v>7494.4552489999996</v>
      </c>
      <c r="L312" s="47">
        <v>202716.43044900001</v>
      </c>
      <c r="M312" s="48">
        <v>3808323</v>
      </c>
      <c r="N312" s="49">
        <v>2841348</v>
      </c>
      <c r="O312" s="49">
        <v>966947</v>
      </c>
      <c r="P312" s="49">
        <v>28</v>
      </c>
      <c r="Q312" s="50">
        <v>8655.2066136363592</v>
      </c>
      <c r="R312" s="51">
        <v>19019.595825971701</v>
      </c>
      <c r="S312" s="49">
        <v>33024.392916467499</v>
      </c>
      <c r="T312" s="49">
        <v>5153.20904220803</v>
      </c>
      <c r="U312" s="49">
        <f>IFERROR(INDEX('Rentabilidad datos'!$N$2:$N$61,MATCH($C312,'Rentabilidad datos'!$C$2:$C$61,0)),"")</f>
        <v>57197.197784647178</v>
      </c>
      <c r="V312" s="50">
        <f>IFERROR(INDEX('Rentabilidad datos'!$O$2:$O$61,MATCH($C312,'Rentabilidad datos'!$C$2:$C$61,0)),"")</f>
        <v>1545.8702103958697</v>
      </c>
      <c r="W312" s="51">
        <f>IFERROR(INDEX('Rentabilidad datos'!$M$2:$M$61,MATCH($C312,'Rentabilidad datos'!$C$2:$C$61,0)),"")</f>
        <v>2982.1586443005776</v>
      </c>
      <c r="X312" s="52">
        <f>IFERROR(INDEX('Rentabilidad datos'!$P$2:$P$61,MATCH($C312,'Rentabilidad datos'!$C$2:$C$61,0)),"")</f>
        <v>0.51837289520136554</v>
      </c>
      <c r="Y312" s="43" t="s">
        <v>211</v>
      </c>
      <c r="Z312" s="53">
        <v>45.148780487804899</v>
      </c>
      <c r="AA312" s="43">
        <v>2</v>
      </c>
      <c r="AB312" s="54">
        <v>0.98344126798068332</v>
      </c>
      <c r="AC312" s="55">
        <v>1.6558732019316638E-2</v>
      </c>
      <c r="AD312" s="752" t="e">
        <f>_xlfn.XLOOKUP(Table1[[#This Row],[Ruta]],#REF!,#REF!)</f>
        <v>#REF!</v>
      </c>
      <c r="AE312" s="752" t="e">
        <f>_xlfn.XLOOKUP(Table1[[#This Row],[Ruta]],#REF!,#REF!)</f>
        <v>#REF!</v>
      </c>
      <c r="AF312" s="752" t="e">
        <f>_xlfn.XLOOKUP(Table1[[#This Row],[Ruta]],#REF!,#REF!)</f>
        <v>#REF!</v>
      </c>
      <c r="AG312" s="752" t="e">
        <f>_xlfn.XLOOKUP(Table1[[#This Row],[Ruta]],#REF!,#REF!)</f>
        <v>#REF!</v>
      </c>
      <c r="AH312" s="52">
        <v>0.74608902658729315</v>
      </c>
      <c r="AI312" s="52">
        <v>0.25390362109516446</v>
      </c>
      <c r="AJ312" s="55">
        <v>7.3523175423933318E-6</v>
      </c>
      <c r="AK312" s="56">
        <v>18511</v>
      </c>
      <c r="AL312" s="44">
        <v>11681</v>
      </c>
      <c r="AM312" s="54">
        <v>0.59299875749554298</v>
      </c>
      <c r="AN312" s="55">
        <v>0.59299875749554298</v>
      </c>
      <c r="AO312" s="56">
        <v>0</v>
      </c>
      <c r="AP312" s="48">
        <v>0</v>
      </c>
      <c r="AQ312" s="55">
        <v>0.63103019826049378</v>
      </c>
      <c r="AR312" s="51">
        <v>3808290.91</v>
      </c>
      <c r="AS312" s="49">
        <v>0</v>
      </c>
      <c r="AT312" s="55">
        <v>0</v>
      </c>
      <c r="AU312" s="51">
        <v>0</v>
      </c>
      <c r="AV312" s="52">
        <v>0</v>
      </c>
      <c r="AW312" s="44">
        <v>490</v>
      </c>
      <c r="AX312" s="51">
        <v>326.02439089119099</v>
      </c>
      <c r="AY312" s="49">
        <v>323.84896749365402</v>
      </c>
      <c r="AZ312" s="49">
        <v>0</v>
      </c>
      <c r="BA312" s="42" t="s">
        <v>152</v>
      </c>
      <c r="BB312" s="50">
        <v>0</v>
      </c>
      <c r="BC312" s="57">
        <v>0</v>
      </c>
      <c r="BD312" s="42" t="s">
        <v>150</v>
      </c>
      <c r="BE312" s="46">
        <v>45.148780487804899</v>
      </c>
      <c r="BF312" s="46">
        <v>72.425990467051307</v>
      </c>
      <c r="BG312" s="42" t="s">
        <v>152</v>
      </c>
      <c r="BH312" s="52">
        <v>0.59299875749554298</v>
      </c>
      <c r="BI312" s="52">
        <v>0.49337264070319697</v>
      </c>
      <c r="BJ312" s="42" t="s">
        <v>150</v>
      </c>
      <c r="BK312" s="46">
        <v>460.71916011136398</v>
      </c>
      <c r="BL312" s="46">
        <v>605.59017138979505</v>
      </c>
      <c r="BM312" s="42" t="s">
        <v>152</v>
      </c>
      <c r="BN312" s="48">
        <v>1</v>
      </c>
      <c r="BO312" s="42" t="s">
        <v>155</v>
      </c>
      <c r="BP312" s="42" t="s">
        <v>152</v>
      </c>
      <c r="BQ312" s="46">
        <v>7696.1466757164699</v>
      </c>
      <c r="BR312" s="46">
        <v>227</v>
      </c>
      <c r="BS312" s="46">
        <v>25605</v>
      </c>
      <c r="BT312" s="46">
        <v>7360</v>
      </c>
      <c r="BU312" s="46">
        <v>3.4789402173913042</v>
      </c>
      <c r="BV312" s="46">
        <v>32.422907488986787</v>
      </c>
      <c r="BW312" s="46">
        <v>0</v>
      </c>
      <c r="BX312" s="46">
        <v>1145</v>
      </c>
      <c r="BY312" s="46">
        <v>1145</v>
      </c>
      <c r="BZ312" s="46">
        <v>0.15557065217391305</v>
      </c>
      <c r="CA312" s="46">
        <v>0</v>
      </c>
      <c r="CB312" s="46">
        <v>0.15557065217391311</v>
      </c>
      <c r="CC312" s="46">
        <v>0.60815217391304344</v>
      </c>
      <c r="CD312" s="46">
        <v>0.18111413043478261</v>
      </c>
      <c r="CE312" s="46">
        <v>0</v>
      </c>
      <c r="CF312" s="46">
        <v>5.516304347826087E-2</v>
      </c>
      <c r="CG312" s="46">
        <v>0</v>
      </c>
      <c r="CH312" s="46">
        <v>0</v>
      </c>
      <c r="CI312" s="46">
        <v>3.0462800234329235</v>
      </c>
      <c r="CJ312" s="46">
        <v>0.19527436047646951</v>
      </c>
      <c r="CK312">
        <v>242</v>
      </c>
      <c r="CL312">
        <v>253.75</v>
      </c>
      <c r="CM312">
        <f t="shared" si="35"/>
        <v>11.75</v>
      </c>
      <c r="CN312">
        <v>16.45</v>
      </c>
      <c r="CO312">
        <v>9.4499999999999993</v>
      </c>
      <c r="CP312">
        <f t="shared" si="36"/>
        <v>-7</v>
      </c>
      <c r="CQ312">
        <v>846.56</v>
      </c>
      <c r="CR312">
        <v>460.72</v>
      </c>
      <c r="CS312">
        <f t="shared" si="37"/>
        <v>385.83999999999992</v>
      </c>
      <c r="CT312" t="s">
        <v>150</v>
      </c>
      <c r="CU312">
        <v>174.07</v>
      </c>
      <c r="CV312">
        <v>57</v>
      </c>
      <c r="CW312" s="46">
        <v>1145</v>
      </c>
      <c r="CX312" s="46">
        <f t="shared" si="31"/>
        <v>15.397418478260869</v>
      </c>
      <c r="CY312" s="46">
        <v>11.75</v>
      </c>
      <c r="CZ312" s="46">
        <f t="shared" si="32"/>
        <v>15.557065217391305</v>
      </c>
      <c r="DA312" s="46">
        <f t="shared" si="33"/>
        <v>17.920478855088685</v>
      </c>
      <c r="DB312" s="46">
        <v>132105.29</v>
      </c>
      <c r="DC312" s="46">
        <f t="shared" si="34"/>
        <v>0.89344728185302003</v>
      </c>
      <c r="DD312" s="46">
        <v>6586.27</v>
      </c>
      <c r="DE312" s="995">
        <v>1145</v>
      </c>
      <c r="DF312" s="995">
        <v>15.397</v>
      </c>
      <c r="DG312" s="995">
        <v>11.7</v>
      </c>
      <c r="DH312" s="995">
        <v>15.557</v>
      </c>
      <c r="DI312" s="995">
        <v>438.26799999999997</v>
      </c>
      <c r="DJ312" s="995">
        <v>3230804</v>
      </c>
      <c r="DK312" s="995">
        <v>21.85</v>
      </c>
      <c r="DL312" s="995">
        <v>161075.6</v>
      </c>
      <c r="DM312" s="995">
        <v>1145</v>
      </c>
      <c r="DN312" s="995">
        <v>15.397</v>
      </c>
      <c r="DO312" s="995">
        <v>11.7</v>
      </c>
      <c r="DP312" s="995">
        <v>15.557</v>
      </c>
      <c r="DQ312" s="995">
        <v>438.26799999999997</v>
      </c>
      <c r="DR312" s="995">
        <v>3230804</v>
      </c>
      <c r="DS312" s="995">
        <v>21.85</v>
      </c>
      <c r="DT312" s="995">
        <v>161075.6</v>
      </c>
    </row>
    <row r="313" spans="1:124">
      <c r="A313" s="42" t="s">
        <v>94</v>
      </c>
      <c r="B313" s="42" t="s">
        <v>510</v>
      </c>
      <c r="C313" s="42" t="s">
        <v>511</v>
      </c>
      <c r="D313" s="42">
        <v>810336</v>
      </c>
      <c r="E313" s="42" t="s">
        <v>527</v>
      </c>
      <c r="F313" s="42" t="s">
        <v>149</v>
      </c>
      <c r="G313" s="42" t="s">
        <v>150</v>
      </c>
      <c r="H313" s="43" t="s">
        <v>150</v>
      </c>
      <c r="I313" s="44">
        <v>37</v>
      </c>
      <c r="J313" s="45">
        <v>178229.91759999999</v>
      </c>
      <c r="K313" s="46">
        <v>7776.5220200000003</v>
      </c>
      <c r="L313" s="47">
        <v>186006.43961999999</v>
      </c>
      <c r="M313" s="48">
        <v>3481675</v>
      </c>
      <c r="N313" s="49">
        <v>2547490</v>
      </c>
      <c r="O313" s="49">
        <v>934120</v>
      </c>
      <c r="P313" s="49">
        <v>65</v>
      </c>
      <c r="Q313" s="50">
        <v>8019.2932258064502</v>
      </c>
      <c r="R313" s="51">
        <v>19019.595825971701</v>
      </c>
      <c r="S313" s="49">
        <v>33024.392916467499</v>
      </c>
      <c r="T313" s="49">
        <v>5153.20904220803</v>
      </c>
      <c r="U313" s="49">
        <f>IFERROR(INDEX('Rentabilidad datos'!$N$2:$N$61,MATCH($C313,'Rentabilidad datos'!$C$2:$C$61,0)),"")</f>
        <v>57197.197784647178</v>
      </c>
      <c r="V313" s="50">
        <f>IFERROR(INDEX('Rentabilidad datos'!$O$2:$O$61,MATCH($C313,'Rentabilidad datos'!$C$2:$C$61,0)),"")</f>
        <v>1545.8702103958697</v>
      </c>
      <c r="W313" s="51">
        <f>IFERROR(INDEX('Rentabilidad datos'!$M$2:$M$61,MATCH($C313,'Rentabilidad datos'!$C$2:$C$61,0)),"")</f>
        <v>2982.1586443005776</v>
      </c>
      <c r="X313" s="52">
        <f>IFERROR(INDEX('Rentabilidad datos'!$P$2:$P$61,MATCH($C313,'Rentabilidad datos'!$C$2:$C$61,0)),"")</f>
        <v>0.51837289520136554</v>
      </c>
      <c r="Y313" s="43" t="s">
        <v>211</v>
      </c>
      <c r="Z313" s="53">
        <v>59.328358208955201</v>
      </c>
      <c r="AA313" s="43">
        <v>2</v>
      </c>
      <c r="AB313" s="54">
        <v>0.98145892422469072</v>
      </c>
      <c r="AC313" s="55">
        <v>1.8541075775309297E-2</v>
      </c>
      <c r="AD313" s="752" t="e">
        <f>_xlfn.XLOOKUP(Table1[[#This Row],[Ruta]],#REF!,#REF!)</f>
        <v>#REF!</v>
      </c>
      <c r="AE313" s="752" t="e">
        <f>_xlfn.XLOOKUP(Table1[[#This Row],[Ruta]],#REF!,#REF!)</f>
        <v>#REF!</v>
      </c>
      <c r="AF313" s="752" t="e">
        <f>_xlfn.XLOOKUP(Table1[[#This Row],[Ruta]],#REF!,#REF!)</f>
        <v>#REF!</v>
      </c>
      <c r="AG313" s="752" t="e">
        <f>_xlfn.XLOOKUP(Table1[[#This Row],[Ruta]],#REF!,#REF!)</f>
        <v>#REF!</v>
      </c>
      <c r="AH313" s="52">
        <v>0.73168518026524587</v>
      </c>
      <c r="AI313" s="52">
        <v>0.26829615055971623</v>
      </c>
      <c r="AJ313" s="55">
        <v>1.8669175037876883E-5</v>
      </c>
      <c r="AK313" s="56">
        <v>23850</v>
      </c>
      <c r="AL313" s="44">
        <v>13805</v>
      </c>
      <c r="AM313" s="54">
        <v>0.55094339622641497</v>
      </c>
      <c r="AN313" s="55">
        <v>0.59299875749554298</v>
      </c>
      <c r="AO313" s="56">
        <v>1003.0203662687099</v>
      </c>
      <c r="AP313" s="48">
        <v>501.51018313435497</v>
      </c>
      <c r="AQ313" s="55">
        <v>0.59985367644169196</v>
      </c>
      <c r="AR313" s="51">
        <v>3480373.26</v>
      </c>
      <c r="AS313" s="49">
        <v>126435.5400940605</v>
      </c>
      <c r="AT313" s="55">
        <v>3.6328155243343214E-2</v>
      </c>
      <c r="AU313" s="51">
        <v>88846.595741772282</v>
      </c>
      <c r="AV313" s="52">
        <v>4.0417157181523437E-4</v>
      </c>
      <c r="AW313" s="44">
        <v>401</v>
      </c>
      <c r="AX313" s="51">
        <v>252.109616805505</v>
      </c>
      <c r="AY313" s="49">
        <v>323.84896749365402</v>
      </c>
      <c r="AZ313" s="49">
        <v>71.739350688149017</v>
      </c>
      <c r="BA313" s="42" t="s">
        <v>150</v>
      </c>
      <c r="BB313" s="50">
        <v>347964.93435807212</v>
      </c>
      <c r="BC313" s="57">
        <v>436811.53009984439</v>
      </c>
      <c r="BD313" s="42" t="s">
        <v>150</v>
      </c>
      <c r="BE313" s="46">
        <v>59.328358208955201</v>
      </c>
      <c r="BF313" s="46">
        <v>72.425990467051307</v>
      </c>
      <c r="BG313" s="42" t="s">
        <v>152</v>
      </c>
      <c r="BH313" s="52">
        <v>0.55094339622641497</v>
      </c>
      <c r="BI313" s="52">
        <v>0.49337264070319697</v>
      </c>
      <c r="BJ313" s="42" t="s">
        <v>150</v>
      </c>
      <c r="BK313" s="46">
        <v>428.58626640552899</v>
      </c>
      <c r="BL313" s="46">
        <v>605.59017138979505</v>
      </c>
      <c r="BM313" s="42" t="s">
        <v>152</v>
      </c>
      <c r="BN313" s="48">
        <v>1</v>
      </c>
      <c r="BO313" s="42" t="s">
        <v>155</v>
      </c>
      <c r="BP313" s="42" t="s">
        <v>152</v>
      </c>
      <c r="BQ313" s="46">
        <v>3959.3095093589</v>
      </c>
      <c r="BR313" s="46">
        <v>414</v>
      </c>
      <c r="BS313" s="46">
        <v>33271</v>
      </c>
      <c r="BT313" s="46">
        <v>8923</v>
      </c>
      <c r="BU313" s="46">
        <v>3.7286786955059958</v>
      </c>
      <c r="BV313" s="46">
        <v>21.553140096618357</v>
      </c>
      <c r="BW313" s="46">
        <v>0</v>
      </c>
      <c r="BX313" s="46">
        <v>1012</v>
      </c>
      <c r="BY313" s="46">
        <v>1012</v>
      </c>
      <c r="BZ313" s="46">
        <v>0.11341477081698981</v>
      </c>
      <c r="CA313" s="46">
        <v>0</v>
      </c>
      <c r="CB313" s="46">
        <v>0.11341477081698979</v>
      </c>
      <c r="CC313" s="46">
        <v>0.23478650678023091</v>
      </c>
      <c r="CD313" s="46">
        <v>0.20632074414434609</v>
      </c>
      <c r="CE313" s="46">
        <v>0</v>
      </c>
      <c r="CF313" s="46">
        <v>0.44547797825843333</v>
      </c>
      <c r="CG313" s="46">
        <v>0</v>
      </c>
      <c r="CH313" s="46">
        <v>0</v>
      </c>
      <c r="CI313" s="46">
        <v>3.8772504583571279</v>
      </c>
      <c r="CJ313" s="46">
        <v>0.1502810255177181</v>
      </c>
      <c r="CK313">
        <v>337</v>
      </c>
      <c r="CL313">
        <v>340.76</v>
      </c>
      <c r="CM313">
        <f t="shared" si="35"/>
        <v>3.7599999999999909</v>
      </c>
      <c r="CN313">
        <v>16.3</v>
      </c>
      <c r="CO313">
        <v>9.4499999999999993</v>
      </c>
      <c r="CP313">
        <f t="shared" si="36"/>
        <v>-6.8500000000000014</v>
      </c>
      <c r="CQ313">
        <v>846.56</v>
      </c>
      <c r="CR313">
        <v>428.59</v>
      </c>
      <c r="CS313">
        <f t="shared" si="37"/>
        <v>417.96999999999997</v>
      </c>
      <c r="CT313" t="s">
        <v>150</v>
      </c>
      <c r="CU313">
        <v>172.54</v>
      </c>
      <c r="CV313">
        <v>57</v>
      </c>
      <c r="CW313" s="46">
        <v>1012</v>
      </c>
      <c r="CX313" s="46">
        <f t="shared" si="31"/>
        <v>11.29933878740334</v>
      </c>
      <c r="CY313" s="46">
        <v>3.76</v>
      </c>
      <c r="CZ313" s="46">
        <f t="shared" si="32"/>
        <v>11.341477081698981</v>
      </c>
      <c r="DA313" s="46">
        <f t="shared" si="33"/>
        <v>145.41902661211907</v>
      </c>
      <c r="DB313" s="46">
        <v>1298120.75</v>
      </c>
      <c r="DC313" s="46">
        <f t="shared" si="34"/>
        <v>7.4430162791427126</v>
      </c>
      <c r="DD313" s="46">
        <v>66442.02</v>
      </c>
      <c r="DE313" s="995">
        <v>1012</v>
      </c>
      <c r="DF313" s="995">
        <v>11.298999999999999</v>
      </c>
      <c r="DG313" s="995">
        <v>3.8</v>
      </c>
      <c r="DH313" s="995">
        <v>11.340999999999999</v>
      </c>
      <c r="DI313" s="995">
        <v>445.94400000000002</v>
      </c>
      <c r="DJ313" s="995">
        <v>3980832</v>
      </c>
      <c r="DK313" s="995">
        <v>23.335000000000001</v>
      </c>
      <c r="DL313" s="995">
        <v>208303.3</v>
      </c>
      <c r="DM313" s="995">
        <v>1012</v>
      </c>
      <c r="DN313" s="995">
        <v>11.298999999999999</v>
      </c>
      <c r="DO313" s="995">
        <v>3.8</v>
      </c>
      <c r="DP313" s="995">
        <v>11.340999999999999</v>
      </c>
      <c r="DQ313" s="995">
        <v>445.94400000000002</v>
      </c>
      <c r="DR313" s="995">
        <v>3980832</v>
      </c>
      <c r="DS313" s="995">
        <v>23.335000000000001</v>
      </c>
      <c r="DT313" s="995">
        <v>208303.3</v>
      </c>
    </row>
    <row r="314" spans="1:124">
      <c r="A314" s="42" t="s">
        <v>94</v>
      </c>
      <c r="B314" s="42" t="s">
        <v>510</v>
      </c>
      <c r="C314" s="42" t="s">
        <v>511</v>
      </c>
      <c r="D314" s="42">
        <v>810338</v>
      </c>
      <c r="E314" s="42" t="s">
        <v>528</v>
      </c>
      <c r="F314" s="42" t="s">
        <v>149</v>
      </c>
      <c r="G314" s="42" t="s">
        <v>150</v>
      </c>
      <c r="H314" s="43" t="s">
        <v>150</v>
      </c>
      <c r="I314" s="44">
        <v>37</v>
      </c>
      <c r="J314" s="45">
        <v>196103.4558</v>
      </c>
      <c r="K314" s="46">
        <v>13312.708971</v>
      </c>
      <c r="L314" s="47">
        <v>209416.16477100001</v>
      </c>
      <c r="M314" s="48">
        <v>4116155</v>
      </c>
      <c r="N314" s="49">
        <v>2817019</v>
      </c>
      <c r="O314" s="49">
        <v>1299136</v>
      </c>
      <c r="P314" s="49">
        <v>0</v>
      </c>
      <c r="Q314" s="50">
        <v>9483.72592165899</v>
      </c>
      <c r="R314" s="51">
        <v>19019.595825971701</v>
      </c>
      <c r="S314" s="49">
        <v>33024.392916467499</v>
      </c>
      <c r="T314" s="49">
        <v>5153.20904220803</v>
      </c>
      <c r="U314" s="49">
        <f>IFERROR(INDEX('Rentabilidad datos'!$N$2:$N$61,MATCH($C314,'Rentabilidad datos'!$C$2:$C$61,0)),"")</f>
        <v>57197.197784647178</v>
      </c>
      <c r="V314" s="50">
        <f>IFERROR(INDEX('Rentabilidad datos'!$O$2:$O$61,MATCH($C314,'Rentabilidad datos'!$C$2:$C$61,0)),"")</f>
        <v>1545.8702103958697</v>
      </c>
      <c r="W314" s="51">
        <f>IFERROR(INDEX('Rentabilidad datos'!$M$2:$M$61,MATCH($C314,'Rentabilidad datos'!$C$2:$C$61,0)),"")</f>
        <v>2982.1586443005776</v>
      </c>
      <c r="X314" s="52">
        <f>IFERROR(INDEX('Rentabilidad datos'!$P$2:$P$61,MATCH($C314,'Rentabilidad datos'!$C$2:$C$61,0)),"")</f>
        <v>0.51837289520136554</v>
      </c>
      <c r="Y314" s="43" t="s">
        <v>211</v>
      </c>
      <c r="Z314" s="53">
        <v>67.8333333333333</v>
      </c>
      <c r="AA314" s="43">
        <v>2</v>
      </c>
      <c r="AB314" s="54">
        <v>0.95314437867378654</v>
      </c>
      <c r="AC314" s="55">
        <v>4.6855621326213417E-2</v>
      </c>
      <c r="AD314" s="752" t="e">
        <f>_xlfn.XLOOKUP(Table1[[#This Row],[Ruta]],#REF!,#REF!)</f>
        <v>#REF!</v>
      </c>
      <c r="AE314" s="752" t="e">
        <f>_xlfn.XLOOKUP(Table1[[#This Row],[Ruta]],#REF!,#REF!)</f>
        <v>#REF!</v>
      </c>
      <c r="AF314" s="752" t="e">
        <f>_xlfn.XLOOKUP(Table1[[#This Row],[Ruta]],#REF!,#REF!)</f>
        <v>#REF!</v>
      </c>
      <c r="AG314" s="752" t="e">
        <f>_xlfn.XLOOKUP(Table1[[#This Row],[Ruta]],#REF!,#REF!)</f>
        <v>#REF!</v>
      </c>
      <c r="AH314" s="52">
        <v>0.68438117612189042</v>
      </c>
      <c r="AI314" s="52">
        <v>0.31561882387810952</v>
      </c>
      <c r="AJ314" s="55">
        <v>0</v>
      </c>
      <c r="AK314" s="56">
        <v>27269</v>
      </c>
      <c r="AL314" s="44">
        <v>13297</v>
      </c>
      <c r="AM314" s="54">
        <v>0.46675712347354098</v>
      </c>
      <c r="AN314" s="55">
        <v>0.59299875749554298</v>
      </c>
      <c r="AO314" s="56">
        <v>3442.4831181459699</v>
      </c>
      <c r="AP314" s="48">
        <v>1721.241559072985</v>
      </c>
      <c r="AQ314" s="55">
        <v>0.55074412552983187</v>
      </c>
      <c r="AR314" s="51">
        <v>4115937.05</v>
      </c>
      <c r="AS314" s="49">
        <v>532790.99834460998</v>
      </c>
      <c r="AT314" s="55">
        <v>0.12944585689050078</v>
      </c>
      <c r="AU314" s="51">
        <v>374393.67451242876</v>
      </c>
      <c r="AV314" s="52">
        <v>1.7031522552104382E-3</v>
      </c>
      <c r="AW314" s="44">
        <v>203</v>
      </c>
      <c r="AX314" s="51">
        <v>309.53877190343701</v>
      </c>
      <c r="AY314" s="49">
        <v>323.84896749365402</v>
      </c>
      <c r="AZ314" s="49">
        <v>14.310195590217006</v>
      </c>
      <c r="BA314" s="42" t="s">
        <v>150</v>
      </c>
      <c r="BB314" s="50">
        <v>66856.073511364943</v>
      </c>
      <c r="BC314" s="57">
        <v>441249.74802379368</v>
      </c>
      <c r="BD314" s="42" t="s">
        <v>150</v>
      </c>
      <c r="BE314" s="46">
        <v>67.8333333333333</v>
      </c>
      <c r="BF314" s="46">
        <v>72.425990467051307</v>
      </c>
      <c r="BG314" s="42" t="s">
        <v>152</v>
      </c>
      <c r="BH314" s="52">
        <v>0.46675712347354098</v>
      </c>
      <c r="BI314" s="52">
        <v>0.49337264070319697</v>
      </c>
      <c r="BJ314" s="42" t="s">
        <v>152</v>
      </c>
      <c r="BK314" s="46">
        <v>482.52572527880199</v>
      </c>
      <c r="BL314" s="46">
        <v>605.59017138979505</v>
      </c>
      <c r="BM314" s="42" t="s">
        <v>152</v>
      </c>
      <c r="BN314" s="48">
        <v>0</v>
      </c>
      <c r="BO314" s="42" t="s">
        <v>155</v>
      </c>
      <c r="BP314" s="42" t="s">
        <v>152</v>
      </c>
      <c r="BQ314" s="46">
        <v>5619.0501296455104</v>
      </c>
      <c r="BR314" s="46">
        <v>147</v>
      </c>
      <c r="BS314" s="46">
        <v>25104</v>
      </c>
      <c r="BT314" s="46">
        <v>6483</v>
      </c>
      <c r="BU314" s="46">
        <v>3.8722813512262841</v>
      </c>
      <c r="BV314" s="46">
        <v>44.102040816326529</v>
      </c>
      <c r="BW314" s="46">
        <v>0</v>
      </c>
      <c r="BX314" s="46">
        <v>0</v>
      </c>
      <c r="BY314" s="46">
        <v>0</v>
      </c>
      <c r="BZ314" s="46">
        <v>0</v>
      </c>
      <c r="CA314" s="46">
        <v>0</v>
      </c>
      <c r="CB314" s="46">
        <v>0</v>
      </c>
      <c r="CC314" s="46">
        <v>0.24757056918093481</v>
      </c>
      <c r="CD314" s="46">
        <v>0.52136356625019287</v>
      </c>
      <c r="CE314" s="46">
        <v>0</v>
      </c>
      <c r="CF314" s="46">
        <v>0.2310658645688724</v>
      </c>
      <c r="CG314" s="46">
        <v>0</v>
      </c>
      <c r="CH314" s="46">
        <v>0</v>
      </c>
      <c r="CI314" s="46">
        <v>4.4614404079031234</v>
      </c>
      <c r="CJ314" s="46">
        <v>0.23900573613766729</v>
      </c>
      <c r="CK314">
        <v>250</v>
      </c>
      <c r="CL314">
        <v>250</v>
      </c>
      <c r="CM314">
        <f t="shared" si="35"/>
        <v>0</v>
      </c>
      <c r="CO314">
        <v>9.4499999999999993</v>
      </c>
      <c r="CP314">
        <f t="shared" si="36"/>
        <v>9.4499999999999993</v>
      </c>
      <c r="CS314">
        <f t="shared" si="37"/>
        <v>0</v>
      </c>
      <c r="CV314">
        <v>0</v>
      </c>
      <c r="CW314" s="46">
        <v>0</v>
      </c>
      <c r="CX314" s="46">
        <f t="shared" si="31"/>
        <v>0</v>
      </c>
      <c r="CY314" s="46">
        <v>0</v>
      </c>
      <c r="CZ314" s="46">
        <f t="shared" si="32"/>
        <v>0</v>
      </c>
      <c r="DA314" s="46">
        <f t="shared" si="33"/>
        <v>0</v>
      </c>
      <c r="DB314" s="46">
        <v>0</v>
      </c>
      <c r="DC314" s="46">
        <f t="shared" si="34"/>
        <v>0</v>
      </c>
      <c r="DD314" s="46">
        <v>0</v>
      </c>
      <c r="DE314" s="995">
        <v>0</v>
      </c>
      <c r="DF314" s="995">
        <v>0</v>
      </c>
      <c r="DG314" s="995">
        <v>0</v>
      </c>
      <c r="DH314" s="995">
        <v>0</v>
      </c>
      <c r="DI314" s="995">
        <v>462.45299999999997</v>
      </c>
      <c r="DJ314" s="995">
        <v>2998081</v>
      </c>
      <c r="DK314" s="995">
        <v>22.65</v>
      </c>
      <c r="DL314" s="995">
        <v>146839</v>
      </c>
      <c r="DM314" s="995">
        <v>0</v>
      </c>
      <c r="DN314" s="995">
        <v>0</v>
      </c>
      <c r="DO314" s="995">
        <v>0</v>
      </c>
      <c r="DP314" s="995">
        <v>0</v>
      </c>
      <c r="DQ314" s="995">
        <v>462.45299999999997</v>
      </c>
      <c r="DR314" s="995">
        <v>2998081</v>
      </c>
      <c r="DS314" s="995">
        <v>22.65</v>
      </c>
      <c r="DT314" s="995">
        <v>146839</v>
      </c>
    </row>
    <row r="315" spans="1:124">
      <c r="A315" s="42" t="s">
        <v>94</v>
      </c>
      <c r="B315" s="42" t="s">
        <v>510</v>
      </c>
      <c r="C315" s="42" t="s">
        <v>511</v>
      </c>
      <c r="D315" s="42">
        <v>810339</v>
      </c>
      <c r="E315" s="42" t="s">
        <v>529</v>
      </c>
      <c r="F315" s="42" t="s">
        <v>149</v>
      </c>
      <c r="G315" s="42" t="s">
        <v>150</v>
      </c>
      <c r="H315" s="43" t="s">
        <v>150</v>
      </c>
      <c r="I315" s="44">
        <v>37</v>
      </c>
      <c r="J315" s="45">
        <v>169392.21599999999</v>
      </c>
      <c r="K315" s="46">
        <v>7809.850015</v>
      </c>
      <c r="L315" s="47">
        <v>177202.06601499999</v>
      </c>
      <c r="M315" s="48">
        <v>3390130</v>
      </c>
      <c r="N315" s="49">
        <v>2439938</v>
      </c>
      <c r="O315" s="49">
        <v>946505</v>
      </c>
      <c r="P315" s="49">
        <v>3687</v>
      </c>
      <c r="Q315" s="50">
        <v>7875.9531860465104</v>
      </c>
      <c r="R315" s="51">
        <v>19019.595825971701</v>
      </c>
      <c r="S315" s="49">
        <v>33024.392916467499</v>
      </c>
      <c r="T315" s="49">
        <v>5153.20904220803</v>
      </c>
      <c r="U315" s="49">
        <f>IFERROR(INDEX('Rentabilidad datos'!$N$2:$N$61,MATCH($C315,'Rentabilidad datos'!$C$2:$C$61,0)),"")</f>
        <v>57197.197784647178</v>
      </c>
      <c r="V315" s="50">
        <f>IFERROR(INDEX('Rentabilidad datos'!$O$2:$O$61,MATCH($C315,'Rentabilidad datos'!$C$2:$C$61,0)),"")</f>
        <v>1545.8702103958697</v>
      </c>
      <c r="W315" s="51">
        <f>IFERROR(INDEX('Rentabilidad datos'!$M$2:$M$61,MATCH($C315,'Rentabilidad datos'!$C$2:$C$61,0)),"")</f>
        <v>2982.1586443005776</v>
      </c>
      <c r="X315" s="52">
        <f>IFERROR(INDEX('Rentabilidad datos'!$P$2:$P$61,MATCH($C315,'Rentabilidad datos'!$C$2:$C$61,0)),"")</f>
        <v>0.51837289520136554</v>
      </c>
      <c r="Y315" s="43" t="s">
        <v>211</v>
      </c>
      <c r="Z315" s="53">
        <v>101.451127819549</v>
      </c>
      <c r="AA315" s="43">
        <v>2</v>
      </c>
      <c r="AB315" s="54">
        <v>0.97726222888207825</v>
      </c>
      <c r="AC315" s="55">
        <v>2.2737771117921732E-2</v>
      </c>
      <c r="AD315" s="752" t="e">
        <f>_xlfn.XLOOKUP(Table1[[#This Row],[Ruta]],#REF!,#REF!)</f>
        <v>#REF!</v>
      </c>
      <c r="AE315" s="752" t="e">
        <f>_xlfn.XLOOKUP(Table1[[#This Row],[Ruta]],#REF!,#REF!)</f>
        <v>#REF!</v>
      </c>
      <c r="AF315" s="752" t="e">
        <f>_xlfn.XLOOKUP(Table1[[#This Row],[Ruta]],#REF!,#REF!)</f>
        <v>#REF!</v>
      </c>
      <c r="AG315" s="752" t="e">
        <f>_xlfn.XLOOKUP(Table1[[#This Row],[Ruta]],#REF!,#REF!)</f>
        <v>#REF!</v>
      </c>
      <c r="AH315" s="52">
        <v>0.71971812290384141</v>
      </c>
      <c r="AI315" s="52">
        <v>0.27919430818287205</v>
      </c>
      <c r="AJ315" s="55">
        <v>1.0875689132865112E-3</v>
      </c>
      <c r="AK315" s="56">
        <v>40479</v>
      </c>
      <c r="AL315" s="44">
        <v>15932</v>
      </c>
      <c r="AM315" s="54">
        <v>0.36863558882383501</v>
      </c>
      <c r="AN315" s="55">
        <v>0.59299875749554298</v>
      </c>
      <c r="AO315" s="56">
        <v>9081.9967046621005</v>
      </c>
      <c r="AP315" s="48">
        <v>4540.9983523310502</v>
      </c>
      <c r="AQ315" s="55">
        <v>0.50576838242869271</v>
      </c>
      <c r="AR315" s="51">
        <v>3386659.87</v>
      </c>
      <c r="AS315" s="49">
        <v>965278.489177485</v>
      </c>
      <c r="AT315" s="55">
        <v>0.28502374794947594</v>
      </c>
      <c r="AU315" s="51">
        <v>678303.80320580048</v>
      </c>
      <c r="AV315" s="52">
        <v>3.0856681904475533E-3</v>
      </c>
      <c r="AW315" s="44">
        <v>99</v>
      </c>
      <c r="AX315" s="51">
        <v>212.569662942506</v>
      </c>
      <c r="AY315" s="49">
        <v>323.84896749365402</v>
      </c>
      <c r="AZ315" s="49">
        <v>111.27930455114802</v>
      </c>
      <c r="BA315" s="42" t="s">
        <v>150</v>
      </c>
      <c r="BB315" s="50">
        <v>622911.47138961032</v>
      </c>
      <c r="BC315" s="57">
        <v>1301215.2745954108</v>
      </c>
      <c r="BD315" s="42" t="s">
        <v>150</v>
      </c>
      <c r="BE315" s="46">
        <v>101.451127819549</v>
      </c>
      <c r="BF315" s="46">
        <v>72.425990467051307</v>
      </c>
      <c r="BG315" s="42" t="s">
        <v>150</v>
      </c>
      <c r="BH315" s="52">
        <v>0.36863558882383501</v>
      </c>
      <c r="BI315" s="52">
        <v>0.49337264070319697</v>
      </c>
      <c r="BJ315" s="42" t="s">
        <v>152</v>
      </c>
      <c r="BK315" s="46">
        <v>412.09782794185998</v>
      </c>
      <c r="BL315" s="46">
        <v>605.59017138979505</v>
      </c>
      <c r="BM315" s="42" t="s">
        <v>152</v>
      </c>
      <c r="BN315" s="48">
        <v>1</v>
      </c>
      <c r="BO315" s="42" t="s">
        <v>155</v>
      </c>
      <c r="BP315" s="42" t="s">
        <v>152</v>
      </c>
      <c r="BQ315" s="46">
        <v>4299.2987811692201</v>
      </c>
      <c r="BR315" s="46">
        <v>129</v>
      </c>
      <c r="BS315" s="46">
        <v>20904</v>
      </c>
      <c r="BT315" s="46">
        <v>5263</v>
      </c>
      <c r="BU315" s="46">
        <v>3.9718791563746914</v>
      </c>
      <c r="BV315" s="46">
        <v>40.798449612403104</v>
      </c>
      <c r="BW315" s="46">
        <v>0</v>
      </c>
      <c r="BX315" s="46">
        <v>0</v>
      </c>
      <c r="BY315" s="46">
        <v>0</v>
      </c>
      <c r="BZ315" s="46">
        <v>0</v>
      </c>
      <c r="CA315" s="46">
        <v>0</v>
      </c>
      <c r="CB315" s="46">
        <v>0</v>
      </c>
      <c r="CC315" s="46">
        <v>1.2730381911457341E-2</v>
      </c>
      <c r="CD315" s="46">
        <v>0.61067832034961045</v>
      </c>
      <c r="CE315" s="46">
        <v>0</v>
      </c>
      <c r="CF315" s="46">
        <v>0.37659129773893218</v>
      </c>
      <c r="CG315" s="46">
        <v>0</v>
      </c>
      <c r="CH315" s="46">
        <v>0</v>
      </c>
      <c r="CI315" s="46">
        <v>5.0707998469192503</v>
      </c>
      <c r="CJ315" s="46">
        <v>0.19135093761959429</v>
      </c>
      <c r="CK315">
        <v>345</v>
      </c>
      <c r="CL315">
        <v>345</v>
      </c>
      <c r="CM315">
        <f t="shared" si="35"/>
        <v>0</v>
      </c>
      <c r="CO315">
        <v>9.4499999999999993</v>
      </c>
      <c r="CP315">
        <f t="shared" si="36"/>
        <v>9.4499999999999993</v>
      </c>
      <c r="CS315">
        <f t="shared" si="37"/>
        <v>0</v>
      </c>
      <c r="CV315">
        <v>0</v>
      </c>
      <c r="CW315" s="46">
        <v>0</v>
      </c>
      <c r="CX315" s="46">
        <f t="shared" si="31"/>
        <v>0</v>
      </c>
      <c r="CY315" s="46">
        <v>0</v>
      </c>
      <c r="CZ315" s="46">
        <f t="shared" si="32"/>
        <v>0</v>
      </c>
      <c r="DA315" s="46">
        <f t="shared" si="33"/>
        <v>0</v>
      </c>
      <c r="DB315" s="46">
        <v>0</v>
      </c>
      <c r="DC315" s="46">
        <f t="shared" si="34"/>
        <v>0</v>
      </c>
      <c r="DD315" s="46">
        <v>0</v>
      </c>
      <c r="DE315" s="995">
        <v>0</v>
      </c>
      <c r="DF315" s="995">
        <v>0</v>
      </c>
      <c r="DG315" s="995">
        <v>0</v>
      </c>
      <c r="DH315" s="995">
        <v>0</v>
      </c>
      <c r="DI315" s="995">
        <v>489.04899999999998</v>
      </c>
      <c r="DJ315" s="995">
        <v>2573865</v>
      </c>
      <c r="DK315" s="995">
        <v>24.457999999999998</v>
      </c>
      <c r="DL315" s="995">
        <v>128724.4</v>
      </c>
      <c r="DM315" s="995">
        <v>0</v>
      </c>
      <c r="DN315" s="995">
        <v>0</v>
      </c>
      <c r="DO315" s="995">
        <v>0</v>
      </c>
      <c r="DP315" s="995">
        <v>0</v>
      </c>
      <c r="DQ315" s="995">
        <v>489.04899999999998</v>
      </c>
      <c r="DR315" s="995">
        <v>2573865</v>
      </c>
      <c r="DS315" s="995">
        <v>24.457999999999998</v>
      </c>
      <c r="DT315" s="995">
        <v>128724.4</v>
      </c>
    </row>
    <row r="316" spans="1:124">
      <c r="A316" s="42" t="s">
        <v>94</v>
      </c>
      <c r="B316" s="42" t="s">
        <v>510</v>
      </c>
      <c r="C316" s="42" t="s">
        <v>511</v>
      </c>
      <c r="D316" s="42">
        <v>810340</v>
      </c>
      <c r="E316" s="42" t="s">
        <v>530</v>
      </c>
      <c r="F316" s="42" t="s">
        <v>149</v>
      </c>
      <c r="G316" s="42" t="s">
        <v>150</v>
      </c>
      <c r="H316" s="43" t="s">
        <v>150</v>
      </c>
      <c r="I316" s="44">
        <v>37</v>
      </c>
      <c r="J316" s="45">
        <v>218325.39679999999</v>
      </c>
      <c r="K316" s="46">
        <v>9974.3011220000008</v>
      </c>
      <c r="L316" s="47">
        <v>228299.69792199999</v>
      </c>
      <c r="M316" s="48">
        <v>4329232</v>
      </c>
      <c r="N316" s="49">
        <v>3151981</v>
      </c>
      <c r="O316" s="49">
        <v>1177227</v>
      </c>
      <c r="P316" s="49">
        <v>24</v>
      </c>
      <c r="Q316" s="50">
        <v>9906.6506636155591</v>
      </c>
      <c r="R316" s="51">
        <v>19019.595825971701</v>
      </c>
      <c r="S316" s="49">
        <v>33024.392916467499</v>
      </c>
      <c r="T316" s="49">
        <v>5153.20904220803</v>
      </c>
      <c r="U316" s="49">
        <f>IFERROR(INDEX('Rentabilidad datos'!$N$2:$N$61,MATCH($C316,'Rentabilidad datos'!$C$2:$C$61,0)),"")</f>
        <v>57197.197784647178</v>
      </c>
      <c r="V316" s="50">
        <f>IFERROR(INDEX('Rentabilidad datos'!$O$2:$O$61,MATCH($C316,'Rentabilidad datos'!$C$2:$C$61,0)),"")</f>
        <v>1545.8702103958697</v>
      </c>
      <c r="W316" s="51">
        <f>IFERROR(INDEX('Rentabilidad datos'!$M$2:$M$61,MATCH($C316,'Rentabilidad datos'!$C$2:$C$61,0)),"")</f>
        <v>2982.1586443005776</v>
      </c>
      <c r="X316" s="52">
        <f>IFERROR(INDEX('Rentabilidad datos'!$P$2:$P$61,MATCH($C316,'Rentabilidad datos'!$C$2:$C$61,0)),"")</f>
        <v>0.51837289520136554</v>
      </c>
      <c r="Y316" s="43" t="s">
        <v>211</v>
      </c>
      <c r="Z316" s="53">
        <v>72.650990099009903</v>
      </c>
      <c r="AA316" s="43">
        <v>2</v>
      </c>
      <c r="AB316" s="54">
        <v>0.96053734242008748</v>
      </c>
      <c r="AC316" s="55">
        <v>3.9462657579912561E-2</v>
      </c>
      <c r="AD316" s="752" t="e">
        <f>_xlfn.XLOOKUP(Table1[[#This Row],[Ruta]],#REF!,#REF!)</f>
        <v>#REF!</v>
      </c>
      <c r="AE316" s="752" t="e">
        <f>_xlfn.XLOOKUP(Table1[[#This Row],[Ruta]],#REF!,#REF!)</f>
        <v>#REF!</v>
      </c>
      <c r="AF316" s="752" t="e">
        <f>_xlfn.XLOOKUP(Table1[[#This Row],[Ruta]],#REF!,#REF!)</f>
        <v>#REF!</v>
      </c>
      <c r="AG316" s="752" t="e">
        <f>_xlfn.XLOOKUP(Table1[[#This Row],[Ruta]],#REF!,#REF!)</f>
        <v>#REF!</v>
      </c>
      <c r="AH316" s="52">
        <v>0.72806932037830263</v>
      </c>
      <c r="AI316" s="52">
        <v>0.27192513591325207</v>
      </c>
      <c r="AJ316" s="55">
        <v>5.5437084452854459E-6</v>
      </c>
      <c r="AK316" s="56">
        <v>29351</v>
      </c>
      <c r="AL316" s="44">
        <v>13951</v>
      </c>
      <c r="AM316" s="54">
        <v>0.43933767162958698</v>
      </c>
      <c r="AN316" s="55">
        <v>0.59299875749554298</v>
      </c>
      <c r="AO316" s="56">
        <v>4510.1065312516903</v>
      </c>
      <c r="AP316" s="48">
        <v>2255.0532656258451</v>
      </c>
      <c r="AQ316" s="55">
        <v>0.55214654579489097</v>
      </c>
      <c r="AR316" s="51">
        <v>4329206.34</v>
      </c>
      <c r="AS316" s="49">
        <v>699777.14103542001</v>
      </c>
      <c r="AT316" s="55">
        <v>0.16164097667736022</v>
      </c>
      <c r="AU316" s="51">
        <v>491735.28829516016</v>
      </c>
      <c r="AV316" s="52">
        <v>2.2369503606521389E-3</v>
      </c>
      <c r="AW316" s="44">
        <v>149</v>
      </c>
      <c r="AX316" s="51">
        <v>310.31512723102298</v>
      </c>
      <c r="AY316" s="49">
        <v>323.84896749365402</v>
      </c>
      <c r="AZ316" s="49">
        <v>13.533840262631031</v>
      </c>
      <c r="BA316" s="42" t="s">
        <v>150</v>
      </c>
      <c r="BB316" s="50">
        <v>66338.861393285202</v>
      </c>
      <c r="BC316" s="57">
        <v>558074.14968844538</v>
      </c>
      <c r="BD316" s="42" t="s">
        <v>150</v>
      </c>
      <c r="BE316" s="46">
        <v>72.650990099009903</v>
      </c>
      <c r="BF316" s="46">
        <v>72.425990467051307</v>
      </c>
      <c r="BG316" s="42" t="s">
        <v>150</v>
      </c>
      <c r="BH316" s="52">
        <v>0.43933767162958698</v>
      </c>
      <c r="BI316" s="52">
        <v>0.49337264070319697</v>
      </c>
      <c r="BJ316" s="42" t="s">
        <v>152</v>
      </c>
      <c r="BK316" s="46">
        <v>522.42493803661296</v>
      </c>
      <c r="BL316" s="46">
        <v>605.59017138979505</v>
      </c>
      <c r="BM316" s="42" t="s">
        <v>152</v>
      </c>
      <c r="BN316" s="48">
        <v>1</v>
      </c>
      <c r="BO316" s="42" t="s">
        <v>155</v>
      </c>
      <c r="BP316" s="42" t="s">
        <v>152</v>
      </c>
      <c r="BQ316" s="46">
        <v>6972.9277776790595</v>
      </c>
      <c r="BR316" s="46">
        <v>1062</v>
      </c>
      <c r="BS316" s="46">
        <v>92870</v>
      </c>
      <c r="BT316" s="46">
        <v>24383</v>
      </c>
      <c r="BU316" s="46">
        <v>3.8088012139605465</v>
      </c>
      <c r="BV316" s="46">
        <v>22.959510357815443</v>
      </c>
      <c r="BW316" s="46">
        <v>0</v>
      </c>
      <c r="BX316" s="46">
        <v>513</v>
      </c>
      <c r="BY316" s="46">
        <v>513</v>
      </c>
      <c r="BZ316" s="46">
        <v>2.1039248656851084E-2</v>
      </c>
      <c r="CA316" s="46">
        <v>0</v>
      </c>
      <c r="CB316" s="46">
        <v>2.103924865685108E-2</v>
      </c>
      <c r="CC316" s="46">
        <v>0.33359307714391168</v>
      </c>
      <c r="CD316" s="46">
        <v>0.22929910183324451</v>
      </c>
      <c r="CE316" s="46">
        <v>8.6002542755198294E-2</v>
      </c>
      <c r="CF316" s="46">
        <v>0.33002501743017681</v>
      </c>
      <c r="CG316" s="46">
        <v>0</v>
      </c>
      <c r="CH316" s="46">
        <v>4.1012180617643441E-5</v>
      </c>
      <c r="CI316" s="46">
        <v>4.3501668999676966</v>
      </c>
      <c r="CJ316" s="46">
        <v>4.3070959405620758E-2</v>
      </c>
      <c r="CK316">
        <v>330</v>
      </c>
      <c r="CL316">
        <v>377.11</v>
      </c>
      <c r="CM316">
        <f t="shared" si="35"/>
        <v>47.110000000000014</v>
      </c>
      <c r="CN316">
        <v>8.93</v>
      </c>
      <c r="CO316">
        <v>9.4499999999999993</v>
      </c>
      <c r="CP316">
        <f t="shared" si="36"/>
        <v>0.51999999999999957</v>
      </c>
      <c r="CQ316">
        <v>846.56</v>
      </c>
      <c r="CR316">
        <v>522.41999999999996</v>
      </c>
      <c r="CS316">
        <f t="shared" si="37"/>
        <v>324.14</v>
      </c>
      <c r="CT316" t="s">
        <v>152</v>
      </c>
      <c r="CU316">
        <v>94.49</v>
      </c>
      <c r="CV316">
        <v>18</v>
      </c>
      <c r="CW316" s="46">
        <v>513</v>
      </c>
      <c r="CX316" s="46">
        <f t="shared" si="31"/>
        <v>1.9107164827953902</v>
      </c>
      <c r="CY316" s="46">
        <v>47.11</v>
      </c>
      <c r="CZ316" s="46">
        <f t="shared" si="32"/>
        <v>2.1039248656851086</v>
      </c>
      <c r="DA316" s="46">
        <f t="shared" si="33"/>
        <v>31.154616168326704</v>
      </c>
      <c r="DB316" s="46">
        <v>761110.7</v>
      </c>
      <c r="DC316" s="46">
        <f t="shared" si="34"/>
        <v>1.535648836620056</v>
      </c>
      <c r="DD316" s="46">
        <v>37516.07</v>
      </c>
      <c r="DE316" s="995">
        <v>513</v>
      </c>
      <c r="DF316" s="995">
        <v>1.9330000000000001</v>
      </c>
      <c r="DG316" s="995">
        <v>41.8</v>
      </c>
      <c r="DH316" s="995">
        <v>2.1040000000000001</v>
      </c>
      <c r="DI316" s="995">
        <v>171.07499999999999</v>
      </c>
      <c r="DJ316" s="995">
        <v>4178456</v>
      </c>
      <c r="DK316" s="995">
        <v>8.5690000000000008</v>
      </c>
      <c r="DL316" s="995">
        <v>209287.8</v>
      </c>
      <c r="DM316" s="995">
        <v>513</v>
      </c>
      <c r="DN316" s="995">
        <v>1.9510000000000001</v>
      </c>
      <c r="DO316" s="995">
        <v>37.200000000000003</v>
      </c>
      <c r="DP316" s="995">
        <v>2.1040000000000001</v>
      </c>
      <c r="DQ316" s="995">
        <v>169.48599999999999</v>
      </c>
      <c r="DR316" s="995">
        <v>4138881</v>
      </c>
      <c r="DS316" s="995">
        <v>8.4909999999999997</v>
      </c>
      <c r="DT316" s="995">
        <v>207345.4</v>
      </c>
    </row>
    <row r="317" spans="1:124">
      <c r="A317" s="42" t="s">
        <v>94</v>
      </c>
      <c r="B317" s="42" t="s">
        <v>510</v>
      </c>
      <c r="C317" s="42" t="s">
        <v>511</v>
      </c>
      <c r="D317" s="42">
        <v>810342</v>
      </c>
      <c r="E317" s="42" t="s">
        <v>531</v>
      </c>
      <c r="F317" s="42" t="s">
        <v>149</v>
      </c>
      <c r="G317" s="42" t="s">
        <v>150</v>
      </c>
      <c r="H317" s="43" t="s">
        <v>150</v>
      </c>
      <c r="I317" s="44">
        <v>37</v>
      </c>
      <c r="J317" s="45">
        <v>166968.80480000001</v>
      </c>
      <c r="K317" s="46">
        <v>7721.1989679999997</v>
      </c>
      <c r="L317" s="47">
        <v>174690.003768</v>
      </c>
      <c r="M317" s="48">
        <v>3442335</v>
      </c>
      <c r="N317" s="49">
        <v>2415174</v>
      </c>
      <c r="O317" s="49">
        <v>1026646</v>
      </c>
      <c r="P317" s="49">
        <v>515</v>
      </c>
      <c r="Q317" s="50">
        <v>7948.7751963048504</v>
      </c>
      <c r="R317" s="51">
        <v>19019.595825971701</v>
      </c>
      <c r="S317" s="49">
        <v>33024.392916467499</v>
      </c>
      <c r="T317" s="49">
        <v>5153.20904220803</v>
      </c>
      <c r="U317" s="49">
        <f>IFERROR(INDEX('Rentabilidad datos'!$N$2:$N$61,MATCH($C317,'Rentabilidad datos'!$C$2:$C$61,0)),"")</f>
        <v>57197.197784647178</v>
      </c>
      <c r="V317" s="50">
        <f>IFERROR(INDEX('Rentabilidad datos'!$O$2:$O$61,MATCH($C317,'Rentabilidad datos'!$C$2:$C$61,0)),"")</f>
        <v>1545.8702103958697</v>
      </c>
      <c r="W317" s="51">
        <f>IFERROR(INDEX('Rentabilidad datos'!$M$2:$M$61,MATCH($C317,'Rentabilidad datos'!$C$2:$C$61,0)),"")</f>
        <v>2982.1586443005776</v>
      </c>
      <c r="X317" s="52">
        <f>IFERROR(INDEX('Rentabilidad datos'!$P$2:$P$61,MATCH($C317,'Rentabilidad datos'!$C$2:$C$61,0)),"")</f>
        <v>0.51837289520136554</v>
      </c>
      <c r="Y317" s="43" t="s">
        <v>211</v>
      </c>
      <c r="Z317" s="53">
        <v>102.31172069825401</v>
      </c>
      <c r="AA317" s="43">
        <v>2</v>
      </c>
      <c r="AB317" s="54">
        <v>0.97247827419469635</v>
      </c>
      <c r="AC317" s="55">
        <v>2.7521725805303668E-2</v>
      </c>
      <c r="AD317" s="752" t="e">
        <f>_xlfn.XLOOKUP(Table1[[#This Row],[Ruta]],#REF!,#REF!)</f>
        <v>#REF!</v>
      </c>
      <c r="AE317" s="752" t="e">
        <f>_xlfn.XLOOKUP(Table1[[#This Row],[Ruta]],#REF!,#REF!)</f>
        <v>#REF!</v>
      </c>
      <c r="AF317" s="752" t="e">
        <f>_xlfn.XLOOKUP(Table1[[#This Row],[Ruta]],#REF!,#REF!)</f>
        <v>#REF!</v>
      </c>
      <c r="AG317" s="752" t="e">
        <f>_xlfn.XLOOKUP(Table1[[#This Row],[Ruta]],#REF!,#REF!)</f>
        <v>#REF!</v>
      </c>
      <c r="AH317" s="52">
        <v>0.70160922745752519</v>
      </c>
      <c r="AI317" s="52">
        <v>0.29824116479075974</v>
      </c>
      <c r="AJ317" s="55">
        <v>1.4960775171504227E-4</v>
      </c>
      <c r="AK317" s="56">
        <v>41027</v>
      </c>
      <c r="AL317" s="44">
        <v>20811</v>
      </c>
      <c r="AM317" s="54">
        <v>0.45701611134131198</v>
      </c>
      <c r="AN317" s="55">
        <v>0.59299875749554298</v>
      </c>
      <c r="AO317" s="56">
        <v>5578.9600237696504</v>
      </c>
      <c r="AP317" s="48">
        <v>2789.4800118848252</v>
      </c>
      <c r="AQ317" s="55">
        <v>0.57524264537706449</v>
      </c>
      <c r="AR317" s="51">
        <v>3441819.66</v>
      </c>
      <c r="AS317" s="49">
        <v>461337.13642219151</v>
      </c>
      <c r="AT317" s="55">
        <v>0.13403873008912717</v>
      </c>
      <c r="AU317" s="51">
        <v>324182.85262099956</v>
      </c>
      <c r="AV317" s="52">
        <v>1.4747384748448236E-3</v>
      </c>
      <c r="AW317" s="44">
        <v>228</v>
      </c>
      <c r="AX317" s="51">
        <v>165.38463600980299</v>
      </c>
      <c r="AY317" s="49">
        <v>323.84896749365402</v>
      </c>
      <c r="AZ317" s="49">
        <v>158.46433148385103</v>
      </c>
      <c r="BA317" s="42" t="s">
        <v>150</v>
      </c>
      <c r="BB317" s="50">
        <v>1158686.9089901492</v>
      </c>
      <c r="BC317" s="57">
        <v>1482869.7616111487</v>
      </c>
      <c r="BD317" s="42" t="s">
        <v>150</v>
      </c>
      <c r="BE317" s="46">
        <v>102.31172069825401</v>
      </c>
      <c r="BF317" s="46">
        <v>72.425990467051307</v>
      </c>
      <c r="BG317" s="42" t="s">
        <v>150</v>
      </c>
      <c r="BH317" s="52">
        <v>0.45701611134131198</v>
      </c>
      <c r="BI317" s="52">
        <v>0.49337264070319697</v>
      </c>
      <c r="BJ317" s="42" t="s">
        <v>152</v>
      </c>
      <c r="BK317" s="46">
        <v>403.44111724711303</v>
      </c>
      <c r="BL317" s="46">
        <v>605.59017138979505</v>
      </c>
      <c r="BM317" s="42" t="s">
        <v>152</v>
      </c>
      <c r="BN317" s="48">
        <v>1</v>
      </c>
      <c r="BO317" s="42" t="s">
        <v>155</v>
      </c>
      <c r="BP317" s="42" t="s">
        <v>152</v>
      </c>
      <c r="BQ317" s="46">
        <v>1841.40031833894</v>
      </c>
      <c r="BR317" s="46">
        <v>128</v>
      </c>
      <c r="BS317" s="46">
        <v>13609</v>
      </c>
      <c r="BT317" s="46">
        <v>3865</v>
      </c>
      <c r="BU317" s="46">
        <v>3.5210866752910737</v>
      </c>
      <c r="BV317" s="46">
        <v>30.1953125</v>
      </c>
      <c r="BW317" s="46">
        <v>0</v>
      </c>
      <c r="BX317" s="46">
        <v>0</v>
      </c>
      <c r="BY317" s="46">
        <v>0</v>
      </c>
      <c r="BZ317" s="46">
        <v>0</v>
      </c>
      <c r="CA317" s="46">
        <v>0</v>
      </c>
      <c r="CB317" s="46">
        <v>0</v>
      </c>
      <c r="CC317" s="46">
        <v>0.2426908150064683</v>
      </c>
      <c r="CD317" s="46">
        <v>0.326261319534282</v>
      </c>
      <c r="CE317" s="46">
        <v>0</v>
      </c>
      <c r="CF317" s="46">
        <v>0.43104786545924972</v>
      </c>
      <c r="CG317" s="46">
        <v>0</v>
      </c>
      <c r="CH317" s="46">
        <v>0</v>
      </c>
      <c r="CI317" s="46">
        <v>5.0701741494599162</v>
      </c>
      <c r="CJ317" s="46">
        <v>0.36740392387390702</v>
      </c>
      <c r="CK317">
        <v>351</v>
      </c>
      <c r="CL317">
        <v>351</v>
      </c>
      <c r="CM317">
        <f t="shared" si="35"/>
        <v>0</v>
      </c>
      <c r="CO317">
        <v>9.4499999999999993</v>
      </c>
      <c r="CP317">
        <f t="shared" si="36"/>
        <v>9.4499999999999993</v>
      </c>
      <c r="CS317">
        <f t="shared" si="37"/>
        <v>0</v>
      </c>
      <c r="CV317">
        <v>0</v>
      </c>
      <c r="CW317" s="46">
        <v>0</v>
      </c>
      <c r="CX317" s="46">
        <f t="shared" si="31"/>
        <v>0</v>
      </c>
      <c r="CY317" s="46">
        <v>0</v>
      </c>
      <c r="CZ317" s="46">
        <f t="shared" si="32"/>
        <v>0</v>
      </c>
      <c r="DA317" s="46">
        <f t="shared" si="33"/>
        <v>0</v>
      </c>
      <c r="DB317" s="46">
        <v>0</v>
      </c>
      <c r="DC317" s="46">
        <f t="shared" si="34"/>
        <v>0</v>
      </c>
      <c r="DD317" s="46">
        <v>0</v>
      </c>
      <c r="DE317" s="995">
        <v>0</v>
      </c>
      <c r="DF317" s="995">
        <v>0</v>
      </c>
      <c r="DG317" s="995">
        <v>0</v>
      </c>
      <c r="DH317" s="995">
        <v>0</v>
      </c>
      <c r="DI317" s="995">
        <v>674.06500000000005</v>
      </c>
      <c r="DJ317" s="995">
        <v>2605261</v>
      </c>
      <c r="DK317" s="995">
        <v>32.837000000000003</v>
      </c>
      <c r="DL317" s="995">
        <v>126916.2</v>
      </c>
      <c r="DM317" s="995">
        <v>0</v>
      </c>
      <c r="DN317" s="995">
        <v>0</v>
      </c>
      <c r="DO317" s="995">
        <v>0</v>
      </c>
      <c r="DP317" s="995">
        <v>0</v>
      </c>
      <c r="DQ317" s="995">
        <v>674.06500000000005</v>
      </c>
      <c r="DR317" s="995">
        <v>2605261</v>
      </c>
      <c r="DS317" s="995">
        <v>32.837000000000003</v>
      </c>
      <c r="DT317" s="995">
        <v>126916.2</v>
      </c>
    </row>
    <row r="318" spans="1:124">
      <c r="A318" s="42" t="s">
        <v>94</v>
      </c>
      <c r="B318" s="42" t="s">
        <v>510</v>
      </c>
      <c r="C318" s="42" t="s">
        <v>511</v>
      </c>
      <c r="D318" s="42">
        <v>810343</v>
      </c>
      <c r="E318" s="42" t="s">
        <v>532</v>
      </c>
      <c r="F318" s="42" t="s">
        <v>149</v>
      </c>
      <c r="G318" s="42" t="s">
        <v>150</v>
      </c>
      <c r="H318" s="43" t="s">
        <v>150</v>
      </c>
      <c r="I318" s="44">
        <v>37</v>
      </c>
      <c r="J318" s="45">
        <v>203284.74879999901</v>
      </c>
      <c r="K318" s="46">
        <v>14034.251947000001</v>
      </c>
      <c r="L318" s="47">
        <v>217319.00074699899</v>
      </c>
      <c r="M318" s="48">
        <v>4532298</v>
      </c>
      <c r="N318" s="49">
        <v>2948941</v>
      </c>
      <c r="O318" s="49">
        <v>1582270</v>
      </c>
      <c r="P318" s="49">
        <v>1087</v>
      </c>
      <c r="Q318" s="50">
        <v>10321.6627334852</v>
      </c>
      <c r="R318" s="51">
        <v>19019.595825971701</v>
      </c>
      <c r="S318" s="49">
        <v>33024.392916467499</v>
      </c>
      <c r="T318" s="49">
        <v>5153.20904220803</v>
      </c>
      <c r="U318" s="49">
        <f>IFERROR(INDEX('Rentabilidad datos'!$N$2:$N$61,MATCH($C318,'Rentabilidad datos'!$C$2:$C$61,0)),"")</f>
        <v>57197.197784647178</v>
      </c>
      <c r="V318" s="50">
        <f>IFERROR(INDEX('Rentabilidad datos'!$O$2:$O$61,MATCH($C318,'Rentabilidad datos'!$C$2:$C$61,0)),"")</f>
        <v>1545.8702103958697</v>
      </c>
      <c r="W318" s="51">
        <f>IFERROR(INDEX('Rentabilidad datos'!$M$2:$M$61,MATCH($C318,'Rentabilidad datos'!$C$2:$C$61,0)),"")</f>
        <v>2982.1586443005776</v>
      </c>
      <c r="X318" s="52">
        <f>IFERROR(INDEX('Rentabilidad datos'!$P$2:$P$61,MATCH($C318,'Rentabilidad datos'!$C$2:$C$61,0)),"")</f>
        <v>0.51837289520136554</v>
      </c>
      <c r="Y318" s="43" t="s">
        <v>211</v>
      </c>
      <c r="Z318" s="53">
        <v>105.99754299754299</v>
      </c>
      <c r="AA318" s="43">
        <v>2</v>
      </c>
      <c r="AB318" s="54">
        <v>0.93570369821225352</v>
      </c>
      <c r="AC318" s="55">
        <v>6.4296301787746521E-2</v>
      </c>
      <c r="AD318" s="752" t="e">
        <f>_xlfn.XLOOKUP(Table1[[#This Row],[Ruta]],#REF!,#REF!)</f>
        <v>#REF!</v>
      </c>
      <c r="AE318" s="752" t="e">
        <f>_xlfn.XLOOKUP(Table1[[#This Row],[Ruta]],#REF!,#REF!)</f>
        <v>#REF!</v>
      </c>
      <c r="AF318" s="752" t="e">
        <f>_xlfn.XLOOKUP(Table1[[#This Row],[Ruta]],#REF!,#REF!)</f>
        <v>#REF!</v>
      </c>
      <c r="AG318" s="752" t="e">
        <f>_xlfn.XLOOKUP(Table1[[#This Row],[Ruta]],#REF!,#REF!)</f>
        <v>#REF!</v>
      </c>
      <c r="AH318" s="52">
        <v>0.65065028822023618</v>
      </c>
      <c r="AI318" s="52">
        <v>0.3491098775941035</v>
      </c>
      <c r="AJ318" s="55">
        <v>2.3983418566034273E-4</v>
      </c>
      <c r="AK318" s="56">
        <v>43141</v>
      </c>
      <c r="AL318" s="44">
        <v>25140</v>
      </c>
      <c r="AM318" s="54">
        <v>0.54229155559676401</v>
      </c>
      <c r="AN318" s="55">
        <v>0.59299875749554298</v>
      </c>
      <c r="AO318" s="56">
        <v>2187.5593971152298</v>
      </c>
      <c r="AP318" s="48">
        <v>1093.7796985576149</v>
      </c>
      <c r="AQ318" s="55">
        <v>0.6080939175855361</v>
      </c>
      <c r="AR318" s="51">
        <v>4531209.9400000004</v>
      </c>
      <c r="AS318" s="49">
        <v>197141.8234794935</v>
      </c>
      <c r="AT318" s="55">
        <v>4.3507545686460397E-2</v>
      </c>
      <c r="AU318" s="51">
        <v>138532.09217477927</v>
      </c>
      <c r="AV318" s="52">
        <v>6.3019559695756309E-4</v>
      </c>
      <c r="AW318" s="44">
        <v>360</v>
      </c>
      <c r="AX318" s="51">
        <v>180.23905887032601</v>
      </c>
      <c r="AY318" s="49">
        <v>323.84896749365402</v>
      </c>
      <c r="AZ318" s="49">
        <v>143.60990862332801</v>
      </c>
      <c r="BA318" s="42" t="s">
        <v>150</v>
      </c>
      <c r="BB318" s="50">
        <v>1268502.441520975</v>
      </c>
      <c r="BC318" s="57">
        <v>1407034.5336957541</v>
      </c>
      <c r="BD318" s="42" t="s">
        <v>150</v>
      </c>
      <c r="BE318" s="46">
        <v>105.99754299754299</v>
      </c>
      <c r="BF318" s="46">
        <v>72.425990467051307</v>
      </c>
      <c r="BG318" s="42" t="s">
        <v>150</v>
      </c>
      <c r="BH318" s="52">
        <v>0.54229155559676401</v>
      </c>
      <c r="BI318" s="52">
        <v>0.49337264070319697</v>
      </c>
      <c r="BJ318" s="42" t="s">
        <v>150</v>
      </c>
      <c r="BK318" s="46">
        <v>495.03189236218401</v>
      </c>
      <c r="BL318" s="46">
        <v>605.59017138979505</v>
      </c>
      <c r="BM318" s="42" t="s">
        <v>152</v>
      </c>
      <c r="BN318" s="48">
        <v>2</v>
      </c>
      <c r="BO318" s="42" t="s">
        <v>161</v>
      </c>
      <c r="BP318" s="42" t="s">
        <v>152</v>
      </c>
      <c r="BQ318" s="46">
        <v>0</v>
      </c>
      <c r="BR318" s="46">
        <v>462</v>
      </c>
      <c r="BS318" s="46">
        <v>56419</v>
      </c>
      <c r="BT318" s="46">
        <v>13844</v>
      </c>
      <c r="BU318" s="46">
        <v>4.0753394972551282</v>
      </c>
      <c r="BV318" s="46">
        <v>29.965367965367964</v>
      </c>
      <c r="BW318" s="46">
        <v>0</v>
      </c>
      <c r="BX318" s="46">
        <v>0</v>
      </c>
      <c r="BY318" s="46">
        <v>0</v>
      </c>
      <c r="BZ318" s="46">
        <v>0</v>
      </c>
      <c r="CA318" s="46">
        <v>0</v>
      </c>
      <c r="CB318" s="46">
        <v>0</v>
      </c>
      <c r="CC318" s="46">
        <v>0.14750072233458539</v>
      </c>
      <c r="CD318" s="46">
        <v>0.1215689107194452</v>
      </c>
      <c r="CE318" s="46">
        <v>0</v>
      </c>
      <c r="CF318" s="46">
        <v>0.73093036694596936</v>
      </c>
      <c r="CG318" s="46">
        <v>0</v>
      </c>
      <c r="CH318" s="46">
        <v>0</v>
      </c>
      <c r="CI318" s="46">
        <v>5.4591538311561694</v>
      </c>
      <c r="CJ318" s="46">
        <v>5.3173576277495173E-2</v>
      </c>
      <c r="CK318">
        <v>470</v>
      </c>
      <c r="CL318">
        <v>470</v>
      </c>
      <c r="CM318">
        <f t="shared" si="35"/>
        <v>0</v>
      </c>
      <c r="CO318">
        <v>9.4499999999999993</v>
      </c>
      <c r="CP318">
        <f t="shared" si="36"/>
        <v>9.4499999999999993</v>
      </c>
      <c r="CS318">
        <f t="shared" si="37"/>
        <v>0</v>
      </c>
      <c r="CV318">
        <v>0</v>
      </c>
      <c r="CW318" s="46">
        <v>0</v>
      </c>
      <c r="CX318" s="46">
        <f t="shared" si="31"/>
        <v>0</v>
      </c>
      <c r="CY318" s="46">
        <v>0</v>
      </c>
      <c r="CZ318" s="46">
        <f t="shared" si="32"/>
        <v>0</v>
      </c>
      <c r="DA318" s="46">
        <f t="shared" si="33"/>
        <v>0</v>
      </c>
      <c r="DB318" s="46">
        <v>0</v>
      </c>
      <c r="DC318" s="46">
        <f t="shared" si="34"/>
        <v>0</v>
      </c>
      <c r="DD318" s="46">
        <v>0</v>
      </c>
      <c r="DE318" s="995">
        <v>0</v>
      </c>
      <c r="DF318" s="995">
        <v>0</v>
      </c>
      <c r="DG318" s="995">
        <v>0</v>
      </c>
      <c r="DH318" s="995">
        <v>0</v>
      </c>
      <c r="DI318" s="995">
        <v>229.87200000000001</v>
      </c>
      <c r="DJ318" s="995">
        <v>3182345</v>
      </c>
      <c r="DK318" s="995">
        <v>11.044</v>
      </c>
      <c r="DL318" s="995">
        <v>152899.6</v>
      </c>
      <c r="DM318" s="995">
        <v>0</v>
      </c>
      <c r="DN318" s="995">
        <v>0</v>
      </c>
      <c r="DO318" s="995">
        <v>0</v>
      </c>
      <c r="DP318" s="995">
        <v>0</v>
      </c>
      <c r="DQ318" s="995">
        <v>229.87200000000001</v>
      </c>
      <c r="DR318" s="995">
        <v>3182345</v>
      </c>
      <c r="DS318" s="995">
        <v>11.044</v>
      </c>
      <c r="DT318" s="995">
        <v>152899.6</v>
      </c>
    </row>
    <row r="319" spans="1:124">
      <c r="A319" s="42" t="s">
        <v>94</v>
      </c>
      <c r="B319" s="42" t="s">
        <v>510</v>
      </c>
      <c r="C319" s="42" t="s">
        <v>511</v>
      </c>
      <c r="D319" s="42">
        <v>810344</v>
      </c>
      <c r="E319" s="42" t="s">
        <v>533</v>
      </c>
      <c r="F319" s="42" t="s">
        <v>149</v>
      </c>
      <c r="G319" s="42" t="s">
        <v>150</v>
      </c>
      <c r="H319" s="43" t="s">
        <v>150</v>
      </c>
      <c r="I319" s="44">
        <v>37</v>
      </c>
      <c r="J319" s="45">
        <v>255588.8664</v>
      </c>
      <c r="K319" s="46">
        <v>18639.745949</v>
      </c>
      <c r="L319" s="47">
        <v>274228.612349</v>
      </c>
      <c r="M319" s="48">
        <v>5923592</v>
      </c>
      <c r="N319" s="49">
        <v>3724071</v>
      </c>
      <c r="O319" s="49">
        <v>2169433</v>
      </c>
      <c r="P319" s="49">
        <v>30088</v>
      </c>
      <c r="Q319" s="50">
        <v>13303.622866817201</v>
      </c>
      <c r="R319" s="51">
        <v>19019.595825971701</v>
      </c>
      <c r="S319" s="49">
        <v>33024.392916467499</v>
      </c>
      <c r="T319" s="49">
        <v>5153.20904220803</v>
      </c>
      <c r="U319" s="49">
        <f>IFERROR(INDEX('Rentabilidad datos'!$N$2:$N$61,MATCH($C319,'Rentabilidad datos'!$C$2:$C$61,0)),"")</f>
        <v>57197.197784647178</v>
      </c>
      <c r="V319" s="50">
        <f>IFERROR(INDEX('Rentabilidad datos'!$O$2:$O$61,MATCH($C319,'Rentabilidad datos'!$C$2:$C$61,0)),"")</f>
        <v>1545.8702103958697</v>
      </c>
      <c r="W319" s="51">
        <f>IFERROR(INDEX('Rentabilidad datos'!$M$2:$M$61,MATCH($C319,'Rentabilidad datos'!$C$2:$C$61,0)),"")</f>
        <v>2982.1586443005776</v>
      </c>
      <c r="X319" s="52">
        <f>IFERROR(INDEX('Rentabilidad datos'!$P$2:$P$61,MATCH($C319,'Rentabilidad datos'!$C$2:$C$61,0)),"")</f>
        <v>0.51837289520136554</v>
      </c>
      <c r="Y319" s="43" t="s">
        <v>211</v>
      </c>
      <c r="Z319" s="53">
        <v>53.425790754257903</v>
      </c>
      <c r="AA319" s="43">
        <v>2</v>
      </c>
      <c r="AB319" s="54">
        <v>0.97294614483914488</v>
      </c>
      <c r="AC319" s="55">
        <v>2.7053855160855102E-2</v>
      </c>
      <c r="AD319" s="752" t="e">
        <f>_xlfn.XLOOKUP(Table1[[#This Row],[Ruta]],#REF!,#REF!)</f>
        <v>#REF!</v>
      </c>
      <c r="AE319" s="752" t="e">
        <f>_xlfn.XLOOKUP(Table1[[#This Row],[Ruta]],#REF!,#REF!)</f>
        <v>#REF!</v>
      </c>
      <c r="AF319" s="752" t="e">
        <f>_xlfn.XLOOKUP(Table1[[#This Row],[Ruta]],#REF!,#REF!)</f>
        <v>#REF!</v>
      </c>
      <c r="AG319" s="752" t="e">
        <f>_xlfn.XLOOKUP(Table1[[#This Row],[Ruta]],#REF!,#REF!)</f>
        <v>#REF!</v>
      </c>
      <c r="AH319" s="52">
        <v>0.62868458867524979</v>
      </c>
      <c r="AI319" s="52">
        <v>0.36623606082255494</v>
      </c>
      <c r="AJ319" s="55">
        <v>5.0793505021952895E-3</v>
      </c>
      <c r="AK319" s="56">
        <v>21958</v>
      </c>
      <c r="AL319" s="44">
        <v>11775</v>
      </c>
      <c r="AM319" s="54">
        <v>0.502686947809454</v>
      </c>
      <c r="AN319" s="55">
        <v>0.59299875749554298</v>
      </c>
      <c r="AO319" s="56">
        <v>1983.06671708714</v>
      </c>
      <c r="AP319" s="48">
        <v>991.53335854356999</v>
      </c>
      <c r="AQ319" s="55">
        <v>0.58140692952653106</v>
      </c>
      <c r="AR319" s="51">
        <v>5893504.9299999997</v>
      </c>
      <c r="AS319" s="49">
        <v>496272.3343385125</v>
      </c>
      <c r="AT319" s="55">
        <v>8.4206654653381702E-2</v>
      </c>
      <c r="AU319" s="51">
        <v>348731.91061625216</v>
      </c>
      <c r="AV319" s="52">
        <v>1.5864144628068434E-3</v>
      </c>
      <c r="AW319" s="44">
        <v>213</v>
      </c>
      <c r="AX319" s="51">
        <v>500.50997282377898</v>
      </c>
      <c r="AY319" s="49">
        <v>323.84896749365402</v>
      </c>
      <c r="AZ319" s="49">
        <v>0</v>
      </c>
      <c r="BA319" s="42" t="s">
        <v>152</v>
      </c>
      <c r="BB319" s="50">
        <v>0</v>
      </c>
      <c r="BC319" s="57">
        <v>348731.91061625216</v>
      </c>
      <c r="BD319" s="42" t="s">
        <v>150</v>
      </c>
      <c r="BE319" s="46">
        <v>53.425790754257903</v>
      </c>
      <c r="BF319" s="46">
        <v>72.425990467051307</v>
      </c>
      <c r="BG319" s="42" t="s">
        <v>152</v>
      </c>
      <c r="BH319" s="52">
        <v>0.502686947809454</v>
      </c>
      <c r="BI319" s="52">
        <v>0.49337264070319697</v>
      </c>
      <c r="BJ319" s="42" t="s">
        <v>150</v>
      </c>
      <c r="BK319" s="46">
        <v>619.02621297742598</v>
      </c>
      <c r="BL319" s="46">
        <v>605.59017138979505</v>
      </c>
      <c r="BM319" s="42" t="s">
        <v>150</v>
      </c>
      <c r="BN319" s="48">
        <v>2</v>
      </c>
      <c r="BO319" s="42" t="s">
        <v>161</v>
      </c>
      <c r="BP319" s="42" t="s">
        <v>152</v>
      </c>
      <c r="BQ319" s="46">
        <v>11409.4219435945</v>
      </c>
      <c r="BR319" s="46">
        <v>622</v>
      </c>
      <c r="BS319" s="46">
        <v>36851</v>
      </c>
      <c r="BT319" s="46">
        <v>10293</v>
      </c>
      <c r="BU319" s="46">
        <v>3.5802001360147675</v>
      </c>
      <c r="BV319" s="46">
        <v>16.54823151125402</v>
      </c>
      <c r="BW319" s="46">
        <v>0</v>
      </c>
      <c r="BX319" s="46">
        <v>2858</v>
      </c>
      <c r="BY319" s="46">
        <v>2858</v>
      </c>
      <c r="BZ319" s="46">
        <v>0.27766443213834646</v>
      </c>
      <c r="CA319" s="46">
        <v>0</v>
      </c>
      <c r="CB319" s="46">
        <v>0.27766443213834652</v>
      </c>
      <c r="CC319" s="46">
        <v>0.41766248907024189</v>
      </c>
      <c r="CD319" s="46">
        <v>0</v>
      </c>
      <c r="CE319" s="46">
        <v>2.9146021568055959E-3</v>
      </c>
      <c r="CF319" s="46">
        <v>0.30175847663460598</v>
      </c>
      <c r="CG319" s="46">
        <v>0</v>
      </c>
      <c r="CH319" s="46">
        <v>0</v>
      </c>
      <c r="CI319" s="46">
        <v>4.260399989145478</v>
      </c>
      <c r="CJ319" s="46">
        <v>0.2170904453067759</v>
      </c>
      <c r="CK319">
        <v>289</v>
      </c>
      <c r="CL319">
        <v>352.67</v>
      </c>
      <c r="CM319">
        <f t="shared" si="35"/>
        <v>63.670000000000016</v>
      </c>
      <c r="CN319">
        <v>7.02</v>
      </c>
      <c r="CO319">
        <v>9.4499999999999993</v>
      </c>
      <c r="CP319">
        <f t="shared" si="36"/>
        <v>2.4299999999999997</v>
      </c>
      <c r="CQ319">
        <v>846.56</v>
      </c>
      <c r="CR319">
        <v>619.03</v>
      </c>
      <c r="CS319">
        <f t="shared" si="37"/>
        <v>227.52999999999997</v>
      </c>
      <c r="CT319" t="s">
        <v>152</v>
      </c>
      <c r="CU319">
        <v>81.7</v>
      </c>
      <c r="CV319">
        <v>157</v>
      </c>
      <c r="CW319" s="46">
        <v>2858</v>
      </c>
      <c r="CX319" s="46">
        <f t="shared" si="31"/>
        <v>27.147867482755274</v>
      </c>
      <c r="CY319" s="46">
        <v>63.67</v>
      </c>
      <c r="CZ319" s="46">
        <f t="shared" si="32"/>
        <v>27.766443213834645</v>
      </c>
      <c r="DA319" s="46">
        <f t="shared" si="33"/>
        <v>79.522002728676298</v>
      </c>
      <c r="DB319" s="46">
        <v>823583.14</v>
      </c>
      <c r="DC319" s="46">
        <f t="shared" si="34"/>
        <v>3.5824430053289329</v>
      </c>
      <c r="DD319" s="46">
        <v>37102.18</v>
      </c>
      <c r="DE319" s="995">
        <v>2858</v>
      </c>
      <c r="DF319" s="995">
        <v>27.16</v>
      </c>
      <c r="DG319" s="995">
        <v>62.4</v>
      </c>
      <c r="DH319" s="995">
        <v>27.765999999999998</v>
      </c>
      <c r="DI319" s="995">
        <v>523.30200000000002</v>
      </c>
      <c r="DJ319" s="995">
        <v>5419000</v>
      </c>
      <c r="DK319" s="995">
        <v>23.388999999999999</v>
      </c>
      <c r="DL319" s="995">
        <v>242199.4</v>
      </c>
      <c r="DM319" s="995">
        <v>2858</v>
      </c>
      <c r="DN319" s="995">
        <v>27.198</v>
      </c>
      <c r="DO319" s="995">
        <v>58.6</v>
      </c>
      <c r="DP319" s="995">
        <v>27.765999999999998</v>
      </c>
      <c r="DQ319" s="995">
        <v>518.928</v>
      </c>
      <c r="DR319" s="995">
        <v>5371709</v>
      </c>
      <c r="DS319" s="995">
        <v>23.198</v>
      </c>
      <c r="DT319" s="995">
        <v>240137.7</v>
      </c>
    </row>
    <row r="320" spans="1:124">
      <c r="A320" s="42" t="s">
        <v>94</v>
      </c>
      <c r="B320" s="42" t="s">
        <v>510</v>
      </c>
      <c r="C320" s="42" t="s">
        <v>511</v>
      </c>
      <c r="D320" s="42">
        <v>810345</v>
      </c>
      <c r="E320" s="42" t="s">
        <v>534</v>
      </c>
      <c r="F320" s="42" t="s">
        <v>149</v>
      </c>
      <c r="G320" s="42" t="s">
        <v>150</v>
      </c>
      <c r="H320" s="43" t="s">
        <v>150</v>
      </c>
      <c r="I320" s="44">
        <v>37</v>
      </c>
      <c r="J320" s="45">
        <v>186024.98879999999</v>
      </c>
      <c r="K320" s="46">
        <v>14385.619032000001</v>
      </c>
      <c r="L320" s="47">
        <v>200410.60783200001</v>
      </c>
      <c r="M320" s="48">
        <v>4115798</v>
      </c>
      <c r="N320" s="49">
        <v>2661035</v>
      </c>
      <c r="O320" s="49">
        <v>1454413</v>
      </c>
      <c r="P320" s="49">
        <v>350</v>
      </c>
      <c r="Q320" s="50">
        <v>9439.1046788990807</v>
      </c>
      <c r="R320" s="51">
        <v>19019.595825971701</v>
      </c>
      <c r="S320" s="49">
        <v>33024.392916467499</v>
      </c>
      <c r="T320" s="49">
        <v>5153.20904220803</v>
      </c>
      <c r="U320" s="49">
        <f>IFERROR(INDEX('Rentabilidad datos'!$N$2:$N$61,MATCH($C320,'Rentabilidad datos'!$C$2:$C$61,0)),"")</f>
        <v>57197.197784647178</v>
      </c>
      <c r="V320" s="50">
        <f>IFERROR(INDEX('Rentabilidad datos'!$O$2:$O$61,MATCH($C320,'Rentabilidad datos'!$C$2:$C$61,0)),"")</f>
        <v>1545.8702103958697</v>
      </c>
      <c r="W320" s="51">
        <f>IFERROR(INDEX('Rentabilidad datos'!$M$2:$M$61,MATCH($C320,'Rentabilidad datos'!$C$2:$C$61,0)),"")</f>
        <v>2982.1586443005776</v>
      </c>
      <c r="X320" s="52">
        <f>IFERROR(INDEX('Rentabilidad datos'!$P$2:$P$61,MATCH($C320,'Rentabilidad datos'!$C$2:$C$61,0)),"")</f>
        <v>0.51837289520136554</v>
      </c>
      <c r="Y320" s="43" t="s">
        <v>211</v>
      </c>
      <c r="Z320" s="53">
        <v>94.755555555555603</v>
      </c>
      <c r="AA320" s="43">
        <v>2</v>
      </c>
      <c r="AB320" s="54">
        <v>0.93008791976671357</v>
      </c>
      <c r="AC320" s="55">
        <v>6.9912080233286475E-2</v>
      </c>
      <c r="AD320" s="752" t="e">
        <f>_xlfn.XLOOKUP(Table1[[#This Row],[Ruta]],#REF!,#REF!)</f>
        <v>#REF!</v>
      </c>
      <c r="AE320" s="752" t="e">
        <f>_xlfn.XLOOKUP(Table1[[#This Row],[Ruta]],#REF!,#REF!)</f>
        <v>#REF!</v>
      </c>
      <c r="AF320" s="752" t="e">
        <f>_xlfn.XLOOKUP(Table1[[#This Row],[Ruta]],#REF!,#REF!)</f>
        <v>#REF!</v>
      </c>
      <c r="AG320" s="752" t="e">
        <f>_xlfn.XLOOKUP(Table1[[#This Row],[Ruta]],#REF!,#REF!)</f>
        <v>#REF!</v>
      </c>
      <c r="AH320" s="52">
        <v>0.64654169130749373</v>
      </c>
      <c r="AI320" s="52">
        <v>0.35337327050550099</v>
      </c>
      <c r="AJ320" s="55">
        <v>8.5038187005290344E-5</v>
      </c>
      <c r="AK320" s="56">
        <v>38376</v>
      </c>
      <c r="AL320" s="44">
        <v>19052</v>
      </c>
      <c r="AM320" s="54">
        <v>0.45458098811757303</v>
      </c>
      <c r="AN320" s="55">
        <v>0.59299875749554298</v>
      </c>
      <c r="AO320" s="56">
        <v>5311.92031764897</v>
      </c>
      <c r="AP320" s="48">
        <v>2655.960158824485</v>
      </c>
      <c r="AQ320" s="55">
        <v>0.56566500309632284</v>
      </c>
      <c r="AR320" s="51">
        <v>4115449.64</v>
      </c>
      <c r="AS320" s="49">
        <v>573717.73459419503</v>
      </c>
      <c r="AT320" s="55">
        <v>0.13940584499393729</v>
      </c>
      <c r="AU320" s="51">
        <v>403153.0026878129</v>
      </c>
      <c r="AV320" s="52">
        <v>1.8339811606507637E-3</v>
      </c>
      <c r="AW320" s="44">
        <v>188</v>
      </c>
      <c r="AX320" s="51">
        <v>216.011423472601</v>
      </c>
      <c r="AY320" s="49">
        <v>323.84896749365402</v>
      </c>
      <c r="AZ320" s="49">
        <v>107.83754402105302</v>
      </c>
      <c r="BA320" s="42" t="s">
        <v>150</v>
      </c>
      <c r="BB320" s="50">
        <v>721858.69062049559</v>
      </c>
      <c r="BC320" s="57">
        <v>1125011.6933083085</v>
      </c>
      <c r="BD320" s="42" t="s">
        <v>150</v>
      </c>
      <c r="BE320" s="46">
        <v>94.755555555555603</v>
      </c>
      <c r="BF320" s="46">
        <v>72.425990467051307</v>
      </c>
      <c r="BG320" s="42" t="s">
        <v>150</v>
      </c>
      <c r="BH320" s="52">
        <v>0.45458098811757403</v>
      </c>
      <c r="BI320" s="52">
        <v>0.49337264070319697</v>
      </c>
      <c r="BJ320" s="42" t="s">
        <v>152</v>
      </c>
      <c r="BK320" s="46">
        <v>459.657357412843</v>
      </c>
      <c r="BL320" s="46">
        <v>605.59017138979505</v>
      </c>
      <c r="BM320" s="42" t="s">
        <v>152</v>
      </c>
      <c r="BN320" s="48">
        <v>1</v>
      </c>
      <c r="BO320" s="42" t="s">
        <v>155</v>
      </c>
      <c r="BP320" s="42" t="s">
        <v>152</v>
      </c>
      <c r="BQ320" s="46">
        <v>0</v>
      </c>
      <c r="BR320" s="46">
        <v>329</v>
      </c>
      <c r="BS320" s="46">
        <v>34269</v>
      </c>
      <c r="BT320" s="46">
        <v>8671</v>
      </c>
      <c r="BU320" s="46">
        <v>3.9521393149579058</v>
      </c>
      <c r="BV320" s="46">
        <v>26.355623100303951</v>
      </c>
      <c r="BW320" s="46">
        <v>0</v>
      </c>
      <c r="BX320" s="46">
        <v>1434</v>
      </c>
      <c r="BY320" s="46">
        <v>1434</v>
      </c>
      <c r="BZ320" s="46">
        <v>0.16537884903701996</v>
      </c>
      <c r="CA320" s="46">
        <v>0</v>
      </c>
      <c r="CB320" s="46">
        <v>0.16537884903701999</v>
      </c>
      <c r="CC320" s="46">
        <v>0.20539730134932541</v>
      </c>
      <c r="CD320" s="46">
        <v>3.621266289931957E-2</v>
      </c>
      <c r="CE320" s="46">
        <v>0</v>
      </c>
      <c r="CF320" s="46">
        <v>0.59301118671433517</v>
      </c>
      <c r="CG320" s="46">
        <v>0</v>
      </c>
      <c r="CH320" s="46">
        <v>0</v>
      </c>
      <c r="CI320" s="46">
        <v>4.4063147451049058</v>
      </c>
      <c r="CJ320" s="46">
        <v>5.8361784703376232E-2</v>
      </c>
      <c r="CK320">
        <v>349</v>
      </c>
      <c r="CL320">
        <v>362.76</v>
      </c>
      <c r="CM320">
        <f t="shared" si="35"/>
        <v>13.759999999999991</v>
      </c>
      <c r="CN320">
        <v>11.21</v>
      </c>
      <c r="CO320">
        <v>9.4499999999999993</v>
      </c>
      <c r="CP320">
        <f t="shared" si="36"/>
        <v>-1.7600000000000016</v>
      </c>
      <c r="CQ320">
        <v>846.56</v>
      </c>
      <c r="CR320">
        <v>459.66</v>
      </c>
      <c r="CS320">
        <f t="shared" si="37"/>
        <v>386.89999999999992</v>
      </c>
      <c r="CT320" t="s">
        <v>150</v>
      </c>
      <c r="CU320">
        <v>118.6</v>
      </c>
      <c r="CV320">
        <v>115</v>
      </c>
      <c r="CW320" s="46">
        <v>1434</v>
      </c>
      <c r="CX320" s="46">
        <f t="shared" si="31"/>
        <v>16.379195017875677</v>
      </c>
      <c r="CY320" s="46">
        <v>13.76</v>
      </c>
      <c r="CZ320" s="46">
        <f t="shared" si="32"/>
        <v>16.537884903701997</v>
      </c>
      <c r="DA320" s="46">
        <f t="shared" si="33"/>
        <v>122.07913978048904</v>
      </c>
      <c r="DB320" s="46">
        <v>1060228.03</v>
      </c>
      <c r="DC320" s="46">
        <f t="shared" si="34"/>
        <v>6.0513117230643108</v>
      </c>
      <c r="DD320" s="46">
        <v>52554.19</v>
      </c>
      <c r="DE320" s="995">
        <v>1434</v>
      </c>
      <c r="DF320" s="995">
        <v>16.341000000000001</v>
      </c>
      <c r="DG320" s="995">
        <v>17.100000000000001</v>
      </c>
      <c r="DH320" s="995">
        <v>16.538</v>
      </c>
      <c r="DI320" s="995">
        <v>485.11900000000003</v>
      </c>
      <c r="DJ320" s="995">
        <v>4214764</v>
      </c>
      <c r="DK320" s="995">
        <v>23.158000000000001</v>
      </c>
      <c r="DL320" s="995">
        <v>201200</v>
      </c>
      <c r="DM320" s="995">
        <v>1434</v>
      </c>
      <c r="DN320" s="995">
        <v>16.369</v>
      </c>
      <c r="DO320" s="995">
        <v>14.7</v>
      </c>
      <c r="DP320" s="995">
        <v>16.538</v>
      </c>
      <c r="DQ320" s="995">
        <v>482.15300000000002</v>
      </c>
      <c r="DR320" s="995">
        <v>4187823</v>
      </c>
      <c r="DS320" s="995">
        <v>23.007000000000001</v>
      </c>
      <c r="DT320" s="995">
        <v>199827.8</v>
      </c>
    </row>
    <row r="321" spans="1:124">
      <c r="A321" s="42" t="s">
        <v>94</v>
      </c>
      <c r="B321" s="42" t="s">
        <v>510</v>
      </c>
      <c r="C321" s="42" t="s">
        <v>511</v>
      </c>
      <c r="D321" s="42">
        <v>810346</v>
      </c>
      <c r="E321" s="42" t="s">
        <v>535</v>
      </c>
      <c r="F321" s="42" t="s">
        <v>149</v>
      </c>
      <c r="G321" s="42" t="s">
        <v>150</v>
      </c>
      <c r="H321" s="43" t="s">
        <v>150</v>
      </c>
      <c r="I321" s="44">
        <v>37</v>
      </c>
      <c r="J321" s="45">
        <v>213785.0232</v>
      </c>
      <c r="K321" s="46">
        <v>17872.110766000002</v>
      </c>
      <c r="L321" s="47">
        <v>231657.13396599999</v>
      </c>
      <c r="M321" s="48">
        <v>5248050</v>
      </c>
      <c r="N321" s="49">
        <v>3141965</v>
      </c>
      <c r="O321" s="49">
        <v>2106061</v>
      </c>
      <c r="P321" s="49">
        <v>24</v>
      </c>
      <c r="Q321" s="50">
        <v>11866.1132873563</v>
      </c>
      <c r="R321" s="51">
        <v>19019.595825971701</v>
      </c>
      <c r="S321" s="49">
        <v>33024.392916467499</v>
      </c>
      <c r="T321" s="49">
        <v>5153.20904220803</v>
      </c>
      <c r="U321" s="49">
        <f>IFERROR(INDEX('Rentabilidad datos'!$N$2:$N$61,MATCH($C321,'Rentabilidad datos'!$C$2:$C$61,0)),"")</f>
        <v>57197.197784647178</v>
      </c>
      <c r="V321" s="50">
        <f>IFERROR(INDEX('Rentabilidad datos'!$O$2:$O$61,MATCH($C321,'Rentabilidad datos'!$C$2:$C$61,0)),"")</f>
        <v>1545.8702103958697</v>
      </c>
      <c r="W321" s="51">
        <f>IFERROR(INDEX('Rentabilidad datos'!$M$2:$M$61,MATCH($C321,'Rentabilidad datos'!$C$2:$C$61,0)),"")</f>
        <v>2982.1586443005776</v>
      </c>
      <c r="X321" s="52">
        <f>IFERROR(INDEX('Rentabilidad datos'!$P$2:$P$61,MATCH($C321,'Rentabilidad datos'!$C$2:$C$61,0)),"")</f>
        <v>0.51837289520136554</v>
      </c>
      <c r="Y321" s="43" t="s">
        <v>211</v>
      </c>
      <c r="Z321" s="53">
        <v>44.905707196029802</v>
      </c>
      <c r="AA321" s="43">
        <v>2</v>
      </c>
      <c r="AB321" s="54">
        <v>0.96861215117996213</v>
      </c>
      <c r="AC321" s="55">
        <v>3.1387848820037915E-2</v>
      </c>
      <c r="AD321" s="752" t="e">
        <f>_xlfn.XLOOKUP(Table1[[#This Row],[Ruta]],#REF!,#REF!)</f>
        <v>#REF!</v>
      </c>
      <c r="AE321" s="752" t="e">
        <f>_xlfn.XLOOKUP(Table1[[#This Row],[Ruta]],#REF!,#REF!)</f>
        <v>#REF!</v>
      </c>
      <c r="AF321" s="752" t="e">
        <f>_xlfn.XLOOKUP(Table1[[#This Row],[Ruta]],#REF!,#REF!)</f>
        <v>#REF!</v>
      </c>
      <c r="AG321" s="752" t="e">
        <f>_xlfn.XLOOKUP(Table1[[#This Row],[Ruta]],#REF!,#REF!)</f>
        <v>#REF!</v>
      </c>
      <c r="AH321" s="52">
        <v>0.598691895084841</v>
      </c>
      <c r="AI321" s="52">
        <v>0.40130353178799744</v>
      </c>
      <c r="AJ321" s="55">
        <v>4.5731271615171348E-6</v>
      </c>
      <c r="AK321" s="56">
        <v>18097</v>
      </c>
      <c r="AL321" s="44">
        <v>16357</v>
      </c>
      <c r="AM321" s="54">
        <v>0.83129800519423103</v>
      </c>
      <c r="AN321" s="55">
        <v>0.59299875749554298</v>
      </c>
      <c r="AO321" s="56">
        <v>0</v>
      </c>
      <c r="AP321" s="48">
        <v>0</v>
      </c>
      <c r="AQ321" s="55">
        <v>0.90385146709399344</v>
      </c>
      <c r="AR321" s="51">
        <v>5161759.28</v>
      </c>
      <c r="AS321" s="49">
        <v>0</v>
      </c>
      <c r="AT321" s="55">
        <v>0</v>
      </c>
      <c r="AU321" s="51">
        <v>0</v>
      </c>
      <c r="AV321" s="52">
        <v>0</v>
      </c>
      <c r="AW321" s="44">
        <v>490</v>
      </c>
      <c r="AX321" s="51">
        <v>315.56882557926298</v>
      </c>
      <c r="AY321" s="49">
        <v>323.84896749365402</v>
      </c>
      <c r="AZ321" s="49">
        <v>8.280141914391038</v>
      </c>
      <c r="BA321" s="42" t="s">
        <v>150</v>
      </c>
      <c r="BB321" s="50">
        <v>47586.423157243931</v>
      </c>
      <c r="BC321" s="57">
        <v>47586.423157243931</v>
      </c>
      <c r="BD321" s="42" t="s">
        <v>150</v>
      </c>
      <c r="BE321" s="46">
        <v>44.905707196029802</v>
      </c>
      <c r="BF321" s="46">
        <v>72.425990467051307</v>
      </c>
      <c r="BG321" s="42" t="s">
        <v>152</v>
      </c>
      <c r="BH321" s="52">
        <v>0.83129800519423103</v>
      </c>
      <c r="BI321" s="52">
        <v>0.49337264070319697</v>
      </c>
      <c r="BJ321" s="42" t="s">
        <v>150</v>
      </c>
      <c r="BK321" s="46">
        <v>532.54513555402298</v>
      </c>
      <c r="BL321" s="46">
        <v>605.59017138979505</v>
      </c>
      <c r="BM321" s="42" t="s">
        <v>152</v>
      </c>
      <c r="BN321" s="48">
        <v>1</v>
      </c>
      <c r="BO321" s="42" t="s">
        <v>155</v>
      </c>
      <c r="BP321" s="42" t="s">
        <v>152</v>
      </c>
      <c r="BQ321" s="46">
        <v>3133.91235414422</v>
      </c>
      <c r="BR321" s="46">
        <v>224</v>
      </c>
      <c r="BS321" s="46">
        <v>23531</v>
      </c>
      <c r="BT321" s="46">
        <v>6562</v>
      </c>
      <c r="BU321" s="46">
        <v>3.5859494056690036</v>
      </c>
      <c r="BV321" s="46">
        <v>29.294642857142858</v>
      </c>
      <c r="BW321" s="46">
        <v>0</v>
      </c>
      <c r="BX321" s="46">
        <v>4</v>
      </c>
      <c r="BY321" s="46">
        <v>4</v>
      </c>
      <c r="BZ321" s="46">
        <v>6.0957025297165494E-4</v>
      </c>
      <c r="CA321" s="46">
        <v>0</v>
      </c>
      <c r="CB321" s="46">
        <v>6.0957025297165494E-4</v>
      </c>
      <c r="CC321" s="46">
        <v>0.40704053642182264</v>
      </c>
      <c r="CD321" s="46">
        <v>0.4676927765925023</v>
      </c>
      <c r="CE321" s="46">
        <v>0.1063700091435538</v>
      </c>
      <c r="CF321" s="46">
        <v>1.828710758914965E-2</v>
      </c>
      <c r="CG321" s="46">
        <v>0</v>
      </c>
      <c r="CH321" s="46">
        <v>0</v>
      </c>
      <c r="CI321" s="46">
        <v>2.7198164123921642</v>
      </c>
      <c r="CJ321" s="46">
        <v>0.12749139433088269</v>
      </c>
      <c r="CK321">
        <v>253</v>
      </c>
      <c r="CL321">
        <v>253</v>
      </c>
      <c r="CM321">
        <f t="shared" si="35"/>
        <v>0</v>
      </c>
      <c r="CN321">
        <v>17.149999999999999</v>
      </c>
      <c r="CO321">
        <v>9.4499999999999993</v>
      </c>
      <c r="CP321">
        <f t="shared" si="36"/>
        <v>-7.6999999999999993</v>
      </c>
      <c r="CQ321">
        <v>846.56</v>
      </c>
      <c r="CR321">
        <v>532.54999999999995</v>
      </c>
      <c r="CS321">
        <f t="shared" si="37"/>
        <v>314.01</v>
      </c>
      <c r="CT321" t="s">
        <v>150</v>
      </c>
      <c r="CU321">
        <v>181.45</v>
      </c>
      <c r="CV321">
        <v>1</v>
      </c>
      <c r="CW321" s="46">
        <v>4</v>
      </c>
      <c r="CX321" s="46">
        <f t="shared" si="31"/>
        <v>6.0957025297165492E-2</v>
      </c>
      <c r="CY321" s="46">
        <v>0</v>
      </c>
      <c r="CZ321" s="46">
        <f t="shared" si="32"/>
        <v>6.0957025297165492E-2</v>
      </c>
      <c r="DA321" s="46">
        <f t="shared" si="33"/>
        <v>0</v>
      </c>
      <c r="DB321" s="46">
        <v>0</v>
      </c>
      <c r="DC321" s="46">
        <f t="shared" si="34"/>
        <v>0</v>
      </c>
      <c r="DD321" s="46">
        <v>0</v>
      </c>
      <c r="DE321" s="995">
        <v>4</v>
      </c>
      <c r="DF321" s="995">
        <v>6.0999999999999999E-2</v>
      </c>
      <c r="DG321" s="995">
        <v>0</v>
      </c>
      <c r="DH321" s="995">
        <v>6.0999999999999999E-2</v>
      </c>
      <c r="DI321" s="995">
        <v>536.34900000000005</v>
      </c>
      <c r="DJ321" s="995">
        <v>3519525</v>
      </c>
      <c r="DK321" s="995">
        <v>24.306999999999999</v>
      </c>
      <c r="DL321" s="995">
        <v>159504</v>
      </c>
      <c r="DM321" s="995">
        <v>4</v>
      </c>
      <c r="DN321" s="995">
        <v>6.0999999999999999E-2</v>
      </c>
      <c r="DO321" s="995">
        <v>0</v>
      </c>
      <c r="DP321" s="995">
        <v>6.0999999999999999E-2</v>
      </c>
      <c r="DQ321" s="995">
        <v>536.34900000000005</v>
      </c>
      <c r="DR321" s="995">
        <v>3519525</v>
      </c>
      <c r="DS321" s="995">
        <v>24.306999999999999</v>
      </c>
      <c r="DT321" s="995">
        <v>159504</v>
      </c>
    </row>
    <row r="322" spans="1:124">
      <c r="A322" s="42" t="s">
        <v>94</v>
      </c>
      <c r="B322" s="42" t="s">
        <v>510</v>
      </c>
      <c r="C322" s="42" t="s">
        <v>511</v>
      </c>
      <c r="D322" s="42">
        <v>810347</v>
      </c>
      <c r="E322" s="42" t="s">
        <v>536</v>
      </c>
      <c r="F322" s="42" t="s">
        <v>149</v>
      </c>
      <c r="G322" s="42" t="s">
        <v>150</v>
      </c>
      <c r="H322" s="43" t="s">
        <v>150</v>
      </c>
      <c r="I322" s="44">
        <v>37</v>
      </c>
      <c r="J322" s="45">
        <v>275701.77039999899</v>
      </c>
      <c r="K322" s="46">
        <v>17642.219584999999</v>
      </c>
      <c r="L322" s="47">
        <v>293343.989984999</v>
      </c>
      <c r="M322" s="48">
        <v>5965720</v>
      </c>
      <c r="N322" s="49">
        <v>4008397</v>
      </c>
      <c r="O322" s="49">
        <v>1956267</v>
      </c>
      <c r="P322" s="49">
        <v>1056</v>
      </c>
      <c r="Q322" s="50">
        <v>13776.650092165901</v>
      </c>
      <c r="R322" s="51">
        <v>19019.595825971701</v>
      </c>
      <c r="S322" s="49">
        <v>33024.392916467499</v>
      </c>
      <c r="T322" s="49">
        <v>5153.20904220803</v>
      </c>
      <c r="U322" s="49">
        <f>IFERROR(INDEX('Rentabilidad datos'!$N$2:$N$61,MATCH($C322,'Rentabilidad datos'!$C$2:$C$61,0)),"")</f>
        <v>57197.197784647178</v>
      </c>
      <c r="V322" s="50">
        <f>IFERROR(INDEX('Rentabilidad datos'!$O$2:$O$61,MATCH($C322,'Rentabilidad datos'!$C$2:$C$61,0)),"")</f>
        <v>1545.8702103958697</v>
      </c>
      <c r="W322" s="51">
        <f>IFERROR(INDEX('Rentabilidad datos'!$M$2:$M$61,MATCH($C322,'Rentabilidad datos'!$C$2:$C$61,0)),"")</f>
        <v>2982.1586443005776</v>
      </c>
      <c r="X322" s="52">
        <f>IFERROR(INDEX('Rentabilidad datos'!$P$2:$P$61,MATCH($C322,'Rentabilidad datos'!$C$2:$C$61,0)),"")</f>
        <v>0.51837289520136554</v>
      </c>
      <c r="Y322" s="43" t="s">
        <v>211</v>
      </c>
      <c r="Z322" s="53">
        <v>104.753731343284</v>
      </c>
      <c r="AA322" s="43">
        <v>2</v>
      </c>
      <c r="AB322" s="54">
        <v>0.99000422413388489</v>
      </c>
      <c r="AC322" s="55">
        <v>9.9957758661150704E-3</v>
      </c>
      <c r="AD322" s="752" t="e">
        <f>_xlfn.XLOOKUP(Table1[[#This Row],[Ruta]],#REF!,#REF!)</f>
        <v>#REF!</v>
      </c>
      <c r="AE322" s="752" t="e">
        <f>_xlfn.XLOOKUP(Table1[[#This Row],[Ruta]],#REF!,#REF!)</f>
        <v>#REF!</v>
      </c>
      <c r="AF322" s="752" t="e">
        <f>_xlfn.XLOOKUP(Table1[[#This Row],[Ruta]],#REF!,#REF!)</f>
        <v>#REF!</v>
      </c>
      <c r="AG322" s="752" t="e">
        <f>_xlfn.XLOOKUP(Table1[[#This Row],[Ruta]],#REF!,#REF!)</f>
        <v>#REF!</v>
      </c>
      <c r="AH322" s="52">
        <v>0.67190498380748676</v>
      </c>
      <c r="AI322" s="52">
        <v>0.32791800486781142</v>
      </c>
      <c r="AJ322" s="55">
        <v>1.7701132470179627E-4</v>
      </c>
      <c r="AK322" s="56">
        <v>42111</v>
      </c>
      <c r="AL322" s="44">
        <v>23950</v>
      </c>
      <c r="AM322" s="54">
        <v>0.51354752914915403</v>
      </c>
      <c r="AN322" s="55">
        <v>0.59299875749554298</v>
      </c>
      <c r="AO322" s="56">
        <v>3345.7706768948201</v>
      </c>
      <c r="AP322" s="48">
        <v>1672.88533844741</v>
      </c>
      <c r="AQ322" s="55">
        <v>0.60846062402810219</v>
      </c>
      <c r="AR322" s="51">
        <v>5979066.1399999997</v>
      </c>
      <c r="AS322" s="49">
        <v>417632.23729492049</v>
      </c>
      <c r="AT322" s="55">
        <v>6.9849074674213335E-2</v>
      </c>
      <c r="AU322" s="51">
        <v>293471.30188291724</v>
      </c>
      <c r="AV322" s="52">
        <v>1.335028724222853E-3</v>
      </c>
      <c r="AW322" s="44">
        <v>248</v>
      </c>
      <c r="AX322" s="51">
        <v>249.64785553235899</v>
      </c>
      <c r="AY322" s="49">
        <v>323.84896749365402</v>
      </c>
      <c r="AZ322" s="49">
        <v>74.201111961295027</v>
      </c>
      <c r="BA322" s="42" t="s">
        <v>150</v>
      </c>
      <c r="BB322" s="50">
        <v>624392.32997700584</v>
      </c>
      <c r="BC322" s="57">
        <v>917863.63185992301</v>
      </c>
      <c r="BD322" s="42" t="s">
        <v>150</v>
      </c>
      <c r="BE322" s="46">
        <v>104.753731343284</v>
      </c>
      <c r="BF322" s="46">
        <v>72.425990467051307</v>
      </c>
      <c r="BG322" s="42" t="s">
        <v>150</v>
      </c>
      <c r="BH322" s="52">
        <v>0.51354752914915403</v>
      </c>
      <c r="BI322" s="52">
        <v>0.49337264070319697</v>
      </c>
      <c r="BJ322" s="42" t="s">
        <v>150</v>
      </c>
      <c r="BK322" s="46">
        <v>675.90781102534299</v>
      </c>
      <c r="BL322" s="46">
        <v>605.59017138979505</v>
      </c>
      <c r="BM322" s="42" t="s">
        <v>150</v>
      </c>
      <c r="BN322" s="48">
        <v>3</v>
      </c>
      <c r="BO322" s="42" t="s">
        <v>153</v>
      </c>
      <c r="BP322" s="42" t="s">
        <v>150</v>
      </c>
      <c r="BQ322" s="46">
        <v>0</v>
      </c>
      <c r="BR322" s="46">
        <v>240</v>
      </c>
      <c r="BS322" s="46">
        <v>23459</v>
      </c>
      <c r="BT322" s="46">
        <v>6223</v>
      </c>
      <c r="BU322" s="46">
        <v>3.7697252129198136</v>
      </c>
      <c r="BV322" s="46">
        <v>25.929166666666667</v>
      </c>
      <c r="BW322" s="46">
        <v>0</v>
      </c>
      <c r="BX322" s="46">
        <v>0</v>
      </c>
      <c r="BY322" s="46">
        <v>0</v>
      </c>
      <c r="BZ322" s="46">
        <v>0</v>
      </c>
      <c r="CA322" s="46">
        <v>0</v>
      </c>
      <c r="CB322" s="46">
        <v>0</v>
      </c>
      <c r="CC322" s="46">
        <v>0.66511328941025227</v>
      </c>
      <c r="CD322" s="46">
        <v>7.2794472119556489E-2</v>
      </c>
      <c r="CE322" s="46">
        <v>0</v>
      </c>
      <c r="CF322" s="46">
        <v>0.26209223847019131</v>
      </c>
      <c r="CG322" s="46">
        <v>0</v>
      </c>
      <c r="CH322" s="46">
        <v>0</v>
      </c>
      <c r="CI322" s="46">
        <v>4.2627562982224303</v>
      </c>
      <c r="CJ322" s="46">
        <v>0.17051025192889721</v>
      </c>
      <c r="CK322">
        <v>364</v>
      </c>
      <c r="CL322">
        <v>364</v>
      </c>
      <c r="CM322">
        <f t="shared" si="35"/>
        <v>0</v>
      </c>
      <c r="CO322">
        <v>9.4499999999999993</v>
      </c>
      <c r="CP322">
        <f t="shared" si="36"/>
        <v>9.4499999999999993</v>
      </c>
      <c r="CS322">
        <f t="shared" si="37"/>
        <v>0</v>
      </c>
      <c r="CV322">
        <v>0</v>
      </c>
      <c r="CW322" s="46">
        <v>0</v>
      </c>
      <c r="CX322" s="46">
        <f t="shared" si="31"/>
        <v>0</v>
      </c>
      <c r="CY322" s="46">
        <v>0</v>
      </c>
      <c r="CZ322" s="46">
        <f t="shared" si="32"/>
        <v>0</v>
      </c>
      <c r="DA322" s="46">
        <f t="shared" si="33"/>
        <v>0</v>
      </c>
      <c r="DB322" s="46">
        <v>0</v>
      </c>
      <c r="DC322" s="46">
        <f t="shared" si="34"/>
        <v>0</v>
      </c>
      <c r="DD322" s="46">
        <v>0</v>
      </c>
      <c r="DE322" s="995">
        <v>0</v>
      </c>
      <c r="DF322" s="995">
        <v>0</v>
      </c>
      <c r="DG322" s="995">
        <v>0</v>
      </c>
      <c r="DH322" s="995">
        <v>0</v>
      </c>
      <c r="DI322" s="995">
        <v>685.94299999999998</v>
      </c>
      <c r="DJ322" s="995">
        <v>4268625</v>
      </c>
      <c r="DK322" s="995">
        <v>32.805999999999997</v>
      </c>
      <c r="DL322" s="995">
        <v>204149.2</v>
      </c>
      <c r="DM322" s="995">
        <v>0</v>
      </c>
      <c r="DN322" s="995">
        <v>0</v>
      </c>
      <c r="DO322" s="995">
        <v>0</v>
      </c>
      <c r="DP322" s="995">
        <v>0</v>
      </c>
      <c r="DQ322" s="995">
        <v>685.94299999999998</v>
      </c>
      <c r="DR322" s="995">
        <v>4268625</v>
      </c>
      <c r="DS322" s="995">
        <v>32.805999999999997</v>
      </c>
      <c r="DT322" s="995">
        <v>204149.2</v>
      </c>
    </row>
    <row r="323" spans="1:124">
      <c r="A323" s="42" t="s">
        <v>94</v>
      </c>
      <c r="B323" s="42" t="s">
        <v>510</v>
      </c>
      <c r="C323" s="42" t="s">
        <v>511</v>
      </c>
      <c r="D323" s="42">
        <v>810348</v>
      </c>
      <c r="E323" s="42" t="s">
        <v>537</v>
      </c>
      <c r="F323" s="42" t="s">
        <v>149</v>
      </c>
      <c r="G323" s="42" t="s">
        <v>150</v>
      </c>
      <c r="H323" s="43" t="s">
        <v>150</v>
      </c>
      <c r="I323" s="44">
        <v>37</v>
      </c>
      <c r="J323" s="45">
        <v>234102.22640000001</v>
      </c>
      <c r="K323" s="46">
        <v>11829.802014999999</v>
      </c>
      <c r="L323" s="47">
        <v>245932.02841500001</v>
      </c>
      <c r="M323" s="48">
        <v>4765731</v>
      </c>
      <c r="N323" s="49">
        <v>3419965</v>
      </c>
      <c r="O323" s="49">
        <v>1345317</v>
      </c>
      <c r="P323" s="49">
        <v>449</v>
      </c>
      <c r="Q323" s="50">
        <v>10954.667586206901</v>
      </c>
      <c r="R323" s="51">
        <v>19019.595825971701</v>
      </c>
      <c r="S323" s="49">
        <v>33024.392916467499</v>
      </c>
      <c r="T323" s="49">
        <v>5153.20904220803</v>
      </c>
      <c r="U323" s="49">
        <f>IFERROR(INDEX('Rentabilidad datos'!$N$2:$N$61,MATCH($C323,'Rentabilidad datos'!$C$2:$C$61,0)),"")</f>
        <v>57197.197784647178</v>
      </c>
      <c r="V323" s="50">
        <f>IFERROR(INDEX('Rentabilidad datos'!$O$2:$O$61,MATCH($C323,'Rentabilidad datos'!$C$2:$C$61,0)),"")</f>
        <v>1545.8702103958697</v>
      </c>
      <c r="W323" s="51">
        <f>IFERROR(INDEX('Rentabilidad datos'!$M$2:$M$61,MATCH($C323,'Rentabilidad datos'!$C$2:$C$61,0)),"")</f>
        <v>2982.1586443005776</v>
      </c>
      <c r="X323" s="52">
        <f>IFERROR(INDEX('Rentabilidad datos'!$P$2:$P$61,MATCH($C323,'Rentabilidad datos'!$C$2:$C$61,0)),"")</f>
        <v>0.51837289520136554</v>
      </c>
      <c r="Y323" s="43" t="s">
        <v>211</v>
      </c>
      <c r="Z323" s="53">
        <v>74.565756823821403</v>
      </c>
      <c r="AA323" s="43">
        <v>2</v>
      </c>
      <c r="AB323" s="54">
        <v>0.98025465558169356</v>
      </c>
      <c r="AC323" s="55">
        <v>1.9745344418306447E-2</v>
      </c>
      <c r="AD323" s="752" t="e">
        <f>_xlfn.XLOOKUP(Table1[[#This Row],[Ruta]],#REF!,#REF!)</f>
        <v>#REF!</v>
      </c>
      <c r="AE323" s="752" t="e">
        <f>_xlfn.XLOOKUP(Table1[[#This Row],[Ruta]],#REF!,#REF!)</f>
        <v>#REF!</v>
      </c>
      <c r="AF323" s="752" t="e">
        <f>_xlfn.XLOOKUP(Table1[[#This Row],[Ruta]],#REF!,#REF!)</f>
        <v>#REF!</v>
      </c>
      <c r="AG323" s="752" t="e">
        <f>_xlfn.XLOOKUP(Table1[[#This Row],[Ruta]],#REF!,#REF!)</f>
        <v>#REF!</v>
      </c>
      <c r="AH323" s="52">
        <v>0.7176160383370358</v>
      </c>
      <c r="AI323" s="52">
        <v>0.28228974736509466</v>
      </c>
      <c r="AJ323" s="55">
        <v>9.4214297869518862E-5</v>
      </c>
      <c r="AK323" s="56">
        <v>30050</v>
      </c>
      <c r="AL323" s="44">
        <v>23838</v>
      </c>
      <c r="AM323" s="54">
        <v>0.73663893510815304</v>
      </c>
      <c r="AN323" s="55">
        <v>0.59299875749554298</v>
      </c>
      <c r="AO323" s="56">
        <v>0</v>
      </c>
      <c r="AP323" s="48">
        <v>0</v>
      </c>
      <c r="AQ323" s="55">
        <v>0.79327787021630614</v>
      </c>
      <c r="AR323" s="51">
        <v>4765280.4000000004</v>
      </c>
      <c r="AS323" s="49">
        <v>0</v>
      </c>
      <c r="AT323" s="55">
        <v>0</v>
      </c>
      <c r="AU323" s="51">
        <v>0</v>
      </c>
      <c r="AV323" s="52">
        <v>0</v>
      </c>
      <c r="AW323" s="44">
        <v>490</v>
      </c>
      <c r="AX323" s="51">
        <v>199.902693178958</v>
      </c>
      <c r="AY323" s="49">
        <v>323.84896749365402</v>
      </c>
      <c r="AZ323" s="49">
        <v>123.94627431469601</v>
      </c>
      <c r="BA323" s="42" t="s">
        <v>150</v>
      </c>
      <c r="BB323" s="50">
        <v>1038113.6954723897</v>
      </c>
      <c r="BC323" s="57">
        <v>1038113.6954723897</v>
      </c>
      <c r="BD323" s="42" t="s">
        <v>150</v>
      </c>
      <c r="BE323" s="46">
        <v>74.565756823821403</v>
      </c>
      <c r="BF323" s="46">
        <v>72.425990467051307</v>
      </c>
      <c r="BG323" s="42" t="s">
        <v>150</v>
      </c>
      <c r="BH323" s="52">
        <v>0.73663893510815304</v>
      </c>
      <c r="BI323" s="52">
        <v>0.49337264070319697</v>
      </c>
      <c r="BJ323" s="42" t="s">
        <v>150</v>
      </c>
      <c r="BK323" s="46">
        <v>565.36098486206799</v>
      </c>
      <c r="BL323" s="46">
        <v>605.59017138979505</v>
      </c>
      <c r="BM323" s="42" t="s">
        <v>152</v>
      </c>
      <c r="BN323" s="48">
        <v>2</v>
      </c>
      <c r="BO323" s="42" t="s">
        <v>161</v>
      </c>
      <c r="BP323" s="42" t="s">
        <v>152</v>
      </c>
      <c r="BQ323" s="46">
        <v>0</v>
      </c>
      <c r="BR323" s="46">
        <v>109</v>
      </c>
      <c r="BS323" s="46">
        <v>13068</v>
      </c>
      <c r="BT323" s="46">
        <v>3565</v>
      </c>
      <c r="BU323" s="46">
        <v>3.6656381486676017</v>
      </c>
      <c r="BV323" s="46">
        <v>32.706422018348626</v>
      </c>
      <c r="BW323" s="46">
        <v>0</v>
      </c>
      <c r="BX323" s="46">
        <v>510</v>
      </c>
      <c r="BY323" s="46">
        <v>510</v>
      </c>
      <c r="BZ323" s="46">
        <v>0.14305750350631136</v>
      </c>
      <c r="CA323" s="46">
        <v>0</v>
      </c>
      <c r="CB323" s="46">
        <v>0.14305750350631141</v>
      </c>
      <c r="CC323" s="46">
        <v>0.64684431977559609</v>
      </c>
      <c r="CD323" s="46">
        <v>4.4880785413744739E-2</v>
      </c>
      <c r="CE323" s="46">
        <v>0</v>
      </c>
      <c r="CF323" s="46">
        <v>0.16521739130434779</v>
      </c>
      <c r="CG323" s="46">
        <v>0</v>
      </c>
      <c r="CH323" s="46">
        <v>0</v>
      </c>
      <c r="CI323" s="46">
        <v>4.7444138353229262</v>
      </c>
      <c r="CJ323" s="46">
        <v>0.2295684113865932</v>
      </c>
      <c r="CK323">
        <v>388</v>
      </c>
      <c r="CL323">
        <v>388</v>
      </c>
      <c r="CM323">
        <f t="shared" si="35"/>
        <v>0</v>
      </c>
      <c r="CN323">
        <v>14.26</v>
      </c>
      <c r="CO323">
        <v>9.4499999999999993</v>
      </c>
      <c r="CP323">
        <f t="shared" si="36"/>
        <v>-4.8100000000000005</v>
      </c>
      <c r="CQ323">
        <v>846.56</v>
      </c>
      <c r="CR323">
        <v>565.36</v>
      </c>
      <c r="CS323">
        <f t="shared" si="37"/>
        <v>281.19999999999993</v>
      </c>
      <c r="CT323" t="s">
        <v>150</v>
      </c>
      <c r="CU323">
        <v>150.9</v>
      </c>
      <c r="CV323">
        <v>107</v>
      </c>
      <c r="CW323" s="46">
        <v>510</v>
      </c>
      <c r="CX323" s="46">
        <f t="shared" si="31"/>
        <v>14.305750350631136</v>
      </c>
      <c r="CY323" s="46">
        <v>0</v>
      </c>
      <c r="CZ323" s="46">
        <f t="shared" si="32"/>
        <v>14.305750350631136</v>
      </c>
      <c r="DA323" s="46">
        <f t="shared" si="33"/>
        <v>252.32879943899019</v>
      </c>
      <c r="DB323" s="46">
        <v>899552.17</v>
      </c>
      <c r="DC323" s="46">
        <f t="shared" si="34"/>
        <v>12.406081346423562</v>
      </c>
      <c r="DD323" s="46">
        <v>44227.68</v>
      </c>
      <c r="DE323" s="995">
        <v>510</v>
      </c>
      <c r="DF323" s="995">
        <v>14.305999999999999</v>
      </c>
      <c r="DG323" s="995">
        <v>0</v>
      </c>
      <c r="DH323" s="995">
        <v>14.305999999999999</v>
      </c>
      <c r="DI323" s="995">
        <v>1260.06</v>
      </c>
      <c r="DJ323" s="995">
        <v>4492114</v>
      </c>
      <c r="DK323" s="995">
        <v>62.143999999999998</v>
      </c>
      <c r="DL323" s="995">
        <v>221543.5</v>
      </c>
      <c r="DM323" s="995">
        <v>510</v>
      </c>
      <c r="DN323" s="995">
        <v>14.305999999999999</v>
      </c>
      <c r="DO323" s="995">
        <v>0</v>
      </c>
      <c r="DP323" s="995">
        <v>14.305999999999999</v>
      </c>
      <c r="DQ323" s="995">
        <v>1260.06</v>
      </c>
      <c r="DR323" s="995">
        <v>4492114</v>
      </c>
      <c r="DS323" s="995">
        <v>62.143999999999998</v>
      </c>
      <c r="DT323" s="995">
        <v>221543.5</v>
      </c>
    </row>
    <row r="324" spans="1:124">
      <c r="A324" s="42" t="s">
        <v>94</v>
      </c>
      <c r="B324" s="42" t="s">
        <v>510</v>
      </c>
      <c r="C324" s="42" t="s">
        <v>511</v>
      </c>
      <c r="D324" s="42">
        <v>810349</v>
      </c>
      <c r="E324" s="42" t="s">
        <v>538</v>
      </c>
      <c r="F324" s="42" t="s">
        <v>149</v>
      </c>
      <c r="G324" s="42" t="s">
        <v>150</v>
      </c>
      <c r="H324" s="43" t="s">
        <v>150</v>
      </c>
      <c r="I324" s="44">
        <v>37</v>
      </c>
      <c r="J324" s="45">
        <v>180202.46160000001</v>
      </c>
      <c r="K324" s="46">
        <v>8028.2499619999999</v>
      </c>
      <c r="L324" s="47">
        <v>188230.71156200001</v>
      </c>
      <c r="M324" s="48">
        <v>3502096</v>
      </c>
      <c r="N324" s="49">
        <v>2608630</v>
      </c>
      <c r="O324" s="49">
        <v>893442</v>
      </c>
      <c r="P324" s="49">
        <v>24</v>
      </c>
      <c r="Q324" s="50">
        <v>7998.4198630136998</v>
      </c>
      <c r="R324" s="51">
        <v>19019.595825971701</v>
      </c>
      <c r="S324" s="49">
        <v>33024.392916467499</v>
      </c>
      <c r="T324" s="49">
        <v>5153.20904220803</v>
      </c>
      <c r="U324" s="49">
        <f>IFERROR(INDEX('Rentabilidad datos'!$N$2:$N$61,MATCH($C324,'Rentabilidad datos'!$C$2:$C$61,0)),"")</f>
        <v>57197.197784647178</v>
      </c>
      <c r="V324" s="50">
        <f>IFERROR(INDEX('Rentabilidad datos'!$O$2:$O$61,MATCH($C324,'Rentabilidad datos'!$C$2:$C$61,0)),"")</f>
        <v>1545.8702103958697</v>
      </c>
      <c r="W324" s="51">
        <f>IFERROR(INDEX('Rentabilidad datos'!$M$2:$M$61,MATCH($C324,'Rentabilidad datos'!$C$2:$C$61,0)),"")</f>
        <v>2982.1586443005776</v>
      </c>
      <c r="X324" s="52">
        <f>IFERROR(INDEX('Rentabilidad datos'!$P$2:$P$61,MATCH($C324,'Rentabilidad datos'!$C$2:$C$61,0)),"")</f>
        <v>0.51837289520136554</v>
      </c>
      <c r="Y324" s="43" t="s">
        <v>211</v>
      </c>
      <c r="Z324" s="53">
        <v>79.421182266009893</v>
      </c>
      <c r="AA324" s="43">
        <v>2</v>
      </c>
      <c r="AB324" s="54">
        <v>0.96270690466509201</v>
      </c>
      <c r="AC324" s="55">
        <v>3.7293095334908009E-2</v>
      </c>
      <c r="AD324" s="752" t="e">
        <f>_xlfn.XLOOKUP(Table1[[#This Row],[Ruta]],#REF!,#REF!)</f>
        <v>#REF!</v>
      </c>
      <c r="AE324" s="752" t="e">
        <f>_xlfn.XLOOKUP(Table1[[#This Row],[Ruta]],#REF!,#REF!)</f>
        <v>#REF!</v>
      </c>
      <c r="AF324" s="752" t="e">
        <f>_xlfn.XLOOKUP(Table1[[#This Row],[Ruta]],#REF!,#REF!)</f>
        <v>#REF!</v>
      </c>
      <c r="AG324" s="752" t="e">
        <f>_xlfn.XLOOKUP(Table1[[#This Row],[Ruta]],#REF!,#REF!)</f>
        <v>#REF!</v>
      </c>
      <c r="AH324" s="52">
        <v>0.7448767823611917</v>
      </c>
      <c r="AI324" s="52">
        <v>0.25511636459994241</v>
      </c>
      <c r="AJ324" s="55">
        <v>6.8530388658677549E-6</v>
      </c>
      <c r="AK324" s="56">
        <v>32245</v>
      </c>
      <c r="AL324" s="44">
        <v>16637</v>
      </c>
      <c r="AM324" s="54">
        <v>0.48078771902620598</v>
      </c>
      <c r="AN324" s="55">
        <v>0.59299875749554298</v>
      </c>
      <c r="AO324" s="56">
        <v>3618.2449354437899</v>
      </c>
      <c r="AP324" s="48">
        <v>1809.122467721895</v>
      </c>
      <c r="AQ324" s="55">
        <v>0.57206148139934554</v>
      </c>
      <c r="AR324" s="51">
        <v>3503307.9</v>
      </c>
      <c r="AS324" s="49">
        <v>380952.87811730552</v>
      </c>
      <c r="AT324" s="55">
        <v>0.10874090687755579</v>
      </c>
      <c r="AU324" s="51">
        <v>267696.617055404</v>
      </c>
      <c r="AV324" s="52">
        <v>1.2177772438166042E-3</v>
      </c>
      <c r="AW324" s="44">
        <v>268</v>
      </c>
      <c r="AX324" s="51">
        <v>210.57329446414599</v>
      </c>
      <c r="AY324" s="49">
        <v>323.84896749365402</v>
      </c>
      <c r="AZ324" s="49">
        <v>113.27567302950803</v>
      </c>
      <c r="BA324" s="42" t="s">
        <v>150</v>
      </c>
      <c r="BB324" s="50">
        <v>662145.29293229827</v>
      </c>
      <c r="BC324" s="57">
        <v>929841.90998770227</v>
      </c>
      <c r="BD324" s="42" t="s">
        <v>150</v>
      </c>
      <c r="BE324" s="46">
        <v>79.421182266009893</v>
      </c>
      <c r="BF324" s="46">
        <v>72.425990467051307</v>
      </c>
      <c r="BG324" s="42" t="s">
        <v>150</v>
      </c>
      <c r="BH324" s="52">
        <v>0.48078771902620598</v>
      </c>
      <c r="BI324" s="52">
        <v>0.49337264070319697</v>
      </c>
      <c r="BJ324" s="42" t="s">
        <v>152</v>
      </c>
      <c r="BK324" s="46">
        <v>429.75048301826399</v>
      </c>
      <c r="BL324" s="46">
        <v>605.59017138979505</v>
      </c>
      <c r="BM324" s="42" t="s">
        <v>152</v>
      </c>
      <c r="BN324" s="48">
        <v>1</v>
      </c>
      <c r="BO324" s="42" t="s">
        <v>155</v>
      </c>
      <c r="BP324" s="42" t="s">
        <v>152</v>
      </c>
      <c r="BQ324" s="46">
        <v>3792.99449199329</v>
      </c>
      <c r="BR324" s="46">
        <v>223</v>
      </c>
      <c r="BS324" s="46">
        <v>24460</v>
      </c>
      <c r="BT324" s="46">
        <v>5966</v>
      </c>
      <c r="BU324" s="46">
        <v>4.099899430103922</v>
      </c>
      <c r="BV324" s="46">
        <v>26.753363228699552</v>
      </c>
      <c r="BW324" s="46">
        <v>0</v>
      </c>
      <c r="BX324" s="46">
        <v>65</v>
      </c>
      <c r="BY324" s="46">
        <v>65</v>
      </c>
      <c r="BZ324" s="46">
        <v>1.089507207509219E-2</v>
      </c>
      <c r="CA324" s="46">
        <v>0</v>
      </c>
      <c r="CB324" s="46">
        <v>1.089507207509219E-2</v>
      </c>
      <c r="CC324" s="46">
        <v>0.27204156889037878</v>
      </c>
      <c r="CD324" s="46">
        <v>9.5876634260811264E-2</v>
      </c>
      <c r="CE324" s="46">
        <v>0</v>
      </c>
      <c r="CF324" s="46">
        <v>0.62118672477371772</v>
      </c>
      <c r="CG324" s="46">
        <v>0</v>
      </c>
      <c r="CH324" s="46">
        <v>0</v>
      </c>
      <c r="CI324" s="46">
        <v>5.6827473426001633</v>
      </c>
      <c r="CJ324" s="46">
        <v>0.28618152085036791</v>
      </c>
      <c r="CK324">
        <v>304</v>
      </c>
      <c r="CL324">
        <v>326.39</v>
      </c>
      <c r="CM324">
        <f t="shared" si="35"/>
        <v>22.389999999999986</v>
      </c>
      <c r="CN324">
        <v>3.54</v>
      </c>
      <c r="CO324">
        <v>9.4499999999999993</v>
      </c>
      <c r="CP324">
        <f t="shared" si="36"/>
        <v>5.9099999999999993</v>
      </c>
      <c r="CQ324">
        <v>564.37</v>
      </c>
      <c r="CR324">
        <v>429.75</v>
      </c>
      <c r="CS324">
        <f t="shared" si="37"/>
        <v>134.62</v>
      </c>
      <c r="CT324" t="s">
        <v>152</v>
      </c>
      <c r="CU324">
        <v>76.150000000000006</v>
      </c>
      <c r="CV324">
        <v>7</v>
      </c>
      <c r="CW324" s="46">
        <v>65</v>
      </c>
      <c r="CX324" s="46">
        <f t="shared" si="31"/>
        <v>0.71421387864565877</v>
      </c>
      <c r="CY324" s="46">
        <v>22.39</v>
      </c>
      <c r="CZ324" s="46">
        <f t="shared" si="32"/>
        <v>1.0895072075092189</v>
      </c>
      <c r="DA324" s="46">
        <f t="shared" si="33"/>
        <v>91.22792937667721</v>
      </c>
      <c r="DB324" s="46">
        <v>546308.42000000004</v>
      </c>
      <c r="DC324" s="46">
        <f t="shared" si="34"/>
        <v>4.6537115986099771</v>
      </c>
      <c r="DD324" s="46">
        <v>27868.240000000002</v>
      </c>
      <c r="DE324" s="995">
        <v>65</v>
      </c>
      <c r="DF324" s="995">
        <v>0.73499999999999999</v>
      </c>
      <c r="DG324" s="995">
        <v>21.1</v>
      </c>
      <c r="DH324" s="995">
        <v>1.0900000000000001</v>
      </c>
      <c r="DI324" s="995">
        <v>507.30700000000002</v>
      </c>
      <c r="DJ324" s="995">
        <v>3037324</v>
      </c>
      <c r="DK324" s="995">
        <v>25.997</v>
      </c>
      <c r="DL324" s="995">
        <v>155648.70000000001</v>
      </c>
      <c r="DM324" s="995">
        <v>65</v>
      </c>
      <c r="DN324" s="995">
        <v>0.79800000000000004</v>
      </c>
      <c r="DO324" s="995">
        <v>17.399999999999999</v>
      </c>
      <c r="DP324" s="995">
        <v>1.0900000000000001</v>
      </c>
      <c r="DQ324" s="995">
        <v>500.76900000000001</v>
      </c>
      <c r="DR324" s="995">
        <v>2996309</v>
      </c>
      <c r="DS324" s="995">
        <v>25.664000000000001</v>
      </c>
      <c r="DT324" s="995">
        <v>153556.5</v>
      </c>
    </row>
    <row r="325" spans="1:124">
      <c r="A325" s="42" t="s">
        <v>94</v>
      </c>
      <c r="B325" s="42" t="s">
        <v>510</v>
      </c>
      <c r="C325" s="42" t="s">
        <v>511</v>
      </c>
      <c r="D325" s="42">
        <v>810350</v>
      </c>
      <c r="E325" s="42" t="s">
        <v>539</v>
      </c>
      <c r="F325" s="42" t="s">
        <v>149</v>
      </c>
      <c r="G325" s="42" t="s">
        <v>150</v>
      </c>
      <c r="H325" s="43" t="s">
        <v>150</v>
      </c>
      <c r="I325" s="44">
        <v>37</v>
      </c>
      <c r="J325" s="45">
        <v>286050.58159999899</v>
      </c>
      <c r="K325" s="46">
        <v>16311.857398</v>
      </c>
      <c r="L325" s="47">
        <v>302362.43899799901</v>
      </c>
      <c r="M325" s="48">
        <v>6206134</v>
      </c>
      <c r="N325" s="49">
        <v>4136736</v>
      </c>
      <c r="O325" s="49">
        <v>2068335</v>
      </c>
      <c r="P325" s="49">
        <v>1063</v>
      </c>
      <c r="Q325" s="50">
        <v>14070.4584807256</v>
      </c>
      <c r="R325" s="51">
        <v>19019.595825971701</v>
      </c>
      <c r="S325" s="49">
        <v>33024.392916467499</v>
      </c>
      <c r="T325" s="49">
        <v>5153.20904220803</v>
      </c>
      <c r="U325" s="49">
        <f>IFERROR(INDEX('Rentabilidad datos'!$N$2:$N$61,MATCH($C325,'Rentabilidad datos'!$C$2:$C$61,0)),"")</f>
        <v>57197.197784647178</v>
      </c>
      <c r="V325" s="50">
        <f>IFERROR(INDEX('Rentabilidad datos'!$O$2:$O$61,MATCH($C325,'Rentabilidad datos'!$C$2:$C$61,0)),"")</f>
        <v>1545.8702103958697</v>
      </c>
      <c r="W325" s="51">
        <f>IFERROR(INDEX('Rentabilidad datos'!$M$2:$M$61,MATCH($C325,'Rentabilidad datos'!$C$2:$C$61,0)),"")</f>
        <v>2982.1586443005776</v>
      </c>
      <c r="X325" s="52">
        <f>IFERROR(INDEX('Rentabilidad datos'!$P$2:$P$61,MATCH($C325,'Rentabilidad datos'!$C$2:$C$61,0)),"")</f>
        <v>0.51837289520136554</v>
      </c>
      <c r="Y325" s="43" t="s">
        <v>211</v>
      </c>
      <c r="Z325" s="53">
        <v>115.946078431373</v>
      </c>
      <c r="AA325" s="43">
        <v>2</v>
      </c>
      <c r="AB325" s="54">
        <v>0.98867813682398742</v>
      </c>
      <c r="AC325" s="55">
        <v>1.1321863176012635E-2</v>
      </c>
      <c r="AD325" s="752" t="e">
        <f>_xlfn.XLOOKUP(Table1[[#This Row],[Ruta]],#REF!,#REF!)</f>
        <v>#REF!</v>
      </c>
      <c r="AE325" s="752" t="e">
        <f>_xlfn.XLOOKUP(Table1[[#This Row],[Ruta]],#REF!,#REF!)</f>
        <v>#REF!</v>
      </c>
      <c r="AF325" s="752" t="e">
        <f>_xlfn.XLOOKUP(Table1[[#This Row],[Ruta]],#REF!,#REF!)</f>
        <v>#REF!</v>
      </c>
      <c r="AG325" s="752" t="e">
        <f>_xlfn.XLOOKUP(Table1[[#This Row],[Ruta]],#REF!,#REF!)</f>
        <v>#REF!</v>
      </c>
      <c r="AH325" s="52">
        <v>0.66655602344390241</v>
      </c>
      <c r="AI325" s="52">
        <v>0.33327269440202228</v>
      </c>
      <c r="AJ325" s="55">
        <v>1.712821540753068E-4</v>
      </c>
      <c r="AK325" s="56">
        <v>47306</v>
      </c>
      <c r="AL325" s="44">
        <v>28998</v>
      </c>
      <c r="AM325" s="54">
        <v>0.56185261911808204</v>
      </c>
      <c r="AN325" s="55">
        <v>0.59299875749554298</v>
      </c>
      <c r="AO325" s="56">
        <v>1473.3992220841701</v>
      </c>
      <c r="AP325" s="48">
        <v>736.69961104208505</v>
      </c>
      <c r="AQ325" s="55">
        <v>0.62856085086547342</v>
      </c>
      <c r="AR325" s="51">
        <v>6205072.1900000004</v>
      </c>
      <c r="AS325" s="49">
        <v>157641.01899651901</v>
      </c>
      <c r="AT325" s="55">
        <v>2.540518694537847E-2</v>
      </c>
      <c r="AU325" s="51">
        <v>110774.77010566204</v>
      </c>
      <c r="AV325" s="52">
        <v>5.0392491211710623E-4</v>
      </c>
      <c r="AW325" s="44">
        <v>388</v>
      </c>
      <c r="AX325" s="51">
        <v>213.982763983723</v>
      </c>
      <c r="AY325" s="49">
        <v>323.84896749365402</v>
      </c>
      <c r="AZ325" s="49">
        <v>109.86620350993101</v>
      </c>
      <c r="BA325" s="42" t="s">
        <v>150</v>
      </c>
      <c r="BB325" s="50">
        <v>1119370.3297825067</v>
      </c>
      <c r="BC325" s="57">
        <v>1230145.0998881687</v>
      </c>
      <c r="BD325" s="42" t="s">
        <v>150</v>
      </c>
      <c r="BE325" s="46">
        <v>115.946078431373</v>
      </c>
      <c r="BF325" s="46">
        <v>72.425990467051307</v>
      </c>
      <c r="BG325" s="42" t="s">
        <v>150</v>
      </c>
      <c r="BH325" s="52">
        <v>0.56185261911808204</v>
      </c>
      <c r="BI325" s="52">
        <v>0.49337264070319697</v>
      </c>
      <c r="BJ325" s="42" t="s">
        <v>150</v>
      </c>
      <c r="BK325" s="46">
        <v>685.62911337414698</v>
      </c>
      <c r="BL325" s="46">
        <v>605.59017138979505</v>
      </c>
      <c r="BM325" s="42" t="s">
        <v>150</v>
      </c>
      <c r="BN325" s="48">
        <v>3</v>
      </c>
      <c r="BO325" s="42" t="s">
        <v>153</v>
      </c>
      <c r="BP325" s="42" t="s">
        <v>150</v>
      </c>
      <c r="BQ325" s="46">
        <v>0</v>
      </c>
      <c r="BR325" s="46">
        <v>152</v>
      </c>
      <c r="BS325" s="46">
        <v>16331</v>
      </c>
      <c r="BT325" s="46">
        <v>4726</v>
      </c>
      <c r="BU325" s="46">
        <v>3.4555649597968685</v>
      </c>
      <c r="BV325" s="46">
        <v>31.092105263157894</v>
      </c>
      <c r="BW325" s="46">
        <v>0</v>
      </c>
      <c r="BX325" s="46">
        <v>1098</v>
      </c>
      <c r="BY325" s="46">
        <v>1098</v>
      </c>
      <c r="BZ325" s="46">
        <v>0.23233178163351673</v>
      </c>
      <c r="CA325" s="46">
        <v>0</v>
      </c>
      <c r="CB325" s="46">
        <v>0.23233178163351673</v>
      </c>
      <c r="CC325" s="46">
        <v>0.2482014388489209</v>
      </c>
      <c r="CD325" s="46">
        <v>0</v>
      </c>
      <c r="CE325" s="46">
        <v>0</v>
      </c>
      <c r="CF325" s="46">
        <v>0.51946677951756237</v>
      </c>
      <c r="CG325" s="46">
        <v>0</v>
      </c>
      <c r="CH325" s="46">
        <v>0</v>
      </c>
      <c r="CI325" s="46">
        <v>4.2250933806870368</v>
      </c>
      <c r="CJ325" s="46">
        <v>0.1836997122037842</v>
      </c>
      <c r="CK325">
        <v>436</v>
      </c>
      <c r="CL325">
        <v>459.46</v>
      </c>
      <c r="CM325">
        <f t="shared" si="35"/>
        <v>23.45999999999998</v>
      </c>
      <c r="CN325">
        <v>12.45</v>
      </c>
      <c r="CO325">
        <v>9.4499999999999993</v>
      </c>
      <c r="CP325">
        <f t="shared" si="36"/>
        <v>-3</v>
      </c>
      <c r="CQ325">
        <v>846.56</v>
      </c>
      <c r="CR325">
        <v>685.63</v>
      </c>
      <c r="CS325">
        <f t="shared" si="37"/>
        <v>160.92999999999995</v>
      </c>
      <c r="CT325" t="s">
        <v>150</v>
      </c>
      <c r="CU325">
        <v>132.25</v>
      </c>
      <c r="CV325">
        <v>146</v>
      </c>
      <c r="CW325" s="46">
        <v>1098</v>
      </c>
      <c r="CX325" s="46">
        <f t="shared" si="31"/>
        <v>22.736775285653827</v>
      </c>
      <c r="CY325" s="46">
        <v>23.46</v>
      </c>
      <c r="CZ325" s="46">
        <f t="shared" si="32"/>
        <v>23.233178163351674</v>
      </c>
      <c r="DA325" s="46">
        <f t="shared" si="33"/>
        <v>312.92093206385567</v>
      </c>
      <c r="DB325" s="46">
        <v>1486205.45</v>
      </c>
      <c r="DC325" s="46">
        <f t="shared" si="34"/>
        <v>14.623361392663588</v>
      </c>
      <c r="DD325" s="46">
        <v>69453.070000000007</v>
      </c>
      <c r="DE325" s="995">
        <v>1098</v>
      </c>
      <c r="DF325" s="995">
        <v>22.744</v>
      </c>
      <c r="DG325" s="995">
        <v>23.1</v>
      </c>
      <c r="DH325" s="995">
        <v>23.233000000000001</v>
      </c>
      <c r="DI325" s="995">
        <v>1232.1669999999999</v>
      </c>
      <c r="DJ325" s="995">
        <v>5851726</v>
      </c>
      <c r="DK325" s="995">
        <v>58.66</v>
      </c>
      <c r="DL325" s="995">
        <v>278583.8</v>
      </c>
      <c r="DM325" s="995">
        <v>1098</v>
      </c>
      <c r="DN325" s="995">
        <v>22.83</v>
      </c>
      <c r="DO325" s="995">
        <v>19.100000000000001</v>
      </c>
      <c r="DP325" s="995">
        <v>23.233000000000001</v>
      </c>
      <c r="DQ325" s="995">
        <v>1223.4469999999999</v>
      </c>
      <c r="DR325" s="995">
        <v>5805316</v>
      </c>
      <c r="DS325" s="995">
        <v>58.228000000000002</v>
      </c>
      <c r="DT325" s="995">
        <v>276295.09999999998</v>
      </c>
    </row>
    <row r="326" spans="1:124">
      <c r="A326" s="42" t="s">
        <v>94</v>
      </c>
      <c r="B326" s="42" t="s">
        <v>510</v>
      </c>
      <c r="C326" s="42" t="s">
        <v>511</v>
      </c>
      <c r="D326" s="42">
        <v>810351</v>
      </c>
      <c r="E326" s="42" t="s">
        <v>540</v>
      </c>
      <c r="F326" s="42" t="s">
        <v>149</v>
      </c>
      <c r="G326" s="42" t="s">
        <v>150</v>
      </c>
      <c r="H326" s="43" t="s">
        <v>150</v>
      </c>
      <c r="I326" s="44">
        <v>37</v>
      </c>
      <c r="J326" s="45">
        <v>186859.79759999999</v>
      </c>
      <c r="K326" s="46">
        <v>8762.3174280000003</v>
      </c>
      <c r="L326" s="47">
        <v>195622.115028</v>
      </c>
      <c r="M326" s="48">
        <v>3955342</v>
      </c>
      <c r="N326" s="49">
        <v>2715591</v>
      </c>
      <c r="O326" s="49">
        <v>1239577</v>
      </c>
      <c r="P326" s="49">
        <v>174</v>
      </c>
      <c r="Q326" s="50">
        <v>9113.2890322580606</v>
      </c>
      <c r="R326" s="51">
        <v>19019.595825971701</v>
      </c>
      <c r="S326" s="49">
        <v>33024.392916467499</v>
      </c>
      <c r="T326" s="49">
        <v>5153.20904220803</v>
      </c>
      <c r="U326" s="49">
        <f>IFERROR(INDEX('Rentabilidad datos'!$N$2:$N$61,MATCH($C326,'Rentabilidad datos'!$C$2:$C$61,0)),"")</f>
        <v>57197.197784647178</v>
      </c>
      <c r="V326" s="50">
        <f>IFERROR(INDEX('Rentabilidad datos'!$O$2:$O$61,MATCH($C326,'Rentabilidad datos'!$C$2:$C$61,0)),"")</f>
        <v>1545.8702103958697</v>
      </c>
      <c r="W326" s="51">
        <f>IFERROR(INDEX('Rentabilidad datos'!$M$2:$M$61,MATCH($C326,'Rentabilidad datos'!$C$2:$C$61,0)),"")</f>
        <v>2982.1586443005776</v>
      </c>
      <c r="X326" s="52">
        <f>IFERROR(INDEX('Rentabilidad datos'!$P$2:$P$61,MATCH($C326,'Rentabilidad datos'!$C$2:$C$61,0)),"")</f>
        <v>0.51837289520136554</v>
      </c>
      <c r="Y326" s="43" t="s">
        <v>211</v>
      </c>
      <c r="Z326" s="53">
        <v>37.6965174129353</v>
      </c>
      <c r="AA326" s="43">
        <v>2</v>
      </c>
      <c r="AB326" s="54">
        <v>0.95265693838863996</v>
      </c>
      <c r="AC326" s="55">
        <v>4.7343061611360031E-2</v>
      </c>
      <c r="AD326" s="752" t="e">
        <f>_xlfn.XLOOKUP(Table1[[#This Row],[Ruta]],#REF!,#REF!)</f>
        <v>#REF!</v>
      </c>
      <c r="AE326" s="752" t="e">
        <f>_xlfn.XLOOKUP(Table1[[#This Row],[Ruta]],#REF!,#REF!)</f>
        <v>#REF!</v>
      </c>
      <c r="AF326" s="752" t="e">
        <f>_xlfn.XLOOKUP(Table1[[#This Row],[Ruta]],#REF!,#REF!)</f>
        <v>#REF!</v>
      </c>
      <c r="AG326" s="752" t="e">
        <f>_xlfn.XLOOKUP(Table1[[#This Row],[Ruta]],#REF!,#REF!)</f>
        <v>#REF!</v>
      </c>
      <c r="AH326" s="52">
        <v>0.68656288128814147</v>
      </c>
      <c r="AI326" s="52">
        <v>0.31339312757278637</v>
      </c>
      <c r="AJ326" s="55">
        <v>4.3991139072171259E-5</v>
      </c>
      <c r="AK326" s="56">
        <v>15154</v>
      </c>
      <c r="AL326" s="44">
        <v>12213</v>
      </c>
      <c r="AM326" s="54">
        <v>0.75386036689982805</v>
      </c>
      <c r="AN326" s="55">
        <v>0.59299875749554298</v>
      </c>
      <c r="AO326" s="56">
        <v>0</v>
      </c>
      <c r="AP326" s="48">
        <v>0</v>
      </c>
      <c r="AQ326" s="55">
        <v>0.80592582816418112</v>
      </c>
      <c r="AR326" s="51">
        <v>3955167.44</v>
      </c>
      <c r="AS326" s="49">
        <v>0</v>
      </c>
      <c r="AT326" s="55">
        <v>0</v>
      </c>
      <c r="AU326" s="51">
        <v>0</v>
      </c>
      <c r="AV326" s="52">
        <v>0</v>
      </c>
      <c r="AW326" s="44">
        <v>490</v>
      </c>
      <c r="AX326" s="51">
        <v>323.84896749365402</v>
      </c>
      <c r="AY326" s="49">
        <v>323.84896749365402</v>
      </c>
      <c r="AZ326" s="49">
        <v>0</v>
      </c>
      <c r="BA326" s="42" t="s">
        <v>152</v>
      </c>
      <c r="BB326" s="50">
        <v>0</v>
      </c>
      <c r="BC326" s="57">
        <v>0</v>
      </c>
      <c r="BD326" s="42" t="s">
        <v>150</v>
      </c>
      <c r="BE326" s="46">
        <v>37.6965174129353</v>
      </c>
      <c r="BF326" s="46">
        <v>72.425990467051307</v>
      </c>
      <c r="BG326" s="42" t="s">
        <v>152</v>
      </c>
      <c r="BH326" s="52">
        <v>0.75386036689982805</v>
      </c>
      <c r="BI326" s="52">
        <v>0.49337264070319697</v>
      </c>
      <c r="BJ326" s="42" t="s">
        <v>150</v>
      </c>
      <c r="BK326" s="46">
        <v>450.74220052534503</v>
      </c>
      <c r="BL326" s="46">
        <v>605.59017138979505</v>
      </c>
      <c r="BM326" s="42" t="s">
        <v>152</v>
      </c>
      <c r="BN326" s="48">
        <v>1</v>
      </c>
      <c r="BO326" s="42" t="s">
        <v>155</v>
      </c>
      <c r="BP326" s="42" t="s">
        <v>152</v>
      </c>
      <c r="BQ326" s="46">
        <v>6054.7635414832603</v>
      </c>
      <c r="BR326" s="46">
        <v>836</v>
      </c>
      <c r="BS326" s="46">
        <v>69425</v>
      </c>
      <c r="BT326" s="46">
        <v>16747</v>
      </c>
      <c r="BU326" s="46">
        <v>4.1455186003463309</v>
      </c>
      <c r="BV326" s="46">
        <v>20.032296650717704</v>
      </c>
      <c r="BW326" s="46">
        <v>213</v>
      </c>
      <c r="BX326" s="46">
        <v>35</v>
      </c>
      <c r="BY326" s="46">
        <v>248</v>
      </c>
      <c r="BZ326" s="46">
        <v>1.4808622439839972E-2</v>
      </c>
      <c r="CA326" s="46">
        <v>1.27186958858303E-2</v>
      </c>
      <c r="CB326" s="46">
        <v>2.089926554009673E-3</v>
      </c>
      <c r="CC326" s="46">
        <v>1.7734519615453519E-2</v>
      </c>
      <c r="CD326" s="46">
        <v>0</v>
      </c>
      <c r="CE326" s="46">
        <v>0</v>
      </c>
      <c r="CF326" s="46">
        <v>0.96745685794470648</v>
      </c>
      <c r="CG326" s="46">
        <v>0</v>
      </c>
      <c r="CH326" s="46">
        <v>0</v>
      </c>
      <c r="CI326" s="46">
        <v>5.9488656823910686</v>
      </c>
      <c r="CJ326" s="46">
        <v>0.144040331292762</v>
      </c>
      <c r="CK326">
        <v>340</v>
      </c>
      <c r="CL326">
        <v>369.86</v>
      </c>
      <c r="CM326">
        <f t="shared" si="35"/>
        <v>29.860000000000014</v>
      </c>
      <c r="CN326">
        <v>12.47</v>
      </c>
      <c r="CO326">
        <v>9.4499999999999993</v>
      </c>
      <c r="CP326">
        <f t="shared" si="36"/>
        <v>-3.0200000000000014</v>
      </c>
      <c r="CQ326">
        <v>846.56</v>
      </c>
      <c r="CR326">
        <v>450.74</v>
      </c>
      <c r="CS326">
        <f t="shared" si="37"/>
        <v>395.81999999999994</v>
      </c>
      <c r="CT326" t="s">
        <v>150</v>
      </c>
      <c r="CU326">
        <v>131.96</v>
      </c>
      <c r="CV326">
        <v>38</v>
      </c>
      <c r="CW326" s="46">
        <v>248</v>
      </c>
      <c r="CX326" s="46">
        <f t="shared" ref="CX326:CX389" si="38">((CW326-CY326)/BT326)*100</f>
        <v>1.3025616528333432</v>
      </c>
      <c r="CY326" s="46">
        <v>29.86</v>
      </c>
      <c r="CZ326" s="46">
        <f t="shared" ref="CZ326:CZ389" si="39">((CW326)/BT326)*100</f>
        <v>1.4808622439839971</v>
      </c>
      <c r="DA326" s="46">
        <f t="shared" ref="DA326:DA389" si="40">DB326/(CY326+BT326)</f>
        <v>68.906419914095963</v>
      </c>
      <c r="DB326" s="46">
        <v>1156033.3600000001</v>
      </c>
      <c r="DC326" s="46">
        <f t="shared" ref="DC326:DC389" si="41">DD326/(CY326+BT326)</f>
        <v>3.1305923754504716</v>
      </c>
      <c r="DD326" s="46">
        <v>52521.51</v>
      </c>
      <c r="DE326" s="995">
        <v>248</v>
      </c>
      <c r="DF326" s="995">
        <v>1.3120000000000001</v>
      </c>
      <c r="DG326" s="995">
        <v>28.2</v>
      </c>
      <c r="DH326" s="995">
        <v>1.4810000000000001</v>
      </c>
      <c r="DI326" s="995">
        <v>261.024</v>
      </c>
      <c r="DJ326" s="995">
        <v>4378731</v>
      </c>
      <c r="DK326" s="995">
        <v>12.05</v>
      </c>
      <c r="DL326" s="995">
        <v>202148.3</v>
      </c>
      <c r="DM326" s="995">
        <v>248</v>
      </c>
      <c r="DN326" s="995">
        <v>1.3420000000000001</v>
      </c>
      <c r="DO326" s="995">
        <v>23.2</v>
      </c>
      <c r="DP326" s="995">
        <v>1.4810000000000001</v>
      </c>
      <c r="DQ326" s="995">
        <v>258.12700000000001</v>
      </c>
      <c r="DR326" s="995">
        <v>4328845</v>
      </c>
      <c r="DS326" s="995">
        <v>11.917999999999999</v>
      </c>
      <c r="DT326" s="995">
        <v>199867.2</v>
      </c>
    </row>
    <row r="327" spans="1:124">
      <c r="A327" s="42" t="s">
        <v>94</v>
      </c>
      <c r="B327" s="42" t="s">
        <v>510</v>
      </c>
      <c r="C327" s="42" t="s">
        <v>511</v>
      </c>
      <c r="D327" s="42">
        <v>810352</v>
      </c>
      <c r="E327" s="42" t="s">
        <v>541</v>
      </c>
      <c r="F327" s="42" t="s">
        <v>149</v>
      </c>
      <c r="G327" s="42" t="s">
        <v>150</v>
      </c>
      <c r="H327" s="43" t="s">
        <v>150</v>
      </c>
      <c r="I327" s="44">
        <v>37</v>
      </c>
      <c r="J327" s="45">
        <v>149923.9112</v>
      </c>
      <c r="K327" s="46">
        <v>9199.5996950000008</v>
      </c>
      <c r="L327" s="47">
        <v>159123.51089500001</v>
      </c>
      <c r="M327" s="48">
        <v>3279435</v>
      </c>
      <c r="N327" s="49">
        <v>2179017</v>
      </c>
      <c r="O327" s="49">
        <v>1100418</v>
      </c>
      <c r="P327" s="49">
        <v>0</v>
      </c>
      <c r="Q327" s="50">
        <v>7573.7482678983797</v>
      </c>
      <c r="R327" s="51">
        <v>19019.595825971701</v>
      </c>
      <c r="S327" s="49">
        <v>33024.392916467499</v>
      </c>
      <c r="T327" s="49">
        <v>5153.20904220803</v>
      </c>
      <c r="U327" s="49">
        <f>IFERROR(INDEX('Rentabilidad datos'!$N$2:$N$61,MATCH($C327,'Rentabilidad datos'!$C$2:$C$61,0)),"")</f>
        <v>57197.197784647178</v>
      </c>
      <c r="V327" s="50">
        <f>IFERROR(INDEX('Rentabilidad datos'!$O$2:$O$61,MATCH($C327,'Rentabilidad datos'!$C$2:$C$61,0)),"")</f>
        <v>1545.8702103958697</v>
      </c>
      <c r="W327" s="51">
        <f>IFERROR(INDEX('Rentabilidad datos'!$M$2:$M$61,MATCH($C327,'Rentabilidad datos'!$C$2:$C$61,0)),"")</f>
        <v>2982.1586443005776</v>
      </c>
      <c r="X327" s="52">
        <f>IFERROR(INDEX('Rentabilidad datos'!$P$2:$P$61,MATCH($C327,'Rentabilidad datos'!$C$2:$C$61,0)),"")</f>
        <v>0.51837289520136554</v>
      </c>
      <c r="Y327" s="43" t="s">
        <v>211</v>
      </c>
      <c r="Z327" s="53">
        <v>36.685785536159599</v>
      </c>
      <c r="AA327" s="43">
        <v>2</v>
      </c>
      <c r="AB327" s="54">
        <v>0.97184423536371356</v>
      </c>
      <c r="AC327" s="55">
        <v>2.8155764636286433E-2</v>
      </c>
      <c r="AD327" s="752" t="e">
        <f>_xlfn.XLOOKUP(Table1[[#This Row],[Ruta]],#REF!,#REF!)</f>
        <v>#REF!</v>
      </c>
      <c r="AE327" s="752" t="e">
        <f>_xlfn.XLOOKUP(Table1[[#This Row],[Ruta]],#REF!,#REF!)</f>
        <v>#REF!</v>
      </c>
      <c r="AF327" s="752" t="e">
        <f>_xlfn.XLOOKUP(Table1[[#This Row],[Ruta]],#REF!,#REF!)</f>
        <v>#REF!</v>
      </c>
      <c r="AG327" s="752" t="e">
        <f>_xlfn.XLOOKUP(Table1[[#This Row],[Ruta]],#REF!,#REF!)</f>
        <v>#REF!</v>
      </c>
      <c r="AH327" s="52">
        <v>0.66444890659519096</v>
      </c>
      <c r="AI327" s="52">
        <v>0.33555109340480904</v>
      </c>
      <c r="AJ327" s="55">
        <v>0</v>
      </c>
      <c r="AK327" s="56">
        <v>14711</v>
      </c>
      <c r="AL327" s="44">
        <v>6781</v>
      </c>
      <c r="AM327" s="54">
        <v>0.44164230847664998</v>
      </c>
      <c r="AN327" s="55">
        <v>0.59299875749554298</v>
      </c>
      <c r="AO327" s="56">
        <v>2226.6047215169401</v>
      </c>
      <c r="AP327" s="48">
        <v>1113.3023607584701</v>
      </c>
      <c r="AQ327" s="55">
        <v>0.53662581474804361</v>
      </c>
      <c r="AR327" s="51">
        <v>3279433</v>
      </c>
      <c r="AS327" s="49">
        <v>538416.23666852002</v>
      </c>
      <c r="AT327" s="55">
        <v>0.16417967272651096</v>
      </c>
      <c r="AU327" s="51">
        <v>378346.54468598717</v>
      </c>
      <c r="AV327" s="52">
        <v>1.7211342357004065E-3</v>
      </c>
      <c r="AW327" s="44">
        <v>200</v>
      </c>
      <c r="AX327" s="51">
        <v>483.62085238165503</v>
      </c>
      <c r="AY327" s="49">
        <v>323.84896749365402</v>
      </c>
      <c r="AZ327" s="49">
        <v>0</v>
      </c>
      <c r="BA327" s="42" t="s">
        <v>152</v>
      </c>
      <c r="BB327" s="50">
        <v>0</v>
      </c>
      <c r="BC327" s="57">
        <v>378346.54468598717</v>
      </c>
      <c r="BD327" s="42" t="s">
        <v>150</v>
      </c>
      <c r="BE327" s="46">
        <v>36.685785536159599</v>
      </c>
      <c r="BF327" s="46">
        <v>72.425990467051307</v>
      </c>
      <c r="BG327" s="42" t="s">
        <v>152</v>
      </c>
      <c r="BH327" s="52">
        <v>0.44164230847664998</v>
      </c>
      <c r="BI327" s="52">
        <v>0.49337264070319697</v>
      </c>
      <c r="BJ327" s="42" t="s">
        <v>152</v>
      </c>
      <c r="BK327" s="46">
        <v>367.49078728637397</v>
      </c>
      <c r="BL327" s="46">
        <v>605.59017138979505</v>
      </c>
      <c r="BM327" s="42" t="s">
        <v>152</v>
      </c>
      <c r="BN327" s="48">
        <v>0</v>
      </c>
      <c r="BO327" s="42" t="s">
        <v>155</v>
      </c>
      <c r="BP327" s="42" t="s">
        <v>152</v>
      </c>
      <c r="BQ327" s="46">
        <v>9203.7018567421892</v>
      </c>
      <c r="BR327" s="46">
        <v>1519</v>
      </c>
      <c r="BS327" s="46">
        <v>91667</v>
      </c>
      <c r="BT327" s="46">
        <v>24432</v>
      </c>
      <c r="BU327" s="46">
        <v>3.7519237066142765</v>
      </c>
      <c r="BV327" s="46">
        <v>16.084265964450296</v>
      </c>
      <c r="BW327" s="46">
        <v>0</v>
      </c>
      <c r="BX327" s="46">
        <v>0</v>
      </c>
      <c r="BY327" s="46">
        <v>0</v>
      </c>
      <c r="BZ327" s="46">
        <v>0</v>
      </c>
      <c r="CA327" s="46">
        <v>0</v>
      </c>
      <c r="CB327" s="46">
        <v>0</v>
      </c>
      <c r="CC327" s="46">
        <v>2.8650949574328752E-4</v>
      </c>
      <c r="CD327" s="46">
        <v>6.777996070726916E-2</v>
      </c>
      <c r="CE327" s="46">
        <v>0</v>
      </c>
      <c r="CF327" s="46">
        <v>0.93086935166994111</v>
      </c>
      <c r="CG327" s="46">
        <v>1.064178127046496E-3</v>
      </c>
      <c r="CH327" s="46">
        <v>0</v>
      </c>
      <c r="CI327" s="46">
        <v>6.2945225653724899</v>
      </c>
      <c r="CJ327" s="46">
        <v>0.28363533223515552</v>
      </c>
      <c r="CK327">
        <v>305</v>
      </c>
      <c r="CL327">
        <v>305</v>
      </c>
      <c r="CM327">
        <f t="shared" si="35"/>
        <v>0</v>
      </c>
      <c r="CO327">
        <v>9.4499999999999993</v>
      </c>
      <c r="CP327">
        <f t="shared" si="36"/>
        <v>9.4499999999999993</v>
      </c>
      <c r="CS327">
        <f t="shared" si="37"/>
        <v>0</v>
      </c>
      <c r="CV327">
        <v>0</v>
      </c>
      <c r="CW327" s="46">
        <v>0</v>
      </c>
      <c r="CX327" s="46">
        <f t="shared" si="38"/>
        <v>0</v>
      </c>
      <c r="CY327" s="46">
        <v>0</v>
      </c>
      <c r="CZ327" s="46">
        <f t="shared" si="39"/>
        <v>0</v>
      </c>
      <c r="DA327" s="46">
        <f t="shared" si="40"/>
        <v>0</v>
      </c>
      <c r="DB327" s="46">
        <v>0</v>
      </c>
      <c r="DC327" s="46">
        <f t="shared" si="41"/>
        <v>0</v>
      </c>
      <c r="DD327" s="46">
        <v>0</v>
      </c>
      <c r="DE327" s="995">
        <v>0</v>
      </c>
      <c r="DF327" s="995">
        <v>0</v>
      </c>
      <c r="DG327" s="995">
        <v>0</v>
      </c>
      <c r="DH327" s="995">
        <v>0</v>
      </c>
      <c r="DI327" s="995">
        <v>108.622</v>
      </c>
      <c r="DJ327" s="995">
        <v>2653864</v>
      </c>
      <c r="DK327" s="995">
        <v>5.1150000000000002</v>
      </c>
      <c r="DL327" s="995">
        <v>124969.7</v>
      </c>
      <c r="DM327" s="995">
        <v>0</v>
      </c>
      <c r="DN327" s="995">
        <v>0</v>
      </c>
      <c r="DO327" s="995">
        <v>0</v>
      </c>
      <c r="DP327" s="995">
        <v>0</v>
      </c>
      <c r="DQ327" s="995">
        <v>108.622</v>
      </c>
      <c r="DR327" s="995">
        <v>2653864</v>
      </c>
      <c r="DS327" s="995">
        <v>5.1150000000000002</v>
      </c>
      <c r="DT327" s="995">
        <v>124969.7</v>
      </c>
    </row>
    <row r="328" spans="1:124">
      <c r="A328" s="42" t="s">
        <v>94</v>
      </c>
      <c r="B328" s="42" t="s">
        <v>510</v>
      </c>
      <c r="C328" s="42" t="s">
        <v>511</v>
      </c>
      <c r="D328" s="42">
        <v>810353</v>
      </c>
      <c r="E328" s="42" t="s">
        <v>542</v>
      </c>
      <c r="F328" s="42" t="s">
        <v>149</v>
      </c>
      <c r="G328" s="42" t="s">
        <v>150</v>
      </c>
      <c r="H328" s="43" t="s">
        <v>150</v>
      </c>
      <c r="I328" s="44">
        <v>37</v>
      </c>
      <c r="J328" s="45">
        <v>164923.840256</v>
      </c>
      <c r="K328" s="46">
        <v>10882.175133999999</v>
      </c>
      <c r="L328" s="47">
        <v>175806.01538999999</v>
      </c>
      <c r="M328" s="48">
        <v>3808212</v>
      </c>
      <c r="N328" s="49">
        <v>2371069</v>
      </c>
      <c r="O328" s="49">
        <v>1437143</v>
      </c>
      <c r="P328" s="49">
        <v>0</v>
      </c>
      <c r="Q328" s="50">
        <v>8694.5426712328808</v>
      </c>
      <c r="R328" s="51">
        <v>19019.595825971701</v>
      </c>
      <c r="S328" s="49">
        <v>33024.392916467499</v>
      </c>
      <c r="T328" s="49">
        <v>5153.20904220803</v>
      </c>
      <c r="U328" s="49">
        <f>IFERROR(INDEX('Rentabilidad datos'!$N$2:$N$61,MATCH($C328,'Rentabilidad datos'!$C$2:$C$61,0)),"")</f>
        <v>57197.197784647178</v>
      </c>
      <c r="V328" s="50">
        <f>IFERROR(INDEX('Rentabilidad datos'!$O$2:$O$61,MATCH($C328,'Rentabilidad datos'!$C$2:$C$61,0)),"")</f>
        <v>1545.8702103958697</v>
      </c>
      <c r="W328" s="51">
        <f>IFERROR(INDEX('Rentabilidad datos'!$M$2:$M$61,MATCH($C328,'Rentabilidad datos'!$C$2:$C$61,0)),"")</f>
        <v>2982.1586443005776</v>
      </c>
      <c r="X328" s="52">
        <f>IFERROR(INDEX('Rentabilidad datos'!$P$2:$P$61,MATCH($C328,'Rentabilidad datos'!$C$2:$C$61,0)),"")</f>
        <v>0.51837289520136554</v>
      </c>
      <c r="Y328" s="43" t="s">
        <v>211</v>
      </c>
      <c r="Z328" s="53">
        <v>39.3349753694581</v>
      </c>
      <c r="AA328" s="43">
        <v>2</v>
      </c>
      <c r="AB328" s="54">
        <v>0.96696192333830155</v>
      </c>
      <c r="AC328" s="55">
        <v>3.3038076661698453E-2</v>
      </c>
      <c r="AD328" s="752" t="e">
        <f>_xlfn.XLOOKUP(Table1[[#This Row],[Ruta]],#REF!,#REF!)</f>
        <v>#REF!</v>
      </c>
      <c r="AE328" s="752" t="e">
        <f>_xlfn.XLOOKUP(Table1[[#This Row],[Ruta]],#REF!,#REF!)</f>
        <v>#REF!</v>
      </c>
      <c r="AF328" s="752" t="e">
        <f>_xlfn.XLOOKUP(Table1[[#This Row],[Ruta]],#REF!,#REF!)</f>
        <v>#REF!</v>
      </c>
      <c r="AG328" s="752" t="e">
        <f>_xlfn.XLOOKUP(Table1[[#This Row],[Ruta]],#REF!,#REF!)</f>
        <v>#REF!</v>
      </c>
      <c r="AH328" s="52">
        <v>0.62262001170102921</v>
      </c>
      <c r="AI328" s="52">
        <v>0.37737998829897074</v>
      </c>
      <c r="AJ328" s="55">
        <v>0</v>
      </c>
      <c r="AK328" s="56">
        <v>15970</v>
      </c>
      <c r="AL328" s="44">
        <v>13626</v>
      </c>
      <c r="AM328" s="54">
        <v>0.81865998747651902</v>
      </c>
      <c r="AN328" s="55">
        <v>0.59299875749554298</v>
      </c>
      <c r="AO328" s="56">
        <v>0</v>
      </c>
      <c r="AP328" s="48">
        <v>0</v>
      </c>
      <c r="AQ328" s="55">
        <v>0.8532247964934252</v>
      </c>
      <c r="AR328" s="51">
        <v>3808209.69</v>
      </c>
      <c r="AS328" s="49">
        <v>0</v>
      </c>
      <c r="AT328" s="55">
        <v>0</v>
      </c>
      <c r="AU328" s="51">
        <v>0</v>
      </c>
      <c r="AV328" s="52">
        <v>0</v>
      </c>
      <c r="AW328" s="44">
        <v>490</v>
      </c>
      <c r="AX328" s="51">
        <v>279.481116248349</v>
      </c>
      <c r="AY328" s="49">
        <v>323.84896749365402</v>
      </c>
      <c r="AZ328" s="49">
        <v>44.367851245305019</v>
      </c>
      <c r="BA328" s="42" t="s">
        <v>150</v>
      </c>
      <c r="BB328" s="50">
        <v>212411.68740245522</v>
      </c>
      <c r="BC328" s="57">
        <v>212411.68740245522</v>
      </c>
      <c r="BD328" s="42" t="s">
        <v>150</v>
      </c>
      <c r="BE328" s="46">
        <v>39.3349753694581</v>
      </c>
      <c r="BF328" s="46">
        <v>72.425990467051307</v>
      </c>
      <c r="BG328" s="42" t="s">
        <v>152</v>
      </c>
      <c r="BH328" s="52">
        <v>0.81865998747651902</v>
      </c>
      <c r="BI328" s="52">
        <v>0.49337264070319697</v>
      </c>
      <c r="BJ328" s="42" t="s">
        <v>150</v>
      </c>
      <c r="BK328" s="46">
        <v>401.38359678082202</v>
      </c>
      <c r="BL328" s="46">
        <v>605.59017138979505</v>
      </c>
      <c r="BM328" s="42" t="s">
        <v>152</v>
      </c>
      <c r="BN328" s="48">
        <v>1</v>
      </c>
      <c r="BO328" s="42" t="s">
        <v>155</v>
      </c>
      <c r="BP328" s="42" t="s">
        <v>152</v>
      </c>
      <c r="BQ328" s="46">
        <v>4084.96740586952</v>
      </c>
      <c r="BR328" s="46">
        <v>1137</v>
      </c>
      <c r="BS328" s="46">
        <v>67691</v>
      </c>
      <c r="BT328" s="46">
        <v>19215</v>
      </c>
      <c r="BU328" s="46">
        <v>3.5228207129846476</v>
      </c>
      <c r="BV328" s="46">
        <v>16.899736147757256</v>
      </c>
      <c r="BW328" s="46">
        <v>0</v>
      </c>
      <c r="BX328" s="46">
        <v>0</v>
      </c>
      <c r="BY328" s="46">
        <v>0</v>
      </c>
      <c r="BZ328" s="46">
        <v>0</v>
      </c>
      <c r="CA328" s="46">
        <v>0</v>
      </c>
      <c r="CB328" s="46">
        <v>0</v>
      </c>
      <c r="CC328" s="46">
        <v>5.3968253968253971E-2</v>
      </c>
      <c r="CD328" s="46">
        <v>5.6258131667967733E-2</v>
      </c>
      <c r="CE328" s="46">
        <v>1.3531095498308611E-3</v>
      </c>
      <c r="CF328" s="46">
        <v>0.88816029143898001</v>
      </c>
      <c r="CG328" s="46">
        <v>2.6021337496747327E-4</v>
      </c>
      <c r="CH328" s="46">
        <v>0</v>
      </c>
      <c r="CI328" s="46">
        <v>5.1705544311651481</v>
      </c>
      <c r="CJ328" s="46">
        <v>0.1181841012837748</v>
      </c>
      <c r="CK328">
        <v>282</v>
      </c>
      <c r="CL328">
        <v>282</v>
      </c>
      <c r="CM328">
        <f t="shared" si="35"/>
        <v>0</v>
      </c>
      <c r="CO328">
        <v>9.4499999999999993</v>
      </c>
      <c r="CP328">
        <f t="shared" si="36"/>
        <v>9.4499999999999993</v>
      </c>
      <c r="CS328">
        <f t="shared" si="37"/>
        <v>0</v>
      </c>
      <c r="CV328">
        <v>0</v>
      </c>
      <c r="CW328" s="46">
        <v>0</v>
      </c>
      <c r="CX328" s="46">
        <f t="shared" si="38"/>
        <v>0</v>
      </c>
      <c r="CY328" s="46">
        <v>0</v>
      </c>
      <c r="CZ328" s="46">
        <f t="shared" si="39"/>
        <v>0</v>
      </c>
      <c r="DA328" s="46">
        <f t="shared" si="40"/>
        <v>0</v>
      </c>
      <c r="DB328" s="46">
        <v>0</v>
      </c>
      <c r="DC328" s="46">
        <f t="shared" si="41"/>
        <v>0</v>
      </c>
      <c r="DD328" s="46">
        <v>0</v>
      </c>
      <c r="DE328" s="995">
        <v>0</v>
      </c>
      <c r="DF328" s="995">
        <v>0</v>
      </c>
      <c r="DG328" s="995">
        <v>0</v>
      </c>
      <c r="DH328" s="995">
        <v>0</v>
      </c>
      <c r="DI328" s="995">
        <v>158.03</v>
      </c>
      <c r="DJ328" s="995">
        <v>3036555</v>
      </c>
      <c r="DK328" s="995">
        <v>6.9169999999999998</v>
      </c>
      <c r="DL328" s="995">
        <v>132906.6</v>
      </c>
      <c r="DM328" s="995">
        <v>0</v>
      </c>
      <c r="DN328" s="995">
        <v>0</v>
      </c>
      <c r="DO328" s="995">
        <v>0</v>
      </c>
      <c r="DP328" s="995">
        <v>0</v>
      </c>
      <c r="DQ328" s="995">
        <v>158.03</v>
      </c>
      <c r="DR328" s="995">
        <v>3036555</v>
      </c>
      <c r="DS328" s="995">
        <v>6.9169999999999998</v>
      </c>
      <c r="DT328" s="995">
        <v>132906.6</v>
      </c>
    </row>
    <row r="329" spans="1:124">
      <c r="A329" s="42" t="s">
        <v>94</v>
      </c>
      <c r="B329" s="42" t="s">
        <v>510</v>
      </c>
      <c r="C329" s="42" t="s">
        <v>511</v>
      </c>
      <c r="D329" s="42">
        <v>810354</v>
      </c>
      <c r="E329" s="42" t="s">
        <v>543</v>
      </c>
      <c r="F329" s="42" t="s">
        <v>149</v>
      </c>
      <c r="G329" s="42" t="s">
        <v>150</v>
      </c>
      <c r="H329" s="43" t="s">
        <v>150</v>
      </c>
      <c r="I329" s="44">
        <v>37</v>
      </c>
      <c r="J329" s="45">
        <v>160536.90239999999</v>
      </c>
      <c r="K329" s="46">
        <v>15653.864399</v>
      </c>
      <c r="L329" s="47">
        <v>176190.766799</v>
      </c>
      <c r="M329" s="48">
        <v>4125588</v>
      </c>
      <c r="N329" s="49">
        <v>2311810</v>
      </c>
      <c r="O329" s="49">
        <v>1813642</v>
      </c>
      <c r="P329" s="49">
        <v>136</v>
      </c>
      <c r="Q329" s="50">
        <v>9483.7911954023002</v>
      </c>
      <c r="R329" s="51">
        <v>19019.595825971701</v>
      </c>
      <c r="S329" s="49">
        <v>33024.392916467499</v>
      </c>
      <c r="T329" s="49">
        <v>5153.20904220803</v>
      </c>
      <c r="U329" s="49">
        <f>IFERROR(INDEX('Rentabilidad datos'!$N$2:$N$61,MATCH($C329,'Rentabilidad datos'!$C$2:$C$61,0)),"")</f>
        <v>57197.197784647178</v>
      </c>
      <c r="V329" s="50">
        <f>IFERROR(INDEX('Rentabilidad datos'!$O$2:$O$61,MATCH($C329,'Rentabilidad datos'!$C$2:$C$61,0)),"")</f>
        <v>1545.8702103958697</v>
      </c>
      <c r="W329" s="51">
        <f>IFERROR(INDEX('Rentabilidad datos'!$M$2:$M$61,MATCH($C329,'Rentabilidad datos'!$C$2:$C$61,0)),"")</f>
        <v>2982.1586443005776</v>
      </c>
      <c r="X329" s="52">
        <f>IFERROR(INDEX('Rentabilidad datos'!$P$2:$P$61,MATCH($C329,'Rentabilidad datos'!$C$2:$C$61,0)),"")</f>
        <v>0.51837289520136554</v>
      </c>
      <c r="Y329" s="43" t="s">
        <v>211</v>
      </c>
      <c r="Z329" s="53">
        <v>40.287841191067002</v>
      </c>
      <c r="AA329" s="43">
        <v>2</v>
      </c>
      <c r="AB329" s="54">
        <v>0.97225413686485418</v>
      </c>
      <c r="AC329" s="55">
        <v>2.7745863135145828E-2</v>
      </c>
      <c r="AD329" s="752" t="e">
        <f>_xlfn.XLOOKUP(Table1[[#This Row],[Ruta]],#REF!,#REF!)</f>
        <v>#REF!</v>
      </c>
      <c r="AE329" s="752" t="e">
        <f>_xlfn.XLOOKUP(Table1[[#This Row],[Ruta]],#REF!,#REF!)</f>
        <v>#REF!</v>
      </c>
      <c r="AF329" s="752" t="e">
        <f>_xlfn.XLOOKUP(Table1[[#This Row],[Ruta]],#REF!,#REF!)</f>
        <v>#REF!</v>
      </c>
      <c r="AG329" s="752" t="e">
        <f>_xlfn.XLOOKUP(Table1[[#This Row],[Ruta]],#REF!,#REF!)</f>
        <v>#REF!</v>
      </c>
      <c r="AH329" s="52">
        <v>0.56035891126307324</v>
      </c>
      <c r="AI329" s="52">
        <v>0.43960812373896763</v>
      </c>
      <c r="AJ329" s="55">
        <v>3.2964997959078803E-5</v>
      </c>
      <c r="AK329" s="56">
        <v>16236</v>
      </c>
      <c r="AL329" s="44">
        <v>10285</v>
      </c>
      <c r="AM329" s="54">
        <v>0.61437546193643799</v>
      </c>
      <c r="AN329" s="55">
        <v>0.59299875749554298</v>
      </c>
      <c r="AO329" s="56">
        <v>0</v>
      </c>
      <c r="AP329" s="48">
        <v>0</v>
      </c>
      <c r="AQ329" s="55">
        <v>0.63346883468834692</v>
      </c>
      <c r="AR329" s="51">
        <v>4125449.17</v>
      </c>
      <c r="AS329" s="49">
        <v>0</v>
      </c>
      <c r="AT329" s="55">
        <v>0</v>
      </c>
      <c r="AU329" s="51">
        <v>0</v>
      </c>
      <c r="AV329" s="52">
        <v>0</v>
      </c>
      <c r="AW329" s="44">
        <v>490</v>
      </c>
      <c r="AX329" s="51">
        <v>401.11319105493402</v>
      </c>
      <c r="AY329" s="49">
        <v>323.84896749365402</v>
      </c>
      <c r="AZ329" s="49">
        <v>0</v>
      </c>
      <c r="BA329" s="42" t="s">
        <v>152</v>
      </c>
      <c r="BB329" s="50">
        <v>0</v>
      </c>
      <c r="BC329" s="57">
        <v>0</v>
      </c>
      <c r="BD329" s="42" t="s">
        <v>150</v>
      </c>
      <c r="BE329" s="46">
        <v>40.287841191067002</v>
      </c>
      <c r="BF329" s="46">
        <v>72.425990467051307</v>
      </c>
      <c r="BG329" s="42" t="s">
        <v>152</v>
      </c>
      <c r="BH329" s="52">
        <v>0.61437546193643799</v>
      </c>
      <c r="BI329" s="52">
        <v>0.49337264070319697</v>
      </c>
      <c r="BJ329" s="42" t="s">
        <v>150</v>
      </c>
      <c r="BK329" s="46">
        <v>405.036245514943</v>
      </c>
      <c r="BL329" s="46">
        <v>605.59017138979505</v>
      </c>
      <c r="BM329" s="42" t="s">
        <v>152</v>
      </c>
      <c r="BN329" s="48">
        <v>1</v>
      </c>
      <c r="BO329" s="42" t="s">
        <v>155</v>
      </c>
      <c r="BP329" s="42" t="s">
        <v>152</v>
      </c>
      <c r="BQ329" s="46">
        <v>6471.5947366728396</v>
      </c>
      <c r="BR329" s="46">
        <v>1200</v>
      </c>
      <c r="BS329" s="46">
        <v>61263</v>
      </c>
      <c r="BT329" s="46">
        <v>17820</v>
      </c>
      <c r="BU329" s="46">
        <v>3.437878787878788</v>
      </c>
      <c r="BV329" s="46">
        <v>14.85</v>
      </c>
      <c r="BW329" s="46">
        <v>0</v>
      </c>
      <c r="BX329" s="46">
        <v>0</v>
      </c>
      <c r="BY329" s="46">
        <v>0</v>
      </c>
      <c r="BZ329" s="46">
        <v>0</v>
      </c>
      <c r="CA329" s="46">
        <v>0</v>
      </c>
      <c r="CB329" s="46">
        <v>0</v>
      </c>
      <c r="CC329" s="46">
        <v>0.10353535353535349</v>
      </c>
      <c r="CD329" s="46">
        <v>0.11217732884399551</v>
      </c>
      <c r="CE329" s="46">
        <v>0</v>
      </c>
      <c r="CF329" s="46">
        <v>0.78395061728395066</v>
      </c>
      <c r="CG329" s="46">
        <v>0</v>
      </c>
      <c r="CH329" s="46">
        <v>3.3670033670033672E-4</v>
      </c>
      <c r="CI329" s="46">
        <v>4.4072278536800349</v>
      </c>
      <c r="CJ329" s="46">
        <v>0.17955372737214961</v>
      </c>
      <c r="CK329">
        <v>228</v>
      </c>
      <c r="CL329">
        <v>228</v>
      </c>
      <c r="CM329">
        <f t="shared" si="35"/>
        <v>0</v>
      </c>
      <c r="CO329">
        <v>9.4499999999999993</v>
      </c>
      <c r="CP329">
        <f t="shared" si="36"/>
        <v>9.4499999999999993</v>
      </c>
      <c r="CS329">
        <f t="shared" si="37"/>
        <v>0</v>
      </c>
      <c r="CV329">
        <v>0</v>
      </c>
      <c r="CW329" s="46">
        <v>0</v>
      </c>
      <c r="CX329" s="46">
        <f t="shared" si="38"/>
        <v>0</v>
      </c>
      <c r="CY329" s="46">
        <v>0</v>
      </c>
      <c r="CZ329" s="46">
        <f t="shared" si="39"/>
        <v>0</v>
      </c>
      <c r="DA329" s="46">
        <f t="shared" si="40"/>
        <v>0</v>
      </c>
      <c r="DB329" s="46">
        <v>0</v>
      </c>
      <c r="DC329" s="46">
        <f t="shared" si="41"/>
        <v>0</v>
      </c>
      <c r="DD329" s="46">
        <v>0</v>
      </c>
      <c r="DE329" s="995">
        <v>0</v>
      </c>
      <c r="DF329" s="995">
        <v>0</v>
      </c>
      <c r="DG329" s="995">
        <v>0</v>
      </c>
      <c r="DH329" s="995">
        <v>0</v>
      </c>
      <c r="DI329" s="995">
        <v>172.14099999999999</v>
      </c>
      <c r="DJ329" s="995">
        <v>3067551</v>
      </c>
      <c r="DK329" s="995">
        <v>7.0430000000000001</v>
      </c>
      <c r="DL329" s="995">
        <v>125511.1</v>
      </c>
      <c r="DM329" s="995">
        <v>0</v>
      </c>
      <c r="DN329" s="995">
        <v>0</v>
      </c>
      <c r="DO329" s="995">
        <v>0</v>
      </c>
      <c r="DP329" s="995">
        <v>0</v>
      </c>
      <c r="DQ329" s="995">
        <v>172.14099999999999</v>
      </c>
      <c r="DR329" s="995">
        <v>3067551</v>
      </c>
      <c r="DS329" s="995">
        <v>7.0430000000000001</v>
      </c>
      <c r="DT329" s="995">
        <v>125511.1</v>
      </c>
    </row>
    <row r="330" spans="1:124">
      <c r="A330" s="42" t="s">
        <v>94</v>
      </c>
      <c r="B330" s="42" t="s">
        <v>510</v>
      </c>
      <c r="C330" s="42" t="s">
        <v>511</v>
      </c>
      <c r="D330" s="42">
        <v>810357</v>
      </c>
      <c r="E330" s="42" t="s">
        <v>544</v>
      </c>
      <c r="F330" s="42" t="s">
        <v>149</v>
      </c>
      <c r="G330" s="42" t="s">
        <v>150</v>
      </c>
      <c r="H330" s="43" t="s">
        <v>150</v>
      </c>
      <c r="I330" s="44">
        <v>37</v>
      </c>
      <c r="J330" s="45">
        <v>202765.55056199999</v>
      </c>
      <c r="K330" s="46">
        <v>9947.2635320000009</v>
      </c>
      <c r="L330" s="47">
        <v>212712.814094</v>
      </c>
      <c r="M330" s="48">
        <v>4155628</v>
      </c>
      <c r="N330" s="49">
        <v>2896873</v>
      </c>
      <c r="O330" s="49">
        <v>1258574</v>
      </c>
      <c r="P330" s="49">
        <v>181</v>
      </c>
      <c r="Q330" s="50">
        <v>9663.8330000000005</v>
      </c>
      <c r="R330" s="51">
        <v>19019.595825971701</v>
      </c>
      <c r="S330" s="49">
        <v>33024.392916467499</v>
      </c>
      <c r="T330" s="49">
        <v>5153.20904220803</v>
      </c>
      <c r="U330" s="49">
        <f>IFERROR(INDEX('Rentabilidad datos'!$N$2:$N$61,MATCH($C330,'Rentabilidad datos'!$C$2:$C$61,0)),"")</f>
        <v>57197.197784647178</v>
      </c>
      <c r="V330" s="50">
        <f>IFERROR(INDEX('Rentabilidad datos'!$O$2:$O$61,MATCH($C330,'Rentabilidad datos'!$C$2:$C$61,0)),"")</f>
        <v>1545.8702103958697</v>
      </c>
      <c r="W330" s="51">
        <f>IFERROR(INDEX('Rentabilidad datos'!$M$2:$M$61,MATCH($C330,'Rentabilidad datos'!$C$2:$C$61,0)),"")</f>
        <v>2982.1586443005776</v>
      </c>
      <c r="X330" s="52">
        <f>IFERROR(INDEX('Rentabilidad datos'!$P$2:$P$61,MATCH($C330,'Rentabilidad datos'!$C$2:$C$61,0)),"")</f>
        <v>0.51837289520136554</v>
      </c>
      <c r="Y330" s="43" t="s">
        <v>211</v>
      </c>
      <c r="Z330" s="53">
        <v>69.471177944862205</v>
      </c>
      <c r="AA330" s="43">
        <v>2</v>
      </c>
      <c r="AB330" s="54">
        <v>0.96280273402720362</v>
      </c>
      <c r="AC330" s="55">
        <v>3.7197265972796413E-2</v>
      </c>
      <c r="AD330" s="752" t="e">
        <f>_xlfn.XLOOKUP(Table1[[#This Row],[Ruta]],#REF!,#REF!)</f>
        <v>#REF!</v>
      </c>
      <c r="AE330" s="752" t="e">
        <f>_xlfn.XLOOKUP(Table1[[#This Row],[Ruta]],#REF!,#REF!)</f>
        <v>#REF!</v>
      </c>
      <c r="AF330" s="752" t="e">
        <f>_xlfn.XLOOKUP(Table1[[#This Row],[Ruta]],#REF!,#REF!)</f>
        <v>#REF!</v>
      </c>
      <c r="AG330" s="752" t="e">
        <f>_xlfn.XLOOKUP(Table1[[#This Row],[Ruta]],#REF!,#REF!)</f>
        <v>#REF!</v>
      </c>
      <c r="AH330" s="52">
        <v>0.69709632334751814</v>
      </c>
      <c r="AI330" s="52">
        <v>0.30286012126205714</v>
      </c>
      <c r="AJ330" s="55">
        <v>4.3555390424744467E-5</v>
      </c>
      <c r="AK330" s="56">
        <v>27719</v>
      </c>
      <c r="AL330" s="44">
        <v>9477</v>
      </c>
      <c r="AM330" s="54">
        <v>0.33753021393268201</v>
      </c>
      <c r="AN330" s="55">
        <v>0.59299875749554298</v>
      </c>
      <c r="AO330" s="56">
        <v>7081.3325590189597</v>
      </c>
      <c r="AP330" s="48">
        <v>3540.6662795094799</v>
      </c>
      <c r="AQ330" s="55">
        <v>0.46962972255526825</v>
      </c>
      <c r="AR330" s="51">
        <v>4155448.19</v>
      </c>
      <c r="AS330" s="49">
        <v>1552501.348800435</v>
      </c>
      <c r="AT330" s="55">
        <v>0.37360623398854964</v>
      </c>
      <c r="AU330" s="51">
        <v>1090946.8937516573</v>
      </c>
      <c r="AV330" s="52">
        <v>4.9628206588364131E-3</v>
      </c>
      <c r="AW330" s="44">
        <v>32</v>
      </c>
      <c r="AX330" s="51">
        <v>438.47717526643498</v>
      </c>
      <c r="AY330" s="49">
        <v>323.84896749365402</v>
      </c>
      <c r="AZ330" s="49">
        <v>0</v>
      </c>
      <c r="BA330" s="42" t="s">
        <v>152</v>
      </c>
      <c r="BB330" s="50">
        <v>0</v>
      </c>
      <c r="BC330" s="57">
        <v>1090946.8937516573</v>
      </c>
      <c r="BD330" s="42" t="s">
        <v>150</v>
      </c>
      <c r="BE330" s="46">
        <v>69.471177944862205</v>
      </c>
      <c r="BF330" s="46">
        <v>72.425990467051307</v>
      </c>
      <c r="BG330" s="42" t="s">
        <v>152</v>
      </c>
      <c r="BH330" s="52">
        <v>0.33753021393268201</v>
      </c>
      <c r="BI330" s="52">
        <v>0.49337264070319697</v>
      </c>
      <c r="BJ330" s="42" t="s">
        <v>152</v>
      </c>
      <c r="BK330" s="46">
        <v>494.68096300930199</v>
      </c>
      <c r="BL330" s="46">
        <v>605.59017138979505</v>
      </c>
      <c r="BM330" s="42" t="s">
        <v>152</v>
      </c>
      <c r="BN330" s="48">
        <v>0</v>
      </c>
      <c r="BO330" s="42" t="s">
        <v>155</v>
      </c>
      <c r="BP330" s="42" t="s">
        <v>152</v>
      </c>
      <c r="BQ330" s="46">
        <v>10463.7513246868</v>
      </c>
      <c r="BR330" s="46">
        <v>359</v>
      </c>
      <c r="BS330" s="46">
        <v>44962</v>
      </c>
      <c r="BT330" s="46">
        <v>10973</v>
      </c>
      <c r="BU330" s="46">
        <v>4.0975120750934115</v>
      </c>
      <c r="BV330" s="46">
        <v>30.565459610027855</v>
      </c>
      <c r="BW330" s="46">
        <v>0</v>
      </c>
      <c r="BX330" s="46">
        <v>0</v>
      </c>
      <c r="BY330" s="46">
        <v>0</v>
      </c>
      <c r="BZ330" s="46">
        <v>0</v>
      </c>
      <c r="CA330" s="46">
        <v>0</v>
      </c>
      <c r="CB330" s="46">
        <v>0</v>
      </c>
      <c r="CC330" s="46">
        <v>0.27850177708921903</v>
      </c>
      <c r="CD330" s="46">
        <v>0.10334457304292349</v>
      </c>
      <c r="CE330" s="46">
        <v>0</v>
      </c>
      <c r="CF330" s="46">
        <v>0.61815364986785748</v>
      </c>
      <c r="CG330" s="46">
        <v>0</v>
      </c>
      <c r="CH330" s="46">
        <v>0</v>
      </c>
      <c r="CI330" s="46">
        <v>4.6928517414705757</v>
      </c>
      <c r="CJ330" s="46">
        <v>4.4482007028157113E-2</v>
      </c>
      <c r="CK330">
        <v>263</v>
      </c>
      <c r="CL330">
        <v>263</v>
      </c>
      <c r="CM330">
        <f t="shared" ref="CM330:CM393" si="42">CL330-CK330</f>
        <v>0</v>
      </c>
      <c r="CO330">
        <v>9.4499999999999993</v>
      </c>
      <c r="CP330">
        <f t="shared" ref="CP330:CP393" si="43">CO330-CN330</f>
        <v>9.4499999999999993</v>
      </c>
      <c r="CS330">
        <f t="shared" ref="CS330:CS393" si="44">CQ330-CR330</f>
        <v>0</v>
      </c>
      <c r="CV330">
        <v>0</v>
      </c>
      <c r="CW330" s="46">
        <v>0</v>
      </c>
      <c r="CX330" s="46">
        <f t="shared" si="38"/>
        <v>0</v>
      </c>
      <c r="CY330" s="46">
        <v>0</v>
      </c>
      <c r="CZ330" s="46">
        <f t="shared" si="39"/>
        <v>0</v>
      </c>
      <c r="DA330" s="46">
        <f t="shared" si="40"/>
        <v>0</v>
      </c>
      <c r="DB330" s="46">
        <v>0</v>
      </c>
      <c r="DC330" s="46">
        <f t="shared" si="41"/>
        <v>0</v>
      </c>
      <c r="DD330" s="46">
        <v>0</v>
      </c>
      <c r="DE330" s="995">
        <v>0</v>
      </c>
      <c r="DF330" s="995">
        <v>0</v>
      </c>
      <c r="DG330" s="995">
        <v>0</v>
      </c>
      <c r="DH330" s="995">
        <v>0</v>
      </c>
      <c r="DI330" s="995">
        <v>292.38799999999998</v>
      </c>
      <c r="DJ330" s="995">
        <v>3208378</v>
      </c>
      <c r="DK330" s="995">
        <v>14.036</v>
      </c>
      <c r="DL330" s="995">
        <v>154020.1</v>
      </c>
      <c r="DM330" s="995">
        <v>0</v>
      </c>
      <c r="DN330" s="995">
        <v>0</v>
      </c>
      <c r="DO330" s="995">
        <v>0</v>
      </c>
      <c r="DP330" s="995">
        <v>0</v>
      </c>
      <c r="DQ330" s="995">
        <v>292.38799999999998</v>
      </c>
      <c r="DR330" s="995">
        <v>3208378</v>
      </c>
      <c r="DS330" s="995">
        <v>14.036</v>
      </c>
      <c r="DT330" s="995">
        <v>154020.1</v>
      </c>
    </row>
    <row r="331" spans="1:124">
      <c r="A331" s="42" t="s">
        <v>94</v>
      </c>
      <c r="B331" s="42" t="s">
        <v>510</v>
      </c>
      <c r="C331" s="42" t="s">
        <v>511</v>
      </c>
      <c r="D331" s="42">
        <v>810358</v>
      </c>
      <c r="E331" s="42" t="s">
        <v>545</v>
      </c>
      <c r="F331" s="42" t="s">
        <v>149</v>
      </c>
      <c r="G331" s="42" t="s">
        <v>150</v>
      </c>
      <c r="H331" s="43" t="s">
        <v>150</v>
      </c>
      <c r="I331" s="44">
        <v>37</v>
      </c>
      <c r="J331" s="45">
        <v>226116.94560000001</v>
      </c>
      <c r="K331" s="46">
        <v>10151.918222</v>
      </c>
      <c r="L331" s="47">
        <v>236268.86382200001</v>
      </c>
      <c r="M331" s="48">
        <v>4479035</v>
      </c>
      <c r="N331" s="49">
        <v>3306854</v>
      </c>
      <c r="O331" s="49">
        <v>1172181</v>
      </c>
      <c r="P331" s="49">
        <v>0</v>
      </c>
      <c r="Q331" s="50">
        <v>10296.632367816101</v>
      </c>
      <c r="R331" s="51">
        <v>19019.595825971701</v>
      </c>
      <c r="S331" s="49">
        <v>33024.392916467499</v>
      </c>
      <c r="T331" s="49">
        <v>5153.20904220803</v>
      </c>
      <c r="U331" s="49">
        <f>IFERROR(INDEX('Rentabilidad datos'!$N$2:$N$61,MATCH($C331,'Rentabilidad datos'!$C$2:$C$61,0)),"")</f>
        <v>57197.197784647178</v>
      </c>
      <c r="V331" s="50">
        <f>IFERROR(INDEX('Rentabilidad datos'!$O$2:$O$61,MATCH($C331,'Rentabilidad datos'!$C$2:$C$61,0)),"")</f>
        <v>1545.8702103958697</v>
      </c>
      <c r="W331" s="51">
        <f>IFERROR(INDEX('Rentabilidad datos'!$M$2:$M$61,MATCH($C331,'Rentabilidad datos'!$C$2:$C$61,0)),"")</f>
        <v>2982.1586443005776</v>
      </c>
      <c r="X331" s="52">
        <f>IFERROR(INDEX('Rentabilidad datos'!$P$2:$P$61,MATCH($C331,'Rentabilidad datos'!$C$2:$C$61,0)),"")</f>
        <v>0.51837289520136554</v>
      </c>
      <c r="Y331" s="43" t="s">
        <v>211</v>
      </c>
      <c r="Z331" s="53">
        <v>63.8982630272953</v>
      </c>
      <c r="AA331" s="43">
        <v>2</v>
      </c>
      <c r="AB331" s="54">
        <v>0.98375118747676671</v>
      </c>
      <c r="AC331" s="55">
        <v>1.6248812523233243E-2</v>
      </c>
      <c r="AD331" s="752" t="e">
        <f>_xlfn.XLOOKUP(Table1[[#This Row],[Ruta]],#REF!,#REF!)</f>
        <v>#REF!</v>
      </c>
      <c r="AE331" s="752" t="e">
        <f>_xlfn.XLOOKUP(Table1[[#This Row],[Ruta]],#REF!,#REF!)</f>
        <v>#REF!</v>
      </c>
      <c r="AF331" s="752" t="e">
        <f>_xlfn.XLOOKUP(Table1[[#This Row],[Ruta]],#REF!,#REF!)</f>
        <v>#REF!</v>
      </c>
      <c r="AG331" s="752" t="e">
        <f>_xlfn.XLOOKUP(Table1[[#This Row],[Ruta]],#REF!,#REF!)</f>
        <v>#REF!</v>
      </c>
      <c r="AH331" s="52">
        <v>0.73829608386627921</v>
      </c>
      <c r="AI331" s="52">
        <v>0.26170391613372079</v>
      </c>
      <c r="AJ331" s="55">
        <v>0</v>
      </c>
      <c r="AK331" s="56">
        <v>25751</v>
      </c>
      <c r="AL331" s="44">
        <v>14655</v>
      </c>
      <c r="AM331" s="54">
        <v>0.53679468758494797</v>
      </c>
      <c r="AN331" s="55">
        <v>0.59299875749554298</v>
      </c>
      <c r="AO331" s="56">
        <v>1447.3110042677299</v>
      </c>
      <c r="AP331" s="48">
        <v>723.65550213386496</v>
      </c>
      <c r="AQ331" s="55">
        <v>0.59720614741694944</v>
      </c>
      <c r="AR331" s="51">
        <v>4479035.08</v>
      </c>
      <c r="AS331" s="49">
        <v>221172.18559485499</v>
      </c>
      <c r="AT331" s="55">
        <v>4.9379426962392753E-2</v>
      </c>
      <c r="AU331" s="51">
        <v>155418.29258016843</v>
      </c>
      <c r="AV331" s="52">
        <v>7.0701252058702263E-4</v>
      </c>
      <c r="AW331" s="44">
        <v>345</v>
      </c>
      <c r="AX331" s="51">
        <v>305.63187171613799</v>
      </c>
      <c r="AY331" s="49">
        <v>323.84896749365402</v>
      </c>
      <c r="AZ331" s="49">
        <v>18.217095777516022</v>
      </c>
      <c r="BA331" s="42" t="s">
        <v>150</v>
      </c>
      <c r="BB331" s="50">
        <v>93800.810866309912</v>
      </c>
      <c r="BC331" s="57">
        <v>249219.10344647834</v>
      </c>
      <c r="BD331" s="42" t="s">
        <v>150</v>
      </c>
      <c r="BE331" s="46">
        <v>63.8982630272953</v>
      </c>
      <c r="BF331" s="46">
        <v>72.425990467051307</v>
      </c>
      <c r="BG331" s="42" t="s">
        <v>152</v>
      </c>
      <c r="BH331" s="52">
        <v>0.53679468758494797</v>
      </c>
      <c r="BI331" s="52">
        <v>0.49337264070319697</v>
      </c>
      <c r="BJ331" s="42" t="s">
        <v>150</v>
      </c>
      <c r="BK331" s="46">
        <v>543.14681338390801</v>
      </c>
      <c r="BL331" s="46">
        <v>605.59017138979505</v>
      </c>
      <c r="BM331" s="42" t="s">
        <v>152</v>
      </c>
      <c r="BN331" s="48">
        <v>1</v>
      </c>
      <c r="BO331" s="42" t="s">
        <v>155</v>
      </c>
      <c r="BP331" s="42" t="s">
        <v>152</v>
      </c>
      <c r="BQ331" s="46">
        <v>1346.47903020431</v>
      </c>
      <c r="BR331" s="46">
        <v>218</v>
      </c>
      <c r="BS331" s="46">
        <v>27544</v>
      </c>
      <c r="BT331" s="46">
        <v>7729</v>
      </c>
      <c r="BU331" s="46">
        <v>3.563721050588692</v>
      </c>
      <c r="BV331" s="46">
        <v>35.454128440366972</v>
      </c>
      <c r="BW331" s="46">
        <v>0</v>
      </c>
      <c r="BX331" s="46">
        <v>1330</v>
      </c>
      <c r="BY331" s="46">
        <v>1330</v>
      </c>
      <c r="BZ331" s="46">
        <v>0.17207918230042696</v>
      </c>
      <c r="CA331" s="46">
        <v>0</v>
      </c>
      <c r="CB331" s="46">
        <v>0.17207918230042701</v>
      </c>
      <c r="CC331" s="46">
        <v>0.61495665674731526</v>
      </c>
      <c r="CD331" s="46">
        <v>0.16962090826756371</v>
      </c>
      <c r="CE331" s="46">
        <v>0</v>
      </c>
      <c r="CF331" s="46">
        <v>4.3343252684694009E-2</v>
      </c>
      <c r="CG331" s="46">
        <v>0</v>
      </c>
      <c r="CH331" s="46">
        <v>0</v>
      </c>
      <c r="CI331" s="46">
        <v>2.7592216090618651</v>
      </c>
      <c r="CJ331" s="46">
        <v>0.1089166424629683</v>
      </c>
      <c r="CK331">
        <v>295</v>
      </c>
      <c r="CL331">
        <v>295</v>
      </c>
      <c r="CM331">
        <f t="shared" si="42"/>
        <v>0</v>
      </c>
      <c r="CN331">
        <v>10.1</v>
      </c>
      <c r="CO331">
        <v>9.4499999999999993</v>
      </c>
      <c r="CP331">
        <f t="shared" si="43"/>
        <v>-0.65000000000000036</v>
      </c>
      <c r="CQ331">
        <v>846.56</v>
      </c>
      <c r="CR331">
        <v>543.15</v>
      </c>
      <c r="CS331">
        <f t="shared" si="44"/>
        <v>303.40999999999997</v>
      </c>
      <c r="CT331" t="s">
        <v>150</v>
      </c>
      <c r="CU331">
        <v>106.93</v>
      </c>
      <c r="CV331">
        <v>80</v>
      </c>
      <c r="CW331" s="46">
        <v>1330</v>
      </c>
      <c r="CX331" s="46">
        <f t="shared" si="38"/>
        <v>17.207918230042697</v>
      </c>
      <c r="CY331" s="46">
        <v>0</v>
      </c>
      <c r="CZ331" s="46">
        <f t="shared" si="39"/>
        <v>17.207918230042697</v>
      </c>
      <c r="DA331" s="46">
        <f t="shared" si="40"/>
        <v>5.3613662828308963E-2</v>
      </c>
      <c r="DB331" s="46">
        <v>414.38</v>
      </c>
      <c r="DC331" s="46">
        <f t="shared" si="41"/>
        <v>2.6497606417389056E-3</v>
      </c>
      <c r="DD331" s="46">
        <v>20.48</v>
      </c>
      <c r="DE331" s="995">
        <v>1330</v>
      </c>
      <c r="DF331" s="995">
        <v>17.175000000000001</v>
      </c>
      <c r="DG331" s="995">
        <v>2.5</v>
      </c>
      <c r="DH331" s="995">
        <v>17.207999999999998</v>
      </c>
      <c r="DI331" s="995">
        <v>448.76600000000002</v>
      </c>
      <c r="DJ331" s="995">
        <v>3469646</v>
      </c>
      <c r="DK331" s="995">
        <v>22.678000000000001</v>
      </c>
      <c r="DL331" s="995">
        <v>175336.8</v>
      </c>
      <c r="DM331" s="995">
        <v>1330</v>
      </c>
      <c r="DN331" s="995">
        <v>17.181000000000001</v>
      </c>
      <c r="DO331" s="995">
        <v>2.1</v>
      </c>
      <c r="DP331" s="995">
        <v>17.207999999999998</v>
      </c>
      <c r="DQ331" s="995">
        <v>448.13900000000001</v>
      </c>
      <c r="DR331" s="995">
        <v>3464599</v>
      </c>
      <c r="DS331" s="995">
        <v>22.646999999999998</v>
      </c>
      <c r="DT331" s="995">
        <v>175087.4</v>
      </c>
    </row>
    <row r="332" spans="1:124">
      <c r="A332" s="42" t="s">
        <v>94</v>
      </c>
      <c r="B332" s="42" t="s">
        <v>510</v>
      </c>
      <c r="C332" s="42" t="s">
        <v>511</v>
      </c>
      <c r="D332" s="42">
        <v>810359</v>
      </c>
      <c r="E332" s="42" t="s">
        <v>546</v>
      </c>
      <c r="F332" s="42" t="s">
        <v>149</v>
      </c>
      <c r="G332" s="42" t="s">
        <v>150</v>
      </c>
      <c r="H332" s="43" t="s">
        <v>150</v>
      </c>
      <c r="I332" s="44">
        <v>37</v>
      </c>
      <c r="J332" s="45">
        <v>247821.97440000001</v>
      </c>
      <c r="K332" s="46">
        <v>12376.174972999999</v>
      </c>
      <c r="L332" s="47">
        <v>260198.14937299999</v>
      </c>
      <c r="M332" s="48">
        <v>4948750</v>
      </c>
      <c r="N332" s="49">
        <v>3532443</v>
      </c>
      <c r="O332" s="49">
        <v>1416279</v>
      </c>
      <c r="P332" s="49">
        <v>28</v>
      </c>
      <c r="Q332" s="50">
        <v>11324.306453089201</v>
      </c>
      <c r="R332" s="51">
        <v>19019.595825971701</v>
      </c>
      <c r="S332" s="49">
        <v>33024.392916467499</v>
      </c>
      <c r="T332" s="49">
        <v>5153.20904220803</v>
      </c>
      <c r="U332" s="49">
        <f>IFERROR(INDEX('Rentabilidad datos'!$N$2:$N$61,MATCH($C332,'Rentabilidad datos'!$C$2:$C$61,0)),"")</f>
        <v>57197.197784647178</v>
      </c>
      <c r="V332" s="50">
        <f>IFERROR(INDEX('Rentabilidad datos'!$O$2:$O$61,MATCH($C332,'Rentabilidad datos'!$C$2:$C$61,0)),"")</f>
        <v>1545.8702103958697</v>
      </c>
      <c r="W332" s="51">
        <f>IFERROR(INDEX('Rentabilidad datos'!$M$2:$M$61,MATCH($C332,'Rentabilidad datos'!$C$2:$C$61,0)),"")</f>
        <v>2982.1586443005776</v>
      </c>
      <c r="X332" s="52">
        <f>IFERROR(INDEX('Rentabilidad datos'!$P$2:$P$61,MATCH($C332,'Rentabilidad datos'!$C$2:$C$61,0)),"")</f>
        <v>0.51837289520136554</v>
      </c>
      <c r="Y332" s="43" t="s">
        <v>211</v>
      </c>
      <c r="Z332" s="53">
        <v>82.306172839506203</v>
      </c>
      <c r="AA332" s="43">
        <v>2</v>
      </c>
      <c r="AB332" s="54">
        <v>0.96555109876231371</v>
      </c>
      <c r="AC332" s="55">
        <v>3.4448901237686284E-2</v>
      </c>
      <c r="AD332" s="752" t="e">
        <f>_xlfn.XLOOKUP(Table1[[#This Row],[Ruta]],#REF!,#REF!)</f>
        <v>#REF!</v>
      </c>
      <c r="AE332" s="752" t="e">
        <f>_xlfn.XLOOKUP(Table1[[#This Row],[Ruta]],#REF!,#REF!)</f>
        <v>#REF!</v>
      </c>
      <c r="AF332" s="752" t="e">
        <f>_xlfn.XLOOKUP(Table1[[#This Row],[Ruta]],#REF!,#REF!)</f>
        <v>#REF!</v>
      </c>
      <c r="AG332" s="752" t="e">
        <f>_xlfn.XLOOKUP(Table1[[#This Row],[Ruta]],#REF!,#REF!)</f>
        <v>#REF!</v>
      </c>
      <c r="AH332" s="52">
        <v>0.7138051022985602</v>
      </c>
      <c r="AI332" s="52">
        <v>0.28618923970699672</v>
      </c>
      <c r="AJ332" s="55">
        <v>5.6579944430411719E-6</v>
      </c>
      <c r="AK332" s="56">
        <v>33334</v>
      </c>
      <c r="AL332" s="44">
        <v>16245</v>
      </c>
      <c r="AM332" s="54">
        <v>0.46889062218755601</v>
      </c>
      <c r="AN332" s="55">
        <v>0.59299875749554298</v>
      </c>
      <c r="AO332" s="56">
        <v>4137.0205823564402</v>
      </c>
      <c r="AP332" s="48">
        <v>2068.5102911782201</v>
      </c>
      <c r="AQ332" s="55">
        <v>0.54939432084892958</v>
      </c>
      <c r="AR332" s="51">
        <v>4948721.92</v>
      </c>
      <c r="AS332" s="49">
        <v>630131.25390577002</v>
      </c>
      <c r="AT332" s="55">
        <v>0.12733212010946254</v>
      </c>
      <c r="AU332" s="51">
        <v>442794.93517702777</v>
      </c>
      <c r="AV332" s="52">
        <v>2.0143160629640371E-3</v>
      </c>
      <c r="AW332" s="44">
        <v>169</v>
      </c>
      <c r="AX332" s="51">
        <v>304.63046598953503</v>
      </c>
      <c r="AY332" s="49">
        <v>323.84896749365402</v>
      </c>
      <c r="AZ332" s="49">
        <v>19.21850150411899</v>
      </c>
      <c r="BA332" s="42" t="s">
        <v>150</v>
      </c>
      <c r="BB332" s="50">
        <v>109693.49297695595</v>
      </c>
      <c r="BC332" s="57">
        <v>552488.42815398378</v>
      </c>
      <c r="BD332" s="42" t="s">
        <v>150</v>
      </c>
      <c r="BE332" s="46">
        <v>82.306172839506203</v>
      </c>
      <c r="BF332" s="46">
        <v>72.425990467051307</v>
      </c>
      <c r="BG332" s="42" t="s">
        <v>150</v>
      </c>
      <c r="BH332" s="52">
        <v>0.46889062218755601</v>
      </c>
      <c r="BI332" s="52">
        <v>0.49337264070319697</v>
      </c>
      <c r="BJ332" s="42" t="s">
        <v>152</v>
      </c>
      <c r="BK332" s="46">
        <v>595.41910611670403</v>
      </c>
      <c r="BL332" s="46">
        <v>605.59017138979505</v>
      </c>
      <c r="BM332" s="42" t="s">
        <v>152</v>
      </c>
      <c r="BN332" s="48">
        <v>1</v>
      </c>
      <c r="BO332" s="42" t="s">
        <v>155</v>
      </c>
      <c r="BP332" s="42" t="s">
        <v>152</v>
      </c>
      <c r="BQ332" s="46">
        <v>4710.8282098992904</v>
      </c>
      <c r="BR332" s="46">
        <v>715</v>
      </c>
      <c r="BS332" s="46">
        <v>90148</v>
      </c>
      <c r="BT332" s="46">
        <v>21389</v>
      </c>
      <c r="BU332" s="46">
        <v>4.2146897938192529</v>
      </c>
      <c r="BV332" s="46">
        <v>29.914685314685315</v>
      </c>
      <c r="BW332" s="46">
        <v>0</v>
      </c>
      <c r="BX332" s="46">
        <v>0</v>
      </c>
      <c r="BY332" s="46">
        <v>0</v>
      </c>
      <c r="BZ332" s="46">
        <v>0</v>
      </c>
      <c r="CA332" s="46">
        <v>0</v>
      </c>
      <c r="CB332" s="46">
        <v>0</v>
      </c>
      <c r="CC332" s="46">
        <v>0.1609238393566787</v>
      </c>
      <c r="CD332" s="46">
        <v>0.17321987937725</v>
      </c>
      <c r="CE332" s="46">
        <v>0</v>
      </c>
      <c r="CF332" s="46">
        <v>0.66585628126607133</v>
      </c>
      <c r="CG332" s="46">
        <v>0</v>
      </c>
      <c r="CH332" s="46">
        <v>0</v>
      </c>
      <c r="CI332" s="46">
        <v>5.4798775347206812</v>
      </c>
      <c r="CJ332" s="46">
        <v>4.4371478013932639E-2</v>
      </c>
      <c r="CK332">
        <v>350</v>
      </c>
      <c r="CL332">
        <v>350</v>
      </c>
      <c r="CM332">
        <f t="shared" si="42"/>
        <v>0</v>
      </c>
      <c r="CO332">
        <v>9.4499999999999993</v>
      </c>
      <c r="CP332">
        <f t="shared" si="43"/>
        <v>9.4499999999999993</v>
      </c>
      <c r="CS332">
        <f t="shared" si="44"/>
        <v>0</v>
      </c>
      <c r="CV332">
        <v>0</v>
      </c>
      <c r="CW332" s="46">
        <v>0</v>
      </c>
      <c r="CX332" s="46">
        <f t="shared" si="38"/>
        <v>0</v>
      </c>
      <c r="CY332" s="46">
        <v>0</v>
      </c>
      <c r="CZ332" s="46">
        <f t="shared" si="39"/>
        <v>0</v>
      </c>
      <c r="DA332" s="46">
        <f t="shared" si="40"/>
        <v>0</v>
      </c>
      <c r="DB332" s="46">
        <v>0</v>
      </c>
      <c r="DC332" s="46">
        <f t="shared" si="41"/>
        <v>0</v>
      </c>
      <c r="DD332" s="46">
        <v>0</v>
      </c>
      <c r="DE332" s="995">
        <v>0</v>
      </c>
      <c r="DF332" s="995">
        <v>0</v>
      </c>
      <c r="DG332" s="995">
        <v>0</v>
      </c>
      <c r="DH332" s="995">
        <v>0</v>
      </c>
      <c r="DI332" s="995">
        <v>185.17</v>
      </c>
      <c r="DJ332" s="995">
        <v>3960599</v>
      </c>
      <c r="DK332" s="995">
        <v>8.9860000000000007</v>
      </c>
      <c r="DL332" s="995">
        <v>192202.8</v>
      </c>
      <c r="DM332" s="995">
        <v>0</v>
      </c>
      <c r="DN332" s="995">
        <v>0</v>
      </c>
      <c r="DO332" s="995">
        <v>0</v>
      </c>
      <c r="DP332" s="995">
        <v>0</v>
      </c>
      <c r="DQ332" s="995">
        <v>185.17</v>
      </c>
      <c r="DR332" s="995">
        <v>3960599</v>
      </c>
      <c r="DS332" s="995">
        <v>8.9860000000000007</v>
      </c>
      <c r="DT332" s="995">
        <v>192202.8</v>
      </c>
    </row>
    <row r="333" spans="1:124">
      <c r="A333" s="42" t="s">
        <v>94</v>
      </c>
      <c r="B333" s="42" t="s">
        <v>510</v>
      </c>
      <c r="C333" s="42" t="s">
        <v>511</v>
      </c>
      <c r="D333" s="42">
        <v>810360</v>
      </c>
      <c r="E333" s="42" t="s">
        <v>547</v>
      </c>
      <c r="F333" s="42" t="s">
        <v>149</v>
      </c>
      <c r="G333" s="42" t="s">
        <v>150</v>
      </c>
      <c r="H333" s="43" t="s">
        <v>150</v>
      </c>
      <c r="I333" s="44">
        <v>37</v>
      </c>
      <c r="J333" s="45">
        <v>214211.23360000001</v>
      </c>
      <c r="K333" s="46">
        <v>9933.6161250000005</v>
      </c>
      <c r="L333" s="47">
        <v>224144.84972500001</v>
      </c>
      <c r="M333" s="48">
        <v>4514621</v>
      </c>
      <c r="N333" s="49">
        <v>3144485</v>
      </c>
      <c r="O333" s="49">
        <v>1370112</v>
      </c>
      <c r="P333" s="49">
        <v>24</v>
      </c>
      <c r="Q333" s="50">
        <v>10499.0618139535</v>
      </c>
      <c r="R333" s="51">
        <v>19019.595825971701</v>
      </c>
      <c r="S333" s="49">
        <v>33024.392916467499</v>
      </c>
      <c r="T333" s="49">
        <v>5153.20904220803</v>
      </c>
      <c r="U333" s="49">
        <f>IFERROR(INDEX('Rentabilidad datos'!$N$2:$N$61,MATCH($C333,'Rentabilidad datos'!$C$2:$C$61,0)),"")</f>
        <v>57197.197784647178</v>
      </c>
      <c r="V333" s="50">
        <f>IFERROR(INDEX('Rentabilidad datos'!$O$2:$O$61,MATCH($C333,'Rentabilidad datos'!$C$2:$C$61,0)),"")</f>
        <v>1545.8702103958697</v>
      </c>
      <c r="W333" s="51">
        <f>IFERROR(INDEX('Rentabilidad datos'!$M$2:$M$61,MATCH($C333,'Rentabilidad datos'!$C$2:$C$61,0)),"")</f>
        <v>2982.1586443005776</v>
      </c>
      <c r="X333" s="52">
        <f>IFERROR(INDEX('Rentabilidad datos'!$P$2:$P$61,MATCH($C333,'Rentabilidad datos'!$C$2:$C$61,0)),"")</f>
        <v>0.51837289520136554</v>
      </c>
      <c r="Y333" s="43" t="s">
        <v>211</v>
      </c>
      <c r="Z333" s="53">
        <v>75.436090225563902</v>
      </c>
      <c r="AA333" s="43">
        <v>2</v>
      </c>
      <c r="AB333" s="54">
        <v>0.98974531859927994</v>
      </c>
      <c r="AC333" s="55">
        <v>1.0254681400720016E-2</v>
      </c>
      <c r="AD333" s="752" t="e">
        <f>_xlfn.XLOOKUP(Table1[[#This Row],[Ruta]],#REF!,#REF!)</f>
        <v>#REF!</v>
      </c>
      <c r="AE333" s="752" t="e">
        <f>_xlfn.XLOOKUP(Table1[[#This Row],[Ruta]],#REF!,#REF!)</f>
        <v>#REF!</v>
      </c>
      <c r="AF333" s="752" t="e">
        <f>_xlfn.XLOOKUP(Table1[[#This Row],[Ruta]],#REF!,#REF!)</f>
        <v>#REF!</v>
      </c>
      <c r="AG333" s="752" t="e">
        <f>_xlfn.XLOOKUP(Table1[[#This Row],[Ruta]],#REF!,#REF!)</f>
        <v>#REF!</v>
      </c>
      <c r="AH333" s="52">
        <v>0.69651140151078017</v>
      </c>
      <c r="AI333" s="52">
        <v>0.30348328242835887</v>
      </c>
      <c r="AJ333" s="55">
        <v>5.3160608609227659E-6</v>
      </c>
      <c r="AK333" s="56">
        <v>30099</v>
      </c>
      <c r="AL333" s="44">
        <v>12571</v>
      </c>
      <c r="AM333" s="54">
        <v>0.39682381474467598</v>
      </c>
      <c r="AN333" s="55">
        <v>0.59299875749554298</v>
      </c>
      <c r="AO333" s="56">
        <v>5904.6696018583498</v>
      </c>
      <c r="AP333" s="48">
        <v>2952.3348009291749</v>
      </c>
      <c r="AQ333" s="55">
        <v>0.51574254297249655</v>
      </c>
      <c r="AR333" s="51">
        <v>4514596.58</v>
      </c>
      <c r="AS333" s="49">
        <v>1060265.7382300401</v>
      </c>
      <c r="AT333" s="55">
        <v>0.23485282005641356</v>
      </c>
      <c r="AU333" s="51">
        <v>745051.59983732575</v>
      </c>
      <c r="AV333" s="52">
        <v>3.3893102338430703E-3</v>
      </c>
      <c r="AW333" s="44">
        <v>85</v>
      </c>
      <c r="AX333" s="51">
        <v>359.12788004136502</v>
      </c>
      <c r="AY333" s="49">
        <v>323.84896749365402</v>
      </c>
      <c r="AZ333" s="49">
        <v>0</v>
      </c>
      <c r="BA333" s="42" t="s">
        <v>152</v>
      </c>
      <c r="BB333" s="50">
        <v>0</v>
      </c>
      <c r="BC333" s="57">
        <v>745051.59983732575</v>
      </c>
      <c r="BD333" s="42" t="s">
        <v>150</v>
      </c>
      <c r="BE333" s="46">
        <v>75.436090225563902</v>
      </c>
      <c r="BF333" s="46">
        <v>72.425990467051307</v>
      </c>
      <c r="BG333" s="42" t="s">
        <v>150</v>
      </c>
      <c r="BH333" s="52">
        <v>0.39682381474467598</v>
      </c>
      <c r="BI333" s="52">
        <v>0.49337264070319697</v>
      </c>
      <c r="BJ333" s="42" t="s">
        <v>152</v>
      </c>
      <c r="BK333" s="46">
        <v>521.26709238372098</v>
      </c>
      <c r="BL333" s="46">
        <v>605.59017138979505</v>
      </c>
      <c r="BM333" s="42" t="s">
        <v>152</v>
      </c>
      <c r="BN333" s="48">
        <v>1</v>
      </c>
      <c r="BO333" s="42" t="s">
        <v>155</v>
      </c>
      <c r="BP333" s="42" t="s">
        <v>152</v>
      </c>
      <c r="BQ333" s="46">
        <v>3542.8307198398502</v>
      </c>
      <c r="BR333" s="46">
        <v>218</v>
      </c>
      <c r="BS333" s="46">
        <v>30461</v>
      </c>
      <c r="BT333" s="46">
        <v>8141</v>
      </c>
      <c r="BU333" s="46">
        <v>3.7416779265446505</v>
      </c>
      <c r="BV333" s="46">
        <v>37.344036697247709</v>
      </c>
      <c r="BW333" s="46">
        <v>0</v>
      </c>
      <c r="BX333" s="46">
        <v>0</v>
      </c>
      <c r="BY333" s="46">
        <v>0</v>
      </c>
      <c r="BZ333" s="46">
        <v>0</v>
      </c>
      <c r="CA333" s="46">
        <v>0</v>
      </c>
      <c r="CB333" s="46">
        <v>0</v>
      </c>
      <c r="CC333" s="46">
        <v>0.24824960078614419</v>
      </c>
      <c r="CD333" s="46">
        <v>0</v>
      </c>
      <c r="CE333" s="46">
        <v>0</v>
      </c>
      <c r="CF333" s="46">
        <v>0.75175039921385578</v>
      </c>
      <c r="CG333" s="46">
        <v>0</v>
      </c>
      <c r="CH333" s="46">
        <v>0</v>
      </c>
      <c r="CI333" s="46">
        <v>4.7930140179245591</v>
      </c>
      <c r="CJ333" s="46">
        <v>0.16414431568234791</v>
      </c>
      <c r="CK333">
        <v>214</v>
      </c>
      <c r="CL333">
        <v>214</v>
      </c>
      <c r="CM333">
        <f t="shared" si="42"/>
        <v>0</v>
      </c>
      <c r="CO333">
        <v>9.4499999999999993</v>
      </c>
      <c r="CP333">
        <f t="shared" si="43"/>
        <v>9.4499999999999993</v>
      </c>
      <c r="CS333">
        <f t="shared" si="44"/>
        <v>0</v>
      </c>
      <c r="CV333">
        <v>0</v>
      </c>
      <c r="CW333" s="46">
        <v>0</v>
      </c>
      <c r="CX333" s="46">
        <f t="shared" si="38"/>
        <v>0</v>
      </c>
      <c r="CY333" s="46">
        <v>0</v>
      </c>
      <c r="CZ333" s="46">
        <f t="shared" si="39"/>
        <v>0</v>
      </c>
      <c r="DA333" s="46">
        <f t="shared" si="40"/>
        <v>0</v>
      </c>
      <c r="DB333" s="46">
        <v>0</v>
      </c>
      <c r="DC333" s="46">
        <f t="shared" si="41"/>
        <v>0</v>
      </c>
      <c r="DD333" s="46">
        <v>0</v>
      </c>
      <c r="DE333" s="995">
        <v>0</v>
      </c>
      <c r="DF333" s="995">
        <v>0</v>
      </c>
      <c r="DG333" s="995">
        <v>0</v>
      </c>
      <c r="DH333" s="995">
        <v>0</v>
      </c>
      <c r="DI333" s="995">
        <v>376.79599999999999</v>
      </c>
      <c r="DJ333" s="995">
        <v>3067495</v>
      </c>
      <c r="DK333" s="995">
        <v>18.148</v>
      </c>
      <c r="DL333" s="995">
        <v>147746</v>
      </c>
      <c r="DM333" s="995">
        <v>0</v>
      </c>
      <c r="DN333" s="995">
        <v>0</v>
      </c>
      <c r="DO333" s="995">
        <v>0</v>
      </c>
      <c r="DP333" s="995">
        <v>0</v>
      </c>
      <c r="DQ333" s="995">
        <v>376.79599999999999</v>
      </c>
      <c r="DR333" s="995">
        <v>3067495</v>
      </c>
      <c r="DS333" s="995">
        <v>18.148</v>
      </c>
      <c r="DT333" s="995">
        <v>147746</v>
      </c>
    </row>
    <row r="334" spans="1:124">
      <c r="A334" s="42" t="s">
        <v>94</v>
      </c>
      <c r="B334" s="42" t="s">
        <v>510</v>
      </c>
      <c r="C334" s="42" t="s">
        <v>511</v>
      </c>
      <c r="D334" s="42">
        <v>810361</v>
      </c>
      <c r="E334" s="42" t="s">
        <v>548</v>
      </c>
      <c r="F334" s="42" t="s">
        <v>149</v>
      </c>
      <c r="G334" s="42" t="s">
        <v>150</v>
      </c>
      <c r="H334" s="43" t="s">
        <v>150</v>
      </c>
      <c r="I334" s="44">
        <v>37</v>
      </c>
      <c r="J334" s="45">
        <v>182583.60399999999</v>
      </c>
      <c r="K334" s="46">
        <v>9561.1266130000004</v>
      </c>
      <c r="L334" s="47">
        <v>192144.73061299999</v>
      </c>
      <c r="M334" s="48">
        <v>3779533</v>
      </c>
      <c r="N334" s="49">
        <v>2600846</v>
      </c>
      <c r="O334" s="49">
        <v>1178663</v>
      </c>
      <c r="P334" s="49">
        <v>24</v>
      </c>
      <c r="Q334" s="50">
        <v>8769.1654524362002</v>
      </c>
      <c r="R334" s="51">
        <v>19019.595825971701</v>
      </c>
      <c r="S334" s="49">
        <v>33024.392916467499</v>
      </c>
      <c r="T334" s="49">
        <v>5153.20904220803</v>
      </c>
      <c r="U334" s="49">
        <f>IFERROR(INDEX('Rentabilidad datos'!$N$2:$N$61,MATCH($C334,'Rentabilidad datos'!$C$2:$C$61,0)),"")</f>
        <v>57197.197784647178</v>
      </c>
      <c r="V334" s="50">
        <f>IFERROR(INDEX('Rentabilidad datos'!$O$2:$O$61,MATCH($C334,'Rentabilidad datos'!$C$2:$C$61,0)),"")</f>
        <v>1545.8702103958697</v>
      </c>
      <c r="W334" s="51">
        <f>IFERROR(INDEX('Rentabilidad datos'!$M$2:$M$61,MATCH($C334,'Rentabilidad datos'!$C$2:$C$61,0)),"")</f>
        <v>2982.1586443005776</v>
      </c>
      <c r="X334" s="52">
        <f>IFERROR(INDEX('Rentabilidad datos'!$P$2:$P$61,MATCH($C334,'Rentabilidad datos'!$C$2:$C$61,0)),"")</f>
        <v>0.51837289520136554</v>
      </c>
      <c r="Y334" s="43" t="s">
        <v>211</v>
      </c>
      <c r="Z334" s="53">
        <v>77.405000000000001</v>
      </c>
      <c r="AA334" s="43">
        <v>2</v>
      </c>
      <c r="AB334" s="54">
        <v>0.97224471912270638</v>
      </c>
      <c r="AC334" s="55">
        <v>2.7755280877293571E-2</v>
      </c>
      <c r="AD334" s="752" t="e">
        <f>_xlfn.XLOOKUP(Table1[[#This Row],[Ruta]],#REF!,#REF!)</f>
        <v>#REF!</v>
      </c>
      <c r="AE334" s="752" t="e">
        <f>_xlfn.XLOOKUP(Table1[[#This Row],[Ruta]],#REF!,#REF!)</f>
        <v>#REF!</v>
      </c>
      <c r="AF334" s="752" t="e">
        <f>_xlfn.XLOOKUP(Table1[[#This Row],[Ruta]],#REF!,#REF!)</f>
        <v>#REF!</v>
      </c>
      <c r="AG334" s="752" t="e">
        <f>_xlfn.XLOOKUP(Table1[[#This Row],[Ruta]],#REF!,#REF!)</f>
        <v>#REF!</v>
      </c>
      <c r="AH334" s="52">
        <v>0.68813951353249203</v>
      </c>
      <c r="AI334" s="52">
        <v>0.31185413647664939</v>
      </c>
      <c r="AJ334" s="55">
        <v>6.3499908586589932E-6</v>
      </c>
      <c r="AK334" s="56">
        <v>30962</v>
      </c>
      <c r="AL334" s="44">
        <v>10830</v>
      </c>
      <c r="AM334" s="54">
        <v>0.33877010529035601</v>
      </c>
      <c r="AN334" s="55">
        <v>0.59299875749554298</v>
      </c>
      <c r="AO334" s="56">
        <v>7871.4275295770103</v>
      </c>
      <c r="AP334" s="48">
        <v>3935.7137647885052</v>
      </c>
      <c r="AQ334" s="55">
        <v>0.47689793181281909</v>
      </c>
      <c r="AR334" s="51">
        <v>3779510.31</v>
      </c>
      <c r="AS334" s="49">
        <v>1373506.0712121001</v>
      </c>
      <c r="AT334" s="55">
        <v>0.36340847320300074</v>
      </c>
      <c r="AU334" s="51">
        <v>965166.42841931398</v>
      </c>
      <c r="AV334" s="52">
        <v>4.3906334191049171E-3</v>
      </c>
      <c r="AW334" s="44">
        <v>51</v>
      </c>
      <c r="AX334" s="51">
        <v>348.98525484764502</v>
      </c>
      <c r="AY334" s="49">
        <v>323.84896749365402</v>
      </c>
      <c r="AZ334" s="49">
        <v>0</v>
      </c>
      <c r="BA334" s="42" t="s">
        <v>152</v>
      </c>
      <c r="BB334" s="50">
        <v>0</v>
      </c>
      <c r="BC334" s="57">
        <v>965166.42841931398</v>
      </c>
      <c r="BD334" s="42" t="s">
        <v>150</v>
      </c>
      <c r="BE334" s="46">
        <v>77.405000000000001</v>
      </c>
      <c r="BF334" s="46">
        <v>72.425990467051307</v>
      </c>
      <c r="BG334" s="42" t="s">
        <v>150</v>
      </c>
      <c r="BH334" s="52">
        <v>0.33877010529035601</v>
      </c>
      <c r="BI334" s="52">
        <v>0.49337264070319697</v>
      </c>
      <c r="BJ334" s="42" t="s">
        <v>152</v>
      </c>
      <c r="BK334" s="46">
        <v>445.81143993735498</v>
      </c>
      <c r="BL334" s="46">
        <v>605.59017138979505</v>
      </c>
      <c r="BM334" s="42" t="s">
        <v>152</v>
      </c>
      <c r="BN334" s="48">
        <v>1</v>
      </c>
      <c r="BO334" s="42" t="s">
        <v>155</v>
      </c>
      <c r="BP334" s="42" t="s">
        <v>152</v>
      </c>
      <c r="BQ334" s="46">
        <v>5567.1883941534797</v>
      </c>
      <c r="BR334" s="46">
        <v>213</v>
      </c>
      <c r="BS334" s="46">
        <v>25530</v>
      </c>
      <c r="BT334" s="46">
        <v>6659</v>
      </c>
      <c r="BU334" s="46">
        <v>3.8339089953446464</v>
      </c>
      <c r="BV334" s="46">
        <v>31.262910798122064</v>
      </c>
      <c r="BW334" s="46">
        <v>0</v>
      </c>
      <c r="BX334" s="46">
        <v>717</v>
      </c>
      <c r="BY334" s="46">
        <v>717</v>
      </c>
      <c r="BZ334" s="46">
        <v>0.10767382489863343</v>
      </c>
      <c r="CA334" s="46">
        <v>0</v>
      </c>
      <c r="CB334" s="46">
        <v>0.10767382489863341</v>
      </c>
      <c r="CC334" s="46">
        <v>0.32782700105120888</v>
      </c>
      <c r="CD334" s="46">
        <v>0</v>
      </c>
      <c r="CE334" s="46">
        <v>0</v>
      </c>
      <c r="CF334" s="46">
        <v>0.5644991740501577</v>
      </c>
      <c r="CG334" s="46">
        <v>0</v>
      </c>
      <c r="CH334" s="46">
        <v>0</v>
      </c>
      <c r="CI334" s="46">
        <v>4.857030943987465</v>
      </c>
      <c r="CJ334" s="46">
        <v>0.31335683509596551</v>
      </c>
      <c r="CK334">
        <v>268</v>
      </c>
      <c r="CL334">
        <v>270.05</v>
      </c>
      <c r="CM334">
        <f t="shared" si="42"/>
        <v>2.0500000000000114</v>
      </c>
      <c r="CN334">
        <v>7</v>
      </c>
      <c r="CO334">
        <v>9.4499999999999993</v>
      </c>
      <c r="CP334">
        <f t="shared" si="43"/>
        <v>2.4499999999999993</v>
      </c>
      <c r="CQ334">
        <v>282.19</v>
      </c>
      <c r="CR334">
        <v>445.81</v>
      </c>
      <c r="CS334">
        <f t="shared" si="44"/>
        <v>-163.62</v>
      </c>
      <c r="CT334" t="s">
        <v>150</v>
      </c>
      <c r="CU334">
        <v>157.97999999999999</v>
      </c>
      <c r="CV334">
        <v>41</v>
      </c>
      <c r="CW334" s="46">
        <v>717</v>
      </c>
      <c r="CX334" s="46">
        <f t="shared" si="38"/>
        <v>10.736597086649647</v>
      </c>
      <c r="CY334" s="46">
        <v>2.0499999999999998</v>
      </c>
      <c r="CZ334" s="46">
        <f t="shared" si="39"/>
        <v>10.767382489863344</v>
      </c>
      <c r="DA334" s="46">
        <f t="shared" si="40"/>
        <v>3.8185481267968262</v>
      </c>
      <c r="DB334" s="46">
        <v>25435.54</v>
      </c>
      <c r="DC334" s="46">
        <f t="shared" si="41"/>
        <v>0.17254036525772962</v>
      </c>
      <c r="DD334" s="46">
        <v>1149.3</v>
      </c>
      <c r="DE334" s="995">
        <v>717</v>
      </c>
      <c r="DF334" s="995">
        <v>10.737</v>
      </c>
      <c r="DG334" s="995">
        <v>2</v>
      </c>
      <c r="DH334" s="995">
        <v>10.766999999999999</v>
      </c>
      <c r="DI334" s="995">
        <v>501.53399999999999</v>
      </c>
      <c r="DJ334" s="995">
        <v>3340746</v>
      </c>
      <c r="DK334" s="995">
        <v>23.989000000000001</v>
      </c>
      <c r="DL334" s="995">
        <v>159790.5</v>
      </c>
      <c r="DM334" s="995">
        <v>717</v>
      </c>
      <c r="DN334" s="995">
        <v>10.737</v>
      </c>
      <c r="DO334" s="995">
        <v>2</v>
      </c>
      <c r="DP334" s="995">
        <v>10.766999999999999</v>
      </c>
      <c r="DQ334" s="995">
        <v>501.53399999999999</v>
      </c>
      <c r="DR334" s="995">
        <v>3340746</v>
      </c>
      <c r="DS334" s="995">
        <v>23.989000000000001</v>
      </c>
      <c r="DT334" s="995">
        <v>159790.5</v>
      </c>
    </row>
    <row r="335" spans="1:124">
      <c r="A335" s="42" t="s">
        <v>94</v>
      </c>
      <c r="B335" s="42" t="s">
        <v>549</v>
      </c>
      <c r="C335" s="42" t="s">
        <v>550</v>
      </c>
      <c r="D335" s="42">
        <v>816327</v>
      </c>
      <c r="E335" s="42" t="s">
        <v>551</v>
      </c>
      <c r="F335" s="42" t="s">
        <v>149</v>
      </c>
      <c r="G335" s="42" t="s">
        <v>150</v>
      </c>
      <c r="H335" s="43" t="s">
        <v>150</v>
      </c>
      <c r="I335" s="44">
        <v>69</v>
      </c>
      <c r="J335" s="45">
        <v>192886.62400000001</v>
      </c>
      <c r="K335" s="46">
        <v>12498.363197000001</v>
      </c>
      <c r="L335" s="47">
        <v>205384.98719700001</v>
      </c>
      <c r="M335" s="48">
        <v>4491236</v>
      </c>
      <c r="N335" s="49">
        <v>2694709</v>
      </c>
      <c r="O335" s="49">
        <v>1794229</v>
      </c>
      <c r="P335" s="49">
        <v>2298</v>
      </c>
      <c r="Q335" s="50">
        <v>10617.598542141201</v>
      </c>
      <c r="R335" s="51">
        <v>25175.5141157486</v>
      </c>
      <c r="S335" s="49">
        <v>38258.831890765701</v>
      </c>
      <c r="T335" s="49">
        <v>8205.2627781153697</v>
      </c>
      <c r="U335" s="49">
        <f>IFERROR(INDEX('Rentabilidad datos'!$N$2:$N$61,MATCH($C335,'Rentabilidad datos'!$C$2:$C$61,0)),"")</f>
        <v>71639.608784629672</v>
      </c>
      <c r="V335" s="50">
        <f>IFERROR(INDEX('Rentabilidad datos'!$O$2:$O$61,MATCH($C335,'Rentabilidad datos'!$C$2:$C$61,0)),"")</f>
        <v>1193.9934797438279</v>
      </c>
      <c r="W335" s="51">
        <f>IFERROR(INDEX('Rentabilidad datos'!$M$2:$M$61,MATCH($C335,'Rentabilidad datos'!$C$2:$C$61,0)),"")</f>
        <v>3427.1365491869451</v>
      </c>
      <c r="X335" s="52">
        <f>IFERROR(INDEX('Rentabilidad datos'!$P$2:$P$61,MATCH($C335,'Rentabilidad datos'!$C$2:$C$61,0)),"")</f>
        <v>0.34839390336725601</v>
      </c>
      <c r="Y335" s="43" t="s">
        <v>171</v>
      </c>
      <c r="Z335" s="53">
        <v>81.526195899772205</v>
      </c>
      <c r="AA335" s="43">
        <v>2</v>
      </c>
      <c r="AB335" s="54">
        <v>0.97510395801957417</v>
      </c>
      <c r="AC335" s="55">
        <v>2.4896041980425877E-2</v>
      </c>
      <c r="AD335" s="752" t="e">
        <f>_xlfn.XLOOKUP(Table1[[#This Row],[Ruta]],#REF!,#REF!)</f>
        <v>#REF!</v>
      </c>
      <c r="AE335" s="752" t="e">
        <f>_xlfn.XLOOKUP(Table1[[#This Row],[Ruta]],#REF!,#REF!)</f>
        <v>#REF!</v>
      </c>
      <c r="AF335" s="752" t="e">
        <f>_xlfn.XLOOKUP(Table1[[#This Row],[Ruta]],#REF!,#REF!)</f>
        <v>#REF!</v>
      </c>
      <c r="AG335" s="752" t="e">
        <f>_xlfn.XLOOKUP(Table1[[#This Row],[Ruta]],#REF!,#REF!)</f>
        <v>#REF!</v>
      </c>
      <c r="AH335" s="52">
        <v>0.59999274141906589</v>
      </c>
      <c r="AI335" s="52">
        <v>0.39949559542183932</v>
      </c>
      <c r="AJ335" s="55">
        <v>5.1166315909473477E-4</v>
      </c>
      <c r="AK335" s="56">
        <v>35790</v>
      </c>
      <c r="AL335" s="44">
        <v>10656</v>
      </c>
      <c r="AM335" s="54">
        <v>0.29773679798826502</v>
      </c>
      <c r="AN335" s="55">
        <v>0.55224100357395201</v>
      </c>
      <c r="AO335" s="56">
        <v>9108.7055179117306</v>
      </c>
      <c r="AP335" s="48">
        <v>4554.3527589558653</v>
      </c>
      <c r="AQ335" s="55">
        <v>0.42498890078110829</v>
      </c>
      <c r="AR335" s="51">
        <v>4661125.76</v>
      </c>
      <c r="AS335" s="49">
        <v>1992155.6836426649</v>
      </c>
      <c r="AT335" s="55">
        <v>0.42739796912123329</v>
      </c>
      <c r="AU335" s="51">
        <v>1399893.1831002515</v>
      </c>
      <c r="AV335" s="52">
        <v>6.3682465654792001E-3</v>
      </c>
      <c r="AW335" s="44">
        <v>17</v>
      </c>
      <c r="AX335" s="51">
        <v>437.41795795795798</v>
      </c>
      <c r="AY335" s="49">
        <v>395.30787608246197</v>
      </c>
      <c r="AZ335" s="49">
        <v>0</v>
      </c>
      <c r="BA335" s="42" t="s">
        <v>152</v>
      </c>
      <c r="BB335" s="50">
        <v>0</v>
      </c>
      <c r="BC335" s="57">
        <v>1399893.1831002515</v>
      </c>
      <c r="BD335" s="42" t="s">
        <v>150</v>
      </c>
      <c r="BE335" s="46">
        <v>81.526195899772205</v>
      </c>
      <c r="BF335" s="46">
        <v>83.628504672897193</v>
      </c>
      <c r="BG335" s="42" t="s">
        <v>152</v>
      </c>
      <c r="BH335" s="52">
        <v>0.29773679798826502</v>
      </c>
      <c r="BI335" s="52">
        <v>0.51187669456560203</v>
      </c>
      <c r="BJ335" s="42" t="s">
        <v>152</v>
      </c>
      <c r="BK335" s="46">
        <v>467.84735124601298</v>
      </c>
      <c r="BL335" s="46">
        <v>638.00354527981403</v>
      </c>
      <c r="BM335" s="42" t="s">
        <v>152</v>
      </c>
      <c r="BN335" s="48">
        <v>0</v>
      </c>
      <c r="BO335" s="42" t="s">
        <v>155</v>
      </c>
      <c r="BP335" s="42" t="s">
        <v>152</v>
      </c>
      <c r="BQ335" s="46">
        <v>6923.5726159673504</v>
      </c>
      <c r="BR335" s="46">
        <v>144</v>
      </c>
      <c r="BS335" s="46">
        <v>4663</v>
      </c>
      <c r="BT335" s="46">
        <v>1413</v>
      </c>
      <c r="BU335" s="46">
        <v>3.3000707714083508</v>
      </c>
      <c r="BV335" s="46">
        <v>9.8125</v>
      </c>
      <c r="BW335" s="46">
        <v>598</v>
      </c>
      <c r="BX335" s="46">
        <v>690</v>
      </c>
      <c r="BY335" s="46">
        <v>1288</v>
      </c>
      <c r="BZ335" s="46">
        <v>0.91153573956121725</v>
      </c>
      <c r="CA335" s="46">
        <v>0.42321302193913657</v>
      </c>
      <c r="CB335" s="46">
        <v>0.48832271762208068</v>
      </c>
      <c r="CC335" s="46">
        <v>0</v>
      </c>
      <c r="CD335" s="46">
        <v>0</v>
      </c>
      <c r="CE335" s="46">
        <v>0</v>
      </c>
      <c r="CF335" s="46">
        <v>8.8464260438782735E-2</v>
      </c>
      <c r="CG335" s="46">
        <v>0</v>
      </c>
      <c r="CH335" s="46">
        <v>0</v>
      </c>
      <c r="CI335" s="46">
        <v>1.715633712202445</v>
      </c>
      <c r="CJ335" s="46">
        <v>0.85781685610122238</v>
      </c>
      <c r="CK335">
        <v>264</v>
      </c>
      <c r="CL335">
        <v>383.88</v>
      </c>
      <c r="CM335">
        <f t="shared" si="42"/>
        <v>119.88</v>
      </c>
      <c r="CN335">
        <v>6.6</v>
      </c>
      <c r="CO335">
        <v>9.4499999999999993</v>
      </c>
      <c r="CP335">
        <f t="shared" si="43"/>
        <v>2.8499999999999996</v>
      </c>
      <c r="CQ335">
        <v>846.56</v>
      </c>
      <c r="CR335">
        <v>467.85</v>
      </c>
      <c r="CS335">
        <f t="shared" si="44"/>
        <v>378.70999999999992</v>
      </c>
      <c r="CT335" t="s">
        <v>152</v>
      </c>
      <c r="CU335">
        <v>73.599999999999994</v>
      </c>
      <c r="CV335">
        <v>140</v>
      </c>
      <c r="CW335" s="46">
        <v>1288</v>
      </c>
      <c r="CX335" s="46">
        <f t="shared" si="38"/>
        <v>82.6694975230007</v>
      </c>
      <c r="CY335" s="46">
        <v>119.88</v>
      </c>
      <c r="CZ335" s="46">
        <f t="shared" si="39"/>
        <v>91.153573956121718</v>
      </c>
      <c r="DA335" s="46">
        <f t="shared" si="40"/>
        <v>1133.3460871040133</v>
      </c>
      <c r="DB335" s="46">
        <v>1737283.55</v>
      </c>
      <c r="DC335" s="46">
        <f t="shared" si="41"/>
        <v>46.652993058817387</v>
      </c>
      <c r="DD335" s="46">
        <v>71513.440000000002</v>
      </c>
      <c r="DE335" s="995">
        <v>1288</v>
      </c>
      <c r="DF335" s="995">
        <v>83.085999999999999</v>
      </c>
      <c r="DG335" s="995">
        <v>114</v>
      </c>
      <c r="DH335" s="995">
        <v>91.153999999999996</v>
      </c>
      <c r="DI335" s="995">
        <v>3145.049</v>
      </c>
      <c r="DJ335" s="995">
        <v>4802485</v>
      </c>
      <c r="DK335" s="995">
        <v>135.773</v>
      </c>
      <c r="DL335" s="995">
        <v>207324.9</v>
      </c>
      <c r="DM335" s="995">
        <v>1288</v>
      </c>
      <c r="DN335" s="995">
        <v>83.995000000000005</v>
      </c>
      <c r="DO335" s="995">
        <v>101.2</v>
      </c>
      <c r="DP335" s="995">
        <v>91.153999999999996</v>
      </c>
      <c r="DQ335" s="995">
        <v>3062.509</v>
      </c>
      <c r="DR335" s="995">
        <v>4637109</v>
      </c>
      <c r="DS335" s="995">
        <v>132.63200000000001</v>
      </c>
      <c r="DT335" s="995">
        <v>200825.5</v>
      </c>
    </row>
    <row r="336" spans="1:124">
      <c r="A336" s="42" t="s">
        <v>94</v>
      </c>
      <c r="B336" s="42" t="s">
        <v>549</v>
      </c>
      <c r="C336" s="42" t="s">
        <v>550</v>
      </c>
      <c r="D336" s="42">
        <v>816328</v>
      </c>
      <c r="E336" s="42" t="s">
        <v>552</v>
      </c>
      <c r="F336" s="42" t="s">
        <v>149</v>
      </c>
      <c r="G336" s="42" t="s">
        <v>150</v>
      </c>
      <c r="H336" s="43" t="s">
        <v>150</v>
      </c>
      <c r="I336" s="44">
        <v>69</v>
      </c>
      <c r="J336" s="45">
        <v>21.134399999999999</v>
      </c>
      <c r="K336" s="46">
        <v>1059.021675</v>
      </c>
      <c r="L336" s="47">
        <v>1080.1560750000001</v>
      </c>
      <c r="M336" s="48">
        <v>100739</v>
      </c>
      <c r="N336" s="49">
        <v>312</v>
      </c>
      <c r="O336" s="49">
        <v>99934</v>
      </c>
      <c r="P336" s="49">
        <v>493</v>
      </c>
      <c r="Q336" s="50">
        <v>4358.5195652173898</v>
      </c>
      <c r="R336" s="51">
        <v>25175.5141157486</v>
      </c>
      <c r="S336" s="49">
        <v>38258.831890765701</v>
      </c>
      <c r="T336" s="49">
        <v>8205.2627781153697</v>
      </c>
      <c r="U336" s="49">
        <f>IFERROR(INDEX('Rentabilidad datos'!$N$2:$N$61,MATCH($C336,'Rentabilidad datos'!$C$2:$C$61,0)),"")</f>
        <v>71639.608784629672</v>
      </c>
      <c r="V336" s="50">
        <f>IFERROR(INDEX('Rentabilidad datos'!$O$2:$O$61,MATCH($C336,'Rentabilidad datos'!$C$2:$C$61,0)),"")</f>
        <v>1193.9934797438279</v>
      </c>
      <c r="W336" s="51">
        <f>IFERROR(INDEX('Rentabilidad datos'!$M$2:$M$61,MATCH($C336,'Rentabilidad datos'!$C$2:$C$61,0)),"")</f>
        <v>3427.1365491869451</v>
      </c>
      <c r="X336" s="52">
        <f>IFERROR(INDEX('Rentabilidad datos'!$P$2:$P$61,MATCH($C336,'Rentabilidad datos'!$C$2:$C$61,0)),"")</f>
        <v>0.34839390336725601</v>
      </c>
      <c r="Y336" s="43" t="s">
        <v>171</v>
      </c>
      <c r="Z336" s="53">
        <v>3</v>
      </c>
      <c r="AA336" s="43">
        <v>2</v>
      </c>
      <c r="AB336" s="54">
        <v>1</v>
      </c>
      <c r="AC336" s="55">
        <v>0</v>
      </c>
      <c r="AD336" s="752" t="e">
        <f>_xlfn.XLOOKUP(Table1[[#This Row],[Ruta]],#REF!,#REF!)</f>
        <v>#REF!</v>
      </c>
      <c r="AE336" s="752" t="e">
        <f>_xlfn.XLOOKUP(Table1[[#This Row],[Ruta]],#REF!,#REF!)</f>
        <v>#REF!</v>
      </c>
      <c r="AF336" s="752" t="e">
        <f>_xlfn.XLOOKUP(Table1[[#This Row],[Ruta]],#REF!,#REF!)</f>
        <v>#REF!</v>
      </c>
      <c r="AG336" s="752" t="e">
        <f>_xlfn.XLOOKUP(Table1[[#This Row],[Ruta]],#REF!,#REF!)</f>
        <v>#REF!</v>
      </c>
      <c r="AH336" s="52">
        <v>3.097112339808813E-3</v>
      </c>
      <c r="AI336" s="52">
        <v>0.99200905309760867</v>
      </c>
      <c r="AJ336" s="55">
        <v>4.893834562582515E-3</v>
      </c>
      <c r="AK336" s="56">
        <v>63</v>
      </c>
      <c r="AL336" s="44">
        <v>16</v>
      </c>
      <c r="AM336" s="54">
        <v>0.22222222222222199</v>
      </c>
      <c r="AN336" s="55">
        <v>0.55224100357395201</v>
      </c>
      <c r="AO336" s="56">
        <v>20.7911832251589</v>
      </c>
      <c r="AP336" s="48">
        <v>10.39559161257945</v>
      </c>
      <c r="AQ336" s="55">
        <v>0.4189776446441183</v>
      </c>
      <c r="AR336" s="51">
        <v>100245.95</v>
      </c>
      <c r="AS336" s="49">
        <v>65132.247313441498</v>
      </c>
      <c r="AT336" s="55">
        <v>0.64972447578621884</v>
      </c>
      <c r="AU336" s="51">
        <v>45768.606220256203</v>
      </c>
      <c r="AV336" s="52">
        <v>2.0820572089895204E-4</v>
      </c>
      <c r="AW336" s="44">
        <v>438</v>
      </c>
      <c r="AX336" s="51">
        <v>6265.3718749999998</v>
      </c>
      <c r="AY336" s="49">
        <v>395.30787608246197</v>
      </c>
      <c r="AZ336" s="49">
        <v>0</v>
      </c>
      <c r="BA336" s="42" t="s">
        <v>152</v>
      </c>
      <c r="BB336" s="50">
        <v>0</v>
      </c>
      <c r="BC336" s="57">
        <v>45768.606220256203</v>
      </c>
      <c r="BD336" s="42" t="s">
        <v>150</v>
      </c>
      <c r="BE336" s="46">
        <v>3</v>
      </c>
      <c r="BF336" s="46">
        <v>83.628504672897193</v>
      </c>
      <c r="BG336" s="42" t="s">
        <v>152</v>
      </c>
      <c r="BH336" s="52">
        <v>0.22222222222222199</v>
      </c>
      <c r="BI336" s="52">
        <v>0.51187669456560203</v>
      </c>
      <c r="BJ336" s="42" t="s">
        <v>152</v>
      </c>
      <c r="BK336" s="46">
        <v>46.963307608695601</v>
      </c>
      <c r="BL336" s="46">
        <v>638.00354527981403</v>
      </c>
      <c r="BM336" s="42" t="s">
        <v>152</v>
      </c>
      <c r="BN336" s="48">
        <v>0</v>
      </c>
      <c r="BO336" s="42" t="s">
        <v>155</v>
      </c>
      <c r="BP336" s="42" t="s">
        <v>152</v>
      </c>
      <c r="BQ336" s="46">
        <v>269.62028000563902</v>
      </c>
      <c r="BR336" s="46" t="e">
        <v>#N/A</v>
      </c>
      <c r="BS336" s="46" t="e">
        <v>#N/A</v>
      </c>
      <c r="BT336" s="46" t="e">
        <v>#N/A</v>
      </c>
      <c r="BU336" s="46" t="e">
        <v>#N/A</v>
      </c>
      <c r="BV336" s="46" t="e">
        <v>#N/A</v>
      </c>
      <c r="BW336" s="46" t="e">
        <v>#N/A</v>
      </c>
      <c r="BX336" s="46" t="e">
        <v>#N/A</v>
      </c>
      <c r="BY336" s="46" t="e">
        <v>#N/A</v>
      </c>
      <c r="BZ336" s="46" t="e">
        <v>#N/A</v>
      </c>
      <c r="CA336" s="46" t="e">
        <v>#N/A</v>
      </c>
      <c r="CB336" s="46" t="e">
        <v>#N/A</v>
      </c>
      <c r="CC336" s="46" t="e">
        <v>#N/A</v>
      </c>
      <c r="CD336" s="46" t="e">
        <v>#N/A</v>
      </c>
      <c r="CE336" s="46" t="e">
        <v>#N/A</v>
      </c>
      <c r="CF336" s="46" t="e">
        <v>#N/A</v>
      </c>
      <c r="CG336" s="46" t="e">
        <v>#N/A</v>
      </c>
      <c r="CH336" s="46" t="e">
        <v>#N/A</v>
      </c>
      <c r="CI336" s="46" t="e">
        <v>#N/A</v>
      </c>
      <c r="CJ336" s="46" t="e">
        <v>#N/A</v>
      </c>
      <c r="CM336">
        <f t="shared" si="42"/>
        <v>0</v>
      </c>
      <c r="CP336">
        <f t="shared" si="43"/>
        <v>0</v>
      </c>
      <c r="CS336">
        <f t="shared" si="44"/>
        <v>0</v>
      </c>
      <c r="CW336" s="46"/>
      <c r="CX336" s="46" t="e">
        <f t="shared" si="38"/>
        <v>#N/A</v>
      </c>
      <c r="CY336" s="46"/>
      <c r="CZ336" s="46" t="e">
        <f t="shared" si="39"/>
        <v>#N/A</v>
      </c>
      <c r="DA336" s="46" t="e">
        <f t="shared" si="40"/>
        <v>#N/A</v>
      </c>
      <c r="DB336" s="46"/>
      <c r="DC336" s="46" t="e">
        <f t="shared" si="41"/>
        <v>#N/A</v>
      </c>
      <c r="DD336" s="46"/>
      <c r="DE336" s="995" t="s">
        <v>194</v>
      </c>
      <c r="DF336" s="995" t="s">
        <v>194</v>
      </c>
      <c r="DG336" s="995" t="s">
        <v>194</v>
      </c>
      <c r="DH336" s="995" t="s">
        <v>194</v>
      </c>
      <c r="DI336" s="995" t="s">
        <v>194</v>
      </c>
      <c r="DJ336" s="995" t="s">
        <v>194</v>
      </c>
      <c r="DK336" s="995" t="s">
        <v>194</v>
      </c>
      <c r="DL336" s="995" t="s">
        <v>194</v>
      </c>
      <c r="DM336" s="995" t="s">
        <v>194</v>
      </c>
      <c r="DN336" s="995" t="s">
        <v>194</v>
      </c>
      <c r="DO336" s="995" t="s">
        <v>194</v>
      </c>
      <c r="DP336" s="995" t="s">
        <v>194</v>
      </c>
      <c r="DQ336" s="995" t="s">
        <v>194</v>
      </c>
      <c r="DR336" s="995" t="s">
        <v>194</v>
      </c>
      <c r="DS336" s="995" t="s">
        <v>194</v>
      </c>
      <c r="DT336" s="995" t="s">
        <v>194</v>
      </c>
    </row>
    <row r="337" spans="1:124">
      <c r="A337" s="42" t="s">
        <v>94</v>
      </c>
      <c r="B337" s="42" t="s">
        <v>549</v>
      </c>
      <c r="C337" s="42" t="s">
        <v>550</v>
      </c>
      <c r="D337" s="42">
        <v>816329</v>
      </c>
      <c r="E337" s="42" t="s">
        <v>553</v>
      </c>
      <c r="F337" s="42" t="s">
        <v>149</v>
      </c>
      <c r="G337" s="42" t="s">
        <v>150</v>
      </c>
      <c r="H337" s="43" t="s">
        <v>150</v>
      </c>
      <c r="I337" s="44">
        <v>69</v>
      </c>
      <c r="J337" s="45">
        <v>272059.60879999999</v>
      </c>
      <c r="K337" s="46">
        <v>13756.456934</v>
      </c>
      <c r="L337" s="47">
        <v>285816.065734</v>
      </c>
      <c r="M337" s="48">
        <v>6222157</v>
      </c>
      <c r="N337" s="49">
        <v>3999586</v>
      </c>
      <c r="O337" s="49">
        <v>2220458</v>
      </c>
      <c r="P337" s="49">
        <v>2113</v>
      </c>
      <c r="Q337" s="50">
        <v>14261.8666972477</v>
      </c>
      <c r="R337" s="51">
        <v>25175.5141157486</v>
      </c>
      <c r="S337" s="49">
        <v>38258.831890765701</v>
      </c>
      <c r="T337" s="49">
        <v>8205.2627781153697</v>
      </c>
      <c r="U337" s="49">
        <f>IFERROR(INDEX('Rentabilidad datos'!$N$2:$N$61,MATCH($C337,'Rentabilidad datos'!$C$2:$C$61,0)),"")</f>
        <v>71639.608784629672</v>
      </c>
      <c r="V337" s="50">
        <f>IFERROR(INDEX('Rentabilidad datos'!$O$2:$O$61,MATCH($C337,'Rentabilidad datos'!$C$2:$C$61,0)),"")</f>
        <v>1193.9934797438279</v>
      </c>
      <c r="W337" s="51">
        <f>IFERROR(INDEX('Rentabilidad datos'!$M$2:$M$61,MATCH($C337,'Rentabilidad datos'!$C$2:$C$61,0)),"")</f>
        <v>3427.1365491869451</v>
      </c>
      <c r="X337" s="52">
        <f>IFERROR(INDEX('Rentabilidad datos'!$P$2:$P$61,MATCH($C337,'Rentabilidad datos'!$C$2:$C$61,0)),"")</f>
        <v>0.34839390336725601</v>
      </c>
      <c r="Y337" s="43" t="s">
        <v>171</v>
      </c>
      <c r="Z337" s="53">
        <v>76.855504587156005</v>
      </c>
      <c r="AA337" s="43">
        <v>2</v>
      </c>
      <c r="AB337" s="54">
        <v>0.97447139311978148</v>
      </c>
      <c r="AC337" s="55">
        <v>2.552860688021855E-2</v>
      </c>
      <c r="AD337" s="752" t="e">
        <f>_xlfn.XLOOKUP(Table1[[#This Row],[Ruta]],#REF!,#REF!)</f>
        <v>#REF!</v>
      </c>
      <c r="AE337" s="752" t="e">
        <f>_xlfn.XLOOKUP(Table1[[#This Row],[Ruta]],#REF!,#REF!)</f>
        <v>#REF!</v>
      </c>
      <c r="AF337" s="752" t="e">
        <f>_xlfn.XLOOKUP(Table1[[#This Row],[Ruta]],#REF!,#REF!)</f>
        <v>#REF!</v>
      </c>
      <c r="AG337" s="752" t="e">
        <f>_xlfn.XLOOKUP(Table1[[#This Row],[Ruta]],#REF!,#REF!)</f>
        <v>#REF!</v>
      </c>
      <c r="AH337" s="52">
        <v>0.64279734503645602</v>
      </c>
      <c r="AI337" s="52">
        <v>0.35686306211816898</v>
      </c>
      <c r="AJ337" s="55">
        <v>3.3959284537500421E-4</v>
      </c>
      <c r="AK337" s="56">
        <v>33509</v>
      </c>
      <c r="AL337" s="44">
        <v>12724</v>
      </c>
      <c r="AM337" s="54">
        <v>0.37971888149452399</v>
      </c>
      <c r="AN337" s="55">
        <v>0.55224100357395201</v>
      </c>
      <c r="AO337" s="56">
        <v>5781.0437887595399</v>
      </c>
      <c r="AP337" s="48">
        <v>2890.5218943797699</v>
      </c>
      <c r="AQ337" s="55">
        <v>0.46597994253423769</v>
      </c>
      <c r="AR337" s="51">
        <v>6218173.8799999999</v>
      </c>
      <c r="AS337" s="49">
        <v>1412587.8452688151</v>
      </c>
      <c r="AT337" s="55">
        <v>0.22717084991981842</v>
      </c>
      <c r="AU337" s="51">
        <v>992629.29667538393</v>
      </c>
      <c r="AV337" s="52">
        <v>4.5155646056848865E-3</v>
      </c>
      <c r="AW337" s="44">
        <v>43</v>
      </c>
      <c r="AX337" s="51">
        <v>488.69646966362802</v>
      </c>
      <c r="AY337" s="49">
        <v>395.30787608246197</v>
      </c>
      <c r="AZ337" s="49">
        <v>0</v>
      </c>
      <c r="BA337" s="42" t="s">
        <v>152</v>
      </c>
      <c r="BB337" s="50">
        <v>0</v>
      </c>
      <c r="BC337" s="57">
        <v>992629.29667538393</v>
      </c>
      <c r="BD337" s="42" t="s">
        <v>150</v>
      </c>
      <c r="BE337" s="46">
        <v>76.855504587156005</v>
      </c>
      <c r="BF337" s="46">
        <v>83.628504672897193</v>
      </c>
      <c r="BG337" s="42" t="s">
        <v>152</v>
      </c>
      <c r="BH337" s="52">
        <v>0.37971888149452399</v>
      </c>
      <c r="BI337" s="52">
        <v>0.51187669456560203</v>
      </c>
      <c r="BJ337" s="42" t="s">
        <v>152</v>
      </c>
      <c r="BK337" s="46">
        <v>655.54143516972397</v>
      </c>
      <c r="BL337" s="46">
        <v>638.00354527981403</v>
      </c>
      <c r="BM337" s="42" t="s">
        <v>150</v>
      </c>
      <c r="BN337" s="48">
        <v>1</v>
      </c>
      <c r="BO337" s="42" t="s">
        <v>155</v>
      </c>
      <c r="BP337" s="42" t="s">
        <v>152</v>
      </c>
      <c r="BQ337" s="46">
        <v>2102.2197792644401</v>
      </c>
      <c r="BR337" s="46">
        <v>67</v>
      </c>
      <c r="BS337" s="46">
        <v>5337</v>
      </c>
      <c r="BT337" s="46">
        <v>1511</v>
      </c>
      <c r="BU337" s="46">
        <v>3.5320979483785573</v>
      </c>
      <c r="BV337" s="46">
        <v>22.552238805970148</v>
      </c>
      <c r="BW337" s="46">
        <v>1113</v>
      </c>
      <c r="BX337" s="46">
        <v>0</v>
      </c>
      <c r="BY337" s="46">
        <v>1113</v>
      </c>
      <c r="BZ337" s="46">
        <v>0.73659827928524158</v>
      </c>
      <c r="CA337" s="46">
        <v>0.73659827928524158</v>
      </c>
      <c r="CB337" s="46">
        <v>0</v>
      </c>
      <c r="CC337" s="46">
        <v>0</v>
      </c>
      <c r="CD337" s="46">
        <v>0</v>
      </c>
      <c r="CE337" s="46">
        <v>0</v>
      </c>
      <c r="CF337" s="46">
        <v>0.26340172071475842</v>
      </c>
      <c r="CG337" s="46">
        <v>0</v>
      </c>
      <c r="CH337" s="46">
        <v>0</v>
      </c>
      <c r="CI337" s="46">
        <v>2.0610830054337641</v>
      </c>
      <c r="CJ337" s="46">
        <v>0.37474236462432081</v>
      </c>
      <c r="CK337">
        <v>264</v>
      </c>
      <c r="CL337">
        <v>264</v>
      </c>
      <c r="CM337">
        <f t="shared" si="42"/>
        <v>0</v>
      </c>
      <c r="CN337">
        <v>6.78</v>
      </c>
      <c r="CO337">
        <v>9.4499999999999993</v>
      </c>
      <c r="CP337">
        <f t="shared" si="43"/>
        <v>2.669999999999999</v>
      </c>
      <c r="CQ337">
        <v>564.37</v>
      </c>
      <c r="CR337">
        <v>655.54</v>
      </c>
      <c r="CS337">
        <f t="shared" si="44"/>
        <v>-91.169999999999959</v>
      </c>
      <c r="CT337" t="s">
        <v>150</v>
      </c>
      <c r="CU337">
        <v>116.15</v>
      </c>
      <c r="CV337">
        <v>245</v>
      </c>
      <c r="CW337" s="46">
        <v>1113</v>
      </c>
      <c r="CX337" s="46">
        <f t="shared" si="38"/>
        <v>73.659827928524152</v>
      </c>
      <c r="CY337" s="46">
        <v>0</v>
      </c>
      <c r="CZ337" s="46">
        <f t="shared" si="39"/>
        <v>73.659827928524152</v>
      </c>
      <c r="DA337" s="46">
        <f t="shared" si="40"/>
        <v>46.412428855062871</v>
      </c>
      <c r="DB337" s="46">
        <v>70129.179999999993</v>
      </c>
      <c r="DC337" s="46">
        <f t="shared" si="41"/>
        <v>1.9669755129053605</v>
      </c>
      <c r="DD337" s="46">
        <v>2972.1</v>
      </c>
      <c r="DE337" s="995">
        <v>1113</v>
      </c>
      <c r="DF337" s="995">
        <v>73.66</v>
      </c>
      <c r="DG337" s="995">
        <v>0</v>
      </c>
      <c r="DH337" s="995">
        <v>73.66</v>
      </c>
      <c r="DI337" s="995">
        <v>2661.3020000000001</v>
      </c>
      <c r="DJ337" s="995">
        <v>4021228</v>
      </c>
      <c r="DK337" s="995">
        <v>119.336</v>
      </c>
      <c r="DL337" s="995">
        <v>180316.1</v>
      </c>
      <c r="DM337" s="995">
        <v>1113</v>
      </c>
      <c r="DN337" s="995">
        <v>73.66</v>
      </c>
      <c r="DO337" s="995">
        <v>0</v>
      </c>
      <c r="DP337" s="995">
        <v>73.66</v>
      </c>
      <c r="DQ337" s="995">
        <v>2661.3020000000001</v>
      </c>
      <c r="DR337" s="995">
        <v>4021228</v>
      </c>
      <c r="DS337" s="995">
        <v>119.336</v>
      </c>
      <c r="DT337" s="995">
        <v>180316.1</v>
      </c>
    </row>
    <row r="338" spans="1:124">
      <c r="A338" s="42" t="s">
        <v>94</v>
      </c>
      <c r="B338" s="42" t="s">
        <v>549</v>
      </c>
      <c r="C338" s="42" t="s">
        <v>550</v>
      </c>
      <c r="D338" s="42">
        <v>816330</v>
      </c>
      <c r="E338" s="42" t="s">
        <v>554</v>
      </c>
      <c r="F338" s="42" t="s">
        <v>149</v>
      </c>
      <c r="G338" s="42" t="s">
        <v>150</v>
      </c>
      <c r="H338" s="43" t="s">
        <v>150</v>
      </c>
      <c r="I338" s="44">
        <v>69</v>
      </c>
      <c r="J338" s="45">
        <v>218832.622399999</v>
      </c>
      <c r="K338" s="46">
        <v>16607.592208999999</v>
      </c>
      <c r="L338" s="47">
        <v>235440.214608999</v>
      </c>
      <c r="M338" s="48">
        <v>6014357</v>
      </c>
      <c r="N338" s="49">
        <v>3207379</v>
      </c>
      <c r="O338" s="49">
        <v>2803643</v>
      </c>
      <c r="P338" s="49">
        <v>3335</v>
      </c>
      <c r="Q338" s="50">
        <v>13775.544449541299</v>
      </c>
      <c r="R338" s="51">
        <v>25175.5141157486</v>
      </c>
      <c r="S338" s="49">
        <v>38258.831890765701</v>
      </c>
      <c r="T338" s="49">
        <v>8205.2627781153697</v>
      </c>
      <c r="U338" s="49">
        <f>IFERROR(INDEX('Rentabilidad datos'!$N$2:$N$61,MATCH($C338,'Rentabilidad datos'!$C$2:$C$61,0)),"")</f>
        <v>71639.608784629672</v>
      </c>
      <c r="V338" s="50">
        <f>IFERROR(INDEX('Rentabilidad datos'!$O$2:$O$61,MATCH($C338,'Rentabilidad datos'!$C$2:$C$61,0)),"")</f>
        <v>1193.9934797438279</v>
      </c>
      <c r="W338" s="51">
        <f>IFERROR(INDEX('Rentabilidad datos'!$M$2:$M$61,MATCH($C338,'Rentabilidad datos'!$C$2:$C$61,0)),"")</f>
        <v>3427.1365491869451</v>
      </c>
      <c r="X338" s="52">
        <f>IFERROR(INDEX('Rentabilidad datos'!$P$2:$P$61,MATCH($C338,'Rentabilidad datos'!$C$2:$C$61,0)),"")</f>
        <v>0.34839390336725601</v>
      </c>
      <c r="Y338" s="43" t="s">
        <v>171</v>
      </c>
      <c r="Z338" s="53">
        <v>77.126146788990795</v>
      </c>
      <c r="AA338" s="43">
        <v>2</v>
      </c>
      <c r="AB338" s="54">
        <v>0.96057134619710804</v>
      </c>
      <c r="AC338" s="55">
        <v>3.9428653802891983E-2</v>
      </c>
      <c r="AD338" s="752" t="e">
        <f>_xlfn.XLOOKUP(Table1[[#This Row],[Ruta]],#REF!,#REF!)</f>
        <v>#REF!</v>
      </c>
      <c r="AE338" s="752" t="e">
        <f>_xlfn.XLOOKUP(Table1[[#This Row],[Ruta]],#REF!,#REF!)</f>
        <v>#REF!</v>
      </c>
      <c r="AF338" s="752" t="e">
        <f>_xlfn.XLOOKUP(Table1[[#This Row],[Ruta]],#REF!,#REF!)</f>
        <v>#REF!</v>
      </c>
      <c r="AG338" s="752" t="e">
        <f>_xlfn.XLOOKUP(Table1[[#This Row],[Ruta]],#REF!,#REF!)</f>
        <v>#REF!</v>
      </c>
      <c r="AH338" s="52">
        <v>0.53328709951870168</v>
      </c>
      <c r="AI338" s="52">
        <v>0.46615839398958192</v>
      </c>
      <c r="AJ338" s="55">
        <v>5.5450649171640465E-4</v>
      </c>
      <c r="AK338" s="56">
        <v>33627</v>
      </c>
      <c r="AL338" s="44">
        <v>19622</v>
      </c>
      <c r="AM338" s="54">
        <v>0.58351919588426004</v>
      </c>
      <c r="AN338" s="55">
        <v>0.55224100357395201</v>
      </c>
      <c r="AO338" s="56">
        <v>0</v>
      </c>
      <c r="AP338" s="48">
        <v>0</v>
      </c>
      <c r="AQ338" s="55">
        <v>0.58351919588425971</v>
      </c>
      <c r="AR338" s="51">
        <v>6006137.3799999999</v>
      </c>
      <c r="AS338" s="49">
        <v>0</v>
      </c>
      <c r="AT338" s="55">
        <v>0</v>
      </c>
      <c r="AU338" s="51">
        <v>0</v>
      </c>
      <c r="AV338" s="52">
        <v>0</v>
      </c>
      <c r="AW338" s="44">
        <v>490</v>
      </c>
      <c r="AX338" s="51">
        <v>306.09200795025998</v>
      </c>
      <c r="AY338" s="49">
        <v>395.30787608246197</v>
      </c>
      <c r="AZ338" s="49">
        <v>89.21586813220199</v>
      </c>
      <c r="BA338" s="42" t="s">
        <v>150</v>
      </c>
      <c r="BB338" s="50">
        <v>615073.48482083471</v>
      </c>
      <c r="BC338" s="57">
        <v>615073.48482083471</v>
      </c>
      <c r="BD338" s="42" t="s">
        <v>150</v>
      </c>
      <c r="BE338" s="46">
        <v>77.126146788990795</v>
      </c>
      <c r="BF338" s="46">
        <v>83.628504672897193</v>
      </c>
      <c r="BG338" s="42" t="s">
        <v>152</v>
      </c>
      <c r="BH338" s="52">
        <v>0.58351919588426004</v>
      </c>
      <c r="BI338" s="52">
        <v>0.51187669456560203</v>
      </c>
      <c r="BJ338" s="42" t="s">
        <v>150</v>
      </c>
      <c r="BK338" s="46">
        <v>540.00049222247605</v>
      </c>
      <c r="BL338" s="46">
        <v>638.00354527981403</v>
      </c>
      <c r="BM338" s="42" t="s">
        <v>152</v>
      </c>
      <c r="BN338" s="48">
        <v>1</v>
      </c>
      <c r="BO338" s="42" t="s">
        <v>155</v>
      </c>
      <c r="BP338" s="42" t="s">
        <v>152</v>
      </c>
      <c r="BQ338" s="46">
        <v>0</v>
      </c>
      <c r="BR338" s="46">
        <v>47</v>
      </c>
      <c r="BS338" s="46">
        <v>4185</v>
      </c>
      <c r="BT338" s="46">
        <v>1268</v>
      </c>
      <c r="BU338" s="46">
        <v>3.3004731861198739</v>
      </c>
      <c r="BV338" s="46">
        <v>26.978723404255319</v>
      </c>
      <c r="BW338" s="46">
        <v>1268</v>
      </c>
      <c r="BX338" s="46">
        <v>0</v>
      </c>
      <c r="BY338" s="46">
        <v>1268</v>
      </c>
      <c r="BZ338" s="46">
        <v>1</v>
      </c>
      <c r="CA338" s="46">
        <v>1</v>
      </c>
      <c r="CB338" s="46">
        <v>0</v>
      </c>
      <c r="CC338" s="46">
        <v>0</v>
      </c>
      <c r="CD338" s="46">
        <v>0</v>
      </c>
      <c r="CE338" s="46">
        <v>0</v>
      </c>
      <c r="CF338" s="46">
        <v>0</v>
      </c>
      <c r="CG338" s="46">
        <v>0</v>
      </c>
      <c r="CH338" s="46">
        <v>0</v>
      </c>
      <c r="CI338" s="46">
        <v>1.1947431302270011</v>
      </c>
      <c r="CJ338" s="46">
        <v>0.23894862604540021</v>
      </c>
      <c r="CK338">
        <v>295</v>
      </c>
      <c r="CL338">
        <v>295</v>
      </c>
      <c r="CM338">
        <f t="shared" si="42"/>
        <v>0</v>
      </c>
      <c r="CN338">
        <v>10.119999999999999</v>
      </c>
      <c r="CO338">
        <v>9.4499999999999993</v>
      </c>
      <c r="CP338">
        <f t="shared" si="43"/>
        <v>-0.66999999999999993</v>
      </c>
      <c r="CQ338">
        <v>846.56</v>
      </c>
      <c r="CR338">
        <v>540</v>
      </c>
      <c r="CS338">
        <f t="shared" si="44"/>
        <v>306.55999999999995</v>
      </c>
      <c r="CT338" t="s">
        <v>150</v>
      </c>
      <c r="CU338">
        <v>107.13</v>
      </c>
      <c r="CV338">
        <v>306</v>
      </c>
      <c r="CW338" s="46">
        <v>1268</v>
      </c>
      <c r="CX338" s="46">
        <f t="shared" si="38"/>
        <v>100</v>
      </c>
      <c r="CY338" s="46">
        <v>0</v>
      </c>
      <c r="CZ338" s="46">
        <f t="shared" si="39"/>
        <v>100</v>
      </c>
      <c r="DA338" s="46">
        <f t="shared" si="40"/>
        <v>1111.8015615141956</v>
      </c>
      <c r="DB338" s="46">
        <v>1409764.38</v>
      </c>
      <c r="DC338" s="46">
        <f t="shared" si="41"/>
        <v>40.345283911671928</v>
      </c>
      <c r="DD338" s="46">
        <v>51157.82</v>
      </c>
      <c r="DE338" s="995">
        <v>1268</v>
      </c>
      <c r="DF338" s="995">
        <v>99.367999999999995</v>
      </c>
      <c r="DG338" s="995">
        <v>8</v>
      </c>
      <c r="DH338" s="995">
        <v>100</v>
      </c>
      <c r="DI338" s="995">
        <v>4414.7870000000003</v>
      </c>
      <c r="DJ338" s="995">
        <v>5633349</v>
      </c>
      <c r="DK338" s="995">
        <v>155.50399999999999</v>
      </c>
      <c r="DL338" s="995">
        <v>198425.7</v>
      </c>
      <c r="DM338" s="995">
        <v>1268</v>
      </c>
      <c r="DN338" s="995">
        <v>99.478999999999999</v>
      </c>
      <c r="DO338" s="995">
        <v>6.6</v>
      </c>
      <c r="DP338" s="995">
        <v>100</v>
      </c>
      <c r="DQ338" s="995">
        <v>4404.058</v>
      </c>
      <c r="DR338" s="995">
        <v>5613427</v>
      </c>
      <c r="DS338" s="995">
        <v>155.10499999999999</v>
      </c>
      <c r="DT338" s="995">
        <v>197698</v>
      </c>
    </row>
    <row r="339" spans="1:124">
      <c r="A339" s="42" t="s">
        <v>94</v>
      </c>
      <c r="B339" s="42" t="s">
        <v>549</v>
      </c>
      <c r="C339" s="42" t="s">
        <v>550</v>
      </c>
      <c r="D339" s="42">
        <v>816331</v>
      </c>
      <c r="E339" s="42" t="s">
        <v>555</v>
      </c>
      <c r="F339" s="42" t="s">
        <v>149</v>
      </c>
      <c r="G339" s="42" t="s">
        <v>150</v>
      </c>
      <c r="H339" s="43" t="s">
        <v>150</v>
      </c>
      <c r="I339" s="44">
        <v>69</v>
      </c>
      <c r="J339" s="45">
        <v>199892.6776</v>
      </c>
      <c r="K339" s="46">
        <v>8583.7389999999996</v>
      </c>
      <c r="L339" s="47">
        <v>208476.4166</v>
      </c>
      <c r="M339" s="48">
        <v>4316361</v>
      </c>
      <c r="N339" s="49">
        <v>2931197</v>
      </c>
      <c r="O339" s="49">
        <v>1383152</v>
      </c>
      <c r="P339" s="49">
        <v>2012</v>
      </c>
      <c r="Q339" s="50">
        <v>9918.0399540229901</v>
      </c>
      <c r="R339" s="51">
        <v>25175.5141157486</v>
      </c>
      <c r="S339" s="49">
        <v>38258.831890765701</v>
      </c>
      <c r="T339" s="49">
        <v>8205.2627781153697</v>
      </c>
      <c r="U339" s="49">
        <f>IFERROR(INDEX('Rentabilidad datos'!$N$2:$N$61,MATCH($C339,'Rentabilidad datos'!$C$2:$C$61,0)),"")</f>
        <v>71639.608784629672</v>
      </c>
      <c r="V339" s="50">
        <f>IFERROR(INDEX('Rentabilidad datos'!$O$2:$O$61,MATCH($C339,'Rentabilidad datos'!$C$2:$C$61,0)),"")</f>
        <v>1193.9934797438279</v>
      </c>
      <c r="W339" s="51">
        <f>IFERROR(INDEX('Rentabilidad datos'!$M$2:$M$61,MATCH($C339,'Rentabilidad datos'!$C$2:$C$61,0)),"")</f>
        <v>3427.1365491869451</v>
      </c>
      <c r="X339" s="52">
        <f>IFERROR(INDEX('Rentabilidad datos'!$P$2:$P$61,MATCH($C339,'Rentabilidad datos'!$C$2:$C$61,0)),"")</f>
        <v>0.34839390336725601</v>
      </c>
      <c r="Y339" s="43" t="s">
        <v>171</v>
      </c>
      <c r="Z339" s="53">
        <v>48.4</v>
      </c>
      <c r="AA339" s="43">
        <v>2</v>
      </c>
      <c r="AB339" s="54">
        <v>0.97616302250900699</v>
      </c>
      <c r="AC339" s="55">
        <v>2.3836977490992992E-2</v>
      </c>
      <c r="AD339" s="752" t="e">
        <f>_xlfn.XLOOKUP(Table1[[#This Row],[Ruta]],#REF!,#REF!)</f>
        <v>#REF!</v>
      </c>
      <c r="AE339" s="752" t="e">
        <f>_xlfn.XLOOKUP(Table1[[#This Row],[Ruta]],#REF!,#REF!)</f>
        <v>#REF!</v>
      </c>
      <c r="AF339" s="752" t="e">
        <f>_xlfn.XLOOKUP(Table1[[#This Row],[Ruta]],#REF!,#REF!)</f>
        <v>#REF!</v>
      </c>
      <c r="AG339" s="752" t="e">
        <f>_xlfn.XLOOKUP(Table1[[#This Row],[Ruta]],#REF!,#REF!)</f>
        <v>#REF!</v>
      </c>
      <c r="AH339" s="52">
        <v>0.67908986296558604</v>
      </c>
      <c r="AI339" s="52">
        <v>0.32044400364103004</v>
      </c>
      <c r="AJ339" s="55">
        <v>4.6613339338391759E-4</v>
      </c>
      <c r="AK339" s="56">
        <v>21054</v>
      </c>
      <c r="AL339" s="44">
        <v>11815</v>
      </c>
      <c r="AM339" s="54">
        <v>0.56117602355846896</v>
      </c>
      <c r="AN339" s="55">
        <v>0.55224100357395201</v>
      </c>
      <c r="AO339" s="56">
        <v>0</v>
      </c>
      <c r="AP339" s="48">
        <v>0</v>
      </c>
      <c r="AQ339" s="55">
        <v>0.56117602355846874</v>
      </c>
      <c r="AR339" s="51">
        <v>4314347.38</v>
      </c>
      <c r="AS339" s="49">
        <v>0</v>
      </c>
      <c r="AT339" s="55">
        <v>0</v>
      </c>
      <c r="AU339" s="51">
        <v>0</v>
      </c>
      <c r="AV339" s="52">
        <v>0</v>
      </c>
      <c r="AW339" s="44">
        <v>490</v>
      </c>
      <c r="AX339" s="51">
        <v>365.15847482014402</v>
      </c>
      <c r="AY339" s="49">
        <v>395.30787608246197</v>
      </c>
      <c r="AZ339" s="49">
        <v>30.149401262317951</v>
      </c>
      <c r="BA339" s="42" t="s">
        <v>150</v>
      </c>
      <c r="BB339" s="50">
        <v>125156.68342934398</v>
      </c>
      <c r="BC339" s="57">
        <v>125156.68342934398</v>
      </c>
      <c r="BD339" s="42" t="s">
        <v>150</v>
      </c>
      <c r="BE339" s="46">
        <v>48.4</v>
      </c>
      <c r="BF339" s="46">
        <v>83.628504672897193</v>
      </c>
      <c r="BG339" s="42" t="s">
        <v>152</v>
      </c>
      <c r="BH339" s="52">
        <v>0.56117602355846896</v>
      </c>
      <c r="BI339" s="52">
        <v>0.51187669456560203</v>
      </c>
      <c r="BJ339" s="42" t="s">
        <v>150</v>
      </c>
      <c r="BK339" s="46">
        <v>479.25613011494198</v>
      </c>
      <c r="BL339" s="46">
        <v>638.00354527981403</v>
      </c>
      <c r="BM339" s="42" t="s">
        <v>152</v>
      </c>
      <c r="BN339" s="48">
        <v>1</v>
      </c>
      <c r="BO339" s="42" t="s">
        <v>155</v>
      </c>
      <c r="BP339" s="42" t="s">
        <v>152</v>
      </c>
      <c r="BQ339" s="46">
        <v>3690.5699519897098</v>
      </c>
      <c r="BR339" s="46">
        <v>211</v>
      </c>
      <c r="BS339" s="46">
        <v>15704</v>
      </c>
      <c r="BT339" s="46">
        <v>3593</v>
      </c>
      <c r="BU339" s="46">
        <v>4.3707208460896183</v>
      </c>
      <c r="BV339" s="46">
        <v>17.028436018957347</v>
      </c>
      <c r="BW339" s="46">
        <v>398</v>
      </c>
      <c r="BX339" s="46">
        <v>266</v>
      </c>
      <c r="BY339" s="46">
        <v>664</v>
      </c>
      <c r="BZ339" s="46">
        <v>0.18480378513776788</v>
      </c>
      <c r="CA339" s="46">
        <v>0.1107709435012524</v>
      </c>
      <c r="CB339" s="46">
        <v>7.4032841636515453E-2</v>
      </c>
      <c r="CC339" s="46">
        <v>4.7592541052045648E-2</v>
      </c>
      <c r="CD339" s="46">
        <v>2.6161981630949072E-2</v>
      </c>
      <c r="CE339" s="46">
        <v>0</v>
      </c>
      <c r="CF339" s="46">
        <v>0.74144169217923739</v>
      </c>
      <c r="CG339" s="46">
        <v>0</v>
      </c>
      <c r="CH339" s="46">
        <v>0</v>
      </c>
      <c r="CI339" s="46">
        <v>4.0753948038716246</v>
      </c>
      <c r="CJ339" s="46">
        <v>0.1910341314314824</v>
      </c>
      <c r="CK339">
        <v>297</v>
      </c>
      <c r="CL339">
        <v>312.47000000000003</v>
      </c>
      <c r="CM339">
        <f t="shared" si="42"/>
        <v>15.470000000000027</v>
      </c>
      <c r="CN339">
        <v>8.74</v>
      </c>
      <c r="CO339">
        <v>9.4499999999999993</v>
      </c>
      <c r="CP339">
        <f t="shared" si="43"/>
        <v>0.70999999999999908</v>
      </c>
      <c r="CQ339">
        <v>564.37</v>
      </c>
      <c r="CR339">
        <v>479.26</v>
      </c>
      <c r="CS339">
        <f t="shared" si="44"/>
        <v>85.110000000000014</v>
      </c>
      <c r="CT339" t="s">
        <v>150</v>
      </c>
      <c r="CU339">
        <v>107.51</v>
      </c>
      <c r="CV339">
        <v>97</v>
      </c>
      <c r="CW339" s="46">
        <v>664</v>
      </c>
      <c r="CX339" s="46">
        <f t="shared" si="38"/>
        <v>18.04981909268021</v>
      </c>
      <c r="CY339" s="46">
        <v>15.47</v>
      </c>
      <c r="CZ339" s="46">
        <f t="shared" si="39"/>
        <v>18.480378513776788</v>
      </c>
      <c r="DA339" s="46">
        <f t="shared" si="40"/>
        <v>99.703497604247801</v>
      </c>
      <c r="DB339" s="46">
        <v>359777.08</v>
      </c>
      <c r="DC339" s="46">
        <f t="shared" si="41"/>
        <v>4.858441389286873</v>
      </c>
      <c r="DD339" s="46">
        <v>17531.54</v>
      </c>
      <c r="DE339" s="995">
        <v>664</v>
      </c>
      <c r="DF339" s="995">
        <v>18.074000000000002</v>
      </c>
      <c r="DG339" s="995">
        <v>14.6</v>
      </c>
      <c r="DH339" s="995">
        <v>18.48</v>
      </c>
      <c r="DI339" s="995">
        <v>1000.638</v>
      </c>
      <c r="DJ339" s="995">
        <v>3609914</v>
      </c>
      <c r="DK339" s="995">
        <v>46.378999999999998</v>
      </c>
      <c r="DL339" s="995">
        <v>167318</v>
      </c>
      <c r="DM339" s="995">
        <v>664</v>
      </c>
      <c r="DN339" s="995">
        <v>18.145</v>
      </c>
      <c r="DO339" s="995">
        <v>12</v>
      </c>
      <c r="DP339" s="995">
        <v>18.48</v>
      </c>
      <c r="DQ339" s="995">
        <v>994.58799999999997</v>
      </c>
      <c r="DR339" s="995">
        <v>3585523</v>
      </c>
      <c r="DS339" s="995">
        <v>46.076999999999998</v>
      </c>
      <c r="DT339" s="995">
        <v>166108.1</v>
      </c>
    </row>
    <row r="340" spans="1:124">
      <c r="A340" s="42" t="s">
        <v>94</v>
      </c>
      <c r="B340" s="42" t="s">
        <v>549</v>
      </c>
      <c r="C340" s="42" t="s">
        <v>550</v>
      </c>
      <c r="D340" s="42">
        <v>816332</v>
      </c>
      <c r="E340" s="42" t="s">
        <v>556</v>
      </c>
      <c r="F340" s="42" t="s">
        <v>149</v>
      </c>
      <c r="G340" s="42" t="s">
        <v>150</v>
      </c>
      <c r="H340" s="43" t="s">
        <v>150</v>
      </c>
      <c r="I340" s="44">
        <v>69</v>
      </c>
      <c r="J340" s="45">
        <v>271802.47359999898</v>
      </c>
      <c r="K340" s="46">
        <v>11473.971632999999</v>
      </c>
      <c r="L340" s="47">
        <v>283276.44523299899</v>
      </c>
      <c r="M340" s="48">
        <v>5571730</v>
      </c>
      <c r="N340" s="49">
        <v>3979169</v>
      </c>
      <c r="O340" s="49">
        <v>1567092</v>
      </c>
      <c r="P340" s="49">
        <v>25469</v>
      </c>
      <c r="Q340" s="50">
        <v>12490.443922018299</v>
      </c>
      <c r="R340" s="51">
        <v>25175.5141157486</v>
      </c>
      <c r="S340" s="49">
        <v>38258.831890765701</v>
      </c>
      <c r="T340" s="49">
        <v>8205.2627781153697</v>
      </c>
      <c r="U340" s="49">
        <f>IFERROR(INDEX('Rentabilidad datos'!$N$2:$N$61,MATCH($C340,'Rentabilidad datos'!$C$2:$C$61,0)),"")</f>
        <v>71639.608784629672</v>
      </c>
      <c r="V340" s="50">
        <f>IFERROR(INDEX('Rentabilidad datos'!$O$2:$O$61,MATCH($C340,'Rentabilidad datos'!$C$2:$C$61,0)),"")</f>
        <v>1193.9934797438279</v>
      </c>
      <c r="W340" s="51">
        <f>IFERROR(INDEX('Rentabilidad datos'!$M$2:$M$61,MATCH($C340,'Rentabilidad datos'!$C$2:$C$61,0)),"")</f>
        <v>3427.1365491869451</v>
      </c>
      <c r="X340" s="52">
        <f>IFERROR(INDEX('Rentabilidad datos'!$P$2:$P$61,MATCH($C340,'Rentabilidad datos'!$C$2:$C$61,0)),"")</f>
        <v>0.34839390336725601</v>
      </c>
      <c r="Y340" s="43" t="s">
        <v>171</v>
      </c>
      <c r="Z340" s="53">
        <v>75.782110091743107</v>
      </c>
      <c r="AA340" s="43">
        <v>2</v>
      </c>
      <c r="AB340" s="54">
        <v>0.99103689518336313</v>
      </c>
      <c r="AC340" s="55">
        <v>8.9631048166368427E-3</v>
      </c>
      <c r="AD340" s="752" t="e">
        <f>_xlfn.XLOOKUP(Table1[[#This Row],[Ruta]],#REF!,#REF!)</f>
        <v>#REF!</v>
      </c>
      <c r="AE340" s="752" t="e">
        <f>_xlfn.XLOOKUP(Table1[[#This Row],[Ruta]],#REF!,#REF!)</f>
        <v>#REF!</v>
      </c>
      <c r="AF340" s="752" t="e">
        <f>_xlfn.XLOOKUP(Table1[[#This Row],[Ruta]],#REF!,#REF!)</f>
        <v>#REF!</v>
      </c>
      <c r="AG340" s="752" t="e">
        <f>_xlfn.XLOOKUP(Table1[[#This Row],[Ruta]],#REF!,#REF!)</f>
        <v>#REF!</v>
      </c>
      <c r="AH340" s="52">
        <v>0.71417118202066499</v>
      </c>
      <c r="AI340" s="52">
        <v>0.2812577063138379</v>
      </c>
      <c r="AJ340" s="55">
        <v>4.5711116654970716E-3</v>
      </c>
      <c r="AK340" s="56">
        <v>33041</v>
      </c>
      <c r="AL340" s="44">
        <v>16201</v>
      </c>
      <c r="AM340" s="54">
        <v>0.49033019581731802</v>
      </c>
      <c r="AN340" s="55">
        <v>0.55224100357395201</v>
      </c>
      <c r="AO340" s="56">
        <v>2045.5949990869301</v>
      </c>
      <c r="AP340" s="48">
        <v>1022.7974995434651</v>
      </c>
      <c r="AQ340" s="55">
        <v>0.52128559969563459</v>
      </c>
      <c r="AR340" s="51">
        <v>5445833.5499999998</v>
      </c>
      <c r="AS340" s="49">
        <v>343805.0082013405</v>
      </c>
      <c r="AT340" s="55">
        <v>6.3131751098294317E-2</v>
      </c>
      <c r="AU340" s="51">
        <v>241592.70846580694</v>
      </c>
      <c r="AV340" s="52">
        <v>1.0990280933613301E-3</v>
      </c>
      <c r="AW340" s="44">
        <v>281</v>
      </c>
      <c r="AX340" s="51">
        <v>336.14181532004199</v>
      </c>
      <c r="AY340" s="49">
        <v>395.30787608246197</v>
      </c>
      <c r="AZ340" s="49">
        <v>59.166060762419988</v>
      </c>
      <c r="BA340" s="42" t="s">
        <v>150</v>
      </c>
      <c r="BB340" s="50">
        <v>336787.60960420448</v>
      </c>
      <c r="BC340" s="57">
        <v>578380.31807001145</v>
      </c>
      <c r="BD340" s="42" t="s">
        <v>150</v>
      </c>
      <c r="BE340" s="46">
        <v>75.782110091743107</v>
      </c>
      <c r="BF340" s="46">
        <v>83.628504672897193</v>
      </c>
      <c r="BG340" s="42" t="s">
        <v>152</v>
      </c>
      <c r="BH340" s="52">
        <v>0.49033019581731802</v>
      </c>
      <c r="BI340" s="52">
        <v>0.51187669456560203</v>
      </c>
      <c r="BJ340" s="42" t="s">
        <v>152</v>
      </c>
      <c r="BK340" s="46">
        <v>649.71661750687895</v>
      </c>
      <c r="BL340" s="46">
        <v>638.00354527981403</v>
      </c>
      <c r="BM340" s="42" t="s">
        <v>150</v>
      </c>
      <c r="BN340" s="48">
        <v>1</v>
      </c>
      <c r="BO340" s="42" t="s">
        <v>155</v>
      </c>
      <c r="BP340" s="42" t="s">
        <v>152</v>
      </c>
      <c r="BQ340" s="46">
        <v>4237.4737644510196</v>
      </c>
      <c r="BR340" s="46">
        <v>54</v>
      </c>
      <c r="BS340" s="46">
        <v>9878</v>
      </c>
      <c r="BT340" s="46">
        <v>3007</v>
      </c>
      <c r="BU340" s="46">
        <v>3.2850016627868306</v>
      </c>
      <c r="BV340" s="46">
        <v>55.685185185185183</v>
      </c>
      <c r="BW340" s="46">
        <v>0</v>
      </c>
      <c r="BX340" s="46">
        <v>2636</v>
      </c>
      <c r="BY340" s="46">
        <v>2636</v>
      </c>
      <c r="BZ340" s="46">
        <v>0.87662121715996011</v>
      </c>
      <c r="CA340" s="46">
        <v>0</v>
      </c>
      <c r="CB340" s="46">
        <v>0.87662121715996011</v>
      </c>
      <c r="CC340" s="46">
        <v>0.12337878284003991</v>
      </c>
      <c r="CD340" s="46">
        <v>0</v>
      </c>
      <c r="CE340" s="46">
        <v>0</v>
      </c>
      <c r="CF340" s="46">
        <v>0</v>
      </c>
      <c r="CG340" s="46">
        <v>0</v>
      </c>
      <c r="CH340" s="46">
        <v>0</v>
      </c>
      <c r="CI340" s="46">
        <v>1.8222312208949181</v>
      </c>
      <c r="CJ340" s="46">
        <v>0.70864547479246809</v>
      </c>
      <c r="CK340">
        <v>312</v>
      </c>
      <c r="CL340">
        <v>379.47</v>
      </c>
      <c r="CM340">
        <f t="shared" si="42"/>
        <v>67.470000000000027</v>
      </c>
      <c r="CN340">
        <v>7.88</v>
      </c>
      <c r="CO340">
        <v>9.4499999999999993</v>
      </c>
      <c r="CP340">
        <f t="shared" si="43"/>
        <v>1.5699999999999994</v>
      </c>
      <c r="CQ340">
        <v>846.56</v>
      </c>
      <c r="CR340">
        <v>649.72</v>
      </c>
      <c r="CS340">
        <f t="shared" si="44"/>
        <v>196.83999999999992</v>
      </c>
      <c r="CT340" t="s">
        <v>152</v>
      </c>
      <c r="CU340">
        <v>92.5</v>
      </c>
      <c r="CV340">
        <v>344</v>
      </c>
      <c r="CW340" s="46">
        <v>2636</v>
      </c>
      <c r="CX340" s="46">
        <f t="shared" si="38"/>
        <v>85.418357166611244</v>
      </c>
      <c r="CY340" s="46">
        <v>67.47</v>
      </c>
      <c r="CZ340" s="46">
        <f t="shared" si="39"/>
        <v>87.662121715996008</v>
      </c>
      <c r="DA340" s="46">
        <f t="shared" si="40"/>
        <v>358.16176446672114</v>
      </c>
      <c r="DB340" s="46">
        <v>1101157.6000000001</v>
      </c>
      <c r="DC340" s="46">
        <f t="shared" si="41"/>
        <v>17.740911441646855</v>
      </c>
      <c r="DD340" s="46">
        <v>54543.9</v>
      </c>
      <c r="DE340" s="995">
        <v>2636</v>
      </c>
      <c r="DF340" s="995">
        <v>85.325000000000003</v>
      </c>
      <c r="DG340" s="995">
        <v>70.3</v>
      </c>
      <c r="DH340" s="995">
        <v>87.662000000000006</v>
      </c>
      <c r="DI340" s="995">
        <v>1789.7670000000001</v>
      </c>
      <c r="DJ340" s="995">
        <v>5507587</v>
      </c>
      <c r="DK340" s="995">
        <v>88.600999999999999</v>
      </c>
      <c r="DL340" s="995">
        <v>272648.7</v>
      </c>
      <c r="DM340" s="995">
        <v>2636</v>
      </c>
      <c r="DN340" s="995">
        <v>85.462999999999994</v>
      </c>
      <c r="DO340" s="995">
        <v>66.099999999999994</v>
      </c>
      <c r="DP340" s="995">
        <v>87.662000000000006</v>
      </c>
      <c r="DQ340" s="995">
        <v>1777.8530000000001</v>
      </c>
      <c r="DR340" s="995">
        <v>5463566</v>
      </c>
      <c r="DS340" s="995">
        <v>88.028000000000006</v>
      </c>
      <c r="DT340" s="995">
        <v>270520.09999999998</v>
      </c>
    </row>
    <row r="341" spans="1:124">
      <c r="A341" s="42" t="s">
        <v>94</v>
      </c>
      <c r="B341" s="42" t="s">
        <v>549</v>
      </c>
      <c r="C341" s="42" t="s">
        <v>550</v>
      </c>
      <c r="D341" s="42">
        <v>816333</v>
      </c>
      <c r="E341" s="42" t="s">
        <v>557</v>
      </c>
      <c r="F341" s="42" t="s">
        <v>149</v>
      </c>
      <c r="G341" s="42" t="s">
        <v>150</v>
      </c>
      <c r="H341" s="43" t="s">
        <v>150</v>
      </c>
      <c r="I341" s="44">
        <v>69</v>
      </c>
      <c r="J341" s="45">
        <v>237025.818399999</v>
      </c>
      <c r="K341" s="46">
        <v>15505.301857</v>
      </c>
      <c r="L341" s="47">
        <v>252531.12025699901</v>
      </c>
      <c r="M341" s="48">
        <v>5593822</v>
      </c>
      <c r="N341" s="49">
        <v>3472926</v>
      </c>
      <c r="O341" s="49">
        <v>2111901</v>
      </c>
      <c r="P341" s="49">
        <v>8995</v>
      </c>
      <c r="Q341" s="50">
        <v>12838.6816321839</v>
      </c>
      <c r="R341" s="51">
        <v>25175.5141157486</v>
      </c>
      <c r="S341" s="49">
        <v>38258.831890765701</v>
      </c>
      <c r="T341" s="49">
        <v>8205.2627781153697</v>
      </c>
      <c r="U341" s="49">
        <f>IFERROR(INDEX('Rentabilidad datos'!$N$2:$N$61,MATCH($C341,'Rentabilidad datos'!$C$2:$C$61,0)),"")</f>
        <v>71639.608784629672</v>
      </c>
      <c r="V341" s="50">
        <f>IFERROR(INDEX('Rentabilidad datos'!$O$2:$O$61,MATCH($C341,'Rentabilidad datos'!$C$2:$C$61,0)),"")</f>
        <v>1193.9934797438279</v>
      </c>
      <c r="W341" s="51">
        <f>IFERROR(INDEX('Rentabilidad datos'!$M$2:$M$61,MATCH($C341,'Rentabilidad datos'!$C$2:$C$61,0)),"")</f>
        <v>3427.1365491869451</v>
      </c>
      <c r="X341" s="52">
        <f>IFERROR(INDEX('Rentabilidad datos'!$P$2:$P$61,MATCH($C341,'Rentabilidad datos'!$C$2:$C$61,0)),"")</f>
        <v>0.34839390336725601</v>
      </c>
      <c r="Y341" s="43" t="s">
        <v>171</v>
      </c>
      <c r="Z341" s="53">
        <v>98.163218390804602</v>
      </c>
      <c r="AA341" s="43">
        <v>2</v>
      </c>
      <c r="AB341" s="54">
        <v>0.98721249978994685</v>
      </c>
      <c r="AC341" s="55">
        <v>1.2787500210053163E-2</v>
      </c>
      <c r="AD341" s="752" t="e">
        <f>_xlfn.XLOOKUP(Table1[[#This Row],[Ruta]],#REF!,#REF!)</f>
        <v>#REF!</v>
      </c>
      <c r="AE341" s="752" t="e">
        <f>_xlfn.XLOOKUP(Table1[[#This Row],[Ruta]],#REF!,#REF!)</f>
        <v>#REF!</v>
      </c>
      <c r="AF341" s="752" t="e">
        <f>_xlfn.XLOOKUP(Table1[[#This Row],[Ruta]],#REF!,#REF!)</f>
        <v>#REF!</v>
      </c>
      <c r="AG341" s="752" t="e">
        <f>_xlfn.XLOOKUP(Table1[[#This Row],[Ruta]],#REF!,#REF!)</f>
        <v>#REF!</v>
      </c>
      <c r="AH341" s="52">
        <v>0.62085028804992359</v>
      </c>
      <c r="AI341" s="52">
        <v>0.37754168795503323</v>
      </c>
      <c r="AJ341" s="55">
        <v>1.6080239950431029E-3</v>
      </c>
      <c r="AK341" s="56">
        <v>42701</v>
      </c>
      <c r="AL341" s="44">
        <v>20199</v>
      </c>
      <c r="AM341" s="54">
        <v>0.47303341842111402</v>
      </c>
      <c r="AN341" s="55">
        <v>0.55224100357395201</v>
      </c>
      <c r="AO341" s="56">
        <v>3382.2430936113101</v>
      </c>
      <c r="AP341" s="48">
        <v>1691.121546805655</v>
      </c>
      <c r="AQ341" s="55">
        <v>0.5126372109975329</v>
      </c>
      <c r="AR341" s="51">
        <v>5584826.5099999998</v>
      </c>
      <c r="AS341" s="49">
        <v>467578.61509146099</v>
      </c>
      <c r="AT341" s="55">
        <v>8.3723033160337329E-2</v>
      </c>
      <c r="AU341" s="51">
        <v>328568.75655075652</v>
      </c>
      <c r="AV341" s="52">
        <v>1.494690366870857E-3</v>
      </c>
      <c r="AW341" s="44">
        <v>226</v>
      </c>
      <c r="AX341" s="51">
        <v>276.49024753700701</v>
      </c>
      <c r="AY341" s="49">
        <v>395.30787608246197</v>
      </c>
      <c r="AZ341" s="49">
        <v>118.81762854545497</v>
      </c>
      <c r="BA341" s="42" t="s">
        <v>150</v>
      </c>
      <c r="BB341" s="50">
        <v>843242.28721257823</v>
      </c>
      <c r="BC341" s="57">
        <v>1171811.0437633349</v>
      </c>
      <c r="BD341" s="42" t="s">
        <v>150</v>
      </c>
      <c r="BE341" s="46">
        <v>98.163218390804602</v>
      </c>
      <c r="BF341" s="46">
        <v>83.628504672897193</v>
      </c>
      <c r="BG341" s="42" t="s">
        <v>150</v>
      </c>
      <c r="BH341" s="52">
        <v>0.47303341842111402</v>
      </c>
      <c r="BI341" s="52">
        <v>0.51187669456560203</v>
      </c>
      <c r="BJ341" s="42" t="s">
        <v>152</v>
      </c>
      <c r="BK341" s="46">
        <v>580.53131093563002</v>
      </c>
      <c r="BL341" s="46">
        <v>638.00354527981403</v>
      </c>
      <c r="BM341" s="42" t="s">
        <v>152</v>
      </c>
      <c r="BN341" s="48">
        <v>1</v>
      </c>
      <c r="BO341" s="42" t="s">
        <v>155</v>
      </c>
      <c r="BP341" s="42" t="s">
        <v>152</v>
      </c>
      <c r="BQ341" s="46">
        <v>0</v>
      </c>
      <c r="BR341" s="46">
        <v>79</v>
      </c>
      <c r="BS341" s="46">
        <v>10894</v>
      </c>
      <c r="BT341" s="46">
        <v>3410</v>
      </c>
      <c r="BU341" s="46">
        <v>3.1947214076246335</v>
      </c>
      <c r="BV341" s="46">
        <v>43.164556962025316</v>
      </c>
      <c r="BW341" s="46">
        <v>0</v>
      </c>
      <c r="BX341" s="46">
        <v>3410</v>
      </c>
      <c r="BY341" s="46">
        <v>3410</v>
      </c>
      <c r="BZ341" s="46">
        <v>1</v>
      </c>
      <c r="CA341" s="46">
        <v>0</v>
      </c>
      <c r="CB341" s="46">
        <v>1</v>
      </c>
      <c r="CC341" s="46">
        <v>0</v>
      </c>
      <c r="CD341" s="46">
        <v>0</v>
      </c>
      <c r="CE341" s="46">
        <v>0</v>
      </c>
      <c r="CF341" s="46">
        <v>0</v>
      </c>
      <c r="CG341" s="46">
        <v>0</v>
      </c>
      <c r="CH341" s="46">
        <v>0</v>
      </c>
      <c r="CI341" s="46">
        <v>1.9276666054709022</v>
      </c>
      <c r="CJ341" s="46">
        <v>0.18358729575913349</v>
      </c>
      <c r="CK341">
        <v>380</v>
      </c>
      <c r="CL341">
        <v>532.03</v>
      </c>
      <c r="CM341">
        <f t="shared" si="42"/>
        <v>152.02999999999997</v>
      </c>
      <c r="CN341">
        <v>8.77</v>
      </c>
      <c r="CO341">
        <v>9.4499999999999993</v>
      </c>
      <c r="CP341">
        <f t="shared" si="43"/>
        <v>0.67999999999999972</v>
      </c>
      <c r="CQ341">
        <v>846.56</v>
      </c>
      <c r="CR341">
        <v>580.53</v>
      </c>
      <c r="CS341">
        <f t="shared" si="44"/>
        <v>266.02999999999997</v>
      </c>
      <c r="CT341" t="s">
        <v>152</v>
      </c>
      <c r="CU341">
        <v>92.79</v>
      </c>
      <c r="CV341">
        <v>372</v>
      </c>
      <c r="CW341" s="46">
        <v>3410</v>
      </c>
      <c r="CX341" s="46">
        <f t="shared" si="38"/>
        <v>95.541642228738993</v>
      </c>
      <c r="CY341" s="46">
        <v>152.03</v>
      </c>
      <c r="CZ341" s="46">
        <f t="shared" si="39"/>
        <v>100</v>
      </c>
      <c r="DA341" s="46">
        <f t="shared" si="40"/>
        <v>801.34140644520107</v>
      </c>
      <c r="DB341" s="46">
        <v>2854402.13</v>
      </c>
      <c r="DC341" s="46">
        <f t="shared" si="41"/>
        <v>36.156635401723172</v>
      </c>
      <c r="DD341" s="46">
        <v>128791.02</v>
      </c>
      <c r="DE341" s="995">
        <v>3410</v>
      </c>
      <c r="DF341" s="995">
        <v>95.385999999999996</v>
      </c>
      <c r="DG341" s="995">
        <v>157.30000000000001</v>
      </c>
      <c r="DH341" s="995">
        <v>100</v>
      </c>
      <c r="DI341" s="995">
        <v>1976.529</v>
      </c>
      <c r="DJ341" s="995">
        <v>7050928</v>
      </c>
      <c r="DK341" s="995">
        <v>88.897000000000006</v>
      </c>
      <c r="DL341" s="995">
        <v>317123.8</v>
      </c>
      <c r="DM341" s="995">
        <v>3410</v>
      </c>
      <c r="DN341" s="995">
        <v>95.414000000000001</v>
      </c>
      <c r="DO341" s="995">
        <v>156.4</v>
      </c>
      <c r="DP341" s="995">
        <v>100</v>
      </c>
      <c r="DQ341" s="995">
        <v>1973.991</v>
      </c>
      <c r="DR341" s="995">
        <v>7040027</v>
      </c>
      <c r="DS341" s="995">
        <v>88.784999999999997</v>
      </c>
      <c r="DT341" s="995">
        <v>316643</v>
      </c>
    </row>
    <row r="342" spans="1:124">
      <c r="A342" s="42" t="s">
        <v>94</v>
      </c>
      <c r="B342" s="42" t="s">
        <v>549</v>
      </c>
      <c r="C342" s="42" t="s">
        <v>550</v>
      </c>
      <c r="D342" s="42">
        <v>816334</v>
      </c>
      <c r="E342" s="42" t="s">
        <v>558</v>
      </c>
      <c r="F342" s="42" t="s">
        <v>149</v>
      </c>
      <c r="G342" s="42" t="s">
        <v>150</v>
      </c>
      <c r="H342" s="43" t="s">
        <v>150</v>
      </c>
      <c r="I342" s="44">
        <v>69</v>
      </c>
      <c r="J342" s="45">
        <v>195183.22880000001</v>
      </c>
      <c r="K342" s="46">
        <v>9953.0683370000006</v>
      </c>
      <c r="L342" s="47">
        <v>205136.29713699999</v>
      </c>
      <c r="M342" s="48">
        <v>4571309</v>
      </c>
      <c r="N342" s="49">
        <v>2870187</v>
      </c>
      <c r="O342" s="49">
        <v>1699753</v>
      </c>
      <c r="P342" s="49">
        <v>1369</v>
      </c>
      <c r="Q342" s="50">
        <v>10760.326478873199</v>
      </c>
      <c r="R342" s="51">
        <v>25175.5141157486</v>
      </c>
      <c r="S342" s="49">
        <v>38258.831890765701</v>
      </c>
      <c r="T342" s="49">
        <v>8205.2627781153697</v>
      </c>
      <c r="U342" s="49">
        <f>IFERROR(INDEX('Rentabilidad datos'!$N$2:$N$61,MATCH($C342,'Rentabilidad datos'!$C$2:$C$61,0)),"")</f>
        <v>71639.608784629672</v>
      </c>
      <c r="V342" s="50">
        <f>IFERROR(INDEX('Rentabilidad datos'!$O$2:$O$61,MATCH($C342,'Rentabilidad datos'!$C$2:$C$61,0)),"")</f>
        <v>1193.9934797438279</v>
      </c>
      <c r="W342" s="51">
        <f>IFERROR(INDEX('Rentabilidad datos'!$M$2:$M$61,MATCH($C342,'Rentabilidad datos'!$C$2:$C$61,0)),"")</f>
        <v>3427.1365491869451</v>
      </c>
      <c r="X342" s="52">
        <f>IFERROR(INDEX('Rentabilidad datos'!$P$2:$P$61,MATCH($C342,'Rentabilidad datos'!$C$2:$C$61,0)),"")</f>
        <v>0.34839390336725601</v>
      </c>
      <c r="Y342" s="43" t="s">
        <v>171</v>
      </c>
      <c r="Z342" s="53">
        <v>44.828859060402699</v>
      </c>
      <c r="AA342" s="43">
        <v>2</v>
      </c>
      <c r="AB342" s="54">
        <v>0.98529633415724027</v>
      </c>
      <c r="AC342" s="55">
        <v>1.47036658427597E-2</v>
      </c>
      <c r="AD342" s="752" t="e">
        <f>_xlfn.XLOOKUP(Table1[[#This Row],[Ruta]],#REF!,#REF!)</f>
        <v>#REF!</v>
      </c>
      <c r="AE342" s="752" t="e">
        <f>_xlfn.XLOOKUP(Table1[[#This Row],[Ruta]],#REF!,#REF!)</f>
        <v>#REF!</v>
      </c>
      <c r="AF342" s="752" t="e">
        <f>_xlfn.XLOOKUP(Table1[[#This Row],[Ruta]],#REF!,#REF!)</f>
        <v>#REF!</v>
      </c>
      <c r="AG342" s="752" t="e">
        <f>_xlfn.XLOOKUP(Table1[[#This Row],[Ruta]],#REF!,#REF!)</f>
        <v>#REF!</v>
      </c>
      <c r="AH342" s="52">
        <v>0.62786982897021404</v>
      </c>
      <c r="AI342" s="52">
        <v>0.37183069444660161</v>
      </c>
      <c r="AJ342" s="55">
        <v>2.994765831843789E-4</v>
      </c>
      <c r="AK342" s="56">
        <v>13359</v>
      </c>
      <c r="AL342" s="44">
        <v>8475</v>
      </c>
      <c r="AM342" s="54">
        <v>0.46500486563365501</v>
      </c>
      <c r="AN342" s="55">
        <v>0.55224100357395201</v>
      </c>
      <c r="AO342" s="56">
        <v>1165.3875667444199</v>
      </c>
      <c r="AP342" s="48">
        <v>582.69378337220996</v>
      </c>
      <c r="AQ342" s="55">
        <v>0.67802184170762858</v>
      </c>
      <c r="AR342" s="51">
        <v>4583899.08</v>
      </c>
      <c r="AS342" s="49">
        <v>315163.36253942101</v>
      </c>
      <c r="AT342" s="55">
        <v>6.8754428716484961E-2</v>
      </c>
      <c r="AU342" s="51">
        <v>221466.14664932297</v>
      </c>
      <c r="AV342" s="52">
        <v>1.0074704590289183E-3</v>
      </c>
      <c r="AW342" s="44">
        <v>296</v>
      </c>
      <c r="AX342" s="51">
        <v>540.87304778761097</v>
      </c>
      <c r="AY342" s="49">
        <v>395.30787608246197</v>
      </c>
      <c r="AZ342" s="49">
        <v>0</v>
      </c>
      <c r="BA342" s="42" t="s">
        <v>152</v>
      </c>
      <c r="BB342" s="50">
        <v>0</v>
      </c>
      <c r="BC342" s="57">
        <v>221466.14664932297</v>
      </c>
      <c r="BD342" s="42" t="s">
        <v>150</v>
      </c>
      <c r="BE342" s="46">
        <v>44.828859060402699</v>
      </c>
      <c r="BF342" s="46">
        <v>83.628504672897193</v>
      </c>
      <c r="BG342" s="42" t="s">
        <v>152</v>
      </c>
      <c r="BH342" s="52">
        <v>0.46500486563365501</v>
      </c>
      <c r="BI342" s="52">
        <v>0.51187669456560203</v>
      </c>
      <c r="BJ342" s="42" t="s">
        <v>152</v>
      </c>
      <c r="BK342" s="46">
        <v>481.54060360798098</v>
      </c>
      <c r="BL342" s="46">
        <v>638.00354527981403</v>
      </c>
      <c r="BM342" s="42" t="s">
        <v>152</v>
      </c>
      <c r="BN342" s="48">
        <v>0</v>
      </c>
      <c r="BO342" s="42" t="s">
        <v>155</v>
      </c>
      <c r="BP342" s="42" t="s">
        <v>152</v>
      </c>
      <c r="BQ342" s="46">
        <v>4427.2402322339703</v>
      </c>
      <c r="BR342" s="46">
        <v>19</v>
      </c>
      <c r="BS342" s="46">
        <v>5108</v>
      </c>
      <c r="BT342" s="46">
        <v>1260</v>
      </c>
      <c r="BU342" s="46">
        <v>4.0539682539682538</v>
      </c>
      <c r="BV342" s="46">
        <v>66.315789473684205</v>
      </c>
      <c r="BW342" s="46">
        <v>36</v>
      </c>
      <c r="BX342" s="46">
        <v>0</v>
      </c>
      <c r="BY342" s="46">
        <v>36</v>
      </c>
      <c r="BZ342" s="46">
        <v>2.8571428571428571E-2</v>
      </c>
      <c r="CA342" s="46">
        <v>2.8571428571428571E-2</v>
      </c>
      <c r="CB342" s="46">
        <v>0</v>
      </c>
      <c r="CC342" s="46">
        <v>0</v>
      </c>
      <c r="CD342" s="46">
        <v>0</v>
      </c>
      <c r="CE342" s="46">
        <v>0</v>
      </c>
      <c r="CF342" s="46">
        <v>0.97142857142857142</v>
      </c>
      <c r="CG342" s="46">
        <v>0</v>
      </c>
      <c r="CH342" s="46">
        <v>0</v>
      </c>
      <c r="CI342" s="46">
        <v>6.4604541895066561</v>
      </c>
      <c r="CJ342" s="46">
        <v>0</v>
      </c>
      <c r="CK342">
        <v>67</v>
      </c>
      <c r="CL342">
        <v>97.89</v>
      </c>
      <c r="CM342">
        <f t="shared" si="42"/>
        <v>30.89</v>
      </c>
      <c r="CN342">
        <v>0.62</v>
      </c>
      <c r="CO342">
        <v>9.4499999999999993</v>
      </c>
      <c r="CP342">
        <f t="shared" si="43"/>
        <v>8.83</v>
      </c>
      <c r="CQ342">
        <v>846.56</v>
      </c>
      <c r="CR342">
        <v>481.54</v>
      </c>
      <c r="CS342">
        <f t="shared" si="44"/>
        <v>365.01999999999992</v>
      </c>
      <c r="CT342" t="s">
        <v>152</v>
      </c>
      <c r="CU342">
        <v>56.88</v>
      </c>
      <c r="CV342">
        <v>3</v>
      </c>
      <c r="CW342" s="46">
        <v>36</v>
      </c>
      <c r="CX342" s="46">
        <f t="shared" si="38"/>
        <v>0.40555555555555556</v>
      </c>
      <c r="CY342" s="46">
        <v>30.89</v>
      </c>
      <c r="CZ342" s="46">
        <f t="shared" si="39"/>
        <v>2.8571428571428572</v>
      </c>
      <c r="DA342" s="46">
        <f t="shared" si="40"/>
        <v>524.59199467034375</v>
      </c>
      <c r="DB342" s="46">
        <v>677190.56</v>
      </c>
      <c r="DC342" s="46">
        <f t="shared" si="41"/>
        <v>12.307524266203936</v>
      </c>
      <c r="DD342" s="46">
        <v>15887.66</v>
      </c>
      <c r="DE342" s="995">
        <v>36</v>
      </c>
      <c r="DF342" s="995">
        <v>0.52800000000000002</v>
      </c>
      <c r="DG342" s="995">
        <v>29.3</v>
      </c>
      <c r="DH342" s="995">
        <v>2.8570000000000002</v>
      </c>
      <c r="DI342" s="995">
        <v>985.47900000000004</v>
      </c>
      <c r="DJ342" s="995">
        <v>1270624</v>
      </c>
      <c r="DK342" s="995">
        <v>37.506999999999998</v>
      </c>
      <c r="DL342" s="995">
        <v>48359.199999999997</v>
      </c>
      <c r="DM342" s="995">
        <v>36</v>
      </c>
      <c r="DN342" s="995">
        <v>0.89600000000000002</v>
      </c>
      <c r="DO342" s="995">
        <v>24.7</v>
      </c>
      <c r="DP342" s="995">
        <v>2.8570000000000002</v>
      </c>
      <c r="DQ342" s="995">
        <v>909.95600000000002</v>
      </c>
      <c r="DR342" s="995">
        <v>1169033</v>
      </c>
      <c r="DS342" s="995">
        <v>35.786999999999999</v>
      </c>
      <c r="DT342" s="995">
        <v>45975.7</v>
      </c>
    </row>
    <row r="343" spans="1:124">
      <c r="A343" s="42" t="s">
        <v>94</v>
      </c>
      <c r="B343" s="42" t="s">
        <v>549</v>
      </c>
      <c r="C343" s="42" t="s">
        <v>550</v>
      </c>
      <c r="D343" s="42">
        <v>816335</v>
      </c>
      <c r="E343" s="42" t="s">
        <v>559</v>
      </c>
      <c r="F343" s="42" t="s">
        <v>149</v>
      </c>
      <c r="G343" s="42" t="s">
        <v>150</v>
      </c>
      <c r="H343" s="43" t="s">
        <v>150</v>
      </c>
      <c r="I343" s="44">
        <v>69</v>
      </c>
      <c r="J343" s="45">
        <v>210125.24960000001</v>
      </c>
      <c r="K343" s="46">
        <v>10197.277262</v>
      </c>
      <c r="L343" s="47">
        <v>220322.526862</v>
      </c>
      <c r="M343" s="48">
        <v>4405016</v>
      </c>
      <c r="N343" s="49">
        <v>3064436</v>
      </c>
      <c r="O343" s="49">
        <v>1335861</v>
      </c>
      <c r="P343" s="49">
        <v>4719</v>
      </c>
      <c r="Q343" s="50">
        <v>10233.249302325599</v>
      </c>
      <c r="R343" s="51">
        <v>25175.5141157486</v>
      </c>
      <c r="S343" s="49">
        <v>38258.831890765701</v>
      </c>
      <c r="T343" s="49">
        <v>8205.2627781153697</v>
      </c>
      <c r="U343" s="49">
        <f>IFERROR(INDEX('Rentabilidad datos'!$N$2:$N$61,MATCH($C343,'Rentabilidad datos'!$C$2:$C$61,0)),"")</f>
        <v>71639.608784629672</v>
      </c>
      <c r="V343" s="50">
        <f>IFERROR(INDEX('Rentabilidad datos'!$O$2:$O$61,MATCH($C343,'Rentabilidad datos'!$C$2:$C$61,0)),"")</f>
        <v>1193.9934797438279</v>
      </c>
      <c r="W343" s="51">
        <f>IFERROR(INDEX('Rentabilidad datos'!$M$2:$M$61,MATCH($C343,'Rentabilidad datos'!$C$2:$C$61,0)),"")</f>
        <v>3427.1365491869451</v>
      </c>
      <c r="X343" s="52">
        <f>IFERROR(INDEX('Rentabilidad datos'!$P$2:$P$61,MATCH($C343,'Rentabilidad datos'!$C$2:$C$61,0)),"")</f>
        <v>0.34839390336725601</v>
      </c>
      <c r="Y343" s="43" t="s">
        <v>171</v>
      </c>
      <c r="Z343" s="53">
        <v>84.304651162790705</v>
      </c>
      <c r="AA343" s="43">
        <v>2</v>
      </c>
      <c r="AB343" s="54">
        <v>0.92672943753212245</v>
      </c>
      <c r="AC343" s="55">
        <v>7.3270562467877526E-2</v>
      </c>
      <c r="AD343" s="752" t="e">
        <f>_xlfn.XLOOKUP(Table1[[#This Row],[Ruta]],#REF!,#REF!)</f>
        <v>#REF!</v>
      </c>
      <c r="AE343" s="752" t="e">
        <f>_xlfn.XLOOKUP(Table1[[#This Row],[Ruta]],#REF!,#REF!)</f>
        <v>#REF!</v>
      </c>
      <c r="AF343" s="752" t="e">
        <f>_xlfn.XLOOKUP(Table1[[#This Row],[Ruta]],#REF!,#REF!)</f>
        <v>#REF!</v>
      </c>
      <c r="AG343" s="752" t="e">
        <f>_xlfn.XLOOKUP(Table1[[#This Row],[Ruta]],#REF!,#REF!)</f>
        <v>#REF!</v>
      </c>
      <c r="AH343" s="52">
        <v>0.69566966385593154</v>
      </c>
      <c r="AI343" s="52">
        <v>0.30325905740183462</v>
      </c>
      <c r="AJ343" s="55">
        <v>1.0712787422338533E-3</v>
      </c>
      <c r="AK343" s="56">
        <v>36251</v>
      </c>
      <c r="AL343" s="44">
        <v>17606</v>
      </c>
      <c r="AM343" s="54">
        <v>0.485669360845218</v>
      </c>
      <c r="AN343" s="55">
        <v>0.55224100357395201</v>
      </c>
      <c r="AO343" s="56">
        <v>2413.28862055932</v>
      </c>
      <c r="AP343" s="48">
        <v>1206.64431027966</v>
      </c>
      <c r="AQ343" s="55">
        <v>0.51895518220958481</v>
      </c>
      <c r="AR343" s="51">
        <v>4400297.2</v>
      </c>
      <c r="AS343" s="49">
        <v>301578.64250366401</v>
      </c>
      <c r="AT343" s="55">
        <v>6.853597127568202E-2</v>
      </c>
      <c r="AU343" s="51">
        <v>211920.12716473694</v>
      </c>
      <c r="AV343" s="52">
        <v>9.6404471302872585E-4</v>
      </c>
      <c r="AW343" s="44">
        <v>301</v>
      </c>
      <c r="AX343" s="51">
        <v>249.931682381006</v>
      </c>
      <c r="AY343" s="49">
        <v>395.30787608246197</v>
      </c>
      <c r="AZ343" s="49">
        <v>145.37619370145597</v>
      </c>
      <c r="BA343" s="42" t="s">
        <v>150</v>
      </c>
      <c r="BB343" s="50">
        <v>899281.41789194208</v>
      </c>
      <c r="BC343" s="57">
        <v>1111201.5450566791</v>
      </c>
      <c r="BD343" s="42" t="s">
        <v>150</v>
      </c>
      <c r="BE343" s="46">
        <v>84.304651162790705</v>
      </c>
      <c r="BF343" s="46">
        <v>83.628504672897193</v>
      </c>
      <c r="BG343" s="42" t="s">
        <v>150</v>
      </c>
      <c r="BH343" s="52">
        <v>0.485669360845218</v>
      </c>
      <c r="BI343" s="52">
        <v>0.51187669456560203</v>
      </c>
      <c r="BJ343" s="42" t="s">
        <v>152</v>
      </c>
      <c r="BK343" s="46">
        <v>512.37796944651097</v>
      </c>
      <c r="BL343" s="46">
        <v>638.00354527981403</v>
      </c>
      <c r="BM343" s="42" t="s">
        <v>152</v>
      </c>
      <c r="BN343" s="48">
        <v>1</v>
      </c>
      <c r="BO343" s="42" t="s">
        <v>155</v>
      </c>
      <c r="BP343" s="42" t="s">
        <v>152</v>
      </c>
      <c r="BQ343" s="46">
        <v>0</v>
      </c>
      <c r="BR343" s="46">
        <v>516</v>
      </c>
      <c r="BS343" s="46">
        <v>35728</v>
      </c>
      <c r="BT343" s="46">
        <v>10158</v>
      </c>
      <c r="BU343" s="46">
        <v>3.517227800748179</v>
      </c>
      <c r="BV343" s="46">
        <v>19.686046511627907</v>
      </c>
      <c r="BW343" s="46">
        <v>0</v>
      </c>
      <c r="BX343" s="46">
        <v>2382</v>
      </c>
      <c r="BY343" s="46">
        <v>2382</v>
      </c>
      <c r="BZ343" s="46">
        <v>0.2344949793266391</v>
      </c>
      <c r="CA343" s="46">
        <v>0</v>
      </c>
      <c r="CB343" s="46">
        <v>0.2344949793266391</v>
      </c>
      <c r="CC343" s="46">
        <v>0.18261468793069499</v>
      </c>
      <c r="CD343" s="46">
        <v>7.1372317385312065E-2</v>
      </c>
      <c r="CE343" s="46">
        <v>0</v>
      </c>
      <c r="CF343" s="46">
        <v>0.51151801535735386</v>
      </c>
      <c r="CG343" s="46">
        <v>0</v>
      </c>
      <c r="CH343" s="46">
        <v>0</v>
      </c>
      <c r="CI343" s="46">
        <v>3.9744738020600088</v>
      </c>
      <c r="CJ343" s="46">
        <v>8.3967756381549477E-2</v>
      </c>
      <c r="CK343">
        <v>515</v>
      </c>
      <c r="CL343">
        <v>684.74</v>
      </c>
      <c r="CM343">
        <f t="shared" si="42"/>
        <v>169.74</v>
      </c>
      <c r="CN343">
        <v>12.57</v>
      </c>
      <c r="CO343">
        <v>9.4499999999999993</v>
      </c>
      <c r="CP343">
        <f t="shared" si="43"/>
        <v>-3.120000000000001</v>
      </c>
      <c r="CQ343">
        <v>564.37</v>
      </c>
      <c r="CR343">
        <v>512.38</v>
      </c>
      <c r="CS343">
        <f t="shared" si="44"/>
        <v>51.990000000000009</v>
      </c>
      <c r="CT343" t="s">
        <v>150</v>
      </c>
      <c r="CU343">
        <v>135.32</v>
      </c>
      <c r="CV343">
        <v>182</v>
      </c>
      <c r="CW343" s="46">
        <v>2382</v>
      </c>
      <c r="CX343" s="46">
        <f t="shared" si="38"/>
        <v>21.778499704666274</v>
      </c>
      <c r="CY343" s="46">
        <v>169.74</v>
      </c>
      <c r="CZ343" s="46">
        <f t="shared" si="39"/>
        <v>23.44949793266391</v>
      </c>
      <c r="DA343" s="46">
        <f t="shared" si="40"/>
        <v>506.37763634638367</v>
      </c>
      <c r="DB343" s="46">
        <v>5229736.57</v>
      </c>
      <c r="DC343" s="46">
        <f t="shared" si="41"/>
        <v>23.625946237995922</v>
      </c>
      <c r="DD343" s="46">
        <v>244002.63</v>
      </c>
      <c r="DE343" s="995">
        <v>2382</v>
      </c>
      <c r="DF343" s="995">
        <v>21.779</v>
      </c>
      <c r="DG343" s="995">
        <v>169.7</v>
      </c>
      <c r="DH343" s="995">
        <v>23.449000000000002</v>
      </c>
      <c r="DI343" s="995">
        <v>861.37599999999998</v>
      </c>
      <c r="DJ343" s="995">
        <v>8896009</v>
      </c>
      <c r="DK343" s="995">
        <v>40.39</v>
      </c>
      <c r="DL343" s="995">
        <v>417137.6</v>
      </c>
      <c r="DM343" s="995">
        <v>2382</v>
      </c>
      <c r="DN343" s="995">
        <v>21.780999999999999</v>
      </c>
      <c r="DO343" s="995">
        <v>169.4</v>
      </c>
      <c r="DP343" s="995">
        <v>23.449000000000002</v>
      </c>
      <c r="DQ343" s="995">
        <v>861.18499999999995</v>
      </c>
      <c r="DR343" s="995">
        <v>8893846</v>
      </c>
      <c r="DS343" s="995">
        <v>40.381</v>
      </c>
      <c r="DT343" s="995">
        <v>417034.5</v>
      </c>
    </row>
    <row r="344" spans="1:124">
      <c r="A344" s="42" t="s">
        <v>94</v>
      </c>
      <c r="B344" s="42" t="s">
        <v>549</v>
      </c>
      <c r="C344" s="42" t="s">
        <v>550</v>
      </c>
      <c r="D344" s="42">
        <v>816336</v>
      </c>
      <c r="E344" s="42" t="s">
        <v>560</v>
      </c>
      <c r="F344" s="42" t="s">
        <v>193</v>
      </c>
      <c r="G344" s="42" t="s">
        <v>150</v>
      </c>
      <c r="H344" s="43" t="s">
        <v>152</v>
      </c>
      <c r="I344" s="44">
        <v>69</v>
      </c>
      <c r="J344" s="45">
        <v>4688.3144000000002</v>
      </c>
      <c r="K344" s="46">
        <v>154.505393</v>
      </c>
      <c r="L344" s="47">
        <v>4842.8197929999997</v>
      </c>
      <c r="M344" s="48">
        <v>74825</v>
      </c>
      <c r="N344" s="49">
        <v>55723</v>
      </c>
      <c r="O344" s="49">
        <v>19102</v>
      </c>
      <c r="P344" s="49">
        <v>0</v>
      </c>
      <c r="Q344" s="50">
        <v>0</v>
      </c>
      <c r="R344" s="51">
        <v>25175.5141157486</v>
      </c>
      <c r="S344" s="49">
        <v>38258.831890765701</v>
      </c>
      <c r="T344" s="49">
        <v>8205.2627781153697</v>
      </c>
      <c r="U344" s="49">
        <f>IFERROR(INDEX('Rentabilidad datos'!$N$2:$N$61,MATCH($C344,'Rentabilidad datos'!$C$2:$C$61,0)),"")</f>
        <v>71639.608784629672</v>
      </c>
      <c r="V344" s="50">
        <f>IFERROR(INDEX('Rentabilidad datos'!$O$2:$O$61,MATCH($C344,'Rentabilidad datos'!$C$2:$C$61,0)),"")</f>
        <v>1193.9934797438279</v>
      </c>
      <c r="W344" s="51">
        <f>IFERROR(INDEX('Rentabilidad datos'!$M$2:$M$61,MATCH($C344,'Rentabilidad datos'!$C$2:$C$61,0)),"")</f>
        <v>3427.1365491869451</v>
      </c>
      <c r="X344" s="52">
        <f>IFERROR(INDEX('Rentabilidad datos'!$P$2:$P$61,MATCH($C344,'Rentabilidad datos'!$C$2:$C$61,0)),"")</f>
        <v>0.34839390336725601</v>
      </c>
      <c r="Y344" s="43" t="s">
        <v>171</v>
      </c>
      <c r="Z344" s="53">
        <v>59.1410256410256</v>
      </c>
      <c r="AA344" s="43">
        <v>2</v>
      </c>
      <c r="AB344" s="54">
        <v>0.9864483795522887</v>
      </c>
      <c r="AC344" s="55">
        <v>1.3551620447711327E-2</v>
      </c>
      <c r="AD344" s="752" t="e">
        <f>_xlfn.XLOOKUP(Table1[[#This Row],[Ruta]],#REF!,#REF!)</f>
        <v>#REF!</v>
      </c>
      <c r="AE344" s="752" t="e">
        <f>_xlfn.XLOOKUP(Table1[[#This Row],[Ruta]],#REF!,#REF!)</f>
        <v>#REF!</v>
      </c>
      <c r="AF344" s="752" t="e">
        <f>_xlfn.XLOOKUP(Table1[[#This Row],[Ruta]],#REF!,#REF!)</f>
        <v>#REF!</v>
      </c>
      <c r="AG344" s="752" t="e">
        <f>_xlfn.XLOOKUP(Table1[[#This Row],[Ruta]],#REF!,#REF!)</f>
        <v>#REF!</v>
      </c>
      <c r="AH344" s="52">
        <v>0.74471099231540261</v>
      </c>
      <c r="AI344" s="52">
        <v>0.25528900768459739</v>
      </c>
      <c r="AJ344" s="55">
        <v>0</v>
      </c>
      <c r="AK344" s="56">
        <v>18452</v>
      </c>
      <c r="AL344" s="44">
        <v>178</v>
      </c>
      <c r="AM344" s="54">
        <v>9.6466507695642002E-3</v>
      </c>
      <c r="AN344" s="55">
        <v>0.55224100357395201</v>
      </c>
      <c r="AO344" s="56">
        <v>0</v>
      </c>
      <c r="AP344" s="48">
        <v>0</v>
      </c>
      <c r="AQ344" s="55">
        <v>9.6466507695642748E-3</v>
      </c>
      <c r="AR344" s="51">
        <v>86022.04</v>
      </c>
      <c r="AS344" s="49">
        <v>0</v>
      </c>
      <c r="AT344" s="55">
        <v>0</v>
      </c>
      <c r="AU344" s="51">
        <v>0</v>
      </c>
      <c r="AV344" s="52">
        <v>0</v>
      </c>
      <c r="AW344" s="44">
        <v>490</v>
      </c>
      <c r="AX344" s="51">
        <v>483.26988764045001</v>
      </c>
      <c r="AY344" s="49">
        <v>395.30787608246197</v>
      </c>
      <c r="AZ344" s="49">
        <v>0</v>
      </c>
      <c r="BA344" s="42" t="s">
        <v>152</v>
      </c>
      <c r="BB344" s="50">
        <v>0</v>
      </c>
      <c r="BC344" s="57">
        <v>0</v>
      </c>
      <c r="BD344" s="42" t="s">
        <v>152</v>
      </c>
      <c r="BE344" s="46" t="s">
        <v>195</v>
      </c>
      <c r="BF344" s="46" t="s">
        <v>195</v>
      </c>
      <c r="BG344" s="42" t="s">
        <v>195</v>
      </c>
      <c r="BH344" s="52" t="s">
        <v>195</v>
      </c>
      <c r="BI344" s="52" t="s">
        <v>195</v>
      </c>
      <c r="BJ344" s="42" t="s">
        <v>195</v>
      </c>
      <c r="BK344" s="46" t="s">
        <v>195</v>
      </c>
      <c r="BL344" s="46" t="s">
        <v>195</v>
      </c>
      <c r="BM344" s="42" t="s">
        <v>195</v>
      </c>
      <c r="BN344" s="48" t="s">
        <v>195</v>
      </c>
      <c r="BO344" s="42" t="s">
        <v>195</v>
      </c>
      <c r="BP344" s="42" t="s">
        <v>152</v>
      </c>
      <c r="BQ344" s="46">
        <v>0</v>
      </c>
      <c r="BR344" s="46">
        <v>41</v>
      </c>
      <c r="BS344" s="46">
        <v>3897</v>
      </c>
      <c r="BT344" s="46">
        <v>1480</v>
      </c>
      <c r="BU344" s="46">
        <v>2.6331081081081082</v>
      </c>
      <c r="BV344" s="46">
        <v>36.097560975609753</v>
      </c>
      <c r="BW344" s="46">
        <v>1120</v>
      </c>
      <c r="BX344" s="46">
        <v>360</v>
      </c>
      <c r="BY344" s="46">
        <v>1480</v>
      </c>
      <c r="BZ344" s="46">
        <v>1</v>
      </c>
      <c r="CA344" s="46">
        <v>0.7567567567567568</v>
      </c>
      <c r="CB344" s="46">
        <v>0.24324324324324331</v>
      </c>
      <c r="CC344" s="46">
        <v>0</v>
      </c>
      <c r="CD344" s="46">
        <v>0</v>
      </c>
      <c r="CE344" s="46">
        <v>0</v>
      </c>
      <c r="CF344" s="46">
        <v>0</v>
      </c>
      <c r="CG344" s="46">
        <v>0</v>
      </c>
      <c r="CH344" s="46">
        <v>0</v>
      </c>
      <c r="CI344" s="46">
        <v>1.026430587631511</v>
      </c>
      <c r="CJ344" s="46">
        <v>0.25660764690787791</v>
      </c>
      <c r="CK344">
        <v>184</v>
      </c>
      <c r="CL344">
        <v>245.56</v>
      </c>
      <c r="CM344">
        <f t="shared" si="42"/>
        <v>61.56</v>
      </c>
      <c r="CN344">
        <v>5.01</v>
      </c>
      <c r="CO344">
        <v>9.4499999999999993</v>
      </c>
      <c r="CP344">
        <f t="shared" si="43"/>
        <v>4.4399999999999995</v>
      </c>
      <c r="CQ344">
        <v>564.37</v>
      </c>
      <c r="CR344">
        <v>514.29</v>
      </c>
      <c r="CS344">
        <f t="shared" si="44"/>
        <v>50.080000000000041</v>
      </c>
      <c r="CT344" t="s">
        <v>152</v>
      </c>
      <c r="CU344">
        <v>91.13</v>
      </c>
      <c r="CV344">
        <v>139</v>
      </c>
      <c r="CW344" s="46">
        <v>1480</v>
      </c>
      <c r="CX344" s="46">
        <f t="shared" si="38"/>
        <v>95.840540540540545</v>
      </c>
      <c r="CY344" s="46">
        <v>61.56</v>
      </c>
      <c r="CZ344" s="46">
        <f t="shared" si="39"/>
        <v>100</v>
      </c>
      <c r="DA344" s="46">
        <f t="shared" si="40"/>
        <v>621.74773605957603</v>
      </c>
      <c r="DB344" s="46">
        <v>958461.43999999994</v>
      </c>
      <c r="DC344" s="46">
        <f t="shared" si="41"/>
        <v>31.205181763927452</v>
      </c>
      <c r="DD344" s="46">
        <v>48104.66</v>
      </c>
      <c r="DE344" s="995">
        <v>1480</v>
      </c>
      <c r="DF344" s="995">
        <v>95.846000000000004</v>
      </c>
      <c r="DG344" s="995">
        <v>61.5</v>
      </c>
      <c r="DH344" s="995">
        <v>100</v>
      </c>
      <c r="DI344" s="995">
        <v>1575.0219999999999</v>
      </c>
      <c r="DJ344" s="995">
        <v>2427858</v>
      </c>
      <c r="DK344" s="995">
        <v>78.489999999999995</v>
      </c>
      <c r="DL344" s="995">
        <v>120990</v>
      </c>
      <c r="DM344" s="995">
        <v>1480</v>
      </c>
      <c r="DN344" s="995">
        <v>95.861999999999995</v>
      </c>
      <c r="DO344" s="995">
        <v>61.2</v>
      </c>
      <c r="DP344" s="995">
        <v>100</v>
      </c>
      <c r="DQ344" s="995">
        <v>1573.627</v>
      </c>
      <c r="DR344" s="995">
        <v>2425332</v>
      </c>
      <c r="DS344" s="995">
        <v>78.421999999999997</v>
      </c>
      <c r="DT344" s="995">
        <v>120867.2</v>
      </c>
    </row>
    <row r="345" spans="1:124">
      <c r="A345" s="42" t="s">
        <v>94</v>
      </c>
      <c r="B345" s="42" t="s">
        <v>549</v>
      </c>
      <c r="C345" s="42" t="s">
        <v>550</v>
      </c>
      <c r="D345" s="42">
        <v>816337</v>
      </c>
      <c r="E345" s="42" t="s">
        <v>561</v>
      </c>
      <c r="F345" s="42" t="s">
        <v>149</v>
      </c>
      <c r="G345" s="42" t="s">
        <v>150</v>
      </c>
      <c r="H345" s="43" t="s">
        <v>150</v>
      </c>
      <c r="I345" s="44">
        <v>69</v>
      </c>
      <c r="J345" s="45">
        <v>213689.9184</v>
      </c>
      <c r="K345" s="46">
        <v>9306.2419379999992</v>
      </c>
      <c r="L345" s="47">
        <v>222996.16033799999</v>
      </c>
      <c r="M345" s="48">
        <v>4717882</v>
      </c>
      <c r="N345" s="49">
        <v>3111612</v>
      </c>
      <c r="O345" s="49">
        <v>1605413</v>
      </c>
      <c r="P345" s="49">
        <v>857</v>
      </c>
      <c r="Q345" s="50">
        <v>10919.035995370399</v>
      </c>
      <c r="R345" s="51">
        <v>25175.5141157486</v>
      </c>
      <c r="S345" s="49">
        <v>38258.831890765701</v>
      </c>
      <c r="T345" s="49">
        <v>8205.2627781153697</v>
      </c>
      <c r="U345" s="49">
        <f>IFERROR(INDEX('Rentabilidad datos'!$N$2:$N$61,MATCH($C345,'Rentabilidad datos'!$C$2:$C$61,0)),"")</f>
        <v>71639.608784629672</v>
      </c>
      <c r="V345" s="50">
        <f>IFERROR(INDEX('Rentabilidad datos'!$O$2:$O$61,MATCH($C345,'Rentabilidad datos'!$C$2:$C$61,0)),"")</f>
        <v>1193.9934797438279</v>
      </c>
      <c r="W345" s="51">
        <f>IFERROR(INDEX('Rentabilidad datos'!$M$2:$M$61,MATCH($C345,'Rentabilidad datos'!$C$2:$C$61,0)),"")</f>
        <v>3427.1365491869451</v>
      </c>
      <c r="X345" s="52">
        <f>IFERROR(INDEX('Rentabilidad datos'!$P$2:$P$61,MATCH($C345,'Rentabilidad datos'!$C$2:$C$61,0)),"")</f>
        <v>0.34839390336725601</v>
      </c>
      <c r="Y345" s="43" t="s">
        <v>171</v>
      </c>
      <c r="Z345" s="53">
        <v>68.7638888888889</v>
      </c>
      <c r="AA345" s="43">
        <v>2</v>
      </c>
      <c r="AB345" s="54">
        <v>0.94981540445479562</v>
      </c>
      <c r="AC345" s="55">
        <v>5.0184595545204394E-2</v>
      </c>
      <c r="AD345" s="752" t="e">
        <f>_xlfn.XLOOKUP(Table1[[#This Row],[Ruta]],#REF!,#REF!)</f>
        <v>#REF!</v>
      </c>
      <c r="AE345" s="752" t="e">
        <f>_xlfn.XLOOKUP(Table1[[#This Row],[Ruta]],#REF!,#REF!)</f>
        <v>#REF!</v>
      </c>
      <c r="AF345" s="752" t="e">
        <f>_xlfn.XLOOKUP(Table1[[#This Row],[Ruta]],#REF!,#REF!)</f>
        <v>#REF!</v>
      </c>
      <c r="AG345" s="752" t="e">
        <f>_xlfn.XLOOKUP(Table1[[#This Row],[Ruta]],#REF!,#REF!)</f>
        <v>#REF!</v>
      </c>
      <c r="AH345" s="52">
        <v>0.6595357832179779</v>
      </c>
      <c r="AI345" s="52">
        <v>0.34028256747413355</v>
      </c>
      <c r="AJ345" s="55">
        <v>1.8164930788858221E-4</v>
      </c>
      <c r="AK345" s="56">
        <v>29706</v>
      </c>
      <c r="AL345" s="44">
        <v>14088</v>
      </c>
      <c r="AM345" s="54">
        <v>0.47424762674207199</v>
      </c>
      <c r="AN345" s="55">
        <v>0.55224100357395201</v>
      </c>
      <c r="AO345" s="56">
        <v>2316.8712521678099</v>
      </c>
      <c r="AP345" s="48">
        <v>1158.4356260839049</v>
      </c>
      <c r="AQ345" s="55">
        <v>0.51324431515801205</v>
      </c>
      <c r="AR345" s="51">
        <v>4717023.55</v>
      </c>
      <c r="AS345" s="49">
        <v>387873.94444894698</v>
      </c>
      <c r="AT345" s="55">
        <v>8.2228536774836963E-2</v>
      </c>
      <c r="AU345" s="51">
        <v>272560.06907223311</v>
      </c>
      <c r="AV345" s="52">
        <v>1.2399015472823545E-3</v>
      </c>
      <c r="AW345" s="44">
        <v>266</v>
      </c>
      <c r="AX345" s="51">
        <v>334.825635292448</v>
      </c>
      <c r="AY345" s="49">
        <v>395.30787608246197</v>
      </c>
      <c r="AZ345" s="49">
        <v>60.482240790013975</v>
      </c>
      <c r="BA345" s="42" t="s">
        <v>150</v>
      </c>
      <c r="BB345" s="50">
        <v>299377.28397963039</v>
      </c>
      <c r="BC345" s="57">
        <v>571937.35305186349</v>
      </c>
      <c r="BD345" s="42" t="s">
        <v>150</v>
      </c>
      <c r="BE345" s="46">
        <v>68.7638888888889</v>
      </c>
      <c r="BF345" s="46">
        <v>83.628504672897193</v>
      </c>
      <c r="BG345" s="42" t="s">
        <v>152</v>
      </c>
      <c r="BH345" s="52">
        <v>0.47424762674207199</v>
      </c>
      <c r="BI345" s="52">
        <v>0.51187669456560203</v>
      </c>
      <c r="BJ345" s="42" t="s">
        <v>152</v>
      </c>
      <c r="BK345" s="46">
        <v>516.19481559722203</v>
      </c>
      <c r="BL345" s="46">
        <v>638.00354527981403</v>
      </c>
      <c r="BM345" s="42" t="s">
        <v>152</v>
      </c>
      <c r="BN345" s="48">
        <v>0</v>
      </c>
      <c r="BO345" s="42" t="s">
        <v>155</v>
      </c>
      <c r="BP345" s="42" t="s">
        <v>152</v>
      </c>
      <c r="BQ345" s="46">
        <v>3638.6595613475401</v>
      </c>
      <c r="BR345" s="46">
        <v>40</v>
      </c>
      <c r="BS345" s="46">
        <v>3146</v>
      </c>
      <c r="BT345" s="46">
        <v>1110</v>
      </c>
      <c r="BU345" s="46">
        <v>2.8342342342342342</v>
      </c>
      <c r="BV345" s="46">
        <v>27.75</v>
      </c>
      <c r="BW345" s="46">
        <v>1110</v>
      </c>
      <c r="BX345" s="46">
        <v>0</v>
      </c>
      <c r="BY345" s="46">
        <v>1110</v>
      </c>
      <c r="BZ345" s="46">
        <v>1</v>
      </c>
      <c r="CA345" s="46">
        <v>1</v>
      </c>
      <c r="CB345" s="46">
        <v>0</v>
      </c>
      <c r="CC345" s="46">
        <v>0</v>
      </c>
      <c r="CD345" s="46">
        <v>0</v>
      </c>
      <c r="CE345" s="46">
        <v>0</v>
      </c>
      <c r="CF345" s="46">
        <v>0</v>
      </c>
      <c r="CG345" s="46">
        <v>0</v>
      </c>
      <c r="CH345" s="46">
        <v>0</v>
      </c>
      <c r="CI345" s="46">
        <v>1.907183725365543</v>
      </c>
      <c r="CJ345" s="46">
        <v>1.589319771137953</v>
      </c>
      <c r="CK345">
        <v>299</v>
      </c>
      <c r="CL345">
        <v>383.95</v>
      </c>
      <c r="CM345">
        <f t="shared" si="42"/>
        <v>84.949999999999989</v>
      </c>
      <c r="CN345">
        <v>7.11</v>
      </c>
      <c r="CO345">
        <v>9.4499999999999993</v>
      </c>
      <c r="CP345">
        <f t="shared" si="43"/>
        <v>2.339999999999999</v>
      </c>
      <c r="CQ345">
        <v>846.56</v>
      </c>
      <c r="CR345">
        <v>516.19000000000005</v>
      </c>
      <c r="CS345">
        <f t="shared" si="44"/>
        <v>330.36999999999989</v>
      </c>
      <c r="CT345" t="s">
        <v>152</v>
      </c>
      <c r="CU345">
        <v>75.25</v>
      </c>
      <c r="CV345">
        <v>322</v>
      </c>
      <c r="CW345" s="46">
        <v>1110</v>
      </c>
      <c r="CX345" s="46">
        <f t="shared" si="38"/>
        <v>92.346846846846844</v>
      </c>
      <c r="CY345" s="46">
        <v>84.95</v>
      </c>
      <c r="CZ345" s="46">
        <f t="shared" si="39"/>
        <v>100</v>
      </c>
      <c r="DA345" s="46">
        <f t="shared" si="40"/>
        <v>1671.393154525294</v>
      </c>
      <c r="DB345" s="46">
        <v>1997231.25</v>
      </c>
      <c r="DC345" s="46">
        <f t="shared" si="41"/>
        <v>78.325168417088577</v>
      </c>
      <c r="DD345" s="46">
        <v>93594.66</v>
      </c>
      <c r="DE345" s="995">
        <v>1110</v>
      </c>
      <c r="DF345" s="995">
        <v>92.524000000000001</v>
      </c>
      <c r="DG345" s="995">
        <v>83</v>
      </c>
      <c r="DH345" s="995">
        <v>100</v>
      </c>
      <c r="DI345" s="995">
        <v>4411.8069999999998</v>
      </c>
      <c r="DJ345" s="995">
        <v>5263234</v>
      </c>
      <c r="DK345" s="995">
        <v>207.16200000000001</v>
      </c>
      <c r="DL345" s="995">
        <v>247142.3</v>
      </c>
      <c r="DM345" s="995">
        <v>1110</v>
      </c>
      <c r="DN345" s="995">
        <v>93.843000000000004</v>
      </c>
      <c r="DO345" s="995">
        <v>68.3</v>
      </c>
      <c r="DP345" s="995">
        <v>100</v>
      </c>
      <c r="DQ345" s="995">
        <v>4329.9949999999999</v>
      </c>
      <c r="DR345" s="995">
        <v>5102221</v>
      </c>
      <c r="DS345" s="995">
        <v>203.345</v>
      </c>
      <c r="DT345" s="995">
        <v>239610.4</v>
      </c>
    </row>
    <row r="346" spans="1:124">
      <c r="A346" s="42" t="s">
        <v>94</v>
      </c>
      <c r="B346" s="42" t="s">
        <v>549</v>
      </c>
      <c r="C346" s="42" t="s">
        <v>550</v>
      </c>
      <c r="D346" s="42">
        <v>816338</v>
      </c>
      <c r="E346" s="42" t="s">
        <v>562</v>
      </c>
      <c r="F346" s="42" t="s">
        <v>149</v>
      </c>
      <c r="G346" s="42" t="s">
        <v>150</v>
      </c>
      <c r="H346" s="43" t="s">
        <v>150</v>
      </c>
      <c r="I346" s="44">
        <v>69</v>
      </c>
      <c r="J346" s="45">
        <v>246110.08799999999</v>
      </c>
      <c r="K346" s="46">
        <v>12850.683225999999</v>
      </c>
      <c r="L346" s="47">
        <v>258960.77122600001</v>
      </c>
      <c r="M346" s="48">
        <v>5875493</v>
      </c>
      <c r="N346" s="49">
        <v>3607436</v>
      </c>
      <c r="O346" s="49">
        <v>2263753</v>
      </c>
      <c r="P346" s="49">
        <v>4304</v>
      </c>
      <c r="Q346" s="50">
        <v>13575.3459677419</v>
      </c>
      <c r="R346" s="51">
        <v>25175.5141157486</v>
      </c>
      <c r="S346" s="49">
        <v>38258.831890765701</v>
      </c>
      <c r="T346" s="49">
        <v>8205.2627781153697</v>
      </c>
      <c r="U346" s="49">
        <f>IFERROR(INDEX('Rentabilidad datos'!$N$2:$N$61,MATCH($C346,'Rentabilidad datos'!$C$2:$C$61,0)),"")</f>
        <v>71639.608784629672</v>
      </c>
      <c r="V346" s="50">
        <f>IFERROR(INDEX('Rentabilidad datos'!$O$2:$O$61,MATCH($C346,'Rentabilidad datos'!$C$2:$C$61,0)),"")</f>
        <v>1193.9934797438279</v>
      </c>
      <c r="W346" s="51">
        <f>IFERROR(INDEX('Rentabilidad datos'!$M$2:$M$61,MATCH($C346,'Rentabilidad datos'!$C$2:$C$61,0)),"")</f>
        <v>3427.1365491869451</v>
      </c>
      <c r="X346" s="52">
        <f>IFERROR(INDEX('Rentabilidad datos'!$P$2:$P$61,MATCH($C346,'Rentabilidad datos'!$C$2:$C$61,0)),"")</f>
        <v>0.34839390336725601</v>
      </c>
      <c r="Y346" s="43" t="s">
        <v>171</v>
      </c>
      <c r="Z346" s="53">
        <v>44.55</v>
      </c>
      <c r="AA346" s="43">
        <v>2</v>
      </c>
      <c r="AB346" s="54">
        <v>0.97172254311255246</v>
      </c>
      <c r="AC346" s="55">
        <v>2.8277456887447573E-2</v>
      </c>
      <c r="AD346" s="752" t="e">
        <f>_xlfn.XLOOKUP(Table1[[#This Row],[Ruta]],#REF!,#REF!)</f>
        <v>#REF!</v>
      </c>
      <c r="AE346" s="752" t="e">
        <f>_xlfn.XLOOKUP(Table1[[#This Row],[Ruta]],#REF!,#REF!)</f>
        <v>#REF!</v>
      </c>
      <c r="AF346" s="752" t="e">
        <f>_xlfn.XLOOKUP(Table1[[#This Row],[Ruta]],#REF!,#REF!)</f>
        <v>#REF!</v>
      </c>
      <c r="AG346" s="752" t="e">
        <f>_xlfn.XLOOKUP(Table1[[#This Row],[Ruta]],#REF!,#REF!)</f>
        <v>#REF!</v>
      </c>
      <c r="AH346" s="52">
        <v>0.61398013749654712</v>
      </c>
      <c r="AI346" s="52">
        <v>0.38528732822930772</v>
      </c>
      <c r="AJ346" s="55">
        <v>7.325342741451653E-4</v>
      </c>
      <c r="AK346" s="56">
        <v>14256</v>
      </c>
      <c r="AL346" s="44">
        <v>13194</v>
      </c>
      <c r="AM346" s="54">
        <v>0.68385241301907995</v>
      </c>
      <c r="AN346" s="55">
        <v>0.55224100357395201</v>
      </c>
      <c r="AO346" s="56">
        <v>0</v>
      </c>
      <c r="AP346" s="48">
        <v>0</v>
      </c>
      <c r="AQ346" s="55">
        <v>0.9255050505050505</v>
      </c>
      <c r="AR346" s="51">
        <v>5891700.1500000004</v>
      </c>
      <c r="AS346" s="49">
        <v>0</v>
      </c>
      <c r="AT346" s="55">
        <v>0</v>
      </c>
      <c r="AU346" s="51">
        <v>0</v>
      </c>
      <c r="AV346" s="52">
        <v>0</v>
      </c>
      <c r="AW346" s="44">
        <v>490</v>
      </c>
      <c r="AX346" s="51">
        <v>446.54389495225098</v>
      </c>
      <c r="AY346" s="49">
        <v>395.30787608246197</v>
      </c>
      <c r="AZ346" s="49">
        <v>0</v>
      </c>
      <c r="BA346" s="42" t="s">
        <v>152</v>
      </c>
      <c r="BB346" s="50">
        <v>0</v>
      </c>
      <c r="BC346" s="57">
        <v>0</v>
      </c>
      <c r="BD346" s="42" t="s">
        <v>150</v>
      </c>
      <c r="BE346" s="46">
        <v>44.55</v>
      </c>
      <c r="BF346" s="46">
        <v>83.628504672897193</v>
      </c>
      <c r="BG346" s="42" t="s">
        <v>152</v>
      </c>
      <c r="BH346" s="52">
        <v>0.68385241301907995</v>
      </c>
      <c r="BI346" s="52">
        <v>0.51187669456560203</v>
      </c>
      <c r="BJ346" s="42" t="s">
        <v>150</v>
      </c>
      <c r="BK346" s="46">
        <v>596.68380466820201</v>
      </c>
      <c r="BL346" s="46">
        <v>638.00354527981403</v>
      </c>
      <c r="BM346" s="42" t="s">
        <v>152</v>
      </c>
      <c r="BN346" s="48">
        <v>1</v>
      </c>
      <c r="BO346" s="42" t="s">
        <v>155</v>
      </c>
      <c r="BP346" s="42" t="s">
        <v>152</v>
      </c>
      <c r="BQ346" s="46">
        <v>3779.4094048553702</v>
      </c>
      <c r="BR346" s="46">
        <v>73</v>
      </c>
      <c r="BS346" s="46">
        <v>7138</v>
      </c>
      <c r="BT346" s="46">
        <v>2046</v>
      </c>
      <c r="BU346" s="46">
        <v>3.4887585532746823</v>
      </c>
      <c r="BV346" s="46">
        <v>28.027397260273972</v>
      </c>
      <c r="BW346" s="46">
        <v>0</v>
      </c>
      <c r="BX346" s="46">
        <v>679</v>
      </c>
      <c r="BY346" s="46">
        <v>679</v>
      </c>
      <c r="BZ346" s="46">
        <v>0.33186705767350927</v>
      </c>
      <c r="CA346" s="46">
        <v>0</v>
      </c>
      <c r="CB346" s="46">
        <v>0.33186705767350932</v>
      </c>
      <c r="CC346" s="46">
        <v>0</v>
      </c>
      <c r="CD346" s="46">
        <v>0</v>
      </c>
      <c r="CE346" s="46">
        <v>0</v>
      </c>
      <c r="CF346" s="46">
        <v>0.66813294232649068</v>
      </c>
      <c r="CG346" s="46">
        <v>0</v>
      </c>
      <c r="CH346" s="46">
        <v>0</v>
      </c>
      <c r="CI346" s="46">
        <v>5.6038105912020182</v>
      </c>
      <c r="CJ346" s="46">
        <v>0.28019052956010088</v>
      </c>
      <c r="CK346">
        <v>168</v>
      </c>
      <c r="CL346">
        <v>201.74</v>
      </c>
      <c r="CM346">
        <f t="shared" si="42"/>
        <v>33.740000000000009</v>
      </c>
      <c r="CN346">
        <v>4.84</v>
      </c>
      <c r="CO346">
        <v>9.4499999999999993</v>
      </c>
      <c r="CP346">
        <f t="shared" si="43"/>
        <v>4.6099999999999994</v>
      </c>
      <c r="CQ346">
        <v>846.56</v>
      </c>
      <c r="CR346">
        <v>596.67999999999995</v>
      </c>
      <c r="CS346">
        <f t="shared" si="44"/>
        <v>249.88</v>
      </c>
      <c r="CT346" t="s">
        <v>152</v>
      </c>
      <c r="CU346">
        <v>70.48</v>
      </c>
      <c r="CV346">
        <v>52</v>
      </c>
      <c r="CW346" s="46">
        <v>679</v>
      </c>
      <c r="CX346" s="46">
        <f t="shared" si="38"/>
        <v>31.537634408602148</v>
      </c>
      <c r="CY346" s="46">
        <v>33.74</v>
      </c>
      <c r="CZ346" s="46">
        <f t="shared" si="39"/>
        <v>33.186705767350929</v>
      </c>
      <c r="DA346" s="46">
        <f t="shared" si="40"/>
        <v>410.6139902103148</v>
      </c>
      <c r="DB346" s="46">
        <v>853970.34</v>
      </c>
      <c r="DC346" s="46">
        <f t="shared" si="41"/>
        <v>18.18977853000856</v>
      </c>
      <c r="DD346" s="46">
        <v>37830.01</v>
      </c>
      <c r="DE346" s="995">
        <v>679</v>
      </c>
      <c r="DF346" s="995">
        <v>31.625</v>
      </c>
      <c r="DG346" s="995">
        <v>32</v>
      </c>
      <c r="DH346" s="995">
        <v>33.186999999999998</v>
      </c>
      <c r="DI346" s="995">
        <v>1137.7840000000001</v>
      </c>
      <c r="DJ346" s="995">
        <v>2364264</v>
      </c>
      <c r="DK346" s="995">
        <v>52.119</v>
      </c>
      <c r="DL346" s="995">
        <v>108300.7</v>
      </c>
      <c r="DM346" s="995">
        <v>679</v>
      </c>
      <c r="DN346" s="995">
        <v>31.887</v>
      </c>
      <c r="DO346" s="995">
        <v>26.6</v>
      </c>
      <c r="DP346" s="995">
        <v>33.186999999999998</v>
      </c>
      <c r="DQ346" s="995">
        <v>1114.251</v>
      </c>
      <c r="DR346" s="995">
        <v>2309394</v>
      </c>
      <c r="DS346" s="995">
        <v>51.040999999999997</v>
      </c>
      <c r="DT346" s="995">
        <v>105787.2</v>
      </c>
    </row>
    <row r="347" spans="1:124">
      <c r="A347" s="42" t="s">
        <v>94</v>
      </c>
      <c r="B347" s="42" t="s">
        <v>549</v>
      </c>
      <c r="C347" s="42" t="s">
        <v>550</v>
      </c>
      <c r="D347" s="42">
        <v>816339</v>
      </c>
      <c r="E347" s="42" t="s">
        <v>563</v>
      </c>
      <c r="F347" s="42" t="s">
        <v>149</v>
      </c>
      <c r="G347" s="42" t="s">
        <v>150</v>
      </c>
      <c r="H347" s="43" t="s">
        <v>150</v>
      </c>
      <c r="I347" s="44">
        <v>69</v>
      </c>
      <c r="J347" s="45">
        <v>109426.8784</v>
      </c>
      <c r="K347" s="46">
        <v>4012.0444000000002</v>
      </c>
      <c r="L347" s="47">
        <v>113438.9228</v>
      </c>
      <c r="M347" s="48">
        <v>2192933</v>
      </c>
      <c r="N347" s="49">
        <v>1607150</v>
      </c>
      <c r="O347" s="49">
        <v>584037</v>
      </c>
      <c r="P347" s="49">
        <v>1746</v>
      </c>
      <c r="Q347" s="50">
        <v>5023.6260000000002</v>
      </c>
      <c r="R347" s="51">
        <v>25175.5141157486</v>
      </c>
      <c r="S347" s="49">
        <v>38258.831890765701</v>
      </c>
      <c r="T347" s="49">
        <v>8205.2627781153697</v>
      </c>
      <c r="U347" s="49">
        <f>IFERROR(INDEX('Rentabilidad datos'!$N$2:$N$61,MATCH($C347,'Rentabilidad datos'!$C$2:$C$61,0)),"")</f>
        <v>71639.608784629672</v>
      </c>
      <c r="V347" s="50">
        <f>IFERROR(INDEX('Rentabilidad datos'!$O$2:$O$61,MATCH($C347,'Rentabilidad datos'!$C$2:$C$61,0)),"")</f>
        <v>1193.9934797438279</v>
      </c>
      <c r="W347" s="51">
        <f>IFERROR(INDEX('Rentabilidad datos'!$M$2:$M$61,MATCH($C347,'Rentabilidad datos'!$C$2:$C$61,0)),"")</f>
        <v>3427.1365491869451</v>
      </c>
      <c r="X347" s="52">
        <f>IFERROR(INDEX('Rentabilidad datos'!$P$2:$P$61,MATCH($C347,'Rentabilidad datos'!$C$2:$C$61,0)),"")</f>
        <v>0.34839390336725601</v>
      </c>
      <c r="Y347" s="43" t="s">
        <v>171</v>
      </c>
      <c r="Z347" s="53">
        <v>84.673563218390797</v>
      </c>
      <c r="AA347" s="43">
        <v>2</v>
      </c>
      <c r="AB347" s="54">
        <v>0.96558079977819655</v>
      </c>
      <c r="AC347" s="55">
        <v>3.4419200221803399E-2</v>
      </c>
      <c r="AD347" s="752" t="e">
        <f>_xlfn.XLOOKUP(Table1[[#This Row],[Ruta]],#REF!,#REF!)</f>
        <v>#REF!</v>
      </c>
      <c r="AE347" s="752" t="e">
        <f>_xlfn.XLOOKUP(Table1[[#This Row],[Ruta]],#REF!,#REF!)</f>
        <v>#REF!</v>
      </c>
      <c r="AF347" s="752" t="e">
        <f>_xlfn.XLOOKUP(Table1[[#This Row],[Ruta]],#REF!,#REF!)</f>
        <v>#REF!</v>
      </c>
      <c r="AG347" s="752" t="e">
        <f>_xlfn.XLOOKUP(Table1[[#This Row],[Ruta]],#REF!,#REF!)</f>
        <v>#REF!</v>
      </c>
      <c r="AH347" s="52">
        <v>0.73287692784047664</v>
      </c>
      <c r="AI347" s="52">
        <v>0.26632687820375728</v>
      </c>
      <c r="AJ347" s="55">
        <v>7.9619395576609046E-4</v>
      </c>
      <c r="AK347" s="56">
        <v>36833</v>
      </c>
      <c r="AL347" s="44">
        <v>7828</v>
      </c>
      <c r="AM347" s="54">
        <v>0.21252681019737699</v>
      </c>
      <c r="AN347" s="55">
        <v>0.55224100357395201</v>
      </c>
      <c r="AO347" s="56">
        <v>12512.6928846394</v>
      </c>
      <c r="AP347" s="48">
        <v>6256.3464423197001</v>
      </c>
      <c r="AQ347" s="55">
        <v>0.38238390688566504</v>
      </c>
      <c r="AR347" s="51">
        <v>2185277.31</v>
      </c>
      <c r="AS347" s="49">
        <v>1746531.92691625</v>
      </c>
      <c r="AT347" s="55">
        <v>0.79922667888600829</v>
      </c>
      <c r="AU347" s="51">
        <v>1227292.7054006085</v>
      </c>
      <c r="AV347" s="52">
        <v>5.5830706587885357E-3</v>
      </c>
      <c r="AW347" s="44">
        <v>24</v>
      </c>
      <c r="AX347" s="51">
        <v>279.16163898824698</v>
      </c>
      <c r="AY347" s="49">
        <v>395.30787608246197</v>
      </c>
      <c r="AZ347" s="49">
        <v>116.146237094215</v>
      </c>
      <c r="BA347" s="42" t="s">
        <v>150</v>
      </c>
      <c r="BB347" s="50">
        <v>319446.0992339378</v>
      </c>
      <c r="BC347" s="57">
        <v>1546738.8046345464</v>
      </c>
      <c r="BD347" s="42" t="s">
        <v>150</v>
      </c>
      <c r="BE347" s="46">
        <v>84.673563218390797</v>
      </c>
      <c r="BF347" s="46">
        <v>83.628504672897193</v>
      </c>
      <c r="BG347" s="42" t="s">
        <v>150</v>
      </c>
      <c r="BH347" s="52">
        <v>0.21252681019737699</v>
      </c>
      <c r="BI347" s="52">
        <v>0.51187669456560203</v>
      </c>
      <c r="BJ347" s="42" t="s">
        <v>152</v>
      </c>
      <c r="BK347" s="46">
        <v>260.77913287356301</v>
      </c>
      <c r="BL347" s="46">
        <v>638.00354527981403</v>
      </c>
      <c r="BM347" s="42" t="s">
        <v>152</v>
      </c>
      <c r="BN347" s="48">
        <v>1</v>
      </c>
      <c r="BO347" s="42" t="s">
        <v>155</v>
      </c>
      <c r="BP347" s="42" t="s">
        <v>152</v>
      </c>
      <c r="BQ347" s="46">
        <v>8355.8919180586199</v>
      </c>
      <c r="BR347" s="46">
        <v>84</v>
      </c>
      <c r="BS347" s="46">
        <v>6628</v>
      </c>
      <c r="BT347" s="46">
        <v>2084</v>
      </c>
      <c r="BU347" s="46">
        <v>3.18042226487524</v>
      </c>
      <c r="BV347" s="46">
        <v>24.80952380952381</v>
      </c>
      <c r="BW347" s="46">
        <v>0</v>
      </c>
      <c r="BX347" s="46">
        <v>1234</v>
      </c>
      <c r="BY347" s="46">
        <v>1234</v>
      </c>
      <c r="BZ347" s="46">
        <v>0.59213051823416507</v>
      </c>
      <c r="CA347" s="46">
        <v>0</v>
      </c>
      <c r="CB347" s="46">
        <v>0.59213051823416507</v>
      </c>
      <c r="CC347" s="46">
        <v>0</v>
      </c>
      <c r="CD347" s="46">
        <v>0</v>
      </c>
      <c r="CE347" s="46">
        <v>0</v>
      </c>
      <c r="CF347" s="46">
        <v>0.40786948176583487</v>
      </c>
      <c r="CG347" s="46">
        <v>0</v>
      </c>
      <c r="CH347" s="46">
        <v>0</v>
      </c>
      <c r="CI347" s="46">
        <v>6.0350030175015084</v>
      </c>
      <c r="CJ347" s="46">
        <v>0.75437537718768854</v>
      </c>
      <c r="CK347">
        <v>282</v>
      </c>
      <c r="CL347">
        <v>294.51</v>
      </c>
      <c r="CM347">
        <f t="shared" si="42"/>
        <v>12.509999999999991</v>
      </c>
      <c r="CN347">
        <v>7.47</v>
      </c>
      <c r="CO347">
        <v>9.4499999999999993</v>
      </c>
      <c r="CP347">
        <f t="shared" si="43"/>
        <v>1.9799999999999995</v>
      </c>
      <c r="CQ347">
        <v>282.19</v>
      </c>
      <c r="CR347">
        <v>260.77999999999997</v>
      </c>
      <c r="CS347">
        <f t="shared" si="44"/>
        <v>21.410000000000025</v>
      </c>
      <c r="CT347" t="s">
        <v>152</v>
      </c>
      <c r="CU347">
        <v>97.2</v>
      </c>
      <c r="CV347">
        <v>187</v>
      </c>
      <c r="CW347" s="46">
        <v>1234</v>
      </c>
      <c r="CX347" s="46">
        <f t="shared" si="38"/>
        <v>58.612763915547028</v>
      </c>
      <c r="CY347" s="46">
        <v>12.51</v>
      </c>
      <c r="CZ347" s="46">
        <f t="shared" si="39"/>
        <v>59.213051823416507</v>
      </c>
      <c r="DA347" s="46">
        <f t="shared" si="40"/>
        <v>467.90378295357516</v>
      </c>
      <c r="DB347" s="46">
        <v>980964.96</v>
      </c>
      <c r="DC347" s="46">
        <f t="shared" si="41"/>
        <v>24.687604638184407</v>
      </c>
      <c r="DD347" s="46">
        <v>51757.81</v>
      </c>
      <c r="DE347" s="995">
        <v>1234</v>
      </c>
      <c r="DF347" s="995">
        <v>58.363</v>
      </c>
      <c r="DG347" s="995">
        <v>17.7</v>
      </c>
      <c r="DH347" s="995">
        <v>59.213000000000001</v>
      </c>
      <c r="DI347" s="995">
        <v>1620.817</v>
      </c>
      <c r="DJ347" s="995">
        <v>3406513</v>
      </c>
      <c r="DK347" s="995">
        <v>85.957999999999998</v>
      </c>
      <c r="DL347" s="995">
        <v>180661</v>
      </c>
      <c r="DM347" s="995">
        <v>1234</v>
      </c>
      <c r="DN347" s="995">
        <v>58.512999999999998</v>
      </c>
      <c r="DO347" s="995">
        <v>14.6</v>
      </c>
      <c r="DP347" s="995">
        <v>59.213000000000001</v>
      </c>
      <c r="DQ347" s="995">
        <v>1609.9359999999999</v>
      </c>
      <c r="DR347" s="995">
        <v>3378608</v>
      </c>
      <c r="DS347" s="995">
        <v>85.387</v>
      </c>
      <c r="DT347" s="995">
        <v>179193.4</v>
      </c>
    </row>
    <row r="348" spans="1:124">
      <c r="A348" s="42" t="s">
        <v>94</v>
      </c>
      <c r="B348" s="42" t="s">
        <v>549</v>
      </c>
      <c r="C348" s="42" t="s">
        <v>550</v>
      </c>
      <c r="D348" s="42">
        <v>816340</v>
      </c>
      <c r="E348" s="42" t="s">
        <v>564</v>
      </c>
      <c r="F348" s="42" t="s">
        <v>149</v>
      </c>
      <c r="G348" s="42" t="s">
        <v>150</v>
      </c>
      <c r="H348" s="43" t="s">
        <v>150</v>
      </c>
      <c r="I348" s="44">
        <v>69</v>
      </c>
      <c r="J348" s="45">
        <v>392085.38879999903</v>
      </c>
      <c r="K348" s="46">
        <v>12699.197794</v>
      </c>
      <c r="L348" s="47">
        <v>404784.586593999</v>
      </c>
      <c r="M348" s="48">
        <v>7712704</v>
      </c>
      <c r="N348" s="49">
        <v>5552705</v>
      </c>
      <c r="O348" s="49">
        <v>2158111</v>
      </c>
      <c r="P348" s="49">
        <v>1888</v>
      </c>
      <c r="Q348" s="50">
        <v>17646.788375286102</v>
      </c>
      <c r="R348" s="51">
        <v>25175.5141157486</v>
      </c>
      <c r="S348" s="49">
        <v>38258.831890765701</v>
      </c>
      <c r="T348" s="49">
        <v>8205.2627781153697</v>
      </c>
      <c r="U348" s="49">
        <f>IFERROR(INDEX('Rentabilidad datos'!$N$2:$N$61,MATCH($C348,'Rentabilidad datos'!$C$2:$C$61,0)),"")</f>
        <v>71639.608784629672</v>
      </c>
      <c r="V348" s="50">
        <f>IFERROR(INDEX('Rentabilidad datos'!$O$2:$O$61,MATCH($C348,'Rentabilidad datos'!$C$2:$C$61,0)),"")</f>
        <v>1193.9934797438279</v>
      </c>
      <c r="W348" s="51">
        <f>IFERROR(INDEX('Rentabilidad datos'!$M$2:$M$61,MATCH($C348,'Rentabilidad datos'!$C$2:$C$61,0)),"")</f>
        <v>3427.1365491869451</v>
      </c>
      <c r="X348" s="52">
        <f>IFERROR(INDEX('Rentabilidad datos'!$P$2:$P$61,MATCH($C348,'Rentabilidad datos'!$C$2:$C$61,0)),"")</f>
        <v>0.34839390336725601</v>
      </c>
      <c r="Y348" s="43" t="s">
        <v>171</v>
      </c>
      <c r="Z348" s="53">
        <v>66.180778032036599</v>
      </c>
      <c r="AA348" s="43">
        <v>2</v>
      </c>
      <c r="AB348" s="54">
        <v>0.98207191667150717</v>
      </c>
      <c r="AC348" s="55">
        <v>1.7928083328492835E-2</v>
      </c>
      <c r="AD348" s="752" t="e">
        <f>_xlfn.XLOOKUP(Table1[[#This Row],[Ruta]],#REF!,#REF!)</f>
        <v>#REF!</v>
      </c>
      <c r="AE348" s="752" t="e">
        <f>_xlfn.XLOOKUP(Table1[[#This Row],[Ruta]],#REF!,#REF!)</f>
        <v>#REF!</v>
      </c>
      <c r="AF348" s="752" t="e">
        <f>_xlfn.XLOOKUP(Table1[[#This Row],[Ruta]],#REF!,#REF!)</f>
        <v>#REF!</v>
      </c>
      <c r="AG348" s="752" t="e">
        <f>_xlfn.XLOOKUP(Table1[[#This Row],[Ruta]],#REF!,#REF!)</f>
        <v>#REF!</v>
      </c>
      <c r="AH348" s="52">
        <v>0.71994270751217726</v>
      </c>
      <c r="AI348" s="52">
        <v>0.27981250155587456</v>
      </c>
      <c r="AJ348" s="55">
        <v>2.4479093194812093E-4</v>
      </c>
      <c r="AK348" s="56">
        <v>28921</v>
      </c>
      <c r="AL348" s="44">
        <v>15854</v>
      </c>
      <c r="AM348" s="54">
        <v>0.54818298122471598</v>
      </c>
      <c r="AN348" s="55">
        <v>0.55224100357395201</v>
      </c>
      <c r="AO348" s="56">
        <v>117.36206436225299</v>
      </c>
      <c r="AP348" s="48">
        <v>58.681032181126497</v>
      </c>
      <c r="AQ348" s="55">
        <v>0.5502119923993336</v>
      </c>
      <c r="AR348" s="51">
        <v>7711646.5199999996</v>
      </c>
      <c r="AS348" s="49">
        <v>28543.4198063322</v>
      </c>
      <c r="AT348" s="55">
        <v>3.7013392318106667E-3</v>
      </c>
      <c r="AU348" s="51">
        <v>20057.538242287501</v>
      </c>
      <c r="AV348" s="52">
        <v>9.1243639561510597E-5</v>
      </c>
      <c r="AW348" s="44">
        <v>458</v>
      </c>
      <c r="AX348" s="51">
        <v>486.41645767629598</v>
      </c>
      <c r="AY348" s="49">
        <v>395.30787608246197</v>
      </c>
      <c r="AZ348" s="49">
        <v>0</v>
      </c>
      <c r="BA348" s="42" t="s">
        <v>152</v>
      </c>
      <c r="BB348" s="50">
        <v>0</v>
      </c>
      <c r="BC348" s="57">
        <v>20057.538242287501</v>
      </c>
      <c r="BD348" s="42" t="s">
        <v>150</v>
      </c>
      <c r="BE348" s="46">
        <v>66.180778032036599</v>
      </c>
      <c r="BF348" s="46">
        <v>83.628504672897193</v>
      </c>
      <c r="BG348" s="42" t="s">
        <v>152</v>
      </c>
      <c r="BH348" s="52">
        <v>0.54818298122471598</v>
      </c>
      <c r="BI348" s="52">
        <v>0.51187669456560203</v>
      </c>
      <c r="BJ348" s="42" t="s">
        <v>150</v>
      </c>
      <c r="BK348" s="46">
        <v>926.28051852173803</v>
      </c>
      <c r="BL348" s="46">
        <v>638.00354527981403</v>
      </c>
      <c r="BM348" s="42" t="s">
        <v>150</v>
      </c>
      <c r="BN348" s="48">
        <v>2</v>
      </c>
      <c r="BO348" s="42" t="s">
        <v>161</v>
      </c>
      <c r="BP348" s="42" t="s">
        <v>152</v>
      </c>
      <c r="BQ348" s="46">
        <v>5449.2489559703899</v>
      </c>
      <c r="BR348" s="46">
        <v>41</v>
      </c>
      <c r="BS348" s="46">
        <v>7395</v>
      </c>
      <c r="BT348" s="46">
        <v>1827</v>
      </c>
      <c r="BU348" s="46">
        <v>4.0476190476190474</v>
      </c>
      <c r="BV348" s="46">
        <v>44.560975609756099</v>
      </c>
      <c r="BW348" s="46">
        <v>330</v>
      </c>
      <c r="BX348" s="46">
        <v>0</v>
      </c>
      <c r="BY348" s="46">
        <v>330</v>
      </c>
      <c r="BZ348" s="46">
        <v>0.180623973727422</v>
      </c>
      <c r="CA348" s="46">
        <v>0.180623973727422</v>
      </c>
      <c r="CB348" s="46">
        <v>0</v>
      </c>
      <c r="CC348" s="46">
        <v>4.4882320744389713E-2</v>
      </c>
      <c r="CD348" s="46">
        <v>0</v>
      </c>
      <c r="CE348" s="46">
        <v>0</v>
      </c>
      <c r="CF348" s="46">
        <v>0.7744937055281883</v>
      </c>
      <c r="CG348" s="46">
        <v>0</v>
      </c>
      <c r="CH348" s="46">
        <v>0</v>
      </c>
      <c r="CI348" s="46">
        <v>3.9215686274509798</v>
      </c>
      <c r="CJ348" s="46">
        <v>0.67613252197430695</v>
      </c>
      <c r="CK348">
        <v>319</v>
      </c>
      <c r="CL348">
        <v>319</v>
      </c>
      <c r="CM348">
        <f t="shared" si="42"/>
        <v>0</v>
      </c>
      <c r="CN348">
        <v>8.69</v>
      </c>
      <c r="CO348">
        <v>9.4499999999999993</v>
      </c>
      <c r="CP348">
        <f t="shared" si="43"/>
        <v>0.75999999999999979</v>
      </c>
      <c r="CQ348">
        <v>846.56</v>
      </c>
      <c r="CR348">
        <v>926.28</v>
      </c>
      <c r="CS348">
        <f t="shared" si="44"/>
        <v>-79.720000000000027</v>
      </c>
      <c r="CT348" t="s">
        <v>150</v>
      </c>
      <c r="CU348">
        <v>109.42</v>
      </c>
      <c r="CV348">
        <v>174</v>
      </c>
      <c r="CW348" s="46">
        <v>330</v>
      </c>
      <c r="CX348" s="46">
        <f t="shared" si="38"/>
        <v>18.0623973727422</v>
      </c>
      <c r="CY348" s="46">
        <v>0</v>
      </c>
      <c r="CZ348" s="46">
        <f t="shared" si="39"/>
        <v>18.0623973727422</v>
      </c>
      <c r="DA348" s="46">
        <f t="shared" si="40"/>
        <v>0</v>
      </c>
      <c r="DB348" s="46">
        <v>0</v>
      </c>
      <c r="DC348" s="46">
        <f t="shared" si="41"/>
        <v>0</v>
      </c>
      <c r="DD348" s="46">
        <v>0</v>
      </c>
      <c r="DE348" s="995">
        <v>330</v>
      </c>
      <c r="DF348" s="995">
        <v>18.062000000000001</v>
      </c>
      <c r="DG348" s="995">
        <v>0</v>
      </c>
      <c r="DH348" s="995">
        <v>18.062000000000001</v>
      </c>
      <c r="DI348" s="995">
        <v>2583.7979999999998</v>
      </c>
      <c r="DJ348" s="995">
        <v>4720599</v>
      </c>
      <c r="DK348" s="995">
        <v>116.13200000000001</v>
      </c>
      <c r="DL348" s="995">
        <v>212172.79999999999</v>
      </c>
      <c r="DM348" s="995">
        <v>330</v>
      </c>
      <c r="DN348" s="995">
        <v>18.062000000000001</v>
      </c>
      <c r="DO348" s="995">
        <v>0</v>
      </c>
      <c r="DP348" s="995">
        <v>18.062000000000001</v>
      </c>
      <c r="DQ348" s="995">
        <v>2583.7979999999998</v>
      </c>
      <c r="DR348" s="995">
        <v>4720599</v>
      </c>
      <c r="DS348" s="995">
        <v>116.13200000000001</v>
      </c>
      <c r="DT348" s="995">
        <v>212172.79999999999</v>
      </c>
    </row>
    <row r="349" spans="1:124">
      <c r="A349" s="42" t="s">
        <v>94</v>
      </c>
      <c r="B349" s="42" t="s">
        <v>549</v>
      </c>
      <c r="C349" s="42" t="s">
        <v>550</v>
      </c>
      <c r="D349" s="42">
        <v>816341</v>
      </c>
      <c r="E349" s="42" t="s">
        <v>565</v>
      </c>
      <c r="F349" s="42" t="s">
        <v>149</v>
      </c>
      <c r="G349" s="42" t="s">
        <v>150</v>
      </c>
      <c r="H349" s="43" t="s">
        <v>150</v>
      </c>
      <c r="I349" s="44">
        <v>69</v>
      </c>
      <c r="J349" s="45">
        <v>127940.6128</v>
      </c>
      <c r="K349" s="46">
        <v>7166.3071980000004</v>
      </c>
      <c r="L349" s="47">
        <v>135106.919998</v>
      </c>
      <c r="M349" s="48">
        <v>2752206</v>
      </c>
      <c r="N349" s="49">
        <v>1852530</v>
      </c>
      <c r="O349" s="49">
        <v>888229</v>
      </c>
      <c r="P349" s="49">
        <v>11447</v>
      </c>
      <c r="Q349" s="50">
        <v>6540.2045774647904</v>
      </c>
      <c r="R349" s="51">
        <v>25175.5141157486</v>
      </c>
      <c r="S349" s="49">
        <v>38258.831890765701</v>
      </c>
      <c r="T349" s="49">
        <v>8205.2627781153697</v>
      </c>
      <c r="U349" s="49">
        <f>IFERROR(INDEX('Rentabilidad datos'!$N$2:$N$61,MATCH($C349,'Rentabilidad datos'!$C$2:$C$61,0)),"")</f>
        <v>71639.608784629672</v>
      </c>
      <c r="V349" s="50">
        <f>IFERROR(INDEX('Rentabilidad datos'!$O$2:$O$61,MATCH($C349,'Rentabilidad datos'!$C$2:$C$61,0)),"")</f>
        <v>1193.9934797438279</v>
      </c>
      <c r="W349" s="51">
        <f>IFERROR(INDEX('Rentabilidad datos'!$M$2:$M$61,MATCH($C349,'Rentabilidad datos'!$C$2:$C$61,0)),"")</f>
        <v>3427.1365491869451</v>
      </c>
      <c r="X349" s="52">
        <f>IFERROR(INDEX('Rentabilidad datos'!$P$2:$P$61,MATCH($C349,'Rentabilidad datos'!$C$2:$C$61,0)),"")</f>
        <v>0.34839390336725601</v>
      </c>
      <c r="Y349" s="43" t="s">
        <v>171</v>
      </c>
      <c r="Z349" s="53">
        <v>68.173553719008297</v>
      </c>
      <c r="AA349" s="43">
        <v>2</v>
      </c>
      <c r="AB349" s="54">
        <v>0.98813024897118895</v>
      </c>
      <c r="AC349" s="55">
        <v>1.1869751028811069E-2</v>
      </c>
      <c r="AD349" s="752" t="e">
        <f>_xlfn.XLOOKUP(Table1[[#This Row],[Ruta]],#REF!,#REF!)</f>
        <v>#REF!</v>
      </c>
      <c r="AE349" s="752" t="e">
        <f>_xlfn.XLOOKUP(Table1[[#This Row],[Ruta]],#REF!,#REF!)</f>
        <v>#REF!</v>
      </c>
      <c r="AF349" s="752" t="e">
        <f>_xlfn.XLOOKUP(Table1[[#This Row],[Ruta]],#REF!,#REF!)</f>
        <v>#REF!</v>
      </c>
      <c r="AG349" s="752" t="e">
        <f>_xlfn.XLOOKUP(Table1[[#This Row],[Ruta]],#REF!,#REF!)</f>
        <v>#REF!</v>
      </c>
      <c r="AH349" s="52">
        <v>0.67310731827486747</v>
      </c>
      <c r="AI349" s="52">
        <v>0.32273347271243502</v>
      </c>
      <c r="AJ349" s="55">
        <v>4.1592090126974504E-3</v>
      </c>
      <c r="AK349" s="56">
        <v>8249</v>
      </c>
      <c r="AL349" s="44">
        <v>12325</v>
      </c>
      <c r="AM349" s="54">
        <v>0.34573887743969001</v>
      </c>
      <c r="AN349" s="55">
        <v>0.55224100357395201</v>
      </c>
      <c r="AO349" s="56">
        <v>1703.43603848153</v>
      </c>
      <c r="AP349" s="48">
        <v>851.71801924076499</v>
      </c>
      <c r="AQ349" s="55">
        <v>1.5973715625216105</v>
      </c>
      <c r="AR349" s="51">
        <v>2786127.15</v>
      </c>
      <c r="AS349" s="49">
        <v>192535.066738411</v>
      </c>
      <c r="AT349" s="55">
        <v>6.9104910283226309E-2</v>
      </c>
      <c r="AU349" s="51">
        <v>135294.91176212669</v>
      </c>
      <c r="AV349" s="52">
        <v>6.1546935691755063E-4</v>
      </c>
      <c r="AW349" s="44">
        <v>367</v>
      </c>
      <c r="AX349" s="51">
        <v>226.054941176471</v>
      </c>
      <c r="AY349" s="49">
        <v>395.30787608246197</v>
      </c>
      <c r="AZ349" s="49">
        <v>169.25293490599097</v>
      </c>
      <c r="BA349" s="42" t="s">
        <v>150</v>
      </c>
      <c r="BB349" s="50">
        <v>732933.82419763273</v>
      </c>
      <c r="BC349" s="57">
        <v>868228.73595975945</v>
      </c>
      <c r="BD349" s="42" t="s">
        <v>150</v>
      </c>
      <c r="BE349" s="46">
        <v>68.173553719008297</v>
      </c>
      <c r="BF349" s="46">
        <v>83.628504672897193</v>
      </c>
      <c r="BG349" s="42" t="s">
        <v>152</v>
      </c>
      <c r="BH349" s="52">
        <v>0.34573887743969001</v>
      </c>
      <c r="BI349" s="52">
        <v>0.51187669456560203</v>
      </c>
      <c r="BJ349" s="42" t="s">
        <v>152</v>
      </c>
      <c r="BK349" s="46">
        <v>317.15239436150199</v>
      </c>
      <c r="BL349" s="46">
        <v>638.00354527981403</v>
      </c>
      <c r="BM349" s="42" t="s">
        <v>152</v>
      </c>
      <c r="BN349" s="48">
        <v>0</v>
      </c>
      <c r="BO349" s="42" t="s">
        <v>155</v>
      </c>
      <c r="BP349" s="42" t="s">
        <v>152</v>
      </c>
      <c r="BQ349" s="46">
        <v>1141.2266645315201</v>
      </c>
      <c r="BR349" s="46">
        <v>74</v>
      </c>
      <c r="BS349" s="46">
        <v>14286</v>
      </c>
      <c r="BT349" s="46">
        <v>3752</v>
      </c>
      <c r="BU349" s="46">
        <v>3.8075692963752665</v>
      </c>
      <c r="BV349" s="46">
        <v>50.702702702702702</v>
      </c>
      <c r="BW349" s="46">
        <v>0</v>
      </c>
      <c r="BX349" s="46">
        <v>2108</v>
      </c>
      <c r="BY349" s="46">
        <v>2108</v>
      </c>
      <c r="BZ349" s="46">
        <v>0.56183368869936035</v>
      </c>
      <c r="CA349" s="46">
        <v>0</v>
      </c>
      <c r="CB349" s="46">
        <v>0.56183368869936035</v>
      </c>
      <c r="CC349" s="46">
        <v>0.12739872068230279</v>
      </c>
      <c r="CD349" s="46">
        <v>0</v>
      </c>
      <c r="CE349" s="46">
        <v>0</v>
      </c>
      <c r="CF349" s="46">
        <v>0.31076759061833698</v>
      </c>
      <c r="CG349" s="46">
        <v>0</v>
      </c>
      <c r="CH349" s="46">
        <v>0</v>
      </c>
      <c r="CI349" s="46">
        <v>3.6399272014559716</v>
      </c>
      <c r="CJ349" s="46">
        <v>0.34999300013999718</v>
      </c>
      <c r="CK349">
        <v>290</v>
      </c>
      <c r="CL349">
        <v>422.27</v>
      </c>
      <c r="CM349">
        <f t="shared" si="42"/>
        <v>132.26999999999998</v>
      </c>
      <c r="CN349">
        <v>6.88</v>
      </c>
      <c r="CO349">
        <v>9.4499999999999993</v>
      </c>
      <c r="CP349">
        <f t="shared" si="43"/>
        <v>2.5699999999999994</v>
      </c>
      <c r="CQ349">
        <v>564.37</v>
      </c>
      <c r="CR349">
        <v>317.14999999999998</v>
      </c>
      <c r="CS349">
        <f t="shared" si="44"/>
        <v>247.22000000000003</v>
      </c>
      <c r="CT349" t="s">
        <v>152</v>
      </c>
      <c r="CU349">
        <v>75.569999999999993</v>
      </c>
      <c r="CV349">
        <v>173</v>
      </c>
      <c r="CW349" s="46">
        <v>2108</v>
      </c>
      <c r="CX349" s="46">
        <f t="shared" si="38"/>
        <v>52.65804904051172</v>
      </c>
      <c r="CY349" s="46">
        <v>132.27000000000001</v>
      </c>
      <c r="CZ349" s="46">
        <f t="shared" si="39"/>
        <v>56.183368869936032</v>
      </c>
      <c r="DA349" s="46">
        <f t="shared" si="40"/>
        <v>806.18595257281299</v>
      </c>
      <c r="DB349" s="46">
        <v>3131443.91</v>
      </c>
      <c r="DC349" s="46">
        <f t="shared" si="41"/>
        <v>39.099413789463654</v>
      </c>
      <c r="DD349" s="46">
        <v>151872.68</v>
      </c>
      <c r="DE349" s="995">
        <v>2108</v>
      </c>
      <c r="DF349" s="995">
        <v>52.859000000000002</v>
      </c>
      <c r="DG349" s="995">
        <v>124.7</v>
      </c>
      <c r="DH349" s="995">
        <v>56.183</v>
      </c>
      <c r="DI349" s="995">
        <v>1353.05</v>
      </c>
      <c r="DJ349" s="995">
        <v>5245403</v>
      </c>
      <c r="DK349" s="995">
        <v>66.44</v>
      </c>
      <c r="DL349" s="995">
        <v>257569.2</v>
      </c>
      <c r="DM349" s="995">
        <v>2108</v>
      </c>
      <c r="DN349" s="995">
        <v>53.045999999999999</v>
      </c>
      <c r="DO349" s="995">
        <v>117.7</v>
      </c>
      <c r="DP349" s="995">
        <v>56.183</v>
      </c>
      <c r="DQ349" s="995">
        <v>1337.0150000000001</v>
      </c>
      <c r="DR349" s="995">
        <v>5173845</v>
      </c>
      <c r="DS349" s="995">
        <v>65.697999999999993</v>
      </c>
      <c r="DT349" s="995">
        <v>254231.8</v>
      </c>
    </row>
    <row r="350" spans="1:124">
      <c r="A350" s="42" t="s">
        <v>94</v>
      </c>
      <c r="B350" s="42" t="s">
        <v>549</v>
      </c>
      <c r="C350" s="42" t="s">
        <v>550</v>
      </c>
      <c r="D350" s="42">
        <v>816342</v>
      </c>
      <c r="E350" s="42" t="s">
        <v>566</v>
      </c>
      <c r="F350" s="42" t="s">
        <v>149</v>
      </c>
      <c r="G350" s="42" t="s">
        <v>150</v>
      </c>
      <c r="H350" s="43" t="s">
        <v>150</v>
      </c>
      <c r="I350" s="44">
        <v>69</v>
      </c>
      <c r="J350" s="45">
        <v>220442.35920000001</v>
      </c>
      <c r="K350" s="46">
        <v>12425.503205999999</v>
      </c>
      <c r="L350" s="47">
        <v>232867.862406</v>
      </c>
      <c r="M350" s="48">
        <v>5026210</v>
      </c>
      <c r="N350" s="49">
        <v>3236312</v>
      </c>
      <c r="O350" s="49">
        <v>1783911</v>
      </c>
      <c r="P350" s="49">
        <v>5987</v>
      </c>
      <c r="Q350" s="50">
        <v>11514.277247706401</v>
      </c>
      <c r="R350" s="51">
        <v>25175.5141157486</v>
      </c>
      <c r="S350" s="49">
        <v>38258.831890765701</v>
      </c>
      <c r="T350" s="49">
        <v>8205.2627781153697</v>
      </c>
      <c r="U350" s="49">
        <f>IFERROR(INDEX('Rentabilidad datos'!$N$2:$N$61,MATCH($C350,'Rentabilidad datos'!$C$2:$C$61,0)),"")</f>
        <v>71639.608784629672</v>
      </c>
      <c r="V350" s="50">
        <f>IFERROR(INDEX('Rentabilidad datos'!$O$2:$O$61,MATCH($C350,'Rentabilidad datos'!$C$2:$C$61,0)),"")</f>
        <v>1193.9934797438279</v>
      </c>
      <c r="W350" s="51">
        <f>IFERROR(INDEX('Rentabilidad datos'!$M$2:$M$61,MATCH($C350,'Rentabilidad datos'!$C$2:$C$61,0)),"")</f>
        <v>3427.1365491869451</v>
      </c>
      <c r="X350" s="52">
        <f>IFERROR(INDEX('Rentabilidad datos'!$P$2:$P$61,MATCH($C350,'Rentabilidad datos'!$C$2:$C$61,0)),"")</f>
        <v>0.34839390336725601</v>
      </c>
      <c r="Y350" s="43" t="s">
        <v>171</v>
      </c>
      <c r="Z350" s="53">
        <v>52.694954128440401</v>
      </c>
      <c r="AA350" s="43">
        <v>2</v>
      </c>
      <c r="AB350" s="54">
        <v>0.97141006842133537</v>
      </c>
      <c r="AC350" s="55">
        <v>2.8589931578664639E-2</v>
      </c>
      <c r="AD350" s="752" t="e">
        <f>_xlfn.XLOOKUP(Table1[[#This Row],[Ruta]],#REF!,#REF!)</f>
        <v>#REF!</v>
      </c>
      <c r="AE350" s="752" t="e">
        <f>_xlfn.XLOOKUP(Table1[[#This Row],[Ruta]],#REF!,#REF!)</f>
        <v>#REF!</v>
      </c>
      <c r="AF350" s="752" t="e">
        <f>_xlfn.XLOOKUP(Table1[[#This Row],[Ruta]],#REF!,#REF!)</f>
        <v>#REF!</v>
      </c>
      <c r="AG350" s="752" t="e">
        <f>_xlfn.XLOOKUP(Table1[[#This Row],[Ruta]],#REF!,#REF!)</f>
        <v>#REF!</v>
      </c>
      <c r="AH350" s="52">
        <v>0.64388714359328403</v>
      </c>
      <c r="AI350" s="52">
        <v>0.3549217004462607</v>
      </c>
      <c r="AJ350" s="55">
        <v>1.1911559604552934E-3</v>
      </c>
      <c r="AK350" s="56">
        <v>22975</v>
      </c>
      <c r="AL350" s="44">
        <v>10112</v>
      </c>
      <c r="AM350" s="54">
        <v>0.440130576713819</v>
      </c>
      <c r="AN350" s="55">
        <v>0.55224100357395201</v>
      </c>
      <c r="AO350" s="56">
        <v>2575.7370571115398</v>
      </c>
      <c r="AP350" s="48">
        <v>1287.8685285557699</v>
      </c>
      <c r="AQ350" s="55">
        <v>0.49618579014388553</v>
      </c>
      <c r="AR350" s="51">
        <v>5020224.88</v>
      </c>
      <c r="AS350" s="49">
        <v>639377.93010528502</v>
      </c>
      <c r="AT350" s="55">
        <v>0.12736041619420146</v>
      </c>
      <c r="AU350" s="51">
        <v>449292.59953344369</v>
      </c>
      <c r="AV350" s="52">
        <v>2.0438745530123588E-3</v>
      </c>
      <c r="AW350" s="44">
        <v>163</v>
      </c>
      <c r="AX350" s="51">
        <v>496.46211234177201</v>
      </c>
      <c r="AY350" s="49">
        <v>395.30787608246197</v>
      </c>
      <c r="AZ350" s="49">
        <v>0</v>
      </c>
      <c r="BA350" s="42" t="s">
        <v>152</v>
      </c>
      <c r="BB350" s="50">
        <v>0</v>
      </c>
      <c r="BC350" s="57">
        <v>449292.59953344369</v>
      </c>
      <c r="BD350" s="42" t="s">
        <v>150</v>
      </c>
      <c r="BE350" s="46">
        <v>52.694954128440401</v>
      </c>
      <c r="BF350" s="46">
        <v>83.628504672897193</v>
      </c>
      <c r="BG350" s="42" t="s">
        <v>152</v>
      </c>
      <c r="BH350" s="52">
        <v>0.440130576713819</v>
      </c>
      <c r="BI350" s="52">
        <v>0.51187669456560203</v>
      </c>
      <c r="BJ350" s="42" t="s">
        <v>152</v>
      </c>
      <c r="BK350" s="46">
        <v>534.10060184862402</v>
      </c>
      <c r="BL350" s="46">
        <v>638.00354527981403</v>
      </c>
      <c r="BM350" s="42" t="s">
        <v>152</v>
      </c>
      <c r="BN350" s="48">
        <v>0</v>
      </c>
      <c r="BO350" s="42" t="s">
        <v>155</v>
      </c>
      <c r="BP350" s="42" t="s">
        <v>152</v>
      </c>
      <c r="BQ350" s="46">
        <v>11166.147899110199</v>
      </c>
      <c r="BR350" s="46">
        <v>490</v>
      </c>
      <c r="BS350" s="46">
        <v>32722</v>
      </c>
      <c r="BT350" s="46">
        <v>7950</v>
      </c>
      <c r="BU350" s="46">
        <v>4.1159748427672955</v>
      </c>
      <c r="BV350" s="46">
        <v>16.224489795918366</v>
      </c>
      <c r="BW350" s="46">
        <v>0</v>
      </c>
      <c r="BX350" s="46">
        <v>1328</v>
      </c>
      <c r="BY350" s="46">
        <v>1328</v>
      </c>
      <c r="BZ350" s="46">
        <v>0.16704402515723271</v>
      </c>
      <c r="CA350" s="46">
        <v>0</v>
      </c>
      <c r="CB350" s="46">
        <v>0.16704402515723271</v>
      </c>
      <c r="CC350" s="46">
        <v>4.6540880503144651E-2</v>
      </c>
      <c r="CD350" s="46">
        <v>0</v>
      </c>
      <c r="CE350" s="46">
        <v>2.1383647798742136E-3</v>
      </c>
      <c r="CF350" s="46">
        <v>0.78415094339622637</v>
      </c>
      <c r="CG350" s="46">
        <v>0</v>
      </c>
      <c r="CH350" s="46">
        <v>1.257861635220126E-4</v>
      </c>
      <c r="CI350" s="46">
        <v>5.8981724833445393</v>
      </c>
      <c r="CJ350" s="46">
        <v>9.1681437564941015E-2</v>
      </c>
      <c r="CK350">
        <v>303</v>
      </c>
      <c r="CL350">
        <v>474.84</v>
      </c>
      <c r="CM350">
        <f t="shared" si="42"/>
        <v>171.83999999999997</v>
      </c>
      <c r="CN350">
        <v>3.82</v>
      </c>
      <c r="CO350">
        <v>9.4499999999999993</v>
      </c>
      <c r="CP350">
        <f t="shared" si="43"/>
        <v>5.629999999999999</v>
      </c>
      <c r="CQ350">
        <v>846.56</v>
      </c>
      <c r="CR350">
        <v>534.1</v>
      </c>
      <c r="CS350">
        <f t="shared" si="44"/>
        <v>312.45999999999992</v>
      </c>
      <c r="CT350" t="s">
        <v>152</v>
      </c>
      <c r="CU350">
        <v>63.09</v>
      </c>
      <c r="CV350">
        <v>94</v>
      </c>
      <c r="CW350" s="46">
        <v>1328</v>
      </c>
      <c r="CX350" s="46">
        <f t="shared" si="38"/>
        <v>14.542893081761008</v>
      </c>
      <c r="CY350" s="46">
        <v>171.84</v>
      </c>
      <c r="CZ350" s="46">
        <f t="shared" si="39"/>
        <v>16.70440251572327</v>
      </c>
      <c r="DA350" s="46">
        <f t="shared" si="40"/>
        <v>253.26199728140421</v>
      </c>
      <c r="DB350" s="46">
        <v>2056953.42</v>
      </c>
      <c r="DC350" s="46">
        <f t="shared" si="41"/>
        <v>11.322397387784049</v>
      </c>
      <c r="DD350" s="46">
        <v>91958.7</v>
      </c>
      <c r="DE350" s="995">
        <v>1328</v>
      </c>
      <c r="DF350" s="995">
        <v>14.625999999999999</v>
      </c>
      <c r="DG350" s="995">
        <v>165.3</v>
      </c>
      <c r="DH350" s="995">
        <v>16.704000000000001</v>
      </c>
      <c r="DI350" s="995">
        <v>756.94500000000005</v>
      </c>
      <c r="DJ350" s="995">
        <v>6142815</v>
      </c>
      <c r="DK350" s="995">
        <v>34.825000000000003</v>
      </c>
      <c r="DL350" s="995">
        <v>282614.59999999998</v>
      </c>
      <c r="DM350" s="995">
        <v>1328</v>
      </c>
      <c r="DN350" s="995">
        <v>14.872999999999999</v>
      </c>
      <c r="DO350" s="995">
        <v>145.6</v>
      </c>
      <c r="DP350" s="995">
        <v>16.704000000000001</v>
      </c>
      <c r="DQ350" s="995">
        <v>731.923</v>
      </c>
      <c r="DR350" s="995">
        <v>5925343</v>
      </c>
      <c r="DS350" s="995">
        <v>33.741</v>
      </c>
      <c r="DT350" s="995">
        <v>273155.59999999998</v>
      </c>
    </row>
    <row r="351" spans="1:124">
      <c r="A351" s="42" t="s">
        <v>94</v>
      </c>
      <c r="B351" s="42" t="s">
        <v>549</v>
      </c>
      <c r="C351" s="42" t="s">
        <v>550</v>
      </c>
      <c r="D351" s="42">
        <v>816343</v>
      </c>
      <c r="E351" s="42" t="s">
        <v>567</v>
      </c>
      <c r="F351" s="42" t="s">
        <v>149</v>
      </c>
      <c r="G351" s="42" t="s">
        <v>150</v>
      </c>
      <c r="H351" s="43" t="s">
        <v>150</v>
      </c>
      <c r="I351" s="44">
        <v>69</v>
      </c>
      <c r="J351" s="45">
        <v>192294.86079999999</v>
      </c>
      <c r="K351" s="46">
        <v>7005.8102580000004</v>
      </c>
      <c r="L351" s="47">
        <v>199300.67105800001</v>
      </c>
      <c r="M351" s="48">
        <v>3687521</v>
      </c>
      <c r="N351" s="49">
        <v>2796292</v>
      </c>
      <c r="O351" s="49">
        <v>886851</v>
      </c>
      <c r="P351" s="49">
        <v>4378</v>
      </c>
      <c r="Q351" s="50">
        <v>8397.1008447488603</v>
      </c>
      <c r="R351" s="51">
        <v>25175.5141157486</v>
      </c>
      <c r="S351" s="49">
        <v>38258.831890765701</v>
      </c>
      <c r="T351" s="49">
        <v>8205.2627781153697</v>
      </c>
      <c r="U351" s="49">
        <f>IFERROR(INDEX('Rentabilidad datos'!$N$2:$N$61,MATCH($C351,'Rentabilidad datos'!$C$2:$C$61,0)),"")</f>
        <v>71639.608784629672</v>
      </c>
      <c r="V351" s="50">
        <f>IFERROR(INDEX('Rentabilidad datos'!$O$2:$O$61,MATCH($C351,'Rentabilidad datos'!$C$2:$C$61,0)),"")</f>
        <v>1193.9934797438279</v>
      </c>
      <c r="W351" s="51">
        <f>IFERROR(INDEX('Rentabilidad datos'!$M$2:$M$61,MATCH($C351,'Rentabilidad datos'!$C$2:$C$61,0)),"")</f>
        <v>3427.1365491869451</v>
      </c>
      <c r="X351" s="52">
        <f>IFERROR(INDEX('Rentabilidad datos'!$P$2:$P$61,MATCH($C351,'Rentabilidad datos'!$C$2:$C$61,0)),"")</f>
        <v>0.34839390336725601</v>
      </c>
      <c r="Y351" s="43" t="s">
        <v>171</v>
      </c>
      <c r="Z351" s="53">
        <v>118.55936073059399</v>
      </c>
      <c r="AA351" s="43">
        <v>2</v>
      </c>
      <c r="AB351" s="54">
        <v>0.96649727554093934</v>
      </c>
      <c r="AC351" s="55">
        <v>3.3502724459060711E-2</v>
      </c>
      <c r="AD351" s="752" t="e">
        <f>_xlfn.XLOOKUP(Table1[[#This Row],[Ruta]],#REF!,#REF!)</f>
        <v>#REF!</v>
      </c>
      <c r="AE351" s="752" t="e">
        <f>_xlfn.XLOOKUP(Table1[[#This Row],[Ruta]],#REF!,#REF!)</f>
        <v>#REF!</v>
      </c>
      <c r="AF351" s="752" t="e">
        <f>_xlfn.XLOOKUP(Table1[[#This Row],[Ruta]],#REF!,#REF!)</f>
        <v>#REF!</v>
      </c>
      <c r="AG351" s="752" t="e">
        <f>_xlfn.XLOOKUP(Table1[[#This Row],[Ruta]],#REF!,#REF!)</f>
        <v>#REF!</v>
      </c>
      <c r="AH351" s="52">
        <v>0.75831215605280622</v>
      </c>
      <c r="AI351" s="52">
        <v>0.24050059647117941</v>
      </c>
      <c r="AJ351" s="55">
        <v>1.187247476014374E-3</v>
      </c>
      <c r="AK351" s="56">
        <v>51929</v>
      </c>
      <c r="AL351" s="44">
        <v>19521</v>
      </c>
      <c r="AM351" s="54">
        <v>0.37591711760288099</v>
      </c>
      <c r="AN351" s="55">
        <v>0.55224100357395201</v>
      </c>
      <c r="AO351" s="56">
        <v>9156.3230745917299</v>
      </c>
      <c r="AP351" s="48">
        <v>4578.1615372958649</v>
      </c>
      <c r="AQ351" s="55">
        <v>0.46407906058841619</v>
      </c>
      <c r="AR351" s="51">
        <v>3677930.17</v>
      </c>
      <c r="AS351" s="49">
        <v>862566.38702699996</v>
      </c>
      <c r="AT351" s="55">
        <v>0.23452494940299531</v>
      </c>
      <c r="AU351" s="51">
        <v>606127.73142437858</v>
      </c>
      <c r="AV351" s="52">
        <v>2.7573324097032704E-3</v>
      </c>
      <c r="AW351" s="44">
        <v>117</v>
      </c>
      <c r="AX351" s="51">
        <v>188.40890169561001</v>
      </c>
      <c r="AY351" s="49">
        <v>395.30787608246197</v>
      </c>
      <c r="AZ351" s="49">
        <v>206.89897438685196</v>
      </c>
      <c r="BA351" s="42" t="s">
        <v>150</v>
      </c>
      <c r="BB351" s="50">
        <v>1419064.146677692</v>
      </c>
      <c r="BC351" s="57">
        <v>2025191.8781020707</v>
      </c>
      <c r="BD351" s="42" t="s">
        <v>150</v>
      </c>
      <c r="BE351" s="46">
        <v>118.55936073059399</v>
      </c>
      <c r="BF351" s="46">
        <v>83.628504672897193</v>
      </c>
      <c r="BG351" s="42" t="s">
        <v>150</v>
      </c>
      <c r="BH351" s="52">
        <v>0.37591711760288099</v>
      </c>
      <c r="BI351" s="52">
        <v>0.51187669456560203</v>
      </c>
      <c r="BJ351" s="42" t="s">
        <v>152</v>
      </c>
      <c r="BK351" s="46">
        <v>455.02436314611799</v>
      </c>
      <c r="BL351" s="46">
        <v>638.00354527981403</v>
      </c>
      <c r="BM351" s="42" t="s">
        <v>152</v>
      </c>
      <c r="BN351" s="48">
        <v>1</v>
      </c>
      <c r="BO351" s="42" t="s">
        <v>155</v>
      </c>
      <c r="BP351" s="42" t="s">
        <v>152</v>
      </c>
      <c r="BQ351" s="46">
        <v>0</v>
      </c>
      <c r="BR351" s="46">
        <v>105</v>
      </c>
      <c r="BS351" s="46">
        <v>16205</v>
      </c>
      <c r="BT351" s="46">
        <v>4698</v>
      </c>
      <c r="BU351" s="46">
        <v>3.4493401447424437</v>
      </c>
      <c r="BV351" s="46">
        <v>44.74285714285714</v>
      </c>
      <c r="BW351" s="46">
        <v>0</v>
      </c>
      <c r="BX351" s="46">
        <v>3260</v>
      </c>
      <c r="BY351" s="46">
        <v>3260</v>
      </c>
      <c r="BZ351" s="46">
        <v>0.69391230310770535</v>
      </c>
      <c r="CA351" s="46">
        <v>0</v>
      </c>
      <c r="CB351" s="46">
        <v>0.69391230310770535</v>
      </c>
      <c r="CC351" s="46">
        <v>0</v>
      </c>
      <c r="CD351" s="46">
        <v>3.2354193273733498E-2</v>
      </c>
      <c r="CE351" s="46">
        <v>0</v>
      </c>
      <c r="CF351" s="46">
        <v>0.27373350361856108</v>
      </c>
      <c r="CG351" s="46">
        <v>0</v>
      </c>
      <c r="CH351" s="46">
        <v>0</v>
      </c>
      <c r="CI351" s="46">
        <v>2.7152113545202101</v>
      </c>
      <c r="CJ351" s="46">
        <v>0.2468373958654736</v>
      </c>
      <c r="CK351">
        <v>347</v>
      </c>
      <c r="CL351">
        <v>488.21</v>
      </c>
      <c r="CM351">
        <f t="shared" si="42"/>
        <v>141.20999999999998</v>
      </c>
      <c r="CN351">
        <v>8.82</v>
      </c>
      <c r="CO351">
        <v>9.4499999999999993</v>
      </c>
      <c r="CP351">
        <f t="shared" si="43"/>
        <v>0.62999999999999901</v>
      </c>
      <c r="CQ351">
        <v>846.56</v>
      </c>
      <c r="CR351">
        <v>455.02</v>
      </c>
      <c r="CS351">
        <f t="shared" si="44"/>
        <v>391.53999999999996</v>
      </c>
      <c r="CT351" t="s">
        <v>152</v>
      </c>
      <c r="CU351">
        <v>94.7</v>
      </c>
      <c r="CV351">
        <v>303</v>
      </c>
      <c r="CW351" s="46">
        <v>3260</v>
      </c>
      <c r="CX351" s="46">
        <f t="shared" si="38"/>
        <v>66.385483184333765</v>
      </c>
      <c r="CY351" s="46">
        <v>141.21</v>
      </c>
      <c r="CZ351" s="46">
        <f t="shared" si="39"/>
        <v>69.391230310770538</v>
      </c>
      <c r="DA351" s="46">
        <f t="shared" si="40"/>
        <v>620.36823985733201</v>
      </c>
      <c r="DB351" s="46">
        <v>3002092.19</v>
      </c>
      <c r="DC351" s="46">
        <f t="shared" si="41"/>
        <v>33.940986235356597</v>
      </c>
      <c r="DD351" s="46">
        <v>164247.56</v>
      </c>
      <c r="DE351" s="995">
        <v>3260</v>
      </c>
      <c r="DF351" s="995">
        <v>66.522999999999996</v>
      </c>
      <c r="DG351" s="995">
        <v>134.69999999999999</v>
      </c>
      <c r="DH351" s="995">
        <v>69.391000000000005</v>
      </c>
      <c r="DI351" s="995">
        <v>1095.2570000000001</v>
      </c>
      <c r="DJ351" s="995">
        <v>5293090</v>
      </c>
      <c r="DK351" s="995">
        <v>59.463999999999999</v>
      </c>
      <c r="DL351" s="995">
        <v>287375.8</v>
      </c>
      <c r="DM351" s="995">
        <v>3260</v>
      </c>
      <c r="DN351" s="995">
        <v>66.656000000000006</v>
      </c>
      <c r="DO351" s="995">
        <v>128.5</v>
      </c>
      <c r="DP351" s="995">
        <v>69.391000000000005</v>
      </c>
      <c r="DQ351" s="995">
        <v>1084.875</v>
      </c>
      <c r="DR351" s="995">
        <v>5236156</v>
      </c>
      <c r="DS351" s="995">
        <v>58.904000000000003</v>
      </c>
      <c r="DT351" s="995">
        <v>284302.7</v>
      </c>
    </row>
    <row r="352" spans="1:124">
      <c r="A352" s="42" t="s">
        <v>94</v>
      </c>
      <c r="B352" s="42" t="s">
        <v>549</v>
      </c>
      <c r="C352" s="42" t="s">
        <v>550</v>
      </c>
      <c r="D352" s="42">
        <v>816344</v>
      </c>
      <c r="E352" s="42" t="s">
        <v>568</v>
      </c>
      <c r="F352" s="42" t="s">
        <v>149</v>
      </c>
      <c r="G352" s="42" t="s">
        <v>150</v>
      </c>
      <c r="H352" s="43" t="s">
        <v>150</v>
      </c>
      <c r="I352" s="44">
        <v>69</v>
      </c>
      <c r="J352" s="45">
        <v>157282.20480000001</v>
      </c>
      <c r="K352" s="46">
        <v>7981.0724609999997</v>
      </c>
      <c r="L352" s="47">
        <v>165263.27726100001</v>
      </c>
      <c r="M352" s="48">
        <v>3514792</v>
      </c>
      <c r="N352" s="49">
        <v>2494280</v>
      </c>
      <c r="O352" s="49">
        <v>1001097</v>
      </c>
      <c r="P352" s="49">
        <v>19415</v>
      </c>
      <c r="Q352" s="50">
        <v>7428.0646666666698</v>
      </c>
      <c r="R352" s="51">
        <v>25175.5141157486</v>
      </c>
      <c r="S352" s="49">
        <v>38258.831890765701</v>
      </c>
      <c r="T352" s="49">
        <v>8205.2627781153697</v>
      </c>
      <c r="U352" s="49">
        <f>IFERROR(INDEX('Rentabilidad datos'!$N$2:$N$61,MATCH($C352,'Rentabilidad datos'!$C$2:$C$61,0)),"")</f>
        <v>71639.608784629672</v>
      </c>
      <c r="V352" s="50">
        <f>IFERROR(INDEX('Rentabilidad datos'!$O$2:$O$61,MATCH($C352,'Rentabilidad datos'!$C$2:$C$61,0)),"")</f>
        <v>1193.9934797438279</v>
      </c>
      <c r="W352" s="51">
        <f>IFERROR(INDEX('Rentabilidad datos'!$M$2:$M$61,MATCH($C352,'Rentabilidad datos'!$C$2:$C$61,0)),"")</f>
        <v>3427.1365491869451</v>
      </c>
      <c r="X352" s="52">
        <f>IFERROR(INDEX('Rentabilidad datos'!$P$2:$P$61,MATCH($C352,'Rentabilidad datos'!$C$2:$C$61,0)),"")</f>
        <v>0.34839390336725601</v>
      </c>
      <c r="Y352" s="43" t="s">
        <v>171</v>
      </c>
      <c r="Z352" s="53">
        <v>87.611494252873598</v>
      </c>
      <c r="AA352" s="43">
        <v>2</v>
      </c>
      <c r="AB352" s="54">
        <v>0.95815285797850913</v>
      </c>
      <c r="AC352" s="55">
        <v>4.1847142021490889E-2</v>
      </c>
      <c r="AD352" s="752" t="e">
        <f>_xlfn.XLOOKUP(Table1[[#This Row],[Ruta]],#REF!,#REF!)</f>
        <v>#REF!</v>
      </c>
      <c r="AE352" s="752" t="e">
        <f>_xlfn.XLOOKUP(Table1[[#This Row],[Ruta]],#REF!,#REF!)</f>
        <v>#REF!</v>
      </c>
      <c r="AF352" s="752" t="e">
        <f>_xlfn.XLOOKUP(Table1[[#This Row],[Ruta]],#REF!,#REF!)</f>
        <v>#REF!</v>
      </c>
      <c r="AG352" s="752" t="e">
        <f>_xlfn.XLOOKUP(Table1[[#This Row],[Ruta]],#REF!,#REF!)</f>
        <v>#REF!</v>
      </c>
      <c r="AH352" s="52">
        <v>0.70965223546656531</v>
      </c>
      <c r="AI352" s="52">
        <v>0.28482396682364136</v>
      </c>
      <c r="AJ352" s="55">
        <v>5.523797709793353E-3</v>
      </c>
      <c r="AK352" s="56">
        <v>38111</v>
      </c>
      <c r="AL352" s="44">
        <v>10372</v>
      </c>
      <c r="AM352" s="54">
        <v>0.27215239694576399</v>
      </c>
      <c r="AN352" s="55">
        <v>0.55224100357395201</v>
      </c>
      <c r="AO352" s="56">
        <v>10674.456887206899</v>
      </c>
      <c r="AP352" s="48">
        <v>5337.2284436034497</v>
      </c>
      <c r="AQ352" s="55">
        <v>0.41219670025985805</v>
      </c>
      <c r="AR352" s="51">
        <v>3231208.13</v>
      </c>
      <c r="AS352" s="49">
        <v>1662716.5386269451</v>
      </c>
      <c r="AT352" s="55">
        <v>0.51458045156222887</v>
      </c>
      <c r="AU352" s="51">
        <v>1168395.4055216375</v>
      </c>
      <c r="AV352" s="52">
        <v>5.3151412680334451E-3</v>
      </c>
      <c r="AW352" s="44">
        <v>27</v>
      </c>
      <c r="AX352" s="51">
        <v>311.53182896259199</v>
      </c>
      <c r="AY352" s="49">
        <v>395.30787608246197</v>
      </c>
      <c r="AZ352" s="49">
        <v>83.776047119869986</v>
      </c>
      <c r="BA352" s="42" t="s">
        <v>150</v>
      </c>
      <c r="BB352" s="50">
        <v>305298.02944472415</v>
      </c>
      <c r="BC352" s="57">
        <v>1473693.4349663616</v>
      </c>
      <c r="BD352" s="42" t="s">
        <v>150</v>
      </c>
      <c r="BE352" s="46">
        <v>87.611494252873598</v>
      </c>
      <c r="BF352" s="46">
        <v>83.628504672897193</v>
      </c>
      <c r="BG352" s="42" t="s">
        <v>150</v>
      </c>
      <c r="BH352" s="52">
        <v>0.27215239694576399</v>
      </c>
      <c r="BI352" s="52">
        <v>0.51187669456560203</v>
      </c>
      <c r="BJ352" s="42" t="s">
        <v>152</v>
      </c>
      <c r="BK352" s="46">
        <v>379.915579910345</v>
      </c>
      <c r="BL352" s="46">
        <v>638.00354527981403</v>
      </c>
      <c r="BM352" s="42" t="s">
        <v>152</v>
      </c>
      <c r="BN352" s="48">
        <v>1</v>
      </c>
      <c r="BO352" s="42" t="s">
        <v>155</v>
      </c>
      <c r="BP352" s="42" t="s">
        <v>152</v>
      </c>
      <c r="BQ352" s="46">
        <v>7252.3270650439599</v>
      </c>
      <c r="BR352" s="46">
        <v>435</v>
      </c>
      <c r="BS352" s="46">
        <v>30691</v>
      </c>
      <c r="BT352" s="46">
        <v>8763</v>
      </c>
      <c r="BU352" s="46">
        <v>3.5023393814903572</v>
      </c>
      <c r="BV352" s="46">
        <v>20.144827586206898</v>
      </c>
      <c r="BW352" s="46">
        <v>0</v>
      </c>
      <c r="BX352" s="46">
        <v>4925</v>
      </c>
      <c r="BY352" s="46">
        <v>4925</v>
      </c>
      <c r="BZ352" s="46">
        <v>0.56202213853703065</v>
      </c>
      <c r="CA352" s="46">
        <v>0</v>
      </c>
      <c r="CB352" s="46">
        <v>0.56202213853703065</v>
      </c>
      <c r="CC352" s="46">
        <v>9.5058769827684589E-2</v>
      </c>
      <c r="CD352" s="46">
        <v>0.14778044048841721</v>
      </c>
      <c r="CE352" s="46">
        <v>0</v>
      </c>
      <c r="CF352" s="46">
        <v>0.19513865114686749</v>
      </c>
      <c r="CG352" s="46">
        <v>0</v>
      </c>
      <c r="CH352" s="46">
        <v>0</v>
      </c>
      <c r="CI352" s="46">
        <v>3.0953699781694959</v>
      </c>
      <c r="CJ352" s="46">
        <v>0.22807989312827859</v>
      </c>
      <c r="CK352">
        <v>495</v>
      </c>
      <c r="CL352">
        <v>887.51</v>
      </c>
      <c r="CM352">
        <f t="shared" si="42"/>
        <v>392.51</v>
      </c>
      <c r="CN352">
        <v>6.91</v>
      </c>
      <c r="CO352">
        <v>9.4499999999999993</v>
      </c>
      <c r="CP352">
        <f t="shared" si="43"/>
        <v>2.5399999999999991</v>
      </c>
      <c r="CQ352">
        <v>846.56</v>
      </c>
      <c r="CR352">
        <v>379.92</v>
      </c>
      <c r="CS352">
        <f t="shared" si="44"/>
        <v>466.63999999999993</v>
      </c>
      <c r="CT352" t="s">
        <v>152</v>
      </c>
      <c r="CU352">
        <v>74.33</v>
      </c>
      <c r="CV352">
        <v>323</v>
      </c>
      <c r="CW352" s="46">
        <v>4925</v>
      </c>
      <c r="CX352" s="46">
        <f t="shared" si="38"/>
        <v>51.723040054775758</v>
      </c>
      <c r="CY352" s="46">
        <v>392.51</v>
      </c>
      <c r="CZ352" s="46">
        <f t="shared" si="39"/>
        <v>56.202213853703064</v>
      </c>
      <c r="DA352" s="46">
        <f t="shared" si="40"/>
        <v>680.2788189844149</v>
      </c>
      <c r="DB352" s="46">
        <v>6228299.5300000003</v>
      </c>
      <c r="DC352" s="46">
        <f t="shared" si="41"/>
        <v>33.740070187242438</v>
      </c>
      <c r="DD352" s="46">
        <v>308907.55</v>
      </c>
      <c r="DE352" s="995">
        <v>4925</v>
      </c>
      <c r="DF352" s="995">
        <v>52.085000000000001</v>
      </c>
      <c r="DG352" s="995">
        <v>360.8</v>
      </c>
      <c r="DH352" s="995">
        <v>56.201999999999998</v>
      </c>
      <c r="DI352" s="995">
        <v>1101.5150000000001</v>
      </c>
      <c r="DJ352" s="995">
        <v>10050005</v>
      </c>
      <c r="DK352" s="995">
        <v>54.389000000000003</v>
      </c>
      <c r="DL352" s="995">
        <v>496232.1</v>
      </c>
      <c r="DM352" s="995">
        <v>4925</v>
      </c>
      <c r="DN352" s="995">
        <v>52.158999999999999</v>
      </c>
      <c r="DO352" s="995">
        <v>354.3</v>
      </c>
      <c r="DP352" s="995">
        <v>56.201999999999998</v>
      </c>
      <c r="DQ352" s="995">
        <v>1095.329</v>
      </c>
      <c r="DR352" s="995">
        <v>9986487</v>
      </c>
      <c r="DS352" s="995">
        <v>54.084000000000003</v>
      </c>
      <c r="DT352" s="995">
        <v>493102.3</v>
      </c>
    </row>
    <row r="353" spans="1:124">
      <c r="A353" s="42" t="s">
        <v>94</v>
      </c>
      <c r="B353" s="42" t="s">
        <v>549</v>
      </c>
      <c r="C353" s="42" t="s">
        <v>550</v>
      </c>
      <c r="D353" s="42">
        <v>816345</v>
      </c>
      <c r="E353" s="42" t="s">
        <v>569</v>
      </c>
      <c r="F353" s="42" t="s">
        <v>149</v>
      </c>
      <c r="G353" s="42" t="s">
        <v>150</v>
      </c>
      <c r="H353" s="43" t="s">
        <v>150</v>
      </c>
      <c r="I353" s="44">
        <v>69</v>
      </c>
      <c r="J353" s="45">
        <v>194151.16560000001</v>
      </c>
      <c r="K353" s="46">
        <v>7946.9984430000004</v>
      </c>
      <c r="L353" s="47">
        <v>202098.164043</v>
      </c>
      <c r="M353" s="48">
        <v>3878960</v>
      </c>
      <c r="N353" s="49">
        <v>2827511</v>
      </c>
      <c r="O353" s="49">
        <v>1049356</v>
      </c>
      <c r="P353" s="49">
        <v>2093</v>
      </c>
      <c r="Q353" s="50">
        <v>8995.0501160092808</v>
      </c>
      <c r="R353" s="51">
        <v>25175.5141157486</v>
      </c>
      <c r="S353" s="49">
        <v>38258.831890765701</v>
      </c>
      <c r="T353" s="49">
        <v>8205.2627781153697</v>
      </c>
      <c r="U353" s="49">
        <f>IFERROR(INDEX('Rentabilidad datos'!$N$2:$N$61,MATCH($C353,'Rentabilidad datos'!$C$2:$C$61,0)),"")</f>
        <v>71639.608784629672</v>
      </c>
      <c r="V353" s="50">
        <f>IFERROR(INDEX('Rentabilidad datos'!$O$2:$O$61,MATCH($C353,'Rentabilidad datos'!$C$2:$C$61,0)),"")</f>
        <v>1193.9934797438279</v>
      </c>
      <c r="W353" s="51">
        <f>IFERROR(INDEX('Rentabilidad datos'!$M$2:$M$61,MATCH($C353,'Rentabilidad datos'!$C$2:$C$61,0)),"")</f>
        <v>3427.1365491869451</v>
      </c>
      <c r="X353" s="52">
        <f>IFERROR(INDEX('Rentabilidad datos'!$P$2:$P$61,MATCH($C353,'Rentabilidad datos'!$C$2:$C$61,0)),"")</f>
        <v>0.34839390336725601</v>
      </c>
      <c r="Y353" s="43" t="s">
        <v>171</v>
      </c>
      <c r="Z353" s="53">
        <v>82.350348027842202</v>
      </c>
      <c r="AA353" s="43">
        <v>2</v>
      </c>
      <c r="AB353" s="54">
        <v>0.96546729020149735</v>
      </c>
      <c r="AC353" s="55">
        <v>3.4532709798502689E-2</v>
      </c>
      <c r="AD353" s="752" t="e">
        <f>_xlfn.XLOOKUP(Table1[[#This Row],[Ruta]],#REF!,#REF!)</f>
        <v>#REF!</v>
      </c>
      <c r="AE353" s="752" t="e">
        <f>_xlfn.XLOOKUP(Table1[[#This Row],[Ruta]],#REF!,#REF!)</f>
        <v>#REF!</v>
      </c>
      <c r="AF353" s="752" t="e">
        <f>_xlfn.XLOOKUP(Table1[[#This Row],[Ruta]],#REF!,#REF!)</f>
        <v>#REF!</v>
      </c>
      <c r="AG353" s="752" t="e">
        <f>_xlfn.XLOOKUP(Table1[[#This Row],[Ruta]],#REF!,#REF!)</f>
        <v>#REF!</v>
      </c>
      <c r="AH353" s="52">
        <v>0.72893533318209003</v>
      </c>
      <c r="AI353" s="52">
        <v>0.27052508919916679</v>
      </c>
      <c r="AJ353" s="55">
        <v>5.3957761874316832E-4</v>
      </c>
      <c r="AK353" s="56">
        <v>35493</v>
      </c>
      <c r="AL353" s="44">
        <v>15723</v>
      </c>
      <c r="AM353" s="54">
        <v>0.44298875834671603</v>
      </c>
      <c r="AN353" s="55">
        <v>0.55224100357395201</v>
      </c>
      <c r="AO353" s="56">
        <v>3877.6899398502601</v>
      </c>
      <c r="AP353" s="48">
        <v>1938.84496992513</v>
      </c>
      <c r="AQ353" s="55">
        <v>0.49761488096033385</v>
      </c>
      <c r="AR353" s="51">
        <v>3876866.6</v>
      </c>
      <c r="AS353" s="49">
        <v>478066.73704005248</v>
      </c>
      <c r="AT353" s="55">
        <v>0.12331266106500866</v>
      </c>
      <c r="AU353" s="51">
        <v>335938.78819030727</v>
      </c>
      <c r="AV353" s="52">
        <v>1.5282173382445586E-3</v>
      </c>
      <c r="AW353" s="44">
        <v>220</v>
      </c>
      <c r="AX353" s="51">
        <v>246.57295681485701</v>
      </c>
      <c r="AY353" s="49">
        <v>395.30787608246197</v>
      </c>
      <c r="AZ353" s="49">
        <v>148.73491926760497</v>
      </c>
      <c r="BA353" s="42" t="s">
        <v>150</v>
      </c>
      <c r="BB353" s="50">
        <v>821655.91252376209</v>
      </c>
      <c r="BC353" s="57">
        <v>1157594.7007140694</v>
      </c>
      <c r="BD353" s="42" t="s">
        <v>150</v>
      </c>
      <c r="BE353" s="46">
        <v>82.350348027842202</v>
      </c>
      <c r="BF353" s="46">
        <v>83.628504672897193</v>
      </c>
      <c r="BG353" s="42" t="s">
        <v>152</v>
      </c>
      <c r="BH353" s="52">
        <v>0.44298875834671603</v>
      </c>
      <c r="BI353" s="52">
        <v>0.51187669456560203</v>
      </c>
      <c r="BJ353" s="42" t="s">
        <v>152</v>
      </c>
      <c r="BK353" s="46">
        <v>468.90525299999899</v>
      </c>
      <c r="BL353" s="46">
        <v>638.00354527981403</v>
      </c>
      <c r="BM353" s="42" t="s">
        <v>152</v>
      </c>
      <c r="BN353" s="48">
        <v>0</v>
      </c>
      <c r="BO353" s="42" t="s">
        <v>155</v>
      </c>
      <c r="BP353" s="42" t="s">
        <v>152</v>
      </c>
      <c r="BQ353" s="46">
        <v>1873.23139443538</v>
      </c>
      <c r="BR353" s="46">
        <v>183</v>
      </c>
      <c r="BS353" s="46">
        <v>13928</v>
      </c>
      <c r="BT353" s="46">
        <v>3716</v>
      </c>
      <c r="BU353" s="46">
        <v>3.7481162540365984</v>
      </c>
      <c r="BV353" s="46">
        <v>20.306010928961747</v>
      </c>
      <c r="BW353" s="46">
        <v>1175</v>
      </c>
      <c r="BX353" s="46">
        <v>506</v>
      </c>
      <c r="BY353" s="46">
        <v>1681</v>
      </c>
      <c r="BZ353" s="46">
        <v>0.45236813778256191</v>
      </c>
      <c r="CA353" s="46">
        <v>0.31620021528525288</v>
      </c>
      <c r="CB353" s="46">
        <v>0.13616792249730891</v>
      </c>
      <c r="CC353" s="46">
        <v>0.13240043057050591</v>
      </c>
      <c r="CD353" s="46">
        <v>0</v>
      </c>
      <c r="CE353" s="46">
        <v>0</v>
      </c>
      <c r="CF353" s="46">
        <v>0.41523143164693216</v>
      </c>
      <c r="CG353" s="46">
        <v>0</v>
      </c>
      <c r="CH353" s="46">
        <v>0</v>
      </c>
      <c r="CI353" s="46">
        <v>2.8001148765077541</v>
      </c>
      <c r="CJ353" s="46">
        <v>0.21539345203905799</v>
      </c>
      <c r="CK353">
        <v>297</v>
      </c>
      <c r="CL353">
        <v>390.56</v>
      </c>
      <c r="CM353">
        <f t="shared" si="42"/>
        <v>93.56</v>
      </c>
      <c r="CN353">
        <v>6.86</v>
      </c>
      <c r="CO353">
        <v>9.4499999999999993</v>
      </c>
      <c r="CP353">
        <f t="shared" si="43"/>
        <v>2.589999999999999</v>
      </c>
      <c r="CQ353">
        <v>846.56</v>
      </c>
      <c r="CR353">
        <v>468.91</v>
      </c>
      <c r="CS353">
        <f t="shared" si="44"/>
        <v>377.64999999999992</v>
      </c>
      <c r="CT353" t="s">
        <v>152</v>
      </c>
      <c r="CU353">
        <v>72.599999999999994</v>
      </c>
      <c r="CV353">
        <v>150</v>
      </c>
      <c r="CW353" s="46">
        <v>1681</v>
      </c>
      <c r="CX353" s="46">
        <f t="shared" si="38"/>
        <v>42.719052744886973</v>
      </c>
      <c r="CY353" s="46">
        <v>93.56</v>
      </c>
      <c r="CZ353" s="46">
        <f t="shared" si="39"/>
        <v>45.236813778256192</v>
      </c>
      <c r="DA353" s="46">
        <f t="shared" si="40"/>
        <v>324.1659194237655</v>
      </c>
      <c r="DB353" s="46">
        <v>1234929.52</v>
      </c>
      <c r="DC353" s="46">
        <f t="shared" si="41"/>
        <v>16.995487667867156</v>
      </c>
      <c r="DD353" s="46">
        <v>64745.33</v>
      </c>
      <c r="DE353" s="995">
        <v>1681</v>
      </c>
      <c r="DF353" s="995">
        <v>42.991</v>
      </c>
      <c r="DG353" s="995">
        <v>83.5</v>
      </c>
      <c r="DH353" s="995">
        <v>45.237000000000002</v>
      </c>
      <c r="DI353" s="995">
        <v>1220.4739999999999</v>
      </c>
      <c r="DJ353" s="995">
        <v>4637155</v>
      </c>
      <c r="DK353" s="995">
        <v>63.392000000000003</v>
      </c>
      <c r="DL353" s="995">
        <v>240856.9</v>
      </c>
      <c r="DM353" s="995">
        <v>1681</v>
      </c>
      <c r="DN353" s="995">
        <v>43.387</v>
      </c>
      <c r="DO353" s="995">
        <v>68.7</v>
      </c>
      <c r="DP353" s="995">
        <v>45.237000000000002</v>
      </c>
      <c r="DQ353" s="995">
        <v>1190.249</v>
      </c>
      <c r="DR353" s="995">
        <v>4504783</v>
      </c>
      <c r="DS353" s="995">
        <v>61.813000000000002</v>
      </c>
      <c r="DT353" s="995">
        <v>233946</v>
      </c>
    </row>
    <row r="354" spans="1:124">
      <c r="A354" s="42" t="s">
        <v>94</v>
      </c>
      <c r="B354" s="42" t="s">
        <v>549</v>
      </c>
      <c r="C354" s="42" t="s">
        <v>550</v>
      </c>
      <c r="D354" s="42">
        <v>816346</v>
      </c>
      <c r="E354" s="42" t="s">
        <v>570</v>
      </c>
      <c r="F354" s="42" t="s">
        <v>149</v>
      </c>
      <c r="G354" s="42" t="s">
        <v>150</v>
      </c>
      <c r="H354" s="43" t="s">
        <v>150</v>
      </c>
      <c r="I354" s="44">
        <v>69</v>
      </c>
      <c r="J354" s="45">
        <v>231499.17279999901</v>
      </c>
      <c r="K354" s="46">
        <v>11210.880614</v>
      </c>
      <c r="L354" s="47">
        <v>242710.053413999</v>
      </c>
      <c r="M354" s="48">
        <v>4955062</v>
      </c>
      <c r="N354" s="49">
        <v>3374059</v>
      </c>
      <c r="O354" s="49">
        <v>1580043</v>
      </c>
      <c r="P354" s="49">
        <v>960</v>
      </c>
      <c r="Q354" s="50">
        <v>11388.738873563199</v>
      </c>
      <c r="R354" s="51">
        <v>25175.5141157486</v>
      </c>
      <c r="S354" s="49">
        <v>38258.831890765701</v>
      </c>
      <c r="T354" s="49">
        <v>8205.2627781153697</v>
      </c>
      <c r="U354" s="49">
        <f>IFERROR(INDEX('Rentabilidad datos'!$N$2:$N$61,MATCH($C354,'Rentabilidad datos'!$C$2:$C$61,0)),"")</f>
        <v>71639.608784629672</v>
      </c>
      <c r="V354" s="50">
        <f>IFERROR(INDEX('Rentabilidad datos'!$O$2:$O$61,MATCH($C354,'Rentabilidad datos'!$C$2:$C$61,0)),"")</f>
        <v>1193.9934797438279</v>
      </c>
      <c r="W354" s="51">
        <f>IFERROR(INDEX('Rentabilidad datos'!$M$2:$M$61,MATCH($C354,'Rentabilidad datos'!$C$2:$C$61,0)),"")</f>
        <v>3427.1365491869451</v>
      </c>
      <c r="X354" s="52">
        <f>IFERROR(INDEX('Rentabilidad datos'!$P$2:$P$61,MATCH($C354,'Rentabilidad datos'!$C$2:$C$61,0)),"")</f>
        <v>0.34839390336725601</v>
      </c>
      <c r="Y354" s="43" t="s">
        <v>171</v>
      </c>
      <c r="Z354" s="53">
        <v>101.190804597701</v>
      </c>
      <c r="AA354" s="43">
        <v>2</v>
      </c>
      <c r="AB354" s="54">
        <v>0.97626951993738931</v>
      </c>
      <c r="AC354" s="55">
        <v>2.373048006261072E-2</v>
      </c>
      <c r="AD354" s="752" t="e">
        <f>_xlfn.XLOOKUP(Table1[[#This Row],[Ruta]],#REF!,#REF!)</f>
        <v>#REF!</v>
      </c>
      <c r="AE354" s="752" t="e">
        <f>_xlfn.XLOOKUP(Table1[[#This Row],[Ruta]],#REF!,#REF!)</f>
        <v>#REF!</v>
      </c>
      <c r="AF354" s="752" t="e">
        <f>_xlfn.XLOOKUP(Table1[[#This Row],[Ruta]],#REF!,#REF!)</f>
        <v>#REF!</v>
      </c>
      <c r="AG354" s="752" t="e">
        <f>_xlfn.XLOOKUP(Table1[[#This Row],[Ruta]],#REF!,#REF!)</f>
        <v>#REF!</v>
      </c>
      <c r="AH354" s="52">
        <v>0.68093174212552743</v>
      </c>
      <c r="AI354" s="52">
        <v>0.31887451660544308</v>
      </c>
      <c r="AJ354" s="55">
        <v>1.9374126902952981E-4</v>
      </c>
      <c r="AK354" s="56">
        <v>44018</v>
      </c>
      <c r="AL354" s="44">
        <v>21715</v>
      </c>
      <c r="AM354" s="54">
        <v>0.493320914171475</v>
      </c>
      <c r="AN354" s="55">
        <v>0.55224100357395201</v>
      </c>
      <c r="AO354" s="56">
        <v>2593.5444953182</v>
      </c>
      <c r="AP354" s="48">
        <v>1296.7722476591</v>
      </c>
      <c r="AQ354" s="55">
        <v>0.52278095887271347</v>
      </c>
      <c r="AR354" s="51">
        <v>4954101.41</v>
      </c>
      <c r="AS354" s="49">
        <v>295848.08752368501</v>
      </c>
      <c r="AT354" s="55">
        <v>5.9717810161598002E-2</v>
      </c>
      <c r="AU354" s="51">
        <v>207893.25069231927</v>
      </c>
      <c r="AV354" s="52">
        <v>9.4572607088183678E-4</v>
      </c>
      <c r="AW354" s="44">
        <v>306</v>
      </c>
      <c r="AX354" s="51">
        <v>228.14190237163299</v>
      </c>
      <c r="AY354" s="49">
        <v>395.30787608246197</v>
      </c>
      <c r="AZ354" s="49">
        <v>167.16597371082898</v>
      </c>
      <c r="BA354" s="42" t="s">
        <v>150</v>
      </c>
      <c r="BB354" s="50">
        <v>1275408.6094242835</v>
      </c>
      <c r="BC354" s="57">
        <v>1483301.8601166029</v>
      </c>
      <c r="BD354" s="42" t="s">
        <v>150</v>
      </c>
      <c r="BE354" s="46">
        <v>101.190804597701</v>
      </c>
      <c r="BF354" s="46">
        <v>83.628504672897193</v>
      </c>
      <c r="BG354" s="42" t="s">
        <v>150</v>
      </c>
      <c r="BH354" s="52">
        <v>0.493320914171475</v>
      </c>
      <c r="BI354" s="52">
        <v>0.51187669456560203</v>
      </c>
      <c r="BJ354" s="42" t="s">
        <v>152</v>
      </c>
      <c r="BK354" s="46">
        <v>557.95414577930796</v>
      </c>
      <c r="BL354" s="46">
        <v>638.00354527981403</v>
      </c>
      <c r="BM354" s="42" t="s">
        <v>152</v>
      </c>
      <c r="BN354" s="48">
        <v>1</v>
      </c>
      <c r="BO354" s="42" t="s">
        <v>155</v>
      </c>
      <c r="BP354" s="42" t="s">
        <v>152</v>
      </c>
      <c r="BQ354" s="46">
        <v>0</v>
      </c>
      <c r="BR354" s="46">
        <v>118</v>
      </c>
      <c r="BS354" s="46">
        <v>11222</v>
      </c>
      <c r="BT354" s="46">
        <v>3010</v>
      </c>
      <c r="BU354" s="46">
        <v>3.7282392026578073</v>
      </c>
      <c r="BV354" s="46">
        <v>25.508474576271187</v>
      </c>
      <c r="BW354" s="46">
        <v>157</v>
      </c>
      <c r="BX354" s="46">
        <v>930</v>
      </c>
      <c r="BY354" s="46">
        <v>1087</v>
      </c>
      <c r="BZ354" s="46">
        <v>0.3611295681063123</v>
      </c>
      <c r="CA354" s="46">
        <v>5.2159468438538213E-2</v>
      </c>
      <c r="CB354" s="46">
        <v>0.30897009966777411</v>
      </c>
      <c r="CC354" s="46">
        <v>0</v>
      </c>
      <c r="CD354" s="46">
        <v>0.21926910299003319</v>
      </c>
      <c r="CE354" s="46">
        <v>0</v>
      </c>
      <c r="CF354" s="46">
        <v>0.41960132890365448</v>
      </c>
      <c r="CG354" s="46">
        <v>0</v>
      </c>
      <c r="CH354" s="46">
        <v>0</v>
      </c>
      <c r="CI354" s="46">
        <v>4.8119764747816793</v>
      </c>
      <c r="CJ354" s="46">
        <v>8.9110675458919972E-2</v>
      </c>
      <c r="CK354">
        <v>363</v>
      </c>
      <c r="CL354">
        <v>458.24</v>
      </c>
      <c r="CM354">
        <f t="shared" si="42"/>
        <v>95.240000000000009</v>
      </c>
      <c r="CN354">
        <v>10.92</v>
      </c>
      <c r="CO354">
        <v>9.4499999999999993</v>
      </c>
      <c r="CP354">
        <f t="shared" si="43"/>
        <v>-1.4700000000000006</v>
      </c>
      <c r="CQ354">
        <v>846.56</v>
      </c>
      <c r="CR354">
        <v>557.95000000000005</v>
      </c>
      <c r="CS354">
        <f t="shared" si="44"/>
        <v>288.6099999999999</v>
      </c>
      <c r="CT354" t="s">
        <v>150</v>
      </c>
      <c r="CU354">
        <v>120.23</v>
      </c>
      <c r="CV354">
        <v>146</v>
      </c>
      <c r="CW354" s="46">
        <v>1087</v>
      </c>
      <c r="CX354" s="46">
        <f t="shared" si="38"/>
        <v>32.948837209302326</v>
      </c>
      <c r="CY354" s="46">
        <v>95.24</v>
      </c>
      <c r="CZ354" s="46">
        <f t="shared" si="39"/>
        <v>36.112956810631232</v>
      </c>
      <c r="DA354" s="46">
        <f t="shared" si="40"/>
        <v>662.93306153469621</v>
      </c>
      <c r="DB354" s="46">
        <v>2058566.26</v>
      </c>
      <c r="DC354" s="46">
        <f t="shared" si="41"/>
        <v>32.138008656335742</v>
      </c>
      <c r="DD354" s="46">
        <v>99796.23</v>
      </c>
      <c r="DE354" s="995">
        <v>1087</v>
      </c>
      <c r="DF354" s="995">
        <v>33.305999999999997</v>
      </c>
      <c r="DG354" s="995">
        <v>84.5</v>
      </c>
      <c r="DH354" s="995">
        <v>36.113</v>
      </c>
      <c r="DI354" s="995">
        <v>1575.02</v>
      </c>
      <c r="DJ354" s="995">
        <v>4873878</v>
      </c>
      <c r="DK354" s="995">
        <v>76.488</v>
      </c>
      <c r="DL354" s="995">
        <v>236690.7</v>
      </c>
      <c r="DM354" s="995">
        <v>1087</v>
      </c>
      <c r="DN354" s="995">
        <v>33.741</v>
      </c>
      <c r="DO354" s="995">
        <v>71.400000000000006</v>
      </c>
      <c r="DP354" s="995">
        <v>36.113</v>
      </c>
      <c r="DQ354" s="995">
        <v>1540.348</v>
      </c>
      <c r="DR354" s="995">
        <v>4746401</v>
      </c>
      <c r="DS354" s="995">
        <v>74.817999999999998</v>
      </c>
      <c r="DT354" s="995">
        <v>230542.3</v>
      </c>
    </row>
    <row r="355" spans="1:124">
      <c r="A355" s="42" t="s">
        <v>94</v>
      </c>
      <c r="B355" s="42" t="s">
        <v>549</v>
      </c>
      <c r="C355" s="42" t="s">
        <v>550</v>
      </c>
      <c r="D355" s="42">
        <v>816347</v>
      </c>
      <c r="E355" s="42" t="s">
        <v>571</v>
      </c>
      <c r="F355" s="42" t="s">
        <v>149</v>
      </c>
      <c r="G355" s="42" t="s">
        <v>150</v>
      </c>
      <c r="H355" s="43" t="s">
        <v>150</v>
      </c>
      <c r="I355" s="44">
        <v>69</v>
      </c>
      <c r="J355" s="45">
        <v>160663.70879999999</v>
      </c>
      <c r="K355" s="46">
        <v>11403.127551</v>
      </c>
      <c r="L355" s="47">
        <v>172066.83635100001</v>
      </c>
      <c r="M355" s="48">
        <v>4255980</v>
      </c>
      <c r="N355" s="49">
        <v>2352601</v>
      </c>
      <c r="O355" s="49">
        <v>1901689</v>
      </c>
      <c r="P355" s="49">
        <v>1690</v>
      </c>
      <c r="Q355" s="50">
        <v>9735.2088787185403</v>
      </c>
      <c r="R355" s="51">
        <v>25175.5141157486</v>
      </c>
      <c r="S355" s="49">
        <v>38258.831890765701</v>
      </c>
      <c r="T355" s="49">
        <v>8205.2627781153697</v>
      </c>
      <c r="U355" s="49">
        <f>IFERROR(INDEX('Rentabilidad datos'!$N$2:$N$61,MATCH($C355,'Rentabilidad datos'!$C$2:$C$61,0)),"")</f>
        <v>71639.608784629672</v>
      </c>
      <c r="V355" s="50">
        <f>IFERROR(INDEX('Rentabilidad datos'!$O$2:$O$61,MATCH($C355,'Rentabilidad datos'!$C$2:$C$61,0)),"")</f>
        <v>1193.9934797438279</v>
      </c>
      <c r="W355" s="51">
        <f>IFERROR(INDEX('Rentabilidad datos'!$M$2:$M$61,MATCH($C355,'Rentabilidad datos'!$C$2:$C$61,0)),"")</f>
        <v>3427.1365491869451</v>
      </c>
      <c r="X355" s="52">
        <f>IFERROR(INDEX('Rentabilidad datos'!$P$2:$P$61,MATCH($C355,'Rentabilidad datos'!$C$2:$C$61,0)),"")</f>
        <v>0.34839390336725601</v>
      </c>
      <c r="Y355" s="43" t="s">
        <v>171</v>
      </c>
      <c r="Z355" s="53">
        <v>59.668192219679597</v>
      </c>
      <c r="AA355" s="43">
        <v>2</v>
      </c>
      <c r="AB355" s="54">
        <v>0.96473244705097294</v>
      </c>
      <c r="AC355" s="55">
        <v>3.5267552949027017E-2</v>
      </c>
      <c r="AD355" s="752" t="e">
        <f>_xlfn.XLOOKUP(Table1[[#This Row],[Ruta]],#REF!,#REF!)</f>
        <v>#REF!</v>
      </c>
      <c r="AE355" s="752" t="e">
        <f>_xlfn.XLOOKUP(Table1[[#This Row],[Ruta]],#REF!,#REF!)</f>
        <v>#REF!</v>
      </c>
      <c r="AF355" s="752" t="e">
        <f>_xlfn.XLOOKUP(Table1[[#This Row],[Ruta]],#REF!,#REF!)</f>
        <v>#REF!</v>
      </c>
      <c r="AG355" s="752" t="e">
        <f>_xlfn.XLOOKUP(Table1[[#This Row],[Ruta]],#REF!,#REF!)</f>
        <v>#REF!</v>
      </c>
      <c r="AH355" s="52">
        <v>0.55277538898209111</v>
      </c>
      <c r="AI355" s="52">
        <v>0.4468275226857269</v>
      </c>
      <c r="AJ355" s="55">
        <v>3.9708833218201213E-4</v>
      </c>
      <c r="AK355" s="56">
        <v>26075</v>
      </c>
      <c r="AL355" s="44">
        <v>11485</v>
      </c>
      <c r="AM355" s="54">
        <v>0.44046021093000998</v>
      </c>
      <c r="AN355" s="55">
        <v>0.55224100357395201</v>
      </c>
      <c r="AO355" s="56">
        <v>2914.6841681907899</v>
      </c>
      <c r="AP355" s="48">
        <v>1457.342084095395</v>
      </c>
      <c r="AQ355" s="55">
        <v>0.49635060725198066</v>
      </c>
      <c r="AR355" s="51">
        <v>4254286.28</v>
      </c>
      <c r="AS355" s="49">
        <v>539830.251078245</v>
      </c>
      <c r="AT355" s="55">
        <v>0.12689090849763993</v>
      </c>
      <c r="AU355" s="51">
        <v>379340.17643336148</v>
      </c>
      <c r="AV355" s="52">
        <v>1.7256543605491854E-3</v>
      </c>
      <c r="AW355" s="44">
        <v>199</v>
      </c>
      <c r="AX355" s="51">
        <v>370.42109534175</v>
      </c>
      <c r="AY355" s="49">
        <v>395.30787608246197</v>
      </c>
      <c r="AZ355" s="49">
        <v>24.88678074071197</v>
      </c>
      <c r="BA355" s="42" t="s">
        <v>150</v>
      </c>
      <c r="BB355" s="50">
        <v>100424.88644572978</v>
      </c>
      <c r="BC355" s="57">
        <v>479765.06287909125</v>
      </c>
      <c r="BD355" s="42" t="s">
        <v>150</v>
      </c>
      <c r="BE355" s="46">
        <v>59.668192219679597</v>
      </c>
      <c r="BF355" s="46">
        <v>83.628504672897193</v>
      </c>
      <c r="BG355" s="42" t="s">
        <v>152</v>
      </c>
      <c r="BH355" s="52">
        <v>0.44046021093000998</v>
      </c>
      <c r="BI355" s="52">
        <v>0.51187669456560203</v>
      </c>
      <c r="BJ355" s="42" t="s">
        <v>152</v>
      </c>
      <c r="BK355" s="46">
        <v>393.74562094050299</v>
      </c>
      <c r="BL355" s="46">
        <v>638.00354527981403</v>
      </c>
      <c r="BM355" s="42" t="s">
        <v>152</v>
      </c>
      <c r="BN355" s="48">
        <v>0</v>
      </c>
      <c r="BO355" s="42" t="s">
        <v>155</v>
      </c>
      <c r="BP355" s="42" t="s">
        <v>152</v>
      </c>
      <c r="BQ355" s="46">
        <v>5795.0746284255201</v>
      </c>
      <c r="BR355" s="46">
        <v>68</v>
      </c>
      <c r="BS355" s="46">
        <v>5126</v>
      </c>
      <c r="BT355" s="46">
        <v>1448</v>
      </c>
      <c r="BU355" s="46">
        <v>3.5400552486187844</v>
      </c>
      <c r="BV355" s="46">
        <v>21.294117647058822</v>
      </c>
      <c r="BW355" s="46">
        <v>1448</v>
      </c>
      <c r="BX355" s="46">
        <v>0</v>
      </c>
      <c r="BY355" s="46">
        <v>1448</v>
      </c>
      <c r="BZ355" s="46">
        <v>1</v>
      </c>
      <c r="CA355" s="46">
        <v>1</v>
      </c>
      <c r="CB355" s="46">
        <v>0</v>
      </c>
      <c r="CC355" s="46">
        <v>0</v>
      </c>
      <c r="CD355" s="46">
        <v>0</v>
      </c>
      <c r="CE355" s="46">
        <v>0</v>
      </c>
      <c r="CF355" s="46">
        <v>0</v>
      </c>
      <c r="CG355" s="46">
        <v>0</v>
      </c>
      <c r="CH355" s="46">
        <v>0</v>
      </c>
      <c r="CI355" s="46">
        <v>0.39016777214202109</v>
      </c>
      <c r="CJ355" s="46">
        <v>0.97541943035505263</v>
      </c>
      <c r="CK355">
        <v>340</v>
      </c>
      <c r="CL355">
        <v>451.8</v>
      </c>
      <c r="CM355">
        <f t="shared" si="42"/>
        <v>111.80000000000001</v>
      </c>
      <c r="CN355">
        <v>5.59</v>
      </c>
      <c r="CO355">
        <v>9.4499999999999993</v>
      </c>
      <c r="CP355">
        <f t="shared" si="43"/>
        <v>3.8599999999999994</v>
      </c>
      <c r="CQ355">
        <v>564.37</v>
      </c>
      <c r="CR355">
        <v>393.75</v>
      </c>
      <c r="CS355">
        <f t="shared" si="44"/>
        <v>170.62</v>
      </c>
      <c r="CT355" t="s">
        <v>152</v>
      </c>
      <c r="CU355">
        <v>74.849999999999994</v>
      </c>
      <c r="CV355">
        <v>320</v>
      </c>
      <c r="CW355" s="46">
        <v>1448</v>
      </c>
      <c r="CX355" s="46">
        <f t="shared" si="38"/>
        <v>92.279005524861873</v>
      </c>
      <c r="CY355" s="46">
        <v>111.8</v>
      </c>
      <c r="CZ355" s="46">
        <f t="shared" si="39"/>
        <v>100</v>
      </c>
      <c r="DA355" s="46">
        <f t="shared" si="40"/>
        <v>1413.8934094114629</v>
      </c>
      <c r="DB355" s="46">
        <v>2205390.94</v>
      </c>
      <c r="DC355" s="46">
        <f t="shared" si="41"/>
        <v>55.564822413129889</v>
      </c>
      <c r="DD355" s="46">
        <v>86670.01</v>
      </c>
      <c r="DE355" s="995">
        <v>1448</v>
      </c>
      <c r="DF355" s="995">
        <v>92.456000000000003</v>
      </c>
      <c r="DG355" s="995">
        <v>109.2</v>
      </c>
      <c r="DH355" s="995">
        <v>100</v>
      </c>
      <c r="DI355" s="995">
        <v>4802.3999999999996</v>
      </c>
      <c r="DJ355" s="995">
        <v>7478477</v>
      </c>
      <c r="DK355" s="995">
        <v>190.298</v>
      </c>
      <c r="DL355" s="995">
        <v>296339.3</v>
      </c>
      <c r="DM355" s="995">
        <v>1448</v>
      </c>
      <c r="DN355" s="995">
        <v>93.644000000000005</v>
      </c>
      <c r="DO355" s="995">
        <v>92</v>
      </c>
      <c r="DP355" s="995">
        <v>100</v>
      </c>
      <c r="DQ355" s="995">
        <v>4711.9319999999998</v>
      </c>
      <c r="DR355" s="995">
        <v>7256517</v>
      </c>
      <c r="DS355" s="995">
        <v>186.678</v>
      </c>
      <c r="DT355" s="995">
        <v>287489.59999999998</v>
      </c>
    </row>
    <row r="356" spans="1:124">
      <c r="A356" s="42" t="s">
        <v>94</v>
      </c>
      <c r="B356" s="42" t="s">
        <v>549</v>
      </c>
      <c r="C356" s="42" t="s">
        <v>550</v>
      </c>
      <c r="D356" s="42">
        <v>816348</v>
      </c>
      <c r="E356" s="42" t="s">
        <v>572</v>
      </c>
      <c r="F356" s="42" t="s">
        <v>149</v>
      </c>
      <c r="G356" s="42" t="s">
        <v>150</v>
      </c>
      <c r="H356" s="43" t="s">
        <v>150</v>
      </c>
      <c r="I356" s="44">
        <v>69</v>
      </c>
      <c r="J356" s="45">
        <v>248688.48480000001</v>
      </c>
      <c r="K356" s="46">
        <v>19873.439580999999</v>
      </c>
      <c r="L356" s="47">
        <v>268561.92438099999</v>
      </c>
      <c r="M356" s="48">
        <v>6871456</v>
      </c>
      <c r="N356" s="49">
        <v>3655817</v>
      </c>
      <c r="O356" s="49">
        <v>3214533</v>
      </c>
      <c r="P356" s="49">
        <v>1106</v>
      </c>
      <c r="Q356" s="50">
        <v>15721.626086956499</v>
      </c>
      <c r="R356" s="51">
        <v>25175.5141157486</v>
      </c>
      <c r="S356" s="49">
        <v>38258.831890765701</v>
      </c>
      <c r="T356" s="49">
        <v>8205.2627781153697</v>
      </c>
      <c r="U356" s="49">
        <f>IFERROR(INDEX('Rentabilidad datos'!$N$2:$N$61,MATCH($C356,'Rentabilidad datos'!$C$2:$C$61,0)),"")</f>
        <v>71639.608784629672</v>
      </c>
      <c r="V356" s="50">
        <f>IFERROR(INDEX('Rentabilidad datos'!$O$2:$O$61,MATCH($C356,'Rentabilidad datos'!$C$2:$C$61,0)),"")</f>
        <v>1193.9934797438279</v>
      </c>
      <c r="W356" s="51">
        <f>IFERROR(INDEX('Rentabilidad datos'!$M$2:$M$61,MATCH($C356,'Rentabilidad datos'!$C$2:$C$61,0)),"")</f>
        <v>3427.1365491869451</v>
      </c>
      <c r="X356" s="52">
        <f>IFERROR(INDEX('Rentabilidad datos'!$P$2:$P$61,MATCH($C356,'Rentabilidad datos'!$C$2:$C$61,0)),"")</f>
        <v>0.34839390336725601</v>
      </c>
      <c r="Y356" s="43" t="s">
        <v>171</v>
      </c>
      <c r="Z356" s="53">
        <v>78.995423340961096</v>
      </c>
      <c r="AA356" s="43">
        <v>2</v>
      </c>
      <c r="AB356" s="54">
        <v>0.99282815752585774</v>
      </c>
      <c r="AC356" s="55">
        <v>7.1718424741423073E-3</v>
      </c>
      <c r="AD356" s="752" t="e">
        <f>_xlfn.XLOOKUP(Table1[[#This Row],[Ruta]],#REF!,#REF!)</f>
        <v>#REF!</v>
      </c>
      <c r="AE356" s="752" t="e">
        <f>_xlfn.XLOOKUP(Table1[[#This Row],[Ruta]],#REF!,#REF!)</f>
        <v>#REF!</v>
      </c>
      <c r="AF356" s="752" t="e">
        <f>_xlfn.XLOOKUP(Table1[[#This Row],[Ruta]],#REF!,#REF!)</f>
        <v>#REF!</v>
      </c>
      <c r="AG356" s="752" t="e">
        <f>_xlfn.XLOOKUP(Table1[[#This Row],[Ruta]],#REF!,#REF!)</f>
        <v>#REF!</v>
      </c>
      <c r="AH356" s="52">
        <v>0.53202945634811605</v>
      </c>
      <c r="AI356" s="52">
        <v>0.46780958795341193</v>
      </c>
      <c r="AJ356" s="55">
        <v>1.60955698472056E-4</v>
      </c>
      <c r="AK356" s="56">
        <v>34521</v>
      </c>
      <c r="AL356" s="44">
        <v>14407</v>
      </c>
      <c r="AM356" s="54">
        <v>0.41734016975174498</v>
      </c>
      <c r="AN356" s="55">
        <v>0.55224100357395201</v>
      </c>
      <c r="AO356" s="56">
        <v>4656.9116843763804</v>
      </c>
      <c r="AP356" s="48">
        <v>2328.4558421881902</v>
      </c>
      <c r="AQ356" s="55">
        <v>0.48479058666284836</v>
      </c>
      <c r="AR356" s="51">
        <v>6870350.5999999996</v>
      </c>
      <c r="AS356" s="49">
        <v>1110384.3959499651</v>
      </c>
      <c r="AT356" s="55">
        <v>0.16161975721442298</v>
      </c>
      <c r="AU356" s="51">
        <v>780270.11607294879</v>
      </c>
      <c r="AV356" s="52">
        <v>3.5495225970192958E-3</v>
      </c>
      <c r="AW356" s="44">
        <v>76</v>
      </c>
      <c r="AX356" s="51">
        <v>476.87586589852202</v>
      </c>
      <c r="AY356" s="49">
        <v>395.30787608246197</v>
      </c>
      <c r="AZ356" s="49">
        <v>0</v>
      </c>
      <c r="BA356" s="42" t="s">
        <v>152</v>
      </c>
      <c r="BB356" s="50">
        <v>0</v>
      </c>
      <c r="BC356" s="57">
        <v>780270.11607294879</v>
      </c>
      <c r="BD356" s="42" t="s">
        <v>150</v>
      </c>
      <c r="BE356" s="46">
        <v>78.995423340961096</v>
      </c>
      <c r="BF356" s="46">
        <v>83.628504672897193</v>
      </c>
      <c r="BG356" s="42" t="s">
        <v>152</v>
      </c>
      <c r="BH356" s="52">
        <v>0.41734016975174498</v>
      </c>
      <c r="BI356" s="52">
        <v>0.51187669456560203</v>
      </c>
      <c r="BJ356" s="42" t="s">
        <v>152</v>
      </c>
      <c r="BK356" s="46">
        <v>614.55817936155495</v>
      </c>
      <c r="BL356" s="46">
        <v>638.00354527981403</v>
      </c>
      <c r="BM356" s="42" t="s">
        <v>152</v>
      </c>
      <c r="BN356" s="48">
        <v>0</v>
      </c>
      <c r="BO356" s="42" t="s">
        <v>155</v>
      </c>
      <c r="BP356" s="42" t="s">
        <v>152</v>
      </c>
      <c r="BQ356" s="46">
        <v>7967.7638597596397</v>
      </c>
      <c r="BR356" s="46">
        <v>38</v>
      </c>
      <c r="BS356" s="46">
        <v>3068</v>
      </c>
      <c r="BT356" s="46">
        <v>1047</v>
      </c>
      <c r="BU356" s="46">
        <v>2.9302769818529133</v>
      </c>
      <c r="BV356" s="46">
        <v>27.55263157894737</v>
      </c>
      <c r="BW356" s="46">
        <v>1047</v>
      </c>
      <c r="BX356" s="46">
        <v>0</v>
      </c>
      <c r="BY356" s="46">
        <v>1047</v>
      </c>
      <c r="BZ356" s="46">
        <v>1</v>
      </c>
      <c r="CA356" s="46">
        <v>1</v>
      </c>
      <c r="CB356" s="46">
        <v>0</v>
      </c>
      <c r="CC356" s="46">
        <v>0</v>
      </c>
      <c r="CD356" s="46">
        <v>0</v>
      </c>
      <c r="CE356" s="46">
        <v>0</v>
      </c>
      <c r="CF356" s="46">
        <v>0</v>
      </c>
      <c r="CG356" s="46">
        <v>0</v>
      </c>
      <c r="CH356" s="46">
        <v>0</v>
      </c>
      <c r="CI356" s="46">
        <v>0.97783572359843551</v>
      </c>
      <c r="CJ356" s="46">
        <v>0.32594524119947849</v>
      </c>
      <c r="CK356">
        <v>293</v>
      </c>
      <c r="CL356">
        <v>353.3</v>
      </c>
      <c r="CM356">
        <f t="shared" si="42"/>
        <v>60.300000000000011</v>
      </c>
      <c r="CN356">
        <v>7.07</v>
      </c>
      <c r="CO356">
        <v>9.4499999999999993</v>
      </c>
      <c r="CP356">
        <f t="shared" si="43"/>
        <v>2.379999999999999</v>
      </c>
      <c r="CQ356">
        <v>846.56</v>
      </c>
      <c r="CR356">
        <v>614.55999999999995</v>
      </c>
      <c r="CS356">
        <f t="shared" si="44"/>
        <v>232</v>
      </c>
      <c r="CT356" t="s">
        <v>152</v>
      </c>
      <c r="CU356">
        <v>82.24</v>
      </c>
      <c r="CV356">
        <v>288</v>
      </c>
      <c r="CW356" s="46">
        <v>1047</v>
      </c>
      <c r="CX356" s="46">
        <f t="shared" si="38"/>
        <v>94.240687679083095</v>
      </c>
      <c r="CY356" s="46">
        <v>60.3</v>
      </c>
      <c r="CZ356" s="46">
        <f t="shared" si="39"/>
        <v>100</v>
      </c>
      <c r="DA356" s="46">
        <f t="shared" si="40"/>
        <v>897.90155332791483</v>
      </c>
      <c r="DB356" s="46">
        <v>994246.39</v>
      </c>
      <c r="DC356" s="46">
        <f t="shared" si="41"/>
        <v>36.395051025015803</v>
      </c>
      <c r="DD356" s="46">
        <v>40300.239999999998</v>
      </c>
      <c r="DE356" s="995">
        <v>1047</v>
      </c>
      <c r="DF356" s="995">
        <v>93.522000000000006</v>
      </c>
      <c r="DG356" s="995">
        <v>67.8</v>
      </c>
      <c r="DH356" s="995">
        <v>100</v>
      </c>
      <c r="DI356" s="995">
        <v>5191.1499999999996</v>
      </c>
      <c r="DJ356" s="995">
        <v>5787220</v>
      </c>
      <c r="DK356" s="995">
        <v>203.84200000000001</v>
      </c>
      <c r="DL356" s="995">
        <v>227248</v>
      </c>
      <c r="DM356" s="995">
        <v>1047</v>
      </c>
      <c r="DN356" s="995">
        <v>94.665000000000006</v>
      </c>
      <c r="DO356" s="995">
        <v>55.9</v>
      </c>
      <c r="DP356" s="995">
        <v>100</v>
      </c>
      <c r="DQ356" s="995">
        <v>5106.9290000000001</v>
      </c>
      <c r="DR356" s="995">
        <v>5632204</v>
      </c>
      <c r="DS356" s="995">
        <v>200.47300000000001</v>
      </c>
      <c r="DT356" s="995">
        <v>221092.4</v>
      </c>
    </row>
    <row r="357" spans="1:124">
      <c r="A357" s="42" t="s">
        <v>94</v>
      </c>
      <c r="B357" s="42" t="s">
        <v>549</v>
      </c>
      <c r="C357" s="42" t="s">
        <v>550</v>
      </c>
      <c r="D357" s="42">
        <v>816349</v>
      </c>
      <c r="E357" s="42" t="s">
        <v>573</v>
      </c>
      <c r="F357" s="42" t="s">
        <v>149</v>
      </c>
      <c r="G357" s="42" t="s">
        <v>150</v>
      </c>
      <c r="H357" s="43" t="s">
        <v>150</v>
      </c>
      <c r="I357" s="44">
        <v>69</v>
      </c>
      <c r="J357" s="45">
        <v>285874.46159999899</v>
      </c>
      <c r="K357" s="46">
        <v>15011.483145</v>
      </c>
      <c r="L357" s="47">
        <v>300885.944744999</v>
      </c>
      <c r="M357" s="48">
        <v>6889792</v>
      </c>
      <c r="N357" s="49">
        <v>4198566</v>
      </c>
      <c r="O357" s="49">
        <v>2685386</v>
      </c>
      <c r="P357" s="49">
        <v>5840</v>
      </c>
      <c r="Q357" s="50">
        <v>15863.346520737299</v>
      </c>
      <c r="R357" s="51">
        <v>25175.5141157486</v>
      </c>
      <c r="S357" s="49">
        <v>38258.831890765701</v>
      </c>
      <c r="T357" s="49">
        <v>8205.2627781153697</v>
      </c>
      <c r="U357" s="49">
        <f>IFERROR(INDEX('Rentabilidad datos'!$N$2:$N$61,MATCH($C357,'Rentabilidad datos'!$C$2:$C$61,0)),"")</f>
        <v>71639.608784629672</v>
      </c>
      <c r="V357" s="50">
        <f>IFERROR(INDEX('Rentabilidad datos'!$O$2:$O$61,MATCH($C357,'Rentabilidad datos'!$C$2:$C$61,0)),"")</f>
        <v>1193.9934797438279</v>
      </c>
      <c r="W357" s="51">
        <f>IFERROR(INDEX('Rentabilidad datos'!$M$2:$M$61,MATCH($C357,'Rentabilidad datos'!$C$2:$C$61,0)),"")</f>
        <v>3427.1365491869451</v>
      </c>
      <c r="X357" s="52">
        <f>IFERROR(INDEX('Rentabilidad datos'!$P$2:$P$61,MATCH($C357,'Rentabilidad datos'!$C$2:$C$61,0)),"")</f>
        <v>0.34839390336725601</v>
      </c>
      <c r="Y357" s="43" t="s">
        <v>171</v>
      </c>
      <c r="Z357" s="53">
        <v>83.986175115207402</v>
      </c>
      <c r="AA357" s="43">
        <v>2</v>
      </c>
      <c r="AB357" s="54">
        <v>0.98541581516539256</v>
      </c>
      <c r="AC357" s="55">
        <v>1.4584184834607489E-2</v>
      </c>
      <c r="AD357" s="752" t="e">
        <f>_xlfn.XLOOKUP(Table1[[#This Row],[Ruta]],#REF!,#REF!)</f>
        <v>#REF!</v>
      </c>
      <c r="AE357" s="752" t="e">
        <f>_xlfn.XLOOKUP(Table1[[#This Row],[Ruta]],#REF!,#REF!)</f>
        <v>#REF!</v>
      </c>
      <c r="AF357" s="752" t="e">
        <f>_xlfn.XLOOKUP(Table1[[#This Row],[Ruta]],#REF!,#REF!)</f>
        <v>#REF!</v>
      </c>
      <c r="AG357" s="752" t="e">
        <f>_xlfn.XLOOKUP(Table1[[#This Row],[Ruta]],#REF!,#REF!)</f>
        <v>#REF!</v>
      </c>
      <c r="AH357" s="52">
        <v>0.60938936908400132</v>
      </c>
      <c r="AI357" s="52">
        <v>0.38976300010218018</v>
      </c>
      <c r="AJ357" s="55">
        <v>8.4763081381847229E-4</v>
      </c>
      <c r="AK357" s="56">
        <v>36450</v>
      </c>
      <c r="AL357" s="44">
        <v>18089</v>
      </c>
      <c r="AM357" s="54">
        <v>0.49626886145404697</v>
      </c>
      <c r="AN357" s="55">
        <v>0.55224100357395201</v>
      </c>
      <c r="AO357" s="56">
        <v>2040.18458027054</v>
      </c>
      <c r="AP357" s="48">
        <v>1020.09229013527</v>
      </c>
      <c r="AQ357" s="55">
        <v>0.52425493251399924</v>
      </c>
      <c r="AR357" s="51">
        <v>6884692.3899999997</v>
      </c>
      <c r="AS357" s="49">
        <v>388248.19652783201</v>
      </c>
      <c r="AT357" s="55">
        <v>5.6392962028595735E-2</v>
      </c>
      <c r="AU357" s="51">
        <v>272823.05701955775</v>
      </c>
      <c r="AV357" s="52">
        <v>1.241097904341972E-3</v>
      </c>
      <c r="AW357" s="44">
        <v>265</v>
      </c>
      <c r="AX357" s="51">
        <v>380.60104980927599</v>
      </c>
      <c r="AY357" s="49">
        <v>395.30787608246197</v>
      </c>
      <c r="AZ357" s="49">
        <v>14.706826273185982</v>
      </c>
      <c r="BA357" s="42" t="s">
        <v>150</v>
      </c>
      <c r="BB357" s="50">
        <v>93470.625565502633</v>
      </c>
      <c r="BC357" s="57">
        <v>366293.68258506036</v>
      </c>
      <c r="BD357" s="42" t="s">
        <v>150</v>
      </c>
      <c r="BE357" s="46">
        <v>83.986175115207402</v>
      </c>
      <c r="BF357" s="46">
        <v>83.628504672897193</v>
      </c>
      <c r="BG357" s="42" t="s">
        <v>150</v>
      </c>
      <c r="BH357" s="52">
        <v>0.49626886145404697</v>
      </c>
      <c r="BI357" s="52">
        <v>0.51187669456560203</v>
      </c>
      <c r="BJ357" s="42" t="s">
        <v>152</v>
      </c>
      <c r="BK357" s="46">
        <v>693.28558697004405</v>
      </c>
      <c r="BL357" s="46">
        <v>638.00354527981403</v>
      </c>
      <c r="BM357" s="42" t="s">
        <v>150</v>
      </c>
      <c r="BN357" s="48">
        <v>2</v>
      </c>
      <c r="BO357" s="42" t="s">
        <v>161</v>
      </c>
      <c r="BP357" s="42" t="s">
        <v>152</v>
      </c>
      <c r="BQ357" s="46">
        <v>111.412643146592</v>
      </c>
      <c r="BR357" s="46">
        <v>108</v>
      </c>
      <c r="BS357" s="46">
        <v>4832</v>
      </c>
      <c r="BT357" s="46">
        <v>1317</v>
      </c>
      <c r="BU357" s="46">
        <v>3.6689445709946851</v>
      </c>
      <c r="BV357" s="46">
        <v>12.194444444444445</v>
      </c>
      <c r="BW357" s="46">
        <v>1317</v>
      </c>
      <c r="BX357" s="46">
        <v>0</v>
      </c>
      <c r="BY357" s="46">
        <v>1317</v>
      </c>
      <c r="BZ357" s="46">
        <v>1</v>
      </c>
      <c r="CA357" s="46">
        <v>1</v>
      </c>
      <c r="CB357" s="46">
        <v>0</v>
      </c>
      <c r="CC357" s="46">
        <v>0</v>
      </c>
      <c r="CD357" s="46">
        <v>0</v>
      </c>
      <c r="CE357" s="46">
        <v>0</v>
      </c>
      <c r="CF357" s="46">
        <v>0</v>
      </c>
      <c r="CG357" s="46">
        <v>0</v>
      </c>
      <c r="CH357" s="46">
        <v>0</v>
      </c>
      <c r="CI357" s="46">
        <v>0</v>
      </c>
      <c r="CJ357" s="46">
        <v>0.41390728476821192</v>
      </c>
      <c r="CK357">
        <v>329</v>
      </c>
      <c r="CL357">
        <v>377.1</v>
      </c>
      <c r="CM357">
        <f t="shared" si="42"/>
        <v>48.100000000000023</v>
      </c>
      <c r="CN357">
        <v>7.46</v>
      </c>
      <c r="CO357">
        <v>9.4499999999999993</v>
      </c>
      <c r="CP357">
        <f t="shared" si="43"/>
        <v>1.9899999999999993</v>
      </c>
      <c r="CQ357">
        <v>846.56</v>
      </c>
      <c r="CR357">
        <v>693.29</v>
      </c>
      <c r="CS357">
        <f t="shared" si="44"/>
        <v>153.26999999999998</v>
      </c>
      <c r="CT357" t="s">
        <v>152</v>
      </c>
      <c r="CU357">
        <v>83.81</v>
      </c>
      <c r="CV357">
        <v>331</v>
      </c>
      <c r="CW357" s="46">
        <v>1317</v>
      </c>
      <c r="CX357" s="46">
        <f t="shared" si="38"/>
        <v>96.347760060744122</v>
      </c>
      <c r="CY357" s="46">
        <v>48.1</v>
      </c>
      <c r="CZ357" s="46">
        <f t="shared" si="39"/>
        <v>100</v>
      </c>
      <c r="DA357" s="46">
        <f t="shared" si="40"/>
        <v>441.56474250970632</v>
      </c>
      <c r="DB357" s="46">
        <v>602780.03</v>
      </c>
      <c r="DC357" s="46">
        <f t="shared" si="41"/>
        <v>18.122577100578713</v>
      </c>
      <c r="DD357" s="46">
        <v>24739.13</v>
      </c>
      <c r="DE357" s="995">
        <v>1317</v>
      </c>
      <c r="DF357" s="995">
        <v>96.405000000000001</v>
      </c>
      <c r="DG357" s="995">
        <v>47.3</v>
      </c>
      <c r="DH357" s="995">
        <v>100</v>
      </c>
      <c r="DI357" s="995">
        <v>5357.4560000000001</v>
      </c>
      <c r="DJ357" s="995">
        <v>7309438</v>
      </c>
      <c r="DK357" s="995">
        <v>217.148</v>
      </c>
      <c r="DL357" s="995">
        <v>296266</v>
      </c>
      <c r="DM357" s="995">
        <v>1317</v>
      </c>
      <c r="DN357" s="995">
        <v>97.039000000000001</v>
      </c>
      <c r="DO357" s="995">
        <v>39</v>
      </c>
      <c r="DP357" s="995">
        <v>100</v>
      </c>
      <c r="DQ357" s="995">
        <v>5313.0060000000003</v>
      </c>
      <c r="DR357" s="995">
        <v>7204399</v>
      </c>
      <c r="DS357" s="995">
        <v>215.31700000000001</v>
      </c>
      <c r="DT357" s="995">
        <v>291968.7</v>
      </c>
    </row>
    <row r="358" spans="1:124">
      <c r="A358" s="42" t="s">
        <v>94</v>
      </c>
      <c r="B358" s="42" t="s">
        <v>549</v>
      </c>
      <c r="C358" s="42" t="s">
        <v>550</v>
      </c>
      <c r="D358" s="42">
        <v>816350</v>
      </c>
      <c r="E358" s="42" t="s">
        <v>574</v>
      </c>
      <c r="F358" s="42" t="s">
        <v>149</v>
      </c>
      <c r="G358" s="42" t="s">
        <v>150</v>
      </c>
      <c r="H358" s="43" t="s">
        <v>150</v>
      </c>
      <c r="I358" s="44">
        <v>69</v>
      </c>
      <c r="J358" s="45">
        <v>257712.873599999</v>
      </c>
      <c r="K358" s="46">
        <v>22286.995068</v>
      </c>
      <c r="L358" s="47">
        <v>279999.86866799998</v>
      </c>
      <c r="M358" s="48">
        <v>7769296</v>
      </c>
      <c r="N358" s="49">
        <v>3796060</v>
      </c>
      <c r="O358" s="49">
        <v>3971750</v>
      </c>
      <c r="P358" s="49">
        <v>1486</v>
      </c>
      <c r="Q358" s="50">
        <v>17743.374416475999</v>
      </c>
      <c r="R358" s="51">
        <v>25175.5141157486</v>
      </c>
      <c r="S358" s="49">
        <v>38258.831890765701</v>
      </c>
      <c r="T358" s="49">
        <v>8205.2627781153697</v>
      </c>
      <c r="U358" s="49">
        <f>IFERROR(INDEX('Rentabilidad datos'!$N$2:$N$61,MATCH($C358,'Rentabilidad datos'!$C$2:$C$61,0)),"")</f>
        <v>71639.608784629672</v>
      </c>
      <c r="V358" s="50">
        <f>IFERROR(INDEX('Rentabilidad datos'!$O$2:$O$61,MATCH($C358,'Rentabilidad datos'!$C$2:$C$61,0)),"")</f>
        <v>1193.9934797438279</v>
      </c>
      <c r="W358" s="51">
        <f>IFERROR(INDEX('Rentabilidad datos'!$M$2:$M$61,MATCH($C358,'Rentabilidad datos'!$C$2:$C$61,0)),"")</f>
        <v>3427.1365491869451</v>
      </c>
      <c r="X358" s="52">
        <f>IFERROR(INDEX('Rentabilidad datos'!$P$2:$P$61,MATCH($C358,'Rentabilidad datos'!$C$2:$C$61,0)),"")</f>
        <v>0.34839390336725601</v>
      </c>
      <c r="Y358" s="43" t="s">
        <v>171</v>
      </c>
      <c r="Z358" s="53">
        <v>98.041189931350104</v>
      </c>
      <c r="AA358" s="43">
        <v>2</v>
      </c>
      <c r="AB358" s="54">
        <v>0.99602512248213992</v>
      </c>
      <c r="AC358" s="55">
        <v>3.9748775178600482E-3</v>
      </c>
      <c r="AD358" s="752" t="e">
        <f>_xlfn.XLOOKUP(Table1[[#This Row],[Ruta]],#REF!,#REF!)</f>
        <v>#REF!</v>
      </c>
      <c r="AE358" s="752" t="e">
        <f>_xlfn.XLOOKUP(Table1[[#This Row],[Ruta]],#REF!,#REF!)</f>
        <v>#REF!</v>
      </c>
      <c r="AF358" s="752" t="e">
        <f>_xlfn.XLOOKUP(Table1[[#This Row],[Ruta]],#REF!,#REF!)</f>
        <v>#REF!</v>
      </c>
      <c r="AG358" s="752" t="e">
        <f>_xlfn.XLOOKUP(Table1[[#This Row],[Ruta]],#REF!,#REF!)</f>
        <v>#REF!</v>
      </c>
      <c r="AH358" s="52">
        <v>0.48859767989274705</v>
      </c>
      <c r="AI358" s="52">
        <v>0.5112110543863948</v>
      </c>
      <c r="AJ358" s="55">
        <v>1.9126572085810607E-4</v>
      </c>
      <c r="AK358" s="56">
        <v>42844</v>
      </c>
      <c r="AL358" s="44">
        <v>22141</v>
      </c>
      <c r="AM358" s="54">
        <v>0.51678181308934801</v>
      </c>
      <c r="AN358" s="55">
        <v>0.55224100357395201</v>
      </c>
      <c r="AO358" s="56">
        <v>1519.2135571223801</v>
      </c>
      <c r="AP358" s="48">
        <v>759.60677856119003</v>
      </c>
      <c r="AQ358" s="55">
        <v>0.53451140833164945</v>
      </c>
      <c r="AR358" s="51">
        <v>7753854.6200000001</v>
      </c>
      <c r="AS358" s="49">
        <v>266016.91564653849</v>
      </c>
      <c r="AT358" s="55">
        <v>3.4307699677575139E-2</v>
      </c>
      <c r="AU358" s="51">
        <v>186930.80558945955</v>
      </c>
      <c r="AV358" s="52">
        <v>8.5036592437787834E-4</v>
      </c>
      <c r="AW358" s="44">
        <v>318</v>
      </c>
      <c r="AX358" s="51">
        <v>350.20345151528898</v>
      </c>
      <c r="AY358" s="49">
        <v>395.30787608246197</v>
      </c>
      <c r="AZ358" s="49">
        <v>45.104424567172998</v>
      </c>
      <c r="BA358" s="42" t="s">
        <v>150</v>
      </c>
      <c r="BB358" s="50">
        <v>350879.50909305701</v>
      </c>
      <c r="BC358" s="57">
        <v>537810.3146825165</v>
      </c>
      <c r="BD358" s="42" t="s">
        <v>150</v>
      </c>
      <c r="BE358" s="46">
        <v>98.041189931350104</v>
      </c>
      <c r="BF358" s="46">
        <v>83.628504672897193</v>
      </c>
      <c r="BG358" s="42" t="s">
        <v>150</v>
      </c>
      <c r="BH358" s="52">
        <v>0.51678181308934801</v>
      </c>
      <c r="BI358" s="52">
        <v>0.51187669456560203</v>
      </c>
      <c r="BJ358" s="42" t="s">
        <v>150</v>
      </c>
      <c r="BK358" s="46">
        <v>640.73196491533099</v>
      </c>
      <c r="BL358" s="46">
        <v>638.00354527981403</v>
      </c>
      <c r="BM358" s="42" t="s">
        <v>150</v>
      </c>
      <c r="BN358" s="48">
        <v>3</v>
      </c>
      <c r="BO358" s="42" t="s">
        <v>153</v>
      </c>
      <c r="BP358" s="42" t="s">
        <v>150</v>
      </c>
      <c r="BQ358" s="46">
        <v>55.496623801791401</v>
      </c>
      <c r="BR358" s="46">
        <v>39</v>
      </c>
      <c r="BS358" s="46">
        <v>6326</v>
      </c>
      <c r="BT358" s="46">
        <v>1708</v>
      </c>
      <c r="BU358" s="46">
        <v>3.7037470725995316</v>
      </c>
      <c r="BV358" s="46">
        <v>43.794871794871796</v>
      </c>
      <c r="BW358" s="46">
        <v>1708</v>
      </c>
      <c r="BX358" s="46">
        <v>0</v>
      </c>
      <c r="BY358" s="46">
        <v>1708</v>
      </c>
      <c r="BZ358" s="46">
        <v>1</v>
      </c>
      <c r="CA358" s="46">
        <v>1</v>
      </c>
      <c r="CB358" s="46">
        <v>0</v>
      </c>
      <c r="CC358" s="46">
        <v>0</v>
      </c>
      <c r="CD358" s="46">
        <v>0</v>
      </c>
      <c r="CE358" s="46">
        <v>0</v>
      </c>
      <c r="CF358" s="46">
        <v>0</v>
      </c>
      <c r="CG358" s="46">
        <v>0</v>
      </c>
      <c r="CH358" s="46">
        <v>0</v>
      </c>
      <c r="CI358" s="46">
        <v>0</v>
      </c>
      <c r="CJ358" s="46">
        <v>0.15807777426493841</v>
      </c>
      <c r="CK358">
        <v>504</v>
      </c>
      <c r="CL358">
        <v>577.89</v>
      </c>
      <c r="CM358">
        <f t="shared" si="42"/>
        <v>73.889999999999986</v>
      </c>
      <c r="CN358">
        <v>10.26</v>
      </c>
      <c r="CO358">
        <v>9.4499999999999993</v>
      </c>
      <c r="CP358">
        <f t="shared" si="43"/>
        <v>-0.8100000000000005</v>
      </c>
      <c r="CQ358">
        <v>846.56</v>
      </c>
      <c r="CR358">
        <v>640.73</v>
      </c>
      <c r="CS358">
        <f t="shared" si="44"/>
        <v>205.82999999999993</v>
      </c>
      <c r="CT358" t="s">
        <v>150</v>
      </c>
      <c r="CU358">
        <v>114.54</v>
      </c>
      <c r="CV358">
        <v>514</v>
      </c>
      <c r="CW358" s="46">
        <v>1708</v>
      </c>
      <c r="CX358" s="46">
        <f t="shared" si="38"/>
        <v>95.673887587822009</v>
      </c>
      <c r="CY358" s="46">
        <v>73.89</v>
      </c>
      <c r="CZ358" s="46">
        <f t="shared" si="39"/>
        <v>100</v>
      </c>
      <c r="DA358" s="46">
        <f t="shared" si="40"/>
        <v>1841.9348837470327</v>
      </c>
      <c r="DB358" s="46">
        <v>3282125.35</v>
      </c>
      <c r="DC358" s="46">
        <f t="shared" si="41"/>
        <v>62.264584233594661</v>
      </c>
      <c r="DD358" s="46">
        <v>110948.64</v>
      </c>
      <c r="DE358" s="995">
        <v>1708</v>
      </c>
      <c r="DF358" s="995">
        <v>95.694000000000003</v>
      </c>
      <c r="DG358" s="995">
        <v>73.5</v>
      </c>
      <c r="DH358" s="995">
        <v>100</v>
      </c>
      <c r="DI358" s="995">
        <v>5883.7929999999997</v>
      </c>
      <c r="DJ358" s="995">
        <v>10482238</v>
      </c>
      <c r="DK358" s="995">
        <v>204.429</v>
      </c>
      <c r="DL358" s="995">
        <v>364200.2</v>
      </c>
      <c r="DM358" s="995">
        <v>1708</v>
      </c>
      <c r="DN358" s="995">
        <v>96.453999999999994</v>
      </c>
      <c r="DO358" s="995">
        <v>60.6</v>
      </c>
      <c r="DP358" s="995">
        <v>100</v>
      </c>
      <c r="DQ358" s="995">
        <v>5814.0469999999996</v>
      </c>
      <c r="DR358" s="995">
        <v>10282526</v>
      </c>
      <c r="DS358" s="995">
        <v>202.15600000000001</v>
      </c>
      <c r="DT358" s="995">
        <v>357525.4</v>
      </c>
    </row>
    <row r="359" spans="1:124">
      <c r="A359" s="42" t="s">
        <v>94</v>
      </c>
      <c r="B359" s="42" t="s">
        <v>549</v>
      </c>
      <c r="C359" s="42" t="s">
        <v>550</v>
      </c>
      <c r="D359" s="42">
        <v>816351</v>
      </c>
      <c r="E359" s="42" t="s">
        <v>575</v>
      </c>
      <c r="F359" s="42" t="s">
        <v>149</v>
      </c>
      <c r="G359" s="42" t="s">
        <v>150</v>
      </c>
      <c r="H359" s="43" t="s">
        <v>150</v>
      </c>
      <c r="I359" s="44">
        <v>69</v>
      </c>
      <c r="J359" s="45">
        <v>209230.56</v>
      </c>
      <c r="K359" s="46">
        <v>10780.08404</v>
      </c>
      <c r="L359" s="47">
        <v>220010.64404000001</v>
      </c>
      <c r="M359" s="48">
        <v>4772251</v>
      </c>
      <c r="N359" s="49">
        <v>3058250</v>
      </c>
      <c r="O359" s="49">
        <v>1707487</v>
      </c>
      <c r="P359" s="49">
        <v>6514</v>
      </c>
      <c r="Q359" s="50">
        <v>11120.012412993001</v>
      </c>
      <c r="R359" s="51">
        <v>25175.5141157486</v>
      </c>
      <c r="S359" s="49">
        <v>38258.831890765701</v>
      </c>
      <c r="T359" s="49">
        <v>8205.2627781153697</v>
      </c>
      <c r="U359" s="49">
        <f>IFERROR(INDEX('Rentabilidad datos'!$N$2:$N$61,MATCH($C359,'Rentabilidad datos'!$C$2:$C$61,0)),"")</f>
        <v>71639.608784629672</v>
      </c>
      <c r="V359" s="50">
        <f>IFERROR(INDEX('Rentabilidad datos'!$O$2:$O$61,MATCH($C359,'Rentabilidad datos'!$C$2:$C$61,0)),"")</f>
        <v>1193.9934797438279</v>
      </c>
      <c r="W359" s="51">
        <f>IFERROR(INDEX('Rentabilidad datos'!$M$2:$M$61,MATCH($C359,'Rentabilidad datos'!$C$2:$C$61,0)),"")</f>
        <v>3427.1365491869451</v>
      </c>
      <c r="X359" s="52">
        <f>IFERROR(INDEX('Rentabilidad datos'!$P$2:$P$61,MATCH($C359,'Rentabilidad datos'!$C$2:$C$61,0)),"")</f>
        <v>0.34839390336725601</v>
      </c>
      <c r="Y359" s="43" t="s">
        <v>171</v>
      </c>
      <c r="Z359" s="53">
        <v>46.607888631090503</v>
      </c>
      <c r="AA359" s="43">
        <v>2</v>
      </c>
      <c r="AB359" s="54">
        <v>0.97533050964838186</v>
      </c>
      <c r="AC359" s="55">
        <v>2.4669490351618136E-2</v>
      </c>
      <c r="AD359" s="752" t="e">
        <f>_xlfn.XLOOKUP(Table1[[#This Row],[Ruta]],#REF!,#REF!)</f>
        <v>#REF!</v>
      </c>
      <c r="AE359" s="752" t="e">
        <f>_xlfn.XLOOKUP(Table1[[#This Row],[Ruta]],#REF!,#REF!)</f>
        <v>#REF!</v>
      </c>
      <c r="AF359" s="752" t="e">
        <f>_xlfn.XLOOKUP(Table1[[#This Row],[Ruta]],#REF!,#REF!)</f>
        <v>#REF!</v>
      </c>
      <c r="AG359" s="752" t="e">
        <f>_xlfn.XLOOKUP(Table1[[#This Row],[Ruta]],#REF!,#REF!)</f>
        <v>#REF!</v>
      </c>
      <c r="AH359" s="52">
        <v>0.64084014021894486</v>
      </c>
      <c r="AI359" s="52">
        <v>0.35779488547438093</v>
      </c>
      <c r="AJ359" s="55">
        <v>1.3649743066741461E-3</v>
      </c>
      <c r="AK359" s="56">
        <v>20088</v>
      </c>
      <c r="AL359" s="44">
        <v>11569</v>
      </c>
      <c r="AM359" s="54">
        <v>0.57591596973317405</v>
      </c>
      <c r="AN359" s="55">
        <v>0.55224100357395201</v>
      </c>
      <c r="AO359" s="56">
        <v>0</v>
      </c>
      <c r="AP359" s="48">
        <v>0</v>
      </c>
      <c r="AQ359" s="55">
        <v>0.57591596973317405</v>
      </c>
      <c r="AR359" s="51">
        <v>4792725.3499999996</v>
      </c>
      <c r="AS359" s="49">
        <v>0</v>
      </c>
      <c r="AT359" s="55">
        <v>0</v>
      </c>
      <c r="AU359" s="51">
        <v>0</v>
      </c>
      <c r="AV359" s="52">
        <v>0</v>
      </c>
      <c r="AW359" s="44">
        <v>490</v>
      </c>
      <c r="AX359" s="51">
        <v>414.27308756158698</v>
      </c>
      <c r="AY359" s="49">
        <v>395.30787608246197</v>
      </c>
      <c r="AZ359" s="49">
        <v>0</v>
      </c>
      <c r="BA359" s="42" t="s">
        <v>152</v>
      </c>
      <c r="BB359" s="50">
        <v>0</v>
      </c>
      <c r="BC359" s="57">
        <v>0</v>
      </c>
      <c r="BD359" s="42" t="s">
        <v>150</v>
      </c>
      <c r="BE359" s="46">
        <v>46.607888631090503</v>
      </c>
      <c r="BF359" s="46">
        <v>83.628504672897193</v>
      </c>
      <c r="BG359" s="42" t="s">
        <v>152</v>
      </c>
      <c r="BH359" s="52">
        <v>0.57591596973317405</v>
      </c>
      <c r="BI359" s="52">
        <v>0.51187669456560203</v>
      </c>
      <c r="BJ359" s="42" t="s">
        <v>150</v>
      </c>
      <c r="BK359" s="46">
        <v>510.46553141531302</v>
      </c>
      <c r="BL359" s="46">
        <v>638.00354527981403</v>
      </c>
      <c r="BM359" s="42" t="s">
        <v>152</v>
      </c>
      <c r="BN359" s="48">
        <v>1</v>
      </c>
      <c r="BO359" s="42" t="s">
        <v>155</v>
      </c>
      <c r="BP359" s="42" t="s">
        <v>152</v>
      </c>
      <c r="BQ359" s="46">
        <v>5273.1592777410297</v>
      </c>
      <c r="BR359" s="46">
        <v>41</v>
      </c>
      <c r="BS359" s="46">
        <v>3895</v>
      </c>
      <c r="BT359" s="46">
        <v>1518</v>
      </c>
      <c r="BU359" s="46">
        <v>2.5658761528326748</v>
      </c>
      <c r="BV359" s="46">
        <v>37.024390243902438</v>
      </c>
      <c r="BW359" s="46">
        <v>1518</v>
      </c>
      <c r="BX359" s="46">
        <v>0</v>
      </c>
      <c r="BY359" s="46">
        <v>1518</v>
      </c>
      <c r="BZ359" s="46">
        <v>1</v>
      </c>
      <c r="CA359" s="46">
        <v>1</v>
      </c>
      <c r="CB359" s="46">
        <v>0</v>
      </c>
      <c r="CC359" s="46">
        <v>0</v>
      </c>
      <c r="CD359" s="46">
        <v>0</v>
      </c>
      <c r="CE359" s="46">
        <v>0</v>
      </c>
      <c r="CF359" s="46">
        <v>0</v>
      </c>
      <c r="CG359" s="46">
        <v>0</v>
      </c>
      <c r="CH359" s="46">
        <v>0</v>
      </c>
      <c r="CI359" s="46">
        <v>1.026957637997433</v>
      </c>
      <c r="CJ359" s="46">
        <v>1.283697047496791</v>
      </c>
      <c r="CK359">
        <v>171</v>
      </c>
      <c r="CL359">
        <v>197.24</v>
      </c>
      <c r="CM359">
        <f t="shared" si="42"/>
        <v>26.240000000000009</v>
      </c>
      <c r="CN359">
        <v>4.63</v>
      </c>
      <c r="CO359">
        <v>9.4499999999999993</v>
      </c>
      <c r="CP359">
        <f t="shared" si="43"/>
        <v>4.8199999999999994</v>
      </c>
      <c r="CQ359">
        <v>564.37</v>
      </c>
      <c r="CR359">
        <v>510.47</v>
      </c>
      <c r="CS359">
        <f t="shared" si="44"/>
        <v>53.899999999999977</v>
      </c>
      <c r="CT359" t="s">
        <v>152</v>
      </c>
      <c r="CU359">
        <v>90.45</v>
      </c>
      <c r="CV359">
        <v>178</v>
      </c>
      <c r="CW359" s="46">
        <v>1518</v>
      </c>
      <c r="CX359" s="46">
        <f t="shared" si="38"/>
        <v>98.271409749670624</v>
      </c>
      <c r="CY359" s="46">
        <v>26.24</v>
      </c>
      <c r="CZ359" s="46">
        <f t="shared" si="39"/>
        <v>100</v>
      </c>
      <c r="DA359" s="46">
        <f t="shared" si="40"/>
        <v>256.2523636222349</v>
      </c>
      <c r="DB359" s="46">
        <v>395715.15</v>
      </c>
      <c r="DC359" s="46">
        <f t="shared" si="41"/>
        <v>11.85758042791276</v>
      </c>
      <c r="DD359" s="46">
        <v>18310.95</v>
      </c>
      <c r="DE359" s="995">
        <v>1518</v>
      </c>
      <c r="DF359" s="995">
        <v>98.272000000000006</v>
      </c>
      <c r="DG359" s="995">
        <v>26.2</v>
      </c>
      <c r="DH359" s="995">
        <v>100</v>
      </c>
      <c r="DI359" s="995">
        <v>2024.729</v>
      </c>
      <c r="DJ359" s="995">
        <v>3126658</v>
      </c>
      <c r="DK359" s="995">
        <v>94.552000000000007</v>
      </c>
      <c r="DL359" s="995">
        <v>146010.29999999999</v>
      </c>
      <c r="DM359" s="995">
        <v>1518</v>
      </c>
      <c r="DN359" s="995">
        <v>98.272000000000006</v>
      </c>
      <c r="DO359" s="995">
        <v>26.2</v>
      </c>
      <c r="DP359" s="995">
        <v>100</v>
      </c>
      <c r="DQ359" s="995">
        <v>2024.729</v>
      </c>
      <c r="DR359" s="995">
        <v>3126658</v>
      </c>
      <c r="DS359" s="995">
        <v>94.552000000000007</v>
      </c>
      <c r="DT359" s="995">
        <v>146010.29999999999</v>
      </c>
    </row>
    <row r="360" spans="1:124">
      <c r="A360" s="42" t="s">
        <v>94</v>
      </c>
      <c r="B360" s="42" t="s">
        <v>549</v>
      </c>
      <c r="C360" s="42" t="s">
        <v>550</v>
      </c>
      <c r="D360" s="42">
        <v>816352</v>
      </c>
      <c r="E360" s="42" t="s">
        <v>576</v>
      </c>
      <c r="F360" s="42" t="s">
        <v>149</v>
      </c>
      <c r="G360" s="42" t="s">
        <v>150</v>
      </c>
      <c r="H360" s="43" t="s">
        <v>150</v>
      </c>
      <c r="I360" s="44">
        <v>69</v>
      </c>
      <c r="J360" s="45">
        <v>197053.6232</v>
      </c>
      <c r="K360" s="46">
        <v>11745.683467999999</v>
      </c>
      <c r="L360" s="47">
        <v>208799.306668</v>
      </c>
      <c r="M360" s="48">
        <v>4718564</v>
      </c>
      <c r="N360" s="49">
        <v>2831899</v>
      </c>
      <c r="O360" s="49">
        <v>1885833</v>
      </c>
      <c r="P360" s="49">
        <v>832</v>
      </c>
      <c r="Q360" s="50">
        <v>11089.677090069301</v>
      </c>
      <c r="R360" s="51">
        <v>25175.5141157486</v>
      </c>
      <c r="S360" s="49">
        <v>38258.831890765701</v>
      </c>
      <c r="T360" s="49">
        <v>8205.2627781153697</v>
      </c>
      <c r="U360" s="49">
        <f>IFERROR(INDEX('Rentabilidad datos'!$N$2:$N$61,MATCH($C360,'Rentabilidad datos'!$C$2:$C$61,0)),"")</f>
        <v>71639.608784629672</v>
      </c>
      <c r="V360" s="50">
        <f>IFERROR(INDEX('Rentabilidad datos'!$O$2:$O$61,MATCH($C360,'Rentabilidad datos'!$C$2:$C$61,0)),"")</f>
        <v>1193.9934797438279</v>
      </c>
      <c r="W360" s="51">
        <f>IFERROR(INDEX('Rentabilidad datos'!$M$2:$M$61,MATCH($C360,'Rentabilidad datos'!$C$2:$C$61,0)),"")</f>
        <v>3427.1365491869451</v>
      </c>
      <c r="X360" s="52">
        <f>IFERROR(INDEX('Rentabilidad datos'!$P$2:$P$61,MATCH($C360,'Rentabilidad datos'!$C$2:$C$61,0)),"")</f>
        <v>0.34839390336725601</v>
      </c>
      <c r="Y360" s="43" t="s">
        <v>171</v>
      </c>
      <c r="Z360" s="53">
        <v>96.912240184757493</v>
      </c>
      <c r="AA360" s="43">
        <v>2</v>
      </c>
      <c r="AB360" s="54">
        <v>0.99112081557016074</v>
      </c>
      <c r="AC360" s="55">
        <v>8.8791844298392476E-3</v>
      </c>
      <c r="AD360" s="752" t="e">
        <f>_xlfn.XLOOKUP(Table1[[#This Row],[Ruta]],#REF!,#REF!)</f>
        <v>#REF!</v>
      </c>
      <c r="AE360" s="752" t="e">
        <f>_xlfn.XLOOKUP(Table1[[#This Row],[Ruta]],#REF!,#REF!)</f>
        <v>#REF!</v>
      </c>
      <c r="AF360" s="752" t="e">
        <f>_xlfn.XLOOKUP(Table1[[#This Row],[Ruta]],#REF!,#REF!)</f>
        <v>#REF!</v>
      </c>
      <c r="AG360" s="752" t="e">
        <f>_xlfn.XLOOKUP(Table1[[#This Row],[Ruta]],#REF!,#REF!)</f>
        <v>#REF!</v>
      </c>
      <c r="AH360" s="52">
        <v>0.60016119310875093</v>
      </c>
      <c r="AI360" s="52">
        <v>0.39966248206022004</v>
      </c>
      <c r="AJ360" s="55">
        <v>1.7632483102910122E-4</v>
      </c>
      <c r="AK360" s="56">
        <v>41963</v>
      </c>
      <c r="AL360" s="44">
        <v>13240</v>
      </c>
      <c r="AM360" s="54">
        <v>0.315516049853442</v>
      </c>
      <c r="AN360" s="55">
        <v>0.55224100357395201</v>
      </c>
      <c r="AO360" s="56">
        <v>9933.6892329737293</v>
      </c>
      <c r="AP360" s="48">
        <v>4966.8446164868647</v>
      </c>
      <c r="AQ360" s="55">
        <v>0.43387852671369698</v>
      </c>
      <c r="AR360" s="51">
        <v>4801830.18</v>
      </c>
      <c r="AS360" s="49">
        <v>1801355.31562063</v>
      </c>
      <c r="AT360" s="55">
        <v>0.37513932148692319</v>
      </c>
      <c r="AU360" s="51">
        <v>1265817.2488144974</v>
      </c>
      <c r="AV360" s="52">
        <v>5.7583224524566977E-3</v>
      </c>
      <c r="AW360" s="44">
        <v>22</v>
      </c>
      <c r="AX360" s="51">
        <v>362.67599546827802</v>
      </c>
      <c r="AY360" s="49">
        <v>395.30787608246197</v>
      </c>
      <c r="AZ360" s="49">
        <v>32.631880614183956</v>
      </c>
      <c r="BA360" s="42" t="s">
        <v>150</v>
      </c>
      <c r="BB360" s="50">
        <v>151799.9808463066</v>
      </c>
      <c r="BC360" s="57">
        <v>1417617.2296608039</v>
      </c>
      <c r="BD360" s="42" t="s">
        <v>150</v>
      </c>
      <c r="BE360" s="46">
        <v>96.912240184757493</v>
      </c>
      <c r="BF360" s="46">
        <v>83.628504672897193</v>
      </c>
      <c r="BG360" s="42" t="s">
        <v>150</v>
      </c>
      <c r="BH360" s="52">
        <v>0.315516049853442</v>
      </c>
      <c r="BI360" s="52">
        <v>0.51187669456560203</v>
      </c>
      <c r="BJ360" s="42" t="s">
        <v>152</v>
      </c>
      <c r="BK360" s="46">
        <v>482.215488840646</v>
      </c>
      <c r="BL360" s="46">
        <v>638.00354527981403</v>
      </c>
      <c r="BM360" s="42" t="s">
        <v>152</v>
      </c>
      <c r="BN360" s="48">
        <v>1</v>
      </c>
      <c r="BO360" s="42" t="s">
        <v>155</v>
      </c>
      <c r="BP360" s="42" t="s">
        <v>152</v>
      </c>
      <c r="BQ360" s="46">
        <v>4677.00136063639</v>
      </c>
      <c r="BR360" s="46">
        <v>98</v>
      </c>
      <c r="BS360" s="46">
        <v>7883</v>
      </c>
      <c r="BT360" s="46">
        <v>2256</v>
      </c>
      <c r="BU360" s="46">
        <v>3.4942375886524824</v>
      </c>
      <c r="BV360" s="46">
        <v>23.020408163265305</v>
      </c>
      <c r="BW360" s="46">
        <v>1746</v>
      </c>
      <c r="BX360" s="46">
        <v>510</v>
      </c>
      <c r="BY360" s="46">
        <v>2256</v>
      </c>
      <c r="BZ360" s="46">
        <v>1</v>
      </c>
      <c r="CA360" s="46">
        <v>0.77393617021276595</v>
      </c>
      <c r="CB360" s="46">
        <v>0.22606382978723399</v>
      </c>
      <c r="CC360" s="46">
        <v>0</v>
      </c>
      <c r="CD360" s="46">
        <v>0</v>
      </c>
      <c r="CE360" s="46">
        <v>0</v>
      </c>
      <c r="CF360" s="46">
        <v>0</v>
      </c>
      <c r="CG360" s="46">
        <v>0</v>
      </c>
      <c r="CH360" s="46">
        <v>0</v>
      </c>
      <c r="CI360" s="46">
        <v>0.25371051630090069</v>
      </c>
      <c r="CJ360" s="46">
        <v>0.50742103260180138</v>
      </c>
      <c r="CK360">
        <v>268</v>
      </c>
      <c r="CL360">
        <v>424.28</v>
      </c>
      <c r="CM360">
        <f t="shared" si="42"/>
        <v>156.27999999999997</v>
      </c>
      <c r="CN360">
        <v>6.88</v>
      </c>
      <c r="CO360">
        <v>9.4499999999999993</v>
      </c>
      <c r="CP360">
        <f t="shared" si="43"/>
        <v>2.5699999999999994</v>
      </c>
      <c r="CQ360">
        <v>846.56</v>
      </c>
      <c r="CR360">
        <v>482.22</v>
      </c>
      <c r="CS360">
        <f t="shared" si="44"/>
        <v>364.33999999999992</v>
      </c>
      <c r="CT360" t="s">
        <v>152</v>
      </c>
      <c r="CU360">
        <v>76.59</v>
      </c>
      <c r="CV360">
        <v>266</v>
      </c>
      <c r="CW360" s="46">
        <v>2256</v>
      </c>
      <c r="CX360" s="46">
        <f t="shared" si="38"/>
        <v>93.072695035460981</v>
      </c>
      <c r="CY360" s="46">
        <v>156.28</v>
      </c>
      <c r="CZ360" s="46">
        <f t="shared" si="39"/>
        <v>100</v>
      </c>
      <c r="DA360" s="46">
        <f t="shared" si="40"/>
        <v>932.87658563682476</v>
      </c>
      <c r="DB360" s="46">
        <v>2250359.5299999998</v>
      </c>
      <c r="DC360" s="46">
        <f t="shared" si="41"/>
        <v>37.268132223456647</v>
      </c>
      <c r="DD360" s="46">
        <v>89901.17</v>
      </c>
      <c r="DE360" s="995">
        <v>2256</v>
      </c>
      <c r="DF360" s="995">
        <v>94.176000000000002</v>
      </c>
      <c r="DG360" s="995">
        <v>131.4</v>
      </c>
      <c r="DH360" s="995">
        <v>100</v>
      </c>
      <c r="DI360" s="995">
        <v>2554.1</v>
      </c>
      <c r="DJ360" s="995">
        <v>6097608</v>
      </c>
      <c r="DK360" s="995">
        <v>103.18600000000001</v>
      </c>
      <c r="DL360" s="995">
        <v>246343.7</v>
      </c>
      <c r="DM360" s="995">
        <v>2256</v>
      </c>
      <c r="DN360" s="995">
        <v>94.69</v>
      </c>
      <c r="DO360" s="995">
        <v>119.8</v>
      </c>
      <c r="DP360" s="995">
        <v>100</v>
      </c>
      <c r="DQ360" s="995">
        <v>2503.0349999999999</v>
      </c>
      <c r="DR360" s="995">
        <v>5946667</v>
      </c>
      <c r="DS360" s="995">
        <v>101.179</v>
      </c>
      <c r="DT360" s="995">
        <v>240379.1</v>
      </c>
    </row>
    <row r="361" spans="1:124">
      <c r="A361" s="42" t="s">
        <v>94</v>
      </c>
      <c r="B361" s="42" t="s">
        <v>549</v>
      </c>
      <c r="C361" s="42" t="s">
        <v>550</v>
      </c>
      <c r="D361" s="42">
        <v>816353</v>
      </c>
      <c r="E361" s="42" t="s">
        <v>577</v>
      </c>
      <c r="F361" s="42" t="s">
        <v>149</v>
      </c>
      <c r="G361" s="42" t="s">
        <v>150</v>
      </c>
      <c r="H361" s="43" t="s">
        <v>150</v>
      </c>
      <c r="I361" s="44">
        <v>69</v>
      </c>
      <c r="J361" s="45">
        <v>252957.63359999901</v>
      </c>
      <c r="K361" s="46">
        <v>16956.730240000001</v>
      </c>
      <c r="L361" s="47">
        <v>269914.36383999902</v>
      </c>
      <c r="M361" s="48">
        <v>6250181</v>
      </c>
      <c r="N361" s="49">
        <v>3678815</v>
      </c>
      <c r="O361" s="49">
        <v>2570115</v>
      </c>
      <c r="P361" s="49">
        <v>1251</v>
      </c>
      <c r="Q361" s="50">
        <v>14540.167522935801</v>
      </c>
      <c r="R361" s="51">
        <v>25175.5141157486</v>
      </c>
      <c r="S361" s="49">
        <v>38258.831890765701</v>
      </c>
      <c r="T361" s="49">
        <v>8205.2627781153697</v>
      </c>
      <c r="U361" s="49">
        <f>IFERROR(INDEX('Rentabilidad datos'!$N$2:$N$61,MATCH($C361,'Rentabilidad datos'!$C$2:$C$61,0)),"")</f>
        <v>71639.608784629672</v>
      </c>
      <c r="V361" s="50">
        <f>IFERROR(INDEX('Rentabilidad datos'!$O$2:$O$61,MATCH($C361,'Rentabilidad datos'!$C$2:$C$61,0)),"")</f>
        <v>1193.9934797438279</v>
      </c>
      <c r="W361" s="51">
        <f>IFERROR(INDEX('Rentabilidad datos'!$M$2:$M$61,MATCH($C361,'Rentabilidad datos'!$C$2:$C$61,0)),"")</f>
        <v>3427.1365491869451</v>
      </c>
      <c r="X361" s="52">
        <f>IFERROR(INDEX('Rentabilidad datos'!$P$2:$P$61,MATCH($C361,'Rentabilidad datos'!$C$2:$C$61,0)),"")</f>
        <v>0.34839390336725601</v>
      </c>
      <c r="Y361" s="43" t="s">
        <v>171</v>
      </c>
      <c r="Z361" s="53">
        <v>129.03899082568799</v>
      </c>
      <c r="AA361" s="43">
        <v>2</v>
      </c>
      <c r="AB361" s="54">
        <v>0.98923023189248438</v>
      </c>
      <c r="AC361" s="55">
        <v>1.0769768107515607E-2</v>
      </c>
      <c r="AD361" s="752" t="e">
        <f>_xlfn.XLOOKUP(Table1[[#This Row],[Ruta]],#REF!,#REF!)</f>
        <v>#REF!</v>
      </c>
      <c r="AE361" s="752" t="e">
        <f>_xlfn.XLOOKUP(Table1[[#This Row],[Ruta]],#REF!,#REF!)</f>
        <v>#REF!</v>
      </c>
      <c r="AF361" s="752" t="e">
        <f>_xlfn.XLOOKUP(Table1[[#This Row],[Ruta]],#REF!,#REF!)</f>
        <v>#REF!</v>
      </c>
      <c r="AG361" s="752" t="e">
        <f>_xlfn.XLOOKUP(Table1[[#This Row],[Ruta]],#REF!,#REF!)</f>
        <v>#REF!</v>
      </c>
      <c r="AH361" s="52">
        <v>0.58859335433645843</v>
      </c>
      <c r="AI361" s="52">
        <v>0.41120649146000732</v>
      </c>
      <c r="AJ361" s="55">
        <v>2.0015420353426564E-4</v>
      </c>
      <c r="AK361" s="56">
        <v>56261</v>
      </c>
      <c r="AL361" s="44">
        <v>24920</v>
      </c>
      <c r="AM361" s="54">
        <v>0.44293560370416502</v>
      </c>
      <c r="AN361" s="55">
        <v>0.55224100357395201</v>
      </c>
      <c r="AO361" s="56">
        <v>6149.6311020740904</v>
      </c>
      <c r="AP361" s="48">
        <v>3074.8155510370452</v>
      </c>
      <c r="AQ361" s="55">
        <v>0.49758830363905804</v>
      </c>
      <c r="AR361" s="51">
        <v>6339513.04</v>
      </c>
      <c r="AS361" s="49">
        <v>782216.42381196504</v>
      </c>
      <c r="AT361" s="55">
        <v>0.12338746191962482</v>
      </c>
      <c r="AU361" s="51">
        <v>549665.59511111083</v>
      </c>
      <c r="AV361" s="52">
        <v>2.5004808084544659E-3</v>
      </c>
      <c r="AW361" s="44">
        <v>135</v>
      </c>
      <c r="AX361" s="51">
        <v>254.394584269663</v>
      </c>
      <c r="AY361" s="49">
        <v>395.30787608246197</v>
      </c>
      <c r="AZ361" s="49">
        <v>140.91329181279897</v>
      </c>
      <c r="BA361" s="42" t="s">
        <v>150</v>
      </c>
      <c r="BB361" s="50">
        <v>1233791.0815047128</v>
      </c>
      <c r="BC361" s="57">
        <v>1783456.6766158235</v>
      </c>
      <c r="BD361" s="42" t="s">
        <v>150</v>
      </c>
      <c r="BE361" s="46">
        <v>129.03899082568799</v>
      </c>
      <c r="BF361" s="46">
        <v>83.628504672897193</v>
      </c>
      <c r="BG361" s="42" t="s">
        <v>150</v>
      </c>
      <c r="BH361" s="52">
        <v>0.44293560370416502</v>
      </c>
      <c r="BI361" s="52">
        <v>0.51187669456560203</v>
      </c>
      <c r="BJ361" s="42" t="s">
        <v>152</v>
      </c>
      <c r="BK361" s="46">
        <v>619.069641834859</v>
      </c>
      <c r="BL361" s="46">
        <v>638.00354527981403</v>
      </c>
      <c r="BM361" s="42" t="s">
        <v>152</v>
      </c>
      <c r="BN361" s="48">
        <v>1</v>
      </c>
      <c r="BO361" s="42" t="s">
        <v>155</v>
      </c>
      <c r="BP361" s="42" t="s">
        <v>152</v>
      </c>
      <c r="BQ361" s="46">
        <v>0</v>
      </c>
      <c r="BR361" s="46">
        <v>102</v>
      </c>
      <c r="BS361" s="46">
        <v>5140</v>
      </c>
      <c r="BT361" s="46">
        <v>1474</v>
      </c>
      <c r="BU361" s="46">
        <v>3.4871099050203527</v>
      </c>
      <c r="BV361" s="46">
        <v>14.450980392156863</v>
      </c>
      <c r="BW361" s="46">
        <v>1209</v>
      </c>
      <c r="BX361" s="46">
        <v>265</v>
      </c>
      <c r="BY361" s="46">
        <v>1474</v>
      </c>
      <c r="BZ361" s="46">
        <v>1</v>
      </c>
      <c r="CA361" s="46">
        <v>0.82021709633649931</v>
      </c>
      <c r="CB361" s="46">
        <v>0.17978290366350066</v>
      </c>
      <c r="CC361" s="46">
        <v>0</v>
      </c>
      <c r="CD361" s="46">
        <v>0</v>
      </c>
      <c r="CE361" s="46">
        <v>0</v>
      </c>
      <c r="CF361" s="46">
        <v>0</v>
      </c>
      <c r="CG361" s="46">
        <v>0</v>
      </c>
      <c r="CH361" s="46">
        <v>0</v>
      </c>
      <c r="CI361" s="46">
        <v>0.38910505836575882</v>
      </c>
      <c r="CJ361" s="46">
        <v>0.19455252918287941</v>
      </c>
      <c r="CK361">
        <v>439</v>
      </c>
      <c r="CL361">
        <v>481.68</v>
      </c>
      <c r="CM361">
        <f t="shared" si="42"/>
        <v>42.680000000000007</v>
      </c>
      <c r="CN361">
        <v>13.25</v>
      </c>
      <c r="CO361">
        <v>9.4499999999999993</v>
      </c>
      <c r="CP361">
        <f t="shared" si="43"/>
        <v>-3.8000000000000007</v>
      </c>
      <c r="CQ361">
        <v>846.56</v>
      </c>
      <c r="CR361">
        <v>619.07000000000005</v>
      </c>
      <c r="CS361">
        <f t="shared" si="44"/>
        <v>227.4899999999999</v>
      </c>
      <c r="CT361" t="s">
        <v>150</v>
      </c>
      <c r="CU361">
        <v>144.07</v>
      </c>
      <c r="CV361">
        <v>375</v>
      </c>
      <c r="CW361" s="46">
        <v>1474</v>
      </c>
      <c r="CX361" s="46">
        <f t="shared" si="38"/>
        <v>97.104477611940297</v>
      </c>
      <c r="CY361" s="46">
        <v>42.68</v>
      </c>
      <c r="CZ361" s="46">
        <f t="shared" si="39"/>
        <v>100</v>
      </c>
      <c r="DA361" s="46">
        <f t="shared" si="40"/>
        <v>1278.5600851860643</v>
      </c>
      <c r="DB361" s="46">
        <v>1939166.51</v>
      </c>
      <c r="DC361" s="46">
        <f t="shared" si="41"/>
        <v>56.303775351425479</v>
      </c>
      <c r="DD361" s="46">
        <v>85394.81</v>
      </c>
      <c r="DE361" s="995">
        <v>1474</v>
      </c>
      <c r="DF361" s="995">
        <v>97.039000000000001</v>
      </c>
      <c r="DG361" s="995">
        <v>43.6</v>
      </c>
      <c r="DH361" s="995">
        <v>100</v>
      </c>
      <c r="DI361" s="995">
        <v>4301.0290000000005</v>
      </c>
      <c r="DJ361" s="995">
        <v>6527452</v>
      </c>
      <c r="DK361" s="995">
        <v>189.381</v>
      </c>
      <c r="DL361" s="995">
        <v>287414.09999999998</v>
      </c>
      <c r="DM361" s="995">
        <v>1474</v>
      </c>
      <c r="DN361" s="995">
        <v>97.561000000000007</v>
      </c>
      <c r="DO361" s="995">
        <v>35.9</v>
      </c>
      <c r="DP361" s="995">
        <v>100</v>
      </c>
      <c r="DQ361" s="995">
        <v>4261.9440000000004</v>
      </c>
      <c r="DR361" s="995">
        <v>6435306</v>
      </c>
      <c r="DS361" s="995">
        <v>187.72399999999999</v>
      </c>
      <c r="DT361" s="995">
        <v>283452.59999999998</v>
      </c>
    </row>
    <row r="362" spans="1:124">
      <c r="A362" s="42" t="s">
        <v>94</v>
      </c>
      <c r="B362" s="42" t="s">
        <v>549</v>
      </c>
      <c r="C362" s="42" t="s">
        <v>550</v>
      </c>
      <c r="D362" s="42">
        <v>816354</v>
      </c>
      <c r="E362" s="42" t="s">
        <v>578</v>
      </c>
      <c r="F362" s="42" t="s">
        <v>149</v>
      </c>
      <c r="G362" s="42" t="s">
        <v>150</v>
      </c>
      <c r="H362" s="43" t="s">
        <v>150</v>
      </c>
      <c r="I362" s="44">
        <v>69</v>
      </c>
      <c r="J362" s="45">
        <v>260270.13599999901</v>
      </c>
      <c r="K362" s="46">
        <v>10705.967956</v>
      </c>
      <c r="L362" s="47">
        <v>270976.10395599902</v>
      </c>
      <c r="M362" s="48">
        <v>5138445</v>
      </c>
      <c r="N362" s="49">
        <v>3813631</v>
      </c>
      <c r="O362" s="49">
        <v>1314214</v>
      </c>
      <c r="P362" s="49">
        <v>10600</v>
      </c>
      <c r="Q362" s="50">
        <v>11788.146643678199</v>
      </c>
      <c r="R362" s="51">
        <v>25175.5141157486</v>
      </c>
      <c r="S362" s="49">
        <v>38258.831890765701</v>
      </c>
      <c r="T362" s="49">
        <v>8205.2627781153697</v>
      </c>
      <c r="U362" s="49">
        <f>IFERROR(INDEX('Rentabilidad datos'!$N$2:$N$61,MATCH($C362,'Rentabilidad datos'!$C$2:$C$61,0)),"")</f>
        <v>71639.608784629672</v>
      </c>
      <c r="V362" s="50">
        <f>IFERROR(INDEX('Rentabilidad datos'!$O$2:$O$61,MATCH($C362,'Rentabilidad datos'!$C$2:$C$61,0)),"")</f>
        <v>1193.9934797438279</v>
      </c>
      <c r="W362" s="51">
        <f>IFERROR(INDEX('Rentabilidad datos'!$M$2:$M$61,MATCH($C362,'Rentabilidad datos'!$C$2:$C$61,0)),"")</f>
        <v>3427.1365491869451</v>
      </c>
      <c r="X362" s="52">
        <f>IFERROR(INDEX('Rentabilidad datos'!$P$2:$P$61,MATCH($C362,'Rentabilidad datos'!$C$2:$C$61,0)),"")</f>
        <v>0.34839390336725601</v>
      </c>
      <c r="Y362" s="43" t="s">
        <v>171</v>
      </c>
      <c r="Z362" s="53">
        <v>68.983908045977003</v>
      </c>
      <c r="AA362" s="43">
        <v>2</v>
      </c>
      <c r="AB362" s="54">
        <v>0.99097392304481224</v>
      </c>
      <c r="AC362" s="55">
        <v>9.0260769551878048E-3</v>
      </c>
      <c r="AD362" s="752" t="e">
        <f>_xlfn.XLOOKUP(Table1[[#This Row],[Ruta]],#REF!,#REF!)</f>
        <v>#REF!</v>
      </c>
      <c r="AE362" s="752" t="e">
        <f>_xlfn.XLOOKUP(Table1[[#This Row],[Ruta]],#REF!,#REF!)</f>
        <v>#REF!</v>
      </c>
      <c r="AF362" s="752" t="e">
        <f>_xlfn.XLOOKUP(Table1[[#This Row],[Ruta]],#REF!,#REF!)</f>
        <v>#REF!</v>
      </c>
      <c r="AG362" s="752" t="e">
        <f>_xlfn.XLOOKUP(Table1[[#This Row],[Ruta]],#REF!,#REF!)</f>
        <v>#REF!</v>
      </c>
      <c r="AH362" s="52">
        <v>0.74217608634518806</v>
      </c>
      <c r="AI362" s="52">
        <v>0.25576103276380308</v>
      </c>
      <c r="AJ362" s="55">
        <v>2.0628808910088557E-3</v>
      </c>
      <c r="AK362" s="56">
        <v>30008</v>
      </c>
      <c r="AL362" s="44">
        <v>18147</v>
      </c>
      <c r="AM362" s="54">
        <v>0.60473873633697695</v>
      </c>
      <c r="AN362" s="55">
        <v>0.55224100357395201</v>
      </c>
      <c r="AO362" s="56">
        <v>0</v>
      </c>
      <c r="AP362" s="48">
        <v>0</v>
      </c>
      <c r="AQ362" s="55">
        <v>0.60473873633697683</v>
      </c>
      <c r="AR362" s="51">
        <v>5127843.79</v>
      </c>
      <c r="AS362" s="49">
        <v>0</v>
      </c>
      <c r="AT362" s="55">
        <v>0</v>
      </c>
      <c r="AU362" s="51">
        <v>0</v>
      </c>
      <c r="AV362" s="52">
        <v>0</v>
      </c>
      <c r="AW362" s="44">
        <v>490</v>
      </c>
      <c r="AX362" s="51">
        <v>282.57253485424599</v>
      </c>
      <c r="AY362" s="49">
        <v>395.30787608246197</v>
      </c>
      <c r="AZ362" s="49">
        <v>112.73534122821599</v>
      </c>
      <c r="BA362" s="42" t="s">
        <v>150</v>
      </c>
      <c r="BB362" s="50">
        <v>718797.48876999109</v>
      </c>
      <c r="BC362" s="57">
        <v>718797.48876999109</v>
      </c>
      <c r="BD362" s="42" t="s">
        <v>150</v>
      </c>
      <c r="BE362" s="46">
        <v>68.983908045977003</v>
      </c>
      <c r="BF362" s="46">
        <v>83.628504672897193</v>
      </c>
      <c r="BG362" s="42" t="s">
        <v>152</v>
      </c>
      <c r="BH362" s="52">
        <v>0.60473873633697695</v>
      </c>
      <c r="BI362" s="52">
        <v>0.51187669456560203</v>
      </c>
      <c r="BJ362" s="42" t="s">
        <v>150</v>
      </c>
      <c r="BK362" s="46">
        <v>622.93357231264099</v>
      </c>
      <c r="BL362" s="46">
        <v>638.00354527981403</v>
      </c>
      <c r="BM362" s="42" t="s">
        <v>152</v>
      </c>
      <c r="BN362" s="48">
        <v>1</v>
      </c>
      <c r="BO362" s="42" t="s">
        <v>155</v>
      </c>
      <c r="BP362" s="42" t="s">
        <v>152</v>
      </c>
      <c r="BQ362" s="46">
        <v>2651.2408326646701</v>
      </c>
      <c r="BR362" s="46">
        <v>138</v>
      </c>
      <c r="BS362" s="46">
        <v>11541</v>
      </c>
      <c r="BT362" s="46">
        <v>3367</v>
      </c>
      <c r="BU362" s="46">
        <v>3.4276804276804276</v>
      </c>
      <c r="BV362" s="46">
        <v>24.39855072463768</v>
      </c>
      <c r="BW362" s="46">
        <v>0</v>
      </c>
      <c r="BX362" s="46">
        <v>304</v>
      </c>
      <c r="BY362" s="46">
        <v>304</v>
      </c>
      <c r="BZ362" s="46">
        <v>9.0288090288090289E-2</v>
      </c>
      <c r="CA362" s="46">
        <v>0</v>
      </c>
      <c r="CB362" s="46">
        <v>9.0288090288090289E-2</v>
      </c>
      <c r="CC362" s="46">
        <v>0.2996732996732997</v>
      </c>
      <c r="CD362" s="46">
        <v>0.29373329373329371</v>
      </c>
      <c r="CE362" s="46">
        <v>0</v>
      </c>
      <c r="CF362" s="46">
        <v>0.31630531630531633</v>
      </c>
      <c r="CG362" s="46">
        <v>0</v>
      </c>
      <c r="CH362" s="46">
        <v>0</v>
      </c>
      <c r="CI362" s="46">
        <v>2.7727233341998092</v>
      </c>
      <c r="CJ362" s="46">
        <v>0.1732952083874881</v>
      </c>
      <c r="CK362">
        <v>282</v>
      </c>
      <c r="CL362">
        <v>327.48</v>
      </c>
      <c r="CM362">
        <f t="shared" si="42"/>
        <v>45.480000000000018</v>
      </c>
      <c r="CN362">
        <v>4.96</v>
      </c>
      <c r="CO362">
        <v>9.4499999999999993</v>
      </c>
      <c r="CP362">
        <f t="shared" si="43"/>
        <v>4.4899999999999993</v>
      </c>
      <c r="CQ362">
        <v>846.56</v>
      </c>
      <c r="CR362">
        <v>622.92999999999995</v>
      </c>
      <c r="CS362">
        <f t="shared" si="44"/>
        <v>223.63</v>
      </c>
      <c r="CT362" t="s">
        <v>152</v>
      </c>
      <c r="CU362">
        <v>73.58</v>
      </c>
      <c r="CV362">
        <v>38</v>
      </c>
      <c r="CW362" s="46">
        <v>304</v>
      </c>
      <c r="CX362" s="46">
        <f t="shared" si="38"/>
        <v>7.678051678051677</v>
      </c>
      <c r="CY362" s="46">
        <v>45.48</v>
      </c>
      <c r="CZ362" s="46">
        <f t="shared" si="39"/>
        <v>9.0288090288090288</v>
      </c>
      <c r="DA362" s="46">
        <f t="shared" si="40"/>
        <v>160.87969746342836</v>
      </c>
      <c r="DB362" s="46">
        <v>548998.75</v>
      </c>
      <c r="DC362" s="46">
        <f t="shared" si="41"/>
        <v>7.988495170667667</v>
      </c>
      <c r="DD362" s="46">
        <v>27260.58</v>
      </c>
      <c r="DE362" s="995">
        <v>304</v>
      </c>
      <c r="DF362" s="995">
        <v>7.7380000000000004</v>
      </c>
      <c r="DG362" s="995">
        <v>43.4</v>
      </c>
      <c r="DH362" s="995">
        <v>9.0289999999999999</v>
      </c>
      <c r="DI362" s="995">
        <v>1209.5150000000001</v>
      </c>
      <c r="DJ362" s="995">
        <v>4124991</v>
      </c>
      <c r="DK362" s="995">
        <v>61.031999999999996</v>
      </c>
      <c r="DL362" s="995">
        <v>208145.7</v>
      </c>
      <c r="DM362" s="995">
        <v>304</v>
      </c>
      <c r="DN362" s="995">
        <v>7.9189999999999996</v>
      </c>
      <c r="DO362" s="995">
        <v>37.4</v>
      </c>
      <c r="DP362" s="995">
        <v>9.0289999999999999</v>
      </c>
      <c r="DQ362" s="995">
        <v>1194.184</v>
      </c>
      <c r="DR362" s="995">
        <v>4065443</v>
      </c>
      <c r="DS362" s="995">
        <v>60.271999999999998</v>
      </c>
      <c r="DT362" s="995">
        <v>205186.5</v>
      </c>
    </row>
    <row r="363" spans="1:124">
      <c r="A363" s="42" t="s">
        <v>94</v>
      </c>
      <c r="B363" s="42" t="s">
        <v>549</v>
      </c>
      <c r="C363" s="42" t="s">
        <v>550</v>
      </c>
      <c r="D363" s="42">
        <v>816355</v>
      </c>
      <c r="E363" s="42" t="s">
        <v>579</v>
      </c>
      <c r="F363" s="42" t="s">
        <v>149</v>
      </c>
      <c r="G363" s="42" t="s">
        <v>150</v>
      </c>
      <c r="H363" s="43" t="s">
        <v>150</v>
      </c>
      <c r="I363" s="44">
        <v>69</v>
      </c>
      <c r="J363" s="45">
        <v>210371.81760000001</v>
      </c>
      <c r="K363" s="46">
        <v>8893.8246479999998</v>
      </c>
      <c r="L363" s="47">
        <v>219265.64224799999</v>
      </c>
      <c r="M363" s="48">
        <v>4112238</v>
      </c>
      <c r="N363" s="49">
        <v>2982944</v>
      </c>
      <c r="O363" s="49">
        <v>1125357</v>
      </c>
      <c r="P363" s="49">
        <v>3937</v>
      </c>
      <c r="Q363" s="50">
        <v>9487.99752886836</v>
      </c>
      <c r="R363" s="51">
        <v>25175.5141157486</v>
      </c>
      <c r="S363" s="49">
        <v>38258.831890765701</v>
      </c>
      <c r="T363" s="49">
        <v>8205.2627781153697</v>
      </c>
      <c r="U363" s="49">
        <f>IFERROR(INDEX('Rentabilidad datos'!$N$2:$N$61,MATCH($C363,'Rentabilidad datos'!$C$2:$C$61,0)),"")</f>
        <v>71639.608784629672</v>
      </c>
      <c r="V363" s="50">
        <f>IFERROR(INDEX('Rentabilidad datos'!$O$2:$O$61,MATCH($C363,'Rentabilidad datos'!$C$2:$C$61,0)),"")</f>
        <v>1193.9934797438279</v>
      </c>
      <c r="W363" s="51">
        <f>IFERROR(INDEX('Rentabilidad datos'!$M$2:$M$61,MATCH($C363,'Rentabilidad datos'!$C$2:$C$61,0)),"")</f>
        <v>3427.1365491869451</v>
      </c>
      <c r="X363" s="52">
        <f>IFERROR(INDEX('Rentabilidad datos'!$P$2:$P$61,MATCH($C363,'Rentabilidad datos'!$C$2:$C$61,0)),"")</f>
        <v>0.34839390336725601</v>
      </c>
      <c r="Y363" s="43" t="s">
        <v>171</v>
      </c>
      <c r="Z363" s="53">
        <v>50.501154734411102</v>
      </c>
      <c r="AA363" s="43">
        <v>2</v>
      </c>
      <c r="AB363" s="54">
        <v>0.96292675667118488</v>
      </c>
      <c r="AC363" s="55">
        <v>3.7073243328815113E-2</v>
      </c>
      <c r="AD363" s="752" t="e">
        <f>_xlfn.XLOOKUP(Table1[[#This Row],[Ruta]],#REF!,#REF!)</f>
        <v>#REF!</v>
      </c>
      <c r="AE363" s="752" t="e">
        <f>_xlfn.XLOOKUP(Table1[[#This Row],[Ruta]],#REF!,#REF!)</f>
        <v>#REF!</v>
      </c>
      <c r="AF363" s="752" t="e">
        <f>_xlfn.XLOOKUP(Table1[[#This Row],[Ruta]],#REF!,#REF!)</f>
        <v>#REF!</v>
      </c>
      <c r="AG363" s="752" t="e">
        <f>_xlfn.XLOOKUP(Table1[[#This Row],[Ruta]],#REF!,#REF!)</f>
        <v>#REF!</v>
      </c>
      <c r="AH363" s="52">
        <v>0.72538213984696409</v>
      </c>
      <c r="AI363" s="52">
        <v>0.27366047393171311</v>
      </c>
      <c r="AJ363" s="55">
        <v>9.5738622132279306E-4</v>
      </c>
      <c r="AK363" s="56">
        <v>21867</v>
      </c>
      <c r="AL363" s="44">
        <v>13364</v>
      </c>
      <c r="AM363" s="54">
        <v>0.61114922028627605</v>
      </c>
      <c r="AN363" s="55">
        <v>0.55224100357395201</v>
      </c>
      <c r="AO363" s="56">
        <v>0</v>
      </c>
      <c r="AP363" s="48">
        <v>0</v>
      </c>
      <c r="AQ363" s="55">
        <v>0.61114922028627616</v>
      </c>
      <c r="AR363" s="51">
        <v>4108302.93</v>
      </c>
      <c r="AS363" s="49">
        <v>0</v>
      </c>
      <c r="AT363" s="55">
        <v>0</v>
      </c>
      <c r="AU363" s="51">
        <v>0</v>
      </c>
      <c r="AV363" s="52">
        <v>0</v>
      </c>
      <c r="AW363" s="44">
        <v>490</v>
      </c>
      <c r="AX363" s="51">
        <v>307.41566372343601</v>
      </c>
      <c r="AY363" s="49">
        <v>395.30787608246197</v>
      </c>
      <c r="AZ363" s="49">
        <v>87.892212359025962</v>
      </c>
      <c r="BA363" s="42" t="s">
        <v>150</v>
      </c>
      <c r="BB363" s="50">
        <v>412694.31993400818</v>
      </c>
      <c r="BC363" s="57">
        <v>412694.31993400818</v>
      </c>
      <c r="BD363" s="42" t="s">
        <v>150</v>
      </c>
      <c r="BE363" s="46">
        <v>50.501154734411102</v>
      </c>
      <c r="BF363" s="46">
        <v>83.628504672897193</v>
      </c>
      <c r="BG363" s="42" t="s">
        <v>152</v>
      </c>
      <c r="BH363" s="52">
        <v>0.61114922028627605</v>
      </c>
      <c r="BI363" s="52">
        <v>0.51187669456560203</v>
      </c>
      <c r="BJ363" s="42" t="s">
        <v>150</v>
      </c>
      <c r="BK363" s="46">
        <v>506.38716454503401</v>
      </c>
      <c r="BL363" s="46">
        <v>638.00354527981403</v>
      </c>
      <c r="BM363" s="42" t="s">
        <v>152</v>
      </c>
      <c r="BN363" s="48">
        <v>1</v>
      </c>
      <c r="BO363" s="42" t="s">
        <v>155</v>
      </c>
      <c r="BP363" s="42" t="s">
        <v>152</v>
      </c>
      <c r="BQ363" s="46">
        <v>3729.6320816791999</v>
      </c>
      <c r="BR363" s="46">
        <v>319</v>
      </c>
      <c r="BS363" s="46">
        <v>25783</v>
      </c>
      <c r="BT363" s="46">
        <v>6467</v>
      </c>
      <c r="BU363" s="46">
        <v>3.986856347610948</v>
      </c>
      <c r="BV363" s="46">
        <v>20.272727272727273</v>
      </c>
      <c r="BW363" s="46">
        <v>0</v>
      </c>
      <c r="BX363" s="46">
        <v>0</v>
      </c>
      <c r="BY363" s="46">
        <v>0</v>
      </c>
      <c r="BZ363" s="46">
        <v>0</v>
      </c>
      <c r="CA363" s="46">
        <v>0</v>
      </c>
      <c r="CB363" s="46">
        <v>0</v>
      </c>
      <c r="CC363" s="46">
        <v>6.6955311581877217E-2</v>
      </c>
      <c r="CD363" s="46">
        <v>0.53827122313282816</v>
      </c>
      <c r="CE363" s="46">
        <v>4.3296737281583432E-2</v>
      </c>
      <c r="CF363" s="46">
        <v>0.35147672800371116</v>
      </c>
      <c r="CG363" s="46">
        <v>0</v>
      </c>
      <c r="CH363" s="46">
        <v>0</v>
      </c>
      <c r="CI363" s="46">
        <v>5.1196524841950124</v>
      </c>
      <c r="CJ363" s="46">
        <v>0.11635573827715941</v>
      </c>
      <c r="CK363">
        <v>251</v>
      </c>
      <c r="CL363">
        <v>251</v>
      </c>
      <c r="CM363">
        <f t="shared" si="42"/>
        <v>0</v>
      </c>
      <c r="CO363">
        <v>9.4499999999999993</v>
      </c>
      <c r="CP363">
        <f t="shared" si="43"/>
        <v>9.4499999999999993</v>
      </c>
      <c r="CS363">
        <f t="shared" si="44"/>
        <v>0</v>
      </c>
      <c r="CV363">
        <v>0</v>
      </c>
      <c r="CW363" s="46">
        <v>0</v>
      </c>
      <c r="CX363" s="46">
        <f t="shared" si="38"/>
        <v>0</v>
      </c>
      <c r="CY363" s="46">
        <v>0</v>
      </c>
      <c r="CZ363" s="46">
        <f t="shared" si="39"/>
        <v>0</v>
      </c>
      <c r="DA363" s="46">
        <f t="shared" si="40"/>
        <v>0</v>
      </c>
      <c r="DB363" s="46">
        <v>0</v>
      </c>
      <c r="DC363" s="46">
        <f t="shared" si="41"/>
        <v>0</v>
      </c>
      <c r="DD363" s="46">
        <v>0</v>
      </c>
      <c r="DE363" s="995">
        <v>0</v>
      </c>
      <c r="DF363" s="995">
        <v>0</v>
      </c>
      <c r="DG363" s="995">
        <v>0</v>
      </c>
      <c r="DH363" s="995">
        <v>0</v>
      </c>
      <c r="DI363" s="995">
        <v>270.16500000000002</v>
      </c>
      <c r="DJ363" s="995">
        <v>1747156</v>
      </c>
      <c r="DK363" s="995">
        <v>13.88</v>
      </c>
      <c r="DL363" s="995">
        <v>89761.5</v>
      </c>
      <c r="DM363" s="995">
        <v>0</v>
      </c>
      <c r="DN363" s="995">
        <v>0</v>
      </c>
      <c r="DO363" s="995">
        <v>0</v>
      </c>
      <c r="DP363" s="995">
        <v>0</v>
      </c>
      <c r="DQ363" s="995">
        <v>270.16500000000002</v>
      </c>
      <c r="DR363" s="995">
        <v>1747156</v>
      </c>
      <c r="DS363" s="995">
        <v>13.88</v>
      </c>
      <c r="DT363" s="995">
        <v>89761.5</v>
      </c>
    </row>
    <row r="364" spans="1:124">
      <c r="A364" s="42" t="s">
        <v>94</v>
      </c>
      <c r="B364" s="42" t="s">
        <v>549</v>
      </c>
      <c r="C364" s="42" t="s">
        <v>550</v>
      </c>
      <c r="D364" s="42">
        <v>816356</v>
      </c>
      <c r="E364" s="42" t="s">
        <v>580</v>
      </c>
      <c r="F364" s="42" t="s">
        <v>149</v>
      </c>
      <c r="G364" s="42" t="s">
        <v>150</v>
      </c>
      <c r="H364" s="43" t="s">
        <v>150</v>
      </c>
      <c r="I364" s="44">
        <v>69</v>
      </c>
      <c r="J364" s="45">
        <v>121156.47040000001</v>
      </c>
      <c r="K364" s="46">
        <v>9655.6343140000008</v>
      </c>
      <c r="L364" s="47">
        <v>130812.104714</v>
      </c>
      <c r="M364" s="48">
        <v>3505209</v>
      </c>
      <c r="N364" s="49">
        <v>1776486</v>
      </c>
      <c r="O364" s="49">
        <v>1727050</v>
      </c>
      <c r="P364" s="49">
        <v>1673</v>
      </c>
      <c r="Q364" s="50">
        <v>8128.8553132250599</v>
      </c>
      <c r="R364" s="51">
        <v>25175.5141157486</v>
      </c>
      <c r="S364" s="49">
        <v>38258.831890765701</v>
      </c>
      <c r="T364" s="49">
        <v>8205.2627781153697</v>
      </c>
      <c r="U364" s="49">
        <f>IFERROR(INDEX('Rentabilidad datos'!$N$2:$N$61,MATCH($C364,'Rentabilidad datos'!$C$2:$C$61,0)),"")</f>
        <v>71639.608784629672</v>
      </c>
      <c r="V364" s="50">
        <f>IFERROR(INDEX('Rentabilidad datos'!$O$2:$O$61,MATCH($C364,'Rentabilidad datos'!$C$2:$C$61,0)),"")</f>
        <v>1193.9934797438279</v>
      </c>
      <c r="W364" s="51">
        <f>IFERROR(INDEX('Rentabilidad datos'!$M$2:$M$61,MATCH($C364,'Rentabilidad datos'!$C$2:$C$61,0)),"")</f>
        <v>3427.1365491869451</v>
      </c>
      <c r="X364" s="52">
        <f>IFERROR(INDEX('Rentabilidad datos'!$P$2:$P$61,MATCH($C364,'Rentabilidad datos'!$C$2:$C$61,0)),"")</f>
        <v>0.34839390336725601</v>
      </c>
      <c r="Y364" s="43" t="s">
        <v>171</v>
      </c>
      <c r="Z364" s="53">
        <v>55.904872389791201</v>
      </c>
      <c r="AA364" s="43">
        <v>2</v>
      </c>
      <c r="AB364" s="54">
        <v>0.98288404486009251</v>
      </c>
      <c r="AC364" s="55">
        <v>1.7115955139907491E-2</v>
      </c>
      <c r="AD364" s="752" t="e">
        <f>_xlfn.XLOOKUP(Table1[[#This Row],[Ruta]],#REF!,#REF!)</f>
        <v>#REF!</v>
      </c>
      <c r="AE364" s="752" t="e">
        <f>_xlfn.XLOOKUP(Table1[[#This Row],[Ruta]],#REF!,#REF!)</f>
        <v>#REF!</v>
      </c>
      <c r="AF364" s="752" t="e">
        <f>_xlfn.XLOOKUP(Table1[[#This Row],[Ruta]],#REF!,#REF!)</f>
        <v>#REF!</v>
      </c>
      <c r="AG364" s="752" t="e">
        <f>_xlfn.XLOOKUP(Table1[[#This Row],[Ruta]],#REF!,#REF!)</f>
        <v>#REF!</v>
      </c>
      <c r="AH364" s="52">
        <v>0.50681314580671222</v>
      </c>
      <c r="AI364" s="52">
        <v>0.49270956453666531</v>
      </c>
      <c r="AJ364" s="55">
        <v>4.7728965662247242E-4</v>
      </c>
      <c r="AK364" s="56">
        <v>24095</v>
      </c>
      <c r="AL364" s="44">
        <v>9775</v>
      </c>
      <c r="AM364" s="54">
        <v>0.40568582693504901</v>
      </c>
      <c r="AN364" s="55">
        <v>0.55224100357395201</v>
      </c>
      <c r="AO364" s="56">
        <v>3531.2469811143601</v>
      </c>
      <c r="AP364" s="48">
        <v>1765.62349055718</v>
      </c>
      <c r="AQ364" s="55">
        <v>0.47896341525450009</v>
      </c>
      <c r="AR364" s="51">
        <v>3503536.64</v>
      </c>
      <c r="AS364" s="49">
        <v>632831.36487077002</v>
      </c>
      <c r="AT364" s="55">
        <v>0.18062644404677042</v>
      </c>
      <c r="AU364" s="51">
        <v>444692.31044973043</v>
      </c>
      <c r="AV364" s="52">
        <v>2.0229474026331497E-3</v>
      </c>
      <c r="AW364" s="44">
        <v>168</v>
      </c>
      <c r="AX364" s="51">
        <v>358.41807058823503</v>
      </c>
      <c r="AY364" s="49">
        <v>395.30787608246197</v>
      </c>
      <c r="AZ364" s="49">
        <v>36.889805494226948</v>
      </c>
      <c r="BA364" s="42" t="s">
        <v>150</v>
      </c>
      <c r="BB364" s="50">
        <v>126696.54143726733</v>
      </c>
      <c r="BC364" s="57">
        <v>571388.8518869977</v>
      </c>
      <c r="BD364" s="42" t="s">
        <v>150</v>
      </c>
      <c r="BE364" s="46">
        <v>55.904872389791201</v>
      </c>
      <c r="BF364" s="46">
        <v>83.628504672897193</v>
      </c>
      <c r="BG364" s="42" t="s">
        <v>152</v>
      </c>
      <c r="BH364" s="52">
        <v>0.40568582693504901</v>
      </c>
      <c r="BI364" s="52">
        <v>0.51187669456560203</v>
      </c>
      <c r="BJ364" s="42" t="s">
        <v>152</v>
      </c>
      <c r="BK364" s="46">
        <v>303.508363605569</v>
      </c>
      <c r="BL364" s="46">
        <v>638.00354527981403</v>
      </c>
      <c r="BM364" s="42" t="s">
        <v>152</v>
      </c>
      <c r="BN364" s="48">
        <v>0</v>
      </c>
      <c r="BO364" s="42" t="s">
        <v>155</v>
      </c>
      <c r="BP364" s="42" t="s">
        <v>152</v>
      </c>
      <c r="BQ364" s="46">
        <v>7297.5889323945903</v>
      </c>
      <c r="BR364" s="46">
        <v>35</v>
      </c>
      <c r="BS364" s="46">
        <v>5626</v>
      </c>
      <c r="BT364" s="46">
        <v>1578</v>
      </c>
      <c r="BU364" s="46">
        <v>3.5652724968314322</v>
      </c>
      <c r="BV364" s="46">
        <v>45.085714285714289</v>
      </c>
      <c r="BW364" s="46">
        <v>1140</v>
      </c>
      <c r="BX364" s="46">
        <v>438</v>
      </c>
      <c r="BY364" s="46">
        <v>1578</v>
      </c>
      <c r="BZ364" s="46">
        <v>1</v>
      </c>
      <c r="CA364" s="46">
        <v>0.72243346007604559</v>
      </c>
      <c r="CB364" s="46">
        <v>0.27756653992395441</v>
      </c>
      <c r="CC364" s="46">
        <v>0</v>
      </c>
      <c r="CD364" s="46">
        <v>0</v>
      </c>
      <c r="CE364" s="46">
        <v>0</v>
      </c>
      <c r="CF364" s="46">
        <v>0</v>
      </c>
      <c r="CG364" s="46">
        <v>0</v>
      </c>
      <c r="CH364" s="46">
        <v>0</v>
      </c>
      <c r="CI364" s="46">
        <v>0.71098471382865269</v>
      </c>
      <c r="CJ364" s="46">
        <v>0.1777461784571632</v>
      </c>
      <c r="CK364">
        <v>282</v>
      </c>
      <c r="CL364">
        <v>376.09</v>
      </c>
      <c r="CM364">
        <f t="shared" si="42"/>
        <v>94.089999999999975</v>
      </c>
      <c r="CN364">
        <v>6.94</v>
      </c>
      <c r="CO364">
        <v>9.4499999999999993</v>
      </c>
      <c r="CP364">
        <f t="shared" si="43"/>
        <v>2.5099999999999989</v>
      </c>
      <c r="CQ364">
        <v>564.37</v>
      </c>
      <c r="CR364">
        <v>303.51</v>
      </c>
      <c r="CS364">
        <f t="shared" si="44"/>
        <v>260.86</v>
      </c>
      <c r="CT364" t="s">
        <v>152</v>
      </c>
      <c r="CU364">
        <v>75.2</v>
      </c>
      <c r="CV364">
        <v>305</v>
      </c>
      <c r="CW364" s="46">
        <v>1578</v>
      </c>
      <c r="CX364" s="46">
        <f t="shared" si="38"/>
        <v>94.037389100126745</v>
      </c>
      <c r="CY364" s="46">
        <v>94.09</v>
      </c>
      <c r="CZ364" s="46">
        <f t="shared" si="39"/>
        <v>100</v>
      </c>
      <c r="DA364" s="46">
        <f t="shared" si="40"/>
        <v>880.77626204331102</v>
      </c>
      <c r="DB364" s="46">
        <v>1472737.18</v>
      </c>
      <c r="DC364" s="46">
        <f t="shared" si="41"/>
        <v>40.336632597527647</v>
      </c>
      <c r="DD364" s="46">
        <v>67446.48</v>
      </c>
      <c r="DE364" s="995">
        <v>1578</v>
      </c>
      <c r="DF364" s="995">
        <v>94.248999999999995</v>
      </c>
      <c r="DG364" s="995">
        <v>90.7</v>
      </c>
      <c r="DH364" s="995">
        <v>100</v>
      </c>
      <c r="DI364" s="995">
        <v>3542.5320000000002</v>
      </c>
      <c r="DJ364" s="995">
        <v>5911598</v>
      </c>
      <c r="DK364" s="995">
        <v>161.24299999999999</v>
      </c>
      <c r="DL364" s="995">
        <v>269074.8</v>
      </c>
      <c r="DM364" s="995">
        <v>1578</v>
      </c>
      <c r="DN364" s="995">
        <v>95.138000000000005</v>
      </c>
      <c r="DO364" s="995">
        <v>76.7</v>
      </c>
      <c r="DP364" s="995">
        <v>100</v>
      </c>
      <c r="DQ364" s="995">
        <v>3479.942</v>
      </c>
      <c r="DR364" s="995">
        <v>5758313</v>
      </c>
      <c r="DS364" s="995">
        <v>158.249</v>
      </c>
      <c r="DT364" s="995">
        <v>261857</v>
      </c>
    </row>
    <row r="365" spans="1:124">
      <c r="A365" s="42" t="s">
        <v>94</v>
      </c>
      <c r="B365" s="42" t="s">
        <v>549</v>
      </c>
      <c r="C365" s="42" t="s">
        <v>550</v>
      </c>
      <c r="D365" s="42">
        <v>816357</v>
      </c>
      <c r="E365" s="42" t="s">
        <v>581</v>
      </c>
      <c r="F365" s="42" t="s">
        <v>149</v>
      </c>
      <c r="G365" s="42" t="s">
        <v>150</v>
      </c>
      <c r="H365" s="43" t="s">
        <v>150</v>
      </c>
      <c r="I365" s="44">
        <v>69</v>
      </c>
      <c r="J365" s="45">
        <v>261252.88560000001</v>
      </c>
      <c r="K365" s="46">
        <v>22776.898089999999</v>
      </c>
      <c r="L365" s="47">
        <v>284029.78369000001</v>
      </c>
      <c r="M365" s="48">
        <v>7856354</v>
      </c>
      <c r="N365" s="49">
        <v>3832744</v>
      </c>
      <c r="O365" s="49">
        <v>4022998</v>
      </c>
      <c r="P365" s="49">
        <v>612</v>
      </c>
      <c r="Q365" s="50">
        <v>17693.112364864901</v>
      </c>
      <c r="R365" s="51">
        <v>25175.5141157486</v>
      </c>
      <c r="S365" s="49">
        <v>38258.831890765701</v>
      </c>
      <c r="T365" s="49">
        <v>8205.2627781153697</v>
      </c>
      <c r="U365" s="49">
        <f>IFERROR(INDEX('Rentabilidad datos'!$N$2:$N$61,MATCH($C365,'Rentabilidad datos'!$C$2:$C$61,0)),"")</f>
        <v>71639.608784629672</v>
      </c>
      <c r="V365" s="50">
        <f>IFERROR(INDEX('Rentabilidad datos'!$O$2:$O$61,MATCH($C365,'Rentabilidad datos'!$C$2:$C$61,0)),"")</f>
        <v>1193.9934797438279</v>
      </c>
      <c r="W365" s="51">
        <f>IFERROR(INDEX('Rentabilidad datos'!$M$2:$M$61,MATCH($C365,'Rentabilidad datos'!$C$2:$C$61,0)),"")</f>
        <v>3427.1365491869451</v>
      </c>
      <c r="X365" s="52">
        <f>IFERROR(INDEX('Rentabilidad datos'!$P$2:$P$61,MATCH($C365,'Rentabilidad datos'!$C$2:$C$61,0)),"")</f>
        <v>0.34839390336725601</v>
      </c>
      <c r="Y365" s="43" t="s">
        <v>171</v>
      </c>
      <c r="Z365" s="53">
        <v>84.056306306306297</v>
      </c>
      <c r="AA365" s="43">
        <v>2</v>
      </c>
      <c r="AB365" s="54">
        <v>0.9860747109918927</v>
      </c>
      <c r="AC365" s="55">
        <v>1.3925289008107323E-2</v>
      </c>
      <c r="AD365" s="752" t="e">
        <f>_xlfn.XLOOKUP(Table1[[#This Row],[Ruta]],#REF!,#REF!)</f>
        <v>#REF!</v>
      </c>
      <c r="AE365" s="752" t="e">
        <f>_xlfn.XLOOKUP(Table1[[#This Row],[Ruta]],#REF!,#REF!)</f>
        <v>#REF!</v>
      </c>
      <c r="AF365" s="752" t="e">
        <f>_xlfn.XLOOKUP(Table1[[#This Row],[Ruta]],#REF!,#REF!)</f>
        <v>#REF!</v>
      </c>
      <c r="AG365" s="752" t="e">
        <f>_xlfn.XLOOKUP(Table1[[#This Row],[Ruta]],#REF!,#REF!)</f>
        <v>#REF!</v>
      </c>
      <c r="AH365" s="52">
        <v>0.48785276223551027</v>
      </c>
      <c r="AI365" s="52">
        <v>0.51206933903436636</v>
      </c>
      <c r="AJ365" s="55">
        <v>7.7898730123413475E-5</v>
      </c>
      <c r="AK365" s="56">
        <v>37321</v>
      </c>
      <c r="AL365" s="44">
        <v>28968</v>
      </c>
      <c r="AM365" s="54">
        <v>0.776184989684092</v>
      </c>
      <c r="AN365" s="55">
        <v>0.55224100357395201</v>
      </c>
      <c r="AO365" s="56">
        <v>0</v>
      </c>
      <c r="AP365" s="48">
        <v>0</v>
      </c>
      <c r="AQ365" s="55">
        <v>0.77618498968409211</v>
      </c>
      <c r="AR365" s="51">
        <v>7855741.8899999997</v>
      </c>
      <c r="AS365" s="49">
        <v>0</v>
      </c>
      <c r="AT365" s="55">
        <v>0</v>
      </c>
      <c r="AU365" s="51">
        <v>0</v>
      </c>
      <c r="AV365" s="52">
        <v>0</v>
      </c>
      <c r="AW365" s="44">
        <v>490</v>
      </c>
      <c r="AX365" s="51">
        <v>271.18689208782098</v>
      </c>
      <c r="AY365" s="49">
        <v>395.30787608246197</v>
      </c>
      <c r="AZ365" s="49">
        <v>124.12098399464099</v>
      </c>
      <c r="BA365" s="42" t="s">
        <v>150</v>
      </c>
      <c r="BB365" s="50">
        <v>1263296.6658550785</v>
      </c>
      <c r="BC365" s="57">
        <v>1263296.6658550785</v>
      </c>
      <c r="BD365" s="42" t="s">
        <v>150</v>
      </c>
      <c r="BE365" s="46">
        <v>84.056306306306297</v>
      </c>
      <c r="BF365" s="46">
        <v>83.628504672897193</v>
      </c>
      <c r="BG365" s="42" t="s">
        <v>150</v>
      </c>
      <c r="BH365" s="52">
        <v>0.776184989684092</v>
      </c>
      <c r="BI365" s="52">
        <v>0.51187669456560203</v>
      </c>
      <c r="BJ365" s="42" t="s">
        <v>150</v>
      </c>
      <c r="BK365" s="46">
        <v>639.70672002252195</v>
      </c>
      <c r="BL365" s="46">
        <v>638.00354527981403</v>
      </c>
      <c r="BM365" s="42" t="s">
        <v>150</v>
      </c>
      <c r="BN365" s="48">
        <v>3</v>
      </c>
      <c r="BO365" s="42" t="s">
        <v>153</v>
      </c>
      <c r="BP365" s="42" t="s">
        <v>150</v>
      </c>
      <c r="BQ365" s="46">
        <v>0</v>
      </c>
      <c r="BR365" s="46">
        <v>66</v>
      </c>
      <c r="BS365" s="46">
        <v>3596</v>
      </c>
      <c r="BT365" s="46">
        <v>1018</v>
      </c>
      <c r="BU365" s="46">
        <v>3.5324165029469548</v>
      </c>
      <c r="BV365" s="46">
        <v>15.424242424242424</v>
      </c>
      <c r="BW365" s="46">
        <v>1018</v>
      </c>
      <c r="BX365" s="46">
        <v>0</v>
      </c>
      <c r="BY365" s="46">
        <v>1018</v>
      </c>
      <c r="BZ365" s="46">
        <v>1</v>
      </c>
      <c r="CA365" s="46">
        <v>1</v>
      </c>
      <c r="CB365" s="46">
        <v>0</v>
      </c>
      <c r="CC365" s="46">
        <v>0</v>
      </c>
      <c r="CD365" s="46">
        <v>0</v>
      </c>
      <c r="CE365" s="46">
        <v>0</v>
      </c>
      <c r="CF365" s="46">
        <v>0</v>
      </c>
      <c r="CG365" s="46">
        <v>0</v>
      </c>
      <c r="CH365" s="46">
        <v>0</v>
      </c>
      <c r="CI365" s="46">
        <v>0</v>
      </c>
      <c r="CJ365" s="46">
        <v>0.83426028921023354</v>
      </c>
      <c r="CK365">
        <v>305</v>
      </c>
      <c r="CL365">
        <v>353.92</v>
      </c>
      <c r="CM365">
        <f t="shared" si="42"/>
        <v>48.920000000000016</v>
      </c>
      <c r="CN365">
        <v>9.2799999999999994</v>
      </c>
      <c r="CO365">
        <v>9.4499999999999993</v>
      </c>
      <c r="CP365">
        <f t="shared" si="43"/>
        <v>0.16999999999999993</v>
      </c>
      <c r="CQ365">
        <v>846.56</v>
      </c>
      <c r="CR365">
        <v>639.71</v>
      </c>
      <c r="CS365">
        <f t="shared" si="44"/>
        <v>206.84999999999991</v>
      </c>
      <c r="CT365" t="s">
        <v>150</v>
      </c>
      <c r="CU365">
        <v>110.37</v>
      </c>
      <c r="CV365">
        <v>291</v>
      </c>
      <c r="CW365" s="46">
        <v>1009</v>
      </c>
      <c r="CX365" s="46">
        <f t="shared" si="38"/>
        <v>94.310412573673872</v>
      </c>
      <c r="CY365" s="46">
        <v>48.92</v>
      </c>
      <c r="CZ365" s="46">
        <f t="shared" si="39"/>
        <v>99.115913555992137</v>
      </c>
      <c r="DA365" s="46">
        <f t="shared" si="40"/>
        <v>1460.5558617328384</v>
      </c>
      <c r="DB365" s="46">
        <v>1558296.26</v>
      </c>
      <c r="DC365" s="46">
        <f t="shared" si="41"/>
        <v>53.422449668203804</v>
      </c>
      <c r="DD365" s="46">
        <v>56997.48</v>
      </c>
      <c r="DE365" s="995">
        <v>1009</v>
      </c>
      <c r="DF365" s="995">
        <v>94.576999999999998</v>
      </c>
      <c r="DG365" s="995">
        <v>46.2</v>
      </c>
      <c r="DH365" s="995">
        <v>99.116</v>
      </c>
      <c r="DI365" s="995">
        <v>5504.451</v>
      </c>
      <c r="DJ365" s="995">
        <v>5857872</v>
      </c>
      <c r="DK365" s="995">
        <v>199.41</v>
      </c>
      <c r="DL365" s="995">
        <v>212213.6</v>
      </c>
      <c r="DM365" s="995">
        <v>1009</v>
      </c>
      <c r="DN365" s="995">
        <v>95.378</v>
      </c>
      <c r="DO365" s="995">
        <v>38.1</v>
      </c>
      <c r="DP365" s="995">
        <v>99.116</v>
      </c>
      <c r="DQ365" s="995">
        <v>5429.13</v>
      </c>
      <c r="DR365" s="995">
        <v>5733445</v>
      </c>
      <c r="DS365" s="995">
        <v>196.97900000000001</v>
      </c>
      <c r="DT365" s="995">
        <v>208020</v>
      </c>
    </row>
    <row r="366" spans="1:124">
      <c r="A366" s="42" t="s">
        <v>94</v>
      </c>
      <c r="B366" s="42" t="s">
        <v>549</v>
      </c>
      <c r="C366" s="42" t="s">
        <v>550</v>
      </c>
      <c r="D366" s="42">
        <v>816358</v>
      </c>
      <c r="E366" s="42" t="s">
        <v>582</v>
      </c>
      <c r="F366" s="42" t="s">
        <v>149</v>
      </c>
      <c r="G366" s="42" t="s">
        <v>150</v>
      </c>
      <c r="H366" s="43" t="s">
        <v>150</v>
      </c>
      <c r="I366" s="44">
        <v>69</v>
      </c>
      <c r="J366" s="45">
        <v>244074.14079999999</v>
      </c>
      <c r="K366" s="46">
        <v>14994.252404999999</v>
      </c>
      <c r="L366" s="47">
        <v>259068.393205</v>
      </c>
      <c r="M366" s="48">
        <v>5788141</v>
      </c>
      <c r="N366" s="49">
        <v>3583519</v>
      </c>
      <c r="O366" s="49">
        <v>2202027</v>
      </c>
      <c r="P366" s="49">
        <v>2595</v>
      </c>
      <c r="Q366" s="50">
        <v>13178.9172209567</v>
      </c>
      <c r="R366" s="51">
        <v>25175.5141157486</v>
      </c>
      <c r="S366" s="49">
        <v>38258.831890765701</v>
      </c>
      <c r="T366" s="49">
        <v>8205.2627781153697</v>
      </c>
      <c r="U366" s="49">
        <f>IFERROR(INDEX('Rentabilidad datos'!$N$2:$N$61,MATCH($C366,'Rentabilidad datos'!$C$2:$C$61,0)),"")</f>
        <v>71639.608784629672</v>
      </c>
      <c r="V366" s="50">
        <f>IFERROR(INDEX('Rentabilidad datos'!$O$2:$O$61,MATCH($C366,'Rentabilidad datos'!$C$2:$C$61,0)),"")</f>
        <v>1193.9934797438279</v>
      </c>
      <c r="W366" s="51">
        <f>IFERROR(INDEX('Rentabilidad datos'!$M$2:$M$61,MATCH($C366,'Rentabilidad datos'!$C$2:$C$61,0)),"")</f>
        <v>3427.1365491869451</v>
      </c>
      <c r="X366" s="52">
        <f>IFERROR(INDEX('Rentabilidad datos'!$P$2:$P$61,MATCH($C366,'Rentabilidad datos'!$C$2:$C$61,0)),"")</f>
        <v>0.34839390336725601</v>
      </c>
      <c r="Y366" s="43" t="s">
        <v>171</v>
      </c>
      <c r="Z366" s="53">
        <v>58.963553530751703</v>
      </c>
      <c r="AA366" s="43">
        <v>2</v>
      </c>
      <c r="AB366" s="54">
        <v>0.97266963607140877</v>
      </c>
      <c r="AC366" s="55">
        <v>2.7330363928591235E-2</v>
      </c>
      <c r="AD366" s="752" t="e">
        <f>_xlfn.XLOOKUP(Table1[[#This Row],[Ruta]],#REF!,#REF!)</f>
        <v>#REF!</v>
      </c>
      <c r="AE366" s="752" t="e">
        <f>_xlfn.XLOOKUP(Table1[[#This Row],[Ruta]],#REF!,#REF!)</f>
        <v>#REF!</v>
      </c>
      <c r="AF366" s="752" t="e">
        <f>_xlfn.XLOOKUP(Table1[[#This Row],[Ruta]],#REF!,#REF!)</f>
        <v>#REF!</v>
      </c>
      <c r="AG366" s="752" t="e">
        <f>_xlfn.XLOOKUP(Table1[[#This Row],[Ruta]],#REF!,#REF!)</f>
        <v>#REF!</v>
      </c>
      <c r="AH366" s="52">
        <v>0.61911397804580093</v>
      </c>
      <c r="AI366" s="52">
        <v>0.38043769147987239</v>
      </c>
      <c r="AJ366" s="55">
        <v>4.4833047432673114E-4</v>
      </c>
      <c r="AK366" s="56">
        <v>25885</v>
      </c>
      <c r="AL366" s="44">
        <v>11793</v>
      </c>
      <c r="AM366" s="54">
        <v>0.45559204172300599</v>
      </c>
      <c r="AN366" s="55">
        <v>0.55224100357395201</v>
      </c>
      <c r="AO366" s="56">
        <v>2501.75837751174</v>
      </c>
      <c r="AP366" s="48">
        <v>1250.87918875587</v>
      </c>
      <c r="AQ366" s="55">
        <v>0.50391652264847864</v>
      </c>
      <c r="AR366" s="51">
        <v>5785544.6600000001</v>
      </c>
      <c r="AS366" s="49">
        <v>613670.60212089005</v>
      </c>
      <c r="AT366" s="55">
        <v>0.10606963357549988</v>
      </c>
      <c r="AU366" s="51">
        <v>431227.99067954451</v>
      </c>
      <c r="AV366" s="52">
        <v>1.961696937834751E-3</v>
      </c>
      <c r="AW366" s="44">
        <v>174</v>
      </c>
      <c r="AX366" s="51">
        <v>490.59142372593902</v>
      </c>
      <c r="AY366" s="49">
        <v>395.30787608246197</v>
      </c>
      <c r="AZ366" s="49">
        <v>0</v>
      </c>
      <c r="BA366" s="42" t="s">
        <v>152</v>
      </c>
      <c r="BB366" s="50">
        <v>0</v>
      </c>
      <c r="BC366" s="57">
        <v>431227.99067954451</v>
      </c>
      <c r="BD366" s="42" t="s">
        <v>150</v>
      </c>
      <c r="BE366" s="46">
        <v>58.963553530751703</v>
      </c>
      <c r="BF366" s="46">
        <v>83.628504672897193</v>
      </c>
      <c r="BG366" s="42" t="s">
        <v>152</v>
      </c>
      <c r="BH366" s="52">
        <v>0.45559204172300599</v>
      </c>
      <c r="BI366" s="52">
        <v>0.51187669456560203</v>
      </c>
      <c r="BJ366" s="42" t="s">
        <v>152</v>
      </c>
      <c r="BK366" s="46">
        <v>590.13301413439603</v>
      </c>
      <c r="BL366" s="46">
        <v>638.00354527981403</v>
      </c>
      <c r="BM366" s="42" t="s">
        <v>152</v>
      </c>
      <c r="BN366" s="48">
        <v>0</v>
      </c>
      <c r="BO366" s="42" t="s">
        <v>155</v>
      </c>
      <c r="BP366" s="42" t="s">
        <v>152</v>
      </c>
      <c r="BQ366" s="46">
        <v>5766.75599213039</v>
      </c>
      <c r="BR366" s="46">
        <v>84</v>
      </c>
      <c r="BS366" s="46">
        <v>5092</v>
      </c>
      <c r="BT366" s="46">
        <v>1660</v>
      </c>
      <c r="BU366" s="46">
        <v>3.0674698795180722</v>
      </c>
      <c r="BV366" s="46">
        <v>19.761904761904763</v>
      </c>
      <c r="BW366" s="46">
        <v>1178</v>
      </c>
      <c r="BX366" s="46">
        <v>482</v>
      </c>
      <c r="BY366" s="46">
        <v>1660</v>
      </c>
      <c r="BZ366" s="46">
        <v>1</v>
      </c>
      <c r="CA366" s="46">
        <v>0.7096385542168675</v>
      </c>
      <c r="CB366" s="46">
        <v>0.29036144578313261</v>
      </c>
      <c r="CC366" s="46">
        <v>0</v>
      </c>
      <c r="CD366" s="46">
        <v>0</v>
      </c>
      <c r="CE366" s="46">
        <v>0</v>
      </c>
      <c r="CF366" s="46">
        <v>0</v>
      </c>
      <c r="CG366" s="46">
        <v>0</v>
      </c>
      <c r="CH366" s="46">
        <v>0</v>
      </c>
      <c r="CI366" s="46">
        <v>0.39277297721916737</v>
      </c>
      <c r="CJ366" s="46">
        <v>0.78554595443833475</v>
      </c>
      <c r="CK366">
        <v>261</v>
      </c>
      <c r="CL366">
        <v>309.01</v>
      </c>
      <c r="CM366">
        <f t="shared" si="42"/>
        <v>48.009999999999991</v>
      </c>
      <c r="CN366">
        <v>8.4499999999999993</v>
      </c>
      <c r="CO366">
        <v>9.4499999999999993</v>
      </c>
      <c r="CP366">
        <f t="shared" si="43"/>
        <v>1</v>
      </c>
      <c r="CQ366">
        <v>846.56</v>
      </c>
      <c r="CR366">
        <v>590.13</v>
      </c>
      <c r="CS366">
        <f t="shared" si="44"/>
        <v>256.42999999999995</v>
      </c>
      <c r="CT366" t="s">
        <v>152</v>
      </c>
      <c r="CU366">
        <v>95.8</v>
      </c>
      <c r="CV366">
        <v>258</v>
      </c>
      <c r="CW366" s="46">
        <v>1660</v>
      </c>
      <c r="CX366" s="46">
        <f t="shared" si="38"/>
        <v>97.107831325301206</v>
      </c>
      <c r="CY366" s="46">
        <v>48.01</v>
      </c>
      <c r="CZ366" s="46">
        <f t="shared" si="39"/>
        <v>100</v>
      </c>
      <c r="DA366" s="46">
        <f t="shared" si="40"/>
        <v>347.09247603936745</v>
      </c>
      <c r="DB366" s="46">
        <v>592837.42000000004</v>
      </c>
      <c r="DC366" s="46">
        <f t="shared" si="41"/>
        <v>16.232680136533158</v>
      </c>
      <c r="DD366" s="46">
        <v>27725.58</v>
      </c>
      <c r="DE366" s="995">
        <v>1660</v>
      </c>
      <c r="DF366" s="995">
        <v>97.204999999999998</v>
      </c>
      <c r="DG366" s="995">
        <v>46.4</v>
      </c>
      <c r="DH366" s="995">
        <v>100</v>
      </c>
      <c r="DI366" s="995">
        <v>2804.5949999999998</v>
      </c>
      <c r="DJ366" s="995">
        <v>4785753</v>
      </c>
      <c r="DK366" s="995">
        <v>126.152</v>
      </c>
      <c r="DL366" s="995">
        <v>215264.8</v>
      </c>
      <c r="DM366" s="995">
        <v>1660</v>
      </c>
      <c r="DN366" s="995">
        <v>97.497</v>
      </c>
      <c r="DO366" s="995">
        <v>41.6</v>
      </c>
      <c r="DP366" s="995">
        <v>100</v>
      </c>
      <c r="DQ366" s="995">
        <v>2781.3029999999999</v>
      </c>
      <c r="DR366" s="995">
        <v>4732532</v>
      </c>
      <c r="DS366" s="995">
        <v>125.04600000000001</v>
      </c>
      <c r="DT366" s="995">
        <v>212772.9</v>
      </c>
    </row>
    <row r="367" spans="1:124">
      <c r="A367" s="42" t="s">
        <v>94</v>
      </c>
      <c r="B367" s="42" t="s">
        <v>549</v>
      </c>
      <c r="C367" s="42" t="s">
        <v>550</v>
      </c>
      <c r="D367" s="42">
        <v>816359</v>
      </c>
      <c r="E367" s="42" t="s">
        <v>583</v>
      </c>
      <c r="F367" s="42" t="s">
        <v>149</v>
      </c>
      <c r="G367" s="42" t="s">
        <v>150</v>
      </c>
      <c r="H367" s="43" t="s">
        <v>150</v>
      </c>
      <c r="I367" s="44">
        <v>69</v>
      </c>
      <c r="J367" s="45">
        <v>200435.12719999999</v>
      </c>
      <c r="K367" s="46">
        <v>15553.135156</v>
      </c>
      <c r="L367" s="47">
        <v>215988.26235599999</v>
      </c>
      <c r="M367" s="48">
        <v>5026305</v>
      </c>
      <c r="N367" s="49">
        <v>2935447</v>
      </c>
      <c r="O367" s="49">
        <v>2088170</v>
      </c>
      <c r="P367" s="49">
        <v>2688</v>
      </c>
      <c r="Q367" s="50">
        <v>11575.1515898618</v>
      </c>
      <c r="R367" s="51">
        <v>25175.5141157486</v>
      </c>
      <c r="S367" s="49">
        <v>38258.831890765701</v>
      </c>
      <c r="T367" s="49">
        <v>8205.2627781153697</v>
      </c>
      <c r="U367" s="49">
        <f>IFERROR(INDEX('Rentabilidad datos'!$N$2:$N$61,MATCH($C367,'Rentabilidad datos'!$C$2:$C$61,0)),"")</f>
        <v>71639.608784629672</v>
      </c>
      <c r="V367" s="50">
        <f>IFERROR(INDEX('Rentabilidad datos'!$O$2:$O$61,MATCH($C367,'Rentabilidad datos'!$C$2:$C$61,0)),"")</f>
        <v>1193.9934797438279</v>
      </c>
      <c r="W367" s="51">
        <f>IFERROR(INDEX('Rentabilidad datos'!$M$2:$M$61,MATCH($C367,'Rentabilidad datos'!$C$2:$C$61,0)),"")</f>
        <v>3427.1365491869451</v>
      </c>
      <c r="X367" s="52">
        <f>IFERROR(INDEX('Rentabilidad datos'!$P$2:$P$61,MATCH($C367,'Rentabilidad datos'!$C$2:$C$61,0)),"")</f>
        <v>0.34839390336725601</v>
      </c>
      <c r="Y367" s="43" t="s">
        <v>171</v>
      </c>
      <c r="Z367" s="53">
        <v>99.398617511520698</v>
      </c>
      <c r="AA367" s="43">
        <v>2</v>
      </c>
      <c r="AB367" s="54">
        <v>0.98728887323789538</v>
      </c>
      <c r="AC367" s="55">
        <v>1.2711126762104568E-2</v>
      </c>
      <c r="AD367" s="752" t="e">
        <f>_xlfn.XLOOKUP(Table1[[#This Row],[Ruta]],#REF!,#REF!)</f>
        <v>#REF!</v>
      </c>
      <c r="AE367" s="752" t="e">
        <f>_xlfn.XLOOKUP(Table1[[#This Row],[Ruta]],#REF!,#REF!)</f>
        <v>#REF!</v>
      </c>
      <c r="AF367" s="752" t="e">
        <f>_xlfn.XLOOKUP(Table1[[#This Row],[Ruta]],#REF!,#REF!)</f>
        <v>#REF!</v>
      </c>
      <c r="AG367" s="752" t="e">
        <f>_xlfn.XLOOKUP(Table1[[#This Row],[Ruta]],#REF!,#REF!)</f>
        <v>#REF!</v>
      </c>
      <c r="AH367" s="52">
        <v>0.58401688715666877</v>
      </c>
      <c r="AI367" s="52">
        <v>0.41544832635504608</v>
      </c>
      <c r="AJ367" s="55">
        <v>5.3478648828513193E-4</v>
      </c>
      <c r="AK367" s="56">
        <v>43139</v>
      </c>
      <c r="AL367" s="44">
        <v>16225</v>
      </c>
      <c r="AM367" s="54">
        <v>0.37610978464962103</v>
      </c>
      <c r="AN367" s="55">
        <v>0.55224100357395201</v>
      </c>
      <c r="AO367" s="56">
        <v>7598.1246531767001</v>
      </c>
      <c r="AP367" s="48">
        <v>3799.0623265883501</v>
      </c>
      <c r="AQ367" s="55">
        <v>0.46417539411178638</v>
      </c>
      <c r="AR367" s="51">
        <v>5023615.79</v>
      </c>
      <c r="AS367" s="49">
        <v>1176273.0040704701</v>
      </c>
      <c r="AT367" s="55">
        <v>0.23414867960482905</v>
      </c>
      <c r="AU367" s="51">
        <v>826570.21907654684</v>
      </c>
      <c r="AV367" s="52">
        <v>3.7601461470826015E-3</v>
      </c>
      <c r="AW367" s="44">
        <v>70</v>
      </c>
      <c r="AX367" s="51">
        <v>309.62192850539299</v>
      </c>
      <c r="AY367" s="49">
        <v>395.30787608246197</v>
      </c>
      <c r="AZ367" s="49">
        <v>85.685947577068987</v>
      </c>
      <c r="BA367" s="42" t="s">
        <v>150</v>
      </c>
      <c r="BB367" s="50">
        <v>488467.79709981842</v>
      </c>
      <c r="BC367" s="57">
        <v>1315038.0161763653</v>
      </c>
      <c r="BD367" s="42" t="s">
        <v>150</v>
      </c>
      <c r="BE367" s="46">
        <v>99.398617511520698</v>
      </c>
      <c r="BF367" s="46">
        <v>83.628504672897193</v>
      </c>
      <c r="BG367" s="42" t="s">
        <v>150</v>
      </c>
      <c r="BH367" s="52">
        <v>0.37610978464962103</v>
      </c>
      <c r="BI367" s="52">
        <v>0.51187669456560203</v>
      </c>
      <c r="BJ367" s="42" t="s">
        <v>152</v>
      </c>
      <c r="BK367" s="46">
        <v>497.66880727188902</v>
      </c>
      <c r="BL367" s="46">
        <v>638.00354527981403</v>
      </c>
      <c r="BM367" s="42" t="s">
        <v>152</v>
      </c>
      <c r="BN367" s="48">
        <v>1</v>
      </c>
      <c r="BO367" s="42" t="s">
        <v>155</v>
      </c>
      <c r="BP367" s="42" t="s">
        <v>152</v>
      </c>
      <c r="BQ367" s="46">
        <v>0</v>
      </c>
      <c r="BR367" s="46">
        <v>53</v>
      </c>
      <c r="BS367" s="46">
        <v>6117</v>
      </c>
      <c r="BT367" s="46">
        <v>2174</v>
      </c>
      <c r="BU367" s="46">
        <v>2.8137074517019318</v>
      </c>
      <c r="BV367" s="46">
        <v>41.018867924528301</v>
      </c>
      <c r="BW367" s="46">
        <v>683</v>
      </c>
      <c r="BX367" s="46">
        <v>1491</v>
      </c>
      <c r="BY367" s="46">
        <v>2174</v>
      </c>
      <c r="BZ367" s="46">
        <v>1</v>
      </c>
      <c r="CA367" s="46">
        <v>0.31416743330266789</v>
      </c>
      <c r="CB367" s="46">
        <v>0.68583256669733206</v>
      </c>
      <c r="CC367" s="46">
        <v>0</v>
      </c>
      <c r="CD367" s="46">
        <v>0</v>
      </c>
      <c r="CE367" s="46">
        <v>0</v>
      </c>
      <c r="CF367" s="46">
        <v>0</v>
      </c>
      <c r="CG367" s="46">
        <v>0</v>
      </c>
      <c r="CH367" s="46">
        <v>0</v>
      </c>
      <c r="CI367" s="46">
        <v>1.4713094654242282</v>
      </c>
      <c r="CJ367" s="46">
        <v>1.307830635932647</v>
      </c>
      <c r="CK367">
        <v>385</v>
      </c>
      <c r="CL367">
        <v>471.73</v>
      </c>
      <c r="CM367">
        <f t="shared" si="42"/>
        <v>86.730000000000018</v>
      </c>
      <c r="CN367">
        <v>12.87</v>
      </c>
      <c r="CO367">
        <v>9.4499999999999993</v>
      </c>
      <c r="CP367">
        <f t="shared" si="43"/>
        <v>-3.42</v>
      </c>
      <c r="CQ367">
        <v>846.56</v>
      </c>
      <c r="CR367">
        <v>497.67</v>
      </c>
      <c r="CS367">
        <f t="shared" si="44"/>
        <v>348.88999999999993</v>
      </c>
      <c r="CT367" t="s">
        <v>150</v>
      </c>
      <c r="CU367">
        <v>138.97</v>
      </c>
      <c r="CV367">
        <v>387</v>
      </c>
      <c r="CW367" s="46">
        <v>2174</v>
      </c>
      <c r="CX367" s="46">
        <f t="shared" si="38"/>
        <v>96.010579576816923</v>
      </c>
      <c r="CY367" s="46">
        <v>86.73</v>
      </c>
      <c r="CZ367" s="46">
        <f t="shared" si="39"/>
        <v>100</v>
      </c>
      <c r="DA367" s="46">
        <f t="shared" si="40"/>
        <v>1489.8855944761206</v>
      </c>
      <c r="DB367" s="46">
        <v>3368229.06</v>
      </c>
      <c r="DC367" s="46">
        <f t="shared" si="41"/>
        <v>63.266307785538302</v>
      </c>
      <c r="DD367" s="46">
        <v>143028.04</v>
      </c>
      <c r="DE367" s="995">
        <v>2174</v>
      </c>
      <c r="DF367" s="995">
        <v>96.253</v>
      </c>
      <c r="DG367" s="995">
        <v>81.5</v>
      </c>
      <c r="DH367" s="995">
        <v>100</v>
      </c>
      <c r="DI367" s="995">
        <v>3024.47</v>
      </c>
      <c r="DJ367" s="995">
        <v>6821595</v>
      </c>
      <c r="DK367" s="995">
        <v>127.527</v>
      </c>
      <c r="DL367" s="995">
        <v>287633.59999999998</v>
      </c>
      <c r="DM367" s="995">
        <v>2174</v>
      </c>
      <c r="DN367" s="995">
        <v>96.893000000000001</v>
      </c>
      <c r="DO367" s="995">
        <v>67.5</v>
      </c>
      <c r="DP367" s="995">
        <v>100</v>
      </c>
      <c r="DQ367" s="995">
        <v>2969.9879999999998</v>
      </c>
      <c r="DR367" s="995">
        <v>6657347</v>
      </c>
      <c r="DS367" s="995">
        <v>125.124</v>
      </c>
      <c r="DT367" s="995">
        <v>280470.59999999998</v>
      </c>
    </row>
    <row r="368" spans="1:124">
      <c r="A368" s="42" t="s">
        <v>94</v>
      </c>
      <c r="B368" s="42" t="s">
        <v>549</v>
      </c>
      <c r="C368" s="42" t="s">
        <v>550</v>
      </c>
      <c r="D368" s="42">
        <v>816360</v>
      </c>
      <c r="E368" s="42" t="s">
        <v>584</v>
      </c>
      <c r="F368" s="42" t="s">
        <v>149</v>
      </c>
      <c r="G368" s="42" t="s">
        <v>150</v>
      </c>
      <c r="H368" s="43" t="s">
        <v>150</v>
      </c>
      <c r="I368" s="44">
        <v>69</v>
      </c>
      <c r="J368" s="45">
        <v>175242.92240000001</v>
      </c>
      <c r="K368" s="46">
        <v>9815.1549749999995</v>
      </c>
      <c r="L368" s="47">
        <v>185058.07737499999</v>
      </c>
      <c r="M368" s="48">
        <v>3996750</v>
      </c>
      <c r="N368" s="49">
        <v>2547911</v>
      </c>
      <c r="O368" s="49">
        <v>1445514</v>
      </c>
      <c r="P368" s="49">
        <v>3325</v>
      </c>
      <c r="Q368" s="50">
        <v>9243.4050000000007</v>
      </c>
      <c r="R368" s="51">
        <v>25175.5141157486</v>
      </c>
      <c r="S368" s="49">
        <v>38258.831890765701</v>
      </c>
      <c r="T368" s="49">
        <v>8205.2627781153697</v>
      </c>
      <c r="U368" s="49">
        <f>IFERROR(INDEX('Rentabilidad datos'!$N$2:$N$61,MATCH($C368,'Rentabilidad datos'!$C$2:$C$61,0)),"")</f>
        <v>71639.608784629672</v>
      </c>
      <c r="V368" s="50">
        <f>IFERROR(INDEX('Rentabilidad datos'!$O$2:$O$61,MATCH($C368,'Rentabilidad datos'!$C$2:$C$61,0)),"")</f>
        <v>1193.9934797438279</v>
      </c>
      <c r="W368" s="51">
        <f>IFERROR(INDEX('Rentabilidad datos'!$M$2:$M$61,MATCH($C368,'Rentabilidad datos'!$C$2:$C$61,0)),"")</f>
        <v>3427.1365491869451</v>
      </c>
      <c r="X368" s="52">
        <f>IFERROR(INDEX('Rentabilidad datos'!$P$2:$P$61,MATCH($C368,'Rentabilidad datos'!$C$2:$C$61,0)),"")</f>
        <v>0.34839390336725601</v>
      </c>
      <c r="Y368" s="43" t="s">
        <v>171</v>
      </c>
      <c r="Z368" s="53">
        <v>60.372685185185198</v>
      </c>
      <c r="AA368" s="43">
        <v>2</v>
      </c>
      <c r="AB368" s="54">
        <v>0.98131807093263279</v>
      </c>
      <c r="AC368" s="55">
        <v>1.8681929067367237E-2</v>
      </c>
      <c r="AD368" s="752" t="e">
        <f>_xlfn.XLOOKUP(Table1[[#This Row],[Ruta]],#REF!,#REF!)</f>
        <v>#REF!</v>
      </c>
      <c r="AE368" s="752" t="e">
        <f>_xlfn.XLOOKUP(Table1[[#This Row],[Ruta]],#REF!,#REF!)</f>
        <v>#REF!</v>
      </c>
      <c r="AF368" s="752" t="e">
        <f>_xlfn.XLOOKUP(Table1[[#This Row],[Ruta]],#REF!,#REF!)</f>
        <v>#REF!</v>
      </c>
      <c r="AG368" s="752" t="e">
        <f>_xlfn.XLOOKUP(Table1[[#This Row],[Ruta]],#REF!,#REF!)</f>
        <v>#REF!</v>
      </c>
      <c r="AH368" s="52">
        <v>0.63749571526865578</v>
      </c>
      <c r="AI368" s="52">
        <v>0.3616723587915181</v>
      </c>
      <c r="AJ368" s="55">
        <v>8.3192593982610872E-4</v>
      </c>
      <c r="AK368" s="56">
        <v>26081</v>
      </c>
      <c r="AL368" s="44">
        <v>11246</v>
      </c>
      <c r="AM368" s="54">
        <v>0.431195122886392</v>
      </c>
      <c r="AN368" s="55">
        <v>0.55224100357395201</v>
      </c>
      <c r="AO368" s="56">
        <v>3156.99761421223</v>
      </c>
      <c r="AP368" s="48">
        <v>1578.498807106115</v>
      </c>
      <c r="AQ368" s="55">
        <v>0.49171806323017192</v>
      </c>
      <c r="AR368" s="51">
        <v>3993150.96</v>
      </c>
      <c r="AS368" s="49">
        <v>560482.30721630994</v>
      </c>
      <c r="AT368" s="55">
        <v>0.14036091117785088</v>
      </c>
      <c r="AU368" s="51">
        <v>393852.43209794769</v>
      </c>
      <c r="AV368" s="52">
        <v>1.7916719849001277E-3</v>
      </c>
      <c r="AW368" s="44">
        <v>193</v>
      </c>
      <c r="AX368" s="51">
        <v>355.07300017784098</v>
      </c>
      <c r="AY368" s="49">
        <v>395.30787608246197</v>
      </c>
      <c r="AZ368" s="49">
        <v>40.234875904620992</v>
      </c>
      <c r="BA368" s="42" t="s">
        <v>150</v>
      </c>
      <c r="BB368" s="50">
        <v>158979.95641902112</v>
      </c>
      <c r="BC368" s="57">
        <v>552832.38851696881</v>
      </c>
      <c r="BD368" s="42" t="s">
        <v>150</v>
      </c>
      <c r="BE368" s="46">
        <v>60.372685185185198</v>
      </c>
      <c r="BF368" s="46">
        <v>83.628504672897193</v>
      </c>
      <c r="BG368" s="42" t="s">
        <v>152</v>
      </c>
      <c r="BH368" s="52">
        <v>0.431195122886392</v>
      </c>
      <c r="BI368" s="52">
        <v>0.51187669456560203</v>
      </c>
      <c r="BJ368" s="42" t="s">
        <v>152</v>
      </c>
      <c r="BK368" s="46">
        <v>428.37517910879598</v>
      </c>
      <c r="BL368" s="46">
        <v>638.00354527981403</v>
      </c>
      <c r="BM368" s="42" t="s">
        <v>152</v>
      </c>
      <c r="BN368" s="48">
        <v>0</v>
      </c>
      <c r="BO368" s="42" t="s">
        <v>155</v>
      </c>
      <c r="BP368" s="42" t="s">
        <v>152</v>
      </c>
      <c r="BQ368" s="46">
        <v>4710.8840253193302</v>
      </c>
      <c r="BR368" s="46">
        <v>56</v>
      </c>
      <c r="BS368" s="46">
        <v>5416</v>
      </c>
      <c r="BT368" s="46">
        <v>1914</v>
      </c>
      <c r="BU368" s="46">
        <v>2.8296760710553812</v>
      </c>
      <c r="BV368" s="46">
        <v>34.178571428571431</v>
      </c>
      <c r="BW368" s="46">
        <v>1914</v>
      </c>
      <c r="BX368" s="46">
        <v>0</v>
      </c>
      <c r="BY368" s="46">
        <v>1914</v>
      </c>
      <c r="BZ368" s="46">
        <v>1</v>
      </c>
      <c r="CA368" s="46">
        <v>1</v>
      </c>
      <c r="CB368" s="46">
        <v>0</v>
      </c>
      <c r="CC368" s="46">
        <v>0</v>
      </c>
      <c r="CD368" s="46">
        <v>0</v>
      </c>
      <c r="CE368" s="46">
        <v>0</v>
      </c>
      <c r="CF368" s="46">
        <v>0</v>
      </c>
      <c r="CG368" s="46">
        <v>0</v>
      </c>
      <c r="CH368" s="46">
        <v>0</v>
      </c>
      <c r="CI368" s="46">
        <v>1.292466765140325</v>
      </c>
      <c r="CJ368" s="46">
        <v>0.55391432791728212</v>
      </c>
      <c r="CK368">
        <v>263</v>
      </c>
      <c r="CL368">
        <v>383.58</v>
      </c>
      <c r="CM368">
        <f t="shared" si="42"/>
        <v>120.57999999999998</v>
      </c>
      <c r="CN368">
        <v>6.13</v>
      </c>
      <c r="CO368">
        <v>9.4499999999999993</v>
      </c>
      <c r="CP368">
        <f t="shared" si="43"/>
        <v>3.3199999999999994</v>
      </c>
      <c r="CQ368">
        <v>846.56</v>
      </c>
      <c r="CR368">
        <v>428.38</v>
      </c>
      <c r="CS368">
        <f t="shared" si="44"/>
        <v>418.17999999999995</v>
      </c>
      <c r="CT368" t="s">
        <v>152</v>
      </c>
      <c r="CU368">
        <v>64.849999999999994</v>
      </c>
      <c r="CV368">
        <v>262</v>
      </c>
      <c r="CW368" s="46">
        <v>1914</v>
      </c>
      <c r="CX368" s="46">
        <f t="shared" si="38"/>
        <v>93.700104493207945</v>
      </c>
      <c r="CY368" s="46">
        <v>120.58</v>
      </c>
      <c r="CZ368" s="46">
        <f t="shared" si="39"/>
        <v>100</v>
      </c>
      <c r="DA368" s="46">
        <f t="shared" si="40"/>
        <v>1013.5579677378132</v>
      </c>
      <c r="DB368" s="46">
        <v>2062164.77</v>
      </c>
      <c r="DC368" s="46">
        <f t="shared" si="41"/>
        <v>46.829940331665505</v>
      </c>
      <c r="DD368" s="46">
        <v>95279.26</v>
      </c>
      <c r="DE368" s="995">
        <v>1914</v>
      </c>
      <c r="DF368" s="995">
        <v>94.683000000000007</v>
      </c>
      <c r="DG368" s="995">
        <v>101.8</v>
      </c>
      <c r="DH368" s="995">
        <v>100</v>
      </c>
      <c r="DI368" s="995">
        <v>2421.1729999999998</v>
      </c>
      <c r="DJ368" s="995">
        <v>4880526</v>
      </c>
      <c r="DK368" s="995">
        <v>111.961</v>
      </c>
      <c r="DL368" s="995">
        <v>225687.4</v>
      </c>
      <c r="DM368" s="995">
        <v>1914</v>
      </c>
      <c r="DN368" s="995">
        <v>95.561999999999998</v>
      </c>
      <c r="DO368" s="995">
        <v>84.9</v>
      </c>
      <c r="DP368" s="995">
        <v>100</v>
      </c>
      <c r="DQ368" s="995">
        <v>2347.8330000000001</v>
      </c>
      <c r="DR368" s="995">
        <v>4693172</v>
      </c>
      <c r="DS368" s="995">
        <v>108.57299999999999</v>
      </c>
      <c r="DT368" s="995">
        <v>217031.2</v>
      </c>
    </row>
    <row r="369" spans="1:124">
      <c r="A369" s="42" t="s">
        <v>94</v>
      </c>
      <c r="B369" s="42" t="s">
        <v>549</v>
      </c>
      <c r="C369" s="42" t="s">
        <v>550</v>
      </c>
      <c r="D369" s="42">
        <v>816361</v>
      </c>
      <c r="E369" s="42" t="s">
        <v>585</v>
      </c>
      <c r="F369" s="42" t="s">
        <v>149</v>
      </c>
      <c r="G369" s="42" t="s">
        <v>150</v>
      </c>
      <c r="H369" s="43" t="s">
        <v>150</v>
      </c>
      <c r="I369" s="44">
        <v>69</v>
      </c>
      <c r="J369" s="45">
        <v>258079.203199999</v>
      </c>
      <c r="K369" s="46">
        <v>20090.342541999999</v>
      </c>
      <c r="L369" s="47">
        <v>278169.545741999</v>
      </c>
      <c r="M369" s="48">
        <v>7043096</v>
      </c>
      <c r="N369" s="49">
        <v>3790711</v>
      </c>
      <c r="O369" s="49">
        <v>3246413</v>
      </c>
      <c r="P369" s="49">
        <v>5972</v>
      </c>
      <c r="Q369" s="50">
        <v>16140.189128440399</v>
      </c>
      <c r="R369" s="51">
        <v>25175.5141157486</v>
      </c>
      <c r="S369" s="49">
        <v>38258.831890765701</v>
      </c>
      <c r="T369" s="49">
        <v>8205.2627781153697</v>
      </c>
      <c r="U369" s="49">
        <f>IFERROR(INDEX('Rentabilidad datos'!$N$2:$N$61,MATCH($C369,'Rentabilidad datos'!$C$2:$C$61,0)),"")</f>
        <v>71639.608784629672</v>
      </c>
      <c r="V369" s="50">
        <f>IFERROR(INDEX('Rentabilidad datos'!$O$2:$O$61,MATCH($C369,'Rentabilidad datos'!$C$2:$C$61,0)),"")</f>
        <v>1193.9934797438279</v>
      </c>
      <c r="W369" s="51">
        <f>IFERROR(INDEX('Rentabilidad datos'!$M$2:$M$61,MATCH($C369,'Rentabilidad datos'!$C$2:$C$61,0)),"")</f>
        <v>3427.1365491869451</v>
      </c>
      <c r="X369" s="52">
        <f>IFERROR(INDEX('Rentabilidad datos'!$P$2:$P$61,MATCH($C369,'Rentabilidad datos'!$C$2:$C$61,0)),"")</f>
        <v>0.34839390336725601</v>
      </c>
      <c r="Y369" s="43" t="s">
        <v>171</v>
      </c>
      <c r="Z369" s="53">
        <v>79.754587155963307</v>
      </c>
      <c r="AA369" s="43">
        <v>2</v>
      </c>
      <c r="AB369" s="54">
        <v>0.99553406626858421</v>
      </c>
      <c r="AC369" s="55">
        <v>4.4659337314158429E-3</v>
      </c>
      <c r="AD369" s="752" t="e">
        <f>_xlfn.XLOOKUP(Table1[[#This Row],[Ruta]],#REF!,#REF!)</f>
        <v>#REF!</v>
      </c>
      <c r="AE369" s="752" t="e">
        <f>_xlfn.XLOOKUP(Table1[[#This Row],[Ruta]],#REF!,#REF!)</f>
        <v>#REF!</v>
      </c>
      <c r="AF369" s="752" t="e">
        <f>_xlfn.XLOOKUP(Table1[[#This Row],[Ruta]],#REF!,#REF!)</f>
        <v>#REF!</v>
      </c>
      <c r="AG369" s="752" t="e">
        <f>_xlfn.XLOOKUP(Table1[[#This Row],[Ruta]],#REF!,#REF!)</f>
        <v>#REF!</v>
      </c>
      <c r="AH369" s="52">
        <v>0.53821657407481027</v>
      </c>
      <c r="AI369" s="52">
        <v>0.46093550336386158</v>
      </c>
      <c r="AJ369" s="55">
        <v>8.4792256132814323E-4</v>
      </c>
      <c r="AK369" s="56">
        <v>34773</v>
      </c>
      <c r="AL369" s="44">
        <v>19701</v>
      </c>
      <c r="AM369" s="54">
        <v>0.56656026227245304</v>
      </c>
      <c r="AN369" s="55">
        <v>0.55224100357395201</v>
      </c>
      <c r="AO369" s="56">
        <v>0</v>
      </c>
      <c r="AP369" s="48">
        <v>0</v>
      </c>
      <c r="AQ369" s="55">
        <v>0.56656026227245282</v>
      </c>
      <c r="AR369" s="51">
        <v>7037122.46</v>
      </c>
      <c r="AS369" s="49">
        <v>0</v>
      </c>
      <c r="AT369" s="55">
        <v>0</v>
      </c>
      <c r="AU369" s="51">
        <v>0</v>
      </c>
      <c r="AV369" s="52">
        <v>0</v>
      </c>
      <c r="AW369" s="44">
        <v>490</v>
      </c>
      <c r="AX369" s="51">
        <v>357.196206283945</v>
      </c>
      <c r="AY369" s="49">
        <v>395.30787608246197</v>
      </c>
      <c r="AZ369" s="49">
        <v>38.111669798516971</v>
      </c>
      <c r="BA369" s="42" t="s">
        <v>150</v>
      </c>
      <c r="BB369" s="50">
        <v>263807.94830020488</v>
      </c>
      <c r="BC369" s="57">
        <v>263807.94830020488</v>
      </c>
      <c r="BD369" s="42" t="s">
        <v>150</v>
      </c>
      <c r="BE369" s="46">
        <v>79.754587155963307</v>
      </c>
      <c r="BF369" s="46">
        <v>83.628504672897193</v>
      </c>
      <c r="BG369" s="42" t="s">
        <v>152</v>
      </c>
      <c r="BH369" s="52">
        <v>0.56656026227245304</v>
      </c>
      <c r="BI369" s="52">
        <v>0.51187669456560203</v>
      </c>
      <c r="BJ369" s="42" t="s">
        <v>150</v>
      </c>
      <c r="BK369" s="46">
        <v>638.00354527981403</v>
      </c>
      <c r="BL369" s="46">
        <v>638.00354527981403</v>
      </c>
      <c r="BM369" s="42" t="s">
        <v>150</v>
      </c>
      <c r="BN369" s="48">
        <v>2</v>
      </c>
      <c r="BO369" s="42" t="s">
        <v>161</v>
      </c>
      <c r="BP369" s="42" t="s">
        <v>152</v>
      </c>
      <c r="BQ369" s="46">
        <v>0</v>
      </c>
      <c r="BR369" s="46">
        <v>54</v>
      </c>
      <c r="BS369" s="46">
        <v>4983</v>
      </c>
      <c r="BT369" s="46">
        <v>1433</v>
      </c>
      <c r="BU369" s="46">
        <v>3.4773203070481506</v>
      </c>
      <c r="BV369" s="46">
        <v>26.537037037037038</v>
      </c>
      <c r="BW369" s="46">
        <v>1433</v>
      </c>
      <c r="BX369" s="46">
        <v>0</v>
      </c>
      <c r="BY369" s="46">
        <v>1433</v>
      </c>
      <c r="BZ369" s="46">
        <v>1</v>
      </c>
      <c r="CA369" s="46">
        <v>1</v>
      </c>
      <c r="CB369" s="46">
        <v>0</v>
      </c>
      <c r="CC369" s="46">
        <v>0</v>
      </c>
      <c r="CD369" s="46">
        <v>0</v>
      </c>
      <c r="CE369" s="46">
        <v>0</v>
      </c>
      <c r="CF369" s="46">
        <v>0</v>
      </c>
      <c r="CG369" s="46">
        <v>0</v>
      </c>
      <c r="CH369" s="46">
        <v>0</v>
      </c>
      <c r="CI369" s="46">
        <v>2.4081878386514148</v>
      </c>
      <c r="CJ369" s="46">
        <v>0.40136463977523579</v>
      </c>
      <c r="CK369">
        <v>269</v>
      </c>
      <c r="CL369">
        <v>315.93</v>
      </c>
      <c r="CM369">
        <f t="shared" si="42"/>
        <v>46.930000000000007</v>
      </c>
      <c r="CN369">
        <v>7.7</v>
      </c>
      <c r="CO369">
        <v>9.4499999999999993</v>
      </c>
      <c r="CP369">
        <f t="shared" si="43"/>
        <v>1.7499999999999991</v>
      </c>
      <c r="CQ369">
        <v>846.56</v>
      </c>
      <c r="CR369">
        <v>638</v>
      </c>
      <c r="CS369">
        <f t="shared" si="44"/>
        <v>208.55999999999995</v>
      </c>
      <c r="CT369" t="s">
        <v>152</v>
      </c>
      <c r="CU369">
        <v>93.03</v>
      </c>
      <c r="CV369">
        <v>290</v>
      </c>
      <c r="CW369" s="46">
        <v>1433</v>
      </c>
      <c r="CX369" s="46">
        <f t="shared" si="38"/>
        <v>96.725052337752956</v>
      </c>
      <c r="CY369" s="46">
        <v>46.93</v>
      </c>
      <c r="CZ369" s="46">
        <f t="shared" si="39"/>
        <v>100</v>
      </c>
      <c r="DA369" s="46">
        <f t="shared" si="40"/>
        <v>588.20023920050278</v>
      </c>
      <c r="DB369" s="46">
        <v>870495.18</v>
      </c>
      <c r="DC369" s="46">
        <f t="shared" si="41"/>
        <v>23.070327650632123</v>
      </c>
      <c r="DD369" s="46">
        <v>34142.47</v>
      </c>
      <c r="DE369" s="995">
        <v>1433</v>
      </c>
      <c r="DF369" s="995">
        <v>96.561999999999998</v>
      </c>
      <c r="DG369" s="995">
        <v>49.3</v>
      </c>
      <c r="DH369" s="995">
        <v>100</v>
      </c>
      <c r="DI369" s="995">
        <v>3698.9560000000001</v>
      </c>
      <c r="DJ369" s="995">
        <v>5482832</v>
      </c>
      <c r="DK369" s="995">
        <v>146.27099999999999</v>
      </c>
      <c r="DL369" s="995">
        <v>216812</v>
      </c>
      <c r="DM369" s="995">
        <v>1433</v>
      </c>
      <c r="DN369" s="995">
        <v>97.168999999999997</v>
      </c>
      <c r="DO369" s="995">
        <v>40.6</v>
      </c>
      <c r="DP369" s="995">
        <v>100</v>
      </c>
      <c r="DQ369" s="995">
        <v>3642.5360000000001</v>
      </c>
      <c r="DR369" s="995">
        <v>5367535</v>
      </c>
      <c r="DS369" s="995">
        <v>144.09899999999999</v>
      </c>
      <c r="DT369" s="995">
        <v>212340.7</v>
      </c>
    </row>
    <row r="370" spans="1:124">
      <c r="A370" s="42" t="s">
        <v>94</v>
      </c>
      <c r="B370" s="42" t="s">
        <v>549</v>
      </c>
      <c r="C370" s="42" t="s">
        <v>550</v>
      </c>
      <c r="D370" s="42">
        <v>816362</v>
      </c>
      <c r="E370" s="42" t="s">
        <v>586</v>
      </c>
      <c r="F370" s="42" t="s">
        <v>149</v>
      </c>
      <c r="G370" s="42" t="s">
        <v>150</v>
      </c>
      <c r="H370" s="43" t="s">
        <v>150</v>
      </c>
      <c r="I370" s="44">
        <v>69</v>
      </c>
      <c r="J370" s="45">
        <v>162249.38760799999</v>
      </c>
      <c r="K370" s="46">
        <v>8005.1194210000003</v>
      </c>
      <c r="L370" s="47">
        <v>170254.507029</v>
      </c>
      <c r="M370" s="48">
        <v>3655600</v>
      </c>
      <c r="N370" s="49">
        <v>2366788</v>
      </c>
      <c r="O370" s="49">
        <v>1288318</v>
      </c>
      <c r="P370" s="49">
        <v>494</v>
      </c>
      <c r="Q370" s="50">
        <v>8480.5203480278396</v>
      </c>
      <c r="R370" s="51">
        <v>25175.5141157486</v>
      </c>
      <c r="S370" s="49">
        <v>38258.831890765701</v>
      </c>
      <c r="T370" s="49">
        <v>8205.2627781153697</v>
      </c>
      <c r="U370" s="49">
        <f>IFERROR(INDEX('Rentabilidad datos'!$N$2:$N$61,MATCH($C370,'Rentabilidad datos'!$C$2:$C$61,0)),"")</f>
        <v>71639.608784629672</v>
      </c>
      <c r="V370" s="50">
        <f>IFERROR(INDEX('Rentabilidad datos'!$O$2:$O$61,MATCH($C370,'Rentabilidad datos'!$C$2:$C$61,0)),"")</f>
        <v>1193.9934797438279</v>
      </c>
      <c r="W370" s="51">
        <f>IFERROR(INDEX('Rentabilidad datos'!$M$2:$M$61,MATCH($C370,'Rentabilidad datos'!$C$2:$C$61,0)),"")</f>
        <v>3427.1365491869451</v>
      </c>
      <c r="X370" s="52">
        <f>IFERROR(INDEX('Rentabilidad datos'!$P$2:$P$61,MATCH($C370,'Rentabilidad datos'!$C$2:$C$61,0)),"")</f>
        <v>0.34839390336725601</v>
      </c>
      <c r="Y370" s="43" t="s">
        <v>171</v>
      </c>
      <c r="Z370" s="53">
        <v>58.853828306264496</v>
      </c>
      <c r="AA370" s="43">
        <v>2</v>
      </c>
      <c r="AB370" s="54">
        <v>0.95928082941240833</v>
      </c>
      <c r="AC370" s="55">
        <v>4.0719170587591641E-2</v>
      </c>
      <c r="AD370" s="752" t="e">
        <f>_xlfn.XLOOKUP(Table1[[#This Row],[Ruta]],#REF!,#REF!)</f>
        <v>#REF!</v>
      </c>
      <c r="AE370" s="752" t="e">
        <f>_xlfn.XLOOKUP(Table1[[#This Row],[Ruta]],#REF!,#REF!)</f>
        <v>#REF!</v>
      </c>
      <c r="AF370" s="752" t="e">
        <f>_xlfn.XLOOKUP(Table1[[#This Row],[Ruta]],#REF!,#REF!)</f>
        <v>#REF!</v>
      </c>
      <c r="AG370" s="752" t="e">
        <f>_xlfn.XLOOKUP(Table1[[#This Row],[Ruta]],#REF!,#REF!)</f>
        <v>#REF!</v>
      </c>
      <c r="AH370" s="52">
        <v>0.64744173323120691</v>
      </c>
      <c r="AI370" s="52">
        <v>0.35242313163365796</v>
      </c>
      <c r="AJ370" s="55">
        <v>1.3513513513513514E-4</v>
      </c>
      <c r="AK370" s="56">
        <v>25366</v>
      </c>
      <c r="AL370" s="44">
        <v>12654</v>
      </c>
      <c r="AM370" s="54">
        <v>0.49885673736497699</v>
      </c>
      <c r="AN370" s="55">
        <v>0.55224100357395201</v>
      </c>
      <c r="AO370" s="56">
        <v>1354.14529665686</v>
      </c>
      <c r="AP370" s="48">
        <v>677.07264832842998</v>
      </c>
      <c r="AQ370" s="55">
        <v>0.5255488704694643</v>
      </c>
      <c r="AR370" s="51">
        <v>3655104.27</v>
      </c>
      <c r="AS370" s="49">
        <v>195572.24024067051</v>
      </c>
      <c r="AT370" s="55">
        <v>5.3506610425828015E-2</v>
      </c>
      <c r="AU370" s="51">
        <v>137429.1417907415</v>
      </c>
      <c r="AV370" s="52">
        <v>6.2517817128549338E-4</v>
      </c>
      <c r="AW370" s="44">
        <v>361</v>
      </c>
      <c r="AX370" s="51">
        <v>288.84971313418703</v>
      </c>
      <c r="AY370" s="49">
        <v>395.30787608246197</v>
      </c>
      <c r="AZ370" s="49">
        <v>106.45816294827495</v>
      </c>
      <c r="BA370" s="42" t="s">
        <v>150</v>
      </c>
      <c r="BB370" s="50">
        <v>473312.99246803054</v>
      </c>
      <c r="BC370" s="57">
        <v>610742.13425877201</v>
      </c>
      <c r="BD370" s="42" t="s">
        <v>150</v>
      </c>
      <c r="BE370" s="46">
        <v>58.853828306264496</v>
      </c>
      <c r="BF370" s="46">
        <v>83.628504672897193</v>
      </c>
      <c r="BG370" s="42" t="s">
        <v>152</v>
      </c>
      <c r="BH370" s="52">
        <v>0.49885673736497699</v>
      </c>
      <c r="BI370" s="52">
        <v>0.51187669456560203</v>
      </c>
      <c r="BJ370" s="42" t="s">
        <v>152</v>
      </c>
      <c r="BK370" s="46">
        <v>395.02205807192598</v>
      </c>
      <c r="BL370" s="46">
        <v>638.00354527981403</v>
      </c>
      <c r="BM370" s="42" t="s">
        <v>152</v>
      </c>
      <c r="BN370" s="48">
        <v>0</v>
      </c>
      <c r="BO370" s="42" t="s">
        <v>155</v>
      </c>
      <c r="BP370" s="42" t="s">
        <v>152</v>
      </c>
      <c r="BQ370" s="46">
        <v>2079.91306062494</v>
      </c>
      <c r="BR370" s="46">
        <v>22</v>
      </c>
      <c r="BS370" s="46">
        <v>4902</v>
      </c>
      <c r="BT370" s="46">
        <v>1717</v>
      </c>
      <c r="BU370" s="46">
        <v>2.8549796156086198</v>
      </c>
      <c r="BV370" s="46">
        <v>78.045454545454547</v>
      </c>
      <c r="BW370" s="46">
        <v>1139</v>
      </c>
      <c r="BX370" s="46">
        <v>578</v>
      </c>
      <c r="BY370" s="46">
        <v>1717</v>
      </c>
      <c r="BZ370" s="46">
        <v>1</v>
      </c>
      <c r="CA370" s="46">
        <v>0.6633663366336634</v>
      </c>
      <c r="CB370" s="46">
        <v>0.33663366336633671</v>
      </c>
      <c r="CC370" s="46">
        <v>0</v>
      </c>
      <c r="CD370" s="46">
        <v>0</v>
      </c>
      <c r="CE370" s="46">
        <v>0</v>
      </c>
      <c r="CF370" s="46">
        <v>0</v>
      </c>
      <c r="CG370" s="46">
        <v>0</v>
      </c>
      <c r="CH370" s="46">
        <v>0</v>
      </c>
      <c r="CI370" s="46">
        <v>1.4279885760913911</v>
      </c>
      <c r="CJ370" s="46">
        <v>1.019991840065279</v>
      </c>
      <c r="CK370">
        <v>253</v>
      </c>
      <c r="CL370">
        <v>322.22000000000003</v>
      </c>
      <c r="CM370">
        <f t="shared" si="42"/>
        <v>69.220000000000027</v>
      </c>
      <c r="CN370">
        <v>6</v>
      </c>
      <c r="CO370">
        <v>9.4499999999999993</v>
      </c>
      <c r="CP370">
        <f t="shared" si="43"/>
        <v>3.4499999999999993</v>
      </c>
      <c r="CQ370">
        <v>564.37</v>
      </c>
      <c r="CR370">
        <v>395.02</v>
      </c>
      <c r="CS370">
        <f t="shared" si="44"/>
        <v>169.35000000000002</v>
      </c>
      <c r="CT370" t="s">
        <v>152</v>
      </c>
      <c r="CU370">
        <v>70.239999999999995</v>
      </c>
      <c r="CV370">
        <v>269</v>
      </c>
      <c r="CW370" s="46">
        <v>1717</v>
      </c>
      <c r="CX370" s="46">
        <f t="shared" si="38"/>
        <v>95.968549796156083</v>
      </c>
      <c r="CY370" s="46">
        <v>69.22</v>
      </c>
      <c r="CZ370" s="46">
        <f t="shared" si="39"/>
        <v>100</v>
      </c>
      <c r="DA370" s="46">
        <f t="shared" si="40"/>
        <v>1144.9602456584294</v>
      </c>
      <c r="DB370" s="46">
        <v>2045150.89</v>
      </c>
      <c r="DC370" s="46">
        <f t="shared" si="41"/>
        <v>51.342578181858897</v>
      </c>
      <c r="DD370" s="46">
        <v>91709.14</v>
      </c>
      <c r="DE370" s="995">
        <v>1717</v>
      </c>
      <c r="DF370" s="995">
        <v>96.156999999999996</v>
      </c>
      <c r="DG370" s="995">
        <v>66</v>
      </c>
      <c r="DH370" s="995">
        <v>100</v>
      </c>
      <c r="DI370" s="995">
        <v>2569.5100000000002</v>
      </c>
      <c r="DJ370" s="995">
        <v>4581399</v>
      </c>
      <c r="DK370" s="995">
        <v>114.83199999999999</v>
      </c>
      <c r="DL370" s="995">
        <v>204744.3</v>
      </c>
      <c r="DM370" s="995">
        <v>1717</v>
      </c>
      <c r="DN370" s="995">
        <v>96.721999999999994</v>
      </c>
      <c r="DO370" s="995">
        <v>56.3</v>
      </c>
      <c r="DP370" s="995">
        <v>100</v>
      </c>
      <c r="DQ370" s="995">
        <v>2519.6619999999998</v>
      </c>
      <c r="DR370" s="995">
        <v>4468059</v>
      </c>
      <c r="DS370" s="995">
        <v>112.645</v>
      </c>
      <c r="DT370" s="995">
        <v>199751.1</v>
      </c>
    </row>
    <row r="371" spans="1:124">
      <c r="A371" s="42" t="s">
        <v>94</v>
      </c>
      <c r="B371" s="42" t="s">
        <v>549</v>
      </c>
      <c r="C371" s="42" t="s">
        <v>550</v>
      </c>
      <c r="D371" s="42">
        <v>816363</v>
      </c>
      <c r="E371" s="42" t="s">
        <v>587</v>
      </c>
      <c r="F371" s="42" t="s">
        <v>149</v>
      </c>
      <c r="G371" s="42" t="s">
        <v>150</v>
      </c>
      <c r="H371" s="43" t="s">
        <v>150</v>
      </c>
      <c r="I371" s="44">
        <v>69</v>
      </c>
      <c r="J371" s="45">
        <v>210061.84639999899</v>
      </c>
      <c r="K371" s="46">
        <v>11647.567609</v>
      </c>
      <c r="L371" s="47">
        <v>221709.41400899901</v>
      </c>
      <c r="M371" s="48">
        <v>4831391</v>
      </c>
      <c r="N371" s="49">
        <v>3074751</v>
      </c>
      <c r="O371" s="49">
        <v>1753565</v>
      </c>
      <c r="P371" s="49">
        <v>3075</v>
      </c>
      <c r="Q371" s="50">
        <v>11344.276</v>
      </c>
      <c r="R371" s="51">
        <v>25175.5141157486</v>
      </c>
      <c r="S371" s="49">
        <v>38258.831890765701</v>
      </c>
      <c r="T371" s="49">
        <v>8205.2627781153697</v>
      </c>
      <c r="U371" s="49">
        <f>IFERROR(INDEX('Rentabilidad datos'!$N$2:$N$61,MATCH($C371,'Rentabilidad datos'!$C$2:$C$61,0)),"")</f>
        <v>71639.608784629672</v>
      </c>
      <c r="V371" s="50">
        <f>IFERROR(INDEX('Rentabilidad datos'!$O$2:$O$61,MATCH($C371,'Rentabilidad datos'!$C$2:$C$61,0)),"")</f>
        <v>1193.9934797438279</v>
      </c>
      <c r="W371" s="51">
        <f>IFERROR(INDEX('Rentabilidad datos'!$M$2:$M$61,MATCH($C371,'Rentabilidad datos'!$C$2:$C$61,0)),"")</f>
        <v>3427.1365491869451</v>
      </c>
      <c r="X371" s="52">
        <f>IFERROR(INDEX('Rentabilidad datos'!$P$2:$P$61,MATCH($C371,'Rentabilidad datos'!$C$2:$C$61,0)),"")</f>
        <v>0.34839390336725601</v>
      </c>
      <c r="Y371" s="43" t="s">
        <v>171</v>
      </c>
      <c r="Z371" s="53">
        <v>59.188235294117703</v>
      </c>
      <c r="AA371" s="43">
        <v>2</v>
      </c>
      <c r="AB371" s="54">
        <v>0.97166530301521858</v>
      </c>
      <c r="AC371" s="55">
        <v>2.8334696984781402E-2</v>
      </c>
      <c r="AD371" s="752" t="e">
        <f>_xlfn.XLOOKUP(Table1[[#This Row],[Ruta]],#REF!,#REF!)</f>
        <v>#REF!</v>
      </c>
      <c r="AE371" s="752" t="e">
        <f>_xlfn.XLOOKUP(Table1[[#This Row],[Ruta]],#REF!,#REF!)</f>
        <v>#REF!</v>
      </c>
      <c r="AF371" s="752" t="e">
        <f>_xlfn.XLOOKUP(Table1[[#This Row],[Ruta]],#REF!,#REF!)</f>
        <v>#REF!</v>
      </c>
      <c r="AG371" s="752" t="e">
        <f>_xlfn.XLOOKUP(Table1[[#This Row],[Ruta]],#REF!,#REF!)</f>
        <v>#REF!</v>
      </c>
      <c r="AH371" s="52">
        <v>0.63641112880327844</v>
      </c>
      <c r="AI371" s="52">
        <v>0.3629524085299658</v>
      </c>
      <c r="AJ371" s="55">
        <v>6.3646266675580591E-4</v>
      </c>
      <c r="AK371" s="56">
        <v>25155</v>
      </c>
      <c r="AL371" s="44">
        <v>15594</v>
      </c>
      <c r="AM371" s="54">
        <v>0.61991651759093602</v>
      </c>
      <c r="AN371" s="55">
        <v>0.55224100357395201</v>
      </c>
      <c r="AO371" s="56">
        <v>0</v>
      </c>
      <c r="AP371" s="48">
        <v>0</v>
      </c>
      <c r="AQ371" s="55">
        <v>0.61991651759093624</v>
      </c>
      <c r="AR371" s="51">
        <v>4821317.3</v>
      </c>
      <c r="AS371" s="49">
        <v>0</v>
      </c>
      <c r="AT371" s="55">
        <v>0</v>
      </c>
      <c r="AU371" s="51">
        <v>0</v>
      </c>
      <c r="AV371" s="52">
        <v>0</v>
      </c>
      <c r="AW371" s="44">
        <v>490</v>
      </c>
      <c r="AX371" s="51">
        <v>309.17771578812398</v>
      </c>
      <c r="AY371" s="49">
        <v>395.30787608246197</v>
      </c>
      <c r="AZ371" s="49">
        <v>86.130160294337998</v>
      </c>
      <c r="BA371" s="42" t="s">
        <v>150</v>
      </c>
      <c r="BB371" s="50">
        <v>471904.82041050796</v>
      </c>
      <c r="BC371" s="57">
        <v>471904.82041050796</v>
      </c>
      <c r="BD371" s="42" t="s">
        <v>150</v>
      </c>
      <c r="BE371" s="46">
        <v>59.188235294117703</v>
      </c>
      <c r="BF371" s="46">
        <v>83.628504672897193</v>
      </c>
      <c r="BG371" s="42" t="s">
        <v>152</v>
      </c>
      <c r="BH371" s="52">
        <v>0.61991651759093602</v>
      </c>
      <c r="BI371" s="52">
        <v>0.51187669456560203</v>
      </c>
      <c r="BJ371" s="42" t="s">
        <v>150</v>
      </c>
      <c r="BK371" s="46">
        <v>521.66920943293997</v>
      </c>
      <c r="BL371" s="46">
        <v>638.00354527981403</v>
      </c>
      <c r="BM371" s="42" t="s">
        <v>152</v>
      </c>
      <c r="BN371" s="48">
        <v>1</v>
      </c>
      <c r="BO371" s="42" t="s">
        <v>155</v>
      </c>
      <c r="BP371" s="42" t="s">
        <v>152</v>
      </c>
      <c r="BQ371" s="46">
        <v>735.17263690894799</v>
      </c>
      <c r="BR371" s="46">
        <v>47</v>
      </c>
      <c r="BS371" s="46">
        <v>3219</v>
      </c>
      <c r="BT371" s="46">
        <v>1166</v>
      </c>
      <c r="BU371" s="46">
        <v>2.760720411663808</v>
      </c>
      <c r="BV371" s="46">
        <v>24.808510638297872</v>
      </c>
      <c r="BW371" s="46">
        <v>1166</v>
      </c>
      <c r="BX371" s="46">
        <v>0</v>
      </c>
      <c r="BY371" s="46">
        <v>1166</v>
      </c>
      <c r="BZ371" s="46">
        <v>1</v>
      </c>
      <c r="CA371" s="46">
        <v>1</v>
      </c>
      <c r="CB371" s="46">
        <v>0</v>
      </c>
      <c r="CC371" s="46">
        <v>0</v>
      </c>
      <c r="CD371" s="46">
        <v>0</v>
      </c>
      <c r="CE371" s="46">
        <v>0</v>
      </c>
      <c r="CF371" s="46">
        <v>0</v>
      </c>
      <c r="CG371" s="46">
        <v>0</v>
      </c>
      <c r="CH371" s="46">
        <v>0</v>
      </c>
      <c r="CI371" s="46">
        <v>1.5532774153463811</v>
      </c>
      <c r="CJ371" s="46">
        <v>0.31065548306927621</v>
      </c>
      <c r="CK371">
        <v>205</v>
      </c>
      <c r="CL371">
        <v>226.76</v>
      </c>
      <c r="CM371">
        <f t="shared" si="42"/>
        <v>21.759999999999991</v>
      </c>
      <c r="CN371">
        <v>4.72</v>
      </c>
      <c r="CO371">
        <v>9.4499999999999993</v>
      </c>
      <c r="CP371">
        <f t="shared" si="43"/>
        <v>4.7299999999999995</v>
      </c>
      <c r="CQ371">
        <v>564.37</v>
      </c>
      <c r="CR371">
        <v>521.66999999999996</v>
      </c>
      <c r="CS371">
        <f t="shared" si="44"/>
        <v>42.700000000000045</v>
      </c>
      <c r="CT371" t="s">
        <v>152</v>
      </c>
      <c r="CU371">
        <v>92.43</v>
      </c>
      <c r="CV371">
        <v>198</v>
      </c>
      <c r="CW371" s="46">
        <v>1166</v>
      </c>
      <c r="CX371" s="46">
        <f t="shared" si="38"/>
        <v>98.133790737564325</v>
      </c>
      <c r="CY371" s="46">
        <v>21.76</v>
      </c>
      <c r="CZ371" s="46">
        <f t="shared" si="39"/>
        <v>100</v>
      </c>
      <c r="DA371" s="46">
        <f t="shared" si="40"/>
        <v>679.3196436990637</v>
      </c>
      <c r="DB371" s="46">
        <v>806868.7</v>
      </c>
      <c r="DC371" s="46">
        <f t="shared" si="41"/>
        <v>31.546617161716171</v>
      </c>
      <c r="DD371" s="46">
        <v>37469.81</v>
      </c>
      <c r="DE371" s="995">
        <v>1166</v>
      </c>
      <c r="DF371" s="995">
        <v>98.195999999999998</v>
      </c>
      <c r="DG371" s="995">
        <v>21</v>
      </c>
      <c r="DH371" s="995">
        <v>100</v>
      </c>
      <c r="DI371" s="995">
        <v>2499.0450000000001</v>
      </c>
      <c r="DJ371" s="995">
        <v>2966442</v>
      </c>
      <c r="DK371" s="995">
        <v>115.027</v>
      </c>
      <c r="DL371" s="995">
        <v>136540.5</v>
      </c>
      <c r="DM371" s="995">
        <v>1166</v>
      </c>
      <c r="DN371" s="995">
        <v>98.382999999999996</v>
      </c>
      <c r="DO371" s="995">
        <v>18.8</v>
      </c>
      <c r="DP371" s="995">
        <v>100</v>
      </c>
      <c r="DQ371" s="995">
        <v>2483.1959999999999</v>
      </c>
      <c r="DR371" s="995">
        <v>2942214</v>
      </c>
      <c r="DS371" s="995">
        <v>114.292</v>
      </c>
      <c r="DT371" s="995">
        <v>135419.20000000001</v>
      </c>
    </row>
    <row r="372" spans="1:124">
      <c r="A372" s="42" t="s">
        <v>94</v>
      </c>
      <c r="B372" s="42" t="s">
        <v>549</v>
      </c>
      <c r="C372" s="42" t="s">
        <v>550</v>
      </c>
      <c r="D372" s="42">
        <v>816364</v>
      </c>
      <c r="E372" s="42" t="s">
        <v>588</v>
      </c>
      <c r="F372" s="42" t="s">
        <v>149</v>
      </c>
      <c r="G372" s="42" t="s">
        <v>150</v>
      </c>
      <c r="H372" s="43" t="s">
        <v>150</v>
      </c>
      <c r="I372" s="44">
        <v>69</v>
      </c>
      <c r="J372" s="45">
        <v>199089.5704</v>
      </c>
      <c r="K372" s="46">
        <v>12230.890469</v>
      </c>
      <c r="L372" s="47">
        <v>211320.460869</v>
      </c>
      <c r="M372" s="48">
        <v>4648063</v>
      </c>
      <c r="N372" s="49">
        <v>2924191</v>
      </c>
      <c r="O372" s="49">
        <v>1721270</v>
      </c>
      <c r="P372" s="49">
        <v>2602</v>
      </c>
      <c r="Q372" s="50">
        <v>10654.722568807299</v>
      </c>
      <c r="R372" s="51">
        <v>25175.5141157486</v>
      </c>
      <c r="S372" s="49">
        <v>38258.831890765701</v>
      </c>
      <c r="T372" s="49">
        <v>8205.2627781153697</v>
      </c>
      <c r="U372" s="49">
        <f>IFERROR(INDEX('Rentabilidad datos'!$N$2:$N$61,MATCH($C372,'Rentabilidad datos'!$C$2:$C$61,0)),"")</f>
        <v>71639.608784629672</v>
      </c>
      <c r="V372" s="50">
        <f>IFERROR(INDEX('Rentabilidad datos'!$O$2:$O$61,MATCH($C372,'Rentabilidad datos'!$C$2:$C$61,0)),"")</f>
        <v>1193.9934797438279</v>
      </c>
      <c r="W372" s="51">
        <f>IFERROR(INDEX('Rentabilidad datos'!$M$2:$M$61,MATCH($C372,'Rentabilidad datos'!$C$2:$C$61,0)),"")</f>
        <v>3427.1365491869451</v>
      </c>
      <c r="X372" s="52">
        <f>IFERROR(INDEX('Rentabilidad datos'!$P$2:$P$61,MATCH($C372,'Rentabilidad datos'!$C$2:$C$61,0)),"")</f>
        <v>0.34839390336725601</v>
      </c>
      <c r="Y372" s="43" t="s">
        <v>171</v>
      </c>
      <c r="Z372" s="53">
        <v>71.002293577981703</v>
      </c>
      <c r="AA372" s="43">
        <v>2</v>
      </c>
      <c r="AB372" s="54">
        <v>0.98238427491193647</v>
      </c>
      <c r="AC372" s="55">
        <v>1.7615725088063566E-2</v>
      </c>
      <c r="AD372" s="752" t="e">
        <f>_xlfn.XLOOKUP(Table1[[#This Row],[Ruta]],#REF!,#REF!)</f>
        <v>#REF!</v>
      </c>
      <c r="AE372" s="752" t="e">
        <f>_xlfn.XLOOKUP(Table1[[#This Row],[Ruta]],#REF!,#REF!)</f>
        <v>#REF!</v>
      </c>
      <c r="AF372" s="752" t="e">
        <f>_xlfn.XLOOKUP(Table1[[#This Row],[Ruta]],#REF!,#REF!)</f>
        <v>#REF!</v>
      </c>
      <c r="AG372" s="752" t="e">
        <f>_xlfn.XLOOKUP(Table1[[#This Row],[Ruta]],#REF!,#REF!)</f>
        <v>#REF!</v>
      </c>
      <c r="AH372" s="52">
        <v>0.62912034539979345</v>
      </c>
      <c r="AI372" s="52">
        <v>0.37031985151664254</v>
      </c>
      <c r="AJ372" s="55">
        <v>5.5980308356405671E-4</v>
      </c>
      <c r="AK372" s="56">
        <v>30957</v>
      </c>
      <c r="AL372" s="44">
        <v>14376</v>
      </c>
      <c r="AM372" s="54">
        <v>0.46438608392286101</v>
      </c>
      <c r="AN372" s="55">
        <v>0.55224100357395201</v>
      </c>
      <c r="AO372" s="56">
        <v>2719.7247476388202</v>
      </c>
      <c r="AP372" s="48">
        <v>1359.8623738194101</v>
      </c>
      <c r="AQ372" s="55">
        <v>0.5083135437484062</v>
      </c>
      <c r="AR372" s="51">
        <v>4645459.04</v>
      </c>
      <c r="AS372" s="49">
        <v>439425.77612793748</v>
      </c>
      <c r="AT372" s="55">
        <v>9.4592541306302735E-2</v>
      </c>
      <c r="AU372" s="51">
        <v>308785.68052233459</v>
      </c>
      <c r="AV372" s="52">
        <v>1.4046952818932987E-3</v>
      </c>
      <c r="AW372" s="44">
        <v>235</v>
      </c>
      <c r="AX372" s="51">
        <v>323.13988870339398</v>
      </c>
      <c r="AY372" s="49">
        <v>395.30787608246197</v>
      </c>
      <c r="AZ372" s="49">
        <v>72.167987379067995</v>
      </c>
      <c r="BA372" s="42" t="s">
        <v>150</v>
      </c>
      <c r="BB372" s="50">
        <v>364522.45473781799</v>
      </c>
      <c r="BC372" s="57">
        <v>673308.13526015263</v>
      </c>
      <c r="BD372" s="42" t="s">
        <v>150</v>
      </c>
      <c r="BE372" s="46">
        <v>71.002293577981703</v>
      </c>
      <c r="BF372" s="46">
        <v>83.628504672897193</v>
      </c>
      <c r="BG372" s="42" t="s">
        <v>152</v>
      </c>
      <c r="BH372" s="52">
        <v>0.46438608392286101</v>
      </c>
      <c r="BI372" s="52">
        <v>0.51187669456560203</v>
      </c>
      <c r="BJ372" s="42" t="s">
        <v>152</v>
      </c>
      <c r="BK372" s="46">
        <v>484.67995612155897</v>
      </c>
      <c r="BL372" s="46">
        <v>638.00354527981403</v>
      </c>
      <c r="BM372" s="42" t="s">
        <v>152</v>
      </c>
      <c r="BN372" s="48">
        <v>0</v>
      </c>
      <c r="BO372" s="42" t="s">
        <v>155</v>
      </c>
      <c r="BP372" s="42" t="s">
        <v>152</v>
      </c>
      <c r="BQ372" s="46">
        <v>4061.7102300953102</v>
      </c>
      <c r="BR372" s="46">
        <v>44</v>
      </c>
      <c r="BS372" s="46">
        <v>4624</v>
      </c>
      <c r="BT372" s="46">
        <v>1785</v>
      </c>
      <c r="BU372" s="46">
        <v>2.5904761904761906</v>
      </c>
      <c r="BV372" s="46">
        <v>40.56818181818182</v>
      </c>
      <c r="BW372" s="46">
        <v>588</v>
      </c>
      <c r="BX372" s="46">
        <v>1197</v>
      </c>
      <c r="BY372" s="46">
        <v>1785</v>
      </c>
      <c r="BZ372" s="46">
        <v>1</v>
      </c>
      <c r="CA372" s="46">
        <v>0.32941176470588229</v>
      </c>
      <c r="CB372" s="46">
        <v>0.6705882352941176</v>
      </c>
      <c r="CC372" s="46">
        <v>0</v>
      </c>
      <c r="CD372" s="46">
        <v>0</v>
      </c>
      <c r="CE372" s="46">
        <v>0</v>
      </c>
      <c r="CF372" s="46">
        <v>0</v>
      </c>
      <c r="CG372" s="46">
        <v>0</v>
      </c>
      <c r="CH372" s="46">
        <v>0</v>
      </c>
      <c r="CI372" s="46">
        <v>0.86505190311418689</v>
      </c>
      <c r="CJ372" s="46">
        <v>0.43252595155709339</v>
      </c>
      <c r="CK372">
        <v>261</v>
      </c>
      <c r="CL372">
        <v>349.33</v>
      </c>
      <c r="CM372">
        <f t="shared" si="42"/>
        <v>88.329999999999984</v>
      </c>
      <c r="CN372">
        <v>7.28</v>
      </c>
      <c r="CO372">
        <v>9.4499999999999993</v>
      </c>
      <c r="CP372">
        <f t="shared" si="43"/>
        <v>2.169999999999999</v>
      </c>
      <c r="CQ372">
        <v>846.56</v>
      </c>
      <c r="CR372">
        <v>484.68</v>
      </c>
      <c r="CS372">
        <f t="shared" si="44"/>
        <v>361.87999999999994</v>
      </c>
      <c r="CT372" t="s">
        <v>152</v>
      </c>
      <c r="CU372">
        <v>80.97</v>
      </c>
      <c r="CV372">
        <v>286</v>
      </c>
      <c r="CW372" s="46">
        <v>1785</v>
      </c>
      <c r="CX372" s="46">
        <f t="shared" si="38"/>
        <v>95.051540616246498</v>
      </c>
      <c r="CY372" s="46">
        <v>88.33</v>
      </c>
      <c r="CZ372" s="46">
        <f t="shared" si="39"/>
        <v>100</v>
      </c>
      <c r="DA372" s="46">
        <f t="shared" si="40"/>
        <v>833.03975807786139</v>
      </c>
      <c r="DB372" s="46">
        <v>1560558.37</v>
      </c>
      <c r="DC372" s="46">
        <f t="shared" si="41"/>
        <v>36.881537155760064</v>
      </c>
      <c r="DD372" s="46">
        <v>69091.289999999994</v>
      </c>
      <c r="DE372" s="995">
        <v>1785</v>
      </c>
      <c r="DF372" s="995">
        <v>94.951999999999998</v>
      </c>
      <c r="DG372" s="995">
        <v>90.1</v>
      </c>
      <c r="DH372" s="995">
        <v>100</v>
      </c>
      <c r="DI372" s="995">
        <v>2737.047</v>
      </c>
      <c r="DJ372" s="995">
        <v>5132266</v>
      </c>
      <c r="DK372" s="995">
        <v>122.315</v>
      </c>
      <c r="DL372" s="995">
        <v>229355</v>
      </c>
      <c r="DM372" s="995">
        <v>1785</v>
      </c>
      <c r="DN372" s="995">
        <v>95.843000000000004</v>
      </c>
      <c r="DO372" s="995">
        <v>74.2</v>
      </c>
      <c r="DP372" s="995">
        <v>100</v>
      </c>
      <c r="DQ372" s="995">
        <v>2660.567</v>
      </c>
      <c r="DR372" s="995">
        <v>4946550</v>
      </c>
      <c r="DS372" s="995">
        <v>118.96299999999999</v>
      </c>
      <c r="DT372" s="995">
        <v>221176.6</v>
      </c>
    </row>
    <row r="373" spans="1:124">
      <c r="A373" s="42" t="s">
        <v>94</v>
      </c>
      <c r="B373" s="42" t="s">
        <v>549</v>
      </c>
      <c r="C373" s="42" t="s">
        <v>550</v>
      </c>
      <c r="D373" s="42">
        <v>816365</v>
      </c>
      <c r="E373" s="42" t="s">
        <v>589</v>
      </c>
      <c r="F373" s="42" t="s">
        <v>149</v>
      </c>
      <c r="G373" s="42" t="s">
        <v>150</v>
      </c>
      <c r="H373" s="43" t="s">
        <v>150</v>
      </c>
      <c r="I373" s="44">
        <v>69</v>
      </c>
      <c r="J373" s="45">
        <v>5942.2888000000003</v>
      </c>
      <c r="K373" s="46">
        <v>558.12132499999996</v>
      </c>
      <c r="L373" s="47">
        <v>6500.4101250000003</v>
      </c>
      <c r="M373" s="48">
        <v>168263</v>
      </c>
      <c r="N373" s="49">
        <v>85850</v>
      </c>
      <c r="O373" s="49">
        <v>82303</v>
      </c>
      <c r="P373" s="49">
        <v>110</v>
      </c>
      <c r="Q373" s="50">
        <v>509.54515151515199</v>
      </c>
      <c r="R373" s="51">
        <v>25175.5141157486</v>
      </c>
      <c r="S373" s="49">
        <v>38258.831890765701</v>
      </c>
      <c r="T373" s="49">
        <v>8205.2627781153697</v>
      </c>
      <c r="U373" s="49">
        <f>IFERROR(INDEX('Rentabilidad datos'!$N$2:$N$61,MATCH($C373,'Rentabilidad datos'!$C$2:$C$61,0)),"")</f>
        <v>71639.608784629672</v>
      </c>
      <c r="V373" s="50">
        <f>IFERROR(INDEX('Rentabilidad datos'!$O$2:$O$61,MATCH($C373,'Rentabilidad datos'!$C$2:$C$61,0)),"")</f>
        <v>1193.9934797438279</v>
      </c>
      <c r="W373" s="51">
        <f>IFERROR(INDEX('Rentabilidad datos'!$M$2:$M$61,MATCH($C373,'Rentabilidad datos'!$C$2:$C$61,0)),"")</f>
        <v>3427.1365491869451</v>
      </c>
      <c r="X373" s="52">
        <f>IFERROR(INDEX('Rentabilidad datos'!$P$2:$P$61,MATCH($C373,'Rentabilidad datos'!$C$2:$C$61,0)),"")</f>
        <v>0.34839390336725601</v>
      </c>
      <c r="Y373" s="43" t="s">
        <v>171</v>
      </c>
      <c r="Z373" s="53">
        <v>67.022364217252402</v>
      </c>
      <c r="AA373" s="43">
        <v>2</v>
      </c>
      <c r="AB373" s="54">
        <v>0.72525154074276577</v>
      </c>
      <c r="AC373" s="55">
        <v>0.27474845925723423</v>
      </c>
      <c r="AD373" s="752" t="e">
        <f>_xlfn.XLOOKUP(Table1[[#This Row],[Ruta]],#REF!,#REF!)</f>
        <v>#REF!</v>
      </c>
      <c r="AE373" s="752" t="e">
        <f>_xlfn.XLOOKUP(Table1[[#This Row],[Ruta]],#REF!,#REF!)</f>
        <v>#REF!</v>
      </c>
      <c r="AF373" s="752" t="e">
        <f>_xlfn.XLOOKUP(Table1[[#This Row],[Ruta]],#REF!,#REF!)</f>
        <v>#REF!</v>
      </c>
      <c r="AG373" s="752" t="e">
        <f>_xlfn.XLOOKUP(Table1[[#This Row],[Ruta]],#REF!,#REF!)</f>
        <v>#REF!</v>
      </c>
      <c r="AH373" s="52">
        <v>0.51021317817939771</v>
      </c>
      <c r="AI373" s="52">
        <v>0.48913308332788552</v>
      </c>
      <c r="AJ373" s="55">
        <v>6.5373849271675884E-4</v>
      </c>
      <c r="AK373" s="56">
        <v>20978</v>
      </c>
      <c r="AL373" s="44">
        <v>281</v>
      </c>
      <c r="AM373" s="54">
        <v>1.22032605586805E-2</v>
      </c>
      <c r="AN373" s="55">
        <v>0.55224100357395201</v>
      </c>
      <c r="AO373" s="56">
        <v>11328.911772974399</v>
      </c>
      <c r="AP373" s="48">
        <v>5664.4558864871997</v>
      </c>
      <c r="AQ373" s="55">
        <v>0.28341385673025071</v>
      </c>
      <c r="AR373" s="51">
        <v>168149.9</v>
      </c>
      <c r="AS373" s="49">
        <v>3389600.3233709252</v>
      </c>
      <c r="AT373" s="55">
        <v>20.158206001733724</v>
      </c>
      <c r="AU373" s="51">
        <v>2381881.3083147053</v>
      </c>
      <c r="AV373" s="52">
        <v>1.0835403475186408E-2</v>
      </c>
      <c r="AW373" s="44">
        <v>6</v>
      </c>
      <c r="AX373" s="51">
        <v>598.39822064057</v>
      </c>
      <c r="AY373" s="49">
        <v>395.30787608246197</v>
      </c>
      <c r="AZ373" s="49">
        <v>0</v>
      </c>
      <c r="BA373" s="42" t="s">
        <v>152</v>
      </c>
      <c r="BB373" s="50">
        <v>0</v>
      </c>
      <c r="BC373" s="57">
        <v>2381881.3083147053</v>
      </c>
      <c r="BD373" s="42" t="s">
        <v>150</v>
      </c>
      <c r="BE373" s="46">
        <v>67.022364217252402</v>
      </c>
      <c r="BF373" s="46">
        <v>83.628504672897193</v>
      </c>
      <c r="BG373" s="42" t="s">
        <v>152</v>
      </c>
      <c r="BH373" s="52">
        <v>1.22032605586805E-2</v>
      </c>
      <c r="BI373" s="52">
        <v>0.51187669456560203</v>
      </c>
      <c r="BJ373" s="42" t="s">
        <v>152</v>
      </c>
      <c r="BK373" s="46">
        <v>19.6982125</v>
      </c>
      <c r="BL373" s="46">
        <v>638.00354527981403</v>
      </c>
      <c r="BM373" s="42" t="s">
        <v>152</v>
      </c>
      <c r="BN373" s="48">
        <v>0</v>
      </c>
      <c r="BO373" s="42" t="s">
        <v>155</v>
      </c>
      <c r="BP373" s="42" t="s">
        <v>152</v>
      </c>
      <c r="BQ373" s="46">
        <v>10516.685895832001</v>
      </c>
      <c r="BR373" s="46">
        <v>53</v>
      </c>
      <c r="BS373" s="46">
        <v>4847</v>
      </c>
      <c r="BT373" s="46">
        <v>1693</v>
      </c>
      <c r="BU373" s="46">
        <v>2.8629651506202007</v>
      </c>
      <c r="BV373" s="46">
        <v>31.943396226415093</v>
      </c>
      <c r="BW373" s="46">
        <v>1693</v>
      </c>
      <c r="BX373" s="46">
        <v>0</v>
      </c>
      <c r="BY373" s="46">
        <v>1693</v>
      </c>
      <c r="BZ373" s="46">
        <v>1</v>
      </c>
      <c r="CA373" s="46">
        <v>1</v>
      </c>
      <c r="CB373" s="46">
        <v>0</v>
      </c>
      <c r="CC373" s="46">
        <v>0</v>
      </c>
      <c r="CD373" s="46">
        <v>0</v>
      </c>
      <c r="CE373" s="46">
        <v>0</v>
      </c>
      <c r="CF373" s="46">
        <v>0</v>
      </c>
      <c r="CG373" s="46">
        <v>0</v>
      </c>
      <c r="CH373" s="46">
        <v>0</v>
      </c>
      <c r="CI373" s="46">
        <v>2.0631318341242011</v>
      </c>
      <c r="CJ373" s="46">
        <v>0.20631318341242011</v>
      </c>
      <c r="CK373">
        <v>284</v>
      </c>
      <c r="CL373">
        <v>389.62</v>
      </c>
      <c r="CM373">
        <f t="shared" si="42"/>
        <v>105.62</v>
      </c>
      <c r="CN373">
        <v>6.83</v>
      </c>
      <c r="CO373">
        <v>9.4499999999999993</v>
      </c>
      <c r="CP373">
        <f t="shared" si="43"/>
        <v>2.6199999999999992</v>
      </c>
      <c r="CQ373">
        <v>846.56</v>
      </c>
      <c r="CR373">
        <v>19.7</v>
      </c>
      <c r="CS373">
        <f t="shared" si="44"/>
        <v>826.8599999999999</v>
      </c>
      <c r="CT373" t="s">
        <v>152</v>
      </c>
      <c r="CU373">
        <v>72.22</v>
      </c>
      <c r="CV373">
        <v>286</v>
      </c>
      <c r="CW373" s="46">
        <v>1693</v>
      </c>
      <c r="CX373" s="46">
        <f t="shared" si="38"/>
        <v>93.761370348493799</v>
      </c>
      <c r="CY373" s="46">
        <v>105.62</v>
      </c>
      <c r="CZ373" s="46">
        <f t="shared" si="39"/>
        <v>100</v>
      </c>
      <c r="DA373" s="46">
        <f t="shared" si="40"/>
        <v>1406.9503786236114</v>
      </c>
      <c r="DB373" s="46">
        <v>2530569.09</v>
      </c>
      <c r="DC373" s="46">
        <f t="shared" si="41"/>
        <v>62.101399962193241</v>
      </c>
      <c r="DD373" s="46">
        <v>111696.82</v>
      </c>
      <c r="DE373" s="995">
        <v>1693</v>
      </c>
      <c r="DF373" s="995">
        <v>94.423000000000002</v>
      </c>
      <c r="DG373" s="995">
        <v>94.4</v>
      </c>
      <c r="DH373" s="995">
        <v>100</v>
      </c>
      <c r="DI373" s="995">
        <v>2936.2759999999998</v>
      </c>
      <c r="DJ373" s="995">
        <v>5248360</v>
      </c>
      <c r="DK373" s="995">
        <v>128.768</v>
      </c>
      <c r="DL373" s="995">
        <v>230163</v>
      </c>
      <c r="DM373" s="995">
        <v>1693</v>
      </c>
      <c r="DN373" s="995">
        <v>95.406999999999996</v>
      </c>
      <c r="DO373" s="995">
        <v>77.8</v>
      </c>
      <c r="DP373" s="995">
        <v>100</v>
      </c>
      <c r="DQ373" s="995">
        <v>2856.145</v>
      </c>
      <c r="DR373" s="995">
        <v>5057543</v>
      </c>
      <c r="DS373" s="995">
        <v>125.14</v>
      </c>
      <c r="DT373" s="995">
        <v>221593.5</v>
      </c>
    </row>
    <row r="374" spans="1:124">
      <c r="A374" s="42" t="s">
        <v>94</v>
      </c>
      <c r="B374" s="42" t="s">
        <v>549</v>
      </c>
      <c r="C374" s="42" t="s">
        <v>550</v>
      </c>
      <c r="D374" s="42">
        <v>816366</v>
      </c>
      <c r="E374" s="42" t="s">
        <v>590</v>
      </c>
      <c r="F374" s="42" t="s">
        <v>149</v>
      </c>
      <c r="G374" s="42" t="s">
        <v>150</v>
      </c>
      <c r="H374" s="43" t="s">
        <v>150</v>
      </c>
      <c r="I374" s="44">
        <v>69</v>
      </c>
      <c r="J374" s="45">
        <v>250460.25200000001</v>
      </c>
      <c r="K374" s="46">
        <v>23150.84418</v>
      </c>
      <c r="L374" s="47">
        <v>273611.09617999999</v>
      </c>
      <c r="M374" s="48">
        <v>7469451</v>
      </c>
      <c r="N374" s="49">
        <v>3670216</v>
      </c>
      <c r="O374" s="49">
        <v>3796754</v>
      </c>
      <c r="P374" s="49">
        <v>2481</v>
      </c>
      <c r="Q374" s="50">
        <v>17126.078761467899</v>
      </c>
      <c r="R374" s="51">
        <v>25175.5141157486</v>
      </c>
      <c r="S374" s="49">
        <v>38258.831890765701</v>
      </c>
      <c r="T374" s="49">
        <v>8205.2627781153697</v>
      </c>
      <c r="U374" s="49">
        <f>IFERROR(INDEX('Rentabilidad datos'!$N$2:$N$61,MATCH($C374,'Rentabilidad datos'!$C$2:$C$61,0)),"")</f>
        <v>71639.608784629672</v>
      </c>
      <c r="V374" s="50">
        <f>IFERROR(INDEX('Rentabilidad datos'!$O$2:$O$61,MATCH($C374,'Rentabilidad datos'!$C$2:$C$61,0)),"")</f>
        <v>1193.9934797438279</v>
      </c>
      <c r="W374" s="51">
        <f>IFERROR(INDEX('Rentabilidad datos'!$M$2:$M$61,MATCH($C374,'Rentabilidad datos'!$C$2:$C$61,0)),"")</f>
        <v>3427.1365491869451</v>
      </c>
      <c r="X374" s="52">
        <f>IFERROR(INDEX('Rentabilidad datos'!$P$2:$P$61,MATCH($C374,'Rentabilidad datos'!$C$2:$C$61,0)),"")</f>
        <v>0.34839390336725601</v>
      </c>
      <c r="Y374" s="43" t="s">
        <v>171</v>
      </c>
      <c r="Z374" s="53">
        <v>75.795871559632999</v>
      </c>
      <c r="AA374" s="43">
        <v>2</v>
      </c>
      <c r="AB374" s="54">
        <v>0.96817865195179675</v>
      </c>
      <c r="AC374" s="55">
        <v>3.1821348048203274E-2</v>
      </c>
      <c r="AD374" s="752" t="e">
        <f>_xlfn.XLOOKUP(Table1[[#This Row],[Ruta]],#REF!,#REF!)</f>
        <v>#REF!</v>
      </c>
      <c r="AE374" s="752" t="e">
        <f>_xlfn.XLOOKUP(Table1[[#This Row],[Ruta]],#REF!,#REF!)</f>
        <v>#REF!</v>
      </c>
      <c r="AF374" s="752" t="e">
        <f>_xlfn.XLOOKUP(Table1[[#This Row],[Ruta]],#REF!,#REF!)</f>
        <v>#REF!</v>
      </c>
      <c r="AG374" s="752" t="e">
        <f>_xlfn.XLOOKUP(Table1[[#This Row],[Ruta]],#REF!,#REF!)</f>
        <v>#REF!</v>
      </c>
      <c r="AH374" s="52">
        <v>0.49136355536705439</v>
      </c>
      <c r="AI374" s="52">
        <v>0.50830429170765024</v>
      </c>
      <c r="AJ374" s="55">
        <v>3.3215292529531286E-4</v>
      </c>
      <c r="AK374" s="56">
        <v>33047</v>
      </c>
      <c r="AL374" s="44">
        <v>18934</v>
      </c>
      <c r="AM374" s="54">
        <v>0.57294156806971897</v>
      </c>
      <c r="AN374" s="55">
        <v>0.55224100357395201</v>
      </c>
      <c r="AO374" s="56">
        <v>0</v>
      </c>
      <c r="AP374" s="48">
        <v>0</v>
      </c>
      <c r="AQ374" s="55">
        <v>0.57294156806971885</v>
      </c>
      <c r="AR374" s="51">
        <v>7466970.3399999999</v>
      </c>
      <c r="AS374" s="49">
        <v>0</v>
      </c>
      <c r="AT374" s="55">
        <v>0</v>
      </c>
      <c r="AU374" s="51">
        <v>0</v>
      </c>
      <c r="AV374" s="52">
        <v>0</v>
      </c>
      <c r="AW374" s="44">
        <v>490</v>
      </c>
      <c r="AX374" s="51">
        <v>394.36835005809701</v>
      </c>
      <c r="AY374" s="49">
        <v>395.30787608246197</v>
      </c>
      <c r="AZ374" s="49">
        <v>0.93952602436496591</v>
      </c>
      <c r="BA374" s="42" t="s">
        <v>150</v>
      </c>
      <c r="BB374" s="50">
        <v>6250.1841807903111</v>
      </c>
      <c r="BC374" s="57">
        <v>6250.1841807903111</v>
      </c>
      <c r="BD374" s="42" t="s">
        <v>150</v>
      </c>
      <c r="BE374" s="46">
        <v>75.795871559632999</v>
      </c>
      <c r="BF374" s="46">
        <v>83.628504672897193</v>
      </c>
      <c r="BG374" s="42" t="s">
        <v>152</v>
      </c>
      <c r="BH374" s="52">
        <v>0.57294156806971897</v>
      </c>
      <c r="BI374" s="52">
        <v>0.51187669456560203</v>
      </c>
      <c r="BJ374" s="42" t="s">
        <v>150</v>
      </c>
      <c r="BK374" s="46">
        <v>627.54838573394397</v>
      </c>
      <c r="BL374" s="46">
        <v>638.00354527981403</v>
      </c>
      <c r="BM374" s="42" t="s">
        <v>152</v>
      </c>
      <c r="BN374" s="48">
        <v>1</v>
      </c>
      <c r="BO374" s="42" t="s">
        <v>155</v>
      </c>
      <c r="BP374" s="42" t="s">
        <v>152</v>
      </c>
      <c r="BQ374" s="46">
        <v>0</v>
      </c>
      <c r="BR374" s="46">
        <v>99</v>
      </c>
      <c r="BS374" s="46">
        <v>5454</v>
      </c>
      <c r="BT374" s="46">
        <v>1977</v>
      </c>
      <c r="BU374" s="46">
        <v>2.7587253414264037</v>
      </c>
      <c r="BV374" s="46">
        <v>19.969696969696969</v>
      </c>
      <c r="BW374" s="46">
        <v>337</v>
      </c>
      <c r="BX374" s="46">
        <v>1640</v>
      </c>
      <c r="BY374" s="46">
        <v>1977</v>
      </c>
      <c r="BZ374" s="46">
        <v>1</v>
      </c>
      <c r="CA374" s="46">
        <v>0.17046029337379873</v>
      </c>
      <c r="CB374" s="46">
        <v>0.82953970662620136</v>
      </c>
      <c r="CC374" s="46">
        <v>0</v>
      </c>
      <c r="CD374" s="46">
        <v>0</v>
      </c>
      <c r="CE374" s="46">
        <v>0</v>
      </c>
      <c r="CF374" s="46">
        <v>0</v>
      </c>
      <c r="CG374" s="46">
        <v>0</v>
      </c>
      <c r="CH374" s="46">
        <v>0</v>
      </c>
      <c r="CI374" s="46">
        <v>1.2834616795012832</v>
      </c>
      <c r="CJ374" s="46">
        <v>0.55005500550055009</v>
      </c>
      <c r="CK374">
        <v>369</v>
      </c>
      <c r="CL374">
        <v>569.73</v>
      </c>
      <c r="CM374">
        <f t="shared" si="42"/>
        <v>200.73000000000002</v>
      </c>
      <c r="CN374">
        <v>4.9000000000000004</v>
      </c>
      <c r="CO374">
        <v>9.4499999999999993</v>
      </c>
      <c r="CP374">
        <f t="shared" si="43"/>
        <v>4.5499999999999989</v>
      </c>
      <c r="CQ374">
        <v>846.56</v>
      </c>
      <c r="CR374">
        <v>627.54999999999995</v>
      </c>
      <c r="CS374">
        <f t="shared" si="44"/>
        <v>219.01</v>
      </c>
      <c r="CT374" t="s">
        <v>152</v>
      </c>
      <c r="CU374">
        <v>80.84</v>
      </c>
      <c r="CV374">
        <v>368</v>
      </c>
      <c r="CW374" s="46">
        <v>1977</v>
      </c>
      <c r="CX374" s="46">
        <f t="shared" si="38"/>
        <v>89.846737481031866</v>
      </c>
      <c r="CY374" s="46">
        <v>200.73</v>
      </c>
      <c r="CZ374" s="46">
        <f t="shared" si="39"/>
        <v>100</v>
      </c>
      <c r="DA374" s="46">
        <f t="shared" si="40"/>
        <v>2067.4442791346951</v>
      </c>
      <c r="DB374" s="46">
        <v>4502335.43</v>
      </c>
      <c r="DC374" s="46">
        <f t="shared" si="41"/>
        <v>74.972994815702592</v>
      </c>
      <c r="DD374" s="46">
        <v>163270.94</v>
      </c>
      <c r="DE374" s="995">
        <v>1977</v>
      </c>
      <c r="DF374" s="995">
        <v>89.953000000000003</v>
      </c>
      <c r="DG374" s="995">
        <v>198.6</v>
      </c>
      <c r="DH374" s="995">
        <v>100</v>
      </c>
      <c r="DI374" s="995">
        <v>4503.5600000000004</v>
      </c>
      <c r="DJ374" s="995">
        <v>9798046</v>
      </c>
      <c r="DK374" s="995">
        <v>164.38399999999999</v>
      </c>
      <c r="DL374" s="995">
        <v>357637.3</v>
      </c>
      <c r="DM374" s="995">
        <v>1977</v>
      </c>
      <c r="DN374" s="995">
        <v>91.486000000000004</v>
      </c>
      <c r="DO374" s="995">
        <v>168.3</v>
      </c>
      <c r="DP374" s="995">
        <v>100</v>
      </c>
      <c r="DQ374" s="995">
        <v>4362.607</v>
      </c>
      <c r="DR374" s="995">
        <v>9359205</v>
      </c>
      <c r="DS374" s="995">
        <v>159.44200000000001</v>
      </c>
      <c r="DT374" s="995">
        <v>342055</v>
      </c>
    </row>
    <row r="375" spans="1:124">
      <c r="A375" s="42" t="s">
        <v>94</v>
      </c>
      <c r="B375" s="42" t="s">
        <v>549</v>
      </c>
      <c r="C375" s="42" t="s">
        <v>550</v>
      </c>
      <c r="D375" s="42">
        <v>816367</v>
      </c>
      <c r="E375" s="42" t="s">
        <v>591</v>
      </c>
      <c r="F375" s="42" t="s">
        <v>149</v>
      </c>
      <c r="G375" s="42" t="s">
        <v>150</v>
      </c>
      <c r="H375" s="43" t="s">
        <v>150</v>
      </c>
      <c r="I375" s="44">
        <v>69</v>
      </c>
      <c r="J375" s="45">
        <v>261147.213599999</v>
      </c>
      <c r="K375" s="46">
        <v>15330.064369</v>
      </c>
      <c r="L375" s="47">
        <v>276477.27796899999</v>
      </c>
      <c r="M375" s="48">
        <v>6145645</v>
      </c>
      <c r="N375" s="49">
        <v>3836308</v>
      </c>
      <c r="O375" s="49">
        <v>2297859</v>
      </c>
      <c r="P375" s="49">
        <v>11478</v>
      </c>
      <c r="Q375" s="50">
        <v>14062.338853211</v>
      </c>
      <c r="R375" s="51">
        <v>25175.5141157486</v>
      </c>
      <c r="S375" s="49">
        <v>38258.831890765701</v>
      </c>
      <c r="T375" s="49">
        <v>8205.2627781153697</v>
      </c>
      <c r="U375" s="49">
        <f>IFERROR(INDEX('Rentabilidad datos'!$N$2:$N$61,MATCH($C375,'Rentabilidad datos'!$C$2:$C$61,0)),"")</f>
        <v>71639.608784629672</v>
      </c>
      <c r="V375" s="50">
        <f>IFERROR(INDEX('Rentabilidad datos'!$O$2:$O$61,MATCH($C375,'Rentabilidad datos'!$C$2:$C$61,0)),"")</f>
        <v>1193.9934797438279</v>
      </c>
      <c r="W375" s="51">
        <f>IFERROR(INDEX('Rentabilidad datos'!$M$2:$M$61,MATCH($C375,'Rentabilidad datos'!$C$2:$C$61,0)),"")</f>
        <v>3427.1365491869451</v>
      </c>
      <c r="X375" s="52">
        <f>IFERROR(INDEX('Rentabilidad datos'!$P$2:$P$61,MATCH($C375,'Rentabilidad datos'!$C$2:$C$61,0)),"")</f>
        <v>0.34839390336725601</v>
      </c>
      <c r="Y375" s="43" t="s">
        <v>171</v>
      </c>
      <c r="Z375" s="53">
        <v>97.600917431192698</v>
      </c>
      <c r="AA375" s="43">
        <v>2</v>
      </c>
      <c r="AB375" s="54">
        <v>0.98504257893191027</v>
      </c>
      <c r="AC375" s="55">
        <v>1.495742106808968E-2</v>
      </c>
      <c r="AD375" s="752" t="e">
        <f>_xlfn.XLOOKUP(Table1[[#This Row],[Ruta]],#REF!,#REF!)</f>
        <v>#REF!</v>
      </c>
      <c r="AE375" s="752" t="e">
        <f>_xlfn.XLOOKUP(Table1[[#This Row],[Ruta]],#REF!,#REF!)</f>
        <v>#REF!</v>
      </c>
      <c r="AF375" s="752" t="e">
        <f>_xlfn.XLOOKUP(Table1[[#This Row],[Ruta]],#REF!,#REF!)</f>
        <v>#REF!</v>
      </c>
      <c r="AG375" s="752" t="e">
        <f>_xlfn.XLOOKUP(Table1[[#This Row],[Ruta]],#REF!,#REF!)</f>
        <v>#REF!</v>
      </c>
      <c r="AH375" s="52">
        <v>0.62423195612502835</v>
      </c>
      <c r="AI375" s="52">
        <v>0.37390037986248797</v>
      </c>
      <c r="AJ375" s="55">
        <v>1.8676640124836367E-3</v>
      </c>
      <c r="AK375" s="56">
        <v>42554</v>
      </c>
      <c r="AL375" s="44">
        <v>16533</v>
      </c>
      <c r="AM375" s="54">
        <v>0.38851811815575499</v>
      </c>
      <c r="AN375" s="55">
        <v>0.55224100357395201</v>
      </c>
      <c r="AO375" s="56">
        <v>6967.06366608594</v>
      </c>
      <c r="AP375" s="48">
        <v>3483.53183304297</v>
      </c>
      <c r="AQ375" s="55">
        <v>0.47037956086485333</v>
      </c>
      <c r="AR375" s="51">
        <v>6131179.7400000002</v>
      </c>
      <c r="AS375" s="49">
        <v>1291850.2267221999</v>
      </c>
      <c r="AT375" s="55">
        <v>0.21070173792070235</v>
      </c>
      <c r="AU375" s="51">
        <v>907786.6458047895</v>
      </c>
      <c r="AV375" s="52">
        <v>4.1296073579924243E-3</v>
      </c>
      <c r="AW375" s="44">
        <v>58</v>
      </c>
      <c r="AX375" s="51">
        <v>370.84496098711702</v>
      </c>
      <c r="AY375" s="49">
        <v>395.30787608246197</v>
      </c>
      <c r="AZ375" s="49">
        <v>24.462915095344954</v>
      </c>
      <c r="BA375" s="42" t="s">
        <v>150</v>
      </c>
      <c r="BB375" s="50">
        <v>142102.42914938912</v>
      </c>
      <c r="BC375" s="57">
        <v>1049889.0749541786</v>
      </c>
      <c r="BD375" s="42" t="s">
        <v>150</v>
      </c>
      <c r="BE375" s="46">
        <v>97.600917431192698</v>
      </c>
      <c r="BF375" s="46">
        <v>83.628504672897193</v>
      </c>
      <c r="BG375" s="42" t="s">
        <v>150</v>
      </c>
      <c r="BH375" s="52">
        <v>0.38851811815575499</v>
      </c>
      <c r="BI375" s="52">
        <v>0.51187669456560203</v>
      </c>
      <c r="BJ375" s="42" t="s">
        <v>152</v>
      </c>
      <c r="BK375" s="46">
        <v>634.122197176604</v>
      </c>
      <c r="BL375" s="46">
        <v>638.00354527981403</v>
      </c>
      <c r="BM375" s="42" t="s">
        <v>152</v>
      </c>
      <c r="BN375" s="48">
        <v>1</v>
      </c>
      <c r="BO375" s="42" t="s">
        <v>155</v>
      </c>
      <c r="BP375" s="42" t="s">
        <v>152</v>
      </c>
      <c r="BQ375" s="46">
        <v>2708.3864530777901</v>
      </c>
      <c r="BR375" s="46">
        <v>128</v>
      </c>
      <c r="BS375" s="46">
        <v>7492</v>
      </c>
      <c r="BT375" s="46">
        <v>2521</v>
      </c>
      <c r="BU375" s="46">
        <v>2.9718365727885758</v>
      </c>
      <c r="BV375" s="46">
        <v>19.6953125</v>
      </c>
      <c r="BW375" s="46">
        <v>2479</v>
      </c>
      <c r="BX375" s="46">
        <v>42</v>
      </c>
      <c r="BY375" s="46">
        <v>2521</v>
      </c>
      <c r="BZ375" s="46">
        <v>1</v>
      </c>
      <c r="CA375" s="46">
        <v>0.98333994446648154</v>
      </c>
      <c r="CB375" s="46">
        <v>1.6660055533518441E-2</v>
      </c>
      <c r="CC375" s="46">
        <v>0</v>
      </c>
      <c r="CD375" s="46">
        <v>0</v>
      </c>
      <c r="CE375" s="46">
        <v>0</v>
      </c>
      <c r="CF375" s="46">
        <v>0</v>
      </c>
      <c r="CG375" s="46">
        <v>0</v>
      </c>
      <c r="CH375" s="46">
        <v>0</v>
      </c>
      <c r="CI375" s="46">
        <v>1.2012813667912441</v>
      </c>
      <c r="CJ375" s="46">
        <v>0.26695141484249862</v>
      </c>
      <c r="CK375">
        <v>365</v>
      </c>
      <c r="CL375">
        <v>412.43</v>
      </c>
      <c r="CM375">
        <f t="shared" si="42"/>
        <v>47.430000000000007</v>
      </c>
      <c r="CN375">
        <v>7.31</v>
      </c>
      <c r="CO375">
        <v>9.4499999999999993</v>
      </c>
      <c r="CP375">
        <f t="shared" si="43"/>
        <v>2.1399999999999997</v>
      </c>
      <c r="CQ375">
        <v>564.37</v>
      </c>
      <c r="CR375">
        <v>634.12</v>
      </c>
      <c r="CS375">
        <f t="shared" si="44"/>
        <v>-69.75</v>
      </c>
      <c r="CT375" t="s">
        <v>150</v>
      </c>
      <c r="CU375">
        <v>112.36</v>
      </c>
      <c r="CV375">
        <v>366</v>
      </c>
      <c r="CW375" s="46">
        <v>2521</v>
      </c>
      <c r="CX375" s="46">
        <f t="shared" si="38"/>
        <v>98.118603728679105</v>
      </c>
      <c r="CY375" s="46">
        <v>47.43</v>
      </c>
      <c r="CZ375" s="46">
        <f t="shared" si="39"/>
        <v>100</v>
      </c>
      <c r="DA375" s="46">
        <f t="shared" si="40"/>
        <v>482.13593518219301</v>
      </c>
      <c r="DB375" s="46">
        <v>1238332.3999999999</v>
      </c>
      <c r="DC375" s="46">
        <f t="shared" si="41"/>
        <v>20.878548373909354</v>
      </c>
      <c r="DD375" s="46">
        <v>53625.09</v>
      </c>
      <c r="DE375" s="995">
        <v>2521</v>
      </c>
      <c r="DF375" s="995">
        <v>98.119</v>
      </c>
      <c r="DG375" s="995">
        <v>47.4</v>
      </c>
      <c r="DH375" s="995">
        <v>100</v>
      </c>
      <c r="DI375" s="995">
        <v>2253.7339999999999</v>
      </c>
      <c r="DJ375" s="995">
        <v>5788554</v>
      </c>
      <c r="DK375" s="995">
        <v>99.98</v>
      </c>
      <c r="DL375" s="995">
        <v>256792.5</v>
      </c>
      <c r="DM375" s="995">
        <v>2521</v>
      </c>
      <c r="DN375" s="995">
        <v>98.119</v>
      </c>
      <c r="DO375" s="995">
        <v>47.4</v>
      </c>
      <c r="DP375" s="995">
        <v>100</v>
      </c>
      <c r="DQ375" s="995">
        <v>2253.7339999999999</v>
      </c>
      <c r="DR375" s="995">
        <v>5788554</v>
      </c>
      <c r="DS375" s="995">
        <v>99.98</v>
      </c>
      <c r="DT375" s="995">
        <v>256792.5</v>
      </c>
    </row>
    <row r="376" spans="1:124">
      <c r="A376" s="42" t="s">
        <v>94</v>
      </c>
      <c r="B376" s="42" t="s">
        <v>549</v>
      </c>
      <c r="C376" s="42" t="s">
        <v>550</v>
      </c>
      <c r="D376" s="42">
        <v>816368</v>
      </c>
      <c r="E376" s="42" t="s">
        <v>592</v>
      </c>
      <c r="F376" s="42" t="s">
        <v>149</v>
      </c>
      <c r="G376" s="42" t="s">
        <v>150</v>
      </c>
      <c r="H376" s="43" t="s">
        <v>150</v>
      </c>
      <c r="I376" s="44">
        <v>69</v>
      </c>
      <c r="J376" s="45">
        <v>254359.54879999999</v>
      </c>
      <c r="K376" s="46">
        <v>22796.059797999998</v>
      </c>
      <c r="L376" s="47">
        <v>277155.60859800002</v>
      </c>
      <c r="M376" s="48">
        <v>7716611</v>
      </c>
      <c r="N376" s="49">
        <v>3739168</v>
      </c>
      <c r="O376" s="49">
        <v>3974967</v>
      </c>
      <c r="P376" s="49">
        <v>2476</v>
      </c>
      <c r="Q376" s="50">
        <v>17658.218761467899</v>
      </c>
      <c r="R376" s="51">
        <v>25175.5141157486</v>
      </c>
      <c r="S376" s="49">
        <v>38258.831890765701</v>
      </c>
      <c r="T376" s="49">
        <v>8205.2627781153697</v>
      </c>
      <c r="U376" s="49">
        <f>IFERROR(INDEX('Rentabilidad datos'!$N$2:$N$61,MATCH($C376,'Rentabilidad datos'!$C$2:$C$61,0)),"")</f>
        <v>71639.608784629672</v>
      </c>
      <c r="V376" s="50">
        <f>IFERROR(INDEX('Rentabilidad datos'!$O$2:$O$61,MATCH($C376,'Rentabilidad datos'!$C$2:$C$61,0)),"")</f>
        <v>1193.9934797438279</v>
      </c>
      <c r="W376" s="51">
        <f>IFERROR(INDEX('Rentabilidad datos'!$M$2:$M$61,MATCH($C376,'Rentabilidad datos'!$C$2:$C$61,0)),"")</f>
        <v>3427.1365491869451</v>
      </c>
      <c r="X376" s="52">
        <f>IFERROR(INDEX('Rentabilidad datos'!$P$2:$P$61,MATCH($C376,'Rentabilidad datos'!$C$2:$C$61,0)),"")</f>
        <v>0.34839390336725601</v>
      </c>
      <c r="Y376" s="43" t="s">
        <v>171</v>
      </c>
      <c r="Z376" s="53">
        <v>72.087155963302806</v>
      </c>
      <c r="AA376" s="43">
        <v>2</v>
      </c>
      <c r="AB376" s="54">
        <v>0.99459607332804523</v>
      </c>
      <c r="AC376" s="55">
        <v>5.4039266719548259E-3</v>
      </c>
      <c r="AD376" s="752" t="e">
        <f>_xlfn.XLOOKUP(Table1[[#This Row],[Ruta]],#REF!,#REF!)</f>
        <v>#REF!</v>
      </c>
      <c r="AE376" s="752" t="e">
        <f>_xlfn.XLOOKUP(Table1[[#This Row],[Ruta]],#REF!,#REF!)</f>
        <v>#REF!</v>
      </c>
      <c r="AF376" s="752" t="e">
        <f>_xlfn.XLOOKUP(Table1[[#This Row],[Ruta]],#REF!,#REF!)</f>
        <v>#REF!</v>
      </c>
      <c r="AG376" s="752" t="e">
        <f>_xlfn.XLOOKUP(Table1[[#This Row],[Ruta]],#REF!,#REF!)</f>
        <v>#REF!</v>
      </c>
      <c r="AH376" s="52">
        <v>0.48456090374388444</v>
      </c>
      <c r="AI376" s="52">
        <v>0.51511823001055779</v>
      </c>
      <c r="AJ376" s="55">
        <v>3.2086624555779735E-4</v>
      </c>
      <c r="AK376" s="56">
        <v>31430</v>
      </c>
      <c r="AL376" s="44">
        <v>20558</v>
      </c>
      <c r="AM376" s="54">
        <v>0.654088450524976</v>
      </c>
      <c r="AN376" s="55">
        <v>0.55224100357395201</v>
      </c>
      <c r="AO376" s="56">
        <v>0</v>
      </c>
      <c r="AP376" s="48">
        <v>0</v>
      </c>
      <c r="AQ376" s="55">
        <v>0.65408845052497611</v>
      </c>
      <c r="AR376" s="51">
        <v>7698983.3799999999</v>
      </c>
      <c r="AS376" s="49">
        <v>0</v>
      </c>
      <c r="AT376" s="55">
        <v>0</v>
      </c>
      <c r="AU376" s="51">
        <v>0</v>
      </c>
      <c r="AV376" s="52">
        <v>0</v>
      </c>
      <c r="AW376" s="44">
        <v>490</v>
      </c>
      <c r="AX376" s="51">
        <v>374.50060219865799</v>
      </c>
      <c r="AY376" s="49">
        <v>395.30787608246197</v>
      </c>
      <c r="AZ376" s="49">
        <v>20.807273883803987</v>
      </c>
      <c r="BA376" s="42" t="s">
        <v>150</v>
      </c>
      <c r="BB376" s="50">
        <v>150292.6263389771</v>
      </c>
      <c r="BC376" s="57">
        <v>150292.6263389771</v>
      </c>
      <c r="BD376" s="42" t="s">
        <v>150</v>
      </c>
      <c r="BE376" s="46">
        <v>72.087155963302806</v>
      </c>
      <c r="BF376" s="46">
        <v>83.628504672897193</v>
      </c>
      <c r="BG376" s="42" t="s">
        <v>152</v>
      </c>
      <c r="BH376" s="52">
        <v>0.654088450524976</v>
      </c>
      <c r="BI376" s="52">
        <v>0.51187669456560203</v>
      </c>
      <c r="BJ376" s="42" t="s">
        <v>150</v>
      </c>
      <c r="BK376" s="46">
        <v>635.67800137155905</v>
      </c>
      <c r="BL376" s="46">
        <v>638.00354527981403</v>
      </c>
      <c r="BM376" s="42" t="s">
        <v>152</v>
      </c>
      <c r="BN376" s="48">
        <v>1</v>
      </c>
      <c r="BO376" s="42" t="s">
        <v>155</v>
      </c>
      <c r="BP376" s="42" t="s">
        <v>152</v>
      </c>
      <c r="BQ376" s="46">
        <v>0</v>
      </c>
      <c r="BR376" s="46">
        <v>67</v>
      </c>
      <c r="BS376" s="46">
        <v>4177</v>
      </c>
      <c r="BT376" s="46">
        <v>1232</v>
      </c>
      <c r="BU376" s="46">
        <v>3.3904220779220777</v>
      </c>
      <c r="BV376" s="46">
        <v>18.388059701492537</v>
      </c>
      <c r="BW376" s="46">
        <v>1232</v>
      </c>
      <c r="BX376" s="46">
        <v>0</v>
      </c>
      <c r="BY376" s="46">
        <v>1232</v>
      </c>
      <c r="BZ376" s="46">
        <v>1</v>
      </c>
      <c r="CA376" s="46">
        <v>1</v>
      </c>
      <c r="CB376" s="46">
        <v>0</v>
      </c>
      <c r="CC376" s="46">
        <v>0</v>
      </c>
      <c r="CD376" s="46">
        <v>0</v>
      </c>
      <c r="CE376" s="46">
        <v>0</v>
      </c>
      <c r="CF376" s="46">
        <v>0</v>
      </c>
      <c r="CG376" s="46">
        <v>0</v>
      </c>
      <c r="CH376" s="46">
        <v>0</v>
      </c>
      <c r="CI376" s="46">
        <v>0.71821881733301418</v>
      </c>
      <c r="CJ376" s="46">
        <v>0.71821881733301418</v>
      </c>
      <c r="CK376">
        <v>378</v>
      </c>
      <c r="CL376">
        <v>507.14</v>
      </c>
      <c r="CM376">
        <f t="shared" si="42"/>
        <v>129.13999999999999</v>
      </c>
      <c r="CN376">
        <v>5.23</v>
      </c>
      <c r="CO376">
        <v>9.4499999999999993</v>
      </c>
      <c r="CP376">
        <f t="shared" si="43"/>
        <v>4.2199999999999989</v>
      </c>
      <c r="CQ376">
        <v>846.56</v>
      </c>
      <c r="CR376">
        <v>635.67999999999995</v>
      </c>
      <c r="CS376">
        <f t="shared" si="44"/>
        <v>210.88</v>
      </c>
      <c r="CT376" t="s">
        <v>152</v>
      </c>
      <c r="CU376">
        <v>75.09</v>
      </c>
      <c r="CV376">
        <v>453</v>
      </c>
      <c r="CW376" s="46">
        <v>1232</v>
      </c>
      <c r="CX376" s="46">
        <f t="shared" si="38"/>
        <v>89.517857142857153</v>
      </c>
      <c r="CY376" s="46">
        <v>129.13999999999999</v>
      </c>
      <c r="CZ376" s="46">
        <f t="shared" si="39"/>
        <v>100</v>
      </c>
      <c r="DA376" s="46">
        <f t="shared" si="40"/>
        <v>2125.5056937567042</v>
      </c>
      <c r="DB376" s="46">
        <v>2893110.82</v>
      </c>
      <c r="DC376" s="46">
        <f t="shared" si="41"/>
        <v>74.991213247718832</v>
      </c>
      <c r="DD376" s="46">
        <v>102073.54</v>
      </c>
      <c r="DE376" s="995">
        <v>1232</v>
      </c>
      <c r="DF376" s="995">
        <v>90.1</v>
      </c>
      <c r="DG376" s="995">
        <v>122</v>
      </c>
      <c r="DH376" s="995">
        <v>100</v>
      </c>
      <c r="DI376" s="995">
        <v>7333.9290000000001</v>
      </c>
      <c r="DJ376" s="995">
        <v>9929877</v>
      </c>
      <c r="DK376" s="995">
        <v>268.262</v>
      </c>
      <c r="DL376" s="995">
        <v>363217.5</v>
      </c>
      <c r="DM376" s="995">
        <v>1232</v>
      </c>
      <c r="DN376" s="995">
        <v>91.846999999999994</v>
      </c>
      <c r="DO376" s="995">
        <v>100.4</v>
      </c>
      <c r="DP376" s="995">
        <v>100</v>
      </c>
      <c r="DQ376" s="995">
        <v>7222.7340000000004</v>
      </c>
      <c r="DR376" s="995">
        <v>9623867</v>
      </c>
      <c r="DS376" s="995">
        <v>264.28800000000001</v>
      </c>
      <c r="DT376" s="995">
        <v>352148.2</v>
      </c>
    </row>
    <row r="377" spans="1:124">
      <c r="A377" s="42" t="s">
        <v>94</v>
      </c>
      <c r="B377" s="42" t="s">
        <v>549</v>
      </c>
      <c r="C377" s="42" t="s">
        <v>550</v>
      </c>
      <c r="D377" s="42">
        <v>816369</v>
      </c>
      <c r="E377" s="42" t="s">
        <v>593</v>
      </c>
      <c r="F377" s="42" t="s">
        <v>149</v>
      </c>
      <c r="G377" s="42" t="s">
        <v>150</v>
      </c>
      <c r="H377" s="43" t="s">
        <v>150</v>
      </c>
      <c r="I377" s="44">
        <v>69</v>
      </c>
      <c r="J377" s="45">
        <v>282919.16800000001</v>
      </c>
      <c r="K377" s="46">
        <v>13312.446501</v>
      </c>
      <c r="L377" s="47">
        <v>296231.61450099997</v>
      </c>
      <c r="M377" s="48">
        <v>6209369</v>
      </c>
      <c r="N377" s="49">
        <v>4145410</v>
      </c>
      <c r="O377" s="49">
        <v>2062292</v>
      </c>
      <c r="P377" s="49">
        <v>1667</v>
      </c>
      <c r="Q377" s="50">
        <v>14249.4706436782</v>
      </c>
      <c r="R377" s="51">
        <v>25175.5141157486</v>
      </c>
      <c r="S377" s="49">
        <v>38258.831890765701</v>
      </c>
      <c r="T377" s="49">
        <v>8205.2627781153697</v>
      </c>
      <c r="U377" s="49">
        <f>IFERROR(INDEX('Rentabilidad datos'!$N$2:$N$61,MATCH($C377,'Rentabilidad datos'!$C$2:$C$61,0)),"")</f>
        <v>71639.608784629672</v>
      </c>
      <c r="V377" s="50">
        <f>IFERROR(INDEX('Rentabilidad datos'!$O$2:$O$61,MATCH($C377,'Rentabilidad datos'!$C$2:$C$61,0)),"")</f>
        <v>1193.9934797438279</v>
      </c>
      <c r="W377" s="51">
        <f>IFERROR(INDEX('Rentabilidad datos'!$M$2:$M$61,MATCH($C377,'Rentabilidad datos'!$C$2:$C$61,0)),"")</f>
        <v>3427.1365491869451</v>
      </c>
      <c r="X377" s="52">
        <f>IFERROR(INDEX('Rentabilidad datos'!$P$2:$P$61,MATCH($C377,'Rentabilidad datos'!$C$2:$C$61,0)),"")</f>
        <v>0.34839390336725601</v>
      </c>
      <c r="Y377" s="43" t="s">
        <v>171</v>
      </c>
      <c r="Z377" s="53">
        <v>83.464367816091993</v>
      </c>
      <c r="AA377" s="43">
        <v>2</v>
      </c>
      <c r="AB377" s="54">
        <v>0.9396408878261221</v>
      </c>
      <c r="AC377" s="55">
        <v>6.0359112173877891E-2</v>
      </c>
      <c r="AD377" s="752" t="e">
        <f>_xlfn.XLOOKUP(Table1[[#This Row],[Ruta]],#REF!,#REF!)</f>
        <v>#REF!</v>
      </c>
      <c r="AE377" s="752" t="e">
        <f>_xlfn.XLOOKUP(Table1[[#This Row],[Ruta]],#REF!,#REF!)</f>
        <v>#REF!</v>
      </c>
      <c r="AF377" s="752" t="e">
        <f>_xlfn.XLOOKUP(Table1[[#This Row],[Ruta]],#REF!,#REF!)</f>
        <v>#REF!</v>
      </c>
      <c r="AG377" s="752" t="e">
        <f>_xlfn.XLOOKUP(Table1[[#This Row],[Ruta]],#REF!,#REF!)</f>
        <v>#REF!</v>
      </c>
      <c r="AH377" s="52">
        <v>0.66760567780719748</v>
      </c>
      <c r="AI377" s="52">
        <v>0.33212585691074248</v>
      </c>
      <c r="AJ377" s="55">
        <v>2.6846528206006119E-4</v>
      </c>
      <c r="AK377" s="56">
        <v>36307</v>
      </c>
      <c r="AL377" s="44">
        <v>23631</v>
      </c>
      <c r="AM377" s="54">
        <v>0.650866224144104</v>
      </c>
      <c r="AN377" s="55">
        <v>0.55224100357395201</v>
      </c>
      <c r="AO377" s="56">
        <v>0</v>
      </c>
      <c r="AP377" s="48">
        <v>0</v>
      </c>
      <c r="AQ377" s="55">
        <v>0.65086622414410444</v>
      </c>
      <c r="AR377" s="51">
        <v>6198519.7300000004</v>
      </c>
      <c r="AS377" s="49">
        <v>0</v>
      </c>
      <c r="AT377" s="55">
        <v>0</v>
      </c>
      <c r="AU377" s="51">
        <v>0</v>
      </c>
      <c r="AV377" s="52">
        <v>0</v>
      </c>
      <c r="AW377" s="44">
        <v>490</v>
      </c>
      <c r="AX377" s="51">
        <v>262.30458846430503</v>
      </c>
      <c r="AY377" s="49">
        <v>395.30787608246197</v>
      </c>
      <c r="AZ377" s="49">
        <v>133.00328761815695</v>
      </c>
      <c r="BA377" s="42" t="s">
        <v>150</v>
      </c>
      <c r="BB377" s="50">
        <v>1104297.5396259644</v>
      </c>
      <c r="BC377" s="57">
        <v>1104297.5396259644</v>
      </c>
      <c r="BD377" s="42" t="s">
        <v>150</v>
      </c>
      <c r="BE377" s="46">
        <v>83.464367816091993</v>
      </c>
      <c r="BF377" s="46">
        <v>83.628504672897193</v>
      </c>
      <c r="BG377" s="42" t="s">
        <v>152</v>
      </c>
      <c r="BH377" s="52">
        <v>0.650866224144104</v>
      </c>
      <c r="BI377" s="52">
        <v>0.51187669456560203</v>
      </c>
      <c r="BJ377" s="42" t="s">
        <v>150</v>
      </c>
      <c r="BK377" s="46">
        <v>680.99221724367806</v>
      </c>
      <c r="BL377" s="46">
        <v>638.00354527981403</v>
      </c>
      <c r="BM377" s="42" t="s">
        <v>150</v>
      </c>
      <c r="BN377" s="48">
        <v>2</v>
      </c>
      <c r="BO377" s="42" t="s">
        <v>161</v>
      </c>
      <c r="BP377" s="42" t="s">
        <v>152</v>
      </c>
      <c r="BQ377" s="46">
        <v>0</v>
      </c>
      <c r="BR377" s="46">
        <v>46</v>
      </c>
      <c r="BS377" s="46">
        <v>4532</v>
      </c>
      <c r="BT377" s="46">
        <v>1549</v>
      </c>
      <c r="BU377" s="46">
        <v>2.9257585539057458</v>
      </c>
      <c r="BV377" s="46">
        <v>33.673913043478258</v>
      </c>
      <c r="BW377" s="46">
        <v>0</v>
      </c>
      <c r="BX377" s="46">
        <v>1549</v>
      </c>
      <c r="BY377" s="46">
        <v>1549</v>
      </c>
      <c r="BZ377" s="46">
        <v>1</v>
      </c>
      <c r="CA377" s="46">
        <v>0</v>
      </c>
      <c r="CB377" s="46">
        <v>1</v>
      </c>
      <c r="CC377" s="46">
        <v>0</v>
      </c>
      <c r="CD377" s="46">
        <v>0</v>
      </c>
      <c r="CE377" s="46">
        <v>0</v>
      </c>
      <c r="CF377" s="46">
        <v>0</v>
      </c>
      <c r="CG377" s="46">
        <v>0</v>
      </c>
      <c r="CH377" s="46">
        <v>0</v>
      </c>
      <c r="CI377" s="46">
        <v>2.64783759929391</v>
      </c>
      <c r="CJ377" s="46">
        <v>0.44130626654898503</v>
      </c>
      <c r="CK377">
        <v>298</v>
      </c>
      <c r="CL377">
        <v>352.79</v>
      </c>
      <c r="CM377">
        <f t="shared" si="42"/>
        <v>54.79000000000002</v>
      </c>
      <c r="CN377">
        <v>6.93</v>
      </c>
      <c r="CO377">
        <v>9.4499999999999993</v>
      </c>
      <c r="CP377">
        <f t="shared" si="43"/>
        <v>2.5199999999999996</v>
      </c>
      <c r="CQ377">
        <v>846.56</v>
      </c>
      <c r="CR377">
        <v>680.99</v>
      </c>
      <c r="CS377">
        <f t="shared" si="44"/>
        <v>165.56999999999994</v>
      </c>
      <c r="CT377" t="s">
        <v>152</v>
      </c>
      <c r="CU377">
        <v>80.44</v>
      </c>
      <c r="CV377">
        <v>304</v>
      </c>
      <c r="CW377" s="46">
        <v>1549</v>
      </c>
      <c r="CX377" s="46">
        <f t="shared" si="38"/>
        <v>96.462879276952876</v>
      </c>
      <c r="CY377" s="46">
        <v>54.79</v>
      </c>
      <c r="CZ377" s="46">
        <f t="shared" si="39"/>
        <v>100</v>
      </c>
      <c r="DA377" s="46">
        <f t="shared" si="40"/>
        <v>1650.5154851944458</v>
      </c>
      <c r="DB377" s="46">
        <v>2647080.23</v>
      </c>
      <c r="DC377" s="46">
        <f t="shared" si="41"/>
        <v>76.156167578049491</v>
      </c>
      <c r="DD377" s="46">
        <v>122138.5</v>
      </c>
      <c r="DE377" s="995">
        <v>1549</v>
      </c>
      <c r="DF377" s="995">
        <v>96.659000000000006</v>
      </c>
      <c r="DG377" s="995">
        <v>51.7</v>
      </c>
      <c r="DH377" s="995">
        <v>100</v>
      </c>
      <c r="DI377" s="995">
        <v>2969.953</v>
      </c>
      <c r="DJ377" s="995">
        <v>4754141</v>
      </c>
      <c r="DK377" s="995">
        <v>137.214</v>
      </c>
      <c r="DL377" s="995">
        <v>219644.9</v>
      </c>
      <c r="DM377" s="995">
        <v>1549</v>
      </c>
      <c r="DN377" s="995">
        <v>97.248999999999995</v>
      </c>
      <c r="DO377" s="995">
        <v>42.6</v>
      </c>
      <c r="DP377" s="995">
        <v>100</v>
      </c>
      <c r="DQ377" s="995">
        <v>2923.1579999999999</v>
      </c>
      <c r="DR377" s="995">
        <v>4652541</v>
      </c>
      <c r="DS377" s="995">
        <v>135.05099999999999</v>
      </c>
      <c r="DT377" s="995">
        <v>214948.5</v>
      </c>
    </row>
    <row r="378" spans="1:124">
      <c r="A378" s="42" t="s">
        <v>94</v>
      </c>
      <c r="B378" s="42" t="s">
        <v>549</v>
      </c>
      <c r="C378" s="42" t="s">
        <v>550</v>
      </c>
      <c r="D378" s="42">
        <v>816371</v>
      </c>
      <c r="E378" s="42" t="s">
        <v>594</v>
      </c>
      <c r="F378" s="42" t="s">
        <v>149</v>
      </c>
      <c r="G378" s="42" t="s">
        <v>150</v>
      </c>
      <c r="H378" s="43" t="s">
        <v>150</v>
      </c>
      <c r="I378" s="44">
        <v>69</v>
      </c>
      <c r="J378" s="45">
        <v>326688.51039999898</v>
      </c>
      <c r="K378" s="46">
        <v>20070.544872999999</v>
      </c>
      <c r="L378" s="47">
        <v>346759.05527299899</v>
      </c>
      <c r="M378" s="48">
        <v>8170367</v>
      </c>
      <c r="N378" s="49">
        <v>4760287</v>
      </c>
      <c r="O378" s="49">
        <v>3406966</v>
      </c>
      <c r="P378" s="49">
        <v>3114</v>
      </c>
      <c r="Q378" s="50">
        <v>18809.3577981651</v>
      </c>
      <c r="R378" s="51">
        <v>25175.5141157486</v>
      </c>
      <c r="S378" s="49">
        <v>38258.831890765701</v>
      </c>
      <c r="T378" s="49">
        <v>8205.2627781153697</v>
      </c>
      <c r="U378" s="49">
        <f>IFERROR(INDEX('Rentabilidad datos'!$N$2:$N$61,MATCH($C378,'Rentabilidad datos'!$C$2:$C$61,0)),"")</f>
        <v>71639.608784629672</v>
      </c>
      <c r="V378" s="50">
        <f>IFERROR(INDEX('Rentabilidad datos'!$O$2:$O$61,MATCH($C378,'Rentabilidad datos'!$C$2:$C$61,0)),"")</f>
        <v>1193.9934797438279</v>
      </c>
      <c r="W378" s="51">
        <f>IFERROR(INDEX('Rentabilidad datos'!$M$2:$M$61,MATCH($C378,'Rentabilidad datos'!$C$2:$C$61,0)),"")</f>
        <v>3427.1365491869451</v>
      </c>
      <c r="X378" s="52">
        <f>IFERROR(INDEX('Rentabilidad datos'!$P$2:$P$61,MATCH($C378,'Rentabilidad datos'!$C$2:$C$61,0)),"")</f>
        <v>0.34839390336725601</v>
      </c>
      <c r="Y378" s="43" t="s">
        <v>171</v>
      </c>
      <c r="Z378" s="53">
        <v>111.59633027522899</v>
      </c>
      <c r="AA378" s="43">
        <v>2</v>
      </c>
      <c r="AB378" s="54">
        <v>0.9759978958105554</v>
      </c>
      <c r="AC378" s="55">
        <v>2.4002104189444613E-2</v>
      </c>
      <c r="AD378" s="752" t="e">
        <f>_xlfn.XLOOKUP(Table1[[#This Row],[Ruta]],#REF!,#REF!)</f>
        <v>#REF!</v>
      </c>
      <c r="AE378" s="752" t="e">
        <f>_xlfn.XLOOKUP(Table1[[#This Row],[Ruta]],#REF!,#REF!)</f>
        <v>#REF!</v>
      </c>
      <c r="AF378" s="752" t="e">
        <f>_xlfn.XLOOKUP(Table1[[#This Row],[Ruta]],#REF!,#REF!)</f>
        <v>#REF!</v>
      </c>
      <c r="AG378" s="752" t="e">
        <f>_xlfn.XLOOKUP(Table1[[#This Row],[Ruta]],#REF!,#REF!)</f>
        <v>#REF!</v>
      </c>
      <c r="AH378" s="52">
        <v>0.58262829564449181</v>
      </c>
      <c r="AI378" s="52">
        <v>0.41699057092539416</v>
      </c>
      <c r="AJ378" s="55">
        <v>3.8113343011397165E-4</v>
      </c>
      <c r="AK378" s="56">
        <v>48656</v>
      </c>
      <c r="AL378" s="44">
        <v>20808</v>
      </c>
      <c r="AM378" s="54">
        <v>0.42765537652088098</v>
      </c>
      <c r="AN378" s="55">
        <v>0.55224100357395201</v>
      </c>
      <c r="AO378" s="56">
        <v>6061.8382698941896</v>
      </c>
      <c r="AP378" s="48">
        <v>3030.9191349470948</v>
      </c>
      <c r="AQ378" s="55">
        <v>0.48994819004741641</v>
      </c>
      <c r="AR378" s="51">
        <v>8200880</v>
      </c>
      <c r="AS378" s="49">
        <v>1194550.3707903151</v>
      </c>
      <c r="AT378" s="55">
        <v>0.14566124254839907</v>
      </c>
      <c r="AU378" s="51">
        <v>839413.77406887035</v>
      </c>
      <c r="AV378" s="52">
        <v>3.8185726941619086E-3</v>
      </c>
      <c r="AW378" s="44">
        <v>66</v>
      </c>
      <c r="AX378" s="51">
        <v>394.12149173394897</v>
      </c>
      <c r="AY378" s="49">
        <v>395.30787608246197</v>
      </c>
      <c r="AZ378" s="49">
        <v>1.1863843485130019</v>
      </c>
      <c r="BA378" s="42" t="s">
        <v>150</v>
      </c>
      <c r="BB378" s="50">
        <v>8673.5597786530052</v>
      </c>
      <c r="BC378" s="57">
        <v>848087.33384752332</v>
      </c>
      <c r="BD378" s="42" t="s">
        <v>150</v>
      </c>
      <c r="BE378" s="46">
        <v>111.59633027522899</v>
      </c>
      <c r="BF378" s="46">
        <v>83.628504672897193</v>
      </c>
      <c r="BG378" s="42" t="s">
        <v>150</v>
      </c>
      <c r="BH378" s="52">
        <v>0.42765537652088098</v>
      </c>
      <c r="BI378" s="52">
        <v>0.51187669456560203</v>
      </c>
      <c r="BJ378" s="42" t="s">
        <v>152</v>
      </c>
      <c r="BK378" s="46">
        <v>795.318934112384</v>
      </c>
      <c r="BL378" s="46">
        <v>638.00354527981403</v>
      </c>
      <c r="BM378" s="42" t="s">
        <v>150</v>
      </c>
      <c r="BN378" s="48">
        <v>2</v>
      </c>
      <c r="BO378" s="42" t="s">
        <v>161</v>
      </c>
      <c r="BP378" s="42" t="s">
        <v>152</v>
      </c>
      <c r="BQ378" s="46">
        <v>774.72284770899205</v>
      </c>
      <c r="BR378" s="46">
        <v>152</v>
      </c>
      <c r="BS378" s="46">
        <v>8956</v>
      </c>
      <c r="BT378" s="46">
        <v>2691</v>
      </c>
      <c r="BU378" s="46">
        <v>3.3281308063916759</v>
      </c>
      <c r="BV378" s="46">
        <v>17.703947368421051</v>
      </c>
      <c r="BW378" s="46">
        <v>2691</v>
      </c>
      <c r="BX378" s="46">
        <v>0</v>
      </c>
      <c r="BY378" s="46">
        <v>2691</v>
      </c>
      <c r="BZ378" s="46">
        <v>1</v>
      </c>
      <c r="CA378" s="46">
        <v>1</v>
      </c>
      <c r="CB378" s="46">
        <v>0</v>
      </c>
      <c r="CC378" s="46">
        <v>0</v>
      </c>
      <c r="CD378" s="46">
        <v>0</v>
      </c>
      <c r="CE378" s="46">
        <v>0</v>
      </c>
      <c r="CF378" s="46">
        <v>0</v>
      </c>
      <c r="CG378" s="46">
        <v>0</v>
      </c>
      <c r="CH378" s="46">
        <v>0</v>
      </c>
      <c r="CI378" s="46">
        <v>0.55828494863778466</v>
      </c>
      <c r="CJ378" s="46">
        <v>0.78159892809289866</v>
      </c>
      <c r="CK378">
        <v>343</v>
      </c>
      <c r="CL378">
        <v>425.27</v>
      </c>
      <c r="CM378">
        <f t="shared" si="42"/>
        <v>82.269999999999982</v>
      </c>
      <c r="CN378">
        <v>7.18</v>
      </c>
      <c r="CO378">
        <v>9.4499999999999993</v>
      </c>
      <c r="CP378">
        <f t="shared" si="43"/>
        <v>2.2699999999999996</v>
      </c>
      <c r="CQ378">
        <v>846.56</v>
      </c>
      <c r="CR378">
        <v>795.32</v>
      </c>
      <c r="CS378">
        <f t="shared" si="44"/>
        <v>51.239999999999895</v>
      </c>
      <c r="CT378" t="s">
        <v>152</v>
      </c>
      <c r="CU378">
        <v>93.95</v>
      </c>
      <c r="CV378">
        <v>312</v>
      </c>
      <c r="CW378" s="46">
        <v>2691</v>
      </c>
      <c r="CX378" s="46">
        <f t="shared" si="38"/>
        <v>96.942772203641766</v>
      </c>
      <c r="CY378" s="46">
        <v>82.27</v>
      </c>
      <c r="CZ378" s="46">
        <f t="shared" si="39"/>
        <v>100</v>
      </c>
      <c r="DA378" s="46">
        <f t="shared" si="40"/>
        <v>442.57757448787896</v>
      </c>
      <c r="DB378" s="46">
        <v>1227387.1100000001</v>
      </c>
      <c r="DC378" s="46">
        <f t="shared" si="41"/>
        <v>17.57818748264684</v>
      </c>
      <c r="DD378" s="46">
        <v>48749.06</v>
      </c>
      <c r="DE378" s="995">
        <v>2691</v>
      </c>
      <c r="DF378" s="995">
        <v>96.97</v>
      </c>
      <c r="DG378" s="995">
        <v>81.5</v>
      </c>
      <c r="DH378" s="995">
        <v>100</v>
      </c>
      <c r="DI378" s="995">
        <v>2461.5320000000002</v>
      </c>
      <c r="DJ378" s="995">
        <v>6824711</v>
      </c>
      <c r="DK378" s="995">
        <v>102.255</v>
      </c>
      <c r="DL378" s="995">
        <v>283506.5</v>
      </c>
      <c r="DM378" s="995">
        <v>2691</v>
      </c>
      <c r="DN378" s="995">
        <v>97.05</v>
      </c>
      <c r="DO378" s="995">
        <v>79.400000000000006</v>
      </c>
      <c r="DP378" s="995">
        <v>100</v>
      </c>
      <c r="DQ378" s="995">
        <v>2452.1280000000002</v>
      </c>
      <c r="DR378" s="995">
        <v>6793350</v>
      </c>
      <c r="DS378" s="995">
        <v>101.934</v>
      </c>
      <c r="DT378" s="995">
        <v>282397.09999999998</v>
      </c>
    </row>
    <row r="379" spans="1:124">
      <c r="A379" s="42" t="s">
        <v>94</v>
      </c>
      <c r="B379" s="42" t="s">
        <v>549</v>
      </c>
      <c r="C379" s="42" t="s">
        <v>550</v>
      </c>
      <c r="D379" s="42">
        <v>816372</v>
      </c>
      <c r="E379" s="42" t="s">
        <v>595</v>
      </c>
      <c r="F379" s="42" t="s">
        <v>149</v>
      </c>
      <c r="G379" s="42" t="s">
        <v>150</v>
      </c>
      <c r="H379" s="43" t="s">
        <v>150</v>
      </c>
      <c r="I379" s="44">
        <v>69</v>
      </c>
      <c r="J379" s="45">
        <v>227673.84640000001</v>
      </c>
      <c r="K379" s="46">
        <v>10700.018276999999</v>
      </c>
      <c r="L379" s="47">
        <v>238373.86467700001</v>
      </c>
      <c r="M379" s="48">
        <v>5157681</v>
      </c>
      <c r="N379" s="49">
        <v>3342277</v>
      </c>
      <c r="O379" s="49">
        <v>1814450</v>
      </c>
      <c r="P379" s="49">
        <v>954</v>
      </c>
      <c r="Q379" s="50">
        <v>11936.869861111099</v>
      </c>
      <c r="R379" s="51">
        <v>25175.5141157486</v>
      </c>
      <c r="S379" s="49">
        <v>38258.831890765701</v>
      </c>
      <c r="T379" s="49">
        <v>8205.2627781153697</v>
      </c>
      <c r="U379" s="49">
        <f>IFERROR(INDEX('Rentabilidad datos'!$N$2:$N$61,MATCH($C379,'Rentabilidad datos'!$C$2:$C$61,0)),"")</f>
        <v>71639.608784629672</v>
      </c>
      <c r="V379" s="50">
        <f>IFERROR(INDEX('Rentabilidad datos'!$O$2:$O$61,MATCH($C379,'Rentabilidad datos'!$C$2:$C$61,0)),"")</f>
        <v>1193.9934797438279</v>
      </c>
      <c r="W379" s="51">
        <f>IFERROR(INDEX('Rentabilidad datos'!$M$2:$M$61,MATCH($C379,'Rentabilidad datos'!$C$2:$C$61,0)),"")</f>
        <v>3427.1365491869451</v>
      </c>
      <c r="X379" s="52">
        <f>IFERROR(INDEX('Rentabilidad datos'!$P$2:$P$61,MATCH($C379,'Rentabilidad datos'!$C$2:$C$61,0)),"")</f>
        <v>0.34839390336725601</v>
      </c>
      <c r="Y379" s="43" t="s">
        <v>171</v>
      </c>
      <c r="Z379" s="53">
        <v>75.831018518518505</v>
      </c>
      <c r="AA379" s="43">
        <v>2</v>
      </c>
      <c r="AB379" s="54">
        <v>0.96485086999370451</v>
      </c>
      <c r="AC379" s="55">
        <v>3.5149130006295465E-2</v>
      </c>
      <c r="AD379" s="752" t="e">
        <f>_xlfn.XLOOKUP(Table1[[#This Row],[Ruta]],#REF!,#REF!)</f>
        <v>#REF!</v>
      </c>
      <c r="AE379" s="752" t="e">
        <f>_xlfn.XLOOKUP(Table1[[#This Row],[Ruta]],#REF!,#REF!)</f>
        <v>#REF!</v>
      </c>
      <c r="AF379" s="752" t="e">
        <f>_xlfn.XLOOKUP(Table1[[#This Row],[Ruta]],#REF!,#REF!)</f>
        <v>#REF!</v>
      </c>
      <c r="AG379" s="752" t="e">
        <f>_xlfn.XLOOKUP(Table1[[#This Row],[Ruta]],#REF!,#REF!)</f>
        <v>#REF!</v>
      </c>
      <c r="AH379" s="52">
        <v>0.64801933271949153</v>
      </c>
      <c r="AI379" s="52">
        <v>0.35179570043203523</v>
      </c>
      <c r="AJ379" s="55">
        <v>1.8496684847318009E-4</v>
      </c>
      <c r="AK379" s="56">
        <v>32759</v>
      </c>
      <c r="AL379" s="44">
        <v>18491</v>
      </c>
      <c r="AM379" s="54">
        <v>0.56445556946182696</v>
      </c>
      <c r="AN379" s="55">
        <v>0.55224100357395201</v>
      </c>
      <c r="AO379" s="56">
        <v>0</v>
      </c>
      <c r="AP379" s="48">
        <v>0</v>
      </c>
      <c r="AQ379" s="55">
        <v>0.56445556946182729</v>
      </c>
      <c r="AR379" s="51">
        <v>5156727.78</v>
      </c>
      <c r="AS379" s="49">
        <v>0</v>
      </c>
      <c r="AT379" s="55">
        <v>0</v>
      </c>
      <c r="AU379" s="51">
        <v>0</v>
      </c>
      <c r="AV379" s="52">
        <v>0</v>
      </c>
      <c r="AW379" s="44">
        <v>490</v>
      </c>
      <c r="AX379" s="51">
        <v>278.87771240062699</v>
      </c>
      <c r="AY379" s="49">
        <v>395.30787608246197</v>
      </c>
      <c r="AZ379" s="49">
        <v>116.43016368183498</v>
      </c>
      <c r="BA379" s="42" t="s">
        <v>150</v>
      </c>
      <c r="BB379" s="50">
        <v>756427.89287379873</v>
      </c>
      <c r="BC379" s="57">
        <v>756427.89287379873</v>
      </c>
      <c r="BD379" s="42" t="s">
        <v>150</v>
      </c>
      <c r="BE379" s="46">
        <v>75.831018518518505</v>
      </c>
      <c r="BF379" s="46">
        <v>83.628504672897193</v>
      </c>
      <c r="BG379" s="42" t="s">
        <v>152</v>
      </c>
      <c r="BH379" s="52">
        <v>0.56445556946182696</v>
      </c>
      <c r="BI379" s="52">
        <v>0.51187669456560203</v>
      </c>
      <c r="BJ379" s="42" t="s">
        <v>150</v>
      </c>
      <c r="BK379" s="46">
        <v>551.79135341897995</v>
      </c>
      <c r="BL379" s="46">
        <v>638.00354527981403</v>
      </c>
      <c r="BM379" s="42" t="s">
        <v>152</v>
      </c>
      <c r="BN379" s="48">
        <v>1</v>
      </c>
      <c r="BO379" s="42" t="s">
        <v>155</v>
      </c>
      <c r="BP379" s="42" t="s">
        <v>152</v>
      </c>
      <c r="BQ379" s="46">
        <v>0</v>
      </c>
      <c r="BR379" s="46">
        <v>71</v>
      </c>
      <c r="BS379" s="46">
        <v>6910</v>
      </c>
      <c r="BT379" s="46">
        <v>2329</v>
      </c>
      <c r="BU379" s="46">
        <v>2.9669386002576212</v>
      </c>
      <c r="BV379" s="46">
        <v>32.802816901408448</v>
      </c>
      <c r="BW379" s="46">
        <v>2329</v>
      </c>
      <c r="BX379" s="46">
        <v>0</v>
      </c>
      <c r="BY379" s="46">
        <v>2329</v>
      </c>
      <c r="BZ379" s="46">
        <v>1</v>
      </c>
      <c r="CA379" s="46">
        <v>1</v>
      </c>
      <c r="CB379" s="46">
        <v>0</v>
      </c>
      <c r="CC379" s="46">
        <v>0</v>
      </c>
      <c r="CD379" s="46">
        <v>0</v>
      </c>
      <c r="CE379" s="46">
        <v>0</v>
      </c>
      <c r="CF379" s="46">
        <v>0</v>
      </c>
      <c r="CG379" s="46">
        <v>0</v>
      </c>
      <c r="CH379" s="46">
        <v>0</v>
      </c>
      <c r="CI379" s="46">
        <v>0.72358900144717797</v>
      </c>
      <c r="CJ379" s="46">
        <v>0.72358900144717797</v>
      </c>
      <c r="CK379">
        <v>310</v>
      </c>
      <c r="CL379">
        <v>389.18</v>
      </c>
      <c r="CM379">
        <f t="shared" si="42"/>
        <v>79.180000000000007</v>
      </c>
      <c r="CN379">
        <v>7.25</v>
      </c>
      <c r="CO379">
        <v>9.4499999999999993</v>
      </c>
      <c r="CP379">
        <f t="shared" si="43"/>
        <v>2.1999999999999993</v>
      </c>
      <c r="CQ379">
        <v>846.56</v>
      </c>
      <c r="CR379">
        <v>551.79</v>
      </c>
      <c r="CS379">
        <f t="shared" si="44"/>
        <v>294.77</v>
      </c>
      <c r="CT379" t="s">
        <v>152</v>
      </c>
      <c r="CU379">
        <v>76.92</v>
      </c>
      <c r="CV379">
        <v>367</v>
      </c>
      <c r="CW379" s="46">
        <v>2329</v>
      </c>
      <c r="CX379" s="46">
        <f t="shared" si="38"/>
        <v>96.600257621296706</v>
      </c>
      <c r="CY379" s="46">
        <v>79.180000000000007</v>
      </c>
      <c r="CZ379" s="46">
        <f t="shared" si="39"/>
        <v>100</v>
      </c>
      <c r="DA379" s="46">
        <f t="shared" si="40"/>
        <v>778.79786394704718</v>
      </c>
      <c r="DB379" s="46">
        <v>1875485.44</v>
      </c>
      <c r="DC379" s="46">
        <f t="shared" si="41"/>
        <v>34.737187419545052</v>
      </c>
      <c r="DD379" s="46">
        <v>83653.399999999994</v>
      </c>
      <c r="DE379" s="995">
        <v>2329</v>
      </c>
      <c r="DF379" s="995">
        <v>96.927999999999997</v>
      </c>
      <c r="DG379" s="995">
        <v>71.5</v>
      </c>
      <c r="DH379" s="995">
        <v>100</v>
      </c>
      <c r="DI379" s="995">
        <v>2531.9299999999998</v>
      </c>
      <c r="DJ379" s="995">
        <v>6078018</v>
      </c>
      <c r="DK379" s="995">
        <v>112.404</v>
      </c>
      <c r="DL379" s="995">
        <v>269832</v>
      </c>
      <c r="DM379" s="995">
        <v>2329</v>
      </c>
      <c r="DN379" s="995">
        <v>97.457999999999998</v>
      </c>
      <c r="DO379" s="995">
        <v>59.2</v>
      </c>
      <c r="DP379" s="995">
        <v>100</v>
      </c>
      <c r="DQ379" s="995">
        <v>2484.7489999999998</v>
      </c>
      <c r="DR379" s="995">
        <v>5934111</v>
      </c>
      <c r="DS379" s="995">
        <v>110.32899999999999</v>
      </c>
      <c r="DT379" s="995">
        <v>263488.59999999998</v>
      </c>
    </row>
    <row r="380" spans="1:124">
      <c r="A380" s="42" t="s">
        <v>94</v>
      </c>
      <c r="B380" s="42" t="s">
        <v>549</v>
      </c>
      <c r="C380" s="42" t="s">
        <v>550</v>
      </c>
      <c r="D380" s="42">
        <v>816373</v>
      </c>
      <c r="E380" s="42" t="s">
        <v>596</v>
      </c>
      <c r="F380" s="42" t="s">
        <v>149</v>
      </c>
      <c r="G380" s="42" t="s">
        <v>150</v>
      </c>
      <c r="H380" s="43" t="s">
        <v>150</v>
      </c>
      <c r="I380" s="44">
        <v>69</v>
      </c>
      <c r="J380" s="45">
        <v>177011.1672</v>
      </c>
      <c r="K380" s="46">
        <v>12906.702987999999</v>
      </c>
      <c r="L380" s="47">
        <v>189917.870188</v>
      </c>
      <c r="M380" s="48">
        <v>4567276</v>
      </c>
      <c r="N380" s="49">
        <v>2580080</v>
      </c>
      <c r="O380" s="49">
        <v>1982577</v>
      </c>
      <c r="P380" s="49">
        <v>4619</v>
      </c>
      <c r="Q380" s="50">
        <v>10513.0334101383</v>
      </c>
      <c r="R380" s="51">
        <v>25175.5141157486</v>
      </c>
      <c r="S380" s="49">
        <v>38258.831890765701</v>
      </c>
      <c r="T380" s="49">
        <v>8205.2627781153697</v>
      </c>
      <c r="U380" s="49">
        <f>IFERROR(INDEX('Rentabilidad datos'!$N$2:$N$61,MATCH($C380,'Rentabilidad datos'!$C$2:$C$61,0)),"")</f>
        <v>71639.608784629672</v>
      </c>
      <c r="V380" s="50">
        <f>IFERROR(INDEX('Rentabilidad datos'!$O$2:$O$61,MATCH($C380,'Rentabilidad datos'!$C$2:$C$61,0)),"")</f>
        <v>1193.9934797438279</v>
      </c>
      <c r="W380" s="51">
        <f>IFERROR(INDEX('Rentabilidad datos'!$M$2:$M$61,MATCH($C380,'Rentabilidad datos'!$C$2:$C$61,0)),"")</f>
        <v>3427.1365491869451</v>
      </c>
      <c r="X380" s="52">
        <f>IFERROR(INDEX('Rentabilidad datos'!$P$2:$P$61,MATCH($C380,'Rentabilidad datos'!$C$2:$C$61,0)),"")</f>
        <v>0.34839390336725601</v>
      </c>
      <c r="Y380" s="43" t="s">
        <v>171</v>
      </c>
      <c r="Z380" s="53">
        <v>70.529953917050705</v>
      </c>
      <c r="AA380" s="43">
        <v>2</v>
      </c>
      <c r="AB380" s="54">
        <v>0.98089101687745606</v>
      </c>
      <c r="AC380" s="55">
        <v>1.910898312254394E-2</v>
      </c>
      <c r="AD380" s="752" t="e">
        <f>_xlfn.XLOOKUP(Table1[[#This Row],[Ruta]],#REF!,#REF!)</f>
        <v>#REF!</v>
      </c>
      <c r="AE380" s="752" t="e">
        <f>_xlfn.XLOOKUP(Table1[[#This Row],[Ruta]],#REF!,#REF!)</f>
        <v>#REF!</v>
      </c>
      <c r="AF380" s="752" t="e">
        <f>_xlfn.XLOOKUP(Table1[[#This Row],[Ruta]],#REF!,#REF!)</f>
        <v>#REF!</v>
      </c>
      <c r="AG380" s="752" t="e">
        <f>_xlfn.XLOOKUP(Table1[[#This Row],[Ruta]],#REF!,#REF!)</f>
        <v>#REF!</v>
      </c>
      <c r="AH380" s="52">
        <v>0.56490564616633632</v>
      </c>
      <c r="AI380" s="52">
        <v>0.4340830289213965</v>
      </c>
      <c r="AJ380" s="55">
        <v>1.0113249122671807E-3</v>
      </c>
      <c r="AK380" s="56">
        <v>30610</v>
      </c>
      <c r="AL380" s="44">
        <v>14711</v>
      </c>
      <c r="AM380" s="54">
        <v>0.480594576935642</v>
      </c>
      <c r="AN380" s="55">
        <v>0.55224100357395201</v>
      </c>
      <c r="AO380" s="56">
        <v>2193.0971193986602</v>
      </c>
      <c r="AP380" s="48">
        <v>1096.5485596993301</v>
      </c>
      <c r="AQ380" s="55">
        <v>0.51641779025479673</v>
      </c>
      <c r="AR380" s="51">
        <v>4562656.5</v>
      </c>
      <c r="AS380" s="49">
        <v>340097.50618433702</v>
      </c>
      <c r="AT380" s="55">
        <v>7.4539362361452588E-2</v>
      </c>
      <c r="AU380" s="51">
        <v>238987.43677818286</v>
      </c>
      <c r="AV380" s="52">
        <v>1.0871764659106491E-3</v>
      </c>
      <c r="AW380" s="44">
        <v>282</v>
      </c>
      <c r="AX380" s="51">
        <v>310.15270885731798</v>
      </c>
      <c r="AY380" s="49">
        <v>395.30787608246197</v>
      </c>
      <c r="AZ380" s="49">
        <v>85.155167225143998</v>
      </c>
      <c r="BA380" s="42" t="s">
        <v>150</v>
      </c>
      <c r="BB380" s="50">
        <v>440144.04447670863</v>
      </c>
      <c r="BC380" s="57">
        <v>679131.48125489149</v>
      </c>
      <c r="BD380" s="42" t="s">
        <v>150</v>
      </c>
      <c r="BE380" s="46">
        <v>70.529953917050705</v>
      </c>
      <c r="BF380" s="46">
        <v>83.628504672897193</v>
      </c>
      <c r="BG380" s="42" t="s">
        <v>152</v>
      </c>
      <c r="BH380" s="52">
        <v>0.480594576935642</v>
      </c>
      <c r="BI380" s="52">
        <v>0.51187669456560203</v>
      </c>
      <c r="BJ380" s="42" t="s">
        <v>152</v>
      </c>
      <c r="BK380" s="46">
        <v>437.59877923502302</v>
      </c>
      <c r="BL380" s="46">
        <v>638.00354527981403</v>
      </c>
      <c r="BM380" s="42" t="s">
        <v>152</v>
      </c>
      <c r="BN380" s="48">
        <v>0</v>
      </c>
      <c r="BO380" s="42" t="s">
        <v>155</v>
      </c>
      <c r="BP380" s="42" t="s">
        <v>152</v>
      </c>
      <c r="BQ380" s="46">
        <v>1795.7777932097299</v>
      </c>
      <c r="BR380" s="46">
        <v>37</v>
      </c>
      <c r="BS380" s="46">
        <v>2733</v>
      </c>
      <c r="BT380" s="46">
        <v>1000</v>
      </c>
      <c r="BU380" s="46">
        <v>2.7330000000000001</v>
      </c>
      <c r="BV380" s="46">
        <v>27.027027027027028</v>
      </c>
      <c r="BW380" s="46">
        <v>930</v>
      </c>
      <c r="BX380" s="46">
        <v>70</v>
      </c>
      <c r="BY380" s="46">
        <v>1000</v>
      </c>
      <c r="BZ380" s="46">
        <v>1</v>
      </c>
      <c r="CA380" s="46">
        <v>0.93</v>
      </c>
      <c r="CB380" s="46">
        <v>7.0000000000000007E-2</v>
      </c>
      <c r="CC380" s="46">
        <v>0</v>
      </c>
      <c r="CD380" s="46">
        <v>0</v>
      </c>
      <c r="CE380" s="46">
        <v>0</v>
      </c>
      <c r="CF380" s="46">
        <v>0</v>
      </c>
      <c r="CG380" s="46">
        <v>0</v>
      </c>
      <c r="CH380" s="46">
        <v>0</v>
      </c>
      <c r="CI380" s="46">
        <v>1.463593121112331</v>
      </c>
      <c r="CJ380" s="46">
        <v>0.73179656055616538</v>
      </c>
      <c r="CK380">
        <v>317</v>
      </c>
      <c r="CL380">
        <v>473.69</v>
      </c>
      <c r="CM380">
        <f t="shared" si="42"/>
        <v>156.69</v>
      </c>
      <c r="CN380">
        <v>8.01</v>
      </c>
      <c r="CO380">
        <v>9.4499999999999993</v>
      </c>
      <c r="CP380">
        <f t="shared" si="43"/>
        <v>1.4399999999999995</v>
      </c>
      <c r="CQ380">
        <v>846.56</v>
      </c>
      <c r="CR380">
        <v>437.6</v>
      </c>
      <c r="CS380">
        <f t="shared" si="44"/>
        <v>408.95999999999992</v>
      </c>
      <c r="CT380" t="s">
        <v>152</v>
      </c>
      <c r="CU380">
        <v>87.06</v>
      </c>
      <c r="CV380">
        <v>326</v>
      </c>
      <c r="CW380" s="46">
        <v>1000</v>
      </c>
      <c r="CX380" s="46">
        <f t="shared" si="38"/>
        <v>84.330999999999989</v>
      </c>
      <c r="CY380" s="46">
        <v>156.69</v>
      </c>
      <c r="CZ380" s="46">
        <f t="shared" si="39"/>
        <v>100</v>
      </c>
      <c r="DA380" s="46">
        <f t="shared" si="40"/>
        <v>3595.9370185615853</v>
      </c>
      <c r="DB380" s="46">
        <v>4159384.39</v>
      </c>
      <c r="DC380" s="46">
        <f t="shared" si="41"/>
        <v>137.93707907909638</v>
      </c>
      <c r="DD380" s="46">
        <v>159550.44</v>
      </c>
      <c r="DE380" s="995">
        <v>1000</v>
      </c>
      <c r="DF380" s="995">
        <v>86.215999999999994</v>
      </c>
      <c r="DG380" s="995">
        <v>137.80000000000001</v>
      </c>
      <c r="DH380" s="995">
        <v>100</v>
      </c>
      <c r="DI380" s="995">
        <v>6281.9759999999997</v>
      </c>
      <c r="DJ380" s="995">
        <v>7147876</v>
      </c>
      <c r="DK380" s="995">
        <v>243.863</v>
      </c>
      <c r="DL380" s="995">
        <v>277476.8</v>
      </c>
      <c r="DM380" s="995">
        <v>1000</v>
      </c>
      <c r="DN380" s="995">
        <v>88.649000000000001</v>
      </c>
      <c r="DO380" s="995">
        <v>113.5</v>
      </c>
      <c r="DP380" s="995">
        <v>100</v>
      </c>
      <c r="DQ380" s="995">
        <v>6112.9660000000003</v>
      </c>
      <c r="DR380" s="995">
        <v>6806875</v>
      </c>
      <c r="DS380" s="995">
        <v>237.95500000000001</v>
      </c>
      <c r="DT380" s="995">
        <v>264966.7</v>
      </c>
    </row>
    <row r="381" spans="1:124">
      <c r="A381" s="42" t="s">
        <v>94</v>
      </c>
      <c r="B381" s="42" t="s">
        <v>549</v>
      </c>
      <c r="C381" s="42" t="s">
        <v>550</v>
      </c>
      <c r="D381" s="42">
        <v>816374</v>
      </c>
      <c r="E381" s="42" t="s">
        <v>597</v>
      </c>
      <c r="F381" s="42" t="s">
        <v>149</v>
      </c>
      <c r="G381" s="42" t="s">
        <v>150</v>
      </c>
      <c r="H381" s="43" t="s">
        <v>150</v>
      </c>
      <c r="I381" s="44">
        <v>69</v>
      </c>
      <c r="J381" s="45">
        <v>299256.05919999903</v>
      </c>
      <c r="K381" s="46">
        <v>12758.174747999999</v>
      </c>
      <c r="L381" s="47">
        <v>312014.23394799902</v>
      </c>
      <c r="M381" s="48">
        <v>6093737</v>
      </c>
      <c r="N381" s="49">
        <v>4306506</v>
      </c>
      <c r="O381" s="49">
        <v>1780415</v>
      </c>
      <c r="P381" s="49">
        <v>6816</v>
      </c>
      <c r="Q381" s="50">
        <v>14133.5222018349</v>
      </c>
      <c r="R381" s="51">
        <v>25175.5141157486</v>
      </c>
      <c r="S381" s="49">
        <v>38258.831890765701</v>
      </c>
      <c r="T381" s="49">
        <v>8205.2627781153697</v>
      </c>
      <c r="U381" s="49">
        <f>IFERROR(INDEX('Rentabilidad datos'!$N$2:$N$61,MATCH($C381,'Rentabilidad datos'!$C$2:$C$61,0)),"")</f>
        <v>71639.608784629672</v>
      </c>
      <c r="V381" s="50">
        <f>IFERROR(INDEX('Rentabilidad datos'!$O$2:$O$61,MATCH($C381,'Rentabilidad datos'!$C$2:$C$61,0)),"")</f>
        <v>1193.9934797438279</v>
      </c>
      <c r="W381" s="51">
        <f>IFERROR(INDEX('Rentabilidad datos'!$M$2:$M$61,MATCH($C381,'Rentabilidad datos'!$C$2:$C$61,0)),"")</f>
        <v>3427.1365491869451</v>
      </c>
      <c r="X381" s="52">
        <f>IFERROR(INDEX('Rentabilidad datos'!$P$2:$P$61,MATCH($C381,'Rentabilidad datos'!$C$2:$C$61,0)),"")</f>
        <v>0.34839390336725601</v>
      </c>
      <c r="Y381" s="43" t="s">
        <v>171</v>
      </c>
      <c r="Z381" s="53">
        <v>81.229357798165097</v>
      </c>
      <c r="AA381" s="43">
        <v>2</v>
      </c>
      <c r="AB381" s="54">
        <v>0.99243419924424048</v>
      </c>
      <c r="AC381" s="55">
        <v>7.565800755759561E-3</v>
      </c>
      <c r="AD381" s="752" t="e">
        <f>_xlfn.XLOOKUP(Table1[[#This Row],[Ruta]],#REF!,#REF!)</f>
        <v>#REF!</v>
      </c>
      <c r="AE381" s="752" t="e">
        <f>_xlfn.XLOOKUP(Table1[[#This Row],[Ruta]],#REF!,#REF!)</f>
        <v>#REF!</v>
      </c>
      <c r="AF381" s="752" t="e">
        <f>_xlfn.XLOOKUP(Table1[[#This Row],[Ruta]],#REF!,#REF!)</f>
        <v>#REF!</v>
      </c>
      <c r="AG381" s="752" t="e">
        <f>_xlfn.XLOOKUP(Table1[[#This Row],[Ruta]],#REF!,#REF!)</f>
        <v>#REF!</v>
      </c>
      <c r="AH381" s="52">
        <v>0.70671018457147072</v>
      </c>
      <c r="AI381" s="52">
        <v>0.29217128996541858</v>
      </c>
      <c r="AJ381" s="55">
        <v>1.1185254631107316E-3</v>
      </c>
      <c r="AK381" s="56">
        <v>35416</v>
      </c>
      <c r="AL381" s="44">
        <v>18854</v>
      </c>
      <c r="AM381" s="54">
        <v>0.53235825615540999</v>
      </c>
      <c r="AN381" s="55">
        <v>0.55224100357395201</v>
      </c>
      <c r="AO381" s="56">
        <v>704.16738257506995</v>
      </c>
      <c r="AP381" s="48">
        <v>352.08369128753498</v>
      </c>
      <c r="AQ381" s="55">
        <v>0.54229962986468083</v>
      </c>
      <c r="AR381" s="51">
        <v>6162215.6799999997</v>
      </c>
      <c r="AS381" s="49">
        <v>115074.55410651999</v>
      </c>
      <c r="AT381" s="55">
        <v>1.8674217210540738E-2</v>
      </c>
      <c r="AU381" s="51">
        <v>80863.200182960019</v>
      </c>
      <c r="AV381" s="52">
        <v>3.6785434992857898E-4</v>
      </c>
      <c r="AW381" s="44">
        <v>406</v>
      </c>
      <c r="AX381" s="51">
        <v>326.83863795481102</v>
      </c>
      <c r="AY381" s="49">
        <v>395.30787608246197</v>
      </c>
      <c r="AZ381" s="49">
        <v>68.469238127650954</v>
      </c>
      <c r="BA381" s="42" t="s">
        <v>150</v>
      </c>
      <c r="BB381" s="50">
        <v>453566.14063685166</v>
      </c>
      <c r="BC381" s="57">
        <v>534429.34081981168</v>
      </c>
      <c r="BD381" s="42" t="s">
        <v>150</v>
      </c>
      <c r="BE381" s="46">
        <v>81.229357798165097</v>
      </c>
      <c r="BF381" s="46">
        <v>83.628504672897193</v>
      </c>
      <c r="BG381" s="42" t="s">
        <v>152</v>
      </c>
      <c r="BH381" s="52">
        <v>0.53235825615540999</v>
      </c>
      <c r="BI381" s="52">
        <v>0.51187669456560203</v>
      </c>
      <c r="BJ381" s="42" t="s">
        <v>150</v>
      </c>
      <c r="BK381" s="46">
        <v>715.628976944952</v>
      </c>
      <c r="BL381" s="46">
        <v>638.00354527981403</v>
      </c>
      <c r="BM381" s="42" t="s">
        <v>150</v>
      </c>
      <c r="BN381" s="48">
        <v>2</v>
      </c>
      <c r="BO381" s="42" t="s">
        <v>161</v>
      </c>
      <c r="BP381" s="42" t="s">
        <v>152</v>
      </c>
      <c r="BQ381" s="46">
        <v>0</v>
      </c>
      <c r="BR381" s="46">
        <v>39</v>
      </c>
      <c r="BS381" s="46">
        <v>2202</v>
      </c>
      <c r="BT381" s="46">
        <v>772</v>
      </c>
      <c r="BU381" s="46">
        <v>2.8523316062176165</v>
      </c>
      <c r="BV381" s="46">
        <v>19.794871794871796</v>
      </c>
      <c r="BW381" s="46">
        <v>460</v>
      </c>
      <c r="BX381" s="46">
        <v>312</v>
      </c>
      <c r="BY381" s="46">
        <v>772</v>
      </c>
      <c r="BZ381" s="46">
        <v>1</v>
      </c>
      <c r="CA381" s="46">
        <v>0.59585492227979275</v>
      </c>
      <c r="CB381" s="46">
        <v>0.40414507772020719</v>
      </c>
      <c r="CC381" s="46">
        <v>0</v>
      </c>
      <c r="CD381" s="46">
        <v>0</v>
      </c>
      <c r="CE381" s="46">
        <v>0</v>
      </c>
      <c r="CF381" s="46">
        <v>0</v>
      </c>
      <c r="CG381" s="46">
        <v>0</v>
      </c>
      <c r="CH381" s="46">
        <v>0</v>
      </c>
      <c r="CI381" s="46">
        <v>0</v>
      </c>
      <c r="CJ381" s="46">
        <v>0.90826521344232514</v>
      </c>
      <c r="CK381">
        <v>273</v>
      </c>
      <c r="CL381">
        <v>273</v>
      </c>
      <c r="CM381">
        <f t="shared" si="42"/>
        <v>0</v>
      </c>
      <c r="CN381">
        <v>6.69</v>
      </c>
      <c r="CO381">
        <v>9.4499999999999993</v>
      </c>
      <c r="CP381">
        <f t="shared" si="43"/>
        <v>2.7599999999999989</v>
      </c>
      <c r="CQ381">
        <v>564.37</v>
      </c>
      <c r="CR381">
        <v>715.63</v>
      </c>
      <c r="CS381">
        <f t="shared" si="44"/>
        <v>-151.26</v>
      </c>
      <c r="CT381" t="s">
        <v>150</v>
      </c>
      <c r="CU381">
        <v>126.8</v>
      </c>
      <c r="CV381">
        <v>246</v>
      </c>
      <c r="CW381" s="46">
        <v>772</v>
      </c>
      <c r="CX381" s="46">
        <f t="shared" si="38"/>
        <v>100</v>
      </c>
      <c r="CY381" s="46">
        <v>0</v>
      </c>
      <c r="CZ381" s="46">
        <f t="shared" si="39"/>
        <v>100</v>
      </c>
      <c r="DA381" s="46">
        <f t="shared" si="40"/>
        <v>1177.30353626943</v>
      </c>
      <c r="DB381" s="46">
        <v>908878.33</v>
      </c>
      <c r="DC381" s="46">
        <f t="shared" si="41"/>
        <v>52.179235751295337</v>
      </c>
      <c r="DD381" s="46">
        <v>40282.370000000003</v>
      </c>
      <c r="DE381" s="995">
        <v>772</v>
      </c>
      <c r="DF381" s="995">
        <v>100</v>
      </c>
      <c r="DG381" s="995">
        <v>0</v>
      </c>
      <c r="DH381" s="995">
        <v>100</v>
      </c>
      <c r="DI381" s="995">
        <v>4568.1710000000003</v>
      </c>
      <c r="DJ381" s="995">
        <v>3526628</v>
      </c>
      <c r="DK381" s="995">
        <v>202.33600000000001</v>
      </c>
      <c r="DL381" s="995">
        <v>156203.5</v>
      </c>
      <c r="DM381" s="995">
        <v>772</v>
      </c>
      <c r="DN381" s="995">
        <v>100</v>
      </c>
      <c r="DO381" s="995">
        <v>0</v>
      </c>
      <c r="DP381" s="995">
        <v>100</v>
      </c>
      <c r="DQ381" s="995">
        <v>4568.1710000000003</v>
      </c>
      <c r="DR381" s="995">
        <v>3526628</v>
      </c>
      <c r="DS381" s="995">
        <v>202.33600000000001</v>
      </c>
      <c r="DT381" s="995">
        <v>156203.5</v>
      </c>
    </row>
    <row r="382" spans="1:124">
      <c r="A382" s="42" t="s">
        <v>94</v>
      </c>
      <c r="B382" s="42" t="s">
        <v>549</v>
      </c>
      <c r="C382" s="42" t="s">
        <v>550</v>
      </c>
      <c r="D382" s="42">
        <v>816375</v>
      </c>
      <c r="E382" s="42" t="s">
        <v>598</v>
      </c>
      <c r="F382" s="42" t="s">
        <v>149</v>
      </c>
      <c r="G382" s="42" t="s">
        <v>150</v>
      </c>
      <c r="H382" s="43" t="s">
        <v>150</v>
      </c>
      <c r="I382" s="44">
        <v>69</v>
      </c>
      <c r="J382" s="45">
        <v>301436.42479999899</v>
      </c>
      <c r="K382" s="46">
        <v>18051.192940000001</v>
      </c>
      <c r="L382" s="47">
        <v>319487.61773999903</v>
      </c>
      <c r="M382" s="48">
        <v>7102019</v>
      </c>
      <c r="N382" s="49">
        <v>4391429</v>
      </c>
      <c r="O382" s="49">
        <v>2702553</v>
      </c>
      <c r="P382" s="49">
        <v>8037</v>
      </c>
      <c r="Q382" s="50">
        <v>16395.289516129</v>
      </c>
      <c r="R382" s="51">
        <v>25175.5141157486</v>
      </c>
      <c r="S382" s="49">
        <v>38258.831890765701</v>
      </c>
      <c r="T382" s="49">
        <v>8205.2627781153697</v>
      </c>
      <c r="U382" s="49">
        <f>IFERROR(INDEX('Rentabilidad datos'!$N$2:$N$61,MATCH($C382,'Rentabilidad datos'!$C$2:$C$61,0)),"")</f>
        <v>71639.608784629672</v>
      </c>
      <c r="V382" s="50">
        <f>IFERROR(INDEX('Rentabilidad datos'!$O$2:$O$61,MATCH($C382,'Rentabilidad datos'!$C$2:$C$61,0)),"")</f>
        <v>1193.9934797438279</v>
      </c>
      <c r="W382" s="51">
        <f>IFERROR(INDEX('Rentabilidad datos'!$M$2:$M$61,MATCH($C382,'Rentabilidad datos'!$C$2:$C$61,0)),"")</f>
        <v>3427.1365491869451</v>
      </c>
      <c r="X382" s="52">
        <f>IFERROR(INDEX('Rentabilidad datos'!$P$2:$P$61,MATCH($C382,'Rentabilidad datos'!$C$2:$C$61,0)),"")</f>
        <v>0.34839390336725601</v>
      </c>
      <c r="Y382" s="43" t="s">
        <v>171</v>
      </c>
      <c r="Z382" s="53">
        <v>62.654377880184299</v>
      </c>
      <c r="AA382" s="43">
        <v>2</v>
      </c>
      <c r="AB382" s="54">
        <v>0.98450736332865341</v>
      </c>
      <c r="AC382" s="55">
        <v>1.5492636671346557E-2</v>
      </c>
      <c r="AD382" s="752" t="e">
        <f>_xlfn.XLOOKUP(Table1[[#This Row],[Ruta]],#REF!,#REF!)</f>
        <v>#REF!</v>
      </c>
      <c r="AE382" s="752" t="e">
        <f>_xlfn.XLOOKUP(Table1[[#This Row],[Ruta]],#REF!,#REF!)</f>
        <v>#REF!</v>
      </c>
      <c r="AF382" s="752" t="e">
        <f>_xlfn.XLOOKUP(Table1[[#This Row],[Ruta]],#REF!,#REF!)</f>
        <v>#REF!</v>
      </c>
      <c r="AG382" s="752" t="e">
        <f>_xlfn.XLOOKUP(Table1[[#This Row],[Ruta]],#REF!,#REF!)</f>
        <v>#REF!</v>
      </c>
      <c r="AH382" s="52">
        <v>0.61833529310467905</v>
      </c>
      <c r="AI382" s="52">
        <v>0.38053305686734995</v>
      </c>
      <c r="AJ382" s="55">
        <v>1.1316500279709193E-3</v>
      </c>
      <c r="AK382" s="56">
        <v>27192</v>
      </c>
      <c r="AL382" s="44">
        <v>15700</v>
      </c>
      <c r="AM382" s="54">
        <v>0.577375698734922</v>
      </c>
      <c r="AN382" s="55">
        <v>0.55224100357395201</v>
      </c>
      <c r="AO382" s="56">
        <v>0</v>
      </c>
      <c r="AP382" s="48">
        <v>0</v>
      </c>
      <c r="AQ382" s="55">
        <v>0.577375698734922</v>
      </c>
      <c r="AR382" s="51">
        <v>7115555.6500000004</v>
      </c>
      <c r="AS382" s="49">
        <v>0</v>
      </c>
      <c r="AT382" s="55">
        <v>0</v>
      </c>
      <c r="AU382" s="51">
        <v>0</v>
      </c>
      <c r="AV382" s="52">
        <v>0</v>
      </c>
      <c r="AW382" s="44">
        <v>490</v>
      </c>
      <c r="AX382" s="51">
        <v>453.22010509554099</v>
      </c>
      <c r="AY382" s="49">
        <v>395.30787608246197</v>
      </c>
      <c r="AZ382" s="49">
        <v>0</v>
      </c>
      <c r="BA382" s="42" t="s">
        <v>152</v>
      </c>
      <c r="BB382" s="50">
        <v>0</v>
      </c>
      <c r="BC382" s="57">
        <v>0</v>
      </c>
      <c r="BD382" s="42" t="s">
        <v>150</v>
      </c>
      <c r="BE382" s="46">
        <v>62.654377880184299</v>
      </c>
      <c r="BF382" s="46">
        <v>83.628504672897193</v>
      </c>
      <c r="BG382" s="42" t="s">
        <v>152</v>
      </c>
      <c r="BH382" s="52">
        <v>0.577375698734922</v>
      </c>
      <c r="BI382" s="52">
        <v>0.51187669456560203</v>
      </c>
      <c r="BJ382" s="42" t="s">
        <v>150</v>
      </c>
      <c r="BK382" s="46">
        <v>736.14658465437606</v>
      </c>
      <c r="BL382" s="46">
        <v>638.00354527981403</v>
      </c>
      <c r="BM382" s="42" t="s">
        <v>150</v>
      </c>
      <c r="BN382" s="48">
        <v>2</v>
      </c>
      <c r="BO382" s="42" t="s">
        <v>161</v>
      </c>
      <c r="BP382" s="42" t="s">
        <v>152</v>
      </c>
      <c r="BQ382" s="46">
        <v>2917.35654441717</v>
      </c>
      <c r="BR382" s="46">
        <v>72</v>
      </c>
      <c r="BS382" s="46">
        <v>7678</v>
      </c>
      <c r="BT382" s="46">
        <v>2867</v>
      </c>
      <c r="BU382" s="46">
        <v>2.6780606906173703</v>
      </c>
      <c r="BV382" s="46">
        <v>39.819444444444443</v>
      </c>
      <c r="BW382" s="46">
        <v>992</v>
      </c>
      <c r="BX382" s="46">
        <v>1875</v>
      </c>
      <c r="BY382" s="46">
        <v>2867</v>
      </c>
      <c r="BZ382" s="46">
        <v>1</v>
      </c>
      <c r="CA382" s="46">
        <v>0.34600627833972791</v>
      </c>
      <c r="CB382" s="46">
        <v>0.65399372166027203</v>
      </c>
      <c r="CC382" s="46">
        <v>0</v>
      </c>
      <c r="CD382" s="46">
        <v>0</v>
      </c>
      <c r="CE382" s="46">
        <v>0</v>
      </c>
      <c r="CF382" s="46">
        <v>0</v>
      </c>
      <c r="CG382" s="46">
        <v>0</v>
      </c>
      <c r="CH382" s="46">
        <v>0</v>
      </c>
      <c r="CI382" s="46">
        <v>0.5209690023443605</v>
      </c>
      <c r="CJ382" s="46">
        <v>0.65121125293045068</v>
      </c>
      <c r="CK382">
        <v>234</v>
      </c>
      <c r="CL382">
        <v>394.25</v>
      </c>
      <c r="CM382">
        <f t="shared" si="42"/>
        <v>160.25</v>
      </c>
      <c r="CN382">
        <v>5.89</v>
      </c>
      <c r="CO382">
        <v>9.4499999999999993</v>
      </c>
      <c r="CP382">
        <f t="shared" si="43"/>
        <v>3.5599999999999996</v>
      </c>
      <c r="CQ382">
        <v>846.56</v>
      </c>
      <c r="CR382">
        <v>736.15</v>
      </c>
      <c r="CS382">
        <f t="shared" si="44"/>
        <v>110.40999999999997</v>
      </c>
      <c r="CT382" t="s">
        <v>152</v>
      </c>
      <c r="CU382">
        <v>86.96</v>
      </c>
      <c r="CV382">
        <v>282</v>
      </c>
      <c r="CW382" s="46">
        <v>2867</v>
      </c>
      <c r="CX382" s="46">
        <f t="shared" si="38"/>
        <v>94.410533658876872</v>
      </c>
      <c r="CY382" s="46">
        <v>160.25</v>
      </c>
      <c r="CZ382" s="46">
        <f t="shared" si="39"/>
        <v>100</v>
      </c>
      <c r="DA382" s="46">
        <f t="shared" si="40"/>
        <v>681.17087785944341</v>
      </c>
      <c r="DB382" s="46">
        <v>2062074.54</v>
      </c>
      <c r="DC382" s="46">
        <f t="shared" si="41"/>
        <v>31.20486249896771</v>
      </c>
      <c r="DD382" s="46">
        <v>94464.92</v>
      </c>
      <c r="DE382" s="995">
        <v>2867</v>
      </c>
      <c r="DF382" s="995">
        <v>94.438000000000002</v>
      </c>
      <c r="DG382" s="995">
        <v>159.5</v>
      </c>
      <c r="DH382" s="995">
        <v>100</v>
      </c>
      <c r="DI382" s="995">
        <v>1976.076</v>
      </c>
      <c r="DJ382" s="995">
        <v>5980538</v>
      </c>
      <c r="DK382" s="995">
        <v>90.278999999999996</v>
      </c>
      <c r="DL382" s="995">
        <v>273228.40000000002</v>
      </c>
      <c r="DM382" s="995">
        <v>2867</v>
      </c>
      <c r="DN382" s="995">
        <v>94.519000000000005</v>
      </c>
      <c r="DO382" s="995">
        <v>157.1</v>
      </c>
      <c r="DP382" s="995">
        <v>100</v>
      </c>
      <c r="DQ382" s="995">
        <v>1968.826</v>
      </c>
      <c r="DR382" s="995">
        <v>5953987</v>
      </c>
      <c r="DS382" s="995">
        <v>89.950999999999993</v>
      </c>
      <c r="DT382" s="995">
        <v>272024.09999999998</v>
      </c>
    </row>
    <row r="383" spans="1:124">
      <c r="A383" s="42" t="s">
        <v>94</v>
      </c>
      <c r="B383" s="42" t="s">
        <v>549</v>
      </c>
      <c r="C383" s="42" t="s">
        <v>550</v>
      </c>
      <c r="D383" s="42">
        <v>816376</v>
      </c>
      <c r="E383" s="42" t="s">
        <v>599</v>
      </c>
      <c r="F383" s="42" t="s">
        <v>149</v>
      </c>
      <c r="G383" s="42" t="s">
        <v>150</v>
      </c>
      <c r="H383" s="43" t="s">
        <v>150</v>
      </c>
      <c r="I383" s="44">
        <v>69</v>
      </c>
      <c r="J383" s="45">
        <v>185877.04800000001</v>
      </c>
      <c r="K383" s="46">
        <v>7820.5223260000002</v>
      </c>
      <c r="L383" s="47">
        <v>193697.57032599999</v>
      </c>
      <c r="M383" s="48">
        <v>4089556</v>
      </c>
      <c r="N383" s="49">
        <v>2714439</v>
      </c>
      <c r="O383" s="49">
        <v>1372628</v>
      </c>
      <c r="P383" s="49">
        <v>2489</v>
      </c>
      <c r="Q383" s="50">
        <v>9352.5522196796301</v>
      </c>
      <c r="R383" s="51">
        <v>25175.5141157486</v>
      </c>
      <c r="S383" s="49">
        <v>38258.831890765701</v>
      </c>
      <c r="T383" s="49">
        <v>8205.2627781153697</v>
      </c>
      <c r="U383" s="49">
        <f>IFERROR(INDEX('Rentabilidad datos'!$N$2:$N$61,MATCH($C383,'Rentabilidad datos'!$C$2:$C$61,0)),"")</f>
        <v>71639.608784629672</v>
      </c>
      <c r="V383" s="50">
        <f>IFERROR(INDEX('Rentabilidad datos'!$O$2:$O$61,MATCH($C383,'Rentabilidad datos'!$C$2:$C$61,0)),"")</f>
        <v>1193.9934797438279</v>
      </c>
      <c r="W383" s="51">
        <f>IFERROR(INDEX('Rentabilidad datos'!$M$2:$M$61,MATCH($C383,'Rentabilidad datos'!$C$2:$C$61,0)),"")</f>
        <v>3427.1365491869451</v>
      </c>
      <c r="X383" s="52">
        <f>IFERROR(INDEX('Rentabilidad datos'!$P$2:$P$61,MATCH($C383,'Rentabilidad datos'!$C$2:$C$61,0)),"")</f>
        <v>0.34839390336725601</v>
      </c>
      <c r="Y383" s="43" t="s">
        <v>171</v>
      </c>
      <c r="Z383" s="53">
        <v>64.281464530892507</v>
      </c>
      <c r="AA383" s="43">
        <v>2</v>
      </c>
      <c r="AB383" s="54">
        <v>0.98989083411499923</v>
      </c>
      <c r="AC383" s="55">
        <v>1.0109165885000718E-2</v>
      </c>
      <c r="AD383" s="752" t="e">
        <f>_xlfn.XLOOKUP(Table1[[#This Row],[Ruta]],#REF!,#REF!)</f>
        <v>#REF!</v>
      </c>
      <c r="AE383" s="752" t="e">
        <f>_xlfn.XLOOKUP(Table1[[#This Row],[Ruta]],#REF!,#REF!)</f>
        <v>#REF!</v>
      </c>
      <c r="AF383" s="752" t="e">
        <f>_xlfn.XLOOKUP(Table1[[#This Row],[Ruta]],#REF!,#REF!)</f>
        <v>#REF!</v>
      </c>
      <c r="AG383" s="752" t="e">
        <f>_xlfn.XLOOKUP(Table1[[#This Row],[Ruta]],#REF!,#REF!)</f>
        <v>#REF!</v>
      </c>
      <c r="AH383" s="52">
        <v>0.66374907202640088</v>
      </c>
      <c r="AI383" s="52">
        <v>0.33564230444576382</v>
      </c>
      <c r="AJ383" s="55">
        <v>6.0862352783529552E-4</v>
      </c>
      <c r="AK383" s="56">
        <v>28091</v>
      </c>
      <c r="AL383" s="44">
        <v>15551</v>
      </c>
      <c r="AM383" s="54">
        <v>0.55359367769036405</v>
      </c>
      <c r="AN383" s="55">
        <v>0.55224100357395201</v>
      </c>
      <c r="AO383" s="56">
        <v>0</v>
      </c>
      <c r="AP383" s="48">
        <v>0</v>
      </c>
      <c r="AQ383" s="55">
        <v>0.55359367769036349</v>
      </c>
      <c r="AR383" s="51">
        <v>4087065.32</v>
      </c>
      <c r="AS383" s="49">
        <v>0</v>
      </c>
      <c r="AT383" s="55">
        <v>0</v>
      </c>
      <c r="AU383" s="51">
        <v>0</v>
      </c>
      <c r="AV383" s="52">
        <v>0</v>
      </c>
      <c r="AW383" s="44">
        <v>490</v>
      </c>
      <c r="AX383" s="51">
        <v>262.816881229503</v>
      </c>
      <c r="AY383" s="49">
        <v>395.30787608246197</v>
      </c>
      <c r="AZ383" s="49">
        <v>132.49099485295898</v>
      </c>
      <c r="BA383" s="42" t="s">
        <v>150</v>
      </c>
      <c r="BB383" s="50">
        <v>723912.89168807445</v>
      </c>
      <c r="BC383" s="57">
        <v>723912.89168807445</v>
      </c>
      <c r="BD383" s="42" t="s">
        <v>150</v>
      </c>
      <c r="BE383" s="46">
        <v>64.281464530892507</v>
      </c>
      <c r="BF383" s="46">
        <v>83.628504672897193</v>
      </c>
      <c r="BG383" s="42" t="s">
        <v>152</v>
      </c>
      <c r="BH383" s="52">
        <v>0.55359367769036405</v>
      </c>
      <c r="BI383" s="52">
        <v>0.51187669456560203</v>
      </c>
      <c r="BJ383" s="42" t="s">
        <v>150</v>
      </c>
      <c r="BK383" s="46">
        <v>443.24386802288302</v>
      </c>
      <c r="BL383" s="46">
        <v>638.00354527981403</v>
      </c>
      <c r="BM383" s="42" t="s">
        <v>152</v>
      </c>
      <c r="BN383" s="48">
        <v>1</v>
      </c>
      <c r="BO383" s="42" t="s">
        <v>155</v>
      </c>
      <c r="BP383" s="42" t="s">
        <v>152</v>
      </c>
      <c r="BQ383" s="46">
        <v>1506.0529433910699</v>
      </c>
      <c r="BR383" s="46">
        <v>33</v>
      </c>
      <c r="BS383" s="46">
        <v>4149</v>
      </c>
      <c r="BT383" s="46">
        <v>1458</v>
      </c>
      <c r="BU383" s="46">
        <v>2.8456790123456792</v>
      </c>
      <c r="BV383" s="46">
        <v>44.18181818181818</v>
      </c>
      <c r="BW383" s="46">
        <v>1059</v>
      </c>
      <c r="BX383" s="46">
        <v>399</v>
      </c>
      <c r="BY383" s="46">
        <v>1458</v>
      </c>
      <c r="BZ383" s="46">
        <v>1</v>
      </c>
      <c r="CA383" s="46">
        <v>0.72633744855967075</v>
      </c>
      <c r="CB383" s="46">
        <v>0.27366255144032919</v>
      </c>
      <c r="CC383" s="46">
        <v>0</v>
      </c>
      <c r="CD383" s="46">
        <v>0</v>
      </c>
      <c r="CE383" s="46">
        <v>0</v>
      </c>
      <c r="CF383" s="46">
        <v>0</v>
      </c>
      <c r="CG383" s="46">
        <v>0</v>
      </c>
      <c r="CH383" s="46">
        <v>0</v>
      </c>
      <c r="CI383" s="46">
        <v>0.96408773198361053</v>
      </c>
      <c r="CJ383" s="46">
        <v>0.72306579898770784</v>
      </c>
      <c r="CK383">
        <v>305</v>
      </c>
      <c r="CL383">
        <v>460.64</v>
      </c>
      <c r="CM383">
        <f t="shared" si="42"/>
        <v>155.63999999999999</v>
      </c>
      <c r="CN383">
        <v>6.32</v>
      </c>
      <c r="CO383">
        <v>9.4499999999999993</v>
      </c>
      <c r="CP383">
        <f t="shared" si="43"/>
        <v>3.129999999999999</v>
      </c>
      <c r="CQ383">
        <v>846.56</v>
      </c>
      <c r="CR383">
        <v>443.24</v>
      </c>
      <c r="CS383">
        <f t="shared" si="44"/>
        <v>403.31999999999994</v>
      </c>
      <c r="CT383" t="s">
        <v>152</v>
      </c>
      <c r="CU383">
        <v>70.010000000000005</v>
      </c>
      <c r="CV383">
        <v>280</v>
      </c>
      <c r="CW383" s="46">
        <v>1458</v>
      </c>
      <c r="CX383" s="46">
        <f t="shared" si="38"/>
        <v>89.325102880658449</v>
      </c>
      <c r="CY383" s="46">
        <v>155.63999999999999</v>
      </c>
      <c r="CZ383" s="46">
        <f t="shared" si="39"/>
        <v>100</v>
      </c>
      <c r="DA383" s="46">
        <f t="shared" si="40"/>
        <v>1727.6841674722987</v>
      </c>
      <c r="DB383" s="46">
        <v>2787860.28</v>
      </c>
      <c r="DC383" s="46">
        <f t="shared" si="41"/>
        <v>79.201860390173778</v>
      </c>
      <c r="DD383" s="46">
        <v>127803.29</v>
      </c>
      <c r="DE383" s="995">
        <v>1458</v>
      </c>
      <c r="DF383" s="995">
        <v>90.381</v>
      </c>
      <c r="DG383" s="995">
        <v>140.19999999999999</v>
      </c>
      <c r="DH383" s="995">
        <v>100</v>
      </c>
      <c r="DI383" s="995">
        <v>3566.8429999999998</v>
      </c>
      <c r="DJ383" s="995">
        <v>5700691</v>
      </c>
      <c r="DK383" s="995">
        <v>164.31800000000001</v>
      </c>
      <c r="DL383" s="995">
        <v>262620.3</v>
      </c>
      <c r="DM383" s="995">
        <v>1458</v>
      </c>
      <c r="DN383" s="995">
        <v>92.078000000000003</v>
      </c>
      <c r="DO383" s="995">
        <v>115.5</v>
      </c>
      <c r="DP383" s="995">
        <v>100</v>
      </c>
      <c r="DQ383" s="995">
        <v>3448.567</v>
      </c>
      <c r="DR383" s="995">
        <v>5426308</v>
      </c>
      <c r="DS383" s="995">
        <v>158.81299999999999</v>
      </c>
      <c r="DT383" s="995">
        <v>249891.8</v>
      </c>
    </row>
    <row r="384" spans="1:124">
      <c r="A384" s="42" t="s">
        <v>94</v>
      </c>
      <c r="B384" s="42" t="s">
        <v>549</v>
      </c>
      <c r="C384" s="42" t="s">
        <v>550</v>
      </c>
      <c r="D384" s="42">
        <v>816381</v>
      </c>
      <c r="E384" s="42" t="s">
        <v>600</v>
      </c>
      <c r="F384" s="42" t="s">
        <v>149</v>
      </c>
      <c r="G384" s="42" t="s">
        <v>150</v>
      </c>
      <c r="H384" s="43" t="s">
        <v>152</v>
      </c>
      <c r="I384" s="44">
        <v>69</v>
      </c>
      <c r="J384" s="45">
        <v>10.5672</v>
      </c>
      <c r="K384" s="46">
        <v>1.4089</v>
      </c>
      <c r="L384" s="47">
        <v>11.976100000000001</v>
      </c>
      <c r="M384" s="48">
        <v>196</v>
      </c>
      <c r="N384" s="49">
        <v>110</v>
      </c>
      <c r="O384" s="49">
        <v>86</v>
      </c>
      <c r="P384" s="49">
        <v>0</v>
      </c>
      <c r="Q384" s="50">
        <v>195.38</v>
      </c>
      <c r="R384" s="51">
        <v>25175.5141157486</v>
      </c>
      <c r="S384" s="49">
        <v>38258.831890765701</v>
      </c>
      <c r="T384" s="49">
        <v>8205.2627781153697</v>
      </c>
      <c r="U384" s="49">
        <f>IFERROR(INDEX('Rentabilidad datos'!$N$2:$N$61,MATCH($C384,'Rentabilidad datos'!$C$2:$C$61,0)),"")</f>
        <v>71639.608784629672</v>
      </c>
      <c r="V384" s="50">
        <f>IFERROR(INDEX('Rentabilidad datos'!$O$2:$O$61,MATCH($C384,'Rentabilidad datos'!$C$2:$C$61,0)),"")</f>
        <v>1193.9934797438279</v>
      </c>
      <c r="W384" s="51">
        <f>IFERROR(INDEX('Rentabilidad datos'!$M$2:$M$61,MATCH($C384,'Rentabilidad datos'!$C$2:$C$61,0)),"")</f>
        <v>3427.1365491869451</v>
      </c>
      <c r="X384" s="52">
        <f>IFERROR(INDEX('Rentabilidad datos'!$P$2:$P$61,MATCH($C384,'Rentabilidad datos'!$C$2:$C$61,0)),"")</f>
        <v>0.34839390336725601</v>
      </c>
      <c r="Y384" s="43" t="s">
        <v>171</v>
      </c>
      <c r="Z384" s="53">
        <v>0</v>
      </c>
      <c r="AA384" s="43">
        <v>2</v>
      </c>
      <c r="AB384" s="54">
        <v>0</v>
      </c>
      <c r="AC384" s="55">
        <v>1</v>
      </c>
      <c r="AD384" s="752" t="e">
        <f>_xlfn.XLOOKUP(Table1[[#This Row],[Ruta]],#REF!,#REF!)</f>
        <v>#REF!</v>
      </c>
      <c r="AE384" s="752" t="e">
        <f>_xlfn.XLOOKUP(Table1[[#This Row],[Ruta]],#REF!,#REF!)</f>
        <v>#REF!</v>
      </c>
      <c r="AF384" s="752" t="e">
        <f>_xlfn.XLOOKUP(Table1[[#This Row],[Ruta]],#REF!,#REF!)</f>
        <v>#REF!</v>
      </c>
      <c r="AG384" s="752" t="e">
        <f>_xlfn.XLOOKUP(Table1[[#This Row],[Ruta]],#REF!,#REF!)</f>
        <v>#REF!</v>
      </c>
      <c r="AH384" s="52">
        <v>0.56122448979591832</v>
      </c>
      <c r="AI384" s="52">
        <v>0.43877551020408162</v>
      </c>
      <c r="AJ384" s="55">
        <v>0</v>
      </c>
      <c r="AK384" s="56">
        <v>0</v>
      </c>
      <c r="AL384" s="44">
        <v>1</v>
      </c>
      <c r="AM384" s="54">
        <v>0</v>
      </c>
      <c r="AN384" s="55">
        <v>0.55224100357395201</v>
      </c>
      <c r="AO384" s="56">
        <v>0</v>
      </c>
      <c r="AP384" s="48">
        <v>0</v>
      </c>
      <c r="AQ384" s="55" t="s">
        <v>194</v>
      </c>
      <c r="AR384" s="51">
        <v>195.38</v>
      </c>
      <c r="AS384" s="49">
        <v>0</v>
      </c>
      <c r="AT384" s="55">
        <v>0</v>
      </c>
      <c r="AU384" s="51">
        <v>0</v>
      </c>
      <c r="AV384" s="52">
        <v>0</v>
      </c>
      <c r="AW384" s="44">
        <v>490</v>
      </c>
      <c r="AX384" s="51">
        <v>195.38</v>
      </c>
      <c r="AY384" s="49">
        <v>395.30787608246197</v>
      </c>
      <c r="AZ384" s="49">
        <v>199.92787608246198</v>
      </c>
      <c r="BA384" s="42" t="s">
        <v>150</v>
      </c>
      <c r="BB384" s="50">
        <v>70.244929434378562</v>
      </c>
      <c r="BC384" s="57">
        <v>70.244929434378562</v>
      </c>
      <c r="BD384" s="42" t="s">
        <v>152</v>
      </c>
      <c r="BE384" s="46" t="s">
        <v>195</v>
      </c>
      <c r="BF384" s="46" t="s">
        <v>195</v>
      </c>
      <c r="BG384" s="42" t="s">
        <v>195</v>
      </c>
      <c r="BH384" s="52" t="s">
        <v>195</v>
      </c>
      <c r="BI384" s="52" t="s">
        <v>195</v>
      </c>
      <c r="BJ384" s="42" t="s">
        <v>195</v>
      </c>
      <c r="BK384" s="46" t="s">
        <v>195</v>
      </c>
      <c r="BL384" s="46" t="s">
        <v>195</v>
      </c>
      <c r="BM384" s="42" t="s">
        <v>195</v>
      </c>
      <c r="BN384" s="48" t="s">
        <v>195</v>
      </c>
      <c r="BO384" s="42" t="s">
        <v>195</v>
      </c>
      <c r="BP384" s="42" t="s">
        <v>152</v>
      </c>
      <c r="BQ384" s="46">
        <v>0</v>
      </c>
      <c r="BR384" s="46" t="e">
        <v>#N/A</v>
      </c>
      <c r="BS384" s="46" t="e">
        <v>#N/A</v>
      </c>
      <c r="BT384" s="46" t="e">
        <v>#N/A</v>
      </c>
      <c r="BU384" s="46" t="e">
        <v>#N/A</v>
      </c>
      <c r="BV384" s="46" t="e">
        <v>#N/A</v>
      </c>
      <c r="BW384" s="46" t="e">
        <v>#N/A</v>
      </c>
      <c r="BX384" s="46" t="e">
        <v>#N/A</v>
      </c>
      <c r="BY384" s="46" t="e">
        <v>#N/A</v>
      </c>
      <c r="BZ384" s="46" t="e">
        <v>#N/A</v>
      </c>
      <c r="CA384" s="46" t="e">
        <v>#N/A</v>
      </c>
      <c r="CB384" s="46" t="e">
        <v>#N/A</v>
      </c>
      <c r="CC384" s="46" t="e">
        <v>#N/A</v>
      </c>
      <c r="CD384" s="46" t="e">
        <v>#N/A</v>
      </c>
      <c r="CE384" s="46" t="e">
        <v>#N/A</v>
      </c>
      <c r="CF384" s="46" t="e">
        <v>#N/A</v>
      </c>
      <c r="CG384" s="46" t="e">
        <v>#N/A</v>
      </c>
      <c r="CH384" s="46" t="e">
        <v>#N/A</v>
      </c>
      <c r="CI384" s="46" t="e">
        <v>#N/A</v>
      </c>
      <c r="CJ384" s="46" t="e">
        <v>#N/A</v>
      </c>
      <c r="CM384">
        <f t="shared" si="42"/>
        <v>0</v>
      </c>
      <c r="CP384">
        <f t="shared" si="43"/>
        <v>0</v>
      </c>
      <c r="CS384">
        <f t="shared" si="44"/>
        <v>0</v>
      </c>
      <c r="CW384" s="46"/>
      <c r="CX384" s="46" t="e">
        <f t="shared" si="38"/>
        <v>#N/A</v>
      </c>
      <c r="CY384" s="46"/>
      <c r="CZ384" s="46" t="e">
        <f t="shared" si="39"/>
        <v>#N/A</v>
      </c>
      <c r="DA384" s="46" t="e">
        <f t="shared" si="40"/>
        <v>#N/A</v>
      </c>
      <c r="DB384" s="46"/>
      <c r="DC384" s="46" t="e">
        <f t="shared" si="41"/>
        <v>#N/A</v>
      </c>
      <c r="DD384" s="46"/>
      <c r="DE384" s="995" t="s">
        <v>194</v>
      </c>
      <c r="DF384" s="995" t="s">
        <v>194</v>
      </c>
      <c r="DG384" s="995" t="s">
        <v>194</v>
      </c>
      <c r="DH384" s="995" t="s">
        <v>194</v>
      </c>
      <c r="DI384" s="995" t="s">
        <v>194</v>
      </c>
      <c r="DJ384" s="995" t="s">
        <v>194</v>
      </c>
      <c r="DK384" s="995" t="s">
        <v>194</v>
      </c>
      <c r="DL384" s="995" t="s">
        <v>194</v>
      </c>
      <c r="DM384" s="995" t="s">
        <v>194</v>
      </c>
      <c r="DN384" s="995" t="s">
        <v>194</v>
      </c>
      <c r="DO384" s="995" t="s">
        <v>194</v>
      </c>
      <c r="DP384" s="995" t="s">
        <v>194</v>
      </c>
      <c r="DQ384" s="995" t="s">
        <v>194</v>
      </c>
      <c r="DR384" s="995" t="s">
        <v>194</v>
      </c>
      <c r="DS384" s="995" t="s">
        <v>194</v>
      </c>
      <c r="DT384" s="995" t="s">
        <v>194</v>
      </c>
    </row>
    <row r="385" spans="1:124">
      <c r="A385" s="42" t="s">
        <v>94</v>
      </c>
      <c r="B385" s="42" t="s">
        <v>549</v>
      </c>
      <c r="C385" s="42" t="s">
        <v>550</v>
      </c>
      <c r="D385" s="42">
        <v>816382</v>
      </c>
      <c r="E385" s="42" t="s">
        <v>601</v>
      </c>
      <c r="F385" s="42" t="s">
        <v>149</v>
      </c>
      <c r="G385" s="42" t="s">
        <v>150</v>
      </c>
      <c r="H385" s="43" t="s">
        <v>150</v>
      </c>
      <c r="I385" s="44">
        <v>69</v>
      </c>
      <c r="J385" s="45">
        <v>269699.60080000001</v>
      </c>
      <c r="K385" s="46">
        <v>11569.846186999999</v>
      </c>
      <c r="L385" s="47">
        <v>281269.446987</v>
      </c>
      <c r="M385" s="48">
        <v>5627101</v>
      </c>
      <c r="N385" s="49">
        <v>3949053</v>
      </c>
      <c r="O385" s="49">
        <v>1674907</v>
      </c>
      <c r="P385" s="49">
        <v>3141</v>
      </c>
      <c r="Q385" s="50">
        <v>12813.240251716299</v>
      </c>
      <c r="R385" s="51">
        <v>25175.5141157486</v>
      </c>
      <c r="S385" s="49">
        <v>38258.831890765701</v>
      </c>
      <c r="T385" s="49">
        <v>8205.2627781153697</v>
      </c>
      <c r="U385" s="49">
        <f>IFERROR(INDEX('Rentabilidad datos'!$N$2:$N$61,MATCH($C385,'Rentabilidad datos'!$C$2:$C$61,0)),"")</f>
        <v>71639.608784629672</v>
      </c>
      <c r="V385" s="50">
        <f>IFERROR(INDEX('Rentabilidad datos'!$O$2:$O$61,MATCH($C385,'Rentabilidad datos'!$C$2:$C$61,0)),"")</f>
        <v>1193.9934797438279</v>
      </c>
      <c r="W385" s="51">
        <f>IFERROR(INDEX('Rentabilidad datos'!$M$2:$M$61,MATCH($C385,'Rentabilidad datos'!$C$2:$C$61,0)),"")</f>
        <v>3427.1365491869451</v>
      </c>
      <c r="X385" s="52">
        <f>IFERROR(INDEX('Rentabilidad datos'!$P$2:$P$61,MATCH($C385,'Rentabilidad datos'!$C$2:$C$61,0)),"")</f>
        <v>0.34839390336725601</v>
      </c>
      <c r="Y385" s="43" t="s">
        <v>171</v>
      </c>
      <c r="Z385" s="53">
        <v>82.990846681922207</v>
      </c>
      <c r="AA385" s="43">
        <v>2</v>
      </c>
      <c r="AB385" s="54">
        <v>0.93370511743080498</v>
      </c>
      <c r="AC385" s="55">
        <v>6.6294882569195038E-2</v>
      </c>
      <c r="AD385" s="752" t="e">
        <f>_xlfn.XLOOKUP(Table1[[#This Row],[Ruta]],#REF!,#REF!)</f>
        <v>#REF!</v>
      </c>
      <c r="AE385" s="752" t="e">
        <f>_xlfn.XLOOKUP(Table1[[#This Row],[Ruta]],#REF!,#REF!)</f>
        <v>#REF!</v>
      </c>
      <c r="AF385" s="752" t="e">
        <f>_xlfn.XLOOKUP(Table1[[#This Row],[Ruta]],#REF!,#REF!)</f>
        <v>#REF!</v>
      </c>
      <c r="AG385" s="752" t="e">
        <f>_xlfn.XLOOKUP(Table1[[#This Row],[Ruta]],#REF!,#REF!)</f>
        <v>#REF!</v>
      </c>
      <c r="AH385" s="52">
        <v>0.70179173965421981</v>
      </c>
      <c r="AI385" s="52">
        <v>0.29765006883651102</v>
      </c>
      <c r="AJ385" s="55">
        <v>5.5819150926916014E-4</v>
      </c>
      <c r="AK385" s="56">
        <v>36267</v>
      </c>
      <c r="AL385" s="44">
        <v>14586</v>
      </c>
      <c r="AM385" s="54">
        <v>0.402183803457689</v>
      </c>
      <c r="AN385" s="55">
        <v>0.55224100357395201</v>
      </c>
      <c r="AO385" s="56">
        <v>5442.1244766165</v>
      </c>
      <c r="AP385" s="48">
        <v>2721.06223830825</v>
      </c>
      <c r="AQ385" s="55">
        <v>0.47721240351582023</v>
      </c>
      <c r="AR385" s="51">
        <v>5599385.9900000002</v>
      </c>
      <c r="AS385" s="49">
        <v>1044582.32381059</v>
      </c>
      <c r="AT385" s="55">
        <v>0.18655301236173397</v>
      </c>
      <c r="AU385" s="51">
        <v>734030.82213717164</v>
      </c>
      <c r="AV385" s="52">
        <v>3.3391756731600284E-3</v>
      </c>
      <c r="AW385" s="44">
        <v>87</v>
      </c>
      <c r="AX385" s="51">
        <v>383.88769984917002</v>
      </c>
      <c r="AY385" s="49">
        <v>395.30787608246197</v>
      </c>
      <c r="AZ385" s="49">
        <v>11.420176233291954</v>
      </c>
      <c r="BA385" s="42" t="s">
        <v>150</v>
      </c>
      <c r="BB385" s="50">
        <v>58526.242621739315</v>
      </c>
      <c r="BC385" s="57">
        <v>792557.06475891091</v>
      </c>
      <c r="BD385" s="42" t="s">
        <v>150</v>
      </c>
      <c r="BE385" s="46">
        <v>82.990846681922207</v>
      </c>
      <c r="BF385" s="46">
        <v>83.628504672897193</v>
      </c>
      <c r="BG385" s="42" t="s">
        <v>152</v>
      </c>
      <c r="BH385" s="52">
        <v>0.402183803457689</v>
      </c>
      <c r="BI385" s="52">
        <v>0.51187669456560203</v>
      </c>
      <c r="BJ385" s="42" t="s">
        <v>152</v>
      </c>
      <c r="BK385" s="46">
        <v>643.63717845995302</v>
      </c>
      <c r="BL385" s="46">
        <v>638.00354527981403</v>
      </c>
      <c r="BM385" s="42" t="s">
        <v>150</v>
      </c>
      <c r="BN385" s="48">
        <v>1</v>
      </c>
      <c r="BO385" s="42" t="s">
        <v>155</v>
      </c>
      <c r="BP385" s="42" t="s">
        <v>152</v>
      </c>
      <c r="BQ385" s="46">
        <v>0</v>
      </c>
      <c r="BR385" s="46">
        <v>71</v>
      </c>
      <c r="BS385" s="46">
        <v>3765</v>
      </c>
      <c r="BT385" s="46">
        <v>1390</v>
      </c>
      <c r="BU385" s="46">
        <v>2.7086330935251799</v>
      </c>
      <c r="BV385" s="46">
        <v>19.577464788732396</v>
      </c>
      <c r="BW385" s="46">
        <v>60</v>
      </c>
      <c r="BX385" s="46">
        <v>1330</v>
      </c>
      <c r="BY385" s="46">
        <v>1390</v>
      </c>
      <c r="BZ385" s="46">
        <v>1</v>
      </c>
      <c r="CA385" s="46">
        <v>4.3165467625899283E-2</v>
      </c>
      <c r="CB385" s="46">
        <v>0.95683453237410077</v>
      </c>
      <c r="CC385" s="46">
        <v>0</v>
      </c>
      <c r="CD385" s="46">
        <v>0</v>
      </c>
      <c r="CE385" s="46">
        <v>0</v>
      </c>
      <c r="CF385" s="46">
        <v>0</v>
      </c>
      <c r="CG385" s="46">
        <v>0</v>
      </c>
      <c r="CH385" s="46">
        <v>0</v>
      </c>
      <c r="CI385" s="46">
        <v>3.1872509960159365</v>
      </c>
      <c r="CJ385" s="46">
        <v>1.8592297476759632</v>
      </c>
      <c r="CK385">
        <v>284</v>
      </c>
      <c r="CL385">
        <v>284</v>
      </c>
      <c r="CM385">
        <f t="shared" si="42"/>
        <v>0</v>
      </c>
      <c r="CN385">
        <v>6.87</v>
      </c>
      <c r="CO385">
        <v>9.4499999999999993</v>
      </c>
      <c r="CP385">
        <f t="shared" si="43"/>
        <v>2.5799999999999992</v>
      </c>
      <c r="CQ385">
        <v>564.37</v>
      </c>
      <c r="CR385">
        <v>643.64</v>
      </c>
      <c r="CS385">
        <f t="shared" si="44"/>
        <v>-79.269999999999982</v>
      </c>
      <c r="CT385" t="s">
        <v>150</v>
      </c>
      <c r="CU385">
        <v>114.04</v>
      </c>
      <c r="CV385">
        <v>291</v>
      </c>
      <c r="CW385" s="46">
        <v>1390</v>
      </c>
      <c r="CX385" s="46">
        <f t="shared" si="38"/>
        <v>100</v>
      </c>
      <c r="CY385" s="46">
        <v>0</v>
      </c>
      <c r="CZ385" s="46">
        <f t="shared" si="39"/>
        <v>100</v>
      </c>
      <c r="DA385" s="46">
        <f t="shared" si="40"/>
        <v>992.36212949640299</v>
      </c>
      <c r="DB385" s="46">
        <v>1379383.36</v>
      </c>
      <c r="DC385" s="46">
        <f t="shared" si="41"/>
        <v>46.784575539568344</v>
      </c>
      <c r="DD385" s="46">
        <v>65030.559999999998</v>
      </c>
      <c r="DE385" s="995">
        <v>1390</v>
      </c>
      <c r="DF385" s="995">
        <v>100</v>
      </c>
      <c r="DG385" s="995">
        <v>0</v>
      </c>
      <c r="DH385" s="995">
        <v>100</v>
      </c>
      <c r="DI385" s="995">
        <v>2827.2440000000001</v>
      </c>
      <c r="DJ385" s="995">
        <v>3929869</v>
      </c>
      <c r="DK385" s="995">
        <v>132.93299999999999</v>
      </c>
      <c r="DL385" s="995">
        <v>184777.3</v>
      </c>
      <c r="DM385" s="995">
        <v>1390</v>
      </c>
      <c r="DN385" s="995">
        <v>100</v>
      </c>
      <c r="DO385" s="995">
        <v>0</v>
      </c>
      <c r="DP385" s="995">
        <v>100</v>
      </c>
      <c r="DQ385" s="995">
        <v>2827.2440000000001</v>
      </c>
      <c r="DR385" s="995">
        <v>3929869</v>
      </c>
      <c r="DS385" s="995">
        <v>132.93299999999999</v>
      </c>
      <c r="DT385" s="995">
        <v>184777.3</v>
      </c>
    </row>
    <row r="386" spans="1:124">
      <c r="A386" s="42" t="s">
        <v>94</v>
      </c>
      <c r="B386" s="42" t="s">
        <v>549</v>
      </c>
      <c r="C386" s="42" t="s">
        <v>550</v>
      </c>
      <c r="D386" s="42">
        <v>816383</v>
      </c>
      <c r="E386" s="42" t="s">
        <v>602</v>
      </c>
      <c r="F386" s="42" t="s">
        <v>149</v>
      </c>
      <c r="G386" s="42" t="s">
        <v>150</v>
      </c>
      <c r="H386" s="43" t="s">
        <v>150</v>
      </c>
      <c r="I386" s="44">
        <v>69</v>
      </c>
      <c r="J386" s="45">
        <v>248699.052</v>
      </c>
      <c r="K386" s="46">
        <v>20701.081339</v>
      </c>
      <c r="L386" s="47">
        <v>269400.13333899999</v>
      </c>
      <c r="M386" s="48">
        <v>6961183</v>
      </c>
      <c r="N386" s="49">
        <v>3644943</v>
      </c>
      <c r="O386" s="49">
        <v>3309228</v>
      </c>
      <c r="P386" s="49">
        <v>7012</v>
      </c>
      <c r="Q386" s="50">
        <v>15804.9376363636</v>
      </c>
      <c r="R386" s="51">
        <v>25175.5141157486</v>
      </c>
      <c r="S386" s="49">
        <v>38258.831890765701</v>
      </c>
      <c r="T386" s="49">
        <v>8205.2627781153697</v>
      </c>
      <c r="U386" s="49">
        <f>IFERROR(INDEX('Rentabilidad datos'!$N$2:$N$61,MATCH($C386,'Rentabilidad datos'!$C$2:$C$61,0)),"")</f>
        <v>71639.608784629672</v>
      </c>
      <c r="V386" s="50">
        <f>IFERROR(INDEX('Rentabilidad datos'!$O$2:$O$61,MATCH($C386,'Rentabilidad datos'!$C$2:$C$61,0)),"")</f>
        <v>1193.9934797438279</v>
      </c>
      <c r="W386" s="51">
        <f>IFERROR(INDEX('Rentabilidad datos'!$M$2:$M$61,MATCH($C386,'Rentabilidad datos'!$C$2:$C$61,0)),"")</f>
        <v>3427.1365491869451</v>
      </c>
      <c r="X386" s="52">
        <f>IFERROR(INDEX('Rentabilidad datos'!$P$2:$P$61,MATCH($C386,'Rentabilidad datos'!$C$2:$C$61,0)),"")</f>
        <v>0.34839390336725601</v>
      </c>
      <c r="Y386" s="43" t="s">
        <v>171</v>
      </c>
      <c r="Z386" s="53">
        <v>45.259090909090901</v>
      </c>
      <c r="AA386" s="43">
        <v>2</v>
      </c>
      <c r="AB386" s="54">
        <v>0.97202472625701697</v>
      </c>
      <c r="AC386" s="55">
        <v>2.7975273742983052E-2</v>
      </c>
      <c r="AD386" s="752" t="e">
        <f>_xlfn.XLOOKUP(Table1[[#This Row],[Ruta]],#REF!,#REF!)</f>
        <v>#REF!</v>
      </c>
      <c r="AE386" s="752" t="e">
        <f>_xlfn.XLOOKUP(Table1[[#This Row],[Ruta]],#REF!,#REF!)</f>
        <v>#REF!</v>
      </c>
      <c r="AF386" s="752" t="e">
        <f>_xlfn.XLOOKUP(Table1[[#This Row],[Ruta]],#REF!,#REF!)</f>
        <v>#REF!</v>
      </c>
      <c r="AG386" s="752" t="e">
        <f>_xlfn.XLOOKUP(Table1[[#This Row],[Ruta]],#REF!,#REF!)</f>
        <v>#REF!</v>
      </c>
      <c r="AH386" s="52">
        <v>0.52360970829239806</v>
      </c>
      <c r="AI386" s="52">
        <v>0.47538299165529768</v>
      </c>
      <c r="AJ386" s="55">
        <v>1.0073000523043282E-3</v>
      </c>
      <c r="AK386" s="56">
        <v>19914</v>
      </c>
      <c r="AL386" s="44">
        <v>10325</v>
      </c>
      <c r="AM386" s="54">
        <v>0.51847946168524695</v>
      </c>
      <c r="AN386" s="55">
        <v>0.55224100357395201</v>
      </c>
      <c r="AO386" s="56">
        <v>672.32734517167205</v>
      </c>
      <c r="AP386" s="48">
        <v>336.16367258583603</v>
      </c>
      <c r="AQ386" s="55">
        <v>0.53536023262959909</v>
      </c>
      <c r="AR386" s="51">
        <v>6954172.5599999996</v>
      </c>
      <c r="AS386" s="49">
        <v>226415.51453416399</v>
      </c>
      <c r="AT386" s="55">
        <v>3.2558224947780705E-2</v>
      </c>
      <c r="AU386" s="51">
        <v>159102.79399698015</v>
      </c>
      <c r="AV386" s="52">
        <v>7.2377366620611245E-4</v>
      </c>
      <c r="AW386" s="44">
        <v>342</v>
      </c>
      <c r="AX386" s="51">
        <v>673.52760871670705</v>
      </c>
      <c r="AY386" s="49">
        <v>395.30787608246197</v>
      </c>
      <c r="AZ386" s="49">
        <v>0</v>
      </c>
      <c r="BA386" s="42" t="s">
        <v>152</v>
      </c>
      <c r="BB386" s="50">
        <v>0</v>
      </c>
      <c r="BC386" s="57">
        <v>159102.79399698015</v>
      </c>
      <c r="BD386" s="42" t="s">
        <v>150</v>
      </c>
      <c r="BE386" s="46">
        <v>45.259090909090901</v>
      </c>
      <c r="BF386" s="46">
        <v>83.628504672897193</v>
      </c>
      <c r="BG386" s="42" t="s">
        <v>152</v>
      </c>
      <c r="BH386" s="52">
        <v>0.51847946168524695</v>
      </c>
      <c r="BI386" s="52">
        <v>0.51187669456560203</v>
      </c>
      <c r="BJ386" s="42" t="s">
        <v>150</v>
      </c>
      <c r="BK386" s="46">
        <v>612.27303031590895</v>
      </c>
      <c r="BL386" s="46">
        <v>638.00354527981403</v>
      </c>
      <c r="BM386" s="42" t="s">
        <v>152</v>
      </c>
      <c r="BN386" s="48">
        <v>1</v>
      </c>
      <c r="BO386" s="42" t="s">
        <v>155</v>
      </c>
      <c r="BP386" s="42" t="s">
        <v>152</v>
      </c>
      <c r="BQ386" s="46">
        <v>12507.8665378679</v>
      </c>
      <c r="BR386" s="46">
        <v>205</v>
      </c>
      <c r="BS386" s="46">
        <v>4258</v>
      </c>
      <c r="BT386" s="46">
        <v>1183</v>
      </c>
      <c r="BU386" s="46">
        <v>3.5993237531699069</v>
      </c>
      <c r="BV386" s="46">
        <v>5.770731707317073</v>
      </c>
      <c r="BW386" s="46">
        <v>64</v>
      </c>
      <c r="BX386" s="46">
        <v>0</v>
      </c>
      <c r="BY386" s="46">
        <v>64</v>
      </c>
      <c r="BZ386" s="46">
        <v>5.4099746407438712E-2</v>
      </c>
      <c r="CA386" s="46">
        <v>5.4099746407438712E-2</v>
      </c>
      <c r="CB386" s="46">
        <v>0</v>
      </c>
      <c r="CC386" s="46">
        <v>0.44632290786136941</v>
      </c>
      <c r="CD386" s="46">
        <v>0</v>
      </c>
      <c r="CE386" s="46">
        <v>0</v>
      </c>
      <c r="CF386" s="46">
        <v>0.49957734573119189</v>
      </c>
      <c r="CG386" s="46">
        <v>0</v>
      </c>
      <c r="CH386" s="46">
        <v>0</v>
      </c>
      <c r="CI386" s="46">
        <v>7.5152653828088312</v>
      </c>
      <c r="CJ386" s="46">
        <v>0</v>
      </c>
      <c r="CK386">
        <v>255</v>
      </c>
      <c r="CL386">
        <v>270.79000000000002</v>
      </c>
      <c r="CM386">
        <f t="shared" si="42"/>
        <v>15.79000000000002</v>
      </c>
      <c r="CN386">
        <v>6.66</v>
      </c>
      <c r="CO386">
        <v>9.4499999999999993</v>
      </c>
      <c r="CP386">
        <f t="shared" si="43"/>
        <v>2.7899999999999991</v>
      </c>
      <c r="CQ386">
        <v>846.56</v>
      </c>
      <c r="CR386">
        <v>612.27</v>
      </c>
      <c r="CS386">
        <f t="shared" si="44"/>
        <v>234.28999999999996</v>
      </c>
      <c r="CT386" t="s">
        <v>152</v>
      </c>
      <c r="CU386">
        <v>72.319999999999993</v>
      </c>
      <c r="CV386">
        <v>7</v>
      </c>
      <c r="CW386" s="46">
        <v>64</v>
      </c>
      <c r="CX386" s="46">
        <f t="shared" si="38"/>
        <v>4.0752324598478449</v>
      </c>
      <c r="CY386" s="46">
        <v>15.79</v>
      </c>
      <c r="CZ386" s="46">
        <f t="shared" si="39"/>
        <v>5.4099746407438714</v>
      </c>
      <c r="DA386" s="46">
        <f t="shared" si="40"/>
        <v>197.72711650914673</v>
      </c>
      <c r="DB386" s="46">
        <v>237033.29</v>
      </c>
      <c r="DC386" s="46">
        <f t="shared" si="41"/>
        <v>6.7744892766873264</v>
      </c>
      <c r="DD386" s="46">
        <v>8121.19</v>
      </c>
      <c r="DE386" s="995">
        <v>64</v>
      </c>
      <c r="DF386" s="995">
        <v>4.1399999999999997</v>
      </c>
      <c r="DG386" s="995">
        <v>15</v>
      </c>
      <c r="DH386" s="995">
        <v>5.41</v>
      </c>
      <c r="DI386" s="995">
        <v>4510.0069999999996</v>
      </c>
      <c r="DJ386" s="995">
        <v>5403109</v>
      </c>
      <c r="DK386" s="995">
        <v>172.779</v>
      </c>
      <c r="DL386" s="995">
        <v>206993.7</v>
      </c>
      <c r="DM386" s="995">
        <v>64</v>
      </c>
      <c r="DN386" s="995">
        <v>4.3330000000000002</v>
      </c>
      <c r="DO386" s="995">
        <v>12.7</v>
      </c>
      <c r="DP386" s="995">
        <v>5.41</v>
      </c>
      <c r="DQ386" s="995">
        <v>4489.8819999999996</v>
      </c>
      <c r="DR386" s="995">
        <v>5368711</v>
      </c>
      <c r="DS386" s="995">
        <v>172.124</v>
      </c>
      <c r="DT386" s="995">
        <v>205815.2</v>
      </c>
    </row>
    <row r="387" spans="1:124">
      <c r="A387" s="42" t="s">
        <v>94</v>
      </c>
      <c r="B387" s="42" t="s">
        <v>549</v>
      </c>
      <c r="C387" s="42" t="s">
        <v>550</v>
      </c>
      <c r="D387" s="42">
        <v>816384</v>
      </c>
      <c r="E387" s="42" t="s">
        <v>603</v>
      </c>
      <c r="F387" s="42" t="s">
        <v>149</v>
      </c>
      <c r="G387" s="42" t="s">
        <v>150</v>
      </c>
      <c r="H387" s="43" t="s">
        <v>150</v>
      </c>
      <c r="I387" s="44">
        <v>69</v>
      </c>
      <c r="J387" s="45">
        <v>250523.65520000001</v>
      </c>
      <c r="K387" s="46">
        <v>11791.964636000001</v>
      </c>
      <c r="L387" s="47">
        <v>262315.61983600003</v>
      </c>
      <c r="M387" s="48">
        <v>5189428</v>
      </c>
      <c r="N387" s="49">
        <v>3661117</v>
      </c>
      <c r="O387" s="49">
        <v>1525932</v>
      </c>
      <c r="P387" s="49">
        <v>2379</v>
      </c>
      <c r="Q387" s="50">
        <v>11896.899610091699</v>
      </c>
      <c r="R387" s="51">
        <v>25175.5141157486</v>
      </c>
      <c r="S387" s="49">
        <v>38258.831890765701</v>
      </c>
      <c r="T387" s="49">
        <v>8205.2627781153697</v>
      </c>
      <c r="U387" s="49">
        <f>IFERROR(INDEX('Rentabilidad datos'!$N$2:$N$61,MATCH($C387,'Rentabilidad datos'!$C$2:$C$61,0)),"")</f>
        <v>71639.608784629672</v>
      </c>
      <c r="V387" s="50">
        <f>IFERROR(INDEX('Rentabilidad datos'!$O$2:$O$61,MATCH($C387,'Rentabilidad datos'!$C$2:$C$61,0)),"")</f>
        <v>1193.9934797438279</v>
      </c>
      <c r="W387" s="51">
        <f>IFERROR(INDEX('Rentabilidad datos'!$M$2:$M$61,MATCH($C387,'Rentabilidad datos'!$C$2:$C$61,0)),"")</f>
        <v>3427.1365491869451</v>
      </c>
      <c r="X387" s="52">
        <f>IFERROR(INDEX('Rentabilidad datos'!$P$2:$P$61,MATCH($C387,'Rentabilidad datos'!$C$2:$C$61,0)),"")</f>
        <v>0.34839390336725601</v>
      </c>
      <c r="Y387" s="43" t="s">
        <v>171</v>
      </c>
      <c r="Z387" s="53">
        <v>51.084862385321102</v>
      </c>
      <c r="AA387" s="43">
        <v>2</v>
      </c>
      <c r="AB387" s="54">
        <v>0.97885932707805179</v>
      </c>
      <c r="AC387" s="55">
        <v>2.1140672921948239E-2</v>
      </c>
      <c r="AD387" s="752" t="e">
        <f>_xlfn.XLOOKUP(Table1[[#This Row],[Ruta]],#REF!,#REF!)</f>
        <v>#REF!</v>
      </c>
      <c r="AE387" s="752" t="e">
        <f>_xlfn.XLOOKUP(Table1[[#This Row],[Ruta]],#REF!,#REF!)</f>
        <v>#REF!</v>
      </c>
      <c r="AF387" s="752" t="e">
        <f>_xlfn.XLOOKUP(Table1[[#This Row],[Ruta]],#REF!,#REF!)</f>
        <v>#REF!</v>
      </c>
      <c r="AG387" s="752" t="e">
        <f>_xlfn.XLOOKUP(Table1[[#This Row],[Ruta]],#REF!,#REF!)</f>
        <v>#REF!</v>
      </c>
      <c r="AH387" s="52">
        <v>0.70549528772727943</v>
      </c>
      <c r="AI387" s="52">
        <v>0.29404628024514456</v>
      </c>
      <c r="AJ387" s="55">
        <v>4.5843202757606425E-4</v>
      </c>
      <c r="AK387" s="56">
        <v>22273</v>
      </c>
      <c r="AL387" s="44">
        <v>14794</v>
      </c>
      <c r="AM387" s="54">
        <v>0.66421227495173496</v>
      </c>
      <c r="AN387" s="55">
        <v>0.55224100357395201</v>
      </c>
      <c r="AO387" s="56">
        <v>0</v>
      </c>
      <c r="AP387" s="48">
        <v>0</v>
      </c>
      <c r="AQ387" s="55">
        <v>0.66421227495173529</v>
      </c>
      <c r="AR387" s="51">
        <v>5187048.2300000004</v>
      </c>
      <c r="AS387" s="49">
        <v>0</v>
      </c>
      <c r="AT387" s="55">
        <v>0</v>
      </c>
      <c r="AU387" s="51">
        <v>0</v>
      </c>
      <c r="AV387" s="52">
        <v>0</v>
      </c>
      <c r="AW387" s="44">
        <v>490</v>
      </c>
      <c r="AX387" s="51">
        <v>350.618374340949</v>
      </c>
      <c r="AY387" s="49">
        <v>395.30787608246197</v>
      </c>
      <c r="AZ387" s="49">
        <v>44.68950174151297</v>
      </c>
      <c r="BA387" s="42" t="s">
        <v>150</v>
      </c>
      <c r="BB387" s="50">
        <v>232291.19875489891</v>
      </c>
      <c r="BC387" s="57">
        <v>232291.19875489891</v>
      </c>
      <c r="BD387" s="42" t="s">
        <v>150</v>
      </c>
      <c r="BE387" s="46">
        <v>51.084862385321102</v>
      </c>
      <c r="BF387" s="46">
        <v>83.628504672897193</v>
      </c>
      <c r="BG387" s="42" t="s">
        <v>152</v>
      </c>
      <c r="BH387" s="52">
        <v>0.66421227495173496</v>
      </c>
      <c r="BI387" s="52">
        <v>0.51187669456560203</v>
      </c>
      <c r="BJ387" s="42" t="s">
        <v>150</v>
      </c>
      <c r="BK387" s="46">
        <v>601.64132989908205</v>
      </c>
      <c r="BL387" s="46">
        <v>638.00354527981403</v>
      </c>
      <c r="BM387" s="42" t="s">
        <v>152</v>
      </c>
      <c r="BN387" s="48">
        <v>1</v>
      </c>
      <c r="BO387" s="42" t="s">
        <v>155</v>
      </c>
      <c r="BP387" s="42" t="s">
        <v>152</v>
      </c>
      <c r="BQ387" s="46">
        <v>3170.7275405239502</v>
      </c>
      <c r="BR387" s="46">
        <v>40</v>
      </c>
      <c r="BS387" s="46">
        <v>7681</v>
      </c>
      <c r="BT387" s="46">
        <v>2132</v>
      </c>
      <c r="BU387" s="46">
        <v>3.6027204502814261</v>
      </c>
      <c r="BV387" s="46">
        <v>53.3</v>
      </c>
      <c r="BW387" s="46">
        <v>1966</v>
      </c>
      <c r="BX387" s="46">
        <v>166</v>
      </c>
      <c r="BY387" s="46">
        <v>2132</v>
      </c>
      <c r="BZ387" s="46">
        <v>1</v>
      </c>
      <c r="CA387" s="46">
        <v>0.92213883677298314</v>
      </c>
      <c r="CB387" s="46">
        <v>7.7861163227016889E-2</v>
      </c>
      <c r="CC387" s="46">
        <v>0</v>
      </c>
      <c r="CD387" s="46">
        <v>0</v>
      </c>
      <c r="CE387" s="46">
        <v>0</v>
      </c>
      <c r="CF387" s="46">
        <v>0</v>
      </c>
      <c r="CG387" s="46">
        <v>0</v>
      </c>
      <c r="CH387" s="46">
        <v>0</v>
      </c>
      <c r="CI387" s="46">
        <v>3.1245931519333419</v>
      </c>
      <c r="CJ387" s="46">
        <v>1.0415310506444471</v>
      </c>
      <c r="CK387">
        <v>239</v>
      </c>
      <c r="CL387">
        <v>317.83999999999997</v>
      </c>
      <c r="CM387">
        <f t="shared" si="42"/>
        <v>78.839999999999975</v>
      </c>
      <c r="CN387">
        <v>5.55</v>
      </c>
      <c r="CO387">
        <v>9.4499999999999993</v>
      </c>
      <c r="CP387">
        <f t="shared" si="43"/>
        <v>3.8999999999999995</v>
      </c>
      <c r="CQ387">
        <v>564.37</v>
      </c>
      <c r="CR387">
        <v>601.64</v>
      </c>
      <c r="CS387">
        <f t="shared" si="44"/>
        <v>-37.269999999999982</v>
      </c>
      <c r="CT387" t="s">
        <v>150</v>
      </c>
      <c r="CU387">
        <v>106.6</v>
      </c>
      <c r="CV387">
        <v>208</v>
      </c>
      <c r="CW387" s="46">
        <v>2132</v>
      </c>
      <c r="CX387" s="46">
        <f t="shared" si="38"/>
        <v>96.302063789868669</v>
      </c>
      <c r="CY387" s="46">
        <v>78.84</v>
      </c>
      <c r="CZ387" s="46">
        <f t="shared" si="39"/>
        <v>100</v>
      </c>
      <c r="DA387" s="46">
        <f t="shared" si="40"/>
        <v>608.59726167429562</v>
      </c>
      <c r="DB387" s="46">
        <v>1345511.17</v>
      </c>
      <c r="DC387" s="46">
        <f t="shared" si="41"/>
        <v>31.356330625463624</v>
      </c>
      <c r="DD387" s="46">
        <v>69323.83</v>
      </c>
      <c r="DE387" s="995">
        <v>2132</v>
      </c>
      <c r="DF387" s="995">
        <v>96.302000000000007</v>
      </c>
      <c r="DG387" s="995">
        <v>78.8</v>
      </c>
      <c r="DH387" s="995">
        <v>100</v>
      </c>
      <c r="DI387" s="995">
        <v>1514.384</v>
      </c>
      <c r="DJ387" s="995">
        <v>3348066</v>
      </c>
      <c r="DK387" s="995">
        <v>78.081000000000003</v>
      </c>
      <c r="DL387" s="995">
        <v>172624</v>
      </c>
      <c r="DM387" s="995">
        <v>2132</v>
      </c>
      <c r="DN387" s="995">
        <v>96.302000000000007</v>
      </c>
      <c r="DO387" s="995">
        <v>78.8</v>
      </c>
      <c r="DP387" s="995">
        <v>100</v>
      </c>
      <c r="DQ387" s="995">
        <v>1514.384</v>
      </c>
      <c r="DR387" s="995">
        <v>3348066</v>
      </c>
      <c r="DS387" s="995">
        <v>78.081000000000003</v>
      </c>
      <c r="DT387" s="995">
        <v>172624</v>
      </c>
    </row>
    <row r="388" spans="1:124">
      <c r="A388" s="42" t="s">
        <v>94</v>
      </c>
      <c r="B388" s="42" t="s">
        <v>549</v>
      </c>
      <c r="C388" s="42" t="s">
        <v>550</v>
      </c>
      <c r="D388" s="42">
        <v>816385</v>
      </c>
      <c r="E388" s="42" t="s">
        <v>604</v>
      </c>
      <c r="F388" s="42" t="s">
        <v>149</v>
      </c>
      <c r="G388" s="42" t="s">
        <v>150</v>
      </c>
      <c r="H388" s="43" t="s">
        <v>150</v>
      </c>
      <c r="I388" s="44">
        <v>69</v>
      </c>
      <c r="J388" s="45">
        <v>996.83920000000001</v>
      </c>
      <c r="K388" s="46">
        <v>87.495099999999994</v>
      </c>
      <c r="L388" s="47">
        <v>1084.3343</v>
      </c>
      <c r="M388" s="48">
        <v>27861</v>
      </c>
      <c r="N388" s="49">
        <v>14150</v>
      </c>
      <c r="O388" s="49">
        <v>13711</v>
      </c>
      <c r="P388" s="49">
        <v>0</v>
      </c>
      <c r="Q388" s="50">
        <v>409.72014705882401</v>
      </c>
      <c r="R388" s="51">
        <v>25175.5141157486</v>
      </c>
      <c r="S388" s="49">
        <v>38258.831890765701</v>
      </c>
      <c r="T388" s="49">
        <v>8205.2627781153697</v>
      </c>
      <c r="U388" s="49">
        <f>IFERROR(INDEX('Rentabilidad datos'!$N$2:$N$61,MATCH($C388,'Rentabilidad datos'!$C$2:$C$61,0)),"")</f>
        <v>71639.608784629672</v>
      </c>
      <c r="V388" s="50">
        <f>IFERROR(INDEX('Rentabilidad datos'!$O$2:$O$61,MATCH($C388,'Rentabilidad datos'!$C$2:$C$61,0)),"")</f>
        <v>1193.9934797438279</v>
      </c>
      <c r="W388" s="51">
        <f>IFERROR(INDEX('Rentabilidad datos'!$M$2:$M$61,MATCH($C388,'Rentabilidad datos'!$C$2:$C$61,0)),"")</f>
        <v>3427.1365491869451</v>
      </c>
      <c r="X388" s="52">
        <f>IFERROR(INDEX('Rentabilidad datos'!$P$2:$P$61,MATCH($C388,'Rentabilidad datos'!$C$2:$C$61,0)),"")</f>
        <v>0.34839390336725601</v>
      </c>
      <c r="Y388" s="43" t="s">
        <v>171</v>
      </c>
      <c r="Z388" s="53">
        <v>70.016129032258107</v>
      </c>
      <c r="AA388" s="43">
        <v>2</v>
      </c>
      <c r="AB388" s="54">
        <v>0.62043717023796707</v>
      </c>
      <c r="AC388" s="55">
        <v>0.37956282976203293</v>
      </c>
      <c r="AD388" s="752" t="e">
        <f>_xlfn.XLOOKUP(Table1[[#This Row],[Ruta]],#REF!,#REF!)</f>
        <v>#REF!</v>
      </c>
      <c r="AE388" s="752" t="e">
        <f>_xlfn.XLOOKUP(Table1[[#This Row],[Ruta]],#REF!,#REF!)</f>
        <v>#REF!</v>
      </c>
      <c r="AF388" s="752" t="e">
        <f>_xlfn.XLOOKUP(Table1[[#This Row],[Ruta]],#REF!,#REF!)</f>
        <v>#REF!</v>
      </c>
      <c r="AG388" s="752" t="e">
        <f>_xlfn.XLOOKUP(Table1[[#This Row],[Ruta]],#REF!,#REF!)</f>
        <v>#REF!</v>
      </c>
      <c r="AH388" s="52">
        <v>0.50787839632461151</v>
      </c>
      <c r="AI388" s="52">
        <v>0.49212160367538854</v>
      </c>
      <c r="AJ388" s="55">
        <v>0</v>
      </c>
      <c r="AK388" s="56">
        <v>4341</v>
      </c>
      <c r="AL388" s="44">
        <v>61</v>
      </c>
      <c r="AM388" s="54">
        <v>1.26698917300161E-2</v>
      </c>
      <c r="AN388" s="55">
        <v>0.55224100357395201</v>
      </c>
      <c r="AO388" s="56">
        <v>2342.27819651452</v>
      </c>
      <c r="AP388" s="48">
        <v>1171.13909825726</v>
      </c>
      <c r="AQ388" s="55">
        <v>0.28383761765889426</v>
      </c>
      <c r="AR388" s="51">
        <v>27860.97</v>
      </c>
      <c r="AS388" s="49">
        <v>534902.80790775002</v>
      </c>
      <c r="AT388" s="55">
        <v>19.199001610774857</v>
      </c>
      <c r="AU388" s="51">
        <v>375877.64880004071</v>
      </c>
      <c r="AV388" s="52">
        <v>1.7099029946771561E-3</v>
      </c>
      <c r="AW388" s="44">
        <v>201</v>
      </c>
      <c r="AX388" s="51">
        <v>456.73721311475401</v>
      </c>
      <c r="AY388" s="49">
        <v>395.30787608246197</v>
      </c>
      <c r="AZ388" s="49">
        <v>0</v>
      </c>
      <c r="BA388" s="42" t="s">
        <v>152</v>
      </c>
      <c r="BB388" s="50">
        <v>0</v>
      </c>
      <c r="BC388" s="57">
        <v>375877.64880004071</v>
      </c>
      <c r="BD388" s="42" t="s">
        <v>150</v>
      </c>
      <c r="BE388" s="46">
        <v>70.016129032258107</v>
      </c>
      <c r="BF388" s="46">
        <v>83.628504672897193</v>
      </c>
      <c r="BG388" s="42" t="s">
        <v>152</v>
      </c>
      <c r="BH388" s="52">
        <v>1.26698917300161E-2</v>
      </c>
      <c r="BI388" s="52">
        <v>0.51187669456560203</v>
      </c>
      <c r="BJ388" s="42" t="s">
        <v>152</v>
      </c>
      <c r="BK388" s="46">
        <v>15.9460926470588</v>
      </c>
      <c r="BL388" s="46">
        <v>638.00354527981403</v>
      </c>
      <c r="BM388" s="42" t="s">
        <v>152</v>
      </c>
      <c r="BN388" s="48">
        <v>0</v>
      </c>
      <c r="BO388" s="42" t="s">
        <v>155</v>
      </c>
      <c r="BP388" s="42" t="s">
        <v>152</v>
      </c>
      <c r="BQ388" s="46">
        <v>2204.8044884751898</v>
      </c>
      <c r="BR388" s="46" t="e">
        <v>#N/A</v>
      </c>
      <c r="BS388" s="46" t="e">
        <v>#N/A</v>
      </c>
      <c r="BT388" s="46" t="e">
        <v>#N/A</v>
      </c>
      <c r="BU388" s="46" t="e">
        <v>#N/A</v>
      </c>
      <c r="BV388" s="46" t="e">
        <v>#N/A</v>
      </c>
      <c r="BW388" s="46" t="e">
        <v>#N/A</v>
      </c>
      <c r="BX388" s="46" t="e">
        <v>#N/A</v>
      </c>
      <c r="BY388" s="46" t="e">
        <v>#N/A</v>
      </c>
      <c r="BZ388" s="46" t="e">
        <v>#N/A</v>
      </c>
      <c r="CA388" s="46" t="e">
        <v>#N/A</v>
      </c>
      <c r="CB388" s="46" t="e">
        <v>#N/A</v>
      </c>
      <c r="CC388" s="46" t="e">
        <v>#N/A</v>
      </c>
      <c r="CD388" s="46" t="e">
        <v>#N/A</v>
      </c>
      <c r="CE388" s="46" t="e">
        <v>#N/A</v>
      </c>
      <c r="CF388" s="46" t="e">
        <v>#N/A</v>
      </c>
      <c r="CG388" s="46" t="e">
        <v>#N/A</v>
      </c>
      <c r="CH388" s="46" t="e">
        <v>#N/A</v>
      </c>
      <c r="CI388" s="46" t="e">
        <v>#N/A</v>
      </c>
      <c r="CJ388" s="46" t="e">
        <v>#N/A</v>
      </c>
      <c r="CM388">
        <f t="shared" si="42"/>
        <v>0</v>
      </c>
      <c r="CP388">
        <f t="shared" si="43"/>
        <v>0</v>
      </c>
      <c r="CS388">
        <f t="shared" si="44"/>
        <v>0</v>
      </c>
      <c r="CW388" s="46"/>
      <c r="CX388" s="46" t="e">
        <f t="shared" si="38"/>
        <v>#N/A</v>
      </c>
      <c r="CY388" s="46"/>
      <c r="CZ388" s="46" t="e">
        <f t="shared" si="39"/>
        <v>#N/A</v>
      </c>
      <c r="DA388" s="46" t="e">
        <f t="shared" si="40"/>
        <v>#N/A</v>
      </c>
      <c r="DB388" s="46"/>
      <c r="DC388" s="46" t="e">
        <f t="shared" si="41"/>
        <v>#N/A</v>
      </c>
      <c r="DD388" s="46"/>
      <c r="DE388" s="995" t="s">
        <v>194</v>
      </c>
      <c r="DF388" s="995" t="s">
        <v>194</v>
      </c>
      <c r="DG388" s="995" t="s">
        <v>194</v>
      </c>
      <c r="DH388" s="995" t="s">
        <v>194</v>
      </c>
      <c r="DI388" s="995" t="s">
        <v>194</v>
      </c>
      <c r="DJ388" s="995" t="s">
        <v>194</v>
      </c>
      <c r="DK388" s="995" t="s">
        <v>194</v>
      </c>
      <c r="DL388" s="995" t="s">
        <v>194</v>
      </c>
      <c r="DM388" s="995" t="s">
        <v>194</v>
      </c>
      <c r="DN388" s="995" t="s">
        <v>194</v>
      </c>
      <c r="DO388" s="995" t="s">
        <v>194</v>
      </c>
      <c r="DP388" s="995" t="s">
        <v>194</v>
      </c>
      <c r="DQ388" s="995" t="s">
        <v>194</v>
      </c>
      <c r="DR388" s="995" t="s">
        <v>194</v>
      </c>
      <c r="DS388" s="995" t="s">
        <v>194</v>
      </c>
      <c r="DT388" s="995" t="s">
        <v>194</v>
      </c>
    </row>
    <row r="389" spans="1:124">
      <c r="A389" s="42" t="s">
        <v>94</v>
      </c>
      <c r="B389" s="42" t="s">
        <v>549</v>
      </c>
      <c r="C389" s="42" t="s">
        <v>550</v>
      </c>
      <c r="D389" s="42">
        <v>816386</v>
      </c>
      <c r="E389" s="42" t="s">
        <v>605</v>
      </c>
      <c r="F389" s="42" t="s">
        <v>149</v>
      </c>
      <c r="G389" s="42" t="s">
        <v>150</v>
      </c>
      <c r="H389" s="43" t="s">
        <v>150</v>
      </c>
      <c r="I389" s="44">
        <v>69</v>
      </c>
      <c r="J389" s="45">
        <v>189565.00080000001</v>
      </c>
      <c r="K389" s="46">
        <v>11717.775841000001</v>
      </c>
      <c r="L389" s="47">
        <v>201282.776641</v>
      </c>
      <c r="M389" s="48">
        <v>4450880</v>
      </c>
      <c r="N389" s="49">
        <v>2786238</v>
      </c>
      <c r="O389" s="49">
        <v>1661761</v>
      </c>
      <c r="P389" s="49">
        <v>2881</v>
      </c>
      <c r="Q389" s="50">
        <v>10368.2936130536</v>
      </c>
      <c r="R389" s="51">
        <v>25175.5141157486</v>
      </c>
      <c r="S389" s="49">
        <v>38258.831890765701</v>
      </c>
      <c r="T389" s="49">
        <v>8205.2627781153697</v>
      </c>
      <c r="U389" s="49">
        <f>IFERROR(INDEX('Rentabilidad datos'!$N$2:$N$61,MATCH($C389,'Rentabilidad datos'!$C$2:$C$61,0)),"")</f>
        <v>71639.608784629672</v>
      </c>
      <c r="V389" s="50">
        <f>IFERROR(INDEX('Rentabilidad datos'!$O$2:$O$61,MATCH($C389,'Rentabilidad datos'!$C$2:$C$61,0)),"")</f>
        <v>1193.9934797438279</v>
      </c>
      <c r="W389" s="51">
        <f>IFERROR(INDEX('Rentabilidad datos'!$M$2:$M$61,MATCH($C389,'Rentabilidad datos'!$C$2:$C$61,0)),"")</f>
        <v>3427.1365491869451</v>
      </c>
      <c r="X389" s="52">
        <f>IFERROR(INDEX('Rentabilidad datos'!$P$2:$P$61,MATCH($C389,'Rentabilidad datos'!$C$2:$C$61,0)),"")</f>
        <v>0.34839390336725601</v>
      </c>
      <c r="Y389" s="43" t="s">
        <v>171</v>
      </c>
      <c r="Z389" s="53">
        <v>78.403263403263395</v>
      </c>
      <c r="AA389" s="43">
        <v>2</v>
      </c>
      <c r="AB389" s="54">
        <v>0.9848650154576174</v>
      </c>
      <c r="AC389" s="55">
        <v>1.5134984542382631E-2</v>
      </c>
      <c r="AD389" s="752" t="e">
        <f>_xlfn.XLOOKUP(Table1[[#This Row],[Ruta]],#REF!,#REF!)</f>
        <v>#REF!</v>
      </c>
      <c r="AE389" s="752" t="e">
        <f>_xlfn.XLOOKUP(Table1[[#This Row],[Ruta]],#REF!,#REF!)</f>
        <v>#REF!</v>
      </c>
      <c r="AF389" s="752" t="e">
        <f>_xlfn.XLOOKUP(Table1[[#This Row],[Ruta]],#REF!,#REF!)</f>
        <v>#REF!</v>
      </c>
      <c r="AG389" s="752" t="e">
        <f>_xlfn.XLOOKUP(Table1[[#This Row],[Ruta]],#REF!,#REF!)</f>
        <v>#REF!</v>
      </c>
      <c r="AH389" s="52">
        <v>0.62599710619023652</v>
      </c>
      <c r="AI389" s="52">
        <v>0.37335560608239271</v>
      </c>
      <c r="AJ389" s="55">
        <v>6.472877273707671E-4</v>
      </c>
      <c r="AK389" s="56">
        <v>33635</v>
      </c>
      <c r="AL389" s="44">
        <v>14053</v>
      </c>
      <c r="AM389" s="54">
        <v>0.41780883008770597</v>
      </c>
      <c r="AN389" s="55">
        <v>0.55224100357395201</v>
      </c>
      <c r="AO389" s="56">
        <v>4521.6261552098604</v>
      </c>
      <c r="AP389" s="48">
        <v>2260.8130776049302</v>
      </c>
      <c r="AQ389" s="55">
        <v>0.48502491683082888</v>
      </c>
      <c r="AR389" s="51">
        <v>4447997.96</v>
      </c>
      <c r="AS389" s="49">
        <v>715583.28877307998</v>
      </c>
      <c r="AT389" s="55">
        <v>0.16087761172738488</v>
      </c>
      <c r="AU389" s="51">
        <v>502842.31102973205</v>
      </c>
      <c r="AV389" s="52">
        <v>2.2874772581583406E-3</v>
      </c>
      <c r="AW389" s="44">
        <v>146</v>
      </c>
      <c r="AX389" s="51">
        <v>316.51590123105399</v>
      </c>
      <c r="AY389" s="49">
        <v>395.30787608246197</v>
      </c>
      <c r="AZ389" s="49">
        <v>78.791974851407986</v>
      </c>
      <c r="BA389" s="42" t="s">
        <v>150</v>
      </c>
      <c r="BB389" s="50">
        <v>389038.57009807776</v>
      </c>
      <c r="BC389" s="57">
        <v>891880.88112780987</v>
      </c>
      <c r="BD389" s="42" t="s">
        <v>150</v>
      </c>
      <c r="BE389" s="46">
        <v>78.403263403263395</v>
      </c>
      <c r="BF389" s="46">
        <v>83.628504672897193</v>
      </c>
      <c r="BG389" s="42" t="s">
        <v>152</v>
      </c>
      <c r="BH389" s="52">
        <v>0.41780883008770597</v>
      </c>
      <c r="BI389" s="52">
        <v>0.51187669456560203</v>
      </c>
      <c r="BJ389" s="42" t="s">
        <v>152</v>
      </c>
      <c r="BK389" s="46">
        <v>469.19062154079199</v>
      </c>
      <c r="BL389" s="46">
        <v>638.00354527981403</v>
      </c>
      <c r="BM389" s="42" t="s">
        <v>152</v>
      </c>
      <c r="BN389" s="48">
        <v>0</v>
      </c>
      <c r="BO389" s="42" t="s">
        <v>155</v>
      </c>
      <c r="BP389" s="42" t="s">
        <v>152</v>
      </c>
      <c r="BQ389" s="46">
        <v>2392.2638807403</v>
      </c>
      <c r="BR389" s="46">
        <v>54</v>
      </c>
      <c r="BS389" s="46">
        <v>3328</v>
      </c>
      <c r="BT389" s="46">
        <v>1319</v>
      </c>
      <c r="BU389" s="46">
        <v>2.5231235784685366</v>
      </c>
      <c r="BV389" s="46">
        <v>24.425925925925927</v>
      </c>
      <c r="BW389" s="46">
        <v>826</v>
      </c>
      <c r="BX389" s="46">
        <v>493</v>
      </c>
      <c r="BY389" s="46">
        <v>1319</v>
      </c>
      <c r="BZ389" s="46">
        <v>1</v>
      </c>
      <c r="CA389" s="46">
        <v>0.62623199393479911</v>
      </c>
      <c r="CB389" s="46">
        <v>0.37376800606520089</v>
      </c>
      <c r="CC389" s="46">
        <v>0</v>
      </c>
      <c r="CD389" s="46">
        <v>0</v>
      </c>
      <c r="CE389" s="46">
        <v>0</v>
      </c>
      <c r="CF389" s="46">
        <v>0</v>
      </c>
      <c r="CG389" s="46">
        <v>0</v>
      </c>
      <c r="CH389" s="46">
        <v>0</v>
      </c>
      <c r="CI389" s="46">
        <v>1.2019230769230771</v>
      </c>
      <c r="CJ389" s="46">
        <v>1.5024038461538463</v>
      </c>
      <c r="CK389">
        <v>281</v>
      </c>
      <c r="CL389">
        <v>309.73</v>
      </c>
      <c r="CM389">
        <f t="shared" si="42"/>
        <v>28.730000000000018</v>
      </c>
      <c r="CN389">
        <v>7.92</v>
      </c>
      <c r="CO389">
        <v>9.4499999999999993</v>
      </c>
      <c r="CP389">
        <f t="shared" si="43"/>
        <v>1.5299999999999994</v>
      </c>
      <c r="CQ389">
        <v>564.37</v>
      </c>
      <c r="CR389">
        <v>469.19</v>
      </c>
      <c r="CS389">
        <f t="shared" si="44"/>
        <v>95.18</v>
      </c>
      <c r="CT389" t="s">
        <v>152</v>
      </c>
      <c r="CU389">
        <v>94.62</v>
      </c>
      <c r="CV389">
        <v>282</v>
      </c>
      <c r="CW389" s="46">
        <v>1319</v>
      </c>
      <c r="CX389" s="46">
        <f t="shared" si="38"/>
        <v>97.821834723275202</v>
      </c>
      <c r="CY389" s="46">
        <v>28.73</v>
      </c>
      <c r="CZ389" s="46">
        <f t="shared" si="39"/>
        <v>100</v>
      </c>
      <c r="DA389" s="46">
        <f t="shared" si="40"/>
        <v>732.03307784200092</v>
      </c>
      <c r="DB389" s="46">
        <v>986582.94</v>
      </c>
      <c r="DC389" s="46">
        <f t="shared" si="41"/>
        <v>32.345061696333836</v>
      </c>
      <c r="DD389" s="46">
        <v>43592.41</v>
      </c>
      <c r="DE389" s="995">
        <v>1319</v>
      </c>
      <c r="DF389" s="995">
        <v>97.558000000000007</v>
      </c>
      <c r="DG389" s="995">
        <v>32.200000000000003</v>
      </c>
      <c r="DH389" s="995">
        <v>100</v>
      </c>
      <c r="DI389" s="995">
        <v>3200.6289999999999</v>
      </c>
      <c r="DJ389" s="995">
        <v>4324729</v>
      </c>
      <c r="DK389" s="995">
        <v>144.78100000000001</v>
      </c>
      <c r="DL389" s="995">
        <v>195629.2</v>
      </c>
      <c r="DM389" s="995">
        <v>1319</v>
      </c>
      <c r="DN389" s="995">
        <v>97.975999999999999</v>
      </c>
      <c r="DO389" s="995">
        <v>26.7</v>
      </c>
      <c r="DP389" s="995">
        <v>100</v>
      </c>
      <c r="DQ389" s="995">
        <v>3166.1089999999999</v>
      </c>
      <c r="DR389" s="995">
        <v>4260623</v>
      </c>
      <c r="DS389" s="995">
        <v>143.26599999999999</v>
      </c>
      <c r="DT389" s="995">
        <v>192792.7</v>
      </c>
    </row>
    <row r="390" spans="1:124">
      <c r="A390" s="42" t="s">
        <v>94</v>
      </c>
      <c r="B390" s="42" t="s">
        <v>549</v>
      </c>
      <c r="C390" s="42" t="s">
        <v>550</v>
      </c>
      <c r="D390" s="42">
        <v>816387</v>
      </c>
      <c r="E390" s="42" t="s">
        <v>606</v>
      </c>
      <c r="F390" s="42" t="s">
        <v>149</v>
      </c>
      <c r="G390" s="42" t="s">
        <v>150</v>
      </c>
      <c r="H390" s="43" t="s">
        <v>150</v>
      </c>
      <c r="I390" s="44">
        <v>69</v>
      </c>
      <c r="J390" s="45">
        <v>686.86800000000005</v>
      </c>
      <c r="K390" s="46">
        <v>78.013599999999997</v>
      </c>
      <c r="L390" s="47">
        <v>764.88160000000005</v>
      </c>
      <c r="M390" s="48">
        <v>24460</v>
      </c>
      <c r="N390" s="49">
        <v>9618</v>
      </c>
      <c r="O390" s="49">
        <v>14842</v>
      </c>
      <c r="P390" s="49">
        <v>0</v>
      </c>
      <c r="Q390" s="50">
        <v>274.81808988763999</v>
      </c>
      <c r="R390" s="51">
        <v>25175.5141157486</v>
      </c>
      <c r="S390" s="49">
        <v>38258.831890765701</v>
      </c>
      <c r="T390" s="49">
        <v>8205.2627781153697</v>
      </c>
      <c r="U390" s="49">
        <f>IFERROR(INDEX('Rentabilidad datos'!$N$2:$N$61,MATCH($C390,'Rentabilidad datos'!$C$2:$C$61,0)),"")</f>
        <v>71639.608784629672</v>
      </c>
      <c r="V390" s="50">
        <f>IFERROR(INDEX('Rentabilidad datos'!$O$2:$O$61,MATCH($C390,'Rentabilidad datos'!$C$2:$C$61,0)),"")</f>
        <v>1193.9934797438279</v>
      </c>
      <c r="W390" s="51">
        <f>IFERROR(INDEX('Rentabilidad datos'!$M$2:$M$61,MATCH($C390,'Rentabilidad datos'!$C$2:$C$61,0)),"")</f>
        <v>3427.1365491869451</v>
      </c>
      <c r="X390" s="52">
        <f>IFERROR(INDEX('Rentabilidad datos'!$P$2:$P$61,MATCH($C390,'Rentabilidad datos'!$C$2:$C$61,0)),"")</f>
        <v>0.34839390336725601</v>
      </c>
      <c r="Y390" s="43" t="s">
        <v>171</v>
      </c>
      <c r="Z390" s="53">
        <v>35.629032258064498</v>
      </c>
      <c r="AA390" s="43">
        <v>2</v>
      </c>
      <c r="AB390" s="54">
        <v>0.32174979558462796</v>
      </c>
      <c r="AC390" s="55">
        <v>0.67825020441537198</v>
      </c>
      <c r="AD390" s="752" t="e">
        <f>_xlfn.XLOOKUP(Table1[[#This Row],[Ruta]],#REF!,#REF!)</f>
        <v>#REF!</v>
      </c>
      <c r="AE390" s="752" t="e">
        <f>_xlfn.XLOOKUP(Table1[[#This Row],[Ruta]],#REF!,#REF!)</f>
        <v>#REF!</v>
      </c>
      <c r="AF390" s="752" t="e">
        <f>_xlfn.XLOOKUP(Table1[[#This Row],[Ruta]],#REF!,#REF!)</f>
        <v>#REF!</v>
      </c>
      <c r="AG390" s="752" t="e">
        <f>_xlfn.XLOOKUP(Table1[[#This Row],[Ruta]],#REF!,#REF!)</f>
        <v>#REF!</v>
      </c>
      <c r="AH390" s="52">
        <v>0.39321340964840557</v>
      </c>
      <c r="AI390" s="52">
        <v>0.60678659035159443</v>
      </c>
      <c r="AJ390" s="55">
        <v>0</v>
      </c>
      <c r="AK390" s="56">
        <v>2209</v>
      </c>
      <c r="AL390" s="44">
        <v>79</v>
      </c>
      <c r="AM390" s="54">
        <v>2.35400633770937E-2</v>
      </c>
      <c r="AN390" s="55">
        <v>0.55224100357395201</v>
      </c>
      <c r="AO390" s="56">
        <v>1167.9003768948601</v>
      </c>
      <c r="AP390" s="48">
        <v>583.95018844743004</v>
      </c>
      <c r="AQ390" s="55">
        <v>0.30011325869055228</v>
      </c>
      <c r="AR390" s="51">
        <v>24458.81</v>
      </c>
      <c r="AS390" s="49">
        <v>180794.00897088449</v>
      </c>
      <c r="AT390" s="55">
        <v>7.3917745373092343</v>
      </c>
      <c r="AU390" s="51">
        <v>127044.43873629726</v>
      </c>
      <c r="AV390" s="52">
        <v>5.7793717435919445E-4</v>
      </c>
      <c r="AW390" s="44">
        <v>373</v>
      </c>
      <c r="AX390" s="51">
        <v>309.605189873418</v>
      </c>
      <c r="AY390" s="49">
        <v>395.30787608246197</v>
      </c>
      <c r="AZ390" s="49">
        <v>85.702686209043975</v>
      </c>
      <c r="BA390" s="42" t="s">
        <v>150</v>
      </c>
      <c r="BB390" s="50">
        <v>2378.8286145050861</v>
      </c>
      <c r="BC390" s="57">
        <v>129423.26735080234</v>
      </c>
      <c r="BD390" s="42" t="s">
        <v>150</v>
      </c>
      <c r="BE390" s="46">
        <v>35.629032258064498</v>
      </c>
      <c r="BF390" s="46">
        <v>83.628504672897193</v>
      </c>
      <c r="BG390" s="42" t="s">
        <v>152</v>
      </c>
      <c r="BH390" s="52">
        <v>2.35400633770937E-2</v>
      </c>
      <c r="BI390" s="52">
        <v>0.51187669456560203</v>
      </c>
      <c r="BJ390" s="42" t="s">
        <v>152</v>
      </c>
      <c r="BK390" s="46">
        <v>8.5941752808988703</v>
      </c>
      <c r="BL390" s="46">
        <v>638.00354527981403</v>
      </c>
      <c r="BM390" s="42" t="s">
        <v>152</v>
      </c>
      <c r="BN390" s="48">
        <v>0</v>
      </c>
      <c r="BO390" s="42" t="s">
        <v>155</v>
      </c>
      <c r="BP390" s="42" t="s">
        <v>152</v>
      </c>
      <c r="BQ390" s="46">
        <v>2362.7509601069701</v>
      </c>
      <c r="BR390" s="46">
        <v>2</v>
      </c>
      <c r="BS390" s="46">
        <v>0</v>
      </c>
      <c r="BT390" s="46">
        <v>0</v>
      </c>
      <c r="BU390" s="46" t="s">
        <v>194</v>
      </c>
      <c r="BV390" s="46">
        <v>0</v>
      </c>
      <c r="BW390" s="46">
        <v>0</v>
      </c>
      <c r="BX390" s="46">
        <v>0</v>
      </c>
      <c r="BY390" s="46">
        <v>0</v>
      </c>
      <c r="BZ390" s="46" t="s">
        <v>194</v>
      </c>
      <c r="CA390" s="46" t="s">
        <v>194</v>
      </c>
      <c r="CB390" s="46" t="s">
        <v>194</v>
      </c>
      <c r="CC390" s="46" t="s">
        <v>194</v>
      </c>
      <c r="CD390" s="46" t="s">
        <v>194</v>
      </c>
      <c r="CE390" s="46" t="s">
        <v>194</v>
      </c>
      <c r="CF390" s="46" t="s">
        <v>194</v>
      </c>
      <c r="CG390" s="46" t="s">
        <v>194</v>
      </c>
      <c r="CH390" s="46" t="s">
        <v>194</v>
      </c>
      <c r="CI390" s="46" t="s">
        <v>194</v>
      </c>
      <c r="CJ390" s="46" t="s">
        <v>194</v>
      </c>
      <c r="CM390">
        <f t="shared" si="42"/>
        <v>0</v>
      </c>
      <c r="CP390">
        <f t="shared" si="43"/>
        <v>0</v>
      </c>
      <c r="CS390">
        <f t="shared" si="44"/>
        <v>0</v>
      </c>
      <c r="CW390" s="46"/>
      <c r="CX390" s="46" t="e">
        <f t="shared" ref="CX390:CX453" si="45">((CW390-CY390)/BT390)*100</f>
        <v>#DIV/0!</v>
      </c>
      <c r="CY390" s="46"/>
      <c r="CZ390" s="46" t="e">
        <f t="shared" ref="CZ390:CZ453" si="46">((CW390)/BT390)*100</f>
        <v>#DIV/0!</v>
      </c>
      <c r="DA390" s="46" t="e">
        <f t="shared" ref="DA390:DA453" si="47">DB390/(CY390+BT390)</f>
        <v>#DIV/0!</v>
      </c>
      <c r="DB390" s="46"/>
      <c r="DC390" s="46" t="e">
        <f t="shared" ref="DC390:DC453" si="48">DD390/(CY390+BT390)</f>
        <v>#DIV/0!</v>
      </c>
      <c r="DD390" s="46"/>
      <c r="DE390" s="995" t="s">
        <v>194</v>
      </c>
      <c r="DF390" s="995" t="s">
        <v>194</v>
      </c>
      <c r="DG390" s="995" t="s">
        <v>194</v>
      </c>
      <c r="DH390" s="995" t="s">
        <v>194</v>
      </c>
      <c r="DI390" s="995" t="s">
        <v>194</v>
      </c>
      <c r="DJ390" s="995" t="s">
        <v>194</v>
      </c>
      <c r="DK390" s="995" t="s">
        <v>194</v>
      </c>
      <c r="DL390" s="995" t="s">
        <v>194</v>
      </c>
      <c r="DM390" s="995" t="s">
        <v>194</v>
      </c>
      <c r="DN390" s="995" t="s">
        <v>194</v>
      </c>
      <c r="DO390" s="995" t="s">
        <v>194</v>
      </c>
      <c r="DP390" s="995" t="s">
        <v>194</v>
      </c>
      <c r="DQ390" s="995" t="s">
        <v>194</v>
      </c>
      <c r="DR390" s="995" t="s">
        <v>194</v>
      </c>
      <c r="DS390" s="995" t="s">
        <v>194</v>
      </c>
      <c r="DT390" s="995" t="s">
        <v>194</v>
      </c>
    </row>
    <row r="391" spans="1:124">
      <c r="A391" s="42" t="s">
        <v>94</v>
      </c>
      <c r="B391" s="42" t="s">
        <v>549</v>
      </c>
      <c r="C391" s="42" t="s">
        <v>550</v>
      </c>
      <c r="D391" s="42">
        <v>816388</v>
      </c>
      <c r="E391" s="42" t="s">
        <v>607</v>
      </c>
      <c r="F391" s="42" t="s">
        <v>149</v>
      </c>
      <c r="G391" s="42" t="s">
        <v>150</v>
      </c>
      <c r="H391" s="43" t="s">
        <v>150</v>
      </c>
      <c r="I391" s="44">
        <v>69</v>
      </c>
      <c r="J391" s="45">
        <v>162287.53520000001</v>
      </c>
      <c r="K391" s="46">
        <v>12981.102972999999</v>
      </c>
      <c r="L391" s="47">
        <v>175268.63817300001</v>
      </c>
      <c r="M391" s="48">
        <v>4415568</v>
      </c>
      <c r="N391" s="49">
        <v>2352656</v>
      </c>
      <c r="O391" s="49">
        <v>2060417</v>
      </c>
      <c r="P391" s="49">
        <v>2495</v>
      </c>
      <c r="Q391" s="50">
        <v>10168.3583870968</v>
      </c>
      <c r="R391" s="51">
        <v>25175.5141157486</v>
      </c>
      <c r="S391" s="49">
        <v>38258.831890765701</v>
      </c>
      <c r="T391" s="49">
        <v>8205.2627781153697</v>
      </c>
      <c r="U391" s="49">
        <f>IFERROR(INDEX('Rentabilidad datos'!$N$2:$N$61,MATCH($C391,'Rentabilidad datos'!$C$2:$C$61,0)),"")</f>
        <v>71639.608784629672</v>
      </c>
      <c r="V391" s="50">
        <f>IFERROR(INDEX('Rentabilidad datos'!$O$2:$O$61,MATCH($C391,'Rentabilidad datos'!$C$2:$C$61,0)),"")</f>
        <v>1193.9934797438279</v>
      </c>
      <c r="W391" s="51">
        <f>IFERROR(INDEX('Rentabilidad datos'!$M$2:$M$61,MATCH($C391,'Rentabilidad datos'!$C$2:$C$61,0)),"")</f>
        <v>3427.1365491869451</v>
      </c>
      <c r="X391" s="52">
        <f>IFERROR(INDEX('Rentabilidad datos'!$P$2:$P$61,MATCH($C391,'Rentabilidad datos'!$C$2:$C$61,0)),"")</f>
        <v>0.34839390336725601</v>
      </c>
      <c r="Y391" s="43" t="s">
        <v>171</v>
      </c>
      <c r="Z391" s="53">
        <v>58.306451612903203</v>
      </c>
      <c r="AA391" s="43">
        <v>2</v>
      </c>
      <c r="AB391" s="54">
        <v>0.97613512010232883</v>
      </c>
      <c r="AC391" s="55">
        <v>2.3864879897671148E-2</v>
      </c>
      <c r="AD391" s="752" t="e">
        <f>_xlfn.XLOOKUP(Table1[[#This Row],[Ruta]],#REF!,#REF!)</f>
        <v>#REF!</v>
      </c>
      <c r="AE391" s="752" t="e">
        <f>_xlfn.XLOOKUP(Table1[[#This Row],[Ruta]],#REF!,#REF!)</f>
        <v>#REF!</v>
      </c>
      <c r="AF391" s="752" t="e">
        <f>_xlfn.XLOOKUP(Table1[[#This Row],[Ruta]],#REF!,#REF!)</f>
        <v>#REF!</v>
      </c>
      <c r="AG391" s="752" t="e">
        <f>_xlfn.XLOOKUP(Table1[[#This Row],[Ruta]],#REF!,#REF!)</f>
        <v>#REF!</v>
      </c>
      <c r="AH391" s="52">
        <v>0.53280936903247778</v>
      </c>
      <c r="AI391" s="52">
        <v>0.46662558474923271</v>
      </c>
      <c r="AJ391" s="55">
        <v>5.650462182894703E-4</v>
      </c>
      <c r="AK391" s="56">
        <v>25305</v>
      </c>
      <c r="AL391" s="44">
        <v>12475</v>
      </c>
      <c r="AM391" s="54">
        <v>0.49298557597312798</v>
      </c>
      <c r="AN391" s="55">
        <v>0.55224100357395201</v>
      </c>
      <c r="AO391" s="56">
        <v>1499.4585954388399</v>
      </c>
      <c r="AP391" s="48">
        <v>749.72929771941995</v>
      </c>
      <c r="AQ391" s="55">
        <v>0.5226132897735396</v>
      </c>
      <c r="AR391" s="51">
        <v>4413067.54</v>
      </c>
      <c r="AS391" s="49">
        <v>265218.92004429502</v>
      </c>
      <c r="AT391" s="55">
        <v>6.0098540899352522E-2</v>
      </c>
      <c r="AU391" s="51">
        <v>186370.05192301818</v>
      </c>
      <c r="AV391" s="52">
        <v>8.478150028836494E-4</v>
      </c>
      <c r="AW391" s="44">
        <v>320</v>
      </c>
      <c r="AX391" s="51">
        <v>353.75290901803601</v>
      </c>
      <c r="AY391" s="49">
        <v>395.30787608246197</v>
      </c>
      <c r="AZ391" s="49">
        <v>41.554967064425966</v>
      </c>
      <c r="BA391" s="42" t="s">
        <v>150</v>
      </c>
      <c r="BB391" s="50">
        <v>182139.9130722509</v>
      </c>
      <c r="BC391" s="57">
        <v>368509.96499526908</v>
      </c>
      <c r="BD391" s="42" t="s">
        <v>150</v>
      </c>
      <c r="BE391" s="46">
        <v>58.306451612903203</v>
      </c>
      <c r="BF391" s="46">
        <v>83.628504672897193</v>
      </c>
      <c r="BG391" s="42" t="s">
        <v>152</v>
      </c>
      <c r="BH391" s="52">
        <v>0.49298557597312798</v>
      </c>
      <c r="BI391" s="52">
        <v>0.51187669456560203</v>
      </c>
      <c r="BJ391" s="42" t="s">
        <v>152</v>
      </c>
      <c r="BK391" s="46">
        <v>403.84478841704998</v>
      </c>
      <c r="BL391" s="46">
        <v>638.00354527981403</v>
      </c>
      <c r="BM391" s="42" t="s">
        <v>152</v>
      </c>
      <c r="BN391" s="48">
        <v>0</v>
      </c>
      <c r="BO391" s="42" t="s">
        <v>155</v>
      </c>
      <c r="BP391" s="42" t="s">
        <v>152</v>
      </c>
      <c r="BQ391" s="46">
        <v>6333.7524843581496</v>
      </c>
      <c r="BR391" s="46">
        <v>60</v>
      </c>
      <c r="BS391" s="46">
        <v>4326</v>
      </c>
      <c r="BT391" s="46">
        <v>1629</v>
      </c>
      <c r="BU391" s="46">
        <v>2.6556169429097607</v>
      </c>
      <c r="BV391" s="46">
        <v>27.15</v>
      </c>
      <c r="BW391" s="46">
        <v>358</v>
      </c>
      <c r="BX391" s="46">
        <v>1271</v>
      </c>
      <c r="BY391" s="46">
        <v>1629</v>
      </c>
      <c r="BZ391" s="46">
        <v>1</v>
      </c>
      <c r="CA391" s="46">
        <v>0.21976672805402089</v>
      </c>
      <c r="CB391" s="46">
        <v>0.78023327194597913</v>
      </c>
      <c r="CC391" s="46">
        <v>0</v>
      </c>
      <c r="CD391" s="46">
        <v>0</v>
      </c>
      <c r="CE391" s="46">
        <v>0</v>
      </c>
      <c r="CF391" s="46">
        <v>0</v>
      </c>
      <c r="CG391" s="46">
        <v>0</v>
      </c>
      <c r="CH391" s="46">
        <v>0</v>
      </c>
      <c r="CI391" s="46">
        <v>0.92464170134073043</v>
      </c>
      <c r="CJ391" s="46">
        <v>0.69348127600554788</v>
      </c>
      <c r="CK391">
        <v>244</v>
      </c>
      <c r="CL391">
        <v>285.72000000000003</v>
      </c>
      <c r="CM391">
        <f t="shared" si="42"/>
        <v>41.720000000000027</v>
      </c>
      <c r="CN391">
        <v>8.2100000000000009</v>
      </c>
      <c r="CO391">
        <v>9.4499999999999993</v>
      </c>
      <c r="CP391">
        <f t="shared" si="43"/>
        <v>1.2399999999999984</v>
      </c>
      <c r="CQ391">
        <v>564.37</v>
      </c>
      <c r="CR391">
        <v>403.84</v>
      </c>
      <c r="CS391">
        <f t="shared" si="44"/>
        <v>160.53000000000003</v>
      </c>
      <c r="CT391" t="s">
        <v>152</v>
      </c>
      <c r="CU391">
        <v>96.03</v>
      </c>
      <c r="CV391">
        <v>245</v>
      </c>
      <c r="CW391" s="46">
        <v>1629</v>
      </c>
      <c r="CX391" s="46">
        <f t="shared" si="45"/>
        <v>97.438919582565987</v>
      </c>
      <c r="CY391" s="46">
        <v>41.72</v>
      </c>
      <c r="CZ391" s="46">
        <f t="shared" si="46"/>
        <v>100</v>
      </c>
      <c r="DA391" s="46">
        <f t="shared" si="47"/>
        <v>604.65381990997889</v>
      </c>
      <c r="DB391" s="46">
        <v>1010207.23</v>
      </c>
      <c r="DC391" s="46">
        <f t="shared" si="48"/>
        <v>26.430969881248803</v>
      </c>
      <c r="DD391" s="46">
        <v>44158.75</v>
      </c>
      <c r="DE391" s="995">
        <v>1629</v>
      </c>
      <c r="DF391" s="995">
        <v>97.555999999999997</v>
      </c>
      <c r="DG391" s="995">
        <v>39.799999999999997</v>
      </c>
      <c r="DH391" s="995">
        <v>100</v>
      </c>
      <c r="DI391" s="995">
        <v>2618.8919999999998</v>
      </c>
      <c r="DJ391" s="995">
        <v>4370438</v>
      </c>
      <c r="DK391" s="995">
        <v>105.49</v>
      </c>
      <c r="DL391" s="995">
        <v>176043.6</v>
      </c>
      <c r="DM391" s="995">
        <v>1629</v>
      </c>
      <c r="DN391" s="995">
        <v>97.986999999999995</v>
      </c>
      <c r="DO391" s="995">
        <v>32.799999999999997</v>
      </c>
      <c r="DP391" s="995">
        <v>100</v>
      </c>
      <c r="DQ391" s="995">
        <v>2584.0450000000001</v>
      </c>
      <c r="DR391" s="995">
        <v>4294130</v>
      </c>
      <c r="DS391" s="995">
        <v>103.762</v>
      </c>
      <c r="DT391" s="995">
        <v>172430.3</v>
      </c>
    </row>
    <row r="392" spans="1:124">
      <c r="A392" s="42" t="s">
        <v>94</v>
      </c>
      <c r="B392" s="42" t="s">
        <v>549</v>
      </c>
      <c r="C392" s="42" t="s">
        <v>550</v>
      </c>
      <c r="D392" s="42">
        <v>816389</v>
      </c>
      <c r="E392" s="42" t="s">
        <v>608</v>
      </c>
      <c r="F392" s="42" t="s">
        <v>193</v>
      </c>
      <c r="G392" s="42" t="s">
        <v>150</v>
      </c>
      <c r="H392" s="43" t="s">
        <v>152</v>
      </c>
      <c r="I392" s="44">
        <v>69</v>
      </c>
      <c r="J392" s="45">
        <v>14.089600000000001</v>
      </c>
      <c r="K392" s="46">
        <v>0</v>
      </c>
      <c r="L392" s="47">
        <v>14.089600000000001</v>
      </c>
      <c r="M392" s="48">
        <v>200</v>
      </c>
      <c r="N392" s="49">
        <v>200</v>
      </c>
      <c r="O392" s="49">
        <v>0</v>
      </c>
      <c r="P392" s="49">
        <v>0</v>
      </c>
      <c r="Q392" s="50">
        <v>0</v>
      </c>
      <c r="R392" s="51">
        <v>25175.5141157486</v>
      </c>
      <c r="S392" s="49">
        <v>38258.831890765701</v>
      </c>
      <c r="T392" s="49">
        <v>8205.2627781153697</v>
      </c>
      <c r="U392" s="49">
        <f>IFERROR(INDEX('Rentabilidad datos'!$N$2:$N$61,MATCH($C392,'Rentabilidad datos'!$C$2:$C$61,0)),"")</f>
        <v>71639.608784629672</v>
      </c>
      <c r="V392" s="50">
        <f>IFERROR(INDEX('Rentabilidad datos'!$O$2:$O$61,MATCH($C392,'Rentabilidad datos'!$C$2:$C$61,0)),"")</f>
        <v>1193.9934797438279</v>
      </c>
      <c r="W392" s="51">
        <f>IFERROR(INDEX('Rentabilidad datos'!$M$2:$M$61,MATCH($C392,'Rentabilidad datos'!$C$2:$C$61,0)),"")</f>
        <v>3427.1365491869451</v>
      </c>
      <c r="X392" s="52">
        <f>IFERROR(INDEX('Rentabilidad datos'!$P$2:$P$61,MATCH($C392,'Rentabilidad datos'!$C$2:$C$61,0)),"")</f>
        <v>0.34839390336725601</v>
      </c>
      <c r="Y392" s="43" t="s">
        <v>171</v>
      </c>
      <c r="Z392" s="53">
        <v>50.8333333333333</v>
      </c>
      <c r="AA392" s="43">
        <v>2</v>
      </c>
      <c r="AB392" s="54">
        <v>0</v>
      </c>
      <c r="AC392" s="55">
        <v>1</v>
      </c>
      <c r="AD392" s="752" t="e">
        <f>_xlfn.XLOOKUP(Table1[[#This Row],[Ruta]],#REF!,#REF!)</f>
        <v>#REF!</v>
      </c>
      <c r="AE392" s="752" t="e">
        <f>_xlfn.XLOOKUP(Table1[[#This Row],[Ruta]],#REF!,#REF!)</f>
        <v>#REF!</v>
      </c>
      <c r="AF392" s="752" t="e">
        <f>_xlfn.XLOOKUP(Table1[[#This Row],[Ruta]],#REF!,#REF!)</f>
        <v>#REF!</v>
      </c>
      <c r="AG392" s="752" t="e">
        <f>_xlfn.XLOOKUP(Table1[[#This Row],[Ruta]],#REF!,#REF!)</f>
        <v>#REF!</v>
      </c>
      <c r="AH392" s="52">
        <v>1</v>
      </c>
      <c r="AI392" s="52">
        <v>0</v>
      </c>
      <c r="AJ392" s="55">
        <v>0</v>
      </c>
      <c r="AK392" s="56">
        <v>610</v>
      </c>
      <c r="AL392" s="44">
        <v>2</v>
      </c>
      <c r="AM392" s="54">
        <v>3.2786885245901002E-3</v>
      </c>
      <c r="AN392" s="55">
        <v>0.55224100357395201</v>
      </c>
      <c r="AO392" s="56">
        <v>0</v>
      </c>
      <c r="AP392" s="48">
        <v>0</v>
      </c>
      <c r="AQ392" s="55">
        <v>3.2786885245901639E-3</v>
      </c>
      <c r="AR392" s="51">
        <v>200</v>
      </c>
      <c r="AS392" s="49">
        <v>0</v>
      </c>
      <c r="AT392" s="55">
        <v>0</v>
      </c>
      <c r="AU392" s="51">
        <v>0</v>
      </c>
      <c r="AV392" s="52">
        <v>0</v>
      </c>
      <c r="AW392" s="44">
        <v>490</v>
      </c>
      <c r="AX392" s="51">
        <v>100</v>
      </c>
      <c r="AY392" s="49">
        <v>395.30787608246197</v>
      </c>
      <c r="AZ392" s="49">
        <v>295.30787608246197</v>
      </c>
      <c r="BA392" s="42" t="s">
        <v>150</v>
      </c>
      <c r="BB392" s="50">
        <v>207.51364265254091</v>
      </c>
      <c r="BC392" s="57">
        <v>207.51364265254091</v>
      </c>
      <c r="BD392" s="42" t="s">
        <v>152</v>
      </c>
      <c r="BE392" s="46" t="s">
        <v>195</v>
      </c>
      <c r="BF392" s="46" t="s">
        <v>195</v>
      </c>
      <c r="BG392" s="42" t="s">
        <v>195</v>
      </c>
      <c r="BH392" s="52" t="s">
        <v>195</v>
      </c>
      <c r="BI392" s="52" t="s">
        <v>195</v>
      </c>
      <c r="BJ392" s="42" t="s">
        <v>195</v>
      </c>
      <c r="BK392" s="46" t="s">
        <v>195</v>
      </c>
      <c r="BL392" s="46" t="s">
        <v>195</v>
      </c>
      <c r="BM392" s="42" t="s">
        <v>195</v>
      </c>
      <c r="BN392" s="48" t="s">
        <v>195</v>
      </c>
      <c r="BO392" s="42" t="s">
        <v>195</v>
      </c>
      <c r="BP392" s="42" t="s">
        <v>152</v>
      </c>
      <c r="BQ392" s="46">
        <v>0</v>
      </c>
      <c r="BR392" s="46">
        <v>72</v>
      </c>
      <c r="BS392" s="46">
        <v>6499</v>
      </c>
      <c r="BT392" s="46">
        <v>2488</v>
      </c>
      <c r="BU392" s="46">
        <v>2.612138263665595</v>
      </c>
      <c r="BV392" s="46">
        <v>34.555555555555557</v>
      </c>
      <c r="BW392" s="46">
        <v>0</v>
      </c>
      <c r="BX392" s="46">
        <v>2488</v>
      </c>
      <c r="BY392" s="46">
        <v>2488</v>
      </c>
      <c r="BZ392" s="46">
        <v>1</v>
      </c>
      <c r="CA392" s="46">
        <v>0</v>
      </c>
      <c r="CB392" s="46">
        <v>1</v>
      </c>
      <c r="CC392" s="46">
        <v>0</v>
      </c>
      <c r="CD392" s="46">
        <v>0</v>
      </c>
      <c r="CE392" s="46">
        <v>0</v>
      </c>
      <c r="CF392" s="46">
        <v>0</v>
      </c>
      <c r="CG392" s="46">
        <v>0</v>
      </c>
      <c r="CH392" s="46">
        <v>0</v>
      </c>
      <c r="CI392" s="46">
        <v>0.61547930450838595</v>
      </c>
      <c r="CJ392" s="46">
        <v>0.76934913063548238</v>
      </c>
      <c r="CK392">
        <v>168</v>
      </c>
      <c r="CL392">
        <v>331.74</v>
      </c>
      <c r="CM392">
        <f t="shared" si="42"/>
        <v>163.74</v>
      </c>
      <c r="CN392">
        <v>4.3</v>
      </c>
      <c r="CO392">
        <v>9.4499999999999993</v>
      </c>
      <c r="CP392">
        <f t="shared" si="43"/>
        <v>5.1499999999999995</v>
      </c>
      <c r="CQ392">
        <v>686.09</v>
      </c>
      <c r="CR392">
        <v>514.29</v>
      </c>
      <c r="CS392">
        <f t="shared" si="44"/>
        <v>171.80000000000007</v>
      </c>
      <c r="CT392" t="s">
        <v>152</v>
      </c>
      <c r="CU392">
        <v>74.959999999999994</v>
      </c>
      <c r="CV392">
        <v>171</v>
      </c>
      <c r="CW392" s="46">
        <v>2488</v>
      </c>
      <c r="CX392" s="46">
        <f t="shared" si="45"/>
        <v>93.418810289389071</v>
      </c>
      <c r="CY392" s="46">
        <v>163.74</v>
      </c>
      <c r="CZ392" s="46">
        <f t="shared" si="46"/>
        <v>100</v>
      </c>
      <c r="DA392" s="46">
        <f t="shared" si="47"/>
        <v>768.11307292570166</v>
      </c>
      <c r="DB392" s="46">
        <v>2036836.16</v>
      </c>
      <c r="DC392" s="46">
        <f t="shared" si="48"/>
        <v>41.247309313884472</v>
      </c>
      <c r="DD392" s="46">
        <v>109377.14</v>
      </c>
      <c r="DE392" s="995">
        <v>2488</v>
      </c>
      <c r="DF392" s="995">
        <v>93.418999999999997</v>
      </c>
      <c r="DG392" s="995">
        <v>163.69999999999999</v>
      </c>
      <c r="DH392" s="995">
        <v>100</v>
      </c>
      <c r="DI392" s="995">
        <v>1392.91</v>
      </c>
      <c r="DJ392" s="995">
        <v>3693636</v>
      </c>
      <c r="DK392" s="995">
        <v>74.019000000000005</v>
      </c>
      <c r="DL392" s="995">
        <v>196280.1</v>
      </c>
      <c r="DM392" s="995">
        <v>2488</v>
      </c>
      <c r="DN392" s="995">
        <v>93.418999999999997</v>
      </c>
      <c r="DO392" s="995">
        <v>163.69999999999999</v>
      </c>
      <c r="DP392" s="995">
        <v>100</v>
      </c>
      <c r="DQ392" s="995">
        <v>1392.91</v>
      </c>
      <c r="DR392" s="995">
        <v>3693636</v>
      </c>
      <c r="DS392" s="995">
        <v>74.019000000000005</v>
      </c>
      <c r="DT392" s="995">
        <v>196280.1</v>
      </c>
    </row>
    <row r="393" spans="1:124">
      <c r="A393" s="42" t="s">
        <v>94</v>
      </c>
      <c r="B393" s="42" t="s">
        <v>549</v>
      </c>
      <c r="C393" s="42" t="s">
        <v>550</v>
      </c>
      <c r="D393" s="42">
        <v>816390</v>
      </c>
      <c r="E393" s="42" t="s">
        <v>609</v>
      </c>
      <c r="F393" s="42" t="s">
        <v>149</v>
      </c>
      <c r="G393" s="42" t="s">
        <v>150</v>
      </c>
      <c r="H393" s="43" t="s">
        <v>150</v>
      </c>
      <c r="I393" s="44">
        <v>69</v>
      </c>
      <c r="J393" s="45">
        <v>173485.24479999999</v>
      </c>
      <c r="K393" s="46">
        <v>6212.8207190000003</v>
      </c>
      <c r="L393" s="47">
        <v>179698.065519</v>
      </c>
      <c r="M393" s="48">
        <v>3461234</v>
      </c>
      <c r="N393" s="49">
        <v>2550869</v>
      </c>
      <c r="O393" s="49">
        <v>909458</v>
      </c>
      <c r="P393" s="49">
        <v>907</v>
      </c>
      <c r="Q393" s="50">
        <v>8030.1447086247099</v>
      </c>
      <c r="R393" s="51">
        <v>25175.5141157486</v>
      </c>
      <c r="S393" s="49">
        <v>38258.831890765701</v>
      </c>
      <c r="T393" s="49">
        <v>8205.2627781153697</v>
      </c>
      <c r="U393" s="49">
        <f>IFERROR(INDEX('Rentabilidad datos'!$N$2:$N$61,MATCH($C393,'Rentabilidad datos'!$C$2:$C$61,0)),"")</f>
        <v>71639.608784629672</v>
      </c>
      <c r="V393" s="50">
        <f>IFERROR(INDEX('Rentabilidad datos'!$O$2:$O$61,MATCH($C393,'Rentabilidad datos'!$C$2:$C$61,0)),"")</f>
        <v>1193.9934797438279</v>
      </c>
      <c r="W393" s="51">
        <f>IFERROR(INDEX('Rentabilidad datos'!$M$2:$M$61,MATCH($C393,'Rentabilidad datos'!$C$2:$C$61,0)),"")</f>
        <v>3427.1365491869451</v>
      </c>
      <c r="X393" s="52">
        <f>IFERROR(INDEX('Rentabilidad datos'!$P$2:$P$61,MATCH($C393,'Rentabilidad datos'!$C$2:$C$61,0)),"")</f>
        <v>0.34839390336725601</v>
      </c>
      <c r="Y393" s="43" t="s">
        <v>171</v>
      </c>
      <c r="Z393" s="53">
        <v>48.013986013985999</v>
      </c>
      <c r="AA393" s="43">
        <v>2</v>
      </c>
      <c r="AB393" s="54">
        <v>0.92896926356322629</v>
      </c>
      <c r="AC393" s="55">
        <v>7.1030736436773712E-2</v>
      </c>
      <c r="AD393" s="752" t="e">
        <f>_xlfn.XLOOKUP(Table1[[#This Row],[Ruta]],#REF!,#REF!)</f>
        <v>#REF!</v>
      </c>
      <c r="AE393" s="752" t="e">
        <f>_xlfn.XLOOKUP(Table1[[#This Row],[Ruta]],#REF!,#REF!)</f>
        <v>#REF!</v>
      </c>
      <c r="AF393" s="752" t="e">
        <f>_xlfn.XLOOKUP(Table1[[#This Row],[Ruta]],#REF!,#REF!)</f>
        <v>#REF!</v>
      </c>
      <c r="AG393" s="752" t="e">
        <f>_xlfn.XLOOKUP(Table1[[#This Row],[Ruta]],#REF!,#REF!)</f>
        <v>#REF!</v>
      </c>
      <c r="AH393" s="52">
        <v>0.73698253281921999</v>
      </c>
      <c r="AI393" s="52">
        <v>0.26275542191022044</v>
      </c>
      <c r="AJ393" s="55">
        <v>2.6204527055957499E-4</v>
      </c>
      <c r="AK393" s="56">
        <v>20598</v>
      </c>
      <c r="AL393" s="44">
        <v>8139</v>
      </c>
      <c r="AM393" s="54">
        <v>0.39513545004369399</v>
      </c>
      <c r="AN393" s="55">
        <v>0.55224100357395201</v>
      </c>
      <c r="AO393" s="56">
        <v>3236.06019161625</v>
      </c>
      <c r="AP393" s="48">
        <v>1618.030095808125</v>
      </c>
      <c r="AQ393" s="55">
        <v>0.47368822680882244</v>
      </c>
      <c r="AR393" s="51">
        <v>3444932.08</v>
      </c>
      <c r="AS393" s="49">
        <v>684851.18361652503</v>
      </c>
      <c r="AT393" s="55">
        <v>0.1987996186027926</v>
      </c>
      <c r="AU393" s="51">
        <v>481246.77767647721</v>
      </c>
      <c r="AV393" s="52">
        <v>2.1892371332925364E-3</v>
      </c>
      <c r="AW393" s="44">
        <v>154</v>
      </c>
      <c r="AX393" s="51">
        <v>423.26232706720702</v>
      </c>
      <c r="AY393" s="49">
        <v>395.30787608246197</v>
      </c>
      <c r="AZ393" s="49">
        <v>0</v>
      </c>
      <c r="BA393" s="42" t="s">
        <v>152</v>
      </c>
      <c r="BB393" s="50">
        <v>0</v>
      </c>
      <c r="BC393" s="57">
        <v>481246.77767647721</v>
      </c>
      <c r="BD393" s="42" t="s">
        <v>150</v>
      </c>
      <c r="BE393" s="46">
        <v>48.013986013985999</v>
      </c>
      <c r="BF393" s="46">
        <v>83.628504672897193</v>
      </c>
      <c r="BG393" s="42" t="s">
        <v>152</v>
      </c>
      <c r="BH393" s="52">
        <v>0.39513545004369399</v>
      </c>
      <c r="BI393" s="52">
        <v>0.51187669456560203</v>
      </c>
      <c r="BJ393" s="42" t="s">
        <v>152</v>
      </c>
      <c r="BK393" s="46">
        <v>418.87660960139902</v>
      </c>
      <c r="BL393" s="46">
        <v>638.00354527981403</v>
      </c>
      <c r="BM393" s="42" t="s">
        <v>152</v>
      </c>
      <c r="BN393" s="48">
        <v>0</v>
      </c>
      <c r="BO393" s="42" t="s">
        <v>155</v>
      </c>
      <c r="BP393" s="42" t="s">
        <v>152</v>
      </c>
      <c r="BQ393" s="46">
        <v>8038.1734876215196</v>
      </c>
      <c r="BR393" s="46">
        <v>41</v>
      </c>
      <c r="BS393" s="46">
        <v>3675</v>
      </c>
      <c r="BT393" s="46">
        <v>1164</v>
      </c>
      <c r="BU393" s="46">
        <v>3.1572164948453607</v>
      </c>
      <c r="BV393" s="46">
        <v>28.390243902439025</v>
      </c>
      <c r="BW393" s="46">
        <v>0</v>
      </c>
      <c r="BX393" s="46">
        <v>1164</v>
      </c>
      <c r="BY393" s="46">
        <v>1164</v>
      </c>
      <c r="BZ393" s="46">
        <v>1</v>
      </c>
      <c r="CA393" s="46">
        <v>0</v>
      </c>
      <c r="CB393" s="46">
        <v>1</v>
      </c>
      <c r="CC393" s="46">
        <v>0</v>
      </c>
      <c r="CD393" s="46">
        <v>0</v>
      </c>
      <c r="CE393" s="46">
        <v>0</v>
      </c>
      <c r="CF393" s="46">
        <v>0</v>
      </c>
      <c r="CG393" s="46">
        <v>0</v>
      </c>
      <c r="CH393" s="46">
        <v>0</v>
      </c>
      <c r="CI393" s="46">
        <v>2.176870748299319</v>
      </c>
      <c r="CJ393" s="46">
        <v>0.54421768707482987</v>
      </c>
      <c r="CK393">
        <v>272</v>
      </c>
      <c r="CL393">
        <v>317.02999999999997</v>
      </c>
      <c r="CM393">
        <f t="shared" si="42"/>
        <v>45.029999999999973</v>
      </c>
      <c r="CN393">
        <v>7.02</v>
      </c>
      <c r="CO393">
        <v>9.4499999999999993</v>
      </c>
      <c r="CP393">
        <f t="shared" si="43"/>
        <v>2.4299999999999997</v>
      </c>
      <c r="CQ393">
        <v>564.37</v>
      </c>
      <c r="CR393">
        <v>418.88</v>
      </c>
      <c r="CS393">
        <f t="shared" si="44"/>
        <v>145.49</v>
      </c>
      <c r="CT393" t="s">
        <v>152</v>
      </c>
      <c r="CU393">
        <v>80.930000000000007</v>
      </c>
      <c r="CV393">
        <v>269</v>
      </c>
      <c r="CW393" s="46">
        <v>1164</v>
      </c>
      <c r="CX393" s="46">
        <f t="shared" si="45"/>
        <v>96.131443298969074</v>
      </c>
      <c r="CY393" s="46">
        <v>45.03</v>
      </c>
      <c r="CZ393" s="46">
        <f t="shared" si="46"/>
        <v>100</v>
      </c>
      <c r="DA393" s="46">
        <f t="shared" si="47"/>
        <v>1386.1115687782767</v>
      </c>
      <c r="DB393" s="46">
        <v>1675850.47</v>
      </c>
      <c r="DC393" s="46">
        <f t="shared" si="48"/>
        <v>68.87934956121849</v>
      </c>
      <c r="DD393" s="46">
        <v>83277.2</v>
      </c>
      <c r="DE393" s="995">
        <v>1164</v>
      </c>
      <c r="DF393" s="995">
        <v>96.346000000000004</v>
      </c>
      <c r="DG393" s="995">
        <v>42.5</v>
      </c>
      <c r="DH393" s="995">
        <v>100</v>
      </c>
      <c r="DI393" s="995">
        <v>3210.9209999999998</v>
      </c>
      <c r="DJ393" s="995">
        <v>3874066</v>
      </c>
      <c r="DK393" s="995">
        <v>159.69800000000001</v>
      </c>
      <c r="DL393" s="995">
        <v>192680.1</v>
      </c>
      <c r="DM393" s="995">
        <v>1164</v>
      </c>
      <c r="DN393" s="995">
        <v>96.991</v>
      </c>
      <c r="DO393" s="995">
        <v>35</v>
      </c>
      <c r="DP393" s="995">
        <v>100</v>
      </c>
      <c r="DQ393" s="995">
        <v>3165.87</v>
      </c>
      <c r="DR393" s="995">
        <v>3795951</v>
      </c>
      <c r="DS393" s="995">
        <v>157.47800000000001</v>
      </c>
      <c r="DT393" s="995">
        <v>188820.3</v>
      </c>
    </row>
    <row r="394" spans="1:124">
      <c r="A394" s="42" t="s">
        <v>94</v>
      </c>
      <c r="B394" s="42" t="s">
        <v>549</v>
      </c>
      <c r="C394" s="42" t="s">
        <v>550</v>
      </c>
      <c r="D394" s="42">
        <v>816391</v>
      </c>
      <c r="E394" s="42" t="s">
        <v>610</v>
      </c>
      <c r="F394" s="42" t="s">
        <v>149</v>
      </c>
      <c r="G394" s="42" t="s">
        <v>150</v>
      </c>
      <c r="H394" s="43" t="s">
        <v>150</v>
      </c>
      <c r="I394" s="44">
        <v>69</v>
      </c>
      <c r="J394" s="45">
        <v>214855.8328</v>
      </c>
      <c r="K394" s="46">
        <v>8936.9720469999993</v>
      </c>
      <c r="L394" s="47">
        <v>223792.80484699999</v>
      </c>
      <c r="M394" s="48">
        <v>4405998</v>
      </c>
      <c r="N394" s="49">
        <v>3131396</v>
      </c>
      <c r="O394" s="49">
        <v>1269718</v>
      </c>
      <c r="P394" s="49">
        <v>4884</v>
      </c>
      <c r="Q394" s="50">
        <v>10008.5657954546</v>
      </c>
      <c r="R394" s="51">
        <v>25175.5141157486</v>
      </c>
      <c r="S394" s="49">
        <v>38258.831890765701</v>
      </c>
      <c r="T394" s="49">
        <v>8205.2627781153697</v>
      </c>
      <c r="U394" s="49">
        <f>IFERROR(INDEX('Rentabilidad datos'!$N$2:$N$61,MATCH($C394,'Rentabilidad datos'!$C$2:$C$61,0)),"")</f>
        <v>71639.608784629672</v>
      </c>
      <c r="V394" s="50">
        <f>IFERROR(INDEX('Rentabilidad datos'!$O$2:$O$61,MATCH($C394,'Rentabilidad datos'!$C$2:$C$61,0)),"")</f>
        <v>1193.9934797438279</v>
      </c>
      <c r="W394" s="51">
        <f>IFERROR(INDEX('Rentabilidad datos'!$M$2:$M$61,MATCH($C394,'Rentabilidad datos'!$C$2:$C$61,0)),"")</f>
        <v>3427.1365491869451</v>
      </c>
      <c r="X394" s="52">
        <f>IFERROR(INDEX('Rentabilidad datos'!$P$2:$P$61,MATCH($C394,'Rentabilidad datos'!$C$2:$C$61,0)),"")</f>
        <v>0.34839390336725601</v>
      </c>
      <c r="Y394" s="43" t="s">
        <v>171</v>
      </c>
      <c r="Z394" s="53">
        <v>91.847727272727298</v>
      </c>
      <c r="AA394" s="43">
        <v>2</v>
      </c>
      <c r="AB394" s="54">
        <v>0.94269402755062526</v>
      </c>
      <c r="AC394" s="55">
        <v>5.7305972449374694E-2</v>
      </c>
      <c r="AD394" s="752" t="e">
        <f>_xlfn.XLOOKUP(Table1[[#This Row],[Ruta]],#REF!,#REF!)</f>
        <v>#REF!</v>
      </c>
      <c r="AE394" s="752" t="e">
        <f>_xlfn.XLOOKUP(Table1[[#This Row],[Ruta]],#REF!,#REF!)</f>
        <v>#REF!</v>
      </c>
      <c r="AF394" s="752" t="e">
        <f>_xlfn.XLOOKUP(Table1[[#This Row],[Ruta]],#REF!,#REF!)</f>
        <v>#REF!</v>
      </c>
      <c r="AG394" s="752" t="e">
        <f>_xlfn.XLOOKUP(Table1[[#This Row],[Ruta]],#REF!,#REF!)</f>
        <v>#REF!</v>
      </c>
      <c r="AH394" s="52">
        <v>0.71071207930643632</v>
      </c>
      <c r="AI394" s="52">
        <v>0.28817943176551603</v>
      </c>
      <c r="AJ394" s="55">
        <v>1.1084889280476296E-3</v>
      </c>
      <c r="AK394" s="56">
        <v>40413</v>
      </c>
      <c r="AL394" s="44">
        <v>14003</v>
      </c>
      <c r="AM394" s="54">
        <v>0.34649741419840202</v>
      </c>
      <c r="AN394" s="55">
        <v>0.55224100357395201</v>
      </c>
      <c r="AO394" s="56">
        <v>8314.7156774341092</v>
      </c>
      <c r="AP394" s="48">
        <v>4157.3578387170546</v>
      </c>
      <c r="AQ394" s="55">
        <v>0.44936920888617665</v>
      </c>
      <c r="AR394" s="51">
        <v>4403768.95</v>
      </c>
      <c r="AS394" s="49">
        <v>1307437.2180376551</v>
      </c>
      <c r="AT394" s="55">
        <v>0.29689051194151661</v>
      </c>
      <c r="AU394" s="51">
        <v>918739.66672916338</v>
      </c>
      <c r="AV394" s="52">
        <v>4.1794336866904404E-3</v>
      </c>
      <c r="AW394" s="44">
        <v>56</v>
      </c>
      <c r="AX394" s="51">
        <v>314.48753481396898</v>
      </c>
      <c r="AY394" s="49">
        <v>395.30787608246197</v>
      </c>
      <c r="AZ394" s="49">
        <v>80.820341268492996</v>
      </c>
      <c r="BA394" s="42" t="s">
        <v>150</v>
      </c>
      <c r="BB394" s="50">
        <v>397633.8947074379</v>
      </c>
      <c r="BC394" s="57">
        <v>1316373.5614366012</v>
      </c>
      <c r="BD394" s="42" t="s">
        <v>150</v>
      </c>
      <c r="BE394" s="46">
        <v>91.847727272727298</v>
      </c>
      <c r="BF394" s="46">
        <v>83.628504672897193</v>
      </c>
      <c r="BG394" s="42" t="s">
        <v>150</v>
      </c>
      <c r="BH394" s="52">
        <v>0.34649741419840202</v>
      </c>
      <c r="BI394" s="52">
        <v>0.51187669456560203</v>
      </c>
      <c r="BJ394" s="42" t="s">
        <v>152</v>
      </c>
      <c r="BK394" s="46">
        <v>508.62001101590801</v>
      </c>
      <c r="BL394" s="46">
        <v>638.00354527981403</v>
      </c>
      <c r="BM394" s="42" t="s">
        <v>152</v>
      </c>
      <c r="BN394" s="48">
        <v>1</v>
      </c>
      <c r="BO394" s="42" t="s">
        <v>155</v>
      </c>
      <c r="BP394" s="42" t="s">
        <v>152</v>
      </c>
      <c r="BQ394" s="46">
        <v>4043.2594466799601</v>
      </c>
      <c r="BR394" s="46">
        <v>43</v>
      </c>
      <c r="BS394" s="46">
        <v>10153</v>
      </c>
      <c r="BT394" s="46">
        <v>3186</v>
      </c>
      <c r="BU394" s="46">
        <v>3.1867545511613309</v>
      </c>
      <c r="BV394" s="46">
        <v>74.093023255813947</v>
      </c>
      <c r="BW394" s="46">
        <v>2378</v>
      </c>
      <c r="BX394" s="46">
        <v>808</v>
      </c>
      <c r="BY394" s="46">
        <v>3186</v>
      </c>
      <c r="BZ394" s="46">
        <v>1</v>
      </c>
      <c r="CA394" s="46">
        <v>0.74639045825486505</v>
      </c>
      <c r="CB394" s="46">
        <v>0.25360954174513489</v>
      </c>
      <c r="CC394" s="46">
        <v>0</v>
      </c>
      <c r="CD394" s="46">
        <v>0</v>
      </c>
      <c r="CE394" s="46">
        <v>0</v>
      </c>
      <c r="CF394" s="46">
        <v>0</v>
      </c>
      <c r="CG394" s="46">
        <v>0</v>
      </c>
      <c r="CH394" s="46">
        <v>0</v>
      </c>
      <c r="CI394" s="46">
        <v>2.659312518467448</v>
      </c>
      <c r="CJ394" s="46">
        <v>0.68945139367674579</v>
      </c>
      <c r="CK394">
        <v>407</v>
      </c>
      <c r="CL394">
        <v>455.12</v>
      </c>
      <c r="CM394">
        <f t="shared" ref="CM394:CM457" si="49">CL394-CK394</f>
        <v>48.120000000000005</v>
      </c>
      <c r="CN394">
        <v>9.6199999999999992</v>
      </c>
      <c r="CO394">
        <v>9.4499999999999993</v>
      </c>
      <c r="CP394">
        <f t="shared" ref="CP394:CP457" si="50">CO394-CN394</f>
        <v>-0.16999999999999993</v>
      </c>
      <c r="CQ394">
        <v>846.56</v>
      </c>
      <c r="CR394">
        <v>508.62</v>
      </c>
      <c r="CS394">
        <f t="shared" ref="CS394:CS457" si="51">CQ394-CR394</f>
        <v>337.93999999999994</v>
      </c>
      <c r="CT394" t="s">
        <v>150</v>
      </c>
      <c r="CU394">
        <v>101.78</v>
      </c>
      <c r="CV394">
        <v>432</v>
      </c>
      <c r="CW394" s="46">
        <v>3186</v>
      </c>
      <c r="CX394" s="46">
        <f t="shared" si="45"/>
        <v>98.489642184557454</v>
      </c>
      <c r="CY394" s="46">
        <v>48.12</v>
      </c>
      <c r="CZ394" s="46">
        <f t="shared" si="46"/>
        <v>100</v>
      </c>
      <c r="DA394" s="46">
        <f t="shared" si="47"/>
        <v>695.49415606099967</v>
      </c>
      <c r="DB394" s="46">
        <v>2249311.56</v>
      </c>
      <c r="DC394" s="46">
        <f t="shared" si="48"/>
        <v>35.357265654954055</v>
      </c>
      <c r="DD394" s="46">
        <v>114349.64</v>
      </c>
      <c r="DE394" s="995">
        <v>3186</v>
      </c>
      <c r="DF394" s="995">
        <v>98.501000000000005</v>
      </c>
      <c r="DG394" s="995">
        <v>47.8</v>
      </c>
      <c r="DH394" s="995">
        <v>100</v>
      </c>
      <c r="DI394" s="995">
        <v>1821.556</v>
      </c>
      <c r="DJ394" s="995">
        <v>5890502</v>
      </c>
      <c r="DK394" s="995">
        <v>92.424000000000007</v>
      </c>
      <c r="DL394" s="995">
        <v>298878.59999999998</v>
      </c>
      <c r="DM394" s="995">
        <v>3186</v>
      </c>
      <c r="DN394" s="995">
        <v>98.63</v>
      </c>
      <c r="DO394" s="995">
        <v>43.6</v>
      </c>
      <c r="DP394" s="995">
        <v>100</v>
      </c>
      <c r="DQ394" s="995">
        <v>1811.1890000000001</v>
      </c>
      <c r="DR394" s="995">
        <v>5849497</v>
      </c>
      <c r="DS394" s="995">
        <v>91.885000000000005</v>
      </c>
      <c r="DT394" s="995">
        <v>296754.59999999998</v>
      </c>
    </row>
    <row r="395" spans="1:124">
      <c r="A395" s="42" t="s">
        <v>94</v>
      </c>
      <c r="B395" s="42" t="s">
        <v>549</v>
      </c>
      <c r="C395" s="42" t="s">
        <v>550</v>
      </c>
      <c r="D395" s="42">
        <v>816392</v>
      </c>
      <c r="E395" s="42" t="s">
        <v>611</v>
      </c>
      <c r="F395" s="42" t="s">
        <v>149</v>
      </c>
      <c r="G395" s="42" t="s">
        <v>150</v>
      </c>
      <c r="H395" s="43" t="s">
        <v>150</v>
      </c>
      <c r="I395" s="44">
        <v>69</v>
      </c>
      <c r="J395" s="45">
        <v>197479.83360000001</v>
      </c>
      <c r="K395" s="46">
        <v>10837.449162000001</v>
      </c>
      <c r="L395" s="47">
        <v>208317.28276199999</v>
      </c>
      <c r="M395" s="48">
        <v>4351874</v>
      </c>
      <c r="N395" s="49">
        <v>2964333</v>
      </c>
      <c r="O395" s="49">
        <v>1382775</v>
      </c>
      <c r="P395" s="49">
        <v>4766</v>
      </c>
      <c r="Q395" s="50">
        <v>9782.23493119267</v>
      </c>
      <c r="R395" s="51">
        <v>25175.5141157486</v>
      </c>
      <c r="S395" s="49">
        <v>38258.831890765701</v>
      </c>
      <c r="T395" s="49">
        <v>8205.2627781153697</v>
      </c>
      <c r="U395" s="49">
        <f>IFERROR(INDEX('Rentabilidad datos'!$N$2:$N$61,MATCH($C395,'Rentabilidad datos'!$C$2:$C$61,0)),"")</f>
        <v>71639.608784629672</v>
      </c>
      <c r="V395" s="50">
        <f>IFERROR(INDEX('Rentabilidad datos'!$O$2:$O$61,MATCH($C395,'Rentabilidad datos'!$C$2:$C$61,0)),"")</f>
        <v>1193.9934797438279</v>
      </c>
      <c r="W395" s="51">
        <f>IFERROR(INDEX('Rentabilidad datos'!$M$2:$M$61,MATCH($C395,'Rentabilidad datos'!$C$2:$C$61,0)),"")</f>
        <v>3427.1365491869451</v>
      </c>
      <c r="X395" s="52">
        <f>IFERROR(INDEX('Rentabilidad datos'!$P$2:$P$61,MATCH($C395,'Rentabilidad datos'!$C$2:$C$61,0)),"")</f>
        <v>0.34839390336725601</v>
      </c>
      <c r="Y395" s="43" t="s">
        <v>171</v>
      </c>
      <c r="Z395" s="53">
        <v>89.919724770642205</v>
      </c>
      <c r="AA395" s="43">
        <v>2</v>
      </c>
      <c r="AB395" s="54">
        <v>0.96427033503267789</v>
      </c>
      <c r="AC395" s="55">
        <v>3.5729664967322126E-2</v>
      </c>
      <c r="AD395" s="752" t="e">
        <f>_xlfn.XLOOKUP(Table1[[#This Row],[Ruta]],#REF!,#REF!)</f>
        <v>#REF!</v>
      </c>
      <c r="AE395" s="752" t="e">
        <f>_xlfn.XLOOKUP(Table1[[#This Row],[Ruta]],#REF!,#REF!)</f>
        <v>#REF!</v>
      </c>
      <c r="AF395" s="752" t="e">
        <f>_xlfn.XLOOKUP(Table1[[#This Row],[Ruta]],#REF!,#REF!)</f>
        <v>#REF!</v>
      </c>
      <c r="AG395" s="752" t="e">
        <f>_xlfn.XLOOKUP(Table1[[#This Row],[Ruta]],#REF!,#REF!)</f>
        <v>#REF!</v>
      </c>
      <c r="AH395" s="52">
        <v>0.68116241416916024</v>
      </c>
      <c r="AI395" s="52">
        <v>0.31774242544706027</v>
      </c>
      <c r="AJ395" s="55">
        <v>1.0951603837794936E-3</v>
      </c>
      <c r="AK395" s="56">
        <v>39205</v>
      </c>
      <c r="AL395" s="44">
        <v>18981</v>
      </c>
      <c r="AM395" s="54">
        <v>0.484147430174723</v>
      </c>
      <c r="AN395" s="55">
        <v>0.55224100357395201</v>
      </c>
      <c r="AO395" s="56">
        <v>2669.6085451167701</v>
      </c>
      <c r="AP395" s="48">
        <v>1334.804272558385</v>
      </c>
      <c r="AQ395" s="55">
        <v>0.51819421687433709</v>
      </c>
      <c r="AR395" s="51">
        <v>4265054.43</v>
      </c>
      <c r="AS395" s="49">
        <v>299932.18881292199</v>
      </c>
      <c r="AT395" s="55">
        <v>7.0323179630071453E-2</v>
      </c>
      <c r="AU395" s="51">
        <v>210763.15970637769</v>
      </c>
      <c r="AV395" s="52">
        <v>9.5878155857379054E-4</v>
      </c>
      <c r="AW395" s="44">
        <v>302</v>
      </c>
      <c r="AX395" s="51">
        <v>224.701250197566</v>
      </c>
      <c r="AY395" s="49">
        <v>395.30787608246197</v>
      </c>
      <c r="AZ395" s="49">
        <v>170.60662588489598</v>
      </c>
      <c r="BA395" s="42" t="s">
        <v>150</v>
      </c>
      <c r="BB395" s="50">
        <v>1137775.5880263718</v>
      </c>
      <c r="BC395" s="57">
        <v>1348538.7477327494</v>
      </c>
      <c r="BD395" s="42" t="s">
        <v>150</v>
      </c>
      <c r="BE395" s="46">
        <v>89.919724770642205</v>
      </c>
      <c r="BF395" s="46">
        <v>83.628504672897193</v>
      </c>
      <c r="BG395" s="42" t="s">
        <v>150</v>
      </c>
      <c r="BH395" s="52">
        <v>0.484147430174723</v>
      </c>
      <c r="BI395" s="52">
        <v>0.51187669456560203</v>
      </c>
      <c r="BJ395" s="42" t="s">
        <v>152</v>
      </c>
      <c r="BK395" s="46">
        <v>477.791932940366</v>
      </c>
      <c r="BL395" s="46">
        <v>638.00354527981403</v>
      </c>
      <c r="BM395" s="42" t="s">
        <v>152</v>
      </c>
      <c r="BN395" s="48">
        <v>1</v>
      </c>
      <c r="BO395" s="42" t="s">
        <v>155</v>
      </c>
      <c r="BP395" s="42" t="s">
        <v>152</v>
      </c>
      <c r="BQ395" s="46">
        <v>0</v>
      </c>
      <c r="BR395" s="46">
        <v>131</v>
      </c>
      <c r="BS395" s="46">
        <v>16835</v>
      </c>
      <c r="BT395" s="46">
        <v>5333</v>
      </c>
      <c r="BU395" s="46">
        <v>3.1567597974873429</v>
      </c>
      <c r="BV395" s="46">
        <v>40.709923664122137</v>
      </c>
      <c r="BW395" s="46">
        <v>87</v>
      </c>
      <c r="BX395" s="46">
        <v>5246</v>
      </c>
      <c r="BY395" s="46">
        <v>5333</v>
      </c>
      <c r="BZ395" s="46">
        <v>1</v>
      </c>
      <c r="CA395" s="46">
        <v>1.631351959497469E-2</v>
      </c>
      <c r="CB395" s="46">
        <v>0.98368648040502527</v>
      </c>
      <c r="CC395" s="46">
        <v>0</v>
      </c>
      <c r="CD395" s="46">
        <v>0</v>
      </c>
      <c r="CE395" s="46">
        <v>0</v>
      </c>
      <c r="CF395" s="46">
        <v>0</v>
      </c>
      <c r="CG395" s="46">
        <v>0</v>
      </c>
      <c r="CH395" s="46">
        <v>0</v>
      </c>
      <c r="CI395" s="46">
        <v>2.197802197802198</v>
      </c>
      <c r="CJ395" s="46">
        <v>0.29700029700029701</v>
      </c>
      <c r="CK395">
        <v>361</v>
      </c>
      <c r="CL395">
        <v>747.39</v>
      </c>
      <c r="CM395">
        <f t="shared" si="49"/>
        <v>386.39</v>
      </c>
      <c r="CN395">
        <v>9.1199999999999992</v>
      </c>
      <c r="CO395">
        <v>9.4499999999999993</v>
      </c>
      <c r="CP395">
        <f t="shared" si="50"/>
        <v>0.33000000000000007</v>
      </c>
      <c r="CQ395">
        <v>564.37</v>
      </c>
      <c r="CR395">
        <v>477.79</v>
      </c>
      <c r="CS395">
        <f t="shared" si="51"/>
        <v>86.579999999999984</v>
      </c>
      <c r="CT395" t="s">
        <v>150</v>
      </c>
      <c r="CU395">
        <v>113.6</v>
      </c>
      <c r="CV395">
        <v>367</v>
      </c>
      <c r="CW395" s="46">
        <v>5333</v>
      </c>
      <c r="CX395" s="46">
        <f t="shared" si="45"/>
        <v>92.754734670916932</v>
      </c>
      <c r="CY395" s="46">
        <v>386.39</v>
      </c>
      <c r="CZ395" s="46">
        <f t="shared" si="46"/>
        <v>100</v>
      </c>
      <c r="DA395" s="46">
        <f t="shared" si="47"/>
        <v>1013.3988484785965</v>
      </c>
      <c r="DB395" s="46">
        <v>5796023.2400000002</v>
      </c>
      <c r="DC395" s="46">
        <f t="shared" si="48"/>
        <v>48.896945303607552</v>
      </c>
      <c r="DD395" s="46">
        <v>279660.7</v>
      </c>
      <c r="DE395" s="995">
        <v>5333</v>
      </c>
      <c r="DF395" s="995">
        <v>92.754999999999995</v>
      </c>
      <c r="DG395" s="995">
        <v>386.4</v>
      </c>
      <c r="DH395" s="995">
        <v>100</v>
      </c>
      <c r="DI395" s="995">
        <v>1573.0309999999999</v>
      </c>
      <c r="DJ395" s="995">
        <v>8996776</v>
      </c>
      <c r="DK395" s="995">
        <v>76.045000000000002</v>
      </c>
      <c r="DL395" s="995">
        <v>434930.2</v>
      </c>
      <c r="DM395" s="995">
        <v>5333</v>
      </c>
      <c r="DN395" s="995">
        <v>92.754999999999995</v>
      </c>
      <c r="DO395" s="995">
        <v>386.4</v>
      </c>
      <c r="DP395" s="995">
        <v>100</v>
      </c>
      <c r="DQ395" s="995">
        <v>1573.0309999999999</v>
      </c>
      <c r="DR395" s="995">
        <v>8996776</v>
      </c>
      <c r="DS395" s="995">
        <v>76.045000000000002</v>
      </c>
      <c r="DT395" s="995">
        <v>434930.2</v>
      </c>
    </row>
    <row r="396" spans="1:124">
      <c r="A396" s="42" t="s">
        <v>94</v>
      </c>
      <c r="B396" s="42" t="s">
        <v>549</v>
      </c>
      <c r="C396" s="42" t="s">
        <v>550</v>
      </c>
      <c r="D396" s="42">
        <v>816393</v>
      </c>
      <c r="E396" s="42" t="s">
        <v>612</v>
      </c>
      <c r="F396" s="42" t="s">
        <v>193</v>
      </c>
      <c r="G396" s="42" t="s">
        <v>150</v>
      </c>
      <c r="H396" s="43" t="s">
        <v>152</v>
      </c>
      <c r="I396" s="44">
        <v>69</v>
      </c>
      <c r="J396" s="45">
        <v>306.44880000000001</v>
      </c>
      <c r="K396" s="46">
        <v>13.828799999999999</v>
      </c>
      <c r="L396" s="47">
        <v>320.27760000000001</v>
      </c>
      <c r="M396" s="48">
        <v>5980</v>
      </c>
      <c r="N396" s="49">
        <v>4300</v>
      </c>
      <c r="O396" s="49">
        <v>1680</v>
      </c>
      <c r="P396" s="49">
        <v>0</v>
      </c>
      <c r="Q396" s="50">
        <v>0</v>
      </c>
      <c r="R396" s="51">
        <v>25175.5141157486</v>
      </c>
      <c r="S396" s="49">
        <v>38258.831890765701</v>
      </c>
      <c r="T396" s="49">
        <v>8205.2627781153697</v>
      </c>
      <c r="U396" s="49">
        <f>IFERROR(INDEX('Rentabilidad datos'!$N$2:$N$61,MATCH($C396,'Rentabilidad datos'!$C$2:$C$61,0)),"")</f>
        <v>71639.608784629672</v>
      </c>
      <c r="V396" s="50">
        <f>IFERROR(INDEX('Rentabilidad datos'!$O$2:$O$61,MATCH($C396,'Rentabilidad datos'!$C$2:$C$61,0)),"")</f>
        <v>1193.9934797438279</v>
      </c>
      <c r="W396" s="51">
        <f>IFERROR(INDEX('Rentabilidad datos'!$M$2:$M$61,MATCH($C396,'Rentabilidad datos'!$C$2:$C$61,0)),"")</f>
        <v>3427.1365491869451</v>
      </c>
      <c r="X396" s="52">
        <f>IFERROR(INDEX('Rentabilidad datos'!$P$2:$P$61,MATCH($C396,'Rentabilidad datos'!$C$2:$C$61,0)),"")</f>
        <v>0.34839390336725601</v>
      </c>
      <c r="Y396" s="43" t="s">
        <v>171</v>
      </c>
      <c r="Z396" s="53">
        <v>48.472727272727298</v>
      </c>
      <c r="AA396" s="43">
        <v>2</v>
      </c>
      <c r="AB396" s="54">
        <v>0.94983277591973247</v>
      </c>
      <c r="AC396" s="55">
        <v>5.016722408026756E-2</v>
      </c>
      <c r="AD396" s="752" t="e">
        <f>_xlfn.XLOOKUP(Table1[[#This Row],[Ruta]],#REF!,#REF!)</f>
        <v>#REF!</v>
      </c>
      <c r="AE396" s="752" t="e">
        <f>_xlfn.XLOOKUP(Table1[[#This Row],[Ruta]],#REF!,#REF!)</f>
        <v>#REF!</v>
      </c>
      <c r="AF396" s="752" t="e">
        <f>_xlfn.XLOOKUP(Table1[[#This Row],[Ruta]],#REF!,#REF!)</f>
        <v>#REF!</v>
      </c>
      <c r="AG396" s="752" t="e">
        <f>_xlfn.XLOOKUP(Table1[[#This Row],[Ruta]],#REF!,#REF!)</f>
        <v>#REF!</v>
      </c>
      <c r="AH396" s="52">
        <v>0.71906354515050164</v>
      </c>
      <c r="AI396" s="52">
        <v>0.28093645484949831</v>
      </c>
      <c r="AJ396" s="55">
        <v>0</v>
      </c>
      <c r="AK396" s="56">
        <v>2666</v>
      </c>
      <c r="AL396" s="44">
        <v>26</v>
      </c>
      <c r="AM396" s="54">
        <v>9.7524381095273008E-3</v>
      </c>
      <c r="AN396" s="55">
        <v>0.55224100357395201</v>
      </c>
      <c r="AO396" s="56">
        <v>0</v>
      </c>
      <c r="AP396" s="48">
        <v>0</v>
      </c>
      <c r="AQ396" s="55">
        <v>9.7524381095273824E-3</v>
      </c>
      <c r="AR396" s="51">
        <v>6029.68</v>
      </c>
      <c r="AS396" s="49">
        <v>0</v>
      </c>
      <c r="AT396" s="55">
        <v>0</v>
      </c>
      <c r="AU396" s="51">
        <v>0</v>
      </c>
      <c r="AV396" s="52">
        <v>0</v>
      </c>
      <c r="AW396" s="44">
        <v>490</v>
      </c>
      <c r="AX396" s="51">
        <v>231.91076923076901</v>
      </c>
      <c r="AY396" s="49">
        <v>395.30787608246197</v>
      </c>
      <c r="AZ396" s="49">
        <v>163.39710685169297</v>
      </c>
      <c r="BA396" s="42" t="s">
        <v>150</v>
      </c>
      <c r="BB396" s="50">
        <v>1492.6546517803308</v>
      </c>
      <c r="BC396" s="57">
        <v>1492.6546517803308</v>
      </c>
      <c r="BD396" s="42" t="s">
        <v>152</v>
      </c>
      <c r="BE396" s="46" t="s">
        <v>195</v>
      </c>
      <c r="BF396" s="46" t="s">
        <v>195</v>
      </c>
      <c r="BG396" s="42" t="s">
        <v>195</v>
      </c>
      <c r="BH396" s="52" t="s">
        <v>195</v>
      </c>
      <c r="BI396" s="52" t="s">
        <v>195</v>
      </c>
      <c r="BJ396" s="42" t="s">
        <v>195</v>
      </c>
      <c r="BK396" s="46" t="s">
        <v>195</v>
      </c>
      <c r="BL396" s="46" t="s">
        <v>195</v>
      </c>
      <c r="BM396" s="42" t="s">
        <v>195</v>
      </c>
      <c r="BN396" s="48" t="s">
        <v>195</v>
      </c>
      <c r="BO396" s="42" t="s">
        <v>195</v>
      </c>
      <c r="BP396" s="42" t="s">
        <v>152</v>
      </c>
      <c r="BQ396" s="46">
        <v>0</v>
      </c>
      <c r="BR396" s="46" t="e">
        <v>#N/A</v>
      </c>
      <c r="BS396" s="46" t="e">
        <v>#N/A</v>
      </c>
      <c r="BT396" s="46" t="e">
        <v>#N/A</v>
      </c>
      <c r="BU396" s="46" t="e">
        <v>#N/A</v>
      </c>
      <c r="BV396" s="46" t="e">
        <v>#N/A</v>
      </c>
      <c r="BW396" s="46" t="e">
        <v>#N/A</v>
      </c>
      <c r="BX396" s="46" t="e">
        <v>#N/A</v>
      </c>
      <c r="BY396" s="46" t="e">
        <v>#N/A</v>
      </c>
      <c r="BZ396" s="46" t="e">
        <v>#N/A</v>
      </c>
      <c r="CA396" s="46" t="e">
        <v>#N/A</v>
      </c>
      <c r="CB396" s="46" t="e">
        <v>#N/A</v>
      </c>
      <c r="CC396" s="46" t="e">
        <v>#N/A</v>
      </c>
      <c r="CD396" s="46" t="e">
        <v>#N/A</v>
      </c>
      <c r="CE396" s="46" t="e">
        <v>#N/A</v>
      </c>
      <c r="CF396" s="46" t="e">
        <v>#N/A</v>
      </c>
      <c r="CG396" s="46" t="e">
        <v>#N/A</v>
      </c>
      <c r="CH396" s="46" t="e">
        <v>#N/A</v>
      </c>
      <c r="CI396" s="46" t="e">
        <v>#N/A</v>
      </c>
      <c r="CJ396" s="46" t="e">
        <v>#N/A</v>
      </c>
      <c r="CM396">
        <f t="shared" si="49"/>
        <v>0</v>
      </c>
      <c r="CP396">
        <f t="shared" si="50"/>
        <v>0</v>
      </c>
      <c r="CS396">
        <f t="shared" si="51"/>
        <v>0</v>
      </c>
      <c r="CW396" s="46"/>
      <c r="CX396" s="46" t="e">
        <f t="shared" si="45"/>
        <v>#N/A</v>
      </c>
      <c r="CY396" s="46"/>
      <c r="CZ396" s="46" t="e">
        <f t="shared" si="46"/>
        <v>#N/A</v>
      </c>
      <c r="DA396" s="46" t="e">
        <f t="shared" si="47"/>
        <v>#N/A</v>
      </c>
      <c r="DB396" s="46"/>
      <c r="DC396" s="46" t="e">
        <f t="shared" si="48"/>
        <v>#N/A</v>
      </c>
      <c r="DD396" s="46"/>
      <c r="DE396" s="995" t="s">
        <v>194</v>
      </c>
      <c r="DF396" s="995" t="s">
        <v>194</v>
      </c>
      <c r="DG396" s="995" t="s">
        <v>194</v>
      </c>
      <c r="DH396" s="995" t="s">
        <v>194</v>
      </c>
      <c r="DI396" s="995" t="s">
        <v>194</v>
      </c>
      <c r="DJ396" s="995" t="s">
        <v>194</v>
      </c>
      <c r="DK396" s="995" t="s">
        <v>194</v>
      </c>
      <c r="DL396" s="995" t="s">
        <v>194</v>
      </c>
      <c r="DM396" s="995" t="s">
        <v>194</v>
      </c>
      <c r="DN396" s="995" t="s">
        <v>194</v>
      </c>
      <c r="DO396" s="995" t="s">
        <v>194</v>
      </c>
      <c r="DP396" s="995" t="s">
        <v>194</v>
      </c>
      <c r="DQ396" s="995" t="s">
        <v>194</v>
      </c>
      <c r="DR396" s="995" t="s">
        <v>194</v>
      </c>
      <c r="DS396" s="995" t="s">
        <v>194</v>
      </c>
      <c r="DT396" s="995" t="s">
        <v>194</v>
      </c>
    </row>
    <row r="397" spans="1:124">
      <c r="A397" s="42" t="s">
        <v>94</v>
      </c>
      <c r="B397" s="42" t="s">
        <v>549</v>
      </c>
      <c r="C397" s="42" t="s">
        <v>550</v>
      </c>
      <c r="D397" s="42">
        <v>816394</v>
      </c>
      <c r="E397" s="42" t="s">
        <v>613</v>
      </c>
      <c r="F397" s="42" t="s">
        <v>149</v>
      </c>
      <c r="G397" s="42" t="s">
        <v>150</v>
      </c>
      <c r="H397" s="43" t="s">
        <v>150</v>
      </c>
      <c r="I397" s="44">
        <v>69</v>
      </c>
      <c r="J397" s="45">
        <v>182720.97760000001</v>
      </c>
      <c r="K397" s="46">
        <v>8127.161263</v>
      </c>
      <c r="L397" s="47">
        <v>190848.138863</v>
      </c>
      <c r="M397" s="48">
        <v>3887354</v>
      </c>
      <c r="N397" s="49">
        <v>2673770</v>
      </c>
      <c r="O397" s="49">
        <v>1210860</v>
      </c>
      <c r="P397" s="49">
        <v>2724</v>
      </c>
      <c r="Q397" s="50">
        <v>9013.0626914153108</v>
      </c>
      <c r="R397" s="51">
        <v>25175.5141157486</v>
      </c>
      <c r="S397" s="49">
        <v>38258.831890765701</v>
      </c>
      <c r="T397" s="49">
        <v>8205.2627781153697</v>
      </c>
      <c r="U397" s="49">
        <f>IFERROR(INDEX('Rentabilidad datos'!$N$2:$N$61,MATCH($C397,'Rentabilidad datos'!$C$2:$C$61,0)),"")</f>
        <v>71639.608784629672</v>
      </c>
      <c r="V397" s="50">
        <f>IFERROR(INDEX('Rentabilidad datos'!$O$2:$O$61,MATCH($C397,'Rentabilidad datos'!$C$2:$C$61,0)),"")</f>
        <v>1193.9934797438279</v>
      </c>
      <c r="W397" s="51">
        <f>IFERROR(INDEX('Rentabilidad datos'!$M$2:$M$61,MATCH($C397,'Rentabilidad datos'!$C$2:$C$61,0)),"")</f>
        <v>3427.1365491869451</v>
      </c>
      <c r="X397" s="52">
        <f>IFERROR(INDEX('Rentabilidad datos'!$P$2:$P$61,MATCH($C397,'Rentabilidad datos'!$C$2:$C$61,0)),"")</f>
        <v>0.34839390336725601</v>
      </c>
      <c r="Y397" s="43" t="s">
        <v>171</v>
      </c>
      <c r="Z397" s="53">
        <v>76.027842227378201</v>
      </c>
      <c r="AA397" s="43">
        <v>2</v>
      </c>
      <c r="AB397" s="54">
        <v>0.92636533745061556</v>
      </c>
      <c r="AC397" s="55">
        <v>7.3634662549384486E-2</v>
      </c>
      <c r="AD397" s="752" t="e">
        <f>_xlfn.XLOOKUP(Table1[[#This Row],[Ruta]],#REF!,#REF!)</f>
        <v>#REF!</v>
      </c>
      <c r="AE397" s="752" t="e">
        <f>_xlfn.XLOOKUP(Table1[[#This Row],[Ruta]],#REF!,#REF!)</f>
        <v>#REF!</v>
      </c>
      <c r="AF397" s="752" t="e">
        <f>_xlfn.XLOOKUP(Table1[[#This Row],[Ruta]],#REF!,#REF!)</f>
        <v>#REF!</v>
      </c>
      <c r="AG397" s="752" t="e">
        <f>_xlfn.XLOOKUP(Table1[[#This Row],[Ruta]],#REF!,#REF!)</f>
        <v>#REF!</v>
      </c>
      <c r="AH397" s="52">
        <v>0.68781232684237148</v>
      </c>
      <c r="AI397" s="52">
        <v>0.31148693944518557</v>
      </c>
      <c r="AJ397" s="55">
        <v>7.0073371244296252E-4</v>
      </c>
      <c r="AK397" s="56">
        <v>32768</v>
      </c>
      <c r="AL397" s="44">
        <v>11279</v>
      </c>
      <c r="AM397" s="54">
        <v>0.344207763671875</v>
      </c>
      <c r="AN397" s="55">
        <v>0.55224100357395201</v>
      </c>
      <c r="AO397" s="56">
        <v>6816.8332051112502</v>
      </c>
      <c r="AP397" s="48">
        <v>3408.4166025556251</v>
      </c>
      <c r="AQ397" s="55">
        <v>0.44822438362291339</v>
      </c>
      <c r="AR397" s="51">
        <v>3884630.02</v>
      </c>
      <c r="AS397" s="49">
        <v>1173901.7160168451</v>
      </c>
      <c r="AT397" s="55">
        <v>0.30219138244131805</v>
      </c>
      <c r="AU397" s="51">
        <v>824903.90855237795</v>
      </c>
      <c r="AV397" s="52">
        <v>3.7525659428208308E-3</v>
      </c>
      <c r="AW397" s="44">
        <v>73</v>
      </c>
      <c r="AX397" s="51">
        <v>344.41262700594001</v>
      </c>
      <c r="AY397" s="49">
        <v>395.30787608246197</v>
      </c>
      <c r="AZ397" s="49">
        <v>50.895249076521964</v>
      </c>
      <c r="BA397" s="42" t="s">
        <v>150</v>
      </c>
      <c r="BB397" s="50">
        <v>201692.36990116726</v>
      </c>
      <c r="BC397" s="57">
        <v>1026596.2784535452</v>
      </c>
      <c r="BD397" s="42" t="s">
        <v>150</v>
      </c>
      <c r="BE397" s="46">
        <v>76.027842227378201</v>
      </c>
      <c r="BF397" s="46">
        <v>83.628504672897193</v>
      </c>
      <c r="BG397" s="42" t="s">
        <v>152</v>
      </c>
      <c r="BH397" s="52">
        <v>0.344207763671875</v>
      </c>
      <c r="BI397" s="52">
        <v>0.51187669456560203</v>
      </c>
      <c r="BJ397" s="42" t="s">
        <v>152</v>
      </c>
      <c r="BK397" s="46">
        <v>442.80310641067302</v>
      </c>
      <c r="BL397" s="46">
        <v>638.00354527981403</v>
      </c>
      <c r="BM397" s="42" t="s">
        <v>152</v>
      </c>
      <c r="BN397" s="48">
        <v>0</v>
      </c>
      <c r="BO397" s="42" t="s">
        <v>155</v>
      </c>
      <c r="BP397" s="42" t="s">
        <v>152</v>
      </c>
      <c r="BQ397" s="46">
        <v>6325.8231746855499</v>
      </c>
      <c r="BR397" s="46">
        <v>95</v>
      </c>
      <c r="BS397" s="46">
        <v>14925</v>
      </c>
      <c r="BT397" s="46">
        <v>3488</v>
      </c>
      <c r="BU397" s="46">
        <v>4.2789564220183482</v>
      </c>
      <c r="BV397" s="46">
        <v>36.715789473684211</v>
      </c>
      <c r="BW397" s="46">
        <v>400</v>
      </c>
      <c r="BX397" s="46">
        <v>90</v>
      </c>
      <c r="BY397" s="46">
        <v>490</v>
      </c>
      <c r="BZ397" s="46">
        <v>0.14048165137614679</v>
      </c>
      <c r="CA397" s="46">
        <v>0.11467889908256881</v>
      </c>
      <c r="CB397" s="46">
        <v>2.5802752293577983E-2</v>
      </c>
      <c r="CC397" s="46">
        <v>0</v>
      </c>
      <c r="CD397" s="46">
        <v>0</v>
      </c>
      <c r="CE397" s="46">
        <v>0</v>
      </c>
      <c r="CF397" s="46">
        <v>0.85923165137614677</v>
      </c>
      <c r="CG397" s="46">
        <v>0</v>
      </c>
      <c r="CH397" s="46">
        <v>2.8669724770642198E-4</v>
      </c>
      <c r="CI397" s="46">
        <v>5.8961474036850907</v>
      </c>
      <c r="CJ397" s="46">
        <v>0.67001675041876052</v>
      </c>
      <c r="CK397">
        <v>422</v>
      </c>
      <c r="CL397">
        <v>440.79</v>
      </c>
      <c r="CM397">
        <f t="shared" si="49"/>
        <v>18.79000000000002</v>
      </c>
      <c r="CN397">
        <v>6.74</v>
      </c>
      <c r="CO397">
        <v>9.4499999999999993</v>
      </c>
      <c r="CP397">
        <f t="shared" si="50"/>
        <v>2.7099999999999991</v>
      </c>
      <c r="CQ397">
        <v>564.37</v>
      </c>
      <c r="CR397">
        <v>442.8</v>
      </c>
      <c r="CS397">
        <f t="shared" si="51"/>
        <v>121.57</v>
      </c>
      <c r="CT397" t="s">
        <v>152</v>
      </c>
      <c r="CU397">
        <v>78.459999999999994</v>
      </c>
      <c r="CV397">
        <v>120</v>
      </c>
      <c r="CW397" s="46">
        <v>490</v>
      </c>
      <c r="CX397" s="46">
        <f t="shared" si="45"/>
        <v>13.509461009174311</v>
      </c>
      <c r="CY397" s="46">
        <v>18.79</v>
      </c>
      <c r="CZ397" s="46">
        <f t="shared" si="46"/>
        <v>14.04816513761468</v>
      </c>
      <c r="DA397" s="46">
        <f t="shared" si="47"/>
        <v>62.524642194143368</v>
      </c>
      <c r="DB397" s="46">
        <v>219260.79</v>
      </c>
      <c r="DC397" s="46">
        <f t="shared" si="48"/>
        <v>2.7570513204383493</v>
      </c>
      <c r="DD397" s="46">
        <v>9668.4</v>
      </c>
      <c r="DE397" s="995">
        <v>490</v>
      </c>
      <c r="DF397" s="995">
        <v>13.539</v>
      </c>
      <c r="DG397" s="995">
        <v>17.7</v>
      </c>
      <c r="DH397" s="995">
        <v>14.048</v>
      </c>
      <c r="DI397" s="995">
        <v>1494.249</v>
      </c>
      <c r="DJ397" s="995">
        <v>5238451</v>
      </c>
      <c r="DK397" s="995">
        <v>71.775000000000006</v>
      </c>
      <c r="DL397" s="995">
        <v>251623.6</v>
      </c>
      <c r="DM397" s="995">
        <v>490</v>
      </c>
      <c r="DN397" s="995">
        <v>13.629</v>
      </c>
      <c r="DO397" s="995">
        <v>14.6</v>
      </c>
      <c r="DP397" s="995">
        <v>14.048</v>
      </c>
      <c r="DQ397" s="995">
        <v>1485.1590000000001</v>
      </c>
      <c r="DR397" s="995">
        <v>5201934</v>
      </c>
      <c r="DS397" s="995">
        <v>71.379000000000005</v>
      </c>
      <c r="DT397" s="995">
        <v>250013.4</v>
      </c>
    </row>
    <row r="398" spans="1:124">
      <c r="A398" s="42" t="s">
        <v>94</v>
      </c>
      <c r="B398" s="42" t="s">
        <v>549</v>
      </c>
      <c r="C398" s="42" t="s">
        <v>550</v>
      </c>
      <c r="D398" s="42">
        <v>816395</v>
      </c>
      <c r="E398" s="42" t="s">
        <v>614</v>
      </c>
      <c r="F398" s="42" t="s">
        <v>149</v>
      </c>
      <c r="G398" s="42" t="s">
        <v>150</v>
      </c>
      <c r="H398" s="43" t="s">
        <v>150</v>
      </c>
      <c r="I398" s="44">
        <v>69</v>
      </c>
      <c r="J398" s="45">
        <v>172273.5392</v>
      </c>
      <c r="K398" s="46">
        <v>6498.4724999999999</v>
      </c>
      <c r="L398" s="47">
        <v>178772.0117</v>
      </c>
      <c r="M398" s="48">
        <v>3437958</v>
      </c>
      <c r="N398" s="49">
        <v>2523678</v>
      </c>
      <c r="O398" s="49">
        <v>910958</v>
      </c>
      <c r="P398" s="49">
        <v>3322</v>
      </c>
      <c r="Q398" s="50">
        <v>7932.18688221709</v>
      </c>
      <c r="R398" s="51">
        <v>25175.5141157486</v>
      </c>
      <c r="S398" s="49">
        <v>38258.831890765701</v>
      </c>
      <c r="T398" s="49">
        <v>8205.2627781153697</v>
      </c>
      <c r="U398" s="49">
        <f>IFERROR(INDEX('Rentabilidad datos'!$N$2:$N$61,MATCH($C398,'Rentabilidad datos'!$C$2:$C$61,0)),"")</f>
        <v>71639.608784629672</v>
      </c>
      <c r="V398" s="50">
        <f>IFERROR(INDEX('Rentabilidad datos'!$O$2:$O$61,MATCH($C398,'Rentabilidad datos'!$C$2:$C$61,0)),"")</f>
        <v>1193.9934797438279</v>
      </c>
      <c r="W398" s="51">
        <f>IFERROR(INDEX('Rentabilidad datos'!$M$2:$M$61,MATCH($C398,'Rentabilidad datos'!$C$2:$C$61,0)),"")</f>
        <v>3427.1365491869451</v>
      </c>
      <c r="X398" s="52">
        <f>IFERROR(INDEX('Rentabilidad datos'!$P$2:$P$61,MATCH($C398,'Rentabilidad datos'!$C$2:$C$61,0)),"")</f>
        <v>0.34839390336725601</v>
      </c>
      <c r="Y398" s="43" t="s">
        <v>171</v>
      </c>
      <c r="Z398" s="53">
        <v>44.997690531177803</v>
      </c>
      <c r="AA398" s="43">
        <v>2</v>
      </c>
      <c r="AB398" s="54">
        <v>0.96725934406412173</v>
      </c>
      <c r="AC398" s="55">
        <v>3.2740655935878216E-2</v>
      </c>
      <c r="AD398" s="752" t="e">
        <f>_xlfn.XLOOKUP(Table1[[#This Row],[Ruta]],#REF!,#REF!)</f>
        <v>#REF!</v>
      </c>
      <c r="AE398" s="752" t="e">
        <f>_xlfn.XLOOKUP(Table1[[#This Row],[Ruta]],#REF!,#REF!)</f>
        <v>#REF!</v>
      </c>
      <c r="AF398" s="752" t="e">
        <f>_xlfn.XLOOKUP(Table1[[#This Row],[Ruta]],#REF!,#REF!)</f>
        <v>#REF!</v>
      </c>
      <c r="AG398" s="752" t="e">
        <f>_xlfn.XLOOKUP(Table1[[#This Row],[Ruta]],#REF!,#REF!)</f>
        <v>#REF!</v>
      </c>
      <c r="AH398" s="52">
        <v>0.73406306883330164</v>
      </c>
      <c r="AI398" s="52">
        <v>0.26497065990916702</v>
      </c>
      <c r="AJ398" s="55">
        <v>9.6627125753136016E-4</v>
      </c>
      <c r="AK398" s="56">
        <v>19484</v>
      </c>
      <c r="AL398" s="44">
        <v>8627</v>
      </c>
      <c r="AM398" s="54">
        <v>0.44277355779100802</v>
      </c>
      <c r="AN398" s="55">
        <v>0.55224100357395201</v>
      </c>
      <c r="AO398" s="56">
        <v>2132.8637136348698</v>
      </c>
      <c r="AP398" s="48">
        <v>1066.4318568174349</v>
      </c>
      <c r="AQ398" s="55">
        <v>0.49750728068247974</v>
      </c>
      <c r="AR398" s="51">
        <v>3434636.92</v>
      </c>
      <c r="AS398" s="49">
        <v>424574.73375325347</v>
      </c>
      <c r="AT398" s="55">
        <v>0.12361560876520639</v>
      </c>
      <c r="AU398" s="51">
        <v>298349.81290769175</v>
      </c>
      <c r="AV398" s="52">
        <v>1.3572215325408201E-3</v>
      </c>
      <c r="AW398" s="44">
        <v>245</v>
      </c>
      <c r="AX398" s="51">
        <v>398.12645415555801</v>
      </c>
      <c r="AY398" s="49">
        <v>395.30787608246197</v>
      </c>
      <c r="AZ398" s="49">
        <v>0</v>
      </c>
      <c r="BA398" s="42" t="s">
        <v>152</v>
      </c>
      <c r="BB398" s="50">
        <v>0</v>
      </c>
      <c r="BC398" s="57">
        <v>298349.81290769175</v>
      </c>
      <c r="BD398" s="42" t="s">
        <v>150</v>
      </c>
      <c r="BE398" s="46">
        <v>44.997690531177803</v>
      </c>
      <c r="BF398" s="46">
        <v>83.628504672897193</v>
      </c>
      <c r="BG398" s="42" t="s">
        <v>152</v>
      </c>
      <c r="BH398" s="52">
        <v>0.44277355779100802</v>
      </c>
      <c r="BI398" s="52">
        <v>0.51187669456560203</v>
      </c>
      <c r="BJ398" s="42" t="s">
        <v>152</v>
      </c>
      <c r="BK398" s="46">
        <v>412.868387297921</v>
      </c>
      <c r="BL398" s="46">
        <v>638.00354527981403</v>
      </c>
      <c r="BM398" s="42" t="s">
        <v>152</v>
      </c>
      <c r="BN398" s="48">
        <v>0</v>
      </c>
      <c r="BO398" s="42" t="s">
        <v>155</v>
      </c>
      <c r="BP398" s="42" t="s">
        <v>152</v>
      </c>
      <c r="BQ398" s="46">
        <v>7286.2081253614897</v>
      </c>
      <c r="BR398" s="46">
        <v>84</v>
      </c>
      <c r="BS398" s="46">
        <v>13169</v>
      </c>
      <c r="BT398" s="46">
        <v>3774</v>
      </c>
      <c r="BU398" s="46">
        <v>3.4894011658717541</v>
      </c>
      <c r="BV398" s="46">
        <v>44.928571428571431</v>
      </c>
      <c r="BW398" s="46">
        <v>0</v>
      </c>
      <c r="BX398" s="46">
        <v>2720</v>
      </c>
      <c r="BY398" s="46">
        <v>2720</v>
      </c>
      <c r="BZ398" s="46">
        <v>0.72072072072072069</v>
      </c>
      <c r="CA398" s="46">
        <v>0</v>
      </c>
      <c r="CB398" s="46">
        <v>0.72072072072072069</v>
      </c>
      <c r="CC398" s="46">
        <v>0.27927927927927931</v>
      </c>
      <c r="CD398" s="46">
        <v>0</v>
      </c>
      <c r="CE398" s="46">
        <v>0</v>
      </c>
      <c r="CF398" s="46">
        <v>0</v>
      </c>
      <c r="CG398" s="46">
        <v>0</v>
      </c>
      <c r="CH398" s="46">
        <v>0</v>
      </c>
      <c r="CI398" s="46">
        <v>3.4171159541347098</v>
      </c>
      <c r="CJ398" s="46">
        <v>0.15187182018376491</v>
      </c>
      <c r="CK398">
        <v>319</v>
      </c>
      <c r="CL398">
        <v>470.75</v>
      </c>
      <c r="CM398">
        <f t="shared" si="49"/>
        <v>151.75</v>
      </c>
      <c r="CN398">
        <v>7.56</v>
      </c>
      <c r="CO398">
        <v>9.4499999999999993</v>
      </c>
      <c r="CP398">
        <f t="shared" si="50"/>
        <v>1.8899999999999997</v>
      </c>
      <c r="CQ398">
        <v>564.37</v>
      </c>
      <c r="CR398">
        <v>412.87</v>
      </c>
      <c r="CS398">
        <f t="shared" si="51"/>
        <v>151.5</v>
      </c>
      <c r="CT398" t="s">
        <v>152</v>
      </c>
      <c r="CU398">
        <v>83.75</v>
      </c>
      <c r="CV398">
        <v>237</v>
      </c>
      <c r="CW398" s="46">
        <v>2720</v>
      </c>
      <c r="CX398" s="46">
        <f t="shared" si="45"/>
        <v>68.051139374668793</v>
      </c>
      <c r="CY398" s="46">
        <v>151.75</v>
      </c>
      <c r="CZ398" s="46">
        <f t="shared" si="46"/>
        <v>72.072072072072075</v>
      </c>
      <c r="DA398" s="46">
        <f t="shared" si="47"/>
        <v>619.27724638604082</v>
      </c>
      <c r="DB398" s="46">
        <v>2431127.65</v>
      </c>
      <c r="DC398" s="46">
        <f t="shared" si="48"/>
        <v>31.57760427943705</v>
      </c>
      <c r="DD398" s="46">
        <v>123965.78</v>
      </c>
      <c r="DE398" s="995">
        <v>2720</v>
      </c>
      <c r="DF398" s="995">
        <v>67.956999999999994</v>
      </c>
      <c r="DG398" s="995">
        <v>155.30000000000001</v>
      </c>
      <c r="DH398" s="995">
        <v>72.072000000000003</v>
      </c>
      <c r="DI398" s="995">
        <v>1415.5809999999999</v>
      </c>
      <c r="DJ398" s="995">
        <v>5562222</v>
      </c>
      <c r="DK398" s="995">
        <v>71.83</v>
      </c>
      <c r="DL398" s="995">
        <v>282242</v>
      </c>
      <c r="DM398" s="995">
        <v>2720</v>
      </c>
      <c r="DN398" s="995">
        <v>68.082999999999998</v>
      </c>
      <c r="DO398" s="995">
        <v>150.6</v>
      </c>
      <c r="DP398" s="995">
        <v>72.072000000000003</v>
      </c>
      <c r="DQ398" s="995">
        <v>1405.2850000000001</v>
      </c>
      <c r="DR398" s="995">
        <v>5515120</v>
      </c>
      <c r="DS398" s="995">
        <v>71.322999999999993</v>
      </c>
      <c r="DT398" s="995">
        <v>279911.3</v>
      </c>
    </row>
    <row r="399" spans="1:124">
      <c r="A399" s="42" t="s">
        <v>94</v>
      </c>
      <c r="B399" s="42" t="s">
        <v>549</v>
      </c>
      <c r="C399" s="42" t="s">
        <v>550</v>
      </c>
      <c r="D399" s="42">
        <v>816396</v>
      </c>
      <c r="E399" s="42" t="s">
        <v>615</v>
      </c>
      <c r="F399" s="42" t="s">
        <v>193</v>
      </c>
      <c r="G399" s="42" t="s">
        <v>150</v>
      </c>
      <c r="H399" s="43" t="s">
        <v>152</v>
      </c>
      <c r="I399" s="44">
        <v>69</v>
      </c>
      <c r="J399" s="45">
        <v>6615.0672000000004</v>
      </c>
      <c r="K399" s="46">
        <v>440.86817500000001</v>
      </c>
      <c r="L399" s="47">
        <v>7055.935375</v>
      </c>
      <c r="M399" s="48">
        <v>157791</v>
      </c>
      <c r="N399" s="49">
        <v>93968</v>
      </c>
      <c r="O399" s="49">
        <v>63823</v>
      </c>
      <c r="P399" s="49">
        <v>0</v>
      </c>
      <c r="Q399" s="50">
        <v>0</v>
      </c>
      <c r="R399" s="51">
        <v>25175.5141157486</v>
      </c>
      <c r="S399" s="49">
        <v>38258.831890765701</v>
      </c>
      <c r="T399" s="49">
        <v>8205.2627781153697</v>
      </c>
      <c r="U399" s="49">
        <f>IFERROR(INDEX('Rentabilidad datos'!$N$2:$N$61,MATCH($C399,'Rentabilidad datos'!$C$2:$C$61,0)),"")</f>
        <v>71639.608784629672</v>
      </c>
      <c r="V399" s="50">
        <f>IFERROR(INDEX('Rentabilidad datos'!$O$2:$O$61,MATCH($C399,'Rentabilidad datos'!$C$2:$C$61,0)),"")</f>
        <v>1193.9934797438279</v>
      </c>
      <c r="W399" s="51">
        <f>IFERROR(INDEX('Rentabilidad datos'!$M$2:$M$61,MATCH($C399,'Rentabilidad datos'!$C$2:$C$61,0)),"")</f>
        <v>3427.1365491869451</v>
      </c>
      <c r="X399" s="52">
        <f>IFERROR(INDEX('Rentabilidad datos'!$P$2:$P$61,MATCH($C399,'Rentabilidad datos'!$C$2:$C$61,0)),"")</f>
        <v>0.34839390336725601</v>
      </c>
      <c r="Y399" s="43" t="s">
        <v>171</v>
      </c>
      <c r="Z399" s="53">
        <v>60.622950819672099</v>
      </c>
      <c r="AA399" s="43">
        <v>2</v>
      </c>
      <c r="AB399" s="54">
        <v>0.96566344088065859</v>
      </c>
      <c r="AC399" s="55">
        <v>3.4336559119341407E-2</v>
      </c>
      <c r="AD399" s="752" t="e">
        <f>_xlfn.XLOOKUP(Table1[[#This Row],[Ruta]],#REF!,#REF!)</f>
        <v>#REF!</v>
      </c>
      <c r="AE399" s="752" t="e">
        <f>_xlfn.XLOOKUP(Table1[[#This Row],[Ruta]],#REF!,#REF!)</f>
        <v>#REF!</v>
      </c>
      <c r="AF399" s="752" t="e">
        <f>_xlfn.XLOOKUP(Table1[[#This Row],[Ruta]],#REF!,#REF!)</f>
        <v>#REF!</v>
      </c>
      <c r="AG399" s="752" t="e">
        <f>_xlfn.XLOOKUP(Table1[[#This Row],[Ruta]],#REF!,#REF!)</f>
        <v>#REF!</v>
      </c>
      <c r="AH399" s="52">
        <v>0.59552192457110986</v>
      </c>
      <c r="AI399" s="52">
        <v>0.40447807542889014</v>
      </c>
      <c r="AJ399" s="55">
        <v>0</v>
      </c>
      <c r="AK399" s="56">
        <v>3698</v>
      </c>
      <c r="AL399" s="44">
        <v>99</v>
      </c>
      <c r="AM399" s="54">
        <v>2.4337479718766899E-2</v>
      </c>
      <c r="AN399" s="55">
        <v>0.55224100357395201</v>
      </c>
      <c r="AO399" s="56">
        <v>0</v>
      </c>
      <c r="AP399" s="48">
        <v>0</v>
      </c>
      <c r="AQ399" s="55">
        <v>2.6771227690643593E-2</v>
      </c>
      <c r="AR399" s="51">
        <v>157790.74</v>
      </c>
      <c r="AS399" s="49">
        <v>0</v>
      </c>
      <c r="AT399" s="55">
        <v>0</v>
      </c>
      <c r="AU399" s="51">
        <v>0</v>
      </c>
      <c r="AV399" s="52">
        <v>0</v>
      </c>
      <c r="AW399" s="44">
        <v>490</v>
      </c>
      <c r="AX399" s="51">
        <v>1593.84585858586</v>
      </c>
      <c r="AY399" s="49">
        <v>395.30787608246197</v>
      </c>
      <c r="AZ399" s="49">
        <v>0</v>
      </c>
      <c r="BA399" s="42" t="s">
        <v>152</v>
      </c>
      <c r="BB399" s="50">
        <v>0</v>
      </c>
      <c r="BC399" s="57">
        <v>0</v>
      </c>
      <c r="BD399" s="42" t="s">
        <v>152</v>
      </c>
      <c r="BE399" s="46" t="s">
        <v>195</v>
      </c>
      <c r="BF399" s="46" t="s">
        <v>195</v>
      </c>
      <c r="BG399" s="42" t="s">
        <v>195</v>
      </c>
      <c r="BH399" s="52" t="s">
        <v>195</v>
      </c>
      <c r="BI399" s="52" t="s">
        <v>195</v>
      </c>
      <c r="BJ399" s="42" t="s">
        <v>195</v>
      </c>
      <c r="BK399" s="46" t="s">
        <v>195</v>
      </c>
      <c r="BL399" s="46" t="s">
        <v>195</v>
      </c>
      <c r="BM399" s="42" t="s">
        <v>195</v>
      </c>
      <c r="BN399" s="48" t="s">
        <v>195</v>
      </c>
      <c r="BO399" s="42" t="s">
        <v>195</v>
      </c>
      <c r="BP399" s="42" t="s">
        <v>152</v>
      </c>
      <c r="BQ399" s="46">
        <v>0</v>
      </c>
      <c r="BR399" s="46" t="e">
        <v>#N/A</v>
      </c>
      <c r="BS399" s="46" t="e">
        <v>#N/A</v>
      </c>
      <c r="BT399" s="46" t="e">
        <v>#N/A</v>
      </c>
      <c r="BU399" s="46" t="e">
        <v>#N/A</v>
      </c>
      <c r="BV399" s="46" t="e">
        <v>#N/A</v>
      </c>
      <c r="BW399" s="46" t="e">
        <v>#N/A</v>
      </c>
      <c r="BX399" s="46" t="e">
        <v>#N/A</v>
      </c>
      <c r="BY399" s="46" t="e">
        <v>#N/A</v>
      </c>
      <c r="BZ399" s="46" t="e">
        <v>#N/A</v>
      </c>
      <c r="CA399" s="46" t="e">
        <v>#N/A</v>
      </c>
      <c r="CB399" s="46" t="e">
        <v>#N/A</v>
      </c>
      <c r="CC399" s="46" t="e">
        <v>#N/A</v>
      </c>
      <c r="CD399" s="46" t="e">
        <v>#N/A</v>
      </c>
      <c r="CE399" s="46" t="e">
        <v>#N/A</v>
      </c>
      <c r="CF399" s="46" t="e">
        <v>#N/A</v>
      </c>
      <c r="CG399" s="46" t="e">
        <v>#N/A</v>
      </c>
      <c r="CH399" s="46" t="e">
        <v>#N/A</v>
      </c>
      <c r="CI399" s="46" t="e">
        <v>#N/A</v>
      </c>
      <c r="CJ399" s="46" t="e">
        <v>#N/A</v>
      </c>
      <c r="CM399">
        <f t="shared" si="49"/>
        <v>0</v>
      </c>
      <c r="CP399">
        <f t="shared" si="50"/>
        <v>0</v>
      </c>
      <c r="CS399">
        <f t="shared" si="51"/>
        <v>0</v>
      </c>
      <c r="CW399" s="46"/>
      <c r="CX399" s="46" t="e">
        <f t="shared" si="45"/>
        <v>#N/A</v>
      </c>
      <c r="CY399" s="46"/>
      <c r="CZ399" s="46" t="e">
        <f t="shared" si="46"/>
        <v>#N/A</v>
      </c>
      <c r="DA399" s="46" t="e">
        <f t="shared" si="47"/>
        <v>#N/A</v>
      </c>
      <c r="DB399" s="46"/>
      <c r="DC399" s="46" t="e">
        <f t="shared" si="48"/>
        <v>#N/A</v>
      </c>
      <c r="DD399" s="46"/>
      <c r="DE399" s="995" t="s">
        <v>194</v>
      </c>
      <c r="DF399" s="995" t="s">
        <v>194</v>
      </c>
      <c r="DG399" s="995" t="s">
        <v>194</v>
      </c>
      <c r="DH399" s="995" t="s">
        <v>194</v>
      </c>
      <c r="DI399" s="995" t="s">
        <v>194</v>
      </c>
      <c r="DJ399" s="995" t="s">
        <v>194</v>
      </c>
      <c r="DK399" s="995" t="s">
        <v>194</v>
      </c>
      <c r="DL399" s="995" t="s">
        <v>194</v>
      </c>
      <c r="DM399" s="995" t="s">
        <v>194</v>
      </c>
      <c r="DN399" s="995" t="s">
        <v>194</v>
      </c>
      <c r="DO399" s="995" t="s">
        <v>194</v>
      </c>
      <c r="DP399" s="995" t="s">
        <v>194</v>
      </c>
      <c r="DQ399" s="995" t="s">
        <v>194</v>
      </c>
      <c r="DR399" s="995" t="s">
        <v>194</v>
      </c>
      <c r="DS399" s="995" t="s">
        <v>194</v>
      </c>
      <c r="DT399" s="995" t="s">
        <v>194</v>
      </c>
    </row>
    <row r="400" spans="1:124">
      <c r="A400" s="42" t="s">
        <v>94</v>
      </c>
      <c r="B400" s="42" t="s">
        <v>549</v>
      </c>
      <c r="C400" s="42" t="s">
        <v>550</v>
      </c>
      <c r="D400" s="42">
        <v>816397</v>
      </c>
      <c r="E400" s="42" t="s">
        <v>616</v>
      </c>
      <c r="F400" s="42" t="s">
        <v>149</v>
      </c>
      <c r="G400" s="42" t="s">
        <v>150</v>
      </c>
      <c r="H400" s="43" t="s">
        <v>150</v>
      </c>
      <c r="I400" s="44">
        <v>69</v>
      </c>
      <c r="J400" s="45">
        <v>219195.42959999901</v>
      </c>
      <c r="K400" s="46">
        <v>8301.3651499999996</v>
      </c>
      <c r="L400" s="47">
        <v>227496.79474999901</v>
      </c>
      <c r="M400" s="48">
        <v>4295653</v>
      </c>
      <c r="N400" s="49">
        <v>3180736</v>
      </c>
      <c r="O400" s="49">
        <v>1112509</v>
      </c>
      <c r="P400" s="49">
        <v>2408</v>
      </c>
      <c r="Q400" s="50">
        <v>9869.5288735632203</v>
      </c>
      <c r="R400" s="51">
        <v>25175.5141157486</v>
      </c>
      <c r="S400" s="49">
        <v>38258.831890765701</v>
      </c>
      <c r="T400" s="49">
        <v>8205.2627781153697</v>
      </c>
      <c r="U400" s="49">
        <f>IFERROR(INDEX('Rentabilidad datos'!$N$2:$N$61,MATCH($C400,'Rentabilidad datos'!$C$2:$C$61,0)),"")</f>
        <v>71639.608784629672</v>
      </c>
      <c r="V400" s="50">
        <f>IFERROR(INDEX('Rentabilidad datos'!$O$2:$O$61,MATCH($C400,'Rentabilidad datos'!$C$2:$C$61,0)),"")</f>
        <v>1193.9934797438279</v>
      </c>
      <c r="W400" s="51">
        <f>IFERROR(INDEX('Rentabilidad datos'!$M$2:$M$61,MATCH($C400,'Rentabilidad datos'!$C$2:$C$61,0)),"")</f>
        <v>3427.1365491869451</v>
      </c>
      <c r="X400" s="52">
        <f>IFERROR(INDEX('Rentabilidad datos'!$P$2:$P$61,MATCH($C400,'Rentabilidad datos'!$C$2:$C$61,0)),"")</f>
        <v>0.34839390336725601</v>
      </c>
      <c r="Y400" s="43" t="s">
        <v>171</v>
      </c>
      <c r="Z400" s="53">
        <v>76.356321839080493</v>
      </c>
      <c r="AA400" s="43">
        <v>2</v>
      </c>
      <c r="AB400" s="54">
        <v>0.98996334201109815</v>
      </c>
      <c r="AC400" s="55">
        <v>1.0036657988901803E-2</v>
      </c>
      <c r="AD400" s="752" t="e">
        <f>_xlfn.XLOOKUP(Table1[[#This Row],[Ruta]],#REF!,#REF!)</f>
        <v>#REF!</v>
      </c>
      <c r="AE400" s="752" t="e">
        <f>_xlfn.XLOOKUP(Table1[[#This Row],[Ruta]],#REF!,#REF!)</f>
        <v>#REF!</v>
      </c>
      <c r="AF400" s="752" t="e">
        <f>_xlfn.XLOOKUP(Table1[[#This Row],[Ruta]],#REF!,#REF!)</f>
        <v>#REF!</v>
      </c>
      <c r="AG400" s="752" t="e">
        <f>_xlfn.XLOOKUP(Table1[[#This Row],[Ruta]],#REF!,#REF!)</f>
        <v>#REF!</v>
      </c>
      <c r="AH400" s="52">
        <v>0.74045459444699091</v>
      </c>
      <c r="AI400" s="52">
        <v>0.25898483885919088</v>
      </c>
      <c r="AJ400" s="55">
        <v>5.6056669381814592E-4</v>
      </c>
      <c r="AK400" s="56">
        <v>33215</v>
      </c>
      <c r="AL400" s="44">
        <v>14396</v>
      </c>
      <c r="AM400" s="54">
        <v>0.43341863615836201</v>
      </c>
      <c r="AN400" s="55">
        <v>0.55224100357395201</v>
      </c>
      <c r="AO400" s="56">
        <v>3946.6849337088001</v>
      </c>
      <c r="AP400" s="48">
        <v>1973.3424668544001</v>
      </c>
      <c r="AQ400" s="55">
        <v>0.49282981986615682</v>
      </c>
      <c r="AR400" s="51">
        <v>4293245.0599999996</v>
      </c>
      <c r="AS400" s="49">
        <v>588499.77754312998</v>
      </c>
      <c r="AT400" s="55">
        <v>0.13707574790597443</v>
      </c>
      <c r="AU400" s="51">
        <v>413540.38421949692</v>
      </c>
      <c r="AV400" s="52">
        <v>1.8812343422234979E-3</v>
      </c>
      <c r="AW400" s="44">
        <v>183</v>
      </c>
      <c r="AX400" s="51">
        <v>298.22485829397101</v>
      </c>
      <c r="AY400" s="49">
        <v>395.30787608246197</v>
      </c>
      <c r="AZ400" s="49">
        <v>97.083017788490963</v>
      </c>
      <c r="BA400" s="42" t="s">
        <v>150</v>
      </c>
      <c r="BB400" s="50">
        <v>491051.15170487878</v>
      </c>
      <c r="BC400" s="57">
        <v>904591.53592437576</v>
      </c>
      <c r="BD400" s="42" t="s">
        <v>150</v>
      </c>
      <c r="BE400" s="46">
        <v>76.356321839080493</v>
      </c>
      <c r="BF400" s="46">
        <v>83.628504672897193</v>
      </c>
      <c r="BG400" s="42" t="s">
        <v>152</v>
      </c>
      <c r="BH400" s="52">
        <v>0.43341863615836201</v>
      </c>
      <c r="BI400" s="52">
        <v>0.51187669456560203</v>
      </c>
      <c r="BJ400" s="42" t="s">
        <v>152</v>
      </c>
      <c r="BK400" s="46">
        <v>522.98113735632</v>
      </c>
      <c r="BL400" s="46">
        <v>638.00354527981403</v>
      </c>
      <c r="BM400" s="42" t="s">
        <v>152</v>
      </c>
      <c r="BN400" s="48">
        <v>0</v>
      </c>
      <c r="BO400" s="42" t="s">
        <v>155</v>
      </c>
      <c r="BP400" s="42" t="s">
        <v>152</v>
      </c>
      <c r="BQ400" s="46">
        <v>3935.34118362446</v>
      </c>
      <c r="BR400" s="46">
        <v>109</v>
      </c>
      <c r="BS400" s="46">
        <v>11791</v>
      </c>
      <c r="BT400" s="46">
        <v>3900</v>
      </c>
      <c r="BU400" s="46">
        <v>3.0233333333333334</v>
      </c>
      <c r="BV400" s="46">
        <v>35.779816513761467</v>
      </c>
      <c r="BW400" s="46">
        <v>0</v>
      </c>
      <c r="BX400" s="46">
        <v>1386</v>
      </c>
      <c r="BY400" s="46">
        <v>1386</v>
      </c>
      <c r="BZ400" s="46">
        <v>0.35538461538461541</v>
      </c>
      <c r="CA400" s="46">
        <v>0</v>
      </c>
      <c r="CB400" s="46">
        <v>0.35538461538461541</v>
      </c>
      <c r="CC400" s="46">
        <v>0.64461538461538459</v>
      </c>
      <c r="CD400" s="46">
        <v>0</v>
      </c>
      <c r="CE400" s="46">
        <v>0</v>
      </c>
      <c r="CF400" s="46">
        <v>0</v>
      </c>
      <c r="CG400" s="46">
        <v>0</v>
      </c>
      <c r="CH400" s="46">
        <v>0</v>
      </c>
      <c r="CI400" s="46">
        <v>2.6291239080654738</v>
      </c>
      <c r="CJ400" s="46">
        <v>0.33924179458909343</v>
      </c>
      <c r="CK400">
        <v>284</v>
      </c>
      <c r="CL400">
        <v>399.47</v>
      </c>
      <c r="CM400">
        <f t="shared" si="49"/>
        <v>115.47000000000003</v>
      </c>
      <c r="CN400">
        <v>8.01</v>
      </c>
      <c r="CO400">
        <v>9.4499999999999993</v>
      </c>
      <c r="CP400">
        <f t="shared" si="50"/>
        <v>1.4399999999999995</v>
      </c>
      <c r="CQ400">
        <v>846.56</v>
      </c>
      <c r="CR400">
        <v>522.98</v>
      </c>
      <c r="CS400">
        <f t="shared" si="51"/>
        <v>323.57999999999993</v>
      </c>
      <c r="CT400" t="s">
        <v>152</v>
      </c>
      <c r="CU400">
        <v>86.71</v>
      </c>
      <c r="CV400">
        <v>81</v>
      </c>
      <c r="CW400" s="46">
        <v>1386</v>
      </c>
      <c r="CX400" s="46">
        <f t="shared" si="45"/>
        <v>32.57769230769231</v>
      </c>
      <c r="CY400" s="46">
        <v>115.47</v>
      </c>
      <c r="CZ400" s="46">
        <f t="shared" si="46"/>
        <v>35.53846153846154</v>
      </c>
      <c r="DA400" s="46">
        <f t="shared" si="47"/>
        <v>310.11516460090598</v>
      </c>
      <c r="DB400" s="46">
        <v>1245258.1399999999</v>
      </c>
      <c r="DC400" s="46">
        <f t="shared" si="48"/>
        <v>16.354234996152382</v>
      </c>
      <c r="DD400" s="46">
        <v>65669.94</v>
      </c>
      <c r="DE400" s="995">
        <v>1386</v>
      </c>
      <c r="DF400" s="995">
        <v>32.594999999999999</v>
      </c>
      <c r="DG400" s="995">
        <v>114.8</v>
      </c>
      <c r="DH400" s="995">
        <v>35.537999999999997</v>
      </c>
      <c r="DI400" s="995">
        <v>1113.617</v>
      </c>
      <c r="DJ400" s="995">
        <v>4470951</v>
      </c>
      <c r="DK400" s="995">
        <v>58.616999999999997</v>
      </c>
      <c r="DL400" s="995">
        <v>235333.7</v>
      </c>
      <c r="DM400" s="995">
        <v>1386</v>
      </c>
      <c r="DN400" s="995">
        <v>32.594999999999999</v>
      </c>
      <c r="DO400" s="995">
        <v>114.8</v>
      </c>
      <c r="DP400" s="995">
        <v>35.537999999999997</v>
      </c>
      <c r="DQ400" s="995">
        <v>1113.617</v>
      </c>
      <c r="DR400" s="995">
        <v>4470949</v>
      </c>
      <c r="DS400" s="995">
        <v>58.616999999999997</v>
      </c>
      <c r="DT400" s="995">
        <v>235333.6</v>
      </c>
    </row>
    <row r="401" spans="1:124">
      <c r="A401" s="42" t="s">
        <v>94</v>
      </c>
      <c r="B401" s="42" t="s">
        <v>549</v>
      </c>
      <c r="C401" s="42" t="s">
        <v>550</v>
      </c>
      <c r="D401" s="42">
        <v>816398</v>
      </c>
      <c r="E401" s="42" t="s">
        <v>617</v>
      </c>
      <c r="F401" s="42" t="s">
        <v>149</v>
      </c>
      <c r="G401" s="42" t="s">
        <v>150</v>
      </c>
      <c r="H401" s="43" t="s">
        <v>150</v>
      </c>
      <c r="I401" s="44">
        <v>69</v>
      </c>
      <c r="J401" s="45">
        <v>256441.28719999999</v>
      </c>
      <c r="K401" s="46">
        <v>8978.6358550000004</v>
      </c>
      <c r="L401" s="47">
        <v>265419.92305500002</v>
      </c>
      <c r="M401" s="48">
        <v>4954975</v>
      </c>
      <c r="N401" s="49">
        <v>3761435</v>
      </c>
      <c r="O401" s="49">
        <v>1190791</v>
      </c>
      <c r="P401" s="49">
        <v>2749</v>
      </c>
      <c r="Q401" s="50">
        <v>11306.454977169</v>
      </c>
      <c r="R401" s="51">
        <v>25175.5141157486</v>
      </c>
      <c r="S401" s="49">
        <v>38258.831890765701</v>
      </c>
      <c r="T401" s="49">
        <v>8205.2627781153697</v>
      </c>
      <c r="U401" s="49">
        <f>IFERROR(INDEX('Rentabilidad datos'!$N$2:$N$61,MATCH($C401,'Rentabilidad datos'!$C$2:$C$61,0)),"")</f>
        <v>71639.608784629672</v>
      </c>
      <c r="V401" s="50">
        <f>IFERROR(INDEX('Rentabilidad datos'!$O$2:$O$61,MATCH($C401,'Rentabilidad datos'!$C$2:$C$61,0)),"")</f>
        <v>1193.9934797438279</v>
      </c>
      <c r="W401" s="51">
        <f>IFERROR(INDEX('Rentabilidad datos'!$M$2:$M$61,MATCH($C401,'Rentabilidad datos'!$C$2:$C$61,0)),"")</f>
        <v>3427.1365491869451</v>
      </c>
      <c r="X401" s="52">
        <f>IFERROR(INDEX('Rentabilidad datos'!$P$2:$P$61,MATCH($C401,'Rentabilidad datos'!$C$2:$C$61,0)),"")</f>
        <v>0.34839390336725601</v>
      </c>
      <c r="Y401" s="43" t="s">
        <v>171</v>
      </c>
      <c r="Z401" s="53">
        <v>91.312785388127807</v>
      </c>
      <c r="AA401" s="43">
        <v>2</v>
      </c>
      <c r="AB401" s="54">
        <v>0.99178744595078683</v>
      </c>
      <c r="AC401" s="55">
        <v>8.2125540492131652E-3</v>
      </c>
      <c r="AD401" s="752" t="e">
        <f>_xlfn.XLOOKUP(Table1[[#This Row],[Ruta]],#REF!,#REF!)</f>
        <v>#REF!</v>
      </c>
      <c r="AE401" s="752" t="e">
        <f>_xlfn.XLOOKUP(Table1[[#This Row],[Ruta]],#REF!,#REF!)</f>
        <v>#REF!</v>
      </c>
      <c r="AF401" s="752" t="e">
        <f>_xlfn.XLOOKUP(Table1[[#This Row],[Ruta]],#REF!,#REF!)</f>
        <v>#REF!</v>
      </c>
      <c r="AG401" s="752" t="e">
        <f>_xlfn.XLOOKUP(Table1[[#This Row],[Ruta]],#REF!,#REF!)</f>
        <v>#REF!</v>
      </c>
      <c r="AH401" s="52">
        <v>0.75912290173007935</v>
      </c>
      <c r="AI401" s="52">
        <v>0.24032230233250421</v>
      </c>
      <c r="AJ401" s="55">
        <v>5.5479593741643502E-4</v>
      </c>
      <c r="AK401" s="56">
        <v>39995</v>
      </c>
      <c r="AL401" s="44">
        <v>17424</v>
      </c>
      <c r="AM401" s="54">
        <v>0.43565445680710102</v>
      </c>
      <c r="AN401" s="55">
        <v>0.55224100357395201</v>
      </c>
      <c r="AO401" s="56">
        <v>4662.8789379401896</v>
      </c>
      <c r="AP401" s="48">
        <v>2331.4394689700948</v>
      </c>
      <c r="AQ401" s="55">
        <v>0.49394773019052612</v>
      </c>
      <c r="AR401" s="51">
        <v>4952227.28</v>
      </c>
      <c r="AS401" s="49">
        <v>662638.78213397996</v>
      </c>
      <c r="AT401" s="55">
        <v>0.13380621378386734</v>
      </c>
      <c r="AU401" s="51">
        <v>465638.06312117528</v>
      </c>
      <c r="AV401" s="52">
        <v>2.1182316136869536E-3</v>
      </c>
      <c r="AW401" s="44">
        <v>156</v>
      </c>
      <c r="AX401" s="51">
        <v>284.21873737373699</v>
      </c>
      <c r="AY401" s="49">
        <v>395.30787608246197</v>
      </c>
      <c r="AZ401" s="49">
        <v>111.08913870872499</v>
      </c>
      <c r="BA401" s="42" t="s">
        <v>150</v>
      </c>
      <c r="BB401" s="50">
        <v>680081.70235650602</v>
      </c>
      <c r="BC401" s="57">
        <v>1145719.7654776813</v>
      </c>
      <c r="BD401" s="42" t="s">
        <v>150</v>
      </c>
      <c r="BE401" s="46">
        <v>91.312785388127907</v>
      </c>
      <c r="BF401" s="46">
        <v>83.628504672897193</v>
      </c>
      <c r="BG401" s="42" t="s">
        <v>150</v>
      </c>
      <c r="BH401" s="52">
        <v>0.43565445680710102</v>
      </c>
      <c r="BI401" s="52">
        <v>0.51187669456560203</v>
      </c>
      <c r="BJ401" s="42" t="s">
        <v>152</v>
      </c>
      <c r="BK401" s="46">
        <v>605.98155948629994</v>
      </c>
      <c r="BL401" s="46">
        <v>638.00354527981403</v>
      </c>
      <c r="BM401" s="42" t="s">
        <v>152</v>
      </c>
      <c r="BN401" s="48">
        <v>1</v>
      </c>
      <c r="BO401" s="42" t="s">
        <v>155</v>
      </c>
      <c r="BP401" s="42" t="s">
        <v>152</v>
      </c>
      <c r="BQ401" s="46">
        <v>2481.40658323665</v>
      </c>
      <c r="BR401" s="46">
        <v>46</v>
      </c>
      <c r="BS401" s="46">
        <v>7391</v>
      </c>
      <c r="BT401" s="46">
        <v>1992</v>
      </c>
      <c r="BU401" s="46">
        <v>3.7103413654618476</v>
      </c>
      <c r="BV401" s="46">
        <v>43.304347826086953</v>
      </c>
      <c r="BW401" s="46">
        <v>0</v>
      </c>
      <c r="BX401" s="46">
        <v>1289</v>
      </c>
      <c r="BY401" s="46">
        <v>1289</v>
      </c>
      <c r="BZ401" s="46">
        <v>0.64708835341365467</v>
      </c>
      <c r="CA401" s="46">
        <v>0</v>
      </c>
      <c r="CB401" s="46">
        <v>0.64708835341365467</v>
      </c>
      <c r="CC401" s="46">
        <v>0</v>
      </c>
      <c r="CD401" s="46">
        <v>0</v>
      </c>
      <c r="CE401" s="46">
        <v>0</v>
      </c>
      <c r="CF401" s="46">
        <v>0.35291164658634538</v>
      </c>
      <c r="CG401" s="46">
        <v>0</v>
      </c>
      <c r="CH401" s="46">
        <v>0</v>
      </c>
      <c r="CI401" s="46">
        <v>3.9236909755107559</v>
      </c>
      <c r="CJ401" s="46">
        <v>0</v>
      </c>
      <c r="CK401">
        <v>242</v>
      </c>
      <c r="CL401">
        <v>340.91</v>
      </c>
      <c r="CM401">
        <f t="shared" si="49"/>
        <v>98.910000000000025</v>
      </c>
      <c r="CN401">
        <v>5.56</v>
      </c>
      <c r="CO401">
        <v>9.4499999999999993</v>
      </c>
      <c r="CP401">
        <f t="shared" si="50"/>
        <v>3.8899999999999997</v>
      </c>
      <c r="CQ401">
        <v>846.56</v>
      </c>
      <c r="CR401">
        <v>605.98</v>
      </c>
      <c r="CS401">
        <f t="shared" si="51"/>
        <v>240.57999999999993</v>
      </c>
      <c r="CT401" t="s">
        <v>152</v>
      </c>
      <c r="CU401">
        <v>71.58</v>
      </c>
      <c r="CV401">
        <v>162</v>
      </c>
      <c r="CW401" s="46">
        <v>1289</v>
      </c>
      <c r="CX401" s="46">
        <f t="shared" si="45"/>
        <v>59.743473895582319</v>
      </c>
      <c r="CY401" s="46">
        <v>98.91</v>
      </c>
      <c r="CZ401" s="46">
        <f t="shared" si="46"/>
        <v>64.708835341365472</v>
      </c>
      <c r="DA401" s="46">
        <f t="shared" si="47"/>
        <v>634.59861017451738</v>
      </c>
      <c r="DB401" s="46">
        <v>1326888.58</v>
      </c>
      <c r="DC401" s="46">
        <f t="shared" si="48"/>
        <v>33.366849840500073</v>
      </c>
      <c r="DD401" s="46">
        <v>69767.08</v>
      </c>
      <c r="DE401" s="995">
        <v>1289</v>
      </c>
      <c r="DF401" s="995">
        <v>59.99</v>
      </c>
      <c r="DG401" s="995">
        <v>94</v>
      </c>
      <c r="DH401" s="995">
        <v>64.709000000000003</v>
      </c>
      <c r="DI401" s="995">
        <v>1804.2439999999999</v>
      </c>
      <c r="DJ401" s="995">
        <v>3763634</v>
      </c>
      <c r="DK401" s="995">
        <v>95.448999999999998</v>
      </c>
      <c r="DL401" s="995">
        <v>199104.7</v>
      </c>
      <c r="DM401" s="995">
        <v>1289</v>
      </c>
      <c r="DN401" s="995">
        <v>60.731999999999999</v>
      </c>
      <c r="DO401" s="995">
        <v>79.2</v>
      </c>
      <c r="DP401" s="995">
        <v>64.709000000000003</v>
      </c>
      <c r="DQ401" s="995">
        <v>1749.008</v>
      </c>
      <c r="DR401" s="995">
        <v>3622588</v>
      </c>
      <c r="DS401" s="995">
        <v>92.546999999999997</v>
      </c>
      <c r="DT401" s="995">
        <v>191686.2</v>
      </c>
    </row>
    <row r="402" spans="1:124">
      <c r="A402" s="42" t="s">
        <v>94</v>
      </c>
      <c r="B402" s="42" t="s">
        <v>549</v>
      </c>
      <c r="C402" s="42" t="s">
        <v>550</v>
      </c>
      <c r="D402" s="42">
        <v>816399</v>
      </c>
      <c r="E402" s="42" t="s">
        <v>618</v>
      </c>
      <c r="F402" s="42" t="s">
        <v>193</v>
      </c>
      <c r="G402" s="42" t="s">
        <v>150</v>
      </c>
      <c r="H402" s="43" t="s">
        <v>152</v>
      </c>
      <c r="I402" s="44">
        <v>69</v>
      </c>
      <c r="J402" s="45">
        <v>154.98560000000001</v>
      </c>
      <c r="K402" s="46">
        <v>23.5747</v>
      </c>
      <c r="L402" s="47">
        <v>178.56030000000001</v>
      </c>
      <c r="M402" s="48">
        <v>6242</v>
      </c>
      <c r="N402" s="49">
        <v>2200</v>
      </c>
      <c r="O402" s="49">
        <v>4042</v>
      </c>
      <c r="P402" s="49">
        <v>0</v>
      </c>
      <c r="Q402" s="50">
        <v>0</v>
      </c>
      <c r="R402" s="51">
        <v>25175.5141157486</v>
      </c>
      <c r="S402" s="49">
        <v>38258.831890765701</v>
      </c>
      <c r="T402" s="49">
        <v>8205.2627781153697</v>
      </c>
      <c r="U402" s="49">
        <f>IFERROR(INDEX('Rentabilidad datos'!$N$2:$N$61,MATCH($C402,'Rentabilidad datos'!$C$2:$C$61,0)),"")</f>
        <v>71639.608784629672</v>
      </c>
      <c r="V402" s="50">
        <f>IFERROR(INDEX('Rentabilidad datos'!$O$2:$O$61,MATCH($C402,'Rentabilidad datos'!$C$2:$C$61,0)),"")</f>
        <v>1193.9934797438279</v>
      </c>
      <c r="W402" s="51">
        <f>IFERROR(INDEX('Rentabilidad datos'!$M$2:$M$61,MATCH($C402,'Rentabilidad datos'!$C$2:$C$61,0)),"")</f>
        <v>3427.1365491869451</v>
      </c>
      <c r="X402" s="52">
        <f>IFERROR(INDEX('Rentabilidad datos'!$P$2:$P$61,MATCH($C402,'Rentabilidad datos'!$C$2:$C$61,0)),"")</f>
        <v>0.34839390336725601</v>
      </c>
      <c r="Y402" s="43" t="s">
        <v>171</v>
      </c>
      <c r="Z402" s="53">
        <v>38.886363636363598</v>
      </c>
      <c r="AA402" s="43">
        <v>2</v>
      </c>
      <c r="AB402" s="54">
        <v>0.66388977891701373</v>
      </c>
      <c r="AC402" s="55">
        <v>0.33611022108298622</v>
      </c>
      <c r="AD402" s="752" t="e">
        <f>_xlfn.XLOOKUP(Table1[[#This Row],[Ruta]],#REF!,#REF!)</f>
        <v>#REF!</v>
      </c>
      <c r="AE402" s="752" t="e">
        <f>_xlfn.XLOOKUP(Table1[[#This Row],[Ruta]],#REF!,#REF!)</f>
        <v>#REF!</v>
      </c>
      <c r="AF402" s="752" t="e">
        <f>_xlfn.XLOOKUP(Table1[[#This Row],[Ruta]],#REF!,#REF!)</f>
        <v>#REF!</v>
      </c>
      <c r="AG402" s="752" t="e">
        <f>_xlfn.XLOOKUP(Table1[[#This Row],[Ruta]],#REF!,#REF!)</f>
        <v>#REF!</v>
      </c>
      <c r="AH402" s="52">
        <v>0.35245113745594359</v>
      </c>
      <c r="AI402" s="52">
        <v>0.64754886254405641</v>
      </c>
      <c r="AJ402" s="55">
        <v>0</v>
      </c>
      <c r="AK402" s="56">
        <v>1711</v>
      </c>
      <c r="AL402" s="44">
        <v>18</v>
      </c>
      <c r="AM402" s="54">
        <v>9.3512565751022007E-3</v>
      </c>
      <c r="AN402" s="55">
        <v>0.55224100357395201</v>
      </c>
      <c r="AO402" s="56">
        <v>0</v>
      </c>
      <c r="AP402" s="48">
        <v>0</v>
      </c>
      <c r="AQ402" s="55">
        <v>1.0520163646990065E-2</v>
      </c>
      <c r="AR402" s="51">
        <v>6242.41</v>
      </c>
      <c r="AS402" s="49">
        <v>0</v>
      </c>
      <c r="AT402" s="55">
        <v>0</v>
      </c>
      <c r="AU402" s="51">
        <v>0</v>
      </c>
      <c r="AV402" s="52">
        <v>0</v>
      </c>
      <c r="AW402" s="44">
        <v>490</v>
      </c>
      <c r="AX402" s="51">
        <v>346.800555555556</v>
      </c>
      <c r="AY402" s="49">
        <v>395.30787608246197</v>
      </c>
      <c r="AZ402" s="49">
        <v>48.507320526905971</v>
      </c>
      <c r="BA402" s="42" t="s">
        <v>150</v>
      </c>
      <c r="BB402" s="50">
        <v>306.77602711610814</v>
      </c>
      <c r="BC402" s="57">
        <v>306.77602711610814</v>
      </c>
      <c r="BD402" s="42" t="s">
        <v>152</v>
      </c>
      <c r="BE402" s="46" t="s">
        <v>195</v>
      </c>
      <c r="BF402" s="46" t="s">
        <v>195</v>
      </c>
      <c r="BG402" s="42" t="s">
        <v>195</v>
      </c>
      <c r="BH402" s="52" t="s">
        <v>195</v>
      </c>
      <c r="BI402" s="52" t="s">
        <v>195</v>
      </c>
      <c r="BJ402" s="42" t="s">
        <v>195</v>
      </c>
      <c r="BK402" s="46" t="s">
        <v>195</v>
      </c>
      <c r="BL402" s="46" t="s">
        <v>195</v>
      </c>
      <c r="BM402" s="42" t="s">
        <v>195</v>
      </c>
      <c r="BN402" s="48" t="s">
        <v>195</v>
      </c>
      <c r="BO402" s="42" t="s">
        <v>195</v>
      </c>
      <c r="BP402" s="42" t="s">
        <v>152</v>
      </c>
      <c r="BQ402" s="46">
        <v>0</v>
      </c>
      <c r="BR402" s="46" t="e">
        <v>#N/A</v>
      </c>
      <c r="BS402" s="46" t="e">
        <v>#N/A</v>
      </c>
      <c r="BT402" s="46" t="e">
        <v>#N/A</v>
      </c>
      <c r="BU402" s="46" t="e">
        <v>#N/A</v>
      </c>
      <c r="BV402" s="46" t="e">
        <v>#N/A</v>
      </c>
      <c r="BW402" s="46" t="e">
        <v>#N/A</v>
      </c>
      <c r="BX402" s="46" t="e">
        <v>#N/A</v>
      </c>
      <c r="BY402" s="46" t="e">
        <v>#N/A</v>
      </c>
      <c r="BZ402" s="46" t="e">
        <v>#N/A</v>
      </c>
      <c r="CA402" s="46" t="e">
        <v>#N/A</v>
      </c>
      <c r="CB402" s="46" t="e">
        <v>#N/A</v>
      </c>
      <c r="CC402" s="46" t="e">
        <v>#N/A</v>
      </c>
      <c r="CD402" s="46" t="e">
        <v>#N/A</v>
      </c>
      <c r="CE402" s="46" t="e">
        <v>#N/A</v>
      </c>
      <c r="CF402" s="46" t="e">
        <v>#N/A</v>
      </c>
      <c r="CG402" s="46" t="e">
        <v>#N/A</v>
      </c>
      <c r="CH402" s="46" t="e">
        <v>#N/A</v>
      </c>
      <c r="CI402" s="46" t="e">
        <v>#N/A</v>
      </c>
      <c r="CJ402" s="46" t="e">
        <v>#N/A</v>
      </c>
      <c r="CM402">
        <f t="shared" si="49"/>
        <v>0</v>
      </c>
      <c r="CP402">
        <f t="shared" si="50"/>
        <v>0</v>
      </c>
      <c r="CS402">
        <f t="shared" si="51"/>
        <v>0</v>
      </c>
      <c r="CW402" s="46"/>
      <c r="CX402" s="46" t="e">
        <f t="shared" si="45"/>
        <v>#N/A</v>
      </c>
      <c r="CY402" s="46"/>
      <c r="CZ402" s="46" t="e">
        <f t="shared" si="46"/>
        <v>#N/A</v>
      </c>
      <c r="DA402" s="46" t="e">
        <f t="shared" si="47"/>
        <v>#N/A</v>
      </c>
      <c r="DB402" s="46"/>
      <c r="DC402" s="46" t="e">
        <f t="shared" si="48"/>
        <v>#N/A</v>
      </c>
      <c r="DD402" s="46"/>
      <c r="DE402" s="995" t="s">
        <v>194</v>
      </c>
      <c r="DF402" s="995" t="s">
        <v>194</v>
      </c>
      <c r="DG402" s="995" t="s">
        <v>194</v>
      </c>
      <c r="DH402" s="995" t="s">
        <v>194</v>
      </c>
      <c r="DI402" s="995" t="s">
        <v>194</v>
      </c>
      <c r="DJ402" s="995" t="s">
        <v>194</v>
      </c>
      <c r="DK402" s="995" t="s">
        <v>194</v>
      </c>
      <c r="DL402" s="995" t="s">
        <v>194</v>
      </c>
      <c r="DM402" s="995" t="s">
        <v>194</v>
      </c>
      <c r="DN402" s="995" t="s">
        <v>194</v>
      </c>
      <c r="DO402" s="995" t="s">
        <v>194</v>
      </c>
      <c r="DP402" s="995" t="s">
        <v>194</v>
      </c>
      <c r="DQ402" s="995" t="s">
        <v>194</v>
      </c>
      <c r="DR402" s="995" t="s">
        <v>194</v>
      </c>
      <c r="DS402" s="995" t="s">
        <v>194</v>
      </c>
      <c r="DT402" s="995" t="s">
        <v>194</v>
      </c>
    </row>
    <row r="403" spans="1:124">
      <c r="A403" s="42" t="s">
        <v>94</v>
      </c>
      <c r="B403" s="42" t="s">
        <v>549</v>
      </c>
      <c r="C403" s="42" t="s">
        <v>550</v>
      </c>
      <c r="D403" s="42">
        <v>1300000276</v>
      </c>
      <c r="E403" s="42" t="s">
        <v>619</v>
      </c>
      <c r="F403" s="42" t="s">
        <v>149</v>
      </c>
      <c r="G403" s="42" t="s">
        <v>150</v>
      </c>
      <c r="H403" s="43" t="s">
        <v>152</v>
      </c>
      <c r="I403" s="44">
        <v>69</v>
      </c>
      <c r="J403" s="45">
        <v>137.37360000000001</v>
      </c>
      <c r="K403" s="46">
        <v>4.3536000000000001</v>
      </c>
      <c r="L403" s="47">
        <v>141.72720000000001</v>
      </c>
      <c r="M403" s="48">
        <v>0</v>
      </c>
      <c r="N403" s="49">
        <v>0</v>
      </c>
      <c r="O403" s="49">
        <v>0</v>
      </c>
      <c r="P403" s="49">
        <v>0</v>
      </c>
      <c r="Q403" s="50">
        <v>177.30769230769201</v>
      </c>
      <c r="R403" s="51">
        <v>25175.5141157486</v>
      </c>
      <c r="S403" s="49">
        <v>38258.831890765701</v>
      </c>
      <c r="T403" s="49">
        <v>8205.2627781153697</v>
      </c>
      <c r="U403" s="49">
        <f>IFERROR(INDEX('Rentabilidad datos'!$N$2:$N$61,MATCH($C403,'Rentabilidad datos'!$C$2:$C$61,0)),"")</f>
        <v>71639.608784629672</v>
      </c>
      <c r="V403" s="50">
        <f>IFERROR(INDEX('Rentabilidad datos'!$O$2:$O$61,MATCH($C403,'Rentabilidad datos'!$C$2:$C$61,0)),"")</f>
        <v>1193.9934797438279</v>
      </c>
      <c r="W403" s="51">
        <f>IFERROR(INDEX('Rentabilidad datos'!$M$2:$M$61,MATCH($C403,'Rentabilidad datos'!$C$2:$C$61,0)),"")</f>
        <v>3427.1365491869451</v>
      </c>
      <c r="X403" s="52">
        <f>IFERROR(INDEX('Rentabilidad datos'!$P$2:$P$61,MATCH($C403,'Rentabilidad datos'!$C$2:$C$61,0)),"")</f>
        <v>0.34839390336725601</v>
      </c>
      <c r="Y403" s="43" t="s">
        <v>171</v>
      </c>
      <c r="Z403" s="53">
        <v>0</v>
      </c>
      <c r="AA403" s="43">
        <v>2</v>
      </c>
      <c r="AB403" s="54">
        <v>0</v>
      </c>
      <c r="AC403" s="55">
        <v>0</v>
      </c>
      <c r="AD403" s="752" t="e">
        <f>_xlfn.XLOOKUP(Table1[[#This Row],[Ruta]],#REF!,#REF!)</f>
        <v>#REF!</v>
      </c>
      <c r="AE403" s="752" t="e">
        <f>_xlfn.XLOOKUP(Table1[[#This Row],[Ruta]],#REF!,#REF!)</f>
        <v>#REF!</v>
      </c>
      <c r="AF403" s="752" t="e">
        <f>_xlfn.XLOOKUP(Table1[[#This Row],[Ruta]],#REF!,#REF!)</f>
        <v>#REF!</v>
      </c>
      <c r="AG403" s="752" t="e">
        <f>_xlfn.XLOOKUP(Table1[[#This Row],[Ruta]],#REF!,#REF!)</f>
        <v>#REF!</v>
      </c>
      <c r="AH403" s="52">
        <v>0</v>
      </c>
      <c r="AI403" s="52">
        <v>0</v>
      </c>
      <c r="AJ403" s="55">
        <v>0</v>
      </c>
      <c r="AK403" s="56">
        <v>0</v>
      </c>
      <c r="AL403" s="44">
        <v>13</v>
      </c>
      <c r="AM403" s="54">
        <v>0</v>
      </c>
      <c r="AN403" s="55">
        <v>0.55224100357395201</v>
      </c>
      <c r="AO403" s="56">
        <v>0</v>
      </c>
      <c r="AP403" s="48">
        <v>0</v>
      </c>
      <c r="AQ403" s="55" t="s">
        <v>194</v>
      </c>
      <c r="AR403" s="51">
        <v>2305</v>
      </c>
      <c r="AS403" s="49">
        <v>0</v>
      </c>
      <c r="AT403" s="55">
        <v>0</v>
      </c>
      <c r="AU403" s="51">
        <v>0</v>
      </c>
      <c r="AV403" s="52">
        <v>0</v>
      </c>
      <c r="AW403" s="44">
        <v>490</v>
      </c>
      <c r="AX403" s="51">
        <v>177.30769230769201</v>
      </c>
      <c r="AY403" s="49">
        <v>395.30787608246197</v>
      </c>
      <c r="AZ403" s="49">
        <v>218.00018377476997</v>
      </c>
      <c r="BA403" s="42" t="s">
        <v>150</v>
      </c>
      <c r="BB403" s="50">
        <v>995.73056913340906</v>
      </c>
      <c r="BC403" s="57">
        <v>995.73056913340906</v>
      </c>
      <c r="BD403" s="42" t="s">
        <v>152</v>
      </c>
      <c r="BE403" s="46" t="s">
        <v>195</v>
      </c>
      <c r="BF403" s="46" t="s">
        <v>195</v>
      </c>
      <c r="BG403" s="42" t="s">
        <v>195</v>
      </c>
      <c r="BH403" s="52" t="s">
        <v>195</v>
      </c>
      <c r="BI403" s="52" t="s">
        <v>195</v>
      </c>
      <c r="BJ403" s="42" t="s">
        <v>195</v>
      </c>
      <c r="BK403" s="46" t="s">
        <v>195</v>
      </c>
      <c r="BL403" s="46" t="s">
        <v>195</v>
      </c>
      <c r="BM403" s="42" t="s">
        <v>195</v>
      </c>
      <c r="BN403" s="48" t="s">
        <v>195</v>
      </c>
      <c r="BO403" s="42" t="s">
        <v>195</v>
      </c>
      <c r="BP403" s="42" t="s">
        <v>152</v>
      </c>
      <c r="BQ403" s="46">
        <v>0</v>
      </c>
      <c r="BR403" s="46" t="e">
        <v>#N/A</v>
      </c>
      <c r="BS403" s="46" t="e">
        <v>#N/A</v>
      </c>
      <c r="BT403" s="46" t="e">
        <v>#N/A</v>
      </c>
      <c r="BU403" s="46" t="e">
        <v>#N/A</v>
      </c>
      <c r="BV403" s="46" t="e">
        <v>#N/A</v>
      </c>
      <c r="BW403" s="46" t="e">
        <v>#N/A</v>
      </c>
      <c r="BX403" s="46" t="e">
        <v>#N/A</v>
      </c>
      <c r="BY403" s="46" t="e">
        <v>#N/A</v>
      </c>
      <c r="BZ403" s="46" t="e">
        <v>#N/A</v>
      </c>
      <c r="CA403" s="46" t="e">
        <v>#N/A</v>
      </c>
      <c r="CB403" s="46" t="e">
        <v>#N/A</v>
      </c>
      <c r="CC403" s="46" t="e">
        <v>#N/A</v>
      </c>
      <c r="CD403" s="46" t="e">
        <v>#N/A</v>
      </c>
      <c r="CE403" s="46" t="e">
        <v>#N/A</v>
      </c>
      <c r="CF403" s="46" t="e">
        <v>#N/A</v>
      </c>
      <c r="CG403" s="46" t="e">
        <v>#N/A</v>
      </c>
      <c r="CH403" s="46" t="e">
        <v>#N/A</v>
      </c>
      <c r="CI403" s="46" t="e">
        <v>#N/A</v>
      </c>
      <c r="CJ403" s="46" t="e">
        <v>#N/A</v>
      </c>
      <c r="CM403">
        <f t="shared" si="49"/>
        <v>0</v>
      </c>
      <c r="CP403">
        <f t="shared" si="50"/>
        <v>0</v>
      </c>
      <c r="CS403">
        <f t="shared" si="51"/>
        <v>0</v>
      </c>
      <c r="CW403" s="46"/>
      <c r="CX403" s="46" t="e">
        <f t="shared" si="45"/>
        <v>#N/A</v>
      </c>
      <c r="CY403" s="46"/>
      <c r="CZ403" s="46" t="e">
        <f t="shared" si="46"/>
        <v>#N/A</v>
      </c>
      <c r="DA403" s="46" t="e">
        <f t="shared" si="47"/>
        <v>#N/A</v>
      </c>
      <c r="DB403" s="46"/>
      <c r="DC403" s="46" t="e">
        <f t="shared" si="48"/>
        <v>#N/A</v>
      </c>
      <c r="DD403" s="46"/>
      <c r="DE403" s="995" t="s">
        <v>194</v>
      </c>
      <c r="DF403" s="995" t="s">
        <v>194</v>
      </c>
      <c r="DG403" s="995" t="s">
        <v>194</v>
      </c>
      <c r="DH403" s="995" t="s">
        <v>194</v>
      </c>
      <c r="DI403" s="995" t="s">
        <v>194</v>
      </c>
      <c r="DJ403" s="995" t="s">
        <v>194</v>
      </c>
      <c r="DK403" s="995" t="s">
        <v>194</v>
      </c>
      <c r="DL403" s="995" t="s">
        <v>194</v>
      </c>
      <c r="DM403" s="995" t="s">
        <v>194</v>
      </c>
      <c r="DN403" s="995" t="s">
        <v>194</v>
      </c>
      <c r="DO403" s="995" t="s">
        <v>194</v>
      </c>
      <c r="DP403" s="995" t="s">
        <v>194</v>
      </c>
      <c r="DQ403" s="995" t="s">
        <v>194</v>
      </c>
      <c r="DR403" s="995" t="s">
        <v>194</v>
      </c>
      <c r="DS403" s="995" t="s">
        <v>194</v>
      </c>
      <c r="DT403" s="995" t="s">
        <v>194</v>
      </c>
    </row>
    <row r="404" spans="1:124">
      <c r="A404" s="42" t="s">
        <v>94</v>
      </c>
      <c r="B404" s="42" t="s">
        <v>510</v>
      </c>
      <c r="C404" s="42" t="s">
        <v>620</v>
      </c>
      <c r="D404" s="42">
        <v>802340</v>
      </c>
      <c r="E404" s="42" t="s">
        <v>621</v>
      </c>
      <c r="F404" s="42" t="s">
        <v>149</v>
      </c>
      <c r="G404" s="42" t="s">
        <v>150</v>
      </c>
      <c r="H404" s="43" t="s">
        <v>150</v>
      </c>
      <c r="I404" s="44">
        <v>18</v>
      </c>
      <c r="J404" s="45">
        <v>218473.3376</v>
      </c>
      <c r="K404" s="46">
        <v>10905.520521</v>
      </c>
      <c r="L404" s="47">
        <v>229378.858121</v>
      </c>
      <c r="M404" s="48">
        <v>4771115</v>
      </c>
      <c r="N404" s="49">
        <v>3194977</v>
      </c>
      <c r="O404" s="49">
        <v>1572540</v>
      </c>
      <c r="P404" s="49">
        <v>3598</v>
      </c>
      <c r="Q404" s="50">
        <v>10689.4907847534</v>
      </c>
      <c r="R404" s="51">
        <v>7399.0832063301796</v>
      </c>
      <c r="S404" s="49">
        <v>12495.716238663401</v>
      </c>
      <c r="T404" s="49">
        <v>1949.8628808354699</v>
      </c>
      <c r="U404" s="49">
        <f>IFERROR(INDEX('Rentabilidad datos'!$N$2:$N$61,MATCH($C404,'Rentabilidad datos'!$C$2:$C$61,0)),"")</f>
        <v>21844.662325829013</v>
      </c>
      <c r="V404" s="50">
        <f>IFERROR(INDEX('Rentabilidad datos'!$O$2:$O$61,MATCH($C404,'Rentabilidad datos'!$C$2:$C$61,0)),"")</f>
        <v>1560.3330232735009</v>
      </c>
      <c r="W404" s="51">
        <f>IFERROR(INDEX('Rentabilidad datos'!$M$2:$M$61,MATCH($C404,'Rentabilidad datos'!$C$2:$C$61,0)),"")</f>
        <v>3158.6335789532814</v>
      </c>
      <c r="X404" s="52">
        <f>IFERROR(INDEX('Rentabilidad datos'!$P$2:$P$61,MATCH($C404,'Rentabilidad datos'!$C$2:$C$61,0)),"")</f>
        <v>0.49398988020337875</v>
      </c>
      <c r="Y404" s="43" t="s">
        <v>171</v>
      </c>
      <c r="Z404" s="53">
        <v>111.966367713005</v>
      </c>
      <c r="AA404" s="43">
        <v>1</v>
      </c>
      <c r="AB404" s="54">
        <v>0.96592494626518122</v>
      </c>
      <c r="AC404" s="55">
        <v>3.4075053734818797E-2</v>
      </c>
      <c r="AD404" s="752" t="e">
        <f>_xlfn.XLOOKUP(Table1[[#This Row],[Ruta]],#REF!,#REF!)</f>
        <v>#REF!</v>
      </c>
      <c r="AE404" s="752" t="e">
        <f>_xlfn.XLOOKUP(Table1[[#This Row],[Ruta]],#REF!,#REF!)</f>
        <v>#REF!</v>
      </c>
      <c r="AF404" s="752" t="e">
        <f>_xlfn.XLOOKUP(Table1[[#This Row],[Ruta]],#REF!,#REF!)</f>
        <v>#REF!</v>
      </c>
      <c r="AG404" s="752" t="e">
        <f>_xlfn.XLOOKUP(Table1[[#This Row],[Ruta]],#REF!,#REF!)</f>
        <v>#REF!</v>
      </c>
      <c r="AH404" s="52">
        <v>0.66964996651726061</v>
      </c>
      <c r="AI404" s="52">
        <v>0.32959591206667621</v>
      </c>
      <c r="AJ404" s="55">
        <v>7.5412141606312152E-4</v>
      </c>
      <c r="AK404" s="56">
        <v>49937</v>
      </c>
      <c r="AL404" s="44">
        <v>17019</v>
      </c>
      <c r="AM404" s="54">
        <v>0.34080941986903501</v>
      </c>
      <c r="AN404" s="55">
        <v>0.44443503778800603</v>
      </c>
      <c r="AO404" s="56">
        <v>5174.7524820196604</v>
      </c>
      <c r="AP404" s="48">
        <v>2587.3762410098302</v>
      </c>
      <c r="AQ404" s="55">
        <v>0.39262222882852055</v>
      </c>
      <c r="AR404" s="51">
        <v>4767512.8899999997</v>
      </c>
      <c r="AS404" s="49">
        <v>724798.72967237502</v>
      </c>
      <c r="AT404" s="55">
        <v>0.15202868799634753</v>
      </c>
      <c r="AU404" s="51">
        <v>509318.02625626372</v>
      </c>
      <c r="AV404" s="52">
        <v>2.3169358995377152E-3</v>
      </c>
      <c r="AW404" s="44">
        <v>144</v>
      </c>
      <c r="AX404" s="51">
        <v>280.12884952112398</v>
      </c>
      <c r="AY404" s="49">
        <v>340.62823346620098</v>
      </c>
      <c r="AZ404" s="49">
        <v>60.499383945077</v>
      </c>
      <c r="BA404" s="42" t="s">
        <v>150</v>
      </c>
      <c r="BB404" s="50">
        <v>361765.0594512556</v>
      </c>
      <c r="BC404" s="57">
        <v>871083.08570751932</v>
      </c>
      <c r="BD404" s="42" t="s">
        <v>150</v>
      </c>
      <c r="BE404" s="46">
        <v>111.966367713005</v>
      </c>
      <c r="BF404" s="46">
        <v>72.425990467051307</v>
      </c>
      <c r="BG404" s="42" t="s">
        <v>150</v>
      </c>
      <c r="BH404" s="52">
        <v>0.34080941986903501</v>
      </c>
      <c r="BI404" s="52">
        <v>0.49337264070319697</v>
      </c>
      <c r="BJ404" s="42" t="s">
        <v>152</v>
      </c>
      <c r="BK404" s="46">
        <v>514.30237246860895</v>
      </c>
      <c r="BL404" s="46">
        <v>605.59017138979505</v>
      </c>
      <c r="BM404" s="42" t="s">
        <v>152</v>
      </c>
      <c r="BN404" s="48">
        <v>1</v>
      </c>
      <c r="BO404" s="42" t="s">
        <v>155</v>
      </c>
      <c r="BP404" s="42" t="s">
        <v>152</v>
      </c>
      <c r="BQ404" s="46">
        <v>0</v>
      </c>
      <c r="BR404" s="46">
        <v>148</v>
      </c>
      <c r="BS404" s="46">
        <v>12033</v>
      </c>
      <c r="BT404" s="46">
        <v>3666</v>
      </c>
      <c r="BU404" s="46">
        <v>3.2823240589198037</v>
      </c>
      <c r="BV404" s="46">
        <v>24.77027027027027</v>
      </c>
      <c r="BW404" s="46">
        <v>0</v>
      </c>
      <c r="BX404" s="46">
        <v>3244</v>
      </c>
      <c r="BY404" s="46">
        <v>3244</v>
      </c>
      <c r="BZ404" s="46">
        <v>0.88488816148390614</v>
      </c>
      <c r="CA404" s="46">
        <v>0</v>
      </c>
      <c r="CB404" s="46">
        <v>0.88488816148390614</v>
      </c>
      <c r="CC404" s="46">
        <v>5.6464811783960719E-2</v>
      </c>
      <c r="CD404" s="46">
        <v>0</v>
      </c>
      <c r="CE404" s="46">
        <v>0</v>
      </c>
      <c r="CF404" s="46">
        <v>5.8647026732133123E-2</v>
      </c>
      <c r="CG404" s="46">
        <v>0</v>
      </c>
      <c r="CH404" s="46">
        <v>0</v>
      </c>
      <c r="CI404" s="46">
        <v>1.745200698080279</v>
      </c>
      <c r="CJ404" s="46">
        <v>0.58173356602675974</v>
      </c>
      <c r="CK404">
        <v>382</v>
      </c>
      <c r="CL404">
        <v>781.63</v>
      </c>
      <c r="CM404">
        <f t="shared" si="49"/>
        <v>399.63</v>
      </c>
      <c r="CN404">
        <v>8.7899999999999991</v>
      </c>
      <c r="CO404">
        <v>9.4499999999999993</v>
      </c>
      <c r="CP404">
        <f t="shared" si="50"/>
        <v>0.66000000000000014</v>
      </c>
      <c r="CQ404">
        <v>846.56</v>
      </c>
      <c r="CR404">
        <v>514.29999999999995</v>
      </c>
      <c r="CS404">
        <f t="shared" si="51"/>
        <v>332.26</v>
      </c>
      <c r="CT404" t="s">
        <v>152</v>
      </c>
      <c r="CU404">
        <v>92.97</v>
      </c>
      <c r="CV404">
        <v>280</v>
      </c>
      <c r="CW404" s="46">
        <v>3244</v>
      </c>
      <c r="CX404" s="46">
        <f t="shared" si="45"/>
        <v>77.587834151663941</v>
      </c>
      <c r="CY404" s="46">
        <v>399.63</v>
      </c>
      <c r="CZ404" s="46">
        <f t="shared" si="46"/>
        <v>88.488816148390612</v>
      </c>
      <c r="DA404" s="46">
        <f t="shared" si="47"/>
        <v>960.17707464771763</v>
      </c>
      <c r="DB404" s="46">
        <v>3903724.72</v>
      </c>
      <c r="DC404" s="46">
        <f t="shared" si="48"/>
        <v>44.599188809606382</v>
      </c>
      <c r="DD404" s="46">
        <v>181323.8</v>
      </c>
      <c r="DE404" s="995">
        <v>3244</v>
      </c>
      <c r="DF404" s="995">
        <v>77.587999999999994</v>
      </c>
      <c r="DG404" s="995">
        <v>399.6</v>
      </c>
      <c r="DH404" s="995">
        <v>88.489000000000004</v>
      </c>
      <c r="DI404" s="995">
        <v>1777.694</v>
      </c>
      <c r="DJ404" s="995">
        <v>7227454</v>
      </c>
      <c r="DK404" s="995">
        <v>82.481999999999999</v>
      </c>
      <c r="DL404" s="995">
        <v>335342.40000000002</v>
      </c>
      <c r="DM404" s="995">
        <v>3244</v>
      </c>
      <c r="DN404" s="995">
        <v>77.587999999999994</v>
      </c>
      <c r="DO404" s="995">
        <v>399.6</v>
      </c>
      <c r="DP404" s="995">
        <v>88.489000000000004</v>
      </c>
      <c r="DQ404" s="995">
        <v>1777.694</v>
      </c>
      <c r="DR404" s="995">
        <v>7227454</v>
      </c>
      <c r="DS404" s="995">
        <v>82.481999999999999</v>
      </c>
      <c r="DT404" s="995">
        <v>335342.40000000002</v>
      </c>
    </row>
    <row r="405" spans="1:124">
      <c r="A405" s="42" t="s">
        <v>94</v>
      </c>
      <c r="B405" s="42" t="s">
        <v>510</v>
      </c>
      <c r="C405" s="42" t="s">
        <v>620</v>
      </c>
      <c r="D405" s="42">
        <v>802341</v>
      </c>
      <c r="E405" s="42" t="s">
        <v>622</v>
      </c>
      <c r="F405" s="42" t="s">
        <v>149</v>
      </c>
      <c r="G405" s="42" t="s">
        <v>150</v>
      </c>
      <c r="H405" s="43" t="s">
        <v>150</v>
      </c>
      <c r="I405" s="44">
        <v>18</v>
      </c>
      <c r="J405" s="45">
        <v>190368.10800000001</v>
      </c>
      <c r="K405" s="46">
        <v>8784.3812500000004</v>
      </c>
      <c r="L405" s="47">
        <v>199152.48925000001</v>
      </c>
      <c r="M405" s="48">
        <v>3958260</v>
      </c>
      <c r="N405" s="49">
        <v>2727349</v>
      </c>
      <c r="O405" s="49">
        <v>1228949</v>
      </c>
      <c r="P405" s="49">
        <v>1962</v>
      </c>
      <c r="Q405" s="50">
        <v>9136.9521478059996</v>
      </c>
      <c r="R405" s="51">
        <v>7399.0832063301796</v>
      </c>
      <c r="S405" s="49">
        <v>12495.716238663401</v>
      </c>
      <c r="T405" s="49">
        <v>1949.8628808354699</v>
      </c>
      <c r="U405" s="49">
        <f>IFERROR(INDEX('Rentabilidad datos'!$N$2:$N$61,MATCH($C405,'Rentabilidad datos'!$C$2:$C$61,0)),"")</f>
        <v>21844.662325829013</v>
      </c>
      <c r="V405" s="50">
        <f>IFERROR(INDEX('Rentabilidad datos'!$O$2:$O$61,MATCH($C405,'Rentabilidad datos'!$C$2:$C$61,0)),"")</f>
        <v>1560.3330232735009</v>
      </c>
      <c r="W405" s="51">
        <f>IFERROR(INDEX('Rentabilidad datos'!$M$2:$M$61,MATCH($C405,'Rentabilidad datos'!$C$2:$C$61,0)),"")</f>
        <v>3158.6335789532814</v>
      </c>
      <c r="X405" s="52">
        <f>IFERROR(INDEX('Rentabilidad datos'!$P$2:$P$61,MATCH($C405,'Rentabilidad datos'!$C$2:$C$61,0)),"")</f>
        <v>0.49398988020337875</v>
      </c>
      <c r="Y405" s="43" t="s">
        <v>171</v>
      </c>
      <c r="Z405" s="53">
        <v>70.240384615384599</v>
      </c>
      <c r="AA405" s="43">
        <v>1</v>
      </c>
      <c r="AB405" s="54">
        <v>0.97035389287212059</v>
      </c>
      <c r="AC405" s="55">
        <v>2.964610712787942E-2</v>
      </c>
      <c r="AD405" s="752" t="e">
        <f>_xlfn.XLOOKUP(Table1[[#This Row],[Ruta]],#REF!,#REF!)</f>
        <v>#REF!</v>
      </c>
      <c r="AE405" s="752" t="e">
        <f>_xlfn.XLOOKUP(Table1[[#This Row],[Ruta]],#REF!,#REF!)</f>
        <v>#REF!</v>
      </c>
      <c r="AF405" s="752" t="e">
        <f>_xlfn.XLOOKUP(Table1[[#This Row],[Ruta]],#REF!,#REF!)</f>
        <v>#REF!</v>
      </c>
      <c r="AG405" s="752" t="e">
        <f>_xlfn.XLOOKUP(Table1[[#This Row],[Ruta]],#REF!,#REF!)</f>
        <v>#REF!</v>
      </c>
      <c r="AH405" s="52">
        <v>0.68902724934693527</v>
      </c>
      <c r="AI405" s="52">
        <v>0.31047707831218768</v>
      </c>
      <c r="AJ405" s="55">
        <v>4.9567234087705202E-4</v>
      </c>
      <c r="AK405" s="56">
        <v>29220</v>
      </c>
      <c r="AL405" s="44">
        <v>13202</v>
      </c>
      <c r="AM405" s="54">
        <v>0.43507871321012997</v>
      </c>
      <c r="AN405" s="55">
        <v>0.44443503778800603</v>
      </c>
      <c r="AO405" s="56">
        <v>273.39180416554001</v>
      </c>
      <c r="AP405" s="48">
        <v>136.69590208277</v>
      </c>
      <c r="AQ405" s="55">
        <v>0.45649198843541311</v>
      </c>
      <c r="AR405" s="51">
        <v>3956300.28</v>
      </c>
      <c r="AS405" s="49">
        <v>40964.250544229297</v>
      </c>
      <c r="AT405" s="55">
        <v>1.0354181342430687E-2</v>
      </c>
      <c r="AU405" s="51">
        <v>28785.689571620598</v>
      </c>
      <c r="AV405" s="52">
        <v>1.3094882592645321E-4</v>
      </c>
      <c r="AW405" s="44">
        <v>451</v>
      </c>
      <c r="AX405" s="51">
        <v>299.67431298288102</v>
      </c>
      <c r="AY405" s="49">
        <v>340.62823346620098</v>
      </c>
      <c r="AZ405" s="49">
        <v>40.953920483319962</v>
      </c>
      <c r="BA405" s="42" t="s">
        <v>150</v>
      </c>
      <c r="BB405" s="50">
        <v>189966.42045595334</v>
      </c>
      <c r="BC405" s="57">
        <v>218752.11002757394</v>
      </c>
      <c r="BD405" s="42" t="s">
        <v>150</v>
      </c>
      <c r="BE405" s="46">
        <v>70.240384615384599</v>
      </c>
      <c r="BF405" s="46">
        <v>72.425990467051307</v>
      </c>
      <c r="BG405" s="42" t="s">
        <v>152</v>
      </c>
      <c r="BH405" s="52">
        <v>0.43507871321012997</v>
      </c>
      <c r="BI405" s="52">
        <v>0.49337264070319697</v>
      </c>
      <c r="BJ405" s="42" t="s">
        <v>152</v>
      </c>
      <c r="BK405" s="46">
        <v>459.93646478059998</v>
      </c>
      <c r="BL405" s="46">
        <v>605.59017138979505</v>
      </c>
      <c r="BM405" s="42" t="s">
        <v>152</v>
      </c>
      <c r="BN405" s="48">
        <v>0</v>
      </c>
      <c r="BO405" s="42" t="s">
        <v>155</v>
      </c>
      <c r="BP405" s="42" t="s">
        <v>152</v>
      </c>
      <c r="BQ405" s="46">
        <v>0</v>
      </c>
      <c r="BR405" s="46">
        <v>102</v>
      </c>
      <c r="BS405" s="46">
        <v>4596</v>
      </c>
      <c r="BT405" s="46">
        <v>1552</v>
      </c>
      <c r="BU405" s="46">
        <v>2.9613402061855671</v>
      </c>
      <c r="BV405" s="46">
        <v>15.215686274509803</v>
      </c>
      <c r="BW405" s="46">
        <v>0</v>
      </c>
      <c r="BX405" s="46">
        <v>1219</v>
      </c>
      <c r="BY405" s="46">
        <v>1219</v>
      </c>
      <c r="BZ405" s="46">
        <v>0.78543814432989689</v>
      </c>
      <c r="CA405" s="46">
        <v>0</v>
      </c>
      <c r="CB405" s="46">
        <v>0.78543814432989689</v>
      </c>
      <c r="CC405" s="46">
        <v>0</v>
      </c>
      <c r="CD405" s="46">
        <v>0</v>
      </c>
      <c r="CE405" s="46">
        <v>0</v>
      </c>
      <c r="CF405" s="46">
        <v>0.21456185567010308</v>
      </c>
      <c r="CG405" s="46">
        <v>0</v>
      </c>
      <c r="CH405" s="46">
        <v>0</v>
      </c>
      <c r="CI405" s="46">
        <v>7.397737162750218</v>
      </c>
      <c r="CJ405" s="46">
        <v>0.8703220191470844</v>
      </c>
      <c r="CK405">
        <v>253</v>
      </c>
      <c r="CL405">
        <v>383.83</v>
      </c>
      <c r="CM405">
        <f t="shared" si="49"/>
        <v>130.82999999999998</v>
      </c>
      <c r="CN405">
        <v>7.31</v>
      </c>
      <c r="CO405">
        <v>9.4499999999999993</v>
      </c>
      <c r="CP405">
        <f t="shared" si="50"/>
        <v>2.1399999999999997</v>
      </c>
      <c r="CQ405">
        <v>846.56</v>
      </c>
      <c r="CR405">
        <v>459.94</v>
      </c>
      <c r="CS405">
        <f t="shared" si="51"/>
        <v>386.61999999999995</v>
      </c>
      <c r="CT405" t="s">
        <v>152</v>
      </c>
      <c r="CU405">
        <v>80.78</v>
      </c>
      <c r="CV405">
        <v>221</v>
      </c>
      <c r="CW405" s="46">
        <v>1203</v>
      </c>
      <c r="CX405" s="46">
        <f t="shared" si="45"/>
        <v>69.083118556701038</v>
      </c>
      <c r="CY405" s="46">
        <v>130.83000000000001</v>
      </c>
      <c r="CZ405" s="46">
        <f t="shared" si="46"/>
        <v>77.512886597938149</v>
      </c>
      <c r="DA405" s="46">
        <f t="shared" si="47"/>
        <v>782.91090009091829</v>
      </c>
      <c r="DB405" s="46">
        <v>1317505.95</v>
      </c>
      <c r="DC405" s="46">
        <f t="shared" si="48"/>
        <v>37.924650737151111</v>
      </c>
      <c r="DD405" s="46">
        <v>63820.74</v>
      </c>
      <c r="DE405" s="995">
        <v>1203</v>
      </c>
      <c r="DF405" s="995">
        <v>69.400000000000006</v>
      </c>
      <c r="DG405" s="995">
        <v>125.9</v>
      </c>
      <c r="DH405" s="995">
        <v>77.513000000000005</v>
      </c>
      <c r="DI405" s="995">
        <v>2247.31</v>
      </c>
      <c r="DJ405" s="995">
        <v>3770794</v>
      </c>
      <c r="DK405" s="995">
        <v>112.851</v>
      </c>
      <c r="DL405" s="995">
        <v>189354.2</v>
      </c>
      <c r="DM405" s="995">
        <v>1203</v>
      </c>
      <c r="DN405" s="995">
        <v>70.295000000000002</v>
      </c>
      <c r="DO405" s="995">
        <v>112</v>
      </c>
      <c r="DP405" s="995">
        <v>77.513000000000005</v>
      </c>
      <c r="DQ405" s="995">
        <v>2184.5320000000002</v>
      </c>
      <c r="DR405" s="995">
        <v>3635101</v>
      </c>
      <c r="DS405" s="995">
        <v>109.955</v>
      </c>
      <c r="DT405" s="995">
        <v>182967.7</v>
      </c>
    </row>
    <row r="406" spans="1:124">
      <c r="A406" s="42" t="s">
        <v>94</v>
      </c>
      <c r="B406" s="42" t="s">
        <v>510</v>
      </c>
      <c r="C406" s="42" t="s">
        <v>620</v>
      </c>
      <c r="D406" s="42">
        <v>802342</v>
      </c>
      <c r="E406" s="42" t="s">
        <v>623</v>
      </c>
      <c r="F406" s="42" t="s">
        <v>149</v>
      </c>
      <c r="G406" s="42" t="s">
        <v>150</v>
      </c>
      <c r="H406" s="43" t="s">
        <v>150</v>
      </c>
      <c r="I406" s="44">
        <v>18</v>
      </c>
      <c r="J406" s="45">
        <v>208969.902399999</v>
      </c>
      <c r="K406" s="46">
        <v>9254.3862750000008</v>
      </c>
      <c r="L406" s="47">
        <v>218224.28867499999</v>
      </c>
      <c r="M406" s="48">
        <v>4231365</v>
      </c>
      <c r="N406" s="49">
        <v>3041582</v>
      </c>
      <c r="O406" s="49">
        <v>1186731</v>
      </c>
      <c r="P406" s="49">
        <v>3052</v>
      </c>
      <c r="Q406" s="50">
        <v>9742.6541935483892</v>
      </c>
      <c r="R406" s="51">
        <v>7399.0832063301796</v>
      </c>
      <c r="S406" s="49">
        <v>12495.716238663401</v>
      </c>
      <c r="T406" s="49">
        <v>1949.8628808354699</v>
      </c>
      <c r="U406" s="49">
        <f>IFERROR(INDEX('Rentabilidad datos'!$N$2:$N$61,MATCH($C406,'Rentabilidad datos'!$C$2:$C$61,0)),"")</f>
        <v>21844.662325829013</v>
      </c>
      <c r="V406" s="50">
        <f>IFERROR(INDEX('Rentabilidad datos'!$O$2:$O$61,MATCH($C406,'Rentabilidad datos'!$C$2:$C$61,0)),"")</f>
        <v>1560.3330232735009</v>
      </c>
      <c r="W406" s="51">
        <f>IFERROR(INDEX('Rentabilidad datos'!$M$2:$M$61,MATCH($C406,'Rentabilidad datos'!$C$2:$C$61,0)),"")</f>
        <v>3158.6335789532814</v>
      </c>
      <c r="X406" s="52">
        <f>IFERROR(INDEX('Rentabilidad datos'!$P$2:$P$61,MATCH($C406,'Rentabilidad datos'!$C$2:$C$61,0)),"")</f>
        <v>0.49398988020337875</v>
      </c>
      <c r="Y406" s="43" t="s">
        <v>171</v>
      </c>
      <c r="Z406" s="53">
        <v>115.827188940092</v>
      </c>
      <c r="AA406" s="43">
        <v>1</v>
      </c>
      <c r="AB406" s="54">
        <v>0.97549443264762081</v>
      </c>
      <c r="AC406" s="55">
        <v>2.4505567352379198E-2</v>
      </c>
      <c r="AD406" s="752" t="e">
        <f>_xlfn.XLOOKUP(Table1[[#This Row],[Ruta]],#REF!,#REF!)</f>
        <v>#REF!</v>
      </c>
      <c r="AE406" s="752" t="e">
        <f>_xlfn.XLOOKUP(Table1[[#This Row],[Ruta]],#REF!,#REF!)</f>
        <v>#REF!</v>
      </c>
      <c r="AF406" s="752" t="e">
        <f>_xlfn.XLOOKUP(Table1[[#This Row],[Ruta]],#REF!,#REF!)</f>
        <v>#REF!</v>
      </c>
      <c r="AG406" s="752" t="e">
        <f>_xlfn.XLOOKUP(Table1[[#This Row],[Ruta]],#REF!,#REF!)</f>
        <v>#REF!</v>
      </c>
      <c r="AH406" s="52">
        <v>0.71881815915195213</v>
      </c>
      <c r="AI406" s="52">
        <v>0.28046056059923924</v>
      </c>
      <c r="AJ406" s="55">
        <v>7.2128024880859962E-4</v>
      </c>
      <c r="AK406" s="56">
        <v>50269</v>
      </c>
      <c r="AL406" s="44">
        <v>19750</v>
      </c>
      <c r="AM406" s="54">
        <v>0.39288627185740699</v>
      </c>
      <c r="AN406" s="55">
        <v>0.44443503778800603</v>
      </c>
      <c r="AO406" s="56">
        <v>2591.3049145652799</v>
      </c>
      <c r="AP406" s="48">
        <v>1295.6524572826399</v>
      </c>
      <c r="AQ406" s="55">
        <v>0.41866065482270659</v>
      </c>
      <c r="AR406" s="51">
        <v>4228311.92</v>
      </c>
      <c r="AS406" s="49">
        <v>277388.49262306199</v>
      </c>
      <c r="AT406" s="55">
        <v>6.5602656064943754E-2</v>
      </c>
      <c r="AU406" s="51">
        <v>194921.64346485445</v>
      </c>
      <c r="AV406" s="52">
        <v>8.8671700206695411E-4</v>
      </c>
      <c r="AW406" s="44">
        <v>315</v>
      </c>
      <c r="AX406" s="51">
        <v>214.09174278481001</v>
      </c>
      <c r="AY406" s="49">
        <v>340.62823346620098</v>
      </c>
      <c r="AZ406" s="49">
        <v>126.53649068139097</v>
      </c>
      <c r="BA406" s="42" t="s">
        <v>150</v>
      </c>
      <c r="BB406" s="50">
        <v>878060.64817424712</v>
      </c>
      <c r="BC406" s="57">
        <v>1072982.2916391017</v>
      </c>
      <c r="BD406" s="42" t="s">
        <v>150</v>
      </c>
      <c r="BE406" s="46">
        <v>115.827188940092</v>
      </c>
      <c r="BF406" s="46">
        <v>72.425990467051307</v>
      </c>
      <c r="BG406" s="42" t="s">
        <v>150</v>
      </c>
      <c r="BH406" s="52">
        <v>0.39288627185740699</v>
      </c>
      <c r="BI406" s="52">
        <v>0.49337264070319697</v>
      </c>
      <c r="BJ406" s="42" t="s">
        <v>152</v>
      </c>
      <c r="BK406" s="46">
        <v>502.820941647464</v>
      </c>
      <c r="BL406" s="46">
        <v>605.59017138979505</v>
      </c>
      <c r="BM406" s="42" t="s">
        <v>152</v>
      </c>
      <c r="BN406" s="48">
        <v>1</v>
      </c>
      <c r="BO406" s="42" t="s">
        <v>155</v>
      </c>
      <c r="BP406" s="42" t="s">
        <v>152</v>
      </c>
      <c r="BQ406" s="46">
        <v>0</v>
      </c>
      <c r="BR406" s="46">
        <v>192</v>
      </c>
      <c r="BS406" s="46">
        <v>19637</v>
      </c>
      <c r="BT406" s="46">
        <v>6154</v>
      </c>
      <c r="BU406" s="46">
        <v>3.190932726681833</v>
      </c>
      <c r="BV406" s="46">
        <v>32.052083333333336</v>
      </c>
      <c r="BW406" s="46">
        <v>0</v>
      </c>
      <c r="BX406" s="46">
        <v>3817</v>
      </c>
      <c r="BY406" s="46">
        <v>3817</v>
      </c>
      <c r="BZ406" s="46">
        <v>0.62024699382515436</v>
      </c>
      <c r="CA406" s="46">
        <v>0</v>
      </c>
      <c r="CB406" s="46">
        <v>0.62024699382515436</v>
      </c>
      <c r="CC406" s="46">
        <v>0.37975300617484553</v>
      </c>
      <c r="CD406" s="46">
        <v>0</v>
      </c>
      <c r="CE406" s="46">
        <v>0</v>
      </c>
      <c r="CF406" s="46">
        <v>0</v>
      </c>
      <c r="CG406" s="46">
        <v>0</v>
      </c>
      <c r="CH406" s="46">
        <v>0</v>
      </c>
      <c r="CI406" s="46">
        <v>3.8193206701634668</v>
      </c>
      <c r="CJ406" s="46">
        <v>0.40739420481743649</v>
      </c>
      <c r="CK406">
        <v>433</v>
      </c>
      <c r="CL406">
        <v>745.16</v>
      </c>
      <c r="CM406">
        <f t="shared" si="49"/>
        <v>312.15999999999997</v>
      </c>
      <c r="CN406">
        <v>11.55</v>
      </c>
      <c r="CO406">
        <v>9.4499999999999993</v>
      </c>
      <c r="CP406">
        <f t="shared" si="50"/>
        <v>-2.1000000000000014</v>
      </c>
      <c r="CQ406">
        <v>846.56</v>
      </c>
      <c r="CR406">
        <v>502.82</v>
      </c>
      <c r="CS406">
        <f t="shared" si="51"/>
        <v>343.73999999999995</v>
      </c>
      <c r="CT406" t="s">
        <v>150</v>
      </c>
      <c r="CU406">
        <v>123.67</v>
      </c>
      <c r="CV406">
        <v>268</v>
      </c>
      <c r="CW406" s="46">
        <v>3817</v>
      </c>
      <c r="CX406" s="46">
        <f t="shared" si="45"/>
        <v>56.952226194345144</v>
      </c>
      <c r="CY406" s="46">
        <v>312.16000000000003</v>
      </c>
      <c r="CZ406" s="46">
        <f t="shared" si="46"/>
        <v>62.024699382515436</v>
      </c>
      <c r="DA406" s="46">
        <f t="shared" si="47"/>
        <v>624.12628515223878</v>
      </c>
      <c r="DB406" s="46">
        <v>4035700.42</v>
      </c>
      <c r="DC406" s="46">
        <f t="shared" si="48"/>
        <v>31.949800190530389</v>
      </c>
      <c r="DD406" s="46">
        <v>206592.52</v>
      </c>
      <c r="DE406" s="995">
        <v>3817</v>
      </c>
      <c r="DF406" s="995">
        <v>57.15</v>
      </c>
      <c r="DG406" s="995">
        <v>300</v>
      </c>
      <c r="DH406" s="995">
        <v>62.024999999999999</v>
      </c>
      <c r="DI406" s="995">
        <v>1090.828</v>
      </c>
      <c r="DJ406" s="995">
        <v>7040173</v>
      </c>
      <c r="DK406" s="995">
        <v>55.686999999999998</v>
      </c>
      <c r="DL406" s="995">
        <v>359405.4</v>
      </c>
      <c r="DM406" s="995">
        <v>3817</v>
      </c>
      <c r="DN406" s="995">
        <v>57.27</v>
      </c>
      <c r="DO406" s="995">
        <v>292.60000000000002</v>
      </c>
      <c r="DP406" s="995">
        <v>62.024999999999999</v>
      </c>
      <c r="DQ406" s="995">
        <v>1085.9090000000001</v>
      </c>
      <c r="DR406" s="995">
        <v>7000399</v>
      </c>
      <c r="DS406" s="995">
        <v>55.433999999999997</v>
      </c>
      <c r="DT406" s="995">
        <v>357362</v>
      </c>
    </row>
    <row r="407" spans="1:124">
      <c r="A407" s="42" t="s">
        <v>94</v>
      </c>
      <c r="B407" s="42" t="s">
        <v>510</v>
      </c>
      <c r="C407" s="42" t="s">
        <v>620</v>
      </c>
      <c r="D407" s="42">
        <v>802343</v>
      </c>
      <c r="E407" s="42" t="s">
        <v>624</v>
      </c>
      <c r="F407" s="42" t="s">
        <v>149</v>
      </c>
      <c r="G407" s="42" t="s">
        <v>150</v>
      </c>
      <c r="H407" s="43" t="s">
        <v>150</v>
      </c>
      <c r="I407" s="44">
        <v>18</v>
      </c>
      <c r="J407" s="45">
        <v>185447.31519999899</v>
      </c>
      <c r="K407" s="46">
        <v>10599.835999000001</v>
      </c>
      <c r="L407" s="47">
        <v>196047.15119900001</v>
      </c>
      <c r="M407" s="48">
        <v>4157354</v>
      </c>
      <c r="N407" s="49">
        <v>2708949</v>
      </c>
      <c r="O407" s="49">
        <v>1445300</v>
      </c>
      <c r="P407" s="49">
        <v>3105</v>
      </c>
      <c r="Q407" s="50">
        <v>9571.9940092165798</v>
      </c>
      <c r="R407" s="51">
        <v>7399.0832063301796</v>
      </c>
      <c r="S407" s="49">
        <v>12495.716238663401</v>
      </c>
      <c r="T407" s="49">
        <v>1949.8628808354699</v>
      </c>
      <c r="U407" s="49">
        <f>IFERROR(INDEX('Rentabilidad datos'!$N$2:$N$61,MATCH($C407,'Rentabilidad datos'!$C$2:$C$61,0)),"")</f>
        <v>21844.662325829013</v>
      </c>
      <c r="V407" s="50">
        <f>IFERROR(INDEX('Rentabilidad datos'!$O$2:$O$61,MATCH($C407,'Rentabilidad datos'!$C$2:$C$61,0)),"")</f>
        <v>1560.3330232735009</v>
      </c>
      <c r="W407" s="51">
        <f>IFERROR(INDEX('Rentabilidad datos'!$M$2:$M$61,MATCH($C407,'Rentabilidad datos'!$C$2:$C$61,0)),"")</f>
        <v>3158.6335789532814</v>
      </c>
      <c r="X407" s="52">
        <f>IFERROR(INDEX('Rentabilidad datos'!$P$2:$P$61,MATCH($C407,'Rentabilidad datos'!$C$2:$C$61,0)),"")</f>
        <v>0.49398988020337875</v>
      </c>
      <c r="Y407" s="43" t="s">
        <v>171</v>
      </c>
      <c r="Z407" s="53">
        <v>96.165394402035602</v>
      </c>
      <c r="AA407" s="43">
        <v>1</v>
      </c>
      <c r="AB407" s="54">
        <v>0.96206288903951886</v>
      </c>
      <c r="AC407" s="55">
        <v>3.7937110960481114E-2</v>
      </c>
      <c r="AD407" s="752" t="e">
        <f>_xlfn.XLOOKUP(Table1[[#This Row],[Ruta]],#REF!,#REF!)</f>
        <v>#REF!</v>
      </c>
      <c r="AE407" s="752" t="e">
        <f>_xlfn.XLOOKUP(Table1[[#This Row],[Ruta]],#REF!,#REF!)</f>
        <v>#REF!</v>
      </c>
      <c r="AF407" s="752" t="e">
        <f>_xlfn.XLOOKUP(Table1[[#This Row],[Ruta]],#REF!,#REF!)</f>
        <v>#REF!</v>
      </c>
      <c r="AG407" s="752" t="e">
        <f>_xlfn.XLOOKUP(Table1[[#This Row],[Ruta]],#REF!,#REF!)</f>
        <v>#REF!</v>
      </c>
      <c r="AH407" s="52">
        <v>0.65160412127521494</v>
      </c>
      <c r="AI407" s="52">
        <v>0.34764900944206339</v>
      </c>
      <c r="AJ407" s="55">
        <v>7.4686928272165419E-4</v>
      </c>
      <c r="AK407" s="56">
        <v>37793</v>
      </c>
      <c r="AL407" s="44">
        <v>16659</v>
      </c>
      <c r="AM407" s="54">
        <v>0.41044637895906699</v>
      </c>
      <c r="AN407" s="55">
        <v>0.44443503778800603</v>
      </c>
      <c r="AO407" s="56">
        <v>1284.5333831221101</v>
      </c>
      <c r="AP407" s="48">
        <v>642.26669156105504</v>
      </c>
      <c r="AQ407" s="55">
        <v>0.45779024400182716</v>
      </c>
      <c r="AR407" s="51">
        <v>4154245.4</v>
      </c>
      <c r="AS407" s="49">
        <v>160161.68131284849</v>
      </c>
      <c r="AT407" s="55">
        <v>3.8553736212321138E-2</v>
      </c>
      <c r="AU407" s="51">
        <v>112546.04632794764</v>
      </c>
      <c r="AV407" s="52">
        <v>5.1198261527278868E-4</v>
      </c>
      <c r="AW407" s="44">
        <v>386</v>
      </c>
      <c r="AX407" s="51">
        <v>249.36943393961201</v>
      </c>
      <c r="AY407" s="49">
        <v>340.62823346620098</v>
      </c>
      <c r="AZ407" s="49">
        <v>91.258799526588973</v>
      </c>
      <c r="BA407" s="42" t="s">
        <v>150</v>
      </c>
      <c r="BB407" s="50">
        <v>534152.55235337303</v>
      </c>
      <c r="BC407" s="57">
        <v>646698.59868132067</v>
      </c>
      <c r="BD407" s="42" t="s">
        <v>150</v>
      </c>
      <c r="BE407" s="46">
        <v>96.165394402035602</v>
      </c>
      <c r="BF407" s="46">
        <v>72.425990467051307</v>
      </c>
      <c r="BG407" s="42" t="s">
        <v>150</v>
      </c>
      <c r="BH407" s="52">
        <v>0.41044637895906699</v>
      </c>
      <c r="BI407" s="52">
        <v>0.49337264070319697</v>
      </c>
      <c r="BJ407" s="42" t="s">
        <v>152</v>
      </c>
      <c r="BK407" s="46">
        <v>451.72154654147403</v>
      </c>
      <c r="BL407" s="46">
        <v>605.59017138979505</v>
      </c>
      <c r="BM407" s="42" t="s">
        <v>152</v>
      </c>
      <c r="BN407" s="48">
        <v>1</v>
      </c>
      <c r="BO407" s="42" t="s">
        <v>155</v>
      </c>
      <c r="BP407" s="42" t="s">
        <v>152</v>
      </c>
      <c r="BQ407" s="46">
        <v>17999.6799697522</v>
      </c>
      <c r="BR407" s="46">
        <v>192</v>
      </c>
      <c r="BS407" s="46">
        <v>11834</v>
      </c>
      <c r="BT407" s="46">
        <v>3624</v>
      </c>
      <c r="BU407" s="46">
        <v>3.2654525386313464</v>
      </c>
      <c r="BV407" s="46">
        <v>18.875</v>
      </c>
      <c r="BW407" s="46">
        <v>0</v>
      </c>
      <c r="BX407" s="46">
        <v>2978</v>
      </c>
      <c r="BY407" s="46">
        <v>2978</v>
      </c>
      <c r="BZ407" s="46">
        <v>0.82174392935982343</v>
      </c>
      <c r="CA407" s="46">
        <v>0</v>
      </c>
      <c r="CB407" s="46">
        <v>0.82174392935982343</v>
      </c>
      <c r="CC407" s="46">
        <v>0.17439293598234001</v>
      </c>
      <c r="CD407" s="46">
        <v>0</v>
      </c>
      <c r="CE407" s="46">
        <v>0</v>
      </c>
      <c r="CF407" s="46">
        <v>3.8631346578366448E-3</v>
      </c>
      <c r="CG407" s="46">
        <v>0</v>
      </c>
      <c r="CH407" s="46">
        <v>0</v>
      </c>
      <c r="CI407" s="46">
        <v>5.9151597093121513</v>
      </c>
      <c r="CJ407" s="46">
        <v>0.59151597093121511</v>
      </c>
      <c r="CK407">
        <v>377</v>
      </c>
      <c r="CL407">
        <v>598.42999999999995</v>
      </c>
      <c r="CM407">
        <f t="shared" si="49"/>
        <v>221.42999999999995</v>
      </c>
      <c r="CN407">
        <v>8.68</v>
      </c>
      <c r="CO407">
        <v>9.4499999999999993</v>
      </c>
      <c r="CP407">
        <f t="shared" si="50"/>
        <v>0.76999999999999957</v>
      </c>
      <c r="CQ407">
        <v>846.56</v>
      </c>
      <c r="CR407">
        <v>451.72</v>
      </c>
      <c r="CS407">
        <f t="shared" si="51"/>
        <v>394.83999999999992</v>
      </c>
      <c r="CT407" t="s">
        <v>152</v>
      </c>
      <c r="CU407">
        <v>91.86</v>
      </c>
      <c r="CV407">
        <v>317</v>
      </c>
      <c r="CW407" s="46">
        <v>2978</v>
      </c>
      <c r="CX407" s="46">
        <f t="shared" si="45"/>
        <v>76.064293598234002</v>
      </c>
      <c r="CY407" s="46">
        <v>221.43</v>
      </c>
      <c r="CZ407" s="46">
        <f t="shared" si="46"/>
        <v>82.17439293598234</v>
      </c>
      <c r="DA407" s="46">
        <f t="shared" si="47"/>
        <v>848.56973342383037</v>
      </c>
      <c r="DB407" s="46">
        <v>3263115.51</v>
      </c>
      <c r="DC407" s="46">
        <f t="shared" si="48"/>
        <v>39.137914355481698</v>
      </c>
      <c r="DD407" s="46">
        <v>150502.10999999999</v>
      </c>
      <c r="DE407" s="995">
        <v>2978</v>
      </c>
      <c r="DF407" s="995">
        <v>76.073999999999998</v>
      </c>
      <c r="DG407" s="995">
        <v>221.1</v>
      </c>
      <c r="DH407" s="995">
        <v>82.174000000000007</v>
      </c>
      <c r="DI407" s="995">
        <v>1633.652</v>
      </c>
      <c r="DJ407" s="995">
        <v>6281546</v>
      </c>
      <c r="DK407" s="995">
        <v>75.771000000000001</v>
      </c>
      <c r="DL407" s="995">
        <v>291345</v>
      </c>
      <c r="DM407" s="995">
        <v>2978</v>
      </c>
      <c r="DN407" s="995">
        <v>76.100999999999999</v>
      </c>
      <c r="DO407" s="995">
        <v>220.1</v>
      </c>
      <c r="DP407" s="995">
        <v>82.174000000000007</v>
      </c>
      <c r="DQ407" s="995">
        <v>1631.2909999999999</v>
      </c>
      <c r="DR407" s="995">
        <v>6270829</v>
      </c>
      <c r="DS407" s="995">
        <v>75.650000000000006</v>
      </c>
      <c r="DT407" s="995">
        <v>290806.8</v>
      </c>
    </row>
    <row r="408" spans="1:124">
      <c r="A408" s="42" t="s">
        <v>94</v>
      </c>
      <c r="B408" s="42" t="s">
        <v>510</v>
      </c>
      <c r="C408" s="42" t="s">
        <v>620</v>
      </c>
      <c r="D408" s="42">
        <v>802344</v>
      </c>
      <c r="E408" s="42" t="s">
        <v>625</v>
      </c>
      <c r="F408" s="42" t="s">
        <v>149</v>
      </c>
      <c r="G408" s="42" t="s">
        <v>150</v>
      </c>
      <c r="H408" s="43" t="s">
        <v>150</v>
      </c>
      <c r="I408" s="44">
        <v>18</v>
      </c>
      <c r="J408" s="45">
        <v>290369.04399999999</v>
      </c>
      <c r="K408" s="46">
        <v>18777.545300000002</v>
      </c>
      <c r="L408" s="47">
        <v>309146.58929999999</v>
      </c>
      <c r="M408" s="48">
        <v>6544231</v>
      </c>
      <c r="N408" s="49">
        <v>4231862</v>
      </c>
      <c r="O408" s="49">
        <v>2304843</v>
      </c>
      <c r="P408" s="49">
        <v>7526</v>
      </c>
      <c r="Q408" s="50">
        <v>14654.568587444001</v>
      </c>
      <c r="R408" s="51">
        <v>7399.0832063301796</v>
      </c>
      <c r="S408" s="49">
        <v>12495.716238663401</v>
      </c>
      <c r="T408" s="49">
        <v>1949.8628808354699</v>
      </c>
      <c r="U408" s="49">
        <f>IFERROR(INDEX('Rentabilidad datos'!$N$2:$N$61,MATCH($C408,'Rentabilidad datos'!$C$2:$C$61,0)),"")</f>
        <v>21844.662325829013</v>
      </c>
      <c r="V408" s="50">
        <f>IFERROR(INDEX('Rentabilidad datos'!$O$2:$O$61,MATCH($C408,'Rentabilidad datos'!$C$2:$C$61,0)),"")</f>
        <v>1560.3330232735009</v>
      </c>
      <c r="W408" s="51">
        <f>IFERROR(INDEX('Rentabilidad datos'!$M$2:$M$61,MATCH($C408,'Rentabilidad datos'!$C$2:$C$61,0)),"")</f>
        <v>3158.6335789532814</v>
      </c>
      <c r="X408" s="52">
        <f>IFERROR(INDEX('Rentabilidad datos'!$P$2:$P$61,MATCH($C408,'Rentabilidad datos'!$C$2:$C$61,0)),"")</f>
        <v>0.49398988020337875</v>
      </c>
      <c r="Y408" s="43" t="s">
        <v>171</v>
      </c>
      <c r="Z408" s="53">
        <v>84.195061728395103</v>
      </c>
      <c r="AA408" s="43">
        <v>1</v>
      </c>
      <c r="AB408" s="54">
        <v>0.97943623933812851</v>
      </c>
      <c r="AC408" s="55">
        <v>2.0563760661871502E-2</v>
      </c>
      <c r="AD408" s="752" t="e">
        <f>_xlfn.XLOOKUP(Table1[[#This Row],[Ruta]],#REF!,#REF!)</f>
        <v>#REF!</v>
      </c>
      <c r="AE408" s="752" t="e">
        <f>_xlfn.XLOOKUP(Table1[[#This Row],[Ruta]],#REF!,#REF!)</f>
        <v>#REF!</v>
      </c>
      <c r="AF408" s="752" t="e">
        <f>_xlfn.XLOOKUP(Table1[[#This Row],[Ruta]],#REF!,#REF!)</f>
        <v>#REF!</v>
      </c>
      <c r="AG408" s="752" t="e">
        <f>_xlfn.XLOOKUP(Table1[[#This Row],[Ruta]],#REF!,#REF!)</f>
        <v>#REF!</v>
      </c>
      <c r="AH408" s="52">
        <v>0.64665535186639955</v>
      </c>
      <c r="AI408" s="52">
        <v>0.35219462760406839</v>
      </c>
      <c r="AJ408" s="55">
        <v>1.1500205295320413E-3</v>
      </c>
      <c r="AK408" s="56">
        <v>34099</v>
      </c>
      <c r="AL408" s="44">
        <v>22833</v>
      </c>
      <c r="AM408" s="54">
        <v>0.60726121000615896</v>
      </c>
      <c r="AN408" s="55">
        <v>0.44443503778800603</v>
      </c>
      <c r="AO408" s="56">
        <v>0</v>
      </c>
      <c r="AP408" s="48">
        <v>0</v>
      </c>
      <c r="AQ408" s="55">
        <v>0.66960907944514503</v>
      </c>
      <c r="AR408" s="51">
        <v>6535937.5899999999</v>
      </c>
      <c r="AS408" s="49">
        <v>0</v>
      </c>
      <c r="AT408" s="55">
        <v>0</v>
      </c>
      <c r="AU408" s="51">
        <v>0</v>
      </c>
      <c r="AV408" s="52">
        <v>0</v>
      </c>
      <c r="AW408" s="44">
        <v>490</v>
      </c>
      <c r="AX408" s="51">
        <v>286.24962072439001</v>
      </c>
      <c r="AY408" s="49">
        <v>340.62823346620098</v>
      </c>
      <c r="AZ408" s="49">
        <v>54.378612741810969</v>
      </c>
      <c r="BA408" s="42" t="s">
        <v>150</v>
      </c>
      <c r="BB408" s="50">
        <v>436247.27679835173</v>
      </c>
      <c r="BC408" s="57">
        <v>436247.27679835173</v>
      </c>
      <c r="BD408" s="42" t="s">
        <v>150</v>
      </c>
      <c r="BE408" s="46">
        <v>84.195061728395103</v>
      </c>
      <c r="BF408" s="46">
        <v>72.425990467051307</v>
      </c>
      <c r="BG408" s="42" t="s">
        <v>150</v>
      </c>
      <c r="BH408" s="52">
        <v>0.60726121000615896</v>
      </c>
      <c r="BI408" s="52">
        <v>0.49337264070319697</v>
      </c>
      <c r="BJ408" s="42" t="s">
        <v>150</v>
      </c>
      <c r="BK408" s="46">
        <v>693.15378766816104</v>
      </c>
      <c r="BL408" s="46">
        <v>605.59017138979505</v>
      </c>
      <c r="BM408" s="42" t="s">
        <v>150</v>
      </c>
      <c r="BN408" s="48">
        <v>3</v>
      </c>
      <c r="BO408" s="42" t="s">
        <v>153</v>
      </c>
      <c r="BP408" s="42" t="s">
        <v>150</v>
      </c>
      <c r="BQ408" s="46">
        <v>22495.868982937802</v>
      </c>
      <c r="BR408" s="46">
        <v>293</v>
      </c>
      <c r="BS408" s="46">
        <v>34505</v>
      </c>
      <c r="BT408" s="46">
        <v>8211</v>
      </c>
      <c r="BU408" s="46">
        <v>4.2022896114967727</v>
      </c>
      <c r="BV408" s="46">
        <v>28.023890784982935</v>
      </c>
      <c r="BW408" s="46">
        <v>0</v>
      </c>
      <c r="BX408" s="46">
        <v>0</v>
      </c>
      <c r="BY408" s="46">
        <v>0</v>
      </c>
      <c r="BZ408" s="46">
        <v>0</v>
      </c>
      <c r="CA408" s="46">
        <v>0</v>
      </c>
      <c r="CB408" s="46">
        <v>0</v>
      </c>
      <c r="CC408" s="46">
        <v>2.094750943855803E-2</v>
      </c>
      <c r="CD408" s="46">
        <v>5.0907319449518942E-2</v>
      </c>
      <c r="CE408" s="46">
        <v>0</v>
      </c>
      <c r="CF408" s="46">
        <v>0.92814517111192307</v>
      </c>
      <c r="CG408" s="46">
        <v>0</v>
      </c>
      <c r="CH408" s="46">
        <v>0</v>
      </c>
      <c r="CI408" s="46">
        <v>6.3179249384147216</v>
      </c>
      <c r="CJ408" s="46">
        <v>0.17388784234168961</v>
      </c>
      <c r="CK408">
        <v>415</v>
      </c>
      <c r="CL408">
        <v>415</v>
      </c>
      <c r="CM408">
        <f t="shared" si="49"/>
        <v>0</v>
      </c>
      <c r="CO408">
        <v>9.4499999999999993</v>
      </c>
      <c r="CP408">
        <f t="shared" si="50"/>
        <v>9.4499999999999993</v>
      </c>
      <c r="CS408">
        <f t="shared" si="51"/>
        <v>0</v>
      </c>
      <c r="CV408">
        <v>0</v>
      </c>
      <c r="CW408" s="46">
        <v>0</v>
      </c>
      <c r="CX408" s="46">
        <f t="shared" si="45"/>
        <v>0</v>
      </c>
      <c r="CY408" s="46">
        <v>0</v>
      </c>
      <c r="CZ408" s="46">
        <f t="shared" si="46"/>
        <v>0</v>
      </c>
      <c r="DA408" s="46">
        <f t="shared" si="47"/>
        <v>0</v>
      </c>
      <c r="DB408" s="46">
        <v>0</v>
      </c>
      <c r="DC408" s="46">
        <f t="shared" si="48"/>
        <v>0</v>
      </c>
      <c r="DD408" s="46">
        <v>0</v>
      </c>
      <c r="DE408" s="995">
        <v>0</v>
      </c>
      <c r="DF408" s="995">
        <v>0</v>
      </c>
      <c r="DG408" s="995">
        <v>0</v>
      </c>
      <c r="DH408" s="995">
        <v>0</v>
      </c>
      <c r="DI408" s="995">
        <v>608.57000000000005</v>
      </c>
      <c r="DJ408" s="995">
        <v>4996964</v>
      </c>
      <c r="DK408" s="995">
        <v>27.099</v>
      </c>
      <c r="DL408" s="995">
        <v>222507.6</v>
      </c>
      <c r="DM408" s="995">
        <v>0</v>
      </c>
      <c r="DN408" s="995">
        <v>0</v>
      </c>
      <c r="DO408" s="995">
        <v>0</v>
      </c>
      <c r="DP408" s="995">
        <v>0</v>
      </c>
      <c r="DQ408" s="995">
        <v>608.57000000000005</v>
      </c>
      <c r="DR408" s="995">
        <v>4996964</v>
      </c>
      <c r="DS408" s="995">
        <v>27.099</v>
      </c>
      <c r="DT408" s="995">
        <v>222507.6</v>
      </c>
    </row>
    <row r="409" spans="1:124">
      <c r="A409" s="42" t="s">
        <v>94</v>
      </c>
      <c r="B409" s="42" t="s">
        <v>510</v>
      </c>
      <c r="C409" s="42" t="s">
        <v>620</v>
      </c>
      <c r="D409" s="42">
        <v>802345</v>
      </c>
      <c r="E409" s="42" t="s">
        <v>626</v>
      </c>
      <c r="F409" s="42" t="s">
        <v>149</v>
      </c>
      <c r="G409" s="42" t="s">
        <v>150</v>
      </c>
      <c r="H409" s="43" t="s">
        <v>150</v>
      </c>
      <c r="I409" s="44">
        <v>18</v>
      </c>
      <c r="J409" s="45">
        <v>209110.939296</v>
      </c>
      <c r="K409" s="46">
        <v>10602.806984999999</v>
      </c>
      <c r="L409" s="47">
        <v>219713.746281</v>
      </c>
      <c r="M409" s="48">
        <v>4451736</v>
      </c>
      <c r="N409" s="49">
        <v>3016029</v>
      </c>
      <c r="O409" s="49">
        <v>1430879</v>
      </c>
      <c r="P409" s="49">
        <v>4828</v>
      </c>
      <c r="Q409" s="50">
        <v>10199.335068807301</v>
      </c>
      <c r="R409" s="51">
        <v>7399.0832063301796</v>
      </c>
      <c r="S409" s="49">
        <v>12495.716238663401</v>
      </c>
      <c r="T409" s="49">
        <v>1949.8628808354699</v>
      </c>
      <c r="U409" s="49">
        <f>IFERROR(INDEX('Rentabilidad datos'!$N$2:$N$61,MATCH($C409,'Rentabilidad datos'!$C$2:$C$61,0)),"")</f>
        <v>21844.662325829013</v>
      </c>
      <c r="V409" s="50">
        <f>IFERROR(INDEX('Rentabilidad datos'!$O$2:$O$61,MATCH($C409,'Rentabilidad datos'!$C$2:$C$61,0)),"")</f>
        <v>1560.3330232735009</v>
      </c>
      <c r="W409" s="51">
        <f>IFERROR(INDEX('Rentabilidad datos'!$M$2:$M$61,MATCH($C409,'Rentabilidad datos'!$C$2:$C$61,0)),"")</f>
        <v>3158.6335789532814</v>
      </c>
      <c r="X409" s="52">
        <f>IFERROR(INDEX('Rentabilidad datos'!$P$2:$P$61,MATCH($C409,'Rentabilidad datos'!$C$2:$C$61,0)),"")</f>
        <v>0.49398988020337875</v>
      </c>
      <c r="Y409" s="43" t="s">
        <v>171</v>
      </c>
      <c r="Z409" s="53">
        <v>93.672018348623794</v>
      </c>
      <c r="AA409" s="43">
        <v>1</v>
      </c>
      <c r="AB409" s="54">
        <v>0.97176135332373703</v>
      </c>
      <c r="AC409" s="55">
        <v>2.8238646676262923E-2</v>
      </c>
      <c r="AD409" s="752" t="e">
        <f>_xlfn.XLOOKUP(Table1[[#This Row],[Ruta]],#REF!,#REF!)</f>
        <v>#REF!</v>
      </c>
      <c r="AE409" s="752" t="e">
        <f>_xlfn.XLOOKUP(Table1[[#This Row],[Ruta]],#REF!,#REF!)</f>
        <v>#REF!</v>
      </c>
      <c r="AF409" s="752" t="e">
        <f>_xlfn.XLOOKUP(Table1[[#This Row],[Ruta]],#REF!,#REF!)</f>
        <v>#REF!</v>
      </c>
      <c r="AG409" s="752" t="e">
        <f>_xlfn.XLOOKUP(Table1[[#This Row],[Ruta]],#REF!,#REF!)</f>
        <v>#REF!</v>
      </c>
      <c r="AH409" s="52">
        <v>0.67749502665926287</v>
      </c>
      <c r="AI409" s="52">
        <v>0.32142045260545549</v>
      </c>
      <c r="AJ409" s="55">
        <v>1.0845207352816969E-3</v>
      </c>
      <c r="AK409" s="56">
        <v>40841</v>
      </c>
      <c r="AL409" s="44">
        <v>16929</v>
      </c>
      <c r="AM409" s="54">
        <v>0.41450992874807202</v>
      </c>
      <c r="AN409" s="55">
        <v>0.44443503778800603</v>
      </c>
      <c r="AO409" s="56">
        <v>1222.17137829996</v>
      </c>
      <c r="AP409" s="48">
        <v>611.08568914998</v>
      </c>
      <c r="AQ409" s="55">
        <v>0.42947248326803894</v>
      </c>
      <c r="AR409" s="51">
        <v>4446910.09</v>
      </c>
      <c r="AS409" s="49">
        <v>160520.002181797</v>
      </c>
      <c r="AT409" s="55">
        <v>3.6096974963079814E-2</v>
      </c>
      <c r="AU409" s="51">
        <v>112797.83937099253</v>
      </c>
      <c r="AV409" s="52">
        <v>5.1312804565343455E-4</v>
      </c>
      <c r="AW409" s="44">
        <v>385</v>
      </c>
      <c r="AX409" s="51">
        <v>262.68002185598698</v>
      </c>
      <c r="AY409" s="49">
        <v>340.62823346620098</v>
      </c>
      <c r="AZ409" s="49">
        <v>77.948211610214003</v>
      </c>
      <c r="BA409" s="42" t="s">
        <v>150</v>
      </c>
      <c r="BB409" s="50">
        <v>463638.06936597492</v>
      </c>
      <c r="BC409" s="57">
        <v>576435.90873696748</v>
      </c>
      <c r="BD409" s="42" t="s">
        <v>150</v>
      </c>
      <c r="BE409" s="46">
        <v>93.672018348623894</v>
      </c>
      <c r="BF409" s="46">
        <v>72.425990467051307</v>
      </c>
      <c r="BG409" s="42" t="s">
        <v>150</v>
      </c>
      <c r="BH409" s="52">
        <v>0.41450992874807202</v>
      </c>
      <c r="BI409" s="52">
        <v>0.49337264070319697</v>
      </c>
      <c r="BJ409" s="42" t="s">
        <v>152</v>
      </c>
      <c r="BK409" s="46">
        <v>503.93061073623801</v>
      </c>
      <c r="BL409" s="46">
        <v>605.59017138979505</v>
      </c>
      <c r="BM409" s="42" t="s">
        <v>152</v>
      </c>
      <c r="BN409" s="48">
        <v>1</v>
      </c>
      <c r="BO409" s="42" t="s">
        <v>155</v>
      </c>
      <c r="BP409" s="42" t="s">
        <v>152</v>
      </c>
      <c r="BQ409" s="46">
        <v>10718.750898206299</v>
      </c>
      <c r="BR409" s="46">
        <v>144</v>
      </c>
      <c r="BS409" s="46">
        <v>14124</v>
      </c>
      <c r="BT409" s="46">
        <v>3855</v>
      </c>
      <c r="BU409" s="46">
        <v>3.6638132295719843</v>
      </c>
      <c r="BV409" s="46">
        <v>26.770833333333332</v>
      </c>
      <c r="BW409" s="46">
        <v>0</v>
      </c>
      <c r="BX409" s="46">
        <v>1768</v>
      </c>
      <c r="BY409" s="46">
        <v>1768</v>
      </c>
      <c r="BZ409" s="46">
        <v>0.45862516212710763</v>
      </c>
      <c r="CA409" s="46">
        <v>0</v>
      </c>
      <c r="CB409" s="46">
        <v>0.45862516212710758</v>
      </c>
      <c r="CC409" s="46">
        <v>8.7937743190661485E-2</v>
      </c>
      <c r="CD409" s="46">
        <v>0</v>
      </c>
      <c r="CE409" s="46">
        <v>0</v>
      </c>
      <c r="CF409" s="46">
        <v>0.45343709468223092</v>
      </c>
      <c r="CG409" s="46">
        <v>0</v>
      </c>
      <c r="CH409" s="46">
        <v>0</v>
      </c>
      <c r="CI409" s="46">
        <v>6.1597281223449452</v>
      </c>
      <c r="CJ409" s="46">
        <v>0.28320589068252622</v>
      </c>
      <c r="CK409">
        <v>381</v>
      </c>
      <c r="CL409">
        <v>505.49</v>
      </c>
      <c r="CM409">
        <f t="shared" si="49"/>
        <v>124.49000000000001</v>
      </c>
      <c r="CN409">
        <v>5.95</v>
      </c>
      <c r="CO409">
        <v>9.4499999999999993</v>
      </c>
      <c r="CP409">
        <f t="shared" si="50"/>
        <v>3.4999999999999991</v>
      </c>
      <c r="CQ409">
        <v>564.37</v>
      </c>
      <c r="CR409">
        <v>503.93</v>
      </c>
      <c r="CS409">
        <f t="shared" si="51"/>
        <v>60.44</v>
      </c>
      <c r="CT409" t="s">
        <v>152</v>
      </c>
      <c r="CU409">
        <v>89.29</v>
      </c>
      <c r="CV409">
        <v>222</v>
      </c>
      <c r="CW409" s="46">
        <v>1768</v>
      </c>
      <c r="CX409" s="46">
        <f t="shared" si="45"/>
        <v>42.633203631647213</v>
      </c>
      <c r="CY409" s="46">
        <v>124.49</v>
      </c>
      <c r="CZ409" s="46">
        <f t="shared" si="46"/>
        <v>45.862516212710766</v>
      </c>
      <c r="DA409" s="46">
        <f t="shared" si="47"/>
        <v>492.25245948601457</v>
      </c>
      <c r="DB409" s="46">
        <v>1958913.74</v>
      </c>
      <c r="DC409" s="46">
        <f t="shared" si="48"/>
        <v>24.295836903723842</v>
      </c>
      <c r="DD409" s="46">
        <v>96685.04</v>
      </c>
      <c r="DE409" s="995">
        <v>1768</v>
      </c>
      <c r="DF409" s="995">
        <v>42.667999999999999</v>
      </c>
      <c r="DG409" s="995">
        <v>123.1</v>
      </c>
      <c r="DH409" s="995">
        <v>45.863</v>
      </c>
      <c r="DI409" s="995">
        <v>1289.999</v>
      </c>
      <c r="DJ409" s="995">
        <v>5131794</v>
      </c>
      <c r="DK409" s="995">
        <v>64.341999999999999</v>
      </c>
      <c r="DL409" s="995">
        <v>255961.1</v>
      </c>
      <c r="DM409" s="995">
        <v>1768</v>
      </c>
      <c r="DN409" s="995">
        <v>42.774000000000001</v>
      </c>
      <c r="DO409" s="995">
        <v>119.1</v>
      </c>
      <c r="DP409" s="995">
        <v>45.863</v>
      </c>
      <c r="DQ409" s="995">
        <v>1281.546</v>
      </c>
      <c r="DR409" s="995">
        <v>5092955</v>
      </c>
      <c r="DS409" s="995">
        <v>63.898000000000003</v>
      </c>
      <c r="DT409" s="995">
        <v>253935.3</v>
      </c>
    </row>
    <row r="410" spans="1:124">
      <c r="A410" s="42" t="s">
        <v>94</v>
      </c>
      <c r="B410" s="42" t="s">
        <v>510</v>
      </c>
      <c r="C410" s="42" t="s">
        <v>620</v>
      </c>
      <c r="D410" s="42">
        <v>802346</v>
      </c>
      <c r="E410" s="42" t="s">
        <v>627</v>
      </c>
      <c r="F410" s="42" t="s">
        <v>149</v>
      </c>
      <c r="G410" s="42" t="s">
        <v>150</v>
      </c>
      <c r="H410" s="43" t="s">
        <v>150</v>
      </c>
      <c r="I410" s="44">
        <v>18</v>
      </c>
      <c r="J410" s="45">
        <v>321306.28319999902</v>
      </c>
      <c r="K410" s="46">
        <v>18997.296244000001</v>
      </c>
      <c r="L410" s="47">
        <v>340303.57944399898</v>
      </c>
      <c r="M410" s="48">
        <v>7198617</v>
      </c>
      <c r="N410" s="49">
        <v>4678564</v>
      </c>
      <c r="O410" s="49">
        <v>2514515</v>
      </c>
      <c r="P410" s="49">
        <v>5538</v>
      </c>
      <c r="Q410" s="50">
        <v>16497.885619266101</v>
      </c>
      <c r="R410" s="51">
        <v>7399.0832063301796</v>
      </c>
      <c r="S410" s="49">
        <v>12495.716238663401</v>
      </c>
      <c r="T410" s="49">
        <v>1949.8628808354699</v>
      </c>
      <c r="U410" s="49">
        <f>IFERROR(INDEX('Rentabilidad datos'!$N$2:$N$61,MATCH($C410,'Rentabilidad datos'!$C$2:$C$61,0)),"")</f>
        <v>21844.662325829013</v>
      </c>
      <c r="V410" s="50">
        <f>IFERROR(INDEX('Rentabilidad datos'!$O$2:$O$61,MATCH($C410,'Rentabilidad datos'!$C$2:$C$61,0)),"")</f>
        <v>1560.3330232735009</v>
      </c>
      <c r="W410" s="51">
        <f>IFERROR(INDEX('Rentabilidad datos'!$M$2:$M$61,MATCH($C410,'Rentabilidad datos'!$C$2:$C$61,0)),"")</f>
        <v>3158.6335789532814</v>
      </c>
      <c r="X410" s="52">
        <f>IFERROR(INDEX('Rentabilidad datos'!$P$2:$P$61,MATCH($C410,'Rentabilidad datos'!$C$2:$C$61,0)),"")</f>
        <v>0.49398988020337875</v>
      </c>
      <c r="Y410" s="43" t="s">
        <v>171</v>
      </c>
      <c r="Z410" s="53">
        <v>174.49770642201801</v>
      </c>
      <c r="AA410" s="43">
        <v>1</v>
      </c>
      <c r="AB410" s="54">
        <v>0.96831710868907184</v>
      </c>
      <c r="AC410" s="55">
        <v>3.1682891310928198E-2</v>
      </c>
      <c r="AD410" s="752" t="e">
        <f>_xlfn.XLOOKUP(Table1[[#This Row],[Ruta]],#REF!,#REF!)</f>
        <v>#REF!</v>
      </c>
      <c r="AE410" s="752" t="e">
        <f>_xlfn.XLOOKUP(Table1[[#This Row],[Ruta]],#REF!,#REF!)</f>
        <v>#REF!</v>
      </c>
      <c r="AF410" s="752" t="e">
        <f>_xlfn.XLOOKUP(Table1[[#This Row],[Ruta]],#REF!,#REF!)</f>
        <v>#REF!</v>
      </c>
      <c r="AG410" s="752" t="e">
        <f>_xlfn.XLOOKUP(Table1[[#This Row],[Ruta]],#REF!,#REF!)</f>
        <v>#REF!</v>
      </c>
      <c r="AH410" s="52">
        <v>0.6499253953919204</v>
      </c>
      <c r="AI410" s="52">
        <v>0.34930529016893108</v>
      </c>
      <c r="AJ410" s="55">
        <v>7.6931443914851974E-4</v>
      </c>
      <c r="AK410" s="56">
        <v>76081</v>
      </c>
      <c r="AL410" s="44">
        <v>36025</v>
      </c>
      <c r="AM410" s="54">
        <v>0.473508497522377</v>
      </c>
      <c r="AN410" s="55">
        <v>0.44443503778800603</v>
      </c>
      <c r="AO410" s="56">
        <v>0</v>
      </c>
      <c r="AP410" s="48">
        <v>0</v>
      </c>
      <c r="AQ410" s="55">
        <v>0.47350849752237745</v>
      </c>
      <c r="AR410" s="51">
        <v>7193078.1299999999</v>
      </c>
      <c r="AS410" s="49">
        <v>0</v>
      </c>
      <c r="AT410" s="55">
        <v>0</v>
      </c>
      <c r="AU410" s="51">
        <v>0</v>
      </c>
      <c r="AV410" s="52">
        <v>0</v>
      </c>
      <c r="AW410" s="44">
        <v>490</v>
      </c>
      <c r="AX410" s="51">
        <v>199.669066759195</v>
      </c>
      <c r="AY410" s="49">
        <v>340.62823346620098</v>
      </c>
      <c r="AZ410" s="49">
        <v>140.95916670700598</v>
      </c>
      <c r="BA410" s="42" t="s">
        <v>150</v>
      </c>
      <c r="BB410" s="50">
        <v>1784181.1283259082</v>
      </c>
      <c r="BC410" s="57">
        <v>1784181.1283259082</v>
      </c>
      <c r="BD410" s="42" t="s">
        <v>150</v>
      </c>
      <c r="BE410" s="46">
        <v>174.49770642201801</v>
      </c>
      <c r="BF410" s="46">
        <v>72.425990467051307</v>
      </c>
      <c r="BG410" s="42" t="s">
        <v>150</v>
      </c>
      <c r="BH410" s="52">
        <v>0.473508497522377</v>
      </c>
      <c r="BI410" s="52">
        <v>0.49337264070319697</v>
      </c>
      <c r="BJ410" s="42" t="s">
        <v>152</v>
      </c>
      <c r="BK410" s="46">
        <v>780.51279688990496</v>
      </c>
      <c r="BL410" s="46">
        <v>605.59017138979505</v>
      </c>
      <c r="BM410" s="42" t="s">
        <v>150</v>
      </c>
      <c r="BN410" s="48">
        <v>2</v>
      </c>
      <c r="BO410" s="42" t="s">
        <v>161</v>
      </c>
      <c r="BP410" s="42" t="s">
        <v>152</v>
      </c>
      <c r="BQ410" s="46">
        <v>14997.130580274599</v>
      </c>
      <c r="BR410" s="46">
        <v>314</v>
      </c>
      <c r="BS410" s="46">
        <v>23010</v>
      </c>
      <c r="BT410" s="46">
        <v>6453</v>
      </c>
      <c r="BU410" s="46">
        <v>3.5657833565783355</v>
      </c>
      <c r="BV410" s="46">
        <v>20.550955414012741</v>
      </c>
      <c r="BW410" s="46">
        <v>0</v>
      </c>
      <c r="BX410" s="46">
        <v>1972</v>
      </c>
      <c r="BY410" s="46">
        <v>1972</v>
      </c>
      <c r="BZ410" s="46">
        <v>0.30559429722609638</v>
      </c>
      <c r="CA410" s="46">
        <v>0</v>
      </c>
      <c r="CB410" s="46">
        <v>0.30559429722609638</v>
      </c>
      <c r="CC410" s="46">
        <v>0.43855571052223774</v>
      </c>
      <c r="CD410" s="46">
        <v>0.1207190454052379</v>
      </c>
      <c r="CE410" s="46">
        <v>0</v>
      </c>
      <c r="CF410" s="46">
        <v>0.13513094684642801</v>
      </c>
      <c r="CG410" s="46">
        <v>0</v>
      </c>
      <c r="CH410" s="46">
        <v>0</v>
      </c>
      <c r="CI410" s="46">
        <v>5.0847457627118642</v>
      </c>
      <c r="CJ410" s="46">
        <v>0.39113428943937428</v>
      </c>
      <c r="CK410">
        <v>706</v>
      </c>
      <c r="CL410">
        <v>760</v>
      </c>
      <c r="CM410">
        <f t="shared" si="49"/>
        <v>54</v>
      </c>
      <c r="CN410">
        <v>16.309999999999999</v>
      </c>
      <c r="CO410">
        <v>9.4499999999999993</v>
      </c>
      <c r="CP410">
        <f t="shared" si="50"/>
        <v>-6.8599999999999994</v>
      </c>
      <c r="CQ410">
        <v>846.56</v>
      </c>
      <c r="CR410">
        <v>780.51</v>
      </c>
      <c r="CS410">
        <f t="shared" si="51"/>
        <v>66.049999999999955</v>
      </c>
      <c r="CT410" t="s">
        <v>150</v>
      </c>
      <c r="CU410">
        <v>172.58</v>
      </c>
      <c r="CV410">
        <v>291</v>
      </c>
      <c r="CW410" s="46">
        <v>1972</v>
      </c>
      <c r="CX410" s="46">
        <f t="shared" si="45"/>
        <v>29.722609638927633</v>
      </c>
      <c r="CY410" s="46">
        <v>54</v>
      </c>
      <c r="CZ410" s="46">
        <f t="shared" si="46"/>
        <v>30.559429722609639</v>
      </c>
      <c r="DA410" s="46">
        <f t="shared" si="47"/>
        <v>146.54330259720302</v>
      </c>
      <c r="DB410" s="46">
        <v>953557.27</v>
      </c>
      <c r="DC410" s="46">
        <f t="shared" si="48"/>
        <v>6.6869555862916856</v>
      </c>
      <c r="DD410" s="46">
        <v>43512.02</v>
      </c>
      <c r="DE410" s="995">
        <v>1972</v>
      </c>
      <c r="DF410" s="995">
        <v>29.722999999999999</v>
      </c>
      <c r="DG410" s="995">
        <v>54</v>
      </c>
      <c r="DH410" s="995">
        <v>30.559000000000001</v>
      </c>
      <c r="DI410" s="995">
        <v>1008.9880000000001</v>
      </c>
      <c r="DJ410" s="995">
        <v>6565487</v>
      </c>
      <c r="DK410" s="995">
        <v>46.256999999999998</v>
      </c>
      <c r="DL410" s="995">
        <v>300991.7</v>
      </c>
      <c r="DM410" s="995">
        <v>1972</v>
      </c>
      <c r="DN410" s="995">
        <v>29.722999999999999</v>
      </c>
      <c r="DO410" s="995">
        <v>54</v>
      </c>
      <c r="DP410" s="995">
        <v>30.559000000000001</v>
      </c>
      <c r="DQ410" s="995">
        <v>1008.9880000000001</v>
      </c>
      <c r="DR410" s="995">
        <v>6565487</v>
      </c>
      <c r="DS410" s="995">
        <v>46.256999999999998</v>
      </c>
      <c r="DT410" s="995">
        <v>300991.7</v>
      </c>
    </row>
    <row r="411" spans="1:124">
      <c r="A411" s="42" t="s">
        <v>94</v>
      </c>
      <c r="B411" s="42" t="s">
        <v>510</v>
      </c>
      <c r="C411" s="42" t="s">
        <v>620</v>
      </c>
      <c r="D411" s="42">
        <v>802347</v>
      </c>
      <c r="E411" s="42" t="s">
        <v>628</v>
      </c>
      <c r="F411" s="42" t="s">
        <v>149</v>
      </c>
      <c r="G411" s="42" t="s">
        <v>150</v>
      </c>
      <c r="H411" s="43" t="s">
        <v>150</v>
      </c>
      <c r="I411" s="44">
        <v>18</v>
      </c>
      <c r="J411" s="45">
        <v>189469.89600000001</v>
      </c>
      <c r="K411" s="46">
        <v>9594.9771500000006</v>
      </c>
      <c r="L411" s="47">
        <v>199064.87315</v>
      </c>
      <c r="M411" s="48">
        <v>4036049</v>
      </c>
      <c r="N411" s="49">
        <v>2764388</v>
      </c>
      <c r="O411" s="49">
        <v>1269519</v>
      </c>
      <c r="P411" s="49">
        <v>2142</v>
      </c>
      <c r="Q411" s="50">
        <v>9294.7204377880207</v>
      </c>
      <c r="R411" s="51">
        <v>7399.0832063301796</v>
      </c>
      <c r="S411" s="49">
        <v>12495.716238663401</v>
      </c>
      <c r="T411" s="49">
        <v>1949.8628808354699</v>
      </c>
      <c r="U411" s="49">
        <f>IFERROR(INDEX('Rentabilidad datos'!$N$2:$N$61,MATCH($C411,'Rentabilidad datos'!$C$2:$C$61,0)),"")</f>
        <v>21844.662325829013</v>
      </c>
      <c r="V411" s="50">
        <f>IFERROR(INDEX('Rentabilidad datos'!$O$2:$O$61,MATCH($C411,'Rentabilidad datos'!$C$2:$C$61,0)),"")</f>
        <v>1560.3330232735009</v>
      </c>
      <c r="W411" s="51">
        <f>IFERROR(INDEX('Rentabilidad datos'!$M$2:$M$61,MATCH($C411,'Rentabilidad datos'!$C$2:$C$61,0)),"")</f>
        <v>3158.6335789532814</v>
      </c>
      <c r="X411" s="52">
        <f>IFERROR(INDEX('Rentabilidad datos'!$P$2:$P$61,MATCH($C411,'Rentabilidad datos'!$C$2:$C$61,0)),"")</f>
        <v>0.49398988020337875</v>
      </c>
      <c r="Y411" s="43" t="s">
        <v>171</v>
      </c>
      <c r="Z411" s="53">
        <v>70.329326923076906</v>
      </c>
      <c r="AA411" s="43">
        <v>1</v>
      </c>
      <c r="AB411" s="54">
        <v>0.96543451281191084</v>
      </c>
      <c r="AC411" s="55">
        <v>3.456548718808914E-2</v>
      </c>
      <c r="AD411" s="752" t="e">
        <f>_xlfn.XLOOKUP(Table1[[#This Row],[Ruta]],#REF!,#REF!)</f>
        <v>#REF!</v>
      </c>
      <c r="AE411" s="752" t="e">
        <f>_xlfn.XLOOKUP(Table1[[#This Row],[Ruta]],#REF!,#REF!)</f>
        <v>#REF!</v>
      </c>
      <c r="AF411" s="752" t="e">
        <f>_xlfn.XLOOKUP(Table1[[#This Row],[Ruta]],#REF!,#REF!)</f>
        <v>#REF!</v>
      </c>
      <c r="AG411" s="752" t="e">
        <f>_xlfn.XLOOKUP(Table1[[#This Row],[Ruta]],#REF!,#REF!)</f>
        <v>#REF!</v>
      </c>
      <c r="AH411" s="52">
        <v>0.6849242910579133</v>
      </c>
      <c r="AI411" s="52">
        <v>0.31454499189677826</v>
      </c>
      <c r="AJ411" s="55">
        <v>5.3071704530841923E-4</v>
      </c>
      <c r="AK411" s="56">
        <v>29257</v>
      </c>
      <c r="AL411" s="44">
        <v>10597</v>
      </c>
      <c r="AM411" s="54">
        <v>0.354684349044673</v>
      </c>
      <c r="AN411" s="55">
        <v>0.44443503778800603</v>
      </c>
      <c r="AO411" s="56">
        <v>2625.8359005636999</v>
      </c>
      <c r="AP411" s="48">
        <v>1312.9179502818499</v>
      </c>
      <c r="AQ411" s="55">
        <v>0.40707926138298012</v>
      </c>
      <c r="AR411" s="51">
        <v>4033908.67</v>
      </c>
      <c r="AS411" s="49">
        <v>499782.11782962899</v>
      </c>
      <c r="AT411" s="55">
        <v>0.12389524868187682</v>
      </c>
      <c r="AU411" s="51">
        <v>351198.24496136105</v>
      </c>
      <c r="AV411" s="52">
        <v>1.5976340511384183E-3</v>
      </c>
      <c r="AW411" s="44">
        <v>210</v>
      </c>
      <c r="AX411" s="51">
        <v>380.66515711993998</v>
      </c>
      <c r="AY411" s="49">
        <v>340.62823346620098</v>
      </c>
      <c r="AZ411" s="49">
        <v>0</v>
      </c>
      <c r="BA411" s="42" t="s">
        <v>152</v>
      </c>
      <c r="BB411" s="50">
        <v>0</v>
      </c>
      <c r="BC411" s="57">
        <v>351198.24496136105</v>
      </c>
      <c r="BD411" s="42" t="s">
        <v>150</v>
      </c>
      <c r="BE411" s="46">
        <v>70.329326923076906</v>
      </c>
      <c r="BF411" s="46">
        <v>72.425990467051307</v>
      </c>
      <c r="BG411" s="42" t="s">
        <v>152</v>
      </c>
      <c r="BH411" s="52">
        <v>0.354684349044673</v>
      </c>
      <c r="BI411" s="52">
        <v>0.49337264070319697</v>
      </c>
      <c r="BJ411" s="42" t="s">
        <v>152</v>
      </c>
      <c r="BK411" s="46">
        <v>458.67482292626698</v>
      </c>
      <c r="BL411" s="46">
        <v>605.59017138979505</v>
      </c>
      <c r="BM411" s="42" t="s">
        <v>152</v>
      </c>
      <c r="BN411" s="48">
        <v>0</v>
      </c>
      <c r="BO411" s="42" t="s">
        <v>155</v>
      </c>
      <c r="BP411" s="42" t="s">
        <v>152</v>
      </c>
      <c r="BQ411" s="46">
        <v>21233.258756537201</v>
      </c>
      <c r="BR411" s="46">
        <v>84</v>
      </c>
      <c r="BS411" s="46">
        <v>5763</v>
      </c>
      <c r="BT411" s="46">
        <v>1744</v>
      </c>
      <c r="BU411" s="46">
        <v>3.3044724770642202</v>
      </c>
      <c r="BV411" s="46">
        <v>20.761904761904763</v>
      </c>
      <c r="BW411" s="46">
        <v>0</v>
      </c>
      <c r="BX411" s="46">
        <v>1572</v>
      </c>
      <c r="BY411" s="46">
        <v>1572</v>
      </c>
      <c r="BZ411" s="46">
        <v>0.90137614678899081</v>
      </c>
      <c r="CA411" s="46">
        <v>0</v>
      </c>
      <c r="CB411" s="46">
        <v>0.90137614678899081</v>
      </c>
      <c r="CC411" s="46">
        <v>0</v>
      </c>
      <c r="CD411" s="46">
        <v>0</v>
      </c>
      <c r="CE411" s="46">
        <v>0</v>
      </c>
      <c r="CF411" s="46">
        <v>9.862385321100918E-2</v>
      </c>
      <c r="CG411" s="46">
        <v>0</v>
      </c>
      <c r="CH411" s="46">
        <v>0</v>
      </c>
      <c r="CI411" s="46">
        <v>6.5937879576609406</v>
      </c>
      <c r="CJ411" s="46">
        <v>0.17352073572791951</v>
      </c>
      <c r="CK411">
        <v>245</v>
      </c>
      <c r="CL411">
        <v>485.34</v>
      </c>
      <c r="CM411">
        <f t="shared" si="49"/>
        <v>240.33999999999997</v>
      </c>
      <c r="CN411">
        <v>5.41</v>
      </c>
      <c r="CO411">
        <v>9.4499999999999993</v>
      </c>
      <c r="CP411">
        <f t="shared" si="50"/>
        <v>4.0399999999999991</v>
      </c>
      <c r="CQ411">
        <v>846.56</v>
      </c>
      <c r="CR411">
        <v>458.67</v>
      </c>
      <c r="CS411">
        <f t="shared" si="51"/>
        <v>387.88999999999993</v>
      </c>
      <c r="CT411" t="s">
        <v>152</v>
      </c>
      <c r="CU411">
        <v>65.34</v>
      </c>
      <c r="CV411">
        <v>234</v>
      </c>
      <c r="CW411" s="46">
        <v>1572</v>
      </c>
      <c r="CX411" s="46">
        <f t="shared" si="45"/>
        <v>76.356651376146786</v>
      </c>
      <c r="CY411" s="46">
        <v>240.34</v>
      </c>
      <c r="CZ411" s="46">
        <f t="shared" si="46"/>
        <v>90.137614678899084</v>
      </c>
      <c r="DA411" s="46">
        <f t="shared" si="47"/>
        <v>1508.9866151969925</v>
      </c>
      <c r="DB411" s="46">
        <v>2994342.5</v>
      </c>
      <c r="DC411" s="46">
        <f t="shared" si="48"/>
        <v>72.529652176542328</v>
      </c>
      <c r="DD411" s="46">
        <v>143923.49</v>
      </c>
      <c r="DE411" s="995">
        <v>1572</v>
      </c>
      <c r="DF411" s="995">
        <v>78.025000000000006</v>
      </c>
      <c r="DG411" s="995">
        <v>211.3</v>
      </c>
      <c r="DH411" s="995">
        <v>90.138000000000005</v>
      </c>
      <c r="DI411" s="995">
        <v>2887.3760000000002</v>
      </c>
      <c r="DJ411" s="995">
        <v>5645544</v>
      </c>
      <c r="DK411" s="995">
        <v>141.244</v>
      </c>
      <c r="DL411" s="995">
        <v>276167.40000000002</v>
      </c>
      <c r="DM411" s="995">
        <v>1572</v>
      </c>
      <c r="DN411" s="995">
        <v>79.86</v>
      </c>
      <c r="DO411" s="995">
        <v>179.2</v>
      </c>
      <c r="DP411" s="995">
        <v>90.138000000000005</v>
      </c>
      <c r="DQ411" s="995">
        <v>2774.9259999999999</v>
      </c>
      <c r="DR411" s="995">
        <v>5336847</v>
      </c>
      <c r="DS411" s="995">
        <v>134.685</v>
      </c>
      <c r="DT411" s="995">
        <v>259030.8</v>
      </c>
    </row>
    <row r="412" spans="1:124">
      <c r="A412" s="42" t="s">
        <v>94</v>
      </c>
      <c r="B412" s="42" t="s">
        <v>510</v>
      </c>
      <c r="C412" s="42" t="s">
        <v>620</v>
      </c>
      <c r="D412" s="42">
        <v>802348</v>
      </c>
      <c r="E412" s="42" t="s">
        <v>629</v>
      </c>
      <c r="F412" s="42" t="s">
        <v>149</v>
      </c>
      <c r="G412" s="42" t="s">
        <v>150</v>
      </c>
      <c r="H412" s="43" t="s">
        <v>150</v>
      </c>
      <c r="I412" s="44">
        <v>18</v>
      </c>
      <c r="J412" s="45">
        <v>166081.16</v>
      </c>
      <c r="K412" s="46">
        <v>9394.9870499999997</v>
      </c>
      <c r="L412" s="47">
        <v>175476.14705</v>
      </c>
      <c r="M412" s="48">
        <v>3632435</v>
      </c>
      <c r="N412" s="49">
        <v>2399601</v>
      </c>
      <c r="O412" s="49">
        <v>1230924</v>
      </c>
      <c r="P412" s="49">
        <v>1910</v>
      </c>
      <c r="Q412" s="50">
        <v>8337.7733870967695</v>
      </c>
      <c r="R412" s="51">
        <v>7399.0832063301796</v>
      </c>
      <c r="S412" s="49">
        <v>12495.716238663401</v>
      </c>
      <c r="T412" s="49">
        <v>1949.8628808354699</v>
      </c>
      <c r="U412" s="49">
        <f>IFERROR(INDEX('Rentabilidad datos'!$N$2:$N$61,MATCH($C412,'Rentabilidad datos'!$C$2:$C$61,0)),"")</f>
        <v>21844.662325829013</v>
      </c>
      <c r="V412" s="50">
        <f>IFERROR(INDEX('Rentabilidad datos'!$O$2:$O$61,MATCH($C412,'Rentabilidad datos'!$C$2:$C$61,0)),"")</f>
        <v>1560.3330232735009</v>
      </c>
      <c r="W412" s="51">
        <f>IFERROR(INDEX('Rentabilidad datos'!$M$2:$M$61,MATCH($C412,'Rentabilidad datos'!$C$2:$C$61,0)),"")</f>
        <v>3158.6335789532814</v>
      </c>
      <c r="X412" s="52">
        <f>IFERROR(INDEX('Rentabilidad datos'!$P$2:$P$61,MATCH($C412,'Rentabilidad datos'!$C$2:$C$61,0)),"")</f>
        <v>0.49398988020337875</v>
      </c>
      <c r="Y412" s="43" t="s">
        <v>171</v>
      </c>
      <c r="Z412" s="53">
        <v>86.354838709677395</v>
      </c>
      <c r="AA412" s="43">
        <v>1</v>
      </c>
      <c r="AB412" s="54">
        <v>0.96398504033795507</v>
      </c>
      <c r="AC412" s="55">
        <v>3.6014959662044883E-2</v>
      </c>
      <c r="AD412" s="752" t="e">
        <f>_xlfn.XLOOKUP(Table1[[#This Row],[Ruta]],#REF!,#REF!)</f>
        <v>#REF!</v>
      </c>
      <c r="AE412" s="752" t="e">
        <f>_xlfn.XLOOKUP(Table1[[#This Row],[Ruta]],#REF!,#REF!)</f>
        <v>#REF!</v>
      </c>
      <c r="AF412" s="752" t="e">
        <f>_xlfn.XLOOKUP(Table1[[#This Row],[Ruta]],#REF!,#REF!)</f>
        <v>#REF!</v>
      </c>
      <c r="AG412" s="752" t="e">
        <f>_xlfn.XLOOKUP(Table1[[#This Row],[Ruta]],#REF!,#REF!)</f>
        <v>#REF!</v>
      </c>
      <c r="AH412" s="52">
        <v>0.66060397501951174</v>
      </c>
      <c r="AI412" s="52">
        <v>0.33887020689977937</v>
      </c>
      <c r="AJ412" s="55">
        <v>5.2581808070894587E-4</v>
      </c>
      <c r="AK412" s="56">
        <v>37478</v>
      </c>
      <c r="AL412" s="44">
        <v>10940</v>
      </c>
      <c r="AM412" s="54">
        <v>0.29190458402262698</v>
      </c>
      <c r="AN412" s="55">
        <v>0.44443503778800603</v>
      </c>
      <c r="AO412" s="56">
        <v>5716.5363462188898</v>
      </c>
      <c r="AP412" s="48">
        <v>2858.2681731094449</v>
      </c>
      <c r="AQ412" s="55">
        <v>0.36816981090531631</v>
      </c>
      <c r="AR412" s="51">
        <v>3618593.65</v>
      </c>
      <c r="AS412" s="49">
        <v>945421.48639953998</v>
      </c>
      <c r="AT412" s="55">
        <v>0.26126765750543446</v>
      </c>
      <c r="AU412" s="51">
        <v>664350.23368616344</v>
      </c>
      <c r="AV412" s="52">
        <v>3.0221920822399171E-3</v>
      </c>
      <c r="AW412" s="44">
        <v>104</v>
      </c>
      <c r="AX412" s="51">
        <v>330.76724405850098</v>
      </c>
      <c r="AY412" s="49">
        <v>340.62823346620098</v>
      </c>
      <c r="AZ412" s="49">
        <v>9.8609894077000035</v>
      </c>
      <c r="BA412" s="42" t="s">
        <v>150</v>
      </c>
      <c r="BB412" s="50">
        <v>37903.511177380948</v>
      </c>
      <c r="BC412" s="57">
        <v>702253.74486354436</v>
      </c>
      <c r="BD412" s="42" t="s">
        <v>150</v>
      </c>
      <c r="BE412" s="46">
        <v>86.354838709677395</v>
      </c>
      <c r="BF412" s="46">
        <v>72.425990467051307</v>
      </c>
      <c r="BG412" s="42" t="s">
        <v>150</v>
      </c>
      <c r="BH412" s="52">
        <v>0.29190458402262698</v>
      </c>
      <c r="BI412" s="52">
        <v>0.49337264070319697</v>
      </c>
      <c r="BJ412" s="42" t="s">
        <v>152</v>
      </c>
      <c r="BK412" s="46">
        <v>404.32291947004597</v>
      </c>
      <c r="BL412" s="46">
        <v>605.59017138979505</v>
      </c>
      <c r="BM412" s="42" t="s">
        <v>152</v>
      </c>
      <c r="BN412" s="48">
        <v>1</v>
      </c>
      <c r="BO412" s="42" t="s">
        <v>155</v>
      </c>
      <c r="BP412" s="42" t="s">
        <v>152</v>
      </c>
      <c r="BQ412" s="46">
        <v>17986.548339708799</v>
      </c>
      <c r="BR412" s="46">
        <v>182</v>
      </c>
      <c r="BS412" s="46">
        <v>12670</v>
      </c>
      <c r="BT412" s="46">
        <v>3883</v>
      </c>
      <c r="BU412" s="46">
        <v>3.2629410249806852</v>
      </c>
      <c r="BV412" s="46">
        <v>21.335164835164836</v>
      </c>
      <c r="BW412" s="46">
        <v>0</v>
      </c>
      <c r="BX412" s="46">
        <v>1559</v>
      </c>
      <c r="BY412" s="46">
        <v>1559</v>
      </c>
      <c r="BZ412" s="46">
        <v>0.40149369044553179</v>
      </c>
      <c r="CA412" s="46">
        <v>0</v>
      </c>
      <c r="CB412" s="46">
        <v>0.40149369044553179</v>
      </c>
      <c r="CC412" s="46">
        <v>0.5637393767705382</v>
      </c>
      <c r="CD412" s="46">
        <v>0</v>
      </c>
      <c r="CE412" s="46">
        <v>0</v>
      </c>
      <c r="CF412" s="46">
        <v>3.4766932783929949E-2</v>
      </c>
      <c r="CG412" s="46">
        <v>0</v>
      </c>
      <c r="CH412" s="46">
        <v>0</v>
      </c>
      <c r="CI412" s="46">
        <v>4.3409629044988156</v>
      </c>
      <c r="CJ412" s="46">
        <v>0.23677979479084449</v>
      </c>
      <c r="CK412">
        <v>300</v>
      </c>
      <c r="CL412">
        <v>438.3</v>
      </c>
      <c r="CM412">
        <f t="shared" si="49"/>
        <v>138.30000000000001</v>
      </c>
      <c r="CN412">
        <v>7.2</v>
      </c>
      <c r="CO412">
        <v>9.4499999999999993</v>
      </c>
      <c r="CP412">
        <f t="shared" si="50"/>
        <v>2.2499999999999991</v>
      </c>
      <c r="CQ412">
        <v>846.56</v>
      </c>
      <c r="CR412">
        <v>404.32</v>
      </c>
      <c r="CS412">
        <f t="shared" si="51"/>
        <v>442.23999999999995</v>
      </c>
      <c r="CT412" t="s">
        <v>152</v>
      </c>
      <c r="CU412">
        <v>76.56</v>
      </c>
      <c r="CV412">
        <v>176</v>
      </c>
      <c r="CW412" s="46">
        <v>1559</v>
      </c>
      <c r="CX412" s="46">
        <f t="shared" si="45"/>
        <v>36.587689930466134</v>
      </c>
      <c r="CY412" s="46">
        <v>138.30000000000001</v>
      </c>
      <c r="CZ412" s="46">
        <f t="shared" si="46"/>
        <v>40.149369044553183</v>
      </c>
      <c r="DA412" s="46">
        <f t="shared" si="47"/>
        <v>294.19227861636779</v>
      </c>
      <c r="DB412" s="46">
        <v>1183035.4099999999</v>
      </c>
      <c r="DC412" s="46">
        <f t="shared" si="48"/>
        <v>13.602203267600029</v>
      </c>
      <c r="DD412" s="46">
        <v>54698.54</v>
      </c>
      <c r="DE412" s="995">
        <v>1559</v>
      </c>
      <c r="DF412" s="995">
        <v>37.07</v>
      </c>
      <c r="DG412" s="995">
        <v>119.6</v>
      </c>
      <c r="DH412" s="995">
        <v>40.149000000000001</v>
      </c>
      <c r="DI412" s="995">
        <v>1036.2449999999999</v>
      </c>
      <c r="DJ412" s="995">
        <v>4147662</v>
      </c>
      <c r="DK412" s="995">
        <v>48.067</v>
      </c>
      <c r="DL412" s="995">
        <v>192390.8</v>
      </c>
      <c r="DM412" s="995">
        <v>1559</v>
      </c>
      <c r="DN412" s="995">
        <v>37.383000000000003</v>
      </c>
      <c r="DO412" s="995">
        <v>107.4</v>
      </c>
      <c r="DP412" s="995">
        <v>40.149000000000001</v>
      </c>
      <c r="DQ412" s="995">
        <v>1022.31</v>
      </c>
      <c r="DR412" s="995">
        <v>4079449</v>
      </c>
      <c r="DS412" s="995">
        <v>47.37</v>
      </c>
      <c r="DT412" s="995">
        <v>189026.6</v>
      </c>
    </row>
    <row r="413" spans="1:124">
      <c r="A413" s="42" t="s">
        <v>94</v>
      </c>
      <c r="B413" s="42" t="s">
        <v>510</v>
      </c>
      <c r="C413" s="42" t="s">
        <v>620</v>
      </c>
      <c r="D413" s="42">
        <v>802349</v>
      </c>
      <c r="E413" s="42" t="s">
        <v>630</v>
      </c>
      <c r="F413" s="42" t="s">
        <v>149</v>
      </c>
      <c r="G413" s="42" t="s">
        <v>150</v>
      </c>
      <c r="H413" s="43" t="s">
        <v>150</v>
      </c>
      <c r="I413" s="44">
        <v>18</v>
      </c>
      <c r="J413" s="45">
        <v>198518.94159999999</v>
      </c>
      <c r="K413" s="46">
        <v>11549.460637</v>
      </c>
      <c r="L413" s="47">
        <v>210068.402237</v>
      </c>
      <c r="M413" s="48">
        <v>4295115</v>
      </c>
      <c r="N413" s="49">
        <v>2876461</v>
      </c>
      <c r="O413" s="49">
        <v>1416907</v>
      </c>
      <c r="P413" s="49">
        <v>1747</v>
      </c>
      <c r="Q413" s="50">
        <v>9779.7653758542201</v>
      </c>
      <c r="R413" s="51">
        <v>7399.0832063301796</v>
      </c>
      <c r="S413" s="49">
        <v>12495.716238663401</v>
      </c>
      <c r="T413" s="49">
        <v>1949.8628808354699</v>
      </c>
      <c r="U413" s="49">
        <f>IFERROR(INDEX('Rentabilidad datos'!$N$2:$N$61,MATCH($C413,'Rentabilidad datos'!$C$2:$C$61,0)),"")</f>
        <v>21844.662325829013</v>
      </c>
      <c r="V413" s="50">
        <f>IFERROR(INDEX('Rentabilidad datos'!$O$2:$O$61,MATCH($C413,'Rentabilidad datos'!$C$2:$C$61,0)),"")</f>
        <v>1560.3330232735009</v>
      </c>
      <c r="W413" s="51">
        <f>IFERROR(INDEX('Rentabilidad datos'!$M$2:$M$61,MATCH($C413,'Rentabilidad datos'!$C$2:$C$61,0)),"")</f>
        <v>3158.6335789532814</v>
      </c>
      <c r="X413" s="52">
        <f>IFERROR(INDEX('Rentabilidad datos'!$P$2:$P$61,MATCH($C413,'Rentabilidad datos'!$C$2:$C$61,0)),"")</f>
        <v>0.49398988020337875</v>
      </c>
      <c r="Y413" s="43" t="s">
        <v>171</v>
      </c>
      <c r="Z413" s="53">
        <v>54.936842105263203</v>
      </c>
      <c r="AA413" s="43">
        <v>1</v>
      </c>
      <c r="AB413" s="54">
        <v>0.95697251412360318</v>
      </c>
      <c r="AC413" s="55">
        <v>4.3027485876396793E-2</v>
      </c>
      <c r="AD413" s="752" t="e">
        <f>_xlfn.XLOOKUP(Table1[[#This Row],[Ruta]],#REF!,#REF!)</f>
        <v>#REF!</v>
      </c>
      <c r="AE413" s="752" t="e">
        <f>_xlfn.XLOOKUP(Table1[[#This Row],[Ruta]],#REF!,#REF!)</f>
        <v>#REF!</v>
      </c>
      <c r="AF413" s="752" t="e">
        <f>_xlfn.XLOOKUP(Table1[[#This Row],[Ruta]],#REF!,#REF!)</f>
        <v>#REF!</v>
      </c>
      <c r="AG413" s="752" t="e">
        <f>_xlfn.XLOOKUP(Table1[[#This Row],[Ruta]],#REF!,#REF!)</f>
        <v>#REF!</v>
      </c>
      <c r="AH413" s="52">
        <v>0.66970523490057887</v>
      </c>
      <c r="AI413" s="52">
        <v>0.32988802395279287</v>
      </c>
      <c r="AJ413" s="55">
        <v>4.0674114662820438E-4</v>
      </c>
      <c r="AK413" s="56">
        <v>20876</v>
      </c>
      <c r="AL413" s="44">
        <v>6997</v>
      </c>
      <c r="AM413" s="54">
        <v>0.29914734623491102</v>
      </c>
      <c r="AN413" s="55">
        <v>0.44443503778800603</v>
      </c>
      <c r="AO413" s="56">
        <v>3033.0258488624199</v>
      </c>
      <c r="AP413" s="48">
        <v>1516.51292443121</v>
      </c>
      <c r="AQ413" s="55">
        <v>0.40781341849162722</v>
      </c>
      <c r="AR413" s="51">
        <v>4293317</v>
      </c>
      <c r="AS413" s="49">
        <v>930523.18410465005</v>
      </c>
      <c r="AT413" s="55">
        <v>0.21673759102918561</v>
      </c>
      <c r="AU413" s="51">
        <v>653881.15639786248</v>
      </c>
      <c r="AV413" s="52">
        <v>2.9745672589392494E-3</v>
      </c>
      <c r="AW413" s="44">
        <v>106</v>
      </c>
      <c r="AX413" s="51">
        <v>613.59396884378998</v>
      </c>
      <c r="AY413" s="49">
        <v>340.62823346620098</v>
      </c>
      <c r="AZ413" s="49">
        <v>0</v>
      </c>
      <c r="BA413" s="42" t="s">
        <v>152</v>
      </c>
      <c r="BB413" s="50">
        <v>0</v>
      </c>
      <c r="BC413" s="57">
        <v>653881.15639786248</v>
      </c>
      <c r="BD413" s="42" t="s">
        <v>150</v>
      </c>
      <c r="BE413" s="46">
        <v>54.936842105263203</v>
      </c>
      <c r="BF413" s="46">
        <v>72.425990467051307</v>
      </c>
      <c r="BG413" s="42" t="s">
        <v>152</v>
      </c>
      <c r="BH413" s="52">
        <v>0.29914734623491102</v>
      </c>
      <c r="BI413" s="52">
        <v>0.49337264070319697</v>
      </c>
      <c r="BJ413" s="42" t="s">
        <v>152</v>
      </c>
      <c r="BK413" s="46">
        <v>478.51572263553498</v>
      </c>
      <c r="BL413" s="46">
        <v>605.59017138979505</v>
      </c>
      <c r="BM413" s="42" t="s">
        <v>152</v>
      </c>
      <c r="BN413" s="48">
        <v>0</v>
      </c>
      <c r="BO413" s="42" t="s">
        <v>155</v>
      </c>
      <c r="BP413" s="42" t="s">
        <v>152</v>
      </c>
      <c r="BQ413" s="46">
        <v>10945.440798379401</v>
      </c>
      <c r="BR413" s="46">
        <v>164</v>
      </c>
      <c r="BS413" s="46">
        <v>13456</v>
      </c>
      <c r="BT413" s="46">
        <v>3855</v>
      </c>
      <c r="BU413" s="46">
        <v>3.4905317769130999</v>
      </c>
      <c r="BV413" s="46">
        <v>23.506097560975611</v>
      </c>
      <c r="BW413" s="46">
        <v>0</v>
      </c>
      <c r="BX413" s="46">
        <v>757</v>
      </c>
      <c r="BY413" s="46">
        <v>757</v>
      </c>
      <c r="BZ413" s="46">
        <v>0.19636835278858625</v>
      </c>
      <c r="CA413" s="46">
        <v>0</v>
      </c>
      <c r="CB413" s="46">
        <v>0.19636835278858619</v>
      </c>
      <c r="CC413" s="46">
        <v>0.3603112840466926</v>
      </c>
      <c r="CD413" s="46">
        <v>0.1141374837872892</v>
      </c>
      <c r="CE413" s="46">
        <v>0</v>
      </c>
      <c r="CF413" s="46">
        <v>0.3291828793774319</v>
      </c>
      <c r="CG413" s="46">
        <v>0</v>
      </c>
      <c r="CH413" s="46">
        <v>0</v>
      </c>
      <c r="CI413" s="46">
        <v>7.2829964328180736</v>
      </c>
      <c r="CJ413" s="46">
        <v>0.44589774078478012</v>
      </c>
      <c r="CK413">
        <v>301</v>
      </c>
      <c r="CL413">
        <v>338.62</v>
      </c>
      <c r="CM413">
        <f t="shared" si="49"/>
        <v>37.620000000000005</v>
      </c>
      <c r="CN413">
        <v>6.63</v>
      </c>
      <c r="CO413">
        <v>9.4499999999999993</v>
      </c>
      <c r="CP413">
        <f t="shared" si="50"/>
        <v>2.8199999999999994</v>
      </c>
      <c r="CQ413">
        <v>564.37</v>
      </c>
      <c r="CR413">
        <v>478.52</v>
      </c>
      <c r="CS413">
        <f t="shared" si="51"/>
        <v>85.850000000000023</v>
      </c>
      <c r="CT413" t="s">
        <v>152</v>
      </c>
      <c r="CU413">
        <v>92.91</v>
      </c>
      <c r="CV413">
        <v>56</v>
      </c>
      <c r="CW413" s="46">
        <v>757</v>
      </c>
      <c r="CX413" s="46">
        <f t="shared" si="45"/>
        <v>18.660959792477303</v>
      </c>
      <c r="CY413" s="46">
        <v>37.619999999999997</v>
      </c>
      <c r="CZ413" s="46">
        <f t="shared" si="46"/>
        <v>19.636835278858626</v>
      </c>
      <c r="DA413" s="46">
        <f t="shared" si="47"/>
        <v>107.34770154805761</v>
      </c>
      <c r="DB413" s="46">
        <v>417863.81</v>
      </c>
      <c r="DC413" s="46">
        <f t="shared" si="48"/>
        <v>5.6954364926450562</v>
      </c>
      <c r="DD413" s="46">
        <v>22170.17</v>
      </c>
      <c r="DE413" s="995">
        <v>757</v>
      </c>
      <c r="DF413" s="995">
        <v>18.507999999999999</v>
      </c>
      <c r="DG413" s="995">
        <v>43.5</v>
      </c>
      <c r="DH413" s="995">
        <v>19.637</v>
      </c>
      <c r="DI413" s="995">
        <v>977.21699999999998</v>
      </c>
      <c r="DJ413" s="995">
        <v>3809710</v>
      </c>
      <c r="DK413" s="995">
        <v>49.377000000000002</v>
      </c>
      <c r="DL413" s="995">
        <v>192496.4</v>
      </c>
      <c r="DM413" s="995">
        <v>757</v>
      </c>
      <c r="DN413" s="995">
        <v>18.619</v>
      </c>
      <c r="DO413" s="995">
        <v>39.200000000000003</v>
      </c>
      <c r="DP413" s="995">
        <v>19.637</v>
      </c>
      <c r="DQ413" s="995">
        <v>970.56799999999998</v>
      </c>
      <c r="DR413" s="995">
        <v>3779604</v>
      </c>
      <c r="DS413" s="995">
        <v>49.031999999999996</v>
      </c>
      <c r="DT413" s="995">
        <v>190941.3</v>
      </c>
    </row>
    <row r="414" spans="1:124">
      <c r="A414" s="42" t="s">
        <v>94</v>
      </c>
      <c r="B414" s="42" t="s">
        <v>510</v>
      </c>
      <c r="C414" s="42" t="s">
        <v>620</v>
      </c>
      <c r="D414" s="42">
        <v>802350</v>
      </c>
      <c r="E414" s="42" t="s">
        <v>631</v>
      </c>
      <c r="F414" s="42" t="s">
        <v>149</v>
      </c>
      <c r="G414" s="42" t="s">
        <v>150</v>
      </c>
      <c r="H414" s="43" t="s">
        <v>150</v>
      </c>
      <c r="I414" s="44">
        <v>18</v>
      </c>
      <c r="J414" s="45">
        <v>200005.39439999999</v>
      </c>
      <c r="K414" s="46">
        <v>12586.379175</v>
      </c>
      <c r="L414" s="47">
        <v>212591.773575</v>
      </c>
      <c r="M414" s="48">
        <v>4939854</v>
      </c>
      <c r="N414" s="49">
        <v>2934970</v>
      </c>
      <c r="O414" s="49">
        <v>2000779</v>
      </c>
      <c r="P414" s="49">
        <v>4105</v>
      </c>
      <c r="Q414" s="50">
        <v>11398.9691454965</v>
      </c>
      <c r="R414" s="51">
        <v>7399.0832063301796</v>
      </c>
      <c r="S414" s="49">
        <v>12495.716238663401</v>
      </c>
      <c r="T414" s="49">
        <v>1949.8628808354699</v>
      </c>
      <c r="U414" s="49">
        <f>IFERROR(INDEX('Rentabilidad datos'!$N$2:$N$61,MATCH($C414,'Rentabilidad datos'!$C$2:$C$61,0)),"")</f>
        <v>21844.662325829013</v>
      </c>
      <c r="V414" s="50">
        <f>IFERROR(INDEX('Rentabilidad datos'!$O$2:$O$61,MATCH($C414,'Rentabilidad datos'!$C$2:$C$61,0)),"")</f>
        <v>1560.3330232735009</v>
      </c>
      <c r="W414" s="51">
        <f>IFERROR(INDEX('Rentabilidad datos'!$M$2:$M$61,MATCH($C414,'Rentabilidad datos'!$C$2:$C$61,0)),"")</f>
        <v>3158.6335789532814</v>
      </c>
      <c r="X414" s="52">
        <f>IFERROR(INDEX('Rentabilidad datos'!$P$2:$P$61,MATCH($C414,'Rentabilidad datos'!$C$2:$C$61,0)),"")</f>
        <v>0.49398988020337875</v>
      </c>
      <c r="Y414" s="43" t="s">
        <v>171</v>
      </c>
      <c r="Z414" s="53">
        <v>76.014423076923094</v>
      </c>
      <c r="AA414" s="43">
        <v>1</v>
      </c>
      <c r="AB414" s="54">
        <v>0.96443032526872252</v>
      </c>
      <c r="AC414" s="55">
        <v>3.5569674731277486E-2</v>
      </c>
      <c r="AD414" s="752" t="e">
        <f>_xlfn.XLOOKUP(Table1[[#This Row],[Ruta]],#REF!,#REF!)</f>
        <v>#REF!</v>
      </c>
      <c r="AE414" s="752" t="e">
        <f>_xlfn.XLOOKUP(Table1[[#This Row],[Ruta]],#REF!,#REF!)</f>
        <v>#REF!</v>
      </c>
      <c r="AF414" s="752" t="e">
        <f>_xlfn.XLOOKUP(Table1[[#This Row],[Ruta]],#REF!,#REF!)</f>
        <v>#REF!</v>
      </c>
      <c r="AG414" s="752" t="e">
        <f>_xlfn.XLOOKUP(Table1[[#This Row],[Ruta]],#REF!,#REF!)</f>
        <v>#REF!</v>
      </c>
      <c r="AH414" s="52">
        <v>0.59414104141539403</v>
      </c>
      <c r="AI414" s="52">
        <v>0.40502796236487959</v>
      </c>
      <c r="AJ414" s="55">
        <v>8.3099621972633204E-4</v>
      </c>
      <c r="AK414" s="56">
        <v>31622</v>
      </c>
      <c r="AL414" s="44">
        <v>13238</v>
      </c>
      <c r="AM414" s="54">
        <v>0.40715324773891598</v>
      </c>
      <c r="AN414" s="55">
        <v>0.44443503778800603</v>
      </c>
      <c r="AO414" s="56">
        <v>1178.9247649323299</v>
      </c>
      <c r="AP414" s="48">
        <v>589.46238246616497</v>
      </c>
      <c r="AQ414" s="55">
        <v>0.4372734925832068</v>
      </c>
      <c r="AR414" s="51">
        <v>4935753.6399999997</v>
      </c>
      <c r="AS414" s="49">
        <v>219779.5059601485</v>
      </c>
      <c r="AT414" s="55">
        <v>4.4528054273014428E-2</v>
      </c>
      <c r="AU414" s="51">
        <v>154439.65283686118</v>
      </c>
      <c r="AV414" s="52">
        <v>7.0256059578347732E-4</v>
      </c>
      <c r="AW414" s="44">
        <v>348</v>
      </c>
      <c r="AX414" s="51">
        <v>372.84738177972503</v>
      </c>
      <c r="AY414" s="49">
        <v>340.62823346620098</v>
      </c>
      <c r="AZ414" s="49">
        <v>0</v>
      </c>
      <c r="BA414" s="42" t="s">
        <v>152</v>
      </c>
      <c r="BB414" s="50">
        <v>0</v>
      </c>
      <c r="BC414" s="57">
        <v>154439.65283686118</v>
      </c>
      <c r="BD414" s="42" t="s">
        <v>150</v>
      </c>
      <c r="BE414" s="46">
        <v>76.014423076923094</v>
      </c>
      <c r="BF414" s="46">
        <v>72.425990467051307</v>
      </c>
      <c r="BG414" s="42" t="s">
        <v>150</v>
      </c>
      <c r="BH414" s="52">
        <v>0.40715324773891598</v>
      </c>
      <c r="BI414" s="52">
        <v>0.49337264070319697</v>
      </c>
      <c r="BJ414" s="42" t="s">
        <v>152</v>
      </c>
      <c r="BK414" s="46">
        <v>490.97407292147801</v>
      </c>
      <c r="BL414" s="46">
        <v>605.59017138979505</v>
      </c>
      <c r="BM414" s="42" t="s">
        <v>152</v>
      </c>
      <c r="BN414" s="48">
        <v>1</v>
      </c>
      <c r="BO414" s="42" t="s">
        <v>155</v>
      </c>
      <c r="BP414" s="42" t="s">
        <v>152</v>
      </c>
      <c r="BQ414" s="46">
        <v>30309.6218065377</v>
      </c>
      <c r="BR414" s="46">
        <v>54</v>
      </c>
      <c r="BS414" s="46">
        <v>3054</v>
      </c>
      <c r="BT414" s="46">
        <v>1127</v>
      </c>
      <c r="BU414" s="46">
        <v>2.7098491570541259</v>
      </c>
      <c r="BV414" s="46">
        <v>20.87037037037037</v>
      </c>
      <c r="BW414" s="46">
        <v>0</v>
      </c>
      <c r="BX414" s="46">
        <v>1127</v>
      </c>
      <c r="BY414" s="46">
        <v>1127</v>
      </c>
      <c r="BZ414" s="46">
        <v>1</v>
      </c>
      <c r="CA414" s="46">
        <v>0</v>
      </c>
      <c r="CB414" s="46">
        <v>1</v>
      </c>
      <c r="CC414" s="46">
        <v>0</v>
      </c>
      <c r="CD414" s="46">
        <v>0</v>
      </c>
      <c r="CE414" s="46">
        <v>0</v>
      </c>
      <c r="CF414" s="46">
        <v>0</v>
      </c>
      <c r="CG414" s="46">
        <v>0</v>
      </c>
      <c r="CH414" s="46">
        <v>0</v>
      </c>
      <c r="CI414" s="46">
        <v>2.2920759659462999</v>
      </c>
      <c r="CJ414" s="46">
        <v>1.6371971185330707</v>
      </c>
      <c r="CK414">
        <v>249</v>
      </c>
      <c r="CL414">
        <v>279.68</v>
      </c>
      <c r="CM414">
        <f t="shared" si="49"/>
        <v>30.680000000000007</v>
      </c>
      <c r="CN414">
        <v>6</v>
      </c>
      <c r="CO414">
        <v>9.4499999999999993</v>
      </c>
      <c r="CP414">
        <f t="shared" si="50"/>
        <v>3.4499999999999993</v>
      </c>
      <c r="CQ414">
        <v>564.37</v>
      </c>
      <c r="CR414">
        <v>490.97</v>
      </c>
      <c r="CS414">
        <f t="shared" si="51"/>
        <v>73.399999999999977</v>
      </c>
      <c r="CT414" t="s">
        <v>152</v>
      </c>
      <c r="CU414">
        <v>86.99</v>
      </c>
      <c r="CV414">
        <v>281</v>
      </c>
      <c r="CW414" s="46">
        <v>1114</v>
      </c>
      <c r="CX414" s="46">
        <f t="shared" si="45"/>
        <v>96.124223602484477</v>
      </c>
      <c r="CY414" s="46">
        <v>30.68</v>
      </c>
      <c r="CZ414" s="46">
        <f t="shared" si="46"/>
        <v>98.84649511978705</v>
      </c>
      <c r="DA414" s="46">
        <f t="shared" si="47"/>
        <v>279.22393061986043</v>
      </c>
      <c r="DB414" s="46">
        <v>323251.96000000002</v>
      </c>
      <c r="DC414" s="46">
        <f t="shared" si="48"/>
        <v>11.929488286918664</v>
      </c>
      <c r="DD414" s="46">
        <v>13810.53</v>
      </c>
      <c r="DE414" s="995">
        <v>1114</v>
      </c>
      <c r="DF414" s="995">
        <v>96.275000000000006</v>
      </c>
      <c r="DG414" s="995">
        <v>29</v>
      </c>
      <c r="DH414" s="995">
        <v>98.846000000000004</v>
      </c>
      <c r="DI414" s="995">
        <v>3305.4059999999999</v>
      </c>
      <c r="DJ414" s="995">
        <v>3820977</v>
      </c>
      <c r="DK414" s="995">
        <v>141.57400000000001</v>
      </c>
      <c r="DL414" s="995">
        <v>163656.29999999999</v>
      </c>
      <c r="DM414" s="995">
        <v>1114</v>
      </c>
      <c r="DN414" s="995">
        <v>96.728999999999999</v>
      </c>
      <c r="DO414" s="995">
        <v>23.9</v>
      </c>
      <c r="DP414" s="995">
        <v>98.846000000000004</v>
      </c>
      <c r="DQ414" s="995">
        <v>3274.623</v>
      </c>
      <c r="DR414" s="995">
        <v>3768647</v>
      </c>
      <c r="DS414" s="995">
        <v>140.26</v>
      </c>
      <c r="DT414" s="995">
        <v>161420.1</v>
      </c>
    </row>
    <row r="415" spans="1:124">
      <c r="A415" s="42" t="s">
        <v>94</v>
      </c>
      <c r="B415" s="42" t="s">
        <v>510</v>
      </c>
      <c r="C415" s="42" t="s">
        <v>620</v>
      </c>
      <c r="D415" s="42">
        <v>802399</v>
      </c>
      <c r="E415" s="42" t="s">
        <v>632</v>
      </c>
      <c r="F415" s="42" t="s">
        <v>193</v>
      </c>
      <c r="G415" s="42" t="s">
        <v>150</v>
      </c>
      <c r="H415" s="43" t="s">
        <v>152</v>
      </c>
      <c r="I415" s="44">
        <v>18</v>
      </c>
      <c r="J415" s="45">
        <v>52.835999999999999</v>
      </c>
      <c r="K415" s="46">
        <v>68.943200000000004</v>
      </c>
      <c r="L415" s="47">
        <v>121.7792</v>
      </c>
      <c r="M415" s="48">
        <v>1110</v>
      </c>
      <c r="N415" s="49">
        <v>750</v>
      </c>
      <c r="O415" s="49">
        <v>360</v>
      </c>
      <c r="P415" s="49">
        <v>0</v>
      </c>
      <c r="Q415" s="50">
        <v>0</v>
      </c>
      <c r="R415" s="51">
        <v>7399.0832063301796</v>
      </c>
      <c r="S415" s="49">
        <v>12495.716238663401</v>
      </c>
      <c r="T415" s="49">
        <v>1949.8628808354699</v>
      </c>
      <c r="U415" s="49">
        <f>IFERROR(INDEX('Rentabilidad datos'!$N$2:$N$61,MATCH($C415,'Rentabilidad datos'!$C$2:$C$61,0)),"")</f>
        <v>21844.662325829013</v>
      </c>
      <c r="V415" s="50">
        <f>IFERROR(INDEX('Rentabilidad datos'!$O$2:$O$61,MATCH($C415,'Rentabilidad datos'!$C$2:$C$61,0)),"")</f>
        <v>1560.3330232735009</v>
      </c>
      <c r="W415" s="51">
        <f>IFERROR(INDEX('Rentabilidad datos'!$M$2:$M$61,MATCH($C415,'Rentabilidad datos'!$C$2:$C$61,0)),"")</f>
        <v>3158.6335789532814</v>
      </c>
      <c r="X415" s="52">
        <f>IFERROR(INDEX('Rentabilidad datos'!$P$2:$P$61,MATCH($C415,'Rentabilidad datos'!$C$2:$C$61,0)),"")</f>
        <v>0.49398988020337875</v>
      </c>
      <c r="Y415" s="43" t="s">
        <v>171</v>
      </c>
      <c r="Z415" s="53">
        <v>2</v>
      </c>
      <c r="AA415" s="43">
        <v>1</v>
      </c>
      <c r="AB415" s="54">
        <v>1</v>
      </c>
      <c r="AC415" s="55">
        <v>0</v>
      </c>
      <c r="AD415" s="752" t="e">
        <f>_xlfn.XLOOKUP(Table1[[#This Row],[Ruta]],#REF!,#REF!)</f>
        <v>#REF!</v>
      </c>
      <c r="AE415" s="752" t="e">
        <f>_xlfn.XLOOKUP(Table1[[#This Row],[Ruta]],#REF!,#REF!)</f>
        <v>#REF!</v>
      </c>
      <c r="AF415" s="752" t="e">
        <f>_xlfn.XLOOKUP(Table1[[#This Row],[Ruta]],#REF!,#REF!)</f>
        <v>#REF!</v>
      </c>
      <c r="AG415" s="752" t="e">
        <f>_xlfn.XLOOKUP(Table1[[#This Row],[Ruta]],#REF!,#REF!)</f>
        <v>#REF!</v>
      </c>
      <c r="AH415" s="52">
        <v>0.67567567567567566</v>
      </c>
      <c r="AI415" s="52">
        <v>0.32432432432432434</v>
      </c>
      <c r="AJ415" s="55">
        <v>0</v>
      </c>
      <c r="AK415" s="56">
        <v>4</v>
      </c>
      <c r="AL415" s="44">
        <v>4</v>
      </c>
      <c r="AM415" s="54">
        <v>0.25</v>
      </c>
      <c r="AN415" s="55">
        <v>0.44443503778800603</v>
      </c>
      <c r="AO415" s="56">
        <v>0</v>
      </c>
      <c r="AP415" s="48">
        <v>0</v>
      </c>
      <c r="AQ415" s="55">
        <v>1</v>
      </c>
      <c r="AR415" s="51">
        <v>1110</v>
      </c>
      <c r="AS415" s="49">
        <v>0</v>
      </c>
      <c r="AT415" s="55">
        <v>0</v>
      </c>
      <c r="AU415" s="51">
        <v>0</v>
      </c>
      <c r="AV415" s="52">
        <v>0</v>
      </c>
      <c r="AW415" s="44">
        <v>490</v>
      </c>
      <c r="AX415" s="51">
        <v>277.5</v>
      </c>
      <c r="AY415" s="49">
        <v>340.62823346620098</v>
      </c>
      <c r="AZ415" s="49">
        <v>63.128233466200982</v>
      </c>
      <c r="BA415" s="42" t="s">
        <v>150</v>
      </c>
      <c r="BB415" s="50">
        <v>88.720760547093306</v>
      </c>
      <c r="BC415" s="57">
        <v>88.720760547093306</v>
      </c>
      <c r="BD415" s="42" t="s">
        <v>152</v>
      </c>
      <c r="BE415" s="46" t="s">
        <v>195</v>
      </c>
      <c r="BF415" s="46" t="s">
        <v>195</v>
      </c>
      <c r="BG415" s="42" t="s">
        <v>195</v>
      </c>
      <c r="BH415" s="52" t="s">
        <v>195</v>
      </c>
      <c r="BI415" s="52" t="s">
        <v>195</v>
      </c>
      <c r="BJ415" s="42" t="s">
        <v>195</v>
      </c>
      <c r="BK415" s="46" t="s">
        <v>195</v>
      </c>
      <c r="BL415" s="46" t="s">
        <v>195</v>
      </c>
      <c r="BM415" s="42" t="s">
        <v>195</v>
      </c>
      <c r="BN415" s="48" t="s">
        <v>195</v>
      </c>
      <c r="BO415" s="42" t="s">
        <v>195</v>
      </c>
      <c r="BP415" s="42" t="s">
        <v>152</v>
      </c>
      <c r="BQ415" s="46">
        <v>0</v>
      </c>
      <c r="BR415" s="46" t="e">
        <v>#N/A</v>
      </c>
      <c r="BS415" s="46" t="e">
        <v>#N/A</v>
      </c>
      <c r="BT415" s="46" t="e">
        <v>#N/A</v>
      </c>
      <c r="BU415" s="46" t="e">
        <v>#N/A</v>
      </c>
      <c r="BV415" s="46" t="e">
        <v>#N/A</v>
      </c>
      <c r="BW415" s="46" t="e">
        <v>#N/A</v>
      </c>
      <c r="BX415" s="46" t="e">
        <v>#N/A</v>
      </c>
      <c r="BY415" s="46" t="e">
        <v>#N/A</v>
      </c>
      <c r="BZ415" s="46" t="e">
        <v>#N/A</v>
      </c>
      <c r="CA415" s="46" t="e">
        <v>#N/A</v>
      </c>
      <c r="CB415" s="46" t="e">
        <v>#N/A</v>
      </c>
      <c r="CC415" s="46" t="e">
        <v>#N/A</v>
      </c>
      <c r="CD415" s="46" t="e">
        <v>#N/A</v>
      </c>
      <c r="CE415" s="46" t="e">
        <v>#N/A</v>
      </c>
      <c r="CF415" s="46" t="e">
        <v>#N/A</v>
      </c>
      <c r="CG415" s="46" t="e">
        <v>#N/A</v>
      </c>
      <c r="CH415" s="46" t="e">
        <v>#N/A</v>
      </c>
      <c r="CI415" s="46" t="e">
        <v>#N/A</v>
      </c>
      <c r="CJ415" s="46" t="e">
        <v>#N/A</v>
      </c>
      <c r="CM415">
        <f t="shared" si="49"/>
        <v>0</v>
      </c>
      <c r="CP415">
        <f t="shared" si="50"/>
        <v>0</v>
      </c>
      <c r="CS415">
        <f t="shared" si="51"/>
        <v>0</v>
      </c>
      <c r="CW415" s="46"/>
      <c r="CX415" s="46" t="e">
        <f t="shared" si="45"/>
        <v>#N/A</v>
      </c>
      <c r="CY415" s="46"/>
      <c r="CZ415" s="46" t="e">
        <f t="shared" si="46"/>
        <v>#N/A</v>
      </c>
      <c r="DA415" s="46" t="e">
        <f t="shared" si="47"/>
        <v>#N/A</v>
      </c>
      <c r="DB415" s="46"/>
      <c r="DC415" s="46" t="e">
        <f t="shared" si="48"/>
        <v>#N/A</v>
      </c>
      <c r="DD415" s="46"/>
      <c r="DE415" s="995" t="s">
        <v>194</v>
      </c>
      <c r="DF415" s="995" t="s">
        <v>194</v>
      </c>
      <c r="DG415" s="995" t="s">
        <v>194</v>
      </c>
      <c r="DH415" s="995" t="s">
        <v>194</v>
      </c>
      <c r="DI415" s="995" t="s">
        <v>194</v>
      </c>
      <c r="DJ415" s="995" t="s">
        <v>194</v>
      </c>
      <c r="DK415" s="995" t="s">
        <v>194</v>
      </c>
      <c r="DL415" s="995" t="s">
        <v>194</v>
      </c>
      <c r="DM415" s="995" t="s">
        <v>194</v>
      </c>
      <c r="DN415" s="995" t="s">
        <v>194</v>
      </c>
      <c r="DO415" s="995" t="s">
        <v>194</v>
      </c>
      <c r="DP415" s="995" t="s">
        <v>194</v>
      </c>
      <c r="DQ415" s="995" t="s">
        <v>194</v>
      </c>
      <c r="DR415" s="995" t="s">
        <v>194</v>
      </c>
      <c r="DS415" s="995" t="s">
        <v>194</v>
      </c>
      <c r="DT415" s="995" t="s">
        <v>194</v>
      </c>
    </row>
    <row r="416" spans="1:124">
      <c r="A416" s="42" t="s">
        <v>94</v>
      </c>
      <c r="B416" s="42" t="s">
        <v>510</v>
      </c>
      <c r="C416" s="42" t="s">
        <v>620</v>
      </c>
      <c r="D416" s="42">
        <v>802401</v>
      </c>
      <c r="E416" s="42" t="s">
        <v>633</v>
      </c>
      <c r="F416" s="42" t="s">
        <v>149</v>
      </c>
      <c r="G416" s="42" t="s">
        <v>150</v>
      </c>
      <c r="H416" s="43" t="s">
        <v>150</v>
      </c>
      <c r="I416" s="44">
        <v>18</v>
      </c>
      <c r="J416" s="45">
        <v>180432.12208</v>
      </c>
      <c r="K416" s="46">
        <v>10988.79631</v>
      </c>
      <c r="L416" s="47">
        <v>191420.91839000001</v>
      </c>
      <c r="M416" s="48">
        <v>4060159</v>
      </c>
      <c r="N416" s="49">
        <v>2606622</v>
      </c>
      <c r="O416" s="49">
        <v>1445825</v>
      </c>
      <c r="P416" s="49">
        <v>7712</v>
      </c>
      <c r="Q416" s="50">
        <v>9315.9729655172396</v>
      </c>
      <c r="R416" s="51">
        <v>7399.0832063301796</v>
      </c>
      <c r="S416" s="49">
        <v>12495.716238663401</v>
      </c>
      <c r="T416" s="49">
        <v>1949.8628808354699</v>
      </c>
      <c r="U416" s="49">
        <f>IFERROR(INDEX('Rentabilidad datos'!$N$2:$N$61,MATCH($C416,'Rentabilidad datos'!$C$2:$C$61,0)),"")</f>
        <v>21844.662325829013</v>
      </c>
      <c r="V416" s="50">
        <f>IFERROR(INDEX('Rentabilidad datos'!$O$2:$O$61,MATCH($C416,'Rentabilidad datos'!$C$2:$C$61,0)),"")</f>
        <v>1560.3330232735009</v>
      </c>
      <c r="W416" s="51">
        <f>IFERROR(INDEX('Rentabilidad datos'!$M$2:$M$61,MATCH($C416,'Rentabilidad datos'!$C$2:$C$61,0)),"")</f>
        <v>3158.6335789532814</v>
      </c>
      <c r="X416" s="52">
        <f>IFERROR(INDEX('Rentabilidad datos'!$P$2:$P$61,MATCH($C416,'Rentabilidad datos'!$C$2:$C$61,0)),"")</f>
        <v>0.49398988020337875</v>
      </c>
      <c r="Y416" s="43" t="s">
        <v>171</v>
      </c>
      <c r="Z416" s="53">
        <v>82.174712643678205</v>
      </c>
      <c r="AA416" s="43">
        <v>1</v>
      </c>
      <c r="AB416" s="54">
        <v>0.93469369056729057</v>
      </c>
      <c r="AC416" s="55">
        <v>6.5306309432709403E-2</v>
      </c>
      <c r="AD416" s="752" t="e">
        <f>_xlfn.XLOOKUP(Table1[[#This Row],[Ruta]],#REF!,#REF!)</f>
        <v>#REF!</v>
      </c>
      <c r="AE416" s="752" t="e">
        <f>_xlfn.XLOOKUP(Table1[[#This Row],[Ruta]],#REF!,#REF!)</f>
        <v>#REF!</v>
      </c>
      <c r="AF416" s="752" t="e">
        <f>_xlfn.XLOOKUP(Table1[[#This Row],[Ruta]],#REF!,#REF!)</f>
        <v>#REF!</v>
      </c>
      <c r="AG416" s="752" t="e">
        <f>_xlfn.XLOOKUP(Table1[[#This Row],[Ruta]],#REF!,#REF!)</f>
        <v>#REF!</v>
      </c>
      <c r="AH416" s="52">
        <v>0.64199998078892972</v>
      </c>
      <c r="AI416" s="52">
        <v>0.35610058620856966</v>
      </c>
      <c r="AJ416" s="55">
        <v>1.899433002500641E-3</v>
      </c>
      <c r="AK416" s="56">
        <v>35746</v>
      </c>
      <c r="AL416" s="44">
        <v>14044</v>
      </c>
      <c r="AM416" s="54">
        <v>0.39288311978962698</v>
      </c>
      <c r="AN416" s="55">
        <v>0.44443503778800603</v>
      </c>
      <c r="AO416" s="56">
        <v>1842.7748607700701</v>
      </c>
      <c r="AP416" s="48">
        <v>921.38743038503503</v>
      </c>
      <c r="AQ416" s="55">
        <v>0.41865907878881653</v>
      </c>
      <c r="AR416" s="51">
        <v>4052448.24</v>
      </c>
      <c r="AS416" s="49">
        <v>265869.75723596901</v>
      </c>
      <c r="AT416" s="55">
        <v>6.5607193846840842E-2</v>
      </c>
      <c r="AU416" s="51">
        <v>186827.39697662694</v>
      </c>
      <c r="AV416" s="52">
        <v>8.4989550881227512E-4</v>
      </c>
      <c r="AW416" s="44">
        <v>319</v>
      </c>
      <c r="AX416" s="51">
        <v>288.55370549700899</v>
      </c>
      <c r="AY416" s="49">
        <v>340.62823346620098</v>
      </c>
      <c r="AZ416" s="49">
        <v>52.07452796919199</v>
      </c>
      <c r="BA416" s="42" t="s">
        <v>150</v>
      </c>
      <c r="BB416" s="50">
        <v>256955.42487544118</v>
      </c>
      <c r="BC416" s="57">
        <v>443782.82185206813</v>
      </c>
      <c r="BD416" s="42" t="s">
        <v>150</v>
      </c>
      <c r="BE416" s="46">
        <v>82.174712643678205</v>
      </c>
      <c r="BF416" s="46">
        <v>72.425990467051307</v>
      </c>
      <c r="BG416" s="42" t="s">
        <v>150</v>
      </c>
      <c r="BH416" s="52">
        <v>0.39288311978962698</v>
      </c>
      <c r="BI416" s="52">
        <v>0.49337264070319697</v>
      </c>
      <c r="BJ416" s="42" t="s">
        <v>152</v>
      </c>
      <c r="BK416" s="46">
        <v>440.04808825287301</v>
      </c>
      <c r="BL416" s="46">
        <v>605.59017138979505</v>
      </c>
      <c r="BM416" s="42" t="s">
        <v>152</v>
      </c>
      <c r="BN416" s="48">
        <v>1</v>
      </c>
      <c r="BO416" s="42" t="s">
        <v>155</v>
      </c>
      <c r="BP416" s="42" t="s">
        <v>152</v>
      </c>
      <c r="BQ416" s="46">
        <v>21492.2476369986</v>
      </c>
      <c r="BR416" s="46">
        <v>175</v>
      </c>
      <c r="BS416" s="46">
        <v>12079</v>
      </c>
      <c r="BT416" s="46">
        <v>3750</v>
      </c>
      <c r="BU416" s="46">
        <v>3.2210666666666667</v>
      </c>
      <c r="BV416" s="46">
        <v>21.428571428571427</v>
      </c>
      <c r="BW416" s="46">
        <v>0</v>
      </c>
      <c r="BX416" s="46">
        <v>1847</v>
      </c>
      <c r="BY416" s="46">
        <v>1847</v>
      </c>
      <c r="BZ416" s="46">
        <v>0.49253333333333332</v>
      </c>
      <c r="CA416" s="46">
        <v>0</v>
      </c>
      <c r="CB416" s="46">
        <v>0.49253333333333332</v>
      </c>
      <c r="CC416" s="46">
        <v>0.37573333333333331</v>
      </c>
      <c r="CD416" s="46">
        <v>0</v>
      </c>
      <c r="CE416" s="46">
        <v>0</v>
      </c>
      <c r="CF416" s="46">
        <v>0.13173333333333331</v>
      </c>
      <c r="CG416" s="46">
        <v>0</v>
      </c>
      <c r="CH416" s="46">
        <v>0</v>
      </c>
      <c r="CI416" s="46">
        <v>7.782101167315175</v>
      </c>
      <c r="CJ416" s="46">
        <v>0.82788310290586964</v>
      </c>
      <c r="CK416">
        <v>406</v>
      </c>
      <c r="CL416">
        <v>473.05</v>
      </c>
      <c r="CM416">
        <f t="shared" si="49"/>
        <v>67.050000000000011</v>
      </c>
      <c r="CN416">
        <v>9.52</v>
      </c>
      <c r="CO416">
        <v>9.4499999999999993</v>
      </c>
      <c r="CP416">
        <f t="shared" si="50"/>
        <v>-7.0000000000000284E-2</v>
      </c>
      <c r="CQ416">
        <v>846.56</v>
      </c>
      <c r="CR416">
        <v>440.05</v>
      </c>
      <c r="CS416">
        <f t="shared" si="51"/>
        <v>406.50999999999993</v>
      </c>
      <c r="CT416" t="s">
        <v>150</v>
      </c>
      <c r="CU416">
        <v>100.73</v>
      </c>
      <c r="CV416">
        <v>200</v>
      </c>
      <c r="CW416" s="46">
        <v>1847</v>
      </c>
      <c r="CX416" s="46">
        <f t="shared" si="45"/>
        <v>47.465333333333334</v>
      </c>
      <c r="CY416" s="46">
        <v>67.05</v>
      </c>
      <c r="CZ416" s="46">
        <f t="shared" si="46"/>
        <v>49.25333333333333</v>
      </c>
      <c r="DA416" s="46">
        <f t="shared" si="47"/>
        <v>258.81790387864976</v>
      </c>
      <c r="DB416" s="46">
        <v>987920.88</v>
      </c>
      <c r="DC416" s="46">
        <f t="shared" si="48"/>
        <v>13.225731913388611</v>
      </c>
      <c r="DD416" s="46">
        <v>50483.28</v>
      </c>
      <c r="DE416" s="995">
        <v>1847</v>
      </c>
      <c r="DF416" s="995">
        <v>47.287999999999997</v>
      </c>
      <c r="DG416" s="995">
        <v>73.7</v>
      </c>
      <c r="DH416" s="995">
        <v>49.253</v>
      </c>
      <c r="DI416" s="995">
        <v>1024.8309999999999</v>
      </c>
      <c r="DJ416" s="995">
        <v>3918643</v>
      </c>
      <c r="DK416" s="995">
        <v>49.960999999999999</v>
      </c>
      <c r="DL416" s="995">
        <v>191036.3</v>
      </c>
      <c r="DM416" s="995">
        <v>1847</v>
      </c>
      <c r="DN416" s="995">
        <v>47.34</v>
      </c>
      <c r="DO416" s="995">
        <v>71.7</v>
      </c>
      <c r="DP416" s="995">
        <v>49.253</v>
      </c>
      <c r="DQ416" s="995">
        <v>1022.619</v>
      </c>
      <c r="DR416" s="995">
        <v>3908191</v>
      </c>
      <c r="DS416" s="995">
        <v>49.845999999999997</v>
      </c>
      <c r="DT416" s="995">
        <v>190497.2</v>
      </c>
    </row>
    <row r="417" spans="1:124">
      <c r="A417" s="42" t="s">
        <v>94</v>
      </c>
      <c r="B417" s="42" t="s">
        <v>510</v>
      </c>
      <c r="C417" s="42" t="s">
        <v>620</v>
      </c>
      <c r="D417" s="42">
        <v>802402</v>
      </c>
      <c r="E417" s="42" t="s">
        <v>634</v>
      </c>
      <c r="F417" s="42" t="s">
        <v>149</v>
      </c>
      <c r="G417" s="42" t="s">
        <v>150</v>
      </c>
      <c r="H417" s="43" t="s">
        <v>150</v>
      </c>
      <c r="I417" s="44">
        <v>18</v>
      </c>
      <c r="J417" s="45">
        <v>196549.92</v>
      </c>
      <c r="K417" s="46">
        <v>10799.30575</v>
      </c>
      <c r="L417" s="47">
        <v>207349.22575000001</v>
      </c>
      <c r="M417" s="48">
        <v>4281581</v>
      </c>
      <c r="N417" s="49">
        <v>2827320</v>
      </c>
      <c r="O417" s="49">
        <v>1450976</v>
      </c>
      <c r="P417" s="49">
        <v>3285</v>
      </c>
      <c r="Q417" s="50">
        <v>9745.5495671981807</v>
      </c>
      <c r="R417" s="51">
        <v>7399.0832063301796</v>
      </c>
      <c r="S417" s="49">
        <v>12495.716238663401</v>
      </c>
      <c r="T417" s="49">
        <v>1949.8628808354699</v>
      </c>
      <c r="U417" s="49">
        <f>IFERROR(INDEX('Rentabilidad datos'!$N$2:$N$61,MATCH($C417,'Rentabilidad datos'!$C$2:$C$61,0)),"")</f>
        <v>21844.662325829013</v>
      </c>
      <c r="V417" s="50">
        <f>IFERROR(INDEX('Rentabilidad datos'!$O$2:$O$61,MATCH($C417,'Rentabilidad datos'!$C$2:$C$61,0)),"")</f>
        <v>1560.3330232735009</v>
      </c>
      <c r="W417" s="51">
        <f>IFERROR(INDEX('Rentabilidad datos'!$M$2:$M$61,MATCH($C417,'Rentabilidad datos'!$C$2:$C$61,0)),"")</f>
        <v>3158.6335789532814</v>
      </c>
      <c r="X417" s="52">
        <f>IFERROR(INDEX('Rentabilidad datos'!$P$2:$P$61,MATCH($C417,'Rentabilidad datos'!$C$2:$C$61,0)),"")</f>
        <v>0.49398988020337875</v>
      </c>
      <c r="Y417" s="43" t="s">
        <v>171</v>
      </c>
      <c r="Z417" s="53">
        <v>101.056947608201</v>
      </c>
      <c r="AA417" s="43">
        <v>1</v>
      </c>
      <c r="AB417" s="54">
        <v>0.9522468452658025</v>
      </c>
      <c r="AC417" s="55">
        <v>4.7753154734197487E-2</v>
      </c>
      <c r="AD417" s="752" t="e">
        <f>_xlfn.XLOOKUP(Table1[[#This Row],[Ruta]],#REF!,#REF!)</f>
        <v>#REF!</v>
      </c>
      <c r="AE417" s="752" t="e">
        <f>_xlfn.XLOOKUP(Table1[[#This Row],[Ruta]],#REF!,#REF!)</f>
        <v>#REF!</v>
      </c>
      <c r="AF417" s="752" t="e">
        <f>_xlfn.XLOOKUP(Table1[[#This Row],[Ruta]],#REF!,#REF!)</f>
        <v>#REF!</v>
      </c>
      <c r="AG417" s="752" t="e">
        <f>_xlfn.XLOOKUP(Table1[[#This Row],[Ruta]],#REF!,#REF!)</f>
        <v>#REF!</v>
      </c>
      <c r="AH417" s="52">
        <v>0.66034485859312253</v>
      </c>
      <c r="AI417" s="52">
        <v>0.33888790145509334</v>
      </c>
      <c r="AJ417" s="55">
        <v>7.6723995178416566E-4</v>
      </c>
      <c r="AK417" s="56">
        <v>44364</v>
      </c>
      <c r="AL417" s="44">
        <v>20132</v>
      </c>
      <c r="AM417" s="54">
        <v>0.45379136236588202</v>
      </c>
      <c r="AN417" s="55">
        <v>0.44443503778800603</v>
      </c>
      <c r="AO417" s="56">
        <v>0</v>
      </c>
      <c r="AP417" s="48">
        <v>0</v>
      </c>
      <c r="AQ417" s="55">
        <v>0.45379136236588224</v>
      </c>
      <c r="AR417" s="51">
        <v>4278296.26</v>
      </c>
      <c r="AS417" s="49">
        <v>0</v>
      </c>
      <c r="AT417" s="55">
        <v>0</v>
      </c>
      <c r="AU417" s="51">
        <v>0</v>
      </c>
      <c r="AV417" s="52">
        <v>0</v>
      </c>
      <c r="AW417" s="44">
        <v>490</v>
      </c>
      <c r="AX417" s="51">
        <v>212.512232267038</v>
      </c>
      <c r="AY417" s="49">
        <v>340.62823346620098</v>
      </c>
      <c r="AZ417" s="49">
        <v>128.11600119916298</v>
      </c>
      <c r="BA417" s="42" t="s">
        <v>150</v>
      </c>
      <c r="BB417" s="50">
        <v>906216.41540108516</v>
      </c>
      <c r="BC417" s="57">
        <v>906216.41540108516</v>
      </c>
      <c r="BD417" s="42" t="s">
        <v>150</v>
      </c>
      <c r="BE417" s="46">
        <v>101.056947608201</v>
      </c>
      <c r="BF417" s="46">
        <v>72.425990467051307</v>
      </c>
      <c r="BG417" s="42" t="s">
        <v>150</v>
      </c>
      <c r="BH417" s="52">
        <v>0.45379136236588202</v>
      </c>
      <c r="BI417" s="52">
        <v>0.49337264070319697</v>
      </c>
      <c r="BJ417" s="42" t="s">
        <v>152</v>
      </c>
      <c r="BK417" s="46">
        <v>472.32169874715203</v>
      </c>
      <c r="BL417" s="46">
        <v>605.59017138979505</v>
      </c>
      <c r="BM417" s="42" t="s">
        <v>152</v>
      </c>
      <c r="BN417" s="48">
        <v>1</v>
      </c>
      <c r="BO417" s="42" t="s">
        <v>155</v>
      </c>
      <c r="BP417" s="42" t="s">
        <v>152</v>
      </c>
      <c r="BQ417" s="46">
        <v>0</v>
      </c>
      <c r="BR417" s="46">
        <v>129</v>
      </c>
      <c r="BS417" s="46">
        <v>15324</v>
      </c>
      <c r="BT417" s="46">
        <v>4566</v>
      </c>
      <c r="BU417" s="46">
        <v>3.3561103810775297</v>
      </c>
      <c r="BV417" s="46">
        <v>35.395348837209305</v>
      </c>
      <c r="BW417" s="46">
        <v>824</v>
      </c>
      <c r="BX417" s="46">
        <v>1046</v>
      </c>
      <c r="BY417" s="46">
        <v>1870</v>
      </c>
      <c r="BZ417" s="46">
        <v>0.40954883924660535</v>
      </c>
      <c r="CA417" s="46">
        <v>0.18046430135786251</v>
      </c>
      <c r="CB417" s="46">
        <v>0.22908453788874289</v>
      </c>
      <c r="CC417" s="46">
        <v>0.59045116075339465</v>
      </c>
      <c r="CD417" s="46">
        <v>0</v>
      </c>
      <c r="CE417" s="46">
        <v>0</v>
      </c>
      <c r="CF417" s="46">
        <v>0</v>
      </c>
      <c r="CG417" s="46">
        <v>0</v>
      </c>
      <c r="CH417" s="46">
        <v>0</v>
      </c>
      <c r="CI417" s="46">
        <v>3.9154267815191859</v>
      </c>
      <c r="CJ417" s="46">
        <v>0.32628556512659879</v>
      </c>
      <c r="CK417">
        <v>352</v>
      </c>
      <c r="CL417">
        <v>408.78</v>
      </c>
      <c r="CM417">
        <f t="shared" si="49"/>
        <v>56.779999999999973</v>
      </c>
      <c r="CN417">
        <v>8.06</v>
      </c>
      <c r="CO417">
        <v>9.4499999999999993</v>
      </c>
      <c r="CP417">
        <f t="shared" si="50"/>
        <v>1.3899999999999988</v>
      </c>
      <c r="CQ417">
        <v>846.56</v>
      </c>
      <c r="CR417">
        <v>472.32</v>
      </c>
      <c r="CS417">
        <f t="shared" si="51"/>
        <v>374.23999999999995</v>
      </c>
      <c r="CT417" t="s">
        <v>152</v>
      </c>
      <c r="CU417">
        <v>85.28</v>
      </c>
      <c r="CV417">
        <v>178</v>
      </c>
      <c r="CW417" s="46">
        <v>1870</v>
      </c>
      <c r="CX417" s="46">
        <f t="shared" si="45"/>
        <v>39.711344721857209</v>
      </c>
      <c r="CY417" s="46">
        <v>56.78</v>
      </c>
      <c r="CZ417" s="46">
        <f t="shared" si="46"/>
        <v>40.954883924660535</v>
      </c>
      <c r="DA417" s="46">
        <f t="shared" si="47"/>
        <v>173.55329693387961</v>
      </c>
      <c r="DB417" s="46">
        <v>802298.71</v>
      </c>
      <c r="DC417" s="46">
        <f t="shared" si="48"/>
        <v>8.1479629140906553</v>
      </c>
      <c r="DD417" s="46">
        <v>37666.239999999998</v>
      </c>
      <c r="DE417" s="995">
        <v>1870</v>
      </c>
      <c r="DF417" s="995">
        <v>39.576000000000001</v>
      </c>
      <c r="DG417" s="995">
        <v>63</v>
      </c>
      <c r="DH417" s="995">
        <v>40.954999999999998</v>
      </c>
      <c r="DI417" s="995">
        <v>812.09100000000001</v>
      </c>
      <c r="DJ417" s="995">
        <v>3759135</v>
      </c>
      <c r="DK417" s="995">
        <v>38.341000000000001</v>
      </c>
      <c r="DL417" s="995">
        <v>177480.5</v>
      </c>
      <c r="DM417" s="995">
        <v>1870</v>
      </c>
      <c r="DN417" s="995">
        <v>39.792999999999999</v>
      </c>
      <c r="DO417" s="995">
        <v>53.1</v>
      </c>
      <c r="DP417" s="995">
        <v>40.954999999999998</v>
      </c>
      <c r="DQ417" s="995">
        <v>792.99900000000002</v>
      </c>
      <c r="DR417" s="995">
        <v>3662903</v>
      </c>
      <c r="DS417" s="995">
        <v>37.453000000000003</v>
      </c>
      <c r="DT417" s="995">
        <v>172998.6</v>
      </c>
    </row>
    <row r="418" spans="1:124">
      <c r="A418" s="42" t="s">
        <v>94</v>
      </c>
      <c r="B418" s="42" t="s">
        <v>510</v>
      </c>
      <c r="C418" s="42" t="s">
        <v>620</v>
      </c>
      <c r="D418" s="42">
        <v>802403</v>
      </c>
      <c r="E418" s="42" t="s">
        <v>635</v>
      </c>
      <c r="F418" s="42" t="s">
        <v>149</v>
      </c>
      <c r="G418" s="42" t="s">
        <v>150</v>
      </c>
      <c r="H418" s="43" t="s">
        <v>150</v>
      </c>
      <c r="I418" s="44">
        <v>18</v>
      </c>
      <c r="J418" s="45">
        <v>180022.8192</v>
      </c>
      <c r="K418" s="46">
        <v>7445.8951999999999</v>
      </c>
      <c r="L418" s="47">
        <v>187468.7144</v>
      </c>
      <c r="M418" s="48">
        <v>3587708</v>
      </c>
      <c r="N418" s="49">
        <v>2604737</v>
      </c>
      <c r="O418" s="49">
        <v>980768</v>
      </c>
      <c r="P418" s="49">
        <v>2203</v>
      </c>
      <c r="Q418" s="50">
        <v>8261.5316820276494</v>
      </c>
      <c r="R418" s="51">
        <v>7399.0832063301796</v>
      </c>
      <c r="S418" s="49">
        <v>12495.716238663401</v>
      </c>
      <c r="T418" s="49">
        <v>1949.8628808354699</v>
      </c>
      <c r="U418" s="49">
        <f>IFERROR(INDEX('Rentabilidad datos'!$N$2:$N$61,MATCH($C418,'Rentabilidad datos'!$C$2:$C$61,0)),"")</f>
        <v>21844.662325829013</v>
      </c>
      <c r="V418" s="50">
        <f>IFERROR(INDEX('Rentabilidad datos'!$O$2:$O$61,MATCH($C418,'Rentabilidad datos'!$C$2:$C$61,0)),"")</f>
        <v>1560.3330232735009</v>
      </c>
      <c r="W418" s="51">
        <f>IFERROR(INDEX('Rentabilidad datos'!$M$2:$M$61,MATCH($C418,'Rentabilidad datos'!$C$2:$C$61,0)),"")</f>
        <v>3158.6335789532814</v>
      </c>
      <c r="X418" s="52">
        <f>IFERROR(INDEX('Rentabilidad datos'!$P$2:$P$61,MATCH($C418,'Rentabilidad datos'!$C$2:$C$61,0)),"")</f>
        <v>0.49398988020337875</v>
      </c>
      <c r="Y418" s="43" t="s">
        <v>171</v>
      </c>
      <c r="Z418" s="53">
        <v>41.261421319797002</v>
      </c>
      <c r="AA418" s="43">
        <v>1</v>
      </c>
      <c r="AB418" s="54">
        <v>0.9701647960201889</v>
      </c>
      <c r="AC418" s="55">
        <v>2.9835203979811067E-2</v>
      </c>
      <c r="AD418" s="752" t="e">
        <f>_xlfn.XLOOKUP(Table1[[#This Row],[Ruta]],#REF!,#REF!)</f>
        <v>#REF!</v>
      </c>
      <c r="AE418" s="752" t="e">
        <f>_xlfn.XLOOKUP(Table1[[#This Row],[Ruta]],#REF!,#REF!)</f>
        <v>#REF!</v>
      </c>
      <c r="AF418" s="752" t="e">
        <f>_xlfn.XLOOKUP(Table1[[#This Row],[Ruta]],#REF!,#REF!)</f>
        <v>#REF!</v>
      </c>
      <c r="AG418" s="752" t="e">
        <f>_xlfn.XLOOKUP(Table1[[#This Row],[Ruta]],#REF!,#REF!)</f>
        <v>#REF!</v>
      </c>
      <c r="AH418" s="52">
        <v>0.7260170002686952</v>
      </c>
      <c r="AI418" s="52">
        <v>0.27336895867779654</v>
      </c>
      <c r="AJ418" s="55">
        <v>6.1404105350825649E-4</v>
      </c>
      <c r="AK418" s="56">
        <v>16257</v>
      </c>
      <c r="AL418" s="44">
        <v>10230</v>
      </c>
      <c r="AM418" s="54">
        <v>0.577166758934613</v>
      </c>
      <c r="AN418" s="55">
        <v>0.44443503778800603</v>
      </c>
      <c r="AO418" s="56">
        <v>0</v>
      </c>
      <c r="AP418" s="48">
        <v>0</v>
      </c>
      <c r="AQ418" s="55">
        <v>0.6292673925078428</v>
      </c>
      <c r="AR418" s="51">
        <v>3585504.75</v>
      </c>
      <c r="AS418" s="49">
        <v>0</v>
      </c>
      <c r="AT418" s="55">
        <v>0</v>
      </c>
      <c r="AU418" s="51">
        <v>0</v>
      </c>
      <c r="AV418" s="52">
        <v>0</v>
      </c>
      <c r="AW418" s="44">
        <v>490</v>
      </c>
      <c r="AX418" s="51">
        <v>350.48922287390002</v>
      </c>
      <c r="AY418" s="49">
        <v>340.62823346620098</v>
      </c>
      <c r="AZ418" s="49">
        <v>0</v>
      </c>
      <c r="BA418" s="42" t="s">
        <v>152</v>
      </c>
      <c r="BB418" s="50">
        <v>0</v>
      </c>
      <c r="BC418" s="57">
        <v>0</v>
      </c>
      <c r="BD418" s="42" t="s">
        <v>150</v>
      </c>
      <c r="BE418" s="46">
        <v>41.261421319797002</v>
      </c>
      <c r="BF418" s="46">
        <v>72.425990467051307</v>
      </c>
      <c r="BG418" s="42" t="s">
        <v>152</v>
      </c>
      <c r="BH418" s="52">
        <v>0.577166758934613</v>
      </c>
      <c r="BI418" s="52">
        <v>0.49337264070319697</v>
      </c>
      <c r="BJ418" s="42" t="s">
        <v>150</v>
      </c>
      <c r="BK418" s="46">
        <v>431.95556313364102</v>
      </c>
      <c r="BL418" s="46">
        <v>605.59017138979505</v>
      </c>
      <c r="BM418" s="42" t="s">
        <v>152</v>
      </c>
      <c r="BN418" s="48">
        <v>1</v>
      </c>
      <c r="BO418" s="42" t="s">
        <v>155</v>
      </c>
      <c r="BP418" s="42" t="s">
        <v>152</v>
      </c>
      <c r="BQ418" s="46">
        <v>28632.478513547401</v>
      </c>
      <c r="BR418" s="46">
        <v>285</v>
      </c>
      <c r="BS418" s="46">
        <v>25227</v>
      </c>
      <c r="BT418" s="46">
        <v>7057</v>
      </c>
      <c r="BU418" s="46">
        <v>3.5747484766898117</v>
      </c>
      <c r="BV418" s="46">
        <v>24.761403508771931</v>
      </c>
      <c r="BW418" s="46">
        <v>0</v>
      </c>
      <c r="BX418" s="46">
        <v>1309</v>
      </c>
      <c r="BY418" s="46">
        <v>1309</v>
      </c>
      <c r="BZ418" s="46">
        <v>0.18548958480940911</v>
      </c>
      <c r="CA418" s="46">
        <v>0</v>
      </c>
      <c r="CB418" s="46">
        <v>0.18548958480940911</v>
      </c>
      <c r="CC418" s="46">
        <v>0</v>
      </c>
      <c r="CD418" s="46">
        <v>0.63327192858155024</v>
      </c>
      <c r="CE418" s="46">
        <v>5.7106419158282559E-2</v>
      </c>
      <c r="CF418" s="46">
        <v>0.1241320674507581</v>
      </c>
      <c r="CG418" s="46">
        <v>0</v>
      </c>
      <c r="CH418" s="46">
        <v>0</v>
      </c>
      <c r="CI418" s="46">
        <v>4.0829270226344789</v>
      </c>
      <c r="CJ418" s="46">
        <v>0.11892020454275179</v>
      </c>
      <c r="CK418">
        <v>204</v>
      </c>
      <c r="CL418">
        <v>294.02999999999997</v>
      </c>
      <c r="CM418">
        <f t="shared" si="49"/>
        <v>90.029999999999973</v>
      </c>
      <c r="CN418">
        <v>4.75</v>
      </c>
      <c r="CO418">
        <v>9.4499999999999993</v>
      </c>
      <c r="CP418">
        <f t="shared" si="50"/>
        <v>4.6999999999999993</v>
      </c>
      <c r="CQ418">
        <v>564.37</v>
      </c>
      <c r="CR418">
        <v>431.96</v>
      </c>
      <c r="CS418">
        <f t="shared" si="51"/>
        <v>132.41000000000003</v>
      </c>
      <c r="CT418" t="s">
        <v>152</v>
      </c>
      <c r="CU418">
        <v>76.540000000000006</v>
      </c>
      <c r="CV418">
        <v>47</v>
      </c>
      <c r="CW418" s="46">
        <v>1309</v>
      </c>
      <c r="CX418" s="46">
        <f t="shared" si="45"/>
        <v>17.273203911010345</v>
      </c>
      <c r="CY418" s="46">
        <v>90.03</v>
      </c>
      <c r="CZ418" s="46">
        <f t="shared" si="46"/>
        <v>18.548958480940911</v>
      </c>
      <c r="DA418" s="46">
        <f t="shared" si="47"/>
        <v>160.23505428128888</v>
      </c>
      <c r="DB418" s="46">
        <v>1145204.74</v>
      </c>
      <c r="DC418" s="46">
        <f t="shared" si="48"/>
        <v>7.9708634215891081</v>
      </c>
      <c r="DD418" s="46">
        <v>56968</v>
      </c>
      <c r="DE418" s="995">
        <v>1309</v>
      </c>
      <c r="DF418" s="995">
        <v>17.282</v>
      </c>
      <c r="DG418" s="995">
        <v>89.4</v>
      </c>
      <c r="DH418" s="995">
        <v>18.548999999999999</v>
      </c>
      <c r="DI418" s="995">
        <v>534.226</v>
      </c>
      <c r="DJ418" s="995">
        <v>3817808</v>
      </c>
      <c r="DK418" s="995">
        <v>27.285</v>
      </c>
      <c r="DL418" s="995">
        <v>194990.4</v>
      </c>
      <c r="DM418" s="995">
        <v>1309</v>
      </c>
      <c r="DN418" s="995">
        <v>17.308</v>
      </c>
      <c r="DO418" s="995">
        <v>87.6</v>
      </c>
      <c r="DP418" s="995">
        <v>18.548999999999999</v>
      </c>
      <c r="DQ418" s="995">
        <v>528.16099999999994</v>
      </c>
      <c r="DR418" s="995">
        <v>3773502</v>
      </c>
      <c r="DS418" s="995">
        <v>26.96</v>
      </c>
      <c r="DT418" s="995">
        <v>192617</v>
      </c>
    </row>
    <row r="419" spans="1:124">
      <c r="A419" s="42" t="s">
        <v>94</v>
      </c>
      <c r="B419" s="42" t="s">
        <v>510</v>
      </c>
      <c r="C419" s="42" t="s">
        <v>620</v>
      </c>
      <c r="D419" s="42">
        <v>802404</v>
      </c>
      <c r="E419" s="42" t="s">
        <v>636</v>
      </c>
      <c r="F419" s="42" t="s">
        <v>193</v>
      </c>
      <c r="G419" s="42" t="s">
        <v>150</v>
      </c>
      <c r="H419" s="43" t="s">
        <v>152</v>
      </c>
      <c r="I419" s="44">
        <v>18</v>
      </c>
      <c r="J419" s="45">
        <v>17.611999999999998</v>
      </c>
      <c r="K419" s="46">
        <v>0</v>
      </c>
      <c r="L419" s="47">
        <v>17.611999999999998</v>
      </c>
      <c r="M419" s="48">
        <v>262</v>
      </c>
      <c r="N419" s="49">
        <v>262</v>
      </c>
      <c r="O419" s="49">
        <v>0</v>
      </c>
      <c r="P419" s="49">
        <v>0</v>
      </c>
      <c r="Q419" s="50">
        <v>0</v>
      </c>
      <c r="R419" s="51">
        <v>7399.0832063301796</v>
      </c>
      <c r="S419" s="49">
        <v>12495.716238663401</v>
      </c>
      <c r="T419" s="49">
        <v>1949.8628808354699</v>
      </c>
      <c r="U419" s="49">
        <f>IFERROR(INDEX('Rentabilidad datos'!$N$2:$N$61,MATCH($C419,'Rentabilidad datos'!$C$2:$C$61,0)),"")</f>
        <v>21844.662325829013</v>
      </c>
      <c r="V419" s="50">
        <f>IFERROR(INDEX('Rentabilidad datos'!$O$2:$O$61,MATCH($C419,'Rentabilidad datos'!$C$2:$C$61,0)),"")</f>
        <v>1560.3330232735009</v>
      </c>
      <c r="W419" s="51">
        <f>IFERROR(INDEX('Rentabilidad datos'!$M$2:$M$61,MATCH($C419,'Rentabilidad datos'!$C$2:$C$61,0)),"")</f>
        <v>3158.6335789532814</v>
      </c>
      <c r="X419" s="52">
        <f>IFERROR(INDEX('Rentabilidad datos'!$P$2:$P$61,MATCH($C419,'Rentabilidad datos'!$C$2:$C$61,0)),"")</f>
        <v>0.49398988020337875</v>
      </c>
      <c r="Y419" s="43" t="s">
        <v>171</v>
      </c>
      <c r="Z419" s="53">
        <v>73.3333333333333</v>
      </c>
      <c r="AA419" s="43">
        <v>1</v>
      </c>
      <c r="AB419" s="54">
        <v>0.19083969465648856</v>
      </c>
      <c r="AC419" s="55">
        <v>0.80916030534351147</v>
      </c>
      <c r="AD419" s="752" t="e">
        <f>_xlfn.XLOOKUP(Table1[[#This Row],[Ruta]],#REF!,#REF!)</f>
        <v>#REF!</v>
      </c>
      <c r="AE419" s="752" t="e">
        <f>_xlfn.XLOOKUP(Table1[[#This Row],[Ruta]],#REF!,#REF!)</f>
        <v>#REF!</v>
      </c>
      <c r="AF419" s="752" t="e">
        <f>_xlfn.XLOOKUP(Table1[[#This Row],[Ruta]],#REF!,#REF!)</f>
        <v>#REF!</v>
      </c>
      <c r="AG419" s="752" t="e">
        <f>_xlfn.XLOOKUP(Table1[[#This Row],[Ruta]],#REF!,#REF!)</f>
        <v>#REF!</v>
      </c>
      <c r="AH419" s="52">
        <v>1</v>
      </c>
      <c r="AI419" s="52">
        <v>0</v>
      </c>
      <c r="AJ419" s="55">
        <v>0</v>
      </c>
      <c r="AK419" s="56">
        <v>220</v>
      </c>
      <c r="AL419" s="44">
        <v>2</v>
      </c>
      <c r="AM419" s="54">
        <v>4.5454545454545001E-3</v>
      </c>
      <c r="AN419" s="55">
        <v>0.44443503778800603</v>
      </c>
      <c r="AO419" s="56">
        <v>0</v>
      </c>
      <c r="AP419" s="48">
        <v>0</v>
      </c>
      <c r="AQ419" s="55">
        <v>9.0909090909090905E-3</v>
      </c>
      <c r="AR419" s="51">
        <v>262</v>
      </c>
      <c r="AS419" s="49">
        <v>0</v>
      </c>
      <c r="AT419" s="55">
        <v>0</v>
      </c>
      <c r="AU419" s="51">
        <v>0</v>
      </c>
      <c r="AV419" s="52">
        <v>0</v>
      </c>
      <c r="AW419" s="44">
        <v>490</v>
      </c>
      <c r="AX419" s="51">
        <v>131</v>
      </c>
      <c r="AY419" s="49">
        <v>340.62823346620098</v>
      </c>
      <c r="AZ419" s="49">
        <v>209.62823346620098</v>
      </c>
      <c r="BA419" s="42" t="s">
        <v>150</v>
      </c>
      <c r="BB419" s="50">
        <v>147.30632621949263</v>
      </c>
      <c r="BC419" s="57">
        <v>147.30632621949263</v>
      </c>
      <c r="BD419" s="42" t="s">
        <v>152</v>
      </c>
      <c r="BE419" s="46" t="s">
        <v>195</v>
      </c>
      <c r="BF419" s="46" t="s">
        <v>195</v>
      </c>
      <c r="BG419" s="42" t="s">
        <v>195</v>
      </c>
      <c r="BH419" s="52" t="s">
        <v>195</v>
      </c>
      <c r="BI419" s="52" t="s">
        <v>195</v>
      </c>
      <c r="BJ419" s="42" t="s">
        <v>195</v>
      </c>
      <c r="BK419" s="46" t="s">
        <v>195</v>
      </c>
      <c r="BL419" s="46" t="s">
        <v>195</v>
      </c>
      <c r="BM419" s="42" t="s">
        <v>195</v>
      </c>
      <c r="BN419" s="48" t="s">
        <v>195</v>
      </c>
      <c r="BO419" s="42" t="s">
        <v>195</v>
      </c>
      <c r="BP419" s="42" t="s">
        <v>152</v>
      </c>
      <c r="BQ419" s="46">
        <v>0</v>
      </c>
      <c r="BR419" s="46" t="e">
        <v>#N/A</v>
      </c>
      <c r="BS419" s="46" t="e">
        <v>#N/A</v>
      </c>
      <c r="BT419" s="46" t="e">
        <v>#N/A</v>
      </c>
      <c r="BU419" s="46" t="e">
        <v>#N/A</v>
      </c>
      <c r="BV419" s="46" t="e">
        <v>#N/A</v>
      </c>
      <c r="BW419" s="46" t="e">
        <v>#N/A</v>
      </c>
      <c r="BX419" s="46" t="e">
        <v>#N/A</v>
      </c>
      <c r="BY419" s="46" t="e">
        <v>#N/A</v>
      </c>
      <c r="BZ419" s="46" t="e">
        <v>#N/A</v>
      </c>
      <c r="CA419" s="46" t="e">
        <v>#N/A</v>
      </c>
      <c r="CB419" s="46" t="e">
        <v>#N/A</v>
      </c>
      <c r="CC419" s="46" t="e">
        <v>#N/A</v>
      </c>
      <c r="CD419" s="46" t="e">
        <v>#N/A</v>
      </c>
      <c r="CE419" s="46" t="e">
        <v>#N/A</v>
      </c>
      <c r="CF419" s="46" t="e">
        <v>#N/A</v>
      </c>
      <c r="CG419" s="46" t="e">
        <v>#N/A</v>
      </c>
      <c r="CH419" s="46" t="e">
        <v>#N/A</v>
      </c>
      <c r="CI419" s="46" t="e">
        <v>#N/A</v>
      </c>
      <c r="CJ419" s="46" t="e">
        <v>#N/A</v>
      </c>
      <c r="CM419">
        <f t="shared" si="49"/>
        <v>0</v>
      </c>
      <c r="CP419">
        <f t="shared" si="50"/>
        <v>0</v>
      </c>
      <c r="CS419">
        <f t="shared" si="51"/>
        <v>0</v>
      </c>
      <c r="CW419" s="46"/>
      <c r="CX419" s="46" t="e">
        <f t="shared" si="45"/>
        <v>#N/A</v>
      </c>
      <c r="CY419" s="46"/>
      <c r="CZ419" s="46" t="e">
        <f t="shared" si="46"/>
        <v>#N/A</v>
      </c>
      <c r="DA419" s="46" t="e">
        <f t="shared" si="47"/>
        <v>#N/A</v>
      </c>
      <c r="DB419" s="46"/>
      <c r="DC419" s="46" t="e">
        <f t="shared" si="48"/>
        <v>#N/A</v>
      </c>
      <c r="DD419" s="46"/>
      <c r="DE419" s="995" t="s">
        <v>194</v>
      </c>
      <c r="DF419" s="995" t="s">
        <v>194</v>
      </c>
      <c r="DG419" s="995" t="s">
        <v>194</v>
      </c>
      <c r="DH419" s="995" t="s">
        <v>194</v>
      </c>
      <c r="DI419" s="995" t="s">
        <v>194</v>
      </c>
      <c r="DJ419" s="995" t="s">
        <v>194</v>
      </c>
      <c r="DK419" s="995" t="s">
        <v>194</v>
      </c>
      <c r="DL419" s="995" t="s">
        <v>194</v>
      </c>
      <c r="DM419" s="995" t="s">
        <v>194</v>
      </c>
      <c r="DN419" s="995" t="s">
        <v>194</v>
      </c>
      <c r="DO419" s="995" t="s">
        <v>194</v>
      </c>
      <c r="DP419" s="995" t="s">
        <v>194</v>
      </c>
      <c r="DQ419" s="995" t="s">
        <v>194</v>
      </c>
      <c r="DR419" s="995" t="s">
        <v>194</v>
      </c>
      <c r="DS419" s="995" t="s">
        <v>194</v>
      </c>
      <c r="DT419" s="995" t="s">
        <v>194</v>
      </c>
    </row>
    <row r="420" spans="1:124">
      <c r="A420" s="42" t="s">
        <v>94</v>
      </c>
      <c r="B420" s="42" t="s">
        <v>510</v>
      </c>
      <c r="C420" s="42" t="s">
        <v>620</v>
      </c>
      <c r="D420" s="42">
        <v>802407</v>
      </c>
      <c r="E420" s="42" t="s">
        <v>637</v>
      </c>
      <c r="F420" s="42" t="s">
        <v>193</v>
      </c>
      <c r="G420" s="42" t="s">
        <v>150</v>
      </c>
      <c r="H420" s="43" t="s">
        <v>152</v>
      </c>
      <c r="I420" s="44">
        <v>18</v>
      </c>
      <c r="J420" s="45">
        <v>21.134399999999999</v>
      </c>
      <c r="K420" s="46">
        <v>0</v>
      </c>
      <c r="L420" s="47">
        <v>21.134399999999999</v>
      </c>
      <c r="M420" s="48">
        <v>312</v>
      </c>
      <c r="N420" s="49">
        <v>312</v>
      </c>
      <c r="O420" s="49">
        <v>0</v>
      </c>
      <c r="P420" s="49">
        <v>0</v>
      </c>
      <c r="Q420" s="50">
        <v>0</v>
      </c>
      <c r="R420" s="51">
        <v>7399.0832063301796</v>
      </c>
      <c r="S420" s="49">
        <v>12495.716238663401</v>
      </c>
      <c r="T420" s="49">
        <v>1949.8628808354699</v>
      </c>
      <c r="U420" s="49">
        <f>IFERROR(INDEX('Rentabilidad datos'!$N$2:$N$61,MATCH($C420,'Rentabilidad datos'!$C$2:$C$61,0)),"")</f>
        <v>21844.662325829013</v>
      </c>
      <c r="V420" s="50">
        <f>IFERROR(INDEX('Rentabilidad datos'!$O$2:$O$61,MATCH($C420,'Rentabilidad datos'!$C$2:$C$61,0)),"")</f>
        <v>1560.3330232735009</v>
      </c>
      <c r="W420" s="51">
        <f>IFERROR(INDEX('Rentabilidad datos'!$M$2:$M$61,MATCH($C420,'Rentabilidad datos'!$C$2:$C$61,0)),"")</f>
        <v>3158.6335789532814</v>
      </c>
      <c r="X420" s="52">
        <f>IFERROR(INDEX('Rentabilidad datos'!$P$2:$P$61,MATCH($C420,'Rentabilidad datos'!$C$2:$C$61,0)),"")</f>
        <v>0.49398988020337875</v>
      </c>
      <c r="Y420" s="43" t="s">
        <v>171</v>
      </c>
      <c r="Z420" s="53">
        <v>0</v>
      </c>
      <c r="AA420" s="43">
        <v>1</v>
      </c>
      <c r="AB420" s="54">
        <v>0</v>
      </c>
      <c r="AC420" s="55">
        <v>1</v>
      </c>
      <c r="AD420" s="752" t="e">
        <f>_xlfn.XLOOKUP(Table1[[#This Row],[Ruta]],#REF!,#REF!)</f>
        <v>#REF!</v>
      </c>
      <c r="AE420" s="752" t="e">
        <f>_xlfn.XLOOKUP(Table1[[#This Row],[Ruta]],#REF!,#REF!)</f>
        <v>#REF!</v>
      </c>
      <c r="AF420" s="752" t="e">
        <f>_xlfn.XLOOKUP(Table1[[#This Row],[Ruta]],#REF!,#REF!)</f>
        <v>#REF!</v>
      </c>
      <c r="AG420" s="752" t="e">
        <f>_xlfn.XLOOKUP(Table1[[#This Row],[Ruta]],#REF!,#REF!)</f>
        <v>#REF!</v>
      </c>
      <c r="AH420" s="52">
        <v>1</v>
      </c>
      <c r="AI420" s="52">
        <v>0</v>
      </c>
      <c r="AJ420" s="55">
        <v>0</v>
      </c>
      <c r="AK420" s="56">
        <v>0</v>
      </c>
      <c r="AL420" s="44">
        <v>1</v>
      </c>
      <c r="AM420" s="54">
        <v>0</v>
      </c>
      <c r="AN420" s="55">
        <v>0.44443503778800603</v>
      </c>
      <c r="AO420" s="56">
        <v>0</v>
      </c>
      <c r="AP420" s="48">
        <v>0</v>
      </c>
      <c r="AQ420" s="55" t="s">
        <v>194</v>
      </c>
      <c r="AR420" s="51">
        <v>312</v>
      </c>
      <c r="AS420" s="49">
        <v>0</v>
      </c>
      <c r="AT420" s="55">
        <v>0</v>
      </c>
      <c r="AU420" s="51">
        <v>0</v>
      </c>
      <c r="AV420" s="52">
        <v>0</v>
      </c>
      <c r="AW420" s="44">
        <v>490</v>
      </c>
      <c r="AX420" s="51">
        <v>312</v>
      </c>
      <c r="AY420" s="49">
        <v>340.62823346620098</v>
      </c>
      <c r="AZ420" s="49">
        <v>28.628233466200982</v>
      </c>
      <c r="BA420" s="42" t="s">
        <v>150</v>
      </c>
      <c r="BB420" s="50">
        <v>10.0585685151517</v>
      </c>
      <c r="BC420" s="57">
        <v>10.0585685151517</v>
      </c>
      <c r="BD420" s="42" t="s">
        <v>152</v>
      </c>
      <c r="BE420" s="46" t="s">
        <v>195</v>
      </c>
      <c r="BF420" s="46" t="s">
        <v>195</v>
      </c>
      <c r="BG420" s="42" t="s">
        <v>195</v>
      </c>
      <c r="BH420" s="52" t="s">
        <v>195</v>
      </c>
      <c r="BI420" s="52" t="s">
        <v>195</v>
      </c>
      <c r="BJ420" s="42" t="s">
        <v>195</v>
      </c>
      <c r="BK420" s="46" t="s">
        <v>195</v>
      </c>
      <c r="BL420" s="46" t="s">
        <v>195</v>
      </c>
      <c r="BM420" s="42" t="s">
        <v>195</v>
      </c>
      <c r="BN420" s="48" t="s">
        <v>195</v>
      </c>
      <c r="BO420" s="42" t="s">
        <v>195</v>
      </c>
      <c r="BP420" s="42" t="s">
        <v>152</v>
      </c>
      <c r="BQ420" s="46">
        <v>0</v>
      </c>
      <c r="BR420" s="46" t="e">
        <v>#N/A</v>
      </c>
      <c r="BS420" s="46" t="e">
        <v>#N/A</v>
      </c>
      <c r="BT420" s="46" t="e">
        <v>#N/A</v>
      </c>
      <c r="BU420" s="46" t="e">
        <v>#N/A</v>
      </c>
      <c r="BV420" s="46" t="e">
        <v>#N/A</v>
      </c>
      <c r="BW420" s="46" t="e">
        <v>#N/A</v>
      </c>
      <c r="BX420" s="46" t="e">
        <v>#N/A</v>
      </c>
      <c r="BY420" s="46" t="e">
        <v>#N/A</v>
      </c>
      <c r="BZ420" s="46" t="e">
        <v>#N/A</v>
      </c>
      <c r="CA420" s="46" t="e">
        <v>#N/A</v>
      </c>
      <c r="CB420" s="46" t="e">
        <v>#N/A</v>
      </c>
      <c r="CC420" s="46" t="e">
        <v>#N/A</v>
      </c>
      <c r="CD420" s="46" t="e">
        <v>#N/A</v>
      </c>
      <c r="CE420" s="46" t="e">
        <v>#N/A</v>
      </c>
      <c r="CF420" s="46" t="e">
        <v>#N/A</v>
      </c>
      <c r="CG420" s="46" t="e">
        <v>#N/A</v>
      </c>
      <c r="CH420" s="46" t="e">
        <v>#N/A</v>
      </c>
      <c r="CI420" s="46" t="e">
        <v>#N/A</v>
      </c>
      <c r="CJ420" s="46" t="e">
        <v>#N/A</v>
      </c>
      <c r="CM420">
        <f t="shared" si="49"/>
        <v>0</v>
      </c>
      <c r="CP420">
        <f t="shared" si="50"/>
        <v>0</v>
      </c>
      <c r="CS420">
        <f t="shared" si="51"/>
        <v>0</v>
      </c>
      <c r="CW420" s="46"/>
      <c r="CX420" s="46" t="e">
        <f t="shared" si="45"/>
        <v>#N/A</v>
      </c>
      <c r="CY420" s="46"/>
      <c r="CZ420" s="46" t="e">
        <f t="shared" si="46"/>
        <v>#N/A</v>
      </c>
      <c r="DA420" s="46" t="e">
        <f t="shared" si="47"/>
        <v>#N/A</v>
      </c>
      <c r="DB420" s="46"/>
      <c r="DC420" s="46" t="e">
        <f t="shared" si="48"/>
        <v>#N/A</v>
      </c>
      <c r="DD420" s="46"/>
      <c r="DE420" s="995" t="s">
        <v>194</v>
      </c>
      <c r="DF420" s="995" t="s">
        <v>194</v>
      </c>
      <c r="DG420" s="995" t="s">
        <v>194</v>
      </c>
      <c r="DH420" s="995" t="s">
        <v>194</v>
      </c>
      <c r="DI420" s="995" t="s">
        <v>194</v>
      </c>
      <c r="DJ420" s="995" t="s">
        <v>194</v>
      </c>
      <c r="DK420" s="995" t="s">
        <v>194</v>
      </c>
      <c r="DL420" s="995" t="s">
        <v>194</v>
      </c>
      <c r="DM420" s="995" t="s">
        <v>194</v>
      </c>
      <c r="DN420" s="995" t="s">
        <v>194</v>
      </c>
      <c r="DO420" s="995" t="s">
        <v>194</v>
      </c>
      <c r="DP420" s="995" t="s">
        <v>194</v>
      </c>
      <c r="DQ420" s="995" t="s">
        <v>194</v>
      </c>
      <c r="DR420" s="995" t="s">
        <v>194</v>
      </c>
      <c r="DS420" s="995" t="s">
        <v>194</v>
      </c>
      <c r="DT420" s="995" t="s">
        <v>194</v>
      </c>
    </row>
    <row r="421" spans="1:124">
      <c r="A421" s="42" t="s">
        <v>94</v>
      </c>
      <c r="B421" s="42" t="s">
        <v>510</v>
      </c>
      <c r="C421" s="42" t="s">
        <v>620</v>
      </c>
      <c r="D421" s="42">
        <v>802414</v>
      </c>
      <c r="E421" s="42" t="s">
        <v>638</v>
      </c>
      <c r="F421" s="42" t="s">
        <v>149</v>
      </c>
      <c r="G421" s="42" t="s">
        <v>150</v>
      </c>
      <c r="H421" s="43" t="s">
        <v>150</v>
      </c>
      <c r="I421" s="44">
        <v>18</v>
      </c>
      <c r="J421" s="45">
        <v>345.1952</v>
      </c>
      <c r="K421" s="46">
        <v>9.1582000000000008</v>
      </c>
      <c r="L421" s="47">
        <v>354.35340000000002</v>
      </c>
      <c r="M421" s="48">
        <v>4947</v>
      </c>
      <c r="N421" s="49">
        <v>4206</v>
      </c>
      <c r="O421" s="49">
        <v>741</v>
      </c>
      <c r="P421" s="49">
        <v>0</v>
      </c>
      <c r="Q421" s="50">
        <v>82.462500000000006</v>
      </c>
      <c r="R421" s="51">
        <v>7399.0832063301796</v>
      </c>
      <c r="S421" s="49">
        <v>12495.716238663401</v>
      </c>
      <c r="T421" s="49">
        <v>1949.8628808354699</v>
      </c>
      <c r="U421" s="49">
        <f>IFERROR(INDEX('Rentabilidad datos'!$N$2:$N$61,MATCH($C421,'Rentabilidad datos'!$C$2:$C$61,0)),"")</f>
        <v>21844.662325829013</v>
      </c>
      <c r="V421" s="50">
        <f>IFERROR(INDEX('Rentabilidad datos'!$O$2:$O$61,MATCH($C421,'Rentabilidad datos'!$C$2:$C$61,0)),"")</f>
        <v>1560.3330232735009</v>
      </c>
      <c r="W421" s="51">
        <f>IFERROR(INDEX('Rentabilidad datos'!$M$2:$M$61,MATCH($C421,'Rentabilidad datos'!$C$2:$C$61,0)),"")</f>
        <v>3158.6335789532814</v>
      </c>
      <c r="X421" s="52">
        <f>IFERROR(INDEX('Rentabilidad datos'!$P$2:$P$61,MATCH($C421,'Rentabilidad datos'!$C$2:$C$61,0)),"")</f>
        <v>0.49398988020337875</v>
      </c>
      <c r="Y421" s="43" t="s">
        <v>171</v>
      </c>
      <c r="Z421" s="53">
        <v>98.866666666666703</v>
      </c>
      <c r="AA421" s="43">
        <v>1</v>
      </c>
      <c r="AB421" s="54">
        <v>0.36870830806549426</v>
      </c>
      <c r="AC421" s="55">
        <v>0.63129169193450574</v>
      </c>
      <c r="AD421" s="752" t="e">
        <f>_xlfn.XLOOKUP(Table1[[#This Row],[Ruta]],#REF!,#REF!)</f>
        <v>#REF!</v>
      </c>
      <c r="AE421" s="752" t="e">
        <f>_xlfn.XLOOKUP(Table1[[#This Row],[Ruta]],#REF!,#REF!)</f>
        <v>#REF!</v>
      </c>
      <c r="AF421" s="752" t="e">
        <f>_xlfn.XLOOKUP(Table1[[#This Row],[Ruta]],#REF!,#REF!)</f>
        <v>#REF!</v>
      </c>
      <c r="AG421" s="752" t="e">
        <f>_xlfn.XLOOKUP(Table1[[#This Row],[Ruta]],#REF!,#REF!)</f>
        <v>#REF!</v>
      </c>
      <c r="AH421" s="52">
        <v>0.85021224984839294</v>
      </c>
      <c r="AI421" s="52">
        <v>0.14978775015160703</v>
      </c>
      <c r="AJ421" s="55">
        <v>0</v>
      </c>
      <c r="AK421" s="56">
        <v>4449</v>
      </c>
      <c r="AL421" s="44">
        <v>32</v>
      </c>
      <c r="AM421" s="54">
        <v>3.8210833895257002E-3</v>
      </c>
      <c r="AN421" s="55">
        <v>0.44443503778800603</v>
      </c>
      <c r="AO421" s="56">
        <v>1960.29148311884</v>
      </c>
      <c r="AP421" s="48">
        <v>980.14574155942</v>
      </c>
      <c r="AQ421" s="55">
        <v>0.22749960475599459</v>
      </c>
      <c r="AR421" s="51">
        <v>4947.75</v>
      </c>
      <c r="AS421" s="49">
        <v>151547.37790001949</v>
      </c>
      <c r="AT421" s="55">
        <v>30.629554423731896</v>
      </c>
      <c r="AU421" s="51">
        <v>106492.75203785158</v>
      </c>
      <c r="AV421" s="52">
        <v>4.8444560670805843E-4</v>
      </c>
      <c r="AW421" s="44">
        <v>391</v>
      </c>
      <c r="AX421" s="51">
        <v>154.6171875</v>
      </c>
      <c r="AY421" s="49">
        <v>340.62823346620098</v>
      </c>
      <c r="AZ421" s="49">
        <v>186.01104596620098</v>
      </c>
      <c r="BA421" s="42" t="s">
        <v>150</v>
      </c>
      <c r="BB421" s="50">
        <v>2091.3674357280984</v>
      </c>
      <c r="BC421" s="57">
        <v>108584.11947357967</v>
      </c>
      <c r="BD421" s="42" t="s">
        <v>150</v>
      </c>
      <c r="BE421" s="46">
        <v>98.866666666666703</v>
      </c>
      <c r="BF421" s="46">
        <v>72.425990467051307</v>
      </c>
      <c r="BG421" s="42" t="s">
        <v>150</v>
      </c>
      <c r="BH421" s="52">
        <v>3.8210833895257401E-3</v>
      </c>
      <c r="BI421" s="52">
        <v>0.49337264070319697</v>
      </c>
      <c r="BJ421" s="42" t="s">
        <v>152</v>
      </c>
      <c r="BK421" s="46">
        <v>5.9058900000000003</v>
      </c>
      <c r="BL421" s="46">
        <v>605.59017138979505</v>
      </c>
      <c r="BM421" s="42" t="s">
        <v>152</v>
      </c>
      <c r="BN421" s="48">
        <v>1</v>
      </c>
      <c r="BO421" s="42" t="s">
        <v>155</v>
      </c>
      <c r="BP421" s="42" t="s">
        <v>152</v>
      </c>
      <c r="BQ421" s="46">
        <v>3831.24401860644</v>
      </c>
      <c r="BR421" s="46" t="e">
        <v>#N/A</v>
      </c>
      <c r="BS421" s="46" t="e">
        <v>#N/A</v>
      </c>
      <c r="BT421" s="46" t="e">
        <v>#N/A</v>
      </c>
      <c r="BU421" s="46" t="e">
        <v>#N/A</v>
      </c>
      <c r="BV421" s="46" t="e">
        <v>#N/A</v>
      </c>
      <c r="BW421" s="46" t="e">
        <v>#N/A</v>
      </c>
      <c r="BX421" s="46" t="e">
        <v>#N/A</v>
      </c>
      <c r="BY421" s="46" t="e">
        <v>#N/A</v>
      </c>
      <c r="BZ421" s="46" t="e">
        <v>#N/A</v>
      </c>
      <c r="CA421" s="46" t="e">
        <v>#N/A</v>
      </c>
      <c r="CB421" s="46" t="e">
        <v>#N/A</v>
      </c>
      <c r="CC421" s="46" t="e">
        <v>#N/A</v>
      </c>
      <c r="CD421" s="46" t="e">
        <v>#N/A</v>
      </c>
      <c r="CE421" s="46" t="e">
        <v>#N/A</v>
      </c>
      <c r="CF421" s="46" t="e">
        <v>#N/A</v>
      </c>
      <c r="CG421" s="46" t="e">
        <v>#N/A</v>
      </c>
      <c r="CH421" s="46" t="e">
        <v>#N/A</v>
      </c>
      <c r="CI421" s="46" t="e">
        <v>#N/A</v>
      </c>
      <c r="CJ421" s="46" t="e">
        <v>#N/A</v>
      </c>
      <c r="CM421">
        <f t="shared" si="49"/>
        <v>0</v>
      </c>
      <c r="CP421">
        <f t="shared" si="50"/>
        <v>0</v>
      </c>
      <c r="CS421">
        <f t="shared" si="51"/>
        <v>0</v>
      </c>
      <c r="CW421" s="46"/>
      <c r="CX421" s="46" t="e">
        <f t="shared" si="45"/>
        <v>#N/A</v>
      </c>
      <c r="CY421" s="46"/>
      <c r="CZ421" s="46" t="e">
        <f t="shared" si="46"/>
        <v>#N/A</v>
      </c>
      <c r="DA421" s="46" t="e">
        <f t="shared" si="47"/>
        <v>#N/A</v>
      </c>
      <c r="DB421" s="46"/>
      <c r="DC421" s="46" t="e">
        <f t="shared" si="48"/>
        <v>#N/A</v>
      </c>
      <c r="DD421" s="46"/>
      <c r="DE421" s="995" t="s">
        <v>194</v>
      </c>
      <c r="DF421" s="995" t="s">
        <v>194</v>
      </c>
      <c r="DG421" s="995" t="s">
        <v>194</v>
      </c>
      <c r="DH421" s="995" t="s">
        <v>194</v>
      </c>
      <c r="DI421" s="995" t="s">
        <v>194</v>
      </c>
      <c r="DJ421" s="995" t="s">
        <v>194</v>
      </c>
      <c r="DK421" s="995" t="s">
        <v>194</v>
      </c>
      <c r="DL421" s="995" t="s">
        <v>194</v>
      </c>
      <c r="DM421" s="995" t="s">
        <v>194</v>
      </c>
      <c r="DN421" s="995" t="s">
        <v>194</v>
      </c>
      <c r="DO421" s="995" t="s">
        <v>194</v>
      </c>
      <c r="DP421" s="995" t="s">
        <v>194</v>
      </c>
      <c r="DQ421" s="995" t="s">
        <v>194</v>
      </c>
      <c r="DR421" s="995" t="s">
        <v>194</v>
      </c>
      <c r="DS421" s="995" t="s">
        <v>194</v>
      </c>
      <c r="DT421" s="995" t="s">
        <v>194</v>
      </c>
    </row>
    <row r="422" spans="1:124">
      <c r="A422" s="42" t="s">
        <v>94</v>
      </c>
      <c r="B422" s="42" t="s">
        <v>549</v>
      </c>
      <c r="C422" s="42" t="s">
        <v>639</v>
      </c>
      <c r="D422" s="42">
        <v>820340</v>
      </c>
      <c r="E422" s="42" t="s">
        <v>640</v>
      </c>
      <c r="F422" s="42" t="s">
        <v>149</v>
      </c>
      <c r="G422" s="42" t="s">
        <v>150</v>
      </c>
      <c r="H422" s="43" t="s">
        <v>150</v>
      </c>
      <c r="I422" s="44">
        <v>63</v>
      </c>
      <c r="J422" s="45">
        <v>145672.3744</v>
      </c>
      <c r="K422" s="46">
        <v>7966.6344650000001</v>
      </c>
      <c r="L422" s="47">
        <v>153639.00886500001</v>
      </c>
      <c r="M422" s="48">
        <v>3209617</v>
      </c>
      <c r="N422" s="49">
        <v>2056653</v>
      </c>
      <c r="O422" s="49">
        <v>1130845</v>
      </c>
      <c r="P422" s="49">
        <v>22119</v>
      </c>
      <c r="Q422" s="50">
        <v>7453.4566820276495</v>
      </c>
      <c r="R422" s="51">
        <v>23123.721873054299</v>
      </c>
      <c r="S422" s="49">
        <v>37603.729589071001</v>
      </c>
      <c r="T422" s="49">
        <v>8068.5083984801104</v>
      </c>
      <c r="U422" s="49">
        <f>IFERROR(INDEX('Rentabilidad datos'!$N$2:$N$61,MATCH($C422,'Rentabilidad datos'!$C$2:$C$61,0)),"")</f>
        <v>68795.959860605391</v>
      </c>
      <c r="V422" s="50">
        <f>IFERROR(INDEX('Rentabilidad datos'!$O$2:$O$61,MATCH($C422,'Rentabilidad datos'!$C$2:$C$61,0)),"")</f>
        <v>1166.0332179763625</v>
      </c>
      <c r="W422" s="51">
        <f>IFERROR(INDEX('Rentabilidad datos'!$M$2:$M$61,MATCH($C422,'Rentabilidad datos'!$C$2:$C$61,0)),"")</f>
        <v>3116.1708958203221</v>
      </c>
      <c r="X422" s="52">
        <f>IFERROR(INDEX('Rentabilidad datos'!$P$2:$P$61,MATCH($C422,'Rentabilidad datos'!$C$2:$C$61,0)),"")</f>
        <v>0.37418782761251868</v>
      </c>
      <c r="Y422" s="43" t="s">
        <v>171</v>
      </c>
      <c r="Z422" s="53">
        <v>104.301843317972</v>
      </c>
      <c r="AA422" s="43">
        <v>2</v>
      </c>
      <c r="AB422" s="54">
        <v>0.94962919251736266</v>
      </c>
      <c r="AC422" s="55">
        <v>5.0370807482637336E-2</v>
      </c>
      <c r="AD422" s="752" t="e">
        <f>_xlfn.XLOOKUP(Table1[[#This Row],[Ruta]],#REF!,#REF!)</f>
        <v>#REF!</v>
      </c>
      <c r="AE422" s="752" t="e">
        <f>_xlfn.XLOOKUP(Table1[[#This Row],[Ruta]],#REF!,#REF!)</f>
        <v>#REF!</v>
      </c>
      <c r="AF422" s="752" t="e">
        <f>_xlfn.XLOOKUP(Table1[[#This Row],[Ruta]],#REF!,#REF!)</f>
        <v>#REF!</v>
      </c>
      <c r="AG422" s="752" t="e">
        <f>_xlfn.XLOOKUP(Table1[[#This Row],[Ruta]],#REF!,#REF!)</f>
        <v>#REF!</v>
      </c>
      <c r="AH422" s="52">
        <v>0.64077832339497209</v>
      </c>
      <c r="AI422" s="52">
        <v>0.35233020014537558</v>
      </c>
      <c r="AJ422" s="55">
        <v>6.8914764596523514E-3</v>
      </c>
      <c r="AK422" s="56">
        <v>45267</v>
      </c>
      <c r="AL422" s="44">
        <v>13567</v>
      </c>
      <c r="AM422" s="54">
        <v>0.299710605960192</v>
      </c>
      <c r="AN422" s="55">
        <v>0.50214093649930203</v>
      </c>
      <c r="AO422" s="56">
        <v>9163.4137725139008</v>
      </c>
      <c r="AP422" s="48">
        <v>4581.7068862569504</v>
      </c>
      <c r="AQ422" s="55">
        <v>0.40092577122974682</v>
      </c>
      <c r="AR422" s="51">
        <v>3234800.2</v>
      </c>
      <c r="AS422" s="49">
        <v>1092423.2587901051</v>
      </c>
      <c r="AT422" s="55">
        <v>0.33770965476943676</v>
      </c>
      <c r="AU422" s="51">
        <v>767648.77644710115</v>
      </c>
      <c r="AV422" s="52">
        <v>3.4921069286709097E-3</v>
      </c>
      <c r="AW422" s="44">
        <v>79</v>
      </c>
      <c r="AX422" s="51">
        <v>238.431502911476</v>
      </c>
      <c r="AY422" s="49">
        <v>308.140122044046</v>
      </c>
      <c r="AZ422" s="49">
        <v>69.708619132569993</v>
      </c>
      <c r="BA422" s="42" t="s">
        <v>150</v>
      </c>
      <c r="BB422" s="50">
        <v>332285.91527109477</v>
      </c>
      <c r="BC422" s="57">
        <v>1099934.691718196</v>
      </c>
      <c r="BD422" s="42" t="s">
        <v>150</v>
      </c>
      <c r="BE422" s="46">
        <v>104.301843317972</v>
      </c>
      <c r="BF422" s="46">
        <v>83.628504672897193</v>
      </c>
      <c r="BG422" s="42" t="s">
        <v>150</v>
      </c>
      <c r="BH422" s="52">
        <v>0.299710605960192</v>
      </c>
      <c r="BI422" s="52">
        <v>0.51187669456560203</v>
      </c>
      <c r="BJ422" s="42" t="s">
        <v>152</v>
      </c>
      <c r="BK422" s="46">
        <v>354.006932868663</v>
      </c>
      <c r="BL422" s="46">
        <v>638.00354527981403</v>
      </c>
      <c r="BM422" s="42" t="s">
        <v>152</v>
      </c>
      <c r="BN422" s="48">
        <v>1</v>
      </c>
      <c r="BO422" s="42" t="s">
        <v>155</v>
      </c>
      <c r="BP422" s="42" t="s">
        <v>152</v>
      </c>
      <c r="BQ422" s="46">
        <v>6140.42367288896</v>
      </c>
      <c r="BR422" s="46">
        <v>131</v>
      </c>
      <c r="BS422" s="46">
        <v>7027</v>
      </c>
      <c r="BT422" s="46">
        <v>2358</v>
      </c>
      <c r="BU422" s="46">
        <v>2.9800678541136558</v>
      </c>
      <c r="BV422" s="46">
        <v>18</v>
      </c>
      <c r="BW422" s="46">
        <v>979</v>
      </c>
      <c r="BX422" s="46">
        <v>1379</v>
      </c>
      <c r="BY422" s="46">
        <v>2358</v>
      </c>
      <c r="BZ422" s="46">
        <v>1</v>
      </c>
      <c r="CA422" s="46">
        <v>0.41518235793044961</v>
      </c>
      <c r="CB422" s="46">
        <v>0.58481764206955045</v>
      </c>
      <c r="CC422" s="46">
        <v>0</v>
      </c>
      <c r="CD422" s="46">
        <v>0</v>
      </c>
      <c r="CE422" s="46">
        <v>0</v>
      </c>
      <c r="CF422" s="46">
        <v>0</v>
      </c>
      <c r="CG422" s="46">
        <v>0</v>
      </c>
      <c r="CH422" s="46">
        <v>0</v>
      </c>
      <c r="CI422" s="46">
        <v>0.85384943788245349</v>
      </c>
      <c r="CJ422" s="46">
        <v>0</v>
      </c>
      <c r="CK422">
        <v>411</v>
      </c>
      <c r="CL422">
        <v>577.96</v>
      </c>
      <c r="CM422">
        <f t="shared" si="49"/>
        <v>166.96000000000004</v>
      </c>
      <c r="CN422">
        <v>9.48</v>
      </c>
      <c r="CO422">
        <v>9.4499999999999993</v>
      </c>
      <c r="CP422">
        <f t="shared" si="50"/>
        <v>-3.0000000000001137E-2</v>
      </c>
      <c r="CQ422">
        <v>564.37</v>
      </c>
      <c r="CR422">
        <v>354.01</v>
      </c>
      <c r="CS422">
        <f t="shared" si="51"/>
        <v>210.36</v>
      </c>
      <c r="CT422" t="s">
        <v>150</v>
      </c>
      <c r="CU422">
        <v>100.35</v>
      </c>
      <c r="CV422">
        <v>369</v>
      </c>
      <c r="CW422" s="46">
        <v>2358</v>
      </c>
      <c r="CX422" s="46">
        <f t="shared" si="45"/>
        <v>92.919423240033922</v>
      </c>
      <c r="CY422" s="46">
        <v>166.96</v>
      </c>
      <c r="CZ422" s="46">
        <f t="shared" si="46"/>
        <v>100</v>
      </c>
      <c r="DA422" s="46">
        <f t="shared" si="47"/>
        <v>618.35001346555987</v>
      </c>
      <c r="DB422" s="46">
        <v>1561309.05</v>
      </c>
      <c r="DC422" s="46">
        <f t="shared" si="48"/>
        <v>27.832908244090994</v>
      </c>
      <c r="DD422" s="46">
        <v>70276.98</v>
      </c>
      <c r="DE422" s="995">
        <v>2358</v>
      </c>
      <c r="DF422" s="995">
        <v>92.918999999999997</v>
      </c>
      <c r="DG422" s="995">
        <v>167</v>
      </c>
      <c r="DH422" s="995">
        <v>100</v>
      </c>
      <c r="DI422" s="995">
        <v>2618.56</v>
      </c>
      <c r="DJ422" s="995">
        <v>6611759</v>
      </c>
      <c r="DK422" s="995">
        <v>116.617</v>
      </c>
      <c r="DL422" s="995">
        <v>294453.8</v>
      </c>
      <c r="DM422" s="995">
        <v>2358</v>
      </c>
      <c r="DN422" s="995">
        <v>92.918999999999997</v>
      </c>
      <c r="DO422" s="995">
        <v>167</v>
      </c>
      <c r="DP422" s="995">
        <v>100</v>
      </c>
      <c r="DQ422" s="995">
        <v>2618.56</v>
      </c>
      <c r="DR422" s="995">
        <v>6611759</v>
      </c>
      <c r="DS422" s="995">
        <v>116.617</v>
      </c>
      <c r="DT422" s="995">
        <v>294453.8</v>
      </c>
    </row>
    <row r="423" spans="1:124">
      <c r="A423" s="42" t="s">
        <v>94</v>
      </c>
      <c r="B423" s="42" t="s">
        <v>549</v>
      </c>
      <c r="C423" s="42" t="s">
        <v>639</v>
      </c>
      <c r="D423" s="42">
        <v>820341</v>
      </c>
      <c r="E423" s="42" t="s">
        <v>641</v>
      </c>
      <c r="F423" s="42" t="s">
        <v>149</v>
      </c>
      <c r="G423" s="42" t="s">
        <v>150</v>
      </c>
      <c r="H423" s="43" t="s">
        <v>150</v>
      </c>
      <c r="I423" s="44">
        <v>63</v>
      </c>
      <c r="J423" s="45">
        <v>326124.92639999703</v>
      </c>
      <c r="K423" s="46">
        <v>13321.489852000001</v>
      </c>
      <c r="L423" s="47">
        <v>339446.416251997</v>
      </c>
      <c r="M423" s="48">
        <v>6762168</v>
      </c>
      <c r="N423" s="49">
        <v>4777972</v>
      </c>
      <c r="O423" s="49">
        <v>1975078</v>
      </c>
      <c r="P423" s="49">
        <v>9118</v>
      </c>
      <c r="Q423" s="50">
        <v>15475.462408256901</v>
      </c>
      <c r="R423" s="51">
        <v>23123.721873054299</v>
      </c>
      <c r="S423" s="49">
        <v>37603.729589071001</v>
      </c>
      <c r="T423" s="49">
        <v>8068.5083984801104</v>
      </c>
      <c r="U423" s="49">
        <f>IFERROR(INDEX('Rentabilidad datos'!$N$2:$N$61,MATCH($C423,'Rentabilidad datos'!$C$2:$C$61,0)),"")</f>
        <v>68795.959860605391</v>
      </c>
      <c r="V423" s="50">
        <f>IFERROR(INDEX('Rentabilidad datos'!$O$2:$O$61,MATCH($C423,'Rentabilidad datos'!$C$2:$C$61,0)),"")</f>
        <v>1166.0332179763625</v>
      </c>
      <c r="W423" s="51">
        <f>IFERROR(INDEX('Rentabilidad datos'!$M$2:$M$61,MATCH($C423,'Rentabilidad datos'!$C$2:$C$61,0)),"")</f>
        <v>3116.1708958203221</v>
      </c>
      <c r="X423" s="52">
        <f>IFERROR(INDEX('Rentabilidad datos'!$P$2:$P$61,MATCH($C423,'Rentabilidad datos'!$C$2:$C$61,0)),"")</f>
        <v>0.37418782761251868</v>
      </c>
      <c r="Y423" s="43" t="s">
        <v>171</v>
      </c>
      <c r="Z423" s="53">
        <v>174.08715596330299</v>
      </c>
      <c r="AA423" s="43">
        <v>2</v>
      </c>
      <c r="AB423" s="54">
        <v>0.97528425794804274</v>
      </c>
      <c r="AC423" s="55">
        <v>2.4715742051957302E-2</v>
      </c>
      <c r="AD423" s="752" t="e">
        <f>_xlfn.XLOOKUP(Table1[[#This Row],[Ruta]],#REF!,#REF!)</f>
        <v>#REF!</v>
      </c>
      <c r="AE423" s="752" t="e">
        <f>_xlfn.XLOOKUP(Table1[[#This Row],[Ruta]],#REF!,#REF!)</f>
        <v>#REF!</v>
      </c>
      <c r="AF423" s="752" t="e">
        <f>_xlfn.XLOOKUP(Table1[[#This Row],[Ruta]],#REF!,#REF!)</f>
        <v>#REF!</v>
      </c>
      <c r="AG423" s="752" t="e">
        <f>_xlfn.XLOOKUP(Table1[[#This Row],[Ruta]],#REF!,#REF!)</f>
        <v>#REF!</v>
      </c>
      <c r="AH423" s="52">
        <v>0.70657398633101098</v>
      </c>
      <c r="AI423" s="52">
        <v>0.29207762954129501</v>
      </c>
      <c r="AJ423" s="55">
        <v>1.3483841276939585E-3</v>
      </c>
      <c r="AK423" s="56">
        <v>75902</v>
      </c>
      <c r="AL423" s="44">
        <v>34342</v>
      </c>
      <c r="AM423" s="54">
        <v>0.45245184580116499</v>
      </c>
      <c r="AN423" s="55">
        <v>0.50214093649930203</v>
      </c>
      <c r="AO423" s="56">
        <v>3771.50136217001</v>
      </c>
      <c r="AP423" s="48">
        <v>1885.750681085005</v>
      </c>
      <c r="AQ423" s="55">
        <v>0.47729639115023326</v>
      </c>
      <c r="AR423" s="51">
        <v>6747301.6100000003</v>
      </c>
      <c r="AS423" s="49">
        <v>370500.51268253051</v>
      </c>
      <c r="AT423" s="55">
        <v>5.4910916111030418E-2</v>
      </c>
      <c r="AU423" s="51">
        <v>260351.71161475126</v>
      </c>
      <c r="AV423" s="52">
        <v>1.1843645738994477E-3</v>
      </c>
      <c r="AW423" s="44">
        <v>271</v>
      </c>
      <c r="AX423" s="51">
        <v>196.473752547901</v>
      </c>
      <c r="AY423" s="49">
        <v>308.140122044046</v>
      </c>
      <c r="AZ423" s="49">
        <v>111.66636949614499</v>
      </c>
      <c r="BA423" s="42" t="s">
        <v>150</v>
      </c>
      <c r="BB423" s="50">
        <v>1347378.4863804316</v>
      </c>
      <c r="BC423" s="57">
        <v>1607730.1979951828</v>
      </c>
      <c r="BD423" s="42" t="s">
        <v>150</v>
      </c>
      <c r="BE423" s="46">
        <v>174.08715596330299</v>
      </c>
      <c r="BF423" s="46">
        <v>83.628504672897193</v>
      </c>
      <c r="BG423" s="42" t="s">
        <v>150</v>
      </c>
      <c r="BH423" s="52">
        <v>0.45245184580116499</v>
      </c>
      <c r="BI423" s="52">
        <v>0.51187669456560203</v>
      </c>
      <c r="BJ423" s="42" t="s">
        <v>152</v>
      </c>
      <c r="BK423" s="46">
        <v>778.54682626604801</v>
      </c>
      <c r="BL423" s="46">
        <v>638.00354527981403</v>
      </c>
      <c r="BM423" s="42" t="s">
        <v>150</v>
      </c>
      <c r="BN423" s="48">
        <v>2</v>
      </c>
      <c r="BO423" s="42" t="s">
        <v>161</v>
      </c>
      <c r="BP423" s="42" t="s">
        <v>152</v>
      </c>
      <c r="BQ423" s="46">
        <v>0</v>
      </c>
      <c r="BR423" s="46">
        <v>94</v>
      </c>
      <c r="BS423" s="46">
        <v>6032</v>
      </c>
      <c r="BT423" s="46">
        <v>1775</v>
      </c>
      <c r="BU423" s="46">
        <v>3.3983098591549297</v>
      </c>
      <c r="BV423" s="46">
        <v>18.882978723404257</v>
      </c>
      <c r="BW423" s="46">
        <v>884</v>
      </c>
      <c r="BX423" s="46">
        <v>830</v>
      </c>
      <c r="BY423" s="46">
        <v>1714</v>
      </c>
      <c r="BZ423" s="46">
        <v>0.96563380281690137</v>
      </c>
      <c r="CA423" s="46">
        <v>0.49802816901408453</v>
      </c>
      <c r="CB423" s="46">
        <v>0.46760563380281689</v>
      </c>
      <c r="CC423" s="46">
        <v>3.4366197183098593E-2</v>
      </c>
      <c r="CD423" s="46">
        <v>0</v>
      </c>
      <c r="CE423" s="46">
        <v>0</v>
      </c>
      <c r="CF423" s="46">
        <v>0</v>
      </c>
      <c r="CG423" s="46">
        <v>0</v>
      </c>
      <c r="CH423" s="46">
        <v>0</v>
      </c>
      <c r="CI423" s="46">
        <v>0.66312997347480107</v>
      </c>
      <c r="CJ423" s="46">
        <v>0.33156498673740048</v>
      </c>
      <c r="CK423">
        <v>550</v>
      </c>
      <c r="CL423">
        <v>550</v>
      </c>
      <c r="CM423">
        <f t="shared" si="49"/>
        <v>0</v>
      </c>
      <c r="CN423">
        <v>12.39</v>
      </c>
      <c r="CO423">
        <v>9.4499999999999993</v>
      </c>
      <c r="CP423">
        <f t="shared" si="50"/>
        <v>-2.9400000000000013</v>
      </c>
      <c r="CQ423">
        <v>846.56</v>
      </c>
      <c r="CR423">
        <v>778.55</v>
      </c>
      <c r="CS423">
        <f t="shared" si="51"/>
        <v>68.009999999999991</v>
      </c>
      <c r="CT423" t="s">
        <v>150</v>
      </c>
      <c r="CU423">
        <v>131.13999999999999</v>
      </c>
      <c r="CV423">
        <v>521</v>
      </c>
      <c r="CW423" s="46">
        <v>1714</v>
      </c>
      <c r="CX423" s="46">
        <f t="shared" si="45"/>
        <v>96.563380281690144</v>
      </c>
      <c r="CY423" s="46">
        <v>0</v>
      </c>
      <c r="CZ423" s="46">
        <f t="shared" si="46"/>
        <v>96.563380281690144</v>
      </c>
      <c r="DA423" s="46">
        <f t="shared" si="47"/>
        <v>436.94320000000005</v>
      </c>
      <c r="DB423" s="46">
        <v>775574.18</v>
      </c>
      <c r="DC423" s="46">
        <f t="shared" si="48"/>
        <v>22.03967323943662</v>
      </c>
      <c r="DD423" s="46">
        <v>39120.42</v>
      </c>
      <c r="DE423" s="995">
        <v>1714</v>
      </c>
      <c r="DF423" s="995">
        <v>96.563000000000002</v>
      </c>
      <c r="DG423" s="995">
        <v>0</v>
      </c>
      <c r="DH423" s="995">
        <v>96.563000000000002</v>
      </c>
      <c r="DI423" s="995">
        <v>3165.57</v>
      </c>
      <c r="DJ423" s="995">
        <v>5618886</v>
      </c>
      <c r="DK423" s="995">
        <v>158.49299999999999</v>
      </c>
      <c r="DL423" s="995">
        <v>281325.09999999998</v>
      </c>
      <c r="DM423" s="995">
        <v>1714</v>
      </c>
      <c r="DN423" s="995">
        <v>96.563000000000002</v>
      </c>
      <c r="DO423" s="995">
        <v>0</v>
      </c>
      <c r="DP423" s="995">
        <v>96.563000000000002</v>
      </c>
      <c r="DQ423" s="995">
        <v>3165.57</v>
      </c>
      <c r="DR423" s="995">
        <v>5618886</v>
      </c>
      <c r="DS423" s="995">
        <v>158.49299999999999</v>
      </c>
      <c r="DT423" s="995">
        <v>281325.09999999998</v>
      </c>
    </row>
    <row r="424" spans="1:124">
      <c r="A424" s="42" t="s">
        <v>94</v>
      </c>
      <c r="B424" s="42" t="s">
        <v>549</v>
      </c>
      <c r="C424" s="42" t="s">
        <v>639</v>
      </c>
      <c r="D424" s="42">
        <v>820342</v>
      </c>
      <c r="E424" s="42" t="s">
        <v>642</v>
      </c>
      <c r="F424" s="42" t="s">
        <v>149</v>
      </c>
      <c r="G424" s="42" t="s">
        <v>150</v>
      </c>
      <c r="H424" s="43" t="s">
        <v>150</v>
      </c>
      <c r="I424" s="44">
        <v>63</v>
      </c>
      <c r="J424" s="45">
        <v>264761.19599999901</v>
      </c>
      <c r="K424" s="46">
        <v>12005.776561999999</v>
      </c>
      <c r="L424" s="47">
        <v>276766.97256199899</v>
      </c>
      <c r="M424" s="48">
        <v>5609979</v>
      </c>
      <c r="N424" s="49">
        <v>3856524</v>
      </c>
      <c r="O424" s="49">
        <v>1732579</v>
      </c>
      <c r="P424" s="49">
        <v>20876</v>
      </c>
      <c r="Q424" s="50">
        <v>12819.229862069</v>
      </c>
      <c r="R424" s="51">
        <v>23123.721873054299</v>
      </c>
      <c r="S424" s="49">
        <v>37603.729589071001</v>
      </c>
      <c r="T424" s="49">
        <v>8068.5083984801104</v>
      </c>
      <c r="U424" s="49">
        <f>IFERROR(INDEX('Rentabilidad datos'!$N$2:$N$61,MATCH($C424,'Rentabilidad datos'!$C$2:$C$61,0)),"")</f>
        <v>68795.959860605391</v>
      </c>
      <c r="V424" s="50">
        <f>IFERROR(INDEX('Rentabilidad datos'!$O$2:$O$61,MATCH($C424,'Rentabilidad datos'!$C$2:$C$61,0)),"")</f>
        <v>1166.0332179763625</v>
      </c>
      <c r="W424" s="51">
        <f>IFERROR(INDEX('Rentabilidad datos'!$M$2:$M$61,MATCH($C424,'Rentabilidad datos'!$C$2:$C$61,0)),"")</f>
        <v>3116.1708958203221</v>
      </c>
      <c r="X424" s="52">
        <f>IFERROR(INDEX('Rentabilidad datos'!$P$2:$P$61,MATCH($C424,'Rentabilidad datos'!$C$2:$C$61,0)),"")</f>
        <v>0.37418782761251868</v>
      </c>
      <c r="Y424" s="43" t="s">
        <v>171</v>
      </c>
      <c r="Z424" s="53">
        <v>110.818390804598</v>
      </c>
      <c r="AA424" s="43">
        <v>2</v>
      </c>
      <c r="AB424" s="54">
        <v>0.97613823509856279</v>
      </c>
      <c r="AC424" s="55">
        <v>2.3861764901437241E-2</v>
      </c>
      <c r="AD424" s="752" t="e">
        <f>_xlfn.XLOOKUP(Table1[[#This Row],[Ruta]],#REF!,#REF!)</f>
        <v>#REF!</v>
      </c>
      <c r="AE424" s="752" t="e">
        <f>_xlfn.XLOOKUP(Table1[[#This Row],[Ruta]],#REF!,#REF!)</f>
        <v>#REF!</v>
      </c>
      <c r="AF424" s="752" t="e">
        <f>_xlfn.XLOOKUP(Table1[[#This Row],[Ruta]],#REF!,#REF!)</f>
        <v>#REF!</v>
      </c>
      <c r="AG424" s="752" t="e">
        <f>_xlfn.XLOOKUP(Table1[[#This Row],[Ruta]],#REF!,#REF!)</f>
        <v>#REF!</v>
      </c>
      <c r="AH424" s="52">
        <v>0.68744000645991721</v>
      </c>
      <c r="AI424" s="52">
        <v>0.30883876748914746</v>
      </c>
      <c r="AJ424" s="55">
        <v>3.7212260509353065E-3</v>
      </c>
      <c r="AK424" s="56">
        <v>48206</v>
      </c>
      <c r="AL424" s="44">
        <v>23933</v>
      </c>
      <c r="AM424" s="54">
        <v>0.496473468033025</v>
      </c>
      <c r="AN424" s="55">
        <v>0.50214093649930203</v>
      </c>
      <c r="AO424" s="56">
        <v>273.20598488535001</v>
      </c>
      <c r="AP424" s="48">
        <v>136.602992442675</v>
      </c>
      <c r="AQ424" s="55">
        <v>0.49930720226616349</v>
      </c>
      <c r="AR424" s="51">
        <v>5576364.9900000002</v>
      </c>
      <c r="AS424" s="49">
        <v>31828.360196655951</v>
      </c>
      <c r="AT424" s="55">
        <v>5.7077254185716325E-3</v>
      </c>
      <c r="AU424" s="51">
        <v>22365.874732785272</v>
      </c>
      <c r="AV424" s="52">
        <v>1.0174448070070916E-4</v>
      </c>
      <c r="AW424" s="44">
        <v>457</v>
      </c>
      <c r="AX424" s="51">
        <v>232.998996782685</v>
      </c>
      <c r="AY424" s="49">
        <v>308.140122044046</v>
      </c>
      <c r="AZ424" s="49">
        <v>75.141125261360997</v>
      </c>
      <c r="BA424" s="42" t="s">
        <v>150</v>
      </c>
      <c r="BB424" s="50">
        <v>631853.59895789169</v>
      </c>
      <c r="BC424" s="57">
        <v>654219.47369067697</v>
      </c>
      <c r="BD424" s="42" t="s">
        <v>150</v>
      </c>
      <c r="BE424" s="46">
        <v>110.818390804598</v>
      </c>
      <c r="BF424" s="46">
        <v>83.628504672897193</v>
      </c>
      <c r="BG424" s="42" t="s">
        <v>150</v>
      </c>
      <c r="BH424" s="52">
        <v>0.496473468033025</v>
      </c>
      <c r="BI424" s="52">
        <v>0.51187669456560203</v>
      </c>
      <c r="BJ424" s="42" t="s">
        <v>152</v>
      </c>
      <c r="BK424" s="46">
        <v>636.24591393563003</v>
      </c>
      <c r="BL424" s="46">
        <v>638.00354527981403</v>
      </c>
      <c r="BM424" s="42" t="s">
        <v>152</v>
      </c>
      <c r="BN424" s="48">
        <v>1</v>
      </c>
      <c r="BO424" s="42" t="s">
        <v>155</v>
      </c>
      <c r="BP424" s="42" t="s">
        <v>152</v>
      </c>
      <c r="BQ424" s="46">
        <v>0</v>
      </c>
      <c r="BR424" s="46">
        <v>60</v>
      </c>
      <c r="BS424" s="46">
        <v>5612</v>
      </c>
      <c r="BT424" s="46">
        <v>1653</v>
      </c>
      <c r="BU424" s="46">
        <v>3.3950393224440409</v>
      </c>
      <c r="BV424" s="46">
        <v>27.55</v>
      </c>
      <c r="BW424" s="46">
        <v>1387</v>
      </c>
      <c r="BX424" s="46">
        <v>197</v>
      </c>
      <c r="BY424" s="46">
        <v>1584</v>
      </c>
      <c r="BZ424" s="46">
        <v>0.95825771324863884</v>
      </c>
      <c r="CA424" s="46">
        <v>0.83908045977011492</v>
      </c>
      <c r="CB424" s="46">
        <v>0.1191772534785239</v>
      </c>
      <c r="CC424" s="46">
        <v>0</v>
      </c>
      <c r="CD424" s="46">
        <v>4.1742286751361164E-2</v>
      </c>
      <c r="CE424" s="46">
        <v>0</v>
      </c>
      <c r="CF424" s="46">
        <v>0</v>
      </c>
      <c r="CG424" s="46">
        <v>0</v>
      </c>
      <c r="CH424" s="46">
        <v>0</v>
      </c>
      <c r="CI424" s="46">
        <v>0.89094796863863146</v>
      </c>
      <c r="CJ424" s="46">
        <v>1.0691375623663579</v>
      </c>
      <c r="CK424">
        <v>345</v>
      </c>
      <c r="CL424">
        <v>406.57</v>
      </c>
      <c r="CM424">
        <f t="shared" si="49"/>
        <v>61.569999999999993</v>
      </c>
      <c r="CN424">
        <v>8.15</v>
      </c>
      <c r="CO424">
        <v>9.4499999999999993</v>
      </c>
      <c r="CP424">
        <f t="shared" si="50"/>
        <v>1.2999999999999989</v>
      </c>
      <c r="CQ424">
        <v>846.56</v>
      </c>
      <c r="CR424">
        <v>636.25</v>
      </c>
      <c r="CS424">
        <f t="shared" si="51"/>
        <v>210.30999999999995</v>
      </c>
      <c r="CT424" t="s">
        <v>152</v>
      </c>
      <c r="CU424">
        <v>89.97</v>
      </c>
      <c r="CV424">
        <v>356</v>
      </c>
      <c r="CW424" s="46">
        <v>1584</v>
      </c>
      <c r="CX424" s="46">
        <f t="shared" si="45"/>
        <v>92.101028433151839</v>
      </c>
      <c r="CY424" s="46">
        <v>61.57</v>
      </c>
      <c r="CZ424" s="46">
        <f t="shared" si="46"/>
        <v>95.825771324863879</v>
      </c>
      <c r="DA424" s="46">
        <f t="shared" si="47"/>
        <v>330.28918620995358</v>
      </c>
      <c r="DB424" s="46">
        <v>566303.93000000005</v>
      </c>
      <c r="DC424" s="46">
        <f t="shared" si="48"/>
        <v>15.237301480837761</v>
      </c>
      <c r="DD424" s="46">
        <v>26125.42</v>
      </c>
      <c r="DE424" s="995">
        <v>1584</v>
      </c>
      <c r="DF424" s="995">
        <v>91.85</v>
      </c>
      <c r="DG424" s="995">
        <v>65.7</v>
      </c>
      <c r="DH424" s="995">
        <v>95.825999999999993</v>
      </c>
      <c r="DI424" s="995">
        <v>2885.2530000000002</v>
      </c>
      <c r="DJ424" s="995">
        <v>4958920</v>
      </c>
      <c r="DK424" s="995">
        <v>136.70599999999999</v>
      </c>
      <c r="DL424" s="995">
        <v>234957.9</v>
      </c>
      <c r="DM424" s="995">
        <v>1584</v>
      </c>
      <c r="DN424" s="995">
        <v>92.156999999999996</v>
      </c>
      <c r="DO424" s="995">
        <v>60.6</v>
      </c>
      <c r="DP424" s="995">
        <v>95.825999999999993</v>
      </c>
      <c r="DQ424" s="995">
        <v>2867.8020000000001</v>
      </c>
      <c r="DR424" s="995">
        <v>4914391</v>
      </c>
      <c r="DS424" s="995">
        <v>135.87700000000001</v>
      </c>
      <c r="DT424" s="995">
        <v>232845.4</v>
      </c>
    </row>
    <row r="425" spans="1:124">
      <c r="A425" s="42" t="s">
        <v>94</v>
      </c>
      <c r="B425" s="42" t="s">
        <v>549</v>
      </c>
      <c r="C425" s="42" t="s">
        <v>639</v>
      </c>
      <c r="D425" s="42">
        <v>820343</v>
      </c>
      <c r="E425" s="42" t="s">
        <v>643</v>
      </c>
      <c r="F425" s="42" t="s">
        <v>149</v>
      </c>
      <c r="G425" s="42" t="s">
        <v>150</v>
      </c>
      <c r="H425" s="43" t="s">
        <v>150</v>
      </c>
      <c r="I425" s="44">
        <v>63</v>
      </c>
      <c r="J425" s="45">
        <v>180692.07519999999</v>
      </c>
      <c r="K425" s="46">
        <v>9773.8922629999997</v>
      </c>
      <c r="L425" s="47">
        <v>190465.96746300001</v>
      </c>
      <c r="M425" s="48">
        <v>4061348</v>
      </c>
      <c r="N425" s="49">
        <v>2611801</v>
      </c>
      <c r="O425" s="49">
        <v>1440688</v>
      </c>
      <c r="P425" s="49">
        <v>8859</v>
      </c>
      <c r="Q425" s="50">
        <v>9294.7110091743107</v>
      </c>
      <c r="R425" s="51">
        <v>23123.721873054299</v>
      </c>
      <c r="S425" s="49">
        <v>37603.729589071001</v>
      </c>
      <c r="T425" s="49">
        <v>8068.5083984801104</v>
      </c>
      <c r="U425" s="49">
        <f>IFERROR(INDEX('Rentabilidad datos'!$N$2:$N$61,MATCH($C425,'Rentabilidad datos'!$C$2:$C$61,0)),"")</f>
        <v>68795.959860605391</v>
      </c>
      <c r="V425" s="50">
        <f>IFERROR(INDEX('Rentabilidad datos'!$O$2:$O$61,MATCH($C425,'Rentabilidad datos'!$C$2:$C$61,0)),"")</f>
        <v>1166.0332179763625</v>
      </c>
      <c r="W425" s="51">
        <f>IFERROR(INDEX('Rentabilidad datos'!$M$2:$M$61,MATCH($C425,'Rentabilidad datos'!$C$2:$C$61,0)),"")</f>
        <v>3116.1708958203221</v>
      </c>
      <c r="X425" s="52">
        <f>IFERROR(INDEX('Rentabilidad datos'!$P$2:$P$61,MATCH($C425,'Rentabilidad datos'!$C$2:$C$61,0)),"")</f>
        <v>0.37418782761251868</v>
      </c>
      <c r="Y425" s="43" t="s">
        <v>171</v>
      </c>
      <c r="Z425" s="53">
        <v>101.066513761468</v>
      </c>
      <c r="AA425" s="43">
        <v>2</v>
      </c>
      <c r="AB425" s="54">
        <v>0.94170753158803433</v>
      </c>
      <c r="AC425" s="55">
        <v>5.8292468411965684E-2</v>
      </c>
      <c r="AD425" s="752" t="e">
        <f>_xlfn.XLOOKUP(Table1[[#This Row],[Ruta]],#REF!,#REF!)</f>
        <v>#REF!</v>
      </c>
      <c r="AE425" s="752" t="e">
        <f>_xlfn.XLOOKUP(Table1[[#This Row],[Ruta]],#REF!,#REF!)</f>
        <v>#REF!</v>
      </c>
      <c r="AF425" s="752" t="e">
        <f>_xlfn.XLOOKUP(Table1[[#This Row],[Ruta]],#REF!,#REF!)</f>
        <v>#REF!</v>
      </c>
      <c r="AG425" s="752" t="e">
        <f>_xlfn.XLOOKUP(Table1[[#This Row],[Ruta]],#REF!,#REF!)</f>
        <v>#REF!</v>
      </c>
      <c r="AH425" s="52">
        <v>0.64308722128711948</v>
      </c>
      <c r="AI425" s="52">
        <v>0.35473148324152476</v>
      </c>
      <c r="AJ425" s="55">
        <v>2.1812954713558157E-3</v>
      </c>
      <c r="AK425" s="56">
        <v>44065</v>
      </c>
      <c r="AL425" s="44">
        <v>20086</v>
      </c>
      <c r="AM425" s="54">
        <v>0.45582661976625399</v>
      </c>
      <c r="AN425" s="55">
        <v>0.50214093649930203</v>
      </c>
      <c r="AO425" s="56">
        <v>2040.84036684174</v>
      </c>
      <c r="AP425" s="48">
        <v>1020.42018342087</v>
      </c>
      <c r="AQ425" s="55">
        <v>0.47898377813277815</v>
      </c>
      <c r="AR425" s="51">
        <v>4052494</v>
      </c>
      <c r="AS425" s="49">
        <v>205877.06217225801</v>
      </c>
      <c r="AT425" s="55">
        <v>5.0802558170908584E-2</v>
      </c>
      <c r="AU425" s="51">
        <v>144670.36801293812</v>
      </c>
      <c r="AV425" s="52">
        <v>6.5811919462645729E-4</v>
      </c>
      <c r="AW425" s="44">
        <v>355</v>
      </c>
      <c r="AX425" s="51">
        <v>201.75714427959801</v>
      </c>
      <c r="AY425" s="49">
        <v>308.140122044046</v>
      </c>
      <c r="AZ425" s="49">
        <v>106.38297776444799</v>
      </c>
      <c r="BA425" s="42" t="s">
        <v>150</v>
      </c>
      <c r="BB425" s="50">
        <v>750770.55102424696</v>
      </c>
      <c r="BC425" s="57">
        <v>895440.91903718514</v>
      </c>
      <c r="BD425" s="42" t="s">
        <v>150</v>
      </c>
      <c r="BE425" s="46">
        <v>101.066513761468</v>
      </c>
      <c r="BF425" s="46">
        <v>83.628504672897193</v>
      </c>
      <c r="BG425" s="42" t="s">
        <v>150</v>
      </c>
      <c r="BH425" s="52">
        <v>0.45582661976625399</v>
      </c>
      <c r="BI425" s="52">
        <v>0.51187669456560203</v>
      </c>
      <c r="BJ425" s="42" t="s">
        <v>152</v>
      </c>
      <c r="BK425" s="46">
        <v>436.84854922706398</v>
      </c>
      <c r="BL425" s="46">
        <v>638.00354527981403</v>
      </c>
      <c r="BM425" s="42" t="s">
        <v>152</v>
      </c>
      <c r="BN425" s="48">
        <v>1</v>
      </c>
      <c r="BO425" s="42" t="s">
        <v>155</v>
      </c>
      <c r="BP425" s="42" t="s">
        <v>152</v>
      </c>
      <c r="BQ425" s="46">
        <v>311.99936489997299</v>
      </c>
      <c r="BR425" s="46">
        <v>73</v>
      </c>
      <c r="BS425" s="46">
        <v>6515</v>
      </c>
      <c r="BT425" s="46">
        <v>2330</v>
      </c>
      <c r="BU425" s="46">
        <v>2.796137339055794</v>
      </c>
      <c r="BV425" s="46">
        <v>31.917808219178081</v>
      </c>
      <c r="BW425" s="46">
        <v>1061</v>
      </c>
      <c r="BX425" s="46">
        <v>1269</v>
      </c>
      <c r="BY425" s="46">
        <v>2330</v>
      </c>
      <c r="BZ425" s="46">
        <v>1</v>
      </c>
      <c r="CA425" s="46">
        <v>0.4553648068669528</v>
      </c>
      <c r="CB425" s="46">
        <v>0.5446351931330472</v>
      </c>
      <c r="CC425" s="46">
        <v>0</v>
      </c>
      <c r="CD425" s="46">
        <v>0</v>
      </c>
      <c r="CE425" s="46">
        <v>0</v>
      </c>
      <c r="CF425" s="46">
        <v>0</v>
      </c>
      <c r="CG425" s="46">
        <v>0</v>
      </c>
      <c r="CH425" s="46">
        <v>0</v>
      </c>
      <c r="CI425" s="46">
        <v>1.6884113584036842</v>
      </c>
      <c r="CJ425" s="46">
        <v>0.61396776669224862</v>
      </c>
      <c r="CK425">
        <v>424</v>
      </c>
      <c r="CL425">
        <v>619.91999999999996</v>
      </c>
      <c r="CM425">
        <f t="shared" si="49"/>
        <v>195.91999999999996</v>
      </c>
      <c r="CN425">
        <v>11.17</v>
      </c>
      <c r="CO425">
        <v>9.4499999999999993</v>
      </c>
      <c r="CP425">
        <f t="shared" si="50"/>
        <v>-1.7200000000000006</v>
      </c>
      <c r="CQ425">
        <v>846.56</v>
      </c>
      <c r="CR425">
        <v>436.85</v>
      </c>
      <c r="CS425">
        <f t="shared" si="51"/>
        <v>409.70999999999992</v>
      </c>
      <c r="CT425" t="s">
        <v>150</v>
      </c>
      <c r="CU425">
        <v>118.2</v>
      </c>
      <c r="CV425">
        <v>414</v>
      </c>
      <c r="CW425" s="46">
        <v>2330</v>
      </c>
      <c r="CX425" s="46">
        <f t="shared" si="45"/>
        <v>91.591416309012871</v>
      </c>
      <c r="CY425" s="46">
        <v>195.92</v>
      </c>
      <c r="CZ425" s="46">
        <f t="shared" si="46"/>
        <v>100</v>
      </c>
      <c r="DA425" s="46">
        <f t="shared" si="47"/>
        <v>1356.3275479825172</v>
      </c>
      <c r="DB425" s="46">
        <v>3425974.88</v>
      </c>
      <c r="DC425" s="46">
        <f t="shared" si="48"/>
        <v>63.501072876417304</v>
      </c>
      <c r="DD425" s="46">
        <v>160398.63</v>
      </c>
      <c r="DE425" s="995">
        <v>2330</v>
      </c>
      <c r="DF425" s="995">
        <v>91.88</v>
      </c>
      <c r="DG425" s="995">
        <v>189.2</v>
      </c>
      <c r="DH425" s="995">
        <v>100</v>
      </c>
      <c r="DI425" s="995">
        <v>2407.3000000000002</v>
      </c>
      <c r="DJ425" s="995">
        <v>6064436</v>
      </c>
      <c r="DK425" s="995">
        <v>112.40600000000001</v>
      </c>
      <c r="DL425" s="995">
        <v>283172.40000000002</v>
      </c>
      <c r="DM425" s="995">
        <v>2330</v>
      </c>
      <c r="DN425" s="995">
        <v>92.313999999999993</v>
      </c>
      <c r="DO425" s="995">
        <v>179.1</v>
      </c>
      <c r="DP425" s="995">
        <v>100</v>
      </c>
      <c r="DQ425" s="995">
        <v>2378.4479999999999</v>
      </c>
      <c r="DR425" s="995">
        <v>5967707</v>
      </c>
      <c r="DS425" s="995">
        <v>111.18</v>
      </c>
      <c r="DT425" s="995">
        <v>278959.2</v>
      </c>
    </row>
    <row r="426" spans="1:124">
      <c r="A426" s="42" t="s">
        <v>94</v>
      </c>
      <c r="B426" s="42" t="s">
        <v>549</v>
      </c>
      <c r="C426" s="42" t="s">
        <v>639</v>
      </c>
      <c r="D426" s="42">
        <v>820344</v>
      </c>
      <c r="E426" s="42" t="s">
        <v>644</v>
      </c>
      <c r="F426" s="42" t="s">
        <v>149</v>
      </c>
      <c r="G426" s="42" t="s">
        <v>150</v>
      </c>
      <c r="H426" s="43" t="s">
        <v>150</v>
      </c>
      <c r="I426" s="44">
        <v>63</v>
      </c>
      <c r="J426" s="45">
        <v>225518.137599999</v>
      </c>
      <c r="K426" s="46">
        <v>15522.392862000001</v>
      </c>
      <c r="L426" s="47">
        <v>241040.530462</v>
      </c>
      <c r="M426" s="48">
        <v>5989288</v>
      </c>
      <c r="N426" s="49">
        <v>3289941</v>
      </c>
      <c r="O426" s="49">
        <v>2684337</v>
      </c>
      <c r="P426" s="49">
        <v>15010</v>
      </c>
      <c r="Q426" s="50">
        <v>13829.3411574074</v>
      </c>
      <c r="R426" s="51">
        <v>23123.721873054299</v>
      </c>
      <c r="S426" s="49">
        <v>37603.729589071001</v>
      </c>
      <c r="T426" s="49">
        <v>8068.5083984801104</v>
      </c>
      <c r="U426" s="49">
        <f>IFERROR(INDEX('Rentabilidad datos'!$N$2:$N$61,MATCH($C426,'Rentabilidad datos'!$C$2:$C$61,0)),"")</f>
        <v>68795.959860605391</v>
      </c>
      <c r="V426" s="50">
        <f>IFERROR(INDEX('Rentabilidad datos'!$O$2:$O$61,MATCH($C426,'Rentabilidad datos'!$C$2:$C$61,0)),"")</f>
        <v>1166.0332179763625</v>
      </c>
      <c r="W426" s="51">
        <f>IFERROR(INDEX('Rentabilidad datos'!$M$2:$M$61,MATCH($C426,'Rentabilidad datos'!$C$2:$C$61,0)),"")</f>
        <v>3116.1708958203221</v>
      </c>
      <c r="X426" s="52">
        <f>IFERROR(INDEX('Rentabilidad datos'!$P$2:$P$61,MATCH($C426,'Rentabilidad datos'!$C$2:$C$61,0)),"")</f>
        <v>0.37418782761251868</v>
      </c>
      <c r="Y426" s="43" t="s">
        <v>171</v>
      </c>
      <c r="Z426" s="53">
        <v>92.599537037036995</v>
      </c>
      <c r="AA426" s="43">
        <v>2</v>
      </c>
      <c r="AB426" s="54">
        <v>0.96044604968069658</v>
      </c>
      <c r="AC426" s="55">
        <v>3.9553950319303394E-2</v>
      </c>
      <c r="AD426" s="752" t="e">
        <f>_xlfn.XLOOKUP(Table1[[#This Row],[Ruta]],#REF!,#REF!)</f>
        <v>#REF!</v>
      </c>
      <c r="AE426" s="752" t="e">
        <f>_xlfn.XLOOKUP(Table1[[#This Row],[Ruta]],#REF!,#REF!)</f>
        <v>#REF!</v>
      </c>
      <c r="AF426" s="752" t="e">
        <f>_xlfn.XLOOKUP(Table1[[#This Row],[Ruta]],#REF!,#REF!)</f>
        <v>#REF!</v>
      </c>
      <c r="AG426" s="752" t="e">
        <f>_xlfn.XLOOKUP(Table1[[#This Row],[Ruta]],#REF!,#REF!)</f>
        <v>#REF!</v>
      </c>
      <c r="AH426" s="52">
        <v>0.5493041910824793</v>
      </c>
      <c r="AI426" s="52">
        <v>0.44818966795385362</v>
      </c>
      <c r="AJ426" s="55">
        <v>2.5061409636671335E-3</v>
      </c>
      <c r="AK426" s="56">
        <v>40003</v>
      </c>
      <c r="AL426" s="44">
        <v>19552</v>
      </c>
      <c r="AM426" s="54">
        <v>0.48876334274929401</v>
      </c>
      <c r="AN426" s="55">
        <v>0.50214093649930203</v>
      </c>
      <c r="AO426" s="56">
        <v>535.14388278157298</v>
      </c>
      <c r="AP426" s="48">
        <v>267.57194139078649</v>
      </c>
      <c r="AQ426" s="55">
        <v>0.49545213962429785</v>
      </c>
      <c r="AR426" s="51">
        <v>5974275.3799999999</v>
      </c>
      <c r="AS426" s="49">
        <v>81758.820674600007</v>
      </c>
      <c r="AT426" s="55">
        <v>1.3685144301901934E-2</v>
      </c>
      <c r="AU426" s="51">
        <v>57452.144257827051</v>
      </c>
      <c r="AV426" s="52">
        <v>2.6135524107564817E-4</v>
      </c>
      <c r="AW426" s="44">
        <v>424</v>
      </c>
      <c r="AX426" s="51">
        <v>305.55827434533597</v>
      </c>
      <c r="AY426" s="49">
        <v>308.140122044046</v>
      </c>
      <c r="AZ426" s="49">
        <v>2.5818476987100212</v>
      </c>
      <c r="BA426" s="42" t="s">
        <v>150</v>
      </c>
      <c r="BB426" s="50">
        <v>17736.316774792394</v>
      </c>
      <c r="BC426" s="57">
        <v>75188.461032619438</v>
      </c>
      <c r="BD426" s="42" t="s">
        <v>150</v>
      </c>
      <c r="BE426" s="46">
        <v>92.599537037036995</v>
      </c>
      <c r="BF426" s="46">
        <v>83.628504672897193</v>
      </c>
      <c r="BG426" s="42" t="s">
        <v>150</v>
      </c>
      <c r="BH426" s="52">
        <v>0.48876334274929401</v>
      </c>
      <c r="BI426" s="52">
        <v>0.51187669456560203</v>
      </c>
      <c r="BJ426" s="42" t="s">
        <v>152</v>
      </c>
      <c r="BK426" s="46">
        <v>557.96419088425796</v>
      </c>
      <c r="BL426" s="46">
        <v>638.00354527981403</v>
      </c>
      <c r="BM426" s="42" t="s">
        <v>152</v>
      </c>
      <c r="BN426" s="48">
        <v>1</v>
      </c>
      <c r="BO426" s="42" t="s">
        <v>155</v>
      </c>
      <c r="BP426" s="42" t="s">
        <v>152</v>
      </c>
      <c r="BQ426" s="46">
        <v>2450.8624996063199</v>
      </c>
      <c r="BR426" s="46">
        <v>42</v>
      </c>
      <c r="BS426" s="46">
        <v>2278</v>
      </c>
      <c r="BT426" s="46">
        <v>860</v>
      </c>
      <c r="BU426" s="46">
        <v>2.6488372093023256</v>
      </c>
      <c r="BV426" s="46">
        <v>20.476190476190474</v>
      </c>
      <c r="BW426" s="46">
        <v>527</v>
      </c>
      <c r="BX426" s="46">
        <v>333</v>
      </c>
      <c r="BY426" s="46">
        <v>860</v>
      </c>
      <c r="BZ426" s="46">
        <v>1</v>
      </c>
      <c r="CA426" s="46">
        <v>0.61279069767441863</v>
      </c>
      <c r="CB426" s="46">
        <v>0.38720930232558137</v>
      </c>
      <c r="CC426" s="46">
        <v>0</v>
      </c>
      <c r="CD426" s="46">
        <v>0</v>
      </c>
      <c r="CE426" s="46">
        <v>0</v>
      </c>
      <c r="CF426" s="46">
        <v>0</v>
      </c>
      <c r="CG426" s="46">
        <v>0</v>
      </c>
      <c r="CH426" s="46">
        <v>0</v>
      </c>
      <c r="CI426" s="46">
        <v>0.87796312554872691</v>
      </c>
      <c r="CJ426" s="46">
        <v>1.31694468832309</v>
      </c>
      <c r="CK426">
        <v>445</v>
      </c>
      <c r="CL426">
        <v>461.06</v>
      </c>
      <c r="CM426">
        <f t="shared" si="49"/>
        <v>16.060000000000002</v>
      </c>
      <c r="CN426">
        <v>10.35</v>
      </c>
      <c r="CO426">
        <v>9.4499999999999993</v>
      </c>
      <c r="CP426">
        <f t="shared" si="50"/>
        <v>-0.90000000000000036</v>
      </c>
      <c r="CQ426">
        <v>846.56</v>
      </c>
      <c r="CR426">
        <v>557.96</v>
      </c>
      <c r="CS426">
        <f t="shared" si="51"/>
        <v>288.59999999999991</v>
      </c>
      <c r="CT426" t="s">
        <v>150</v>
      </c>
      <c r="CU426">
        <v>109.5</v>
      </c>
      <c r="CV426">
        <v>454</v>
      </c>
      <c r="CW426" s="46">
        <v>860</v>
      </c>
      <c r="CX426" s="46">
        <f t="shared" si="45"/>
        <v>98.132558139534893</v>
      </c>
      <c r="CY426" s="46">
        <v>16.059999999999999</v>
      </c>
      <c r="CZ426" s="46">
        <f t="shared" si="46"/>
        <v>100</v>
      </c>
      <c r="DA426" s="46">
        <f t="shared" si="47"/>
        <v>1566.3235965573135</v>
      </c>
      <c r="DB426" s="46">
        <v>1372193.45</v>
      </c>
      <c r="DC426" s="46">
        <f t="shared" si="48"/>
        <v>64.268223637650394</v>
      </c>
      <c r="DD426" s="46">
        <v>56302.82</v>
      </c>
      <c r="DE426" s="995">
        <v>860</v>
      </c>
      <c r="DF426" s="995">
        <v>97.396000000000001</v>
      </c>
      <c r="DG426" s="995">
        <v>22.4</v>
      </c>
      <c r="DH426" s="995">
        <v>100</v>
      </c>
      <c r="DI426" s="995">
        <v>6451.366</v>
      </c>
      <c r="DJ426" s="995">
        <v>5692670</v>
      </c>
      <c r="DK426" s="995">
        <v>264.51499999999999</v>
      </c>
      <c r="DL426" s="995">
        <v>233406.9</v>
      </c>
      <c r="DM426" s="995">
        <v>860</v>
      </c>
      <c r="DN426" s="995">
        <v>97.855000000000004</v>
      </c>
      <c r="DO426" s="995">
        <v>18.399999999999999</v>
      </c>
      <c r="DP426" s="995">
        <v>100</v>
      </c>
      <c r="DQ426" s="995">
        <v>6434.2820000000002</v>
      </c>
      <c r="DR426" s="995">
        <v>5652163</v>
      </c>
      <c r="DS426" s="995">
        <v>263.83</v>
      </c>
      <c r="DT426" s="995">
        <v>231759.8</v>
      </c>
    </row>
    <row r="427" spans="1:124">
      <c r="A427" s="42" t="s">
        <v>94</v>
      </c>
      <c r="B427" s="42" t="s">
        <v>549</v>
      </c>
      <c r="C427" s="42" t="s">
        <v>639</v>
      </c>
      <c r="D427" s="42">
        <v>820345</v>
      </c>
      <c r="E427" s="42" t="s">
        <v>645</v>
      </c>
      <c r="F427" s="42" t="s">
        <v>149</v>
      </c>
      <c r="G427" s="42" t="s">
        <v>150</v>
      </c>
      <c r="H427" s="43" t="s">
        <v>150</v>
      </c>
      <c r="I427" s="44">
        <v>63</v>
      </c>
      <c r="J427" s="45">
        <v>172576.4656</v>
      </c>
      <c r="K427" s="46">
        <v>8652.7802589999992</v>
      </c>
      <c r="L427" s="47">
        <v>181229.24585899999</v>
      </c>
      <c r="M427" s="48">
        <v>4010870</v>
      </c>
      <c r="N427" s="49">
        <v>2524259</v>
      </c>
      <c r="O427" s="49">
        <v>1475080</v>
      </c>
      <c r="P427" s="49">
        <v>11531</v>
      </c>
      <c r="Q427" s="50">
        <v>9172.5543577981698</v>
      </c>
      <c r="R427" s="51">
        <v>23123.721873054299</v>
      </c>
      <c r="S427" s="49">
        <v>37603.729589071001</v>
      </c>
      <c r="T427" s="49">
        <v>8068.5083984801104</v>
      </c>
      <c r="U427" s="49">
        <f>IFERROR(INDEX('Rentabilidad datos'!$N$2:$N$61,MATCH($C427,'Rentabilidad datos'!$C$2:$C$61,0)),"")</f>
        <v>68795.959860605391</v>
      </c>
      <c r="V427" s="50">
        <f>IFERROR(INDEX('Rentabilidad datos'!$O$2:$O$61,MATCH($C427,'Rentabilidad datos'!$C$2:$C$61,0)),"")</f>
        <v>1166.0332179763625</v>
      </c>
      <c r="W427" s="51">
        <f>IFERROR(INDEX('Rentabilidad datos'!$M$2:$M$61,MATCH($C427,'Rentabilidad datos'!$C$2:$C$61,0)),"")</f>
        <v>3116.1708958203221</v>
      </c>
      <c r="X427" s="52">
        <f>IFERROR(INDEX('Rentabilidad datos'!$P$2:$P$61,MATCH($C427,'Rentabilidad datos'!$C$2:$C$61,0)),"")</f>
        <v>0.37418782761251868</v>
      </c>
      <c r="Y427" s="43" t="s">
        <v>171</v>
      </c>
      <c r="Z427" s="53">
        <v>63.155963302752298</v>
      </c>
      <c r="AA427" s="43">
        <v>2</v>
      </c>
      <c r="AB427" s="54">
        <v>0.89212066210074126</v>
      </c>
      <c r="AC427" s="55">
        <v>0.10787933789925877</v>
      </c>
      <c r="AD427" s="752" t="e">
        <f>_xlfn.XLOOKUP(Table1[[#This Row],[Ruta]],#REF!,#REF!)</f>
        <v>#REF!</v>
      </c>
      <c r="AE427" s="752" t="e">
        <f>_xlfn.XLOOKUP(Table1[[#This Row],[Ruta]],#REF!,#REF!)</f>
        <v>#REF!</v>
      </c>
      <c r="AF427" s="752" t="e">
        <f>_xlfn.XLOOKUP(Table1[[#This Row],[Ruta]],#REF!,#REF!)</f>
        <v>#REF!</v>
      </c>
      <c r="AG427" s="752" t="e">
        <f>_xlfn.XLOOKUP(Table1[[#This Row],[Ruta]],#REF!,#REF!)</f>
        <v>#REF!</v>
      </c>
      <c r="AH427" s="52">
        <v>0.62935447920276644</v>
      </c>
      <c r="AI427" s="52">
        <v>0.36777058343950314</v>
      </c>
      <c r="AJ427" s="55">
        <v>2.8749373577303676E-3</v>
      </c>
      <c r="AK427" s="56">
        <v>27536</v>
      </c>
      <c r="AL427" s="44">
        <v>13366</v>
      </c>
      <c r="AM427" s="54">
        <v>0.48540092969204002</v>
      </c>
      <c r="AN427" s="55">
        <v>0.50214093649930203</v>
      </c>
      <c r="AO427" s="56">
        <v>460.95282744477697</v>
      </c>
      <c r="AP427" s="48">
        <v>230.47641372238849</v>
      </c>
      <c r="AQ427" s="55">
        <v>0.49377093309567072</v>
      </c>
      <c r="AR427" s="51">
        <v>3999233.7</v>
      </c>
      <c r="AS427" s="49">
        <v>68960.724286526995</v>
      </c>
      <c r="AT427" s="55">
        <v>1.7243484492173337E-2</v>
      </c>
      <c r="AU427" s="51">
        <v>48458.887336478445</v>
      </c>
      <c r="AV427" s="52">
        <v>2.2044406428499091E-4</v>
      </c>
      <c r="AW427" s="44">
        <v>433</v>
      </c>
      <c r="AX427" s="51">
        <v>299.20946431243499</v>
      </c>
      <c r="AY427" s="49">
        <v>308.140122044046</v>
      </c>
      <c r="AZ427" s="49">
        <v>8.9306577316110065</v>
      </c>
      <c r="BA427" s="42" t="s">
        <v>150</v>
      </c>
      <c r="BB427" s="50">
        <v>41939.816922412596</v>
      </c>
      <c r="BC427" s="57">
        <v>90398.704258891041</v>
      </c>
      <c r="BD427" s="42" t="s">
        <v>150</v>
      </c>
      <c r="BE427" s="46">
        <v>63.155963302752298</v>
      </c>
      <c r="BF427" s="46">
        <v>83.628504672897193</v>
      </c>
      <c r="BG427" s="42" t="s">
        <v>152</v>
      </c>
      <c r="BH427" s="52">
        <v>0.48540092969204002</v>
      </c>
      <c r="BI427" s="52">
        <v>0.51187669456560203</v>
      </c>
      <c r="BJ427" s="42" t="s">
        <v>152</v>
      </c>
      <c r="BK427" s="46">
        <v>415.66340793348598</v>
      </c>
      <c r="BL427" s="46">
        <v>638.00354527981403</v>
      </c>
      <c r="BM427" s="42" t="s">
        <v>152</v>
      </c>
      <c r="BN427" s="48">
        <v>0</v>
      </c>
      <c r="BO427" s="42" t="s">
        <v>155</v>
      </c>
      <c r="BP427" s="42" t="s">
        <v>152</v>
      </c>
      <c r="BQ427" s="46">
        <v>6754.2608712783303</v>
      </c>
      <c r="BR427" s="46">
        <v>54</v>
      </c>
      <c r="BS427" s="46">
        <v>4865</v>
      </c>
      <c r="BT427" s="46">
        <v>1923</v>
      </c>
      <c r="BU427" s="46">
        <v>2.5299011960478417</v>
      </c>
      <c r="BV427" s="46">
        <v>35.611111111111114</v>
      </c>
      <c r="BW427" s="46">
        <v>888</v>
      </c>
      <c r="BX427" s="46">
        <v>1035</v>
      </c>
      <c r="BY427" s="46">
        <v>1923</v>
      </c>
      <c r="BZ427" s="46">
        <v>1</v>
      </c>
      <c r="CA427" s="46">
        <v>0.46177847113884563</v>
      </c>
      <c r="CB427" s="46">
        <v>0.53822152886115449</v>
      </c>
      <c r="CC427" s="46">
        <v>0</v>
      </c>
      <c r="CD427" s="46">
        <v>0</v>
      </c>
      <c r="CE427" s="46">
        <v>0</v>
      </c>
      <c r="CF427" s="46">
        <v>0</v>
      </c>
      <c r="CG427" s="46">
        <v>0</v>
      </c>
      <c r="CH427" s="46">
        <v>0</v>
      </c>
      <c r="CI427" s="46">
        <v>0.8221993833504625</v>
      </c>
      <c r="CJ427" s="46">
        <v>1.0277492291880781</v>
      </c>
      <c r="CK427">
        <v>313</v>
      </c>
      <c r="CL427">
        <v>448.08</v>
      </c>
      <c r="CM427">
        <f t="shared" si="49"/>
        <v>135.07999999999998</v>
      </c>
      <c r="CN427">
        <v>7.26</v>
      </c>
      <c r="CO427">
        <v>9.4499999999999993</v>
      </c>
      <c r="CP427">
        <f t="shared" si="50"/>
        <v>2.1899999999999995</v>
      </c>
      <c r="CQ427">
        <v>846.56</v>
      </c>
      <c r="CR427">
        <v>415.66</v>
      </c>
      <c r="CS427">
        <f t="shared" si="51"/>
        <v>430.89999999999992</v>
      </c>
      <c r="CT427" t="s">
        <v>152</v>
      </c>
      <c r="CU427">
        <v>76.86</v>
      </c>
      <c r="CV427">
        <v>322</v>
      </c>
      <c r="CW427" s="46">
        <v>1923</v>
      </c>
      <c r="CX427" s="46">
        <f t="shared" si="45"/>
        <v>92.975559022360898</v>
      </c>
      <c r="CY427" s="46">
        <v>135.08000000000001</v>
      </c>
      <c r="CZ427" s="46">
        <f t="shared" si="46"/>
        <v>100</v>
      </c>
      <c r="DA427" s="46">
        <f t="shared" si="47"/>
        <v>979.98637565109232</v>
      </c>
      <c r="DB427" s="46">
        <v>2016890.36</v>
      </c>
      <c r="DC427" s="46">
        <f t="shared" si="48"/>
        <v>43.077941576615103</v>
      </c>
      <c r="DD427" s="46">
        <v>88657.85</v>
      </c>
      <c r="DE427" s="995">
        <v>1923</v>
      </c>
      <c r="DF427" s="995">
        <v>92.882000000000005</v>
      </c>
      <c r="DG427" s="995">
        <v>136.9</v>
      </c>
      <c r="DH427" s="995">
        <v>100</v>
      </c>
      <c r="DI427" s="995">
        <v>2538.2739999999999</v>
      </c>
      <c r="DJ427" s="995">
        <v>5228523</v>
      </c>
      <c r="DK427" s="995">
        <v>111.553</v>
      </c>
      <c r="DL427" s="995">
        <v>229784.1</v>
      </c>
      <c r="DM427" s="995">
        <v>1923</v>
      </c>
      <c r="DN427" s="995">
        <v>93.070999999999998</v>
      </c>
      <c r="DO427" s="995">
        <v>133.19999999999999</v>
      </c>
      <c r="DP427" s="995">
        <v>100</v>
      </c>
      <c r="DQ427" s="995">
        <v>2526.0079999999998</v>
      </c>
      <c r="DR427" s="995">
        <v>5194086</v>
      </c>
      <c r="DS427" s="995">
        <v>111.014</v>
      </c>
      <c r="DT427" s="995">
        <v>228271.3</v>
      </c>
    </row>
    <row r="428" spans="1:124">
      <c r="A428" s="42" t="s">
        <v>94</v>
      </c>
      <c r="B428" s="42" t="s">
        <v>549</v>
      </c>
      <c r="C428" s="42" t="s">
        <v>639</v>
      </c>
      <c r="D428" s="42">
        <v>820346</v>
      </c>
      <c r="E428" s="42" t="s">
        <v>646</v>
      </c>
      <c r="F428" s="42" t="s">
        <v>149</v>
      </c>
      <c r="G428" s="42" t="s">
        <v>150</v>
      </c>
      <c r="H428" s="43" t="s">
        <v>150</v>
      </c>
      <c r="I428" s="44">
        <v>63</v>
      </c>
      <c r="J428" s="45">
        <v>785.49519999999995</v>
      </c>
      <c r="K428" s="46">
        <v>117.91012499999999</v>
      </c>
      <c r="L428" s="47">
        <v>903.40532499999995</v>
      </c>
      <c r="M428" s="48">
        <v>29871</v>
      </c>
      <c r="N428" s="49">
        <v>11148</v>
      </c>
      <c r="O428" s="49">
        <v>18723</v>
      </c>
      <c r="P428" s="49">
        <v>0</v>
      </c>
      <c r="Q428" s="50">
        <v>382.96346153846201</v>
      </c>
      <c r="R428" s="51">
        <v>23123.721873054299</v>
      </c>
      <c r="S428" s="49">
        <v>37603.729589071001</v>
      </c>
      <c r="T428" s="49">
        <v>8068.5083984801104</v>
      </c>
      <c r="U428" s="49">
        <f>IFERROR(INDEX('Rentabilidad datos'!$N$2:$N$61,MATCH($C428,'Rentabilidad datos'!$C$2:$C$61,0)),"")</f>
        <v>68795.959860605391</v>
      </c>
      <c r="V428" s="50">
        <f>IFERROR(INDEX('Rentabilidad datos'!$O$2:$O$61,MATCH($C428,'Rentabilidad datos'!$C$2:$C$61,0)),"")</f>
        <v>1166.0332179763625</v>
      </c>
      <c r="W428" s="51">
        <f>IFERROR(INDEX('Rentabilidad datos'!$M$2:$M$61,MATCH($C428,'Rentabilidad datos'!$C$2:$C$61,0)),"")</f>
        <v>3116.1708958203221</v>
      </c>
      <c r="X428" s="52">
        <f>IFERROR(INDEX('Rentabilidad datos'!$P$2:$P$61,MATCH($C428,'Rentabilidad datos'!$C$2:$C$61,0)),"")</f>
        <v>0.37418782761251868</v>
      </c>
      <c r="Y428" s="43" t="s">
        <v>171</v>
      </c>
      <c r="Z428" s="53">
        <v>77.839285714285694</v>
      </c>
      <c r="AA428" s="43">
        <v>2</v>
      </c>
      <c r="AB428" s="54">
        <v>0.44467878544407619</v>
      </c>
      <c r="AC428" s="55">
        <v>0.55532121455592376</v>
      </c>
      <c r="AD428" s="752" t="e">
        <f>_xlfn.XLOOKUP(Table1[[#This Row],[Ruta]],#REF!,#REF!)</f>
        <v>#REF!</v>
      </c>
      <c r="AE428" s="752" t="e">
        <f>_xlfn.XLOOKUP(Table1[[#This Row],[Ruta]],#REF!,#REF!)</f>
        <v>#REF!</v>
      </c>
      <c r="AF428" s="752" t="e">
        <f>_xlfn.XLOOKUP(Table1[[#This Row],[Ruta]],#REF!,#REF!)</f>
        <v>#REF!</v>
      </c>
      <c r="AG428" s="752" t="e">
        <f>_xlfn.XLOOKUP(Table1[[#This Row],[Ruta]],#REF!,#REF!)</f>
        <v>#REF!</v>
      </c>
      <c r="AH428" s="52">
        <v>0.3732047805563925</v>
      </c>
      <c r="AI428" s="52">
        <v>0.6267952194436075</v>
      </c>
      <c r="AJ428" s="55">
        <v>0</v>
      </c>
      <c r="AK428" s="56">
        <v>4359</v>
      </c>
      <c r="AL428" s="44">
        <v>92</v>
      </c>
      <c r="AM428" s="54">
        <v>1.5829318651066699E-2</v>
      </c>
      <c r="AN428" s="55">
        <v>0.50214093649930203</v>
      </c>
      <c r="AO428" s="56">
        <v>2119.8323422004601</v>
      </c>
      <c r="AP428" s="48">
        <v>1059.91617110023</v>
      </c>
      <c r="AQ428" s="55">
        <v>0.26426156712554028</v>
      </c>
      <c r="AR428" s="51">
        <v>29871.15</v>
      </c>
      <c r="AS428" s="49">
        <v>344140.37972131098</v>
      </c>
      <c r="AT428" s="55">
        <v>11.520827946741621</v>
      </c>
      <c r="AU428" s="51">
        <v>241828.37493929968</v>
      </c>
      <c r="AV428" s="52">
        <v>1.1001001624509838E-3</v>
      </c>
      <c r="AW428" s="44">
        <v>280</v>
      </c>
      <c r="AX428" s="51">
        <v>324.68641304347801</v>
      </c>
      <c r="AY428" s="49">
        <v>308.140122044046</v>
      </c>
      <c r="AZ428" s="49">
        <v>0</v>
      </c>
      <c r="BA428" s="42" t="s">
        <v>152</v>
      </c>
      <c r="BB428" s="50">
        <v>0</v>
      </c>
      <c r="BC428" s="57">
        <v>241828.37493929968</v>
      </c>
      <c r="BD428" s="42" t="s">
        <v>150</v>
      </c>
      <c r="BE428" s="46">
        <v>77.839285714285694</v>
      </c>
      <c r="BF428" s="46">
        <v>83.628504672897193</v>
      </c>
      <c r="BG428" s="42" t="s">
        <v>152</v>
      </c>
      <c r="BH428" s="52">
        <v>1.58293186510668E-2</v>
      </c>
      <c r="BI428" s="52">
        <v>0.51187669456560203</v>
      </c>
      <c r="BJ428" s="42" t="s">
        <v>152</v>
      </c>
      <c r="BK428" s="46">
        <v>11.5821195512821</v>
      </c>
      <c r="BL428" s="46">
        <v>638.00354527981403</v>
      </c>
      <c r="BM428" s="42" t="s">
        <v>152</v>
      </c>
      <c r="BN428" s="48">
        <v>0</v>
      </c>
      <c r="BO428" s="42" t="s">
        <v>155</v>
      </c>
      <c r="BP428" s="42" t="s">
        <v>152</v>
      </c>
      <c r="BQ428" s="46">
        <v>2840.8084573282499</v>
      </c>
      <c r="BR428" s="46" t="e">
        <v>#N/A</v>
      </c>
      <c r="BS428" s="46" t="e">
        <v>#N/A</v>
      </c>
      <c r="BT428" s="46" t="e">
        <v>#N/A</v>
      </c>
      <c r="BU428" s="46" t="e">
        <v>#N/A</v>
      </c>
      <c r="BV428" s="46" t="e">
        <v>#N/A</v>
      </c>
      <c r="BW428" s="46" t="e">
        <v>#N/A</v>
      </c>
      <c r="BX428" s="46" t="e">
        <v>#N/A</v>
      </c>
      <c r="BY428" s="46" t="e">
        <v>#N/A</v>
      </c>
      <c r="BZ428" s="46" t="e">
        <v>#N/A</v>
      </c>
      <c r="CA428" s="46" t="e">
        <v>#N/A</v>
      </c>
      <c r="CB428" s="46" t="e">
        <v>#N/A</v>
      </c>
      <c r="CC428" s="46" t="e">
        <v>#N/A</v>
      </c>
      <c r="CD428" s="46" t="e">
        <v>#N/A</v>
      </c>
      <c r="CE428" s="46" t="e">
        <v>#N/A</v>
      </c>
      <c r="CF428" s="46" t="e">
        <v>#N/A</v>
      </c>
      <c r="CG428" s="46" t="e">
        <v>#N/A</v>
      </c>
      <c r="CH428" s="46" t="e">
        <v>#N/A</v>
      </c>
      <c r="CI428" s="46" t="e">
        <v>#N/A</v>
      </c>
      <c r="CJ428" s="46" t="e">
        <v>#N/A</v>
      </c>
      <c r="CM428">
        <f t="shared" si="49"/>
        <v>0</v>
      </c>
      <c r="CP428">
        <f t="shared" si="50"/>
        <v>0</v>
      </c>
      <c r="CS428">
        <f t="shared" si="51"/>
        <v>0</v>
      </c>
      <c r="CW428" s="46"/>
      <c r="CX428" s="46" t="e">
        <f t="shared" si="45"/>
        <v>#N/A</v>
      </c>
      <c r="CY428" s="46"/>
      <c r="CZ428" s="46" t="e">
        <f t="shared" si="46"/>
        <v>#N/A</v>
      </c>
      <c r="DA428" s="46" t="e">
        <f t="shared" si="47"/>
        <v>#N/A</v>
      </c>
      <c r="DB428" s="46"/>
      <c r="DC428" s="46" t="e">
        <f t="shared" si="48"/>
        <v>#N/A</v>
      </c>
      <c r="DD428" s="46"/>
      <c r="DE428" s="995" t="s">
        <v>194</v>
      </c>
      <c r="DF428" s="995" t="s">
        <v>194</v>
      </c>
      <c r="DG428" s="995" t="s">
        <v>194</v>
      </c>
      <c r="DH428" s="995" t="s">
        <v>194</v>
      </c>
      <c r="DI428" s="995" t="s">
        <v>194</v>
      </c>
      <c r="DJ428" s="995" t="s">
        <v>194</v>
      </c>
      <c r="DK428" s="995" t="s">
        <v>194</v>
      </c>
      <c r="DL428" s="995" t="s">
        <v>194</v>
      </c>
      <c r="DM428" s="995" t="s">
        <v>194</v>
      </c>
      <c r="DN428" s="995" t="s">
        <v>194</v>
      </c>
      <c r="DO428" s="995" t="s">
        <v>194</v>
      </c>
      <c r="DP428" s="995" t="s">
        <v>194</v>
      </c>
      <c r="DQ428" s="995" t="s">
        <v>194</v>
      </c>
      <c r="DR428" s="995" t="s">
        <v>194</v>
      </c>
      <c r="DS428" s="995" t="s">
        <v>194</v>
      </c>
      <c r="DT428" s="995" t="s">
        <v>194</v>
      </c>
    </row>
    <row r="429" spans="1:124">
      <c r="A429" s="42" t="s">
        <v>94</v>
      </c>
      <c r="B429" s="42" t="s">
        <v>549</v>
      </c>
      <c r="C429" s="42" t="s">
        <v>639</v>
      </c>
      <c r="D429" s="42">
        <v>820347</v>
      </c>
      <c r="E429" s="42" t="s">
        <v>647</v>
      </c>
      <c r="F429" s="42" t="s">
        <v>149</v>
      </c>
      <c r="G429" s="42" t="s">
        <v>150</v>
      </c>
      <c r="H429" s="43" t="s">
        <v>150</v>
      </c>
      <c r="I429" s="44">
        <v>63</v>
      </c>
      <c r="J429" s="45">
        <v>260301.8376</v>
      </c>
      <c r="K429" s="46">
        <v>22047.189401</v>
      </c>
      <c r="L429" s="47">
        <v>282349.02700100001</v>
      </c>
      <c r="M429" s="48">
        <v>7990674</v>
      </c>
      <c r="N429" s="49">
        <v>3791437</v>
      </c>
      <c r="O429" s="49">
        <v>4186124</v>
      </c>
      <c r="P429" s="49">
        <v>13113</v>
      </c>
      <c r="Q429" s="50">
        <v>18639.150911215002</v>
      </c>
      <c r="R429" s="51">
        <v>23123.721873054299</v>
      </c>
      <c r="S429" s="49">
        <v>37603.729589071001</v>
      </c>
      <c r="T429" s="49">
        <v>8068.5083984801104</v>
      </c>
      <c r="U429" s="49">
        <f>IFERROR(INDEX('Rentabilidad datos'!$N$2:$N$61,MATCH($C429,'Rentabilidad datos'!$C$2:$C$61,0)),"")</f>
        <v>68795.959860605391</v>
      </c>
      <c r="V429" s="50">
        <f>IFERROR(INDEX('Rentabilidad datos'!$O$2:$O$61,MATCH($C429,'Rentabilidad datos'!$C$2:$C$61,0)),"")</f>
        <v>1166.0332179763625</v>
      </c>
      <c r="W429" s="51">
        <f>IFERROR(INDEX('Rentabilidad datos'!$M$2:$M$61,MATCH($C429,'Rentabilidad datos'!$C$2:$C$61,0)),"")</f>
        <v>3116.1708958203221</v>
      </c>
      <c r="X429" s="52">
        <f>IFERROR(INDEX('Rentabilidad datos'!$P$2:$P$61,MATCH($C429,'Rentabilidad datos'!$C$2:$C$61,0)),"")</f>
        <v>0.37418782761251868</v>
      </c>
      <c r="Y429" s="43" t="s">
        <v>171</v>
      </c>
      <c r="Z429" s="53">
        <v>83.628504672897193</v>
      </c>
      <c r="AA429" s="43">
        <v>2</v>
      </c>
      <c r="AB429" s="54">
        <v>0.95067224617097379</v>
      </c>
      <c r="AC429" s="55">
        <v>4.932775382902619E-2</v>
      </c>
      <c r="AD429" s="752" t="e">
        <f>_xlfn.XLOOKUP(Table1[[#This Row],[Ruta]],#REF!,#REF!)</f>
        <v>#REF!</v>
      </c>
      <c r="AE429" s="752" t="e">
        <f>_xlfn.XLOOKUP(Table1[[#This Row],[Ruta]],#REF!,#REF!)</f>
        <v>#REF!</v>
      </c>
      <c r="AF429" s="752" t="e">
        <f>_xlfn.XLOOKUP(Table1[[#This Row],[Ruta]],#REF!,#REF!)</f>
        <v>#REF!</v>
      </c>
      <c r="AG429" s="752" t="e">
        <f>_xlfn.XLOOKUP(Table1[[#This Row],[Ruta]],#REF!,#REF!)</f>
        <v>#REF!</v>
      </c>
      <c r="AH429" s="52">
        <v>0.47448275326962408</v>
      </c>
      <c r="AI429" s="52">
        <v>0.52387620869028073</v>
      </c>
      <c r="AJ429" s="55">
        <v>1.641038040095241E-3</v>
      </c>
      <c r="AK429" s="56">
        <v>35793</v>
      </c>
      <c r="AL429" s="44">
        <v>16144</v>
      </c>
      <c r="AM429" s="54">
        <v>0.45103791244098002</v>
      </c>
      <c r="AN429" s="55">
        <v>0.50214093649930203</v>
      </c>
      <c r="AO429" s="56">
        <v>1829.13054011951</v>
      </c>
      <c r="AP429" s="48">
        <v>914.56527005975499</v>
      </c>
      <c r="AQ429" s="55">
        <v>0.47658942447014102</v>
      </c>
      <c r="AR429" s="51">
        <v>7977556.5899999999</v>
      </c>
      <c r="AS429" s="49">
        <v>451932.37098304898</v>
      </c>
      <c r="AT429" s="55">
        <v>5.6650475102809517E-2</v>
      </c>
      <c r="AU429" s="51">
        <v>317574.09852862911</v>
      </c>
      <c r="AV429" s="52">
        <v>1.4446746270749321E-3</v>
      </c>
      <c r="AW429" s="44">
        <v>230</v>
      </c>
      <c r="AX429" s="51">
        <v>494.14993743805798</v>
      </c>
      <c r="AY429" s="49">
        <v>308.140122044046</v>
      </c>
      <c r="AZ429" s="49">
        <v>0</v>
      </c>
      <c r="BA429" s="42" t="s">
        <v>152</v>
      </c>
      <c r="BB429" s="50">
        <v>0</v>
      </c>
      <c r="BC429" s="57">
        <v>317574.09852862911</v>
      </c>
      <c r="BD429" s="42" t="s">
        <v>150</v>
      </c>
      <c r="BE429" s="46">
        <v>83.628504672897193</v>
      </c>
      <c r="BF429" s="46">
        <v>83.628504672897193</v>
      </c>
      <c r="BG429" s="42" t="s">
        <v>150</v>
      </c>
      <c r="BH429" s="52">
        <v>0.45103791244098002</v>
      </c>
      <c r="BI429" s="52">
        <v>0.51187669456560203</v>
      </c>
      <c r="BJ429" s="42" t="s">
        <v>152</v>
      </c>
      <c r="BK429" s="46">
        <v>659.69398832009301</v>
      </c>
      <c r="BL429" s="46">
        <v>638.00354527981403</v>
      </c>
      <c r="BM429" s="42" t="s">
        <v>150</v>
      </c>
      <c r="BN429" s="48">
        <v>2</v>
      </c>
      <c r="BO429" s="42" t="s">
        <v>161</v>
      </c>
      <c r="BP429" s="42" t="s">
        <v>152</v>
      </c>
      <c r="BQ429" s="46">
        <v>6731.4954412359702</v>
      </c>
      <c r="BR429" s="46">
        <v>53</v>
      </c>
      <c r="BS429" s="46">
        <v>3312</v>
      </c>
      <c r="BT429" s="46">
        <v>1348</v>
      </c>
      <c r="BU429" s="46">
        <v>2.456973293768546</v>
      </c>
      <c r="BV429" s="46">
        <v>25.433962264150942</v>
      </c>
      <c r="BW429" s="46">
        <v>0</v>
      </c>
      <c r="BX429" s="46">
        <v>1348</v>
      </c>
      <c r="BY429" s="46">
        <v>1348</v>
      </c>
      <c r="BZ429" s="46">
        <v>1</v>
      </c>
      <c r="CA429" s="46">
        <v>0</v>
      </c>
      <c r="CB429" s="46">
        <v>1</v>
      </c>
      <c r="CC429" s="46">
        <v>0</v>
      </c>
      <c r="CD429" s="46">
        <v>0</v>
      </c>
      <c r="CE429" s="46">
        <v>0</v>
      </c>
      <c r="CF429" s="46">
        <v>0</v>
      </c>
      <c r="CG429" s="46">
        <v>0</v>
      </c>
      <c r="CH429" s="46">
        <v>0</v>
      </c>
      <c r="CI429" s="46">
        <v>0.30193236714975852</v>
      </c>
      <c r="CJ429" s="46">
        <v>1.5096618357487921</v>
      </c>
      <c r="CK429">
        <v>375</v>
      </c>
      <c r="CL429">
        <v>417.64</v>
      </c>
      <c r="CM429">
        <f t="shared" si="49"/>
        <v>42.639999999999986</v>
      </c>
      <c r="CN429">
        <v>10.78</v>
      </c>
      <c r="CO429">
        <v>9.4499999999999993</v>
      </c>
      <c r="CP429">
        <f t="shared" si="50"/>
        <v>-1.33</v>
      </c>
      <c r="CQ429">
        <v>846.56</v>
      </c>
      <c r="CR429">
        <v>659.69</v>
      </c>
      <c r="CS429">
        <f t="shared" si="51"/>
        <v>186.86999999999989</v>
      </c>
      <c r="CT429" t="s">
        <v>150</v>
      </c>
      <c r="CU429">
        <v>121.6</v>
      </c>
      <c r="CV429">
        <v>376</v>
      </c>
      <c r="CW429" s="46">
        <v>1348</v>
      </c>
      <c r="CX429" s="46">
        <f t="shared" si="45"/>
        <v>96.836795252225514</v>
      </c>
      <c r="CY429" s="46">
        <v>42.64</v>
      </c>
      <c r="CZ429" s="46">
        <f t="shared" si="46"/>
        <v>100</v>
      </c>
      <c r="DA429" s="46">
        <f t="shared" si="47"/>
        <v>778.23597767934189</v>
      </c>
      <c r="DB429" s="46">
        <v>1082246.08</v>
      </c>
      <c r="DC429" s="46">
        <f t="shared" si="48"/>
        <v>15.282380774319737</v>
      </c>
      <c r="DD429" s="46">
        <v>21252.29</v>
      </c>
      <c r="DE429" s="995">
        <v>1348</v>
      </c>
      <c r="DF429" s="995">
        <v>97.013000000000005</v>
      </c>
      <c r="DG429" s="995">
        <v>40.299999999999997</v>
      </c>
      <c r="DH429" s="995">
        <v>100</v>
      </c>
      <c r="DI429" s="995">
        <v>4979.9489999999996</v>
      </c>
      <c r="DJ429" s="995">
        <v>6913518</v>
      </c>
      <c r="DK429" s="995">
        <v>158.51400000000001</v>
      </c>
      <c r="DL429" s="995">
        <v>220061.1</v>
      </c>
      <c r="DM429" s="995">
        <v>1348</v>
      </c>
      <c r="DN429" s="995">
        <v>97.54</v>
      </c>
      <c r="DO429" s="995">
        <v>33.200000000000003</v>
      </c>
      <c r="DP429" s="995">
        <v>100</v>
      </c>
      <c r="DQ429" s="995">
        <v>4885.3959999999997</v>
      </c>
      <c r="DR429" s="995">
        <v>6747535</v>
      </c>
      <c r="DS429" s="995">
        <v>157.18600000000001</v>
      </c>
      <c r="DT429" s="995">
        <v>217099.4</v>
      </c>
    </row>
    <row r="430" spans="1:124">
      <c r="A430" s="42" t="s">
        <v>94</v>
      </c>
      <c r="B430" s="42" t="s">
        <v>549</v>
      </c>
      <c r="C430" s="42" t="s">
        <v>639</v>
      </c>
      <c r="D430" s="42">
        <v>820348</v>
      </c>
      <c r="E430" s="42" t="s">
        <v>648</v>
      </c>
      <c r="F430" s="42" t="s">
        <v>149</v>
      </c>
      <c r="G430" s="42" t="s">
        <v>150</v>
      </c>
      <c r="H430" s="43" t="s">
        <v>150</v>
      </c>
      <c r="I430" s="44">
        <v>63</v>
      </c>
      <c r="J430" s="45">
        <v>180124.9688</v>
      </c>
      <c r="K430" s="46">
        <v>14183.324789</v>
      </c>
      <c r="L430" s="47">
        <v>194308.29358900001</v>
      </c>
      <c r="M430" s="48">
        <v>4587336</v>
      </c>
      <c r="N430" s="49">
        <v>2620559</v>
      </c>
      <c r="O430" s="49">
        <v>1961619</v>
      </c>
      <c r="P430" s="49">
        <v>5158</v>
      </c>
      <c r="Q430" s="50">
        <v>10509.5848165138</v>
      </c>
      <c r="R430" s="51">
        <v>23123.721873054299</v>
      </c>
      <c r="S430" s="49">
        <v>37603.729589071001</v>
      </c>
      <c r="T430" s="49">
        <v>8068.5083984801104</v>
      </c>
      <c r="U430" s="49">
        <f>IFERROR(INDEX('Rentabilidad datos'!$N$2:$N$61,MATCH($C430,'Rentabilidad datos'!$C$2:$C$61,0)),"")</f>
        <v>68795.959860605391</v>
      </c>
      <c r="V430" s="50">
        <f>IFERROR(INDEX('Rentabilidad datos'!$O$2:$O$61,MATCH($C430,'Rentabilidad datos'!$C$2:$C$61,0)),"")</f>
        <v>1166.0332179763625</v>
      </c>
      <c r="W430" s="51">
        <f>IFERROR(INDEX('Rentabilidad datos'!$M$2:$M$61,MATCH($C430,'Rentabilidad datos'!$C$2:$C$61,0)),"")</f>
        <v>3116.1708958203221</v>
      </c>
      <c r="X430" s="52">
        <f>IFERROR(INDEX('Rentabilidad datos'!$P$2:$P$61,MATCH($C430,'Rentabilidad datos'!$C$2:$C$61,0)),"")</f>
        <v>0.37418782761251868</v>
      </c>
      <c r="Y430" s="43" t="s">
        <v>171</v>
      </c>
      <c r="Z430" s="53">
        <v>105.185779816514</v>
      </c>
      <c r="AA430" s="43">
        <v>2</v>
      </c>
      <c r="AB430" s="54">
        <v>0.97429139701125012</v>
      </c>
      <c r="AC430" s="55">
        <v>2.5708602988749898E-2</v>
      </c>
      <c r="AD430" s="752" t="e">
        <f>_xlfn.XLOOKUP(Table1[[#This Row],[Ruta]],#REF!,#REF!)</f>
        <v>#REF!</v>
      </c>
      <c r="AE430" s="752" t="e">
        <f>_xlfn.XLOOKUP(Table1[[#This Row],[Ruta]],#REF!,#REF!)</f>
        <v>#REF!</v>
      </c>
      <c r="AF430" s="752" t="e">
        <f>_xlfn.XLOOKUP(Table1[[#This Row],[Ruta]],#REF!,#REF!)</f>
        <v>#REF!</v>
      </c>
      <c r="AG430" s="752" t="e">
        <f>_xlfn.XLOOKUP(Table1[[#This Row],[Ruta]],#REF!,#REF!)</f>
        <v>#REF!</v>
      </c>
      <c r="AH430" s="52">
        <v>0.57125944120945138</v>
      </c>
      <c r="AI430" s="52">
        <v>0.42761615892099469</v>
      </c>
      <c r="AJ430" s="55">
        <v>1.1243998695539199E-3</v>
      </c>
      <c r="AK430" s="56">
        <v>45861</v>
      </c>
      <c r="AL430" s="44">
        <v>23122</v>
      </c>
      <c r="AM430" s="54">
        <v>0.50417566123721702</v>
      </c>
      <c r="AN430" s="55">
        <v>0.50214093649930203</v>
      </c>
      <c r="AO430" s="56">
        <v>0</v>
      </c>
      <c r="AP430" s="48">
        <v>0</v>
      </c>
      <c r="AQ430" s="55">
        <v>0.5041756612372168</v>
      </c>
      <c r="AR430" s="51">
        <v>4582178.9800000004</v>
      </c>
      <c r="AS430" s="49">
        <v>0</v>
      </c>
      <c r="AT430" s="55">
        <v>0</v>
      </c>
      <c r="AU430" s="51">
        <v>0</v>
      </c>
      <c r="AV430" s="52">
        <v>0</v>
      </c>
      <c r="AW430" s="44">
        <v>490</v>
      </c>
      <c r="AX430" s="51">
        <v>198.173989274284</v>
      </c>
      <c r="AY430" s="49">
        <v>308.140122044046</v>
      </c>
      <c r="AZ430" s="49">
        <v>109.966132769762</v>
      </c>
      <c r="BA430" s="42" t="s">
        <v>150</v>
      </c>
      <c r="BB430" s="50">
        <v>893358.91850626189</v>
      </c>
      <c r="BC430" s="57">
        <v>893358.91850626189</v>
      </c>
      <c r="BD430" s="42" t="s">
        <v>150</v>
      </c>
      <c r="BE430" s="46">
        <v>105.185779816514</v>
      </c>
      <c r="BF430" s="46">
        <v>83.628504672897193</v>
      </c>
      <c r="BG430" s="42" t="s">
        <v>150</v>
      </c>
      <c r="BH430" s="52">
        <v>0.50417566123721702</v>
      </c>
      <c r="BI430" s="52">
        <v>0.51187669456560203</v>
      </c>
      <c r="BJ430" s="42" t="s">
        <v>152</v>
      </c>
      <c r="BK430" s="46">
        <v>445.66122382798102</v>
      </c>
      <c r="BL430" s="46">
        <v>638.00354527981403</v>
      </c>
      <c r="BM430" s="42" t="s">
        <v>152</v>
      </c>
      <c r="BN430" s="48">
        <v>1</v>
      </c>
      <c r="BO430" s="42" t="s">
        <v>155</v>
      </c>
      <c r="BP430" s="42" t="s">
        <v>152</v>
      </c>
      <c r="BQ430" s="46">
        <v>0</v>
      </c>
      <c r="BR430" s="46">
        <v>44</v>
      </c>
      <c r="BS430" s="46">
        <v>4008</v>
      </c>
      <c r="BT430" s="46">
        <v>1418</v>
      </c>
      <c r="BU430" s="46">
        <v>2.8265162200282088</v>
      </c>
      <c r="BV430" s="46">
        <v>32.227272727272727</v>
      </c>
      <c r="BW430" s="46">
        <v>804</v>
      </c>
      <c r="BX430" s="46">
        <v>614</v>
      </c>
      <c r="BY430" s="46">
        <v>1418</v>
      </c>
      <c r="BZ430" s="46">
        <v>1</v>
      </c>
      <c r="CA430" s="46">
        <v>0.56699576868829338</v>
      </c>
      <c r="CB430" s="46">
        <v>0.43300423131170662</v>
      </c>
      <c r="CC430" s="46">
        <v>0</v>
      </c>
      <c r="CD430" s="46">
        <v>0</v>
      </c>
      <c r="CE430" s="46">
        <v>0</v>
      </c>
      <c r="CF430" s="46">
        <v>0</v>
      </c>
      <c r="CG430" s="46">
        <v>0</v>
      </c>
      <c r="CH430" s="46">
        <v>0</v>
      </c>
      <c r="CI430" s="46">
        <v>1.7465069860279441</v>
      </c>
      <c r="CJ430" s="46">
        <v>0.49900199600798401</v>
      </c>
      <c r="CK430">
        <v>407</v>
      </c>
      <c r="CL430">
        <v>436.2</v>
      </c>
      <c r="CM430">
        <f t="shared" si="49"/>
        <v>29.199999999999989</v>
      </c>
      <c r="CN430">
        <v>9.51</v>
      </c>
      <c r="CO430">
        <v>9.4499999999999993</v>
      </c>
      <c r="CP430">
        <f t="shared" si="50"/>
        <v>-6.0000000000000497E-2</v>
      </c>
      <c r="CQ430">
        <v>846.56</v>
      </c>
      <c r="CR430">
        <v>445.66</v>
      </c>
      <c r="CS430">
        <f t="shared" si="51"/>
        <v>400.89999999999992</v>
      </c>
      <c r="CT430" t="s">
        <v>150</v>
      </c>
      <c r="CU430">
        <v>100.65</v>
      </c>
      <c r="CV430">
        <v>432</v>
      </c>
      <c r="CW430" s="46">
        <v>1418</v>
      </c>
      <c r="CX430" s="46">
        <f t="shared" si="45"/>
        <v>97.940761636107183</v>
      </c>
      <c r="CY430" s="46">
        <v>29.2</v>
      </c>
      <c r="CZ430" s="46">
        <f t="shared" si="46"/>
        <v>100</v>
      </c>
      <c r="DA430" s="46">
        <f t="shared" si="47"/>
        <v>1305.6024461028192</v>
      </c>
      <c r="DB430" s="46">
        <v>1889467.86</v>
      </c>
      <c r="DC430" s="46">
        <f t="shared" si="48"/>
        <v>55.432593974571589</v>
      </c>
      <c r="DD430" s="46">
        <v>80222.05</v>
      </c>
      <c r="DE430" s="995">
        <v>1418</v>
      </c>
      <c r="DF430" s="995">
        <v>97.195999999999998</v>
      </c>
      <c r="DG430" s="995">
        <v>39.799999999999997</v>
      </c>
      <c r="DH430" s="995">
        <v>100</v>
      </c>
      <c r="DI430" s="995">
        <v>3709.924</v>
      </c>
      <c r="DJ430" s="995">
        <v>5408201</v>
      </c>
      <c r="DK430" s="995">
        <v>157.62899999999999</v>
      </c>
      <c r="DL430" s="995">
        <v>229786.9</v>
      </c>
      <c r="DM430" s="995">
        <v>1418</v>
      </c>
      <c r="DN430" s="995">
        <v>97.691000000000003</v>
      </c>
      <c r="DO430" s="995">
        <v>32.700000000000003</v>
      </c>
      <c r="DP430" s="995">
        <v>100</v>
      </c>
      <c r="DQ430" s="995">
        <v>3680.973</v>
      </c>
      <c r="DR430" s="995">
        <v>5340165</v>
      </c>
      <c r="DS430" s="995">
        <v>156.376</v>
      </c>
      <c r="DT430" s="995">
        <v>226862.4</v>
      </c>
    </row>
    <row r="431" spans="1:124">
      <c r="A431" s="42" t="s">
        <v>94</v>
      </c>
      <c r="B431" s="42" t="s">
        <v>549</v>
      </c>
      <c r="C431" s="42" t="s">
        <v>639</v>
      </c>
      <c r="D431" s="42">
        <v>820349</v>
      </c>
      <c r="E431" s="42" t="s">
        <v>649</v>
      </c>
      <c r="F431" s="42" t="s">
        <v>149</v>
      </c>
      <c r="G431" s="42" t="s">
        <v>150</v>
      </c>
      <c r="H431" s="43" t="s">
        <v>150</v>
      </c>
      <c r="I431" s="44">
        <v>63</v>
      </c>
      <c r="J431" s="45">
        <v>167159.01439999999</v>
      </c>
      <c r="K431" s="46">
        <v>14204.031241000001</v>
      </c>
      <c r="L431" s="47">
        <v>181363.045641</v>
      </c>
      <c r="M431" s="48">
        <v>4395788</v>
      </c>
      <c r="N431" s="49">
        <v>2437484</v>
      </c>
      <c r="O431" s="49">
        <v>1882944</v>
      </c>
      <c r="P431" s="49">
        <v>75360</v>
      </c>
      <c r="Q431" s="50">
        <v>9954.9103456221201</v>
      </c>
      <c r="R431" s="51">
        <v>23123.721873054299</v>
      </c>
      <c r="S431" s="49">
        <v>37603.729589071001</v>
      </c>
      <c r="T431" s="49">
        <v>8068.5083984801104</v>
      </c>
      <c r="U431" s="49">
        <f>IFERROR(INDEX('Rentabilidad datos'!$N$2:$N$61,MATCH($C431,'Rentabilidad datos'!$C$2:$C$61,0)),"")</f>
        <v>68795.959860605391</v>
      </c>
      <c r="V431" s="50">
        <f>IFERROR(INDEX('Rentabilidad datos'!$O$2:$O$61,MATCH($C431,'Rentabilidad datos'!$C$2:$C$61,0)),"")</f>
        <v>1166.0332179763625</v>
      </c>
      <c r="W431" s="51">
        <f>IFERROR(INDEX('Rentabilidad datos'!$M$2:$M$61,MATCH($C431,'Rentabilidad datos'!$C$2:$C$61,0)),"")</f>
        <v>3116.1708958203221</v>
      </c>
      <c r="X431" s="52">
        <f>IFERROR(INDEX('Rentabilidad datos'!$P$2:$P$61,MATCH($C431,'Rentabilidad datos'!$C$2:$C$61,0)),"")</f>
        <v>0.37418782761251868</v>
      </c>
      <c r="Y431" s="43" t="s">
        <v>171</v>
      </c>
      <c r="Z431" s="53">
        <v>86.211981566820299</v>
      </c>
      <c r="AA431" s="43">
        <v>2</v>
      </c>
      <c r="AB431" s="54">
        <v>0.98280422076769858</v>
      </c>
      <c r="AC431" s="55">
        <v>1.7195779232301468E-2</v>
      </c>
      <c r="AD431" s="752" t="e">
        <f>_xlfn.XLOOKUP(Table1[[#This Row],[Ruta]],#REF!,#REF!)</f>
        <v>#REF!</v>
      </c>
      <c r="AE431" s="752" t="e">
        <f>_xlfn.XLOOKUP(Table1[[#This Row],[Ruta]],#REF!,#REF!)</f>
        <v>#REF!</v>
      </c>
      <c r="AF431" s="752" t="e">
        <f>_xlfn.XLOOKUP(Table1[[#This Row],[Ruta]],#REF!,#REF!)</f>
        <v>#REF!</v>
      </c>
      <c r="AG431" s="752" t="e">
        <f>_xlfn.XLOOKUP(Table1[[#This Row],[Ruta]],#REF!,#REF!)</f>
        <v>#REF!</v>
      </c>
      <c r="AH431" s="52">
        <v>0.55450444834919244</v>
      </c>
      <c r="AI431" s="52">
        <v>0.4283518677424844</v>
      </c>
      <c r="AJ431" s="55">
        <v>1.7143683908323149E-2</v>
      </c>
      <c r="AK431" s="56">
        <v>37416</v>
      </c>
      <c r="AL431" s="44">
        <v>19004</v>
      </c>
      <c r="AM431" s="54">
        <v>0.50791105409450499</v>
      </c>
      <c r="AN431" s="55">
        <v>0.50214093649930203</v>
      </c>
      <c r="AO431" s="56">
        <v>0</v>
      </c>
      <c r="AP431" s="48">
        <v>0</v>
      </c>
      <c r="AQ431" s="55">
        <v>0.50791105409450499</v>
      </c>
      <c r="AR431" s="51">
        <v>4320431.09</v>
      </c>
      <c r="AS431" s="49">
        <v>0</v>
      </c>
      <c r="AT431" s="55">
        <v>0</v>
      </c>
      <c r="AU431" s="51">
        <v>0</v>
      </c>
      <c r="AV431" s="52">
        <v>0</v>
      </c>
      <c r="AW431" s="44">
        <v>490</v>
      </c>
      <c r="AX431" s="51">
        <v>227.34324826352301</v>
      </c>
      <c r="AY431" s="49">
        <v>308.140122044046</v>
      </c>
      <c r="AZ431" s="49">
        <v>80.796873780522986</v>
      </c>
      <c r="BA431" s="42" t="s">
        <v>150</v>
      </c>
      <c r="BB431" s="50">
        <v>539487.27733042627</v>
      </c>
      <c r="BC431" s="57">
        <v>539487.27733042627</v>
      </c>
      <c r="BD431" s="42" t="s">
        <v>150</v>
      </c>
      <c r="BE431" s="46">
        <v>86.211981566820299</v>
      </c>
      <c r="BF431" s="46">
        <v>83.628504672897193</v>
      </c>
      <c r="BG431" s="42" t="s">
        <v>150</v>
      </c>
      <c r="BH431" s="52">
        <v>0.50791105409450499</v>
      </c>
      <c r="BI431" s="52">
        <v>0.51187669456560203</v>
      </c>
      <c r="BJ431" s="42" t="s">
        <v>152</v>
      </c>
      <c r="BK431" s="46">
        <v>417.88720193778801</v>
      </c>
      <c r="BL431" s="46">
        <v>638.00354527981403</v>
      </c>
      <c r="BM431" s="42" t="s">
        <v>152</v>
      </c>
      <c r="BN431" s="48">
        <v>1</v>
      </c>
      <c r="BO431" s="42" t="s">
        <v>155</v>
      </c>
      <c r="BP431" s="42" t="s">
        <v>152</v>
      </c>
      <c r="BQ431" s="46">
        <v>2643.1113270507399</v>
      </c>
      <c r="BR431" s="46">
        <v>88</v>
      </c>
      <c r="BS431" s="46">
        <v>5695</v>
      </c>
      <c r="BT431" s="46">
        <v>1800</v>
      </c>
      <c r="BU431" s="46">
        <v>3.1638888888888888</v>
      </c>
      <c r="BV431" s="46">
        <v>20.454545454545453</v>
      </c>
      <c r="BW431" s="46">
        <v>0</v>
      </c>
      <c r="BX431" s="46">
        <v>1800</v>
      </c>
      <c r="BY431" s="46">
        <v>1800</v>
      </c>
      <c r="BZ431" s="46">
        <v>1</v>
      </c>
      <c r="CA431" s="46">
        <v>0</v>
      </c>
      <c r="CB431" s="46">
        <v>1</v>
      </c>
      <c r="CC431" s="46">
        <v>0</v>
      </c>
      <c r="CD431" s="46">
        <v>0</v>
      </c>
      <c r="CE431" s="46">
        <v>0</v>
      </c>
      <c r="CF431" s="46">
        <v>0</v>
      </c>
      <c r="CG431" s="46">
        <v>0</v>
      </c>
      <c r="CH431" s="46">
        <v>0</v>
      </c>
      <c r="CI431" s="46">
        <v>2.809482001755927</v>
      </c>
      <c r="CJ431" s="46">
        <v>0.70237050043898164</v>
      </c>
      <c r="CK431">
        <v>319</v>
      </c>
      <c r="CL431">
        <v>499.56</v>
      </c>
      <c r="CM431">
        <f t="shared" si="49"/>
        <v>180.56</v>
      </c>
      <c r="CN431">
        <v>9.76</v>
      </c>
      <c r="CO431">
        <v>9.4499999999999993</v>
      </c>
      <c r="CP431">
        <f t="shared" si="50"/>
        <v>-0.3100000000000005</v>
      </c>
      <c r="CQ431">
        <v>846.56</v>
      </c>
      <c r="CR431">
        <v>417.89</v>
      </c>
      <c r="CS431">
        <f t="shared" si="51"/>
        <v>428.66999999999996</v>
      </c>
      <c r="CT431" t="s">
        <v>150</v>
      </c>
      <c r="CU431">
        <v>105.68</v>
      </c>
      <c r="CV431">
        <v>317</v>
      </c>
      <c r="CW431" s="46">
        <v>1800</v>
      </c>
      <c r="CX431" s="46">
        <f t="shared" si="45"/>
        <v>89.968888888888884</v>
      </c>
      <c r="CY431" s="46">
        <v>180.56</v>
      </c>
      <c r="CZ431" s="46">
        <f t="shared" si="46"/>
        <v>100</v>
      </c>
      <c r="DA431" s="46">
        <f t="shared" si="47"/>
        <v>1170.0944783293614</v>
      </c>
      <c r="DB431" s="46">
        <v>2317442.3199999998</v>
      </c>
      <c r="DC431" s="46">
        <f t="shared" si="48"/>
        <v>50.921517146665586</v>
      </c>
      <c r="DD431" s="46">
        <v>100853.12</v>
      </c>
      <c r="DE431" s="995">
        <v>1800</v>
      </c>
      <c r="DF431" s="995">
        <v>91.204999999999998</v>
      </c>
      <c r="DG431" s="995">
        <v>158.30000000000001</v>
      </c>
      <c r="DH431" s="995">
        <v>100</v>
      </c>
      <c r="DI431" s="995">
        <v>2693.6480000000001</v>
      </c>
      <c r="DJ431" s="995">
        <v>5274992</v>
      </c>
      <c r="DK431" s="995">
        <v>113.583</v>
      </c>
      <c r="DL431" s="995">
        <v>222429.7</v>
      </c>
      <c r="DM431" s="995">
        <v>1800</v>
      </c>
      <c r="DN431" s="995">
        <v>91.835999999999999</v>
      </c>
      <c r="DO431" s="995">
        <v>147</v>
      </c>
      <c r="DP431" s="995">
        <v>100</v>
      </c>
      <c r="DQ431" s="995">
        <v>2653.0940000000001</v>
      </c>
      <c r="DR431" s="995">
        <v>5165469</v>
      </c>
      <c r="DS431" s="995">
        <v>111.816</v>
      </c>
      <c r="DT431" s="995">
        <v>217700.8</v>
      </c>
    </row>
    <row r="432" spans="1:124">
      <c r="A432" s="42" t="s">
        <v>94</v>
      </c>
      <c r="B432" s="42" t="s">
        <v>549</v>
      </c>
      <c r="C432" s="42" t="s">
        <v>639</v>
      </c>
      <c r="D432" s="42">
        <v>820350</v>
      </c>
      <c r="E432" s="42" t="s">
        <v>650</v>
      </c>
      <c r="F432" s="42" t="s">
        <v>149</v>
      </c>
      <c r="G432" s="42" t="s">
        <v>150</v>
      </c>
      <c r="H432" s="43" t="s">
        <v>150</v>
      </c>
      <c r="I432" s="44">
        <v>63</v>
      </c>
      <c r="J432" s="45">
        <v>86654.562399999893</v>
      </c>
      <c r="K432" s="46">
        <v>5391.6664289999999</v>
      </c>
      <c r="L432" s="47">
        <v>92046.228828999898</v>
      </c>
      <c r="M432" s="48">
        <v>2019449</v>
      </c>
      <c r="N432" s="49">
        <v>1270886</v>
      </c>
      <c r="O432" s="49">
        <v>731947</v>
      </c>
      <c r="P432" s="49">
        <v>16616</v>
      </c>
      <c r="Q432" s="50">
        <v>4690.4765105386396</v>
      </c>
      <c r="R432" s="51">
        <v>23123.721873054299</v>
      </c>
      <c r="S432" s="49">
        <v>37603.729589071001</v>
      </c>
      <c r="T432" s="49">
        <v>8068.5083984801104</v>
      </c>
      <c r="U432" s="49">
        <f>IFERROR(INDEX('Rentabilidad datos'!$N$2:$N$61,MATCH($C432,'Rentabilidad datos'!$C$2:$C$61,0)),"")</f>
        <v>68795.959860605391</v>
      </c>
      <c r="V432" s="50">
        <f>IFERROR(INDEX('Rentabilidad datos'!$O$2:$O$61,MATCH($C432,'Rentabilidad datos'!$C$2:$C$61,0)),"")</f>
        <v>1166.0332179763625</v>
      </c>
      <c r="W432" s="51">
        <f>IFERROR(INDEX('Rentabilidad datos'!$M$2:$M$61,MATCH($C432,'Rentabilidad datos'!$C$2:$C$61,0)),"")</f>
        <v>3116.1708958203221</v>
      </c>
      <c r="X432" s="52">
        <f>IFERROR(INDEX('Rentabilidad datos'!$P$2:$P$61,MATCH($C432,'Rentabilidad datos'!$C$2:$C$61,0)),"")</f>
        <v>0.37418782761251868</v>
      </c>
      <c r="Y432" s="43" t="s">
        <v>171</v>
      </c>
      <c r="Z432" s="53">
        <v>64.755980861243998</v>
      </c>
      <c r="AA432" s="43">
        <v>2</v>
      </c>
      <c r="AB432" s="54">
        <v>0.93206315187954736</v>
      </c>
      <c r="AC432" s="55">
        <v>6.7936848120452656E-2</v>
      </c>
      <c r="AD432" s="752" t="e">
        <f>_xlfn.XLOOKUP(Table1[[#This Row],[Ruta]],#REF!,#REF!)</f>
        <v>#REF!</v>
      </c>
      <c r="AE432" s="752" t="e">
        <f>_xlfn.XLOOKUP(Table1[[#This Row],[Ruta]],#REF!,#REF!)</f>
        <v>#REF!</v>
      </c>
      <c r="AF432" s="752" t="e">
        <f>_xlfn.XLOOKUP(Table1[[#This Row],[Ruta]],#REF!,#REF!)</f>
        <v>#REF!</v>
      </c>
      <c r="AG432" s="752" t="e">
        <f>_xlfn.XLOOKUP(Table1[[#This Row],[Ruta]],#REF!,#REF!)</f>
        <v>#REF!</v>
      </c>
      <c r="AH432" s="52">
        <v>0.62932314705644954</v>
      </c>
      <c r="AI432" s="52">
        <v>0.3624488660025581</v>
      </c>
      <c r="AJ432" s="55">
        <v>8.2279869409923202E-3</v>
      </c>
      <c r="AK432" s="56">
        <v>13534</v>
      </c>
      <c r="AL432" s="44">
        <v>7013</v>
      </c>
      <c r="AM432" s="54">
        <v>0.28417319343874697</v>
      </c>
      <c r="AN432" s="55">
        <v>0.50214093649930203</v>
      </c>
      <c r="AO432" s="56">
        <v>2949.97543458155</v>
      </c>
      <c r="AP432" s="48">
        <v>1474.987717290775</v>
      </c>
      <c r="AQ432" s="55">
        <v>0.62716031604040012</v>
      </c>
      <c r="AR432" s="51">
        <v>2002833.47</v>
      </c>
      <c r="AS432" s="49">
        <v>421239.8072192875</v>
      </c>
      <c r="AT432" s="55">
        <v>0.21032193316566031</v>
      </c>
      <c r="AU432" s="51">
        <v>296006.3510189589</v>
      </c>
      <c r="AV432" s="52">
        <v>1.3465609026410417E-3</v>
      </c>
      <c r="AW432" s="44">
        <v>247</v>
      </c>
      <c r="AX432" s="51">
        <v>285.58868815057798</v>
      </c>
      <c r="AY432" s="49">
        <v>308.140122044046</v>
      </c>
      <c r="AZ432" s="49">
        <v>22.551433893468015</v>
      </c>
      <c r="BA432" s="42" t="s">
        <v>150</v>
      </c>
      <c r="BB432" s="50">
        <v>55567.342611718552</v>
      </c>
      <c r="BC432" s="57">
        <v>351573.69363067747</v>
      </c>
      <c r="BD432" s="42" t="s">
        <v>150</v>
      </c>
      <c r="BE432" s="46">
        <v>64.755980861243998</v>
      </c>
      <c r="BF432" s="46">
        <v>83.628504672897193</v>
      </c>
      <c r="BG432" s="42" t="s">
        <v>152</v>
      </c>
      <c r="BH432" s="52">
        <v>0.28417319343874697</v>
      </c>
      <c r="BI432" s="52">
        <v>0.51187669456560203</v>
      </c>
      <c r="BJ432" s="42" t="s">
        <v>152</v>
      </c>
      <c r="BK432" s="46">
        <v>215.56493870960199</v>
      </c>
      <c r="BL432" s="46">
        <v>638.00354527981403</v>
      </c>
      <c r="BM432" s="42" t="s">
        <v>152</v>
      </c>
      <c r="BN432" s="48">
        <v>0</v>
      </c>
      <c r="BO432" s="42" t="s">
        <v>155</v>
      </c>
      <c r="BP432" s="42" t="s">
        <v>152</v>
      </c>
      <c r="BQ432" s="46">
        <v>7013.0722973287102</v>
      </c>
      <c r="BR432" s="46" t="e">
        <v>#N/A</v>
      </c>
      <c r="BS432" s="46" t="e">
        <v>#N/A</v>
      </c>
      <c r="BT432" s="46" t="e">
        <v>#N/A</v>
      </c>
      <c r="BU432" s="46" t="e">
        <v>#N/A</v>
      </c>
      <c r="BV432" s="46" t="e">
        <v>#N/A</v>
      </c>
      <c r="BW432" s="46" t="e">
        <v>#N/A</v>
      </c>
      <c r="BX432" s="46" t="e">
        <v>#N/A</v>
      </c>
      <c r="BY432" s="46" t="e">
        <v>#N/A</v>
      </c>
      <c r="BZ432" s="46" t="e">
        <v>#N/A</v>
      </c>
      <c r="CA432" s="46" t="e">
        <v>#N/A</v>
      </c>
      <c r="CB432" s="46" t="e">
        <v>#N/A</v>
      </c>
      <c r="CC432" s="46" t="e">
        <v>#N/A</v>
      </c>
      <c r="CD432" s="46" t="e">
        <v>#N/A</v>
      </c>
      <c r="CE432" s="46" t="e">
        <v>#N/A</v>
      </c>
      <c r="CF432" s="46" t="e">
        <v>#N/A</v>
      </c>
      <c r="CG432" s="46" t="e">
        <v>#N/A</v>
      </c>
      <c r="CH432" s="46" t="e">
        <v>#N/A</v>
      </c>
      <c r="CI432" s="46" t="e">
        <v>#N/A</v>
      </c>
      <c r="CJ432" s="46" t="e">
        <v>#N/A</v>
      </c>
      <c r="CM432">
        <f t="shared" si="49"/>
        <v>0</v>
      </c>
      <c r="CP432">
        <f t="shared" si="50"/>
        <v>0</v>
      </c>
      <c r="CS432">
        <f t="shared" si="51"/>
        <v>0</v>
      </c>
      <c r="CW432" s="46"/>
      <c r="CX432" s="46" t="e">
        <f t="shared" si="45"/>
        <v>#N/A</v>
      </c>
      <c r="CY432" s="46"/>
      <c r="CZ432" s="46" t="e">
        <f t="shared" si="46"/>
        <v>#N/A</v>
      </c>
      <c r="DA432" s="46" t="e">
        <f t="shared" si="47"/>
        <v>#N/A</v>
      </c>
      <c r="DB432" s="46"/>
      <c r="DC432" s="46" t="e">
        <f t="shared" si="48"/>
        <v>#N/A</v>
      </c>
      <c r="DD432" s="46"/>
      <c r="DE432" s="995" t="s">
        <v>194</v>
      </c>
      <c r="DF432" s="995" t="s">
        <v>194</v>
      </c>
      <c r="DG432" s="995" t="s">
        <v>194</v>
      </c>
      <c r="DH432" s="995" t="s">
        <v>194</v>
      </c>
      <c r="DI432" s="995" t="s">
        <v>194</v>
      </c>
      <c r="DJ432" s="995" t="s">
        <v>194</v>
      </c>
      <c r="DK432" s="995" t="s">
        <v>194</v>
      </c>
      <c r="DL432" s="995" t="s">
        <v>194</v>
      </c>
      <c r="DM432" s="995" t="s">
        <v>194</v>
      </c>
      <c r="DN432" s="995" t="s">
        <v>194</v>
      </c>
      <c r="DO432" s="995" t="s">
        <v>194</v>
      </c>
      <c r="DP432" s="995" t="s">
        <v>194</v>
      </c>
      <c r="DQ432" s="995" t="s">
        <v>194</v>
      </c>
      <c r="DR432" s="995" t="s">
        <v>194</v>
      </c>
      <c r="DS432" s="995" t="s">
        <v>194</v>
      </c>
      <c r="DT432" s="995" t="s">
        <v>194</v>
      </c>
    </row>
    <row r="433" spans="1:124">
      <c r="A433" s="42" t="s">
        <v>94</v>
      </c>
      <c r="B433" s="42" t="s">
        <v>549</v>
      </c>
      <c r="C433" s="42" t="s">
        <v>639</v>
      </c>
      <c r="D433" s="42">
        <v>820351</v>
      </c>
      <c r="E433" s="42" t="s">
        <v>651</v>
      </c>
      <c r="F433" s="42" t="s">
        <v>149</v>
      </c>
      <c r="G433" s="42" t="s">
        <v>150</v>
      </c>
      <c r="H433" s="43" t="s">
        <v>150</v>
      </c>
      <c r="I433" s="44">
        <v>63</v>
      </c>
      <c r="J433" s="45">
        <v>188427.26560000001</v>
      </c>
      <c r="K433" s="46">
        <v>11586.771667000001</v>
      </c>
      <c r="L433" s="47">
        <v>200014.03726700001</v>
      </c>
      <c r="M433" s="48">
        <v>4286174</v>
      </c>
      <c r="N433" s="49">
        <v>2712721</v>
      </c>
      <c r="O433" s="49">
        <v>1551186</v>
      </c>
      <c r="P433" s="49">
        <v>22267</v>
      </c>
      <c r="Q433" s="50">
        <v>9802.09404597701</v>
      </c>
      <c r="R433" s="51">
        <v>23123.721873054299</v>
      </c>
      <c r="S433" s="49">
        <v>37603.729589071001</v>
      </c>
      <c r="T433" s="49">
        <v>8068.5083984801104</v>
      </c>
      <c r="U433" s="49">
        <f>IFERROR(INDEX('Rentabilidad datos'!$N$2:$N$61,MATCH($C433,'Rentabilidad datos'!$C$2:$C$61,0)),"")</f>
        <v>68795.959860605391</v>
      </c>
      <c r="V433" s="50">
        <f>IFERROR(INDEX('Rentabilidad datos'!$O$2:$O$61,MATCH($C433,'Rentabilidad datos'!$C$2:$C$61,0)),"")</f>
        <v>1166.0332179763625</v>
      </c>
      <c r="W433" s="51">
        <f>IFERROR(INDEX('Rentabilidad datos'!$M$2:$M$61,MATCH($C433,'Rentabilidad datos'!$C$2:$C$61,0)),"")</f>
        <v>3116.1708958203221</v>
      </c>
      <c r="X433" s="52">
        <f>IFERROR(INDEX('Rentabilidad datos'!$P$2:$P$61,MATCH($C433,'Rentabilidad datos'!$C$2:$C$61,0)),"")</f>
        <v>0.37418782761251868</v>
      </c>
      <c r="Y433" s="43" t="s">
        <v>171</v>
      </c>
      <c r="Z433" s="53">
        <v>73.354022988505804</v>
      </c>
      <c r="AA433" s="43">
        <v>2</v>
      </c>
      <c r="AB433" s="54">
        <v>0.93920452132834553</v>
      </c>
      <c r="AC433" s="55">
        <v>6.0795478671654489E-2</v>
      </c>
      <c r="AD433" s="752" t="e">
        <f>_xlfn.XLOOKUP(Table1[[#This Row],[Ruta]],#REF!,#REF!)</f>
        <v>#REF!</v>
      </c>
      <c r="AE433" s="752" t="e">
        <f>_xlfn.XLOOKUP(Table1[[#This Row],[Ruta]],#REF!,#REF!)</f>
        <v>#REF!</v>
      </c>
      <c r="AF433" s="752" t="e">
        <f>_xlfn.XLOOKUP(Table1[[#This Row],[Ruta]],#REF!,#REF!)</f>
        <v>#REF!</v>
      </c>
      <c r="AG433" s="752" t="e">
        <f>_xlfn.XLOOKUP(Table1[[#This Row],[Ruta]],#REF!,#REF!)</f>
        <v>#REF!</v>
      </c>
      <c r="AH433" s="52">
        <v>0.63290034422307628</v>
      </c>
      <c r="AI433" s="52">
        <v>0.36190457970208395</v>
      </c>
      <c r="AJ433" s="55">
        <v>5.1950760748397055E-3</v>
      </c>
      <c r="AK433" s="56">
        <v>31909</v>
      </c>
      <c r="AL433" s="44">
        <v>18200</v>
      </c>
      <c r="AM433" s="54">
        <v>0.57037199536181005</v>
      </c>
      <c r="AN433" s="55">
        <v>0.50214093649930203</v>
      </c>
      <c r="AO433" s="56">
        <v>0</v>
      </c>
      <c r="AP433" s="48">
        <v>0</v>
      </c>
      <c r="AQ433" s="55">
        <v>0.57037199536181016</v>
      </c>
      <c r="AR433" s="51">
        <v>4263910.91</v>
      </c>
      <c r="AS433" s="49">
        <v>0</v>
      </c>
      <c r="AT433" s="55">
        <v>0</v>
      </c>
      <c r="AU433" s="51">
        <v>0</v>
      </c>
      <c r="AV433" s="52">
        <v>0</v>
      </c>
      <c r="AW433" s="44">
        <v>490</v>
      </c>
      <c r="AX433" s="51">
        <v>234.280819230769</v>
      </c>
      <c r="AY433" s="49">
        <v>308.140122044046</v>
      </c>
      <c r="AZ433" s="49">
        <v>73.859302813276997</v>
      </c>
      <c r="BA433" s="42" t="s">
        <v>150</v>
      </c>
      <c r="BB433" s="50">
        <v>472300.29853030661</v>
      </c>
      <c r="BC433" s="57">
        <v>472300.29853030661</v>
      </c>
      <c r="BD433" s="42" t="s">
        <v>150</v>
      </c>
      <c r="BE433" s="46">
        <v>73.354022988505804</v>
      </c>
      <c r="BF433" s="46">
        <v>83.628504672897193</v>
      </c>
      <c r="BG433" s="42" t="s">
        <v>152</v>
      </c>
      <c r="BH433" s="52">
        <v>0.57037199536181005</v>
      </c>
      <c r="BI433" s="52">
        <v>0.51187669456560203</v>
      </c>
      <c r="BJ433" s="42" t="s">
        <v>150</v>
      </c>
      <c r="BK433" s="46">
        <v>459.80238452183801</v>
      </c>
      <c r="BL433" s="46">
        <v>638.00354527981403</v>
      </c>
      <c r="BM433" s="42" t="s">
        <v>152</v>
      </c>
      <c r="BN433" s="48">
        <v>1</v>
      </c>
      <c r="BO433" s="42" t="s">
        <v>155</v>
      </c>
      <c r="BP433" s="42" t="s">
        <v>152</v>
      </c>
      <c r="BQ433" s="46">
        <v>2790.7281880437099</v>
      </c>
      <c r="BR433" s="46">
        <v>91</v>
      </c>
      <c r="BS433" s="46">
        <v>9519</v>
      </c>
      <c r="BT433" s="46">
        <v>3005</v>
      </c>
      <c r="BU433" s="46">
        <v>3.167720465890183</v>
      </c>
      <c r="BV433" s="46">
        <v>33.021978021978022</v>
      </c>
      <c r="BW433" s="46">
        <v>0</v>
      </c>
      <c r="BX433" s="46">
        <v>3005</v>
      </c>
      <c r="BY433" s="46">
        <v>3005</v>
      </c>
      <c r="BZ433" s="46">
        <v>1</v>
      </c>
      <c r="CA433" s="46">
        <v>0</v>
      </c>
      <c r="CB433" s="46">
        <v>1</v>
      </c>
      <c r="CC433" s="46">
        <v>0</v>
      </c>
      <c r="CD433" s="46">
        <v>0</v>
      </c>
      <c r="CE433" s="46">
        <v>0</v>
      </c>
      <c r="CF433" s="46">
        <v>0</v>
      </c>
      <c r="CG433" s="46">
        <v>0</v>
      </c>
      <c r="CH433" s="46">
        <v>0</v>
      </c>
      <c r="CI433" s="46">
        <v>3.992015968063872</v>
      </c>
      <c r="CJ433" s="46">
        <v>0.5252652589557727</v>
      </c>
      <c r="CK433">
        <v>312</v>
      </c>
      <c r="CL433">
        <v>462.53</v>
      </c>
      <c r="CM433">
        <f t="shared" si="49"/>
        <v>150.52999999999997</v>
      </c>
      <c r="CN433">
        <v>7.59</v>
      </c>
      <c r="CO433">
        <v>9.4499999999999993</v>
      </c>
      <c r="CP433">
        <f t="shared" si="50"/>
        <v>1.8599999999999994</v>
      </c>
      <c r="CQ433">
        <v>846.56</v>
      </c>
      <c r="CR433">
        <v>459.8</v>
      </c>
      <c r="CS433">
        <f t="shared" si="51"/>
        <v>386.75999999999993</v>
      </c>
      <c r="CT433" t="s">
        <v>152</v>
      </c>
      <c r="CU433">
        <v>80.349999999999994</v>
      </c>
      <c r="CV433">
        <v>334</v>
      </c>
      <c r="CW433" s="46">
        <v>3005</v>
      </c>
      <c r="CX433" s="46">
        <f t="shared" si="45"/>
        <v>94.990682196339421</v>
      </c>
      <c r="CY433" s="46">
        <v>150.53</v>
      </c>
      <c r="CZ433" s="46">
        <f t="shared" si="46"/>
        <v>100</v>
      </c>
      <c r="DA433" s="46">
        <f t="shared" si="47"/>
        <v>481.82212813695315</v>
      </c>
      <c r="DB433" s="46">
        <v>1520404.18</v>
      </c>
      <c r="DC433" s="46">
        <f t="shared" si="48"/>
        <v>22.414412158971711</v>
      </c>
      <c r="DD433" s="46">
        <v>70729.350000000006</v>
      </c>
      <c r="DE433" s="995">
        <v>3005</v>
      </c>
      <c r="DF433" s="995">
        <v>95.024000000000001</v>
      </c>
      <c r="DG433" s="995">
        <v>149.5</v>
      </c>
      <c r="DH433" s="995">
        <v>100</v>
      </c>
      <c r="DI433" s="995">
        <v>1520.665</v>
      </c>
      <c r="DJ433" s="995">
        <v>4796968</v>
      </c>
      <c r="DK433" s="995">
        <v>70.587000000000003</v>
      </c>
      <c r="DL433" s="995">
        <v>222667.7</v>
      </c>
      <c r="DM433" s="995">
        <v>3005</v>
      </c>
      <c r="DN433" s="995">
        <v>95.108999999999995</v>
      </c>
      <c r="DO433" s="995">
        <v>147</v>
      </c>
      <c r="DP433" s="995">
        <v>100</v>
      </c>
      <c r="DQ433" s="995">
        <v>1515.394</v>
      </c>
      <c r="DR433" s="995">
        <v>4776501</v>
      </c>
      <c r="DS433" s="995">
        <v>70.334000000000003</v>
      </c>
      <c r="DT433" s="995">
        <v>221692</v>
      </c>
    </row>
    <row r="434" spans="1:124">
      <c r="A434" s="42" t="s">
        <v>94</v>
      </c>
      <c r="B434" s="42" t="s">
        <v>549</v>
      </c>
      <c r="C434" s="42" t="s">
        <v>639</v>
      </c>
      <c r="D434" s="42">
        <v>820352</v>
      </c>
      <c r="E434" s="42" t="s">
        <v>652</v>
      </c>
      <c r="F434" s="42" t="s">
        <v>149</v>
      </c>
      <c r="G434" s="42" t="s">
        <v>150</v>
      </c>
      <c r="H434" s="43" t="s">
        <v>150</v>
      </c>
      <c r="I434" s="44">
        <v>63</v>
      </c>
      <c r="J434" s="45">
        <v>190413.89920000001</v>
      </c>
      <c r="K434" s="46">
        <v>10103.704152</v>
      </c>
      <c r="L434" s="47">
        <v>200517.60335200001</v>
      </c>
      <c r="M434" s="48">
        <v>4233737</v>
      </c>
      <c r="N434" s="49">
        <v>2755843</v>
      </c>
      <c r="O434" s="49">
        <v>1459327</v>
      </c>
      <c r="P434" s="49">
        <v>18567</v>
      </c>
      <c r="Q434" s="50">
        <v>9690.0410344827596</v>
      </c>
      <c r="R434" s="51">
        <v>23123.721873054299</v>
      </c>
      <c r="S434" s="49">
        <v>37603.729589071001</v>
      </c>
      <c r="T434" s="49">
        <v>8068.5083984801104</v>
      </c>
      <c r="U434" s="49">
        <f>IFERROR(INDEX('Rentabilidad datos'!$N$2:$N$61,MATCH($C434,'Rentabilidad datos'!$C$2:$C$61,0)),"")</f>
        <v>68795.959860605391</v>
      </c>
      <c r="V434" s="50">
        <f>IFERROR(INDEX('Rentabilidad datos'!$O$2:$O$61,MATCH($C434,'Rentabilidad datos'!$C$2:$C$61,0)),"")</f>
        <v>1166.0332179763625</v>
      </c>
      <c r="W434" s="51">
        <f>IFERROR(INDEX('Rentabilidad datos'!$M$2:$M$61,MATCH($C434,'Rentabilidad datos'!$C$2:$C$61,0)),"")</f>
        <v>3116.1708958203221</v>
      </c>
      <c r="X434" s="52">
        <f>IFERROR(INDEX('Rentabilidad datos'!$P$2:$P$61,MATCH($C434,'Rentabilidad datos'!$C$2:$C$61,0)),"")</f>
        <v>0.37418782761251868</v>
      </c>
      <c r="Y434" s="43" t="s">
        <v>171</v>
      </c>
      <c r="Z434" s="53">
        <v>82.949425287356306</v>
      </c>
      <c r="AA434" s="43">
        <v>2</v>
      </c>
      <c r="AB434" s="54">
        <v>0.98559735760629441</v>
      </c>
      <c r="AC434" s="55">
        <v>1.4402642393705608E-2</v>
      </c>
      <c r="AD434" s="752" t="e">
        <f>_xlfn.XLOOKUP(Table1[[#This Row],[Ruta]],#REF!,#REF!)</f>
        <v>#REF!</v>
      </c>
      <c r="AE434" s="752" t="e">
        <f>_xlfn.XLOOKUP(Table1[[#This Row],[Ruta]],#REF!,#REF!)</f>
        <v>#REF!</v>
      </c>
      <c r="AF434" s="752" t="e">
        <f>_xlfn.XLOOKUP(Table1[[#This Row],[Ruta]],#REF!,#REF!)</f>
        <v>#REF!</v>
      </c>
      <c r="AG434" s="752" t="e">
        <f>_xlfn.XLOOKUP(Table1[[#This Row],[Ruta]],#REF!,#REF!)</f>
        <v>#REF!</v>
      </c>
      <c r="AH434" s="52">
        <v>0.65092446696618145</v>
      </c>
      <c r="AI434" s="52">
        <v>0.3446900456972174</v>
      </c>
      <c r="AJ434" s="55">
        <v>4.3854873366012109E-3</v>
      </c>
      <c r="AK434" s="56">
        <v>36083</v>
      </c>
      <c r="AL434" s="44">
        <v>14998</v>
      </c>
      <c r="AM434" s="54">
        <v>0.41565280048776398</v>
      </c>
      <c r="AN434" s="55">
        <v>0.50214093649930203</v>
      </c>
      <c r="AO434" s="56">
        <v>3120.7514117043102</v>
      </c>
      <c r="AP434" s="48">
        <v>1560.3757058521551</v>
      </c>
      <c r="AQ434" s="55">
        <v>0.45889686849353312</v>
      </c>
      <c r="AR434" s="51">
        <v>4215167.8499999996</v>
      </c>
      <c r="AS434" s="49">
        <v>438541.50614942401</v>
      </c>
      <c r="AT434" s="55">
        <v>0.10403891891266537</v>
      </c>
      <c r="AU434" s="51">
        <v>308164.30161851429</v>
      </c>
      <c r="AV434" s="52">
        <v>1.4018685704571079E-3</v>
      </c>
      <c r="AW434" s="44">
        <v>236</v>
      </c>
      <c r="AX434" s="51">
        <v>281.04866315508701</v>
      </c>
      <c r="AY434" s="49">
        <v>308.140122044046</v>
      </c>
      <c r="AZ434" s="49">
        <v>27.091458888958982</v>
      </c>
      <c r="BA434" s="42" t="s">
        <v>150</v>
      </c>
      <c r="BB434" s="50">
        <v>142760.27311934839</v>
      </c>
      <c r="BC434" s="57">
        <v>450924.57473786268</v>
      </c>
      <c r="BD434" s="42" t="s">
        <v>150</v>
      </c>
      <c r="BE434" s="46">
        <v>82.949425287356306</v>
      </c>
      <c r="BF434" s="46">
        <v>83.628504672897193</v>
      </c>
      <c r="BG434" s="42" t="s">
        <v>152</v>
      </c>
      <c r="BH434" s="52">
        <v>0.41565280048776398</v>
      </c>
      <c r="BI434" s="52">
        <v>0.51187669456560203</v>
      </c>
      <c r="BJ434" s="42" t="s">
        <v>152</v>
      </c>
      <c r="BK434" s="46">
        <v>460.96000770574602</v>
      </c>
      <c r="BL434" s="46">
        <v>638.00354527981403</v>
      </c>
      <c r="BM434" s="42" t="s">
        <v>152</v>
      </c>
      <c r="BN434" s="48">
        <v>0</v>
      </c>
      <c r="BO434" s="42" t="s">
        <v>155</v>
      </c>
      <c r="BP434" s="42" t="s">
        <v>152</v>
      </c>
      <c r="BQ434" s="46">
        <v>5750.5584421927397</v>
      </c>
      <c r="BR434" s="46">
        <v>84</v>
      </c>
      <c r="BS434" s="46">
        <v>6354</v>
      </c>
      <c r="BT434" s="46">
        <v>2137</v>
      </c>
      <c r="BU434" s="46">
        <v>2.9733270940570895</v>
      </c>
      <c r="BV434" s="46">
        <v>25.44047619047619</v>
      </c>
      <c r="BW434" s="46">
        <v>0</v>
      </c>
      <c r="BX434" s="46">
        <v>2137</v>
      </c>
      <c r="BY434" s="46">
        <v>2137</v>
      </c>
      <c r="BZ434" s="46">
        <v>1</v>
      </c>
      <c r="CA434" s="46">
        <v>0</v>
      </c>
      <c r="CB434" s="46">
        <v>1</v>
      </c>
      <c r="CC434" s="46">
        <v>0</v>
      </c>
      <c r="CD434" s="46">
        <v>0</v>
      </c>
      <c r="CE434" s="46">
        <v>0</v>
      </c>
      <c r="CF434" s="46">
        <v>0</v>
      </c>
      <c r="CG434" s="46">
        <v>0</v>
      </c>
      <c r="CH434" s="46">
        <v>0</v>
      </c>
      <c r="CI434" s="46">
        <v>2.9902423670129066</v>
      </c>
      <c r="CJ434" s="46">
        <v>0.15738117721120551</v>
      </c>
      <c r="CK434">
        <v>346</v>
      </c>
      <c r="CL434">
        <v>478.08</v>
      </c>
      <c r="CM434">
        <f t="shared" si="49"/>
        <v>132.07999999999998</v>
      </c>
      <c r="CN434">
        <v>8.33</v>
      </c>
      <c r="CO434">
        <v>9.4499999999999993</v>
      </c>
      <c r="CP434">
        <f t="shared" si="50"/>
        <v>1.1199999999999992</v>
      </c>
      <c r="CQ434">
        <v>846.56</v>
      </c>
      <c r="CR434">
        <v>460.96</v>
      </c>
      <c r="CS434">
        <f t="shared" si="51"/>
        <v>385.59999999999997</v>
      </c>
      <c r="CT434" t="s">
        <v>152</v>
      </c>
      <c r="CU434">
        <v>88.15</v>
      </c>
      <c r="CV434">
        <v>325</v>
      </c>
      <c r="CW434" s="46">
        <v>2137</v>
      </c>
      <c r="CX434" s="46">
        <f t="shared" si="45"/>
        <v>93.819372952737496</v>
      </c>
      <c r="CY434" s="46">
        <v>132.08000000000001</v>
      </c>
      <c r="CZ434" s="46">
        <f t="shared" si="46"/>
        <v>100</v>
      </c>
      <c r="DA434" s="46">
        <f t="shared" si="47"/>
        <v>759.73179879069937</v>
      </c>
      <c r="DB434" s="46">
        <v>1723892.23</v>
      </c>
      <c r="DC434" s="46">
        <f t="shared" si="48"/>
        <v>35.000647839653077</v>
      </c>
      <c r="DD434" s="46">
        <v>79419.27</v>
      </c>
      <c r="DE434" s="995">
        <v>2137</v>
      </c>
      <c r="DF434" s="995">
        <v>94.090999999999994</v>
      </c>
      <c r="DG434" s="995">
        <v>126.3</v>
      </c>
      <c r="DH434" s="995">
        <v>100</v>
      </c>
      <c r="DI434" s="995">
        <v>2005.028</v>
      </c>
      <c r="DJ434" s="995">
        <v>4537917</v>
      </c>
      <c r="DK434" s="995">
        <v>93.263000000000005</v>
      </c>
      <c r="DL434" s="995">
        <v>211079.9</v>
      </c>
      <c r="DM434" s="995">
        <v>2137</v>
      </c>
      <c r="DN434" s="995">
        <v>94.289000000000001</v>
      </c>
      <c r="DO434" s="995">
        <v>122</v>
      </c>
      <c r="DP434" s="995">
        <v>100</v>
      </c>
      <c r="DQ434" s="995">
        <v>1991.98</v>
      </c>
      <c r="DR434" s="995">
        <v>4499970</v>
      </c>
      <c r="DS434" s="995">
        <v>92.716999999999999</v>
      </c>
      <c r="DT434" s="995">
        <v>209452.79999999999</v>
      </c>
    </row>
    <row r="435" spans="1:124">
      <c r="A435" s="42" t="s">
        <v>94</v>
      </c>
      <c r="B435" s="42" t="s">
        <v>549</v>
      </c>
      <c r="C435" s="42" t="s">
        <v>639</v>
      </c>
      <c r="D435" s="42">
        <v>820353</v>
      </c>
      <c r="E435" s="42" t="s">
        <v>653</v>
      </c>
      <c r="F435" s="42" t="s">
        <v>149</v>
      </c>
      <c r="G435" s="42" t="s">
        <v>150</v>
      </c>
      <c r="H435" s="43" t="s">
        <v>150</v>
      </c>
      <c r="I435" s="44">
        <v>63</v>
      </c>
      <c r="J435" s="45">
        <v>168159.37599999999</v>
      </c>
      <c r="K435" s="46">
        <v>15680.44368</v>
      </c>
      <c r="L435" s="47">
        <v>183839.81967999999</v>
      </c>
      <c r="M435" s="48">
        <v>4092784</v>
      </c>
      <c r="N435" s="49">
        <v>2435273</v>
      </c>
      <c r="O435" s="49">
        <v>1641244</v>
      </c>
      <c r="P435" s="49">
        <v>16267</v>
      </c>
      <c r="Q435" s="50">
        <v>9392.8992626728104</v>
      </c>
      <c r="R435" s="51">
        <v>23123.721873054299</v>
      </c>
      <c r="S435" s="49">
        <v>37603.729589071001</v>
      </c>
      <c r="T435" s="49">
        <v>8068.5083984801104</v>
      </c>
      <c r="U435" s="49">
        <f>IFERROR(INDEX('Rentabilidad datos'!$N$2:$N$61,MATCH($C435,'Rentabilidad datos'!$C$2:$C$61,0)),"")</f>
        <v>68795.959860605391</v>
      </c>
      <c r="V435" s="50">
        <f>IFERROR(INDEX('Rentabilidad datos'!$O$2:$O$61,MATCH($C435,'Rentabilidad datos'!$C$2:$C$61,0)),"")</f>
        <v>1166.0332179763625</v>
      </c>
      <c r="W435" s="51">
        <f>IFERROR(INDEX('Rentabilidad datos'!$M$2:$M$61,MATCH($C435,'Rentabilidad datos'!$C$2:$C$61,0)),"")</f>
        <v>3116.1708958203221</v>
      </c>
      <c r="X435" s="52">
        <f>IFERROR(INDEX('Rentabilidad datos'!$P$2:$P$61,MATCH($C435,'Rentabilidad datos'!$C$2:$C$61,0)),"")</f>
        <v>0.37418782761251868</v>
      </c>
      <c r="Y435" s="43" t="s">
        <v>171</v>
      </c>
      <c r="Z435" s="53">
        <v>76.066820276497694</v>
      </c>
      <c r="AA435" s="43">
        <v>2</v>
      </c>
      <c r="AB435" s="54">
        <v>0.87416926962185149</v>
      </c>
      <c r="AC435" s="55">
        <v>0.12583073037814846</v>
      </c>
      <c r="AD435" s="752" t="e">
        <f>_xlfn.XLOOKUP(Table1[[#This Row],[Ruta]],#REF!,#REF!)</f>
        <v>#REF!</v>
      </c>
      <c r="AE435" s="752" t="e">
        <f>_xlfn.XLOOKUP(Table1[[#This Row],[Ruta]],#REF!,#REF!)</f>
        <v>#REF!</v>
      </c>
      <c r="AF435" s="752" t="e">
        <f>_xlfn.XLOOKUP(Table1[[#This Row],[Ruta]],#REF!,#REF!)</f>
        <v>#REF!</v>
      </c>
      <c r="AG435" s="752" t="e">
        <f>_xlfn.XLOOKUP(Table1[[#This Row],[Ruta]],#REF!,#REF!)</f>
        <v>#REF!</v>
      </c>
      <c r="AH435" s="52">
        <v>0.59501625299551597</v>
      </c>
      <c r="AI435" s="52">
        <v>0.40100919080997188</v>
      </c>
      <c r="AJ435" s="55">
        <v>3.9745561945120972E-3</v>
      </c>
      <c r="AK435" s="56">
        <v>33013</v>
      </c>
      <c r="AL435" s="44">
        <v>17500</v>
      </c>
      <c r="AM435" s="54">
        <v>0.53009420531305895</v>
      </c>
      <c r="AN435" s="55">
        <v>0.50214093649930203</v>
      </c>
      <c r="AO435" s="56">
        <v>0</v>
      </c>
      <c r="AP435" s="48">
        <v>0</v>
      </c>
      <c r="AQ435" s="55">
        <v>0.53009420531305851</v>
      </c>
      <c r="AR435" s="51">
        <v>4076518.28</v>
      </c>
      <c r="AS435" s="49">
        <v>0</v>
      </c>
      <c r="AT435" s="55">
        <v>0</v>
      </c>
      <c r="AU435" s="51">
        <v>0</v>
      </c>
      <c r="AV435" s="52">
        <v>0</v>
      </c>
      <c r="AW435" s="44">
        <v>490</v>
      </c>
      <c r="AX435" s="51">
        <v>232.943901714286</v>
      </c>
      <c r="AY435" s="49">
        <v>308.140122044046</v>
      </c>
      <c r="AZ435" s="49">
        <v>75.196220329759996</v>
      </c>
      <c r="BA435" s="42" t="s">
        <v>150</v>
      </c>
      <c r="BB435" s="50">
        <v>462355.13851406507</v>
      </c>
      <c r="BC435" s="57">
        <v>462355.13851406507</v>
      </c>
      <c r="BD435" s="42" t="s">
        <v>150</v>
      </c>
      <c r="BE435" s="46">
        <v>76.066820276497694</v>
      </c>
      <c r="BF435" s="46">
        <v>83.628504672897193</v>
      </c>
      <c r="BG435" s="42" t="s">
        <v>152</v>
      </c>
      <c r="BH435" s="52">
        <v>0.53009420531305895</v>
      </c>
      <c r="BI435" s="52">
        <v>0.51187669456560203</v>
      </c>
      <c r="BJ435" s="42" t="s">
        <v>150</v>
      </c>
      <c r="BK435" s="46">
        <v>423.594054562211</v>
      </c>
      <c r="BL435" s="46">
        <v>638.00354527981403</v>
      </c>
      <c r="BM435" s="42" t="s">
        <v>152</v>
      </c>
      <c r="BN435" s="48">
        <v>1</v>
      </c>
      <c r="BO435" s="42" t="s">
        <v>155</v>
      </c>
      <c r="BP435" s="42" t="s">
        <v>152</v>
      </c>
      <c r="BQ435" s="46">
        <v>816.77017549192203</v>
      </c>
      <c r="BR435" s="46">
        <v>95</v>
      </c>
      <c r="BS435" s="46">
        <v>10271</v>
      </c>
      <c r="BT435" s="46">
        <v>2908</v>
      </c>
      <c r="BU435" s="46">
        <v>3.5319807427785421</v>
      </c>
      <c r="BV435" s="46">
        <v>30.610526315789475</v>
      </c>
      <c r="BW435" s="46">
        <v>1499</v>
      </c>
      <c r="BX435" s="46">
        <v>1254</v>
      </c>
      <c r="BY435" s="46">
        <v>2753</v>
      </c>
      <c r="BZ435" s="46">
        <v>0.94669876203576342</v>
      </c>
      <c r="CA435" s="46">
        <v>0.515474552957359</v>
      </c>
      <c r="CB435" s="46">
        <v>0.43122420907840442</v>
      </c>
      <c r="CC435" s="46">
        <v>5.3301237964236588E-2</v>
      </c>
      <c r="CD435" s="46">
        <v>0</v>
      </c>
      <c r="CE435" s="46">
        <v>0</v>
      </c>
      <c r="CF435" s="46">
        <v>0</v>
      </c>
      <c r="CG435" s="46">
        <v>0</v>
      </c>
      <c r="CH435" s="46">
        <v>0</v>
      </c>
      <c r="CI435" s="46">
        <v>2.6287605880634799</v>
      </c>
      <c r="CJ435" s="46">
        <v>0.19472300652322069</v>
      </c>
      <c r="CK435">
        <v>377</v>
      </c>
      <c r="CL435">
        <v>628.74</v>
      </c>
      <c r="CM435">
        <f t="shared" si="49"/>
        <v>251.74</v>
      </c>
      <c r="CN435">
        <v>8.7799999999999994</v>
      </c>
      <c r="CO435">
        <v>9.4499999999999993</v>
      </c>
      <c r="CP435">
        <f t="shared" si="50"/>
        <v>0.66999999999999993</v>
      </c>
      <c r="CQ435">
        <v>564.37</v>
      </c>
      <c r="CR435">
        <v>423.59</v>
      </c>
      <c r="CS435">
        <f t="shared" si="51"/>
        <v>140.78000000000003</v>
      </c>
      <c r="CT435" t="s">
        <v>152</v>
      </c>
      <c r="CU435">
        <v>95.3</v>
      </c>
      <c r="CV435">
        <v>374</v>
      </c>
      <c r="CW435" s="46">
        <v>2753</v>
      </c>
      <c r="CX435" s="46">
        <f t="shared" si="45"/>
        <v>86.013067400275105</v>
      </c>
      <c r="CY435" s="46">
        <v>251.74</v>
      </c>
      <c r="CZ435" s="46">
        <f t="shared" si="46"/>
        <v>94.669876203576337</v>
      </c>
      <c r="DA435" s="46">
        <f t="shared" si="47"/>
        <v>1075.2335255432408</v>
      </c>
      <c r="DB435" s="46">
        <v>3397458.38</v>
      </c>
      <c r="DC435" s="46">
        <f t="shared" si="48"/>
        <v>50.688692740541946</v>
      </c>
      <c r="DD435" s="46">
        <v>160163.09</v>
      </c>
      <c r="DE435" s="995">
        <v>2753</v>
      </c>
      <c r="DF435" s="995">
        <v>86.013000000000005</v>
      </c>
      <c r="DG435" s="995">
        <v>251.7</v>
      </c>
      <c r="DH435" s="995">
        <v>94.67</v>
      </c>
      <c r="DI435" s="995">
        <v>1958.4490000000001</v>
      </c>
      <c r="DJ435" s="995">
        <v>6188190</v>
      </c>
      <c r="DK435" s="995">
        <v>92.09</v>
      </c>
      <c r="DL435" s="995">
        <v>290980.09999999998</v>
      </c>
      <c r="DM435" s="995">
        <v>2753</v>
      </c>
      <c r="DN435" s="995">
        <v>86.013000000000005</v>
      </c>
      <c r="DO435" s="995">
        <v>251.7</v>
      </c>
      <c r="DP435" s="995">
        <v>94.67</v>
      </c>
      <c r="DQ435" s="995">
        <v>1958.4490000000001</v>
      </c>
      <c r="DR435" s="995">
        <v>6188190</v>
      </c>
      <c r="DS435" s="995">
        <v>92.09</v>
      </c>
      <c r="DT435" s="995">
        <v>290980.09999999998</v>
      </c>
    </row>
    <row r="436" spans="1:124">
      <c r="A436" s="42" t="s">
        <v>94</v>
      </c>
      <c r="B436" s="42" t="s">
        <v>549</v>
      </c>
      <c r="C436" s="42" t="s">
        <v>639</v>
      </c>
      <c r="D436" s="42">
        <v>820354</v>
      </c>
      <c r="E436" s="42" t="s">
        <v>654</v>
      </c>
      <c r="F436" s="42" t="s">
        <v>149</v>
      </c>
      <c r="G436" s="42" t="s">
        <v>150</v>
      </c>
      <c r="H436" s="43" t="s">
        <v>150</v>
      </c>
      <c r="I436" s="44">
        <v>63</v>
      </c>
      <c r="J436" s="45">
        <v>123357.97040000001</v>
      </c>
      <c r="K436" s="46">
        <v>8665.2392130000007</v>
      </c>
      <c r="L436" s="47">
        <v>132023.20961300001</v>
      </c>
      <c r="M436" s="48">
        <v>3016785</v>
      </c>
      <c r="N436" s="49">
        <v>1775546</v>
      </c>
      <c r="O436" s="49">
        <v>1235706</v>
      </c>
      <c r="P436" s="49">
        <v>5533</v>
      </c>
      <c r="Q436" s="50">
        <v>7025.9603037383204</v>
      </c>
      <c r="R436" s="51">
        <v>23123.721873054299</v>
      </c>
      <c r="S436" s="49">
        <v>37603.729589071001</v>
      </c>
      <c r="T436" s="49">
        <v>8068.5083984801104</v>
      </c>
      <c r="U436" s="49">
        <f>IFERROR(INDEX('Rentabilidad datos'!$N$2:$N$61,MATCH($C436,'Rentabilidad datos'!$C$2:$C$61,0)),"")</f>
        <v>68795.959860605391</v>
      </c>
      <c r="V436" s="50">
        <f>IFERROR(INDEX('Rentabilidad datos'!$O$2:$O$61,MATCH($C436,'Rentabilidad datos'!$C$2:$C$61,0)),"")</f>
        <v>1166.0332179763625</v>
      </c>
      <c r="W436" s="51">
        <f>IFERROR(INDEX('Rentabilidad datos'!$M$2:$M$61,MATCH($C436,'Rentabilidad datos'!$C$2:$C$61,0)),"")</f>
        <v>3116.1708958203221</v>
      </c>
      <c r="X436" s="52">
        <f>IFERROR(INDEX('Rentabilidad datos'!$P$2:$P$61,MATCH($C436,'Rentabilidad datos'!$C$2:$C$61,0)),"")</f>
        <v>0.37418782761251868</v>
      </c>
      <c r="Y436" s="43" t="s">
        <v>171</v>
      </c>
      <c r="Z436" s="53">
        <v>39.490654205607498</v>
      </c>
      <c r="AA436" s="43">
        <v>2</v>
      </c>
      <c r="AB436" s="54">
        <v>0.91377675240363498</v>
      </c>
      <c r="AC436" s="55">
        <v>8.6223247596365002E-2</v>
      </c>
      <c r="AD436" s="752" t="e">
        <f>_xlfn.XLOOKUP(Table1[[#This Row],[Ruta]],#REF!,#REF!)</f>
        <v>#REF!</v>
      </c>
      <c r="AE436" s="752" t="e">
        <f>_xlfn.XLOOKUP(Table1[[#This Row],[Ruta]],#REF!,#REF!)</f>
        <v>#REF!</v>
      </c>
      <c r="AF436" s="752" t="e">
        <f>_xlfn.XLOOKUP(Table1[[#This Row],[Ruta]],#REF!,#REF!)</f>
        <v>#REF!</v>
      </c>
      <c r="AG436" s="752" t="e">
        <f>_xlfn.XLOOKUP(Table1[[#This Row],[Ruta]],#REF!,#REF!)</f>
        <v>#REF!</v>
      </c>
      <c r="AH436" s="52">
        <v>0.58855569753893633</v>
      </c>
      <c r="AI436" s="52">
        <v>0.40961023075890396</v>
      </c>
      <c r="AJ436" s="55">
        <v>1.8340717021597494E-3</v>
      </c>
      <c r="AK436" s="56">
        <v>16902</v>
      </c>
      <c r="AL436" s="44">
        <v>5445</v>
      </c>
      <c r="AM436" s="54">
        <v>0.32215122470713498</v>
      </c>
      <c r="AN436" s="55">
        <v>0.50214093649930203</v>
      </c>
      <c r="AO436" s="56">
        <v>3042.1861087112002</v>
      </c>
      <c r="AP436" s="48">
        <v>1521.0930543556001</v>
      </c>
      <c r="AQ436" s="55">
        <v>0.41214608060321861</v>
      </c>
      <c r="AR436" s="51">
        <v>3007111.01</v>
      </c>
      <c r="AS436" s="49">
        <v>840054.30137507</v>
      </c>
      <c r="AT436" s="55">
        <v>0.27935593284767696</v>
      </c>
      <c r="AU436" s="51">
        <v>590308.42799329269</v>
      </c>
      <c r="AV436" s="52">
        <v>2.6853689013731697E-3</v>
      </c>
      <c r="AW436" s="44">
        <v>119</v>
      </c>
      <c r="AX436" s="51">
        <v>552.27015794306703</v>
      </c>
      <c r="AY436" s="49">
        <v>308.140122044046</v>
      </c>
      <c r="AZ436" s="49">
        <v>0</v>
      </c>
      <c r="BA436" s="42" t="s">
        <v>152</v>
      </c>
      <c r="BB436" s="50">
        <v>0</v>
      </c>
      <c r="BC436" s="57">
        <v>590308.42799329269</v>
      </c>
      <c r="BD436" s="42" t="s">
        <v>150</v>
      </c>
      <c r="BE436" s="46">
        <v>39.490654205607498</v>
      </c>
      <c r="BF436" s="46">
        <v>83.628504672897193</v>
      </c>
      <c r="BG436" s="42" t="s">
        <v>152</v>
      </c>
      <c r="BH436" s="52">
        <v>0.32215122470713498</v>
      </c>
      <c r="BI436" s="52">
        <v>0.51187669456560203</v>
      </c>
      <c r="BJ436" s="42" t="s">
        <v>152</v>
      </c>
      <c r="BK436" s="46">
        <v>308.46544302102802</v>
      </c>
      <c r="BL436" s="46">
        <v>638.00354527981403</v>
      </c>
      <c r="BM436" s="42" t="s">
        <v>152</v>
      </c>
      <c r="BN436" s="48">
        <v>0</v>
      </c>
      <c r="BO436" s="42" t="s">
        <v>155</v>
      </c>
      <c r="BP436" s="42" t="s">
        <v>152</v>
      </c>
      <c r="BQ436" s="46">
        <v>12891.0639242827</v>
      </c>
      <c r="BR436" s="46">
        <v>46</v>
      </c>
      <c r="BS436" s="46">
        <v>1270</v>
      </c>
      <c r="BT436" s="46">
        <v>474</v>
      </c>
      <c r="BU436" s="46">
        <v>2.6793248945147679</v>
      </c>
      <c r="BV436" s="46">
        <v>10.304347826086957</v>
      </c>
      <c r="BW436" s="46">
        <v>0</v>
      </c>
      <c r="BX436" s="46">
        <v>474</v>
      </c>
      <c r="BY436" s="46">
        <v>474</v>
      </c>
      <c r="BZ436" s="46">
        <v>1</v>
      </c>
      <c r="CA436" s="46">
        <v>0</v>
      </c>
      <c r="CB436" s="46">
        <v>1</v>
      </c>
      <c r="CC436" s="46">
        <v>0</v>
      </c>
      <c r="CD436" s="46">
        <v>0</v>
      </c>
      <c r="CE436" s="46">
        <v>0</v>
      </c>
      <c r="CF436" s="46">
        <v>0</v>
      </c>
      <c r="CG436" s="46">
        <v>0</v>
      </c>
      <c r="CH436" s="46">
        <v>0</v>
      </c>
      <c r="CI436" s="46">
        <v>1.5748031496062991</v>
      </c>
      <c r="CJ436" s="46">
        <v>0.78740157480314954</v>
      </c>
      <c r="CK436">
        <v>237</v>
      </c>
      <c r="CL436">
        <v>266.49</v>
      </c>
      <c r="CM436">
        <f t="shared" si="49"/>
        <v>29.490000000000009</v>
      </c>
      <c r="CN436">
        <v>9.0399999999999991</v>
      </c>
      <c r="CO436">
        <v>9.4499999999999993</v>
      </c>
      <c r="CP436">
        <f t="shared" si="50"/>
        <v>0.41000000000000014</v>
      </c>
      <c r="CQ436">
        <v>564.37</v>
      </c>
      <c r="CR436">
        <v>308.47000000000003</v>
      </c>
      <c r="CS436">
        <f t="shared" si="51"/>
        <v>255.89999999999998</v>
      </c>
      <c r="CT436" t="s">
        <v>152</v>
      </c>
      <c r="CU436">
        <v>95.67</v>
      </c>
      <c r="CV436">
        <v>240</v>
      </c>
      <c r="CW436" s="46">
        <v>473</v>
      </c>
      <c r="CX436" s="46">
        <f t="shared" si="45"/>
        <v>93.567510548523202</v>
      </c>
      <c r="CY436" s="46">
        <v>29.49</v>
      </c>
      <c r="CZ436" s="46">
        <f t="shared" si="46"/>
        <v>99.789029535864984</v>
      </c>
      <c r="DA436" s="46">
        <f t="shared" si="47"/>
        <v>1896.3433236012631</v>
      </c>
      <c r="DB436" s="46">
        <v>954789.9</v>
      </c>
      <c r="DC436" s="46">
        <f t="shared" si="48"/>
        <v>72.495580845697035</v>
      </c>
      <c r="DD436" s="46">
        <v>36500.800000000003</v>
      </c>
      <c r="DE436" s="995">
        <v>473</v>
      </c>
      <c r="DF436" s="995">
        <v>93.692999999999998</v>
      </c>
      <c r="DG436" s="995">
        <v>28.9</v>
      </c>
      <c r="DH436" s="995">
        <v>99.789000000000001</v>
      </c>
      <c r="DI436" s="995">
        <v>6766.43</v>
      </c>
      <c r="DJ436" s="995">
        <v>3402812</v>
      </c>
      <c r="DK436" s="995">
        <v>261.70999999999998</v>
      </c>
      <c r="DL436" s="995">
        <v>131612.79999999999</v>
      </c>
      <c r="DM436" s="995">
        <v>473</v>
      </c>
      <c r="DN436" s="995">
        <v>94.769000000000005</v>
      </c>
      <c r="DO436" s="995">
        <v>23.8</v>
      </c>
      <c r="DP436" s="995">
        <v>99.789000000000001</v>
      </c>
      <c r="DQ436" s="995">
        <v>6734.8990000000003</v>
      </c>
      <c r="DR436" s="995">
        <v>3352611</v>
      </c>
      <c r="DS436" s="995">
        <v>260.12200000000001</v>
      </c>
      <c r="DT436" s="995">
        <v>129487.7</v>
      </c>
    </row>
    <row r="437" spans="1:124">
      <c r="A437" s="42" t="s">
        <v>94</v>
      </c>
      <c r="B437" s="42" t="s">
        <v>549</v>
      </c>
      <c r="C437" s="42" t="s">
        <v>639</v>
      </c>
      <c r="D437" s="42">
        <v>820355</v>
      </c>
      <c r="E437" s="42" t="s">
        <v>655</v>
      </c>
      <c r="F437" s="42" t="s">
        <v>149</v>
      </c>
      <c r="G437" s="42" t="s">
        <v>150</v>
      </c>
      <c r="H437" s="43" t="s">
        <v>150</v>
      </c>
      <c r="I437" s="44">
        <v>63</v>
      </c>
      <c r="J437" s="45">
        <v>179522.6384</v>
      </c>
      <c r="K437" s="46">
        <v>8271.0572919999995</v>
      </c>
      <c r="L437" s="47">
        <v>187793.69569200001</v>
      </c>
      <c r="M437" s="48">
        <v>3709621</v>
      </c>
      <c r="N437" s="49">
        <v>2576938</v>
      </c>
      <c r="O437" s="49">
        <v>1127835</v>
      </c>
      <c r="P437" s="49">
        <v>4848</v>
      </c>
      <c r="Q437" s="50">
        <v>8516.7308275862106</v>
      </c>
      <c r="R437" s="51">
        <v>23123.721873054299</v>
      </c>
      <c r="S437" s="49">
        <v>37603.729589071001</v>
      </c>
      <c r="T437" s="49">
        <v>8068.5083984801104</v>
      </c>
      <c r="U437" s="49">
        <f>IFERROR(INDEX('Rentabilidad datos'!$N$2:$N$61,MATCH($C437,'Rentabilidad datos'!$C$2:$C$61,0)),"")</f>
        <v>68795.959860605391</v>
      </c>
      <c r="V437" s="50">
        <f>IFERROR(INDEX('Rentabilidad datos'!$O$2:$O$61,MATCH($C437,'Rentabilidad datos'!$C$2:$C$61,0)),"")</f>
        <v>1166.0332179763625</v>
      </c>
      <c r="W437" s="51">
        <f>IFERROR(INDEX('Rentabilidad datos'!$M$2:$M$61,MATCH($C437,'Rentabilidad datos'!$C$2:$C$61,0)),"")</f>
        <v>3116.1708958203221</v>
      </c>
      <c r="X437" s="52">
        <f>IFERROR(INDEX('Rentabilidad datos'!$P$2:$P$61,MATCH($C437,'Rentabilidad datos'!$C$2:$C$61,0)),"")</f>
        <v>0.37418782761251868</v>
      </c>
      <c r="Y437" s="43" t="s">
        <v>171</v>
      </c>
      <c r="Z437" s="53">
        <v>98.349425287356297</v>
      </c>
      <c r="AA437" s="43">
        <v>2</v>
      </c>
      <c r="AB437" s="54">
        <v>0.88911535706747402</v>
      </c>
      <c r="AC437" s="55">
        <v>0.11088464293252599</v>
      </c>
      <c r="AD437" s="752" t="e">
        <f>_xlfn.XLOOKUP(Table1[[#This Row],[Ruta]],#REF!,#REF!)</f>
        <v>#REF!</v>
      </c>
      <c r="AE437" s="752" t="e">
        <f>_xlfn.XLOOKUP(Table1[[#This Row],[Ruta]],#REF!,#REF!)</f>
        <v>#REF!</v>
      </c>
      <c r="AF437" s="752" t="e">
        <f>_xlfn.XLOOKUP(Table1[[#This Row],[Ruta]],#REF!,#REF!)</f>
        <v>#REF!</v>
      </c>
      <c r="AG437" s="752" t="e">
        <f>_xlfn.XLOOKUP(Table1[[#This Row],[Ruta]],#REF!,#REF!)</f>
        <v>#REF!</v>
      </c>
      <c r="AH437" s="52">
        <v>0.6946634170984044</v>
      </c>
      <c r="AI437" s="52">
        <v>0.30402971085186331</v>
      </c>
      <c r="AJ437" s="55">
        <v>1.3068720497323042E-3</v>
      </c>
      <c r="AK437" s="56">
        <v>42782</v>
      </c>
      <c r="AL437" s="44">
        <v>19017</v>
      </c>
      <c r="AM437" s="54">
        <v>0.44450937310083699</v>
      </c>
      <c r="AN437" s="55">
        <v>0.50214093649930203</v>
      </c>
      <c r="AO437" s="56">
        <v>2465.5935453131401</v>
      </c>
      <c r="AP437" s="48">
        <v>1232.7967726565701</v>
      </c>
      <c r="AQ437" s="55">
        <v>0.47332515480006943</v>
      </c>
      <c r="AR437" s="51">
        <v>3704777.91</v>
      </c>
      <c r="AS437" s="49">
        <v>240166.0751357915</v>
      </c>
      <c r="AT437" s="55">
        <v>6.4826038421231968E-2</v>
      </c>
      <c r="AU437" s="51">
        <v>168765.3500954211</v>
      </c>
      <c r="AV437" s="52">
        <v>7.6772954829089574E-4</v>
      </c>
      <c r="AW437" s="44">
        <v>334</v>
      </c>
      <c r="AX437" s="51">
        <v>194.814003786086</v>
      </c>
      <c r="AY437" s="49">
        <v>308.140122044046</v>
      </c>
      <c r="AZ437" s="49">
        <v>113.32611825795999</v>
      </c>
      <c r="BA437" s="42" t="s">
        <v>150</v>
      </c>
      <c r="BB437" s="50">
        <v>757205.30491489556</v>
      </c>
      <c r="BC437" s="57">
        <v>925970.65501031664</v>
      </c>
      <c r="BD437" s="42" t="s">
        <v>150</v>
      </c>
      <c r="BE437" s="46">
        <v>98.349425287356297</v>
      </c>
      <c r="BF437" s="46">
        <v>83.628504672897193</v>
      </c>
      <c r="BG437" s="42" t="s">
        <v>150</v>
      </c>
      <c r="BH437" s="52">
        <v>0.44450937310083699</v>
      </c>
      <c r="BI437" s="52">
        <v>0.51187669456560203</v>
      </c>
      <c r="BJ437" s="42" t="s">
        <v>152</v>
      </c>
      <c r="BK437" s="46">
        <v>431.70964526896501</v>
      </c>
      <c r="BL437" s="46">
        <v>638.00354527981403</v>
      </c>
      <c r="BM437" s="42" t="s">
        <v>152</v>
      </c>
      <c r="BN437" s="48">
        <v>1</v>
      </c>
      <c r="BO437" s="42" t="s">
        <v>155</v>
      </c>
      <c r="BP437" s="42" t="s">
        <v>152</v>
      </c>
      <c r="BQ437" s="46">
        <v>1183.78853167229</v>
      </c>
      <c r="BR437" s="46">
        <v>185</v>
      </c>
      <c r="BS437" s="46">
        <v>17530</v>
      </c>
      <c r="BT437" s="46">
        <v>4936</v>
      </c>
      <c r="BU437" s="46">
        <v>3.5514586709886546</v>
      </c>
      <c r="BV437" s="46">
        <v>26.681081081081082</v>
      </c>
      <c r="BW437" s="46">
        <v>411</v>
      </c>
      <c r="BX437" s="46">
        <v>3086</v>
      </c>
      <c r="BY437" s="46">
        <v>3497</v>
      </c>
      <c r="BZ437" s="46">
        <v>0.70846839546191243</v>
      </c>
      <c r="CA437" s="46">
        <v>8.3265802269043759E-2</v>
      </c>
      <c r="CB437" s="46">
        <v>0.62520259319286875</v>
      </c>
      <c r="CC437" s="46">
        <v>0.17483792544570501</v>
      </c>
      <c r="CD437" s="46">
        <v>0</v>
      </c>
      <c r="CE437" s="46">
        <v>0</v>
      </c>
      <c r="CF437" s="46">
        <v>0.1166936790923825</v>
      </c>
      <c r="CG437" s="46">
        <v>0</v>
      </c>
      <c r="CH437" s="46">
        <v>0</v>
      </c>
      <c r="CI437" s="46">
        <v>5.0770108385624644</v>
      </c>
      <c r="CJ437" s="46">
        <v>0.1140901312036509</v>
      </c>
      <c r="CK437">
        <v>444</v>
      </c>
      <c r="CL437">
        <v>684.18</v>
      </c>
      <c r="CM437">
        <f t="shared" si="49"/>
        <v>240.17999999999995</v>
      </c>
      <c r="CN437">
        <v>12.09</v>
      </c>
      <c r="CO437">
        <v>9.4499999999999993</v>
      </c>
      <c r="CP437">
        <f t="shared" si="50"/>
        <v>-2.6400000000000006</v>
      </c>
      <c r="CQ437">
        <v>846.56</v>
      </c>
      <c r="CR437">
        <v>431.71</v>
      </c>
      <c r="CS437">
        <f t="shared" si="51"/>
        <v>414.84999999999997</v>
      </c>
      <c r="CT437" t="s">
        <v>150</v>
      </c>
      <c r="CU437">
        <v>128.43</v>
      </c>
      <c r="CV437">
        <v>361</v>
      </c>
      <c r="CW437" s="46">
        <v>3497</v>
      </c>
      <c r="CX437" s="46">
        <f t="shared" si="45"/>
        <v>65.980956239870352</v>
      </c>
      <c r="CY437" s="46">
        <v>240.18</v>
      </c>
      <c r="CZ437" s="46">
        <f t="shared" si="46"/>
        <v>70.846839546191248</v>
      </c>
      <c r="DA437" s="46">
        <f t="shared" si="47"/>
        <v>725.99375214926829</v>
      </c>
      <c r="DB437" s="46">
        <v>3757874.34</v>
      </c>
      <c r="DC437" s="46">
        <f t="shared" si="48"/>
        <v>35.47856141015189</v>
      </c>
      <c r="DD437" s="46">
        <v>183643.42</v>
      </c>
      <c r="DE437" s="995">
        <v>3497</v>
      </c>
      <c r="DF437" s="995">
        <v>66.266000000000005</v>
      </c>
      <c r="DG437" s="995">
        <v>226.1</v>
      </c>
      <c r="DH437" s="995">
        <v>70.846999999999994</v>
      </c>
      <c r="DI437" s="995">
        <v>1259.4380000000001</v>
      </c>
      <c r="DJ437" s="995">
        <v>6501341</v>
      </c>
      <c r="DK437" s="995">
        <v>61.548000000000002</v>
      </c>
      <c r="DL437" s="995">
        <v>317714.90000000002</v>
      </c>
      <c r="DM437" s="995">
        <v>3497</v>
      </c>
      <c r="DN437" s="995">
        <v>66.427000000000007</v>
      </c>
      <c r="DO437" s="995">
        <v>218.1</v>
      </c>
      <c r="DP437" s="995">
        <v>70.846999999999994</v>
      </c>
      <c r="DQ437" s="995">
        <v>1250.0419999999999</v>
      </c>
      <c r="DR437" s="995">
        <v>6442905</v>
      </c>
      <c r="DS437" s="995">
        <v>61.048999999999999</v>
      </c>
      <c r="DT437" s="995">
        <v>314654</v>
      </c>
    </row>
    <row r="438" spans="1:124">
      <c r="A438" s="42" t="s">
        <v>94</v>
      </c>
      <c r="B438" s="42" t="s">
        <v>549</v>
      </c>
      <c r="C438" s="42" t="s">
        <v>639</v>
      </c>
      <c r="D438" s="42">
        <v>820356</v>
      </c>
      <c r="E438" s="42" t="s">
        <v>656</v>
      </c>
      <c r="F438" s="42" t="s">
        <v>149</v>
      </c>
      <c r="G438" s="42" t="s">
        <v>150</v>
      </c>
      <c r="H438" s="43" t="s">
        <v>150</v>
      </c>
      <c r="I438" s="44">
        <v>63</v>
      </c>
      <c r="J438" s="45">
        <v>237659.85039999901</v>
      </c>
      <c r="K438" s="46">
        <v>12060.697738999999</v>
      </c>
      <c r="L438" s="47">
        <v>249720.548138999</v>
      </c>
      <c r="M438" s="48">
        <v>5244366</v>
      </c>
      <c r="N438" s="49">
        <v>3434068</v>
      </c>
      <c r="O438" s="49">
        <v>1790196</v>
      </c>
      <c r="P438" s="49">
        <v>20102</v>
      </c>
      <c r="Q438" s="50">
        <v>11964.3442105263</v>
      </c>
      <c r="R438" s="51">
        <v>23123.721873054299</v>
      </c>
      <c r="S438" s="49">
        <v>37603.729589071001</v>
      </c>
      <c r="T438" s="49">
        <v>8068.5083984801104</v>
      </c>
      <c r="U438" s="49">
        <f>IFERROR(INDEX('Rentabilidad datos'!$N$2:$N$61,MATCH($C438,'Rentabilidad datos'!$C$2:$C$61,0)),"")</f>
        <v>68795.959860605391</v>
      </c>
      <c r="V438" s="50">
        <f>IFERROR(INDEX('Rentabilidad datos'!$O$2:$O$61,MATCH($C438,'Rentabilidad datos'!$C$2:$C$61,0)),"")</f>
        <v>1166.0332179763625</v>
      </c>
      <c r="W438" s="51">
        <f>IFERROR(INDEX('Rentabilidad datos'!$M$2:$M$61,MATCH($C438,'Rentabilidad datos'!$C$2:$C$61,0)),"")</f>
        <v>3116.1708958203221</v>
      </c>
      <c r="X438" s="52">
        <f>IFERROR(INDEX('Rentabilidad datos'!$P$2:$P$61,MATCH($C438,'Rentabilidad datos'!$C$2:$C$61,0)),"")</f>
        <v>0.37418782761251868</v>
      </c>
      <c r="Y438" s="43" t="s">
        <v>171</v>
      </c>
      <c r="Z438" s="53">
        <v>139.780320366133</v>
      </c>
      <c r="AA438" s="43">
        <v>2</v>
      </c>
      <c r="AB438" s="54">
        <v>0.9652749255105384</v>
      </c>
      <c r="AC438" s="55">
        <v>3.4725074489461646E-2</v>
      </c>
      <c r="AD438" s="752" t="e">
        <f>_xlfn.XLOOKUP(Table1[[#This Row],[Ruta]],#REF!,#REF!)</f>
        <v>#REF!</v>
      </c>
      <c r="AE438" s="752" t="e">
        <f>_xlfn.XLOOKUP(Table1[[#This Row],[Ruta]],#REF!,#REF!)</f>
        <v>#REF!</v>
      </c>
      <c r="AF438" s="752" t="e">
        <f>_xlfn.XLOOKUP(Table1[[#This Row],[Ruta]],#REF!,#REF!)</f>
        <v>#REF!</v>
      </c>
      <c r="AG438" s="752" t="e">
        <f>_xlfn.XLOOKUP(Table1[[#This Row],[Ruta]],#REF!,#REF!)</f>
        <v>#REF!</v>
      </c>
      <c r="AH438" s="52">
        <v>0.6548108961121325</v>
      </c>
      <c r="AI438" s="52">
        <v>0.34135603807972215</v>
      </c>
      <c r="AJ438" s="55">
        <v>3.8330658081453506E-3</v>
      </c>
      <c r="AK438" s="56">
        <v>61084</v>
      </c>
      <c r="AL438" s="44">
        <v>33382</v>
      </c>
      <c r="AM438" s="54">
        <v>0.54649335341496996</v>
      </c>
      <c r="AN438" s="55">
        <v>0.50214093649930203</v>
      </c>
      <c r="AO438" s="56">
        <v>0</v>
      </c>
      <c r="AP438" s="48">
        <v>0</v>
      </c>
      <c r="AQ438" s="55">
        <v>0.54649335341496952</v>
      </c>
      <c r="AR438" s="51">
        <v>5228418.42</v>
      </c>
      <c r="AS438" s="49">
        <v>0</v>
      </c>
      <c r="AT438" s="55">
        <v>0</v>
      </c>
      <c r="AU438" s="51">
        <v>0</v>
      </c>
      <c r="AV438" s="52">
        <v>0</v>
      </c>
      <c r="AW438" s="44">
        <v>490</v>
      </c>
      <c r="AX438" s="51">
        <v>156.62388173266999</v>
      </c>
      <c r="AY438" s="49">
        <v>308.140122044046</v>
      </c>
      <c r="AZ438" s="49">
        <v>151.51624031137601</v>
      </c>
      <c r="BA438" s="42" t="s">
        <v>150</v>
      </c>
      <c r="BB438" s="50">
        <v>1777105.3173774763</v>
      </c>
      <c r="BC438" s="57">
        <v>1777105.3173774763</v>
      </c>
      <c r="BD438" s="42" t="s">
        <v>150</v>
      </c>
      <c r="BE438" s="46">
        <v>139.780320366133</v>
      </c>
      <c r="BF438" s="46">
        <v>83.628504672897193</v>
      </c>
      <c r="BG438" s="42" t="s">
        <v>150</v>
      </c>
      <c r="BH438" s="52">
        <v>0.54649335341496996</v>
      </c>
      <c r="BI438" s="52">
        <v>0.51187669456560203</v>
      </c>
      <c r="BJ438" s="42" t="s">
        <v>150</v>
      </c>
      <c r="BK438" s="46">
        <v>571.44290191990501</v>
      </c>
      <c r="BL438" s="46">
        <v>638.00354527981403</v>
      </c>
      <c r="BM438" s="42" t="s">
        <v>152</v>
      </c>
      <c r="BN438" s="48">
        <v>2</v>
      </c>
      <c r="BO438" s="42" t="s">
        <v>161</v>
      </c>
      <c r="BP438" s="42" t="s">
        <v>152</v>
      </c>
      <c r="BQ438" s="46">
        <v>0</v>
      </c>
      <c r="BR438" s="46">
        <v>146</v>
      </c>
      <c r="BS438" s="46">
        <v>16529</v>
      </c>
      <c r="BT438" s="46">
        <v>4930</v>
      </c>
      <c r="BU438" s="46">
        <v>3.3527383367139958</v>
      </c>
      <c r="BV438" s="46">
        <v>33.767123287671232</v>
      </c>
      <c r="BW438" s="46">
        <v>329</v>
      </c>
      <c r="BX438" s="46">
        <v>3666</v>
      </c>
      <c r="BY438" s="46">
        <v>3995</v>
      </c>
      <c r="BZ438" s="46">
        <v>0.81034482758620685</v>
      </c>
      <c r="CA438" s="46">
        <v>6.6734279918864103E-2</v>
      </c>
      <c r="CB438" s="46">
        <v>0.7436105476673428</v>
      </c>
      <c r="CC438" s="46">
        <v>0.14442190669371199</v>
      </c>
      <c r="CD438" s="46">
        <v>4.5233265720081142E-2</v>
      </c>
      <c r="CE438" s="46">
        <v>0</v>
      </c>
      <c r="CF438" s="46">
        <v>0</v>
      </c>
      <c r="CG438" s="46">
        <v>0</v>
      </c>
      <c r="CH438" s="46">
        <v>0</v>
      </c>
      <c r="CI438" s="46">
        <v>3.4484844818198321</v>
      </c>
      <c r="CJ438" s="46">
        <v>0.24199891100490051</v>
      </c>
      <c r="CK438">
        <v>575</v>
      </c>
      <c r="CL438">
        <v>575</v>
      </c>
      <c r="CM438">
        <f t="shared" si="49"/>
        <v>0</v>
      </c>
      <c r="CN438">
        <v>13.73</v>
      </c>
      <c r="CO438">
        <v>9.4499999999999993</v>
      </c>
      <c r="CP438">
        <f t="shared" si="50"/>
        <v>-4.2800000000000011</v>
      </c>
      <c r="CQ438">
        <v>846.56</v>
      </c>
      <c r="CR438">
        <v>571.44000000000005</v>
      </c>
      <c r="CS438">
        <f t="shared" si="51"/>
        <v>275.11999999999989</v>
      </c>
      <c r="CT438" t="s">
        <v>150</v>
      </c>
      <c r="CU438">
        <v>145.25</v>
      </c>
      <c r="CV438">
        <v>517</v>
      </c>
      <c r="CW438" s="46">
        <v>3995</v>
      </c>
      <c r="CX438" s="46">
        <f t="shared" si="45"/>
        <v>81.034482758620683</v>
      </c>
      <c r="CY438" s="46">
        <v>0</v>
      </c>
      <c r="CZ438" s="46">
        <f t="shared" si="46"/>
        <v>81.034482758620683</v>
      </c>
      <c r="DA438" s="46">
        <f t="shared" si="47"/>
        <v>439.16455375253548</v>
      </c>
      <c r="DB438" s="46">
        <v>2165081.25</v>
      </c>
      <c r="DC438" s="46">
        <f t="shared" si="48"/>
        <v>20.613604462474648</v>
      </c>
      <c r="DD438" s="46">
        <v>101625.07</v>
      </c>
      <c r="DE438" s="995">
        <v>3995</v>
      </c>
      <c r="DF438" s="995">
        <v>80.870999999999995</v>
      </c>
      <c r="DG438" s="995">
        <v>8</v>
      </c>
      <c r="DH438" s="995">
        <v>81.034000000000006</v>
      </c>
      <c r="DI438" s="995">
        <v>1252.0050000000001</v>
      </c>
      <c r="DJ438" s="995">
        <v>6182461</v>
      </c>
      <c r="DK438" s="995">
        <v>58.351999999999997</v>
      </c>
      <c r="DL438" s="995">
        <v>288146.5</v>
      </c>
      <c r="DM438" s="995">
        <v>3995</v>
      </c>
      <c r="DN438" s="995">
        <v>80.900000000000006</v>
      </c>
      <c r="DO438" s="995">
        <v>6.6</v>
      </c>
      <c r="DP438" s="995">
        <v>81.034000000000006</v>
      </c>
      <c r="DQ438" s="995">
        <v>1249.8409999999999</v>
      </c>
      <c r="DR438" s="995">
        <v>6169999</v>
      </c>
      <c r="DS438" s="995">
        <v>58.258000000000003</v>
      </c>
      <c r="DT438" s="995">
        <v>287599.59999999998</v>
      </c>
    </row>
    <row r="439" spans="1:124">
      <c r="A439" s="42" t="s">
        <v>94</v>
      </c>
      <c r="B439" s="42" t="s">
        <v>549</v>
      </c>
      <c r="C439" s="42" t="s">
        <v>639</v>
      </c>
      <c r="D439" s="42">
        <v>820357</v>
      </c>
      <c r="E439" s="42" t="s">
        <v>657</v>
      </c>
      <c r="F439" s="42" t="s">
        <v>149</v>
      </c>
      <c r="G439" s="42" t="s">
        <v>150</v>
      </c>
      <c r="H439" s="43" t="s">
        <v>150</v>
      </c>
      <c r="I439" s="44">
        <v>63</v>
      </c>
      <c r="J439" s="45">
        <v>199839.841599999</v>
      </c>
      <c r="K439" s="46">
        <v>14746.159228</v>
      </c>
      <c r="L439" s="47">
        <v>214586.000827999</v>
      </c>
      <c r="M439" s="48">
        <v>5016057</v>
      </c>
      <c r="N439" s="49">
        <v>2898825</v>
      </c>
      <c r="O439" s="49">
        <v>2074359</v>
      </c>
      <c r="P439" s="49">
        <v>42873</v>
      </c>
      <c r="Q439" s="50">
        <v>11501.554861751199</v>
      </c>
      <c r="R439" s="51">
        <v>23123.721873054299</v>
      </c>
      <c r="S439" s="49">
        <v>37603.729589071001</v>
      </c>
      <c r="T439" s="49">
        <v>8068.5083984801104</v>
      </c>
      <c r="U439" s="49">
        <f>IFERROR(INDEX('Rentabilidad datos'!$N$2:$N$61,MATCH($C439,'Rentabilidad datos'!$C$2:$C$61,0)),"")</f>
        <v>68795.959860605391</v>
      </c>
      <c r="V439" s="50">
        <f>IFERROR(INDEX('Rentabilidad datos'!$O$2:$O$61,MATCH($C439,'Rentabilidad datos'!$C$2:$C$61,0)),"")</f>
        <v>1166.0332179763625</v>
      </c>
      <c r="W439" s="51">
        <f>IFERROR(INDEX('Rentabilidad datos'!$M$2:$M$61,MATCH($C439,'Rentabilidad datos'!$C$2:$C$61,0)),"")</f>
        <v>3116.1708958203221</v>
      </c>
      <c r="X439" s="52">
        <f>IFERROR(INDEX('Rentabilidad datos'!$P$2:$P$61,MATCH($C439,'Rentabilidad datos'!$C$2:$C$61,0)),"")</f>
        <v>0.37418782761251868</v>
      </c>
      <c r="Y439" s="43" t="s">
        <v>171</v>
      </c>
      <c r="Z439" s="53">
        <v>126.122119815668</v>
      </c>
      <c r="AA439" s="43">
        <v>2</v>
      </c>
      <c r="AB439" s="54">
        <v>0.97473094903028412</v>
      </c>
      <c r="AC439" s="55">
        <v>2.5269050969715854E-2</v>
      </c>
      <c r="AD439" s="752" t="e">
        <f>_xlfn.XLOOKUP(Table1[[#This Row],[Ruta]],#REF!,#REF!)</f>
        <v>#REF!</v>
      </c>
      <c r="AE439" s="752" t="e">
        <f>_xlfn.XLOOKUP(Table1[[#This Row],[Ruta]],#REF!,#REF!)</f>
        <v>#REF!</v>
      </c>
      <c r="AF439" s="752" t="e">
        <f>_xlfn.XLOOKUP(Table1[[#This Row],[Ruta]],#REF!,#REF!)</f>
        <v>#REF!</v>
      </c>
      <c r="AG439" s="752" t="e">
        <f>_xlfn.XLOOKUP(Table1[[#This Row],[Ruta]],#REF!,#REF!)</f>
        <v>#REF!</v>
      </c>
      <c r="AH439" s="52">
        <v>0.5779091027075649</v>
      </c>
      <c r="AI439" s="52">
        <v>0.41354374561533092</v>
      </c>
      <c r="AJ439" s="55">
        <v>8.5471516771041482E-3</v>
      </c>
      <c r="AK439" s="56">
        <v>54737</v>
      </c>
      <c r="AL439" s="44">
        <v>18587</v>
      </c>
      <c r="AM439" s="54">
        <v>0.33956921278111701</v>
      </c>
      <c r="AN439" s="55">
        <v>0.50214093649930203</v>
      </c>
      <c r="AO439" s="56">
        <v>8898.6884411622905</v>
      </c>
      <c r="AP439" s="48">
        <v>4449.3442205811452</v>
      </c>
      <c r="AQ439" s="55">
        <v>0.42085507464020944</v>
      </c>
      <c r="AR439" s="51">
        <v>4991674.8099999996</v>
      </c>
      <c r="AS439" s="49">
        <v>1194903.9364552649</v>
      </c>
      <c r="AT439" s="55">
        <v>0.2393793630269086</v>
      </c>
      <c r="AU439" s="51">
        <v>839662.22561721352</v>
      </c>
      <c r="AV439" s="52">
        <v>3.8197029237669418E-3</v>
      </c>
      <c r="AW439" s="44">
        <v>65</v>
      </c>
      <c r="AX439" s="51">
        <v>268.55731478990702</v>
      </c>
      <c r="AY439" s="49">
        <v>308.140122044046</v>
      </c>
      <c r="AZ439" s="49">
        <v>39.58280725413897</v>
      </c>
      <c r="BA439" s="42" t="s">
        <v>150</v>
      </c>
      <c r="BB439" s="50">
        <v>258498.19728715831</v>
      </c>
      <c r="BC439" s="57">
        <v>1098160.4229043717</v>
      </c>
      <c r="BD439" s="42" t="s">
        <v>150</v>
      </c>
      <c r="BE439" s="46">
        <v>126.122119815668</v>
      </c>
      <c r="BF439" s="46">
        <v>83.628504672897193</v>
      </c>
      <c r="BG439" s="42" t="s">
        <v>150</v>
      </c>
      <c r="BH439" s="52">
        <v>0.33956921278111701</v>
      </c>
      <c r="BI439" s="52">
        <v>0.51187669456560203</v>
      </c>
      <c r="BJ439" s="42" t="s">
        <v>152</v>
      </c>
      <c r="BK439" s="46">
        <v>494.437789926265</v>
      </c>
      <c r="BL439" s="46">
        <v>638.00354527981403</v>
      </c>
      <c r="BM439" s="42" t="s">
        <v>152</v>
      </c>
      <c r="BN439" s="48">
        <v>1</v>
      </c>
      <c r="BO439" s="42" t="s">
        <v>155</v>
      </c>
      <c r="BP439" s="42" t="s">
        <v>152</v>
      </c>
      <c r="BQ439" s="46">
        <v>4653.7583779012602</v>
      </c>
      <c r="BR439" s="46">
        <v>52</v>
      </c>
      <c r="BS439" s="46">
        <v>3793</v>
      </c>
      <c r="BT439" s="46">
        <v>1149</v>
      </c>
      <c r="BU439" s="46">
        <v>3.301131418624891</v>
      </c>
      <c r="BV439" s="46">
        <v>22.096153846153847</v>
      </c>
      <c r="BW439" s="46">
        <v>713</v>
      </c>
      <c r="BX439" s="46">
        <v>436</v>
      </c>
      <c r="BY439" s="46">
        <v>1149</v>
      </c>
      <c r="BZ439" s="46">
        <v>1</v>
      </c>
      <c r="CA439" s="46">
        <v>0.62053959965187122</v>
      </c>
      <c r="CB439" s="46">
        <v>0.37946040034812878</v>
      </c>
      <c r="CC439" s="46">
        <v>0</v>
      </c>
      <c r="CD439" s="46">
        <v>0</v>
      </c>
      <c r="CE439" s="46">
        <v>0</v>
      </c>
      <c r="CF439" s="46">
        <v>0</v>
      </c>
      <c r="CG439" s="46">
        <v>0</v>
      </c>
      <c r="CH439" s="46">
        <v>0</v>
      </c>
      <c r="CI439" s="46">
        <v>0.5272871078302136</v>
      </c>
      <c r="CJ439" s="46">
        <v>0.2636435539151068</v>
      </c>
      <c r="CK439">
        <v>368</v>
      </c>
      <c r="CL439">
        <v>368</v>
      </c>
      <c r="CM439">
        <f t="shared" si="49"/>
        <v>0</v>
      </c>
      <c r="CN439">
        <v>12.61</v>
      </c>
      <c r="CO439">
        <v>9.4499999999999993</v>
      </c>
      <c r="CP439">
        <f t="shared" si="50"/>
        <v>-3.16</v>
      </c>
      <c r="CQ439">
        <v>846.56</v>
      </c>
      <c r="CR439">
        <v>494.44</v>
      </c>
      <c r="CS439">
        <f t="shared" si="51"/>
        <v>352.11999999999995</v>
      </c>
      <c r="CT439" t="s">
        <v>150</v>
      </c>
      <c r="CU439">
        <v>133.41999999999999</v>
      </c>
      <c r="CV439">
        <v>328</v>
      </c>
      <c r="CW439" s="46">
        <v>1149</v>
      </c>
      <c r="CX439" s="46">
        <f t="shared" si="45"/>
        <v>100</v>
      </c>
      <c r="CY439" s="46">
        <v>0</v>
      </c>
      <c r="CZ439" s="46">
        <f t="shared" si="46"/>
        <v>100</v>
      </c>
      <c r="DA439" s="46">
        <f t="shared" si="47"/>
        <v>151.03091383812009</v>
      </c>
      <c r="DB439" s="46">
        <v>173534.52</v>
      </c>
      <c r="DC439" s="46">
        <f t="shared" si="48"/>
        <v>6.6952915578764145</v>
      </c>
      <c r="DD439" s="46">
        <v>7692.89</v>
      </c>
      <c r="DE439" s="995">
        <v>1149</v>
      </c>
      <c r="DF439" s="995">
        <v>99.852000000000004</v>
      </c>
      <c r="DG439" s="995">
        <v>1.7</v>
      </c>
      <c r="DH439" s="995">
        <v>100</v>
      </c>
      <c r="DI439" s="995">
        <v>3773.9270000000001</v>
      </c>
      <c r="DJ439" s="995">
        <v>4342657</v>
      </c>
      <c r="DK439" s="995">
        <v>163.20099999999999</v>
      </c>
      <c r="DL439" s="995">
        <v>187795.4</v>
      </c>
      <c r="DM439" s="995">
        <v>1149</v>
      </c>
      <c r="DN439" s="995">
        <v>99.878</v>
      </c>
      <c r="DO439" s="995">
        <v>1.4</v>
      </c>
      <c r="DP439" s="995">
        <v>100</v>
      </c>
      <c r="DQ439" s="995">
        <v>3772.3150000000001</v>
      </c>
      <c r="DR439" s="995">
        <v>4339671</v>
      </c>
      <c r="DS439" s="995">
        <v>163.13499999999999</v>
      </c>
      <c r="DT439" s="995">
        <v>187670.3</v>
      </c>
    </row>
    <row r="440" spans="1:124">
      <c r="A440" s="42" t="s">
        <v>94</v>
      </c>
      <c r="B440" s="42" t="s">
        <v>549</v>
      </c>
      <c r="C440" s="42" t="s">
        <v>639</v>
      </c>
      <c r="D440" s="42">
        <v>820358</v>
      </c>
      <c r="E440" s="42" t="s">
        <v>658</v>
      </c>
      <c r="F440" s="42" t="s">
        <v>149</v>
      </c>
      <c r="G440" s="42" t="s">
        <v>150</v>
      </c>
      <c r="H440" s="43" t="s">
        <v>150</v>
      </c>
      <c r="I440" s="44">
        <v>63</v>
      </c>
      <c r="J440" s="45">
        <v>226684.05199999901</v>
      </c>
      <c r="K440" s="46">
        <v>10891.530928</v>
      </c>
      <c r="L440" s="47">
        <v>237575.582927999</v>
      </c>
      <c r="M440" s="48">
        <v>4704459</v>
      </c>
      <c r="N440" s="49">
        <v>3271079</v>
      </c>
      <c r="O440" s="49">
        <v>1422717</v>
      </c>
      <c r="P440" s="49">
        <v>10663</v>
      </c>
      <c r="Q440" s="50">
        <v>10634.107414966</v>
      </c>
      <c r="R440" s="51">
        <v>23123.721873054299</v>
      </c>
      <c r="S440" s="49">
        <v>37603.729589071001</v>
      </c>
      <c r="T440" s="49">
        <v>8068.5083984801104</v>
      </c>
      <c r="U440" s="49">
        <f>IFERROR(INDEX('Rentabilidad datos'!$N$2:$N$61,MATCH($C440,'Rentabilidad datos'!$C$2:$C$61,0)),"")</f>
        <v>68795.959860605391</v>
      </c>
      <c r="V440" s="50">
        <f>IFERROR(INDEX('Rentabilidad datos'!$O$2:$O$61,MATCH($C440,'Rentabilidad datos'!$C$2:$C$61,0)),"")</f>
        <v>1166.0332179763625</v>
      </c>
      <c r="W440" s="51">
        <f>IFERROR(INDEX('Rentabilidad datos'!$M$2:$M$61,MATCH($C440,'Rentabilidad datos'!$C$2:$C$61,0)),"")</f>
        <v>3116.1708958203221</v>
      </c>
      <c r="X440" s="52">
        <f>IFERROR(INDEX('Rentabilidad datos'!$P$2:$P$61,MATCH($C440,'Rentabilidad datos'!$C$2:$C$61,0)),"")</f>
        <v>0.37418782761251868</v>
      </c>
      <c r="Y440" s="43" t="s">
        <v>171</v>
      </c>
      <c r="Z440" s="53">
        <v>116.06349206349201</v>
      </c>
      <c r="AA440" s="43">
        <v>2</v>
      </c>
      <c r="AB440" s="54">
        <v>0.9398219859074125</v>
      </c>
      <c r="AC440" s="55">
        <v>6.0178014092587481E-2</v>
      </c>
      <c r="AD440" s="752" t="e">
        <f>_xlfn.XLOOKUP(Table1[[#This Row],[Ruta]],#REF!,#REF!)</f>
        <v>#REF!</v>
      </c>
      <c r="AE440" s="752" t="e">
        <f>_xlfn.XLOOKUP(Table1[[#This Row],[Ruta]],#REF!,#REF!)</f>
        <v>#REF!</v>
      </c>
      <c r="AF440" s="752" t="e">
        <f>_xlfn.XLOOKUP(Table1[[#This Row],[Ruta]],#REF!,#REF!)</f>
        <v>#REF!</v>
      </c>
      <c r="AG440" s="752" t="e">
        <f>_xlfn.XLOOKUP(Table1[[#This Row],[Ruta]],#REF!,#REF!)</f>
        <v>#REF!</v>
      </c>
      <c r="AH440" s="52">
        <v>0.69531459409041507</v>
      </c>
      <c r="AI440" s="52">
        <v>0.30241883285623278</v>
      </c>
      <c r="AJ440" s="55">
        <v>2.2665730533521495E-3</v>
      </c>
      <c r="AK440" s="56">
        <v>51184</v>
      </c>
      <c r="AL440" s="44">
        <v>27036</v>
      </c>
      <c r="AM440" s="54">
        <v>0.52821194123163495</v>
      </c>
      <c r="AN440" s="55">
        <v>0.50214093649930203</v>
      </c>
      <c r="AO440" s="56">
        <v>0</v>
      </c>
      <c r="AP440" s="48">
        <v>0</v>
      </c>
      <c r="AQ440" s="55">
        <v>0.52821194123163484</v>
      </c>
      <c r="AR440" s="51">
        <v>4689641.37</v>
      </c>
      <c r="AS440" s="49">
        <v>0</v>
      </c>
      <c r="AT440" s="55">
        <v>0</v>
      </c>
      <c r="AU440" s="51">
        <v>0</v>
      </c>
      <c r="AV440" s="52">
        <v>0</v>
      </c>
      <c r="AW440" s="44">
        <v>490</v>
      </c>
      <c r="AX440" s="51">
        <v>173.459142254771</v>
      </c>
      <c r="AY440" s="49">
        <v>308.140122044046</v>
      </c>
      <c r="AZ440" s="49">
        <v>134.680979789275</v>
      </c>
      <c r="BA440" s="42" t="s">
        <v>150</v>
      </c>
      <c r="BB440" s="50">
        <v>1279352.8271507276</v>
      </c>
      <c r="BC440" s="57">
        <v>1279352.8271507276</v>
      </c>
      <c r="BD440" s="42" t="s">
        <v>150</v>
      </c>
      <c r="BE440" s="46">
        <v>116.06349206349201</v>
      </c>
      <c r="BF440" s="46">
        <v>83.628504672897193</v>
      </c>
      <c r="BG440" s="42" t="s">
        <v>150</v>
      </c>
      <c r="BH440" s="52">
        <v>0.52821194123163495</v>
      </c>
      <c r="BI440" s="52">
        <v>0.51187669456560203</v>
      </c>
      <c r="BJ440" s="42" t="s">
        <v>150</v>
      </c>
      <c r="BK440" s="46">
        <v>538.72014269387398</v>
      </c>
      <c r="BL440" s="46">
        <v>638.00354527981403</v>
      </c>
      <c r="BM440" s="42" t="s">
        <v>152</v>
      </c>
      <c r="BN440" s="48">
        <v>2</v>
      </c>
      <c r="BO440" s="42" t="s">
        <v>161</v>
      </c>
      <c r="BP440" s="42" t="s">
        <v>152</v>
      </c>
      <c r="BQ440" s="46">
        <v>0</v>
      </c>
      <c r="BR440" s="46">
        <v>201</v>
      </c>
      <c r="BS440" s="46">
        <v>27513</v>
      </c>
      <c r="BT440" s="46">
        <v>7751</v>
      </c>
      <c r="BU440" s="46">
        <v>3.5496065023867889</v>
      </c>
      <c r="BV440" s="46">
        <v>38.562189054726367</v>
      </c>
      <c r="BW440" s="46">
        <v>0</v>
      </c>
      <c r="BX440" s="46">
        <v>3650</v>
      </c>
      <c r="BY440" s="46">
        <v>3650</v>
      </c>
      <c r="BZ440" s="46">
        <v>0.47090697974454909</v>
      </c>
      <c r="CA440" s="46">
        <v>0</v>
      </c>
      <c r="CB440" s="46">
        <v>0.47090697974454909</v>
      </c>
      <c r="CC440" s="46">
        <v>0.28280221906850728</v>
      </c>
      <c r="CD440" s="46">
        <v>0.2462908011869436</v>
      </c>
      <c r="CE440" s="46">
        <v>0</v>
      </c>
      <c r="CF440" s="46">
        <v>0</v>
      </c>
      <c r="CG440" s="46">
        <v>0</v>
      </c>
      <c r="CH440" s="46">
        <v>0</v>
      </c>
      <c r="CI440" s="46">
        <v>3.743684803547414</v>
      </c>
      <c r="CJ440" s="46">
        <v>0.25442518082361071</v>
      </c>
      <c r="CK440">
        <v>558</v>
      </c>
      <c r="CL440">
        <v>739.92</v>
      </c>
      <c r="CM440">
        <f t="shared" si="49"/>
        <v>181.91999999999996</v>
      </c>
      <c r="CN440">
        <v>12.95</v>
      </c>
      <c r="CO440">
        <v>9.4499999999999993</v>
      </c>
      <c r="CP440">
        <f t="shared" si="50"/>
        <v>-3.5</v>
      </c>
      <c r="CQ440">
        <v>846.56</v>
      </c>
      <c r="CR440">
        <v>538.72</v>
      </c>
      <c r="CS440">
        <f t="shared" si="51"/>
        <v>307.83999999999992</v>
      </c>
      <c r="CT440" t="s">
        <v>150</v>
      </c>
      <c r="CU440">
        <v>137.07</v>
      </c>
      <c r="CV440">
        <v>291</v>
      </c>
      <c r="CW440" s="46">
        <v>3650</v>
      </c>
      <c r="CX440" s="46">
        <f t="shared" si="45"/>
        <v>44.743645981163723</v>
      </c>
      <c r="CY440" s="46">
        <v>181.92</v>
      </c>
      <c r="CZ440" s="46">
        <f t="shared" si="46"/>
        <v>47.090697974454912</v>
      </c>
      <c r="DA440" s="46">
        <f t="shared" si="47"/>
        <v>503.12250974420516</v>
      </c>
      <c r="DB440" s="46">
        <v>3991230.62</v>
      </c>
      <c r="DC440" s="46">
        <f t="shared" si="48"/>
        <v>24.763486837129332</v>
      </c>
      <c r="DD440" s="46">
        <v>196446.76</v>
      </c>
      <c r="DE440" s="995">
        <v>3650</v>
      </c>
      <c r="DF440" s="995">
        <v>44.744</v>
      </c>
      <c r="DG440" s="995">
        <v>181.9</v>
      </c>
      <c r="DH440" s="995">
        <v>47.091000000000001</v>
      </c>
      <c r="DI440" s="995">
        <v>882.43799999999999</v>
      </c>
      <c r="DJ440" s="995">
        <v>7000309</v>
      </c>
      <c r="DK440" s="995">
        <v>43.542000000000002</v>
      </c>
      <c r="DL440" s="995">
        <v>345413.7</v>
      </c>
      <c r="DM440" s="995">
        <v>3650</v>
      </c>
      <c r="DN440" s="995">
        <v>44.744</v>
      </c>
      <c r="DO440" s="995">
        <v>181.9</v>
      </c>
      <c r="DP440" s="995">
        <v>47.091000000000001</v>
      </c>
      <c r="DQ440" s="995">
        <v>882.43799999999999</v>
      </c>
      <c r="DR440" s="995">
        <v>7000309</v>
      </c>
      <c r="DS440" s="995">
        <v>43.542000000000002</v>
      </c>
      <c r="DT440" s="995">
        <v>345413.7</v>
      </c>
    </row>
    <row r="441" spans="1:124">
      <c r="A441" s="42" t="s">
        <v>94</v>
      </c>
      <c r="B441" s="42" t="s">
        <v>549</v>
      </c>
      <c r="C441" s="42" t="s">
        <v>639</v>
      </c>
      <c r="D441" s="42">
        <v>820359</v>
      </c>
      <c r="E441" s="42" t="s">
        <v>659</v>
      </c>
      <c r="F441" s="42" t="s">
        <v>149</v>
      </c>
      <c r="G441" s="42" t="s">
        <v>150</v>
      </c>
      <c r="H441" s="43" t="s">
        <v>150</v>
      </c>
      <c r="I441" s="44">
        <v>63</v>
      </c>
      <c r="J441" s="45">
        <v>204697.23119999899</v>
      </c>
      <c r="K441" s="46">
        <v>9771.0158630000005</v>
      </c>
      <c r="L441" s="47">
        <v>214468.247062999</v>
      </c>
      <c r="M441" s="48">
        <v>4222865</v>
      </c>
      <c r="N441" s="49">
        <v>2970285</v>
      </c>
      <c r="O441" s="49">
        <v>1235569</v>
      </c>
      <c r="P441" s="49">
        <v>17011</v>
      </c>
      <c r="Q441" s="50">
        <v>9713.2897228637394</v>
      </c>
      <c r="R441" s="51">
        <v>23123.721873054299</v>
      </c>
      <c r="S441" s="49">
        <v>37603.729589071001</v>
      </c>
      <c r="T441" s="49">
        <v>8068.5083984801104</v>
      </c>
      <c r="U441" s="49">
        <f>IFERROR(INDEX('Rentabilidad datos'!$N$2:$N$61,MATCH($C441,'Rentabilidad datos'!$C$2:$C$61,0)),"")</f>
        <v>68795.959860605391</v>
      </c>
      <c r="V441" s="50">
        <f>IFERROR(INDEX('Rentabilidad datos'!$O$2:$O$61,MATCH($C441,'Rentabilidad datos'!$C$2:$C$61,0)),"")</f>
        <v>1166.0332179763625</v>
      </c>
      <c r="W441" s="51">
        <f>IFERROR(INDEX('Rentabilidad datos'!$M$2:$M$61,MATCH($C441,'Rentabilidad datos'!$C$2:$C$61,0)),"")</f>
        <v>3116.1708958203221</v>
      </c>
      <c r="X441" s="52">
        <f>IFERROR(INDEX('Rentabilidad datos'!$P$2:$P$61,MATCH($C441,'Rentabilidad datos'!$C$2:$C$61,0)),"")</f>
        <v>0.37418782761251868</v>
      </c>
      <c r="Y441" s="43" t="s">
        <v>171</v>
      </c>
      <c r="Z441" s="53">
        <v>97.166281755196295</v>
      </c>
      <c r="AA441" s="43">
        <v>2</v>
      </c>
      <c r="AB441" s="54">
        <v>0.91467475280407973</v>
      </c>
      <c r="AC441" s="55">
        <v>8.5325247195920301E-2</v>
      </c>
      <c r="AD441" s="752" t="e">
        <f>_xlfn.XLOOKUP(Table1[[#This Row],[Ruta]],#REF!,#REF!)</f>
        <v>#REF!</v>
      </c>
      <c r="AE441" s="752" t="e">
        <f>_xlfn.XLOOKUP(Table1[[#This Row],[Ruta]],#REF!,#REF!)</f>
        <v>#REF!</v>
      </c>
      <c r="AF441" s="752" t="e">
        <f>_xlfn.XLOOKUP(Table1[[#This Row],[Ruta]],#REF!,#REF!)</f>
        <v>#REF!</v>
      </c>
      <c r="AG441" s="752" t="e">
        <f>_xlfn.XLOOKUP(Table1[[#This Row],[Ruta]],#REF!,#REF!)</f>
        <v>#REF!</v>
      </c>
      <c r="AH441" s="52">
        <v>0.70338147205747759</v>
      </c>
      <c r="AI441" s="52">
        <v>0.29259022014674874</v>
      </c>
      <c r="AJ441" s="55">
        <v>4.0283077957737222E-3</v>
      </c>
      <c r="AK441" s="56">
        <v>42073</v>
      </c>
      <c r="AL441" s="44">
        <v>17089</v>
      </c>
      <c r="AM441" s="54">
        <v>0.406174981579635</v>
      </c>
      <c r="AN441" s="55">
        <v>0.50214093649930203</v>
      </c>
      <c r="AO441" s="56">
        <v>4037.5756213351301</v>
      </c>
      <c r="AP441" s="48">
        <v>2018.7878106675651</v>
      </c>
      <c r="AQ441" s="55">
        <v>0.45415795903946865</v>
      </c>
      <c r="AR441" s="51">
        <v>4205854.45</v>
      </c>
      <c r="AS441" s="49">
        <v>496853.39675240999</v>
      </c>
      <c r="AT441" s="55">
        <v>0.11813375918237255</v>
      </c>
      <c r="AU441" s="51">
        <v>349140.22474493686</v>
      </c>
      <c r="AV441" s="52">
        <v>1.5882719224180647E-3</v>
      </c>
      <c r="AW441" s="44">
        <v>212</v>
      </c>
      <c r="AX441" s="51">
        <v>246.11471999531901</v>
      </c>
      <c r="AY441" s="49">
        <v>308.140122044046</v>
      </c>
      <c r="AZ441" s="49">
        <v>62.025402048726988</v>
      </c>
      <c r="BA441" s="42" t="s">
        <v>150</v>
      </c>
      <c r="BB441" s="50">
        <v>372415.60116051475</v>
      </c>
      <c r="BC441" s="57">
        <v>721555.82590545155</v>
      </c>
      <c r="BD441" s="42" t="s">
        <v>150</v>
      </c>
      <c r="BE441" s="46">
        <v>97.166281755196295</v>
      </c>
      <c r="BF441" s="46">
        <v>83.628504672897193</v>
      </c>
      <c r="BG441" s="42" t="s">
        <v>150</v>
      </c>
      <c r="BH441" s="52">
        <v>0.406174981579635</v>
      </c>
      <c r="BI441" s="52">
        <v>0.51187669456560203</v>
      </c>
      <c r="BJ441" s="42" t="s">
        <v>152</v>
      </c>
      <c r="BK441" s="46">
        <v>495.30772993764299</v>
      </c>
      <c r="BL441" s="46">
        <v>638.00354527981403</v>
      </c>
      <c r="BM441" s="42" t="s">
        <v>152</v>
      </c>
      <c r="BN441" s="48">
        <v>1</v>
      </c>
      <c r="BO441" s="42" t="s">
        <v>155</v>
      </c>
      <c r="BP441" s="42" t="s">
        <v>152</v>
      </c>
      <c r="BQ441" s="46">
        <v>7936.4745344232197</v>
      </c>
      <c r="BR441" s="46">
        <v>820</v>
      </c>
      <c r="BS441" s="46">
        <v>78982</v>
      </c>
      <c r="BT441" s="46">
        <v>18806</v>
      </c>
      <c r="BU441" s="46">
        <v>4.199829841539934</v>
      </c>
      <c r="BV441" s="46">
        <v>22.934146341463414</v>
      </c>
      <c r="BW441" s="46">
        <v>0</v>
      </c>
      <c r="BX441" s="46">
        <v>3309</v>
      </c>
      <c r="BY441" s="46">
        <v>3309</v>
      </c>
      <c r="BZ441" s="46">
        <v>0.17595448261193236</v>
      </c>
      <c r="CA441" s="46">
        <v>0</v>
      </c>
      <c r="CB441" s="46">
        <v>0.17595448261193239</v>
      </c>
      <c r="CC441" s="46">
        <v>0.1293204296501117</v>
      </c>
      <c r="CD441" s="46">
        <v>0</v>
      </c>
      <c r="CE441" s="46">
        <v>3.8445177071147509E-2</v>
      </c>
      <c r="CF441" s="46">
        <v>0.65627991066680846</v>
      </c>
      <c r="CG441" s="46">
        <v>0</v>
      </c>
      <c r="CH441" s="46">
        <v>0</v>
      </c>
      <c r="CI441" s="46">
        <v>5.0138006127978532</v>
      </c>
      <c r="CJ441" s="46">
        <v>0.1266111265858044</v>
      </c>
      <c r="CK441">
        <v>472</v>
      </c>
      <c r="CL441">
        <v>719.2</v>
      </c>
      <c r="CM441">
        <f t="shared" si="49"/>
        <v>247.20000000000005</v>
      </c>
      <c r="CN441">
        <v>16.170000000000002</v>
      </c>
      <c r="CO441">
        <v>9.4499999999999993</v>
      </c>
      <c r="CP441">
        <f t="shared" si="50"/>
        <v>-6.7200000000000024</v>
      </c>
      <c r="CQ441">
        <v>846.56</v>
      </c>
      <c r="CR441">
        <v>495.31</v>
      </c>
      <c r="CS441">
        <f t="shared" si="51"/>
        <v>351.24999999999994</v>
      </c>
      <c r="CT441" t="s">
        <v>150</v>
      </c>
      <c r="CU441">
        <v>173.07</v>
      </c>
      <c r="CV441">
        <v>159</v>
      </c>
      <c r="CW441" s="46">
        <v>3309</v>
      </c>
      <c r="CX441" s="46">
        <f t="shared" si="45"/>
        <v>16.280974157183877</v>
      </c>
      <c r="CY441" s="46">
        <v>247.2</v>
      </c>
      <c r="CZ441" s="46">
        <f t="shared" si="46"/>
        <v>17.595448261193237</v>
      </c>
      <c r="DA441" s="46">
        <f t="shared" si="47"/>
        <v>133.83115592131503</v>
      </c>
      <c r="DB441" s="46">
        <v>2549911.7799999998</v>
      </c>
      <c r="DC441" s="46">
        <f t="shared" si="48"/>
        <v>6.2962431507568279</v>
      </c>
      <c r="DD441" s="46">
        <v>119963.58</v>
      </c>
      <c r="DE441" s="995">
        <v>3309</v>
      </c>
      <c r="DF441" s="995">
        <v>16.280999999999999</v>
      </c>
      <c r="DG441" s="995">
        <v>247.2</v>
      </c>
      <c r="DH441" s="995">
        <v>17.594999999999999</v>
      </c>
      <c r="DI441" s="995">
        <v>323.209</v>
      </c>
      <c r="DJ441" s="995">
        <v>6158169</v>
      </c>
      <c r="DK441" s="995">
        <v>15.712</v>
      </c>
      <c r="DL441" s="995">
        <v>299361.3</v>
      </c>
      <c r="DM441" s="995">
        <v>3309</v>
      </c>
      <c r="DN441" s="995">
        <v>16.280999999999999</v>
      </c>
      <c r="DO441" s="995">
        <v>247.2</v>
      </c>
      <c r="DP441" s="995">
        <v>17.594999999999999</v>
      </c>
      <c r="DQ441" s="995">
        <v>323.209</v>
      </c>
      <c r="DR441" s="995">
        <v>6158169</v>
      </c>
      <c r="DS441" s="995">
        <v>15.712</v>
      </c>
      <c r="DT441" s="995">
        <v>299361.3</v>
      </c>
    </row>
    <row r="442" spans="1:124">
      <c r="A442" s="42" t="s">
        <v>94</v>
      </c>
      <c r="B442" s="42" t="s">
        <v>549</v>
      </c>
      <c r="C442" s="42" t="s">
        <v>639</v>
      </c>
      <c r="D442" s="42">
        <v>820360</v>
      </c>
      <c r="E442" s="42" t="s">
        <v>660</v>
      </c>
      <c r="F442" s="42" t="s">
        <v>149</v>
      </c>
      <c r="G442" s="42" t="s">
        <v>150</v>
      </c>
      <c r="H442" s="43" t="s">
        <v>150</v>
      </c>
      <c r="I442" s="44">
        <v>63</v>
      </c>
      <c r="J442" s="45">
        <v>230417.79599999901</v>
      </c>
      <c r="K442" s="46">
        <v>12449.710580999999</v>
      </c>
      <c r="L442" s="47">
        <v>242867.506580999</v>
      </c>
      <c r="M442" s="48">
        <v>4968920</v>
      </c>
      <c r="N442" s="49">
        <v>3350328</v>
      </c>
      <c r="O442" s="49">
        <v>1606538</v>
      </c>
      <c r="P442" s="49">
        <v>12054</v>
      </c>
      <c r="Q442" s="50">
        <v>11397.806797235</v>
      </c>
      <c r="R442" s="51">
        <v>23123.721873054299</v>
      </c>
      <c r="S442" s="49">
        <v>37603.729589071001</v>
      </c>
      <c r="T442" s="49">
        <v>8068.5083984801104</v>
      </c>
      <c r="U442" s="49">
        <f>IFERROR(INDEX('Rentabilidad datos'!$N$2:$N$61,MATCH($C442,'Rentabilidad datos'!$C$2:$C$61,0)),"")</f>
        <v>68795.959860605391</v>
      </c>
      <c r="V442" s="50">
        <f>IFERROR(INDEX('Rentabilidad datos'!$O$2:$O$61,MATCH($C442,'Rentabilidad datos'!$C$2:$C$61,0)),"")</f>
        <v>1166.0332179763625</v>
      </c>
      <c r="W442" s="51">
        <f>IFERROR(INDEX('Rentabilidad datos'!$M$2:$M$61,MATCH($C442,'Rentabilidad datos'!$C$2:$C$61,0)),"")</f>
        <v>3116.1708958203221</v>
      </c>
      <c r="X442" s="52">
        <f>IFERROR(INDEX('Rentabilidad datos'!$P$2:$P$61,MATCH($C442,'Rentabilidad datos'!$C$2:$C$61,0)),"")</f>
        <v>0.37418782761251868</v>
      </c>
      <c r="Y442" s="43" t="s">
        <v>171</v>
      </c>
      <c r="Z442" s="53">
        <v>112.95161290322601</v>
      </c>
      <c r="AA442" s="43">
        <v>2</v>
      </c>
      <c r="AB442" s="54">
        <v>0.97372467256466189</v>
      </c>
      <c r="AC442" s="55">
        <v>2.6275327435338062E-2</v>
      </c>
      <c r="AD442" s="752" t="e">
        <f>_xlfn.XLOOKUP(Table1[[#This Row],[Ruta]],#REF!,#REF!)</f>
        <v>#REF!</v>
      </c>
      <c r="AE442" s="752" t="e">
        <f>_xlfn.XLOOKUP(Table1[[#This Row],[Ruta]],#REF!,#REF!)</f>
        <v>#REF!</v>
      </c>
      <c r="AF442" s="752" t="e">
        <f>_xlfn.XLOOKUP(Table1[[#This Row],[Ruta]],#REF!,#REF!)</f>
        <v>#REF!</v>
      </c>
      <c r="AG442" s="752" t="e">
        <f>_xlfn.XLOOKUP(Table1[[#This Row],[Ruta]],#REF!,#REF!)</f>
        <v>#REF!</v>
      </c>
      <c r="AH442" s="52">
        <v>0.67425678014538371</v>
      </c>
      <c r="AI442" s="52">
        <v>0.32331734058910183</v>
      </c>
      <c r="AJ442" s="55">
        <v>2.4258792655144378E-3</v>
      </c>
      <c r="AK442" s="56">
        <v>49021</v>
      </c>
      <c r="AL442" s="44">
        <v>24388</v>
      </c>
      <c r="AM442" s="54">
        <v>0.49750107096958401</v>
      </c>
      <c r="AN442" s="55">
        <v>0.50214093649930203</v>
      </c>
      <c r="AO442" s="56">
        <v>227.45084813228101</v>
      </c>
      <c r="AP442" s="48">
        <v>113.7254240661405</v>
      </c>
      <c r="AQ442" s="55">
        <v>0.49982100373444327</v>
      </c>
      <c r="AR442" s="51">
        <v>4946648.1500000004</v>
      </c>
      <c r="AS442" s="49">
        <v>23067.068171426101</v>
      </c>
      <c r="AT442" s="55">
        <v>4.6631713984804238E-3</v>
      </c>
      <c r="AU442" s="51">
        <v>16209.291147488617</v>
      </c>
      <c r="AV442" s="52">
        <v>7.3737599357575048E-5</v>
      </c>
      <c r="AW442" s="44">
        <v>464</v>
      </c>
      <c r="AX442" s="51">
        <v>202.831234623585</v>
      </c>
      <c r="AY442" s="49">
        <v>308.140122044046</v>
      </c>
      <c r="AZ442" s="49">
        <v>105.30888742046099</v>
      </c>
      <c r="BA442" s="42" t="s">
        <v>150</v>
      </c>
      <c r="BB442" s="50">
        <v>902366.24063061201</v>
      </c>
      <c r="BC442" s="57">
        <v>918575.53177810065</v>
      </c>
      <c r="BD442" s="42" t="s">
        <v>150</v>
      </c>
      <c r="BE442" s="46">
        <v>112.95161290322601</v>
      </c>
      <c r="BF442" s="46">
        <v>83.628504672897193</v>
      </c>
      <c r="BG442" s="42" t="s">
        <v>150</v>
      </c>
      <c r="BH442" s="52">
        <v>0.49750107096958501</v>
      </c>
      <c r="BI442" s="52">
        <v>0.51187669456560203</v>
      </c>
      <c r="BJ442" s="42" t="s">
        <v>152</v>
      </c>
      <c r="BK442" s="46">
        <v>559.60254972580299</v>
      </c>
      <c r="BL442" s="46">
        <v>638.00354527981403</v>
      </c>
      <c r="BM442" s="42" t="s">
        <v>152</v>
      </c>
      <c r="BN442" s="48">
        <v>1</v>
      </c>
      <c r="BO442" s="42" t="s">
        <v>155</v>
      </c>
      <c r="BP442" s="42" t="s">
        <v>152</v>
      </c>
      <c r="BQ442" s="46">
        <v>0</v>
      </c>
      <c r="BR442" s="46">
        <v>56</v>
      </c>
      <c r="BS442" s="46">
        <v>5233</v>
      </c>
      <c r="BT442" s="46">
        <v>1890</v>
      </c>
      <c r="BU442" s="46">
        <v>2.7687830687830686</v>
      </c>
      <c r="BV442" s="46">
        <v>33.75</v>
      </c>
      <c r="BW442" s="46">
        <v>335</v>
      </c>
      <c r="BX442" s="46">
        <v>1555</v>
      </c>
      <c r="BY442" s="46">
        <v>1890</v>
      </c>
      <c r="BZ442" s="46">
        <v>1</v>
      </c>
      <c r="CA442" s="46">
        <v>0.17724867724867721</v>
      </c>
      <c r="CB442" s="46">
        <v>0.82275132275132279</v>
      </c>
      <c r="CC442" s="46">
        <v>0</v>
      </c>
      <c r="CD442" s="46">
        <v>0</v>
      </c>
      <c r="CE442" s="46">
        <v>0</v>
      </c>
      <c r="CF442" s="46">
        <v>0</v>
      </c>
      <c r="CG442" s="46">
        <v>0</v>
      </c>
      <c r="CH442" s="46">
        <v>0</v>
      </c>
      <c r="CI442" s="46">
        <v>2.8664246130326769</v>
      </c>
      <c r="CJ442" s="46">
        <v>0.76437989680871388</v>
      </c>
      <c r="CK442">
        <v>395</v>
      </c>
      <c r="CL442">
        <v>505.38</v>
      </c>
      <c r="CM442">
        <f t="shared" si="49"/>
        <v>110.38</v>
      </c>
      <c r="CN442">
        <v>9.0500000000000007</v>
      </c>
      <c r="CO442">
        <v>9.4499999999999993</v>
      </c>
      <c r="CP442">
        <f t="shared" si="50"/>
        <v>0.39999999999999858</v>
      </c>
      <c r="CQ442">
        <v>846.56</v>
      </c>
      <c r="CR442">
        <v>559.6</v>
      </c>
      <c r="CS442">
        <f t="shared" si="51"/>
        <v>286.95999999999992</v>
      </c>
      <c r="CT442" t="s">
        <v>152</v>
      </c>
      <c r="CU442">
        <v>95.72</v>
      </c>
      <c r="CV442">
        <v>377</v>
      </c>
      <c r="CW442" s="46">
        <v>1890</v>
      </c>
      <c r="CX442" s="46">
        <f t="shared" si="45"/>
        <v>94.159788359788351</v>
      </c>
      <c r="CY442" s="46">
        <v>110.38</v>
      </c>
      <c r="CZ442" s="46">
        <f t="shared" si="46"/>
        <v>100</v>
      </c>
      <c r="DA442" s="46">
        <f t="shared" si="47"/>
        <v>778.69721252961938</v>
      </c>
      <c r="DB442" s="46">
        <v>1557690.33</v>
      </c>
      <c r="DC442" s="46">
        <f t="shared" si="48"/>
        <v>37.550270448614761</v>
      </c>
      <c r="DD442" s="46">
        <v>75114.81</v>
      </c>
      <c r="DE442" s="995">
        <v>1890</v>
      </c>
      <c r="DF442" s="995">
        <v>93.948999999999998</v>
      </c>
      <c r="DG442" s="995">
        <v>114.4</v>
      </c>
      <c r="DH442" s="995">
        <v>100</v>
      </c>
      <c r="DI442" s="995">
        <v>2632.34</v>
      </c>
      <c r="DJ442" s="995">
        <v>5276183</v>
      </c>
      <c r="DK442" s="995">
        <v>127.761</v>
      </c>
      <c r="DL442" s="995">
        <v>256080.8</v>
      </c>
      <c r="DM442" s="995">
        <v>1890</v>
      </c>
      <c r="DN442" s="995">
        <v>94.171999999999997</v>
      </c>
      <c r="DO442" s="995">
        <v>110.1</v>
      </c>
      <c r="DP442" s="995">
        <v>100</v>
      </c>
      <c r="DQ442" s="995">
        <v>2618.86</v>
      </c>
      <c r="DR442" s="995">
        <v>5238107</v>
      </c>
      <c r="DS442" s="995">
        <v>127.151</v>
      </c>
      <c r="DT442" s="995">
        <v>254321.1</v>
      </c>
    </row>
    <row r="443" spans="1:124">
      <c r="A443" s="42" t="s">
        <v>94</v>
      </c>
      <c r="B443" s="42" t="s">
        <v>549</v>
      </c>
      <c r="C443" s="42" t="s">
        <v>639</v>
      </c>
      <c r="D443" s="42">
        <v>820361</v>
      </c>
      <c r="E443" s="42" t="s">
        <v>661</v>
      </c>
      <c r="F443" s="42" t="s">
        <v>149</v>
      </c>
      <c r="G443" s="42" t="s">
        <v>150</v>
      </c>
      <c r="H443" s="43" t="s">
        <v>150</v>
      </c>
      <c r="I443" s="44">
        <v>63</v>
      </c>
      <c r="J443" s="45">
        <v>189541.682512</v>
      </c>
      <c r="K443" s="46">
        <v>7481.0285130000002</v>
      </c>
      <c r="L443" s="47">
        <v>197022.711025</v>
      </c>
      <c r="M443" s="48">
        <v>3687070</v>
      </c>
      <c r="N443" s="49">
        <v>2685081</v>
      </c>
      <c r="O443" s="49">
        <v>992739</v>
      </c>
      <c r="P443" s="49">
        <v>9250</v>
      </c>
      <c r="Q443" s="50">
        <v>8435.3605504587194</v>
      </c>
      <c r="R443" s="51">
        <v>23123.721873054299</v>
      </c>
      <c r="S443" s="49">
        <v>37603.729589071001</v>
      </c>
      <c r="T443" s="49">
        <v>8068.5083984801104</v>
      </c>
      <c r="U443" s="49">
        <f>IFERROR(INDEX('Rentabilidad datos'!$N$2:$N$61,MATCH($C443,'Rentabilidad datos'!$C$2:$C$61,0)),"")</f>
        <v>68795.959860605391</v>
      </c>
      <c r="V443" s="50">
        <f>IFERROR(INDEX('Rentabilidad datos'!$O$2:$O$61,MATCH($C443,'Rentabilidad datos'!$C$2:$C$61,0)),"")</f>
        <v>1166.0332179763625</v>
      </c>
      <c r="W443" s="51">
        <f>IFERROR(INDEX('Rentabilidad datos'!$M$2:$M$61,MATCH($C443,'Rentabilidad datos'!$C$2:$C$61,0)),"")</f>
        <v>3116.1708958203221</v>
      </c>
      <c r="X443" s="52">
        <f>IFERROR(INDEX('Rentabilidad datos'!$P$2:$P$61,MATCH($C443,'Rentabilidad datos'!$C$2:$C$61,0)),"")</f>
        <v>0.37418782761251868</v>
      </c>
      <c r="Y443" s="43" t="s">
        <v>171</v>
      </c>
      <c r="Z443" s="53">
        <v>77.451834862385297</v>
      </c>
      <c r="AA443" s="43">
        <v>2</v>
      </c>
      <c r="AB443" s="54">
        <v>0.96662390461803005</v>
      </c>
      <c r="AC443" s="55">
        <v>3.3376095381969964E-2</v>
      </c>
      <c r="AD443" s="752" t="e">
        <f>_xlfn.XLOOKUP(Table1[[#This Row],[Ruta]],#REF!,#REF!)</f>
        <v>#REF!</v>
      </c>
      <c r="AE443" s="752" t="e">
        <f>_xlfn.XLOOKUP(Table1[[#This Row],[Ruta]],#REF!,#REF!)</f>
        <v>#REF!</v>
      </c>
      <c r="AF443" s="752" t="e">
        <f>_xlfn.XLOOKUP(Table1[[#This Row],[Ruta]],#REF!,#REF!)</f>
        <v>#REF!</v>
      </c>
      <c r="AG443" s="752" t="e">
        <f>_xlfn.XLOOKUP(Table1[[#This Row],[Ruta]],#REF!,#REF!)</f>
        <v>#REF!</v>
      </c>
      <c r="AH443" s="52">
        <v>0.7282424798010344</v>
      </c>
      <c r="AI443" s="52">
        <v>0.26924875307493484</v>
      </c>
      <c r="AJ443" s="55">
        <v>2.5087671240307343E-3</v>
      </c>
      <c r="AK443" s="56">
        <v>33769</v>
      </c>
      <c r="AL443" s="44">
        <v>13650</v>
      </c>
      <c r="AM443" s="54">
        <v>0.40421688530901101</v>
      </c>
      <c r="AN443" s="55">
        <v>0.50214093649930203</v>
      </c>
      <c r="AO443" s="56">
        <v>3306.7972846449302</v>
      </c>
      <c r="AP443" s="48">
        <v>1653.3986423224651</v>
      </c>
      <c r="AQ443" s="55">
        <v>0.45317891090415663</v>
      </c>
      <c r="AR443" s="51">
        <v>3677817.2</v>
      </c>
      <c r="AS443" s="49">
        <v>445487.03041686449</v>
      </c>
      <c r="AT443" s="55">
        <v>0.12112810566464925</v>
      </c>
      <c r="AU443" s="51">
        <v>313044.94029293192</v>
      </c>
      <c r="AV443" s="52">
        <v>1.4240710576546467E-3</v>
      </c>
      <c r="AW443" s="44">
        <v>231</v>
      </c>
      <c r="AX443" s="51">
        <v>269.437157509158</v>
      </c>
      <c r="AY443" s="49">
        <v>308.140122044046</v>
      </c>
      <c r="AZ443" s="49">
        <v>38.702964534887997</v>
      </c>
      <c r="BA443" s="42" t="s">
        <v>150</v>
      </c>
      <c r="BB443" s="50">
        <v>185617.32585718588</v>
      </c>
      <c r="BC443" s="57">
        <v>498662.26615011779</v>
      </c>
      <c r="BD443" s="42" t="s">
        <v>150</v>
      </c>
      <c r="BE443" s="46">
        <v>77.451834862385297</v>
      </c>
      <c r="BF443" s="46">
        <v>83.628504672897193</v>
      </c>
      <c r="BG443" s="42" t="s">
        <v>152</v>
      </c>
      <c r="BH443" s="52">
        <v>0.40421688530901101</v>
      </c>
      <c r="BI443" s="52">
        <v>0.51187669456560203</v>
      </c>
      <c r="BJ443" s="42" t="s">
        <v>152</v>
      </c>
      <c r="BK443" s="46">
        <v>451.88695189220198</v>
      </c>
      <c r="BL443" s="46">
        <v>638.00354527981403</v>
      </c>
      <c r="BM443" s="42" t="s">
        <v>152</v>
      </c>
      <c r="BN443" s="48">
        <v>0</v>
      </c>
      <c r="BO443" s="42" t="s">
        <v>155</v>
      </c>
      <c r="BP443" s="42" t="s">
        <v>152</v>
      </c>
      <c r="BQ443" s="46">
        <v>6527.5592132752899</v>
      </c>
      <c r="BR443" s="46">
        <v>100</v>
      </c>
      <c r="BS443" s="46">
        <v>10811</v>
      </c>
      <c r="BT443" s="46">
        <v>3530</v>
      </c>
      <c r="BU443" s="46">
        <v>3.0626062322946175</v>
      </c>
      <c r="BV443" s="46">
        <v>35.299999999999997</v>
      </c>
      <c r="BW443" s="46">
        <v>0</v>
      </c>
      <c r="BX443" s="46">
        <v>2518</v>
      </c>
      <c r="BY443" s="46">
        <v>2518</v>
      </c>
      <c r="BZ443" s="46">
        <v>0.71331444759206797</v>
      </c>
      <c r="CA443" s="46">
        <v>0</v>
      </c>
      <c r="CB443" s="46">
        <v>0.71331444759206797</v>
      </c>
      <c r="CC443" s="46">
        <v>0.28668555240793198</v>
      </c>
      <c r="CD443" s="46">
        <v>0</v>
      </c>
      <c r="CE443" s="46">
        <v>0</v>
      </c>
      <c r="CF443" s="46">
        <v>0</v>
      </c>
      <c r="CG443" s="46">
        <v>0</v>
      </c>
      <c r="CH443" s="46">
        <v>0</v>
      </c>
      <c r="CI443" s="46">
        <v>4.9949125890296919</v>
      </c>
      <c r="CJ443" s="46">
        <v>0.73998705022662103</v>
      </c>
      <c r="CK443">
        <v>368</v>
      </c>
      <c r="CL443">
        <v>470.51</v>
      </c>
      <c r="CM443">
        <f t="shared" si="49"/>
        <v>102.50999999999999</v>
      </c>
      <c r="CN443">
        <v>11.75</v>
      </c>
      <c r="CO443">
        <v>9.4499999999999993</v>
      </c>
      <c r="CP443">
        <f t="shared" si="50"/>
        <v>-2.3000000000000007</v>
      </c>
      <c r="CQ443">
        <v>846.56</v>
      </c>
      <c r="CR443">
        <v>451.89</v>
      </c>
      <c r="CS443">
        <f t="shared" si="51"/>
        <v>394.66999999999996</v>
      </c>
      <c r="CT443" t="s">
        <v>150</v>
      </c>
      <c r="CU443">
        <v>126.7</v>
      </c>
      <c r="CV443">
        <v>281</v>
      </c>
      <c r="CW443" s="46">
        <v>2518</v>
      </c>
      <c r="CX443" s="46">
        <f t="shared" si="45"/>
        <v>68.427478753541067</v>
      </c>
      <c r="CY443" s="46">
        <v>102.51</v>
      </c>
      <c r="CZ443" s="46">
        <f t="shared" si="46"/>
        <v>71.331444759206803</v>
      </c>
      <c r="DA443" s="46">
        <f t="shared" si="47"/>
        <v>408.86926945830839</v>
      </c>
      <c r="DB443" s="46">
        <v>1485221.71</v>
      </c>
      <c r="DC443" s="46">
        <f t="shared" si="48"/>
        <v>21.514655155801357</v>
      </c>
      <c r="DD443" s="46">
        <v>78152.2</v>
      </c>
      <c r="DE443" s="995">
        <v>2518</v>
      </c>
      <c r="DF443" s="995">
        <v>68.542000000000002</v>
      </c>
      <c r="DG443" s="995">
        <v>98.5</v>
      </c>
      <c r="DH443" s="995">
        <v>71.331000000000003</v>
      </c>
      <c r="DI443" s="995">
        <v>1159.8900000000001</v>
      </c>
      <c r="DJ443" s="995">
        <v>4208627</v>
      </c>
      <c r="DK443" s="995">
        <v>61.220999999999997</v>
      </c>
      <c r="DL443" s="995">
        <v>222138.6</v>
      </c>
      <c r="DM443" s="995">
        <v>2518</v>
      </c>
      <c r="DN443" s="995">
        <v>68.825999999999993</v>
      </c>
      <c r="DO443" s="995">
        <v>88.4</v>
      </c>
      <c r="DP443" s="995">
        <v>71.331000000000003</v>
      </c>
      <c r="DQ443" s="995">
        <v>1143.499</v>
      </c>
      <c r="DR443" s="995">
        <v>4137682</v>
      </c>
      <c r="DS443" s="995">
        <v>60.323</v>
      </c>
      <c r="DT443" s="995">
        <v>218275.4</v>
      </c>
    </row>
    <row r="444" spans="1:124">
      <c r="A444" s="42" t="s">
        <v>94</v>
      </c>
      <c r="B444" s="42" t="s">
        <v>549</v>
      </c>
      <c r="C444" s="42" t="s">
        <v>639</v>
      </c>
      <c r="D444" s="42">
        <v>820362</v>
      </c>
      <c r="E444" s="42" t="s">
        <v>662</v>
      </c>
      <c r="F444" s="42" t="s">
        <v>149</v>
      </c>
      <c r="G444" s="42" t="s">
        <v>150</v>
      </c>
      <c r="H444" s="43" t="s">
        <v>150</v>
      </c>
      <c r="I444" s="44">
        <v>63</v>
      </c>
      <c r="J444" s="45">
        <v>194894.39199999999</v>
      </c>
      <c r="K444" s="46">
        <v>9395.8592790000002</v>
      </c>
      <c r="L444" s="47">
        <v>204290.25127899999</v>
      </c>
      <c r="M444" s="48">
        <v>4080390</v>
      </c>
      <c r="N444" s="49">
        <v>2857556</v>
      </c>
      <c r="O444" s="49">
        <v>1211244</v>
      </c>
      <c r="P444" s="49">
        <v>11590</v>
      </c>
      <c r="Q444" s="50">
        <v>9418.5206018518493</v>
      </c>
      <c r="R444" s="51">
        <v>23123.721873054299</v>
      </c>
      <c r="S444" s="49">
        <v>37603.729589071001</v>
      </c>
      <c r="T444" s="49">
        <v>8068.5083984801104</v>
      </c>
      <c r="U444" s="49">
        <f>IFERROR(INDEX('Rentabilidad datos'!$N$2:$N$61,MATCH($C444,'Rentabilidad datos'!$C$2:$C$61,0)),"")</f>
        <v>68795.959860605391</v>
      </c>
      <c r="V444" s="50">
        <f>IFERROR(INDEX('Rentabilidad datos'!$O$2:$O$61,MATCH($C444,'Rentabilidad datos'!$C$2:$C$61,0)),"")</f>
        <v>1166.0332179763625</v>
      </c>
      <c r="W444" s="51">
        <f>IFERROR(INDEX('Rentabilidad datos'!$M$2:$M$61,MATCH($C444,'Rentabilidad datos'!$C$2:$C$61,0)),"")</f>
        <v>3116.1708958203221</v>
      </c>
      <c r="X444" s="52">
        <f>IFERROR(INDEX('Rentabilidad datos'!$P$2:$P$61,MATCH($C444,'Rentabilidad datos'!$C$2:$C$61,0)),"")</f>
        <v>0.37418782761251868</v>
      </c>
      <c r="Y444" s="43" t="s">
        <v>171</v>
      </c>
      <c r="Z444" s="53">
        <v>104.289351851852</v>
      </c>
      <c r="AA444" s="43">
        <v>2</v>
      </c>
      <c r="AB444" s="54">
        <v>0.96643188518744527</v>
      </c>
      <c r="AC444" s="55">
        <v>3.3568114812554679E-2</v>
      </c>
      <c r="AD444" s="752" t="e">
        <f>_xlfn.XLOOKUP(Table1[[#This Row],[Ruta]],#REF!,#REF!)</f>
        <v>#REF!</v>
      </c>
      <c r="AE444" s="752" t="e">
        <f>_xlfn.XLOOKUP(Table1[[#This Row],[Ruta]],#REF!,#REF!)</f>
        <v>#REF!</v>
      </c>
      <c r="AF444" s="752" t="e">
        <f>_xlfn.XLOOKUP(Table1[[#This Row],[Ruta]],#REF!,#REF!)</f>
        <v>#REF!</v>
      </c>
      <c r="AG444" s="752" t="e">
        <f>_xlfn.XLOOKUP(Table1[[#This Row],[Ruta]],#REF!,#REF!)</f>
        <v>#REF!</v>
      </c>
      <c r="AH444" s="52">
        <v>0.70031443072843524</v>
      </c>
      <c r="AI444" s="52">
        <v>0.29684515450728977</v>
      </c>
      <c r="AJ444" s="55">
        <v>2.8404147642749835E-3</v>
      </c>
      <c r="AK444" s="56">
        <v>45053</v>
      </c>
      <c r="AL444" s="44">
        <v>15106</v>
      </c>
      <c r="AM444" s="54">
        <v>0.33529398708188102</v>
      </c>
      <c r="AN444" s="55">
        <v>0.50214093649930203</v>
      </c>
      <c r="AO444" s="56">
        <v>7516.95561210305</v>
      </c>
      <c r="AP444" s="48">
        <v>3758.477806051525</v>
      </c>
      <c r="AQ444" s="55">
        <v>0.41871746179059161</v>
      </c>
      <c r="AR444" s="51">
        <v>4068800.9</v>
      </c>
      <c r="AS444" s="49">
        <v>1012345.94729859</v>
      </c>
      <c r="AT444" s="55">
        <v>0.2488069512810494</v>
      </c>
      <c r="AU444" s="51">
        <v>711378.23323684733</v>
      </c>
      <c r="AV444" s="52">
        <v>3.2361269025786722E-3</v>
      </c>
      <c r="AW444" s="44">
        <v>93</v>
      </c>
      <c r="AX444" s="51">
        <v>269.34998676022798</v>
      </c>
      <c r="AY444" s="49">
        <v>308.140122044046</v>
      </c>
      <c r="AZ444" s="49">
        <v>38.790135283818017</v>
      </c>
      <c r="BA444" s="42" t="s">
        <v>150</v>
      </c>
      <c r="BB444" s="50">
        <v>205879.16720988156</v>
      </c>
      <c r="BC444" s="57">
        <v>917257.40044672892</v>
      </c>
      <c r="BD444" s="42" t="s">
        <v>150</v>
      </c>
      <c r="BE444" s="46">
        <v>104.289351851852</v>
      </c>
      <c r="BF444" s="46">
        <v>83.628504672897193</v>
      </c>
      <c r="BG444" s="42" t="s">
        <v>150</v>
      </c>
      <c r="BH444" s="52">
        <v>0.33529398708188102</v>
      </c>
      <c r="BI444" s="52">
        <v>0.51187669456560203</v>
      </c>
      <c r="BJ444" s="42" t="s">
        <v>152</v>
      </c>
      <c r="BK444" s="46">
        <v>472.89410018286998</v>
      </c>
      <c r="BL444" s="46">
        <v>638.00354527981403</v>
      </c>
      <c r="BM444" s="42" t="s">
        <v>152</v>
      </c>
      <c r="BN444" s="48">
        <v>1</v>
      </c>
      <c r="BO444" s="42" t="s">
        <v>155</v>
      </c>
      <c r="BP444" s="42" t="s">
        <v>152</v>
      </c>
      <c r="BQ444" s="46">
        <v>7834.4140033435397</v>
      </c>
      <c r="BR444" s="46">
        <v>93</v>
      </c>
      <c r="BS444" s="46">
        <v>7385</v>
      </c>
      <c r="BT444" s="46">
        <v>2387</v>
      </c>
      <c r="BU444" s="46">
        <v>3.0938416422287389</v>
      </c>
      <c r="BV444" s="46">
        <v>25.666666666666668</v>
      </c>
      <c r="BW444" s="46">
        <v>0</v>
      </c>
      <c r="BX444" s="46">
        <v>1163</v>
      </c>
      <c r="BY444" s="46">
        <v>1163</v>
      </c>
      <c r="BZ444" s="46">
        <v>0.48722245496439043</v>
      </c>
      <c r="CA444" s="46">
        <v>0</v>
      </c>
      <c r="CB444" s="46">
        <v>0.48722245496439037</v>
      </c>
      <c r="CC444" s="46">
        <v>0.51277754503560957</v>
      </c>
      <c r="CD444" s="46">
        <v>0</v>
      </c>
      <c r="CE444" s="46">
        <v>0</v>
      </c>
      <c r="CF444" s="46">
        <v>0</v>
      </c>
      <c r="CG444" s="46">
        <v>0</v>
      </c>
      <c r="CH444" s="46">
        <v>0</v>
      </c>
      <c r="CI444" s="46">
        <v>4.6039268788083954</v>
      </c>
      <c r="CJ444" s="46">
        <v>0.27081922816519971</v>
      </c>
      <c r="CK444">
        <v>402</v>
      </c>
      <c r="CL444">
        <v>442.54</v>
      </c>
      <c r="CM444">
        <f t="shared" si="49"/>
        <v>40.54000000000002</v>
      </c>
      <c r="CN444">
        <v>9.93</v>
      </c>
      <c r="CO444">
        <v>9.4499999999999993</v>
      </c>
      <c r="CP444">
        <f t="shared" si="50"/>
        <v>-0.48000000000000043</v>
      </c>
      <c r="CQ444">
        <v>846.56</v>
      </c>
      <c r="CR444">
        <v>472.89</v>
      </c>
      <c r="CS444">
        <f t="shared" si="51"/>
        <v>373.66999999999996</v>
      </c>
      <c r="CT444" t="s">
        <v>150</v>
      </c>
      <c r="CU444">
        <v>105.1</v>
      </c>
      <c r="CV444">
        <v>215</v>
      </c>
      <c r="CW444" s="46">
        <v>1163</v>
      </c>
      <c r="CX444" s="46">
        <f t="shared" si="45"/>
        <v>47.023879346459992</v>
      </c>
      <c r="CY444" s="46">
        <v>40.54</v>
      </c>
      <c r="CZ444" s="46">
        <f t="shared" si="46"/>
        <v>48.722245496439044</v>
      </c>
      <c r="DA444" s="46">
        <f t="shared" si="47"/>
        <v>556.26629839261147</v>
      </c>
      <c r="DB444" s="46">
        <v>1350358.69</v>
      </c>
      <c r="DC444" s="46">
        <f t="shared" si="48"/>
        <v>27.811978381406693</v>
      </c>
      <c r="DD444" s="46">
        <v>67514.69</v>
      </c>
      <c r="DE444" s="995">
        <v>1163</v>
      </c>
      <c r="DF444" s="995">
        <v>46.77</v>
      </c>
      <c r="DG444" s="995">
        <v>46.6</v>
      </c>
      <c r="DH444" s="995">
        <v>48.722000000000001</v>
      </c>
      <c r="DI444" s="995">
        <v>1853.826</v>
      </c>
      <c r="DJ444" s="995">
        <v>4511461</v>
      </c>
      <c r="DK444" s="995">
        <v>91.495000000000005</v>
      </c>
      <c r="DL444" s="995">
        <v>222661.2</v>
      </c>
      <c r="DM444" s="995">
        <v>1163</v>
      </c>
      <c r="DN444" s="995">
        <v>47.115000000000002</v>
      </c>
      <c r="DO444" s="995">
        <v>38.4</v>
      </c>
      <c r="DP444" s="995">
        <v>48.722000000000001</v>
      </c>
      <c r="DQ444" s="995">
        <v>1831.327</v>
      </c>
      <c r="DR444" s="995">
        <v>4441648</v>
      </c>
      <c r="DS444" s="995">
        <v>90.498999999999995</v>
      </c>
      <c r="DT444" s="995">
        <v>219494.5</v>
      </c>
    </row>
    <row r="445" spans="1:124">
      <c r="A445" s="42" t="s">
        <v>94</v>
      </c>
      <c r="B445" s="42" t="s">
        <v>549</v>
      </c>
      <c r="C445" s="42" t="s">
        <v>639</v>
      </c>
      <c r="D445" s="42">
        <v>820363</v>
      </c>
      <c r="E445" s="42" t="s">
        <v>663</v>
      </c>
      <c r="F445" s="42" t="s">
        <v>149</v>
      </c>
      <c r="G445" s="42" t="s">
        <v>150</v>
      </c>
      <c r="H445" s="43" t="s">
        <v>150</v>
      </c>
      <c r="I445" s="44">
        <v>63</v>
      </c>
      <c r="J445" s="45">
        <v>178099.5888</v>
      </c>
      <c r="K445" s="46">
        <v>9863.4207970000007</v>
      </c>
      <c r="L445" s="47">
        <v>187963.009597</v>
      </c>
      <c r="M445" s="48">
        <v>3895608</v>
      </c>
      <c r="N445" s="49">
        <v>2583016</v>
      </c>
      <c r="O445" s="49">
        <v>1288168</v>
      </c>
      <c r="P445" s="49">
        <v>24424</v>
      </c>
      <c r="Q445" s="50">
        <v>8899.2604597701193</v>
      </c>
      <c r="R445" s="51">
        <v>23123.721873054299</v>
      </c>
      <c r="S445" s="49">
        <v>37603.729589071001</v>
      </c>
      <c r="T445" s="49">
        <v>8068.5083984801104</v>
      </c>
      <c r="U445" s="49">
        <f>IFERROR(INDEX('Rentabilidad datos'!$N$2:$N$61,MATCH($C445,'Rentabilidad datos'!$C$2:$C$61,0)),"")</f>
        <v>68795.959860605391</v>
      </c>
      <c r="V445" s="50">
        <f>IFERROR(INDEX('Rentabilidad datos'!$O$2:$O$61,MATCH($C445,'Rentabilidad datos'!$C$2:$C$61,0)),"")</f>
        <v>1166.0332179763625</v>
      </c>
      <c r="W445" s="51">
        <f>IFERROR(INDEX('Rentabilidad datos'!$M$2:$M$61,MATCH($C445,'Rentabilidad datos'!$C$2:$C$61,0)),"")</f>
        <v>3116.1708958203221</v>
      </c>
      <c r="X445" s="52">
        <f>IFERROR(INDEX('Rentabilidad datos'!$P$2:$P$61,MATCH($C445,'Rentabilidad datos'!$C$2:$C$61,0)),"")</f>
        <v>0.37418782761251868</v>
      </c>
      <c r="Y445" s="43" t="s">
        <v>171</v>
      </c>
      <c r="Z445" s="53">
        <v>83.942528735632195</v>
      </c>
      <c r="AA445" s="43">
        <v>2</v>
      </c>
      <c r="AB445" s="54">
        <v>0.9588587968810004</v>
      </c>
      <c r="AC445" s="55">
        <v>4.1141203118999652E-2</v>
      </c>
      <c r="AD445" s="752" t="e">
        <f>_xlfn.XLOOKUP(Table1[[#This Row],[Ruta]],#REF!,#REF!)</f>
        <v>#REF!</v>
      </c>
      <c r="AE445" s="752" t="e">
        <f>_xlfn.XLOOKUP(Table1[[#This Row],[Ruta]],#REF!,#REF!)</f>
        <v>#REF!</v>
      </c>
      <c r="AF445" s="752" t="e">
        <f>_xlfn.XLOOKUP(Table1[[#This Row],[Ruta]],#REF!,#REF!)</f>
        <v>#REF!</v>
      </c>
      <c r="AG445" s="752" t="e">
        <f>_xlfn.XLOOKUP(Table1[[#This Row],[Ruta]],#REF!,#REF!)</f>
        <v>#REF!</v>
      </c>
      <c r="AH445" s="52">
        <v>0.6630585007526425</v>
      </c>
      <c r="AI445" s="52">
        <v>0.33067187458286357</v>
      </c>
      <c r="AJ445" s="55">
        <v>6.2696246644939639E-3</v>
      </c>
      <c r="AK445" s="56">
        <v>36515</v>
      </c>
      <c r="AL445" s="44">
        <v>16701</v>
      </c>
      <c r="AM445" s="54">
        <v>0.45737368204847301</v>
      </c>
      <c r="AN445" s="55">
        <v>0.50214093649930203</v>
      </c>
      <c r="AO445" s="56">
        <v>1634.6762962720099</v>
      </c>
      <c r="AP445" s="48">
        <v>817.33814813600497</v>
      </c>
      <c r="AQ445" s="55">
        <v>0.4797573092738876</v>
      </c>
      <c r="AR445" s="51">
        <v>3871178.3</v>
      </c>
      <c r="AS445" s="49">
        <v>189453.42810767551</v>
      </c>
      <c r="AT445" s="55">
        <v>4.8939473572600756E-2</v>
      </c>
      <c r="AU445" s="51">
        <v>133129.43596755582</v>
      </c>
      <c r="AV445" s="52">
        <v>6.0561840260340519E-4</v>
      </c>
      <c r="AW445" s="44">
        <v>369</v>
      </c>
      <c r="AX445" s="51">
        <v>231.793203999761</v>
      </c>
      <c r="AY445" s="49">
        <v>308.140122044046</v>
      </c>
      <c r="AZ445" s="49">
        <v>76.34691804428499</v>
      </c>
      <c r="BA445" s="42" t="s">
        <v>150</v>
      </c>
      <c r="BB445" s="50">
        <v>447997.52479321224</v>
      </c>
      <c r="BC445" s="57">
        <v>581126.96076076804</v>
      </c>
      <c r="BD445" s="42" t="s">
        <v>150</v>
      </c>
      <c r="BE445" s="46">
        <v>83.942528735632195</v>
      </c>
      <c r="BF445" s="46">
        <v>83.628504672897193</v>
      </c>
      <c r="BG445" s="42" t="s">
        <v>150</v>
      </c>
      <c r="BH445" s="52">
        <v>0.45737368204847301</v>
      </c>
      <c r="BI445" s="52">
        <v>0.51187669456560203</v>
      </c>
      <c r="BJ445" s="42" t="s">
        <v>152</v>
      </c>
      <c r="BK445" s="46">
        <v>432.09887263678098</v>
      </c>
      <c r="BL445" s="46">
        <v>638.00354527981403</v>
      </c>
      <c r="BM445" s="42" t="s">
        <v>152</v>
      </c>
      <c r="BN445" s="48">
        <v>1</v>
      </c>
      <c r="BO445" s="42" t="s">
        <v>155</v>
      </c>
      <c r="BP445" s="42" t="s">
        <v>152</v>
      </c>
      <c r="BQ445" s="46">
        <v>6291.6997537429097</v>
      </c>
      <c r="BR445" s="46">
        <v>85</v>
      </c>
      <c r="BS445" s="46">
        <v>6548</v>
      </c>
      <c r="BT445" s="46">
        <v>2353</v>
      </c>
      <c r="BU445" s="46">
        <v>2.7828304292392692</v>
      </c>
      <c r="BV445" s="46">
        <v>27.682352941176472</v>
      </c>
      <c r="BW445" s="46">
        <v>143</v>
      </c>
      <c r="BX445" s="46">
        <v>2210</v>
      </c>
      <c r="BY445" s="46">
        <v>2353</v>
      </c>
      <c r="BZ445" s="46">
        <v>1</v>
      </c>
      <c r="CA445" s="46">
        <v>6.0773480662983423E-2</v>
      </c>
      <c r="CB445" s="46">
        <v>0.93922651933701662</v>
      </c>
      <c r="CC445" s="46">
        <v>0</v>
      </c>
      <c r="CD445" s="46">
        <v>0</v>
      </c>
      <c r="CE445" s="46">
        <v>0</v>
      </c>
      <c r="CF445" s="46">
        <v>0</v>
      </c>
      <c r="CG445" s="46">
        <v>0</v>
      </c>
      <c r="CH445" s="46">
        <v>0</v>
      </c>
      <c r="CI445" s="46">
        <v>3.3598045204642637</v>
      </c>
      <c r="CJ445" s="46">
        <v>0.30543677458766039</v>
      </c>
      <c r="CK445">
        <v>339</v>
      </c>
      <c r="CL445">
        <v>541.32000000000005</v>
      </c>
      <c r="CM445">
        <f t="shared" si="49"/>
        <v>202.32000000000005</v>
      </c>
      <c r="CN445">
        <v>8.0500000000000007</v>
      </c>
      <c r="CO445">
        <v>9.4499999999999993</v>
      </c>
      <c r="CP445">
        <f t="shared" si="50"/>
        <v>1.3999999999999986</v>
      </c>
      <c r="CQ445">
        <v>846.56</v>
      </c>
      <c r="CR445">
        <v>432.1</v>
      </c>
      <c r="CS445">
        <f t="shared" si="51"/>
        <v>414.45999999999992</v>
      </c>
      <c r="CT445" t="s">
        <v>152</v>
      </c>
      <c r="CU445">
        <v>85.16</v>
      </c>
      <c r="CV445">
        <v>343</v>
      </c>
      <c r="CW445" s="46">
        <v>2353</v>
      </c>
      <c r="CX445" s="46">
        <f t="shared" si="45"/>
        <v>91.401614959626002</v>
      </c>
      <c r="CY445" s="46">
        <v>202.32</v>
      </c>
      <c r="CZ445" s="46">
        <f t="shared" si="46"/>
        <v>100</v>
      </c>
      <c r="DA445" s="46">
        <f t="shared" si="47"/>
        <v>996.8688344316954</v>
      </c>
      <c r="DB445" s="46">
        <v>2547318.87</v>
      </c>
      <c r="DC445" s="46">
        <f t="shared" si="48"/>
        <v>44.925657060563836</v>
      </c>
      <c r="DD445" s="46">
        <v>114799.43</v>
      </c>
      <c r="DE445" s="995">
        <v>2353</v>
      </c>
      <c r="DF445" s="995">
        <v>91.176000000000002</v>
      </c>
      <c r="DG445" s="995">
        <v>207.6</v>
      </c>
      <c r="DH445" s="995">
        <v>100</v>
      </c>
      <c r="DI445" s="995">
        <v>2166.0279999999998</v>
      </c>
      <c r="DJ445" s="995">
        <v>5546377</v>
      </c>
      <c r="DK445" s="995">
        <v>99.903000000000006</v>
      </c>
      <c r="DL445" s="995">
        <v>255812.7</v>
      </c>
      <c r="DM445" s="995">
        <v>2353</v>
      </c>
      <c r="DN445" s="995">
        <v>91.379000000000005</v>
      </c>
      <c r="DO445" s="995">
        <v>202.8</v>
      </c>
      <c r="DP445" s="995">
        <v>100</v>
      </c>
      <c r="DQ445" s="995">
        <v>2154.7049999999999</v>
      </c>
      <c r="DR445" s="995">
        <v>5507103</v>
      </c>
      <c r="DS445" s="995">
        <v>99.311000000000007</v>
      </c>
      <c r="DT445" s="995">
        <v>253824.5</v>
      </c>
    </row>
    <row r="446" spans="1:124">
      <c r="A446" s="42" t="s">
        <v>94</v>
      </c>
      <c r="B446" s="42" t="s">
        <v>549</v>
      </c>
      <c r="C446" s="42" t="s">
        <v>639</v>
      </c>
      <c r="D446" s="42">
        <v>820364</v>
      </c>
      <c r="E446" s="42" t="s">
        <v>664</v>
      </c>
      <c r="F446" s="42" t="s">
        <v>149</v>
      </c>
      <c r="G446" s="42" t="s">
        <v>150</v>
      </c>
      <c r="H446" s="43" t="s">
        <v>150</v>
      </c>
      <c r="I446" s="44">
        <v>63</v>
      </c>
      <c r="J446" s="45">
        <v>183203.54639999999</v>
      </c>
      <c r="K446" s="46">
        <v>9226.0063879999998</v>
      </c>
      <c r="L446" s="47">
        <v>192429.552788</v>
      </c>
      <c r="M446" s="48">
        <v>3888942</v>
      </c>
      <c r="N446" s="49">
        <v>2682986</v>
      </c>
      <c r="O446" s="49">
        <v>1179917</v>
      </c>
      <c r="P446" s="49">
        <v>26039</v>
      </c>
      <c r="Q446" s="50">
        <v>8859.8732798165092</v>
      </c>
      <c r="R446" s="51">
        <v>23123.721873054299</v>
      </c>
      <c r="S446" s="49">
        <v>37603.729589071001</v>
      </c>
      <c r="T446" s="49">
        <v>8068.5083984801104</v>
      </c>
      <c r="U446" s="49">
        <f>IFERROR(INDEX('Rentabilidad datos'!$N$2:$N$61,MATCH($C446,'Rentabilidad datos'!$C$2:$C$61,0)),"")</f>
        <v>68795.959860605391</v>
      </c>
      <c r="V446" s="50">
        <f>IFERROR(INDEX('Rentabilidad datos'!$O$2:$O$61,MATCH($C446,'Rentabilidad datos'!$C$2:$C$61,0)),"")</f>
        <v>1166.0332179763625</v>
      </c>
      <c r="W446" s="51">
        <f>IFERROR(INDEX('Rentabilidad datos'!$M$2:$M$61,MATCH($C446,'Rentabilidad datos'!$C$2:$C$61,0)),"")</f>
        <v>3116.1708958203221</v>
      </c>
      <c r="X446" s="52">
        <f>IFERROR(INDEX('Rentabilidad datos'!$P$2:$P$61,MATCH($C446,'Rentabilidad datos'!$C$2:$C$61,0)),"")</f>
        <v>0.37418782761251868</v>
      </c>
      <c r="Y446" s="43" t="s">
        <v>171</v>
      </c>
      <c r="Z446" s="53">
        <v>90.162844036697194</v>
      </c>
      <c r="AA446" s="43">
        <v>2</v>
      </c>
      <c r="AB446" s="54">
        <v>0.97986624639812059</v>
      </c>
      <c r="AC446" s="55">
        <v>2.013375360187938E-2</v>
      </c>
      <c r="AD446" s="752" t="e">
        <f>_xlfn.XLOOKUP(Table1[[#This Row],[Ruta]],#REF!,#REF!)</f>
        <v>#REF!</v>
      </c>
      <c r="AE446" s="752" t="e">
        <f>_xlfn.XLOOKUP(Table1[[#This Row],[Ruta]],#REF!,#REF!)</f>
        <v>#REF!</v>
      </c>
      <c r="AF446" s="752" t="e">
        <f>_xlfn.XLOOKUP(Table1[[#This Row],[Ruta]],#REF!,#REF!)</f>
        <v>#REF!</v>
      </c>
      <c r="AG446" s="752" t="e">
        <f>_xlfn.XLOOKUP(Table1[[#This Row],[Ruta]],#REF!,#REF!)</f>
        <v>#REF!</v>
      </c>
      <c r="AH446" s="52">
        <v>0.68990126363417092</v>
      </c>
      <c r="AI446" s="52">
        <v>0.30340308495215407</v>
      </c>
      <c r="AJ446" s="55">
        <v>6.6956514136749792E-3</v>
      </c>
      <c r="AK446" s="56">
        <v>39311</v>
      </c>
      <c r="AL446" s="44">
        <v>19713</v>
      </c>
      <c r="AM446" s="54">
        <v>0.50146269491999695</v>
      </c>
      <c r="AN446" s="55">
        <v>0.50214093649930203</v>
      </c>
      <c r="AO446" s="56">
        <v>26.662354724056101</v>
      </c>
      <c r="AP446" s="48">
        <v>13.33117736202805</v>
      </c>
      <c r="AQ446" s="55">
        <v>0.50180181570964943</v>
      </c>
      <c r="AR446" s="51">
        <v>3862904.75</v>
      </c>
      <c r="AS446" s="49">
        <v>2612.3405039755748</v>
      </c>
      <c r="AT446" s="55">
        <v>6.7626324567686402E-4</v>
      </c>
      <c r="AU446" s="51">
        <v>1835.6987325233777</v>
      </c>
      <c r="AV446" s="52">
        <v>8.3507672512248708E-6</v>
      </c>
      <c r="AW446" s="44">
        <v>488</v>
      </c>
      <c r="AX446" s="51">
        <v>195.957223659514</v>
      </c>
      <c r="AY446" s="49">
        <v>308.140122044046</v>
      </c>
      <c r="AZ446" s="49">
        <v>112.182898384532</v>
      </c>
      <c r="BA446" s="42" t="s">
        <v>150</v>
      </c>
      <c r="BB446" s="50">
        <v>776999.97800285509</v>
      </c>
      <c r="BC446" s="57">
        <v>778835.67673537845</v>
      </c>
      <c r="BD446" s="42" t="s">
        <v>150</v>
      </c>
      <c r="BE446" s="46">
        <v>90.162844036697294</v>
      </c>
      <c r="BF446" s="46">
        <v>83.628504672897193</v>
      </c>
      <c r="BG446" s="42" t="s">
        <v>150</v>
      </c>
      <c r="BH446" s="52">
        <v>0.50146269491999695</v>
      </c>
      <c r="BI446" s="52">
        <v>0.51187669456560203</v>
      </c>
      <c r="BJ446" s="42" t="s">
        <v>152</v>
      </c>
      <c r="BK446" s="46">
        <v>441.35218529357701</v>
      </c>
      <c r="BL446" s="46">
        <v>638.00354527981403</v>
      </c>
      <c r="BM446" s="42" t="s">
        <v>152</v>
      </c>
      <c r="BN446" s="48">
        <v>1</v>
      </c>
      <c r="BO446" s="42" t="s">
        <v>155</v>
      </c>
      <c r="BP446" s="42" t="s">
        <v>152</v>
      </c>
      <c r="BQ446" s="46">
        <v>3707.7117673576399</v>
      </c>
      <c r="BR446" s="46">
        <v>88</v>
      </c>
      <c r="BS446" s="46">
        <v>6861</v>
      </c>
      <c r="BT446" s="46">
        <v>2244</v>
      </c>
      <c r="BU446" s="46">
        <v>3.0574866310160429</v>
      </c>
      <c r="BV446" s="46">
        <v>25.5</v>
      </c>
      <c r="BW446" s="46">
        <v>0</v>
      </c>
      <c r="BX446" s="46">
        <v>879</v>
      </c>
      <c r="BY446" s="46">
        <v>879</v>
      </c>
      <c r="BZ446" s="46">
        <v>0.39171122994652408</v>
      </c>
      <c r="CA446" s="46">
        <v>0</v>
      </c>
      <c r="CB446" s="46">
        <v>0.39171122994652408</v>
      </c>
      <c r="CC446" s="46">
        <v>0.60828877005347592</v>
      </c>
      <c r="CD446" s="46">
        <v>0</v>
      </c>
      <c r="CE446" s="46">
        <v>0</v>
      </c>
      <c r="CF446" s="46">
        <v>0</v>
      </c>
      <c r="CG446" s="46">
        <v>0</v>
      </c>
      <c r="CH446" s="46">
        <v>0</v>
      </c>
      <c r="CI446" s="46">
        <v>4.0810377495991839</v>
      </c>
      <c r="CJ446" s="46">
        <v>0.43725404459991257</v>
      </c>
      <c r="CK446">
        <v>325</v>
      </c>
      <c r="CL446">
        <v>395.3</v>
      </c>
      <c r="CM446">
        <f t="shared" si="49"/>
        <v>70.300000000000011</v>
      </c>
      <c r="CN446">
        <v>10.98</v>
      </c>
      <c r="CO446">
        <v>9.4499999999999993</v>
      </c>
      <c r="CP446">
        <f t="shared" si="50"/>
        <v>-1.5300000000000011</v>
      </c>
      <c r="CQ446">
        <v>846.56</v>
      </c>
      <c r="CR446">
        <v>441.35</v>
      </c>
      <c r="CS446">
        <f t="shared" si="51"/>
        <v>405.20999999999992</v>
      </c>
      <c r="CT446" t="s">
        <v>150</v>
      </c>
      <c r="CU446">
        <v>117.61</v>
      </c>
      <c r="CV446">
        <v>186</v>
      </c>
      <c r="CW446" s="46">
        <v>879</v>
      </c>
      <c r="CX446" s="46">
        <f t="shared" si="45"/>
        <v>36.038324420677363</v>
      </c>
      <c r="CY446" s="46">
        <v>70.3</v>
      </c>
      <c r="CZ446" s="46">
        <f t="shared" si="46"/>
        <v>39.171122994652407</v>
      </c>
      <c r="DA446" s="46">
        <f t="shared" si="47"/>
        <v>290.59749816359158</v>
      </c>
      <c r="DB446" s="46">
        <v>672529.79</v>
      </c>
      <c r="DC446" s="46">
        <f t="shared" si="48"/>
        <v>15.483835284967375</v>
      </c>
      <c r="DD446" s="46">
        <v>35834.239999999998</v>
      </c>
      <c r="DE446" s="995">
        <v>879</v>
      </c>
      <c r="DF446" s="995">
        <v>36.654000000000003</v>
      </c>
      <c r="DG446" s="995">
        <v>56.5</v>
      </c>
      <c r="DH446" s="995">
        <v>39.170999999999999</v>
      </c>
      <c r="DI446" s="995">
        <v>1515.461</v>
      </c>
      <c r="DJ446" s="995">
        <v>3486295</v>
      </c>
      <c r="DK446" s="995">
        <v>74.370999999999995</v>
      </c>
      <c r="DL446" s="995">
        <v>171089.5</v>
      </c>
      <c r="DM446" s="995">
        <v>879</v>
      </c>
      <c r="DN446" s="995">
        <v>37.015000000000001</v>
      </c>
      <c r="DO446" s="995">
        <v>48.4</v>
      </c>
      <c r="DP446" s="995">
        <v>39.170999999999999</v>
      </c>
      <c r="DQ446" s="995">
        <v>1495.742</v>
      </c>
      <c r="DR446" s="995">
        <v>3428818</v>
      </c>
      <c r="DS446" s="995">
        <v>73.272999999999996</v>
      </c>
      <c r="DT446" s="995">
        <v>167970.4</v>
      </c>
    </row>
    <row r="447" spans="1:124">
      <c r="A447" s="42" t="s">
        <v>94</v>
      </c>
      <c r="B447" s="42" t="s">
        <v>549</v>
      </c>
      <c r="C447" s="42" t="s">
        <v>639</v>
      </c>
      <c r="D447" s="42">
        <v>820365</v>
      </c>
      <c r="E447" s="42" t="s">
        <v>665</v>
      </c>
      <c r="F447" s="42" t="s">
        <v>149</v>
      </c>
      <c r="G447" s="42" t="s">
        <v>150</v>
      </c>
      <c r="H447" s="43" t="s">
        <v>150</v>
      </c>
      <c r="I447" s="44">
        <v>63</v>
      </c>
      <c r="J447" s="45">
        <v>186634.364</v>
      </c>
      <c r="K447" s="46">
        <v>12470.396043000001</v>
      </c>
      <c r="L447" s="47">
        <v>199104.76004299999</v>
      </c>
      <c r="M447" s="48">
        <v>4320417</v>
      </c>
      <c r="N447" s="49">
        <v>2720635</v>
      </c>
      <c r="O447" s="49">
        <v>1590673</v>
      </c>
      <c r="P447" s="49">
        <v>9109</v>
      </c>
      <c r="Q447" s="50">
        <v>9911.0580689655199</v>
      </c>
      <c r="R447" s="51">
        <v>23123.721873054299</v>
      </c>
      <c r="S447" s="49">
        <v>37603.729589071001</v>
      </c>
      <c r="T447" s="49">
        <v>8068.5083984801104</v>
      </c>
      <c r="U447" s="49">
        <f>IFERROR(INDEX('Rentabilidad datos'!$N$2:$N$61,MATCH($C447,'Rentabilidad datos'!$C$2:$C$61,0)),"")</f>
        <v>68795.959860605391</v>
      </c>
      <c r="V447" s="50">
        <f>IFERROR(INDEX('Rentabilidad datos'!$O$2:$O$61,MATCH($C447,'Rentabilidad datos'!$C$2:$C$61,0)),"")</f>
        <v>1166.0332179763625</v>
      </c>
      <c r="W447" s="51">
        <f>IFERROR(INDEX('Rentabilidad datos'!$M$2:$M$61,MATCH($C447,'Rentabilidad datos'!$C$2:$C$61,0)),"")</f>
        <v>3116.1708958203221</v>
      </c>
      <c r="X447" s="52">
        <f>IFERROR(INDEX('Rentabilidad datos'!$P$2:$P$61,MATCH($C447,'Rentabilidad datos'!$C$2:$C$61,0)),"")</f>
        <v>0.37418782761251868</v>
      </c>
      <c r="Y447" s="43" t="s">
        <v>171</v>
      </c>
      <c r="Z447" s="53">
        <v>44.149425287356301</v>
      </c>
      <c r="AA447" s="43">
        <v>2</v>
      </c>
      <c r="AB447" s="54">
        <v>0.92004128305207578</v>
      </c>
      <c r="AC447" s="55">
        <v>7.9958716947924238E-2</v>
      </c>
      <c r="AD447" s="752" t="e">
        <f>_xlfn.XLOOKUP(Table1[[#This Row],[Ruta]],#REF!,#REF!)</f>
        <v>#REF!</v>
      </c>
      <c r="AE447" s="752" t="e">
        <f>_xlfn.XLOOKUP(Table1[[#This Row],[Ruta]],#REF!,#REF!)</f>
        <v>#REF!</v>
      </c>
      <c r="AF447" s="752" t="e">
        <f>_xlfn.XLOOKUP(Table1[[#This Row],[Ruta]],#REF!,#REF!)</f>
        <v>#REF!</v>
      </c>
      <c r="AG447" s="752" t="e">
        <f>_xlfn.XLOOKUP(Table1[[#This Row],[Ruta]],#REF!,#REF!)</f>
        <v>#REF!</v>
      </c>
      <c r="AH447" s="52">
        <v>0.6297158353001574</v>
      </c>
      <c r="AI447" s="52">
        <v>0.3681758034004588</v>
      </c>
      <c r="AJ447" s="55">
        <v>2.1083612993838328E-3</v>
      </c>
      <c r="AK447" s="56">
        <v>19205</v>
      </c>
      <c r="AL447" s="44">
        <v>10216</v>
      </c>
      <c r="AM447" s="54">
        <v>0.53194480604009398</v>
      </c>
      <c r="AN447" s="55">
        <v>0.50214093649930203</v>
      </c>
      <c r="AO447" s="56">
        <v>0</v>
      </c>
      <c r="AP447" s="48">
        <v>0</v>
      </c>
      <c r="AQ447" s="55">
        <v>0.53194480604009375</v>
      </c>
      <c r="AR447" s="51">
        <v>4311310.26</v>
      </c>
      <c r="AS447" s="49">
        <v>0</v>
      </c>
      <c r="AT447" s="55">
        <v>0</v>
      </c>
      <c r="AU447" s="51">
        <v>0</v>
      </c>
      <c r="AV447" s="52">
        <v>0</v>
      </c>
      <c r="AW447" s="44">
        <v>490</v>
      </c>
      <c r="AX447" s="51">
        <v>422.015491386061</v>
      </c>
      <c r="AY447" s="49">
        <v>308.140122044046</v>
      </c>
      <c r="AZ447" s="49">
        <v>0</v>
      </c>
      <c r="BA447" s="42" t="s">
        <v>152</v>
      </c>
      <c r="BB447" s="50">
        <v>0</v>
      </c>
      <c r="BC447" s="57">
        <v>0</v>
      </c>
      <c r="BD447" s="42" t="s">
        <v>150</v>
      </c>
      <c r="BE447" s="46">
        <v>44.149425287356301</v>
      </c>
      <c r="BF447" s="46">
        <v>83.628504672897193</v>
      </c>
      <c r="BG447" s="42" t="s">
        <v>152</v>
      </c>
      <c r="BH447" s="52">
        <v>0.53194480604009398</v>
      </c>
      <c r="BI447" s="52">
        <v>0.51187669456560203</v>
      </c>
      <c r="BJ447" s="42" t="s">
        <v>150</v>
      </c>
      <c r="BK447" s="46">
        <v>457.712092052873</v>
      </c>
      <c r="BL447" s="46">
        <v>638.00354527981403</v>
      </c>
      <c r="BM447" s="42" t="s">
        <v>152</v>
      </c>
      <c r="BN447" s="48">
        <v>1</v>
      </c>
      <c r="BO447" s="42" t="s">
        <v>155</v>
      </c>
      <c r="BP447" s="42" t="s">
        <v>152</v>
      </c>
      <c r="BQ447" s="46">
        <v>10332.4794106154</v>
      </c>
      <c r="BR447" s="46">
        <v>150</v>
      </c>
      <c r="BS447" s="46">
        <v>10913</v>
      </c>
      <c r="BT447" s="46">
        <v>3532</v>
      </c>
      <c r="BU447" s="46">
        <v>3.0897508493771233</v>
      </c>
      <c r="BV447" s="46">
        <v>23.546666666666667</v>
      </c>
      <c r="BW447" s="46">
        <v>74</v>
      </c>
      <c r="BX447" s="46">
        <v>2880</v>
      </c>
      <c r="BY447" s="46">
        <v>2954</v>
      </c>
      <c r="BZ447" s="46">
        <v>0.83635334088335223</v>
      </c>
      <c r="CA447" s="46">
        <v>2.0951302378255949E-2</v>
      </c>
      <c r="CB447" s="46">
        <v>0.81540203850509629</v>
      </c>
      <c r="CC447" s="46">
        <v>0.1636466591166478</v>
      </c>
      <c r="CD447" s="46">
        <v>0</v>
      </c>
      <c r="CE447" s="46">
        <v>0</v>
      </c>
      <c r="CF447" s="46">
        <v>0</v>
      </c>
      <c r="CG447" s="46">
        <v>0</v>
      </c>
      <c r="CH447" s="46">
        <v>0</v>
      </c>
      <c r="CI447" s="46">
        <v>5.8645651974709061</v>
      </c>
      <c r="CJ447" s="46">
        <v>0.45816915605241448</v>
      </c>
      <c r="CK447">
        <v>252</v>
      </c>
      <c r="CL447">
        <v>418.54</v>
      </c>
      <c r="CM447">
        <f t="shared" si="49"/>
        <v>166.54000000000002</v>
      </c>
      <c r="CN447">
        <v>7.72</v>
      </c>
      <c r="CO447">
        <v>9.4499999999999993</v>
      </c>
      <c r="CP447">
        <f t="shared" si="50"/>
        <v>1.7299999999999995</v>
      </c>
      <c r="CQ447">
        <v>846.56</v>
      </c>
      <c r="CR447">
        <v>457.71</v>
      </c>
      <c r="CS447">
        <f t="shared" si="51"/>
        <v>388.84999999999997</v>
      </c>
      <c r="CT447" t="s">
        <v>152</v>
      </c>
      <c r="CU447">
        <v>87.07</v>
      </c>
      <c r="CV447">
        <v>250</v>
      </c>
      <c r="CW447" s="46">
        <v>2954</v>
      </c>
      <c r="CX447" s="46">
        <f t="shared" si="45"/>
        <v>78.92015855039638</v>
      </c>
      <c r="CY447" s="46">
        <v>166.54</v>
      </c>
      <c r="CZ447" s="46">
        <f t="shared" si="46"/>
        <v>83.635334088335227</v>
      </c>
      <c r="DA447" s="46">
        <f t="shared" si="47"/>
        <v>424.77935888215347</v>
      </c>
      <c r="DB447" s="46">
        <v>1571063.45</v>
      </c>
      <c r="DC447" s="46">
        <f t="shared" si="48"/>
        <v>19.326591033218513</v>
      </c>
      <c r="DD447" s="46">
        <v>71480.17</v>
      </c>
      <c r="DE447" s="995">
        <v>2954</v>
      </c>
      <c r="DF447" s="995">
        <v>78.831999999999994</v>
      </c>
      <c r="DG447" s="995">
        <v>169.7</v>
      </c>
      <c r="DH447" s="995">
        <v>83.635000000000005</v>
      </c>
      <c r="DI447" s="995">
        <v>1243.43</v>
      </c>
      <c r="DJ447" s="995">
        <v>4602753</v>
      </c>
      <c r="DK447" s="995">
        <v>56.771000000000001</v>
      </c>
      <c r="DL447" s="995">
        <v>210146.6</v>
      </c>
      <c r="DM447" s="995">
        <v>2954</v>
      </c>
      <c r="DN447" s="995">
        <v>78.846999999999994</v>
      </c>
      <c r="DO447" s="995">
        <v>169.1</v>
      </c>
      <c r="DP447" s="995">
        <v>83.635000000000005</v>
      </c>
      <c r="DQ447" s="995">
        <v>1242.394</v>
      </c>
      <c r="DR447" s="995">
        <v>4598235</v>
      </c>
      <c r="DS447" s="995">
        <v>56.722000000000001</v>
      </c>
      <c r="DT447" s="995">
        <v>209934.8</v>
      </c>
    </row>
    <row r="448" spans="1:124">
      <c r="A448" s="42" t="s">
        <v>94</v>
      </c>
      <c r="B448" s="42" t="s">
        <v>549</v>
      </c>
      <c r="C448" s="42" t="s">
        <v>639</v>
      </c>
      <c r="D448" s="42">
        <v>820366</v>
      </c>
      <c r="E448" s="42" t="s">
        <v>666</v>
      </c>
      <c r="F448" s="42" t="s">
        <v>149</v>
      </c>
      <c r="G448" s="42" t="s">
        <v>150</v>
      </c>
      <c r="H448" s="43" t="s">
        <v>150</v>
      </c>
      <c r="I448" s="44">
        <v>63</v>
      </c>
      <c r="J448" s="45">
        <v>166408.7432</v>
      </c>
      <c r="K448" s="46">
        <v>10501.440904999999</v>
      </c>
      <c r="L448" s="47">
        <v>176910.18410499999</v>
      </c>
      <c r="M448" s="48">
        <v>3956118</v>
      </c>
      <c r="N448" s="49">
        <v>2430298</v>
      </c>
      <c r="O448" s="49">
        <v>1500328</v>
      </c>
      <c r="P448" s="49">
        <v>25492</v>
      </c>
      <c r="Q448" s="50">
        <v>9015.1933027522991</v>
      </c>
      <c r="R448" s="51">
        <v>23123.721873054299</v>
      </c>
      <c r="S448" s="49">
        <v>37603.729589071001</v>
      </c>
      <c r="T448" s="49">
        <v>8068.5083984801104</v>
      </c>
      <c r="U448" s="49">
        <f>IFERROR(INDEX('Rentabilidad datos'!$N$2:$N$61,MATCH($C448,'Rentabilidad datos'!$C$2:$C$61,0)),"")</f>
        <v>68795.959860605391</v>
      </c>
      <c r="V448" s="50">
        <f>IFERROR(INDEX('Rentabilidad datos'!$O$2:$O$61,MATCH($C448,'Rentabilidad datos'!$C$2:$C$61,0)),"")</f>
        <v>1166.0332179763625</v>
      </c>
      <c r="W448" s="51">
        <f>IFERROR(INDEX('Rentabilidad datos'!$M$2:$M$61,MATCH($C448,'Rentabilidad datos'!$C$2:$C$61,0)),"")</f>
        <v>3116.1708958203221</v>
      </c>
      <c r="X448" s="52">
        <f>IFERROR(INDEX('Rentabilidad datos'!$P$2:$P$61,MATCH($C448,'Rentabilidad datos'!$C$2:$C$61,0)),"")</f>
        <v>0.37418782761251868</v>
      </c>
      <c r="Y448" s="43" t="s">
        <v>171</v>
      </c>
      <c r="Z448" s="53">
        <v>92.864678899082605</v>
      </c>
      <c r="AA448" s="43">
        <v>2</v>
      </c>
      <c r="AB448" s="54">
        <v>0.93061202926707443</v>
      </c>
      <c r="AC448" s="55">
        <v>6.9387970732925561E-2</v>
      </c>
      <c r="AD448" s="752" t="e">
        <f>_xlfn.XLOOKUP(Table1[[#This Row],[Ruta]],#REF!,#REF!)</f>
        <v>#REF!</v>
      </c>
      <c r="AE448" s="752" t="e">
        <f>_xlfn.XLOOKUP(Table1[[#This Row],[Ruta]],#REF!,#REF!)</f>
        <v>#REF!</v>
      </c>
      <c r="AF448" s="752" t="e">
        <f>_xlfn.XLOOKUP(Table1[[#This Row],[Ruta]],#REF!,#REF!)</f>
        <v>#REF!</v>
      </c>
      <c r="AG448" s="752" t="e">
        <f>_xlfn.XLOOKUP(Table1[[#This Row],[Ruta]],#REF!,#REF!)</f>
        <v>#REF!</v>
      </c>
      <c r="AH448" s="52">
        <v>0.61431382987059535</v>
      </c>
      <c r="AI448" s="52">
        <v>0.37924247962270086</v>
      </c>
      <c r="AJ448" s="55">
        <v>6.4436905067037937E-3</v>
      </c>
      <c r="AK448" s="56">
        <v>40489</v>
      </c>
      <c r="AL448" s="44">
        <v>21290</v>
      </c>
      <c r="AM448" s="54">
        <v>0.52582182815085599</v>
      </c>
      <c r="AN448" s="55">
        <v>0.50214093649930203</v>
      </c>
      <c r="AO448" s="56">
        <v>0</v>
      </c>
      <c r="AP448" s="48">
        <v>0</v>
      </c>
      <c r="AQ448" s="55">
        <v>0.52582182815085576</v>
      </c>
      <c r="AR448" s="51">
        <v>3930624.28</v>
      </c>
      <c r="AS448" s="49">
        <v>0</v>
      </c>
      <c r="AT448" s="55">
        <v>0</v>
      </c>
      <c r="AU448" s="51">
        <v>0</v>
      </c>
      <c r="AV448" s="52">
        <v>0</v>
      </c>
      <c r="AW448" s="44">
        <v>490</v>
      </c>
      <c r="AX448" s="51">
        <v>184.623028651949</v>
      </c>
      <c r="AY448" s="49">
        <v>308.140122044046</v>
      </c>
      <c r="AZ448" s="49">
        <v>123.517093392097</v>
      </c>
      <c r="BA448" s="42" t="s">
        <v>150</v>
      </c>
      <c r="BB448" s="50">
        <v>923941.24157109996</v>
      </c>
      <c r="BC448" s="57">
        <v>923941.24157109996</v>
      </c>
      <c r="BD448" s="42" t="s">
        <v>150</v>
      </c>
      <c r="BE448" s="46">
        <v>92.864678899082605</v>
      </c>
      <c r="BF448" s="46">
        <v>83.628504672897193</v>
      </c>
      <c r="BG448" s="42" t="s">
        <v>150</v>
      </c>
      <c r="BH448" s="52">
        <v>0.52582182815085599</v>
      </c>
      <c r="BI448" s="52">
        <v>0.51187669456560203</v>
      </c>
      <c r="BJ448" s="42" t="s">
        <v>150</v>
      </c>
      <c r="BK448" s="46">
        <v>405.75730299311903</v>
      </c>
      <c r="BL448" s="46">
        <v>638.00354527981403</v>
      </c>
      <c r="BM448" s="42" t="s">
        <v>152</v>
      </c>
      <c r="BN448" s="48">
        <v>2</v>
      </c>
      <c r="BO448" s="42" t="s">
        <v>161</v>
      </c>
      <c r="BP448" s="42" t="s">
        <v>152</v>
      </c>
      <c r="BQ448" s="46">
        <v>0</v>
      </c>
      <c r="BR448" s="46">
        <v>93</v>
      </c>
      <c r="BS448" s="46">
        <v>8695</v>
      </c>
      <c r="BT448" s="46">
        <v>2901</v>
      </c>
      <c r="BU448" s="46">
        <v>2.997242330230955</v>
      </c>
      <c r="BV448" s="46">
        <v>31.193548387096776</v>
      </c>
      <c r="BW448" s="46">
        <v>0</v>
      </c>
      <c r="BX448" s="46">
        <v>1887</v>
      </c>
      <c r="BY448" s="46">
        <v>1887</v>
      </c>
      <c r="BZ448" s="46">
        <v>0.65046535677352635</v>
      </c>
      <c r="CA448" s="46">
        <v>0</v>
      </c>
      <c r="CB448" s="46">
        <v>0.65046535677352635</v>
      </c>
      <c r="CC448" s="46">
        <v>0.34953464322647371</v>
      </c>
      <c r="CD448" s="46">
        <v>0</v>
      </c>
      <c r="CE448" s="46">
        <v>0</v>
      </c>
      <c r="CF448" s="46">
        <v>0</v>
      </c>
      <c r="CG448" s="46">
        <v>0</v>
      </c>
      <c r="CH448" s="46">
        <v>0</v>
      </c>
      <c r="CI448" s="46">
        <v>4.1403105232892461</v>
      </c>
      <c r="CJ448" s="46">
        <v>0.80506037952846465</v>
      </c>
      <c r="CK448">
        <v>443</v>
      </c>
      <c r="CL448">
        <v>487.21</v>
      </c>
      <c r="CM448">
        <f t="shared" si="49"/>
        <v>44.20999999999998</v>
      </c>
      <c r="CN448">
        <v>10.88</v>
      </c>
      <c r="CO448">
        <v>9.4499999999999993</v>
      </c>
      <c r="CP448">
        <f t="shared" si="50"/>
        <v>-1.4300000000000015</v>
      </c>
      <c r="CQ448">
        <v>846.56</v>
      </c>
      <c r="CR448">
        <v>405.76</v>
      </c>
      <c r="CS448">
        <f t="shared" si="51"/>
        <v>440.79999999999995</v>
      </c>
      <c r="CT448" t="s">
        <v>150</v>
      </c>
      <c r="CU448">
        <v>115.08</v>
      </c>
      <c r="CV448">
        <v>356</v>
      </c>
      <c r="CW448" s="46">
        <v>1887</v>
      </c>
      <c r="CX448" s="46">
        <f t="shared" si="45"/>
        <v>63.522578421234059</v>
      </c>
      <c r="CY448" s="46">
        <v>44.21</v>
      </c>
      <c r="CZ448" s="46">
        <f t="shared" si="46"/>
        <v>65.046535677352637</v>
      </c>
      <c r="DA448" s="46">
        <f t="shared" si="47"/>
        <v>813.14105276024463</v>
      </c>
      <c r="DB448" s="46">
        <v>2394871.16</v>
      </c>
      <c r="DC448" s="46">
        <f t="shared" si="48"/>
        <v>35.596456619392164</v>
      </c>
      <c r="DD448" s="46">
        <v>104839.03999999999</v>
      </c>
      <c r="DE448" s="995">
        <v>1887</v>
      </c>
      <c r="DF448" s="995">
        <v>63.593000000000004</v>
      </c>
      <c r="DG448" s="995">
        <v>42.2</v>
      </c>
      <c r="DH448" s="995">
        <v>65.046999999999997</v>
      </c>
      <c r="DI448" s="995">
        <v>1822.377</v>
      </c>
      <c r="DJ448" s="995">
        <v>5363554</v>
      </c>
      <c r="DK448" s="995">
        <v>80.180999999999997</v>
      </c>
      <c r="DL448" s="995">
        <v>235986.6</v>
      </c>
      <c r="DM448" s="995">
        <v>1887</v>
      </c>
      <c r="DN448" s="995">
        <v>63.771000000000001</v>
      </c>
      <c r="DO448" s="995">
        <v>37</v>
      </c>
      <c r="DP448" s="995">
        <v>65.046999999999997</v>
      </c>
      <c r="DQ448" s="995">
        <v>1810.038</v>
      </c>
      <c r="DR448" s="995">
        <v>5317911</v>
      </c>
      <c r="DS448" s="995">
        <v>79.590999999999994</v>
      </c>
      <c r="DT448" s="995">
        <v>233839.3</v>
      </c>
    </row>
    <row r="449" spans="1:124">
      <c r="A449" s="42" t="s">
        <v>94</v>
      </c>
      <c r="B449" s="42" t="s">
        <v>549</v>
      </c>
      <c r="C449" s="42" t="s">
        <v>639</v>
      </c>
      <c r="D449" s="42">
        <v>820367</v>
      </c>
      <c r="E449" s="42" t="s">
        <v>667</v>
      </c>
      <c r="F449" s="42" t="s">
        <v>149</v>
      </c>
      <c r="G449" s="42" t="s">
        <v>150</v>
      </c>
      <c r="H449" s="43" t="s">
        <v>150</v>
      </c>
      <c r="I449" s="44">
        <v>63</v>
      </c>
      <c r="J449" s="45">
        <v>269467.12239999801</v>
      </c>
      <c r="K449" s="46">
        <v>16575.345431000002</v>
      </c>
      <c r="L449" s="47">
        <v>286042.46783099801</v>
      </c>
      <c r="M449" s="48">
        <v>6241789</v>
      </c>
      <c r="N449" s="49">
        <v>3910097</v>
      </c>
      <c r="O449" s="49">
        <v>2231192</v>
      </c>
      <c r="P449" s="49">
        <v>100500</v>
      </c>
      <c r="Q449" s="50">
        <v>14117.911632183899</v>
      </c>
      <c r="R449" s="51">
        <v>23123.721873054299</v>
      </c>
      <c r="S449" s="49">
        <v>37603.729589071001</v>
      </c>
      <c r="T449" s="49">
        <v>8068.5083984801104</v>
      </c>
      <c r="U449" s="49">
        <f>IFERROR(INDEX('Rentabilidad datos'!$N$2:$N$61,MATCH($C449,'Rentabilidad datos'!$C$2:$C$61,0)),"")</f>
        <v>68795.959860605391</v>
      </c>
      <c r="V449" s="50">
        <f>IFERROR(INDEX('Rentabilidad datos'!$O$2:$O$61,MATCH($C449,'Rentabilidad datos'!$C$2:$C$61,0)),"")</f>
        <v>1166.0332179763625</v>
      </c>
      <c r="W449" s="51">
        <f>IFERROR(INDEX('Rentabilidad datos'!$M$2:$M$61,MATCH($C449,'Rentabilidad datos'!$C$2:$C$61,0)),"")</f>
        <v>3116.1708958203221</v>
      </c>
      <c r="X449" s="52">
        <f>IFERROR(INDEX('Rentabilidad datos'!$P$2:$P$61,MATCH($C449,'Rentabilidad datos'!$C$2:$C$61,0)),"")</f>
        <v>0.37418782761251868</v>
      </c>
      <c r="Y449" s="43" t="s">
        <v>171</v>
      </c>
      <c r="Z449" s="53">
        <v>127.432183908046</v>
      </c>
      <c r="AA449" s="43">
        <v>2</v>
      </c>
      <c r="AB449" s="54">
        <v>0.96698158172280413</v>
      </c>
      <c r="AC449" s="55">
        <v>3.301841827719585E-2</v>
      </c>
      <c r="AD449" s="752" t="e">
        <f>_xlfn.XLOOKUP(Table1[[#This Row],[Ruta]],#REF!,#REF!)</f>
        <v>#REF!</v>
      </c>
      <c r="AE449" s="752" t="e">
        <f>_xlfn.XLOOKUP(Table1[[#This Row],[Ruta]],#REF!,#REF!)</f>
        <v>#REF!</v>
      </c>
      <c r="AF449" s="752" t="e">
        <f>_xlfn.XLOOKUP(Table1[[#This Row],[Ruta]],#REF!,#REF!)</f>
        <v>#REF!</v>
      </c>
      <c r="AG449" s="752" t="e">
        <f>_xlfn.XLOOKUP(Table1[[#This Row],[Ruta]],#REF!,#REF!)</f>
        <v>#REF!</v>
      </c>
      <c r="AH449" s="52">
        <v>0.62643850985670935</v>
      </c>
      <c r="AI449" s="52">
        <v>0.35746033709245861</v>
      </c>
      <c r="AJ449" s="55">
        <v>1.6101153050832061E-2</v>
      </c>
      <c r="AK449" s="56">
        <v>55433</v>
      </c>
      <c r="AL449" s="44">
        <v>29172</v>
      </c>
      <c r="AM449" s="54">
        <v>0.52625692277163405</v>
      </c>
      <c r="AN449" s="55">
        <v>0.50214093649930203</v>
      </c>
      <c r="AO449" s="56">
        <v>0</v>
      </c>
      <c r="AP449" s="48">
        <v>0</v>
      </c>
      <c r="AQ449" s="55">
        <v>0.52625692277163427</v>
      </c>
      <c r="AR449" s="51">
        <v>6141291.5599999996</v>
      </c>
      <c r="AS449" s="49">
        <v>0</v>
      </c>
      <c r="AT449" s="55">
        <v>0</v>
      </c>
      <c r="AU449" s="51">
        <v>0</v>
      </c>
      <c r="AV449" s="52">
        <v>0</v>
      </c>
      <c r="AW449" s="44">
        <v>490</v>
      </c>
      <c r="AX449" s="51">
        <v>210.52007267242601</v>
      </c>
      <c r="AY449" s="49">
        <v>308.140122044046</v>
      </c>
      <c r="AZ449" s="49">
        <v>97.620049371619984</v>
      </c>
      <c r="BA449" s="42" t="s">
        <v>150</v>
      </c>
      <c r="BB449" s="50">
        <v>1000568.5687431267</v>
      </c>
      <c r="BC449" s="57">
        <v>1000568.5687431267</v>
      </c>
      <c r="BD449" s="42" t="s">
        <v>150</v>
      </c>
      <c r="BE449" s="46">
        <v>127.432183908046</v>
      </c>
      <c r="BF449" s="46">
        <v>83.628504672897193</v>
      </c>
      <c r="BG449" s="42" t="s">
        <v>150</v>
      </c>
      <c r="BH449" s="52">
        <v>0.52625692277163405</v>
      </c>
      <c r="BI449" s="52">
        <v>0.51187669456560203</v>
      </c>
      <c r="BJ449" s="42" t="s">
        <v>150</v>
      </c>
      <c r="BK449" s="46">
        <v>657.56889156551199</v>
      </c>
      <c r="BL449" s="46">
        <v>638.00354527981403</v>
      </c>
      <c r="BM449" s="42" t="s">
        <v>150</v>
      </c>
      <c r="BN449" s="48">
        <v>3</v>
      </c>
      <c r="BO449" s="42" t="s">
        <v>153</v>
      </c>
      <c r="BP449" s="42" t="s">
        <v>150</v>
      </c>
      <c r="BQ449" s="46">
        <v>0</v>
      </c>
      <c r="BR449" s="46">
        <v>244</v>
      </c>
      <c r="BS449" s="46">
        <v>18983</v>
      </c>
      <c r="BT449" s="46">
        <v>5404</v>
      </c>
      <c r="BU449" s="46">
        <v>3.5127683197631385</v>
      </c>
      <c r="BV449" s="46">
        <v>22.147540983606557</v>
      </c>
      <c r="BW449" s="46">
        <v>0</v>
      </c>
      <c r="BX449" s="46">
        <v>2263</v>
      </c>
      <c r="BY449" s="46">
        <v>2263</v>
      </c>
      <c r="BZ449" s="46">
        <v>0.41876387860843817</v>
      </c>
      <c r="CA449" s="46">
        <v>0</v>
      </c>
      <c r="CB449" s="46">
        <v>0.41876387860843817</v>
      </c>
      <c r="CC449" s="46">
        <v>0.40081421169504072</v>
      </c>
      <c r="CD449" s="46">
        <v>0.10584752035529239</v>
      </c>
      <c r="CE449" s="46">
        <v>0</v>
      </c>
      <c r="CF449" s="46">
        <v>7.4574389341228717E-2</v>
      </c>
      <c r="CG449" s="46">
        <v>0</v>
      </c>
      <c r="CH449" s="46">
        <v>0</v>
      </c>
      <c r="CI449" s="46">
        <v>2.9500079018068801</v>
      </c>
      <c r="CJ449" s="46">
        <v>0.21071485012906291</v>
      </c>
      <c r="CK449">
        <v>488</v>
      </c>
      <c r="CL449">
        <v>523.87</v>
      </c>
      <c r="CM449">
        <f t="shared" si="49"/>
        <v>35.870000000000005</v>
      </c>
      <c r="CN449">
        <v>12.87</v>
      </c>
      <c r="CO449">
        <v>9.4499999999999993</v>
      </c>
      <c r="CP449">
        <f t="shared" si="50"/>
        <v>-3.42</v>
      </c>
      <c r="CQ449">
        <v>846.56</v>
      </c>
      <c r="CR449">
        <v>657.57</v>
      </c>
      <c r="CS449">
        <f t="shared" si="51"/>
        <v>188.9899999999999</v>
      </c>
      <c r="CT449" t="s">
        <v>150</v>
      </c>
      <c r="CU449">
        <v>139.62</v>
      </c>
      <c r="CV449">
        <v>337</v>
      </c>
      <c r="CW449" s="46">
        <v>2263</v>
      </c>
      <c r="CX449" s="46">
        <f t="shared" si="45"/>
        <v>41.212620281273132</v>
      </c>
      <c r="CY449" s="46">
        <v>35.869999999999997</v>
      </c>
      <c r="CZ449" s="46">
        <f t="shared" si="46"/>
        <v>41.876387860843813</v>
      </c>
      <c r="DA449" s="46">
        <f t="shared" si="47"/>
        <v>215.05980657626009</v>
      </c>
      <c r="DB449" s="46">
        <v>1169897.3899999999</v>
      </c>
      <c r="DC449" s="46">
        <f t="shared" si="48"/>
        <v>9.2798890414660651</v>
      </c>
      <c r="DD449" s="46">
        <v>50481.39</v>
      </c>
      <c r="DE449" s="995">
        <v>2263</v>
      </c>
      <c r="DF449" s="995">
        <v>41.246000000000002</v>
      </c>
      <c r="DG449" s="995">
        <v>34</v>
      </c>
      <c r="DH449" s="995">
        <v>41.875999999999998</v>
      </c>
      <c r="DI449" s="995">
        <v>1050.952</v>
      </c>
      <c r="DJ449" s="995">
        <v>5715121</v>
      </c>
      <c r="DK449" s="995">
        <v>46.893999999999998</v>
      </c>
      <c r="DL449" s="995">
        <v>255012.3</v>
      </c>
      <c r="DM449" s="995">
        <v>2263</v>
      </c>
      <c r="DN449" s="995">
        <v>41.347999999999999</v>
      </c>
      <c r="DO449" s="995">
        <v>28.5</v>
      </c>
      <c r="DP449" s="995">
        <v>41.875999999999998</v>
      </c>
      <c r="DQ449" s="995">
        <v>1043.154</v>
      </c>
      <c r="DR449" s="995">
        <v>5666982</v>
      </c>
      <c r="DS449" s="995">
        <v>46.552</v>
      </c>
      <c r="DT449" s="995">
        <v>252896.5</v>
      </c>
    </row>
    <row r="450" spans="1:124">
      <c r="A450" s="42" t="s">
        <v>94</v>
      </c>
      <c r="B450" s="42" t="s">
        <v>549</v>
      </c>
      <c r="C450" s="42" t="s">
        <v>639</v>
      </c>
      <c r="D450" s="42">
        <v>820368</v>
      </c>
      <c r="E450" s="42" t="s">
        <v>668</v>
      </c>
      <c r="F450" s="42" t="s">
        <v>149</v>
      </c>
      <c r="G450" s="42" t="s">
        <v>150</v>
      </c>
      <c r="H450" s="43" t="s">
        <v>150</v>
      </c>
      <c r="I450" s="44">
        <v>63</v>
      </c>
      <c r="J450" s="45">
        <v>242999.80879999901</v>
      </c>
      <c r="K450" s="46">
        <v>12627.950874</v>
      </c>
      <c r="L450" s="47">
        <v>255627.75967399901</v>
      </c>
      <c r="M450" s="48">
        <v>5318874</v>
      </c>
      <c r="N450" s="49">
        <v>3534349</v>
      </c>
      <c r="O450" s="49">
        <v>1742662</v>
      </c>
      <c r="P450" s="49">
        <v>41863</v>
      </c>
      <c r="Q450" s="50">
        <v>12131.0564827586</v>
      </c>
      <c r="R450" s="51">
        <v>23123.721873054299</v>
      </c>
      <c r="S450" s="49">
        <v>37603.729589071001</v>
      </c>
      <c r="T450" s="49">
        <v>8068.5083984801104</v>
      </c>
      <c r="U450" s="49">
        <f>IFERROR(INDEX('Rentabilidad datos'!$N$2:$N$61,MATCH($C450,'Rentabilidad datos'!$C$2:$C$61,0)),"")</f>
        <v>68795.959860605391</v>
      </c>
      <c r="V450" s="50">
        <f>IFERROR(INDEX('Rentabilidad datos'!$O$2:$O$61,MATCH($C450,'Rentabilidad datos'!$C$2:$C$61,0)),"")</f>
        <v>1166.0332179763625</v>
      </c>
      <c r="W450" s="51">
        <f>IFERROR(INDEX('Rentabilidad datos'!$M$2:$M$61,MATCH($C450,'Rentabilidad datos'!$C$2:$C$61,0)),"")</f>
        <v>3116.1708958203221</v>
      </c>
      <c r="X450" s="52">
        <f>IFERROR(INDEX('Rentabilidad datos'!$P$2:$P$61,MATCH($C450,'Rentabilidad datos'!$C$2:$C$61,0)),"")</f>
        <v>0.37418782761251868</v>
      </c>
      <c r="Y450" s="43" t="s">
        <v>171</v>
      </c>
      <c r="Z450" s="53">
        <v>100.367816091954</v>
      </c>
      <c r="AA450" s="43">
        <v>2</v>
      </c>
      <c r="AB450" s="54">
        <v>0.9437615931492267</v>
      </c>
      <c r="AC450" s="55">
        <v>5.6238406850773304E-2</v>
      </c>
      <c r="AD450" s="752" t="e">
        <f>_xlfn.XLOOKUP(Table1[[#This Row],[Ruta]],#REF!,#REF!)</f>
        <v>#REF!</v>
      </c>
      <c r="AE450" s="752" t="e">
        <f>_xlfn.XLOOKUP(Table1[[#This Row],[Ruta]],#REF!,#REF!)</f>
        <v>#REF!</v>
      </c>
      <c r="AF450" s="752" t="e">
        <f>_xlfn.XLOOKUP(Table1[[#This Row],[Ruta]],#REF!,#REF!)</f>
        <v>#REF!</v>
      </c>
      <c r="AG450" s="752" t="e">
        <f>_xlfn.XLOOKUP(Table1[[#This Row],[Ruta]],#REF!,#REF!)</f>
        <v>#REF!</v>
      </c>
      <c r="AH450" s="52">
        <v>0.66449195826033858</v>
      </c>
      <c r="AI450" s="52">
        <v>0.32763739092146194</v>
      </c>
      <c r="AJ450" s="55">
        <v>7.8706508181994907E-3</v>
      </c>
      <c r="AK450" s="56">
        <v>43660</v>
      </c>
      <c r="AL450" s="44">
        <v>23194</v>
      </c>
      <c r="AM450" s="54">
        <v>0.53124141090242805</v>
      </c>
      <c r="AN450" s="55">
        <v>0.50214093649930203</v>
      </c>
      <c r="AO450" s="56">
        <v>0</v>
      </c>
      <c r="AP450" s="48">
        <v>0</v>
      </c>
      <c r="AQ450" s="55">
        <v>0.53124141090242782</v>
      </c>
      <c r="AR450" s="51">
        <v>5277009.57</v>
      </c>
      <c r="AS450" s="49">
        <v>0</v>
      </c>
      <c r="AT450" s="55">
        <v>0</v>
      </c>
      <c r="AU450" s="51">
        <v>0</v>
      </c>
      <c r="AV450" s="52">
        <v>0</v>
      </c>
      <c r="AW450" s="44">
        <v>490</v>
      </c>
      <c r="AX450" s="51">
        <v>227.516149435199</v>
      </c>
      <c r="AY450" s="49">
        <v>308.140122044046</v>
      </c>
      <c r="AZ450" s="49">
        <v>80.623972608846998</v>
      </c>
      <c r="BA450" s="42" t="s">
        <v>150</v>
      </c>
      <c r="BB450" s="50">
        <v>657024.364026075</v>
      </c>
      <c r="BC450" s="57">
        <v>657024.364026075</v>
      </c>
      <c r="BD450" s="42" t="s">
        <v>150</v>
      </c>
      <c r="BE450" s="46">
        <v>100.367816091954</v>
      </c>
      <c r="BF450" s="46">
        <v>83.628504672897193</v>
      </c>
      <c r="BG450" s="42" t="s">
        <v>150</v>
      </c>
      <c r="BH450" s="52">
        <v>0.53124141090242805</v>
      </c>
      <c r="BI450" s="52">
        <v>0.51187669456560203</v>
      </c>
      <c r="BJ450" s="42" t="s">
        <v>150</v>
      </c>
      <c r="BK450" s="46">
        <v>587.650022239078</v>
      </c>
      <c r="BL450" s="46">
        <v>638.00354527981403</v>
      </c>
      <c r="BM450" s="42" t="s">
        <v>152</v>
      </c>
      <c r="BN450" s="48">
        <v>2</v>
      </c>
      <c r="BO450" s="42" t="s">
        <v>161</v>
      </c>
      <c r="BP450" s="42" t="s">
        <v>152</v>
      </c>
      <c r="BQ450" s="46">
        <v>2844.4330187282899</v>
      </c>
      <c r="BR450" s="46">
        <v>312</v>
      </c>
      <c r="BS450" s="46">
        <v>16381</v>
      </c>
      <c r="BT450" s="46">
        <v>4549</v>
      </c>
      <c r="BU450" s="46">
        <v>3.6010112112552211</v>
      </c>
      <c r="BV450" s="46">
        <v>14.580128205128204</v>
      </c>
      <c r="BW450" s="46">
        <v>337</v>
      </c>
      <c r="BX450" s="46">
        <v>992</v>
      </c>
      <c r="BY450" s="46">
        <v>1329</v>
      </c>
      <c r="BZ450" s="46">
        <v>0.29215212134535062</v>
      </c>
      <c r="CA450" s="46">
        <v>7.408221587162013E-2</v>
      </c>
      <c r="CB450" s="46">
        <v>0.21806990547373051</v>
      </c>
      <c r="CC450" s="46">
        <v>0.63376566278302926</v>
      </c>
      <c r="CD450" s="46">
        <v>0</v>
      </c>
      <c r="CE450" s="46">
        <v>0</v>
      </c>
      <c r="CF450" s="46">
        <v>7.408221587162013E-2</v>
      </c>
      <c r="CG450" s="46">
        <v>0</v>
      </c>
      <c r="CH450" s="46">
        <v>0</v>
      </c>
      <c r="CI450" s="46">
        <v>3.9680117208961598</v>
      </c>
      <c r="CJ450" s="46">
        <v>0.24418533667053291</v>
      </c>
      <c r="CK450">
        <v>438</v>
      </c>
      <c r="CL450">
        <v>514.99</v>
      </c>
      <c r="CM450">
        <f t="shared" si="49"/>
        <v>76.990000000000009</v>
      </c>
      <c r="CN450">
        <v>11.14</v>
      </c>
      <c r="CO450">
        <v>9.4499999999999993</v>
      </c>
      <c r="CP450">
        <f t="shared" si="50"/>
        <v>-1.6900000000000013</v>
      </c>
      <c r="CQ450">
        <v>846.56</v>
      </c>
      <c r="CR450">
        <v>587.65</v>
      </c>
      <c r="CS450">
        <f t="shared" si="51"/>
        <v>258.90999999999997</v>
      </c>
      <c r="CT450" t="s">
        <v>150</v>
      </c>
      <c r="CU450">
        <v>120.55</v>
      </c>
      <c r="CV450">
        <v>145</v>
      </c>
      <c r="CW450" s="46">
        <v>1329</v>
      </c>
      <c r="CX450" s="46">
        <f t="shared" si="45"/>
        <v>27.522752253242473</v>
      </c>
      <c r="CY450" s="46">
        <v>76.989999999999995</v>
      </c>
      <c r="CZ450" s="46">
        <f t="shared" si="46"/>
        <v>29.215212134535061</v>
      </c>
      <c r="DA450" s="46">
        <f t="shared" si="47"/>
        <v>209.53097823384832</v>
      </c>
      <c r="DB450" s="46">
        <v>969288.21</v>
      </c>
      <c r="DC450" s="46">
        <f t="shared" si="48"/>
        <v>10.456099126889596</v>
      </c>
      <c r="DD450" s="46">
        <v>48369.81</v>
      </c>
      <c r="DE450" s="995">
        <v>1329</v>
      </c>
      <c r="DF450" s="995">
        <v>27.565000000000001</v>
      </c>
      <c r="DG450" s="995">
        <v>75.099999999999994</v>
      </c>
      <c r="DH450" s="995">
        <v>29.215</v>
      </c>
      <c r="DI450" s="995">
        <v>1111.7439999999999</v>
      </c>
      <c r="DJ450" s="995">
        <v>5140805</v>
      </c>
      <c r="DK450" s="995">
        <v>53.011000000000003</v>
      </c>
      <c r="DL450" s="995">
        <v>245128.7</v>
      </c>
      <c r="DM450" s="995">
        <v>1329</v>
      </c>
      <c r="DN450" s="995">
        <v>27.686</v>
      </c>
      <c r="DO450" s="995">
        <v>69.599999999999994</v>
      </c>
      <c r="DP450" s="995">
        <v>29.215</v>
      </c>
      <c r="DQ450" s="995">
        <v>1103.5820000000001</v>
      </c>
      <c r="DR450" s="995">
        <v>5096972</v>
      </c>
      <c r="DS450" s="995">
        <v>52.615000000000002</v>
      </c>
      <c r="DT450" s="995">
        <v>243003.9</v>
      </c>
    </row>
    <row r="451" spans="1:124">
      <c r="A451" s="42" t="s">
        <v>94</v>
      </c>
      <c r="B451" s="42" t="s">
        <v>549</v>
      </c>
      <c r="C451" s="42" t="s">
        <v>639</v>
      </c>
      <c r="D451" s="42">
        <v>820369</v>
      </c>
      <c r="E451" s="42" t="s">
        <v>669</v>
      </c>
      <c r="F451" s="42" t="s">
        <v>149</v>
      </c>
      <c r="G451" s="42" t="s">
        <v>150</v>
      </c>
      <c r="H451" s="43" t="s">
        <v>150</v>
      </c>
      <c r="I451" s="44">
        <v>63</v>
      </c>
      <c r="J451" s="45">
        <v>340690.05039999698</v>
      </c>
      <c r="K451" s="46">
        <v>22621.176353999999</v>
      </c>
      <c r="L451" s="47">
        <v>363311.22675399698</v>
      </c>
      <c r="M451" s="48">
        <v>8527466</v>
      </c>
      <c r="N451" s="49">
        <v>4970475</v>
      </c>
      <c r="O451" s="49">
        <v>3503750</v>
      </c>
      <c r="P451" s="49">
        <v>53241</v>
      </c>
      <c r="Q451" s="50">
        <v>19480.981816092</v>
      </c>
      <c r="R451" s="51">
        <v>23123.721873054299</v>
      </c>
      <c r="S451" s="49">
        <v>37603.729589071001</v>
      </c>
      <c r="T451" s="49">
        <v>8068.5083984801104</v>
      </c>
      <c r="U451" s="49">
        <f>IFERROR(INDEX('Rentabilidad datos'!$N$2:$N$61,MATCH($C451,'Rentabilidad datos'!$C$2:$C$61,0)),"")</f>
        <v>68795.959860605391</v>
      </c>
      <c r="V451" s="50">
        <f>IFERROR(INDEX('Rentabilidad datos'!$O$2:$O$61,MATCH($C451,'Rentabilidad datos'!$C$2:$C$61,0)),"")</f>
        <v>1166.0332179763625</v>
      </c>
      <c r="W451" s="51">
        <f>IFERROR(INDEX('Rentabilidad datos'!$M$2:$M$61,MATCH($C451,'Rentabilidad datos'!$C$2:$C$61,0)),"")</f>
        <v>3116.1708958203221</v>
      </c>
      <c r="X451" s="52">
        <f>IFERROR(INDEX('Rentabilidad datos'!$P$2:$P$61,MATCH($C451,'Rentabilidad datos'!$C$2:$C$61,0)),"")</f>
        <v>0.37418782761251868</v>
      </c>
      <c r="Y451" s="43" t="s">
        <v>171</v>
      </c>
      <c r="Z451" s="53">
        <v>145.894252873563</v>
      </c>
      <c r="AA451" s="43">
        <v>2</v>
      </c>
      <c r="AB451" s="54">
        <v>0.97874022599445132</v>
      </c>
      <c r="AC451" s="55">
        <v>2.1259774005548657E-2</v>
      </c>
      <c r="AD451" s="752" t="e">
        <f>_xlfn.XLOOKUP(Table1[[#This Row],[Ruta]],#REF!,#REF!)</f>
        <v>#REF!</v>
      </c>
      <c r="AE451" s="752" t="e">
        <f>_xlfn.XLOOKUP(Table1[[#This Row],[Ruta]],#REF!,#REF!)</f>
        <v>#REF!</v>
      </c>
      <c r="AF451" s="752" t="e">
        <f>_xlfn.XLOOKUP(Table1[[#This Row],[Ruta]],#REF!,#REF!)</f>
        <v>#REF!</v>
      </c>
      <c r="AG451" s="752" t="e">
        <f>_xlfn.XLOOKUP(Table1[[#This Row],[Ruta]],#REF!,#REF!)</f>
        <v>#REF!</v>
      </c>
      <c r="AH451" s="52">
        <v>0.58287831344035845</v>
      </c>
      <c r="AI451" s="52">
        <v>0.41087821399698338</v>
      </c>
      <c r="AJ451" s="55">
        <v>6.2434725626581214E-3</v>
      </c>
      <c r="AK451" s="56">
        <v>63464</v>
      </c>
      <c r="AL451" s="44">
        <v>30698</v>
      </c>
      <c r="AM451" s="54">
        <v>0.48370729862599299</v>
      </c>
      <c r="AN451" s="55">
        <v>0.50214093649930203</v>
      </c>
      <c r="AO451" s="56">
        <v>1169.8723939916999</v>
      </c>
      <c r="AP451" s="48">
        <v>584.93619699584997</v>
      </c>
      <c r="AQ451" s="55">
        <v>0.49292411756264731</v>
      </c>
      <c r="AR451" s="51">
        <v>8474227.0899999999</v>
      </c>
      <c r="AS451" s="49">
        <v>161472.479200723</v>
      </c>
      <c r="AT451" s="55">
        <v>1.9054537657041123E-2</v>
      </c>
      <c r="AU451" s="51">
        <v>113467.14754645404</v>
      </c>
      <c r="AV451" s="52">
        <v>5.1617279188199354E-4</v>
      </c>
      <c r="AW451" s="44">
        <v>384</v>
      </c>
      <c r="AX451" s="51">
        <v>276.05143950745997</v>
      </c>
      <c r="AY451" s="49">
        <v>308.140122044046</v>
      </c>
      <c r="AZ451" s="49">
        <v>32.08868253658602</v>
      </c>
      <c r="BA451" s="42" t="s">
        <v>150</v>
      </c>
      <c r="BB451" s="50">
        <v>346101.59174609551</v>
      </c>
      <c r="BC451" s="57">
        <v>459568.73929254955</v>
      </c>
      <c r="BD451" s="42" t="s">
        <v>150</v>
      </c>
      <c r="BE451" s="46">
        <v>145.894252873563</v>
      </c>
      <c r="BF451" s="46">
        <v>83.628504672897193</v>
      </c>
      <c r="BG451" s="42" t="s">
        <v>150</v>
      </c>
      <c r="BH451" s="52">
        <v>0.48370729862599299</v>
      </c>
      <c r="BI451" s="52">
        <v>0.51187669456560203</v>
      </c>
      <c r="BJ451" s="42" t="s">
        <v>152</v>
      </c>
      <c r="BK451" s="46">
        <v>835.19822242298096</v>
      </c>
      <c r="BL451" s="46">
        <v>638.00354527981403</v>
      </c>
      <c r="BM451" s="42" t="s">
        <v>150</v>
      </c>
      <c r="BN451" s="48">
        <v>2</v>
      </c>
      <c r="BO451" s="42" t="s">
        <v>161</v>
      </c>
      <c r="BP451" s="42" t="s">
        <v>152</v>
      </c>
      <c r="BQ451" s="46">
        <v>0</v>
      </c>
      <c r="BR451" s="46">
        <v>244</v>
      </c>
      <c r="BS451" s="46">
        <v>6279</v>
      </c>
      <c r="BT451" s="46">
        <v>1918</v>
      </c>
      <c r="BU451" s="46">
        <v>3.2737226277372264</v>
      </c>
      <c r="BV451" s="46">
        <v>7.860655737704918</v>
      </c>
      <c r="BW451" s="46">
        <v>778</v>
      </c>
      <c r="BX451" s="46">
        <v>1070</v>
      </c>
      <c r="BY451" s="46">
        <v>1848</v>
      </c>
      <c r="BZ451" s="46">
        <v>0.96350364963503654</v>
      </c>
      <c r="CA451" s="46">
        <v>0.40563086548488009</v>
      </c>
      <c r="CB451" s="46">
        <v>0.5578727841501564</v>
      </c>
      <c r="CC451" s="46">
        <v>0</v>
      </c>
      <c r="CD451" s="46">
        <v>5.2137643378519288E-3</v>
      </c>
      <c r="CE451" s="46">
        <v>0</v>
      </c>
      <c r="CF451" s="46">
        <v>3.1282586027111578E-2</v>
      </c>
      <c r="CG451" s="46">
        <v>0</v>
      </c>
      <c r="CH451" s="46">
        <v>0</v>
      </c>
      <c r="CI451" s="46">
        <v>0.63704411530498484</v>
      </c>
      <c r="CJ451" s="46">
        <v>0.31852205765249242</v>
      </c>
      <c r="CK451">
        <v>518</v>
      </c>
      <c r="CL451">
        <v>588.87</v>
      </c>
      <c r="CM451">
        <f t="shared" si="49"/>
        <v>70.87</v>
      </c>
      <c r="CN451">
        <v>12.36</v>
      </c>
      <c r="CO451">
        <v>9.4499999999999993</v>
      </c>
      <c r="CP451">
        <f t="shared" si="50"/>
        <v>-2.91</v>
      </c>
      <c r="CQ451">
        <v>846.56</v>
      </c>
      <c r="CR451">
        <v>835.2</v>
      </c>
      <c r="CS451">
        <f t="shared" si="51"/>
        <v>11.3599999999999</v>
      </c>
      <c r="CT451" t="s">
        <v>150</v>
      </c>
      <c r="CU451">
        <v>133.27000000000001</v>
      </c>
      <c r="CV451">
        <v>451</v>
      </c>
      <c r="CW451" s="46">
        <v>1848</v>
      </c>
      <c r="CX451" s="46">
        <f t="shared" si="45"/>
        <v>92.655370177267997</v>
      </c>
      <c r="CY451" s="46">
        <v>70.87</v>
      </c>
      <c r="CZ451" s="46">
        <f t="shared" si="46"/>
        <v>96.350364963503651</v>
      </c>
      <c r="DA451" s="46">
        <f t="shared" si="47"/>
        <v>353.55283653531905</v>
      </c>
      <c r="DB451" s="46">
        <v>703170.63</v>
      </c>
      <c r="DC451" s="46">
        <f t="shared" si="48"/>
        <v>14.849975111495473</v>
      </c>
      <c r="DD451" s="46">
        <v>29534.67</v>
      </c>
      <c r="DE451" s="995">
        <v>1848</v>
      </c>
      <c r="DF451" s="995">
        <v>92.661000000000001</v>
      </c>
      <c r="DG451" s="995">
        <v>70.8</v>
      </c>
      <c r="DH451" s="995">
        <v>96.35</v>
      </c>
      <c r="DI451" s="995">
        <v>3634.7139999999999</v>
      </c>
      <c r="DJ451" s="995">
        <v>7228616</v>
      </c>
      <c r="DK451" s="995">
        <v>150.364</v>
      </c>
      <c r="DL451" s="995">
        <v>299038.7</v>
      </c>
      <c r="DM451" s="995">
        <v>1848</v>
      </c>
      <c r="DN451" s="995">
        <v>92.676000000000002</v>
      </c>
      <c r="DO451" s="995">
        <v>70.5</v>
      </c>
      <c r="DP451" s="995">
        <v>96.35</v>
      </c>
      <c r="DQ451" s="995">
        <v>3633.6689999999999</v>
      </c>
      <c r="DR451" s="995">
        <v>7225454</v>
      </c>
      <c r="DS451" s="995">
        <v>150.32400000000001</v>
      </c>
      <c r="DT451" s="995">
        <v>298914.7</v>
      </c>
    </row>
    <row r="452" spans="1:124">
      <c r="A452" s="42" t="s">
        <v>94</v>
      </c>
      <c r="B452" s="42" t="s">
        <v>549</v>
      </c>
      <c r="C452" s="42" t="s">
        <v>639</v>
      </c>
      <c r="D452" s="42">
        <v>820370</v>
      </c>
      <c r="E452" s="42" t="s">
        <v>670</v>
      </c>
      <c r="F452" s="42" t="s">
        <v>149</v>
      </c>
      <c r="G452" s="42" t="s">
        <v>150</v>
      </c>
      <c r="H452" s="43" t="s">
        <v>150</v>
      </c>
      <c r="I452" s="44">
        <v>63</v>
      </c>
      <c r="J452" s="45">
        <v>170093.17360000001</v>
      </c>
      <c r="K452" s="46">
        <v>10565.989536999999</v>
      </c>
      <c r="L452" s="47">
        <v>180659.163137</v>
      </c>
      <c r="M452" s="48">
        <v>3966138</v>
      </c>
      <c r="N452" s="49">
        <v>2486107</v>
      </c>
      <c r="O452" s="49">
        <v>1438726</v>
      </c>
      <c r="P452" s="49">
        <v>41305</v>
      </c>
      <c r="Q452" s="50">
        <v>9022.6006896551698</v>
      </c>
      <c r="R452" s="51">
        <v>23123.721873054299</v>
      </c>
      <c r="S452" s="49">
        <v>37603.729589071001</v>
      </c>
      <c r="T452" s="49">
        <v>8068.5083984801104</v>
      </c>
      <c r="U452" s="49">
        <f>IFERROR(INDEX('Rentabilidad datos'!$N$2:$N$61,MATCH($C452,'Rentabilidad datos'!$C$2:$C$61,0)),"")</f>
        <v>68795.959860605391</v>
      </c>
      <c r="V452" s="50">
        <f>IFERROR(INDEX('Rentabilidad datos'!$O$2:$O$61,MATCH($C452,'Rentabilidad datos'!$C$2:$C$61,0)),"")</f>
        <v>1166.0332179763625</v>
      </c>
      <c r="W452" s="51">
        <f>IFERROR(INDEX('Rentabilidad datos'!$M$2:$M$61,MATCH($C452,'Rentabilidad datos'!$C$2:$C$61,0)),"")</f>
        <v>3116.1708958203221</v>
      </c>
      <c r="X452" s="52">
        <f>IFERROR(INDEX('Rentabilidad datos'!$P$2:$P$61,MATCH($C452,'Rentabilidad datos'!$C$2:$C$61,0)),"")</f>
        <v>0.37418782761251868</v>
      </c>
      <c r="Y452" s="43" t="s">
        <v>171</v>
      </c>
      <c r="Z452" s="53">
        <v>85.383908045976995</v>
      </c>
      <c r="AA452" s="43">
        <v>2</v>
      </c>
      <c r="AB452" s="54">
        <v>0.95657841456852988</v>
      </c>
      <c r="AC452" s="55">
        <v>4.3421585431470108E-2</v>
      </c>
      <c r="AD452" s="752" t="e">
        <f>_xlfn.XLOOKUP(Table1[[#This Row],[Ruta]],#REF!,#REF!)</f>
        <v>#REF!</v>
      </c>
      <c r="AE452" s="752" t="e">
        <f>_xlfn.XLOOKUP(Table1[[#This Row],[Ruta]],#REF!,#REF!)</f>
        <v>#REF!</v>
      </c>
      <c r="AF452" s="752" t="e">
        <f>_xlfn.XLOOKUP(Table1[[#This Row],[Ruta]],#REF!,#REF!)</f>
        <v>#REF!</v>
      </c>
      <c r="AG452" s="752" t="e">
        <f>_xlfn.XLOOKUP(Table1[[#This Row],[Ruta]],#REF!,#REF!)</f>
        <v>#REF!</v>
      </c>
      <c r="AH452" s="52">
        <v>0.62683320650970797</v>
      </c>
      <c r="AI452" s="52">
        <v>0.36275238027521989</v>
      </c>
      <c r="AJ452" s="55">
        <v>1.0414413215072194E-2</v>
      </c>
      <c r="AK452" s="56">
        <v>37142</v>
      </c>
      <c r="AL452" s="44">
        <v>11939</v>
      </c>
      <c r="AM452" s="54">
        <v>0.321442033277691</v>
      </c>
      <c r="AN452" s="55">
        <v>0.50214093649930203</v>
      </c>
      <c r="AO452" s="56">
        <v>6711.51866345707</v>
      </c>
      <c r="AP452" s="48">
        <v>3355.759331728535</v>
      </c>
      <c r="AQ452" s="55">
        <v>0.41179148488849648</v>
      </c>
      <c r="AR452" s="51">
        <v>3924831.3</v>
      </c>
      <c r="AS452" s="49">
        <v>1103173.5706872649</v>
      </c>
      <c r="AT452" s="55">
        <v>0.28107541098320965</v>
      </c>
      <c r="AU452" s="51">
        <v>775203.04967213236</v>
      </c>
      <c r="AV452" s="52">
        <v>3.526472032452225E-3</v>
      </c>
      <c r="AW452" s="44">
        <v>77</v>
      </c>
      <c r="AX452" s="51">
        <v>328.74037189044299</v>
      </c>
      <c r="AY452" s="49">
        <v>308.140122044046</v>
      </c>
      <c r="AZ452" s="49">
        <v>0</v>
      </c>
      <c r="BA452" s="42" t="s">
        <v>152</v>
      </c>
      <c r="BB452" s="50">
        <v>0</v>
      </c>
      <c r="BC452" s="57">
        <v>775203.04967213236</v>
      </c>
      <c r="BD452" s="42" t="s">
        <v>150</v>
      </c>
      <c r="BE452" s="46">
        <v>85.383908045976995</v>
      </c>
      <c r="BF452" s="46">
        <v>83.628504672897193</v>
      </c>
      <c r="BG452" s="42" t="s">
        <v>150</v>
      </c>
      <c r="BH452" s="52">
        <v>0.321442033277691</v>
      </c>
      <c r="BI452" s="52">
        <v>0.51187669456560203</v>
      </c>
      <c r="BJ452" s="42" t="s">
        <v>152</v>
      </c>
      <c r="BK452" s="46">
        <v>415.30842100459699</v>
      </c>
      <c r="BL452" s="46">
        <v>638.00354527981403</v>
      </c>
      <c r="BM452" s="42" t="s">
        <v>152</v>
      </c>
      <c r="BN452" s="48">
        <v>1</v>
      </c>
      <c r="BO452" s="42" t="s">
        <v>155</v>
      </c>
      <c r="BP452" s="42" t="s">
        <v>152</v>
      </c>
      <c r="BQ452" s="46">
        <v>10797.903170510701</v>
      </c>
      <c r="BR452" s="46">
        <v>574</v>
      </c>
      <c r="BS452" s="46">
        <v>53365</v>
      </c>
      <c r="BT452" s="46">
        <v>15798</v>
      </c>
      <c r="BU452" s="46">
        <v>3.3779592353462462</v>
      </c>
      <c r="BV452" s="46">
        <v>27.522648083623693</v>
      </c>
      <c r="BW452" s="46">
        <v>0</v>
      </c>
      <c r="BX452" s="46">
        <v>2065</v>
      </c>
      <c r="BY452" s="46">
        <v>2065</v>
      </c>
      <c r="BZ452" s="46">
        <v>0.13071274844917077</v>
      </c>
      <c r="CA452" s="46">
        <v>0</v>
      </c>
      <c r="CB452" s="46">
        <v>0.1307127484491708</v>
      </c>
      <c r="CC452" s="46">
        <v>7.013546018483352E-2</v>
      </c>
      <c r="CD452" s="46">
        <v>6.7666793264970243E-2</v>
      </c>
      <c r="CE452" s="46">
        <v>5.3677680719078358E-2</v>
      </c>
      <c r="CF452" s="46">
        <v>0.67780731738194711</v>
      </c>
      <c r="CG452" s="46">
        <v>0</v>
      </c>
      <c r="CH452" s="46">
        <v>0</v>
      </c>
      <c r="CI452" s="46">
        <v>1.5365876510821703</v>
      </c>
      <c r="CJ452" s="46">
        <v>0.11243324276211</v>
      </c>
      <c r="CK452">
        <v>469</v>
      </c>
      <c r="CL452">
        <v>919.81</v>
      </c>
      <c r="CM452">
        <f t="shared" si="49"/>
        <v>450.80999999999995</v>
      </c>
      <c r="CN452">
        <v>8.77</v>
      </c>
      <c r="CO452">
        <v>9.4499999999999993</v>
      </c>
      <c r="CP452">
        <f t="shared" si="50"/>
        <v>0.67999999999999972</v>
      </c>
      <c r="CQ452">
        <v>846.56</v>
      </c>
      <c r="CR452">
        <v>415.31</v>
      </c>
      <c r="CS452">
        <f t="shared" si="51"/>
        <v>431.24999999999994</v>
      </c>
      <c r="CT452" t="s">
        <v>152</v>
      </c>
      <c r="CU452">
        <v>95.54</v>
      </c>
      <c r="CV452">
        <v>125</v>
      </c>
      <c r="CW452" s="46">
        <v>2065</v>
      </c>
      <c r="CX452" s="46">
        <f t="shared" si="45"/>
        <v>10.217685783010507</v>
      </c>
      <c r="CY452" s="46">
        <v>450.81</v>
      </c>
      <c r="CZ452" s="46">
        <f t="shared" si="46"/>
        <v>13.071274844917077</v>
      </c>
      <c r="DA452" s="46">
        <f t="shared" si="47"/>
        <v>247.91940886748014</v>
      </c>
      <c r="DB452" s="46">
        <v>4028395.37</v>
      </c>
      <c r="DC452" s="46">
        <f t="shared" si="48"/>
        <v>11.809503588262771</v>
      </c>
      <c r="DD452" s="46">
        <v>191890.38</v>
      </c>
      <c r="DE452" s="995">
        <v>2065</v>
      </c>
      <c r="DF452" s="995">
        <v>10.756</v>
      </c>
      <c r="DG452" s="995">
        <v>365.7</v>
      </c>
      <c r="DH452" s="995">
        <v>13.071</v>
      </c>
      <c r="DI452" s="995">
        <v>539.47500000000002</v>
      </c>
      <c r="DJ452" s="995">
        <v>8719915</v>
      </c>
      <c r="DK452" s="995">
        <v>25.045999999999999</v>
      </c>
      <c r="DL452" s="995">
        <v>404843.3</v>
      </c>
      <c r="DM452" s="995">
        <v>2065</v>
      </c>
      <c r="DN452" s="995">
        <v>10.795</v>
      </c>
      <c r="DO452" s="995">
        <v>359.7</v>
      </c>
      <c r="DP452" s="995">
        <v>13.071</v>
      </c>
      <c r="DQ452" s="995">
        <v>536.57399999999996</v>
      </c>
      <c r="DR452" s="995">
        <v>8669789</v>
      </c>
      <c r="DS452" s="995">
        <v>24.91</v>
      </c>
      <c r="DT452" s="995">
        <v>402480</v>
      </c>
    </row>
    <row r="453" spans="1:124">
      <c r="A453" s="42" t="s">
        <v>94</v>
      </c>
      <c r="B453" s="42" t="s">
        <v>549</v>
      </c>
      <c r="C453" s="42" t="s">
        <v>639</v>
      </c>
      <c r="D453" s="42">
        <v>820371</v>
      </c>
      <c r="E453" s="42" t="s">
        <v>671</v>
      </c>
      <c r="F453" s="42" t="s">
        <v>149</v>
      </c>
      <c r="G453" s="42" t="s">
        <v>150</v>
      </c>
      <c r="H453" s="43" t="s">
        <v>150</v>
      </c>
      <c r="I453" s="44">
        <v>63</v>
      </c>
      <c r="J453" s="45">
        <v>226514.97679999901</v>
      </c>
      <c r="K453" s="46">
        <v>9886.3905759999998</v>
      </c>
      <c r="L453" s="47">
        <v>236401.36737599899</v>
      </c>
      <c r="M453" s="48">
        <v>4807352</v>
      </c>
      <c r="N453" s="49">
        <v>3293954</v>
      </c>
      <c r="O453" s="49">
        <v>1490399</v>
      </c>
      <c r="P453" s="49">
        <v>22999</v>
      </c>
      <c r="Q453" s="50">
        <v>10973.280619266099</v>
      </c>
      <c r="R453" s="51">
        <v>23123.721873054299</v>
      </c>
      <c r="S453" s="49">
        <v>37603.729589071001</v>
      </c>
      <c r="T453" s="49">
        <v>8068.5083984801104</v>
      </c>
      <c r="U453" s="49">
        <f>IFERROR(INDEX('Rentabilidad datos'!$N$2:$N$61,MATCH($C453,'Rentabilidad datos'!$C$2:$C$61,0)),"")</f>
        <v>68795.959860605391</v>
      </c>
      <c r="V453" s="50">
        <f>IFERROR(INDEX('Rentabilidad datos'!$O$2:$O$61,MATCH($C453,'Rentabilidad datos'!$C$2:$C$61,0)),"")</f>
        <v>1166.0332179763625</v>
      </c>
      <c r="W453" s="51">
        <f>IFERROR(INDEX('Rentabilidad datos'!$M$2:$M$61,MATCH($C453,'Rentabilidad datos'!$C$2:$C$61,0)),"")</f>
        <v>3116.1708958203221</v>
      </c>
      <c r="X453" s="52">
        <f>IFERROR(INDEX('Rentabilidad datos'!$P$2:$P$61,MATCH($C453,'Rentabilidad datos'!$C$2:$C$61,0)),"")</f>
        <v>0.37418782761251868</v>
      </c>
      <c r="Y453" s="43" t="s">
        <v>171</v>
      </c>
      <c r="Z453" s="53">
        <v>129.44724770642199</v>
      </c>
      <c r="AA453" s="43">
        <v>2</v>
      </c>
      <c r="AB453" s="54">
        <v>0.95474722882784535</v>
      </c>
      <c r="AC453" s="55">
        <v>4.5252771172154649E-2</v>
      </c>
      <c r="AD453" s="752" t="e">
        <f>_xlfn.XLOOKUP(Table1[[#This Row],[Ruta]],#REF!,#REF!)</f>
        <v>#REF!</v>
      </c>
      <c r="AE453" s="752" t="e">
        <f>_xlfn.XLOOKUP(Table1[[#This Row],[Ruta]],#REF!,#REF!)</f>
        <v>#REF!</v>
      </c>
      <c r="AF453" s="752" t="e">
        <f>_xlfn.XLOOKUP(Table1[[#This Row],[Ruta]],#REF!,#REF!)</f>
        <v>#REF!</v>
      </c>
      <c r="AG453" s="752" t="e">
        <f>_xlfn.XLOOKUP(Table1[[#This Row],[Ruta]],#REF!,#REF!)</f>
        <v>#REF!</v>
      </c>
      <c r="AH453" s="52">
        <v>0.68519093255496999</v>
      </c>
      <c r="AI453" s="52">
        <v>0.31002493680512683</v>
      </c>
      <c r="AJ453" s="55">
        <v>4.7841306399032148E-3</v>
      </c>
      <c r="AK453" s="56">
        <v>56439</v>
      </c>
      <c r="AL453" s="44">
        <v>23609</v>
      </c>
      <c r="AM453" s="54">
        <v>0.41831003384184701</v>
      </c>
      <c r="AN453" s="55">
        <v>0.50214093649930203</v>
      </c>
      <c r="AO453" s="56">
        <v>4731.3323150840997</v>
      </c>
      <c r="AP453" s="48">
        <v>2365.6661575420499</v>
      </c>
      <c r="AQ453" s="55">
        <v>0.46022548517057443</v>
      </c>
      <c r="AR453" s="51">
        <v>4784350.3499999996</v>
      </c>
      <c r="AS453" s="49">
        <v>479400.89410053252</v>
      </c>
      <c r="AT453" s="55">
        <v>0.10020187884035971</v>
      </c>
      <c r="AU453" s="51">
        <v>336876.30396253651</v>
      </c>
      <c r="AV453" s="52">
        <v>1.5324821862120008E-3</v>
      </c>
      <c r="AW453" s="44">
        <v>218</v>
      </c>
      <c r="AX453" s="51">
        <v>202.64942818416699</v>
      </c>
      <c r="AY453" s="49">
        <v>308.140122044046</v>
      </c>
      <c r="AZ453" s="49">
        <v>105.490693859879</v>
      </c>
      <c r="BA453" s="42" t="s">
        <v>150</v>
      </c>
      <c r="BB453" s="50">
        <v>875051.00776736485</v>
      </c>
      <c r="BC453" s="57">
        <v>1211927.3117299015</v>
      </c>
      <c r="BD453" s="42" t="s">
        <v>150</v>
      </c>
      <c r="BE453" s="46">
        <v>129.44724770642199</v>
      </c>
      <c r="BF453" s="46">
        <v>83.628504672897193</v>
      </c>
      <c r="BG453" s="42" t="s">
        <v>150</v>
      </c>
      <c r="BH453" s="52">
        <v>0.41831003384184701</v>
      </c>
      <c r="BI453" s="52">
        <v>0.51187669456560203</v>
      </c>
      <c r="BJ453" s="42" t="s">
        <v>152</v>
      </c>
      <c r="BK453" s="46">
        <v>542.204971045869</v>
      </c>
      <c r="BL453" s="46">
        <v>638.00354527981403</v>
      </c>
      <c r="BM453" s="42" t="s">
        <v>152</v>
      </c>
      <c r="BN453" s="48">
        <v>1</v>
      </c>
      <c r="BO453" s="42" t="s">
        <v>155</v>
      </c>
      <c r="BP453" s="42" t="s">
        <v>152</v>
      </c>
      <c r="BQ453" s="46">
        <v>127.043732887742</v>
      </c>
      <c r="BR453" s="46">
        <v>151</v>
      </c>
      <c r="BS453" s="46">
        <v>15385</v>
      </c>
      <c r="BT453" s="46">
        <v>4973</v>
      </c>
      <c r="BU453" s="46">
        <v>3.0937060124673237</v>
      </c>
      <c r="BV453" s="46">
        <v>32.933774834437088</v>
      </c>
      <c r="BW453" s="46">
        <v>0</v>
      </c>
      <c r="BX453" s="46">
        <v>2241</v>
      </c>
      <c r="BY453" s="46">
        <v>2241</v>
      </c>
      <c r="BZ453" s="46">
        <v>0.45063342047054095</v>
      </c>
      <c r="CA453" s="46">
        <v>0</v>
      </c>
      <c r="CB453" s="46">
        <v>0.45063342047054095</v>
      </c>
      <c r="CC453" s="46">
        <v>0.15825457470339829</v>
      </c>
      <c r="CD453" s="46">
        <v>0.39111200482606068</v>
      </c>
      <c r="CE453" s="46">
        <v>0</v>
      </c>
      <c r="CF453" s="46">
        <v>0</v>
      </c>
      <c r="CG453" s="46">
        <v>0</v>
      </c>
      <c r="CH453" s="46">
        <v>0</v>
      </c>
      <c r="CI453" s="46">
        <v>2.2749431264218392</v>
      </c>
      <c r="CJ453" s="46">
        <v>0.32499187520312001</v>
      </c>
      <c r="CK453">
        <v>596</v>
      </c>
      <c r="CL453">
        <v>609.5</v>
      </c>
      <c r="CM453">
        <f t="shared" si="49"/>
        <v>13.5</v>
      </c>
      <c r="CN453">
        <v>15.23</v>
      </c>
      <c r="CO453">
        <v>9.4499999999999993</v>
      </c>
      <c r="CP453">
        <f t="shared" si="50"/>
        <v>-5.7800000000000011</v>
      </c>
      <c r="CQ453">
        <v>846.56</v>
      </c>
      <c r="CR453">
        <v>542.20000000000005</v>
      </c>
      <c r="CS453">
        <f t="shared" si="51"/>
        <v>304.3599999999999</v>
      </c>
      <c r="CT453" t="s">
        <v>150</v>
      </c>
      <c r="CU453">
        <v>161.13999999999999</v>
      </c>
      <c r="CV453">
        <v>404</v>
      </c>
      <c r="CW453" s="46">
        <v>2241</v>
      </c>
      <c r="CX453" s="46">
        <f t="shared" si="45"/>
        <v>44.791876131107983</v>
      </c>
      <c r="CY453" s="46">
        <v>13.5</v>
      </c>
      <c r="CZ453" s="46">
        <f t="shared" si="46"/>
        <v>45.063342047054093</v>
      </c>
      <c r="DA453" s="46">
        <f t="shared" si="47"/>
        <v>305.27248571142081</v>
      </c>
      <c r="DB453" s="46">
        <v>1522241.25</v>
      </c>
      <c r="DC453" s="46">
        <f t="shared" si="48"/>
        <v>14.972973027173367</v>
      </c>
      <c r="DD453" s="46">
        <v>74662.73</v>
      </c>
      <c r="DE453" s="995">
        <v>2241</v>
      </c>
      <c r="DF453" s="995">
        <v>44.655999999999999</v>
      </c>
      <c r="DG453" s="995">
        <v>20.3</v>
      </c>
      <c r="DH453" s="995">
        <v>45.063000000000002</v>
      </c>
      <c r="DI453" s="995">
        <v>1267.768</v>
      </c>
      <c r="DJ453" s="995">
        <v>6330312</v>
      </c>
      <c r="DK453" s="995">
        <v>60.93</v>
      </c>
      <c r="DL453" s="995">
        <v>304240.8</v>
      </c>
      <c r="DM453" s="995">
        <v>2241</v>
      </c>
      <c r="DN453" s="995">
        <v>44.713999999999999</v>
      </c>
      <c r="DO453" s="995">
        <v>17.399999999999999</v>
      </c>
      <c r="DP453" s="995">
        <v>45.063000000000002</v>
      </c>
      <c r="DQ453" s="995">
        <v>1263.836</v>
      </c>
      <c r="DR453" s="995">
        <v>6306992</v>
      </c>
      <c r="DS453" s="995">
        <v>60.741</v>
      </c>
      <c r="DT453" s="995">
        <v>303118.5</v>
      </c>
    </row>
    <row r="454" spans="1:124">
      <c r="A454" s="42" t="s">
        <v>94</v>
      </c>
      <c r="B454" s="42" t="s">
        <v>549</v>
      </c>
      <c r="C454" s="42" t="s">
        <v>639</v>
      </c>
      <c r="D454" s="42">
        <v>820372</v>
      </c>
      <c r="E454" s="42" t="s">
        <v>672</v>
      </c>
      <c r="F454" s="42" t="s">
        <v>149</v>
      </c>
      <c r="G454" s="42" t="s">
        <v>150</v>
      </c>
      <c r="H454" s="43" t="s">
        <v>150</v>
      </c>
      <c r="I454" s="44">
        <v>63</v>
      </c>
      <c r="J454" s="45">
        <v>269643.24239999801</v>
      </c>
      <c r="K454" s="46">
        <v>13787.777364</v>
      </c>
      <c r="L454" s="47">
        <v>283431.01976399799</v>
      </c>
      <c r="M454" s="48">
        <v>5840378</v>
      </c>
      <c r="N454" s="49">
        <v>3937657</v>
      </c>
      <c r="O454" s="49">
        <v>1836467</v>
      </c>
      <c r="P454" s="49">
        <v>66254</v>
      </c>
      <c r="Q454" s="50">
        <v>13155.0675342466</v>
      </c>
      <c r="R454" s="51">
        <v>23123.721873054299</v>
      </c>
      <c r="S454" s="49">
        <v>37603.729589071001</v>
      </c>
      <c r="T454" s="49">
        <v>8068.5083984801104</v>
      </c>
      <c r="U454" s="49">
        <f>IFERROR(INDEX('Rentabilidad datos'!$N$2:$N$61,MATCH($C454,'Rentabilidad datos'!$C$2:$C$61,0)),"")</f>
        <v>68795.959860605391</v>
      </c>
      <c r="V454" s="50">
        <f>IFERROR(INDEX('Rentabilidad datos'!$O$2:$O$61,MATCH($C454,'Rentabilidad datos'!$C$2:$C$61,0)),"")</f>
        <v>1166.0332179763625</v>
      </c>
      <c r="W454" s="51">
        <f>IFERROR(INDEX('Rentabilidad datos'!$M$2:$M$61,MATCH($C454,'Rentabilidad datos'!$C$2:$C$61,0)),"")</f>
        <v>3116.1708958203221</v>
      </c>
      <c r="X454" s="52">
        <f>IFERROR(INDEX('Rentabilidad datos'!$P$2:$P$61,MATCH($C454,'Rentabilidad datos'!$C$2:$C$61,0)),"")</f>
        <v>0.37418782761251868</v>
      </c>
      <c r="Y454" s="43" t="s">
        <v>171</v>
      </c>
      <c r="Z454" s="53">
        <v>116.942922374429</v>
      </c>
      <c r="AA454" s="43">
        <v>2</v>
      </c>
      <c r="AB454" s="54">
        <v>0.96723619601334021</v>
      </c>
      <c r="AC454" s="55">
        <v>3.2763803986659769E-2</v>
      </c>
      <c r="AD454" s="752" t="e">
        <f>_xlfn.XLOOKUP(Table1[[#This Row],[Ruta]],#REF!,#REF!)</f>
        <v>#REF!</v>
      </c>
      <c r="AE454" s="752" t="e">
        <f>_xlfn.XLOOKUP(Table1[[#This Row],[Ruta]],#REF!,#REF!)</f>
        <v>#REF!</v>
      </c>
      <c r="AF454" s="752" t="e">
        <f>_xlfn.XLOOKUP(Table1[[#This Row],[Ruta]],#REF!,#REF!)</f>
        <v>#REF!</v>
      </c>
      <c r="AG454" s="752" t="e">
        <f>_xlfn.XLOOKUP(Table1[[#This Row],[Ruta]],#REF!,#REF!)</f>
        <v>#REF!</v>
      </c>
      <c r="AH454" s="52">
        <v>0.67421269650697269</v>
      </c>
      <c r="AI454" s="52">
        <v>0.31444317473971717</v>
      </c>
      <c r="AJ454" s="55">
        <v>1.1344128753310145E-2</v>
      </c>
      <c r="AK454" s="56">
        <v>51221</v>
      </c>
      <c r="AL454" s="44">
        <v>25308</v>
      </c>
      <c r="AM454" s="54">
        <v>0.49409421916791901</v>
      </c>
      <c r="AN454" s="55">
        <v>0.50214093649930203</v>
      </c>
      <c r="AO454" s="56">
        <v>412.16090843074198</v>
      </c>
      <c r="AP454" s="48">
        <v>206.08045421537099</v>
      </c>
      <c r="AQ454" s="55">
        <v>0.49811757783361066</v>
      </c>
      <c r="AR454" s="51">
        <v>5761919.5800000001</v>
      </c>
      <c r="AS454" s="49">
        <v>46918.721518841499</v>
      </c>
      <c r="AT454" s="55">
        <v>8.1428976693287171E-3</v>
      </c>
      <c r="AU454" s="51">
        <v>32969.912418645392</v>
      </c>
      <c r="AV454" s="52">
        <v>1.4998325162152927E-4</v>
      </c>
      <c r="AW454" s="44">
        <v>447</v>
      </c>
      <c r="AX454" s="51">
        <v>227.671865813182</v>
      </c>
      <c r="AY454" s="49">
        <v>308.140122044046</v>
      </c>
      <c r="AZ454" s="49">
        <v>80.468256230864</v>
      </c>
      <c r="BA454" s="42" t="s">
        <v>150</v>
      </c>
      <c r="BB454" s="50">
        <v>715523.73440484295</v>
      </c>
      <c r="BC454" s="57">
        <v>748493.64682348829</v>
      </c>
      <c r="BD454" s="42" t="s">
        <v>150</v>
      </c>
      <c r="BE454" s="46">
        <v>116.942922374429</v>
      </c>
      <c r="BF454" s="46">
        <v>83.628504672897193</v>
      </c>
      <c r="BG454" s="42" t="s">
        <v>150</v>
      </c>
      <c r="BH454" s="52">
        <v>0.49409421916791901</v>
      </c>
      <c r="BI454" s="52">
        <v>0.51187669456560203</v>
      </c>
      <c r="BJ454" s="42" t="s">
        <v>152</v>
      </c>
      <c r="BK454" s="46">
        <v>647.10278484931098</v>
      </c>
      <c r="BL454" s="46">
        <v>638.00354527981403</v>
      </c>
      <c r="BM454" s="42" t="s">
        <v>150</v>
      </c>
      <c r="BN454" s="48">
        <v>2</v>
      </c>
      <c r="BO454" s="42" t="s">
        <v>161</v>
      </c>
      <c r="BP454" s="42" t="s">
        <v>152</v>
      </c>
      <c r="BQ454" s="46">
        <v>0</v>
      </c>
      <c r="BR454" s="46">
        <v>54</v>
      </c>
      <c r="BS454" s="46">
        <v>4898</v>
      </c>
      <c r="BT454" s="46">
        <v>1576</v>
      </c>
      <c r="BU454" s="46">
        <v>3.1078680203045685</v>
      </c>
      <c r="BV454" s="46">
        <v>29.185185185185187</v>
      </c>
      <c r="BW454" s="46">
        <v>0</v>
      </c>
      <c r="BX454" s="46">
        <v>1436</v>
      </c>
      <c r="BY454" s="46">
        <v>1436</v>
      </c>
      <c r="BZ454" s="46">
        <v>0.91116751269035534</v>
      </c>
      <c r="CA454" s="46">
        <v>0</v>
      </c>
      <c r="CB454" s="46">
        <v>0.91116751269035534</v>
      </c>
      <c r="CC454" s="46">
        <v>8.8832487309644673E-2</v>
      </c>
      <c r="CD454" s="46">
        <v>0</v>
      </c>
      <c r="CE454" s="46">
        <v>0</v>
      </c>
      <c r="CF454" s="46">
        <v>0</v>
      </c>
      <c r="CG454" s="46">
        <v>0</v>
      </c>
      <c r="CH454" s="46">
        <v>0</v>
      </c>
      <c r="CI454" s="46">
        <v>1.020824826459779</v>
      </c>
      <c r="CJ454" s="46">
        <v>0.81665986116782363</v>
      </c>
      <c r="CK454">
        <v>286</v>
      </c>
      <c r="CL454">
        <v>404.24</v>
      </c>
      <c r="CM454">
        <f t="shared" si="49"/>
        <v>118.24000000000001</v>
      </c>
      <c r="CN454">
        <v>10.94</v>
      </c>
      <c r="CO454">
        <v>9.4499999999999993</v>
      </c>
      <c r="CP454">
        <f t="shared" si="50"/>
        <v>-1.4900000000000002</v>
      </c>
      <c r="CQ454">
        <v>846.56</v>
      </c>
      <c r="CR454">
        <v>647.1</v>
      </c>
      <c r="CS454">
        <f t="shared" si="51"/>
        <v>199.45999999999992</v>
      </c>
      <c r="CT454" t="s">
        <v>150</v>
      </c>
      <c r="CU454">
        <v>122.5</v>
      </c>
      <c r="CV454">
        <v>284</v>
      </c>
      <c r="CW454" s="46">
        <v>1436</v>
      </c>
      <c r="CX454" s="46">
        <f t="shared" ref="CX454:CX517" si="52">((CW454-CY454)/BT454)*100</f>
        <v>83.614213197969548</v>
      </c>
      <c r="CY454" s="46">
        <v>118.24</v>
      </c>
      <c r="CZ454" s="46">
        <f t="shared" ref="CZ454:CZ517" si="53">((CW454)/BT454)*100</f>
        <v>91.116751269035532</v>
      </c>
      <c r="DA454" s="46">
        <f t="shared" ref="DA454:DA517" si="54">DB454/(CY454+BT454)</f>
        <v>792.97734677495509</v>
      </c>
      <c r="DB454" s="46">
        <v>1343493.94</v>
      </c>
      <c r="DC454" s="46">
        <f t="shared" ref="DC454:DC517" si="55">DD454/(CY454+BT454)</f>
        <v>38.219130701671546</v>
      </c>
      <c r="DD454" s="46">
        <v>64752.38</v>
      </c>
      <c r="DE454" s="995">
        <v>1436</v>
      </c>
      <c r="DF454" s="995">
        <v>83.728999999999999</v>
      </c>
      <c r="DG454" s="995">
        <v>116.4</v>
      </c>
      <c r="DH454" s="995">
        <v>91.117000000000004</v>
      </c>
      <c r="DI454" s="995">
        <v>2399.1790000000001</v>
      </c>
      <c r="DJ454" s="995">
        <v>4060461</v>
      </c>
      <c r="DK454" s="995">
        <v>115.111</v>
      </c>
      <c r="DL454" s="995">
        <v>194817.7</v>
      </c>
      <c r="DM454" s="995">
        <v>1436</v>
      </c>
      <c r="DN454" s="995">
        <v>84.072000000000003</v>
      </c>
      <c r="DO454" s="995">
        <v>111</v>
      </c>
      <c r="DP454" s="995">
        <v>91.117000000000004</v>
      </c>
      <c r="DQ454" s="995">
        <v>2379.63</v>
      </c>
      <c r="DR454" s="995">
        <v>4014510</v>
      </c>
      <c r="DS454" s="995">
        <v>114.14400000000001</v>
      </c>
      <c r="DT454" s="995">
        <v>192564.5</v>
      </c>
    </row>
    <row r="455" spans="1:124">
      <c r="A455" s="42" t="s">
        <v>94</v>
      </c>
      <c r="B455" s="42" t="s">
        <v>549</v>
      </c>
      <c r="C455" s="42" t="s">
        <v>639</v>
      </c>
      <c r="D455" s="42">
        <v>820373</v>
      </c>
      <c r="E455" s="42" t="s">
        <v>673</v>
      </c>
      <c r="F455" s="42" t="s">
        <v>149</v>
      </c>
      <c r="G455" s="42" t="s">
        <v>150</v>
      </c>
      <c r="H455" s="43" t="s">
        <v>150</v>
      </c>
      <c r="I455" s="44">
        <v>63</v>
      </c>
      <c r="J455" s="45">
        <v>326882.24239999801</v>
      </c>
      <c r="K455" s="46">
        <v>16555.541675</v>
      </c>
      <c r="L455" s="47">
        <v>343437.784074998</v>
      </c>
      <c r="M455" s="48">
        <v>6919689</v>
      </c>
      <c r="N455" s="49">
        <v>4738106</v>
      </c>
      <c r="O455" s="49">
        <v>2126250</v>
      </c>
      <c r="P455" s="49">
        <v>55333</v>
      </c>
      <c r="Q455" s="50">
        <v>15853.013926097001</v>
      </c>
      <c r="R455" s="51">
        <v>23123.721873054299</v>
      </c>
      <c r="S455" s="49">
        <v>37603.729589071001</v>
      </c>
      <c r="T455" s="49">
        <v>8068.5083984801104</v>
      </c>
      <c r="U455" s="49">
        <f>IFERROR(INDEX('Rentabilidad datos'!$N$2:$N$61,MATCH($C455,'Rentabilidad datos'!$C$2:$C$61,0)),"")</f>
        <v>68795.959860605391</v>
      </c>
      <c r="V455" s="50">
        <f>IFERROR(INDEX('Rentabilidad datos'!$O$2:$O$61,MATCH($C455,'Rentabilidad datos'!$C$2:$C$61,0)),"")</f>
        <v>1166.0332179763625</v>
      </c>
      <c r="W455" s="51">
        <f>IFERROR(INDEX('Rentabilidad datos'!$M$2:$M$61,MATCH($C455,'Rentabilidad datos'!$C$2:$C$61,0)),"")</f>
        <v>3116.1708958203221</v>
      </c>
      <c r="X455" s="52">
        <f>IFERROR(INDEX('Rentabilidad datos'!$P$2:$P$61,MATCH($C455,'Rentabilidad datos'!$C$2:$C$61,0)),"")</f>
        <v>0.37418782761251868</v>
      </c>
      <c r="Y455" s="43" t="s">
        <v>171</v>
      </c>
      <c r="Z455" s="53">
        <v>166.030023094688</v>
      </c>
      <c r="AA455" s="43">
        <v>2</v>
      </c>
      <c r="AB455" s="54">
        <v>0.98119106219947172</v>
      </c>
      <c r="AC455" s="55">
        <v>1.8808937800528319E-2</v>
      </c>
      <c r="AD455" s="752" t="e">
        <f>_xlfn.XLOOKUP(Table1[[#This Row],[Ruta]],#REF!,#REF!)</f>
        <v>#REF!</v>
      </c>
      <c r="AE455" s="752" t="e">
        <f>_xlfn.XLOOKUP(Table1[[#This Row],[Ruta]],#REF!,#REF!)</f>
        <v>#REF!</v>
      </c>
      <c r="AF455" s="752" t="e">
        <f>_xlfn.XLOOKUP(Table1[[#This Row],[Ruta]],#REF!,#REF!)</f>
        <v>#REF!</v>
      </c>
      <c r="AG455" s="752" t="e">
        <f>_xlfn.XLOOKUP(Table1[[#This Row],[Ruta]],#REF!,#REF!)</f>
        <v>#REF!</v>
      </c>
      <c r="AH455" s="52">
        <v>0.68472817203200897</v>
      </c>
      <c r="AI455" s="52">
        <v>0.3072753703237241</v>
      </c>
      <c r="AJ455" s="55">
        <v>7.9964576442669612E-3</v>
      </c>
      <c r="AK455" s="56">
        <v>71891</v>
      </c>
      <c r="AL455" s="44">
        <v>33897</v>
      </c>
      <c r="AM455" s="54">
        <v>0.47150547356414602</v>
      </c>
      <c r="AN455" s="55">
        <v>0.50214093649930203</v>
      </c>
      <c r="AO455" s="56">
        <v>2202.41406587132</v>
      </c>
      <c r="AP455" s="48">
        <v>1101.20703293566</v>
      </c>
      <c r="AQ455" s="55">
        <v>0.48682320503172383</v>
      </c>
      <c r="AR455" s="51">
        <v>6864355.0300000003</v>
      </c>
      <c r="AS455" s="49">
        <v>223001.32860144699</v>
      </c>
      <c r="AT455" s="55">
        <v>3.2486858215643163E-2</v>
      </c>
      <c r="AU455" s="51">
        <v>156703.63631453039</v>
      </c>
      <c r="AV455" s="52">
        <v>7.1285967087007709E-4</v>
      </c>
      <c r="AW455" s="44">
        <v>343</v>
      </c>
      <c r="AX455" s="51">
        <v>202.50626987639001</v>
      </c>
      <c r="AY455" s="49">
        <v>308.140122044046</v>
      </c>
      <c r="AZ455" s="49">
        <v>105.63385216765599</v>
      </c>
      <c r="BA455" s="42" t="s">
        <v>150</v>
      </c>
      <c r="BB455" s="50">
        <v>1258073.4845959856</v>
      </c>
      <c r="BC455" s="57">
        <v>1414777.120910516</v>
      </c>
      <c r="BD455" s="42" t="s">
        <v>150</v>
      </c>
      <c r="BE455" s="46">
        <v>166.030023094688</v>
      </c>
      <c r="BF455" s="46">
        <v>83.628504672897193</v>
      </c>
      <c r="BG455" s="42" t="s">
        <v>150</v>
      </c>
      <c r="BH455" s="52">
        <v>0.47150547356414602</v>
      </c>
      <c r="BI455" s="52">
        <v>0.51187669456560203</v>
      </c>
      <c r="BJ455" s="42" t="s">
        <v>152</v>
      </c>
      <c r="BK455" s="46">
        <v>793.15885467666897</v>
      </c>
      <c r="BL455" s="46">
        <v>638.00354527981403</v>
      </c>
      <c r="BM455" s="42" t="s">
        <v>150</v>
      </c>
      <c r="BN455" s="48">
        <v>2</v>
      </c>
      <c r="BO455" s="42" t="s">
        <v>161</v>
      </c>
      <c r="BP455" s="42" t="s">
        <v>152</v>
      </c>
      <c r="BQ455" s="46">
        <v>0</v>
      </c>
      <c r="BR455" s="46">
        <v>60</v>
      </c>
      <c r="BS455" s="46">
        <v>8920</v>
      </c>
      <c r="BT455" s="46">
        <v>2830</v>
      </c>
      <c r="BU455" s="46">
        <v>3.1519434628975267</v>
      </c>
      <c r="BV455" s="46">
        <v>47.166666666666664</v>
      </c>
      <c r="BW455" s="46">
        <v>0</v>
      </c>
      <c r="BX455" s="46">
        <v>2830</v>
      </c>
      <c r="BY455" s="46">
        <v>2830</v>
      </c>
      <c r="BZ455" s="46">
        <v>1</v>
      </c>
      <c r="CA455" s="46">
        <v>0</v>
      </c>
      <c r="CB455" s="46">
        <v>1</v>
      </c>
      <c r="CC455" s="46">
        <v>0</v>
      </c>
      <c r="CD455" s="46">
        <v>0</v>
      </c>
      <c r="CE455" s="46">
        <v>0</v>
      </c>
      <c r="CF455" s="46">
        <v>0</v>
      </c>
      <c r="CG455" s="46">
        <v>0</v>
      </c>
      <c r="CH455" s="46">
        <v>0</v>
      </c>
      <c r="CI455" s="46">
        <v>1.121076233183856</v>
      </c>
      <c r="CJ455" s="46">
        <v>0.33632286995515698</v>
      </c>
      <c r="CK455">
        <v>635</v>
      </c>
      <c r="CL455">
        <v>731.17</v>
      </c>
      <c r="CM455">
        <f t="shared" si="49"/>
        <v>96.169999999999959</v>
      </c>
      <c r="CN455">
        <v>15.69</v>
      </c>
      <c r="CO455">
        <v>9.4499999999999993</v>
      </c>
      <c r="CP455">
        <f t="shared" si="50"/>
        <v>-6.24</v>
      </c>
      <c r="CQ455">
        <v>846.56</v>
      </c>
      <c r="CR455">
        <v>793.16</v>
      </c>
      <c r="CS455">
        <f t="shared" si="51"/>
        <v>53.399999999999977</v>
      </c>
      <c r="CT455" t="s">
        <v>150</v>
      </c>
      <c r="CU455">
        <v>166.03</v>
      </c>
      <c r="CV455">
        <v>629</v>
      </c>
      <c r="CW455" s="46">
        <v>2830</v>
      </c>
      <c r="CX455" s="46">
        <f t="shared" si="52"/>
        <v>96.601766784452295</v>
      </c>
      <c r="CY455" s="46">
        <v>96.17</v>
      </c>
      <c r="CZ455" s="46">
        <f t="shared" si="53"/>
        <v>100</v>
      </c>
      <c r="DA455" s="46">
        <f t="shared" si="54"/>
        <v>668.15195972892889</v>
      </c>
      <c r="DB455" s="46">
        <v>1955126.22</v>
      </c>
      <c r="DC455" s="46">
        <f t="shared" si="55"/>
        <v>31.887682533824076</v>
      </c>
      <c r="DD455" s="46">
        <v>93308.78</v>
      </c>
      <c r="DE455" s="995">
        <v>2830</v>
      </c>
      <c r="DF455" s="995">
        <v>96.36</v>
      </c>
      <c r="DG455" s="995">
        <v>103</v>
      </c>
      <c r="DH455" s="995">
        <v>100</v>
      </c>
      <c r="DI455" s="995">
        <v>2517.42</v>
      </c>
      <c r="DJ455" s="995">
        <v>7383628</v>
      </c>
      <c r="DK455" s="995">
        <v>120.482</v>
      </c>
      <c r="DL455" s="995">
        <v>353374.8</v>
      </c>
      <c r="DM455" s="995">
        <v>2830</v>
      </c>
      <c r="DN455" s="995">
        <v>96.403000000000006</v>
      </c>
      <c r="DO455" s="995">
        <v>101.8</v>
      </c>
      <c r="DP455" s="995">
        <v>100</v>
      </c>
      <c r="DQ455" s="995">
        <v>2514.922</v>
      </c>
      <c r="DR455" s="995">
        <v>7373263</v>
      </c>
      <c r="DS455" s="995">
        <v>120.36</v>
      </c>
      <c r="DT455" s="995">
        <v>352871.6</v>
      </c>
    </row>
    <row r="456" spans="1:124">
      <c r="A456" s="42" t="s">
        <v>94</v>
      </c>
      <c r="B456" s="42" t="s">
        <v>549</v>
      </c>
      <c r="C456" s="42" t="s">
        <v>639</v>
      </c>
      <c r="D456" s="42">
        <v>820374</v>
      </c>
      <c r="E456" s="42" t="s">
        <v>674</v>
      </c>
      <c r="F456" s="42" t="s">
        <v>149</v>
      </c>
      <c r="G456" s="42" t="s">
        <v>150</v>
      </c>
      <c r="H456" s="43" t="s">
        <v>150</v>
      </c>
      <c r="I456" s="44">
        <v>63</v>
      </c>
      <c r="J456" s="45">
        <v>209765.96479999999</v>
      </c>
      <c r="K456" s="46">
        <v>7213.2762910000001</v>
      </c>
      <c r="L456" s="47">
        <v>216979.241091</v>
      </c>
      <c r="M456" s="48">
        <v>4027402</v>
      </c>
      <c r="N456" s="49">
        <v>3042742</v>
      </c>
      <c r="O456" s="49">
        <v>974912</v>
      </c>
      <c r="P456" s="49">
        <v>9748</v>
      </c>
      <c r="Q456" s="50">
        <v>9235.97979310345</v>
      </c>
      <c r="R456" s="51">
        <v>23123.721873054299</v>
      </c>
      <c r="S456" s="49">
        <v>37603.729589071001</v>
      </c>
      <c r="T456" s="49">
        <v>8068.5083984801104</v>
      </c>
      <c r="U456" s="49">
        <f>IFERROR(INDEX('Rentabilidad datos'!$N$2:$N$61,MATCH($C456,'Rentabilidad datos'!$C$2:$C$61,0)),"")</f>
        <v>68795.959860605391</v>
      </c>
      <c r="V456" s="50">
        <f>IFERROR(INDEX('Rentabilidad datos'!$O$2:$O$61,MATCH($C456,'Rentabilidad datos'!$C$2:$C$61,0)),"")</f>
        <v>1166.0332179763625</v>
      </c>
      <c r="W456" s="51">
        <f>IFERROR(INDEX('Rentabilidad datos'!$M$2:$M$61,MATCH($C456,'Rentabilidad datos'!$C$2:$C$61,0)),"")</f>
        <v>3116.1708958203221</v>
      </c>
      <c r="X456" s="52">
        <f>IFERROR(INDEX('Rentabilidad datos'!$P$2:$P$61,MATCH($C456,'Rentabilidad datos'!$C$2:$C$61,0)),"")</f>
        <v>0.37418782761251868</v>
      </c>
      <c r="Y456" s="43" t="s">
        <v>171</v>
      </c>
      <c r="Z456" s="53">
        <v>74.7747126436782</v>
      </c>
      <c r="AA456" s="43">
        <v>2</v>
      </c>
      <c r="AB456" s="54">
        <v>0.93372898955703953</v>
      </c>
      <c r="AC456" s="55">
        <v>6.6271010442960493E-2</v>
      </c>
      <c r="AD456" s="752" t="e">
        <f>_xlfn.XLOOKUP(Table1[[#This Row],[Ruta]],#REF!,#REF!)</f>
        <v>#REF!</v>
      </c>
      <c r="AE456" s="752" t="e">
        <f>_xlfn.XLOOKUP(Table1[[#This Row],[Ruta]],#REF!,#REF!)</f>
        <v>#REF!</v>
      </c>
      <c r="AF456" s="752" t="e">
        <f>_xlfn.XLOOKUP(Table1[[#This Row],[Ruta]],#REF!,#REF!)</f>
        <v>#REF!</v>
      </c>
      <c r="AG456" s="752" t="e">
        <f>_xlfn.XLOOKUP(Table1[[#This Row],[Ruta]],#REF!,#REF!)</f>
        <v>#REF!</v>
      </c>
      <c r="AH456" s="52">
        <v>0.7555098795700057</v>
      </c>
      <c r="AI456" s="52">
        <v>0.24206970150980706</v>
      </c>
      <c r="AJ456" s="55">
        <v>2.4204189201872573E-3</v>
      </c>
      <c r="AK456" s="56">
        <v>32527</v>
      </c>
      <c r="AL456" s="44">
        <v>18663</v>
      </c>
      <c r="AM456" s="54">
        <v>0.57376948381344695</v>
      </c>
      <c r="AN456" s="55">
        <v>0.50214093649930203</v>
      </c>
      <c r="AO456" s="56">
        <v>0</v>
      </c>
      <c r="AP456" s="48">
        <v>0</v>
      </c>
      <c r="AQ456" s="55">
        <v>0.57376948381344728</v>
      </c>
      <c r="AR456" s="51">
        <v>4017651.21</v>
      </c>
      <c r="AS456" s="49">
        <v>0</v>
      </c>
      <c r="AT456" s="55">
        <v>0</v>
      </c>
      <c r="AU456" s="51">
        <v>0</v>
      </c>
      <c r="AV456" s="52">
        <v>0</v>
      </c>
      <c r="AW456" s="44">
        <v>490</v>
      </c>
      <c r="AX456" s="51">
        <v>215.27360070728199</v>
      </c>
      <c r="AY456" s="49">
        <v>308.140122044046</v>
      </c>
      <c r="AZ456" s="49">
        <v>92.866521336764009</v>
      </c>
      <c r="BA456" s="42" t="s">
        <v>150</v>
      </c>
      <c r="BB456" s="50">
        <v>608950.87946498254</v>
      </c>
      <c r="BC456" s="57">
        <v>608950.87946498254</v>
      </c>
      <c r="BD456" s="42" t="s">
        <v>150</v>
      </c>
      <c r="BE456" s="46">
        <v>74.7747126436782</v>
      </c>
      <c r="BF456" s="46">
        <v>83.628504672897193</v>
      </c>
      <c r="BG456" s="42" t="s">
        <v>152</v>
      </c>
      <c r="BH456" s="52">
        <v>0.57376948381344695</v>
      </c>
      <c r="BI456" s="52">
        <v>0.51187669456560203</v>
      </c>
      <c r="BJ456" s="42" t="s">
        <v>150</v>
      </c>
      <c r="BK456" s="46">
        <v>498.80285308275802</v>
      </c>
      <c r="BL456" s="46">
        <v>638.00354527981403</v>
      </c>
      <c r="BM456" s="42" t="s">
        <v>152</v>
      </c>
      <c r="BN456" s="48">
        <v>1</v>
      </c>
      <c r="BO456" s="42" t="s">
        <v>155</v>
      </c>
      <c r="BP456" s="42" t="s">
        <v>152</v>
      </c>
      <c r="BQ456" s="46">
        <v>3576.16459876623</v>
      </c>
      <c r="BR456" s="46">
        <v>91</v>
      </c>
      <c r="BS456" s="46">
        <v>13815</v>
      </c>
      <c r="BT456" s="46">
        <v>4334</v>
      </c>
      <c r="BU456" s="46">
        <v>3.1875865251499769</v>
      </c>
      <c r="BV456" s="46">
        <v>47.626373626373628</v>
      </c>
      <c r="BW456" s="46">
        <v>0</v>
      </c>
      <c r="BX456" s="46">
        <v>1991</v>
      </c>
      <c r="BY456" s="46">
        <v>1991</v>
      </c>
      <c r="BZ456" s="46">
        <v>0.45939086294416243</v>
      </c>
      <c r="CA456" s="46">
        <v>0</v>
      </c>
      <c r="CB456" s="46">
        <v>0.45939086294416243</v>
      </c>
      <c r="CC456" s="46">
        <v>0.38486386709736958</v>
      </c>
      <c r="CD456" s="46">
        <v>0.15574526995846791</v>
      </c>
      <c r="CE456" s="46">
        <v>0</v>
      </c>
      <c r="CF456" s="46">
        <v>0</v>
      </c>
      <c r="CG456" s="46">
        <v>0</v>
      </c>
      <c r="CH456" s="46">
        <v>0</v>
      </c>
      <c r="CI456" s="46">
        <v>2.5334781035106766</v>
      </c>
      <c r="CJ456" s="46">
        <v>0.43431053203040182</v>
      </c>
      <c r="CK456">
        <v>327</v>
      </c>
      <c r="CL456">
        <v>534.42999999999995</v>
      </c>
      <c r="CM456">
        <f t="shared" si="49"/>
        <v>207.42999999999995</v>
      </c>
      <c r="CN456">
        <v>7.44</v>
      </c>
      <c r="CO456">
        <v>9.4499999999999993</v>
      </c>
      <c r="CP456">
        <f t="shared" si="50"/>
        <v>2.0099999999999989</v>
      </c>
      <c r="CQ456">
        <v>846.56</v>
      </c>
      <c r="CR456">
        <v>498.8</v>
      </c>
      <c r="CS456">
        <f t="shared" si="51"/>
        <v>347.75999999999993</v>
      </c>
      <c r="CT456" t="s">
        <v>152</v>
      </c>
      <c r="CU456">
        <v>78.7</v>
      </c>
      <c r="CV456">
        <v>210</v>
      </c>
      <c r="CW456" s="46">
        <v>1991</v>
      </c>
      <c r="CX456" s="46">
        <f t="shared" si="52"/>
        <v>41.152976465159199</v>
      </c>
      <c r="CY456" s="46">
        <v>207.43</v>
      </c>
      <c r="CZ456" s="46">
        <f t="shared" si="53"/>
        <v>45.939086294416242</v>
      </c>
      <c r="DA456" s="46">
        <f t="shared" si="54"/>
        <v>380.46655568840646</v>
      </c>
      <c r="DB456" s="46">
        <v>1727862.23</v>
      </c>
      <c r="DC456" s="46">
        <f t="shared" si="55"/>
        <v>19.999231519587443</v>
      </c>
      <c r="DD456" s="46">
        <v>90825.11</v>
      </c>
      <c r="DE456" s="995">
        <v>1991</v>
      </c>
      <c r="DF456" s="995">
        <v>41.091000000000001</v>
      </c>
      <c r="DG456" s="995">
        <v>210.1</v>
      </c>
      <c r="DH456" s="995">
        <v>45.939</v>
      </c>
      <c r="DI456" s="995">
        <v>1120.4269999999999</v>
      </c>
      <c r="DJ456" s="995">
        <v>5091369</v>
      </c>
      <c r="DK456" s="995">
        <v>59.118000000000002</v>
      </c>
      <c r="DL456" s="995">
        <v>268639.7</v>
      </c>
      <c r="DM456" s="995">
        <v>1991</v>
      </c>
      <c r="DN456" s="995">
        <v>41.204000000000001</v>
      </c>
      <c r="DO456" s="995">
        <v>205.2</v>
      </c>
      <c r="DP456" s="995">
        <v>45.939</v>
      </c>
      <c r="DQ456" s="995">
        <v>1113.8320000000001</v>
      </c>
      <c r="DR456" s="995">
        <v>5055920</v>
      </c>
      <c r="DS456" s="995">
        <v>58.765000000000001</v>
      </c>
      <c r="DT456" s="995">
        <v>266745.2</v>
      </c>
    </row>
    <row r="457" spans="1:124">
      <c r="A457" s="42" t="s">
        <v>94</v>
      </c>
      <c r="B457" s="42" t="s">
        <v>549</v>
      </c>
      <c r="C457" s="42" t="s">
        <v>639</v>
      </c>
      <c r="D457" s="42">
        <v>820375</v>
      </c>
      <c r="E457" s="42" t="s">
        <v>675</v>
      </c>
      <c r="F457" s="42" t="s">
        <v>149</v>
      </c>
      <c r="G457" s="42" t="s">
        <v>150</v>
      </c>
      <c r="H457" s="43" t="s">
        <v>150</v>
      </c>
      <c r="I457" s="44">
        <v>63</v>
      </c>
      <c r="J457" s="45">
        <v>270474.52879999898</v>
      </c>
      <c r="K457" s="46">
        <v>10655.969847</v>
      </c>
      <c r="L457" s="47">
        <v>281130.49864699901</v>
      </c>
      <c r="M457" s="48">
        <v>5383944</v>
      </c>
      <c r="N457" s="49">
        <v>3957922</v>
      </c>
      <c r="O457" s="49">
        <v>1400724</v>
      </c>
      <c r="P457" s="49">
        <v>25298</v>
      </c>
      <c r="Q457" s="50">
        <v>12340.1402304147</v>
      </c>
      <c r="R457" s="51">
        <v>23123.721873054299</v>
      </c>
      <c r="S457" s="49">
        <v>37603.729589071001</v>
      </c>
      <c r="T457" s="49">
        <v>8068.5083984801104</v>
      </c>
      <c r="U457" s="49">
        <f>IFERROR(INDEX('Rentabilidad datos'!$N$2:$N$61,MATCH($C457,'Rentabilidad datos'!$C$2:$C$61,0)),"")</f>
        <v>68795.959860605391</v>
      </c>
      <c r="V457" s="50">
        <f>IFERROR(INDEX('Rentabilidad datos'!$O$2:$O$61,MATCH($C457,'Rentabilidad datos'!$C$2:$C$61,0)),"")</f>
        <v>1166.0332179763625</v>
      </c>
      <c r="W457" s="51">
        <f>IFERROR(INDEX('Rentabilidad datos'!$M$2:$M$61,MATCH($C457,'Rentabilidad datos'!$C$2:$C$61,0)),"")</f>
        <v>3116.1708958203221</v>
      </c>
      <c r="X457" s="52">
        <f>IFERROR(INDEX('Rentabilidad datos'!$P$2:$P$61,MATCH($C457,'Rentabilidad datos'!$C$2:$C$61,0)),"")</f>
        <v>0.37418782761251868</v>
      </c>
      <c r="Y457" s="43" t="s">
        <v>171</v>
      </c>
      <c r="Z457" s="53">
        <v>119.31105990783399</v>
      </c>
      <c r="AA457" s="43">
        <v>2</v>
      </c>
      <c r="AB457" s="54">
        <v>0.95556287361086967</v>
      </c>
      <c r="AC457" s="55">
        <v>4.4437126389130346E-2</v>
      </c>
      <c r="AD457" s="752" t="e">
        <f>_xlfn.XLOOKUP(Table1[[#This Row],[Ruta]],#REF!,#REF!)</f>
        <v>#REF!</v>
      </c>
      <c r="AE457" s="752" t="e">
        <f>_xlfn.XLOOKUP(Table1[[#This Row],[Ruta]],#REF!,#REF!)</f>
        <v>#REF!</v>
      </c>
      <c r="AF457" s="752" t="e">
        <f>_xlfn.XLOOKUP(Table1[[#This Row],[Ruta]],#REF!,#REF!)</f>
        <v>#REF!</v>
      </c>
      <c r="AG457" s="752" t="e">
        <f>_xlfn.XLOOKUP(Table1[[#This Row],[Ruta]],#REF!,#REF!)</f>
        <v>#REF!</v>
      </c>
      <c r="AH457" s="52">
        <v>0.7351343178903792</v>
      </c>
      <c r="AI457" s="52">
        <v>0.26016689623814809</v>
      </c>
      <c r="AJ457" s="55">
        <v>4.6987858714726601E-3</v>
      </c>
      <c r="AK457" s="56">
        <v>51781</v>
      </c>
      <c r="AL457" s="44">
        <v>24845</v>
      </c>
      <c r="AM457" s="54">
        <v>0.47980919642339898</v>
      </c>
      <c r="AN457" s="55">
        <v>0.50214093649930203</v>
      </c>
      <c r="AO457" s="56">
        <v>1156.3598328703499</v>
      </c>
      <c r="AP457" s="48">
        <v>578.17991643517496</v>
      </c>
      <c r="AQ457" s="55">
        <v>0.49097506646135025</v>
      </c>
      <c r="AR457" s="51">
        <v>5355620.8600000003</v>
      </c>
      <c r="AS457" s="49">
        <v>124633.222833298</v>
      </c>
      <c r="AT457" s="55">
        <v>2.3271479832367745E-2</v>
      </c>
      <c r="AU457" s="51">
        <v>87580.102531506738</v>
      </c>
      <c r="AV457" s="52">
        <v>3.9841017435016883E-4</v>
      </c>
      <c r="AW457" s="44">
        <v>402</v>
      </c>
      <c r="AX457" s="51">
        <v>215.56131455021099</v>
      </c>
      <c r="AY457" s="49">
        <v>308.140122044046</v>
      </c>
      <c r="AZ457" s="49">
        <v>92.578807493835001</v>
      </c>
      <c r="BA457" s="42" t="s">
        <v>150</v>
      </c>
      <c r="BB457" s="50">
        <v>808150.43617287325</v>
      </c>
      <c r="BC457" s="57">
        <v>895730.53870437993</v>
      </c>
      <c r="BD457" s="42" t="s">
        <v>150</v>
      </c>
      <c r="BE457" s="46">
        <v>119.31105990783399</v>
      </c>
      <c r="BF457" s="46">
        <v>83.628504672897193</v>
      </c>
      <c r="BG457" s="42" t="s">
        <v>150</v>
      </c>
      <c r="BH457" s="52">
        <v>0.47980919642339898</v>
      </c>
      <c r="BI457" s="52">
        <v>0.51187669456560203</v>
      </c>
      <c r="BJ457" s="42" t="s">
        <v>152</v>
      </c>
      <c r="BK457" s="46">
        <v>647.76612591474395</v>
      </c>
      <c r="BL457" s="46">
        <v>638.00354527981403</v>
      </c>
      <c r="BM457" s="42" t="s">
        <v>150</v>
      </c>
      <c r="BN457" s="48">
        <v>2</v>
      </c>
      <c r="BO457" s="42" t="s">
        <v>161</v>
      </c>
      <c r="BP457" s="42" t="s">
        <v>152</v>
      </c>
      <c r="BQ457" s="46">
        <v>0</v>
      </c>
      <c r="BR457" s="46">
        <v>164</v>
      </c>
      <c r="BS457" s="46">
        <v>12297</v>
      </c>
      <c r="BT457" s="46">
        <v>3759</v>
      </c>
      <c r="BU457" s="46">
        <v>3.2713487629688749</v>
      </c>
      <c r="BV457" s="46">
        <v>22.920731707317074</v>
      </c>
      <c r="BW457" s="46">
        <v>433</v>
      </c>
      <c r="BX457" s="46">
        <v>1603</v>
      </c>
      <c r="BY457" s="46">
        <v>2036</v>
      </c>
      <c r="BZ457" s="46">
        <v>0.54163341314179303</v>
      </c>
      <c r="CA457" s="46">
        <v>0.11519021016227721</v>
      </c>
      <c r="CB457" s="46">
        <v>0.42644320297951582</v>
      </c>
      <c r="CC457" s="46">
        <v>0.45836658685820703</v>
      </c>
      <c r="CD457" s="46">
        <v>0</v>
      </c>
      <c r="CE457" s="46">
        <v>0</v>
      </c>
      <c r="CF457" s="46">
        <v>0</v>
      </c>
      <c r="CG457" s="46">
        <v>0</v>
      </c>
      <c r="CH457" s="46">
        <v>0</v>
      </c>
      <c r="CI457" s="46">
        <v>1.301130356997642</v>
      </c>
      <c r="CJ457" s="46">
        <v>0.24396194193705781</v>
      </c>
      <c r="CK457">
        <v>489</v>
      </c>
      <c r="CL457">
        <v>643.79999999999995</v>
      </c>
      <c r="CM457">
        <f t="shared" si="49"/>
        <v>154.79999999999995</v>
      </c>
      <c r="CN457">
        <v>13.16</v>
      </c>
      <c r="CO457">
        <v>9.4499999999999993</v>
      </c>
      <c r="CP457">
        <f t="shared" si="50"/>
        <v>-3.7100000000000009</v>
      </c>
      <c r="CQ457">
        <v>846.56</v>
      </c>
      <c r="CR457">
        <v>647.77</v>
      </c>
      <c r="CS457">
        <f t="shared" si="51"/>
        <v>198.78999999999996</v>
      </c>
      <c r="CT457" t="s">
        <v>150</v>
      </c>
      <c r="CU457">
        <v>139.27000000000001</v>
      </c>
      <c r="CV457">
        <v>339</v>
      </c>
      <c r="CW457" s="46">
        <v>2036</v>
      </c>
      <c r="CX457" s="46">
        <f t="shared" si="52"/>
        <v>50.045224793828147</v>
      </c>
      <c r="CY457" s="46">
        <v>154.80000000000001</v>
      </c>
      <c r="CZ457" s="46">
        <f t="shared" si="53"/>
        <v>54.163341314179306</v>
      </c>
      <c r="DA457" s="46">
        <f t="shared" si="54"/>
        <v>419.63562777862944</v>
      </c>
      <c r="DB457" s="46">
        <v>1642369.92</v>
      </c>
      <c r="DC457" s="46">
        <f t="shared" si="55"/>
        <v>21.653973120752212</v>
      </c>
      <c r="DD457" s="46">
        <v>84749.32</v>
      </c>
      <c r="DE457" s="995">
        <v>2036</v>
      </c>
      <c r="DF457" s="995">
        <v>50.045000000000002</v>
      </c>
      <c r="DG457" s="995">
        <v>154.80000000000001</v>
      </c>
      <c r="DH457" s="995">
        <v>54.162999999999997</v>
      </c>
      <c r="DI457" s="995">
        <v>1516.213</v>
      </c>
      <c r="DJ457" s="995">
        <v>5934161</v>
      </c>
      <c r="DK457" s="995">
        <v>78.061000000000007</v>
      </c>
      <c r="DL457" s="995">
        <v>305517.3</v>
      </c>
      <c r="DM457" s="995">
        <v>2036</v>
      </c>
      <c r="DN457" s="995">
        <v>50.045000000000002</v>
      </c>
      <c r="DO457" s="995">
        <v>154.80000000000001</v>
      </c>
      <c r="DP457" s="995">
        <v>54.162999999999997</v>
      </c>
      <c r="DQ457" s="995">
        <v>1516.213</v>
      </c>
      <c r="DR457" s="995">
        <v>5934161</v>
      </c>
      <c r="DS457" s="995">
        <v>78.061000000000007</v>
      </c>
      <c r="DT457" s="995">
        <v>305517.3</v>
      </c>
    </row>
    <row r="458" spans="1:124">
      <c r="A458" s="42" t="s">
        <v>94</v>
      </c>
      <c r="B458" s="42" t="s">
        <v>549</v>
      </c>
      <c r="C458" s="42" t="s">
        <v>639</v>
      </c>
      <c r="D458" s="42">
        <v>820376</v>
      </c>
      <c r="E458" s="42" t="s">
        <v>676</v>
      </c>
      <c r="F458" s="42" t="s">
        <v>149</v>
      </c>
      <c r="G458" s="42" t="s">
        <v>150</v>
      </c>
      <c r="H458" s="43" t="s">
        <v>150</v>
      </c>
      <c r="I458" s="44">
        <v>63</v>
      </c>
      <c r="J458" s="45">
        <v>300185.97279999597</v>
      </c>
      <c r="K458" s="46">
        <v>15835.704825999999</v>
      </c>
      <c r="L458" s="47">
        <v>316021.677625996</v>
      </c>
      <c r="M458" s="48">
        <v>6541927</v>
      </c>
      <c r="N458" s="49">
        <v>4397713</v>
      </c>
      <c r="O458" s="49">
        <v>2127964</v>
      </c>
      <c r="P458" s="49">
        <v>16250</v>
      </c>
      <c r="Q458" s="50">
        <v>15001.5488505747</v>
      </c>
      <c r="R458" s="51">
        <v>23123.721873054299</v>
      </c>
      <c r="S458" s="49">
        <v>37603.729589071001</v>
      </c>
      <c r="T458" s="49">
        <v>8068.5083984801104</v>
      </c>
      <c r="U458" s="49">
        <f>IFERROR(INDEX('Rentabilidad datos'!$N$2:$N$61,MATCH($C458,'Rentabilidad datos'!$C$2:$C$61,0)),"")</f>
        <v>68795.959860605391</v>
      </c>
      <c r="V458" s="50">
        <f>IFERROR(INDEX('Rentabilidad datos'!$O$2:$O$61,MATCH($C458,'Rentabilidad datos'!$C$2:$C$61,0)),"")</f>
        <v>1166.0332179763625</v>
      </c>
      <c r="W458" s="51">
        <f>IFERROR(INDEX('Rentabilidad datos'!$M$2:$M$61,MATCH($C458,'Rentabilidad datos'!$C$2:$C$61,0)),"")</f>
        <v>3116.1708958203221</v>
      </c>
      <c r="X458" s="52">
        <f>IFERROR(INDEX('Rentabilidad datos'!$P$2:$P$61,MATCH($C458,'Rentabilidad datos'!$C$2:$C$61,0)),"")</f>
        <v>0.37418782761251868</v>
      </c>
      <c r="Y458" s="43" t="s">
        <v>171</v>
      </c>
      <c r="Z458" s="53">
        <v>157.67126436781601</v>
      </c>
      <c r="AA458" s="43">
        <v>2</v>
      </c>
      <c r="AB458" s="54">
        <v>0.96403445039970637</v>
      </c>
      <c r="AC458" s="55">
        <v>3.5965549600293613E-2</v>
      </c>
      <c r="AD458" s="752" t="e">
        <f>_xlfn.XLOOKUP(Table1[[#This Row],[Ruta]],#REF!,#REF!)</f>
        <v>#REF!</v>
      </c>
      <c r="AE458" s="752" t="e">
        <f>_xlfn.XLOOKUP(Table1[[#This Row],[Ruta]],#REF!,#REF!)</f>
        <v>#REF!</v>
      </c>
      <c r="AF458" s="752" t="e">
        <f>_xlfn.XLOOKUP(Table1[[#This Row],[Ruta]],#REF!,#REF!)</f>
        <v>#REF!</v>
      </c>
      <c r="AG458" s="752" t="e">
        <f>_xlfn.XLOOKUP(Table1[[#This Row],[Ruta]],#REF!,#REF!)</f>
        <v>#REF!</v>
      </c>
      <c r="AH458" s="52">
        <v>0.67223510748438497</v>
      </c>
      <c r="AI458" s="52">
        <v>0.32528091493530881</v>
      </c>
      <c r="AJ458" s="55">
        <v>2.4839775803062311E-3</v>
      </c>
      <c r="AK458" s="56">
        <v>68587</v>
      </c>
      <c r="AL458" s="44">
        <v>37204</v>
      </c>
      <c r="AM458" s="54">
        <v>0.54243515535013898</v>
      </c>
      <c r="AN458" s="55">
        <v>0.50214093649930203</v>
      </c>
      <c r="AO458" s="56">
        <v>0</v>
      </c>
      <c r="AP458" s="48">
        <v>0</v>
      </c>
      <c r="AQ458" s="55">
        <v>0.5424351553501392</v>
      </c>
      <c r="AR458" s="51">
        <v>6525673.75</v>
      </c>
      <c r="AS458" s="49">
        <v>0</v>
      </c>
      <c r="AT458" s="55">
        <v>0</v>
      </c>
      <c r="AU458" s="51">
        <v>0</v>
      </c>
      <c r="AV458" s="52">
        <v>0</v>
      </c>
      <c r="AW458" s="44">
        <v>490</v>
      </c>
      <c r="AX458" s="51">
        <v>175.40247688420601</v>
      </c>
      <c r="AY458" s="49">
        <v>308.140122044046</v>
      </c>
      <c r="AZ458" s="49">
        <v>132.73764515983999</v>
      </c>
      <c r="BA458" s="42" t="s">
        <v>150</v>
      </c>
      <c r="BB458" s="50">
        <v>1735103.44748235</v>
      </c>
      <c r="BC458" s="57">
        <v>1735103.44748235</v>
      </c>
      <c r="BD458" s="42" t="s">
        <v>150</v>
      </c>
      <c r="BE458" s="46">
        <v>157.67126436781601</v>
      </c>
      <c r="BF458" s="46">
        <v>83.628504672897193</v>
      </c>
      <c r="BG458" s="42" t="s">
        <v>150</v>
      </c>
      <c r="BH458" s="52">
        <v>0.54243515535013898</v>
      </c>
      <c r="BI458" s="52">
        <v>0.51187669456560203</v>
      </c>
      <c r="BJ458" s="42" t="s">
        <v>150</v>
      </c>
      <c r="BK458" s="46">
        <v>726.48661523217595</v>
      </c>
      <c r="BL458" s="46">
        <v>638.00354527981403</v>
      </c>
      <c r="BM458" s="42" t="s">
        <v>150</v>
      </c>
      <c r="BN458" s="48">
        <v>3</v>
      </c>
      <c r="BO458" s="42" t="s">
        <v>153</v>
      </c>
      <c r="BP458" s="42" t="s">
        <v>150</v>
      </c>
      <c r="BQ458" s="46">
        <v>0</v>
      </c>
      <c r="BR458" s="46">
        <v>171</v>
      </c>
      <c r="BS458" s="46">
        <v>17077</v>
      </c>
      <c r="BT458" s="46">
        <v>5611</v>
      </c>
      <c r="BU458" s="46">
        <v>3.0434860096239529</v>
      </c>
      <c r="BV458" s="46">
        <v>32.812865497076025</v>
      </c>
      <c r="BW458" s="46">
        <v>20</v>
      </c>
      <c r="BX458" s="46">
        <v>3554</v>
      </c>
      <c r="BY458" s="46">
        <v>3574</v>
      </c>
      <c r="BZ458" s="46">
        <v>0.63696310818036006</v>
      </c>
      <c r="CA458" s="46">
        <v>3.5644270183567989E-3</v>
      </c>
      <c r="CB458" s="46">
        <v>0.63339868116200326</v>
      </c>
      <c r="CC458" s="46">
        <v>0.20441988950276238</v>
      </c>
      <c r="CD458" s="46">
        <v>0.15861700231687759</v>
      </c>
      <c r="CE458" s="46">
        <v>0</v>
      </c>
      <c r="CF458" s="46">
        <v>0</v>
      </c>
      <c r="CG458" s="46">
        <v>0</v>
      </c>
      <c r="CH458" s="46">
        <v>0</v>
      </c>
      <c r="CI458" s="46">
        <v>1.6981905486912221</v>
      </c>
      <c r="CJ458" s="46">
        <v>0.23423317912982369</v>
      </c>
      <c r="CK458">
        <v>623</v>
      </c>
      <c r="CL458">
        <v>919.87</v>
      </c>
      <c r="CM458">
        <f t="shared" ref="CM458:CM521" si="56">CL458-CK458</f>
        <v>296.87</v>
      </c>
      <c r="CN458">
        <v>15.35</v>
      </c>
      <c r="CO458">
        <v>9.4499999999999993</v>
      </c>
      <c r="CP458">
        <f t="shared" ref="CP458:CP521" si="57">CO458-CN458</f>
        <v>-5.9</v>
      </c>
      <c r="CQ458">
        <v>846.56</v>
      </c>
      <c r="CR458">
        <v>726.49</v>
      </c>
      <c r="CS458">
        <f t="shared" ref="CS458:CS521" si="58">CQ458-CR458</f>
        <v>120.06999999999994</v>
      </c>
      <c r="CT458" t="s">
        <v>150</v>
      </c>
      <c r="CU458">
        <v>162.4</v>
      </c>
      <c r="CV458">
        <v>417</v>
      </c>
      <c r="CW458" s="46">
        <v>3574</v>
      </c>
      <c r="CX458" s="46">
        <f t="shared" si="52"/>
        <v>58.405453573338086</v>
      </c>
      <c r="CY458" s="46">
        <v>296.87</v>
      </c>
      <c r="CZ458" s="46">
        <f t="shared" si="53"/>
        <v>63.696310818036004</v>
      </c>
      <c r="DA458" s="46">
        <f t="shared" si="54"/>
        <v>652.76192604102664</v>
      </c>
      <c r="DB458" s="46">
        <v>3856432.6</v>
      </c>
      <c r="DC458" s="46">
        <f t="shared" si="55"/>
        <v>31.91206475430231</v>
      </c>
      <c r="DD458" s="46">
        <v>188532.33</v>
      </c>
      <c r="DE458" s="995">
        <v>3574</v>
      </c>
      <c r="DF458" s="995">
        <v>58.405000000000001</v>
      </c>
      <c r="DG458" s="995">
        <v>296.89999999999998</v>
      </c>
      <c r="DH458" s="995">
        <v>63.695999999999998</v>
      </c>
      <c r="DI458" s="995">
        <v>1442.204</v>
      </c>
      <c r="DJ458" s="995">
        <v>8520350</v>
      </c>
      <c r="DK458" s="995">
        <v>69.44</v>
      </c>
      <c r="DL458" s="995">
        <v>410242</v>
      </c>
      <c r="DM458" s="995">
        <v>3574</v>
      </c>
      <c r="DN458" s="995">
        <v>58.405000000000001</v>
      </c>
      <c r="DO458" s="995">
        <v>296.89999999999998</v>
      </c>
      <c r="DP458" s="995">
        <v>63.695999999999998</v>
      </c>
      <c r="DQ458" s="995">
        <v>1442.204</v>
      </c>
      <c r="DR458" s="995">
        <v>8520350</v>
      </c>
      <c r="DS458" s="995">
        <v>69.44</v>
      </c>
      <c r="DT458" s="995">
        <v>410242</v>
      </c>
    </row>
    <row r="459" spans="1:124">
      <c r="A459" s="42" t="s">
        <v>94</v>
      </c>
      <c r="B459" s="42" t="s">
        <v>549</v>
      </c>
      <c r="C459" s="42" t="s">
        <v>639</v>
      </c>
      <c r="D459" s="42">
        <v>820377</v>
      </c>
      <c r="E459" s="42" t="s">
        <v>677</v>
      </c>
      <c r="F459" s="42" t="s">
        <v>149</v>
      </c>
      <c r="G459" s="42" t="s">
        <v>150</v>
      </c>
      <c r="H459" s="43" t="s">
        <v>150</v>
      </c>
      <c r="I459" s="44">
        <v>63</v>
      </c>
      <c r="J459" s="45">
        <v>210643.04240000001</v>
      </c>
      <c r="K459" s="46">
        <v>9816.4718099999991</v>
      </c>
      <c r="L459" s="47">
        <v>220459.51420999999</v>
      </c>
      <c r="M459" s="48">
        <v>4459914</v>
      </c>
      <c r="N459" s="49">
        <v>3049706</v>
      </c>
      <c r="O459" s="49">
        <v>1367560</v>
      </c>
      <c r="P459" s="49">
        <v>42648</v>
      </c>
      <c r="Q459" s="50">
        <v>10168.150875576001</v>
      </c>
      <c r="R459" s="51">
        <v>23123.721873054299</v>
      </c>
      <c r="S459" s="49">
        <v>37603.729589071001</v>
      </c>
      <c r="T459" s="49">
        <v>8068.5083984801104</v>
      </c>
      <c r="U459" s="49">
        <f>IFERROR(INDEX('Rentabilidad datos'!$N$2:$N$61,MATCH($C459,'Rentabilidad datos'!$C$2:$C$61,0)),"")</f>
        <v>68795.959860605391</v>
      </c>
      <c r="V459" s="50">
        <f>IFERROR(INDEX('Rentabilidad datos'!$O$2:$O$61,MATCH($C459,'Rentabilidad datos'!$C$2:$C$61,0)),"")</f>
        <v>1166.0332179763625</v>
      </c>
      <c r="W459" s="51">
        <f>IFERROR(INDEX('Rentabilidad datos'!$M$2:$M$61,MATCH($C459,'Rentabilidad datos'!$C$2:$C$61,0)),"")</f>
        <v>3116.1708958203221</v>
      </c>
      <c r="X459" s="52">
        <f>IFERROR(INDEX('Rentabilidad datos'!$P$2:$P$61,MATCH($C459,'Rentabilidad datos'!$C$2:$C$61,0)),"")</f>
        <v>0.37418782761251868</v>
      </c>
      <c r="Y459" s="43" t="s">
        <v>171</v>
      </c>
      <c r="Z459" s="53">
        <v>90.852534562212</v>
      </c>
      <c r="AA459" s="43">
        <v>2</v>
      </c>
      <c r="AB459" s="54">
        <v>0.95991806120028322</v>
      </c>
      <c r="AC459" s="55">
        <v>4.0081938799716763E-2</v>
      </c>
      <c r="AD459" s="752" t="e">
        <f>_xlfn.XLOOKUP(Table1[[#This Row],[Ruta]],#REF!,#REF!)</f>
        <v>#REF!</v>
      </c>
      <c r="AE459" s="752" t="e">
        <f>_xlfn.XLOOKUP(Table1[[#This Row],[Ruta]],#REF!,#REF!)</f>
        <v>#REF!</v>
      </c>
      <c r="AF459" s="752" t="e">
        <f>_xlfn.XLOOKUP(Table1[[#This Row],[Ruta]],#REF!,#REF!)</f>
        <v>#REF!</v>
      </c>
      <c r="AG459" s="752" t="e">
        <f>_xlfn.XLOOKUP(Table1[[#This Row],[Ruta]],#REF!,#REF!)</f>
        <v>#REF!</v>
      </c>
      <c r="AH459" s="52">
        <v>0.68380376841347168</v>
      </c>
      <c r="AI459" s="52">
        <v>0.30663371535863698</v>
      </c>
      <c r="AJ459" s="55">
        <v>9.5625162278913899E-3</v>
      </c>
      <c r="AK459" s="56">
        <v>39430</v>
      </c>
      <c r="AL459" s="44">
        <v>17272</v>
      </c>
      <c r="AM459" s="54">
        <v>0.43804209992391602</v>
      </c>
      <c r="AN459" s="55">
        <v>0.50214093649930203</v>
      </c>
      <c r="AO459" s="56">
        <v>2527.4171261674701</v>
      </c>
      <c r="AP459" s="48">
        <v>1263.708563083735</v>
      </c>
      <c r="AQ459" s="55">
        <v>0.47009151821160883</v>
      </c>
      <c r="AR459" s="51">
        <v>4412977.4800000004</v>
      </c>
      <c r="AS459" s="49">
        <v>322876.18284921802</v>
      </c>
      <c r="AT459" s="55">
        <v>7.3165155342967664E-2</v>
      </c>
      <c r="AU459" s="51">
        <v>226885.96632647762</v>
      </c>
      <c r="AV459" s="52">
        <v>1.0321257316320174E-3</v>
      </c>
      <c r="AW459" s="44">
        <v>288</v>
      </c>
      <c r="AX459" s="51">
        <v>255.49892774432601</v>
      </c>
      <c r="AY459" s="49">
        <v>308.140122044046</v>
      </c>
      <c r="AZ459" s="49">
        <v>52.641194299719984</v>
      </c>
      <c r="BA459" s="42" t="s">
        <v>150</v>
      </c>
      <c r="BB459" s="50">
        <v>319455.22171032248</v>
      </c>
      <c r="BC459" s="57">
        <v>546341.18803680013</v>
      </c>
      <c r="BD459" s="42" t="s">
        <v>150</v>
      </c>
      <c r="BE459" s="46">
        <v>90.852534562212</v>
      </c>
      <c r="BF459" s="46">
        <v>83.628504672897193</v>
      </c>
      <c r="BG459" s="42" t="s">
        <v>150</v>
      </c>
      <c r="BH459" s="52">
        <v>0.43804209992391602</v>
      </c>
      <c r="BI459" s="52">
        <v>0.51187669456560203</v>
      </c>
      <c r="BJ459" s="42" t="s">
        <v>152</v>
      </c>
      <c r="BK459" s="46">
        <v>507.971230898616</v>
      </c>
      <c r="BL459" s="46">
        <v>638.00354527981403</v>
      </c>
      <c r="BM459" s="42" t="s">
        <v>152</v>
      </c>
      <c r="BN459" s="48">
        <v>1</v>
      </c>
      <c r="BO459" s="42" t="s">
        <v>155</v>
      </c>
      <c r="BP459" s="42" t="s">
        <v>152</v>
      </c>
      <c r="BQ459" s="46">
        <v>5046.9974062625697</v>
      </c>
      <c r="BR459" s="46">
        <v>136</v>
      </c>
      <c r="BS459" s="46">
        <v>10128</v>
      </c>
      <c r="BT459" s="46">
        <v>2981</v>
      </c>
      <c r="BU459" s="46">
        <v>3.3975176115397518</v>
      </c>
      <c r="BV459" s="46">
        <v>21.919117647058822</v>
      </c>
      <c r="BW459" s="46">
        <v>52</v>
      </c>
      <c r="BX459" s="46">
        <v>2209</v>
      </c>
      <c r="BY459" s="46">
        <v>2261</v>
      </c>
      <c r="BZ459" s="46">
        <v>0.75847031197584702</v>
      </c>
      <c r="CA459" s="46">
        <v>1.744381080174438E-2</v>
      </c>
      <c r="CB459" s="46">
        <v>0.74102650117410263</v>
      </c>
      <c r="CC459" s="46">
        <v>0.14961422341496139</v>
      </c>
      <c r="CD459" s="46">
        <v>0</v>
      </c>
      <c r="CE459" s="46">
        <v>0</v>
      </c>
      <c r="CF459" s="46">
        <v>9.1915464609191547E-2</v>
      </c>
      <c r="CG459" s="46">
        <v>0</v>
      </c>
      <c r="CH459" s="46">
        <v>0</v>
      </c>
      <c r="CI459" s="46">
        <v>2.0734597156398111</v>
      </c>
      <c r="CJ459" s="46">
        <v>0.19747235387045811</v>
      </c>
      <c r="CK459">
        <v>355</v>
      </c>
      <c r="CL459">
        <v>623.82000000000005</v>
      </c>
      <c r="CM459">
        <f t="shared" si="56"/>
        <v>268.82000000000005</v>
      </c>
      <c r="CN459">
        <v>8.76</v>
      </c>
      <c r="CO459">
        <v>9.4499999999999993</v>
      </c>
      <c r="CP459">
        <f t="shared" si="57"/>
        <v>0.6899999999999995</v>
      </c>
      <c r="CQ459">
        <v>846.56</v>
      </c>
      <c r="CR459">
        <v>507.97</v>
      </c>
      <c r="CS459">
        <f t="shared" si="58"/>
        <v>338.58999999999992</v>
      </c>
      <c r="CT459" t="s">
        <v>152</v>
      </c>
      <c r="CU459">
        <v>95.06</v>
      </c>
      <c r="CV459">
        <v>296</v>
      </c>
      <c r="CW459" s="46">
        <v>2261</v>
      </c>
      <c r="CX459" s="46">
        <f t="shared" si="52"/>
        <v>66.829251928882925</v>
      </c>
      <c r="CY459" s="46">
        <v>268.82</v>
      </c>
      <c r="CZ459" s="46">
        <f t="shared" si="53"/>
        <v>75.847031197584698</v>
      </c>
      <c r="DA459" s="46">
        <f t="shared" si="54"/>
        <v>841.16392907914894</v>
      </c>
      <c r="DB459" s="46">
        <v>2733631.36</v>
      </c>
      <c r="DC459" s="46">
        <f t="shared" si="55"/>
        <v>42.353087247909116</v>
      </c>
      <c r="DD459" s="46">
        <v>137639.91</v>
      </c>
      <c r="DE459" s="995">
        <v>2261</v>
      </c>
      <c r="DF459" s="995">
        <v>67.180999999999997</v>
      </c>
      <c r="DG459" s="995">
        <v>258.3</v>
      </c>
      <c r="DH459" s="995">
        <v>75.846999999999994</v>
      </c>
      <c r="DI459" s="995">
        <v>1754.2909999999999</v>
      </c>
      <c r="DJ459" s="995">
        <v>5682755</v>
      </c>
      <c r="DK459" s="995">
        <v>87.113</v>
      </c>
      <c r="DL459" s="995">
        <v>282190.2</v>
      </c>
      <c r="DM459" s="995">
        <v>2261</v>
      </c>
      <c r="DN459" s="995">
        <v>67.441000000000003</v>
      </c>
      <c r="DO459" s="995">
        <v>250.6</v>
      </c>
      <c r="DP459" s="995">
        <v>75.846999999999994</v>
      </c>
      <c r="DQ459" s="995">
        <v>1737.7650000000001</v>
      </c>
      <c r="DR459" s="995">
        <v>5615718</v>
      </c>
      <c r="DS459" s="995">
        <v>86.397000000000006</v>
      </c>
      <c r="DT459" s="995">
        <v>279197.7</v>
      </c>
    </row>
    <row r="460" spans="1:124">
      <c r="A460" s="42" t="s">
        <v>94</v>
      </c>
      <c r="B460" s="42" t="s">
        <v>549</v>
      </c>
      <c r="C460" s="42" t="s">
        <v>639</v>
      </c>
      <c r="D460" s="42">
        <v>820378</v>
      </c>
      <c r="E460" s="42" t="s">
        <v>678</v>
      </c>
      <c r="F460" s="42" t="s">
        <v>193</v>
      </c>
      <c r="G460" s="42" t="s">
        <v>150</v>
      </c>
      <c r="H460" s="43" t="s">
        <v>152</v>
      </c>
      <c r="I460" s="44">
        <v>63</v>
      </c>
      <c r="J460" s="45">
        <v>22494.046399999999</v>
      </c>
      <c r="K460" s="46">
        <v>0</v>
      </c>
      <c r="L460" s="47">
        <v>22494.046399999999</v>
      </c>
      <c r="M460" s="48">
        <v>329992</v>
      </c>
      <c r="N460" s="49">
        <v>329992</v>
      </c>
      <c r="O460" s="49">
        <v>0</v>
      </c>
      <c r="P460" s="49">
        <v>0</v>
      </c>
      <c r="Q460" s="50">
        <v>0</v>
      </c>
      <c r="R460" s="51">
        <v>23123.721873054299</v>
      </c>
      <c r="S460" s="49">
        <v>37603.729589071001</v>
      </c>
      <c r="T460" s="49">
        <v>8068.5083984801104</v>
      </c>
      <c r="U460" s="49">
        <f>IFERROR(INDEX('Rentabilidad datos'!$N$2:$N$61,MATCH($C460,'Rentabilidad datos'!$C$2:$C$61,0)),"")</f>
        <v>68795.959860605391</v>
      </c>
      <c r="V460" s="50">
        <f>IFERROR(INDEX('Rentabilidad datos'!$O$2:$O$61,MATCH($C460,'Rentabilidad datos'!$C$2:$C$61,0)),"")</f>
        <v>1166.0332179763625</v>
      </c>
      <c r="W460" s="51">
        <f>IFERROR(INDEX('Rentabilidad datos'!$M$2:$M$61,MATCH($C460,'Rentabilidad datos'!$C$2:$C$61,0)),"")</f>
        <v>3116.1708958203221</v>
      </c>
      <c r="X460" s="52">
        <f>IFERROR(INDEX('Rentabilidad datos'!$P$2:$P$61,MATCH($C460,'Rentabilidad datos'!$C$2:$C$61,0)),"")</f>
        <v>0.37418782761251868</v>
      </c>
      <c r="Y460" s="43" t="s">
        <v>171</v>
      </c>
      <c r="Z460" s="53">
        <v>13.714285714285699</v>
      </c>
      <c r="AA460" s="43">
        <v>2</v>
      </c>
      <c r="AB460" s="54">
        <v>1</v>
      </c>
      <c r="AC460" s="55">
        <v>0</v>
      </c>
      <c r="AD460" s="752" t="e">
        <f>_xlfn.XLOOKUP(Table1[[#This Row],[Ruta]],#REF!,#REF!)</f>
        <v>#REF!</v>
      </c>
      <c r="AE460" s="752" t="e">
        <f>_xlfn.XLOOKUP(Table1[[#This Row],[Ruta]],#REF!,#REF!)</f>
        <v>#REF!</v>
      </c>
      <c r="AF460" s="752" t="e">
        <f>_xlfn.XLOOKUP(Table1[[#This Row],[Ruta]],#REF!,#REF!)</f>
        <v>#REF!</v>
      </c>
      <c r="AG460" s="752" t="e">
        <f>_xlfn.XLOOKUP(Table1[[#This Row],[Ruta]],#REF!,#REF!)</f>
        <v>#REF!</v>
      </c>
      <c r="AH460" s="52">
        <v>1</v>
      </c>
      <c r="AI460" s="52">
        <v>0</v>
      </c>
      <c r="AJ460" s="55">
        <v>0</v>
      </c>
      <c r="AK460" s="56">
        <v>384</v>
      </c>
      <c r="AL460" s="44">
        <v>18</v>
      </c>
      <c r="AM460" s="54">
        <v>4.6875E-2</v>
      </c>
      <c r="AN460" s="55">
        <v>0.50214093649930203</v>
      </c>
      <c r="AO460" s="56">
        <v>0</v>
      </c>
      <c r="AP460" s="48">
        <v>0</v>
      </c>
      <c r="AQ460" s="55">
        <v>4.6875E-2</v>
      </c>
      <c r="AR460" s="51">
        <v>329992</v>
      </c>
      <c r="AS460" s="49">
        <v>0</v>
      </c>
      <c r="AT460" s="55">
        <v>0</v>
      </c>
      <c r="AU460" s="51">
        <v>0</v>
      </c>
      <c r="AV460" s="52">
        <v>0</v>
      </c>
      <c r="AW460" s="44">
        <v>490</v>
      </c>
      <c r="AX460" s="51">
        <v>18332.888888888901</v>
      </c>
      <c r="AY460" s="49">
        <v>308.140122044046</v>
      </c>
      <c r="AZ460" s="49">
        <v>0</v>
      </c>
      <c r="BA460" s="42" t="s">
        <v>152</v>
      </c>
      <c r="BB460" s="50">
        <v>0</v>
      </c>
      <c r="BC460" s="57">
        <v>0</v>
      </c>
      <c r="BD460" s="42" t="s">
        <v>152</v>
      </c>
      <c r="BE460" s="46" t="s">
        <v>195</v>
      </c>
      <c r="BF460" s="46" t="s">
        <v>195</v>
      </c>
      <c r="BG460" s="42" t="s">
        <v>195</v>
      </c>
      <c r="BH460" s="52" t="s">
        <v>195</v>
      </c>
      <c r="BI460" s="52" t="s">
        <v>195</v>
      </c>
      <c r="BJ460" s="42" t="s">
        <v>195</v>
      </c>
      <c r="BK460" s="46" t="s">
        <v>195</v>
      </c>
      <c r="BL460" s="46" t="s">
        <v>195</v>
      </c>
      <c r="BM460" s="42" t="s">
        <v>195</v>
      </c>
      <c r="BN460" s="48" t="s">
        <v>195</v>
      </c>
      <c r="BO460" s="42" t="s">
        <v>195</v>
      </c>
      <c r="BP460" s="42" t="s">
        <v>152</v>
      </c>
      <c r="BQ460" s="46">
        <v>0</v>
      </c>
      <c r="BR460" s="46" t="e">
        <v>#N/A</v>
      </c>
      <c r="BS460" s="46" t="e">
        <v>#N/A</v>
      </c>
      <c r="BT460" s="46" t="e">
        <v>#N/A</v>
      </c>
      <c r="BU460" s="46" t="e">
        <v>#N/A</v>
      </c>
      <c r="BV460" s="46" t="e">
        <v>#N/A</v>
      </c>
      <c r="BW460" s="46" t="e">
        <v>#N/A</v>
      </c>
      <c r="BX460" s="46" t="e">
        <v>#N/A</v>
      </c>
      <c r="BY460" s="46" t="e">
        <v>#N/A</v>
      </c>
      <c r="BZ460" s="46" t="e">
        <v>#N/A</v>
      </c>
      <c r="CA460" s="46" t="e">
        <v>#N/A</v>
      </c>
      <c r="CB460" s="46" t="e">
        <v>#N/A</v>
      </c>
      <c r="CC460" s="46" t="e">
        <v>#N/A</v>
      </c>
      <c r="CD460" s="46" t="e">
        <v>#N/A</v>
      </c>
      <c r="CE460" s="46" t="e">
        <v>#N/A</v>
      </c>
      <c r="CF460" s="46" t="e">
        <v>#N/A</v>
      </c>
      <c r="CG460" s="46" t="e">
        <v>#N/A</v>
      </c>
      <c r="CH460" s="46" t="e">
        <v>#N/A</v>
      </c>
      <c r="CI460" s="46" t="e">
        <v>#N/A</v>
      </c>
      <c r="CJ460" s="46" t="e">
        <v>#N/A</v>
      </c>
      <c r="CM460">
        <f t="shared" si="56"/>
        <v>0</v>
      </c>
      <c r="CP460">
        <f t="shared" si="57"/>
        <v>0</v>
      </c>
      <c r="CS460">
        <f t="shared" si="58"/>
        <v>0</v>
      </c>
      <c r="CW460" s="46"/>
      <c r="CX460" s="46" t="e">
        <f t="shared" si="52"/>
        <v>#N/A</v>
      </c>
      <c r="CY460" s="46"/>
      <c r="CZ460" s="46" t="e">
        <f t="shared" si="53"/>
        <v>#N/A</v>
      </c>
      <c r="DA460" s="46" t="e">
        <f t="shared" si="54"/>
        <v>#N/A</v>
      </c>
      <c r="DB460" s="46"/>
      <c r="DC460" s="46" t="e">
        <f t="shared" si="55"/>
        <v>#N/A</v>
      </c>
      <c r="DD460" s="46"/>
      <c r="DE460" s="995" t="s">
        <v>194</v>
      </c>
      <c r="DF460" s="995" t="s">
        <v>194</v>
      </c>
      <c r="DG460" s="995" t="s">
        <v>194</v>
      </c>
      <c r="DH460" s="995" t="s">
        <v>194</v>
      </c>
      <c r="DI460" s="995" t="s">
        <v>194</v>
      </c>
      <c r="DJ460" s="995" t="s">
        <v>194</v>
      </c>
      <c r="DK460" s="995" t="s">
        <v>194</v>
      </c>
      <c r="DL460" s="995" t="s">
        <v>194</v>
      </c>
      <c r="DM460" s="995" t="s">
        <v>194</v>
      </c>
      <c r="DN460" s="995" t="s">
        <v>194</v>
      </c>
      <c r="DO460" s="995" t="s">
        <v>194</v>
      </c>
      <c r="DP460" s="995" t="s">
        <v>194</v>
      </c>
      <c r="DQ460" s="995" t="s">
        <v>194</v>
      </c>
      <c r="DR460" s="995" t="s">
        <v>194</v>
      </c>
      <c r="DS460" s="995" t="s">
        <v>194</v>
      </c>
      <c r="DT460" s="995" t="s">
        <v>194</v>
      </c>
    </row>
    <row r="461" spans="1:124">
      <c r="A461" s="42" t="s">
        <v>94</v>
      </c>
      <c r="B461" s="42" t="s">
        <v>549</v>
      </c>
      <c r="C461" s="42" t="s">
        <v>639</v>
      </c>
      <c r="D461" s="42">
        <v>820379</v>
      </c>
      <c r="E461" s="42" t="s">
        <v>679</v>
      </c>
      <c r="F461" s="42" t="s">
        <v>149</v>
      </c>
      <c r="G461" s="42" t="s">
        <v>150</v>
      </c>
      <c r="H461" s="43" t="s">
        <v>150</v>
      </c>
      <c r="I461" s="44">
        <v>63</v>
      </c>
      <c r="J461" s="45">
        <v>153210.31039999999</v>
      </c>
      <c r="K461" s="46">
        <v>11493.967225</v>
      </c>
      <c r="L461" s="47">
        <v>164704.27762499999</v>
      </c>
      <c r="M461" s="48">
        <v>3826207</v>
      </c>
      <c r="N461" s="49">
        <v>2217072</v>
      </c>
      <c r="O461" s="49">
        <v>1572047</v>
      </c>
      <c r="P461" s="49">
        <v>37088</v>
      </c>
      <c r="Q461" s="50">
        <v>8710.6215172413795</v>
      </c>
      <c r="R461" s="51">
        <v>23123.721873054299</v>
      </c>
      <c r="S461" s="49">
        <v>37603.729589071001</v>
      </c>
      <c r="T461" s="49">
        <v>8068.5083984801104</v>
      </c>
      <c r="U461" s="49">
        <f>IFERROR(INDEX('Rentabilidad datos'!$N$2:$N$61,MATCH($C461,'Rentabilidad datos'!$C$2:$C$61,0)),"")</f>
        <v>68795.959860605391</v>
      </c>
      <c r="V461" s="50">
        <f>IFERROR(INDEX('Rentabilidad datos'!$O$2:$O$61,MATCH($C461,'Rentabilidad datos'!$C$2:$C$61,0)),"")</f>
        <v>1166.0332179763625</v>
      </c>
      <c r="W461" s="51">
        <f>IFERROR(INDEX('Rentabilidad datos'!$M$2:$M$61,MATCH($C461,'Rentabilidad datos'!$C$2:$C$61,0)),"")</f>
        <v>3116.1708958203221</v>
      </c>
      <c r="X461" s="52">
        <f>IFERROR(INDEX('Rentabilidad datos'!$P$2:$P$61,MATCH($C461,'Rentabilidad datos'!$C$2:$C$61,0)),"")</f>
        <v>0.37418782761251868</v>
      </c>
      <c r="Y461" s="43" t="s">
        <v>171</v>
      </c>
      <c r="Z461" s="53">
        <v>64.519540229885095</v>
      </c>
      <c r="AA461" s="43">
        <v>2</v>
      </c>
      <c r="AB461" s="54">
        <v>0.95640669728532723</v>
      </c>
      <c r="AC461" s="55">
        <v>4.359330271467278E-2</v>
      </c>
      <c r="AD461" s="752" t="e">
        <f>_xlfn.XLOOKUP(Table1[[#This Row],[Ruta]],#REF!,#REF!)</f>
        <v>#REF!</v>
      </c>
      <c r="AE461" s="752" t="e">
        <f>_xlfn.XLOOKUP(Table1[[#This Row],[Ruta]],#REF!,#REF!)</f>
        <v>#REF!</v>
      </c>
      <c r="AF461" s="752" t="e">
        <f>_xlfn.XLOOKUP(Table1[[#This Row],[Ruta]],#REF!,#REF!)</f>
        <v>#REF!</v>
      </c>
      <c r="AG461" s="752" t="e">
        <f>_xlfn.XLOOKUP(Table1[[#This Row],[Ruta]],#REF!,#REF!)</f>
        <v>#REF!</v>
      </c>
      <c r="AH461" s="52">
        <v>0.57944381995014904</v>
      </c>
      <c r="AI461" s="52">
        <v>0.41086302962699089</v>
      </c>
      <c r="AJ461" s="55">
        <v>9.6931504228600276E-3</v>
      </c>
      <c r="AK461" s="56">
        <v>28066</v>
      </c>
      <c r="AL461" s="44">
        <v>10267</v>
      </c>
      <c r="AM461" s="54">
        <v>0.36581629017316297</v>
      </c>
      <c r="AN461" s="55">
        <v>0.50214093649930203</v>
      </c>
      <c r="AO461" s="56">
        <v>3826.0875237894102</v>
      </c>
      <c r="AP461" s="48">
        <v>1913.0437618947051</v>
      </c>
      <c r="AQ461" s="55">
        <v>0.43397861333623267</v>
      </c>
      <c r="AR461" s="51">
        <v>3789120.36</v>
      </c>
      <c r="AS461" s="49">
        <v>706024.45385859499</v>
      </c>
      <c r="AT461" s="55">
        <v>0.18632938169812979</v>
      </c>
      <c r="AU461" s="51">
        <v>496125.29190063447</v>
      </c>
      <c r="AV461" s="52">
        <v>2.2569209024909734E-3</v>
      </c>
      <c r="AW461" s="44">
        <v>148</v>
      </c>
      <c r="AX461" s="51">
        <v>369.05818252654097</v>
      </c>
      <c r="AY461" s="49">
        <v>308.140122044046</v>
      </c>
      <c r="AZ461" s="49">
        <v>0</v>
      </c>
      <c r="BA461" s="42" t="s">
        <v>152</v>
      </c>
      <c r="BB461" s="50">
        <v>0</v>
      </c>
      <c r="BC461" s="57">
        <v>496125.29190063447</v>
      </c>
      <c r="BD461" s="42" t="s">
        <v>150</v>
      </c>
      <c r="BE461" s="46">
        <v>64.519540229885095</v>
      </c>
      <c r="BF461" s="46">
        <v>83.628504672897193</v>
      </c>
      <c r="BG461" s="42" t="s">
        <v>152</v>
      </c>
      <c r="BH461" s="52">
        <v>0.36581629017316297</v>
      </c>
      <c r="BI461" s="52">
        <v>0.51187669456560203</v>
      </c>
      <c r="BJ461" s="42" t="s">
        <v>152</v>
      </c>
      <c r="BK461" s="46">
        <v>378.630523275862</v>
      </c>
      <c r="BL461" s="46">
        <v>638.00354527981403</v>
      </c>
      <c r="BM461" s="42" t="s">
        <v>152</v>
      </c>
      <c r="BN461" s="48">
        <v>0</v>
      </c>
      <c r="BO461" s="42" t="s">
        <v>155</v>
      </c>
      <c r="BP461" s="42" t="s">
        <v>152</v>
      </c>
      <c r="BQ461" s="46">
        <v>9992.3202375625297</v>
      </c>
      <c r="BR461" s="46">
        <v>67</v>
      </c>
      <c r="BS461" s="46">
        <v>2249</v>
      </c>
      <c r="BT461" s="46">
        <v>815</v>
      </c>
      <c r="BU461" s="46">
        <v>2.7595092024539878</v>
      </c>
      <c r="BV461" s="46">
        <v>12.164179104477611</v>
      </c>
      <c r="BW461" s="46">
        <v>542</v>
      </c>
      <c r="BX461" s="46">
        <v>208</v>
      </c>
      <c r="BY461" s="46">
        <v>750</v>
      </c>
      <c r="BZ461" s="46">
        <v>0.92024539877300615</v>
      </c>
      <c r="CA461" s="46">
        <v>0.66503067484662581</v>
      </c>
      <c r="CB461" s="46">
        <v>0.25521472392638039</v>
      </c>
      <c r="CC461" s="46">
        <v>7.9754601226993863E-2</v>
      </c>
      <c r="CD461" s="46">
        <v>0</v>
      </c>
      <c r="CE461" s="46">
        <v>0</v>
      </c>
      <c r="CF461" s="46">
        <v>0</v>
      </c>
      <c r="CG461" s="46">
        <v>0</v>
      </c>
      <c r="CH461" s="46">
        <v>0</v>
      </c>
      <c r="CI461" s="46">
        <v>8.8928412627834579</v>
      </c>
      <c r="CJ461" s="46">
        <v>1.7785682525566919</v>
      </c>
      <c r="CK461">
        <v>243</v>
      </c>
      <c r="CL461">
        <v>373.08</v>
      </c>
      <c r="CM461">
        <f t="shared" si="56"/>
        <v>130.07999999999998</v>
      </c>
      <c r="CN461">
        <v>6</v>
      </c>
      <c r="CO461">
        <v>9.4499999999999993</v>
      </c>
      <c r="CP461">
        <f t="shared" si="57"/>
        <v>3.4499999999999993</v>
      </c>
      <c r="CQ461">
        <v>846.56</v>
      </c>
      <c r="CR461">
        <v>378.63</v>
      </c>
      <c r="CS461">
        <f t="shared" si="58"/>
        <v>467.92999999999995</v>
      </c>
      <c r="CT461" t="s">
        <v>152</v>
      </c>
      <c r="CU461">
        <v>63.45</v>
      </c>
      <c r="CV461">
        <v>230</v>
      </c>
      <c r="CW461" s="46">
        <v>750</v>
      </c>
      <c r="CX461" s="46">
        <f t="shared" si="52"/>
        <v>76.063803680981593</v>
      </c>
      <c r="CY461" s="46">
        <v>130.08000000000001</v>
      </c>
      <c r="CZ461" s="46">
        <f t="shared" si="53"/>
        <v>92.024539877300612</v>
      </c>
      <c r="DA461" s="46">
        <f t="shared" si="54"/>
        <v>1610.6807995090362</v>
      </c>
      <c r="DB461" s="46">
        <v>1522222.21</v>
      </c>
      <c r="DC461" s="46">
        <f t="shared" si="55"/>
        <v>71.3021014094045</v>
      </c>
      <c r="DD461" s="46">
        <v>67386.19</v>
      </c>
      <c r="DE461" s="995">
        <v>750</v>
      </c>
      <c r="DF461" s="995">
        <v>78.831000000000003</v>
      </c>
      <c r="DG461" s="995">
        <v>107.5</v>
      </c>
      <c r="DH461" s="995">
        <v>92.025000000000006</v>
      </c>
      <c r="DI461" s="995">
        <v>4364.4440000000004</v>
      </c>
      <c r="DJ461" s="995">
        <v>4026308</v>
      </c>
      <c r="DK461" s="995">
        <v>189.90100000000001</v>
      </c>
      <c r="DL461" s="995">
        <v>175188.8</v>
      </c>
      <c r="DM461" s="995">
        <v>750</v>
      </c>
      <c r="DN461" s="995">
        <v>81.16</v>
      </c>
      <c r="DO461" s="995">
        <v>88.5</v>
      </c>
      <c r="DP461" s="995">
        <v>92.025000000000006</v>
      </c>
      <c r="DQ461" s="995">
        <v>4257.1350000000002</v>
      </c>
      <c r="DR461" s="995">
        <v>3846535</v>
      </c>
      <c r="DS461" s="995">
        <v>185.13800000000001</v>
      </c>
      <c r="DT461" s="995">
        <v>167281.1</v>
      </c>
    </row>
    <row r="462" spans="1:124">
      <c r="A462" s="42" t="s">
        <v>94</v>
      </c>
      <c r="B462" s="42" t="s">
        <v>549</v>
      </c>
      <c r="C462" s="42" t="s">
        <v>639</v>
      </c>
      <c r="D462" s="42">
        <v>820399</v>
      </c>
      <c r="E462" s="42" t="s">
        <v>680</v>
      </c>
      <c r="F462" s="42" t="s">
        <v>193</v>
      </c>
      <c r="G462" s="42" t="s">
        <v>150</v>
      </c>
      <c r="H462" s="43" t="s">
        <v>152</v>
      </c>
      <c r="I462" s="44">
        <v>63</v>
      </c>
      <c r="J462" s="45">
        <v>0</v>
      </c>
      <c r="K462" s="46">
        <v>533.91980000000001</v>
      </c>
      <c r="L462" s="47">
        <v>533.91980000000001</v>
      </c>
      <c r="M462" s="48">
        <v>0</v>
      </c>
      <c r="N462" s="49">
        <v>0</v>
      </c>
      <c r="O462" s="49">
        <v>0</v>
      </c>
      <c r="P462" s="49">
        <v>0</v>
      </c>
      <c r="Q462" s="50">
        <v>0</v>
      </c>
      <c r="R462" s="51">
        <v>23123.721873054299</v>
      </c>
      <c r="S462" s="49">
        <v>37603.729589071001</v>
      </c>
      <c r="T462" s="49">
        <v>8068.5083984801104</v>
      </c>
      <c r="U462" s="49">
        <f>IFERROR(INDEX('Rentabilidad datos'!$N$2:$N$61,MATCH($C462,'Rentabilidad datos'!$C$2:$C$61,0)),"")</f>
        <v>68795.959860605391</v>
      </c>
      <c r="V462" s="50">
        <f>IFERROR(INDEX('Rentabilidad datos'!$O$2:$O$61,MATCH($C462,'Rentabilidad datos'!$C$2:$C$61,0)),"")</f>
        <v>1166.0332179763625</v>
      </c>
      <c r="W462" s="51">
        <f>IFERROR(INDEX('Rentabilidad datos'!$M$2:$M$61,MATCH($C462,'Rentabilidad datos'!$C$2:$C$61,0)),"")</f>
        <v>3116.1708958203221</v>
      </c>
      <c r="X462" s="52">
        <f>IFERROR(INDEX('Rentabilidad datos'!$P$2:$P$61,MATCH($C462,'Rentabilidad datos'!$C$2:$C$61,0)),"")</f>
        <v>0.37418782761251868</v>
      </c>
      <c r="Y462" s="43" t="s">
        <v>171</v>
      </c>
      <c r="Z462" s="53">
        <v>2</v>
      </c>
      <c r="AA462" s="43">
        <v>2</v>
      </c>
      <c r="AB462" s="54">
        <v>0</v>
      </c>
      <c r="AC462" s="55">
        <v>0</v>
      </c>
      <c r="AD462" s="752" t="e">
        <f>_xlfn.XLOOKUP(Table1[[#This Row],[Ruta]],#REF!,#REF!)</f>
        <v>#REF!</v>
      </c>
      <c r="AE462" s="752" t="e">
        <f>_xlfn.XLOOKUP(Table1[[#This Row],[Ruta]],#REF!,#REF!)</f>
        <v>#REF!</v>
      </c>
      <c r="AF462" s="752" t="e">
        <f>_xlfn.XLOOKUP(Table1[[#This Row],[Ruta]],#REF!,#REF!)</f>
        <v>#REF!</v>
      </c>
      <c r="AG462" s="752" t="e">
        <f>_xlfn.XLOOKUP(Table1[[#This Row],[Ruta]],#REF!,#REF!)</f>
        <v>#REF!</v>
      </c>
      <c r="AH462" s="52">
        <v>0</v>
      </c>
      <c r="AI462" s="52">
        <v>0</v>
      </c>
      <c r="AJ462" s="55">
        <v>0</v>
      </c>
      <c r="AK462" s="56">
        <v>8</v>
      </c>
      <c r="AL462" s="44">
        <v>2</v>
      </c>
      <c r="AM462" s="54">
        <v>0.25</v>
      </c>
      <c r="AN462" s="55">
        <v>0.50214093649930203</v>
      </c>
      <c r="AO462" s="56">
        <v>0</v>
      </c>
      <c r="AP462" s="48">
        <v>0</v>
      </c>
      <c r="AQ462" s="55">
        <v>0.25</v>
      </c>
      <c r="AR462" s="51">
        <v>0</v>
      </c>
      <c r="AS462" s="49">
        <v>0</v>
      </c>
      <c r="AT462" s="55">
        <v>0</v>
      </c>
      <c r="AU462" s="51">
        <v>0</v>
      </c>
      <c r="AV462" s="52">
        <v>0</v>
      </c>
      <c r="AW462" s="44">
        <v>490</v>
      </c>
      <c r="AX462" s="51">
        <v>0</v>
      </c>
      <c r="AY462" s="49">
        <v>308.140122044046</v>
      </c>
      <c r="AZ462" s="49">
        <v>308.140122044046</v>
      </c>
      <c r="BA462" s="42" t="s">
        <v>150</v>
      </c>
      <c r="BB462" s="50">
        <v>216.53089657149187</v>
      </c>
      <c r="BC462" s="57">
        <v>216.53089657149187</v>
      </c>
      <c r="BD462" s="42" t="s">
        <v>152</v>
      </c>
      <c r="BE462" s="46" t="s">
        <v>195</v>
      </c>
      <c r="BF462" s="46" t="s">
        <v>195</v>
      </c>
      <c r="BG462" s="42" t="s">
        <v>195</v>
      </c>
      <c r="BH462" s="52" t="s">
        <v>195</v>
      </c>
      <c r="BI462" s="52" t="s">
        <v>195</v>
      </c>
      <c r="BJ462" s="42" t="s">
        <v>195</v>
      </c>
      <c r="BK462" s="46" t="s">
        <v>195</v>
      </c>
      <c r="BL462" s="46" t="s">
        <v>195</v>
      </c>
      <c r="BM462" s="42" t="s">
        <v>195</v>
      </c>
      <c r="BN462" s="48" t="s">
        <v>195</v>
      </c>
      <c r="BO462" s="42" t="s">
        <v>195</v>
      </c>
      <c r="BP462" s="42" t="s">
        <v>152</v>
      </c>
      <c r="BQ462" s="46">
        <v>0</v>
      </c>
      <c r="BR462" s="46" t="e">
        <v>#N/A</v>
      </c>
      <c r="BS462" s="46" t="e">
        <v>#N/A</v>
      </c>
      <c r="BT462" s="46" t="e">
        <v>#N/A</v>
      </c>
      <c r="BU462" s="46" t="e">
        <v>#N/A</v>
      </c>
      <c r="BV462" s="46" t="e">
        <v>#N/A</v>
      </c>
      <c r="BW462" s="46" t="e">
        <v>#N/A</v>
      </c>
      <c r="BX462" s="46" t="e">
        <v>#N/A</v>
      </c>
      <c r="BY462" s="46" t="e">
        <v>#N/A</v>
      </c>
      <c r="BZ462" s="46" t="e">
        <v>#N/A</v>
      </c>
      <c r="CA462" s="46" t="e">
        <v>#N/A</v>
      </c>
      <c r="CB462" s="46" t="e">
        <v>#N/A</v>
      </c>
      <c r="CC462" s="46" t="e">
        <v>#N/A</v>
      </c>
      <c r="CD462" s="46" t="e">
        <v>#N/A</v>
      </c>
      <c r="CE462" s="46" t="e">
        <v>#N/A</v>
      </c>
      <c r="CF462" s="46" t="e">
        <v>#N/A</v>
      </c>
      <c r="CG462" s="46" t="e">
        <v>#N/A</v>
      </c>
      <c r="CH462" s="46" t="e">
        <v>#N/A</v>
      </c>
      <c r="CI462" s="46" t="e">
        <v>#N/A</v>
      </c>
      <c r="CJ462" s="46" t="e">
        <v>#N/A</v>
      </c>
      <c r="CM462">
        <f t="shared" si="56"/>
        <v>0</v>
      </c>
      <c r="CP462">
        <f t="shared" si="57"/>
        <v>0</v>
      </c>
      <c r="CS462">
        <f t="shared" si="58"/>
        <v>0</v>
      </c>
      <c r="CW462" s="46"/>
      <c r="CX462" s="46" t="e">
        <f t="shared" si="52"/>
        <v>#N/A</v>
      </c>
      <c r="CY462" s="46"/>
      <c r="CZ462" s="46" t="e">
        <f t="shared" si="53"/>
        <v>#N/A</v>
      </c>
      <c r="DA462" s="46" t="e">
        <f t="shared" si="54"/>
        <v>#N/A</v>
      </c>
      <c r="DB462" s="46"/>
      <c r="DC462" s="46" t="e">
        <f t="shared" si="55"/>
        <v>#N/A</v>
      </c>
      <c r="DD462" s="46"/>
      <c r="DE462" s="995" t="s">
        <v>194</v>
      </c>
      <c r="DF462" s="995" t="s">
        <v>194</v>
      </c>
      <c r="DG462" s="995" t="s">
        <v>194</v>
      </c>
      <c r="DH462" s="995" t="s">
        <v>194</v>
      </c>
      <c r="DI462" s="995" t="s">
        <v>194</v>
      </c>
      <c r="DJ462" s="995" t="s">
        <v>194</v>
      </c>
      <c r="DK462" s="995" t="s">
        <v>194</v>
      </c>
      <c r="DL462" s="995" t="s">
        <v>194</v>
      </c>
      <c r="DM462" s="995" t="s">
        <v>194</v>
      </c>
      <c r="DN462" s="995" t="s">
        <v>194</v>
      </c>
      <c r="DO462" s="995" t="s">
        <v>194</v>
      </c>
      <c r="DP462" s="995" t="s">
        <v>194</v>
      </c>
      <c r="DQ462" s="995" t="s">
        <v>194</v>
      </c>
      <c r="DR462" s="995" t="s">
        <v>194</v>
      </c>
      <c r="DS462" s="995" t="s">
        <v>194</v>
      </c>
      <c r="DT462" s="995" t="s">
        <v>194</v>
      </c>
    </row>
    <row r="463" spans="1:124">
      <c r="A463" s="42" t="s">
        <v>94</v>
      </c>
      <c r="B463" s="42" t="s">
        <v>549</v>
      </c>
      <c r="C463" s="42" t="s">
        <v>639</v>
      </c>
      <c r="D463" s="42">
        <v>820401</v>
      </c>
      <c r="E463" s="42" t="s">
        <v>681</v>
      </c>
      <c r="F463" s="42" t="s">
        <v>149</v>
      </c>
      <c r="G463" s="42" t="s">
        <v>150</v>
      </c>
      <c r="H463" s="43" t="s">
        <v>150</v>
      </c>
      <c r="I463" s="44">
        <v>63</v>
      </c>
      <c r="J463" s="45">
        <v>214080.904799999</v>
      </c>
      <c r="K463" s="46">
        <v>12040.824033999999</v>
      </c>
      <c r="L463" s="47">
        <v>226121.72883399899</v>
      </c>
      <c r="M463" s="48">
        <v>4599473</v>
      </c>
      <c r="N463" s="49">
        <v>3118620</v>
      </c>
      <c r="O463" s="49">
        <v>1458076</v>
      </c>
      <c r="P463" s="49">
        <v>22777</v>
      </c>
      <c r="Q463" s="50">
        <v>10643.4788604651</v>
      </c>
      <c r="R463" s="51">
        <v>23123.721873054299</v>
      </c>
      <c r="S463" s="49">
        <v>37603.729589071001</v>
      </c>
      <c r="T463" s="49">
        <v>8068.5083984801104</v>
      </c>
      <c r="U463" s="49">
        <f>IFERROR(INDEX('Rentabilidad datos'!$N$2:$N$61,MATCH($C463,'Rentabilidad datos'!$C$2:$C$61,0)),"")</f>
        <v>68795.959860605391</v>
      </c>
      <c r="V463" s="50">
        <f>IFERROR(INDEX('Rentabilidad datos'!$O$2:$O$61,MATCH($C463,'Rentabilidad datos'!$C$2:$C$61,0)),"")</f>
        <v>1166.0332179763625</v>
      </c>
      <c r="W463" s="51">
        <f>IFERROR(INDEX('Rentabilidad datos'!$M$2:$M$61,MATCH($C463,'Rentabilidad datos'!$C$2:$C$61,0)),"")</f>
        <v>3116.1708958203221</v>
      </c>
      <c r="X463" s="52">
        <f>IFERROR(INDEX('Rentabilidad datos'!$P$2:$P$61,MATCH($C463,'Rentabilidad datos'!$C$2:$C$61,0)),"")</f>
        <v>0.37418782761251868</v>
      </c>
      <c r="Y463" s="43" t="s">
        <v>171</v>
      </c>
      <c r="Z463" s="53">
        <v>86.553488372093</v>
      </c>
      <c r="AA463" s="43">
        <v>2</v>
      </c>
      <c r="AB463" s="54">
        <v>0.97472949618358451</v>
      </c>
      <c r="AC463" s="55">
        <v>2.527050381641549E-2</v>
      </c>
      <c r="AD463" s="752" t="e">
        <f>_xlfn.XLOOKUP(Table1[[#This Row],[Ruta]],#REF!,#REF!)</f>
        <v>#REF!</v>
      </c>
      <c r="AE463" s="752" t="e">
        <f>_xlfn.XLOOKUP(Table1[[#This Row],[Ruta]],#REF!,#REF!)</f>
        <v>#REF!</v>
      </c>
      <c r="AF463" s="752" t="e">
        <f>_xlfn.XLOOKUP(Table1[[#This Row],[Ruta]],#REF!,#REF!)</f>
        <v>#REF!</v>
      </c>
      <c r="AG463" s="752" t="e">
        <f>_xlfn.XLOOKUP(Table1[[#This Row],[Ruta]],#REF!,#REF!)</f>
        <v>#REF!</v>
      </c>
      <c r="AH463" s="52">
        <v>0.67803854919900608</v>
      </c>
      <c r="AI463" s="52">
        <v>0.31700936172470195</v>
      </c>
      <c r="AJ463" s="55">
        <v>4.9520890762920012E-3</v>
      </c>
      <c r="AK463" s="56">
        <v>37218</v>
      </c>
      <c r="AL463" s="44">
        <v>22552</v>
      </c>
      <c r="AM463" s="54">
        <v>0.60594336073942701</v>
      </c>
      <c r="AN463" s="55">
        <v>0.50214093649930203</v>
      </c>
      <c r="AO463" s="56">
        <v>0</v>
      </c>
      <c r="AP463" s="48">
        <v>0</v>
      </c>
      <c r="AQ463" s="55">
        <v>0.60594336073942712</v>
      </c>
      <c r="AR463" s="51">
        <v>4576695.91</v>
      </c>
      <c r="AS463" s="49">
        <v>0</v>
      </c>
      <c r="AT463" s="55">
        <v>0</v>
      </c>
      <c r="AU463" s="51">
        <v>0</v>
      </c>
      <c r="AV463" s="52">
        <v>0</v>
      </c>
      <c r="AW463" s="44">
        <v>490</v>
      </c>
      <c r="AX463" s="51">
        <v>202.93969093650199</v>
      </c>
      <c r="AY463" s="49">
        <v>308.140122044046</v>
      </c>
      <c r="AZ463" s="49">
        <v>105.20043110754401</v>
      </c>
      <c r="BA463" s="42" t="s">
        <v>150</v>
      </c>
      <c r="BB463" s="50">
        <v>833574.09703744145</v>
      </c>
      <c r="BC463" s="57">
        <v>833574.09703744145</v>
      </c>
      <c r="BD463" s="42" t="s">
        <v>150</v>
      </c>
      <c r="BE463" s="46">
        <v>86.553488372093</v>
      </c>
      <c r="BF463" s="46">
        <v>83.628504672897193</v>
      </c>
      <c r="BG463" s="42" t="s">
        <v>150</v>
      </c>
      <c r="BH463" s="52">
        <v>0.60594336073942701</v>
      </c>
      <c r="BI463" s="52">
        <v>0.51187669456560203</v>
      </c>
      <c r="BJ463" s="42" t="s">
        <v>150</v>
      </c>
      <c r="BK463" s="46">
        <v>525.86448566046295</v>
      </c>
      <c r="BL463" s="46">
        <v>638.00354527981403</v>
      </c>
      <c r="BM463" s="42" t="s">
        <v>152</v>
      </c>
      <c r="BN463" s="48">
        <v>2</v>
      </c>
      <c r="BO463" s="42" t="s">
        <v>161</v>
      </c>
      <c r="BP463" s="42" t="s">
        <v>152</v>
      </c>
      <c r="BQ463" s="46">
        <v>0</v>
      </c>
      <c r="BR463" s="46">
        <v>151</v>
      </c>
      <c r="BS463" s="46">
        <v>10448</v>
      </c>
      <c r="BT463" s="46">
        <v>3254</v>
      </c>
      <c r="BU463" s="46">
        <v>3.2108174554394591</v>
      </c>
      <c r="BV463" s="46">
        <v>21.549668874172184</v>
      </c>
      <c r="BW463" s="46">
        <v>0</v>
      </c>
      <c r="BX463" s="46">
        <v>3254</v>
      </c>
      <c r="BY463" s="46">
        <v>3254</v>
      </c>
      <c r="BZ463" s="46">
        <v>1</v>
      </c>
      <c r="CA463" s="46">
        <v>0</v>
      </c>
      <c r="CB463" s="46">
        <v>1</v>
      </c>
      <c r="CC463" s="46">
        <v>0</v>
      </c>
      <c r="CD463" s="46">
        <v>0</v>
      </c>
      <c r="CE463" s="46">
        <v>0</v>
      </c>
      <c r="CF463" s="46">
        <v>0</v>
      </c>
      <c r="CG463" s="46">
        <v>0</v>
      </c>
      <c r="CH463" s="46">
        <v>0</v>
      </c>
      <c r="CI463" s="46">
        <v>4.9770290964777946</v>
      </c>
      <c r="CJ463" s="46">
        <v>9.5712098009188368E-2</v>
      </c>
      <c r="CK463">
        <v>372</v>
      </c>
      <c r="CL463">
        <v>511.06</v>
      </c>
      <c r="CM463">
        <f t="shared" si="56"/>
        <v>139.06</v>
      </c>
      <c r="CN463">
        <v>9.57</v>
      </c>
      <c r="CO463">
        <v>9.4499999999999993</v>
      </c>
      <c r="CP463">
        <f t="shared" si="57"/>
        <v>-0.12000000000000099</v>
      </c>
      <c r="CQ463">
        <v>846.56</v>
      </c>
      <c r="CR463">
        <v>525.86</v>
      </c>
      <c r="CS463">
        <f t="shared" si="58"/>
        <v>320.69999999999993</v>
      </c>
      <c r="CT463" t="s">
        <v>150</v>
      </c>
      <c r="CU463">
        <v>103.3</v>
      </c>
      <c r="CV463">
        <v>368</v>
      </c>
      <c r="CW463" s="46">
        <v>3254</v>
      </c>
      <c r="CX463" s="46">
        <f t="shared" si="52"/>
        <v>95.726490473263681</v>
      </c>
      <c r="CY463" s="46">
        <v>139.06</v>
      </c>
      <c r="CZ463" s="46">
        <f t="shared" si="53"/>
        <v>100</v>
      </c>
      <c r="DA463" s="46">
        <f t="shared" si="54"/>
        <v>449.88217420263715</v>
      </c>
      <c r="DB463" s="46">
        <v>1526477.21</v>
      </c>
      <c r="DC463" s="46">
        <f t="shared" si="55"/>
        <v>21.370727308093581</v>
      </c>
      <c r="DD463" s="46">
        <v>72512.160000000003</v>
      </c>
      <c r="DE463" s="995">
        <v>3254</v>
      </c>
      <c r="DF463" s="995">
        <v>95.801000000000002</v>
      </c>
      <c r="DG463" s="995">
        <v>136.6</v>
      </c>
      <c r="DH463" s="995">
        <v>100</v>
      </c>
      <c r="DI463" s="995">
        <v>1470.626</v>
      </c>
      <c r="DJ463" s="995">
        <v>4986369</v>
      </c>
      <c r="DK463" s="995">
        <v>69.888000000000005</v>
      </c>
      <c r="DL463" s="995">
        <v>236965.6</v>
      </c>
      <c r="DM463" s="995">
        <v>3254</v>
      </c>
      <c r="DN463" s="995">
        <v>95.86</v>
      </c>
      <c r="DO463" s="995">
        <v>134.69999999999999</v>
      </c>
      <c r="DP463" s="995">
        <v>100</v>
      </c>
      <c r="DQ463" s="995">
        <v>1466.807</v>
      </c>
      <c r="DR463" s="995">
        <v>4970570</v>
      </c>
      <c r="DS463" s="995">
        <v>69.706999999999994</v>
      </c>
      <c r="DT463" s="995">
        <v>236216.9</v>
      </c>
    </row>
    <row r="464" spans="1:124">
      <c r="A464" s="42" t="s">
        <v>94</v>
      </c>
      <c r="B464" s="42" t="s">
        <v>549</v>
      </c>
      <c r="C464" s="42" t="s">
        <v>639</v>
      </c>
      <c r="D464" s="42">
        <v>820404</v>
      </c>
      <c r="E464" s="42" t="s">
        <v>682</v>
      </c>
      <c r="F464" s="42" t="s">
        <v>149</v>
      </c>
      <c r="G464" s="42" t="s">
        <v>150</v>
      </c>
      <c r="H464" s="43" t="s">
        <v>150</v>
      </c>
      <c r="I464" s="44">
        <v>63</v>
      </c>
      <c r="J464" s="45">
        <v>150994.72080000001</v>
      </c>
      <c r="K464" s="46">
        <v>8054.5030660000002</v>
      </c>
      <c r="L464" s="47">
        <v>159049.22386599999</v>
      </c>
      <c r="M464" s="48">
        <v>3074035</v>
      </c>
      <c r="N464" s="49">
        <v>2163876</v>
      </c>
      <c r="O464" s="49">
        <v>892032</v>
      </c>
      <c r="P464" s="49">
        <v>18127</v>
      </c>
      <c r="Q464" s="50">
        <v>7073.8591898148197</v>
      </c>
      <c r="R464" s="51">
        <v>23123.721873054299</v>
      </c>
      <c r="S464" s="49">
        <v>37603.729589071001</v>
      </c>
      <c r="T464" s="49">
        <v>8068.5083984801104</v>
      </c>
      <c r="U464" s="49">
        <f>IFERROR(INDEX('Rentabilidad datos'!$N$2:$N$61,MATCH($C464,'Rentabilidad datos'!$C$2:$C$61,0)),"")</f>
        <v>68795.959860605391</v>
      </c>
      <c r="V464" s="50">
        <f>IFERROR(INDEX('Rentabilidad datos'!$O$2:$O$61,MATCH($C464,'Rentabilidad datos'!$C$2:$C$61,0)),"")</f>
        <v>1166.0332179763625</v>
      </c>
      <c r="W464" s="51">
        <f>IFERROR(INDEX('Rentabilidad datos'!$M$2:$M$61,MATCH($C464,'Rentabilidad datos'!$C$2:$C$61,0)),"")</f>
        <v>3116.1708958203221</v>
      </c>
      <c r="X464" s="52">
        <f>IFERROR(INDEX('Rentabilidad datos'!$P$2:$P$61,MATCH($C464,'Rentabilidad datos'!$C$2:$C$61,0)),"")</f>
        <v>0.37418782761251868</v>
      </c>
      <c r="Y464" s="43" t="s">
        <v>171</v>
      </c>
      <c r="Z464" s="53">
        <v>69.2013888888889</v>
      </c>
      <c r="AA464" s="43">
        <v>2</v>
      </c>
      <c r="AB464" s="54">
        <v>0.92366124653753134</v>
      </c>
      <c r="AC464" s="55">
        <v>7.6338753462468711E-2</v>
      </c>
      <c r="AD464" s="752" t="e">
        <f>_xlfn.XLOOKUP(Table1[[#This Row],[Ruta]],#REF!,#REF!)</f>
        <v>#REF!</v>
      </c>
      <c r="AE464" s="752" t="e">
        <f>_xlfn.XLOOKUP(Table1[[#This Row],[Ruta]],#REF!,#REF!)</f>
        <v>#REF!</v>
      </c>
      <c r="AF464" s="752" t="e">
        <f>_xlfn.XLOOKUP(Table1[[#This Row],[Ruta]],#REF!,#REF!)</f>
        <v>#REF!</v>
      </c>
      <c r="AG464" s="752" t="e">
        <f>_xlfn.XLOOKUP(Table1[[#This Row],[Ruta]],#REF!,#REF!)</f>
        <v>#REF!</v>
      </c>
      <c r="AH464" s="52">
        <v>0.70392041730168975</v>
      </c>
      <c r="AI464" s="52">
        <v>0.29018277280512422</v>
      </c>
      <c r="AJ464" s="55">
        <v>5.8968098931859916E-3</v>
      </c>
      <c r="AK464" s="56">
        <v>29895</v>
      </c>
      <c r="AL464" s="44">
        <v>12854</v>
      </c>
      <c r="AM464" s="54">
        <v>0.42997156715169799</v>
      </c>
      <c r="AN464" s="55">
        <v>0.50214093649930203</v>
      </c>
      <c r="AO464" s="56">
        <v>2157.5032966466301</v>
      </c>
      <c r="AP464" s="48">
        <v>1078.7516483233151</v>
      </c>
      <c r="AQ464" s="55">
        <v>0.46605625182549976</v>
      </c>
      <c r="AR464" s="51">
        <v>3055907.17</v>
      </c>
      <c r="AS464" s="49">
        <v>256462.1827260415</v>
      </c>
      <c r="AT464" s="55">
        <v>8.3923420594625431E-2</v>
      </c>
      <c r="AU464" s="51">
        <v>180216.66894262383</v>
      </c>
      <c r="AV464" s="52">
        <v>8.1982268139509746E-4</v>
      </c>
      <c r="AW464" s="44">
        <v>326</v>
      </c>
      <c r="AX464" s="51">
        <v>237.739782946943</v>
      </c>
      <c r="AY464" s="49">
        <v>308.140122044046</v>
      </c>
      <c r="AZ464" s="49">
        <v>70.400339097103</v>
      </c>
      <c r="BA464" s="42" t="s">
        <v>150</v>
      </c>
      <c r="BB464" s="50">
        <v>317946.95848119218</v>
      </c>
      <c r="BC464" s="57">
        <v>498163.62742381601</v>
      </c>
      <c r="BD464" s="42" t="s">
        <v>150</v>
      </c>
      <c r="BE464" s="46">
        <v>69.2013888888889</v>
      </c>
      <c r="BF464" s="46">
        <v>83.628504672897193</v>
      </c>
      <c r="BG464" s="42" t="s">
        <v>152</v>
      </c>
      <c r="BH464" s="52">
        <v>0.42997156715169799</v>
      </c>
      <c r="BI464" s="52">
        <v>0.51187669456560203</v>
      </c>
      <c r="BJ464" s="42" t="s">
        <v>152</v>
      </c>
      <c r="BK464" s="46">
        <v>368.16949968981498</v>
      </c>
      <c r="BL464" s="46">
        <v>638.00354527981403</v>
      </c>
      <c r="BM464" s="42" t="s">
        <v>152</v>
      </c>
      <c r="BN464" s="48">
        <v>0</v>
      </c>
      <c r="BO464" s="42" t="s">
        <v>155</v>
      </c>
      <c r="BP464" s="42" t="s">
        <v>152</v>
      </c>
      <c r="BQ464" s="46">
        <v>6023.3369602103003</v>
      </c>
      <c r="BR464" s="46">
        <v>444</v>
      </c>
      <c r="BS464" s="46">
        <v>35990</v>
      </c>
      <c r="BT464" s="46">
        <v>8161</v>
      </c>
      <c r="BU464" s="46">
        <v>4.409998774659968</v>
      </c>
      <c r="BV464" s="46">
        <v>18.38063063063063</v>
      </c>
      <c r="BW464" s="46">
        <v>0</v>
      </c>
      <c r="BX464" s="46">
        <v>1974</v>
      </c>
      <c r="BY464" s="46">
        <v>1974</v>
      </c>
      <c r="BZ464" s="46">
        <v>0.24188212228893519</v>
      </c>
      <c r="CA464" s="46">
        <v>0</v>
      </c>
      <c r="CB464" s="46">
        <v>0.24188212228893519</v>
      </c>
      <c r="CC464" s="46">
        <v>0.25327778458522238</v>
      </c>
      <c r="CD464" s="46">
        <v>9.2390638402156597E-2</v>
      </c>
      <c r="CE464" s="46">
        <v>0</v>
      </c>
      <c r="CF464" s="46">
        <v>0.40852836662173753</v>
      </c>
      <c r="CG464" s="46">
        <v>3.7985540987624071E-3</v>
      </c>
      <c r="CH464" s="46">
        <v>1.2253400318588411E-4</v>
      </c>
      <c r="CI464" s="46">
        <v>5.9460961378160606</v>
      </c>
      <c r="CJ464" s="46">
        <v>5.5570991942206167E-2</v>
      </c>
      <c r="CK464">
        <v>329</v>
      </c>
      <c r="CL464">
        <v>394.32</v>
      </c>
      <c r="CM464">
        <f t="shared" si="56"/>
        <v>65.319999999999993</v>
      </c>
      <c r="CN464">
        <v>13.17</v>
      </c>
      <c r="CO464">
        <v>9.4499999999999993</v>
      </c>
      <c r="CP464">
        <f t="shared" si="57"/>
        <v>-3.7200000000000006</v>
      </c>
      <c r="CQ464">
        <v>282.19</v>
      </c>
      <c r="CR464">
        <v>368.17</v>
      </c>
      <c r="CS464">
        <f t="shared" si="58"/>
        <v>-85.980000000000018</v>
      </c>
      <c r="CT464" t="s">
        <v>150</v>
      </c>
      <c r="CU464">
        <v>139.37</v>
      </c>
      <c r="CV464">
        <v>177</v>
      </c>
      <c r="CW464" s="46">
        <v>1974</v>
      </c>
      <c r="CX464" s="46">
        <f t="shared" si="52"/>
        <v>23.387820120083326</v>
      </c>
      <c r="CY464" s="46">
        <v>65.319999999999993</v>
      </c>
      <c r="CZ464" s="46">
        <f t="shared" si="53"/>
        <v>24.188212228893519</v>
      </c>
      <c r="DA464" s="46">
        <f t="shared" si="54"/>
        <v>131.17646164992368</v>
      </c>
      <c r="DB464" s="46">
        <v>1079099.55</v>
      </c>
      <c r="DC464" s="46">
        <f t="shared" si="55"/>
        <v>6.7336998803839387</v>
      </c>
      <c r="DD464" s="46">
        <v>55393.57</v>
      </c>
      <c r="DE464" s="995">
        <v>1974</v>
      </c>
      <c r="DF464" s="995">
        <v>23.388000000000002</v>
      </c>
      <c r="DG464" s="995">
        <v>65.3</v>
      </c>
      <c r="DH464" s="995">
        <v>24.187999999999999</v>
      </c>
      <c r="DI464" s="995">
        <v>426.04199999999997</v>
      </c>
      <c r="DJ464" s="995">
        <v>3504760</v>
      </c>
      <c r="DK464" s="995">
        <v>20.803000000000001</v>
      </c>
      <c r="DL464" s="995">
        <v>171135.5</v>
      </c>
      <c r="DM464" s="995">
        <v>1974</v>
      </c>
      <c r="DN464" s="995">
        <v>23.388000000000002</v>
      </c>
      <c r="DO464" s="995">
        <v>65.3</v>
      </c>
      <c r="DP464" s="995">
        <v>24.187999999999999</v>
      </c>
      <c r="DQ464" s="995">
        <v>426.04199999999997</v>
      </c>
      <c r="DR464" s="995">
        <v>3504760</v>
      </c>
      <c r="DS464" s="995">
        <v>20.803000000000001</v>
      </c>
      <c r="DT464" s="995">
        <v>171135.5</v>
      </c>
    </row>
    <row r="465" spans="1:124">
      <c r="A465" s="42" t="s">
        <v>94</v>
      </c>
      <c r="B465" s="42" t="s">
        <v>549</v>
      </c>
      <c r="C465" s="42" t="s">
        <v>639</v>
      </c>
      <c r="D465" s="42">
        <v>820409</v>
      </c>
      <c r="E465" s="42" t="s">
        <v>683</v>
      </c>
      <c r="F465" s="42" t="s">
        <v>149</v>
      </c>
      <c r="G465" s="42" t="s">
        <v>150</v>
      </c>
      <c r="H465" s="43" t="s">
        <v>150</v>
      </c>
      <c r="I465" s="44">
        <v>63</v>
      </c>
      <c r="J465" s="45">
        <v>241692.99839999899</v>
      </c>
      <c r="K465" s="46">
        <v>7989.0602630000003</v>
      </c>
      <c r="L465" s="47">
        <v>249682.05866299901</v>
      </c>
      <c r="M465" s="48">
        <v>4691084</v>
      </c>
      <c r="N465" s="49">
        <v>3529803</v>
      </c>
      <c r="O465" s="49">
        <v>1129557</v>
      </c>
      <c r="P465" s="49">
        <v>31724</v>
      </c>
      <c r="Q465" s="50">
        <v>10760.6433949192</v>
      </c>
      <c r="R465" s="51">
        <v>23123.721873054299</v>
      </c>
      <c r="S465" s="49">
        <v>37603.729589071001</v>
      </c>
      <c r="T465" s="49">
        <v>8068.5083984801104</v>
      </c>
      <c r="U465" s="49">
        <f>IFERROR(INDEX('Rentabilidad datos'!$N$2:$N$61,MATCH($C465,'Rentabilidad datos'!$C$2:$C$61,0)),"")</f>
        <v>68795.959860605391</v>
      </c>
      <c r="V465" s="50">
        <f>IFERROR(INDEX('Rentabilidad datos'!$O$2:$O$61,MATCH($C465,'Rentabilidad datos'!$C$2:$C$61,0)),"")</f>
        <v>1166.0332179763625</v>
      </c>
      <c r="W465" s="51">
        <f>IFERROR(INDEX('Rentabilidad datos'!$M$2:$M$61,MATCH($C465,'Rentabilidad datos'!$C$2:$C$61,0)),"")</f>
        <v>3116.1708958203221</v>
      </c>
      <c r="X465" s="52">
        <f>IFERROR(INDEX('Rentabilidad datos'!$P$2:$P$61,MATCH($C465,'Rentabilidad datos'!$C$2:$C$61,0)),"")</f>
        <v>0.37418782761251868</v>
      </c>
      <c r="Y465" s="43" t="s">
        <v>171</v>
      </c>
      <c r="Z465" s="53">
        <v>89.311778290993104</v>
      </c>
      <c r="AA465" s="43">
        <v>2</v>
      </c>
      <c r="AB465" s="54">
        <v>0.95013412678178433</v>
      </c>
      <c r="AC465" s="55">
        <v>4.9865873218215659E-2</v>
      </c>
      <c r="AD465" s="752" t="e">
        <f>_xlfn.XLOOKUP(Table1[[#This Row],[Ruta]],#REF!,#REF!)</f>
        <v>#REF!</v>
      </c>
      <c r="AE465" s="752" t="e">
        <f>_xlfn.XLOOKUP(Table1[[#This Row],[Ruta]],#REF!,#REF!)</f>
        <v>#REF!</v>
      </c>
      <c r="AF465" s="752" t="e">
        <f>_xlfn.XLOOKUP(Table1[[#This Row],[Ruta]],#REF!,#REF!)</f>
        <v>#REF!</v>
      </c>
      <c r="AG465" s="752" t="e">
        <f>_xlfn.XLOOKUP(Table1[[#This Row],[Ruta]],#REF!,#REF!)</f>
        <v>#REF!</v>
      </c>
      <c r="AH465" s="52">
        <v>0.75244932727702174</v>
      </c>
      <c r="AI465" s="52">
        <v>0.24078805666238337</v>
      </c>
      <c r="AJ465" s="55">
        <v>6.76261606059495E-3</v>
      </c>
      <c r="AK465" s="56">
        <v>38672</v>
      </c>
      <c r="AL465" s="44">
        <v>18056</v>
      </c>
      <c r="AM465" s="54">
        <v>0.46690111708729798</v>
      </c>
      <c r="AN465" s="55">
        <v>0.50214093649930203</v>
      </c>
      <c r="AO465" s="56">
        <v>1362.794296301</v>
      </c>
      <c r="AP465" s="48">
        <v>681.39714815050002</v>
      </c>
      <c r="AQ465" s="55">
        <v>0.48452102679330006</v>
      </c>
      <c r="AR465" s="51">
        <v>4659358.59</v>
      </c>
      <c r="AS465" s="49">
        <v>175834.8280591795</v>
      </c>
      <c r="AT465" s="55">
        <v>3.7737990039349925E-2</v>
      </c>
      <c r="AU465" s="51">
        <v>123559.60890645051</v>
      </c>
      <c r="AV465" s="52">
        <v>5.620843536846532E-4</v>
      </c>
      <c r="AW465" s="44">
        <v>377</v>
      </c>
      <c r="AX465" s="51">
        <v>258.05043143553399</v>
      </c>
      <c r="AY465" s="49">
        <v>308.140122044046</v>
      </c>
      <c r="AZ465" s="49">
        <v>50.089690608512001</v>
      </c>
      <c r="BA465" s="42" t="s">
        <v>150</v>
      </c>
      <c r="BB465" s="50">
        <v>317768.99722040026</v>
      </c>
      <c r="BC465" s="57">
        <v>441328.60612685076</v>
      </c>
      <c r="BD465" s="42" t="s">
        <v>150</v>
      </c>
      <c r="BE465" s="46">
        <v>89.311778290993104</v>
      </c>
      <c r="BF465" s="46">
        <v>83.628504672897193</v>
      </c>
      <c r="BG465" s="42" t="s">
        <v>150</v>
      </c>
      <c r="BH465" s="52">
        <v>0.46690111708729798</v>
      </c>
      <c r="BI465" s="52">
        <v>0.51187669456560203</v>
      </c>
      <c r="BJ465" s="42" t="s">
        <v>152</v>
      </c>
      <c r="BK465" s="46">
        <v>576.63292993764196</v>
      </c>
      <c r="BL465" s="46">
        <v>638.00354527981403</v>
      </c>
      <c r="BM465" s="42" t="s">
        <v>152</v>
      </c>
      <c r="BN465" s="48">
        <v>1</v>
      </c>
      <c r="BO465" s="42" t="s">
        <v>155</v>
      </c>
      <c r="BP465" s="42" t="s">
        <v>152</v>
      </c>
      <c r="BQ465" s="46">
        <v>2123.68430505386</v>
      </c>
      <c r="BR465" s="46">
        <v>115</v>
      </c>
      <c r="BS465" s="46">
        <v>10500</v>
      </c>
      <c r="BT465" s="46">
        <v>3247</v>
      </c>
      <c r="BU465" s="46">
        <v>3.2337542346781643</v>
      </c>
      <c r="BV465" s="46">
        <v>28.234782608695653</v>
      </c>
      <c r="BW465" s="46">
        <v>0</v>
      </c>
      <c r="BX465" s="46">
        <v>1104</v>
      </c>
      <c r="BY465" s="46">
        <v>1104</v>
      </c>
      <c r="BZ465" s="46">
        <v>0.34000615953187557</v>
      </c>
      <c r="CA465" s="46">
        <v>0</v>
      </c>
      <c r="CB465" s="46">
        <v>0.34000615953187557</v>
      </c>
      <c r="CC465" s="46">
        <v>0.30951647674776722</v>
      </c>
      <c r="CD465" s="46">
        <v>0</v>
      </c>
      <c r="CE465" s="46">
        <v>0</v>
      </c>
      <c r="CF465" s="46">
        <v>0.35047736372035732</v>
      </c>
      <c r="CG465" s="46">
        <v>0</v>
      </c>
      <c r="CH465" s="46">
        <v>0</v>
      </c>
      <c r="CI465" s="46">
        <v>3.6190476190476191</v>
      </c>
      <c r="CJ465" s="46">
        <v>0.38095238095238099</v>
      </c>
      <c r="CK465">
        <v>322</v>
      </c>
      <c r="CL465">
        <v>511.82</v>
      </c>
      <c r="CM465">
        <f t="shared" si="56"/>
        <v>189.82</v>
      </c>
      <c r="CN465">
        <v>7.61</v>
      </c>
      <c r="CO465">
        <v>9.4499999999999993</v>
      </c>
      <c r="CP465">
        <f t="shared" si="57"/>
        <v>1.839999999999999</v>
      </c>
      <c r="CQ465">
        <v>846.56</v>
      </c>
      <c r="CR465">
        <v>576.63</v>
      </c>
      <c r="CS465">
        <f t="shared" si="58"/>
        <v>269.92999999999995</v>
      </c>
      <c r="CT465" t="s">
        <v>152</v>
      </c>
      <c r="CU465">
        <v>83.34</v>
      </c>
      <c r="CV465">
        <v>162</v>
      </c>
      <c r="CW465" s="46">
        <v>1104</v>
      </c>
      <c r="CX465" s="46">
        <f t="shared" si="52"/>
        <v>28.154604250076996</v>
      </c>
      <c r="CY465" s="46">
        <v>189.82</v>
      </c>
      <c r="CZ465" s="46">
        <f t="shared" si="53"/>
        <v>34.000615953187555</v>
      </c>
      <c r="DA465" s="46">
        <f t="shared" si="54"/>
        <v>507.36645794659012</v>
      </c>
      <c r="DB465" s="46">
        <v>1743727.19</v>
      </c>
      <c r="DC465" s="46">
        <f t="shared" si="55"/>
        <v>24.87610640068435</v>
      </c>
      <c r="DD465" s="46">
        <v>85494.7</v>
      </c>
      <c r="DE465" s="995">
        <v>1104</v>
      </c>
      <c r="DF465" s="995">
        <v>28.402000000000001</v>
      </c>
      <c r="DG465" s="995">
        <v>181.8</v>
      </c>
      <c r="DH465" s="995">
        <v>34.000999999999998</v>
      </c>
      <c r="DI465" s="995">
        <v>1532.4680000000001</v>
      </c>
      <c r="DJ465" s="995">
        <v>5254518</v>
      </c>
      <c r="DK465" s="995">
        <v>77.891000000000005</v>
      </c>
      <c r="DL465" s="995">
        <v>267072.90000000002</v>
      </c>
      <c r="DM465" s="995">
        <v>1104</v>
      </c>
      <c r="DN465" s="995">
        <v>28.736000000000001</v>
      </c>
      <c r="DO465" s="995">
        <v>171</v>
      </c>
      <c r="DP465" s="995">
        <v>34.000999999999998</v>
      </c>
      <c r="DQ465" s="995">
        <v>1514.3409999999999</v>
      </c>
      <c r="DR465" s="995">
        <v>5175948</v>
      </c>
      <c r="DS465" s="995">
        <v>76.917000000000002</v>
      </c>
      <c r="DT465" s="995">
        <v>262898.59999999998</v>
      </c>
    </row>
    <row r="466" spans="1:124">
      <c r="A466" s="42" t="s">
        <v>94</v>
      </c>
      <c r="B466" s="42" t="s">
        <v>549</v>
      </c>
      <c r="C466" s="42" t="s">
        <v>639</v>
      </c>
      <c r="D466" s="42">
        <v>820410</v>
      </c>
      <c r="E466" s="42" t="s">
        <v>684</v>
      </c>
      <c r="F466" s="42" t="s">
        <v>149</v>
      </c>
      <c r="G466" s="42" t="s">
        <v>150</v>
      </c>
      <c r="H466" s="43" t="s">
        <v>150</v>
      </c>
      <c r="I466" s="44">
        <v>63</v>
      </c>
      <c r="J466" s="45">
        <v>198201.925599999</v>
      </c>
      <c r="K466" s="46">
        <v>10980.181272</v>
      </c>
      <c r="L466" s="47">
        <v>209182.106872</v>
      </c>
      <c r="M466" s="48">
        <v>4317107</v>
      </c>
      <c r="N466" s="49">
        <v>2901636</v>
      </c>
      <c r="O466" s="49">
        <v>1397252</v>
      </c>
      <c r="P466" s="49">
        <v>18219</v>
      </c>
      <c r="Q466" s="50">
        <v>9928.1440646651299</v>
      </c>
      <c r="R466" s="51">
        <v>23123.721873054299</v>
      </c>
      <c r="S466" s="49">
        <v>37603.729589071001</v>
      </c>
      <c r="T466" s="49">
        <v>8068.5083984801104</v>
      </c>
      <c r="U466" s="49">
        <f>IFERROR(INDEX('Rentabilidad datos'!$N$2:$N$61,MATCH($C466,'Rentabilidad datos'!$C$2:$C$61,0)),"")</f>
        <v>68795.959860605391</v>
      </c>
      <c r="V466" s="50">
        <f>IFERROR(INDEX('Rentabilidad datos'!$O$2:$O$61,MATCH($C466,'Rentabilidad datos'!$C$2:$C$61,0)),"")</f>
        <v>1166.0332179763625</v>
      </c>
      <c r="W466" s="51">
        <f>IFERROR(INDEX('Rentabilidad datos'!$M$2:$M$61,MATCH($C466,'Rentabilidad datos'!$C$2:$C$61,0)),"")</f>
        <v>3116.1708958203221</v>
      </c>
      <c r="X466" s="52">
        <f>IFERROR(INDEX('Rentabilidad datos'!$P$2:$P$61,MATCH($C466,'Rentabilidad datos'!$C$2:$C$61,0)),"")</f>
        <v>0.37418782761251868</v>
      </c>
      <c r="Y466" s="43" t="s">
        <v>171</v>
      </c>
      <c r="Z466" s="53">
        <v>87.803695150115502</v>
      </c>
      <c r="AA466" s="43">
        <v>2</v>
      </c>
      <c r="AB466" s="54">
        <v>0.93533424119439246</v>
      </c>
      <c r="AC466" s="55">
        <v>6.4665758805607557E-2</v>
      </c>
      <c r="AD466" s="752" t="e">
        <f>_xlfn.XLOOKUP(Table1[[#This Row],[Ruta]],#REF!,#REF!)</f>
        <v>#REF!</v>
      </c>
      <c r="AE466" s="752" t="e">
        <f>_xlfn.XLOOKUP(Table1[[#This Row],[Ruta]],#REF!,#REF!)</f>
        <v>#REF!</v>
      </c>
      <c r="AF466" s="752" t="e">
        <f>_xlfn.XLOOKUP(Table1[[#This Row],[Ruta]],#REF!,#REF!)</f>
        <v>#REF!</v>
      </c>
      <c r="AG466" s="752" t="e">
        <f>_xlfn.XLOOKUP(Table1[[#This Row],[Ruta]],#REF!,#REF!)</f>
        <v>#REF!</v>
      </c>
      <c r="AH466" s="52">
        <v>0.67212510600270037</v>
      </c>
      <c r="AI466" s="52">
        <v>0.32365470672837154</v>
      </c>
      <c r="AJ466" s="55">
        <v>4.2201872689280112E-3</v>
      </c>
      <c r="AK466" s="56">
        <v>38019</v>
      </c>
      <c r="AL466" s="44">
        <v>20567</v>
      </c>
      <c r="AM466" s="54">
        <v>0.54096635892580003</v>
      </c>
      <c r="AN466" s="55">
        <v>0.50214093649930203</v>
      </c>
      <c r="AO466" s="56">
        <v>0</v>
      </c>
      <c r="AP466" s="48">
        <v>0</v>
      </c>
      <c r="AQ466" s="55">
        <v>0.54096635892580025</v>
      </c>
      <c r="AR466" s="51">
        <v>4298886.38</v>
      </c>
      <c r="AS466" s="49">
        <v>0</v>
      </c>
      <c r="AT466" s="55">
        <v>0</v>
      </c>
      <c r="AU466" s="51">
        <v>0</v>
      </c>
      <c r="AV466" s="52">
        <v>0</v>
      </c>
      <c r="AW466" s="44">
        <v>490</v>
      </c>
      <c r="AX466" s="51">
        <v>209.01864054067201</v>
      </c>
      <c r="AY466" s="49">
        <v>308.140122044046</v>
      </c>
      <c r="AZ466" s="49">
        <v>99.121481503373985</v>
      </c>
      <c r="BA466" s="42" t="s">
        <v>150</v>
      </c>
      <c r="BB466" s="50">
        <v>716275.93597401667</v>
      </c>
      <c r="BC466" s="57">
        <v>716275.93597401667</v>
      </c>
      <c r="BD466" s="42" t="s">
        <v>150</v>
      </c>
      <c r="BE466" s="46">
        <v>87.803695150115502</v>
      </c>
      <c r="BF466" s="46">
        <v>83.628504672897193</v>
      </c>
      <c r="BG466" s="42" t="s">
        <v>150</v>
      </c>
      <c r="BH466" s="52">
        <v>0.54096635892580003</v>
      </c>
      <c r="BI466" s="52">
        <v>0.51187669456560203</v>
      </c>
      <c r="BJ466" s="42" t="s">
        <v>150</v>
      </c>
      <c r="BK466" s="46">
        <v>483.09955397690402</v>
      </c>
      <c r="BL466" s="46">
        <v>638.00354527981403</v>
      </c>
      <c r="BM466" s="42" t="s">
        <v>152</v>
      </c>
      <c r="BN466" s="48">
        <v>2</v>
      </c>
      <c r="BO466" s="42" t="s">
        <v>161</v>
      </c>
      <c r="BP466" s="42" t="s">
        <v>152</v>
      </c>
      <c r="BQ466" s="46">
        <v>752.36658656333805</v>
      </c>
      <c r="BR466" s="46">
        <v>341</v>
      </c>
      <c r="BS466" s="46">
        <v>33360</v>
      </c>
      <c r="BT466" s="46">
        <v>7951</v>
      </c>
      <c r="BU466" s="46">
        <v>4.1956986542573258</v>
      </c>
      <c r="BV466" s="46">
        <v>23.316715542521994</v>
      </c>
      <c r="BW466" s="46">
        <v>34</v>
      </c>
      <c r="BX466" s="46">
        <v>2723</v>
      </c>
      <c r="BY466" s="46">
        <v>2757</v>
      </c>
      <c r="BZ466" s="46">
        <v>0.34674883662432399</v>
      </c>
      <c r="CA466" s="46">
        <v>4.2761916740032702E-3</v>
      </c>
      <c r="CB466" s="46">
        <v>0.3424726449503207</v>
      </c>
      <c r="CC466" s="46">
        <v>0.1118098352408502</v>
      </c>
      <c r="CD466" s="46">
        <v>6.2885171676518674E-4</v>
      </c>
      <c r="CE466" s="46">
        <v>0</v>
      </c>
      <c r="CF466" s="46">
        <v>0.54081247641806063</v>
      </c>
      <c r="CG466" s="46">
        <v>0</v>
      </c>
      <c r="CH466" s="46">
        <v>0</v>
      </c>
      <c r="CI466" s="46">
        <v>4.8561151079136691</v>
      </c>
      <c r="CJ466" s="46">
        <v>0.17985611510791369</v>
      </c>
      <c r="CK466">
        <v>333</v>
      </c>
      <c r="CL466">
        <v>448.32</v>
      </c>
      <c r="CM466">
        <f t="shared" si="56"/>
        <v>115.32</v>
      </c>
      <c r="CN466">
        <v>8.18</v>
      </c>
      <c r="CO466">
        <v>9.4499999999999993</v>
      </c>
      <c r="CP466">
        <f t="shared" si="57"/>
        <v>1.2699999999999996</v>
      </c>
      <c r="CQ466">
        <v>846.56</v>
      </c>
      <c r="CR466">
        <v>483.1</v>
      </c>
      <c r="CS466">
        <f t="shared" si="58"/>
        <v>363.45999999999992</v>
      </c>
      <c r="CT466" t="s">
        <v>152</v>
      </c>
      <c r="CU466">
        <v>87.67</v>
      </c>
      <c r="CV466">
        <v>255</v>
      </c>
      <c r="CW466" s="46">
        <v>2757</v>
      </c>
      <c r="CX466" s="46">
        <f t="shared" si="52"/>
        <v>33.22450006288517</v>
      </c>
      <c r="CY466" s="46">
        <v>115.32</v>
      </c>
      <c r="CZ466" s="46">
        <f t="shared" si="53"/>
        <v>34.6748836624324</v>
      </c>
      <c r="DA466" s="46">
        <f t="shared" si="54"/>
        <v>176.68140986224202</v>
      </c>
      <c r="DB466" s="46">
        <v>1425168.79</v>
      </c>
      <c r="DC466" s="46">
        <f t="shared" si="55"/>
        <v>8.2503409237421774</v>
      </c>
      <c r="DD466" s="46">
        <v>66549.89</v>
      </c>
      <c r="DE466" s="995">
        <v>2757</v>
      </c>
      <c r="DF466" s="995">
        <v>33.353999999999999</v>
      </c>
      <c r="DG466" s="995">
        <v>105</v>
      </c>
      <c r="DH466" s="995">
        <v>34.674999999999997</v>
      </c>
      <c r="DI466" s="995">
        <v>590.44200000000001</v>
      </c>
      <c r="DJ466" s="995">
        <v>4756621</v>
      </c>
      <c r="DK466" s="995">
        <v>27.558</v>
      </c>
      <c r="DL466" s="995">
        <v>222011.4</v>
      </c>
      <c r="DM466" s="995">
        <v>2757</v>
      </c>
      <c r="DN466" s="995">
        <v>33.39</v>
      </c>
      <c r="DO466" s="995">
        <v>102.1</v>
      </c>
      <c r="DP466" s="995">
        <v>34.674999999999997</v>
      </c>
      <c r="DQ466" s="995">
        <v>587.66899999999998</v>
      </c>
      <c r="DR466" s="995">
        <v>4732573</v>
      </c>
      <c r="DS466" s="995">
        <v>27.428999999999998</v>
      </c>
      <c r="DT466" s="995">
        <v>220889.9</v>
      </c>
    </row>
    <row r="467" spans="1:124">
      <c r="A467" s="42" t="s">
        <v>94</v>
      </c>
      <c r="B467" s="42" t="s">
        <v>549</v>
      </c>
      <c r="C467" s="42" t="s">
        <v>639</v>
      </c>
      <c r="D467" s="42">
        <v>820411</v>
      </c>
      <c r="E467" s="42" t="s">
        <v>685</v>
      </c>
      <c r="F467" s="42" t="s">
        <v>149</v>
      </c>
      <c r="G467" s="42" t="s">
        <v>150</v>
      </c>
      <c r="H467" s="43" t="s">
        <v>150</v>
      </c>
      <c r="I467" s="44">
        <v>63</v>
      </c>
      <c r="J467" s="45">
        <v>113960.2072</v>
      </c>
      <c r="K467" s="46">
        <v>7635.8355789999996</v>
      </c>
      <c r="L467" s="47">
        <v>121596.042779</v>
      </c>
      <c r="M467" s="48">
        <v>2856853</v>
      </c>
      <c r="N467" s="49">
        <v>1667999</v>
      </c>
      <c r="O467" s="49">
        <v>1175757</v>
      </c>
      <c r="P467" s="49">
        <v>13097</v>
      </c>
      <c r="Q467" s="50">
        <v>6654.4102588235301</v>
      </c>
      <c r="R467" s="51">
        <v>23123.721873054299</v>
      </c>
      <c r="S467" s="49">
        <v>37603.729589071001</v>
      </c>
      <c r="T467" s="49">
        <v>8068.5083984801104</v>
      </c>
      <c r="U467" s="49">
        <f>IFERROR(INDEX('Rentabilidad datos'!$N$2:$N$61,MATCH($C467,'Rentabilidad datos'!$C$2:$C$61,0)),"")</f>
        <v>68795.959860605391</v>
      </c>
      <c r="V467" s="50">
        <f>IFERROR(INDEX('Rentabilidad datos'!$O$2:$O$61,MATCH($C467,'Rentabilidad datos'!$C$2:$C$61,0)),"")</f>
        <v>1166.0332179763625</v>
      </c>
      <c r="W467" s="51">
        <f>IFERROR(INDEX('Rentabilidad datos'!$M$2:$M$61,MATCH($C467,'Rentabilidad datos'!$C$2:$C$61,0)),"")</f>
        <v>3116.1708958203221</v>
      </c>
      <c r="X467" s="52">
        <f>IFERROR(INDEX('Rentabilidad datos'!$P$2:$P$61,MATCH($C467,'Rentabilidad datos'!$C$2:$C$61,0)),"")</f>
        <v>0.37418782761251868</v>
      </c>
      <c r="Y467" s="43" t="s">
        <v>171</v>
      </c>
      <c r="Z467" s="53">
        <v>69.091428571428594</v>
      </c>
      <c r="AA467" s="43">
        <v>2</v>
      </c>
      <c r="AB467" s="54">
        <v>0.93058865821937631</v>
      </c>
      <c r="AC467" s="55">
        <v>6.941134178062365E-2</v>
      </c>
      <c r="AD467" s="752" t="e">
        <f>_xlfn.XLOOKUP(Table1[[#This Row],[Ruta]],#REF!,#REF!)</f>
        <v>#REF!</v>
      </c>
      <c r="AE467" s="752" t="e">
        <f>_xlfn.XLOOKUP(Table1[[#This Row],[Ruta]],#REF!,#REF!)</f>
        <v>#REF!</v>
      </c>
      <c r="AF467" s="752" t="e">
        <f>_xlfn.XLOOKUP(Table1[[#This Row],[Ruta]],#REF!,#REF!)</f>
        <v>#REF!</v>
      </c>
      <c r="AG467" s="752" t="e">
        <f>_xlfn.XLOOKUP(Table1[[#This Row],[Ruta]],#REF!,#REF!)</f>
        <v>#REF!</v>
      </c>
      <c r="AH467" s="52">
        <v>0.58385888248362794</v>
      </c>
      <c r="AI467" s="52">
        <v>0.41155670242746129</v>
      </c>
      <c r="AJ467" s="55">
        <v>4.5844150889107699E-3</v>
      </c>
      <c r="AK467" s="56">
        <v>12091</v>
      </c>
      <c r="AL467" s="44">
        <v>8953</v>
      </c>
      <c r="AM467" s="54">
        <v>0.34720039698949601</v>
      </c>
      <c r="AN467" s="55">
        <v>0.50214093649930203</v>
      </c>
      <c r="AO467" s="56">
        <v>1873.38606321306</v>
      </c>
      <c r="AP467" s="48">
        <v>936.69303160652998</v>
      </c>
      <c r="AQ467" s="55">
        <v>0.81793838653597961</v>
      </c>
      <c r="AR467" s="51">
        <v>2828124.36</v>
      </c>
      <c r="AS467" s="49">
        <v>295887.90132119699</v>
      </c>
      <c r="AT467" s="55">
        <v>0.10462336999961239</v>
      </c>
      <c r="AU467" s="51">
        <v>207921.22795543581</v>
      </c>
      <c r="AV467" s="52">
        <v>9.4585334209931564E-4</v>
      </c>
      <c r="AW467" s="44">
        <v>305</v>
      </c>
      <c r="AX467" s="51">
        <v>315.88566514017703</v>
      </c>
      <c r="AY467" s="49">
        <v>308.140122044046</v>
      </c>
      <c r="AZ467" s="49">
        <v>0</v>
      </c>
      <c r="BA467" s="42" t="s">
        <v>152</v>
      </c>
      <c r="BB467" s="50">
        <v>0</v>
      </c>
      <c r="BC467" s="57">
        <v>207921.22795543581</v>
      </c>
      <c r="BD467" s="42" t="s">
        <v>150</v>
      </c>
      <c r="BE467" s="46">
        <v>69.091428571428594</v>
      </c>
      <c r="BF467" s="46">
        <v>83.628504672897193</v>
      </c>
      <c r="BG467" s="42" t="s">
        <v>152</v>
      </c>
      <c r="BH467" s="52">
        <v>0.34720039698949601</v>
      </c>
      <c r="BI467" s="52">
        <v>0.51187669456560203</v>
      </c>
      <c r="BJ467" s="42" t="s">
        <v>152</v>
      </c>
      <c r="BK467" s="46">
        <v>286.10833595058801</v>
      </c>
      <c r="BL467" s="46">
        <v>638.00354527981403</v>
      </c>
      <c r="BM467" s="42" t="s">
        <v>152</v>
      </c>
      <c r="BN467" s="48">
        <v>0</v>
      </c>
      <c r="BO467" s="42" t="s">
        <v>155</v>
      </c>
      <c r="BP467" s="42" t="s">
        <v>152</v>
      </c>
      <c r="BQ467" s="46">
        <v>3910.09370136904</v>
      </c>
      <c r="BR467" s="46" t="e">
        <v>#N/A</v>
      </c>
      <c r="BS467" s="46" t="e">
        <v>#N/A</v>
      </c>
      <c r="BT467" s="46" t="e">
        <v>#N/A</v>
      </c>
      <c r="BU467" s="46" t="e">
        <v>#N/A</v>
      </c>
      <c r="BV467" s="46" t="e">
        <v>#N/A</v>
      </c>
      <c r="BW467" s="46" t="e">
        <v>#N/A</v>
      </c>
      <c r="BX467" s="46" t="e">
        <v>#N/A</v>
      </c>
      <c r="BY467" s="46" t="e">
        <v>#N/A</v>
      </c>
      <c r="BZ467" s="46" t="e">
        <v>#N/A</v>
      </c>
      <c r="CA467" s="46" t="e">
        <v>#N/A</v>
      </c>
      <c r="CB467" s="46" t="e">
        <v>#N/A</v>
      </c>
      <c r="CC467" s="46" t="e">
        <v>#N/A</v>
      </c>
      <c r="CD467" s="46" t="e">
        <v>#N/A</v>
      </c>
      <c r="CE467" s="46" t="e">
        <v>#N/A</v>
      </c>
      <c r="CF467" s="46" t="e">
        <v>#N/A</v>
      </c>
      <c r="CG467" s="46" t="e">
        <v>#N/A</v>
      </c>
      <c r="CH467" s="46" t="e">
        <v>#N/A</v>
      </c>
      <c r="CI467" s="46" t="e">
        <v>#N/A</v>
      </c>
      <c r="CJ467" s="46" t="e">
        <v>#N/A</v>
      </c>
      <c r="CM467">
        <f t="shared" si="56"/>
        <v>0</v>
      </c>
      <c r="CP467">
        <f t="shared" si="57"/>
        <v>0</v>
      </c>
      <c r="CS467">
        <f t="shared" si="58"/>
        <v>0</v>
      </c>
      <c r="CW467" s="46"/>
      <c r="CX467" s="46" t="e">
        <f t="shared" si="52"/>
        <v>#N/A</v>
      </c>
      <c r="CY467" s="46"/>
      <c r="CZ467" s="46" t="e">
        <f t="shared" si="53"/>
        <v>#N/A</v>
      </c>
      <c r="DA467" s="46" t="e">
        <f t="shared" si="54"/>
        <v>#N/A</v>
      </c>
      <c r="DB467" s="46"/>
      <c r="DC467" s="46" t="e">
        <f t="shared" si="55"/>
        <v>#N/A</v>
      </c>
      <c r="DD467" s="46"/>
      <c r="DE467" s="995" t="s">
        <v>194</v>
      </c>
      <c r="DF467" s="995" t="s">
        <v>194</v>
      </c>
      <c r="DG467" s="995" t="s">
        <v>194</v>
      </c>
      <c r="DH467" s="995" t="s">
        <v>194</v>
      </c>
      <c r="DI467" s="995" t="s">
        <v>194</v>
      </c>
      <c r="DJ467" s="995" t="s">
        <v>194</v>
      </c>
      <c r="DK467" s="995" t="s">
        <v>194</v>
      </c>
      <c r="DL467" s="995" t="s">
        <v>194</v>
      </c>
      <c r="DM467" s="995" t="s">
        <v>194</v>
      </c>
      <c r="DN467" s="995" t="s">
        <v>194</v>
      </c>
      <c r="DO467" s="995" t="s">
        <v>194</v>
      </c>
      <c r="DP467" s="995" t="s">
        <v>194</v>
      </c>
      <c r="DQ467" s="995" t="s">
        <v>194</v>
      </c>
      <c r="DR467" s="995" t="s">
        <v>194</v>
      </c>
      <c r="DS467" s="995" t="s">
        <v>194</v>
      </c>
      <c r="DT467" s="995" t="s">
        <v>194</v>
      </c>
    </row>
    <row r="468" spans="1:124">
      <c r="A468" s="42" t="s">
        <v>94</v>
      </c>
      <c r="B468" s="42" t="s">
        <v>549</v>
      </c>
      <c r="C468" s="42" t="s">
        <v>639</v>
      </c>
      <c r="D468" s="42">
        <v>820412</v>
      </c>
      <c r="E468" s="42" t="s">
        <v>686</v>
      </c>
      <c r="F468" s="42" t="s">
        <v>149</v>
      </c>
      <c r="G468" s="42" t="s">
        <v>150</v>
      </c>
      <c r="H468" s="43" t="s">
        <v>150</v>
      </c>
      <c r="I468" s="44">
        <v>63</v>
      </c>
      <c r="J468" s="45">
        <v>193323.40160000001</v>
      </c>
      <c r="K468" s="46">
        <v>8442.8035450000007</v>
      </c>
      <c r="L468" s="47">
        <v>201766.20514500001</v>
      </c>
      <c r="M468" s="48">
        <v>4049554</v>
      </c>
      <c r="N468" s="49">
        <v>2815938</v>
      </c>
      <c r="O468" s="49">
        <v>1222232</v>
      </c>
      <c r="P468" s="49">
        <v>11384</v>
      </c>
      <c r="Q468" s="50">
        <v>9326.0307621247102</v>
      </c>
      <c r="R468" s="51">
        <v>23123.721873054299</v>
      </c>
      <c r="S468" s="49">
        <v>37603.729589071001</v>
      </c>
      <c r="T468" s="49">
        <v>8068.5083984801104</v>
      </c>
      <c r="U468" s="49">
        <f>IFERROR(INDEX('Rentabilidad datos'!$N$2:$N$61,MATCH($C468,'Rentabilidad datos'!$C$2:$C$61,0)),"")</f>
        <v>68795.959860605391</v>
      </c>
      <c r="V468" s="50">
        <f>IFERROR(INDEX('Rentabilidad datos'!$O$2:$O$61,MATCH($C468,'Rentabilidad datos'!$C$2:$C$61,0)),"")</f>
        <v>1166.0332179763625</v>
      </c>
      <c r="W468" s="51">
        <f>IFERROR(INDEX('Rentabilidad datos'!$M$2:$M$61,MATCH($C468,'Rentabilidad datos'!$C$2:$C$61,0)),"")</f>
        <v>3116.1708958203221</v>
      </c>
      <c r="X468" s="52">
        <f>IFERROR(INDEX('Rentabilidad datos'!$P$2:$P$61,MATCH($C468,'Rentabilidad datos'!$C$2:$C$61,0)),"")</f>
        <v>0.37418782761251868</v>
      </c>
      <c r="Y468" s="43" t="s">
        <v>171</v>
      </c>
      <c r="Z468" s="53">
        <v>94.351039260969998</v>
      </c>
      <c r="AA468" s="43">
        <v>2</v>
      </c>
      <c r="AB468" s="54">
        <v>0.93718567526201646</v>
      </c>
      <c r="AC468" s="55">
        <v>6.2814324737983485E-2</v>
      </c>
      <c r="AD468" s="752" t="e">
        <f>_xlfn.XLOOKUP(Table1[[#This Row],[Ruta]],#REF!,#REF!)</f>
        <v>#REF!</v>
      </c>
      <c r="AE468" s="752" t="e">
        <f>_xlfn.XLOOKUP(Table1[[#This Row],[Ruta]],#REF!,#REF!)</f>
        <v>#REF!</v>
      </c>
      <c r="AF468" s="752" t="e">
        <f>_xlfn.XLOOKUP(Table1[[#This Row],[Ruta]],#REF!,#REF!)</f>
        <v>#REF!</v>
      </c>
      <c r="AG468" s="752" t="e">
        <f>_xlfn.XLOOKUP(Table1[[#This Row],[Ruta]],#REF!,#REF!)</f>
        <v>#REF!</v>
      </c>
      <c r="AH468" s="52">
        <v>0.69536990987155622</v>
      </c>
      <c r="AI468" s="52">
        <v>0.30181891635473929</v>
      </c>
      <c r="AJ468" s="55">
        <v>2.8111737737044622E-3</v>
      </c>
      <c r="AK468" s="56">
        <v>40854</v>
      </c>
      <c r="AL468" s="44">
        <v>19819</v>
      </c>
      <c r="AM468" s="54">
        <v>0.485117736329368</v>
      </c>
      <c r="AN468" s="55">
        <v>0.50214093649930203</v>
      </c>
      <c r="AO468" s="56">
        <v>695.46581974247999</v>
      </c>
      <c r="AP468" s="48">
        <v>347.73290987124</v>
      </c>
      <c r="AQ468" s="55">
        <v>0.49362933641433493</v>
      </c>
      <c r="AR468" s="51">
        <v>4038171.32</v>
      </c>
      <c r="AS468" s="49">
        <v>70851.458886028006</v>
      </c>
      <c r="AT468" s="55">
        <v>1.7545431649994486E-2</v>
      </c>
      <c r="AU468" s="51">
        <v>49787.511649641317</v>
      </c>
      <c r="AV468" s="52">
        <v>2.2648810201676527E-4</v>
      </c>
      <c r="AW468" s="44">
        <v>431</v>
      </c>
      <c r="AX468" s="51">
        <v>203.75252636358999</v>
      </c>
      <c r="AY468" s="49">
        <v>308.140122044046</v>
      </c>
      <c r="AZ468" s="49">
        <v>104.387595680456</v>
      </c>
      <c r="BA468" s="42" t="s">
        <v>150</v>
      </c>
      <c r="BB468" s="50">
        <v>726895.96930493123</v>
      </c>
      <c r="BC468" s="57">
        <v>776683.48095457256</v>
      </c>
      <c r="BD468" s="42" t="s">
        <v>150</v>
      </c>
      <c r="BE468" s="46">
        <v>94.351039260969998</v>
      </c>
      <c r="BF468" s="46">
        <v>83.628504672897193</v>
      </c>
      <c r="BG468" s="42" t="s">
        <v>150</v>
      </c>
      <c r="BH468" s="52">
        <v>0.485117736329368</v>
      </c>
      <c r="BI468" s="52">
        <v>0.51187669456560203</v>
      </c>
      <c r="BJ468" s="42" t="s">
        <v>152</v>
      </c>
      <c r="BK468" s="46">
        <v>465.97276015011499</v>
      </c>
      <c r="BL468" s="46">
        <v>638.00354527981403</v>
      </c>
      <c r="BM468" s="42" t="s">
        <v>152</v>
      </c>
      <c r="BN468" s="48">
        <v>1</v>
      </c>
      <c r="BO468" s="42" t="s">
        <v>155</v>
      </c>
      <c r="BP468" s="42" t="s">
        <v>152</v>
      </c>
      <c r="BQ468" s="46">
        <v>1558.96970789028</v>
      </c>
      <c r="BR468" s="46">
        <v>144</v>
      </c>
      <c r="BS468" s="46">
        <v>13369</v>
      </c>
      <c r="BT468" s="46">
        <v>3953</v>
      </c>
      <c r="BU468" s="46">
        <v>3.3819883632684036</v>
      </c>
      <c r="BV468" s="46">
        <v>27.451388888888889</v>
      </c>
      <c r="BW468" s="46">
        <v>0</v>
      </c>
      <c r="BX468" s="46">
        <v>2997</v>
      </c>
      <c r="BY468" s="46">
        <v>2997</v>
      </c>
      <c r="BZ468" s="46">
        <v>0.75815836073867948</v>
      </c>
      <c r="CA468" s="46">
        <v>0</v>
      </c>
      <c r="CB468" s="46">
        <v>0.75815836073867948</v>
      </c>
      <c r="CC468" s="46">
        <v>0.24184163926132049</v>
      </c>
      <c r="CD468" s="46">
        <v>0</v>
      </c>
      <c r="CE468" s="46">
        <v>0</v>
      </c>
      <c r="CF468" s="46">
        <v>0</v>
      </c>
      <c r="CG468" s="46">
        <v>0</v>
      </c>
      <c r="CH468" s="46">
        <v>0</v>
      </c>
      <c r="CI468" s="46">
        <v>5.0863938963273254</v>
      </c>
      <c r="CJ468" s="46">
        <v>0.2243997307203231</v>
      </c>
      <c r="CK468">
        <v>429</v>
      </c>
      <c r="CL468">
        <v>532.29</v>
      </c>
      <c r="CM468">
        <f t="shared" si="56"/>
        <v>103.28999999999996</v>
      </c>
      <c r="CN468">
        <v>10.92</v>
      </c>
      <c r="CO468">
        <v>9.4499999999999993</v>
      </c>
      <c r="CP468">
        <f t="shared" si="57"/>
        <v>-1.4700000000000006</v>
      </c>
      <c r="CQ468">
        <v>846.56</v>
      </c>
      <c r="CR468">
        <v>465.97</v>
      </c>
      <c r="CS468">
        <f t="shared" si="58"/>
        <v>380.58999999999992</v>
      </c>
      <c r="CT468" t="s">
        <v>150</v>
      </c>
      <c r="CU468">
        <v>115.55</v>
      </c>
      <c r="CV468">
        <v>346</v>
      </c>
      <c r="CW468" s="46">
        <v>2997</v>
      </c>
      <c r="CX468" s="46">
        <f t="shared" si="52"/>
        <v>73.202883885656462</v>
      </c>
      <c r="CY468" s="46">
        <v>103.29</v>
      </c>
      <c r="CZ468" s="46">
        <f t="shared" si="53"/>
        <v>75.815836073867942</v>
      </c>
      <c r="DA468" s="46">
        <f t="shared" si="54"/>
        <v>511.92627252982402</v>
      </c>
      <c r="DB468" s="46">
        <v>2076521.42</v>
      </c>
      <c r="DC468" s="46">
        <f t="shared" si="55"/>
        <v>26.223445562324191</v>
      </c>
      <c r="DD468" s="46">
        <v>106369.9</v>
      </c>
      <c r="DE468" s="995">
        <v>2997</v>
      </c>
      <c r="DF468" s="995">
        <v>73.257999999999996</v>
      </c>
      <c r="DG468" s="995">
        <v>101.1</v>
      </c>
      <c r="DH468" s="995">
        <v>75.816000000000003</v>
      </c>
      <c r="DI468" s="995">
        <v>1219.8050000000001</v>
      </c>
      <c r="DJ468" s="995">
        <v>4945225</v>
      </c>
      <c r="DK468" s="995">
        <v>61.143000000000001</v>
      </c>
      <c r="DL468" s="995">
        <v>247879</v>
      </c>
      <c r="DM468" s="995">
        <v>2997</v>
      </c>
      <c r="DN468" s="995">
        <v>73.364999999999995</v>
      </c>
      <c r="DO468" s="995">
        <v>96.9</v>
      </c>
      <c r="DP468" s="995">
        <v>75.816000000000003</v>
      </c>
      <c r="DQ468" s="995">
        <v>1213.3530000000001</v>
      </c>
      <c r="DR468" s="995">
        <v>4913946</v>
      </c>
      <c r="DS468" s="995">
        <v>60.805</v>
      </c>
      <c r="DT468" s="995">
        <v>246252.79999999999</v>
      </c>
    </row>
    <row r="469" spans="1:124">
      <c r="A469" s="42" t="s">
        <v>94</v>
      </c>
      <c r="B469" s="42" t="s">
        <v>549</v>
      </c>
      <c r="C469" s="42" t="s">
        <v>639</v>
      </c>
      <c r="D469" s="42">
        <v>820413</v>
      </c>
      <c r="E469" s="42" t="s">
        <v>687</v>
      </c>
      <c r="F469" s="42" t="s">
        <v>193</v>
      </c>
      <c r="G469" s="42" t="s">
        <v>150</v>
      </c>
      <c r="H469" s="43" t="s">
        <v>152</v>
      </c>
      <c r="I469" s="44">
        <v>63</v>
      </c>
      <c r="J469" s="45">
        <v>982.74959999999999</v>
      </c>
      <c r="K469" s="46">
        <v>81.211200000000005</v>
      </c>
      <c r="L469" s="47">
        <v>1063.9608000000001</v>
      </c>
      <c r="M469" s="48">
        <v>28850</v>
      </c>
      <c r="N469" s="49">
        <v>13950</v>
      </c>
      <c r="O469" s="49">
        <v>14900</v>
      </c>
      <c r="P469" s="49">
        <v>0</v>
      </c>
      <c r="Q469" s="50">
        <v>0</v>
      </c>
      <c r="R469" s="51">
        <v>23123.721873054299</v>
      </c>
      <c r="S469" s="49">
        <v>37603.729589071001</v>
      </c>
      <c r="T469" s="49">
        <v>8068.5083984801104</v>
      </c>
      <c r="U469" s="49">
        <f>IFERROR(INDEX('Rentabilidad datos'!$N$2:$N$61,MATCH($C469,'Rentabilidad datos'!$C$2:$C$61,0)),"")</f>
        <v>68795.959860605391</v>
      </c>
      <c r="V469" s="50">
        <f>IFERROR(INDEX('Rentabilidad datos'!$O$2:$O$61,MATCH($C469,'Rentabilidad datos'!$C$2:$C$61,0)),"")</f>
        <v>1166.0332179763625</v>
      </c>
      <c r="W469" s="51">
        <f>IFERROR(INDEX('Rentabilidad datos'!$M$2:$M$61,MATCH($C469,'Rentabilidad datos'!$C$2:$C$61,0)),"")</f>
        <v>3116.1708958203221</v>
      </c>
      <c r="X469" s="52">
        <f>IFERROR(INDEX('Rentabilidad datos'!$P$2:$P$61,MATCH($C469,'Rentabilidad datos'!$C$2:$C$61,0)),"")</f>
        <v>0.37418782761251868</v>
      </c>
      <c r="Y469" s="43" t="s">
        <v>171</v>
      </c>
      <c r="Z469" s="53">
        <v>60.864406779661003</v>
      </c>
      <c r="AA469" s="43">
        <v>2</v>
      </c>
      <c r="AB469" s="54">
        <v>0.94305025996533798</v>
      </c>
      <c r="AC469" s="55">
        <v>5.6949740034662043E-2</v>
      </c>
      <c r="AD469" s="752" t="e">
        <f>_xlfn.XLOOKUP(Table1[[#This Row],[Ruta]],#REF!,#REF!)</f>
        <v>#REF!</v>
      </c>
      <c r="AE469" s="752" t="e">
        <f>_xlfn.XLOOKUP(Table1[[#This Row],[Ruta]],#REF!,#REF!)</f>
        <v>#REF!</v>
      </c>
      <c r="AF469" s="752" t="e">
        <f>_xlfn.XLOOKUP(Table1[[#This Row],[Ruta]],#REF!,#REF!)</f>
        <v>#REF!</v>
      </c>
      <c r="AG469" s="752" t="e">
        <f>_xlfn.XLOOKUP(Table1[[#This Row],[Ruta]],#REF!,#REF!)</f>
        <v>#REF!</v>
      </c>
      <c r="AH469" s="52">
        <v>0.48353552859618715</v>
      </c>
      <c r="AI469" s="52">
        <v>0.5164644714038128</v>
      </c>
      <c r="AJ469" s="55">
        <v>0</v>
      </c>
      <c r="AK469" s="56">
        <v>3591</v>
      </c>
      <c r="AL469" s="44">
        <v>42</v>
      </c>
      <c r="AM469" s="54">
        <v>1.1695906432748499E-2</v>
      </c>
      <c r="AN469" s="55">
        <v>0.50214093649930203</v>
      </c>
      <c r="AO469" s="56">
        <v>0</v>
      </c>
      <c r="AP469" s="48">
        <v>0</v>
      </c>
      <c r="AQ469" s="55">
        <v>1.1695906432748537E-2</v>
      </c>
      <c r="AR469" s="51">
        <v>28850.45</v>
      </c>
      <c r="AS469" s="49">
        <v>0</v>
      </c>
      <c r="AT469" s="55">
        <v>0</v>
      </c>
      <c r="AU469" s="51">
        <v>0</v>
      </c>
      <c r="AV469" s="52">
        <v>0</v>
      </c>
      <c r="AW469" s="44">
        <v>490</v>
      </c>
      <c r="AX469" s="51">
        <v>686.91547619047606</v>
      </c>
      <c r="AY469" s="49">
        <v>308.140122044046</v>
      </c>
      <c r="AZ469" s="49">
        <v>0</v>
      </c>
      <c r="BA469" s="42" t="s">
        <v>152</v>
      </c>
      <c r="BB469" s="50">
        <v>0</v>
      </c>
      <c r="BC469" s="57">
        <v>0</v>
      </c>
      <c r="BD469" s="42" t="s">
        <v>152</v>
      </c>
      <c r="BE469" s="46" t="s">
        <v>195</v>
      </c>
      <c r="BF469" s="46" t="s">
        <v>195</v>
      </c>
      <c r="BG469" s="42" t="s">
        <v>195</v>
      </c>
      <c r="BH469" s="52" t="s">
        <v>195</v>
      </c>
      <c r="BI469" s="52" t="s">
        <v>195</v>
      </c>
      <c r="BJ469" s="42" t="s">
        <v>195</v>
      </c>
      <c r="BK469" s="46" t="s">
        <v>195</v>
      </c>
      <c r="BL469" s="46" t="s">
        <v>195</v>
      </c>
      <c r="BM469" s="42" t="s">
        <v>195</v>
      </c>
      <c r="BN469" s="48" t="s">
        <v>195</v>
      </c>
      <c r="BO469" s="42" t="s">
        <v>195</v>
      </c>
      <c r="BP469" s="42" t="s">
        <v>152</v>
      </c>
      <c r="BQ469" s="46">
        <v>0</v>
      </c>
      <c r="BR469" s="46" t="e">
        <v>#N/A</v>
      </c>
      <c r="BS469" s="46" t="e">
        <v>#N/A</v>
      </c>
      <c r="BT469" s="46" t="e">
        <v>#N/A</v>
      </c>
      <c r="BU469" s="46" t="e">
        <v>#N/A</v>
      </c>
      <c r="BV469" s="46" t="e">
        <v>#N/A</v>
      </c>
      <c r="BW469" s="46" t="e">
        <v>#N/A</v>
      </c>
      <c r="BX469" s="46" t="e">
        <v>#N/A</v>
      </c>
      <c r="BY469" s="46" t="e">
        <v>#N/A</v>
      </c>
      <c r="BZ469" s="46" t="e">
        <v>#N/A</v>
      </c>
      <c r="CA469" s="46" t="e">
        <v>#N/A</v>
      </c>
      <c r="CB469" s="46" t="e">
        <v>#N/A</v>
      </c>
      <c r="CC469" s="46" t="e">
        <v>#N/A</v>
      </c>
      <c r="CD469" s="46" t="e">
        <v>#N/A</v>
      </c>
      <c r="CE469" s="46" t="e">
        <v>#N/A</v>
      </c>
      <c r="CF469" s="46" t="e">
        <v>#N/A</v>
      </c>
      <c r="CG469" s="46" t="e">
        <v>#N/A</v>
      </c>
      <c r="CH469" s="46" t="e">
        <v>#N/A</v>
      </c>
      <c r="CI469" s="46" t="e">
        <v>#N/A</v>
      </c>
      <c r="CJ469" s="46" t="e">
        <v>#N/A</v>
      </c>
      <c r="CM469">
        <f t="shared" si="56"/>
        <v>0</v>
      </c>
      <c r="CP469">
        <f t="shared" si="57"/>
        <v>0</v>
      </c>
      <c r="CS469">
        <f t="shared" si="58"/>
        <v>0</v>
      </c>
      <c r="CW469" s="46"/>
      <c r="CX469" s="46" t="e">
        <f t="shared" si="52"/>
        <v>#N/A</v>
      </c>
      <c r="CY469" s="46"/>
      <c r="CZ469" s="46" t="e">
        <f t="shared" si="53"/>
        <v>#N/A</v>
      </c>
      <c r="DA469" s="46" t="e">
        <f t="shared" si="54"/>
        <v>#N/A</v>
      </c>
      <c r="DB469" s="46"/>
      <c r="DC469" s="46" t="e">
        <f t="shared" si="55"/>
        <v>#N/A</v>
      </c>
      <c r="DD469" s="46"/>
      <c r="DE469" s="995" t="s">
        <v>194</v>
      </c>
      <c r="DF469" s="995" t="s">
        <v>194</v>
      </c>
      <c r="DG469" s="995" t="s">
        <v>194</v>
      </c>
      <c r="DH469" s="995" t="s">
        <v>194</v>
      </c>
      <c r="DI469" s="995" t="s">
        <v>194</v>
      </c>
      <c r="DJ469" s="995" t="s">
        <v>194</v>
      </c>
      <c r="DK469" s="995" t="s">
        <v>194</v>
      </c>
      <c r="DL469" s="995" t="s">
        <v>194</v>
      </c>
      <c r="DM469" s="995" t="s">
        <v>194</v>
      </c>
      <c r="DN469" s="995" t="s">
        <v>194</v>
      </c>
      <c r="DO469" s="995" t="s">
        <v>194</v>
      </c>
      <c r="DP469" s="995" t="s">
        <v>194</v>
      </c>
      <c r="DQ469" s="995" t="s">
        <v>194</v>
      </c>
      <c r="DR469" s="995" t="s">
        <v>194</v>
      </c>
      <c r="DS469" s="995" t="s">
        <v>194</v>
      </c>
      <c r="DT469" s="995" t="s">
        <v>194</v>
      </c>
    </row>
    <row r="470" spans="1:124">
      <c r="A470" s="42" t="s">
        <v>94</v>
      </c>
      <c r="B470" s="42" t="s">
        <v>549</v>
      </c>
      <c r="C470" s="42" t="s">
        <v>639</v>
      </c>
      <c r="D470" s="42">
        <v>820414</v>
      </c>
      <c r="E470" s="42" t="s">
        <v>688</v>
      </c>
      <c r="F470" s="42" t="s">
        <v>149</v>
      </c>
      <c r="G470" s="42" t="s">
        <v>150</v>
      </c>
      <c r="H470" s="43" t="s">
        <v>150</v>
      </c>
      <c r="I470" s="44">
        <v>63</v>
      </c>
      <c r="J470" s="45">
        <v>189793.95680000001</v>
      </c>
      <c r="K470" s="46">
        <v>11610.103954</v>
      </c>
      <c r="L470" s="47">
        <v>201404.06075400001</v>
      </c>
      <c r="M470" s="48">
        <v>4402984</v>
      </c>
      <c r="N470" s="49">
        <v>2782412</v>
      </c>
      <c r="O470" s="49">
        <v>1570892</v>
      </c>
      <c r="P470" s="49">
        <v>49680</v>
      </c>
      <c r="Q470" s="50">
        <v>9939.0438356164395</v>
      </c>
      <c r="R470" s="51">
        <v>23123.721873054299</v>
      </c>
      <c r="S470" s="49">
        <v>37603.729589071001</v>
      </c>
      <c r="T470" s="49">
        <v>8068.5083984801104</v>
      </c>
      <c r="U470" s="49">
        <f>IFERROR(INDEX('Rentabilidad datos'!$N$2:$N$61,MATCH($C470,'Rentabilidad datos'!$C$2:$C$61,0)),"")</f>
        <v>68795.959860605391</v>
      </c>
      <c r="V470" s="50">
        <f>IFERROR(INDEX('Rentabilidad datos'!$O$2:$O$61,MATCH($C470,'Rentabilidad datos'!$C$2:$C$61,0)),"")</f>
        <v>1166.0332179763625</v>
      </c>
      <c r="W470" s="51">
        <f>IFERROR(INDEX('Rentabilidad datos'!$M$2:$M$61,MATCH($C470,'Rentabilidad datos'!$C$2:$C$61,0)),"")</f>
        <v>3116.1708958203221</v>
      </c>
      <c r="X470" s="52">
        <f>IFERROR(INDEX('Rentabilidad datos'!$P$2:$P$61,MATCH($C470,'Rentabilidad datos'!$C$2:$C$61,0)),"")</f>
        <v>0.37418782761251868</v>
      </c>
      <c r="Y470" s="43" t="s">
        <v>171</v>
      </c>
      <c r="Z470" s="53">
        <v>82.525114155251202</v>
      </c>
      <c r="AA470" s="43">
        <v>2</v>
      </c>
      <c r="AB470" s="54">
        <v>0.97845302185972061</v>
      </c>
      <c r="AC470" s="55">
        <v>2.1546978140279411E-2</v>
      </c>
      <c r="AD470" s="752" t="e">
        <f>_xlfn.XLOOKUP(Table1[[#This Row],[Ruta]],#REF!,#REF!)</f>
        <v>#REF!</v>
      </c>
      <c r="AE470" s="752" t="e">
        <f>_xlfn.XLOOKUP(Table1[[#This Row],[Ruta]],#REF!,#REF!)</f>
        <v>#REF!</v>
      </c>
      <c r="AF470" s="752" t="e">
        <f>_xlfn.XLOOKUP(Table1[[#This Row],[Ruta]],#REF!,#REF!)</f>
        <v>#REF!</v>
      </c>
      <c r="AG470" s="752" t="e">
        <f>_xlfn.XLOOKUP(Table1[[#This Row],[Ruta]],#REF!,#REF!)</f>
        <v>#REF!</v>
      </c>
      <c r="AH470" s="52">
        <v>0.63193779491363133</v>
      </c>
      <c r="AI470" s="52">
        <v>0.35677894809520089</v>
      </c>
      <c r="AJ470" s="55">
        <v>1.1283256991167808E-2</v>
      </c>
      <c r="AK470" s="56">
        <v>36146</v>
      </c>
      <c r="AL470" s="44">
        <v>18037</v>
      </c>
      <c r="AM470" s="54">
        <v>0.49900403917445901</v>
      </c>
      <c r="AN470" s="55">
        <v>0.50214093649930203</v>
      </c>
      <c r="AO470" s="56">
        <v>113.38629070376599</v>
      </c>
      <c r="AP470" s="48">
        <v>56.693145351882997</v>
      </c>
      <c r="AQ470" s="55">
        <v>0.50057248783688058</v>
      </c>
      <c r="AR470" s="51">
        <v>4353301.2</v>
      </c>
      <c r="AS470" s="49">
        <v>13683.1145807022</v>
      </c>
      <c r="AT470" s="55">
        <v>3.1431582498133142E-3</v>
      </c>
      <c r="AU470" s="51">
        <v>9615.1615972501986</v>
      </c>
      <c r="AV470" s="52">
        <v>4.3740280013800922E-5</v>
      </c>
      <c r="AW470" s="44">
        <v>473</v>
      </c>
      <c r="AX470" s="51">
        <v>241.35395021344999</v>
      </c>
      <c r="AY470" s="49">
        <v>308.140122044046</v>
      </c>
      <c r="AZ470" s="49">
        <v>66.786171830596004</v>
      </c>
      <c r="BA470" s="42" t="s">
        <v>150</v>
      </c>
      <c r="BB470" s="50">
        <v>423245.63127054024</v>
      </c>
      <c r="BC470" s="57">
        <v>432860.79286779044</v>
      </c>
      <c r="BD470" s="42" t="s">
        <v>150</v>
      </c>
      <c r="BE470" s="46">
        <v>82.525114155251202</v>
      </c>
      <c r="BF470" s="46">
        <v>83.628504672897193</v>
      </c>
      <c r="BG470" s="42" t="s">
        <v>152</v>
      </c>
      <c r="BH470" s="52">
        <v>0.49900403917445901</v>
      </c>
      <c r="BI470" s="52">
        <v>0.51187669456560203</v>
      </c>
      <c r="BJ470" s="42" t="s">
        <v>152</v>
      </c>
      <c r="BK470" s="46">
        <v>459.82662272602602</v>
      </c>
      <c r="BL470" s="46">
        <v>638.00354527981403</v>
      </c>
      <c r="BM470" s="42" t="s">
        <v>152</v>
      </c>
      <c r="BN470" s="48">
        <v>0</v>
      </c>
      <c r="BO470" s="42" t="s">
        <v>155</v>
      </c>
      <c r="BP470" s="42" t="s">
        <v>152</v>
      </c>
      <c r="BQ470" s="46">
        <v>3601.7615113976099</v>
      </c>
      <c r="BR470" s="46">
        <v>69</v>
      </c>
      <c r="BS470" s="46">
        <v>5463</v>
      </c>
      <c r="BT470" s="46">
        <v>1902</v>
      </c>
      <c r="BU470" s="46">
        <v>2.8722397476340693</v>
      </c>
      <c r="BV470" s="46">
        <v>27.565217391304348</v>
      </c>
      <c r="BW470" s="46">
        <v>0</v>
      </c>
      <c r="BX470" s="46">
        <v>1357</v>
      </c>
      <c r="BY470" s="46">
        <v>1357</v>
      </c>
      <c r="BZ470" s="46">
        <v>0.71345951629863302</v>
      </c>
      <c r="CA470" s="46">
        <v>0</v>
      </c>
      <c r="CB470" s="46">
        <v>0.71345951629863302</v>
      </c>
      <c r="CC470" s="46">
        <v>0.28654048370136698</v>
      </c>
      <c r="CD470" s="46">
        <v>0</v>
      </c>
      <c r="CE470" s="46">
        <v>0</v>
      </c>
      <c r="CF470" s="46">
        <v>0</v>
      </c>
      <c r="CG470" s="46">
        <v>0</v>
      </c>
      <c r="CH470" s="46">
        <v>0</v>
      </c>
      <c r="CI470" s="46">
        <v>5.1253889804136916</v>
      </c>
      <c r="CJ470" s="46">
        <v>0.73219842577338468</v>
      </c>
      <c r="CK470">
        <v>331</v>
      </c>
      <c r="CL470">
        <v>455.64</v>
      </c>
      <c r="CM470">
        <f t="shared" si="56"/>
        <v>124.63999999999999</v>
      </c>
      <c r="CN470">
        <v>8.23</v>
      </c>
      <c r="CO470">
        <v>9.4499999999999993</v>
      </c>
      <c r="CP470">
        <f t="shared" si="57"/>
        <v>1.2199999999999989</v>
      </c>
      <c r="CQ470">
        <v>846.56</v>
      </c>
      <c r="CR470">
        <v>459.83</v>
      </c>
      <c r="CS470">
        <f t="shared" si="58"/>
        <v>386.72999999999996</v>
      </c>
      <c r="CT470" t="s">
        <v>152</v>
      </c>
      <c r="CU470">
        <v>87.1</v>
      </c>
      <c r="CV470">
        <v>227</v>
      </c>
      <c r="CW470" s="46">
        <v>1357</v>
      </c>
      <c r="CX470" s="46">
        <f t="shared" si="52"/>
        <v>64.792849631966348</v>
      </c>
      <c r="CY470" s="46">
        <v>124.64</v>
      </c>
      <c r="CZ470" s="46">
        <f t="shared" si="53"/>
        <v>71.345951629863308</v>
      </c>
      <c r="DA470" s="46">
        <f t="shared" si="54"/>
        <v>810.01348537480749</v>
      </c>
      <c r="DB470" s="46">
        <v>1641605.73</v>
      </c>
      <c r="DC470" s="46">
        <f t="shared" si="55"/>
        <v>36.847639442624242</v>
      </c>
      <c r="DD470" s="46">
        <v>74676.899999999994</v>
      </c>
      <c r="DE470" s="995">
        <v>1357</v>
      </c>
      <c r="DF470" s="995">
        <v>65.25</v>
      </c>
      <c r="DG470" s="995">
        <v>115.9</v>
      </c>
      <c r="DH470" s="995">
        <v>71.346000000000004</v>
      </c>
      <c r="DI470" s="995">
        <v>2340.6610000000001</v>
      </c>
      <c r="DJ470" s="995">
        <v>4723336</v>
      </c>
      <c r="DK470" s="995">
        <v>107.11499999999999</v>
      </c>
      <c r="DL470" s="995">
        <v>216153.1</v>
      </c>
      <c r="DM470" s="995">
        <v>1357</v>
      </c>
      <c r="DN470" s="995">
        <v>65.751999999999995</v>
      </c>
      <c r="DO470" s="995">
        <v>106.4</v>
      </c>
      <c r="DP470" s="995">
        <v>71.346000000000004</v>
      </c>
      <c r="DQ470" s="995">
        <v>2311.3389999999999</v>
      </c>
      <c r="DR470" s="995">
        <v>4642084</v>
      </c>
      <c r="DS470" s="995">
        <v>105.724</v>
      </c>
      <c r="DT470" s="995">
        <v>212336.2</v>
      </c>
    </row>
    <row r="471" spans="1:124">
      <c r="A471" s="42" t="s">
        <v>94</v>
      </c>
      <c r="B471" s="42" t="s">
        <v>549</v>
      </c>
      <c r="C471" s="42" t="s">
        <v>639</v>
      </c>
      <c r="D471" s="42">
        <v>820418</v>
      </c>
      <c r="E471" s="42" t="s">
        <v>689</v>
      </c>
      <c r="F471" s="42" t="s">
        <v>149</v>
      </c>
      <c r="G471" s="42" t="s">
        <v>150</v>
      </c>
      <c r="H471" s="43" t="s">
        <v>150</v>
      </c>
      <c r="I471" s="44">
        <v>63</v>
      </c>
      <c r="J471" s="45">
        <v>220220.448</v>
      </c>
      <c r="K471" s="46">
        <v>14106.063455</v>
      </c>
      <c r="L471" s="47">
        <v>234326.511455</v>
      </c>
      <c r="M471" s="48">
        <v>5463841</v>
      </c>
      <c r="N471" s="49">
        <v>3209924</v>
      </c>
      <c r="O471" s="49">
        <v>2249558</v>
      </c>
      <c r="P471" s="49">
        <v>4359</v>
      </c>
      <c r="Q471" s="50">
        <v>12627.363587963</v>
      </c>
      <c r="R471" s="51">
        <v>23123.721873054299</v>
      </c>
      <c r="S471" s="49">
        <v>37603.729589071001</v>
      </c>
      <c r="T471" s="49">
        <v>8068.5083984801104</v>
      </c>
      <c r="U471" s="49">
        <f>IFERROR(INDEX('Rentabilidad datos'!$N$2:$N$61,MATCH($C471,'Rentabilidad datos'!$C$2:$C$61,0)),"")</f>
        <v>68795.959860605391</v>
      </c>
      <c r="V471" s="50">
        <f>IFERROR(INDEX('Rentabilidad datos'!$O$2:$O$61,MATCH($C471,'Rentabilidad datos'!$C$2:$C$61,0)),"")</f>
        <v>1166.0332179763625</v>
      </c>
      <c r="W471" s="51">
        <f>IFERROR(INDEX('Rentabilidad datos'!$M$2:$M$61,MATCH($C471,'Rentabilidad datos'!$C$2:$C$61,0)),"")</f>
        <v>3116.1708958203221</v>
      </c>
      <c r="X471" s="52">
        <f>IFERROR(INDEX('Rentabilidad datos'!$P$2:$P$61,MATCH($C471,'Rentabilidad datos'!$C$2:$C$61,0)),"")</f>
        <v>0.37418782761251868</v>
      </c>
      <c r="Y471" s="43" t="s">
        <v>171</v>
      </c>
      <c r="Z471" s="53">
        <v>51.891203703703702</v>
      </c>
      <c r="AA471" s="43">
        <v>2</v>
      </c>
      <c r="AB471" s="54">
        <v>0.93491465070085311</v>
      </c>
      <c r="AC471" s="55">
        <v>6.5085349299146888E-2</v>
      </c>
      <c r="AD471" s="752" t="e">
        <f>_xlfn.XLOOKUP(Table1[[#This Row],[Ruta]],#REF!,#REF!)</f>
        <v>#REF!</v>
      </c>
      <c r="AE471" s="752" t="e">
        <f>_xlfn.XLOOKUP(Table1[[#This Row],[Ruta]],#REF!,#REF!)</f>
        <v>#REF!</v>
      </c>
      <c r="AF471" s="752" t="e">
        <f>_xlfn.XLOOKUP(Table1[[#This Row],[Ruta]],#REF!,#REF!)</f>
        <v>#REF!</v>
      </c>
      <c r="AG471" s="752" t="e">
        <f>_xlfn.XLOOKUP(Table1[[#This Row],[Ruta]],#REF!,#REF!)</f>
        <v>#REF!</v>
      </c>
      <c r="AH471" s="52">
        <v>0.58748488471754579</v>
      </c>
      <c r="AI471" s="52">
        <v>0.41171732486358953</v>
      </c>
      <c r="AJ471" s="55">
        <v>7.977904188646778E-4</v>
      </c>
      <c r="AK471" s="56">
        <v>22417</v>
      </c>
      <c r="AL471" s="44">
        <v>7414</v>
      </c>
      <c r="AM471" s="54">
        <v>0.330731141544364</v>
      </c>
      <c r="AN471" s="55">
        <v>0.50214093649930203</v>
      </c>
      <c r="AO471" s="56">
        <v>3842.4933735048498</v>
      </c>
      <c r="AP471" s="48">
        <v>1921.2466867524249</v>
      </c>
      <c r="AQ471" s="55">
        <v>0.41643603902183279</v>
      </c>
      <c r="AR471" s="51">
        <v>5455021.0700000003</v>
      </c>
      <c r="AS471" s="49">
        <v>1413601.4508905001</v>
      </c>
      <c r="AT471" s="55">
        <v>0.25913767018511258</v>
      </c>
      <c r="AU471" s="51">
        <v>993341.56008521665</v>
      </c>
      <c r="AV471" s="52">
        <v>4.5188047593395664E-3</v>
      </c>
      <c r="AW471" s="44">
        <v>42</v>
      </c>
      <c r="AX471" s="51">
        <v>735.77300647423795</v>
      </c>
      <c r="AY471" s="49">
        <v>308.140122044046</v>
      </c>
      <c r="AZ471" s="49">
        <v>0</v>
      </c>
      <c r="BA471" s="42" t="s">
        <v>152</v>
      </c>
      <c r="BB471" s="50">
        <v>0</v>
      </c>
      <c r="BC471" s="57">
        <v>993341.56008521665</v>
      </c>
      <c r="BD471" s="42" t="s">
        <v>150</v>
      </c>
      <c r="BE471" s="46">
        <v>51.891203703703702</v>
      </c>
      <c r="BF471" s="46">
        <v>83.628504672897193</v>
      </c>
      <c r="BG471" s="42" t="s">
        <v>152</v>
      </c>
      <c r="BH471" s="52">
        <v>0.330731141544364</v>
      </c>
      <c r="BI471" s="52">
        <v>0.51187669456560203</v>
      </c>
      <c r="BJ471" s="42" t="s">
        <v>152</v>
      </c>
      <c r="BK471" s="46">
        <v>542.42248021990702</v>
      </c>
      <c r="BL471" s="46">
        <v>638.00354527981403</v>
      </c>
      <c r="BM471" s="42" t="s">
        <v>152</v>
      </c>
      <c r="BN471" s="48">
        <v>0</v>
      </c>
      <c r="BO471" s="42" t="s">
        <v>155</v>
      </c>
      <c r="BP471" s="42" t="s">
        <v>152</v>
      </c>
      <c r="BQ471" s="46">
        <v>13918.078534296001</v>
      </c>
      <c r="BR471" s="46">
        <v>68</v>
      </c>
      <c r="BS471" s="46">
        <v>3059</v>
      </c>
      <c r="BT471" s="46">
        <v>1161</v>
      </c>
      <c r="BU471" s="46">
        <v>2.6347975882859602</v>
      </c>
      <c r="BV471" s="46">
        <v>17.073529411764707</v>
      </c>
      <c r="BW471" s="46">
        <v>0</v>
      </c>
      <c r="BX471" s="46">
        <v>1161</v>
      </c>
      <c r="BY471" s="46">
        <v>1161</v>
      </c>
      <c r="BZ471" s="46">
        <v>1</v>
      </c>
      <c r="CA471" s="46">
        <v>0</v>
      </c>
      <c r="CB471" s="46">
        <v>1</v>
      </c>
      <c r="CC471" s="46">
        <v>0</v>
      </c>
      <c r="CD471" s="46">
        <v>0</v>
      </c>
      <c r="CE471" s="46">
        <v>0</v>
      </c>
      <c r="CF471" s="46">
        <v>0</v>
      </c>
      <c r="CG471" s="46">
        <v>0</v>
      </c>
      <c r="CH471" s="46">
        <v>0</v>
      </c>
      <c r="CI471" s="46">
        <v>2.9421379535796004</v>
      </c>
      <c r="CJ471" s="46">
        <v>2.2883295194508011</v>
      </c>
      <c r="CK471">
        <v>273</v>
      </c>
      <c r="CL471">
        <v>353.01</v>
      </c>
      <c r="CM471">
        <f t="shared" si="56"/>
        <v>80.009999999999991</v>
      </c>
      <c r="CN471">
        <v>6.67</v>
      </c>
      <c r="CO471">
        <v>9.4499999999999993</v>
      </c>
      <c r="CP471">
        <f t="shared" si="57"/>
        <v>2.7799999999999994</v>
      </c>
      <c r="CQ471">
        <v>846.56</v>
      </c>
      <c r="CR471">
        <v>542.41999999999996</v>
      </c>
      <c r="CS471">
        <f t="shared" si="58"/>
        <v>304.14</v>
      </c>
      <c r="CT471" t="s">
        <v>152</v>
      </c>
      <c r="CU471">
        <v>72.290000000000006</v>
      </c>
      <c r="CV471">
        <v>294</v>
      </c>
      <c r="CW471" s="46">
        <v>1161</v>
      </c>
      <c r="CX471" s="46">
        <f t="shared" si="52"/>
        <v>93.108527131782949</v>
      </c>
      <c r="CY471" s="46">
        <v>80.010000000000005</v>
      </c>
      <c r="CZ471" s="46">
        <f t="shared" si="53"/>
        <v>100</v>
      </c>
      <c r="DA471" s="46">
        <f t="shared" si="54"/>
        <v>1020.1737294622928</v>
      </c>
      <c r="DB471" s="46">
        <v>1266045.8</v>
      </c>
      <c r="DC471" s="46">
        <f t="shared" si="55"/>
        <v>45.397982288619751</v>
      </c>
      <c r="DD471" s="46">
        <v>56339.35</v>
      </c>
      <c r="DE471" s="995">
        <v>1161</v>
      </c>
      <c r="DF471" s="995">
        <v>92.960999999999999</v>
      </c>
      <c r="DG471" s="995">
        <v>81.7</v>
      </c>
      <c r="DH471" s="995">
        <v>100</v>
      </c>
      <c r="DI471" s="995">
        <v>3881.855</v>
      </c>
      <c r="DJ471" s="995">
        <v>4824088</v>
      </c>
      <c r="DK471" s="995">
        <v>172.11500000000001</v>
      </c>
      <c r="DL471" s="995">
        <v>213891.6</v>
      </c>
      <c r="DM471" s="995">
        <v>1161</v>
      </c>
      <c r="DN471" s="995">
        <v>93.662000000000006</v>
      </c>
      <c r="DO471" s="995">
        <v>73.599999999999994</v>
      </c>
      <c r="DP471" s="995">
        <v>100</v>
      </c>
      <c r="DQ471" s="995">
        <v>3836.6640000000002</v>
      </c>
      <c r="DR471" s="995">
        <v>4736701</v>
      </c>
      <c r="DS471" s="995">
        <v>170.50200000000001</v>
      </c>
      <c r="DT471" s="995">
        <v>210499.6</v>
      </c>
    </row>
    <row r="472" spans="1:124">
      <c r="A472" s="42" t="s">
        <v>94</v>
      </c>
      <c r="B472" s="42" t="s">
        <v>549</v>
      </c>
      <c r="C472" s="42" t="s">
        <v>639</v>
      </c>
      <c r="D472" s="42">
        <v>820422</v>
      </c>
      <c r="E472" s="42" t="s">
        <v>690</v>
      </c>
      <c r="F472" s="42" t="s">
        <v>149</v>
      </c>
      <c r="G472" s="42" t="s">
        <v>150</v>
      </c>
      <c r="H472" s="43" t="s">
        <v>150</v>
      </c>
      <c r="I472" s="44">
        <v>63</v>
      </c>
      <c r="J472" s="45">
        <v>222129.58879999901</v>
      </c>
      <c r="K472" s="46">
        <v>13525.936627999999</v>
      </c>
      <c r="L472" s="47">
        <v>235655.525427999</v>
      </c>
      <c r="M472" s="48">
        <v>5099291</v>
      </c>
      <c r="N472" s="49">
        <v>3226950</v>
      </c>
      <c r="O472" s="49">
        <v>1813628</v>
      </c>
      <c r="P472" s="49">
        <v>58713</v>
      </c>
      <c r="Q472" s="50">
        <v>11667.9991898148</v>
      </c>
      <c r="R472" s="51">
        <v>23123.721873054299</v>
      </c>
      <c r="S472" s="49">
        <v>37603.729589071001</v>
      </c>
      <c r="T472" s="49">
        <v>8068.5083984801104</v>
      </c>
      <c r="U472" s="49">
        <f>IFERROR(INDEX('Rentabilidad datos'!$N$2:$N$61,MATCH($C472,'Rentabilidad datos'!$C$2:$C$61,0)),"")</f>
        <v>68795.959860605391</v>
      </c>
      <c r="V472" s="50">
        <f>IFERROR(INDEX('Rentabilidad datos'!$O$2:$O$61,MATCH($C472,'Rentabilidad datos'!$C$2:$C$61,0)),"")</f>
        <v>1166.0332179763625</v>
      </c>
      <c r="W472" s="51">
        <f>IFERROR(INDEX('Rentabilidad datos'!$M$2:$M$61,MATCH($C472,'Rentabilidad datos'!$C$2:$C$61,0)),"")</f>
        <v>3116.1708958203221</v>
      </c>
      <c r="X472" s="52">
        <f>IFERROR(INDEX('Rentabilidad datos'!$P$2:$P$61,MATCH($C472,'Rentabilidad datos'!$C$2:$C$61,0)),"")</f>
        <v>0.37418782761251868</v>
      </c>
      <c r="Y472" s="43" t="s">
        <v>171</v>
      </c>
      <c r="Z472" s="53">
        <v>140.08101851851899</v>
      </c>
      <c r="AA472" s="43">
        <v>2</v>
      </c>
      <c r="AB472" s="54">
        <v>0.98486554307255658</v>
      </c>
      <c r="AC472" s="55">
        <v>1.5134456927443442E-2</v>
      </c>
      <c r="AD472" s="752" t="e">
        <f>_xlfn.XLOOKUP(Table1[[#This Row],[Ruta]],#REF!,#REF!)</f>
        <v>#REF!</v>
      </c>
      <c r="AE472" s="752" t="e">
        <f>_xlfn.XLOOKUP(Table1[[#This Row],[Ruta]],#REF!,#REF!)</f>
        <v>#REF!</v>
      </c>
      <c r="AF472" s="752" t="e">
        <f>_xlfn.XLOOKUP(Table1[[#This Row],[Ruta]],#REF!,#REF!)</f>
        <v>#REF!</v>
      </c>
      <c r="AG472" s="752" t="e">
        <f>_xlfn.XLOOKUP(Table1[[#This Row],[Ruta]],#REF!,#REF!)</f>
        <v>#REF!</v>
      </c>
      <c r="AH472" s="52">
        <v>0.63282326896033192</v>
      </c>
      <c r="AI472" s="52">
        <v>0.35566277743317648</v>
      </c>
      <c r="AJ472" s="55">
        <v>1.1513953606491569E-2</v>
      </c>
      <c r="AK472" s="56">
        <v>60515</v>
      </c>
      <c r="AL472" s="44">
        <v>24537</v>
      </c>
      <c r="AM472" s="54">
        <v>0.40546971825167299</v>
      </c>
      <c r="AN472" s="55">
        <v>0.50214093649930203</v>
      </c>
      <c r="AO472" s="56">
        <v>5850.05877225526</v>
      </c>
      <c r="AP472" s="48">
        <v>2925.02938612763</v>
      </c>
      <c r="AQ472" s="55">
        <v>0.45380532737548757</v>
      </c>
      <c r="AR472" s="51">
        <v>5040575.6500000004</v>
      </c>
      <c r="AS472" s="49">
        <v>600881.60326239502</v>
      </c>
      <c r="AT472" s="55">
        <v>0.1192089247311257</v>
      </c>
      <c r="AU472" s="51">
        <v>422241.12661681825</v>
      </c>
      <c r="AV472" s="52">
        <v>1.92081484276294E-3</v>
      </c>
      <c r="AW472" s="44">
        <v>178</v>
      </c>
      <c r="AX472" s="51">
        <v>205.427544117048</v>
      </c>
      <c r="AY472" s="49">
        <v>308.140122044046</v>
      </c>
      <c r="AZ472" s="49">
        <v>102.71257792699799</v>
      </c>
      <c r="BA472" s="42" t="s">
        <v>150</v>
      </c>
      <c r="BB472" s="50">
        <v>885496.23837112868</v>
      </c>
      <c r="BC472" s="57">
        <v>1307737.364987947</v>
      </c>
      <c r="BD472" s="42" t="s">
        <v>150</v>
      </c>
      <c r="BE472" s="46">
        <v>140.08101851851899</v>
      </c>
      <c r="BF472" s="46">
        <v>83.628504672897193</v>
      </c>
      <c r="BG472" s="42" t="s">
        <v>150</v>
      </c>
      <c r="BH472" s="52">
        <v>0.40546971825167299</v>
      </c>
      <c r="BI472" s="52">
        <v>0.51187669456560203</v>
      </c>
      <c r="BJ472" s="42" t="s">
        <v>152</v>
      </c>
      <c r="BK472" s="46">
        <v>545.49890145370205</v>
      </c>
      <c r="BL472" s="46">
        <v>638.00354527981403</v>
      </c>
      <c r="BM472" s="42" t="s">
        <v>152</v>
      </c>
      <c r="BN472" s="48">
        <v>1</v>
      </c>
      <c r="BO472" s="42" t="s">
        <v>155</v>
      </c>
      <c r="BP472" s="42" t="s">
        <v>152</v>
      </c>
      <c r="BQ472" s="46">
        <v>0</v>
      </c>
      <c r="BR472" s="46">
        <v>177</v>
      </c>
      <c r="BS472" s="46">
        <v>10293</v>
      </c>
      <c r="BT472" s="46">
        <v>3224</v>
      </c>
      <c r="BU472" s="46">
        <v>3.1926178660049627</v>
      </c>
      <c r="BV472" s="46">
        <v>18.214689265536723</v>
      </c>
      <c r="BW472" s="46">
        <v>0</v>
      </c>
      <c r="BX472" s="46">
        <v>2277</v>
      </c>
      <c r="BY472" s="46">
        <v>2277</v>
      </c>
      <c r="BZ472" s="46">
        <v>0.70626550868486349</v>
      </c>
      <c r="CA472" s="46">
        <v>0</v>
      </c>
      <c r="CB472" s="46">
        <v>0.70626550868486349</v>
      </c>
      <c r="CC472" s="46">
        <v>0.2437965260545906</v>
      </c>
      <c r="CD472" s="46">
        <v>4.9937965260545912E-2</v>
      </c>
      <c r="CE472" s="46">
        <v>0</v>
      </c>
      <c r="CF472" s="46">
        <v>0</v>
      </c>
      <c r="CG472" s="46">
        <v>0</v>
      </c>
      <c r="CH472" s="46">
        <v>0</v>
      </c>
      <c r="CI472" s="46">
        <v>0.58292043136111926</v>
      </c>
      <c r="CJ472" s="46">
        <v>9.7153405226853201E-2</v>
      </c>
      <c r="CK472">
        <v>436</v>
      </c>
      <c r="CL472">
        <v>739.84</v>
      </c>
      <c r="CM472">
        <f t="shared" si="56"/>
        <v>303.84000000000003</v>
      </c>
      <c r="CN472">
        <v>9.7799999999999994</v>
      </c>
      <c r="CO472">
        <v>9.4499999999999993</v>
      </c>
      <c r="CP472">
        <f t="shared" si="57"/>
        <v>-0.33000000000000007</v>
      </c>
      <c r="CQ472">
        <v>846.56</v>
      </c>
      <c r="CR472">
        <v>545.5</v>
      </c>
      <c r="CS472">
        <f t="shared" si="58"/>
        <v>301.05999999999995</v>
      </c>
      <c r="CT472" t="s">
        <v>150</v>
      </c>
      <c r="CU472">
        <v>103.49</v>
      </c>
      <c r="CV472">
        <v>263</v>
      </c>
      <c r="CW472" s="46">
        <v>2277</v>
      </c>
      <c r="CX472" s="46">
        <f t="shared" si="52"/>
        <v>61.202233250620353</v>
      </c>
      <c r="CY472" s="46">
        <v>303.83999999999997</v>
      </c>
      <c r="CZ472" s="46">
        <f t="shared" si="53"/>
        <v>70.626550868486348</v>
      </c>
      <c r="DA472" s="46">
        <f t="shared" si="54"/>
        <v>985.8836880357386</v>
      </c>
      <c r="DB472" s="46">
        <v>3478039.91</v>
      </c>
      <c r="DC472" s="46">
        <f t="shared" si="55"/>
        <v>44.064739330581887</v>
      </c>
      <c r="DD472" s="46">
        <v>155453.35</v>
      </c>
      <c r="DE472" s="995">
        <v>2277</v>
      </c>
      <c r="DF472" s="995">
        <v>61.201999999999998</v>
      </c>
      <c r="DG472" s="995">
        <v>303.8</v>
      </c>
      <c r="DH472" s="995">
        <v>70.626999999999995</v>
      </c>
      <c r="DI472" s="995">
        <v>2108.5279999999998</v>
      </c>
      <c r="DJ472" s="995">
        <v>7438547</v>
      </c>
      <c r="DK472" s="995">
        <v>93.706999999999994</v>
      </c>
      <c r="DL472" s="995">
        <v>330581.59999999998</v>
      </c>
      <c r="DM472" s="995">
        <v>2277</v>
      </c>
      <c r="DN472" s="995">
        <v>61.201999999999998</v>
      </c>
      <c r="DO472" s="995">
        <v>303.8</v>
      </c>
      <c r="DP472" s="995">
        <v>70.626999999999995</v>
      </c>
      <c r="DQ472" s="995">
        <v>2108.5279999999998</v>
      </c>
      <c r="DR472" s="995">
        <v>7438547</v>
      </c>
      <c r="DS472" s="995">
        <v>93.706999999999994</v>
      </c>
      <c r="DT472" s="995">
        <v>330581.59999999998</v>
      </c>
    </row>
    <row r="473" spans="1:124">
      <c r="A473" s="42" t="s">
        <v>94</v>
      </c>
      <c r="B473" s="42" t="s">
        <v>549</v>
      </c>
      <c r="C473" s="42" t="s">
        <v>639</v>
      </c>
      <c r="D473" s="42">
        <v>820423</v>
      </c>
      <c r="E473" s="42" t="s">
        <v>691</v>
      </c>
      <c r="F473" s="42" t="s">
        <v>149</v>
      </c>
      <c r="G473" s="42" t="s">
        <v>150</v>
      </c>
      <c r="H473" s="43" t="s">
        <v>150</v>
      </c>
      <c r="I473" s="44">
        <v>63</v>
      </c>
      <c r="J473" s="45">
        <v>152526.96479999999</v>
      </c>
      <c r="K473" s="46">
        <v>6298.5911690000003</v>
      </c>
      <c r="L473" s="47">
        <v>158825.55596900001</v>
      </c>
      <c r="M473" s="48">
        <v>3456312</v>
      </c>
      <c r="N473" s="49">
        <v>2229485</v>
      </c>
      <c r="O473" s="49">
        <v>1222552</v>
      </c>
      <c r="P473" s="49">
        <v>4275</v>
      </c>
      <c r="Q473" s="50">
        <v>8009.3713457076501</v>
      </c>
      <c r="R473" s="51">
        <v>23123.721873054299</v>
      </c>
      <c r="S473" s="49">
        <v>37603.729589071001</v>
      </c>
      <c r="T473" s="49">
        <v>8068.5083984801104</v>
      </c>
      <c r="U473" s="49">
        <f>IFERROR(INDEX('Rentabilidad datos'!$N$2:$N$61,MATCH($C473,'Rentabilidad datos'!$C$2:$C$61,0)),"")</f>
        <v>68795.959860605391</v>
      </c>
      <c r="V473" s="50">
        <f>IFERROR(INDEX('Rentabilidad datos'!$O$2:$O$61,MATCH($C473,'Rentabilidad datos'!$C$2:$C$61,0)),"")</f>
        <v>1166.0332179763625</v>
      </c>
      <c r="W473" s="51">
        <f>IFERROR(INDEX('Rentabilidad datos'!$M$2:$M$61,MATCH($C473,'Rentabilidad datos'!$C$2:$C$61,0)),"")</f>
        <v>3116.1708958203221</v>
      </c>
      <c r="X473" s="52">
        <f>IFERROR(INDEX('Rentabilidad datos'!$P$2:$P$61,MATCH($C473,'Rentabilidad datos'!$C$2:$C$61,0)),"")</f>
        <v>0.37418782761251868</v>
      </c>
      <c r="Y473" s="43" t="s">
        <v>171</v>
      </c>
      <c r="Z473" s="53">
        <v>59.593967517401403</v>
      </c>
      <c r="AA473" s="43">
        <v>2</v>
      </c>
      <c r="AB473" s="54">
        <v>0.91185083985473536</v>
      </c>
      <c r="AC473" s="55">
        <v>8.8149160145264666E-2</v>
      </c>
      <c r="AD473" s="752" t="e">
        <f>_xlfn.XLOOKUP(Table1[[#This Row],[Ruta]],#REF!,#REF!)</f>
        <v>#REF!</v>
      </c>
      <c r="AE473" s="752" t="e">
        <f>_xlfn.XLOOKUP(Table1[[#This Row],[Ruta]],#REF!,#REF!)</f>
        <v>#REF!</v>
      </c>
      <c r="AF473" s="752" t="e">
        <f>_xlfn.XLOOKUP(Table1[[#This Row],[Ruta]],#REF!,#REF!)</f>
        <v>#REF!</v>
      </c>
      <c r="AG473" s="752" t="e">
        <f>_xlfn.XLOOKUP(Table1[[#This Row],[Ruta]],#REF!,#REF!)</f>
        <v>#REF!</v>
      </c>
      <c r="AH473" s="52">
        <v>0.64504737998189976</v>
      </c>
      <c r="AI473" s="52">
        <v>0.35371575251308329</v>
      </c>
      <c r="AJ473" s="55">
        <v>1.2368675050169083E-3</v>
      </c>
      <c r="AK473" s="56">
        <v>25685</v>
      </c>
      <c r="AL473" s="44">
        <v>8156</v>
      </c>
      <c r="AM473" s="54">
        <v>0.31753941989487999</v>
      </c>
      <c r="AN473" s="55">
        <v>0.50214093649930203</v>
      </c>
      <c r="AO473" s="56">
        <v>4741.4899539845701</v>
      </c>
      <c r="AP473" s="48">
        <v>2370.744976992285</v>
      </c>
      <c r="AQ473" s="55">
        <v>0.40984017819709112</v>
      </c>
      <c r="AR473" s="51">
        <v>3452039.05</v>
      </c>
      <c r="AS473" s="49">
        <v>1003421.314145255</v>
      </c>
      <c r="AT473" s="55">
        <v>0.29067496039630697</v>
      </c>
      <c r="AU473" s="51">
        <v>705106.86939936865</v>
      </c>
      <c r="AV473" s="52">
        <v>3.2075978750064063E-3</v>
      </c>
      <c r="AW473" s="44">
        <v>95</v>
      </c>
      <c r="AX473" s="51">
        <v>423.25147743992102</v>
      </c>
      <c r="AY473" s="49">
        <v>308.140122044046</v>
      </c>
      <c r="AZ473" s="49">
        <v>0</v>
      </c>
      <c r="BA473" s="42" t="s">
        <v>152</v>
      </c>
      <c r="BB473" s="50">
        <v>0</v>
      </c>
      <c r="BC473" s="57">
        <v>705106.86939936865</v>
      </c>
      <c r="BD473" s="42" t="s">
        <v>150</v>
      </c>
      <c r="BE473" s="46">
        <v>59.593967517401403</v>
      </c>
      <c r="BF473" s="46">
        <v>83.628504672897193</v>
      </c>
      <c r="BG473" s="42" t="s">
        <v>152</v>
      </c>
      <c r="BH473" s="52">
        <v>0.31753941989487999</v>
      </c>
      <c r="BI473" s="52">
        <v>0.51187669456560203</v>
      </c>
      <c r="BJ473" s="42" t="s">
        <v>152</v>
      </c>
      <c r="BK473" s="46">
        <v>368.50477022969801</v>
      </c>
      <c r="BL473" s="46">
        <v>638.00354527981403</v>
      </c>
      <c r="BM473" s="42" t="s">
        <v>152</v>
      </c>
      <c r="BN473" s="48">
        <v>0</v>
      </c>
      <c r="BO473" s="42" t="s">
        <v>155</v>
      </c>
      <c r="BP473" s="42" t="s">
        <v>152</v>
      </c>
      <c r="BQ473" s="46">
        <v>12855.4232235113</v>
      </c>
      <c r="BR473" s="46">
        <v>79</v>
      </c>
      <c r="BS473" s="46">
        <v>2659</v>
      </c>
      <c r="BT473" s="46">
        <v>1033</v>
      </c>
      <c r="BU473" s="46">
        <v>2.57405614714424</v>
      </c>
      <c r="BV473" s="46">
        <v>13.075949367088608</v>
      </c>
      <c r="BW473" s="46">
        <v>0</v>
      </c>
      <c r="BX473" s="46">
        <v>1033</v>
      </c>
      <c r="BY473" s="46">
        <v>1033</v>
      </c>
      <c r="BZ473" s="46">
        <v>1</v>
      </c>
      <c r="CA473" s="46">
        <v>0</v>
      </c>
      <c r="CB473" s="46">
        <v>1</v>
      </c>
      <c r="CC473" s="46">
        <v>0</v>
      </c>
      <c r="CD473" s="46">
        <v>0</v>
      </c>
      <c r="CE473" s="46">
        <v>0</v>
      </c>
      <c r="CF473" s="46">
        <v>0</v>
      </c>
      <c r="CG473" s="46">
        <v>0</v>
      </c>
      <c r="CH473" s="46">
        <v>0</v>
      </c>
      <c r="CI473" s="46">
        <v>7.1455434373824742</v>
      </c>
      <c r="CJ473" s="46">
        <v>2.256487401278676</v>
      </c>
      <c r="CK473">
        <v>278</v>
      </c>
      <c r="CL473">
        <v>385.22</v>
      </c>
      <c r="CM473">
        <f t="shared" si="56"/>
        <v>107.22000000000003</v>
      </c>
      <c r="CN473">
        <v>7.35</v>
      </c>
      <c r="CO473">
        <v>9.4499999999999993</v>
      </c>
      <c r="CP473">
        <f t="shared" si="57"/>
        <v>2.0999999999999996</v>
      </c>
      <c r="CQ473">
        <v>846.56</v>
      </c>
      <c r="CR473">
        <v>368.5</v>
      </c>
      <c r="CS473">
        <f t="shared" si="58"/>
        <v>478.05999999999995</v>
      </c>
      <c r="CT473" t="s">
        <v>152</v>
      </c>
      <c r="CU473">
        <v>77.83</v>
      </c>
      <c r="CV473">
        <v>299</v>
      </c>
      <c r="CW473" s="46">
        <v>1033</v>
      </c>
      <c r="CX473" s="46">
        <f t="shared" si="52"/>
        <v>89.62052274927396</v>
      </c>
      <c r="CY473" s="46">
        <v>107.22</v>
      </c>
      <c r="CZ473" s="46">
        <f t="shared" si="53"/>
        <v>100</v>
      </c>
      <c r="DA473" s="46">
        <f t="shared" si="54"/>
        <v>1344.0205837469962</v>
      </c>
      <c r="DB473" s="46">
        <v>1532479.15</v>
      </c>
      <c r="DC473" s="46">
        <f t="shared" si="55"/>
        <v>61.152505656803072</v>
      </c>
      <c r="DD473" s="46">
        <v>69727.31</v>
      </c>
      <c r="DE473" s="995">
        <v>1033</v>
      </c>
      <c r="DF473" s="995">
        <v>90.983000000000004</v>
      </c>
      <c r="DG473" s="995">
        <v>93.1</v>
      </c>
      <c r="DH473" s="995">
        <v>100</v>
      </c>
      <c r="DI473" s="995">
        <v>3590.6350000000002</v>
      </c>
      <c r="DJ473" s="995">
        <v>4043564</v>
      </c>
      <c r="DK473" s="995">
        <v>165.51</v>
      </c>
      <c r="DL473" s="995">
        <v>186388.3</v>
      </c>
      <c r="DM473" s="995">
        <v>1033</v>
      </c>
      <c r="DN473" s="995">
        <v>92.427999999999997</v>
      </c>
      <c r="DO473" s="995">
        <v>78.2</v>
      </c>
      <c r="DP473" s="995">
        <v>100</v>
      </c>
      <c r="DQ473" s="995">
        <v>3515.904</v>
      </c>
      <c r="DR473" s="995">
        <v>3906931</v>
      </c>
      <c r="DS473" s="995">
        <v>162.136</v>
      </c>
      <c r="DT473" s="995">
        <v>180168.4</v>
      </c>
    </row>
    <row r="474" spans="1:124">
      <c r="A474" s="42" t="s">
        <v>94</v>
      </c>
      <c r="B474" s="42" t="s">
        <v>549</v>
      </c>
      <c r="C474" s="42" t="s">
        <v>639</v>
      </c>
      <c r="D474" s="42">
        <v>820424</v>
      </c>
      <c r="E474" s="42" t="s">
        <v>692</v>
      </c>
      <c r="F474" s="42" t="s">
        <v>149</v>
      </c>
      <c r="G474" s="42" t="s">
        <v>150</v>
      </c>
      <c r="H474" s="43" t="s">
        <v>150</v>
      </c>
      <c r="I474" s="44">
        <v>63</v>
      </c>
      <c r="J474" s="45">
        <v>162357.98319999999</v>
      </c>
      <c r="K474" s="46">
        <v>12396.850872000001</v>
      </c>
      <c r="L474" s="47">
        <v>174754.834072</v>
      </c>
      <c r="M474" s="48">
        <v>3884452</v>
      </c>
      <c r="N474" s="49">
        <v>2301686</v>
      </c>
      <c r="O474" s="49">
        <v>1535191</v>
      </c>
      <c r="P474" s="49">
        <v>47575</v>
      </c>
      <c r="Q474" s="50">
        <v>8985.6556908665098</v>
      </c>
      <c r="R474" s="51">
        <v>23123.721873054299</v>
      </c>
      <c r="S474" s="49">
        <v>37603.729589071001</v>
      </c>
      <c r="T474" s="49">
        <v>8068.5083984801104</v>
      </c>
      <c r="U474" s="49">
        <f>IFERROR(INDEX('Rentabilidad datos'!$N$2:$N$61,MATCH($C474,'Rentabilidad datos'!$C$2:$C$61,0)),"")</f>
        <v>68795.959860605391</v>
      </c>
      <c r="V474" s="50">
        <f>IFERROR(INDEX('Rentabilidad datos'!$O$2:$O$61,MATCH($C474,'Rentabilidad datos'!$C$2:$C$61,0)),"")</f>
        <v>1166.0332179763625</v>
      </c>
      <c r="W474" s="51">
        <f>IFERROR(INDEX('Rentabilidad datos'!$M$2:$M$61,MATCH($C474,'Rentabilidad datos'!$C$2:$C$61,0)),"")</f>
        <v>3116.1708958203221</v>
      </c>
      <c r="X474" s="52">
        <f>IFERROR(INDEX('Rentabilidad datos'!$P$2:$P$61,MATCH($C474,'Rentabilidad datos'!$C$2:$C$61,0)),"")</f>
        <v>0.37418782761251868</v>
      </c>
      <c r="Y474" s="43" t="s">
        <v>171</v>
      </c>
      <c r="Z474" s="53">
        <v>94.558746736292406</v>
      </c>
      <c r="AA474" s="43">
        <v>2</v>
      </c>
      <c r="AB474" s="54">
        <v>0.97450219490419754</v>
      </c>
      <c r="AC474" s="55">
        <v>2.5497805095802444E-2</v>
      </c>
      <c r="AD474" s="752" t="e">
        <f>_xlfn.XLOOKUP(Table1[[#This Row],[Ruta]],#REF!,#REF!)</f>
        <v>#REF!</v>
      </c>
      <c r="AE474" s="752" t="e">
        <f>_xlfn.XLOOKUP(Table1[[#This Row],[Ruta]],#REF!,#REF!)</f>
        <v>#REF!</v>
      </c>
      <c r="AF474" s="752" t="e">
        <f>_xlfn.XLOOKUP(Table1[[#This Row],[Ruta]],#REF!,#REF!)</f>
        <v>#REF!</v>
      </c>
      <c r="AG474" s="752" t="e">
        <f>_xlfn.XLOOKUP(Table1[[#This Row],[Ruta]],#REF!,#REF!)</f>
        <v>#REF!</v>
      </c>
      <c r="AH474" s="52">
        <v>0.59253814952533845</v>
      </c>
      <c r="AI474" s="52">
        <v>0.39521430564723159</v>
      </c>
      <c r="AJ474" s="55">
        <v>1.2247544827429969E-2</v>
      </c>
      <c r="AK474" s="56">
        <v>36216</v>
      </c>
      <c r="AL474" s="44">
        <v>13166</v>
      </c>
      <c r="AM474" s="54">
        <v>0.33949083278109099</v>
      </c>
      <c r="AN474" s="55">
        <v>0.50214093649930203</v>
      </c>
      <c r="AO474" s="56">
        <v>5890.5361562587204</v>
      </c>
      <c r="AP474" s="48">
        <v>2945.2680781293602</v>
      </c>
      <c r="AQ474" s="55">
        <v>0.44486602822314336</v>
      </c>
      <c r="AR474" s="51">
        <v>3836874.98</v>
      </c>
      <c r="AS474" s="49">
        <v>858318.80589147995</v>
      </c>
      <c r="AT474" s="55">
        <v>0.22370257315276923</v>
      </c>
      <c r="AU474" s="51">
        <v>603142.94468049961</v>
      </c>
      <c r="AV474" s="52">
        <v>2.7437543323471829E-3</v>
      </c>
      <c r="AW474" s="44">
        <v>118</v>
      </c>
      <c r="AX474" s="51">
        <v>291.42298192313501</v>
      </c>
      <c r="AY474" s="49">
        <v>308.140122044046</v>
      </c>
      <c r="AZ474" s="49">
        <v>16.717140120910983</v>
      </c>
      <c r="BA474" s="42" t="s">
        <v>150</v>
      </c>
      <c r="BB474" s="50">
        <v>77331.682940942788</v>
      </c>
      <c r="BC474" s="57">
        <v>680474.62762144243</v>
      </c>
      <c r="BD474" s="42" t="s">
        <v>150</v>
      </c>
      <c r="BE474" s="46">
        <v>94.558746736292406</v>
      </c>
      <c r="BF474" s="46">
        <v>83.628504672897193</v>
      </c>
      <c r="BG474" s="42" t="s">
        <v>150</v>
      </c>
      <c r="BH474" s="52">
        <v>0.33949083278109099</v>
      </c>
      <c r="BI474" s="52">
        <v>0.51187669456560203</v>
      </c>
      <c r="BJ474" s="42" t="s">
        <v>152</v>
      </c>
      <c r="BK474" s="46">
        <v>409.26190649180302</v>
      </c>
      <c r="BL474" s="46">
        <v>638.00354527981403</v>
      </c>
      <c r="BM474" s="42" t="s">
        <v>152</v>
      </c>
      <c r="BN474" s="48">
        <v>1</v>
      </c>
      <c r="BO474" s="42" t="s">
        <v>155</v>
      </c>
      <c r="BP474" s="42" t="s">
        <v>152</v>
      </c>
      <c r="BQ474" s="46">
        <v>7657.6334001670502</v>
      </c>
      <c r="BR474" s="46">
        <v>107</v>
      </c>
      <c r="BS474" s="46">
        <v>2187</v>
      </c>
      <c r="BT474" s="46">
        <v>799</v>
      </c>
      <c r="BU474" s="46">
        <v>2.7371714643304128</v>
      </c>
      <c r="BV474" s="46">
        <v>7.4672897196261685</v>
      </c>
      <c r="BW474" s="46">
        <v>107</v>
      </c>
      <c r="BX474" s="46">
        <v>147</v>
      </c>
      <c r="BY474" s="46">
        <v>254</v>
      </c>
      <c r="BZ474" s="46">
        <v>0.31789737171464333</v>
      </c>
      <c r="CA474" s="46">
        <v>0.13391739674593239</v>
      </c>
      <c r="CB474" s="46">
        <v>0.18397997496871094</v>
      </c>
      <c r="CC474" s="46">
        <v>0.29536921151439299</v>
      </c>
      <c r="CD474" s="46">
        <v>0.23654568210262827</v>
      </c>
      <c r="CE474" s="46">
        <v>0.1501877346683354</v>
      </c>
      <c r="CF474" s="46">
        <v>0</v>
      </c>
      <c r="CG474" s="46">
        <v>0</v>
      </c>
      <c r="CH474" s="46">
        <v>0</v>
      </c>
      <c r="CI474" s="46">
        <v>16.003657978966618</v>
      </c>
      <c r="CJ474" s="46">
        <v>10.973936899862821</v>
      </c>
      <c r="CK474">
        <v>356</v>
      </c>
      <c r="CL474">
        <v>398.6</v>
      </c>
      <c r="CM474">
        <f t="shared" si="56"/>
        <v>42.600000000000023</v>
      </c>
      <c r="CN474">
        <v>10.39</v>
      </c>
      <c r="CO474">
        <v>9.4499999999999993</v>
      </c>
      <c r="CP474">
        <f t="shared" si="57"/>
        <v>-0.94000000000000128</v>
      </c>
      <c r="CQ474">
        <v>846.56</v>
      </c>
      <c r="CR474">
        <v>409.26</v>
      </c>
      <c r="CS474">
        <f t="shared" si="58"/>
        <v>437.29999999999995</v>
      </c>
      <c r="CT474" t="s">
        <v>150</v>
      </c>
      <c r="CU474">
        <v>109.91</v>
      </c>
      <c r="CV474">
        <v>56</v>
      </c>
      <c r="CW474" s="46">
        <v>254</v>
      </c>
      <c r="CX474" s="46">
        <f t="shared" si="52"/>
        <v>26.458072590738425</v>
      </c>
      <c r="CY474" s="46">
        <v>42.6</v>
      </c>
      <c r="CZ474" s="46">
        <f t="shared" si="53"/>
        <v>31.789737171464331</v>
      </c>
      <c r="DA474" s="46">
        <f t="shared" si="54"/>
        <v>1131.6404348859314</v>
      </c>
      <c r="DB474" s="46">
        <v>952388.59</v>
      </c>
      <c r="DC474" s="46">
        <f t="shared" si="55"/>
        <v>50.883959125475286</v>
      </c>
      <c r="DD474" s="46">
        <v>42823.94</v>
      </c>
      <c r="DE474" s="995">
        <v>254</v>
      </c>
      <c r="DF474" s="995">
        <v>27.280999999999999</v>
      </c>
      <c r="DG474" s="995">
        <v>36</v>
      </c>
      <c r="DH474" s="995">
        <v>31.79</v>
      </c>
      <c r="DI474" s="995">
        <v>4723.0649999999996</v>
      </c>
      <c r="DJ474" s="995">
        <v>3943882</v>
      </c>
      <c r="DK474" s="995">
        <v>221.18199999999999</v>
      </c>
      <c r="DL474" s="995">
        <v>184692.9</v>
      </c>
      <c r="DM474" s="995">
        <v>254</v>
      </c>
      <c r="DN474" s="995">
        <v>28.077000000000002</v>
      </c>
      <c r="DO474" s="995">
        <v>29.7</v>
      </c>
      <c r="DP474" s="995">
        <v>31.79</v>
      </c>
      <c r="DQ474" s="995">
        <v>4690.0330000000004</v>
      </c>
      <c r="DR474" s="995">
        <v>3886482</v>
      </c>
      <c r="DS474" s="995">
        <v>219.92400000000001</v>
      </c>
      <c r="DT474" s="995">
        <v>182244.4</v>
      </c>
    </row>
    <row r="475" spans="1:124">
      <c r="A475" s="42" t="s">
        <v>94</v>
      </c>
      <c r="B475" s="42" t="s">
        <v>549</v>
      </c>
      <c r="C475" s="42" t="s">
        <v>639</v>
      </c>
      <c r="D475" s="42">
        <v>820425</v>
      </c>
      <c r="E475" s="42" t="s">
        <v>693</v>
      </c>
      <c r="F475" s="42" t="s">
        <v>149</v>
      </c>
      <c r="G475" s="42" t="s">
        <v>150</v>
      </c>
      <c r="H475" s="43" t="s">
        <v>150</v>
      </c>
      <c r="I475" s="44">
        <v>63</v>
      </c>
      <c r="J475" s="45">
        <v>212347.883999999</v>
      </c>
      <c r="K475" s="46">
        <v>16298.145407</v>
      </c>
      <c r="L475" s="47">
        <v>228646.02940699901</v>
      </c>
      <c r="M475" s="48">
        <v>5072276</v>
      </c>
      <c r="N475" s="49">
        <v>3056532</v>
      </c>
      <c r="O475" s="49">
        <v>1992370</v>
      </c>
      <c r="P475" s="49">
        <v>23374</v>
      </c>
      <c r="Q475" s="50">
        <v>11345.847955056201</v>
      </c>
      <c r="R475" s="51">
        <v>23123.721873054299</v>
      </c>
      <c r="S475" s="49">
        <v>37603.729589071001</v>
      </c>
      <c r="T475" s="49">
        <v>8068.5083984801104</v>
      </c>
      <c r="U475" s="49">
        <f>IFERROR(INDEX('Rentabilidad datos'!$N$2:$N$61,MATCH($C475,'Rentabilidad datos'!$C$2:$C$61,0)),"")</f>
        <v>68795.959860605391</v>
      </c>
      <c r="V475" s="50">
        <f>IFERROR(INDEX('Rentabilidad datos'!$O$2:$O$61,MATCH($C475,'Rentabilidad datos'!$C$2:$C$61,0)),"")</f>
        <v>1166.0332179763625</v>
      </c>
      <c r="W475" s="51">
        <f>IFERROR(INDEX('Rentabilidad datos'!$M$2:$M$61,MATCH($C475,'Rentabilidad datos'!$C$2:$C$61,0)),"")</f>
        <v>3116.1708958203221</v>
      </c>
      <c r="X475" s="52">
        <f>IFERROR(INDEX('Rentabilidad datos'!$P$2:$P$61,MATCH($C475,'Rentabilidad datos'!$C$2:$C$61,0)),"")</f>
        <v>0.37418782761251868</v>
      </c>
      <c r="Y475" s="43" t="s">
        <v>171</v>
      </c>
      <c r="Z475" s="53">
        <v>79.944999999999993</v>
      </c>
      <c r="AA475" s="43">
        <v>2</v>
      </c>
      <c r="AB475" s="54">
        <v>0.8766056894380353</v>
      </c>
      <c r="AC475" s="55">
        <v>0.12339431056196469</v>
      </c>
      <c r="AD475" s="752" t="e">
        <f>_xlfn.XLOOKUP(Table1[[#This Row],[Ruta]],#REF!,#REF!)</f>
        <v>#REF!</v>
      </c>
      <c r="AE475" s="752" t="e">
        <f>_xlfn.XLOOKUP(Table1[[#This Row],[Ruta]],#REF!,#REF!)</f>
        <v>#REF!</v>
      </c>
      <c r="AF475" s="752" t="e">
        <f>_xlfn.XLOOKUP(Table1[[#This Row],[Ruta]],#REF!,#REF!)</f>
        <v>#REF!</v>
      </c>
      <c r="AG475" s="752" t="e">
        <f>_xlfn.XLOOKUP(Table1[[#This Row],[Ruta]],#REF!,#REF!)</f>
        <v>#REF!</v>
      </c>
      <c r="AH475" s="52">
        <v>0.60259575780182306</v>
      </c>
      <c r="AI475" s="52">
        <v>0.39279605447337645</v>
      </c>
      <c r="AJ475" s="55">
        <v>4.6081877248004641E-3</v>
      </c>
      <c r="AK475" s="56">
        <v>31978</v>
      </c>
      <c r="AL475" s="44">
        <v>14659</v>
      </c>
      <c r="AM475" s="54">
        <v>0.42920132591156401</v>
      </c>
      <c r="AN475" s="55">
        <v>0.50214093649930203</v>
      </c>
      <c r="AO475" s="56">
        <v>2332.4628673746802</v>
      </c>
      <c r="AP475" s="48">
        <v>1166.2314336873401</v>
      </c>
      <c r="AQ475" s="55">
        <v>0.49487871141682849</v>
      </c>
      <c r="AR475" s="51">
        <v>5048902.34</v>
      </c>
      <c r="AS475" s="49">
        <v>401677.37325367052</v>
      </c>
      <c r="AT475" s="55">
        <v>7.9557366374741673E-2</v>
      </c>
      <c r="AU475" s="51">
        <v>282259.77579987666</v>
      </c>
      <c r="AV475" s="52">
        <v>1.2840264310950418E-3</v>
      </c>
      <c r="AW475" s="44">
        <v>255</v>
      </c>
      <c r="AX475" s="51">
        <v>344.42338085817602</v>
      </c>
      <c r="AY475" s="49">
        <v>308.140122044046</v>
      </c>
      <c r="AZ475" s="49">
        <v>0</v>
      </c>
      <c r="BA475" s="42" t="s">
        <v>152</v>
      </c>
      <c r="BB475" s="50">
        <v>0</v>
      </c>
      <c r="BC475" s="57">
        <v>282259.77579987666</v>
      </c>
      <c r="BD475" s="42" t="s">
        <v>150</v>
      </c>
      <c r="BE475" s="46">
        <v>79.944999999999993</v>
      </c>
      <c r="BF475" s="46">
        <v>83.628504672897193</v>
      </c>
      <c r="BG475" s="42" t="s">
        <v>152</v>
      </c>
      <c r="BH475" s="52">
        <v>0.42920132591156401</v>
      </c>
      <c r="BI475" s="52">
        <v>0.51187669456560203</v>
      </c>
      <c r="BJ475" s="42" t="s">
        <v>152</v>
      </c>
      <c r="BK475" s="46">
        <v>513.81130203820101</v>
      </c>
      <c r="BL475" s="46">
        <v>638.00354527981403</v>
      </c>
      <c r="BM475" s="42" t="s">
        <v>152</v>
      </c>
      <c r="BN475" s="48">
        <v>0</v>
      </c>
      <c r="BO475" s="42" t="s">
        <v>155</v>
      </c>
      <c r="BP475" s="42" t="s">
        <v>152</v>
      </c>
      <c r="BQ475" s="46">
        <v>10011.313953458999</v>
      </c>
      <c r="BR475" s="46">
        <v>101</v>
      </c>
      <c r="BS475" s="46">
        <v>2931</v>
      </c>
      <c r="BT475" s="46">
        <v>1007</v>
      </c>
      <c r="BU475" s="46">
        <v>2.910625620655412</v>
      </c>
      <c r="BV475" s="46">
        <v>9.9702970297029712</v>
      </c>
      <c r="BW475" s="46">
        <v>428</v>
      </c>
      <c r="BX475" s="46">
        <v>12</v>
      </c>
      <c r="BY475" s="46">
        <v>440</v>
      </c>
      <c r="BZ475" s="46">
        <v>0.43694141012909632</v>
      </c>
      <c r="CA475" s="46">
        <v>0.42502482621648457</v>
      </c>
      <c r="CB475" s="46">
        <v>1.191658391261172E-2</v>
      </c>
      <c r="CC475" s="46">
        <v>0.56305858987090363</v>
      </c>
      <c r="CD475" s="46">
        <v>0</v>
      </c>
      <c r="CE475" s="46">
        <v>0</v>
      </c>
      <c r="CF475" s="46">
        <v>0</v>
      </c>
      <c r="CG475" s="46">
        <v>0</v>
      </c>
      <c r="CH475" s="46">
        <v>0</v>
      </c>
      <c r="CI475" s="46">
        <v>5.8000682360968936</v>
      </c>
      <c r="CJ475" s="46">
        <v>4.4353462981917433</v>
      </c>
      <c r="CK475">
        <v>364</v>
      </c>
      <c r="CL475">
        <v>412.16</v>
      </c>
      <c r="CM475">
        <f t="shared" si="56"/>
        <v>48.160000000000025</v>
      </c>
      <c r="CN475">
        <v>9.2799999999999994</v>
      </c>
      <c r="CO475">
        <v>9.4499999999999993</v>
      </c>
      <c r="CP475">
        <f t="shared" si="57"/>
        <v>0.16999999999999993</v>
      </c>
      <c r="CQ475">
        <v>846.56</v>
      </c>
      <c r="CR475">
        <v>513.80999999999995</v>
      </c>
      <c r="CS475">
        <f t="shared" si="58"/>
        <v>332.75</v>
      </c>
      <c r="CT475" t="s">
        <v>152</v>
      </c>
      <c r="CU475">
        <v>99.79</v>
      </c>
      <c r="CV475">
        <v>184</v>
      </c>
      <c r="CW475" s="46">
        <v>440</v>
      </c>
      <c r="CX475" s="46">
        <f t="shared" si="52"/>
        <v>38.911618669314798</v>
      </c>
      <c r="CY475" s="46">
        <v>48.16</v>
      </c>
      <c r="CZ475" s="46">
        <f t="shared" si="53"/>
        <v>43.694141012909633</v>
      </c>
      <c r="DA475" s="46">
        <f t="shared" si="54"/>
        <v>744.01514462261639</v>
      </c>
      <c r="DB475" s="46">
        <v>785055.02</v>
      </c>
      <c r="DC475" s="46">
        <f t="shared" si="55"/>
        <v>36.414136244740128</v>
      </c>
      <c r="DD475" s="46">
        <v>38422.74</v>
      </c>
      <c r="DE475" s="995">
        <v>440</v>
      </c>
      <c r="DF475" s="995">
        <v>38.188000000000002</v>
      </c>
      <c r="DG475" s="995">
        <v>55.4</v>
      </c>
      <c r="DH475" s="995">
        <v>43.694000000000003</v>
      </c>
      <c r="DI475" s="995">
        <v>4211.1170000000002</v>
      </c>
      <c r="DJ475" s="995">
        <v>4474101</v>
      </c>
      <c r="DK475" s="995">
        <v>191.76900000000001</v>
      </c>
      <c r="DL475" s="995">
        <v>203744.5</v>
      </c>
      <c r="DM475" s="995">
        <v>440</v>
      </c>
      <c r="DN475" s="995">
        <v>38.884999999999998</v>
      </c>
      <c r="DO475" s="995">
        <v>48.4</v>
      </c>
      <c r="DP475" s="995">
        <v>43.694000000000003</v>
      </c>
      <c r="DQ475" s="995">
        <v>4185.049</v>
      </c>
      <c r="DR475" s="995">
        <v>4417038</v>
      </c>
      <c r="DS475" s="995">
        <v>190.32499999999999</v>
      </c>
      <c r="DT475" s="995">
        <v>200875.7</v>
      </c>
    </row>
    <row r="476" spans="1:124">
      <c r="A476" s="42" t="s">
        <v>94</v>
      </c>
      <c r="B476" s="42" t="s">
        <v>549</v>
      </c>
      <c r="C476" s="42" t="s">
        <v>639</v>
      </c>
      <c r="D476" s="42">
        <v>820426</v>
      </c>
      <c r="E476" s="42" t="s">
        <v>694</v>
      </c>
      <c r="F476" s="42" t="s">
        <v>149</v>
      </c>
      <c r="G476" s="42" t="s">
        <v>150</v>
      </c>
      <c r="H476" s="43" t="s">
        <v>150</v>
      </c>
      <c r="I476" s="44">
        <v>63</v>
      </c>
      <c r="J476" s="45">
        <v>127306.5808</v>
      </c>
      <c r="K476" s="46">
        <v>7189.8883180000003</v>
      </c>
      <c r="L476" s="47">
        <v>134496.46911800001</v>
      </c>
      <c r="M476" s="48">
        <v>2998581</v>
      </c>
      <c r="N476" s="49">
        <v>1860347</v>
      </c>
      <c r="O476" s="49">
        <v>1128331</v>
      </c>
      <c r="P476" s="49">
        <v>9903</v>
      </c>
      <c r="Q476" s="50">
        <v>7024.1341882352999</v>
      </c>
      <c r="R476" s="51">
        <v>23123.721873054299</v>
      </c>
      <c r="S476" s="49">
        <v>37603.729589071001</v>
      </c>
      <c r="T476" s="49">
        <v>8068.5083984801104</v>
      </c>
      <c r="U476" s="49">
        <f>IFERROR(INDEX('Rentabilidad datos'!$N$2:$N$61,MATCH($C476,'Rentabilidad datos'!$C$2:$C$61,0)),"")</f>
        <v>68795.959860605391</v>
      </c>
      <c r="V476" s="50">
        <f>IFERROR(INDEX('Rentabilidad datos'!$O$2:$O$61,MATCH($C476,'Rentabilidad datos'!$C$2:$C$61,0)),"")</f>
        <v>1166.0332179763625</v>
      </c>
      <c r="W476" s="51">
        <f>IFERROR(INDEX('Rentabilidad datos'!$M$2:$M$61,MATCH($C476,'Rentabilidad datos'!$C$2:$C$61,0)),"")</f>
        <v>3116.1708958203221</v>
      </c>
      <c r="X476" s="52">
        <f>IFERROR(INDEX('Rentabilidad datos'!$P$2:$P$61,MATCH($C476,'Rentabilidad datos'!$C$2:$C$61,0)),"")</f>
        <v>0.37418782761251868</v>
      </c>
      <c r="Y476" s="43" t="s">
        <v>171</v>
      </c>
      <c r="Z476" s="53">
        <v>69.319559228650107</v>
      </c>
      <c r="AA476" s="43">
        <v>2</v>
      </c>
      <c r="AB476" s="54">
        <v>0.95308647657008427</v>
      </c>
      <c r="AC476" s="55">
        <v>4.6913523429915685E-2</v>
      </c>
      <c r="AD476" s="752" t="e">
        <f>_xlfn.XLOOKUP(Table1[[#This Row],[Ruta]],#REF!,#REF!)</f>
        <v>#REF!</v>
      </c>
      <c r="AE476" s="752" t="e">
        <f>_xlfn.XLOOKUP(Table1[[#This Row],[Ruta]],#REF!,#REF!)</f>
        <v>#REF!</v>
      </c>
      <c r="AF476" s="752" t="e">
        <f>_xlfn.XLOOKUP(Table1[[#This Row],[Ruta]],#REF!,#REF!)</f>
        <v>#REF!</v>
      </c>
      <c r="AG476" s="752" t="e">
        <f>_xlfn.XLOOKUP(Table1[[#This Row],[Ruta]],#REF!,#REF!)</f>
        <v>#REF!</v>
      </c>
      <c r="AH476" s="52">
        <v>0.62040912018051209</v>
      </c>
      <c r="AI476" s="52">
        <v>0.37628831770760901</v>
      </c>
      <c r="AJ476" s="55">
        <v>3.3025621118789187E-3</v>
      </c>
      <c r="AK476" s="56">
        <v>25163</v>
      </c>
      <c r="AL476" s="44">
        <v>10520</v>
      </c>
      <c r="AM476" s="54">
        <v>0.37976393911695699</v>
      </c>
      <c r="AN476" s="55">
        <v>0.50214093649930203</v>
      </c>
      <c r="AO476" s="56">
        <v>3079.3723851319301</v>
      </c>
      <c r="AP476" s="48">
        <v>1539.686192565965</v>
      </c>
      <c r="AQ476" s="55">
        <v>0.47926265519079464</v>
      </c>
      <c r="AR476" s="51">
        <v>2985257.03</v>
      </c>
      <c r="AS476" s="49">
        <v>436916.25763797399</v>
      </c>
      <c r="AT476" s="55">
        <v>0.14635800309562425</v>
      </c>
      <c r="AU476" s="51">
        <v>307022.2350969548</v>
      </c>
      <c r="AV476" s="52">
        <v>1.3966732017737895E-3</v>
      </c>
      <c r="AW476" s="44">
        <v>239</v>
      </c>
      <c r="AX476" s="51">
        <v>283.769679657795</v>
      </c>
      <c r="AY476" s="49">
        <v>308.140122044046</v>
      </c>
      <c r="AZ476" s="49">
        <v>24.370442386251</v>
      </c>
      <c r="BA476" s="42" t="s">
        <v>150</v>
      </c>
      <c r="BB476" s="50">
        <v>90078.424344423998</v>
      </c>
      <c r="BC476" s="57">
        <v>397100.65944137878</v>
      </c>
      <c r="BD476" s="42" t="s">
        <v>150</v>
      </c>
      <c r="BE476" s="46">
        <v>69.319559228650107</v>
      </c>
      <c r="BF476" s="46">
        <v>83.628504672897193</v>
      </c>
      <c r="BG476" s="42" t="s">
        <v>152</v>
      </c>
      <c r="BH476" s="52">
        <v>0.37976393911695699</v>
      </c>
      <c r="BI476" s="52">
        <v>0.51187669456560203</v>
      </c>
      <c r="BJ476" s="42" t="s">
        <v>152</v>
      </c>
      <c r="BK476" s="46">
        <v>316.46228027764698</v>
      </c>
      <c r="BL476" s="46">
        <v>638.00354527981403</v>
      </c>
      <c r="BM476" s="42" t="s">
        <v>152</v>
      </c>
      <c r="BN476" s="48">
        <v>0</v>
      </c>
      <c r="BO476" s="42" t="s">
        <v>155</v>
      </c>
      <c r="BP476" s="42" t="s">
        <v>152</v>
      </c>
      <c r="BQ476" s="46">
        <v>6002.5477380745097</v>
      </c>
      <c r="BR476" s="46">
        <v>96</v>
      </c>
      <c r="BS476" s="46">
        <v>4246</v>
      </c>
      <c r="BT476" s="46">
        <v>1643</v>
      </c>
      <c r="BU476" s="46">
        <v>2.584297017650639</v>
      </c>
      <c r="BV476" s="46">
        <v>17.114583333333332</v>
      </c>
      <c r="BW476" s="46">
        <v>471</v>
      </c>
      <c r="BX476" s="46">
        <v>1017</v>
      </c>
      <c r="BY476" s="46">
        <v>1488</v>
      </c>
      <c r="BZ476" s="46">
        <v>0.90566037735849059</v>
      </c>
      <c r="CA476" s="46">
        <v>0.2866707242848448</v>
      </c>
      <c r="CB476" s="46">
        <v>0.61898965307364573</v>
      </c>
      <c r="CC476" s="46">
        <v>9.4339622641509441E-2</v>
      </c>
      <c r="CD476" s="46">
        <v>0</v>
      </c>
      <c r="CE476" s="46">
        <v>0</v>
      </c>
      <c r="CF476" s="46">
        <v>0</v>
      </c>
      <c r="CG476" s="46">
        <v>0</v>
      </c>
      <c r="CH476" s="46">
        <v>0</v>
      </c>
      <c r="CI476" s="46">
        <v>4.4747998115873759</v>
      </c>
      <c r="CJ476" s="46">
        <v>1.6486104569006119</v>
      </c>
      <c r="CK476">
        <v>262</v>
      </c>
      <c r="CL476">
        <v>428.29</v>
      </c>
      <c r="CM476">
        <f t="shared" si="56"/>
        <v>166.29000000000002</v>
      </c>
      <c r="CN476">
        <v>6.5</v>
      </c>
      <c r="CO476">
        <v>9.4499999999999993</v>
      </c>
      <c r="CP476">
        <f t="shared" si="57"/>
        <v>2.9499999999999993</v>
      </c>
      <c r="CQ476">
        <v>564.37</v>
      </c>
      <c r="CR476">
        <v>316.45999999999998</v>
      </c>
      <c r="CS476">
        <f t="shared" si="58"/>
        <v>247.91000000000003</v>
      </c>
      <c r="CT476" t="s">
        <v>152</v>
      </c>
      <c r="CU476">
        <v>70.260000000000005</v>
      </c>
      <c r="CV476">
        <v>245</v>
      </c>
      <c r="CW476" s="46">
        <v>1488</v>
      </c>
      <c r="CX476" s="46">
        <f t="shared" si="52"/>
        <v>80.444917833231898</v>
      </c>
      <c r="CY476" s="46">
        <v>166.29</v>
      </c>
      <c r="CZ476" s="46">
        <f t="shared" si="53"/>
        <v>90.566037735849065</v>
      </c>
      <c r="DA476" s="46">
        <f t="shared" si="54"/>
        <v>1220.210496935262</v>
      </c>
      <c r="DB476" s="46">
        <v>2207714.65</v>
      </c>
      <c r="DC476" s="46">
        <f t="shared" si="55"/>
        <v>56.951074730971818</v>
      </c>
      <c r="DD476" s="46">
        <v>103041.01</v>
      </c>
      <c r="DE476" s="995">
        <v>1488</v>
      </c>
      <c r="DF476" s="995">
        <v>80.986999999999995</v>
      </c>
      <c r="DG476" s="995">
        <v>157.4</v>
      </c>
      <c r="DH476" s="995">
        <v>90.566000000000003</v>
      </c>
      <c r="DI476" s="995">
        <v>2352.201</v>
      </c>
      <c r="DJ476" s="995">
        <v>4234854</v>
      </c>
      <c r="DK476" s="995">
        <v>108.52800000000001</v>
      </c>
      <c r="DL476" s="995">
        <v>195390.6</v>
      </c>
      <c r="DM476" s="995">
        <v>1488</v>
      </c>
      <c r="DN476" s="995">
        <v>81.652000000000001</v>
      </c>
      <c r="DO476" s="995">
        <v>146.5</v>
      </c>
      <c r="DP476" s="995">
        <v>90.566000000000003</v>
      </c>
      <c r="DQ476" s="995">
        <v>2307.9110000000001</v>
      </c>
      <c r="DR476" s="995">
        <v>4129911</v>
      </c>
      <c r="DS476" s="995">
        <v>106.64700000000001</v>
      </c>
      <c r="DT476" s="995">
        <v>190839.6</v>
      </c>
    </row>
    <row r="477" spans="1:124">
      <c r="A477" s="42" t="s">
        <v>94</v>
      </c>
      <c r="B477" s="42" t="s">
        <v>549</v>
      </c>
      <c r="C477" s="42" t="s">
        <v>639</v>
      </c>
      <c r="D477" s="42">
        <v>820427</v>
      </c>
      <c r="E477" s="42" t="s">
        <v>695</v>
      </c>
      <c r="F477" s="42" t="s">
        <v>149</v>
      </c>
      <c r="G477" s="42" t="s">
        <v>150</v>
      </c>
      <c r="H477" s="43" t="s">
        <v>150</v>
      </c>
      <c r="I477" s="44">
        <v>63</v>
      </c>
      <c r="J477" s="45">
        <v>193101.49040000001</v>
      </c>
      <c r="K477" s="46">
        <v>9596.1681050000007</v>
      </c>
      <c r="L477" s="47">
        <v>202697.658505</v>
      </c>
      <c r="M477" s="48">
        <v>4288776</v>
      </c>
      <c r="N477" s="49">
        <v>2854347</v>
      </c>
      <c r="O477" s="49">
        <v>1425893</v>
      </c>
      <c r="P477" s="49">
        <v>8536</v>
      </c>
      <c r="Q477" s="50">
        <v>9749.3764449541304</v>
      </c>
      <c r="R477" s="51">
        <v>23123.721873054299</v>
      </c>
      <c r="S477" s="49">
        <v>37603.729589071001</v>
      </c>
      <c r="T477" s="49">
        <v>8068.5083984801104</v>
      </c>
      <c r="U477" s="49">
        <f>IFERROR(INDEX('Rentabilidad datos'!$N$2:$N$61,MATCH($C477,'Rentabilidad datos'!$C$2:$C$61,0)),"")</f>
        <v>68795.959860605391</v>
      </c>
      <c r="V477" s="50">
        <f>IFERROR(INDEX('Rentabilidad datos'!$O$2:$O$61,MATCH($C477,'Rentabilidad datos'!$C$2:$C$61,0)),"")</f>
        <v>1166.0332179763625</v>
      </c>
      <c r="W477" s="51">
        <f>IFERROR(INDEX('Rentabilidad datos'!$M$2:$M$61,MATCH($C477,'Rentabilidad datos'!$C$2:$C$61,0)),"")</f>
        <v>3116.1708958203221</v>
      </c>
      <c r="X477" s="52">
        <f>IFERROR(INDEX('Rentabilidad datos'!$P$2:$P$61,MATCH($C477,'Rentabilidad datos'!$C$2:$C$61,0)),"")</f>
        <v>0.37418782761251868</v>
      </c>
      <c r="Y477" s="43" t="s">
        <v>171</v>
      </c>
      <c r="Z477" s="53">
        <v>85.767379679144398</v>
      </c>
      <c r="AA477" s="43">
        <v>2</v>
      </c>
      <c r="AB477" s="54">
        <v>0.96517771037703992</v>
      </c>
      <c r="AC477" s="55">
        <v>3.4822289622960023E-2</v>
      </c>
      <c r="AD477" s="752" t="e">
        <f>_xlfn.XLOOKUP(Table1[[#This Row],[Ruta]],#REF!,#REF!)</f>
        <v>#REF!</v>
      </c>
      <c r="AE477" s="752" t="e">
        <f>_xlfn.XLOOKUP(Table1[[#This Row],[Ruta]],#REF!,#REF!)</f>
        <v>#REF!</v>
      </c>
      <c r="AF477" s="752" t="e">
        <f>_xlfn.XLOOKUP(Table1[[#This Row],[Ruta]],#REF!,#REF!)</f>
        <v>#REF!</v>
      </c>
      <c r="AG477" s="752" t="e">
        <f>_xlfn.XLOOKUP(Table1[[#This Row],[Ruta]],#REF!,#REF!)</f>
        <v>#REF!</v>
      </c>
      <c r="AH477" s="52">
        <v>0.66553883905338029</v>
      </c>
      <c r="AI477" s="52">
        <v>0.33247084949178973</v>
      </c>
      <c r="AJ477" s="55">
        <v>1.9903114548300029E-3</v>
      </c>
      <c r="AK477" s="56">
        <v>32077</v>
      </c>
      <c r="AL477" s="44">
        <v>15244</v>
      </c>
      <c r="AM477" s="54">
        <v>0.40253140879758098</v>
      </c>
      <c r="AN477" s="55">
        <v>0.50214093649930203</v>
      </c>
      <c r="AO477" s="56">
        <v>3195.1748200881102</v>
      </c>
      <c r="AP477" s="48">
        <v>1597.5874100440551</v>
      </c>
      <c r="AQ477" s="55">
        <v>0.52503623811591038</v>
      </c>
      <c r="AR477" s="51">
        <v>4250728.13</v>
      </c>
      <c r="AS477" s="49">
        <v>445480.82812963153</v>
      </c>
      <c r="AT477" s="55">
        <v>0.10480106337208434</v>
      </c>
      <c r="AU477" s="51">
        <v>313040.58192893036</v>
      </c>
      <c r="AV477" s="52">
        <v>1.4240512310443603E-3</v>
      </c>
      <c r="AW477" s="44">
        <v>232</v>
      </c>
      <c r="AX477" s="51">
        <v>278.84598071372301</v>
      </c>
      <c r="AY477" s="49">
        <v>308.140122044046</v>
      </c>
      <c r="AZ477" s="49">
        <v>29.294141330322987</v>
      </c>
      <c r="BA477" s="42" t="s">
        <v>150</v>
      </c>
      <c r="BB477" s="50">
        <v>156899.42096520995</v>
      </c>
      <c r="BC477" s="57">
        <v>469940.00289414031</v>
      </c>
      <c r="BD477" s="42" t="s">
        <v>150</v>
      </c>
      <c r="BE477" s="46">
        <v>85.767379679144398</v>
      </c>
      <c r="BF477" s="46">
        <v>83.628504672897193</v>
      </c>
      <c r="BG477" s="42" t="s">
        <v>150</v>
      </c>
      <c r="BH477" s="52">
        <v>0.40253140879758098</v>
      </c>
      <c r="BI477" s="52">
        <v>0.51187669456560203</v>
      </c>
      <c r="BJ477" s="42" t="s">
        <v>152</v>
      </c>
      <c r="BK477" s="46">
        <v>464.90288647935699</v>
      </c>
      <c r="BL477" s="46">
        <v>638.00354527981403</v>
      </c>
      <c r="BM477" s="42" t="s">
        <v>152</v>
      </c>
      <c r="BN477" s="48">
        <v>1</v>
      </c>
      <c r="BO477" s="42" t="s">
        <v>155</v>
      </c>
      <c r="BP477" s="42" t="s">
        <v>152</v>
      </c>
      <c r="BQ477" s="46">
        <v>10530.910387289799</v>
      </c>
      <c r="BR477" s="46">
        <v>31</v>
      </c>
      <c r="BS477" s="46">
        <v>2974</v>
      </c>
      <c r="BT477" s="46">
        <v>1141</v>
      </c>
      <c r="BU477" s="46">
        <v>2.6064855390008765</v>
      </c>
      <c r="BV477" s="46">
        <v>36.806451612903224</v>
      </c>
      <c r="BW477" s="46">
        <v>71</v>
      </c>
      <c r="BX477" s="46">
        <v>1070</v>
      </c>
      <c r="BY477" s="46">
        <v>1141</v>
      </c>
      <c r="BZ477" s="46">
        <v>1</v>
      </c>
      <c r="CA477" s="46">
        <v>6.2226117440841368E-2</v>
      </c>
      <c r="CB477" s="46">
        <v>0.93777388255915861</v>
      </c>
      <c r="CC477" s="46">
        <v>0</v>
      </c>
      <c r="CD477" s="46">
        <v>0</v>
      </c>
      <c r="CE477" s="46">
        <v>0</v>
      </c>
      <c r="CF477" s="46">
        <v>0</v>
      </c>
      <c r="CG477" s="46">
        <v>0</v>
      </c>
      <c r="CH477" s="46">
        <v>0</v>
      </c>
      <c r="CI477" s="46">
        <v>2.0174848688634839</v>
      </c>
      <c r="CJ477" s="46">
        <v>0</v>
      </c>
      <c r="CK477">
        <v>292</v>
      </c>
      <c r="CL477">
        <v>388.46</v>
      </c>
      <c r="CM477">
        <f t="shared" si="56"/>
        <v>96.45999999999998</v>
      </c>
      <c r="CN477">
        <v>6.79</v>
      </c>
      <c r="CO477">
        <v>9.4499999999999993</v>
      </c>
      <c r="CP477">
        <f t="shared" si="57"/>
        <v>2.6599999999999993</v>
      </c>
      <c r="CQ477">
        <v>846.56</v>
      </c>
      <c r="CR477">
        <v>464.9</v>
      </c>
      <c r="CS477">
        <f t="shared" si="58"/>
        <v>381.65999999999997</v>
      </c>
      <c r="CT477" t="s">
        <v>152</v>
      </c>
      <c r="CU477">
        <v>71.849999999999994</v>
      </c>
      <c r="CV477">
        <v>295</v>
      </c>
      <c r="CW477" s="46">
        <v>1141</v>
      </c>
      <c r="CX477" s="46">
        <f t="shared" si="52"/>
        <v>91.546012269938643</v>
      </c>
      <c r="CY477" s="46">
        <v>96.46</v>
      </c>
      <c r="CZ477" s="46">
        <f t="shared" si="53"/>
        <v>100</v>
      </c>
      <c r="DA477" s="46">
        <f t="shared" si="54"/>
        <v>1187.9190761721591</v>
      </c>
      <c r="DB477" s="46">
        <v>1470002.34</v>
      </c>
      <c r="DC477" s="46">
        <f t="shared" si="55"/>
        <v>56.598419342847443</v>
      </c>
      <c r="DD477" s="46">
        <v>70038.28</v>
      </c>
      <c r="DE477" s="995">
        <v>1141</v>
      </c>
      <c r="DF477" s="995">
        <v>91.997</v>
      </c>
      <c r="DG477" s="995">
        <v>91.3</v>
      </c>
      <c r="DH477" s="995">
        <v>100</v>
      </c>
      <c r="DI477" s="995">
        <v>3084.038</v>
      </c>
      <c r="DJ477" s="995">
        <v>3800517</v>
      </c>
      <c r="DK477" s="995">
        <v>149.03100000000001</v>
      </c>
      <c r="DL477" s="995">
        <v>183654.2</v>
      </c>
      <c r="DM477" s="995">
        <v>1141</v>
      </c>
      <c r="DN477" s="995">
        <v>93.409000000000006</v>
      </c>
      <c r="DO477" s="995">
        <v>75.2</v>
      </c>
      <c r="DP477" s="995">
        <v>100</v>
      </c>
      <c r="DQ477" s="995">
        <v>3009.4290000000001</v>
      </c>
      <c r="DR477" s="995">
        <v>3660077</v>
      </c>
      <c r="DS477" s="995">
        <v>145.48400000000001</v>
      </c>
      <c r="DT477" s="995">
        <v>176938.4</v>
      </c>
    </row>
    <row r="478" spans="1:124">
      <c r="A478" s="42" t="s">
        <v>94</v>
      </c>
      <c r="B478" s="42" t="s">
        <v>549</v>
      </c>
      <c r="C478" s="42" t="s">
        <v>639</v>
      </c>
      <c r="D478" s="42">
        <v>820428</v>
      </c>
      <c r="E478" s="42" t="s">
        <v>696</v>
      </c>
      <c r="F478" s="42" t="s">
        <v>149</v>
      </c>
      <c r="G478" s="42" t="s">
        <v>150</v>
      </c>
      <c r="H478" s="43" t="s">
        <v>150</v>
      </c>
      <c r="I478" s="44">
        <v>63</v>
      </c>
      <c r="J478" s="45">
        <v>181636.0784</v>
      </c>
      <c r="K478" s="46">
        <v>10906.959365999999</v>
      </c>
      <c r="L478" s="47">
        <v>192543.03776599999</v>
      </c>
      <c r="M478" s="48">
        <v>4376941</v>
      </c>
      <c r="N478" s="49">
        <v>2640217</v>
      </c>
      <c r="O478" s="49">
        <v>1716232</v>
      </c>
      <c r="P478" s="49">
        <v>20492</v>
      </c>
      <c r="Q478" s="50">
        <v>10105.9018202765</v>
      </c>
      <c r="R478" s="51">
        <v>23123.721873054299</v>
      </c>
      <c r="S478" s="49">
        <v>37603.729589071001</v>
      </c>
      <c r="T478" s="49">
        <v>8068.5083984801104</v>
      </c>
      <c r="U478" s="49">
        <f>IFERROR(INDEX('Rentabilidad datos'!$N$2:$N$61,MATCH($C478,'Rentabilidad datos'!$C$2:$C$61,0)),"")</f>
        <v>68795.959860605391</v>
      </c>
      <c r="V478" s="50">
        <f>IFERROR(INDEX('Rentabilidad datos'!$O$2:$O$61,MATCH($C478,'Rentabilidad datos'!$C$2:$C$61,0)),"")</f>
        <v>1166.0332179763625</v>
      </c>
      <c r="W478" s="51">
        <f>IFERROR(INDEX('Rentabilidad datos'!$M$2:$M$61,MATCH($C478,'Rentabilidad datos'!$C$2:$C$61,0)),"")</f>
        <v>3116.1708958203221</v>
      </c>
      <c r="X478" s="52">
        <f>IFERROR(INDEX('Rentabilidad datos'!$P$2:$P$61,MATCH($C478,'Rentabilidad datos'!$C$2:$C$61,0)),"")</f>
        <v>0.37418782761251868</v>
      </c>
      <c r="Y478" s="43" t="s">
        <v>171</v>
      </c>
      <c r="Z478" s="53">
        <v>58.9677419354839</v>
      </c>
      <c r="AA478" s="43">
        <v>2</v>
      </c>
      <c r="AB478" s="54">
        <v>0.97678013023250709</v>
      </c>
      <c r="AC478" s="55">
        <v>2.3219869767492868E-2</v>
      </c>
      <c r="AD478" s="752" t="e">
        <f>_xlfn.XLOOKUP(Table1[[#This Row],[Ruta]],#REF!,#REF!)</f>
        <v>#REF!</v>
      </c>
      <c r="AE478" s="752" t="e">
        <f>_xlfn.XLOOKUP(Table1[[#This Row],[Ruta]],#REF!,#REF!)</f>
        <v>#REF!</v>
      </c>
      <c r="AF478" s="752" t="e">
        <f>_xlfn.XLOOKUP(Table1[[#This Row],[Ruta]],#REF!,#REF!)</f>
        <v>#REF!</v>
      </c>
      <c r="AG478" s="752" t="e">
        <f>_xlfn.XLOOKUP(Table1[[#This Row],[Ruta]],#REF!,#REF!)</f>
        <v>#REF!</v>
      </c>
      <c r="AH478" s="52">
        <v>0.60321055275819346</v>
      </c>
      <c r="AI478" s="52">
        <v>0.39210763864534615</v>
      </c>
      <c r="AJ478" s="55">
        <v>4.6818085964604045E-3</v>
      </c>
      <c r="AK478" s="56">
        <v>21936</v>
      </c>
      <c r="AL478" s="44">
        <v>10879</v>
      </c>
      <c r="AM478" s="54">
        <v>0.46270970094821301</v>
      </c>
      <c r="AN478" s="55">
        <v>0.50214093649930203</v>
      </c>
      <c r="AO478" s="56">
        <v>864.96358304868795</v>
      </c>
      <c r="AP478" s="48">
        <v>432.48179152434398</v>
      </c>
      <c r="AQ478" s="55">
        <v>0.51565836029924983</v>
      </c>
      <c r="AR478" s="51">
        <v>4385961.3899999997</v>
      </c>
      <c r="AS478" s="49">
        <v>174358.713071404</v>
      </c>
      <c r="AT478" s="55">
        <v>3.9753818505776681E-2</v>
      </c>
      <c r="AU478" s="51">
        <v>122522.33891504069</v>
      </c>
      <c r="AV478" s="52">
        <v>5.5736571433415551E-4</v>
      </c>
      <c r="AW478" s="44">
        <v>378</v>
      </c>
      <c r="AX478" s="51">
        <v>403.15850629653499</v>
      </c>
      <c r="AY478" s="49">
        <v>308.140122044046</v>
      </c>
      <c r="AZ478" s="49">
        <v>0</v>
      </c>
      <c r="BA478" s="42" t="s">
        <v>152</v>
      </c>
      <c r="BB478" s="50">
        <v>0</v>
      </c>
      <c r="BC478" s="57">
        <v>122522.33891504069</v>
      </c>
      <c r="BD478" s="42" t="s">
        <v>150</v>
      </c>
      <c r="BE478" s="46">
        <v>58.9677419354839</v>
      </c>
      <c r="BF478" s="46">
        <v>83.628504672897193</v>
      </c>
      <c r="BG478" s="42" t="s">
        <v>152</v>
      </c>
      <c r="BH478" s="52">
        <v>0.46270970094821301</v>
      </c>
      <c r="BI478" s="52">
        <v>0.51187669456560203</v>
      </c>
      <c r="BJ478" s="42" t="s">
        <v>152</v>
      </c>
      <c r="BK478" s="46">
        <v>443.64755245622098</v>
      </c>
      <c r="BL478" s="46">
        <v>638.00354527981403</v>
      </c>
      <c r="BM478" s="42" t="s">
        <v>152</v>
      </c>
      <c r="BN478" s="48">
        <v>0</v>
      </c>
      <c r="BO478" s="42" t="s">
        <v>155</v>
      </c>
      <c r="BP478" s="42" t="s">
        <v>152</v>
      </c>
      <c r="BQ478" s="46">
        <v>9997.0918438613608</v>
      </c>
      <c r="BR478" s="46">
        <v>40</v>
      </c>
      <c r="BS478" s="46">
        <v>2931</v>
      </c>
      <c r="BT478" s="46">
        <v>1105</v>
      </c>
      <c r="BU478" s="46">
        <v>2.6524886877828053</v>
      </c>
      <c r="BV478" s="46">
        <v>27.625</v>
      </c>
      <c r="BW478" s="46">
        <v>827</v>
      </c>
      <c r="BX478" s="46">
        <v>278</v>
      </c>
      <c r="BY478" s="46">
        <v>1105</v>
      </c>
      <c r="BZ478" s="46">
        <v>1</v>
      </c>
      <c r="CA478" s="46">
        <v>0.74841628959276019</v>
      </c>
      <c r="CB478" s="46">
        <v>0.25158371040723981</v>
      </c>
      <c r="CC478" s="46">
        <v>0</v>
      </c>
      <c r="CD478" s="46">
        <v>0</v>
      </c>
      <c r="CE478" s="46">
        <v>0</v>
      </c>
      <c r="CF478" s="46">
        <v>0</v>
      </c>
      <c r="CG478" s="46">
        <v>0</v>
      </c>
      <c r="CH478" s="46">
        <v>0</v>
      </c>
      <c r="CI478" s="46">
        <v>1.023541453428864</v>
      </c>
      <c r="CJ478" s="46">
        <v>1.3647219379051521</v>
      </c>
      <c r="CK478">
        <v>284</v>
      </c>
      <c r="CL478">
        <v>328.91</v>
      </c>
      <c r="CM478">
        <f t="shared" si="56"/>
        <v>44.910000000000025</v>
      </c>
      <c r="CN478">
        <v>6.91</v>
      </c>
      <c r="CO478">
        <v>9.4499999999999993</v>
      </c>
      <c r="CP478">
        <f t="shared" si="57"/>
        <v>2.5399999999999991</v>
      </c>
      <c r="CQ478">
        <v>564.37</v>
      </c>
      <c r="CR478">
        <v>443.65</v>
      </c>
      <c r="CS478">
        <f t="shared" si="58"/>
        <v>120.72000000000003</v>
      </c>
      <c r="CT478" t="s">
        <v>152</v>
      </c>
      <c r="CU478">
        <v>79.989999999999995</v>
      </c>
      <c r="CV478">
        <v>301</v>
      </c>
      <c r="CW478" s="46">
        <v>1105</v>
      </c>
      <c r="CX478" s="46">
        <f t="shared" si="52"/>
        <v>95.935746606334831</v>
      </c>
      <c r="CY478" s="46">
        <v>44.91</v>
      </c>
      <c r="CZ478" s="46">
        <f t="shared" si="53"/>
        <v>100</v>
      </c>
      <c r="DA478" s="46">
        <f t="shared" si="54"/>
        <v>556.31771182092507</v>
      </c>
      <c r="DB478" s="46">
        <v>639715.30000000005</v>
      </c>
      <c r="DC478" s="46">
        <f t="shared" si="55"/>
        <v>23.445269629797114</v>
      </c>
      <c r="DD478" s="46">
        <v>26959.95</v>
      </c>
      <c r="DE478" s="995">
        <v>1105</v>
      </c>
      <c r="DF478" s="995">
        <v>96.081999999999994</v>
      </c>
      <c r="DG478" s="995">
        <v>43.3</v>
      </c>
      <c r="DH478" s="995">
        <v>100</v>
      </c>
      <c r="DI478" s="995">
        <v>3795.078</v>
      </c>
      <c r="DJ478" s="995">
        <v>4357863</v>
      </c>
      <c r="DK478" s="995">
        <v>160.363</v>
      </c>
      <c r="DL478" s="995">
        <v>184144.3</v>
      </c>
      <c r="DM478" s="995">
        <v>1105</v>
      </c>
      <c r="DN478" s="995">
        <v>96.521000000000001</v>
      </c>
      <c r="DO478" s="995">
        <v>38.4</v>
      </c>
      <c r="DP478" s="995">
        <v>100</v>
      </c>
      <c r="DQ478" s="995">
        <v>3769.1680000000001</v>
      </c>
      <c r="DR478" s="995">
        <v>4309845</v>
      </c>
      <c r="DS478" s="995">
        <v>159.27699999999999</v>
      </c>
      <c r="DT478" s="995">
        <v>182124.7</v>
      </c>
    </row>
    <row r="479" spans="1:124">
      <c r="A479" s="42" t="s">
        <v>94</v>
      </c>
      <c r="B479" s="42" t="s">
        <v>549</v>
      </c>
      <c r="C479" s="42" t="s">
        <v>639</v>
      </c>
      <c r="D479" s="42">
        <v>820429</v>
      </c>
      <c r="E479" s="42" t="s">
        <v>697</v>
      </c>
      <c r="F479" s="42" t="s">
        <v>149</v>
      </c>
      <c r="G479" s="42" t="s">
        <v>150</v>
      </c>
      <c r="H479" s="43" t="s">
        <v>150</v>
      </c>
      <c r="I479" s="44">
        <v>63</v>
      </c>
      <c r="J479" s="45">
        <v>165369.63519999999</v>
      </c>
      <c r="K479" s="46">
        <v>8668.1695469999995</v>
      </c>
      <c r="L479" s="47">
        <v>174037.80474699999</v>
      </c>
      <c r="M479" s="48">
        <v>3839002</v>
      </c>
      <c r="N479" s="49">
        <v>2406486</v>
      </c>
      <c r="O479" s="49">
        <v>1420067</v>
      </c>
      <c r="P479" s="49">
        <v>12449</v>
      </c>
      <c r="Q479" s="50">
        <v>8837.3115935334899</v>
      </c>
      <c r="R479" s="51">
        <v>23123.721873054299</v>
      </c>
      <c r="S479" s="49">
        <v>37603.729589071001</v>
      </c>
      <c r="T479" s="49">
        <v>8068.5083984801104</v>
      </c>
      <c r="U479" s="49">
        <f>IFERROR(INDEX('Rentabilidad datos'!$N$2:$N$61,MATCH($C479,'Rentabilidad datos'!$C$2:$C$61,0)),"")</f>
        <v>68795.959860605391</v>
      </c>
      <c r="V479" s="50">
        <f>IFERROR(INDEX('Rentabilidad datos'!$O$2:$O$61,MATCH($C479,'Rentabilidad datos'!$C$2:$C$61,0)),"")</f>
        <v>1166.0332179763625</v>
      </c>
      <c r="W479" s="51">
        <f>IFERROR(INDEX('Rentabilidad datos'!$M$2:$M$61,MATCH($C479,'Rentabilidad datos'!$C$2:$C$61,0)),"")</f>
        <v>3116.1708958203221</v>
      </c>
      <c r="X479" s="52">
        <f>IFERROR(INDEX('Rentabilidad datos'!$P$2:$P$61,MATCH($C479,'Rentabilidad datos'!$C$2:$C$61,0)),"")</f>
        <v>0.37418782761251868</v>
      </c>
      <c r="Y479" s="43" t="s">
        <v>171</v>
      </c>
      <c r="Z479" s="53">
        <v>71.555256064689999</v>
      </c>
      <c r="AA479" s="43">
        <v>2</v>
      </c>
      <c r="AB479" s="54">
        <v>0.94547306826096988</v>
      </c>
      <c r="AC479" s="55">
        <v>5.4526931739030095E-2</v>
      </c>
      <c r="AD479" s="752" t="e">
        <f>_xlfn.XLOOKUP(Table1[[#This Row],[Ruta]],#REF!,#REF!)</f>
        <v>#REF!</v>
      </c>
      <c r="AE479" s="752" t="e">
        <f>_xlfn.XLOOKUP(Table1[[#This Row],[Ruta]],#REF!,#REF!)</f>
        <v>#REF!</v>
      </c>
      <c r="AF479" s="752" t="e">
        <f>_xlfn.XLOOKUP(Table1[[#This Row],[Ruta]],#REF!,#REF!)</f>
        <v>#REF!</v>
      </c>
      <c r="AG479" s="752" t="e">
        <f>_xlfn.XLOOKUP(Table1[[#This Row],[Ruta]],#REF!,#REF!)</f>
        <v>#REF!</v>
      </c>
      <c r="AH479" s="52">
        <v>0.62685197871738541</v>
      </c>
      <c r="AI479" s="52">
        <v>0.36990525141690472</v>
      </c>
      <c r="AJ479" s="55">
        <v>3.2427698657098904E-3</v>
      </c>
      <c r="AK479" s="56">
        <v>26547</v>
      </c>
      <c r="AL479" s="44">
        <v>10428</v>
      </c>
      <c r="AM479" s="54">
        <v>0.34934267525520801</v>
      </c>
      <c r="AN479" s="55">
        <v>0.50214093649930203</v>
      </c>
      <c r="AO479" s="56">
        <v>4056.3354412469698</v>
      </c>
      <c r="AP479" s="48">
        <v>2028.1677206234849</v>
      </c>
      <c r="AQ479" s="55">
        <v>0.46921187782512092</v>
      </c>
      <c r="AR479" s="51">
        <v>3826555.92</v>
      </c>
      <c r="AS479" s="49">
        <v>744236.40181287995</v>
      </c>
      <c r="AT479" s="55">
        <v>0.19449249334709318</v>
      </c>
      <c r="AU479" s="51">
        <v>522976.93100364559</v>
      </c>
      <c r="AV479" s="52">
        <v>2.3790715498114641E-3</v>
      </c>
      <c r="AW479" s="44">
        <v>141</v>
      </c>
      <c r="AX479" s="51">
        <v>366.95012658227898</v>
      </c>
      <c r="AY479" s="49">
        <v>308.140122044046</v>
      </c>
      <c r="AZ479" s="49">
        <v>0</v>
      </c>
      <c r="BA479" s="42" t="s">
        <v>152</v>
      </c>
      <c r="BB479" s="50">
        <v>0</v>
      </c>
      <c r="BC479" s="57">
        <v>522976.93100364559</v>
      </c>
      <c r="BD479" s="42" t="s">
        <v>150</v>
      </c>
      <c r="BE479" s="46">
        <v>71.555256064689999</v>
      </c>
      <c r="BF479" s="46">
        <v>83.628504672897193</v>
      </c>
      <c r="BG479" s="42" t="s">
        <v>152</v>
      </c>
      <c r="BH479" s="52">
        <v>0.34934267525520801</v>
      </c>
      <c r="BI479" s="52">
        <v>0.51187669456560203</v>
      </c>
      <c r="BJ479" s="42" t="s">
        <v>152</v>
      </c>
      <c r="BK479" s="46">
        <v>401.93488394226301</v>
      </c>
      <c r="BL479" s="46">
        <v>638.00354527981403</v>
      </c>
      <c r="BM479" s="42" t="s">
        <v>152</v>
      </c>
      <c r="BN479" s="48">
        <v>0</v>
      </c>
      <c r="BO479" s="42" t="s">
        <v>155</v>
      </c>
      <c r="BP479" s="42" t="s">
        <v>152</v>
      </c>
      <c r="BQ479" s="46">
        <v>13612.3370765859</v>
      </c>
      <c r="BR479" s="46">
        <v>59</v>
      </c>
      <c r="BS479" s="46">
        <v>4079</v>
      </c>
      <c r="BT479" s="46">
        <v>1552</v>
      </c>
      <c r="BU479" s="46">
        <v>2.6282216494845363</v>
      </c>
      <c r="BV479" s="46">
        <v>26.305084745762713</v>
      </c>
      <c r="BW479" s="46">
        <v>107</v>
      </c>
      <c r="BX479" s="46">
        <v>1445</v>
      </c>
      <c r="BY479" s="46">
        <v>1552</v>
      </c>
      <c r="BZ479" s="46">
        <v>1</v>
      </c>
      <c r="CA479" s="46">
        <v>6.894329896907217E-2</v>
      </c>
      <c r="CB479" s="46">
        <v>0.93105670103092786</v>
      </c>
      <c r="CC479" s="46">
        <v>0</v>
      </c>
      <c r="CD479" s="46">
        <v>0</v>
      </c>
      <c r="CE479" s="46">
        <v>0</v>
      </c>
      <c r="CF479" s="46">
        <v>0</v>
      </c>
      <c r="CG479" s="46">
        <v>0</v>
      </c>
      <c r="CH479" s="46">
        <v>0</v>
      </c>
      <c r="CI479" s="46">
        <v>0.98063250796763901</v>
      </c>
      <c r="CJ479" s="46">
        <v>0.73547438097572937</v>
      </c>
      <c r="CK479">
        <v>330</v>
      </c>
      <c r="CL479">
        <v>388.65</v>
      </c>
      <c r="CM479">
        <f t="shared" si="56"/>
        <v>58.649999999999977</v>
      </c>
      <c r="CN479">
        <v>7.73</v>
      </c>
      <c r="CO479">
        <v>9.4499999999999993</v>
      </c>
      <c r="CP479">
        <f t="shared" si="57"/>
        <v>1.7199999999999989</v>
      </c>
      <c r="CQ479">
        <v>564.37</v>
      </c>
      <c r="CR479">
        <v>401.93</v>
      </c>
      <c r="CS479">
        <f t="shared" si="58"/>
        <v>162.44</v>
      </c>
      <c r="CT479" t="s">
        <v>152</v>
      </c>
      <c r="CU479">
        <v>81.81</v>
      </c>
      <c r="CV479">
        <v>337</v>
      </c>
      <c r="CW479" s="46">
        <v>1367</v>
      </c>
      <c r="CX479" s="46">
        <f t="shared" si="52"/>
        <v>84.300902061855666</v>
      </c>
      <c r="CY479" s="46">
        <v>58.65</v>
      </c>
      <c r="CZ479" s="46">
        <f t="shared" si="53"/>
        <v>88.079896907216494</v>
      </c>
      <c r="DA479" s="46">
        <f t="shared" si="54"/>
        <v>1071.2166144103312</v>
      </c>
      <c r="DB479" s="46">
        <v>1725355.04</v>
      </c>
      <c r="DC479" s="46">
        <f t="shared" si="55"/>
        <v>46.194716418837118</v>
      </c>
      <c r="DD479" s="46">
        <v>74403.520000000004</v>
      </c>
      <c r="DE479" s="995">
        <v>1367</v>
      </c>
      <c r="DF479" s="995">
        <v>83.936000000000007</v>
      </c>
      <c r="DG479" s="995">
        <v>64.3</v>
      </c>
      <c r="DH479" s="995">
        <v>88.08</v>
      </c>
      <c r="DI479" s="995">
        <v>2770.951</v>
      </c>
      <c r="DJ479" s="995">
        <v>4478737</v>
      </c>
      <c r="DK479" s="995">
        <v>119.488</v>
      </c>
      <c r="DL479" s="995">
        <v>193130.9</v>
      </c>
      <c r="DM479" s="995">
        <v>1367</v>
      </c>
      <c r="DN479" s="995">
        <v>84.516999999999996</v>
      </c>
      <c r="DO479" s="995">
        <v>55.3</v>
      </c>
      <c r="DP479" s="995">
        <v>88.08</v>
      </c>
      <c r="DQ479" s="995">
        <v>2732.5749999999998</v>
      </c>
      <c r="DR479" s="995">
        <v>4392061</v>
      </c>
      <c r="DS479" s="995">
        <v>117.82</v>
      </c>
      <c r="DT479" s="995">
        <v>189372</v>
      </c>
    </row>
    <row r="480" spans="1:124">
      <c r="A480" s="42" t="s">
        <v>94</v>
      </c>
      <c r="B480" s="42" t="s">
        <v>549</v>
      </c>
      <c r="C480" s="42" t="s">
        <v>639</v>
      </c>
      <c r="D480" s="42">
        <v>820430</v>
      </c>
      <c r="E480" s="42" t="s">
        <v>698</v>
      </c>
      <c r="F480" s="42" t="s">
        <v>149</v>
      </c>
      <c r="G480" s="42" t="s">
        <v>150</v>
      </c>
      <c r="H480" s="43" t="s">
        <v>150</v>
      </c>
      <c r="I480" s="44">
        <v>63</v>
      </c>
      <c r="J480" s="45">
        <v>181086.584</v>
      </c>
      <c r="K480" s="46">
        <v>10255.272203</v>
      </c>
      <c r="L480" s="47">
        <v>191341.856203</v>
      </c>
      <c r="M480" s="48">
        <v>4323943</v>
      </c>
      <c r="N480" s="49">
        <v>2616260</v>
      </c>
      <c r="O480" s="49">
        <v>1700107</v>
      </c>
      <c r="P480" s="49">
        <v>7576</v>
      </c>
      <c r="Q480" s="50">
        <v>9877.2729290617808</v>
      </c>
      <c r="R480" s="51">
        <v>23123.721873054299</v>
      </c>
      <c r="S480" s="49">
        <v>37603.729589071001</v>
      </c>
      <c r="T480" s="49">
        <v>8068.5083984801104</v>
      </c>
      <c r="U480" s="49">
        <f>IFERROR(INDEX('Rentabilidad datos'!$N$2:$N$61,MATCH($C480,'Rentabilidad datos'!$C$2:$C$61,0)),"")</f>
        <v>68795.959860605391</v>
      </c>
      <c r="V480" s="50">
        <f>IFERROR(INDEX('Rentabilidad datos'!$O$2:$O$61,MATCH($C480,'Rentabilidad datos'!$C$2:$C$61,0)),"")</f>
        <v>1166.0332179763625</v>
      </c>
      <c r="W480" s="51">
        <f>IFERROR(INDEX('Rentabilidad datos'!$M$2:$M$61,MATCH($C480,'Rentabilidad datos'!$C$2:$C$61,0)),"")</f>
        <v>3116.1708958203221</v>
      </c>
      <c r="X480" s="52">
        <f>IFERROR(INDEX('Rentabilidad datos'!$P$2:$P$61,MATCH($C480,'Rentabilidad datos'!$C$2:$C$61,0)),"")</f>
        <v>0.37418782761251868</v>
      </c>
      <c r="Y480" s="43" t="s">
        <v>171</v>
      </c>
      <c r="Z480" s="53">
        <v>87.890374331550802</v>
      </c>
      <c r="AA480" s="43">
        <v>2</v>
      </c>
      <c r="AB480" s="54">
        <v>0.90050354502823005</v>
      </c>
      <c r="AC480" s="55">
        <v>9.9496454971769982E-2</v>
      </c>
      <c r="AD480" s="752" t="e">
        <f>_xlfn.XLOOKUP(Table1[[#This Row],[Ruta]],#REF!,#REF!)</f>
        <v>#REF!</v>
      </c>
      <c r="AE480" s="752" t="e">
        <f>_xlfn.XLOOKUP(Table1[[#This Row],[Ruta]],#REF!,#REF!)</f>
        <v>#REF!</v>
      </c>
      <c r="AF480" s="752" t="e">
        <f>_xlfn.XLOOKUP(Table1[[#This Row],[Ruta]],#REF!,#REF!)</f>
        <v>#REF!</v>
      </c>
      <c r="AG480" s="752" t="e">
        <f>_xlfn.XLOOKUP(Table1[[#This Row],[Ruta]],#REF!,#REF!)</f>
        <v>#REF!</v>
      </c>
      <c r="AH480" s="52">
        <v>0.60506348025401813</v>
      </c>
      <c r="AI480" s="52">
        <v>0.39318441524321668</v>
      </c>
      <c r="AJ480" s="55">
        <v>1.7521045027651845E-3</v>
      </c>
      <c r="AK480" s="56">
        <v>32871</v>
      </c>
      <c r="AL480" s="44">
        <v>15750</v>
      </c>
      <c r="AM480" s="54">
        <v>0.42703294697453698</v>
      </c>
      <c r="AN480" s="55">
        <v>0.50214093649930203</v>
      </c>
      <c r="AO480" s="56">
        <v>2468.8747236685499</v>
      </c>
      <c r="AP480" s="48">
        <v>1234.437361834275</v>
      </c>
      <c r="AQ480" s="55">
        <v>0.51669974633671856</v>
      </c>
      <c r="AR480" s="51">
        <v>4316368.2699999996</v>
      </c>
      <c r="AS480" s="49">
        <v>338303.88951898302</v>
      </c>
      <c r="AT480" s="55">
        <v>7.8376975354557288E-2</v>
      </c>
      <c r="AU480" s="51">
        <v>237727.05749982598</v>
      </c>
      <c r="AV480" s="52">
        <v>1.0814428813004135E-3</v>
      </c>
      <c r="AW480" s="44">
        <v>283</v>
      </c>
      <c r="AX480" s="51">
        <v>274.05512825396801</v>
      </c>
      <c r="AY480" s="49">
        <v>308.140122044046</v>
      </c>
      <c r="AZ480" s="49">
        <v>34.084993790077988</v>
      </c>
      <c r="BA480" s="42" t="s">
        <v>150</v>
      </c>
      <c r="BB480" s="50">
        <v>188618.98590590458</v>
      </c>
      <c r="BC480" s="57">
        <v>426346.04340573057</v>
      </c>
      <c r="BD480" s="42" t="s">
        <v>150</v>
      </c>
      <c r="BE480" s="46">
        <v>87.890374331550802</v>
      </c>
      <c r="BF480" s="46">
        <v>83.628504672897193</v>
      </c>
      <c r="BG480" s="42" t="s">
        <v>150</v>
      </c>
      <c r="BH480" s="52">
        <v>0.42703294697453698</v>
      </c>
      <c r="BI480" s="52">
        <v>0.51187669456560203</v>
      </c>
      <c r="BJ480" s="42" t="s">
        <v>152</v>
      </c>
      <c r="BK480" s="46">
        <v>437.853217855835</v>
      </c>
      <c r="BL480" s="46">
        <v>638.00354527981403</v>
      </c>
      <c r="BM480" s="42" t="s">
        <v>152</v>
      </c>
      <c r="BN480" s="48">
        <v>1</v>
      </c>
      <c r="BO480" s="42" t="s">
        <v>155</v>
      </c>
      <c r="BP480" s="42" t="s">
        <v>152</v>
      </c>
      <c r="BQ480" s="46">
        <v>1395.3856136290101</v>
      </c>
      <c r="BR480" s="46">
        <v>64</v>
      </c>
      <c r="BS480" s="46">
        <v>4103</v>
      </c>
      <c r="BT480" s="46">
        <v>1567</v>
      </c>
      <c r="BU480" s="46">
        <v>2.6183790682833439</v>
      </c>
      <c r="BV480" s="46">
        <v>24.484375</v>
      </c>
      <c r="BW480" s="46">
        <v>1567</v>
      </c>
      <c r="BX480" s="46">
        <v>0</v>
      </c>
      <c r="BY480" s="46">
        <v>1567</v>
      </c>
      <c r="BZ480" s="46">
        <v>1</v>
      </c>
      <c r="CA480" s="46">
        <v>1</v>
      </c>
      <c r="CB480" s="46">
        <v>0</v>
      </c>
      <c r="CC480" s="46">
        <v>0</v>
      </c>
      <c r="CD480" s="46">
        <v>0</v>
      </c>
      <c r="CE480" s="46">
        <v>0</v>
      </c>
      <c r="CF480" s="46">
        <v>0</v>
      </c>
      <c r="CG480" s="46">
        <v>0</v>
      </c>
      <c r="CH480" s="46">
        <v>0</v>
      </c>
      <c r="CI480" s="46">
        <v>1.9497928345113329</v>
      </c>
      <c r="CJ480" s="46">
        <v>1.9497928345113329</v>
      </c>
      <c r="CK480">
        <v>390</v>
      </c>
      <c r="CL480">
        <v>422.59</v>
      </c>
      <c r="CM480">
        <f t="shared" si="56"/>
        <v>32.589999999999975</v>
      </c>
      <c r="CN480">
        <v>9.24</v>
      </c>
      <c r="CO480">
        <v>9.4499999999999993</v>
      </c>
      <c r="CP480">
        <f t="shared" si="57"/>
        <v>0.20999999999999908</v>
      </c>
      <c r="CQ480">
        <v>846.56</v>
      </c>
      <c r="CR480">
        <v>437.85</v>
      </c>
      <c r="CS480">
        <f t="shared" si="58"/>
        <v>408.70999999999992</v>
      </c>
      <c r="CT480" t="s">
        <v>152</v>
      </c>
      <c r="CU480">
        <v>97.78</v>
      </c>
      <c r="CV480">
        <v>397</v>
      </c>
      <c r="CW480" s="46">
        <v>1567</v>
      </c>
      <c r="CX480" s="46">
        <f t="shared" si="52"/>
        <v>97.920229738353555</v>
      </c>
      <c r="CY480" s="46">
        <v>32.590000000000003</v>
      </c>
      <c r="CZ480" s="46">
        <f t="shared" si="53"/>
        <v>100</v>
      </c>
      <c r="DA480" s="46">
        <f t="shared" si="54"/>
        <v>1313.8662657305933</v>
      </c>
      <c r="DB480" s="46">
        <v>2101647.34</v>
      </c>
      <c r="DC480" s="46">
        <f t="shared" si="55"/>
        <v>54.562600416356688</v>
      </c>
      <c r="DD480" s="46">
        <v>87277.79</v>
      </c>
      <c r="DE480" s="995">
        <v>1567</v>
      </c>
      <c r="DF480" s="995">
        <v>97.266000000000005</v>
      </c>
      <c r="DG480" s="995">
        <v>42.8</v>
      </c>
      <c r="DH480" s="995">
        <v>100</v>
      </c>
      <c r="DI480" s="995">
        <v>3139.9940000000001</v>
      </c>
      <c r="DJ480" s="995">
        <v>5054909</v>
      </c>
      <c r="DK480" s="995">
        <v>132.80500000000001</v>
      </c>
      <c r="DL480" s="995">
        <v>213796.4</v>
      </c>
      <c r="DM480" s="995">
        <v>1567</v>
      </c>
      <c r="DN480" s="995">
        <v>97.606999999999999</v>
      </c>
      <c r="DO480" s="995">
        <v>37.5</v>
      </c>
      <c r="DP480" s="995">
        <v>100</v>
      </c>
      <c r="DQ480" s="995">
        <v>3116.3820000000001</v>
      </c>
      <c r="DR480" s="995">
        <v>5000213</v>
      </c>
      <c r="DS480" s="995">
        <v>131.858</v>
      </c>
      <c r="DT480" s="995">
        <v>211565.4</v>
      </c>
    </row>
    <row r="481" spans="1:124">
      <c r="A481" s="42" t="s">
        <v>94</v>
      </c>
      <c r="B481" s="42" t="s">
        <v>549</v>
      </c>
      <c r="C481" s="42" t="s">
        <v>639</v>
      </c>
      <c r="D481" s="42">
        <v>820431</v>
      </c>
      <c r="E481" s="42" t="s">
        <v>699</v>
      </c>
      <c r="F481" s="42" t="s">
        <v>149</v>
      </c>
      <c r="G481" s="42" t="s">
        <v>150</v>
      </c>
      <c r="H481" s="43" t="s">
        <v>150</v>
      </c>
      <c r="I481" s="44">
        <v>63</v>
      </c>
      <c r="J481" s="45">
        <v>174622.98</v>
      </c>
      <c r="K481" s="46">
        <v>8495.4351850000003</v>
      </c>
      <c r="L481" s="47">
        <v>183118.41518499999</v>
      </c>
      <c r="M481" s="48">
        <v>3863099</v>
      </c>
      <c r="N481" s="49">
        <v>2515603</v>
      </c>
      <c r="O481" s="49">
        <v>1342141</v>
      </c>
      <c r="P481" s="49">
        <v>5355</v>
      </c>
      <c r="Q481" s="50">
        <v>8929.9533564814792</v>
      </c>
      <c r="R481" s="51">
        <v>23123.721873054299</v>
      </c>
      <c r="S481" s="49">
        <v>37603.729589071001</v>
      </c>
      <c r="T481" s="49">
        <v>8068.5083984801104</v>
      </c>
      <c r="U481" s="49">
        <f>IFERROR(INDEX('Rentabilidad datos'!$N$2:$N$61,MATCH($C481,'Rentabilidad datos'!$C$2:$C$61,0)),"")</f>
        <v>68795.959860605391</v>
      </c>
      <c r="V481" s="50">
        <f>IFERROR(INDEX('Rentabilidad datos'!$O$2:$O$61,MATCH($C481,'Rentabilidad datos'!$C$2:$C$61,0)),"")</f>
        <v>1166.0332179763625</v>
      </c>
      <c r="W481" s="51">
        <f>IFERROR(INDEX('Rentabilidad datos'!$M$2:$M$61,MATCH($C481,'Rentabilidad datos'!$C$2:$C$61,0)),"")</f>
        <v>3116.1708958203221</v>
      </c>
      <c r="X481" s="52">
        <f>IFERROR(INDEX('Rentabilidad datos'!$P$2:$P$61,MATCH($C481,'Rentabilidad datos'!$C$2:$C$61,0)),"")</f>
        <v>0.37418782761251868</v>
      </c>
      <c r="Y481" s="43" t="s">
        <v>171</v>
      </c>
      <c r="Z481" s="53">
        <v>80.785907859078605</v>
      </c>
      <c r="AA481" s="43">
        <v>2</v>
      </c>
      <c r="AB481" s="54">
        <v>0.95027877877320777</v>
      </c>
      <c r="AC481" s="55">
        <v>4.9721221226792275E-2</v>
      </c>
      <c r="AD481" s="752" t="e">
        <f>_xlfn.XLOOKUP(Table1[[#This Row],[Ruta]],#REF!,#REF!)</f>
        <v>#REF!</v>
      </c>
      <c r="AE481" s="752" t="e">
        <f>_xlfn.XLOOKUP(Table1[[#This Row],[Ruta]],#REF!,#REF!)</f>
        <v>#REF!</v>
      </c>
      <c r="AF481" s="752" t="e">
        <f>_xlfn.XLOOKUP(Table1[[#This Row],[Ruta]],#REF!,#REF!)</f>
        <v>#REF!</v>
      </c>
      <c r="AG481" s="752" t="e">
        <f>_xlfn.XLOOKUP(Table1[[#This Row],[Ruta]],#REF!,#REF!)</f>
        <v>#REF!</v>
      </c>
      <c r="AH481" s="52">
        <v>0.65118781579245055</v>
      </c>
      <c r="AI481" s="52">
        <v>0.34742599141259389</v>
      </c>
      <c r="AJ481" s="55">
        <v>1.3861927949555526E-3</v>
      </c>
      <c r="AK481" s="56">
        <v>29810</v>
      </c>
      <c r="AL481" s="44">
        <v>13826</v>
      </c>
      <c r="AM481" s="54">
        <v>0.39996645420999699</v>
      </c>
      <c r="AN481" s="55">
        <v>0.50214093649930203</v>
      </c>
      <c r="AO481" s="56">
        <v>3045.82131704419</v>
      </c>
      <c r="AP481" s="48">
        <v>1522.910658522095</v>
      </c>
      <c r="AQ481" s="55">
        <v>0.51489133373103302</v>
      </c>
      <c r="AR481" s="51">
        <v>3857739.85</v>
      </c>
      <c r="AS481" s="49">
        <v>424923.55962465098</v>
      </c>
      <c r="AT481" s="55">
        <v>0.11014831900203197</v>
      </c>
      <c r="AU481" s="51">
        <v>298594.93379029538</v>
      </c>
      <c r="AV481" s="52">
        <v>1.3583366106322146E-3</v>
      </c>
      <c r="AW481" s="44">
        <v>243</v>
      </c>
      <c r="AX481" s="51">
        <v>279.02067481556497</v>
      </c>
      <c r="AY481" s="49">
        <v>308.140122044046</v>
      </c>
      <c r="AZ481" s="49">
        <v>29.119447228481022</v>
      </c>
      <c r="BA481" s="42" t="s">
        <v>150</v>
      </c>
      <c r="BB481" s="50">
        <v>141455.97853926281</v>
      </c>
      <c r="BC481" s="57">
        <v>440050.91232955817</v>
      </c>
      <c r="BD481" s="42" t="s">
        <v>150</v>
      </c>
      <c r="BE481" s="46">
        <v>80.785907859078605</v>
      </c>
      <c r="BF481" s="46">
        <v>83.628504672897193</v>
      </c>
      <c r="BG481" s="42" t="s">
        <v>152</v>
      </c>
      <c r="BH481" s="52">
        <v>0.39996645420999699</v>
      </c>
      <c r="BI481" s="52">
        <v>0.51187669456560203</v>
      </c>
      <c r="BJ481" s="42" t="s">
        <v>152</v>
      </c>
      <c r="BK481" s="46">
        <v>423.885220335648</v>
      </c>
      <c r="BL481" s="46">
        <v>638.00354527981403</v>
      </c>
      <c r="BM481" s="42" t="s">
        <v>152</v>
      </c>
      <c r="BN481" s="48">
        <v>0</v>
      </c>
      <c r="BO481" s="42" t="s">
        <v>155</v>
      </c>
      <c r="BP481" s="42" t="s">
        <v>152</v>
      </c>
      <c r="BQ481" s="46">
        <v>5452.57648448298</v>
      </c>
      <c r="BR481" s="46">
        <v>57</v>
      </c>
      <c r="BS481" s="46">
        <v>4101</v>
      </c>
      <c r="BT481" s="46">
        <v>1638</v>
      </c>
      <c r="BU481" s="46">
        <v>2.5036630036630036</v>
      </c>
      <c r="BV481" s="46">
        <v>28.736842105263158</v>
      </c>
      <c r="BW481" s="46">
        <v>844</v>
      </c>
      <c r="BX481" s="46">
        <v>794</v>
      </c>
      <c r="BY481" s="46">
        <v>1638</v>
      </c>
      <c r="BZ481" s="46">
        <v>1</v>
      </c>
      <c r="CA481" s="46">
        <v>0.51526251526251521</v>
      </c>
      <c r="CB481" s="46">
        <v>0.48473748473748468</v>
      </c>
      <c r="CC481" s="46">
        <v>0</v>
      </c>
      <c r="CD481" s="46">
        <v>0</v>
      </c>
      <c r="CE481" s="46">
        <v>0</v>
      </c>
      <c r="CF481" s="46">
        <v>0</v>
      </c>
      <c r="CG481" s="46">
        <v>0</v>
      </c>
      <c r="CH481" s="46">
        <v>0</v>
      </c>
      <c r="CI481" s="46">
        <v>0.73152889539136801</v>
      </c>
      <c r="CJ481" s="46">
        <v>1.463057790782736</v>
      </c>
      <c r="CK481">
        <v>300</v>
      </c>
      <c r="CL481">
        <v>377.78</v>
      </c>
      <c r="CM481">
        <f t="shared" si="56"/>
        <v>77.779999999999973</v>
      </c>
      <c r="CN481">
        <v>7.01</v>
      </c>
      <c r="CO481">
        <v>9.4499999999999993</v>
      </c>
      <c r="CP481">
        <f t="shared" si="57"/>
        <v>2.4399999999999995</v>
      </c>
      <c r="CQ481">
        <v>564.37</v>
      </c>
      <c r="CR481">
        <v>423.89</v>
      </c>
      <c r="CS481">
        <f t="shared" si="58"/>
        <v>140.48000000000002</v>
      </c>
      <c r="CT481" t="s">
        <v>152</v>
      </c>
      <c r="CU481">
        <v>75.98</v>
      </c>
      <c r="CV481">
        <v>311</v>
      </c>
      <c r="CW481" s="46">
        <v>1593</v>
      </c>
      <c r="CX481" s="46">
        <f t="shared" si="52"/>
        <v>92.504273504273499</v>
      </c>
      <c r="CY481" s="46">
        <v>77.78</v>
      </c>
      <c r="CZ481" s="46">
        <f t="shared" si="53"/>
        <v>97.252747252747255</v>
      </c>
      <c r="DA481" s="46">
        <f t="shared" si="54"/>
        <v>760.20228700649261</v>
      </c>
      <c r="DB481" s="46">
        <v>1304339.8799999999</v>
      </c>
      <c r="DC481" s="46">
        <f t="shared" si="55"/>
        <v>34.311100490738909</v>
      </c>
      <c r="DD481" s="46">
        <v>58870.3</v>
      </c>
      <c r="DE481" s="995">
        <v>1593</v>
      </c>
      <c r="DF481" s="995">
        <v>92.594999999999999</v>
      </c>
      <c r="DG481" s="995">
        <v>76.3</v>
      </c>
      <c r="DH481" s="995">
        <v>97.253</v>
      </c>
      <c r="DI481" s="995">
        <v>2392.1460000000002</v>
      </c>
      <c r="DJ481" s="995">
        <v>4100844</v>
      </c>
      <c r="DK481" s="995">
        <v>108.08499999999999</v>
      </c>
      <c r="DL481" s="995">
        <v>185290</v>
      </c>
      <c r="DM481" s="995">
        <v>1593</v>
      </c>
      <c r="DN481" s="995">
        <v>92.867000000000004</v>
      </c>
      <c r="DO481" s="995">
        <v>71.8</v>
      </c>
      <c r="DP481" s="995">
        <v>97.253</v>
      </c>
      <c r="DQ481" s="995">
        <v>2373.8870000000002</v>
      </c>
      <c r="DR481" s="995">
        <v>4058978</v>
      </c>
      <c r="DS481" s="995">
        <v>107.282</v>
      </c>
      <c r="DT481" s="995">
        <v>183435.6</v>
      </c>
    </row>
    <row r="482" spans="1:124">
      <c r="A482" s="42" t="s">
        <v>94</v>
      </c>
      <c r="B482" s="42" t="s">
        <v>549</v>
      </c>
      <c r="C482" s="42" t="s">
        <v>639</v>
      </c>
      <c r="D482" s="42">
        <v>820432</v>
      </c>
      <c r="E482" s="42" t="s">
        <v>700</v>
      </c>
      <c r="F482" s="42" t="s">
        <v>149</v>
      </c>
      <c r="G482" s="42" t="s">
        <v>150</v>
      </c>
      <c r="H482" s="43" t="s">
        <v>150</v>
      </c>
      <c r="I482" s="44">
        <v>63</v>
      </c>
      <c r="J482" s="45">
        <v>213485.61919999999</v>
      </c>
      <c r="K482" s="46">
        <v>16840.571036000001</v>
      </c>
      <c r="L482" s="47">
        <v>230326.19023599999</v>
      </c>
      <c r="M482" s="48">
        <v>6041619</v>
      </c>
      <c r="N482" s="49">
        <v>3093008</v>
      </c>
      <c r="O482" s="49">
        <v>2933112</v>
      </c>
      <c r="P482" s="49">
        <v>15499</v>
      </c>
      <c r="Q482" s="50">
        <v>13853.158321839101</v>
      </c>
      <c r="R482" s="51">
        <v>23123.721873054299</v>
      </c>
      <c r="S482" s="49">
        <v>37603.729589071001</v>
      </c>
      <c r="T482" s="49">
        <v>8068.5083984801104</v>
      </c>
      <c r="U482" s="49">
        <f>IFERROR(INDEX('Rentabilidad datos'!$N$2:$N$61,MATCH($C482,'Rentabilidad datos'!$C$2:$C$61,0)),"")</f>
        <v>68795.959860605391</v>
      </c>
      <c r="V482" s="50">
        <f>IFERROR(INDEX('Rentabilidad datos'!$O$2:$O$61,MATCH($C482,'Rentabilidad datos'!$C$2:$C$61,0)),"")</f>
        <v>1166.0332179763625</v>
      </c>
      <c r="W482" s="51">
        <f>IFERROR(INDEX('Rentabilidad datos'!$M$2:$M$61,MATCH($C482,'Rentabilidad datos'!$C$2:$C$61,0)),"")</f>
        <v>3116.1708958203221</v>
      </c>
      <c r="X482" s="52">
        <f>IFERROR(INDEX('Rentabilidad datos'!$P$2:$P$61,MATCH($C482,'Rentabilidad datos'!$C$2:$C$61,0)),"")</f>
        <v>0.37418782761251868</v>
      </c>
      <c r="Y482" s="43" t="s">
        <v>171</v>
      </c>
      <c r="Z482" s="53">
        <v>43.399463806970502</v>
      </c>
      <c r="AA482" s="43">
        <v>2</v>
      </c>
      <c r="AB482" s="54">
        <v>0.93715360071530496</v>
      </c>
      <c r="AC482" s="55">
        <v>6.2846399284695043E-2</v>
      </c>
      <c r="AD482" s="752" t="e">
        <f>_xlfn.XLOOKUP(Table1[[#This Row],[Ruta]],#REF!,#REF!)</f>
        <v>#REF!</v>
      </c>
      <c r="AE482" s="752" t="e">
        <f>_xlfn.XLOOKUP(Table1[[#This Row],[Ruta]],#REF!,#REF!)</f>
        <v>#REF!</v>
      </c>
      <c r="AF482" s="752" t="e">
        <f>_xlfn.XLOOKUP(Table1[[#This Row],[Ruta]],#REF!,#REF!)</f>
        <v>#REF!</v>
      </c>
      <c r="AG482" s="752" t="e">
        <f>_xlfn.XLOOKUP(Table1[[#This Row],[Ruta]],#REF!,#REF!)</f>
        <v>#REF!</v>
      </c>
      <c r="AH482" s="52">
        <v>0.51195019083460902</v>
      </c>
      <c r="AI482" s="52">
        <v>0.48548443720135281</v>
      </c>
      <c r="AJ482" s="55">
        <v>2.5653719640381161E-3</v>
      </c>
      <c r="AK482" s="56">
        <v>16188</v>
      </c>
      <c r="AL482" s="44">
        <v>10048</v>
      </c>
      <c r="AM482" s="54">
        <v>0.54898690387941695</v>
      </c>
      <c r="AN482" s="55">
        <v>0.50214093649930203</v>
      </c>
      <c r="AO482" s="56">
        <v>0</v>
      </c>
      <c r="AP482" s="48">
        <v>0</v>
      </c>
      <c r="AQ482" s="55">
        <v>0.62070669631826048</v>
      </c>
      <c r="AR482" s="51">
        <v>6026123.8700000001</v>
      </c>
      <c r="AS482" s="49">
        <v>0</v>
      </c>
      <c r="AT482" s="55">
        <v>0</v>
      </c>
      <c r="AU482" s="51">
        <v>0</v>
      </c>
      <c r="AV482" s="52">
        <v>0</v>
      </c>
      <c r="AW482" s="44">
        <v>490</v>
      </c>
      <c r="AX482" s="51">
        <v>599.73366540605105</v>
      </c>
      <c r="AY482" s="49">
        <v>308.140122044046</v>
      </c>
      <c r="AZ482" s="49">
        <v>0</v>
      </c>
      <c r="BA482" s="42" t="s">
        <v>152</v>
      </c>
      <c r="BB482" s="50">
        <v>0</v>
      </c>
      <c r="BC482" s="57">
        <v>0</v>
      </c>
      <c r="BD482" s="42" t="s">
        <v>150</v>
      </c>
      <c r="BE482" s="46">
        <v>43.399463806970502</v>
      </c>
      <c r="BF482" s="46">
        <v>83.628504672897193</v>
      </c>
      <c r="BG482" s="42" t="s">
        <v>152</v>
      </c>
      <c r="BH482" s="52">
        <v>0.54898690387941695</v>
      </c>
      <c r="BI482" s="52">
        <v>0.51187669456560203</v>
      </c>
      <c r="BJ482" s="42" t="s">
        <v>150</v>
      </c>
      <c r="BK482" s="46">
        <v>529.48549479540202</v>
      </c>
      <c r="BL482" s="46">
        <v>638.00354527981403</v>
      </c>
      <c r="BM482" s="42" t="s">
        <v>152</v>
      </c>
      <c r="BN482" s="48">
        <v>1</v>
      </c>
      <c r="BO482" s="42" t="s">
        <v>155</v>
      </c>
      <c r="BP482" s="42" t="s">
        <v>152</v>
      </c>
      <c r="BQ482" s="46">
        <v>12880.3459702501</v>
      </c>
      <c r="BR482" s="46">
        <v>87</v>
      </c>
      <c r="BS482" s="46">
        <v>4588</v>
      </c>
      <c r="BT482" s="46">
        <v>1628</v>
      </c>
      <c r="BU482" s="46">
        <v>2.8181818181818183</v>
      </c>
      <c r="BV482" s="46">
        <v>18.712643678160919</v>
      </c>
      <c r="BW482" s="46">
        <v>900</v>
      </c>
      <c r="BX482" s="46">
        <v>728</v>
      </c>
      <c r="BY482" s="46">
        <v>1628</v>
      </c>
      <c r="BZ482" s="46">
        <v>1</v>
      </c>
      <c r="CA482" s="46">
        <v>0.55282555282555279</v>
      </c>
      <c r="CB482" s="46">
        <v>0.44717444717444715</v>
      </c>
      <c r="CC482" s="46">
        <v>0</v>
      </c>
      <c r="CD482" s="46">
        <v>0</v>
      </c>
      <c r="CE482" s="46">
        <v>0</v>
      </c>
      <c r="CF482" s="46">
        <v>0</v>
      </c>
      <c r="CG482" s="46">
        <v>0</v>
      </c>
      <c r="CH482" s="46">
        <v>0</v>
      </c>
      <c r="CI482" s="46">
        <v>0.65387968613775072</v>
      </c>
      <c r="CJ482" s="46">
        <v>1.525719267654752</v>
      </c>
      <c r="CK482">
        <v>299</v>
      </c>
      <c r="CL482">
        <v>438.82</v>
      </c>
      <c r="CM482">
        <f t="shared" si="56"/>
        <v>139.82</v>
      </c>
      <c r="CN482">
        <v>7.39</v>
      </c>
      <c r="CO482">
        <v>9.4499999999999993</v>
      </c>
      <c r="CP482">
        <f t="shared" si="57"/>
        <v>2.0599999999999996</v>
      </c>
      <c r="CQ482">
        <v>846.56</v>
      </c>
      <c r="CR482">
        <v>529.49</v>
      </c>
      <c r="CS482">
        <f t="shared" si="58"/>
        <v>317.06999999999994</v>
      </c>
      <c r="CT482" t="s">
        <v>152</v>
      </c>
      <c r="CU482">
        <v>78.760000000000005</v>
      </c>
      <c r="CV482">
        <v>285</v>
      </c>
      <c r="CW482" s="46">
        <v>1628</v>
      </c>
      <c r="CX482" s="46">
        <f t="shared" si="52"/>
        <v>91.411547911547913</v>
      </c>
      <c r="CY482" s="46">
        <v>139.82</v>
      </c>
      <c r="CZ482" s="46">
        <f t="shared" si="53"/>
        <v>100</v>
      </c>
      <c r="DA482" s="46">
        <f t="shared" si="54"/>
        <v>894.10373793712029</v>
      </c>
      <c r="DB482" s="46">
        <v>1580614.47</v>
      </c>
      <c r="DC482" s="46">
        <f t="shared" si="55"/>
        <v>32.960505028792525</v>
      </c>
      <c r="DD482" s="46">
        <v>58268.24</v>
      </c>
      <c r="DE482" s="995">
        <v>1628</v>
      </c>
      <c r="DF482" s="995">
        <v>91.525999999999996</v>
      </c>
      <c r="DG482" s="995">
        <v>138</v>
      </c>
      <c r="DH482" s="995">
        <v>100</v>
      </c>
      <c r="DI482" s="995">
        <v>3305.6309999999999</v>
      </c>
      <c r="DJ482" s="995">
        <v>5837601</v>
      </c>
      <c r="DK482" s="995">
        <v>119.002</v>
      </c>
      <c r="DL482" s="995">
        <v>210152.3</v>
      </c>
      <c r="DM482" s="995">
        <v>1628</v>
      </c>
      <c r="DN482" s="995">
        <v>91.869</v>
      </c>
      <c r="DO482" s="995">
        <v>132.4</v>
      </c>
      <c r="DP482" s="995">
        <v>100</v>
      </c>
      <c r="DQ482" s="995">
        <v>3278.77</v>
      </c>
      <c r="DR482" s="995">
        <v>5771851</v>
      </c>
      <c r="DS482" s="995">
        <v>118.057</v>
      </c>
      <c r="DT482" s="995">
        <v>207824.3</v>
      </c>
    </row>
    <row r="483" spans="1:124">
      <c r="A483" s="42" t="s">
        <v>94</v>
      </c>
      <c r="B483" s="42" t="s">
        <v>549</v>
      </c>
      <c r="C483" s="42" t="s">
        <v>639</v>
      </c>
      <c r="D483" s="42">
        <v>820433</v>
      </c>
      <c r="E483" s="42" t="s">
        <v>701</v>
      </c>
      <c r="F483" s="42" t="s">
        <v>149</v>
      </c>
      <c r="G483" s="42" t="s">
        <v>150</v>
      </c>
      <c r="H483" s="43" t="s">
        <v>150</v>
      </c>
      <c r="I483" s="44">
        <v>63</v>
      </c>
      <c r="J483" s="45">
        <v>174682.86079999999</v>
      </c>
      <c r="K483" s="46">
        <v>10249.757320999999</v>
      </c>
      <c r="L483" s="47">
        <v>184932.61812100001</v>
      </c>
      <c r="M483" s="48">
        <v>3995303</v>
      </c>
      <c r="N483" s="49">
        <v>2529993</v>
      </c>
      <c r="O483" s="49">
        <v>1458908</v>
      </c>
      <c r="P483" s="49">
        <v>6402</v>
      </c>
      <c r="Q483" s="50">
        <v>9237.9376334106692</v>
      </c>
      <c r="R483" s="51">
        <v>23123.721873054299</v>
      </c>
      <c r="S483" s="49">
        <v>37603.729589071001</v>
      </c>
      <c r="T483" s="49">
        <v>8068.5083984801104</v>
      </c>
      <c r="U483" s="49">
        <f>IFERROR(INDEX('Rentabilidad datos'!$N$2:$N$61,MATCH($C483,'Rentabilidad datos'!$C$2:$C$61,0)),"")</f>
        <v>68795.959860605391</v>
      </c>
      <c r="V483" s="50">
        <f>IFERROR(INDEX('Rentabilidad datos'!$O$2:$O$61,MATCH($C483,'Rentabilidad datos'!$C$2:$C$61,0)),"")</f>
        <v>1166.0332179763625</v>
      </c>
      <c r="W483" s="51">
        <f>IFERROR(INDEX('Rentabilidad datos'!$M$2:$M$61,MATCH($C483,'Rentabilidad datos'!$C$2:$C$61,0)),"")</f>
        <v>3116.1708958203221</v>
      </c>
      <c r="X483" s="52">
        <f>IFERROR(INDEX('Rentabilidad datos'!$P$2:$P$61,MATCH($C483,'Rentabilidad datos'!$C$2:$C$61,0)),"")</f>
        <v>0.37418782761251868</v>
      </c>
      <c r="Y483" s="43" t="s">
        <v>171</v>
      </c>
      <c r="Z483" s="53">
        <v>37.113513513513503</v>
      </c>
      <c r="AA483" s="43">
        <v>2</v>
      </c>
      <c r="AB483" s="54">
        <v>0.90932302255924014</v>
      </c>
      <c r="AC483" s="55">
        <v>9.0676977440759809E-2</v>
      </c>
      <c r="AD483" s="752" t="e">
        <f>_xlfn.XLOOKUP(Table1[[#This Row],[Ruta]],#REF!,#REF!)</f>
        <v>#REF!</v>
      </c>
      <c r="AE483" s="752" t="e">
        <f>_xlfn.XLOOKUP(Table1[[#This Row],[Ruta]],#REF!,#REF!)</f>
        <v>#REF!</v>
      </c>
      <c r="AF483" s="752" t="e">
        <f>_xlfn.XLOOKUP(Table1[[#This Row],[Ruta]],#REF!,#REF!)</f>
        <v>#REF!</v>
      </c>
      <c r="AG483" s="752" t="e">
        <f>_xlfn.XLOOKUP(Table1[[#This Row],[Ruta]],#REF!,#REF!)</f>
        <v>#REF!</v>
      </c>
      <c r="AH483" s="52">
        <v>0.63324183422383729</v>
      </c>
      <c r="AI483" s="52">
        <v>0.36515578417957284</v>
      </c>
      <c r="AJ483" s="55">
        <v>1.6023815965897955E-3</v>
      </c>
      <c r="AK483" s="56">
        <v>13732</v>
      </c>
      <c r="AL483" s="44">
        <v>6146</v>
      </c>
      <c r="AM483" s="54">
        <v>0.411957471599184</v>
      </c>
      <c r="AN483" s="55">
        <v>0.50214093649930203</v>
      </c>
      <c r="AO483" s="56">
        <v>1238.39934000841</v>
      </c>
      <c r="AP483" s="48">
        <v>619.19967000420502</v>
      </c>
      <c r="AQ483" s="55">
        <v>0.49265945747190543</v>
      </c>
      <c r="AR483" s="51">
        <v>3981551.12</v>
      </c>
      <c r="AS483" s="49">
        <v>401134.90719311399</v>
      </c>
      <c r="AT483" s="55">
        <v>0.10074840058643124</v>
      </c>
      <c r="AU483" s="51">
        <v>281878.58343299915</v>
      </c>
      <c r="AV483" s="52">
        <v>1.2822923509448845E-3</v>
      </c>
      <c r="AW483" s="44">
        <v>256</v>
      </c>
      <c r="AX483" s="51">
        <v>647.82803774812896</v>
      </c>
      <c r="AY483" s="49">
        <v>308.140122044046</v>
      </c>
      <c r="AZ483" s="49">
        <v>0</v>
      </c>
      <c r="BA483" s="42" t="s">
        <v>152</v>
      </c>
      <c r="BB483" s="50">
        <v>0</v>
      </c>
      <c r="BC483" s="57">
        <v>281878.58343299915</v>
      </c>
      <c r="BD483" s="42" t="s">
        <v>150</v>
      </c>
      <c r="BE483" s="46">
        <v>37.113513513513503</v>
      </c>
      <c r="BF483" s="46">
        <v>83.628504672897193</v>
      </c>
      <c r="BG483" s="42" t="s">
        <v>152</v>
      </c>
      <c r="BH483" s="52">
        <v>0.411957471599184</v>
      </c>
      <c r="BI483" s="52">
        <v>0.51187669456560203</v>
      </c>
      <c r="BJ483" s="42" t="s">
        <v>152</v>
      </c>
      <c r="BK483" s="46">
        <v>429.078000280742</v>
      </c>
      <c r="BL483" s="46">
        <v>638.00354527981403</v>
      </c>
      <c r="BM483" s="42" t="s">
        <v>152</v>
      </c>
      <c r="BN483" s="48">
        <v>0</v>
      </c>
      <c r="BO483" s="42" t="s">
        <v>155</v>
      </c>
      <c r="BP483" s="42" t="s">
        <v>152</v>
      </c>
      <c r="BQ483" s="46">
        <v>10166.987335408199</v>
      </c>
      <c r="BR483" s="46">
        <v>113</v>
      </c>
      <c r="BS483" s="46">
        <v>4393</v>
      </c>
      <c r="BT483" s="46">
        <v>1610</v>
      </c>
      <c r="BU483" s="46">
        <v>2.7285714285714286</v>
      </c>
      <c r="BV483" s="46">
        <v>14.247787610619469</v>
      </c>
      <c r="BW483" s="46">
        <v>1268</v>
      </c>
      <c r="BX483" s="46">
        <v>342</v>
      </c>
      <c r="BY483" s="46">
        <v>1610</v>
      </c>
      <c r="BZ483" s="46">
        <v>1</v>
      </c>
      <c r="CA483" s="46">
        <v>0.78757763975155282</v>
      </c>
      <c r="CB483" s="46">
        <v>0.21242236024844721</v>
      </c>
      <c r="CC483" s="46">
        <v>0</v>
      </c>
      <c r="CD483" s="46">
        <v>0</v>
      </c>
      <c r="CE483" s="46">
        <v>0</v>
      </c>
      <c r="CF483" s="46">
        <v>0</v>
      </c>
      <c r="CG483" s="46">
        <v>0</v>
      </c>
      <c r="CH483" s="46">
        <v>0</v>
      </c>
      <c r="CI483" s="46">
        <v>1.821078989301161</v>
      </c>
      <c r="CJ483" s="46">
        <v>1.3658092419758709</v>
      </c>
      <c r="CK483">
        <v>241</v>
      </c>
      <c r="CL483">
        <v>431.16</v>
      </c>
      <c r="CM483">
        <f t="shared" si="56"/>
        <v>190.16000000000003</v>
      </c>
      <c r="CN483">
        <v>4.18</v>
      </c>
      <c r="CO483">
        <v>9.4499999999999993</v>
      </c>
      <c r="CP483">
        <f t="shared" si="57"/>
        <v>5.27</v>
      </c>
      <c r="CQ483">
        <v>846.56</v>
      </c>
      <c r="CR483">
        <v>429.08</v>
      </c>
      <c r="CS483">
        <f t="shared" si="58"/>
        <v>417.47999999999996</v>
      </c>
      <c r="CT483" t="s">
        <v>152</v>
      </c>
      <c r="CU483">
        <v>53.02</v>
      </c>
      <c r="CV483">
        <v>243</v>
      </c>
      <c r="CW483" s="46">
        <v>1610</v>
      </c>
      <c r="CX483" s="46">
        <f t="shared" si="52"/>
        <v>88.188819875776389</v>
      </c>
      <c r="CY483" s="46">
        <v>190.16</v>
      </c>
      <c r="CZ483" s="46">
        <f t="shared" si="53"/>
        <v>100</v>
      </c>
      <c r="DA483" s="46">
        <f t="shared" si="54"/>
        <v>1037.8619344947115</v>
      </c>
      <c r="DB483" s="46">
        <v>1868317.54</v>
      </c>
      <c r="DC483" s="46">
        <f t="shared" si="55"/>
        <v>47.88207159363612</v>
      </c>
      <c r="DD483" s="46">
        <v>86195.39</v>
      </c>
      <c r="DE483" s="995">
        <v>1610</v>
      </c>
      <c r="DF483" s="995">
        <v>88.471999999999994</v>
      </c>
      <c r="DG483" s="995">
        <v>185.6</v>
      </c>
      <c r="DH483" s="995">
        <v>100</v>
      </c>
      <c r="DI483" s="995">
        <v>2737.4580000000001</v>
      </c>
      <c r="DJ483" s="995">
        <v>4915362</v>
      </c>
      <c r="DK483" s="995">
        <v>125.001</v>
      </c>
      <c r="DL483" s="995">
        <v>224451.4</v>
      </c>
      <c r="DM483" s="995">
        <v>1610</v>
      </c>
      <c r="DN483" s="995">
        <v>89.322999999999993</v>
      </c>
      <c r="DO483" s="995">
        <v>171.9</v>
      </c>
      <c r="DP483" s="995">
        <v>100</v>
      </c>
      <c r="DQ483" s="995">
        <v>2688.8510000000001</v>
      </c>
      <c r="DR483" s="995">
        <v>4791262</v>
      </c>
      <c r="DS483" s="995">
        <v>122.759</v>
      </c>
      <c r="DT483" s="995">
        <v>218744.7</v>
      </c>
    </row>
    <row r="484" spans="1:124">
      <c r="A484" s="42" t="s">
        <v>94</v>
      </c>
      <c r="B484" s="42" t="s">
        <v>549</v>
      </c>
      <c r="C484" s="42" t="s">
        <v>639</v>
      </c>
      <c r="D484" s="42">
        <v>820434</v>
      </c>
      <c r="E484" s="42" t="s">
        <v>702</v>
      </c>
      <c r="F484" s="42" t="s">
        <v>149</v>
      </c>
      <c r="G484" s="42" t="s">
        <v>150</v>
      </c>
      <c r="H484" s="43" t="s">
        <v>150</v>
      </c>
      <c r="I484" s="44">
        <v>63</v>
      </c>
      <c r="J484" s="45">
        <v>129863.8432</v>
      </c>
      <c r="K484" s="46">
        <v>8511.0809929999996</v>
      </c>
      <c r="L484" s="47">
        <v>138374.92419300001</v>
      </c>
      <c r="M484" s="48">
        <v>3461947</v>
      </c>
      <c r="N484" s="49">
        <v>1896661</v>
      </c>
      <c r="O484" s="49">
        <v>1563417</v>
      </c>
      <c r="P484" s="49">
        <v>1869</v>
      </c>
      <c r="Q484" s="50">
        <v>8103.23360655738</v>
      </c>
      <c r="R484" s="51">
        <v>23123.721873054299</v>
      </c>
      <c r="S484" s="49">
        <v>37603.729589071001</v>
      </c>
      <c r="T484" s="49">
        <v>8068.5083984801104</v>
      </c>
      <c r="U484" s="49">
        <f>IFERROR(INDEX('Rentabilidad datos'!$N$2:$N$61,MATCH($C484,'Rentabilidad datos'!$C$2:$C$61,0)),"")</f>
        <v>68795.959860605391</v>
      </c>
      <c r="V484" s="50">
        <f>IFERROR(INDEX('Rentabilidad datos'!$O$2:$O$61,MATCH($C484,'Rentabilidad datos'!$C$2:$C$61,0)),"")</f>
        <v>1166.0332179763625</v>
      </c>
      <c r="W484" s="51">
        <f>IFERROR(INDEX('Rentabilidad datos'!$M$2:$M$61,MATCH($C484,'Rentabilidad datos'!$C$2:$C$61,0)),"")</f>
        <v>3116.1708958203221</v>
      </c>
      <c r="X484" s="52">
        <f>IFERROR(INDEX('Rentabilidad datos'!$P$2:$P$61,MATCH($C484,'Rentabilidad datos'!$C$2:$C$61,0)),"")</f>
        <v>0.37418782761251868</v>
      </c>
      <c r="Y484" s="43" t="s">
        <v>171</v>
      </c>
      <c r="Z484" s="53">
        <v>28.948087431693999</v>
      </c>
      <c r="AA484" s="43">
        <v>2</v>
      </c>
      <c r="AB484" s="54">
        <v>0.9055502582795173</v>
      </c>
      <c r="AC484" s="55">
        <v>9.4449741720482719E-2</v>
      </c>
      <c r="AD484" s="752" t="e">
        <f>_xlfn.XLOOKUP(Table1[[#This Row],[Ruta]],#REF!,#REF!)</f>
        <v>#REF!</v>
      </c>
      <c r="AE484" s="752" t="e">
        <f>_xlfn.XLOOKUP(Table1[[#This Row],[Ruta]],#REF!,#REF!)</f>
        <v>#REF!</v>
      </c>
      <c r="AF484" s="752" t="e">
        <f>_xlfn.XLOOKUP(Table1[[#This Row],[Ruta]],#REF!,#REF!)</f>
        <v>#REF!</v>
      </c>
      <c r="AG484" s="752" t="e">
        <f>_xlfn.XLOOKUP(Table1[[#This Row],[Ruta]],#REF!,#REF!)</f>
        <v>#REF!</v>
      </c>
      <c r="AH484" s="52">
        <v>0.54785962927797571</v>
      </c>
      <c r="AI484" s="52">
        <v>0.45160050110530287</v>
      </c>
      <c r="AJ484" s="55">
        <v>5.3986961672145765E-4</v>
      </c>
      <c r="AK484" s="56">
        <v>10595</v>
      </c>
      <c r="AL484" s="44">
        <v>4780</v>
      </c>
      <c r="AM484" s="54">
        <v>0.38395469561113699</v>
      </c>
      <c r="AN484" s="55">
        <v>0.50214093649930203</v>
      </c>
      <c r="AO484" s="56">
        <v>1252.1832222101</v>
      </c>
      <c r="AP484" s="48">
        <v>626.09161110504999</v>
      </c>
      <c r="AQ484" s="55">
        <v>0.51024932620151486</v>
      </c>
      <c r="AR484" s="51">
        <v>3460080.75</v>
      </c>
      <c r="AS484" s="49">
        <v>453206.59651068551</v>
      </c>
      <c r="AT484" s="55">
        <v>0.13098150859938326</v>
      </c>
      <c r="AU484" s="51">
        <v>318469.50025075208</v>
      </c>
      <c r="AV484" s="52">
        <v>1.4487478942430783E-3</v>
      </c>
      <c r="AW484" s="44">
        <v>229</v>
      </c>
      <c r="AX484" s="51">
        <v>723.86626569037696</v>
      </c>
      <c r="AY484" s="49">
        <v>308.140122044046</v>
      </c>
      <c r="AZ484" s="49">
        <v>0</v>
      </c>
      <c r="BA484" s="42" t="s">
        <v>152</v>
      </c>
      <c r="BB484" s="50">
        <v>0</v>
      </c>
      <c r="BC484" s="57">
        <v>318469.50025075208</v>
      </c>
      <c r="BD484" s="42" t="s">
        <v>150</v>
      </c>
      <c r="BE484" s="46">
        <v>28.948087431693999</v>
      </c>
      <c r="BF484" s="46">
        <v>83.628504672897193</v>
      </c>
      <c r="BG484" s="42" t="s">
        <v>152</v>
      </c>
      <c r="BH484" s="52">
        <v>0.38395469561113699</v>
      </c>
      <c r="BI484" s="52">
        <v>0.51187669456560203</v>
      </c>
      <c r="BJ484" s="42" t="s">
        <v>152</v>
      </c>
      <c r="BK484" s="46">
        <v>324.06305431615903</v>
      </c>
      <c r="BL484" s="46">
        <v>638.00354527981403</v>
      </c>
      <c r="BM484" s="42" t="s">
        <v>152</v>
      </c>
      <c r="BN484" s="48">
        <v>0</v>
      </c>
      <c r="BO484" s="42" t="s">
        <v>155</v>
      </c>
      <c r="BP484" s="42" t="s">
        <v>152</v>
      </c>
      <c r="BQ484" s="46">
        <v>12175.0704892884</v>
      </c>
      <c r="BR484" s="46">
        <v>48</v>
      </c>
      <c r="BS484" s="46">
        <v>1230</v>
      </c>
      <c r="BT484" s="46">
        <v>517</v>
      </c>
      <c r="BU484" s="46">
        <v>2.379110251450677</v>
      </c>
      <c r="BV484" s="46">
        <v>10.770833333333334</v>
      </c>
      <c r="BW484" s="46">
        <v>0</v>
      </c>
      <c r="BX484" s="46">
        <v>517</v>
      </c>
      <c r="BY484" s="46">
        <v>517</v>
      </c>
      <c r="BZ484" s="46">
        <v>1</v>
      </c>
      <c r="CA484" s="46">
        <v>0</v>
      </c>
      <c r="CB484" s="46">
        <v>1</v>
      </c>
      <c r="CC484" s="46">
        <v>0</v>
      </c>
      <c r="CD484" s="46">
        <v>0</v>
      </c>
      <c r="CE484" s="46">
        <v>0</v>
      </c>
      <c r="CF484" s="46">
        <v>0</v>
      </c>
      <c r="CG484" s="46">
        <v>0</v>
      </c>
      <c r="CH484" s="46">
        <v>0</v>
      </c>
      <c r="CI484" s="46">
        <v>4.0650406504065044</v>
      </c>
      <c r="CJ484" s="46">
        <v>3.2520325203252032</v>
      </c>
      <c r="CK484">
        <v>126</v>
      </c>
      <c r="CL484">
        <v>183.96</v>
      </c>
      <c r="CM484">
        <f t="shared" si="56"/>
        <v>57.960000000000008</v>
      </c>
      <c r="CN484">
        <v>3.2</v>
      </c>
      <c r="CO484">
        <v>9.4499999999999993</v>
      </c>
      <c r="CP484">
        <f t="shared" si="57"/>
        <v>6.2499999999999991</v>
      </c>
      <c r="CQ484">
        <v>564.37</v>
      </c>
      <c r="CR484">
        <v>324.06</v>
      </c>
      <c r="CS484">
        <f t="shared" si="58"/>
        <v>240.31</v>
      </c>
      <c r="CT484" t="s">
        <v>152</v>
      </c>
      <c r="CU484">
        <v>57.42</v>
      </c>
      <c r="CV484">
        <v>131</v>
      </c>
      <c r="CW484" s="46">
        <v>517</v>
      </c>
      <c r="CX484" s="46">
        <f t="shared" si="52"/>
        <v>88.789168278529985</v>
      </c>
      <c r="CY484" s="46">
        <v>57.96</v>
      </c>
      <c r="CZ484" s="46">
        <f t="shared" si="53"/>
        <v>100</v>
      </c>
      <c r="DA484" s="46">
        <f t="shared" si="54"/>
        <v>919.01213997495472</v>
      </c>
      <c r="DB484" s="46">
        <v>528395.22</v>
      </c>
      <c r="DC484" s="46">
        <f t="shared" si="55"/>
        <v>42.010313760957281</v>
      </c>
      <c r="DD484" s="46">
        <v>24154.25</v>
      </c>
      <c r="DE484" s="995">
        <v>517</v>
      </c>
      <c r="DF484" s="995">
        <v>89.412000000000006</v>
      </c>
      <c r="DG484" s="995">
        <v>54.7</v>
      </c>
      <c r="DH484" s="995">
        <v>100</v>
      </c>
      <c r="DI484" s="995">
        <v>4343.8469999999998</v>
      </c>
      <c r="DJ484" s="995">
        <v>2483551</v>
      </c>
      <c r="DK484" s="995">
        <v>197.696</v>
      </c>
      <c r="DL484" s="995">
        <v>113030.39999999999</v>
      </c>
      <c r="DM484" s="995">
        <v>517</v>
      </c>
      <c r="DN484" s="995">
        <v>91.28</v>
      </c>
      <c r="DO484" s="995">
        <v>45.1</v>
      </c>
      <c r="DP484" s="995">
        <v>100</v>
      </c>
      <c r="DQ484" s="995">
        <v>4261.8230000000003</v>
      </c>
      <c r="DR484" s="995">
        <v>2395485</v>
      </c>
      <c r="DS484" s="995">
        <v>193.93100000000001</v>
      </c>
      <c r="DT484" s="995">
        <v>109004.7</v>
      </c>
    </row>
    <row r="485" spans="1:124">
      <c r="A485" s="42" t="s">
        <v>94</v>
      </c>
      <c r="B485" s="42" t="s">
        <v>549</v>
      </c>
      <c r="C485" s="42" t="s">
        <v>703</v>
      </c>
      <c r="D485" s="42">
        <v>819340</v>
      </c>
      <c r="E485" s="42" t="s">
        <v>704</v>
      </c>
      <c r="F485" s="42" t="s">
        <v>149</v>
      </c>
      <c r="G485" s="42" t="s">
        <v>150</v>
      </c>
      <c r="H485" s="43" t="s">
        <v>150</v>
      </c>
      <c r="I485" s="44">
        <v>46</v>
      </c>
      <c r="J485" s="45">
        <v>219952.74559999901</v>
      </c>
      <c r="K485" s="46">
        <v>11292.561917000001</v>
      </c>
      <c r="L485" s="47">
        <v>231245.30751699899</v>
      </c>
      <c r="M485" s="48">
        <v>4686600</v>
      </c>
      <c r="N485" s="49">
        <v>3194786</v>
      </c>
      <c r="O485" s="49">
        <v>1474487</v>
      </c>
      <c r="P485" s="49">
        <v>17327</v>
      </c>
      <c r="Q485" s="50">
        <v>10712.3679953917</v>
      </c>
      <c r="R485" s="51">
        <v>11191.105627311499</v>
      </c>
      <c r="S485" s="49">
        <v>18476.293580237802</v>
      </c>
      <c r="T485" s="49">
        <v>3965.8770094224301</v>
      </c>
      <c r="U485" s="49">
        <f>IFERROR(INDEX('Rentabilidad datos'!$N$2:$N$61,MATCH($C485,'Rentabilidad datos'!$C$2:$C$61,0)),"")</f>
        <v>33633.276216971761</v>
      </c>
      <c r="V485" s="50">
        <f>IFERROR(INDEX('Rentabilidad datos'!$O$2:$O$61,MATCH($C485,'Rentabilidad datos'!$C$2:$C$61,0)),"")</f>
        <v>1159.7681454128194</v>
      </c>
      <c r="W485" s="51">
        <f>IFERROR(INDEX('Rentabilidad datos'!$M$2:$M$61,MATCH($C485,'Rentabilidad datos'!$C$2:$C$61,0)),"")</f>
        <v>2866.2444123371242</v>
      </c>
      <c r="X485" s="52">
        <f>IFERROR(INDEX('Rentabilidad datos'!$P$2:$P$61,MATCH($C485,'Rentabilidad datos'!$C$2:$C$61,0)),"")</f>
        <v>0.40462988446513848</v>
      </c>
      <c r="Y485" s="43" t="s">
        <v>171</v>
      </c>
      <c r="Z485" s="53">
        <v>77.887096774193594</v>
      </c>
      <c r="AA485" s="43">
        <v>2</v>
      </c>
      <c r="AB485" s="54">
        <v>0.98408099688473516</v>
      </c>
      <c r="AC485" s="55">
        <v>1.5919003115264799E-2</v>
      </c>
      <c r="AD485" s="752" t="e">
        <f>_xlfn.XLOOKUP(Table1[[#This Row],[Ruta]],#REF!,#REF!)</f>
        <v>#REF!</v>
      </c>
      <c r="AE485" s="752" t="e">
        <f>_xlfn.XLOOKUP(Table1[[#This Row],[Ruta]],#REF!,#REF!)</f>
        <v>#REF!</v>
      </c>
      <c r="AF485" s="752" t="e">
        <f>_xlfn.XLOOKUP(Table1[[#This Row],[Ruta]],#REF!,#REF!)</f>
        <v>#REF!</v>
      </c>
      <c r="AG485" s="752" t="e">
        <f>_xlfn.XLOOKUP(Table1[[#This Row],[Ruta]],#REF!,#REF!)</f>
        <v>#REF!</v>
      </c>
      <c r="AH485" s="52">
        <v>0.68168523023087102</v>
      </c>
      <c r="AI485" s="52">
        <v>0.31461763325225112</v>
      </c>
      <c r="AJ485" s="55">
        <v>3.6971365168779074E-3</v>
      </c>
      <c r="AK485" s="56">
        <v>33803</v>
      </c>
      <c r="AL485" s="44">
        <v>16842</v>
      </c>
      <c r="AM485" s="54">
        <v>0.49823980120107703</v>
      </c>
      <c r="AN485" s="55">
        <v>0.50225307463674596</v>
      </c>
      <c r="AO485" s="56">
        <v>135.660681945916</v>
      </c>
      <c r="AP485" s="48">
        <v>67.830340972957998</v>
      </c>
      <c r="AQ485" s="55">
        <v>0.50024643791891132</v>
      </c>
      <c r="AR485" s="51">
        <v>4649167.71</v>
      </c>
      <c r="AS485" s="49">
        <v>18724.29824306885</v>
      </c>
      <c r="AT485" s="55">
        <v>4.0274516668422893E-3</v>
      </c>
      <c r="AU485" s="51">
        <v>13157.614981615954</v>
      </c>
      <c r="AV485" s="52">
        <v>5.9855235690916926E-5</v>
      </c>
      <c r="AW485" s="44">
        <v>467</v>
      </c>
      <c r="AX485" s="51">
        <v>276.04605806911297</v>
      </c>
      <c r="AY485" s="49">
        <v>400.61</v>
      </c>
      <c r="AZ485" s="49">
        <v>124.56394193088704</v>
      </c>
      <c r="BA485" s="42" t="s">
        <v>150</v>
      </c>
      <c r="BB485" s="50">
        <v>737102.07648648659</v>
      </c>
      <c r="BC485" s="57">
        <v>750259.69146810251</v>
      </c>
      <c r="BD485" s="42" t="s">
        <v>150</v>
      </c>
      <c r="BE485" s="46">
        <v>77.887096774193594</v>
      </c>
      <c r="BF485" s="46">
        <v>83.628504672897193</v>
      </c>
      <c r="BG485" s="42" t="s">
        <v>152</v>
      </c>
      <c r="BH485" s="52">
        <v>0.49823980120107703</v>
      </c>
      <c r="BI485" s="52">
        <v>0.51187669456560203</v>
      </c>
      <c r="BJ485" s="42" t="s">
        <v>152</v>
      </c>
      <c r="BK485" s="46">
        <v>532.82328920967598</v>
      </c>
      <c r="BL485" s="46">
        <v>638.00354527981403</v>
      </c>
      <c r="BM485" s="42" t="s">
        <v>152</v>
      </c>
      <c r="BN485" s="48">
        <v>0</v>
      </c>
      <c r="BO485" s="42" t="s">
        <v>155</v>
      </c>
      <c r="BP485" s="42" t="s">
        <v>152</v>
      </c>
      <c r="BQ485" s="46">
        <v>0</v>
      </c>
      <c r="BR485" s="46">
        <v>46</v>
      </c>
      <c r="BS485" s="46">
        <v>4381</v>
      </c>
      <c r="BT485" s="46">
        <v>1351</v>
      </c>
      <c r="BU485" s="46">
        <v>3.2427831236121389</v>
      </c>
      <c r="BV485" s="46">
        <v>29.369565217391305</v>
      </c>
      <c r="BW485" s="46">
        <v>694</v>
      </c>
      <c r="BX485" s="46">
        <v>595</v>
      </c>
      <c r="BY485" s="46">
        <v>1289</v>
      </c>
      <c r="BZ485" s="46">
        <v>0.95410806809770543</v>
      </c>
      <c r="CA485" s="46">
        <v>0.51369356032568469</v>
      </c>
      <c r="CB485" s="46">
        <v>0.44041450777202062</v>
      </c>
      <c r="CC485" s="46">
        <v>4.5891931902294597E-2</v>
      </c>
      <c r="CD485" s="46">
        <v>0</v>
      </c>
      <c r="CE485" s="46">
        <v>0</v>
      </c>
      <c r="CF485" s="46">
        <v>0</v>
      </c>
      <c r="CG485" s="46">
        <v>0</v>
      </c>
      <c r="CH485" s="46">
        <v>0</v>
      </c>
      <c r="CI485" s="46">
        <v>1.1412919424788861</v>
      </c>
      <c r="CJ485" s="46">
        <v>0.45651677699155452</v>
      </c>
      <c r="CK485">
        <v>318</v>
      </c>
      <c r="CL485">
        <v>400.92</v>
      </c>
      <c r="CM485">
        <f t="shared" si="56"/>
        <v>82.920000000000016</v>
      </c>
      <c r="CN485">
        <v>9.23</v>
      </c>
      <c r="CO485">
        <v>9.4499999999999993</v>
      </c>
      <c r="CP485">
        <f t="shared" si="57"/>
        <v>0.21999999999999886</v>
      </c>
      <c r="CQ485">
        <v>846.56</v>
      </c>
      <c r="CR485">
        <v>532.82000000000005</v>
      </c>
      <c r="CS485">
        <f t="shared" si="58"/>
        <v>313.7399999999999</v>
      </c>
      <c r="CT485" t="s">
        <v>150</v>
      </c>
      <c r="CU485">
        <v>103.55</v>
      </c>
      <c r="CV485">
        <v>314</v>
      </c>
      <c r="CW485" s="46">
        <v>1289</v>
      </c>
      <c r="CX485" s="46">
        <f t="shared" si="52"/>
        <v>89.273131014063651</v>
      </c>
      <c r="CY485" s="46">
        <v>82.92</v>
      </c>
      <c r="CZ485" s="46">
        <f t="shared" si="53"/>
        <v>95.410806809770548</v>
      </c>
      <c r="DA485" s="46">
        <f t="shared" si="54"/>
        <v>680.50463763668813</v>
      </c>
      <c r="DB485" s="46">
        <v>975789.21</v>
      </c>
      <c r="DC485" s="46">
        <f t="shared" si="55"/>
        <v>33.270077828609679</v>
      </c>
      <c r="DD485" s="46">
        <v>47706.63</v>
      </c>
      <c r="DE485" s="995">
        <v>1289</v>
      </c>
      <c r="DF485" s="995">
        <v>89.599000000000004</v>
      </c>
      <c r="DG485" s="995">
        <v>78.5</v>
      </c>
      <c r="DH485" s="995">
        <v>95.411000000000001</v>
      </c>
      <c r="DI485" s="995">
        <v>3269.1469999999999</v>
      </c>
      <c r="DJ485" s="995">
        <v>4673304</v>
      </c>
      <c r="DK485" s="995">
        <v>154.114</v>
      </c>
      <c r="DL485" s="995">
        <v>220309.4</v>
      </c>
      <c r="DM485" s="995">
        <v>1289</v>
      </c>
      <c r="DN485" s="995">
        <v>90.575999999999993</v>
      </c>
      <c r="DO485" s="995">
        <v>65.3</v>
      </c>
      <c r="DP485" s="995">
        <v>95.411000000000001</v>
      </c>
      <c r="DQ485" s="995">
        <v>3203.9810000000002</v>
      </c>
      <c r="DR485" s="995">
        <v>4537837</v>
      </c>
      <c r="DS485" s="995">
        <v>150.85599999999999</v>
      </c>
      <c r="DT485" s="995">
        <v>213659.8</v>
      </c>
    </row>
    <row r="486" spans="1:124">
      <c r="A486" s="42" t="s">
        <v>94</v>
      </c>
      <c r="B486" s="42" t="s">
        <v>549</v>
      </c>
      <c r="C486" s="42" t="s">
        <v>703</v>
      </c>
      <c r="D486" s="42">
        <v>819341</v>
      </c>
      <c r="E486" s="42" t="s">
        <v>705</v>
      </c>
      <c r="F486" s="42" t="s">
        <v>149</v>
      </c>
      <c r="G486" s="42" t="s">
        <v>150</v>
      </c>
      <c r="H486" s="43" t="s">
        <v>150</v>
      </c>
      <c r="I486" s="44">
        <v>46</v>
      </c>
      <c r="J486" s="45">
        <v>182608.26079999999</v>
      </c>
      <c r="K486" s="46">
        <v>7211.7347749999999</v>
      </c>
      <c r="L486" s="47">
        <v>189819.99557500001</v>
      </c>
      <c r="M486" s="48">
        <v>3741161</v>
      </c>
      <c r="N486" s="49">
        <v>2674999</v>
      </c>
      <c r="O486" s="49">
        <v>1064490</v>
      </c>
      <c r="P486" s="49">
        <v>1672</v>
      </c>
      <c r="Q486" s="50">
        <v>8796.7270823529398</v>
      </c>
      <c r="R486" s="51">
        <v>11191.105627311499</v>
      </c>
      <c r="S486" s="49">
        <v>18476.293580237802</v>
      </c>
      <c r="T486" s="49">
        <v>3965.8770094224301</v>
      </c>
      <c r="U486" s="49">
        <f>IFERROR(INDEX('Rentabilidad datos'!$N$2:$N$61,MATCH($C486,'Rentabilidad datos'!$C$2:$C$61,0)),"")</f>
        <v>33633.276216971761</v>
      </c>
      <c r="V486" s="50">
        <f>IFERROR(INDEX('Rentabilidad datos'!$O$2:$O$61,MATCH($C486,'Rentabilidad datos'!$C$2:$C$61,0)),"")</f>
        <v>1159.7681454128194</v>
      </c>
      <c r="W486" s="51">
        <f>IFERROR(INDEX('Rentabilidad datos'!$M$2:$M$61,MATCH($C486,'Rentabilidad datos'!$C$2:$C$61,0)),"")</f>
        <v>2866.2444123371242</v>
      </c>
      <c r="X486" s="52">
        <f>IFERROR(INDEX('Rentabilidad datos'!$P$2:$P$61,MATCH($C486,'Rentabilidad datos'!$C$2:$C$61,0)),"")</f>
        <v>0.40462988446513848</v>
      </c>
      <c r="Y486" s="43" t="s">
        <v>171</v>
      </c>
      <c r="Z486" s="53">
        <v>61.049411764705901</v>
      </c>
      <c r="AA486" s="43">
        <v>2</v>
      </c>
      <c r="AB486" s="54">
        <v>0.98256209770175618</v>
      </c>
      <c r="AC486" s="55">
        <v>1.7437902298243782E-2</v>
      </c>
      <c r="AD486" s="752" t="e">
        <f>_xlfn.XLOOKUP(Table1[[#This Row],[Ruta]],#REF!,#REF!)</f>
        <v>#REF!</v>
      </c>
      <c r="AE486" s="752" t="e">
        <f>_xlfn.XLOOKUP(Table1[[#This Row],[Ruta]],#REF!,#REF!)</f>
        <v>#REF!</v>
      </c>
      <c r="AF486" s="752" t="e">
        <f>_xlfn.XLOOKUP(Table1[[#This Row],[Ruta]],#REF!,#REF!)</f>
        <v>#REF!</v>
      </c>
      <c r="AG486" s="752" t="e">
        <f>_xlfn.XLOOKUP(Table1[[#This Row],[Ruta]],#REF!,#REF!)</f>
        <v>#REF!</v>
      </c>
      <c r="AH486" s="52">
        <v>0.71501841273337341</v>
      </c>
      <c r="AI486" s="52">
        <v>0.28453466717951992</v>
      </c>
      <c r="AJ486" s="55">
        <v>4.4692008710664949E-4</v>
      </c>
      <c r="AK486" s="56">
        <v>25946</v>
      </c>
      <c r="AL486" s="44">
        <v>14368</v>
      </c>
      <c r="AM486" s="54">
        <v>0.55376551298851495</v>
      </c>
      <c r="AN486" s="55">
        <v>0.50225307463674596</v>
      </c>
      <c r="AO486" s="56">
        <v>0</v>
      </c>
      <c r="AP486" s="48">
        <v>0</v>
      </c>
      <c r="AQ486" s="55">
        <v>0.55376551298851462</v>
      </c>
      <c r="AR486" s="51">
        <v>3738609.01</v>
      </c>
      <c r="AS486" s="49">
        <v>0</v>
      </c>
      <c r="AT486" s="55">
        <v>0</v>
      </c>
      <c r="AU486" s="51">
        <v>0</v>
      </c>
      <c r="AV486" s="52">
        <v>0</v>
      </c>
      <c r="AW486" s="44">
        <v>490</v>
      </c>
      <c r="AX486" s="51">
        <v>260.20385648663699</v>
      </c>
      <c r="AY486" s="49">
        <v>400.61</v>
      </c>
      <c r="AZ486" s="49">
        <v>140.40614351336302</v>
      </c>
      <c r="BA486" s="42" t="s">
        <v>150</v>
      </c>
      <c r="BB486" s="50">
        <v>708800.57054054085</v>
      </c>
      <c r="BC486" s="57">
        <v>708800.57054054085</v>
      </c>
      <c r="BD486" s="42" t="s">
        <v>150</v>
      </c>
      <c r="BE486" s="46">
        <v>61.049411764705901</v>
      </c>
      <c r="BF486" s="46">
        <v>83.628504672897193</v>
      </c>
      <c r="BG486" s="42" t="s">
        <v>152</v>
      </c>
      <c r="BH486" s="52">
        <v>0.55376551298851495</v>
      </c>
      <c r="BI486" s="52">
        <v>0.51187669456560203</v>
      </c>
      <c r="BJ486" s="42" t="s">
        <v>150</v>
      </c>
      <c r="BK486" s="46">
        <v>446.63528370588199</v>
      </c>
      <c r="BL486" s="46">
        <v>638.00354527981403</v>
      </c>
      <c r="BM486" s="42" t="s">
        <v>152</v>
      </c>
      <c r="BN486" s="48">
        <v>1</v>
      </c>
      <c r="BO486" s="42" t="s">
        <v>155</v>
      </c>
      <c r="BP486" s="42" t="s">
        <v>152</v>
      </c>
      <c r="BQ486" s="46">
        <v>1576.1558215218199</v>
      </c>
      <c r="BR486" s="46">
        <v>61</v>
      </c>
      <c r="BS486" s="46">
        <v>4932</v>
      </c>
      <c r="BT486" s="46">
        <v>1624</v>
      </c>
      <c r="BU486" s="46">
        <v>3.0369458128078817</v>
      </c>
      <c r="BV486" s="46">
        <v>26.622950819672131</v>
      </c>
      <c r="BW486" s="46">
        <v>0</v>
      </c>
      <c r="BX486" s="46">
        <v>1282</v>
      </c>
      <c r="BY486" s="46">
        <v>1282</v>
      </c>
      <c r="BZ486" s="46">
        <v>0.78940886699507384</v>
      </c>
      <c r="CA486" s="46">
        <v>0</v>
      </c>
      <c r="CB486" s="46">
        <v>0.78940886699507384</v>
      </c>
      <c r="CC486" s="46">
        <v>0.2105911330049261</v>
      </c>
      <c r="CD486" s="46">
        <v>0</v>
      </c>
      <c r="CE486" s="46">
        <v>0</v>
      </c>
      <c r="CF486" s="46">
        <v>0</v>
      </c>
      <c r="CG486" s="46">
        <v>0</v>
      </c>
      <c r="CH486" s="46">
        <v>0</v>
      </c>
      <c r="CI486" s="46">
        <v>3.6496350364963495</v>
      </c>
      <c r="CJ486" s="46">
        <v>0.81103000811030013</v>
      </c>
      <c r="CK486">
        <v>286</v>
      </c>
      <c r="CL486">
        <v>376.8</v>
      </c>
      <c r="CM486">
        <f t="shared" si="56"/>
        <v>90.800000000000011</v>
      </c>
      <c r="CN486">
        <v>7</v>
      </c>
      <c r="CO486">
        <v>9.4499999999999993</v>
      </c>
      <c r="CP486">
        <f t="shared" si="57"/>
        <v>2.4499999999999993</v>
      </c>
      <c r="CQ486">
        <v>846.56</v>
      </c>
      <c r="CR486">
        <v>446.64</v>
      </c>
      <c r="CS486">
        <f t="shared" si="58"/>
        <v>399.91999999999996</v>
      </c>
      <c r="CT486" t="s">
        <v>152</v>
      </c>
      <c r="CU486">
        <v>76.64</v>
      </c>
      <c r="CV486">
        <v>266</v>
      </c>
      <c r="CW486" s="46">
        <v>1282</v>
      </c>
      <c r="CX486" s="46">
        <f t="shared" si="52"/>
        <v>73.349753694581281</v>
      </c>
      <c r="CY486" s="46">
        <v>90.8</v>
      </c>
      <c r="CZ486" s="46">
        <f t="shared" si="53"/>
        <v>78.940886699507388</v>
      </c>
      <c r="DA486" s="46">
        <f t="shared" si="54"/>
        <v>804.49696174480982</v>
      </c>
      <c r="DB486" s="46">
        <v>1379551.39</v>
      </c>
      <c r="DC486" s="46">
        <f t="shared" si="55"/>
        <v>42.417255656636343</v>
      </c>
      <c r="DD486" s="46">
        <v>72737.11</v>
      </c>
      <c r="DE486" s="995">
        <v>1282</v>
      </c>
      <c r="DF486" s="995">
        <v>73.093000000000004</v>
      </c>
      <c r="DG486" s="995">
        <v>95</v>
      </c>
      <c r="DH486" s="995">
        <v>78.941000000000003</v>
      </c>
      <c r="DI486" s="995">
        <v>2381.8890000000001</v>
      </c>
      <c r="DJ486" s="995">
        <v>4094405</v>
      </c>
      <c r="DK486" s="995">
        <v>119.18899999999999</v>
      </c>
      <c r="DL486" s="995">
        <v>204883.20000000001</v>
      </c>
      <c r="DM486" s="995">
        <v>1282</v>
      </c>
      <c r="DN486" s="995">
        <v>74.022000000000006</v>
      </c>
      <c r="DO486" s="995">
        <v>79.900000000000006</v>
      </c>
      <c r="DP486" s="995">
        <v>78.941000000000003</v>
      </c>
      <c r="DQ486" s="995">
        <v>2317.2489999999998</v>
      </c>
      <c r="DR486" s="995">
        <v>3948320</v>
      </c>
      <c r="DS486" s="995">
        <v>115.785</v>
      </c>
      <c r="DT486" s="995">
        <v>197284.1</v>
      </c>
    </row>
    <row r="487" spans="1:124">
      <c r="A487" s="42" t="s">
        <v>94</v>
      </c>
      <c r="B487" s="42" t="s">
        <v>549</v>
      </c>
      <c r="C487" s="42" t="s">
        <v>703</v>
      </c>
      <c r="D487" s="42">
        <v>819343</v>
      </c>
      <c r="E487" s="42" t="s">
        <v>706</v>
      </c>
      <c r="F487" s="42" t="s">
        <v>149</v>
      </c>
      <c r="G487" s="42" t="s">
        <v>150</v>
      </c>
      <c r="H487" s="43" t="s">
        <v>150</v>
      </c>
      <c r="I487" s="44">
        <v>46</v>
      </c>
      <c r="J487" s="45">
        <v>186648.45360000001</v>
      </c>
      <c r="K487" s="46">
        <v>10720.208375</v>
      </c>
      <c r="L487" s="47">
        <v>197368.661975</v>
      </c>
      <c r="M487" s="48">
        <v>4033482</v>
      </c>
      <c r="N487" s="49">
        <v>2699422</v>
      </c>
      <c r="O487" s="49">
        <v>1332510</v>
      </c>
      <c r="P487" s="49">
        <v>1550</v>
      </c>
      <c r="Q487" s="50">
        <v>9247.5388532110101</v>
      </c>
      <c r="R487" s="51">
        <v>11191.105627311499</v>
      </c>
      <c r="S487" s="49">
        <v>18476.293580237802</v>
      </c>
      <c r="T487" s="49">
        <v>3965.8770094224301</v>
      </c>
      <c r="U487" s="49">
        <f>IFERROR(INDEX('Rentabilidad datos'!$N$2:$N$61,MATCH($C487,'Rentabilidad datos'!$C$2:$C$61,0)),"")</f>
        <v>33633.276216971761</v>
      </c>
      <c r="V487" s="50">
        <f>IFERROR(INDEX('Rentabilidad datos'!$O$2:$O$61,MATCH($C487,'Rentabilidad datos'!$C$2:$C$61,0)),"")</f>
        <v>1159.7681454128194</v>
      </c>
      <c r="W487" s="51">
        <f>IFERROR(INDEX('Rentabilidad datos'!$M$2:$M$61,MATCH($C487,'Rentabilidad datos'!$C$2:$C$61,0)),"")</f>
        <v>2866.2444123371242</v>
      </c>
      <c r="X487" s="52">
        <f>IFERROR(INDEX('Rentabilidad datos'!$P$2:$P$61,MATCH($C487,'Rentabilidad datos'!$C$2:$C$61,0)),"")</f>
        <v>0.40462988446513848</v>
      </c>
      <c r="Y487" s="43" t="s">
        <v>171</v>
      </c>
      <c r="Z487" s="53">
        <v>67.862385321100902</v>
      </c>
      <c r="AA487" s="43">
        <v>2</v>
      </c>
      <c r="AB487" s="54">
        <v>0.96060475787421384</v>
      </c>
      <c r="AC487" s="55">
        <v>3.9395242125786108E-2</v>
      </c>
      <c r="AD487" s="752" t="e">
        <f>_xlfn.XLOOKUP(Table1[[#This Row],[Ruta]],#REF!,#REF!)</f>
        <v>#REF!</v>
      </c>
      <c r="AE487" s="752" t="e">
        <f>_xlfn.XLOOKUP(Table1[[#This Row],[Ruta]],#REF!,#REF!)</f>
        <v>#REF!</v>
      </c>
      <c r="AF487" s="752" t="e">
        <f>_xlfn.XLOOKUP(Table1[[#This Row],[Ruta]],#REF!,#REF!)</f>
        <v>#REF!</v>
      </c>
      <c r="AG487" s="752" t="e">
        <f>_xlfn.XLOOKUP(Table1[[#This Row],[Ruta]],#REF!,#REF!)</f>
        <v>#REF!</v>
      </c>
      <c r="AH487" s="52">
        <v>0.66925351346553674</v>
      </c>
      <c r="AI487" s="52">
        <v>0.33036220317829607</v>
      </c>
      <c r="AJ487" s="55">
        <v>3.8428335616720241E-4</v>
      </c>
      <c r="AK487" s="56">
        <v>29588</v>
      </c>
      <c r="AL487" s="44">
        <v>13410</v>
      </c>
      <c r="AM487" s="54">
        <v>0.45322428011355997</v>
      </c>
      <c r="AN487" s="55">
        <v>0.50225307463674596</v>
      </c>
      <c r="AO487" s="56">
        <v>1450.66397235203</v>
      </c>
      <c r="AP487" s="48">
        <v>725.33198617601499</v>
      </c>
      <c r="AQ487" s="55">
        <v>0.47773867737515263</v>
      </c>
      <c r="AR487" s="51">
        <v>4031926.94</v>
      </c>
      <c r="AS487" s="49">
        <v>218082.44410938001</v>
      </c>
      <c r="AT487" s="55">
        <v>5.408888785801759E-2</v>
      </c>
      <c r="AU487" s="51">
        <v>153247.12288767251</v>
      </c>
      <c r="AV487" s="52">
        <v>6.971356641923876E-4</v>
      </c>
      <c r="AW487" s="44">
        <v>350</v>
      </c>
      <c r="AX487" s="51">
        <v>300.66569276659197</v>
      </c>
      <c r="AY487" s="49">
        <v>400.61</v>
      </c>
      <c r="AZ487" s="49">
        <v>99.94430723340804</v>
      </c>
      <c r="BA487" s="42" t="s">
        <v>150</v>
      </c>
      <c r="BB487" s="50">
        <v>470899.75891891972</v>
      </c>
      <c r="BC487" s="57">
        <v>624146.88180659222</v>
      </c>
      <c r="BD487" s="42" t="s">
        <v>150</v>
      </c>
      <c r="BE487" s="46">
        <v>67.862385321100902</v>
      </c>
      <c r="BF487" s="46">
        <v>83.628504672897193</v>
      </c>
      <c r="BG487" s="42" t="s">
        <v>152</v>
      </c>
      <c r="BH487" s="52">
        <v>0.45322428011355997</v>
      </c>
      <c r="BI487" s="52">
        <v>0.51187669456560203</v>
      </c>
      <c r="BJ487" s="42" t="s">
        <v>152</v>
      </c>
      <c r="BK487" s="46">
        <v>452.680417373853</v>
      </c>
      <c r="BL487" s="46">
        <v>638.00354527981403</v>
      </c>
      <c r="BM487" s="42" t="s">
        <v>152</v>
      </c>
      <c r="BN487" s="48">
        <v>0</v>
      </c>
      <c r="BO487" s="42" t="s">
        <v>155</v>
      </c>
      <c r="BP487" s="42" t="s">
        <v>152</v>
      </c>
      <c r="BQ487" s="46">
        <v>2251.3418059692099</v>
      </c>
      <c r="BR487" s="46">
        <v>57</v>
      </c>
      <c r="BS487" s="46">
        <v>5285</v>
      </c>
      <c r="BT487" s="46">
        <v>1841</v>
      </c>
      <c r="BU487" s="46">
        <v>2.8707224334600761</v>
      </c>
      <c r="BV487" s="46">
        <v>32.298245614035089</v>
      </c>
      <c r="BW487" s="46">
        <v>496</v>
      </c>
      <c r="BX487" s="46">
        <v>1345</v>
      </c>
      <c r="BY487" s="46">
        <v>1841</v>
      </c>
      <c r="BZ487" s="46">
        <v>1</v>
      </c>
      <c r="CA487" s="46">
        <v>0.26941879413362302</v>
      </c>
      <c r="CB487" s="46">
        <v>0.73058120586637698</v>
      </c>
      <c r="CC487" s="46">
        <v>0</v>
      </c>
      <c r="CD487" s="46">
        <v>0</v>
      </c>
      <c r="CE487" s="46">
        <v>0</v>
      </c>
      <c r="CF487" s="46">
        <v>0</v>
      </c>
      <c r="CG487" s="46">
        <v>0</v>
      </c>
      <c r="CH487" s="46">
        <v>0</v>
      </c>
      <c r="CI487" s="46">
        <v>3.4058656575212876</v>
      </c>
      <c r="CJ487" s="46">
        <v>0.3784295175023652</v>
      </c>
      <c r="CK487">
        <v>248</v>
      </c>
      <c r="CL487">
        <v>419.62</v>
      </c>
      <c r="CM487">
        <f t="shared" si="56"/>
        <v>171.62</v>
      </c>
      <c r="CN487">
        <v>5.86</v>
      </c>
      <c r="CO487">
        <v>9.4499999999999993</v>
      </c>
      <c r="CP487">
        <f t="shared" si="57"/>
        <v>3.589999999999999</v>
      </c>
      <c r="CQ487">
        <v>846.56</v>
      </c>
      <c r="CR487">
        <v>452.68</v>
      </c>
      <c r="CS487">
        <f t="shared" si="58"/>
        <v>393.87999999999994</v>
      </c>
      <c r="CT487" t="s">
        <v>152</v>
      </c>
      <c r="CU487">
        <v>64.53</v>
      </c>
      <c r="CV487">
        <v>246</v>
      </c>
      <c r="CW487" s="46">
        <v>1841</v>
      </c>
      <c r="CX487" s="46">
        <f t="shared" si="52"/>
        <v>90.677892449755575</v>
      </c>
      <c r="CY487" s="46">
        <v>171.62</v>
      </c>
      <c r="CZ487" s="46">
        <f t="shared" si="53"/>
        <v>100</v>
      </c>
      <c r="DA487" s="46">
        <f t="shared" si="54"/>
        <v>928.36502171299105</v>
      </c>
      <c r="DB487" s="46">
        <v>1868446.01</v>
      </c>
      <c r="DC487" s="46">
        <f t="shared" si="55"/>
        <v>44.710844570758518</v>
      </c>
      <c r="DD487" s="46">
        <v>89985.94</v>
      </c>
      <c r="DE487" s="995">
        <v>1841</v>
      </c>
      <c r="DF487" s="995">
        <v>91.058999999999997</v>
      </c>
      <c r="DG487" s="995">
        <v>164.6</v>
      </c>
      <c r="DH487" s="995">
        <v>100</v>
      </c>
      <c r="DI487" s="995">
        <v>2324.2939999999999</v>
      </c>
      <c r="DJ487" s="995">
        <v>4661612</v>
      </c>
      <c r="DK487" s="995">
        <v>111.78700000000001</v>
      </c>
      <c r="DL487" s="995">
        <v>224199.9</v>
      </c>
      <c r="DM487" s="995">
        <v>1841</v>
      </c>
      <c r="DN487" s="995">
        <v>91.465000000000003</v>
      </c>
      <c r="DO487" s="995">
        <v>157.1</v>
      </c>
      <c r="DP487" s="995">
        <v>100</v>
      </c>
      <c r="DQ487" s="995">
        <v>2293.6770000000001</v>
      </c>
      <c r="DR487" s="995">
        <v>4583077</v>
      </c>
      <c r="DS487" s="995">
        <v>110.322</v>
      </c>
      <c r="DT487" s="995">
        <v>220439</v>
      </c>
    </row>
    <row r="488" spans="1:124">
      <c r="A488" s="42" t="s">
        <v>94</v>
      </c>
      <c r="B488" s="42" t="s">
        <v>549</v>
      </c>
      <c r="C488" s="42" t="s">
        <v>703</v>
      </c>
      <c r="D488" s="42">
        <v>819344</v>
      </c>
      <c r="E488" s="42" t="s">
        <v>707</v>
      </c>
      <c r="F488" s="42" t="s">
        <v>149</v>
      </c>
      <c r="G488" s="42" t="s">
        <v>150</v>
      </c>
      <c r="H488" s="43" t="s">
        <v>150</v>
      </c>
      <c r="I488" s="44">
        <v>46</v>
      </c>
      <c r="J488" s="45">
        <v>195183.22879999899</v>
      </c>
      <c r="K488" s="46">
        <v>8134.9704750000001</v>
      </c>
      <c r="L488" s="47">
        <v>203318.19927499999</v>
      </c>
      <c r="M488" s="48">
        <v>3934063</v>
      </c>
      <c r="N488" s="49">
        <v>2839707</v>
      </c>
      <c r="O488" s="49">
        <v>1091392</v>
      </c>
      <c r="P488" s="49">
        <v>2964</v>
      </c>
      <c r="Q488" s="50">
        <v>9086.3726267281108</v>
      </c>
      <c r="R488" s="51">
        <v>11191.105627311499</v>
      </c>
      <c r="S488" s="49">
        <v>18476.293580237802</v>
      </c>
      <c r="T488" s="49">
        <v>3965.8770094224301</v>
      </c>
      <c r="U488" s="49">
        <f>IFERROR(INDEX('Rentabilidad datos'!$N$2:$N$61,MATCH($C488,'Rentabilidad datos'!$C$2:$C$61,0)),"")</f>
        <v>33633.276216971761</v>
      </c>
      <c r="V488" s="50">
        <f>IFERROR(INDEX('Rentabilidad datos'!$O$2:$O$61,MATCH($C488,'Rentabilidad datos'!$C$2:$C$61,0)),"")</f>
        <v>1159.7681454128194</v>
      </c>
      <c r="W488" s="51">
        <f>IFERROR(INDEX('Rentabilidad datos'!$M$2:$M$61,MATCH($C488,'Rentabilidad datos'!$C$2:$C$61,0)),"")</f>
        <v>2866.2444123371242</v>
      </c>
      <c r="X488" s="52">
        <f>IFERROR(INDEX('Rentabilidad datos'!$P$2:$P$61,MATCH($C488,'Rentabilidad datos'!$C$2:$C$61,0)),"")</f>
        <v>0.40462988446513848</v>
      </c>
      <c r="Y488" s="43" t="s">
        <v>171</v>
      </c>
      <c r="Z488" s="53">
        <v>86.156682027649794</v>
      </c>
      <c r="AA488" s="43">
        <v>2</v>
      </c>
      <c r="AB488" s="54">
        <v>0.96987567306370026</v>
      </c>
      <c r="AC488" s="55">
        <v>3.0124326936299697E-2</v>
      </c>
      <c r="AD488" s="752" t="e">
        <f>_xlfn.XLOOKUP(Table1[[#This Row],[Ruta]],#REF!,#REF!)</f>
        <v>#REF!</v>
      </c>
      <c r="AE488" s="752" t="e">
        <f>_xlfn.XLOOKUP(Table1[[#This Row],[Ruta]],#REF!,#REF!)</f>
        <v>#REF!</v>
      </c>
      <c r="AF488" s="752" t="e">
        <f>_xlfn.XLOOKUP(Table1[[#This Row],[Ruta]],#REF!,#REF!)</f>
        <v>#REF!</v>
      </c>
      <c r="AG488" s="752" t="e">
        <f>_xlfn.XLOOKUP(Table1[[#This Row],[Ruta]],#REF!,#REF!)</f>
        <v>#REF!</v>
      </c>
      <c r="AH488" s="52">
        <v>0.72182550203186879</v>
      </c>
      <c r="AI488" s="52">
        <v>0.27742107841180985</v>
      </c>
      <c r="AJ488" s="55">
        <v>7.5341955632128924E-4</v>
      </c>
      <c r="AK488" s="56">
        <v>37392</v>
      </c>
      <c r="AL488" s="44">
        <v>17618</v>
      </c>
      <c r="AM488" s="54">
        <v>0.47117030380830099</v>
      </c>
      <c r="AN488" s="55">
        <v>0.50225307463674596</v>
      </c>
      <c r="AO488" s="56">
        <v>1162.2469668172</v>
      </c>
      <c r="AP488" s="48">
        <v>581.12348340860001</v>
      </c>
      <c r="AQ488" s="55">
        <v>0.4867116892225235</v>
      </c>
      <c r="AR488" s="51">
        <v>3943485.72</v>
      </c>
      <c r="AS488" s="49">
        <v>130074.4782823515</v>
      </c>
      <c r="AT488" s="55">
        <v>3.2984645442649528E-2</v>
      </c>
      <c r="AU488" s="51">
        <v>91403.687441652437</v>
      </c>
      <c r="AV488" s="52">
        <v>4.1580402394226997E-4</v>
      </c>
      <c r="AW488" s="44">
        <v>398</v>
      </c>
      <c r="AX488" s="51">
        <v>223.832768759224</v>
      </c>
      <c r="AY488" s="49">
        <v>400.61</v>
      </c>
      <c r="AZ488" s="49">
        <v>176.77723124077602</v>
      </c>
      <c r="BA488" s="42" t="s">
        <v>150</v>
      </c>
      <c r="BB488" s="50">
        <v>1094270.1724324301</v>
      </c>
      <c r="BC488" s="57">
        <v>1185673.8598740825</v>
      </c>
      <c r="BD488" s="42" t="s">
        <v>150</v>
      </c>
      <c r="BE488" s="46">
        <v>86.156682027649794</v>
      </c>
      <c r="BF488" s="46">
        <v>83.628504672897193</v>
      </c>
      <c r="BG488" s="42" t="s">
        <v>150</v>
      </c>
      <c r="BH488" s="52">
        <v>0.47117030380830099</v>
      </c>
      <c r="BI488" s="52">
        <v>0.51187669456560203</v>
      </c>
      <c r="BJ488" s="42" t="s">
        <v>152</v>
      </c>
      <c r="BK488" s="46">
        <v>468.47511353686502</v>
      </c>
      <c r="BL488" s="46">
        <v>638.00354527981403</v>
      </c>
      <c r="BM488" s="42" t="s">
        <v>152</v>
      </c>
      <c r="BN488" s="48">
        <v>1</v>
      </c>
      <c r="BO488" s="42" t="s">
        <v>155</v>
      </c>
      <c r="BP488" s="42" t="s">
        <v>152</v>
      </c>
      <c r="BQ488" s="46">
        <v>0</v>
      </c>
      <c r="BR488" s="46">
        <v>48</v>
      </c>
      <c r="BS488" s="46">
        <v>6329</v>
      </c>
      <c r="BT488" s="46">
        <v>1860</v>
      </c>
      <c r="BU488" s="46">
        <v>3.4026881720430109</v>
      </c>
      <c r="BV488" s="46">
        <v>38.75</v>
      </c>
      <c r="BW488" s="46">
        <v>0</v>
      </c>
      <c r="BX488" s="46">
        <v>1860</v>
      </c>
      <c r="BY488" s="46">
        <v>1860</v>
      </c>
      <c r="BZ488" s="46">
        <v>1</v>
      </c>
      <c r="CA488" s="46">
        <v>0</v>
      </c>
      <c r="CB488" s="46">
        <v>1</v>
      </c>
      <c r="CC488" s="46">
        <v>0</v>
      </c>
      <c r="CD488" s="46">
        <v>0</v>
      </c>
      <c r="CE488" s="46">
        <v>0</v>
      </c>
      <c r="CF488" s="46">
        <v>0</v>
      </c>
      <c r="CG488" s="46">
        <v>0</v>
      </c>
      <c r="CH488" s="46">
        <v>0</v>
      </c>
      <c r="CI488" s="46">
        <v>3.7920682572286299</v>
      </c>
      <c r="CJ488" s="46">
        <v>0.15800284405119289</v>
      </c>
      <c r="CK488">
        <v>288</v>
      </c>
      <c r="CL488">
        <v>397.6</v>
      </c>
      <c r="CM488">
        <f t="shared" si="56"/>
        <v>109.60000000000002</v>
      </c>
      <c r="CN488">
        <v>7.01</v>
      </c>
      <c r="CO488">
        <v>9.4499999999999993</v>
      </c>
      <c r="CP488">
        <f t="shared" si="57"/>
        <v>2.4399999999999995</v>
      </c>
      <c r="CQ488">
        <v>846.56</v>
      </c>
      <c r="CR488">
        <v>468.48</v>
      </c>
      <c r="CS488">
        <f t="shared" si="58"/>
        <v>378.07999999999993</v>
      </c>
      <c r="CT488" t="s">
        <v>152</v>
      </c>
      <c r="CU488">
        <v>75.81</v>
      </c>
      <c r="CV488">
        <v>291</v>
      </c>
      <c r="CW488" s="46">
        <v>1860</v>
      </c>
      <c r="CX488" s="46">
        <f t="shared" si="52"/>
        <v>94.107526881720432</v>
      </c>
      <c r="CY488" s="46">
        <v>109.6</v>
      </c>
      <c r="CZ488" s="46">
        <f t="shared" si="53"/>
        <v>100</v>
      </c>
      <c r="DA488" s="46">
        <f t="shared" si="54"/>
        <v>749.32127335499592</v>
      </c>
      <c r="DB488" s="46">
        <v>1475863.18</v>
      </c>
      <c r="DC488" s="46">
        <f t="shared" si="55"/>
        <v>37.047461413484967</v>
      </c>
      <c r="DD488" s="46">
        <v>72968.679999999993</v>
      </c>
      <c r="DE488" s="995">
        <v>1860</v>
      </c>
      <c r="DF488" s="995">
        <v>94.632999999999996</v>
      </c>
      <c r="DG488" s="995">
        <v>99.8</v>
      </c>
      <c r="DH488" s="995">
        <v>100</v>
      </c>
      <c r="DI488" s="995">
        <v>2109.5610000000001</v>
      </c>
      <c r="DJ488" s="995">
        <v>4134387</v>
      </c>
      <c r="DK488" s="995">
        <v>105.05</v>
      </c>
      <c r="DL488" s="995">
        <v>205879.6</v>
      </c>
      <c r="DM488" s="995">
        <v>1860</v>
      </c>
      <c r="DN488" s="995">
        <v>95.326999999999998</v>
      </c>
      <c r="DO488" s="995">
        <v>86.9</v>
      </c>
      <c r="DP488" s="995">
        <v>100</v>
      </c>
      <c r="DQ488" s="995">
        <v>2056.3510000000001</v>
      </c>
      <c r="DR488" s="995">
        <v>4003542</v>
      </c>
      <c r="DS488" s="995">
        <v>102.46599999999999</v>
      </c>
      <c r="DT488" s="995">
        <v>199492.9</v>
      </c>
    </row>
    <row r="489" spans="1:124">
      <c r="A489" s="42" t="s">
        <v>94</v>
      </c>
      <c r="B489" s="42" t="s">
        <v>549</v>
      </c>
      <c r="C489" s="42" t="s">
        <v>703</v>
      </c>
      <c r="D489" s="42">
        <v>819345</v>
      </c>
      <c r="E489" s="42" t="s">
        <v>708</v>
      </c>
      <c r="F489" s="42" t="s">
        <v>149</v>
      </c>
      <c r="G489" s="42" t="s">
        <v>150</v>
      </c>
      <c r="H489" s="43" t="s">
        <v>150</v>
      </c>
      <c r="I489" s="44">
        <v>46</v>
      </c>
      <c r="J489" s="45">
        <v>200399.9032</v>
      </c>
      <c r="K489" s="46">
        <v>12563.635883000001</v>
      </c>
      <c r="L489" s="47">
        <v>212963.53908300001</v>
      </c>
      <c r="M489" s="48">
        <v>4490698</v>
      </c>
      <c r="N489" s="49">
        <v>2880788</v>
      </c>
      <c r="O489" s="49">
        <v>1607890</v>
      </c>
      <c r="P489" s="49">
        <v>2020</v>
      </c>
      <c r="Q489" s="50">
        <v>10411.520580046399</v>
      </c>
      <c r="R489" s="51">
        <v>11191.105627311499</v>
      </c>
      <c r="S489" s="49">
        <v>18476.293580237802</v>
      </c>
      <c r="T489" s="49">
        <v>3965.8770094224301</v>
      </c>
      <c r="U489" s="49">
        <f>IFERROR(INDEX('Rentabilidad datos'!$N$2:$N$61,MATCH($C489,'Rentabilidad datos'!$C$2:$C$61,0)),"")</f>
        <v>33633.276216971761</v>
      </c>
      <c r="V489" s="50">
        <f>IFERROR(INDEX('Rentabilidad datos'!$O$2:$O$61,MATCH($C489,'Rentabilidad datos'!$C$2:$C$61,0)),"")</f>
        <v>1159.7681454128194</v>
      </c>
      <c r="W489" s="51">
        <f>IFERROR(INDEX('Rentabilidad datos'!$M$2:$M$61,MATCH($C489,'Rentabilidad datos'!$C$2:$C$61,0)),"")</f>
        <v>2866.2444123371242</v>
      </c>
      <c r="X489" s="52">
        <f>IFERROR(INDEX('Rentabilidad datos'!$P$2:$P$61,MATCH($C489,'Rentabilidad datos'!$C$2:$C$61,0)),"")</f>
        <v>0.40462988446513848</v>
      </c>
      <c r="Y489" s="43" t="s">
        <v>171</v>
      </c>
      <c r="Z489" s="53">
        <v>100.87703016241301</v>
      </c>
      <c r="AA489" s="43">
        <v>2</v>
      </c>
      <c r="AB489" s="54">
        <v>0.97741353348633109</v>
      </c>
      <c r="AC489" s="55">
        <v>2.2586466513668923E-2</v>
      </c>
      <c r="AD489" s="752" t="e">
        <f>_xlfn.XLOOKUP(Table1[[#This Row],[Ruta]],#REF!,#REF!)</f>
        <v>#REF!</v>
      </c>
      <c r="AE489" s="752" t="e">
        <f>_xlfn.XLOOKUP(Table1[[#This Row],[Ruta]],#REF!,#REF!)</f>
        <v>#REF!</v>
      </c>
      <c r="AF489" s="752" t="e">
        <f>_xlfn.XLOOKUP(Table1[[#This Row],[Ruta]],#REF!,#REF!)</f>
        <v>#REF!</v>
      </c>
      <c r="AG489" s="752" t="e">
        <f>_xlfn.XLOOKUP(Table1[[#This Row],[Ruta]],#REF!,#REF!)</f>
        <v>#REF!</v>
      </c>
      <c r="AH489" s="52">
        <v>0.64150116529768864</v>
      </c>
      <c r="AI489" s="52">
        <v>0.35804901598816041</v>
      </c>
      <c r="AJ489" s="55">
        <v>4.4981871415089591E-4</v>
      </c>
      <c r="AK489" s="56">
        <v>43478</v>
      </c>
      <c r="AL489" s="44">
        <v>9428</v>
      </c>
      <c r="AM489" s="54">
        <v>0.216845301071806</v>
      </c>
      <c r="AN489" s="55">
        <v>0.50225307463674596</v>
      </c>
      <c r="AO489" s="56">
        <v>12408.959179056401</v>
      </c>
      <c r="AP489" s="48">
        <v>6204.4795895282004</v>
      </c>
      <c r="AQ489" s="55">
        <v>0.35954918785427575</v>
      </c>
      <c r="AR489" s="51">
        <v>4487365.37</v>
      </c>
      <c r="AS489" s="49">
        <v>2953093.6411668151</v>
      </c>
      <c r="AT489" s="55">
        <v>0.65809074984389226</v>
      </c>
      <c r="AU489" s="51">
        <v>2075146.8829820871</v>
      </c>
      <c r="AV489" s="52">
        <v>9.4400395472667761E-3</v>
      </c>
      <c r="AW489" s="44">
        <v>8</v>
      </c>
      <c r="AX489" s="51">
        <v>475.96153691132798</v>
      </c>
      <c r="AY489" s="49">
        <v>400.61</v>
      </c>
      <c r="AZ489" s="49">
        <v>0</v>
      </c>
      <c r="BA489" s="42" t="s">
        <v>152</v>
      </c>
      <c r="BB489" s="50">
        <v>0</v>
      </c>
      <c r="BC489" s="57">
        <v>2075146.8829820871</v>
      </c>
      <c r="BD489" s="42" t="s">
        <v>150</v>
      </c>
      <c r="BE489" s="46">
        <v>100.87703016241301</v>
      </c>
      <c r="BF489" s="46">
        <v>83.628504672897193</v>
      </c>
      <c r="BG489" s="42" t="s">
        <v>150</v>
      </c>
      <c r="BH489" s="52">
        <v>0.216845301071806</v>
      </c>
      <c r="BI489" s="52">
        <v>0.51187669456560203</v>
      </c>
      <c r="BJ489" s="42" t="s">
        <v>152</v>
      </c>
      <c r="BK489" s="46">
        <v>494.114939867749</v>
      </c>
      <c r="BL489" s="46">
        <v>638.00354527981403</v>
      </c>
      <c r="BM489" s="42" t="s">
        <v>152</v>
      </c>
      <c r="BN489" s="48">
        <v>1</v>
      </c>
      <c r="BO489" s="42" t="s">
        <v>155</v>
      </c>
      <c r="BP489" s="42" t="s">
        <v>152</v>
      </c>
      <c r="BQ489" s="46">
        <v>6551.8904742328696</v>
      </c>
      <c r="BR489" s="46">
        <v>101</v>
      </c>
      <c r="BS489" s="46">
        <v>7667</v>
      </c>
      <c r="BT489" s="46">
        <v>2459</v>
      </c>
      <c r="BU489" s="46">
        <v>3.1179341195607972</v>
      </c>
      <c r="BV489" s="46">
        <v>24.346534653465348</v>
      </c>
      <c r="BW489" s="46">
        <v>0</v>
      </c>
      <c r="BX489" s="46">
        <v>2105</v>
      </c>
      <c r="BY489" s="46">
        <v>2105</v>
      </c>
      <c r="BZ489" s="46">
        <v>0.85603904026026845</v>
      </c>
      <c r="CA489" s="46">
        <v>0</v>
      </c>
      <c r="CB489" s="46">
        <v>0.85603904026026845</v>
      </c>
      <c r="CC489" s="46">
        <v>0.14396095973973161</v>
      </c>
      <c r="CD489" s="46">
        <v>0</v>
      </c>
      <c r="CE489" s="46">
        <v>0</v>
      </c>
      <c r="CF489" s="46">
        <v>0</v>
      </c>
      <c r="CG489" s="46">
        <v>0</v>
      </c>
      <c r="CH489" s="46">
        <v>0</v>
      </c>
      <c r="CI489" s="46">
        <v>3.1302986826659711</v>
      </c>
      <c r="CJ489" s="46">
        <v>0.52171644711099507</v>
      </c>
      <c r="CK489">
        <v>366</v>
      </c>
      <c r="CL489">
        <v>509.19</v>
      </c>
      <c r="CM489">
        <f t="shared" si="56"/>
        <v>143.19</v>
      </c>
      <c r="CN489">
        <v>9.98</v>
      </c>
      <c r="CO489">
        <v>9.4499999999999993</v>
      </c>
      <c r="CP489">
        <f t="shared" si="57"/>
        <v>-0.53000000000000114</v>
      </c>
      <c r="CQ489">
        <v>846.56</v>
      </c>
      <c r="CR489">
        <v>494.11</v>
      </c>
      <c r="CS489">
        <f t="shared" si="58"/>
        <v>352.44999999999993</v>
      </c>
      <c r="CT489" t="s">
        <v>150</v>
      </c>
      <c r="CU489">
        <v>107.91</v>
      </c>
      <c r="CV489">
        <v>324</v>
      </c>
      <c r="CW489" s="46">
        <v>2105</v>
      </c>
      <c r="CX489" s="46">
        <f t="shared" si="52"/>
        <v>79.78080520536804</v>
      </c>
      <c r="CY489" s="46">
        <v>143.19</v>
      </c>
      <c r="CZ489" s="46">
        <f t="shared" si="53"/>
        <v>85.603904026026839</v>
      </c>
      <c r="DA489" s="46">
        <f t="shared" si="54"/>
        <v>847.42472302176247</v>
      </c>
      <c r="DB489" s="46">
        <v>2205160.14</v>
      </c>
      <c r="DC489" s="46">
        <f t="shared" si="55"/>
        <v>40.330955848727413</v>
      </c>
      <c r="DD489" s="46">
        <v>104948.81</v>
      </c>
      <c r="DE489" s="995">
        <v>2105</v>
      </c>
      <c r="DF489" s="995">
        <v>80.369</v>
      </c>
      <c r="DG489" s="995">
        <v>128.69999999999999</v>
      </c>
      <c r="DH489" s="995">
        <v>85.603999999999999</v>
      </c>
      <c r="DI489" s="995">
        <v>2220.174</v>
      </c>
      <c r="DJ489" s="995">
        <v>5745216</v>
      </c>
      <c r="DK489" s="995">
        <v>104.38</v>
      </c>
      <c r="DL489" s="995">
        <v>270107.7</v>
      </c>
      <c r="DM489" s="995">
        <v>2105</v>
      </c>
      <c r="DN489" s="995">
        <v>80.676000000000002</v>
      </c>
      <c r="DO489" s="995">
        <v>121.2</v>
      </c>
      <c r="DP489" s="995">
        <v>85.603999999999999</v>
      </c>
      <c r="DQ489" s="995">
        <v>2196.4299999999998</v>
      </c>
      <c r="DR489" s="995">
        <v>5667191</v>
      </c>
      <c r="DS489" s="995">
        <v>103.212</v>
      </c>
      <c r="DT489" s="995">
        <v>266305.7</v>
      </c>
    </row>
    <row r="490" spans="1:124">
      <c r="A490" s="42" t="s">
        <v>94</v>
      </c>
      <c r="B490" s="42" t="s">
        <v>549</v>
      </c>
      <c r="C490" s="42" t="s">
        <v>703</v>
      </c>
      <c r="D490" s="42">
        <v>819346</v>
      </c>
      <c r="E490" s="42" t="s">
        <v>709</v>
      </c>
      <c r="F490" s="42" t="s">
        <v>149</v>
      </c>
      <c r="G490" s="42" t="s">
        <v>150</v>
      </c>
      <c r="H490" s="43" t="s">
        <v>150</v>
      </c>
      <c r="I490" s="44">
        <v>46</v>
      </c>
      <c r="J490" s="45">
        <v>265289.55599999899</v>
      </c>
      <c r="K490" s="46">
        <v>15733.36779</v>
      </c>
      <c r="L490" s="47">
        <v>281022.92378999898</v>
      </c>
      <c r="M490" s="48">
        <v>5921214</v>
      </c>
      <c r="N490" s="49">
        <v>3846887</v>
      </c>
      <c r="O490" s="49">
        <v>2073149</v>
      </c>
      <c r="P490" s="49">
        <v>1178</v>
      </c>
      <c r="Q490" s="50">
        <v>13412.056582568801</v>
      </c>
      <c r="R490" s="51">
        <v>11191.105627311499</v>
      </c>
      <c r="S490" s="49">
        <v>18476.293580237802</v>
      </c>
      <c r="T490" s="49">
        <v>3965.8770094224301</v>
      </c>
      <c r="U490" s="49">
        <f>IFERROR(INDEX('Rentabilidad datos'!$N$2:$N$61,MATCH($C490,'Rentabilidad datos'!$C$2:$C$61,0)),"")</f>
        <v>33633.276216971761</v>
      </c>
      <c r="V490" s="50">
        <f>IFERROR(INDEX('Rentabilidad datos'!$O$2:$O$61,MATCH($C490,'Rentabilidad datos'!$C$2:$C$61,0)),"")</f>
        <v>1159.7681454128194</v>
      </c>
      <c r="W490" s="51">
        <f>IFERROR(INDEX('Rentabilidad datos'!$M$2:$M$61,MATCH($C490,'Rentabilidad datos'!$C$2:$C$61,0)),"")</f>
        <v>2866.2444123371242</v>
      </c>
      <c r="X490" s="52">
        <f>IFERROR(INDEX('Rentabilidad datos'!$P$2:$P$61,MATCH($C490,'Rentabilidad datos'!$C$2:$C$61,0)),"")</f>
        <v>0.40462988446513848</v>
      </c>
      <c r="Y490" s="43" t="s">
        <v>171</v>
      </c>
      <c r="Z490" s="53">
        <v>77.825688073394502</v>
      </c>
      <c r="AA490" s="43">
        <v>2</v>
      </c>
      <c r="AB490" s="54">
        <v>0.9283402018572543</v>
      </c>
      <c r="AC490" s="55">
        <v>7.1659798142745729E-2</v>
      </c>
      <c r="AD490" s="752" t="e">
        <f>_xlfn.XLOOKUP(Table1[[#This Row],[Ruta]],#REF!,#REF!)</f>
        <v>#REF!</v>
      </c>
      <c r="AE490" s="752" t="e">
        <f>_xlfn.XLOOKUP(Table1[[#This Row],[Ruta]],#REF!,#REF!)</f>
        <v>#REF!</v>
      </c>
      <c r="AF490" s="752" t="e">
        <f>_xlfn.XLOOKUP(Table1[[#This Row],[Ruta]],#REF!,#REF!)</f>
        <v>#REF!</v>
      </c>
      <c r="AG490" s="752" t="e">
        <f>_xlfn.XLOOKUP(Table1[[#This Row],[Ruta]],#REF!,#REF!)</f>
        <v>#REF!</v>
      </c>
      <c r="AH490" s="52">
        <v>0.64967876519916357</v>
      </c>
      <c r="AI490" s="52">
        <v>0.35012228911165855</v>
      </c>
      <c r="AJ490" s="55">
        <v>1.9894568917792871E-4</v>
      </c>
      <c r="AK490" s="56">
        <v>33932</v>
      </c>
      <c r="AL490" s="44">
        <v>17369</v>
      </c>
      <c r="AM490" s="54">
        <v>0.51187669456560203</v>
      </c>
      <c r="AN490" s="55">
        <v>0.50225307463674596</v>
      </c>
      <c r="AO490" s="56">
        <v>0</v>
      </c>
      <c r="AP490" s="48">
        <v>0</v>
      </c>
      <c r="AQ490" s="55">
        <v>0.51187669456560181</v>
      </c>
      <c r="AR490" s="51">
        <v>5847656.6699999999</v>
      </c>
      <c r="AS490" s="49">
        <v>0</v>
      </c>
      <c r="AT490" s="55">
        <v>0</v>
      </c>
      <c r="AU490" s="51">
        <v>0</v>
      </c>
      <c r="AV490" s="52">
        <v>0</v>
      </c>
      <c r="AW490" s="44">
        <v>490</v>
      </c>
      <c r="AX490" s="51">
        <v>336.67204041683499</v>
      </c>
      <c r="AY490" s="49">
        <v>400.61</v>
      </c>
      <c r="AZ490" s="49">
        <v>63.937959583165025</v>
      </c>
      <c r="BA490" s="42" t="s">
        <v>150</v>
      </c>
      <c r="BB490" s="50">
        <v>390189.17459459242</v>
      </c>
      <c r="BC490" s="57">
        <v>390189.17459459242</v>
      </c>
      <c r="BD490" s="42" t="s">
        <v>150</v>
      </c>
      <c r="BE490" s="46">
        <v>77.825688073394502</v>
      </c>
      <c r="BF490" s="46">
        <v>83.628504672897193</v>
      </c>
      <c r="BG490" s="42" t="s">
        <v>152</v>
      </c>
      <c r="BH490" s="52">
        <v>0.51187669456560203</v>
      </c>
      <c r="BI490" s="52">
        <v>0.51187669456560203</v>
      </c>
      <c r="BJ490" s="42" t="s">
        <v>150</v>
      </c>
      <c r="BK490" s="46">
        <v>644.54799034403504</v>
      </c>
      <c r="BL490" s="46">
        <v>638.00354527981403</v>
      </c>
      <c r="BM490" s="42" t="s">
        <v>150</v>
      </c>
      <c r="BN490" s="48">
        <v>2</v>
      </c>
      <c r="BO490" s="42" t="s">
        <v>161</v>
      </c>
      <c r="BP490" s="42" t="s">
        <v>152</v>
      </c>
      <c r="BQ490" s="46">
        <v>1765.3762998040399</v>
      </c>
      <c r="BR490" s="46">
        <v>92</v>
      </c>
      <c r="BS490" s="46">
        <v>10835</v>
      </c>
      <c r="BT490" s="46">
        <v>3214</v>
      </c>
      <c r="BU490" s="46">
        <v>3.3711885500933416</v>
      </c>
      <c r="BV490" s="46">
        <v>34.934782608695649</v>
      </c>
      <c r="BW490" s="46">
        <v>120</v>
      </c>
      <c r="BX490" s="46">
        <v>1054</v>
      </c>
      <c r="BY490" s="46">
        <v>1174</v>
      </c>
      <c r="BZ490" s="46">
        <v>0.36527691350342251</v>
      </c>
      <c r="CA490" s="46">
        <v>3.7336652146857503E-2</v>
      </c>
      <c r="CB490" s="46">
        <v>0.32794026135656501</v>
      </c>
      <c r="CC490" s="46">
        <v>0.35812072184194149</v>
      </c>
      <c r="CD490" s="46">
        <v>1.2445550715619171E-2</v>
      </c>
      <c r="CE490" s="46">
        <v>0</v>
      </c>
      <c r="CF490" s="46">
        <v>0.2641568139390168</v>
      </c>
      <c r="CG490" s="46">
        <v>0</v>
      </c>
      <c r="CH490" s="46">
        <v>0</v>
      </c>
      <c r="CI490" s="46">
        <v>4.3377941855099218</v>
      </c>
      <c r="CJ490" s="46">
        <v>0.55376095985233031</v>
      </c>
      <c r="CK490">
        <v>308</v>
      </c>
      <c r="CL490">
        <v>333.54</v>
      </c>
      <c r="CM490">
        <f t="shared" si="56"/>
        <v>25.54000000000002</v>
      </c>
      <c r="CN490">
        <v>8.58</v>
      </c>
      <c r="CO490">
        <v>9.4499999999999993</v>
      </c>
      <c r="CP490">
        <f t="shared" si="57"/>
        <v>0.86999999999999922</v>
      </c>
      <c r="CQ490">
        <v>846.56</v>
      </c>
      <c r="CR490">
        <v>644.54999999999995</v>
      </c>
      <c r="CS490">
        <f t="shared" si="58"/>
        <v>202.01</v>
      </c>
      <c r="CT490" t="s">
        <v>152</v>
      </c>
      <c r="CU490">
        <v>95.21</v>
      </c>
      <c r="CV490">
        <v>141</v>
      </c>
      <c r="CW490" s="46">
        <v>1174</v>
      </c>
      <c r="CX490" s="46">
        <f t="shared" si="52"/>
        <v>35.733042937149975</v>
      </c>
      <c r="CY490" s="46">
        <v>25.54</v>
      </c>
      <c r="CZ490" s="46">
        <f t="shared" si="53"/>
        <v>36.527691350342252</v>
      </c>
      <c r="DA490" s="46">
        <f t="shared" si="54"/>
        <v>78.689434302400954</v>
      </c>
      <c r="DB490" s="46">
        <v>254917.57</v>
      </c>
      <c r="DC490" s="46">
        <f t="shared" si="55"/>
        <v>3.5807182501219308</v>
      </c>
      <c r="DD490" s="46">
        <v>11599.88</v>
      </c>
      <c r="DE490" s="995">
        <v>1174</v>
      </c>
      <c r="DF490" s="995">
        <v>35.564</v>
      </c>
      <c r="DG490" s="995">
        <v>31</v>
      </c>
      <c r="DH490" s="995">
        <v>36.527999999999999</v>
      </c>
      <c r="DI490" s="995">
        <v>1433.2260000000001</v>
      </c>
      <c r="DJ490" s="995">
        <v>4650784</v>
      </c>
      <c r="DK490" s="995">
        <v>66.91</v>
      </c>
      <c r="DL490" s="995">
        <v>217122</v>
      </c>
      <c r="DM490" s="995">
        <v>1174</v>
      </c>
      <c r="DN490" s="995">
        <v>35.594000000000001</v>
      </c>
      <c r="DO490" s="995">
        <v>30</v>
      </c>
      <c r="DP490" s="995">
        <v>36.527999999999999</v>
      </c>
      <c r="DQ490" s="995">
        <v>1430.7260000000001</v>
      </c>
      <c r="DR490" s="995">
        <v>4641298</v>
      </c>
      <c r="DS490" s="995">
        <v>66.796000000000006</v>
      </c>
      <c r="DT490" s="995">
        <v>216685.9</v>
      </c>
    </row>
    <row r="491" spans="1:124">
      <c r="A491" s="42" t="s">
        <v>94</v>
      </c>
      <c r="B491" s="42" t="s">
        <v>549</v>
      </c>
      <c r="C491" s="42" t="s">
        <v>703</v>
      </c>
      <c r="D491" s="42">
        <v>819347</v>
      </c>
      <c r="E491" s="42" t="s">
        <v>710</v>
      </c>
      <c r="F491" s="42" t="s">
        <v>149</v>
      </c>
      <c r="G491" s="42" t="s">
        <v>150</v>
      </c>
      <c r="H491" s="43" t="s">
        <v>150</v>
      </c>
      <c r="I491" s="44">
        <v>46</v>
      </c>
      <c r="J491" s="45">
        <v>185102.12</v>
      </c>
      <c r="K491" s="46">
        <v>10699.991775</v>
      </c>
      <c r="L491" s="47">
        <v>195802.111775</v>
      </c>
      <c r="M491" s="48">
        <v>4152730</v>
      </c>
      <c r="N491" s="49">
        <v>2714365</v>
      </c>
      <c r="O491" s="49">
        <v>1437180</v>
      </c>
      <c r="P491" s="49">
        <v>1185</v>
      </c>
      <c r="Q491" s="50">
        <v>9566.9651732101593</v>
      </c>
      <c r="R491" s="51">
        <v>11191.105627311499</v>
      </c>
      <c r="S491" s="49">
        <v>18476.293580237802</v>
      </c>
      <c r="T491" s="49">
        <v>3965.8770094224301</v>
      </c>
      <c r="U491" s="49">
        <f>IFERROR(INDEX('Rentabilidad datos'!$N$2:$N$61,MATCH($C491,'Rentabilidad datos'!$C$2:$C$61,0)),"")</f>
        <v>33633.276216971761</v>
      </c>
      <c r="V491" s="50">
        <f>IFERROR(INDEX('Rentabilidad datos'!$O$2:$O$61,MATCH($C491,'Rentabilidad datos'!$C$2:$C$61,0)),"")</f>
        <v>1159.7681454128194</v>
      </c>
      <c r="W491" s="51">
        <f>IFERROR(INDEX('Rentabilidad datos'!$M$2:$M$61,MATCH($C491,'Rentabilidad datos'!$C$2:$C$61,0)),"")</f>
        <v>2866.2444123371242</v>
      </c>
      <c r="X491" s="52">
        <f>IFERROR(INDEX('Rentabilidad datos'!$P$2:$P$61,MATCH($C491,'Rentabilidad datos'!$C$2:$C$61,0)),"")</f>
        <v>0.40462988446513848</v>
      </c>
      <c r="Y491" s="43" t="s">
        <v>171</v>
      </c>
      <c r="Z491" s="53">
        <v>69.108545034642006</v>
      </c>
      <c r="AA491" s="43">
        <v>2</v>
      </c>
      <c r="AB491" s="54">
        <v>0.95808877533574299</v>
      </c>
      <c r="AC491" s="55">
        <v>4.1911224664257007E-2</v>
      </c>
      <c r="AD491" s="752" t="e">
        <f>_xlfn.XLOOKUP(Table1[[#This Row],[Ruta]],#REF!,#REF!)</f>
        <v>#REF!</v>
      </c>
      <c r="AE491" s="752" t="e">
        <f>_xlfn.XLOOKUP(Table1[[#This Row],[Ruta]],#REF!,#REF!)</f>
        <v>#REF!</v>
      </c>
      <c r="AF491" s="752" t="e">
        <f>_xlfn.XLOOKUP(Table1[[#This Row],[Ruta]],#REF!,#REF!)</f>
        <v>#REF!</v>
      </c>
      <c r="AG491" s="752" t="e">
        <f>_xlfn.XLOOKUP(Table1[[#This Row],[Ruta]],#REF!,#REF!)</f>
        <v>#REF!</v>
      </c>
      <c r="AH491" s="52">
        <v>0.65363387458370759</v>
      </c>
      <c r="AI491" s="52">
        <v>0.34608077096271611</v>
      </c>
      <c r="AJ491" s="55">
        <v>2.853544535763221E-4</v>
      </c>
      <c r="AK491" s="56">
        <v>29924</v>
      </c>
      <c r="AL491" s="44">
        <v>14014</v>
      </c>
      <c r="AM491" s="54">
        <v>0.46831974334982002</v>
      </c>
      <c r="AN491" s="55">
        <v>0.50225307463674596</v>
      </c>
      <c r="AO491" s="56">
        <v>1015.42100542998</v>
      </c>
      <c r="AP491" s="48">
        <v>507.71050271499001</v>
      </c>
      <c r="AQ491" s="55">
        <v>0.48528640899328263</v>
      </c>
      <c r="AR491" s="51">
        <v>4142495.92</v>
      </c>
      <c r="AS491" s="49">
        <v>150077.68560282551</v>
      </c>
      <c r="AT491" s="55">
        <v>3.6228807101112488E-2</v>
      </c>
      <c r="AU491" s="51">
        <v>105459.99528847203</v>
      </c>
      <c r="AV491" s="52">
        <v>4.7974749852265636E-4</v>
      </c>
      <c r="AW491" s="44">
        <v>392</v>
      </c>
      <c r="AX491" s="51">
        <v>295.59696874553998</v>
      </c>
      <c r="AY491" s="49">
        <v>400.61</v>
      </c>
      <c r="AZ491" s="49">
        <v>105.01303125446003</v>
      </c>
      <c r="BA491" s="42" t="s">
        <v>150</v>
      </c>
      <c r="BB491" s="50">
        <v>517067.13675675797</v>
      </c>
      <c r="BC491" s="57">
        <v>622527.13204523001</v>
      </c>
      <c r="BD491" s="42" t="s">
        <v>150</v>
      </c>
      <c r="BE491" s="46">
        <v>69.108545034642006</v>
      </c>
      <c r="BF491" s="46">
        <v>83.628504672897193</v>
      </c>
      <c r="BG491" s="42" t="s">
        <v>152</v>
      </c>
      <c r="BH491" s="52">
        <v>0.46831974334982002</v>
      </c>
      <c r="BI491" s="52">
        <v>0.51187669456560203</v>
      </c>
      <c r="BJ491" s="42" t="s">
        <v>152</v>
      </c>
      <c r="BK491" s="46">
        <v>452.19887245958398</v>
      </c>
      <c r="BL491" s="46">
        <v>638.00354527981403</v>
      </c>
      <c r="BM491" s="42" t="s">
        <v>152</v>
      </c>
      <c r="BN491" s="48">
        <v>0</v>
      </c>
      <c r="BO491" s="42" t="s">
        <v>155</v>
      </c>
      <c r="BP491" s="42" t="s">
        <v>152</v>
      </c>
      <c r="BQ491" s="46">
        <v>4984.6003070806401</v>
      </c>
      <c r="BR491" s="46">
        <v>93</v>
      </c>
      <c r="BS491" s="46">
        <v>6811</v>
      </c>
      <c r="BT491" s="46">
        <v>2187</v>
      </c>
      <c r="BU491" s="46">
        <v>3.1143118427069045</v>
      </c>
      <c r="BV491" s="46">
        <v>23.516129032258064</v>
      </c>
      <c r="BW491" s="46">
        <v>0</v>
      </c>
      <c r="BX491" s="46">
        <v>986</v>
      </c>
      <c r="BY491" s="46">
        <v>986</v>
      </c>
      <c r="BZ491" s="46">
        <v>0.45084590763603111</v>
      </c>
      <c r="CA491" s="46">
        <v>0</v>
      </c>
      <c r="CB491" s="46">
        <v>0.45084590763603111</v>
      </c>
      <c r="CC491" s="46">
        <v>0.22542295381801561</v>
      </c>
      <c r="CD491" s="46">
        <v>0.32373113854595342</v>
      </c>
      <c r="CE491" s="46">
        <v>0</v>
      </c>
      <c r="CF491" s="46">
        <v>0</v>
      </c>
      <c r="CG491" s="46">
        <v>0</v>
      </c>
      <c r="CH491" s="46">
        <v>0</v>
      </c>
      <c r="CI491" s="46">
        <v>4.4046395536631922</v>
      </c>
      <c r="CJ491" s="46">
        <v>0.58728527382175888</v>
      </c>
      <c r="CK491">
        <v>263</v>
      </c>
      <c r="CL491">
        <v>331.5</v>
      </c>
      <c r="CM491">
        <f t="shared" si="56"/>
        <v>68.5</v>
      </c>
      <c r="CN491">
        <v>6.65</v>
      </c>
      <c r="CO491">
        <v>9.4499999999999993</v>
      </c>
      <c r="CP491">
        <f t="shared" si="57"/>
        <v>2.7999999999999989</v>
      </c>
      <c r="CQ491">
        <v>846.56</v>
      </c>
      <c r="CR491">
        <v>452.2</v>
      </c>
      <c r="CS491">
        <f t="shared" si="58"/>
        <v>394.35999999999996</v>
      </c>
      <c r="CT491" t="s">
        <v>152</v>
      </c>
      <c r="CU491">
        <v>70.400000000000006</v>
      </c>
      <c r="CV491">
        <v>191</v>
      </c>
      <c r="CW491" s="46">
        <v>986</v>
      </c>
      <c r="CX491" s="46">
        <f t="shared" si="52"/>
        <v>41.952446273433928</v>
      </c>
      <c r="CY491" s="46">
        <v>68.5</v>
      </c>
      <c r="CZ491" s="46">
        <f t="shared" si="53"/>
        <v>45.08459076360311</v>
      </c>
      <c r="DA491" s="46">
        <f t="shared" si="54"/>
        <v>448.30400354688544</v>
      </c>
      <c r="DB491" s="46">
        <v>1011149.68</v>
      </c>
      <c r="DC491" s="46">
        <f t="shared" si="55"/>
        <v>21.513531367767676</v>
      </c>
      <c r="DD491" s="46">
        <v>48523.77</v>
      </c>
      <c r="DE491" s="995">
        <v>986</v>
      </c>
      <c r="DF491" s="995">
        <v>42.232999999999997</v>
      </c>
      <c r="DG491" s="995">
        <v>62.4</v>
      </c>
      <c r="DH491" s="995">
        <v>45.085000000000001</v>
      </c>
      <c r="DI491" s="995">
        <v>1802.7760000000001</v>
      </c>
      <c r="DJ491" s="995">
        <v>4055085</v>
      </c>
      <c r="DK491" s="995">
        <v>82.298000000000002</v>
      </c>
      <c r="DL491" s="995">
        <v>185118.4</v>
      </c>
      <c r="DM491" s="995">
        <v>986</v>
      </c>
      <c r="DN491" s="995">
        <v>42.643000000000001</v>
      </c>
      <c r="DO491" s="995">
        <v>53.4</v>
      </c>
      <c r="DP491" s="995">
        <v>45.085000000000001</v>
      </c>
      <c r="DQ491" s="995">
        <v>1767.7139999999999</v>
      </c>
      <c r="DR491" s="995">
        <v>3960380</v>
      </c>
      <c r="DS491" s="995">
        <v>80.614000000000004</v>
      </c>
      <c r="DT491" s="995">
        <v>180606.3</v>
      </c>
    </row>
    <row r="492" spans="1:124">
      <c r="A492" s="42" t="s">
        <v>94</v>
      </c>
      <c r="B492" s="42" t="s">
        <v>549</v>
      </c>
      <c r="C492" s="42" t="s">
        <v>703</v>
      </c>
      <c r="D492" s="42">
        <v>819348</v>
      </c>
      <c r="E492" s="42" t="s">
        <v>711</v>
      </c>
      <c r="F492" s="42" t="s">
        <v>149</v>
      </c>
      <c r="G492" s="42" t="s">
        <v>150</v>
      </c>
      <c r="H492" s="43" t="s">
        <v>150</v>
      </c>
      <c r="I492" s="44">
        <v>46</v>
      </c>
      <c r="J492" s="45">
        <v>183457.15919999999</v>
      </c>
      <c r="K492" s="46">
        <v>11751.705669999999</v>
      </c>
      <c r="L492" s="47">
        <v>195208.86486999999</v>
      </c>
      <c r="M492" s="48">
        <v>4302944</v>
      </c>
      <c r="N492" s="49">
        <v>2662445</v>
      </c>
      <c r="O492" s="49">
        <v>1637120</v>
      </c>
      <c r="P492" s="49">
        <v>3379</v>
      </c>
      <c r="Q492" s="50">
        <v>9861.37917431192</v>
      </c>
      <c r="R492" s="51">
        <v>11191.105627311499</v>
      </c>
      <c r="S492" s="49">
        <v>18476.293580237802</v>
      </c>
      <c r="T492" s="49">
        <v>3965.8770094224301</v>
      </c>
      <c r="U492" s="49">
        <f>IFERROR(INDEX('Rentabilidad datos'!$N$2:$N$61,MATCH($C492,'Rentabilidad datos'!$C$2:$C$61,0)),"")</f>
        <v>33633.276216971761</v>
      </c>
      <c r="V492" s="50">
        <f>IFERROR(INDEX('Rentabilidad datos'!$O$2:$O$61,MATCH($C492,'Rentabilidad datos'!$C$2:$C$61,0)),"")</f>
        <v>1159.7681454128194</v>
      </c>
      <c r="W492" s="51">
        <f>IFERROR(INDEX('Rentabilidad datos'!$M$2:$M$61,MATCH($C492,'Rentabilidad datos'!$C$2:$C$61,0)),"")</f>
        <v>2866.2444123371242</v>
      </c>
      <c r="X492" s="52">
        <f>IFERROR(INDEX('Rentabilidad datos'!$P$2:$P$61,MATCH($C492,'Rentabilidad datos'!$C$2:$C$61,0)),"")</f>
        <v>0.40462988446513848</v>
      </c>
      <c r="Y492" s="43" t="s">
        <v>171</v>
      </c>
      <c r="Z492" s="53">
        <v>70.220183486238497</v>
      </c>
      <c r="AA492" s="43">
        <v>2</v>
      </c>
      <c r="AB492" s="54">
        <v>0.9779360363509263</v>
      </c>
      <c r="AC492" s="55">
        <v>2.2063963649073752E-2</v>
      </c>
      <c r="AD492" s="752" t="e">
        <f>_xlfn.XLOOKUP(Table1[[#This Row],[Ruta]],#REF!,#REF!)</f>
        <v>#REF!</v>
      </c>
      <c r="AE492" s="752" t="e">
        <f>_xlfn.XLOOKUP(Table1[[#This Row],[Ruta]],#REF!,#REF!)</f>
        <v>#REF!</v>
      </c>
      <c r="AF492" s="752" t="e">
        <f>_xlfn.XLOOKUP(Table1[[#This Row],[Ruta]],#REF!,#REF!)</f>
        <v>#REF!</v>
      </c>
      <c r="AG492" s="752" t="e">
        <f>_xlfn.XLOOKUP(Table1[[#This Row],[Ruta]],#REF!,#REF!)</f>
        <v>#REF!</v>
      </c>
      <c r="AH492" s="52">
        <v>0.61874962816155632</v>
      </c>
      <c r="AI492" s="52">
        <v>0.38046509552529617</v>
      </c>
      <c r="AJ492" s="55">
        <v>7.852763131474637E-4</v>
      </c>
      <c r="AK492" s="56">
        <v>30616</v>
      </c>
      <c r="AL492" s="44">
        <v>11855</v>
      </c>
      <c r="AM492" s="54">
        <v>0.38721583485759098</v>
      </c>
      <c r="AN492" s="55">
        <v>0.50225307463674596</v>
      </c>
      <c r="AO492" s="56">
        <v>3521.9801330786099</v>
      </c>
      <c r="AP492" s="48">
        <v>1760.990066539305</v>
      </c>
      <c r="AQ492" s="55">
        <v>0.44473445474716833</v>
      </c>
      <c r="AR492" s="51">
        <v>4299561.32</v>
      </c>
      <c r="AS492" s="49">
        <v>638674.38000815001</v>
      </c>
      <c r="AT492" s="55">
        <v>0.14854407984304546</v>
      </c>
      <c r="AU492" s="51">
        <v>448798.21297870018</v>
      </c>
      <c r="AV492" s="52">
        <v>2.0416255417897368E-3</v>
      </c>
      <c r="AW492" s="44">
        <v>164</v>
      </c>
      <c r="AX492" s="51">
        <v>362.67914972585402</v>
      </c>
      <c r="AY492" s="49">
        <v>400.61</v>
      </c>
      <c r="AZ492" s="49">
        <v>37.930850274145996</v>
      </c>
      <c r="BA492" s="42" t="s">
        <v>150</v>
      </c>
      <c r="BB492" s="50">
        <v>157992.2429729733</v>
      </c>
      <c r="BC492" s="57">
        <v>606790.45595167344</v>
      </c>
      <c r="BD492" s="42" t="s">
        <v>150</v>
      </c>
      <c r="BE492" s="46">
        <v>70.220183486238497</v>
      </c>
      <c r="BF492" s="46">
        <v>83.628504672897193</v>
      </c>
      <c r="BG492" s="42" t="s">
        <v>152</v>
      </c>
      <c r="BH492" s="52">
        <v>0.38721583485759098</v>
      </c>
      <c r="BI492" s="52">
        <v>0.51187669456560203</v>
      </c>
      <c r="BJ492" s="42" t="s">
        <v>152</v>
      </c>
      <c r="BK492" s="46">
        <v>447.726754288991</v>
      </c>
      <c r="BL492" s="46">
        <v>638.00354527981403</v>
      </c>
      <c r="BM492" s="42" t="s">
        <v>152</v>
      </c>
      <c r="BN492" s="48">
        <v>0</v>
      </c>
      <c r="BO492" s="42" t="s">
        <v>155</v>
      </c>
      <c r="BP492" s="42" t="s">
        <v>152</v>
      </c>
      <c r="BQ492" s="46">
        <v>5128.8748626414199</v>
      </c>
      <c r="BR492" s="46">
        <v>54</v>
      </c>
      <c r="BS492" s="46">
        <v>4642</v>
      </c>
      <c r="BT492" s="46">
        <v>1538</v>
      </c>
      <c r="BU492" s="46">
        <v>3.0182054616384915</v>
      </c>
      <c r="BV492" s="46">
        <v>28.481481481481481</v>
      </c>
      <c r="BW492" s="46">
        <v>285</v>
      </c>
      <c r="BX492" s="46">
        <v>1253</v>
      </c>
      <c r="BY492" s="46">
        <v>1538</v>
      </c>
      <c r="BZ492" s="46">
        <v>1</v>
      </c>
      <c r="CA492" s="46">
        <v>0.18530559167750321</v>
      </c>
      <c r="CB492" s="46">
        <v>0.81469440832249673</v>
      </c>
      <c r="CC492" s="46">
        <v>0</v>
      </c>
      <c r="CD492" s="46">
        <v>0</v>
      </c>
      <c r="CE492" s="46">
        <v>0</v>
      </c>
      <c r="CF492" s="46">
        <v>0</v>
      </c>
      <c r="CG492" s="46">
        <v>0</v>
      </c>
      <c r="CH492" s="46">
        <v>0</v>
      </c>
      <c r="CI492" s="46">
        <v>3.2313657906074971</v>
      </c>
      <c r="CJ492" s="46">
        <v>0.64627315812149932</v>
      </c>
      <c r="CK492">
        <v>268</v>
      </c>
      <c r="CL492">
        <v>376.82</v>
      </c>
      <c r="CM492">
        <f t="shared" si="56"/>
        <v>108.82</v>
      </c>
      <c r="CN492">
        <v>6.67</v>
      </c>
      <c r="CO492">
        <v>9.4499999999999993</v>
      </c>
      <c r="CP492">
        <f t="shared" si="57"/>
        <v>2.7799999999999994</v>
      </c>
      <c r="CQ492">
        <v>846.56</v>
      </c>
      <c r="CR492">
        <v>447.73</v>
      </c>
      <c r="CS492">
        <f t="shared" si="58"/>
        <v>398.82999999999993</v>
      </c>
      <c r="CT492" t="s">
        <v>152</v>
      </c>
      <c r="CU492">
        <v>73.400000000000006</v>
      </c>
      <c r="CV492">
        <v>276</v>
      </c>
      <c r="CW492" s="46">
        <v>1538</v>
      </c>
      <c r="CX492" s="46">
        <f t="shared" si="52"/>
        <v>92.924577373211974</v>
      </c>
      <c r="CY492" s="46">
        <v>108.82</v>
      </c>
      <c r="CZ492" s="46">
        <f t="shared" si="53"/>
        <v>100</v>
      </c>
      <c r="DA492" s="46">
        <f t="shared" si="54"/>
        <v>938.19175744768711</v>
      </c>
      <c r="DB492" s="46">
        <v>1545032.95</v>
      </c>
      <c r="DC492" s="46">
        <f t="shared" si="55"/>
        <v>43.071216040611603</v>
      </c>
      <c r="DD492" s="46">
        <v>70930.539999999994</v>
      </c>
      <c r="DE492" s="995">
        <v>1538</v>
      </c>
      <c r="DF492" s="995">
        <v>93.04</v>
      </c>
      <c r="DG492" s="995">
        <v>107.1</v>
      </c>
      <c r="DH492" s="995">
        <v>100</v>
      </c>
      <c r="DI492" s="995">
        <v>2797.576</v>
      </c>
      <c r="DJ492" s="995">
        <v>4602154</v>
      </c>
      <c r="DK492" s="995">
        <v>125.553</v>
      </c>
      <c r="DL492" s="995">
        <v>206540.4</v>
      </c>
      <c r="DM492" s="995">
        <v>1538</v>
      </c>
      <c r="DN492" s="995">
        <v>93.914000000000001</v>
      </c>
      <c r="DO492" s="995">
        <v>93.6</v>
      </c>
      <c r="DP492" s="995">
        <v>100</v>
      </c>
      <c r="DQ492" s="995">
        <v>2730.8209999999999</v>
      </c>
      <c r="DR492" s="995">
        <v>4455608</v>
      </c>
      <c r="DS492" s="995">
        <v>122.43600000000001</v>
      </c>
      <c r="DT492" s="995">
        <v>199767.1</v>
      </c>
    </row>
    <row r="493" spans="1:124">
      <c r="A493" s="42" t="s">
        <v>94</v>
      </c>
      <c r="B493" s="42" t="s">
        <v>549</v>
      </c>
      <c r="C493" s="42" t="s">
        <v>703</v>
      </c>
      <c r="D493" s="42">
        <v>819349</v>
      </c>
      <c r="E493" s="42" t="s">
        <v>712</v>
      </c>
      <c r="F493" s="42" t="s">
        <v>149</v>
      </c>
      <c r="G493" s="42" t="s">
        <v>150</v>
      </c>
      <c r="H493" s="43" t="s">
        <v>150</v>
      </c>
      <c r="I493" s="44">
        <v>46</v>
      </c>
      <c r="J493" s="45">
        <v>166609.51999999999</v>
      </c>
      <c r="K493" s="46">
        <v>10364.174774999999</v>
      </c>
      <c r="L493" s="47">
        <v>176973.69477500001</v>
      </c>
      <c r="M493" s="48">
        <v>3827361</v>
      </c>
      <c r="N493" s="49">
        <v>2394986</v>
      </c>
      <c r="O493" s="49">
        <v>1426744</v>
      </c>
      <c r="P493" s="49">
        <v>5631</v>
      </c>
      <c r="Q493" s="50">
        <v>8825.6417090069299</v>
      </c>
      <c r="R493" s="51">
        <v>11191.105627311499</v>
      </c>
      <c r="S493" s="49">
        <v>18476.293580237802</v>
      </c>
      <c r="T493" s="49">
        <v>3965.8770094224301</v>
      </c>
      <c r="U493" s="49">
        <f>IFERROR(INDEX('Rentabilidad datos'!$N$2:$N$61,MATCH($C493,'Rentabilidad datos'!$C$2:$C$61,0)),"")</f>
        <v>33633.276216971761</v>
      </c>
      <c r="V493" s="50">
        <f>IFERROR(INDEX('Rentabilidad datos'!$O$2:$O$61,MATCH($C493,'Rentabilidad datos'!$C$2:$C$61,0)),"")</f>
        <v>1159.7681454128194</v>
      </c>
      <c r="W493" s="51">
        <f>IFERROR(INDEX('Rentabilidad datos'!$M$2:$M$61,MATCH($C493,'Rentabilidad datos'!$C$2:$C$61,0)),"")</f>
        <v>2866.2444123371242</v>
      </c>
      <c r="X493" s="52">
        <f>IFERROR(INDEX('Rentabilidad datos'!$P$2:$P$61,MATCH($C493,'Rentabilidad datos'!$C$2:$C$61,0)),"")</f>
        <v>0.40462988446513848</v>
      </c>
      <c r="Y493" s="43" t="s">
        <v>171</v>
      </c>
      <c r="Z493" s="53">
        <v>77.743648960738994</v>
      </c>
      <c r="AA493" s="43">
        <v>2</v>
      </c>
      <c r="AB493" s="54">
        <v>0.97613055052815767</v>
      </c>
      <c r="AC493" s="55">
        <v>2.3869449471842347E-2</v>
      </c>
      <c r="AD493" s="752" t="e">
        <f>_xlfn.XLOOKUP(Table1[[#This Row],[Ruta]],#REF!,#REF!)</f>
        <v>#REF!</v>
      </c>
      <c r="AE493" s="752" t="e">
        <f>_xlfn.XLOOKUP(Table1[[#This Row],[Ruta]],#REF!,#REF!)</f>
        <v>#REF!</v>
      </c>
      <c r="AF493" s="752" t="e">
        <f>_xlfn.XLOOKUP(Table1[[#This Row],[Ruta]],#REF!,#REF!)</f>
        <v>#REF!</v>
      </c>
      <c r="AG493" s="752" t="e">
        <f>_xlfn.XLOOKUP(Table1[[#This Row],[Ruta]],#REF!,#REF!)</f>
        <v>#REF!</v>
      </c>
      <c r="AH493" s="52">
        <v>0.62575388106844376</v>
      </c>
      <c r="AI493" s="52">
        <v>0.37277487020430006</v>
      </c>
      <c r="AJ493" s="55">
        <v>1.4712487272561957E-3</v>
      </c>
      <c r="AK493" s="56">
        <v>33663</v>
      </c>
      <c r="AL493" s="44">
        <v>9735</v>
      </c>
      <c r="AM493" s="54">
        <v>0.28918991177256897</v>
      </c>
      <c r="AN493" s="55">
        <v>0.50225307463674596</v>
      </c>
      <c r="AO493" s="56">
        <v>7172.3452514967703</v>
      </c>
      <c r="AP493" s="48">
        <v>3586.1726257483851</v>
      </c>
      <c r="AQ493" s="55">
        <v>0.39572149320465749</v>
      </c>
      <c r="AR493" s="51">
        <v>3821502.86</v>
      </c>
      <c r="AS493" s="49">
        <v>1407762.6035697151</v>
      </c>
      <c r="AT493" s="55">
        <v>0.36837931440661414</v>
      </c>
      <c r="AU493" s="51">
        <v>989238.58629223262</v>
      </c>
      <c r="AV493" s="52">
        <v>4.500139943280133E-3</v>
      </c>
      <c r="AW493" s="44">
        <v>45</v>
      </c>
      <c r="AX493" s="51">
        <v>392.55293888032901</v>
      </c>
      <c r="AY493" s="49">
        <v>400.61</v>
      </c>
      <c r="AZ493" s="49">
        <v>8.0570611196710047</v>
      </c>
      <c r="BA493" s="42" t="s">
        <v>150</v>
      </c>
      <c r="BB493" s="50">
        <v>27558.415405404441</v>
      </c>
      <c r="BC493" s="57">
        <v>1016797.001697637</v>
      </c>
      <c r="BD493" s="42" t="s">
        <v>150</v>
      </c>
      <c r="BE493" s="46">
        <v>77.743648960738994</v>
      </c>
      <c r="BF493" s="46">
        <v>83.628504672897193</v>
      </c>
      <c r="BG493" s="42" t="s">
        <v>152</v>
      </c>
      <c r="BH493" s="52">
        <v>0.28918991177256897</v>
      </c>
      <c r="BI493" s="52">
        <v>0.51187669456560203</v>
      </c>
      <c r="BJ493" s="42" t="s">
        <v>152</v>
      </c>
      <c r="BK493" s="46">
        <v>408.71523042725198</v>
      </c>
      <c r="BL493" s="46">
        <v>638.00354527981403</v>
      </c>
      <c r="BM493" s="42" t="s">
        <v>152</v>
      </c>
      <c r="BN493" s="48">
        <v>0</v>
      </c>
      <c r="BO493" s="42" t="s">
        <v>155</v>
      </c>
      <c r="BP493" s="42" t="s">
        <v>152</v>
      </c>
      <c r="BQ493" s="46">
        <v>5882.31475425797</v>
      </c>
      <c r="BR493" s="46">
        <v>63</v>
      </c>
      <c r="BS493" s="46">
        <v>4893</v>
      </c>
      <c r="BT493" s="46">
        <v>1516</v>
      </c>
      <c r="BU493" s="46">
        <v>3.2275725593667546</v>
      </c>
      <c r="BV493" s="46">
        <v>24.063492063492063</v>
      </c>
      <c r="BW493" s="46">
        <v>0</v>
      </c>
      <c r="BX493" s="46">
        <v>638</v>
      </c>
      <c r="BY493" s="46">
        <v>638</v>
      </c>
      <c r="BZ493" s="46">
        <v>0.420844327176781</v>
      </c>
      <c r="CA493" s="46">
        <v>0</v>
      </c>
      <c r="CB493" s="46">
        <v>0.420844327176781</v>
      </c>
      <c r="CC493" s="46">
        <v>0.43601583113456471</v>
      </c>
      <c r="CD493" s="46">
        <v>0</v>
      </c>
      <c r="CE493" s="46">
        <v>0</v>
      </c>
      <c r="CF493" s="46">
        <v>0.14313984168865429</v>
      </c>
      <c r="CG493" s="46">
        <v>0</v>
      </c>
      <c r="CH493" s="46">
        <v>0</v>
      </c>
      <c r="CI493" s="46">
        <v>5.5180870631514409</v>
      </c>
      <c r="CJ493" s="46">
        <v>0.20437359493153481</v>
      </c>
      <c r="CK493">
        <v>277</v>
      </c>
      <c r="CL493">
        <v>371.22</v>
      </c>
      <c r="CM493">
        <f t="shared" si="56"/>
        <v>94.220000000000027</v>
      </c>
      <c r="CN493">
        <v>6.27</v>
      </c>
      <c r="CO493">
        <v>9.4499999999999993</v>
      </c>
      <c r="CP493">
        <f t="shared" si="57"/>
        <v>3.1799999999999997</v>
      </c>
      <c r="CQ493">
        <v>846.56</v>
      </c>
      <c r="CR493">
        <v>408.72</v>
      </c>
      <c r="CS493">
        <f t="shared" si="58"/>
        <v>437.83999999999992</v>
      </c>
      <c r="CT493" t="s">
        <v>152</v>
      </c>
      <c r="CU493">
        <v>69.8</v>
      </c>
      <c r="CV493">
        <v>166</v>
      </c>
      <c r="CW493" s="46">
        <v>638</v>
      </c>
      <c r="CX493" s="46">
        <f t="shared" si="52"/>
        <v>35.869393139841691</v>
      </c>
      <c r="CY493" s="46">
        <v>94.22</v>
      </c>
      <c r="CZ493" s="46">
        <f t="shared" si="53"/>
        <v>42.084432717678098</v>
      </c>
      <c r="DA493" s="46">
        <f t="shared" si="54"/>
        <v>1089.1496068860156</v>
      </c>
      <c r="DB493" s="46">
        <v>1753770.48</v>
      </c>
      <c r="DC493" s="46">
        <f t="shared" si="55"/>
        <v>52.12967172187652</v>
      </c>
      <c r="DD493" s="46">
        <v>83940.24</v>
      </c>
      <c r="DE493" s="995">
        <v>638</v>
      </c>
      <c r="DF493" s="995">
        <v>36.832999999999998</v>
      </c>
      <c r="DG493" s="995">
        <v>79.599999999999994</v>
      </c>
      <c r="DH493" s="995">
        <v>42.084000000000003</v>
      </c>
      <c r="DI493" s="995">
        <v>2613.2840000000001</v>
      </c>
      <c r="DJ493" s="995">
        <v>4169800</v>
      </c>
      <c r="DK493" s="995">
        <v>124.66200000000001</v>
      </c>
      <c r="DL493" s="995">
        <v>198912.8</v>
      </c>
      <c r="DM493" s="995">
        <v>638</v>
      </c>
      <c r="DN493" s="995">
        <v>37.759</v>
      </c>
      <c r="DO493" s="995">
        <v>65.599999999999994</v>
      </c>
      <c r="DP493" s="995">
        <v>42.084000000000003</v>
      </c>
      <c r="DQ493" s="995">
        <v>2540.4029999999998</v>
      </c>
      <c r="DR493" s="995">
        <v>4017816</v>
      </c>
      <c r="DS493" s="995">
        <v>121.29600000000001</v>
      </c>
      <c r="DT493" s="995">
        <v>191837.9</v>
      </c>
    </row>
    <row r="494" spans="1:124">
      <c r="A494" s="42" t="s">
        <v>94</v>
      </c>
      <c r="B494" s="42" t="s">
        <v>549</v>
      </c>
      <c r="C494" s="42" t="s">
        <v>703</v>
      </c>
      <c r="D494" s="42">
        <v>819350</v>
      </c>
      <c r="E494" s="42" t="s">
        <v>713</v>
      </c>
      <c r="F494" s="42" t="s">
        <v>149</v>
      </c>
      <c r="G494" s="42" t="s">
        <v>150</v>
      </c>
      <c r="H494" s="43" t="s">
        <v>150</v>
      </c>
      <c r="I494" s="44">
        <v>46</v>
      </c>
      <c r="J494" s="45">
        <v>148631.11995200001</v>
      </c>
      <c r="K494" s="46">
        <v>8356.6891919999998</v>
      </c>
      <c r="L494" s="47">
        <v>156987.809144</v>
      </c>
      <c r="M494" s="48">
        <v>3231190</v>
      </c>
      <c r="N494" s="49">
        <v>2131445</v>
      </c>
      <c r="O494" s="49">
        <v>1098204</v>
      </c>
      <c r="P494" s="49">
        <v>1541</v>
      </c>
      <c r="Q494" s="50">
        <v>7528.3272960372997</v>
      </c>
      <c r="R494" s="51">
        <v>11191.105627311499</v>
      </c>
      <c r="S494" s="49">
        <v>18476.293580237802</v>
      </c>
      <c r="T494" s="49">
        <v>3965.8770094224301</v>
      </c>
      <c r="U494" s="49">
        <f>IFERROR(INDEX('Rentabilidad datos'!$N$2:$N$61,MATCH($C494,'Rentabilidad datos'!$C$2:$C$61,0)),"")</f>
        <v>33633.276216971761</v>
      </c>
      <c r="V494" s="50">
        <f>IFERROR(INDEX('Rentabilidad datos'!$O$2:$O$61,MATCH($C494,'Rentabilidad datos'!$C$2:$C$61,0)),"")</f>
        <v>1159.7681454128194</v>
      </c>
      <c r="W494" s="51">
        <f>IFERROR(INDEX('Rentabilidad datos'!$M$2:$M$61,MATCH($C494,'Rentabilidad datos'!$C$2:$C$61,0)),"")</f>
        <v>2866.2444123371242</v>
      </c>
      <c r="X494" s="52">
        <f>IFERROR(INDEX('Rentabilidad datos'!$P$2:$P$61,MATCH($C494,'Rentabilidad datos'!$C$2:$C$61,0)),"")</f>
        <v>0.40462988446513848</v>
      </c>
      <c r="Y494" s="43" t="s">
        <v>171</v>
      </c>
      <c r="Z494" s="53">
        <v>64.207459207459195</v>
      </c>
      <c r="AA494" s="43">
        <v>2</v>
      </c>
      <c r="AB494" s="54">
        <v>0.98201808002624424</v>
      </c>
      <c r="AC494" s="55">
        <v>1.7981919973755801E-2</v>
      </c>
      <c r="AD494" s="752" t="e">
        <f>_xlfn.XLOOKUP(Table1[[#This Row],[Ruta]],#REF!,#REF!)</f>
        <v>#REF!</v>
      </c>
      <c r="AE494" s="752" t="e">
        <f>_xlfn.XLOOKUP(Table1[[#This Row],[Ruta]],#REF!,#REF!)</f>
        <v>#REF!</v>
      </c>
      <c r="AF494" s="752" t="e">
        <f>_xlfn.XLOOKUP(Table1[[#This Row],[Ruta]],#REF!,#REF!)</f>
        <v>#REF!</v>
      </c>
      <c r="AG494" s="752" t="e">
        <f>_xlfn.XLOOKUP(Table1[[#This Row],[Ruta]],#REF!,#REF!)</f>
        <v>#REF!</v>
      </c>
      <c r="AH494" s="52">
        <v>0.65964706501319947</v>
      </c>
      <c r="AI494" s="52">
        <v>0.33987602090870545</v>
      </c>
      <c r="AJ494" s="55">
        <v>4.7691407809506714E-4</v>
      </c>
      <c r="AK494" s="56">
        <v>27545</v>
      </c>
      <c r="AL494" s="44">
        <v>10566</v>
      </c>
      <c r="AM494" s="54">
        <v>0.38359048829188602</v>
      </c>
      <c r="AN494" s="55">
        <v>0.50225307463674596</v>
      </c>
      <c r="AO494" s="56">
        <v>3268.5609408691598</v>
      </c>
      <c r="AP494" s="48">
        <v>1634.2804704345799</v>
      </c>
      <c r="AQ494" s="55">
        <v>0.44292178146431582</v>
      </c>
      <c r="AR494" s="51">
        <v>3229652.41</v>
      </c>
      <c r="AS494" s="49">
        <v>499541.72439475451</v>
      </c>
      <c r="AT494" s="55">
        <v>0.15467352550014957</v>
      </c>
      <c r="AU494" s="51">
        <v>351029.31984496274</v>
      </c>
      <c r="AV494" s="52">
        <v>1.5968655947980965E-3</v>
      </c>
      <c r="AW494" s="44">
        <v>211</v>
      </c>
      <c r="AX494" s="51">
        <v>305.66462332008302</v>
      </c>
      <c r="AY494" s="49">
        <v>400.61</v>
      </c>
      <c r="AZ494" s="49">
        <v>94.94537667991699</v>
      </c>
      <c r="BA494" s="42" t="s">
        <v>150</v>
      </c>
      <c r="BB494" s="50">
        <v>352473.16351351468</v>
      </c>
      <c r="BC494" s="57">
        <v>703502.48335847748</v>
      </c>
      <c r="BD494" s="42" t="s">
        <v>150</v>
      </c>
      <c r="BE494" s="46">
        <v>64.207459207459195</v>
      </c>
      <c r="BF494" s="46">
        <v>83.628504672897193</v>
      </c>
      <c r="BG494" s="42" t="s">
        <v>152</v>
      </c>
      <c r="BH494" s="52">
        <v>0.38359048829188602</v>
      </c>
      <c r="BI494" s="52">
        <v>0.51187669456560203</v>
      </c>
      <c r="BJ494" s="42" t="s">
        <v>152</v>
      </c>
      <c r="BK494" s="46">
        <v>365.93894905361299</v>
      </c>
      <c r="BL494" s="46">
        <v>638.00354527981403</v>
      </c>
      <c r="BM494" s="42" t="s">
        <v>152</v>
      </c>
      <c r="BN494" s="48">
        <v>0</v>
      </c>
      <c r="BO494" s="42" t="s">
        <v>155</v>
      </c>
      <c r="BP494" s="42" t="s">
        <v>152</v>
      </c>
      <c r="BQ494" s="46">
        <v>3939.2897368579702</v>
      </c>
      <c r="BR494" s="46">
        <v>55</v>
      </c>
      <c r="BS494" s="46">
        <v>4510</v>
      </c>
      <c r="BT494" s="46">
        <v>1481</v>
      </c>
      <c r="BU494" s="46">
        <v>3.0452397029034435</v>
      </c>
      <c r="BV494" s="46">
        <v>26.927272727272726</v>
      </c>
      <c r="BW494" s="46">
        <v>610</v>
      </c>
      <c r="BX494" s="46">
        <v>871</v>
      </c>
      <c r="BY494" s="46">
        <v>1481</v>
      </c>
      <c r="BZ494" s="46">
        <v>1</v>
      </c>
      <c r="CA494" s="46">
        <v>0.41188386225523288</v>
      </c>
      <c r="CB494" s="46">
        <v>0.58811613774476701</v>
      </c>
      <c r="CC494" s="46">
        <v>0</v>
      </c>
      <c r="CD494" s="46">
        <v>0</v>
      </c>
      <c r="CE494" s="46">
        <v>0</v>
      </c>
      <c r="CF494" s="46">
        <v>0</v>
      </c>
      <c r="CG494" s="46">
        <v>0</v>
      </c>
      <c r="CH494" s="46">
        <v>0</v>
      </c>
      <c r="CI494" s="46">
        <v>2.4390243902439019</v>
      </c>
      <c r="CJ494" s="46">
        <v>0.44345898004434592</v>
      </c>
      <c r="CK494">
        <v>255</v>
      </c>
      <c r="CL494">
        <v>333.98</v>
      </c>
      <c r="CM494">
        <f t="shared" si="56"/>
        <v>78.980000000000018</v>
      </c>
      <c r="CN494">
        <v>6.41</v>
      </c>
      <c r="CO494">
        <v>9.4499999999999993</v>
      </c>
      <c r="CP494">
        <f t="shared" si="57"/>
        <v>3.0399999999999991</v>
      </c>
      <c r="CQ494">
        <v>564.37</v>
      </c>
      <c r="CR494">
        <v>365.94</v>
      </c>
      <c r="CS494">
        <f t="shared" si="58"/>
        <v>198.43</v>
      </c>
      <c r="CT494" t="s">
        <v>152</v>
      </c>
      <c r="CU494">
        <v>76.59</v>
      </c>
      <c r="CV494">
        <v>261</v>
      </c>
      <c r="CW494" s="46">
        <v>1481</v>
      </c>
      <c r="CX494" s="46">
        <f t="shared" si="52"/>
        <v>94.66711681296421</v>
      </c>
      <c r="CY494" s="46">
        <v>78.98</v>
      </c>
      <c r="CZ494" s="46">
        <f t="shared" si="53"/>
        <v>100</v>
      </c>
      <c r="DA494" s="46">
        <f t="shared" si="54"/>
        <v>881.54662239259483</v>
      </c>
      <c r="DB494" s="46">
        <v>1375195.1</v>
      </c>
      <c r="DC494" s="46">
        <f t="shared" si="55"/>
        <v>44.934229926024692</v>
      </c>
      <c r="DD494" s="46">
        <v>70096.5</v>
      </c>
      <c r="DE494" s="995">
        <v>1481</v>
      </c>
      <c r="DF494" s="995">
        <v>94.394000000000005</v>
      </c>
      <c r="DG494" s="995">
        <v>83</v>
      </c>
      <c r="DH494" s="995">
        <v>100</v>
      </c>
      <c r="DI494" s="995">
        <v>2429.3589999999999</v>
      </c>
      <c r="DJ494" s="995">
        <v>3799572</v>
      </c>
      <c r="DK494" s="995">
        <v>120.96599999999999</v>
      </c>
      <c r="DL494" s="995">
        <v>189194.2</v>
      </c>
      <c r="DM494" s="995">
        <v>1481</v>
      </c>
      <c r="DN494" s="995">
        <v>94.927000000000007</v>
      </c>
      <c r="DO494" s="995">
        <v>75.099999999999994</v>
      </c>
      <c r="DP494" s="995">
        <v>100</v>
      </c>
      <c r="DQ494" s="995">
        <v>2384.337</v>
      </c>
      <c r="DR494" s="995">
        <v>3710332</v>
      </c>
      <c r="DS494" s="995">
        <v>119.02500000000001</v>
      </c>
      <c r="DT494" s="995">
        <v>185218.4</v>
      </c>
    </row>
    <row r="495" spans="1:124">
      <c r="A495" s="42" t="s">
        <v>94</v>
      </c>
      <c r="B495" s="42" t="s">
        <v>549</v>
      </c>
      <c r="C495" s="42" t="s">
        <v>703</v>
      </c>
      <c r="D495" s="42">
        <v>819351</v>
      </c>
      <c r="E495" s="42" t="s">
        <v>714</v>
      </c>
      <c r="F495" s="42" t="s">
        <v>149</v>
      </c>
      <c r="G495" s="42" t="s">
        <v>150</v>
      </c>
      <c r="H495" s="43" t="s">
        <v>150</v>
      </c>
      <c r="I495" s="44">
        <v>46</v>
      </c>
      <c r="J495" s="45">
        <v>218536.7408</v>
      </c>
      <c r="K495" s="46">
        <v>15458.416277</v>
      </c>
      <c r="L495" s="47">
        <v>233995.15707700001</v>
      </c>
      <c r="M495" s="48">
        <v>5219986</v>
      </c>
      <c r="N495" s="49">
        <v>3187958</v>
      </c>
      <c r="O495" s="49">
        <v>2028402</v>
      </c>
      <c r="P495" s="49">
        <v>3626</v>
      </c>
      <c r="Q495" s="50">
        <v>11935.116521739101</v>
      </c>
      <c r="R495" s="51">
        <v>11191.105627311499</v>
      </c>
      <c r="S495" s="49">
        <v>18476.293580237802</v>
      </c>
      <c r="T495" s="49">
        <v>3965.8770094224301</v>
      </c>
      <c r="U495" s="49">
        <f>IFERROR(INDEX('Rentabilidad datos'!$N$2:$N$61,MATCH($C495,'Rentabilidad datos'!$C$2:$C$61,0)),"")</f>
        <v>33633.276216971761</v>
      </c>
      <c r="V495" s="50">
        <f>IFERROR(INDEX('Rentabilidad datos'!$O$2:$O$61,MATCH($C495,'Rentabilidad datos'!$C$2:$C$61,0)),"")</f>
        <v>1159.7681454128194</v>
      </c>
      <c r="W495" s="51">
        <f>IFERROR(INDEX('Rentabilidad datos'!$M$2:$M$61,MATCH($C495,'Rentabilidad datos'!$C$2:$C$61,0)),"")</f>
        <v>2866.2444123371242</v>
      </c>
      <c r="X495" s="52">
        <f>IFERROR(INDEX('Rentabilidad datos'!$P$2:$P$61,MATCH($C495,'Rentabilidad datos'!$C$2:$C$61,0)),"")</f>
        <v>0.40462988446513848</v>
      </c>
      <c r="Y495" s="43" t="s">
        <v>171</v>
      </c>
      <c r="Z495" s="53">
        <v>84.022883295194504</v>
      </c>
      <c r="AA495" s="43">
        <v>2</v>
      </c>
      <c r="AB495" s="54">
        <v>0.98434229517090654</v>
      </c>
      <c r="AC495" s="55">
        <v>1.565770482909341E-2</v>
      </c>
      <c r="AD495" s="752" t="e">
        <f>_xlfn.XLOOKUP(Table1[[#This Row],[Ruta]],#REF!,#REF!)</f>
        <v>#REF!</v>
      </c>
      <c r="AE495" s="752" t="e">
        <f>_xlfn.XLOOKUP(Table1[[#This Row],[Ruta]],#REF!,#REF!)</f>
        <v>#REF!</v>
      </c>
      <c r="AF495" s="752" t="e">
        <f>_xlfn.XLOOKUP(Table1[[#This Row],[Ruta]],#REF!,#REF!)</f>
        <v>#REF!</v>
      </c>
      <c r="AG495" s="752" t="e">
        <f>_xlfn.XLOOKUP(Table1[[#This Row],[Ruta]],#REF!,#REF!)</f>
        <v>#REF!</v>
      </c>
      <c r="AH495" s="52">
        <v>0.61072156132219513</v>
      </c>
      <c r="AI495" s="52">
        <v>0.38858380079946575</v>
      </c>
      <c r="AJ495" s="55">
        <v>6.9463787833913733E-4</v>
      </c>
      <c r="AK495" s="56">
        <v>36718</v>
      </c>
      <c r="AL495" s="44">
        <v>14991</v>
      </c>
      <c r="AM495" s="54">
        <v>0.40827387112587799</v>
      </c>
      <c r="AN495" s="55">
        <v>0.50225307463674596</v>
      </c>
      <c r="AO495" s="56">
        <v>3450.7283945120298</v>
      </c>
      <c r="AP495" s="48">
        <v>1725.3641972560149</v>
      </c>
      <c r="AQ495" s="55">
        <v>0.45526347288131203</v>
      </c>
      <c r="AR495" s="51">
        <v>5215645.92</v>
      </c>
      <c r="AS495" s="49">
        <v>600286.087381255</v>
      </c>
      <c r="AT495" s="55">
        <v>0.1150933358185586</v>
      </c>
      <c r="AU495" s="51">
        <v>421822.65599763882</v>
      </c>
      <c r="AV495" s="52">
        <v>1.9189111803153227E-3</v>
      </c>
      <c r="AW495" s="44">
        <v>179</v>
      </c>
      <c r="AX495" s="51">
        <v>347.91847908745302</v>
      </c>
      <c r="AY495" s="49">
        <v>400.61</v>
      </c>
      <c r="AZ495" s="49">
        <v>52.691520912546991</v>
      </c>
      <c r="BA495" s="42" t="s">
        <v>150</v>
      </c>
      <c r="BB495" s="50">
        <v>277531.93702702428</v>
      </c>
      <c r="BC495" s="57">
        <v>699354.59302466316</v>
      </c>
      <c r="BD495" s="42" t="s">
        <v>150</v>
      </c>
      <c r="BE495" s="46">
        <v>84.022883295194504</v>
      </c>
      <c r="BF495" s="46">
        <v>83.628504672897193</v>
      </c>
      <c r="BG495" s="42" t="s">
        <v>150</v>
      </c>
      <c r="BH495" s="52">
        <v>0.40827387112587799</v>
      </c>
      <c r="BI495" s="52">
        <v>0.51187669456560203</v>
      </c>
      <c r="BJ495" s="42" t="s">
        <v>152</v>
      </c>
      <c r="BK495" s="46">
        <v>535.45802534782501</v>
      </c>
      <c r="BL495" s="46">
        <v>638.00354527981403</v>
      </c>
      <c r="BM495" s="42" t="s">
        <v>152</v>
      </c>
      <c r="BN495" s="48">
        <v>1</v>
      </c>
      <c r="BO495" s="42" t="s">
        <v>155</v>
      </c>
      <c r="BP495" s="42" t="s">
        <v>152</v>
      </c>
      <c r="BQ495" s="46">
        <v>2227.90781644752</v>
      </c>
      <c r="BR495" s="46">
        <v>60</v>
      </c>
      <c r="BS495" s="46">
        <v>5811</v>
      </c>
      <c r="BT495" s="46">
        <v>1910</v>
      </c>
      <c r="BU495" s="46">
        <v>3.0424083769633508</v>
      </c>
      <c r="BV495" s="46">
        <v>31.833333333333332</v>
      </c>
      <c r="BW495" s="46">
        <v>671</v>
      </c>
      <c r="BX495" s="46">
        <v>1239</v>
      </c>
      <c r="BY495" s="46">
        <v>1910</v>
      </c>
      <c r="BZ495" s="46">
        <v>1</v>
      </c>
      <c r="CA495" s="46">
        <v>0.35130890052356017</v>
      </c>
      <c r="CB495" s="46">
        <v>0.64869109947643977</v>
      </c>
      <c r="CC495" s="46">
        <v>0</v>
      </c>
      <c r="CD495" s="46">
        <v>0</v>
      </c>
      <c r="CE495" s="46">
        <v>0</v>
      </c>
      <c r="CF495" s="46">
        <v>0</v>
      </c>
      <c r="CG495" s="46">
        <v>0</v>
      </c>
      <c r="CH495" s="46">
        <v>0</v>
      </c>
      <c r="CI495" s="46">
        <v>1.7208742040956808</v>
      </c>
      <c r="CJ495" s="46">
        <v>0.34417484081913607</v>
      </c>
      <c r="CK495">
        <v>326</v>
      </c>
      <c r="CL495">
        <v>430.27</v>
      </c>
      <c r="CM495">
        <f t="shared" si="56"/>
        <v>104.26999999999998</v>
      </c>
      <c r="CN495">
        <v>7.96</v>
      </c>
      <c r="CO495">
        <v>9.4499999999999993</v>
      </c>
      <c r="CP495">
        <f t="shared" si="57"/>
        <v>1.4899999999999993</v>
      </c>
      <c r="CQ495">
        <v>846.56</v>
      </c>
      <c r="CR495">
        <v>535.46</v>
      </c>
      <c r="CS495">
        <f t="shared" si="58"/>
        <v>311.09999999999991</v>
      </c>
      <c r="CT495" t="s">
        <v>152</v>
      </c>
      <c r="CU495">
        <v>86.1</v>
      </c>
      <c r="CV495">
        <v>328</v>
      </c>
      <c r="CW495" s="46">
        <v>1910</v>
      </c>
      <c r="CX495" s="46">
        <f t="shared" si="52"/>
        <v>94.540837696335075</v>
      </c>
      <c r="CY495" s="46">
        <v>104.27</v>
      </c>
      <c r="CZ495" s="46">
        <f t="shared" si="53"/>
        <v>100</v>
      </c>
      <c r="DA495" s="46">
        <f t="shared" si="54"/>
        <v>681.62050271314172</v>
      </c>
      <c r="DB495" s="46">
        <v>1372967.73</v>
      </c>
      <c r="DC495" s="46">
        <f t="shared" si="55"/>
        <v>29.991575111578882</v>
      </c>
      <c r="DD495" s="46">
        <v>60411.13</v>
      </c>
      <c r="DE495" s="995">
        <v>1910</v>
      </c>
      <c r="DF495" s="995">
        <v>94.394000000000005</v>
      </c>
      <c r="DG495" s="995">
        <v>107.1</v>
      </c>
      <c r="DH495" s="995">
        <v>100</v>
      </c>
      <c r="DI495" s="995">
        <v>2759.163</v>
      </c>
      <c r="DJ495" s="995">
        <v>5565444</v>
      </c>
      <c r="DK495" s="995">
        <v>119.792</v>
      </c>
      <c r="DL495" s="995">
        <v>241629.5</v>
      </c>
      <c r="DM495" s="995">
        <v>1910</v>
      </c>
      <c r="DN495" s="995">
        <v>94.783000000000001</v>
      </c>
      <c r="DO495" s="995">
        <v>99.6</v>
      </c>
      <c r="DP495" s="995">
        <v>100</v>
      </c>
      <c r="DQ495" s="995">
        <v>2727.7570000000001</v>
      </c>
      <c r="DR495" s="995">
        <v>5481820</v>
      </c>
      <c r="DS495" s="995">
        <v>118.373</v>
      </c>
      <c r="DT495" s="995">
        <v>237886.9</v>
      </c>
    </row>
    <row r="496" spans="1:124">
      <c r="A496" s="42" t="s">
        <v>94</v>
      </c>
      <c r="B496" s="42" t="s">
        <v>549</v>
      </c>
      <c r="C496" s="42" t="s">
        <v>703</v>
      </c>
      <c r="D496" s="42">
        <v>819352</v>
      </c>
      <c r="E496" s="42" t="s">
        <v>715</v>
      </c>
      <c r="F496" s="42" t="s">
        <v>149</v>
      </c>
      <c r="G496" s="42" t="s">
        <v>150</v>
      </c>
      <c r="H496" s="43" t="s">
        <v>150</v>
      </c>
      <c r="I496" s="44">
        <v>46</v>
      </c>
      <c r="J496" s="45">
        <v>258693.08707199999</v>
      </c>
      <c r="K496" s="46">
        <v>18851.996125000001</v>
      </c>
      <c r="L496" s="47">
        <v>277545.08319700003</v>
      </c>
      <c r="M496" s="48">
        <v>6138338</v>
      </c>
      <c r="N496" s="49">
        <v>3719584</v>
      </c>
      <c r="O496" s="49">
        <v>2410012</v>
      </c>
      <c r="P496" s="49">
        <v>8742</v>
      </c>
      <c r="Q496" s="50">
        <v>13743.4837219731</v>
      </c>
      <c r="R496" s="51">
        <v>11191.105627311499</v>
      </c>
      <c r="S496" s="49">
        <v>18476.293580237802</v>
      </c>
      <c r="T496" s="49">
        <v>3965.8770094224301</v>
      </c>
      <c r="U496" s="49">
        <f>IFERROR(INDEX('Rentabilidad datos'!$N$2:$N$61,MATCH($C496,'Rentabilidad datos'!$C$2:$C$61,0)),"")</f>
        <v>33633.276216971761</v>
      </c>
      <c r="V496" s="50">
        <f>IFERROR(INDEX('Rentabilidad datos'!$O$2:$O$61,MATCH($C496,'Rentabilidad datos'!$C$2:$C$61,0)),"")</f>
        <v>1159.7681454128194</v>
      </c>
      <c r="W496" s="51">
        <f>IFERROR(INDEX('Rentabilidad datos'!$M$2:$M$61,MATCH($C496,'Rentabilidad datos'!$C$2:$C$61,0)),"")</f>
        <v>2866.2444123371242</v>
      </c>
      <c r="X496" s="52">
        <f>IFERROR(INDEX('Rentabilidad datos'!$P$2:$P$61,MATCH($C496,'Rentabilidad datos'!$C$2:$C$61,0)),"")</f>
        <v>0.40462988446513848</v>
      </c>
      <c r="Y496" s="43" t="s">
        <v>171</v>
      </c>
      <c r="Z496" s="53">
        <v>63.112107623318401</v>
      </c>
      <c r="AA496" s="43">
        <v>2</v>
      </c>
      <c r="AB496" s="54">
        <v>0.98136010105667038</v>
      </c>
      <c r="AC496" s="55">
        <v>1.8639898943329611E-2</v>
      </c>
      <c r="AD496" s="752" t="e">
        <f>_xlfn.XLOOKUP(Table1[[#This Row],[Ruta]],#REF!,#REF!)</f>
        <v>#REF!</v>
      </c>
      <c r="AE496" s="752" t="e">
        <f>_xlfn.XLOOKUP(Table1[[#This Row],[Ruta]],#REF!,#REF!)</f>
        <v>#REF!</v>
      </c>
      <c r="AF496" s="752" t="e">
        <f>_xlfn.XLOOKUP(Table1[[#This Row],[Ruta]],#REF!,#REF!)</f>
        <v>#REF!</v>
      </c>
      <c r="AG496" s="752" t="e">
        <f>_xlfn.XLOOKUP(Table1[[#This Row],[Ruta]],#REF!,#REF!)</f>
        <v>#REF!</v>
      </c>
      <c r="AH496" s="52">
        <v>0.60595946329446182</v>
      </c>
      <c r="AI496" s="52">
        <v>0.39261637270544569</v>
      </c>
      <c r="AJ496" s="55">
        <v>1.4241640000925331E-3</v>
      </c>
      <c r="AK496" s="56">
        <v>28148</v>
      </c>
      <c r="AL496" s="44">
        <v>23355</v>
      </c>
      <c r="AM496" s="54">
        <v>0.82972147221827497</v>
      </c>
      <c r="AN496" s="55">
        <v>0.50225307463674596</v>
      </c>
      <c r="AO496" s="56">
        <v>0</v>
      </c>
      <c r="AP496" s="48">
        <v>0</v>
      </c>
      <c r="AQ496" s="55">
        <v>0.82972147221827486</v>
      </c>
      <c r="AR496" s="51">
        <v>6129593.7400000002</v>
      </c>
      <c r="AS496" s="49">
        <v>0</v>
      </c>
      <c r="AT496" s="55">
        <v>0</v>
      </c>
      <c r="AU496" s="51">
        <v>0</v>
      </c>
      <c r="AV496" s="52">
        <v>0</v>
      </c>
      <c r="AW496" s="44">
        <v>490</v>
      </c>
      <c r="AX496" s="51">
        <v>262.453168058232</v>
      </c>
      <c r="AY496" s="49">
        <v>400.61</v>
      </c>
      <c r="AZ496" s="49">
        <v>138.15683194176802</v>
      </c>
      <c r="BA496" s="42" t="s">
        <v>150</v>
      </c>
      <c r="BB496" s="50">
        <v>1133688.8251351328</v>
      </c>
      <c r="BC496" s="57">
        <v>1133688.8251351328</v>
      </c>
      <c r="BD496" s="42" t="s">
        <v>150</v>
      </c>
      <c r="BE496" s="46">
        <v>63.112107623318401</v>
      </c>
      <c r="BF496" s="46">
        <v>83.628504672897193</v>
      </c>
      <c r="BG496" s="42" t="s">
        <v>152</v>
      </c>
      <c r="BH496" s="52">
        <v>0.82972147221827497</v>
      </c>
      <c r="BI496" s="52">
        <v>0.51187669456560203</v>
      </c>
      <c r="BJ496" s="42" t="s">
        <v>150</v>
      </c>
      <c r="BK496" s="46">
        <v>622.29839281838497</v>
      </c>
      <c r="BL496" s="46">
        <v>638.00354527981403</v>
      </c>
      <c r="BM496" s="42" t="s">
        <v>152</v>
      </c>
      <c r="BN496" s="48">
        <v>1</v>
      </c>
      <c r="BO496" s="42" t="s">
        <v>155</v>
      </c>
      <c r="BP496" s="42" t="s">
        <v>152</v>
      </c>
      <c r="BQ496" s="46">
        <v>0</v>
      </c>
      <c r="BR496" s="46">
        <v>62</v>
      </c>
      <c r="BS496" s="46">
        <v>5711</v>
      </c>
      <c r="BT496" s="46">
        <v>1856</v>
      </c>
      <c r="BU496" s="46">
        <v>3.0770474137931036</v>
      </c>
      <c r="BV496" s="46">
        <v>29.93548387096774</v>
      </c>
      <c r="BW496" s="46">
        <v>255</v>
      </c>
      <c r="BX496" s="46">
        <v>1601</v>
      </c>
      <c r="BY496" s="46">
        <v>1856</v>
      </c>
      <c r="BZ496" s="46">
        <v>1</v>
      </c>
      <c r="CA496" s="46">
        <v>0.1373922413793103</v>
      </c>
      <c r="CB496" s="46">
        <v>0.86260775862068961</v>
      </c>
      <c r="CC496" s="46">
        <v>0</v>
      </c>
      <c r="CD496" s="46">
        <v>0</v>
      </c>
      <c r="CE496" s="46">
        <v>0</v>
      </c>
      <c r="CF496" s="46">
        <v>0</v>
      </c>
      <c r="CG496" s="46">
        <v>0</v>
      </c>
      <c r="CH496" s="46">
        <v>0</v>
      </c>
      <c r="CI496" s="46">
        <v>2.801610926282613</v>
      </c>
      <c r="CJ496" s="46">
        <v>0</v>
      </c>
      <c r="CK496">
        <v>360</v>
      </c>
      <c r="CL496">
        <v>449.99</v>
      </c>
      <c r="CM496">
        <f t="shared" si="56"/>
        <v>89.990000000000009</v>
      </c>
      <c r="CN496">
        <v>8.6</v>
      </c>
      <c r="CO496">
        <v>9.4499999999999993</v>
      </c>
      <c r="CP496">
        <f t="shared" si="57"/>
        <v>0.84999999999999964</v>
      </c>
      <c r="CQ496">
        <v>846.56</v>
      </c>
      <c r="CR496">
        <v>622.29999999999995</v>
      </c>
      <c r="CS496">
        <f t="shared" si="58"/>
        <v>224.26</v>
      </c>
      <c r="CT496" t="s">
        <v>152</v>
      </c>
      <c r="CU496">
        <v>94.42</v>
      </c>
      <c r="CV496">
        <v>365</v>
      </c>
      <c r="CW496" s="46">
        <v>1856</v>
      </c>
      <c r="CX496" s="46">
        <f t="shared" si="52"/>
        <v>95.151400862068968</v>
      </c>
      <c r="CY496" s="46">
        <v>89.99</v>
      </c>
      <c r="CZ496" s="46">
        <f t="shared" si="53"/>
        <v>100</v>
      </c>
      <c r="DA496" s="46">
        <f t="shared" si="54"/>
        <v>685.90374565131378</v>
      </c>
      <c r="DB496" s="46">
        <v>1334761.83</v>
      </c>
      <c r="DC496" s="46">
        <f t="shared" si="55"/>
        <v>30.978422294050841</v>
      </c>
      <c r="DD496" s="46">
        <v>60283.7</v>
      </c>
      <c r="DE496" s="995">
        <v>1856</v>
      </c>
      <c r="DF496" s="995">
        <v>94.638999999999996</v>
      </c>
      <c r="DG496" s="995">
        <v>99.5</v>
      </c>
      <c r="DH496" s="995">
        <v>100</v>
      </c>
      <c r="DI496" s="995">
        <v>3031.8159999999998</v>
      </c>
      <c r="DJ496" s="995">
        <v>5928722</v>
      </c>
      <c r="DK496" s="995">
        <v>134.38999999999999</v>
      </c>
      <c r="DL496" s="995">
        <v>262799.3</v>
      </c>
      <c r="DM496" s="995">
        <v>1856</v>
      </c>
      <c r="DN496" s="995">
        <v>94.728999999999999</v>
      </c>
      <c r="DO496" s="995">
        <v>97.8</v>
      </c>
      <c r="DP496" s="995">
        <v>100</v>
      </c>
      <c r="DQ496" s="995">
        <v>3024.6080000000002</v>
      </c>
      <c r="DR496" s="995">
        <v>5909548</v>
      </c>
      <c r="DS496" s="995">
        <v>134.07300000000001</v>
      </c>
      <c r="DT496" s="995">
        <v>261953.9</v>
      </c>
    </row>
    <row r="497" spans="1:124">
      <c r="A497" s="42" t="s">
        <v>94</v>
      </c>
      <c r="B497" s="42" t="s">
        <v>549</v>
      </c>
      <c r="C497" s="42" t="s">
        <v>703</v>
      </c>
      <c r="D497" s="42">
        <v>819353</v>
      </c>
      <c r="E497" s="42" t="s">
        <v>716</v>
      </c>
      <c r="F497" s="42" t="s">
        <v>149</v>
      </c>
      <c r="G497" s="42" t="s">
        <v>150</v>
      </c>
      <c r="H497" s="43" t="s">
        <v>150</v>
      </c>
      <c r="I497" s="44">
        <v>46</v>
      </c>
      <c r="J497" s="45">
        <v>185514.2408</v>
      </c>
      <c r="K497" s="46">
        <v>7751.2831450000003</v>
      </c>
      <c r="L497" s="47">
        <v>193265.52394499999</v>
      </c>
      <c r="M497" s="48">
        <v>3715640</v>
      </c>
      <c r="N497" s="49">
        <v>2674553</v>
      </c>
      <c r="O497" s="49">
        <v>1039849</v>
      </c>
      <c r="P497" s="49">
        <v>1238</v>
      </c>
      <c r="Q497" s="50">
        <v>8568.9182175925907</v>
      </c>
      <c r="R497" s="51">
        <v>11191.105627311499</v>
      </c>
      <c r="S497" s="49">
        <v>18476.293580237802</v>
      </c>
      <c r="T497" s="49">
        <v>3965.8770094224301</v>
      </c>
      <c r="U497" s="49">
        <f>IFERROR(INDEX('Rentabilidad datos'!$N$2:$N$61,MATCH($C497,'Rentabilidad datos'!$C$2:$C$61,0)),"")</f>
        <v>33633.276216971761</v>
      </c>
      <c r="V497" s="50">
        <f>IFERROR(INDEX('Rentabilidad datos'!$O$2:$O$61,MATCH($C497,'Rentabilidad datos'!$C$2:$C$61,0)),"")</f>
        <v>1159.7681454128194</v>
      </c>
      <c r="W497" s="51">
        <f>IFERROR(INDEX('Rentabilidad datos'!$M$2:$M$61,MATCH($C497,'Rentabilidad datos'!$C$2:$C$61,0)),"")</f>
        <v>2866.2444123371242</v>
      </c>
      <c r="X497" s="52">
        <f>IFERROR(INDEX('Rentabilidad datos'!$P$2:$P$61,MATCH($C497,'Rentabilidad datos'!$C$2:$C$61,0)),"")</f>
        <v>0.40462988446513848</v>
      </c>
      <c r="Y497" s="43" t="s">
        <v>171</v>
      </c>
      <c r="Z497" s="53">
        <v>57.175925925925903</v>
      </c>
      <c r="AA497" s="43">
        <v>2</v>
      </c>
      <c r="AB497" s="54">
        <v>0.99186627337416977</v>
      </c>
      <c r="AC497" s="55">
        <v>8.1337266258302739E-3</v>
      </c>
      <c r="AD497" s="752" t="e">
        <f>_xlfn.XLOOKUP(Table1[[#This Row],[Ruta]],#REF!,#REF!)</f>
        <v>#REF!</v>
      </c>
      <c r="AE497" s="752" t="e">
        <f>_xlfn.XLOOKUP(Table1[[#This Row],[Ruta]],#REF!,#REF!)</f>
        <v>#REF!</v>
      </c>
      <c r="AF497" s="752" t="e">
        <f>_xlfn.XLOOKUP(Table1[[#This Row],[Ruta]],#REF!,#REF!)</f>
        <v>#REF!</v>
      </c>
      <c r="AG497" s="752" t="e">
        <f>_xlfn.XLOOKUP(Table1[[#This Row],[Ruta]],#REF!,#REF!)</f>
        <v>#REF!</v>
      </c>
      <c r="AH497" s="52">
        <v>0.71980950791788223</v>
      </c>
      <c r="AI497" s="52">
        <v>0.27985730587462726</v>
      </c>
      <c r="AJ497" s="55">
        <v>3.3318620749049963E-4</v>
      </c>
      <c r="AK497" s="56">
        <v>24700</v>
      </c>
      <c r="AL497" s="44">
        <v>15513</v>
      </c>
      <c r="AM497" s="54">
        <v>0.62805668016194305</v>
      </c>
      <c r="AN497" s="55">
        <v>0.50225307463674596</v>
      </c>
      <c r="AO497" s="56">
        <v>0</v>
      </c>
      <c r="AP497" s="48">
        <v>0</v>
      </c>
      <c r="AQ497" s="55">
        <v>0.62805668016194327</v>
      </c>
      <c r="AR497" s="51">
        <v>3701772.67</v>
      </c>
      <c r="AS497" s="49">
        <v>0</v>
      </c>
      <c r="AT497" s="55">
        <v>0</v>
      </c>
      <c r="AU497" s="51">
        <v>0</v>
      </c>
      <c r="AV497" s="52">
        <v>0</v>
      </c>
      <c r="AW497" s="44">
        <v>490</v>
      </c>
      <c r="AX497" s="51">
        <v>238.62390704570399</v>
      </c>
      <c r="AY497" s="49">
        <v>400.61</v>
      </c>
      <c r="AZ497" s="49">
        <v>161.98609295429603</v>
      </c>
      <c r="BA497" s="42" t="s">
        <v>150</v>
      </c>
      <c r="BB497" s="50">
        <v>882907.38864864688</v>
      </c>
      <c r="BC497" s="57">
        <v>882907.38864864688</v>
      </c>
      <c r="BD497" s="42" t="s">
        <v>150</v>
      </c>
      <c r="BE497" s="46">
        <v>57.175925925925903</v>
      </c>
      <c r="BF497" s="46">
        <v>83.628504672897193</v>
      </c>
      <c r="BG497" s="42" t="s">
        <v>152</v>
      </c>
      <c r="BH497" s="52">
        <v>0.62805668016194305</v>
      </c>
      <c r="BI497" s="52">
        <v>0.51187669456560203</v>
      </c>
      <c r="BJ497" s="42" t="s">
        <v>150</v>
      </c>
      <c r="BK497" s="46">
        <v>447.373898020833</v>
      </c>
      <c r="BL497" s="46">
        <v>638.00354527981403</v>
      </c>
      <c r="BM497" s="42" t="s">
        <v>152</v>
      </c>
      <c r="BN497" s="48">
        <v>1</v>
      </c>
      <c r="BO497" s="42" t="s">
        <v>155</v>
      </c>
      <c r="BP497" s="42" t="s">
        <v>152</v>
      </c>
      <c r="BQ497" s="46">
        <v>1546.2688149185699</v>
      </c>
      <c r="BR497" s="46">
        <v>126</v>
      </c>
      <c r="BS497" s="46">
        <v>9153</v>
      </c>
      <c r="BT497" s="46">
        <v>3072</v>
      </c>
      <c r="BU497" s="46">
        <v>2.9794921875</v>
      </c>
      <c r="BV497" s="46">
        <v>24.38095238095238</v>
      </c>
      <c r="BW497" s="46">
        <v>157</v>
      </c>
      <c r="BX497" s="46">
        <v>1992</v>
      </c>
      <c r="BY497" s="46">
        <v>2149</v>
      </c>
      <c r="BZ497" s="46">
        <v>0.69954427083333337</v>
      </c>
      <c r="CA497" s="46">
        <v>5.1106770833333343E-2</v>
      </c>
      <c r="CB497" s="46">
        <v>0.6484375</v>
      </c>
      <c r="CC497" s="46">
        <v>0.30045572916666669</v>
      </c>
      <c r="CD497" s="46">
        <v>0</v>
      </c>
      <c r="CE497" s="46">
        <v>0</v>
      </c>
      <c r="CF497" s="46">
        <v>0</v>
      </c>
      <c r="CG497" s="46">
        <v>0</v>
      </c>
      <c r="CH497" s="46">
        <v>0</v>
      </c>
      <c r="CI497" s="46">
        <v>2.1850759313886159</v>
      </c>
      <c r="CJ497" s="46">
        <v>0.32776138970829238</v>
      </c>
      <c r="CK497">
        <v>265</v>
      </c>
      <c r="CL497">
        <v>473.25</v>
      </c>
      <c r="CM497">
        <f t="shared" si="56"/>
        <v>208.25</v>
      </c>
      <c r="CN497">
        <v>5.98</v>
      </c>
      <c r="CO497">
        <v>9.4499999999999993</v>
      </c>
      <c r="CP497">
        <f t="shared" si="57"/>
        <v>3.4699999999999989</v>
      </c>
      <c r="CQ497">
        <v>846.56</v>
      </c>
      <c r="CR497">
        <v>447.37</v>
      </c>
      <c r="CS497">
        <f t="shared" si="58"/>
        <v>399.18999999999994</v>
      </c>
      <c r="CT497" t="s">
        <v>152</v>
      </c>
      <c r="CU497">
        <v>63.31</v>
      </c>
      <c r="CV497">
        <v>223</v>
      </c>
      <c r="CW497" s="46">
        <v>2149</v>
      </c>
      <c r="CX497" s="46">
        <f t="shared" si="52"/>
        <v>63.175455729166664</v>
      </c>
      <c r="CY497" s="46">
        <v>208.25</v>
      </c>
      <c r="CZ497" s="46">
        <f t="shared" si="53"/>
        <v>69.954427083333343</v>
      </c>
      <c r="DA497" s="46">
        <f t="shared" si="54"/>
        <v>711.75150064781644</v>
      </c>
      <c r="DB497" s="46">
        <v>2334722.86</v>
      </c>
      <c r="DC497" s="46">
        <f t="shared" si="55"/>
        <v>36.048005487386632</v>
      </c>
      <c r="DD497" s="46">
        <v>118246.47</v>
      </c>
      <c r="DE497" s="995">
        <v>2149</v>
      </c>
      <c r="DF497" s="995">
        <v>63.347000000000001</v>
      </c>
      <c r="DG497" s="995">
        <v>203</v>
      </c>
      <c r="DH497" s="995">
        <v>69.953999999999994</v>
      </c>
      <c r="DI497" s="995">
        <v>1586.136</v>
      </c>
      <c r="DJ497" s="995">
        <v>5194574</v>
      </c>
      <c r="DK497" s="995">
        <v>79.802000000000007</v>
      </c>
      <c r="DL497" s="995">
        <v>261348.9</v>
      </c>
      <c r="DM497" s="995">
        <v>2149</v>
      </c>
      <c r="DN497" s="995">
        <v>63.39</v>
      </c>
      <c r="DO497" s="995">
        <v>201.7</v>
      </c>
      <c r="DP497" s="995">
        <v>69.953999999999994</v>
      </c>
      <c r="DQ497" s="995">
        <v>1582.606</v>
      </c>
      <c r="DR497" s="995">
        <v>5180927</v>
      </c>
      <c r="DS497" s="995">
        <v>79.631</v>
      </c>
      <c r="DT497" s="995">
        <v>260685.1</v>
      </c>
    </row>
    <row r="498" spans="1:124">
      <c r="A498" s="42" t="s">
        <v>94</v>
      </c>
      <c r="B498" s="42" t="s">
        <v>549</v>
      </c>
      <c r="C498" s="42" t="s">
        <v>703</v>
      </c>
      <c r="D498" s="42">
        <v>819354</v>
      </c>
      <c r="E498" s="42" t="s">
        <v>717</v>
      </c>
      <c r="F498" s="42" t="s">
        <v>149</v>
      </c>
      <c r="G498" s="42" t="s">
        <v>150</v>
      </c>
      <c r="H498" s="43" t="s">
        <v>150</v>
      </c>
      <c r="I498" s="44">
        <v>46</v>
      </c>
      <c r="J498" s="45">
        <v>229096.89599999899</v>
      </c>
      <c r="K498" s="46">
        <v>15144.896375</v>
      </c>
      <c r="L498" s="47">
        <v>244241.792374999</v>
      </c>
      <c r="M498" s="48">
        <v>5342227</v>
      </c>
      <c r="N498" s="49">
        <v>3312504</v>
      </c>
      <c r="O498" s="49">
        <v>2025613</v>
      </c>
      <c r="P498" s="49">
        <v>4110</v>
      </c>
      <c r="Q498" s="50">
        <v>12243.3822018349</v>
      </c>
      <c r="R498" s="51">
        <v>11191.105627311499</v>
      </c>
      <c r="S498" s="49">
        <v>18476.293580237802</v>
      </c>
      <c r="T498" s="49">
        <v>3965.8770094224301</v>
      </c>
      <c r="U498" s="49">
        <f>IFERROR(INDEX('Rentabilidad datos'!$N$2:$N$61,MATCH($C498,'Rentabilidad datos'!$C$2:$C$61,0)),"")</f>
        <v>33633.276216971761</v>
      </c>
      <c r="V498" s="50">
        <f>IFERROR(INDEX('Rentabilidad datos'!$O$2:$O$61,MATCH($C498,'Rentabilidad datos'!$C$2:$C$61,0)),"")</f>
        <v>1159.7681454128194</v>
      </c>
      <c r="W498" s="51">
        <f>IFERROR(INDEX('Rentabilidad datos'!$M$2:$M$61,MATCH($C498,'Rentabilidad datos'!$C$2:$C$61,0)),"")</f>
        <v>2866.2444123371242</v>
      </c>
      <c r="X498" s="52">
        <f>IFERROR(INDEX('Rentabilidad datos'!$P$2:$P$61,MATCH($C498,'Rentabilidad datos'!$C$2:$C$61,0)),"")</f>
        <v>0.40462988446513848</v>
      </c>
      <c r="Y498" s="43" t="s">
        <v>171</v>
      </c>
      <c r="Z498" s="53">
        <v>85.658256880733902</v>
      </c>
      <c r="AA498" s="43">
        <v>2</v>
      </c>
      <c r="AB498" s="54">
        <v>0.97565902759279977</v>
      </c>
      <c r="AC498" s="55">
        <v>2.4340972407200217E-2</v>
      </c>
      <c r="AD498" s="752" t="e">
        <f>_xlfn.XLOOKUP(Table1[[#This Row],[Ruta]],#REF!,#REF!)</f>
        <v>#REF!</v>
      </c>
      <c r="AE498" s="752" t="e">
        <f>_xlfn.XLOOKUP(Table1[[#This Row],[Ruta]],#REF!,#REF!)</f>
        <v>#REF!</v>
      </c>
      <c r="AF498" s="752" t="e">
        <f>_xlfn.XLOOKUP(Table1[[#This Row],[Ruta]],#REF!,#REF!)</f>
        <v>#REF!</v>
      </c>
      <c r="AG498" s="752" t="e">
        <f>_xlfn.XLOOKUP(Table1[[#This Row],[Ruta]],#REF!,#REF!)</f>
        <v>#REF!</v>
      </c>
      <c r="AH498" s="52">
        <v>0.62006051034521747</v>
      </c>
      <c r="AI498" s="52">
        <v>0.37917014758077483</v>
      </c>
      <c r="AJ498" s="55">
        <v>7.6934207400771251E-4</v>
      </c>
      <c r="AK498" s="56">
        <v>37347</v>
      </c>
      <c r="AL498" s="44">
        <v>17748</v>
      </c>
      <c r="AM498" s="54">
        <v>0.47521889308378201</v>
      </c>
      <c r="AN498" s="55">
        <v>0.50225307463674596</v>
      </c>
      <c r="AO498" s="56">
        <v>1009.6455784585399</v>
      </c>
      <c r="AP498" s="48">
        <v>504.82278922926997</v>
      </c>
      <c r="AQ498" s="55">
        <v>0.48873598386026373</v>
      </c>
      <c r="AR498" s="51">
        <v>5338114.6399999997</v>
      </c>
      <c r="AS498" s="49">
        <v>151836.93496677949</v>
      </c>
      <c r="AT498" s="55">
        <v>2.844392546930755E-2</v>
      </c>
      <c r="AU498" s="51">
        <v>106696.2245712505</v>
      </c>
      <c r="AV498" s="52">
        <v>4.8537122251762852E-4</v>
      </c>
      <c r="AW498" s="44">
        <v>390</v>
      </c>
      <c r="AX498" s="51">
        <v>300.77274284426397</v>
      </c>
      <c r="AY498" s="49">
        <v>400.61</v>
      </c>
      <c r="AZ498" s="49">
        <v>99.83725715573604</v>
      </c>
      <c r="BA498" s="42" t="s">
        <v>150</v>
      </c>
      <c r="BB498" s="50">
        <v>622563.5491891905</v>
      </c>
      <c r="BC498" s="57">
        <v>729259.77376044099</v>
      </c>
      <c r="BD498" s="42" t="s">
        <v>150</v>
      </c>
      <c r="BE498" s="46">
        <v>85.658256880733902</v>
      </c>
      <c r="BF498" s="46">
        <v>83.628504672897193</v>
      </c>
      <c r="BG498" s="42" t="s">
        <v>150</v>
      </c>
      <c r="BH498" s="52">
        <v>0.47521889308378201</v>
      </c>
      <c r="BI498" s="52">
        <v>0.51187669456560203</v>
      </c>
      <c r="BJ498" s="42" t="s">
        <v>152</v>
      </c>
      <c r="BK498" s="46">
        <v>560.18759719036598</v>
      </c>
      <c r="BL498" s="46">
        <v>638.00354527981403</v>
      </c>
      <c r="BM498" s="42" t="s">
        <v>152</v>
      </c>
      <c r="BN498" s="48">
        <v>1</v>
      </c>
      <c r="BO498" s="42" t="s">
        <v>155</v>
      </c>
      <c r="BP498" s="42" t="s">
        <v>152</v>
      </c>
      <c r="BQ498" s="46">
        <v>0</v>
      </c>
      <c r="BR498" s="46">
        <v>54</v>
      </c>
      <c r="BS498" s="46">
        <v>5172</v>
      </c>
      <c r="BT498" s="46">
        <v>1682</v>
      </c>
      <c r="BU498" s="46">
        <v>3.0749108204518429</v>
      </c>
      <c r="BV498" s="46">
        <v>31.148148148148149</v>
      </c>
      <c r="BW498" s="46">
        <v>777</v>
      </c>
      <c r="BX498" s="46">
        <v>691</v>
      </c>
      <c r="BY498" s="46">
        <v>1468</v>
      </c>
      <c r="BZ498" s="46">
        <v>0.87277051129607608</v>
      </c>
      <c r="CA498" s="46">
        <v>0.46195005945303208</v>
      </c>
      <c r="CB498" s="46">
        <v>0.410820451843044</v>
      </c>
      <c r="CC498" s="46">
        <v>0.12722948870392389</v>
      </c>
      <c r="CD498" s="46">
        <v>0</v>
      </c>
      <c r="CE498" s="46">
        <v>0</v>
      </c>
      <c r="CF498" s="46">
        <v>0</v>
      </c>
      <c r="CG498" s="46">
        <v>0</v>
      </c>
      <c r="CH498" s="46">
        <v>0</v>
      </c>
      <c r="CI498" s="46">
        <v>2.706883217324052</v>
      </c>
      <c r="CJ498" s="46">
        <v>0.38669760247486468</v>
      </c>
      <c r="CK498">
        <v>313</v>
      </c>
      <c r="CL498">
        <v>401.57</v>
      </c>
      <c r="CM498">
        <f t="shared" si="56"/>
        <v>88.57</v>
      </c>
      <c r="CN498">
        <v>7.08</v>
      </c>
      <c r="CO498">
        <v>9.4499999999999993</v>
      </c>
      <c r="CP498">
        <f t="shared" si="57"/>
        <v>2.3699999999999992</v>
      </c>
      <c r="CQ498">
        <v>846.56</v>
      </c>
      <c r="CR498">
        <v>560.19000000000005</v>
      </c>
      <c r="CS498">
        <f t="shared" si="58"/>
        <v>286.36999999999989</v>
      </c>
      <c r="CT498" t="s">
        <v>152</v>
      </c>
      <c r="CU498">
        <v>74.900000000000006</v>
      </c>
      <c r="CV498">
        <v>315</v>
      </c>
      <c r="CW498" s="46">
        <v>1468</v>
      </c>
      <c r="CX498" s="46">
        <f t="shared" si="52"/>
        <v>82.011296076099882</v>
      </c>
      <c r="CY498" s="46">
        <v>88.57</v>
      </c>
      <c r="CZ498" s="46">
        <f t="shared" si="53"/>
        <v>87.277051129607614</v>
      </c>
      <c r="DA498" s="46">
        <f t="shared" si="54"/>
        <v>663.33996961430512</v>
      </c>
      <c r="DB498" s="46">
        <v>1174489.8500000001</v>
      </c>
      <c r="DC498" s="46">
        <f t="shared" si="55"/>
        <v>29.586494744630262</v>
      </c>
      <c r="DD498" s="46">
        <v>52384.959999999999</v>
      </c>
      <c r="DE498" s="995">
        <v>1468</v>
      </c>
      <c r="DF498" s="995">
        <v>81.995000000000005</v>
      </c>
      <c r="DG498" s="995">
        <v>88.8</v>
      </c>
      <c r="DH498" s="995">
        <v>87.277000000000001</v>
      </c>
      <c r="DI498" s="995">
        <v>2976.3739999999998</v>
      </c>
      <c r="DJ498" s="995">
        <v>5270681</v>
      </c>
      <c r="DK498" s="995">
        <v>131.346</v>
      </c>
      <c r="DL498" s="995">
        <v>232593.4</v>
      </c>
      <c r="DM498" s="995">
        <v>1468</v>
      </c>
      <c r="DN498" s="995">
        <v>82.62</v>
      </c>
      <c r="DO498" s="995">
        <v>78.3</v>
      </c>
      <c r="DP498" s="995">
        <v>87.277000000000001</v>
      </c>
      <c r="DQ498" s="995">
        <v>2925.4520000000002</v>
      </c>
      <c r="DR498" s="995">
        <v>5149758</v>
      </c>
      <c r="DS498" s="995">
        <v>129.124</v>
      </c>
      <c r="DT498" s="995">
        <v>227300.8</v>
      </c>
    </row>
    <row r="499" spans="1:124">
      <c r="A499" s="42" t="s">
        <v>94</v>
      </c>
      <c r="B499" s="42" t="s">
        <v>549</v>
      </c>
      <c r="C499" s="42" t="s">
        <v>703</v>
      </c>
      <c r="D499" s="42">
        <v>819355</v>
      </c>
      <c r="E499" s="42" t="s">
        <v>718</v>
      </c>
      <c r="F499" s="42" t="s">
        <v>149</v>
      </c>
      <c r="G499" s="42" t="s">
        <v>150</v>
      </c>
      <c r="H499" s="43" t="s">
        <v>150</v>
      </c>
      <c r="I499" s="44">
        <v>46</v>
      </c>
      <c r="J499" s="45">
        <v>227853.48879999999</v>
      </c>
      <c r="K499" s="46">
        <v>9580.4300719999992</v>
      </c>
      <c r="L499" s="47">
        <v>237433.91887200001</v>
      </c>
      <c r="M499" s="48">
        <v>4493326</v>
      </c>
      <c r="N499" s="49">
        <v>3313461</v>
      </c>
      <c r="O499" s="49">
        <v>1179036</v>
      </c>
      <c r="P499" s="49">
        <v>829</v>
      </c>
      <c r="Q499" s="50">
        <v>10226.5305707763</v>
      </c>
      <c r="R499" s="51">
        <v>11191.105627311499</v>
      </c>
      <c r="S499" s="49">
        <v>18476.293580237802</v>
      </c>
      <c r="T499" s="49">
        <v>3965.8770094224301</v>
      </c>
      <c r="U499" s="49">
        <f>IFERROR(INDEX('Rentabilidad datos'!$N$2:$N$61,MATCH($C499,'Rentabilidad datos'!$C$2:$C$61,0)),"")</f>
        <v>33633.276216971761</v>
      </c>
      <c r="V499" s="50">
        <f>IFERROR(INDEX('Rentabilidad datos'!$O$2:$O$61,MATCH($C499,'Rentabilidad datos'!$C$2:$C$61,0)),"")</f>
        <v>1159.7681454128194</v>
      </c>
      <c r="W499" s="51">
        <f>IFERROR(INDEX('Rentabilidad datos'!$M$2:$M$61,MATCH($C499,'Rentabilidad datos'!$C$2:$C$61,0)),"")</f>
        <v>2866.2444123371242</v>
      </c>
      <c r="X499" s="52">
        <f>IFERROR(INDEX('Rentabilidad datos'!$P$2:$P$61,MATCH($C499,'Rentabilidad datos'!$C$2:$C$61,0)),"")</f>
        <v>0.40462988446513848</v>
      </c>
      <c r="Y499" s="43" t="s">
        <v>171</v>
      </c>
      <c r="Z499" s="53">
        <v>53.054794520547901</v>
      </c>
      <c r="AA499" s="43">
        <v>2</v>
      </c>
      <c r="AB499" s="54">
        <v>0.94754687285097938</v>
      </c>
      <c r="AC499" s="55">
        <v>5.2453127149020569E-2</v>
      </c>
      <c r="AD499" s="752" t="e">
        <f>_xlfn.XLOOKUP(Table1[[#This Row],[Ruta]],#REF!,#REF!)</f>
        <v>#REF!</v>
      </c>
      <c r="AE499" s="752" t="e">
        <f>_xlfn.XLOOKUP(Table1[[#This Row],[Ruta]],#REF!,#REF!)</f>
        <v>#REF!</v>
      </c>
      <c r="AF499" s="752" t="e">
        <f>_xlfn.XLOOKUP(Table1[[#This Row],[Ruta]],#REF!,#REF!)</f>
        <v>#REF!</v>
      </c>
      <c r="AG499" s="752" t="e">
        <f>_xlfn.XLOOKUP(Table1[[#This Row],[Ruta]],#REF!,#REF!)</f>
        <v>#REF!</v>
      </c>
      <c r="AH499" s="52">
        <v>0.73741834000025819</v>
      </c>
      <c r="AI499" s="52">
        <v>0.26239716414967446</v>
      </c>
      <c r="AJ499" s="55">
        <v>1.8449585006741109E-4</v>
      </c>
      <c r="AK499" s="56">
        <v>23238</v>
      </c>
      <c r="AL499" s="44">
        <v>12641</v>
      </c>
      <c r="AM499" s="54">
        <v>0.54397968844134603</v>
      </c>
      <c r="AN499" s="55">
        <v>0.50225307463674596</v>
      </c>
      <c r="AO499" s="56">
        <v>0</v>
      </c>
      <c r="AP499" s="48">
        <v>0</v>
      </c>
      <c r="AQ499" s="55">
        <v>0.54397968844134603</v>
      </c>
      <c r="AR499" s="51">
        <v>4479220.3899999997</v>
      </c>
      <c r="AS499" s="49">
        <v>0</v>
      </c>
      <c r="AT499" s="55">
        <v>0</v>
      </c>
      <c r="AU499" s="51">
        <v>0</v>
      </c>
      <c r="AV499" s="52">
        <v>0</v>
      </c>
      <c r="AW499" s="44">
        <v>490</v>
      </c>
      <c r="AX499" s="51">
        <v>354.34066845977401</v>
      </c>
      <c r="AY499" s="49">
        <v>400.61</v>
      </c>
      <c r="AZ499" s="49">
        <v>46.269331540226005</v>
      </c>
      <c r="BA499" s="42" t="s">
        <v>150</v>
      </c>
      <c r="BB499" s="50">
        <v>205502.10972972875</v>
      </c>
      <c r="BC499" s="57">
        <v>205502.10972972875</v>
      </c>
      <c r="BD499" s="42" t="s">
        <v>150</v>
      </c>
      <c r="BE499" s="46">
        <v>53.054794520547901</v>
      </c>
      <c r="BF499" s="46">
        <v>83.628504672897193</v>
      </c>
      <c r="BG499" s="42" t="s">
        <v>152</v>
      </c>
      <c r="BH499" s="52">
        <v>0.54397968844134603</v>
      </c>
      <c r="BI499" s="52">
        <v>0.51187669456560203</v>
      </c>
      <c r="BJ499" s="42" t="s">
        <v>150</v>
      </c>
      <c r="BK499" s="46">
        <v>542.08657276712302</v>
      </c>
      <c r="BL499" s="46">
        <v>638.00354527981403</v>
      </c>
      <c r="BM499" s="42" t="s">
        <v>152</v>
      </c>
      <c r="BN499" s="48">
        <v>1</v>
      </c>
      <c r="BO499" s="42" t="s">
        <v>155</v>
      </c>
      <c r="BP499" s="42" t="s">
        <v>152</v>
      </c>
      <c r="BQ499" s="46">
        <v>5300.9730836651097</v>
      </c>
      <c r="BR499" s="46">
        <v>461</v>
      </c>
      <c r="BS499" s="46">
        <v>45953</v>
      </c>
      <c r="BT499" s="46">
        <v>11512</v>
      </c>
      <c r="BU499" s="46">
        <v>3.9917477414871438</v>
      </c>
      <c r="BV499" s="46">
        <v>24.97180043383948</v>
      </c>
      <c r="BW499" s="46">
        <v>0</v>
      </c>
      <c r="BX499" s="46">
        <v>1584</v>
      </c>
      <c r="BY499" s="46">
        <v>1584</v>
      </c>
      <c r="BZ499" s="46">
        <v>0.13759555246699096</v>
      </c>
      <c r="CA499" s="46">
        <v>0</v>
      </c>
      <c r="CB499" s="46">
        <v>0.13759555246699101</v>
      </c>
      <c r="CC499" s="46">
        <v>0.33295691452397502</v>
      </c>
      <c r="CD499" s="46">
        <v>8.052466990965948E-2</v>
      </c>
      <c r="CE499" s="46">
        <v>0</v>
      </c>
      <c r="CF499" s="46">
        <v>0.44892286309937462</v>
      </c>
      <c r="CG499" s="46">
        <v>0</v>
      </c>
      <c r="CH499" s="46">
        <v>0</v>
      </c>
      <c r="CI499" s="46">
        <v>5.6361935020564484</v>
      </c>
      <c r="CJ499" s="46">
        <v>6.5284094618414473E-2</v>
      </c>
      <c r="CK499">
        <v>324</v>
      </c>
      <c r="CL499">
        <v>481.34</v>
      </c>
      <c r="CM499">
        <f t="shared" si="56"/>
        <v>157.33999999999997</v>
      </c>
      <c r="CN499">
        <v>8.73</v>
      </c>
      <c r="CO499">
        <v>9.4499999999999993</v>
      </c>
      <c r="CP499">
        <f t="shared" si="57"/>
        <v>0.71999999999999886</v>
      </c>
      <c r="CQ499">
        <v>846.56</v>
      </c>
      <c r="CR499">
        <v>542.09</v>
      </c>
      <c r="CS499">
        <f t="shared" si="58"/>
        <v>304.46999999999991</v>
      </c>
      <c r="CT499" t="s">
        <v>152</v>
      </c>
      <c r="CU499">
        <v>92.34</v>
      </c>
      <c r="CV499">
        <v>61</v>
      </c>
      <c r="CW499" s="46">
        <v>1584</v>
      </c>
      <c r="CX499" s="46">
        <f t="shared" si="52"/>
        <v>12.392807505211954</v>
      </c>
      <c r="CY499" s="46">
        <v>157.34</v>
      </c>
      <c r="CZ499" s="46">
        <f t="shared" si="53"/>
        <v>13.759555246699096</v>
      </c>
      <c r="DA499" s="46">
        <f t="shared" si="54"/>
        <v>122.78629382638607</v>
      </c>
      <c r="DB499" s="46">
        <v>1432835.01</v>
      </c>
      <c r="DC499" s="46">
        <f t="shared" si="55"/>
        <v>6.5494269598794794</v>
      </c>
      <c r="DD499" s="46">
        <v>76427.490000000005</v>
      </c>
      <c r="DE499" s="995">
        <v>1584</v>
      </c>
      <c r="DF499" s="995">
        <v>12.393000000000001</v>
      </c>
      <c r="DG499" s="995">
        <v>157.30000000000001</v>
      </c>
      <c r="DH499" s="995">
        <v>13.76</v>
      </c>
      <c r="DI499" s="995">
        <v>369.42200000000003</v>
      </c>
      <c r="DJ499" s="995">
        <v>4310909</v>
      </c>
      <c r="DK499" s="995">
        <v>19.373000000000001</v>
      </c>
      <c r="DL499" s="995">
        <v>226075</v>
      </c>
      <c r="DM499" s="995">
        <v>1584</v>
      </c>
      <c r="DN499" s="995">
        <v>12.393000000000001</v>
      </c>
      <c r="DO499" s="995">
        <v>157.30000000000001</v>
      </c>
      <c r="DP499" s="995">
        <v>13.76</v>
      </c>
      <c r="DQ499" s="995">
        <v>369.42200000000003</v>
      </c>
      <c r="DR499" s="995">
        <v>4310909</v>
      </c>
      <c r="DS499" s="995">
        <v>19.373000000000001</v>
      </c>
      <c r="DT499" s="995">
        <v>226075</v>
      </c>
    </row>
    <row r="500" spans="1:124">
      <c r="A500" s="42" t="s">
        <v>94</v>
      </c>
      <c r="B500" s="42" t="s">
        <v>549</v>
      </c>
      <c r="C500" s="42" t="s">
        <v>703</v>
      </c>
      <c r="D500" s="42">
        <v>819357</v>
      </c>
      <c r="E500" s="42" t="s">
        <v>719</v>
      </c>
      <c r="F500" s="42" t="s">
        <v>149</v>
      </c>
      <c r="G500" s="42" t="s">
        <v>150</v>
      </c>
      <c r="H500" s="43" t="s">
        <v>150</v>
      </c>
      <c r="I500" s="44">
        <v>46</v>
      </c>
      <c r="J500" s="45">
        <v>180773.09039999999</v>
      </c>
      <c r="K500" s="46">
        <v>7593.9876850000001</v>
      </c>
      <c r="L500" s="47">
        <v>188367.07808499999</v>
      </c>
      <c r="M500" s="48">
        <v>3590840</v>
      </c>
      <c r="N500" s="49">
        <v>2625371</v>
      </c>
      <c r="O500" s="49">
        <v>963659</v>
      </c>
      <c r="P500" s="49">
        <v>1810</v>
      </c>
      <c r="Q500" s="50">
        <v>8126.6477931034497</v>
      </c>
      <c r="R500" s="51">
        <v>11191.105627311499</v>
      </c>
      <c r="S500" s="49">
        <v>18476.293580237802</v>
      </c>
      <c r="T500" s="49">
        <v>3965.8770094224301</v>
      </c>
      <c r="U500" s="49">
        <f>IFERROR(INDEX('Rentabilidad datos'!$N$2:$N$61,MATCH($C500,'Rentabilidad datos'!$C$2:$C$61,0)),"")</f>
        <v>33633.276216971761</v>
      </c>
      <c r="V500" s="50">
        <f>IFERROR(INDEX('Rentabilidad datos'!$O$2:$O$61,MATCH($C500,'Rentabilidad datos'!$C$2:$C$61,0)),"")</f>
        <v>1159.7681454128194</v>
      </c>
      <c r="W500" s="51">
        <f>IFERROR(INDEX('Rentabilidad datos'!$M$2:$M$61,MATCH($C500,'Rentabilidad datos'!$C$2:$C$61,0)),"")</f>
        <v>2866.2444123371242</v>
      </c>
      <c r="X500" s="52">
        <f>IFERROR(INDEX('Rentabilidad datos'!$P$2:$P$61,MATCH($C500,'Rentabilidad datos'!$C$2:$C$61,0)),"")</f>
        <v>0.40462988446513848</v>
      </c>
      <c r="Y500" s="43" t="s">
        <v>171</v>
      </c>
      <c r="Z500" s="53">
        <v>69.981609195402299</v>
      </c>
      <c r="AA500" s="43">
        <v>2</v>
      </c>
      <c r="AB500" s="54">
        <v>0.90448585846208684</v>
      </c>
      <c r="AC500" s="55">
        <v>9.5514141537913141E-2</v>
      </c>
      <c r="AD500" s="752" t="e">
        <f>_xlfn.XLOOKUP(Table1[[#This Row],[Ruta]],#REF!,#REF!)</f>
        <v>#REF!</v>
      </c>
      <c r="AE500" s="752" t="e">
        <f>_xlfn.XLOOKUP(Table1[[#This Row],[Ruta]],#REF!,#REF!)</f>
        <v>#REF!</v>
      </c>
      <c r="AF500" s="752" t="e">
        <f>_xlfn.XLOOKUP(Table1[[#This Row],[Ruta]],#REF!,#REF!)</f>
        <v>#REF!</v>
      </c>
      <c r="AG500" s="752" t="e">
        <f>_xlfn.XLOOKUP(Table1[[#This Row],[Ruta]],#REF!,#REF!)</f>
        <v>#REF!</v>
      </c>
      <c r="AH500" s="52">
        <v>0.73113004199574472</v>
      </c>
      <c r="AI500" s="52">
        <v>0.26836589767296787</v>
      </c>
      <c r="AJ500" s="55">
        <v>5.0406033128738681E-4</v>
      </c>
      <c r="AK500" s="56">
        <v>30442</v>
      </c>
      <c r="AL500" s="44">
        <v>13781</v>
      </c>
      <c r="AM500" s="54">
        <v>0.45269693187044202</v>
      </c>
      <c r="AN500" s="55">
        <v>0.50225307463674596</v>
      </c>
      <c r="AO500" s="56">
        <v>1508.58809809181</v>
      </c>
      <c r="AP500" s="48">
        <v>754.29404904590501</v>
      </c>
      <c r="AQ500" s="55">
        <v>0.47747500325359388</v>
      </c>
      <c r="AR500" s="51">
        <v>3535091.79</v>
      </c>
      <c r="AS500" s="49">
        <v>193490.944055442</v>
      </c>
      <c r="AT500" s="55">
        <v>5.473434794615107E-2</v>
      </c>
      <c r="AU500" s="51">
        <v>135966.6093362566</v>
      </c>
      <c r="AV500" s="52">
        <v>6.1852497274676721E-4</v>
      </c>
      <c r="AW500" s="44">
        <v>365</v>
      </c>
      <c r="AX500" s="51">
        <v>256.51925041724098</v>
      </c>
      <c r="AY500" s="49">
        <v>400.61</v>
      </c>
      <c r="AZ500" s="49">
        <v>144.09074958275903</v>
      </c>
      <c r="BA500" s="42" t="s">
        <v>150</v>
      </c>
      <c r="BB500" s="50">
        <v>697683.5151351362</v>
      </c>
      <c r="BC500" s="57">
        <v>833650.12447139283</v>
      </c>
      <c r="BD500" s="42" t="s">
        <v>150</v>
      </c>
      <c r="BE500" s="46">
        <v>69.981609195402299</v>
      </c>
      <c r="BF500" s="46">
        <v>83.628504672897193</v>
      </c>
      <c r="BG500" s="42" t="s">
        <v>152</v>
      </c>
      <c r="BH500" s="52">
        <v>0.45269693187044202</v>
      </c>
      <c r="BI500" s="52">
        <v>0.51187669456560203</v>
      </c>
      <c r="BJ500" s="42" t="s">
        <v>152</v>
      </c>
      <c r="BK500" s="46">
        <v>433.02776571264297</v>
      </c>
      <c r="BL500" s="46">
        <v>638.00354527981403</v>
      </c>
      <c r="BM500" s="42" t="s">
        <v>152</v>
      </c>
      <c r="BN500" s="48">
        <v>0</v>
      </c>
      <c r="BO500" s="42" t="s">
        <v>155</v>
      </c>
      <c r="BP500" s="42" t="s">
        <v>152</v>
      </c>
      <c r="BQ500" s="46">
        <v>0</v>
      </c>
      <c r="BR500" s="46">
        <v>614</v>
      </c>
      <c r="BS500" s="46">
        <v>49552</v>
      </c>
      <c r="BT500" s="46">
        <v>11348</v>
      </c>
      <c r="BU500" s="46">
        <v>4.3665844201621429</v>
      </c>
      <c r="BV500" s="46">
        <v>18.482084690553744</v>
      </c>
      <c r="BW500" s="46">
        <v>0</v>
      </c>
      <c r="BX500" s="46">
        <v>755</v>
      </c>
      <c r="BY500" s="46">
        <v>755</v>
      </c>
      <c r="BZ500" s="46">
        <v>6.6531547409235101E-2</v>
      </c>
      <c r="CA500" s="46">
        <v>0</v>
      </c>
      <c r="CB500" s="46">
        <v>6.6531547409235101E-2</v>
      </c>
      <c r="CC500" s="46">
        <v>0</v>
      </c>
      <c r="CD500" s="46">
        <v>0.11385266126189642</v>
      </c>
      <c r="CE500" s="46">
        <v>0</v>
      </c>
      <c r="CF500" s="46">
        <v>0.81961579132886853</v>
      </c>
      <c r="CG500" s="46">
        <v>0</v>
      </c>
      <c r="CH500" s="46">
        <v>0</v>
      </c>
      <c r="CI500" s="46">
        <v>5.4286406199547947</v>
      </c>
      <c r="CJ500" s="46">
        <v>0.1009041007426542</v>
      </c>
      <c r="CK500">
        <v>328</v>
      </c>
      <c r="CL500">
        <v>343.96</v>
      </c>
      <c r="CM500">
        <f t="shared" si="56"/>
        <v>15.95999999999998</v>
      </c>
      <c r="CN500">
        <v>9.82</v>
      </c>
      <c r="CO500">
        <v>9.4499999999999993</v>
      </c>
      <c r="CP500">
        <f t="shared" si="57"/>
        <v>-0.37000000000000099</v>
      </c>
      <c r="CQ500">
        <v>846.56</v>
      </c>
      <c r="CR500">
        <v>433.03</v>
      </c>
      <c r="CS500">
        <f t="shared" si="58"/>
        <v>413.53</v>
      </c>
      <c r="CT500" t="s">
        <v>150</v>
      </c>
      <c r="CU500">
        <v>103.87</v>
      </c>
      <c r="CV500">
        <v>101</v>
      </c>
      <c r="CW500" s="46">
        <v>755</v>
      </c>
      <c r="CX500" s="46">
        <f t="shared" si="52"/>
        <v>6.5125132181882259</v>
      </c>
      <c r="CY500" s="46">
        <v>15.96</v>
      </c>
      <c r="CZ500" s="46">
        <f t="shared" si="53"/>
        <v>6.6531547409235099</v>
      </c>
      <c r="DA500" s="46">
        <f t="shared" si="54"/>
        <v>14.987347720336926</v>
      </c>
      <c r="DB500" s="46">
        <v>170315.62</v>
      </c>
      <c r="DC500" s="46">
        <f t="shared" si="55"/>
        <v>0.83521237315161267</v>
      </c>
      <c r="DD500" s="46">
        <v>9491.32</v>
      </c>
      <c r="DE500" s="995">
        <v>755</v>
      </c>
      <c r="DF500" s="995">
        <v>6.4989999999999997</v>
      </c>
      <c r="DG500" s="995">
        <v>17.5</v>
      </c>
      <c r="DH500" s="995">
        <v>6.6529999999999996</v>
      </c>
      <c r="DI500" s="995">
        <v>222.88499999999999</v>
      </c>
      <c r="DJ500" s="995">
        <v>2533193</v>
      </c>
      <c r="DK500" s="995">
        <v>12.164999999999999</v>
      </c>
      <c r="DL500" s="995">
        <v>138265.29999999999</v>
      </c>
      <c r="DM500" s="995">
        <v>755</v>
      </c>
      <c r="DN500" s="995">
        <v>6.5209999999999999</v>
      </c>
      <c r="DO500" s="995">
        <v>15.1</v>
      </c>
      <c r="DP500" s="995">
        <v>6.6529999999999996</v>
      </c>
      <c r="DQ500" s="995">
        <v>221.53899999999999</v>
      </c>
      <c r="DR500" s="995">
        <v>2517364</v>
      </c>
      <c r="DS500" s="995">
        <v>12.09</v>
      </c>
      <c r="DT500" s="995">
        <v>137379.5</v>
      </c>
    </row>
    <row r="501" spans="1:124">
      <c r="A501" s="42" t="s">
        <v>94</v>
      </c>
      <c r="B501" s="42" t="s">
        <v>549</v>
      </c>
      <c r="C501" s="42" t="s">
        <v>703</v>
      </c>
      <c r="D501" s="42">
        <v>819358</v>
      </c>
      <c r="E501" s="42" t="s">
        <v>720</v>
      </c>
      <c r="F501" s="42" t="s">
        <v>149</v>
      </c>
      <c r="G501" s="42" t="s">
        <v>150</v>
      </c>
      <c r="H501" s="43" t="s">
        <v>150</v>
      </c>
      <c r="I501" s="44">
        <v>46</v>
      </c>
      <c r="J501" s="45">
        <v>231742.21839999899</v>
      </c>
      <c r="K501" s="46">
        <v>14203.000323</v>
      </c>
      <c r="L501" s="47">
        <v>245945.21872299901</v>
      </c>
      <c r="M501" s="48">
        <v>4985618</v>
      </c>
      <c r="N501" s="49">
        <v>3357666</v>
      </c>
      <c r="O501" s="49">
        <v>1623854</v>
      </c>
      <c r="P501" s="49">
        <v>4098</v>
      </c>
      <c r="Q501" s="50">
        <v>11425.4992431193</v>
      </c>
      <c r="R501" s="51">
        <v>11191.105627311499</v>
      </c>
      <c r="S501" s="49">
        <v>18476.293580237802</v>
      </c>
      <c r="T501" s="49">
        <v>3965.8770094224301</v>
      </c>
      <c r="U501" s="49">
        <f>IFERROR(INDEX('Rentabilidad datos'!$N$2:$N$61,MATCH($C501,'Rentabilidad datos'!$C$2:$C$61,0)),"")</f>
        <v>33633.276216971761</v>
      </c>
      <c r="V501" s="50">
        <f>IFERROR(INDEX('Rentabilidad datos'!$O$2:$O$61,MATCH($C501,'Rentabilidad datos'!$C$2:$C$61,0)),"")</f>
        <v>1159.7681454128194</v>
      </c>
      <c r="W501" s="51">
        <f>IFERROR(INDEX('Rentabilidad datos'!$M$2:$M$61,MATCH($C501,'Rentabilidad datos'!$C$2:$C$61,0)),"")</f>
        <v>2866.2444123371242</v>
      </c>
      <c r="X501" s="52">
        <f>IFERROR(INDEX('Rentabilidad datos'!$P$2:$P$61,MATCH($C501,'Rentabilidad datos'!$C$2:$C$61,0)),"")</f>
        <v>0.40462988446513848</v>
      </c>
      <c r="Y501" s="43" t="s">
        <v>171</v>
      </c>
      <c r="Z501" s="53">
        <v>82.094036697247702</v>
      </c>
      <c r="AA501" s="43">
        <v>2</v>
      </c>
      <c r="AB501" s="54">
        <v>0.93136457706948261</v>
      </c>
      <c r="AC501" s="55">
        <v>6.8635422930517345E-2</v>
      </c>
      <c r="AD501" s="752" t="e">
        <f>_xlfn.XLOOKUP(Table1[[#This Row],[Ruta]],#REF!,#REF!)</f>
        <v>#REF!</v>
      </c>
      <c r="AE501" s="752" t="e">
        <f>_xlfn.XLOOKUP(Table1[[#This Row],[Ruta]],#REF!,#REF!)</f>
        <v>#REF!</v>
      </c>
      <c r="AF501" s="752" t="e">
        <f>_xlfn.XLOOKUP(Table1[[#This Row],[Ruta]],#REF!,#REF!)</f>
        <v>#REF!</v>
      </c>
      <c r="AG501" s="752" t="e">
        <f>_xlfn.XLOOKUP(Table1[[#This Row],[Ruta]],#REF!,#REF!)</f>
        <v>#REF!</v>
      </c>
      <c r="AH501" s="52">
        <v>0.6734703701727649</v>
      </c>
      <c r="AI501" s="52">
        <v>0.325707665529128</v>
      </c>
      <c r="AJ501" s="55">
        <v>8.2196429810707516E-4</v>
      </c>
      <c r="AK501" s="56">
        <v>35793</v>
      </c>
      <c r="AL501" s="44">
        <v>18633</v>
      </c>
      <c r="AM501" s="54">
        <v>0.52057664906545997</v>
      </c>
      <c r="AN501" s="55">
        <v>0.50225307463674596</v>
      </c>
      <c r="AO501" s="56">
        <v>0</v>
      </c>
      <c r="AP501" s="48">
        <v>0</v>
      </c>
      <c r="AQ501" s="55">
        <v>0.52057664906545975</v>
      </c>
      <c r="AR501" s="51">
        <v>4981517.67</v>
      </c>
      <c r="AS501" s="49">
        <v>0</v>
      </c>
      <c r="AT501" s="55">
        <v>0</v>
      </c>
      <c r="AU501" s="51">
        <v>0</v>
      </c>
      <c r="AV501" s="52">
        <v>0</v>
      </c>
      <c r="AW501" s="44">
        <v>490</v>
      </c>
      <c r="AX501" s="51">
        <v>267.34920141684103</v>
      </c>
      <c r="AY501" s="49">
        <v>400.61</v>
      </c>
      <c r="AZ501" s="49">
        <v>133.26079858315899</v>
      </c>
      <c r="BA501" s="42" t="s">
        <v>150</v>
      </c>
      <c r="BB501" s="50">
        <v>872422.43189189269</v>
      </c>
      <c r="BC501" s="57">
        <v>872422.43189189269</v>
      </c>
      <c r="BD501" s="42" t="s">
        <v>150</v>
      </c>
      <c r="BE501" s="46">
        <v>82.094036697247702</v>
      </c>
      <c r="BF501" s="46">
        <v>83.628504672897193</v>
      </c>
      <c r="BG501" s="42" t="s">
        <v>152</v>
      </c>
      <c r="BH501" s="52">
        <v>0.52057664906545997</v>
      </c>
      <c r="BI501" s="52">
        <v>0.51187669456560203</v>
      </c>
      <c r="BJ501" s="42" t="s">
        <v>150</v>
      </c>
      <c r="BK501" s="46">
        <v>564.094538355503</v>
      </c>
      <c r="BL501" s="46">
        <v>638.00354527981403</v>
      </c>
      <c r="BM501" s="42" t="s">
        <v>152</v>
      </c>
      <c r="BN501" s="48">
        <v>1</v>
      </c>
      <c r="BO501" s="42" t="s">
        <v>155</v>
      </c>
      <c r="BP501" s="42" t="s">
        <v>152</v>
      </c>
      <c r="BQ501" s="46">
        <v>476.19085564516701</v>
      </c>
      <c r="BR501" s="46">
        <v>247</v>
      </c>
      <c r="BS501" s="46">
        <v>25977</v>
      </c>
      <c r="BT501" s="46">
        <v>6405</v>
      </c>
      <c r="BU501" s="46">
        <v>4.055737704918033</v>
      </c>
      <c r="BV501" s="46">
        <v>25.931174089068826</v>
      </c>
      <c r="BW501" s="46">
        <v>0</v>
      </c>
      <c r="BX501" s="46">
        <v>0</v>
      </c>
      <c r="BY501" s="46">
        <v>0</v>
      </c>
      <c r="BZ501" s="46">
        <v>0</v>
      </c>
      <c r="CA501" s="46">
        <v>0</v>
      </c>
      <c r="CB501" s="46">
        <v>0</v>
      </c>
      <c r="CC501" s="46">
        <v>0.33911007025761131</v>
      </c>
      <c r="CD501" s="46">
        <v>0.14113973458235751</v>
      </c>
      <c r="CE501" s="46">
        <v>0</v>
      </c>
      <c r="CF501" s="46">
        <v>0.51975019516003118</v>
      </c>
      <c r="CG501" s="46">
        <v>0</v>
      </c>
      <c r="CH501" s="46">
        <v>0</v>
      </c>
      <c r="CI501" s="46">
        <v>4.5039842937983599</v>
      </c>
      <c r="CJ501" s="46">
        <v>3.8495592254686843E-2</v>
      </c>
      <c r="CK501">
        <v>313</v>
      </c>
      <c r="CL501">
        <v>313</v>
      </c>
      <c r="CM501">
        <f t="shared" si="56"/>
        <v>0</v>
      </c>
      <c r="CO501">
        <v>9.4499999999999993</v>
      </c>
      <c r="CP501">
        <f t="shared" si="57"/>
        <v>9.4499999999999993</v>
      </c>
      <c r="CS501">
        <f t="shared" si="58"/>
        <v>0</v>
      </c>
      <c r="CV501">
        <v>0</v>
      </c>
      <c r="CW501" s="46">
        <v>0</v>
      </c>
      <c r="CX501" s="46">
        <f t="shared" si="52"/>
        <v>0</v>
      </c>
      <c r="CY501" s="46">
        <v>0</v>
      </c>
      <c r="CZ501" s="46">
        <f t="shared" si="53"/>
        <v>0</v>
      </c>
      <c r="DA501" s="46">
        <f t="shared" si="54"/>
        <v>0</v>
      </c>
      <c r="DB501" s="46">
        <v>0</v>
      </c>
      <c r="DC501" s="46">
        <f t="shared" si="55"/>
        <v>0</v>
      </c>
      <c r="DD501" s="46">
        <v>0</v>
      </c>
      <c r="DE501" s="995">
        <v>0</v>
      </c>
      <c r="DF501" s="995">
        <v>0</v>
      </c>
      <c r="DG501" s="995">
        <v>0</v>
      </c>
      <c r="DH501" s="995">
        <v>0</v>
      </c>
      <c r="DI501" s="995">
        <v>453.351</v>
      </c>
      <c r="DJ501" s="995">
        <v>2903712</v>
      </c>
      <c r="DK501" s="995">
        <v>22.079000000000001</v>
      </c>
      <c r="DL501" s="995">
        <v>141418.70000000001</v>
      </c>
      <c r="DM501" s="995">
        <v>0</v>
      </c>
      <c r="DN501" s="995">
        <v>0</v>
      </c>
      <c r="DO501" s="995">
        <v>0</v>
      </c>
      <c r="DP501" s="995">
        <v>0</v>
      </c>
      <c r="DQ501" s="995">
        <v>453.351</v>
      </c>
      <c r="DR501" s="995">
        <v>2903712</v>
      </c>
      <c r="DS501" s="995">
        <v>22.079000000000001</v>
      </c>
      <c r="DT501" s="995">
        <v>141418.70000000001</v>
      </c>
    </row>
    <row r="502" spans="1:124">
      <c r="A502" s="42" t="s">
        <v>94</v>
      </c>
      <c r="B502" s="42" t="s">
        <v>549</v>
      </c>
      <c r="C502" s="42" t="s">
        <v>703</v>
      </c>
      <c r="D502" s="42">
        <v>819359</v>
      </c>
      <c r="E502" s="42" t="s">
        <v>721</v>
      </c>
      <c r="F502" s="42" t="s">
        <v>149</v>
      </c>
      <c r="G502" s="42" t="s">
        <v>150</v>
      </c>
      <c r="H502" s="43" t="s">
        <v>150</v>
      </c>
      <c r="I502" s="44">
        <v>46</v>
      </c>
      <c r="J502" s="45">
        <v>233802.8224</v>
      </c>
      <c r="K502" s="46">
        <v>10556.043263</v>
      </c>
      <c r="L502" s="47">
        <v>244358.865663</v>
      </c>
      <c r="M502" s="48">
        <v>4707449</v>
      </c>
      <c r="N502" s="49">
        <v>3396980</v>
      </c>
      <c r="O502" s="49">
        <v>1308977</v>
      </c>
      <c r="P502" s="49">
        <v>1492</v>
      </c>
      <c r="Q502" s="50">
        <v>10744.193904109599</v>
      </c>
      <c r="R502" s="51">
        <v>11191.105627311499</v>
      </c>
      <c r="S502" s="49">
        <v>18476.293580237802</v>
      </c>
      <c r="T502" s="49">
        <v>3965.8770094224301</v>
      </c>
      <c r="U502" s="49">
        <f>IFERROR(INDEX('Rentabilidad datos'!$N$2:$N$61,MATCH($C502,'Rentabilidad datos'!$C$2:$C$61,0)),"")</f>
        <v>33633.276216971761</v>
      </c>
      <c r="V502" s="50">
        <f>IFERROR(INDEX('Rentabilidad datos'!$O$2:$O$61,MATCH($C502,'Rentabilidad datos'!$C$2:$C$61,0)),"")</f>
        <v>1159.7681454128194</v>
      </c>
      <c r="W502" s="51">
        <f>IFERROR(INDEX('Rentabilidad datos'!$M$2:$M$61,MATCH($C502,'Rentabilidad datos'!$C$2:$C$61,0)),"")</f>
        <v>2866.2444123371242</v>
      </c>
      <c r="X502" s="52">
        <f>IFERROR(INDEX('Rentabilidad datos'!$P$2:$P$61,MATCH($C502,'Rentabilidad datos'!$C$2:$C$61,0)),"")</f>
        <v>0.40462988446513848</v>
      </c>
      <c r="Y502" s="43" t="s">
        <v>171</v>
      </c>
      <c r="Z502" s="53">
        <v>65.281464530892507</v>
      </c>
      <c r="AA502" s="43">
        <v>2</v>
      </c>
      <c r="AB502" s="54">
        <v>0.98646613059429855</v>
      </c>
      <c r="AC502" s="55">
        <v>1.3533869405701475E-2</v>
      </c>
      <c r="AD502" s="752" t="e">
        <f>_xlfn.XLOOKUP(Table1[[#This Row],[Ruta]],#REF!,#REF!)</f>
        <v>#REF!</v>
      </c>
      <c r="AE502" s="752" t="e">
        <f>_xlfn.XLOOKUP(Table1[[#This Row],[Ruta]],#REF!,#REF!)</f>
        <v>#REF!</v>
      </c>
      <c r="AF502" s="752" t="e">
        <f>_xlfn.XLOOKUP(Table1[[#This Row],[Ruta]],#REF!,#REF!)</f>
        <v>#REF!</v>
      </c>
      <c r="AG502" s="752" t="e">
        <f>_xlfn.XLOOKUP(Table1[[#This Row],[Ruta]],#REF!,#REF!)</f>
        <v>#REF!</v>
      </c>
      <c r="AH502" s="52">
        <v>0.72161801434280015</v>
      </c>
      <c r="AI502" s="52">
        <v>0.27806504117198083</v>
      </c>
      <c r="AJ502" s="55">
        <v>3.1694448521906452E-4</v>
      </c>
      <c r="AK502" s="56">
        <v>28528</v>
      </c>
      <c r="AL502" s="44">
        <v>13490</v>
      </c>
      <c r="AM502" s="54">
        <v>0.47279865395401</v>
      </c>
      <c r="AN502" s="55">
        <v>0.50225307463674596</v>
      </c>
      <c r="AO502" s="56">
        <v>840.27571323708298</v>
      </c>
      <c r="AP502" s="48">
        <v>420.13785661854149</v>
      </c>
      <c r="AQ502" s="55">
        <v>0.48759597085735212</v>
      </c>
      <c r="AR502" s="51">
        <v>4705956.93</v>
      </c>
      <c r="AS502" s="49">
        <v>146564.170341688</v>
      </c>
      <c r="AT502" s="55">
        <v>3.1144392632953401E-2</v>
      </c>
      <c r="AU502" s="51">
        <v>102991.03861848351</v>
      </c>
      <c r="AV502" s="52">
        <v>4.6851598098704639E-4</v>
      </c>
      <c r="AW502" s="44">
        <v>393</v>
      </c>
      <c r="AX502" s="51">
        <v>348.84780800593001</v>
      </c>
      <c r="AY502" s="49">
        <v>400.61</v>
      </c>
      <c r="AZ502" s="49">
        <v>51.762191994070008</v>
      </c>
      <c r="BA502" s="42" t="s">
        <v>150</v>
      </c>
      <c r="BB502" s="50">
        <v>245338.80027027189</v>
      </c>
      <c r="BC502" s="57">
        <v>348329.83888875542</v>
      </c>
      <c r="BD502" s="42" t="s">
        <v>150</v>
      </c>
      <c r="BE502" s="46">
        <v>65.281464530892507</v>
      </c>
      <c r="BF502" s="46">
        <v>83.628504672897193</v>
      </c>
      <c r="BG502" s="42" t="s">
        <v>152</v>
      </c>
      <c r="BH502" s="52">
        <v>0.47279865395401</v>
      </c>
      <c r="BI502" s="52">
        <v>0.51187669456560203</v>
      </c>
      <c r="BJ502" s="42" t="s">
        <v>152</v>
      </c>
      <c r="BK502" s="46">
        <v>557.89695356849199</v>
      </c>
      <c r="BL502" s="46">
        <v>638.00354527981403</v>
      </c>
      <c r="BM502" s="42" t="s">
        <v>152</v>
      </c>
      <c r="BN502" s="48">
        <v>0</v>
      </c>
      <c r="BO502" s="42" t="s">
        <v>155</v>
      </c>
      <c r="BP502" s="42" t="s">
        <v>152</v>
      </c>
      <c r="BQ502" s="46">
        <v>4662.16101262959</v>
      </c>
      <c r="BR502" s="46">
        <v>140</v>
      </c>
      <c r="BS502" s="46">
        <v>13022</v>
      </c>
      <c r="BT502" s="46">
        <v>4331</v>
      </c>
      <c r="BU502" s="46">
        <v>3.0066959131840223</v>
      </c>
      <c r="BV502" s="46">
        <v>30.935714285714287</v>
      </c>
      <c r="BW502" s="46">
        <v>0</v>
      </c>
      <c r="BX502" s="46">
        <v>1120</v>
      </c>
      <c r="BY502" s="46">
        <v>1120</v>
      </c>
      <c r="BZ502" s="46">
        <v>0.25860078503809741</v>
      </c>
      <c r="CA502" s="46">
        <v>0</v>
      </c>
      <c r="CB502" s="46">
        <v>0.25860078503809741</v>
      </c>
      <c r="CC502" s="46">
        <v>0.74139921496190253</v>
      </c>
      <c r="CD502" s="46">
        <v>0</v>
      </c>
      <c r="CE502" s="46">
        <v>0</v>
      </c>
      <c r="CF502" s="46">
        <v>0</v>
      </c>
      <c r="CG502" s="46">
        <v>0</v>
      </c>
      <c r="CH502" s="46">
        <v>0</v>
      </c>
      <c r="CI502" s="46">
        <v>2.3805866994317308</v>
      </c>
      <c r="CJ502" s="46">
        <v>0.38396559668253732</v>
      </c>
      <c r="CK502">
        <v>373</v>
      </c>
      <c r="CL502">
        <v>413.31</v>
      </c>
      <c r="CM502">
        <f t="shared" si="56"/>
        <v>40.31</v>
      </c>
      <c r="CN502">
        <v>9.4499999999999993</v>
      </c>
      <c r="CO502">
        <v>9.4499999999999993</v>
      </c>
      <c r="CP502">
        <f t="shared" si="57"/>
        <v>0</v>
      </c>
      <c r="CQ502">
        <v>846.56</v>
      </c>
      <c r="CR502">
        <v>557.9</v>
      </c>
      <c r="CS502">
        <f t="shared" si="58"/>
        <v>288.65999999999997</v>
      </c>
      <c r="CT502" t="s">
        <v>150</v>
      </c>
      <c r="CU502">
        <v>103.41</v>
      </c>
      <c r="CV502">
        <v>189</v>
      </c>
      <c r="CW502" s="46">
        <v>1120</v>
      </c>
      <c r="CX502" s="46">
        <f t="shared" si="52"/>
        <v>24.929346571230663</v>
      </c>
      <c r="CY502" s="46">
        <v>40.31</v>
      </c>
      <c r="CZ502" s="46">
        <f t="shared" si="53"/>
        <v>25.860078503809742</v>
      </c>
      <c r="DA502" s="46">
        <f t="shared" si="54"/>
        <v>144.43486963862091</v>
      </c>
      <c r="DB502" s="46">
        <v>631369.59</v>
      </c>
      <c r="DC502" s="46">
        <f t="shared" si="55"/>
        <v>7.0424449421340505</v>
      </c>
      <c r="DD502" s="46">
        <v>30784.71</v>
      </c>
      <c r="DE502" s="995">
        <v>1120</v>
      </c>
      <c r="DF502" s="995">
        <v>24.751999999999999</v>
      </c>
      <c r="DG502" s="995">
        <v>48</v>
      </c>
      <c r="DH502" s="995">
        <v>25.86</v>
      </c>
      <c r="DI502" s="995">
        <v>1292.4159999999999</v>
      </c>
      <c r="DJ502" s="995">
        <v>5659490</v>
      </c>
      <c r="DK502" s="995">
        <v>64.183000000000007</v>
      </c>
      <c r="DL502" s="995">
        <v>281055.2</v>
      </c>
      <c r="DM502" s="995">
        <v>1120</v>
      </c>
      <c r="DN502" s="995">
        <v>24.940999999999999</v>
      </c>
      <c r="DO502" s="995">
        <v>39.799999999999997</v>
      </c>
      <c r="DP502" s="995">
        <v>25.86</v>
      </c>
      <c r="DQ502" s="995">
        <v>1276.6659999999999</v>
      </c>
      <c r="DR502" s="995">
        <v>5580047</v>
      </c>
      <c r="DS502" s="995">
        <v>63.414999999999999</v>
      </c>
      <c r="DT502" s="995">
        <v>277173.7</v>
      </c>
    </row>
    <row r="503" spans="1:124">
      <c r="A503" s="42" t="s">
        <v>94</v>
      </c>
      <c r="B503" s="42" t="s">
        <v>549</v>
      </c>
      <c r="C503" s="42" t="s">
        <v>703</v>
      </c>
      <c r="D503" s="42">
        <v>819401</v>
      </c>
      <c r="E503" s="42" t="s">
        <v>722</v>
      </c>
      <c r="F503" s="42" t="s">
        <v>149</v>
      </c>
      <c r="G503" s="42" t="s">
        <v>150</v>
      </c>
      <c r="H503" s="43" t="s">
        <v>152</v>
      </c>
      <c r="I503" s="44">
        <v>46</v>
      </c>
      <c r="J503" s="45">
        <v>2074.6936000000001</v>
      </c>
      <c r="K503" s="46">
        <v>1089.5147750000001</v>
      </c>
      <c r="L503" s="47">
        <v>3164.2083750000002</v>
      </c>
      <c r="M503" s="48">
        <v>113709</v>
      </c>
      <c r="N503" s="49">
        <v>24462</v>
      </c>
      <c r="O503" s="49">
        <v>89247</v>
      </c>
      <c r="P503" s="49">
        <v>0</v>
      </c>
      <c r="Q503" s="50">
        <v>1557.67479452055</v>
      </c>
      <c r="R503" s="51">
        <v>11191.105627311499</v>
      </c>
      <c r="S503" s="49">
        <v>18476.293580237802</v>
      </c>
      <c r="T503" s="49">
        <v>3965.8770094224301</v>
      </c>
      <c r="U503" s="49">
        <f>IFERROR(INDEX('Rentabilidad datos'!$N$2:$N$61,MATCH($C503,'Rentabilidad datos'!$C$2:$C$61,0)),"")</f>
        <v>33633.276216971761</v>
      </c>
      <c r="V503" s="50">
        <f>IFERROR(INDEX('Rentabilidad datos'!$O$2:$O$61,MATCH($C503,'Rentabilidad datos'!$C$2:$C$61,0)),"")</f>
        <v>1159.7681454128194</v>
      </c>
      <c r="W503" s="51">
        <f>IFERROR(INDEX('Rentabilidad datos'!$M$2:$M$61,MATCH($C503,'Rentabilidad datos'!$C$2:$C$61,0)),"")</f>
        <v>2866.2444123371242</v>
      </c>
      <c r="X503" s="52">
        <f>IFERROR(INDEX('Rentabilidad datos'!$P$2:$P$61,MATCH($C503,'Rentabilidad datos'!$C$2:$C$61,0)),"")</f>
        <v>0.40462988446513848</v>
      </c>
      <c r="Y503" s="43" t="s">
        <v>171</v>
      </c>
      <c r="Z503" s="53">
        <v>0</v>
      </c>
      <c r="AA503" s="43">
        <v>2</v>
      </c>
      <c r="AB503" s="54">
        <v>4.1993157973423387E-2</v>
      </c>
      <c r="AC503" s="55">
        <v>0.9580068420265766</v>
      </c>
      <c r="AD503" s="752" t="e">
        <f>_xlfn.XLOOKUP(Table1[[#This Row],[Ruta]],#REF!,#REF!)</f>
        <v>#REF!</v>
      </c>
      <c r="AE503" s="752" t="e">
        <f>_xlfn.XLOOKUP(Table1[[#This Row],[Ruta]],#REF!,#REF!)</f>
        <v>#REF!</v>
      </c>
      <c r="AF503" s="752" t="e">
        <f>_xlfn.XLOOKUP(Table1[[#This Row],[Ruta]],#REF!,#REF!)</f>
        <v>#REF!</v>
      </c>
      <c r="AG503" s="752" t="e">
        <f>_xlfn.XLOOKUP(Table1[[#This Row],[Ruta]],#REF!,#REF!)</f>
        <v>#REF!</v>
      </c>
      <c r="AH503" s="52">
        <v>0.21512809012479223</v>
      </c>
      <c r="AI503" s="52">
        <v>0.78487190987520772</v>
      </c>
      <c r="AJ503" s="55">
        <v>0</v>
      </c>
      <c r="AK503" s="56">
        <v>0</v>
      </c>
      <c r="AL503" s="44">
        <v>125</v>
      </c>
      <c r="AM503" s="54">
        <v>0</v>
      </c>
      <c r="AN503" s="55">
        <v>0.50225307463674596</v>
      </c>
      <c r="AO503" s="56">
        <v>0</v>
      </c>
      <c r="AP503" s="48">
        <v>0</v>
      </c>
      <c r="AQ503" s="55" t="s">
        <v>194</v>
      </c>
      <c r="AR503" s="51">
        <v>113710.26</v>
      </c>
      <c r="AS503" s="49">
        <v>0</v>
      </c>
      <c r="AT503" s="55">
        <v>0</v>
      </c>
      <c r="AU503" s="51">
        <v>0</v>
      </c>
      <c r="AV503" s="52">
        <v>0</v>
      </c>
      <c r="AW503" s="44">
        <v>490</v>
      </c>
      <c r="AX503" s="51">
        <v>909.68208000000004</v>
      </c>
      <c r="AY503" s="49">
        <v>400.61</v>
      </c>
      <c r="AZ503" s="49">
        <v>0</v>
      </c>
      <c r="BA503" s="42" t="s">
        <v>152</v>
      </c>
      <c r="BB503" s="50">
        <v>0</v>
      </c>
      <c r="BC503" s="57">
        <v>0</v>
      </c>
      <c r="BD503" s="42" t="s">
        <v>152</v>
      </c>
      <c r="BE503" s="46" t="s">
        <v>195</v>
      </c>
      <c r="BF503" s="46" t="s">
        <v>195</v>
      </c>
      <c r="BG503" s="42" t="s">
        <v>195</v>
      </c>
      <c r="BH503" s="52" t="s">
        <v>195</v>
      </c>
      <c r="BI503" s="52" t="s">
        <v>195</v>
      </c>
      <c r="BJ503" s="42" t="s">
        <v>195</v>
      </c>
      <c r="BK503" s="46" t="s">
        <v>195</v>
      </c>
      <c r="BL503" s="46" t="s">
        <v>195</v>
      </c>
      <c r="BM503" s="42" t="s">
        <v>195</v>
      </c>
      <c r="BN503" s="48" t="s">
        <v>195</v>
      </c>
      <c r="BO503" s="42" t="s">
        <v>195</v>
      </c>
      <c r="BP503" s="42" t="s">
        <v>152</v>
      </c>
      <c r="BQ503" s="46">
        <v>0</v>
      </c>
      <c r="BR503" s="46" t="e">
        <v>#N/A</v>
      </c>
      <c r="BS503" s="46" t="e">
        <v>#N/A</v>
      </c>
      <c r="BT503" s="46" t="e">
        <v>#N/A</v>
      </c>
      <c r="BU503" s="46" t="e">
        <v>#N/A</v>
      </c>
      <c r="BV503" s="46" t="e">
        <v>#N/A</v>
      </c>
      <c r="BW503" s="46" t="e">
        <v>#N/A</v>
      </c>
      <c r="BX503" s="46" t="e">
        <v>#N/A</v>
      </c>
      <c r="BY503" s="46" t="e">
        <v>#N/A</v>
      </c>
      <c r="BZ503" s="46" t="e">
        <v>#N/A</v>
      </c>
      <c r="CA503" s="46" t="e">
        <v>#N/A</v>
      </c>
      <c r="CB503" s="46" t="e">
        <v>#N/A</v>
      </c>
      <c r="CC503" s="46" t="e">
        <v>#N/A</v>
      </c>
      <c r="CD503" s="46" t="e">
        <v>#N/A</v>
      </c>
      <c r="CE503" s="46" t="e">
        <v>#N/A</v>
      </c>
      <c r="CF503" s="46" t="e">
        <v>#N/A</v>
      </c>
      <c r="CG503" s="46" t="e">
        <v>#N/A</v>
      </c>
      <c r="CH503" s="46" t="e">
        <v>#N/A</v>
      </c>
      <c r="CI503" s="46" t="e">
        <v>#N/A</v>
      </c>
      <c r="CJ503" s="46" t="e">
        <v>#N/A</v>
      </c>
      <c r="CM503">
        <f t="shared" si="56"/>
        <v>0</v>
      </c>
      <c r="CP503">
        <f t="shared" si="57"/>
        <v>0</v>
      </c>
      <c r="CS503">
        <f t="shared" si="58"/>
        <v>0</v>
      </c>
      <c r="CW503" s="46"/>
      <c r="CX503" s="46" t="e">
        <f t="shared" si="52"/>
        <v>#N/A</v>
      </c>
      <c r="CY503" s="46"/>
      <c r="CZ503" s="46" t="e">
        <f t="shared" si="53"/>
        <v>#N/A</v>
      </c>
      <c r="DA503" s="46" t="e">
        <f t="shared" si="54"/>
        <v>#N/A</v>
      </c>
      <c r="DB503" s="46"/>
      <c r="DC503" s="46" t="e">
        <f t="shared" si="55"/>
        <v>#N/A</v>
      </c>
      <c r="DD503" s="46"/>
      <c r="DE503" s="995" t="s">
        <v>194</v>
      </c>
      <c r="DF503" s="995" t="s">
        <v>194</v>
      </c>
      <c r="DG503" s="995" t="s">
        <v>194</v>
      </c>
      <c r="DH503" s="995" t="s">
        <v>194</v>
      </c>
      <c r="DI503" s="995" t="s">
        <v>194</v>
      </c>
      <c r="DJ503" s="995" t="s">
        <v>194</v>
      </c>
      <c r="DK503" s="995" t="s">
        <v>194</v>
      </c>
      <c r="DL503" s="995" t="s">
        <v>194</v>
      </c>
      <c r="DM503" s="995" t="s">
        <v>194</v>
      </c>
      <c r="DN503" s="995" t="s">
        <v>194</v>
      </c>
      <c r="DO503" s="995" t="s">
        <v>194</v>
      </c>
      <c r="DP503" s="995" t="s">
        <v>194</v>
      </c>
      <c r="DQ503" s="995" t="s">
        <v>194</v>
      </c>
      <c r="DR503" s="995" t="s">
        <v>194</v>
      </c>
      <c r="DS503" s="995" t="s">
        <v>194</v>
      </c>
      <c r="DT503" s="995" t="s">
        <v>194</v>
      </c>
    </row>
    <row r="504" spans="1:124">
      <c r="A504" s="42" t="s">
        <v>94</v>
      </c>
      <c r="B504" s="42" t="s">
        <v>549</v>
      </c>
      <c r="C504" s="42" t="s">
        <v>703</v>
      </c>
      <c r="D504" s="42">
        <v>819402</v>
      </c>
      <c r="E504" s="42" t="s">
        <v>723</v>
      </c>
      <c r="F504" s="42" t="s">
        <v>149</v>
      </c>
      <c r="G504" s="42" t="s">
        <v>150</v>
      </c>
      <c r="H504" s="43" t="s">
        <v>152</v>
      </c>
      <c r="I504" s="44">
        <v>46</v>
      </c>
      <c r="J504" s="45">
        <v>137.37360000000001</v>
      </c>
      <c r="K504" s="46">
        <v>17.783374999999999</v>
      </c>
      <c r="L504" s="47">
        <v>155.15697499999999</v>
      </c>
      <c r="M504" s="48">
        <v>3682</v>
      </c>
      <c r="N504" s="49">
        <v>1709</v>
      </c>
      <c r="O504" s="49">
        <v>1973</v>
      </c>
      <c r="P504" s="49">
        <v>0</v>
      </c>
      <c r="Q504" s="50">
        <v>306.89166666666699</v>
      </c>
      <c r="R504" s="51">
        <v>11191.105627311499</v>
      </c>
      <c r="S504" s="49">
        <v>18476.293580237802</v>
      </c>
      <c r="T504" s="49">
        <v>3965.8770094224301</v>
      </c>
      <c r="U504" s="49">
        <f>IFERROR(INDEX('Rentabilidad datos'!$N$2:$N$61,MATCH($C504,'Rentabilidad datos'!$C$2:$C$61,0)),"")</f>
        <v>33633.276216971761</v>
      </c>
      <c r="V504" s="50">
        <f>IFERROR(INDEX('Rentabilidad datos'!$O$2:$O$61,MATCH($C504,'Rentabilidad datos'!$C$2:$C$61,0)),"")</f>
        <v>1159.7681454128194</v>
      </c>
      <c r="W504" s="51">
        <f>IFERROR(INDEX('Rentabilidad datos'!$M$2:$M$61,MATCH($C504,'Rentabilidad datos'!$C$2:$C$61,0)),"")</f>
        <v>2866.2444123371242</v>
      </c>
      <c r="X504" s="52">
        <f>IFERROR(INDEX('Rentabilidad datos'!$P$2:$P$61,MATCH($C504,'Rentabilidad datos'!$C$2:$C$61,0)),"")</f>
        <v>0.40462988446513848</v>
      </c>
      <c r="Y504" s="43" t="s">
        <v>171</v>
      </c>
      <c r="Z504" s="53">
        <v>0</v>
      </c>
      <c r="AA504" s="43">
        <v>2</v>
      </c>
      <c r="AB504" s="54">
        <v>0</v>
      </c>
      <c r="AC504" s="55">
        <v>1</v>
      </c>
      <c r="AD504" s="752" t="e">
        <f>_xlfn.XLOOKUP(Table1[[#This Row],[Ruta]],#REF!,#REF!)</f>
        <v>#REF!</v>
      </c>
      <c r="AE504" s="752" t="e">
        <f>_xlfn.XLOOKUP(Table1[[#This Row],[Ruta]],#REF!,#REF!)</f>
        <v>#REF!</v>
      </c>
      <c r="AF504" s="752" t="e">
        <f>_xlfn.XLOOKUP(Table1[[#This Row],[Ruta]],#REF!,#REF!)</f>
        <v>#REF!</v>
      </c>
      <c r="AG504" s="752" t="e">
        <f>_xlfn.XLOOKUP(Table1[[#This Row],[Ruta]],#REF!,#REF!)</f>
        <v>#REF!</v>
      </c>
      <c r="AH504" s="52">
        <v>0.46414991852254212</v>
      </c>
      <c r="AI504" s="52">
        <v>0.53585008147745794</v>
      </c>
      <c r="AJ504" s="55">
        <v>0</v>
      </c>
      <c r="AK504" s="56">
        <v>0</v>
      </c>
      <c r="AL504" s="44">
        <v>13</v>
      </c>
      <c r="AM504" s="54">
        <v>0</v>
      </c>
      <c r="AN504" s="55">
        <v>0.50225307463674596</v>
      </c>
      <c r="AO504" s="56">
        <v>0</v>
      </c>
      <c r="AP504" s="48">
        <v>0</v>
      </c>
      <c r="AQ504" s="55" t="s">
        <v>194</v>
      </c>
      <c r="AR504" s="51">
        <v>3682.7</v>
      </c>
      <c r="AS504" s="49">
        <v>0</v>
      </c>
      <c r="AT504" s="55">
        <v>0</v>
      </c>
      <c r="AU504" s="51">
        <v>0</v>
      </c>
      <c r="AV504" s="52">
        <v>0</v>
      </c>
      <c r="AW504" s="44">
        <v>490</v>
      </c>
      <c r="AX504" s="51">
        <v>283.28461538461499</v>
      </c>
      <c r="AY504" s="49">
        <v>400.61</v>
      </c>
      <c r="AZ504" s="49">
        <v>117.32538461538502</v>
      </c>
      <c r="BA504" s="42" t="s">
        <v>150</v>
      </c>
      <c r="BB504" s="50">
        <v>535.8916216216237</v>
      </c>
      <c r="BC504" s="57">
        <v>535.8916216216237</v>
      </c>
      <c r="BD504" s="42" t="s">
        <v>152</v>
      </c>
      <c r="BE504" s="46" t="s">
        <v>195</v>
      </c>
      <c r="BF504" s="46" t="s">
        <v>195</v>
      </c>
      <c r="BG504" s="42" t="s">
        <v>195</v>
      </c>
      <c r="BH504" s="52" t="s">
        <v>195</v>
      </c>
      <c r="BI504" s="52" t="s">
        <v>195</v>
      </c>
      <c r="BJ504" s="42" t="s">
        <v>195</v>
      </c>
      <c r="BK504" s="46" t="s">
        <v>195</v>
      </c>
      <c r="BL504" s="46" t="s">
        <v>195</v>
      </c>
      <c r="BM504" s="42" t="s">
        <v>195</v>
      </c>
      <c r="BN504" s="48" t="s">
        <v>195</v>
      </c>
      <c r="BO504" s="42" t="s">
        <v>195</v>
      </c>
      <c r="BP504" s="42" t="s">
        <v>152</v>
      </c>
      <c r="BQ504" s="46">
        <v>0</v>
      </c>
      <c r="BR504" s="46" t="e">
        <v>#N/A</v>
      </c>
      <c r="BS504" s="46" t="e">
        <v>#N/A</v>
      </c>
      <c r="BT504" s="46" t="e">
        <v>#N/A</v>
      </c>
      <c r="BU504" s="46" t="e">
        <v>#N/A</v>
      </c>
      <c r="BV504" s="46" t="e">
        <v>#N/A</v>
      </c>
      <c r="BW504" s="46" t="e">
        <v>#N/A</v>
      </c>
      <c r="BX504" s="46" t="e">
        <v>#N/A</v>
      </c>
      <c r="BY504" s="46" t="e">
        <v>#N/A</v>
      </c>
      <c r="BZ504" s="46" t="e">
        <v>#N/A</v>
      </c>
      <c r="CA504" s="46" t="e">
        <v>#N/A</v>
      </c>
      <c r="CB504" s="46" t="e">
        <v>#N/A</v>
      </c>
      <c r="CC504" s="46" t="e">
        <v>#N/A</v>
      </c>
      <c r="CD504" s="46" t="e">
        <v>#N/A</v>
      </c>
      <c r="CE504" s="46" t="e">
        <v>#N/A</v>
      </c>
      <c r="CF504" s="46" t="e">
        <v>#N/A</v>
      </c>
      <c r="CG504" s="46" t="e">
        <v>#N/A</v>
      </c>
      <c r="CH504" s="46" t="e">
        <v>#N/A</v>
      </c>
      <c r="CI504" s="46" t="e">
        <v>#N/A</v>
      </c>
      <c r="CJ504" s="46" t="e">
        <v>#N/A</v>
      </c>
      <c r="CM504">
        <f t="shared" si="56"/>
        <v>0</v>
      </c>
      <c r="CP504">
        <f t="shared" si="57"/>
        <v>0</v>
      </c>
      <c r="CS504">
        <f t="shared" si="58"/>
        <v>0</v>
      </c>
      <c r="CW504" s="46"/>
      <c r="CX504" s="46" t="e">
        <f t="shared" si="52"/>
        <v>#N/A</v>
      </c>
      <c r="CY504" s="46"/>
      <c r="CZ504" s="46" t="e">
        <f t="shared" si="53"/>
        <v>#N/A</v>
      </c>
      <c r="DA504" s="46" t="e">
        <f t="shared" si="54"/>
        <v>#N/A</v>
      </c>
      <c r="DB504" s="46"/>
      <c r="DC504" s="46" t="e">
        <f t="shared" si="55"/>
        <v>#N/A</v>
      </c>
      <c r="DD504" s="46"/>
      <c r="DE504" s="995" t="s">
        <v>194</v>
      </c>
      <c r="DF504" s="995" t="s">
        <v>194</v>
      </c>
      <c r="DG504" s="995" t="s">
        <v>194</v>
      </c>
      <c r="DH504" s="995" t="s">
        <v>194</v>
      </c>
      <c r="DI504" s="995" t="s">
        <v>194</v>
      </c>
      <c r="DJ504" s="995" t="s">
        <v>194</v>
      </c>
      <c r="DK504" s="995" t="s">
        <v>194</v>
      </c>
      <c r="DL504" s="995" t="s">
        <v>194</v>
      </c>
      <c r="DM504" s="995" t="s">
        <v>194</v>
      </c>
      <c r="DN504" s="995" t="s">
        <v>194</v>
      </c>
      <c r="DO504" s="995" t="s">
        <v>194</v>
      </c>
      <c r="DP504" s="995" t="s">
        <v>194</v>
      </c>
      <c r="DQ504" s="995" t="s">
        <v>194</v>
      </c>
      <c r="DR504" s="995" t="s">
        <v>194</v>
      </c>
      <c r="DS504" s="995" t="s">
        <v>194</v>
      </c>
      <c r="DT504" s="995" t="s">
        <v>194</v>
      </c>
    </row>
    <row r="505" spans="1:124">
      <c r="A505" s="42" t="s">
        <v>94</v>
      </c>
      <c r="B505" s="42" t="s">
        <v>549</v>
      </c>
      <c r="C505" s="42" t="s">
        <v>703</v>
      </c>
      <c r="D505" s="42">
        <v>819403</v>
      </c>
      <c r="E505" s="42" t="s">
        <v>724</v>
      </c>
      <c r="F505" s="42" t="s">
        <v>193</v>
      </c>
      <c r="G505" s="42" t="s">
        <v>150</v>
      </c>
      <c r="H505" s="43" t="s">
        <v>152</v>
      </c>
      <c r="I505" s="44">
        <v>46</v>
      </c>
      <c r="J505" s="45">
        <v>0</v>
      </c>
      <c r="K505" s="46">
        <v>56.4101</v>
      </c>
      <c r="L505" s="47">
        <v>56.4101</v>
      </c>
      <c r="M505" s="48">
        <v>0</v>
      </c>
      <c r="N505" s="49">
        <v>0</v>
      </c>
      <c r="O505" s="49">
        <v>0</v>
      </c>
      <c r="P505" s="49">
        <v>0</v>
      </c>
      <c r="Q505" s="50">
        <v>0</v>
      </c>
      <c r="R505" s="51">
        <v>11191.105627311499</v>
      </c>
      <c r="S505" s="49">
        <v>18476.293580237802</v>
      </c>
      <c r="T505" s="49">
        <v>3965.8770094224301</v>
      </c>
      <c r="U505" s="49">
        <f>IFERROR(INDEX('Rentabilidad datos'!$N$2:$N$61,MATCH($C505,'Rentabilidad datos'!$C$2:$C$61,0)),"")</f>
        <v>33633.276216971761</v>
      </c>
      <c r="V505" s="50">
        <f>IFERROR(INDEX('Rentabilidad datos'!$O$2:$O$61,MATCH($C505,'Rentabilidad datos'!$C$2:$C$61,0)),"")</f>
        <v>1159.7681454128194</v>
      </c>
      <c r="W505" s="51">
        <f>IFERROR(INDEX('Rentabilidad datos'!$M$2:$M$61,MATCH($C505,'Rentabilidad datos'!$C$2:$C$61,0)),"")</f>
        <v>2866.2444123371242</v>
      </c>
      <c r="X505" s="52">
        <f>IFERROR(INDEX('Rentabilidad datos'!$P$2:$P$61,MATCH($C505,'Rentabilidad datos'!$C$2:$C$61,0)),"")</f>
        <v>0.40462988446513848</v>
      </c>
      <c r="Y505" s="43" t="s">
        <v>171</v>
      </c>
      <c r="Z505" s="53">
        <v>4</v>
      </c>
      <c r="AA505" s="43">
        <v>2</v>
      </c>
      <c r="AB505" s="54">
        <v>0</v>
      </c>
      <c r="AC505" s="55">
        <v>0</v>
      </c>
      <c r="AD505" s="752" t="e">
        <f>_xlfn.XLOOKUP(Table1[[#This Row],[Ruta]],#REF!,#REF!)</f>
        <v>#REF!</v>
      </c>
      <c r="AE505" s="752" t="e">
        <f>_xlfn.XLOOKUP(Table1[[#This Row],[Ruta]],#REF!,#REF!)</f>
        <v>#REF!</v>
      </c>
      <c r="AF505" s="752" t="e">
        <f>_xlfn.XLOOKUP(Table1[[#This Row],[Ruta]],#REF!,#REF!)</f>
        <v>#REF!</v>
      </c>
      <c r="AG505" s="752" t="e">
        <f>_xlfn.XLOOKUP(Table1[[#This Row],[Ruta]],#REF!,#REF!)</f>
        <v>#REF!</v>
      </c>
      <c r="AH505" s="52">
        <v>0</v>
      </c>
      <c r="AI505" s="52">
        <v>0</v>
      </c>
      <c r="AJ505" s="55">
        <v>0</v>
      </c>
      <c r="AK505" s="56">
        <v>4</v>
      </c>
      <c r="AL505" s="44">
        <v>1</v>
      </c>
      <c r="AM505" s="54">
        <v>0.25</v>
      </c>
      <c r="AN505" s="55">
        <v>0.50225307463674596</v>
      </c>
      <c r="AO505" s="56">
        <v>0</v>
      </c>
      <c r="AP505" s="48">
        <v>0</v>
      </c>
      <c r="AQ505" s="55">
        <v>0.25</v>
      </c>
      <c r="AR505" s="51">
        <v>0</v>
      </c>
      <c r="AS505" s="49">
        <v>0</v>
      </c>
      <c r="AT505" s="55">
        <v>0</v>
      </c>
      <c r="AU505" s="51">
        <v>0</v>
      </c>
      <c r="AV505" s="52">
        <v>0</v>
      </c>
      <c r="AW505" s="44">
        <v>490</v>
      </c>
      <c r="AX505" s="51">
        <v>0</v>
      </c>
      <c r="AY505" s="49">
        <v>400.61</v>
      </c>
      <c r="AZ505" s="49">
        <v>400.61</v>
      </c>
      <c r="BA505" s="42" t="s">
        <v>150</v>
      </c>
      <c r="BB505" s="50">
        <v>140.75486486486491</v>
      </c>
      <c r="BC505" s="57">
        <v>140.75486486486491</v>
      </c>
      <c r="BD505" s="42" t="s">
        <v>152</v>
      </c>
      <c r="BE505" s="46" t="s">
        <v>195</v>
      </c>
      <c r="BF505" s="46" t="s">
        <v>195</v>
      </c>
      <c r="BG505" s="42" t="s">
        <v>195</v>
      </c>
      <c r="BH505" s="52" t="s">
        <v>195</v>
      </c>
      <c r="BI505" s="52" t="s">
        <v>195</v>
      </c>
      <c r="BJ505" s="42" t="s">
        <v>195</v>
      </c>
      <c r="BK505" s="46" t="s">
        <v>195</v>
      </c>
      <c r="BL505" s="46" t="s">
        <v>195</v>
      </c>
      <c r="BM505" s="42" t="s">
        <v>195</v>
      </c>
      <c r="BN505" s="48" t="s">
        <v>195</v>
      </c>
      <c r="BO505" s="42" t="s">
        <v>195</v>
      </c>
      <c r="BP505" s="42" t="s">
        <v>152</v>
      </c>
      <c r="BQ505" s="46">
        <v>0</v>
      </c>
      <c r="BR505" s="46" t="e">
        <v>#N/A</v>
      </c>
      <c r="BS505" s="46" t="e">
        <v>#N/A</v>
      </c>
      <c r="BT505" s="46" t="e">
        <v>#N/A</v>
      </c>
      <c r="BU505" s="46" t="e">
        <v>#N/A</v>
      </c>
      <c r="BV505" s="46" t="e">
        <v>#N/A</v>
      </c>
      <c r="BW505" s="46" t="e">
        <v>#N/A</v>
      </c>
      <c r="BX505" s="46" t="e">
        <v>#N/A</v>
      </c>
      <c r="BY505" s="46" t="e">
        <v>#N/A</v>
      </c>
      <c r="BZ505" s="46" t="e">
        <v>#N/A</v>
      </c>
      <c r="CA505" s="46" t="e">
        <v>#N/A</v>
      </c>
      <c r="CB505" s="46" t="e">
        <v>#N/A</v>
      </c>
      <c r="CC505" s="46" t="e">
        <v>#N/A</v>
      </c>
      <c r="CD505" s="46" t="e">
        <v>#N/A</v>
      </c>
      <c r="CE505" s="46" t="e">
        <v>#N/A</v>
      </c>
      <c r="CF505" s="46" t="e">
        <v>#N/A</v>
      </c>
      <c r="CG505" s="46" t="e">
        <v>#N/A</v>
      </c>
      <c r="CH505" s="46" t="e">
        <v>#N/A</v>
      </c>
      <c r="CI505" s="46" t="e">
        <v>#N/A</v>
      </c>
      <c r="CJ505" s="46" t="e">
        <v>#N/A</v>
      </c>
      <c r="CM505">
        <f t="shared" si="56"/>
        <v>0</v>
      </c>
      <c r="CP505">
        <f t="shared" si="57"/>
        <v>0</v>
      </c>
      <c r="CS505">
        <f t="shared" si="58"/>
        <v>0</v>
      </c>
      <c r="CW505" s="46"/>
      <c r="CX505" s="46" t="e">
        <f t="shared" si="52"/>
        <v>#N/A</v>
      </c>
      <c r="CY505" s="46"/>
      <c r="CZ505" s="46" t="e">
        <f t="shared" si="53"/>
        <v>#N/A</v>
      </c>
      <c r="DA505" s="46" t="e">
        <f t="shared" si="54"/>
        <v>#N/A</v>
      </c>
      <c r="DB505" s="46"/>
      <c r="DC505" s="46" t="e">
        <f t="shared" si="55"/>
        <v>#N/A</v>
      </c>
      <c r="DD505" s="46"/>
      <c r="DE505" s="995" t="s">
        <v>194</v>
      </c>
      <c r="DF505" s="995" t="s">
        <v>194</v>
      </c>
      <c r="DG505" s="995" t="s">
        <v>194</v>
      </c>
      <c r="DH505" s="995" t="s">
        <v>194</v>
      </c>
      <c r="DI505" s="995" t="s">
        <v>194</v>
      </c>
      <c r="DJ505" s="995" t="s">
        <v>194</v>
      </c>
      <c r="DK505" s="995" t="s">
        <v>194</v>
      </c>
      <c r="DL505" s="995" t="s">
        <v>194</v>
      </c>
      <c r="DM505" s="995" t="s">
        <v>194</v>
      </c>
      <c r="DN505" s="995" t="s">
        <v>194</v>
      </c>
      <c r="DO505" s="995" t="s">
        <v>194</v>
      </c>
      <c r="DP505" s="995" t="s">
        <v>194</v>
      </c>
      <c r="DQ505" s="995" t="s">
        <v>194</v>
      </c>
      <c r="DR505" s="995" t="s">
        <v>194</v>
      </c>
      <c r="DS505" s="995" t="s">
        <v>194</v>
      </c>
      <c r="DT505" s="995" t="s">
        <v>194</v>
      </c>
    </row>
    <row r="506" spans="1:124">
      <c r="A506" s="42" t="s">
        <v>94</v>
      </c>
      <c r="B506" s="42" t="s">
        <v>549</v>
      </c>
      <c r="C506" s="42" t="s">
        <v>703</v>
      </c>
      <c r="D506" s="42">
        <v>819404</v>
      </c>
      <c r="E506" s="42" t="s">
        <v>725</v>
      </c>
      <c r="F506" s="42" t="s">
        <v>149</v>
      </c>
      <c r="G506" s="42" t="s">
        <v>150</v>
      </c>
      <c r="H506" s="43" t="s">
        <v>150</v>
      </c>
      <c r="I506" s="44">
        <v>46</v>
      </c>
      <c r="J506" s="45">
        <v>236.0008</v>
      </c>
      <c r="K506" s="46">
        <v>217.14099999999999</v>
      </c>
      <c r="L506" s="47">
        <v>453.14179999999999</v>
      </c>
      <c r="M506" s="48">
        <v>18717</v>
      </c>
      <c r="N506" s="49">
        <v>2880</v>
      </c>
      <c r="O506" s="49">
        <v>15837</v>
      </c>
      <c r="P506" s="49">
        <v>0</v>
      </c>
      <c r="Q506" s="50">
        <v>479.89384615384603</v>
      </c>
      <c r="R506" s="51">
        <v>11191.105627311499</v>
      </c>
      <c r="S506" s="49">
        <v>18476.293580237802</v>
      </c>
      <c r="T506" s="49">
        <v>3965.8770094224301</v>
      </c>
      <c r="U506" s="49">
        <f>IFERROR(INDEX('Rentabilidad datos'!$N$2:$N$61,MATCH($C506,'Rentabilidad datos'!$C$2:$C$61,0)),"")</f>
        <v>33633.276216971761</v>
      </c>
      <c r="V506" s="50">
        <f>IFERROR(INDEX('Rentabilidad datos'!$O$2:$O$61,MATCH($C506,'Rentabilidad datos'!$C$2:$C$61,0)),"")</f>
        <v>1159.7681454128194</v>
      </c>
      <c r="W506" s="51">
        <f>IFERROR(INDEX('Rentabilidad datos'!$M$2:$M$61,MATCH($C506,'Rentabilidad datos'!$C$2:$C$61,0)),"")</f>
        <v>2866.2444123371242</v>
      </c>
      <c r="X506" s="52">
        <f>IFERROR(INDEX('Rentabilidad datos'!$P$2:$P$61,MATCH($C506,'Rentabilidad datos'!$C$2:$C$61,0)),"")</f>
        <v>0.40462988446513848</v>
      </c>
      <c r="Y506" s="43" t="s">
        <v>171</v>
      </c>
      <c r="Z506" s="53">
        <v>88.047619047619094</v>
      </c>
      <c r="AA506" s="43">
        <v>2</v>
      </c>
      <c r="AB506" s="54">
        <v>0</v>
      </c>
      <c r="AC506" s="55">
        <v>1</v>
      </c>
      <c r="AD506" s="752" t="e">
        <f>_xlfn.XLOOKUP(Table1[[#This Row],[Ruta]],#REF!,#REF!)</f>
        <v>#REF!</v>
      </c>
      <c r="AE506" s="752" t="e">
        <f>_xlfn.XLOOKUP(Table1[[#This Row],[Ruta]],#REF!,#REF!)</f>
        <v>#REF!</v>
      </c>
      <c r="AF506" s="752" t="e">
        <f>_xlfn.XLOOKUP(Table1[[#This Row],[Ruta]],#REF!,#REF!)</f>
        <v>#REF!</v>
      </c>
      <c r="AG506" s="752" t="e">
        <f>_xlfn.XLOOKUP(Table1[[#This Row],[Ruta]],#REF!,#REF!)</f>
        <v>#REF!</v>
      </c>
      <c r="AH506" s="52">
        <v>0.1538708126302292</v>
      </c>
      <c r="AI506" s="52">
        <v>0.84612918736977083</v>
      </c>
      <c r="AJ506" s="55">
        <v>0</v>
      </c>
      <c r="AK506" s="56">
        <v>1849</v>
      </c>
      <c r="AL506" s="44">
        <v>31</v>
      </c>
      <c r="AM506" s="54">
        <v>6.4899945916710999E-3</v>
      </c>
      <c r="AN506" s="55">
        <v>0.50225307463674596</v>
      </c>
      <c r="AO506" s="56">
        <v>916.66593500334295</v>
      </c>
      <c r="AP506" s="48">
        <v>458.33296750167148</v>
      </c>
      <c r="AQ506" s="55">
        <v>0.26464735938435452</v>
      </c>
      <c r="AR506" s="51">
        <v>18715.86</v>
      </c>
      <c r="AS506" s="49">
        <v>276712.76300470449</v>
      </c>
      <c r="AT506" s="55">
        <v>14.784934435537799</v>
      </c>
      <c r="AU506" s="51">
        <v>194446.80643573837</v>
      </c>
      <c r="AV506" s="52">
        <v>8.8455692348643402E-4</v>
      </c>
      <c r="AW506" s="44">
        <v>316</v>
      </c>
      <c r="AX506" s="51">
        <v>603.73741935483895</v>
      </c>
      <c r="AY506" s="49">
        <v>400.61</v>
      </c>
      <c r="AZ506" s="49">
        <v>0</v>
      </c>
      <c r="BA506" s="42" t="s">
        <v>152</v>
      </c>
      <c r="BB506" s="50">
        <v>0</v>
      </c>
      <c r="BC506" s="57">
        <v>194446.80643573837</v>
      </c>
      <c r="BD506" s="42" t="s">
        <v>150</v>
      </c>
      <c r="BE506" s="46">
        <v>88.047619047619094</v>
      </c>
      <c r="BF506" s="46">
        <v>83.628504672897193</v>
      </c>
      <c r="BG506" s="42" t="s">
        <v>150</v>
      </c>
      <c r="BH506" s="52">
        <v>6.4899945916711702E-3</v>
      </c>
      <c r="BI506" s="52">
        <v>0.51187669456560203</v>
      </c>
      <c r="BJ506" s="42" t="s">
        <v>152</v>
      </c>
      <c r="BK506" s="46">
        <v>11.6190205128205</v>
      </c>
      <c r="BL506" s="46">
        <v>638.00354527981403</v>
      </c>
      <c r="BM506" s="42" t="s">
        <v>152</v>
      </c>
      <c r="BN506" s="48">
        <v>1</v>
      </c>
      <c r="BO506" s="42" t="s">
        <v>155</v>
      </c>
      <c r="BP506" s="42" t="s">
        <v>152</v>
      </c>
      <c r="BQ506" s="46">
        <v>711.55653612615799</v>
      </c>
      <c r="BR506" s="46" t="e">
        <v>#N/A</v>
      </c>
      <c r="BS506" s="46" t="e">
        <v>#N/A</v>
      </c>
      <c r="BT506" s="46" t="e">
        <v>#N/A</v>
      </c>
      <c r="BU506" s="46" t="e">
        <v>#N/A</v>
      </c>
      <c r="BV506" s="46" t="e">
        <v>#N/A</v>
      </c>
      <c r="BW506" s="46" t="e">
        <v>#N/A</v>
      </c>
      <c r="BX506" s="46" t="e">
        <v>#N/A</v>
      </c>
      <c r="BY506" s="46" t="e">
        <v>#N/A</v>
      </c>
      <c r="BZ506" s="46" t="e">
        <v>#N/A</v>
      </c>
      <c r="CA506" s="46" t="e">
        <v>#N/A</v>
      </c>
      <c r="CB506" s="46" t="e">
        <v>#N/A</v>
      </c>
      <c r="CC506" s="46" t="e">
        <v>#N/A</v>
      </c>
      <c r="CD506" s="46" t="e">
        <v>#N/A</v>
      </c>
      <c r="CE506" s="46" t="e">
        <v>#N/A</v>
      </c>
      <c r="CF506" s="46" t="e">
        <v>#N/A</v>
      </c>
      <c r="CG506" s="46" t="e">
        <v>#N/A</v>
      </c>
      <c r="CH506" s="46" t="e">
        <v>#N/A</v>
      </c>
      <c r="CI506" s="46" t="e">
        <v>#N/A</v>
      </c>
      <c r="CJ506" s="46" t="e">
        <v>#N/A</v>
      </c>
      <c r="CM506">
        <f t="shared" si="56"/>
        <v>0</v>
      </c>
      <c r="CP506">
        <f t="shared" si="57"/>
        <v>0</v>
      </c>
      <c r="CS506">
        <f t="shared" si="58"/>
        <v>0</v>
      </c>
      <c r="CW506" s="46"/>
      <c r="CX506" s="46" t="e">
        <f t="shared" si="52"/>
        <v>#N/A</v>
      </c>
      <c r="CY506" s="46"/>
      <c r="CZ506" s="46" t="e">
        <f t="shared" si="53"/>
        <v>#N/A</v>
      </c>
      <c r="DA506" s="46" t="e">
        <f t="shared" si="54"/>
        <v>#N/A</v>
      </c>
      <c r="DB506" s="46"/>
      <c r="DC506" s="46" t="e">
        <f t="shared" si="55"/>
        <v>#N/A</v>
      </c>
      <c r="DD506" s="46"/>
      <c r="DE506" s="995" t="s">
        <v>194</v>
      </c>
      <c r="DF506" s="995" t="s">
        <v>194</v>
      </c>
      <c r="DG506" s="995" t="s">
        <v>194</v>
      </c>
      <c r="DH506" s="995" t="s">
        <v>194</v>
      </c>
      <c r="DI506" s="995" t="s">
        <v>194</v>
      </c>
      <c r="DJ506" s="995" t="s">
        <v>194</v>
      </c>
      <c r="DK506" s="995" t="s">
        <v>194</v>
      </c>
      <c r="DL506" s="995" t="s">
        <v>194</v>
      </c>
      <c r="DM506" s="995" t="s">
        <v>194</v>
      </c>
      <c r="DN506" s="995" t="s">
        <v>194</v>
      </c>
      <c r="DO506" s="995" t="s">
        <v>194</v>
      </c>
      <c r="DP506" s="995" t="s">
        <v>194</v>
      </c>
      <c r="DQ506" s="995" t="s">
        <v>194</v>
      </c>
      <c r="DR506" s="995" t="s">
        <v>194</v>
      </c>
      <c r="DS506" s="995" t="s">
        <v>194</v>
      </c>
      <c r="DT506" s="995" t="s">
        <v>194</v>
      </c>
    </row>
    <row r="507" spans="1:124">
      <c r="A507" s="42" t="s">
        <v>94</v>
      </c>
      <c r="B507" s="42" t="s">
        <v>549</v>
      </c>
      <c r="C507" s="42" t="s">
        <v>703</v>
      </c>
      <c r="D507" s="42">
        <v>819406</v>
      </c>
      <c r="E507" s="42" t="s">
        <v>726</v>
      </c>
      <c r="F507" s="42" t="s">
        <v>149</v>
      </c>
      <c r="G507" s="42" t="s">
        <v>150</v>
      </c>
      <c r="H507" s="43" t="s">
        <v>150</v>
      </c>
      <c r="I507" s="44">
        <v>46</v>
      </c>
      <c r="J507" s="45">
        <v>141512.42000000001</v>
      </c>
      <c r="K507" s="46">
        <v>4221.2204060000004</v>
      </c>
      <c r="L507" s="47">
        <v>145733.64040599999</v>
      </c>
      <c r="M507" s="48">
        <v>2635387</v>
      </c>
      <c r="N507" s="49">
        <v>2067422</v>
      </c>
      <c r="O507" s="49">
        <v>566289</v>
      </c>
      <c r="P507" s="49">
        <v>1676</v>
      </c>
      <c r="Q507" s="50">
        <v>6258.3654306220096</v>
      </c>
      <c r="R507" s="51">
        <v>11191.105627311499</v>
      </c>
      <c r="S507" s="49">
        <v>18476.293580237802</v>
      </c>
      <c r="T507" s="49">
        <v>3965.8770094224301</v>
      </c>
      <c r="U507" s="49">
        <f>IFERROR(INDEX('Rentabilidad datos'!$N$2:$N$61,MATCH($C507,'Rentabilidad datos'!$C$2:$C$61,0)),"")</f>
        <v>33633.276216971761</v>
      </c>
      <c r="V507" s="50">
        <f>IFERROR(INDEX('Rentabilidad datos'!$O$2:$O$61,MATCH($C507,'Rentabilidad datos'!$C$2:$C$61,0)),"")</f>
        <v>1159.7681454128194</v>
      </c>
      <c r="W507" s="51">
        <f>IFERROR(INDEX('Rentabilidad datos'!$M$2:$M$61,MATCH($C507,'Rentabilidad datos'!$C$2:$C$61,0)),"")</f>
        <v>2866.2444123371242</v>
      </c>
      <c r="X507" s="52">
        <f>IFERROR(INDEX('Rentabilidad datos'!$P$2:$P$61,MATCH($C507,'Rentabilidad datos'!$C$2:$C$61,0)),"")</f>
        <v>0.40462988446513848</v>
      </c>
      <c r="Y507" s="43" t="s">
        <v>171</v>
      </c>
      <c r="Z507" s="53">
        <v>84.488038277512004</v>
      </c>
      <c r="AA507" s="43">
        <v>2</v>
      </c>
      <c r="AB507" s="54">
        <v>0.98999843286773437</v>
      </c>
      <c r="AC507" s="55">
        <v>1.0001567132265583E-2</v>
      </c>
      <c r="AD507" s="752" t="e">
        <f>_xlfn.XLOOKUP(Table1[[#This Row],[Ruta]],#REF!,#REF!)</f>
        <v>#REF!</v>
      </c>
      <c r="AE507" s="752" t="e">
        <f>_xlfn.XLOOKUP(Table1[[#This Row],[Ruta]],#REF!,#REF!)</f>
        <v>#REF!</v>
      </c>
      <c r="AF507" s="752" t="e">
        <f>_xlfn.XLOOKUP(Table1[[#This Row],[Ruta]],#REF!,#REF!)</f>
        <v>#REF!</v>
      </c>
      <c r="AG507" s="752" t="e">
        <f>_xlfn.XLOOKUP(Table1[[#This Row],[Ruta]],#REF!,#REF!)</f>
        <v>#REF!</v>
      </c>
      <c r="AH507" s="52">
        <v>0.78448516290017367</v>
      </c>
      <c r="AI507" s="52">
        <v>0.21487887737171049</v>
      </c>
      <c r="AJ507" s="55">
        <v>6.3595972811583267E-4</v>
      </c>
      <c r="AK507" s="56">
        <v>35316</v>
      </c>
      <c r="AL507" s="44">
        <v>14839</v>
      </c>
      <c r="AM507" s="54">
        <v>0.42017782308302198</v>
      </c>
      <c r="AN507" s="55">
        <v>0.50225307463674596</v>
      </c>
      <c r="AO507" s="56">
        <v>2898.56958387131</v>
      </c>
      <c r="AP507" s="48">
        <v>1449.284791935655</v>
      </c>
      <c r="AQ507" s="55">
        <v>0.4612154488598838</v>
      </c>
      <c r="AR507" s="51">
        <v>2615996.75</v>
      </c>
      <c r="AS507" s="49">
        <v>255497.29129510751</v>
      </c>
      <c r="AT507" s="55">
        <v>9.7667281618414661E-2</v>
      </c>
      <c r="AU507" s="51">
        <v>179538.63712629184</v>
      </c>
      <c r="AV507" s="52">
        <v>8.1673825049867769E-4</v>
      </c>
      <c r="AW507" s="44">
        <v>328</v>
      </c>
      <c r="AX507" s="51">
        <v>176.29198396118301</v>
      </c>
      <c r="AY507" s="49">
        <v>400.61</v>
      </c>
      <c r="AZ507" s="49">
        <v>224.31801603881701</v>
      </c>
      <c r="BA507" s="42" t="s">
        <v>150</v>
      </c>
      <c r="BB507" s="50">
        <v>1169527.4464864889</v>
      </c>
      <c r="BC507" s="57">
        <v>1349066.0836127808</v>
      </c>
      <c r="BD507" s="42" t="s">
        <v>150</v>
      </c>
      <c r="BE507" s="46">
        <v>84.488038277512004</v>
      </c>
      <c r="BF507" s="46">
        <v>83.628504672897193</v>
      </c>
      <c r="BG507" s="42" t="s">
        <v>150</v>
      </c>
      <c r="BH507" s="52">
        <v>0.42017782308302198</v>
      </c>
      <c r="BI507" s="52">
        <v>0.51187669456560203</v>
      </c>
      <c r="BJ507" s="42" t="s">
        <v>152</v>
      </c>
      <c r="BK507" s="46">
        <v>348.64507274162702</v>
      </c>
      <c r="BL507" s="46">
        <v>638.00354527981403</v>
      </c>
      <c r="BM507" s="42" t="s">
        <v>152</v>
      </c>
      <c r="BN507" s="48">
        <v>1</v>
      </c>
      <c r="BO507" s="42" t="s">
        <v>155</v>
      </c>
      <c r="BP507" s="42" t="s">
        <v>152</v>
      </c>
      <c r="BQ507" s="46">
        <v>330.82657488938298</v>
      </c>
      <c r="BR507" s="46">
        <v>79</v>
      </c>
      <c r="BS507" s="46">
        <v>15240</v>
      </c>
      <c r="BT507" s="46">
        <v>4069</v>
      </c>
      <c r="BU507" s="46">
        <v>3.7453919882034898</v>
      </c>
      <c r="BV507" s="46">
        <v>51.506329113924053</v>
      </c>
      <c r="BW507" s="46">
        <v>0</v>
      </c>
      <c r="BX507" s="46">
        <v>0</v>
      </c>
      <c r="BY507" s="46">
        <v>0</v>
      </c>
      <c r="BZ507" s="46">
        <v>0</v>
      </c>
      <c r="CA507" s="46">
        <v>0</v>
      </c>
      <c r="CB507" s="46">
        <v>0</v>
      </c>
      <c r="CC507" s="46">
        <v>0.7434259031703121</v>
      </c>
      <c r="CD507" s="46">
        <v>0.20594740722536251</v>
      </c>
      <c r="CE507" s="46">
        <v>0</v>
      </c>
      <c r="CF507" s="46">
        <v>5.0626689604325377E-2</v>
      </c>
      <c r="CG507" s="46">
        <v>0</v>
      </c>
      <c r="CH507" s="46">
        <v>0</v>
      </c>
      <c r="CI507" s="46">
        <v>3.8713910761154851</v>
      </c>
      <c r="CJ507" s="46">
        <v>0.1312335958005249</v>
      </c>
      <c r="CK507">
        <v>277</v>
      </c>
      <c r="CL507">
        <v>277</v>
      </c>
      <c r="CM507">
        <f t="shared" si="56"/>
        <v>0</v>
      </c>
      <c r="CO507">
        <v>9.4499999999999993</v>
      </c>
      <c r="CP507">
        <f t="shared" si="57"/>
        <v>9.4499999999999993</v>
      </c>
      <c r="CS507">
        <f t="shared" si="58"/>
        <v>0</v>
      </c>
      <c r="CV507">
        <v>0</v>
      </c>
      <c r="CW507" s="46">
        <v>0</v>
      </c>
      <c r="CX507" s="46">
        <f t="shared" si="52"/>
        <v>0</v>
      </c>
      <c r="CY507" s="46">
        <v>0</v>
      </c>
      <c r="CZ507" s="46">
        <f t="shared" si="53"/>
        <v>0</v>
      </c>
      <c r="DA507" s="46">
        <f t="shared" si="54"/>
        <v>0</v>
      </c>
      <c r="DB507" s="46">
        <v>0</v>
      </c>
      <c r="DC507" s="46">
        <f t="shared" si="55"/>
        <v>0</v>
      </c>
      <c r="DD507" s="46">
        <v>0</v>
      </c>
      <c r="DE507" s="995">
        <v>0</v>
      </c>
      <c r="DF507" s="995">
        <v>0</v>
      </c>
      <c r="DG507" s="995">
        <v>0</v>
      </c>
      <c r="DH507" s="995">
        <v>0</v>
      </c>
      <c r="DI507" s="995">
        <v>556.49800000000005</v>
      </c>
      <c r="DJ507" s="995">
        <v>2264390</v>
      </c>
      <c r="DK507" s="995">
        <v>28.774999999999999</v>
      </c>
      <c r="DL507" s="995">
        <v>117086</v>
      </c>
      <c r="DM507" s="995">
        <v>0</v>
      </c>
      <c r="DN507" s="995">
        <v>0</v>
      </c>
      <c r="DO507" s="995">
        <v>0</v>
      </c>
      <c r="DP507" s="995">
        <v>0</v>
      </c>
      <c r="DQ507" s="995">
        <v>556.49800000000005</v>
      </c>
      <c r="DR507" s="995">
        <v>2264390</v>
      </c>
      <c r="DS507" s="995">
        <v>28.774999999999999</v>
      </c>
      <c r="DT507" s="995">
        <v>117086</v>
      </c>
    </row>
    <row r="508" spans="1:124">
      <c r="A508" s="42" t="s">
        <v>94</v>
      </c>
      <c r="B508" s="42" t="s">
        <v>549</v>
      </c>
      <c r="C508" s="42" t="s">
        <v>703</v>
      </c>
      <c r="D508" s="42">
        <v>819407</v>
      </c>
      <c r="E508" s="42" t="s">
        <v>727</v>
      </c>
      <c r="F508" s="42" t="s">
        <v>149</v>
      </c>
      <c r="G508" s="42" t="s">
        <v>150</v>
      </c>
      <c r="H508" s="43" t="s">
        <v>150</v>
      </c>
      <c r="I508" s="44">
        <v>46</v>
      </c>
      <c r="J508" s="45">
        <v>1398.3928000000001</v>
      </c>
      <c r="K508" s="46">
        <v>156.65565000000001</v>
      </c>
      <c r="L508" s="47">
        <v>1555.04845</v>
      </c>
      <c r="M508" s="48">
        <v>34929</v>
      </c>
      <c r="N508" s="49">
        <v>19225</v>
      </c>
      <c r="O508" s="49">
        <v>15704</v>
      </c>
      <c r="P508" s="49">
        <v>0</v>
      </c>
      <c r="Q508" s="50">
        <v>1247.47392857143</v>
      </c>
      <c r="R508" s="51">
        <v>11191.105627311499</v>
      </c>
      <c r="S508" s="49">
        <v>18476.293580237802</v>
      </c>
      <c r="T508" s="49">
        <v>3965.8770094224301</v>
      </c>
      <c r="U508" s="49">
        <f>IFERROR(INDEX('Rentabilidad datos'!$N$2:$N$61,MATCH($C508,'Rentabilidad datos'!$C$2:$C$61,0)),"")</f>
        <v>33633.276216971761</v>
      </c>
      <c r="V508" s="50">
        <f>IFERROR(INDEX('Rentabilidad datos'!$O$2:$O$61,MATCH($C508,'Rentabilidad datos'!$C$2:$C$61,0)),"")</f>
        <v>1159.7681454128194</v>
      </c>
      <c r="W508" s="51">
        <f>IFERROR(INDEX('Rentabilidad datos'!$M$2:$M$61,MATCH($C508,'Rentabilidad datos'!$C$2:$C$61,0)),"")</f>
        <v>2866.2444123371242</v>
      </c>
      <c r="X508" s="52">
        <f>IFERROR(INDEX('Rentabilidad datos'!$P$2:$P$61,MATCH($C508,'Rentabilidad datos'!$C$2:$C$61,0)),"")</f>
        <v>0.40462988446513848</v>
      </c>
      <c r="Y508" s="43" t="s">
        <v>171</v>
      </c>
      <c r="Z508" s="53">
        <v>111.571428571429</v>
      </c>
      <c r="AA508" s="43">
        <v>2</v>
      </c>
      <c r="AB508" s="54">
        <v>0.59460620115090612</v>
      </c>
      <c r="AC508" s="55">
        <v>0.40539379884909388</v>
      </c>
      <c r="AD508" s="752" t="e">
        <f>_xlfn.XLOOKUP(Table1[[#This Row],[Ruta]],#REF!,#REF!)</f>
        <v>#REF!</v>
      </c>
      <c r="AE508" s="752" t="e">
        <f>_xlfn.XLOOKUP(Table1[[#This Row],[Ruta]],#REF!,#REF!)</f>
        <v>#REF!</v>
      </c>
      <c r="AF508" s="752" t="e">
        <f>_xlfn.XLOOKUP(Table1[[#This Row],[Ruta]],#REF!,#REF!)</f>
        <v>#REF!</v>
      </c>
      <c r="AG508" s="752" t="e">
        <f>_xlfn.XLOOKUP(Table1[[#This Row],[Ruta]],#REF!,#REF!)</f>
        <v>#REF!</v>
      </c>
      <c r="AH508" s="52">
        <v>0.55040224455323661</v>
      </c>
      <c r="AI508" s="52">
        <v>0.44959775544676345</v>
      </c>
      <c r="AJ508" s="55">
        <v>0</v>
      </c>
      <c r="AK508" s="56">
        <v>2343</v>
      </c>
      <c r="AL508" s="44">
        <v>106</v>
      </c>
      <c r="AM508" s="54">
        <v>4.22535211267605E-2</v>
      </c>
      <c r="AN508" s="55">
        <v>0.50225307463674596</v>
      </c>
      <c r="AO508" s="56">
        <v>1077.7789538739</v>
      </c>
      <c r="AP508" s="48">
        <v>538.88947693695002</v>
      </c>
      <c r="AQ508" s="55">
        <v>0.27524092058768673</v>
      </c>
      <c r="AR508" s="51">
        <v>34929.269999999997</v>
      </c>
      <c r="AS508" s="49">
        <v>177575.62301971149</v>
      </c>
      <c r="AT508" s="55">
        <v>5.0838629899712053</v>
      </c>
      <c r="AU508" s="51">
        <v>124782.87023006758</v>
      </c>
      <c r="AV508" s="52">
        <v>5.6764908520620812E-4</v>
      </c>
      <c r="AW508" s="44">
        <v>375</v>
      </c>
      <c r="AX508" s="51">
        <v>329.52141509434</v>
      </c>
      <c r="AY508" s="49">
        <v>400.61</v>
      </c>
      <c r="AZ508" s="49">
        <v>71.088584905660014</v>
      </c>
      <c r="BA508" s="42" t="s">
        <v>150</v>
      </c>
      <c r="BB508" s="50">
        <v>2647.569459459447</v>
      </c>
      <c r="BC508" s="57">
        <v>127430.43968952703</v>
      </c>
      <c r="BD508" s="42" t="s">
        <v>150</v>
      </c>
      <c r="BE508" s="46">
        <v>111.571428571429</v>
      </c>
      <c r="BF508" s="46">
        <v>83.628504672897193</v>
      </c>
      <c r="BG508" s="42" t="s">
        <v>150</v>
      </c>
      <c r="BH508" s="52">
        <v>4.2253521126760597E-2</v>
      </c>
      <c r="BI508" s="52">
        <v>0.51187669456560203</v>
      </c>
      <c r="BJ508" s="42" t="s">
        <v>152</v>
      </c>
      <c r="BK508" s="46">
        <v>55.537444642857203</v>
      </c>
      <c r="BL508" s="46">
        <v>638.00354527981403</v>
      </c>
      <c r="BM508" s="42" t="s">
        <v>152</v>
      </c>
      <c r="BN508" s="48">
        <v>1</v>
      </c>
      <c r="BO508" s="42" t="s">
        <v>155</v>
      </c>
      <c r="BP508" s="42" t="s">
        <v>152</v>
      </c>
      <c r="BQ508" s="46">
        <v>651.38642383054002</v>
      </c>
      <c r="BR508" s="46" t="e">
        <v>#N/A</v>
      </c>
      <c r="BS508" s="46" t="e">
        <v>#N/A</v>
      </c>
      <c r="BT508" s="46" t="e">
        <v>#N/A</v>
      </c>
      <c r="BU508" s="46" t="e">
        <v>#N/A</v>
      </c>
      <c r="BV508" s="46" t="e">
        <v>#N/A</v>
      </c>
      <c r="BW508" s="46" t="e">
        <v>#N/A</v>
      </c>
      <c r="BX508" s="46" t="e">
        <v>#N/A</v>
      </c>
      <c r="BY508" s="46" t="e">
        <v>#N/A</v>
      </c>
      <c r="BZ508" s="46" t="e">
        <v>#N/A</v>
      </c>
      <c r="CA508" s="46" t="e">
        <v>#N/A</v>
      </c>
      <c r="CB508" s="46" t="e">
        <v>#N/A</v>
      </c>
      <c r="CC508" s="46" t="e">
        <v>#N/A</v>
      </c>
      <c r="CD508" s="46" t="e">
        <v>#N/A</v>
      </c>
      <c r="CE508" s="46" t="e">
        <v>#N/A</v>
      </c>
      <c r="CF508" s="46" t="e">
        <v>#N/A</v>
      </c>
      <c r="CG508" s="46" t="e">
        <v>#N/A</v>
      </c>
      <c r="CH508" s="46" t="e">
        <v>#N/A</v>
      </c>
      <c r="CI508" s="46" t="e">
        <v>#N/A</v>
      </c>
      <c r="CJ508" s="46" t="e">
        <v>#N/A</v>
      </c>
      <c r="CM508">
        <f t="shared" si="56"/>
        <v>0</v>
      </c>
      <c r="CP508">
        <f t="shared" si="57"/>
        <v>0</v>
      </c>
      <c r="CS508">
        <f t="shared" si="58"/>
        <v>0</v>
      </c>
      <c r="CW508" s="46"/>
      <c r="CX508" s="46" t="e">
        <f t="shared" si="52"/>
        <v>#N/A</v>
      </c>
      <c r="CY508" s="46"/>
      <c r="CZ508" s="46" t="e">
        <f t="shared" si="53"/>
        <v>#N/A</v>
      </c>
      <c r="DA508" s="46" t="e">
        <f t="shared" si="54"/>
        <v>#N/A</v>
      </c>
      <c r="DB508" s="46"/>
      <c r="DC508" s="46" t="e">
        <f t="shared" si="55"/>
        <v>#N/A</v>
      </c>
      <c r="DD508" s="46"/>
      <c r="DE508" s="995" t="s">
        <v>194</v>
      </c>
      <c r="DF508" s="995" t="s">
        <v>194</v>
      </c>
      <c r="DG508" s="995" t="s">
        <v>194</v>
      </c>
      <c r="DH508" s="995" t="s">
        <v>194</v>
      </c>
      <c r="DI508" s="995" t="s">
        <v>194</v>
      </c>
      <c r="DJ508" s="995" t="s">
        <v>194</v>
      </c>
      <c r="DK508" s="995" t="s">
        <v>194</v>
      </c>
      <c r="DL508" s="995" t="s">
        <v>194</v>
      </c>
      <c r="DM508" s="995" t="s">
        <v>194</v>
      </c>
      <c r="DN508" s="995" t="s">
        <v>194</v>
      </c>
      <c r="DO508" s="995" t="s">
        <v>194</v>
      </c>
      <c r="DP508" s="995" t="s">
        <v>194</v>
      </c>
      <c r="DQ508" s="995" t="s">
        <v>194</v>
      </c>
      <c r="DR508" s="995" t="s">
        <v>194</v>
      </c>
      <c r="DS508" s="995" t="s">
        <v>194</v>
      </c>
      <c r="DT508" s="995" t="s">
        <v>194</v>
      </c>
    </row>
    <row r="509" spans="1:124">
      <c r="A509" s="42" t="s">
        <v>94</v>
      </c>
      <c r="B509" s="42" t="s">
        <v>549</v>
      </c>
      <c r="C509" s="42" t="s">
        <v>703</v>
      </c>
      <c r="D509" s="42">
        <v>819408</v>
      </c>
      <c r="E509" s="42" t="s">
        <v>728</v>
      </c>
      <c r="F509" s="42" t="s">
        <v>193</v>
      </c>
      <c r="G509" s="42" t="s">
        <v>150</v>
      </c>
      <c r="H509" s="43" t="s">
        <v>152</v>
      </c>
      <c r="I509" s="44">
        <v>46</v>
      </c>
      <c r="J509" s="45">
        <v>464.95679999999999</v>
      </c>
      <c r="K509" s="46">
        <v>74.863500000000002</v>
      </c>
      <c r="L509" s="47">
        <v>539.82029999999997</v>
      </c>
      <c r="M509" s="48">
        <v>14907</v>
      </c>
      <c r="N509" s="49">
        <v>5347</v>
      </c>
      <c r="O509" s="49">
        <v>9560</v>
      </c>
      <c r="P509" s="49">
        <v>0</v>
      </c>
      <c r="Q509" s="50">
        <v>0</v>
      </c>
      <c r="R509" s="51">
        <v>11191.105627311499</v>
      </c>
      <c r="S509" s="49">
        <v>18476.293580237802</v>
      </c>
      <c r="T509" s="49">
        <v>3965.8770094224301</v>
      </c>
      <c r="U509" s="49">
        <f>IFERROR(INDEX('Rentabilidad datos'!$N$2:$N$61,MATCH($C509,'Rentabilidad datos'!$C$2:$C$61,0)),"")</f>
        <v>33633.276216971761</v>
      </c>
      <c r="V509" s="50">
        <f>IFERROR(INDEX('Rentabilidad datos'!$O$2:$O$61,MATCH($C509,'Rentabilidad datos'!$C$2:$C$61,0)),"")</f>
        <v>1159.7681454128194</v>
      </c>
      <c r="W509" s="51">
        <f>IFERROR(INDEX('Rentabilidad datos'!$M$2:$M$61,MATCH($C509,'Rentabilidad datos'!$C$2:$C$61,0)),"")</f>
        <v>2866.2444123371242</v>
      </c>
      <c r="X509" s="52">
        <f>IFERROR(INDEX('Rentabilidad datos'!$P$2:$P$61,MATCH($C509,'Rentabilidad datos'!$C$2:$C$61,0)),"")</f>
        <v>0.40462988446513848</v>
      </c>
      <c r="Y509" s="43" t="s">
        <v>171</v>
      </c>
      <c r="Z509" s="53">
        <v>104</v>
      </c>
      <c r="AA509" s="43">
        <v>2</v>
      </c>
      <c r="AB509" s="54">
        <v>4.4073254175890524E-2</v>
      </c>
      <c r="AC509" s="55">
        <v>0.95592674582410952</v>
      </c>
      <c r="AD509" s="752" t="e">
        <f>_xlfn.XLOOKUP(Table1[[#This Row],[Ruta]],#REF!,#REF!)</f>
        <v>#REF!</v>
      </c>
      <c r="AE509" s="752" t="e">
        <f>_xlfn.XLOOKUP(Table1[[#This Row],[Ruta]],#REF!,#REF!)</f>
        <v>#REF!</v>
      </c>
      <c r="AF509" s="752" t="e">
        <f>_xlfn.XLOOKUP(Table1[[#This Row],[Ruta]],#REF!,#REF!)</f>
        <v>#REF!</v>
      </c>
      <c r="AG509" s="752" t="e">
        <f>_xlfn.XLOOKUP(Table1[[#This Row],[Ruta]],#REF!,#REF!)</f>
        <v>#REF!</v>
      </c>
      <c r="AH509" s="52">
        <v>0.3586905480646676</v>
      </c>
      <c r="AI509" s="52">
        <v>0.6413094519353324</v>
      </c>
      <c r="AJ509" s="55">
        <v>0</v>
      </c>
      <c r="AK509" s="56">
        <v>2184</v>
      </c>
      <c r="AL509" s="44">
        <v>23</v>
      </c>
      <c r="AM509" s="54">
        <v>6.8681318681318004E-3</v>
      </c>
      <c r="AN509" s="55">
        <v>0.50225307463674596</v>
      </c>
      <c r="AO509" s="56">
        <v>0</v>
      </c>
      <c r="AP509" s="48">
        <v>0</v>
      </c>
      <c r="AQ509" s="55">
        <v>1.0531135531135532E-2</v>
      </c>
      <c r="AR509" s="51">
        <v>14906.42</v>
      </c>
      <c r="AS509" s="49">
        <v>0</v>
      </c>
      <c r="AT509" s="55">
        <v>0</v>
      </c>
      <c r="AU509" s="51">
        <v>0</v>
      </c>
      <c r="AV509" s="52">
        <v>0</v>
      </c>
      <c r="AW509" s="44">
        <v>490</v>
      </c>
      <c r="AX509" s="51">
        <v>648.105217391304</v>
      </c>
      <c r="AY509" s="49">
        <v>400.61</v>
      </c>
      <c r="AZ509" s="49">
        <v>0</v>
      </c>
      <c r="BA509" s="42" t="s">
        <v>152</v>
      </c>
      <c r="BB509" s="50">
        <v>0</v>
      </c>
      <c r="BC509" s="57">
        <v>0</v>
      </c>
      <c r="BD509" s="42" t="s">
        <v>152</v>
      </c>
      <c r="BE509" s="46" t="s">
        <v>195</v>
      </c>
      <c r="BF509" s="46" t="s">
        <v>195</v>
      </c>
      <c r="BG509" s="42" t="s">
        <v>195</v>
      </c>
      <c r="BH509" s="52" t="s">
        <v>195</v>
      </c>
      <c r="BI509" s="52" t="s">
        <v>195</v>
      </c>
      <c r="BJ509" s="42" t="s">
        <v>195</v>
      </c>
      <c r="BK509" s="46" t="s">
        <v>195</v>
      </c>
      <c r="BL509" s="46" t="s">
        <v>195</v>
      </c>
      <c r="BM509" s="42" t="s">
        <v>195</v>
      </c>
      <c r="BN509" s="48" t="s">
        <v>195</v>
      </c>
      <c r="BO509" s="42" t="s">
        <v>195</v>
      </c>
      <c r="BP509" s="42" t="s">
        <v>152</v>
      </c>
      <c r="BQ509" s="46">
        <v>0</v>
      </c>
      <c r="BR509" s="46" t="e">
        <v>#N/A</v>
      </c>
      <c r="BS509" s="46" t="e">
        <v>#N/A</v>
      </c>
      <c r="BT509" s="46" t="e">
        <v>#N/A</v>
      </c>
      <c r="BU509" s="46" t="e">
        <v>#N/A</v>
      </c>
      <c r="BV509" s="46" t="e">
        <v>#N/A</v>
      </c>
      <c r="BW509" s="46" t="e">
        <v>#N/A</v>
      </c>
      <c r="BX509" s="46" t="e">
        <v>#N/A</v>
      </c>
      <c r="BY509" s="46" t="e">
        <v>#N/A</v>
      </c>
      <c r="BZ509" s="46" t="e">
        <v>#N/A</v>
      </c>
      <c r="CA509" s="46" t="e">
        <v>#N/A</v>
      </c>
      <c r="CB509" s="46" t="e">
        <v>#N/A</v>
      </c>
      <c r="CC509" s="46" t="e">
        <v>#N/A</v>
      </c>
      <c r="CD509" s="46" t="e">
        <v>#N/A</v>
      </c>
      <c r="CE509" s="46" t="e">
        <v>#N/A</v>
      </c>
      <c r="CF509" s="46" t="e">
        <v>#N/A</v>
      </c>
      <c r="CG509" s="46" t="e">
        <v>#N/A</v>
      </c>
      <c r="CH509" s="46" t="e">
        <v>#N/A</v>
      </c>
      <c r="CI509" s="46" t="e">
        <v>#N/A</v>
      </c>
      <c r="CJ509" s="46" t="e">
        <v>#N/A</v>
      </c>
      <c r="CM509">
        <f t="shared" si="56"/>
        <v>0</v>
      </c>
      <c r="CP509">
        <f t="shared" si="57"/>
        <v>0</v>
      </c>
      <c r="CS509">
        <f t="shared" si="58"/>
        <v>0</v>
      </c>
      <c r="CW509" s="46"/>
      <c r="CX509" s="46" t="e">
        <f t="shared" si="52"/>
        <v>#N/A</v>
      </c>
      <c r="CY509" s="46"/>
      <c r="CZ509" s="46" t="e">
        <f t="shared" si="53"/>
        <v>#N/A</v>
      </c>
      <c r="DA509" s="46" t="e">
        <f t="shared" si="54"/>
        <v>#N/A</v>
      </c>
      <c r="DB509" s="46"/>
      <c r="DC509" s="46" t="e">
        <f t="shared" si="55"/>
        <v>#N/A</v>
      </c>
      <c r="DD509" s="46"/>
      <c r="DE509" s="995" t="s">
        <v>194</v>
      </c>
      <c r="DF509" s="995" t="s">
        <v>194</v>
      </c>
      <c r="DG509" s="995" t="s">
        <v>194</v>
      </c>
      <c r="DH509" s="995" t="s">
        <v>194</v>
      </c>
      <c r="DI509" s="995" t="s">
        <v>194</v>
      </c>
      <c r="DJ509" s="995" t="s">
        <v>194</v>
      </c>
      <c r="DK509" s="995" t="s">
        <v>194</v>
      </c>
      <c r="DL509" s="995" t="s">
        <v>194</v>
      </c>
      <c r="DM509" s="995" t="s">
        <v>194</v>
      </c>
      <c r="DN509" s="995" t="s">
        <v>194</v>
      </c>
      <c r="DO509" s="995" t="s">
        <v>194</v>
      </c>
      <c r="DP509" s="995" t="s">
        <v>194</v>
      </c>
      <c r="DQ509" s="995" t="s">
        <v>194</v>
      </c>
      <c r="DR509" s="995" t="s">
        <v>194</v>
      </c>
      <c r="DS509" s="995" t="s">
        <v>194</v>
      </c>
      <c r="DT509" s="995" t="s">
        <v>194</v>
      </c>
    </row>
    <row r="510" spans="1:124">
      <c r="A510" s="42" t="s">
        <v>94</v>
      </c>
      <c r="B510" s="42" t="s">
        <v>549</v>
      </c>
      <c r="C510" s="42" t="s">
        <v>703</v>
      </c>
      <c r="D510" s="42">
        <v>819409</v>
      </c>
      <c r="E510" s="42" t="s">
        <v>729</v>
      </c>
      <c r="F510" s="42" t="s">
        <v>193</v>
      </c>
      <c r="G510" s="42" t="s">
        <v>150</v>
      </c>
      <c r="H510" s="43" t="s">
        <v>152</v>
      </c>
      <c r="I510" s="44">
        <v>46</v>
      </c>
      <c r="J510" s="45">
        <v>2469.2024000000001</v>
      </c>
      <c r="K510" s="46">
        <v>122.82485</v>
      </c>
      <c r="L510" s="47">
        <v>2592.0272500000001</v>
      </c>
      <c r="M510" s="48">
        <v>48084</v>
      </c>
      <c r="N510" s="49">
        <v>33996</v>
      </c>
      <c r="O510" s="49">
        <v>14088</v>
      </c>
      <c r="P510" s="49">
        <v>0</v>
      </c>
      <c r="Q510" s="50">
        <v>0</v>
      </c>
      <c r="R510" s="51">
        <v>11191.105627311499</v>
      </c>
      <c r="S510" s="49">
        <v>18476.293580237802</v>
      </c>
      <c r="T510" s="49">
        <v>3965.8770094224301</v>
      </c>
      <c r="U510" s="49">
        <f>IFERROR(INDEX('Rentabilidad datos'!$N$2:$N$61,MATCH($C510,'Rentabilidad datos'!$C$2:$C$61,0)),"")</f>
        <v>33633.276216971761</v>
      </c>
      <c r="V510" s="50">
        <f>IFERROR(INDEX('Rentabilidad datos'!$O$2:$O$61,MATCH($C510,'Rentabilidad datos'!$C$2:$C$61,0)),"")</f>
        <v>1159.7681454128194</v>
      </c>
      <c r="W510" s="51">
        <f>IFERROR(INDEX('Rentabilidad datos'!$M$2:$M$61,MATCH($C510,'Rentabilidad datos'!$C$2:$C$61,0)),"")</f>
        <v>2866.2444123371242</v>
      </c>
      <c r="X510" s="52">
        <f>IFERROR(INDEX('Rentabilidad datos'!$P$2:$P$61,MATCH($C510,'Rentabilidad datos'!$C$2:$C$61,0)),"")</f>
        <v>0.40462988446513848</v>
      </c>
      <c r="Y510" s="43" t="s">
        <v>171</v>
      </c>
      <c r="Z510" s="53">
        <v>151.42857142857099</v>
      </c>
      <c r="AA510" s="43">
        <v>2</v>
      </c>
      <c r="AB510" s="54">
        <v>0.81295233341652107</v>
      </c>
      <c r="AC510" s="55">
        <v>0.18704766658347891</v>
      </c>
      <c r="AD510" s="752" t="e">
        <f>_xlfn.XLOOKUP(Table1[[#This Row],[Ruta]],#REF!,#REF!)</f>
        <v>#REF!</v>
      </c>
      <c r="AE510" s="752" t="e">
        <f>_xlfn.XLOOKUP(Table1[[#This Row],[Ruta]],#REF!,#REF!)</f>
        <v>#REF!</v>
      </c>
      <c r="AF510" s="752" t="e">
        <f>_xlfn.XLOOKUP(Table1[[#This Row],[Ruta]],#REF!,#REF!)</f>
        <v>#REF!</v>
      </c>
      <c r="AG510" s="752" t="e">
        <f>_xlfn.XLOOKUP(Table1[[#This Row],[Ruta]],#REF!,#REF!)</f>
        <v>#REF!</v>
      </c>
      <c r="AH510" s="52">
        <v>0.70701272772647861</v>
      </c>
      <c r="AI510" s="52">
        <v>0.29298727227352134</v>
      </c>
      <c r="AJ510" s="55">
        <v>0</v>
      </c>
      <c r="AK510" s="56">
        <v>3180</v>
      </c>
      <c r="AL510" s="44">
        <v>51</v>
      </c>
      <c r="AM510" s="54">
        <v>1.13207547169811E-2</v>
      </c>
      <c r="AN510" s="55">
        <v>0.50225307463674596</v>
      </c>
      <c r="AO510" s="56">
        <v>0</v>
      </c>
      <c r="AP510" s="48">
        <v>0</v>
      </c>
      <c r="AQ510" s="55">
        <v>1.6037735849056604E-2</v>
      </c>
      <c r="AR510" s="51">
        <v>48083.03</v>
      </c>
      <c r="AS510" s="49">
        <v>0</v>
      </c>
      <c r="AT510" s="55">
        <v>0</v>
      </c>
      <c r="AU510" s="51">
        <v>0</v>
      </c>
      <c r="AV510" s="52">
        <v>0</v>
      </c>
      <c r="AW510" s="44">
        <v>490</v>
      </c>
      <c r="AX510" s="51">
        <v>942.80450980392197</v>
      </c>
      <c r="AY510" s="49">
        <v>400.61</v>
      </c>
      <c r="AZ510" s="49">
        <v>0</v>
      </c>
      <c r="BA510" s="42" t="s">
        <v>152</v>
      </c>
      <c r="BB510" s="50">
        <v>0</v>
      </c>
      <c r="BC510" s="57">
        <v>0</v>
      </c>
      <c r="BD510" s="42" t="s">
        <v>152</v>
      </c>
      <c r="BE510" s="46" t="s">
        <v>195</v>
      </c>
      <c r="BF510" s="46" t="s">
        <v>195</v>
      </c>
      <c r="BG510" s="42" t="s">
        <v>195</v>
      </c>
      <c r="BH510" s="52" t="s">
        <v>195</v>
      </c>
      <c r="BI510" s="52" t="s">
        <v>195</v>
      </c>
      <c r="BJ510" s="42" t="s">
        <v>195</v>
      </c>
      <c r="BK510" s="46" t="s">
        <v>195</v>
      </c>
      <c r="BL510" s="46" t="s">
        <v>195</v>
      </c>
      <c r="BM510" s="42" t="s">
        <v>195</v>
      </c>
      <c r="BN510" s="48" t="s">
        <v>195</v>
      </c>
      <c r="BO510" s="42" t="s">
        <v>195</v>
      </c>
      <c r="BP510" s="42" t="s">
        <v>152</v>
      </c>
      <c r="BQ510" s="46">
        <v>0</v>
      </c>
      <c r="BR510" s="46" t="e">
        <v>#N/A</v>
      </c>
      <c r="BS510" s="46" t="e">
        <v>#N/A</v>
      </c>
      <c r="BT510" s="46" t="e">
        <v>#N/A</v>
      </c>
      <c r="BU510" s="46" t="e">
        <v>#N/A</v>
      </c>
      <c r="BV510" s="46" t="e">
        <v>#N/A</v>
      </c>
      <c r="BW510" s="46" t="e">
        <v>#N/A</v>
      </c>
      <c r="BX510" s="46" t="e">
        <v>#N/A</v>
      </c>
      <c r="BY510" s="46" t="e">
        <v>#N/A</v>
      </c>
      <c r="BZ510" s="46" t="e">
        <v>#N/A</v>
      </c>
      <c r="CA510" s="46" t="e">
        <v>#N/A</v>
      </c>
      <c r="CB510" s="46" t="e">
        <v>#N/A</v>
      </c>
      <c r="CC510" s="46" t="e">
        <v>#N/A</v>
      </c>
      <c r="CD510" s="46" t="e">
        <v>#N/A</v>
      </c>
      <c r="CE510" s="46" t="e">
        <v>#N/A</v>
      </c>
      <c r="CF510" s="46" t="e">
        <v>#N/A</v>
      </c>
      <c r="CG510" s="46" t="e">
        <v>#N/A</v>
      </c>
      <c r="CH510" s="46" t="e">
        <v>#N/A</v>
      </c>
      <c r="CI510" s="46" t="e">
        <v>#N/A</v>
      </c>
      <c r="CJ510" s="46" t="e">
        <v>#N/A</v>
      </c>
      <c r="CM510">
        <f t="shared" si="56"/>
        <v>0</v>
      </c>
      <c r="CP510">
        <f t="shared" si="57"/>
        <v>0</v>
      </c>
      <c r="CS510">
        <f t="shared" si="58"/>
        <v>0</v>
      </c>
      <c r="CW510" s="46"/>
      <c r="CX510" s="46" t="e">
        <f t="shared" si="52"/>
        <v>#N/A</v>
      </c>
      <c r="CY510" s="46"/>
      <c r="CZ510" s="46" t="e">
        <f t="shared" si="53"/>
        <v>#N/A</v>
      </c>
      <c r="DA510" s="46" t="e">
        <f t="shared" si="54"/>
        <v>#N/A</v>
      </c>
      <c r="DB510" s="46"/>
      <c r="DC510" s="46" t="e">
        <f t="shared" si="55"/>
        <v>#N/A</v>
      </c>
      <c r="DD510" s="46"/>
      <c r="DE510" s="995" t="s">
        <v>194</v>
      </c>
      <c r="DF510" s="995" t="s">
        <v>194</v>
      </c>
      <c r="DG510" s="995" t="s">
        <v>194</v>
      </c>
      <c r="DH510" s="995" t="s">
        <v>194</v>
      </c>
      <c r="DI510" s="995" t="s">
        <v>194</v>
      </c>
      <c r="DJ510" s="995" t="s">
        <v>194</v>
      </c>
      <c r="DK510" s="995" t="s">
        <v>194</v>
      </c>
      <c r="DL510" s="995" t="s">
        <v>194</v>
      </c>
      <c r="DM510" s="995" t="s">
        <v>194</v>
      </c>
      <c r="DN510" s="995" t="s">
        <v>194</v>
      </c>
      <c r="DO510" s="995" t="s">
        <v>194</v>
      </c>
      <c r="DP510" s="995" t="s">
        <v>194</v>
      </c>
      <c r="DQ510" s="995" t="s">
        <v>194</v>
      </c>
      <c r="DR510" s="995" t="s">
        <v>194</v>
      </c>
      <c r="DS510" s="995" t="s">
        <v>194</v>
      </c>
      <c r="DT510" s="995" t="s">
        <v>194</v>
      </c>
    </row>
    <row r="511" spans="1:124">
      <c r="A511" s="42" t="s">
        <v>94</v>
      </c>
      <c r="B511" s="42" t="s">
        <v>549</v>
      </c>
      <c r="C511" s="42" t="s">
        <v>703</v>
      </c>
      <c r="D511" s="42">
        <v>819410</v>
      </c>
      <c r="E511" s="42" t="s">
        <v>730</v>
      </c>
      <c r="F511" s="42" t="s">
        <v>149</v>
      </c>
      <c r="G511" s="42" t="s">
        <v>150</v>
      </c>
      <c r="H511" s="43" t="s">
        <v>150</v>
      </c>
      <c r="I511" s="44">
        <v>46</v>
      </c>
      <c r="J511" s="45">
        <v>228.95599999999999</v>
      </c>
      <c r="K511" s="46">
        <v>151.12360000000001</v>
      </c>
      <c r="L511" s="47">
        <v>380.07960000000003</v>
      </c>
      <c r="M511" s="48">
        <v>16246</v>
      </c>
      <c r="N511" s="49">
        <v>2672</v>
      </c>
      <c r="O511" s="49">
        <v>13574</v>
      </c>
      <c r="P511" s="49">
        <v>0</v>
      </c>
      <c r="Q511" s="50">
        <v>300.88203703703698</v>
      </c>
      <c r="R511" s="51">
        <v>11191.105627311499</v>
      </c>
      <c r="S511" s="49">
        <v>18476.293580237802</v>
      </c>
      <c r="T511" s="49">
        <v>3965.8770094224301</v>
      </c>
      <c r="U511" s="49">
        <f>IFERROR(INDEX('Rentabilidad datos'!$N$2:$N$61,MATCH($C511,'Rentabilidad datos'!$C$2:$C$61,0)),"")</f>
        <v>33633.276216971761</v>
      </c>
      <c r="V511" s="50">
        <f>IFERROR(INDEX('Rentabilidad datos'!$O$2:$O$61,MATCH($C511,'Rentabilidad datos'!$C$2:$C$61,0)),"")</f>
        <v>1159.7681454128194</v>
      </c>
      <c r="W511" s="51">
        <f>IFERROR(INDEX('Rentabilidad datos'!$M$2:$M$61,MATCH($C511,'Rentabilidad datos'!$C$2:$C$61,0)),"")</f>
        <v>2866.2444123371242</v>
      </c>
      <c r="X511" s="52">
        <f>IFERROR(INDEX('Rentabilidad datos'!$P$2:$P$61,MATCH($C511,'Rentabilidad datos'!$C$2:$C$61,0)),"")</f>
        <v>0.40462988446513848</v>
      </c>
      <c r="Y511" s="43" t="s">
        <v>171</v>
      </c>
      <c r="Z511" s="53">
        <v>136.833333333333</v>
      </c>
      <c r="AA511" s="43">
        <v>2</v>
      </c>
      <c r="AB511" s="54">
        <v>3.139234273051828E-3</v>
      </c>
      <c r="AC511" s="55">
        <v>0.99686076572694815</v>
      </c>
      <c r="AD511" s="752" t="e">
        <f>_xlfn.XLOOKUP(Table1[[#This Row],[Ruta]],#REF!,#REF!)</f>
        <v>#REF!</v>
      </c>
      <c r="AE511" s="752" t="e">
        <f>_xlfn.XLOOKUP(Table1[[#This Row],[Ruta]],#REF!,#REF!)</f>
        <v>#REF!</v>
      </c>
      <c r="AF511" s="752" t="e">
        <f>_xlfn.XLOOKUP(Table1[[#This Row],[Ruta]],#REF!,#REF!)</f>
        <v>#REF!</v>
      </c>
      <c r="AG511" s="752" t="e">
        <f>_xlfn.XLOOKUP(Table1[[#This Row],[Ruta]],#REF!,#REF!)</f>
        <v>#REF!</v>
      </c>
      <c r="AH511" s="52">
        <v>0.16447125446263697</v>
      </c>
      <c r="AI511" s="52">
        <v>0.835528745537363</v>
      </c>
      <c r="AJ511" s="55">
        <v>0</v>
      </c>
      <c r="AK511" s="56">
        <v>2463</v>
      </c>
      <c r="AL511" s="44">
        <v>38</v>
      </c>
      <c r="AM511" s="54">
        <v>1.6240357287860001E-3</v>
      </c>
      <c r="AN511" s="55">
        <v>0.50225307463674596</v>
      </c>
      <c r="AO511" s="56">
        <v>1233.0493228303101</v>
      </c>
      <c r="AP511" s="48">
        <v>616.52466141515504</v>
      </c>
      <c r="AQ511" s="55">
        <v>0.26574285887744825</v>
      </c>
      <c r="AR511" s="51">
        <v>16247.63</v>
      </c>
      <c r="AS511" s="49">
        <v>263606.96275128098</v>
      </c>
      <c r="AT511" s="55">
        <v>16.224333195135596</v>
      </c>
      <c r="AU511" s="51">
        <v>185237.32517657589</v>
      </c>
      <c r="AV511" s="52">
        <v>8.426621217211864E-4</v>
      </c>
      <c r="AW511" s="44">
        <v>324</v>
      </c>
      <c r="AX511" s="51">
        <v>427.569210526316</v>
      </c>
      <c r="AY511" s="49">
        <v>400.61</v>
      </c>
      <c r="AZ511" s="49">
        <v>0</v>
      </c>
      <c r="BA511" s="42" t="s">
        <v>152</v>
      </c>
      <c r="BB511" s="50">
        <v>0</v>
      </c>
      <c r="BC511" s="57">
        <v>185237.32517657589</v>
      </c>
      <c r="BD511" s="42" t="s">
        <v>150</v>
      </c>
      <c r="BE511" s="46">
        <v>136.833333333333</v>
      </c>
      <c r="BF511" s="46">
        <v>83.628504672897193</v>
      </c>
      <c r="BG511" s="42" t="s">
        <v>150</v>
      </c>
      <c r="BH511" s="52">
        <v>1.62403572878603E-3</v>
      </c>
      <c r="BI511" s="52">
        <v>0.51187669456560203</v>
      </c>
      <c r="BJ511" s="42" t="s">
        <v>152</v>
      </c>
      <c r="BK511" s="46">
        <v>7.0385111111111103</v>
      </c>
      <c r="BL511" s="46">
        <v>638.00354527981403</v>
      </c>
      <c r="BM511" s="42" t="s">
        <v>152</v>
      </c>
      <c r="BN511" s="48">
        <v>1</v>
      </c>
      <c r="BO511" s="42" t="s">
        <v>155</v>
      </c>
      <c r="BP511" s="42" t="s">
        <v>152</v>
      </c>
      <c r="BQ511" s="46">
        <v>547.83947518389505</v>
      </c>
      <c r="BR511" s="46" t="e">
        <v>#N/A</v>
      </c>
      <c r="BS511" s="46" t="e">
        <v>#N/A</v>
      </c>
      <c r="BT511" s="46" t="e">
        <v>#N/A</v>
      </c>
      <c r="BU511" s="46" t="e">
        <v>#N/A</v>
      </c>
      <c r="BV511" s="46" t="e">
        <v>#N/A</v>
      </c>
      <c r="BW511" s="46" t="e">
        <v>#N/A</v>
      </c>
      <c r="BX511" s="46" t="e">
        <v>#N/A</v>
      </c>
      <c r="BY511" s="46" t="e">
        <v>#N/A</v>
      </c>
      <c r="BZ511" s="46" t="e">
        <v>#N/A</v>
      </c>
      <c r="CA511" s="46" t="e">
        <v>#N/A</v>
      </c>
      <c r="CB511" s="46" t="e">
        <v>#N/A</v>
      </c>
      <c r="CC511" s="46" t="e">
        <v>#N/A</v>
      </c>
      <c r="CD511" s="46" t="e">
        <v>#N/A</v>
      </c>
      <c r="CE511" s="46" t="e">
        <v>#N/A</v>
      </c>
      <c r="CF511" s="46" t="e">
        <v>#N/A</v>
      </c>
      <c r="CG511" s="46" t="e">
        <v>#N/A</v>
      </c>
      <c r="CH511" s="46" t="e">
        <v>#N/A</v>
      </c>
      <c r="CI511" s="46" t="e">
        <v>#N/A</v>
      </c>
      <c r="CJ511" s="46" t="e">
        <v>#N/A</v>
      </c>
      <c r="CM511">
        <f t="shared" si="56"/>
        <v>0</v>
      </c>
      <c r="CP511">
        <f t="shared" si="57"/>
        <v>0</v>
      </c>
      <c r="CS511">
        <f t="shared" si="58"/>
        <v>0</v>
      </c>
      <c r="CW511" s="46"/>
      <c r="CX511" s="46" t="e">
        <f t="shared" si="52"/>
        <v>#N/A</v>
      </c>
      <c r="CY511" s="46"/>
      <c r="CZ511" s="46" t="e">
        <f t="shared" si="53"/>
        <v>#N/A</v>
      </c>
      <c r="DA511" s="46" t="e">
        <f t="shared" si="54"/>
        <v>#N/A</v>
      </c>
      <c r="DB511" s="46"/>
      <c r="DC511" s="46" t="e">
        <f t="shared" si="55"/>
        <v>#N/A</v>
      </c>
      <c r="DD511" s="46"/>
      <c r="DE511" s="995" t="s">
        <v>194</v>
      </c>
      <c r="DF511" s="995" t="s">
        <v>194</v>
      </c>
      <c r="DG511" s="995" t="s">
        <v>194</v>
      </c>
      <c r="DH511" s="995" t="s">
        <v>194</v>
      </c>
      <c r="DI511" s="995" t="s">
        <v>194</v>
      </c>
      <c r="DJ511" s="995" t="s">
        <v>194</v>
      </c>
      <c r="DK511" s="995" t="s">
        <v>194</v>
      </c>
      <c r="DL511" s="995" t="s">
        <v>194</v>
      </c>
      <c r="DM511" s="995" t="s">
        <v>194</v>
      </c>
      <c r="DN511" s="995" t="s">
        <v>194</v>
      </c>
      <c r="DO511" s="995" t="s">
        <v>194</v>
      </c>
      <c r="DP511" s="995" t="s">
        <v>194</v>
      </c>
      <c r="DQ511" s="995" t="s">
        <v>194</v>
      </c>
      <c r="DR511" s="995" t="s">
        <v>194</v>
      </c>
      <c r="DS511" s="995" t="s">
        <v>194</v>
      </c>
      <c r="DT511" s="995" t="s">
        <v>194</v>
      </c>
    </row>
    <row r="512" spans="1:124">
      <c r="A512" s="42" t="s">
        <v>94</v>
      </c>
      <c r="B512" s="42" t="s">
        <v>549</v>
      </c>
      <c r="C512" s="42" t="s">
        <v>703</v>
      </c>
      <c r="D512" s="42">
        <v>819411</v>
      </c>
      <c r="E512" s="42" t="s">
        <v>731</v>
      </c>
      <c r="F512" s="42" t="s">
        <v>149</v>
      </c>
      <c r="G512" s="42" t="s">
        <v>150</v>
      </c>
      <c r="H512" s="43" t="s">
        <v>150</v>
      </c>
      <c r="I512" s="44">
        <v>46</v>
      </c>
      <c r="J512" s="45">
        <v>183266.94959999999</v>
      </c>
      <c r="K512" s="46">
        <v>9167.0450779999992</v>
      </c>
      <c r="L512" s="47">
        <v>192433.99467799999</v>
      </c>
      <c r="M512" s="48">
        <v>3826284</v>
      </c>
      <c r="N512" s="49">
        <v>2640810</v>
      </c>
      <c r="O512" s="49">
        <v>1179880</v>
      </c>
      <c r="P512" s="49">
        <v>5594</v>
      </c>
      <c r="Q512" s="50">
        <v>8850.2671229698408</v>
      </c>
      <c r="R512" s="51">
        <v>11191.105627311499</v>
      </c>
      <c r="S512" s="49">
        <v>18476.293580237802</v>
      </c>
      <c r="T512" s="49">
        <v>3965.8770094224301</v>
      </c>
      <c r="U512" s="49">
        <f>IFERROR(INDEX('Rentabilidad datos'!$N$2:$N$61,MATCH($C512,'Rentabilidad datos'!$C$2:$C$61,0)),"")</f>
        <v>33633.276216971761</v>
      </c>
      <c r="V512" s="50">
        <f>IFERROR(INDEX('Rentabilidad datos'!$O$2:$O$61,MATCH($C512,'Rentabilidad datos'!$C$2:$C$61,0)),"")</f>
        <v>1159.7681454128194</v>
      </c>
      <c r="W512" s="51">
        <f>IFERROR(INDEX('Rentabilidad datos'!$M$2:$M$61,MATCH($C512,'Rentabilidad datos'!$C$2:$C$61,0)),"")</f>
        <v>2866.2444123371242</v>
      </c>
      <c r="X512" s="52">
        <f>IFERROR(INDEX('Rentabilidad datos'!$P$2:$P$61,MATCH($C512,'Rentabilidad datos'!$C$2:$C$61,0)),"")</f>
        <v>0.40462988446513848</v>
      </c>
      <c r="Y512" s="43" t="s">
        <v>171</v>
      </c>
      <c r="Z512" s="53">
        <v>93.6450116009281</v>
      </c>
      <c r="AA512" s="43">
        <v>2</v>
      </c>
      <c r="AB512" s="54">
        <v>0.97214503680333186</v>
      </c>
      <c r="AC512" s="55">
        <v>2.7854963196668098E-2</v>
      </c>
      <c r="AD512" s="752" t="e">
        <f>_xlfn.XLOOKUP(Table1[[#This Row],[Ruta]],#REF!,#REF!)</f>
        <v>#REF!</v>
      </c>
      <c r="AE512" s="752" t="e">
        <f>_xlfn.XLOOKUP(Table1[[#This Row],[Ruta]],#REF!,#REF!)</f>
        <v>#REF!</v>
      </c>
      <c r="AF512" s="752" t="e">
        <f>_xlfn.XLOOKUP(Table1[[#This Row],[Ruta]],#REF!,#REF!)</f>
        <v>#REF!</v>
      </c>
      <c r="AG512" s="752" t="e">
        <f>_xlfn.XLOOKUP(Table1[[#This Row],[Ruta]],#REF!,#REF!)</f>
        <v>#REF!</v>
      </c>
      <c r="AH512" s="52">
        <v>0.69017616047319019</v>
      </c>
      <c r="AI512" s="52">
        <v>0.30836184663762545</v>
      </c>
      <c r="AJ512" s="55">
        <v>1.4619928891843887E-3</v>
      </c>
      <c r="AK512" s="56">
        <v>40361</v>
      </c>
      <c r="AL512" s="44">
        <v>17916</v>
      </c>
      <c r="AM512" s="54">
        <v>0.44389385793216202</v>
      </c>
      <c r="AN512" s="55">
        <v>0.50225307463674596</v>
      </c>
      <c r="AO512" s="56">
        <v>2355.4363454137001</v>
      </c>
      <c r="AP512" s="48">
        <v>1177.7181727068501</v>
      </c>
      <c r="AQ512" s="55">
        <v>0.47307346628445401</v>
      </c>
      <c r="AR512" s="51">
        <v>3814465.13</v>
      </c>
      <c r="AS512" s="49">
        <v>250745.9758181285</v>
      </c>
      <c r="AT512" s="55">
        <v>6.5735553287946433E-2</v>
      </c>
      <c r="AU512" s="51">
        <v>176199.87489922548</v>
      </c>
      <c r="AV512" s="52">
        <v>8.0154990517194405E-4</v>
      </c>
      <c r="AW512" s="44">
        <v>332</v>
      </c>
      <c r="AX512" s="51">
        <v>212.908301518196</v>
      </c>
      <c r="AY512" s="49">
        <v>400.61</v>
      </c>
      <c r="AZ512" s="49">
        <v>187.70169848180402</v>
      </c>
      <c r="BA512" s="42" t="s">
        <v>150</v>
      </c>
      <c r="BB512" s="50">
        <v>1181546.6808108115</v>
      </c>
      <c r="BC512" s="57">
        <v>1357746.555710037</v>
      </c>
      <c r="BD512" s="42" t="s">
        <v>150</v>
      </c>
      <c r="BE512" s="46">
        <v>93.6450116009281</v>
      </c>
      <c r="BF512" s="46">
        <v>83.628504672897193</v>
      </c>
      <c r="BG512" s="42" t="s">
        <v>150</v>
      </c>
      <c r="BH512" s="52">
        <v>0.44389385793216202</v>
      </c>
      <c r="BI512" s="52">
        <v>0.51187669456560203</v>
      </c>
      <c r="BJ512" s="42" t="s">
        <v>152</v>
      </c>
      <c r="BK512" s="46">
        <v>446.48258625986</v>
      </c>
      <c r="BL512" s="46">
        <v>638.00354527981403</v>
      </c>
      <c r="BM512" s="42" t="s">
        <v>152</v>
      </c>
      <c r="BN512" s="48">
        <v>1</v>
      </c>
      <c r="BO512" s="42" t="s">
        <v>155</v>
      </c>
      <c r="BP512" s="42" t="s">
        <v>152</v>
      </c>
      <c r="BQ512" s="46">
        <v>0</v>
      </c>
      <c r="BR512" s="46">
        <v>131</v>
      </c>
      <c r="BS512" s="46">
        <v>16278</v>
      </c>
      <c r="BT512" s="46">
        <v>4339</v>
      </c>
      <c r="BU512" s="46">
        <v>3.751555657985711</v>
      </c>
      <c r="BV512" s="46">
        <v>33.122137404580151</v>
      </c>
      <c r="BW512" s="46">
        <v>0</v>
      </c>
      <c r="BX512" s="46">
        <v>561</v>
      </c>
      <c r="BY512" s="46">
        <v>561</v>
      </c>
      <c r="BZ512" s="46">
        <v>0.12929246370131367</v>
      </c>
      <c r="CA512" s="46">
        <v>0</v>
      </c>
      <c r="CB512" s="46">
        <v>0.1292924637013137</v>
      </c>
      <c r="CC512" s="46">
        <v>0.20672966121226091</v>
      </c>
      <c r="CD512" s="46">
        <v>0</v>
      </c>
      <c r="CE512" s="46">
        <v>0</v>
      </c>
      <c r="CF512" s="46">
        <v>0.66397787508642547</v>
      </c>
      <c r="CG512" s="46">
        <v>0</v>
      </c>
      <c r="CH512" s="46">
        <v>0</v>
      </c>
      <c r="CI512" s="46">
        <v>5.3446369332841872</v>
      </c>
      <c r="CJ512" s="46">
        <v>0.1228652168571078</v>
      </c>
      <c r="CK512">
        <v>302</v>
      </c>
      <c r="CL512">
        <v>302</v>
      </c>
      <c r="CM512">
        <f t="shared" si="56"/>
        <v>0</v>
      </c>
      <c r="CN512">
        <v>12.74</v>
      </c>
      <c r="CO512">
        <v>9.4499999999999993</v>
      </c>
      <c r="CP512">
        <f t="shared" si="57"/>
        <v>-3.2900000000000009</v>
      </c>
      <c r="CQ512">
        <v>846.56</v>
      </c>
      <c r="CR512">
        <v>446.48</v>
      </c>
      <c r="CS512">
        <f t="shared" si="58"/>
        <v>400.07999999999993</v>
      </c>
      <c r="CT512" t="s">
        <v>150</v>
      </c>
      <c r="CU512">
        <v>134.85</v>
      </c>
      <c r="CV512">
        <v>76</v>
      </c>
      <c r="CW512" s="46">
        <v>561</v>
      </c>
      <c r="CX512" s="46">
        <f t="shared" si="52"/>
        <v>12.929246370131366</v>
      </c>
      <c r="CY512" s="46">
        <v>0</v>
      </c>
      <c r="CZ512" s="46">
        <f t="shared" si="53"/>
        <v>12.929246370131366</v>
      </c>
      <c r="DA512" s="46">
        <f t="shared" si="54"/>
        <v>103.60497349619727</v>
      </c>
      <c r="DB512" s="46">
        <v>449541.98</v>
      </c>
      <c r="DC512" s="46">
        <f t="shared" si="55"/>
        <v>4.9182023507720674</v>
      </c>
      <c r="DD512" s="46">
        <v>21340.080000000002</v>
      </c>
      <c r="DE512" s="995">
        <v>561</v>
      </c>
      <c r="DF512" s="995">
        <v>12.929</v>
      </c>
      <c r="DG512" s="995">
        <v>0</v>
      </c>
      <c r="DH512" s="995">
        <v>12.929</v>
      </c>
      <c r="DI512" s="995">
        <v>797.80399999999997</v>
      </c>
      <c r="DJ512" s="995">
        <v>3461670</v>
      </c>
      <c r="DK512" s="995">
        <v>38.133000000000003</v>
      </c>
      <c r="DL512" s="995">
        <v>165460.9</v>
      </c>
      <c r="DM512" s="995">
        <v>561</v>
      </c>
      <c r="DN512" s="995">
        <v>12.929</v>
      </c>
      <c r="DO512" s="995">
        <v>0</v>
      </c>
      <c r="DP512" s="995">
        <v>12.929</v>
      </c>
      <c r="DQ512" s="995">
        <v>797.80399999999997</v>
      </c>
      <c r="DR512" s="995">
        <v>3461670</v>
      </c>
      <c r="DS512" s="995">
        <v>38.133000000000003</v>
      </c>
      <c r="DT512" s="995">
        <v>165460.9</v>
      </c>
    </row>
    <row r="513" spans="1:124">
      <c r="A513" s="42" t="s">
        <v>94</v>
      </c>
      <c r="B513" s="42" t="s">
        <v>549</v>
      </c>
      <c r="C513" s="42" t="s">
        <v>703</v>
      </c>
      <c r="D513" s="42">
        <v>819413</v>
      </c>
      <c r="E513" s="42" t="s">
        <v>732</v>
      </c>
      <c r="F513" s="42" t="s">
        <v>149</v>
      </c>
      <c r="G513" s="42" t="s">
        <v>150</v>
      </c>
      <c r="H513" s="43" t="s">
        <v>150</v>
      </c>
      <c r="I513" s="44">
        <v>46</v>
      </c>
      <c r="J513" s="45">
        <v>182580.0816</v>
      </c>
      <c r="K513" s="46">
        <v>6073.0546759999997</v>
      </c>
      <c r="L513" s="47">
        <v>188653.136276</v>
      </c>
      <c r="M513" s="48">
        <v>3405471</v>
      </c>
      <c r="N513" s="49">
        <v>2660125</v>
      </c>
      <c r="O513" s="49">
        <v>744557</v>
      </c>
      <c r="P513" s="49">
        <v>789</v>
      </c>
      <c r="Q513" s="50">
        <v>7851.2872517321102</v>
      </c>
      <c r="R513" s="51">
        <v>11191.105627311499</v>
      </c>
      <c r="S513" s="49">
        <v>18476.293580237802</v>
      </c>
      <c r="T513" s="49">
        <v>3965.8770094224301</v>
      </c>
      <c r="U513" s="49">
        <f>IFERROR(INDEX('Rentabilidad datos'!$N$2:$N$61,MATCH($C513,'Rentabilidad datos'!$C$2:$C$61,0)),"")</f>
        <v>33633.276216971761</v>
      </c>
      <c r="V513" s="50">
        <f>IFERROR(INDEX('Rentabilidad datos'!$O$2:$O$61,MATCH($C513,'Rentabilidad datos'!$C$2:$C$61,0)),"")</f>
        <v>1159.7681454128194</v>
      </c>
      <c r="W513" s="51">
        <f>IFERROR(INDEX('Rentabilidad datos'!$M$2:$M$61,MATCH($C513,'Rentabilidad datos'!$C$2:$C$61,0)),"")</f>
        <v>2866.2444123371242</v>
      </c>
      <c r="X513" s="52">
        <f>IFERROR(INDEX('Rentabilidad datos'!$P$2:$P$61,MATCH($C513,'Rentabilidad datos'!$C$2:$C$61,0)),"")</f>
        <v>0.40462988446513848</v>
      </c>
      <c r="Y513" s="43" t="s">
        <v>171</v>
      </c>
      <c r="Z513" s="53">
        <v>88.157043879907604</v>
      </c>
      <c r="AA513" s="43">
        <v>2</v>
      </c>
      <c r="AB513" s="54">
        <v>0.90987795814440942</v>
      </c>
      <c r="AC513" s="55">
        <v>9.0122041855590612E-2</v>
      </c>
      <c r="AD513" s="752" t="e">
        <f>_xlfn.XLOOKUP(Table1[[#This Row],[Ruta]],#REF!,#REF!)</f>
        <v>#REF!</v>
      </c>
      <c r="AE513" s="752" t="e">
        <f>_xlfn.XLOOKUP(Table1[[#This Row],[Ruta]],#REF!,#REF!)</f>
        <v>#REF!</v>
      </c>
      <c r="AF513" s="752" t="e">
        <f>_xlfn.XLOOKUP(Table1[[#This Row],[Ruta]],#REF!,#REF!)</f>
        <v>#REF!</v>
      </c>
      <c r="AG513" s="752" t="e">
        <f>_xlfn.XLOOKUP(Table1[[#This Row],[Ruta]],#REF!,#REF!)</f>
        <v>#REF!</v>
      </c>
      <c r="AH513" s="52">
        <v>0.78113277135526926</v>
      </c>
      <c r="AI513" s="52">
        <v>0.21863554263125423</v>
      </c>
      <c r="AJ513" s="55">
        <v>2.3168601347654994E-4</v>
      </c>
      <c r="AK513" s="56">
        <v>38172</v>
      </c>
      <c r="AL513" s="44">
        <v>14446</v>
      </c>
      <c r="AM513" s="54">
        <v>0.37844493345907998</v>
      </c>
      <c r="AN513" s="55">
        <v>0.50225307463674596</v>
      </c>
      <c r="AO513" s="56">
        <v>4726.0043650338603</v>
      </c>
      <c r="AP513" s="48">
        <v>2363.0021825169301</v>
      </c>
      <c r="AQ513" s="55">
        <v>0.44034900404791288</v>
      </c>
      <c r="AR513" s="51">
        <v>3399607.38</v>
      </c>
      <c r="AS513" s="49">
        <v>556090.24357197003</v>
      </c>
      <c r="AT513" s="55">
        <v>0.16357484303730688</v>
      </c>
      <c r="AU513" s="51">
        <v>390766.11710462772</v>
      </c>
      <c r="AV513" s="52">
        <v>1.7776320459294487E-3</v>
      </c>
      <c r="AW513" s="44">
        <v>194</v>
      </c>
      <c r="AX513" s="51">
        <v>235.332090544095</v>
      </c>
      <c r="AY513" s="49">
        <v>400.61</v>
      </c>
      <c r="AZ513" s="49">
        <v>165.27790945590502</v>
      </c>
      <c r="BA513" s="42" t="s">
        <v>150</v>
      </c>
      <c r="BB513" s="50">
        <v>838888.13081081246</v>
      </c>
      <c r="BC513" s="57">
        <v>1229654.2479154402</v>
      </c>
      <c r="BD513" s="42" t="s">
        <v>150</v>
      </c>
      <c r="BE513" s="46">
        <v>88.157043879907604</v>
      </c>
      <c r="BF513" s="46">
        <v>83.628504672897193</v>
      </c>
      <c r="BG513" s="42" t="s">
        <v>150</v>
      </c>
      <c r="BH513" s="52">
        <v>0.37844493345907998</v>
      </c>
      <c r="BI513" s="52">
        <v>0.51187669456560203</v>
      </c>
      <c r="BJ513" s="42" t="s">
        <v>152</v>
      </c>
      <c r="BK513" s="46">
        <v>435.68853643417901</v>
      </c>
      <c r="BL513" s="46">
        <v>638.00354527981403</v>
      </c>
      <c r="BM513" s="42" t="s">
        <v>152</v>
      </c>
      <c r="BN513" s="48">
        <v>1</v>
      </c>
      <c r="BO513" s="42" t="s">
        <v>155</v>
      </c>
      <c r="BP513" s="42" t="s">
        <v>152</v>
      </c>
      <c r="BQ513" s="46">
        <v>397.43549343255302</v>
      </c>
      <c r="BR513" s="46">
        <v>166</v>
      </c>
      <c r="BS513" s="46">
        <v>28400</v>
      </c>
      <c r="BT513" s="46">
        <v>7450</v>
      </c>
      <c r="BU513" s="46">
        <v>3.8120805369127515</v>
      </c>
      <c r="BV513" s="46">
        <v>44.879518072289159</v>
      </c>
      <c r="BW513" s="46">
        <v>0</v>
      </c>
      <c r="BX513" s="46">
        <v>0</v>
      </c>
      <c r="BY513" s="46">
        <v>0</v>
      </c>
      <c r="BZ513" s="46">
        <v>0</v>
      </c>
      <c r="CA513" s="46">
        <v>0</v>
      </c>
      <c r="CB513" s="46">
        <v>0</v>
      </c>
      <c r="CC513" s="46">
        <v>0.4079194630872483</v>
      </c>
      <c r="CD513" s="46">
        <v>0</v>
      </c>
      <c r="CE513" s="46">
        <v>0</v>
      </c>
      <c r="CF513" s="46">
        <v>0.59208053691275164</v>
      </c>
      <c r="CG513" s="46">
        <v>0</v>
      </c>
      <c r="CH513" s="46">
        <v>0</v>
      </c>
      <c r="CI513" s="46">
        <v>4.295774647887324</v>
      </c>
      <c r="CJ513" s="46">
        <v>0.14084507042253519</v>
      </c>
      <c r="CK513">
        <v>331</v>
      </c>
      <c r="CL513">
        <v>331</v>
      </c>
      <c r="CM513">
        <f t="shared" si="56"/>
        <v>0</v>
      </c>
      <c r="CO513">
        <v>9.4499999999999993</v>
      </c>
      <c r="CP513">
        <f t="shared" si="57"/>
        <v>9.4499999999999993</v>
      </c>
      <c r="CS513">
        <f t="shared" si="58"/>
        <v>0</v>
      </c>
      <c r="CV513">
        <v>0</v>
      </c>
      <c r="CW513" s="46">
        <v>0</v>
      </c>
      <c r="CX513" s="46">
        <f t="shared" si="52"/>
        <v>0</v>
      </c>
      <c r="CY513" s="46">
        <v>0</v>
      </c>
      <c r="CZ513" s="46">
        <f t="shared" si="53"/>
        <v>0</v>
      </c>
      <c r="DA513" s="46">
        <f t="shared" si="54"/>
        <v>0</v>
      </c>
      <c r="DB513" s="46">
        <v>0</v>
      </c>
      <c r="DC513" s="46">
        <f t="shared" si="55"/>
        <v>0</v>
      </c>
      <c r="DD513" s="46">
        <v>0</v>
      </c>
      <c r="DE513" s="995">
        <v>0</v>
      </c>
      <c r="DF513" s="995">
        <v>0</v>
      </c>
      <c r="DG513" s="995">
        <v>0</v>
      </c>
      <c r="DH513" s="995">
        <v>0</v>
      </c>
      <c r="DI513" s="995">
        <v>320.38299999999998</v>
      </c>
      <c r="DJ513" s="995">
        <v>2386854</v>
      </c>
      <c r="DK513" s="995">
        <v>17.45</v>
      </c>
      <c r="DL513" s="995">
        <v>130000.6</v>
      </c>
      <c r="DM513" s="995">
        <v>0</v>
      </c>
      <c r="DN513" s="995">
        <v>0</v>
      </c>
      <c r="DO513" s="995">
        <v>0</v>
      </c>
      <c r="DP513" s="995">
        <v>0</v>
      </c>
      <c r="DQ513" s="995">
        <v>320.38299999999998</v>
      </c>
      <c r="DR513" s="995">
        <v>2386854</v>
      </c>
      <c r="DS513" s="995">
        <v>17.45</v>
      </c>
      <c r="DT513" s="995">
        <v>130000.6</v>
      </c>
    </row>
    <row r="514" spans="1:124">
      <c r="A514" s="42" t="s">
        <v>94</v>
      </c>
      <c r="B514" s="42" t="s">
        <v>549</v>
      </c>
      <c r="C514" s="42" t="s">
        <v>703</v>
      </c>
      <c r="D514" s="42">
        <v>819415</v>
      </c>
      <c r="E514" s="42" t="s">
        <v>733</v>
      </c>
      <c r="F514" s="42" t="s">
        <v>193</v>
      </c>
      <c r="G514" s="42" t="s">
        <v>150</v>
      </c>
      <c r="H514" s="43" t="s">
        <v>152</v>
      </c>
      <c r="I514" s="44">
        <v>46</v>
      </c>
      <c r="J514" s="45">
        <v>549.49440000000004</v>
      </c>
      <c r="K514" s="46">
        <v>148.43039999999999</v>
      </c>
      <c r="L514" s="47">
        <v>697.9248</v>
      </c>
      <c r="M514" s="48">
        <v>21412</v>
      </c>
      <c r="N514" s="49">
        <v>6769</v>
      </c>
      <c r="O514" s="49">
        <v>14643</v>
      </c>
      <c r="P514" s="49">
        <v>0</v>
      </c>
      <c r="Q514" s="50">
        <v>0</v>
      </c>
      <c r="R514" s="51">
        <v>11191.105627311499</v>
      </c>
      <c r="S514" s="49">
        <v>18476.293580237802</v>
      </c>
      <c r="T514" s="49">
        <v>3965.8770094224301</v>
      </c>
      <c r="U514" s="49">
        <f>IFERROR(INDEX('Rentabilidad datos'!$N$2:$N$61,MATCH($C514,'Rentabilidad datos'!$C$2:$C$61,0)),"")</f>
        <v>33633.276216971761</v>
      </c>
      <c r="V514" s="50">
        <f>IFERROR(INDEX('Rentabilidad datos'!$O$2:$O$61,MATCH($C514,'Rentabilidad datos'!$C$2:$C$61,0)),"")</f>
        <v>1159.7681454128194</v>
      </c>
      <c r="W514" s="51">
        <f>IFERROR(INDEX('Rentabilidad datos'!$M$2:$M$61,MATCH($C514,'Rentabilidad datos'!$C$2:$C$61,0)),"")</f>
        <v>2866.2444123371242</v>
      </c>
      <c r="X514" s="52">
        <f>IFERROR(INDEX('Rentabilidad datos'!$P$2:$P$61,MATCH($C514,'Rentabilidad datos'!$C$2:$C$61,0)),"")</f>
        <v>0.40462988446513848</v>
      </c>
      <c r="Y514" s="43" t="s">
        <v>171</v>
      </c>
      <c r="Z514" s="53">
        <v>93.590163934426201</v>
      </c>
      <c r="AA514" s="43">
        <v>2</v>
      </c>
      <c r="AB514" s="54">
        <v>1.167569587147394E-2</v>
      </c>
      <c r="AC514" s="55">
        <v>0.98832430412852601</v>
      </c>
      <c r="AD514" s="752" t="e">
        <f>_xlfn.XLOOKUP(Table1[[#This Row],[Ruta]],#REF!,#REF!)</f>
        <v>#REF!</v>
      </c>
      <c r="AE514" s="752" t="e">
        <f>_xlfn.XLOOKUP(Table1[[#This Row],[Ruta]],#REF!,#REF!)</f>
        <v>#REF!</v>
      </c>
      <c r="AF514" s="752" t="e">
        <f>_xlfn.XLOOKUP(Table1[[#This Row],[Ruta]],#REF!,#REF!)</f>
        <v>#REF!</v>
      </c>
      <c r="AG514" s="752" t="e">
        <f>_xlfn.XLOOKUP(Table1[[#This Row],[Ruta]],#REF!,#REF!)</f>
        <v>#REF!</v>
      </c>
      <c r="AH514" s="52">
        <v>0.31613114141602838</v>
      </c>
      <c r="AI514" s="52">
        <v>0.68386885858397162</v>
      </c>
      <c r="AJ514" s="55">
        <v>0</v>
      </c>
      <c r="AK514" s="56">
        <v>5709</v>
      </c>
      <c r="AL514" s="44">
        <v>49</v>
      </c>
      <c r="AM514" s="54">
        <v>8.4077771939043006E-3</v>
      </c>
      <c r="AN514" s="55">
        <v>0.50225307463674596</v>
      </c>
      <c r="AO514" s="56">
        <v>0</v>
      </c>
      <c r="AP514" s="48">
        <v>0</v>
      </c>
      <c r="AQ514" s="55">
        <v>8.582939218777369E-3</v>
      </c>
      <c r="AR514" s="51">
        <v>21411.42</v>
      </c>
      <c r="AS514" s="49">
        <v>0</v>
      </c>
      <c r="AT514" s="55">
        <v>0</v>
      </c>
      <c r="AU514" s="51">
        <v>0</v>
      </c>
      <c r="AV514" s="52">
        <v>0</v>
      </c>
      <c r="AW514" s="44">
        <v>490</v>
      </c>
      <c r="AX514" s="51">
        <v>436.967755102041</v>
      </c>
      <c r="AY514" s="49">
        <v>400.61</v>
      </c>
      <c r="AZ514" s="49">
        <v>0</v>
      </c>
      <c r="BA514" s="42" t="s">
        <v>152</v>
      </c>
      <c r="BB514" s="50">
        <v>0</v>
      </c>
      <c r="BC514" s="57">
        <v>0</v>
      </c>
      <c r="BD514" s="42" t="s">
        <v>152</v>
      </c>
      <c r="BE514" s="46" t="s">
        <v>195</v>
      </c>
      <c r="BF514" s="46" t="s">
        <v>195</v>
      </c>
      <c r="BG514" s="42" t="s">
        <v>195</v>
      </c>
      <c r="BH514" s="52" t="s">
        <v>195</v>
      </c>
      <c r="BI514" s="52" t="s">
        <v>195</v>
      </c>
      <c r="BJ514" s="42" t="s">
        <v>195</v>
      </c>
      <c r="BK514" s="46" t="s">
        <v>195</v>
      </c>
      <c r="BL514" s="46" t="s">
        <v>195</v>
      </c>
      <c r="BM514" s="42" t="s">
        <v>195</v>
      </c>
      <c r="BN514" s="48" t="s">
        <v>195</v>
      </c>
      <c r="BO514" s="42" t="s">
        <v>195</v>
      </c>
      <c r="BP514" s="42" t="s">
        <v>152</v>
      </c>
      <c r="BQ514" s="46">
        <v>0</v>
      </c>
      <c r="BR514" s="46" t="e">
        <v>#N/A</v>
      </c>
      <c r="BS514" s="46" t="e">
        <v>#N/A</v>
      </c>
      <c r="BT514" s="46" t="e">
        <v>#N/A</v>
      </c>
      <c r="BU514" s="46" t="e">
        <v>#N/A</v>
      </c>
      <c r="BV514" s="46" t="e">
        <v>#N/A</v>
      </c>
      <c r="BW514" s="46" t="e">
        <v>#N/A</v>
      </c>
      <c r="BX514" s="46" t="e">
        <v>#N/A</v>
      </c>
      <c r="BY514" s="46" t="e">
        <v>#N/A</v>
      </c>
      <c r="BZ514" s="46" t="e">
        <v>#N/A</v>
      </c>
      <c r="CA514" s="46" t="e">
        <v>#N/A</v>
      </c>
      <c r="CB514" s="46" t="e">
        <v>#N/A</v>
      </c>
      <c r="CC514" s="46" t="e">
        <v>#N/A</v>
      </c>
      <c r="CD514" s="46" t="e">
        <v>#N/A</v>
      </c>
      <c r="CE514" s="46" t="e">
        <v>#N/A</v>
      </c>
      <c r="CF514" s="46" t="e">
        <v>#N/A</v>
      </c>
      <c r="CG514" s="46" t="e">
        <v>#N/A</v>
      </c>
      <c r="CH514" s="46" t="e">
        <v>#N/A</v>
      </c>
      <c r="CI514" s="46" t="e">
        <v>#N/A</v>
      </c>
      <c r="CJ514" s="46" t="e">
        <v>#N/A</v>
      </c>
      <c r="CM514">
        <f t="shared" si="56"/>
        <v>0</v>
      </c>
      <c r="CP514">
        <f t="shared" si="57"/>
        <v>0</v>
      </c>
      <c r="CS514">
        <f t="shared" si="58"/>
        <v>0</v>
      </c>
      <c r="CW514" s="46"/>
      <c r="CX514" s="46" t="e">
        <f t="shared" si="52"/>
        <v>#N/A</v>
      </c>
      <c r="CY514" s="46"/>
      <c r="CZ514" s="46" t="e">
        <f t="shared" si="53"/>
        <v>#N/A</v>
      </c>
      <c r="DA514" s="46" t="e">
        <f t="shared" si="54"/>
        <v>#N/A</v>
      </c>
      <c r="DB514" s="46"/>
      <c r="DC514" s="46" t="e">
        <f t="shared" si="55"/>
        <v>#N/A</v>
      </c>
      <c r="DD514" s="46"/>
      <c r="DE514" s="995" t="s">
        <v>194</v>
      </c>
      <c r="DF514" s="995" t="s">
        <v>194</v>
      </c>
      <c r="DG514" s="995" t="s">
        <v>194</v>
      </c>
      <c r="DH514" s="995" t="s">
        <v>194</v>
      </c>
      <c r="DI514" s="995" t="s">
        <v>194</v>
      </c>
      <c r="DJ514" s="995" t="s">
        <v>194</v>
      </c>
      <c r="DK514" s="995" t="s">
        <v>194</v>
      </c>
      <c r="DL514" s="995" t="s">
        <v>194</v>
      </c>
      <c r="DM514" s="995" t="s">
        <v>194</v>
      </c>
      <c r="DN514" s="995" t="s">
        <v>194</v>
      </c>
      <c r="DO514" s="995" t="s">
        <v>194</v>
      </c>
      <c r="DP514" s="995" t="s">
        <v>194</v>
      </c>
      <c r="DQ514" s="995" t="s">
        <v>194</v>
      </c>
      <c r="DR514" s="995" t="s">
        <v>194</v>
      </c>
      <c r="DS514" s="995" t="s">
        <v>194</v>
      </c>
      <c r="DT514" s="995" t="s">
        <v>194</v>
      </c>
    </row>
    <row r="515" spans="1:124">
      <c r="A515" s="42" t="s">
        <v>94</v>
      </c>
      <c r="B515" s="42" t="s">
        <v>549</v>
      </c>
      <c r="C515" s="42" t="s">
        <v>703</v>
      </c>
      <c r="D515" s="42">
        <v>819416</v>
      </c>
      <c r="E515" s="42" t="s">
        <v>734</v>
      </c>
      <c r="F515" s="42" t="s">
        <v>149</v>
      </c>
      <c r="G515" s="42" t="s">
        <v>150</v>
      </c>
      <c r="H515" s="43" t="s">
        <v>150</v>
      </c>
      <c r="I515" s="44">
        <v>46</v>
      </c>
      <c r="J515" s="45">
        <v>813.67439999999999</v>
      </c>
      <c r="K515" s="46">
        <v>197.50087500000001</v>
      </c>
      <c r="L515" s="47">
        <v>1011.1752750000001</v>
      </c>
      <c r="M515" s="48">
        <v>30906</v>
      </c>
      <c r="N515" s="49">
        <v>9740</v>
      </c>
      <c r="O515" s="49">
        <v>21166</v>
      </c>
      <c r="P515" s="49">
        <v>0</v>
      </c>
      <c r="Q515" s="50">
        <v>288.85785046729001</v>
      </c>
      <c r="R515" s="51">
        <v>11191.105627311499</v>
      </c>
      <c r="S515" s="49">
        <v>18476.293580237802</v>
      </c>
      <c r="T515" s="49">
        <v>3965.8770094224301</v>
      </c>
      <c r="U515" s="49">
        <f>IFERROR(INDEX('Rentabilidad datos'!$N$2:$N$61,MATCH($C515,'Rentabilidad datos'!$C$2:$C$61,0)),"")</f>
        <v>33633.276216971761</v>
      </c>
      <c r="V515" s="50">
        <f>IFERROR(INDEX('Rentabilidad datos'!$O$2:$O$61,MATCH($C515,'Rentabilidad datos'!$C$2:$C$61,0)),"")</f>
        <v>1159.7681454128194</v>
      </c>
      <c r="W515" s="51">
        <f>IFERROR(INDEX('Rentabilidad datos'!$M$2:$M$61,MATCH($C515,'Rentabilidad datos'!$C$2:$C$61,0)),"")</f>
        <v>2866.2444123371242</v>
      </c>
      <c r="X515" s="52">
        <f>IFERROR(INDEX('Rentabilidad datos'!$P$2:$P$61,MATCH($C515,'Rentabilidad datos'!$C$2:$C$61,0)),"")</f>
        <v>0.40462988446513848</v>
      </c>
      <c r="Y515" s="43" t="s">
        <v>171</v>
      </c>
      <c r="Z515" s="53">
        <v>156.59016393442599</v>
      </c>
      <c r="AA515" s="43">
        <v>2</v>
      </c>
      <c r="AB515" s="54">
        <v>3.2356176794150005E-3</v>
      </c>
      <c r="AC515" s="55">
        <v>0.99676438232058495</v>
      </c>
      <c r="AD515" s="752" t="e">
        <f>_xlfn.XLOOKUP(Table1[[#This Row],[Ruta]],#REF!,#REF!)</f>
        <v>#REF!</v>
      </c>
      <c r="AE515" s="752" t="e">
        <f>_xlfn.XLOOKUP(Table1[[#This Row],[Ruta]],#REF!,#REF!)</f>
        <v>#REF!</v>
      </c>
      <c r="AF515" s="752" t="e">
        <f>_xlfn.XLOOKUP(Table1[[#This Row],[Ruta]],#REF!,#REF!)</f>
        <v>#REF!</v>
      </c>
      <c r="AG515" s="752" t="e">
        <f>_xlfn.XLOOKUP(Table1[[#This Row],[Ruta]],#REF!,#REF!)</f>
        <v>#REF!</v>
      </c>
      <c r="AH515" s="52">
        <v>0.31514916197502102</v>
      </c>
      <c r="AI515" s="52">
        <v>0.68485083802497893</v>
      </c>
      <c r="AJ515" s="55">
        <v>0</v>
      </c>
      <c r="AK515" s="56">
        <v>9552</v>
      </c>
      <c r="AL515" s="44">
        <v>74</v>
      </c>
      <c r="AM515" s="54">
        <v>2.8266331658290999E-3</v>
      </c>
      <c r="AN515" s="55">
        <v>0.50225307463674596</v>
      </c>
      <c r="AO515" s="56">
        <v>4770.5213689302</v>
      </c>
      <c r="AP515" s="48">
        <v>2385.2606844651</v>
      </c>
      <c r="AQ515" s="55">
        <v>0.25746028941217547</v>
      </c>
      <c r="AR515" s="51">
        <v>30907.79</v>
      </c>
      <c r="AS515" s="49">
        <v>996258.59906356002</v>
      </c>
      <c r="AT515" s="55">
        <v>32.233252492771562</v>
      </c>
      <c r="AU515" s="51">
        <v>700073.61015277216</v>
      </c>
      <c r="AV515" s="52">
        <v>3.1847011023831417E-3</v>
      </c>
      <c r="AW515" s="44">
        <v>96</v>
      </c>
      <c r="AX515" s="51">
        <v>417.67283783783802</v>
      </c>
      <c r="AY515" s="49">
        <v>400.61</v>
      </c>
      <c r="AZ515" s="49">
        <v>0</v>
      </c>
      <c r="BA515" s="42" t="s">
        <v>152</v>
      </c>
      <c r="BB515" s="50">
        <v>0</v>
      </c>
      <c r="BC515" s="57">
        <v>700073.61015277216</v>
      </c>
      <c r="BD515" s="42" t="s">
        <v>150</v>
      </c>
      <c r="BE515" s="46">
        <v>156.59016393442599</v>
      </c>
      <c r="BF515" s="46">
        <v>83.628504672897193</v>
      </c>
      <c r="BG515" s="42" t="s">
        <v>150</v>
      </c>
      <c r="BH515" s="52">
        <v>2.8266331658291502E-3</v>
      </c>
      <c r="BI515" s="52">
        <v>0.51187669456560203</v>
      </c>
      <c r="BJ515" s="42" t="s">
        <v>152</v>
      </c>
      <c r="BK515" s="46">
        <v>9.4502362149532697</v>
      </c>
      <c r="BL515" s="46">
        <v>638.00354527981403</v>
      </c>
      <c r="BM515" s="42" t="s">
        <v>152</v>
      </c>
      <c r="BN515" s="48">
        <v>1</v>
      </c>
      <c r="BO515" s="42" t="s">
        <v>155</v>
      </c>
      <c r="BP515" s="42" t="s">
        <v>152</v>
      </c>
      <c r="BQ515" s="46">
        <v>191.27201457240801</v>
      </c>
      <c r="BR515" s="46" t="e">
        <v>#N/A</v>
      </c>
      <c r="BS515" s="46" t="e">
        <v>#N/A</v>
      </c>
      <c r="BT515" s="46" t="e">
        <v>#N/A</v>
      </c>
      <c r="BU515" s="46" t="e">
        <v>#N/A</v>
      </c>
      <c r="BV515" s="46" t="e">
        <v>#N/A</v>
      </c>
      <c r="BW515" s="46" t="e">
        <v>#N/A</v>
      </c>
      <c r="BX515" s="46" t="e">
        <v>#N/A</v>
      </c>
      <c r="BY515" s="46" t="e">
        <v>#N/A</v>
      </c>
      <c r="BZ515" s="46" t="e">
        <v>#N/A</v>
      </c>
      <c r="CA515" s="46" t="e">
        <v>#N/A</v>
      </c>
      <c r="CB515" s="46" t="e">
        <v>#N/A</v>
      </c>
      <c r="CC515" s="46" t="e">
        <v>#N/A</v>
      </c>
      <c r="CD515" s="46" t="e">
        <v>#N/A</v>
      </c>
      <c r="CE515" s="46" t="e">
        <v>#N/A</v>
      </c>
      <c r="CF515" s="46" t="e">
        <v>#N/A</v>
      </c>
      <c r="CG515" s="46" t="e">
        <v>#N/A</v>
      </c>
      <c r="CH515" s="46" t="e">
        <v>#N/A</v>
      </c>
      <c r="CI515" s="46" t="e">
        <v>#N/A</v>
      </c>
      <c r="CJ515" s="46" t="e">
        <v>#N/A</v>
      </c>
      <c r="CM515">
        <f t="shared" si="56"/>
        <v>0</v>
      </c>
      <c r="CP515">
        <f t="shared" si="57"/>
        <v>0</v>
      </c>
      <c r="CS515">
        <f t="shared" si="58"/>
        <v>0</v>
      </c>
      <c r="CW515" s="46"/>
      <c r="CX515" s="46" t="e">
        <f t="shared" si="52"/>
        <v>#N/A</v>
      </c>
      <c r="CY515" s="46"/>
      <c r="CZ515" s="46" t="e">
        <f t="shared" si="53"/>
        <v>#N/A</v>
      </c>
      <c r="DA515" s="46" t="e">
        <f t="shared" si="54"/>
        <v>#N/A</v>
      </c>
      <c r="DB515" s="46"/>
      <c r="DC515" s="46" t="e">
        <f t="shared" si="55"/>
        <v>#N/A</v>
      </c>
      <c r="DD515" s="46"/>
      <c r="DE515" s="995" t="s">
        <v>194</v>
      </c>
      <c r="DF515" s="995" t="s">
        <v>194</v>
      </c>
      <c r="DG515" s="995" t="s">
        <v>194</v>
      </c>
      <c r="DH515" s="995" t="s">
        <v>194</v>
      </c>
      <c r="DI515" s="995" t="s">
        <v>194</v>
      </c>
      <c r="DJ515" s="995" t="s">
        <v>194</v>
      </c>
      <c r="DK515" s="995" t="s">
        <v>194</v>
      </c>
      <c r="DL515" s="995" t="s">
        <v>194</v>
      </c>
      <c r="DM515" s="995" t="s">
        <v>194</v>
      </c>
      <c r="DN515" s="995" t="s">
        <v>194</v>
      </c>
      <c r="DO515" s="995" t="s">
        <v>194</v>
      </c>
      <c r="DP515" s="995" t="s">
        <v>194</v>
      </c>
      <c r="DQ515" s="995" t="s">
        <v>194</v>
      </c>
      <c r="DR515" s="995" t="s">
        <v>194</v>
      </c>
      <c r="DS515" s="995" t="s">
        <v>194</v>
      </c>
      <c r="DT515" s="995" t="s">
        <v>194</v>
      </c>
    </row>
    <row r="516" spans="1:124">
      <c r="A516" s="42" t="s">
        <v>94</v>
      </c>
      <c r="B516" s="42" t="s">
        <v>549</v>
      </c>
      <c r="C516" s="42" t="s">
        <v>703</v>
      </c>
      <c r="D516" s="42">
        <v>819418</v>
      </c>
      <c r="E516" s="42" t="s">
        <v>735</v>
      </c>
      <c r="F516" s="42" t="s">
        <v>149</v>
      </c>
      <c r="G516" s="42" t="s">
        <v>150</v>
      </c>
      <c r="H516" s="43" t="s">
        <v>150</v>
      </c>
      <c r="I516" s="44">
        <v>46</v>
      </c>
      <c r="J516" s="45">
        <v>157986.68479999999</v>
      </c>
      <c r="K516" s="46">
        <v>4743.2717000000002</v>
      </c>
      <c r="L516" s="47">
        <v>162729.9565</v>
      </c>
      <c r="M516" s="48">
        <v>2876406</v>
      </c>
      <c r="N516" s="49">
        <v>2263789</v>
      </c>
      <c r="O516" s="49">
        <v>611873</v>
      </c>
      <c r="P516" s="49">
        <v>744</v>
      </c>
      <c r="Q516" s="50">
        <v>6656.6278472222202</v>
      </c>
      <c r="R516" s="51">
        <v>11191.105627311499</v>
      </c>
      <c r="S516" s="49">
        <v>18476.293580237802</v>
      </c>
      <c r="T516" s="49">
        <v>3965.8770094224301</v>
      </c>
      <c r="U516" s="49">
        <f>IFERROR(INDEX('Rentabilidad datos'!$N$2:$N$61,MATCH($C516,'Rentabilidad datos'!$C$2:$C$61,0)),"")</f>
        <v>33633.276216971761</v>
      </c>
      <c r="V516" s="50">
        <f>IFERROR(INDEX('Rentabilidad datos'!$O$2:$O$61,MATCH($C516,'Rentabilidad datos'!$C$2:$C$61,0)),"")</f>
        <v>1159.7681454128194</v>
      </c>
      <c r="W516" s="51">
        <f>IFERROR(INDEX('Rentabilidad datos'!$M$2:$M$61,MATCH($C516,'Rentabilidad datos'!$C$2:$C$61,0)),"")</f>
        <v>2866.2444123371242</v>
      </c>
      <c r="X516" s="52">
        <f>IFERROR(INDEX('Rentabilidad datos'!$P$2:$P$61,MATCH($C516,'Rentabilidad datos'!$C$2:$C$61,0)),"")</f>
        <v>0.40462988446513848</v>
      </c>
      <c r="Y516" s="43" t="s">
        <v>171</v>
      </c>
      <c r="Z516" s="53">
        <v>95.9097222222222</v>
      </c>
      <c r="AA516" s="43">
        <v>2</v>
      </c>
      <c r="AB516" s="54">
        <v>0.94636709838597188</v>
      </c>
      <c r="AC516" s="55">
        <v>5.3632901614028061E-2</v>
      </c>
      <c r="AD516" s="752" t="e">
        <f>_xlfn.XLOOKUP(Table1[[#This Row],[Ruta]],#REF!,#REF!)</f>
        <v>#REF!</v>
      </c>
      <c r="AE516" s="752" t="e">
        <f>_xlfn.XLOOKUP(Table1[[#This Row],[Ruta]],#REF!,#REF!)</f>
        <v>#REF!</v>
      </c>
      <c r="AF516" s="752" t="e">
        <f>_xlfn.XLOOKUP(Table1[[#This Row],[Ruta]],#REF!,#REF!)</f>
        <v>#REF!</v>
      </c>
      <c r="AG516" s="752" t="e">
        <f>_xlfn.XLOOKUP(Table1[[#This Row],[Ruta]],#REF!,#REF!)</f>
        <v>#REF!</v>
      </c>
      <c r="AH516" s="52">
        <v>0.78701998257547789</v>
      </c>
      <c r="AI516" s="52">
        <v>0.21272136130991243</v>
      </c>
      <c r="AJ516" s="55">
        <v>2.5865611460969002E-4</v>
      </c>
      <c r="AK516" s="56">
        <v>41433</v>
      </c>
      <c r="AL516" s="44">
        <v>14091</v>
      </c>
      <c r="AM516" s="54">
        <v>0.34009123162696397</v>
      </c>
      <c r="AN516" s="55">
        <v>0.50225307463674596</v>
      </c>
      <c r="AO516" s="56">
        <v>6718.8516414242904</v>
      </c>
      <c r="AP516" s="48">
        <v>3359.4258207121452</v>
      </c>
      <c r="AQ516" s="55">
        <v>0.42117215313185496</v>
      </c>
      <c r="AR516" s="51">
        <v>2875663.23</v>
      </c>
      <c r="AS516" s="49">
        <v>685584.93410932506</v>
      </c>
      <c r="AT516" s="55">
        <v>0.23840932657101335</v>
      </c>
      <c r="AU516" s="51">
        <v>481762.38613087725</v>
      </c>
      <c r="AV516" s="52">
        <v>2.1915826849449797E-3</v>
      </c>
      <c r="AW516" s="44">
        <v>153</v>
      </c>
      <c r="AX516" s="51">
        <v>204.078009367682</v>
      </c>
      <c r="AY516" s="49">
        <v>400.61</v>
      </c>
      <c r="AZ516" s="49">
        <v>196.53199063231801</v>
      </c>
      <c r="BA516" s="42" t="s">
        <v>150</v>
      </c>
      <c r="BB516" s="50">
        <v>973008.63891891693</v>
      </c>
      <c r="BC516" s="57">
        <v>1454771.0250497942</v>
      </c>
      <c r="BD516" s="42" t="s">
        <v>150</v>
      </c>
      <c r="BE516" s="46">
        <v>95.9097222222222</v>
      </c>
      <c r="BF516" s="46">
        <v>83.628504672897193</v>
      </c>
      <c r="BG516" s="42" t="s">
        <v>150</v>
      </c>
      <c r="BH516" s="52">
        <v>0.34009123162696397</v>
      </c>
      <c r="BI516" s="52">
        <v>0.51187669456560203</v>
      </c>
      <c r="BJ516" s="42" t="s">
        <v>152</v>
      </c>
      <c r="BK516" s="46">
        <v>376.68971412037001</v>
      </c>
      <c r="BL516" s="46">
        <v>638.00354527981403</v>
      </c>
      <c r="BM516" s="42" t="s">
        <v>152</v>
      </c>
      <c r="BN516" s="48">
        <v>1</v>
      </c>
      <c r="BO516" s="42" t="s">
        <v>155</v>
      </c>
      <c r="BP516" s="42" t="s">
        <v>152</v>
      </c>
      <c r="BQ516" s="46">
        <v>1720.29854407876</v>
      </c>
      <c r="BR516" s="46">
        <v>110</v>
      </c>
      <c r="BS516" s="46">
        <v>16066</v>
      </c>
      <c r="BT516" s="46">
        <v>4221</v>
      </c>
      <c r="BU516" s="46">
        <v>3.8062070599384032</v>
      </c>
      <c r="BV516" s="46">
        <v>38.372727272727275</v>
      </c>
      <c r="BW516" s="46">
        <v>0</v>
      </c>
      <c r="BX516" s="46">
        <v>683</v>
      </c>
      <c r="BY516" s="46">
        <v>683</v>
      </c>
      <c r="BZ516" s="46">
        <v>0.16180999763089315</v>
      </c>
      <c r="CA516" s="46">
        <v>0</v>
      </c>
      <c r="CB516" s="46">
        <v>0.16180999763089321</v>
      </c>
      <c r="CC516" s="46">
        <v>0.38308457711442778</v>
      </c>
      <c r="CD516" s="46">
        <v>7.0836294716891735E-2</v>
      </c>
      <c r="CE516" s="46">
        <v>0</v>
      </c>
      <c r="CF516" s="46">
        <v>0.38426913053778727</v>
      </c>
      <c r="CG516" s="46">
        <v>0</v>
      </c>
      <c r="CH516" s="46">
        <v>0</v>
      </c>
      <c r="CI516" s="46">
        <v>5.1039462218349314</v>
      </c>
      <c r="CJ516" s="46">
        <v>6.2243246607743073E-2</v>
      </c>
      <c r="CK516">
        <v>319</v>
      </c>
      <c r="CL516">
        <v>342.27</v>
      </c>
      <c r="CM516">
        <f t="shared" si="56"/>
        <v>23.269999999999982</v>
      </c>
      <c r="CN516">
        <v>9.52</v>
      </c>
      <c r="CO516">
        <v>9.4499999999999993</v>
      </c>
      <c r="CP516">
        <f t="shared" si="57"/>
        <v>-7.0000000000000284E-2</v>
      </c>
      <c r="CQ516">
        <v>564.37</v>
      </c>
      <c r="CR516">
        <v>376.69</v>
      </c>
      <c r="CS516">
        <f t="shared" si="58"/>
        <v>187.68</v>
      </c>
      <c r="CT516" t="s">
        <v>150</v>
      </c>
      <c r="CU516">
        <v>100.77</v>
      </c>
      <c r="CV516">
        <v>111</v>
      </c>
      <c r="CW516" s="46">
        <v>683</v>
      </c>
      <c r="CX516" s="46">
        <f t="shared" si="52"/>
        <v>15.629708599857853</v>
      </c>
      <c r="CY516" s="46">
        <v>23.27</v>
      </c>
      <c r="CZ516" s="46">
        <f t="shared" si="53"/>
        <v>16.180999763089314</v>
      </c>
      <c r="DA516" s="46">
        <f t="shared" si="54"/>
        <v>184.1485343769364</v>
      </c>
      <c r="DB516" s="46">
        <v>781576.1</v>
      </c>
      <c r="DC516" s="46">
        <f t="shared" si="55"/>
        <v>10.108002082808113</v>
      </c>
      <c r="DD516" s="46">
        <v>42901.09</v>
      </c>
      <c r="DE516" s="995">
        <v>683</v>
      </c>
      <c r="DF516" s="995">
        <v>15.6</v>
      </c>
      <c r="DG516" s="995">
        <v>24.5</v>
      </c>
      <c r="DH516" s="995">
        <v>16.181000000000001</v>
      </c>
      <c r="DI516" s="995">
        <v>742.05</v>
      </c>
      <c r="DJ516" s="995">
        <v>3150385</v>
      </c>
      <c r="DK516" s="995">
        <v>39.985999999999997</v>
      </c>
      <c r="DL516" s="995">
        <v>169763.4</v>
      </c>
      <c r="DM516" s="995">
        <v>683</v>
      </c>
      <c r="DN516" s="995">
        <v>15.648999999999999</v>
      </c>
      <c r="DO516" s="995">
        <v>22.4</v>
      </c>
      <c r="DP516" s="995">
        <v>16.181000000000001</v>
      </c>
      <c r="DQ516" s="995">
        <v>738.46500000000003</v>
      </c>
      <c r="DR516" s="995">
        <v>3133629</v>
      </c>
      <c r="DS516" s="995">
        <v>39.783000000000001</v>
      </c>
      <c r="DT516" s="995">
        <v>168817.5</v>
      </c>
    </row>
    <row r="517" spans="1:124">
      <c r="A517" s="42" t="s">
        <v>94</v>
      </c>
      <c r="B517" s="42" t="s">
        <v>549</v>
      </c>
      <c r="C517" s="42" t="s">
        <v>703</v>
      </c>
      <c r="D517" s="42">
        <v>819419</v>
      </c>
      <c r="E517" s="42" t="s">
        <v>736</v>
      </c>
      <c r="F517" s="42" t="s">
        <v>149</v>
      </c>
      <c r="G517" s="42" t="s">
        <v>150</v>
      </c>
      <c r="H517" s="43" t="s">
        <v>150</v>
      </c>
      <c r="I517" s="44">
        <v>46</v>
      </c>
      <c r="J517" s="45">
        <v>212214.03279999999</v>
      </c>
      <c r="K517" s="46">
        <v>9957.5121330000002</v>
      </c>
      <c r="L517" s="47">
        <v>222171.544933</v>
      </c>
      <c r="M517" s="48">
        <v>4256379</v>
      </c>
      <c r="N517" s="49">
        <v>3028941</v>
      </c>
      <c r="O517" s="49">
        <v>1225652</v>
      </c>
      <c r="P517" s="49">
        <v>1786</v>
      </c>
      <c r="Q517" s="50">
        <v>9774.86665137614</v>
      </c>
      <c r="R517" s="51">
        <v>11191.105627311499</v>
      </c>
      <c r="S517" s="49">
        <v>18476.293580237802</v>
      </c>
      <c r="T517" s="49">
        <v>3965.8770094224301</v>
      </c>
      <c r="U517" s="49">
        <f>IFERROR(INDEX('Rentabilidad datos'!$N$2:$N$61,MATCH($C517,'Rentabilidad datos'!$C$2:$C$61,0)),"")</f>
        <v>33633.276216971761</v>
      </c>
      <c r="V517" s="50">
        <f>IFERROR(INDEX('Rentabilidad datos'!$O$2:$O$61,MATCH($C517,'Rentabilidad datos'!$C$2:$C$61,0)),"")</f>
        <v>1159.7681454128194</v>
      </c>
      <c r="W517" s="51">
        <f>IFERROR(INDEX('Rentabilidad datos'!$M$2:$M$61,MATCH($C517,'Rentabilidad datos'!$C$2:$C$61,0)),"")</f>
        <v>2866.2444123371242</v>
      </c>
      <c r="X517" s="52">
        <f>IFERROR(INDEX('Rentabilidad datos'!$P$2:$P$61,MATCH($C517,'Rentabilidad datos'!$C$2:$C$61,0)),"")</f>
        <v>0.40462988446513848</v>
      </c>
      <c r="Y517" s="43" t="s">
        <v>171</v>
      </c>
      <c r="Z517" s="53">
        <v>81.451834862385297</v>
      </c>
      <c r="AA517" s="43">
        <v>2</v>
      </c>
      <c r="AB517" s="54">
        <v>0.88539201983657945</v>
      </c>
      <c r="AC517" s="55">
        <v>0.11460798016342059</v>
      </c>
      <c r="AD517" s="752" t="e">
        <f>_xlfn.XLOOKUP(Table1[[#This Row],[Ruta]],#REF!,#REF!)</f>
        <v>#REF!</v>
      </c>
      <c r="AE517" s="752" t="e">
        <f>_xlfn.XLOOKUP(Table1[[#This Row],[Ruta]],#REF!,#REF!)</f>
        <v>#REF!</v>
      </c>
      <c r="AF517" s="752" t="e">
        <f>_xlfn.XLOOKUP(Table1[[#This Row],[Ruta]],#REF!,#REF!)</f>
        <v>#REF!</v>
      </c>
      <c r="AG517" s="752" t="e">
        <f>_xlfn.XLOOKUP(Table1[[#This Row],[Ruta]],#REF!,#REF!)</f>
        <v>#REF!</v>
      </c>
      <c r="AH517" s="52">
        <v>0.71162389439474261</v>
      </c>
      <c r="AI517" s="52">
        <v>0.28795650011429902</v>
      </c>
      <c r="AJ517" s="55">
        <v>4.1960549095839447E-4</v>
      </c>
      <c r="AK517" s="56">
        <v>35513</v>
      </c>
      <c r="AL517" s="44">
        <v>18051</v>
      </c>
      <c r="AM517" s="54">
        <v>0.508292737870639</v>
      </c>
      <c r="AN517" s="55">
        <v>0.50225307463674596</v>
      </c>
      <c r="AO517" s="56">
        <v>0</v>
      </c>
      <c r="AP517" s="48">
        <v>0</v>
      </c>
      <c r="AQ517" s="55">
        <v>0.50829273787063889</v>
      </c>
      <c r="AR517" s="51">
        <v>4261841.8600000003</v>
      </c>
      <c r="AS517" s="49">
        <v>0</v>
      </c>
      <c r="AT517" s="55">
        <v>0</v>
      </c>
      <c r="AU517" s="51">
        <v>0</v>
      </c>
      <c r="AV517" s="52">
        <v>0</v>
      </c>
      <c r="AW517" s="44">
        <v>490</v>
      </c>
      <c r="AX517" s="51">
        <v>236.10004210293101</v>
      </c>
      <c r="AY517" s="49">
        <v>400.61</v>
      </c>
      <c r="AZ517" s="49">
        <v>164.509957897069</v>
      </c>
      <c r="BA517" s="42" t="s">
        <v>150</v>
      </c>
      <c r="BB517" s="50">
        <v>1043362.1689189167</v>
      </c>
      <c r="BC517" s="57">
        <v>1043362.1689189167</v>
      </c>
      <c r="BD517" s="42" t="s">
        <v>150</v>
      </c>
      <c r="BE517" s="46">
        <v>81.451834862385297</v>
      </c>
      <c r="BF517" s="46">
        <v>83.628504672897193</v>
      </c>
      <c r="BG517" s="42" t="s">
        <v>152</v>
      </c>
      <c r="BH517" s="52">
        <v>0.508292737870639</v>
      </c>
      <c r="BI517" s="52">
        <v>0.51187669456560203</v>
      </c>
      <c r="BJ517" s="42" t="s">
        <v>152</v>
      </c>
      <c r="BK517" s="46">
        <v>509.56776360779702</v>
      </c>
      <c r="BL517" s="46">
        <v>638.00354527981403</v>
      </c>
      <c r="BM517" s="42" t="s">
        <v>152</v>
      </c>
      <c r="BN517" s="48">
        <v>0</v>
      </c>
      <c r="BO517" s="42" t="s">
        <v>155</v>
      </c>
      <c r="BP517" s="42" t="s">
        <v>152</v>
      </c>
      <c r="BQ517" s="46">
        <v>0</v>
      </c>
      <c r="BR517" s="46">
        <v>235</v>
      </c>
      <c r="BS517" s="46">
        <v>25994</v>
      </c>
      <c r="BT517" s="46">
        <v>7047</v>
      </c>
      <c r="BU517" s="46">
        <v>3.6886618419185471</v>
      </c>
      <c r="BV517" s="46">
        <v>29.98723404255319</v>
      </c>
      <c r="BW517" s="46">
        <v>0</v>
      </c>
      <c r="BX517" s="46">
        <v>1309</v>
      </c>
      <c r="BY517" s="46">
        <v>1309</v>
      </c>
      <c r="BZ517" s="46">
        <v>0.18575280261104016</v>
      </c>
      <c r="CA517" s="46">
        <v>0</v>
      </c>
      <c r="CB517" s="46">
        <v>0.18575280261104021</v>
      </c>
      <c r="CC517" s="46">
        <v>0.44614729672200942</v>
      </c>
      <c r="CD517" s="46">
        <v>4.1577976443876827E-2</v>
      </c>
      <c r="CE517" s="46">
        <v>0</v>
      </c>
      <c r="CF517" s="46">
        <v>0.32652192422307358</v>
      </c>
      <c r="CG517" s="46">
        <v>0</v>
      </c>
      <c r="CH517" s="46">
        <v>0</v>
      </c>
      <c r="CI517" s="46">
        <v>4.0393937062399017</v>
      </c>
      <c r="CJ517" s="46">
        <v>0.1154112487497115</v>
      </c>
      <c r="CK517">
        <v>407</v>
      </c>
      <c r="CL517">
        <v>471.65</v>
      </c>
      <c r="CM517">
        <f t="shared" si="56"/>
        <v>64.649999999999977</v>
      </c>
      <c r="CN517">
        <v>13.48</v>
      </c>
      <c r="CO517">
        <v>9.4499999999999993</v>
      </c>
      <c r="CP517">
        <f t="shared" si="57"/>
        <v>-4.0300000000000011</v>
      </c>
      <c r="CQ517">
        <v>846.56</v>
      </c>
      <c r="CR517">
        <v>509.57</v>
      </c>
      <c r="CS517">
        <f t="shared" si="58"/>
        <v>336.98999999999995</v>
      </c>
      <c r="CT517" t="s">
        <v>150</v>
      </c>
      <c r="CU517">
        <v>142.68</v>
      </c>
      <c r="CV517">
        <v>105</v>
      </c>
      <c r="CW517" s="46">
        <v>1309</v>
      </c>
      <c r="CX517" s="46">
        <f t="shared" si="52"/>
        <v>17.657868596565912</v>
      </c>
      <c r="CY517" s="46">
        <v>64.650000000000006</v>
      </c>
      <c r="CZ517" s="46">
        <f t="shared" si="53"/>
        <v>18.575280261104016</v>
      </c>
      <c r="DA517" s="46">
        <f t="shared" si="54"/>
        <v>104.48430532998673</v>
      </c>
      <c r="DB517" s="46">
        <v>743055.81</v>
      </c>
      <c r="DC517" s="46">
        <f t="shared" si="55"/>
        <v>5.4047232358172863</v>
      </c>
      <c r="DD517" s="46">
        <v>38436.5</v>
      </c>
      <c r="DE517" s="995">
        <v>1309</v>
      </c>
      <c r="DF517" s="995">
        <v>17.658000000000001</v>
      </c>
      <c r="DG517" s="995">
        <v>64.7</v>
      </c>
      <c r="DH517" s="995">
        <v>18.574999999999999</v>
      </c>
      <c r="DI517" s="995">
        <v>577.10299999999995</v>
      </c>
      <c r="DJ517" s="995">
        <v>4104158</v>
      </c>
      <c r="DK517" s="995">
        <v>29.763999999999999</v>
      </c>
      <c r="DL517" s="995">
        <v>211671.6</v>
      </c>
      <c r="DM517" s="995">
        <v>1309</v>
      </c>
      <c r="DN517" s="995">
        <v>17.658000000000001</v>
      </c>
      <c r="DO517" s="995">
        <v>64.7</v>
      </c>
      <c r="DP517" s="995">
        <v>18.574999999999999</v>
      </c>
      <c r="DQ517" s="995">
        <v>577.10299999999995</v>
      </c>
      <c r="DR517" s="995">
        <v>4104158</v>
      </c>
      <c r="DS517" s="995">
        <v>29.763999999999999</v>
      </c>
      <c r="DT517" s="995">
        <v>211671.6</v>
      </c>
    </row>
    <row r="518" spans="1:124">
      <c r="A518" s="42" t="s">
        <v>94</v>
      </c>
      <c r="B518" s="42" t="s">
        <v>549</v>
      </c>
      <c r="C518" s="42" t="s">
        <v>703</v>
      </c>
      <c r="D518" s="42">
        <v>819420</v>
      </c>
      <c r="E518" s="42" t="s">
        <v>737</v>
      </c>
      <c r="F518" s="42" t="s">
        <v>149</v>
      </c>
      <c r="G518" s="42" t="s">
        <v>150</v>
      </c>
      <c r="H518" s="43" t="s">
        <v>150</v>
      </c>
      <c r="I518" s="44">
        <v>46</v>
      </c>
      <c r="J518" s="45">
        <v>212943.16959999999</v>
      </c>
      <c r="K518" s="46">
        <v>8355.8994000000002</v>
      </c>
      <c r="L518" s="47">
        <v>221299.068999999</v>
      </c>
      <c r="M518" s="48">
        <v>4203060</v>
      </c>
      <c r="N518" s="49">
        <v>3092104</v>
      </c>
      <c r="O518" s="49">
        <v>1108263</v>
      </c>
      <c r="P518" s="49">
        <v>2693</v>
      </c>
      <c r="Q518" s="50">
        <v>9656.01098850575</v>
      </c>
      <c r="R518" s="51">
        <v>11191.105627311499</v>
      </c>
      <c r="S518" s="49">
        <v>18476.293580237802</v>
      </c>
      <c r="T518" s="49">
        <v>3965.8770094224301</v>
      </c>
      <c r="U518" s="49">
        <f>IFERROR(INDEX('Rentabilidad datos'!$N$2:$N$61,MATCH($C518,'Rentabilidad datos'!$C$2:$C$61,0)),"")</f>
        <v>33633.276216971761</v>
      </c>
      <c r="V518" s="50">
        <f>IFERROR(INDEX('Rentabilidad datos'!$O$2:$O$61,MATCH($C518,'Rentabilidad datos'!$C$2:$C$61,0)),"")</f>
        <v>1159.7681454128194</v>
      </c>
      <c r="W518" s="51">
        <f>IFERROR(INDEX('Rentabilidad datos'!$M$2:$M$61,MATCH($C518,'Rentabilidad datos'!$C$2:$C$61,0)),"")</f>
        <v>2866.2444123371242</v>
      </c>
      <c r="X518" s="52">
        <f>IFERROR(INDEX('Rentabilidad datos'!$P$2:$P$61,MATCH($C518,'Rentabilidad datos'!$C$2:$C$61,0)),"")</f>
        <v>0.40462988446513848</v>
      </c>
      <c r="Y518" s="43" t="s">
        <v>171</v>
      </c>
      <c r="Z518" s="53">
        <v>66.416091954023003</v>
      </c>
      <c r="AA518" s="43">
        <v>2</v>
      </c>
      <c r="AB518" s="54">
        <v>0.94811185184127755</v>
      </c>
      <c r="AC518" s="55">
        <v>5.1888148158722454E-2</v>
      </c>
      <c r="AD518" s="752" t="e">
        <f>_xlfn.XLOOKUP(Table1[[#This Row],[Ruta]],#REF!,#REF!)</f>
        <v>#REF!</v>
      </c>
      <c r="AE518" s="752" t="e">
        <f>_xlfn.XLOOKUP(Table1[[#This Row],[Ruta]],#REF!,#REF!)</f>
        <v>#REF!</v>
      </c>
      <c r="AF518" s="752" t="e">
        <f>_xlfn.XLOOKUP(Table1[[#This Row],[Ruta]],#REF!,#REF!)</f>
        <v>#REF!</v>
      </c>
      <c r="AG518" s="752" t="e">
        <f>_xlfn.XLOOKUP(Table1[[#This Row],[Ruta]],#REF!,#REF!)</f>
        <v>#REF!</v>
      </c>
      <c r="AH518" s="52">
        <v>0.73567924321803635</v>
      </c>
      <c r="AI518" s="52">
        <v>0.26368003311872779</v>
      </c>
      <c r="AJ518" s="55">
        <v>6.4072366323583295E-4</v>
      </c>
      <c r="AK518" s="56">
        <v>28891</v>
      </c>
      <c r="AL518" s="44">
        <v>16885</v>
      </c>
      <c r="AM518" s="54">
        <v>0.58443806029559398</v>
      </c>
      <c r="AN518" s="55">
        <v>0.50225307463674596</v>
      </c>
      <c r="AO518" s="56">
        <v>0</v>
      </c>
      <c r="AP518" s="48">
        <v>0</v>
      </c>
      <c r="AQ518" s="55">
        <v>0.58443806029559375</v>
      </c>
      <c r="AR518" s="51">
        <v>4200364.78</v>
      </c>
      <c r="AS518" s="49">
        <v>0</v>
      </c>
      <c r="AT518" s="55">
        <v>0</v>
      </c>
      <c r="AU518" s="51">
        <v>0</v>
      </c>
      <c r="AV518" s="52">
        <v>0</v>
      </c>
      <c r="AW518" s="44">
        <v>490</v>
      </c>
      <c r="AX518" s="51">
        <v>248.763090316849</v>
      </c>
      <c r="AY518" s="49">
        <v>400.61</v>
      </c>
      <c r="AZ518" s="49">
        <v>151.84690968315101</v>
      </c>
      <c r="BA518" s="42" t="s">
        <v>150</v>
      </c>
      <c r="BB518" s="50">
        <v>900842.05162162369</v>
      </c>
      <c r="BC518" s="57">
        <v>900842.05162162369</v>
      </c>
      <c r="BD518" s="42" t="s">
        <v>150</v>
      </c>
      <c r="BE518" s="46">
        <v>66.416091954023003</v>
      </c>
      <c r="BF518" s="46">
        <v>83.628504672897193</v>
      </c>
      <c r="BG518" s="42" t="s">
        <v>152</v>
      </c>
      <c r="BH518" s="52">
        <v>0.58443806029559398</v>
      </c>
      <c r="BI518" s="52">
        <v>0.51187669456560203</v>
      </c>
      <c r="BJ518" s="42" t="s">
        <v>150</v>
      </c>
      <c r="BK518" s="46">
        <v>508.73349195402199</v>
      </c>
      <c r="BL518" s="46">
        <v>638.00354527981403</v>
      </c>
      <c r="BM518" s="42" t="s">
        <v>152</v>
      </c>
      <c r="BN518" s="48">
        <v>1</v>
      </c>
      <c r="BO518" s="42" t="s">
        <v>155</v>
      </c>
      <c r="BP518" s="42" t="s">
        <v>152</v>
      </c>
      <c r="BQ518" s="46">
        <v>0</v>
      </c>
      <c r="BR518" s="46">
        <v>108</v>
      </c>
      <c r="BS518" s="46">
        <v>13278</v>
      </c>
      <c r="BT518" s="46">
        <v>3744</v>
      </c>
      <c r="BU518" s="46">
        <v>3.546474358974359</v>
      </c>
      <c r="BV518" s="46">
        <v>34.666666666666664</v>
      </c>
      <c r="BW518" s="46">
        <v>0</v>
      </c>
      <c r="BX518" s="46">
        <v>1126</v>
      </c>
      <c r="BY518" s="46">
        <v>1126</v>
      </c>
      <c r="BZ518" s="46">
        <v>0.30074786324786323</v>
      </c>
      <c r="CA518" s="46">
        <v>0</v>
      </c>
      <c r="CB518" s="46">
        <v>0.30074786324786318</v>
      </c>
      <c r="CC518" s="46">
        <v>0.53926282051282048</v>
      </c>
      <c r="CD518" s="46">
        <v>0.1599893162393162</v>
      </c>
      <c r="CE518" s="46">
        <v>0</v>
      </c>
      <c r="CF518" s="46">
        <v>0</v>
      </c>
      <c r="CG518" s="46">
        <v>0</v>
      </c>
      <c r="CH518" s="46">
        <v>0</v>
      </c>
      <c r="CI518" s="46">
        <v>3.2384395240247033</v>
      </c>
      <c r="CJ518" s="46">
        <v>0.30125018828136768</v>
      </c>
      <c r="CK518">
        <v>339</v>
      </c>
      <c r="CL518">
        <v>432.44</v>
      </c>
      <c r="CM518">
        <f t="shared" si="56"/>
        <v>93.44</v>
      </c>
      <c r="CN518">
        <v>10.74</v>
      </c>
      <c r="CO518">
        <v>9.4499999999999993</v>
      </c>
      <c r="CP518">
        <f t="shared" si="57"/>
        <v>-1.2900000000000009</v>
      </c>
      <c r="CQ518">
        <v>846.56</v>
      </c>
      <c r="CR518">
        <v>508.73</v>
      </c>
      <c r="CS518">
        <f t="shared" si="58"/>
        <v>337.82999999999993</v>
      </c>
      <c r="CT518" t="s">
        <v>150</v>
      </c>
      <c r="CU518">
        <v>113.68</v>
      </c>
      <c r="CV518">
        <v>173</v>
      </c>
      <c r="CW518" s="46">
        <v>1126</v>
      </c>
      <c r="CX518" s="46">
        <f t="shared" ref="CX518:CX581" si="59">((CW518-CY518)/BT518)*100</f>
        <v>27.579059829059826</v>
      </c>
      <c r="CY518" s="46">
        <v>93.44</v>
      </c>
      <c r="CZ518" s="46">
        <f t="shared" ref="CZ518:CZ581" si="60">((CW518)/BT518)*100</f>
        <v>30.074786324786324</v>
      </c>
      <c r="DA518" s="46">
        <f t="shared" ref="DA518:DA581" si="61">DB518/(CY518+BT518)</f>
        <v>345.37028070797197</v>
      </c>
      <c r="DB518" s="46">
        <v>1325337.73</v>
      </c>
      <c r="DC518" s="46">
        <f t="shared" ref="DC518:DC581" si="62">DD518/(CY518+BT518)</f>
        <v>17.803361094896598</v>
      </c>
      <c r="DD518" s="46">
        <v>68319.33</v>
      </c>
      <c r="DE518" s="995">
        <v>1126</v>
      </c>
      <c r="DF518" s="995">
        <v>27.646999999999998</v>
      </c>
      <c r="DG518" s="995">
        <v>90.9</v>
      </c>
      <c r="DH518" s="995">
        <v>30.074999999999999</v>
      </c>
      <c r="DI518" s="995">
        <v>1144.8789999999999</v>
      </c>
      <c r="DJ518" s="995">
        <v>4390471</v>
      </c>
      <c r="DK518" s="995">
        <v>59.23</v>
      </c>
      <c r="DL518" s="995">
        <v>227141.6</v>
      </c>
      <c r="DM518" s="995">
        <v>1126</v>
      </c>
      <c r="DN518" s="995">
        <v>27.814</v>
      </c>
      <c r="DO518" s="995">
        <v>84.6</v>
      </c>
      <c r="DP518" s="995">
        <v>30.074999999999999</v>
      </c>
      <c r="DQ518" s="995">
        <v>1132.499</v>
      </c>
      <c r="DR518" s="995">
        <v>4335930</v>
      </c>
      <c r="DS518" s="995">
        <v>58.587000000000003</v>
      </c>
      <c r="DT518" s="995">
        <v>224308</v>
      </c>
    </row>
    <row r="519" spans="1:124">
      <c r="A519" s="42" t="s">
        <v>94</v>
      </c>
      <c r="B519" s="42" t="s">
        <v>549</v>
      </c>
      <c r="C519" s="42" t="s">
        <v>703</v>
      </c>
      <c r="D519" s="42">
        <v>819421</v>
      </c>
      <c r="E519" s="42" t="s">
        <v>738</v>
      </c>
      <c r="F519" s="42" t="s">
        <v>149</v>
      </c>
      <c r="G519" s="42" t="s">
        <v>150</v>
      </c>
      <c r="H519" s="43" t="s">
        <v>150</v>
      </c>
      <c r="I519" s="44">
        <v>46</v>
      </c>
      <c r="J519" s="45">
        <v>189244.46239999999</v>
      </c>
      <c r="K519" s="46">
        <v>5558.8970230000004</v>
      </c>
      <c r="L519" s="47">
        <v>194803.35942299999</v>
      </c>
      <c r="M519" s="48">
        <v>3539375</v>
      </c>
      <c r="N519" s="49">
        <v>2769233</v>
      </c>
      <c r="O519" s="49">
        <v>765739</v>
      </c>
      <c r="P519" s="49">
        <v>4403</v>
      </c>
      <c r="Q519" s="50">
        <v>8216.4205813953504</v>
      </c>
      <c r="R519" s="51">
        <v>11191.105627311499</v>
      </c>
      <c r="S519" s="49">
        <v>18476.293580237802</v>
      </c>
      <c r="T519" s="49">
        <v>3965.8770094224301</v>
      </c>
      <c r="U519" s="49">
        <f>IFERROR(INDEX('Rentabilidad datos'!$N$2:$N$61,MATCH($C519,'Rentabilidad datos'!$C$2:$C$61,0)),"")</f>
        <v>33633.276216971761</v>
      </c>
      <c r="V519" s="50">
        <f>IFERROR(INDEX('Rentabilidad datos'!$O$2:$O$61,MATCH($C519,'Rentabilidad datos'!$C$2:$C$61,0)),"")</f>
        <v>1159.7681454128194</v>
      </c>
      <c r="W519" s="51">
        <f>IFERROR(INDEX('Rentabilidad datos'!$M$2:$M$61,MATCH($C519,'Rentabilidad datos'!$C$2:$C$61,0)),"")</f>
        <v>2866.2444123371242</v>
      </c>
      <c r="X519" s="52">
        <f>IFERROR(INDEX('Rentabilidad datos'!$P$2:$P$61,MATCH($C519,'Rentabilidad datos'!$C$2:$C$61,0)),"")</f>
        <v>0.40462988446513848</v>
      </c>
      <c r="Y519" s="43" t="s">
        <v>171</v>
      </c>
      <c r="Z519" s="53">
        <v>92.709302325581405</v>
      </c>
      <c r="AA519" s="43">
        <v>2</v>
      </c>
      <c r="AB519" s="54">
        <v>0.9465569486138089</v>
      </c>
      <c r="AC519" s="55">
        <v>5.3443051386191064E-2</v>
      </c>
      <c r="AD519" s="752" t="e">
        <f>_xlfn.XLOOKUP(Table1[[#This Row],[Ruta]],#REF!,#REF!)</f>
        <v>#REF!</v>
      </c>
      <c r="AE519" s="752" t="e">
        <f>_xlfn.XLOOKUP(Table1[[#This Row],[Ruta]],#REF!,#REF!)</f>
        <v>#REF!</v>
      </c>
      <c r="AF519" s="752" t="e">
        <f>_xlfn.XLOOKUP(Table1[[#This Row],[Ruta]],#REF!,#REF!)</f>
        <v>#REF!</v>
      </c>
      <c r="AG519" s="752" t="e">
        <f>_xlfn.XLOOKUP(Table1[[#This Row],[Ruta]],#REF!,#REF!)</f>
        <v>#REF!</v>
      </c>
      <c r="AH519" s="52">
        <v>0.78240734592971928</v>
      </c>
      <c r="AI519" s="52">
        <v>0.21634864912590498</v>
      </c>
      <c r="AJ519" s="55">
        <v>1.2440049443757726E-3</v>
      </c>
      <c r="AK519" s="56">
        <v>39865</v>
      </c>
      <c r="AL519" s="44">
        <v>16118</v>
      </c>
      <c r="AM519" s="54">
        <v>0.40431456164555402</v>
      </c>
      <c r="AN519" s="55">
        <v>0.50225307463674596</v>
      </c>
      <c r="AO519" s="56">
        <v>3904.3188203938698</v>
      </c>
      <c r="AP519" s="48">
        <v>1952.1594101969349</v>
      </c>
      <c r="AQ519" s="55">
        <v>0.45328381814114976</v>
      </c>
      <c r="AR519" s="51">
        <v>3533060.85</v>
      </c>
      <c r="AS519" s="49">
        <v>427912.76741071348</v>
      </c>
      <c r="AT519" s="55">
        <v>0.12111672727366513</v>
      </c>
      <c r="AU519" s="51">
        <v>300695.45818050147</v>
      </c>
      <c r="AV519" s="52">
        <v>1.3678920948613834E-3</v>
      </c>
      <c r="AW519" s="44">
        <v>241</v>
      </c>
      <c r="AX519" s="51">
        <v>219.19970529842399</v>
      </c>
      <c r="AY519" s="49">
        <v>400.61</v>
      </c>
      <c r="AZ519" s="49">
        <v>181.41029470157602</v>
      </c>
      <c r="BA519" s="42" t="s">
        <v>150</v>
      </c>
      <c r="BB519" s="50">
        <v>1027341.207837839</v>
      </c>
      <c r="BC519" s="57">
        <v>1328036.6660183405</v>
      </c>
      <c r="BD519" s="42" t="s">
        <v>150</v>
      </c>
      <c r="BE519" s="46">
        <v>92.709302325581405</v>
      </c>
      <c r="BF519" s="46">
        <v>83.628504672897193</v>
      </c>
      <c r="BG519" s="42" t="s">
        <v>150</v>
      </c>
      <c r="BH519" s="52">
        <v>0.40431456164555402</v>
      </c>
      <c r="BI519" s="52">
        <v>0.51187669456560203</v>
      </c>
      <c r="BJ519" s="42" t="s">
        <v>152</v>
      </c>
      <c r="BK519" s="46">
        <v>453.031068425581</v>
      </c>
      <c r="BL519" s="46">
        <v>638.00354527981403</v>
      </c>
      <c r="BM519" s="42" t="s">
        <v>152</v>
      </c>
      <c r="BN519" s="48">
        <v>1</v>
      </c>
      <c r="BO519" s="42" t="s">
        <v>155</v>
      </c>
      <c r="BP519" s="42" t="s">
        <v>152</v>
      </c>
      <c r="BQ519" s="46">
        <v>524.64525838023803</v>
      </c>
      <c r="BR519" s="46">
        <v>158</v>
      </c>
      <c r="BS519" s="46">
        <v>18737</v>
      </c>
      <c r="BT519" s="46">
        <v>5095</v>
      </c>
      <c r="BU519" s="46">
        <v>3.6775269872423944</v>
      </c>
      <c r="BV519" s="46">
        <v>32.246835443037973</v>
      </c>
      <c r="BW519" s="46">
        <v>0</v>
      </c>
      <c r="BX519" s="46">
        <v>1666</v>
      </c>
      <c r="BY519" s="46">
        <v>1666</v>
      </c>
      <c r="BZ519" s="46">
        <v>0.32698724239450444</v>
      </c>
      <c r="CA519" s="46">
        <v>0</v>
      </c>
      <c r="CB519" s="46">
        <v>0.32698724239450438</v>
      </c>
      <c r="CC519" s="46">
        <v>0.67301275760549562</v>
      </c>
      <c r="CD519" s="46">
        <v>0</v>
      </c>
      <c r="CE519" s="46">
        <v>0</v>
      </c>
      <c r="CF519" s="46">
        <v>0</v>
      </c>
      <c r="CG519" s="46">
        <v>0</v>
      </c>
      <c r="CH519" s="46">
        <v>0</v>
      </c>
      <c r="CI519" s="46">
        <v>4.6965896354806</v>
      </c>
      <c r="CJ519" s="46">
        <v>0.21348134706729999</v>
      </c>
      <c r="CK519">
        <v>333</v>
      </c>
      <c r="CL519">
        <v>415.55</v>
      </c>
      <c r="CM519">
        <f t="shared" si="56"/>
        <v>82.550000000000011</v>
      </c>
      <c r="CN519">
        <v>7.55</v>
      </c>
      <c r="CO519">
        <v>9.4499999999999993</v>
      </c>
      <c r="CP519">
        <f t="shared" si="57"/>
        <v>1.8999999999999995</v>
      </c>
      <c r="CQ519">
        <v>846.56</v>
      </c>
      <c r="CR519">
        <v>453.03</v>
      </c>
      <c r="CS519">
        <f t="shared" si="58"/>
        <v>393.53</v>
      </c>
      <c r="CT519" t="s">
        <v>152</v>
      </c>
      <c r="CU519">
        <v>79.86</v>
      </c>
      <c r="CV519">
        <v>181</v>
      </c>
      <c r="CW519" s="46">
        <v>1666</v>
      </c>
      <c r="CX519" s="46">
        <f t="shared" si="59"/>
        <v>31.078508341511284</v>
      </c>
      <c r="CY519" s="46">
        <v>82.55</v>
      </c>
      <c r="CZ519" s="46">
        <f t="shared" si="60"/>
        <v>32.698724239450442</v>
      </c>
      <c r="DA519" s="46">
        <f t="shared" si="61"/>
        <v>219.21729775666097</v>
      </c>
      <c r="DB519" s="46">
        <v>1135008.52</v>
      </c>
      <c r="DC519" s="46">
        <f t="shared" si="62"/>
        <v>11.6006335042636</v>
      </c>
      <c r="DD519" s="46">
        <v>60062.86</v>
      </c>
      <c r="DE519" s="995">
        <v>1666</v>
      </c>
      <c r="DF519" s="995">
        <v>31.114000000000001</v>
      </c>
      <c r="DG519" s="995">
        <v>80.8</v>
      </c>
      <c r="DH519" s="995">
        <v>32.698999999999998</v>
      </c>
      <c r="DI519" s="995">
        <v>779.28399999999999</v>
      </c>
      <c r="DJ519" s="995">
        <v>4033386</v>
      </c>
      <c r="DK519" s="995">
        <v>40.917999999999999</v>
      </c>
      <c r="DL519" s="995">
        <v>211781.9</v>
      </c>
      <c r="DM519" s="995">
        <v>1666</v>
      </c>
      <c r="DN519" s="995">
        <v>31.201000000000001</v>
      </c>
      <c r="DO519" s="995">
        <v>76.3</v>
      </c>
      <c r="DP519" s="995">
        <v>32.698999999999998</v>
      </c>
      <c r="DQ519" s="995">
        <v>772.23699999999997</v>
      </c>
      <c r="DR519" s="995">
        <v>3993468</v>
      </c>
      <c r="DS519" s="995">
        <v>40.561999999999998</v>
      </c>
      <c r="DT519" s="995">
        <v>209756.2</v>
      </c>
    </row>
    <row r="520" spans="1:124">
      <c r="A520" s="42" t="s">
        <v>94</v>
      </c>
      <c r="B520" s="42" t="s">
        <v>549</v>
      </c>
      <c r="C520" s="42" t="s">
        <v>703</v>
      </c>
      <c r="D520" s="42">
        <v>819422</v>
      </c>
      <c r="E520" s="42" t="s">
        <v>739</v>
      </c>
      <c r="F520" s="42" t="s">
        <v>149</v>
      </c>
      <c r="G520" s="42" t="s">
        <v>150</v>
      </c>
      <c r="H520" s="43" t="s">
        <v>150</v>
      </c>
      <c r="I520" s="44">
        <v>46</v>
      </c>
      <c r="J520" s="45">
        <v>161040.60560000001</v>
      </c>
      <c r="K520" s="46">
        <v>9581.6213250000001</v>
      </c>
      <c r="L520" s="47">
        <v>170622.226925</v>
      </c>
      <c r="M520" s="48">
        <v>3498122</v>
      </c>
      <c r="N520" s="49">
        <v>2302106</v>
      </c>
      <c r="O520" s="49">
        <v>1195407</v>
      </c>
      <c r="P520" s="49">
        <v>609</v>
      </c>
      <c r="Q520" s="50">
        <v>8021.8159403669797</v>
      </c>
      <c r="R520" s="51">
        <v>11191.105627311499</v>
      </c>
      <c r="S520" s="49">
        <v>18476.293580237802</v>
      </c>
      <c r="T520" s="49">
        <v>3965.8770094224301</v>
      </c>
      <c r="U520" s="49">
        <f>IFERROR(INDEX('Rentabilidad datos'!$N$2:$N$61,MATCH($C520,'Rentabilidad datos'!$C$2:$C$61,0)),"")</f>
        <v>33633.276216971761</v>
      </c>
      <c r="V520" s="50">
        <f>IFERROR(INDEX('Rentabilidad datos'!$O$2:$O$61,MATCH($C520,'Rentabilidad datos'!$C$2:$C$61,0)),"")</f>
        <v>1159.7681454128194</v>
      </c>
      <c r="W520" s="51">
        <f>IFERROR(INDEX('Rentabilidad datos'!$M$2:$M$61,MATCH($C520,'Rentabilidad datos'!$C$2:$C$61,0)),"")</f>
        <v>2866.2444123371242</v>
      </c>
      <c r="X520" s="52">
        <f>IFERROR(INDEX('Rentabilidad datos'!$P$2:$P$61,MATCH($C520,'Rentabilidad datos'!$C$2:$C$61,0)),"")</f>
        <v>0.40462988446513848</v>
      </c>
      <c r="Y520" s="43" t="s">
        <v>171</v>
      </c>
      <c r="Z520" s="53">
        <v>71.479357798165097</v>
      </c>
      <c r="AA520" s="43">
        <v>2</v>
      </c>
      <c r="AB520" s="54">
        <v>0.89896836073756148</v>
      </c>
      <c r="AC520" s="55">
        <v>0.10103163926243854</v>
      </c>
      <c r="AD520" s="752" t="e">
        <f>_xlfn.XLOOKUP(Table1[[#This Row],[Ruta]],#REF!,#REF!)</f>
        <v>#REF!</v>
      </c>
      <c r="AE520" s="752" t="e">
        <f>_xlfn.XLOOKUP(Table1[[#This Row],[Ruta]],#REF!,#REF!)</f>
        <v>#REF!</v>
      </c>
      <c r="AF520" s="752" t="e">
        <f>_xlfn.XLOOKUP(Table1[[#This Row],[Ruta]],#REF!,#REF!)</f>
        <v>#REF!</v>
      </c>
      <c r="AG520" s="752" t="e">
        <f>_xlfn.XLOOKUP(Table1[[#This Row],[Ruta]],#REF!,#REF!)</f>
        <v>#REF!</v>
      </c>
      <c r="AH520" s="52">
        <v>0.65809768784507805</v>
      </c>
      <c r="AI520" s="52">
        <v>0.34172821874137038</v>
      </c>
      <c r="AJ520" s="55">
        <v>1.7409341355161426E-4</v>
      </c>
      <c r="AK520" s="56">
        <v>31165</v>
      </c>
      <c r="AL520" s="44">
        <v>13370</v>
      </c>
      <c r="AM520" s="54">
        <v>0.42900689876463999</v>
      </c>
      <c r="AN520" s="55">
        <v>0.50225307463674596</v>
      </c>
      <c r="AO520" s="56">
        <v>2282.71707105418</v>
      </c>
      <c r="AP520" s="48">
        <v>1141.35853552709</v>
      </c>
      <c r="AQ520" s="55">
        <v>0.46562998670069278</v>
      </c>
      <c r="AR520" s="51">
        <v>3497511.75</v>
      </c>
      <c r="AS520" s="49">
        <v>298572.54218166001</v>
      </c>
      <c r="AT520" s="55">
        <v>8.5367130555504211E-2</v>
      </c>
      <c r="AU520" s="51">
        <v>209807.73234386928</v>
      </c>
      <c r="AV520" s="52">
        <v>9.5443522908714769E-4</v>
      </c>
      <c r="AW520" s="44">
        <v>304</v>
      </c>
      <c r="AX520" s="51">
        <v>261.59399775617101</v>
      </c>
      <c r="AY520" s="49">
        <v>400.61</v>
      </c>
      <c r="AZ520" s="49">
        <v>139.01600224382901</v>
      </c>
      <c r="BA520" s="42" t="s">
        <v>150</v>
      </c>
      <c r="BB520" s="50">
        <v>653037.06351351156</v>
      </c>
      <c r="BC520" s="57">
        <v>862844.79585738084</v>
      </c>
      <c r="BD520" s="42" t="s">
        <v>150</v>
      </c>
      <c r="BE520" s="46">
        <v>71.479357798165097</v>
      </c>
      <c r="BF520" s="46">
        <v>83.628504672897193</v>
      </c>
      <c r="BG520" s="42" t="s">
        <v>152</v>
      </c>
      <c r="BH520" s="52">
        <v>0.42900689876463999</v>
      </c>
      <c r="BI520" s="52">
        <v>0.51187669456560203</v>
      </c>
      <c r="BJ520" s="42" t="s">
        <v>152</v>
      </c>
      <c r="BK520" s="46">
        <v>391.33538285550401</v>
      </c>
      <c r="BL520" s="46">
        <v>638.00354527981403</v>
      </c>
      <c r="BM520" s="42" t="s">
        <v>152</v>
      </c>
      <c r="BN520" s="48">
        <v>0</v>
      </c>
      <c r="BO520" s="42" t="s">
        <v>155</v>
      </c>
      <c r="BP520" s="42" t="s">
        <v>152</v>
      </c>
      <c r="BQ520" s="46">
        <v>1065.0685572063901</v>
      </c>
      <c r="BR520" s="46">
        <v>108</v>
      </c>
      <c r="BS520" s="46">
        <v>14305</v>
      </c>
      <c r="BT520" s="46">
        <v>3878</v>
      </c>
      <c r="BU520" s="46">
        <v>3.6887570912841672</v>
      </c>
      <c r="BV520" s="46">
        <v>35.907407407407405</v>
      </c>
      <c r="BW520" s="46">
        <v>0</v>
      </c>
      <c r="BX520" s="46">
        <v>1434</v>
      </c>
      <c r="BY520" s="46">
        <v>1434</v>
      </c>
      <c r="BZ520" s="46">
        <v>0.369778236204229</v>
      </c>
      <c r="CA520" s="46">
        <v>0</v>
      </c>
      <c r="CB520" s="46">
        <v>0.369778236204229</v>
      </c>
      <c r="CC520" s="46">
        <v>0.46802475502836521</v>
      </c>
      <c r="CD520" s="46">
        <v>0</v>
      </c>
      <c r="CE520" s="46">
        <v>0</v>
      </c>
      <c r="CF520" s="46">
        <v>0.16219700876740589</v>
      </c>
      <c r="CG520" s="46">
        <v>0</v>
      </c>
      <c r="CH520" s="46">
        <v>0</v>
      </c>
      <c r="CI520" s="46">
        <v>6.8507514854945821</v>
      </c>
      <c r="CJ520" s="46">
        <v>0.34952813701502972</v>
      </c>
      <c r="CK520">
        <v>307</v>
      </c>
      <c r="CL520">
        <v>404.52</v>
      </c>
      <c r="CM520">
        <f t="shared" si="56"/>
        <v>97.519999999999982</v>
      </c>
      <c r="CN520">
        <v>6.87</v>
      </c>
      <c r="CO520">
        <v>9.4499999999999993</v>
      </c>
      <c r="CP520">
        <f t="shared" si="57"/>
        <v>2.5799999999999992</v>
      </c>
      <c r="CQ520">
        <v>564.37</v>
      </c>
      <c r="CR520">
        <v>391.34</v>
      </c>
      <c r="CS520">
        <f t="shared" si="58"/>
        <v>173.03000000000003</v>
      </c>
      <c r="CT520" t="s">
        <v>152</v>
      </c>
      <c r="CU520">
        <v>73.37</v>
      </c>
      <c r="CV520">
        <v>121</v>
      </c>
      <c r="CW520" s="46">
        <v>1434</v>
      </c>
      <c r="CX520" s="46">
        <f t="shared" si="59"/>
        <v>34.463125322331102</v>
      </c>
      <c r="CY520" s="46">
        <v>97.52</v>
      </c>
      <c r="CZ520" s="46">
        <f t="shared" si="60"/>
        <v>36.977823620422903</v>
      </c>
      <c r="DA520" s="46">
        <f t="shared" si="61"/>
        <v>381.10894675413533</v>
      </c>
      <c r="DB520" s="46">
        <v>1515106.24</v>
      </c>
      <c r="DC520" s="46">
        <f t="shared" si="62"/>
        <v>18.098701553507464</v>
      </c>
      <c r="DD520" s="46">
        <v>71951.75</v>
      </c>
      <c r="DE520" s="995">
        <v>1434</v>
      </c>
      <c r="DF520" s="995">
        <v>34.520000000000003</v>
      </c>
      <c r="DG520" s="995">
        <v>95.3</v>
      </c>
      <c r="DH520" s="995">
        <v>36.978000000000002</v>
      </c>
      <c r="DI520" s="995">
        <v>1073.155</v>
      </c>
      <c r="DJ520" s="995">
        <v>4263961</v>
      </c>
      <c r="DK520" s="995">
        <v>51.264000000000003</v>
      </c>
      <c r="DL520" s="995">
        <v>203685.4</v>
      </c>
      <c r="DM520" s="995">
        <v>1434</v>
      </c>
      <c r="DN520" s="995">
        <v>34.692999999999998</v>
      </c>
      <c r="DO520" s="995">
        <v>88.6</v>
      </c>
      <c r="DP520" s="995">
        <v>36.978000000000002</v>
      </c>
      <c r="DQ520" s="995">
        <v>1059.3520000000001</v>
      </c>
      <c r="DR520" s="995">
        <v>4202048</v>
      </c>
      <c r="DS520" s="995">
        <v>50.585000000000001</v>
      </c>
      <c r="DT520" s="995">
        <v>200652.1</v>
      </c>
    </row>
    <row r="521" spans="1:124">
      <c r="A521" s="42" t="s">
        <v>94</v>
      </c>
      <c r="B521" s="42" t="s">
        <v>549</v>
      </c>
      <c r="C521" s="42" t="s">
        <v>703</v>
      </c>
      <c r="D521" s="42">
        <v>819423</v>
      </c>
      <c r="E521" s="42" t="s">
        <v>740</v>
      </c>
      <c r="F521" s="42" t="s">
        <v>149</v>
      </c>
      <c r="G521" s="42" t="s">
        <v>150</v>
      </c>
      <c r="H521" s="43" t="s">
        <v>150</v>
      </c>
      <c r="I521" s="44">
        <v>46</v>
      </c>
      <c r="J521" s="45">
        <v>549.49440000000004</v>
      </c>
      <c r="K521" s="46">
        <v>135.5378</v>
      </c>
      <c r="L521" s="47">
        <v>685.03219999999999</v>
      </c>
      <c r="M521" s="48">
        <v>22434</v>
      </c>
      <c r="N521" s="49">
        <v>7777</v>
      </c>
      <c r="O521" s="49">
        <v>14657</v>
      </c>
      <c r="P521" s="49">
        <v>0</v>
      </c>
      <c r="Q521" s="50">
        <v>320.488</v>
      </c>
      <c r="R521" s="51">
        <v>11191.105627311499</v>
      </c>
      <c r="S521" s="49">
        <v>18476.293580237802</v>
      </c>
      <c r="T521" s="49">
        <v>3965.8770094224301</v>
      </c>
      <c r="U521" s="49">
        <f>IFERROR(INDEX('Rentabilidad datos'!$N$2:$N$61,MATCH($C521,'Rentabilidad datos'!$C$2:$C$61,0)),"")</f>
        <v>33633.276216971761</v>
      </c>
      <c r="V521" s="50">
        <f>IFERROR(INDEX('Rentabilidad datos'!$O$2:$O$61,MATCH($C521,'Rentabilidad datos'!$C$2:$C$61,0)),"")</f>
        <v>1159.7681454128194</v>
      </c>
      <c r="W521" s="51">
        <f>IFERROR(INDEX('Rentabilidad datos'!$M$2:$M$61,MATCH($C521,'Rentabilidad datos'!$C$2:$C$61,0)),"")</f>
        <v>2866.2444123371242</v>
      </c>
      <c r="X521" s="52">
        <f>IFERROR(INDEX('Rentabilidad datos'!$P$2:$P$61,MATCH($C521,'Rentabilidad datos'!$C$2:$C$61,0)),"")</f>
        <v>0.40462988446513848</v>
      </c>
      <c r="Y521" s="43" t="s">
        <v>171</v>
      </c>
      <c r="Z521" s="53">
        <v>142.508196721312</v>
      </c>
      <c r="AA521" s="43">
        <v>2</v>
      </c>
      <c r="AB521" s="54">
        <v>0.17584915752875099</v>
      </c>
      <c r="AC521" s="55">
        <v>0.82415084247124903</v>
      </c>
      <c r="AD521" s="752" t="e">
        <f>_xlfn.XLOOKUP(Table1[[#This Row],[Ruta]],#REF!,#REF!)</f>
        <v>#REF!</v>
      </c>
      <c r="AE521" s="752" t="e">
        <f>_xlfn.XLOOKUP(Table1[[#This Row],[Ruta]],#REF!,#REF!)</f>
        <v>#REF!</v>
      </c>
      <c r="AF521" s="752" t="e">
        <f>_xlfn.XLOOKUP(Table1[[#This Row],[Ruta]],#REF!,#REF!)</f>
        <v>#REF!</v>
      </c>
      <c r="AG521" s="752" t="e">
        <f>_xlfn.XLOOKUP(Table1[[#This Row],[Ruta]],#REF!,#REF!)</f>
        <v>#REF!</v>
      </c>
      <c r="AH521" s="52">
        <v>0.34666131764286351</v>
      </c>
      <c r="AI521" s="52">
        <v>0.65333868235713644</v>
      </c>
      <c r="AJ521" s="55">
        <v>0</v>
      </c>
      <c r="AK521" s="56">
        <v>8693</v>
      </c>
      <c r="AL521" s="44">
        <v>56</v>
      </c>
      <c r="AM521" s="54">
        <v>5.4066490279535001E-3</v>
      </c>
      <c r="AN521" s="55">
        <v>0.50225307463674596</v>
      </c>
      <c r="AO521" s="56">
        <v>4319.0859778172298</v>
      </c>
      <c r="AP521" s="48">
        <v>2159.5429889086149</v>
      </c>
      <c r="AQ521" s="55">
        <v>0.25486517760365984</v>
      </c>
      <c r="AR521" s="51">
        <v>22434.16</v>
      </c>
      <c r="AS521" s="49">
        <v>865134.51678667997</v>
      </c>
      <c r="AT521" s="55">
        <v>38.563267659082399</v>
      </c>
      <c r="AU521" s="51">
        <v>607932.36314739694</v>
      </c>
      <c r="AV521" s="52">
        <v>2.7655418501883046E-3</v>
      </c>
      <c r="AW521" s="44">
        <v>115</v>
      </c>
      <c r="AX521" s="51">
        <v>400.61</v>
      </c>
      <c r="AY521" s="49">
        <v>400.61</v>
      </c>
      <c r="AZ521" s="49">
        <v>0</v>
      </c>
      <c r="BA521" s="42" t="s">
        <v>152</v>
      </c>
      <c r="BB521" s="50">
        <v>0</v>
      </c>
      <c r="BC521" s="57">
        <v>607932.36314739694</v>
      </c>
      <c r="BD521" s="42" t="s">
        <v>150</v>
      </c>
      <c r="BE521" s="46">
        <v>142.508196721312</v>
      </c>
      <c r="BF521" s="46">
        <v>83.628504672897193</v>
      </c>
      <c r="BG521" s="42" t="s">
        <v>150</v>
      </c>
      <c r="BH521" s="52">
        <v>5.4066490279535296E-3</v>
      </c>
      <c r="BI521" s="52">
        <v>0.51187669456560203</v>
      </c>
      <c r="BJ521" s="42" t="s">
        <v>152</v>
      </c>
      <c r="BK521" s="46">
        <v>9.7861742857142904</v>
      </c>
      <c r="BL521" s="46">
        <v>638.00354527981403</v>
      </c>
      <c r="BM521" s="42" t="s">
        <v>152</v>
      </c>
      <c r="BN521" s="48">
        <v>1</v>
      </c>
      <c r="BO521" s="42" t="s">
        <v>155</v>
      </c>
      <c r="BP521" s="42" t="s">
        <v>152</v>
      </c>
      <c r="BQ521" s="46">
        <v>2453.1170154541901</v>
      </c>
      <c r="BR521" s="46" t="e">
        <v>#N/A</v>
      </c>
      <c r="BS521" s="46" t="e">
        <v>#N/A</v>
      </c>
      <c r="BT521" s="46" t="e">
        <v>#N/A</v>
      </c>
      <c r="BU521" s="46" t="e">
        <v>#N/A</v>
      </c>
      <c r="BV521" s="46" t="e">
        <v>#N/A</v>
      </c>
      <c r="BW521" s="46" t="e">
        <v>#N/A</v>
      </c>
      <c r="BX521" s="46" t="e">
        <v>#N/A</v>
      </c>
      <c r="BY521" s="46" t="e">
        <v>#N/A</v>
      </c>
      <c r="BZ521" s="46" t="e">
        <v>#N/A</v>
      </c>
      <c r="CA521" s="46" t="e">
        <v>#N/A</v>
      </c>
      <c r="CB521" s="46" t="e">
        <v>#N/A</v>
      </c>
      <c r="CC521" s="46" t="e">
        <v>#N/A</v>
      </c>
      <c r="CD521" s="46" t="e">
        <v>#N/A</v>
      </c>
      <c r="CE521" s="46" t="e">
        <v>#N/A</v>
      </c>
      <c r="CF521" s="46" t="e">
        <v>#N/A</v>
      </c>
      <c r="CG521" s="46" t="e">
        <v>#N/A</v>
      </c>
      <c r="CH521" s="46" t="e">
        <v>#N/A</v>
      </c>
      <c r="CI521" s="46" t="e">
        <v>#N/A</v>
      </c>
      <c r="CJ521" s="46" t="e">
        <v>#N/A</v>
      </c>
      <c r="CM521">
        <f t="shared" si="56"/>
        <v>0</v>
      </c>
      <c r="CP521">
        <f t="shared" si="57"/>
        <v>0</v>
      </c>
      <c r="CS521">
        <f t="shared" si="58"/>
        <v>0</v>
      </c>
      <c r="CW521" s="46"/>
      <c r="CX521" s="46" t="e">
        <f t="shared" si="59"/>
        <v>#N/A</v>
      </c>
      <c r="CY521" s="46"/>
      <c r="CZ521" s="46" t="e">
        <f t="shared" si="60"/>
        <v>#N/A</v>
      </c>
      <c r="DA521" s="46" t="e">
        <f t="shared" si="61"/>
        <v>#N/A</v>
      </c>
      <c r="DB521" s="46"/>
      <c r="DC521" s="46" t="e">
        <f t="shared" si="62"/>
        <v>#N/A</v>
      </c>
      <c r="DD521" s="46"/>
      <c r="DE521" s="995" t="s">
        <v>194</v>
      </c>
      <c r="DF521" s="995" t="s">
        <v>194</v>
      </c>
      <c r="DG521" s="995" t="s">
        <v>194</v>
      </c>
      <c r="DH521" s="995" t="s">
        <v>194</v>
      </c>
      <c r="DI521" s="995" t="s">
        <v>194</v>
      </c>
      <c r="DJ521" s="995" t="s">
        <v>194</v>
      </c>
      <c r="DK521" s="995" t="s">
        <v>194</v>
      </c>
      <c r="DL521" s="995" t="s">
        <v>194</v>
      </c>
      <c r="DM521" s="995" t="s">
        <v>194</v>
      </c>
      <c r="DN521" s="995" t="s">
        <v>194</v>
      </c>
      <c r="DO521" s="995" t="s">
        <v>194</v>
      </c>
      <c r="DP521" s="995" t="s">
        <v>194</v>
      </c>
      <c r="DQ521" s="995" t="s">
        <v>194</v>
      </c>
      <c r="DR521" s="995" t="s">
        <v>194</v>
      </c>
      <c r="DS521" s="995" t="s">
        <v>194</v>
      </c>
      <c r="DT521" s="995" t="s">
        <v>194</v>
      </c>
    </row>
    <row r="522" spans="1:124">
      <c r="A522" s="42" t="s">
        <v>94</v>
      </c>
      <c r="B522" s="42" t="s">
        <v>549</v>
      </c>
      <c r="C522" s="42" t="s">
        <v>703</v>
      </c>
      <c r="D522" s="42">
        <v>819424</v>
      </c>
      <c r="E522" s="42" t="s">
        <v>741</v>
      </c>
      <c r="F522" s="42" t="s">
        <v>149</v>
      </c>
      <c r="G522" s="42" t="s">
        <v>150</v>
      </c>
      <c r="H522" s="43" t="s">
        <v>150</v>
      </c>
      <c r="I522" s="44">
        <v>46</v>
      </c>
      <c r="J522" s="45">
        <v>155799.355415</v>
      </c>
      <c r="K522" s="46">
        <v>6164.5641020000003</v>
      </c>
      <c r="L522" s="47">
        <v>161963.919517</v>
      </c>
      <c r="M522" s="48">
        <v>2939836</v>
      </c>
      <c r="N522" s="49">
        <v>2239481</v>
      </c>
      <c r="O522" s="49">
        <v>699185</v>
      </c>
      <c r="P522" s="49">
        <v>1170</v>
      </c>
      <c r="Q522" s="50">
        <v>6785.7087990762102</v>
      </c>
      <c r="R522" s="51">
        <v>11191.105627311499</v>
      </c>
      <c r="S522" s="49">
        <v>18476.293580237802</v>
      </c>
      <c r="T522" s="49">
        <v>3965.8770094224301</v>
      </c>
      <c r="U522" s="49">
        <f>IFERROR(INDEX('Rentabilidad datos'!$N$2:$N$61,MATCH($C522,'Rentabilidad datos'!$C$2:$C$61,0)),"")</f>
        <v>33633.276216971761</v>
      </c>
      <c r="V522" s="50">
        <f>IFERROR(INDEX('Rentabilidad datos'!$O$2:$O$61,MATCH($C522,'Rentabilidad datos'!$C$2:$C$61,0)),"")</f>
        <v>1159.7681454128194</v>
      </c>
      <c r="W522" s="51">
        <f>IFERROR(INDEX('Rentabilidad datos'!$M$2:$M$61,MATCH($C522,'Rentabilidad datos'!$C$2:$C$61,0)),"")</f>
        <v>2866.2444123371242</v>
      </c>
      <c r="X522" s="52">
        <f>IFERROR(INDEX('Rentabilidad datos'!$P$2:$P$61,MATCH($C522,'Rentabilidad datos'!$C$2:$C$61,0)),"")</f>
        <v>0.40462988446513848</v>
      </c>
      <c r="Y522" s="43" t="s">
        <v>171</v>
      </c>
      <c r="Z522" s="53">
        <v>73.963048498845296</v>
      </c>
      <c r="AA522" s="43">
        <v>2</v>
      </c>
      <c r="AB522" s="54">
        <v>0.93742814225011195</v>
      </c>
      <c r="AC522" s="55">
        <v>6.2571857749888091E-2</v>
      </c>
      <c r="AD522" s="752" t="e">
        <f>_xlfn.XLOOKUP(Table1[[#This Row],[Ruta]],#REF!,#REF!)</f>
        <v>#REF!</v>
      </c>
      <c r="AE522" s="752" t="e">
        <f>_xlfn.XLOOKUP(Table1[[#This Row],[Ruta]],#REF!,#REF!)</f>
        <v>#REF!</v>
      </c>
      <c r="AF522" s="752" t="e">
        <f>_xlfn.XLOOKUP(Table1[[#This Row],[Ruta]],#REF!,#REF!)</f>
        <v>#REF!</v>
      </c>
      <c r="AG522" s="752" t="e">
        <f>_xlfn.XLOOKUP(Table1[[#This Row],[Ruta]],#REF!,#REF!)</f>
        <v>#REF!</v>
      </c>
      <c r="AH522" s="52">
        <v>0.76177072462545525</v>
      </c>
      <c r="AI522" s="52">
        <v>0.23783129399054914</v>
      </c>
      <c r="AJ522" s="55">
        <v>3.9798138399556982E-4</v>
      </c>
      <c r="AK522" s="56">
        <v>32026</v>
      </c>
      <c r="AL522" s="44">
        <v>16128</v>
      </c>
      <c r="AM522" s="54">
        <v>0.50359083244863601</v>
      </c>
      <c r="AN522" s="55">
        <v>0.50225307463674596</v>
      </c>
      <c r="AO522" s="56">
        <v>0</v>
      </c>
      <c r="AP522" s="48">
        <v>0</v>
      </c>
      <c r="AQ522" s="55">
        <v>0.50359083244863545</v>
      </c>
      <c r="AR522" s="51">
        <v>2938211.91</v>
      </c>
      <c r="AS522" s="49">
        <v>0</v>
      </c>
      <c r="AT522" s="55">
        <v>0</v>
      </c>
      <c r="AU522" s="51">
        <v>0</v>
      </c>
      <c r="AV522" s="52">
        <v>0</v>
      </c>
      <c r="AW522" s="44">
        <v>490</v>
      </c>
      <c r="AX522" s="51">
        <v>182.18079799107099</v>
      </c>
      <c r="AY522" s="49">
        <v>400.61</v>
      </c>
      <c r="AZ522" s="49">
        <v>218.42920200892902</v>
      </c>
      <c r="BA522" s="42" t="s">
        <v>150</v>
      </c>
      <c r="BB522" s="50">
        <v>1237749.7354054085</v>
      </c>
      <c r="BC522" s="57">
        <v>1237749.7354054085</v>
      </c>
      <c r="BD522" s="42" t="s">
        <v>150</v>
      </c>
      <c r="BE522" s="46">
        <v>73.963048498845296</v>
      </c>
      <c r="BF522" s="46">
        <v>83.628504672897193</v>
      </c>
      <c r="BG522" s="42" t="s">
        <v>152</v>
      </c>
      <c r="BH522" s="52">
        <v>0.50359083244863601</v>
      </c>
      <c r="BI522" s="52">
        <v>0.51187669456560203</v>
      </c>
      <c r="BJ522" s="42" t="s">
        <v>152</v>
      </c>
      <c r="BK522" s="46">
        <v>374.05062244110798</v>
      </c>
      <c r="BL522" s="46">
        <v>638.00354527981403</v>
      </c>
      <c r="BM522" s="42" t="s">
        <v>152</v>
      </c>
      <c r="BN522" s="48">
        <v>0</v>
      </c>
      <c r="BO522" s="42" t="s">
        <v>155</v>
      </c>
      <c r="BP522" s="42" t="s">
        <v>152</v>
      </c>
      <c r="BQ522" s="46">
        <v>0</v>
      </c>
      <c r="BR522" s="46">
        <v>83</v>
      </c>
      <c r="BS522" s="46">
        <v>15251</v>
      </c>
      <c r="BT522" s="46">
        <v>4243</v>
      </c>
      <c r="BU522" s="46">
        <v>3.5943907612538299</v>
      </c>
      <c r="BV522" s="46">
        <v>51.120481927710841</v>
      </c>
      <c r="BW522" s="46">
        <v>0</v>
      </c>
      <c r="BX522" s="46">
        <v>0</v>
      </c>
      <c r="BY522" s="46">
        <v>0</v>
      </c>
      <c r="BZ522" s="46">
        <v>0</v>
      </c>
      <c r="CA522" s="46">
        <v>0</v>
      </c>
      <c r="CB522" s="46">
        <v>0</v>
      </c>
      <c r="CC522" s="46">
        <v>0.84657082253122795</v>
      </c>
      <c r="CD522" s="46">
        <v>0</v>
      </c>
      <c r="CE522" s="46">
        <v>0</v>
      </c>
      <c r="CF522" s="46">
        <v>0.1534291774687721</v>
      </c>
      <c r="CG522" s="46">
        <v>0</v>
      </c>
      <c r="CH522" s="46">
        <v>0</v>
      </c>
      <c r="CI522" s="46">
        <v>3.671890367844731</v>
      </c>
      <c r="CJ522" s="46">
        <v>0.13113894170874041</v>
      </c>
      <c r="CK522">
        <v>324</v>
      </c>
      <c r="CL522">
        <v>324</v>
      </c>
      <c r="CM522">
        <f t="shared" ref="CM522:CM585" si="63">CL522-CK522</f>
        <v>0</v>
      </c>
      <c r="CO522">
        <v>9.4499999999999993</v>
      </c>
      <c r="CP522">
        <f t="shared" ref="CP522:CP585" si="64">CO522-CN522</f>
        <v>9.4499999999999993</v>
      </c>
      <c r="CS522">
        <f t="shared" ref="CS522:CS585" si="65">CQ522-CR522</f>
        <v>0</v>
      </c>
      <c r="CV522">
        <v>0</v>
      </c>
      <c r="CW522" s="46">
        <v>0</v>
      </c>
      <c r="CX522" s="46">
        <f t="shared" si="59"/>
        <v>0</v>
      </c>
      <c r="CY522" s="46">
        <v>0</v>
      </c>
      <c r="CZ522" s="46">
        <f t="shared" si="60"/>
        <v>0</v>
      </c>
      <c r="DA522" s="46">
        <f t="shared" si="61"/>
        <v>0</v>
      </c>
      <c r="DB522" s="46">
        <v>0</v>
      </c>
      <c r="DC522" s="46">
        <f t="shared" si="62"/>
        <v>0</v>
      </c>
      <c r="DD522" s="46">
        <v>0</v>
      </c>
      <c r="DE522" s="995">
        <v>0</v>
      </c>
      <c r="DF522" s="995">
        <v>0</v>
      </c>
      <c r="DG522" s="995">
        <v>0</v>
      </c>
      <c r="DH522" s="995">
        <v>0</v>
      </c>
      <c r="DI522" s="995">
        <v>537.56899999999996</v>
      </c>
      <c r="DJ522" s="995">
        <v>2280904</v>
      </c>
      <c r="DK522" s="995">
        <v>27.16</v>
      </c>
      <c r="DL522" s="995">
        <v>115240.1</v>
      </c>
      <c r="DM522" s="995">
        <v>0</v>
      </c>
      <c r="DN522" s="995">
        <v>0</v>
      </c>
      <c r="DO522" s="995">
        <v>0</v>
      </c>
      <c r="DP522" s="995">
        <v>0</v>
      </c>
      <c r="DQ522" s="995">
        <v>537.56899999999996</v>
      </c>
      <c r="DR522" s="995">
        <v>2280904</v>
      </c>
      <c r="DS522" s="995">
        <v>27.16</v>
      </c>
      <c r="DT522" s="995">
        <v>115240.1</v>
      </c>
    </row>
    <row r="523" spans="1:124">
      <c r="A523" s="42" t="s">
        <v>94</v>
      </c>
      <c r="B523" s="42" t="s">
        <v>549</v>
      </c>
      <c r="C523" s="42" t="s">
        <v>703</v>
      </c>
      <c r="D523" s="42">
        <v>819425</v>
      </c>
      <c r="E523" s="42" t="s">
        <v>742</v>
      </c>
      <c r="F523" s="42" t="s">
        <v>149</v>
      </c>
      <c r="G523" s="42" t="s">
        <v>150</v>
      </c>
      <c r="H523" s="43" t="s">
        <v>152</v>
      </c>
      <c r="I523" s="44">
        <v>46</v>
      </c>
      <c r="J523" s="45">
        <v>1532.2439999999999</v>
      </c>
      <c r="K523" s="46">
        <v>318.60390000000001</v>
      </c>
      <c r="L523" s="47">
        <v>1850.8479</v>
      </c>
      <c r="M523" s="48">
        <v>59691</v>
      </c>
      <c r="N523" s="49">
        <v>19146</v>
      </c>
      <c r="O523" s="49">
        <v>40545</v>
      </c>
      <c r="P523" s="49">
        <v>0</v>
      </c>
      <c r="Q523" s="50">
        <v>602.93313131313096</v>
      </c>
      <c r="R523" s="51">
        <v>11191.105627311499</v>
      </c>
      <c r="S523" s="49">
        <v>18476.293580237802</v>
      </c>
      <c r="T523" s="49">
        <v>3965.8770094224301</v>
      </c>
      <c r="U523" s="49">
        <f>IFERROR(INDEX('Rentabilidad datos'!$N$2:$N$61,MATCH($C523,'Rentabilidad datos'!$C$2:$C$61,0)),"")</f>
        <v>33633.276216971761</v>
      </c>
      <c r="V523" s="50">
        <f>IFERROR(INDEX('Rentabilidad datos'!$O$2:$O$61,MATCH($C523,'Rentabilidad datos'!$C$2:$C$61,0)),"")</f>
        <v>1159.7681454128194</v>
      </c>
      <c r="W523" s="51">
        <f>IFERROR(INDEX('Rentabilidad datos'!$M$2:$M$61,MATCH($C523,'Rentabilidad datos'!$C$2:$C$61,0)),"")</f>
        <v>2866.2444123371242</v>
      </c>
      <c r="X523" s="52">
        <f>IFERROR(INDEX('Rentabilidad datos'!$P$2:$P$61,MATCH($C523,'Rentabilidad datos'!$C$2:$C$61,0)),"")</f>
        <v>0.40462988446513848</v>
      </c>
      <c r="Y523" s="43" t="s">
        <v>171</v>
      </c>
      <c r="Z523" s="53">
        <v>0</v>
      </c>
      <c r="AA523" s="43">
        <v>2</v>
      </c>
      <c r="AB523" s="54">
        <v>6.6375165435325262E-2</v>
      </c>
      <c r="AC523" s="55">
        <v>0.93362483456467471</v>
      </c>
      <c r="AD523" s="752" t="e">
        <f>_xlfn.XLOOKUP(Table1[[#This Row],[Ruta]],#REF!,#REF!)</f>
        <v>#REF!</v>
      </c>
      <c r="AE523" s="752" t="e">
        <f>_xlfn.XLOOKUP(Table1[[#This Row],[Ruta]],#REF!,#REF!)</f>
        <v>#REF!</v>
      </c>
      <c r="AF523" s="752" t="e">
        <f>_xlfn.XLOOKUP(Table1[[#This Row],[Ruta]],#REF!,#REF!)</f>
        <v>#REF!</v>
      </c>
      <c r="AG523" s="752" t="e">
        <f>_xlfn.XLOOKUP(Table1[[#This Row],[Ruta]],#REF!,#REF!)</f>
        <v>#REF!</v>
      </c>
      <c r="AH523" s="52">
        <v>0.32075187214152889</v>
      </c>
      <c r="AI523" s="52">
        <v>0.67924812785847111</v>
      </c>
      <c r="AJ523" s="55">
        <v>0</v>
      </c>
      <c r="AK523" s="56">
        <v>0</v>
      </c>
      <c r="AL523" s="44">
        <v>123</v>
      </c>
      <c r="AM523" s="54">
        <v>0</v>
      </c>
      <c r="AN523" s="55">
        <v>0.50225307463674596</v>
      </c>
      <c r="AO523" s="56">
        <v>0</v>
      </c>
      <c r="AP523" s="48">
        <v>0</v>
      </c>
      <c r="AQ523" s="55" t="s">
        <v>194</v>
      </c>
      <c r="AR523" s="51">
        <v>59690.38</v>
      </c>
      <c r="AS523" s="49">
        <v>0</v>
      </c>
      <c r="AT523" s="55">
        <v>0</v>
      </c>
      <c r="AU523" s="51">
        <v>0</v>
      </c>
      <c r="AV523" s="52">
        <v>0</v>
      </c>
      <c r="AW523" s="44">
        <v>490</v>
      </c>
      <c r="AX523" s="51">
        <v>485.28764227642301</v>
      </c>
      <c r="AY523" s="49">
        <v>400.61</v>
      </c>
      <c r="AZ523" s="49">
        <v>0</v>
      </c>
      <c r="BA523" s="42" t="s">
        <v>152</v>
      </c>
      <c r="BB523" s="50">
        <v>0</v>
      </c>
      <c r="BC523" s="57">
        <v>0</v>
      </c>
      <c r="BD523" s="42" t="s">
        <v>152</v>
      </c>
      <c r="BE523" s="46" t="s">
        <v>195</v>
      </c>
      <c r="BF523" s="46" t="s">
        <v>195</v>
      </c>
      <c r="BG523" s="42" t="s">
        <v>195</v>
      </c>
      <c r="BH523" s="52" t="s">
        <v>195</v>
      </c>
      <c r="BI523" s="52" t="s">
        <v>195</v>
      </c>
      <c r="BJ523" s="42" t="s">
        <v>195</v>
      </c>
      <c r="BK523" s="46" t="s">
        <v>195</v>
      </c>
      <c r="BL523" s="46" t="s">
        <v>195</v>
      </c>
      <c r="BM523" s="42" t="s">
        <v>195</v>
      </c>
      <c r="BN523" s="48" t="s">
        <v>195</v>
      </c>
      <c r="BO523" s="42" t="s">
        <v>195</v>
      </c>
      <c r="BP523" s="42" t="s">
        <v>152</v>
      </c>
      <c r="BQ523" s="46">
        <v>0</v>
      </c>
      <c r="BR523" s="46" t="e">
        <v>#N/A</v>
      </c>
      <c r="BS523" s="46" t="e">
        <v>#N/A</v>
      </c>
      <c r="BT523" s="46" t="e">
        <v>#N/A</v>
      </c>
      <c r="BU523" s="46" t="e">
        <v>#N/A</v>
      </c>
      <c r="BV523" s="46" t="e">
        <v>#N/A</v>
      </c>
      <c r="BW523" s="46" t="e">
        <v>#N/A</v>
      </c>
      <c r="BX523" s="46" t="e">
        <v>#N/A</v>
      </c>
      <c r="BY523" s="46" t="e">
        <v>#N/A</v>
      </c>
      <c r="BZ523" s="46" t="e">
        <v>#N/A</v>
      </c>
      <c r="CA523" s="46" t="e">
        <v>#N/A</v>
      </c>
      <c r="CB523" s="46" t="e">
        <v>#N/A</v>
      </c>
      <c r="CC523" s="46" t="e">
        <v>#N/A</v>
      </c>
      <c r="CD523" s="46" t="e">
        <v>#N/A</v>
      </c>
      <c r="CE523" s="46" t="e">
        <v>#N/A</v>
      </c>
      <c r="CF523" s="46" t="e">
        <v>#N/A</v>
      </c>
      <c r="CG523" s="46" t="e">
        <v>#N/A</v>
      </c>
      <c r="CH523" s="46" t="e">
        <v>#N/A</v>
      </c>
      <c r="CI523" s="46" t="e">
        <v>#N/A</v>
      </c>
      <c r="CJ523" s="46" t="e">
        <v>#N/A</v>
      </c>
      <c r="CM523">
        <f t="shared" si="63"/>
        <v>0</v>
      </c>
      <c r="CP523">
        <f t="shared" si="64"/>
        <v>0</v>
      </c>
      <c r="CS523">
        <f t="shared" si="65"/>
        <v>0</v>
      </c>
      <c r="CW523" s="46"/>
      <c r="CX523" s="46" t="e">
        <f t="shared" si="59"/>
        <v>#N/A</v>
      </c>
      <c r="CY523" s="46"/>
      <c r="CZ523" s="46" t="e">
        <f t="shared" si="60"/>
        <v>#N/A</v>
      </c>
      <c r="DA523" s="46" t="e">
        <f t="shared" si="61"/>
        <v>#N/A</v>
      </c>
      <c r="DB523" s="46"/>
      <c r="DC523" s="46" t="e">
        <f t="shared" si="62"/>
        <v>#N/A</v>
      </c>
      <c r="DD523" s="46"/>
      <c r="DE523" s="995" t="s">
        <v>194</v>
      </c>
      <c r="DF523" s="995" t="s">
        <v>194</v>
      </c>
      <c r="DG523" s="995" t="s">
        <v>194</v>
      </c>
      <c r="DH523" s="995" t="s">
        <v>194</v>
      </c>
      <c r="DI523" s="995" t="s">
        <v>194</v>
      </c>
      <c r="DJ523" s="995" t="s">
        <v>194</v>
      </c>
      <c r="DK523" s="995" t="s">
        <v>194</v>
      </c>
      <c r="DL523" s="995" t="s">
        <v>194</v>
      </c>
      <c r="DM523" s="995" t="s">
        <v>194</v>
      </c>
      <c r="DN523" s="995" t="s">
        <v>194</v>
      </c>
      <c r="DO523" s="995" t="s">
        <v>194</v>
      </c>
      <c r="DP523" s="995" t="s">
        <v>194</v>
      </c>
      <c r="DQ523" s="995" t="s">
        <v>194</v>
      </c>
      <c r="DR523" s="995" t="s">
        <v>194</v>
      </c>
      <c r="DS523" s="995" t="s">
        <v>194</v>
      </c>
      <c r="DT523" s="995" t="s">
        <v>194</v>
      </c>
    </row>
    <row r="524" spans="1:124">
      <c r="A524" s="42" t="s">
        <v>94</v>
      </c>
      <c r="B524" s="42" t="s">
        <v>549</v>
      </c>
      <c r="C524" s="42" t="s">
        <v>703</v>
      </c>
      <c r="D524" s="42">
        <v>819426</v>
      </c>
      <c r="E524" s="42" t="s">
        <v>743</v>
      </c>
      <c r="F524" s="42" t="s">
        <v>149</v>
      </c>
      <c r="G524" s="42" t="s">
        <v>150</v>
      </c>
      <c r="H524" s="43" t="s">
        <v>150</v>
      </c>
      <c r="I524" s="44">
        <v>46</v>
      </c>
      <c r="J524" s="45">
        <v>243047.854335999</v>
      </c>
      <c r="K524" s="46">
        <v>20026.175357</v>
      </c>
      <c r="L524" s="47">
        <v>263074.02969299903</v>
      </c>
      <c r="M524" s="48">
        <v>5719143</v>
      </c>
      <c r="N524" s="49">
        <v>3524273</v>
      </c>
      <c r="O524" s="49">
        <v>2186233</v>
      </c>
      <c r="P524" s="49">
        <v>8637</v>
      </c>
      <c r="Q524" s="50">
        <v>13157.847465437801</v>
      </c>
      <c r="R524" s="51">
        <v>11191.105627311499</v>
      </c>
      <c r="S524" s="49">
        <v>18476.293580237802</v>
      </c>
      <c r="T524" s="49">
        <v>3965.8770094224301</v>
      </c>
      <c r="U524" s="49">
        <f>IFERROR(INDEX('Rentabilidad datos'!$N$2:$N$61,MATCH($C524,'Rentabilidad datos'!$C$2:$C$61,0)),"")</f>
        <v>33633.276216971761</v>
      </c>
      <c r="V524" s="50">
        <f>IFERROR(INDEX('Rentabilidad datos'!$O$2:$O$61,MATCH($C524,'Rentabilidad datos'!$C$2:$C$61,0)),"")</f>
        <v>1159.7681454128194</v>
      </c>
      <c r="W524" s="51">
        <f>IFERROR(INDEX('Rentabilidad datos'!$M$2:$M$61,MATCH($C524,'Rentabilidad datos'!$C$2:$C$61,0)),"")</f>
        <v>2866.2444123371242</v>
      </c>
      <c r="X524" s="52">
        <f>IFERROR(INDEX('Rentabilidad datos'!$P$2:$P$61,MATCH($C524,'Rentabilidad datos'!$C$2:$C$61,0)),"")</f>
        <v>0.40462988446513848</v>
      </c>
      <c r="Y524" s="43" t="s">
        <v>171</v>
      </c>
      <c r="Z524" s="53">
        <v>84.705069124424</v>
      </c>
      <c r="AA524" s="43">
        <v>2</v>
      </c>
      <c r="AB524" s="54">
        <v>0.94891734653251369</v>
      </c>
      <c r="AC524" s="55">
        <v>5.1082653467486298E-2</v>
      </c>
      <c r="AD524" s="752" t="e">
        <f>_xlfn.XLOOKUP(Table1[[#This Row],[Ruta]],#REF!,#REF!)</f>
        <v>#REF!</v>
      </c>
      <c r="AE524" s="752" t="e">
        <f>_xlfn.XLOOKUP(Table1[[#This Row],[Ruta]],#REF!,#REF!)</f>
        <v>#REF!</v>
      </c>
      <c r="AF524" s="752" t="e">
        <f>_xlfn.XLOOKUP(Table1[[#This Row],[Ruta]],#REF!,#REF!)</f>
        <v>#REF!</v>
      </c>
      <c r="AG524" s="752" t="e">
        <f>_xlfn.XLOOKUP(Table1[[#This Row],[Ruta]],#REF!,#REF!)</f>
        <v>#REF!</v>
      </c>
      <c r="AH524" s="52">
        <v>0.61622396922056333</v>
      </c>
      <c r="AI524" s="52">
        <v>0.3822658394797962</v>
      </c>
      <c r="AJ524" s="55">
        <v>1.510191299640523E-3</v>
      </c>
      <c r="AK524" s="56">
        <v>36762</v>
      </c>
      <c r="AL524" s="44">
        <v>21825</v>
      </c>
      <c r="AM524" s="54">
        <v>0.593683695119961</v>
      </c>
      <c r="AN524" s="55">
        <v>0.50225307463674596</v>
      </c>
      <c r="AO524" s="56">
        <v>0</v>
      </c>
      <c r="AP524" s="48">
        <v>0</v>
      </c>
      <c r="AQ524" s="55">
        <v>0.59368369511996077</v>
      </c>
      <c r="AR524" s="51">
        <v>5710505.7999999998</v>
      </c>
      <c r="AS524" s="49">
        <v>0</v>
      </c>
      <c r="AT524" s="55">
        <v>0</v>
      </c>
      <c r="AU524" s="51">
        <v>0</v>
      </c>
      <c r="AV524" s="52">
        <v>0</v>
      </c>
      <c r="AW524" s="44">
        <v>490</v>
      </c>
      <c r="AX524" s="51">
        <v>261.649750286369</v>
      </c>
      <c r="AY524" s="49">
        <v>400.61</v>
      </c>
      <c r="AZ524" s="49">
        <v>138.96024971363101</v>
      </c>
      <c r="BA524" s="42" t="s">
        <v>150</v>
      </c>
      <c r="BB524" s="50">
        <v>1065580.9959459451</v>
      </c>
      <c r="BC524" s="57">
        <v>1065580.9959459451</v>
      </c>
      <c r="BD524" s="42" t="s">
        <v>150</v>
      </c>
      <c r="BE524" s="46">
        <v>84.705069124424</v>
      </c>
      <c r="BF524" s="46">
        <v>83.628504672897193</v>
      </c>
      <c r="BG524" s="42" t="s">
        <v>150</v>
      </c>
      <c r="BH524" s="52">
        <v>0.593683695119961</v>
      </c>
      <c r="BI524" s="52">
        <v>0.51187669456560203</v>
      </c>
      <c r="BJ524" s="42" t="s">
        <v>150</v>
      </c>
      <c r="BK524" s="46">
        <v>606.16135873963003</v>
      </c>
      <c r="BL524" s="46">
        <v>638.00354527981403</v>
      </c>
      <c r="BM524" s="42" t="s">
        <v>152</v>
      </c>
      <c r="BN524" s="48">
        <v>2</v>
      </c>
      <c r="BO524" s="42" t="s">
        <v>161</v>
      </c>
      <c r="BP524" s="42" t="s">
        <v>152</v>
      </c>
      <c r="BQ524" s="46">
        <v>0</v>
      </c>
      <c r="BR524" s="46">
        <v>163</v>
      </c>
      <c r="BS524" s="46">
        <v>15391</v>
      </c>
      <c r="BT524" s="46">
        <v>4060</v>
      </c>
      <c r="BU524" s="46">
        <v>3.7908866995073893</v>
      </c>
      <c r="BV524" s="46">
        <v>24.907975460122699</v>
      </c>
      <c r="BW524" s="46">
        <v>0</v>
      </c>
      <c r="BX524" s="46">
        <v>340</v>
      </c>
      <c r="BY524" s="46">
        <v>340</v>
      </c>
      <c r="BZ524" s="46">
        <v>8.3743842364532015E-2</v>
      </c>
      <c r="CA524" s="46">
        <v>0</v>
      </c>
      <c r="CB524" s="46">
        <v>8.3743842364532015E-2</v>
      </c>
      <c r="CC524" s="46">
        <v>0.43620689655172412</v>
      </c>
      <c r="CD524" s="46">
        <v>0</v>
      </c>
      <c r="CE524" s="46">
        <v>0</v>
      </c>
      <c r="CF524" s="46">
        <v>0.48004926108374391</v>
      </c>
      <c r="CG524" s="46">
        <v>0</v>
      </c>
      <c r="CH524" s="46">
        <v>0</v>
      </c>
      <c r="CI524" s="46">
        <v>4.4831394971087004</v>
      </c>
      <c r="CJ524" s="46">
        <v>0.12994607237996231</v>
      </c>
      <c r="CK524">
        <v>361</v>
      </c>
      <c r="CL524">
        <v>395.82</v>
      </c>
      <c r="CM524">
        <f t="shared" si="63"/>
        <v>34.819999999999993</v>
      </c>
      <c r="CN524">
        <v>8.08</v>
      </c>
      <c r="CO524">
        <v>9.4499999999999993</v>
      </c>
      <c r="CP524">
        <f t="shared" si="64"/>
        <v>1.3699999999999992</v>
      </c>
      <c r="CQ524">
        <v>846.56</v>
      </c>
      <c r="CR524">
        <v>606.16</v>
      </c>
      <c r="CS524">
        <f t="shared" si="65"/>
        <v>240.39999999999998</v>
      </c>
      <c r="CT524" t="s">
        <v>152</v>
      </c>
      <c r="CU524">
        <v>87.59</v>
      </c>
      <c r="CV524">
        <v>21</v>
      </c>
      <c r="CW524" s="46">
        <v>340</v>
      </c>
      <c r="CX524" s="46">
        <f t="shared" si="59"/>
        <v>7.5167487684729073</v>
      </c>
      <c r="CY524" s="46">
        <v>34.82</v>
      </c>
      <c r="CZ524" s="46">
        <f t="shared" si="60"/>
        <v>8.3743842364532011</v>
      </c>
      <c r="DA524" s="46">
        <f t="shared" si="61"/>
        <v>97.282842713477024</v>
      </c>
      <c r="DB524" s="46">
        <v>398355.73</v>
      </c>
      <c r="DC524" s="46">
        <f t="shared" si="62"/>
        <v>4.9744262263054297</v>
      </c>
      <c r="DD524" s="46">
        <v>20369.38</v>
      </c>
      <c r="DE524" s="995">
        <v>340</v>
      </c>
      <c r="DF524" s="995">
        <v>7.298</v>
      </c>
      <c r="DG524" s="995">
        <v>43.7</v>
      </c>
      <c r="DH524" s="995">
        <v>8.3740000000000006</v>
      </c>
      <c r="DI524" s="995">
        <v>1110.903</v>
      </c>
      <c r="DJ524" s="995">
        <v>4558806</v>
      </c>
      <c r="DK524" s="995">
        <v>51.268999999999998</v>
      </c>
      <c r="DL524" s="995">
        <v>210390.5</v>
      </c>
      <c r="DM524" s="995">
        <v>340</v>
      </c>
      <c r="DN524" s="995">
        <v>7.37</v>
      </c>
      <c r="DO524" s="995">
        <v>40.799999999999997</v>
      </c>
      <c r="DP524" s="995">
        <v>8.3740000000000006</v>
      </c>
      <c r="DQ524" s="995">
        <v>1104.7719999999999</v>
      </c>
      <c r="DR524" s="995">
        <v>4530443</v>
      </c>
      <c r="DS524" s="995">
        <v>50.984000000000002</v>
      </c>
      <c r="DT524" s="995">
        <v>209073.3</v>
      </c>
    </row>
    <row r="525" spans="1:124">
      <c r="A525" s="42" t="s">
        <v>94</v>
      </c>
      <c r="B525" s="42" t="s">
        <v>549</v>
      </c>
      <c r="C525" s="42" t="s">
        <v>703</v>
      </c>
      <c r="D525" s="42">
        <v>819427</v>
      </c>
      <c r="E525" s="42" t="s">
        <v>744</v>
      </c>
      <c r="F525" s="42" t="s">
        <v>149</v>
      </c>
      <c r="G525" s="42" t="s">
        <v>150</v>
      </c>
      <c r="H525" s="43" t="s">
        <v>150</v>
      </c>
      <c r="I525" s="44">
        <v>46</v>
      </c>
      <c r="J525" s="45">
        <v>2331.8287999999998</v>
      </c>
      <c r="K525" s="46">
        <v>295.34582499999999</v>
      </c>
      <c r="L525" s="47">
        <v>2627.1746250000001</v>
      </c>
      <c r="M525" s="48">
        <v>68716</v>
      </c>
      <c r="N525" s="49">
        <v>29518</v>
      </c>
      <c r="O525" s="49">
        <v>39198</v>
      </c>
      <c r="P525" s="49">
        <v>0</v>
      </c>
      <c r="Q525" s="50">
        <v>716.30242424242397</v>
      </c>
      <c r="R525" s="51">
        <v>11191.105627311499</v>
      </c>
      <c r="S525" s="49">
        <v>18476.293580237802</v>
      </c>
      <c r="T525" s="49">
        <v>3965.8770094224301</v>
      </c>
      <c r="U525" s="49">
        <f>IFERROR(INDEX('Rentabilidad datos'!$N$2:$N$61,MATCH($C525,'Rentabilidad datos'!$C$2:$C$61,0)),"")</f>
        <v>33633.276216971761</v>
      </c>
      <c r="V525" s="50">
        <f>IFERROR(INDEX('Rentabilidad datos'!$O$2:$O$61,MATCH($C525,'Rentabilidad datos'!$C$2:$C$61,0)),"")</f>
        <v>1159.7681454128194</v>
      </c>
      <c r="W525" s="51">
        <f>IFERROR(INDEX('Rentabilidad datos'!$M$2:$M$61,MATCH($C525,'Rentabilidad datos'!$C$2:$C$61,0)),"")</f>
        <v>2866.2444123371242</v>
      </c>
      <c r="X525" s="52">
        <f>IFERROR(INDEX('Rentabilidad datos'!$P$2:$P$61,MATCH($C525,'Rentabilidad datos'!$C$2:$C$61,0)),"")</f>
        <v>0.40462988446513848</v>
      </c>
      <c r="Y525" s="43" t="s">
        <v>171</v>
      </c>
      <c r="Z525" s="53">
        <v>67.096774193548399</v>
      </c>
      <c r="AA525" s="43">
        <v>2</v>
      </c>
      <c r="AB525" s="54">
        <v>0.34099772978636705</v>
      </c>
      <c r="AC525" s="55">
        <v>0.65900227021363289</v>
      </c>
      <c r="AD525" s="752" t="e">
        <f>_xlfn.XLOOKUP(Table1[[#This Row],[Ruta]],#REF!,#REF!)</f>
        <v>#REF!</v>
      </c>
      <c r="AE525" s="752" t="e">
        <f>_xlfn.XLOOKUP(Table1[[#This Row],[Ruta]],#REF!,#REF!)</f>
        <v>#REF!</v>
      </c>
      <c r="AF525" s="752" t="e">
        <f>_xlfn.XLOOKUP(Table1[[#This Row],[Ruta]],#REF!,#REF!)</f>
        <v>#REF!</v>
      </c>
      <c r="AG525" s="752" t="e">
        <f>_xlfn.XLOOKUP(Table1[[#This Row],[Ruta]],#REF!,#REF!)</f>
        <v>#REF!</v>
      </c>
      <c r="AH525" s="52">
        <v>0.42956516677338613</v>
      </c>
      <c r="AI525" s="52">
        <v>0.57043483322661392</v>
      </c>
      <c r="AJ525" s="55">
        <v>0</v>
      </c>
      <c r="AK525" s="56">
        <v>4160</v>
      </c>
      <c r="AL525" s="44">
        <v>148</v>
      </c>
      <c r="AM525" s="54">
        <v>2.5961538461538401E-2</v>
      </c>
      <c r="AN525" s="55">
        <v>0.50225307463674596</v>
      </c>
      <c r="AO525" s="56">
        <v>1981.3727904888599</v>
      </c>
      <c r="AP525" s="48">
        <v>990.68639524442995</v>
      </c>
      <c r="AQ525" s="55">
        <v>0.27372269116452647</v>
      </c>
      <c r="AR525" s="51">
        <v>70913.94</v>
      </c>
      <c r="AS525" s="49">
        <v>474685.64588635048</v>
      </c>
      <c r="AT525" s="55">
        <v>6.6938269948948044</v>
      </c>
      <c r="AU525" s="51">
        <v>333562.88629851671</v>
      </c>
      <c r="AV525" s="52">
        <v>1.5174091357009884E-3</v>
      </c>
      <c r="AW525" s="44">
        <v>222</v>
      </c>
      <c r="AX525" s="51">
        <v>479.14824324324297</v>
      </c>
      <c r="AY525" s="49">
        <v>400.61</v>
      </c>
      <c r="AZ525" s="49">
        <v>0</v>
      </c>
      <c r="BA525" s="42" t="s">
        <v>152</v>
      </c>
      <c r="BB525" s="50">
        <v>0</v>
      </c>
      <c r="BC525" s="57">
        <v>333562.88629851671</v>
      </c>
      <c r="BD525" s="42" t="s">
        <v>150</v>
      </c>
      <c r="BE525" s="46">
        <v>67.096774193548399</v>
      </c>
      <c r="BF525" s="46">
        <v>83.628504672897193</v>
      </c>
      <c r="BG525" s="42" t="s">
        <v>152</v>
      </c>
      <c r="BH525" s="52">
        <v>2.5961538461538501E-2</v>
      </c>
      <c r="BI525" s="52">
        <v>0.51187669456560203</v>
      </c>
      <c r="BJ525" s="42" t="s">
        <v>152</v>
      </c>
      <c r="BK525" s="46">
        <v>26.5371174242424</v>
      </c>
      <c r="BL525" s="46">
        <v>638.00354527981403</v>
      </c>
      <c r="BM525" s="42" t="s">
        <v>152</v>
      </c>
      <c r="BN525" s="48">
        <v>0</v>
      </c>
      <c r="BO525" s="42" t="s">
        <v>155</v>
      </c>
      <c r="BP525" s="42" t="s">
        <v>152</v>
      </c>
      <c r="BQ525" s="46">
        <v>2223.7053548435601</v>
      </c>
      <c r="BR525" s="46" t="e">
        <v>#N/A</v>
      </c>
      <c r="BS525" s="46" t="e">
        <v>#N/A</v>
      </c>
      <c r="BT525" s="46" t="e">
        <v>#N/A</v>
      </c>
      <c r="BU525" s="46" t="e">
        <v>#N/A</v>
      </c>
      <c r="BV525" s="46" t="e">
        <v>#N/A</v>
      </c>
      <c r="BW525" s="46" t="e">
        <v>#N/A</v>
      </c>
      <c r="BX525" s="46" t="e">
        <v>#N/A</v>
      </c>
      <c r="BY525" s="46" t="e">
        <v>#N/A</v>
      </c>
      <c r="BZ525" s="46" t="e">
        <v>#N/A</v>
      </c>
      <c r="CA525" s="46" t="e">
        <v>#N/A</v>
      </c>
      <c r="CB525" s="46" t="e">
        <v>#N/A</v>
      </c>
      <c r="CC525" s="46" t="e">
        <v>#N/A</v>
      </c>
      <c r="CD525" s="46" t="e">
        <v>#N/A</v>
      </c>
      <c r="CE525" s="46" t="e">
        <v>#N/A</v>
      </c>
      <c r="CF525" s="46" t="e">
        <v>#N/A</v>
      </c>
      <c r="CG525" s="46" t="e">
        <v>#N/A</v>
      </c>
      <c r="CH525" s="46" t="e">
        <v>#N/A</v>
      </c>
      <c r="CI525" s="46" t="e">
        <v>#N/A</v>
      </c>
      <c r="CJ525" s="46" t="e">
        <v>#N/A</v>
      </c>
      <c r="CM525">
        <f t="shared" si="63"/>
        <v>0</v>
      </c>
      <c r="CP525">
        <f t="shared" si="64"/>
        <v>0</v>
      </c>
      <c r="CS525">
        <f t="shared" si="65"/>
        <v>0</v>
      </c>
      <c r="CW525" s="46"/>
      <c r="CX525" s="46" t="e">
        <f t="shared" si="59"/>
        <v>#N/A</v>
      </c>
      <c r="CY525" s="46"/>
      <c r="CZ525" s="46" t="e">
        <f t="shared" si="60"/>
        <v>#N/A</v>
      </c>
      <c r="DA525" s="46" t="e">
        <f t="shared" si="61"/>
        <v>#N/A</v>
      </c>
      <c r="DB525" s="46"/>
      <c r="DC525" s="46" t="e">
        <f t="shared" si="62"/>
        <v>#N/A</v>
      </c>
      <c r="DD525" s="46"/>
      <c r="DE525" s="995" t="s">
        <v>194</v>
      </c>
      <c r="DF525" s="995" t="s">
        <v>194</v>
      </c>
      <c r="DG525" s="995" t="s">
        <v>194</v>
      </c>
      <c r="DH525" s="995" t="s">
        <v>194</v>
      </c>
      <c r="DI525" s="995" t="s">
        <v>194</v>
      </c>
      <c r="DJ525" s="995" t="s">
        <v>194</v>
      </c>
      <c r="DK525" s="995" t="s">
        <v>194</v>
      </c>
      <c r="DL525" s="995" t="s">
        <v>194</v>
      </c>
      <c r="DM525" s="995" t="s">
        <v>194</v>
      </c>
      <c r="DN525" s="995" t="s">
        <v>194</v>
      </c>
      <c r="DO525" s="995" t="s">
        <v>194</v>
      </c>
      <c r="DP525" s="995" t="s">
        <v>194</v>
      </c>
      <c r="DQ525" s="995" t="s">
        <v>194</v>
      </c>
      <c r="DR525" s="995" t="s">
        <v>194</v>
      </c>
      <c r="DS525" s="995" t="s">
        <v>194</v>
      </c>
      <c r="DT525" s="995" t="s">
        <v>194</v>
      </c>
    </row>
    <row r="526" spans="1:124">
      <c r="A526" s="42" t="s">
        <v>94</v>
      </c>
      <c r="B526" s="42" t="s">
        <v>549</v>
      </c>
      <c r="C526" s="42" t="s">
        <v>703</v>
      </c>
      <c r="D526" s="42">
        <v>819428</v>
      </c>
      <c r="E526" s="42" t="s">
        <v>745</v>
      </c>
      <c r="F526" s="42" t="s">
        <v>149</v>
      </c>
      <c r="G526" s="42" t="s">
        <v>150</v>
      </c>
      <c r="H526" s="43" t="s">
        <v>150</v>
      </c>
      <c r="I526" s="44">
        <v>46</v>
      </c>
      <c r="J526" s="45">
        <v>1659.0504000000001</v>
      </c>
      <c r="K526" s="46">
        <v>205.322125</v>
      </c>
      <c r="L526" s="47">
        <v>1864.372525</v>
      </c>
      <c r="M526" s="48">
        <v>49054</v>
      </c>
      <c r="N526" s="49">
        <v>23109</v>
      </c>
      <c r="O526" s="49">
        <v>25945</v>
      </c>
      <c r="P526" s="49">
        <v>0</v>
      </c>
      <c r="Q526" s="50">
        <v>521.85212765957499</v>
      </c>
      <c r="R526" s="51">
        <v>11191.105627311499</v>
      </c>
      <c r="S526" s="49">
        <v>18476.293580237802</v>
      </c>
      <c r="T526" s="49">
        <v>3965.8770094224301</v>
      </c>
      <c r="U526" s="49">
        <f>IFERROR(INDEX('Rentabilidad datos'!$N$2:$N$61,MATCH($C526,'Rentabilidad datos'!$C$2:$C$61,0)),"")</f>
        <v>33633.276216971761</v>
      </c>
      <c r="V526" s="50">
        <f>IFERROR(INDEX('Rentabilidad datos'!$O$2:$O$61,MATCH($C526,'Rentabilidad datos'!$C$2:$C$61,0)),"")</f>
        <v>1159.7681454128194</v>
      </c>
      <c r="W526" s="51">
        <f>IFERROR(INDEX('Rentabilidad datos'!$M$2:$M$61,MATCH($C526,'Rentabilidad datos'!$C$2:$C$61,0)),"")</f>
        <v>2866.2444123371242</v>
      </c>
      <c r="X526" s="52">
        <f>IFERROR(INDEX('Rentabilidad datos'!$P$2:$P$61,MATCH($C526,'Rentabilidad datos'!$C$2:$C$61,0)),"")</f>
        <v>0.40462988446513848</v>
      </c>
      <c r="Y526" s="43" t="s">
        <v>171</v>
      </c>
      <c r="Z526" s="53">
        <v>106.111111111111</v>
      </c>
      <c r="AA526" s="43">
        <v>2</v>
      </c>
      <c r="AB526" s="54">
        <v>0.47372283605822157</v>
      </c>
      <c r="AC526" s="55">
        <v>0.52627716394177848</v>
      </c>
      <c r="AD526" s="752" t="e">
        <f>_xlfn.XLOOKUP(Table1[[#This Row],[Ruta]],#REF!,#REF!)</f>
        <v>#REF!</v>
      </c>
      <c r="AE526" s="752" t="e">
        <f>_xlfn.XLOOKUP(Table1[[#This Row],[Ruta]],#REF!,#REF!)</f>
        <v>#REF!</v>
      </c>
      <c r="AF526" s="752" t="e">
        <f>_xlfn.XLOOKUP(Table1[[#This Row],[Ruta]],#REF!,#REF!)</f>
        <v>#REF!</v>
      </c>
      <c r="AG526" s="752" t="e">
        <f>_xlfn.XLOOKUP(Table1[[#This Row],[Ruta]],#REF!,#REF!)</f>
        <v>#REF!</v>
      </c>
      <c r="AH526" s="52">
        <v>0.47109308109430426</v>
      </c>
      <c r="AI526" s="52">
        <v>0.52890691890569574</v>
      </c>
      <c r="AJ526" s="55">
        <v>0</v>
      </c>
      <c r="AK526" s="56">
        <v>4775</v>
      </c>
      <c r="AL526" s="44">
        <v>130</v>
      </c>
      <c r="AM526" s="54">
        <v>1.6125654450261699E-2</v>
      </c>
      <c r="AN526" s="55">
        <v>0.50225307463674596</v>
      </c>
      <c r="AO526" s="56">
        <v>2321.2584313904599</v>
      </c>
      <c r="AP526" s="48">
        <v>1160.62921569523</v>
      </c>
      <c r="AQ526" s="55">
        <v>0.27028884098329425</v>
      </c>
      <c r="AR526" s="51">
        <v>49054.1</v>
      </c>
      <c r="AS526" s="49">
        <v>437950.93545873399</v>
      </c>
      <c r="AT526" s="55">
        <v>8.927917043809467</v>
      </c>
      <c r="AU526" s="51">
        <v>307749.30599802942</v>
      </c>
      <c r="AV526" s="52">
        <v>1.3999807161074005E-3</v>
      </c>
      <c r="AW526" s="44">
        <v>237</v>
      </c>
      <c r="AX526" s="51">
        <v>377.33923076923099</v>
      </c>
      <c r="AY526" s="49">
        <v>400.61</v>
      </c>
      <c r="AZ526" s="49">
        <v>23.270769230769019</v>
      </c>
      <c r="BA526" s="42" t="s">
        <v>150</v>
      </c>
      <c r="BB526" s="50">
        <v>1062.9081081080988</v>
      </c>
      <c r="BC526" s="57">
        <v>308812.21410613752</v>
      </c>
      <c r="BD526" s="42" t="s">
        <v>150</v>
      </c>
      <c r="BE526" s="46">
        <v>106.111111111111</v>
      </c>
      <c r="BF526" s="46">
        <v>83.628504672897193</v>
      </c>
      <c r="BG526" s="42" t="s">
        <v>150</v>
      </c>
      <c r="BH526" s="52">
        <v>1.61256544502618E-2</v>
      </c>
      <c r="BI526" s="52">
        <v>0.51187669456560203</v>
      </c>
      <c r="BJ526" s="42" t="s">
        <v>152</v>
      </c>
      <c r="BK526" s="46">
        <v>19.833750265957502</v>
      </c>
      <c r="BL526" s="46">
        <v>638.00354527981403</v>
      </c>
      <c r="BM526" s="42" t="s">
        <v>152</v>
      </c>
      <c r="BN526" s="48">
        <v>1</v>
      </c>
      <c r="BO526" s="42" t="s">
        <v>155</v>
      </c>
      <c r="BP526" s="42" t="s">
        <v>152</v>
      </c>
      <c r="BQ526" s="46">
        <v>1281.3461472762201</v>
      </c>
      <c r="BR526" s="46" t="e">
        <v>#N/A</v>
      </c>
      <c r="BS526" s="46" t="e">
        <v>#N/A</v>
      </c>
      <c r="BT526" s="46" t="e">
        <v>#N/A</v>
      </c>
      <c r="BU526" s="46" t="e">
        <v>#N/A</v>
      </c>
      <c r="BV526" s="46" t="e">
        <v>#N/A</v>
      </c>
      <c r="BW526" s="46" t="e">
        <v>#N/A</v>
      </c>
      <c r="BX526" s="46" t="e">
        <v>#N/A</v>
      </c>
      <c r="BY526" s="46" t="e">
        <v>#N/A</v>
      </c>
      <c r="BZ526" s="46" t="e">
        <v>#N/A</v>
      </c>
      <c r="CA526" s="46" t="e">
        <v>#N/A</v>
      </c>
      <c r="CB526" s="46" t="e">
        <v>#N/A</v>
      </c>
      <c r="CC526" s="46" t="e">
        <v>#N/A</v>
      </c>
      <c r="CD526" s="46" t="e">
        <v>#N/A</v>
      </c>
      <c r="CE526" s="46" t="e">
        <v>#N/A</v>
      </c>
      <c r="CF526" s="46" t="e">
        <v>#N/A</v>
      </c>
      <c r="CG526" s="46" t="e">
        <v>#N/A</v>
      </c>
      <c r="CH526" s="46" t="e">
        <v>#N/A</v>
      </c>
      <c r="CI526" s="46" t="e">
        <v>#N/A</v>
      </c>
      <c r="CJ526" s="46" t="e">
        <v>#N/A</v>
      </c>
      <c r="CM526">
        <f t="shared" si="63"/>
        <v>0</v>
      </c>
      <c r="CP526">
        <f t="shared" si="64"/>
        <v>0</v>
      </c>
      <c r="CS526">
        <f t="shared" si="65"/>
        <v>0</v>
      </c>
      <c r="CW526" s="46"/>
      <c r="CX526" s="46" t="e">
        <f t="shared" si="59"/>
        <v>#N/A</v>
      </c>
      <c r="CY526" s="46"/>
      <c r="CZ526" s="46" t="e">
        <f t="shared" si="60"/>
        <v>#N/A</v>
      </c>
      <c r="DA526" s="46" t="e">
        <f t="shared" si="61"/>
        <v>#N/A</v>
      </c>
      <c r="DB526" s="46"/>
      <c r="DC526" s="46" t="e">
        <f t="shared" si="62"/>
        <v>#N/A</v>
      </c>
      <c r="DD526" s="46"/>
      <c r="DE526" s="995" t="s">
        <v>194</v>
      </c>
      <c r="DF526" s="995" t="s">
        <v>194</v>
      </c>
      <c r="DG526" s="995" t="s">
        <v>194</v>
      </c>
      <c r="DH526" s="995" t="s">
        <v>194</v>
      </c>
      <c r="DI526" s="995" t="s">
        <v>194</v>
      </c>
      <c r="DJ526" s="995" t="s">
        <v>194</v>
      </c>
      <c r="DK526" s="995" t="s">
        <v>194</v>
      </c>
      <c r="DL526" s="995" t="s">
        <v>194</v>
      </c>
      <c r="DM526" s="995" t="s">
        <v>194</v>
      </c>
      <c r="DN526" s="995" t="s">
        <v>194</v>
      </c>
      <c r="DO526" s="995" t="s">
        <v>194</v>
      </c>
      <c r="DP526" s="995" t="s">
        <v>194</v>
      </c>
      <c r="DQ526" s="995" t="s">
        <v>194</v>
      </c>
      <c r="DR526" s="995" t="s">
        <v>194</v>
      </c>
      <c r="DS526" s="995" t="s">
        <v>194</v>
      </c>
      <c r="DT526" s="995" t="s">
        <v>194</v>
      </c>
    </row>
    <row r="527" spans="1:124">
      <c r="A527" s="42" t="s">
        <v>94</v>
      </c>
      <c r="B527" s="42" t="s">
        <v>549</v>
      </c>
      <c r="C527" s="42" t="s">
        <v>703</v>
      </c>
      <c r="D527" s="42">
        <v>819429</v>
      </c>
      <c r="E527" s="42" t="s">
        <v>746</v>
      </c>
      <c r="F527" s="42" t="s">
        <v>149</v>
      </c>
      <c r="G527" s="42" t="s">
        <v>150</v>
      </c>
      <c r="H527" s="43" t="s">
        <v>150</v>
      </c>
      <c r="I527" s="44">
        <v>46</v>
      </c>
      <c r="J527" s="45">
        <v>202235.0736</v>
      </c>
      <c r="K527" s="46">
        <v>12298.73091</v>
      </c>
      <c r="L527" s="47">
        <v>214533.80450999999</v>
      </c>
      <c r="M527" s="48">
        <v>4161989</v>
      </c>
      <c r="N527" s="49">
        <v>2862381</v>
      </c>
      <c r="O527" s="49">
        <v>1297344</v>
      </c>
      <c r="P527" s="49">
        <v>2264</v>
      </c>
      <c r="Q527" s="50">
        <v>9502.9556979405006</v>
      </c>
      <c r="R527" s="51">
        <v>11191.105627311499</v>
      </c>
      <c r="S527" s="49">
        <v>18476.293580237802</v>
      </c>
      <c r="T527" s="49">
        <v>3965.8770094224301</v>
      </c>
      <c r="U527" s="49">
        <f>IFERROR(INDEX('Rentabilidad datos'!$N$2:$N$61,MATCH($C527,'Rentabilidad datos'!$C$2:$C$61,0)),"")</f>
        <v>33633.276216971761</v>
      </c>
      <c r="V527" s="50">
        <f>IFERROR(INDEX('Rentabilidad datos'!$O$2:$O$61,MATCH($C527,'Rentabilidad datos'!$C$2:$C$61,0)),"")</f>
        <v>1159.7681454128194</v>
      </c>
      <c r="W527" s="51">
        <f>IFERROR(INDEX('Rentabilidad datos'!$M$2:$M$61,MATCH($C527,'Rentabilidad datos'!$C$2:$C$61,0)),"")</f>
        <v>2866.2444123371242</v>
      </c>
      <c r="X527" s="52">
        <f>IFERROR(INDEX('Rentabilidad datos'!$P$2:$P$61,MATCH($C527,'Rentabilidad datos'!$C$2:$C$61,0)),"")</f>
        <v>0.40462988446513848</v>
      </c>
      <c r="Y527" s="43" t="s">
        <v>171</v>
      </c>
      <c r="Z527" s="53">
        <v>67.512585812357003</v>
      </c>
      <c r="AA527" s="43">
        <v>2</v>
      </c>
      <c r="AB527" s="54">
        <v>0.89781472272031471</v>
      </c>
      <c r="AC527" s="55">
        <v>0.10218527727968527</v>
      </c>
      <c r="AD527" s="752" t="e">
        <f>_xlfn.XLOOKUP(Table1[[#This Row],[Ruta]],#REF!,#REF!)</f>
        <v>#REF!</v>
      </c>
      <c r="AE527" s="752" t="e">
        <f>_xlfn.XLOOKUP(Table1[[#This Row],[Ruta]],#REF!,#REF!)</f>
        <v>#REF!</v>
      </c>
      <c r="AF527" s="752" t="e">
        <f>_xlfn.XLOOKUP(Table1[[#This Row],[Ruta]],#REF!,#REF!)</f>
        <v>#REF!</v>
      </c>
      <c r="AG527" s="752" t="e">
        <f>_xlfn.XLOOKUP(Table1[[#This Row],[Ruta]],#REF!,#REF!)</f>
        <v>#REF!</v>
      </c>
      <c r="AH527" s="52">
        <v>0.68774352839471709</v>
      </c>
      <c r="AI527" s="52">
        <v>0.31171250092203512</v>
      </c>
      <c r="AJ527" s="55">
        <v>5.439706832478414E-4</v>
      </c>
      <c r="AK527" s="56">
        <v>29503</v>
      </c>
      <c r="AL527" s="44">
        <v>7724</v>
      </c>
      <c r="AM527" s="54">
        <v>0.26180388435074398</v>
      </c>
      <c r="AN527" s="55">
        <v>0.50225307463674596</v>
      </c>
      <c r="AO527" s="56">
        <v>7093.9724610079102</v>
      </c>
      <c r="AP527" s="48">
        <v>3546.9862305039551</v>
      </c>
      <c r="AQ527" s="55">
        <v>0.38202847949374485</v>
      </c>
      <c r="AR527" s="51">
        <v>4152791.64</v>
      </c>
      <c r="AS527" s="49">
        <v>1907029.358523035</v>
      </c>
      <c r="AT527" s="55">
        <v>0.45921623906058406</v>
      </c>
      <c r="AU527" s="51">
        <v>1340074.6843675387</v>
      </c>
      <c r="AV527" s="52">
        <v>6.0961265539629791E-3</v>
      </c>
      <c r="AW527" s="44">
        <v>20</v>
      </c>
      <c r="AX527" s="51">
        <v>537.64780424650405</v>
      </c>
      <c r="AY527" s="49">
        <v>400.61</v>
      </c>
      <c r="AZ527" s="49">
        <v>0</v>
      </c>
      <c r="BA527" s="42" t="s">
        <v>152</v>
      </c>
      <c r="BB527" s="50">
        <v>0</v>
      </c>
      <c r="BC527" s="57">
        <v>1340074.6843675387</v>
      </c>
      <c r="BD527" s="42" t="s">
        <v>150</v>
      </c>
      <c r="BE527" s="46">
        <v>67.512585812357003</v>
      </c>
      <c r="BF527" s="46">
        <v>83.628504672897193</v>
      </c>
      <c r="BG527" s="42" t="s">
        <v>152</v>
      </c>
      <c r="BH527" s="52">
        <v>0.26180388435074398</v>
      </c>
      <c r="BI527" s="52">
        <v>0.51187669456560203</v>
      </c>
      <c r="BJ527" s="42" t="s">
        <v>152</v>
      </c>
      <c r="BK527" s="46">
        <v>490.92403778032002</v>
      </c>
      <c r="BL527" s="46">
        <v>638.00354527981403</v>
      </c>
      <c r="BM527" s="42" t="s">
        <v>152</v>
      </c>
      <c r="BN527" s="48">
        <v>0</v>
      </c>
      <c r="BO527" s="42" t="s">
        <v>155</v>
      </c>
      <c r="BP527" s="42" t="s">
        <v>152</v>
      </c>
      <c r="BQ527" s="46">
        <v>8468.1117622198399</v>
      </c>
      <c r="BR527" s="46">
        <v>225</v>
      </c>
      <c r="BS527" s="46">
        <v>14487</v>
      </c>
      <c r="BT527" s="46">
        <v>4525</v>
      </c>
      <c r="BU527" s="46">
        <v>3.2015469613259668</v>
      </c>
      <c r="BV527" s="46">
        <v>20.111111111111111</v>
      </c>
      <c r="BW527" s="46">
        <v>14</v>
      </c>
      <c r="BX527" s="46">
        <v>1505</v>
      </c>
      <c r="BY527" s="46">
        <v>1519</v>
      </c>
      <c r="BZ527" s="46">
        <v>0.33569060773480663</v>
      </c>
      <c r="CA527" s="46">
        <v>3.0939226519337017E-3</v>
      </c>
      <c r="CB527" s="46">
        <v>0.33259668508287293</v>
      </c>
      <c r="CC527" s="46">
        <v>0.34342541436464086</v>
      </c>
      <c r="CD527" s="46">
        <v>0.21878453038674034</v>
      </c>
      <c r="CE527" s="46">
        <v>0</v>
      </c>
      <c r="CF527" s="46">
        <v>0.10209944751381217</v>
      </c>
      <c r="CG527" s="46">
        <v>0</v>
      </c>
      <c r="CH527" s="46">
        <v>0</v>
      </c>
      <c r="CI527" s="46">
        <v>6.6266307724166493</v>
      </c>
      <c r="CJ527" s="46">
        <v>1.3805480775868022</v>
      </c>
      <c r="CK527">
        <v>344</v>
      </c>
      <c r="CL527">
        <v>399.58</v>
      </c>
      <c r="CM527">
        <f t="shared" si="63"/>
        <v>55.579999999999984</v>
      </c>
      <c r="CN527">
        <v>8.39</v>
      </c>
      <c r="CO527">
        <v>9.4499999999999993</v>
      </c>
      <c r="CP527">
        <f t="shared" si="64"/>
        <v>1.0599999999999987</v>
      </c>
      <c r="CQ527">
        <v>282.19</v>
      </c>
      <c r="CR527">
        <v>490.92</v>
      </c>
      <c r="CS527">
        <f t="shared" si="65"/>
        <v>-208.73000000000002</v>
      </c>
      <c r="CT527" t="s">
        <v>150</v>
      </c>
      <c r="CU527">
        <v>173.97</v>
      </c>
      <c r="CV527">
        <v>152</v>
      </c>
      <c r="CW527" s="46">
        <v>1513</v>
      </c>
      <c r="CX527" s="46">
        <f t="shared" si="59"/>
        <v>32.208176795580115</v>
      </c>
      <c r="CY527" s="46">
        <v>55.58</v>
      </c>
      <c r="CZ527" s="46">
        <f t="shared" si="60"/>
        <v>33.436464088397791</v>
      </c>
      <c r="DA527" s="46">
        <f t="shared" si="61"/>
        <v>165.45356919866046</v>
      </c>
      <c r="DB527" s="46">
        <v>757873.31</v>
      </c>
      <c r="DC527" s="46">
        <f t="shared" si="62"/>
        <v>8.928471940234644</v>
      </c>
      <c r="DD527" s="46">
        <v>40897.58</v>
      </c>
      <c r="DE527" s="995">
        <v>1513</v>
      </c>
      <c r="DF527" s="995">
        <v>32.207999999999998</v>
      </c>
      <c r="DG527" s="995">
        <v>55.6</v>
      </c>
      <c r="DH527" s="995">
        <v>33.436</v>
      </c>
      <c r="DI527" s="995">
        <v>753.57899999999995</v>
      </c>
      <c r="DJ527" s="995">
        <v>3451828</v>
      </c>
      <c r="DK527" s="995">
        <v>38.796999999999997</v>
      </c>
      <c r="DL527" s="995">
        <v>177711.4</v>
      </c>
      <c r="DM527" s="995">
        <v>1513</v>
      </c>
      <c r="DN527" s="995">
        <v>32.207999999999998</v>
      </c>
      <c r="DO527" s="995">
        <v>55.6</v>
      </c>
      <c r="DP527" s="995">
        <v>33.436</v>
      </c>
      <c r="DQ527" s="995">
        <v>753.57899999999995</v>
      </c>
      <c r="DR527" s="995">
        <v>3451828</v>
      </c>
      <c r="DS527" s="995">
        <v>38.796999999999997</v>
      </c>
      <c r="DT527" s="995">
        <v>177711.4</v>
      </c>
    </row>
    <row r="528" spans="1:124">
      <c r="A528" s="42" t="s">
        <v>94</v>
      </c>
      <c r="B528" s="42" t="s">
        <v>549</v>
      </c>
      <c r="C528" s="42" t="s">
        <v>703</v>
      </c>
      <c r="D528" s="42">
        <v>819430</v>
      </c>
      <c r="E528" s="42" t="s">
        <v>747</v>
      </c>
      <c r="F528" s="42" t="s">
        <v>149</v>
      </c>
      <c r="G528" s="42" t="s">
        <v>150</v>
      </c>
      <c r="H528" s="43" t="s">
        <v>150</v>
      </c>
      <c r="I528" s="44">
        <v>46</v>
      </c>
      <c r="J528" s="45">
        <v>464.95679999999999</v>
      </c>
      <c r="K528" s="46">
        <v>228.19674800000001</v>
      </c>
      <c r="L528" s="47">
        <v>693.153548</v>
      </c>
      <c r="M528" s="48">
        <v>27654</v>
      </c>
      <c r="N528" s="49">
        <v>5468</v>
      </c>
      <c r="O528" s="49">
        <v>22076</v>
      </c>
      <c r="P528" s="49">
        <v>110</v>
      </c>
      <c r="Q528" s="50">
        <v>387.911126760564</v>
      </c>
      <c r="R528" s="51">
        <v>11191.105627311499</v>
      </c>
      <c r="S528" s="49">
        <v>18476.293580237802</v>
      </c>
      <c r="T528" s="49">
        <v>3965.8770094224301</v>
      </c>
      <c r="U528" s="49">
        <f>IFERROR(INDEX('Rentabilidad datos'!$N$2:$N$61,MATCH($C528,'Rentabilidad datos'!$C$2:$C$61,0)),"")</f>
        <v>33633.276216971761</v>
      </c>
      <c r="V528" s="50">
        <f>IFERROR(INDEX('Rentabilidad datos'!$O$2:$O$61,MATCH($C528,'Rentabilidad datos'!$C$2:$C$61,0)),"")</f>
        <v>1159.7681454128194</v>
      </c>
      <c r="W528" s="51">
        <f>IFERROR(INDEX('Rentabilidad datos'!$M$2:$M$61,MATCH($C528,'Rentabilidad datos'!$C$2:$C$61,0)),"")</f>
        <v>2866.2444123371242</v>
      </c>
      <c r="X528" s="52">
        <f>IFERROR(INDEX('Rentabilidad datos'!$P$2:$P$61,MATCH($C528,'Rentabilidad datos'!$C$2:$C$61,0)),"")</f>
        <v>0.40462988446513848</v>
      </c>
      <c r="Y528" s="43" t="s">
        <v>171</v>
      </c>
      <c r="Z528" s="53">
        <v>64.266666666666694</v>
      </c>
      <c r="AA528" s="43">
        <v>2</v>
      </c>
      <c r="AB528" s="54">
        <v>1.309033051276488E-2</v>
      </c>
      <c r="AC528" s="55">
        <v>0.98690966948723513</v>
      </c>
      <c r="AD528" s="752" t="e">
        <f>_xlfn.XLOOKUP(Table1[[#This Row],[Ruta]],#REF!,#REF!)</f>
        <v>#REF!</v>
      </c>
      <c r="AE528" s="752" t="e">
        <f>_xlfn.XLOOKUP(Table1[[#This Row],[Ruta]],#REF!,#REF!)</f>
        <v>#REF!</v>
      </c>
      <c r="AF528" s="752" t="e">
        <f>_xlfn.XLOOKUP(Table1[[#This Row],[Ruta]],#REF!,#REF!)</f>
        <v>#REF!</v>
      </c>
      <c r="AG528" s="752" t="e">
        <f>_xlfn.XLOOKUP(Table1[[#This Row],[Ruta]],#REF!,#REF!)</f>
        <v>#REF!</v>
      </c>
      <c r="AH528" s="52">
        <v>0.19772908078397339</v>
      </c>
      <c r="AI528" s="52">
        <v>0.79829319447457869</v>
      </c>
      <c r="AJ528" s="55">
        <v>3.977724741447892E-3</v>
      </c>
      <c r="AK528" s="56">
        <v>2892</v>
      </c>
      <c r="AL528" s="44">
        <v>40</v>
      </c>
      <c r="AM528" s="54">
        <v>5.1867219917012004E-3</v>
      </c>
      <c r="AN528" s="55">
        <v>0.50225307463674596</v>
      </c>
      <c r="AO528" s="56">
        <v>1437.5158918494701</v>
      </c>
      <c r="AP528" s="48">
        <v>718.75794592473505</v>
      </c>
      <c r="AQ528" s="55">
        <v>0.26236443496705913</v>
      </c>
      <c r="AR528" s="51">
        <v>27541.69</v>
      </c>
      <c r="AS528" s="49">
        <v>494895.213292395</v>
      </c>
      <c r="AT528" s="55">
        <v>17.968948648118364</v>
      </c>
      <c r="AU528" s="51">
        <v>347764.20393519662</v>
      </c>
      <c r="AV528" s="52">
        <v>1.5820122735381054E-3</v>
      </c>
      <c r="AW528" s="44">
        <v>214</v>
      </c>
      <c r="AX528" s="51">
        <v>688.54224999999997</v>
      </c>
      <c r="AY528" s="49">
        <v>400.61</v>
      </c>
      <c r="AZ528" s="49">
        <v>0</v>
      </c>
      <c r="BA528" s="42" t="s">
        <v>152</v>
      </c>
      <c r="BB528" s="50">
        <v>0</v>
      </c>
      <c r="BC528" s="57">
        <v>347764.20393519662</v>
      </c>
      <c r="BD528" s="42" t="s">
        <v>150</v>
      </c>
      <c r="BE528" s="46">
        <v>64.266666666666694</v>
      </c>
      <c r="BF528" s="46">
        <v>83.628504672897193</v>
      </c>
      <c r="BG528" s="42" t="s">
        <v>152</v>
      </c>
      <c r="BH528" s="52">
        <v>5.1867219917012498E-3</v>
      </c>
      <c r="BI528" s="52">
        <v>0.51187669456560203</v>
      </c>
      <c r="BJ528" s="42" t="s">
        <v>152</v>
      </c>
      <c r="BK528" s="46">
        <v>9.7627260281690091</v>
      </c>
      <c r="BL528" s="46">
        <v>638.00354527981403</v>
      </c>
      <c r="BM528" s="42" t="s">
        <v>152</v>
      </c>
      <c r="BN528" s="48">
        <v>0</v>
      </c>
      <c r="BO528" s="42" t="s">
        <v>155</v>
      </c>
      <c r="BP528" s="42" t="s">
        <v>152</v>
      </c>
      <c r="BQ528" s="46">
        <v>1961.12712058323</v>
      </c>
      <c r="BR528" s="46" t="e">
        <v>#N/A</v>
      </c>
      <c r="BS528" s="46" t="e">
        <v>#N/A</v>
      </c>
      <c r="BT528" s="46" t="e">
        <v>#N/A</v>
      </c>
      <c r="BU528" s="46" t="e">
        <v>#N/A</v>
      </c>
      <c r="BV528" s="46" t="e">
        <v>#N/A</v>
      </c>
      <c r="BW528" s="46" t="e">
        <v>#N/A</v>
      </c>
      <c r="BX528" s="46" t="e">
        <v>#N/A</v>
      </c>
      <c r="BY528" s="46" t="e">
        <v>#N/A</v>
      </c>
      <c r="BZ528" s="46" t="e">
        <v>#N/A</v>
      </c>
      <c r="CA528" s="46" t="e">
        <v>#N/A</v>
      </c>
      <c r="CB528" s="46" t="e">
        <v>#N/A</v>
      </c>
      <c r="CC528" s="46" t="e">
        <v>#N/A</v>
      </c>
      <c r="CD528" s="46" t="e">
        <v>#N/A</v>
      </c>
      <c r="CE528" s="46" t="e">
        <v>#N/A</v>
      </c>
      <c r="CF528" s="46" t="e">
        <v>#N/A</v>
      </c>
      <c r="CG528" s="46" t="e">
        <v>#N/A</v>
      </c>
      <c r="CH528" s="46" t="e">
        <v>#N/A</v>
      </c>
      <c r="CI528" s="46" t="e">
        <v>#N/A</v>
      </c>
      <c r="CJ528" s="46" t="e">
        <v>#N/A</v>
      </c>
      <c r="CM528">
        <f t="shared" si="63"/>
        <v>0</v>
      </c>
      <c r="CP528">
        <f t="shared" si="64"/>
        <v>0</v>
      </c>
      <c r="CS528">
        <f t="shared" si="65"/>
        <v>0</v>
      </c>
      <c r="CW528" s="46"/>
      <c r="CX528" s="46" t="e">
        <f t="shared" si="59"/>
        <v>#N/A</v>
      </c>
      <c r="CY528" s="46"/>
      <c r="CZ528" s="46" t="e">
        <f t="shared" si="60"/>
        <v>#N/A</v>
      </c>
      <c r="DA528" s="46" t="e">
        <f t="shared" si="61"/>
        <v>#N/A</v>
      </c>
      <c r="DB528" s="46"/>
      <c r="DC528" s="46" t="e">
        <f t="shared" si="62"/>
        <v>#N/A</v>
      </c>
      <c r="DD528" s="46"/>
      <c r="DE528" s="995" t="s">
        <v>194</v>
      </c>
      <c r="DF528" s="995" t="s">
        <v>194</v>
      </c>
      <c r="DG528" s="995" t="s">
        <v>194</v>
      </c>
      <c r="DH528" s="995" t="s">
        <v>194</v>
      </c>
      <c r="DI528" s="995" t="s">
        <v>194</v>
      </c>
      <c r="DJ528" s="995" t="s">
        <v>194</v>
      </c>
      <c r="DK528" s="995" t="s">
        <v>194</v>
      </c>
      <c r="DL528" s="995" t="s">
        <v>194</v>
      </c>
      <c r="DM528" s="995" t="s">
        <v>194</v>
      </c>
      <c r="DN528" s="995" t="s">
        <v>194</v>
      </c>
      <c r="DO528" s="995" t="s">
        <v>194</v>
      </c>
      <c r="DP528" s="995" t="s">
        <v>194</v>
      </c>
      <c r="DQ528" s="995" t="s">
        <v>194</v>
      </c>
      <c r="DR528" s="995" t="s">
        <v>194</v>
      </c>
      <c r="DS528" s="995" t="s">
        <v>194</v>
      </c>
      <c r="DT528" s="995" t="s">
        <v>194</v>
      </c>
    </row>
    <row r="529" spans="1:124">
      <c r="A529" s="42" t="s">
        <v>94</v>
      </c>
      <c r="B529" s="42" t="s">
        <v>549</v>
      </c>
      <c r="C529" s="42" t="s">
        <v>703</v>
      </c>
      <c r="D529" s="42">
        <v>819431</v>
      </c>
      <c r="E529" s="42" t="s">
        <v>748</v>
      </c>
      <c r="F529" s="42" t="s">
        <v>193</v>
      </c>
      <c r="G529" s="42" t="s">
        <v>150</v>
      </c>
      <c r="H529" s="43" t="s">
        <v>152</v>
      </c>
      <c r="I529" s="44">
        <v>46</v>
      </c>
      <c r="J529" s="45">
        <v>380.41919999999999</v>
      </c>
      <c r="K529" s="46">
        <v>27.692699999999999</v>
      </c>
      <c r="L529" s="47">
        <v>408.11189999999999</v>
      </c>
      <c r="M529" s="48">
        <v>8611</v>
      </c>
      <c r="N529" s="49">
        <v>4953</v>
      </c>
      <c r="O529" s="49">
        <v>3658</v>
      </c>
      <c r="P529" s="49">
        <v>0</v>
      </c>
      <c r="Q529" s="50">
        <v>0</v>
      </c>
      <c r="R529" s="51">
        <v>11191.105627311499</v>
      </c>
      <c r="S529" s="49">
        <v>18476.293580237802</v>
      </c>
      <c r="T529" s="49">
        <v>3965.8770094224301</v>
      </c>
      <c r="U529" s="49">
        <f>IFERROR(INDEX('Rentabilidad datos'!$N$2:$N$61,MATCH($C529,'Rentabilidad datos'!$C$2:$C$61,0)),"")</f>
        <v>33633.276216971761</v>
      </c>
      <c r="V529" s="50">
        <f>IFERROR(INDEX('Rentabilidad datos'!$O$2:$O$61,MATCH($C529,'Rentabilidad datos'!$C$2:$C$61,0)),"")</f>
        <v>1159.7681454128194</v>
      </c>
      <c r="W529" s="51">
        <f>IFERROR(INDEX('Rentabilidad datos'!$M$2:$M$61,MATCH($C529,'Rentabilidad datos'!$C$2:$C$61,0)),"")</f>
        <v>2866.2444123371242</v>
      </c>
      <c r="X529" s="52">
        <f>IFERROR(INDEX('Rentabilidad datos'!$P$2:$P$61,MATCH($C529,'Rentabilidad datos'!$C$2:$C$61,0)),"")</f>
        <v>0.40462988446513848</v>
      </c>
      <c r="Y529" s="43" t="s">
        <v>171</v>
      </c>
      <c r="Z529" s="53">
        <v>0</v>
      </c>
      <c r="AA529" s="43">
        <v>2</v>
      </c>
      <c r="AB529" s="54">
        <v>0</v>
      </c>
      <c r="AC529" s="55">
        <v>1</v>
      </c>
      <c r="AD529" s="752" t="e">
        <f>_xlfn.XLOOKUP(Table1[[#This Row],[Ruta]],#REF!,#REF!)</f>
        <v>#REF!</v>
      </c>
      <c r="AE529" s="752" t="e">
        <f>_xlfn.XLOOKUP(Table1[[#This Row],[Ruta]],#REF!,#REF!)</f>
        <v>#REF!</v>
      </c>
      <c r="AF529" s="752" t="e">
        <f>_xlfn.XLOOKUP(Table1[[#This Row],[Ruta]],#REF!,#REF!)</f>
        <v>#REF!</v>
      </c>
      <c r="AG529" s="752" t="e">
        <f>_xlfn.XLOOKUP(Table1[[#This Row],[Ruta]],#REF!,#REF!)</f>
        <v>#REF!</v>
      </c>
      <c r="AH529" s="52">
        <v>0.57519451863895021</v>
      </c>
      <c r="AI529" s="52">
        <v>0.42480548136104984</v>
      </c>
      <c r="AJ529" s="55">
        <v>0</v>
      </c>
      <c r="AK529" s="56">
        <v>0</v>
      </c>
      <c r="AL529" s="44">
        <v>25</v>
      </c>
      <c r="AM529" s="54">
        <v>0</v>
      </c>
      <c r="AN529" s="55">
        <v>0.50225307463674596</v>
      </c>
      <c r="AO529" s="56">
        <v>0</v>
      </c>
      <c r="AP529" s="48">
        <v>0</v>
      </c>
      <c r="AQ529" s="55" t="s">
        <v>194</v>
      </c>
      <c r="AR529" s="51">
        <v>8610.83</v>
      </c>
      <c r="AS529" s="49">
        <v>0</v>
      </c>
      <c r="AT529" s="55">
        <v>0</v>
      </c>
      <c r="AU529" s="51">
        <v>0</v>
      </c>
      <c r="AV529" s="52">
        <v>0</v>
      </c>
      <c r="AW529" s="44">
        <v>490</v>
      </c>
      <c r="AX529" s="51">
        <v>344.4332</v>
      </c>
      <c r="AY529" s="49">
        <v>400.61</v>
      </c>
      <c r="AZ529" s="49">
        <v>56.176800000000014</v>
      </c>
      <c r="BA529" s="42" t="s">
        <v>150</v>
      </c>
      <c r="BB529" s="50">
        <v>493.44486486486517</v>
      </c>
      <c r="BC529" s="57">
        <v>493.44486486486517</v>
      </c>
      <c r="BD529" s="42" t="s">
        <v>152</v>
      </c>
      <c r="BE529" s="46" t="s">
        <v>195</v>
      </c>
      <c r="BF529" s="46" t="s">
        <v>195</v>
      </c>
      <c r="BG529" s="42" t="s">
        <v>195</v>
      </c>
      <c r="BH529" s="52" t="s">
        <v>195</v>
      </c>
      <c r="BI529" s="52" t="s">
        <v>195</v>
      </c>
      <c r="BJ529" s="42" t="s">
        <v>195</v>
      </c>
      <c r="BK529" s="46" t="s">
        <v>195</v>
      </c>
      <c r="BL529" s="46" t="s">
        <v>195</v>
      </c>
      <c r="BM529" s="42" t="s">
        <v>195</v>
      </c>
      <c r="BN529" s="48" t="s">
        <v>195</v>
      </c>
      <c r="BO529" s="42" t="s">
        <v>195</v>
      </c>
      <c r="BP529" s="42" t="s">
        <v>152</v>
      </c>
      <c r="BQ529" s="46">
        <v>0</v>
      </c>
      <c r="BR529" s="46" t="e">
        <v>#N/A</v>
      </c>
      <c r="BS529" s="46" t="e">
        <v>#N/A</v>
      </c>
      <c r="BT529" s="46" t="e">
        <v>#N/A</v>
      </c>
      <c r="BU529" s="46" t="e">
        <v>#N/A</v>
      </c>
      <c r="BV529" s="46" t="e">
        <v>#N/A</v>
      </c>
      <c r="BW529" s="46" t="e">
        <v>#N/A</v>
      </c>
      <c r="BX529" s="46" t="e">
        <v>#N/A</v>
      </c>
      <c r="BY529" s="46" t="e">
        <v>#N/A</v>
      </c>
      <c r="BZ529" s="46" t="e">
        <v>#N/A</v>
      </c>
      <c r="CA529" s="46" t="e">
        <v>#N/A</v>
      </c>
      <c r="CB529" s="46" t="e">
        <v>#N/A</v>
      </c>
      <c r="CC529" s="46" t="e">
        <v>#N/A</v>
      </c>
      <c r="CD529" s="46" t="e">
        <v>#N/A</v>
      </c>
      <c r="CE529" s="46" t="e">
        <v>#N/A</v>
      </c>
      <c r="CF529" s="46" t="e">
        <v>#N/A</v>
      </c>
      <c r="CG529" s="46" t="e">
        <v>#N/A</v>
      </c>
      <c r="CH529" s="46" t="e">
        <v>#N/A</v>
      </c>
      <c r="CI529" s="46" t="e">
        <v>#N/A</v>
      </c>
      <c r="CJ529" s="46" t="e">
        <v>#N/A</v>
      </c>
      <c r="CM529">
        <f t="shared" si="63"/>
        <v>0</v>
      </c>
      <c r="CP529">
        <f t="shared" si="64"/>
        <v>0</v>
      </c>
      <c r="CS529">
        <f t="shared" si="65"/>
        <v>0</v>
      </c>
      <c r="CW529" s="46"/>
      <c r="CX529" s="46" t="e">
        <f t="shared" si="59"/>
        <v>#N/A</v>
      </c>
      <c r="CY529" s="46"/>
      <c r="CZ529" s="46" t="e">
        <f t="shared" si="60"/>
        <v>#N/A</v>
      </c>
      <c r="DA529" s="46" t="e">
        <f t="shared" si="61"/>
        <v>#N/A</v>
      </c>
      <c r="DB529" s="46"/>
      <c r="DC529" s="46" t="e">
        <f t="shared" si="62"/>
        <v>#N/A</v>
      </c>
      <c r="DD529" s="46"/>
      <c r="DE529" s="995" t="s">
        <v>194</v>
      </c>
      <c r="DF529" s="995" t="s">
        <v>194</v>
      </c>
      <c r="DG529" s="995" t="s">
        <v>194</v>
      </c>
      <c r="DH529" s="995" t="s">
        <v>194</v>
      </c>
      <c r="DI529" s="995" t="s">
        <v>194</v>
      </c>
      <c r="DJ529" s="995" t="s">
        <v>194</v>
      </c>
      <c r="DK529" s="995" t="s">
        <v>194</v>
      </c>
      <c r="DL529" s="995" t="s">
        <v>194</v>
      </c>
      <c r="DM529" s="995" t="s">
        <v>194</v>
      </c>
      <c r="DN529" s="995" t="s">
        <v>194</v>
      </c>
      <c r="DO529" s="995" t="s">
        <v>194</v>
      </c>
      <c r="DP529" s="995" t="s">
        <v>194</v>
      </c>
      <c r="DQ529" s="995" t="s">
        <v>194</v>
      </c>
      <c r="DR529" s="995" t="s">
        <v>194</v>
      </c>
      <c r="DS529" s="995" t="s">
        <v>194</v>
      </c>
      <c r="DT529" s="995" t="s">
        <v>194</v>
      </c>
    </row>
    <row r="530" spans="1:124">
      <c r="A530" s="42" t="s">
        <v>94</v>
      </c>
      <c r="B530" s="42" t="s">
        <v>549</v>
      </c>
      <c r="C530" s="42" t="s">
        <v>703</v>
      </c>
      <c r="D530" s="42">
        <v>819432</v>
      </c>
      <c r="E530" s="42" t="s">
        <v>749</v>
      </c>
      <c r="F530" s="42" t="s">
        <v>149</v>
      </c>
      <c r="G530" s="42" t="s">
        <v>150</v>
      </c>
      <c r="H530" s="43" t="s">
        <v>150</v>
      </c>
      <c r="I530" s="44">
        <v>46</v>
      </c>
      <c r="J530" s="45">
        <v>6206.4687999999996</v>
      </c>
      <c r="K530" s="46">
        <v>216.430825</v>
      </c>
      <c r="L530" s="47">
        <v>6422.899625</v>
      </c>
      <c r="M530" s="48">
        <v>99661</v>
      </c>
      <c r="N530" s="49">
        <v>78394</v>
      </c>
      <c r="O530" s="49">
        <v>21267</v>
      </c>
      <c r="P530" s="49">
        <v>0</v>
      </c>
      <c r="Q530" s="50">
        <v>1557.203125</v>
      </c>
      <c r="R530" s="51">
        <v>11191.105627311499</v>
      </c>
      <c r="S530" s="49">
        <v>18476.293580237802</v>
      </c>
      <c r="T530" s="49">
        <v>3965.8770094224301</v>
      </c>
      <c r="U530" s="49">
        <f>IFERROR(INDEX('Rentabilidad datos'!$N$2:$N$61,MATCH($C530,'Rentabilidad datos'!$C$2:$C$61,0)),"")</f>
        <v>33633.276216971761</v>
      </c>
      <c r="V530" s="50">
        <f>IFERROR(INDEX('Rentabilidad datos'!$O$2:$O$61,MATCH($C530,'Rentabilidad datos'!$C$2:$C$61,0)),"")</f>
        <v>1159.7681454128194</v>
      </c>
      <c r="W530" s="51">
        <f>IFERROR(INDEX('Rentabilidad datos'!$M$2:$M$61,MATCH($C530,'Rentabilidad datos'!$C$2:$C$61,0)),"")</f>
        <v>2866.2444123371242</v>
      </c>
      <c r="X530" s="52">
        <f>IFERROR(INDEX('Rentabilidad datos'!$P$2:$P$61,MATCH($C530,'Rentabilidad datos'!$C$2:$C$61,0)),"")</f>
        <v>0.40462988446513848</v>
      </c>
      <c r="Y530" s="43" t="s">
        <v>171</v>
      </c>
      <c r="Z530" s="53">
        <v>76.786885245901601</v>
      </c>
      <c r="AA530" s="43">
        <v>2</v>
      </c>
      <c r="AB530" s="54">
        <v>0.77184655983785033</v>
      </c>
      <c r="AC530" s="55">
        <v>0.2281534401621497</v>
      </c>
      <c r="AD530" s="752" t="e">
        <f>_xlfn.XLOOKUP(Table1[[#This Row],[Ruta]],#REF!,#REF!)</f>
        <v>#REF!</v>
      </c>
      <c r="AE530" s="752" t="e">
        <f>_xlfn.XLOOKUP(Table1[[#This Row],[Ruta]],#REF!,#REF!)</f>
        <v>#REF!</v>
      </c>
      <c r="AF530" s="752" t="e">
        <f>_xlfn.XLOOKUP(Table1[[#This Row],[Ruta]],#REF!,#REF!)</f>
        <v>#REF!</v>
      </c>
      <c r="AG530" s="752" t="e">
        <f>_xlfn.XLOOKUP(Table1[[#This Row],[Ruta]],#REF!,#REF!)</f>
        <v>#REF!</v>
      </c>
      <c r="AH530" s="52">
        <v>0.78660659636166608</v>
      </c>
      <c r="AI530" s="52">
        <v>0.21339340363833395</v>
      </c>
      <c r="AJ530" s="55">
        <v>0</v>
      </c>
      <c r="AK530" s="56">
        <v>4684</v>
      </c>
      <c r="AL530" s="44">
        <v>135</v>
      </c>
      <c r="AM530" s="54">
        <v>2.81810418445772E-2</v>
      </c>
      <c r="AN530" s="55">
        <v>0.50225307463674596</v>
      </c>
      <c r="AO530" s="56">
        <v>2220.5534015985199</v>
      </c>
      <c r="AP530" s="48">
        <v>1110.27670079926</v>
      </c>
      <c r="AQ530" s="55">
        <v>0.26585753646440219</v>
      </c>
      <c r="AR530" s="51">
        <v>99661</v>
      </c>
      <c r="AS530" s="49">
        <v>819639.15761744499</v>
      </c>
      <c r="AT530" s="55">
        <v>8.2242718577722975</v>
      </c>
      <c r="AU530" s="51">
        <v>575962.6512987453</v>
      </c>
      <c r="AV530" s="52">
        <v>2.620108605611275E-3</v>
      </c>
      <c r="AW530" s="44">
        <v>128</v>
      </c>
      <c r="AX530" s="51">
        <v>738.22962962963004</v>
      </c>
      <c r="AY530" s="49">
        <v>400.61</v>
      </c>
      <c r="AZ530" s="49">
        <v>0</v>
      </c>
      <c r="BA530" s="42" t="s">
        <v>152</v>
      </c>
      <c r="BB530" s="50">
        <v>0</v>
      </c>
      <c r="BC530" s="57">
        <v>575962.6512987453</v>
      </c>
      <c r="BD530" s="42" t="s">
        <v>150</v>
      </c>
      <c r="BE530" s="46">
        <v>76.786885245901601</v>
      </c>
      <c r="BF530" s="46">
        <v>83.628504672897193</v>
      </c>
      <c r="BG530" s="42" t="s">
        <v>152</v>
      </c>
      <c r="BH530" s="52">
        <v>2.8181041844577301E-2</v>
      </c>
      <c r="BI530" s="52">
        <v>0.51187669456560203</v>
      </c>
      <c r="BJ530" s="42" t="s">
        <v>152</v>
      </c>
      <c r="BK530" s="46">
        <v>100.357806640625</v>
      </c>
      <c r="BL530" s="46">
        <v>638.00354527981403</v>
      </c>
      <c r="BM530" s="42" t="s">
        <v>152</v>
      </c>
      <c r="BN530" s="48">
        <v>0</v>
      </c>
      <c r="BO530" s="42" t="s">
        <v>155</v>
      </c>
      <c r="BP530" s="42" t="s">
        <v>152</v>
      </c>
      <c r="BQ530" s="46">
        <v>2357.5595502817</v>
      </c>
      <c r="BR530" s="46" t="e">
        <v>#N/A</v>
      </c>
      <c r="BS530" s="46" t="e">
        <v>#N/A</v>
      </c>
      <c r="BT530" s="46" t="e">
        <v>#N/A</v>
      </c>
      <c r="BU530" s="46" t="e">
        <v>#N/A</v>
      </c>
      <c r="BV530" s="46" t="e">
        <v>#N/A</v>
      </c>
      <c r="BW530" s="46" t="e">
        <v>#N/A</v>
      </c>
      <c r="BX530" s="46" t="e">
        <v>#N/A</v>
      </c>
      <c r="BY530" s="46" t="e">
        <v>#N/A</v>
      </c>
      <c r="BZ530" s="46" t="e">
        <v>#N/A</v>
      </c>
      <c r="CA530" s="46" t="e">
        <v>#N/A</v>
      </c>
      <c r="CB530" s="46" t="e">
        <v>#N/A</v>
      </c>
      <c r="CC530" s="46" t="e">
        <v>#N/A</v>
      </c>
      <c r="CD530" s="46" t="e">
        <v>#N/A</v>
      </c>
      <c r="CE530" s="46" t="e">
        <v>#N/A</v>
      </c>
      <c r="CF530" s="46" t="e">
        <v>#N/A</v>
      </c>
      <c r="CG530" s="46" t="e">
        <v>#N/A</v>
      </c>
      <c r="CH530" s="46" t="e">
        <v>#N/A</v>
      </c>
      <c r="CI530" s="46" t="e">
        <v>#N/A</v>
      </c>
      <c r="CJ530" s="46" t="e">
        <v>#N/A</v>
      </c>
      <c r="CM530">
        <f t="shared" si="63"/>
        <v>0</v>
      </c>
      <c r="CP530">
        <f t="shared" si="64"/>
        <v>0</v>
      </c>
      <c r="CS530">
        <f t="shared" si="65"/>
        <v>0</v>
      </c>
      <c r="CW530" s="46"/>
      <c r="CX530" s="46" t="e">
        <f t="shared" si="59"/>
        <v>#N/A</v>
      </c>
      <c r="CY530" s="46"/>
      <c r="CZ530" s="46" t="e">
        <f t="shared" si="60"/>
        <v>#N/A</v>
      </c>
      <c r="DA530" s="46" t="e">
        <f t="shared" si="61"/>
        <v>#N/A</v>
      </c>
      <c r="DB530" s="46"/>
      <c r="DC530" s="46" t="e">
        <f t="shared" si="62"/>
        <v>#N/A</v>
      </c>
      <c r="DD530" s="46"/>
      <c r="DE530" s="995" t="s">
        <v>194</v>
      </c>
      <c r="DF530" s="995" t="s">
        <v>194</v>
      </c>
      <c r="DG530" s="995" t="s">
        <v>194</v>
      </c>
      <c r="DH530" s="995" t="s">
        <v>194</v>
      </c>
      <c r="DI530" s="995" t="s">
        <v>194</v>
      </c>
      <c r="DJ530" s="995" t="s">
        <v>194</v>
      </c>
      <c r="DK530" s="995" t="s">
        <v>194</v>
      </c>
      <c r="DL530" s="995" t="s">
        <v>194</v>
      </c>
      <c r="DM530" s="995" t="s">
        <v>194</v>
      </c>
      <c r="DN530" s="995" t="s">
        <v>194</v>
      </c>
      <c r="DO530" s="995" t="s">
        <v>194</v>
      </c>
      <c r="DP530" s="995" t="s">
        <v>194</v>
      </c>
      <c r="DQ530" s="995" t="s">
        <v>194</v>
      </c>
      <c r="DR530" s="995" t="s">
        <v>194</v>
      </c>
      <c r="DS530" s="995" t="s">
        <v>194</v>
      </c>
      <c r="DT530" s="995" t="s">
        <v>194</v>
      </c>
    </row>
    <row r="531" spans="1:124">
      <c r="A531" s="42" t="s">
        <v>94</v>
      </c>
      <c r="B531" s="42" t="s">
        <v>510</v>
      </c>
      <c r="C531" s="42" t="s">
        <v>750</v>
      </c>
      <c r="D531" s="42">
        <v>803340</v>
      </c>
      <c r="E531" s="42" t="s">
        <v>751</v>
      </c>
      <c r="F531" s="42" t="s">
        <v>149</v>
      </c>
      <c r="G531" s="42" t="s">
        <v>150</v>
      </c>
      <c r="H531" s="43" t="s">
        <v>150</v>
      </c>
      <c r="I531" s="44">
        <v>37</v>
      </c>
      <c r="J531" s="45">
        <v>233982.464799999</v>
      </c>
      <c r="K531" s="46">
        <v>12309.230127999999</v>
      </c>
      <c r="L531" s="47">
        <v>246291.69492799899</v>
      </c>
      <c r="M531" s="48">
        <v>4800535</v>
      </c>
      <c r="N531" s="49">
        <v>3324218</v>
      </c>
      <c r="O531" s="49">
        <v>1476044</v>
      </c>
      <c r="P531" s="49">
        <v>273</v>
      </c>
      <c r="Q531" s="50">
        <v>11009.7795642202</v>
      </c>
      <c r="R531" s="51">
        <v>9261.0149948525104</v>
      </c>
      <c r="S531" s="49">
        <v>16958.472038185999</v>
      </c>
      <c r="T531" s="49">
        <v>2646.2424811338501</v>
      </c>
      <c r="U531" s="49">
        <f>IFERROR(INDEX('Rentabilidad datos'!$N$2:$N$61,MATCH($C531,'Rentabilidad datos'!$C$2:$C$61,0)),"")</f>
        <v>28865.729514172355</v>
      </c>
      <c r="V531" s="50">
        <f>IFERROR(INDEX('Rentabilidad datos'!$O$2:$O$61,MATCH($C531,'Rentabilidad datos'!$C$2:$C$61,0)),"")</f>
        <v>1519.2489217985451</v>
      </c>
      <c r="W531" s="51">
        <f>IFERROR(INDEX('Rentabilidad datos'!$M$2:$M$61,MATCH($C531,'Rentabilidad datos'!$C$2:$C$61,0)),"")</f>
        <v>3054.2455510167165</v>
      </c>
      <c r="X531" s="52">
        <f>IFERROR(INDEX('Rentabilidad datos'!$P$2:$P$61,MATCH($C531,'Rentabilidad datos'!$C$2:$C$61,0)),"")</f>
        <v>0.49742199715828611</v>
      </c>
      <c r="Y531" s="43" t="s">
        <v>171</v>
      </c>
      <c r="Z531" s="53">
        <v>74.596330275229406</v>
      </c>
      <c r="AA531" s="43">
        <v>2</v>
      </c>
      <c r="AB531" s="54">
        <v>0.96473309745684599</v>
      </c>
      <c r="AC531" s="55">
        <v>3.5266902543154045E-2</v>
      </c>
      <c r="AD531" s="752" t="e">
        <f>_xlfn.XLOOKUP(Table1[[#This Row],[Ruta]],#REF!,#REF!)</f>
        <v>#REF!</v>
      </c>
      <c r="AE531" s="752" t="e">
        <f>_xlfn.XLOOKUP(Table1[[#This Row],[Ruta]],#REF!,#REF!)</f>
        <v>#REF!</v>
      </c>
      <c r="AF531" s="752" t="e">
        <f>_xlfn.XLOOKUP(Table1[[#This Row],[Ruta]],#REF!,#REF!)</f>
        <v>#REF!</v>
      </c>
      <c r="AG531" s="752" t="e">
        <f>_xlfn.XLOOKUP(Table1[[#This Row],[Ruta]],#REF!,#REF!)</f>
        <v>#REF!</v>
      </c>
      <c r="AH531" s="52">
        <v>0.69246823531127255</v>
      </c>
      <c r="AI531" s="52">
        <v>0.30747489602721362</v>
      </c>
      <c r="AJ531" s="55">
        <v>5.6868661513768776E-5</v>
      </c>
      <c r="AK531" s="56">
        <v>32524</v>
      </c>
      <c r="AL531" s="44">
        <v>20173</v>
      </c>
      <c r="AM531" s="54">
        <v>0.62024966178821805</v>
      </c>
      <c r="AN531" s="55">
        <v>0.50430318916557504</v>
      </c>
      <c r="AO531" s="56">
        <v>0</v>
      </c>
      <c r="AP531" s="48">
        <v>0</v>
      </c>
      <c r="AQ531" s="55">
        <v>0.62024966178821794</v>
      </c>
      <c r="AR531" s="51">
        <v>4800263.8899999997</v>
      </c>
      <c r="AS531" s="49">
        <v>0</v>
      </c>
      <c r="AT531" s="55">
        <v>0</v>
      </c>
      <c r="AU531" s="51">
        <v>0</v>
      </c>
      <c r="AV531" s="52">
        <v>0</v>
      </c>
      <c r="AW531" s="44">
        <v>490</v>
      </c>
      <c r="AX531" s="51">
        <v>237.954884746939</v>
      </c>
      <c r="AY531" s="49">
        <v>292.44921817516598</v>
      </c>
      <c r="AZ531" s="49">
        <v>54.49433342822698</v>
      </c>
      <c r="BA531" s="42" t="s">
        <v>150</v>
      </c>
      <c r="BB531" s="50">
        <v>386245.5256005163</v>
      </c>
      <c r="BC531" s="57">
        <v>386245.5256005163</v>
      </c>
      <c r="BD531" s="42" t="s">
        <v>150</v>
      </c>
      <c r="BE531" s="46">
        <v>74.596330275229406</v>
      </c>
      <c r="BF531" s="46">
        <v>72.425990467051307</v>
      </c>
      <c r="BG531" s="42" t="s">
        <v>150</v>
      </c>
      <c r="BH531" s="52">
        <v>0.62024966178821805</v>
      </c>
      <c r="BI531" s="52">
        <v>0.49337264070319697</v>
      </c>
      <c r="BJ531" s="42" t="s">
        <v>150</v>
      </c>
      <c r="BK531" s="46">
        <v>564.88920855045706</v>
      </c>
      <c r="BL531" s="46">
        <v>605.59017138979505</v>
      </c>
      <c r="BM531" s="42" t="s">
        <v>152</v>
      </c>
      <c r="BN531" s="48">
        <v>2</v>
      </c>
      <c r="BO531" s="42" t="s">
        <v>161</v>
      </c>
      <c r="BP531" s="42" t="s">
        <v>152</v>
      </c>
      <c r="BQ531" s="46">
        <v>392.13426609371197</v>
      </c>
      <c r="BR531" s="46">
        <v>108</v>
      </c>
      <c r="BS531" s="46">
        <v>12847</v>
      </c>
      <c r="BT531" s="46">
        <v>3902</v>
      </c>
      <c r="BU531" s="46">
        <v>3.2924141465914913</v>
      </c>
      <c r="BV531" s="46">
        <v>36.129629629629626</v>
      </c>
      <c r="BW531" s="46">
        <v>0</v>
      </c>
      <c r="BX531" s="46">
        <v>0</v>
      </c>
      <c r="BY531" s="46">
        <v>0</v>
      </c>
      <c r="BZ531" s="46">
        <v>0</v>
      </c>
      <c r="CA531" s="46">
        <v>0</v>
      </c>
      <c r="CB531" s="46">
        <v>0</v>
      </c>
      <c r="CC531" s="46">
        <v>0.94336237826755509</v>
      </c>
      <c r="CD531" s="46">
        <v>5.6637621732444902E-2</v>
      </c>
      <c r="CE531" s="46">
        <v>0</v>
      </c>
      <c r="CF531" s="46">
        <v>0</v>
      </c>
      <c r="CG531" s="46">
        <v>0</v>
      </c>
      <c r="CH531" s="46">
        <v>0</v>
      </c>
      <c r="CI531" s="46">
        <v>3.3470849225500121</v>
      </c>
      <c r="CJ531" s="46">
        <v>7.7839184245349108E-2</v>
      </c>
      <c r="CK531">
        <v>313</v>
      </c>
      <c r="CL531">
        <v>313</v>
      </c>
      <c r="CM531">
        <f t="shared" si="63"/>
        <v>0</v>
      </c>
      <c r="CO531">
        <v>9.4499999999999993</v>
      </c>
      <c r="CP531">
        <f t="shared" si="64"/>
        <v>9.4499999999999993</v>
      </c>
      <c r="CS531">
        <f t="shared" si="65"/>
        <v>0</v>
      </c>
      <c r="CV531">
        <v>0</v>
      </c>
      <c r="CW531" s="46">
        <v>0</v>
      </c>
      <c r="CX531" s="46">
        <f t="shared" si="59"/>
        <v>0</v>
      </c>
      <c r="CY531" s="46">
        <v>0</v>
      </c>
      <c r="CZ531" s="46">
        <f t="shared" si="60"/>
        <v>0</v>
      </c>
      <c r="DA531" s="46">
        <f t="shared" si="61"/>
        <v>0</v>
      </c>
      <c r="DB531" s="46">
        <v>0</v>
      </c>
      <c r="DC531" s="46">
        <f t="shared" si="62"/>
        <v>0</v>
      </c>
      <c r="DD531" s="46">
        <v>0</v>
      </c>
      <c r="DE531" s="995">
        <v>0</v>
      </c>
      <c r="DF531" s="995">
        <v>0</v>
      </c>
      <c r="DG531" s="995">
        <v>0</v>
      </c>
      <c r="DH531" s="995">
        <v>0</v>
      </c>
      <c r="DI531" s="995">
        <v>1004.769</v>
      </c>
      <c r="DJ531" s="995">
        <v>3920607</v>
      </c>
      <c r="DK531" s="995">
        <v>47.767000000000003</v>
      </c>
      <c r="DL531" s="995">
        <v>186388</v>
      </c>
      <c r="DM531" s="995">
        <v>0</v>
      </c>
      <c r="DN531" s="995">
        <v>0</v>
      </c>
      <c r="DO531" s="995">
        <v>0</v>
      </c>
      <c r="DP531" s="995">
        <v>0</v>
      </c>
      <c r="DQ531" s="995">
        <v>1004.769</v>
      </c>
      <c r="DR531" s="995">
        <v>3920607</v>
      </c>
      <c r="DS531" s="995">
        <v>47.767000000000003</v>
      </c>
      <c r="DT531" s="995">
        <v>186388</v>
      </c>
    </row>
    <row r="532" spans="1:124">
      <c r="A532" s="42" t="s">
        <v>94</v>
      </c>
      <c r="B532" s="42" t="s">
        <v>510</v>
      </c>
      <c r="C532" s="42" t="s">
        <v>750</v>
      </c>
      <c r="D532" s="42">
        <v>803341</v>
      </c>
      <c r="E532" s="42" t="s">
        <v>752</v>
      </c>
      <c r="F532" s="42" t="s">
        <v>149</v>
      </c>
      <c r="G532" s="42" t="s">
        <v>150</v>
      </c>
      <c r="H532" s="43" t="s">
        <v>150</v>
      </c>
      <c r="I532" s="44">
        <v>37</v>
      </c>
      <c r="J532" s="45">
        <v>235788.32883199901</v>
      </c>
      <c r="K532" s="46">
        <v>19649.9509</v>
      </c>
      <c r="L532" s="47">
        <v>255438.27973199901</v>
      </c>
      <c r="M532" s="48">
        <v>5843886</v>
      </c>
      <c r="N532" s="49">
        <v>3450713</v>
      </c>
      <c r="O532" s="49">
        <v>2392304</v>
      </c>
      <c r="P532" s="49">
        <v>869</v>
      </c>
      <c r="Q532" s="50">
        <v>13309.8266514806</v>
      </c>
      <c r="R532" s="51">
        <v>9261.0149948525104</v>
      </c>
      <c r="S532" s="49">
        <v>16958.472038185999</v>
      </c>
      <c r="T532" s="49">
        <v>2646.2424811338501</v>
      </c>
      <c r="U532" s="49">
        <f>IFERROR(INDEX('Rentabilidad datos'!$N$2:$N$61,MATCH($C532,'Rentabilidad datos'!$C$2:$C$61,0)),"")</f>
        <v>28865.729514172355</v>
      </c>
      <c r="V532" s="50">
        <f>IFERROR(INDEX('Rentabilidad datos'!$O$2:$O$61,MATCH($C532,'Rentabilidad datos'!$C$2:$C$61,0)),"")</f>
        <v>1519.2489217985451</v>
      </c>
      <c r="W532" s="51">
        <f>IFERROR(INDEX('Rentabilidad datos'!$M$2:$M$61,MATCH($C532,'Rentabilidad datos'!$C$2:$C$61,0)),"")</f>
        <v>3054.2455510167165</v>
      </c>
      <c r="X532" s="52">
        <f>IFERROR(INDEX('Rentabilidad datos'!$P$2:$P$61,MATCH($C532,'Rentabilidad datos'!$C$2:$C$61,0)),"")</f>
        <v>0.49742199715828611</v>
      </c>
      <c r="Y532" s="43" t="s">
        <v>171</v>
      </c>
      <c r="Z532" s="53">
        <v>134.83413461538501</v>
      </c>
      <c r="AA532" s="43">
        <v>2</v>
      </c>
      <c r="AB532" s="54">
        <v>0.98715289791758432</v>
      </c>
      <c r="AC532" s="55">
        <v>1.2847102082415707E-2</v>
      </c>
      <c r="AD532" s="752" t="e">
        <f>_xlfn.XLOOKUP(Table1[[#This Row],[Ruta]],#REF!,#REF!)</f>
        <v>#REF!</v>
      </c>
      <c r="AE532" s="752" t="e">
        <f>_xlfn.XLOOKUP(Table1[[#This Row],[Ruta]],#REF!,#REF!)</f>
        <v>#REF!</v>
      </c>
      <c r="AF532" s="752" t="e">
        <f>_xlfn.XLOOKUP(Table1[[#This Row],[Ruta]],#REF!,#REF!)</f>
        <v>#REF!</v>
      </c>
      <c r="AG532" s="752" t="e">
        <f>_xlfn.XLOOKUP(Table1[[#This Row],[Ruta]],#REF!,#REF!)</f>
        <v>#REF!</v>
      </c>
      <c r="AH532" s="52">
        <v>0.59048260010547771</v>
      </c>
      <c r="AI532" s="52">
        <v>0.40936869747288018</v>
      </c>
      <c r="AJ532" s="55">
        <v>1.4870242164203751E-4</v>
      </c>
      <c r="AK532" s="56">
        <v>56091</v>
      </c>
      <c r="AL532" s="44">
        <v>24227</v>
      </c>
      <c r="AM532" s="54">
        <v>0.40828296874721398</v>
      </c>
      <c r="AN532" s="55">
        <v>0.50430318916557504</v>
      </c>
      <c r="AO532" s="56">
        <v>5385.8701834862404</v>
      </c>
      <c r="AP532" s="48">
        <v>2692.9350917431202</v>
      </c>
      <c r="AQ532" s="55">
        <v>0.47993323513118186</v>
      </c>
      <c r="AR532" s="51">
        <v>5843013.9000000004</v>
      </c>
      <c r="AS532" s="49">
        <v>649476.08754087496</v>
      </c>
      <c r="AT532" s="55">
        <v>0.11115429445424987</v>
      </c>
      <c r="AU532" s="51">
        <v>456388.60205575015</v>
      </c>
      <c r="AV532" s="52">
        <v>2.0761549399996235E-3</v>
      </c>
      <c r="AW532" s="44">
        <v>159</v>
      </c>
      <c r="AX532" s="51">
        <v>241.17777273290099</v>
      </c>
      <c r="AY532" s="49">
        <v>292.44921817516598</v>
      </c>
      <c r="AZ532" s="49">
        <v>51.271445442264991</v>
      </c>
      <c r="BA532" s="42" t="s">
        <v>150</v>
      </c>
      <c r="BB532" s="50">
        <v>436432.2436077515</v>
      </c>
      <c r="BC532" s="57">
        <v>892820.84566350165</v>
      </c>
      <c r="BD532" s="42" t="s">
        <v>150</v>
      </c>
      <c r="BE532" s="46">
        <v>134.83413461538501</v>
      </c>
      <c r="BF532" s="46">
        <v>72.425990467051307</v>
      </c>
      <c r="BG532" s="42" t="s">
        <v>150</v>
      </c>
      <c r="BH532" s="52">
        <v>0.40828296874721398</v>
      </c>
      <c r="BI532" s="52">
        <v>0.49337264070319697</v>
      </c>
      <c r="BJ532" s="42" t="s">
        <v>152</v>
      </c>
      <c r="BK532" s="46">
        <v>581.86396294305098</v>
      </c>
      <c r="BL532" s="46">
        <v>605.59017138979505</v>
      </c>
      <c r="BM532" s="42" t="s">
        <v>152</v>
      </c>
      <c r="BN532" s="48">
        <v>1</v>
      </c>
      <c r="BO532" s="42" t="s">
        <v>155</v>
      </c>
      <c r="BP532" s="42" t="s">
        <v>152</v>
      </c>
      <c r="BQ532" s="46">
        <v>601.73371473814802</v>
      </c>
      <c r="BR532" s="46">
        <v>148</v>
      </c>
      <c r="BS532" s="46">
        <v>10782</v>
      </c>
      <c r="BT532" s="46">
        <v>3254</v>
      </c>
      <c r="BU532" s="46">
        <v>3.313460356484327</v>
      </c>
      <c r="BV532" s="46">
        <v>21.986486486486488</v>
      </c>
      <c r="BW532" s="46">
        <v>0</v>
      </c>
      <c r="BX532" s="46">
        <v>515</v>
      </c>
      <c r="BY532" s="46">
        <v>515</v>
      </c>
      <c r="BZ532" s="46">
        <v>0.15826674861708667</v>
      </c>
      <c r="CA532" s="46">
        <v>0</v>
      </c>
      <c r="CB532" s="46">
        <v>0.1582667486170867</v>
      </c>
      <c r="CC532" s="46">
        <v>8.020897357098955E-2</v>
      </c>
      <c r="CD532" s="46">
        <v>9.0657652120467114E-2</v>
      </c>
      <c r="CE532" s="46">
        <v>0</v>
      </c>
      <c r="CF532" s="46">
        <v>0.67086662569145672</v>
      </c>
      <c r="CG532" s="46">
        <v>0</v>
      </c>
      <c r="CH532" s="46">
        <v>0</v>
      </c>
      <c r="CI532" s="46">
        <v>5.2865887590428491</v>
      </c>
      <c r="CJ532" s="46">
        <v>0.46373585605639028</v>
      </c>
      <c r="CK532">
        <v>432</v>
      </c>
      <c r="CL532">
        <v>439.06</v>
      </c>
      <c r="CM532">
        <f t="shared" si="63"/>
        <v>7.0600000000000023</v>
      </c>
      <c r="CN532">
        <v>8.86</v>
      </c>
      <c r="CO532">
        <v>9.4499999999999993</v>
      </c>
      <c r="CP532">
        <f t="shared" si="64"/>
        <v>0.58999999999999986</v>
      </c>
      <c r="CQ532">
        <v>846.56</v>
      </c>
      <c r="CR532">
        <v>581.86</v>
      </c>
      <c r="CS532">
        <f t="shared" si="65"/>
        <v>264.69999999999993</v>
      </c>
      <c r="CT532" t="s">
        <v>152</v>
      </c>
      <c r="CU532">
        <v>93.77</v>
      </c>
      <c r="CV532">
        <v>61</v>
      </c>
      <c r="CW532" s="46">
        <v>515</v>
      </c>
      <c r="CX532" s="46">
        <f t="shared" si="59"/>
        <v>15.609711124769515</v>
      </c>
      <c r="CY532" s="46">
        <v>7.06</v>
      </c>
      <c r="CZ532" s="46">
        <f t="shared" si="60"/>
        <v>15.826674861708668</v>
      </c>
      <c r="DA532" s="46">
        <f t="shared" si="61"/>
        <v>90.661150055503427</v>
      </c>
      <c r="DB532" s="46">
        <v>295651.45</v>
      </c>
      <c r="DC532" s="46">
        <f t="shared" si="62"/>
        <v>4.1968317050284263</v>
      </c>
      <c r="DD532" s="46">
        <v>13686.12</v>
      </c>
      <c r="DE532" s="995">
        <v>515</v>
      </c>
      <c r="DF532" s="995">
        <v>15.409000000000001</v>
      </c>
      <c r="DG532" s="995">
        <v>13.6</v>
      </c>
      <c r="DH532" s="995">
        <v>15.827</v>
      </c>
      <c r="DI532" s="995">
        <v>1521.7170000000001</v>
      </c>
      <c r="DJ532" s="995">
        <v>4972363</v>
      </c>
      <c r="DK532" s="995">
        <v>66.962000000000003</v>
      </c>
      <c r="DL532" s="995">
        <v>218804.3</v>
      </c>
      <c r="DM532" s="995">
        <v>515</v>
      </c>
      <c r="DN532" s="995">
        <v>15.481999999999999</v>
      </c>
      <c r="DO532" s="995">
        <v>11.2</v>
      </c>
      <c r="DP532" s="995">
        <v>15.827</v>
      </c>
      <c r="DQ532" s="995">
        <v>1515.932</v>
      </c>
      <c r="DR532" s="995">
        <v>4949823</v>
      </c>
      <c r="DS532" s="995">
        <v>66.691000000000003</v>
      </c>
      <c r="DT532" s="995">
        <v>217760.9</v>
      </c>
    </row>
    <row r="533" spans="1:124">
      <c r="A533" s="42" t="s">
        <v>94</v>
      </c>
      <c r="B533" s="42" t="s">
        <v>510</v>
      </c>
      <c r="C533" s="42" t="s">
        <v>750</v>
      </c>
      <c r="D533" s="42">
        <v>803342</v>
      </c>
      <c r="E533" s="42" t="s">
        <v>753</v>
      </c>
      <c r="F533" s="42" t="s">
        <v>149</v>
      </c>
      <c r="G533" s="42" t="s">
        <v>150</v>
      </c>
      <c r="H533" s="43" t="s">
        <v>150</v>
      </c>
      <c r="I533" s="44">
        <v>37</v>
      </c>
      <c r="J533" s="45">
        <v>178770.30659600001</v>
      </c>
      <c r="K533" s="46">
        <v>13339.539475</v>
      </c>
      <c r="L533" s="47">
        <v>192109.84607100001</v>
      </c>
      <c r="M533" s="48">
        <v>4205237</v>
      </c>
      <c r="N533" s="49">
        <v>2555940</v>
      </c>
      <c r="O533" s="49">
        <v>1648392</v>
      </c>
      <c r="P533" s="49">
        <v>905</v>
      </c>
      <c r="Q533" s="50">
        <v>9665.1387126436803</v>
      </c>
      <c r="R533" s="51">
        <v>9261.0149948525104</v>
      </c>
      <c r="S533" s="49">
        <v>16958.472038185999</v>
      </c>
      <c r="T533" s="49">
        <v>2646.2424811338501</v>
      </c>
      <c r="U533" s="49">
        <f>IFERROR(INDEX('Rentabilidad datos'!$N$2:$N$61,MATCH($C533,'Rentabilidad datos'!$C$2:$C$61,0)),"")</f>
        <v>28865.729514172355</v>
      </c>
      <c r="V533" s="50">
        <f>IFERROR(INDEX('Rentabilidad datos'!$O$2:$O$61,MATCH($C533,'Rentabilidad datos'!$C$2:$C$61,0)),"")</f>
        <v>1519.2489217985451</v>
      </c>
      <c r="W533" s="51">
        <f>IFERROR(INDEX('Rentabilidad datos'!$M$2:$M$61,MATCH($C533,'Rentabilidad datos'!$C$2:$C$61,0)),"")</f>
        <v>3054.2455510167165</v>
      </c>
      <c r="X533" s="52">
        <f>IFERROR(INDEX('Rentabilidad datos'!$P$2:$P$61,MATCH($C533,'Rentabilidad datos'!$C$2:$C$61,0)),"")</f>
        <v>0.49742199715828611</v>
      </c>
      <c r="Y533" s="43" t="s">
        <v>171</v>
      </c>
      <c r="Z533" s="53">
        <v>87.206310679611704</v>
      </c>
      <c r="AA533" s="43">
        <v>2</v>
      </c>
      <c r="AB533" s="54">
        <v>0.97144917159246913</v>
      </c>
      <c r="AC533" s="55">
        <v>2.8550828407530895E-2</v>
      </c>
      <c r="AD533" s="752" t="e">
        <f>_xlfn.XLOOKUP(Table1[[#This Row],[Ruta]],#REF!,#REF!)</f>
        <v>#REF!</v>
      </c>
      <c r="AE533" s="752" t="e">
        <f>_xlfn.XLOOKUP(Table1[[#This Row],[Ruta]],#REF!,#REF!)</f>
        <v>#REF!</v>
      </c>
      <c r="AF533" s="752" t="e">
        <f>_xlfn.XLOOKUP(Table1[[#This Row],[Ruta]],#REF!,#REF!)</f>
        <v>#REF!</v>
      </c>
      <c r="AG533" s="752" t="e">
        <f>_xlfn.XLOOKUP(Table1[[#This Row],[Ruta]],#REF!,#REF!)</f>
        <v>#REF!</v>
      </c>
      <c r="AH533" s="52">
        <v>0.60779927504680475</v>
      </c>
      <c r="AI533" s="52">
        <v>0.39198551710640805</v>
      </c>
      <c r="AJ533" s="55">
        <v>2.1520784678723221E-4</v>
      </c>
      <c r="AK533" s="56">
        <v>35929</v>
      </c>
      <c r="AL533" s="44">
        <v>15274</v>
      </c>
      <c r="AM533" s="54">
        <v>0.40799910935456002</v>
      </c>
      <c r="AN533" s="55">
        <v>0.50430318916557504</v>
      </c>
      <c r="AO533" s="56">
        <v>3460.10928352992</v>
      </c>
      <c r="AP533" s="48">
        <v>1730.05464176496</v>
      </c>
      <c r="AQ533" s="55">
        <v>0.473268241302707</v>
      </c>
      <c r="AR533" s="51">
        <v>4204335.34</v>
      </c>
      <c r="AS533" s="49">
        <v>476216.43777029403</v>
      </c>
      <c r="AT533" s="55">
        <v>0.11326794826273159</v>
      </c>
      <c r="AU533" s="51">
        <v>334638.57789263915</v>
      </c>
      <c r="AV533" s="52">
        <v>1.5223025585581625E-3</v>
      </c>
      <c r="AW533" s="44">
        <v>221</v>
      </c>
      <c r="AX533" s="51">
        <v>275.26092313735802</v>
      </c>
      <c r="AY533" s="49">
        <v>292.44921817516598</v>
      </c>
      <c r="AZ533" s="49">
        <v>17.188295037807961</v>
      </c>
      <c r="BA533" s="42" t="s">
        <v>150</v>
      </c>
      <c r="BB533" s="50">
        <v>92241.682143168262</v>
      </c>
      <c r="BC533" s="57">
        <v>426880.26003580738</v>
      </c>
      <c r="BD533" s="42" t="s">
        <v>150</v>
      </c>
      <c r="BE533" s="46">
        <v>87.206310679611704</v>
      </c>
      <c r="BF533" s="46">
        <v>72.425990467051307</v>
      </c>
      <c r="BG533" s="42" t="s">
        <v>150</v>
      </c>
      <c r="BH533" s="52">
        <v>0.40799910935456002</v>
      </c>
      <c r="BI533" s="52">
        <v>0.49337264070319697</v>
      </c>
      <c r="BJ533" s="42" t="s">
        <v>152</v>
      </c>
      <c r="BK533" s="46">
        <v>441.63183004827602</v>
      </c>
      <c r="BL533" s="46">
        <v>605.59017138979505</v>
      </c>
      <c r="BM533" s="42" t="s">
        <v>152</v>
      </c>
      <c r="BN533" s="48">
        <v>1</v>
      </c>
      <c r="BO533" s="42" t="s">
        <v>155</v>
      </c>
      <c r="BP533" s="42" t="s">
        <v>152</v>
      </c>
      <c r="BQ533" s="46">
        <v>94.262612777274597</v>
      </c>
      <c r="BR533" s="46">
        <v>110</v>
      </c>
      <c r="BS533" s="46">
        <v>9490</v>
      </c>
      <c r="BT533" s="46">
        <v>2890</v>
      </c>
      <c r="BU533" s="46">
        <v>3.2837370242214532</v>
      </c>
      <c r="BV533" s="46">
        <v>26.272727272727273</v>
      </c>
      <c r="BW533" s="46">
        <v>0</v>
      </c>
      <c r="BX533" s="46">
        <v>1881</v>
      </c>
      <c r="BY533" s="46">
        <v>1881</v>
      </c>
      <c r="BZ533" s="46">
        <v>0.65086505190311417</v>
      </c>
      <c r="CA533" s="46">
        <v>0</v>
      </c>
      <c r="CB533" s="46">
        <v>0.65086505190311417</v>
      </c>
      <c r="CC533" s="46">
        <v>0.34913494809688578</v>
      </c>
      <c r="CD533" s="46">
        <v>0</v>
      </c>
      <c r="CE533" s="46">
        <v>0</v>
      </c>
      <c r="CF533" s="46">
        <v>0</v>
      </c>
      <c r="CG533" s="46">
        <v>0</v>
      </c>
      <c r="CH533" s="46">
        <v>0</v>
      </c>
      <c r="CI533" s="46">
        <v>3.8988408851422549</v>
      </c>
      <c r="CJ533" s="46">
        <v>0.42149631190727083</v>
      </c>
      <c r="CK533">
        <v>312</v>
      </c>
      <c r="CL533">
        <v>1976.06</v>
      </c>
      <c r="CM533">
        <f t="shared" si="63"/>
        <v>1664.06</v>
      </c>
      <c r="CN533">
        <v>8.15</v>
      </c>
      <c r="CO533">
        <v>9.4499999999999993</v>
      </c>
      <c r="CP533">
        <f t="shared" si="64"/>
        <v>1.2999999999999989</v>
      </c>
      <c r="CQ533">
        <v>846.56</v>
      </c>
      <c r="CR533">
        <v>441.63</v>
      </c>
      <c r="CS533">
        <f t="shared" si="65"/>
        <v>404.92999999999995</v>
      </c>
      <c r="CT533" t="s">
        <v>152</v>
      </c>
      <c r="CU533">
        <v>88.55</v>
      </c>
      <c r="CV533">
        <v>221</v>
      </c>
      <c r="CW533" s="46">
        <v>1881</v>
      </c>
      <c r="CX533" s="46">
        <f t="shared" si="59"/>
        <v>7.5065743944636694</v>
      </c>
      <c r="CY533" s="46">
        <v>1664.06</v>
      </c>
      <c r="CZ533" s="46">
        <f t="shared" si="60"/>
        <v>65.086505190311414</v>
      </c>
      <c r="DA533" s="46">
        <f t="shared" si="61"/>
        <v>2708.3381993210455</v>
      </c>
      <c r="DB533" s="46">
        <v>12333934.66</v>
      </c>
      <c r="DC533" s="46">
        <f t="shared" si="62"/>
        <v>131.26648089836326</v>
      </c>
      <c r="DD533" s="46">
        <v>597795.43000000005</v>
      </c>
      <c r="DE533" s="995">
        <v>1881</v>
      </c>
      <c r="DF533" s="995">
        <v>8.2110000000000003</v>
      </c>
      <c r="DG533" s="995">
        <v>1643.7</v>
      </c>
      <c r="DH533" s="995">
        <v>65.087000000000003</v>
      </c>
      <c r="DI533" s="995">
        <v>3324.6370000000002</v>
      </c>
      <c r="DJ533" s="995">
        <v>15072892</v>
      </c>
      <c r="DK533" s="995">
        <v>159.26900000000001</v>
      </c>
      <c r="DL533" s="995">
        <v>722079.4</v>
      </c>
      <c r="DM533" s="995">
        <v>1881</v>
      </c>
      <c r="DN533" s="995">
        <v>8.6920000000000002</v>
      </c>
      <c r="DO533" s="995">
        <v>1629.8</v>
      </c>
      <c r="DP533" s="995">
        <v>65.087000000000003</v>
      </c>
      <c r="DQ533" s="995">
        <v>3304.36</v>
      </c>
      <c r="DR533" s="995">
        <v>14935072</v>
      </c>
      <c r="DS533" s="995">
        <v>158.423</v>
      </c>
      <c r="DT533" s="995">
        <v>716041.7</v>
      </c>
    </row>
    <row r="534" spans="1:124">
      <c r="A534" s="42" t="s">
        <v>94</v>
      </c>
      <c r="B534" s="42" t="s">
        <v>510</v>
      </c>
      <c r="C534" s="42" t="s">
        <v>750</v>
      </c>
      <c r="D534" s="42">
        <v>803343</v>
      </c>
      <c r="E534" s="42" t="s">
        <v>754</v>
      </c>
      <c r="F534" s="42" t="s">
        <v>149</v>
      </c>
      <c r="G534" s="42" t="s">
        <v>150</v>
      </c>
      <c r="H534" s="43" t="s">
        <v>150</v>
      </c>
      <c r="I534" s="44">
        <v>37</v>
      </c>
      <c r="J534" s="45">
        <v>172801.89920000001</v>
      </c>
      <c r="K534" s="46">
        <v>11846.313118</v>
      </c>
      <c r="L534" s="47">
        <v>184648.21231800001</v>
      </c>
      <c r="M534" s="48">
        <v>4046896</v>
      </c>
      <c r="N534" s="49">
        <v>2497567</v>
      </c>
      <c r="O534" s="49">
        <v>1547974</v>
      </c>
      <c r="P534" s="49">
        <v>1355</v>
      </c>
      <c r="Q534" s="50">
        <v>9215.3522095671997</v>
      </c>
      <c r="R534" s="51">
        <v>9261.0149948525104</v>
      </c>
      <c r="S534" s="49">
        <v>16958.472038185999</v>
      </c>
      <c r="T534" s="49">
        <v>2646.2424811338501</v>
      </c>
      <c r="U534" s="49">
        <f>IFERROR(INDEX('Rentabilidad datos'!$N$2:$N$61,MATCH($C534,'Rentabilidad datos'!$C$2:$C$61,0)),"")</f>
        <v>28865.729514172355</v>
      </c>
      <c r="V534" s="50">
        <f>IFERROR(INDEX('Rentabilidad datos'!$O$2:$O$61,MATCH($C534,'Rentabilidad datos'!$C$2:$C$61,0)),"")</f>
        <v>1519.2489217985451</v>
      </c>
      <c r="W534" s="51">
        <f>IFERROR(INDEX('Rentabilidad datos'!$M$2:$M$61,MATCH($C534,'Rentabilidad datos'!$C$2:$C$61,0)),"")</f>
        <v>3054.2455510167165</v>
      </c>
      <c r="X534" s="52">
        <f>IFERROR(INDEX('Rentabilidad datos'!$P$2:$P$61,MATCH($C534,'Rentabilidad datos'!$C$2:$C$61,0)),"")</f>
        <v>0.49742199715828611</v>
      </c>
      <c r="Y534" s="43" t="s">
        <v>171</v>
      </c>
      <c r="Z534" s="53">
        <v>91.858513189448402</v>
      </c>
      <c r="AA534" s="43">
        <v>2</v>
      </c>
      <c r="AB534" s="54">
        <v>0.96805947076475407</v>
      </c>
      <c r="AC534" s="55">
        <v>3.1940529235245978E-2</v>
      </c>
      <c r="AD534" s="752" t="e">
        <f>_xlfn.XLOOKUP(Table1[[#This Row],[Ruta]],#REF!,#REF!)</f>
        <v>#REF!</v>
      </c>
      <c r="AE534" s="752" t="e">
        <f>_xlfn.XLOOKUP(Table1[[#This Row],[Ruta]],#REF!,#REF!)</f>
        <v>#REF!</v>
      </c>
      <c r="AF534" s="752" t="e">
        <f>_xlfn.XLOOKUP(Table1[[#This Row],[Ruta]],#REF!,#REF!)</f>
        <v>#REF!</v>
      </c>
      <c r="AG534" s="752" t="e">
        <f>_xlfn.XLOOKUP(Table1[[#This Row],[Ruta]],#REF!,#REF!)</f>
        <v>#REF!</v>
      </c>
      <c r="AH534" s="52">
        <v>0.61715621058707715</v>
      </c>
      <c r="AI534" s="52">
        <v>0.38250896489556441</v>
      </c>
      <c r="AJ534" s="55">
        <v>3.3482451735848906E-4</v>
      </c>
      <c r="AK534" s="56">
        <v>38305</v>
      </c>
      <c r="AL534" s="44">
        <v>9228</v>
      </c>
      <c r="AM534" s="54">
        <v>0.23623547839707601</v>
      </c>
      <c r="AN534" s="55">
        <v>0.50430318916557504</v>
      </c>
      <c r="AO534" s="56">
        <v>10268.3336609873</v>
      </c>
      <c r="AP534" s="48">
        <v>5134.1668304936502</v>
      </c>
      <c r="AQ534" s="55">
        <v>0.37494235296942047</v>
      </c>
      <c r="AR534" s="51">
        <v>4045539.62</v>
      </c>
      <c r="AS534" s="49">
        <v>2250810.0702700401</v>
      </c>
      <c r="AT534" s="55">
        <v>0.55636831713195289</v>
      </c>
      <c r="AU534" s="51">
        <v>1581650.3196492179</v>
      </c>
      <c r="AV534" s="52">
        <v>7.1950769797940323E-3</v>
      </c>
      <c r="AW534" s="44">
        <v>13</v>
      </c>
      <c r="AX534" s="51">
        <v>438.39831166016501</v>
      </c>
      <c r="AY534" s="49">
        <v>292.44921817516598</v>
      </c>
      <c r="AZ534" s="49">
        <v>0</v>
      </c>
      <c r="BA534" s="42" t="s">
        <v>152</v>
      </c>
      <c r="BB534" s="50">
        <v>0</v>
      </c>
      <c r="BC534" s="57">
        <v>1581650.3196492179</v>
      </c>
      <c r="BD534" s="42" t="s">
        <v>150</v>
      </c>
      <c r="BE534" s="46">
        <v>91.858513189448402</v>
      </c>
      <c r="BF534" s="46">
        <v>72.425990467051307</v>
      </c>
      <c r="BG534" s="42" t="s">
        <v>150</v>
      </c>
      <c r="BH534" s="52">
        <v>0.23623547839707601</v>
      </c>
      <c r="BI534" s="52">
        <v>0.49337264070319697</v>
      </c>
      <c r="BJ534" s="42" t="s">
        <v>152</v>
      </c>
      <c r="BK534" s="46">
        <v>420.61096199999997</v>
      </c>
      <c r="BL534" s="46">
        <v>605.59017138979505</v>
      </c>
      <c r="BM534" s="42" t="s">
        <v>152</v>
      </c>
      <c r="BN534" s="48">
        <v>1</v>
      </c>
      <c r="BO534" s="42" t="s">
        <v>155</v>
      </c>
      <c r="BP534" s="42" t="s">
        <v>152</v>
      </c>
      <c r="BQ534" s="46">
        <v>10688.3712606312</v>
      </c>
      <c r="BR534" s="46">
        <v>83</v>
      </c>
      <c r="BS534" s="46">
        <v>9561</v>
      </c>
      <c r="BT534" s="46">
        <v>2863</v>
      </c>
      <c r="BU534" s="46">
        <v>3.3395040167656305</v>
      </c>
      <c r="BV534" s="46">
        <v>34.493975903614455</v>
      </c>
      <c r="BW534" s="46">
        <v>0</v>
      </c>
      <c r="BX534" s="46">
        <v>1307</v>
      </c>
      <c r="BY534" s="46">
        <v>1307</v>
      </c>
      <c r="BZ534" s="46">
        <v>0.45651414600069856</v>
      </c>
      <c r="CA534" s="46">
        <v>0</v>
      </c>
      <c r="CB534" s="46">
        <v>0.45651414600069867</v>
      </c>
      <c r="CC534" s="46">
        <v>0</v>
      </c>
      <c r="CD534" s="46">
        <v>0</v>
      </c>
      <c r="CE534" s="46">
        <v>0</v>
      </c>
      <c r="CF534" s="46">
        <v>0.54348585399930138</v>
      </c>
      <c r="CG534" s="46">
        <v>0</v>
      </c>
      <c r="CH534" s="46">
        <v>0</v>
      </c>
      <c r="CI534" s="46">
        <v>5.5433532057316182</v>
      </c>
      <c r="CJ534" s="46">
        <v>0.1045915699194645</v>
      </c>
      <c r="CK534">
        <v>354</v>
      </c>
      <c r="CL534">
        <v>404.88</v>
      </c>
      <c r="CM534">
        <f t="shared" si="63"/>
        <v>50.879999999999995</v>
      </c>
      <c r="CN534">
        <v>8.1300000000000008</v>
      </c>
      <c r="CO534">
        <v>9.4499999999999993</v>
      </c>
      <c r="CP534">
        <f t="shared" si="64"/>
        <v>1.3199999999999985</v>
      </c>
      <c r="CQ534">
        <v>846.56</v>
      </c>
      <c r="CR534">
        <v>420.61</v>
      </c>
      <c r="CS534">
        <f t="shared" si="65"/>
        <v>425.94999999999993</v>
      </c>
      <c r="CT534" t="s">
        <v>152</v>
      </c>
      <c r="CU534">
        <v>86.01</v>
      </c>
      <c r="CV534">
        <v>201</v>
      </c>
      <c r="CW534" s="46">
        <v>1307</v>
      </c>
      <c r="CX534" s="46">
        <f t="shared" si="59"/>
        <v>43.874257771568281</v>
      </c>
      <c r="CY534" s="46">
        <v>50.88</v>
      </c>
      <c r="CZ534" s="46">
        <f t="shared" si="60"/>
        <v>45.651414600069856</v>
      </c>
      <c r="DA534" s="46">
        <f t="shared" si="61"/>
        <v>627.77788378382081</v>
      </c>
      <c r="DB534" s="46">
        <v>1829269.42</v>
      </c>
      <c r="DC534" s="46">
        <f t="shared" si="62"/>
        <v>29.0297266874408</v>
      </c>
      <c r="DD534" s="46">
        <v>84589.14</v>
      </c>
      <c r="DE534" s="995">
        <v>1307</v>
      </c>
      <c r="DF534" s="995">
        <v>43.529000000000003</v>
      </c>
      <c r="DG534" s="995">
        <v>60.8</v>
      </c>
      <c r="DH534" s="995">
        <v>45.651000000000003</v>
      </c>
      <c r="DI534" s="995">
        <v>1570.0540000000001</v>
      </c>
      <c r="DJ534" s="995">
        <v>4590485</v>
      </c>
      <c r="DK534" s="995">
        <v>71.754999999999995</v>
      </c>
      <c r="DL534" s="995">
        <v>209794.7</v>
      </c>
      <c r="DM534" s="995">
        <v>1307</v>
      </c>
      <c r="DN534" s="995">
        <v>43.902999999999999</v>
      </c>
      <c r="DO534" s="995">
        <v>50.1</v>
      </c>
      <c r="DP534" s="995">
        <v>45.651000000000003</v>
      </c>
      <c r="DQ534" s="995">
        <v>1541.306</v>
      </c>
      <c r="DR534" s="995">
        <v>4489902</v>
      </c>
      <c r="DS534" s="995">
        <v>70.418000000000006</v>
      </c>
      <c r="DT534" s="995">
        <v>205132</v>
      </c>
    </row>
    <row r="535" spans="1:124">
      <c r="A535" s="42" t="s">
        <v>94</v>
      </c>
      <c r="B535" s="42" t="s">
        <v>510</v>
      </c>
      <c r="C535" s="42" t="s">
        <v>750</v>
      </c>
      <c r="D535" s="42">
        <v>803344</v>
      </c>
      <c r="E535" s="42" t="s">
        <v>755</v>
      </c>
      <c r="F535" s="42" t="s">
        <v>149</v>
      </c>
      <c r="G535" s="42" t="s">
        <v>150</v>
      </c>
      <c r="H535" s="43" t="s">
        <v>150</v>
      </c>
      <c r="I535" s="44">
        <v>37</v>
      </c>
      <c r="J535" s="45">
        <v>173971.33600000001</v>
      </c>
      <c r="K535" s="46">
        <v>20538.253809000002</v>
      </c>
      <c r="L535" s="47">
        <v>194509.589809</v>
      </c>
      <c r="M535" s="48">
        <v>4667164</v>
      </c>
      <c r="N535" s="49">
        <v>2478886</v>
      </c>
      <c r="O535" s="49">
        <v>2171026</v>
      </c>
      <c r="P535" s="49">
        <v>17252</v>
      </c>
      <c r="Q535" s="50">
        <v>10738.8268360277</v>
      </c>
      <c r="R535" s="51">
        <v>9261.0149948525104</v>
      </c>
      <c r="S535" s="49">
        <v>16958.472038185999</v>
      </c>
      <c r="T535" s="49">
        <v>2646.2424811338501</v>
      </c>
      <c r="U535" s="49">
        <f>IFERROR(INDEX('Rentabilidad datos'!$N$2:$N$61,MATCH($C535,'Rentabilidad datos'!$C$2:$C$61,0)),"")</f>
        <v>28865.729514172355</v>
      </c>
      <c r="V535" s="50">
        <f>IFERROR(INDEX('Rentabilidad datos'!$O$2:$O$61,MATCH($C535,'Rentabilidad datos'!$C$2:$C$61,0)),"")</f>
        <v>1519.2489217985451</v>
      </c>
      <c r="W535" s="51">
        <f>IFERROR(INDEX('Rentabilidad datos'!$M$2:$M$61,MATCH($C535,'Rentabilidad datos'!$C$2:$C$61,0)),"")</f>
        <v>3054.2455510167165</v>
      </c>
      <c r="X535" s="52">
        <f>IFERROR(INDEX('Rentabilidad datos'!$P$2:$P$61,MATCH($C535,'Rentabilidad datos'!$C$2:$C$61,0)),"")</f>
        <v>0.49742199715828611</v>
      </c>
      <c r="Y535" s="43" t="s">
        <v>171</v>
      </c>
      <c r="Z535" s="53">
        <v>97.792682926829301</v>
      </c>
      <c r="AA535" s="43">
        <v>2</v>
      </c>
      <c r="AB535" s="54">
        <v>0.98646137140241907</v>
      </c>
      <c r="AC535" s="55">
        <v>1.3538628597580886E-2</v>
      </c>
      <c r="AD535" s="752" t="e">
        <f>_xlfn.XLOOKUP(Table1[[#This Row],[Ruta]],#REF!,#REF!)</f>
        <v>#REF!</v>
      </c>
      <c r="AE535" s="752" t="e">
        <f>_xlfn.XLOOKUP(Table1[[#This Row],[Ruta]],#REF!,#REF!)</f>
        <v>#REF!</v>
      </c>
      <c r="AF535" s="752" t="e">
        <f>_xlfn.XLOOKUP(Table1[[#This Row],[Ruta]],#REF!,#REF!)</f>
        <v>#REF!</v>
      </c>
      <c r="AG535" s="752" t="e">
        <f>_xlfn.XLOOKUP(Table1[[#This Row],[Ruta]],#REF!,#REF!)</f>
        <v>#REF!</v>
      </c>
      <c r="AH535" s="52">
        <v>0.53113325351326846</v>
      </c>
      <c r="AI535" s="52">
        <v>0.46517028328123888</v>
      </c>
      <c r="AJ535" s="55">
        <v>3.6964632054926716E-3</v>
      </c>
      <c r="AK535" s="56">
        <v>40095</v>
      </c>
      <c r="AL535" s="44">
        <v>19046</v>
      </c>
      <c r="AM535" s="54">
        <v>0.45127821424117698</v>
      </c>
      <c r="AN535" s="55">
        <v>0.50430318916557504</v>
      </c>
      <c r="AO535" s="56">
        <v>2126.0363695937099</v>
      </c>
      <c r="AP535" s="48">
        <v>1063.0181847968549</v>
      </c>
      <c r="AQ535" s="55">
        <v>0.50153431063217002</v>
      </c>
      <c r="AR535" s="51">
        <v>4649912.0199999996</v>
      </c>
      <c r="AS535" s="49">
        <v>259526.4640851345</v>
      </c>
      <c r="AT535" s="55">
        <v>5.5813198823734846E-2</v>
      </c>
      <c r="AU535" s="51">
        <v>182369.9477355</v>
      </c>
      <c r="AV535" s="52">
        <v>8.2961815039429951E-4</v>
      </c>
      <c r="AW535" s="44">
        <v>325</v>
      </c>
      <c r="AX535" s="51">
        <v>244.14113304630899</v>
      </c>
      <c r="AY535" s="49">
        <v>292.44921817516598</v>
      </c>
      <c r="AZ535" s="49">
        <v>48.308085128856987</v>
      </c>
      <c r="BA535" s="42" t="s">
        <v>150</v>
      </c>
      <c r="BB535" s="50">
        <v>323269.87193877669</v>
      </c>
      <c r="BC535" s="57">
        <v>505639.81967427669</v>
      </c>
      <c r="BD535" s="42" t="s">
        <v>150</v>
      </c>
      <c r="BE535" s="46">
        <v>97.792682926829301</v>
      </c>
      <c r="BF535" s="46">
        <v>72.425990467051307</v>
      </c>
      <c r="BG535" s="42" t="s">
        <v>150</v>
      </c>
      <c r="BH535" s="52">
        <v>0.45127821424117698</v>
      </c>
      <c r="BI535" s="52">
        <v>0.49337264070319697</v>
      </c>
      <c r="BJ535" s="42" t="s">
        <v>152</v>
      </c>
      <c r="BK535" s="46">
        <v>449.21383327713602</v>
      </c>
      <c r="BL535" s="46">
        <v>605.59017138979505</v>
      </c>
      <c r="BM535" s="42" t="s">
        <v>152</v>
      </c>
      <c r="BN535" s="48">
        <v>1</v>
      </c>
      <c r="BO535" s="42" t="s">
        <v>155</v>
      </c>
      <c r="BP535" s="42" t="s">
        <v>152</v>
      </c>
      <c r="BQ535" s="46">
        <v>0</v>
      </c>
      <c r="BR535" s="46">
        <v>67</v>
      </c>
      <c r="BS535" s="46">
        <v>6650</v>
      </c>
      <c r="BT535" s="46">
        <v>1988</v>
      </c>
      <c r="BU535" s="46">
        <v>3.3450704225352115</v>
      </c>
      <c r="BV535" s="46">
        <v>29.671641791044777</v>
      </c>
      <c r="BW535" s="46">
        <v>0</v>
      </c>
      <c r="BX535" s="46">
        <v>859</v>
      </c>
      <c r="BY535" s="46">
        <v>859</v>
      </c>
      <c r="BZ535" s="46">
        <v>0.43209255533199198</v>
      </c>
      <c r="CA535" s="46">
        <v>0</v>
      </c>
      <c r="CB535" s="46">
        <v>0.43209255533199198</v>
      </c>
      <c r="CC535" s="46">
        <v>0.30432595573440652</v>
      </c>
      <c r="CD535" s="46">
        <v>9.5573440643863181E-2</v>
      </c>
      <c r="CE535" s="46">
        <v>0</v>
      </c>
      <c r="CF535" s="46">
        <v>0.16800804828973839</v>
      </c>
      <c r="CG535" s="46">
        <v>0</v>
      </c>
      <c r="CH535" s="46">
        <v>0</v>
      </c>
      <c r="CI535" s="46">
        <v>5.5639097744360901</v>
      </c>
      <c r="CJ535" s="46">
        <v>0.45112781954887216</v>
      </c>
      <c r="CK535">
        <v>310</v>
      </c>
      <c r="CL535">
        <v>398.3</v>
      </c>
      <c r="CM535">
        <f t="shared" si="63"/>
        <v>88.300000000000011</v>
      </c>
      <c r="CN535">
        <v>7.15</v>
      </c>
      <c r="CO535">
        <v>9.4499999999999993</v>
      </c>
      <c r="CP535">
        <f t="shared" si="64"/>
        <v>2.2999999999999989</v>
      </c>
      <c r="CQ535">
        <v>846.56</v>
      </c>
      <c r="CR535">
        <v>449.21</v>
      </c>
      <c r="CS535">
        <f t="shared" si="65"/>
        <v>397.34999999999997</v>
      </c>
      <c r="CT535" t="s">
        <v>152</v>
      </c>
      <c r="CU535">
        <v>75.709999999999994</v>
      </c>
      <c r="CV535">
        <v>131</v>
      </c>
      <c r="CW535" s="46">
        <v>859</v>
      </c>
      <c r="CX535" s="46">
        <f t="shared" si="59"/>
        <v>38.767605633802823</v>
      </c>
      <c r="CY535" s="46">
        <v>88.3</v>
      </c>
      <c r="CZ535" s="46">
        <f t="shared" si="60"/>
        <v>43.209255533199197</v>
      </c>
      <c r="DA535" s="46">
        <f t="shared" si="61"/>
        <v>788.35792033906466</v>
      </c>
      <c r="DB535" s="46">
        <v>1636867.55</v>
      </c>
      <c r="DC535" s="46">
        <f t="shared" si="62"/>
        <v>32.614781100996964</v>
      </c>
      <c r="DD535" s="46">
        <v>67718.070000000007</v>
      </c>
      <c r="DE535" s="995">
        <v>859</v>
      </c>
      <c r="DF535" s="995">
        <v>39.128</v>
      </c>
      <c r="DG535" s="995">
        <v>81.099999999999994</v>
      </c>
      <c r="DH535" s="995">
        <v>43.209000000000003</v>
      </c>
      <c r="DI535" s="995">
        <v>2316.3249999999998</v>
      </c>
      <c r="DJ535" s="995">
        <v>4792783</v>
      </c>
      <c r="DK535" s="995">
        <v>94.498999999999995</v>
      </c>
      <c r="DL535" s="995">
        <v>195530.9</v>
      </c>
      <c r="DM535" s="995">
        <v>859</v>
      </c>
      <c r="DN535" s="995">
        <v>39.847999999999999</v>
      </c>
      <c r="DO535" s="995">
        <v>66.8</v>
      </c>
      <c r="DP535" s="995">
        <v>43.209000000000003</v>
      </c>
      <c r="DQ535" s="995">
        <v>2259.4659999999999</v>
      </c>
      <c r="DR535" s="995">
        <v>4642785</v>
      </c>
      <c r="DS535" s="995">
        <v>92.128</v>
      </c>
      <c r="DT535" s="995">
        <v>189306.4</v>
      </c>
    </row>
    <row r="536" spans="1:124">
      <c r="A536" s="42" t="s">
        <v>94</v>
      </c>
      <c r="B536" s="42" t="s">
        <v>510</v>
      </c>
      <c r="C536" s="42" t="s">
        <v>750</v>
      </c>
      <c r="D536" s="42">
        <v>803345</v>
      </c>
      <c r="E536" s="42" t="s">
        <v>756</v>
      </c>
      <c r="F536" s="42" t="s">
        <v>149</v>
      </c>
      <c r="G536" s="42" t="s">
        <v>150</v>
      </c>
      <c r="H536" s="43" t="s">
        <v>150</v>
      </c>
      <c r="I536" s="44">
        <v>37</v>
      </c>
      <c r="J536" s="45">
        <v>211396.83600000001</v>
      </c>
      <c r="K536" s="46">
        <v>8376.3874500000002</v>
      </c>
      <c r="L536" s="47">
        <v>219773.22344999999</v>
      </c>
      <c r="M536" s="48">
        <v>4160694</v>
      </c>
      <c r="N536" s="49">
        <v>3078727</v>
      </c>
      <c r="O536" s="49">
        <v>1081398</v>
      </c>
      <c r="P536" s="49">
        <v>569</v>
      </c>
      <c r="Q536" s="50">
        <v>9811.6147405660395</v>
      </c>
      <c r="R536" s="51">
        <v>9261.0149948525104</v>
      </c>
      <c r="S536" s="49">
        <v>16958.472038185999</v>
      </c>
      <c r="T536" s="49">
        <v>2646.2424811338501</v>
      </c>
      <c r="U536" s="49">
        <f>IFERROR(INDEX('Rentabilidad datos'!$N$2:$N$61,MATCH($C536,'Rentabilidad datos'!$C$2:$C$61,0)),"")</f>
        <v>28865.729514172355</v>
      </c>
      <c r="V536" s="50">
        <f>IFERROR(INDEX('Rentabilidad datos'!$O$2:$O$61,MATCH($C536,'Rentabilidad datos'!$C$2:$C$61,0)),"")</f>
        <v>1519.2489217985451</v>
      </c>
      <c r="W536" s="51">
        <f>IFERROR(INDEX('Rentabilidad datos'!$M$2:$M$61,MATCH($C536,'Rentabilidad datos'!$C$2:$C$61,0)),"")</f>
        <v>3054.2455510167165</v>
      </c>
      <c r="X536" s="52">
        <f>IFERROR(INDEX('Rentabilidad datos'!$P$2:$P$61,MATCH($C536,'Rentabilidad datos'!$C$2:$C$61,0)),"")</f>
        <v>0.49742199715828611</v>
      </c>
      <c r="Y536" s="43" t="s">
        <v>171</v>
      </c>
      <c r="Z536" s="53">
        <v>83.0260416666667</v>
      </c>
      <c r="AA536" s="43">
        <v>2</v>
      </c>
      <c r="AB536" s="54">
        <v>0.97019103063094758</v>
      </c>
      <c r="AC536" s="55">
        <v>2.9808969369052373E-2</v>
      </c>
      <c r="AD536" s="752" t="e">
        <f>_xlfn.XLOOKUP(Table1[[#This Row],[Ruta]],#REF!,#REF!)</f>
        <v>#REF!</v>
      </c>
      <c r="AE536" s="752" t="e">
        <f>_xlfn.XLOOKUP(Table1[[#This Row],[Ruta]],#REF!,#REF!)</f>
        <v>#REF!</v>
      </c>
      <c r="AF536" s="752" t="e">
        <f>_xlfn.XLOOKUP(Table1[[#This Row],[Ruta]],#REF!,#REF!)</f>
        <v>#REF!</v>
      </c>
      <c r="AG536" s="752" t="e">
        <f>_xlfn.XLOOKUP(Table1[[#This Row],[Ruta]],#REF!,#REF!)</f>
        <v>#REF!</v>
      </c>
      <c r="AH536" s="52">
        <v>0.73995516132645178</v>
      </c>
      <c r="AI536" s="52">
        <v>0.25990808264198234</v>
      </c>
      <c r="AJ536" s="55">
        <v>1.3675603156588782E-4</v>
      </c>
      <c r="AK536" s="56">
        <v>31882</v>
      </c>
      <c r="AL536" s="44">
        <v>14786</v>
      </c>
      <c r="AM536" s="54">
        <v>0.43331660498086699</v>
      </c>
      <c r="AN536" s="55">
        <v>0.50430318916557504</v>
      </c>
      <c r="AO536" s="56">
        <v>2263.1942769768498</v>
      </c>
      <c r="AP536" s="48">
        <v>1131.5971384884249</v>
      </c>
      <c r="AQ536" s="55">
        <v>0.49926595378233563</v>
      </c>
      <c r="AR536" s="51">
        <v>4160124.65</v>
      </c>
      <c r="AS536" s="49">
        <v>318381.24913398852</v>
      </c>
      <c r="AT536" s="55">
        <v>7.6531660928474465E-2</v>
      </c>
      <c r="AU536" s="51">
        <v>223727.36425631633</v>
      </c>
      <c r="AV536" s="52">
        <v>1.017756951908072E-3</v>
      </c>
      <c r="AW536" s="44">
        <v>293</v>
      </c>
      <c r="AX536" s="51">
        <v>281.35565061544702</v>
      </c>
      <c r="AY536" s="49">
        <v>292.44921817516598</v>
      </c>
      <c r="AZ536" s="49">
        <v>11.093567559718963</v>
      </c>
      <c r="BA536" s="42" t="s">
        <v>150</v>
      </c>
      <c r="BB536" s="50">
        <v>57631.982951190817</v>
      </c>
      <c r="BC536" s="57">
        <v>281359.34720750712</v>
      </c>
      <c r="BD536" s="42" t="s">
        <v>150</v>
      </c>
      <c r="BE536" s="46">
        <v>83.0260416666667</v>
      </c>
      <c r="BF536" s="46">
        <v>72.425990467051307</v>
      </c>
      <c r="BG536" s="42" t="s">
        <v>150</v>
      </c>
      <c r="BH536" s="52">
        <v>0.43331660498086699</v>
      </c>
      <c r="BI536" s="52">
        <v>0.49337264070319697</v>
      </c>
      <c r="BJ536" s="42" t="s">
        <v>152</v>
      </c>
      <c r="BK536" s="46">
        <v>518.33307417452795</v>
      </c>
      <c r="BL536" s="46">
        <v>605.59017138979505</v>
      </c>
      <c r="BM536" s="42" t="s">
        <v>152</v>
      </c>
      <c r="BN536" s="48">
        <v>1</v>
      </c>
      <c r="BO536" s="42" t="s">
        <v>155</v>
      </c>
      <c r="BP536" s="42" t="s">
        <v>152</v>
      </c>
      <c r="BQ536" s="46">
        <v>0</v>
      </c>
      <c r="BR536" s="46">
        <v>142</v>
      </c>
      <c r="BS536" s="46">
        <v>17796</v>
      </c>
      <c r="BT536" s="46">
        <v>4962</v>
      </c>
      <c r="BU536" s="46">
        <v>3.5864570737605805</v>
      </c>
      <c r="BV536" s="46">
        <v>34.943661971830984</v>
      </c>
      <c r="BW536" s="46">
        <v>0</v>
      </c>
      <c r="BX536" s="46">
        <v>1005</v>
      </c>
      <c r="BY536" s="46">
        <v>1005</v>
      </c>
      <c r="BZ536" s="46">
        <v>0.20253929866989118</v>
      </c>
      <c r="CA536" s="46">
        <v>0</v>
      </c>
      <c r="CB536" s="46">
        <v>0.2025392986698912</v>
      </c>
      <c r="CC536" s="46">
        <v>0.60943168077388155</v>
      </c>
      <c r="CD536" s="46">
        <v>0</v>
      </c>
      <c r="CE536" s="46">
        <v>0</v>
      </c>
      <c r="CF536" s="46">
        <v>0.18802902055622731</v>
      </c>
      <c r="CG536" s="46">
        <v>0</v>
      </c>
      <c r="CH536" s="46">
        <v>0</v>
      </c>
      <c r="CI536" s="46">
        <v>5.0573162508428862</v>
      </c>
      <c r="CJ536" s="46">
        <v>0.1685772083614295</v>
      </c>
      <c r="CK536">
        <v>309</v>
      </c>
      <c r="CL536">
        <v>404.63</v>
      </c>
      <c r="CM536">
        <f t="shared" si="63"/>
        <v>95.63</v>
      </c>
      <c r="CN536">
        <v>8.48</v>
      </c>
      <c r="CO536">
        <v>9.4499999999999993</v>
      </c>
      <c r="CP536">
        <f t="shared" si="64"/>
        <v>0.96999999999999886</v>
      </c>
      <c r="CQ536">
        <v>846.56</v>
      </c>
      <c r="CR536">
        <v>518.33000000000004</v>
      </c>
      <c r="CS536">
        <f t="shared" si="65"/>
        <v>328.2299999999999</v>
      </c>
      <c r="CT536" t="s">
        <v>152</v>
      </c>
      <c r="CU536">
        <v>93.81</v>
      </c>
      <c r="CV536">
        <v>73</v>
      </c>
      <c r="CW536" s="46">
        <v>1005</v>
      </c>
      <c r="CX536" s="46">
        <f t="shared" si="59"/>
        <v>18.326682789197903</v>
      </c>
      <c r="CY536" s="46">
        <v>95.63</v>
      </c>
      <c r="CZ536" s="46">
        <f t="shared" si="60"/>
        <v>20.253929866989118</v>
      </c>
      <c r="DA536" s="46">
        <f t="shared" si="61"/>
        <v>207.51079062723053</v>
      </c>
      <c r="DB536" s="46">
        <v>1049512.8</v>
      </c>
      <c r="DC536" s="46">
        <f t="shared" si="62"/>
        <v>10.447899510244916</v>
      </c>
      <c r="DD536" s="46">
        <v>52841.61</v>
      </c>
      <c r="DE536" s="995">
        <v>1005</v>
      </c>
      <c r="DF536" s="995">
        <v>18.556999999999999</v>
      </c>
      <c r="DG536" s="995">
        <v>84.2</v>
      </c>
      <c r="DH536" s="995">
        <v>20.254000000000001</v>
      </c>
      <c r="DI536" s="995">
        <v>799.39</v>
      </c>
      <c r="DJ536" s="995">
        <v>4033869</v>
      </c>
      <c r="DK536" s="995">
        <v>40.347999999999999</v>
      </c>
      <c r="DL536" s="995">
        <v>203602.3</v>
      </c>
      <c r="DM536" s="995">
        <v>1005</v>
      </c>
      <c r="DN536" s="995">
        <v>18.791</v>
      </c>
      <c r="DO536" s="995">
        <v>72.599999999999994</v>
      </c>
      <c r="DP536" s="995">
        <v>20.254000000000001</v>
      </c>
      <c r="DQ536" s="995">
        <v>781.21900000000005</v>
      </c>
      <c r="DR536" s="995">
        <v>3933101</v>
      </c>
      <c r="DS536" s="995">
        <v>39.436999999999998</v>
      </c>
      <c r="DT536" s="995">
        <v>198550.1</v>
      </c>
    </row>
    <row r="537" spans="1:124">
      <c r="A537" s="42" t="s">
        <v>94</v>
      </c>
      <c r="B537" s="42" t="s">
        <v>510</v>
      </c>
      <c r="C537" s="42" t="s">
        <v>750</v>
      </c>
      <c r="D537" s="42">
        <v>803346</v>
      </c>
      <c r="E537" s="42" t="s">
        <v>757</v>
      </c>
      <c r="F537" s="42" t="s">
        <v>149</v>
      </c>
      <c r="G537" s="42" t="s">
        <v>150</v>
      </c>
      <c r="H537" s="43" t="s">
        <v>150</v>
      </c>
      <c r="I537" s="44">
        <v>37</v>
      </c>
      <c r="J537" s="45">
        <v>162055.05679999999</v>
      </c>
      <c r="K537" s="46">
        <v>9971.8803499999995</v>
      </c>
      <c r="L537" s="47">
        <v>172026.93715000001</v>
      </c>
      <c r="M537" s="48">
        <v>3720676</v>
      </c>
      <c r="N537" s="49">
        <v>2368329</v>
      </c>
      <c r="O537" s="49">
        <v>1350117</v>
      </c>
      <c r="P537" s="49">
        <v>2230</v>
      </c>
      <c r="Q537" s="50">
        <v>8647.5498372093007</v>
      </c>
      <c r="R537" s="51">
        <v>9261.0149948525104</v>
      </c>
      <c r="S537" s="49">
        <v>16958.472038185999</v>
      </c>
      <c r="T537" s="49">
        <v>2646.2424811338501</v>
      </c>
      <c r="U537" s="49">
        <f>IFERROR(INDEX('Rentabilidad datos'!$N$2:$N$61,MATCH($C537,'Rentabilidad datos'!$C$2:$C$61,0)),"")</f>
        <v>28865.729514172355</v>
      </c>
      <c r="V537" s="50">
        <f>IFERROR(INDEX('Rentabilidad datos'!$O$2:$O$61,MATCH($C537,'Rentabilidad datos'!$C$2:$C$61,0)),"")</f>
        <v>1519.2489217985451</v>
      </c>
      <c r="W537" s="51">
        <f>IFERROR(INDEX('Rentabilidad datos'!$M$2:$M$61,MATCH($C537,'Rentabilidad datos'!$C$2:$C$61,0)),"")</f>
        <v>3054.2455510167165</v>
      </c>
      <c r="X537" s="52">
        <f>IFERROR(INDEX('Rentabilidad datos'!$P$2:$P$61,MATCH($C537,'Rentabilidad datos'!$C$2:$C$61,0)),"")</f>
        <v>0.49742199715828611</v>
      </c>
      <c r="Y537" s="43" t="s">
        <v>171</v>
      </c>
      <c r="Z537" s="53">
        <v>101.24358974358999</v>
      </c>
      <c r="AA537" s="43">
        <v>2</v>
      </c>
      <c r="AB537" s="54">
        <v>0.97165434453309019</v>
      </c>
      <c r="AC537" s="55">
        <v>2.8345655466909776E-2</v>
      </c>
      <c r="AD537" s="752" t="e">
        <f>_xlfn.XLOOKUP(Table1[[#This Row],[Ruta]],#REF!,#REF!)</f>
        <v>#REF!</v>
      </c>
      <c r="AE537" s="752" t="e">
        <f>_xlfn.XLOOKUP(Table1[[#This Row],[Ruta]],#REF!,#REF!)</f>
        <v>#REF!</v>
      </c>
      <c r="AF537" s="752" t="e">
        <f>_xlfn.XLOOKUP(Table1[[#This Row],[Ruta]],#REF!,#REF!)</f>
        <v>#REF!</v>
      </c>
      <c r="AG537" s="752" t="e">
        <f>_xlfn.XLOOKUP(Table1[[#This Row],[Ruta]],#REF!,#REF!)</f>
        <v>#REF!</v>
      </c>
      <c r="AH537" s="52">
        <v>0.63653190979273655</v>
      </c>
      <c r="AI537" s="52">
        <v>0.36286873675643888</v>
      </c>
      <c r="AJ537" s="55">
        <v>5.9935345082452762E-4</v>
      </c>
      <c r="AK537" s="56">
        <v>39485</v>
      </c>
      <c r="AL537" s="44">
        <v>13614</v>
      </c>
      <c r="AM537" s="54">
        <v>0.32792199569456798</v>
      </c>
      <c r="AN537" s="55">
        <v>0.50430318916557504</v>
      </c>
      <c r="AO537" s="56">
        <v>6964.4114242027099</v>
      </c>
      <c r="AP537" s="48">
        <v>3482.2057121013549</v>
      </c>
      <c r="AQ537" s="55">
        <v>0.4329797571761772</v>
      </c>
      <c r="AR537" s="51">
        <v>3718446.43</v>
      </c>
      <c r="AS537" s="49">
        <v>951108.81435939996</v>
      </c>
      <c r="AT537" s="55">
        <v>0.25578123344361314</v>
      </c>
      <c r="AU537" s="51">
        <v>668346.73441471369</v>
      </c>
      <c r="AV537" s="52">
        <v>3.040372542253417E-3</v>
      </c>
      <c r="AW537" s="44">
        <v>103</v>
      </c>
      <c r="AX537" s="51">
        <v>273.13401131188499</v>
      </c>
      <c r="AY537" s="49">
        <v>292.44921817516598</v>
      </c>
      <c r="AZ537" s="49">
        <v>19.315206863280991</v>
      </c>
      <c r="BA537" s="42" t="s">
        <v>150</v>
      </c>
      <c r="BB537" s="50">
        <v>92390.376785870205</v>
      </c>
      <c r="BC537" s="57">
        <v>760737.11120058387</v>
      </c>
      <c r="BD537" s="42" t="s">
        <v>150</v>
      </c>
      <c r="BE537" s="46">
        <v>101.24358974358999</v>
      </c>
      <c r="BF537" s="46">
        <v>72.425990467051307</v>
      </c>
      <c r="BG537" s="42" t="s">
        <v>150</v>
      </c>
      <c r="BH537" s="52">
        <v>0.32792199569456798</v>
      </c>
      <c r="BI537" s="52">
        <v>0.49337264070319697</v>
      </c>
      <c r="BJ537" s="42" t="s">
        <v>152</v>
      </c>
      <c r="BK537" s="46">
        <v>400.06264453488399</v>
      </c>
      <c r="BL537" s="46">
        <v>605.59017138979505</v>
      </c>
      <c r="BM537" s="42" t="s">
        <v>152</v>
      </c>
      <c r="BN537" s="48">
        <v>1</v>
      </c>
      <c r="BO537" s="42" t="s">
        <v>155</v>
      </c>
      <c r="BP537" s="42" t="s">
        <v>152</v>
      </c>
      <c r="BQ537" s="46">
        <v>0</v>
      </c>
      <c r="BR537" s="46">
        <v>85</v>
      </c>
      <c r="BS537" s="46">
        <v>11539</v>
      </c>
      <c r="BT537" s="46">
        <v>3255</v>
      </c>
      <c r="BU537" s="46">
        <v>3.5450076804915516</v>
      </c>
      <c r="BV537" s="46">
        <v>38.294117647058826</v>
      </c>
      <c r="BW537" s="46">
        <v>0</v>
      </c>
      <c r="BX537" s="46">
        <v>389</v>
      </c>
      <c r="BY537" s="46">
        <v>389</v>
      </c>
      <c r="BZ537" s="46">
        <v>0.11950844854070661</v>
      </c>
      <c r="CA537" s="46">
        <v>0</v>
      </c>
      <c r="CB537" s="46">
        <v>0.11950844854070659</v>
      </c>
      <c r="CC537" s="46">
        <v>0.51797235023041477</v>
      </c>
      <c r="CD537" s="46">
        <v>0</v>
      </c>
      <c r="CE537" s="46">
        <v>0</v>
      </c>
      <c r="CF537" s="46">
        <v>0.36251920122887871</v>
      </c>
      <c r="CG537" s="46">
        <v>0</v>
      </c>
      <c r="CH537" s="46">
        <v>0</v>
      </c>
      <c r="CI537" s="46">
        <v>5.0264320998353416</v>
      </c>
      <c r="CJ537" s="46">
        <v>0.34665048964381667</v>
      </c>
      <c r="CK537">
        <v>273</v>
      </c>
      <c r="CL537">
        <v>321.3</v>
      </c>
      <c r="CM537">
        <f t="shared" si="63"/>
        <v>48.300000000000011</v>
      </c>
      <c r="CN537">
        <v>7.56</v>
      </c>
      <c r="CO537">
        <v>9.4499999999999993</v>
      </c>
      <c r="CP537">
        <f t="shared" si="64"/>
        <v>1.8899999999999997</v>
      </c>
      <c r="CQ537">
        <v>564.37</v>
      </c>
      <c r="CR537">
        <v>400.06</v>
      </c>
      <c r="CS537">
        <f t="shared" si="65"/>
        <v>164.31</v>
      </c>
      <c r="CT537" t="s">
        <v>152</v>
      </c>
      <c r="CU537">
        <v>82.23</v>
      </c>
      <c r="CV537">
        <v>40</v>
      </c>
      <c r="CW537" s="46">
        <v>389</v>
      </c>
      <c r="CX537" s="46">
        <f t="shared" si="59"/>
        <v>10.466973886328725</v>
      </c>
      <c r="CY537" s="46">
        <v>48.3</v>
      </c>
      <c r="CZ537" s="46">
        <f t="shared" si="60"/>
        <v>11.950844854070661</v>
      </c>
      <c r="DA537" s="46">
        <f t="shared" si="61"/>
        <v>216.77301486392395</v>
      </c>
      <c r="DB537" s="46">
        <v>716066.3</v>
      </c>
      <c r="DC537" s="46">
        <f t="shared" si="62"/>
        <v>9.8523718705536876</v>
      </c>
      <c r="DD537" s="46">
        <v>32545.34</v>
      </c>
      <c r="DE537" s="995">
        <v>389</v>
      </c>
      <c r="DF537" s="995">
        <v>10.471</v>
      </c>
      <c r="DG537" s="995">
        <v>48.2</v>
      </c>
      <c r="DH537" s="995">
        <v>11.951000000000001</v>
      </c>
      <c r="DI537" s="995">
        <v>1043.2840000000001</v>
      </c>
      <c r="DJ537" s="995">
        <v>3446140</v>
      </c>
      <c r="DK537" s="995">
        <v>46.726999999999997</v>
      </c>
      <c r="DL537" s="995">
        <v>154347.4</v>
      </c>
      <c r="DM537" s="995">
        <v>389</v>
      </c>
      <c r="DN537" s="995">
        <v>10.731999999999999</v>
      </c>
      <c r="DO537" s="995">
        <v>39.700000000000003</v>
      </c>
      <c r="DP537" s="995">
        <v>11.951000000000001</v>
      </c>
      <c r="DQ537" s="995">
        <v>1021.294</v>
      </c>
      <c r="DR537" s="995">
        <v>3364825</v>
      </c>
      <c r="DS537" s="995">
        <v>45.725999999999999</v>
      </c>
      <c r="DT537" s="995">
        <v>150652</v>
      </c>
    </row>
    <row r="538" spans="1:124">
      <c r="A538" s="42" t="s">
        <v>94</v>
      </c>
      <c r="B538" s="42" t="s">
        <v>510</v>
      </c>
      <c r="C538" s="42" t="s">
        <v>750</v>
      </c>
      <c r="D538" s="42">
        <v>803347</v>
      </c>
      <c r="E538" s="42" t="s">
        <v>758</v>
      </c>
      <c r="F538" s="42" t="s">
        <v>149</v>
      </c>
      <c r="G538" s="42" t="s">
        <v>150</v>
      </c>
      <c r="H538" s="43" t="s">
        <v>150</v>
      </c>
      <c r="I538" s="44">
        <v>37</v>
      </c>
      <c r="J538" s="45">
        <v>128176.6136</v>
      </c>
      <c r="K538" s="46">
        <v>7598.7351500000004</v>
      </c>
      <c r="L538" s="47">
        <v>135775.34875</v>
      </c>
      <c r="M538" s="48">
        <v>3216623</v>
      </c>
      <c r="N538" s="49">
        <v>1858307</v>
      </c>
      <c r="O538" s="49">
        <v>1357283</v>
      </c>
      <c r="P538" s="49">
        <v>1033</v>
      </c>
      <c r="Q538" s="50">
        <v>7426.3067205542702</v>
      </c>
      <c r="R538" s="51">
        <v>9261.0149948525104</v>
      </c>
      <c r="S538" s="49">
        <v>16958.472038185999</v>
      </c>
      <c r="T538" s="49">
        <v>2646.2424811338501</v>
      </c>
      <c r="U538" s="49">
        <f>IFERROR(INDEX('Rentabilidad datos'!$N$2:$N$61,MATCH($C538,'Rentabilidad datos'!$C$2:$C$61,0)),"")</f>
        <v>28865.729514172355</v>
      </c>
      <c r="V538" s="50">
        <f>IFERROR(INDEX('Rentabilidad datos'!$O$2:$O$61,MATCH($C538,'Rentabilidad datos'!$C$2:$C$61,0)),"")</f>
        <v>1519.2489217985451</v>
      </c>
      <c r="W538" s="51">
        <f>IFERROR(INDEX('Rentabilidad datos'!$M$2:$M$61,MATCH($C538,'Rentabilidad datos'!$C$2:$C$61,0)),"")</f>
        <v>3054.2455510167165</v>
      </c>
      <c r="X538" s="52">
        <f>IFERROR(INDEX('Rentabilidad datos'!$P$2:$P$61,MATCH($C538,'Rentabilidad datos'!$C$2:$C$61,0)),"")</f>
        <v>0.49742199715828611</v>
      </c>
      <c r="Y538" s="43" t="s">
        <v>171</v>
      </c>
      <c r="Z538" s="53">
        <v>67.468193384223895</v>
      </c>
      <c r="AA538" s="43">
        <v>2</v>
      </c>
      <c r="AB538" s="54">
        <v>0.97944614584923384</v>
      </c>
      <c r="AC538" s="55">
        <v>2.0553854150766191E-2</v>
      </c>
      <c r="AD538" s="752" t="e">
        <f>_xlfn.XLOOKUP(Table1[[#This Row],[Ruta]],#REF!,#REF!)</f>
        <v>#REF!</v>
      </c>
      <c r="AE538" s="752" t="e">
        <f>_xlfn.XLOOKUP(Table1[[#This Row],[Ruta]],#REF!,#REF!)</f>
        <v>#REF!</v>
      </c>
      <c r="AF538" s="752" t="e">
        <f>_xlfn.XLOOKUP(Table1[[#This Row],[Ruta]],#REF!,#REF!)</f>
        <v>#REF!</v>
      </c>
      <c r="AG538" s="752" t="e">
        <f>_xlfn.XLOOKUP(Table1[[#This Row],[Ruta]],#REF!,#REF!)</f>
        <v>#REF!</v>
      </c>
      <c r="AH538" s="52">
        <v>0.57771986334736769</v>
      </c>
      <c r="AI538" s="52">
        <v>0.42195899239668433</v>
      </c>
      <c r="AJ538" s="55">
        <v>3.2114425594793048E-4</v>
      </c>
      <c r="AK538" s="56">
        <v>26515</v>
      </c>
      <c r="AL538" s="44">
        <v>9097</v>
      </c>
      <c r="AM538" s="54">
        <v>0.32607957759758599</v>
      </c>
      <c r="AN538" s="55">
        <v>0.50430318916557504</v>
      </c>
      <c r="AO538" s="56">
        <v>4725.5990607252097</v>
      </c>
      <c r="AP538" s="48">
        <v>2362.7995303626049</v>
      </c>
      <c r="AQ538" s="55">
        <v>0.4322006234343807</v>
      </c>
      <c r="AR538" s="51">
        <v>3215590.81</v>
      </c>
      <c r="AS538" s="49">
        <v>835198.02744930505</v>
      </c>
      <c r="AT538" s="55">
        <v>0.25973392660905914</v>
      </c>
      <c r="AU538" s="51">
        <v>586895.91118059296</v>
      </c>
      <c r="AV538" s="52">
        <v>2.6698450394568004E-3</v>
      </c>
      <c r="AW538" s="44">
        <v>123</v>
      </c>
      <c r="AX538" s="51">
        <v>353.478158733648</v>
      </c>
      <c r="AY538" s="49">
        <v>292.44921817516598</v>
      </c>
      <c r="AZ538" s="49">
        <v>0</v>
      </c>
      <c r="BA538" s="42" t="s">
        <v>152</v>
      </c>
      <c r="BB538" s="50">
        <v>0</v>
      </c>
      <c r="BC538" s="57">
        <v>586895.91118059296</v>
      </c>
      <c r="BD538" s="42" t="s">
        <v>150</v>
      </c>
      <c r="BE538" s="46">
        <v>67.468193384223895</v>
      </c>
      <c r="BF538" s="46">
        <v>72.425990467051307</v>
      </c>
      <c r="BG538" s="42" t="s">
        <v>152</v>
      </c>
      <c r="BH538" s="52">
        <v>0.32607957759758599</v>
      </c>
      <c r="BI538" s="52">
        <v>0.49337264070319697</v>
      </c>
      <c r="BJ538" s="42" t="s">
        <v>152</v>
      </c>
      <c r="BK538" s="46">
        <v>313.56893475750599</v>
      </c>
      <c r="BL538" s="46">
        <v>605.59017138979505</v>
      </c>
      <c r="BM538" s="42" t="s">
        <v>152</v>
      </c>
      <c r="BN538" s="48">
        <v>0</v>
      </c>
      <c r="BO538" s="42" t="s">
        <v>155</v>
      </c>
      <c r="BP538" s="42" t="s">
        <v>152</v>
      </c>
      <c r="BQ538" s="46">
        <v>10138.905352012</v>
      </c>
      <c r="BR538" s="46">
        <v>101</v>
      </c>
      <c r="BS538" s="46">
        <v>8645</v>
      </c>
      <c r="BT538" s="46">
        <v>2743</v>
      </c>
      <c r="BU538" s="46">
        <v>3.1516587677725116</v>
      </c>
      <c r="BV538" s="46">
        <v>27.158415841584159</v>
      </c>
      <c r="BW538" s="46">
        <v>0</v>
      </c>
      <c r="BX538" s="46">
        <v>0</v>
      </c>
      <c r="BY538" s="46">
        <v>0</v>
      </c>
      <c r="BZ538" s="46">
        <v>0</v>
      </c>
      <c r="CA538" s="46">
        <v>0</v>
      </c>
      <c r="CB538" s="46">
        <v>0</v>
      </c>
      <c r="CC538" s="46">
        <v>0.4228946409041196</v>
      </c>
      <c r="CD538" s="46">
        <v>0.2351440029165148</v>
      </c>
      <c r="CE538" s="46">
        <v>0</v>
      </c>
      <c r="CF538" s="46">
        <v>0.34196135617936568</v>
      </c>
      <c r="CG538" s="46">
        <v>0</v>
      </c>
      <c r="CH538" s="46">
        <v>0</v>
      </c>
      <c r="CI538" s="46">
        <v>8.675534991324465</v>
      </c>
      <c r="CJ538" s="46">
        <v>1.041064198958936</v>
      </c>
      <c r="CK538">
        <v>317</v>
      </c>
      <c r="CL538">
        <v>317</v>
      </c>
      <c r="CM538">
        <f t="shared" si="63"/>
        <v>0</v>
      </c>
      <c r="CO538">
        <v>9.4499999999999993</v>
      </c>
      <c r="CP538">
        <f t="shared" si="64"/>
        <v>9.4499999999999993</v>
      </c>
      <c r="CS538">
        <f t="shared" si="65"/>
        <v>0</v>
      </c>
      <c r="CV538">
        <v>0</v>
      </c>
      <c r="CW538" s="46">
        <v>0</v>
      </c>
      <c r="CX538" s="46">
        <f t="shared" si="59"/>
        <v>0</v>
      </c>
      <c r="CY538" s="46">
        <v>0</v>
      </c>
      <c r="CZ538" s="46">
        <f t="shared" si="60"/>
        <v>0</v>
      </c>
      <c r="DA538" s="46">
        <f t="shared" si="61"/>
        <v>0</v>
      </c>
      <c r="DB538" s="46">
        <v>0</v>
      </c>
      <c r="DC538" s="46">
        <f t="shared" si="62"/>
        <v>0</v>
      </c>
      <c r="DD538" s="46">
        <v>0</v>
      </c>
      <c r="DE538" s="995">
        <v>0</v>
      </c>
      <c r="DF538" s="995">
        <v>0</v>
      </c>
      <c r="DG538" s="995">
        <v>0</v>
      </c>
      <c r="DH538" s="995">
        <v>0</v>
      </c>
      <c r="DI538" s="995">
        <v>1017.671</v>
      </c>
      <c r="DJ538" s="995">
        <v>2791472</v>
      </c>
      <c r="DK538" s="995">
        <v>42.588999999999999</v>
      </c>
      <c r="DL538" s="995">
        <v>116822.3</v>
      </c>
      <c r="DM538" s="995">
        <v>0</v>
      </c>
      <c r="DN538" s="995">
        <v>0</v>
      </c>
      <c r="DO538" s="995">
        <v>0</v>
      </c>
      <c r="DP538" s="995">
        <v>0</v>
      </c>
      <c r="DQ538" s="995">
        <v>1017.671</v>
      </c>
      <c r="DR538" s="995">
        <v>2791472</v>
      </c>
      <c r="DS538" s="995">
        <v>42.588999999999999</v>
      </c>
      <c r="DT538" s="995">
        <v>116822.3</v>
      </c>
    </row>
    <row r="539" spans="1:124">
      <c r="A539" s="42" t="s">
        <v>94</v>
      </c>
      <c r="B539" s="42" t="s">
        <v>510</v>
      </c>
      <c r="C539" s="42" t="s">
        <v>750</v>
      </c>
      <c r="D539" s="42">
        <v>803348</v>
      </c>
      <c r="E539" s="42" t="s">
        <v>759</v>
      </c>
      <c r="F539" s="42" t="s">
        <v>149</v>
      </c>
      <c r="G539" s="42" t="s">
        <v>150</v>
      </c>
      <c r="H539" s="43" t="s">
        <v>150</v>
      </c>
      <c r="I539" s="44">
        <v>37</v>
      </c>
      <c r="J539" s="45">
        <v>178652.60560000001</v>
      </c>
      <c r="K539" s="46">
        <v>10164.719053000001</v>
      </c>
      <c r="L539" s="47">
        <v>188817.32465299999</v>
      </c>
      <c r="M539" s="48">
        <v>3992049</v>
      </c>
      <c r="N539" s="49">
        <v>2597330</v>
      </c>
      <c r="O539" s="49">
        <v>1391829</v>
      </c>
      <c r="P539" s="49">
        <v>2890</v>
      </c>
      <c r="Q539" s="50">
        <v>9212.8453348729799</v>
      </c>
      <c r="R539" s="51">
        <v>9261.0149948525104</v>
      </c>
      <c r="S539" s="49">
        <v>16958.472038185999</v>
      </c>
      <c r="T539" s="49">
        <v>2646.2424811338501</v>
      </c>
      <c r="U539" s="49">
        <f>IFERROR(INDEX('Rentabilidad datos'!$N$2:$N$61,MATCH($C539,'Rentabilidad datos'!$C$2:$C$61,0)),"")</f>
        <v>28865.729514172355</v>
      </c>
      <c r="V539" s="50">
        <f>IFERROR(INDEX('Rentabilidad datos'!$O$2:$O$61,MATCH($C539,'Rentabilidad datos'!$C$2:$C$61,0)),"")</f>
        <v>1519.2489217985451</v>
      </c>
      <c r="W539" s="51">
        <f>IFERROR(INDEX('Rentabilidad datos'!$M$2:$M$61,MATCH($C539,'Rentabilidad datos'!$C$2:$C$61,0)),"")</f>
        <v>3054.2455510167165</v>
      </c>
      <c r="X539" s="52">
        <f>IFERROR(INDEX('Rentabilidad datos'!$P$2:$P$61,MATCH($C539,'Rentabilidad datos'!$C$2:$C$61,0)),"")</f>
        <v>0.49742199715828611</v>
      </c>
      <c r="Y539" s="43" t="s">
        <v>171</v>
      </c>
      <c r="Z539" s="53">
        <v>72.709183673469397</v>
      </c>
      <c r="AA539" s="43">
        <v>2</v>
      </c>
      <c r="AB539" s="54">
        <v>0.94228778253974332</v>
      </c>
      <c r="AC539" s="55">
        <v>5.7712217460256628E-2</v>
      </c>
      <c r="AD539" s="752" t="e">
        <f>_xlfn.XLOOKUP(Table1[[#This Row],[Ruta]],#REF!,#REF!)</f>
        <v>#REF!</v>
      </c>
      <c r="AE539" s="752" t="e">
        <f>_xlfn.XLOOKUP(Table1[[#This Row],[Ruta]],#REF!,#REF!)</f>
        <v>#REF!</v>
      </c>
      <c r="AF539" s="752" t="e">
        <f>_xlfn.XLOOKUP(Table1[[#This Row],[Ruta]],#REF!,#REF!)</f>
        <v>#REF!</v>
      </c>
      <c r="AG539" s="752" t="e">
        <f>_xlfn.XLOOKUP(Table1[[#This Row],[Ruta]],#REF!,#REF!)</f>
        <v>#REF!</v>
      </c>
      <c r="AH539" s="52">
        <v>0.6506257813969718</v>
      </c>
      <c r="AI539" s="52">
        <v>0.3486502795932615</v>
      </c>
      <c r="AJ539" s="55">
        <v>7.2393900976666366E-4</v>
      </c>
      <c r="AK539" s="56">
        <v>28502</v>
      </c>
      <c r="AL539" s="44">
        <v>9381</v>
      </c>
      <c r="AM539" s="54">
        <v>0.31043435548382597</v>
      </c>
      <c r="AN539" s="55">
        <v>0.50430318916557504</v>
      </c>
      <c r="AO539" s="56">
        <v>5525.6494975972</v>
      </c>
      <c r="AP539" s="48">
        <v>2762.8247487986</v>
      </c>
      <c r="AQ539" s="55">
        <v>0.42606921439894047</v>
      </c>
      <c r="AR539" s="51">
        <v>3989162.03</v>
      </c>
      <c r="AS539" s="49">
        <v>1174859.3522494051</v>
      </c>
      <c r="AT539" s="55">
        <v>0.29451281833478327</v>
      </c>
      <c r="AU539" s="51">
        <v>825576.8421212039</v>
      </c>
      <c r="AV539" s="52">
        <v>3.7556271813068854E-3</v>
      </c>
      <c r="AW539" s="44">
        <v>71</v>
      </c>
      <c r="AX539" s="51">
        <v>425.23846391642701</v>
      </c>
      <c r="AY539" s="49">
        <v>292.44921817516598</v>
      </c>
      <c r="AZ539" s="49">
        <v>0</v>
      </c>
      <c r="BA539" s="42" t="s">
        <v>152</v>
      </c>
      <c r="BB539" s="50">
        <v>0</v>
      </c>
      <c r="BC539" s="57">
        <v>825576.8421212039</v>
      </c>
      <c r="BD539" s="42" t="s">
        <v>150</v>
      </c>
      <c r="BE539" s="46">
        <v>72.709183673469397</v>
      </c>
      <c r="BF539" s="46">
        <v>72.425990467051307</v>
      </c>
      <c r="BG539" s="42" t="s">
        <v>150</v>
      </c>
      <c r="BH539" s="52">
        <v>0.31043435548382597</v>
      </c>
      <c r="BI539" s="52">
        <v>0.49337264070319697</v>
      </c>
      <c r="BJ539" s="42" t="s">
        <v>152</v>
      </c>
      <c r="BK539" s="46">
        <v>436.067724371824</v>
      </c>
      <c r="BL539" s="46">
        <v>605.59017138979505</v>
      </c>
      <c r="BM539" s="42" t="s">
        <v>152</v>
      </c>
      <c r="BN539" s="48">
        <v>1</v>
      </c>
      <c r="BO539" s="42" t="s">
        <v>155</v>
      </c>
      <c r="BP539" s="42" t="s">
        <v>152</v>
      </c>
      <c r="BQ539" s="46">
        <v>10660.968544399</v>
      </c>
      <c r="BR539" s="46">
        <v>127</v>
      </c>
      <c r="BS539" s="46">
        <v>6255</v>
      </c>
      <c r="BT539" s="46">
        <v>1889</v>
      </c>
      <c r="BU539" s="46">
        <v>3.3112758073054525</v>
      </c>
      <c r="BV539" s="46">
        <v>14.874015748031496</v>
      </c>
      <c r="BW539" s="46">
        <v>3</v>
      </c>
      <c r="BX539" s="46">
        <v>3</v>
      </c>
      <c r="BY539" s="46">
        <v>6</v>
      </c>
      <c r="BZ539" s="46">
        <v>3.1762837480148226E-3</v>
      </c>
      <c r="CA539" s="46">
        <v>1.5881418740074111E-3</v>
      </c>
      <c r="CB539" s="46">
        <v>1.5881418740074111E-3</v>
      </c>
      <c r="CC539" s="46">
        <v>1.0587612493382741E-2</v>
      </c>
      <c r="CD539" s="46">
        <v>2.646903123345686E-3</v>
      </c>
      <c r="CE539" s="46">
        <v>9.5288512440444683E-3</v>
      </c>
      <c r="CF539" s="46">
        <v>0.97406034939121233</v>
      </c>
      <c r="CG539" s="46">
        <v>0</v>
      </c>
      <c r="CH539" s="46">
        <v>0</v>
      </c>
      <c r="CI539" s="46">
        <v>9.4324540367705829</v>
      </c>
      <c r="CJ539" s="46">
        <v>0.47961630695443652</v>
      </c>
      <c r="CK539">
        <v>304</v>
      </c>
      <c r="CL539">
        <v>304</v>
      </c>
      <c r="CM539">
        <f t="shared" si="63"/>
        <v>0</v>
      </c>
      <c r="CN539">
        <v>14.56</v>
      </c>
      <c r="CO539">
        <v>9.4499999999999993</v>
      </c>
      <c r="CP539">
        <f t="shared" si="64"/>
        <v>-5.1100000000000012</v>
      </c>
      <c r="CQ539">
        <v>282.19</v>
      </c>
      <c r="CR539">
        <v>436.07</v>
      </c>
      <c r="CS539">
        <f t="shared" si="65"/>
        <v>-153.88</v>
      </c>
      <c r="CT539" t="s">
        <v>150</v>
      </c>
      <c r="CU539">
        <v>154.53</v>
      </c>
      <c r="CV539">
        <v>44</v>
      </c>
      <c r="CW539" s="46">
        <v>6</v>
      </c>
      <c r="CX539" s="46">
        <f t="shared" si="59"/>
        <v>0.31762837480148226</v>
      </c>
      <c r="CY539" s="46">
        <v>0</v>
      </c>
      <c r="CZ539" s="46">
        <f t="shared" si="60"/>
        <v>0.31762837480148226</v>
      </c>
      <c r="DA539" s="46">
        <f t="shared" si="61"/>
        <v>0</v>
      </c>
      <c r="DB539" s="46">
        <v>0</v>
      </c>
      <c r="DC539" s="46">
        <f t="shared" si="62"/>
        <v>0</v>
      </c>
      <c r="DD539" s="46">
        <v>0</v>
      </c>
      <c r="DE539" s="995">
        <v>6</v>
      </c>
      <c r="DF539" s="995">
        <v>0.318</v>
      </c>
      <c r="DG539" s="995">
        <v>0</v>
      </c>
      <c r="DH539" s="995">
        <v>0.318</v>
      </c>
      <c r="DI539" s="995">
        <v>1423.93</v>
      </c>
      <c r="DJ539" s="995">
        <v>2689804</v>
      </c>
      <c r="DK539" s="995">
        <v>69.228999999999999</v>
      </c>
      <c r="DL539" s="995">
        <v>130774.3</v>
      </c>
      <c r="DM539" s="995">
        <v>6</v>
      </c>
      <c r="DN539" s="995">
        <v>0.318</v>
      </c>
      <c r="DO539" s="995">
        <v>0</v>
      </c>
      <c r="DP539" s="995">
        <v>0.318</v>
      </c>
      <c r="DQ539" s="995">
        <v>1423.93</v>
      </c>
      <c r="DR539" s="995">
        <v>2689804</v>
      </c>
      <c r="DS539" s="995">
        <v>69.228999999999999</v>
      </c>
      <c r="DT539" s="995">
        <v>130774.3</v>
      </c>
    </row>
    <row r="540" spans="1:124">
      <c r="A540" s="42" t="s">
        <v>94</v>
      </c>
      <c r="B540" s="42" t="s">
        <v>510</v>
      </c>
      <c r="C540" s="42" t="s">
        <v>750</v>
      </c>
      <c r="D540" s="42">
        <v>803349</v>
      </c>
      <c r="E540" s="42" t="s">
        <v>760</v>
      </c>
      <c r="F540" s="42" t="s">
        <v>193</v>
      </c>
      <c r="G540" s="42" t="s">
        <v>150</v>
      </c>
      <c r="H540" s="43" t="s">
        <v>152</v>
      </c>
      <c r="I540" s="44">
        <v>37</v>
      </c>
      <c r="J540" s="45">
        <v>77.492800000000003</v>
      </c>
      <c r="K540" s="46">
        <v>2.1661999999999999</v>
      </c>
      <c r="L540" s="47">
        <v>79.659000000000006</v>
      </c>
      <c r="M540" s="48">
        <v>1532</v>
      </c>
      <c r="N540" s="49">
        <v>1122</v>
      </c>
      <c r="O540" s="49">
        <v>410</v>
      </c>
      <c r="P540" s="49">
        <v>0</v>
      </c>
      <c r="Q540" s="50">
        <v>0</v>
      </c>
      <c r="R540" s="51">
        <v>9261.0149948525104</v>
      </c>
      <c r="S540" s="49">
        <v>16958.472038185999</v>
      </c>
      <c r="T540" s="49">
        <v>2646.2424811338501</v>
      </c>
      <c r="U540" s="49">
        <f>IFERROR(INDEX('Rentabilidad datos'!$N$2:$N$61,MATCH($C540,'Rentabilidad datos'!$C$2:$C$61,0)),"")</f>
        <v>28865.729514172355</v>
      </c>
      <c r="V540" s="50">
        <f>IFERROR(INDEX('Rentabilidad datos'!$O$2:$O$61,MATCH($C540,'Rentabilidad datos'!$C$2:$C$61,0)),"")</f>
        <v>1519.2489217985451</v>
      </c>
      <c r="W540" s="51">
        <f>IFERROR(INDEX('Rentabilidad datos'!$M$2:$M$61,MATCH($C540,'Rentabilidad datos'!$C$2:$C$61,0)),"")</f>
        <v>3054.2455510167165</v>
      </c>
      <c r="X540" s="52">
        <f>IFERROR(INDEX('Rentabilidad datos'!$P$2:$P$61,MATCH($C540,'Rentabilidad datos'!$C$2:$C$61,0)),"")</f>
        <v>0.49742199715828611</v>
      </c>
      <c r="Y540" s="43" t="s">
        <v>171</v>
      </c>
      <c r="Z540" s="53">
        <v>0</v>
      </c>
      <c r="AA540" s="43">
        <v>2</v>
      </c>
      <c r="AB540" s="54">
        <v>0</v>
      </c>
      <c r="AC540" s="55">
        <v>1</v>
      </c>
      <c r="AD540" s="752" t="e">
        <f>_xlfn.XLOOKUP(Table1[[#This Row],[Ruta]],#REF!,#REF!)</f>
        <v>#REF!</v>
      </c>
      <c r="AE540" s="752" t="e">
        <f>_xlfn.XLOOKUP(Table1[[#This Row],[Ruta]],#REF!,#REF!)</f>
        <v>#REF!</v>
      </c>
      <c r="AF540" s="752" t="e">
        <f>_xlfn.XLOOKUP(Table1[[#This Row],[Ruta]],#REF!,#REF!)</f>
        <v>#REF!</v>
      </c>
      <c r="AG540" s="752" t="e">
        <f>_xlfn.XLOOKUP(Table1[[#This Row],[Ruta]],#REF!,#REF!)</f>
        <v>#REF!</v>
      </c>
      <c r="AH540" s="52">
        <v>0.73237597911227159</v>
      </c>
      <c r="AI540" s="52">
        <v>0.26762402088772846</v>
      </c>
      <c r="AJ540" s="55">
        <v>0</v>
      </c>
      <c r="AK540" s="56">
        <v>0</v>
      </c>
      <c r="AL540" s="44">
        <v>4</v>
      </c>
      <c r="AM540" s="54">
        <v>0</v>
      </c>
      <c r="AN540" s="55">
        <v>0.50430318916557504</v>
      </c>
      <c r="AO540" s="56">
        <v>0</v>
      </c>
      <c r="AP540" s="48">
        <v>0</v>
      </c>
      <c r="AQ540" s="55" t="s">
        <v>194</v>
      </c>
      <c r="AR540" s="51">
        <v>1531.68</v>
      </c>
      <c r="AS540" s="49">
        <v>0</v>
      </c>
      <c r="AT540" s="55">
        <v>0</v>
      </c>
      <c r="AU540" s="51">
        <v>0</v>
      </c>
      <c r="AV540" s="52">
        <v>0</v>
      </c>
      <c r="AW540" s="44">
        <v>490</v>
      </c>
      <c r="AX540" s="51">
        <v>382.92</v>
      </c>
      <c r="AY540" s="49">
        <v>292.44921817516598</v>
      </c>
      <c r="AZ540" s="49">
        <v>0</v>
      </c>
      <c r="BA540" s="42" t="s">
        <v>152</v>
      </c>
      <c r="BB540" s="50">
        <v>0</v>
      </c>
      <c r="BC540" s="57">
        <v>0</v>
      </c>
      <c r="BD540" s="42" t="s">
        <v>152</v>
      </c>
      <c r="BE540" s="46" t="s">
        <v>195</v>
      </c>
      <c r="BF540" s="46" t="s">
        <v>195</v>
      </c>
      <c r="BG540" s="42" t="s">
        <v>195</v>
      </c>
      <c r="BH540" s="52" t="s">
        <v>195</v>
      </c>
      <c r="BI540" s="52" t="s">
        <v>195</v>
      </c>
      <c r="BJ540" s="42" t="s">
        <v>195</v>
      </c>
      <c r="BK540" s="46" t="s">
        <v>195</v>
      </c>
      <c r="BL540" s="46" t="s">
        <v>195</v>
      </c>
      <c r="BM540" s="42" t="s">
        <v>195</v>
      </c>
      <c r="BN540" s="48" t="s">
        <v>195</v>
      </c>
      <c r="BO540" s="42" t="s">
        <v>195</v>
      </c>
      <c r="BP540" s="42" t="s">
        <v>152</v>
      </c>
      <c r="BQ540" s="46">
        <v>0</v>
      </c>
      <c r="BR540" s="46" t="e">
        <v>#N/A</v>
      </c>
      <c r="BS540" s="46" t="e">
        <v>#N/A</v>
      </c>
      <c r="BT540" s="46" t="e">
        <v>#N/A</v>
      </c>
      <c r="BU540" s="46" t="e">
        <v>#N/A</v>
      </c>
      <c r="BV540" s="46" t="e">
        <v>#N/A</v>
      </c>
      <c r="BW540" s="46" t="e">
        <v>#N/A</v>
      </c>
      <c r="BX540" s="46" t="e">
        <v>#N/A</v>
      </c>
      <c r="BY540" s="46" t="e">
        <v>#N/A</v>
      </c>
      <c r="BZ540" s="46" t="e">
        <v>#N/A</v>
      </c>
      <c r="CA540" s="46" t="e">
        <v>#N/A</v>
      </c>
      <c r="CB540" s="46" t="e">
        <v>#N/A</v>
      </c>
      <c r="CC540" s="46" t="e">
        <v>#N/A</v>
      </c>
      <c r="CD540" s="46" t="e">
        <v>#N/A</v>
      </c>
      <c r="CE540" s="46" t="e">
        <v>#N/A</v>
      </c>
      <c r="CF540" s="46" t="e">
        <v>#N/A</v>
      </c>
      <c r="CG540" s="46" t="e">
        <v>#N/A</v>
      </c>
      <c r="CH540" s="46" t="e">
        <v>#N/A</v>
      </c>
      <c r="CI540" s="46" t="e">
        <v>#N/A</v>
      </c>
      <c r="CJ540" s="46" t="e">
        <v>#N/A</v>
      </c>
      <c r="CM540">
        <f t="shared" si="63"/>
        <v>0</v>
      </c>
      <c r="CP540">
        <f t="shared" si="64"/>
        <v>0</v>
      </c>
      <c r="CS540">
        <f t="shared" si="65"/>
        <v>0</v>
      </c>
      <c r="CW540" s="46"/>
      <c r="CX540" s="46" t="e">
        <f t="shared" si="59"/>
        <v>#N/A</v>
      </c>
      <c r="CY540" s="46"/>
      <c r="CZ540" s="46" t="e">
        <f t="shared" si="60"/>
        <v>#N/A</v>
      </c>
      <c r="DA540" s="46" t="e">
        <f t="shared" si="61"/>
        <v>#N/A</v>
      </c>
      <c r="DB540" s="46"/>
      <c r="DC540" s="46" t="e">
        <f t="shared" si="62"/>
        <v>#N/A</v>
      </c>
      <c r="DD540" s="46"/>
      <c r="DE540" s="995" t="s">
        <v>194</v>
      </c>
      <c r="DF540" s="995" t="s">
        <v>194</v>
      </c>
      <c r="DG540" s="995" t="s">
        <v>194</v>
      </c>
      <c r="DH540" s="995" t="s">
        <v>194</v>
      </c>
      <c r="DI540" s="995" t="s">
        <v>194</v>
      </c>
      <c r="DJ540" s="995" t="s">
        <v>194</v>
      </c>
      <c r="DK540" s="995" t="s">
        <v>194</v>
      </c>
      <c r="DL540" s="995" t="s">
        <v>194</v>
      </c>
      <c r="DM540" s="995" t="s">
        <v>194</v>
      </c>
      <c r="DN540" s="995" t="s">
        <v>194</v>
      </c>
      <c r="DO540" s="995" t="s">
        <v>194</v>
      </c>
      <c r="DP540" s="995" t="s">
        <v>194</v>
      </c>
      <c r="DQ540" s="995" t="s">
        <v>194</v>
      </c>
      <c r="DR540" s="995" t="s">
        <v>194</v>
      </c>
      <c r="DS540" s="995" t="s">
        <v>194</v>
      </c>
      <c r="DT540" s="995" t="s">
        <v>194</v>
      </c>
    </row>
    <row r="541" spans="1:124">
      <c r="A541" s="42" t="s">
        <v>94</v>
      </c>
      <c r="B541" s="42" t="s">
        <v>510</v>
      </c>
      <c r="C541" s="42" t="s">
        <v>750</v>
      </c>
      <c r="D541" s="42">
        <v>803350</v>
      </c>
      <c r="E541" s="42" t="s">
        <v>761</v>
      </c>
      <c r="F541" s="42" t="s">
        <v>149</v>
      </c>
      <c r="G541" s="42" t="s">
        <v>150</v>
      </c>
      <c r="H541" s="43" t="s">
        <v>150</v>
      </c>
      <c r="I541" s="44">
        <v>37</v>
      </c>
      <c r="J541" s="45">
        <v>560.0616</v>
      </c>
      <c r="K541" s="46">
        <v>35.036099999999998</v>
      </c>
      <c r="L541" s="47">
        <v>595.09770000000003</v>
      </c>
      <c r="M541" s="48">
        <v>11390</v>
      </c>
      <c r="N541" s="49">
        <v>7338</v>
      </c>
      <c r="O541" s="49">
        <v>4052</v>
      </c>
      <c r="P541" s="49">
        <v>0</v>
      </c>
      <c r="Q541" s="50">
        <v>189.8135</v>
      </c>
      <c r="R541" s="51">
        <v>9261.0149948525104</v>
      </c>
      <c r="S541" s="49">
        <v>16958.472038185999</v>
      </c>
      <c r="T541" s="49">
        <v>2646.2424811338501</v>
      </c>
      <c r="U541" s="49">
        <f>IFERROR(INDEX('Rentabilidad datos'!$N$2:$N$61,MATCH($C541,'Rentabilidad datos'!$C$2:$C$61,0)),"")</f>
        <v>28865.729514172355</v>
      </c>
      <c r="V541" s="50">
        <f>IFERROR(INDEX('Rentabilidad datos'!$O$2:$O$61,MATCH($C541,'Rentabilidad datos'!$C$2:$C$61,0)),"")</f>
        <v>1519.2489217985451</v>
      </c>
      <c r="W541" s="51">
        <f>IFERROR(INDEX('Rentabilidad datos'!$M$2:$M$61,MATCH($C541,'Rentabilidad datos'!$C$2:$C$61,0)),"")</f>
        <v>3054.2455510167165</v>
      </c>
      <c r="X541" s="52">
        <f>IFERROR(INDEX('Rentabilidad datos'!$P$2:$P$61,MATCH($C541,'Rentabilidad datos'!$C$2:$C$61,0)),"")</f>
        <v>0.49742199715828611</v>
      </c>
      <c r="Y541" s="43" t="s">
        <v>171</v>
      </c>
      <c r="Z541" s="53">
        <v>51.684210526315802</v>
      </c>
      <c r="AA541" s="43">
        <v>2</v>
      </c>
      <c r="AB541" s="54">
        <v>7.7699736611062331E-2</v>
      </c>
      <c r="AC541" s="55">
        <v>0.92230026338893767</v>
      </c>
      <c r="AD541" s="752" t="e">
        <f>_xlfn.XLOOKUP(Table1[[#This Row],[Ruta]],#REF!,#REF!)</f>
        <v>#REF!</v>
      </c>
      <c r="AE541" s="752" t="e">
        <f>_xlfn.XLOOKUP(Table1[[#This Row],[Ruta]],#REF!,#REF!)</f>
        <v>#REF!</v>
      </c>
      <c r="AF541" s="752" t="e">
        <f>_xlfn.XLOOKUP(Table1[[#This Row],[Ruta]],#REF!,#REF!)</f>
        <v>#REF!</v>
      </c>
      <c r="AG541" s="752" t="e">
        <f>_xlfn.XLOOKUP(Table1[[#This Row],[Ruta]],#REF!,#REF!)</f>
        <v>#REF!</v>
      </c>
      <c r="AH541" s="52">
        <v>0.64424934152765578</v>
      </c>
      <c r="AI541" s="52">
        <v>0.35575065847234416</v>
      </c>
      <c r="AJ541" s="55">
        <v>0</v>
      </c>
      <c r="AK541" s="56">
        <v>982</v>
      </c>
      <c r="AL541" s="44">
        <v>48</v>
      </c>
      <c r="AM541" s="54">
        <v>5.0916496945010003E-3</v>
      </c>
      <c r="AN541" s="55">
        <v>0.50430318916557504</v>
      </c>
      <c r="AO541" s="56">
        <v>490.22573176059399</v>
      </c>
      <c r="AP541" s="48">
        <v>245.11286588029699</v>
      </c>
      <c r="AQ541" s="55">
        <v>0.29848560680274644</v>
      </c>
      <c r="AR541" s="51">
        <v>11388.81</v>
      </c>
      <c r="AS541" s="49">
        <v>58157.163709711996</v>
      </c>
      <c r="AT541" s="55">
        <v>5.1065180391728369</v>
      </c>
      <c r="AU541" s="51">
        <v>40867.196120338172</v>
      </c>
      <c r="AV541" s="52">
        <v>1.8590874252115766E-4</v>
      </c>
      <c r="AW541" s="44">
        <v>443</v>
      </c>
      <c r="AX541" s="51">
        <v>237.266875</v>
      </c>
      <c r="AY541" s="49">
        <v>292.44921817516598</v>
      </c>
      <c r="AZ541" s="49">
        <v>55.182343175165983</v>
      </c>
      <c r="BA541" s="42" t="s">
        <v>150</v>
      </c>
      <c r="BB541" s="50">
        <v>930.64276057577263</v>
      </c>
      <c r="BC541" s="57">
        <v>41797.838880913943</v>
      </c>
      <c r="BD541" s="42" t="s">
        <v>150</v>
      </c>
      <c r="BE541" s="46">
        <v>51.684210526315802</v>
      </c>
      <c r="BF541" s="46">
        <v>72.425990467051307</v>
      </c>
      <c r="BG541" s="42" t="s">
        <v>152</v>
      </c>
      <c r="BH541" s="52">
        <v>5.0916496945010202E-3</v>
      </c>
      <c r="BI541" s="52">
        <v>0.49337264070319697</v>
      </c>
      <c r="BJ541" s="42" t="s">
        <v>152</v>
      </c>
      <c r="BK541" s="46">
        <v>9.9182950000000005</v>
      </c>
      <c r="BL541" s="46">
        <v>605.59017138979505</v>
      </c>
      <c r="BM541" s="42" t="s">
        <v>152</v>
      </c>
      <c r="BN541" s="48">
        <v>0</v>
      </c>
      <c r="BO541" s="42" t="s">
        <v>155</v>
      </c>
      <c r="BP541" s="42" t="s">
        <v>152</v>
      </c>
      <c r="BQ541" s="46">
        <v>792.12817149169302</v>
      </c>
      <c r="BR541" s="46" t="e">
        <v>#N/A</v>
      </c>
      <c r="BS541" s="46" t="e">
        <v>#N/A</v>
      </c>
      <c r="BT541" s="46" t="e">
        <v>#N/A</v>
      </c>
      <c r="BU541" s="46" t="e">
        <v>#N/A</v>
      </c>
      <c r="BV541" s="46" t="e">
        <v>#N/A</v>
      </c>
      <c r="BW541" s="46" t="e">
        <v>#N/A</v>
      </c>
      <c r="BX541" s="46" t="e">
        <v>#N/A</v>
      </c>
      <c r="BY541" s="46" t="e">
        <v>#N/A</v>
      </c>
      <c r="BZ541" s="46" t="e">
        <v>#N/A</v>
      </c>
      <c r="CA541" s="46" t="e">
        <v>#N/A</v>
      </c>
      <c r="CB541" s="46" t="e">
        <v>#N/A</v>
      </c>
      <c r="CC541" s="46" t="e">
        <v>#N/A</v>
      </c>
      <c r="CD541" s="46" t="e">
        <v>#N/A</v>
      </c>
      <c r="CE541" s="46" t="e">
        <v>#N/A</v>
      </c>
      <c r="CF541" s="46" t="e">
        <v>#N/A</v>
      </c>
      <c r="CG541" s="46" t="e">
        <v>#N/A</v>
      </c>
      <c r="CH541" s="46" t="e">
        <v>#N/A</v>
      </c>
      <c r="CI541" s="46" t="e">
        <v>#N/A</v>
      </c>
      <c r="CJ541" s="46" t="e">
        <v>#N/A</v>
      </c>
      <c r="CM541">
        <f t="shared" si="63"/>
        <v>0</v>
      </c>
      <c r="CP541">
        <f t="shared" si="64"/>
        <v>0</v>
      </c>
      <c r="CS541">
        <f t="shared" si="65"/>
        <v>0</v>
      </c>
      <c r="CW541" s="46"/>
      <c r="CX541" s="46" t="e">
        <f t="shared" si="59"/>
        <v>#N/A</v>
      </c>
      <c r="CY541" s="46"/>
      <c r="CZ541" s="46" t="e">
        <f t="shared" si="60"/>
        <v>#N/A</v>
      </c>
      <c r="DA541" s="46" t="e">
        <f t="shared" si="61"/>
        <v>#N/A</v>
      </c>
      <c r="DB541" s="46"/>
      <c r="DC541" s="46" t="e">
        <f t="shared" si="62"/>
        <v>#N/A</v>
      </c>
      <c r="DD541" s="46"/>
      <c r="DE541" s="995" t="s">
        <v>194</v>
      </c>
      <c r="DF541" s="995" t="s">
        <v>194</v>
      </c>
      <c r="DG541" s="995" t="s">
        <v>194</v>
      </c>
      <c r="DH541" s="995" t="s">
        <v>194</v>
      </c>
      <c r="DI541" s="995" t="s">
        <v>194</v>
      </c>
      <c r="DJ541" s="995" t="s">
        <v>194</v>
      </c>
      <c r="DK541" s="995" t="s">
        <v>194</v>
      </c>
      <c r="DL541" s="995" t="s">
        <v>194</v>
      </c>
      <c r="DM541" s="995" t="s">
        <v>194</v>
      </c>
      <c r="DN541" s="995" t="s">
        <v>194</v>
      </c>
      <c r="DO541" s="995" t="s">
        <v>194</v>
      </c>
      <c r="DP541" s="995" t="s">
        <v>194</v>
      </c>
      <c r="DQ541" s="995" t="s">
        <v>194</v>
      </c>
      <c r="DR541" s="995" t="s">
        <v>194</v>
      </c>
      <c r="DS541" s="995" t="s">
        <v>194</v>
      </c>
      <c r="DT541" s="995" t="s">
        <v>194</v>
      </c>
    </row>
    <row r="542" spans="1:124">
      <c r="A542" s="42" t="s">
        <v>94</v>
      </c>
      <c r="B542" s="42" t="s">
        <v>510</v>
      </c>
      <c r="C542" s="42" t="s">
        <v>750</v>
      </c>
      <c r="D542" s="42">
        <v>803351</v>
      </c>
      <c r="E542" s="42" t="s">
        <v>762</v>
      </c>
      <c r="F542" s="42" t="s">
        <v>193</v>
      </c>
      <c r="G542" s="42" t="s">
        <v>150</v>
      </c>
      <c r="H542" s="43" t="s">
        <v>152</v>
      </c>
      <c r="I542" s="44">
        <v>37</v>
      </c>
      <c r="J542" s="45">
        <v>14.089600000000001</v>
      </c>
      <c r="K542" s="46">
        <v>0</v>
      </c>
      <c r="L542" s="47">
        <v>14.089600000000001</v>
      </c>
      <c r="M542" s="48">
        <v>200</v>
      </c>
      <c r="N542" s="49">
        <v>200</v>
      </c>
      <c r="O542" s="49">
        <v>0</v>
      </c>
      <c r="P542" s="49">
        <v>0</v>
      </c>
      <c r="Q542" s="50">
        <v>0</v>
      </c>
      <c r="R542" s="51">
        <v>9261.0149948525104</v>
      </c>
      <c r="S542" s="49">
        <v>16958.472038185999</v>
      </c>
      <c r="T542" s="49">
        <v>2646.2424811338501</v>
      </c>
      <c r="U542" s="49">
        <f>IFERROR(INDEX('Rentabilidad datos'!$N$2:$N$61,MATCH($C542,'Rentabilidad datos'!$C$2:$C$61,0)),"")</f>
        <v>28865.729514172355</v>
      </c>
      <c r="V542" s="50">
        <f>IFERROR(INDEX('Rentabilidad datos'!$O$2:$O$61,MATCH($C542,'Rentabilidad datos'!$C$2:$C$61,0)),"")</f>
        <v>1519.2489217985451</v>
      </c>
      <c r="W542" s="51">
        <f>IFERROR(INDEX('Rentabilidad datos'!$M$2:$M$61,MATCH($C542,'Rentabilidad datos'!$C$2:$C$61,0)),"")</f>
        <v>3054.2455510167165</v>
      </c>
      <c r="X542" s="52">
        <f>IFERROR(INDEX('Rentabilidad datos'!$P$2:$P$61,MATCH($C542,'Rentabilidad datos'!$C$2:$C$61,0)),"")</f>
        <v>0.49742199715828611</v>
      </c>
      <c r="Y542" s="43" t="s">
        <v>171</v>
      </c>
      <c r="Z542" s="53">
        <v>0</v>
      </c>
      <c r="AA542" s="43">
        <v>2</v>
      </c>
      <c r="AB542" s="54">
        <v>1</v>
      </c>
      <c r="AC542" s="55">
        <v>0</v>
      </c>
      <c r="AD542" s="752" t="e">
        <f>_xlfn.XLOOKUP(Table1[[#This Row],[Ruta]],#REF!,#REF!)</f>
        <v>#REF!</v>
      </c>
      <c r="AE542" s="752" t="e">
        <f>_xlfn.XLOOKUP(Table1[[#This Row],[Ruta]],#REF!,#REF!)</f>
        <v>#REF!</v>
      </c>
      <c r="AF542" s="752" t="e">
        <f>_xlfn.XLOOKUP(Table1[[#This Row],[Ruta]],#REF!,#REF!)</f>
        <v>#REF!</v>
      </c>
      <c r="AG542" s="752" t="e">
        <f>_xlfn.XLOOKUP(Table1[[#This Row],[Ruta]],#REF!,#REF!)</f>
        <v>#REF!</v>
      </c>
      <c r="AH542" s="52">
        <v>1</v>
      </c>
      <c r="AI542" s="52">
        <v>0</v>
      </c>
      <c r="AJ542" s="55">
        <v>0</v>
      </c>
      <c r="AK542" s="56">
        <v>0</v>
      </c>
      <c r="AL542" s="44">
        <v>2</v>
      </c>
      <c r="AM542" s="54">
        <v>0</v>
      </c>
      <c r="AN542" s="55">
        <v>0.50430318916557504</v>
      </c>
      <c r="AO542" s="56">
        <v>0</v>
      </c>
      <c r="AP542" s="48">
        <v>0</v>
      </c>
      <c r="AQ542" s="55" t="s">
        <v>194</v>
      </c>
      <c r="AR542" s="51">
        <v>200</v>
      </c>
      <c r="AS542" s="49">
        <v>0</v>
      </c>
      <c r="AT542" s="55">
        <v>0</v>
      </c>
      <c r="AU542" s="51">
        <v>0</v>
      </c>
      <c r="AV542" s="52">
        <v>0</v>
      </c>
      <c r="AW542" s="44">
        <v>490</v>
      </c>
      <c r="AX542" s="51">
        <v>100</v>
      </c>
      <c r="AY542" s="49">
        <v>292.44921817516598</v>
      </c>
      <c r="AZ542" s="49">
        <v>192.44921817516598</v>
      </c>
      <c r="BA542" s="42" t="s">
        <v>150</v>
      </c>
      <c r="BB542" s="50">
        <v>135.23458574471127</v>
      </c>
      <c r="BC542" s="57">
        <v>135.23458574471127</v>
      </c>
      <c r="BD542" s="42" t="s">
        <v>152</v>
      </c>
      <c r="BE542" s="46" t="s">
        <v>195</v>
      </c>
      <c r="BF542" s="46" t="s">
        <v>195</v>
      </c>
      <c r="BG542" s="42" t="s">
        <v>195</v>
      </c>
      <c r="BH542" s="52" t="s">
        <v>195</v>
      </c>
      <c r="BI542" s="52" t="s">
        <v>195</v>
      </c>
      <c r="BJ542" s="42" t="s">
        <v>195</v>
      </c>
      <c r="BK542" s="46" t="s">
        <v>195</v>
      </c>
      <c r="BL542" s="46" t="s">
        <v>195</v>
      </c>
      <c r="BM542" s="42" t="s">
        <v>195</v>
      </c>
      <c r="BN542" s="48" t="s">
        <v>195</v>
      </c>
      <c r="BO542" s="42" t="s">
        <v>195</v>
      </c>
      <c r="BP542" s="42" t="s">
        <v>152</v>
      </c>
      <c r="BQ542" s="46">
        <v>0</v>
      </c>
      <c r="BR542" s="46" t="e">
        <v>#N/A</v>
      </c>
      <c r="BS542" s="46" t="e">
        <v>#N/A</v>
      </c>
      <c r="BT542" s="46" t="e">
        <v>#N/A</v>
      </c>
      <c r="BU542" s="46" t="e">
        <v>#N/A</v>
      </c>
      <c r="BV542" s="46" t="e">
        <v>#N/A</v>
      </c>
      <c r="BW542" s="46" t="e">
        <v>#N/A</v>
      </c>
      <c r="BX542" s="46" t="e">
        <v>#N/A</v>
      </c>
      <c r="BY542" s="46" t="e">
        <v>#N/A</v>
      </c>
      <c r="BZ542" s="46" t="e">
        <v>#N/A</v>
      </c>
      <c r="CA542" s="46" t="e">
        <v>#N/A</v>
      </c>
      <c r="CB542" s="46" t="e">
        <v>#N/A</v>
      </c>
      <c r="CC542" s="46" t="e">
        <v>#N/A</v>
      </c>
      <c r="CD542" s="46" t="e">
        <v>#N/A</v>
      </c>
      <c r="CE542" s="46" t="e">
        <v>#N/A</v>
      </c>
      <c r="CF542" s="46" t="e">
        <v>#N/A</v>
      </c>
      <c r="CG542" s="46" t="e">
        <v>#N/A</v>
      </c>
      <c r="CH542" s="46" t="e">
        <v>#N/A</v>
      </c>
      <c r="CI542" s="46" t="e">
        <v>#N/A</v>
      </c>
      <c r="CJ542" s="46" t="e">
        <v>#N/A</v>
      </c>
      <c r="CM542">
        <f t="shared" si="63"/>
        <v>0</v>
      </c>
      <c r="CP542">
        <f t="shared" si="64"/>
        <v>0</v>
      </c>
      <c r="CS542">
        <f t="shared" si="65"/>
        <v>0</v>
      </c>
      <c r="CW542" s="46"/>
      <c r="CX542" s="46" t="e">
        <f t="shared" si="59"/>
        <v>#N/A</v>
      </c>
      <c r="CY542" s="46"/>
      <c r="CZ542" s="46" t="e">
        <f t="shared" si="60"/>
        <v>#N/A</v>
      </c>
      <c r="DA542" s="46" t="e">
        <f t="shared" si="61"/>
        <v>#N/A</v>
      </c>
      <c r="DB542" s="46"/>
      <c r="DC542" s="46" t="e">
        <f t="shared" si="62"/>
        <v>#N/A</v>
      </c>
      <c r="DD542" s="46"/>
      <c r="DE542" s="995" t="s">
        <v>194</v>
      </c>
      <c r="DF542" s="995" t="s">
        <v>194</v>
      </c>
      <c r="DG542" s="995" t="s">
        <v>194</v>
      </c>
      <c r="DH542" s="995" t="s">
        <v>194</v>
      </c>
      <c r="DI542" s="995" t="s">
        <v>194</v>
      </c>
      <c r="DJ542" s="995" t="s">
        <v>194</v>
      </c>
      <c r="DK542" s="995" t="s">
        <v>194</v>
      </c>
      <c r="DL542" s="995" t="s">
        <v>194</v>
      </c>
      <c r="DM542" s="995" t="s">
        <v>194</v>
      </c>
      <c r="DN542" s="995" t="s">
        <v>194</v>
      </c>
      <c r="DO542" s="995" t="s">
        <v>194</v>
      </c>
      <c r="DP542" s="995" t="s">
        <v>194</v>
      </c>
      <c r="DQ542" s="995" t="s">
        <v>194</v>
      </c>
      <c r="DR542" s="995" t="s">
        <v>194</v>
      </c>
      <c r="DS542" s="995" t="s">
        <v>194</v>
      </c>
      <c r="DT542" s="995" t="s">
        <v>194</v>
      </c>
    </row>
    <row r="543" spans="1:124">
      <c r="A543" s="42" t="s">
        <v>94</v>
      </c>
      <c r="B543" s="42" t="s">
        <v>510</v>
      </c>
      <c r="C543" s="42" t="s">
        <v>750</v>
      </c>
      <c r="D543" s="42">
        <v>803353</v>
      </c>
      <c r="E543" s="42" t="s">
        <v>763</v>
      </c>
      <c r="F543" s="42" t="s">
        <v>193</v>
      </c>
      <c r="G543" s="42" t="s">
        <v>150</v>
      </c>
      <c r="H543" s="43" t="s">
        <v>152</v>
      </c>
      <c r="I543" s="44">
        <v>37</v>
      </c>
      <c r="J543" s="45">
        <v>31.701599999999999</v>
      </c>
      <c r="K543" s="46">
        <v>0</v>
      </c>
      <c r="L543" s="47">
        <v>31.701599999999999</v>
      </c>
      <c r="M543" s="48">
        <v>318</v>
      </c>
      <c r="N543" s="49">
        <v>318</v>
      </c>
      <c r="O543" s="49">
        <v>0</v>
      </c>
      <c r="P543" s="49">
        <v>0</v>
      </c>
      <c r="Q543" s="50">
        <v>0</v>
      </c>
      <c r="R543" s="51">
        <v>9261.0149948525104</v>
      </c>
      <c r="S543" s="49">
        <v>16958.472038185999</v>
      </c>
      <c r="T543" s="49">
        <v>2646.2424811338501</v>
      </c>
      <c r="U543" s="49">
        <f>IFERROR(INDEX('Rentabilidad datos'!$N$2:$N$61,MATCH($C543,'Rentabilidad datos'!$C$2:$C$61,0)),"")</f>
        <v>28865.729514172355</v>
      </c>
      <c r="V543" s="50">
        <f>IFERROR(INDEX('Rentabilidad datos'!$O$2:$O$61,MATCH($C543,'Rentabilidad datos'!$C$2:$C$61,0)),"")</f>
        <v>1519.2489217985451</v>
      </c>
      <c r="W543" s="51">
        <f>IFERROR(INDEX('Rentabilidad datos'!$M$2:$M$61,MATCH($C543,'Rentabilidad datos'!$C$2:$C$61,0)),"")</f>
        <v>3054.2455510167165</v>
      </c>
      <c r="X543" s="52">
        <f>IFERROR(INDEX('Rentabilidad datos'!$P$2:$P$61,MATCH($C543,'Rentabilidad datos'!$C$2:$C$61,0)),"")</f>
        <v>0.49742199715828611</v>
      </c>
      <c r="Y543" s="43" t="s">
        <v>171</v>
      </c>
      <c r="Z543" s="53">
        <v>0</v>
      </c>
      <c r="AA543" s="43">
        <v>2</v>
      </c>
      <c r="AB543" s="54">
        <v>0</v>
      </c>
      <c r="AC543" s="55">
        <v>1</v>
      </c>
      <c r="AD543" s="752" t="e">
        <f>_xlfn.XLOOKUP(Table1[[#This Row],[Ruta]],#REF!,#REF!)</f>
        <v>#REF!</v>
      </c>
      <c r="AE543" s="752" t="e">
        <f>_xlfn.XLOOKUP(Table1[[#This Row],[Ruta]],#REF!,#REF!)</f>
        <v>#REF!</v>
      </c>
      <c r="AF543" s="752" t="e">
        <f>_xlfn.XLOOKUP(Table1[[#This Row],[Ruta]],#REF!,#REF!)</f>
        <v>#REF!</v>
      </c>
      <c r="AG543" s="752" t="e">
        <f>_xlfn.XLOOKUP(Table1[[#This Row],[Ruta]],#REF!,#REF!)</f>
        <v>#REF!</v>
      </c>
      <c r="AH543" s="52">
        <v>1</v>
      </c>
      <c r="AI543" s="52">
        <v>0</v>
      </c>
      <c r="AJ543" s="55">
        <v>0</v>
      </c>
      <c r="AK543" s="56">
        <v>0</v>
      </c>
      <c r="AL543" s="44">
        <v>3</v>
      </c>
      <c r="AM543" s="54">
        <v>0</v>
      </c>
      <c r="AN543" s="55">
        <v>0.50430318916557504</v>
      </c>
      <c r="AO543" s="56">
        <v>0</v>
      </c>
      <c r="AP543" s="48">
        <v>0</v>
      </c>
      <c r="AQ543" s="55" t="s">
        <v>194</v>
      </c>
      <c r="AR543" s="51">
        <v>318</v>
      </c>
      <c r="AS543" s="49">
        <v>0</v>
      </c>
      <c r="AT543" s="55">
        <v>0</v>
      </c>
      <c r="AU543" s="51">
        <v>0</v>
      </c>
      <c r="AV543" s="52">
        <v>0</v>
      </c>
      <c r="AW543" s="44">
        <v>490</v>
      </c>
      <c r="AX543" s="51">
        <v>106</v>
      </c>
      <c r="AY543" s="49">
        <v>292.44921817516598</v>
      </c>
      <c r="AZ543" s="49">
        <v>186.44921817516598</v>
      </c>
      <c r="BA543" s="42" t="s">
        <v>150</v>
      </c>
      <c r="BB543" s="50">
        <v>196.52755429274262</v>
      </c>
      <c r="BC543" s="57">
        <v>196.52755429274262</v>
      </c>
      <c r="BD543" s="42" t="s">
        <v>152</v>
      </c>
      <c r="BE543" s="46" t="s">
        <v>195</v>
      </c>
      <c r="BF543" s="46" t="s">
        <v>195</v>
      </c>
      <c r="BG543" s="42" t="s">
        <v>195</v>
      </c>
      <c r="BH543" s="52" t="s">
        <v>195</v>
      </c>
      <c r="BI543" s="52" t="s">
        <v>195</v>
      </c>
      <c r="BJ543" s="42" t="s">
        <v>195</v>
      </c>
      <c r="BK543" s="46" t="s">
        <v>195</v>
      </c>
      <c r="BL543" s="46" t="s">
        <v>195</v>
      </c>
      <c r="BM543" s="42" t="s">
        <v>195</v>
      </c>
      <c r="BN543" s="48" t="s">
        <v>195</v>
      </c>
      <c r="BO543" s="42" t="s">
        <v>195</v>
      </c>
      <c r="BP543" s="42" t="s">
        <v>152</v>
      </c>
      <c r="BQ543" s="46">
        <v>0</v>
      </c>
      <c r="BR543" s="46" t="e">
        <v>#N/A</v>
      </c>
      <c r="BS543" s="46" t="e">
        <v>#N/A</v>
      </c>
      <c r="BT543" s="46" t="e">
        <v>#N/A</v>
      </c>
      <c r="BU543" s="46" t="e">
        <v>#N/A</v>
      </c>
      <c r="BV543" s="46" t="e">
        <v>#N/A</v>
      </c>
      <c r="BW543" s="46" t="e">
        <v>#N/A</v>
      </c>
      <c r="BX543" s="46" t="e">
        <v>#N/A</v>
      </c>
      <c r="BY543" s="46" t="e">
        <v>#N/A</v>
      </c>
      <c r="BZ543" s="46" t="e">
        <v>#N/A</v>
      </c>
      <c r="CA543" s="46" t="e">
        <v>#N/A</v>
      </c>
      <c r="CB543" s="46" t="e">
        <v>#N/A</v>
      </c>
      <c r="CC543" s="46" t="e">
        <v>#N/A</v>
      </c>
      <c r="CD543" s="46" t="e">
        <v>#N/A</v>
      </c>
      <c r="CE543" s="46" t="e">
        <v>#N/A</v>
      </c>
      <c r="CF543" s="46" t="e">
        <v>#N/A</v>
      </c>
      <c r="CG543" s="46" t="e">
        <v>#N/A</v>
      </c>
      <c r="CH543" s="46" t="e">
        <v>#N/A</v>
      </c>
      <c r="CI543" s="46" t="e">
        <v>#N/A</v>
      </c>
      <c r="CJ543" s="46" t="e">
        <v>#N/A</v>
      </c>
      <c r="CM543">
        <f t="shared" si="63"/>
        <v>0</v>
      </c>
      <c r="CP543">
        <f t="shared" si="64"/>
        <v>0</v>
      </c>
      <c r="CS543">
        <f t="shared" si="65"/>
        <v>0</v>
      </c>
      <c r="CW543" s="46"/>
      <c r="CX543" s="46" t="e">
        <f t="shared" si="59"/>
        <v>#N/A</v>
      </c>
      <c r="CY543" s="46"/>
      <c r="CZ543" s="46" t="e">
        <f t="shared" si="60"/>
        <v>#N/A</v>
      </c>
      <c r="DA543" s="46" t="e">
        <f t="shared" si="61"/>
        <v>#N/A</v>
      </c>
      <c r="DB543" s="46"/>
      <c r="DC543" s="46" t="e">
        <f t="shared" si="62"/>
        <v>#N/A</v>
      </c>
      <c r="DD543" s="46"/>
      <c r="DE543" s="995" t="s">
        <v>194</v>
      </c>
      <c r="DF543" s="995" t="s">
        <v>194</v>
      </c>
      <c r="DG543" s="995" t="s">
        <v>194</v>
      </c>
      <c r="DH543" s="995" t="s">
        <v>194</v>
      </c>
      <c r="DI543" s="995" t="s">
        <v>194</v>
      </c>
      <c r="DJ543" s="995" t="s">
        <v>194</v>
      </c>
      <c r="DK543" s="995" t="s">
        <v>194</v>
      </c>
      <c r="DL543" s="995" t="s">
        <v>194</v>
      </c>
      <c r="DM543" s="995" t="s">
        <v>194</v>
      </c>
      <c r="DN543" s="995" t="s">
        <v>194</v>
      </c>
      <c r="DO543" s="995" t="s">
        <v>194</v>
      </c>
      <c r="DP543" s="995" t="s">
        <v>194</v>
      </c>
      <c r="DQ543" s="995" t="s">
        <v>194</v>
      </c>
      <c r="DR543" s="995" t="s">
        <v>194</v>
      </c>
      <c r="DS543" s="995" t="s">
        <v>194</v>
      </c>
      <c r="DT543" s="995" t="s">
        <v>194</v>
      </c>
    </row>
    <row r="544" spans="1:124">
      <c r="A544" s="42" t="s">
        <v>94</v>
      </c>
      <c r="B544" s="42" t="s">
        <v>510</v>
      </c>
      <c r="C544" s="42" t="s">
        <v>750</v>
      </c>
      <c r="D544" s="42">
        <v>803354</v>
      </c>
      <c r="E544" s="42" t="s">
        <v>764</v>
      </c>
      <c r="F544" s="42" t="s">
        <v>149</v>
      </c>
      <c r="G544" s="42" t="s">
        <v>150</v>
      </c>
      <c r="H544" s="43" t="s">
        <v>150</v>
      </c>
      <c r="I544" s="44">
        <v>37</v>
      </c>
      <c r="J544" s="45">
        <v>174475.0392</v>
      </c>
      <c r="K544" s="46">
        <v>14983.704922000001</v>
      </c>
      <c r="L544" s="47">
        <v>189458.744122</v>
      </c>
      <c r="M544" s="48">
        <v>4312506</v>
      </c>
      <c r="N544" s="49">
        <v>2502920</v>
      </c>
      <c r="O544" s="49">
        <v>1805645</v>
      </c>
      <c r="P544" s="49">
        <v>3941</v>
      </c>
      <c r="Q544" s="50">
        <v>9950.4940184757506</v>
      </c>
      <c r="R544" s="51">
        <v>9261.0149948525104</v>
      </c>
      <c r="S544" s="49">
        <v>16958.472038185999</v>
      </c>
      <c r="T544" s="49">
        <v>2646.2424811338501</v>
      </c>
      <c r="U544" s="49">
        <f>IFERROR(INDEX('Rentabilidad datos'!$N$2:$N$61,MATCH($C544,'Rentabilidad datos'!$C$2:$C$61,0)),"")</f>
        <v>28865.729514172355</v>
      </c>
      <c r="V544" s="50">
        <f>IFERROR(INDEX('Rentabilidad datos'!$O$2:$O$61,MATCH($C544,'Rentabilidad datos'!$C$2:$C$61,0)),"")</f>
        <v>1519.2489217985451</v>
      </c>
      <c r="W544" s="51">
        <f>IFERROR(INDEX('Rentabilidad datos'!$M$2:$M$61,MATCH($C544,'Rentabilidad datos'!$C$2:$C$61,0)),"")</f>
        <v>3054.2455510167165</v>
      </c>
      <c r="X544" s="52">
        <f>IFERROR(INDEX('Rentabilidad datos'!$P$2:$P$61,MATCH($C544,'Rentabilidad datos'!$C$2:$C$61,0)),"")</f>
        <v>0.49742199715828611</v>
      </c>
      <c r="Y544" s="43" t="s">
        <v>171</v>
      </c>
      <c r="Z544" s="53">
        <v>75.073903002309507</v>
      </c>
      <c r="AA544" s="43">
        <v>2</v>
      </c>
      <c r="AB544" s="54">
        <v>0.9881328860759846</v>
      </c>
      <c r="AC544" s="55">
        <v>1.186711392401541E-2</v>
      </c>
      <c r="AD544" s="752" t="e">
        <f>_xlfn.XLOOKUP(Table1[[#This Row],[Ruta]],#REF!,#REF!)</f>
        <v>#REF!</v>
      </c>
      <c r="AE544" s="752" t="e">
        <f>_xlfn.XLOOKUP(Table1[[#This Row],[Ruta]],#REF!,#REF!)</f>
        <v>#REF!</v>
      </c>
      <c r="AF544" s="752" t="e">
        <f>_xlfn.XLOOKUP(Table1[[#This Row],[Ruta]],#REF!,#REF!)</f>
        <v>#REF!</v>
      </c>
      <c r="AG544" s="752" t="e">
        <f>_xlfn.XLOOKUP(Table1[[#This Row],[Ruta]],#REF!,#REF!)</f>
        <v>#REF!</v>
      </c>
      <c r="AH544" s="52">
        <v>0.58038643888263575</v>
      </c>
      <c r="AI544" s="52">
        <v>0.41869970731634926</v>
      </c>
      <c r="AJ544" s="55">
        <v>9.1385380101500146E-4</v>
      </c>
      <c r="AK544" s="56">
        <v>32507</v>
      </c>
      <c r="AL544" s="44">
        <v>15768</v>
      </c>
      <c r="AM544" s="54">
        <v>0.48506475528347698</v>
      </c>
      <c r="AN544" s="55">
        <v>0.50430318916557504</v>
      </c>
      <c r="AO544" s="56">
        <v>625.38377020533198</v>
      </c>
      <c r="AP544" s="48">
        <v>312.69188510266599</v>
      </c>
      <c r="AQ544" s="55">
        <v>0.49468397222452598</v>
      </c>
      <c r="AR544" s="51">
        <v>4308563.91</v>
      </c>
      <c r="AS544" s="49">
        <v>85442.222926383503</v>
      </c>
      <c r="AT544" s="55">
        <v>1.9830789263233537E-2</v>
      </c>
      <c r="AU544" s="51">
        <v>60040.480975296538</v>
      </c>
      <c r="AV544" s="52">
        <v>2.7312982974449544E-4</v>
      </c>
      <c r="AW544" s="44">
        <v>422</v>
      </c>
      <c r="AX544" s="51">
        <v>273.247330669711</v>
      </c>
      <c r="AY544" s="49">
        <v>292.44921817516598</v>
      </c>
      <c r="AZ544" s="49">
        <v>19.201887505454977</v>
      </c>
      <c r="BA544" s="42" t="s">
        <v>150</v>
      </c>
      <c r="BB544" s="50">
        <v>106380.53265995093</v>
      </c>
      <c r="BC544" s="57">
        <v>166421.01363524748</v>
      </c>
      <c r="BD544" s="42" t="s">
        <v>150</v>
      </c>
      <c r="BE544" s="46">
        <v>75.073903002309507</v>
      </c>
      <c r="BF544" s="46">
        <v>72.425990467051307</v>
      </c>
      <c r="BG544" s="42" t="s">
        <v>150</v>
      </c>
      <c r="BH544" s="52">
        <v>0.48506475528347698</v>
      </c>
      <c r="BI544" s="52">
        <v>0.49337264070319697</v>
      </c>
      <c r="BJ544" s="42" t="s">
        <v>152</v>
      </c>
      <c r="BK544" s="46">
        <v>437.54906263741299</v>
      </c>
      <c r="BL544" s="46">
        <v>605.59017138979505</v>
      </c>
      <c r="BM544" s="42" t="s">
        <v>152</v>
      </c>
      <c r="BN544" s="48">
        <v>1</v>
      </c>
      <c r="BO544" s="42" t="s">
        <v>155</v>
      </c>
      <c r="BP544" s="42" t="s">
        <v>152</v>
      </c>
      <c r="BQ544" s="46">
        <v>4748.3227751829399</v>
      </c>
      <c r="BR544" s="46">
        <v>80</v>
      </c>
      <c r="BS544" s="46">
        <v>9264</v>
      </c>
      <c r="BT544" s="46">
        <v>2743</v>
      </c>
      <c r="BU544" s="46">
        <v>3.3773240977032448</v>
      </c>
      <c r="BV544" s="46">
        <v>34.287500000000001</v>
      </c>
      <c r="BW544" s="46">
        <v>0</v>
      </c>
      <c r="BX544" s="46">
        <v>0</v>
      </c>
      <c r="BY544" s="46">
        <v>0</v>
      </c>
      <c r="BZ544" s="46">
        <v>0</v>
      </c>
      <c r="CA544" s="46">
        <v>0</v>
      </c>
      <c r="CB544" s="46">
        <v>0</v>
      </c>
      <c r="CC544" s="46">
        <v>0</v>
      </c>
      <c r="CD544" s="46">
        <v>0.2333211811884798</v>
      </c>
      <c r="CE544" s="46">
        <v>0</v>
      </c>
      <c r="CF544" s="46">
        <v>0.76667881881152022</v>
      </c>
      <c r="CG544" s="46">
        <v>0</v>
      </c>
      <c r="CH544" s="46">
        <v>0</v>
      </c>
      <c r="CI544" s="46">
        <v>5.6131260794473237</v>
      </c>
      <c r="CJ544" s="46">
        <v>0.32383419689119169</v>
      </c>
      <c r="CK544">
        <v>270</v>
      </c>
      <c r="CL544">
        <v>270</v>
      </c>
      <c r="CM544">
        <f t="shared" si="63"/>
        <v>0</v>
      </c>
      <c r="CO544">
        <v>9.4499999999999993</v>
      </c>
      <c r="CP544">
        <f t="shared" si="64"/>
        <v>9.4499999999999993</v>
      </c>
      <c r="CS544">
        <f t="shared" si="65"/>
        <v>0</v>
      </c>
      <c r="CV544">
        <v>0</v>
      </c>
      <c r="CW544" s="46">
        <v>0</v>
      </c>
      <c r="CX544" s="46">
        <f t="shared" si="59"/>
        <v>0</v>
      </c>
      <c r="CY544" s="46">
        <v>0</v>
      </c>
      <c r="CZ544" s="46">
        <f t="shared" si="60"/>
        <v>0</v>
      </c>
      <c r="DA544" s="46">
        <f t="shared" si="61"/>
        <v>0</v>
      </c>
      <c r="DB544" s="46">
        <v>0</v>
      </c>
      <c r="DC544" s="46">
        <f t="shared" si="62"/>
        <v>0</v>
      </c>
      <c r="DD544" s="46">
        <v>0</v>
      </c>
      <c r="DE544" s="995">
        <v>0</v>
      </c>
      <c r="DF544" s="995">
        <v>0</v>
      </c>
      <c r="DG544" s="995">
        <v>0</v>
      </c>
      <c r="DH544" s="995">
        <v>0</v>
      </c>
      <c r="DI544" s="995">
        <v>1147.8879999999999</v>
      </c>
      <c r="DJ544" s="995">
        <v>3148656</v>
      </c>
      <c r="DK544" s="995">
        <v>48.514000000000003</v>
      </c>
      <c r="DL544" s="995">
        <v>133073.1</v>
      </c>
      <c r="DM544" s="995">
        <v>0</v>
      </c>
      <c r="DN544" s="995">
        <v>0</v>
      </c>
      <c r="DO544" s="995">
        <v>0</v>
      </c>
      <c r="DP544" s="995">
        <v>0</v>
      </c>
      <c r="DQ544" s="995">
        <v>1147.8879999999999</v>
      </c>
      <c r="DR544" s="995">
        <v>3148656</v>
      </c>
      <c r="DS544" s="995">
        <v>48.514000000000003</v>
      </c>
      <c r="DT544" s="995">
        <v>133073.1</v>
      </c>
    </row>
    <row r="545" spans="1:124">
      <c r="A545" s="42" t="s">
        <v>94</v>
      </c>
      <c r="B545" s="42" t="s">
        <v>510</v>
      </c>
      <c r="C545" s="42" t="s">
        <v>750</v>
      </c>
      <c r="D545" s="42">
        <v>803355</v>
      </c>
      <c r="E545" s="42" t="s">
        <v>765</v>
      </c>
      <c r="F545" s="42" t="s">
        <v>149</v>
      </c>
      <c r="G545" s="42" t="s">
        <v>150</v>
      </c>
      <c r="H545" s="43" t="s">
        <v>150</v>
      </c>
      <c r="I545" s="44">
        <v>37</v>
      </c>
      <c r="J545" s="45">
        <v>176665.97200000001</v>
      </c>
      <c r="K545" s="46">
        <v>19030.73979</v>
      </c>
      <c r="L545" s="47">
        <v>195696.71179</v>
      </c>
      <c r="M545" s="48">
        <v>5023191</v>
      </c>
      <c r="N545" s="49">
        <v>2584261</v>
      </c>
      <c r="O545" s="49">
        <v>2435972</v>
      </c>
      <c r="P545" s="49">
        <v>2958</v>
      </c>
      <c r="Q545" s="50">
        <v>11567.356221198201</v>
      </c>
      <c r="R545" s="51">
        <v>9261.0149948525104</v>
      </c>
      <c r="S545" s="49">
        <v>16958.472038185999</v>
      </c>
      <c r="T545" s="49">
        <v>2646.2424811338501</v>
      </c>
      <c r="U545" s="49">
        <f>IFERROR(INDEX('Rentabilidad datos'!$N$2:$N$61,MATCH($C545,'Rentabilidad datos'!$C$2:$C$61,0)),"")</f>
        <v>28865.729514172355</v>
      </c>
      <c r="V545" s="50">
        <f>IFERROR(INDEX('Rentabilidad datos'!$O$2:$O$61,MATCH($C545,'Rentabilidad datos'!$C$2:$C$61,0)),"")</f>
        <v>1519.2489217985451</v>
      </c>
      <c r="W545" s="51">
        <f>IFERROR(INDEX('Rentabilidad datos'!$M$2:$M$61,MATCH($C545,'Rentabilidad datos'!$C$2:$C$61,0)),"")</f>
        <v>3054.2455510167165</v>
      </c>
      <c r="X545" s="52">
        <f>IFERROR(INDEX('Rentabilidad datos'!$P$2:$P$61,MATCH($C545,'Rentabilidad datos'!$C$2:$C$61,0)),"")</f>
        <v>0.49742199715828611</v>
      </c>
      <c r="Y545" s="43" t="s">
        <v>171</v>
      </c>
      <c r="Z545" s="53">
        <v>71.771889400921694</v>
      </c>
      <c r="AA545" s="43">
        <v>2</v>
      </c>
      <c r="AB545" s="54">
        <v>0.98604572272883906</v>
      </c>
      <c r="AC545" s="55">
        <v>1.3954277271160902E-2</v>
      </c>
      <c r="AD545" s="752" t="e">
        <f>_xlfn.XLOOKUP(Table1[[#This Row],[Ruta]],#REF!,#REF!)</f>
        <v>#REF!</v>
      </c>
      <c r="AE545" s="752" t="e">
        <f>_xlfn.XLOOKUP(Table1[[#This Row],[Ruta]],#REF!,#REF!)</f>
        <v>#REF!</v>
      </c>
      <c r="AF545" s="752" t="e">
        <f>_xlfn.XLOOKUP(Table1[[#This Row],[Ruta]],#REF!,#REF!)</f>
        <v>#REF!</v>
      </c>
      <c r="AG545" s="752" t="e">
        <f>_xlfn.XLOOKUP(Table1[[#This Row],[Ruta]],#REF!,#REF!)</f>
        <v>#REF!</v>
      </c>
      <c r="AH545" s="52">
        <v>0.51446600378126173</v>
      </c>
      <c r="AI545" s="52">
        <v>0.48494512750958502</v>
      </c>
      <c r="AJ545" s="55">
        <v>5.8886870915320565E-4</v>
      </c>
      <c r="AK545" s="56">
        <v>31149</v>
      </c>
      <c r="AL545" s="44">
        <v>18846</v>
      </c>
      <c r="AM545" s="54">
        <v>0.60502744871424397</v>
      </c>
      <c r="AN545" s="55">
        <v>0.50430318916557504</v>
      </c>
      <c r="AO545" s="56">
        <v>0</v>
      </c>
      <c r="AP545" s="48">
        <v>0</v>
      </c>
      <c r="AQ545" s="55">
        <v>0.60502744871424441</v>
      </c>
      <c r="AR545" s="51">
        <v>5020232.5999999996</v>
      </c>
      <c r="AS545" s="49">
        <v>0</v>
      </c>
      <c r="AT545" s="55">
        <v>0</v>
      </c>
      <c r="AU545" s="51">
        <v>0</v>
      </c>
      <c r="AV545" s="52">
        <v>0</v>
      </c>
      <c r="AW545" s="44">
        <v>490</v>
      </c>
      <c r="AX545" s="51">
        <v>266.38186352541697</v>
      </c>
      <c r="AY545" s="49">
        <v>292.44921817516598</v>
      </c>
      <c r="AZ545" s="49">
        <v>26.067354649749007</v>
      </c>
      <c r="BA545" s="42" t="s">
        <v>150</v>
      </c>
      <c r="BB545" s="50">
        <v>172606.75012105971</v>
      </c>
      <c r="BC545" s="57">
        <v>172606.75012105971</v>
      </c>
      <c r="BD545" s="42" t="s">
        <v>150</v>
      </c>
      <c r="BE545" s="46">
        <v>71.771889400921694</v>
      </c>
      <c r="BF545" s="46">
        <v>72.425990467051307</v>
      </c>
      <c r="BG545" s="42" t="s">
        <v>152</v>
      </c>
      <c r="BH545" s="52">
        <v>0.60502744871424397</v>
      </c>
      <c r="BI545" s="52">
        <v>0.49337264070319697</v>
      </c>
      <c r="BJ545" s="42" t="s">
        <v>150</v>
      </c>
      <c r="BK545" s="46">
        <v>450.91408246543699</v>
      </c>
      <c r="BL545" s="46">
        <v>605.59017138979505</v>
      </c>
      <c r="BM545" s="42" t="s">
        <v>152</v>
      </c>
      <c r="BN545" s="48">
        <v>1</v>
      </c>
      <c r="BO545" s="42" t="s">
        <v>155</v>
      </c>
      <c r="BP545" s="42" t="s">
        <v>152</v>
      </c>
      <c r="BQ545" s="46">
        <v>3486.02342518868</v>
      </c>
      <c r="BR545" s="46">
        <v>81</v>
      </c>
      <c r="BS545" s="46">
        <v>10019</v>
      </c>
      <c r="BT545" s="46">
        <v>2951</v>
      </c>
      <c r="BU545" s="46">
        <v>3.3951202982039987</v>
      </c>
      <c r="BV545" s="46">
        <v>36.432098765432102</v>
      </c>
      <c r="BW545" s="46">
        <v>0</v>
      </c>
      <c r="BX545" s="46">
        <v>0</v>
      </c>
      <c r="BY545" s="46">
        <v>0</v>
      </c>
      <c r="BZ545" s="46">
        <v>0</v>
      </c>
      <c r="CA545" s="46">
        <v>0</v>
      </c>
      <c r="CB545" s="46">
        <v>0</v>
      </c>
      <c r="CC545" s="46">
        <v>0.27753303964757708</v>
      </c>
      <c r="CD545" s="46">
        <v>0</v>
      </c>
      <c r="CE545" s="46">
        <v>0</v>
      </c>
      <c r="CF545" s="46">
        <v>0.72246696035242286</v>
      </c>
      <c r="CG545" s="46">
        <v>0</v>
      </c>
      <c r="CH545" s="46">
        <v>0</v>
      </c>
      <c r="CI545" s="46">
        <v>4.8907076554546363</v>
      </c>
      <c r="CJ545" s="46">
        <v>0.1996207206308015</v>
      </c>
      <c r="CK545">
        <v>307</v>
      </c>
      <c r="CL545">
        <v>307</v>
      </c>
      <c r="CM545">
        <f t="shared" si="63"/>
        <v>0</v>
      </c>
      <c r="CO545">
        <v>9.4499999999999993</v>
      </c>
      <c r="CP545">
        <f t="shared" si="64"/>
        <v>9.4499999999999993</v>
      </c>
      <c r="CS545">
        <f t="shared" si="65"/>
        <v>0</v>
      </c>
      <c r="CV545">
        <v>0</v>
      </c>
      <c r="CW545" s="46">
        <v>0</v>
      </c>
      <c r="CX545" s="46">
        <f t="shared" si="59"/>
        <v>0</v>
      </c>
      <c r="CY545" s="46">
        <v>0</v>
      </c>
      <c r="CZ545" s="46">
        <f t="shared" si="60"/>
        <v>0</v>
      </c>
      <c r="DA545" s="46">
        <f t="shared" si="61"/>
        <v>0</v>
      </c>
      <c r="DB545" s="46">
        <v>0</v>
      </c>
      <c r="DC545" s="46">
        <f t="shared" si="62"/>
        <v>0</v>
      </c>
      <c r="DD545" s="46">
        <v>0</v>
      </c>
      <c r="DE545" s="995">
        <v>0</v>
      </c>
      <c r="DF545" s="995">
        <v>0</v>
      </c>
      <c r="DG545" s="995">
        <v>0</v>
      </c>
      <c r="DH545" s="995">
        <v>0</v>
      </c>
      <c r="DI545" s="995">
        <v>1138.248</v>
      </c>
      <c r="DJ545" s="995">
        <v>3358969</v>
      </c>
      <c r="DK545" s="995">
        <v>44.637</v>
      </c>
      <c r="DL545" s="995">
        <v>131723</v>
      </c>
      <c r="DM545" s="995">
        <v>0</v>
      </c>
      <c r="DN545" s="995">
        <v>0</v>
      </c>
      <c r="DO545" s="995">
        <v>0</v>
      </c>
      <c r="DP545" s="995">
        <v>0</v>
      </c>
      <c r="DQ545" s="995">
        <v>1138.248</v>
      </c>
      <c r="DR545" s="995">
        <v>3358969</v>
      </c>
      <c r="DS545" s="995">
        <v>44.637</v>
      </c>
      <c r="DT545" s="995">
        <v>131723</v>
      </c>
    </row>
    <row r="546" spans="1:124">
      <c r="A546" s="42" t="s">
        <v>94</v>
      </c>
      <c r="B546" s="42" t="s">
        <v>510</v>
      </c>
      <c r="C546" s="42" t="s">
        <v>750</v>
      </c>
      <c r="D546" s="42">
        <v>803356</v>
      </c>
      <c r="E546" s="42" t="s">
        <v>766</v>
      </c>
      <c r="F546" s="42" t="s">
        <v>193</v>
      </c>
      <c r="G546" s="42" t="s">
        <v>150</v>
      </c>
      <c r="H546" s="43" t="s">
        <v>152</v>
      </c>
      <c r="I546" s="44">
        <v>37</v>
      </c>
      <c r="J546" s="45">
        <v>176.12</v>
      </c>
      <c r="K546" s="46">
        <v>2.4657</v>
      </c>
      <c r="L546" s="47">
        <v>178.5857</v>
      </c>
      <c r="M546" s="48">
        <v>2788</v>
      </c>
      <c r="N546" s="49">
        <v>2500</v>
      </c>
      <c r="O546" s="49">
        <v>288</v>
      </c>
      <c r="P546" s="49">
        <v>0</v>
      </c>
      <c r="Q546" s="50">
        <v>0</v>
      </c>
      <c r="R546" s="51">
        <v>9261.0149948525104</v>
      </c>
      <c r="S546" s="49">
        <v>16958.472038185999</v>
      </c>
      <c r="T546" s="49">
        <v>2646.2424811338501</v>
      </c>
      <c r="U546" s="49">
        <f>IFERROR(INDEX('Rentabilidad datos'!$N$2:$N$61,MATCH($C546,'Rentabilidad datos'!$C$2:$C$61,0)),"")</f>
        <v>28865.729514172355</v>
      </c>
      <c r="V546" s="50">
        <f>IFERROR(INDEX('Rentabilidad datos'!$O$2:$O$61,MATCH($C546,'Rentabilidad datos'!$C$2:$C$61,0)),"")</f>
        <v>1519.2489217985451</v>
      </c>
      <c r="W546" s="51">
        <f>IFERROR(INDEX('Rentabilidad datos'!$M$2:$M$61,MATCH($C546,'Rentabilidad datos'!$C$2:$C$61,0)),"")</f>
        <v>3054.2455510167165</v>
      </c>
      <c r="X546" s="52">
        <f>IFERROR(INDEX('Rentabilidad datos'!$P$2:$P$61,MATCH($C546,'Rentabilidad datos'!$C$2:$C$61,0)),"")</f>
        <v>0.49742199715828611</v>
      </c>
      <c r="Y546" s="43" t="s">
        <v>171</v>
      </c>
      <c r="Z546" s="53">
        <v>61.6666666666667</v>
      </c>
      <c r="AA546" s="43">
        <v>2</v>
      </c>
      <c r="AB546" s="54">
        <v>1</v>
      </c>
      <c r="AC546" s="55">
        <v>0</v>
      </c>
      <c r="AD546" s="752" t="e">
        <f>_xlfn.XLOOKUP(Table1[[#This Row],[Ruta]],#REF!,#REF!)</f>
        <v>#REF!</v>
      </c>
      <c r="AE546" s="752" t="e">
        <f>_xlfn.XLOOKUP(Table1[[#This Row],[Ruta]],#REF!,#REF!)</f>
        <v>#REF!</v>
      </c>
      <c r="AF546" s="752" t="e">
        <f>_xlfn.XLOOKUP(Table1[[#This Row],[Ruta]],#REF!,#REF!)</f>
        <v>#REF!</v>
      </c>
      <c r="AG546" s="752" t="e">
        <f>_xlfn.XLOOKUP(Table1[[#This Row],[Ruta]],#REF!,#REF!)</f>
        <v>#REF!</v>
      </c>
      <c r="AH546" s="52">
        <v>0.89670014347202298</v>
      </c>
      <c r="AI546" s="52">
        <v>0.10329985652797705</v>
      </c>
      <c r="AJ546" s="55">
        <v>0</v>
      </c>
      <c r="AK546" s="56">
        <v>185</v>
      </c>
      <c r="AL546" s="44">
        <v>3</v>
      </c>
      <c r="AM546" s="54">
        <v>1.62162162162162E-2</v>
      </c>
      <c r="AN546" s="55">
        <v>0.50430318916557504</v>
      </c>
      <c r="AO546" s="56">
        <v>0</v>
      </c>
      <c r="AP546" s="48">
        <v>0</v>
      </c>
      <c r="AQ546" s="55">
        <v>1.6216216216216217E-2</v>
      </c>
      <c r="AR546" s="51">
        <v>2787.53</v>
      </c>
      <c r="AS546" s="49">
        <v>0</v>
      </c>
      <c r="AT546" s="55">
        <v>0</v>
      </c>
      <c r="AU546" s="51">
        <v>0</v>
      </c>
      <c r="AV546" s="52">
        <v>0</v>
      </c>
      <c r="AW546" s="44">
        <v>490</v>
      </c>
      <c r="AX546" s="51">
        <v>929.17666666666696</v>
      </c>
      <c r="AY546" s="49">
        <v>292.44921817516598</v>
      </c>
      <c r="AZ546" s="49">
        <v>0</v>
      </c>
      <c r="BA546" s="42" t="s">
        <v>152</v>
      </c>
      <c r="BB546" s="50">
        <v>0</v>
      </c>
      <c r="BC546" s="57">
        <v>0</v>
      </c>
      <c r="BD546" s="42" t="s">
        <v>152</v>
      </c>
      <c r="BE546" s="46" t="s">
        <v>195</v>
      </c>
      <c r="BF546" s="46" t="s">
        <v>195</v>
      </c>
      <c r="BG546" s="42" t="s">
        <v>195</v>
      </c>
      <c r="BH546" s="52" t="s">
        <v>195</v>
      </c>
      <c r="BI546" s="52" t="s">
        <v>195</v>
      </c>
      <c r="BJ546" s="42" t="s">
        <v>195</v>
      </c>
      <c r="BK546" s="46" t="s">
        <v>195</v>
      </c>
      <c r="BL546" s="46" t="s">
        <v>195</v>
      </c>
      <c r="BM546" s="42" t="s">
        <v>195</v>
      </c>
      <c r="BN546" s="48" t="s">
        <v>195</v>
      </c>
      <c r="BO546" s="42" t="s">
        <v>195</v>
      </c>
      <c r="BP546" s="42" t="s">
        <v>152</v>
      </c>
      <c r="BQ546" s="46">
        <v>0</v>
      </c>
      <c r="BR546" s="46" t="e">
        <v>#N/A</v>
      </c>
      <c r="BS546" s="46" t="e">
        <v>#N/A</v>
      </c>
      <c r="BT546" s="46" t="e">
        <v>#N/A</v>
      </c>
      <c r="BU546" s="46" t="e">
        <v>#N/A</v>
      </c>
      <c r="BV546" s="46" t="e">
        <v>#N/A</v>
      </c>
      <c r="BW546" s="46" t="e">
        <v>#N/A</v>
      </c>
      <c r="BX546" s="46" t="e">
        <v>#N/A</v>
      </c>
      <c r="BY546" s="46" t="e">
        <v>#N/A</v>
      </c>
      <c r="BZ546" s="46" t="e">
        <v>#N/A</v>
      </c>
      <c r="CA546" s="46" t="e">
        <v>#N/A</v>
      </c>
      <c r="CB546" s="46" t="e">
        <v>#N/A</v>
      </c>
      <c r="CC546" s="46" t="e">
        <v>#N/A</v>
      </c>
      <c r="CD546" s="46" t="e">
        <v>#N/A</v>
      </c>
      <c r="CE546" s="46" t="e">
        <v>#N/A</v>
      </c>
      <c r="CF546" s="46" t="e">
        <v>#N/A</v>
      </c>
      <c r="CG546" s="46" t="e">
        <v>#N/A</v>
      </c>
      <c r="CH546" s="46" t="e">
        <v>#N/A</v>
      </c>
      <c r="CI546" s="46" t="e">
        <v>#N/A</v>
      </c>
      <c r="CJ546" s="46" t="e">
        <v>#N/A</v>
      </c>
      <c r="CM546">
        <f t="shared" si="63"/>
        <v>0</v>
      </c>
      <c r="CP546">
        <f t="shared" si="64"/>
        <v>0</v>
      </c>
      <c r="CS546">
        <f t="shared" si="65"/>
        <v>0</v>
      </c>
      <c r="CW546" s="46"/>
      <c r="CX546" s="46" t="e">
        <f t="shared" si="59"/>
        <v>#N/A</v>
      </c>
      <c r="CY546" s="46"/>
      <c r="CZ546" s="46" t="e">
        <f t="shared" si="60"/>
        <v>#N/A</v>
      </c>
      <c r="DA546" s="46" t="e">
        <f t="shared" si="61"/>
        <v>#N/A</v>
      </c>
      <c r="DB546" s="46"/>
      <c r="DC546" s="46" t="e">
        <f t="shared" si="62"/>
        <v>#N/A</v>
      </c>
      <c r="DD546" s="46"/>
      <c r="DE546" s="995" t="s">
        <v>194</v>
      </c>
      <c r="DF546" s="995" t="s">
        <v>194</v>
      </c>
      <c r="DG546" s="995" t="s">
        <v>194</v>
      </c>
      <c r="DH546" s="995" t="s">
        <v>194</v>
      </c>
      <c r="DI546" s="995" t="s">
        <v>194</v>
      </c>
      <c r="DJ546" s="995" t="s">
        <v>194</v>
      </c>
      <c r="DK546" s="995" t="s">
        <v>194</v>
      </c>
      <c r="DL546" s="995" t="s">
        <v>194</v>
      </c>
      <c r="DM546" s="995" t="s">
        <v>194</v>
      </c>
      <c r="DN546" s="995" t="s">
        <v>194</v>
      </c>
      <c r="DO546" s="995" t="s">
        <v>194</v>
      </c>
      <c r="DP546" s="995" t="s">
        <v>194</v>
      </c>
      <c r="DQ546" s="995" t="s">
        <v>194</v>
      </c>
      <c r="DR546" s="995" t="s">
        <v>194</v>
      </c>
      <c r="DS546" s="995" t="s">
        <v>194</v>
      </c>
      <c r="DT546" s="995" t="s">
        <v>194</v>
      </c>
    </row>
    <row r="547" spans="1:124">
      <c r="A547" s="42" t="s">
        <v>94</v>
      </c>
      <c r="B547" s="42" t="s">
        <v>510</v>
      </c>
      <c r="C547" s="42" t="s">
        <v>750</v>
      </c>
      <c r="D547" s="42">
        <v>803357</v>
      </c>
      <c r="E547" s="42" t="s">
        <v>767</v>
      </c>
      <c r="F547" s="42" t="s">
        <v>149</v>
      </c>
      <c r="G547" s="42" t="s">
        <v>150</v>
      </c>
      <c r="H547" s="43" t="s">
        <v>150</v>
      </c>
      <c r="I547" s="44">
        <v>37</v>
      </c>
      <c r="J547" s="45">
        <v>153795.0288</v>
      </c>
      <c r="K547" s="46">
        <v>9699.8891820000008</v>
      </c>
      <c r="L547" s="47">
        <v>163494.91798200001</v>
      </c>
      <c r="M547" s="48">
        <v>3428428</v>
      </c>
      <c r="N547" s="49">
        <v>2242802</v>
      </c>
      <c r="O547" s="49">
        <v>1183101</v>
      </c>
      <c r="P547" s="49">
        <v>2525</v>
      </c>
      <c r="Q547" s="50">
        <v>8001.9429439252399</v>
      </c>
      <c r="R547" s="51">
        <v>9261.0149948525104</v>
      </c>
      <c r="S547" s="49">
        <v>16958.472038185999</v>
      </c>
      <c r="T547" s="49">
        <v>2646.2424811338501</v>
      </c>
      <c r="U547" s="49">
        <f>IFERROR(INDEX('Rentabilidad datos'!$N$2:$N$61,MATCH($C547,'Rentabilidad datos'!$C$2:$C$61,0)),"")</f>
        <v>28865.729514172355</v>
      </c>
      <c r="V547" s="50">
        <f>IFERROR(INDEX('Rentabilidad datos'!$O$2:$O$61,MATCH($C547,'Rentabilidad datos'!$C$2:$C$61,0)),"")</f>
        <v>1519.2489217985451</v>
      </c>
      <c r="W547" s="51">
        <f>IFERROR(INDEX('Rentabilidad datos'!$M$2:$M$61,MATCH($C547,'Rentabilidad datos'!$C$2:$C$61,0)),"")</f>
        <v>3054.2455510167165</v>
      </c>
      <c r="X547" s="52">
        <f>IFERROR(INDEX('Rentabilidad datos'!$P$2:$P$61,MATCH($C547,'Rentabilidad datos'!$C$2:$C$61,0)),"")</f>
        <v>0.49742199715828611</v>
      </c>
      <c r="Y547" s="43" t="s">
        <v>171</v>
      </c>
      <c r="Z547" s="53">
        <v>113.25</v>
      </c>
      <c r="AA547" s="43">
        <v>2</v>
      </c>
      <c r="AB547" s="54">
        <v>0.97976186170454793</v>
      </c>
      <c r="AC547" s="55">
        <v>2.0238138295452027E-2</v>
      </c>
      <c r="AD547" s="752" t="e">
        <f>_xlfn.XLOOKUP(Table1[[#This Row],[Ruta]],#REF!,#REF!)</f>
        <v>#REF!</v>
      </c>
      <c r="AE547" s="752" t="e">
        <f>_xlfn.XLOOKUP(Table1[[#This Row],[Ruta]],#REF!,#REF!)</f>
        <v>#REF!</v>
      </c>
      <c r="AF547" s="752" t="e">
        <f>_xlfn.XLOOKUP(Table1[[#This Row],[Ruta]],#REF!,#REF!)</f>
        <v>#REF!</v>
      </c>
      <c r="AG547" s="752" t="e">
        <f>_xlfn.XLOOKUP(Table1[[#This Row],[Ruta]],#REF!,#REF!)</f>
        <v>#REF!</v>
      </c>
      <c r="AH547" s="52">
        <v>0.65417794977756571</v>
      </c>
      <c r="AI547" s="52">
        <v>0.34508556107930516</v>
      </c>
      <c r="AJ547" s="55">
        <v>7.3648914312915426E-4</v>
      </c>
      <c r="AK547" s="56">
        <v>48471</v>
      </c>
      <c r="AL547" s="44">
        <v>15359</v>
      </c>
      <c r="AM547" s="54">
        <v>0.316869880959749</v>
      </c>
      <c r="AN547" s="55">
        <v>0.50430318916557504</v>
      </c>
      <c r="AO547" s="56">
        <v>9085.0798820445598</v>
      </c>
      <c r="AP547" s="48">
        <v>4542.5399410222799</v>
      </c>
      <c r="AQ547" s="55">
        <v>0.41058653506266185</v>
      </c>
      <c r="AR547" s="51">
        <v>3424831.58</v>
      </c>
      <c r="AS547" s="49">
        <v>1012919.737185</v>
      </c>
      <c r="AT547" s="55">
        <v>0.29575753245799025</v>
      </c>
      <c r="AU547" s="51">
        <v>711781.43694081111</v>
      </c>
      <c r="AV547" s="52">
        <v>3.2379611143842253E-3</v>
      </c>
      <c r="AW547" s="44">
        <v>92</v>
      </c>
      <c r="AX547" s="51">
        <v>222.985323263233</v>
      </c>
      <c r="AY547" s="49">
        <v>292.44921817516598</v>
      </c>
      <c r="AZ547" s="49">
        <v>69.463894911932982</v>
      </c>
      <c r="BA547" s="42" t="s">
        <v>150</v>
      </c>
      <c r="BB547" s="50">
        <v>374855.33798326837</v>
      </c>
      <c r="BC547" s="57">
        <v>1086636.7749240794</v>
      </c>
      <c r="BD547" s="42" t="s">
        <v>150</v>
      </c>
      <c r="BE547" s="46">
        <v>113.25</v>
      </c>
      <c r="BF547" s="46">
        <v>72.425990467051307</v>
      </c>
      <c r="BG547" s="42" t="s">
        <v>150</v>
      </c>
      <c r="BH547" s="52">
        <v>0.316869880959749</v>
      </c>
      <c r="BI547" s="52">
        <v>0.49337264070319697</v>
      </c>
      <c r="BJ547" s="42" t="s">
        <v>152</v>
      </c>
      <c r="BK547" s="46">
        <v>381.997471920561</v>
      </c>
      <c r="BL547" s="46">
        <v>605.59017138979505</v>
      </c>
      <c r="BM547" s="42" t="s">
        <v>152</v>
      </c>
      <c r="BN547" s="48">
        <v>1</v>
      </c>
      <c r="BO547" s="42" t="s">
        <v>155</v>
      </c>
      <c r="BP547" s="42" t="s">
        <v>152</v>
      </c>
      <c r="BQ547" s="46">
        <v>4348.6163222157702</v>
      </c>
      <c r="BR547" s="46">
        <v>131</v>
      </c>
      <c r="BS547" s="46">
        <v>17079</v>
      </c>
      <c r="BT547" s="46">
        <v>4696</v>
      </c>
      <c r="BU547" s="46">
        <v>3.6369250425894379</v>
      </c>
      <c r="BV547" s="46">
        <v>35.847328244274806</v>
      </c>
      <c r="BW547" s="46">
        <v>0</v>
      </c>
      <c r="BX547" s="46">
        <v>467</v>
      </c>
      <c r="BY547" s="46">
        <v>467</v>
      </c>
      <c r="BZ547" s="46">
        <v>9.9446337308347524E-2</v>
      </c>
      <c r="CA547" s="46">
        <v>0</v>
      </c>
      <c r="CB547" s="46">
        <v>9.9446337308347524E-2</v>
      </c>
      <c r="CC547" s="46">
        <v>0.22806643952299829</v>
      </c>
      <c r="CD547" s="46">
        <v>0</v>
      </c>
      <c r="CE547" s="46">
        <v>0</v>
      </c>
      <c r="CF547" s="46">
        <v>0.67248722316865417</v>
      </c>
      <c r="CG547" s="46">
        <v>0</v>
      </c>
      <c r="CH547" s="46">
        <v>0</v>
      </c>
      <c r="CI547" s="46">
        <v>4.5670121201475498</v>
      </c>
      <c r="CJ547" s="46">
        <v>0.17565431231336731</v>
      </c>
      <c r="CK547">
        <v>383</v>
      </c>
      <c r="CL547">
        <v>383</v>
      </c>
      <c r="CM547">
        <f t="shared" si="63"/>
        <v>0</v>
      </c>
      <c r="CN547">
        <v>9.7899999999999991</v>
      </c>
      <c r="CO547">
        <v>9.4499999999999993</v>
      </c>
      <c r="CP547">
        <f t="shared" si="64"/>
        <v>-0.33999999999999986</v>
      </c>
      <c r="CQ547">
        <v>564.37</v>
      </c>
      <c r="CR547">
        <v>382</v>
      </c>
      <c r="CS547">
        <f t="shared" si="65"/>
        <v>182.37</v>
      </c>
      <c r="CT547" t="s">
        <v>150</v>
      </c>
      <c r="CU547">
        <v>103.54</v>
      </c>
      <c r="CV547">
        <v>96</v>
      </c>
      <c r="CW547" s="46">
        <v>467</v>
      </c>
      <c r="CX547" s="46">
        <f t="shared" si="59"/>
        <v>9.9446337308347523</v>
      </c>
      <c r="CY547" s="46">
        <v>0</v>
      </c>
      <c r="CZ547" s="46">
        <f t="shared" si="60"/>
        <v>9.9446337308347523</v>
      </c>
      <c r="DA547" s="46">
        <f t="shared" si="61"/>
        <v>160.98584114139695</v>
      </c>
      <c r="DB547" s="46">
        <v>755989.51</v>
      </c>
      <c r="DC547" s="46">
        <f t="shared" si="62"/>
        <v>6.8553896933560479</v>
      </c>
      <c r="DD547" s="46">
        <v>32192.91</v>
      </c>
      <c r="DE547" s="995">
        <v>467</v>
      </c>
      <c r="DF547" s="995">
        <v>9.7810000000000006</v>
      </c>
      <c r="DG547" s="995">
        <v>7.7</v>
      </c>
      <c r="DH547" s="995">
        <v>9.9450000000000003</v>
      </c>
      <c r="DI547" s="995">
        <v>768.71600000000001</v>
      </c>
      <c r="DJ547" s="995">
        <v>3615804</v>
      </c>
      <c r="DK547" s="995">
        <v>34.159999999999997</v>
      </c>
      <c r="DL547" s="995">
        <v>160677.1</v>
      </c>
      <c r="DM547" s="995">
        <v>467</v>
      </c>
      <c r="DN547" s="995">
        <v>9.81</v>
      </c>
      <c r="DO547" s="995">
        <v>6.3</v>
      </c>
      <c r="DP547" s="995">
        <v>9.9450000000000003</v>
      </c>
      <c r="DQ547" s="995">
        <v>765.99099999999999</v>
      </c>
      <c r="DR547" s="995">
        <v>3601944</v>
      </c>
      <c r="DS547" s="995">
        <v>34.043999999999997</v>
      </c>
      <c r="DT547" s="995">
        <v>160087</v>
      </c>
    </row>
    <row r="548" spans="1:124">
      <c r="A548" s="42" t="s">
        <v>94</v>
      </c>
      <c r="B548" s="42" t="s">
        <v>510</v>
      </c>
      <c r="C548" s="42" t="s">
        <v>750</v>
      </c>
      <c r="D548" s="42">
        <v>803358</v>
      </c>
      <c r="E548" s="42" t="s">
        <v>768</v>
      </c>
      <c r="F548" s="42" t="s">
        <v>149</v>
      </c>
      <c r="G548" s="42" t="s">
        <v>150</v>
      </c>
      <c r="H548" s="43" t="s">
        <v>152</v>
      </c>
      <c r="I548" s="44">
        <v>37</v>
      </c>
      <c r="J548" s="45">
        <v>317.01600000000002</v>
      </c>
      <c r="K548" s="46">
        <v>6.3331</v>
      </c>
      <c r="L548" s="47">
        <v>323.34910000000002</v>
      </c>
      <c r="M548" s="48">
        <v>4778</v>
      </c>
      <c r="N548" s="49">
        <v>3698</v>
      </c>
      <c r="O548" s="49">
        <v>1080</v>
      </c>
      <c r="P548" s="49">
        <v>0</v>
      </c>
      <c r="Q548" s="50">
        <v>191.13839999999999</v>
      </c>
      <c r="R548" s="51">
        <v>9261.0149948525104</v>
      </c>
      <c r="S548" s="49">
        <v>16958.472038185999</v>
      </c>
      <c r="T548" s="49">
        <v>2646.2424811338501</v>
      </c>
      <c r="U548" s="49">
        <f>IFERROR(INDEX('Rentabilidad datos'!$N$2:$N$61,MATCH($C548,'Rentabilidad datos'!$C$2:$C$61,0)),"")</f>
        <v>28865.729514172355</v>
      </c>
      <c r="V548" s="50">
        <f>IFERROR(INDEX('Rentabilidad datos'!$O$2:$O$61,MATCH($C548,'Rentabilidad datos'!$C$2:$C$61,0)),"")</f>
        <v>1519.2489217985451</v>
      </c>
      <c r="W548" s="51">
        <f>IFERROR(INDEX('Rentabilidad datos'!$M$2:$M$61,MATCH($C548,'Rentabilidad datos'!$C$2:$C$61,0)),"")</f>
        <v>3054.2455510167165</v>
      </c>
      <c r="X548" s="52">
        <f>IFERROR(INDEX('Rentabilidad datos'!$P$2:$P$61,MATCH($C548,'Rentabilidad datos'!$C$2:$C$61,0)),"")</f>
        <v>0.49742199715828611</v>
      </c>
      <c r="Y548" s="43" t="s">
        <v>171</v>
      </c>
      <c r="Z548" s="53">
        <v>0</v>
      </c>
      <c r="AA548" s="43">
        <v>2</v>
      </c>
      <c r="AB548" s="54">
        <v>0</v>
      </c>
      <c r="AC548" s="55">
        <v>1</v>
      </c>
      <c r="AD548" s="752" t="e">
        <f>_xlfn.XLOOKUP(Table1[[#This Row],[Ruta]],#REF!,#REF!)</f>
        <v>#REF!</v>
      </c>
      <c r="AE548" s="752" t="e">
        <f>_xlfn.XLOOKUP(Table1[[#This Row],[Ruta]],#REF!,#REF!)</f>
        <v>#REF!</v>
      </c>
      <c r="AF548" s="752" t="e">
        <f>_xlfn.XLOOKUP(Table1[[#This Row],[Ruta]],#REF!,#REF!)</f>
        <v>#REF!</v>
      </c>
      <c r="AG548" s="752" t="e">
        <f>_xlfn.XLOOKUP(Table1[[#This Row],[Ruta]],#REF!,#REF!)</f>
        <v>#REF!</v>
      </c>
      <c r="AH548" s="52">
        <v>0.77396400167434076</v>
      </c>
      <c r="AI548" s="52">
        <v>0.22603599832565927</v>
      </c>
      <c r="AJ548" s="55">
        <v>0</v>
      </c>
      <c r="AK548" s="56">
        <v>0</v>
      </c>
      <c r="AL548" s="44">
        <v>27</v>
      </c>
      <c r="AM548" s="54">
        <v>0</v>
      </c>
      <c r="AN548" s="55">
        <v>0.50430318916557504</v>
      </c>
      <c r="AO548" s="56">
        <v>0</v>
      </c>
      <c r="AP548" s="48">
        <v>0</v>
      </c>
      <c r="AQ548" s="55" t="s">
        <v>194</v>
      </c>
      <c r="AR548" s="51">
        <v>4778.46</v>
      </c>
      <c r="AS548" s="49">
        <v>0</v>
      </c>
      <c r="AT548" s="55">
        <v>0</v>
      </c>
      <c r="AU548" s="51">
        <v>0</v>
      </c>
      <c r="AV548" s="52">
        <v>0</v>
      </c>
      <c r="AW548" s="44">
        <v>490</v>
      </c>
      <c r="AX548" s="51">
        <v>176.98</v>
      </c>
      <c r="AY548" s="49">
        <v>292.44921817516598</v>
      </c>
      <c r="AZ548" s="49">
        <v>115.46921817516599</v>
      </c>
      <c r="BA548" s="42" t="s">
        <v>150</v>
      </c>
      <c r="BB548" s="50">
        <v>1095.3971778238724</v>
      </c>
      <c r="BC548" s="57">
        <v>1095.3971778238724</v>
      </c>
      <c r="BD548" s="42" t="s">
        <v>152</v>
      </c>
      <c r="BE548" s="46" t="s">
        <v>195</v>
      </c>
      <c r="BF548" s="46" t="s">
        <v>195</v>
      </c>
      <c r="BG548" s="42" t="s">
        <v>195</v>
      </c>
      <c r="BH548" s="52" t="s">
        <v>195</v>
      </c>
      <c r="BI548" s="52" t="s">
        <v>195</v>
      </c>
      <c r="BJ548" s="42" t="s">
        <v>195</v>
      </c>
      <c r="BK548" s="46" t="s">
        <v>195</v>
      </c>
      <c r="BL548" s="46" t="s">
        <v>195</v>
      </c>
      <c r="BM548" s="42" t="s">
        <v>195</v>
      </c>
      <c r="BN548" s="48" t="s">
        <v>195</v>
      </c>
      <c r="BO548" s="42" t="s">
        <v>195</v>
      </c>
      <c r="BP548" s="42" t="s">
        <v>152</v>
      </c>
      <c r="BQ548" s="46">
        <v>0</v>
      </c>
      <c r="BR548" s="46" t="e">
        <v>#N/A</v>
      </c>
      <c r="BS548" s="46" t="e">
        <v>#N/A</v>
      </c>
      <c r="BT548" s="46" t="e">
        <v>#N/A</v>
      </c>
      <c r="BU548" s="46" t="e">
        <v>#N/A</v>
      </c>
      <c r="BV548" s="46" t="e">
        <v>#N/A</v>
      </c>
      <c r="BW548" s="46" t="e">
        <v>#N/A</v>
      </c>
      <c r="BX548" s="46" t="e">
        <v>#N/A</v>
      </c>
      <c r="BY548" s="46" t="e">
        <v>#N/A</v>
      </c>
      <c r="BZ548" s="46" t="e">
        <v>#N/A</v>
      </c>
      <c r="CA548" s="46" t="e">
        <v>#N/A</v>
      </c>
      <c r="CB548" s="46" t="e">
        <v>#N/A</v>
      </c>
      <c r="CC548" s="46" t="e">
        <v>#N/A</v>
      </c>
      <c r="CD548" s="46" t="e">
        <v>#N/A</v>
      </c>
      <c r="CE548" s="46" t="e">
        <v>#N/A</v>
      </c>
      <c r="CF548" s="46" t="e">
        <v>#N/A</v>
      </c>
      <c r="CG548" s="46" t="e">
        <v>#N/A</v>
      </c>
      <c r="CH548" s="46" t="e">
        <v>#N/A</v>
      </c>
      <c r="CI548" s="46" t="e">
        <v>#N/A</v>
      </c>
      <c r="CJ548" s="46" t="e">
        <v>#N/A</v>
      </c>
      <c r="CM548">
        <f t="shared" si="63"/>
        <v>0</v>
      </c>
      <c r="CP548">
        <f t="shared" si="64"/>
        <v>0</v>
      </c>
      <c r="CS548">
        <f t="shared" si="65"/>
        <v>0</v>
      </c>
      <c r="CW548" s="46"/>
      <c r="CX548" s="46" t="e">
        <f t="shared" si="59"/>
        <v>#N/A</v>
      </c>
      <c r="CY548" s="46"/>
      <c r="CZ548" s="46" t="e">
        <f t="shared" si="60"/>
        <v>#N/A</v>
      </c>
      <c r="DA548" s="46" t="e">
        <f t="shared" si="61"/>
        <v>#N/A</v>
      </c>
      <c r="DB548" s="46"/>
      <c r="DC548" s="46" t="e">
        <f t="shared" si="62"/>
        <v>#N/A</v>
      </c>
      <c r="DD548" s="46"/>
      <c r="DE548" s="995" t="s">
        <v>194</v>
      </c>
      <c r="DF548" s="995" t="s">
        <v>194</v>
      </c>
      <c r="DG548" s="995" t="s">
        <v>194</v>
      </c>
      <c r="DH548" s="995" t="s">
        <v>194</v>
      </c>
      <c r="DI548" s="995" t="s">
        <v>194</v>
      </c>
      <c r="DJ548" s="995" t="s">
        <v>194</v>
      </c>
      <c r="DK548" s="995" t="s">
        <v>194</v>
      </c>
      <c r="DL548" s="995" t="s">
        <v>194</v>
      </c>
      <c r="DM548" s="995" t="s">
        <v>194</v>
      </c>
      <c r="DN548" s="995" t="s">
        <v>194</v>
      </c>
      <c r="DO548" s="995" t="s">
        <v>194</v>
      </c>
      <c r="DP548" s="995" t="s">
        <v>194</v>
      </c>
      <c r="DQ548" s="995" t="s">
        <v>194</v>
      </c>
      <c r="DR548" s="995" t="s">
        <v>194</v>
      </c>
      <c r="DS548" s="995" t="s">
        <v>194</v>
      </c>
      <c r="DT548" s="995" t="s">
        <v>194</v>
      </c>
    </row>
    <row r="549" spans="1:124">
      <c r="A549" s="42" t="s">
        <v>94</v>
      </c>
      <c r="B549" s="42" t="s">
        <v>510</v>
      </c>
      <c r="C549" s="42" t="s">
        <v>750</v>
      </c>
      <c r="D549" s="42">
        <v>803359</v>
      </c>
      <c r="E549" s="42" t="s">
        <v>769</v>
      </c>
      <c r="F549" s="42" t="s">
        <v>193</v>
      </c>
      <c r="G549" s="42" t="s">
        <v>150</v>
      </c>
      <c r="H549" s="43" t="s">
        <v>152</v>
      </c>
      <c r="I549" s="44">
        <v>37</v>
      </c>
      <c r="J549" s="45">
        <v>10.5672</v>
      </c>
      <c r="K549" s="46">
        <v>0</v>
      </c>
      <c r="L549" s="47">
        <v>10.5672</v>
      </c>
      <c r="M549" s="48">
        <v>104</v>
      </c>
      <c r="N549" s="49">
        <v>104</v>
      </c>
      <c r="O549" s="49">
        <v>0</v>
      </c>
      <c r="P549" s="49">
        <v>0</v>
      </c>
      <c r="Q549" s="50">
        <v>0</v>
      </c>
      <c r="R549" s="51">
        <v>9261.0149948525104</v>
      </c>
      <c r="S549" s="49">
        <v>16958.472038185999</v>
      </c>
      <c r="T549" s="49">
        <v>2646.2424811338501</v>
      </c>
      <c r="U549" s="49">
        <f>IFERROR(INDEX('Rentabilidad datos'!$N$2:$N$61,MATCH($C549,'Rentabilidad datos'!$C$2:$C$61,0)),"")</f>
        <v>28865.729514172355</v>
      </c>
      <c r="V549" s="50">
        <f>IFERROR(INDEX('Rentabilidad datos'!$O$2:$O$61,MATCH($C549,'Rentabilidad datos'!$C$2:$C$61,0)),"")</f>
        <v>1519.2489217985451</v>
      </c>
      <c r="W549" s="51">
        <f>IFERROR(INDEX('Rentabilidad datos'!$M$2:$M$61,MATCH($C549,'Rentabilidad datos'!$C$2:$C$61,0)),"")</f>
        <v>3054.2455510167165</v>
      </c>
      <c r="X549" s="52">
        <f>IFERROR(INDEX('Rentabilidad datos'!$P$2:$P$61,MATCH($C549,'Rentabilidad datos'!$C$2:$C$61,0)),"")</f>
        <v>0.49742199715828611</v>
      </c>
      <c r="Y549" s="43" t="s">
        <v>171</v>
      </c>
      <c r="Z549" s="53">
        <v>0</v>
      </c>
      <c r="AA549" s="43">
        <v>2</v>
      </c>
      <c r="AB549" s="54">
        <v>0</v>
      </c>
      <c r="AC549" s="55">
        <v>1</v>
      </c>
      <c r="AD549" s="752" t="e">
        <f>_xlfn.XLOOKUP(Table1[[#This Row],[Ruta]],#REF!,#REF!)</f>
        <v>#REF!</v>
      </c>
      <c r="AE549" s="752" t="e">
        <f>_xlfn.XLOOKUP(Table1[[#This Row],[Ruta]],#REF!,#REF!)</f>
        <v>#REF!</v>
      </c>
      <c r="AF549" s="752" t="e">
        <f>_xlfn.XLOOKUP(Table1[[#This Row],[Ruta]],#REF!,#REF!)</f>
        <v>#REF!</v>
      </c>
      <c r="AG549" s="752" t="e">
        <f>_xlfn.XLOOKUP(Table1[[#This Row],[Ruta]],#REF!,#REF!)</f>
        <v>#REF!</v>
      </c>
      <c r="AH549" s="52">
        <v>1</v>
      </c>
      <c r="AI549" s="52">
        <v>0</v>
      </c>
      <c r="AJ549" s="55">
        <v>0</v>
      </c>
      <c r="AK549" s="56">
        <v>0</v>
      </c>
      <c r="AL549" s="44">
        <v>1</v>
      </c>
      <c r="AM549" s="54">
        <v>0</v>
      </c>
      <c r="AN549" s="55">
        <v>0.50430318916557504</v>
      </c>
      <c r="AO549" s="56">
        <v>0</v>
      </c>
      <c r="AP549" s="48">
        <v>0</v>
      </c>
      <c r="AQ549" s="55" t="s">
        <v>194</v>
      </c>
      <c r="AR549" s="51">
        <v>104</v>
      </c>
      <c r="AS549" s="49">
        <v>0</v>
      </c>
      <c r="AT549" s="55">
        <v>0</v>
      </c>
      <c r="AU549" s="51">
        <v>0</v>
      </c>
      <c r="AV549" s="52">
        <v>0</v>
      </c>
      <c r="AW549" s="44">
        <v>490</v>
      </c>
      <c r="AX549" s="51">
        <v>104</v>
      </c>
      <c r="AY549" s="49">
        <v>292.44921817516598</v>
      </c>
      <c r="AZ549" s="49">
        <v>188.44921817516598</v>
      </c>
      <c r="BA549" s="42" t="s">
        <v>150</v>
      </c>
      <c r="BB549" s="50">
        <v>66.21188746695023</v>
      </c>
      <c r="BC549" s="57">
        <v>66.21188746695023</v>
      </c>
      <c r="BD549" s="42" t="s">
        <v>152</v>
      </c>
      <c r="BE549" s="46" t="s">
        <v>195</v>
      </c>
      <c r="BF549" s="46" t="s">
        <v>195</v>
      </c>
      <c r="BG549" s="42" t="s">
        <v>195</v>
      </c>
      <c r="BH549" s="52" t="s">
        <v>195</v>
      </c>
      <c r="BI549" s="52" t="s">
        <v>195</v>
      </c>
      <c r="BJ549" s="42" t="s">
        <v>195</v>
      </c>
      <c r="BK549" s="46" t="s">
        <v>195</v>
      </c>
      <c r="BL549" s="46" t="s">
        <v>195</v>
      </c>
      <c r="BM549" s="42" t="s">
        <v>195</v>
      </c>
      <c r="BN549" s="48" t="s">
        <v>195</v>
      </c>
      <c r="BO549" s="42" t="s">
        <v>195</v>
      </c>
      <c r="BP549" s="42" t="s">
        <v>152</v>
      </c>
      <c r="BQ549" s="46">
        <v>0</v>
      </c>
      <c r="BR549" s="46" t="e">
        <v>#N/A</v>
      </c>
      <c r="BS549" s="46" t="e">
        <v>#N/A</v>
      </c>
      <c r="BT549" s="46" t="e">
        <v>#N/A</v>
      </c>
      <c r="BU549" s="46" t="e">
        <v>#N/A</v>
      </c>
      <c r="BV549" s="46" t="e">
        <v>#N/A</v>
      </c>
      <c r="BW549" s="46" t="e">
        <v>#N/A</v>
      </c>
      <c r="BX549" s="46" t="e">
        <v>#N/A</v>
      </c>
      <c r="BY549" s="46" t="e">
        <v>#N/A</v>
      </c>
      <c r="BZ549" s="46" t="e">
        <v>#N/A</v>
      </c>
      <c r="CA549" s="46" t="e">
        <v>#N/A</v>
      </c>
      <c r="CB549" s="46" t="e">
        <v>#N/A</v>
      </c>
      <c r="CC549" s="46" t="e">
        <v>#N/A</v>
      </c>
      <c r="CD549" s="46" t="e">
        <v>#N/A</v>
      </c>
      <c r="CE549" s="46" t="e">
        <v>#N/A</v>
      </c>
      <c r="CF549" s="46" t="e">
        <v>#N/A</v>
      </c>
      <c r="CG549" s="46" t="e">
        <v>#N/A</v>
      </c>
      <c r="CH549" s="46" t="e">
        <v>#N/A</v>
      </c>
      <c r="CI549" s="46" t="e">
        <v>#N/A</v>
      </c>
      <c r="CJ549" s="46" t="e">
        <v>#N/A</v>
      </c>
      <c r="CM549">
        <f t="shared" si="63"/>
        <v>0</v>
      </c>
      <c r="CP549">
        <f t="shared" si="64"/>
        <v>0</v>
      </c>
      <c r="CS549">
        <f t="shared" si="65"/>
        <v>0</v>
      </c>
      <c r="CW549" s="46"/>
      <c r="CX549" s="46" t="e">
        <f t="shared" si="59"/>
        <v>#N/A</v>
      </c>
      <c r="CY549" s="46"/>
      <c r="CZ549" s="46" t="e">
        <f t="shared" si="60"/>
        <v>#N/A</v>
      </c>
      <c r="DA549" s="46" t="e">
        <f t="shared" si="61"/>
        <v>#N/A</v>
      </c>
      <c r="DB549" s="46"/>
      <c r="DC549" s="46" t="e">
        <f t="shared" si="62"/>
        <v>#N/A</v>
      </c>
      <c r="DD549" s="46"/>
      <c r="DE549" s="995" t="s">
        <v>194</v>
      </c>
      <c r="DF549" s="995" t="s">
        <v>194</v>
      </c>
      <c r="DG549" s="995" t="s">
        <v>194</v>
      </c>
      <c r="DH549" s="995" t="s">
        <v>194</v>
      </c>
      <c r="DI549" s="995" t="s">
        <v>194</v>
      </c>
      <c r="DJ549" s="995" t="s">
        <v>194</v>
      </c>
      <c r="DK549" s="995" t="s">
        <v>194</v>
      </c>
      <c r="DL549" s="995" t="s">
        <v>194</v>
      </c>
      <c r="DM549" s="995" t="s">
        <v>194</v>
      </c>
      <c r="DN549" s="995" t="s">
        <v>194</v>
      </c>
      <c r="DO549" s="995" t="s">
        <v>194</v>
      </c>
      <c r="DP549" s="995" t="s">
        <v>194</v>
      </c>
      <c r="DQ549" s="995" t="s">
        <v>194</v>
      </c>
      <c r="DR549" s="995" t="s">
        <v>194</v>
      </c>
      <c r="DS549" s="995" t="s">
        <v>194</v>
      </c>
      <c r="DT549" s="995" t="s">
        <v>194</v>
      </c>
    </row>
    <row r="550" spans="1:124">
      <c r="A550" s="42" t="s">
        <v>94</v>
      </c>
      <c r="B550" s="42" t="s">
        <v>510</v>
      </c>
      <c r="C550" s="42" t="s">
        <v>750</v>
      </c>
      <c r="D550" s="42">
        <v>803360</v>
      </c>
      <c r="E550" s="42" t="s">
        <v>770</v>
      </c>
      <c r="F550" s="42" t="s">
        <v>149</v>
      </c>
      <c r="G550" s="42" t="s">
        <v>150</v>
      </c>
      <c r="H550" s="43" t="s">
        <v>150</v>
      </c>
      <c r="I550" s="44">
        <v>37</v>
      </c>
      <c r="J550" s="45">
        <v>169.0752</v>
      </c>
      <c r="K550" s="46">
        <v>3.5224000000000002</v>
      </c>
      <c r="L550" s="47">
        <v>172.5976</v>
      </c>
      <c r="M550" s="48">
        <v>2314</v>
      </c>
      <c r="N550" s="49">
        <v>2031</v>
      </c>
      <c r="O550" s="49">
        <v>283</v>
      </c>
      <c r="P550" s="49">
        <v>0</v>
      </c>
      <c r="Q550" s="50">
        <v>105.17090909090901</v>
      </c>
      <c r="R550" s="51">
        <v>9261.0149948525104</v>
      </c>
      <c r="S550" s="49">
        <v>16958.472038185999</v>
      </c>
      <c r="T550" s="49">
        <v>2646.2424811338501</v>
      </c>
      <c r="U550" s="49">
        <f>IFERROR(INDEX('Rentabilidad datos'!$N$2:$N$61,MATCH($C550,'Rentabilidad datos'!$C$2:$C$61,0)),"")</f>
        <v>28865.729514172355</v>
      </c>
      <c r="V550" s="50">
        <f>IFERROR(INDEX('Rentabilidad datos'!$O$2:$O$61,MATCH($C550,'Rentabilidad datos'!$C$2:$C$61,0)),"")</f>
        <v>1519.2489217985451</v>
      </c>
      <c r="W550" s="51">
        <f>IFERROR(INDEX('Rentabilidad datos'!$M$2:$M$61,MATCH($C550,'Rentabilidad datos'!$C$2:$C$61,0)),"")</f>
        <v>3054.2455510167165</v>
      </c>
      <c r="X550" s="52">
        <f>IFERROR(INDEX('Rentabilidad datos'!$P$2:$P$61,MATCH($C550,'Rentabilidad datos'!$C$2:$C$61,0)),"")</f>
        <v>0.49742199715828611</v>
      </c>
      <c r="Y550" s="43" t="s">
        <v>171</v>
      </c>
      <c r="Z550" s="53">
        <v>93.1666666666667</v>
      </c>
      <c r="AA550" s="43">
        <v>2</v>
      </c>
      <c r="AB550" s="54">
        <v>0</v>
      </c>
      <c r="AC550" s="55">
        <v>1</v>
      </c>
      <c r="AD550" s="752" t="e">
        <f>_xlfn.XLOOKUP(Table1[[#This Row],[Ruta]],#REF!,#REF!)</f>
        <v>#REF!</v>
      </c>
      <c r="AE550" s="752" t="e">
        <f>_xlfn.XLOOKUP(Table1[[#This Row],[Ruta]],#REF!,#REF!)</f>
        <v>#REF!</v>
      </c>
      <c r="AF550" s="752" t="e">
        <f>_xlfn.XLOOKUP(Table1[[#This Row],[Ruta]],#REF!,#REF!)</f>
        <v>#REF!</v>
      </c>
      <c r="AG550" s="752" t="e">
        <f>_xlfn.XLOOKUP(Table1[[#This Row],[Ruta]],#REF!,#REF!)</f>
        <v>#REF!</v>
      </c>
      <c r="AH550" s="52">
        <v>0.87770095073465859</v>
      </c>
      <c r="AI550" s="52">
        <v>0.12229904926534139</v>
      </c>
      <c r="AJ550" s="55">
        <v>0</v>
      </c>
      <c r="AK550" s="56">
        <v>559</v>
      </c>
      <c r="AL550" s="44">
        <v>17</v>
      </c>
      <c r="AM550" s="54">
        <v>1.7889087656529001E-3</v>
      </c>
      <c r="AN550" s="55">
        <v>0.50430318916557504</v>
      </c>
      <c r="AO550" s="56">
        <v>280.90548274355598</v>
      </c>
      <c r="AP550" s="48">
        <v>140.45274137177799</v>
      </c>
      <c r="AQ550" s="55">
        <v>0.28166858921606081</v>
      </c>
      <c r="AR550" s="51">
        <v>2313.7600000000002</v>
      </c>
      <c r="AS550" s="49">
        <v>19116.113816256799</v>
      </c>
      <c r="AT550" s="55">
        <v>8.2619259630457762</v>
      </c>
      <c r="AU550" s="51">
        <v>13432.944843856134</v>
      </c>
      <c r="AV550" s="52">
        <v>6.1107737289433048E-5</v>
      </c>
      <c r="AW550" s="44">
        <v>466</v>
      </c>
      <c r="AX550" s="51">
        <v>136.10352941176501</v>
      </c>
      <c r="AY550" s="49">
        <v>292.44921817516598</v>
      </c>
      <c r="AZ550" s="49">
        <v>156.34568876340097</v>
      </c>
      <c r="BA550" s="42" t="s">
        <v>150</v>
      </c>
      <c r="BB550" s="50">
        <v>933.84857342463863</v>
      </c>
      <c r="BC550" s="57">
        <v>14366.793417280773</v>
      </c>
      <c r="BD550" s="42" t="s">
        <v>150</v>
      </c>
      <c r="BE550" s="46">
        <v>93.1666666666667</v>
      </c>
      <c r="BF550" s="46">
        <v>72.425990467051307</v>
      </c>
      <c r="BG550" s="42" t="s">
        <v>150</v>
      </c>
      <c r="BH550" s="52">
        <v>1.78890876565295E-3</v>
      </c>
      <c r="BI550" s="52">
        <v>0.49337264070319697</v>
      </c>
      <c r="BJ550" s="42" t="s">
        <v>152</v>
      </c>
      <c r="BK550" s="46">
        <v>7.84534545454546</v>
      </c>
      <c r="BL550" s="46">
        <v>605.59017138979505</v>
      </c>
      <c r="BM550" s="42" t="s">
        <v>152</v>
      </c>
      <c r="BN550" s="48">
        <v>1</v>
      </c>
      <c r="BO550" s="42" t="s">
        <v>155</v>
      </c>
      <c r="BP550" s="42" t="s">
        <v>152</v>
      </c>
      <c r="BQ550" s="46">
        <v>321.27394453880203</v>
      </c>
      <c r="BR550" s="46" t="e">
        <v>#N/A</v>
      </c>
      <c r="BS550" s="46" t="e">
        <v>#N/A</v>
      </c>
      <c r="BT550" s="46" t="e">
        <v>#N/A</v>
      </c>
      <c r="BU550" s="46" t="e">
        <v>#N/A</v>
      </c>
      <c r="BV550" s="46" t="e">
        <v>#N/A</v>
      </c>
      <c r="BW550" s="46" t="e">
        <v>#N/A</v>
      </c>
      <c r="BX550" s="46" t="e">
        <v>#N/A</v>
      </c>
      <c r="BY550" s="46" t="e">
        <v>#N/A</v>
      </c>
      <c r="BZ550" s="46" t="e">
        <v>#N/A</v>
      </c>
      <c r="CA550" s="46" t="e">
        <v>#N/A</v>
      </c>
      <c r="CB550" s="46" t="e">
        <v>#N/A</v>
      </c>
      <c r="CC550" s="46" t="e">
        <v>#N/A</v>
      </c>
      <c r="CD550" s="46" t="e">
        <v>#N/A</v>
      </c>
      <c r="CE550" s="46" t="e">
        <v>#N/A</v>
      </c>
      <c r="CF550" s="46" t="e">
        <v>#N/A</v>
      </c>
      <c r="CG550" s="46" t="e">
        <v>#N/A</v>
      </c>
      <c r="CH550" s="46" t="e">
        <v>#N/A</v>
      </c>
      <c r="CI550" s="46" t="e">
        <v>#N/A</v>
      </c>
      <c r="CJ550" s="46" t="e">
        <v>#N/A</v>
      </c>
      <c r="CM550">
        <f t="shared" si="63"/>
        <v>0</v>
      </c>
      <c r="CP550">
        <f t="shared" si="64"/>
        <v>0</v>
      </c>
      <c r="CS550">
        <f t="shared" si="65"/>
        <v>0</v>
      </c>
      <c r="CW550" s="46"/>
      <c r="CX550" s="46" t="e">
        <f t="shared" si="59"/>
        <v>#N/A</v>
      </c>
      <c r="CY550" s="46"/>
      <c r="CZ550" s="46" t="e">
        <f t="shared" si="60"/>
        <v>#N/A</v>
      </c>
      <c r="DA550" s="46" t="e">
        <f t="shared" si="61"/>
        <v>#N/A</v>
      </c>
      <c r="DB550" s="46"/>
      <c r="DC550" s="46" t="e">
        <f t="shared" si="62"/>
        <v>#N/A</v>
      </c>
      <c r="DD550" s="46"/>
      <c r="DE550" s="995" t="s">
        <v>194</v>
      </c>
      <c r="DF550" s="995" t="s">
        <v>194</v>
      </c>
      <c r="DG550" s="995" t="s">
        <v>194</v>
      </c>
      <c r="DH550" s="995" t="s">
        <v>194</v>
      </c>
      <c r="DI550" s="995" t="s">
        <v>194</v>
      </c>
      <c r="DJ550" s="995" t="s">
        <v>194</v>
      </c>
      <c r="DK550" s="995" t="s">
        <v>194</v>
      </c>
      <c r="DL550" s="995" t="s">
        <v>194</v>
      </c>
      <c r="DM550" s="995" t="s">
        <v>194</v>
      </c>
      <c r="DN550" s="995" t="s">
        <v>194</v>
      </c>
      <c r="DO550" s="995" t="s">
        <v>194</v>
      </c>
      <c r="DP550" s="995" t="s">
        <v>194</v>
      </c>
      <c r="DQ550" s="995" t="s">
        <v>194</v>
      </c>
      <c r="DR550" s="995" t="s">
        <v>194</v>
      </c>
      <c r="DS550" s="995" t="s">
        <v>194</v>
      </c>
      <c r="DT550" s="995" t="s">
        <v>194</v>
      </c>
    </row>
    <row r="551" spans="1:124">
      <c r="A551" s="42" t="s">
        <v>94</v>
      </c>
      <c r="B551" s="42" t="s">
        <v>510</v>
      </c>
      <c r="C551" s="42" t="s">
        <v>750</v>
      </c>
      <c r="D551" s="42">
        <v>803365</v>
      </c>
      <c r="E551" s="42" t="s">
        <v>771</v>
      </c>
      <c r="F551" s="42" t="s">
        <v>193</v>
      </c>
      <c r="G551" s="42" t="s">
        <v>150</v>
      </c>
      <c r="H551" s="43" t="s">
        <v>152</v>
      </c>
      <c r="I551" s="44">
        <v>37</v>
      </c>
      <c r="J551" s="45">
        <v>0</v>
      </c>
      <c r="K551" s="46">
        <v>5.2201000000000004</v>
      </c>
      <c r="L551" s="47">
        <v>5.2201000000000004</v>
      </c>
      <c r="M551" s="48">
        <v>721</v>
      </c>
      <c r="N551" s="49">
        <v>0</v>
      </c>
      <c r="O551" s="49">
        <v>721</v>
      </c>
      <c r="P551" s="49">
        <v>0</v>
      </c>
      <c r="Q551" s="50">
        <v>0</v>
      </c>
      <c r="R551" s="51">
        <v>9261.0149948525104</v>
      </c>
      <c r="S551" s="49">
        <v>16958.472038185999</v>
      </c>
      <c r="T551" s="49">
        <v>2646.2424811338501</v>
      </c>
      <c r="U551" s="49">
        <f>IFERROR(INDEX('Rentabilidad datos'!$N$2:$N$61,MATCH($C551,'Rentabilidad datos'!$C$2:$C$61,0)),"")</f>
        <v>28865.729514172355</v>
      </c>
      <c r="V551" s="50">
        <f>IFERROR(INDEX('Rentabilidad datos'!$O$2:$O$61,MATCH($C551,'Rentabilidad datos'!$C$2:$C$61,0)),"")</f>
        <v>1519.2489217985451</v>
      </c>
      <c r="W551" s="51">
        <f>IFERROR(INDEX('Rentabilidad datos'!$M$2:$M$61,MATCH($C551,'Rentabilidad datos'!$C$2:$C$61,0)),"")</f>
        <v>3054.2455510167165</v>
      </c>
      <c r="X551" s="52">
        <f>IFERROR(INDEX('Rentabilidad datos'!$P$2:$P$61,MATCH($C551,'Rentabilidad datos'!$C$2:$C$61,0)),"")</f>
        <v>0.49742199715828611</v>
      </c>
      <c r="Y551" s="43" t="s">
        <v>171</v>
      </c>
      <c r="Z551" s="53">
        <v>80.6666666666667</v>
      </c>
      <c r="AA551" s="43">
        <v>2</v>
      </c>
      <c r="AB551" s="54">
        <v>0</v>
      </c>
      <c r="AC551" s="55">
        <v>1</v>
      </c>
      <c r="AD551" s="752" t="e">
        <f>_xlfn.XLOOKUP(Table1[[#This Row],[Ruta]],#REF!,#REF!)</f>
        <v>#REF!</v>
      </c>
      <c r="AE551" s="752" t="e">
        <f>_xlfn.XLOOKUP(Table1[[#This Row],[Ruta]],#REF!,#REF!)</f>
        <v>#REF!</v>
      </c>
      <c r="AF551" s="752" t="e">
        <f>_xlfn.XLOOKUP(Table1[[#This Row],[Ruta]],#REF!,#REF!)</f>
        <v>#REF!</v>
      </c>
      <c r="AG551" s="752" t="e">
        <f>_xlfn.XLOOKUP(Table1[[#This Row],[Ruta]],#REF!,#REF!)</f>
        <v>#REF!</v>
      </c>
      <c r="AH551" s="52">
        <v>0</v>
      </c>
      <c r="AI551" s="52">
        <v>1</v>
      </c>
      <c r="AJ551" s="55">
        <v>0</v>
      </c>
      <c r="AK551" s="56">
        <v>484</v>
      </c>
      <c r="AL551" s="44">
        <v>2</v>
      </c>
      <c r="AM551" s="54">
        <v>2.0661157024792999E-3</v>
      </c>
      <c r="AN551" s="55">
        <v>0.50430318916557504</v>
      </c>
      <c r="AO551" s="56">
        <v>0</v>
      </c>
      <c r="AP551" s="48">
        <v>0</v>
      </c>
      <c r="AQ551" s="55">
        <v>4.1322314049586778E-3</v>
      </c>
      <c r="AR551" s="51">
        <v>720.73</v>
      </c>
      <c r="AS551" s="49">
        <v>0</v>
      </c>
      <c r="AT551" s="55">
        <v>0</v>
      </c>
      <c r="AU551" s="51">
        <v>0</v>
      </c>
      <c r="AV551" s="52">
        <v>0</v>
      </c>
      <c r="AW551" s="44">
        <v>490</v>
      </c>
      <c r="AX551" s="51">
        <v>360.36500000000001</v>
      </c>
      <c r="AY551" s="49">
        <v>292.44921817516598</v>
      </c>
      <c r="AZ551" s="49">
        <v>0</v>
      </c>
      <c r="BA551" s="42" t="s">
        <v>152</v>
      </c>
      <c r="BB551" s="50">
        <v>0</v>
      </c>
      <c r="BC551" s="57">
        <v>0</v>
      </c>
      <c r="BD551" s="42" t="s">
        <v>152</v>
      </c>
      <c r="BE551" s="46" t="s">
        <v>195</v>
      </c>
      <c r="BF551" s="46" t="s">
        <v>195</v>
      </c>
      <c r="BG551" s="42" t="s">
        <v>195</v>
      </c>
      <c r="BH551" s="52" t="s">
        <v>195</v>
      </c>
      <c r="BI551" s="52" t="s">
        <v>195</v>
      </c>
      <c r="BJ551" s="42" t="s">
        <v>195</v>
      </c>
      <c r="BK551" s="46" t="s">
        <v>195</v>
      </c>
      <c r="BL551" s="46" t="s">
        <v>195</v>
      </c>
      <c r="BM551" s="42" t="s">
        <v>195</v>
      </c>
      <c r="BN551" s="48" t="s">
        <v>195</v>
      </c>
      <c r="BO551" s="42" t="s">
        <v>195</v>
      </c>
      <c r="BP551" s="42" t="s">
        <v>152</v>
      </c>
      <c r="BQ551" s="46">
        <v>0</v>
      </c>
      <c r="BR551" s="46" t="e">
        <v>#N/A</v>
      </c>
      <c r="BS551" s="46" t="e">
        <v>#N/A</v>
      </c>
      <c r="BT551" s="46" t="e">
        <v>#N/A</v>
      </c>
      <c r="BU551" s="46" t="e">
        <v>#N/A</v>
      </c>
      <c r="BV551" s="46" t="e">
        <v>#N/A</v>
      </c>
      <c r="BW551" s="46" t="e">
        <v>#N/A</v>
      </c>
      <c r="BX551" s="46" t="e">
        <v>#N/A</v>
      </c>
      <c r="BY551" s="46" t="e">
        <v>#N/A</v>
      </c>
      <c r="BZ551" s="46" t="e">
        <v>#N/A</v>
      </c>
      <c r="CA551" s="46" t="e">
        <v>#N/A</v>
      </c>
      <c r="CB551" s="46" t="e">
        <v>#N/A</v>
      </c>
      <c r="CC551" s="46" t="e">
        <v>#N/A</v>
      </c>
      <c r="CD551" s="46" t="e">
        <v>#N/A</v>
      </c>
      <c r="CE551" s="46" t="e">
        <v>#N/A</v>
      </c>
      <c r="CF551" s="46" t="e">
        <v>#N/A</v>
      </c>
      <c r="CG551" s="46" t="e">
        <v>#N/A</v>
      </c>
      <c r="CH551" s="46" t="e">
        <v>#N/A</v>
      </c>
      <c r="CI551" s="46" t="e">
        <v>#N/A</v>
      </c>
      <c r="CJ551" s="46" t="e">
        <v>#N/A</v>
      </c>
      <c r="CM551">
        <f t="shared" si="63"/>
        <v>0</v>
      </c>
      <c r="CP551">
        <f t="shared" si="64"/>
        <v>0</v>
      </c>
      <c r="CS551">
        <f t="shared" si="65"/>
        <v>0</v>
      </c>
      <c r="CW551" s="46"/>
      <c r="CX551" s="46" t="e">
        <f t="shared" si="59"/>
        <v>#N/A</v>
      </c>
      <c r="CY551" s="46"/>
      <c r="CZ551" s="46" t="e">
        <f t="shared" si="60"/>
        <v>#N/A</v>
      </c>
      <c r="DA551" s="46" t="e">
        <f t="shared" si="61"/>
        <v>#N/A</v>
      </c>
      <c r="DB551" s="46"/>
      <c r="DC551" s="46" t="e">
        <f t="shared" si="62"/>
        <v>#N/A</v>
      </c>
      <c r="DD551" s="46"/>
      <c r="DE551" s="995" t="s">
        <v>194</v>
      </c>
      <c r="DF551" s="995" t="s">
        <v>194</v>
      </c>
      <c r="DG551" s="995" t="s">
        <v>194</v>
      </c>
      <c r="DH551" s="995" t="s">
        <v>194</v>
      </c>
      <c r="DI551" s="995" t="s">
        <v>194</v>
      </c>
      <c r="DJ551" s="995" t="s">
        <v>194</v>
      </c>
      <c r="DK551" s="995" t="s">
        <v>194</v>
      </c>
      <c r="DL551" s="995" t="s">
        <v>194</v>
      </c>
      <c r="DM551" s="995" t="s">
        <v>194</v>
      </c>
      <c r="DN551" s="995" t="s">
        <v>194</v>
      </c>
      <c r="DO551" s="995" t="s">
        <v>194</v>
      </c>
      <c r="DP551" s="995" t="s">
        <v>194</v>
      </c>
      <c r="DQ551" s="995" t="s">
        <v>194</v>
      </c>
      <c r="DR551" s="995" t="s">
        <v>194</v>
      </c>
      <c r="DS551" s="995" t="s">
        <v>194</v>
      </c>
      <c r="DT551" s="995" t="s">
        <v>194</v>
      </c>
    </row>
    <row r="552" spans="1:124">
      <c r="A552" s="42" t="s">
        <v>94</v>
      </c>
      <c r="B552" s="42" t="s">
        <v>510</v>
      </c>
      <c r="C552" s="42" t="s">
        <v>750</v>
      </c>
      <c r="D552" s="42">
        <v>803368</v>
      </c>
      <c r="E552" s="42" t="s">
        <v>772</v>
      </c>
      <c r="F552" s="42" t="s">
        <v>149</v>
      </c>
      <c r="G552" s="42" t="s">
        <v>150</v>
      </c>
      <c r="H552" s="43" t="s">
        <v>150</v>
      </c>
      <c r="I552" s="44">
        <v>37</v>
      </c>
      <c r="J552" s="45">
        <v>4512.1944000000003</v>
      </c>
      <c r="K552" s="46">
        <v>303.61672499999997</v>
      </c>
      <c r="L552" s="47">
        <v>4815.8111250000002</v>
      </c>
      <c r="M552" s="48">
        <v>101119</v>
      </c>
      <c r="N552" s="49">
        <v>62895</v>
      </c>
      <c r="O552" s="49">
        <v>38224</v>
      </c>
      <c r="P552" s="49">
        <v>0</v>
      </c>
      <c r="Q552" s="50">
        <v>1713.8762711864399</v>
      </c>
      <c r="R552" s="51">
        <v>9261.0149948525104</v>
      </c>
      <c r="S552" s="49">
        <v>16958.472038185999</v>
      </c>
      <c r="T552" s="49">
        <v>2646.2424811338501</v>
      </c>
      <c r="U552" s="49">
        <f>IFERROR(INDEX('Rentabilidad datos'!$N$2:$N$61,MATCH($C552,'Rentabilidad datos'!$C$2:$C$61,0)),"")</f>
        <v>28865.729514172355</v>
      </c>
      <c r="V552" s="50">
        <f>IFERROR(INDEX('Rentabilidad datos'!$O$2:$O$61,MATCH($C552,'Rentabilidad datos'!$C$2:$C$61,0)),"")</f>
        <v>1519.2489217985451</v>
      </c>
      <c r="W552" s="51">
        <f>IFERROR(INDEX('Rentabilidad datos'!$M$2:$M$61,MATCH($C552,'Rentabilidad datos'!$C$2:$C$61,0)),"")</f>
        <v>3054.2455510167165</v>
      </c>
      <c r="X552" s="52">
        <f>IFERROR(INDEX('Rentabilidad datos'!$P$2:$P$61,MATCH($C552,'Rentabilidad datos'!$C$2:$C$61,0)),"")</f>
        <v>0.49742199715828611</v>
      </c>
      <c r="Y552" s="43" t="s">
        <v>171</v>
      </c>
      <c r="Z552" s="53">
        <v>101.82352941176499</v>
      </c>
      <c r="AA552" s="43">
        <v>2</v>
      </c>
      <c r="AB552" s="54">
        <v>0.81771971637377738</v>
      </c>
      <c r="AC552" s="55">
        <v>0.18228028362622256</v>
      </c>
      <c r="AD552" s="752" t="e">
        <f>_xlfn.XLOOKUP(Table1[[#This Row],[Ruta]],#REF!,#REF!)</f>
        <v>#REF!</v>
      </c>
      <c r="AE552" s="752" t="e">
        <f>_xlfn.XLOOKUP(Table1[[#This Row],[Ruta]],#REF!,#REF!)</f>
        <v>#REF!</v>
      </c>
      <c r="AF552" s="752" t="e">
        <f>_xlfn.XLOOKUP(Table1[[#This Row],[Ruta]],#REF!,#REF!)</f>
        <v>#REF!</v>
      </c>
      <c r="AG552" s="752" t="e">
        <f>_xlfn.XLOOKUP(Table1[[#This Row],[Ruta]],#REF!,#REF!)</f>
        <v>#REF!</v>
      </c>
      <c r="AH552" s="52">
        <v>0.62198993265360614</v>
      </c>
      <c r="AI552" s="52">
        <v>0.37801006734639386</v>
      </c>
      <c r="AJ552" s="55">
        <v>0</v>
      </c>
      <c r="AK552" s="56">
        <v>1731</v>
      </c>
      <c r="AL552" s="44">
        <v>310</v>
      </c>
      <c r="AM552" s="54">
        <v>0.15366839976891999</v>
      </c>
      <c r="AN552" s="55">
        <v>0.50430318916557504</v>
      </c>
      <c r="AO552" s="56">
        <v>606.94882044560904</v>
      </c>
      <c r="AP552" s="48">
        <v>303.47441022280452</v>
      </c>
      <c r="AQ552" s="55">
        <v>0.35440462751172996</v>
      </c>
      <c r="AR552" s="51">
        <v>101118.7</v>
      </c>
      <c r="AS552" s="49">
        <v>98990.122080634494</v>
      </c>
      <c r="AT552" s="55">
        <v>0.97894971039614331</v>
      </c>
      <c r="AU552" s="51">
        <v>69560.626326932368</v>
      </c>
      <c r="AV552" s="52">
        <v>3.1643787186536054E-4</v>
      </c>
      <c r="AW552" s="44">
        <v>416</v>
      </c>
      <c r="AX552" s="51">
        <v>326.18935483871002</v>
      </c>
      <c r="AY552" s="49">
        <v>292.44921817516598</v>
      </c>
      <c r="AZ552" s="49">
        <v>0</v>
      </c>
      <c r="BA552" s="42" t="s">
        <v>152</v>
      </c>
      <c r="BB552" s="50">
        <v>0</v>
      </c>
      <c r="BC552" s="57">
        <v>69560.626326932368</v>
      </c>
      <c r="BD552" s="42" t="s">
        <v>150</v>
      </c>
      <c r="BE552" s="46">
        <v>101.82352941176499</v>
      </c>
      <c r="BF552" s="46">
        <v>72.425990467051307</v>
      </c>
      <c r="BG552" s="42" t="s">
        <v>150</v>
      </c>
      <c r="BH552" s="52">
        <v>0.15366839976891999</v>
      </c>
      <c r="BI552" s="52">
        <v>0.49337264070319697</v>
      </c>
      <c r="BJ552" s="42" t="s">
        <v>152</v>
      </c>
      <c r="BK552" s="46">
        <v>81.623917372881394</v>
      </c>
      <c r="BL552" s="46">
        <v>605.59017138979505</v>
      </c>
      <c r="BM552" s="42" t="s">
        <v>152</v>
      </c>
      <c r="BN552" s="48">
        <v>1</v>
      </c>
      <c r="BO552" s="42" t="s">
        <v>155</v>
      </c>
      <c r="BP552" s="42" t="s">
        <v>152</v>
      </c>
      <c r="BQ552" s="46">
        <v>0</v>
      </c>
      <c r="BR552" s="46" t="e">
        <v>#N/A</v>
      </c>
      <c r="BS552" s="46" t="e">
        <v>#N/A</v>
      </c>
      <c r="BT552" s="46" t="e">
        <v>#N/A</v>
      </c>
      <c r="BU552" s="46" t="e">
        <v>#N/A</v>
      </c>
      <c r="BV552" s="46" t="e">
        <v>#N/A</v>
      </c>
      <c r="BW552" s="46" t="e">
        <v>#N/A</v>
      </c>
      <c r="BX552" s="46" t="e">
        <v>#N/A</v>
      </c>
      <c r="BY552" s="46" t="e">
        <v>#N/A</v>
      </c>
      <c r="BZ552" s="46" t="e">
        <v>#N/A</v>
      </c>
      <c r="CA552" s="46" t="e">
        <v>#N/A</v>
      </c>
      <c r="CB552" s="46" t="e">
        <v>#N/A</v>
      </c>
      <c r="CC552" s="46" t="e">
        <v>#N/A</v>
      </c>
      <c r="CD552" s="46" t="e">
        <v>#N/A</v>
      </c>
      <c r="CE552" s="46" t="e">
        <v>#N/A</v>
      </c>
      <c r="CF552" s="46" t="e">
        <v>#N/A</v>
      </c>
      <c r="CG552" s="46" t="e">
        <v>#N/A</v>
      </c>
      <c r="CH552" s="46" t="e">
        <v>#N/A</v>
      </c>
      <c r="CI552" s="46" t="e">
        <v>#N/A</v>
      </c>
      <c r="CJ552" s="46" t="e">
        <v>#N/A</v>
      </c>
      <c r="CM552">
        <f t="shared" si="63"/>
        <v>0</v>
      </c>
      <c r="CP552">
        <f t="shared" si="64"/>
        <v>0</v>
      </c>
      <c r="CS552">
        <f t="shared" si="65"/>
        <v>0</v>
      </c>
      <c r="CW552" s="46"/>
      <c r="CX552" s="46" t="e">
        <f t="shared" si="59"/>
        <v>#N/A</v>
      </c>
      <c r="CY552" s="46"/>
      <c r="CZ552" s="46" t="e">
        <f t="shared" si="60"/>
        <v>#N/A</v>
      </c>
      <c r="DA552" s="46" t="e">
        <f t="shared" si="61"/>
        <v>#N/A</v>
      </c>
      <c r="DB552" s="46"/>
      <c r="DC552" s="46" t="e">
        <f t="shared" si="62"/>
        <v>#N/A</v>
      </c>
      <c r="DD552" s="46"/>
      <c r="DE552" s="995" t="s">
        <v>194</v>
      </c>
      <c r="DF552" s="995" t="s">
        <v>194</v>
      </c>
      <c r="DG552" s="995" t="s">
        <v>194</v>
      </c>
      <c r="DH552" s="995" t="s">
        <v>194</v>
      </c>
      <c r="DI552" s="995" t="s">
        <v>194</v>
      </c>
      <c r="DJ552" s="995" t="s">
        <v>194</v>
      </c>
      <c r="DK552" s="995" t="s">
        <v>194</v>
      </c>
      <c r="DL552" s="995" t="s">
        <v>194</v>
      </c>
      <c r="DM552" s="995" t="s">
        <v>194</v>
      </c>
      <c r="DN552" s="995" t="s">
        <v>194</v>
      </c>
      <c r="DO552" s="995" t="s">
        <v>194</v>
      </c>
      <c r="DP552" s="995" t="s">
        <v>194</v>
      </c>
      <c r="DQ552" s="995" t="s">
        <v>194</v>
      </c>
      <c r="DR552" s="995" t="s">
        <v>194</v>
      </c>
      <c r="DS552" s="995" t="s">
        <v>194</v>
      </c>
      <c r="DT552" s="995" t="s">
        <v>194</v>
      </c>
    </row>
    <row r="553" spans="1:124">
      <c r="A553" s="42" t="s">
        <v>94</v>
      </c>
      <c r="B553" s="42" t="s">
        <v>510</v>
      </c>
      <c r="C553" s="42" t="s">
        <v>750</v>
      </c>
      <c r="D553" s="42">
        <v>803369</v>
      </c>
      <c r="E553" s="42" t="s">
        <v>773</v>
      </c>
      <c r="F553" s="42" t="s">
        <v>149</v>
      </c>
      <c r="G553" s="42" t="s">
        <v>150</v>
      </c>
      <c r="H553" s="43" t="s">
        <v>150</v>
      </c>
      <c r="I553" s="44">
        <v>37</v>
      </c>
      <c r="J553" s="45">
        <v>401.55360000000002</v>
      </c>
      <c r="K553" s="46">
        <v>79.372900000000001</v>
      </c>
      <c r="L553" s="47">
        <v>480.92649999999998</v>
      </c>
      <c r="M553" s="48">
        <v>11924</v>
      </c>
      <c r="N553" s="49">
        <v>4533</v>
      </c>
      <c r="O553" s="49">
        <v>7391</v>
      </c>
      <c r="P553" s="49">
        <v>0</v>
      </c>
      <c r="Q553" s="50">
        <v>248.42770833333299</v>
      </c>
      <c r="R553" s="51">
        <v>9261.0149948525104</v>
      </c>
      <c r="S553" s="49">
        <v>16958.472038185999</v>
      </c>
      <c r="T553" s="49">
        <v>2646.2424811338501</v>
      </c>
      <c r="U553" s="49">
        <f>IFERROR(INDEX('Rentabilidad datos'!$N$2:$N$61,MATCH($C553,'Rentabilidad datos'!$C$2:$C$61,0)),"")</f>
        <v>28865.729514172355</v>
      </c>
      <c r="V553" s="50">
        <f>IFERROR(INDEX('Rentabilidad datos'!$O$2:$O$61,MATCH($C553,'Rentabilidad datos'!$C$2:$C$61,0)),"")</f>
        <v>1519.2489217985451</v>
      </c>
      <c r="W553" s="51">
        <f>IFERROR(INDEX('Rentabilidad datos'!$M$2:$M$61,MATCH($C553,'Rentabilidad datos'!$C$2:$C$61,0)),"")</f>
        <v>3054.2455510167165</v>
      </c>
      <c r="X553" s="52">
        <f>IFERROR(INDEX('Rentabilidad datos'!$P$2:$P$61,MATCH($C553,'Rentabilidad datos'!$C$2:$C$61,0)),"")</f>
        <v>0.49742199715828611</v>
      </c>
      <c r="Y553" s="43" t="s">
        <v>171</v>
      </c>
      <c r="Z553" s="53">
        <v>132.916666666667</v>
      </c>
      <c r="AA553" s="43">
        <v>2</v>
      </c>
      <c r="AB553" s="54">
        <v>3.3545790003354579E-2</v>
      </c>
      <c r="AC553" s="55">
        <v>0.96645420999664544</v>
      </c>
      <c r="AD553" s="752" t="e">
        <f>_xlfn.XLOOKUP(Table1[[#This Row],[Ruta]],#REF!,#REF!)</f>
        <v>#REF!</v>
      </c>
      <c r="AE553" s="752" t="e">
        <f>_xlfn.XLOOKUP(Table1[[#This Row],[Ruta]],#REF!,#REF!)</f>
        <v>#REF!</v>
      </c>
      <c r="AF553" s="752" t="e">
        <f>_xlfn.XLOOKUP(Table1[[#This Row],[Ruta]],#REF!,#REF!)</f>
        <v>#REF!</v>
      </c>
      <c r="AG553" s="752" t="e">
        <f>_xlfn.XLOOKUP(Table1[[#This Row],[Ruta]],#REF!,#REF!)</f>
        <v>#REF!</v>
      </c>
      <c r="AH553" s="52">
        <v>0.38015766521301575</v>
      </c>
      <c r="AI553" s="52">
        <v>0.61984233478698425</v>
      </c>
      <c r="AJ553" s="55">
        <v>0</v>
      </c>
      <c r="AK553" s="56">
        <v>1595</v>
      </c>
      <c r="AL553" s="44">
        <v>40</v>
      </c>
      <c r="AM553" s="54">
        <v>2.5078369905956002E-3</v>
      </c>
      <c r="AN553" s="55">
        <v>0.50430318916557504</v>
      </c>
      <c r="AO553" s="56">
        <v>800.36358671909102</v>
      </c>
      <c r="AP553" s="48">
        <v>400.18179335954551</v>
      </c>
      <c r="AQ553" s="55">
        <v>0.27597604599344544</v>
      </c>
      <c r="AR553" s="51">
        <v>11924.53</v>
      </c>
      <c r="AS553" s="49">
        <v>119299.4950092425</v>
      </c>
      <c r="AT553" s="55">
        <v>10.004544833988634</v>
      </c>
      <c r="AU553" s="51">
        <v>83832.077574062321</v>
      </c>
      <c r="AV553" s="52">
        <v>3.8136005413334193E-4</v>
      </c>
      <c r="AW553" s="44">
        <v>404</v>
      </c>
      <c r="AX553" s="51">
        <v>298.11324999999999</v>
      </c>
      <c r="AY553" s="49">
        <v>292.44921817516598</v>
      </c>
      <c r="AZ553" s="49">
        <v>0</v>
      </c>
      <c r="BA553" s="42" t="s">
        <v>152</v>
      </c>
      <c r="BB553" s="50">
        <v>0</v>
      </c>
      <c r="BC553" s="57">
        <v>83832.077574062321</v>
      </c>
      <c r="BD553" s="42" t="s">
        <v>150</v>
      </c>
      <c r="BE553" s="46">
        <v>132.916666666667</v>
      </c>
      <c r="BF553" s="46">
        <v>72.425990467051307</v>
      </c>
      <c r="BG553" s="42" t="s">
        <v>150</v>
      </c>
      <c r="BH553" s="52">
        <v>2.5078369905956101E-3</v>
      </c>
      <c r="BI553" s="52">
        <v>0.49337264070319697</v>
      </c>
      <c r="BJ553" s="42" t="s">
        <v>152</v>
      </c>
      <c r="BK553" s="46">
        <v>10.019302083333301</v>
      </c>
      <c r="BL553" s="46">
        <v>605.59017138979505</v>
      </c>
      <c r="BM553" s="42" t="s">
        <v>152</v>
      </c>
      <c r="BN553" s="48">
        <v>1</v>
      </c>
      <c r="BO553" s="42" t="s">
        <v>155</v>
      </c>
      <c r="BP553" s="42" t="s">
        <v>152</v>
      </c>
      <c r="BQ553" s="46">
        <v>630.27178572796799</v>
      </c>
      <c r="BR553" s="46" t="e">
        <v>#N/A</v>
      </c>
      <c r="BS553" s="46" t="e">
        <v>#N/A</v>
      </c>
      <c r="BT553" s="46" t="e">
        <v>#N/A</v>
      </c>
      <c r="BU553" s="46" t="e">
        <v>#N/A</v>
      </c>
      <c r="BV553" s="46" t="e">
        <v>#N/A</v>
      </c>
      <c r="BW553" s="46" t="e">
        <v>#N/A</v>
      </c>
      <c r="BX553" s="46" t="e">
        <v>#N/A</v>
      </c>
      <c r="BY553" s="46" t="e">
        <v>#N/A</v>
      </c>
      <c r="BZ553" s="46" t="e">
        <v>#N/A</v>
      </c>
      <c r="CA553" s="46" t="e">
        <v>#N/A</v>
      </c>
      <c r="CB553" s="46" t="e">
        <v>#N/A</v>
      </c>
      <c r="CC553" s="46" t="e">
        <v>#N/A</v>
      </c>
      <c r="CD553" s="46" t="e">
        <v>#N/A</v>
      </c>
      <c r="CE553" s="46" t="e">
        <v>#N/A</v>
      </c>
      <c r="CF553" s="46" t="e">
        <v>#N/A</v>
      </c>
      <c r="CG553" s="46" t="e">
        <v>#N/A</v>
      </c>
      <c r="CH553" s="46" t="e">
        <v>#N/A</v>
      </c>
      <c r="CI553" s="46" t="e">
        <v>#N/A</v>
      </c>
      <c r="CJ553" s="46" t="e">
        <v>#N/A</v>
      </c>
      <c r="CM553">
        <f t="shared" si="63"/>
        <v>0</v>
      </c>
      <c r="CP553">
        <f t="shared" si="64"/>
        <v>0</v>
      </c>
      <c r="CS553">
        <f t="shared" si="65"/>
        <v>0</v>
      </c>
      <c r="CW553" s="46"/>
      <c r="CX553" s="46" t="e">
        <f t="shared" si="59"/>
        <v>#N/A</v>
      </c>
      <c r="CY553" s="46"/>
      <c r="CZ553" s="46" t="e">
        <f t="shared" si="60"/>
        <v>#N/A</v>
      </c>
      <c r="DA553" s="46" t="e">
        <f t="shared" si="61"/>
        <v>#N/A</v>
      </c>
      <c r="DB553" s="46"/>
      <c r="DC553" s="46" t="e">
        <f t="shared" si="62"/>
        <v>#N/A</v>
      </c>
      <c r="DD553" s="46"/>
      <c r="DE553" s="995" t="s">
        <v>194</v>
      </c>
      <c r="DF553" s="995" t="s">
        <v>194</v>
      </c>
      <c r="DG553" s="995" t="s">
        <v>194</v>
      </c>
      <c r="DH553" s="995" t="s">
        <v>194</v>
      </c>
      <c r="DI553" s="995" t="s">
        <v>194</v>
      </c>
      <c r="DJ553" s="995" t="s">
        <v>194</v>
      </c>
      <c r="DK553" s="995" t="s">
        <v>194</v>
      </c>
      <c r="DL553" s="995" t="s">
        <v>194</v>
      </c>
      <c r="DM553" s="995" t="s">
        <v>194</v>
      </c>
      <c r="DN553" s="995" t="s">
        <v>194</v>
      </c>
      <c r="DO553" s="995" t="s">
        <v>194</v>
      </c>
      <c r="DP553" s="995" t="s">
        <v>194</v>
      </c>
      <c r="DQ553" s="995" t="s">
        <v>194</v>
      </c>
      <c r="DR553" s="995" t="s">
        <v>194</v>
      </c>
      <c r="DS553" s="995" t="s">
        <v>194</v>
      </c>
      <c r="DT553" s="995" t="s">
        <v>194</v>
      </c>
    </row>
    <row r="554" spans="1:124">
      <c r="A554" s="42" t="s">
        <v>94</v>
      </c>
      <c r="B554" s="42" t="s">
        <v>510</v>
      </c>
      <c r="C554" s="42" t="s">
        <v>750</v>
      </c>
      <c r="D554" s="42">
        <v>803370</v>
      </c>
      <c r="E554" s="42" t="s">
        <v>774</v>
      </c>
      <c r="F554" s="42" t="s">
        <v>193</v>
      </c>
      <c r="G554" s="42" t="s">
        <v>150</v>
      </c>
      <c r="H554" s="43" t="s">
        <v>152</v>
      </c>
      <c r="I554" s="44">
        <v>37</v>
      </c>
      <c r="J554" s="45">
        <v>45.791200000000003</v>
      </c>
      <c r="K554" s="46">
        <v>0</v>
      </c>
      <c r="L554" s="47">
        <v>45.791200000000003</v>
      </c>
      <c r="M554" s="48">
        <v>520</v>
      </c>
      <c r="N554" s="49">
        <v>520</v>
      </c>
      <c r="O554" s="49">
        <v>0</v>
      </c>
      <c r="P554" s="49">
        <v>0</v>
      </c>
      <c r="Q554" s="50">
        <v>0</v>
      </c>
      <c r="R554" s="51">
        <v>9261.0149948525104</v>
      </c>
      <c r="S554" s="49">
        <v>16958.472038185999</v>
      </c>
      <c r="T554" s="49">
        <v>2646.2424811338501</v>
      </c>
      <c r="U554" s="49">
        <f>IFERROR(INDEX('Rentabilidad datos'!$N$2:$N$61,MATCH($C554,'Rentabilidad datos'!$C$2:$C$61,0)),"")</f>
        <v>28865.729514172355</v>
      </c>
      <c r="V554" s="50">
        <f>IFERROR(INDEX('Rentabilidad datos'!$O$2:$O$61,MATCH($C554,'Rentabilidad datos'!$C$2:$C$61,0)),"")</f>
        <v>1519.2489217985451</v>
      </c>
      <c r="W554" s="51">
        <f>IFERROR(INDEX('Rentabilidad datos'!$M$2:$M$61,MATCH($C554,'Rentabilidad datos'!$C$2:$C$61,0)),"")</f>
        <v>3054.2455510167165</v>
      </c>
      <c r="X554" s="52">
        <f>IFERROR(INDEX('Rentabilidad datos'!$P$2:$P$61,MATCH($C554,'Rentabilidad datos'!$C$2:$C$61,0)),"")</f>
        <v>0.49742199715828611</v>
      </c>
      <c r="Y554" s="43" t="s">
        <v>171</v>
      </c>
      <c r="Z554" s="53">
        <v>0</v>
      </c>
      <c r="AA554" s="43">
        <v>2</v>
      </c>
      <c r="AB554" s="54">
        <v>0</v>
      </c>
      <c r="AC554" s="55">
        <v>1</v>
      </c>
      <c r="AD554" s="752" t="e">
        <f>_xlfn.XLOOKUP(Table1[[#This Row],[Ruta]],#REF!,#REF!)</f>
        <v>#REF!</v>
      </c>
      <c r="AE554" s="752" t="e">
        <f>_xlfn.XLOOKUP(Table1[[#This Row],[Ruta]],#REF!,#REF!)</f>
        <v>#REF!</v>
      </c>
      <c r="AF554" s="752" t="e">
        <f>_xlfn.XLOOKUP(Table1[[#This Row],[Ruta]],#REF!,#REF!)</f>
        <v>#REF!</v>
      </c>
      <c r="AG554" s="752" t="e">
        <f>_xlfn.XLOOKUP(Table1[[#This Row],[Ruta]],#REF!,#REF!)</f>
        <v>#REF!</v>
      </c>
      <c r="AH554" s="52">
        <v>1</v>
      </c>
      <c r="AI554" s="52">
        <v>0</v>
      </c>
      <c r="AJ554" s="55">
        <v>0</v>
      </c>
      <c r="AK554" s="56">
        <v>0</v>
      </c>
      <c r="AL554" s="44">
        <v>5</v>
      </c>
      <c r="AM554" s="54">
        <v>0</v>
      </c>
      <c r="AN554" s="55">
        <v>0.50430318916557504</v>
      </c>
      <c r="AO554" s="56">
        <v>0</v>
      </c>
      <c r="AP554" s="48">
        <v>0</v>
      </c>
      <c r="AQ554" s="55" t="s">
        <v>194</v>
      </c>
      <c r="AR554" s="51">
        <v>520</v>
      </c>
      <c r="AS554" s="49">
        <v>0</v>
      </c>
      <c r="AT554" s="55">
        <v>0</v>
      </c>
      <c r="AU554" s="51">
        <v>0</v>
      </c>
      <c r="AV554" s="52">
        <v>0</v>
      </c>
      <c r="AW554" s="44">
        <v>490</v>
      </c>
      <c r="AX554" s="51">
        <v>104</v>
      </c>
      <c r="AY554" s="49">
        <v>292.44921817516598</v>
      </c>
      <c r="AZ554" s="49">
        <v>188.44921817516598</v>
      </c>
      <c r="BA554" s="42" t="s">
        <v>150</v>
      </c>
      <c r="BB554" s="50">
        <v>331.05943733475112</v>
      </c>
      <c r="BC554" s="57">
        <v>331.05943733475112</v>
      </c>
      <c r="BD554" s="42" t="s">
        <v>152</v>
      </c>
      <c r="BE554" s="46" t="s">
        <v>195</v>
      </c>
      <c r="BF554" s="46" t="s">
        <v>195</v>
      </c>
      <c r="BG554" s="42" t="s">
        <v>195</v>
      </c>
      <c r="BH554" s="52" t="s">
        <v>195</v>
      </c>
      <c r="BI554" s="52" t="s">
        <v>195</v>
      </c>
      <c r="BJ554" s="42" t="s">
        <v>195</v>
      </c>
      <c r="BK554" s="46" t="s">
        <v>195</v>
      </c>
      <c r="BL554" s="46" t="s">
        <v>195</v>
      </c>
      <c r="BM554" s="42" t="s">
        <v>195</v>
      </c>
      <c r="BN554" s="48" t="s">
        <v>195</v>
      </c>
      <c r="BO554" s="42" t="s">
        <v>195</v>
      </c>
      <c r="BP554" s="42" t="s">
        <v>152</v>
      </c>
      <c r="BQ554" s="46">
        <v>0</v>
      </c>
      <c r="BR554" s="46" t="e">
        <v>#N/A</v>
      </c>
      <c r="BS554" s="46" t="e">
        <v>#N/A</v>
      </c>
      <c r="BT554" s="46" t="e">
        <v>#N/A</v>
      </c>
      <c r="BU554" s="46" t="e">
        <v>#N/A</v>
      </c>
      <c r="BV554" s="46" t="e">
        <v>#N/A</v>
      </c>
      <c r="BW554" s="46" t="e">
        <v>#N/A</v>
      </c>
      <c r="BX554" s="46" t="e">
        <v>#N/A</v>
      </c>
      <c r="BY554" s="46" t="e">
        <v>#N/A</v>
      </c>
      <c r="BZ554" s="46" t="e">
        <v>#N/A</v>
      </c>
      <c r="CA554" s="46" t="e">
        <v>#N/A</v>
      </c>
      <c r="CB554" s="46" t="e">
        <v>#N/A</v>
      </c>
      <c r="CC554" s="46" t="e">
        <v>#N/A</v>
      </c>
      <c r="CD554" s="46" t="e">
        <v>#N/A</v>
      </c>
      <c r="CE554" s="46" t="e">
        <v>#N/A</v>
      </c>
      <c r="CF554" s="46" t="e">
        <v>#N/A</v>
      </c>
      <c r="CG554" s="46" t="e">
        <v>#N/A</v>
      </c>
      <c r="CH554" s="46" t="e">
        <v>#N/A</v>
      </c>
      <c r="CI554" s="46" t="e">
        <v>#N/A</v>
      </c>
      <c r="CJ554" s="46" t="e">
        <v>#N/A</v>
      </c>
      <c r="CM554">
        <f t="shared" si="63"/>
        <v>0</v>
      </c>
      <c r="CP554">
        <f t="shared" si="64"/>
        <v>0</v>
      </c>
      <c r="CS554">
        <f t="shared" si="65"/>
        <v>0</v>
      </c>
      <c r="CW554" s="46"/>
      <c r="CX554" s="46" t="e">
        <f t="shared" si="59"/>
        <v>#N/A</v>
      </c>
      <c r="CY554" s="46"/>
      <c r="CZ554" s="46" t="e">
        <f t="shared" si="60"/>
        <v>#N/A</v>
      </c>
      <c r="DA554" s="46" t="e">
        <f t="shared" si="61"/>
        <v>#N/A</v>
      </c>
      <c r="DB554" s="46"/>
      <c r="DC554" s="46" t="e">
        <f t="shared" si="62"/>
        <v>#N/A</v>
      </c>
      <c r="DD554" s="46"/>
      <c r="DE554" s="995" t="s">
        <v>194</v>
      </c>
      <c r="DF554" s="995" t="s">
        <v>194</v>
      </c>
      <c r="DG554" s="995" t="s">
        <v>194</v>
      </c>
      <c r="DH554" s="995" t="s">
        <v>194</v>
      </c>
      <c r="DI554" s="995" t="s">
        <v>194</v>
      </c>
      <c r="DJ554" s="995" t="s">
        <v>194</v>
      </c>
      <c r="DK554" s="995" t="s">
        <v>194</v>
      </c>
      <c r="DL554" s="995" t="s">
        <v>194</v>
      </c>
      <c r="DM554" s="995" t="s">
        <v>194</v>
      </c>
      <c r="DN554" s="995" t="s">
        <v>194</v>
      </c>
      <c r="DO554" s="995" t="s">
        <v>194</v>
      </c>
      <c r="DP554" s="995" t="s">
        <v>194</v>
      </c>
      <c r="DQ554" s="995" t="s">
        <v>194</v>
      </c>
      <c r="DR554" s="995" t="s">
        <v>194</v>
      </c>
      <c r="DS554" s="995" t="s">
        <v>194</v>
      </c>
      <c r="DT554" s="995" t="s">
        <v>194</v>
      </c>
    </row>
    <row r="555" spans="1:124">
      <c r="A555" s="42" t="s">
        <v>94</v>
      </c>
      <c r="B555" s="42" t="s">
        <v>510</v>
      </c>
      <c r="C555" s="42" t="s">
        <v>750</v>
      </c>
      <c r="D555" s="42">
        <v>803371</v>
      </c>
      <c r="E555" s="42" t="s">
        <v>775</v>
      </c>
      <c r="F555" s="42" t="s">
        <v>149</v>
      </c>
      <c r="G555" s="42" t="s">
        <v>150</v>
      </c>
      <c r="H555" s="43" t="s">
        <v>150</v>
      </c>
      <c r="I555" s="44">
        <v>37</v>
      </c>
      <c r="J555" s="45">
        <v>281.79199999999997</v>
      </c>
      <c r="K555" s="46">
        <v>4.6740250000000003</v>
      </c>
      <c r="L555" s="47">
        <v>286.466025</v>
      </c>
      <c r="M555" s="48">
        <v>4054</v>
      </c>
      <c r="N555" s="49">
        <v>3138</v>
      </c>
      <c r="O555" s="49">
        <v>916</v>
      </c>
      <c r="P555" s="49">
        <v>0</v>
      </c>
      <c r="Q555" s="50">
        <v>126.704375</v>
      </c>
      <c r="R555" s="51">
        <v>9261.0149948525104</v>
      </c>
      <c r="S555" s="49">
        <v>16958.472038185999</v>
      </c>
      <c r="T555" s="49">
        <v>2646.2424811338501</v>
      </c>
      <c r="U555" s="49">
        <f>IFERROR(INDEX('Rentabilidad datos'!$N$2:$N$61,MATCH($C555,'Rentabilidad datos'!$C$2:$C$61,0)),"")</f>
        <v>28865.729514172355</v>
      </c>
      <c r="V555" s="50">
        <f>IFERROR(INDEX('Rentabilidad datos'!$O$2:$O$61,MATCH($C555,'Rentabilidad datos'!$C$2:$C$61,0)),"")</f>
        <v>1519.2489217985451</v>
      </c>
      <c r="W555" s="51">
        <f>IFERROR(INDEX('Rentabilidad datos'!$M$2:$M$61,MATCH($C555,'Rentabilidad datos'!$C$2:$C$61,0)),"")</f>
        <v>3054.2455510167165</v>
      </c>
      <c r="X555" s="52">
        <f>IFERROR(INDEX('Rentabilidad datos'!$P$2:$P$61,MATCH($C555,'Rentabilidad datos'!$C$2:$C$61,0)),"")</f>
        <v>0.49742199715828611</v>
      </c>
      <c r="Y555" s="43" t="s">
        <v>171</v>
      </c>
      <c r="Z555" s="53">
        <v>52.1666666666667</v>
      </c>
      <c r="AA555" s="43">
        <v>2</v>
      </c>
      <c r="AB555" s="54">
        <v>0</v>
      </c>
      <c r="AC555" s="55">
        <v>1</v>
      </c>
      <c r="AD555" s="752" t="e">
        <f>_xlfn.XLOOKUP(Table1[[#This Row],[Ruta]],#REF!,#REF!)</f>
        <v>#REF!</v>
      </c>
      <c r="AE555" s="752" t="e">
        <f>_xlfn.XLOOKUP(Table1[[#This Row],[Ruta]],#REF!,#REF!)</f>
        <v>#REF!</v>
      </c>
      <c r="AF555" s="752" t="e">
        <f>_xlfn.XLOOKUP(Table1[[#This Row],[Ruta]],#REF!,#REF!)</f>
        <v>#REF!</v>
      </c>
      <c r="AG555" s="752" t="e">
        <f>_xlfn.XLOOKUP(Table1[[#This Row],[Ruta]],#REF!,#REF!)</f>
        <v>#REF!</v>
      </c>
      <c r="AH555" s="52">
        <v>0.77405032067094226</v>
      </c>
      <c r="AI555" s="52">
        <v>0.22594967932905771</v>
      </c>
      <c r="AJ555" s="55">
        <v>0</v>
      </c>
      <c r="AK555" s="56">
        <v>313</v>
      </c>
      <c r="AL555" s="44">
        <v>27</v>
      </c>
      <c r="AM555" s="54">
        <v>3.1948881789137002E-3</v>
      </c>
      <c r="AN555" s="55">
        <v>0.50430318916557504</v>
      </c>
      <c r="AO555" s="56">
        <v>156.846898208825</v>
      </c>
      <c r="AP555" s="48">
        <v>78.423449104412498</v>
      </c>
      <c r="AQ555" s="55">
        <v>0.33681613132400157</v>
      </c>
      <c r="AR555" s="51">
        <v>4054.54</v>
      </c>
      <c r="AS555" s="49">
        <v>11776.70412340015</v>
      </c>
      <c r="AT555" s="55">
        <v>2.9045721890523093</v>
      </c>
      <c r="AU555" s="51">
        <v>8275.5218164433518</v>
      </c>
      <c r="AV555" s="52">
        <v>3.764613187729159E-5</v>
      </c>
      <c r="AW555" s="44">
        <v>474</v>
      </c>
      <c r="AX555" s="51">
        <v>150.16814814814799</v>
      </c>
      <c r="AY555" s="49">
        <v>292.44921817516598</v>
      </c>
      <c r="AZ555" s="49">
        <v>142.28107002701799</v>
      </c>
      <c r="BA555" s="42" t="s">
        <v>150</v>
      </c>
      <c r="BB555" s="50">
        <v>1349.7474480941441</v>
      </c>
      <c r="BC555" s="57">
        <v>9625.2692645374955</v>
      </c>
      <c r="BD555" s="42" t="s">
        <v>150</v>
      </c>
      <c r="BE555" s="46">
        <v>52.1666666666667</v>
      </c>
      <c r="BF555" s="46">
        <v>72.425990467051307</v>
      </c>
      <c r="BG555" s="42" t="s">
        <v>152</v>
      </c>
      <c r="BH555" s="52">
        <v>3.1948881789137401E-3</v>
      </c>
      <c r="BI555" s="52">
        <v>0.49337264070319697</v>
      </c>
      <c r="BJ555" s="42" t="s">
        <v>152</v>
      </c>
      <c r="BK555" s="46">
        <v>8.9520632812500001</v>
      </c>
      <c r="BL555" s="46">
        <v>605.59017138979505</v>
      </c>
      <c r="BM555" s="42" t="s">
        <v>152</v>
      </c>
      <c r="BN555" s="48">
        <v>0</v>
      </c>
      <c r="BO555" s="42" t="s">
        <v>155</v>
      </c>
      <c r="BP555" s="42" t="s">
        <v>152</v>
      </c>
      <c r="BQ555" s="46">
        <v>349.82091926647701</v>
      </c>
      <c r="BR555" s="46" t="e">
        <v>#N/A</v>
      </c>
      <c r="BS555" s="46" t="e">
        <v>#N/A</v>
      </c>
      <c r="BT555" s="46" t="e">
        <v>#N/A</v>
      </c>
      <c r="BU555" s="46" t="e">
        <v>#N/A</v>
      </c>
      <c r="BV555" s="46" t="e">
        <v>#N/A</v>
      </c>
      <c r="BW555" s="46" t="e">
        <v>#N/A</v>
      </c>
      <c r="BX555" s="46" t="e">
        <v>#N/A</v>
      </c>
      <c r="BY555" s="46" t="e">
        <v>#N/A</v>
      </c>
      <c r="BZ555" s="46" t="e">
        <v>#N/A</v>
      </c>
      <c r="CA555" s="46" t="e">
        <v>#N/A</v>
      </c>
      <c r="CB555" s="46" t="e">
        <v>#N/A</v>
      </c>
      <c r="CC555" s="46" t="e">
        <v>#N/A</v>
      </c>
      <c r="CD555" s="46" t="e">
        <v>#N/A</v>
      </c>
      <c r="CE555" s="46" t="e">
        <v>#N/A</v>
      </c>
      <c r="CF555" s="46" t="e">
        <v>#N/A</v>
      </c>
      <c r="CG555" s="46" t="e">
        <v>#N/A</v>
      </c>
      <c r="CH555" s="46" t="e">
        <v>#N/A</v>
      </c>
      <c r="CI555" s="46" t="e">
        <v>#N/A</v>
      </c>
      <c r="CJ555" s="46" t="e">
        <v>#N/A</v>
      </c>
      <c r="CM555">
        <f t="shared" si="63"/>
        <v>0</v>
      </c>
      <c r="CP555">
        <f t="shared" si="64"/>
        <v>0</v>
      </c>
      <c r="CS555">
        <f t="shared" si="65"/>
        <v>0</v>
      </c>
      <c r="CW555" s="46"/>
      <c r="CX555" s="46" t="e">
        <f t="shared" si="59"/>
        <v>#N/A</v>
      </c>
      <c r="CY555" s="46"/>
      <c r="CZ555" s="46" t="e">
        <f t="shared" si="60"/>
        <v>#N/A</v>
      </c>
      <c r="DA555" s="46" t="e">
        <f t="shared" si="61"/>
        <v>#N/A</v>
      </c>
      <c r="DB555" s="46"/>
      <c r="DC555" s="46" t="e">
        <f t="shared" si="62"/>
        <v>#N/A</v>
      </c>
      <c r="DD555" s="46"/>
      <c r="DE555" s="995" t="s">
        <v>194</v>
      </c>
      <c r="DF555" s="995" t="s">
        <v>194</v>
      </c>
      <c r="DG555" s="995" t="s">
        <v>194</v>
      </c>
      <c r="DH555" s="995" t="s">
        <v>194</v>
      </c>
      <c r="DI555" s="995" t="s">
        <v>194</v>
      </c>
      <c r="DJ555" s="995" t="s">
        <v>194</v>
      </c>
      <c r="DK555" s="995" t="s">
        <v>194</v>
      </c>
      <c r="DL555" s="995" t="s">
        <v>194</v>
      </c>
      <c r="DM555" s="995" t="s">
        <v>194</v>
      </c>
      <c r="DN555" s="995" t="s">
        <v>194</v>
      </c>
      <c r="DO555" s="995" t="s">
        <v>194</v>
      </c>
      <c r="DP555" s="995" t="s">
        <v>194</v>
      </c>
      <c r="DQ555" s="995" t="s">
        <v>194</v>
      </c>
      <c r="DR555" s="995" t="s">
        <v>194</v>
      </c>
      <c r="DS555" s="995" t="s">
        <v>194</v>
      </c>
      <c r="DT555" s="995" t="s">
        <v>194</v>
      </c>
    </row>
    <row r="556" spans="1:124">
      <c r="A556" s="42" t="s">
        <v>94</v>
      </c>
      <c r="B556" s="42" t="s">
        <v>510</v>
      </c>
      <c r="C556" s="42" t="s">
        <v>750</v>
      </c>
      <c r="D556" s="42">
        <v>803373</v>
      </c>
      <c r="E556" s="42" t="s">
        <v>776</v>
      </c>
      <c r="F556" s="42" t="s">
        <v>149</v>
      </c>
      <c r="G556" s="42" t="s">
        <v>150</v>
      </c>
      <c r="H556" s="43" t="s">
        <v>150</v>
      </c>
      <c r="I556" s="44">
        <v>37</v>
      </c>
      <c r="J556" s="45">
        <v>387.464</v>
      </c>
      <c r="K556" s="46">
        <v>89.700850000000003</v>
      </c>
      <c r="L556" s="47">
        <v>477.16485</v>
      </c>
      <c r="M556" s="48">
        <v>13191</v>
      </c>
      <c r="N556" s="49">
        <v>4452</v>
      </c>
      <c r="O556" s="49">
        <v>8739</v>
      </c>
      <c r="P556" s="49">
        <v>0</v>
      </c>
      <c r="Q556" s="50">
        <v>280.61702127659601</v>
      </c>
      <c r="R556" s="51">
        <v>9261.0149948525104</v>
      </c>
      <c r="S556" s="49">
        <v>16958.472038185999</v>
      </c>
      <c r="T556" s="49">
        <v>2646.2424811338501</v>
      </c>
      <c r="U556" s="49">
        <f>IFERROR(INDEX('Rentabilidad datos'!$N$2:$N$61,MATCH($C556,'Rentabilidad datos'!$C$2:$C$61,0)),"")</f>
        <v>28865.729514172355</v>
      </c>
      <c r="V556" s="50">
        <f>IFERROR(INDEX('Rentabilidad datos'!$O$2:$O$61,MATCH($C556,'Rentabilidad datos'!$C$2:$C$61,0)),"")</f>
        <v>1519.2489217985451</v>
      </c>
      <c r="W556" s="51">
        <f>IFERROR(INDEX('Rentabilidad datos'!$M$2:$M$61,MATCH($C556,'Rentabilidad datos'!$C$2:$C$61,0)),"")</f>
        <v>3054.2455510167165</v>
      </c>
      <c r="X556" s="52">
        <f>IFERROR(INDEX('Rentabilidad datos'!$P$2:$P$61,MATCH($C556,'Rentabilidad datos'!$C$2:$C$61,0)),"")</f>
        <v>0.49742199715828611</v>
      </c>
      <c r="Y556" s="43" t="s">
        <v>171</v>
      </c>
      <c r="Z556" s="53">
        <v>129.42857142857099</v>
      </c>
      <c r="AA556" s="43">
        <v>2</v>
      </c>
      <c r="AB556" s="54">
        <v>5.2839056932757186E-2</v>
      </c>
      <c r="AC556" s="55">
        <v>0.94716094306724286</v>
      </c>
      <c r="AD556" s="752" t="e">
        <f>_xlfn.XLOOKUP(Table1[[#This Row],[Ruta]],#REF!,#REF!)</f>
        <v>#REF!</v>
      </c>
      <c r="AE556" s="752" t="e">
        <f>_xlfn.XLOOKUP(Table1[[#This Row],[Ruta]],#REF!,#REF!)</f>
        <v>#REF!</v>
      </c>
      <c r="AF556" s="752" t="e">
        <f>_xlfn.XLOOKUP(Table1[[#This Row],[Ruta]],#REF!,#REF!)</f>
        <v>#REF!</v>
      </c>
      <c r="AG556" s="752" t="e">
        <f>_xlfn.XLOOKUP(Table1[[#This Row],[Ruta]],#REF!,#REF!)</f>
        <v>#REF!</v>
      </c>
      <c r="AH556" s="52">
        <v>0.33750284284739596</v>
      </c>
      <c r="AI556" s="52">
        <v>0.66249715715260404</v>
      </c>
      <c r="AJ556" s="55">
        <v>0</v>
      </c>
      <c r="AK556" s="56">
        <v>2718</v>
      </c>
      <c r="AL556" s="44">
        <v>31</v>
      </c>
      <c r="AM556" s="54">
        <v>1.8395879323030999E-3</v>
      </c>
      <c r="AN556" s="55">
        <v>0.50430318916557504</v>
      </c>
      <c r="AO556" s="56">
        <v>1365.69606815203</v>
      </c>
      <c r="AP556" s="48">
        <v>682.84803407601498</v>
      </c>
      <c r="AQ556" s="55">
        <v>0.262637245796915</v>
      </c>
      <c r="AR556" s="51">
        <v>13189</v>
      </c>
      <c r="AS556" s="49">
        <v>290518.79746543802</v>
      </c>
      <c r="AT556" s="55">
        <v>22.027355937936008</v>
      </c>
      <c r="AU556" s="51">
        <v>204148.34416490246</v>
      </c>
      <c r="AV556" s="52">
        <v>9.2869013669831068E-4</v>
      </c>
      <c r="AW556" s="44">
        <v>308</v>
      </c>
      <c r="AX556" s="51">
        <v>425.45161290322602</v>
      </c>
      <c r="AY556" s="49">
        <v>292.44921817516598</v>
      </c>
      <c r="AZ556" s="49">
        <v>0</v>
      </c>
      <c r="BA556" s="42" t="s">
        <v>152</v>
      </c>
      <c r="BB556" s="50">
        <v>0</v>
      </c>
      <c r="BC556" s="57">
        <v>204148.34416490246</v>
      </c>
      <c r="BD556" s="42" t="s">
        <v>150</v>
      </c>
      <c r="BE556" s="46">
        <v>129.42857142857099</v>
      </c>
      <c r="BF556" s="46">
        <v>72.425990467051307</v>
      </c>
      <c r="BG556" s="42" t="s">
        <v>150</v>
      </c>
      <c r="BH556" s="52">
        <v>1.83958793230316E-3</v>
      </c>
      <c r="BI556" s="52">
        <v>0.49337264070319697</v>
      </c>
      <c r="BJ556" s="42" t="s">
        <v>152</v>
      </c>
      <c r="BK556" s="46">
        <v>10.1524436170213</v>
      </c>
      <c r="BL556" s="46">
        <v>605.59017138979505</v>
      </c>
      <c r="BM556" s="42" t="s">
        <v>152</v>
      </c>
      <c r="BN556" s="48">
        <v>1</v>
      </c>
      <c r="BO556" s="42" t="s">
        <v>155</v>
      </c>
      <c r="BP556" s="42" t="s">
        <v>152</v>
      </c>
      <c r="BQ556" s="46">
        <v>1032.77539986847</v>
      </c>
      <c r="BR556" s="46" t="e">
        <v>#N/A</v>
      </c>
      <c r="BS556" s="46" t="e">
        <v>#N/A</v>
      </c>
      <c r="BT556" s="46" t="e">
        <v>#N/A</v>
      </c>
      <c r="BU556" s="46" t="e">
        <v>#N/A</v>
      </c>
      <c r="BV556" s="46" t="e">
        <v>#N/A</v>
      </c>
      <c r="BW556" s="46" t="e">
        <v>#N/A</v>
      </c>
      <c r="BX556" s="46" t="e">
        <v>#N/A</v>
      </c>
      <c r="BY556" s="46" t="e">
        <v>#N/A</v>
      </c>
      <c r="BZ556" s="46" t="e">
        <v>#N/A</v>
      </c>
      <c r="CA556" s="46" t="e">
        <v>#N/A</v>
      </c>
      <c r="CB556" s="46" t="e">
        <v>#N/A</v>
      </c>
      <c r="CC556" s="46" t="e">
        <v>#N/A</v>
      </c>
      <c r="CD556" s="46" t="e">
        <v>#N/A</v>
      </c>
      <c r="CE556" s="46" t="e">
        <v>#N/A</v>
      </c>
      <c r="CF556" s="46" t="e">
        <v>#N/A</v>
      </c>
      <c r="CG556" s="46" t="e">
        <v>#N/A</v>
      </c>
      <c r="CH556" s="46" t="e">
        <v>#N/A</v>
      </c>
      <c r="CI556" s="46" t="e">
        <v>#N/A</v>
      </c>
      <c r="CJ556" s="46" t="e">
        <v>#N/A</v>
      </c>
      <c r="CM556">
        <f t="shared" si="63"/>
        <v>0</v>
      </c>
      <c r="CP556">
        <f t="shared" si="64"/>
        <v>0</v>
      </c>
      <c r="CS556">
        <f t="shared" si="65"/>
        <v>0</v>
      </c>
      <c r="CW556" s="46"/>
      <c r="CX556" s="46" t="e">
        <f t="shared" si="59"/>
        <v>#N/A</v>
      </c>
      <c r="CY556" s="46"/>
      <c r="CZ556" s="46" t="e">
        <f t="shared" si="60"/>
        <v>#N/A</v>
      </c>
      <c r="DA556" s="46" t="e">
        <f t="shared" si="61"/>
        <v>#N/A</v>
      </c>
      <c r="DB556" s="46"/>
      <c r="DC556" s="46" t="e">
        <f t="shared" si="62"/>
        <v>#N/A</v>
      </c>
      <c r="DD556" s="46"/>
      <c r="DE556" s="995" t="s">
        <v>194</v>
      </c>
      <c r="DF556" s="995" t="s">
        <v>194</v>
      </c>
      <c r="DG556" s="995" t="s">
        <v>194</v>
      </c>
      <c r="DH556" s="995" t="s">
        <v>194</v>
      </c>
      <c r="DI556" s="995" t="s">
        <v>194</v>
      </c>
      <c r="DJ556" s="995" t="s">
        <v>194</v>
      </c>
      <c r="DK556" s="995" t="s">
        <v>194</v>
      </c>
      <c r="DL556" s="995" t="s">
        <v>194</v>
      </c>
      <c r="DM556" s="995" t="s">
        <v>194</v>
      </c>
      <c r="DN556" s="995" t="s">
        <v>194</v>
      </c>
      <c r="DO556" s="995" t="s">
        <v>194</v>
      </c>
      <c r="DP556" s="995" t="s">
        <v>194</v>
      </c>
      <c r="DQ556" s="995" t="s">
        <v>194</v>
      </c>
      <c r="DR556" s="995" t="s">
        <v>194</v>
      </c>
      <c r="DS556" s="995" t="s">
        <v>194</v>
      </c>
      <c r="DT556" s="995" t="s">
        <v>194</v>
      </c>
    </row>
    <row r="557" spans="1:124">
      <c r="A557" s="42" t="s">
        <v>94</v>
      </c>
      <c r="B557" s="42" t="s">
        <v>510</v>
      </c>
      <c r="C557" s="42" t="s">
        <v>750</v>
      </c>
      <c r="D557" s="42">
        <v>803378</v>
      </c>
      <c r="E557" s="42" t="s">
        <v>777</v>
      </c>
      <c r="F557" s="42" t="s">
        <v>193</v>
      </c>
      <c r="G557" s="42" t="s">
        <v>150</v>
      </c>
      <c r="H557" s="43" t="s">
        <v>152</v>
      </c>
      <c r="I557" s="44">
        <v>37</v>
      </c>
      <c r="J557" s="45">
        <v>10.5672</v>
      </c>
      <c r="K557" s="46">
        <v>0</v>
      </c>
      <c r="L557" s="47">
        <v>10.5672</v>
      </c>
      <c r="M557" s="48">
        <v>150</v>
      </c>
      <c r="N557" s="49">
        <v>150</v>
      </c>
      <c r="O557" s="49">
        <v>0</v>
      </c>
      <c r="P557" s="49">
        <v>0</v>
      </c>
      <c r="Q557" s="50">
        <v>0</v>
      </c>
      <c r="R557" s="51">
        <v>9261.0149948525104</v>
      </c>
      <c r="S557" s="49">
        <v>16958.472038185999</v>
      </c>
      <c r="T557" s="49">
        <v>2646.2424811338501</v>
      </c>
      <c r="U557" s="49">
        <f>IFERROR(INDEX('Rentabilidad datos'!$N$2:$N$61,MATCH($C557,'Rentabilidad datos'!$C$2:$C$61,0)),"")</f>
        <v>28865.729514172355</v>
      </c>
      <c r="V557" s="50">
        <f>IFERROR(INDEX('Rentabilidad datos'!$O$2:$O$61,MATCH($C557,'Rentabilidad datos'!$C$2:$C$61,0)),"")</f>
        <v>1519.2489217985451</v>
      </c>
      <c r="W557" s="51">
        <f>IFERROR(INDEX('Rentabilidad datos'!$M$2:$M$61,MATCH($C557,'Rentabilidad datos'!$C$2:$C$61,0)),"")</f>
        <v>3054.2455510167165</v>
      </c>
      <c r="X557" s="52">
        <f>IFERROR(INDEX('Rentabilidad datos'!$P$2:$P$61,MATCH($C557,'Rentabilidad datos'!$C$2:$C$61,0)),"")</f>
        <v>0.49742199715828611</v>
      </c>
      <c r="Y557" s="43" t="s">
        <v>171</v>
      </c>
      <c r="Z557" s="53">
        <v>70</v>
      </c>
      <c r="AA557" s="43">
        <v>2</v>
      </c>
      <c r="AB557" s="54">
        <v>1</v>
      </c>
      <c r="AC557" s="55">
        <v>0</v>
      </c>
      <c r="AD557" s="752" t="e">
        <f>_xlfn.XLOOKUP(Table1[[#This Row],[Ruta]],#REF!,#REF!)</f>
        <v>#REF!</v>
      </c>
      <c r="AE557" s="752" t="e">
        <f>_xlfn.XLOOKUP(Table1[[#This Row],[Ruta]],#REF!,#REF!)</f>
        <v>#REF!</v>
      </c>
      <c r="AF557" s="752" t="e">
        <f>_xlfn.XLOOKUP(Table1[[#This Row],[Ruta]],#REF!,#REF!)</f>
        <v>#REF!</v>
      </c>
      <c r="AG557" s="752" t="e">
        <f>_xlfn.XLOOKUP(Table1[[#This Row],[Ruta]],#REF!,#REF!)</f>
        <v>#REF!</v>
      </c>
      <c r="AH557" s="52">
        <v>1</v>
      </c>
      <c r="AI557" s="52">
        <v>0</v>
      </c>
      <c r="AJ557" s="55">
        <v>0</v>
      </c>
      <c r="AK557" s="56">
        <v>420</v>
      </c>
      <c r="AL557" s="44">
        <v>1</v>
      </c>
      <c r="AM557" s="54">
        <v>2.3809523809523001E-3</v>
      </c>
      <c r="AN557" s="55">
        <v>0.50430318916557504</v>
      </c>
      <c r="AO557" s="56">
        <v>0</v>
      </c>
      <c r="AP557" s="48">
        <v>0</v>
      </c>
      <c r="AQ557" s="55">
        <v>2.3809523809523812E-3</v>
      </c>
      <c r="AR557" s="51">
        <v>150</v>
      </c>
      <c r="AS557" s="49">
        <v>0</v>
      </c>
      <c r="AT557" s="55">
        <v>0</v>
      </c>
      <c r="AU557" s="51">
        <v>0</v>
      </c>
      <c r="AV557" s="52">
        <v>0</v>
      </c>
      <c r="AW557" s="44">
        <v>490</v>
      </c>
      <c r="AX557" s="51">
        <v>150</v>
      </c>
      <c r="AY557" s="49">
        <v>292.44921817516598</v>
      </c>
      <c r="AZ557" s="49">
        <v>142.44921817516598</v>
      </c>
      <c r="BA557" s="42" t="s">
        <v>150</v>
      </c>
      <c r="BB557" s="50">
        <v>50.049725304788069</v>
      </c>
      <c r="BC557" s="57">
        <v>50.049725304788069</v>
      </c>
      <c r="BD557" s="42" t="s">
        <v>152</v>
      </c>
      <c r="BE557" s="46" t="s">
        <v>195</v>
      </c>
      <c r="BF557" s="46" t="s">
        <v>195</v>
      </c>
      <c r="BG557" s="42" t="s">
        <v>195</v>
      </c>
      <c r="BH557" s="52" t="s">
        <v>195</v>
      </c>
      <c r="BI557" s="52" t="s">
        <v>195</v>
      </c>
      <c r="BJ557" s="42" t="s">
        <v>195</v>
      </c>
      <c r="BK557" s="46" t="s">
        <v>195</v>
      </c>
      <c r="BL557" s="46" t="s">
        <v>195</v>
      </c>
      <c r="BM557" s="42" t="s">
        <v>195</v>
      </c>
      <c r="BN557" s="48" t="s">
        <v>195</v>
      </c>
      <c r="BO557" s="42" t="s">
        <v>195</v>
      </c>
      <c r="BP557" s="42" t="s">
        <v>152</v>
      </c>
      <c r="BQ557" s="46">
        <v>0</v>
      </c>
      <c r="BR557" s="46" t="e">
        <v>#N/A</v>
      </c>
      <c r="BS557" s="46" t="e">
        <v>#N/A</v>
      </c>
      <c r="BT557" s="46" t="e">
        <v>#N/A</v>
      </c>
      <c r="BU557" s="46" t="e">
        <v>#N/A</v>
      </c>
      <c r="BV557" s="46" t="e">
        <v>#N/A</v>
      </c>
      <c r="BW557" s="46" t="e">
        <v>#N/A</v>
      </c>
      <c r="BX557" s="46" t="e">
        <v>#N/A</v>
      </c>
      <c r="BY557" s="46" t="e">
        <v>#N/A</v>
      </c>
      <c r="BZ557" s="46" t="e">
        <v>#N/A</v>
      </c>
      <c r="CA557" s="46" t="e">
        <v>#N/A</v>
      </c>
      <c r="CB557" s="46" t="e">
        <v>#N/A</v>
      </c>
      <c r="CC557" s="46" t="e">
        <v>#N/A</v>
      </c>
      <c r="CD557" s="46" t="e">
        <v>#N/A</v>
      </c>
      <c r="CE557" s="46" t="e">
        <v>#N/A</v>
      </c>
      <c r="CF557" s="46" t="e">
        <v>#N/A</v>
      </c>
      <c r="CG557" s="46" t="e">
        <v>#N/A</v>
      </c>
      <c r="CH557" s="46" t="e">
        <v>#N/A</v>
      </c>
      <c r="CI557" s="46" t="e">
        <v>#N/A</v>
      </c>
      <c r="CJ557" s="46" t="e">
        <v>#N/A</v>
      </c>
      <c r="CM557">
        <f t="shared" si="63"/>
        <v>0</v>
      </c>
      <c r="CP557">
        <f t="shared" si="64"/>
        <v>0</v>
      </c>
      <c r="CS557">
        <f t="shared" si="65"/>
        <v>0</v>
      </c>
      <c r="CW557" s="46"/>
      <c r="CX557" s="46" t="e">
        <f t="shared" si="59"/>
        <v>#N/A</v>
      </c>
      <c r="CY557" s="46"/>
      <c r="CZ557" s="46" t="e">
        <f t="shared" si="60"/>
        <v>#N/A</v>
      </c>
      <c r="DA557" s="46" t="e">
        <f t="shared" si="61"/>
        <v>#N/A</v>
      </c>
      <c r="DB557" s="46"/>
      <c r="DC557" s="46" t="e">
        <f t="shared" si="62"/>
        <v>#N/A</v>
      </c>
      <c r="DD557" s="46"/>
      <c r="DE557" s="995" t="s">
        <v>194</v>
      </c>
      <c r="DF557" s="995" t="s">
        <v>194</v>
      </c>
      <c r="DG557" s="995" t="s">
        <v>194</v>
      </c>
      <c r="DH557" s="995" t="s">
        <v>194</v>
      </c>
      <c r="DI557" s="995" t="s">
        <v>194</v>
      </c>
      <c r="DJ557" s="995" t="s">
        <v>194</v>
      </c>
      <c r="DK557" s="995" t="s">
        <v>194</v>
      </c>
      <c r="DL557" s="995" t="s">
        <v>194</v>
      </c>
      <c r="DM557" s="995" t="s">
        <v>194</v>
      </c>
      <c r="DN557" s="995" t="s">
        <v>194</v>
      </c>
      <c r="DO557" s="995" t="s">
        <v>194</v>
      </c>
      <c r="DP557" s="995" t="s">
        <v>194</v>
      </c>
      <c r="DQ557" s="995" t="s">
        <v>194</v>
      </c>
      <c r="DR557" s="995" t="s">
        <v>194</v>
      </c>
      <c r="DS557" s="995" t="s">
        <v>194</v>
      </c>
      <c r="DT557" s="995" t="s">
        <v>194</v>
      </c>
    </row>
    <row r="558" spans="1:124">
      <c r="A558" s="42" t="s">
        <v>94</v>
      </c>
      <c r="B558" s="42" t="s">
        <v>510</v>
      </c>
      <c r="C558" s="42" t="s">
        <v>750</v>
      </c>
      <c r="D558" s="42">
        <v>803379</v>
      </c>
      <c r="E558" s="42" t="s">
        <v>778</v>
      </c>
      <c r="F558" s="42" t="s">
        <v>193</v>
      </c>
      <c r="G558" s="42" t="s">
        <v>150</v>
      </c>
      <c r="H558" s="43" t="s">
        <v>152</v>
      </c>
      <c r="I558" s="44">
        <v>37</v>
      </c>
      <c r="J558" s="45">
        <v>232.47839999999999</v>
      </c>
      <c r="K558" s="46">
        <v>0.52839999999999998</v>
      </c>
      <c r="L558" s="47">
        <v>233.0068</v>
      </c>
      <c r="M558" s="48">
        <v>2731</v>
      </c>
      <c r="N558" s="49">
        <v>2632</v>
      </c>
      <c r="O558" s="49">
        <v>99</v>
      </c>
      <c r="P558" s="49">
        <v>0</v>
      </c>
      <c r="Q558" s="50">
        <v>0</v>
      </c>
      <c r="R558" s="51">
        <v>9261.0149948525104</v>
      </c>
      <c r="S558" s="49">
        <v>16958.472038185999</v>
      </c>
      <c r="T558" s="49">
        <v>2646.2424811338501</v>
      </c>
      <c r="U558" s="49">
        <f>IFERROR(INDEX('Rentabilidad datos'!$N$2:$N$61,MATCH($C558,'Rentabilidad datos'!$C$2:$C$61,0)),"")</f>
        <v>28865.729514172355</v>
      </c>
      <c r="V558" s="50">
        <f>IFERROR(INDEX('Rentabilidad datos'!$O$2:$O$61,MATCH($C558,'Rentabilidad datos'!$C$2:$C$61,0)),"")</f>
        <v>1519.2489217985451</v>
      </c>
      <c r="W558" s="51">
        <f>IFERROR(INDEX('Rentabilidad datos'!$M$2:$M$61,MATCH($C558,'Rentabilidad datos'!$C$2:$C$61,0)),"")</f>
        <v>3054.2455510167165</v>
      </c>
      <c r="X558" s="52">
        <f>IFERROR(INDEX('Rentabilidad datos'!$P$2:$P$61,MATCH($C558,'Rentabilidad datos'!$C$2:$C$61,0)),"")</f>
        <v>0.49742199715828611</v>
      </c>
      <c r="Y558" s="43" t="s">
        <v>171</v>
      </c>
      <c r="Z558" s="53">
        <v>77.8333333333333</v>
      </c>
      <c r="AA558" s="43">
        <v>2</v>
      </c>
      <c r="AB558" s="54">
        <v>0.21933357744415966</v>
      </c>
      <c r="AC558" s="55">
        <v>0.7806664225558404</v>
      </c>
      <c r="AD558" s="752" t="e">
        <f>_xlfn.XLOOKUP(Table1[[#This Row],[Ruta]],#REF!,#REF!)</f>
        <v>#REF!</v>
      </c>
      <c r="AE558" s="752" t="e">
        <f>_xlfn.XLOOKUP(Table1[[#This Row],[Ruta]],#REF!,#REF!)</f>
        <v>#REF!</v>
      </c>
      <c r="AF558" s="752" t="e">
        <f>_xlfn.XLOOKUP(Table1[[#This Row],[Ruta]],#REF!,#REF!)</f>
        <v>#REF!</v>
      </c>
      <c r="AG558" s="752" t="e">
        <f>_xlfn.XLOOKUP(Table1[[#This Row],[Ruta]],#REF!,#REF!)</f>
        <v>#REF!</v>
      </c>
      <c r="AH558" s="52">
        <v>0.96374954229220067</v>
      </c>
      <c r="AI558" s="52">
        <v>3.625045770779934E-2</v>
      </c>
      <c r="AJ558" s="55">
        <v>0</v>
      </c>
      <c r="AK558" s="56">
        <v>467</v>
      </c>
      <c r="AL558" s="44">
        <v>15</v>
      </c>
      <c r="AM558" s="54">
        <v>4.2826552462525997E-3</v>
      </c>
      <c r="AN558" s="55">
        <v>0.50430318916557504</v>
      </c>
      <c r="AO558" s="56">
        <v>0</v>
      </c>
      <c r="AP558" s="48">
        <v>0</v>
      </c>
      <c r="AQ558" s="55">
        <v>3.2119914346895075E-2</v>
      </c>
      <c r="AR558" s="51">
        <v>2730.51</v>
      </c>
      <c r="AS558" s="49">
        <v>0</v>
      </c>
      <c r="AT558" s="55">
        <v>0</v>
      </c>
      <c r="AU558" s="51">
        <v>0</v>
      </c>
      <c r="AV558" s="52">
        <v>0</v>
      </c>
      <c r="AW558" s="44">
        <v>490</v>
      </c>
      <c r="AX558" s="51">
        <v>182.03399999999999</v>
      </c>
      <c r="AY558" s="49">
        <v>292.44921817516598</v>
      </c>
      <c r="AZ558" s="49">
        <v>110.41521817516599</v>
      </c>
      <c r="BA558" s="42" t="s">
        <v>150</v>
      </c>
      <c r="BB558" s="50">
        <v>581.91804173398316</v>
      </c>
      <c r="BC558" s="57">
        <v>581.91804173398316</v>
      </c>
      <c r="BD558" s="42" t="s">
        <v>152</v>
      </c>
      <c r="BE558" s="46" t="s">
        <v>195</v>
      </c>
      <c r="BF558" s="46" t="s">
        <v>195</v>
      </c>
      <c r="BG558" s="42" t="s">
        <v>195</v>
      </c>
      <c r="BH558" s="52" t="s">
        <v>195</v>
      </c>
      <c r="BI558" s="52" t="s">
        <v>195</v>
      </c>
      <c r="BJ558" s="42" t="s">
        <v>195</v>
      </c>
      <c r="BK558" s="46" t="s">
        <v>195</v>
      </c>
      <c r="BL558" s="46" t="s">
        <v>195</v>
      </c>
      <c r="BM558" s="42" t="s">
        <v>195</v>
      </c>
      <c r="BN558" s="48" t="s">
        <v>195</v>
      </c>
      <c r="BO558" s="42" t="s">
        <v>195</v>
      </c>
      <c r="BP558" s="42" t="s">
        <v>152</v>
      </c>
      <c r="BQ558" s="46">
        <v>0</v>
      </c>
      <c r="BR558" s="46" t="e">
        <v>#N/A</v>
      </c>
      <c r="BS558" s="46" t="e">
        <v>#N/A</v>
      </c>
      <c r="BT558" s="46" t="e">
        <v>#N/A</v>
      </c>
      <c r="BU558" s="46" t="e">
        <v>#N/A</v>
      </c>
      <c r="BV558" s="46" t="e">
        <v>#N/A</v>
      </c>
      <c r="BW558" s="46" t="e">
        <v>#N/A</v>
      </c>
      <c r="BX558" s="46" t="e">
        <v>#N/A</v>
      </c>
      <c r="BY558" s="46" t="e">
        <v>#N/A</v>
      </c>
      <c r="BZ558" s="46" t="e">
        <v>#N/A</v>
      </c>
      <c r="CA558" s="46" t="e">
        <v>#N/A</v>
      </c>
      <c r="CB558" s="46" t="e">
        <v>#N/A</v>
      </c>
      <c r="CC558" s="46" t="e">
        <v>#N/A</v>
      </c>
      <c r="CD558" s="46" t="e">
        <v>#N/A</v>
      </c>
      <c r="CE558" s="46" t="e">
        <v>#N/A</v>
      </c>
      <c r="CF558" s="46" t="e">
        <v>#N/A</v>
      </c>
      <c r="CG558" s="46" t="e">
        <v>#N/A</v>
      </c>
      <c r="CH558" s="46" t="e">
        <v>#N/A</v>
      </c>
      <c r="CI558" s="46" t="e">
        <v>#N/A</v>
      </c>
      <c r="CJ558" s="46" t="e">
        <v>#N/A</v>
      </c>
      <c r="CM558">
        <f t="shared" si="63"/>
        <v>0</v>
      </c>
      <c r="CP558">
        <f t="shared" si="64"/>
        <v>0</v>
      </c>
      <c r="CS558">
        <f t="shared" si="65"/>
        <v>0</v>
      </c>
      <c r="CW558" s="46"/>
      <c r="CX558" s="46" t="e">
        <f t="shared" si="59"/>
        <v>#N/A</v>
      </c>
      <c r="CY558" s="46"/>
      <c r="CZ558" s="46" t="e">
        <f t="shared" si="60"/>
        <v>#N/A</v>
      </c>
      <c r="DA558" s="46" t="e">
        <f t="shared" si="61"/>
        <v>#N/A</v>
      </c>
      <c r="DB558" s="46"/>
      <c r="DC558" s="46" t="e">
        <f t="shared" si="62"/>
        <v>#N/A</v>
      </c>
      <c r="DD558" s="46"/>
      <c r="DE558" s="995" t="s">
        <v>194</v>
      </c>
      <c r="DF558" s="995" t="s">
        <v>194</v>
      </c>
      <c r="DG558" s="995" t="s">
        <v>194</v>
      </c>
      <c r="DH558" s="995" t="s">
        <v>194</v>
      </c>
      <c r="DI558" s="995" t="s">
        <v>194</v>
      </c>
      <c r="DJ558" s="995" t="s">
        <v>194</v>
      </c>
      <c r="DK558" s="995" t="s">
        <v>194</v>
      </c>
      <c r="DL558" s="995" t="s">
        <v>194</v>
      </c>
      <c r="DM558" s="995" t="s">
        <v>194</v>
      </c>
      <c r="DN558" s="995" t="s">
        <v>194</v>
      </c>
      <c r="DO558" s="995" t="s">
        <v>194</v>
      </c>
      <c r="DP558" s="995" t="s">
        <v>194</v>
      </c>
      <c r="DQ558" s="995" t="s">
        <v>194</v>
      </c>
      <c r="DR558" s="995" t="s">
        <v>194</v>
      </c>
      <c r="DS558" s="995" t="s">
        <v>194</v>
      </c>
      <c r="DT558" s="995" t="s">
        <v>194</v>
      </c>
    </row>
    <row r="559" spans="1:124">
      <c r="A559" s="42" t="s">
        <v>94</v>
      </c>
      <c r="B559" s="42" t="s">
        <v>510</v>
      </c>
      <c r="C559" s="42" t="s">
        <v>750</v>
      </c>
      <c r="D559" s="42">
        <v>803407</v>
      </c>
      <c r="E559" s="42" t="s">
        <v>779</v>
      </c>
      <c r="F559" s="42" t="s">
        <v>149</v>
      </c>
      <c r="G559" s="42" t="s">
        <v>150</v>
      </c>
      <c r="H559" s="43" t="s">
        <v>150</v>
      </c>
      <c r="I559" s="44">
        <v>37</v>
      </c>
      <c r="J559" s="45">
        <v>176251.45596799999</v>
      </c>
      <c r="K559" s="46">
        <v>8121.2516770000002</v>
      </c>
      <c r="L559" s="47">
        <v>184372.70764499999</v>
      </c>
      <c r="M559" s="48">
        <v>3583669</v>
      </c>
      <c r="N559" s="49">
        <v>2532596</v>
      </c>
      <c r="O559" s="49">
        <v>1050413</v>
      </c>
      <c r="P559" s="49">
        <v>660</v>
      </c>
      <c r="Q559" s="50">
        <v>8236.7966666666707</v>
      </c>
      <c r="R559" s="51">
        <v>9261.0149948525104</v>
      </c>
      <c r="S559" s="49">
        <v>16958.472038185999</v>
      </c>
      <c r="T559" s="49">
        <v>2646.2424811338501</v>
      </c>
      <c r="U559" s="49">
        <f>IFERROR(INDEX('Rentabilidad datos'!$N$2:$N$61,MATCH($C559,'Rentabilidad datos'!$C$2:$C$61,0)),"")</f>
        <v>28865.729514172355</v>
      </c>
      <c r="V559" s="50">
        <f>IFERROR(INDEX('Rentabilidad datos'!$O$2:$O$61,MATCH($C559,'Rentabilidad datos'!$C$2:$C$61,0)),"")</f>
        <v>1519.2489217985451</v>
      </c>
      <c r="W559" s="51">
        <f>IFERROR(INDEX('Rentabilidad datos'!$M$2:$M$61,MATCH($C559,'Rentabilidad datos'!$C$2:$C$61,0)),"")</f>
        <v>3054.2455510167165</v>
      </c>
      <c r="X559" s="52">
        <f>IFERROR(INDEX('Rentabilidad datos'!$P$2:$P$61,MATCH($C559,'Rentabilidad datos'!$C$2:$C$61,0)),"")</f>
        <v>0.49742199715828611</v>
      </c>
      <c r="Y559" s="43" t="s">
        <v>171</v>
      </c>
      <c r="Z559" s="53">
        <v>77.004597701149393</v>
      </c>
      <c r="AA559" s="43">
        <v>2</v>
      </c>
      <c r="AB559" s="54">
        <v>0.98173994305835721</v>
      </c>
      <c r="AC559" s="55">
        <v>1.8260056941642767E-2</v>
      </c>
      <c r="AD559" s="752" t="e">
        <f>_xlfn.XLOOKUP(Table1[[#This Row],[Ruta]],#REF!,#REF!)</f>
        <v>#REF!</v>
      </c>
      <c r="AE559" s="752" t="e">
        <f>_xlfn.XLOOKUP(Table1[[#This Row],[Ruta]],#REF!,#REF!)</f>
        <v>#REF!</v>
      </c>
      <c r="AF559" s="752" t="e">
        <f>_xlfn.XLOOKUP(Table1[[#This Row],[Ruta]],#REF!,#REF!)</f>
        <v>#REF!</v>
      </c>
      <c r="AG559" s="752" t="e">
        <f>_xlfn.XLOOKUP(Table1[[#This Row],[Ruta]],#REF!,#REF!)</f>
        <v>#REF!</v>
      </c>
      <c r="AH559" s="52">
        <v>0.70670477658511432</v>
      </c>
      <c r="AI559" s="52">
        <v>0.29311105462027881</v>
      </c>
      <c r="AJ559" s="55">
        <v>1.8416879460686798E-4</v>
      </c>
      <c r="AK559" s="56">
        <v>33497</v>
      </c>
      <c r="AL559" s="44">
        <v>16491</v>
      </c>
      <c r="AM559" s="54">
        <v>0.49231274442487399</v>
      </c>
      <c r="AN559" s="55">
        <v>0.50430318916557504</v>
      </c>
      <c r="AO559" s="56">
        <v>401.64392747925001</v>
      </c>
      <c r="AP559" s="48">
        <v>200.82196373962501</v>
      </c>
      <c r="AQ559" s="55">
        <v>0.49830796679522421</v>
      </c>
      <c r="AR559" s="51">
        <v>3583006.55</v>
      </c>
      <c r="AS559" s="49">
        <v>43632.673061848203</v>
      </c>
      <c r="AT559" s="55">
        <v>1.217767047114335E-2</v>
      </c>
      <c r="AU559" s="51">
        <v>30660.797286704154</v>
      </c>
      <c r="AV559" s="52">
        <v>1.394788683687195E-4</v>
      </c>
      <c r="AW559" s="44">
        <v>449</v>
      </c>
      <c r="AX559" s="51">
        <v>217.27042326117299</v>
      </c>
      <c r="AY559" s="49">
        <v>292.44921817516598</v>
      </c>
      <c r="AZ559" s="49">
        <v>75.178794913992988</v>
      </c>
      <c r="BA559" s="42" t="s">
        <v>150</v>
      </c>
      <c r="BB559" s="50">
        <v>435596.0970282855</v>
      </c>
      <c r="BC559" s="57">
        <v>466256.89431498968</v>
      </c>
      <c r="BD559" s="42" t="s">
        <v>150</v>
      </c>
      <c r="BE559" s="46">
        <v>77.004597701149393</v>
      </c>
      <c r="BF559" s="46">
        <v>72.425990467051307</v>
      </c>
      <c r="BG559" s="42" t="s">
        <v>150</v>
      </c>
      <c r="BH559" s="52">
        <v>0.49231274442487399</v>
      </c>
      <c r="BI559" s="52">
        <v>0.49337264070319697</v>
      </c>
      <c r="BJ559" s="42" t="s">
        <v>152</v>
      </c>
      <c r="BK559" s="46">
        <v>423.84530493103398</v>
      </c>
      <c r="BL559" s="46">
        <v>605.59017138979505</v>
      </c>
      <c r="BM559" s="42" t="s">
        <v>152</v>
      </c>
      <c r="BN559" s="48">
        <v>1</v>
      </c>
      <c r="BO559" s="42" t="s">
        <v>155</v>
      </c>
      <c r="BP559" s="42" t="s">
        <v>152</v>
      </c>
      <c r="BQ559" s="46">
        <v>4051.7213242430498</v>
      </c>
      <c r="BR559" s="46">
        <v>117</v>
      </c>
      <c r="BS559" s="46">
        <v>14039</v>
      </c>
      <c r="BT559" s="46">
        <v>4043</v>
      </c>
      <c r="BU559" s="46">
        <v>3.4724214692060351</v>
      </c>
      <c r="BV559" s="46">
        <v>34.555555555555557</v>
      </c>
      <c r="BW559" s="46">
        <v>0</v>
      </c>
      <c r="BX559" s="46">
        <v>0</v>
      </c>
      <c r="BY559" s="46">
        <v>0</v>
      </c>
      <c r="BZ559" s="46">
        <v>0</v>
      </c>
      <c r="CA559" s="46">
        <v>0</v>
      </c>
      <c r="CB559" s="46">
        <v>0</v>
      </c>
      <c r="CC559" s="46">
        <v>0.44249319812020782</v>
      </c>
      <c r="CD559" s="46">
        <v>9.6463022508038593E-3</v>
      </c>
      <c r="CE559" s="46">
        <v>0</v>
      </c>
      <c r="CF559" s="46">
        <v>0.54786049962898842</v>
      </c>
      <c r="CG559" s="46">
        <v>0</v>
      </c>
      <c r="CH559" s="46">
        <v>0</v>
      </c>
      <c r="CI559" s="46">
        <v>5.1285704109979342</v>
      </c>
      <c r="CJ559" s="46">
        <v>0.49861101218035481</v>
      </c>
      <c r="CK559">
        <v>293</v>
      </c>
      <c r="CL559">
        <v>293</v>
      </c>
      <c r="CM559">
        <f t="shared" si="63"/>
        <v>0</v>
      </c>
      <c r="CO559">
        <v>9.4499999999999993</v>
      </c>
      <c r="CP559">
        <f t="shared" si="64"/>
        <v>9.4499999999999993</v>
      </c>
      <c r="CS559">
        <f t="shared" si="65"/>
        <v>0</v>
      </c>
      <c r="CV559">
        <v>0</v>
      </c>
      <c r="CW559" s="46">
        <v>0</v>
      </c>
      <c r="CX559" s="46">
        <f t="shared" si="59"/>
        <v>0</v>
      </c>
      <c r="CY559" s="46">
        <v>0</v>
      </c>
      <c r="CZ559" s="46">
        <f t="shared" si="60"/>
        <v>0</v>
      </c>
      <c r="DA559" s="46">
        <f t="shared" si="61"/>
        <v>0</v>
      </c>
      <c r="DB559" s="46">
        <v>0</v>
      </c>
      <c r="DC559" s="46">
        <f t="shared" si="62"/>
        <v>0</v>
      </c>
      <c r="DD559" s="46">
        <v>0</v>
      </c>
      <c r="DE559" s="995">
        <v>0</v>
      </c>
      <c r="DF559" s="995">
        <v>0</v>
      </c>
      <c r="DG559" s="995">
        <v>0</v>
      </c>
      <c r="DH559" s="995">
        <v>0</v>
      </c>
      <c r="DI559" s="995">
        <v>672.87599999999998</v>
      </c>
      <c r="DJ559" s="995">
        <v>2720437</v>
      </c>
      <c r="DK559" s="995">
        <v>32.512</v>
      </c>
      <c r="DL559" s="995">
        <v>131444.20000000001</v>
      </c>
      <c r="DM559" s="995">
        <v>0</v>
      </c>
      <c r="DN559" s="995">
        <v>0</v>
      </c>
      <c r="DO559" s="995">
        <v>0</v>
      </c>
      <c r="DP559" s="995">
        <v>0</v>
      </c>
      <c r="DQ559" s="995">
        <v>672.87599999999998</v>
      </c>
      <c r="DR559" s="995">
        <v>2720437</v>
      </c>
      <c r="DS559" s="995">
        <v>32.512</v>
      </c>
      <c r="DT559" s="995">
        <v>131444.20000000001</v>
      </c>
    </row>
    <row r="560" spans="1:124">
      <c r="A560" s="42" t="s">
        <v>94</v>
      </c>
      <c r="B560" s="42" t="s">
        <v>510</v>
      </c>
      <c r="C560" s="42" t="s">
        <v>750</v>
      </c>
      <c r="D560" s="42">
        <v>803408</v>
      </c>
      <c r="E560" s="42" t="s">
        <v>780</v>
      </c>
      <c r="F560" s="42" t="s">
        <v>193</v>
      </c>
      <c r="G560" s="42" t="s">
        <v>150</v>
      </c>
      <c r="H560" s="43" t="s">
        <v>152</v>
      </c>
      <c r="I560" s="44">
        <v>37</v>
      </c>
      <c r="J560" s="45">
        <v>17.611999999999998</v>
      </c>
      <c r="K560" s="46">
        <v>0</v>
      </c>
      <c r="L560" s="47">
        <v>17.611999999999998</v>
      </c>
      <c r="M560" s="48">
        <v>206</v>
      </c>
      <c r="N560" s="49">
        <v>206</v>
      </c>
      <c r="O560" s="49">
        <v>0</v>
      </c>
      <c r="P560" s="49">
        <v>0</v>
      </c>
      <c r="Q560" s="50">
        <v>0</v>
      </c>
      <c r="R560" s="51">
        <v>9261.0149948525104</v>
      </c>
      <c r="S560" s="49">
        <v>16958.472038185999</v>
      </c>
      <c r="T560" s="49">
        <v>2646.2424811338501</v>
      </c>
      <c r="U560" s="49">
        <f>IFERROR(INDEX('Rentabilidad datos'!$N$2:$N$61,MATCH($C560,'Rentabilidad datos'!$C$2:$C$61,0)),"")</f>
        <v>28865.729514172355</v>
      </c>
      <c r="V560" s="50">
        <f>IFERROR(INDEX('Rentabilidad datos'!$O$2:$O$61,MATCH($C560,'Rentabilidad datos'!$C$2:$C$61,0)),"")</f>
        <v>1519.2489217985451</v>
      </c>
      <c r="W560" s="51">
        <f>IFERROR(INDEX('Rentabilidad datos'!$M$2:$M$61,MATCH($C560,'Rentabilidad datos'!$C$2:$C$61,0)),"")</f>
        <v>3054.2455510167165</v>
      </c>
      <c r="X560" s="52">
        <f>IFERROR(INDEX('Rentabilidad datos'!$P$2:$P$61,MATCH($C560,'Rentabilidad datos'!$C$2:$C$61,0)),"")</f>
        <v>0.49742199715828611</v>
      </c>
      <c r="Y560" s="43" t="s">
        <v>171</v>
      </c>
      <c r="Z560" s="53">
        <v>152.166666666667</v>
      </c>
      <c r="AA560" s="43">
        <v>2</v>
      </c>
      <c r="AB560" s="54">
        <v>0</v>
      </c>
      <c r="AC560" s="55">
        <v>1</v>
      </c>
      <c r="AD560" s="752" t="e">
        <f>_xlfn.XLOOKUP(Table1[[#This Row],[Ruta]],#REF!,#REF!)</f>
        <v>#REF!</v>
      </c>
      <c r="AE560" s="752" t="e">
        <f>_xlfn.XLOOKUP(Table1[[#This Row],[Ruta]],#REF!,#REF!)</f>
        <v>#REF!</v>
      </c>
      <c r="AF560" s="752" t="e">
        <f>_xlfn.XLOOKUP(Table1[[#This Row],[Ruta]],#REF!,#REF!)</f>
        <v>#REF!</v>
      </c>
      <c r="AG560" s="752" t="e">
        <f>_xlfn.XLOOKUP(Table1[[#This Row],[Ruta]],#REF!,#REF!)</f>
        <v>#REF!</v>
      </c>
      <c r="AH560" s="52">
        <v>1</v>
      </c>
      <c r="AI560" s="52">
        <v>0</v>
      </c>
      <c r="AJ560" s="55">
        <v>0</v>
      </c>
      <c r="AK560" s="56">
        <v>913</v>
      </c>
      <c r="AL560" s="44">
        <v>2</v>
      </c>
      <c r="AM560" s="54">
        <v>1.0952902519167E-3</v>
      </c>
      <c r="AN560" s="55">
        <v>0.50430318916557504</v>
      </c>
      <c r="AO560" s="56">
        <v>0</v>
      </c>
      <c r="AP560" s="48">
        <v>0</v>
      </c>
      <c r="AQ560" s="55">
        <v>2.1905805038335158E-3</v>
      </c>
      <c r="AR560" s="51">
        <v>206</v>
      </c>
      <c r="AS560" s="49">
        <v>0</v>
      </c>
      <c r="AT560" s="55">
        <v>0</v>
      </c>
      <c r="AU560" s="51">
        <v>0</v>
      </c>
      <c r="AV560" s="52">
        <v>0</v>
      </c>
      <c r="AW560" s="44">
        <v>490</v>
      </c>
      <c r="AX560" s="51">
        <v>103</v>
      </c>
      <c r="AY560" s="49">
        <v>292.44921817516598</v>
      </c>
      <c r="AZ560" s="49">
        <v>189.44921817516598</v>
      </c>
      <c r="BA560" s="42" t="s">
        <v>150</v>
      </c>
      <c r="BB560" s="50">
        <v>133.12647763660317</v>
      </c>
      <c r="BC560" s="57">
        <v>133.12647763660317</v>
      </c>
      <c r="BD560" s="42" t="s">
        <v>152</v>
      </c>
      <c r="BE560" s="46" t="s">
        <v>195</v>
      </c>
      <c r="BF560" s="46" t="s">
        <v>195</v>
      </c>
      <c r="BG560" s="42" t="s">
        <v>195</v>
      </c>
      <c r="BH560" s="52" t="s">
        <v>195</v>
      </c>
      <c r="BI560" s="52" t="s">
        <v>195</v>
      </c>
      <c r="BJ560" s="42" t="s">
        <v>195</v>
      </c>
      <c r="BK560" s="46" t="s">
        <v>195</v>
      </c>
      <c r="BL560" s="46" t="s">
        <v>195</v>
      </c>
      <c r="BM560" s="42" t="s">
        <v>195</v>
      </c>
      <c r="BN560" s="48" t="s">
        <v>195</v>
      </c>
      <c r="BO560" s="42" t="s">
        <v>195</v>
      </c>
      <c r="BP560" s="42" t="s">
        <v>152</v>
      </c>
      <c r="BQ560" s="46">
        <v>0</v>
      </c>
      <c r="BR560" s="46" t="e">
        <v>#N/A</v>
      </c>
      <c r="BS560" s="46" t="e">
        <v>#N/A</v>
      </c>
      <c r="BT560" s="46" t="e">
        <v>#N/A</v>
      </c>
      <c r="BU560" s="46" t="e">
        <v>#N/A</v>
      </c>
      <c r="BV560" s="46" t="e">
        <v>#N/A</v>
      </c>
      <c r="BW560" s="46" t="e">
        <v>#N/A</v>
      </c>
      <c r="BX560" s="46" t="e">
        <v>#N/A</v>
      </c>
      <c r="BY560" s="46" t="e">
        <v>#N/A</v>
      </c>
      <c r="BZ560" s="46" t="e">
        <v>#N/A</v>
      </c>
      <c r="CA560" s="46" t="e">
        <v>#N/A</v>
      </c>
      <c r="CB560" s="46" t="e">
        <v>#N/A</v>
      </c>
      <c r="CC560" s="46" t="e">
        <v>#N/A</v>
      </c>
      <c r="CD560" s="46" t="e">
        <v>#N/A</v>
      </c>
      <c r="CE560" s="46" t="e">
        <v>#N/A</v>
      </c>
      <c r="CF560" s="46" t="e">
        <v>#N/A</v>
      </c>
      <c r="CG560" s="46" t="e">
        <v>#N/A</v>
      </c>
      <c r="CH560" s="46" t="e">
        <v>#N/A</v>
      </c>
      <c r="CI560" s="46" t="e">
        <v>#N/A</v>
      </c>
      <c r="CJ560" s="46" t="e">
        <v>#N/A</v>
      </c>
      <c r="CM560">
        <f t="shared" si="63"/>
        <v>0</v>
      </c>
      <c r="CP560">
        <f t="shared" si="64"/>
        <v>0</v>
      </c>
      <c r="CS560">
        <f t="shared" si="65"/>
        <v>0</v>
      </c>
      <c r="CW560" s="46"/>
      <c r="CX560" s="46" t="e">
        <f t="shared" si="59"/>
        <v>#N/A</v>
      </c>
      <c r="CY560" s="46"/>
      <c r="CZ560" s="46" t="e">
        <f t="shared" si="60"/>
        <v>#N/A</v>
      </c>
      <c r="DA560" s="46" t="e">
        <f t="shared" si="61"/>
        <v>#N/A</v>
      </c>
      <c r="DB560" s="46"/>
      <c r="DC560" s="46" t="e">
        <f t="shared" si="62"/>
        <v>#N/A</v>
      </c>
      <c r="DD560" s="46"/>
      <c r="DE560" s="995" t="s">
        <v>194</v>
      </c>
      <c r="DF560" s="995" t="s">
        <v>194</v>
      </c>
      <c r="DG560" s="995" t="s">
        <v>194</v>
      </c>
      <c r="DH560" s="995" t="s">
        <v>194</v>
      </c>
      <c r="DI560" s="995" t="s">
        <v>194</v>
      </c>
      <c r="DJ560" s="995" t="s">
        <v>194</v>
      </c>
      <c r="DK560" s="995" t="s">
        <v>194</v>
      </c>
      <c r="DL560" s="995" t="s">
        <v>194</v>
      </c>
      <c r="DM560" s="995" t="s">
        <v>194</v>
      </c>
      <c r="DN560" s="995" t="s">
        <v>194</v>
      </c>
      <c r="DO560" s="995" t="s">
        <v>194</v>
      </c>
      <c r="DP560" s="995" t="s">
        <v>194</v>
      </c>
      <c r="DQ560" s="995" t="s">
        <v>194</v>
      </c>
      <c r="DR560" s="995" t="s">
        <v>194</v>
      </c>
      <c r="DS560" s="995" t="s">
        <v>194</v>
      </c>
      <c r="DT560" s="995" t="s">
        <v>194</v>
      </c>
    </row>
    <row r="561" spans="1:124">
      <c r="A561" s="42" t="s">
        <v>94</v>
      </c>
      <c r="B561" s="42" t="s">
        <v>510</v>
      </c>
      <c r="C561" s="42" t="s">
        <v>750</v>
      </c>
      <c r="D561" s="42">
        <v>803409</v>
      </c>
      <c r="E561" s="42" t="s">
        <v>781</v>
      </c>
      <c r="F561" s="42" t="s">
        <v>149</v>
      </c>
      <c r="G561" s="42" t="s">
        <v>150</v>
      </c>
      <c r="H561" s="43" t="s">
        <v>150</v>
      </c>
      <c r="I561" s="44">
        <v>37</v>
      </c>
      <c r="J561" s="45">
        <v>200234.3504</v>
      </c>
      <c r="K561" s="46">
        <v>13458.847475</v>
      </c>
      <c r="L561" s="47">
        <v>213693.19787500001</v>
      </c>
      <c r="M561" s="48">
        <v>4409468</v>
      </c>
      <c r="N561" s="49">
        <v>2940901</v>
      </c>
      <c r="O561" s="49">
        <v>1467397</v>
      </c>
      <c r="P561" s="49">
        <v>1170</v>
      </c>
      <c r="Q561" s="50">
        <v>10134.016620689699</v>
      </c>
      <c r="R561" s="51">
        <v>9261.0149948525104</v>
      </c>
      <c r="S561" s="49">
        <v>16958.472038185999</v>
      </c>
      <c r="T561" s="49">
        <v>2646.2424811338501</v>
      </c>
      <c r="U561" s="49">
        <f>IFERROR(INDEX('Rentabilidad datos'!$N$2:$N$61,MATCH($C561,'Rentabilidad datos'!$C$2:$C$61,0)),"")</f>
        <v>28865.729514172355</v>
      </c>
      <c r="V561" s="50">
        <f>IFERROR(INDEX('Rentabilidad datos'!$O$2:$O$61,MATCH($C561,'Rentabilidad datos'!$C$2:$C$61,0)),"")</f>
        <v>1519.2489217985451</v>
      </c>
      <c r="W561" s="51">
        <f>IFERROR(INDEX('Rentabilidad datos'!$M$2:$M$61,MATCH($C561,'Rentabilidad datos'!$C$2:$C$61,0)),"")</f>
        <v>3054.2455510167165</v>
      </c>
      <c r="X561" s="52">
        <f>IFERROR(INDEX('Rentabilidad datos'!$P$2:$P$61,MATCH($C561,'Rentabilidad datos'!$C$2:$C$61,0)),"")</f>
        <v>0.49742199715828611</v>
      </c>
      <c r="Y561" s="43" t="s">
        <v>171</v>
      </c>
      <c r="Z561" s="53">
        <v>101.13103448275901</v>
      </c>
      <c r="AA561" s="43">
        <v>2</v>
      </c>
      <c r="AB561" s="54">
        <v>0.97427966366917729</v>
      </c>
      <c r="AC561" s="55">
        <v>2.5720336330822675E-2</v>
      </c>
      <c r="AD561" s="752" t="e">
        <f>_xlfn.XLOOKUP(Table1[[#This Row],[Ruta]],#REF!,#REF!)</f>
        <v>#REF!</v>
      </c>
      <c r="AE561" s="752" t="e">
        <f>_xlfn.XLOOKUP(Table1[[#This Row],[Ruta]],#REF!,#REF!)</f>
        <v>#REF!</v>
      </c>
      <c r="AF561" s="752" t="e">
        <f>_xlfn.XLOOKUP(Table1[[#This Row],[Ruta]],#REF!,#REF!)</f>
        <v>#REF!</v>
      </c>
      <c r="AG561" s="752" t="e">
        <f>_xlfn.XLOOKUP(Table1[[#This Row],[Ruta]],#REF!,#REF!)</f>
        <v>#REF!</v>
      </c>
      <c r="AH561" s="52">
        <v>0.66695143268983925</v>
      </c>
      <c r="AI561" s="52">
        <v>0.33278322917866737</v>
      </c>
      <c r="AJ561" s="55">
        <v>2.653381314934137E-4</v>
      </c>
      <c r="AK561" s="56">
        <v>43992</v>
      </c>
      <c r="AL561" s="44">
        <v>23219</v>
      </c>
      <c r="AM561" s="54">
        <v>0.52780050918348798</v>
      </c>
      <c r="AN561" s="55">
        <v>0.50430318916557504</v>
      </c>
      <c r="AO561" s="56">
        <v>0</v>
      </c>
      <c r="AP561" s="48">
        <v>0</v>
      </c>
      <c r="AQ561" s="55">
        <v>0.52780050918348786</v>
      </c>
      <c r="AR561" s="51">
        <v>4408297.2300000004</v>
      </c>
      <c r="AS561" s="49">
        <v>0</v>
      </c>
      <c r="AT561" s="55">
        <v>0</v>
      </c>
      <c r="AU561" s="51">
        <v>0</v>
      </c>
      <c r="AV561" s="52">
        <v>0</v>
      </c>
      <c r="AW561" s="44">
        <v>490</v>
      </c>
      <c r="AX561" s="51">
        <v>189.85732503553101</v>
      </c>
      <c r="AY561" s="49">
        <v>292.44921817516598</v>
      </c>
      <c r="AZ561" s="49">
        <v>102.59189313963498</v>
      </c>
      <c r="BA561" s="42" t="s">
        <v>150</v>
      </c>
      <c r="BB561" s="50">
        <v>836947.43698701111</v>
      </c>
      <c r="BC561" s="57">
        <v>836947.43698701111</v>
      </c>
      <c r="BD561" s="42" t="s">
        <v>150</v>
      </c>
      <c r="BE561" s="46">
        <v>101.13103448275901</v>
      </c>
      <c r="BF561" s="46">
        <v>72.425990467051307</v>
      </c>
      <c r="BG561" s="42" t="s">
        <v>150</v>
      </c>
      <c r="BH561" s="52">
        <v>0.52780050918348798</v>
      </c>
      <c r="BI561" s="52">
        <v>0.49337264070319697</v>
      </c>
      <c r="BJ561" s="42" t="s">
        <v>150</v>
      </c>
      <c r="BK561" s="46">
        <v>491.24873074712502</v>
      </c>
      <c r="BL561" s="46">
        <v>605.59017138979505</v>
      </c>
      <c r="BM561" s="42" t="s">
        <v>152</v>
      </c>
      <c r="BN561" s="48">
        <v>2</v>
      </c>
      <c r="BO561" s="42" t="s">
        <v>161</v>
      </c>
      <c r="BP561" s="42" t="s">
        <v>152</v>
      </c>
      <c r="BQ561" s="46">
        <v>0</v>
      </c>
      <c r="BR561" s="46">
        <v>86</v>
      </c>
      <c r="BS561" s="46">
        <v>11835</v>
      </c>
      <c r="BT561" s="46">
        <v>3345</v>
      </c>
      <c r="BU561" s="46">
        <v>3.5381165919282513</v>
      </c>
      <c r="BV561" s="46">
        <v>38.895348837209305</v>
      </c>
      <c r="BW561" s="46">
        <v>0</v>
      </c>
      <c r="BX561" s="46">
        <v>0</v>
      </c>
      <c r="BY561" s="46">
        <v>0</v>
      </c>
      <c r="BZ561" s="46">
        <v>0</v>
      </c>
      <c r="CA561" s="46">
        <v>0</v>
      </c>
      <c r="CB561" s="46">
        <v>0</v>
      </c>
      <c r="CC561" s="46">
        <v>0.53841554559043348</v>
      </c>
      <c r="CD561" s="46">
        <v>0.35904334828101642</v>
      </c>
      <c r="CE561" s="46">
        <v>0</v>
      </c>
      <c r="CF561" s="46">
        <v>0.10254110612855009</v>
      </c>
      <c r="CG561" s="46">
        <v>0</v>
      </c>
      <c r="CH561" s="46">
        <v>0</v>
      </c>
      <c r="CI561" s="46">
        <v>3.8867765103506549</v>
      </c>
      <c r="CJ561" s="46">
        <v>0.1689902830587241</v>
      </c>
      <c r="CK561">
        <v>326</v>
      </c>
      <c r="CL561">
        <v>326</v>
      </c>
      <c r="CM561">
        <f t="shared" si="63"/>
        <v>0</v>
      </c>
      <c r="CO561">
        <v>9.4499999999999993</v>
      </c>
      <c r="CP561">
        <f t="shared" si="64"/>
        <v>9.4499999999999993</v>
      </c>
      <c r="CS561">
        <f t="shared" si="65"/>
        <v>0</v>
      </c>
      <c r="CV561">
        <v>0</v>
      </c>
      <c r="CW561" s="46">
        <v>0</v>
      </c>
      <c r="CX561" s="46">
        <f t="shared" si="59"/>
        <v>0</v>
      </c>
      <c r="CY561" s="46">
        <v>0</v>
      </c>
      <c r="CZ561" s="46">
        <f t="shared" si="60"/>
        <v>0</v>
      </c>
      <c r="DA561" s="46">
        <f t="shared" si="61"/>
        <v>0</v>
      </c>
      <c r="DB561" s="46">
        <v>0</v>
      </c>
      <c r="DC561" s="46">
        <f t="shared" si="62"/>
        <v>0</v>
      </c>
      <c r="DD561" s="46">
        <v>0</v>
      </c>
      <c r="DE561" s="995">
        <v>0</v>
      </c>
      <c r="DF561" s="995">
        <v>0</v>
      </c>
      <c r="DG561" s="995">
        <v>0</v>
      </c>
      <c r="DH561" s="995">
        <v>0</v>
      </c>
      <c r="DI561" s="995">
        <v>990.29300000000001</v>
      </c>
      <c r="DJ561" s="995">
        <v>3312531</v>
      </c>
      <c r="DK561" s="995">
        <v>46.494</v>
      </c>
      <c r="DL561" s="995">
        <v>155520.9</v>
      </c>
      <c r="DM561" s="995">
        <v>0</v>
      </c>
      <c r="DN561" s="995">
        <v>0</v>
      </c>
      <c r="DO561" s="995">
        <v>0</v>
      </c>
      <c r="DP561" s="995">
        <v>0</v>
      </c>
      <c r="DQ561" s="995">
        <v>990.29300000000001</v>
      </c>
      <c r="DR561" s="995">
        <v>3312531</v>
      </c>
      <c r="DS561" s="995">
        <v>46.494</v>
      </c>
      <c r="DT561" s="995">
        <v>155520.9</v>
      </c>
    </row>
    <row r="562" spans="1:124">
      <c r="A562" s="42" t="s">
        <v>94</v>
      </c>
      <c r="B562" s="42" t="s">
        <v>510</v>
      </c>
      <c r="C562" s="42" t="s">
        <v>750</v>
      </c>
      <c r="D562" s="42">
        <v>803410</v>
      </c>
      <c r="E562" s="42" t="s">
        <v>782</v>
      </c>
      <c r="F562" s="42" t="s">
        <v>149</v>
      </c>
      <c r="G562" s="42" t="s">
        <v>150</v>
      </c>
      <c r="H562" s="43" t="s">
        <v>150</v>
      </c>
      <c r="I562" s="44">
        <v>37</v>
      </c>
      <c r="J562" s="45">
        <v>180191.89439999999</v>
      </c>
      <c r="K562" s="46">
        <v>16247.183325</v>
      </c>
      <c r="L562" s="47">
        <v>196439.07772500001</v>
      </c>
      <c r="M562" s="48">
        <v>4390166</v>
      </c>
      <c r="N562" s="49">
        <v>2611478</v>
      </c>
      <c r="O562" s="49">
        <v>1777269</v>
      </c>
      <c r="P562" s="49">
        <v>1419</v>
      </c>
      <c r="Q562" s="50">
        <v>10089.073126436801</v>
      </c>
      <c r="R562" s="51">
        <v>9261.0149948525104</v>
      </c>
      <c r="S562" s="49">
        <v>16958.472038185999</v>
      </c>
      <c r="T562" s="49">
        <v>2646.2424811338501</v>
      </c>
      <c r="U562" s="49">
        <f>IFERROR(INDEX('Rentabilidad datos'!$N$2:$N$61,MATCH($C562,'Rentabilidad datos'!$C$2:$C$61,0)),"")</f>
        <v>28865.729514172355</v>
      </c>
      <c r="V562" s="50">
        <f>IFERROR(INDEX('Rentabilidad datos'!$O$2:$O$61,MATCH($C562,'Rentabilidad datos'!$C$2:$C$61,0)),"")</f>
        <v>1519.2489217985451</v>
      </c>
      <c r="W562" s="51">
        <f>IFERROR(INDEX('Rentabilidad datos'!$M$2:$M$61,MATCH($C562,'Rentabilidad datos'!$C$2:$C$61,0)),"")</f>
        <v>3054.2455510167165</v>
      </c>
      <c r="X562" s="52">
        <f>IFERROR(INDEX('Rentabilidad datos'!$P$2:$P$61,MATCH($C562,'Rentabilidad datos'!$C$2:$C$61,0)),"")</f>
        <v>0.49742199715828611</v>
      </c>
      <c r="Y562" s="43" t="s">
        <v>171</v>
      </c>
      <c r="Z562" s="53">
        <v>105.241379310345</v>
      </c>
      <c r="AA562" s="43">
        <v>2</v>
      </c>
      <c r="AB562" s="54">
        <v>0.99115591528885238</v>
      </c>
      <c r="AC562" s="55">
        <v>8.844084711147596E-3</v>
      </c>
      <c r="AD562" s="752" t="e">
        <f>_xlfn.XLOOKUP(Table1[[#This Row],[Ruta]],#REF!,#REF!)</f>
        <v>#REF!</v>
      </c>
      <c r="AE562" s="752" t="e">
        <f>_xlfn.XLOOKUP(Table1[[#This Row],[Ruta]],#REF!,#REF!)</f>
        <v>#REF!</v>
      </c>
      <c r="AF562" s="752" t="e">
        <f>_xlfn.XLOOKUP(Table1[[#This Row],[Ruta]],#REF!,#REF!)</f>
        <v>#REF!</v>
      </c>
      <c r="AG562" s="752" t="e">
        <f>_xlfn.XLOOKUP(Table1[[#This Row],[Ruta]],#REF!,#REF!)</f>
        <v>#REF!</v>
      </c>
      <c r="AH562" s="52">
        <v>0.59484721078884029</v>
      </c>
      <c r="AI562" s="52">
        <v>0.40482956680909105</v>
      </c>
      <c r="AJ562" s="55">
        <v>3.2322240206862337E-4</v>
      </c>
      <c r="AK562" s="56">
        <v>45780</v>
      </c>
      <c r="AL562" s="44">
        <v>23087</v>
      </c>
      <c r="AM562" s="54">
        <v>0.50430318916557504</v>
      </c>
      <c r="AN562" s="55">
        <v>0.50430318916557504</v>
      </c>
      <c r="AO562" s="56">
        <v>0</v>
      </c>
      <c r="AP562" s="48">
        <v>0</v>
      </c>
      <c r="AQ562" s="55">
        <v>0.50430318916557448</v>
      </c>
      <c r="AR562" s="51">
        <v>4388746.8099999996</v>
      </c>
      <c r="AS562" s="49">
        <v>0</v>
      </c>
      <c r="AT562" s="55">
        <v>0</v>
      </c>
      <c r="AU562" s="51">
        <v>0</v>
      </c>
      <c r="AV562" s="52">
        <v>0</v>
      </c>
      <c r="AW562" s="44">
        <v>490</v>
      </c>
      <c r="AX562" s="51">
        <v>190.096019838004</v>
      </c>
      <c r="AY562" s="49">
        <v>292.44921817516598</v>
      </c>
      <c r="AZ562" s="49">
        <v>102.35319833716198</v>
      </c>
      <c r="BA562" s="42" t="s">
        <v>150</v>
      </c>
      <c r="BB562" s="50">
        <v>830253.18297650747</v>
      </c>
      <c r="BC562" s="57">
        <v>830253.18297650747</v>
      </c>
      <c r="BD562" s="42" t="s">
        <v>150</v>
      </c>
      <c r="BE562" s="46">
        <v>105.241379310345</v>
      </c>
      <c r="BF562" s="46">
        <v>72.425990467051307</v>
      </c>
      <c r="BG562" s="42" t="s">
        <v>150</v>
      </c>
      <c r="BH562" s="52">
        <v>0.50430318916557504</v>
      </c>
      <c r="BI562" s="52">
        <v>0.49337264070319697</v>
      </c>
      <c r="BJ562" s="42" t="s">
        <v>150</v>
      </c>
      <c r="BK562" s="46">
        <v>451.58408672413702</v>
      </c>
      <c r="BL562" s="46">
        <v>605.59017138979505</v>
      </c>
      <c r="BM562" s="42" t="s">
        <v>152</v>
      </c>
      <c r="BN562" s="48">
        <v>2</v>
      </c>
      <c r="BO562" s="42" t="s">
        <v>161</v>
      </c>
      <c r="BP562" s="42" t="s">
        <v>152</v>
      </c>
      <c r="BQ562" s="46">
        <v>0</v>
      </c>
      <c r="BR562" s="46">
        <v>89</v>
      </c>
      <c r="BS562" s="46">
        <v>11842</v>
      </c>
      <c r="BT562" s="46">
        <v>3436</v>
      </c>
      <c r="BU562" s="46">
        <v>3.4464493597206052</v>
      </c>
      <c r="BV562" s="46">
        <v>38.606741573033709</v>
      </c>
      <c r="BW562" s="46">
        <v>0</v>
      </c>
      <c r="BX562" s="46">
        <v>0</v>
      </c>
      <c r="BY562" s="46">
        <v>0</v>
      </c>
      <c r="BZ562" s="46">
        <v>0</v>
      </c>
      <c r="CA562" s="46">
        <v>0</v>
      </c>
      <c r="CB562" s="46">
        <v>0</v>
      </c>
      <c r="CC562" s="46">
        <v>0</v>
      </c>
      <c r="CD562" s="46">
        <v>0.25407450523864961</v>
      </c>
      <c r="CE562" s="46">
        <v>0</v>
      </c>
      <c r="CF562" s="46">
        <v>0.74592549476135039</v>
      </c>
      <c r="CG562" s="46">
        <v>0</v>
      </c>
      <c r="CH562" s="46">
        <v>0</v>
      </c>
      <c r="CI562" s="46">
        <v>6.1644992399932441</v>
      </c>
      <c r="CJ562" s="46">
        <v>0.16889039013680121</v>
      </c>
      <c r="CK562">
        <v>337</v>
      </c>
      <c r="CL562">
        <v>337</v>
      </c>
      <c r="CM562">
        <f t="shared" si="63"/>
        <v>0</v>
      </c>
      <c r="CO562">
        <v>9.4499999999999993</v>
      </c>
      <c r="CP562">
        <f t="shared" si="64"/>
        <v>9.4499999999999993</v>
      </c>
      <c r="CS562">
        <f t="shared" si="65"/>
        <v>0</v>
      </c>
      <c r="CV562">
        <v>0</v>
      </c>
      <c r="CW562" s="46">
        <v>0</v>
      </c>
      <c r="CX562" s="46">
        <f t="shared" si="59"/>
        <v>0</v>
      </c>
      <c r="CY562" s="46">
        <v>0</v>
      </c>
      <c r="CZ562" s="46">
        <f t="shared" si="60"/>
        <v>0</v>
      </c>
      <c r="DA562" s="46">
        <f t="shared" si="61"/>
        <v>0</v>
      </c>
      <c r="DB562" s="46">
        <v>0</v>
      </c>
      <c r="DC562" s="46">
        <f t="shared" si="62"/>
        <v>0</v>
      </c>
      <c r="DD562" s="46">
        <v>0</v>
      </c>
      <c r="DE562" s="995">
        <v>0</v>
      </c>
      <c r="DF562" s="995">
        <v>0</v>
      </c>
      <c r="DG562" s="995">
        <v>0</v>
      </c>
      <c r="DH562" s="995">
        <v>0</v>
      </c>
      <c r="DI562" s="995">
        <v>853.92</v>
      </c>
      <c r="DJ562" s="995">
        <v>2934068</v>
      </c>
      <c r="DK562" s="995">
        <v>37.884999999999998</v>
      </c>
      <c r="DL562" s="995">
        <v>130171.4</v>
      </c>
      <c r="DM562" s="995">
        <v>0</v>
      </c>
      <c r="DN562" s="995">
        <v>0</v>
      </c>
      <c r="DO562" s="995">
        <v>0</v>
      </c>
      <c r="DP562" s="995">
        <v>0</v>
      </c>
      <c r="DQ562" s="995">
        <v>853.92</v>
      </c>
      <c r="DR562" s="995">
        <v>2934068</v>
      </c>
      <c r="DS562" s="995">
        <v>37.884999999999998</v>
      </c>
      <c r="DT562" s="995">
        <v>130171.4</v>
      </c>
    </row>
    <row r="563" spans="1:124">
      <c r="A563" s="42" t="s">
        <v>94</v>
      </c>
      <c r="B563" s="42" t="s">
        <v>510</v>
      </c>
      <c r="C563" s="42" t="s">
        <v>750</v>
      </c>
      <c r="D563" s="42">
        <v>803413</v>
      </c>
      <c r="E563" s="42" t="s">
        <v>783</v>
      </c>
      <c r="F563" s="42" t="s">
        <v>149</v>
      </c>
      <c r="G563" s="42" t="s">
        <v>150</v>
      </c>
      <c r="H563" s="43" t="s">
        <v>150</v>
      </c>
      <c r="I563" s="44">
        <v>37</v>
      </c>
      <c r="J563" s="45">
        <v>262598.44239999901</v>
      </c>
      <c r="K563" s="46">
        <v>20933.025624999998</v>
      </c>
      <c r="L563" s="47">
        <v>283531.46802499902</v>
      </c>
      <c r="M563" s="48">
        <v>6490085</v>
      </c>
      <c r="N563" s="49">
        <v>3833868</v>
      </c>
      <c r="O563" s="49">
        <v>2650866</v>
      </c>
      <c r="P563" s="49">
        <v>5351</v>
      </c>
      <c r="Q563" s="50">
        <v>14738.0283636364</v>
      </c>
      <c r="R563" s="51">
        <v>9261.0149948525104</v>
      </c>
      <c r="S563" s="49">
        <v>16958.472038185999</v>
      </c>
      <c r="T563" s="49">
        <v>2646.2424811338501</v>
      </c>
      <c r="U563" s="49">
        <f>IFERROR(INDEX('Rentabilidad datos'!$N$2:$N$61,MATCH($C563,'Rentabilidad datos'!$C$2:$C$61,0)),"")</f>
        <v>28865.729514172355</v>
      </c>
      <c r="V563" s="50">
        <f>IFERROR(INDEX('Rentabilidad datos'!$O$2:$O$61,MATCH($C563,'Rentabilidad datos'!$C$2:$C$61,0)),"")</f>
        <v>1519.2489217985451</v>
      </c>
      <c r="W563" s="51">
        <f>IFERROR(INDEX('Rentabilidad datos'!$M$2:$M$61,MATCH($C563,'Rentabilidad datos'!$C$2:$C$61,0)),"")</f>
        <v>3054.2455510167165</v>
      </c>
      <c r="X563" s="52">
        <f>IFERROR(INDEX('Rentabilidad datos'!$P$2:$P$61,MATCH($C563,'Rentabilidad datos'!$C$2:$C$61,0)),"")</f>
        <v>0.49742199715828611</v>
      </c>
      <c r="Y563" s="43" t="s">
        <v>171</v>
      </c>
      <c r="Z563" s="53">
        <v>95.834090909090904</v>
      </c>
      <c r="AA563" s="43">
        <v>2</v>
      </c>
      <c r="AB563" s="54">
        <v>0.99413736491894944</v>
      </c>
      <c r="AC563" s="55">
        <v>5.8626350810505566E-3</v>
      </c>
      <c r="AD563" s="752" t="e">
        <f>_xlfn.XLOOKUP(Table1[[#This Row],[Ruta]],#REF!,#REF!)</f>
        <v>#REF!</v>
      </c>
      <c r="AE563" s="752" t="e">
        <f>_xlfn.XLOOKUP(Table1[[#This Row],[Ruta]],#REF!,#REF!)</f>
        <v>#REF!</v>
      </c>
      <c r="AF563" s="752" t="e">
        <f>_xlfn.XLOOKUP(Table1[[#This Row],[Ruta]],#REF!,#REF!)</f>
        <v>#REF!</v>
      </c>
      <c r="AG563" s="752" t="e">
        <f>_xlfn.XLOOKUP(Table1[[#This Row],[Ruta]],#REF!,#REF!)</f>
        <v>#REF!</v>
      </c>
      <c r="AH563" s="52">
        <v>0.59072693192770198</v>
      </c>
      <c r="AI563" s="52">
        <v>0.40844857964109871</v>
      </c>
      <c r="AJ563" s="55">
        <v>8.2448843119928327E-4</v>
      </c>
      <c r="AK563" s="56">
        <v>42167</v>
      </c>
      <c r="AL563" s="44">
        <v>21897</v>
      </c>
      <c r="AM563" s="54">
        <v>0.51929233760997895</v>
      </c>
      <c r="AN563" s="55">
        <v>0.50430318916557504</v>
      </c>
      <c r="AO563" s="56">
        <v>0</v>
      </c>
      <c r="AP563" s="48">
        <v>0</v>
      </c>
      <c r="AQ563" s="55">
        <v>0.51929233760997939</v>
      </c>
      <c r="AR563" s="51">
        <v>6484732.4800000004</v>
      </c>
      <c r="AS563" s="49">
        <v>0</v>
      </c>
      <c r="AT563" s="55">
        <v>0</v>
      </c>
      <c r="AU563" s="51">
        <v>0</v>
      </c>
      <c r="AV563" s="52">
        <v>0</v>
      </c>
      <c r="AW563" s="44">
        <v>490</v>
      </c>
      <c r="AX563" s="51">
        <v>296.147074028406</v>
      </c>
      <c r="AY563" s="49">
        <v>292.44921817516598</v>
      </c>
      <c r="AZ563" s="49">
        <v>0</v>
      </c>
      <c r="BA563" s="42" t="s">
        <v>152</v>
      </c>
      <c r="BB563" s="50">
        <v>0</v>
      </c>
      <c r="BC563" s="57">
        <v>0</v>
      </c>
      <c r="BD563" s="42" t="s">
        <v>150</v>
      </c>
      <c r="BE563" s="46">
        <v>95.834090909090904</v>
      </c>
      <c r="BF563" s="46">
        <v>72.425990467051307</v>
      </c>
      <c r="BG563" s="42" t="s">
        <v>150</v>
      </c>
      <c r="BH563" s="52">
        <v>0.51929233760997895</v>
      </c>
      <c r="BI563" s="52">
        <v>0.49337264070319697</v>
      </c>
      <c r="BJ563" s="42" t="s">
        <v>150</v>
      </c>
      <c r="BK563" s="46">
        <v>644.38970005681597</v>
      </c>
      <c r="BL563" s="46">
        <v>605.59017138979505</v>
      </c>
      <c r="BM563" s="42" t="s">
        <v>150</v>
      </c>
      <c r="BN563" s="48">
        <v>3</v>
      </c>
      <c r="BO563" s="42" t="s">
        <v>153</v>
      </c>
      <c r="BP563" s="42" t="s">
        <v>150</v>
      </c>
      <c r="BQ563" s="46">
        <v>2266.0204621713301</v>
      </c>
      <c r="BR563" s="46">
        <v>106</v>
      </c>
      <c r="BS563" s="46">
        <v>12846</v>
      </c>
      <c r="BT563" s="46">
        <v>3656</v>
      </c>
      <c r="BU563" s="46">
        <v>3.5136761487964989</v>
      </c>
      <c r="BV563" s="46">
        <v>34.490566037735846</v>
      </c>
      <c r="BW563" s="46">
        <v>0</v>
      </c>
      <c r="BX563" s="46">
        <v>925</v>
      </c>
      <c r="BY563" s="46">
        <v>925</v>
      </c>
      <c r="BZ563" s="46">
        <v>0.25300875273522977</v>
      </c>
      <c r="CA563" s="46">
        <v>0</v>
      </c>
      <c r="CB563" s="46">
        <v>0.25300875273522982</v>
      </c>
      <c r="CC563" s="46">
        <v>0.61570021881838077</v>
      </c>
      <c r="CD563" s="46">
        <v>0.13129102844638951</v>
      </c>
      <c r="CE563" s="46">
        <v>0</v>
      </c>
      <c r="CF563" s="46">
        <v>0</v>
      </c>
      <c r="CG563" s="46">
        <v>0</v>
      </c>
      <c r="CH563" s="46">
        <v>0</v>
      </c>
      <c r="CI563" s="46">
        <v>5.1377860812704341</v>
      </c>
      <c r="CJ563" s="46">
        <v>0.23353573096683794</v>
      </c>
      <c r="CK563">
        <v>312</v>
      </c>
      <c r="CL563">
        <v>363.96</v>
      </c>
      <c r="CM563">
        <f t="shared" si="63"/>
        <v>51.95999999999998</v>
      </c>
      <c r="CN563">
        <v>7.02</v>
      </c>
      <c r="CO563">
        <v>9.4499999999999993</v>
      </c>
      <c r="CP563">
        <f t="shared" si="64"/>
        <v>2.4299999999999997</v>
      </c>
      <c r="CQ563">
        <v>846.56</v>
      </c>
      <c r="CR563">
        <v>644.39</v>
      </c>
      <c r="CS563">
        <f t="shared" si="65"/>
        <v>202.16999999999996</v>
      </c>
      <c r="CT563" t="s">
        <v>152</v>
      </c>
      <c r="CU563">
        <v>77.13</v>
      </c>
      <c r="CV563">
        <v>87</v>
      </c>
      <c r="CW563" s="46">
        <v>925</v>
      </c>
      <c r="CX563" s="46">
        <f t="shared" si="59"/>
        <v>23.879649890590809</v>
      </c>
      <c r="CY563" s="46">
        <v>51.96</v>
      </c>
      <c r="CZ563" s="46">
        <f t="shared" si="60"/>
        <v>25.300875273522976</v>
      </c>
      <c r="DA563" s="46">
        <f t="shared" si="61"/>
        <v>141.61681625476004</v>
      </c>
      <c r="DB563" s="46">
        <v>525109.49</v>
      </c>
      <c r="DC563" s="46">
        <f t="shared" si="62"/>
        <v>6.0922636705897579</v>
      </c>
      <c r="DD563" s="46">
        <v>22589.87</v>
      </c>
      <c r="DE563" s="995">
        <v>925</v>
      </c>
      <c r="DF563" s="995">
        <v>23.94</v>
      </c>
      <c r="DG563" s="995">
        <v>49.7</v>
      </c>
      <c r="DH563" s="995">
        <v>25.300999999999998</v>
      </c>
      <c r="DI563" s="995">
        <v>1398.8679999999999</v>
      </c>
      <c r="DJ563" s="995">
        <v>5183839</v>
      </c>
      <c r="DK563" s="995">
        <v>60.384</v>
      </c>
      <c r="DL563" s="995">
        <v>223765.9</v>
      </c>
      <c r="DM563" s="995">
        <v>925</v>
      </c>
      <c r="DN563" s="995">
        <v>24.18</v>
      </c>
      <c r="DO563" s="995">
        <v>41</v>
      </c>
      <c r="DP563" s="995">
        <v>25.300999999999998</v>
      </c>
      <c r="DQ563" s="995">
        <v>1378.2</v>
      </c>
      <c r="DR563" s="995">
        <v>5095153</v>
      </c>
      <c r="DS563" s="995">
        <v>59.494999999999997</v>
      </c>
      <c r="DT563" s="995">
        <v>219949.8</v>
      </c>
    </row>
    <row r="564" spans="1:124">
      <c r="A564" s="42" t="s">
        <v>94</v>
      </c>
      <c r="B564" s="42" t="s">
        <v>510</v>
      </c>
      <c r="C564" s="42" t="s">
        <v>750</v>
      </c>
      <c r="D564" s="42">
        <v>803414</v>
      </c>
      <c r="E564" s="42" t="s">
        <v>784</v>
      </c>
      <c r="F564" s="42" t="s">
        <v>149</v>
      </c>
      <c r="G564" s="42" t="s">
        <v>150</v>
      </c>
      <c r="H564" s="43" t="s">
        <v>150</v>
      </c>
      <c r="I564" s="44">
        <v>37</v>
      </c>
      <c r="J564" s="45">
        <v>173950.2016</v>
      </c>
      <c r="K564" s="46">
        <v>10810.117487</v>
      </c>
      <c r="L564" s="47">
        <v>184760.31908700001</v>
      </c>
      <c r="M564" s="48">
        <v>3890026</v>
      </c>
      <c r="N564" s="49">
        <v>2493711</v>
      </c>
      <c r="O564" s="49">
        <v>1393188</v>
      </c>
      <c r="P564" s="49">
        <v>3127</v>
      </c>
      <c r="Q564" s="50">
        <v>8775.8225339366509</v>
      </c>
      <c r="R564" s="51">
        <v>9261.0149948525104</v>
      </c>
      <c r="S564" s="49">
        <v>16958.472038185999</v>
      </c>
      <c r="T564" s="49">
        <v>2646.2424811338501</v>
      </c>
      <c r="U564" s="49">
        <f>IFERROR(INDEX('Rentabilidad datos'!$N$2:$N$61,MATCH($C564,'Rentabilidad datos'!$C$2:$C$61,0)),"")</f>
        <v>28865.729514172355</v>
      </c>
      <c r="V564" s="50">
        <f>IFERROR(INDEX('Rentabilidad datos'!$O$2:$O$61,MATCH($C564,'Rentabilidad datos'!$C$2:$C$61,0)),"")</f>
        <v>1519.2489217985451</v>
      </c>
      <c r="W564" s="51">
        <f>IFERROR(INDEX('Rentabilidad datos'!$M$2:$M$61,MATCH($C564,'Rentabilidad datos'!$C$2:$C$61,0)),"")</f>
        <v>3054.2455510167165</v>
      </c>
      <c r="X564" s="52">
        <f>IFERROR(INDEX('Rentabilidad datos'!$P$2:$P$61,MATCH($C564,'Rentabilidad datos'!$C$2:$C$61,0)),"")</f>
        <v>0.49742199715828611</v>
      </c>
      <c r="Y564" s="43" t="s">
        <v>171</v>
      </c>
      <c r="Z564" s="53">
        <v>76.339366515837099</v>
      </c>
      <c r="AA564" s="43">
        <v>2</v>
      </c>
      <c r="AB564" s="54">
        <v>0.97372434014579856</v>
      </c>
      <c r="AC564" s="55">
        <v>2.6275659854201487E-2</v>
      </c>
      <c r="AD564" s="752" t="e">
        <f>_xlfn.XLOOKUP(Table1[[#This Row],[Ruta]],#REF!,#REF!)</f>
        <v>#REF!</v>
      </c>
      <c r="AE564" s="752" t="e">
        <f>_xlfn.XLOOKUP(Table1[[#This Row],[Ruta]],#REF!,#REF!)</f>
        <v>#REF!</v>
      </c>
      <c r="AF564" s="752" t="e">
        <f>_xlfn.XLOOKUP(Table1[[#This Row],[Ruta]],#REF!,#REF!)</f>
        <v>#REF!</v>
      </c>
      <c r="AG564" s="752" t="e">
        <f>_xlfn.XLOOKUP(Table1[[#This Row],[Ruta]],#REF!,#REF!)</f>
        <v>#REF!</v>
      </c>
      <c r="AH564" s="52">
        <v>0.64105252766948084</v>
      </c>
      <c r="AI564" s="52">
        <v>0.35814362166216884</v>
      </c>
      <c r="AJ564" s="55">
        <v>8.0385066835028868E-4</v>
      </c>
      <c r="AK564" s="56">
        <v>33742</v>
      </c>
      <c r="AL564" s="44">
        <v>15668</v>
      </c>
      <c r="AM564" s="54">
        <v>0.46434710449884398</v>
      </c>
      <c r="AN564" s="55">
        <v>0.50430318916557504</v>
      </c>
      <c r="AO564" s="56">
        <v>1348.1982088248201</v>
      </c>
      <c r="AP564" s="48">
        <v>674.09910441241004</v>
      </c>
      <c r="AQ564" s="55">
        <v>0.4843251468322094</v>
      </c>
      <c r="AR564" s="51">
        <v>3878913.56</v>
      </c>
      <c r="AS564" s="49">
        <v>166886.147363361</v>
      </c>
      <c r="AT564" s="55">
        <v>4.3023940797319804E-2</v>
      </c>
      <c r="AU564" s="51">
        <v>117271.34679587535</v>
      </c>
      <c r="AV564" s="52">
        <v>5.3347845426894363E-4</v>
      </c>
      <c r="AW564" s="44">
        <v>380</v>
      </c>
      <c r="AX564" s="51">
        <v>247.569157518509</v>
      </c>
      <c r="AY564" s="49">
        <v>292.44921817516598</v>
      </c>
      <c r="AZ564" s="49">
        <v>44.88006065665698</v>
      </c>
      <c r="BA564" s="42" t="s">
        <v>150</v>
      </c>
      <c r="BB564" s="50">
        <v>247063.52094028442</v>
      </c>
      <c r="BC564" s="57">
        <v>364334.86773615977</v>
      </c>
      <c r="BD564" s="42" t="s">
        <v>150</v>
      </c>
      <c r="BE564" s="46">
        <v>76.339366515837099</v>
      </c>
      <c r="BF564" s="46">
        <v>72.425990467051307</v>
      </c>
      <c r="BG564" s="42" t="s">
        <v>150</v>
      </c>
      <c r="BH564" s="52">
        <v>0.46434710449884398</v>
      </c>
      <c r="BI564" s="52">
        <v>0.49337264070319697</v>
      </c>
      <c r="BJ564" s="42" t="s">
        <v>152</v>
      </c>
      <c r="BK564" s="46">
        <v>418.009771690045</v>
      </c>
      <c r="BL564" s="46">
        <v>605.59017138979505</v>
      </c>
      <c r="BM564" s="42" t="s">
        <v>152</v>
      </c>
      <c r="BN564" s="48">
        <v>1</v>
      </c>
      <c r="BO564" s="42" t="s">
        <v>155</v>
      </c>
      <c r="BP564" s="42" t="s">
        <v>152</v>
      </c>
      <c r="BQ564" s="46">
        <v>5929.0364051904698</v>
      </c>
      <c r="BR564" s="46">
        <v>133</v>
      </c>
      <c r="BS564" s="46">
        <v>19719</v>
      </c>
      <c r="BT564" s="46">
        <v>5105</v>
      </c>
      <c r="BU564" s="46">
        <v>3.8626836434867777</v>
      </c>
      <c r="BV564" s="46">
        <v>38.383458646616539</v>
      </c>
      <c r="BW564" s="46">
        <v>0</v>
      </c>
      <c r="BX564" s="46">
        <v>301</v>
      </c>
      <c r="BY564" s="46">
        <v>301</v>
      </c>
      <c r="BZ564" s="46">
        <v>5.8961802154750248E-2</v>
      </c>
      <c r="CA564" s="46">
        <v>0</v>
      </c>
      <c r="CB564" s="46">
        <v>5.8961802154750248E-2</v>
      </c>
      <c r="CC564" s="46">
        <v>0.21390793339862879</v>
      </c>
      <c r="CD564" s="46">
        <v>0.43956904995102841</v>
      </c>
      <c r="CE564" s="46">
        <v>0</v>
      </c>
      <c r="CF564" s="46">
        <v>0.28756121449559258</v>
      </c>
      <c r="CG564" s="46">
        <v>0</v>
      </c>
      <c r="CH564" s="46">
        <v>0</v>
      </c>
      <c r="CI564" s="46">
        <v>4.8684010345352204</v>
      </c>
      <c r="CJ564" s="46">
        <v>0.20285004310563409</v>
      </c>
      <c r="CK564">
        <v>279</v>
      </c>
      <c r="CL564">
        <v>296.10000000000002</v>
      </c>
      <c r="CM564">
        <f t="shared" si="63"/>
        <v>17.100000000000023</v>
      </c>
      <c r="CN564">
        <v>8.0299999999999994</v>
      </c>
      <c r="CO564">
        <v>9.4499999999999993</v>
      </c>
      <c r="CP564">
        <f t="shared" si="64"/>
        <v>1.42</v>
      </c>
      <c r="CQ564">
        <v>846.56</v>
      </c>
      <c r="CR564">
        <v>418.01</v>
      </c>
      <c r="CS564">
        <f t="shared" si="65"/>
        <v>428.54999999999995</v>
      </c>
      <c r="CT564" t="s">
        <v>152</v>
      </c>
      <c r="CU564">
        <v>84.92</v>
      </c>
      <c r="CV564">
        <v>30</v>
      </c>
      <c r="CW564" s="46">
        <v>301</v>
      </c>
      <c r="CX564" s="46">
        <f t="shared" si="59"/>
        <v>5.561214495592556</v>
      </c>
      <c r="CY564" s="46">
        <v>17.100000000000001</v>
      </c>
      <c r="CZ564" s="46">
        <f t="shared" si="60"/>
        <v>5.8961802154750247</v>
      </c>
      <c r="DA564" s="46">
        <f t="shared" si="61"/>
        <v>33.195413990355519</v>
      </c>
      <c r="DB564" s="46">
        <v>170030.23</v>
      </c>
      <c r="DC564" s="46">
        <f t="shared" si="62"/>
        <v>1.4966302883582905</v>
      </c>
      <c r="DD564" s="46">
        <v>7665.89</v>
      </c>
      <c r="DE564" s="995">
        <v>301</v>
      </c>
      <c r="DF564" s="995">
        <v>5.5019999999999998</v>
      </c>
      <c r="DG564" s="995">
        <v>20.100000000000001</v>
      </c>
      <c r="DH564" s="995">
        <v>5.8959999999999999</v>
      </c>
      <c r="DI564" s="995">
        <v>643.29899999999998</v>
      </c>
      <c r="DJ564" s="995">
        <v>3296992</v>
      </c>
      <c r="DK564" s="995">
        <v>28.881</v>
      </c>
      <c r="DL564" s="995">
        <v>148016.6</v>
      </c>
      <c r="DM564" s="995">
        <v>301</v>
      </c>
      <c r="DN564" s="995">
        <v>5.5709999999999997</v>
      </c>
      <c r="DO564" s="995">
        <v>16.600000000000001</v>
      </c>
      <c r="DP564" s="995">
        <v>5.8959999999999999</v>
      </c>
      <c r="DQ564" s="995">
        <v>637.05700000000002</v>
      </c>
      <c r="DR564" s="995">
        <v>3262736</v>
      </c>
      <c r="DS564" s="995">
        <v>28.599</v>
      </c>
      <c r="DT564" s="995">
        <v>146472.1</v>
      </c>
    </row>
    <row r="565" spans="1:124">
      <c r="A565" s="42" t="s">
        <v>94</v>
      </c>
      <c r="B565" s="42" t="s">
        <v>510</v>
      </c>
      <c r="C565" s="42" t="s">
        <v>750</v>
      </c>
      <c r="D565" s="42">
        <v>803419</v>
      </c>
      <c r="E565" s="42" t="s">
        <v>785</v>
      </c>
      <c r="F565" s="42" t="s">
        <v>149</v>
      </c>
      <c r="G565" s="42" t="s">
        <v>150</v>
      </c>
      <c r="H565" s="43" t="s">
        <v>150</v>
      </c>
      <c r="I565" s="44">
        <v>37</v>
      </c>
      <c r="J565" s="45">
        <v>219850.91301599899</v>
      </c>
      <c r="K565" s="46">
        <v>15891.015244</v>
      </c>
      <c r="L565" s="47">
        <v>235741.928259999</v>
      </c>
      <c r="M565" s="48">
        <v>5104352</v>
      </c>
      <c r="N565" s="49">
        <v>3180376</v>
      </c>
      <c r="O565" s="49">
        <v>1919279</v>
      </c>
      <c r="P565" s="49">
        <v>4697</v>
      </c>
      <c r="Q565" s="50">
        <v>11663.422844036701</v>
      </c>
      <c r="R565" s="51">
        <v>9261.0149948525104</v>
      </c>
      <c r="S565" s="49">
        <v>16958.472038185999</v>
      </c>
      <c r="T565" s="49">
        <v>2646.2424811338501</v>
      </c>
      <c r="U565" s="49">
        <f>IFERROR(INDEX('Rentabilidad datos'!$N$2:$N$61,MATCH($C565,'Rentabilidad datos'!$C$2:$C$61,0)),"")</f>
        <v>28865.729514172355</v>
      </c>
      <c r="V565" s="50">
        <f>IFERROR(INDEX('Rentabilidad datos'!$O$2:$O$61,MATCH($C565,'Rentabilidad datos'!$C$2:$C$61,0)),"")</f>
        <v>1519.2489217985451</v>
      </c>
      <c r="W565" s="51">
        <f>IFERROR(INDEX('Rentabilidad datos'!$M$2:$M$61,MATCH($C565,'Rentabilidad datos'!$C$2:$C$61,0)),"")</f>
        <v>3054.2455510167165</v>
      </c>
      <c r="X565" s="52">
        <f>IFERROR(INDEX('Rentabilidad datos'!$P$2:$P$61,MATCH($C565,'Rentabilidad datos'!$C$2:$C$61,0)),"")</f>
        <v>0.49742199715828611</v>
      </c>
      <c r="Y565" s="43" t="s">
        <v>171</v>
      </c>
      <c r="Z565" s="53">
        <v>83.915137614678898</v>
      </c>
      <c r="AA565" s="43">
        <v>2</v>
      </c>
      <c r="AB565" s="54">
        <v>0.97484499501601773</v>
      </c>
      <c r="AC565" s="55">
        <v>2.5155004983982297E-2</v>
      </c>
      <c r="AD565" s="752" t="e">
        <f>_xlfn.XLOOKUP(Table1[[#This Row],[Ruta]],#REF!,#REF!)</f>
        <v>#REF!</v>
      </c>
      <c r="AE565" s="752" t="e">
        <f>_xlfn.XLOOKUP(Table1[[#This Row],[Ruta]],#REF!,#REF!)</f>
        <v>#REF!</v>
      </c>
      <c r="AF565" s="752" t="e">
        <f>_xlfn.XLOOKUP(Table1[[#This Row],[Ruta]],#REF!,#REF!)</f>
        <v>#REF!</v>
      </c>
      <c r="AG565" s="752" t="e">
        <f>_xlfn.XLOOKUP(Table1[[#This Row],[Ruta]],#REF!,#REF!)</f>
        <v>#REF!</v>
      </c>
      <c r="AH565" s="52">
        <v>0.62307144961789473</v>
      </c>
      <c r="AI565" s="52">
        <v>0.37600835522315074</v>
      </c>
      <c r="AJ565" s="55">
        <v>9.2019515895455488E-4</v>
      </c>
      <c r="AK565" s="56">
        <v>36587</v>
      </c>
      <c r="AL565" s="44">
        <v>21079</v>
      </c>
      <c r="AM565" s="54">
        <v>0.57613359936589503</v>
      </c>
      <c r="AN565" s="55">
        <v>0.50430318916557504</v>
      </c>
      <c r="AO565" s="56">
        <v>0</v>
      </c>
      <c r="AP565" s="48">
        <v>0</v>
      </c>
      <c r="AQ565" s="55">
        <v>0.57613359936589503</v>
      </c>
      <c r="AR565" s="51">
        <v>5085252.3600000003</v>
      </c>
      <c r="AS565" s="49">
        <v>0</v>
      </c>
      <c r="AT565" s="55">
        <v>0</v>
      </c>
      <c r="AU565" s="51">
        <v>0</v>
      </c>
      <c r="AV565" s="52">
        <v>0</v>
      </c>
      <c r="AW565" s="44">
        <v>490</v>
      </c>
      <c r="AX565" s="51">
        <v>241.24732482565599</v>
      </c>
      <c r="AY565" s="49">
        <v>292.44921817516598</v>
      </c>
      <c r="AZ565" s="49">
        <v>51.201893349509987</v>
      </c>
      <c r="BA565" s="42" t="s">
        <v>150</v>
      </c>
      <c r="BB565" s="50">
        <v>379208.14132124808</v>
      </c>
      <c r="BC565" s="57">
        <v>379208.14132124808</v>
      </c>
      <c r="BD565" s="42" t="s">
        <v>150</v>
      </c>
      <c r="BE565" s="46">
        <v>83.915137614678898</v>
      </c>
      <c r="BF565" s="46">
        <v>72.425990467051307</v>
      </c>
      <c r="BG565" s="42" t="s">
        <v>150</v>
      </c>
      <c r="BH565" s="52">
        <v>0.57613359936589503</v>
      </c>
      <c r="BI565" s="52">
        <v>0.49337264070319697</v>
      </c>
      <c r="BJ565" s="42" t="s">
        <v>150</v>
      </c>
      <c r="BK565" s="46">
        <v>540.69249600917306</v>
      </c>
      <c r="BL565" s="46">
        <v>605.59017138979505</v>
      </c>
      <c r="BM565" s="42" t="s">
        <v>152</v>
      </c>
      <c r="BN565" s="48">
        <v>2</v>
      </c>
      <c r="BO565" s="42" t="s">
        <v>161</v>
      </c>
      <c r="BP565" s="42" t="s">
        <v>152</v>
      </c>
      <c r="BQ565" s="46">
        <v>0</v>
      </c>
      <c r="BR565" s="46">
        <v>101</v>
      </c>
      <c r="BS565" s="46">
        <v>13564</v>
      </c>
      <c r="BT565" s="46">
        <v>3548</v>
      </c>
      <c r="BU565" s="46">
        <v>3.8229988726042841</v>
      </c>
      <c r="BV565" s="46">
        <v>35.128712871287128</v>
      </c>
      <c r="BW565" s="46">
        <v>0</v>
      </c>
      <c r="BX565" s="46">
        <v>462</v>
      </c>
      <c r="BY565" s="46">
        <v>462</v>
      </c>
      <c r="BZ565" s="46">
        <v>0.13021420518602028</v>
      </c>
      <c r="CA565" s="46">
        <v>0</v>
      </c>
      <c r="CB565" s="46">
        <v>0.13021420518602031</v>
      </c>
      <c r="CC565" s="46">
        <v>0.79622322435174742</v>
      </c>
      <c r="CD565" s="46">
        <v>7.3562570462232246E-2</v>
      </c>
      <c r="CE565" s="46">
        <v>0</v>
      </c>
      <c r="CF565" s="46">
        <v>0</v>
      </c>
      <c r="CG565" s="46">
        <v>0</v>
      </c>
      <c r="CH565" s="46">
        <v>0</v>
      </c>
      <c r="CI565" s="46">
        <v>4.4971984665290474</v>
      </c>
      <c r="CJ565" s="46">
        <v>7.3724565025066358E-2</v>
      </c>
      <c r="CK565">
        <v>333</v>
      </c>
      <c r="CL565">
        <v>353.89</v>
      </c>
      <c r="CM565">
        <f t="shared" si="63"/>
        <v>20.889999999999986</v>
      </c>
      <c r="CN565">
        <v>8.59</v>
      </c>
      <c r="CO565">
        <v>9.4499999999999993</v>
      </c>
      <c r="CP565">
        <f t="shared" si="64"/>
        <v>0.85999999999999943</v>
      </c>
      <c r="CQ565">
        <v>846.56</v>
      </c>
      <c r="CR565">
        <v>540.69000000000005</v>
      </c>
      <c r="CS565">
        <f t="shared" si="65"/>
        <v>305.86999999999989</v>
      </c>
      <c r="CT565" t="s">
        <v>152</v>
      </c>
      <c r="CU565">
        <v>90.89</v>
      </c>
      <c r="CV565">
        <v>37</v>
      </c>
      <c r="CW565" s="46">
        <v>462</v>
      </c>
      <c r="CX565" s="46">
        <f t="shared" si="59"/>
        <v>12.432638105975197</v>
      </c>
      <c r="CY565" s="46">
        <v>20.89</v>
      </c>
      <c r="CZ565" s="46">
        <f t="shared" si="60"/>
        <v>13.021420518602028</v>
      </c>
      <c r="DA565" s="46">
        <f t="shared" si="61"/>
        <v>109.35745848148865</v>
      </c>
      <c r="DB565" s="46">
        <v>390284.74</v>
      </c>
      <c r="DC565" s="46">
        <f t="shared" si="62"/>
        <v>4.8982484750160422</v>
      </c>
      <c r="DD565" s="46">
        <v>17481.310000000001</v>
      </c>
      <c r="DE565" s="995">
        <v>462</v>
      </c>
      <c r="DF565" s="995">
        <v>12.093</v>
      </c>
      <c r="DG565" s="995">
        <v>32.9</v>
      </c>
      <c r="DH565" s="995">
        <v>13.021000000000001</v>
      </c>
      <c r="DI565" s="995">
        <v>1149.741</v>
      </c>
      <c r="DJ565" s="995">
        <v>4117145</v>
      </c>
      <c r="DK565" s="995">
        <v>51.363</v>
      </c>
      <c r="DL565" s="995">
        <v>183925.7</v>
      </c>
      <c r="DM565" s="995">
        <v>462</v>
      </c>
      <c r="DN565" s="995">
        <v>12.252000000000001</v>
      </c>
      <c r="DO565" s="995">
        <v>27.3</v>
      </c>
      <c r="DP565" s="995">
        <v>13.021000000000001</v>
      </c>
      <c r="DQ565" s="995">
        <v>1136.49</v>
      </c>
      <c r="DR565" s="995">
        <v>4063307</v>
      </c>
      <c r="DS565" s="995">
        <v>50.76</v>
      </c>
      <c r="DT565" s="995">
        <v>181483.2</v>
      </c>
    </row>
    <row r="566" spans="1:124">
      <c r="A566" s="42" t="s">
        <v>94</v>
      </c>
      <c r="B566" s="42" t="s">
        <v>510</v>
      </c>
      <c r="C566" s="42" t="s">
        <v>750</v>
      </c>
      <c r="D566" s="42">
        <v>803422</v>
      </c>
      <c r="E566" s="42" t="s">
        <v>786</v>
      </c>
      <c r="F566" s="42" t="s">
        <v>149</v>
      </c>
      <c r="G566" s="42" t="s">
        <v>150</v>
      </c>
      <c r="H566" s="43" t="s">
        <v>150</v>
      </c>
      <c r="I566" s="44">
        <v>37</v>
      </c>
      <c r="J566" s="45">
        <v>192238.50239999901</v>
      </c>
      <c r="K566" s="46">
        <v>16020.366179000001</v>
      </c>
      <c r="L566" s="47">
        <v>208258.868579</v>
      </c>
      <c r="M566" s="48">
        <v>4683554</v>
      </c>
      <c r="N566" s="49">
        <v>2803646</v>
      </c>
      <c r="O566" s="49">
        <v>1879419</v>
      </c>
      <c r="P566" s="49">
        <v>489</v>
      </c>
      <c r="Q566" s="50">
        <v>10643.331</v>
      </c>
      <c r="R566" s="51">
        <v>9261.0149948525104</v>
      </c>
      <c r="S566" s="49">
        <v>16958.472038185999</v>
      </c>
      <c r="T566" s="49">
        <v>2646.2424811338501</v>
      </c>
      <c r="U566" s="49">
        <f>IFERROR(INDEX('Rentabilidad datos'!$N$2:$N$61,MATCH($C566,'Rentabilidad datos'!$C$2:$C$61,0)),"")</f>
        <v>28865.729514172355</v>
      </c>
      <c r="V566" s="50">
        <f>IFERROR(INDEX('Rentabilidad datos'!$O$2:$O$61,MATCH($C566,'Rentabilidad datos'!$C$2:$C$61,0)),"")</f>
        <v>1519.2489217985451</v>
      </c>
      <c r="W566" s="51">
        <f>IFERROR(INDEX('Rentabilidad datos'!$M$2:$M$61,MATCH($C566,'Rentabilidad datos'!$C$2:$C$61,0)),"")</f>
        <v>3054.2455510167165</v>
      </c>
      <c r="X566" s="52">
        <f>IFERROR(INDEX('Rentabilidad datos'!$P$2:$P$61,MATCH($C566,'Rentabilidad datos'!$C$2:$C$61,0)),"")</f>
        <v>0.49742199715828611</v>
      </c>
      <c r="Y566" s="43" t="s">
        <v>171</v>
      </c>
      <c r="Z566" s="53">
        <v>90.706818181818207</v>
      </c>
      <c r="AA566" s="43">
        <v>2</v>
      </c>
      <c r="AB566" s="54">
        <v>0.99005968544400258</v>
      </c>
      <c r="AC566" s="55">
        <v>9.9403145559974326E-3</v>
      </c>
      <c r="AD566" s="752" t="e">
        <f>_xlfn.XLOOKUP(Table1[[#This Row],[Ruta]],#REF!,#REF!)</f>
        <v>#REF!</v>
      </c>
      <c r="AE566" s="752" t="e">
        <f>_xlfn.XLOOKUP(Table1[[#This Row],[Ruta]],#REF!,#REF!)</f>
        <v>#REF!</v>
      </c>
      <c r="AF566" s="752" t="e">
        <f>_xlfn.XLOOKUP(Table1[[#This Row],[Ruta]],#REF!,#REF!)</f>
        <v>#REF!</v>
      </c>
      <c r="AG566" s="752" t="e">
        <f>_xlfn.XLOOKUP(Table1[[#This Row],[Ruta]],#REF!,#REF!)</f>
        <v>#REF!</v>
      </c>
      <c r="AH566" s="52">
        <v>0.59861506881312776</v>
      </c>
      <c r="AI566" s="52">
        <v>0.40128052329491665</v>
      </c>
      <c r="AJ566" s="55">
        <v>1.0440789195555341E-4</v>
      </c>
      <c r="AK566" s="56">
        <v>39911</v>
      </c>
      <c r="AL566" s="44">
        <v>21186</v>
      </c>
      <c r="AM566" s="54">
        <v>0.53083109919571103</v>
      </c>
      <c r="AN566" s="55">
        <v>0.50430318916557504</v>
      </c>
      <c r="AO566" s="56">
        <v>0</v>
      </c>
      <c r="AP566" s="48">
        <v>0</v>
      </c>
      <c r="AQ566" s="55">
        <v>0.53083109919571048</v>
      </c>
      <c r="AR566" s="51">
        <v>4683065.6399999997</v>
      </c>
      <c r="AS566" s="49">
        <v>0</v>
      </c>
      <c r="AT566" s="55">
        <v>0</v>
      </c>
      <c r="AU566" s="51">
        <v>0</v>
      </c>
      <c r="AV566" s="52">
        <v>0</v>
      </c>
      <c r="AW566" s="44">
        <v>490</v>
      </c>
      <c r="AX566" s="51">
        <v>221.045295950156</v>
      </c>
      <c r="AY566" s="49">
        <v>292.44921817516598</v>
      </c>
      <c r="AZ566" s="49">
        <v>71.403922225009978</v>
      </c>
      <c r="BA566" s="42" t="s">
        <v>150</v>
      </c>
      <c r="BB566" s="50">
        <v>531511.49868561642</v>
      </c>
      <c r="BC566" s="57">
        <v>531511.49868561642</v>
      </c>
      <c r="BD566" s="42" t="s">
        <v>150</v>
      </c>
      <c r="BE566" s="46">
        <v>90.706818181818207</v>
      </c>
      <c r="BF566" s="46">
        <v>72.425990467051307</v>
      </c>
      <c r="BG566" s="42" t="s">
        <v>150</v>
      </c>
      <c r="BH566" s="52">
        <v>0.53083109919571103</v>
      </c>
      <c r="BI566" s="52">
        <v>0.49337264070319697</v>
      </c>
      <c r="BJ566" s="42" t="s">
        <v>150</v>
      </c>
      <c r="BK566" s="46">
        <v>473.31561040681697</v>
      </c>
      <c r="BL566" s="46">
        <v>605.59017138979505</v>
      </c>
      <c r="BM566" s="42" t="s">
        <v>152</v>
      </c>
      <c r="BN566" s="48">
        <v>2</v>
      </c>
      <c r="BO566" s="42" t="s">
        <v>161</v>
      </c>
      <c r="BP566" s="42" t="s">
        <v>152</v>
      </c>
      <c r="BQ566" s="46">
        <v>3128.4802657329501</v>
      </c>
      <c r="BR566" s="46">
        <v>93</v>
      </c>
      <c r="BS566" s="46">
        <v>10787</v>
      </c>
      <c r="BT566" s="46">
        <v>3272</v>
      </c>
      <c r="BU566" s="46">
        <v>3.2967603911980441</v>
      </c>
      <c r="BV566" s="46">
        <v>35.182795698924728</v>
      </c>
      <c r="BW566" s="46">
        <v>0</v>
      </c>
      <c r="BX566" s="46">
        <v>541</v>
      </c>
      <c r="BY566" s="46">
        <v>541</v>
      </c>
      <c r="BZ566" s="46">
        <v>0.16534229828850855</v>
      </c>
      <c r="CA566" s="46">
        <v>0</v>
      </c>
      <c r="CB566" s="46">
        <v>0.16534229828850849</v>
      </c>
      <c r="CC566" s="46">
        <v>0.46088019559902199</v>
      </c>
      <c r="CD566" s="46">
        <v>0.16381418092909539</v>
      </c>
      <c r="CE566" s="46">
        <v>0</v>
      </c>
      <c r="CF566" s="46">
        <v>0.20996332518337407</v>
      </c>
      <c r="CG566" s="46">
        <v>0</v>
      </c>
      <c r="CH566" s="46">
        <v>0</v>
      </c>
      <c r="CI566" s="46">
        <v>4.4498006860109394</v>
      </c>
      <c r="CJ566" s="46">
        <v>9.2704180958561228E-2</v>
      </c>
      <c r="CK566">
        <v>339</v>
      </c>
      <c r="CL566">
        <v>339</v>
      </c>
      <c r="CM566">
        <f t="shared" si="63"/>
        <v>0</v>
      </c>
      <c r="CN566">
        <v>10.28</v>
      </c>
      <c r="CO566">
        <v>9.4499999999999993</v>
      </c>
      <c r="CP566">
        <f t="shared" si="64"/>
        <v>-0.83000000000000007</v>
      </c>
      <c r="CQ566">
        <v>846.56</v>
      </c>
      <c r="CR566">
        <v>473.32</v>
      </c>
      <c r="CS566">
        <f t="shared" si="65"/>
        <v>373.23999999999995</v>
      </c>
      <c r="CT566" t="s">
        <v>150</v>
      </c>
      <c r="CU566">
        <v>108.8</v>
      </c>
      <c r="CV566">
        <v>56</v>
      </c>
      <c r="CW566" s="46">
        <v>541</v>
      </c>
      <c r="CX566" s="46">
        <f t="shared" si="59"/>
        <v>16.534229828850854</v>
      </c>
      <c r="CY566" s="46">
        <v>0</v>
      </c>
      <c r="CZ566" s="46">
        <f t="shared" si="60"/>
        <v>16.534229828850854</v>
      </c>
      <c r="DA566" s="46">
        <f t="shared" si="61"/>
        <v>25.719312347188264</v>
      </c>
      <c r="DB566" s="46">
        <v>84153.59</v>
      </c>
      <c r="DC566" s="46">
        <f t="shared" si="62"/>
        <v>1.1117909535452324</v>
      </c>
      <c r="DD566" s="46">
        <v>3637.78</v>
      </c>
      <c r="DE566" s="995">
        <v>541</v>
      </c>
      <c r="DF566" s="995">
        <v>16.420000000000002</v>
      </c>
      <c r="DG566" s="995">
        <v>3.7</v>
      </c>
      <c r="DH566" s="995">
        <v>16.533999999999999</v>
      </c>
      <c r="DI566" s="995">
        <v>1149.751</v>
      </c>
      <c r="DJ566" s="995">
        <v>3766284</v>
      </c>
      <c r="DK566" s="995">
        <v>50.668999999999997</v>
      </c>
      <c r="DL566" s="995">
        <v>165978.5</v>
      </c>
      <c r="DM566" s="995">
        <v>541</v>
      </c>
      <c r="DN566" s="995">
        <v>16.440000000000001</v>
      </c>
      <c r="DO566" s="995">
        <v>3.1</v>
      </c>
      <c r="DP566" s="995">
        <v>16.533999999999999</v>
      </c>
      <c r="DQ566" s="995">
        <v>1147.9559999999999</v>
      </c>
      <c r="DR566" s="995">
        <v>3759646</v>
      </c>
      <c r="DS566" s="995">
        <v>50.591999999999999</v>
      </c>
      <c r="DT566" s="995">
        <v>165691.6</v>
      </c>
    </row>
    <row r="567" spans="1:124">
      <c r="A567" s="42" t="s">
        <v>94</v>
      </c>
      <c r="B567" s="42" t="s">
        <v>510</v>
      </c>
      <c r="C567" s="42" t="s">
        <v>750</v>
      </c>
      <c r="D567" s="42">
        <v>803424</v>
      </c>
      <c r="E567" s="42" t="s">
        <v>787</v>
      </c>
      <c r="F567" s="42" t="s">
        <v>193</v>
      </c>
      <c r="G567" s="42" t="s">
        <v>150</v>
      </c>
      <c r="H567" s="43" t="s">
        <v>152</v>
      </c>
      <c r="I567" s="44">
        <v>37</v>
      </c>
      <c r="J567" s="45">
        <v>3.5224000000000002</v>
      </c>
      <c r="K567" s="46">
        <v>0</v>
      </c>
      <c r="L567" s="47">
        <v>3.5224000000000002</v>
      </c>
      <c r="M567" s="48">
        <v>50</v>
      </c>
      <c r="N567" s="49">
        <v>50</v>
      </c>
      <c r="O567" s="49">
        <v>0</v>
      </c>
      <c r="P567" s="49">
        <v>0</v>
      </c>
      <c r="Q567" s="50">
        <v>0</v>
      </c>
      <c r="R567" s="51">
        <v>9261.0149948525104</v>
      </c>
      <c r="S567" s="49">
        <v>16958.472038185999</v>
      </c>
      <c r="T567" s="49">
        <v>2646.2424811338501</v>
      </c>
      <c r="U567" s="49">
        <f>IFERROR(INDEX('Rentabilidad datos'!$N$2:$N$61,MATCH($C567,'Rentabilidad datos'!$C$2:$C$61,0)),"")</f>
        <v>28865.729514172355</v>
      </c>
      <c r="V567" s="50">
        <f>IFERROR(INDEX('Rentabilidad datos'!$O$2:$O$61,MATCH($C567,'Rentabilidad datos'!$C$2:$C$61,0)),"")</f>
        <v>1519.2489217985451</v>
      </c>
      <c r="W567" s="51">
        <f>IFERROR(INDEX('Rentabilidad datos'!$M$2:$M$61,MATCH($C567,'Rentabilidad datos'!$C$2:$C$61,0)),"")</f>
        <v>3054.2455510167165</v>
      </c>
      <c r="X567" s="52">
        <f>IFERROR(INDEX('Rentabilidad datos'!$P$2:$P$61,MATCH($C567,'Rentabilidad datos'!$C$2:$C$61,0)),"")</f>
        <v>0.49742199715828611</v>
      </c>
      <c r="Y567" s="43" t="s">
        <v>171</v>
      </c>
      <c r="Z567" s="53">
        <v>0</v>
      </c>
      <c r="AA567" s="43">
        <v>2</v>
      </c>
      <c r="AB567" s="54">
        <v>1</v>
      </c>
      <c r="AC567" s="55">
        <v>0</v>
      </c>
      <c r="AD567" s="752" t="e">
        <f>_xlfn.XLOOKUP(Table1[[#This Row],[Ruta]],#REF!,#REF!)</f>
        <v>#REF!</v>
      </c>
      <c r="AE567" s="752" t="e">
        <f>_xlfn.XLOOKUP(Table1[[#This Row],[Ruta]],#REF!,#REF!)</f>
        <v>#REF!</v>
      </c>
      <c r="AF567" s="752" t="e">
        <f>_xlfn.XLOOKUP(Table1[[#This Row],[Ruta]],#REF!,#REF!)</f>
        <v>#REF!</v>
      </c>
      <c r="AG567" s="752" t="e">
        <f>_xlfn.XLOOKUP(Table1[[#This Row],[Ruta]],#REF!,#REF!)</f>
        <v>#REF!</v>
      </c>
      <c r="AH567" s="52">
        <v>1</v>
      </c>
      <c r="AI567" s="52">
        <v>0</v>
      </c>
      <c r="AJ567" s="55">
        <v>0</v>
      </c>
      <c r="AK567" s="56">
        <v>0</v>
      </c>
      <c r="AL567" s="44">
        <v>1</v>
      </c>
      <c r="AM567" s="54">
        <v>0</v>
      </c>
      <c r="AN567" s="55">
        <v>0.50430318916557504</v>
      </c>
      <c r="AO567" s="56">
        <v>0</v>
      </c>
      <c r="AP567" s="48">
        <v>0</v>
      </c>
      <c r="AQ567" s="55" t="s">
        <v>194</v>
      </c>
      <c r="AR567" s="51">
        <v>50</v>
      </c>
      <c r="AS567" s="49">
        <v>0</v>
      </c>
      <c r="AT567" s="55">
        <v>0</v>
      </c>
      <c r="AU567" s="51">
        <v>0</v>
      </c>
      <c r="AV567" s="52">
        <v>0</v>
      </c>
      <c r="AW567" s="44">
        <v>490</v>
      </c>
      <c r="AX567" s="51">
        <v>50</v>
      </c>
      <c r="AY567" s="49">
        <v>292.44921817516598</v>
      </c>
      <c r="AZ567" s="49">
        <v>242.44921817516598</v>
      </c>
      <c r="BA567" s="42" t="s">
        <v>150</v>
      </c>
      <c r="BB567" s="50">
        <v>85.184860439923213</v>
      </c>
      <c r="BC567" s="57">
        <v>85.184860439923213</v>
      </c>
      <c r="BD567" s="42" t="s">
        <v>152</v>
      </c>
      <c r="BE567" s="46" t="s">
        <v>195</v>
      </c>
      <c r="BF567" s="46" t="s">
        <v>195</v>
      </c>
      <c r="BG567" s="42" t="s">
        <v>195</v>
      </c>
      <c r="BH567" s="52" t="s">
        <v>195</v>
      </c>
      <c r="BI567" s="52" t="s">
        <v>195</v>
      </c>
      <c r="BJ567" s="42" t="s">
        <v>195</v>
      </c>
      <c r="BK567" s="46" t="s">
        <v>195</v>
      </c>
      <c r="BL567" s="46" t="s">
        <v>195</v>
      </c>
      <c r="BM567" s="42" t="s">
        <v>195</v>
      </c>
      <c r="BN567" s="48" t="s">
        <v>195</v>
      </c>
      <c r="BO567" s="42" t="s">
        <v>195</v>
      </c>
      <c r="BP567" s="42" t="s">
        <v>152</v>
      </c>
      <c r="BQ567" s="46">
        <v>0</v>
      </c>
      <c r="BR567" s="46" t="e">
        <v>#N/A</v>
      </c>
      <c r="BS567" s="46" t="e">
        <v>#N/A</v>
      </c>
      <c r="BT567" s="46" t="e">
        <v>#N/A</v>
      </c>
      <c r="BU567" s="46" t="e">
        <v>#N/A</v>
      </c>
      <c r="BV567" s="46" t="e">
        <v>#N/A</v>
      </c>
      <c r="BW567" s="46" t="e">
        <v>#N/A</v>
      </c>
      <c r="BX567" s="46" t="e">
        <v>#N/A</v>
      </c>
      <c r="BY567" s="46" t="e">
        <v>#N/A</v>
      </c>
      <c r="BZ567" s="46" t="e">
        <v>#N/A</v>
      </c>
      <c r="CA567" s="46" t="e">
        <v>#N/A</v>
      </c>
      <c r="CB567" s="46" t="e">
        <v>#N/A</v>
      </c>
      <c r="CC567" s="46" t="e">
        <v>#N/A</v>
      </c>
      <c r="CD567" s="46" t="e">
        <v>#N/A</v>
      </c>
      <c r="CE567" s="46" t="e">
        <v>#N/A</v>
      </c>
      <c r="CF567" s="46" t="e">
        <v>#N/A</v>
      </c>
      <c r="CG567" s="46" t="e">
        <v>#N/A</v>
      </c>
      <c r="CH567" s="46" t="e">
        <v>#N/A</v>
      </c>
      <c r="CI567" s="46" t="e">
        <v>#N/A</v>
      </c>
      <c r="CJ567" s="46" t="e">
        <v>#N/A</v>
      </c>
      <c r="CM567">
        <f t="shared" si="63"/>
        <v>0</v>
      </c>
      <c r="CP567">
        <f t="shared" si="64"/>
        <v>0</v>
      </c>
      <c r="CS567">
        <f t="shared" si="65"/>
        <v>0</v>
      </c>
      <c r="CW567" s="46"/>
      <c r="CX567" s="46" t="e">
        <f t="shared" si="59"/>
        <v>#N/A</v>
      </c>
      <c r="CY567" s="46"/>
      <c r="CZ567" s="46" t="e">
        <f t="shared" si="60"/>
        <v>#N/A</v>
      </c>
      <c r="DA567" s="46" t="e">
        <f t="shared" si="61"/>
        <v>#N/A</v>
      </c>
      <c r="DB567" s="46"/>
      <c r="DC567" s="46" t="e">
        <f t="shared" si="62"/>
        <v>#N/A</v>
      </c>
      <c r="DD567" s="46"/>
      <c r="DE567" s="995" t="s">
        <v>194</v>
      </c>
      <c r="DF567" s="995" t="s">
        <v>194</v>
      </c>
      <c r="DG567" s="995" t="s">
        <v>194</v>
      </c>
      <c r="DH567" s="995" t="s">
        <v>194</v>
      </c>
      <c r="DI567" s="995" t="s">
        <v>194</v>
      </c>
      <c r="DJ567" s="995" t="s">
        <v>194</v>
      </c>
      <c r="DK567" s="995" t="s">
        <v>194</v>
      </c>
      <c r="DL567" s="995" t="s">
        <v>194</v>
      </c>
      <c r="DM567" s="995" t="s">
        <v>194</v>
      </c>
      <c r="DN567" s="995" t="s">
        <v>194</v>
      </c>
      <c r="DO567" s="995" t="s">
        <v>194</v>
      </c>
      <c r="DP567" s="995" t="s">
        <v>194</v>
      </c>
      <c r="DQ567" s="995" t="s">
        <v>194</v>
      </c>
      <c r="DR567" s="995" t="s">
        <v>194</v>
      </c>
      <c r="DS567" s="995" t="s">
        <v>194</v>
      </c>
      <c r="DT567" s="995" t="s">
        <v>194</v>
      </c>
    </row>
    <row r="568" spans="1:124">
      <c r="A568" s="42" t="s">
        <v>94</v>
      </c>
      <c r="B568" s="42" t="s">
        <v>510</v>
      </c>
      <c r="C568" s="42" t="s">
        <v>788</v>
      </c>
      <c r="D568" s="42">
        <v>809320</v>
      </c>
      <c r="E568" s="42" t="s">
        <v>789</v>
      </c>
      <c r="F568" s="42" t="s">
        <v>149</v>
      </c>
      <c r="G568" s="42" t="s">
        <v>150</v>
      </c>
      <c r="H568" s="43" t="s">
        <v>150</v>
      </c>
      <c r="I568" s="44">
        <v>70</v>
      </c>
      <c r="J568" s="45">
        <v>232393.86240000001</v>
      </c>
      <c r="K568" s="46">
        <v>23533.270445999999</v>
      </c>
      <c r="L568" s="47">
        <v>255927.13284599999</v>
      </c>
      <c r="M568" s="48">
        <v>6957505</v>
      </c>
      <c r="N568" s="49">
        <v>3388284</v>
      </c>
      <c r="O568" s="49">
        <v>3548479</v>
      </c>
      <c r="P568" s="49">
        <v>20742</v>
      </c>
      <c r="Q568" s="50">
        <v>15694.035814479599</v>
      </c>
      <c r="R568" s="51">
        <v>32519.5730044015</v>
      </c>
      <c r="S568" s="49">
        <v>53553.069594271597</v>
      </c>
      <c r="T568" s="49">
        <v>8356.5552035805795</v>
      </c>
      <c r="U568" s="49">
        <f>IFERROR(INDEX('Rentabilidad datos'!$N$2:$N$61,MATCH($C568,'Rentabilidad datos'!$C$2:$C$61,0)),"")</f>
        <v>94429.197802253679</v>
      </c>
      <c r="V568" s="50">
        <f>IFERROR(INDEX('Rentabilidad datos'!$O$2:$O$61,MATCH($C568,'Rentabilidad datos'!$C$2:$C$61,0)),"")</f>
        <v>1573.8199633708946</v>
      </c>
      <c r="W568" s="51">
        <f>IFERROR(INDEX('Rentabilidad datos'!$M$2:$M$61,MATCH($C568,'Rentabilidad datos'!$C$2:$C$61,0)),"")</f>
        <v>3293.1144020900269</v>
      </c>
      <c r="X568" s="52">
        <f>IFERROR(INDEX('Rentabilidad datos'!$P$2:$P$61,MATCH($C568,'Rentabilidad datos'!$C$2:$C$61,0)),"")</f>
        <v>0.47791232590402716</v>
      </c>
      <c r="Y568" s="43" t="s">
        <v>171</v>
      </c>
      <c r="Z568" s="53">
        <v>86.022624434389101</v>
      </c>
      <c r="AA568" s="43">
        <v>1</v>
      </c>
      <c r="AB568" s="54">
        <v>0.983528865591904</v>
      </c>
      <c r="AC568" s="55">
        <v>1.6471134408096007E-2</v>
      </c>
      <c r="AD568" s="752" t="e">
        <f>_xlfn.XLOOKUP(Table1[[#This Row],[Ruta]],#REF!,#REF!)</f>
        <v>#REF!</v>
      </c>
      <c r="AE568" s="752" t="e">
        <f>_xlfn.XLOOKUP(Table1[[#This Row],[Ruta]],#REF!,#REF!)</f>
        <v>#REF!</v>
      </c>
      <c r="AF568" s="752" t="e">
        <f>_xlfn.XLOOKUP(Table1[[#This Row],[Ruta]],#REF!,#REF!)</f>
        <v>#REF!</v>
      </c>
      <c r="AG568" s="752" t="e">
        <f>_xlfn.XLOOKUP(Table1[[#This Row],[Ruta]],#REF!,#REF!)</f>
        <v>#REF!</v>
      </c>
      <c r="AH568" s="52">
        <v>0.48699699101905064</v>
      </c>
      <c r="AI568" s="52">
        <v>0.51002176786074893</v>
      </c>
      <c r="AJ568" s="55">
        <v>2.9812411202004168E-3</v>
      </c>
      <c r="AK568" s="56">
        <v>38022</v>
      </c>
      <c r="AL568" s="44">
        <v>17230</v>
      </c>
      <c r="AM568" s="54">
        <v>0.45315869759612898</v>
      </c>
      <c r="AN568" s="55">
        <v>0.50474202392821499</v>
      </c>
      <c r="AO568" s="56">
        <v>1961.3012337985999</v>
      </c>
      <c r="AP568" s="48">
        <v>980.65061689929996</v>
      </c>
      <c r="AQ568" s="55">
        <v>0.4789503607621719</v>
      </c>
      <c r="AR568" s="51">
        <v>6936763.8300000001</v>
      </c>
      <c r="AS568" s="49">
        <v>394807.99356786202</v>
      </c>
      <c r="AT568" s="55">
        <v>5.6915299878079029E-2</v>
      </c>
      <c r="AU568" s="51">
        <v>277432.64412876801</v>
      </c>
      <c r="AV568" s="52">
        <v>1.2620673523190634E-3</v>
      </c>
      <c r="AW568" s="44">
        <v>260</v>
      </c>
      <c r="AX568" s="51">
        <v>402.59801683110902</v>
      </c>
      <c r="AY568" s="49">
        <v>443.48077645239698</v>
      </c>
      <c r="AZ568" s="49">
        <v>40.88275962128796</v>
      </c>
      <c r="BA568" s="42" t="s">
        <v>150</v>
      </c>
      <c r="BB568" s="50">
        <v>247495.38723168362</v>
      </c>
      <c r="BC568" s="57">
        <v>524928.0313604516</v>
      </c>
      <c r="BD568" s="42" t="s">
        <v>150</v>
      </c>
      <c r="BE568" s="46">
        <v>86.022624434389101</v>
      </c>
      <c r="BF568" s="46">
        <v>72.425990467051307</v>
      </c>
      <c r="BG568" s="42" t="s">
        <v>150</v>
      </c>
      <c r="BH568" s="52">
        <v>0.45315869759612898</v>
      </c>
      <c r="BI568" s="52">
        <v>0.49337264070319697</v>
      </c>
      <c r="BJ568" s="42" t="s">
        <v>152</v>
      </c>
      <c r="BK568" s="46">
        <v>579.02066254751105</v>
      </c>
      <c r="BL568" s="46">
        <v>605.59017138979505</v>
      </c>
      <c r="BM568" s="42" t="s">
        <v>152</v>
      </c>
      <c r="BN568" s="48">
        <v>1</v>
      </c>
      <c r="BO568" s="42" t="s">
        <v>155</v>
      </c>
      <c r="BP568" s="42" t="s">
        <v>152</v>
      </c>
      <c r="BQ568" s="46">
        <v>0</v>
      </c>
      <c r="BR568" s="46">
        <v>46</v>
      </c>
      <c r="BS568" s="46">
        <v>4647</v>
      </c>
      <c r="BT568" s="46">
        <v>1379</v>
      </c>
      <c r="BU568" s="46">
        <v>3.3698332124728063</v>
      </c>
      <c r="BV568" s="46">
        <v>29.978260869565219</v>
      </c>
      <c r="BW568" s="46">
        <v>1379</v>
      </c>
      <c r="BX568" s="46">
        <v>0</v>
      </c>
      <c r="BY568" s="46">
        <v>1379</v>
      </c>
      <c r="BZ568" s="46">
        <v>1</v>
      </c>
      <c r="CA568" s="46">
        <v>1</v>
      </c>
      <c r="CB568" s="46">
        <v>0</v>
      </c>
      <c r="CC568" s="46">
        <v>0</v>
      </c>
      <c r="CD568" s="46">
        <v>0</v>
      </c>
      <c r="CE568" s="46">
        <v>0</v>
      </c>
      <c r="CF568" s="46">
        <v>0</v>
      </c>
      <c r="CG568" s="46">
        <v>0</v>
      </c>
      <c r="CH568" s="46">
        <v>0</v>
      </c>
      <c r="CI568" s="46">
        <v>0</v>
      </c>
      <c r="CJ568" s="46">
        <v>0</v>
      </c>
      <c r="CK568">
        <v>291</v>
      </c>
      <c r="CL568">
        <v>505.64</v>
      </c>
      <c r="CM568">
        <f t="shared" si="63"/>
        <v>214.64</v>
      </c>
      <c r="CN568">
        <v>4.0999999999999996</v>
      </c>
      <c r="CO568">
        <v>9.4499999999999993</v>
      </c>
      <c r="CP568">
        <f t="shared" si="64"/>
        <v>5.35</v>
      </c>
      <c r="CQ568">
        <v>846.56</v>
      </c>
      <c r="CR568">
        <v>579.02</v>
      </c>
      <c r="CS568">
        <f t="shared" si="65"/>
        <v>267.53999999999996</v>
      </c>
      <c r="CT568" t="s">
        <v>152</v>
      </c>
      <c r="CU568">
        <v>68.400000000000006</v>
      </c>
      <c r="CV568">
        <v>273</v>
      </c>
      <c r="CW568" s="46">
        <v>1379</v>
      </c>
      <c r="CX568" s="46">
        <f t="shared" si="59"/>
        <v>84.43509789702685</v>
      </c>
      <c r="CY568" s="46">
        <v>214.64</v>
      </c>
      <c r="CZ568" s="46">
        <f t="shared" si="60"/>
        <v>100</v>
      </c>
      <c r="DA568" s="46">
        <f t="shared" si="61"/>
        <v>2268.4133744132932</v>
      </c>
      <c r="DB568" s="46">
        <v>3615034.29</v>
      </c>
      <c r="DC568" s="46">
        <f t="shared" si="62"/>
        <v>84.854383675108565</v>
      </c>
      <c r="DD568" s="46">
        <v>135227.34</v>
      </c>
      <c r="DE568" s="995">
        <v>1379</v>
      </c>
      <c r="DF568" s="995">
        <v>85.3</v>
      </c>
      <c r="DG568" s="995">
        <v>202.7</v>
      </c>
      <c r="DH568" s="995">
        <v>100</v>
      </c>
      <c r="DI568" s="995">
        <v>4989.8140000000003</v>
      </c>
      <c r="DJ568" s="995">
        <v>7892444</v>
      </c>
      <c r="DK568" s="995">
        <v>184.94900000000001</v>
      </c>
      <c r="DL568" s="995">
        <v>292536.40000000002</v>
      </c>
      <c r="DM568" s="995">
        <v>1379</v>
      </c>
      <c r="DN568" s="995">
        <v>87.894000000000005</v>
      </c>
      <c r="DO568" s="995">
        <v>166.9</v>
      </c>
      <c r="DP568" s="995">
        <v>100</v>
      </c>
      <c r="DQ568" s="995">
        <v>4776.2560000000003</v>
      </c>
      <c r="DR568" s="995">
        <v>7383799</v>
      </c>
      <c r="DS568" s="995">
        <v>176.95400000000001</v>
      </c>
      <c r="DT568" s="995">
        <v>273560.09999999998</v>
      </c>
    </row>
    <row r="569" spans="1:124">
      <c r="A569" s="42" t="s">
        <v>94</v>
      </c>
      <c r="B569" s="42" t="s">
        <v>510</v>
      </c>
      <c r="C569" s="42" t="s">
        <v>788</v>
      </c>
      <c r="D569" s="42">
        <v>809321</v>
      </c>
      <c r="E569" s="42" t="s">
        <v>790</v>
      </c>
      <c r="F569" s="42" t="s">
        <v>149</v>
      </c>
      <c r="G569" s="42" t="s">
        <v>150</v>
      </c>
      <c r="H569" s="43" t="s">
        <v>150</v>
      </c>
      <c r="I569" s="44">
        <v>70</v>
      </c>
      <c r="J569" s="45">
        <v>235018.05040000001</v>
      </c>
      <c r="K569" s="46">
        <v>15471.788850999999</v>
      </c>
      <c r="L569" s="47">
        <v>250489.839251</v>
      </c>
      <c r="M569" s="48">
        <v>5957203</v>
      </c>
      <c r="N569" s="49">
        <v>3454780</v>
      </c>
      <c r="O569" s="49">
        <v>2498715</v>
      </c>
      <c r="P569" s="49">
        <v>3708</v>
      </c>
      <c r="Q569" s="50">
        <v>13654.8014220184</v>
      </c>
      <c r="R569" s="51">
        <v>32519.5730044015</v>
      </c>
      <c r="S569" s="49">
        <v>53553.069594271597</v>
      </c>
      <c r="T569" s="49">
        <v>8356.5552035805795</v>
      </c>
      <c r="U569" s="49">
        <f>IFERROR(INDEX('Rentabilidad datos'!$N$2:$N$61,MATCH($C569,'Rentabilidad datos'!$C$2:$C$61,0)),"")</f>
        <v>94429.197802253679</v>
      </c>
      <c r="V569" s="50">
        <f>IFERROR(INDEX('Rentabilidad datos'!$O$2:$O$61,MATCH($C569,'Rentabilidad datos'!$C$2:$C$61,0)),"")</f>
        <v>1573.8199633708946</v>
      </c>
      <c r="W569" s="51">
        <f>IFERROR(INDEX('Rentabilidad datos'!$M$2:$M$61,MATCH($C569,'Rentabilidad datos'!$C$2:$C$61,0)),"")</f>
        <v>3293.1144020900269</v>
      </c>
      <c r="X569" s="52">
        <f>IFERROR(INDEX('Rentabilidad datos'!$P$2:$P$61,MATCH($C569,'Rentabilidad datos'!$C$2:$C$61,0)),"")</f>
        <v>0.47791232590402716</v>
      </c>
      <c r="Y569" s="43" t="s">
        <v>171</v>
      </c>
      <c r="Z569" s="53">
        <v>79.662844036697294</v>
      </c>
      <c r="AA569" s="43">
        <v>1</v>
      </c>
      <c r="AB569" s="54">
        <v>0.99193295914206714</v>
      </c>
      <c r="AC569" s="55">
        <v>8.0670408579328248E-3</v>
      </c>
      <c r="AD569" s="752" t="e">
        <f>_xlfn.XLOOKUP(Table1[[#This Row],[Ruta]],#REF!,#REF!)</f>
        <v>#REF!</v>
      </c>
      <c r="AE569" s="752" t="e">
        <f>_xlfn.XLOOKUP(Table1[[#This Row],[Ruta]],#REF!,#REF!)</f>
        <v>#REF!</v>
      </c>
      <c r="AF569" s="752" t="e">
        <f>_xlfn.XLOOKUP(Table1[[#This Row],[Ruta]],#REF!,#REF!)</f>
        <v>#REF!</v>
      </c>
      <c r="AG569" s="752" t="e">
        <f>_xlfn.XLOOKUP(Table1[[#This Row],[Ruta]],#REF!,#REF!)</f>
        <v>#REF!</v>
      </c>
      <c r="AH569" s="52">
        <v>0.57993323376759198</v>
      </c>
      <c r="AI569" s="52">
        <v>0.41944432647334662</v>
      </c>
      <c r="AJ569" s="55">
        <v>6.2243975906142528E-4</v>
      </c>
      <c r="AK569" s="56">
        <v>34733</v>
      </c>
      <c r="AL569" s="44">
        <v>17590</v>
      </c>
      <c r="AM569" s="54">
        <v>0.50643480263726104</v>
      </c>
      <c r="AN569" s="55">
        <v>0.50474202392821499</v>
      </c>
      <c r="AO569" s="56">
        <v>0</v>
      </c>
      <c r="AP569" s="48">
        <v>0</v>
      </c>
      <c r="AQ569" s="55">
        <v>0.50643480263726137</v>
      </c>
      <c r="AR569" s="51">
        <v>5953493.4199999999</v>
      </c>
      <c r="AS569" s="49">
        <v>0</v>
      </c>
      <c r="AT569" s="55">
        <v>0</v>
      </c>
      <c r="AU569" s="51">
        <v>0</v>
      </c>
      <c r="AV569" s="52">
        <v>0</v>
      </c>
      <c r="AW569" s="44">
        <v>490</v>
      </c>
      <c r="AX569" s="51">
        <v>338.45897782831202</v>
      </c>
      <c r="AY569" s="49">
        <v>443.48077645239698</v>
      </c>
      <c r="AZ569" s="49">
        <v>105.02179862408497</v>
      </c>
      <c r="BA569" s="42" t="s">
        <v>150</v>
      </c>
      <c r="BB569" s="50">
        <v>649063.09976674372</v>
      </c>
      <c r="BC569" s="57">
        <v>649063.09976674372</v>
      </c>
      <c r="BD569" s="42" t="s">
        <v>150</v>
      </c>
      <c r="BE569" s="46">
        <v>79.662844036697294</v>
      </c>
      <c r="BF569" s="46">
        <v>72.425990467051307</v>
      </c>
      <c r="BG569" s="42" t="s">
        <v>150</v>
      </c>
      <c r="BH569" s="52">
        <v>0.50643480263726104</v>
      </c>
      <c r="BI569" s="52">
        <v>0.49337264070319697</v>
      </c>
      <c r="BJ569" s="42" t="s">
        <v>150</v>
      </c>
      <c r="BK569" s="46">
        <v>574.51797993348498</v>
      </c>
      <c r="BL569" s="46">
        <v>605.59017138979505</v>
      </c>
      <c r="BM569" s="42" t="s">
        <v>152</v>
      </c>
      <c r="BN569" s="48">
        <v>2</v>
      </c>
      <c r="BO569" s="42" t="s">
        <v>161</v>
      </c>
      <c r="BP569" s="42" t="s">
        <v>152</v>
      </c>
      <c r="BQ569" s="46">
        <v>0</v>
      </c>
      <c r="BR569" s="46">
        <v>96</v>
      </c>
      <c r="BS569" s="46">
        <v>5130</v>
      </c>
      <c r="BT569" s="46">
        <v>1550</v>
      </c>
      <c r="BU569" s="46">
        <v>3.3096774193548386</v>
      </c>
      <c r="BV569" s="46">
        <v>16.145833333333332</v>
      </c>
      <c r="BW569" s="46">
        <v>1550</v>
      </c>
      <c r="BX569" s="46">
        <v>0</v>
      </c>
      <c r="BY569" s="46">
        <v>1550</v>
      </c>
      <c r="BZ569" s="46">
        <v>1</v>
      </c>
      <c r="CA569" s="46">
        <v>1</v>
      </c>
      <c r="CB569" s="46">
        <v>0</v>
      </c>
      <c r="CC569" s="46">
        <v>0</v>
      </c>
      <c r="CD569" s="46">
        <v>0</v>
      </c>
      <c r="CE569" s="46">
        <v>0</v>
      </c>
      <c r="CF569" s="46">
        <v>0</v>
      </c>
      <c r="CG569" s="46">
        <v>0</v>
      </c>
      <c r="CH569" s="46">
        <v>0</v>
      </c>
      <c r="CI569" s="46">
        <v>1.5594541910331381</v>
      </c>
      <c r="CJ569" s="46">
        <v>0.38986354775828458</v>
      </c>
      <c r="CK569">
        <v>301</v>
      </c>
      <c r="CL569">
        <v>345.79</v>
      </c>
      <c r="CM569">
        <f t="shared" si="63"/>
        <v>44.79000000000002</v>
      </c>
      <c r="CN569">
        <v>9.02</v>
      </c>
      <c r="CO569">
        <v>9.4499999999999993</v>
      </c>
      <c r="CP569">
        <f t="shared" si="64"/>
        <v>0.42999999999999972</v>
      </c>
      <c r="CQ569">
        <v>846.56</v>
      </c>
      <c r="CR569">
        <v>574.52</v>
      </c>
      <c r="CS569">
        <f t="shared" si="65"/>
        <v>272.03999999999996</v>
      </c>
      <c r="CT569" t="s">
        <v>152</v>
      </c>
      <c r="CU569">
        <v>99.01</v>
      </c>
      <c r="CV569">
        <v>243</v>
      </c>
      <c r="CW569" s="46">
        <v>1550</v>
      </c>
      <c r="CX569" s="46">
        <f t="shared" si="59"/>
        <v>97.11032258064516</v>
      </c>
      <c r="CY569" s="46">
        <v>44.79</v>
      </c>
      <c r="CZ569" s="46">
        <f t="shared" si="60"/>
        <v>100</v>
      </c>
      <c r="DA569" s="46">
        <f t="shared" si="61"/>
        <v>780.86835884348409</v>
      </c>
      <c r="DB569" s="46">
        <v>1245321.05</v>
      </c>
      <c r="DC569" s="46">
        <f t="shared" si="62"/>
        <v>27.907536415452821</v>
      </c>
      <c r="DD569" s="46">
        <v>44506.66</v>
      </c>
      <c r="DE569" s="995">
        <v>1550</v>
      </c>
      <c r="DF569" s="995">
        <v>96.567999999999998</v>
      </c>
      <c r="DG569" s="995">
        <v>53.2</v>
      </c>
      <c r="DH569" s="995">
        <v>100</v>
      </c>
      <c r="DI569" s="995">
        <v>2891.3359999999998</v>
      </c>
      <c r="DJ569" s="995">
        <v>4635365</v>
      </c>
      <c r="DK569" s="995">
        <v>120.018</v>
      </c>
      <c r="DL569" s="995">
        <v>192411.4</v>
      </c>
      <c r="DM569" s="995">
        <v>1550</v>
      </c>
      <c r="DN569" s="995">
        <v>96.902000000000001</v>
      </c>
      <c r="DO569" s="995">
        <v>48</v>
      </c>
      <c r="DP569" s="995">
        <v>100</v>
      </c>
      <c r="DQ569" s="995">
        <v>2854.7710000000002</v>
      </c>
      <c r="DR569" s="995">
        <v>4561957</v>
      </c>
      <c r="DS569" s="995">
        <v>118.687</v>
      </c>
      <c r="DT569" s="995">
        <v>189663.5</v>
      </c>
    </row>
    <row r="570" spans="1:124">
      <c r="A570" s="42" t="s">
        <v>94</v>
      </c>
      <c r="B570" s="42" t="s">
        <v>510</v>
      </c>
      <c r="C570" s="42" t="s">
        <v>788</v>
      </c>
      <c r="D570" s="42">
        <v>809322</v>
      </c>
      <c r="E570" s="42" t="s">
        <v>791</v>
      </c>
      <c r="F570" s="42" t="s">
        <v>149</v>
      </c>
      <c r="G570" s="42" t="s">
        <v>150</v>
      </c>
      <c r="H570" s="43" t="s">
        <v>150</v>
      </c>
      <c r="I570" s="44">
        <v>70</v>
      </c>
      <c r="J570" s="45">
        <v>205232.63599999901</v>
      </c>
      <c r="K570" s="46">
        <v>14752.543100000001</v>
      </c>
      <c r="L570" s="47">
        <v>219985.17909999899</v>
      </c>
      <c r="M570" s="48">
        <v>5295888</v>
      </c>
      <c r="N570" s="49">
        <v>3013526</v>
      </c>
      <c r="O570" s="49">
        <v>2279252</v>
      </c>
      <c r="P570" s="49">
        <v>3110</v>
      </c>
      <c r="Q570" s="50">
        <v>12139.404013761499</v>
      </c>
      <c r="R570" s="51">
        <v>32519.5730044015</v>
      </c>
      <c r="S570" s="49">
        <v>53553.069594271597</v>
      </c>
      <c r="T570" s="49">
        <v>8356.5552035805795</v>
      </c>
      <c r="U570" s="49">
        <f>IFERROR(INDEX('Rentabilidad datos'!$N$2:$N$61,MATCH($C570,'Rentabilidad datos'!$C$2:$C$61,0)),"")</f>
        <v>94429.197802253679</v>
      </c>
      <c r="V570" s="50">
        <f>IFERROR(INDEX('Rentabilidad datos'!$O$2:$O$61,MATCH($C570,'Rentabilidad datos'!$C$2:$C$61,0)),"")</f>
        <v>1573.8199633708946</v>
      </c>
      <c r="W570" s="51">
        <f>IFERROR(INDEX('Rentabilidad datos'!$M$2:$M$61,MATCH($C570,'Rentabilidad datos'!$C$2:$C$61,0)),"")</f>
        <v>3293.1144020900269</v>
      </c>
      <c r="X570" s="52">
        <f>IFERROR(INDEX('Rentabilidad datos'!$P$2:$P$61,MATCH($C570,'Rentabilidad datos'!$C$2:$C$61,0)),"")</f>
        <v>0.47791232590402716</v>
      </c>
      <c r="Y570" s="43" t="s">
        <v>171</v>
      </c>
      <c r="Z570" s="53">
        <v>99.270642201834903</v>
      </c>
      <c r="AA570" s="43">
        <v>1</v>
      </c>
      <c r="AB570" s="54">
        <v>0.99097866118014577</v>
      </c>
      <c r="AC570" s="55">
        <v>9.021338819854197E-3</v>
      </c>
      <c r="AD570" s="752" t="e">
        <f>_xlfn.XLOOKUP(Table1[[#This Row],[Ruta]],#REF!,#REF!)</f>
        <v>#REF!</v>
      </c>
      <c r="AE570" s="752" t="e">
        <f>_xlfn.XLOOKUP(Table1[[#This Row],[Ruta]],#REF!,#REF!)</f>
        <v>#REF!</v>
      </c>
      <c r="AF570" s="752" t="e">
        <f>_xlfn.XLOOKUP(Table1[[#This Row],[Ruta]],#REF!,#REF!)</f>
        <v>#REF!</v>
      </c>
      <c r="AG570" s="752" t="e">
        <f>_xlfn.XLOOKUP(Table1[[#This Row],[Ruta]],#REF!,#REF!)</f>
        <v>#REF!</v>
      </c>
      <c r="AH570" s="52">
        <v>0.56903129371316008</v>
      </c>
      <c r="AI570" s="52">
        <v>0.4303814582181496</v>
      </c>
      <c r="AJ570" s="55">
        <v>5.8724806869027446E-4</v>
      </c>
      <c r="AK570" s="56">
        <v>43282</v>
      </c>
      <c r="AL570" s="44">
        <v>19286</v>
      </c>
      <c r="AM570" s="54">
        <v>0.44558939050875701</v>
      </c>
      <c r="AN570" s="55">
        <v>0.50474202392821499</v>
      </c>
      <c r="AO570" s="56">
        <v>2560.2442796610198</v>
      </c>
      <c r="AP570" s="48">
        <v>1280.1221398305099</v>
      </c>
      <c r="AQ570" s="55">
        <v>0.47516570721848594</v>
      </c>
      <c r="AR570" s="51">
        <v>5292780.1500000004</v>
      </c>
      <c r="AS570" s="49">
        <v>351312.09433114348</v>
      </c>
      <c r="AT570" s="55">
        <v>6.6375720202764041E-2</v>
      </c>
      <c r="AU570" s="51">
        <v>246867.95817864145</v>
      </c>
      <c r="AV570" s="52">
        <v>1.1230257035157027E-3</v>
      </c>
      <c r="AW570" s="44">
        <v>277</v>
      </c>
      <c r="AX570" s="51">
        <v>274.43638649797799</v>
      </c>
      <c r="AY570" s="49">
        <v>443.48077645239698</v>
      </c>
      <c r="AZ570" s="49">
        <v>169.04438995441899</v>
      </c>
      <c r="BA570" s="42" t="s">
        <v>150</v>
      </c>
      <c r="BB570" s="50">
        <v>1145472.1989349199</v>
      </c>
      <c r="BC570" s="57">
        <v>1392340.1571135614</v>
      </c>
      <c r="BD570" s="42" t="s">
        <v>150</v>
      </c>
      <c r="BE570" s="46">
        <v>99.270642201834903</v>
      </c>
      <c r="BF570" s="46">
        <v>72.425990467051307</v>
      </c>
      <c r="BG570" s="42" t="s">
        <v>150</v>
      </c>
      <c r="BH570" s="52">
        <v>0.44558939050875701</v>
      </c>
      <c r="BI570" s="52">
        <v>0.49337264070319697</v>
      </c>
      <c r="BJ570" s="42" t="s">
        <v>152</v>
      </c>
      <c r="BK570" s="46">
        <v>504.55316307339302</v>
      </c>
      <c r="BL570" s="46">
        <v>605.59017138979505</v>
      </c>
      <c r="BM570" s="42" t="s">
        <v>152</v>
      </c>
      <c r="BN570" s="48">
        <v>1</v>
      </c>
      <c r="BO570" s="42" t="s">
        <v>155</v>
      </c>
      <c r="BP570" s="42" t="s">
        <v>152</v>
      </c>
      <c r="BQ570" s="46">
        <v>0</v>
      </c>
      <c r="BR570" s="46">
        <v>56</v>
      </c>
      <c r="BS570" s="46">
        <v>3870</v>
      </c>
      <c r="BT570" s="46">
        <v>1169</v>
      </c>
      <c r="BU570" s="46">
        <v>3.3105218135158254</v>
      </c>
      <c r="BV570" s="46">
        <v>20.875</v>
      </c>
      <c r="BW570" s="46">
        <v>1141</v>
      </c>
      <c r="BX570" s="46">
        <v>28</v>
      </c>
      <c r="BY570" s="46">
        <v>1169</v>
      </c>
      <c r="BZ570" s="46">
        <v>1</v>
      </c>
      <c r="CA570" s="46">
        <v>0.9760479041916168</v>
      </c>
      <c r="CB570" s="46">
        <v>2.3952095808383232E-2</v>
      </c>
      <c r="CC570" s="46">
        <v>0</v>
      </c>
      <c r="CD570" s="46">
        <v>0</v>
      </c>
      <c r="CE570" s="46">
        <v>0</v>
      </c>
      <c r="CF570" s="46">
        <v>0</v>
      </c>
      <c r="CG570" s="46">
        <v>0</v>
      </c>
      <c r="CH570" s="46">
        <v>0</v>
      </c>
      <c r="CI570" s="46">
        <v>0.51679586563307489</v>
      </c>
      <c r="CJ570" s="46">
        <v>0.51679586563307489</v>
      </c>
      <c r="CK570">
        <v>362</v>
      </c>
      <c r="CL570">
        <v>449.64</v>
      </c>
      <c r="CM570">
        <f t="shared" si="63"/>
        <v>87.639999999999986</v>
      </c>
      <c r="CN570">
        <v>9.93</v>
      </c>
      <c r="CO570">
        <v>9.4499999999999993</v>
      </c>
      <c r="CP570">
        <f t="shared" si="64"/>
        <v>-0.48000000000000043</v>
      </c>
      <c r="CQ570">
        <v>846.56</v>
      </c>
      <c r="CR570">
        <v>504.55</v>
      </c>
      <c r="CS570">
        <f t="shared" si="65"/>
        <v>342.00999999999993</v>
      </c>
      <c r="CT570" t="s">
        <v>150</v>
      </c>
      <c r="CU570">
        <v>106.75</v>
      </c>
      <c r="CV570">
        <v>346</v>
      </c>
      <c r="CW570" s="46">
        <v>1169</v>
      </c>
      <c r="CX570" s="46">
        <f t="shared" si="59"/>
        <v>92.502994011976043</v>
      </c>
      <c r="CY570" s="46">
        <v>87.64</v>
      </c>
      <c r="CZ570" s="46">
        <f t="shared" si="60"/>
        <v>100</v>
      </c>
      <c r="DA570" s="46">
        <f t="shared" si="61"/>
        <v>2452.2988445378146</v>
      </c>
      <c r="DB570" s="46">
        <v>3081656.82</v>
      </c>
      <c r="DC570" s="46">
        <f t="shared" si="62"/>
        <v>101.41280716832186</v>
      </c>
      <c r="DD570" s="46">
        <v>127439.39</v>
      </c>
      <c r="DE570" s="995">
        <v>1169</v>
      </c>
      <c r="DF570" s="995">
        <v>93.91</v>
      </c>
      <c r="DG570" s="995">
        <v>71.2</v>
      </c>
      <c r="DH570" s="995">
        <v>100</v>
      </c>
      <c r="DI570" s="995">
        <v>5245.1660000000002</v>
      </c>
      <c r="DJ570" s="995">
        <v>6504989</v>
      </c>
      <c r="DK570" s="995">
        <v>217.74</v>
      </c>
      <c r="DL570" s="995">
        <v>270038.7</v>
      </c>
      <c r="DM570" s="995">
        <v>1169</v>
      </c>
      <c r="DN570" s="995">
        <v>94.984999999999999</v>
      </c>
      <c r="DO570" s="995">
        <v>58.6</v>
      </c>
      <c r="DP570" s="995">
        <v>100</v>
      </c>
      <c r="DQ570" s="995">
        <v>5168.1710000000003</v>
      </c>
      <c r="DR570" s="995">
        <v>6344576</v>
      </c>
      <c r="DS570" s="995">
        <v>214.54</v>
      </c>
      <c r="DT570" s="995">
        <v>263374.59999999998</v>
      </c>
    </row>
    <row r="571" spans="1:124">
      <c r="A571" s="42" t="s">
        <v>94</v>
      </c>
      <c r="B571" s="42" t="s">
        <v>510</v>
      </c>
      <c r="C571" s="42" t="s">
        <v>788</v>
      </c>
      <c r="D571" s="42">
        <v>809323</v>
      </c>
      <c r="E571" s="42" t="s">
        <v>792</v>
      </c>
      <c r="F571" s="42" t="s">
        <v>149</v>
      </c>
      <c r="G571" s="42" t="s">
        <v>150</v>
      </c>
      <c r="H571" s="43" t="s">
        <v>150</v>
      </c>
      <c r="I571" s="44">
        <v>70</v>
      </c>
      <c r="J571" s="45">
        <v>281703.93999999901</v>
      </c>
      <c r="K571" s="46">
        <v>11211.748675000001</v>
      </c>
      <c r="L571" s="47">
        <v>292915.68867499899</v>
      </c>
      <c r="M571" s="48">
        <v>5987468</v>
      </c>
      <c r="N571" s="49">
        <v>4130902</v>
      </c>
      <c r="O571" s="49">
        <v>1853156</v>
      </c>
      <c r="P571" s="49">
        <v>3410</v>
      </c>
      <c r="Q571" s="50">
        <v>13724.901215596299</v>
      </c>
      <c r="R571" s="51">
        <v>32519.5730044015</v>
      </c>
      <c r="S571" s="49">
        <v>53553.069594271597</v>
      </c>
      <c r="T571" s="49">
        <v>8356.5552035805795</v>
      </c>
      <c r="U571" s="49">
        <f>IFERROR(INDEX('Rentabilidad datos'!$N$2:$N$61,MATCH($C571,'Rentabilidad datos'!$C$2:$C$61,0)),"")</f>
        <v>94429.197802253679</v>
      </c>
      <c r="V571" s="50">
        <f>IFERROR(INDEX('Rentabilidad datos'!$O$2:$O$61,MATCH($C571,'Rentabilidad datos'!$C$2:$C$61,0)),"")</f>
        <v>1573.8199633708946</v>
      </c>
      <c r="W571" s="51">
        <f>IFERROR(INDEX('Rentabilidad datos'!$M$2:$M$61,MATCH($C571,'Rentabilidad datos'!$C$2:$C$61,0)),"")</f>
        <v>3293.1144020900269</v>
      </c>
      <c r="X571" s="52">
        <f>IFERROR(INDEX('Rentabilidad datos'!$P$2:$P$61,MATCH($C571,'Rentabilidad datos'!$C$2:$C$61,0)),"")</f>
        <v>0.47791232590402716</v>
      </c>
      <c r="Y571" s="43" t="s">
        <v>171</v>
      </c>
      <c r="Z571" s="53">
        <v>60.066513761467903</v>
      </c>
      <c r="AA571" s="43">
        <v>1</v>
      </c>
      <c r="AB571" s="54">
        <v>0.97672939546399251</v>
      </c>
      <c r="AC571" s="55">
        <v>2.3270604536007541E-2</v>
      </c>
      <c r="AD571" s="752" t="e">
        <f>_xlfn.XLOOKUP(Table1[[#This Row],[Ruta]],#REF!,#REF!)</f>
        <v>#REF!</v>
      </c>
      <c r="AE571" s="752" t="e">
        <f>_xlfn.XLOOKUP(Table1[[#This Row],[Ruta]],#REF!,#REF!)</f>
        <v>#REF!</v>
      </c>
      <c r="AF571" s="752" t="e">
        <f>_xlfn.XLOOKUP(Table1[[#This Row],[Ruta]],#REF!,#REF!)</f>
        <v>#REF!</v>
      </c>
      <c r="AG571" s="752" t="e">
        <f>_xlfn.XLOOKUP(Table1[[#This Row],[Ruta]],#REF!,#REF!)</f>
        <v>#REF!</v>
      </c>
      <c r="AH571" s="52">
        <v>0.68992468936785967</v>
      </c>
      <c r="AI571" s="52">
        <v>0.30950578775535836</v>
      </c>
      <c r="AJ571" s="55">
        <v>5.6952287678197194E-4</v>
      </c>
      <c r="AK571" s="56">
        <v>26189</v>
      </c>
      <c r="AL571" s="44">
        <v>16057</v>
      </c>
      <c r="AM571" s="54">
        <v>0.61312001221887102</v>
      </c>
      <c r="AN571" s="55">
        <v>0.50474202392821499</v>
      </c>
      <c r="AO571" s="56">
        <v>0</v>
      </c>
      <c r="AP571" s="48">
        <v>0</v>
      </c>
      <c r="AQ571" s="55">
        <v>0.61312001221887047</v>
      </c>
      <c r="AR571" s="51">
        <v>5984056.9299999997</v>
      </c>
      <c r="AS571" s="49">
        <v>0</v>
      </c>
      <c r="AT571" s="55">
        <v>0</v>
      </c>
      <c r="AU571" s="51">
        <v>0</v>
      </c>
      <c r="AV571" s="52">
        <v>0</v>
      </c>
      <c r="AW571" s="44">
        <v>490</v>
      </c>
      <c r="AX571" s="51">
        <v>372.67590023042902</v>
      </c>
      <c r="AY571" s="49">
        <v>443.48077645239698</v>
      </c>
      <c r="AZ571" s="49">
        <v>70.804876221967959</v>
      </c>
      <c r="BA571" s="42" t="s">
        <v>150</v>
      </c>
      <c r="BB571" s="50">
        <v>399456.23425540054</v>
      </c>
      <c r="BC571" s="57">
        <v>399456.23425540054</v>
      </c>
      <c r="BD571" s="42" t="s">
        <v>150</v>
      </c>
      <c r="BE571" s="46">
        <v>60.066513761467903</v>
      </c>
      <c r="BF571" s="46">
        <v>72.425990467051307</v>
      </c>
      <c r="BG571" s="42" t="s">
        <v>152</v>
      </c>
      <c r="BH571" s="52">
        <v>0.61312001221887102</v>
      </c>
      <c r="BI571" s="52">
        <v>0.49337264070319697</v>
      </c>
      <c r="BJ571" s="42" t="s">
        <v>150</v>
      </c>
      <c r="BK571" s="46">
        <v>671.82497402522802</v>
      </c>
      <c r="BL571" s="46">
        <v>605.59017138979505</v>
      </c>
      <c r="BM571" s="42" t="s">
        <v>150</v>
      </c>
      <c r="BN571" s="48">
        <v>2</v>
      </c>
      <c r="BO571" s="42" t="s">
        <v>161</v>
      </c>
      <c r="BP571" s="42" t="s">
        <v>152</v>
      </c>
      <c r="BQ571" s="46">
        <v>0</v>
      </c>
      <c r="BR571" s="46">
        <v>125</v>
      </c>
      <c r="BS571" s="46">
        <v>6522</v>
      </c>
      <c r="BT571" s="46">
        <v>1915</v>
      </c>
      <c r="BU571" s="46">
        <v>3.4057441253263709</v>
      </c>
      <c r="BV571" s="46">
        <v>15.32</v>
      </c>
      <c r="BW571" s="46">
        <v>1915</v>
      </c>
      <c r="BX571" s="46">
        <v>0</v>
      </c>
      <c r="BY571" s="46">
        <v>1915</v>
      </c>
      <c r="BZ571" s="46">
        <v>1</v>
      </c>
      <c r="CA571" s="46">
        <v>1</v>
      </c>
      <c r="CB571" s="46">
        <v>0</v>
      </c>
      <c r="CC571" s="46">
        <v>0</v>
      </c>
      <c r="CD571" s="46">
        <v>0</v>
      </c>
      <c r="CE571" s="46">
        <v>0</v>
      </c>
      <c r="CF571" s="46">
        <v>0</v>
      </c>
      <c r="CG571" s="46">
        <v>0</v>
      </c>
      <c r="CH571" s="46">
        <v>0</v>
      </c>
      <c r="CI571" s="46">
        <v>1.2266176019625881</v>
      </c>
      <c r="CJ571" s="46">
        <v>0.45998160073597061</v>
      </c>
      <c r="CK571">
        <v>300</v>
      </c>
      <c r="CL571">
        <v>372.91</v>
      </c>
      <c r="CM571">
        <f t="shared" si="63"/>
        <v>72.910000000000025</v>
      </c>
      <c r="CN571">
        <v>5.46</v>
      </c>
      <c r="CO571">
        <v>9.4499999999999993</v>
      </c>
      <c r="CP571">
        <f t="shared" si="64"/>
        <v>3.9899999999999993</v>
      </c>
      <c r="CQ571">
        <v>846.56</v>
      </c>
      <c r="CR571">
        <v>671.82</v>
      </c>
      <c r="CS571">
        <f t="shared" si="65"/>
        <v>174.7399999999999</v>
      </c>
      <c r="CT571" t="s">
        <v>152</v>
      </c>
      <c r="CU571">
        <v>79.36</v>
      </c>
      <c r="CV571">
        <v>293</v>
      </c>
      <c r="CW571" s="46">
        <v>1915</v>
      </c>
      <c r="CX571" s="46">
        <f t="shared" si="59"/>
        <v>96.192689295039159</v>
      </c>
      <c r="CY571" s="46">
        <v>72.91</v>
      </c>
      <c r="CZ571" s="46">
        <f t="shared" si="60"/>
        <v>100</v>
      </c>
      <c r="DA571" s="46">
        <f t="shared" si="61"/>
        <v>517.93737644058331</v>
      </c>
      <c r="DB571" s="46">
        <v>1029612.89</v>
      </c>
      <c r="DC571" s="46">
        <f t="shared" si="62"/>
        <v>25.341881674723702</v>
      </c>
      <c r="DD571" s="46">
        <v>50377.38</v>
      </c>
      <c r="DE571" s="995">
        <v>1915</v>
      </c>
      <c r="DF571" s="995">
        <v>96.355999999999995</v>
      </c>
      <c r="DG571" s="995">
        <v>69.8</v>
      </c>
      <c r="DH571" s="995">
        <v>100</v>
      </c>
      <c r="DI571" s="995">
        <v>2658.6219999999998</v>
      </c>
      <c r="DJ571" s="995">
        <v>5276792</v>
      </c>
      <c r="DK571" s="995">
        <v>129.21899999999999</v>
      </c>
      <c r="DL571" s="995">
        <v>256472.8</v>
      </c>
      <c r="DM571" s="995">
        <v>1915</v>
      </c>
      <c r="DN571" s="995">
        <v>96.844999999999999</v>
      </c>
      <c r="DO571" s="995">
        <v>60.4</v>
      </c>
      <c r="DP571" s="995">
        <v>100</v>
      </c>
      <c r="DQ571" s="995">
        <v>2620.8049999999998</v>
      </c>
      <c r="DR571" s="995">
        <v>5177167</v>
      </c>
      <c r="DS571" s="995">
        <v>127.315</v>
      </c>
      <c r="DT571" s="995">
        <v>251500.3</v>
      </c>
    </row>
    <row r="572" spans="1:124">
      <c r="A572" s="42" t="s">
        <v>94</v>
      </c>
      <c r="B572" s="42" t="s">
        <v>510</v>
      </c>
      <c r="C572" s="42" t="s">
        <v>788</v>
      </c>
      <c r="D572" s="42">
        <v>809324</v>
      </c>
      <c r="E572" s="42" t="s">
        <v>793</v>
      </c>
      <c r="F572" s="42" t="s">
        <v>149</v>
      </c>
      <c r="G572" s="42" t="s">
        <v>150</v>
      </c>
      <c r="H572" s="43" t="s">
        <v>150</v>
      </c>
      <c r="I572" s="44">
        <v>70</v>
      </c>
      <c r="J572" s="45">
        <v>185426.1808</v>
      </c>
      <c r="K572" s="46">
        <v>17646.708905</v>
      </c>
      <c r="L572" s="47">
        <v>203072.88970500001</v>
      </c>
      <c r="M572" s="48">
        <v>5871764</v>
      </c>
      <c r="N572" s="49">
        <v>2711676</v>
      </c>
      <c r="O572" s="49">
        <v>3149449</v>
      </c>
      <c r="P572" s="49">
        <v>10639</v>
      </c>
      <c r="Q572" s="50">
        <v>13594.806334106701</v>
      </c>
      <c r="R572" s="51">
        <v>32519.5730044015</v>
      </c>
      <c r="S572" s="49">
        <v>53553.069594271597</v>
      </c>
      <c r="T572" s="49">
        <v>8356.5552035805795</v>
      </c>
      <c r="U572" s="49">
        <f>IFERROR(INDEX('Rentabilidad datos'!$N$2:$N$61,MATCH($C572,'Rentabilidad datos'!$C$2:$C$61,0)),"")</f>
        <v>94429.197802253679</v>
      </c>
      <c r="V572" s="50">
        <f>IFERROR(INDEX('Rentabilidad datos'!$O$2:$O$61,MATCH($C572,'Rentabilidad datos'!$C$2:$C$61,0)),"")</f>
        <v>1573.8199633708946</v>
      </c>
      <c r="W572" s="51">
        <f>IFERROR(INDEX('Rentabilidad datos'!$M$2:$M$61,MATCH($C572,'Rentabilidad datos'!$C$2:$C$61,0)),"")</f>
        <v>3293.1144020900269</v>
      </c>
      <c r="X572" s="52">
        <f>IFERROR(INDEX('Rentabilidad datos'!$P$2:$P$61,MATCH($C572,'Rentabilidad datos'!$C$2:$C$61,0)),"")</f>
        <v>0.47791232590402716</v>
      </c>
      <c r="Y572" s="43" t="s">
        <v>171</v>
      </c>
      <c r="Z572" s="53">
        <v>45.649651972157798</v>
      </c>
      <c r="AA572" s="43">
        <v>1</v>
      </c>
      <c r="AB572" s="54">
        <v>0.98851656844518954</v>
      </c>
      <c r="AC572" s="55">
        <v>1.1483431554810445E-2</v>
      </c>
      <c r="AD572" s="752" t="e">
        <f>_xlfn.XLOOKUP(Table1[[#This Row],[Ruta]],#REF!,#REF!)</f>
        <v>#REF!</v>
      </c>
      <c r="AE572" s="752" t="e">
        <f>_xlfn.XLOOKUP(Table1[[#This Row],[Ruta]],#REF!,#REF!)</f>
        <v>#REF!</v>
      </c>
      <c r="AF572" s="752" t="e">
        <f>_xlfn.XLOOKUP(Table1[[#This Row],[Ruta]],#REF!,#REF!)</f>
        <v>#REF!</v>
      </c>
      <c r="AG572" s="752" t="e">
        <f>_xlfn.XLOOKUP(Table1[[#This Row],[Ruta]],#REF!,#REF!)</f>
        <v>#REF!</v>
      </c>
      <c r="AH572" s="52">
        <v>0.46181624465833437</v>
      </c>
      <c r="AI572" s="52">
        <v>0.53637186371931844</v>
      </c>
      <c r="AJ572" s="55">
        <v>1.8118916223472197E-3</v>
      </c>
      <c r="AK572" s="56">
        <v>19675</v>
      </c>
      <c r="AL572" s="44">
        <v>12608</v>
      </c>
      <c r="AM572" s="54">
        <v>0.64081321473951702</v>
      </c>
      <c r="AN572" s="55">
        <v>0.50474202392821499</v>
      </c>
      <c r="AO572" s="56">
        <v>0</v>
      </c>
      <c r="AP572" s="48">
        <v>0</v>
      </c>
      <c r="AQ572" s="55">
        <v>0.64081321473951713</v>
      </c>
      <c r="AR572" s="51">
        <v>5859361.5300000003</v>
      </c>
      <c r="AS572" s="49">
        <v>0</v>
      </c>
      <c r="AT572" s="55">
        <v>0</v>
      </c>
      <c r="AU572" s="51">
        <v>0</v>
      </c>
      <c r="AV572" s="52">
        <v>0</v>
      </c>
      <c r="AW572" s="44">
        <v>490</v>
      </c>
      <c r="AX572" s="51">
        <v>464.73362388959401</v>
      </c>
      <c r="AY572" s="49">
        <v>443.48077645239698</v>
      </c>
      <c r="AZ572" s="49">
        <v>0</v>
      </c>
      <c r="BA572" s="42" t="s">
        <v>152</v>
      </c>
      <c r="BB572" s="50">
        <v>0</v>
      </c>
      <c r="BC572" s="57">
        <v>0</v>
      </c>
      <c r="BD572" s="42" t="s">
        <v>150</v>
      </c>
      <c r="BE572" s="46">
        <v>45.649651972157798</v>
      </c>
      <c r="BF572" s="46">
        <v>72.425990467051307</v>
      </c>
      <c r="BG572" s="42" t="s">
        <v>152</v>
      </c>
      <c r="BH572" s="52">
        <v>0.64081321473951702</v>
      </c>
      <c r="BI572" s="52">
        <v>0.49337264070319697</v>
      </c>
      <c r="BJ572" s="42" t="s">
        <v>150</v>
      </c>
      <c r="BK572" s="46">
        <v>471.166797459397</v>
      </c>
      <c r="BL572" s="46">
        <v>605.59017138979505</v>
      </c>
      <c r="BM572" s="42" t="s">
        <v>152</v>
      </c>
      <c r="BN572" s="48">
        <v>1</v>
      </c>
      <c r="BO572" s="42" t="s">
        <v>155</v>
      </c>
      <c r="BP572" s="42" t="s">
        <v>152</v>
      </c>
      <c r="BQ572" s="46">
        <v>925.16127464646195</v>
      </c>
      <c r="BR572" s="46">
        <v>73</v>
      </c>
      <c r="BS572" s="46">
        <v>3429</v>
      </c>
      <c r="BT572" s="46">
        <v>1074</v>
      </c>
      <c r="BU572" s="46">
        <v>3.1927374301675977</v>
      </c>
      <c r="BV572" s="46">
        <v>14.712328767123287</v>
      </c>
      <c r="BW572" s="46">
        <v>1074</v>
      </c>
      <c r="BX572" s="46">
        <v>0</v>
      </c>
      <c r="BY572" s="46">
        <v>1074</v>
      </c>
      <c r="BZ572" s="46">
        <v>1</v>
      </c>
      <c r="CA572" s="46">
        <v>1</v>
      </c>
      <c r="CB572" s="46">
        <v>0</v>
      </c>
      <c r="CC572" s="46">
        <v>0</v>
      </c>
      <c r="CD572" s="46">
        <v>0</v>
      </c>
      <c r="CE572" s="46">
        <v>0</v>
      </c>
      <c r="CF572" s="46">
        <v>0</v>
      </c>
      <c r="CG572" s="46">
        <v>0</v>
      </c>
      <c r="CH572" s="46">
        <v>0</v>
      </c>
      <c r="CI572" s="46">
        <v>0.58326042578011084</v>
      </c>
      <c r="CJ572" s="46">
        <v>0.87489063867016625</v>
      </c>
      <c r="CK572">
        <v>215</v>
      </c>
      <c r="CL572">
        <v>310.87</v>
      </c>
      <c r="CM572">
        <f t="shared" si="63"/>
        <v>95.87</v>
      </c>
      <c r="CN572">
        <v>5.58</v>
      </c>
      <c r="CO572">
        <v>9.4499999999999993</v>
      </c>
      <c r="CP572">
        <f t="shared" si="64"/>
        <v>3.8699999999999992</v>
      </c>
      <c r="CQ572">
        <v>846.56</v>
      </c>
      <c r="CR572">
        <v>471.17</v>
      </c>
      <c r="CS572">
        <f t="shared" si="65"/>
        <v>375.38999999999993</v>
      </c>
      <c r="CT572" t="s">
        <v>152</v>
      </c>
      <c r="CU572">
        <v>63.65</v>
      </c>
      <c r="CV572">
        <v>219</v>
      </c>
      <c r="CW572" s="46">
        <v>1074</v>
      </c>
      <c r="CX572" s="46">
        <f t="shared" si="59"/>
        <v>91.073556797020487</v>
      </c>
      <c r="CY572" s="46">
        <v>95.87</v>
      </c>
      <c r="CZ572" s="46">
        <f t="shared" si="60"/>
        <v>100</v>
      </c>
      <c r="DA572" s="46">
        <f t="shared" si="61"/>
        <v>1497.2740560917027</v>
      </c>
      <c r="DB572" s="46">
        <v>1751616</v>
      </c>
      <c r="DC572" s="46">
        <f t="shared" si="62"/>
        <v>51.629027156863586</v>
      </c>
      <c r="DD572" s="46">
        <v>60399.25</v>
      </c>
      <c r="DE572" s="995">
        <v>1074</v>
      </c>
      <c r="DF572" s="995">
        <v>92.2</v>
      </c>
      <c r="DG572" s="995">
        <v>83.8</v>
      </c>
      <c r="DH572" s="995">
        <v>100</v>
      </c>
      <c r="DI572" s="995">
        <v>4985.0230000000001</v>
      </c>
      <c r="DJ572" s="995">
        <v>5771539</v>
      </c>
      <c r="DK572" s="995">
        <v>170.52099999999999</v>
      </c>
      <c r="DL572" s="995">
        <v>197425.3</v>
      </c>
      <c r="DM572" s="995">
        <v>1074</v>
      </c>
      <c r="DN572" s="995">
        <v>93.575999999999993</v>
      </c>
      <c r="DO572" s="995">
        <v>69</v>
      </c>
      <c r="DP572" s="995">
        <v>100</v>
      </c>
      <c r="DQ572" s="995">
        <v>4850.8429999999998</v>
      </c>
      <c r="DR572" s="995">
        <v>5544474</v>
      </c>
      <c r="DS572" s="995">
        <v>165.86500000000001</v>
      </c>
      <c r="DT572" s="995">
        <v>189582.9</v>
      </c>
    </row>
    <row r="573" spans="1:124">
      <c r="A573" s="42" t="s">
        <v>94</v>
      </c>
      <c r="B573" s="42" t="s">
        <v>510</v>
      </c>
      <c r="C573" s="42" t="s">
        <v>788</v>
      </c>
      <c r="D573" s="42">
        <v>809325</v>
      </c>
      <c r="E573" s="42" t="s">
        <v>794</v>
      </c>
      <c r="F573" s="42" t="s">
        <v>149</v>
      </c>
      <c r="G573" s="42" t="s">
        <v>150</v>
      </c>
      <c r="H573" s="43" t="s">
        <v>150</v>
      </c>
      <c r="I573" s="44">
        <v>70</v>
      </c>
      <c r="J573" s="45">
        <v>242943.45039999901</v>
      </c>
      <c r="K573" s="46">
        <v>15906.787725</v>
      </c>
      <c r="L573" s="47">
        <v>258850.23812499901</v>
      </c>
      <c r="M573" s="48">
        <v>5847714</v>
      </c>
      <c r="N573" s="49">
        <v>3541299</v>
      </c>
      <c r="O573" s="49">
        <v>2303105</v>
      </c>
      <c r="P573" s="49">
        <v>3310</v>
      </c>
      <c r="Q573" s="50">
        <v>13497.471016166301</v>
      </c>
      <c r="R573" s="51">
        <v>32519.5730044015</v>
      </c>
      <c r="S573" s="49">
        <v>53553.069594271597</v>
      </c>
      <c r="T573" s="49">
        <v>8356.5552035805795</v>
      </c>
      <c r="U573" s="49">
        <f>IFERROR(INDEX('Rentabilidad datos'!$N$2:$N$61,MATCH($C573,'Rentabilidad datos'!$C$2:$C$61,0)),"")</f>
        <v>94429.197802253679</v>
      </c>
      <c r="V573" s="50">
        <f>IFERROR(INDEX('Rentabilidad datos'!$O$2:$O$61,MATCH($C573,'Rentabilidad datos'!$C$2:$C$61,0)),"")</f>
        <v>1573.8199633708946</v>
      </c>
      <c r="W573" s="51">
        <f>IFERROR(INDEX('Rentabilidad datos'!$M$2:$M$61,MATCH($C573,'Rentabilidad datos'!$C$2:$C$61,0)),"")</f>
        <v>3293.1144020900269</v>
      </c>
      <c r="X573" s="52">
        <f>IFERROR(INDEX('Rentabilidad datos'!$P$2:$P$61,MATCH($C573,'Rentabilidad datos'!$C$2:$C$61,0)),"")</f>
        <v>0.47791232590402716</v>
      </c>
      <c r="Y573" s="43" t="s">
        <v>171</v>
      </c>
      <c r="Z573" s="53">
        <v>74.408775981524201</v>
      </c>
      <c r="AA573" s="43">
        <v>1</v>
      </c>
      <c r="AB573" s="54">
        <v>0.97332342176789088</v>
      </c>
      <c r="AC573" s="55">
        <v>2.6676578232109161E-2</v>
      </c>
      <c r="AD573" s="752" t="e">
        <f>_xlfn.XLOOKUP(Table1[[#This Row],[Ruta]],#REF!,#REF!)</f>
        <v>#REF!</v>
      </c>
      <c r="AE573" s="752" t="e">
        <f>_xlfn.XLOOKUP(Table1[[#This Row],[Ruta]],#REF!,#REF!)</f>
        <v>#REF!</v>
      </c>
      <c r="AF573" s="752" t="e">
        <f>_xlfn.XLOOKUP(Table1[[#This Row],[Ruta]],#REF!,#REF!)</f>
        <v>#REF!</v>
      </c>
      <c r="AG573" s="752" t="e">
        <f>_xlfn.XLOOKUP(Table1[[#This Row],[Ruta]],#REF!,#REF!)</f>
        <v>#REF!</v>
      </c>
      <c r="AH573" s="52">
        <v>0.60558690113777791</v>
      </c>
      <c r="AI573" s="52">
        <v>0.39384706570806988</v>
      </c>
      <c r="AJ573" s="55">
        <v>5.6603315415220377E-4</v>
      </c>
      <c r="AK573" s="56">
        <v>32219</v>
      </c>
      <c r="AL573" s="44">
        <v>11862</v>
      </c>
      <c r="AM573" s="54">
        <v>0.36816785126788498</v>
      </c>
      <c r="AN573" s="55">
        <v>0.50474202392821499</v>
      </c>
      <c r="AO573" s="56">
        <v>4400.2832689431698</v>
      </c>
      <c r="AP573" s="48">
        <v>2200.1416344715849</v>
      </c>
      <c r="AQ573" s="55">
        <v>0.43645493759805037</v>
      </c>
      <c r="AR573" s="51">
        <v>5844404.9500000002</v>
      </c>
      <c r="AS573" s="49">
        <v>1084009.3288827201</v>
      </c>
      <c r="AT573" s="55">
        <v>0.1854781347556555</v>
      </c>
      <c r="AU573" s="51">
        <v>761736.28516083059</v>
      </c>
      <c r="AV573" s="52">
        <v>3.4652104462951383E-3</v>
      </c>
      <c r="AW573" s="44">
        <v>81</v>
      </c>
      <c r="AX573" s="51">
        <v>492.69979345810202</v>
      </c>
      <c r="AY573" s="49">
        <v>443.48077645239698</v>
      </c>
      <c r="AZ573" s="49">
        <v>0</v>
      </c>
      <c r="BA573" s="42" t="s">
        <v>152</v>
      </c>
      <c r="BB573" s="50">
        <v>0</v>
      </c>
      <c r="BC573" s="57">
        <v>761736.28516083059</v>
      </c>
      <c r="BD573" s="42" t="s">
        <v>150</v>
      </c>
      <c r="BE573" s="46">
        <v>74.408775981524201</v>
      </c>
      <c r="BF573" s="46">
        <v>72.425990467051307</v>
      </c>
      <c r="BG573" s="42" t="s">
        <v>150</v>
      </c>
      <c r="BH573" s="52">
        <v>0.36816785126788498</v>
      </c>
      <c r="BI573" s="52">
        <v>0.49337264070319697</v>
      </c>
      <c r="BJ573" s="42" t="s">
        <v>152</v>
      </c>
      <c r="BK573" s="46">
        <v>597.80655456119905</v>
      </c>
      <c r="BL573" s="46">
        <v>605.59017138979505</v>
      </c>
      <c r="BM573" s="42" t="s">
        <v>152</v>
      </c>
      <c r="BN573" s="48">
        <v>1</v>
      </c>
      <c r="BO573" s="42" t="s">
        <v>155</v>
      </c>
      <c r="BP573" s="42" t="s">
        <v>152</v>
      </c>
      <c r="BQ573" s="46">
        <v>4184.6658781445703</v>
      </c>
      <c r="BR573" s="46">
        <v>242</v>
      </c>
      <c r="BS573" s="46">
        <v>6928</v>
      </c>
      <c r="BT573" s="46">
        <v>2239</v>
      </c>
      <c r="BU573" s="46">
        <v>3.094238499330058</v>
      </c>
      <c r="BV573" s="46">
        <v>9.2520661157024797</v>
      </c>
      <c r="BW573" s="46">
        <v>344</v>
      </c>
      <c r="BX573" s="46">
        <v>1582</v>
      </c>
      <c r="BY573" s="46">
        <v>1926</v>
      </c>
      <c r="BZ573" s="46">
        <v>0.86020544886109873</v>
      </c>
      <c r="CA573" s="46">
        <v>0.15364001786511841</v>
      </c>
      <c r="CB573" s="46">
        <v>0.70656543099598035</v>
      </c>
      <c r="CC573" s="46">
        <v>0.11567664135774899</v>
      </c>
      <c r="CD573" s="46">
        <v>0</v>
      </c>
      <c r="CE573" s="46">
        <v>1.786511835640911E-2</v>
      </c>
      <c r="CF573" s="46">
        <v>6.2527914247431891E-3</v>
      </c>
      <c r="CG573" s="46">
        <v>0</v>
      </c>
      <c r="CH573" s="46">
        <v>0</v>
      </c>
      <c r="CI573" s="46">
        <v>0.86605080831408776</v>
      </c>
      <c r="CJ573" s="46">
        <v>0.86605080831408776</v>
      </c>
      <c r="CK573">
        <v>294</v>
      </c>
      <c r="CL573">
        <v>383.62</v>
      </c>
      <c r="CM573">
        <f t="shared" si="63"/>
        <v>89.62</v>
      </c>
      <c r="CN573">
        <v>7.64</v>
      </c>
      <c r="CO573">
        <v>9.4499999999999993</v>
      </c>
      <c r="CP573">
        <f t="shared" si="64"/>
        <v>1.8099999999999996</v>
      </c>
      <c r="CQ573">
        <v>846.56</v>
      </c>
      <c r="CR573">
        <v>597.80999999999995</v>
      </c>
      <c r="CS573">
        <f t="shared" si="65"/>
        <v>248.75</v>
      </c>
      <c r="CT573" t="s">
        <v>152</v>
      </c>
      <c r="CU573">
        <v>94.99</v>
      </c>
      <c r="CV573">
        <v>221</v>
      </c>
      <c r="CW573" s="46">
        <v>1926</v>
      </c>
      <c r="CX573" s="46">
        <f t="shared" si="59"/>
        <v>82.017865118356411</v>
      </c>
      <c r="CY573" s="46">
        <v>89.62</v>
      </c>
      <c r="CZ573" s="46">
        <f t="shared" si="60"/>
        <v>86.020544886109874</v>
      </c>
      <c r="DA573" s="46">
        <f t="shared" si="61"/>
        <v>993.24553168829618</v>
      </c>
      <c r="DB573" s="46">
        <v>2312891.41</v>
      </c>
      <c r="DC573" s="46">
        <f t="shared" si="62"/>
        <v>44.547732133194771</v>
      </c>
      <c r="DD573" s="46">
        <v>103734.74</v>
      </c>
      <c r="DE573" s="995">
        <v>1926</v>
      </c>
      <c r="DF573" s="995">
        <v>81.763999999999996</v>
      </c>
      <c r="DG573" s="995">
        <v>95.3</v>
      </c>
      <c r="DH573" s="995">
        <v>86.021000000000001</v>
      </c>
      <c r="DI573" s="995">
        <v>2835.3090000000002</v>
      </c>
      <c r="DJ573" s="995">
        <v>6618499</v>
      </c>
      <c r="DK573" s="995">
        <v>125.996</v>
      </c>
      <c r="DL573" s="995">
        <v>294113.09999999998</v>
      </c>
      <c r="DM573" s="995">
        <v>1926</v>
      </c>
      <c r="DN573" s="995">
        <v>82.04</v>
      </c>
      <c r="DO573" s="995">
        <v>89.1</v>
      </c>
      <c r="DP573" s="995">
        <v>86.021000000000001</v>
      </c>
      <c r="DQ573" s="995">
        <v>2808.8359999999998</v>
      </c>
      <c r="DR573" s="995">
        <v>6539314</v>
      </c>
      <c r="DS573" s="995">
        <v>124.92</v>
      </c>
      <c r="DT573" s="995">
        <v>290829.2</v>
      </c>
    </row>
    <row r="574" spans="1:124">
      <c r="A574" s="42" t="s">
        <v>94</v>
      </c>
      <c r="B574" s="42" t="s">
        <v>510</v>
      </c>
      <c r="C574" s="42" t="s">
        <v>788</v>
      </c>
      <c r="D574" s="42">
        <v>809326</v>
      </c>
      <c r="E574" s="42" t="s">
        <v>795</v>
      </c>
      <c r="F574" s="42" t="s">
        <v>149</v>
      </c>
      <c r="G574" s="42" t="s">
        <v>150</v>
      </c>
      <c r="H574" s="43" t="s">
        <v>150</v>
      </c>
      <c r="I574" s="44">
        <v>70</v>
      </c>
      <c r="J574" s="45">
        <v>266628.06800000003</v>
      </c>
      <c r="K574" s="46">
        <v>13255.532375000001</v>
      </c>
      <c r="L574" s="47">
        <v>279883.60037499998</v>
      </c>
      <c r="M574" s="48">
        <v>5794433</v>
      </c>
      <c r="N574" s="49">
        <v>3909805</v>
      </c>
      <c r="O574" s="49">
        <v>1876024</v>
      </c>
      <c r="P574" s="49">
        <v>8604</v>
      </c>
      <c r="Q574" s="50">
        <v>13270.2580045872</v>
      </c>
      <c r="R574" s="51">
        <v>32519.5730044015</v>
      </c>
      <c r="S574" s="49">
        <v>53553.069594271597</v>
      </c>
      <c r="T574" s="49">
        <v>8356.5552035805795</v>
      </c>
      <c r="U574" s="49">
        <f>IFERROR(INDEX('Rentabilidad datos'!$N$2:$N$61,MATCH($C574,'Rentabilidad datos'!$C$2:$C$61,0)),"")</f>
        <v>94429.197802253679</v>
      </c>
      <c r="V574" s="50">
        <f>IFERROR(INDEX('Rentabilidad datos'!$O$2:$O$61,MATCH($C574,'Rentabilidad datos'!$C$2:$C$61,0)),"")</f>
        <v>1573.8199633708946</v>
      </c>
      <c r="W574" s="51">
        <f>IFERROR(INDEX('Rentabilidad datos'!$M$2:$M$61,MATCH($C574,'Rentabilidad datos'!$C$2:$C$61,0)),"")</f>
        <v>3293.1144020900269</v>
      </c>
      <c r="X574" s="52">
        <f>IFERROR(INDEX('Rentabilidad datos'!$P$2:$P$61,MATCH($C574,'Rentabilidad datos'!$C$2:$C$61,0)),"")</f>
        <v>0.47791232590402716</v>
      </c>
      <c r="Y574" s="43" t="s">
        <v>171</v>
      </c>
      <c r="Z574" s="53">
        <v>61.321100917431203</v>
      </c>
      <c r="AA574" s="43">
        <v>1</v>
      </c>
      <c r="AB574" s="54">
        <v>0.97559692208021043</v>
      </c>
      <c r="AC574" s="55">
        <v>2.4403077919789563E-2</v>
      </c>
      <c r="AD574" s="752" t="e">
        <f>_xlfn.XLOOKUP(Table1[[#This Row],[Ruta]],#REF!,#REF!)</f>
        <v>#REF!</v>
      </c>
      <c r="AE574" s="752" t="e">
        <f>_xlfn.XLOOKUP(Table1[[#This Row],[Ruta]],#REF!,#REF!)</f>
        <v>#REF!</v>
      </c>
      <c r="AF574" s="752" t="e">
        <f>_xlfn.XLOOKUP(Table1[[#This Row],[Ruta]],#REF!,#REF!)</f>
        <v>#REF!</v>
      </c>
      <c r="AG574" s="752" t="e">
        <f>_xlfn.XLOOKUP(Table1[[#This Row],[Ruta]],#REF!,#REF!)</f>
        <v>#REF!</v>
      </c>
      <c r="AH574" s="52">
        <v>0.67475195588593395</v>
      </c>
      <c r="AI574" s="52">
        <v>0.32376317061565818</v>
      </c>
      <c r="AJ574" s="55">
        <v>1.4848734984078684E-3</v>
      </c>
      <c r="AK574" s="56">
        <v>26736</v>
      </c>
      <c r="AL574" s="44">
        <v>13183</v>
      </c>
      <c r="AM574" s="54">
        <v>0.49308049072411703</v>
      </c>
      <c r="AN574" s="55">
        <v>0.50474202392821499</v>
      </c>
      <c r="AO574" s="56">
        <v>311.78275174476403</v>
      </c>
      <c r="AP574" s="48">
        <v>155.89137587238201</v>
      </c>
      <c r="AQ574" s="55">
        <v>0.49891125732616631</v>
      </c>
      <c r="AR574" s="51">
        <v>5785832.4900000002</v>
      </c>
      <c r="AS574" s="49">
        <v>68418.522903225996</v>
      </c>
      <c r="AT574" s="55">
        <v>1.1825182118818306E-2</v>
      </c>
      <c r="AU574" s="51">
        <v>48077.880959023692</v>
      </c>
      <c r="AV574" s="52">
        <v>2.1871083021831843E-4</v>
      </c>
      <c r="AW574" s="44">
        <v>434</v>
      </c>
      <c r="AX574" s="51">
        <v>438.885874990518</v>
      </c>
      <c r="AY574" s="49">
        <v>443.48077645239698</v>
      </c>
      <c r="AZ574" s="49">
        <v>4.5949014618789761</v>
      </c>
      <c r="BA574" s="42" t="s">
        <v>150</v>
      </c>
      <c r="BB574" s="50">
        <v>21282.96263879344</v>
      </c>
      <c r="BC574" s="57">
        <v>69360.843597817133</v>
      </c>
      <c r="BD574" s="42" t="s">
        <v>150</v>
      </c>
      <c r="BE574" s="46">
        <v>61.321100917431203</v>
      </c>
      <c r="BF574" s="46">
        <v>72.425990467051307</v>
      </c>
      <c r="BG574" s="42" t="s">
        <v>152</v>
      </c>
      <c r="BH574" s="52">
        <v>0.49308049072411703</v>
      </c>
      <c r="BI574" s="52">
        <v>0.49337264070319697</v>
      </c>
      <c r="BJ574" s="42" t="s">
        <v>152</v>
      </c>
      <c r="BK574" s="46">
        <v>641.93486324541198</v>
      </c>
      <c r="BL574" s="46">
        <v>605.59017138979505</v>
      </c>
      <c r="BM574" s="42" t="s">
        <v>150</v>
      </c>
      <c r="BN574" s="48">
        <v>1</v>
      </c>
      <c r="BO574" s="42" t="s">
        <v>155</v>
      </c>
      <c r="BP574" s="42" t="s">
        <v>152</v>
      </c>
      <c r="BQ574" s="46">
        <v>3098.2699743454</v>
      </c>
      <c r="BR574" s="46">
        <v>159</v>
      </c>
      <c r="BS574" s="46">
        <v>7214</v>
      </c>
      <c r="BT574" s="46">
        <v>2361</v>
      </c>
      <c r="BU574" s="46">
        <v>3.0554849639983059</v>
      </c>
      <c r="BV574" s="46">
        <v>14.849056603773585</v>
      </c>
      <c r="BW574" s="46">
        <v>1929</v>
      </c>
      <c r="BX574" s="46">
        <v>432</v>
      </c>
      <c r="BY574" s="46">
        <v>2361</v>
      </c>
      <c r="BZ574" s="46">
        <v>1</v>
      </c>
      <c r="CA574" s="46">
        <v>0.81702668360864039</v>
      </c>
      <c r="CB574" s="46">
        <v>0.18297331639135961</v>
      </c>
      <c r="CC574" s="46">
        <v>0</v>
      </c>
      <c r="CD574" s="46">
        <v>0</v>
      </c>
      <c r="CE574" s="46">
        <v>0</v>
      </c>
      <c r="CF574" s="46">
        <v>0</v>
      </c>
      <c r="CG574" s="46">
        <v>0</v>
      </c>
      <c r="CH574" s="46">
        <v>0</v>
      </c>
      <c r="CI574" s="46">
        <v>0.55447740504574439</v>
      </c>
      <c r="CJ574" s="46">
        <v>0.41585805378430829</v>
      </c>
      <c r="CK574">
        <v>240</v>
      </c>
      <c r="CL574">
        <v>362.27</v>
      </c>
      <c r="CM574">
        <f t="shared" si="63"/>
        <v>122.26999999999998</v>
      </c>
      <c r="CN574">
        <v>6.06</v>
      </c>
      <c r="CO574">
        <v>9.4499999999999993</v>
      </c>
      <c r="CP574">
        <f t="shared" si="64"/>
        <v>3.3899999999999997</v>
      </c>
      <c r="CQ574">
        <v>846.56</v>
      </c>
      <c r="CR574">
        <v>641.92999999999995</v>
      </c>
      <c r="CS574">
        <f t="shared" si="65"/>
        <v>204.63</v>
      </c>
      <c r="CT574" t="s">
        <v>152</v>
      </c>
      <c r="CU574">
        <v>77.03</v>
      </c>
      <c r="CV574">
        <v>197</v>
      </c>
      <c r="CW574" s="46">
        <v>2361</v>
      </c>
      <c r="CX574" s="46">
        <f t="shared" si="59"/>
        <v>94.821262177043636</v>
      </c>
      <c r="CY574" s="46">
        <v>122.27</v>
      </c>
      <c r="CZ574" s="46">
        <f t="shared" si="60"/>
        <v>100</v>
      </c>
      <c r="DA574" s="46">
        <f t="shared" si="61"/>
        <v>568.32886073604561</v>
      </c>
      <c r="DB574" s="46">
        <v>1411314.01</v>
      </c>
      <c r="DC574" s="46">
        <f t="shared" si="62"/>
        <v>26.681859000430883</v>
      </c>
      <c r="DD574" s="46">
        <v>66258.259999999995</v>
      </c>
      <c r="DE574" s="995">
        <v>2361</v>
      </c>
      <c r="DF574" s="995">
        <v>94.863</v>
      </c>
      <c r="DG574" s="995">
        <v>121.3</v>
      </c>
      <c r="DH574" s="995">
        <v>100</v>
      </c>
      <c r="DI574" s="995">
        <v>2236.73</v>
      </c>
      <c r="DJ574" s="995">
        <v>5552224</v>
      </c>
      <c r="DK574" s="995">
        <v>104.631</v>
      </c>
      <c r="DL574" s="995">
        <v>259724.9</v>
      </c>
      <c r="DM574" s="995">
        <v>2361</v>
      </c>
      <c r="DN574" s="995">
        <v>94.986999999999995</v>
      </c>
      <c r="DO574" s="995">
        <v>118.4</v>
      </c>
      <c r="DP574" s="995">
        <v>100</v>
      </c>
      <c r="DQ574" s="995">
        <v>2225.3330000000001</v>
      </c>
      <c r="DR574" s="995">
        <v>5517409</v>
      </c>
      <c r="DS574" s="995">
        <v>104.127</v>
      </c>
      <c r="DT574" s="995">
        <v>258169.5</v>
      </c>
    </row>
    <row r="575" spans="1:124">
      <c r="A575" s="42" t="s">
        <v>94</v>
      </c>
      <c r="B575" s="42" t="s">
        <v>510</v>
      </c>
      <c r="C575" s="42" t="s">
        <v>788</v>
      </c>
      <c r="D575" s="42">
        <v>809327</v>
      </c>
      <c r="E575" s="42" t="s">
        <v>796</v>
      </c>
      <c r="F575" s="42" t="s">
        <v>149</v>
      </c>
      <c r="G575" s="42" t="s">
        <v>150</v>
      </c>
      <c r="H575" s="43" t="s">
        <v>150</v>
      </c>
      <c r="I575" s="44">
        <v>70</v>
      </c>
      <c r="J575" s="45">
        <v>240854.6672</v>
      </c>
      <c r="K575" s="46">
        <v>17291.901107000002</v>
      </c>
      <c r="L575" s="47">
        <v>258146.56830700001</v>
      </c>
      <c r="M575" s="48">
        <v>6079655</v>
      </c>
      <c r="N575" s="49">
        <v>3527606</v>
      </c>
      <c r="O575" s="49">
        <v>2533128</v>
      </c>
      <c r="P575" s="49">
        <v>18921</v>
      </c>
      <c r="Q575" s="50">
        <v>13932.7214252874</v>
      </c>
      <c r="R575" s="51">
        <v>32519.5730044015</v>
      </c>
      <c r="S575" s="49">
        <v>53553.069594271597</v>
      </c>
      <c r="T575" s="49">
        <v>8356.5552035805795</v>
      </c>
      <c r="U575" s="49">
        <f>IFERROR(INDEX('Rentabilidad datos'!$N$2:$N$61,MATCH($C575,'Rentabilidad datos'!$C$2:$C$61,0)),"")</f>
        <v>94429.197802253679</v>
      </c>
      <c r="V575" s="50">
        <f>IFERROR(INDEX('Rentabilidad datos'!$O$2:$O$61,MATCH($C575,'Rentabilidad datos'!$C$2:$C$61,0)),"")</f>
        <v>1573.8199633708946</v>
      </c>
      <c r="W575" s="51">
        <f>IFERROR(INDEX('Rentabilidad datos'!$M$2:$M$61,MATCH($C575,'Rentabilidad datos'!$C$2:$C$61,0)),"")</f>
        <v>3293.1144020900269</v>
      </c>
      <c r="X575" s="52">
        <f>IFERROR(INDEX('Rentabilidad datos'!$P$2:$P$61,MATCH($C575,'Rentabilidad datos'!$C$2:$C$61,0)),"")</f>
        <v>0.47791232590402716</v>
      </c>
      <c r="Y575" s="43" t="s">
        <v>171</v>
      </c>
      <c r="Z575" s="53">
        <v>70.147126436781605</v>
      </c>
      <c r="AA575" s="43">
        <v>1</v>
      </c>
      <c r="AB575" s="54">
        <v>0.99154721772863752</v>
      </c>
      <c r="AC575" s="55">
        <v>8.4527822713624367E-3</v>
      </c>
      <c r="AD575" s="752" t="e">
        <f>_xlfn.XLOOKUP(Table1[[#This Row],[Ruta]],#REF!,#REF!)</f>
        <v>#REF!</v>
      </c>
      <c r="AE575" s="752" t="e">
        <f>_xlfn.XLOOKUP(Table1[[#This Row],[Ruta]],#REF!,#REF!)</f>
        <v>#REF!</v>
      </c>
      <c r="AF575" s="752" t="e">
        <f>_xlfn.XLOOKUP(Table1[[#This Row],[Ruta]],#REF!,#REF!)</f>
        <v>#REF!</v>
      </c>
      <c r="AG575" s="752" t="e">
        <f>_xlfn.XLOOKUP(Table1[[#This Row],[Ruta]],#REF!,#REF!)</f>
        <v>#REF!</v>
      </c>
      <c r="AH575" s="52">
        <v>0.58023127957096254</v>
      </c>
      <c r="AI575" s="52">
        <v>0.41665653725416985</v>
      </c>
      <c r="AJ575" s="55">
        <v>3.112183174867653E-3</v>
      </c>
      <c r="AK575" s="56">
        <v>30514</v>
      </c>
      <c r="AL575" s="44">
        <v>16114</v>
      </c>
      <c r="AM575" s="54">
        <v>0.52808546896506503</v>
      </c>
      <c r="AN575" s="55">
        <v>0.50474202392821499</v>
      </c>
      <c r="AO575" s="56">
        <v>0</v>
      </c>
      <c r="AP575" s="48">
        <v>0</v>
      </c>
      <c r="AQ575" s="55">
        <v>0.52808546896506525</v>
      </c>
      <c r="AR575" s="51">
        <v>6060733.8200000003</v>
      </c>
      <c r="AS575" s="49">
        <v>0</v>
      </c>
      <c r="AT575" s="55">
        <v>0</v>
      </c>
      <c r="AU575" s="51">
        <v>0</v>
      </c>
      <c r="AV575" s="52">
        <v>0</v>
      </c>
      <c r="AW575" s="44">
        <v>490</v>
      </c>
      <c r="AX575" s="51">
        <v>376.11603698647099</v>
      </c>
      <c r="AY575" s="49">
        <v>443.48077645239698</v>
      </c>
      <c r="AZ575" s="49">
        <v>67.364739465925993</v>
      </c>
      <c r="BA575" s="42" t="s">
        <v>150</v>
      </c>
      <c r="BB575" s="50">
        <v>381397.30683246255</v>
      </c>
      <c r="BC575" s="57">
        <v>381397.30683246255</v>
      </c>
      <c r="BD575" s="42" t="s">
        <v>150</v>
      </c>
      <c r="BE575" s="46">
        <v>70.147126436781605</v>
      </c>
      <c r="BF575" s="46">
        <v>72.425990467051307</v>
      </c>
      <c r="BG575" s="42" t="s">
        <v>152</v>
      </c>
      <c r="BH575" s="52">
        <v>0.52808546896506503</v>
      </c>
      <c r="BI575" s="52">
        <v>0.49337264070319697</v>
      </c>
      <c r="BJ575" s="42" t="s">
        <v>150</v>
      </c>
      <c r="BK575" s="46">
        <v>593.44038691264302</v>
      </c>
      <c r="BL575" s="46">
        <v>605.59017138979505</v>
      </c>
      <c r="BM575" s="42" t="s">
        <v>152</v>
      </c>
      <c r="BN575" s="48">
        <v>1</v>
      </c>
      <c r="BO575" s="42" t="s">
        <v>155</v>
      </c>
      <c r="BP575" s="42" t="s">
        <v>152</v>
      </c>
      <c r="BQ575" s="46">
        <v>1048.2293460022299</v>
      </c>
      <c r="BR575" s="46">
        <v>66</v>
      </c>
      <c r="BS575" s="46">
        <v>4335</v>
      </c>
      <c r="BT575" s="46">
        <v>1520</v>
      </c>
      <c r="BU575" s="46">
        <v>2.8519736842105261</v>
      </c>
      <c r="BV575" s="46">
        <v>23.030303030303031</v>
      </c>
      <c r="BW575" s="46">
        <v>1184</v>
      </c>
      <c r="BX575" s="46">
        <v>336</v>
      </c>
      <c r="BY575" s="46">
        <v>1520</v>
      </c>
      <c r="BZ575" s="46">
        <v>1</v>
      </c>
      <c r="CA575" s="46">
        <v>0.77894736842105261</v>
      </c>
      <c r="CB575" s="46">
        <v>0.22105263157894742</v>
      </c>
      <c r="CC575" s="46">
        <v>0</v>
      </c>
      <c r="CD575" s="46">
        <v>0</v>
      </c>
      <c r="CE575" s="46">
        <v>0</v>
      </c>
      <c r="CF575" s="46">
        <v>0</v>
      </c>
      <c r="CG575" s="46">
        <v>0</v>
      </c>
      <c r="CH575" s="46">
        <v>0</v>
      </c>
      <c r="CI575" s="46">
        <v>1.3840830449826991</v>
      </c>
      <c r="CJ575" s="46">
        <v>0.69204152249134943</v>
      </c>
      <c r="CK575">
        <v>307</v>
      </c>
      <c r="CL575">
        <v>374.64</v>
      </c>
      <c r="CM575">
        <f t="shared" si="63"/>
        <v>67.639999999999986</v>
      </c>
      <c r="CN575">
        <v>7.24</v>
      </c>
      <c r="CO575">
        <v>9.4499999999999993</v>
      </c>
      <c r="CP575">
        <f t="shared" si="64"/>
        <v>2.2099999999999991</v>
      </c>
      <c r="CQ575">
        <v>846.56</v>
      </c>
      <c r="CR575">
        <v>593.44000000000005</v>
      </c>
      <c r="CS575">
        <f t="shared" si="65"/>
        <v>253.11999999999989</v>
      </c>
      <c r="CT575" t="s">
        <v>152</v>
      </c>
      <c r="CU575">
        <v>78.599999999999994</v>
      </c>
      <c r="CV575">
        <v>305</v>
      </c>
      <c r="CW575" s="46">
        <v>1520</v>
      </c>
      <c r="CX575" s="46">
        <f t="shared" si="59"/>
        <v>95.55</v>
      </c>
      <c r="CY575" s="46">
        <v>67.64</v>
      </c>
      <c r="CZ575" s="46">
        <f t="shared" si="60"/>
        <v>100</v>
      </c>
      <c r="DA575" s="46">
        <f t="shared" si="61"/>
        <v>866.24355647375967</v>
      </c>
      <c r="DB575" s="46">
        <v>1375282.92</v>
      </c>
      <c r="DC575" s="46">
        <f t="shared" si="62"/>
        <v>36.267888186238693</v>
      </c>
      <c r="DD575" s="46">
        <v>57580.35</v>
      </c>
      <c r="DE575" s="995">
        <v>1520</v>
      </c>
      <c r="DF575" s="995">
        <v>95.515000000000001</v>
      </c>
      <c r="DG575" s="995">
        <v>68.2</v>
      </c>
      <c r="DH575" s="995">
        <v>100</v>
      </c>
      <c r="DI575" s="995">
        <v>3645.5619999999999</v>
      </c>
      <c r="DJ575" s="995">
        <v>5789792</v>
      </c>
      <c r="DK575" s="995">
        <v>153.488</v>
      </c>
      <c r="DL575" s="995">
        <v>243765.7</v>
      </c>
      <c r="DM575" s="995">
        <v>1520</v>
      </c>
      <c r="DN575" s="995">
        <v>96.305999999999997</v>
      </c>
      <c r="DO575" s="995">
        <v>56.1</v>
      </c>
      <c r="DP575" s="995">
        <v>100</v>
      </c>
      <c r="DQ575" s="995">
        <v>3577.3139999999999</v>
      </c>
      <c r="DR575" s="995">
        <v>5638364</v>
      </c>
      <c r="DS575" s="995">
        <v>150.61000000000001</v>
      </c>
      <c r="DT575" s="995">
        <v>237383.7</v>
      </c>
    </row>
    <row r="576" spans="1:124">
      <c r="A576" s="42" t="s">
        <v>94</v>
      </c>
      <c r="B576" s="42" t="s">
        <v>510</v>
      </c>
      <c r="C576" s="42" t="s">
        <v>788</v>
      </c>
      <c r="D576" s="42">
        <v>809328</v>
      </c>
      <c r="E576" s="42" t="s">
        <v>797</v>
      </c>
      <c r="F576" s="42" t="s">
        <v>149</v>
      </c>
      <c r="G576" s="42" t="s">
        <v>150</v>
      </c>
      <c r="H576" s="43" t="s">
        <v>150</v>
      </c>
      <c r="I576" s="44">
        <v>70</v>
      </c>
      <c r="J576" s="45">
        <v>207342.553599999</v>
      </c>
      <c r="K576" s="46">
        <v>16076.594849999999</v>
      </c>
      <c r="L576" s="47">
        <v>223419.14844999899</v>
      </c>
      <c r="M576" s="48">
        <v>5022839</v>
      </c>
      <c r="N576" s="49">
        <v>2964217</v>
      </c>
      <c r="O576" s="49">
        <v>2052670</v>
      </c>
      <c r="P576" s="49">
        <v>5952</v>
      </c>
      <c r="Q576" s="50">
        <v>11506.6196788991</v>
      </c>
      <c r="R576" s="51">
        <v>32519.5730044015</v>
      </c>
      <c r="S576" s="49">
        <v>53553.069594271597</v>
      </c>
      <c r="T576" s="49">
        <v>8356.5552035805795</v>
      </c>
      <c r="U576" s="49">
        <f>IFERROR(INDEX('Rentabilidad datos'!$N$2:$N$61,MATCH($C576,'Rentabilidad datos'!$C$2:$C$61,0)),"")</f>
        <v>94429.197802253679</v>
      </c>
      <c r="V576" s="50">
        <f>IFERROR(INDEX('Rentabilidad datos'!$O$2:$O$61,MATCH($C576,'Rentabilidad datos'!$C$2:$C$61,0)),"")</f>
        <v>1573.8199633708946</v>
      </c>
      <c r="W576" s="51">
        <f>IFERROR(INDEX('Rentabilidad datos'!$M$2:$M$61,MATCH($C576,'Rentabilidad datos'!$C$2:$C$61,0)),"")</f>
        <v>3293.1144020900269</v>
      </c>
      <c r="X576" s="52">
        <f>IFERROR(INDEX('Rentabilidad datos'!$P$2:$P$61,MATCH($C576,'Rentabilidad datos'!$C$2:$C$61,0)),"")</f>
        <v>0.47791232590402716</v>
      </c>
      <c r="Y576" s="43" t="s">
        <v>171</v>
      </c>
      <c r="Z576" s="53">
        <v>65.504587155963307</v>
      </c>
      <c r="AA576" s="43">
        <v>1</v>
      </c>
      <c r="AB576" s="54">
        <v>0.9739129603795782</v>
      </c>
      <c r="AC576" s="55">
        <v>2.6087039620421838E-2</v>
      </c>
      <c r="AD576" s="752" t="e">
        <f>_xlfn.XLOOKUP(Table1[[#This Row],[Ruta]],#REF!,#REF!)</f>
        <v>#REF!</v>
      </c>
      <c r="AE576" s="752" t="e">
        <f>_xlfn.XLOOKUP(Table1[[#This Row],[Ruta]],#REF!,#REF!)</f>
        <v>#REF!</v>
      </c>
      <c r="AF576" s="752" t="e">
        <f>_xlfn.XLOOKUP(Table1[[#This Row],[Ruta]],#REF!,#REF!)</f>
        <v>#REF!</v>
      </c>
      <c r="AG576" s="752" t="e">
        <f>_xlfn.XLOOKUP(Table1[[#This Row],[Ruta]],#REF!,#REF!)</f>
        <v>#REF!</v>
      </c>
      <c r="AH576" s="52">
        <v>0.59014772322983078</v>
      </c>
      <c r="AI576" s="52">
        <v>0.40866728955477172</v>
      </c>
      <c r="AJ576" s="55">
        <v>1.1849872153975073E-3</v>
      </c>
      <c r="AK576" s="56">
        <v>28560</v>
      </c>
      <c r="AL576" s="44">
        <v>14397</v>
      </c>
      <c r="AM576" s="54">
        <v>0.50409663865546195</v>
      </c>
      <c r="AN576" s="55">
        <v>0.50474202392821499</v>
      </c>
      <c r="AO576" s="56">
        <v>18.432203389829699</v>
      </c>
      <c r="AP576" s="48">
        <v>9.2161016949148493</v>
      </c>
      <c r="AQ576" s="55">
        <v>0.50441933129183869</v>
      </c>
      <c r="AR576" s="51">
        <v>5016886.18</v>
      </c>
      <c r="AS576" s="49">
        <v>3211.5116501141201</v>
      </c>
      <c r="AT576" s="55">
        <v>6.4014042473535255E-4</v>
      </c>
      <c r="AU576" s="51">
        <v>2256.7379162964094</v>
      </c>
      <c r="AV576" s="52">
        <v>1.0266114342248428E-5</v>
      </c>
      <c r="AW576" s="44">
        <v>485</v>
      </c>
      <c r="AX576" s="51">
        <v>348.467471000903</v>
      </c>
      <c r="AY576" s="49">
        <v>443.48077645239698</v>
      </c>
      <c r="AZ576" s="49">
        <v>95.013305451493977</v>
      </c>
      <c r="BA576" s="42" t="s">
        <v>150</v>
      </c>
      <c r="BB576" s="50">
        <v>480615.81788127217</v>
      </c>
      <c r="BC576" s="57">
        <v>482872.55579756858</v>
      </c>
      <c r="BD576" s="42" t="s">
        <v>150</v>
      </c>
      <c r="BE576" s="46">
        <v>65.504587155963307</v>
      </c>
      <c r="BF576" s="46">
        <v>72.425990467051307</v>
      </c>
      <c r="BG576" s="42" t="s">
        <v>152</v>
      </c>
      <c r="BH576" s="52">
        <v>0.50409663865546195</v>
      </c>
      <c r="BI576" s="52">
        <v>0.49337264070319697</v>
      </c>
      <c r="BJ576" s="42" t="s">
        <v>150</v>
      </c>
      <c r="BK576" s="46">
        <v>512.42923956421896</v>
      </c>
      <c r="BL576" s="46">
        <v>605.59017138979505</v>
      </c>
      <c r="BM576" s="42" t="s">
        <v>152</v>
      </c>
      <c r="BN576" s="48">
        <v>1</v>
      </c>
      <c r="BO576" s="42" t="s">
        <v>155</v>
      </c>
      <c r="BP576" s="42" t="s">
        <v>152</v>
      </c>
      <c r="BQ576" s="46">
        <v>112.100338740693</v>
      </c>
      <c r="BR576" s="46">
        <v>72</v>
      </c>
      <c r="BS576" s="46">
        <v>5763</v>
      </c>
      <c r="BT576" s="46">
        <v>2054</v>
      </c>
      <c r="BU576" s="46">
        <v>2.8057448880233689</v>
      </c>
      <c r="BV576" s="46">
        <v>28.527777777777779</v>
      </c>
      <c r="BW576" s="46">
        <v>0</v>
      </c>
      <c r="BX576" s="46">
        <v>2054</v>
      </c>
      <c r="BY576" s="46">
        <v>2054</v>
      </c>
      <c r="BZ576" s="46">
        <v>1</v>
      </c>
      <c r="CA576" s="46">
        <v>0</v>
      </c>
      <c r="CB576" s="46">
        <v>1</v>
      </c>
      <c r="CC576" s="46">
        <v>0</v>
      </c>
      <c r="CD576" s="46">
        <v>0</v>
      </c>
      <c r="CE576" s="46">
        <v>0</v>
      </c>
      <c r="CF576" s="46">
        <v>0</v>
      </c>
      <c r="CG576" s="46">
        <v>0</v>
      </c>
      <c r="CH576" s="46">
        <v>0</v>
      </c>
      <c r="CI576" s="46">
        <v>2.9498525073746311</v>
      </c>
      <c r="CJ576" s="46">
        <v>1.561686621551275</v>
      </c>
      <c r="CK576">
        <v>232</v>
      </c>
      <c r="CL576">
        <v>350.57</v>
      </c>
      <c r="CM576">
        <f t="shared" si="63"/>
        <v>118.57</v>
      </c>
      <c r="CN576">
        <v>5.5</v>
      </c>
      <c r="CO576">
        <v>9.4499999999999993</v>
      </c>
      <c r="CP576">
        <f t="shared" si="64"/>
        <v>3.9499999999999993</v>
      </c>
      <c r="CQ576">
        <v>846.56</v>
      </c>
      <c r="CR576">
        <v>512.42999999999995</v>
      </c>
      <c r="CS576">
        <f t="shared" si="65"/>
        <v>334.13</v>
      </c>
      <c r="CT576" t="s">
        <v>152</v>
      </c>
      <c r="CU576">
        <v>61.77</v>
      </c>
      <c r="CV576">
        <v>211</v>
      </c>
      <c r="CW576" s="46">
        <v>2054</v>
      </c>
      <c r="CX576" s="46">
        <f t="shared" si="59"/>
        <v>94.227361246348593</v>
      </c>
      <c r="CY576" s="46">
        <v>118.57</v>
      </c>
      <c r="CZ576" s="46">
        <f t="shared" si="60"/>
        <v>100</v>
      </c>
      <c r="DA576" s="46">
        <f t="shared" si="61"/>
        <v>714.09269666800151</v>
      </c>
      <c r="DB576" s="46">
        <v>1551416.37</v>
      </c>
      <c r="DC576" s="46">
        <f t="shared" si="62"/>
        <v>34.102740072816985</v>
      </c>
      <c r="DD576" s="46">
        <v>74090.59</v>
      </c>
      <c r="DE576" s="995">
        <v>2054</v>
      </c>
      <c r="DF576" s="995">
        <v>94.572000000000003</v>
      </c>
      <c r="DG576" s="995">
        <v>111.5</v>
      </c>
      <c r="DH576" s="995">
        <v>100</v>
      </c>
      <c r="DI576" s="995">
        <v>2220.3090000000002</v>
      </c>
      <c r="DJ576" s="995">
        <v>4808059</v>
      </c>
      <c r="DK576" s="995">
        <v>101.864</v>
      </c>
      <c r="DL576" s="995">
        <v>220585.1</v>
      </c>
      <c r="DM576" s="995">
        <v>2054</v>
      </c>
      <c r="DN576" s="995">
        <v>95.251000000000005</v>
      </c>
      <c r="DO576" s="995">
        <v>97.5</v>
      </c>
      <c r="DP576" s="995">
        <v>100</v>
      </c>
      <c r="DQ576" s="995">
        <v>2167.107</v>
      </c>
      <c r="DR576" s="995">
        <v>4662618</v>
      </c>
      <c r="DS576" s="995">
        <v>99.084999999999994</v>
      </c>
      <c r="DT576" s="995">
        <v>213184.7</v>
      </c>
    </row>
    <row r="577" spans="1:124">
      <c r="A577" s="42" t="s">
        <v>94</v>
      </c>
      <c r="B577" s="42" t="s">
        <v>510</v>
      </c>
      <c r="C577" s="42" t="s">
        <v>788</v>
      </c>
      <c r="D577" s="42">
        <v>809329</v>
      </c>
      <c r="E577" s="42" t="s">
        <v>798</v>
      </c>
      <c r="F577" s="42" t="s">
        <v>149</v>
      </c>
      <c r="G577" s="42" t="s">
        <v>150</v>
      </c>
      <c r="H577" s="43" t="s">
        <v>150</v>
      </c>
      <c r="I577" s="44">
        <v>70</v>
      </c>
      <c r="J577" s="45">
        <v>150004.9264</v>
      </c>
      <c r="K577" s="46">
        <v>10199.750117</v>
      </c>
      <c r="L577" s="47">
        <v>160204.67651700001</v>
      </c>
      <c r="M577" s="48">
        <v>3858743</v>
      </c>
      <c r="N577" s="49">
        <v>2199735</v>
      </c>
      <c r="O577" s="49">
        <v>1653079</v>
      </c>
      <c r="P577" s="49">
        <v>5929</v>
      </c>
      <c r="Q577" s="50">
        <v>8830.4853669724798</v>
      </c>
      <c r="R577" s="51">
        <v>32519.5730044015</v>
      </c>
      <c r="S577" s="49">
        <v>53553.069594271597</v>
      </c>
      <c r="T577" s="49">
        <v>8356.5552035805795</v>
      </c>
      <c r="U577" s="49">
        <f>IFERROR(INDEX('Rentabilidad datos'!$N$2:$N$61,MATCH($C577,'Rentabilidad datos'!$C$2:$C$61,0)),"")</f>
        <v>94429.197802253679</v>
      </c>
      <c r="V577" s="50">
        <f>IFERROR(INDEX('Rentabilidad datos'!$O$2:$O$61,MATCH($C577,'Rentabilidad datos'!$C$2:$C$61,0)),"")</f>
        <v>1573.8199633708946</v>
      </c>
      <c r="W577" s="51">
        <f>IFERROR(INDEX('Rentabilidad datos'!$M$2:$M$61,MATCH($C577,'Rentabilidad datos'!$C$2:$C$61,0)),"")</f>
        <v>3293.1144020900269</v>
      </c>
      <c r="X577" s="52">
        <f>IFERROR(INDEX('Rentabilidad datos'!$P$2:$P$61,MATCH($C577,'Rentabilidad datos'!$C$2:$C$61,0)),"")</f>
        <v>0.47791232590402716</v>
      </c>
      <c r="Y577" s="43" t="s">
        <v>171</v>
      </c>
      <c r="Z577" s="53">
        <v>52.447247706421997</v>
      </c>
      <c r="AA577" s="43">
        <v>1</v>
      </c>
      <c r="AB577" s="54">
        <v>0.93844757217570596</v>
      </c>
      <c r="AC577" s="55">
        <v>6.1552427824294077E-2</v>
      </c>
      <c r="AD577" s="752" t="e">
        <f>_xlfn.XLOOKUP(Table1[[#This Row],[Ruta]],#REF!,#REF!)</f>
        <v>#REF!</v>
      </c>
      <c r="AE577" s="752" t="e">
        <f>_xlfn.XLOOKUP(Table1[[#This Row],[Ruta]],#REF!,#REF!)</f>
        <v>#REF!</v>
      </c>
      <c r="AF577" s="752" t="e">
        <f>_xlfn.XLOOKUP(Table1[[#This Row],[Ruta]],#REF!,#REF!)</f>
        <v>#REF!</v>
      </c>
      <c r="AG577" s="752" t="e">
        <f>_xlfn.XLOOKUP(Table1[[#This Row],[Ruta]],#REF!,#REF!)</f>
        <v>#REF!</v>
      </c>
      <c r="AH577" s="52">
        <v>0.57006517407352597</v>
      </c>
      <c r="AI577" s="52">
        <v>0.42839831520264499</v>
      </c>
      <c r="AJ577" s="55">
        <v>1.5365107238289775E-3</v>
      </c>
      <c r="AK577" s="56">
        <v>22867</v>
      </c>
      <c r="AL577" s="44">
        <v>9467</v>
      </c>
      <c r="AM577" s="54">
        <v>0.41400271133073901</v>
      </c>
      <c r="AN577" s="55">
        <v>0.50474202392821499</v>
      </c>
      <c r="AO577" s="56">
        <v>2074.9358611665002</v>
      </c>
      <c r="AP577" s="48">
        <v>1037.4679305832501</v>
      </c>
      <c r="AQ577" s="55">
        <v>0.45937236762947697</v>
      </c>
      <c r="AR577" s="51">
        <v>3850091.62</v>
      </c>
      <c r="AS577" s="49">
        <v>421923.16315171798</v>
      </c>
      <c r="AT577" s="55">
        <v>0.10958782408188976</v>
      </c>
      <c r="AU577" s="51">
        <v>296486.54707958573</v>
      </c>
      <c r="AV577" s="52">
        <v>1.3487453599630432E-3</v>
      </c>
      <c r="AW577" s="44">
        <v>246</v>
      </c>
      <c r="AX577" s="51">
        <v>406.68549910214398</v>
      </c>
      <c r="AY577" s="49">
        <v>443.48077645239698</v>
      </c>
      <c r="AZ577" s="49">
        <v>36.795277350253002</v>
      </c>
      <c r="BA577" s="42" t="s">
        <v>150</v>
      </c>
      <c r="BB577" s="50">
        <v>122390.04266954026</v>
      </c>
      <c r="BC577" s="57">
        <v>418876.589749126</v>
      </c>
      <c r="BD577" s="42" t="s">
        <v>150</v>
      </c>
      <c r="BE577" s="46">
        <v>52.447247706421997</v>
      </c>
      <c r="BF577" s="46">
        <v>72.425990467051307</v>
      </c>
      <c r="BG577" s="42" t="s">
        <v>152</v>
      </c>
      <c r="BH577" s="52">
        <v>0.41400271133073901</v>
      </c>
      <c r="BI577" s="52">
        <v>0.49337264070319697</v>
      </c>
      <c r="BJ577" s="42" t="s">
        <v>152</v>
      </c>
      <c r="BK577" s="46">
        <v>367.44191861697198</v>
      </c>
      <c r="BL577" s="46">
        <v>605.59017138979505</v>
      </c>
      <c r="BM577" s="42" t="s">
        <v>152</v>
      </c>
      <c r="BN577" s="48">
        <v>0</v>
      </c>
      <c r="BO577" s="42" t="s">
        <v>155</v>
      </c>
      <c r="BP577" s="42" t="s">
        <v>152</v>
      </c>
      <c r="BQ577" s="46">
        <v>7257.8180974357201</v>
      </c>
      <c r="BR577" s="46">
        <v>80</v>
      </c>
      <c r="BS577" s="46">
        <v>5417</v>
      </c>
      <c r="BT577" s="46">
        <v>1926</v>
      </c>
      <c r="BU577" s="46">
        <v>2.8125649013499481</v>
      </c>
      <c r="BV577" s="46">
        <v>24.074999999999999</v>
      </c>
      <c r="BW577" s="46">
        <v>470</v>
      </c>
      <c r="BX577" s="46">
        <v>1456</v>
      </c>
      <c r="BY577" s="46">
        <v>1926</v>
      </c>
      <c r="BZ577" s="46">
        <v>1</v>
      </c>
      <c r="CA577" s="46">
        <v>0.2440290758047767</v>
      </c>
      <c r="CB577" s="46">
        <v>0.75597092419522327</v>
      </c>
      <c r="CC577" s="46">
        <v>0</v>
      </c>
      <c r="CD577" s="46">
        <v>0</v>
      </c>
      <c r="CE577" s="46">
        <v>0</v>
      </c>
      <c r="CF577" s="46">
        <v>0</v>
      </c>
      <c r="CG577" s="46">
        <v>0</v>
      </c>
      <c r="CH577" s="46">
        <v>0</v>
      </c>
      <c r="CI577" s="46">
        <v>0.73841609747092485</v>
      </c>
      <c r="CJ577" s="46">
        <v>1.292228170574119</v>
      </c>
      <c r="CK577">
        <v>218</v>
      </c>
      <c r="CL577">
        <v>293.89999999999998</v>
      </c>
      <c r="CM577">
        <f t="shared" si="63"/>
        <v>75.899999999999977</v>
      </c>
      <c r="CN577">
        <v>5.6</v>
      </c>
      <c r="CO577">
        <v>9.4499999999999993</v>
      </c>
      <c r="CP577">
        <f t="shared" si="64"/>
        <v>3.8499999999999996</v>
      </c>
      <c r="CQ577">
        <v>564.37</v>
      </c>
      <c r="CR577">
        <v>367.44</v>
      </c>
      <c r="CS577">
        <f t="shared" si="65"/>
        <v>196.93</v>
      </c>
      <c r="CT577" t="s">
        <v>152</v>
      </c>
      <c r="CU577">
        <v>66</v>
      </c>
      <c r="CV577">
        <v>235</v>
      </c>
      <c r="CW577" s="46">
        <v>1926</v>
      </c>
      <c r="CX577" s="46">
        <f t="shared" si="59"/>
        <v>96.059190031152639</v>
      </c>
      <c r="CY577" s="46">
        <v>75.900000000000006</v>
      </c>
      <c r="CZ577" s="46">
        <f t="shared" si="60"/>
        <v>100</v>
      </c>
      <c r="DA577" s="46">
        <f t="shared" si="61"/>
        <v>925.621309755732</v>
      </c>
      <c r="DB577" s="46">
        <v>1853001.3</v>
      </c>
      <c r="DC577" s="46">
        <f t="shared" si="62"/>
        <v>41.356316499325644</v>
      </c>
      <c r="DD577" s="46">
        <v>82791.210000000006</v>
      </c>
      <c r="DE577" s="995">
        <v>1926</v>
      </c>
      <c r="DF577" s="995">
        <v>96.278000000000006</v>
      </c>
      <c r="DG577" s="995">
        <v>71.7</v>
      </c>
      <c r="DH577" s="995">
        <v>100</v>
      </c>
      <c r="DI577" s="995">
        <v>2297.402</v>
      </c>
      <c r="DJ577" s="995">
        <v>4589471</v>
      </c>
      <c r="DK577" s="995">
        <v>102.13200000000001</v>
      </c>
      <c r="DL577" s="995">
        <v>204027.8</v>
      </c>
      <c r="DM577" s="995">
        <v>1926</v>
      </c>
      <c r="DN577" s="995">
        <v>96.935000000000002</v>
      </c>
      <c r="DO577" s="995">
        <v>59</v>
      </c>
      <c r="DP577" s="995">
        <v>100</v>
      </c>
      <c r="DQ577" s="995">
        <v>2236.3519999999999</v>
      </c>
      <c r="DR577" s="995">
        <v>4439225</v>
      </c>
      <c r="DS577" s="995">
        <v>99.403000000000006</v>
      </c>
      <c r="DT577" s="995">
        <v>197317.8</v>
      </c>
    </row>
    <row r="578" spans="1:124">
      <c r="A578" s="42" t="s">
        <v>94</v>
      </c>
      <c r="B578" s="42" t="s">
        <v>510</v>
      </c>
      <c r="C578" s="42" t="s">
        <v>788</v>
      </c>
      <c r="D578" s="42">
        <v>809330</v>
      </c>
      <c r="E578" s="42" t="s">
        <v>799</v>
      </c>
      <c r="F578" s="42" t="s">
        <v>149</v>
      </c>
      <c r="G578" s="42" t="s">
        <v>150</v>
      </c>
      <c r="H578" s="43" t="s">
        <v>150</v>
      </c>
      <c r="I578" s="44">
        <v>70</v>
      </c>
      <c r="J578" s="45">
        <v>198194.88080000001</v>
      </c>
      <c r="K578" s="46">
        <v>10627.370256</v>
      </c>
      <c r="L578" s="47">
        <v>208822.25105600001</v>
      </c>
      <c r="M578" s="48">
        <v>4393568</v>
      </c>
      <c r="N578" s="49">
        <v>2870549</v>
      </c>
      <c r="O578" s="49">
        <v>1517161</v>
      </c>
      <c r="P578" s="49">
        <v>5858</v>
      </c>
      <c r="Q578" s="50">
        <v>10017.602054794501</v>
      </c>
      <c r="R578" s="51">
        <v>32519.5730044015</v>
      </c>
      <c r="S578" s="49">
        <v>53553.069594271597</v>
      </c>
      <c r="T578" s="49">
        <v>8356.5552035805795</v>
      </c>
      <c r="U578" s="49">
        <f>IFERROR(INDEX('Rentabilidad datos'!$N$2:$N$61,MATCH($C578,'Rentabilidad datos'!$C$2:$C$61,0)),"")</f>
        <v>94429.197802253679</v>
      </c>
      <c r="V578" s="50">
        <f>IFERROR(INDEX('Rentabilidad datos'!$O$2:$O$61,MATCH($C578,'Rentabilidad datos'!$C$2:$C$61,0)),"")</f>
        <v>1573.8199633708946</v>
      </c>
      <c r="W578" s="51">
        <f>IFERROR(INDEX('Rentabilidad datos'!$M$2:$M$61,MATCH($C578,'Rentabilidad datos'!$C$2:$C$61,0)),"")</f>
        <v>3293.1144020900269</v>
      </c>
      <c r="X578" s="52">
        <f>IFERROR(INDEX('Rentabilidad datos'!$P$2:$P$61,MATCH($C578,'Rentabilidad datos'!$C$2:$C$61,0)),"")</f>
        <v>0.47791232590402716</v>
      </c>
      <c r="Y578" s="43" t="s">
        <v>171</v>
      </c>
      <c r="Z578" s="53">
        <v>98.203196347032005</v>
      </c>
      <c r="AA578" s="43">
        <v>1</v>
      </c>
      <c r="AB578" s="54">
        <v>0.97384631352012763</v>
      </c>
      <c r="AC578" s="55">
        <v>2.6153686479872394E-2</v>
      </c>
      <c r="AD578" s="752" t="e">
        <f>_xlfn.XLOOKUP(Table1[[#This Row],[Ruta]],#REF!,#REF!)</f>
        <v>#REF!</v>
      </c>
      <c r="AE578" s="752" t="e">
        <f>_xlfn.XLOOKUP(Table1[[#This Row],[Ruta]],#REF!,#REF!)</f>
        <v>#REF!</v>
      </c>
      <c r="AF578" s="752" t="e">
        <f>_xlfn.XLOOKUP(Table1[[#This Row],[Ruta]],#REF!,#REF!)</f>
        <v>#REF!</v>
      </c>
      <c r="AG578" s="752" t="e">
        <f>_xlfn.XLOOKUP(Table1[[#This Row],[Ruta]],#REF!,#REF!)</f>
        <v>#REF!</v>
      </c>
      <c r="AH578" s="52">
        <v>0.65335258268450613</v>
      </c>
      <c r="AI578" s="52">
        <v>0.34531410461838763</v>
      </c>
      <c r="AJ578" s="55">
        <v>1.3333126971063155E-3</v>
      </c>
      <c r="AK578" s="56">
        <v>43013</v>
      </c>
      <c r="AL578" s="44">
        <v>10308</v>
      </c>
      <c r="AM578" s="54">
        <v>0.23964847836700501</v>
      </c>
      <c r="AN578" s="55">
        <v>0.50474202392821499</v>
      </c>
      <c r="AO578" s="56">
        <v>11402.4686752243</v>
      </c>
      <c r="AP578" s="48">
        <v>5701.2343376121498</v>
      </c>
      <c r="AQ578" s="55">
        <v>0.37219525114761004</v>
      </c>
      <c r="AR578" s="51">
        <v>4387709.7</v>
      </c>
      <c r="AS578" s="49">
        <v>2426790.95897497</v>
      </c>
      <c r="AT578" s="55">
        <v>0.55308831369927913</v>
      </c>
      <c r="AU578" s="51">
        <v>1705312.5657661958</v>
      </c>
      <c r="AV578" s="52">
        <v>7.7576282398622021E-3</v>
      </c>
      <c r="AW578" s="44">
        <v>10</v>
      </c>
      <c r="AX578" s="51">
        <v>425.66062281722901</v>
      </c>
      <c r="AY578" s="49">
        <v>443.48077645239698</v>
      </c>
      <c r="AZ578" s="49">
        <v>17.820153635167969</v>
      </c>
      <c r="BA578" s="42" t="s">
        <v>150</v>
      </c>
      <c r="BB578" s="50">
        <v>64539.780208839176</v>
      </c>
      <c r="BC578" s="57">
        <v>1769852.3459750349</v>
      </c>
      <c r="BD578" s="42" t="s">
        <v>150</v>
      </c>
      <c r="BE578" s="46">
        <v>98.203196347032005</v>
      </c>
      <c r="BF578" s="46">
        <v>72.425990467051307</v>
      </c>
      <c r="BG578" s="42" t="s">
        <v>150</v>
      </c>
      <c r="BH578" s="52">
        <v>0.23964847836700501</v>
      </c>
      <c r="BI578" s="52">
        <v>0.49337264070319697</v>
      </c>
      <c r="BJ578" s="42" t="s">
        <v>152</v>
      </c>
      <c r="BK578" s="46">
        <v>476.76313026483899</v>
      </c>
      <c r="BL578" s="46">
        <v>605.59017138979505</v>
      </c>
      <c r="BM578" s="42" t="s">
        <v>152</v>
      </c>
      <c r="BN578" s="48">
        <v>1</v>
      </c>
      <c r="BO578" s="42" t="s">
        <v>155</v>
      </c>
      <c r="BP578" s="42" t="s">
        <v>152</v>
      </c>
      <c r="BQ578" s="46">
        <v>3458.7460612089199</v>
      </c>
      <c r="BR578" s="46">
        <v>69</v>
      </c>
      <c r="BS578" s="46">
        <v>5610</v>
      </c>
      <c r="BT578" s="46">
        <v>1914</v>
      </c>
      <c r="BU578" s="46">
        <v>2.9310344827586206</v>
      </c>
      <c r="BV578" s="46">
        <v>27.739130434782609</v>
      </c>
      <c r="BW578" s="46">
        <v>873</v>
      </c>
      <c r="BX578" s="46">
        <v>1041</v>
      </c>
      <c r="BY578" s="46">
        <v>1914</v>
      </c>
      <c r="BZ578" s="46">
        <v>1</v>
      </c>
      <c r="CA578" s="46">
        <v>0.4561128526645768</v>
      </c>
      <c r="CB578" s="46">
        <v>0.5438871473354232</v>
      </c>
      <c r="CC578" s="46">
        <v>0</v>
      </c>
      <c r="CD578" s="46">
        <v>0</v>
      </c>
      <c r="CE578" s="46">
        <v>0</v>
      </c>
      <c r="CF578" s="46">
        <v>0</v>
      </c>
      <c r="CG578" s="46">
        <v>0</v>
      </c>
      <c r="CH578" s="46">
        <v>0</v>
      </c>
      <c r="CI578" s="46">
        <v>3.2085561497326198</v>
      </c>
      <c r="CJ578" s="46">
        <v>0.89126559714795006</v>
      </c>
      <c r="CK578">
        <v>300</v>
      </c>
      <c r="CL578">
        <v>392.72</v>
      </c>
      <c r="CM578">
        <f t="shared" si="63"/>
        <v>92.720000000000027</v>
      </c>
      <c r="CN578">
        <v>7.35</v>
      </c>
      <c r="CO578">
        <v>9.4499999999999993</v>
      </c>
      <c r="CP578">
        <f t="shared" si="64"/>
        <v>2.0999999999999996</v>
      </c>
      <c r="CQ578">
        <v>846.56</v>
      </c>
      <c r="CR578">
        <v>476.76</v>
      </c>
      <c r="CS578">
        <f t="shared" si="65"/>
        <v>369.79999999999995</v>
      </c>
      <c r="CT578" t="s">
        <v>152</v>
      </c>
      <c r="CU578">
        <v>78.650000000000006</v>
      </c>
      <c r="CV578">
        <v>308</v>
      </c>
      <c r="CW578" s="46">
        <v>1914</v>
      </c>
      <c r="CX578" s="46">
        <f t="shared" si="59"/>
        <v>95.155694879832808</v>
      </c>
      <c r="CY578" s="46">
        <v>92.72</v>
      </c>
      <c r="CZ578" s="46">
        <f t="shared" si="60"/>
        <v>100</v>
      </c>
      <c r="DA578" s="46">
        <f t="shared" si="61"/>
        <v>1359.4692234093445</v>
      </c>
      <c r="DB578" s="46">
        <v>2728074.08</v>
      </c>
      <c r="DC578" s="46">
        <f t="shared" si="62"/>
        <v>64.335452878328823</v>
      </c>
      <c r="DD578" s="46">
        <v>129103.24</v>
      </c>
      <c r="DE578" s="995">
        <v>1914</v>
      </c>
      <c r="DF578" s="995">
        <v>95.489000000000004</v>
      </c>
      <c r="DG578" s="995">
        <v>86.3</v>
      </c>
      <c r="DH578" s="995">
        <v>100</v>
      </c>
      <c r="DI578" s="995">
        <v>2647.1489999999999</v>
      </c>
      <c r="DJ578" s="995">
        <v>5295176</v>
      </c>
      <c r="DK578" s="995">
        <v>125.666</v>
      </c>
      <c r="DL578" s="995">
        <v>251373.8</v>
      </c>
      <c r="DM578" s="995">
        <v>1914</v>
      </c>
      <c r="DN578" s="995">
        <v>96.284999999999997</v>
      </c>
      <c r="DO578" s="995">
        <v>71.099999999999994</v>
      </c>
      <c r="DP578" s="995">
        <v>100</v>
      </c>
      <c r="DQ578" s="995">
        <v>2582.5079999999998</v>
      </c>
      <c r="DR578" s="995">
        <v>5126528</v>
      </c>
      <c r="DS578" s="995">
        <v>122.559</v>
      </c>
      <c r="DT578" s="995">
        <v>243292.1</v>
      </c>
    </row>
    <row r="579" spans="1:124">
      <c r="A579" s="42" t="s">
        <v>94</v>
      </c>
      <c r="B579" s="42" t="s">
        <v>510</v>
      </c>
      <c r="C579" s="42" t="s">
        <v>788</v>
      </c>
      <c r="D579" s="42">
        <v>809331</v>
      </c>
      <c r="E579" s="42" t="s">
        <v>800</v>
      </c>
      <c r="F579" s="42" t="s">
        <v>149</v>
      </c>
      <c r="G579" s="42" t="s">
        <v>150</v>
      </c>
      <c r="H579" s="43" t="s">
        <v>150</v>
      </c>
      <c r="I579" s="44">
        <v>70</v>
      </c>
      <c r="J579" s="45">
        <v>224331.0888</v>
      </c>
      <c r="K579" s="46">
        <v>11027.175724999999</v>
      </c>
      <c r="L579" s="47">
        <v>235358.26452500001</v>
      </c>
      <c r="M579" s="48">
        <v>4746994</v>
      </c>
      <c r="N579" s="49">
        <v>3268119</v>
      </c>
      <c r="O579" s="49">
        <v>1476415</v>
      </c>
      <c r="P579" s="49">
        <v>2460</v>
      </c>
      <c r="Q579" s="50">
        <v>10881.9547706422</v>
      </c>
      <c r="R579" s="51">
        <v>32519.5730044015</v>
      </c>
      <c r="S579" s="49">
        <v>53553.069594271597</v>
      </c>
      <c r="T579" s="49">
        <v>8356.5552035805795</v>
      </c>
      <c r="U579" s="49">
        <f>IFERROR(INDEX('Rentabilidad datos'!$N$2:$N$61,MATCH($C579,'Rentabilidad datos'!$C$2:$C$61,0)),"")</f>
        <v>94429.197802253679</v>
      </c>
      <c r="V579" s="50">
        <f>IFERROR(INDEX('Rentabilidad datos'!$O$2:$O$61,MATCH($C579,'Rentabilidad datos'!$C$2:$C$61,0)),"")</f>
        <v>1573.8199633708946</v>
      </c>
      <c r="W579" s="51">
        <f>IFERROR(INDEX('Rentabilidad datos'!$M$2:$M$61,MATCH($C579,'Rentabilidad datos'!$C$2:$C$61,0)),"")</f>
        <v>3293.1144020900269</v>
      </c>
      <c r="X579" s="52">
        <f>IFERROR(INDEX('Rentabilidad datos'!$P$2:$P$61,MATCH($C579,'Rentabilidad datos'!$C$2:$C$61,0)),"")</f>
        <v>0.47791232590402716</v>
      </c>
      <c r="Y579" s="43" t="s">
        <v>171</v>
      </c>
      <c r="Z579" s="53">
        <v>64.575688073394502</v>
      </c>
      <c r="AA579" s="43">
        <v>1</v>
      </c>
      <c r="AB579" s="54">
        <v>0.98530564816386956</v>
      </c>
      <c r="AC579" s="55">
        <v>1.4694351836130402E-2</v>
      </c>
      <c r="AD579" s="752" t="e">
        <f>_xlfn.XLOOKUP(Table1[[#This Row],[Ruta]],#REF!,#REF!)</f>
        <v>#REF!</v>
      </c>
      <c r="AE579" s="752" t="e">
        <f>_xlfn.XLOOKUP(Table1[[#This Row],[Ruta]],#REF!,#REF!)</f>
        <v>#REF!</v>
      </c>
      <c r="AF579" s="752" t="e">
        <f>_xlfn.XLOOKUP(Table1[[#This Row],[Ruta]],#REF!,#REF!)</f>
        <v>#REF!</v>
      </c>
      <c r="AG579" s="752" t="e">
        <f>_xlfn.XLOOKUP(Table1[[#This Row],[Ruta]],#REF!,#REF!)</f>
        <v>#REF!</v>
      </c>
      <c r="AH579" s="52">
        <v>0.68846073957540288</v>
      </c>
      <c r="AI579" s="52">
        <v>0.31102103773461692</v>
      </c>
      <c r="AJ579" s="55">
        <v>5.1822268998022751E-4</v>
      </c>
      <c r="AK579" s="56">
        <v>28155</v>
      </c>
      <c r="AL579" s="44">
        <v>9766</v>
      </c>
      <c r="AM579" s="54">
        <v>0.34686556561889498</v>
      </c>
      <c r="AN579" s="55">
        <v>0.50474202392821499</v>
      </c>
      <c r="AO579" s="56">
        <v>4445.0116836989</v>
      </c>
      <c r="AP579" s="48">
        <v>2222.50584184945</v>
      </c>
      <c r="AQ579" s="55">
        <v>0.42580379477355534</v>
      </c>
      <c r="AR579" s="51">
        <v>4744532.28</v>
      </c>
      <c r="AS579" s="49">
        <v>1079741.0105614699</v>
      </c>
      <c r="AT579" s="55">
        <v>0.22757585929238738</v>
      </c>
      <c r="AU579" s="51">
        <v>758736.92634049268</v>
      </c>
      <c r="AV579" s="52">
        <v>3.4515660791842452E-3</v>
      </c>
      <c r="AW579" s="44">
        <v>84</v>
      </c>
      <c r="AX579" s="51">
        <v>485.82144992832298</v>
      </c>
      <c r="AY579" s="49">
        <v>443.48077645239698</v>
      </c>
      <c r="AZ579" s="49">
        <v>0</v>
      </c>
      <c r="BA579" s="42" t="s">
        <v>152</v>
      </c>
      <c r="BB579" s="50">
        <v>0</v>
      </c>
      <c r="BC579" s="57">
        <v>758736.92634049268</v>
      </c>
      <c r="BD579" s="42" t="s">
        <v>150</v>
      </c>
      <c r="BE579" s="46">
        <v>64.575688073394502</v>
      </c>
      <c r="BF579" s="46">
        <v>72.425990467051307</v>
      </c>
      <c r="BG579" s="42" t="s">
        <v>152</v>
      </c>
      <c r="BH579" s="52">
        <v>0.34686556561889498</v>
      </c>
      <c r="BI579" s="52">
        <v>0.49337264070319697</v>
      </c>
      <c r="BJ579" s="42" t="s">
        <v>152</v>
      </c>
      <c r="BK579" s="46">
        <v>539.81253331421897</v>
      </c>
      <c r="BL579" s="46">
        <v>605.59017138979505</v>
      </c>
      <c r="BM579" s="42" t="s">
        <v>152</v>
      </c>
      <c r="BN579" s="48">
        <v>0</v>
      </c>
      <c r="BO579" s="42" t="s">
        <v>155</v>
      </c>
      <c r="BP579" s="42" t="s">
        <v>152</v>
      </c>
      <c r="BQ579" s="46">
        <v>7045.4173833102104</v>
      </c>
      <c r="BR579" s="46">
        <v>59</v>
      </c>
      <c r="BS579" s="46">
        <v>5480</v>
      </c>
      <c r="BT579" s="46">
        <v>2020</v>
      </c>
      <c r="BU579" s="46">
        <v>2.7128712871287131</v>
      </c>
      <c r="BV579" s="46">
        <v>34.237288135593218</v>
      </c>
      <c r="BW579" s="46">
        <v>0</v>
      </c>
      <c r="BX579" s="46">
        <v>2020</v>
      </c>
      <c r="BY579" s="46">
        <v>2020</v>
      </c>
      <c r="BZ579" s="46">
        <v>1</v>
      </c>
      <c r="CA579" s="46">
        <v>0</v>
      </c>
      <c r="CB579" s="46">
        <v>1</v>
      </c>
      <c r="CC579" s="46">
        <v>0</v>
      </c>
      <c r="CD579" s="46">
        <v>0</v>
      </c>
      <c r="CE579" s="46">
        <v>0</v>
      </c>
      <c r="CF579" s="46">
        <v>0</v>
      </c>
      <c r="CG579" s="46">
        <v>0</v>
      </c>
      <c r="CH579" s="46">
        <v>0</v>
      </c>
      <c r="CI579" s="46">
        <v>1.642335766423358</v>
      </c>
      <c r="CJ579" s="46">
        <v>0.54744525547445255</v>
      </c>
      <c r="CK579">
        <v>241</v>
      </c>
      <c r="CL579">
        <v>343.09</v>
      </c>
      <c r="CM579">
        <f t="shared" si="63"/>
        <v>102.08999999999997</v>
      </c>
      <c r="CN579">
        <v>5.57</v>
      </c>
      <c r="CO579">
        <v>9.4499999999999993</v>
      </c>
      <c r="CP579">
        <f t="shared" si="64"/>
        <v>3.879999999999999</v>
      </c>
      <c r="CQ579">
        <v>846.56</v>
      </c>
      <c r="CR579">
        <v>539.80999999999995</v>
      </c>
      <c r="CS579">
        <f t="shared" si="65"/>
        <v>306.75</v>
      </c>
      <c r="CT579" t="s">
        <v>152</v>
      </c>
      <c r="CU579">
        <v>63.77</v>
      </c>
      <c r="CV579">
        <v>238</v>
      </c>
      <c r="CW579" s="46">
        <v>2020</v>
      </c>
      <c r="CX579" s="46">
        <f t="shared" si="59"/>
        <v>94.946039603960401</v>
      </c>
      <c r="CY579" s="46">
        <v>102.09</v>
      </c>
      <c r="CZ579" s="46">
        <f t="shared" si="60"/>
        <v>100</v>
      </c>
      <c r="DA579" s="46">
        <f t="shared" si="61"/>
        <v>650.01895301330285</v>
      </c>
      <c r="DB579" s="46">
        <v>1379398.72</v>
      </c>
      <c r="DC579" s="46">
        <f t="shared" si="62"/>
        <v>31.557153560876301</v>
      </c>
      <c r="DD579" s="46">
        <v>66967.12</v>
      </c>
      <c r="DE579" s="995">
        <v>2020</v>
      </c>
      <c r="DF579" s="995">
        <v>95.144000000000005</v>
      </c>
      <c r="DG579" s="995">
        <v>98.1</v>
      </c>
      <c r="DH579" s="995">
        <v>100</v>
      </c>
      <c r="DI579" s="995">
        <v>2296.5360000000001</v>
      </c>
      <c r="DJ579" s="995">
        <v>4864272</v>
      </c>
      <c r="DK579" s="995">
        <v>111.851</v>
      </c>
      <c r="DL579" s="995">
        <v>236910.2</v>
      </c>
      <c r="DM579" s="995">
        <v>2020</v>
      </c>
      <c r="DN579" s="995">
        <v>95.738</v>
      </c>
      <c r="DO579" s="995">
        <v>86.1</v>
      </c>
      <c r="DP579" s="995">
        <v>100</v>
      </c>
      <c r="DQ579" s="995">
        <v>2247.9319999999998</v>
      </c>
      <c r="DR579" s="995">
        <v>4734363</v>
      </c>
      <c r="DS579" s="995">
        <v>109.467</v>
      </c>
      <c r="DT579" s="995">
        <v>230547.6</v>
      </c>
    </row>
    <row r="580" spans="1:124">
      <c r="A580" s="42" t="s">
        <v>94</v>
      </c>
      <c r="B580" s="42" t="s">
        <v>510</v>
      </c>
      <c r="C580" s="42" t="s">
        <v>788</v>
      </c>
      <c r="D580" s="42">
        <v>809332</v>
      </c>
      <c r="E580" s="42" t="s">
        <v>801</v>
      </c>
      <c r="F580" s="42" t="s">
        <v>149</v>
      </c>
      <c r="G580" s="42" t="s">
        <v>150</v>
      </c>
      <c r="H580" s="43" t="s">
        <v>150</v>
      </c>
      <c r="I580" s="44">
        <v>70</v>
      </c>
      <c r="J580" s="45">
        <v>162023.35519999999</v>
      </c>
      <c r="K580" s="46">
        <v>13450.652266999999</v>
      </c>
      <c r="L580" s="47">
        <v>175474.00746699999</v>
      </c>
      <c r="M580" s="48">
        <v>4395222</v>
      </c>
      <c r="N580" s="49">
        <v>2378927</v>
      </c>
      <c r="O580" s="49">
        <v>2010949</v>
      </c>
      <c r="P580" s="49">
        <v>5346</v>
      </c>
      <c r="Q580" s="50">
        <v>9864.8896853932602</v>
      </c>
      <c r="R580" s="51">
        <v>32519.5730044015</v>
      </c>
      <c r="S580" s="49">
        <v>53553.069594271597</v>
      </c>
      <c r="T580" s="49">
        <v>8356.5552035805795</v>
      </c>
      <c r="U580" s="49">
        <f>IFERROR(INDEX('Rentabilidad datos'!$N$2:$N$61,MATCH($C580,'Rentabilidad datos'!$C$2:$C$61,0)),"")</f>
        <v>94429.197802253679</v>
      </c>
      <c r="V580" s="50">
        <f>IFERROR(INDEX('Rentabilidad datos'!$O$2:$O$61,MATCH($C580,'Rentabilidad datos'!$C$2:$C$61,0)),"")</f>
        <v>1573.8199633708946</v>
      </c>
      <c r="W580" s="51">
        <f>IFERROR(INDEX('Rentabilidad datos'!$M$2:$M$61,MATCH($C580,'Rentabilidad datos'!$C$2:$C$61,0)),"")</f>
        <v>3293.1144020900269</v>
      </c>
      <c r="X580" s="52">
        <f>IFERROR(INDEX('Rentabilidad datos'!$P$2:$P$61,MATCH($C580,'Rentabilidad datos'!$C$2:$C$61,0)),"")</f>
        <v>0.47791232590402716</v>
      </c>
      <c r="Y580" s="43" t="s">
        <v>171</v>
      </c>
      <c r="Z580" s="53">
        <v>59.0022471910112</v>
      </c>
      <c r="AA580" s="43">
        <v>1</v>
      </c>
      <c r="AB580" s="54">
        <v>0.99121910110570066</v>
      </c>
      <c r="AC580" s="55">
        <v>8.7808988942993087E-3</v>
      </c>
      <c r="AD580" s="752" t="e">
        <f>_xlfn.XLOOKUP(Table1[[#This Row],[Ruta]],#REF!,#REF!)</f>
        <v>#REF!</v>
      </c>
      <c r="AE580" s="752" t="e">
        <f>_xlfn.XLOOKUP(Table1[[#This Row],[Ruta]],#REF!,#REF!)</f>
        <v>#REF!</v>
      </c>
      <c r="AF580" s="752" t="e">
        <f>_xlfn.XLOOKUP(Table1[[#This Row],[Ruta]],#REF!,#REF!)</f>
        <v>#REF!</v>
      </c>
      <c r="AG580" s="752" t="e">
        <f>_xlfn.XLOOKUP(Table1[[#This Row],[Ruta]],#REF!,#REF!)</f>
        <v>#REF!</v>
      </c>
      <c r="AH580" s="52">
        <v>0.54125297880289092</v>
      </c>
      <c r="AI580" s="52">
        <v>0.45753070038327986</v>
      </c>
      <c r="AJ580" s="55">
        <v>1.216320813829199E-3</v>
      </c>
      <c r="AK580" s="56">
        <v>26256</v>
      </c>
      <c r="AL580" s="44">
        <v>12341</v>
      </c>
      <c r="AM580" s="54">
        <v>0.470025898842169</v>
      </c>
      <c r="AN580" s="55">
        <v>0.50474202392821499</v>
      </c>
      <c r="AO580" s="56">
        <v>911.50658025922201</v>
      </c>
      <c r="AP580" s="48">
        <v>455.753290129611</v>
      </c>
      <c r="AQ580" s="55">
        <v>0.48738396138519235</v>
      </c>
      <c r="AR580" s="51">
        <v>4389875.91</v>
      </c>
      <c r="AS580" s="49">
        <v>162118.17431676699</v>
      </c>
      <c r="AT580" s="55">
        <v>3.6930012975416197E-2</v>
      </c>
      <c r="AU580" s="51">
        <v>113920.87924962009</v>
      </c>
      <c r="AV580" s="52">
        <v>5.1823686033751471E-4</v>
      </c>
      <c r="AW580" s="44">
        <v>382</v>
      </c>
      <c r="AX580" s="51">
        <v>355.714764605786</v>
      </c>
      <c r="AY580" s="49">
        <v>443.48077645239698</v>
      </c>
      <c r="AZ580" s="49">
        <v>87.766011846610979</v>
      </c>
      <c r="BA580" s="42" t="s">
        <v>150</v>
      </c>
      <c r="BB580" s="50">
        <v>380555.79942127957</v>
      </c>
      <c r="BC580" s="57">
        <v>494476.67867089965</v>
      </c>
      <c r="BD580" s="42" t="s">
        <v>150</v>
      </c>
      <c r="BE580" s="46">
        <v>59.0022471910112</v>
      </c>
      <c r="BF580" s="46">
        <v>72.425990467051307</v>
      </c>
      <c r="BG580" s="42" t="s">
        <v>152</v>
      </c>
      <c r="BH580" s="52">
        <v>0.470025898842169</v>
      </c>
      <c r="BI580" s="52">
        <v>0.49337264070319697</v>
      </c>
      <c r="BJ580" s="42" t="s">
        <v>152</v>
      </c>
      <c r="BK580" s="46">
        <v>394.32361228539298</v>
      </c>
      <c r="BL580" s="46">
        <v>605.59017138979505</v>
      </c>
      <c r="BM580" s="42" t="s">
        <v>152</v>
      </c>
      <c r="BN580" s="48">
        <v>0</v>
      </c>
      <c r="BO580" s="42" t="s">
        <v>155</v>
      </c>
      <c r="BP580" s="42" t="s">
        <v>152</v>
      </c>
      <c r="BQ580" s="46">
        <v>8983.1993267244397</v>
      </c>
      <c r="BR580" s="46">
        <v>43</v>
      </c>
      <c r="BS580" s="46">
        <v>3699</v>
      </c>
      <c r="BT580" s="46">
        <v>1345</v>
      </c>
      <c r="BU580" s="46">
        <v>2.7501858736059481</v>
      </c>
      <c r="BV580" s="46">
        <v>31.279069767441861</v>
      </c>
      <c r="BW580" s="46">
        <v>315</v>
      </c>
      <c r="BX580" s="46">
        <v>1030</v>
      </c>
      <c r="BY580" s="46">
        <v>1345</v>
      </c>
      <c r="BZ580" s="46">
        <v>1</v>
      </c>
      <c r="CA580" s="46">
        <v>0.2342007434944238</v>
      </c>
      <c r="CB580" s="46">
        <v>0.76579925650557623</v>
      </c>
      <c r="CC580" s="46">
        <v>0</v>
      </c>
      <c r="CD580" s="46">
        <v>0</v>
      </c>
      <c r="CE580" s="46">
        <v>0</v>
      </c>
      <c r="CF580" s="46">
        <v>0</v>
      </c>
      <c r="CG580" s="46">
        <v>0</v>
      </c>
      <c r="CH580" s="46">
        <v>0</v>
      </c>
      <c r="CI580" s="46">
        <v>7.5696134090294684</v>
      </c>
      <c r="CJ580" s="46">
        <v>0.27034333603676669</v>
      </c>
      <c r="CK580">
        <v>216</v>
      </c>
      <c r="CL580">
        <v>284.7</v>
      </c>
      <c r="CM580">
        <f t="shared" si="63"/>
        <v>68.699999999999989</v>
      </c>
      <c r="CN580">
        <v>5.33</v>
      </c>
      <c r="CO580">
        <v>9.4499999999999993</v>
      </c>
      <c r="CP580">
        <f t="shared" si="64"/>
        <v>4.1199999999999992</v>
      </c>
      <c r="CQ580">
        <v>564.37</v>
      </c>
      <c r="CR580">
        <v>394.32</v>
      </c>
      <c r="CS580">
        <f t="shared" si="65"/>
        <v>170.05</v>
      </c>
      <c r="CT580" t="s">
        <v>152</v>
      </c>
      <c r="CU580">
        <v>69.87</v>
      </c>
      <c r="CV580">
        <v>202</v>
      </c>
      <c r="CW580" s="46">
        <v>1345</v>
      </c>
      <c r="CX580" s="46">
        <f t="shared" si="59"/>
        <v>94.892193308550191</v>
      </c>
      <c r="CY580" s="46">
        <v>68.7</v>
      </c>
      <c r="CZ580" s="46">
        <f t="shared" si="60"/>
        <v>100</v>
      </c>
      <c r="DA580" s="46">
        <f t="shared" si="61"/>
        <v>1012.7783122303175</v>
      </c>
      <c r="DB580" s="46">
        <v>1431764.7</v>
      </c>
      <c r="DC580" s="46">
        <f t="shared" si="62"/>
        <v>40.711232934851807</v>
      </c>
      <c r="DD580" s="46">
        <v>57553.47</v>
      </c>
      <c r="DE580" s="995">
        <v>1345</v>
      </c>
      <c r="DF580" s="995">
        <v>95.176000000000002</v>
      </c>
      <c r="DG580" s="995">
        <v>64.900000000000006</v>
      </c>
      <c r="DH580" s="995">
        <v>100</v>
      </c>
      <c r="DI580" s="995">
        <v>3025.9650000000001</v>
      </c>
      <c r="DJ580" s="995">
        <v>4266258</v>
      </c>
      <c r="DK580" s="995">
        <v>121.742</v>
      </c>
      <c r="DL580" s="995">
        <v>171642.4</v>
      </c>
      <c r="DM580" s="995">
        <v>1345</v>
      </c>
      <c r="DN580" s="995">
        <v>96.027000000000001</v>
      </c>
      <c r="DO580" s="995">
        <v>53.4</v>
      </c>
      <c r="DP580" s="995">
        <v>100</v>
      </c>
      <c r="DQ580" s="995">
        <v>2942.0790000000002</v>
      </c>
      <c r="DR580" s="995">
        <v>4114302</v>
      </c>
      <c r="DS580" s="995">
        <v>118.396</v>
      </c>
      <c r="DT580" s="995">
        <v>165568.5</v>
      </c>
    </row>
    <row r="581" spans="1:124">
      <c r="A581" s="42" t="s">
        <v>94</v>
      </c>
      <c r="B581" s="42" t="s">
        <v>510</v>
      </c>
      <c r="C581" s="42" t="s">
        <v>788</v>
      </c>
      <c r="D581" s="42">
        <v>809333</v>
      </c>
      <c r="E581" s="42" t="s">
        <v>802</v>
      </c>
      <c r="F581" s="42" t="s">
        <v>149</v>
      </c>
      <c r="G581" s="42" t="s">
        <v>150</v>
      </c>
      <c r="H581" s="43" t="s">
        <v>150</v>
      </c>
      <c r="I581" s="44">
        <v>70</v>
      </c>
      <c r="J581" s="45">
        <v>139018.56080000001</v>
      </c>
      <c r="K581" s="46">
        <v>5857.8065500000002</v>
      </c>
      <c r="L581" s="47">
        <v>144876.36734999999</v>
      </c>
      <c r="M581" s="48">
        <v>2869435</v>
      </c>
      <c r="N581" s="49">
        <v>1989233</v>
      </c>
      <c r="O581" s="49">
        <v>878443</v>
      </c>
      <c r="P581" s="49">
        <v>1759</v>
      </c>
      <c r="Q581" s="50">
        <v>6687.0228045977001</v>
      </c>
      <c r="R581" s="51">
        <v>32519.5730044015</v>
      </c>
      <c r="S581" s="49">
        <v>53553.069594271597</v>
      </c>
      <c r="T581" s="49">
        <v>8356.5552035805795</v>
      </c>
      <c r="U581" s="49">
        <f>IFERROR(INDEX('Rentabilidad datos'!$N$2:$N$61,MATCH($C581,'Rentabilidad datos'!$C$2:$C$61,0)),"")</f>
        <v>94429.197802253679</v>
      </c>
      <c r="V581" s="50">
        <f>IFERROR(INDEX('Rentabilidad datos'!$O$2:$O$61,MATCH($C581,'Rentabilidad datos'!$C$2:$C$61,0)),"")</f>
        <v>1573.8199633708946</v>
      </c>
      <c r="W581" s="51">
        <f>IFERROR(INDEX('Rentabilidad datos'!$M$2:$M$61,MATCH($C581,'Rentabilidad datos'!$C$2:$C$61,0)),"")</f>
        <v>3293.1144020900269</v>
      </c>
      <c r="X581" s="52">
        <f>IFERROR(INDEX('Rentabilidad datos'!$P$2:$P$61,MATCH($C581,'Rentabilidad datos'!$C$2:$C$61,0)),"")</f>
        <v>0.47791232590402716</v>
      </c>
      <c r="Y581" s="43" t="s">
        <v>171</v>
      </c>
      <c r="Z581" s="53">
        <v>46.406896551724103</v>
      </c>
      <c r="AA581" s="43">
        <v>1</v>
      </c>
      <c r="AB581" s="54">
        <v>0.94595765368443618</v>
      </c>
      <c r="AC581" s="55">
        <v>5.4042346315563865E-2</v>
      </c>
      <c r="AD581" s="752" t="e">
        <f>_xlfn.XLOOKUP(Table1[[#This Row],[Ruta]],#REF!,#REF!)</f>
        <v>#REF!</v>
      </c>
      <c r="AE581" s="752" t="e">
        <f>_xlfn.XLOOKUP(Table1[[#This Row],[Ruta]],#REF!,#REF!)</f>
        <v>#REF!</v>
      </c>
      <c r="AF581" s="752" t="e">
        <f>_xlfn.XLOOKUP(Table1[[#This Row],[Ruta]],#REF!,#REF!)</f>
        <v>#REF!</v>
      </c>
      <c r="AG581" s="752" t="e">
        <f>_xlfn.XLOOKUP(Table1[[#This Row],[Ruta]],#REF!,#REF!)</f>
        <v>#REF!</v>
      </c>
      <c r="AH581" s="52">
        <v>0.69324901940625938</v>
      </c>
      <c r="AI581" s="52">
        <v>0.30613796792748399</v>
      </c>
      <c r="AJ581" s="55">
        <v>6.1301266625659755E-4</v>
      </c>
      <c r="AK581" s="56">
        <v>20187</v>
      </c>
      <c r="AL581" s="44">
        <v>4189</v>
      </c>
      <c r="AM581" s="54">
        <v>0.20750978352405</v>
      </c>
      <c r="AN581" s="55">
        <v>0.50474202392821499</v>
      </c>
      <c r="AO581" s="56">
        <v>6000.22723703888</v>
      </c>
      <c r="AP581" s="48">
        <v>3000.11361851944</v>
      </c>
      <c r="AQ581" s="55">
        <v>0.35612590372613268</v>
      </c>
      <c r="AR581" s="51">
        <v>2908854.92</v>
      </c>
      <c r="AS581" s="49">
        <v>2083288.4363306949</v>
      </c>
      <c r="AT581" s="55">
        <v>0.7161884980948775</v>
      </c>
      <c r="AU581" s="51">
        <v>1463932.4147188673</v>
      </c>
      <c r="AV581" s="52">
        <v>6.6595670903123955E-3</v>
      </c>
      <c r="AW581" s="44">
        <v>16</v>
      </c>
      <c r="AX581" s="51">
        <v>694.40317975650498</v>
      </c>
      <c r="AY581" s="49">
        <v>443.48077645239698</v>
      </c>
      <c r="AZ581" s="49">
        <v>0</v>
      </c>
      <c r="BA581" s="42" t="s">
        <v>152</v>
      </c>
      <c r="BB581" s="50">
        <v>0</v>
      </c>
      <c r="BC581" s="57">
        <v>1463932.4147188673</v>
      </c>
      <c r="BD581" s="42" t="s">
        <v>150</v>
      </c>
      <c r="BE581" s="46">
        <v>46.406896551724103</v>
      </c>
      <c r="BF581" s="46">
        <v>72.425990467051307</v>
      </c>
      <c r="BG581" s="42" t="s">
        <v>152</v>
      </c>
      <c r="BH581" s="52">
        <v>0.20750978352405</v>
      </c>
      <c r="BI581" s="52">
        <v>0.49337264070319697</v>
      </c>
      <c r="BJ581" s="42" t="s">
        <v>152</v>
      </c>
      <c r="BK581" s="46">
        <v>333.049120344828</v>
      </c>
      <c r="BL581" s="46">
        <v>605.59017138979505</v>
      </c>
      <c r="BM581" s="42" t="s">
        <v>152</v>
      </c>
      <c r="BN581" s="48">
        <v>0</v>
      </c>
      <c r="BO581" s="42" t="s">
        <v>155</v>
      </c>
      <c r="BP581" s="42" t="s">
        <v>152</v>
      </c>
      <c r="BQ581" s="46">
        <v>8949.5084891576498</v>
      </c>
      <c r="BR581" s="46">
        <v>71</v>
      </c>
      <c r="BS581" s="46">
        <v>3154</v>
      </c>
      <c r="BT581" s="46">
        <v>1099</v>
      </c>
      <c r="BU581" s="46">
        <v>2.8698817106460419</v>
      </c>
      <c r="BV581" s="46">
        <v>15.47887323943662</v>
      </c>
      <c r="BW581" s="46">
        <v>30</v>
      </c>
      <c r="BX581" s="46">
        <v>1069</v>
      </c>
      <c r="BY581" s="46">
        <v>1099</v>
      </c>
      <c r="BZ581" s="46">
        <v>1</v>
      </c>
      <c r="CA581" s="46">
        <v>2.7297543221110099E-2</v>
      </c>
      <c r="CB581" s="46">
        <v>0.97270245677888989</v>
      </c>
      <c r="CC581" s="46">
        <v>0</v>
      </c>
      <c r="CD581" s="46">
        <v>0</v>
      </c>
      <c r="CE581" s="46">
        <v>0</v>
      </c>
      <c r="CF581" s="46">
        <v>0</v>
      </c>
      <c r="CG581" s="46">
        <v>0</v>
      </c>
      <c r="CH581" s="46">
        <v>0</v>
      </c>
      <c r="CI581" s="46">
        <v>5.3899809765377302</v>
      </c>
      <c r="CJ581" s="46">
        <v>1.2682308180088779</v>
      </c>
      <c r="CK581">
        <v>212</v>
      </c>
      <c r="CL581">
        <v>328.04</v>
      </c>
      <c r="CM581">
        <f t="shared" si="63"/>
        <v>116.04000000000002</v>
      </c>
      <c r="CN581">
        <v>4.22</v>
      </c>
      <c r="CO581">
        <v>9.4499999999999993</v>
      </c>
      <c r="CP581">
        <f t="shared" si="64"/>
        <v>5.2299999999999995</v>
      </c>
      <c r="CQ581">
        <v>564.37</v>
      </c>
      <c r="CR581">
        <v>333.05</v>
      </c>
      <c r="CS581">
        <f t="shared" si="65"/>
        <v>231.32</v>
      </c>
      <c r="CT581" t="s">
        <v>152</v>
      </c>
      <c r="CU581">
        <v>59.61</v>
      </c>
      <c r="CV581">
        <v>232</v>
      </c>
      <c r="CW581" s="46">
        <v>1099</v>
      </c>
      <c r="CX581" s="46">
        <f t="shared" si="59"/>
        <v>89.44131028207461</v>
      </c>
      <c r="CY581" s="46">
        <v>116.04</v>
      </c>
      <c r="CZ581" s="46">
        <f t="shared" si="60"/>
        <v>100</v>
      </c>
      <c r="DA581" s="46">
        <f t="shared" si="61"/>
        <v>1584.3625230445089</v>
      </c>
      <c r="DB581" s="46">
        <v>1925063.84</v>
      </c>
      <c r="DC581" s="46">
        <f t="shared" si="62"/>
        <v>74.12921385304189</v>
      </c>
      <c r="DD581" s="46">
        <v>90069.96</v>
      </c>
      <c r="DE581" s="995">
        <v>1099</v>
      </c>
      <c r="DF581" s="995">
        <v>90.028000000000006</v>
      </c>
      <c r="DG581" s="995">
        <v>109.6</v>
      </c>
      <c r="DH581" s="995">
        <v>100</v>
      </c>
      <c r="DI581" s="995">
        <v>3969.2649999999999</v>
      </c>
      <c r="DJ581" s="995">
        <v>4797218</v>
      </c>
      <c r="DK581" s="995">
        <v>187.64</v>
      </c>
      <c r="DL581" s="995">
        <v>226779.7</v>
      </c>
      <c r="DM581" s="995">
        <v>1099</v>
      </c>
      <c r="DN581" s="995">
        <v>91.787999999999997</v>
      </c>
      <c r="DO581" s="995">
        <v>90.3</v>
      </c>
      <c r="DP581" s="995">
        <v>100</v>
      </c>
      <c r="DQ581" s="995">
        <v>3850.473</v>
      </c>
      <c r="DR581" s="995">
        <v>4579181</v>
      </c>
      <c r="DS581" s="995">
        <v>182.065</v>
      </c>
      <c r="DT581" s="995">
        <v>216520.6</v>
      </c>
    </row>
    <row r="582" spans="1:124">
      <c r="A582" s="42" t="s">
        <v>94</v>
      </c>
      <c r="B582" s="42" t="s">
        <v>510</v>
      </c>
      <c r="C582" s="42" t="s">
        <v>788</v>
      </c>
      <c r="D582" s="42">
        <v>809334</v>
      </c>
      <c r="E582" s="42" t="s">
        <v>803</v>
      </c>
      <c r="F582" s="42" t="s">
        <v>149</v>
      </c>
      <c r="G582" s="42" t="s">
        <v>150</v>
      </c>
      <c r="H582" s="43" t="s">
        <v>150</v>
      </c>
      <c r="I582" s="44">
        <v>70</v>
      </c>
      <c r="J582" s="45">
        <v>232971.53599999999</v>
      </c>
      <c r="K582" s="46">
        <v>14624.670225</v>
      </c>
      <c r="L582" s="47">
        <v>247596.206225</v>
      </c>
      <c r="M582" s="48">
        <v>5620247</v>
      </c>
      <c r="N582" s="49">
        <v>3418606</v>
      </c>
      <c r="O582" s="49">
        <v>2197261</v>
      </c>
      <c r="P582" s="49">
        <v>4380</v>
      </c>
      <c r="Q582" s="50">
        <v>12700.0798868778</v>
      </c>
      <c r="R582" s="51">
        <v>32519.5730044015</v>
      </c>
      <c r="S582" s="49">
        <v>53553.069594271597</v>
      </c>
      <c r="T582" s="49">
        <v>8356.5552035805795</v>
      </c>
      <c r="U582" s="49">
        <f>IFERROR(INDEX('Rentabilidad datos'!$N$2:$N$61,MATCH($C582,'Rentabilidad datos'!$C$2:$C$61,0)),"")</f>
        <v>94429.197802253679</v>
      </c>
      <c r="V582" s="50">
        <f>IFERROR(INDEX('Rentabilidad datos'!$O$2:$O$61,MATCH($C582,'Rentabilidad datos'!$C$2:$C$61,0)),"")</f>
        <v>1573.8199633708946</v>
      </c>
      <c r="W582" s="51">
        <f>IFERROR(INDEX('Rentabilidad datos'!$M$2:$M$61,MATCH($C582,'Rentabilidad datos'!$C$2:$C$61,0)),"")</f>
        <v>3293.1144020900269</v>
      </c>
      <c r="X582" s="52">
        <f>IFERROR(INDEX('Rentabilidad datos'!$P$2:$P$61,MATCH($C582,'Rentabilidad datos'!$C$2:$C$61,0)),"")</f>
        <v>0.47791232590402716</v>
      </c>
      <c r="Y582" s="43" t="s">
        <v>171</v>
      </c>
      <c r="Z582" s="53">
        <v>65.680995475113093</v>
      </c>
      <c r="AA582" s="43">
        <v>1</v>
      </c>
      <c r="AB582" s="54">
        <v>0.97093028117803359</v>
      </c>
      <c r="AC582" s="55">
        <v>2.9069718821966364E-2</v>
      </c>
      <c r="AD582" s="752" t="e">
        <f>_xlfn.XLOOKUP(Table1[[#This Row],[Ruta]],#REF!,#REF!)</f>
        <v>#REF!</v>
      </c>
      <c r="AE582" s="752" t="e">
        <f>_xlfn.XLOOKUP(Table1[[#This Row],[Ruta]],#REF!,#REF!)</f>
        <v>#REF!</v>
      </c>
      <c r="AF582" s="752" t="e">
        <f>_xlfn.XLOOKUP(Table1[[#This Row],[Ruta]],#REF!,#REF!)</f>
        <v>#REF!</v>
      </c>
      <c r="AG582" s="752" t="e">
        <f>_xlfn.XLOOKUP(Table1[[#This Row],[Ruta]],#REF!,#REF!)</f>
        <v>#REF!</v>
      </c>
      <c r="AH582" s="52">
        <v>0.60826614915678978</v>
      </c>
      <c r="AI582" s="52">
        <v>0.39095452566408556</v>
      </c>
      <c r="AJ582" s="55">
        <v>7.7932517912468967E-4</v>
      </c>
      <c r="AK582" s="56">
        <v>29031</v>
      </c>
      <c r="AL582" s="44">
        <v>13855</v>
      </c>
      <c r="AM582" s="54">
        <v>0.47724845854431502</v>
      </c>
      <c r="AN582" s="55">
        <v>0.50474202392821499</v>
      </c>
      <c r="AO582" s="56">
        <v>798.16569666001897</v>
      </c>
      <c r="AP582" s="48">
        <v>399.08284833000948</v>
      </c>
      <c r="AQ582" s="55">
        <v>0.49099524123626503</v>
      </c>
      <c r="AR582" s="51">
        <v>5613435.3099999996</v>
      </c>
      <c r="AS582" s="49">
        <v>161690.7796774485</v>
      </c>
      <c r="AT582" s="55">
        <v>2.8804247443522869E-2</v>
      </c>
      <c r="AU582" s="51">
        <v>113620.54788145034</v>
      </c>
      <c r="AV582" s="52">
        <v>5.1687062452256702E-4</v>
      </c>
      <c r="AW582" s="44">
        <v>383</v>
      </c>
      <c r="AX582" s="51">
        <v>405.15592277156298</v>
      </c>
      <c r="AY582" s="49">
        <v>443.48077645239698</v>
      </c>
      <c r="AZ582" s="49">
        <v>38.324853680833996</v>
      </c>
      <c r="BA582" s="42" t="s">
        <v>150</v>
      </c>
      <c r="BB582" s="50">
        <v>186564.35191144372</v>
      </c>
      <c r="BC582" s="57">
        <v>300184.89979289408</v>
      </c>
      <c r="BD582" s="42" t="s">
        <v>150</v>
      </c>
      <c r="BE582" s="46">
        <v>65.680995475113093</v>
      </c>
      <c r="BF582" s="46">
        <v>72.425990467051307</v>
      </c>
      <c r="BG582" s="42" t="s">
        <v>152</v>
      </c>
      <c r="BH582" s="52">
        <v>0.47724845854431502</v>
      </c>
      <c r="BI582" s="52">
        <v>0.49337264070319697</v>
      </c>
      <c r="BJ582" s="42" t="s">
        <v>152</v>
      </c>
      <c r="BK582" s="46">
        <v>560.17241227375496</v>
      </c>
      <c r="BL582" s="46">
        <v>605.59017138979505</v>
      </c>
      <c r="BM582" s="42" t="s">
        <v>152</v>
      </c>
      <c r="BN582" s="48">
        <v>0</v>
      </c>
      <c r="BO582" s="42" t="s">
        <v>155</v>
      </c>
      <c r="BP582" s="42" t="s">
        <v>152</v>
      </c>
      <c r="BQ582" s="46">
        <v>4684.9957693543201</v>
      </c>
      <c r="BR582" s="46">
        <v>74</v>
      </c>
      <c r="BS582" s="46">
        <v>2856</v>
      </c>
      <c r="BT582" s="46">
        <v>1046</v>
      </c>
      <c r="BU582" s="46">
        <v>2.7304015296367115</v>
      </c>
      <c r="BV582" s="46">
        <v>14.135135135135135</v>
      </c>
      <c r="BW582" s="46">
        <v>0</v>
      </c>
      <c r="BX582" s="46">
        <v>1046</v>
      </c>
      <c r="BY582" s="46">
        <v>1046</v>
      </c>
      <c r="BZ582" s="46">
        <v>1</v>
      </c>
      <c r="CA582" s="46">
        <v>0</v>
      </c>
      <c r="CB582" s="46">
        <v>1</v>
      </c>
      <c r="CC582" s="46">
        <v>0</v>
      </c>
      <c r="CD582" s="46">
        <v>0</v>
      </c>
      <c r="CE582" s="46">
        <v>0</v>
      </c>
      <c r="CF582" s="46">
        <v>0</v>
      </c>
      <c r="CG582" s="46">
        <v>0</v>
      </c>
      <c r="CH582" s="46">
        <v>0</v>
      </c>
      <c r="CI582" s="46">
        <v>6.6526610644257707</v>
      </c>
      <c r="CJ582" s="46">
        <v>2.1008403361344539</v>
      </c>
      <c r="CK582">
        <v>235</v>
      </c>
      <c r="CL582">
        <v>318.56</v>
      </c>
      <c r="CM582">
        <f t="shared" si="63"/>
        <v>83.56</v>
      </c>
      <c r="CN582">
        <v>6.29</v>
      </c>
      <c r="CO582">
        <v>9.4499999999999993</v>
      </c>
      <c r="CP582">
        <f t="shared" si="64"/>
        <v>3.1599999999999993</v>
      </c>
      <c r="CQ582">
        <v>846.56</v>
      </c>
      <c r="CR582">
        <v>560.16999999999996</v>
      </c>
      <c r="CS582">
        <f t="shared" si="65"/>
        <v>286.39</v>
      </c>
      <c r="CT582" t="s">
        <v>152</v>
      </c>
      <c r="CU582">
        <v>72.400000000000006</v>
      </c>
      <c r="CV582">
        <v>211</v>
      </c>
      <c r="CW582" s="46">
        <v>1046</v>
      </c>
      <c r="CX582" s="46">
        <f t="shared" ref="CX582:CX645" si="66">((CW582-CY582)/BT582)*100</f>
        <v>92.011472275334611</v>
      </c>
      <c r="CY582" s="46">
        <v>83.56</v>
      </c>
      <c r="CZ582" s="46">
        <f t="shared" ref="CZ582:CZ645" si="67">((CW582)/BT582)*100</f>
        <v>100</v>
      </c>
      <c r="DA582" s="46">
        <f t="shared" ref="DA582:DA645" si="68">DB582/(CY582+BT582)</f>
        <v>908.41912780197606</v>
      </c>
      <c r="DB582" s="46">
        <v>1026113.91</v>
      </c>
      <c r="DC582" s="46">
        <f t="shared" ref="DC582:DC645" si="69">DD582/(CY582+BT582)</f>
        <v>37.930592443075177</v>
      </c>
      <c r="DD582" s="46">
        <v>42844.88</v>
      </c>
      <c r="DE582" s="995">
        <v>1046</v>
      </c>
      <c r="DF582" s="995">
        <v>92.177999999999997</v>
      </c>
      <c r="DG582" s="995">
        <v>81.8</v>
      </c>
      <c r="DH582" s="995">
        <v>100</v>
      </c>
      <c r="DI582" s="995">
        <v>4454.9260000000004</v>
      </c>
      <c r="DJ582" s="995">
        <v>5024355</v>
      </c>
      <c r="DK582" s="995">
        <v>183.22300000000001</v>
      </c>
      <c r="DL582" s="995">
        <v>206642.3</v>
      </c>
      <c r="DM582" s="995">
        <v>1046</v>
      </c>
      <c r="DN582" s="995">
        <v>93.558000000000007</v>
      </c>
      <c r="DO582" s="995">
        <v>67.400000000000006</v>
      </c>
      <c r="DP582" s="995">
        <v>100</v>
      </c>
      <c r="DQ582" s="995">
        <v>4352.8760000000002</v>
      </c>
      <c r="DR582" s="995">
        <v>4846410</v>
      </c>
      <c r="DS582" s="995">
        <v>178.941</v>
      </c>
      <c r="DT582" s="995">
        <v>199230.1</v>
      </c>
    </row>
    <row r="583" spans="1:124">
      <c r="A583" s="42" t="s">
        <v>94</v>
      </c>
      <c r="B583" s="42" t="s">
        <v>510</v>
      </c>
      <c r="C583" s="42" t="s">
        <v>788</v>
      </c>
      <c r="D583" s="42">
        <v>809335</v>
      </c>
      <c r="E583" s="42" t="s">
        <v>804</v>
      </c>
      <c r="F583" s="42" t="s">
        <v>149</v>
      </c>
      <c r="G583" s="42" t="s">
        <v>150</v>
      </c>
      <c r="H583" s="43" t="s">
        <v>150</v>
      </c>
      <c r="I583" s="44">
        <v>70</v>
      </c>
      <c r="J583" s="45">
        <v>187891.86079999999</v>
      </c>
      <c r="K583" s="46">
        <v>11823.85615</v>
      </c>
      <c r="L583" s="47">
        <v>199715.71695</v>
      </c>
      <c r="M583" s="48">
        <v>4528966</v>
      </c>
      <c r="N583" s="49">
        <v>2760864</v>
      </c>
      <c r="O583" s="49">
        <v>1762846</v>
      </c>
      <c r="P583" s="49">
        <v>5256</v>
      </c>
      <c r="Q583" s="50">
        <v>10370.3743577982</v>
      </c>
      <c r="R583" s="51">
        <v>32519.5730044015</v>
      </c>
      <c r="S583" s="49">
        <v>53553.069594271597</v>
      </c>
      <c r="T583" s="49">
        <v>8356.5552035805795</v>
      </c>
      <c r="U583" s="49">
        <f>IFERROR(INDEX('Rentabilidad datos'!$N$2:$N$61,MATCH($C583,'Rentabilidad datos'!$C$2:$C$61,0)),"")</f>
        <v>94429.197802253679</v>
      </c>
      <c r="V583" s="50">
        <f>IFERROR(INDEX('Rentabilidad datos'!$O$2:$O$61,MATCH($C583,'Rentabilidad datos'!$C$2:$C$61,0)),"")</f>
        <v>1573.8199633708946</v>
      </c>
      <c r="W583" s="51">
        <f>IFERROR(INDEX('Rentabilidad datos'!$M$2:$M$61,MATCH($C583,'Rentabilidad datos'!$C$2:$C$61,0)),"")</f>
        <v>3293.1144020900269</v>
      </c>
      <c r="X583" s="52">
        <f>IFERROR(INDEX('Rentabilidad datos'!$P$2:$P$61,MATCH($C583,'Rentabilidad datos'!$C$2:$C$61,0)),"")</f>
        <v>0.47791232590402716</v>
      </c>
      <c r="Y583" s="43" t="s">
        <v>171</v>
      </c>
      <c r="Z583" s="53">
        <v>59.029816513761503</v>
      </c>
      <c r="AA583" s="43">
        <v>1</v>
      </c>
      <c r="AB583" s="54">
        <v>0.99563366119330554</v>
      </c>
      <c r="AC583" s="55">
        <v>4.3663388066945081E-3</v>
      </c>
      <c r="AD583" s="752" t="e">
        <f>_xlfn.XLOOKUP(Table1[[#This Row],[Ruta]],#REF!,#REF!)</f>
        <v>#REF!</v>
      </c>
      <c r="AE583" s="752" t="e">
        <f>_xlfn.XLOOKUP(Table1[[#This Row],[Ruta]],#REF!,#REF!)</f>
        <v>#REF!</v>
      </c>
      <c r="AF583" s="752" t="e">
        <f>_xlfn.XLOOKUP(Table1[[#This Row],[Ruta]],#REF!,#REF!)</f>
        <v>#REF!</v>
      </c>
      <c r="AG583" s="752" t="e">
        <f>_xlfn.XLOOKUP(Table1[[#This Row],[Ruta]],#REF!,#REF!)</f>
        <v>#REF!</v>
      </c>
      <c r="AH583" s="52">
        <v>0.60960139687513659</v>
      </c>
      <c r="AI583" s="52">
        <v>0.38923807332622945</v>
      </c>
      <c r="AJ583" s="55">
        <v>1.1605297986339487E-3</v>
      </c>
      <c r="AK583" s="56">
        <v>25737</v>
      </c>
      <c r="AL583" s="44">
        <v>11089</v>
      </c>
      <c r="AM583" s="54">
        <v>0.43085829739285902</v>
      </c>
      <c r="AN583" s="55">
        <v>0.50474202392821499</v>
      </c>
      <c r="AO583" s="56">
        <v>1901.5454698404801</v>
      </c>
      <c r="AP583" s="48">
        <v>950.77273492024005</v>
      </c>
      <c r="AQ583" s="55">
        <v>0.46780016066053698</v>
      </c>
      <c r="AR583" s="51">
        <v>4521483.22</v>
      </c>
      <c r="AS583" s="49">
        <v>387672.73577196902</v>
      </c>
      <c r="AT583" s="55">
        <v>8.5740169079289219E-2</v>
      </c>
      <c r="AU583" s="51">
        <v>272418.67919111345</v>
      </c>
      <c r="AV583" s="52">
        <v>1.2392583513330467E-3</v>
      </c>
      <c r="AW583" s="44">
        <v>267</v>
      </c>
      <c r="AX583" s="51">
        <v>407.74490215528903</v>
      </c>
      <c r="AY583" s="49">
        <v>443.48077645239698</v>
      </c>
      <c r="AZ583" s="49">
        <v>35.735874297107955</v>
      </c>
      <c r="BA583" s="42" t="s">
        <v>150</v>
      </c>
      <c r="BB583" s="50">
        <v>139231.79543373495</v>
      </c>
      <c r="BC583" s="57">
        <v>411650.4746248484</v>
      </c>
      <c r="BD583" s="42" t="s">
        <v>150</v>
      </c>
      <c r="BE583" s="46">
        <v>59.029816513761503</v>
      </c>
      <c r="BF583" s="46">
        <v>72.425990467051307</v>
      </c>
      <c r="BG583" s="42" t="s">
        <v>152</v>
      </c>
      <c r="BH583" s="52">
        <v>0.43085829739285902</v>
      </c>
      <c r="BI583" s="52">
        <v>0.49337264070319697</v>
      </c>
      <c r="BJ583" s="42" t="s">
        <v>152</v>
      </c>
      <c r="BK583" s="46">
        <v>458.06357098623801</v>
      </c>
      <c r="BL583" s="46">
        <v>605.59017138979505</v>
      </c>
      <c r="BM583" s="42" t="s">
        <v>152</v>
      </c>
      <c r="BN583" s="48">
        <v>0</v>
      </c>
      <c r="BO583" s="42" t="s">
        <v>155</v>
      </c>
      <c r="BP583" s="42" t="s">
        <v>152</v>
      </c>
      <c r="BQ583" s="46">
        <v>5058.9203671573596</v>
      </c>
      <c r="BR583" s="46">
        <v>47</v>
      </c>
      <c r="BS583" s="46">
        <v>4133</v>
      </c>
      <c r="BT583" s="46">
        <v>1520</v>
      </c>
      <c r="BU583" s="46">
        <v>2.7190789473684212</v>
      </c>
      <c r="BV583" s="46">
        <v>32.340425531914896</v>
      </c>
      <c r="BW583" s="46">
        <v>1306</v>
      </c>
      <c r="BX583" s="46">
        <v>214</v>
      </c>
      <c r="BY583" s="46">
        <v>1520</v>
      </c>
      <c r="BZ583" s="46">
        <v>1</v>
      </c>
      <c r="CA583" s="46">
        <v>0.85921052631578942</v>
      </c>
      <c r="CB583" s="46">
        <v>0.14078947368421049</v>
      </c>
      <c r="CC583" s="46">
        <v>0</v>
      </c>
      <c r="CD583" s="46">
        <v>0</v>
      </c>
      <c r="CE583" s="46">
        <v>0</v>
      </c>
      <c r="CF583" s="46">
        <v>0</v>
      </c>
      <c r="CG583" s="46">
        <v>0</v>
      </c>
      <c r="CH583" s="46">
        <v>0</v>
      </c>
      <c r="CI583" s="46">
        <v>1.209774981853375</v>
      </c>
      <c r="CJ583" s="46">
        <v>0.96781998548270021</v>
      </c>
      <c r="CK583">
        <v>213</v>
      </c>
      <c r="CL583">
        <v>344.1</v>
      </c>
      <c r="CM583">
        <f t="shared" si="63"/>
        <v>131.10000000000002</v>
      </c>
      <c r="CN583">
        <v>5.32</v>
      </c>
      <c r="CO583">
        <v>9.4499999999999993</v>
      </c>
      <c r="CP583">
        <f t="shared" si="64"/>
        <v>4.129999999999999</v>
      </c>
      <c r="CQ583">
        <v>846.56</v>
      </c>
      <c r="CR583">
        <v>458.06</v>
      </c>
      <c r="CS583">
        <f t="shared" si="65"/>
        <v>388.49999999999994</v>
      </c>
      <c r="CT583" t="s">
        <v>152</v>
      </c>
      <c r="CU583">
        <v>60.38</v>
      </c>
      <c r="CV583">
        <v>217</v>
      </c>
      <c r="CW583" s="46">
        <v>1520</v>
      </c>
      <c r="CX583" s="46">
        <f t="shared" si="66"/>
        <v>91.375</v>
      </c>
      <c r="CY583" s="46">
        <v>131.1</v>
      </c>
      <c r="CZ583" s="46">
        <f t="shared" si="67"/>
        <v>100</v>
      </c>
      <c r="DA583" s="46">
        <f t="shared" si="68"/>
        <v>1221.3497849918235</v>
      </c>
      <c r="DB583" s="46">
        <v>2016570.63</v>
      </c>
      <c r="DC583" s="46">
        <f t="shared" si="69"/>
        <v>52.038065532069531</v>
      </c>
      <c r="DD583" s="46">
        <v>85920.05</v>
      </c>
      <c r="DE583" s="995">
        <v>1520</v>
      </c>
      <c r="DF583" s="995">
        <v>92.504000000000005</v>
      </c>
      <c r="DG583" s="995">
        <v>113.9</v>
      </c>
      <c r="DH583" s="995">
        <v>100</v>
      </c>
      <c r="DI583" s="995">
        <v>3121.1489999999999</v>
      </c>
      <c r="DJ583" s="995">
        <v>5099774</v>
      </c>
      <c r="DK583" s="995">
        <v>132.583</v>
      </c>
      <c r="DL583" s="995">
        <v>216632.5</v>
      </c>
      <c r="DM583" s="995">
        <v>1520</v>
      </c>
      <c r="DN583" s="995">
        <v>93.826999999999998</v>
      </c>
      <c r="DO583" s="995">
        <v>93.8</v>
      </c>
      <c r="DP583" s="995">
        <v>100</v>
      </c>
      <c r="DQ583" s="995">
        <v>3004.2080000000001</v>
      </c>
      <c r="DR583" s="995">
        <v>4848293</v>
      </c>
      <c r="DS583" s="995">
        <v>127.625</v>
      </c>
      <c r="DT583" s="995">
        <v>205966.2</v>
      </c>
    </row>
    <row r="584" spans="1:124">
      <c r="A584" s="42" t="s">
        <v>94</v>
      </c>
      <c r="B584" s="42" t="s">
        <v>510</v>
      </c>
      <c r="C584" s="42" t="s">
        <v>788</v>
      </c>
      <c r="D584" s="42">
        <v>809336</v>
      </c>
      <c r="E584" s="42" t="s">
        <v>805</v>
      </c>
      <c r="F584" s="42" t="s">
        <v>149</v>
      </c>
      <c r="G584" s="42" t="s">
        <v>150</v>
      </c>
      <c r="H584" s="43" t="s">
        <v>150</v>
      </c>
      <c r="I584" s="44">
        <v>70</v>
      </c>
      <c r="J584" s="45">
        <v>147222.2304</v>
      </c>
      <c r="K584" s="46">
        <v>9603.9770590000007</v>
      </c>
      <c r="L584" s="47">
        <v>156826.207459</v>
      </c>
      <c r="M584" s="48">
        <v>3642778</v>
      </c>
      <c r="N584" s="49">
        <v>2164277</v>
      </c>
      <c r="O584" s="49">
        <v>1474762</v>
      </c>
      <c r="P584" s="49">
        <v>3739</v>
      </c>
      <c r="Q584" s="50">
        <v>8384.8805990783403</v>
      </c>
      <c r="R584" s="51">
        <v>32519.5730044015</v>
      </c>
      <c r="S584" s="49">
        <v>53553.069594271597</v>
      </c>
      <c r="T584" s="49">
        <v>8356.5552035805795</v>
      </c>
      <c r="U584" s="49">
        <f>IFERROR(INDEX('Rentabilidad datos'!$N$2:$N$61,MATCH($C584,'Rentabilidad datos'!$C$2:$C$61,0)),"")</f>
        <v>94429.197802253679</v>
      </c>
      <c r="V584" s="50">
        <f>IFERROR(INDEX('Rentabilidad datos'!$O$2:$O$61,MATCH($C584,'Rentabilidad datos'!$C$2:$C$61,0)),"")</f>
        <v>1573.8199633708946</v>
      </c>
      <c r="W584" s="51">
        <f>IFERROR(INDEX('Rentabilidad datos'!$M$2:$M$61,MATCH($C584,'Rentabilidad datos'!$C$2:$C$61,0)),"")</f>
        <v>3293.1144020900269</v>
      </c>
      <c r="X584" s="52">
        <f>IFERROR(INDEX('Rentabilidad datos'!$P$2:$P$61,MATCH($C584,'Rentabilidad datos'!$C$2:$C$61,0)),"")</f>
        <v>0.47791232590402716</v>
      </c>
      <c r="Y584" s="43" t="s">
        <v>171</v>
      </c>
      <c r="Z584" s="53">
        <v>69.6797235023041</v>
      </c>
      <c r="AA584" s="43">
        <v>1</v>
      </c>
      <c r="AB584" s="54">
        <v>0.98541909498739699</v>
      </c>
      <c r="AC584" s="55">
        <v>1.4580905012603019E-2</v>
      </c>
      <c r="AD584" s="752" t="e">
        <f>_xlfn.XLOOKUP(Table1[[#This Row],[Ruta]],#REF!,#REF!)</f>
        <v>#REF!</v>
      </c>
      <c r="AE584" s="752" t="e">
        <f>_xlfn.XLOOKUP(Table1[[#This Row],[Ruta]],#REF!,#REF!)</f>
        <v>#REF!</v>
      </c>
      <c r="AF584" s="752" t="e">
        <f>_xlfn.XLOOKUP(Table1[[#This Row],[Ruta]],#REF!,#REF!)</f>
        <v>#REF!</v>
      </c>
      <c r="AG584" s="752" t="e">
        <f>_xlfn.XLOOKUP(Table1[[#This Row],[Ruta]],#REF!,#REF!)</f>
        <v>#REF!</v>
      </c>
      <c r="AH584" s="52">
        <v>0.59412816262753321</v>
      </c>
      <c r="AI584" s="52">
        <v>0.40484542291624687</v>
      </c>
      <c r="AJ584" s="55">
        <v>1.0264144562199507E-3</v>
      </c>
      <c r="AK584" s="56">
        <v>30241</v>
      </c>
      <c r="AL584" s="44">
        <v>14388</v>
      </c>
      <c r="AM584" s="54">
        <v>0.475777917396912</v>
      </c>
      <c r="AN584" s="55">
        <v>0.50474202392821499</v>
      </c>
      <c r="AO584" s="56">
        <v>875.90354561315905</v>
      </c>
      <c r="AP584" s="48">
        <v>437.95177280657953</v>
      </c>
      <c r="AQ584" s="55">
        <v>0.49025997066256344</v>
      </c>
      <c r="AR584" s="51">
        <v>3639038.18</v>
      </c>
      <c r="AS584" s="49">
        <v>110767.5300418285</v>
      </c>
      <c r="AT584" s="55">
        <v>3.0438683125283531E-2</v>
      </c>
      <c r="AU584" s="51">
        <v>77836.64273209573</v>
      </c>
      <c r="AV584" s="52">
        <v>3.5408625367354369E-4</v>
      </c>
      <c r="AW584" s="44">
        <v>410</v>
      </c>
      <c r="AX584" s="51">
        <v>252.921752849597</v>
      </c>
      <c r="AY584" s="49">
        <v>443.48077645239698</v>
      </c>
      <c r="AZ584" s="49">
        <v>190.55902360279998</v>
      </c>
      <c r="BA584" s="42" t="s">
        <v>150</v>
      </c>
      <c r="BB584" s="50">
        <v>963322.21650708467</v>
      </c>
      <c r="BC584" s="57">
        <v>1041158.8592391803</v>
      </c>
      <c r="BD584" s="42" t="s">
        <v>150</v>
      </c>
      <c r="BE584" s="46">
        <v>69.6797235023041</v>
      </c>
      <c r="BF584" s="46">
        <v>72.425990467051307</v>
      </c>
      <c r="BG584" s="42" t="s">
        <v>152</v>
      </c>
      <c r="BH584" s="52">
        <v>0.475777917396912</v>
      </c>
      <c r="BI584" s="52">
        <v>0.49337264070319697</v>
      </c>
      <c r="BJ584" s="42" t="s">
        <v>152</v>
      </c>
      <c r="BK584" s="46">
        <v>361.35070843087601</v>
      </c>
      <c r="BL584" s="46">
        <v>605.59017138979505</v>
      </c>
      <c r="BM584" s="42" t="s">
        <v>152</v>
      </c>
      <c r="BN584" s="48">
        <v>0</v>
      </c>
      <c r="BO584" s="42" t="s">
        <v>155</v>
      </c>
      <c r="BP584" s="42" t="s">
        <v>152</v>
      </c>
      <c r="BQ584" s="46">
        <v>1358.2663956214799</v>
      </c>
      <c r="BR584" s="46">
        <v>37</v>
      </c>
      <c r="BS584" s="46">
        <v>1869</v>
      </c>
      <c r="BT584" s="46">
        <v>669</v>
      </c>
      <c r="BU584" s="46">
        <v>2.7937219730941703</v>
      </c>
      <c r="BV584" s="46">
        <v>18.081081081081081</v>
      </c>
      <c r="BW584" s="46">
        <v>294</v>
      </c>
      <c r="BX584" s="46">
        <v>375</v>
      </c>
      <c r="BY584" s="46">
        <v>669</v>
      </c>
      <c r="BZ584" s="46">
        <v>1</v>
      </c>
      <c r="CA584" s="46">
        <v>0.43946188340807169</v>
      </c>
      <c r="CB584" s="46">
        <v>0.5605381165919282</v>
      </c>
      <c r="CC584" s="46">
        <v>0</v>
      </c>
      <c r="CD584" s="46">
        <v>0</v>
      </c>
      <c r="CE584" s="46">
        <v>0</v>
      </c>
      <c r="CF584" s="46">
        <v>0</v>
      </c>
      <c r="CG584" s="46">
        <v>0</v>
      </c>
      <c r="CH584" s="46">
        <v>0</v>
      </c>
      <c r="CI584" s="46">
        <v>1.0700909577314071</v>
      </c>
      <c r="CJ584" s="46">
        <v>0.53504547886570353</v>
      </c>
      <c r="CK584">
        <v>220</v>
      </c>
      <c r="CL584">
        <v>372.52</v>
      </c>
      <c r="CM584">
        <f t="shared" si="63"/>
        <v>152.51999999999998</v>
      </c>
      <c r="CN584">
        <v>5.67</v>
      </c>
      <c r="CO584">
        <v>9.4499999999999993</v>
      </c>
      <c r="CP584">
        <f t="shared" si="64"/>
        <v>3.7799999999999994</v>
      </c>
      <c r="CQ584">
        <v>846.56</v>
      </c>
      <c r="CR584">
        <v>361.35</v>
      </c>
      <c r="CS584">
        <f t="shared" si="65"/>
        <v>485.20999999999992</v>
      </c>
      <c r="CT584" t="s">
        <v>152</v>
      </c>
      <c r="CU584">
        <v>61.05</v>
      </c>
      <c r="CV584">
        <v>217</v>
      </c>
      <c r="CW584" s="46">
        <v>669</v>
      </c>
      <c r="CX584" s="46">
        <f t="shared" si="66"/>
        <v>77.201793721973104</v>
      </c>
      <c r="CY584" s="46">
        <v>152.52000000000001</v>
      </c>
      <c r="CZ584" s="46">
        <f t="shared" si="67"/>
        <v>100</v>
      </c>
      <c r="DA584" s="46">
        <f t="shared" si="68"/>
        <v>3476.901524004285</v>
      </c>
      <c r="DB584" s="46">
        <v>2856344.14</v>
      </c>
      <c r="DC584" s="46">
        <f t="shared" si="69"/>
        <v>149.63949751679812</v>
      </c>
      <c r="DD584" s="46">
        <v>122931.84</v>
      </c>
      <c r="DE584" s="995">
        <v>669</v>
      </c>
      <c r="DF584" s="995">
        <v>81.739999999999995</v>
      </c>
      <c r="DG584" s="995">
        <v>122.2</v>
      </c>
      <c r="DH584" s="995">
        <v>100</v>
      </c>
      <c r="DI584" s="995">
        <v>6228.134</v>
      </c>
      <c r="DJ584" s="995">
        <v>4927445</v>
      </c>
      <c r="DK584" s="995">
        <v>264.97899999999998</v>
      </c>
      <c r="DL584" s="995">
        <v>209640.5</v>
      </c>
      <c r="DM584" s="995">
        <v>669</v>
      </c>
      <c r="DN584" s="995">
        <v>84.962000000000003</v>
      </c>
      <c r="DO584" s="995">
        <v>100.6</v>
      </c>
      <c r="DP584" s="995">
        <v>100</v>
      </c>
      <c r="DQ584" s="995">
        <v>6052.2280000000001</v>
      </c>
      <c r="DR584" s="995">
        <v>4657805</v>
      </c>
      <c r="DS584" s="995">
        <v>257.54199999999997</v>
      </c>
      <c r="DT584" s="995">
        <v>198204.9</v>
      </c>
    </row>
    <row r="585" spans="1:124">
      <c r="A585" s="42" t="s">
        <v>94</v>
      </c>
      <c r="B585" s="42" t="s">
        <v>510</v>
      </c>
      <c r="C585" s="42" t="s">
        <v>788</v>
      </c>
      <c r="D585" s="42">
        <v>809337</v>
      </c>
      <c r="E585" s="42" t="s">
        <v>806</v>
      </c>
      <c r="F585" s="42" t="s">
        <v>149</v>
      </c>
      <c r="G585" s="42" t="s">
        <v>150</v>
      </c>
      <c r="H585" s="43" t="s">
        <v>150</v>
      </c>
      <c r="I585" s="44">
        <v>70</v>
      </c>
      <c r="J585" s="45">
        <v>155904.94639999999</v>
      </c>
      <c r="K585" s="46">
        <v>9774.9676070000005</v>
      </c>
      <c r="L585" s="47">
        <v>165679.91400700001</v>
      </c>
      <c r="M585" s="48">
        <v>3772670</v>
      </c>
      <c r="N585" s="49">
        <v>2269242</v>
      </c>
      <c r="O585" s="49">
        <v>1500516</v>
      </c>
      <c r="P585" s="49">
        <v>2912</v>
      </c>
      <c r="Q585" s="50">
        <v>8686.0808986175107</v>
      </c>
      <c r="R585" s="51">
        <v>32519.5730044015</v>
      </c>
      <c r="S585" s="49">
        <v>53553.069594271597</v>
      </c>
      <c r="T585" s="49">
        <v>8356.5552035805795</v>
      </c>
      <c r="U585" s="49">
        <f>IFERROR(INDEX('Rentabilidad datos'!$N$2:$N$61,MATCH($C585,'Rentabilidad datos'!$C$2:$C$61,0)),"")</f>
        <v>94429.197802253679</v>
      </c>
      <c r="V585" s="50">
        <f>IFERROR(INDEX('Rentabilidad datos'!$O$2:$O$61,MATCH($C585,'Rentabilidad datos'!$C$2:$C$61,0)),"")</f>
        <v>1573.8199633708946</v>
      </c>
      <c r="W585" s="51">
        <f>IFERROR(INDEX('Rentabilidad datos'!$M$2:$M$61,MATCH($C585,'Rentabilidad datos'!$C$2:$C$61,0)),"")</f>
        <v>3293.1144020900269</v>
      </c>
      <c r="X585" s="52">
        <f>IFERROR(INDEX('Rentabilidad datos'!$P$2:$P$61,MATCH($C585,'Rentabilidad datos'!$C$2:$C$61,0)),"")</f>
        <v>0.47791232590402716</v>
      </c>
      <c r="Y585" s="43" t="s">
        <v>171</v>
      </c>
      <c r="Z585" s="53">
        <v>38.064516129032299</v>
      </c>
      <c r="AA585" s="43">
        <v>1</v>
      </c>
      <c r="AB585" s="54">
        <v>0.95894154537767684</v>
      </c>
      <c r="AC585" s="55">
        <v>4.105845462232318E-2</v>
      </c>
      <c r="AD585" s="752" t="e">
        <f>_xlfn.XLOOKUP(Table1[[#This Row],[Ruta]],#REF!,#REF!)</f>
        <v>#REF!</v>
      </c>
      <c r="AE585" s="752" t="e">
        <f>_xlfn.XLOOKUP(Table1[[#This Row],[Ruta]],#REF!,#REF!)</f>
        <v>#REF!</v>
      </c>
      <c r="AF585" s="752" t="e">
        <f>_xlfn.XLOOKUP(Table1[[#This Row],[Ruta]],#REF!,#REF!)</f>
        <v>#REF!</v>
      </c>
      <c r="AG585" s="752" t="e">
        <f>_xlfn.XLOOKUP(Table1[[#This Row],[Ruta]],#REF!,#REF!)</f>
        <v>#REF!</v>
      </c>
      <c r="AH585" s="52">
        <v>0.60149496245364686</v>
      </c>
      <c r="AI585" s="52">
        <v>0.39773317040716522</v>
      </c>
      <c r="AJ585" s="55">
        <v>7.718671391878961E-4</v>
      </c>
      <c r="AK585" s="56">
        <v>16520</v>
      </c>
      <c r="AL585" s="44">
        <v>8349</v>
      </c>
      <c r="AM585" s="54">
        <v>0.50538740920096903</v>
      </c>
      <c r="AN585" s="55">
        <v>0.50474202392821499</v>
      </c>
      <c r="AO585" s="56">
        <v>0</v>
      </c>
      <c r="AP585" s="48">
        <v>0</v>
      </c>
      <c r="AQ585" s="55">
        <v>0.50538740920096847</v>
      </c>
      <c r="AR585" s="51">
        <v>3769759.11</v>
      </c>
      <c r="AS585" s="49">
        <v>0</v>
      </c>
      <c r="AT585" s="55">
        <v>0</v>
      </c>
      <c r="AU585" s="51">
        <v>0</v>
      </c>
      <c r="AV585" s="52">
        <v>0</v>
      </c>
      <c r="AW585" s="44">
        <v>490</v>
      </c>
      <c r="AX585" s="51">
        <v>451.52223140495897</v>
      </c>
      <c r="AY585" s="49">
        <v>443.48077645239698</v>
      </c>
      <c r="AZ585" s="49">
        <v>0</v>
      </c>
      <c r="BA585" s="42" t="s">
        <v>152</v>
      </c>
      <c r="BB585" s="50">
        <v>0</v>
      </c>
      <c r="BC585" s="57">
        <v>0</v>
      </c>
      <c r="BD585" s="42" t="s">
        <v>150</v>
      </c>
      <c r="BE585" s="46">
        <v>38.064516129032299</v>
      </c>
      <c r="BF585" s="46">
        <v>72.425990467051307</v>
      </c>
      <c r="BG585" s="42" t="s">
        <v>152</v>
      </c>
      <c r="BH585" s="52">
        <v>0.50538740920096903</v>
      </c>
      <c r="BI585" s="52">
        <v>0.49337264070319697</v>
      </c>
      <c r="BJ585" s="42" t="s">
        <v>150</v>
      </c>
      <c r="BK585" s="46">
        <v>381.75095393318003</v>
      </c>
      <c r="BL585" s="46">
        <v>605.59017138979505</v>
      </c>
      <c r="BM585" s="42" t="s">
        <v>152</v>
      </c>
      <c r="BN585" s="48">
        <v>1</v>
      </c>
      <c r="BO585" s="42" t="s">
        <v>155</v>
      </c>
      <c r="BP585" s="42" t="s">
        <v>152</v>
      </c>
      <c r="BQ585" s="46">
        <v>5545.7942074427501</v>
      </c>
      <c r="BR585" s="46">
        <v>43</v>
      </c>
      <c r="BS585" s="46">
        <v>5227</v>
      </c>
      <c r="BT585" s="46">
        <v>1724</v>
      </c>
      <c r="BU585" s="46">
        <v>3.0319025522041763</v>
      </c>
      <c r="BV585" s="46">
        <v>40.093023255813954</v>
      </c>
      <c r="BW585" s="46">
        <v>19</v>
      </c>
      <c r="BX585" s="46">
        <v>1705</v>
      </c>
      <c r="BY585" s="46">
        <v>1724</v>
      </c>
      <c r="BZ585" s="46">
        <v>1</v>
      </c>
      <c r="CA585" s="46">
        <v>1.102088167053364E-2</v>
      </c>
      <c r="CB585" s="46">
        <v>0.98897911832946639</v>
      </c>
      <c r="CC585" s="46">
        <v>0</v>
      </c>
      <c r="CD585" s="46">
        <v>0</v>
      </c>
      <c r="CE585" s="46">
        <v>0</v>
      </c>
      <c r="CF585" s="46">
        <v>0</v>
      </c>
      <c r="CG585" s="46">
        <v>0</v>
      </c>
      <c r="CH585" s="46">
        <v>0</v>
      </c>
      <c r="CI585" s="46">
        <v>1.530514635546202</v>
      </c>
      <c r="CJ585" s="46">
        <v>0.57394298832982593</v>
      </c>
      <c r="CK585">
        <v>184</v>
      </c>
      <c r="CL585">
        <v>235.21</v>
      </c>
      <c r="CM585">
        <f t="shared" si="63"/>
        <v>51.210000000000008</v>
      </c>
      <c r="CN585">
        <v>5.75</v>
      </c>
      <c r="CO585">
        <v>9.4499999999999993</v>
      </c>
      <c r="CP585">
        <f t="shared" si="64"/>
        <v>3.6999999999999993</v>
      </c>
      <c r="CQ585">
        <v>564.37</v>
      </c>
      <c r="CR585">
        <v>381.75</v>
      </c>
      <c r="CS585">
        <f t="shared" si="65"/>
        <v>182.62</v>
      </c>
      <c r="CT585" t="s">
        <v>152</v>
      </c>
      <c r="CU585">
        <v>72.78</v>
      </c>
      <c r="CV585">
        <v>179</v>
      </c>
      <c r="CW585" s="46">
        <v>1724</v>
      </c>
      <c r="CX585" s="46">
        <f t="shared" si="66"/>
        <v>97.029582366589324</v>
      </c>
      <c r="CY585" s="46">
        <v>51.21</v>
      </c>
      <c r="CZ585" s="46">
        <f t="shared" si="67"/>
        <v>100</v>
      </c>
      <c r="DA585" s="46">
        <f t="shared" si="68"/>
        <v>594.87647095273235</v>
      </c>
      <c r="DB585" s="46">
        <v>1056030.6599999999</v>
      </c>
      <c r="DC585" s="46">
        <f t="shared" si="69"/>
        <v>25.110302443091239</v>
      </c>
      <c r="DD585" s="46">
        <v>44576.06</v>
      </c>
      <c r="DE585" s="995">
        <v>1724</v>
      </c>
      <c r="DF585" s="995">
        <v>97.129000000000005</v>
      </c>
      <c r="DG585" s="995">
        <v>49.5</v>
      </c>
      <c r="DH585" s="995">
        <v>100</v>
      </c>
      <c r="DI585" s="995">
        <v>1940.579</v>
      </c>
      <c r="DJ585" s="995">
        <v>3441618</v>
      </c>
      <c r="DK585" s="995">
        <v>82.173000000000002</v>
      </c>
      <c r="DL585" s="995">
        <v>145733.70000000001</v>
      </c>
      <c r="DM585" s="995">
        <v>1724</v>
      </c>
      <c r="DN585" s="995">
        <v>97.426000000000002</v>
      </c>
      <c r="DO585" s="995">
        <v>44.4</v>
      </c>
      <c r="DP585" s="995">
        <v>100</v>
      </c>
      <c r="DQ585" s="995">
        <v>1908.2</v>
      </c>
      <c r="DR585" s="995">
        <v>3374409</v>
      </c>
      <c r="DS585" s="995">
        <v>80.873000000000005</v>
      </c>
      <c r="DT585" s="995">
        <v>143013.6</v>
      </c>
    </row>
    <row r="586" spans="1:124">
      <c r="A586" s="42" t="s">
        <v>94</v>
      </c>
      <c r="B586" s="42" t="s">
        <v>510</v>
      </c>
      <c r="C586" s="42" t="s">
        <v>788</v>
      </c>
      <c r="D586" s="42">
        <v>809338</v>
      </c>
      <c r="E586" s="42" t="s">
        <v>807</v>
      </c>
      <c r="F586" s="42" t="s">
        <v>149</v>
      </c>
      <c r="G586" s="42" t="s">
        <v>150</v>
      </c>
      <c r="H586" s="43" t="s">
        <v>150</v>
      </c>
      <c r="I586" s="44">
        <v>70</v>
      </c>
      <c r="J586" s="45">
        <v>182234.88639999999</v>
      </c>
      <c r="K586" s="46">
        <v>9708.2586269999993</v>
      </c>
      <c r="L586" s="47">
        <v>191943.14502699999</v>
      </c>
      <c r="M586" s="48">
        <v>3876485</v>
      </c>
      <c r="N586" s="49">
        <v>2644338</v>
      </c>
      <c r="O586" s="49">
        <v>1223883</v>
      </c>
      <c r="P586" s="49">
        <v>8264</v>
      </c>
      <c r="Q586" s="50">
        <v>8771.4770748299306</v>
      </c>
      <c r="R586" s="51">
        <v>32519.5730044015</v>
      </c>
      <c r="S586" s="49">
        <v>53553.069594271597</v>
      </c>
      <c r="T586" s="49">
        <v>8356.5552035805795</v>
      </c>
      <c r="U586" s="49">
        <f>IFERROR(INDEX('Rentabilidad datos'!$N$2:$N$61,MATCH($C586,'Rentabilidad datos'!$C$2:$C$61,0)),"")</f>
        <v>94429.197802253679</v>
      </c>
      <c r="V586" s="50">
        <f>IFERROR(INDEX('Rentabilidad datos'!$O$2:$O$61,MATCH($C586,'Rentabilidad datos'!$C$2:$C$61,0)),"")</f>
        <v>1573.8199633708946</v>
      </c>
      <c r="W586" s="51">
        <f>IFERROR(INDEX('Rentabilidad datos'!$M$2:$M$61,MATCH($C586,'Rentabilidad datos'!$C$2:$C$61,0)),"")</f>
        <v>3293.1144020900269</v>
      </c>
      <c r="X586" s="52">
        <f>IFERROR(INDEX('Rentabilidad datos'!$P$2:$P$61,MATCH($C586,'Rentabilidad datos'!$C$2:$C$61,0)),"")</f>
        <v>0.47791232590402716</v>
      </c>
      <c r="Y586" s="43" t="s">
        <v>171</v>
      </c>
      <c r="Z586" s="53">
        <v>83.696145124716594</v>
      </c>
      <c r="AA586" s="43">
        <v>1</v>
      </c>
      <c r="AB586" s="54">
        <v>0.98853549027018028</v>
      </c>
      <c r="AC586" s="55">
        <v>1.1464509729819669E-2</v>
      </c>
      <c r="AD586" s="752" t="e">
        <f>_xlfn.XLOOKUP(Table1[[#This Row],[Ruta]],#REF!,#REF!)</f>
        <v>#REF!</v>
      </c>
      <c r="AE586" s="752" t="e">
        <f>_xlfn.XLOOKUP(Table1[[#This Row],[Ruta]],#REF!,#REF!)</f>
        <v>#REF!</v>
      </c>
      <c r="AF586" s="752" t="e">
        <f>_xlfn.XLOOKUP(Table1[[#This Row],[Ruta]],#REF!,#REF!)</f>
        <v>#REF!</v>
      </c>
      <c r="AG586" s="752" t="e">
        <f>_xlfn.XLOOKUP(Table1[[#This Row],[Ruta]],#REF!,#REF!)</f>
        <v>#REF!</v>
      </c>
      <c r="AH586" s="52">
        <v>0.68214838958489454</v>
      </c>
      <c r="AI586" s="52">
        <v>0.31571978222539232</v>
      </c>
      <c r="AJ586" s="55">
        <v>2.1318281897131034E-3</v>
      </c>
      <c r="AK586" s="56">
        <v>36910</v>
      </c>
      <c r="AL586" s="44">
        <v>18245</v>
      </c>
      <c r="AM586" s="54">
        <v>0.494310484963425</v>
      </c>
      <c r="AN586" s="55">
        <v>0.50474202392821499</v>
      </c>
      <c r="AO586" s="56">
        <v>385.02810319042698</v>
      </c>
      <c r="AP586" s="48">
        <v>192.51405159521349</v>
      </c>
      <c r="AQ586" s="55">
        <v>0.49952625444581999</v>
      </c>
      <c r="AR586" s="51">
        <v>3868221.39</v>
      </c>
      <c r="AS586" s="49">
        <v>40815.948054599547</v>
      </c>
      <c r="AT586" s="55">
        <v>1.0551606006862897E-2</v>
      </c>
      <c r="AU586" s="51">
        <v>28681.477011340234</v>
      </c>
      <c r="AV586" s="52">
        <v>1.3047475312783047E-4</v>
      </c>
      <c r="AW586" s="44">
        <v>452</v>
      </c>
      <c r="AX586" s="51">
        <v>212.01542285557699</v>
      </c>
      <c r="AY586" s="49">
        <v>443.48077645239698</v>
      </c>
      <c r="AZ586" s="49">
        <v>231.46535359681999</v>
      </c>
      <c r="BA586" s="42" t="s">
        <v>150</v>
      </c>
      <c r="BB586" s="50">
        <v>1483786.7538611291</v>
      </c>
      <c r="BC586" s="57">
        <v>1512468.2308724693</v>
      </c>
      <c r="BD586" s="42" t="s">
        <v>150</v>
      </c>
      <c r="BE586" s="46">
        <v>83.696145124716594</v>
      </c>
      <c r="BF586" s="46">
        <v>72.425990467051307</v>
      </c>
      <c r="BG586" s="42" t="s">
        <v>150</v>
      </c>
      <c r="BH586" s="52">
        <v>0.494310484963425</v>
      </c>
      <c r="BI586" s="52">
        <v>0.49337264070319697</v>
      </c>
      <c r="BJ586" s="42" t="s">
        <v>150</v>
      </c>
      <c r="BK586" s="46">
        <v>435.24522681859298</v>
      </c>
      <c r="BL586" s="46">
        <v>605.59017138979505</v>
      </c>
      <c r="BM586" s="42" t="s">
        <v>152</v>
      </c>
      <c r="BN586" s="48">
        <v>2</v>
      </c>
      <c r="BO586" s="42" t="s">
        <v>161</v>
      </c>
      <c r="BP586" s="42" t="s">
        <v>152</v>
      </c>
      <c r="BQ586" s="46">
        <v>0</v>
      </c>
      <c r="BR586" s="46">
        <v>37</v>
      </c>
      <c r="BS586" s="46">
        <v>5788</v>
      </c>
      <c r="BT586" s="46">
        <v>2277</v>
      </c>
      <c r="BU586" s="46">
        <v>2.5419411506368026</v>
      </c>
      <c r="BV586" s="46">
        <v>61.54054054054054</v>
      </c>
      <c r="BW586" s="46">
        <v>0</v>
      </c>
      <c r="BX586" s="46">
        <v>2277</v>
      </c>
      <c r="BY586" s="46">
        <v>2277</v>
      </c>
      <c r="BZ586" s="46">
        <v>1</v>
      </c>
      <c r="CA586" s="46">
        <v>0</v>
      </c>
      <c r="CB586" s="46">
        <v>1</v>
      </c>
      <c r="CC586" s="46">
        <v>0</v>
      </c>
      <c r="CD586" s="46">
        <v>0</v>
      </c>
      <c r="CE586" s="46">
        <v>0</v>
      </c>
      <c r="CF586" s="46">
        <v>0</v>
      </c>
      <c r="CG586" s="46">
        <v>0</v>
      </c>
      <c r="CH586" s="46">
        <v>0</v>
      </c>
      <c r="CI586" s="46">
        <v>1.9004837595024191</v>
      </c>
      <c r="CJ586" s="46">
        <v>0.69108500345542501</v>
      </c>
      <c r="CK586">
        <v>321</v>
      </c>
      <c r="CL586">
        <v>397.72</v>
      </c>
      <c r="CM586">
        <f t="shared" ref="CM586:CM649" si="70">CL586-CK586</f>
        <v>76.720000000000027</v>
      </c>
      <c r="CN586">
        <v>7.59</v>
      </c>
      <c r="CO586">
        <v>9.4499999999999993</v>
      </c>
      <c r="CP586">
        <f t="shared" ref="CP586:CP649" si="71">CO586-CN586</f>
        <v>1.8599999999999994</v>
      </c>
      <c r="CQ586">
        <v>846.56</v>
      </c>
      <c r="CR586">
        <v>435.25</v>
      </c>
      <c r="CS586">
        <f t="shared" ref="CS586:CS649" si="72">CQ586-CR586</f>
        <v>411.30999999999995</v>
      </c>
      <c r="CT586" t="s">
        <v>152</v>
      </c>
      <c r="CU586">
        <v>80.28</v>
      </c>
      <c r="CV586">
        <v>331</v>
      </c>
      <c r="CW586" s="46">
        <v>2277</v>
      </c>
      <c r="CX586" s="46">
        <f t="shared" si="66"/>
        <v>96.630654369784821</v>
      </c>
      <c r="CY586" s="46">
        <v>76.72</v>
      </c>
      <c r="CZ586" s="46">
        <f t="shared" si="67"/>
        <v>100</v>
      </c>
      <c r="DA586" s="46">
        <f t="shared" si="68"/>
        <v>1108.5003993678095</v>
      </c>
      <c r="DB586" s="46">
        <v>2609099.56</v>
      </c>
      <c r="DC586" s="46">
        <f t="shared" si="69"/>
        <v>52.743151266930653</v>
      </c>
      <c r="DD586" s="46">
        <v>124142.61</v>
      </c>
      <c r="DE586" s="995">
        <v>2277</v>
      </c>
      <c r="DF586" s="995">
        <v>96.59</v>
      </c>
      <c r="DG586" s="995">
        <v>77.599999999999994</v>
      </c>
      <c r="DH586" s="995">
        <v>100</v>
      </c>
      <c r="DI586" s="995">
        <v>2338.306</v>
      </c>
      <c r="DJ586" s="995">
        <v>5505886</v>
      </c>
      <c r="DK586" s="995">
        <v>111.32</v>
      </c>
      <c r="DL586" s="995">
        <v>262118.7</v>
      </c>
      <c r="DM586" s="995">
        <v>2277</v>
      </c>
      <c r="DN586" s="995">
        <v>97.191999999999993</v>
      </c>
      <c r="DO586" s="995">
        <v>63.9</v>
      </c>
      <c r="DP586" s="995">
        <v>100</v>
      </c>
      <c r="DQ586" s="995">
        <v>2286.297</v>
      </c>
      <c r="DR586" s="995">
        <v>5352096</v>
      </c>
      <c r="DS586" s="995">
        <v>108.866</v>
      </c>
      <c r="DT586" s="995">
        <v>254849.9</v>
      </c>
    </row>
    <row r="587" spans="1:124">
      <c r="A587" s="42" t="s">
        <v>94</v>
      </c>
      <c r="B587" s="42" t="s">
        <v>510</v>
      </c>
      <c r="C587" s="42" t="s">
        <v>788</v>
      </c>
      <c r="D587" s="42">
        <v>809339</v>
      </c>
      <c r="E587" s="42" t="s">
        <v>808</v>
      </c>
      <c r="F587" s="42" t="s">
        <v>149</v>
      </c>
      <c r="G587" s="42" t="s">
        <v>150</v>
      </c>
      <c r="H587" s="43" t="s">
        <v>150</v>
      </c>
      <c r="I587" s="44">
        <v>70</v>
      </c>
      <c r="J587" s="45">
        <v>181072.4944</v>
      </c>
      <c r="K587" s="46">
        <v>12465.667171999999</v>
      </c>
      <c r="L587" s="47">
        <v>193538.16157200001</v>
      </c>
      <c r="M587" s="48">
        <v>4557180</v>
      </c>
      <c r="N587" s="49">
        <v>2617483</v>
      </c>
      <c r="O587" s="49">
        <v>1917997</v>
      </c>
      <c r="P587" s="49">
        <v>21700</v>
      </c>
      <c r="Q587" s="50">
        <v>10402.4717431193</v>
      </c>
      <c r="R587" s="51">
        <v>32519.5730044015</v>
      </c>
      <c r="S587" s="49">
        <v>53553.069594271597</v>
      </c>
      <c r="T587" s="49">
        <v>8356.5552035805795</v>
      </c>
      <c r="U587" s="49">
        <f>IFERROR(INDEX('Rentabilidad datos'!$N$2:$N$61,MATCH($C587,'Rentabilidad datos'!$C$2:$C$61,0)),"")</f>
        <v>94429.197802253679</v>
      </c>
      <c r="V587" s="50">
        <f>IFERROR(INDEX('Rentabilidad datos'!$O$2:$O$61,MATCH($C587,'Rentabilidad datos'!$C$2:$C$61,0)),"")</f>
        <v>1573.8199633708946</v>
      </c>
      <c r="W587" s="51">
        <f>IFERROR(INDEX('Rentabilidad datos'!$M$2:$M$61,MATCH($C587,'Rentabilidad datos'!$C$2:$C$61,0)),"")</f>
        <v>3293.1144020900269</v>
      </c>
      <c r="X587" s="52">
        <f>IFERROR(INDEX('Rentabilidad datos'!$P$2:$P$61,MATCH($C587,'Rentabilidad datos'!$C$2:$C$61,0)),"")</f>
        <v>0.47791232590402716</v>
      </c>
      <c r="Y587" s="43" t="s">
        <v>171</v>
      </c>
      <c r="Z587" s="53">
        <v>67.380733944954102</v>
      </c>
      <c r="AA587" s="43">
        <v>1</v>
      </c>
      <c r="AB587" s="54">
        <v>0.96560943390430043</v>
      </c>
      <c r="AC587" s="55">
        <v>3.4390566095699536E-2</v>
      </c>
      <c r="AD587" s="752" t="e">
        <f>_xlfn.XLOOKUP(Table1[[#This Row],[Ruta]],#REF!,#REF!)</f>
        <v>#REF!</v>
      </c>
      <c r="AE587" s="752" t="e">
        <f>_xlfn.XLOOKUP(Table1[[#This Row],[Ruta]],#REF!,#REF!)</f>
        <v>#REF!</v>
      </c>
      <c r="AF587" s="752" t="e">
        <f>_xlfn.XLOOKUP(Table1[[#This Row],[Ruta]],#REF!,#REF!)</f>
        <v>#REF!</v>
      </c>
      <c r="AG587" s="752" t="e">
        <f>_xlfn.XLOOKUP(Table1[[#This Row],[Ruta]],#REF!,#REF!)</f>
        <v>#REF!</v>
      </c>
      <c r="AH587" s="52">
        <v>0.57436462900302376</v>
      </c>
      <c r="AI587" s="52">
        <v>0.42087365432131274</v>
      </c>
      <c r="AJ587" s="55">
        <v>4.7617166756634584E-3</v>
      </c>
      <c r="AK587" s="56">
        <v>29378</v>
      </c>
      <c r="AL587" s="44">
        <v>20994</v>
      </c>
      <c r="AM587" s="54">
        <v>0.71461637960378499</v>
      </c>
      <c r="AN587" s="55">
        <v>0.50474202392821499</v>
      </c>
      <c r="AO587" s="56">
        <v>0</v>
      </c>
      <c r="AP587" s="48">
        <v>0</v>
      </c>
      <c r="AQ587" s="55">
        <v>0.7146163796037851</v>
      </c>
      <c r="AR587" s="51">
        <v>4535477.68</v>
      </c>
      <c r="AS587" s="49">
        <v>0</v>
      </c>
      <c r="AT587" s="55">
        <v>0</v>
      </c>
      <c r="AU587" s="51">
        <v>0</v>
      </c>
      <c r="AV587" s="52">
        <v>0</v>
      </c>
      <c r="AW587" s="44">
        <v>490</v>
      </c>
      <c r="AX587" s="51">
        <v>216.03685243402899</v>
      </c>
      <c r="AY587" s="49">
        <v>443.48077645239698</v>
      </c>
      <c r="AZ587" s="49">
        <v>227.44392401836799</v>
      </c>
      <c r="BA587" s="42" t="s">
        <v>150</v>
      </c>
      <c r="BB587" s="50">
        <v>1677687.8548902988</v>
      </c>
      <c r="BC587" s="57">
        <v>1677687.8548902988</v>
      </c>
      <c r="BD587" s="42" t="s">
        <v>150</v>
      </c>
      <c r="BE587" s="46">
        <v>67.380733944954102</v>
      </c>
      <c r="BF587" s="46">
        <v>72.425990467051307</v>
      </c>
      <c r="BG587" s="42" t="s">
        <v>152</v>
      </c>
      <c r="BH587" s="52">
        <v>0.71461637960378499</v>
      </c>
      <c r="BI587" s="52">
        <v>0.49337264070319697</v>
      </c>
      <c r="BJ587" s="42" t="s">
        <v>150</v>
      </c>
      <c r="BK587" s="46">
        <v>443.89486599082602</v>
      </c>
      <c r="BL587" s="46">
        <v>605.59017138979505</v>
      </c>
      <c r="BM587" s="42" t="s">
        <v>152</v>
      </c>
      <c r="BN587" s="48">
        <v>1</v>
      </c>
      <c r="BO587" s="42" t="s">
        <v>155</v>
      </c>
      <c r="BP587" s="42" t="s">
        <v>152</v>
      </c>
      <c r="BQ587" s="46">
        <v>0</v>
      </c>
      <c r="BR587" s="46">
        <v>39</v>
      </c>
      <c r="BS587" s="46">
        <v>3934</v>
      </c>
      <c r="BT587" s="46">
        <v>1428</v>
      </c>
      <c r="BU587" s="46">
        <v>2.7549019607843137</v>
      </c>
      <c r="BV587" s="46">
        <v>36.615384615384613</v>
      </c>
      <c r="BW587" s="46">
        <v>1040</v>
      </c>
      <c r="BX587" s="46">
        <v>388</v>
      </c>
      <c r="BY587" s="46">
        <v>1428</v>
      </c>
      <c r="BZ587" s="46">
        <v>1</v>
      </c>
      <c r="CA587" s="46">
        <v>0.72829131652661061</v>
      </c>
      <c r="CB587" s="46">
        <v>0.27170868347338928</v>
      </c>
      <c r="CC587" s="46">
        <v>0</v>
      </c>
      <c r="CD587" s="46">
        <v>0</v>
      </c>
      <c r="CE587" s="46">
        <v>0</v>
      </c>
      <c r="CF587" s="46">
        <v>0</v>
      </c>
      <c r="CG587" s="46">
        <v>0</v>
      </c>
      <c r="CH587" s="46">
        <v>0</v>
      </c>
      <c r="CI587" s="46">
        <v>0.76258261311642095</v>
      </c>
      <c r="CJ587" s="46">
        <v>0.76258261311642095</v>
      </c>
      <c r="CK587">
        <v>346</v>
      </c>
      <c r="CL587">
        <v>675.29</v>
      </c>
      <c r="CM587">
        <f t="shared" si="70"/>
        <v>329.28999999999996</v>
      </c>
      <c r="CN587">
        <v>4.1399999999999997</v>
      </c>
      <c r="CO587">
        <v>9.4499999999999993</v>
      </c>
      <c r="CP587">
        <f t="shared" si="71"/>
        <v>5.31</v>
      </c>
      <c r="CQ587">
        <v>846.56</v>
      </c>
      <c r="CR587">
        <v>443.89</v>
      </c>
      <c r="CS587">
        <f t="shared" si="72"/>
        <v>402.66999999999996</v>
      </c>
      <c r="CT587" t="s">
        <v>152</v>
      </c>
      <c r="CU587">
        <v>52.44</v>
      </c>
      <c r="CV587">
        <v>341</v>
      </c>
      <c r="CW587" s="46">
        <v>1428</v>
      </c>
      <c r="CX587" s="46">
        <f t="shared" si="66"/>
        <v>76.94047619047619</v>
      </c>
      <c r="CY587" s="46">
        <v>329.29</v>
      </c>
      <c r="CZ587" s="46">
        <f t="shared" si="67"/>
        <v>100</v>
      </c>
      <c r="DA587" s="46">
        <f t="shared" si="68"/>
        <v>3758.5094719710464</v>
      </c>
      <c r="DB587" s="46">
        <v>6604791.1100000003</v>
      </c>
      <c r="DC587" s="46">
        <f t="shared" si="69"/>
        <v>151.69168435488737</v>
      </c>
      <c r="DD587" s="46">
        <v>266566.28000000003</v>
      </c>
      <c r="DE587" s="995">
        <v>1428</v>
      </c>
      <c r="DF587" s="995">
        <v>79.266999999999996</v>
      </c>
      <c r="DG587" s="995">
        <v>296.10000000000002</v>
      </c>
      <c r="DH587" s="995">
        <v>100</v>
      </c>
      <c r="DI587" s="995">
        <v>5487.6629999999996</v>
      </c>
      <c r="DJ587" s="995">
        <v>9461114</v>
      </c>
      <c r="DK587" s="995">
        <v>223.11199999999999</v>
      </c>
      <c r="DL587" s="995">
        <v>384659.8</v>
      </c>
      <c r="DM587" s="995">
        <v>1428</v>
      </c>
      <c r="DN587" s="995">
        <v>82.926000000000002</v>
      </c>
      <c r="DO587" s="995">
        <v>243.8</v>
      </c>
      <c r="DP587" s="995">
        <v>100</v>
      </c>
      <c r="DQ587" s="995">
        <v>5251.5439999999999</v>
      </c>
      <c r="DR587" s="995">
        <v>8779646</v>
      </c>
      <c r="DS587" s="995">
        <v>213.506</v>
      </c>
      <c r="DT587" s="995">
        <v>356944</v>
      </c>
    </row>
    <row r="588" spans="1:124">
      <c r="A588" s="42" t="s">
        <v>94</v>
      </c>
      <c r="B588" s="42" t="s">
        <v>510</v>
      </c>
      <c r="C588" s="42" t="s">
        <v>788</v>
      </c>
      <c r="D588" s="42">
        <v>809340</v>
      </c>
      <c r="E588" s="42" t="s">
        <v>809</v>
      </c>
      <c r="F588" s="42" t="s">
        <v>149</v>
      </c>
      <c r="G588" s="42" t="s">
        <v>150</v>
      </c>
      <c r="H588" s="43" t="s">
        <v>150</v>
      </c>
      <c r="I588" s="44">
        <v>70</v>
      </c>
      <c r="J588" s="45">
        <v>188314.548799999</v>
      </c>
      <c r="K588" s="46">
        <v>19267.366465999999</v>
      </c>
      <c r="L588" s="47">
        <v>207581.91526599901</v>
      </c>
      <c r="M588" s="48">
        <v>5218867</v>
      </c>
      <c r="N588" s="49">
        <v>2763222</v>
      </c>
      <c r="O588" s="49">
        <v>2440073</v>
      </c>
      <c r="P588" s="49">
        <v>15572</v>
      </c>
      <c r="Q588" s="50">
        <v>11989.1558986175</v>
      </c>
      <c r="R588" s="51">
        <v>32519.5730044015</v>
      </c>
      <c r="S588" s="49">
        <v>53553.069594271597</v>
      </c>
      <c r="T588" s="49">
        <v>8356.5552035805795</v>
      </c>
      <c r="U588" s="49">
        <f>IFERROR(INDEX('Rentabilidad datos'!$N$2:$N$61,MATCH($C588,'Rentabilidad datos'!$C$2:$C$61,0)),"")</f>
        <v>94429.197802253679</v>
      </c>
      <c r="V588" s="50">
        <f>IFERROR(INDEX('Rentabilidad datos'!$O$2:$O$61,MATCH($C588,'Rentabilidad datos'!$C$2:$C$61,0)),"")</f>
        <v>1573.8199633708946</v>
      </c>
      <c r="W588" s="51">
        <f>IFERROR(INDEX('Rentabilidad datos'!$M$2:$M$61,MATCH($C588,'Rentabilidad datos'!$C$2:$C$61,0)),"")</f>
        <v>3293.1144020900269</v>
      </c>
      <c r="X588" s="52">
        <f>IFERROR(INDEX('Rentabilidad datos'!$P$2:$P$61,MATCH($C588,'Rentabilidad datos'!$C$2:$C$61,0)),"")</f>
        <v>0.47791232590402716</v>
      </c>
      <c r="Y588" s="43" t="s">
        <v>171</v>
      </c>
      <c r="Z588" s="53">
        <v>98.700460829493096</v>
      </c>
      <c r="AA588" s="43">
        <v>1</v>
      </c>
      <c r="AB588" s="54">
        <v>0.98769771293271125</v>
      </c>
      <c r="AC588" s="55">
        <v>1.2302287067288743E-2</v>
      </c>
      <c r="AD588" s="752" t="e">
        <f>_xlfn.XLOOKUP(Table1[[#This Row],[Ruta]],#REF!,#REF!)</f>
        <v>#REF!</v>
      </c>
      <c r="AE588" s="752" t="e">
        <f>_xlfn.XLOOKUP(Table1[[#This Row],[Ruta]],#REF!,#REF!)</f>
        <v>#REF!</v>
      </c>
      <c r="AF588" s="752" t="e">
        <f>_xlfn.XLOOKUP(Table1[[#This Row],[Ruta]],#REF!,#REF!)</f>
        <v>#REF!</v>
      </c>
      <c r="AG588" s="752" t="e">
        <f>_xlfn.XLOOKUP(Table1[[#This Row],[Ruta]],#REF!,#REF!)</f>
        <v>#REF!</v>
      </c>
      <c r="AH588" s="52">
        <v>0.52946779444657244</v>
      </c>
      <c r="AI588" s="52">
        <v>0.46754841616005927</v>
      </c>
      <c r="AJ588" s="55">
        <v>2.9837893933683307E-3</v>
      </c>
      <c r="AK588" s="56">
        <v>42836</v>
      </c>
      <c r="AL588" s="44">
        <v>20134</v>
      </c>
      <c r="AM588" s="54">
        <v>0.470025212438136</v>
      </c>
      <c r="AN588" s="55">
        <v>0.50474202392821499</v>
      </c>
      <c r="AO588" s="56">
        <v>1487.12933698903</v>
      </c>
      <c r="AP588" s="48">
        <v>743.56466849451499</v>
      </c>
      <c r="AQ588" s="55">
        <v>0.48738361818317577</v>
      </c>
      <c r="AR588" s="51">
        <v>5203293.66</v>
      </c>
      <c r="AS588" s="49">
        <v>192161.782327283</v>
      </c>
      <c r="AT588" s="55">
        <v>3.6930797084261238E-2</v>
      </c>
      <c r="AU588" s="51">
        <v>135032.60379755025</v>
      </c>
      <c r="AV588" s="52">
        <v>6.1427609316380314E-4</v>
      </c>
      <c r="AW588" s="44">
        <v>368</v>
      </c>
      <c r="AX588" s="51">
        <v>258.433180689381</v>
      </c>
      <c r="AY588" s="49">
        <v>443.48077645239698</v>
      </c>
      <c r="AZ588" s="49">
        <v>185.04759576301598</v>
      </c>
      <c r="BA588" s="42" t="s">
        <v>150</v>
      </c>
      <c r="BB588" s="50">
        <v>1309046.6975730634</v>
      </c>
      <c r="BC588" s="57">
        <v>1444079.3013706137</v>
      </c>
      <c r="BD588" s="42" t="s">
        <v>150</v>
      </c>
      <c r="BE588" s="46">
        <v>98.700460829493096</v>
      </c>
      <c r="BF588" s="46">
        <v>72.425990467051307</v>
      </c>
      <c r="BG588" s="42" t="s">
        <v>150</v>
      </c>
      <c r="BH588" s="52">
        <v>0.470025212438136</v>
      </c>
      <c r="BI588" s="52">
        <v>0.49337264070319697</v>
      </c>
      <c r="BJ588" s="42" t="s">
        <v>152</v>
      </c>
      <c r="BK588" s="46">
        <v>478.29934393087399</v>
      </c>
      <c r="BL588" s="46">
        <v>605.59017138979505</v>
      </c>
      <c r="BM588" s="42" t="s">
        <v>152</v>
      </c>
      <c r="BN588" s="48">
        <v>1</v>
      </c>
      <c r="BO588" s="42" t="s">
        <v>155</v>
      </c>
      <c r="BP588" s="42" t="s">
        <v>152</v>
      </c>
      <c r="BQ588" s="46">
        <v>0</v>
      </c>
      <c r="BR588" s="46">
        <v>35</v>
      </c>
      <c r="BS588" s="46">
        <v>3791</v>
      </c>
      <c r="BT588" s="46">
        <v>1314</v>
      </c>
      <c r="BU588" s="46">
        <v>2.885083713850837</v>
      </c>
      <c r="BV588" s="46">
        <v>37.542857142857144</v>
      </c>
      <c r="BW588" s="46">
        <v>0</v>
      </c>
      <c r="BX588" s="46">
        <v>1314</v>
      </c>
      <c r="BY588" s="46">
        <v>1314</v>
      </c>
      <c r="BZ588" s="46">
        <v>1</v>
      </c>
      <c r="CA588" s="46">
        <v>0</v>
      </c>
      <c r="CB588" s="46">
        <v>1</v>
      </c>
      <c r="CC588" s="46">
        <v>0</v>
      </c>
      <c r="CD588" s="46">
        <v>0</v>
      </c>
      <c r="CE588" s="46">
        <v>0</v>
      </c>
      <c r="CF588" s="46">
        <v>0</v>
      </c>
      <c r="CG588" s="46">
        <v>0</v>
      </c>
      <c r="CH588" s="46">
        <v>0</v>
      </c>
      <c r="CI588" s="46">
        <v>1.8464785017145871</v>
      </c>
      <c r="CJ588" s="46">
        <v>0.26378264310208388</v>
      </c>
      <c r="CK588">
        <v>212</v>
      </c>
      <c r="CL588">
        <v>265.54000000000002</v>
      </c>
      <c r="CM588">
        <f t="shared" si="70"/>
        <v>53.54000000000002</v>
      </c>
      <c r="CN588">
        <v>7.22</v>
      </c>
      <c r="CO588">
        <v>9.4499999999999993</v>
      </c>
      <c r="CP588">
        <f t="shared" si="71"/>
        <v>2.2299999999999995</v>
      </c>
      <c r="CQ588">
        <v>846.56</v>
      </c>
      <c r="CR588">
        <v>478.3</v>
      </c>
      <c r="CS588">
        <f t="shared" si="72"/>
        <v>368.25999999999993</v>
      </c>
      <c r="CT588" t="s">
        <v>152</v>
      </c>
      <c r="CU588">
        <v>76.400000000000006</v>
      </c>
      <c r="CV588">
        <v>222</v>
      </c>
      <c r="CW588" s="46">
        <v>1314</v>
      </c>
      <c r="CX588" s="46">
        <f t="shared" si="66"/>
        <v>95.925418569254191</v>
      </c>
      <c r="CY588" s="46">
        <v>53.54</v>
      </c>
      <c r="CZ588" s="46">
        <f t="shared" si="67"/>
        <v>100</v>
      </c>
      <c r="DA588" s="46">
        <f t="shared" si="68"/>
        <v>1307.919622095149</v>
      </c>
      <c r="DB588" s="46">
        <v>1788632.4</v>
      </c>
      <c r="DC588" s="46">
        <f t="shared" si="69"/>
        <v>53.442071164280385</v>
      </c>
      <c r="DD588" s="46">
        <v>73084.17</v>
      </c>
      <c r="DE588" s="995">
        <v>1314</v>
      </c>
      <c r="DF588" s="995">
        <v>95.97</v>
      </c>
      <c r="DG588" s="995">
        <v>53</v>
      </c>
      <c r="DH588" s="995">
        <v>100</v>
      </c>
      <c r="DI588" s="995">
        <v>3154.058</v>
      </c>
      <c r="DJ588" s="995">
        <v>4311456</v>
      </c>
      <c r="DK588" s="995">
        <v>128.94900000000001</v>
      </c>
      <c r="DL588" s="995">
        <v>176267</v>
      </c>
      <c r="DM588" s="995">
        <v>1314</v>
      </c>
      <c r="DN588" s="995">
        <v>96.680999999999997</v>
      </c>
      <c r="DO588" s="995">
        <v>43.6</v>
      </c>
      <c r="DP588" s="995">
        <v>100</v>
      </c>
      <c r="DQ588" s="995">
        <v>3086.335</v>
      </c>
      <c r="DR588" s="995">
        <v>4190039</v>
      </c>
      <c r="DS588" s="995">
        <v>126.185</v>
      </c>
      <c r="DT588" s="995">
        <v>171309.8</v>
      </c>
    </row>
    <row r="589" spans="1:124">
      <c r="A589" s="42" t="s">
        <v>94</v>
      </c>
      <c r="B589" s="42" t="s">
        <v>510</v>
      </c>
      <c r="C589" s="42" t="s">
        <v>788</v>
      </c>
      <c r="D589" s="42">
        <v>809341</v>
      </c>
      <c r="E589" s="42" t="s">
        <v>810</v>
      </c>
      <c r="F589" s="42" t="s">
        <v>149</v>
      </c>
      <c r="G589" s="42" t="s">
        <v>150</v>
      </c>
      <c r="H589" s="43" t="s">
        <v>150</v>
      </c>
      <c r="I589" s="44">
        <v>70</v>
      </c>
      <c r="J589" s="45">
        <v>184686.4768</v>
      </c>
      <c r="K589" s="46">
        <v>12323.156849999999</v>
      </c>
      <c r="L589" s="47">
        <v>197009.63365</v>
      </c>
      <c r="M589" s="48">
        <v>4510297</v>
      </c>
      <c r="N589" s="49">
        <v>2713084</v>
      </c>
      <c r="O589" s="49">
        <v>1786265</v>
      </c>
      <c r="P589" s="49">
        <v>10948</v>
      </c>
      <c r="Q589" s="50">
        <v>10319.6053440367</v>
      </c>
      <c r="R589" s="51">
        <v>32519.5730044015</v>
      </c>
      <c r="S589" s="49">
        <v>53553.069594271597</v>
      </c>
      <c r="T589" s="49">
        <v>8356.5552035805795</v>
      </c>
      <c r="U589" s="49">
        <f>IFERROR(INDEX('Rentabilidad datos'!$N$2:$N$61,MATCH($C589,'Rentabilidad datos'!$C$2:$C$61,0)),"")</f>
        <v>94429.197802253679</v>
      </c>
      <c r="V589" s="50">
        <f>IFERROR(INDEX('Rentabilidad datos'!$O$2:$O$61,MATCH($C589,'Rentabilidad datos'!$C$2:$C$61,0)),"")</f>
        <v>1573.8199633708946</v>
      </c>
      <c r="W589" s="51">
        <f>IFERROR(INDEX('Rentabilidad datos'!$M$2:$M$61,MATCH($C589,'Rentabilidad datos'!$C$2:$C$61,0)),"")</f>
        <v>3293.1144020900269</v>
      </c>
      <c r="X589" s="52">
        <f>IFERROR(INDEX('Rentabilidad datos'!$P$2:$P$61,MATCH($C589,'Rentabilidad datos'!$C$2:$C$61,0)),"")</f>
        <v>0.47791232590402716</v>
      </c>
      <c r="Y589" s="43" t="s">
        <v>171</v>
      </c>
      <c r="Z589" s="53">
        <v>56.119266055045898</v>
      </c>
      <c r="AA589" s="43">
        <v>1</v>
      </c>
      <c r="AB589" s="54">
        <v>0.98559252306444567</v>
      </c>
      <c r="AC589" s="55">
        <v>1.4407476935554355E-2</v>
      </c>
      <c r="AD589" s="752" t="e">
        <f>_xlfn.XLOOKUP(Table1[[#This Row],[Ruta]],#REF!,#REF!)</f>
        <v>#REF!</v>
      </c>
      <c r="AE589" s="752" t="e">
        <f>_xlfn.XLOOKUP(Table1[[#This Row],[Ruta]],#REF!,#REF!)</f>
        <v>#REF!</v>
      </c>
      <c r="AF589" s="752" t="e">
        <f>_xlfn.XLOOKUP(Table1[[#This Row],[Ruta]],#REF!,#REF!)</f>
        <v>#REF!</v>
      </c>
      <c r="AG589" s="752" t="e">
        <f>_xlfn.XLOOKUP(Table1[[#This Row],[Ruta]],#REF!,#REF!)</f>
        <v>#REF!</v>
      </c>
      <c r="AH589" s="52">
        <v>0.60153111868242826</v>
      </c>
      <c r="AI589" s="52">
        <v>0.39604154670967345</v>
      </c>
      <c r="AJ589" s="55">
        <v>2.4273346078983269E-3</v>
      </c>
      <c r="AK589" s="56">
        <v>24468</v>
      </c>
      <c r="AL589" s="44">
        <v>9451</v>
      </c>
      <c r="AM589" s="54">
        <v>0.38625960438123302</v>
      </c>
      <c r="AN589" s="55">
        <v>0.50474202392821499</v>
      </c>
      <c r="AO589" s="56">
        <v>2899.0278414755699</v>
      </c>
      <c r="AP589" s="48">
        <v>1449.5139207377849</v>
      </c>
      <c r="AQ589" s="55">
        <v>0.44550081415472392</v>
      </c>
      <c r="AR589" s="51">
        <v>4499347.93</v>
      </c>
      <c r="AS589" s="49">
        <v>690071.68117423996</v>
      </c>
      <c r="AT589" s="55">
        <v>0.15337148669323736</v>
      </c>
      <c r="AU589" s="51">
        <v>484915.23541973636</v>
      </c>
      <c r="AV589" s="52">
        <v>2.2059252947223807E-3</v>
      </c>
      <c r="AW589" s="44">
        <v>151</v>
      </c>
      <c r="AX589" s="51">
        <v>476.07109618029801</v>
      </c>
      <c r="AY589" s="49">
        <v>443.48077645239698</v>
      </c>
      <c r="AZ589" s="49">
        <v>0</v>
      </c>
      <c r="BA589" s="42" t="s">
        <v>152</v>
      </c>
      <c r="BB589" s="50">
        <v>0</v>
      </c>
      <c r="BC589" s="57">
        <v>484915.23541973636</v>
      </c>
      <c r="BD589" s="42" t="s">
        <v>150</v>
      </c>
      <c r="BE589" s="46">
        <v>56.119266055045898</v>
      </c>
      <c r="BF589" s="46">
        <v>72.425990467051307</v>
      </c>
      <c r="BG589" s="42" t="s">
        <v>152</v>
      </c>
      <c r="BH589" s="52">
        <v>0.38625960438123302</v>
      </c>
      <c r="BI589" s="52">
        <v>0.49337264070319697</v>
      </c>
      <c r="BJ589" s="42" t="s">
        <v>152</v>
      </c>
      <c r="BK589" s="46">
        <v>451.856957912844</v>
      </c>
      <c r="BL589" s="46">
        <v>605.59017138979505</v>
      </c>
      <c r="BM589" s="42" t="s">
        <v>152</v>
      </c>
      <c r="BN589" s="48">
        <v>0</v>
      </c>
      <c r="BO589" s="42" t="s">
        <v>155</v>
      </c>
      <c r="BP589" s="42" t="s">
        <v>152</v>
      </c>
      <c r="BQ589" s="46">
        <v>5658.6904503944597</v>
      </c>
      <c r="BR589" s="46">
        <v>42</v>
      </c>
      <c r="BS589" s="46">
        <v>4126</v>
      </c>
      <c r="BT589" s="46">
        <v>1547</v>
      </c>
      <c r="BU589" s="46">
        <v>2.6670976082740787</v>
      </c>
      <c r="BV589" s="46">
        <v>36.833333333333336</v>
      </c>
      <c r="BW589" s="46">
        <v>260</v>
      </c>
      <c r="BX589" s="46">
        <v>1287</v>
      </c>
      <c r="BY589" s="46">
        <v>1547</v>
      </c>
      <c r="BZ589" s="46">
        <v>1</v>
      </c>
      <c r="CA589" s="46">
        <v>0.16806722689075632</v>
      </c>
      <c r="CB589" s="46">
        <v>0.83193277310924374</v>
      </c>
      <c r="CC589" s="46">
        <v>0</v>
      </c>
      <c r="CD589" s="46">
        <v>0</v>
      </c>
      <c r="CE589" s="46">
        <v>0</v>
      </c>
      <c r="CF589" s="46">
        <v>0</v>
      </c>
      <c r="CG589" s="46">
        <v>0</v>
      </c>
      <c r="CH589" s="46">
        <v>0</v>
      </c>
      <c r="CI589" s="46">
        <v>1.454192922927775</v>
      </c>
      <c r="CJ589" s="46">
        <v>0.24236548715462919</v>
      </c>
      <c r="CK589">
        <v>227</v>
      </c>
      <c r="CL589">
        <v>357.36</v>
      </c>
      <c r="CM589">
        <f t="shared" si="70"/>
        <v>130.36000000000001</v>
      </c>
      <c r="CN589">
        <v>5.29</v>
      </c>
      <c r="CO589">
        <v>9.4499999999999993</v>
      </c>
      <c r="CP589">
        <f t="shared" si="71"/>
        <v>4.1599999999999993</v>
      </c>
      <c r="CQ589">
        <v>846.56</v>
      </c>
      <c r="CR589">
        <v>451.86</v>
      </c>
      <c r="CS589">
        <f t="shared" si="72"/>
        <v>394.69999999999993</v>
      </c>
      <c r="CT589" t="s">
        <v>152</v>
      </c>
      <c r="CU589">
        <v>57.02</v>
      </c>
      <c r="CV589">
        <v>238</v>
      </c>
      <c r="CW589" s="46">
        <v>1547</v>
      </c>
      <c r="CX589" s="46">
        <f t="shared" si="66"/>
        <v>91.573367808661914</v>
      </c>
      <c r="CY589" s="46">
        <v>130.36000000000001</v>
      </c>
      <c r="CZ589" s="46">
        <f t="shared" si="67"/>
        <v>100</v>
      </c>
      <c r="DA589" s="46">
        <f t="shared" si="68"/>
        <v>1245.3829947059664</v>
      </c>
      <c r="DB589" s="46">
        <v>2088955.62</v>
      </c>
      <c r="DC589" s="46">
        <f t="shared" si="69"/>
        <v>52.828993179758669</v>
      </c>
      <c r="DD589" s="46">
        <v>88613.24</v>
      </c>
      <c r="DE589" s="995">
        <v>1547</v>
      </c>
      <c r="DF589" s="995">
        <v>92.338999999999999</v>
      </c>
      <c r="DG589" s="995">
        <v>118.5</v>
      </c>
      <c r="DH589" s="995">
        <v>100</v>
      </c>
      <c r="DI589" s="995">
        <v>3141.7429999999999</v>
      </c>
      <c r="DJ589" s="995">
        <v>5232610</v>
      </c>
      <c r="DK589" s="995">
        <v>133.126</v>
      </c>
      <c r="DL589" s="995">
        <v>221722.2</v>
      </c>
      <c r="DM589" s="995">
        <v>1547</v>
      </c>
      <c r="DN589" s="995">
        <v>93.691000000000003</v>
      </c>
      <c r="DO589" s="995">
        <v>97.6</v>
      </c>
      <c r="DP589" s="995">
        <v>100</v>
      </c>
      <c r="DQ589" s="995">
        <v>3021.9119999999998</v>
      </c>
      <c r="DR589" s="995">
        <v>4969830</v>
      </c>
      <c r="DS589" s="995">
        <v>128.07300000000001</v>
      </c>
      <c r="DT589" s="995">
        <v>210628</v>
      </c>
    </row>
    <row r="590" spans="1:124">
      <c r="A590" s="42" t="s">
        <v>94</v>
      </c>
      <c r="B590" s="42" t="s">
        <v>510</v>
      </c>
      <c r="C590" s="42" t="s">
        <v>788</v>
      </c>
      <c r="D590" s="42">
        <v>809342</v>
      </c>
      <c r="E590" s="42" t="s">
        <v>811</v>
      </c>
      <c r="F590" s="42" t="s">
        <v>149</v>
      </c>
      <c r="G590" s="42" t="s">
        <v>150</v>
      </c>
      <c r="H590" s="43" t="s">
        <v>150</v>
      </c>
      <c r="I590" s="44">
        <v>70</v>
      </c>
      <c r="J590" s="45">
        <v>208631.75200000001</v>
      </c>
      <c r="K590" s="46">
        <v>9198.3638900000005</v>
      </c>
      <c r="L590" s="47">
        <v>217830.11588999999</v>
      </c>
      <c r="M590" s="48">
        <v>4378525</v>
      </c>
      <c r="N590" s="49">
        <v>3054933</v>
      </c>
      <c r="O590" s="49">
        <v>1319759</v>
      </c>
      <c r="P590" s="49">
        <v>3833</v>
      </c>
      <c r="Q590" s="50">
        <v>10032.6445412844</v>
      </c>
      <c r="R590" s="51">
        <v>32519.5730044015</v>
      </c>
      <c r="S590" s="49">
        <v>53553.069594271597</v>
      </c>
      <c r="T590" s="49">
        <v>8356.5552035805795</v>
      </c>
      <c r="U590" s="49">
        <f>IFERROR(INDEX('Rentabilidad datos'!$N$2:$N$61,MATCH($C590,'Rentabilidad datos'!$C$2:$C$61,0)),"")</f>
        <v>94429.197802253679</v>
      </c>
      <c r="V590" s="50">
        <f>IFERROR(INDEX('Rentabilidad datos'!$O$2:$O$61,MATCH($C590,'Rentabilidad datos'!$C$2:$C$61,0)),"")</f>
        <v>1573.8199633708946</v>
      </c>
      <c r="W590" s="51">
        <f>IFERROR(INDEX('Rentabilidad datos'!$M$2:$M$61,MATCH($C590,'Rentabilidad datos'!$C$2:$C$61,0)),"")</f>
        <v>3293.1144020900269</v>
      </c>
      <c r="X590" s="52">
        <f>IFERROR(INDEX('Rentabilidad datos'!$P$2:$P$61,MATCH($C590,'Rentabilidad datos'!$C$2:$C$61,0)),"")</f>
        <v>0.47791232590402716</v>
      </c>
      <c r="Y590" s="43" t="s">
        <v>171</v>
      </c>
      <c r="Z590" s="53">
        <v>92.325688073394502</v>
      </c>
      <c r="AA590" s="43">
        <v>1</v>
      </c>
      <c r="AB590" s="54">
        <v>0.98587469524554505</v>
      </c>
      <c r="AC590" s="55">
        <v>1.4125304754454983E-2</v>
      </c>
      <c r="AD590" s="752" t="e">
        <f>_xlfn.XLOOKUP(Table1[[#This Row],[Ruta]],#REF!,#REF!)</f>
        <v>#REF!</v>
      </c>
      <c r="AE590" s="752" t="e">
        <f>_xlfn.XLOOKUP(Table1[[#This Row],[Ruta]],#REF!,#REF!)</f>
        <v>#REF!</v>
      </c>
      <c r="AF590" s="752" t="e">
        <f>_xlfn.XLOOKUP(Table1[[#This Row],[Ruta]],#REF!,#REF!)</f>
        <v>#REF!</v>
      </c>
      <c r="AG590" s="752" t="e">
        <f>_xlfn.XLOOKUP(Table1[[#This Row],[Ruta]],#REF!,#REF!)</f>
        <v>#REF!</v>
      </c>
      <c r="AH590" s="52">
        <v>0.69770824649853547</v>
      </c>
      <c r="AI590" s="52">
        <v>0.30141634454525212</v>
      </c>
      <c r="AJ590" s="55">
        <v>8.7540895621242309E-4</v>
      </c>
      <c r="AK590" s="56">
        <v>40254</v>
      </c>
      <c r="AL590" s="44">
        <v>12906</v>
      </c>
      <c r="AM590" s="54">
        <v>0.32061410046206601</v>
      </c>
      <c r="AN590" s="55">
        <v>0.50474202392821499</v>
      </c>
      <c r="AO590" s="56">
        <v>7411.8854312063804</v>
      </c>
      <c r="AP590" s="48">
        <v>3705.9427156031902</v>
      </c>
      <c r="AQ590" s="55">
        <v>0.41267806219514058</v>
      </c>
      <c r="AR590" s="51">
        <v>4374233.0199999996</v>
      </c>
      <c r="AS590" s="49">
        <v>1256055.8652425201</v>
      </c>
      <c r="AT590" s="55">
        <v>0.28714882346220327</v>
      </c>
      <c r="AU590" s="51">
        <v>882633.85125150089</v>
      </c>
      <c r="AV590" s="52">
        <v>4.0151849152947278E-3</v>
      </c>
      <c r="AW590" s="44">
        <v>60</v>
      </c>
      <c r="AX590" s="51">
        <v>338.93018905935202</v>
      </c>
      <c r="AY590" s="49">
        <v>443.48077645239698</v>
      </c>
      <c r="AZ590" s="49">
        <v>104.55058739304496</v>
      </c>
      <c r="BA590" s="42" t="s">
        <v>150</v>
      </c>
      <c r="BB590" s="50">
        <v>474088.87707108934</v>
      </c>
      <c r="BC590" s="57">
        <v>1356722.7283225902</v>
      </c>
      <c r="BD590" s="42" t="s">
        <v>150</v>
      </c>
      <c r="BE590" s="46">
        <v>92.325688073394502</v>
      </c>
      <c r="BF590" s="46">
        <v>72.425990467051307</v>
      </c>
      <c r="BG590" s="42" t="s">
        <v>150</v>
      </c>
      <c r="BH590" s="52">
        <v>0.32061410046206601</v>
      </c>
      <c r="BI590" s="52">
        <v>0.49337264070319697</v>
      </c>
      <c r="BJ590" s="42" t="s">
        <v>152</v>
      </c>
      <c r="BK590" s="46">
        <v>499.61035754587198</v>
      </c>
      <c r="BL590" s="46">
        <v>605.59017138979505</v>
      </c>
      <c r="BM590" s="42" t="s">
        <v>152</v>
      </c>
      <c r="BN590" s="48">
        <v>1</v>
      </c>
      <c r="BO590" s="42" t="s">
        <v>155</v>
      </c>
      <c r="BP590" s="42" t="s">
        <v>152</v>
      </c>
      <c r="BQ590" s="46">
        <v>2455.44154146554</v>
      </c>
      <c r="BR590" s="46">
        <v>45</v>
      </c>
      <c r="BS590" s="46">
        <v>7108</v>
      </c>
      <c r="BT590" s="46">
        <v>2693</v>
      </c>
      <c r="BU590" s="46">
        <v>2.6394355737096173</v>
      </c>
      <c r="BV590" s="46">
        <v>59.844444444444441</v>
      </c>
      <c r="BW590" s="46">
        <v>0</v>
      </c>
      <c r="BX590" s="46">
        <v>2693</v>
      </c>
      <c r="BY590" s="46">
        <v>2693</v>
      </c>
      <c r="BZ590" s="46">
        <v>1</v>
      </c>
      <c r="CA590" s="46">
        <v>0</v>
      </c>
      <c r="CB590" s="46">
        <v>1</v>
      </c>
      <c r="CC590" s="46">
        <v>0</v>
      </c>
      <c r="CD590" s="46">
        <v>0</v>
      </c>
      <c r="CE590" s="46">
        <v>0</v>
      </c>
      <c r="CF590" s="46">
        <v>0</v>
      </c>
      <c r="CG590" s="46">
        <v>0</v>
      </c>
      <c r="CH590" s="46">
        <v>0</v>
      </c>
      <c r="CI590" s="46">
        <v>1.9696117051209898</v>
      </c>
      <c r="CJ590" s="46">
        <v>1.4068655036578499</v>
      </c>
      <c r="CK590">
        <v>320</v>
      </c>
      <c r="CL590">
        <v>396.94</v>
      </c>
      <c r="CM590">
        <f t="shared" si="70"/>
        <v>76.94</v>
      </c>
      <c r="CN590">
        <v>7.42</v>
      </c>
      <c r="CO590">
        <v>9.4499999999999993</v>
      </c>
      <c r="CP590">
        <f t="shared" si="71"/>
        <v>2.0299999999999994</v>
      </c>
      <c r="CQ590">
        <v>846.56</v>
      </c>
      <c r="CR590">
        <v>499.61</v>
      </c>
      <c r="CS590">
        <f t="shared" si="72"/>
        <v>346.94999999999993</v>
      </c>
      <c r="CT590" t="s">
        <v>152</v>
      </c>
      <c r="CU590">
        <v>78.47</v>
      </c>
      <c r="CV590">
        <v>337</v>
      </c>
      <c r="CW590" s="46">
        <v>2693</v>
      </c>
      <c r="CX590" s="46">
        <f t="shared" si="66"/>
        <v>97.142963238024507</v>
      </c>
      <c r="CY590" s="46">
        <v>76.94</v>
      </c>
      <c r="CZ590" s="46">
        <f t="shared" si="67"/>
        <v>100</v>
      </c>
      <c r="DA590" s="46">
        <f t="shared" si="68"/>
        <v>771.62259471324285</v>
      </c>
      <c r="DB590" s="46">
        <v>2137348.29</v>
      </c>
      <c r="DC590" s="46">
        <f t="shared" si="69"/>
        <v>37.985097150118776</v>
      </c>
      <c r="DD590" s="46">
        <v>105216.44</v>
      </c>
      <c r="DE590" s="995">
        <v>2693</v>
      </c>
      <c r="DF590" s="995">
        <v>97.106999999999999</v>
      </c>
      <c r="DG590" s="995">
        <v>77.900000000000006</v>
      </c>
      <c r="DH590" s="995">
        <v>100</v>
      </c>
      <c r="DI590" s="995">
        <v>1954.9559999999999</v>
      </c>
      <c r="DJ590" s="995">
        <v>5417025</v>
      </c>
      <c r="DK590" s="995">
        <v>96.093000000000004</v>
      </c>
      <c r="DL590" s="995">
        <v>266267.2</v>
      </c>
      <c r="DM590" s="995">
        <v>2693</v>
      </c>
      <c r="DN590" s="995">
        <v>97.525999999999996</v>
      </c>
      <c r="DO590" s="995">
        <v>66.599999999999994</v>
      </c>
      <c r="DP590" s="995">
        <v>100</v>
      </c>
      <c r="DQ590" s="995">
        <v>1918.7670000000001</v>
      </c>
      <c r="DR590" s="995">
        <v>5295099</v>
      </c>
      <c r="DS590" s="995">
        <v>94.317999999999998</v>
      </c>
      <c r="DT590" s="995">
        <v>260282.8</v>
      </c>
    </row>
    <row r="591" spans="1:124">
      <c r="A591" s="42" t="s">
        <v>94</v>
      </c>
      <c r="B591" s="42" t="s">
        <v>510</v>
      </c>
      <c r="C591" s="42" t="s">
        <v>788</v>
      </c>
      <c r="D591" s="42">
        <v>809343</v>
      </c>
      <c r="E591" s="42" t="s">
        <v>812</v>
      </c>
      <c r="F591" s="42" t="s">
        <v>149</v>
      </c>
      <c r="G591" s="42" t="s">
        <v>150</v>
      </c>
      <c r="H591" s="43" t="s">
        <v>150</v>
      </c>
      <c r="I591" s="44">
        <v>70</v>
      </c>
      <c r="J591" s="45">
        <v>166620.08720000001</v>
      </c>
      <c r="K591" s="46">
        <v>5864.994025</v>
      </c>
      <c r="L591" s="47">
        <v>172485.081225</v>
      </c>
      <c r="M591" s="48">
        <v>3336255</v>
      </c>
      <c r="N591" s="49">
        <v>2421072</v>
      </c>
      <c r="O591" s="49">
        <v>897694</v>
      </c>
      <c r="P591" s="49">
        <v>17489</v>
      </c>
      <c r="Q591" s="50">
        <v>7611.8547247706401</v>
      </c>
      <c r="R591" s="51">
        <v>32519.5730044015</v>
      </c>
      <c r="S591" s="49">
        <v>53553.069594271597</v>
      </c>
      <c r="T591" s="49">
        <v>8356.5552035805795</v>
      </c>
      <c r="U591" s="49">
        <f>IFERROR(INDEX('Rentabilidad datos'!$N$2:$N$61,MATCH($C591,'Rentabilidad datos'!$C$2:$C$61,0)),"")</f>
        <v>94429.197802253679</v>
      </c>
      <c r="V591" s="50">
        <f>IFERROR(INDEX('Rentabilidad datos'!$O$2:$O$61,MATCH($C591,'Rentabilidad datos'!$C$2:$C$61,0)),"")</f>
        <v>1573.8199633708946</v>
      </c>
      <c r="W591" s="51">
        <f>IFERROR(INDEX('Rentabilidad datos'!$M$2:$M$61,MATCH($C591,'Rentabilidad datos'!$C$2:$C$61,0)),"")</f>
        <v>3293.1144020900269</v>
      </c>
      <c r="X591" s="52">
        <f>IFERROR(INDEX('Rentabilidad datos'!$P$2:$P$61,MATCH($C591,'Rentabilidad datos'!$C$2:$C$61,0)),"")</f>
        <v>0.47791232590402716</v>
      </c>
      <c r="Y591" s="43" t="s">
        <v>171</v>
      </c>
      <c r="Z591" s="53">
        <v>80.651376146789005</v>
      </c>
      <c r="AA591" s="43">
        <v>1</v>
      </c>
      <c r="AB591" s="54">
        <v>0.9793969585658171</v>
      </c>
      <c r="AC591" s="55">
        <v>2.0603041434182939E-2</v>
      </c>
      <c r="AD591" s="752" t="e">
        <f>_xlfn.XLOOKUP(Table1[[#This Row],[Ruta]],#REF!,#REF!)</f>
        <v>#REF!</v>
      </c>
      <c r="AE591" s="752" t="e">
        <f>_xlfn.XLOOKUP(Table1[[#This Row],[Ruta]],#REF!,#REF!)</f>
        <v>#REF!</v>
      </c>
      <c r="AF591" s="752" t="e">
        <f>_xlfn.XLOOKUP(Table1[[#This Row],[Ruta]],#REF!,#REF!)</f>
        <v>#REF!</v>
      </c>
      <c r="AG591" s="752" t="e">
        <f>_xlfn.XLOOKUP(Table1[[#This Row],[Ruta]],#REF!,#REF!)</f>
        <v>#REF!</v>
      </c>
      <c r="AH591" s="52">
        <v>0.7256855366271463</v>
      </c>
      <c r="AI591" s="52">
        <v>0.2690723580781445</v>
      </c>
      <c r="AJ591" s="55">
        <v>5.2421052947091871E-3</v>
      </c>
      <c r="AK591" s="56">
        <v>35164</v>
      </c>
      <c r="AL591" s="44">
        <v>9129</v>
      </c>
      <c r="AM591" s="54">
        <v>0.25961210328745299</v>
      </c>
      <c r="AN591" s="55">
        <v>0.50474202392821499</v>
      </c>
      <c r="AO591" s="56">
        <v>8619.7485294117705</v>
      </c>
      <c r="AP591" s="48">
        <v>4309.8742647058853</v>
      </c>
      <c r="AQ591" s="55">
        <v>0.38217706360783432</v>
      </c>
      <c r="AR591" s="51">
        <v>3318768.66</v>
      </c>
      <c r="AS591" s="49">
        <v>1566817.3554876151</v>
      </c>
      <c r="AT591" s="55">
        <v>0.47210803644494309</v>
      </c>
      <c r="AU591" s="51">
        <v>1101006.7903426487</v>
      </c>
      <c r="AV591" s="52">
        <v>5.0085840804231794E-3</v>
      </c>
      <c r="AW591" s="44">
        <v>31</v>
      </c>
      <c r="AX591" s="51">
        <v>363.54131449227702</v>
      </c>
      <c r="AY591" s="49">
        <v>443.48077645239698</v>
      </c>
      <c r="AZ591" s="49">
        <v>79.939461960119957</v>
      </c>
      <c r="BA591" s="42" t="s">
        <v>150</v>
      </c>
      <c r="BB591" s="50">
        <v>256404.7439740854</v>
      </c>
      <c r="BC591" s="57">
        <v>1357411.5343167342</v>
      </c>
      <c r="BD591" s="42" t="s">
        <v>150</v>
      </c>
      <c r="BE591" s="46">
        <v>80.651376146789005</v>
      </c>
      <c r="BF591" s="46">
        <v>72.425990467051307</v>
      </c>
      <c r="BG591" s="42" t="s">
        <v>150</v>
      </c>
      <c r="BH591" s="52">
        <v>0.25961210328745299</v>
      </c>
      <c r="BI591" s="52">
        <v>0.49337264070319697</v>
      </c>
      <c r="BJ591" s="42" t="s">
        <v>152</v>
      </c>
      <c r="BK591" s="46">
        <v>395.60798446100898</v>
      </c>
      <c r="BL591" s="46">
        <v>605.59017138979505</v>
      </c>
      <c r="BM591" s="42" t="s">
        <v>152</v>
      </c>
      <c r="BN591" s="48">
        <v>1</v>
      </c>
      <c r="BO591" s="42" t="s">
        <v>155</v>
      </c>
      <c r="BP591" s="42" t="s">
        <v>152</v>
      </c>
      <c r="BQ591" s="46">
        <v>5649.56981603858</v>
      </c>
      <c r="BR591" s="46">
        <v>64</v>
      </c>
      <c r="BS591" s="46">
        <v>7366</v>
      </c>
      <c r="BT591" s="46">
        <v>2319</v>
      </c>
      <c r="BU591" s="46">
        <v>3.1763691246226822</v>
      </c>
      <c r="BV591" s="46">
        <v>36.234375</v>
      </c>
      <c r="BW591" s="46">
        <v>0</v>
      </c>
      <c r="BX591" s="46">
        <v>2319</v>
      </c>
      <c r="BY591" s="46">
        <v>2319</v>
      </c>
      <c r="BZ591" s="46">
        <v>1</v>
      </c>
      <c r="CA591" s="46">
        <v>0</v>
      </c>
      <c r="CB591" s="46">
        <v>1</v>
      </c>
      <c r="CC591" s="46">
        <v>0</v>
      </c>
      <c r="CD591" s="46">
        <v>0</v>
      </c>
      <c r="CE591" s="46">
        <v>0</v>
      </c>
      <c r="CF591" s="46">
        <v>0</v>
      </c>
      <c r="CG591" s="46">
        <v>0</v>
      </c>
      <c r="CH591" s="46">
        <v>0</v>
      </c>
      <c r="CI591" s="46">
        <v>3.5297311973934291</v>
      </c>
      <c r="CJ591" s="46">
        <v>0.13575889220743961</v>
      </c>
      <c r="CK591">
        <v>300</v>
      </c>
      <c r="CL591">
        <v>383.63</v>
      </c>
      <c r="CM591">
        <f t="shared" si="70"/>
        <v>83.63</v>
      </c>
      <c r="CN591">
        <v>6.91</v>
      </c>
      <c r="CO591">
        <v>9.4499999999999993</v>
      </c>
      <c r="CP591">
        <f t="shared" si="71"/>
        <v>2.5399999999999991</v>
      </c>
      <c r="CQ591">
        <v>564.37</v>
      </c>
      <c r="CR591">
        <v>395.61</v>
      </c>
      <c r="CS591">
        <f t="shared" si="72"/>
        <v>168.76</v>
      </c>
      <c r="CT591" t="s">
        <v>152</v>
      </c>
      <c r="CU591">
        <v>74.52</v>
      </c>
      <c r="CV591">
        <v>305</v>
      </c>
      <c r="CW591" s="46">
        <v>2319</v>
      </c>
      <c r="CX591" s="46">
        <f t="shared" si="66"/>
        <v>96.393704182837425</v>
      </c>
      <c r="CY591" s="46">
        <v>83.63</v>
      </c>
      <c r="CZ591" s="46">
        <f t="shared" si="67"/>
        <v>100</v>
      </c>
      <c r="DA591" s="46">
        <f t="shared" si="68"/>
        <v>979.27698813383665</v>
      </c>
      <c r="DB591" s="46">
        <v>2352840.27</v>
      </c>
      <c r="DC591" s="46">
        <f t="shared" si="69"/>
        <v>49.948265026242076</v>
      </c>
      <c r="DD591" s="46">
        <v>120007.2</v>
      </c>
      <c r="DE591" s="995">
        <v>2319</v>
      </c>
      <c r="DF591" s="995">
        <v>96.457999999999998</v>
      </c>
      <c r="DG591" s="995">
        <v>82.1</v>
      </c>
      <c r="DH591" s="995">
        <v>100</v>
      </c>
      <c r="DI591" s="995">
        <v>2018.8720000000001</v>
      </c>
      <c r="DJ591" s="995">
        <v>4847577</v>
      </c>
      <c r="DK591" s="995">
        <v>102.928</v>
      </c>
      <c r="DL591" s="995">
        <v>247143.2</v>
      </c>
      <c r="DM591" s="995">
        <v>2319</v>
      </c>
      <c r="DN591" s="995">
        <v>97.07</v>
      </c>
      <c r="DO591" s="995">
        <v>68</v>
      </c>
      <c r="DP591" s="995">
        <v>100</v>
      </c>
      <c r="DQ591" s="995">
        <v>1969.0820000000001</v>
      </c>
      <c r="DR591" s="995">
        <v>4700102</v>
      </c>
      <c r="DS591" s="995">
        <v>100.38800000000001</v>
      </c>
      <c r="DT591" s="995">
        <v>239620.9</v>
      </c>
    </row>
    <row r="592" spans="1:124">
      <c r="A592" s="42" t="s">
        <v>94</v>
      </c>
      <c r="B592" s="42" t="s">
        <v>510</v>
      </c>
      <c r="C592" s="42" t="s">
        <v>788</v>
      </c>
      <c r="D592" s="42">
        <v>809344</v>
      </c>
      <c r="E592" s="42" t="s">
        <v>813</v>
      </c>
      <c r="F592" s="42" t="s">
        <v>149</v>
      </c>
      <c r="G592" s="42" t="s">
        <v>150</v>
      </c>
      <c r="H592" s="43" t="s">
        <v>150</v>
      </c>
      <c r="I592" s="44">
        <v>70</v>
      </c>
      <c r="J592" s="45">
        <v>227909.84719999999</v>
      </c>
      <c r="K592" s="46">
        <v>13345.758825000001</v>
      </c>
      <c r="L592" s="47">
        <v>241255.60602499999</v>
      </c>
      <c r="M592" s="48">
        <v>5158557</v>
      </c>
      <c r="N592" s="49">
        <v>3298694</v>
      </c>
      <c r="O592" s="49">
        <v>1848277</v>
      </c>
      <c r="P592" s="49">
        <v>11586</v>
      </c>
      <c r="Q592" s="50">
        <v>11880.886374133999</v>
      </c>
      <c r="R592" s="51">
        <v>32519.5730044015</v>
      </c>
      <c r="S592" s="49">
        <v>53553.069594271597</v>
      </c>
      <c r="T592" s="49">
        <v>8356.5552035805795</v>
      </c>
      <c r="U592" s="49">
        <f>IFERROR(INDEX('Rentabilidad datos'!$N$2:$N$61,MATCH($C592,'Rentabilidad datos'!$C$2:$C$61,0)),"")</f>
        <v>94429.197802253679</v>
      </c>
      <c r="V592" s="50">
        <f>IFERROR(INDEX('Rentabilidad datos'!$O$2:$O$61,MATCH($C592,'Rentabilidad datos'!$C$2:$C$61,0)),"")</f>
        <v>1573.8199633708946</v>
      </c>
      <c r="W592" s="51">
        <f>IFERROR(INDEX('Rentabilidad datos'!$M$2:$M$61,MATCH($C592,'Rentabilidad datos'!$C$2:$C$61,0)),"")</f>
        <v>3293.1144020900269</v>
      </c>
      <c r="X592" s="52">
        <f>IFERROR(INDEX('Rentabilidad datos'!$P$2:$P$61,MATCH($C592,'Rentabilidad datos'!$C$2:$C$61,0)),"")</f>
        <v>0.47791232590402716</v>
      </c>
      <c r="Y592" s="43" t="s">
        <v>171</v>
      </c>
      <c r="Z592" s="53">
        <v>69.891454965357994</v>
      </c>
      <c r="AA592" s="43">
        <v>1</v>
      </c>
      <c r="AB592" s="54">
        <v>0.96466725093858607</v>
      </c>
      <c r="AC592" s="55">
        <v>3.5332749061413878E-2</v>
      </c>
      <c r="AD592" s="752" t="e">
        <f>_xlfn.XLOOKUP(Table1[[#This Row],[Ruta]],#REF!,#REF!)</f>
        <v>#REF!</v>
      </c>
      <c r="AE592" s="752" t="e">
        <f>_xlfn.XLOOKUP(Table1[[#This Row],[Ruta]],#REF!,#REF!)</f>
        <v>#REF!</v>
      </c>
      <c r="AF592" s="752" t="e">
        <f>_xlfn.XLOOKUP(Table1[[#This Row],[Ruta]],#REF!,#REF!)</f>
        <v>#REF!</v>
      </c>
      <c r="AG592" s="752" t="e">
        <f>_xlfn.XLOOKUP(Table1[[#This Row],[Ruta]],#REF!,#REF!)</f>
        <v>#REF!</v>
      </c>
      <c r="AH592" s="52">
        <v>0.63946060884855982</v>
      </c>
      <c r="AI592" s="52">
        <v>0.3582934142241716</v>
      </c>
      <c r="AJ592" s="55">
        <v>2.2459769272686141E-3</v>
      </c>
      <c r="AK592" s="56">
        <v>30263</v>
      </c>
      <c r="AL592" s="44">
        <v>16743</v>
      </c>
      <c r="AM592" s="54">
        <v>0.55324984304265901</v>
      </c>
      <c r="AN592" s="55">
        <v>0.50474202392821499</v>
      </c>
      <c r="AO592" s="56">
        <v>0</v>
      </c>
      <c r="AP592" s="48">
        <v>0</v>
      </c>
      <c r="AQ592" s="55">
        <v>0.55324984304265934</v>
      </c>
      <c r="AR592" s="51">
        <v>5144423.8</v>
      </c>
      <c r="AS592" s="49">
        <v>0</v>
      </c>
      <c r="AT592" s="55">
        <v>0</v>
      </c>
      <c r="AU592" s="51">
        <v>0</v>
      </c>
      <c r="AV592" s="52">
        <v>0</v>
      </c>
      <c r="AW592" s="44">
        <v>490</v>
      </c>
      <c r="AX592" s="51">
        <v>307.25818551036298</v>
      </c>
      <c r="AY592" s="49">
        <v>443.48077645239698</v>
      </c>
      <c r="AZ592" s="49">
        <v>136.222590942034</v>
      </c>
      <c r="BA592" s="42" t="s">
        <v>150</v>
      </c>
      <c r="BB592" s="50">
        <v>801353.32221222145</v>
      </c>
      <c r="BC592" s="57">
        <v>801353.32221222145</v>
      </c>
      <c r="BD592" s="42" t="s">
        <v>150</v>
      </c>
      <c r="BE592" s="46">
        <v>69.891454965357994</v>
      </c>
      <c r="BF592" s="46">
        <v>72.425990467051307</v>
      </c>
      <c r="BG592" s="42" t="s">
        <v>152</v>
      </c>
      <c r="BH592" s="52">
        <v>0.55324984304265901</v>
      </c>
      <c r="BI592" s="52">
        <v>0.49337264070319697</v>
      </c>
      <c r="BJ592" s="42" t="s">
        <v>150</v>
      </c>
      <c r="BK592" s="46">
        <v>557.172300288683</v>
      </c>
      <c r="BL592" s="46">
        <v>605.59017138979505</v>
      </c>
      <c r="BM592" s="42" t="s">
        <v>152</v>
      </c>
      <c r="BN592" s="48">
        <v>1</v>
      </c>
      <c r="BO592" s="42" t="s">
        <v>155</v>
      </c>
      <c r="BP592" s="42" t="s">
        <v>152</v>
      </c>
      <c r="BQ592" s="46">
        <v>0</v>
      </c>
      <c r="BR592" s="46">
        <v>133</v>
      </c>
      <c r="BS592" s="46">
        <v>14544</v>
      </c>
      <c r="BT592" s="46">
        <v>4489</v>
      </c>
      <c r="BU592" s="46">
        <v>3.2399198039652486</v>
      </c>
      <c r="BV592" s="46">
        <v>33.751879699248121</v>
      </c>
      <c r="BW592" s="46">
        <v>0</v>
      </c>
      <c r="BX592" s="46">
        <v>4094</v>
      </c>
      <c r="BY592" s="46">
        <v>4094</v>
      </c>
      <c r="BZ592" s="46">
        <v>0.91200712853642241</v>
      </c>
      <c r="CA592" s="46">
        <v>0</v>
      </c>
      <c r="CB592" s="46">
        <v>0.91200712853642241</v>
      </c>
      <c r="CC592" s="46">
        <v>8.7992871463577635E-2</v>
      </c>
      <c r="CD592" s="46">
        <v>0</v>
      </c>
      <c r="CE592" s="46">
        <v>0</v>
      </c>
      <c r="CF592" s="46">
        <v>0</v>
      </c>
      <c r="CG592" s="46">
        <v>0</v>
      </c>
      <c r="CH592" s="46">
        <v>0</v>
      </c>
      <c r="CI592" s="46">
        <v>3.1628162816281629</v>
      </c>
      <c r="CJ592" s="46">
        <v>0.34378437843784387</v>
      </c>
      <c r="CK592">
        <v>366</v>
      </c>
      <c r="CL592">
        <v>536.85</v>
      </c>
      <c r="CM592">
        <f t="shared" si="70"/>
        <v>170.85000000000002</v>
      </c>
      <c r="CN592">
        <v>13.43</v>
      </c>
      <c r="CO592">
        <v>9.4499999999999993</v>
      </c>
      <c r="CP592">
        <f t="shared" si="71"/>
        <v>-3.9800000000000004</v>
      </c>
      <c r="CQ592">
        <v>846.56</v>
      </c>
      <c r="CR592">
        <v>557.16999999999996</v>
      </c>
      <c r="CS592">
        <f t="shared" si="72"/>
        <v>289.39</v>
      </c>
      <c r="CT592" t="s">
        <v>150</v>
      </c>
      <c r="CU592">
        <v>142.07</v>
      </c>
      <c r="CV592">
        <v>354</v>
      </c>
      <c r="CW592" s="46">
        <v>4094</v>
      </c>
      <c r="CX592" s="46">
        <f t="shared" si="66"/>
        <v>87.394742704388506</v>
      </c>
      <c r="CY592" s="46">
        <v>170.85</v>
      </c>
      <c r="CZ592" s="46">
        <f t="shared" si="67"/>
        <v>91.200712853642244</v>
      </c>
      <c r="DA592" s="46">
        <f t="shared" si="68"/>
        <v>690.87767632005318</v>
      </c>
      <c r="DB592" s="46">
        <v>3219386.34</v>
      </c>
      <c r="DC592" s="46">
        <f t="shared" si="69"/>
        <v>32.269489361245533</v>
      </c>
      <c r="DD592" s="46">
        <v>150370.98000000001</v>
      </c>
      <c r="DE592" s="995">
        <v>4094</v>
      </c>
      <c r="DF592" s="995">
        <v>87.435000000000002</v>
      </c>
      <c r="DG592" s="995">
        <v>169</v>
      </c>
      <c r="DH592" s="995">
        <v>91.200999999999993</v>
      </c>
      <c r="DI592" s="995">
        <v>1549.403</v>
      </c>
      <c r="DJ592" s="995">
        <v>7217178</v>
      </c>
      <c r="DK592" s="995">
        <v>72.412000000000006</v>
      </c>
      <c r="DL592" s="995">
        <v>337297.1</v>
      </c>
      <c r="DM592" s="995">
        <v>4094</v>
      </c>
      <c r="DN592" s="995">
        <v>87.555999999999997</v>
      </c>
      <c r="DO592" s="995">
        <v>163.6</v>
      </c>
      <c r="DP592" s="995">
        <v>91.200999999999993</v>
      </c>
      <c r="DQ592" s="995">
        <v>1538.0119999999999</v>
      </c>
      <c r="DR592" s="995">
        <v>7155745</v>
      </c>
      <c r="DS592" s="995">
        <v>71.876000000000005</v>
      </c>
      <c r="DT592" s="995">
        <v>334408.59999999998</v>
      </c>
    </row>
    <row r="593" spans="1:124">
      <c r="A593" s="42" t="s">
        <v>94</v>
      </c>
      <c r="B593" s="42" t="s">
        <v>510</v>
      </c>
      <c r="C593" s="42" t="s">
        <v>788</v>
      </c>
      <c r="D593" s="42">
        <v>809345</v>
      </c>
      <c r="E593" s="42" t="s">
        <v>814</v>
      </c>
      <c r="F593" s="42" t="s">
        <v>149</v>
      </c>
      <c r="G593" s="42" t="s">
        <v>150</v>
      </c>
      <c r="H593" s="43" t="s">
        <v>150</v>
      </c>
      <c r="I593" s="44">
        <v>70</v>
      </c>
      <c r="J593" s="45">
        <v>294581.83439999999</v>
      </c>
      <c r="K593" s="46">
        <v>13000.630555</v>
      </c>
      <c r="L593" s="47">
        <v>307582.46495499997</v>
      </c>
      <c r="M593" s="48">
        <v>6234300</v>
      </c>
      <c r="N593" s="49">
        <v>4321881</v>
      </c>
      <c r="O593" s="49">
        <v>1906917</v>
      </c>
      <c r="P593" s="49">
        <v>5502</v>
      </c>
      <c r="Q593" s="50">
        <v>14018.552448979601</v>
      </c>
      <c r="R593" s="51">
        <v>32519.5730044015</v>
      </c>
      <c r="S593" s="49">
        <v>53553.069594271597</v>
      </c>
      <c r="T593" s="49">
        <v>8356.5552035805795</v>
      </c>
      <c r="U593" s="49">
        <f>IFERROR(INDEX('Rentabilidad datos'!$N$2:$N$61,MATCH($C593,'Rentabilidad datos'!$C$2:$C$61,0)),"")</f>
        <v>94429.197802253679</v>
      </c>
      <c r="V593" s="50">
        <f>IFERROR(INDEX('Rentabilidad datos'!$O$2:$O$61,MATCH($C593,'Rentabilidad datos'!$C$2:$C$61,0)),"")</f>
        <v>1573.8199633708946</v>
      </c>
      <c r="W593" s="51">
        <f>IFERROR(INDEX('Rentabilidad datos'!$M$2:$M$61,MATCH($C593,'Rentabilidad datos'!$C$2:$C$61,0)),"")</f>
        <v>3293.1144020900269</v>
      </c>
      <c r="X593" s="52">
        <f>IFERROR(INDEX('Rentabilidad datos'!$P$2:$P$61,MATCH($C593,'Rentabilidad datos'!$C$2:$C$61,0)),"")</f>
        <v>0.47791232590402716</v>
      </c>
      <c r="Y593" s="43" t="s">
        <v>171</v>
      </c>
      <c r="Z593" s="53">
        <v>94.160997732426296</v>
      </c>
      <c r="AA593" s="43">
        <v>1</v>
      </c>
      <c r="AB593" s="54">
        <v>0.95318095054777596</v>
      </c>
      <c r="AC593" s="55">
        <v>4.6819049452223989E-2</v>
      </c>
      <c r="AD593" s="752" t="e">
        <f>_xlfn.XLOOKUP(Table1[[#This Row],[Ruta]],#REF!,#REF!)</f>
        <v>#REF!</v>
      </c>
      <c r="AE593" s="752" t="e">
        <f>_xlfn.XLOOKUP(Table1[[#This Row],[Ruta]],#REF!,#REF!)</f>
        <v>#REF!</v>
      </c>
      <c r="AF593" s="752" t="e">
        <f>_xlfn.XLOOKUP(Table1[[#This Row],[Ruta]],#REF!,#REF!)</f>
        <v>#REF!</v>
      </c>
      <c r="AG593" s="752" t="e">
        <f>_xlfn.XLOOKUP(Table1[[#This Row],[Ruta]],#REF!,#REF!)</f>
        <v>#REF!</v>
      </c>
      <c r="AH593" s="52">
        <v>0.69324238487079548</v>
      </c>
      <c r="AI593" s="52">
        <v>0.30587507819642945</v>
      </c>
      <c r="AJ593" s="55">
        <v>8.8253693277513118E-4</v>
      </c>
      <c r="AK593" s="56">
        <v>41525</v>
      </c>
      <c r="AL593" s="44">
        <v>15392</v>
      </c>
      <c r="AM593" s="54">
        <v>0.37066827212522602</v>
      </c>
      <c r="AN593" s="55">
        <v>0.50474202392821499</v>
      </c>
      <c r="AO593" s="56">
        <v>5567.4125436191398</v>
      </c>
      <c r="AP593" s="48">
        <v>2783.7062718095699</v>
      </c>
      <c r="AQ593" s="55">
        <v>0.4377051480267205</v>
      </c>
      <c r="AR593" s="51">
        <v>6182181.6299999999</v>
      </c>
      <c r="AS593" s="49">
        <v>1118072.880515655</v>
      </c>
      <c r="AT593" s="55">
        <v>0.18085409770072625</v>
      </c>
      <c r="AU593" s="51">
        <v>785672.83495694713</v>
      </c>
      <c r="AV593" s="52">
        <v>3.5741000764960341E-3</v>
      </c>
      <c r="AW593" s="44">
        <v>75</v>
      </c>
      <c r="AX593" s="51">
        <v>401.64901442307701</v>
      </c>
      <c r="AY593" s="49">
        <v>443.48077645239698</v>
      </c>
      <c r="AZ593" s="49">
        <v>41.831762029319975</v>
      </c>
      <c r="BA593" s="42" t="s">
        <v>150</v>
      </c>
      <c r="BB593" s="50">
        <v>226226.16905456252</v>
      </c>
      <c r="BC593" s="57">
        <v>1011899.0040115097</v>
      </c>
      <c r="BD593" s="42" t="s">
        <v>150</v>
      </c>
      <c r="BE593" s="46">
        <v>94.160997732426296</v>
      </c>
      <c r="BF593" s="46">
        <v>72.425990467051307</v>
      </c>
      <c r="BG593" s="42" t="s">
        <v>150</v>
      </c>
      <c r="BH593" s="52">
        <v>0.37066827212522602</v>
      </c>
      <c r="BI593" s="52">
        <v>0.49337264070319697</v>
      </c>
      <c r="BJ593" s="42" t="s">
        <v>152</v>
      </c>
      <c r="BK593" s="46">
        <v>697.465906927437</v>
      </c>
      <c r="BL593" s="46">
        <v>605.59017138979505</v>
      </c>
      <c r="BM593" s="42" t="s">
        <v>150</v>
      </c>
      <c r="BN593" s="48">
        <v>2</v>
      </c>
      <c r="BO593" s="42" t="s">
        <v>161</v>
      </c>
      <c r="BP593" s="42" t="s">
        <v>152</v>
      </c>
      <c r="BQ593" s="46">
        <v>3412.93089501347</v>
      </c>
      <c r="BR593" s="46">
        <v>185</v>
      </c>
      <c r="BS593" s="46">
        <v>12356</v>
      </c>
      <c r="BT593" s="46">
        <v>3708</v>
      </c>
      <c r="BU593" s="46">
        <v>3.332254584681769</v>
      </c>
      <c r="BV593" s="46">
        <v>20.043243243243243</v>
      </c>
      <c r="BW593" s="46">
        <v>0</v>
      </c>
      <c r="BX593" s="46">
        <v>1541</v>
      </c>
      <c r="BY593" s="46">
        <v>1541</v>
      </c>
      <c r="BZ593" s="46">
        <v>0.41558791801510248</v>
      </c>
      <c r="CA593" s="46">
        <v>0</v>
      </c>
      <c r="CB593" s="46">
        <v>0.41558791801510248</v>
      </c>
      <c r="CC593" s="46">
        <v>0.58441208198489747</v>
      </c>
      <c r="CD593" s="46">
        <v>0</v>
      </c>
      <c r="CE593" s="46">
        <v>0</v>
      </c>
      <c r="CF593" s="46">
        <v>0</v>
      </c>
      <c r="CG593" s="46">
        <v>0</v>
      </c>
      <c r="CH593" s="46">
        <v>0</v>
      </c>
      <c r="CI593" s="46">
        <v>6.312722563936549</v>
      </c>
      <c r="CJ593" s="46">
        <v>0.40466170281644548</v>
      </c>
      <c r="CK593">
        <v>392</v>
      </c>
      <c r="CL593">
        <v>454.21</v>
      </c>
      <c r="CM593">
        <f t="shared" si="70"/>
        <v>62.20999999999998</v>
      </c>
      <c r="CN593">
        <v>6.59</v>
      </c>
      <c r="CO593">
        <v>9.4499999999999993</v>
      </c>
      <c r="CP593">
        <f t="shared" si="71"/>
        <v>2.8599999999999994</v>
      </c>
      <c r="CQ593">
        <v>846.56</v>
      </c>
      <c r="CR593">
        <v>697.47</v>
      </c>
      <c r="CS593">
        <f t="shared" si="72"/>
        <v>149.08999999999992</v>
      </c>
      <c r="CT593" t="s">
        <v>152</v>
      </c>
      <c r="CU593">
        <v>82.39</v>
      </c>
      <c r="CV593">
        <v>155</v>
      </c>
      <c r="CW593" s="46">
        <v>1541</v>
      </c>
      <c r="CX593" s="46">
        <f t="shared" si="66"/>
        <v>39.881067961165044</v>
      </c>
      <c r="CY593" s="46">
        <v>62.21</v>
      </c>
      <c r="CZ593" s="46">
        <f t="shared" si="67"/>
        <v>41.558791801510246</v>
      </c>
      <c r="DA593" s="46">
        <f t="shared" si="68"/>
        <v>347.02059832210938</v>
      </c>
      <c r="DB593" s="46">
        <v>1308340.53</v>
      </c>
      <c r="DC593" s="46">
        <f t="shared" si="69"/>
        <v>17.8014487256678</v>
      </c>
      <c r="DD593" s="46">
        <v>67115.199999999997</v>
      </c>
      <c r="DE593" s="995">
        <v>1541</v>
      </c>
      <c r="DF593" s="995">
        <v>39.902999999999999</v>
      </c>
      <c r="DG593" s="995">
        <v>61.4</v>
      </c>
      <c r="DH593" s="995">
        <v>41.558999999999997</v>
      </c>
      <c r="DI593" s="995">
        <v>1345.9549999999999</v>
      </c>
      <c r="DJ593" s="995">
        <v>5073427</v>
      </c>
      <c r="DK593" s="995">
        <v>69.870999999999995</v>
      </c>
      <c r="DL593" s="995">
        <v>263369.90000000002</v>
      </c>
      <c r="DM593" s="995">
        <v>1541</v>
      </c>
      <c r="DN593" s="995">
        <v>39.969000000000001</v>
      </c>
      <c r="DO593" s="995">
        <v>58.9</v>
      </c>
      <c r="DP593" s="995">
        <v>41.558999999999997</v>
      </c>
      <c r="DQ593" s="995">
        <v>1339.3130000000001</v>
      </c>
      <c r="DR593" s="995">
        <v>5045100</v>
      </c>
      <c r="DS593" s="995">
        <v>69.602000000000004</v>
      </c>
      <c r="DT593" s="995">
        <v>262186.8</v>
      </c>
    </row>
    <row r="594" spans="1:124">
      <c r="A594" s="42" t="s">
        <v>94</v>
      </c>
      <c r="B594" s="42" t="s">
        <v>510</v>
      </c>
      <c r="C594" s="42" t="s">
        <v>788</v>
      </c>
      <c r="D594" s="42">
        <v>809346</v>
      </c>
      <c r="E594" s="42" t="s">
        <v>815</v>
      </c>
      <c r="F594" s="42" t="s">
        <v>149</v>
      </c>
      <c r="G594" s="42" t="s">
        <v>150</v>
      </c>
      <c r="H594" s="43" t="s">
        <v>150</v>
      </c>
      <c r="I594" s="44">
        <v>70</v>
      </c>
      <c r="J594" s="45">
        <v>218335.96400000001</v>
      </c>
      <c r="K594" s="46">
        <v>11907.99725</v>
      </c>
      <c r="L594" s="47">
        <v>230243.96124999999</v>
      </c>
      <c r="M594" s="48">
        <v>4963548</v>
      </c>
      <c r="N594" s="49">
        <v>3188316</v>
      </c>
      <c r="O594" s="49">
        <v>1759380</v>
      </c>
      <c r="P594" s="49">
        <v>15852</v>
      </c>
      <c r="Q594" s="50">
        <v>11374.0148965517</v>
      </c>
      <c r="R594" s="51">
        <v>32519.5730044015</v>
      </c>
      <c r="S594" s="49">
        <v>53553.069594271597</v>
      </c>
      <c r="T594" s="49">
        <v>8356.5552035805795</v>
      </c>
      <c r="U594" s="49">
        <f>IFERROR(INDEX('Rentabilidad datos'!$N$2:$N$61,MATCH($C594,'Rentabilidad datos'!$C$2:$C$61,0)),"")</f>
        <v>94429.197802253679</v>
      </c>
      <c r="V594" s="50">
        <f>IFERROR(INDEX('Rentabilidad datos'!$O$2:$O$61,MATCH($C594,'Rentabilidad datos'!$C$2:$C$61,0)),"")</f>
        <v>1573.8199633708946</v>
      </c>
      <c r="W594" s="51">
        <f>IFERROR(INDEX('Rentabilidad datos'!$M$2:$M$61,MATCH($C594,'Rentabilidad datos'!$C$2:$C$61,0)),"")</f>
        <v>3293.1144020900269</v>
      </c>
      <c r="X594" s="52">
        <f>IFERROR(INDEX('Rentabilidad datos'!$P$2:$P$61,MATCH($C594,'Rentabilidad datos'!$C$2:$C$61,0)),"")</f>
        <v>0.47791232590402716</v>
      </c>
      <c r="Y594" s="43" t="s">
        <v>171</v>
      </c>
      <c r="Z594" s="53">
        <v>76.537931034482796</v>
      </c>
      <c r="AA594" s="43">
        <v>1</v>
      </c>
      <c r="AB594" s="54">
        <v>0.9768204115282052</v>
      </c>
      <c r="AC594" s="55">
        <v>2.3179588471794771E-2</v>
      </c>
      <c r="AD594" s="752" t="e">
        <f>_xlfn.XLOOKUP(Table1[[#This Row],[Ruta]],#REF!,#REF!)</f>
        <v>#REF!</v>
      </c>
      <c r="AE594" s="752" t="e">
        <f>_xlfn.XLOOKUP(Table1[[#This Row],[Ruta]],#REF!,#REF!)</f>
        <v>#REF!</v>
      </c>
      <c r="AF594" s="752" t="e">
        <f>_xlfn.XLOOKUP(Table1[[#This Row],[Ruta]],#REF!,#REF!)</f>
        <v>#REF!</v>
      </c>
      <c r="AG594" s="752" t="e">
        <f>_xlfn.XLOOKUP(Table1[[#This Row],[Ruta]],#REF!,#REF!)</f>
        <v>#REF!</v>
      </c>
      <c r="AH594" s="52">
        <v>0.64234616044813109</v>
      </c>
      <c r="AI594" s="52">
        <v>0.35446015632366201</v>
      </c>
      <c r="AJ594" s="55">
        <v>3.1936832282069196E-3</v>
      </c>
      <c r="AK594" s="56">
        <v>33294</v>
      </c>
      <c r="AL594" s="44">
        <v>19062</v>
      </c>
      <c r="AM594" s="54">
        <v>0.57253559199855797</v>
      </c>
      <c r="AN594" s="55">
        <v>0.50474202392821499</v>
      </c>
      <c r="AO594" s="56">
        <v>0</v>
      </c>
      <c r="AP594" s="48">
        <v>0</v>
      </c>
      <c r="AQ594" s="55">
        <v>0.5725355919985583</v>
      </c>
      <c r="AR594" s="51">
        <v>4947696.4800000004</v>
      </c>
      <c r="AS594" s="49">
        <v>0</v>
      </c>
      <c r="AT594" s="55">
        <v>0</v>
      </c>
      <c r="AU594" s="51">
        <v>0</v>
      </c>
      <c r="AV594" s="52">
        <v>0</v>
      </c>
      <c r="AW594" s="44">
        <v>490</v>
      </c>
      <c r="AX594" s="51">
        <v>259.55809883537898</v>
      </c>
      <c r="AY594" s="49">
        <v>443.48077645239698</v>
      </c>
      <c r="AZ594" s="49">
        <v>183.922677617018</v>
      </c>
      <c r="BA594" s="42" t="s">
        <v>150</v>
      </c>
      <c r="BB594" s="50">
        <v>1231814.6770152103</v>
      </c>
      <c r="BC594" s="57">
        <v>1231814.6770152103</v>
      </c>
      <c r="BD594" s="42" t="s">
        <v>150</v>
      </c>
      <c r="BE594" s="46">
        <v>76.537931034482796</v>
      </c>
      <c r="BF594" s="46">
        <v>72.425990467051307</v>
      </c>
      <c r="BG594" s="42" t="s">
        <v>150</v>
      </c>
      <c r="BH594" s="52">
        <v>0.57253559199855797</v>
      </c>
      <c r="BI594" s="52">
        <v>0.49337264070319697</v>
      </c>
      <c r="BJ594" s="42" t="s">
        <v>150</v>
      </c>
      <c r="BK594" s="46">
        <v>529.29646264367705</v>
      </c>
      <c r="BL594" s="46">
        <v>605.59017138979505</v>
      </c>
      <c r="BM594" s="42" t="s">
        <v>152</v>
      </c>
      <c r="BN594" s="48">
        <v>2</v>
      </c>
      <c r="BO594" s="42" t="s">
        <v>161</v>
      </c>
      <c r="BP594" s="42" t="s">
        <v>152</v>
      </c>
      <c r="BQ594" s="46">
        <v>0</v>
      </c>
      <c r="BR594" s="46">
        <v>91</v>
      </c>
      <c r="BS594" s="46">
        <v>9515</v>
      </c>
      <c r="BT594" s="46">
        <v>3417</v>
      </c>
      <c r="BU594" s="46">
        <v>2.7846063798653788</v>
      </c>
      <c r="BV594" s="46">
        <v>37.549450549450547</v>
      </c>
      <c r="BW594" s="46">
        <v>1203</v>
      </c>
      <c r="BX594" s="46">
        <v>2214</v>
      </c>
      <c r="BY594" s="46">
        <v>3417</v>
      </c>
      <c r="BZ594" s="46">
        <v>1</v>
      </c>
      <c r="CA594" s="46">
        <v>0.35206321334503948</v>
      </c>
      <c r="CB594" s="46">
        <v>0.64793678665496046</v>
      </c>
      <c r="CC594" s="46">
        <v>0</v>
      </c>
      <c r="CD594" s="46">
        <v>0</v>
      </c>
      <c r="CE594" s="46">
        <v>0</v>
      </c>
      <c r="CF594" s="46">
        <v>0</v>
      </c>
      <c r="CG594" s="46">
        <v>0</v>
      </c>
      <c r="CH594" s="46">
        <v>0</v>
      </c>
      <c r="CI594" s="46">
        <v>0.94587493431424063</v>
      </c>
      <c r="CJ594" s="46">
        <v>0.210194429847609</v>
      </c>
      <c r="CK594">
        <v>316</v>
      </c>
      <c r="CL594">
        <v>455.3</v>
      </c>
      <c r="CM594">
        <f t="shared" si="70"/>
        <v>139.30000000000001</v>
      </c>
      <c r="CN594">
        <v>7.41</v>
      </c>
      <c r="CO594">
        <v>9.4499999999999993</v>
      </c>
      <c r="CP594">
        <f t="shared" si="71"/>
        <v>2.0399999999999991</v>
      </c>
      <c r="CQ594">
        <v>846.56</v>
      </c>
      <c r="CR594">
        <v>529.29999999999995</v>
      </c>
      <c r="CS594">
        <f t="shared" si="72"/>
        <v>317.26</v>
      </c>
      <c r="CT594" t="s">
        <v>152</v>
      </c>
      <c r="CU594">
        <v>78.38</v>
      </c>
      <c r="CV594">
        <v>256</v>
      </c>
      <c r="CW594" s="46">
        <v>3417</v>
      </c>
      <c r="CX594" s="46">
        <f t="shared" si="66"/>
        <v>95.923324553702074</v>
      </c>
      <c r="CY594" s="46">
        <v>139.30000000000001</v>
      </c>
      <c r="CZ594" s="46">
        <f t="shared" si="67"/>
        <v>100</v>
      </c>
      <c r="DA594" s="46">
        <f t="shared" si="68"/>
        <v>732.44755504316288</v>
      </c>
      <c r="DB594" s="46">
        <v>2604803.2400000002</v>
      </c>
      <c r="DC594" s="46">
        <f t="shared" si="69"/>
        <v>33.658957343306248</v>
      </c>
      <c r="DD594" s="46">
        <v>119701.35</v>
      </c>
      <c r="DE594" s="995">
        <v>3417</v>
      </c>
      <c r="DF594" s="995">
        <v>95.923000000000002</v>
      </c>
      <c r="DG594" s="995">
        <v>139.30000000000001</v>
      </c>
      <c r="DH594" s="995">
        <v>100</v>
      </c>
      <c r="DI594" s="995">
        <v>1717.0509999999999</v>
      </c>
      <c r="DJ594" s="995">
        <v>6106350</v>
      </c>
      <c r="DK594" s="995">
        <v>78.584999999999994</v>
      </c>
      <c r="DL594" s="995">
        <v>279472.2</v>
      </c>
      <c r="DM594" s="995">
        <v>3417</v>
      </c>
      <c r="DN594" s="995">
        <v>95.923000000000002</v>
      </c>
      <c r="DO594" s="995">
        <v>139.30000000000001</v>
      </c>
      <c r="DP594" s="995">
        <v>100</v>
      </c>
      <c r="DQ594" s="995">
        <v>1717.0509999999999</v>
      </c>
      <c r="DR594" s="995">
        <v>6106350</v>
      </c>
      <c r="DS594" s="995">
        <v>78.584999999999994</v>
      </c>
      <c r="DT594" s="995">
        <v>279472.2</v>
      </c>
    </row>
    <row r="595" spans="1:124">
      <c r="A595" s="42" t="s">
        <v>94</v>
      </c>
      <c r="B595" s="42" t="s">
        <v>510</v>
      </c>
      <c r="C595" s="42" t="s">
        <v>788</v>
      </c>
      <c r="D595" s="42">
        <v>809347</v>
      </c>
      <c r="E595" s="42" t="s">
        <v>816</v>
      </c>
      <c r="F595" s="42" t="s">
        <v>149</v>
      </c>
      <c r="G595" s="42" t="s">
        <v>150</v>
      </c>
      <c r="H595" s="43" t="s">
        <v>150</v>
      </c>
      <c r="I595" s="44">
        <v>70</v>
      </c>
      <c r="J595" s="45">
        <v>252654.7072</v>
      </c>
      <c r="K595" s="46">
        <v>14162.890675000001</v>
      </c>
      <c r="L595" s="47">
        <v>266817.59787499998</v>
      </c>
      <c r="M595" s="48">
        <v>5650503</v>
      </c>
      <c r="N595" s="49">
        <v>3661412</v>
      </c>
      <c r="O595" s="49">
        <v>1987567</v>
      </c>
      <c r="P595" s="49">
        <v>1524</v>
      </c>
      <c r="Q595" s="50">
        <v>12986.159793103499</v>
      </c>
      <c r="R595" s="51">
        <v>32519.5730044015</v>
      </c>
      <c r="S595" s="49">
        <v>53553.069594271597</v>
      </c>
      <c r="T595" s="49">
        <v>8356.5552035805795</v>
      </c>
      <c r="U595" s="49">
        <f>IFERROR(INDEX('Rentabilidad datos'!$N$2:$N$61,MATCH($C595,'Rentabilidad datos'!$C$2:$C$61,0)),"")</f>
        <v>94429.197802253679</v>
      </c>
      <c r="V595" s="50">
        <f>IFERROR(INDEX('Rentabilidad datos'!$O$2:$O$61,MATCH($C595,'Rentabilidad datos'!$C$2:$C$61,0)),"")</f>
        <v>1573.8199633708946</v>
      </c>
      <c r="W595" s="51">
        <f>IFERROR(INDEX('Rentabilidad datos'!$M$2:$M$61,MATCH($C595,'Rentabilidad datos'!$C$2:$C$61,0)),"")</f>
        <v>3293.1144020900269</v>
      </c>
      <c r="X595" s="52">
        <f>IFERROR(INDEX('Rentabilidad datos'!$P$2:$P$61,MATCH($C595,'Rentabilidad datos'!$C$2:$C$61,0)),"")</f>
        <v>0.47791232590402716</v>
      </c>
      <c r="Y595" s="43" t="s">
        <v>171</v>
      </c>
      <c r="Z595" s="53">
        <v>52.6620689655172</v>
      </c>
      <c r="AA595" s="43">
        <v>1</v>
      </c>
      <c r="AB595" s="54">
        <v>0.98578462837733205</v>
      </c>
      <c r="AC595" s="55">
        <v>1.4215371622667929E-2</v>
      </c>
      <c r="AD595" s="752" t="e">
        <f>_xlfn.XLOOKUP(Table1[[#This Row],[Ruta]],#REF!,#REF!)</f>
        <v>#REF!</v>
      </c>
      <c r="AE595" s="752" t="e">
        <f>_xlfn.XLOOKUP(Table1[[#This Row],[Ruta]],#REF!,#REF!)</f>
        <v>#REF!</v>
      </c>
      <c r="AF595" s="752" t="e">
        <f>_xlfn.XLOOKUP(Table1[[#This Row],[Ruta]],#REF!,#REF!)</f>
        <v>#REF!</v>
      </c>
      <c r="AG595" s="752" t="e">
        <f>_xlfn.XLOOKUP(Table1[[#This Row],[Ruta]],#REF!,#REF!)</f>
        <v>#REF!</v>
      </c>
      <c r="AH595" s="52">
        <v>0.64797983471559961</v>
      </c>
      <c r="AI595" s="52">
        <v>0.35175045478252115</v>
      </c>
      <c r="AJ595" s="55">
        <v>2.6971050187921326E-4</v>
      </c>
      <c r="AK595" s="56">
        <v>22908</v>
      </c>
      <c r="AL595" s="44">
        <v>7628</v>
      </c>
      <c r="AM595" s="54">
        <v>0.33298411035446102</v>
      </c>
      <c r="AN595" s="55">
        <v>0.50474202392821499</v>
      </c>
      <c r="AO595" s="56">
        <v>3934.6302841475599</v>
      </c>
      <c r="AP595" s="48">
        <v>1967.31514207378</v>
      </c>
      <c r="AQ595" s="55">
        <v>0.41886306714133836</v>
      </c>
      <c r="AR595" s="51">
        <v>5648979.5099999998</v>
      </c>
      <c r="AS595" s="49">
        <v>1456911.7628850951</v>
      </c>
      <c r="AT595" s="55">
        <v>0.25790707158806725</v>
      </c>
      <c r="AU595" s="51">
        <v>1023775.8333787158</v>
      </c>
      <c r="AV595" s="52">
        <v>4.657253148626638E-3</v>
      </c>
      <c r="AW595" s="44">
        <v>40</v>
      </c>
      <c r="AX595" s="51">
        <v>740.55840456214003</v>
      </c>
      <c r="AY595" s="49">
        <v>443.48077645239698</v>
      </c>
      <c r="AZ595" s="49">
        <v>0</v>
      </c>
      <c r="BA595" s="42" t="s">
        <v>152</v>
      </c>
      <c r="BB595" s="50">
        <v>0</v>
      </c>
      <c r="BC595" s="57">
        <v>1023775.8333787158</v>
      </c>
      <c r="BD595" s="42" t="s">
        <v>150</v>
      </c>
      <c r="BE595" s="46">
        <v>52.6620689655172</v>
      </c>
      <c r="BF595" s="46">
        <v>72.425990467051307</v>
      </c>
      <c r="BG595" s="42" t="s">
        <v>152</v>
      </c>
      <c r="BH595" s="52">
        <v>0.33298411035446102</v>
      </c>
      <c r="BI595" s="52">
        <v>0.49337264070319697</v>
      </c>
      <c r="BJ595" s="42" t="s">
        <v>152</v>
      </c>
      <c r="BK595" s="46">
        <v>613.37378821839002</v>
      </c>
      <c r="BL595" s="46">
        <v>605.59017138979505</v>
      </c>
      <c r="BM595" s="42" t="s">
        <v>150</v>
      </c>
      <c r="BN595" s="48">
        <v>1</v>
      </c>
      <c r="BO595" s="42" t="s">
        <v>155</v>
      </c>
      <c r="BP595" s="42" t="s">
        <v>152</v>
      </c>
      <c r="BQ595" s="46">
        <v>6330.5050004710602</v>
      </c>
      <c r="BR595" s="46">
        <v>151</v>
      </c>
      <c r="BS595" s="46">
        <v>7411</v>
      </c>
      <c r="BT595" s="46">
        <v>2349</v>
      </c>
      <c r="BU595" s="46">
        <v>3.1549595572584077</v>
      </c>
      <c r="BV595" s="46">
        <v>15.556291390728477</v>
      </c>
      <c r="BW595" s="46">
        <v>1438</v>
      </c>
      <c r="BX595" s="46">
        <v>911</v>
      </c>
      <c r="BY595" s="46">
        <v>2349</v>
      </c>
      <c r="BZ595" s="46">
        <v>1</v>
      </c>
      <c r="CA595" s="46">
        <v>0.61217539378458918</v>
      </c>
      <c r="CB595" s="46">
        <v>0.38782460621541082</v>
      </c>
      <c r="CC595" s="46">
        <v>0</v>
      </c>
      <c r="CD595" s="46">
        <v>0</v>
      </c>
      <c r="CE595" s="46">
        <v>0</v>
      </c>
      <c r="CF595" s="46">
        <v>0</v>
      </c>
      <c r="CG595" s="46">
        <v>0</v>
      </c>
      <c r="CH595" s="46">
        <v>0</v>
      </c>
      <c r="CI595" s="46">
        <v>0.26986911347996217</v>
      </c>
      <c r="CJ595" s="46">
        <v>0.26986911347996217</v>
      </c>
      <c r="CK595">
        <v>169</v>
      </c>
      <c r="CL595">
        <v>352.75</v>
      </c>
      <c r="CM595">
        <f t="shared" si="70"/>
        <v>183.75</v>
      </c>
      <c r="CN595">
        <v>5.14</v>
      </c>
      <c r="CO595">
        <v>9.4499999999999993</v>
      </c>
      <c r="CP595">
        <f t="shared" si="71"/>
        <v>4.3099999999999996</v>
      </c>
      <c r="CQ595">
        <v>846.56</v>
      </c>
      <c r="CR595">
        <v>613.37</v>
      </c>
      <c r="CS595">
        <f t="shared" si="72"/>
        <v>233.18999999999994</v>
      </c>
      <c r="CT595" t="s">
        <v>152</v>
      </c>
      <c r="CU595">
        <v>72.45</v>
      </c>
      <c r="CV595">
        <v>88</v>
      </c>
      <c r="CW595" s="46">
        <v>2349</v>
      </c>
      <c r="CX595" s="46">
        <f t="shared" si="66"/>
        <v>92.17752234993614</v>
      </c>
      <c r="CY595" s="46">
        <v>183.75</v>
      </c>
      <c r="CZ595" s="46">
        <f t="shared" si="67"/>
        <v>100</v>
      </c>
      <c r="DA595" s="46">
        <f t="shared" si="68"/>
        <v>806.53086960813346</v>
      </c>
      <c r="DB595" s="46">
        <v>2042741.06</v>
      </c>
      <c r="DC595" s="46">
        <f t="shared" si="69"/>
        <v>38.484872174513868</v>
      </c>
      <c r="DD595" s="46">
        <v>97472.56</v>
      </c>
      <c r="DE595" s="995">
        <v>2349</v>
      </c>
      <c r="DF595" s="995">
        <v>92.177999999999997</v>
      </c>
      <c r="DG595" s="995">
        <v>183.7</v>
      </c>
      <c r="DH595" s="995">
        <v>100</v>
      </c>
      <c r="DI595" s="995">
        <v>2389.4540000000002</v>
      </c>
      <c r="DJ595" s="995">
        <v>6051882</v>
      </c>
      <c r="DK595" s="995">
        <v>113.911</v>
      </c>
      <c r="DL595" s="995">
        <v>288508.59999999998</v>
      </c>
      <c r="DM595" s="995">
        <v>2349</v>
      </c>
      <c r="DN595" s="995">
        <v>92.177999999999997</v>
      </c>
      <c r="DO595" s="995">
        <v>183.7</v>
      </c>
      <c r="DP595" s="995">
        <v>100</v>
      </c>
      <c r="DQ595" s="995">
        <v>2389.4540000000002</v>
      </c>
      <c r="DR595" s="995">
        <v>6051882</v>
      </c>
      <c r="DS595" s="995">
        <v>113.911</v>
      </c>
      <c r="DT595" s="995">
        <v>288508.59999999998</v>
      </c>
    </row>
    <row r="596" spans="1:124">
      <c r="A596" s="42" t="s">
        <v>94</v>
      </c>
      <c r="B596" s="42" t="s">
        <v>510</v>
      </c>
      <c r="C596" s="42" t="s">
        <v>788</v>
      </c>
      <c r="D596" s="42">
        <v>809348</v>
      </c>
      <c r="E596" s="42" t="s">
        <v>817</v>
      </c>
      <c r="F596" s="42" t="s">
        <v>149</v>
      </c>
      <c r="G596" s="42" t="s">
        <v>150</v>
      </c>
      <c r="H596" s="43" t="s">
        <v>150</v>
      </c>
      <c r="I596" s="44">
        <v>70</v>
      </c>
      <c r="J596" s="45">
        <v>198959.24160000001</v>
      </c>
      <c r="K596" s="46">
        <v>10886.661948000001</v>
      </c>
      <c r="L596" s="47">
        <v>209845.903548</v>
      </c>
      <c r="M596" s="48">
        <v>4548692</v>
      </c>
      <c r="N596" s="49">
        <v>2917995</v>
      </c>
      <c r="O596" s="49">
        <v>1627887</v>
      </c>
      <c r="P596" s="49">
        <v>2810</v>
      </c>
      <c r="Q596" s="50">
        <v>10522.875</v>
      </c>
      <c r="R596" s="51">
        <v>32519.5730044015</v>
      </c>
      <c r="S596" s="49">
        <v>53553.069594271597</v>
      </c>
      <c r="T596" s="49">
        <v>8356.5552035805795</v>
      </c>
      <c r="U596" s="49">
        <f>IFERROR(INDEX('Rentabilidad datos'!$N$2:$N$61,MATCH($C596,'Rentabilidad datos'!$C$2:$C$61,0)),"")</f>
        <v>94429.197802253679</v>
      </c>
      <c r="V596" s="50">
        <f>IFERROR(INDEX('Rentabilidad datos'!$O$2:$O$61,MATCH($C596,'Rentabilidad datos'!$C$2:$C$61,0)),"")</f>
        <v>1573.8199633708946</v>
      </c>
      <c r="W596" s="51">
        <f>IFERROR(INDEX('Rentabilidad datos'!$M$2:$M$61,MATCH($C596,'Rentabilidad datos'!$C$2:$C$61,0)),"")</f>
        <v>3293.1144020900269</v>
      </c>
      <c r="X596" s="52">
        <f>IFERROR(INDEX('Rentabilidad datos'!$P$2:$P$61,MATCH($C596,'Rentabilidad datos'!$C$2:$C$61,0)),"")</f>
        <v>0.47791232590402716</v>
      </c>
      <c r="Y596" s="43" t="s">
        <v>171</v>
      </c>
      <c r="Z596" s="53">
        <v>99.196759259259196</v>
      </c>
      <c r="AA596" s="43">
        <v>1</v>
      </c>
      <c r="AB596" s="54">
        <v>0.98084526277004469</v>
      </c>
      <c r="AC596" s="55">
        <v>1.9154737229955338E-2</v>
      </c>
      <c r="AD596" s="752" t="e">
        <f>_xlfn.XLOOKUP(Table1[[#This Row],[Ruta]],#REF!,#REF!)</f>
        <v>#REF!</v>
      </c>
      <c r="AE596" s="752" t="e">
        <f>_xlfn.XLOOKUP(Table1[[#This Row],[Ruta]],#REF!,#REF!)</f>
        <v>#REF!</v>
      </c>
      <c r="AF596" s="752" t="e">
        <f>_xlfn.XLOOKUP(Table1[[#This Row],[Ruta]],#REF!,#REF!)</f>
        <v>#REF!</v>
      </c>
      <c r="AG596" s="752" t="e">
        <f>_xlfn.XLOOKUP(Table1[[#This Row],[Ruta]],#REF!,#REF!)</f>
        <v>#REF!</v>
      </c>
      <c r="AH596" s="52">
        <v>0.64150199661792884</v>
      </c>
      <c r="AI596" s="52">
        <v>0.35788024337545826</v>
      </c>
      <c r="AJ596" s="55">
        <v>6.1776000661289E-4</v>
      </c>
      <c r="AK596" s="56">
        <v>42853</v>
      </c>
      <c r="AL596" s="44">
        <v>17166</v>
      </c>
      <c r="AM596" s="54">
        <v>0.400578722609852</v>
      </c>
      <c r="AN596" s="55">
        <v>0.50474202392821499</v>
      </c>
      <c r="AO596" s="56">
        <v>4463.7099513958101</v>
      </c>
      <c r="AP596" s="48">
        <v>2231.854975697905</v>
      </c>
      <c r="AQ596" s="55">
        <v>0.4526603732690338</v>
      </c>
      <c r="AR596" s="51">
        <v>4545882</v>
      </c>
      <c r="AS596" s="49">
        <v>591037.47877406003</v>
      </c>
      <c r="AT596" s="55">
        <v>0.1300160186239018</v>
      </c>
      <c r="AU596" s="51">
        <v>415323.63373312342</v>
      </c>
      <c r="AV596" s="52">
        <v>1.8893465130145539E-3</v>
      </c>
      <c r="AW596" s="44">
        <v>182</v>
      </c>
      <c r="AX596" s="51">
        <v>264.81894442502602</v>
      </c>
      <c r="AY596" s="49">
        <v>443.48077645239698</v>
      </c>
      <c r="AZ596" s="49">
        <v>178.66183202737096</v>
      </c>
      <c r="BA596" s="42" t="s">
        <v>150</v>
      </c>
      <c r="BB596" s="50">
        <v>1077562.6246368666</v>
      </c>
      <c r="BC596" s="57">
        <v>1492886.2583699902</v>
      </c>
      <c r="BD596" s="42" t="s">
        <v>150</v>
      </c>
      <c r="BE596" s="46">
        <v>99.196759259259295</v>
      </c>
      <c r="BF596" s="46">
        <v>72.425990467051307</v>
      </c>
      <c r="BG596" s="42" t="s">
        <v>150</v>
      </c>
      <c r="BH596" s="52">
        <v>0.400578722609852</v>
      </c>
      <c r="BI596" s="52">
        <v>0.49337264070319697</v>
      </c>
      <c r="BJ596" s="42" t="s">
        <v>152</v>
      </c>
      <c r="BK596" s="46">
        <v>485.75440636111</v>
      </c>
      <c r="BL596" s="46">
        <v>605.59017138979505</v>
      </c>
      <c r="BM596" s="42" t="s">
        <v>152</v>
      </c>
      <c r="BN596" s="48">
        <v>1</v>
      </c>
      <c r="BO596" s="42" t="s">
        <v>155</v>
      </c>
      <c r="BP596" s="42" t="s">
        <v>152</v>
      </c>
      <c r="BQ596" s="46">
        <v>0</v>
      </c>
      <c r="BR596" s="46">
        <v>56</v>
      </c>
      <c r="BS596" s="46">
        <v>3448</v>
      </c>
      <c r="BT596" s="46">
        <v>1135</v>
      </c>
      <c r="BU596" s="46">
        <v>3.037885462555066</v>
      </c>
      <c r="BV596" s="46">
        <v>20.267857142857142</v>
      </c>
      <c r="BW596" s="46">
        <v>554</v>
      </c>
      <c r="BX596" s="46">
        <v>581</v>
      </c>
      <c r="BY596" s="46">
        <v>1135</v>
      </c>
      <c r="BZ596" s="46">
        <v>1</v>
      </c>
      <c r="CA596" s="46">
        <v>0.48810572687224668</v>
      </c>
      <c r="CB596" s="46">
        <v>0.51189427312775326</v>
      </c>
      <c r="CC596" s="46">
        <v>0</v>
      </c>
      <c r="CD596" s="46">
        <v>0</v>
      </c>
      <c r="CE596" s="46">
        <v>0</v>
      </c>
      <c r="CF596" s="46">
        <v>0</v>
      </c>
      <c r="CG596" s="46">
        <v>0</v>
      </c>
      <c r="CH596" s="46">
        <v>0</v>
      </c>
      <c r="CI596" s="46">
        <v>1.4501160092807419</v>
      </c>
      <c r="CJ596" s="46">
        <v>1.4501160092807419</v>
      </c>
      <c r="CK596">
        <v>320</v>
      </c>
      <c r="CL596">
        <v>393.62</v>
      </c>
      <c r="CM596">
        <f t="shared" si="70"/>
        <v>73.62</v>
      </c>
      <c r="CN596">
        <v>7.47</v>
      </c>
      <c r="CO596">
        <v>9.4499999999999993</v>
      </c>
      <c r="CP596">
        <f t="shared" si="71"/>
        <v>1.9799999999999995</v>
      </c>
      <c r="CQ596">
        <v>846.56</v>
      </c>
      <c r="CR596">
        <v>485.75</v>
      </c>
      <c r="CS596">
        <f t="shared" si="72"/>
        <v>360.80999999999995</v>
      </c>
      <c r="CT596" t="s">
        <v>152</v>
      </c>
      <c r="CU596">
        <v>79.05</v>
      </c>
      <c r="CV596">
        <v>323</v>
      </c>
      <c r="CW596" s="46">
        <v>1135</v>
      </c>
      <c r="CX596" s="46">
        <f t="shared" si="66"/>
        <v>93.513656387665208</v>
      </c>
      <c r="CY596" s="46">
        <v>73.62</v>
      </c>
      <c r="CZ596" s="46">
        <f t="shared" si="67"/>
        <v>100</v>
      </c>
      <c r="DA596" s="46">
        <f t="shared" si="68"/>
        <v>1937.7036703016668</v>
      </c>
      <c r="DB596" s="46">
        <v>2341947.41</v>
      </c>
      <c r="DC596" s="46">
        <f t="shared" si="69"/>
        <v>87.876768545944969</v>
      </c>
      <c r="DD596" s="46">
        <v>106209.62</v>
      </c>
      <c r="DE596" s="995">
        <v>1135</v>
      </c>
      <c r="DF596" s="995">
        <v>93.41</v>
      </c>
      <c r="DG596" s="995">
        <v>74.8</v>
      </c>
      <c r="DH596" s="995">
        <v>100</v>
      </c>
      <c r="DI596" s="995">
        <v>4662.027</v>
      </c>
      <c r="DJ596" s="995">
        <v>5640120</v>
      </c>
      <c r="DK596" s="995">
        <v>211.001</v>
      </c>
      <c r="DL596" s="995">
        <v>255268.5</v>
      </c>
      <c r="DM596" s="995">
        <v>1135</v>
      </c>
      <c r="DN596" s="995">
        <v>94.572999999999993</v>
      </c>
      <c r="DO596" s="995">
        <v>61.6</v>
      </c>
      <c r="DP596" s="995">
        <v>100</v>
      </c>
      <c r="DQ596" s="995">
        <v>4583.933</v>
      </c>
      <c r="DR596" s="995">
        <v>5485135</v>
      </c>
      <c r="DS596" s="995">
        <v>207.476</v>
      </c>
      <c r="DT596" s="995">
        <v>248266.3</v>
      </c>
    </row>
    <row r="597" spans="1:124">
      <c r="A597" s="42" t="s">
        <v>94</v>
      </c>
      <c r="B597" s="42" t="s">
        <v>510</v>
      </c>
      <c r="C597" s="42" t="s">
        <v>788</v>
      </c>
      <c r="D597" s="42">
        <v>809349</v>
      </c>
      <c r="E597" s="42" t="s">
        <v>818</v>
      </c>
      <c r="F597" s="42" t="s">
        <v>149</v>
      </c>
      <c r="G597" s="42" t="s">
        <v>150</v>
      </c>
      <c r="H597" s="43" t="s">
        <v>150</v>
      </c>
      <c r="I597" s="44">
        <v>70</v>
      </c>
      <c r="J597" s="45">
        <v>197691.1776</v>
      </c>
      <c r="K597" s="46">
        <v>8098.6635319999996</v>
      </c>
      <c r="L597" s="47">
        <v>205789.841132</v>
      </c>
      <c r="M597" s="48">
        <v>4017245</v>
      </c>
      <c r="N597" s="49">
        <v>2888213</v>
      </c>
      <c r="O597" s="49">
        <v>1127060</v>
      </c>
      <c r="P597" s="49">
        <v>1972</v>
      </c>
      <c r="Q597" s="50">
        <v>9294.6179398148197</v>
      </c>
      <c r="R597" s="51">
        <v>32519.5730044015</v>
      </c>
      <c r="S597" s="49">
        <v>53553.069594271597</v>
      </c>
      <c r="T597" s="49">
        <v>8356.5552035805795</v>
      </c>
      <c r="U597" s="49">
        <f>IFERROR(INDEX('Rentabilidad datos'!$N$2:$N$61,MATCH($C597,'Rentabilidad datos'!$C$2:$C$61,0)),"")</f>
        <v>94429.197802253679</v>
      </c>
      <c r="V597" s="50">
        <f>IFERROR(INDEX('Rentabilidad datos'!$O$2:$O$61,MATCH($C597,'Rentabilidad datos'!$C$2:$C$61,0)),"")</f>
        <v>1573.8199633708946</v>
      </c>
      <c r="W597" s="51">
        <f>IFERROR(INDEX('Rentabilidad datos'!$M$2:$M$61,MATCH($C597,'Rentabilidad datos'!$C$2:$C$61,0)),"")</f>
        <v>3293.1144020900269</v>
      </c>
      <c r="X597" s="52">
        <f>IFERROR(INDEX('Rentabilidad datos'!$P$2:$P$61,MATCH($C597,'Rentabilidad datos'!$C$2:$C$61,0)),"")</f>
        <v>0.47791232590402716</v>
      </c>
      <c r="Y597" s="43" t="s">
        <v>171</v>
      </c>
      <c r="Z597" s="53">
        <v>41.307870370370402</v>
      </c>
      <c r="AA597" s="43">
        <v>1</v>
      </c>
      <c r="AB597" s="54">
        <v>0.97092833521480515</v>
      </c>
      <c r="AC597" s="55">
        <v>2.907166478519483E-2</v>
      </c>
      <c r="AD597" s="752" t="e">
        <f>_xlfn.XLOOKUP(Table1[[#This Row],[Ruta]],#REF!,#REF!)</f>
        <v>#REF!</v>
      </c>
      <c r="AE597" s="752" t="e">
        <f>_xlfn.XLOOKUP(Table1[[#This Row],[Ruta]],#REF!,#REF!)</f>
        <v>#REF!</v>
      </c>
      <c r="AF597" s="752" t="e">
        <f>_xlfn.XLOOKUP(Table1[[#This Row],[Ruta]],#REF!,#REF!)</f>
        <v>#REF!</v>
      </c>
      <c r="AG597" s="752" t="e">
        <f>_xlfn.XLOOKUP(Table1[[#This Row],[Ruta]],#REF!,#REF!)</f>
        <v>#REF!</v>
      </c>
      <c r="AH597" s="52">
        <v>0.71895366102888925</v>
      </c>
      <c r="AI597" s="52">
        <v>0.28055545529336645</v>
      </c>
      <c r="AJ597" s="55">
        <v>4.9088367774432476E-4</v>
      </c>
      <c r="AK597" s="56">
        <v>17845</v>
      </c>
      <c r="AL597" s="44">
        <v>9054</v>
      </c>
      <c r="AM597" s="54">
        <v>0.50736901092743103</v>
      </c>
      <c r="AN597" s="55">
        <v>0.50474202392821499</v>
      </c>
      <c r="AO597" s="56">
        <v>0</v>
      </c>
      <c r="AP597" s="48">
        <v>0</v>
      </c>
      <c r="AQ597" s="55">
        <v>0.5073690109274307</v>
      </c>
      <c r="AR597" s="51">
        <v>4015274.95</v>
      </c>
      <c r="AS597" s="49">
        <v>0</v>
      </c>
      <c r="AT597" s="55">
        <v>0</v>
      </c>
      <c r="AU597" s="51">
        <v>0</v>
      </c>
      <c r="AV597" s="52">
        <v>0</v>
      </c>
      <c r="AW597" s="44">
        <v>490</v>
      </c>
      <c r="AX597" s="51">
        <v>443.48077645239698</v>
      </c>
      <c r="AY597" s="49">
        <v>443.48077645239698</v>
      </c>
      <c r="AZ597" s="49">
        <v>0</v>
      </c>
      <c r="BA597" s="42" t="s">
        <v>152</v>
      </c>
      <c r="BB597" s="50">
        <v>0</v>
      </c>
      <c r="BC597" s="57">
        <v>0</v>
      </c>
      <c r="BD597" s="42" t="s">
        <v>150</v>
      </c>
      <c r="BE597" s="46">
        <v>41.307870370370402</v>
      </c>
      <c r="BF597" s="46">
        <v>72.425990467051307</v>
      </c>
      <c r="BG597" s="42" t="s">
        <v>152</v>
      </c>
      <c r="BH597" s="52">
        <v>0.50736901092743103</v>
      </c>
      <c r="BI597" s="52">
        <v>0.49337264070319697</v>
      </c>
      <c r="BJ597" s="42" t="s">
        <v>150</v>
      </c>
      <c r="BK597" s="46">
        <v>476.36537299074001</v>
      </c>
      <c r="BL597" s="46">
        <v>605.59017138979505</v>
      </c>
      <c r="BM597" s="42" t="s">
        <v>152</v>
      </c>
      <c r="BN597" s="48">
        <v>1</v>
      </c>
      <c r="BO597" s="42" t="s">
        <v>155</v>
      </c>
      <c r="BP597" s="42" t="s">
        <v>152</v>
      </c>
      <c r="BQ597" s="46">
        <v>5522.80955772159</v>
      </c>
      <c r="BR597" s="46">
        <v>57</v>
      </c>
      <c r="BS597" s="46">
        <v>6427</v>
      </c>
      <c r="BT597" s="46">
        <v>2464</v>
      </c>
      <c r="BU597" s="46">
        <v>2.6083603896103895</v>
      </c>
      <c r="BV597" s="46">
        <v>43.228070175438596</v>
      </c>
      <c r="BW597" s="46">
        <v>0</v>
      </c>
      <c r="BX597" s="46">
        <v>2464</v>
      </c>
      <c r="BY597" s="46">
        <v>2464</v>
      </c>
      <c r="BZ597" s="46">
        <v>1</v>
      </c>
      <c r="CA597" s="46">
        <v>0</v>
      </c>
      <c r="CB597" s="46">
        <v>1</v>
      </c>
      <c r="CC597" s="46">
        <v>0</v>
      </c>
      <c r="CD597" s="46">
        <v>0</v>
      </c>
      <c r="CE597" s="46">
        <v>0</v>
      </c>
      <c r="CF597" s="46">
        <v>0</v>
      </c>
      <c r="CG597" s="46">
        <v>0</v>
      </c>
      <c r="CH597" s="46">
        <v>0</v>
      </c>
      <c r="CI597" s="46">
        <v>1.867123074529329</v>
      </c>
      <c r="CJ597" s="46">
        <v>0.62237435817644315</v>
      </c>
      <c r="CK597">
        <v>254</v>
      </c>
      <c r="CL597">
        <v>348.44</v>
      </c>
      <c r="CM597">
        <f t="shared" si="70"/>
        <v>94.44</v>
      </c>
      <c r="CN597">
        <v>8.02</v>
      </c>
      <c r="CO597">
        <v>9.4499999999999993</v>
      </c>
      <c r="CP597">
        <f t="shared" si="71"/>
        <v>1.4299999999999997</v>
      </c>
      <c r="CQ597">
        <v>846.56</v>
      </c>
      <c r="CR597">
        <v>476.37</v>
      </c>
      <c r="CS597">
        <f t="shared" si="72"/>
        <v>370.18999999999994</v>
      </c>
      <c r="CT597" t="s">
        <v>152</v>
      </c>
      <c r="CU597">
        <v>93.78</v>
      </c>
      <c r="CV597">
        <v>257</v>
      </c>
      <c r="CW597" s="46">
        <v>2464</v>
      </c>
      <c r="CX597" s="46">
        <f t="shared" si="66"/>
        <v>96.16720779220779</v>
      </c>
      <c r="CY597" s="46">
        <v>94.44</v>
      </c>
      <c r="CZ597" s="46">
        <f t="shared" si="67"/>
        <v>100</v>
      </c>
      <c r="DA597" s="46">
        <f t="shared" si="68"/>
        <v>562.03629946373565</v>
      </c>
      <c r="DB597" s="46">
        <v>1437936.15</v>
      </c>
      <c r="DC597" s="46">
        <f t="shared" si="69"/>
        <v>30.369889463892058</v>
      </c>
      <c r="DD597" s="46">
        <v>77699.539999999994</v>
      </c>
      <c r="DE597" s="995">
        <v>2464</v>
      </c>
      <c r="DF597" s="995">
        <v>96.316999999999993</v>
      </c>
      <c r="DG597" s="995">
        <v>90.8</v>
      </c>
      <c r="DH597" s="995">
        <v>100</v>
      </c>
      <c r="DI597" s="995">
        <v>1745.1769999999999</v>
      </c>
      <c r="DJ597" s="995">
        <v>4458497</v>
      </c>
      <c r="DK597" s="995">
        <v>90.162999999999997</v>
      </c>
      <c r="DL597" s="995">
        <v>230343.4</v>
      </c>
      <c r="DM597" s="995">
        <v>2464</v>
      </c>
      <c r="DN597" s="995">
        <v>96.766000000000005</v>
      </c>
      <c r="DO597" s="995">
        <v>79.7</v>
      </c>
      <c r="DP597" s="995">
        <v>100</v>
      </c>
      <c r="DQ597" s="995">
        <v>1708.2470000000001</v>
      </c>
      <c r="DR597" s="995">
        <v>4345247</v>
      </c>
      <c r="DS597" s="995">
        <v>88.247</v>
      </c>
      <c r="DT597" s="995">
        <v>224473.7</v>
      </c>
    </row>
    <row r="598" spans="1:124">
      <c r="A598" s="42" t="s">
        <v>94</v>
      </c>
      <c r="B598" s="42" t="s">
        <v>510</v>
      </c>
      <c r="C598" s="42" t="s">
        <v>788</v>
      </c>
      <c r="D598" s="42">
        <v>809350</v>
      </c>
      <c r="E598" s="42" t="s">
        <v>819</v>
      </c>
      <c r="F598" s="42" t="s">
        <v>149</v>
      </c>
      <c r="G598" s="42" t="s">
        <v>150</v>
      </c>
      <c r="H598" s="43" t="s">
        <v>150</v>
      </c>
      <c r="I598" s="44">
        <v>70</v>
      </c>
      <c r="J598" s="45">
        <v>198881.7488</v>
      </c>
      <c r="K598" s="46">
        <v>9719.3382999999994</v>
      </c>
      <c r="L598" s="47">
        <v>208601.0871</v>
      </c>
      <c r="M598" s="48">
        <v>4296520</v>
      </c>
      <c r="N598" s="49">
        <v>2820495</v>
      </c>
      <c r="O598" s="49">
        <v>1471739</v>
      </c>
      <c r="P598" s="49">
        <v>4286</v>
      </c>
      <c r="Q598" s="50">
        <v>9844.5755045871501</v>
      </c>
      <c r="R598" s="51">
        <v>32519.5730044015</v>
      </c>
      <c r="S598" s="49">
        <v>53553.069594271597</v>
      </c>
      <c r="T598" s="49">
        <v>8356.5552035805795</v>
      </c>
      <c r="U598" s="49">
        <f>IFERROR(INDEX('Rentabilidad datos'!$N$2:$N$61,MATCH($C598,'Rentabilidad datos'!$C$2:$C$61,0)),"")</f>
        <v>94429.197802253679</v>
      </c>
      <c r="V598" s="50">
        <f>IFERROR(INDEX('Rentabilidad datos'!$O$2:$O$61,MATCH($C598,'Rentabilidad datos'!$C$2:$C$61,0)),"")</f>
        <v>1573.8199633708946</v>
      </c>
      <c r="W598" s="51">
        <f>IFERROR(INDEX('Rentabilidad datos'!$M$2:$M$61,MATCH($C598,'Rentabilidad datos'!$C$2:$C$61,0)),"")</f>
        <v>3293.1144020900269</v>
      </c>
      <c r="X598" s="52">
        <f>IFERROR(INDEX('Rentabilidad datos'!$P$2:$P$61,MATCH($C598,'Rentabilidad datos'!$C$2:$C$61,0)),"")</f>
        <v>0.47791232590402716</v>
      </c>
      <c r="Y598" s="43" t="s">
        <v>171</v>
      </c>
      <c r="Z598" s="53">
        <v>66.435779816513801</v>
      </c>
      <c r="AA598" s="43">
        <v>1</v>
      </c>
      <c r="AB598" s="54">
        <v>0.97874698593280141</v>
      </c>
      <c r="AC598" s="55">
        <v>2.125301406719857E-2</v>
      </c>
      <c r="AD598" s="752" t="e">
        <f>_xlfn.XLOOKUP(Table1[[#This Row],[Ruta]],#REF!,#REF!)</f>
        <v>#REF!</v>
      </c>
      <c r="AE598" s="752" t="e">
        <f>_xlfn.XLOOKUP(Table1[[#This Row],[Ruta]],#REF!,#REF!)</f>
        <v>#REF!</v>
      </c>
      <c r="AF598" s="752" t="e">
        <f>_xlfn.XLOOKUP(Table1[[#This Row],[Ruta]],#REF!,#REF!)</f>
        <v>#REF!</v>
      </c>
      <c r="AG598" s="752" t="e">
        <f>_xlfn.XLOOKUP(Table1[[#This Row],[Ruta]],#REF!,#REF!)</f>
        <v>#REF!</v>
      </c>
      <c r="AH598" s="52">
        <v>0.65646034465101988</v>
      </c>
      <c r="AI598" s="52">
        <v>0.34254210384217926</v>
      </c>
      <c r="AJ598" s="55">
        <v>9.9755150680085275E-4</v>
      </c>
      <c r="AK598" s="56">
        <v>28966</v>
      </c>
      <c r="AL598" s="44">
        <v>13415</v>
      </c>
      <c r="AM598" s="54">
        <v>0.46312918594213898</v>
      </c>
      <c r="AN598" s="55">
        <v>0.50474202392821499</v>
      </c>
      <c r="AO598" s="56">
        <v>1205.3574651046899</v>
      </c>
      <c r="AP598" s="48">
        <v>602.67873255234497</v>
      </c>
      <c r="AQ598" s="55">
        <v>0.48393560493517729</v>
      </c>
      <c r="AR598" s="51">
        <v>4292234.92</v>
      </c>
      <c r="AS598" s="49">
        <v>192831.80778251999</v>
      </c>
      <c r="AT598" s="55">
        <v>4.4925734815679658E-2</v>
      </c>
      <c r="AU598" s="51">
        <v>135503.43249582491</v>
      </c>
      <c r="AV598" s="52">
        <v>6.1641793746800672E-4</v>
      </c>
      <c r="AW598" s="44">
        <v>366</v>
      </c>
      <c r="AX598" s="51">
        <v>319.95787700335399</v>
      </c>
      <c r="AY598" s="49">
        <v>443.48077645239698</v>
      </c>
      <c r="AZ598" s="49">
        <v>123.522899449043</v>
      </c>
      <c r="BA598" s="42" t="s">
        <v>150</v>
      </c>
      <c r="BB598" s="50">
        <v>582210.16349772597</v>
      </c>
      <c r="BC598" s="57">
        <v>717713.59599355084</v>
      </c>
      <c r="BD598" s="42" t="s">
        <v>150</v>
      </c>
      <c r="BE598" s="46">
        <v>66.435779816513801</v>
      </c>
      <c r="BF598" s="46">
        <v>72.425990467051307</v>
      </c>
      <c r="BG598" s="42" t="s">
        <v>152</v>
      </c>
      <c r="BH598" s="52">
        <v>0.46312918594213898</v>
      </c>
      <c r="BI598" s="52">
        <v>0.49337264070319697</v>
      </c>
      <c r="BJ598" s="42" t="s">
        <v>152</v>
      </c>
      <c r="BK598" s="46">
        <v>478.4428603211</v>
      </c>
      <c r="BL598" s="46">
        <v>605.59017138979505</v>
      </c>
      <c r="BM598" s="42" t="s">
        <v>152</v>
      </c>
      <c r="BN598" s="48">
        <v>0</v>
      </c>
      <c r="BO598" s="42" t="s">
        <v>155</v>
      </c>
      <c r="BP598" s="42" t="s">
        <v>152</v>
      </c>
      <c r="BQ598" s="46">
        <v>1448.83322832773</v>
      </c>
      <c r="BR598" s="46">
        <v>76</v>
      </c>
      <c r="BS598" s="46">
        <v>15207</v>
      </c>
      <c r="BT598" s="46">
        <v>5287</v>
      </c>
      <c r="BU598" s="46">
        <v>2.8763003593720446</v>
      </c>
      <c r="BV598" s="46">
        <v>69.565789473684205</v>
      </c>
      <c r="BW598" s="46">
        <v>0</v>
      </c>
      <c r="BX598" s="46">
        <v>3479</v>
      </c>
      <c r="BY598" s="46">
        <v>3479</v>
      </c>
      <c r="BZ598" s="46">
        <v>0.65802912804993385</v>
      </c>
      <c r="CA598" s="46">
        <v>0</v>
      </c>
      <c r="CB598" s="46">
        <v>0.65802912804993385</v>
      </c>
      <c r="CC598" s="46">
        <v>0.3419708719500662</v>
      </c>
      <c r="CD598" s="46">
        <v>0</v>
      </c>
      <c r="CE598" s="46">
        <v>0</v>
      </c>
      <c r="CF598" s="46">
        <v>0</v>
      </c>
      <c r="CG598" s="46">
        <v>0</v>
      </c>
      <c r="CH598" s="46">
        <v>0</v>
      </c>
      <c r="CI598" s="46">
        <v>3.6167554415729599</v>
      </c>
      <c r="CJ598" s="46">
        <v>0.1315183796935622</v>
      </c>
      <c r="CK598">
        <v>270</v>
      </c>
      <c r="CL598">
        <v>465.1</v>
      </c>
      <c r="CM598">
        <f t="shared" si="70"/>
        <v>195.10000000000002</v>
      </c>
      <c r="CN598">
        <v>5.0599999999999996</v>
      </c>
      <c r="CO598">
        <v>9.4499999999999993</v>
      </c>
      <c r="CP598">
        <f t="shared" si="71"/>
        <v>4.3899999999999997</v>
      </c>
      <c r="CQ598">
        <v>846.56</v>
      </c>
      <c r="CR598">
        <v>478.44</v>
      </c>
      <c r="CS598">
        <f t="shared" si="72"/>
        <v>368.11999999999995</v>
      </c>
      <c r="CT598" t="s">
        <v>152</v>
      </c>
      <c r="CU598">
        <v>59.44</v>
      </c>
      <c r="CV598">
        <v>185</v>
      </c>
      <c r="CW598" s="46">
        <v>3479</v>
      </c>
      <c r="CX598" s="46">
        <f t="shared" si="66"/>
        <v>62.112729336107428</v>
      </c>
      <c r="CY598" s="46">
        <v>195.1</v>
      </c>
      <c r="CZ598" s="46">
        <f t="shared" si="67"/>
        <v>65.802912804993383</v>
      </c>
      <c r="DA598" s="46">
        <f t="shared" si="68"/>
        <v>476.63119789861548</v>
      </c>
      <c r="DB598" s="46">
        <v>2612939.89</v>
      </c>
      <c r="DC598" s="46">
        <f t="shared" si="69"/>
        <v>23.995448824355631</v>
      </c>
      <c r="DD598" s="46">
        <v>131545.45000000001</v>
      </c>
      <c r="DE598" s="995">
        <v>3479</v>
      </c>
      <c r="DF598" s="995">
        <v>62.325000000000003</v>
      </c>
      <c r="DG598" s="995">
        <v>183.9</v>
      </c>
      <c r="DH598" s="995">
        <v>65.802999999999997</v>
      </c>
      <c r="DI598" s="995">
        <v>1007.9829999999999</v>
      </c>
      <c r="DJ598" s="995">
        <v>5514535</v>
      </c>
      <c r="DK598" s="995">
        <v>50.585000000000001</v>
      </c>
      <c r="DL598" s="995">
        <v>276743.8</v>
      </c>
      <c r="DM598" s="995">
        <v>3479</v>
      </c>
      <c r="DN598" s="995">
        <v>62.521999999999998</v>
      </c>
      <c r="DO598" s="995">
        <v>173.5</v>
      </c>
      <c r="DP598" s="995">
        <v>65.802999999999997</v>
      </c>
      <c r="DQ598" s="995">
        <v>990.14599999999996</v>
      </c>
      <c r="DR598" s="995">
        <v>5406664</v>
      </c>
      <c r="DS598" s="995">
        <v>49.7</v>
      </c>
      <c r="DT598" s="995">
        <v>271387.59999999998</v>
      </c>
    </row>
    <row r="599" spans="1:124">
      <c r="A599" s="42" t="s">
        <v>94</v>
      </c>
      <c r="B599" s="42" t="s">
        <v>510</v>
      </c>
      <c r="C599" s="42" t="s">
        <v>788</v>
      </c>
      <c r="D599" s="42">
        <v>809351</v>
      </c>
      <c r="E599" s="42" t="s">
        <v>820</v>
      </c>
      <c r="F599" s="42" t="s">
        <v>149</v>
      </c>
      <c r="G599" s="42" t="s">
        <v>150</v>
      </c>
      <c r="H599" s="43" t="s">
        <v>150</v>
      </c>
      <c r="I599" s="44">
        <v>70</v>
      </c>
      <c r="J599" s="45">
        <v>257677.6496</v>
      </c>
      <c r="K599" s="46">
        <v>11200.909216</v>
      </c>
      <c r="L599" s="47">
        <v>268878.558816</v>
      </c>
      <c r="M599" s="48">
        <v>5436580</v>
      </c>
      <c r="N599" s="49">
        <v>3771871</v>
      </c>
      <c r="O599" s="49">
        <v>1660735</v>
      </c>
      <c r="P599" s="49">
        <v>3974</v>
      </c>
      <c r="Q599" s="50">
        <v>12488.741908046</v>
      </c>
      <c r="R599" s="51">
        <v>32519.5730044015</v>
      </c>
      <c r="S599" s="49">
        <v>53553.069594271597</v>
      </c>
      <c r="T599" s="49">
        <v>8356.5552035805795</v>
      </c>
      <c r="U599" s="49">
        <f>IFERROR(INDEX('Rentabilidad datos'!$N$2:$N$61,MATCH($C599,'Rentabilidad datos'!$C$2:$C$61,0)),"")</f>
        <v>94429.197802253679</v>
      </c>
      <c r="V599" s="50">
        <f>IFERROR(INDEX('Rentabilidad datos'!$O$2:$O$61,MATCH($C599,'Rentabilidad datos'!$C$2:$C$61,0)),"")</f>
        <v>1573.8199633708946</v>
      </c>
      <c r="W599" s="51">
        <f>IFERROR(INDEX('Rentabilidad datos'!$M$2:$M$61,MATCH($C599,'Rentabilidad datos'!$C$2:$C$61,0)),"")</f>
        <v>3293.1144020900269</v>
      </c>
      <c r="X599" s="52">
        <f>IFERROR(INDEX('Rentabilidad datos'!$P$2:$P$61,MATCH($C599,'Rentabilidad datos'!$C$2:$C$61,0)),"")</f>
        <v>0.47791232590402716</v>
      </c>
      <c r="Y599" s="43" t="s">
        <v>171</v>
      </c>
      <c r="Z599" s="53">
        <v>111.73333333333299</v>
      </c>
      <c r="AA599" s="43">
        <v>1</v>
      </c>
      <c r="AB599" s="54">
        <v>0.95001287574173465</v>
      </c>
      <c r="AC599" s="55">
        <v>4.9987124258265306E-2</v>
      </c>
      <c r="AD599" s="752" t="e">
        <f>_xlfn.XLOOKUP(Table1[[#This Row],[Ruta]],#REF!,#REF!)</f>
        <v>#REF!</v>
      </c>
      <c r="AE599" s="752" t="e">
        <f>_xlfn.XLOOKUP(Table1[[#This Row],[Ruta]],#REF!,#REF!)</f>
        <v>#REF!</v>
      </c>
      <c r="AF599" s="752" t="e">
        <f>_xlfn.XLOOKUP(Table1[[#This Row],[Ruta]],#REF!,#REF!)</f>
        <v>#REF!</v>
      </c>
      <c r="AG599" s="752" t="e">
        <f>_xlfn.XLOOKUP(Table1[[#This Row],[Ruta]],#REF!,#REF!)</f>
        <v>#REF!</v>
      </c>
      <c r="AH599" s="52">
        <v>0.69379481217971595</v>
      </c>
      <c r="AI599" s="52">
        <v>0.30547421356808874</v>
      </c>
      <c r="AJ599" s="55">
        <v>7.3097425219531401E-4</v>
      </c>
      <c r="AK599" s="56">
        <v>48604</v>
      </c>
      <c r="AL599" s="44">
        <v>21293</v>
      </c>
      <c r="AM599" s="54">
        <v>0.43809151510163802</v>
      </c>
      <c r="AN599" s="55">
        <v>0.50474202392821499</v>
      </c>
      <c r="AO599" s="56">
        <v>3239.4813310069799</v>
      </c>
      <c r="AP599" s="48">
        <v>1619.7406655034899</v>
      </c>
      <c r="AQ599" s="55">
        <v>0.47141676951492656</v>
      </c>
      <c r="AR599" s="51">
        <v>5432602.7300000004</v>
      </c>
      <c r="AS599" s="49">
        <v>413253.53690444102</v>
      </c>
      <c r="AT599" s="55">
        <v>7.6069161954796752E-2</v>
      </c>
      <c r="AU599" s="51">
        <v>290394.37728420191</v>
      </c>
      <c r="AV599" s="52">
        <v>1.3210315030458683E-3</v>
      </c>
      <c r="AW599" s="44">
        <v>252</v>
      </c>
      <c r="AX599" s="51">
        <v>255.13561874794499</v>
      </c>
      <c r="AY599" s="49">
        <v>443.48077645239698</v>
      </c>
      <c r="AZ599" s="49">
        <v>188.34515770445199</v>
      </c>
      <c r="BA599" s="42" t="s">
        <v>150</v>
      </c>
      <c r="BB599" s="50">
        <v>1409071.2097030182</v>
      </c>
      <c r="BC599" s="57">
        <v>1699465.5869872202</v>
      </c>
      <c r="BD599" s="42" t="s">
        <v>150</v>
      </c>
      <c r="BE599" s="46">
        <v>111.73333333333299</v>
      </c>
      <c r="BF599" s="46">
        <v>72.425990467051307</v>
      </c>
      <c r="BG599" s="42" t="s">
        <v>150</v>
      </c>
      <c r="BH599" s="52">
        <v>0.43809151510163802</v>
      </c>
      <c r="BI599" s="52">
        <v>0.49337264070319697</v>
      </c>
      <c r="BJ599" s="42" t="s">
        <v>152</v>
      </c>
      <c r="BK599" s="46">
        <v>618.11162946206798</v>
      </c>
      <c r="BL599" s="46">
        <v>605.59017138979505</v>
      </c>
      <c r="BM599" s="42" t="s">
        <v>150</v>
      </c>
      <c r="BN599" s="48">
        <v>2</v>
      </c>
      <c r="BO599" s="42" t="s">
        <v>161</v>
      </c>
      <c r="BP599" s="42" t="s">
        <v>152</v>
      </c>
      <c r="BQ599" s="46">
        <v>0</v>
      </c>
      <c r="BR599" s="46">
        <v>236</v>
      </c>
      <c r="BS599" s="46">
        <v>21527</v>
      </c>
      <c r="BT599" s="46">
        <v>6987</v>
      </c>
      <c r="BU599" s="46">
        <v>3.081007585515958</v>
      </c>
      <c r="BV599" s="46">
        <v>29.60593220338983</v>
      </c>
      <c r="BW599" s="46">
        <v>3701</v>
      </c>
      <c r="BX599" s="46">
        <v>2754</v>
      </c>
      <c r="BY599" s="46">
        <v>6455</v>
      </c>
      <c r="BZ599" s="46">
        <v>0.92385859453270358</v>
      </c>
      <c r="CA599" s="46">
        <v>0.52969801059109778</v>
      </c>
      <c r="CB599" s="46">
        <v>0.39416058394160591</v>
      </c>
      <c r="CC599" s="46">
        <v>7.6141405467296405E-2</v>
      </c>
      <c r="CD599" s="46">
        <v>0</v>
      </c>
      <c r="CE599" s="46">
        <v>0</v>
      </c>
      <c r="CF599" s="46">
        <v>0</v>
      </c>
      <c r="CG599" s="46">
        <v>0</v>
      </c>
      <c r="CH599" s="46">
        <v>0</v>
      </c>
      <c r="CI599" s="46">
        <v>1.486505318901844</v>
      </c>
      <c r="CJ599" s="46">
        <v>0.46453291215682629</v>
      </c>
      <c r="CK599">
        <v>432</v>
      </c>
      <c r="CL599">
        <v>771.1</v>
      </c>
      <c r="CM599">
        <f t="shared" si="70"/>
        <v>339.1</v>
      </c>
      <c r="CN599">
        <v>16.07</v>
      </c>
      <c r="CO599">
        <v>9.4499999999999993</v>
      </c>
      <c r="CP599">
        <f t="shared" si="71"/>
        <v>-6.620000000000001</v>
      </c>
      <c r="CQ599">
        <v>846.56</v>
      </c>
      <c r="CR599">
        <v>618.11</v>
      </c>
      <c r="CS599">
        <f t="shared" si="72"/>
        <v>228.44999999999993</v>
      </c>
      <c r="CT599" t="s">
        <v>150</v>
      </c>
      <c r="CU599">
        <v>176.86</v>
      </c>
      <c r="CV599">
        <v>425</v>
      </c>
      <c r="CW599" s="46">
        <v>6455</v>
      </c>
      <c r="CX599" s="46">
        <f t="shared" si="66"/>
        <v>87.53256046944324</v>
      </c>
      <c r="CY599" s="46">
        <v>339.1</v>
      </c>
      <c r="CZ599" s="46">
        <f t="shared" si="67"/>
        <v>92.385859453270356</v>
      </c>
      <c r="DA599" s="46">
        <f t="shared" si="68"/>
        <v>822.35996369145926</v>
      </c>
      <c r="DB599" s="46">
        <v>6024691.3300000001</v>
      </c>
      <c r="DC599" s="46">
        <f t="shared" si="69"/>
        <v>39.508821883403172</v>
      </c>
      <c r="DD599" s="46">
        <v>289445.58</v>
      </c>
      <c r="DE599" s="995">
        <v>6455</v>
      </c>
      <c r="DF599" s="995">
        <v>87.543000000000006</v>
      </c>
      <c r="DG599" s="995">
        <v>338.4</v>
      </c>
      <c r="DH599" s="995">
        <v>92.385999999999996</v>
      </c>
      <c r="DI599" s="995">
        <v>1335.9590000000001</v>
      </c>
      <c r="DJ599" s="995">
        <v>9786374</v>
      </c>
      <c r="DK599" s="995">
        <v>64.411000000000001</v>
      </c>
      <c r="DL599" s="995">
        <v>471834.7</v>
      </c>
      <c r="DM599" s="995">
        <v>6455</v>
      </c>
      <c r="DN599" s="995">
        <v>87.575000000000003</v>
      </c>
      <c r="DO599" s="995">
        <v>336.1</v>
      </c>
      <c r="DP599" s="995">
        <v>92.385999999999996</v>
      </c>
      <c r="DQ599" s="995">
        <v>1333.444</v>
      </c>
      <c r="DR599" s="995">
        <v>9764971</v>
      </c>
      <c r="DS599" s="995">
        <v>64.269000000000005</v>
      </c>
      <c r="DT599" s="995">
        <v>470647.9</v>
      </c>
    </row>
    <row r="600" spans="1:124">
      <c r="A600" s="42" t="s">
        <v>94</v>
      </c>
      <c r="B600" s="42" t="s">
        <v>510</v>
      </c>
      <c r="C600" s="42" t="s">
        <v>788</v>
      </c>
      <c r="D600" s="42">
        <v>809352</v>
      </c>
      <c r="E600" s="42" t="s">
        <v>821</v>
      </c>
      <c r="F600" s="42" t="s">
        <v>149</v>
      </c>
      <c r="G600" s="42" t="s">
        <v>150</v>
      </c>
      <c r="H600" s="43" t="s">
        <v>150</v>
      </c>
      <c r="I600" s="44">
        <v>70</v>
      </c>
      <c r="J600" s="45">
        <v>190572.40719999999</v>
      </c>
      <c r="K600" s="46">
        <v>14259.954528</v>
      </c>
      <c r="L600" s="47">
        <v>204832.36172799999</v>
      </c>
      <c r="M600" s="48">
        <v>4671773</v>
      </c>
      <c r="N600" s="49">
        <v>2794526</v>
      </c>
      <c r="O600" s="49">
        <v>1871936</v>
      </c>
      <c r="P600" s="49">
        <v>5311</v>
      </c>
      <c r="Q600" s="50">
        <v>10629.757517084299</v>
      </c>
      <c r="R600" s="51">
        <v>32519.5730044015</v>
      </c>
      <c r="S600" s="49">
        <v>53553.069594271597</v>
      </c>
      <c r="T600" s="49">
        <v>8356.5552035805795</v>
      </c>
      <c r="U600" s="49">
        <f>IFERROR(INDEX('Rentabilidad datos'!$N$2:$N$61,MATCH($C600,'Rentabilidad datos'!$C$2:$C$61,0)),"")</f>
        <v>94429.197802253679</v>
      </c>
      <c r="V600" s="50">
        <f>IFERROR(INDEX('Rentabilidad datos'!$O$2:$O$61,MATCH($C600,'Rentabilidad datos'!$C$2:$C$61,0)),"")</f>
        <v>1573.8199633708946</v>
      </c>
      <c r="W600" s="51">
        <f>IFERROR(INDEX('Rentabilidad datos'!$M$2:$M$61,MATCH($C600,'Rentabilidad datos'!$C$2:$C$61,0)),"")</f>
        <v>3293.1144020900269</v>
      </c>
      <c r="X600" s="52">
        <f>IFERROR(INDEX('Rentabilidad datos'!$P$2:$P$61,MATCH($C600,'Rentabilidad datos'!$C$2:$C$61,0)),"")</f>
        <v>0.47791232590402716</v>
      </c>
      <c r="Y600" s="43" t="s">
        <v>171</v>
      </c>
      <c r="Z600" s="53">
        <v>81.603644646924806</v>
      </c>
      <c r="AA600" s="43">
        <v>1</v>
      </c>
      <c r="AB600" s="54">
        <v>0.97863787474262987</v>
      </c>
      <c r="AC600" s="55">
        <v>2.1362125257370166E-2</v>
      </c>
      <c r="AD600" s="752" t="e">
        <f>_xlfn.XLOOKUP(Table1[[#This Row],[Ruta]],#REF!,#REF!)</f>
        <v>#REF!</v>
      </c>
      <c r="AE600" s="752" t="e">
        <f>_xlfn.XLOOKUP(Table1[[#This Row],[Ruta]],#REF!,#REF!)</f>
        <v>#REF!</v>
      </c>
      <c r="AF600" s="752" t="e">
        <f>_xlfn.XLOOKUP(Table1[[#This Row],[Ruta]],#REF!,#REF!)</f>
        <v>#REF!</v>
      </c>
      <c r="AG600" s="752" t="e">
        <f>_xlfn.XLOOKUP(Table1[[#This Row],[Ruta]],#REF!,#REF!)</f>
        <v>#REF!</v>
      </c>
      <c r="AH600" s="52">
        <v>0.59817247113676109</v>
      </c>
      <c r="AI600" s="52">
        <v>0.40069070136755358</v>
      </c>
      <c r="AJ600" s="55">
        <v>1.1368274956852569E-3</v>
      </c>
      <c r="AK600" s="56">
        <v>35824</v>
      </c>
      <c r="AL600" s="44">
        <v>18424</v>
      </c>
      <c r="AM600" s="54">
        <v>0.51429209468512704</v>
      </c>
      <c r="AN600" s="55">
        <v>0.50474202392821499</v>
      </c>
      <c r="AO600" s="56">
        <v>0</v>
      </c>
      <c r="AP600" s="48">
        <v>0</v>
      </c>
      <c r="AQ600" s="55">
        <v>0.51429209468512727</v>
      </c>
      <c r="AR600" s="51">
        <v>4666463.55</v>
      </c>
      <c r="AS600" s="49">
        <v>0</v>
      </c>
      <c r="AT600" s="55">
        <v>0</v>
      </c>
      <c r="AU600" s="51">
        <v>0</v>
      </c>
      <c r="AV600" s="52">
        <v>0</v>
      </c>
      <c r="AW600" s="44">
        <v>490</v>
      </c>
      <c r="AX600" s="51">
        <v>253.281781914894</v>
      </c>
      <c r="AY600" s="49">
        <v>443.48077645239698</v>
      </c>
      <c r="AZ600" s="49">
        <v>190.19899453750298</v>
      </c>
      <c r="BA600" s="42" t="s">
        <v>150</v>
      </c>
      <c r="BB600" s="50">
        <v>1231214.6372882819</v>
      </c>
      <c r="BC600" s="57">
        <v>1231214.6372882819</v>
      </c>
      <c r="BD600" s="42" t="s">
        <v>150</v>
      </c>
      <c r="BE600" s="46">
        <v>81.603644646924806</v>
      </c>
      <c r="BF600" s="46">
        <v>72.425990467051307</v>
      </c>
      <c r="BG600" s="42" t="s">
        <v>150</v>
      </c>
      <c r="BH600" s="52">
        <v>0.51429209468512704</v>
      </c>
      <c r="BI600" s="52">
        <v>0.49337264070319697</v>
      </c>
      <c r="BJ600" s="42" t="s">
        <v>150</v>
      </c>
      <c r="BK600" s="46">
        <v>466.58852329840499</v>
      </c>
      <c r="BL600" s="46">
        <v>605.59017138979505</v>
      </c>
      <c r="BM600" s="42" t="s">
        <v>152</v>
      </c>
      <c r="BN600" s="48">
        <v>2</v>
      </c>
      <c r="BO600" s="42" t="s">
        <v>161</v>
      </c>
      <c r="BP600" s="42" t="s">
        <v>152</v>
      </c>
      <c r="BQ600" s="46">
        <v>0</v>
      </c>
      <c r="BR600" s="46">
        <v>136</v>
      </c>
      <c r="BS600" s="46">
        <v>14902</v>
      </c>
      <c r="BT600" s="46">
        <v>3923</v>
      </c>
      <c r="BU600" s="46">
        <v>3.7986235024216159</v>
      </c>
      <c r="BV600" s="46">
        <v>28.845588235294116</v>
      </c>
      <c r="BW600" s="46">
        <v>0</v>
      </c>
      <c r="BX600" s="46">
        <v>2699</v>
      </c>
      <c r="BY600" s="46">
        <v>2699</v>
      </c>
      <c r="BZ600" s="46">
        <v>0.68799388223298497</v>
      </c>
      <c r="CA600" s="46">
        <v>0</v>
      </c>
      <c r="CB600" s="46">
        <v>0.68799388223298497</v>
      </c>
      <c r="CC600" s="46">
        <v>0.3071628855467754</v>
      </c>
      <c r="CD600" s="46">
        <v>4.8432322202396124E-3</v>
      </c>
      <c r="CE600" s="46">
        <v>0</v>
      </c>
      <c r="CF600" s="46">
        <v>0</v>
      </c>
      <c r="CG600" s="46">
        <v>0</v>
      </c>
      <c r="CH600" s="46">
        <v>0</v>
      </c>
      <c r="CI600" s="46">
        <v>3.4894645014092069</v>
      </c>
      <c r="CJ600" s="46">
        <v>0.2684203462622467</v>
      </c>
      <c r="CK600">
        <v>361</v>
      </c>
      <c r="CL600">
        <v>405.5</v>
      </c>
      <c r="CM600">
        <f t="shared" si="70"/>
        <v>44.5</v>
      </c>
      <c r="CN600">
        <v>9.3699999999999992</v>
      </c>
      <c r="CO600">
        <v>9.4499999999999993</v>
      </c>
      <c r="CP600">
        <f t="shared" si="71"/>
        <v>8.0000000000000071E-2</v>
      </c>
      <c r="CQ600">
        <v>846.56</v>
      </c>
      <c r="CR600">
        <v>466.59</v>
      </c>
      <c r="CS600">
        <f t="shared" si="72"/>
        <v>379.96999999999997</v>
      </c>
      <c r="CT600" t="s">
        <v>152</v>
      </c>
      <c r="CU600">
        <v>99.12</v>
      </c>
      <c r="CV600">
        <v>249</v>
      </c>
      <c r="CW600" s="46">
        <v>2699</v>
      </c>
      <c r="CX600" s="46">
        <f t="shared" si="66"/>
        <v>67.665052255926582</v>
      </c>
      <c r="CY600" s="46">
        <v>44.5</v>
      </c>
      <c r="CZ600" s="46">
        <f t="shared" si="67"/>
        <v>68.799388223298493</v>
      </c>
      <c r="DA600" s="46">
        <f t="shared" si="68"/>
        <v>420.03937240075612</v>
      </c>
      <c r="DB600" s="46">
        <v>1666506.21</v>
      </c>
      <c r="DC600" s="46">
        <f t="shared" si="69"/>
        <v>17.967420289855074</v>
      </c>
      <c r="DD600" s="46">
        <v>71285.740000000005</v>
      </c>
      <c r="DE600" s="995">
        <v>2699</v>
      </c>
      <c r="DF600" s="995">
        <v>67.870999999999995</v>
      </c>
      <c r="DG600" s="995">
        <v>36.4</v>
      </c>
      <c r="DH600" s="995">
        <v>68.799000000000007</v>
      </c>
      <c r="DI600" s="995">
        <v>1297.508</v>
      </c>
      <c r="DJ600" s="995">
        <v>5137400</v>
      </c>
      <c r="DK600" s="995">
        <v>56.390999999999998</v>
      </c>
      <c r="DL600" s="995">
        <v>223276.2</v>
      </c>
      <c r="DM600" s="995">
        <v>2699</v>
      </c>
      <c r="DN600" s="995">
        <v>68.034000000000006</v>
      </c>
      <c r="DO600" s="995">
        <v>30</v>
      </c>
      <c r="DP600" s="995">
        <v>68.799000000000007</v>
      </c>
      <c r="DQ600" s="995">
        <v>1280.8320000000001</v>
      </c>
      <c r="DR600" s="995">
        <v>5063139</v>
      </c>
      <c r="DS600" s="995">
        <v>55.7</v>
      </c>
      <c r="DT600" s="995">
        <v>220180.8</v>
      </c>
    </row>
    <row r="601" spans="1:124">
      <c r="A601" s="42" t="s">
        <v>94</v>
      </c>
      <c r="B601" s="42" t="s">
        <v>510</v>
      </c>
      <c r="C601" s="42" t="s">
        <v>788</v>
      </c>
      <c r="D601" s="42">
        <v>809353</v>
      </c>
      <c r="E601" s="42" t="s">
        <v>822</v>
      </c>
      <c r="F601" s="42" t="s">
        <v>149</v>
      </c>
      <c r="G601" s="42" t="s">
        <v>150</v>
      </c>
      <c r="H601" s="43" t="s">
        <v>150</v>
      </c>
      <c r="I601" s="44">
        <v>70</v>
      </c>
      <c r="J601" s="45">
        <v>293123.56079999899</v>
      </c>
      <c r="K601" s="46">
        <v>14141.277389000001</v>
      </c>
      <c r="L601" s="47">
        <v>307264.83818899898</v>
      </c>
      <c r="M601" s="48">
        <v>6303599</v>
      </c>
      <c r="N601" s="49">
        <v>4289096</v>
      </c>
      <c r="O601" s="49">
        <v>2005757</v>
      </c>
      <c r="P601" s="49">
        <v>8746</v>
      </c>
      <c r="Q601" s="50">
        <v>14274.0446712018</v>
      </c>
      <c r="R601" s="51">
        <v>32519.5730044015</v>
      </c>
      <c r="S601" s="49">
        <v>53553.069594271597</v>
      </c>
      <c r="T601" s="49">
        <v>8356.5552035805795</v>
      </c>
      <c r="U601" s="49">
        <f>IFERROR(INDEX('Rentabilidad datos'!$N$2:$N$61,MATCH($C601,'Rentabilidad datos'!$C$2:$C$61,0)),"")</f>
        <v>94429.197802253679</v>
      </c>
      <c r="V601" s="50">
        <f>IFERROR(INDEX('Rentabilidad datos'!$O$2:$O$61,MATCH($C601,'Rentabilidad datos'!$C$2:$C$61,0)),"")</f>
        <v>1573.8199633708946</v>
      </c>
      <c r="W601" s="51">
        <f>IFERROR(INDEX('Rentabilidad datos'!$M$2:$M$61,MATCH($C601,'Rentabilidad datos'!$C$2:$C$61,0)),"")</f>
        <v>3293.1144020900269</v>
      </c>
      <c r="X601" s="52">
        <f>IFERROR(INDEX('Rentabilidad datos'!$P$2:$P$61,MATCH($C601,'Rentabilidad datos'!$C$2:$C$61,0)),"")</f>
        <v>0.47791232590402716</v>
      </c>
      <c r="Y601" s="43" t="s">
        <v>171</v>
      </c>
      <c r="Z601" s="53">
        <v>75.344671201814094</v>
      </c>
      <c r="AA601" s="43">
        <v>1</v>
      </c>
      <c r="AB601" s="54">
        <v>0.93978328887989226</v>
      </c>
      <c r="AC601" s="55">
        <v>6.0216711120107735E-2</v>
      </c>
      <c r="AD601" s="752" t="e">
        <f>_xlfn.XLOOKUP(Table1[[#This Row],[Ruta]],#REF!,#REF!)</f>
        <v>#REF!</v>
      </c>
      <c r="AE601" s="752" t="e">
        <f>_xlfn.XLOOKUP(Table1[[#This Row],[Ruta]],#REF!,#REF!)</f>
        <v>#REF!</v>
      </c>
      <c r="AF601" s="752" t="e">
        <f>_xlfn.XLOOKUP(Table1[[#This Row],[Ruta]],#REF!,#REF!)</f>
        <v>#REF!</v>
      </c>
      <c r="AG601" s="752" t="e">
        <f>_xlfn.XLOOKUP(Table1[[#This Row],[Ruta]],#REF!,#REF!)</f>
        <v>#REF!</v>
      </c>
      <c r="AH601" s="52">
        <v>0.68042018535760285</v>
      </c>
      <c r="AI601" s="52">
        <v>0.31819235328897033</v>
      </c>
      <c r="AJ601" s="55">
        <v>1.3874613534268282E-3</v>
      </c>
      <c r="AK601" s="56">
        <v>33227</v>
      </c>
      <c r="AL601" s="44">
        <v>16403</v>
      </c>
      <c r="AM601" s="54">
        <v>0.49366479068227698</v>
      </c>
      <c r="AN601" s="55">
        <v>0.50474202392821499</v>
      </c>
      <c r="AO601" s="56">
        <v>368.063229062809</v>
      </c>
      <c r="AP601" s="48">
        <v>184.0316145314045</v>
      </c>
      <c r="AQ601" s="55">
        <v>0.49920340730524582</v>
      </c>
      <c r="AR601" s="51">
        <v>6294853.7000000002</v>
      </c>
      <c r="AS601" s="49">
        <v>70624.403441443006</v>
      </c>
      <c r="AT601" s="55">
        <v>1.1219387583454562E-2</v>
      </c>
      <c r="AU601" s="51">
        <v>49627.959175068077</v>
      </c>
      <c r="AV601" s="52">
        <v>2.2576228271106328E-4</v>
      </c>
      <c r="AW601" s="44">
        <v>432</v>
      </c>
      <c r="AX601" s="51">
        <v>383.76234225446598</v>
      </c>
      <c r="AY601" s="49">
        <v>443.48077645239698</v>
      </c>
      <c r="AZ601" s="49">
        <v>59.718434197931003</v>
      </c>
      <c r="BA601" s="42" t="s">
        <v>150</v>
      </c>
      <c r="BB601" s="50">
        <v>344170.24837655714</v>
      </c>
      <c r="BC601" s="57">
        <v>393798.20755162521</v>
      </c>
      <c r="BD601" s="42" t="s">
        <v>150</v>
      </c>
      <c r="BE601" s="46">
        <v>75.344671201814094</v>
      </c>
      <c r="BF601" s="46">
        <v>72.425990467051307</v>
      </c>
      <c r="BG601" s="42" t="s">
        <v>150</v>
      </c>
      <c r="BH601" s="52">
        <v>0.49366479068227698</v>
      </c>
      <c r="BI601" s="52">
        <v>0.49337264070319697</v>
      </c>
      <c r="BJ601" s="42" t="s">
        <v>150</v>
      </c>
      <c r="BK601" s="46">
        <v>696.74566482766295</v>
      </c>
      <c r="BL601" s="46">
        <v>605.59017138979505</v>
      </c>
      <c r="BM601" s="42" t="s">
        <v>150</v>
      </c>
      <c r="BN601" s="48">
        <v>3</v>
      </c>
      <c r="BO601" s="42" t="s">
        <v>153</v>
      </c>
      <c r="BP601" s="42" t="s">
        <v>150</v>
      </c>
      <c r="BQ601" s="46">
        <v>1585.9446315427899</v>
      </c>
      <c r="BR601" s="46">
        <v>387</v>
      </c>
      <c r="BS601" s="46">
        <v>26268</v>
      </c>
      <c r="BT601" s="46">
        <v>8428</v>
      </c>
      <c r="BU601" s="46">
        <v>3.1167536782154723</v>
      </c>
      <c r="BV601" s="46">
        <v>21.777777777777779</v>
      </c>
      <c r="BW601" s="46">
        <v>29</v>
      </c>
      <c r="BX601" s="46">
        <v>8006</v>
      </c>
      <c r="BY601" s="46">
        <v>8035</v>
      </c>
      <c r="BZ601" s="46">
        <v>0.95336971998101572</v>
      </c>
      <c r="CA601" s="46">
        <v>3.4409112482202179E-3</v>
      </c>
      <c r="CB601" s="46">
        <v>0.94992880873279539</v>
      </c>
      <c r="CC601" s="46">
        <v>3.6544850498338867E-2</v>
      </c>
      <c r="CD601" s="46">
        <v>0</v>
      </c>
      <c r="CE601" s="46">
        <v>0</v>
      </c>
      <c r="CF601" s="46">
        <v>1.0085429520645469E-2</v>
      </c>
      <c r="CG601" s="46">
        <v>0</v>
      </c>
      <c r="CH601" s="46">
        <v>0</v>
      </c>
      <c r="CI601" s="46">
        <v>1.979594944419065</v>
      </c>
      <c r="CJ601" s="46">
        <v>0.45682960255824578</v>
      </c>
      <c r="CK601">
        <v>400</v>
      </c>
      <c r="CL601">
        <v>987.54</v>
      </c>
      <c r="CM601">
        <f t="shared" si="70"/>
        <v>587.54</v>
      </c>
      <c r="CN601">
        <v>8.27</v>
      </c>
      <c r="CO601">
        <v>9.4499999999999993</v>
      </c>
      <c r="CP601">
        <f t="shared" si="71"/>
        <v>1.1799999999999997</v>
      </c>
      <c r="CQ601">
        <v>846.56</v>
      </c>
      <c r="CR601">
        <v>696.75</v>
      </c>
      <c r="CS601">
        <f t="shared" si="72"/>
        <v>149.80999999999995</v>
      </c>
      <c r="CT601" t="s">
        <v>152</v>
      </c>
      <c r="CU601">
        <v>96.02</v>
      </c>
      <c r="CV601">
        <v>342</v>
      </c>
      <c r="CW601" s="46">
        <v>8035</v>
      </c>
      <c r="CX601" s="46">
        <f t="shared" si="66"/>
        <v>88.365685809207406</v>
      </c>
      <c r="CY601" s="46">
        <v>587.54</v>
      </c>
      <c r="CZ601" s="46">
        <f t="shared" si="67"/>
        <v>95.336971998101575</v>
      </c>
      <c r="DA601" s="46">
        <f t="shared" si="68"/>
        <v>785.45218145557544</v>
      </c>
      <c r="DB601" s="46">
        <v>7081275.5599999996</v>
      </c>
      <c r="DC601" s="46">
        <f t="shared" si="69"/>
        <v>38.193365011968218</v>
      </c>
      <c r="DD601" s="46">
        <v>344333.81</v>
      </c>
      <c r="DE601" s="995">
        <v>8035</v>
      </c>
      <c r="DF601" s="995">
        <v>88.366</v>
      </c>
      <c r="DG601" s="995">
        <v>587.5</v>
      </c>
      <c r="DH601" s="995">
        <v>95.337000000000003</v>
      </c>
      <c r="DI601" s="995">
        <v>1359.741</v>
      </c>
      <c r="DJ601" s="995">
        <v>12258800</v>
      </c>
      <c r="DK601" s="995">
        <v>65.646000000000001</v>
      </c>
      <c r="DL601" s="995">
        <v>591833.5</v>
      </c>
      <c r="DM601" s="995">
        <v>8035</v>
      </c>
      <c r="DN601" s="995">
        <v>88.366</v>
      </c>
      <c r="DO601" s="995">
        <v>587.5</v>
      </c>
      <c r="DP601" s="995">
        <v>95.337000000000003</v>
      </c>
      <c r="DQ601" s="995">
        <v>1359.741</v>
      </c>
      <c r="DR601" s="995">
        <v>12258800</v>
      </c>
      <c r="DS601" s="995">
        <v>65.646000000000001</v>
      </c>
      <c r="DT601" s="995">
        <v>591833.5</v>
      </c>
    </row>
    <row r="602" spans="1:124">
      <c r="A602" s="42" t="s">
        <v>94</v>
      </c>
      <c r="B602" s="42" t="s">
        <v>510</v>
      </c>
      <c r="C602" s="42" t="s">
        <v>788</v>
      </c>
      <c r="D602" s="42">
        <v>809354</v>
      </c>
      <c r="E602" s="42" t="s">
        <v>823</v>
      </c>
      <c r="F602" s="42" t="s">
        <v>149</v>
      </c>
      <c r="G602" s="42" t="s">
        <v>150</v>
      </c>
      <c r="H602" s="43" t="s">
        <v>150</v>
      </c>
      <c r="I602" s="44">
        <v>70</v>
      </c>
      <c r="J602" s="45">
        <v>195535.4688</v>
      </c>
      <c r="K602" s="46">
        <v>10527.242875</v>
      </c>
      <c r="L602" s="47">
        <v>206062.711675</v>
      </c>
      <c r="M602" s="48">
        <v>4173523</v>
      </c>
      <c r="N602" s="49">
        <v>2865335</v>
      </c>
      <c r="O602" s="49">
        <v>1306257</v>
      </c>
      <c r="P602" s="49">
        <v>1931</v>
      </c>
      <c r="Q602" s="50">
        <v>9634.1591224018503</v>
      </c>
      <c r="R602" s="51">
        <v>32519.5730044015</v>
      </c>
      <c r="S602" s="49">
        <v>53553.069594271597</v>
      </c>
      <c r="T602" s="49">
        <v>8356.5552035805795</v>
      </c>
      <c r="U602" s="49">
        <f>IFERROR(INDEX('Rentabilidad datos'!$N$2:$N$61,MATCH($C602,'Rentabilidad datos'!$C$2:$C$61,0)),"")</f>
        <v>94429.197802253679</v>
      </c>
      <c r="V602" s="50">
        <f>IFERROR(INDEX('Rentabilidad datos'!$O$2:$O$61,MATCH($C602,'Rentabilidad datos'!$C$2:$C$61,0)),"")</f>
        <v>1573.8199633708946</v>
      </c>
      <c r="W602" s="51">
        <f>IFERROR(INDEX('Rentabilidad datos'!$M$2:$M$61,MATCH($C602,'Rentabilidad datos'!$C$2:$C$61,0)),"")</f>
        <v>3293.1144020900269</v>
      </c>
      <c r="X602" s="52">
        <f>IFERROR(INDEX('Rentabilidad datos'!$P$2:$P$61,MATCH($C602,'Rentabilidad datos'!$C$2:$C$61,0)),"")</f>
        <v>0.47791232590402716</v>
      </c>
      <c r="Y602" s="43" t="s">
        <v>171</v>
      </c>
      <c r="Z602" s="53">
        <v>89.757505773672094</v>
      </c>
      <c r="AA602" s="43">
        <v>1</v>
      </c>
      <c r="AB602" s="54">
        <v>0.98782922724997557</v>
      </c>
      <c r="AC602" s="55">
        <v>1.2170772750024379E-2</v>
      </c>
      <c r="AD602" s="752" t="e">
        <f>_xlfn.XLOOKUP(Table1[[#This Row],[Ruta]],#REF!,#REF!)</f>
        <v>#REF!</v>
      </c>
      <c r="AE602" s="752" t="e">
        <f>_xlfn.XLOOKUP(Table1[[#This Row],[Ruta]],#REF!,#REF!)</f>
        <v>#REF!</v>
      </c>
      <c r="AF602" s="752" t="e">
        <f>_xlfn.XLOOKUP(Table1[[#This Row],[Ruta]],#REF!,#REF!)</f>
        <v>#REF!</v>
      </c>
      <c r="AG602" s="752" t="e">
        <f>_xlfn.XLOOKUP(Table1[[#This Row],[Ruta]],#REF!,#REF!)</f>
        <v>#REF!</v>
      </c>
      <c r="AH602" s="52">
        <v>0.68655066714619761</v>
      </c>
      <c r="AI602" s="52">
        <v>0.31298665420077953</v>
      </c>
      <c r="AJ602" s="55">
        <v>4.626786530228778E-4</v>
      </c>
      <c r="AK602" s="56">
        <v>38865</v>
      </c>
      <c r="AL602" s="44">
        <v>14018</v>
      </c>
      <c r="AM602" s="54">
        <v>0.36068442042969301</v>
      </c>
      <c r="AN602" s="55">
        <v>0.50474202392821499</v>
      </c>
      <c r="AO602" s="56">
        <v>5598.79875997009</v>
      </c>
      <c r="AP602" s="48">
        <v>2799.399379985045</v>
      </c>
      <c r="AQ602" s="55">
        <v>0.43271322217895392</v>
      </c>
      <c r="AR602" s="51">
        <v>4171590.9</v>
      </c>
      <c r="AS602" s="49">
        <v>833068.12519697996</v>
      </c>
      <c r="AT602" s="55">
        <v>0.19970034098908884</v>
      </c>
      <c r="AU602" s="51">
        <v>585399.22311139153</v>
      </c>
      <c r="AV602" s="52">
        <v>2.6630364637944938E-3</v>
      </c>
      <c r="AW602" s="44">
        <v>124</v>
      </c>
      <c r="AX602" s="51">
        <v>297.58816521615103</v>
      </c>
      <c r="AY602" s="49">
        <v>443.48077645239698</v>
      </c>
      <c r="AZ602" s="49">
        <v>145.89261123624595</v>
      </c>
      <c r="BA602" s="42" t="s">
        <v>150</v>
      </c>
      <c r="BB602" s="50">
        <v>718556.59773043392</v>
      </c>
      <c r="BC602" s="57">
        <v>1303955.8208418256</v>
      </c>
      <c r="BD602" s="42" t="s">
        <v>150</v>
      </c>
      <c r="BE602" s="46">
        <v>89.757505773672094</v>
      </c>
      <c r="BF602" s="46">
        <v>72.425990467051307</v>
      </c>
      <c r="BG602" s="42" t="s">
        <v>150</v>
      </c>
      <c r="BH602" s="52">
        <v>0.36068442042969301</v>
      </c>
      <c r="BI602" s="52">
        <v>0.49337264070319697</v>
      </c>
      <c r="BJ602" s="42" t="s">
        <v>152</v>
      </c>
      <c r="BK602" s="46">
        <v>475.89540802540301</v>
      </c>
      <c r="BL602" s="46">
        <v>605.59017138979505</v>
      </c>
      <c r="BM602" s="42" t="s">
        <v>152</v>
      </c>
      <c r="BN602" s="48">
        <v>1</v>
      </c>
      <c r="BO602" s="42" t="s">
        <v>155</v>
      </c>
      <c r="BP602" s="42" t="s">
        <v>152</v>
      </c>
      <c r="BQ602" s="46">
        <v>46.209774348289997</v>
      </c>
      <c r="BR602" s="46">
        <v>95</v>
      </c>
      <c r="BS602" s="46">
        <v>9696</v>
      </c>
      <c r="BT602" s="46">
        <v>2909</v>
      </c>
      <c r="BU602" s="46">
        <v>3.3331041595049844</v>
      </c>
      <c r="BV602" s="46">
        <v>30.621052631578948</v>
      </c>
      <c r="BW602" s="46">
        <v>0</v>
      </c>
      <c r="BX602" s="46">
        <v>2631</v>
      </c>
      <c r="BY602" s="46">
        <v>2631</v>
      </c>
      <c r="BZ602" s="46">
        <v>0.90443451357854932</v>
      </c>
      <c r="CA602" s="46">
        <v>0</v>
      </c>
      <c r="CB602" s="46">
        <v>0.90443451357854932</v>
      </c>
      <c r="CC602" s="46">
        <v>9.5565486421450671E-2</v>
      </c>
      <c r="CD602" s="46">
        <v>0</v>
      </c>
      <c r="CE602" s="46">
        <v>0</v>
      </c>
      <c r="CF602" s="46">
        <v>0</v>
      </c>
      <c r="CG602" s="46">
        <v>0</v>
      </c>
      <c r="CH602" s="46">
        <v>0</v>
      </c>
      <c r="CI602" s="46">
        <v>2.4752475247524748</v>
      </c>
      <c r="CJ602" s="46">
        <v>0.3094059405940594</v>
      </c>
      <c r="CK602">
        <v>312</v>
      </c>
      <c r="CL602">
        <v>422.13</v>
      </c>
      <c r="CM602">
        <f t="shared" si="70"/>
        <v>110.13</v>
      </c>
      <c r="CN602">
        <v>8.02</v>
      </c>
      <c r="CO602">
        <v>9.4499999999999993</v>
      </c>
      <c r="CP602">
        <f t="shared" si="71"/>
        <v>1.4299999999999997</v>
      </c>
      <c r="CQ602">
        <v>846.56</v>
      </c>
      <c r="CR602">
        <v>475.9</v>
      </c>
      <c r="CS602">
        <f t="shared" si="72"/>
        <v>370.65999999999997</v>
      </c>
      <c r="CT602" t="s">
        <v>152</v>
      </c>
      <c r="CU602">
        <v>87.99</v>
      </c>
      <c r="CV602">
        <v>278</v>
      </c>
      <c r="CW602" s="46">
        <v>2631</v>
      </c>
      <c r="CX602" s="46">
        <f t="shared" si="66"/>
        <v>86.65761430044688</v>
      </c>
      <c r="CY602" s="46">
        <v>110.13</v>
      </c>
      <c r="CZ602" s="46">
        <f t="shared" si="67"/>
        <v>90.443451357854926</v>
      </c>
      <c r="DA602" s="46">
        <f t="shared" si="68"/>
        <v>740.09591504837476</v>
      </c>
      <c r="DB602" s="46">
        <v>2234445.7799999998</v>
      </c>
      <c r="DC602" s="46">
        <f t="shared" si="69"/>
        <v>36.920848058877887</v>
      </c>
      <c r="DD602" s="46">
        <v>111468.84</v>
      </c>
      <c r="DE602" s="995">
        <v>2631</v>
      </c>
      <c r="DF602" s="995">
        <v>86.664000000000001</v>
      </c>
      <c r="DG602" s="995">
        <v>109.9</v>
      </c>
      <c r="DH602" s="995">
        <v>90.442999999999998</v>
      </c>
      <c r="DI602" s="995">
        <v>1667.1869999999999</v>
      </c>
      <c r="DJ602" s="995">
        <v>5033120</v>
      </c>
      <c r="DK602" s="995">
        <v>83.201999999999998</v>
      </c>
      <c r="DL602" s="995">
        <v>251182.1</v>
      </c>
      <c r="DM602" s="995">
        <v>2631</v>
      </c>
      <c r="DN602" s="995">
        <v>87.067999999999998</v>
      </c>
      <c r="DO602" s="995">
        <v>98.2</v>
      </c>
      <c r="DP602" s="995">
        <v>90.442999999999998</v>
      </c>
      <c r="DQ602" s="995">
        <v>1634.8330000000001</v>
      </c>
      <c r="DR602" s="995">
        <v>4916260</v>
      </c>
      <c r="DS602" s="995">
        <v>81.611999999999995</v>
      </c>
      <c r="DT602" s="995">
        <v>245423.8</v>
      </c>
    </row>
    <row r="603" spans="1:124">
      <c r="A603" s="42" t="s">
        <v>94</v>
      </c>
      <c r="B603" s="42" t="s">
        <v>510</v>
      </c>
      <c r="C603" s="42" t="s">
        <v>788</v>
      </c>
      <c r="D603" s="42">
        <v>809355</v>
      </c>
      <c r="E603" s="42" t="s">
        <v>824</v>
      </c>
      <c r="F603" s="42" t="s">
        <v>149</v>
      </c>
      <c r="G603" s="42" t="s">
        <v>150</v>
      </c>
      <c r="H603" s="43" t="s">
        <v>150</v>
      </c>
      <c r="I603" s="44">
        <v>70</v>
      </c>
      <c r="J603" s="45">
        <v>198092.73119999899</v>
      </c>
      <c r="K603" s="46">
        <v>4316.5225060000002</v>
      </c>
      <c r="L603" s="47">
        <v>202409.253705999</v>
      </c>
      <c r="M603" s="48">
        <v>3488038</v>
      </c>
      <c r="N603" s="49">
        <v>2903224</v>
      </c>
      <c r="O603" s="49">
        <v>580108</v>
      </c>
      <c r="P603" s="49">
        <v>4706</v>
      </c>
      <c r="Q603" s="50">
        <v>8044.6364896073901</v>
      </c>
      <c r="R603" s="51">
        <v>32519.5730044015</v>
      </c>
      <c r="S603" s="49">
        <v>53553.069594271597</v>
      </c>
      <c r="T603" s="49">
        <v>8356.5552035805795</v>
      </c>
      <c r="U603" s="49">
        <f>IFERROR(INDEX('Rentabilidad datos'!$N$2:$N$61,MATCH($C603,'Rentabilidad datos'!$C$2:$C$61,0)),"")</f>
        <v>94429.197802253679</v>
      </c>
      <c r="V603" s="50">
        <f>IFERROR(INDEX('Rentabilidad datos'!$O$2:$O$61,MATCH($C603,'Rentabilidad datos'!$C$2:$C$61,0)),"")</f>
        <v>1573.8199633708946</v>
      </c>
      <c r="W603" s="51">
        <f>IFERROR(INDEX('Rentabilidad datos'!$M$2:$M$61,MATCH($C603,'Rentabilidad datos'!$C$2:$C$61,0)),"")</f>
        <v>3293.1144020900269</v>
      </c>
      <c r="X603" s="52">
        <f>IFERROR(INDEX('Rentabilidad datos'!$P$2:$P$61,MATCH($C603,'Rentabilidad datos'!$C$2:$C$61,0)),"")</f>
        <v>0.47791232590402716</v>
      </c>
      <c r="Y603" s="43" t="s">
        <v>171</v>
      </c>
      <c r="Z603" s="53">
        <v>50.371824480369497</v>
      </c>
      <c r="AA603" s="43">
        <v>1</v>
      </c>
      <c r="AB603" s="54">
        <v>0.96274811226253842</v>
      </c>
      <c r="AC603" s="55">
        <v>3.7251887737461575E-2</v>
      </c>
      <c r="AD603" s="752" t="e">
        <f>_xlfn.XLOOKUP(Table1[[#This Row],[Ruta]],#REF!,#REF!)</f>
        <v>#REF!</v>
      </c>
      <c r="AE603" s="752" t="e">
        <f>_xlfn.XLOOKUP(Table1[[#This Row],[Ruta]],#REF!,#REF!)</f>
        <v>#REF!</v>
      </c>
      <c r="AF603" s="752" t="e">
        <f>_xlfn.XLOOKUP(Table1[[#This Row],[Ruta]],#REF!,#REF!)</f>
        <v>#REF!</v>
      </c>
      <c r="AG603" s="752" t="e">
        <f>_xlfn.XLOOKUP(Table1[[#This Row],[Ruta]],#REF!,#REF!)</f>
        <v>#REF!</v>
      </c>
      <c r="AH603" s="52">
        <v>0.83233726238074246</v>
      </c>
      <c r="AI603" s="52">
        <v>0.16631355507021425</v>
      </c>
      <c r="AJ603" s="55">
        <v>1.3491825490433303E-3</v>
      </c>
      <c r="AK603" s="56">
        <v>21811</v>
      </c>
      <c r="AL603" s="44">
        <v>10330</v>
      </c>
      <c r="AM603" s="54">
        <v>0.47361423135115299</v>
      </c>
      <c r="AN603" s="55">
        <v>0.50474202392821499</v>
      </c>
      <c r="AO603" s="56">
        <v>678.92828389830402</v>
      </c>
      <c r="AP603" s="48">
        <v>339.46414194915201</v>
      </c>
      <c r="AQ603" s="55">
        <v>0.48917812763968421</v>
      </c>
      <c r="AR603" s="51">
        <v>3483327.6</v>
      </c>
      <c r="AS603" s="49">
        <v>114469.0043428655</v>
      </c>
      <c r="AT603" s="55">
        <v>3.2861969210953773E-2</v>
      </c>
      <c r="AU603" s="51">
        <v>80437.678727419028</v>
      </c>
      <c r="AV603" s="52">
        <v>3.6591861255911385E-4</v>
      </c>
      <c r="AW603" s="44">
        <v>407</v>
      </c>
      <c r="AX603" s="51">
        <v>337.20499515972898</v>
      </c>
      <c r="AY603" s="49">
        <v>443.48077645239698</v>
      </c>
      <c r="AZ603" s="49">
        <v>106.275781292668</v>
      </c>
      <c r="BA603" s="42" t="s">
        <v>150</v>
      </c>
      <c r="BB603" s="50">
        <v>385723.63972411869</v>
      </c>
      <c r="BC603" s="57">
        <v>466161.31845153775</v>
      </c>
      <c r="BD603" s="42" t="s">
        <v>150</v>
      </c>
      <c r="BE603" s="46">
        <v>50.371824480369497</v>
      </c>
      <c r="BF603" s="46">
        <v>72.425990467051307</v>
      </c>
      <c r="BG603" s="42" t="s">
        <v>152</v>
      </c>
      <c r="BH603" s="52">
        <v>0.47361423135115299</v>
      </c>
      <c r="BI603" s="52">
        <v>0.49337264070319697</v>
      </c>
      <c r="BJ603" s="42" t="s">
        <v>152</v>
      </c>
      <c r="BK603" s="46">
        <v>467.45786075288601</v>
      </c>
      <c r="BL603" s="46">
        <v>605.59017138979505</v>
      </c>
      <c r="BM603" s="42" t="s">
        <v>152</v>
      </c>
      <c r="BN603" s="48">
        <v>0</v>
      </c>
      <c r="BO603" s="42" t="s">
        <v>155</v>
      </c>
      <c r="BP603" s="42" t="s">
        <v>152</v>
      </c>
      <c r="BQ603" s="46">
        <v>4430.5939753154798</v>
      </c>
      <c r="BR603" s="46">
        <v>136</v>
      </c>
      <c r="BS603" s="46">
        <v>11414</v>
      </c>
      <c r="BT603" s="46">
        <v>3653</v>
      </c>
      <c r="BU603" s="46">
        <v>3.1245551601423487</v>
      </c>
      <c r="BV603" s="46">
        <v>26.860294117647058</v>
      </c>
      <c r="BW603" s="46">
        <v>0</v>
      </c>
      <c r="BX603" s="46">
        <v>3653</v>
      </c>
      <c r="BY603" s="46">
        <v>3653</v>
      </c>
      <c r="BZ603" s="46">
        <v>1</v>
      </c>
      <c r="CA603" s="46">
        <v>0</v>
      </c>
      <c r="CB603" s="46">
        <v>1</v>
      </c>
      <c r="CC603" s="46">
        <v>0</v>
      </c>
      <c r="CD603" s="46">
        <v>0</v>
      </c>
      <c r="CE603" s="46">
        <v>0</v>
      </c>
      <c r="CF603" s="46">
        <v>0</v>
      </c>
      <c r="CG603" s="46">
        <v>0</v>
      </c>
      <c r="CH603" s="46">
        <v>0</v>
      </c>
      <c r="CI603" s="46">
        <v>3.7673033117224461</v>
      </c>
      <c r="CJ603" s="46">
        <v>0.35044681969511132</v>
      </c>
      <c r="CK603">
        <v>254</v>
      </c>
      <c r="CL603">
        <v>414.47</v>
      </c>
      <c r="CM603">
        <f t="shared" si="70"/>
        <v>160.47000000000003</v>
      </c>
      <c r="CN603">
        <v>6.14</v>
      </c>
      <c r="CO603">
        <v>9.4499999999999993</v>
      </c>
      <c r="CP603">
        <f t="shared" si="71"/>
        <v>3.3099999999999996</v>
      </c>
      <c r="CQ603">
        <v>846.56</v>
      </c>
      <c r="CR603">
        <v>467.46</v>
      </c>
      <c r="CS603">
        <f t="shared" si="72"/>
        <v>379.09999999999997</v>
      </c>
      <c r="CT603" t="s">
        <v>152</v>
      </c>
      <c r="CU603">
        <v>66.62</v>
      </c>
      <c r="CV603">
        <v>246</v>
      </c>
      <c r="CW603" s="46">
        <v>3653</v>
      </c>
      <c r="CX603" s="46">
        <f t="shared" si="66"/>
        <v>95.607172187243378</v>
      </c>
      <c r="CY603" s="46">
        <v>160.47</v>
      </c>
      <c r="CZ603" s="46">
        <f t="shared" si="67"/>
        <v>100</v>
      </c>
      <c r="DA603" s="46">
        <f t="shared" si="68"/>
        <v>656.6130217361092</v>
      </c>
      <c r="DB603" s="46">
        <v>2503974.06</v>
      </c>
      <c r="DC603" s="46">
        <f t="shared" si="69"/>
        <v>34.531303510975569</v>
      </c>
      <c r="DD603" s="46">
        <v>131684.09</v>
      </c>
      <c r="DE603" s="995">
        <v>3653</v>
      </c>
      <c r="DF603" s="995">
        <v>95.697999999999993</v>
      </c>
      <c r="DG603" s="995">
        <v>157.1</v>
      </c>
      <c r="DH603" s="995">
        <v>100</v>
      </c>
      <c r="DI603" s="995">
        <v>1253.018</v>
      </c>
      <c r="DJ603" s="995">
        <v>4774169</v>
      </c>
      <c r="DK603" s="995">
        <v>68.210999999999999</v>
      </c>
      <c r="DL603" s="995">
        <v>259893.9</v>
      </c>
      <c r="DM603" s="995">
        <v>3653</v>
      </c>
      <c r="DN603" s="995">
        <v>95.814999999999998</v>
      </c>
      <c r="DO603" s="995">
        <v>152.9</v>
      </c>
      <c r="DP603" s="995">
        <v>100</v>
      </c>
      <c r="DQ603" s="995">
        <v>1245.3710000000001</v>
      </c>
      <c r="DR603" s="995">
        <v>4739727</v>
      </c>
      <c r="DS603" s="995">
        <v>67.748999999999995</v>
      </c>
      <c r="DT603" s="995">
        <v>257843.1</v>
      </c>
    </row>
    <row r="604" spans="1:124">
      <c r="A604" s="42" t="s">
        <v>94</v>
      </c>
      <c r="B604" s="42" t="s">
        <v>510</v>
      </c>
      <c r="C604" s="42" t="s">
        <v>788</v>
      </c>
      <c r="D604" s="42">
        <v>809356</v>
      </c>
      <c r="E604" s="42" t="s">
        <v>825</v>
      </c>
      <c r="F604" s="42" t="s">
        <v>149</v>
      </c>
      <c r="G604" s="42" t="s">
        <v>150</v>
      </c>
      <c r="H604" s="43" t="s">
        <v>150</v>
      </c>
      <c r="I604" s="44">
        <v>70</v>
      </c>
      <c r="J604" s="45">
        <v>164577.09520000001</v>
      </c>
      <c r="K604" s="46">
        <v>8509.2053250000008</v>
      </c>
      <c r="L604" s="47">
        <v>173086.300525</v>
      </c>
      <c r="M604" s="48">
        <v>3574020</v>
      </c>
      <c r="N604" s="49">
        <v>2411284</v>
      </c>
      <c r="O604" s="49">
        <v>1156534</v>
      </c>
      <c r="P604" s="49">
        <v>6202</v>
      </c>
      <c r="Q604" s="50">
        <v>8183.0650688073401</v>
      </c>
      <c r="R604" s="51">
        <v>32519.5730044015</v>
      </c>
      <c r="S604" s="49">
        <v>53553.069594271597</v>
      </c>
      <c r="T604" s="49">
        <v>8356.5552035805795</v>
      </c>
      <c r="U604" s="49">
        <f>IFERROR(INDEX('Rentabilidad datos'!$N$2:$N$61,MATCH($C604,'Rentabilidad datos'!$C$2:$C$61,0)),"")</f>
        <v>94429.197802253679</v>
      </c>
      <c r="V604" s="50">
        <f>IFERROR(INDEX('Rentabilidad datos'!$O$2:$O$61,MATCH($C604,'Rentabilidad datos'!$C$2:$C$61,0)),"")</f>
        <v>1573.8199633708946</v>
      </c>
      <c r="W604" s="51">
        <f>IFERROR(INDEX('Rentabilidad datos'!$M$2:$M$61,MATCH($C604,'Rentabilidad datos'!$C$2:$C$61,0)),"")</f>
        <v>3293.1144020900269</v>
      </c>
      <c r="X604" s="52">
        <f>IFERROR(INDEX('Rentabilidad datos'!$P$2:$P$61,MATCH($C604,'Rentabilidad datos'!$C$2:$C$61,0)),"")</f>
        <v>0.47791232590402716</v>
      </c>
      <c r="Y604" s="43" t="s">
        <v>171</v>
      </c>
      <c r="Z604" s="53">
        <v>63.944954128440401</v>
      </c>
      <c r="AA604" s="43">
        <v>1</v>
      </c>
      <c r="AB604" s="54">
        <v>0.99067296769464075</v>
      </c>
      <c r="AC604" s="55">
        <v>9.3270323053592317E-3</v>
      </c>
      <c r="AD604" s="752" t="e">
        <f>_xlfn.XLOOKUP(Table1[[#This Row],[Ruta]],#REF!,#REF!)</f>
        <v>#REF!</v>
      </c>
      <c r="AE604" s="752" t="e">
        <f>_xlfn.XLOOKUP(Table1[[#This Row],[Ruta]],#REF!,#REF!)</f>
        <v>#REF!</v>
      </c>
      <c r="AF604" s="752" t="e">
        <f>_xlfn.XLOOKUP(Table1[[#This Row],[Ruta]],#REF!,#REF!)</f>
        <v>#REF!</v>
      </c>
      <c r="AG604" s="752" t="e">
        <f>_xlfn.XLOOKUP(Table1[[#This Row],[Ruta]],#REF!,#REF!)</f>
        <v>#REF!</v>
      </c>
      <c r="AH604" s="52">
        <v>0.67466997946290175</v>
      </c>
      <c r="AI604" s="52">
        <v>0.32359471967140641</v>
      </c>
      <c r="AJ604" s="55">
        <v>1.7353008656918541E-3</v>
      </c>
      <c r="AK604" s="56">
        <v>27880</v>
      </c>
      <c r="AL604" s="44">
        <v>8869</v>
      </c>
      <c r="AM604" s="54">
        <v>0.31811334289813498</v>
      </c>
      <c r="AN604" s="55">
        <v>0.50474202392821499</v>
      </c>
      <c r="AO604" s="56">
        <v>5203.2076271186397</v>
      </c>
      <c r="AP604" s="48">
        <v>2601.6038135593199</v>
      </c>
      <c r="AQ604" s="55">
        <v>0.41142768341317498</v>
      </c>
      <c r="AR604" s="51">
        <v>3567816.37</v>
      </c>
      <c r="AS604" s="49">
        <v>1046571.730101635</v>
      </c>
      <c r="AT604" s="55">
        <v>0.29333677004840775</v>
      </c>
      <c r="AU604" s="51">
        <v>735428.78331466264</v>
      </c>
      <c r="AV604" s="52">
        <v>3.3455351308491602E-3</v>
      </c>
      <c r="AW604" s="44">
        <v>86</v>
      </c>
      <c r="AX604" s="51">
        <v>402.27944187619801</v>
      </c>
      <c r="AY604" s="49">
        <v>443.48077645239698</v>
      </c>
      <c r="AZ604" s="49">
        <v>41.201334576198974</v>
      </c>
      <c r="BA604" s="42" t="s">
        <v>150</v>
      </c>
      <c r="BB604" s="50">
        <v>128388.92628735176</v>
      </c>
      <c r="BC604" s="57">
        <v>863817.70960201439</v>
      </c>
      <c r="BD604" s="42" t="s">
        <v>150</v>
      </c>
      <c r="BE604" s="46">
        <v>63.944954128440401</v>
      </c>
      <c r="BF604" s="46">
        <v>72.425990467051307</v>
      </c>
      <c r="BG604" s="42" t="s">
        <v>152</v>
      </c>
      <c r="BH604" s="52">
        <v>0.31811334289813498</v>
      </c>
      <c r="BI604" s="52">
        <v>0.49337264070319697</v>
      </c>
      <c r="BJ604" s="42" t="s">
        <v>152</v>
      </c>
      <c r="BK604" s="46">
        <v>396.98692780963302</v>
      </c>
      <c r="BL604" s="46">
        <v>605.59017138979505</v>
      </c>
      <c r="BM604" s="42" t="s">
        <v>152</v>
      </c>
      <c r="BN604" s="48">
        <v>0</v>
      </c>
      <c r="BO604" s="42" t="s">
        <v>155</v>
      </c>
      <c r="BP604" s="42" t="s">
        <v>152</v>
      </c>
      <c r="BQ604" s="46">
        <v>7696.7532521157</v>
      </c>
      <c r="BR604" s="46">
        <v>91</v>
      </c>
      <c r="BS604" s="46">
        <v>10986</v>
      </c>
      <c r="BT604" s="46">
        <v>3701</v>
      </c>
      <c r="BU604" s="46">
        <v>2.9683869224533912</v>
      </c>
      <c r="BV604" s="46">
        <v>40.670329670329672</v>
      </c>
      <c r="BW604" s="46">
        <v>1664</v>
      </c>
      <c r="BX604" s="46">
        <v>2037</v>
      </c>
      <c r="BY604" s="46">
        <v>3701</v>
      </c>
      <c r="BZ604" s="46">
        <v>1</v>
      </c>
      <c r="CA604" s="46">
        <v>0.44960821399621725</v>
      </c>
      <c r="CB604" s="46">
        <v>0.5503917860037828</v>
      </c>
      <c r="CC604" s="46">
        <v>0</v>
      </c>
      <c r="CD604" s="46">
        <v>0</v>
      </c>
      <c r="CE604" s="46">
        <v>0</v>
      </c>
      <c r="CF604" s="46">
        <v>0</v>
      </c>
      <c r="CG604" s="46">
        <v>0</v>
      </c>
      <c r="CH604" s="46">
        <v>0</v>
      </c>
      <c r="CI604" s="46">
        <v>1.3653741125068268</v>
      </c>
      <c r="CJ604" s="46">
        <v>0.36409976333515381</v>
      </c>
      <c r="CK604">
        <v>141</v>
      </c>
      <c r="CL604">
        <v>316.33</v>
      </c>
      <c r="CM604">
        <f t="shared" si="70"/>
        <v>175.32999999999998</v>
      </c>
      <c r="CN604">
        <v>4.8499999999999996</v>
      </c>
      <c r="CO604">
        <v>9.4499999999999993</v>
      </c>
      <c r="CP604">
        <f t="shared" si="71"/>
        <v>4.5999999999999996</v>
      </c>
      <c r="CQ604">
        <v>846.56</v>
      </c>
      <c r="CR604">
        <v>396.99</v>
      </c>
      <c r="CS604">
        <f t="shared" si="72"/>
        <v>449.56999999999994</v>
      </c>
      <c r="CT604" t="s">
        <v>152</v>
      </c>
      <c r="CU604">
        <v>52.89</v>
      </c>
      <c r="CV604">
        <v>185</v>
      </c>
      <c r="CW604" s="46">
        <v>1667</v>
      </c>
      <c r="CX604" s="46">
        <f t="shared" si="66"/>
        <v>40.304512293974604</v>
      </c>
      <c r="CY604" s="46">
        <v>175.33</v>
      </c>
      <c r="CZ604" s="46">
        <f t="shared" si="67"/>
        <v>45.041880572818158</v>
      </c>
      <c r="DA604" s="46">
        <f t="shared" si="68"/>
        <v>702.44470929977581</v>
      </c>
      <c r="DB604" s="46">
        <v>2722907.5</v>
      </c>
      <c r="DC604" s="46">
        <f t="shared" si="69"/>
        <v>28.942775769864795</v>
      </c>
      <c r="DD604" s="46">
        <v>112191.75</v>
      </c>
      <c r="DE604" s="995">
        <v>1667</v>
      </c>
      <c r="DF604" s="995">
        <v>41.622999999999998</v>
      </c>
      <c r="DG604" s="995">
        <v>126.5</v>
      </c>
      <c r="DH604" s="995">
        <v>45.042000000000002</v>
      </c>
      <c r="DI604" s="995">
        <v>1164.7429999999999</v>
      </c>
      <c r="DJ604" s="995">
        <v>4458110</v>
      </c>
      <c r="DK604" s="995">
        <v>49.8</v>
      </c>
      <c r="DL604" s="995">
        <v>190610.3</v>
      </c>
      <c r="DM604" s="995">
        <v>1667</v>
      </c>
      <c r="DN604" s="995">
        <v>42.173000000000002</v>
      </c>
      <c r="DO604" s="995">
        <v>106.2</v>
      </c>
      <c r="DP604" s="995">
        <v>45.042000000000002</v>
      </c>
      <c r="DQ604" s="995">
        <v>1101.873</v>
      </c>
      <c r="DR604" s="995">
        <v>4195029</v>
      </c>
      <c r="DS604" s="995">
        <v>47.228000000000002</v>
      </c>
      <c r="DT604" s="995">
        <v>179805.5</v>
      </c>
    </row>
    <row r="605" spans="1:124">
      <c r="A605" s="42" t="s">
        <v>94</v>
      </c>
      <c r="B605" s="42" t="s">
        <v>510</v>
      </c>
      <c r="C605" s="42" t="s">
        <v>788</v>
      </c>
      <c r="D605" s="42">
        <v>809357</v>
      </c>
      <c r="E605" s="42" t="s">
        <v>826</v>
      </c>
      <c r="F605" s="42" t="s">
        <v>149</v>
      </c>
      <c r="G605" s="42" t="s">
        <v>150</v>
      </c>
      <c r="H605" s="43" t="s">
        <v>150</v>
      </c>
      <c r="I605" s="44">
        <v>70</v>
      </c>
      <c r="J605" s="45">
        <v>136697.29920000001</v>
      </c>
      <c r="K605" s="46">
        <v>7189.1518249999999</v>
      </c>
      <c r="L605" s="47">
        <v>143886.45102499999</v>
      </c>
      <c r="M605" s="48">
        <v>3021287</v>
      </c>
      <c r="N605" s="49">
        <v>2000653</v>
      </c>
      <c r="O605" s="49">
        <v>999360</v>
      </c>
      <c r="P605" s="49">
        <v>21274</v>
      </c>
      <c r="Q605" s="50">
        <v>6877.5747477064197</v>
      </c>
      <c r="R605" s="51">
        <v>32519.5730044015</v>
      </c>
      <c r="S605" s="49">
        <v>53553.069594271597</v>
      </c>
      <c r="T605" s="49">
        <v>8356.5552035805795</v>
      </c>
      <c r="U605" s="49">
        <f>IFERROR(INDEX('Rentabilidad datos'!$N$2:$N$61,MATCH($C605,'Rentabilidad datos'!$C$2:$C$61,0)),"")</f>
        <v>94429.197802253679</v>
      </c>
      <c r="V605" s="50">
        <f>IFERROR(INDEX('Rentabilidad datos'!$O$2:$O$61,MATCH($C605,'Rentabilidad datos'!$C$2:$C$61,0)),"")</f>
        <v>1573.8199633708946</v>
      </c>
      <c r="W605" s="51">
        <f>IFERROR(INDEX('Rentabilidad datos'!$M$2:$M$61,MATCH($C605,'Rentabilidad datos'!$C$2:$C$61,0)),"")</f>
        <v>3293.1144020900269</v>
      </c>
      <c r="X605" s="52">
        <f>IFERROR(INDEX('Rentabilidad datos'!$P$2:$P$61,MATCH($C605,'Rentabilidad datos'!$C$2:$C$61,0)),"")</f>
        <v>0.47791232590402716</v>
      </c>
      <c r="Y605" s="43" t="s">
        <v>171</v>
      </c>
      <c r="Z605" s="53">
        <v>36.938073394495397</v>
      </c>
      <c r="AA605" s="43">
        <v>1</v>
      </c>
      <c r="AB605" s="54">
        <v>0.98222148375841156</v>
      </c>
      <c r="AC605" s="55">
        <v>1.7778516241588434E-2</v>
      </c>
      <c r="AD605" s="752" t="e">
        <f>_xlfn.XLOOKUP(Table1[[#This Row],[Ruta]],#REF!,#REF!)</f>
        <v>#REF!</v>
      </c>
      <c r="AE605" s="752" t="e">
        <f>_xlfn.XLOOKUP(Table1[[#This Row],[Ruta]],#REF!,#REF!)</f>
        <v>#REF!</v>
      </c>
      <c r="AF605" s="752" t="e">
        <f>_xlfn.XLOOKUP(Table1[[#This Row],[Ruta]],#REF!,#REF!)</f>
        <v>#REF!</v>
      </c>
      <c r="AG605" s="752" t="e">
        <f>_xlfn.XLOOKUP(Table1[[#This Row],[Ruta]],#REF!,#REF!)</f>
        <v>#REF!</v>
      </c>
      <c r="AH605" s="52">
        <v>0.66218568444507253</v>
      </c>
      <c r="AI605" s="52">
        <v>0.33077294543682872</v>
      </c>
      <c r="AJ605" s="55">
        <v>7.0413701180986775E-3</v>
      </c>
      <c r="AK605" s="56">
        <v>16105</v>
      </c>
      <c r="AL605" s="44">
        <v>6371</v>
      </c>
      <c r="AM605" s="54">
        <v>0.39559143123253698</v>
      </c>
      <c r="AN605" s="55">
        <v>0.50474202392821499</v>
      </c>
      <c r="AO605" s="56">
        <v>1757.8702953639099</v>
      </c>
      <c r="AP605" s="48">
        <v>878.93514768195496</v>
      </c>
      <c r="AQ605" s="55">
        <v>0.45016672758037596</v>
      </c>
      <c r="AR605" s="51">
        <v>2998622.59</v>
      </c>
      <c r="AS605" s="49">
        <v>413686.20137876202</v>
      </c>
      <c r="AT605" s="55">
        <v>0.13795874237669972</v>
      </c>
      <c r="AU605" s="51">
        <v>290698.41177967074</v>
      </c>
      <c r="AV605" s="52">
        <v>1.3224145847373361E-3</v>
      </c>
      <c r="AW605" s="44">
        <v>251</v>
      </c>
      <c r="AX605" s="51">
        <v>470.66749175953498</v>
      </c>
      <c r="AY605" s="49">
        <v>443.48077645239698</v>
      </c>
      <c r="AZ605" s="49">
        <v>0</v>
      </c>
      <c r="BA605" s="42" t="s">
        <v>152</v>
      </c>
      <c r="BB605" s="50">
        <v>0</v>
      </c>
      <c r="BC605" s="57">
        <v>290698.41177967074</v>
      </c>
      <c r="BD605" s="42" t="s">
        <v>150</v>
      </c>
      <c r="BE605" s="46">
        <v>36.938073394495397</v>
      </c>
      <c r="BF605" s="46">
        <v>72.425990467051307</v>
      </c>
      <c r="BG605" s="42" t="s">
        <v>152</v>
      </c>
      <c r="BH605" s="52">
        <v>0.39559143123253698</v>
      </c>
      <c r="BI605" s="52">
        <v>0.49337264070319697</v>
      </c>
      <c r="BJ605" s="42" t="s">
        <v>152</v>
      </c>
      <c r="BK605" s="46">
        <v>330.01479592889899</v>
      </c>
      <c r="BL605" s="46">
        <v>605.59017138979505</v>
      </c>
      <c r="BM605" s="42" t="s">
        <v>152</v>
      </c>
      <c r="BN605" s="48">
        <v>0</v>
      </c>
      <c r="BO605" s="42" t="s">
        <v>155</v>
      </c>
      <c r="BP605" s="42" t="s">
        <v>152</v>
      </c>
      <c r="BQ605" s="46">
        <v>7930.6642596151896</v>
      </c>
      <c r="BR605" s="46">
        <v>50</v>
      </c>
      <c r="BS605" s="46">
        <v>6499</v>
      </c>
      <c r="BT605" s="46">
        <v>2223</v>
      </c>
      <c r="BU605" s="46">
        <v>2.9235267656320287</v>
      </c>
      <c r="BV605" s="46">
        <v>44.46</v>
      </c>
      <c r="BW605" s="46">
        <v>0</v>
      </c>
      <c r="BX605" s="46">
        <v>2223</v>
      </c>
      <c r="BY605" s="46">
        <v>2223</v>
      </c>
      <c r="BZ605" s="46">
        <v>1</v>
      </c>
      <c r="CA605" s="46">
        <v>0</v>
      </c>
      <c r="CB605" s="46">
        <v>1</v>
      </c>
      <c r="CC605" s="46">
        <v>0</v>
      </c>
      <c r="CD605" s="46">
        <v>0</v>
      </c>
      <c r="CE605" s="46">
        <v>0</v>
      </c>
      <c r="CF605" s="46">
        <v>0</v>
      </c>
      <c r="CG605" s="46">
        <v>0</v>
      </c>
      <c r="CH605" s="46">
        <v>0</v>
      </c>
      <c r="CI605" s="46">
        <v>3.2312663486690258</v>
      </c>
      <c r="CJ605" s="46">
        <v>0.61547930450838595</v>
      </c>
      <c r="CK605">
        <v>173</v>
      </c>
      <c r="CL605">
        <v>276.51</v>
      </c>
      <c r="CM605">
        <f t="shared" si="70"/>
        <v>103.50999999999999</v>
      </c>
      <c r="CN605">
        <v>4.1100000000000003</v>
      </c>
      <c r="CO605">
        <v>9.4499999999999993</v>
      </c>
      <c r="CP605">
        <f t="shared" si="71"/>
        <v>5.339999999999999</v>
      </c>
      <c r="CQ605">
        <v>564.37</v>
      </c>
      <c r="CR605">
        <v>330.01</v>
      </c>
      <c r="CS605">
        <f t="shared" si="72"/>
        <v>234.36</v>
      </c>
      <c r="CT605" t="s">
        <v>152</v>
      </c>
      <c r="CU605">
        <v>58.47</v>
      </c>
      <c r="CV605">
        <v>175</v>
      </c>
      <c r="CW605" s="46">
        <v>2223</v>
      </c>
      <c r="CX605" s="46">
        <f t="shared" si="66"/>
        <v>95.343679712100766</v>
      </c>
      <c r="CY605" s="46">
        <v>103.51</v>
      </c>
      <c r="CZ605" s="46">
        <f t="shared" si="67"/>
        <v>100</v>
      </c>
      <c r="DA605" s="46">
        <f t="shared" si="68"/>
        <v>667.07687050560708</v>
      </c>
      <c r="DB605" s="46">
        <v>1551961.01</v>
      </c>
      <c r="DC605" s="46">
        <f t="shared" si="69"/>
        <v>31.81311492321116</v>
      </c>
      <c r="DD605" s="46">
        <v>74013.53</v>
      </c>
      <c r="DE605" s="995">
        <v>2223</v>
      </c>
      <c r="DF605" s="995">
        <v>95.397000000000006</v>
      </c>
      <c r="DG605" s="995">
        <v>102.3</v>
      </c>
      <c r="DH605" s="995">
        <v>100</v>
      </c>
      <c r="DI605" s="995">
        <v>1602.674</v>
      </c>
      <c r="DJ605" s="995">
        <v>3726741</v>
      </c>
      <c r="DK605" s="995">
        <v>75.344999999999999</v>
      </c>
      <c r="DL605" s="995">
        <v>175201.3</v>
      </c>
      <c r="DM605" s="995">
        <v>2223</v>
      </c>
      <c r="DN605" s="995">
        <v>95.557000000000002</v>
      </c>
      <c r="DO605" s="995">
        <v>98.8</v>
      </c>
      <c r="DP605" s="995">
        <v>100</v>
      </c>
      <c r="DQ605" s="995">
        <v>1587.7180000000001</v>
      </c>
      <c r="DR605" s="995">
        <v>3686318</v>
      </c>
      <c r="DS605" s="995">
        <v>74.647000000000006</v>
      </c>
      <c r="DT605" s="995">
        <v>173314.4</v>
      </c>
    </row>
    <row r="606" spans="1:124">
      <c r="A606" s="42" t="s">
        <v>94</v>
      </c>
      <c r="B606" s="42" t="s">
        <v>510</v>
      </c>
      <c r="C606" s="42" t="s">
        <v>788</v>
      </c>
      <c r="D606" s="42">
        <v>809358</v>
      </c>
      <c r="E606" s="42" t="s">
        <v>827</v>
      </c>
      <c r="F606" s="42" t="s">
        <v>149</v>
      </c>
      <c r="G606" s="42" t="s">
        <v>150</v>
      </c>
      <c r="H606" s="43" t="s">
        <v>150</v>
      </c>
      <c r="I606" s="44">
        <v>70</v>
      </c>
      <c r="J606" s="45">
        <v>217878.05199999901</v>
      </c>
      <c r="K606" s="46">
        <v>11883.26755</v>
      </c>
      <c r="L606" s="47">
        <v>229761.319549999</v>
      </c>
      <c r="M606" s="48">
        <v>4823702</v>
      </c>
      <c r="N606" s="49">
        <v>3129096</v>
      </c>
      <c r="O606" s="49">
        <v>1688488</v>
      </c>
      <c r="P606" s="49">
        <v>6118</v>
      </c>
      <c r="Q606" s="50">
        <v>11049.5092660551</v>
      </c>
      <c r="R606" s="51">
        <v>32519.5730044015</v>
      </c>
      <c r="S606" s="49">
        <v>53553.069594271597</v>
      </c>
      <c r="T606" s="49">
        <v>8356.5552035805795</v>
      </c>
      <c r="U606" s="49">
        <f>IFERROR(INDEX('Rentabilidad datos'!$N$2:$N$61,MATCH($C606,'Rentabilidad datos'!$C$2:$C$61,0)),"")</f>
        <v>94429.197802253679</v>
      </c>
      <c r="V606" s="50">
        <f>IFERROR(INDEX('Rentabilidad datos'!$O$2:$O$61,MATCH($C606,'Rentabilidad datos'!$C$2:$C$61,0)),"")</f>
        <v>1573.8199633708946</v>
      </c>
      <c r="W606" s="51">
        <f>IFERROR(INDEX('Rentabilidad datos'!$M$2:$M$61,MATCH($C606,'Rentabilidad datos'!$C$2:$C$61,0)),"")</f>
        <v>3293.1144020900269</v>
      </c>
      <c r="X606" s="52">
        <f>IFERROR(INDEX('Rentabilidad datos'!$P$2:$P$61,MATCH($C606,'Rentabilidad datos'!$C$2:$C$61,0)),"")</f>
        <v>0.47791232590402716</v>
      </c>
      <c r="Y606" s="43" t="s">
        <v>171</v>
      </c>
      <c r="Z606" s="53">
        <v>57.190366972477101</v>
      </c>
      <c r="AA606" s="43">
        <v>1</v>
      </c>
      <c r="AB606" s="54">
        <v>0.9796465453297073</v>
      </c>
      <c r="AC606" s="55">
        <v>2.0353454670292651E-2</v>
      </c>
      <c r="AD606" s="752" t="e">
        <f>_xlfn.XLOOKUP(Table1[[#This Row],[Ruta]],#REF!,#REF!)</f>
        <v>#REF!</v>
      </c>
      <c r="AE606" s="752" t="e">
        <f>_xlfn.XLOOKUP(Table1[[#This Row],[Ruta]],#REF!,#REF!)</f>
        <v>#REF!</v>
      </c>
      <c r="AF606" s="752" t="e">
        <f>_xlfn.XLOOKUP(Table1[[#This Row],[Ruta]],#REF!,#REF!)</f>
        <v>#REF!</v>
      </c>
      <c r="AG606" s="752" t="e">
        <f>_xlfn.XLOOKUP(Table1[[#This Row],[Ruta]],#REF!,#REF!)</f>
        <v>#REF!</v>
      </c>
      <c r="AH606" s="52">
        <v>0.64869181388070818</v>
      </c>
      <c r="AI606" s="52">
        <v>0.35003986564675843</v>
      </c>
      <c r="AJ606" s="55">
        <v>1.2683204725333363E-3</v>
      </c>
      <c r="AK606" s="56">
        <v>24935</v>
      </c>
      <c r="AL606" s="44">
        <v>13270</v>
      </c>
      <c r="AM606" s="54">
        <v>0.53218367756165996</v>
      </c>
      <c r="AN606" s="55">
        <v>0.50474202392821499</v>
      </c>
      <c r="AO606" s="56">
        <v>0</v>
      </c>
      <c r="AP606" s="48">
        <v>0</v>
      </c>
      <c r="AQ606" s="55">
        <v>0.5321836775616603</v>
      </c>
      <c r="AR606" s="51">
        <v>4817586.04</v>
      </c>
      <c r="AS606" s="49">
        <v>0</v>
      </c>
      <c r="AT606" s="55">
        <v>0</v>
      </c>
      <c r="AU606" s="51">
        <v>0</v>
      </c>
      <c r="AV606" s="52">
        <v>0</v>
      </c>
      <c r="AW606" s="44">
        <v>490</v>
      </c>
      <c r="AX606" s="51">
        <v>363.04340919367002</v>
      </c>
      <c r="AY606" s="49">
        <v>443.48077645239698</v>
      </c>
      <c r="AZ606" s="49">
        <v>80.437367258726965</v>
      </c>
      <c r="BA606" s="42" t="s">
        <v>150</v>
      </c>
      <c r="BB606" s="50">
        <v>375033.78988656739</v>
      </c>
      <c r="BC606" s="57">
        <v>375033.78988656739</v>
      </c>
      <c r="BD606" s="42" t="s">
        <v>150</v>
      </c>
      <c r="BE606" s="46">
        <v>57.190366972477101</v>
      </c>
      <c r="BF606" s="46">
        <v>72.425990467051307</v>
      </c>
      <c r="BG606" s="42" t="s">
        <v>152</v>
      </c>
      <c r="BH606" s="52">
        <v>0.53218367756165996</v>
      </c>
      <c r="BI606" s="52">
        <v>0.49337264070319697</v>
      </c>
      <c r="BJ606" s="42" t="s">
        <v>150</v>
      </c>
      <c r="BK606" s="46">
        <v>526.97550355504495</v>
      </c>
      <c r="BL606" s="46">
        <v>605.59017138979505</v>
      </c>
      <c r="BM606" s="42" t="s">
        <v>152</v>
      </c>
      <c r="BN606" s="48">
        <v>1</v>
      </c>
      <c r="BO606" s="42" t="s">
        <v>155</v>
      </c>
      <c r="BP606" s="42" t="s">
        <v>152</v>
      </c>
      <c r="BQ606" s="46">
        <v>1295.3055450761501</v>
      </c>
      <c r="BR606" s="46">
        <v>105</v>
      </c>
      <c r="BS606" s="46">
        <v>18674</v>
      </c>
      <c r="BT606" s="46">
        <v>5239</v>
      </c>
      <c r="BU606" s="46">
        <v>3.5644206909715597</v>
      </c>
      <c r="BV606" s="46">
        <v>49.895238095238092</v>
      </c>
      <c r="BW606" s="46">
        <v>0</v>
      </c>
      <c r="BX606" s="46">
        <v>1369</v>
      </c>
      <c r="BY606" s="46">
        <v>1369</v>
      </c>
      <c r="BZ606" s="46">
        <v>0.26130941019278486</v>
      </c>
      <c r="CA606" s="46">
        <v>0</v>
      </c>
      <c r="CB606" s="46">
        <v>0.26130941019278492</v>
      </c>
      <c r="CC606" s="46">
        <v>0.24680282496659667</v>
      </c>
      <c r="CD606" s="46">
        <v>0.49188776484061841</v>
      </c>
      <c r="CE606" s="46">
        <v>0</v>
      </c>
      <c r="CF606" s="46">
        <v>0</v>
      </c>
      <c r="CG606" s="46">
        <v>0</v>
      </c>
      <c r="CH606" s="46">
        <v>0</v>
      </c>
      <c r="CI606" s="46">
        <v>2.8917211095641</v>
      </c>
      <c r="CJ606" s="46">
        <v>0.2142015636714148</v>
      </c>
      <c r="CK606">
        <v>250</v>
      </c>
      <c r="CL606">
        <v>312.43</v>
      </c>
      <c r="CM606">
        <f t="shared" si="70"/>
        <v>62.430000000000007</v>
      </c>
      <c r="CN606">
        <v>5.95</v>
      </c>
      <c r="CO606">
        <v>9.4499999999999993</v>
      </c>
      <c r="CP606">
        <f t="shared" si="71"/>
        <v>3.4999999999999991</v>
      </c>
      <c r="CQ606">
        <v>846.56</v>
      </c>
      <c r="CR606">
        <v>526.98</v>
      </c>
      <c r="CS606">
        <f t="shared" si="72"/>
        <v>319.57999999999993</v>
      </c>
      <c r="CT606" t="s">
        <v>152</v>
      </c>
      <c r="CU606">
        <v>66.209999999999994</v>
      </c>
      <c r="CV606">
        <v>133</v>
      </c>
      <c r="CW606" s="46">
        <v>1369</v>
      </c>
      <c r="CX606" s="46">
        <f t="shared" si="66"/>
        <v>24.939301393395684</v>
      </c>
      <c r="CY606" s="46">
        <v>62.43</v>
      </c>
      <c r="CZ606" s="46">
        <f t="shared" si="67"/>
        <v>26.130941019278488</v>
      </c>
      <c r="DA606" s="46">
        <f t="shared" si="68"/>
        <v>151.39458787534684</v>
      </c>
      <c r="DB606" s="46">
        <v>802607.81</v>
      </c>
      <c r="DC606" s="46">
        <f t="shared" si="69"/>
        <v>6.7435729605031094</v>
      </c>
      <c r="DD606" s="46">
        <v>35750.58</v>
      </c>
      <c r="DE606" s="995">
        <v>1369</v>
      </c>
      <c r="DF606" s="995">
        <v>25.006</v>
      </c>
      <c r="DG606" s="995">
        <v>59</v>
      </c>
      <c r="DH606" s="995">
        <v>26.131</v>
      </c>
      <c r="DI606" s="995">
        <v>853.08299999999997</v>
      </c>
      <c r="DJ606" s="995">
        <v>4519603</v>
      </c>
      <c r="DK606" s="995">
        <v>38.302</v>
      </c>
      <c r="DL606" s="995">
        <v>202925</v>
      </c>
      <c r="DM606" s="995">
        <v>1369</v>
      </c>
      <c r="DN606" s="995">
        <v>25.204000000000001</v>
      </c>
      <c r="DO606" s="995">
        <v>48.6</v>
      </c>
      <c r="DP606" s="995">
        <v>26.131</v>
      </c>
      <c r="DQ606" s="995">
        <v>833.60900000000004</v>
      </c>
      <c r="DR606" s="995">
        <v>4407757</v>
      </c>
      <c r="DS606" s="995">
        <v>37.430999999999997</v>
      </c>
      <c r="DT606" s="995">
        <v>197916</v>
      </c>
    </row>
    <row r="607" spans="1:124">
      <c r="A607" s="42" t="s">
        <v>94</v>
      </c>
      <c r="B607" s="42" t="s">
        <v>510</v>
      </c>
      <c r="C607" s="42" t="s">
        <v>788</v>
      </c>
      <c r="D607" s="42">
        <v>809359</v>
      </c>
      <c r="E607" s="42" t="s">
        <v>828</v>
      </c>
      <c r="F607" s="42" t="s">
        <v>149</v>
      </c>
      <c r="G607" s="42" t="s">
        <v>150</v>
      </c>
      <c r="H607" s="43" t="s">
        <v>150</v>
      </c>
      <c r="I607" s="44">
        <v>70</v>
      </c>
      <c r="J607" s="45">
        <v>196116.6648</v>
      </c>
      <c r="K607" s="46">
        <v>9719.1672569999992</v>
      </c>
      <c r="L607" s="47">
        <v>205835.83205699999</v>
      </c>
      <c r="M607" s="48">
        <v>4341225</v>
      </c>
      <c r="N607" s="49">
        <v>2891190</v>
      </c>
      <c r="O607" s="49">
        <v>1446712</v>
      </c>
      <c r="P607" s="49">
        <v>3323</v>
      </c>
      <c r="Q607" s="50">
        <v>9849.2845412843999</v>
      </c>
      <c r="R607" s="51">
        <v>32519.5730044015</v>
      </c>
      <c r="S607" s="49">
        <v>53553.069594271597</v>
      </c>
      <c r="T607" s="49">
        <v>8356.5552035805795</v>
      </c>
      <c r="U607" s="49">
        <f>IFERROR(INDEX('Rentabilidad datos'!$N$2:$N$61,MATCH($C607,'Rentabilidad datos'!$C$2:$C$61,0)),"")</f>
        <v>94429.197802253679</v>
      </c>
      <c r="V607" s="50">
        <f>IFERROR(INDEX('Rentabilidad datos'!$O$2:$O$61,MATCH($C607,'Rentabilidad datos'!$C$2:$C$61,0)),"")</f>
        <v>1573.8199633708946</v>
      </c>
      <c r="W607" s="51">
        <f>IFERROR(INDEX('Rentabilidad datos'!$M$2:$M$61,MATCH($C607,'Rentabilidad datos'!$C$2:$C$61,0)),"")</f>
        <v>3293.1144020900269</v>
      </c>
      <c r="X607" s="52">
        <f>IFERROR(INDEX('Rentabilidad datos'!$P$2:$P$61,MATCH($C607,'Rentabilidad datos'!$C$2:$C$61,0)),"")</f>
        <v>0.47791232590402716</v>
      </c>
      <c r="Y607" s="43" t="s">
        <v>171</v>
      </c>
      <c r="Z607" s="53">
        <v>66.204128440367001</v>
      </c>
      <c r="AA607" s="43">
        <v>1</v>
      </c>
      <c r="AB607" s="54">
        <v>0.97103697689016344</v>
      </c>
      <c r="AC607" s="55">
        <v>2.8963023109836509E-2</v>
      </c>
      <c r="AD607" s="752" t="e">
        <f>_xlfn.XLOOKUP(Table1[[#This Row],[Ruta]],#REF!,#REF!)</f>
        <v>#REF!</v>
      </c>
      <c r="AE607" s="752" t="e">
        <f>_xlfn.XLOOKUP(Table1[[#This Row],[Ruta]],#REF!,#REF!)</f>
        <v>#REF!</v>
      </c>
      <c r="AF607" s="752" t="e">
        <f>_xlfn.XLOOKUP(Table1[[#This Row],[Ruta]],#REF!,#REF!)</f>
        <v>#REF!</v>
      </c>
      <c r="AG607" s="752" t="e">
        <f>_xlfn.XLOOKUP(Table1[[#This Row],[Ruta]],#REF!,#REF!)</f>
        <v>#REF!</v>
      </c>
      <c r="AH607" s="52">
        <v>0.6659848314703799</v>
      </c>
      <c r="AI607" s="52">
        <v>0.33324971638189682</v>
      </c>
      <c r="AJ607" s="55">
        <v>7.6545214772328089E-4</v>
      </c>
      <c r="AK607" s="56">
        <v>28865</v>
      </c>
      <c r="AL607" s="44">
        <v>13504</v>
      </c>
      <c r="AM607" s="54">
        <v>0.46783301576303499</v>
      </c>
      <c r="AN607" s="55">
        <v>0.50474202392821499</v>
      </c>
      <c r="AO607" s="56">
        <v>1065.37852068794</v>
      </c>
      <c r="AP607" s="48">
        <v>532.68926034396998</v>
      </c>
      <c r="AQ607" s="55">
        <v>0.48628751984562518</v>
      </c>
      <c r="AR607" s="51">
        <v>4294288.0599999996</v>
      </c>
      <c r="AS607" s="49">
        <v>169395.81830460101</v>
      </c>
      <c r="AT607" s="55">
        <v>3.9446775795613724E-2</v>
      </c>
      <c r="AU607" s="51">
        <v>119034.89934917913</v>
      </c>
      <c r="AV607" s="52">
        <v>5.4150102172351676E-4</v>
      </c>
      <c r="AW607" s="44">
        <v>379</v>
      </c>
      <c r="AX607" s="51">
        <v>318.001189277251</v>
      </c>
      <c r="AY607" s="49">
        <v>443.48077645239698</v>
      </c>
      <c r="AZ607" s="49">
        <v>125.47958717514598</v>
      </c>
      <c r="BA607" s="42" t="s">
        <v>150</v>
      </c>
      <c r="BB607" s="50">
        <v>595356.55372354691</v>
      </c>
      <c r="BC607" s="57">
        <v>714391.45307272603</v>
      </c>
      <c r="BD607" s="42" t="s">
        <v>150</v>
      </c>
      <c r="BE607" s="46">
        <v>66.204128440367001</v>
      </c>
      <c r="BF607" s="46">
        <v>72.425990467051307</v>
      </c>
      <c r="BG607" s="42" t="s">
        <v>152</v>
      </c>
      <c r="BH607" s="52">
        <v>0.46783301576303499</v>
      </c>
      <c r="BI607" s="52">
        <v>0.49337264070319697</v>
      </c>
      <c r="BJ607" s="42" t="s">
        <v>152</v>
      </c>
      <c r="BK607" s="46">
        <v>472.10053224082498</v>
      </c>
      <c r="BL607" s="46">
        <v>605.59017138979505</v>
      </c>
      <c r="BM607" s="42" t="s">
        <v>152</v>
      </c>
      <c r="BN607" s="48">
        <v>0</v>
      </c>
      <c r="BO607" s="42" t="s">
        <v>155</v>
      </c>
      <c r="BP607" s="42" t="s">
        <v>152</v>
      </c>
      <c r="BQ607" s="46">
        <v>805.42730080433796</v>
      </c>
      <c r="BR607" s="46">
        <v>145</v>
      </c>
      <c r="BS607" s="46">
        <v>14186</v>
      </c>
      <c r="BT607" s="46">
        <v>4706</v>
      </c>
      <c r="BU607" s="46">
        <v>3.0144496387590309</v>
      </c>
      <c r="BV607" s="46">
        <v>32.4551724137931</v>
      </c>
      <c r="BW607" s="46">
        <v>1024</v>
      </c>
      <c r="BX607" s="46">
        <v>2249</v>
      </c>
      <c r="BY607" s="46">
        <v>3273</v>
      </c>
      <c r="BZ607" s="46">
        <v>0.69549511262218444</v>
      </c>
      <c r="CA607" s="46">
        <v>0.2175945601359966</v>
      </c>
      <c r="CB607" s="46">
        <v>0.47790055248618774</v>
      </c>
      <c r="CC607" s="46">
        <v>0.30450488737781561</v>
      </c>
      <c r="CD607" s="46">
        <v>0</v>
      </c>
      <c r="CE607" s="46">
        <v>0</v>
      </c>
      <c r="CF607" s="46">
        <v>0</v>
      </c>
      <c r="CG607" s="46">
        <v>0</v>
      </c>
      <c r="CH607" s="46">
        <v>0</v>
      </c>
      <c r="CI607" s="46">
        <v>1.832792894402933</v>
      </c>
      <c r="CJ607" s="46">
        <v>0.2819681376004512</v>
      </c>
      <c r="CK607">
        <v>324</v>
      </c>
      <c r="CL607">
        <v>432.14</v>
      </c>
      <c r="CM607">
        <f t="shared" si="70"/>
        <v>108.13999999999999</v>
      </c>
      <c r="CN607">
        <v>8.02</v>
      </c>
      <c r="CO607">
        <v>9.4499999999999993</v>
      </c>
      <c r="CP607">
        <f t="shared" si="71"/>
        <v>1.4299999999999997</v>
      </c>
      <c r="CQ607">
        <v>846.56</v>
      </c>
      <c r="CR607">
        <v>472.1</v>
      </c>
      <c r="CS607">
        <f t="shared" si="72"/>
        <v>374.45999999999992</v>
      </c>
      <c r="CT607" t="s">
        <v>152</v>
      </c>
      <c r="CU607">
        <v>85.03</v>
      </c>
      <c r="CV607">
        <v>371</v>
      </c>
      <c r="CW607" s="46">
        <v>3273</v>
      </c>
      <c r="CX607" s="46">
        <f t="shared" si="66"/>
        <v>67.251593710157252</v>
      </c>
      <c r="CY607" s="46">
        <v>108.14</v>
      </c>
      <c r="CZ607" s="46">
        <f t="shared" si="67"/>
        <v>69.549511262218445</v>
      </c>
      <c r="DA607" s="46">
        <f t="shared" si="68"/>
        <v>543.38976639649036</v>
      </c>
      <c r="DB607" s="46">
        <v>2615954.41</v>
      </c>
      <c r="DC607" s="46">
        <f t="shared" si="69"/>
        <v>25.546593991865628</v>
      </c>
      <c r="DD607" s="46">
        <v>122984.88</v>
      </c>
      <c r="DE607" s="995">
        <v>3273</v>
      </c>
      <c r="DF607" s="995">
        <v>67.48</v>
      </c>
      <c r="DG607" s="995">
        <v>97.4</v>
      </c>
      <c r="DH607" s="995">
        <v>69.55</v>
      </c>
      <c r="DI607" s="995">
        <v>1537.78</v>
      </c>
      <c r="DJ607" s="995">
        <v>7386566</v>
      </c>
      <c r="DK607" s="995">
        <v>69.117000000000004</v>
      </c>
      <c r="DL607" s="995">
        <v>331998.59999999998</v>
      </c>
      <c r="DM607" s="995">
        <v>3273</v>
      </c>
      <c r="DN607" s="995">
        <v>67.600999999999999</v>
      </c>
      <c r="DO607" s="995">
        <v>91.7</v>
      </c>
      <c r="DP607" s="995">
        <v>69.55</v>
      </c>
      <c r="DQ607" s="995">
        <v>1523.972</v>
      </c>
      <c r="DR607" s="995">
        <v>7311575</v>
      </c>
      <c r="DS607" s="995">
        <v>68.570999999999998</v>
      </c>
      <c r="DT607" s="995">
        <v>328982.7</v>
      </c>
    </row>
    <row r="608" spans="1:124">
      <c r="A608" s="42" t="s">
        <v>94</v>
      </c>
      <c r="B608" s="42" t="s">
        <v>510</v>
      </c>
      <c r="C608" s="42" t="s">
        <v>788</v>
      </c>
      <c r="D608" s="42">
        <v>809360</v>
      </c>
      <c r="E608" s="42" t="s">
        <v>829</v>
      </c>
      <c r="F608" s="42" t="s">
        <v>149</v>
      </c>
      <c r="G608" s="42" t="s">
        <v>150</v>
      </c>
      <c r="H608" s="43" t="s">
        <v>150</v>
      </c>
      <c r="I608" s="44">
        <v>70</v>
      </c>
      <c r="J608" s="45">
        <v>258364.517599999</v>
      </c>
      <c r="K608" s="46">
        <v>8567.722522</v>
      </c>
      <c r="L608" s="47">
        <v>266932.240121999</v>
      </c>
      <c r="M608" s="48">
        <v>4922845</v>
      </c>
      <c r="N608" s="49">
        <v>3732265</v>
      </c>
      <c r="O608" s="49">
        <v>1184826</v>
      </c>
      <c r="P608" s="49">
        <v>5754</v>
      </c>
      <c r="Q608" s="50">
        <v>11403.9137931035</v>
      </c>
      <c r="R608" s="51">
        <v>32519.5730044015</v>
      </c>
      <c r="S608" s="49">
        <v>53553.069594271597</v>
      </c>
      <c r="T608" s="49">
        <v>8356.5552035805795</v>
      </c>
      <c r="U608" s="49">
        <f>IFERROR(INDEX('Rentabilidad datos'!$N$2:$N$61,MATCH($C608,'Rentabilidad datos'!$C$2:$C$61,0)),"")</f>
        <v>94429.197802253679</v>
      </c>
      <c r="V608" s="50">
        <f>IFERROR(INDEX('Rentabilidad datos'!$O$2:$O$61,MATCH($C608,'Rentabilidad datos'!$C$2:$C$61,0)),"")</f>
        <v>1573.8199633708946</v>
      </c>
      <c r="W608" s="51">
        <f>IFERROR(INDEX('Rentabilidad datos'!$M$2:$M$61,MATCH($C608,'Rentabilidad datos'!$C$2:$C$61,0)),"")</f>
        <v>3293.1144020900269</v>
      </c>
      <c r="X608" s="52">
        <f>IFERROR(INDEX('Rentabilidad datos'!$P$2:$P$61,MATCH($C608,'Rentabilidad datos'!$C$2:$C$61,0)),"")</f>
        <v>0.47791232590402716</v>
      </c>
      <c r="Y608" s="43" t="s">
        <v>171</v>
      </c>
      <c r="Z608" s="53">
        <v>66.634482758620706</v>
      </c>
      <c r="AA608" s="43">
        <v>1</v>
      </c>
      <c r="AB608" s="54">
        <v>0.97229650740577855</v>
      </c>
      <c r="AC608" s="55">
        <v>2.7703492594221432E-2</v>
      </c>
      <c r="AD608" s="752" t="e">
        <f>_xlfn.XLOOKUP(Table1[[#This Row],[Ruta]],#REF!,#REF!)</f>
        <v>#REF!</v>
      </c>
      <c r="AE608" s="752" t="e">
        <f>_xlfn.XLOOKUP(Table1[[#This Row],[Ruta]],#REF!,#REF!)</f>
        <v>#REF!</v>
      </c>
      <c r="AF608" s="752" t="e">
        <f>_xlfn.XLOOKUP(Table1[[#This Row],[Ruta]],#REF!,#REF!)</f>
        <v>#REF!</v>
      </c>
      <c r="AG608" s="752" t="e">
        <f>_xlfn.XLOOKUP(Table1[[#This Row],[Ruta]],#REF!,#REF!)</f>
        <v>#REF!</v>
      </c>
      <c r="AH608" s="52">
        <v>0.75815204419395699</v>
      </c>
      <c r="AI608" s="52">
        <v>0.24067911949289486</v>
      </c>
      <c r="AJ608" s="55">
        <v>1.1688363131481898E-3</v>
      </c>
      <c r="AK608" s="56">
        <v>28986</v>
      </c>
      <c r="AL608" s="44">
        <v>12634</v>
      </c>
      <c r="AM608" s="54">
        <v>0.43586559028496502</v>
      </c>
      <c r="AN608" s="55">
        <v>0.50474202392821499</v>
      </c>
      <c r="AO608" s="56">
        <v>1996.4523055832501</v>
      </c>
      <c r="AP608" s="48">
        <v>998.22615279162505</v>
      </c>
      <c r="AQ608" s="55">
        <v>0.47030380710659025</v>
      </c>
      <c r="AR608" s="51">
        <v>4960702.5</v>
      </c>
      <c r="AS608" s="49">
        <v>391950.52807652298</v>
      </c>
      <c r="AT608" s="55">
        <v>7.9011093303120478E-2</v>
      </c>
      <c r="AU608" s="51">
        <v>275424.69540512434</v>
      </c>
      <c r="AV608" s="52">
        <v>1.2529330035577647E-3</v>
      </c>
      <c r="AW608" s="44">
        <v>262</v>
      </c>
      <c r="AX608" s="51">
        <v>392.64702390375197</v>
      </c>
      <c r="AY608" s="49">
        <v>443.48077645239698</v>
      </c>
      <c r="AZ608" s="49">
        <v>50.833752548645009</v>
      </c>
      <c r="BA608" s="42" t="s">
        <v>150</v>
      </c>
      <c r="BB608" s="50">
        <v>225649.65367823126</v>
      </c>
      <c r="BC608" s="57">
        <v>501074.34908335563</v>
      </c>
      <c r="BD608" s="42" t="s">
        <v>150</v>
      </c>
      <c r="BE608" s="46">
        <v>66.634482758620706</v>
      </c>
      <c r="BF608" s="46">
        <v>72.425990467051307</v>
      </c>
      <c r="BG608" s="42" t="s">
        <v>152</v>
      </c>
      <c r="BH608" s="52">
        <v>0.43586559028496502</v>
      </c>
      <c r="BI608" s="52">
        <v>0.49337264070319697</v>
      </c>
      <c r="BJ608" s="42" t="s">
        <v>152</v>
      </c>
      <c r="BK608" s="46">
        <v>613.63733361379195</v>
      </c>
      <c r="BL608" s="46">
        <v>605.59017138979505</v>
      </c>
      <c r="BM608" s="42" t="s">
        <v>150</v>
      </c>
      <c r="BN608" s="48">
        <v>1</v>
      </c>
      <c r="BO608" s="42" t="s">
        <v>155</v>
      </c>
      <c r="BP608" s="42" t="s">
        <v>152</v>
      </c>
      <c r="BQ608" s="46">
        <v>1188.92499667741</v>
      </c>
      <c r="BR608" s="46">
        <v>196</v>
      </c>
      <c r="BS608" s="46">
        <v>23265</v>
      </c>
      <c r="BT608" s="46">
        <v>7344</v>
      </c>
      <c r="BU608" s="46">
        <v>3.1678921568627452</v>
      </c>
      <c r="BV608" s="46">
        <v>37.469387755102041</v>
      </c>
      <c r="BW608" s="46">
        <v>0</v>
      </c>
      <c r="BX608" s="46">
        <v>4807</v>
      </c>
      <c r="BY608" s="46">
        <v>4807</v>
      </c>
      <c r="BZ608" s="46">
        <v>0.65454793028322444</v>
      </c>
      <c r="CA608" s="46">
        <v>0</v>
      </c>
      <c r="CB608" s="46">
        <v>0.65454793028322444</v>
      </c>
      <c r="CC608" s="46">
        <v>0.32788671023965138</v>
      </c>
      <c r="CD608" s="46">
        <v>0</v>
      </c>
      <c r="CE608" s="46">
        <v>0</v>
      </c>
      <c r="CF608" s="46">
        <v>1.756535947712418E-2</v>
      </c>
      <c r="CG608" s="46">
        <v>0</v>
      </c>
      <c r="CH608" s="46">
        <v>0</v>
      </c>
      <c r="CI608" s="46">
        <v>2.1491510853212978</v>
      </c>
      <c r="CJ608" s="46">
        <v>0.12894906511927789</v>
      </c>
      <c r="CK608">
        <v>262</v>
      </c>
      <c r="CL608">
        <v>628.29999999999995</v>
      </c>
      <c r="CM608">
        <f t="shared" si="70"/>
        <v>366.29999999999995</v>
      </c>
      <c r="CN608">
        <v>5.95</v>
      </c>
      <c r="CO608">
        <v>9.4499999999999993</v>
      </c>
      <c r="CP608">
        <f t="shared" si="71"/>
        <v>3.4999999999999991</v>
      </c>
      <c r="CQ608">
        <v>846.56</v>
      </c>
      <c r="CR608">
        <v>613.64</v>
      </c>
      <c r="CS608">
        <f t="shared" si="72"/>
        <v>232.91999999999996</v>
      </c>
      <c r="CT608" t="s">
        <v>152</v>
      </c>
      <c r="CU608">
        <v>72.489999999999995</v>
      </c>
      <c r="CV608">
        <v>190</v>
      </c>
      <c r="CW608" s="46">
        <v>4807</v>
      </c>
      <c r="CX608" s="46">
        <f t="shared" si="66"/>
        <v>60.467047930283222</v>
      </c>
      <c r="CY608" s="46">
        <v>366.3</v>
      </c>
      <c r="CZ608" s="46">
        <f t="shared" si="67"/>
        <v>65.454793028322442</v>
      </c>
      <c r="DA608" s="46">
        <f t="shared" si="68"/>
        <v>544.18605761124729</v>
      </c>
      <c r="DB608" s="46">
        <v>4195837.76</v>
      </c>
      <c r="DC608" s="46">
        <f t="shared" si="69"/>
        <v>28.859646187567279</v>
      </c>
      <c r="DD608" s="46">
        <v>222516.53</v>
      </c>
      <c r="DE608" s="995">
        <v>4807</v>
      </c>
      <c r="DF608" s="995">
        <v>60.466999999999999</v>
      </c>
      <c r="DG608" s="995">
        <v>366.3</v>
      </c>
      <c r="DH608" s="995">
        <v>65.454999999999998</v>
      </c>
      <c r="DI608" s="995">
        <v>1027.4000000000001</v>
      </c>
      <c r="DJ608" s="995">
        <v>7921552</v>
      </c>
      <c r="DK608" s="995">
        <v>54.779000000000003</v>
      </c>
      <c r="DL608" s="995">
        <v>422364.1</v>
      </c>
      <c r="DM608" s="995">
        <v>4807</v>
      </c>
      <c r="DN608" s="995">
        <v>60.468000000000004</v>
      </c>
      <c r="DO608" s="995">
        <v>366.3</v>
      </c>
      <c r="DP608" s="995">
        <v>65.454999999999998</v>
      </c>
      <c r="DQ608" s="995">
        <v>1027.3630000000001</v>
      </c>
      <c r="DR608" s="995">
        <v>7921232</v>
      </c>
      <c r="DS608" s="995">
        <v>54.777000000000001</v>
      </c>
      <c r="DT608" s="995">
        <v>422347.1</v>
      </c>
    </row>
    <row r="609" spans="1:124">
      <c r="A609" s="42" t="s">
        <v>94</v>
      </c>
      <c r="B609" s="42" t="s">
        <v>510</v>
      </c>
      <c r="C609" s="42" t="s">
        <v>788</v>
      </c>
      <c r="D609" s="42">
        <v>809361</v>
      </c>
      <c r="E609" s="42" t="s">
        <v>830</v>
      </c>
      <c r="F609" s="42" t="s">
        <v>149</v>
      </c>
      <c r="G609" s="42" t="s">
        <v>150</v>
      </c>
      <c r="H609" s="43" t="s">
        <v>150</v>
      </c>
      <c r="I609" s="44">
        <v>70</v>
      </c>
      <c r="J609" s="45">
        <v>227638.62239999999</v>
      </c>
      <c r="K609" s="46">
        <v>12924.715131000001</v>
      </c>
      <c r="L609" s="47">
        <v>240563.337531</v>
      </c>
      <c r="M609" s="48">
        <v>5157130</v>
      </c>
      <c r="N609" s="49">
        <v>3338934</v>
      </c>
      <c r="O609" s="49">
        <v>1814418</v>
      </c>
      <c r="P609" s="49">
        <v>3778</v>
      </c>
      <c r="Q609" s="50">
        <v>11819.6117431193</v>
      </c>
      <c r="R609" s="51">
        <v>32519.5730044015</v>
      </c>
      <c r="S609" s="49">
        <v>53553.069594271597</v>
      </c>
      <c r="T609" s="49">
        <v>8356.5552035805795</v>
      </c>
      <c r="U609" s="49">
        <f>IFERROR(INDEX('Rentabilidad datos'!$N$2:$N$61,MATCH($C609,'Rentabilidad datos'!$C$2:$C$61,0)),"")</f>
        <v>94429.197802253679</v>
      </c>
      <c r="V609" s="50">
        <f>IFERROR(INDEX('Rentabilidad datos'!$O$2:$O$61,MATCH($C609,'Rentabilidad datos'!$C$2:$C$61,0)),"")</f>
        <v>1573.8199633708946</v>
      </c>
      <c r="W609" s="51">
        <f>IFERROR(INDEX('Rentabilidad datos'!$M$2:$M$61,MATCH($C609,'Rentabilidad datos'!$C$2:$C$61,0)),"")</f>
        <v>3293.1144020900269</v>
      </c>
      <c r="X609" s="52">
        <f>IFERROR(INDEX('Rentabilidad datos'!$P$2:$P$61,MATCH($C609,'Rentabilidad datos'!$C$2:$C$61,0)),"")</f>
        <v>0.47791232590402716</v>
      </c>
      <c r="Y609" s="43" t="s">
        <v>171</v>
      </c>
      <c r="Z609" s="53">
        <v>77.295871559632999</v>
      </c>
      <c r="AA609" s="43">
        <v>1</v>
      </c>
      <c r="AB609" s="54">
        <v>0.99295422066149197</v>
      </c>
      <c r="AC609" s="55">
        <v>7.0457793385080465E-3</v>
      </c>
      <c r="AD609" s="752" t="e">
        <f>_xlfn.XLOOKUP(Table1[[#This Row],[Ruta]],#REF!,#REF!)</f>
        <v>#REF!</v>
      </c>
      <c r="AE609" s="752" t="e">
        <f>_xlfn.XLOOKUP(Table1[[#This Row],[Ruta]],#REF!,#REF!)</f>
        <v>#REF!</v>
      </c>
      <c r="AF609" s="752" t="e">
        <f>_xlfn.XLOOKUP(Table1[[#This Row],[Ruta]],#REF!,#REF!)</f>
        <v>#REF!</v>
      </c>
      <c r="AG609" s="752" t="e">
        <f>_xlfn.XLOOKUP(Table1[[#This Row],[Ruta]],#REF!,#REF!)</f>
        <v>#REF!</v>
      </c>
      <c r="AH609" s="52">
        <v>0.64744033987896366</v>
      </c>
      <c r="AI609" s="52">
        <v>0.35182708211737923</v>
      </c>
      <c r="AJ609" s="55">
        <v>7.3257800365707281E-4</v>
      </c>
      <c r="AK609" s="56">
        <v>33701</v>
      </c>
      <c r="AL609" s="44">
        <v>15142</v>
      </c>
      <c r="AM609" s="54">
        <v>0.44930417495029801</v>
      </c>
      <c r="AN609" s="55">
        <v>0.50474202392821499</v>
      </c>
      <c r="AO609" s="56">
        <v>1868.31094840479</v>
      </c>
      <c r="AP609" s="48">
        <v>934.155474202395</v>
      </c>
      <c r="AQ609" s="55">
        <v>0.47702309943925686</v>
      </c>
      <c r="AR609" s="51">
        <v>5153350.72</v>
      </c>
      <c r="AS609" s="49">
        <v>317925.68918061297</v>
      </c>
      <c r="AT609" s="55">
        <v>6.1693004504186549E-2</v>
      </c>
      <c r="AU609" s="51">
        <v>223407.24104583621</v>
      </c>
      <c r="AV609" s="52">
        <v>1.0163006811295006E-3</v>
      </c>
      <c r="AW609" s="44">
        <v>295</v>
      </c>
      <c r="AX609" s="51">
        <v>340.33487782327302</v>
      </c>
      <c r="AY609" s="49">
        <v>443.48077645239698</v>
      </c>
      <c r="AZ609" s="49">
        <v>103.14589862912396</v>
      </c>
      <c r="BA609" s="42" t="s">
        <v>150</v>
      </c>
      <c r="BB609" s="50">
        <v>548752.90706887958</v>
      </c>
      <c r="BC609" s="57">
        <v>772160.14811471582</v>
      </c>
      <c r="BD609" s="42" t="s">
        <v>150</v>
      </c>
      <c r="BE609" s="46">
        <v>77.295871559632999</v>
      </c>
      <c r="BF609" s="46">
        <v>72.425990467051307</v>
      </c>
      <c r="BG609" s="42" t="s">
        <v>150</v>
      </c>
      <c r="BH609" s="52">
        <v>0.44930417495029801</v>
      </c>
      <c r="BI609" s="52">
        <v>0.49337264070319697</v>
      </c>
      <c r="BJ609" s="42" t="s">
        <v>152</v>
      </c>
      <c r="BK609" s="46">
        <v>551.750774153669</v>
      </c>
      <c r="BL609" s="46">
        <v>605.59017138979505</v>
      </c>
      <c r="BM609" s="42" t="s">
        <v>152</v>
      </c>
      <c r="BN609" s="48">
        <v>1</v>
      </c>
      <c r="BO609" s="42" t="s">
        <v>155</v>
      </c>
      <c r="BP609" s="42" t="s">
        <v>152</v>
      </c>
      <c r="BQ609" s="46">
        <v>2.7515494504314102</v>
      </c>
      <c r="BR609" s="46">
        <v>117</v>
      </c>
      <c r="BS609" s="46">
        <v>5407</v>
      </c>
      <c r="BT609" s="46">
        <v>1680</v>
      </c>
      <c r="BU609" s="46">
        <v>3.2184523809523808</v>
      </c>
      <c r="BV609" s="46">
        <v>14.358974358974359</v>
      </c>
      <c r="BW609" s="46">
        <v>1648</v>
      </c>
      <c r="BX609" s="46">
        <v>0</v>
      </c>
      <c r="BY609" s="46">
        <v>1648</v>
      </c>
      <c r="BZ609" s="46">
        <v>0.98095238095238091</v>
      </c>
      <c r="CA609" s="46">
        <v>0.98095238095238091</v>
      </c>
      <c r="CB609" s="46">
        <v>0</v>
      </c>
      <c r="CC609" s="46">
        <v>5.9523809523809529E-4</v>
      </c>
      <c r="CD609" s="46">
        <v>0</v>
      </c>
      <c r="CE609" s="46">
        <v>0</v>
      </c>
      <c r="CF609" s="46">
        <v>1.8452380952380949E-2</v>
      </c>
      <c r="CG609" s="46">
        <v>0</v>
      </c>
      <c r="CH609" s="46">
        <v>0</v>
      </c>
      <c r="CI609" s="46">
        <v>0.73978176437950804</v>
      </c>
      <c r="CJ609" s="46">
        <v>1.2946180876641391</v>
      </c>
      <c r="CK609">
        <v>265</v>
      </c>
      <c r="CL609">
        <v>345.21</v>
      </c>
      <c r="CM609">
        <f t="shared" si="70"/>
        <v>80.20999999999998</v>
      </c>
      <c r="CN609">
        <v>7.05</v>
      </c>
      <c r="CO609">
        <v>9.4499999999999993</v>
      </c>
      <c r="CP609">
        <f t="shared" si="71"/>
        <v>2.3999999999999995</v>
      </c>
      <c r="CQ609">
        <v>846.56</v>
      </c>
      <c r="CR609">
        <v>551.75</v>
      </c>
      <c r="CS609">
        <f t="shared" si="72"/>
        <v>294.80999999999995</v>
      </c>
      <c r="CT609" t="s">
        <v>152</v>
      </c>
      <c r="CU609">
        <v>80.08</v>
      </c>
      <c r="CV609">
        <v>186</v>
      </c>
      <c r="CW609" s="46">
        <v>1648</v>
      </c>
      <c r="CX609" s="46">
        <f t="shared" si="66"/>
        <v>93.320833333333326</v>
      </c>
      <c r="CY609" s="46">
        <v>80.209999999999994</v>
      </c>
      <c r="CZ609" s="46">
        <f t="shared" si="67"/>
        <v>98.095238095238088</v>
      </c>
      <c r="DA609" s="46">
        <f t="shared" si="68"/>
        <v>832.60692190136399</v>
      </c>
      <c r="DB609" s="46">
        <v>1465563.03</v>
      </c>
      <c r="DC609" s="46">
        <f t="shared" si="69"/>
        <v>39.094306929286844</v>
      </c>
      <c r="DD609" s="46">
        <v>68814.19</v>
      </c>
      <c r="DE609" s="995">
        <v>1648</v>
      </c>
      <c r="DF609" s="995">
        <v>93.126000000000005</v>
      </c>
      <c r="DG609" s="995">
        <v>83.5</v>
      </c>
      <c r="DH609" s="995">
        <v>98.094999999999999</v>
      </c>
      <c r="DI609" s="995">
        <v>3084.6030000000001</v>
      </c>
      <c r="DJ609" s="995">
        <v>5439645</v>
      </c>
      <c r="DK609" s="995">
        <v>145.14699999999999</v>
      </c>
      <c r="DL609" s="995">
        <v>255963.5</v>
      </c>
      <c r="DM609" s="995">
        <v>1648</v>
      </c>
      <c r="DN609" s="995">
        <v>93.887</v>
      </c>
      <c r="DO609" s="995">
        <v>70.7</v>
      </c>
      <c r="DP609" s="995">
        <v>98.094999999999999</v>
      </c>
      <c r="DQ609" s="995">
        <v>3026.2190000000001</v>
      </c>
      <c r="DR609" s="995">
        <v>5298010</v>
      </c>
      <c r="DS609" s="995">
        <v>142.334</v>
      </c>
      <c r="DT609" s="995">
        <v>249183.9</v>
      </c>
    </row>
    <row r="610" spans="1:124">
      <c r="A610" s="42" t="s">
        <v>94</v>
      </c>
      <c r="B610" s="42" t="s">
        <v>510</v>
      </c>
      <c r="C610" s="42" t="s">
        <v>788</v>
      </c>
      <c r="D610" s="42">
        <v>809362</v>
      </c>
      <c r="E610" s="42" t="s">
        <v>831</v>
      </c>
      <c r="F610" s="42" t="s">
        <v>149</v>
      </c>
      <c r="G610" s="42" t="s">
        <v>150</v>
      </c>
      <c r="H610" s="43" t="s">
        <v>150</v>
      </c>
      <c r="I610" s="44">
        <v>70</v>
      </c>
      <c r="J610" s="45">
        <v>210495.10159999999</v>
      </c>
      <c r="K610" s="46">
        <v>12144.742496000001</v>
      </c>
      <c r="L610" s="47">
        <v>222639.84409599999</v>
      </c>
      <c r="M610" s="48">
        <v>4903851</v>
      </c>
      <c r="N610" s="49">
        <v>3033505</v>
      </c>
      <c r="O610" s="49">
        <v>1867895</v>
      </c>
      <c r="P610" s="49">
        <v>2451</v>
      </c>
      <c r="Q610" s="50">
        <v>11139.542659090899</v>
      </c>
      <c r="R610" s="51">
        <v>32519.5730044015</v>
      </c>
      <c r="S610" s="49">
        <v>53553.069594271597</v>
      </c>
      <c r="T610" s="49">
        <v>8356.5552035805795</v>
      </c>
      <c r="U610" s="49">
        <f>IFERROR(INDEX('Rentabilidad datos'!$N$2:$N$61,MATCH($C610,'Rentabilidad datos'!$C$2:$C$61,0)),"")</f>
        <v>94429.197802253679</v>
      </c>
      <c r="V610" s="50">
        <f>IFERROR(INDEX('Rentabilidad datos'!$O$2:$O$61,MATCH($C610,'Rentabilidad datos'!$C$2:$C$61,0)),"")</f>
        <v>1573.8199633708946</v>
      </c>
      <c r="W610" s="51">
        <f>IFERROR(INDEX('Rentabilidad datos'!$M$2:$M$61,MATCH($C610,'Rentabilidad datos'!$C$2:$C$61,0)),"")</f>
        <v>3293.1144020900269</v>
      </c>
      <c r="X610" s="52">
        <f>IFERROR(INDEX('Rentabilidad datos'!$P$2:$P$61,MATCH($C610,'Rentabilidad datos'!$C$2:$C$61,0)),"")</f>
        <v>0.47791232590402716</v>
      </c>
      <c r="Y610" s="43" t="s">
        <v>171</v>
      </c>
      <c r="Z610" s="53">
        <v>55.302272727272701</v>
      </c>
      <c r="AA610" s="43">
        <v>1</v>
      </c>
      <c r="AB610" s="54">
        <v>0.98385472968081611</v>
      </c>
      <c r="AC610" s="55">
        <v>1.6145270319183842E-2</v>
      </c>
      <c r="AD610" s="752" t="e">
        <f>_xlfn.XLOOKUP(Table1[[#This Row],[Ruta]],#REF!,#REF!)</f>
        <v>#REF!</v>
      </c>
      <c r="AE610" s="752" t="e">
        <f>_xlfn.XLOOKUP(Table1[[#This Row],[Ruta]],#REF!,#REF!)</f>
        <v>#REF!</v>
      </c>
      <c r="AF610" s="752" t="e">
        <f>_xlfn.XLOOKUP(Table1[[#This Row],[Ruta]],#REF!,#REF!)</f>
        <v>#REF!</v>
      </c>
      <c r="AG610" s="752" t="e">
        <f>_xlfn.XLOOKUP(Table1[[#This Row],[Ruta]],#REF!,#REF!)</f>
        <v>#REF!</v>
      </c>
      <c r="AH610" s="52">
        <v>0.61859648672033474</v>
      </c>
      <c r="AI610" s="52">
        <v>0.38090370200889057</v>
      </c>
      <c r="AJ610" s="55">
        <v>4.9981127077474417E-4</v>
      </c>
      <c r="AK610" s="56">
        <v>24333</v>
      </c>
      <c r="AL610" s="44">
        <v>9391</v>
      </c>
      <c r="AM610" s="54">
        <v>0.38593679365470801</v>
      </c>
      <c r="AN610" s="55">
        <v>0.50474202392821499</v>
      </c>
      <c r="AO610" s="56">
        <v>2890.8876682452601</v>
      </c>
      <c r="AP610" s="48">
        <v>1445.4438341226301</v>
      </c>
      <c r="AQ610" s="55">
        <v>0.44533940879146139</v>
      </c>
      <c r="AR610" s="51">
        <v>4901398.7699999996</v>
      </c>
      <c r="AS610" s="49">
        <v>754413.44166465499</v>
      </c>
      <c r="AT610" s="55">
        <v>0.15391798893862599</v>
      </c>
      <c r="AU610" s="51">
        <v>530128.36441300099</v>
      </c>
      <c r="AV610" s="52">
        <v>2.4116040971494841E-3</v>
      </c>
      <c r="AW610" s="44">
        <v>139</v>
      </c>
      <c r="AX610" s="51">
        <v>521.92511660100104</v>
      </c>
      <c r="AY610" s="49">
        <v>443.48077645239698</v>
      </c>
      <c r="AZ610" s="49">
        <v>0</v>
      </c>
      <c r="BA610" s="42" t="s">
        <v>152</v>
      </c>
      <c r="BB610" s="50">
        <v>0</v>
      </c>
      <c r="BC610" s="57">
        <v>530128.36441300099</v>
      </c>
      <c r="BD610" s="42" t="s">
        <v>150</v>
      </c>
      <c r="BE610" s="46">
        <v>55.302272727272701</v>
      </c>
      <c r="BF610" s="46">
        <v>72.425990467051307</v>
      </c>
      <c r="BG610" s="42" t="s">
        <v>152</v>
      </c>
      <c r="BH610" s="52">
        <v>0.38593679365470801</v>
      </c>
      <c r="BI610" s="52">
        <v>0.49337264070319697</v>
      </c>
      <c r="BJ610" s="42" t="s">
        <v>152</v>
      </c>
      <c r="BK610" s="46">
        <v>505.99964567272599</v>
      </c>
      <c r="BL610" s="46">
        <v>605.59017138979505</v>
      </c>
      <c r="BM610" s="42" t="s">
        <v>152</v>
      </c>
      <c r="BN610" s="48">
        <v>0</v>
      </c>
      <c r="BO610" s="42" t="s">
        <v>155</v>
      </c>
      <c r="BP610" s="42" t="s">
        <v>152</v>
      </c>
      <c r="BQ610" s="46">
        <v>4528.2300543533602</v>
      </c>
      <c r="BR610" s="46">
        <v>145</v>
      </c>
      <c r="BS610" s="46">
        <v>6451</v>
      </c>
      <c r="BT610" s="46">
        <v>2057</v>
      </c>
      <c r="BU610" s="46">
        <v>3.1361205639280505</v>
      </c>
      <c r="BV610" s="46">
        <v>14.186206896551724</v>
      </c>
      <c r="BW610" s="46">
        <v>779</v>
      </c>
      <c r="BX610" s="46">
        <v>1277</v>
      </c>
      <c r="BY610" s="46">
        <v>2056</v>
      </c>
      <c r="BZ610" s="46">
        <v>0.9995138551288284</v>
      </c>
      <c r="CA610" s="46">
        <v>0.3787068546426835</v>
      </c>
      <c r="CB610" s="46">
        <v>0.6208070004861449</v>
      </c>
      <c r="CC610" s="46">
        <v>0</v>
      </c>
      <c r="CD610" s="46">
        <v>0</v>
      </c>
      <c r="CE610" s="46">
        <v>0</v>
      </c>
      <c r="CF610" s="46">
        <v>0</v>
      </c>
      <c r="CG610" s="46">
        <v>0</v>
      </c>
      <c r="CH610" s="46">
        <v>4.8614487117160912E-4</v>
      </c>
      <c r="CI610" s="46">
        <v>0.46504417919702362</v>
      </c>
      <c r="CJ610" s="46">
        <v>0.46504417919702362</v>
      </c>
      <c r="CK610">
        <v>240</v>
      </c>
      <c r="CL610">
        <v>334.84</v>
      </c>
      <c r="CM610">
        <f t="shared" si="70"/>
        <v>94.839999999999975</v>
      </c>
      <c r="CN610">
        <v>7.17</v>
      </c>
      <c r="CO610">
        <v>9.4499999999999993</v>
      </c>
      <c r="CP610">
        <f t="shared" si="71"/>
        <v>2.2799999999999994</v>
      </c>
      <c r="CQ610">
        <v>846.56</v>
      </c>
      <c r="CR610">
        <v>506</v>
      </c>
      <c r="CS610">
        <f t="shared" si="72"/>
        <v>340.55999999999995</v>
      </c>
      <c r="CT610" t="s">
        <v>152</v>
      </c>
      <c r="CU610">
        <v>82.65</v>
      </c>
      <c r="CV610">
        <v>122</v>
      </c>
      <c r="CW610" s="46">
        <v>2056</v>
      </c>
      <c r="CX610" s="46">
        <f t="shared" si="66"/>
        <v>95.340787554691303</v>
      </c>
      <c r="CY610" s="46">
        <v>94.84</v>
      </c>
      <c r="CZ610" s="46">
        <f t="shared" si="67"/>
        <v>99.951385512882837</v>
      </c>
      <c r="DA610" s="46">
        <f t="shared" si="68"/>
        <v>966.13420142761538</v>
      </c>
      <c r="DB610" s="46">
        <v>2078966.22</v>
      </c>
      <c r="DC610" s="46">
        <f t="shared" si="69"/>
        <v>39.923098371626139</v>
      </c>
      <c r="DD610" s="46">
        <v>85908.12</v>
      </c>
      <c r="DE610" s="995">
        <v>2056</v>
      </c>
      <c r="DF610" s="995">
        <v>95.397000000000006</v>
      </c>
      <c r="DG610" s="995">
        <v>93.7</v>
      </c>
      <c r="DH610" s="995">
        <v>99.950999999999993</v>
      </c>
      <c r="DI610" s="995">
        <v>2660.4050000000002</v>
      </c>
      <c r="DJ610" s="995">
        <v>5721687</v>
      </c>
      <c r="DK610" s="995">
        <v>113.40300000000001</v>
      </c>
      <c r="DL610" s="995">
        <v>243893.1</v>
      </c>
      <c r="DM610" s="995">
        <v>2056</v>
      </c>
      <c r="DN610" s="995">
        <v>95.566000000000003</v>
      </c>
      <c r="DO610" s="995">
        <v>90.2</v>
      </c>
      <c r="DP610" s="995">
        <v>99.950999999999993</v>
      </c>
      <c r="DQ610" s="995">
        <v>2646.152</v>
      </c>
      <c r="DR610" s="995">
        <v>5681837</v>
      </c>
      <c r="DS610" s="995">
        <v>112.72799999999999</v>
      </c>
      <c r="DT610" s="995">
        <v>242049.5</v>
      </c>
    </row>
    <row r="611" spans="1:124">
      <c r="A611" s="42" t="s">
        <v>94</v>
      </c>
      <c r="B611" s="42" t="s">
        <v>510</v>
      </c>
      <c r="C611" s="42" t="s">
        <v>788</v>
      </c>
      <c r="D611" s="42">
        <v>809363</v>
      </c>
      <c r="E611" s="42" t="s">
        <v>832</v>
      </c>
      <c r="F611" s="42" t="s">
        <v>149</v>
      </c>
      <c r="G611" s="42" t="s">
        <v>150</v>
      </c>
      <c r="H611" s="43" t="s">
        <v>150</v>
      </c>
      <c r="I611" s="44">
        <v>70</v>
      </c>
      <c r="J611" s="45">
        <v>225246.912799999</v>
      </c>
      <c r="K611" s="46">
        <v>13203.152872000001</v>
      </c>
      <c r="L611" s="47">
        <v>238450.06567199901</v>
      </c>
      <c r="M611" s="48">
        <v>5324324</v>
      </c>
      <c r="N611" s="49">
        <v>3307345</v>
      </c>
      <c r="O611" s="49">
        <v>2005214</v>
      </c>
      <c r="P611" s="49">
        <v>11765</v>
      </c>
      <c r="Q611" s="50">
        <v>12240.912004608301</v>
      </c>
      <c r="R611" s="51">
        <v>32519.5730044015</v>
      </c>
      <c r="S611" s="49">
        <v>53553.069594271597</v>
      </c>
      <c r="T611" s="49">
        <v>8356.5552035805795</v>
      </c>
      <c r="U611" s="49">
        <f>IFERROR(INDEX('Rentabilidad datos'!$N$2:$N$61,MATCH($C611,'Rentabilidad datos'!$C$2:$C$61,0)),"")</f>
        <v>94429.197802253679</v>
      </c>
      <c r="V611" s="50">
        <f>IFERROR(INDEX('Rentabilidad datos'!$O$2:$O$61,MATCH($C611,'Rentabilidad datos'!$C$2:$C$61,0)),"")</f>
        <v>1573.8199633708946</v>
      </c>
      <c r="W611" s="51">
        <f>IFERROR(INDEX('Rentabilidad datos'!$M$2:$M$61,MATCH($C611,'Rentabilidad datos'!$C$2:$C$61,0)),"")</f>
        <v>3293.1144020900269</v>
      </c>
      <c r="X611" s="52">
        <f>IFERROR(INDEX('Rentabilidad datos'!$P$2:$P$61,MATCH($C611,'Rentabilidad datos'!$C$2:$C$61,0)),"")</f>
        <v>0.47791232590402716</v>
      </c>
      <c r="Y611" s="43" t="s">
        <v>171</v>
      </c>
      <c r="Z611" s="53">
        <v>80.705069124424</v>
      </c>
      <c r="AA611" s="43">
        <v>1</v>
      </c>
      <c r="AB611" s="54">
        <v>0.9908998776182667</v>
      </c>
      <c r="AC611" s="55">
        <v>9.1001223817333433E-3</v>
      </c>
      <c r="AD611" s="752" t="e">
        <f>_xlfn.XLOOKUP(Table1[[#This Row],[Ruta]],#REF!,#REF!)</f>
        <v>#REF!</v>
      </c>
      <c r="AE611" s="752" t="e">
        <f>_xlfn.XLOOKUP(Table1[[#This Row],[Ruta]],#REF!,#REF!)</f>
        <v>#REF!</v>
      </c>
      <c r="AF611" s="752" t="e">
        <f>_xlfn.XLOOKUP(Table1[[#This Row],[Ruta]],#REF!,#REF!)</f>
        <v>#REF!</v>
      </c>
      <c r="AG611" s="752" t="e">
        <f>_xlfn.XLOOKUP(Table1[[#This Row],[Ruta]],#REF!,#REF!)</f>
        <v>#REF!</v>
      </c>
      <c r="AH611" s="52">
        <v>0.62117650991938134</v>
      </c>
      <c r="AI611" s="52">
        <v>0.37661381989525805</v>
      </c>
      <c r="AJ611" s="55">
        <v>2.2096701853606205E-3</v>
      </c>
      <c r="AK611" s="56">
        <v>35026</v>
      </c>
      <c r="AL611" s="44">
        <v>16398</v>
      </c>
      <c r="AM611" s="54">
        <v>0.468166504882088</v>
      </c>
      <c r="AN611" s="55">
        <v>0.50474202392821499</v>
      </c>
      <c r="AO611" s="56">
        <v>1281.09413010967</v>
      </c>
      <c r="AP611" s="48">
        <v>640.547065054835</v>
      </c>
      <c r="AQ611" s="55">
        <v>0.48645426440515144</v>
      </c>
      <c r="AR611" s="51">
        <v>5312555.8099999996</v>
      </c>
      <c r="AS611" s="49">
        <v>207521.7729012995</v>
      </c>
      <c r="AT611" s="55">
        <v>3.9062511590122855E-2</v>
      </c>
      <c r="AU611" s="51">
        <v>145826.11068739969</v>
      </c>
      <c r="AV611" s="52">
        <v>6.6337677742353736E-4</v>
      </c>
      <c r="AW611" s="44">
        <v>354</v>
      </c>
      <c r="AX611" s="51">
        <v>323.97583912672297</v>
      </c>
      <c r="AY611" s="49">
        <v>443.48077645239698</v>
      </c>
      <c r="AZ611" s="49">
        <v>119.50493732567401</v>
      </c>
      <c r="BA611" s="42" t="s">
        <v>150</v>
      </c>
      <c r="BB611" s="50">
        <v>688522.85160711454</v>
      </c>
      <c r="BC611" s="57">
        <v>834348.96229451429</v>
      </c>
      <c r="BD611" s="42" t="s">
        <v>150</v>
      </c>
      <c r="BE611" s="46">
        <v>80.705069124424</v>
      </c>
      <c r="BF611" s="46">
        <v>72.425990467051307</v>
      </c>
      <c r="BG611" s="42" t="s">
        <v>150</v>
      </c>
      <c r="BH611" s="52">
        <v>0.468166504882088</v>
      </c>
      <c r="BI611" s="52">
        <v>0.49337264070319697</v>
      </c>
      <c r="BJ611" s="42" t="s">
        <v>152</v>
      </c>
      <c r="BK611" s="46">
        <v>549.42411445161099</v>
      </c>
      <c r="BL611" s="46">
        <v>605.59017138979505</v>
      </c>
      <c r="BM611" s="42" t="s">
        <v>152</v>
      </c>
      <c r="BN611" s="48">
        <v>1</v>
      </c>
      <c r="BO611" s="42" t="s">
        <v>155</v>
      </c>
      <c r="BP611" s="42" t="s">
        <v>152</v>
      </c>
      <c r="BQ611" s="46">
        <v>0</v>
      </c>
      <c r="BR611" s="46">
        <v>101</v>
      </c>
      <c r="BS611" s="46">
        <v>4771</v>
      </c>
      <c r="BT611" s="46">
        <v>1434</v>
      </c>
      <c r="BU611" s="46">
        <v>3.3270571827057185</v>
      </c>
      <c r="BV611" s="46">
        <v>14.198019801980198</v>
      </c>
      <c r="BW611" s="46">
        <v>1434</v>
      </c>
      <c r="BX611" s="46">
        <v>0</v>
      </c>
      <c r="BY611" s="46">
        <v>1434</v>
      </c>
      <c r="BZ611" s="46">
        <v>1</v>
      </c>
      <c r="CA611" s="46">
        <v>1</v>
      </c>
      <c r="CB611" s="46">
        <v>0</v>
      </c>
      <c r="CC611" s="46">
        <v>0</v>
      </c>
      <c r="CD611" s="46">
        <v>0</v>
      </c>
      <c r="CE611" s="46">
        <v>0</v>
      </c>
      <c r="CF611" s="46">
        <v>0</v>
      </c>
      <c r="CG611" s="46">
        <v>0</v>
      </c>
      <c r="CH611" s="46">
        <v>0</v>
      </c>
      <c r="CI611" s="46">
        <v>0.20959966464053659</v>
      </c>
      <c r="CJ611" s="46">
        <v>0.20959966464053659</v>
      </c>
      <c r="CK611">
        <v>271</v>
      </c>
      <c r="CL611">
        <v>421.35</v>
      </c>
      <c r="CM611">
        <f t="shared" si="70"/>
        <v>150.35000000000002</v>
      </c>
      <c r="CN611">
        <v>5.42</v>
      </c>
      <c r="CO611">
        <v>9.4499999999999993</v>
      </c>
      <c r="CP611">
        <f t="shared" si="71"/>
        <v>4.0299999999999994</v>
      </c>
      <c r="CQ611">
        <v>846.56</v>
      </c>
      <c r="CR611">
        <v>549.41999999999996</v>
      </c>
      <c r="CS611">
        <f t="shared" si="72"/>
        <v>297.14</v>
      </c>
      <c r="CT611" t="s">
        <v>152</v>
      </c>
      <c r="CU611">
        <v>67.209999999999994</v>
      </c>
      <c r="CV611">
        <v>265</v>
      </c>
      <c r="CW611" s="46">
        <v>1434</v>
      </c>
      <c r="CX611" s="46">
        <f t="shared" si="66"/>
        <v>89.515341701534183</v>
      </c>
      <c r="CY611" s="46">
        <v>150.35</v>
      </c>
      <c r="CZ611" s="46">
        <f t="shared" si="67"/>
        <v>100</v>
      </c>
      <c r="DA611" s="46">
        <f t="shared" si="68"/>
        <v>1503.9809006848236</v>
      </c>
      <c r="DB611" s="46">
        <v>2382832.14</v>
      </c>
      <c r="DC611" s="46">
        <f t="shared" si="69"/>
        <v>64.78490863761165</v>
      </c>
      <c r="DD611" s="46">
        <v>102641.97</v>
      </c>
      <c r="DE611" s="995">
        <v>1434</v>
      </c>
      <c r="DF611" s="995">
        <v>90.200999999999993</v>
      </c>
      <c r="DG611" s="995">
        <v>140.5</v>
      </c>
      <c r="DH611" s="995">
        <v>100</v>
      </c>
      <c r="DI611" s="995">
        <v>3939.9560000000001</v>
      </c>
      <c r="DJ611" s="995">
        <v>6203557</v>
      </c>
      <c r="DK611" s="995">
        <v>169.62200000000001</v>
      </c>
      <c r="DL611" s="995">
        <v>267074.2</v>
      </c>
      <c r="DM611" s="995">
        <v>1434</v>
      </c>
      <c r="DN611" s="995">
        <v>91.93</v>
      </c>
      <c r="DO611" s="995">
        <v>115.7</v>
      </c>
      <c r="DP611" s="995">
        <v>100</v>
      </c>
      <c r="DQ611" s="995">
        <v>3805.3870000000002</v>
      </c>
      <c r="DR611" s="995">
        <v>5897307</v>
      </c>
      <c r="DS611" s="995">
        <v>163.84800000000001</v>
      </c>
      <c r="DT611" s="995">
        <v>253919.3</v>
      </c>
    </row>
    <row r="612" spans="1:124">
      <c r="A612" s="42" t="s">
        <v>94</v>
      </c>
      <c r="B612" s="42" t="s">
        <v>510</v>
      </c>
      <c r="C612" s="42" t="s">
        <v>788</v>
      </c>
      <c r="D612" s="42">
        <v>809364</v>
      </c>
      <c r="E612" s="42" t="s">
        <v>833</v>
      </c>
      <c r="F612" s="42" t="s">
        <v>149</v>
      </c>
      <c r="G612" s="42" t="s">
        <v>150</v>
      </c>
      <c r="H612" s="43" t="s">
        <v>150</v>
      </c>
      <c r="I612" s="44">
        <v>70</v>
      </c>
      <c r="J612" s="45">
        <v>233186.40239999999</v>
      </c>
      <c r="K612" s="46">
        <v>6709.1677499999996</v>
      </c>
      <c r="L612" s="47">
        <v>239895.57015000001</v>
      </c>
      <c r="M612" s="48">
        <v>4263006</v>
      </c>
      <c r="N612" s="49">
        <v>3356704</v>
      </c>
      <c r="O612" s="49">
        <v>901791</v>
      </c>
      <c r="P612" s="49">
        <v>4511</v>
      </c>
      <c r="Q612" s="50">
        <v>9789.6459080459808</v>
      </c>
      <c r="R612" s="51">
        <v>32519.5730044015</v>
      </c>
      <c r="S612" s="49">
        <v>53553.069594271597</v>
      </c>
      <c r="T612" s="49">
        <v>8356.5552035805795</v>
      </c>
      <c r="U612" s="49">
        <f>IFERROR(INDEX('Rentabilidad datos'!$N$2:$N$61,MATCH($C612,'Rentabilidad datos'!$C$2:$C$61,0)),"")</f>
        <v>94429.197802253679</v>
      </c>
      <c r="V612" s="50">
        <f>IFERROR(INDEX('Rentabilidad datos'!$O$2:$O$61,MATCH($C612,'Rentabilidad datos'!$C$2:$C$61,0)),"")</f>
        <v>1573.8199633708946</v>
      </c>
      <c r="W612" s="51">
        <f>IFERROR(INDEX('Rentabilidad datos'!$M$2:$M$61,MATCH($C612,'Rentabilidad datos'!$C$2:$C$61,0)),"")</f>
        <v>3293.1144020900269</v>
      </c>
      <c r="X612" s="52">
        <f>IFERROR(INDEX('Rentabilidad datos'!$P$2:$P$61,MATCH($C612,'Rentabilidad datos'!$C$2:$C$61,0)),"")</f>
        <v>0.47791232590402716</v>
      </c>
      <c r="Y612" s="43" t="s">
        <v>171</v>
      </c>
      <c r="Z612" s="53">
        <v>34.091954022988503</v>
      </c>
      <c r="AA612" s="43">
        <v>1</v>
      </c>
      <c r="AB612" s="54">
        <v>0.9903413225315657</v>
      </c>
      <c r="AC612" s="55">
        <v>9.6586774684342454E-3</v>
      </c>
      <c r="AD612" s="752" t="e">
        <f>_xlfn.XLOOKUP(Table1[[#This Row],[Ruta]],#REF!,#REF!)</f>
        <v>#REF!</v>
      </c>
      <c r="AE612" s="752" t="e">
        <f>_xlfn.XLOOKUP(Table1[[#This Row],[Ruta]],#REF!,#REF!)</f>
        <v>#REF!</v>
      </c>
      <c r="AF612" s="752" t="e">
        <f>_xlfn.XLOOKUP(Table1[[#This Row],[Ruta]],#REF!,#REF!)</f>
        <v>#REF!</v>
      </c>
      <c r="AG612" s="752" t="e">
        <f>_xlfn.XLOOKUP(Table1[[#This Row],[Ruta]],#REF!,#REF!)</f>
        <v>#REF!</v>
      </c>
      <c r="AH612" s="52">
        <v>0.78740306722533349</v>
      </c>
      <c r="AI612" s="52">
        <v>0.21153875926986732</v>
      </c>
      <c r="AJ612" s="55">
        <v>1.0581735047991956E-3</v>
      </c>
      <c r="AK612" s="56">
        <v>14830</v>
      </c>
      <c r="AL612" s="44">
        <v>6946</v>
      </c>
      <c r="AM612" s="54">
        <v>0.468374915711396</v>
      </c>
      <c r="AN612" s="55">
        <v>0.50474202392821499</v>
      </c>
      <c r="AO612" s="56">
        <v>539.32421485543398</v>
      </c>
      <c r="AP612" s="48">
        <v>269.66210742771699</v>
      </c>
      <c r="AQ612" s="55">
        <v>0.48655846981980561</v>
      </c>
      <c r="AR612" s="51">
        <v>4258495.97</v>
      </c>
      <c r="AS612" s="49">
        <v>165326.0866315345</v>
      </c>
      <c r="AT612" s="55">
        <v>3.8822647196619167E-2</v>
      </c>
      <c r="AU612" s="51">
        <v>116175.08790324051</v>
      </c>
      <c r="AV612" s="52">
        <v>5.2849146882449926E-4</v>
      </c>
      <c r="AW612" s="44">
        <v>381</v>
      </c>
      <c r="AX612" s="51">
        <v>613.08608839619899</v>
      </c>
      <c r="AY612" s="49">
        <v>443.48077645239698</v>
      </c>
      <c r="AZ612" s="49">
        <v>0</v>
      </c>
      <c r="BA612" s="42" t="s">
        <v>152</v>
      </c>
      <c r="BB612" s="50">
        <v>0</v>
      </c>
      <c r="BC612" s="57">
        <v>116175.08790324051</v>
      </c>
      <c r="BD612" s="42" t="s">
        <v>150</v>
      </c>
      <c r="BE612" s="46">
        <v>34.091954022988503</v>
      </c>
      <c r="BF612" s="46">
        <v>72.425990467051307</v>
      </c>
      <c r="BG612" s="42" t="s">
        <v>152</v>
      </c>
      <c r="BH612" s="52">
        <v>0.468374915711396</v>
      </c>
      <c r="BI612" s="52">
        <v>0.49337264070319697</v>
      </c>
      <c r="BJ612" s="42" t="s">
        <v>152</v>
      </c>
      <c r="BK612" s="46">
        <v>551.48406931034401</v>
      </c>
      <c r="BL612" s="46">
        <v>605.59017138979505</v>
      </c>
      <c r="BM612" s="42" t="s">
        <v>152</v>
      </c>
      <c r="BN612" s="48">
        <v>0</v>
      </c>
      <c r="BO612" s="42" t="s">
        <v>155</v>
      </c>
      <c r="BP612" s="42" t="s">
        <v>152</v>
      </c>
      <c r="BQ612" s="46">
        <v>5824.0070381924897</v>
      </c>
      <c r="BR612" s="46">
        <v>88</v>
      </c>
      <c r="BS612" s="46">
        <v>12618</v>
      </c>
      <c r="BT612" s="46">
        <v>3814</v>
      </c>
      <c r="BU612" s="46">
        <v>3.3083377031987413</v>
      </c>
      <c r="BV612" s="46">
        <v>43.340909090909093</v>
      </c>
      <c r="BW612" s="46">
        <v>0</v>
      </c>
      <c r="BX612" s="46">
        <v>865</v>
      </c>
      <c r="BY612" s="46">
        <v>865</v>
      </c>
      <c r="BZ612" s="46">
        <v>0.22679601468274777</v>
      </c>
      <c r="CA612" s="46">
        <v>0</v>
      </c>
      <c r="CB612" s="46">
        <v>0.22679601468274779</v>
      </c>
      <c r="CC612" s="46">
        <v>0</v>
      </c>
      <c r="CD612" s="46">
        <v>0.77320398531725221</v>
      </c>
      <c r="CE612" s="46">
        <v>0</v>
      </c>
      <c r="CF612" s="46">
        <v>0</v>
      </c>
      <c r="CG612" s="46">
        <v>0</v>
      </c>
      <c r="CH612" s="46">
        <v>0</v>
      </c>
      <c r="CI612" s="46">
        <v>2.1398002853067051</v>
      </c>
      <c r="CJ612" s="46">
        <v>0.47551117451260111</v>
      </c>
      <c r="CK612">
        <v>168</v>
      </c>
      <c r="CL612">
        <v>209.55</v>
      </c>
      <c r="CM612">
        <f t="shared" si="70"/>
        <v>41.550000000000011</v>
      </c>
      <c r="CN612">
        <v>4.38</v>
      </c>
      <c r="CO612">
        <v>9.4499999999999993</v>
      </c>
      <c r="CP612">
        <f t="shared" si="71"/>
        <v>5.0699999999999994</v>
      </c>
      <c r="CQ612">
        <v>846.56</v>
      </c>
      <c r="CR612">
        <v>551.48</v>
      </c>
      <c r="CS612">
        <f t="shared" si="72"/>
        <v>295.07999999999993</v>
      </c>
      <c r="CT612" t="s">
        <v>152</v>
      </c>
      <c r="CU612">
        <v>65.14</v>
      </c>
      <c r="CV612">
        <v>22</v>
      </c>
      <c r="CW612" s="46">
        <v>865</v>
      </c>
      <c r="CX612" s="46">
        <f t="shared" si="66"/>
        <v>21.590194022024122</v>
      </c>
      <c r="CY612" s="46">
        <v>41.55</v>
      </c>
      <c r="CZ612" s="46">
        <f t="shared" si="67"/>
        <v>22.679601468274775</v>
      </c>
      <c r="DA612" s="46">
        <f t="shared" si="68"/>
        <v>99.319477117402187</v>
      </c>
      <c r="DB612" s="46">
        <v>382931.21</v>
      </c>
      <c r="DC612" s="46">
        <f t="shared" si="69"/>
        <v>5.1881832682756022</v>
      </c>
      <c r="DD612" s="46">
        <v>20003.3</v>
      </c>
      <c r="DE612" s="995">
        <v>865</v>
      </c>
      <c r="DF612" s="995">
        <v>21.614000000000001</v>
      </c>
      <c r="DG612" s="995">
        <v>40.6</v>
      </c>
      <c r="DH612" s="995">
        <v>22.68</v>
      </c>
      <c r="DI612" s="995">
        <v>968.28599999999994</v>
      </c>
      <c r="DJ612" s="995">
        <v>3732395</v>
      </c>
      <c r="DK612" s="995">
        <v>50.427999999999997</v>
      </c>
      <c r="DL612" s="995">
        <v>194382.8</v>
      </c>
      <c r="DM612" s="995">
        <v>865</v>
      </c>
      <c r="DN612" s="995">
        <v>21.686</v>
      </c>
      <c r="DO612" s="995">
        <v>37.9</v>
      </c>
      <c r="DP612" s="995">
        <v>22.68</v>
      </c>
      <c r="DQ612" s="995">
        <v>962.35</v>
      </c>
      <c r="DR612" s="995">
        <v>3706878</v>
      </c>
      <c r="DS612" s="995">
        <v>50.122</v>
      </c>
      <c r="DT612" s="995">
        <v>193065.60000000001</v>
      </c>
    </row>
    <row r="613" spans="1:124">
      <c r="A613" s="42" t="s">
        <v>94</v>
      </c>
      <c r="B613" s="42" t="s">
        <v>510</v>
      </c>
      <c r="C613" s="42" t="s">
        <v>788</v>
      </c>
      <c r="D613" s="42">
        <v>809365</v>
      </c>
      <c r="E613" s="42" t="s">
        <v>834</v>
      </c>
      <c r="F613" s="42" t="s">
        <v>149</v>
      </c>
      <c r="G613" s="42" t="s">
        <v>150</v>
      </c>
      <c r="H613" s="43" t="s">
        <v>150</v>
      </c>
      <c r="I613" s="44">
        <v>70</v>
      </c>
      <c r="J613" s="45">
        <v>270770.41039999999</v>
      </c>
      <c r="K613" s="46">
        <v>12155.617</v>
      </c>
      <c r="L613" s="47">
        <v>282926.02740000002</v>
      </c>
      <c r="M613" s="48">
        <v>5706423</v>
      </c>
      <c r="N613" s="49">
        <v>3953351</v>
      </c>
      <c r="O613" s="49">
        <v>1737403</v>
      </c>
      <c r="P613" s="49">
        <v>15669</v>
      </c>
      <c r="Q613" s="50">
        <v>12904.202244898001</v>
      </c>
      <c r="R613" s="51">
        <v>32519.5730044015</v>
      </c>
      <c r="S613" s="49">
        <v>53553.069594271597</v>
      </c>
      <c r="T613" s="49">
        <v>8356.5552035805795</v>
      </c>
      <c r="U613" s="49">
        <f>IFERROR(INDEX('Rentabilidad datos'!$N$2:$N$61,MATCH($C613,'Rentabilidad datos'!$C$2:$C$61,0)),"")</f>
        <v>94429.197802253679</v>
      </c>
      <c r="V613" s="50">
        <f>IFERROR(INDEX('Rentabilidad datos'!$O$2:$O$61,MATCH($C613,'Rentabilidad datos'!$C$2:$C$61,0)),"")</f>
        <v>1573.8199633708946</v>
      </c>
      <c r="W613" s="51">
        <f>IFERROR(INDEX('Rentabilidad datos'!$M$2:$M$61,MATCH($C613,'Rentabilidad datos'!$C$2:$C$61,0)),"")</f>
        <v>3293.1144020900269</v>
      </c>
      <c r="X613" s="52">
        <f>IFERROR(INDEX('Rentabilidad datos'!$P$2:$P$61,MATCH($C613,'Rentabilidad datos'!$C$2:$C$61,0)),"")</f>
        <v>0.47791232590402716</v>
      </c>
      <c r="Y613" s="43" t="s">
        <v>171</v>
      </c>
      <c r="Z613" s="53">
        <v>67.052154195011298</v>
      </c>
      <c r="AA613" s="43">
        <v>1</v>
      </c>
      <c r="AB613" s="54">
        <v>0.95101309524372801</v>
      </c>
      <c r="AC613" s="55">
        <v>4.8986904756272008E-2</v>
      </c>
      <c r="AD613" s="752" t="e">
        <f>_xlfn.XLOOKUP(Table1[[#This Row],[Ruta]],#REF!,#REF!)</f>
        <v>#REF!</v>
      </c>
      <c r="AE613" s="752" t="e">
        <f>_xlfn.XLOOKUP(Table1[[#This Row],[Ruta]],#REF!,#REF!)</f>
        <v>#REF!</v>
      </c>
      <c r="AF613" s="752" t="e">
        <f>_xlfn.XLOOKUP(Table1[[#This Row],[Ruta]],#REF!,#REF!)</f>
        <v>#REF!</v>
      </c>
      <c r="AG613" s="752" t="e">
        <f>_xlfn.XLOOKUP(Table1[[#This Row],[Ruta]],#REF!,#REF!)</f>
        <v>#REF!</v>
      </c>
      <c r="AH613" s="52">
        <v>0.69278968628859094</v>
      </c>
      <c r="AI613" s="52">
        <v>0.30446446048601727</v>
      </c>
      <c r="AJ613" s="55">
        <v>2.7458532253918084E-3</v>
      </c>
      <c r="AK613" s="56">
        <v>29570</v>
      </c>
      <c r="AL613" s="44">
        <v>15325</v>
      </c>
      <c r="AM613" s="54">
        <v>0.51826175177544798</v>
      </c>
      <c r="AN613" s="55">
        <v>0.50474202392821499</v>
      </c>
      <c r="AO613" s="56">
        <v>0</v>
      </c>
      <c r="AP613" s="48">
        <v>0</v>
      </c>
      <c r="AQ613" s="55">
        <v>0.51826175177544809</v>
      </c>
      <c r="AR613" s="51">
        <v>5690753.1900000004</v>
      </c>
      <c r="AS613" s="49">
        <v>0</v>
      </c>
      <c r="AT613" s="55">
        <v>0</v>
      </c>
      <c r="AU613" s="51">
        <v>0</v>
      </c>
      <c r="AV613" s="52">
        <v>0</v>
      </c>
      <c r="AW613" s="44">
        <v>490</v>
      </c>
      <c r="AX613" s="51">
        <v>371.33789168026101</v>
      </c>
      <c r="AY613" s="49">
        <v>443.48077645239698</v>
      </c>
      <c r="AZ613" s="49">
        <v>72.142884772135972</v>
      </c>
      <c r="BA613" s="42" t="s">
        <v>150</v>
      </c>
      <c r="BB613" s="50">
        <v>388450.4383440215</v>
      </c>
      <c r="BC613" s="57">
        <v>388450.4383440215</v>
      </c>
      <c r="BD613" s="42" t="s">
        <v>150</v>
      </c>
      <c r="BE613" s="46">
        <v>67.052154195011298</v>
      </c>
      <c r="BF613" s="46">
        <v>72.425990467051307</v>
      </c>
      <c r="BG613" s="42" t="s">
        <v>152</v>
      </c>
      <c r="BH613" s="52">
        <v>0.51826175177544798</v>
      </c>
      <c r="BI613" s="52">
        <v>0.49337264070319697</v>
      </c>
      <c r="BJ613" s="42" t="s">
        <v>150</v>
      </c>
      <c r="BK613" s="46">
        <v>641.555617687074</v>
      </c>
      <c r="BL613" s="46">
        <v>605.59017138979505</v>
      </c>
      <c r="BM613" s="42" t="s">
        <v>150</v>
      </c>
      <c r="BN613" s="48">
        <v>2</v>
      </c>
      <c r="BO613" s="42" t="s">
        <v>161</v>
      </c>
      <c r="BP613" s="42" t="s">
        <v>152</v>
      </c>
      <c r="BQ613" s="46">
        <v>0</v>
      </c>
      <c r="BR613" s="46">
        <v>416</v>
      </c>
      <c r="BS613" s="46">
        <v>36998</v>
      </c>
      <c r="BT613" s="46">
        <v>8887</v>
      </c>
      <c r="BU613" s="46">
        <v>4.1631596714301793</v>
      </c>
      <c r="BV613" s="46">
        <v>21.36298076923077</v>
      </c>
      <c r="BW613" s="46">
        <v>0</v>
      </c>
      <c r="BX613" s="46">
        <v>1786</v>
      </c>
      <c r="BY613" s="46">
        <v>1786</v>
      </c>
      <c r="BZ613" s="46">
        <v>0.20096770563744795</v>
      </c>
      <c r="CA613" s="46">
        <v>0</v>
      </c>
      <c r="CB613" s="46">
        <v>0.20096770563744801</v>
      </c>
      <c r="CC613" s="46">
        <v>0.50084392933498367</v>
      </c>
      <c r="CD613" s="46">
        <v>0</v>
      </c>
      <c r="CE613" s="46">
        <v>3.4882412512658939E-3</v>
      </c>
      <c r="CF613" s="46">
        <v>0.29470012377630239</v>
      </c>
      <c r="CG613" s="46">
        <v>0</v>
      </c>
      <c r="CH613" s="46">
        <v>0</v>
      </c>
      <c r="CI613" s="46">
        <v>5.4327260933023407</v>
      </c>
      <c r="CJ613" s="46">
        <v>0.27028488026379799</v>
      </c>
      <c r="CK613">
        <v>312</v>
      </c>
      <c r="CL613">
        <v>341.53</v>
      </c>
      <c r="CM613">
        <f t="shared" si="70"/>
        <v>29.529999999999973</v>
      </c>
      <c r="CN613">
        <v>8.07</v>
      </c>
      <c r="CO613">
        <v>9.4499999999999993</v>
      </c>
      <c r="CP613">
        <f t="shared" si="71"/>
        <v>1.379999999999999</v>
      </c>
      <c r="CQ613">
        <v>846.56</v>
      </c>
      <c r="CR613">
        <v>641.55999999999995</v>
      </c>
      <c r="CS613">
        <f t="shared" si="72"/>
        <v>205</v>
      </c>
      <c r="CT613" t="s">
        <v>152</v>
      </c>
      <c r="CU613">
        <v>85.35</v>
      </c>
      <c r="CV613">
        <v>76</v>
      </c>
      <c r="CW613" s="46">
        <v>1786</v>
      </c>
      <c r="CX613" s="46">
        <f t="shared" si="66"/>
        <v>19.764487453583886</v>
      </c>
      <c r="CY613" s="46">
        <v>29.53</v>
      </c>
      <c r="CZ613" s="46">
        <f t="shared" si="67"/>
        <v>20.096770563744794</v>
      </c>
      <c r="DA613" s="46">
        <f t="shared" si="68"/>
        <v>52.830053843815918</v>
      </c>
      <c r="DB613" s="46">
        <v>471060.76</v>
      </c>
      <c r="DC613" s="46">
        <f t="shared" si="69"/>
        <v>2.452219641497309</v>
      </c>
      <c r="DD613" s="46">
        <v>21865.29</v>
      </c>
      <c r="DE613" s="995">
        <v>1786</v>
      </c>
      <c r="DF613" s="995">
        <v>19.760000000000002</v>
      </c>
      <c r="DG613" s="995">
        <v>29.9</v>
      </c>
      <c r="DH613" s="995">
        <v>20.097000000000001</v>
      </c>
      <c r="DI613" s="995">
        <v>520.08299999999997</v>
      </c>
      <c r="DJ613" s="995">
        <v>4637530</v>
      </c>
      <c r="DK613" s="995">
        <v>25.655999999999999</v>
      </c>
      <c r="DL613" s="995">
        <v>228770</v>
      </c>
      <c r="DM613" s="995">
        <v>1786</v>
      </c>
      <c r="DN613" s="995">
        <v>19.777999999999999</v>
      </c>
      <c r="DO613" s="995">
        <v>28.3</v>
      </c>
      <c r="DP613" s="995">
        <v>20.097000000000001</v>
      </c>
      <c r="DQ613" s="995">
        <v>518.58199999999999</v>
      </c>
      <c r="DR613" s="995">
        <v>4623338</v>
      </c>
      <c r="DS613" s="995">
        <v>25.576000000000001</v>
      </c>
      <c r="DT613" s="995">
        <v>228016.8</v>
      </c>
    </row>
    <row r="614" spans="1:124">
      <c r="A614" s="42" t="s">
        <v>94</v>
      </c>
      <c r="B614" s="42" t="s">
        <v>510</v>
      </c>
      <c r="C614" s="42" t="s">
        <v>788</v>
      </c>
      <c r="D614" s="42">
        <v>809366</v>
      </c>
      <c r="E614" s="42" t="s">
        <v>835</v>
      </c>
      <c r="F614" s="42" t="s">
        <v>149</v>
      </c>
      <c r="G614" s="42" t="s">
        <v>150</v>
      </c>
      <c r="H614" s="43" t="s">
        <v>150</v>
      </c>
      <c r="I614" s="44">
        <v>70</v>
      </c>
      <c r="J614" s="45">
        <v>190375.15280000001</v>
      </c>
      <c r="K614" s="46">
        <v>6946.2873</v>
      </c>
      <c r="L614" s="47">
        <v>197321.44010000001</v>
      </c>
      <c r="M614" s="48">
        <v>3791179</v>
      </c>
      <c r="N614" s="49">
        <v>2785966</v>
      </c>
      <c r="O614" s="49">
        <v>1002804</v>
      </c>
      <c r="P614" s="49">
        <v>2409</v>
      </c>
      <c r="Q614" s="50">
        <v>8565.2246153846208</v>
      </c>
      <c r="R614" s="51">
        <v>32519.5730044015</v>
      </c>
      <c r="S614" s="49">
        <v>53553.069594271597</v>
      </c>
      <c r="T614" s="49">
        <v>8356.5552035805795</v>
      </c>
      <c r="U614" s="49">
        <f>IFERROR(INDEX('Rentabilidad datos'!$N$2:$N$61,MATCH($C614,'Rentabilidad datos'!$C$2:$C$61,0)),"")</f>
        <v>94429.197802253679</v>
      </c>
      <c r="V614" s="50">
        <f>IFERROR(INDEX('Rentabilidad datos'!$O$2:$O$61,MATCH($C614,'Rentabilidad datos'!$C$2:$C$61,0)),"")</f>
        <v>1573.8199633708946</v>
      </c>
      <c r="W614" s="51">
        <f>IFERROR(INDEX('Rentabilidad datos'!$M$2:$M$61,MATCH($C614,'Rentabilidad datos'!$C$2:$C$61,0)),"")</f>
        <v>3293.1144020900269</v>
      </c>
      <c r="X614" s="52">
        <f>IFERROR(INDEX('Rentabilidad datos'!$P$2:$P$61,MATCH($C614,'Rentabilidad datos'!$C$2:$C$61,0)),"")</f>
        <v>0.47791232590402716</v>
      </c>
      <c r="Y614" s="43" t="s">
        <v>171</v>
      </c>
      <c r="Z614" s="53">
        <v>72.380090497737598</v>
      </c>
      <c r="AA614" s="43">
        <v>1</v>
      </c>
      <c r="AB614" s="54">
        <v>0.94934135265045516</v>
      </c>
      <c r="AC614" s="55">
        <v>5.0658647349544825E-2</v>
      </c>
      <c r="AD614" s="752" t="e">
        <f>_xlfn.XLOOKUP(Table1[[#This Row],[Ruta]],#REF!,#REF!)</f>
        <v>#REF!</v>
      </c>
      <c r="AE614" s="752" t="e">
        <f>_xlfn.XLOOKUP(Table1[[#This Row],[Ruta]],#REF!,#REF!)</f>
        <v>#REF!</v>
      </c>
      <c r="AF614" s="752" t="e">
        <f>_xlfn.XLOOKUP(Table1[[#This Row],[Ruta]],#REF!,#REF!)</f>
        <v>#REF!</v>
      </c>
      <c r="AG614" s="752" t="e">
        <f>_xlfn.XLOOKUP(Table1[[#This Row],[Ruta]],#REF!,#REF!)</f>
        <v>#REF!</v>
      </c>
      <c r="AH614" s="52">
        <v>0.73485477736609117</v>
      </c>
      <c r="AI614" s="52">
        <v>0.26450980024947385</v>
      </c>
      <c r="AJ614" s="55">
        <v>6.3542238443502663E-4</v>
      </c>
      <c r="AK614" s="56">
        <v>31992</v>
      </c>
      <c r="AL614" s="44">
        <v>13767</v>
      </c>
      <c r="AM614" s="54">
        <v>0.43032633158289602</v>
      </c>
      <c r="AN614" s="55">
        <v>0.50474202392821499</v>
      </c>
      <c r="AO614" s="56">
        <v>2380.70682951146</v>
      </c>
      <c r="AP614" s="48">
        <v>1190.35341475573</v>
      </c>
      <c r="AQ614" s="55">
        <v>0.46753417775555545</v>
      </c>
      <c r="AR614" s="51">
        <v>3785829.28</v>
      </c>
      <c r="AS614" s="49">
        <v>327338.91269922548</v>
      </c>
      <c r="AT614" s="55">
        <v>8.6464256174601059E-2</v>
      </c>
      <c r="AU614" s="51">
        <v>230021.93865350989</v>
      </c>
      <c r="AV614" s="52">
        <v>1.0463915665129568E-3</v>
      </c>
      <c r="AW614" s="44">
        <v>286</v>
      </c>
      <c r="AX614" s="51">
        <v>274.99304714171598</v>
      </c>
      <c r="AY614" s="49">
        <v>443.48077645239698</v>
      </c>
      <c r="AZ614" s="49">
        <v>168.487729310681</v>
      </c>
      <c r="BA614" s="42" t="s">
        <v>150</v>
      </c>
      <c r="BB614" s="50">
        <v>814984.25412059191</v>
      </c>
      <c r="BC614" s="57">
        <v>1045006.1927741019</v>
      </c>
      <c r="BD614" s="42" t="s">
        <v>150</v>
      </c>
      <c r="BE614" s="46">
        <v>72.380090497737598</v>
      </c>
      <c r="BF614" s="46">
        <v>72.425990467051307</v>
      </c>
      <c r="BG614" s="42" t="s">
        <v>152</v>
      </c>
      <c r="BH614" s="52">
        <v>0.43032633158289602</v>
      </c>
      <c r="BI614" s="52">
        <v>0.49337264070319697</v>
      </c>
      <c r="BJ614" s="42" t="s">
        <v>152</v>
      </c>
      <c r="BK614" s="46">
        <v>446.42859751131198</v>
      </c>
      <c r="BL614" s="46">
        <v>605.59017138979505</v>
      </c>
      <c r="BM614" s="42" t="s">
        <v>152</v>
      </c>
      <c r="BN614" s="48">
        <v>0</v>
      </c>
      <c r="BO614" s="42" t="s">
        <v>155</v>
      </c>
      <c r="BP614" s="42" t="s">
        <v>152</v>
      </c>
      <c r="BQ614" s="46">
        <v>1733.0137970068799</v>
      </c>
      <c r="BR614" s="46">
        <v>333</v>
      </c>
      <c r="BS614" s="46">
        <v>25153</v>
      </c>
      <c r="BT614" s="46">
        <v>7470</v>
      </c>
      <c r="BU614" s="46">
        <v>3.367202141900937</v>
      </c>
      <c r="BV614" s="46">
        <v>22.432432432432432</v>
      </c>
      <c r="BW614" s="46">
        <v>328</v>
      </c>
      <c r="BX614" s="46">
        <v>4318</v>
      </c>
      <c r="BY614" s="46">
        <v>4646</v>
      </c>
      <c r="BZ614" s="46">
        <v>0.62195448460508707</v>
      </c>
      <c r="CA614" s="46">
        <v>4.390896921017403E-2</v>
      </c>
      <c r="CB614" s="46">
        <v>0.578045515394913</v>
      </c>
      <c r="CC614" s="46">
        <v>6.3855421686746988E-2</v>
      </c>
      <c r="CD614" s="46">
        <v>0.13360107095046861</v>
      </c>
      <c r="CE614" s="46">
        <v>0</v>
      </c>
      <c r="CF614" s="46">
        <v>0.18045515394912989</v>
      </c>
      <c r="CG614" s="46">
        <v>0</v>
      </c>
      <c r="CH614" s="46">
        <v>1.3386880856760381E-4</v>
      </c>
      <c r="CI614" s="46">
        <v>3.5383453266011999</v>
      </c>
      <c r="CJ614" s="46">
        <v>0.5565936468810877</v>
      </c>
      <c r="CK614">
        <v>461</v>
      </c>
      <c r="CL614">
        <v>573.21</v>
      </c>
      <c r="CM614">
        <f t="shared" si="70"/>
        <v>112.21000000000004</v>
      </c>
      <c r="CN614">
        <v>9.3800000000000008</v>
      </c>
      <c r="CO614">
        <v>9.4499999999999993</v>
      </c>
      <c r="CP614">
        <f t="shared" si="71"/>
        <v>6.9999999999998508E-2</v>
      </c>
      <c r="CQ614">
        <v>564.37</v>
      </c>
      <c r="CR614">
        <v>446.43</v>
      </c>
      <c r="CS614">
        <f t="shared" si="72"/>
        <v>117.94</v>
      </c>
      <c r="CT614" t="s">
        <v>150</v>
      </c>
      <c r="CU614">
        <v>106.42</v>
      </c>
      <c r="CV614">
        <v>318</v>
      </c>
      <c r="CW614" s="46">
        <v>4646</v>
      </c>
      <c r="CX614" s="46">
        <f t="shared" si="66"/>
        <v>60.693306559571624</v>
      </c>
      <c r="CY614" s="46">
        <v>112.21</v>
      </c>
      <c r="CZ614" s="46">
        <f t="shared" si="67"/>
        <v>62.195448460508707</v>
      </c>
      <c r="DA614" s="46">
        <f t="shared" si="68"/>
        <v>514.48076088633786</v>
      </c>
      <c r="DB614" s="46">
        <v>3900901.17</v>
      </c>
      <c r="DC614" s="46">
        <f t="shared" si="69"/>
        <v>26.503912447690055</v>
      </c>
      <c r="DD614" s="46">
        <v>200958.23</v>
      </c>
      <c r="DE614" s="995">
        <v>4646</v>
      </c>
      <c r="DF614" s="995">
        <v>60.703000000000003</v>
      </c>
      <c r="DG614" s="995">
        <v>111.5</v>
      </c>
      <c r="DH614" s="995">
        <v>62.195</v>
      </c>
      <c r="DI614" s="995">
        <v>934.40700000000004</v>
      </c>
      <c r="DJ614" s="995">
        <v>7084178</v>
      </c>
      <c r="DK614" s="995">
        <v>48.296999999999997</v>
      </c>
      <c r="DL614" s="995">
        <v>366165.4</v>
      </c>
      <c r="DM614" s="995">
        <v>4646</v>
      </c>
      <c r="DN614" s="995">
        <v>60.78</v>
      </c>
      <c r="DO614" s="995">
        <v>105.7</v>
      </c>
      <c r="DP614" s="995">
        <v>62.195</v>
      </c>
      <c r="DQ614" s="995">
        <v>927.97</v>
      </c>
      <c r="DR614" s="995">
        <v>7030056</v>
      </c>
      <c r="DS614" s="995">
        <v>47.969000000000001</v>
      </c>
      <c r="DT614" s="995">
        <v>363403.7</v>
      </c>
    </row>
    <row r="615" spans="1:124">
      <c r="A615" s="42" t="s">
        <v>94</v>
      </c>
      <c r="B615" s="42" t="s">
        <v>510</v>
      </c>
      <c r="C615" s="42" t="s">
        <v>788</v>
      </c>
      <c r="D615" s="42">
        <v>809367</v>
      </c>
      <c r="E615" s="42" t="s">
        <v>836</v>
      </c>
      <c r="F615" s="42" t="s">
        <v>149</v>
      </c>
      <c r="G615" s="42" t="s">
        <v>150</v>
      </c>
      <c r="H615" s="43" t="s">
        <v>150</v>
      </c>
      <c r="I615" s="44">
        <v>70</v>
      </c>
      <c r="J615" s="45">
        <v>197296.66880000001</v>
      </c>
      <c r="K615" s="46">
        <v>5576.0322539999997</v>
      </c>
      <c r="L615" s="47">
        <v>202872.701054</v>
      </c>
      <c r="M615" s="48">
        <v>3594625</v>
      </c>
      <c r="N615" s="49">
        <v>2836663</v>
      </c>
      <c r="O615" s="49">
        <v>756335</v>
      </c>
      <c r="P615" s="49">
        <v>1627</v>
      </c>
      <c r="Q615" s="50">
        <v>8328.2427842227407</v>
      </c>
      <c r="R615" s="51">
        <v>32519.5730044015</v>
      </c>
      <c r="S615" s="49">
        <v>53553.069594271597</v>
      </c>
      <c r="T615" s="49">
        <v>8356.5552035805795</v>
      </c>
      <c r="U615" s="49">
        <f>IFERROR(INDEX('Rentabilidad datos'!$N$2:$N$61,MATCH($C615,'Rentabilidad datos'!$C$2:$C$61,0)),"")</f>
        <v>94429.197802253679</v>
      </c>
      <c r="V615" s="50">
        <f>IFERROR(INDEX('Rentabilidad datos'!$O$2:$O$61,MATCH($C615,'Rentabilidad datos'!$C$2:$C$61,0)),"")</f>
        <v>1573.8199633708946</v>
      </c>
      <c r="W615" s="51">
        <f>IFERROR(INDEX('Rentabilidad datos'!$M$2:$M$61,MATCH($C615,'Rentabilidad datos'!$C$2:$C$61,0)),"")</f>
        <v>3293.1144020900269</v>
      </c>
      <c r="X615" s="52">
        <f>IFERROR(INDEX('Rentabilidad datos'!$P$2:$P$61,MATCH($C615,'Rentabilidad datos'!$C$2:$C$61,0)),"")</f>
        <v>0.47791232590402716</v>
      </c>
      <c r="Y615" s="43" t="s">
        <v>171</v>
      </c>
      <c r="Z615" s="53">
        <v>62.1856148491879</v>
      </c>
      <c r="AA615" s="43">
        <v>1</v>
      </c>
      <c r="AB615" s="54">
        <v>0.92365963069861257</v>
      </c>
      <c r="AC615" s="55">
        <v>7.634036930138749E-2</v>
      </c>
      <c r="AD615" s="752" t="e">
        <f>_xlfn.XLOOKUP(Table1[[#This Row],[Ruta]],#REF!,#REF!)</f>
        <v>#REF!</v>
      </c>
      <c r="AE615" s="752" t="e">
        <f>_xlfn.XLOOKUP(Table1[[#This Row],[Ruta]],#REF!,#REF!)</f>
        <v>#REF!</v>
      </c>
      <c r="AF615" s="752" t="e">
        <f>_xlfn.XLOOKUP(Table1[[#This Row],[Ruta]],#REF!,#REF!)</f>
        <v>#REF!</v>
      </c>
      <c r="AG615" s="752" t="e">
        <f>_xlfn.XLOOKUP(Table1[[#This Row],[Ruta]],#REF!,#REF!)</f>
        <v>#REF!</v>
      </c>
      <c r="AH615" s="52">
        <v>0.78914017456619256</v>
      </c>
      <c r="AI615" s="52">
        <v>0.21040720520221162</v>
      </c>
      <c r="AJ615" s="55">
        <v>4.526202315957854E-4</v>
      </c>
      <c r="AK615" s="56">
        <v>26802</v>
      </c>
      <c r="AL615" s="44">
        <v>7781</v>
      </c>
      <c r="AM615" s="54">
        <v>0.290314155660025</v>
      </c>
      <c r="AN615" s="55">
        <v>0.50474202392821499</v>
      </c>
      <c r="AO615" s="56">
        <v>5747.0957253240304</v>
      </c>
      <c r="AP615" s="48">
        <v>2873.5478626620152</v>
      </c>
      <c r="AQ615" s="55">
        <v>0.39752808979412041</v>
      </c>
      <c r="AR615" s="51">
        <v>3589472.64</v>
      </c>
      <c r="AS615" s="49">
        <v>1325603.5770152649</v>
      </c>
      <c r="AT615" s="55">
        <v>0.3693031567487487</v>
      </c>
      <c r="AU615" s="51">
        <v>931505.21628099727</v>
      </c>
      <c r="AV615" s="52">
        <v>4.2375053796391013E-3</v>
      </c>
      <c r="AW615" s="44">
        <v>54</v>
      </c>
      <c r="AX615" s="51">
        <v>461.31250996015899</v>
      </c>
      <c r="AY615" s="49">
        <v>443.48077645239698</v>
      </c>
      <c r="AZ615" s="49">
        <v>0</v>
      </c>
      <c r="BA615" s="42" t="s">
        <v>152</v>
      </c>
      <c r="BB615" s="50">
        <v>0</v>
      </c>
      <c r="BC615" s="57">
        <v>931505.21628099727</v>
      </c>
      <c r="BD615" s="42" t="s">
        <v>150</v>
      </c>
      <c r="BE615" s="46">
        <v>62.1856148491879</v>
      </c>
      <c r="BF615" s="46">
        <v>72.425990467051307</v>
      </c>
      <c r="BG615" s="42" t="s">
        <v>152</v>
      </c>
      <c r="BH615" s="52">
        <v>0.290314155660025</v>
      </c>
      <c r="BI615" s="52">
        <v>0.49337264070319697</v>
      </c>
      <c r="BJ615" s="42" t="s">
        <v>152</v>
      </c>
      <c r="BK615" s="46">
        <v>470.70232263109</v>
      </c>
      <c r="BL615" s="46">
        <v>605.59017138979505</v>
      </c>
      <c r="BM615" s="42" t="s">
        <v>152</v>
      </c>
      <c r="BN615" s="48">
        <v>0</v>
      </c>
      <c r="BO615" s="42" t="s">
        <v>155</v>
      </c>
      <c r="BP615" s="42" t="s">
        <v>152</v>
      </c>
      <c r="BQ615" s="46">
        <v>6471.4457903499697</v>
      </c>
      <c r="BR615" s="46">
        <v>488</v>
      </c>
      <c r="BS615" s="46">
        <v>42855</v>
      </c>
      <c r="BT615" s="46">
        <v>10929</v>
      </c>
      <c r="BU615" s="46">
        <v>3.9212187757342849</v>
      </c>
      <c r="BV615" s="46">
        <v>22.395491803278688</v>
      </c>
      <c r="BW615" s="46">
        <v>658</v>
      </c>
      <c r="BX615" s="46">
        <v>1284</v>
      </c>
      <c r="BY615" s="46">
        <v>1942</v>
      </c>
      <c r="BZ615" s="46">
        <v>0.17769237807667673</v>
      </c>
      <c r="CA615" s="46">
        <v>6.0206789276237543E-2</v>
      </c>
      <c r="CB615" s="46">
        <v>0.1174855888004392</v>
      </c>
      <c r="CC615" s="46">
        <v>0.23240918656784701</v>
      </c>
      <c r="CD615" s="46">
        <v>5.3435812974654585E-2</v>
      </c>
      <c r="CE615" s="46">
        <v>0</v>
      </c>
      <c r="CF615" s="46">
        <v>0.53646262238082165</v>
      </c>
      <c r="CG615" s="46">
        <v>0</v>
      </c>
      <c r="CH615" s="46">
        <v>0</v>
      </c>
      <c r="CI615" s="46">
        <v>5.6936180142340449</v>
      </c>
      <c r="CJ615" s="46">
        <v>0.30334850075837122</v>
      </c>
      <c r="CK615">
        <v>374</v>
      </c>
      <c r="CL615">
        <v>422.51</v>
      </c>
      <c r="CM615">
        <f t="shared" si="70"/>
        <v>48.509999999999991</v>
      </c>
      <c r="CN615">
        <v>9.82</v>
      </c>
      <c r="CO615">
        <v>9.4499999999999993</v>
      </c>
      <c r="CP615">
        <f t="shared" si="71"/>
        <v>-0.37000000000000099</v>
      </c>
      <c r="CQ615">
        <v>846.56</v>
      </c>
      <c r="CR615">
        <v>470.7</v>
      </c>
      <c r="CS615">
        <f t="shared" si="72"/>
        <v>375.85999999999996</v>
      </c>
      <c r="CT615" t="s">
        <v>150</v>
      </c>
      <c r="CU615">
        <v>106.03</v>
      </c>
      <c r="CV615">
        <v>207</v>
      </c>
      <c r="CW615" s="46">
        <v>1942</v>
      </c>
      <c r="CX615" s="46">
        <f t="shared" si="66"/>
        <v>17.325372861194985</v>
      </c>
      <c r="CY615" s="46">
        <v>48.51</v>
      </c>
      <c r="CZ615" s="46">
        <f t="shared" si="67"/>
        <v>17.769237807667672</v>
      </c>
      <c r="DA615" s="46">
        <f t="shared" si="68"/>
        <v>186.10183639094839</v>
      </c>
      <c r="DB615" s="46">
        <v>2042934.77</v>
      </c>
      <c r="DC615" s="46">
        <f t="shared" si="69"/>
        <v>10.196028971961764</v>
      </c>
      <c r="DD615" s="46">
        <v>111927.01</v>
      </c>
      <c r="DE615" s="995">
        <v>1942</v>
      </c>
      <c r="DF615" s="995">
        <v>17.279</v>
      </c>
      <c r="DG615" s="995">
        <v>53.6</v>
      </c>
      <c r="DH615" s="995">
        <v>17.768999999999998</v>
      </c>
      <c r="DI615" s="995">
        <v>459.887</v>
      </c>
      <c r="DJ615" s="995">
        <v>5050741</v>
      </c>
      <c r="DK615" s="995">
        <v>25.053000000000001</v>
      </c>
      <c r="DL615" s="995">
        <v>275146.8</v>
      </c>
      <c r="DM615" s="995">
        <v>1942</v>
      </c>
      <c r="DN615" s="995">
        <v>17.332999999999998</v>
      </c>
      <c r="DO615" s="995">
        <v>47.7</v>
      </c>
      <c r="DP615" s="995">
        <v>17.768999999999998</v>
      </c>
      <c r="DQ615" s="995">
        <v>455.39600000000002</v>
      </c>
      <c r="DR615" s="995">
        <v>4998751</v>
      </c>
      <c r="DS615" s="995">
        <v>24.81</v>
      </c>
      <c r="DT615" s="995">
        <v>272331</v>
      </c>
    </row>
    <row r="616" spans="1:124">
      <c r="A616" s="42" t="s">
        <v>94</v>
      </c>
      <c r="B616" s="42" t="s">
        <v>510</v>
      </c>
      <c r="C616" s="42" t="s">
        <v>788</v>
      </c>
      <c r="D616" s="42">
        <v>809368</v>
      </c>
      <c r="E616" s="42" t="s">
        <v>837</v>
      </c>
      <c r="F616" s="42" t="s">
        <v>149</v>
      </c>
      <c r="G616" s="42" t="s">
        <v>150</v>
      </c>
      <c r="H616" s="43" t="s">
        <v>150</v>
      </c>
      <c r="I616" s="44">
        <v>70</v>
      </c>
      <c r="J616" s="45">
        <v>211530.68719999999</v>
      </c>
      <c r="K616" s="46">
        <v>14029.998383</v>
      </c>
      <c r="L616" s="47">
        <v>225560.68558300001</v>
      </c>
      <c r="M616" s="48">
        <v>4948283</v>
      </c>
      <c r="N616" s="49">
        <v>3074088</v>
      </c>
      <c r="O616" s="49">
        <v>1864807</v>
      </c>
      <c r="P616" s="49">
        <v>9388</v>
      </c>
      <c r="Q616" s="50">
        <v>11399.2408083141</v>
      </c>
      <c r="R616" s="51">
        <v>32519.5730044015</v>
      </c>
      <c r="S616" s="49">
        <v>53553.069594271597</v>
      </c>
      <c r="T616" s="49">
        <v>8356.5552035805795</v>
      </c>
      <c r="U616" s="49">
        <f>IFERROR(INDEX('Rentabilidad datos'!$N$2:$N$61,MATCH($C616,'Rentabilidad datos'!$C$2:$C$61,0)),"")</f>
        <v>94429.197802253679</v>
      </c>
      <c r="V616" s="50">
        <f>IFERROR(INDEX('Rentabilidad datos'!$O$2:$O$61,MATCH($C616,'Rentabilidad datos'!$C$2:$C$61,0)),"")</f>
        <v>1573.8199633708946</v>
      </c>
      <c r="W616" s="51">
        <f>IFERROR(INDEX('Rentabilidad datos'!$M$2:$M$61,MATCH($C616,'Rentabilidad datos'!$C$2:$C$61,0)),"")</f>
        <v>3293.1144020900269</v>
      </c>
      <c r="X616" s="52">
        <f>IFERROR(INDEX('Rentabilidad datos'!$P$2:$P$61,MATCH($C616,'Rentabilidad datos'!$C$2:$C$61,0)),"")</f>
        <v>0.47791232590402716</v>
      </c>
      <c r="Y616" s="43" t="s">
        <v>171</v>
      </c>
      <c r="Z616" s="53">
        <v>39.397228637413399</v>
      </c>
      <c r="AA616" s="43">
        <v>1</v>
      </c>
      <c r="AB616" s="54">
        <v>0.96632124718816603</v>
      </c>
      <c r="AC616" s="55">
        <v>3.3678752811833926E-2</v>
      </c>
      <c r="AD616" s="752" t="e">
        <f>_xlfn.XLOOKUP(Table1[[#This Row],[Ruta]],#REF!,#REF!)</f>
        <v>#REF!</v>
      </c>
      <c r="AE616" s="752" t="e">
        <f>_xlfn.XLOOKUP(Table1[[#This Row],[Ruta]],#REF!,#REF!)</f>
        <v>#REF!</v>
      </c>
      <c r="AF616" s="752" t="e">
        <f>_xlfn.XLOOKUP(Table1[[#This Row],[Ruta]],#REF!,#REF!)</f>
        <v>#REF!</v>
      </c>
      <c r="AG616" s="752" t="e">
        <f>_xlfn.XLOOKUP(Table1[[#This Row],[Ruta]],#REF!,#REF!)</f>
        <v>#REF!</v>
      </c>
      <c r="AH616" s="52">
        <v>0.62124336865939156</v>
      </c>
      <c r="AI616" s="52">
        <v>0.37685940759653397</v>
      </c>
      <c r="AJ616" s="55">
        <v>1.8972237440744598E-3</v>
      </c>
      <c r="AK616" s="56">
        <v>17059</v>
      </c>
      <c r="AL616" s="44">
        <v>5488</v>
      </c>
      <c r="AM616" s="54">
        <v>0.32170701682396402</v>
      </c>
      <c r="AN616" s="55">
        <v>0.50474202392821499</v>
      </c>
      <c r="AO616" s="56">
        <v>3122.39418619143</v>
      </c>
      <c r="AP616" s="48">
        <v>1561.197093095715</v>
      </c>
      <c r="AQ616" s="55">
        <v>0.41322452037608975</v>
      </c>
      <c r="AR616" s="51">
        <v>4935871.2699999996</v>
      </c>
      <c r="AS616" s="49">
        <v>1404130.4443547099</v>
      </c>
      <c r="AT616" s="55">
        <v>0.28447468897516648</v>
      </c>
      <c r="AU616" s="51">
        <v>986686.25819520198</v>
      </c>
      <c r="AV616" s="52">
        <v>4.4885291612332514E-3</v>
      </c>
      <c r="AW616" s="44">
        <v>47</v>
      </c>
      <c r="AX616" s="51">
        <v>899.39345298833803</v>
      </c>
      <c r="AY616" s="49">
        <v>443.48077645239698</v>
      </c>
      <c r="AZ616" s="49">
        <v>0</v>
      </c>
      <c r="BA616" s="42" t="s">
        <v>152</v>
      </c>
      <c r="BB616" s="50">
        <v>0</v>
      </c>
      <c r="BC616" s="57">
        <v>986686.25819520198</v>
      </c>
      <c r="BD616" s="42" t="s">
        <v>150</v>
      </c>
      <c r="BE616" s="46">
        <v>39.397228637413399</v>
      </c>
      <c r="BF616" s="46">
        <v>72.425990467051307</v>
      </c>
      <c r="BG616" s="42" t="s">
        <v>152</v>
      </c>
      <c r="BH616" s="52">
        <v>0.32170701682396402</v>
      </c>
      <c r="BI616" s="52">
        <v>0.49337264070319697</v>
      </c>
      <c r="BJ616" s="42" t="s">
        <v>152</v>
      </c>
      <c r="BK616" s="46">
        <v>520.92537086143204</v>
      </c>
      <c r="BL616" s="46">
        <v>605.59017138979505</v>
      </c>
      <c r="BM616" s="42" t="s">
        <v>152</v>
      </c>
      <c r="BN616" s="48">
        <v>0</v>
      </c>
      <c r="BO616" s="42" t="s">
        <v>155</v>
      </c>
      <c r="BP616" s="42" t="s">
        <v>152</v>
      </c>
      <c r="BQ616" s="46">
        <v>12179.499557491399</v>
      </c>
      <c r="BR616" s="46">
        <v>630</v>
      </c>
      <c r="BS616" s="46">
        <v>44232</v>
      </c>
      <c r="BT616" s="46">
        <v>12894</v>
      </c>
      <c r="BU616" s="46">
        <v>3.4304327594229873</v>
      </c>
      <c r="BV616" s="46">
        <v>20.466666666666665</v>
      </c>
      <c r="BW616" s="46">
        <v>0</v>
      </c>
      <c r="BX616" s="46">
        <v>2361</v>
      </c>
      <c r="BY616" s="46">
        <v>2361</v>
      </c>
      <c r="BZ616" s="46">
        <v>0.1831084225221033</v>
      </c>
      <c r="CA616" s="46">
        <v>0</v>
      </c>
      <c r="CB616" s="46">
        <v>0.1831084225221033</v>
      </c>
      <c r="CC616" s="46">
        <v>0</v>
      </c>
      <c r="CD616" s="46">
        <v>0.34659531565069018</v>
      </c>
      <c r="CE616" s="46">
        <v>5.428881650380022E-4</v>
      </c>
      <c r="CF616" s="46">
        <v>0.46897781914068559</v>
      </c>
      <c r="CG616" s="46">
        <v>6.9799906933457425E-4</v>
      </c>
      <c r="CH616" s="46">
        <v>7.7555452148286028E-5</v>
      </c>
      <c r="CI616" s="46">
        <v>3.8433713148851512</v>
      </c>
      <c r="CJ616" s="46">
        <v>0.31651293181407131</v>
      </c>
      <c r="CK616">
        <v>237</v>
      </c>
      <c r="CL616">
        <v>420.15</v>
      </c>
      <c r="CM616">
        <f t="shared" si="70"/>
        <v>183.14999999999998</v>
      </c>
      <c r="CN616">
        <v>4.75</v>
      </c>
      <c r="CO616">
        <v>9.4499999999999993</v>
      </c>
      <c r="CP616">
        <f t="shared" si="71"/>
        <v>4.6999999999999993</v>
      </c>
      <c r="CQ616">
        <v>846.56</v>
      </c>
      <c r="CR616">
        <v>520.92999999999995</v>
      </c>
      <c r="CS616">
        <f t="shared" si="72"/>
        <v>325.63</v>
      </c>
      <c r="CT616" t="s">
        <v>152</v>
      </c>
      <c r="CU616">
        <v>61.53</v>
      </c>
      <c r="CV616">
        <v>79</v>
      </c>
      <c r="CW616" s="46">
        <v>2361</v>
      </c>
      <c r="CX616" s="46">
        <f t="shared" si="66"/>
        <v>16.89041414611447</v>
      </c>
      <c r="CY616" s="46">
        <v>183.15</v>
      </c>
      <c r="CZ616" s="46">
        <f t="shared" si="67"/>
        <v>18.310842252210328</v>
      </c>
      <c r="DA616" s="46">
        <f t="shared" si="68"/>
        <v>203.51676473849423</v>
      </c>
      <c r="DB616" s="46">
        <v>2661419.2599999998</v>
      </c>
      <c r="DC616" s="46">
        <f t="shared" si="69"/>
        <v>8.9874307475252628</v>
      </c>
      <c r="DD616" s="46">
        <v>117529.98</v>
      </c>
      <c r="DE616" s="995">
        <v>2361</v>
      </c>
      <c r="DF616" s="995">
        <v>16.896000000000001</v>
      </c>
      <c r="DG616" s="995">
        <v>182.4</v>
      </c>
      <c r="DH616" s="995">
        <v>18.311</v>
      </c>
      <c r="DI616" s="995">
        <v>461.17700000000002</v>
      </c>
      <c r="DJ616" s="995">
        <v>6030524</v>
      </c>
      <c r="DK616" s="995">
        <v>20.882000000000001</v>
      </c>
      <c r="DL616" s="995">
        <v>273055</v>
      </c>
      <c r="DM616" s="995">
        <v>2361</v>
      </c>
      <c r="DN616" s="995">
        <v>16.914000000000001</v>
      </c>
      <c r="DO616" s="995">
        <v>180.1</v>
      </c>
      <c r="DP616" s="995">
        <v>18.311</v>
      </c>
      <c r="DQ616" s="995">
        <v>459.31299999999999</v>
      </c>
      <c r="DR616" s="995">
        <v>6005086</v>
      </c>
      <c r="DS616" s="995">
        <v>20.8</v>
      </c>
      <c r="DT616" s="995">
        <v>271940.09999999998</v>
      </c>
    </row>
    <row r="617" spans="1:124">
      <c r="A617" s="42" t="s">
        <v>94</v>
      </c>
      <c r="B617" s="42" t="s">
        <v>510</v>
      </c>
      <c r="C617" s="42" t="s">
        <v>788</v>
      </c>
      <c r="D617" s="42">
        <v>809369</v>
      </c>
      <c r="E617" s="42" t="s">
        <v>838</v>
      </c>
      <c r="F617" s="42" t="s">
        <v>149</v>
      </c>
      <c r="G617" s="42" t="s">
        <v>150</v>
      </c>
      <c r="H617" s="43" t="s">
        <v>150</v>
      </c>
      <c r="I617" s="44">
        <v>70</v>
      </c>
      <c r="J617" s="45">
        <v>175049.19039999999</v>
      </c>
      <c r="K617" s="46">
        <v>7246.7638919999999</v>
      </c>
      <c r="L617" s="47">
        <v>182295.95429200001</v>
      </c>
      <c r="M617" s="48">
        <v>3392773</v>
      </c>
      <c r="N617" s="49">
        <v>2550457</v>
      </c>
      <c r="O617" s="49">
        <v>840064</v>
      </c>
      <c r="P617" s="49">
        <v>2252</v>
      </c>
      <c r="Q617" s="50">
        <v>7740.92084474886</v>
      </c>
      <c r="R617" s="51">
        <v>32519.5730044015</v>
      </c>
      <c r="S617" s="49">
        <v>53553.069594271597</v>
      </c>
      <c r="T617" s="49">
        <v>8356.5552035805795</v>
      </c>
      <c r="U617" s="49">
        <f>IFERROR(INDEX('Rentabilidad datos'!$N$2:$N$61,MATCH($C617,'Rentabilidad datos'!$C$2:$C$61,0)),"")</f>
        <v>94429.197802253679</v>
      </c>
      <c r="V617" s="50">
        <f>IFERROR(INDEX('Rentabilidad datos'!$O$2:$O$61,MATCH($C617,'Rentabilidad datos'!$C$2:$C$61,0)),"")</f>
        <v>1573.8199633708946</v>
      </c>
      <c r="W617" s="51">
        <f>IFERROR(INDEX('Rentabilidad datos'!$M$2:$M$61,MATCH($C617,'Rentabilidad datos'!$C$2:$C$61,0)),"")</f>
        <v>3293.1144020900269</v>
      </c>
      <c r="X617" s="52">
        <f>IFERROR(INDEX('Rentabilidad datos'!$P$2:$P$61,MATCH($C617,'Rentabilidad datos'!$C$2:$C$61,0)),"")</f>
        <v>0.47791232590402716</v>
      </c>
      <c r="Y617" s="43" t="s">
        <v>171</v>
      </c>
      <c r="Z617" s="53">
        <v>45.426940639269397</v>
      </c>
      <c r="AA617" s="43">
        <v>1</v>
      </c>
      <c r="AB617" s="54">
        <v>0.91363023697724544</v>
      </c>
      <c r="AC617" s="55">
        <v>8.6369763022754537E-2</v>
      </c>
      <c r="AD617" s="752" t="e">
        <f>_xlfn.XLOOKUP(Table1[[#This Row],[Ruta]],#REF!,#REF!)</f>
        <v>#REF!</v>
      </c>
      <c r="AE617" s="752" t="e">
        <f>_xlfn.XLOOKUP(Table1[[#This Row],[Ruta]],#REF!,#REF!)</f>
        <v>#REF!</v>
      </c>
      <c r="AF617" s="752" t="e">
        <f>_xlfn.XLOOKUP(Table1[[#This Row],[Ruta]],#REF!,#REF!)</f>
        <v>#REF!</v>
      </c>
      <c r="AG617" s="752" t="e">
        <f>_xlfn.XLOOKUP(Table1[[#This Row],[Ruta]],#REF!,#REF!)</f>
        <v>#REF!</v>
      </c>
      <c r="AH617" s="52">
        <v>0.75173228506593281</v>
      </c>
      <c r="AI617" s="52">
        <v>0.24760395110430317</v>
      </c>
      <c r="AJ617" s="55">
        <v>6.6376382976403075E-4</v>
      </c>
      <c r="AK617" s="56">
        <v>19897</v>
      </c>
      <c r="AL617" s="44">
        <v>10626</v>
      </c>
      <c r="AM617" s="54">
        <v>0.53405035935065603</v>
      </c>
      <c r="AN617" s="55">
        <v>0.50474202392821499</v>
      </c>
      <c r="AO617" s="56">
        <v>0</v>
      </c>
      <c r="AP617" s="48">
        <v>0</v>
      </c>
      <c r="AQ617" s="55">
        <v>0.53405035935065592</v>
      </c>
      <c r="AR617" s="51">
        <v>3390523.33</v>
      </c>
      <c r="AS617" s="49">
        <v>0</v>
      </c>
      <c r="AT617" s="55">
        <v>0</v>
      </c>
      <c r="AU617" s="51">
        <v>0</v>
      </c>
      <c r="AV617" s="52">
        <v>0</v>
      </c>
      <c r="AW617" s="44">
        <v>490</v>
      </c>
      <c r="AX617" s="51">
        <v>319.07804724261302</v>
      </c>
      <c r="AY617" s="49">
        <v>443.48077645239698</v>
      </c>
      <c r="AZ617" s="49">
        <v>124.40272920978396</v>
      </c>
      <c r="BA617" s="42" t="s">
        <v>150</v>
      </c>
      <c r="BB617" s="50">
        <v>464452.54615084169</v>
      </c>
      <c r="BC617" s="57">
        <v>464452.54615084169</v>
      </c>
      <c r="BD617" s="42" t="s">
        <v>150</v>
      </c>
      <c r="BE617" s="46">
        <v>45.426940639269397</v>
      </c>
      <c r="BF617" s="46">
        <v>72.425990467051307</v>
      </c>
      <c r="BG617" s="42" t="s">
        <v>152</v>
      </c>
      <c r="BH617" s="52">
        <v>0.53405035935065603</v>
      </c>
      <c r="BI617" s="52">
        <v>0.49337264070319697</v>
      </c>
      <c r="BJ617" s="42" t="s">
        <v>150</v>
      </c>
      <c r="BK617" s="46">
        <v>416.20080888584403</v>
      </c>
      <c r="BL617" s="46">
        <v>605.59017138979505</v>
      </c>
      <c r="BM617" s="42" t="s">
        <v>152</v>
      </c>
      <c r="BN617" s="48">
        <v>1</v>
      </c>
      <c r="BO617" s="42" t="s">
        <v>155</v>
      </c>
      <c r="BP617" s="42" t="s">
        <v>152</v>
      </c>
      <c r="BQ617" s="46">
        <v>4448.2274070738704</v>
      </c>
      <c r="BR617" s="46">
        <v>670</v>
      </c>
      <c r="BS617" s="46">
        <v>58139</v>
      </c>
      <c r="BT617" s="46">
        <v>17123</v>
      </c>
      <c r="BU617" s="46">
        <v>3.3953746422939903</v>
      </c>
      <c r="BV617" s="46">
        <v>25.556716417910447</v>
      </c>
      <c r="BW617" s="46">
        <v>0</v>
      </c>
      <c r="BX617" s="46">
        <v>1283</v>
      </c>
      <c r="BY617" s="46">
        <v>1283</v>
      </c>
      <c r="BZ617" s="46">
        <v>7.4928458798107805E-2</v>
      </c>
      <c r="CA617" s="46">
        <v>0</v>
      </c>
      <c r="CB617" s="46">
        <v>7.4928458798107805E-2</v>
      </c>
      <c r="CC617" s="46">
        <v>2.5170822869824212E-2</v>
      </c>
      <c r="CD617" s="46">
        <v>0.27173976522805582</v>
      </c>
      <c r="CE617" s="46">
        <v>0</v>
      </c>
      <c r="CF617" s="46">
        <v>0.6281609531040121</v>
      </c>
      <c r="CG617" s="46">
        <v>0</v>
      </c>
      <c r="CH617" s="46">
        <v>0</v>
      </c>
      <c r="CI617" s="46">
        <v>4.4204406680541464</v>
      </c>
      <c r="CJ617" s="46">
        <v>0.24080221538038149</v>
      </c>
      <c r="CK617">
        <v>370</v>
      </c>
      <c r="CL617">
        <v>437.85</v>
      </c>
      <c r="CM617">
        <f t="shared" si="70"/>
        <v>67.850000000000023</v>
      </c>
      <c r="CN617">
        <v>7.17</v>
      </c>
      <c r="CO617">
        <v>9.4499999999999993</v>
      </c>
      <c r="CP617">
        <f t="shared" si="71"/>
        <v>2.2799999999999994</v>
      </c>
      <c r="CQ617">
        <v>564.37</v>
      </c>
      <c r="CR617">
        <v>416.2</v>
      </c>
      <c r="CS617">
        <f t="shared" si="72"/>
        <v>148.17000000000002</v>
      </c>
      <c r="CT617" t="s">
        <v>152</v>
      </c>
      <c r="CU617">
        <v>75.86</v>
      </c>
      <c r="CV617">
        <v>88</v>
      </c>
      <c r="CW617" s="46">
        <v>1283</v>
      </c>
      <c r="CX617" s="46">
        <f t="shared" si="66"/>
        <v>7.0965952227997438</v>
      </c>
      <c r="CY617" s="46">
        <v>67.849999999999994</v>
      </c>
      <c r="CZ617" s="46">
        <f t="shared" si="67"/>
        <v>7.4928458798107807</v>
      </c>
      <c r="DA617" s="46">
        <f t="shared" si="68"/>
        <v>87.810233350881433</v>
      </c>
      <c r="DB617" s="46">
        <v>1509532.55</v>
      </c>
      <c r="DC617" s="46">
        <f t="shared" si="69"/>
        <v>4.7082709697309904</v>
      </c>
      <c r="DD617" s="46">
        <v>80939.179999999993</v>
      </c>
      <c r="DE617" s="995">
        <v>1283</v>
      </c>
      <c r="DF617" s="995">
        <v>7.0970000000000004</v>
      </c>
      <c r="DG617" s="995">
        <v>67.8</v>
      </c>
      <c r="DH617" s="995">
        <v>7.4930000000000003</v>
      </c>
      <c r="DI617" s="995">
        <v>244.178</v>
      </c>
      <c r="DJ617" s="995">
        <v>4197620</v>
      </c>
      <c r="DK617" s="995">
        <v>13.977</v>
      </c>
      <c r="DL617" s="995">
        <v>240282.7</v>
      </c>
      <c r="DM617" s="995">
        <v>1283</v>
      </c>
      <c r="DN617" s="995">
        <v>7.0970000000000004</v>
      </c>
      <c r="DO617" s="995">
        <v>67.8</v>
      </c>
      <c r="DP617" s="995">
        <v>7.4930000000000003</v>
      </c>
      <c r="DQ617" s="995">
        <v>244.178</v>
      </c>
      <c r="DR617" s="995">
        <v>4197620</v>
      </c>
      <c r="DS617" s="995">
        <v>13.977</v>
      </c>
      <c r="DT617" s="995">
        <v>240282.7</v>
      </c>
    </row>
    <row r="618" spans="1:124">
      <c r="A618" s="42" t="s">
        <v>94</v>
      </c>
      <c r="B618" s="42" t="s">
        <v>510</v>
      </c>
      <c r="C618" s="42" t="s">
        <v>788</v>
      </c>
      <c r="D618" s="42">
        <v>809370</v>
      </c>
      <c r="E618" s="42" t="s">
        <v>839</v>
      </c>
      <c r="F618" s="42" t="s">
        <v>149</v>
      </c>
      <c r="G618" s="42" t="s">
        <v>150</v>
      </c>
      <c r="H618" s="43" t="s">
        <v>150</v>
      </c>
      <c r="I618" s="44">
        <v>70</v>
      </c>
      <c r="J618" s="45">
        <v>205465.11439999999</v>
      </c>
      <c r="K618" s="46">
        <v>7093.0824499999999</v>
      </c>
      <c r="L618" s="47">
        <v>212558.19685000001</v>
      </c>
      <c r="M618" s="48">
        <v>3928558</v>
      </c>
      <c r="N618" s="49">
        <v>3002349</v>
      </c>
      <c r="O618" s="49">
        <v>923225</v>
      </c>
      <c r="P618" s="49">
        <v>2984</v>
      </c>
      <c r="Q618" s="50">
        <v>8881.3915610859694</v>
      </c>
      <c r="R618" s="51">
        <v>32519.5730044015</v>
      </c>
      <c r="S618" s="49">
        <v>53553.069594271597</v>
      </c>
      <c r="T618" s="49">
        <v>8356.5552035805795</v>
      </c>
      <c r="U618" s="49">
        <f>IFERROR(INDEX('Rentabilidad datos'!$N$2:$N$61,MATCH($C618,'Rentabilidad datos'!$C$2:$C$61,0)),"")</f>
        <v>94429.197802253679</v>
      </c>
      <c r="V618" s="50">
        <f>IFERROR(INDEX('Rentabilidad datos'!$O$2:$O$61,MATCH($C618,'Rentabilidad datos'!$C$2:$C$61,0)),"")</f>
        <v>1573.8199633708946</v>
      </c>
      <c r="W618" s="51">
        <f>IFERROR(INDEX('Rentabilidad datos'!$M$2:$M$61,MATCH($C618,'Rentabilidad datos'!$C$2:$C$61,0)),"")</f>
        <v>3293.1144020900269</v>
      </c>
      <c r="X618" s="52">
        <f>IFERROR(INDEX('Rentabilidad datos'!$P$2:$P$61,MATCH($C618,'Rentabilidad datos'!$C$2:$C$61,0)),"")</f>
        <v>0.47791232590402716</v>
      </c>
      <c r="Y618" s="43" t="s">
        <v>171</v>
      </c>
      <c r="Z618" s="53">
        <v>46.622171945701403</v>
      </c>
      <c r="AA618" s="43">
        <v>1</v>
      </c>
      <c r="AB618" s="54">
        <v>0.93860139012838806</v>
      </c>
      <c r="AC618" s="55">
        <v>6.1398609871611921E-2</v>
      </c>
      <c r="AD618" s="752" t="e">
        <f>_xlfn.XLOOKUP(Table1[[#This Row],[Ruta]],#REF!,#REF!)</f>
        <v>#REF!</v>
      </c>
      <c r="AE618" s="752" t="e">
        <f>_xlfn.XLOOKUP(Table1[[#This Row],[Ruta]],#REF!,#REF!)</f>
        <v>#REF!</v>
      </c>
      <c r="AF618" s="752" t="e">
        <f>_xlfn.XLOOKUP(Table1[[#This Row],[Ruta]],#REF!,#REF!)</f>
        <v>#REF!</v>
      </c>
      <c r="AG618" s="752" t="e">
        <f>_xlfn.XLOOKUP(Table1[[#This Row],[Ruta]],#REF!,#REF!)</f>
        <v>#REF!</v>
      </c>
      <c r="AH618" s="52">
        <v>0.76423690320977822</v>
      </c>
      <c r="AI618" s="52">
        <v>0.23500353055752263</v>
      </c>
      <c r="AJ618" s="55">
        <v>7.5956623269912271E-4</v>
      </c>
      <c r="AK618" s="56">
        <v>20607</v>
      </c>
      <c r="AL618" s="44">
        <v>11204</v>
      </c>
      <c r="AM618" s="54">
        <v>0.54369874314553301</v>
      </c>
      <c r="AN618" s="55">
        <v>0.50474202392821499</v>
      </c>
      <c r="AO618" s="56">
        <v>0</v>
      </c>
      <c r="AP618" s="48">
        <v>0</v>
      </c>
      <c r="AQ618" s="55">
        <v>0.54369874314553313</v>
      </c>
      <c r="AR618" s="51">
        <v>3925575.07</v>
      </c>
      <c r="AS618" s="49">
        <v>0</v>
      </c>
      <c r="AT618" s="55">
        <v>0</v>
      </c>
      <c r="AU618" s="51">
        <v>0</v>
      </c>
      <c r="AV618" s="52">
        <v>0</v>
      </c>
      <c r="AW618" s="44">
        <v>490</v>
      </c>
      <c r="AX618" s="51">
        <v>350.372641021064</v>
      </c>
      <c r="AY618" s="49">
        <v>443.48077645239698</v>
      </c>
      <c r="AZ618" s="49">
        <v>93.108135431332983</v>
      </c>
      <c r="BA618" s="42" t="s">
        <v>150</v>
      </c>
      <c r="BB618" s="50">
        <v>366523.94977958151</v>
      </c>
      <c r="BC618" s="57">
        <v>366523.94977958151</v>
      </c>
      <c r="BD618" s="42" t="s">
        <v>150</v>
      </c>
      <c r="BE618" s="46">
        <v>46.622171945701403</v>
      </c>
      <c r="BF618" s="46">
        <v>72.425990467051307</v>
      </c>
      <c r="BG618" s="42" t="s">
        <v>152</v>
      </c>
      <c r="BH618" s="52">
        <v>0.54369874314553301</v>
      </c>
      <c r="BI618" s="52">
        <v>0.49337264070319697</v>
      </c>
      <c r="BJ618" s="42" t="s">
        <v>150</v>
      </c>
      <c r="BK618" s="46">
        <v>480.90089785067897</v>
      </c>
      <c r="BL618" s="46">
        <v>605.59017138979505</v>
      </c>
      <c r="BM618" s="42" t="s">
        <v>152</v>
      </c>
      <c r="BN618" s="48">
        <v>1</v>
      </c>
      <c r="BO618" s="42" t="s">
        <v>155</v>
      </c>
      <c r="BP618" s="42" t="s">
        <v>152</v>
      </c>
      <c r="BQ618" s="46">
        <v>3717.5122303001099</v>
      </c>
      <c r="BR618" s="46">
        <v>344</v>
      </c>
      <c r="BS618" s="46">
        <v>34412</v>
      </c>
      <c r="BT618" s="46">
        <v>8695</v>
      </c>
      <c r="BU618" s="46">
        <v>3.9576768257619324</v>
      </c>
      <c r="BV618" s="46">
        <v>25.276162790697676</v>
      </c>
      <c r="BW618" s="46">
        <v>357</v>
      </c>
      <c r="BX618" s="46">
        <v>2930</v>
      </c>
      <c r="BY618" s="46">
        <v>3287</v>
      </c>
      <c r="BZ618" s="46">
        <v>0.3780333525014376</v>
      </c>
      <c r="CA618" s="46">
        <v>4.1058079355951703E-2</v>
      </c>
      <c r="CB618" s="46">
        <v>0.33697527314548592</v>
      </c>
      <c r="CC618" s="46">
        <v>0.25991949396204722</v>
      </c>
      <c r="CD618" s="46">
        <v>0</v>
      </c>
      <c r="CE618" s="46">
        <v>8.0621046578493394E-2</v>
      </c>
      <c r="CF618" s="46">
        <v>0.28142610695802178</v>
      </c>
      <c r="CG618" s="46">
        <v>0</v>
      </c>
      <c r="CH618" s="46">
        <v>0</v>
      </c>
      <c r="CI618" s="46">
        <v>5.1726142043473207</v>
      </c>
      <c r="CJ618" s="46">
        <v>0.2034174125305126</v>
      </c>
      <c r="CK618">
        <v>264</v>
      </c>
      <c r="CL618">
        <v>355.16</v>
      </c>
      <c r="CM618">
        <f t="shared" si="70"/>
        <v>91.160000000000025</v>
      </c>
      <c r="CN618">
        <v>6.51</v>
      </c>
      <c r="CO618">
        <v>9.4499999999999993</v>
      </c>
      <c r="CP618">
        <f t="shared" si="71"/>
        <v>2.9399999999999995</v>
      </c>
      <c r="CQ618">
        <v>846.56</v>
      </c>
      <c r="CR618">
        <v>480.9</v>
      </c>
      <c r="CS618">
        <f t="shared" si="72"/>
        <v>365.65999999999997</v>
      </c>
      <c r="CT618" t="s">
        <v>152</v>
      </c>
      <c r="CU618">
        <v>72.099999999999994</v>
      </c>
      <c r="CV618">
        <v>138</v>
      </c>
      <c r="CW618" s="46">
        <v>3287</v>
      </c>
      <c r="CX618" s="46">
        <f t="shared" si="66"/>
        <v>36.754916618746407</v>
      </c>
      <c r="CY618" s="46">
        <v>91.16</v>
      </c>
      <c r="CZ618" s="46">
        <f t="shared" si="67"/>
        <v>37.803335250143761</v>
      </c>
      <c r="DA618" s="46">
        <f t="shared" si="68"/>
        <v>137.28519626321395</v>
      </c>
      <c r="DB618" s="46">
        <v>1206209.7</v>
      </c>
      <c r="DC618" s="46">
        <f t="shared" si="69"/>
        <v>7.1813784406384586</v>
      </c>
      <c r="DD618" s="46">
        <v>63096.74</v>
      </c>
      <c r="DE618" s="995">
        <v>3287</v>
      </c>
      <c r="DF618" s="995">
        <v>36.838999999999999</v>
      </c>
      <c r="DG618" s="995">
        <v>83.9</v>
      </c>
      <c r="DH618" s="995">
        <v>37.802999999999997</v>
      </c>
      <c r="DI618" s="995">
        <v>495.56299999999999</v>
      </c>
      <c r="DJ618" s="995">
        <v>4350478</v>
      </c>
      <c r="DK618" s="995">
        <v>25.736999999999998</v>
      </c>
      <c r="DL618" s="995">
        <v>225943.8</v>
      </c>
      <c r="DM618" s="995">
        <v>3287</v>
      </c>
      <c r="DN618" s="995">
        <v>36.914999999999999</v>
      </c>
      <c r="DO618" s="995">
        <v>77.3</v>
      </c>
      <c r="DP618" s="995">
        <v>37.802999999999997</v>
      </c>
      <c r="DQ618" s="995">
        <v>488.959</v>
      </c>
      <c r="DR618" s="995">
        <v>4289288</v>
      </c>
      <c r="DS618" s="995">
        <v>25.396000000000001</v>
      </c>
      <c r="DT618" s="995">
        <v>222778.4</v>
      </c>
    </row>
    <row r="619" spans="1:124">
      <c r="A619" s="42" t="s">
        <v>94</v>
      </c>
      <c r="B619" s="42" t="s">
        <v>510</v>
      </c>
      <c r="C619" s="42" t="s">
        <v>788</v>
      </c>
      <c r="D619" s="42">
        <v>809371</v>
      </c>
      <c r="E619" s="42" t="s">
        <v>840</v>
      </c>
      <c r="F619" s="42" t="s">
        <v>149</v>
      </c>
      <c r="G619" s="42" t="s">
        <v>150</v>
      </c>
      <c r="H619" s="43" t="s">
        <v>150</v>
      </c>
      <c r="I619" s="44">
        <v>70</v>
      </c>
      <c r="J619" s="45">
        <v>300439.585599999</v>
      </c>
      <c r="K619" s="46">
        <v>8577.1856079999998</v>
      </c>
      <c r="L619" s="47">
        <v>309016.77120799897</v>
      </c>
      <c r="M619" s="48">
        <v>5578487</v>
      </c>
      <c r="N619" s="49">
        <v>4403902</v>
      </c>
      <c r="O619" s="49">
        <v>1168018</v>
      </c>
      <c r="P619" s="49">
        <v>6567</v>
      </c>
      <c r="Q619" s="50">
        <v>12776.233623853201</v>
      </c>
      <c r="R619" s="51">
        <v>32519.5730044015</v>
      </c>
      <c r="S619" s="49">
        <v>53553.069594271597</v>
      </c>
      <c r="T619" s="49">
        <v>8356.5552035805795</v>
      </c>
      <c r="U619" s="49">
        <f>IFERROR(INDEX('Rentabilidad datos'!$N$2:$N$61,MATCH($C619,'Rentabilidad datos'!$C$2:$C$61,0)),"")</f>
        <v>94429.197802253679</v>
      </c>
      <c r="V619" s="50">
        <f>IFERROR(INDEX('Rentabilidad datos'!$O$2:$O$61,MATCH($C619,'Rentabilidad datos'!$C$2:$C$61,0)),"")</f>
        <v>1573.8199633708946</v>
      </c>
      <c r="W619" s="51">
        <f>IFERROR(INDEX('Rentabilidad datos'!$M$2:$M$61,MATCH($C619,'Rentabilidad datos'!$C$2:$C$61,0)),"")</f>
        <v>3293.1144020900269</v>
      </c>
      <c r="X619" s="52">
        <f>IFERROR(INDEX('Rentabilidad datos'!$P$2:$P$61,MATCH($C619,'Rentabilidad datos'!$C$2:$C$61,0)),"")</f>
        <v>0.47791232590402716</v>
      </c>
      <c r="Y619" s="43" t="s">
        <v>171</v>
      </c>
      <c r="Z619" s="53">
        <v>70.493119266055103</v>
      </c>
      <c r="AA619" s="43">
        <v>1</v>
      </c>
      <c r="AB619" s="54">
        <v>0.98151344620862246</v>
      </c>
      <c r="AC619" s="55">
        <v>1.8486553791377484E-2</v>
      </c>
      <c r="AD619" s="752" t="e">
        <f>_xlfn.XLOOKUP(Table1[[#This Row],[Ruta]],#REF!,#REF!)</f>
        <v>#REF!</v>
      </c>
      <c r="AE619" s="752" t="e">
        <f>_xlfn.XLOOKUP(Table1[[#This Row],[Ruta]],#REF!,#REF!)</f>
        <v>#REF!</v>
      </c>
      <c r="AF619" s="752" t="e">
        <f>_xlfn.XLOOKUP(Table1[[#This Row],[Ruta]],#REF!,#REF!)</f>
        <v>#REF!</v>
      </c>
      <c r="AG619" s="752" t="e">
        <f>_xlfn.XLOOKUP(Table1[[#This Row],[Ruta]],#REF!,#REF!)</f>
        <v>#REF!</v>
      </c>
      <c r="AH619" s="52">
        <v>0.78944380438638651</v>
      </c>
      <c r="AI619" s="52">
        <v>0.2093789946987418</v>
      </c>
      <c r="AJ619" s="55">
        <v>1.1772009148717207E-3</v>
      </c>
      <c r="AK619" s="56">
        <v>30735</v>
      </c>
      <c r="AL619" s="44">
        <v>16830</v>
      </c>
      <c r="AM619" s="54">
        <v>0.54758418740849202</v>
      </c>
      <c r="AN619" s="55">
        <v>0.50474202392821499</v>
      </c>
      <c r="AO619" s="56">
        <v>0</v>
      </c>
      <c r="AP619" s="48">
        <v>0</v>
      </c>
      <c r="AQ619" s="55">
        <v>0.54758418740849191</v>
      </c>
      <c r="AR619" s="51">
        <v>5570437.8600000003</v>
      </c>
      <c r="AS619" s="49">
        <v>0</v>
      </c>
      <c r="AT619" s="55">
        <v>0</v>
      </c>
      <c r="AU619" s="51">
        <v>0</v>
      </c>
      <c r="AV619" s="52">
        <v>0</v>
      </c>
      <c r="AW619" s="44">
        <v>490</v>
      </c>
      <c r="AX619" s="51">
        <v>330.98264171122997</v>
      </c>
      <c r="AY619" s="49">
        <v>443.48077645239698</v>
      </c>
      <c r="AZ619" s="49">
        <v>112.49813474116701</v>
      </c>
      <c r="BA619" s="42" t="s">
        <v>150</v>
      </c>
      <c r="BB619" s="50">
        <v>665228.83513567399</v>
      </c>
      <c r="BC619" s="57">
        <v>665228.83513567399</v>
      </c>
      <c r="BD619" s="42" t="s">
        <v>150</v>
      </c>
      <c r="BE619" s="46">
        <v>70.493119266055103</v>
      </c>
      <c r="BF619" s="46">
        <v>72.425990467051307</v>
      </c>
      <c r="BG619" s="42" t="s">
        <v>152</v>
      </c>
      <c r="BH619" s="52">
        <v>0.54758418740849202</v>
      </c>
      <c r="BI619" s="52">
        <v>0.49337264070319697</v>
      </c>
      <c r="BJ619" s="42" t="s">
        <v>150</v>
      </c>
      <c r="BK619" s="46">
        <v>708.75406240366704</v>
      </c>
      <c r="BL619" s="46">
        <v>605.59017138979505</v>
      </c>
      <c r="BM619" s="42" t="s">
        <v>150</v>
      </c>
      <c r="BN619" s="48">
        <v>2</v>
      </c>
      <c r="BO619" s="42" t="s">
        <v>161</v>
      </c>
      <c r="BP619" s="42" t="s">
        <v>152</v>
      </c>
      <c r="BQ619" s="46">
        <v>34.454323089281402</v>
      </c>
      <c r="BR619" s="46">
        <v>237</v>
      </c>
      <c r="BS619" s="46">
        <v>34881</v>
      </c>
      <c r="BT619" s="46">
        <v>8875</v>
      </c>
      <c r="BU619" s="46">
        <v>3.9302535211267604</v>
      </c>
      <c r="BV619" s="46">
        <v>37.447257383966246</v>
      </c>
      <c r="BW619" s="46">
        <v>0</v>
      </c>
      <c r="BX619" s="46">
        <v>0</v>
      </c>
      <c r="BY619" s="46">
        <v>0</v>
      </c>
      <c r="BZ619" s="46">
        <v>0</v>
      </c>
      <c r="CA619" s="46">
        <v>0</v>
      </c>
      <c r="CB619" s="46">
        <v>0</v>
      </c>
      <c r="CC619" s="46">
        <v>0.35166197183098591</v>
      </c>
      <c r="CD619" s="46">
        <v>1.442253521126761E-2</v>
      </c>
      <c r="CE619" s="46">
        <v>0</v>
      </c>
      <c r="CF619" s="46">
        <v>0.63391549295774652</v>
      </c>
      <c r="CG619" s="46">
        <v>0</v>
      </c>
      <c r="CH619" s="46">
        <v>0</v>
      </c>
      <c r="CI619" s="46">
        <v>5.1030647057137122</v>
      </c>
      <c r="CJ619" s="46">
        <v>0.20068231988761789</v>
      </c>
      <c r="CK619">
        <v>317</v>
      </c>
      <c r="CL619">
        <v>317</v>
      </c>
      <c r="CM619">
        <f t="shared" si="70"/>
        <v>0</v>
      </c>
      <c r="CO619">
        <v>9.4499999999999993</v>
      </c>
      <c r="CP619">
        <f t="shared" si="71"/>
        <v>9.4499999999999993</v>
      </c>
      <c r="CS619">
        <f t="shared" si="72"/>
        <v>0</v>
      </c>
      <c r="CV619">
        <v>0</v>
      </c>
      <c r="CW619" s="46">
        <v>0</v>
      </c>
      <c r="CX619" s="46">
        <f t="shared" si="66"/>
        <v>0</v>
      </c>
      <c r="CY619" s="46">
        <v>0</v>
      </c>
      <c r="CZ619" s="46">
        <f t="shared" si="67"/>
        <v>0</v>
      </c>
      <c r="DA619" s="46">
        <f t="shared" si="68"/>
        <v>0</v>
      </c>
      <c r="DB619" s="46">
        <v>0</v>
      </c>
      <c r="DC619" s="46">
        <f t="shared" si="69"/>
        <v>0</v>
      </c>
      <c r="DD619" s="46">
        <v>0</v>
      </c>
      <c r="DE619" s="995">
        <v>0</v>
      </c>
      <c r="DF619" s="995">
        <v>0</v>
      </c>
      <c r="DG619" s="995">
        <v>0</v>
      </c>
      <c r="DH619" s="995">
        <v>0</v>
      </c>
      <c r="DI619" s="995">
        <v>449.86599999999999</v>
      </c>
      <c r="DJ619" s="995">
        <v>3992558</v>
      </c>
      <c r="DK619" s="995">
        <v>24.667999999999999</v>
      </c>
      <c r="DL619" s="995">
        <v>218929</v>
      </c>
      <c r="DM619" s="995">
        <v>0</v>
      </c>
      <c r="DN619" s="995">
        <v>0</v>
      </c>
      <c r="DO619" s="995">
        <v>0</v>
      </c>
      <c r="DP619" s="995">
        <v>0</v>
      </c>
      <c r="DQ619" s="995">
        <v>449.86599999999999</v>
      </c>
      <c r="DR619" s="995">
        <v>3992558</v>
      </c>
      <c r="DS619" s="995">
        <v>24.667999999999999</v>
      </c>
      <c r="DT619" s="995">
        <v>218929</v>
      </c>
    </row>
    <row r="620" spans="1:124">
      <c r="A620" s="42" t="s">
        <v>94</v>
      </c>
      <c r="B620" s="42" t="s">
        <v>510</v>
      </c>
      <c r="C620" s="42" t="s">
        <v>788</v>
      </c>
      <c r="D620" s="42">
        <v>809372</v>
      </c>
      <c r="E620" s="42" t="s">
        <v>841</v>
      </c>
      <c r="F620" s="42" t="s">
        <v>149</v>
      </c>
      <c r="G620" s="42" t="s">
        <v>150</v>
      </c>
      <c r="H620" s="43" t="s">
        <v>150</v>
      </c>
      <c r="I620" s="44">
        <v>70</v>
      </c>
      <c r="J620" s="45">
        <v>31.701599999999999</v>
      </c>
      <c r="K620" s="46">
        <v>0</v>
      </c>
      <c r="L620" s="47">
        <v>31.701599999999999</v>
      </c>
      <c r="M620" s="48">
        <v>472</v>
      </c>
      <c r="N620" s="49">
        <v>472</v>
      </c>
      <c r="O620" s="49">
        <v>0</v>
      </c>
      <c r="P620" s="49">
        <v>0</v>
      </c>
      <c r="Q620" s="50">
        <v>67.428571428571402</v>
      </c>
      <c r="R620" s="51">
        <v>32519.5730044015</v>
      </c>
      <c r="S620" s="49">
        <v>53553.069594271597</v>
      </c>
      <c r="T620" s="49">
        <v>8356.5552035805795</v>
      </c>
      <c r="U620" s="49">
        <f>IFERROR(INDEX('Rentabilidad datos'!$N$2:$N$61,MATCH($C620,'Rentabilidad datos'!$C$2:$C$61,0)),"")</f>
        <v>94429.197802253679</v>
      </c>
      <c r="V620" s="50">
        <f>IFERROR(INDEX('Rentabilidad datos'!$O$2:$O$61,MATCH($C620,'Rentabilidad datos'!$C$2:$C$61,0)),"")</f>
        <v>1573.8199633708946</v>
      </c>
      <c r="W620" s="51">
        <f>IFERROR(INDEX('Rentabilidad datos'!$M$2:$M$61,MATCH($C620,'Rentabilidad datos'!$C$2:$C$61,0)),"")</f>
        <v>3293.1144020900269</v>
      </c>
      <c r="X620" s="52">
        <f>IFERROR(INDEX('Rentabilidad datos'!$P$2:$P$61,MATCH($C620,'Rentabilidad datos'!$C$2:$C$61,0)),"")</f>
        <v>0.47791232590402716</v>
      </c>
      <c r="Y620" s="43" t="s">
        <v>171</v>
      </c>
      <c r="Z620" s="53">
        <v>44.6666666666667</v>
      </c>
      <c r="AA620" s="43">
        <v>1</v>
      </c>
      <c r="AB620" s="54">
        <v>0.1059322033898305</v>
      </c>
      <c r="AC620" s="55">
        <v>0.89406779661016944</v>
      </c>
      <c r="AD620" s="752" t="e">
        <f>_xlfn.XLOOKUP(Table1[[#This Row],[Ruta]],#REF!,#REF!)</f>
        <v>#REF!</v>
      </c>
      <c r="AE620" s="752" t="e">
        <f>_xlfn.XLOOKUP(Table1[[#This Row],[Ruta]],#REF!,#REF!)</f>
        <v>#REF!</v>
      </c>
      <c r="AF620" s="752" t="e">
        <f>_xlfn.XLOOKUP(Table1[[#This Row],[Ruta]],#REF!,#REF!)</f>
        <v>#REF!</v>
      </c>
      <c r="AG620" s="752" t="e">
        <f>_xlfn.XLOOKUP(Table1[[#This Row],[Ruta]],#REF!,#REF!)</f>
        <v>#REF!</v>
      </c>
      <c r="AH620" s="52">
        <v>1</v>
      </c>
      <c r="AI620" s="52">
        <v>0</v>
      </c>
      <c r="AJ620" s="55">
        <v>0</v>
      </c>
      <c r="AK620" s="56">
        <v>134</v>
      </c>
      <c r="AL620" s="44">
        <v>5</v>
      </c>
      <c r="AM620" s="54">
        <v>7.4626865671641E-3</v>
      </c>
      <c r="AN620" s="55">
        <v>0.50474202392821499</v>
      </c>
      <c r="AO620" s="56">
        <v>66.6354312063809</v>
      </c>
      <c r="AP620" s="48">
        <v>33.31771560319045</v>
      </c>
      <c r="AQ620" s="55">
        <v>0.28595310151634662</v>
      </c>
      <c r="AR620" s="51">
        <v>472</v>
      </c>
      <c r="AS620" s="49">
        <v>3145.1923529411752</v>
      </c>
      <c r="AT620" s="55">
        <v>6.6635431206380833</v>
      </c>
      <c r="AU620" s="51">
        <v>2210.1351669316373</v>
      </c>
      <c r="AV620" s="52">
        <v>1.0054114025247924E-5</v>
      </c>
      <c r="AW620" s="44">
        <v>486</v>
      </c>
      <c r="AX620" s="51">
        <v>94.4</v>
      </c>
      <c r="AY620" s="49">
        <v>443.48077645239698</v>
      </c>
      <c r="AZ620" s="49">
        <v>349.080776452397</v>
      </c>
      <c r="BA620" s="42" t="s">
        <v>150</v>
      </c>
      <c r="BB620" s="50">
        <v>613.25001268664357</v>
      </c>
      <c r="BC620" s="57">
        <v>2823.3851796182807</v>
      </c>
      <c r="BD620" s="42" t="s">
        <v>150</v>
      </c>
      <c r="BE620" s="46">
        <v>44.6666666666667</v>
      </c>
      <c r="BF620" s="46">
        <v>72.425990467051307</v>
      </c>
      <c r="BG620" s="42" t="s">
        <v>152</v>
      </c>
      <c r="BH620" s="52">
        <v>7.4626865671641798E-3</v>
      </c>
      <c r="BI620" s="52">
        <v>0.49337264070319697</v>
      </c>
      <c r="BJ620" s="42" t="s">
        <v>152</v>
      </c>
      <c r="BK620" s="46">
        <v>4.5288000000000004</v>
      </c>
      <c r="BL620" s="46">
        <v>605.59017138979505</v>
      </c>
      <c r="BM620" s="42" t="s">
        <v>152</v>
      </c>
      <c r="BN620" s="48">
        <v>0</v>
      </c>
      <c r="BO620" s="42" t="s">
        <v>155</v>
      </c>
      <c r="BP620" s="42" t="s">
        <v>152</v>
      </c>
      <c r="BQ620" s="46">
        <v>77.962344846793698</v>
      </c>
      <c r="BR620" s="46" t="e">
        <v>#N/A</v>
      </c>
      <c r="BS620" s="46" t="e">
        <v>#N/A</v>
      </c>
      <c r="BT620" s="46" t="e">
        <v>#N/A</v>
      </c>
      <c r="BU620" s="46" t="e">
        <v>#N/A</v>
      </c>
      <c r="BV620" s="46" t="e">
        <v>#N/A</v>
      </c>
      <c r="BW620" s="46" t="e">
        <v>#N/A</v>
      </c>
      <c r="BX620" s="46" t="e">
        <v>#N/A</v>
      </c>
      <c r="BY620" s="46" t="e">
        <v>#N/A</v>
      </c>
      <c r="BZ620" s="46" t="e">
        <v>#N/A</v>
      </c>
      <c r="CA620" s="46" t="e">
        <v>#N/A</v>
      </c>
      <c r="CB620" s="46" t="e">
        <v>#N/A</v>
      </c>
      <c r="CC620" s="46" t="e">
        <v>#N/A</v>
      </c>
      <c r="CD620" s="46" t="e">
        <v>#N/A</v>
      </c>
      <c r="CE620" s="46" t="e">
        <v>#N/A</v>
      </c>
      <c r="CF620" s="46" t="e">
        <v>#N/A</v>
      </c>
      <c r="CG620" s="46" t="e">
        <v>#N/A</v>
      </c>
      <c r="CH620" s="46" t="e">
        <v>#N/A</v>
      </c>
      <c r="CI620" s="46" t="e">
        <v>#N/A</v>
      </c>
      <c r="CJ620" s="46" t="e">
        <v>#N/A</v>
      </c>
      <c r="CM620">
        <f t="shared" si="70"/>
        <v>0</v>
      </c>
      <c r="CP620">
        <f t="shared" si="71"/>
        <v>0</v>
      </c>
      <c r="CS620">
        <f t="shared" si="72"/>
        <v>0</v>
      </c>
      <c r="CW620" s="46"/>
      <c r="CX620" s="46" t="e">
        <f t="shared" si="66"/>
        <v>#N/A</v>
      </c>
      <c r="CY620" s="46"/>
      <c r="CZ620" s="46" t="e">
        <f t="shared" si="67"/>
        <v>#N/A</v>
      </c>
      <c r="DA620" s="46" t="e">
        <f t="shared" si="68"/>
        <v>#N/A</v>
      </c>
      <c r="DB620" s="46"/>
      <c r="DC620" s="46" t="e">
        <f t="shared" si="69"/>
        <v>#N/A</v>
      </c>
      <c r="DD620" s="46"/>
      <c r="DE620" s="995" t="s">
        <v>194</v>
      </c>
      <c r="DF620" s="995" t="s">
        <v>194</v>
      </c>
      <c r="DG620" s="995" t="s">
        <v>194</v>
      </c>
      <c r="DH620" s="995" t="s">
        <v>194</v>
      </c>
      <c r="DI620" s="995" t="s">
        <v>194</v>
      </c>
      <c r="DJ620" s="995" t="s">
        <v>194</v>
      </c>
      <c r="DK620" s="995" t="s">
        <v>194</v>
      </c>
      <c r="DL620" s="995" t="s">
        <v>194</v>
      </c>
      <c r="DM620" s="995" t="s">
        <v>194</v>
      </c>
      <c r="DN620" s="995" t="s">
        <v>194</v>
      </c>
      <c r="DO620" s="995" t="s">
        <v>194</v>
      </c>
      <c r="DP620" s="995" t="s">
        <v>194</v>
      </c>
      <c r="DQ620" s="995" t="s">
        <v>194</v>
      </c>
      <c r="DR620" s="995" t="s">
        <v>194</v>
      </c>
      <c r="DS620" s="995" t="s">
        <v>194</v>
      </c>
      <c r="DT620" s="995" t="s">
        <v>194</v>
      </c>
    </row>
    <row r="621" spans="1:124">
      <c r="A621" s="42" t="s">
        <v>94</v>
      </c>
      <c r="B621" s="42" t="s">
        <v>510</v>
      </c>
      <c r="C621" s="42" t="s">
        <v>788</v>
      </c>
      <c r="D621" s="42">
        <v>809373</v>
      </c>
      <c r="E621" s="42" t="s">
        <v>842</v>
      </c>
      <c r="F621" s="42" t="s">
        <v>149</v>
      </c>
      <c r="G621" s="42" t="s">
        <v>150</v>
      </c>
      <c r="H621" s="43" t="s">
        <v>150</v>
      </c>
      <c r="I621" s="44">
        <v>70</v>
      </c>
      <c r="J621" s="45">
        <v>253507.128</v>
      </c>
      <c r="K621" s="46">
        <v>9398.8923250000007</v>
      </c>
      <c r="L621" s="47">
        <v>262906.02032499999</v>
      </c>
      <c r="M621" s="48">
        <v>4866614</v>
      </c>
      <c r="N621" s="49">
        <v>3674610</v>
      </c>
      <c r="O621" s="49">
        <v>1181483</v>
      </c>
      <c r="P621" s="49">
        <v>10521</v>
      </c>
      <c r="Q621" s="50">
        <v>11036.5772727273</v>
      </c>
      <c r="R621" s="51">
        <v>32519.5730044015</v>
      </c>
      <c r="S621" s="49">
        <v>53553.069594271597</v>
      </c>
      <c r="T621" s="49">
        <v>8356.5552035805795</v>
      </c>
      <c r="U621" s="49">
        <f>IFERROR(INDEX('Rentabilidad datos'!$N$2:$N$61,MATCH($C621,'Rentabilidad datos'!$C$2:$C$61,0)),"")</f>
        <v>94429.197802253679</v>
      </c>
      <c r="V621" s="50">
        <f>IFERROR(INDEX('Rentabilidad datos'!$O$2:$O$61,MATCH($C621,'Rentabilidad datos'!$C$2:$C$61,0)),"")</f>
        <v>1573.8199633708946</v>
      </c>
      <c r="W621" s="51">
        <f>IFERROR(INDEX('Rentabilidad datos'!$M$2:$M$61,MATCH($C621,'Rentabilidad datos'!$C$2:$C$61,0)),"")</f>
        <v>3293.1144020900269</v>
      </c>
      <c r="X621" s="52">
        <f>IFERROR(INDEX('Rentabilidad datos'!$P$2:$P$61,MATCH($C621,'Rentabilidad datos'!$C$2:$C$61,0)),"")</f>
        <v>0.47791232590402716</v>
      </c>
      <c r="Y621" s="43" t="s">
        <v>171</v>
      </c>
      <c r="Z621" s="53">
        <v>70.597727272727298</v>
      </c>
      <c r="AA621" s="43">
        <v>1</v>
      </c>
      <c r="AB621" s="54">
        <v>0.98191679060636405</v>
      </c>
      <c r="AC621" s="55">
        <v>1.8083209393635905E-2</v>
      </c>
      <c r="AD621" s="752" t="e">
        <f>_xlfn.XLOOKUP(Table1[[#This Row],[Ruta]],#REF!,#REF!)</f>
        <v>#REF!</v>
      </c>
      <c r="AE621" s="752" t="e">
        <f>_xlfn.XLOOKUP(Table1[[#This Row],[Ruta]],#REF!,#REF!)</f>
        <v>#REF!</v>
      </c>
      <c r="AF621" s="752" t="e">
        <f>_xlfn.XLOOKUP(Table1[[#This Row],[Ruta]],#REF!,#REF!)</f>
        <v>#REF!</v>
      </c>
      <c r="AG621" s="752" t="e">
        <f>_xlfn.XLOOKUP(Table1[[#This Row],[Ruta]],#REF!,#REF!)</f>
        <v>#REF!</v>
      </c>
      <c r="AH621" s="52">
        <v>0.75506502056666092</v>
      </c>
      <c r="AI621" s="52">
        <v>0.24277310672266178</v>
      </c>
      <c r="AJ621" s="55">
        <v>2.1618727106772801E-3</v>
      </c>
      <c r="AK621" s="56">
        <v>31063</v>
      </c>
      <c r="AL621" s="44">
        <v>15534</v>
      </c>
      <c r="AM621" s="54">
        <v>0.50008048160190599</v>
      </c>
      <c r="AN621" s="55">
        <v>0.50474202392821499</v>
      </c>
      <c r="AO621" s="56">
        <v>144.801489282152</v>
      </c>
      <c r="AP621" s="48">
        <v>72.400744641076002</v>
      </c>
      <c r="AQ621" s="55">
        <v>0.5024112527650606</v>
      </c>
      <c r="AR621" s="51">
        <v>4856094</v>
      </c>
      <c r="AS621" s="49">
        <v>22633.244601973849</v>
      </c>
      <c r="AT621" s="55">
        <v>4.6607921102791361E-3</v>
      </c>
      <c r="AU621" s="51">
        <v>15904.442152738386</v>
      </c>
      <c r="AV621" s="52">
        <v>7.2350812431797926E-5</v>
      </c>
      <c r="AW621" s="44">
        <v>465</v>
      </c>
      <c r="AX621" s="51">
        <v>312.61066048667402</v>
      </c>
      <c r="AY621" s="49">
        <v>443.48077645239698</v>
      </c>
      <c r="AZ621" s="49">
        <v>130.87011596572296</v>
      </c>
      <c r="BA621" s="42" t="s">
        <v>150</v>
      </c>
      <c r="BB621" s="50">
        <v>714274.94482027122</v>
      </c>
      <c r="BC621" s="57">
        <v>730179.38697300956</v>
      </c>
      <c r="BD621" s="42" t="s">
        <v>150</v>
      </c>
      <c r="BE621" s="46">
        <v>70.597727272727298</v>
      </c>
      <c r="BF621" s="46">
        <v>72.425990467051307</v>
      </c>
      <c r="BG621" s="42" t="s">
        <v>152</v>
      </c>
      <c r="BH621" s="52">
        <v>0.50008048160190599</v>
      </c>
      <c r="BI621" s="52">
        <v>0.49337264070319697</v>
      </c>
      <c r="BJ621" s="42" t="s">
        <v>150</v>
      </c>
      <c r="BK621" s="46">
        <v>597.513682556817</v>
      </c>
      <c r="BL621" s="46">
        <v>605.59017138979505</v>
      </c>
      <c r="BM621" s="42" t="s">
        <v>152</v>
      </c>
      <c r="BN621" s="48">
        <v>1</v>
      </c>
      <c r="BO621" s="42" t="s">
        <v>155</v>
      </c>
      <c r="BP621" s="42" t="s">
        <v>152</v>
      </c>
      <c r="BQ621" s="46">
        <v>2309.6930080747302</v>
      </c>
      <c r="BR621" s="46">
        <v>289</v>
      </c>
      <c r="BS621" s="46">
        <v>32365</v>
      </c>
      <c r="BT621" s="46">
        <v>8148</v>
      </c>
      <c r="BU621" s="46">
        <v>3.9721404025527738</v>
      </c>
      <c r="BV621" s="46">
        <v>28.193771626297579</v>
      </c>
      <c r="BW621" s="46">
        <v>0</v>
      </c>
      <c r="BX621" s="46">
        <v>0</v>
      </c>
      <c r="BY621" s="46">
        <v>0</v>
      </c>
      <c r="BZ621" s="46">
        <v>0</v>
      </c>
      <c r="CA621" s="46">
        <v>0</v>
      </c>
      <c r="CB621" s="46">
        <v>0</v>
      </c>
      <c r="CC621" s="46">
        <v>0.32277859597447228</v>
      </c>
      <c r="CD621" s="46">
        <v>0.193912616593029</v>
      </c>
      <c r="CE621" s="46">
        <v>0</v>
      </c>
      <c r="CF621" s="46">
        <v>0.48330878743249878</v>
      </c>
      <c r="CG621" s="46">
        <v>0</v>
      </c>
      <c r="CH621" s="46">
        <v>0</v>
      </c>
      <c r="CI621" s="46">
        <v>4.8509192028425767</v>
      </c>
      <c r="CJ621" s="46">
        <v>0.15448787270199291</v>
      </c>
      <c r="CK621">
        <v>279</v>
      </c>
      <c r="CL621">
        <v>279</v>
      </c>
      <c r="CM621">
        <f t="shared" si="70"/>
        <v>0</v>
      </c>
      <c r="CO621">
        <v>9.4499999999999993</v>
      </c>
      <c r="CP621">
        <f t="shared" si="71"/>
        <v>9.4499999999999993</v>
      </c>
      <c r="CS621">
        <f t="shared" si="72"/>
        <v>0</v>
      </c>
      <c r="CV621">
        <v>0</v>
      </c>
      <c r="CW621" s="46">
        <v>0</v>
      </c>
      <c r="CX621" s="46">
        <f t="shared" si="66"/>
        <v>0</v>
      </c>
      <c r="CY621" s="46">
        <v>0</v>
      </c>
      <c r="CZ621" s="46">
        <f t="shared" si="67"/>
        <v>0</v>
      </c>
      <c r="DA621" s="46">
        <f t="shared" si="68"/>
        <v>0</v>
      </c>
      <c r="DB621" s="46">
        <v>0</v>
      </c>
      <c r="DC621" s="46">
        <f t="shared" si="69"/>
        <v>0</v>
      </c>
      <c r="DD621" s="46">
        <v>0</v>
      </c>
      <c r="DE621" s="995">
        <v>0</v>
      </c>
      <c r="DF621" s="995">
        <v>0</v>
      </c>
      <c r="DG621" s="995">
        <v>0</v>
      </c>
      <c r="DH621" s="995">
        <v>0</v>
      </c>
      <c r="DI621" s="995">
        <v>437.78800000000001</v>
      </c>
      <c r="DJ621" s="995">
        <v>3567097</v>
      </c>
      <c r="DK621" s="995">
        <v>23.192</v>
      </c>
      <c r="DL621" s="995">
        <v>188966.8</v>
      </c>
      <c r="DM621" s="995">
        <v>0</v>
      </c>
      <c r="DN621" s="995">
        <v>0</v>
      </c>
      <c r="DO621" s="995">
        <v>0</v>
      </c>
      <c r="DP621" s="995">
        <v>0</v>
      </c>
      <c r="DQ621" s="995">
        <v>437.78800000000001</v>
      </c>
      <c r="DR621" s="995">
        <v>3567097</v>
      </c>
      <c r="DS621" s="995">
        <v>23.192</v>
      </c>
      <c r="DT621" s="995">
        <v>188966.8</v>
      </c>
    </row>
    <row r="622" spans="1:124">
      <c r="A622" s="42" t="s">
        <v>94</v>
      </c>
      <c r="B622" s="42" t="s">
        <v>510</v>
      </c>
      <c r="C622" s="42" t="s">
        <v>788</v>
      </c>
      <c r="D622" s="42">
        <v>809374</v>
      </c>
      <c r="E622" s="42" t="s">
        <v>843</v>
      </c>
      <c r="F622" s="42" t="s">
        <v>149</v>
      </c>
      <c r="G622" s="42" t="s">
        <v>150</v>
      </c>
      <c r="H622" s="43" t="s">
        <v>152</v>
      </c>
      <c r="I622" s="44">
        <v>70</v>
      </c>
      <c r="J622" s="45">
        <v>253.61279999999999</v>
      </c>
      <c r="K622" s="46">
        <v>3.0009999999999999</v>
      </c>
      <c r="L622" s="47">
        <v>256.61380000000003</v>
      </c>
      <c r="M622" s="48">
        <v>4045</v>
      </c>
      <c r="N622" s="49">
        <v>3342</v>
      </c>
      <c r="O622" s="49">
        <v>703</v>
      </c>
      <c r="P622" s="49">
        <v>0</v>
      </c>
      <c r="Q622" s="50">
        <v>337.120833333333</v>
      </c>
      <c r="R622" s="51">
        <v>32519.5730044015</v>
      </c>
      <c r="S622" s="49">
        <v>53553.069594271597</v>
      </c>
      <c r="T622" s="49">
        <v>8356.5552035805795</v>
      </c>
      <c r="U622" s="49">
        <f>IFERROR(INDEX('Rentabilidad datos'!$N$2:$N$61,MATCH($C622,'Rentabilidad datos'!$C$2:$C$61,0)),"")</f>
        <v>94429.197802253679</v>
      </c>
      <c r="V622" s="50">
        <f>IFERROR(INDEX('Rentabilidad datos'!$O$2:$O$61,MATCH($C622,'Rentabilidad datos'!$C$2:$C$61,0)),"")</f>
        <v>1573.8199633708946</v>
      </c>
      <c r="W622" s="51">
        <f>IFERROR(INDEX('Rentabilidad datos'!$M$2:$M$61,MATCH($C622,'Rentabilidad datos'!$C$2:$C$61,0)),"")</f>
        <v>3293.1144020900269</v>
      </c>
      <c r="X622" s="52">
        <f>IFERROR(INDEX('Rentabilidad datos'!$P$2:$P$61,MATCH($C622,'Rentabilidad datos'!$C$2:$C$61,0)),"")</f>
        <v>0.47791232590402716</v>
      </c>
      <c r="Y622" s="43" t="s">
        <v>171</v>
      </c>
      <c r="Z622" s="53">
        <v>0</v>
      </c>
      <c r="AA622" s="43">
        <v>1</v>
      </c>
      <c r="AB622" s="54">
        <v>0</v>
      </c>
      <c r="AC622" s="55">
        <v>1</v>
      </c>
      <c r="AD622" s="752" t="e">
        <f>_xlfn.XLOOKUP(Table1[[#This Row],[Ruta]],#REF!,#REF!)</f>
        <v>#REF!</v>
      </c>
      <c r="AE622" s="752" t="e">
        <f>_xlfn.XLOOKUP(Table1[[#This Row],[Ruta]],#REF!,#REF!)</f>
        <v>#REF!</v>
      </c>
      <c r="AF622" s="752" t="e">
        <f>_xlfn.XLOOKUP(Table1[[#This Row],[Ruta]],#REF!,#REF!)</f>
        <v>#REF!</v>
      </c>
      <c r="AG622" s="752" t="e">
        <f>_xlfn.XLOOKUP(Table1[[#This Row],[Ruta]],#REF!,#REF!)</f>
        <v>#REF!</v>
      </c>
      <c r="AH622" s="52">
        <v>0.82620519159456118</v>
      </c>
      <c r="AI622" s="52">
        <v>0.17379480840543882</v>
      </c>
      <c r="AJ622" s="55">
        <v>0</v>
      </c>
      <c r="AK622" s="56">
        <v>0</v>
      </c>
      <c r="AL622" s="44">
        <v>12</v>
      </c>
      <c r="AM622" s="54">
        <v>0</v>
      </c>
      <c r="AN622" s="55">
        <v>0.50474202392821499</v>
      </c>
      <c r="AO622" s="56">
        <v>0</v>
      </c>
      <c r="AP622" s="48">
        <v>0</v>
      </c>
      <c r="AQ622" s="55" t="s">
        <v>194</v>
      </c>
      <c r="AR622" s="51">
        <v>4045.45</v>
      </c>
      <c r="AS622" s="49">
        <v>0</v>
      </c>
      <c r="AT622" s="55">
        <v>0</v>
      </c>
      <c r="AU622" s="51">
        <v>0</v>
      </c>
      <c r="AV622" s="52">
        <v>0</v>
      </c>
      <c r="AW622" s="44">
        <v>490</v>
      </c>
      <c r="AX622" s="51">
        <v>337.120833333333</v>
      </c>
      <c r="AY622" s="49">
        <v>443.48077645239698</v>
      </c>
      <c r="AZ622" s="49">
        <v>106.35994311906398</v>
      </c>
      <c r="BA622" s="42" t="s">
        <v>150</v>
      </c>
      <c r="BB622" s="50">
        <v>448.43651693443212</v>
      </c>
      <c r="BC622" s="57">
        <v>448.43651693443212</v>
      </c>
      <c r="BD622" s="42" t="s">
        <v>152</v>
      </c>
      <c r="BE622" s="46" t="s">
        <v>195</v>
      </c>
      <c r="BF622" s="46" t="s">
        <v>195</v>
      </c>
      <c r="BG622" s="42" t="s">
        <v>195</v>
      </c>
      <c r="BH622" s="52" t="s">
        <v>195</v>
      </c>
      <c r="BI622" s="52" t="s">
        <v>195</v>
      </c>
      <c r="BJ622" s="42" t="s">
        <v>195</v>
      </c>
      <c r="BK622" s="46" t="s">
        <v>195</v>
      </c>
      <c r="BL622" s="46" t="s">
        <v>195</v>
      </c>
      <c r="BM622" s="42" t="s">
        <v>195</v>
      </c>
      <c r="BN622" s="48" t="s">
        <v>195</v>
      </c>
      <c r="BO622" s="42" t="s">
        <v>195</v>
      </c>
      <c r="BP622" s="42" t="s">
        <v>152</v>
      </c>
      <c r="BQ622" s="46">
        <v>0</v>
      </c>
      <c r="BR622" s="46" t="e">
        <v>#N/A</v>
      </c>
      <c r="BS622" s="46" t="e">
        <v>#N/A</v>
      </c>
      <c r="BT622" s="46" t="e">
        <v>#N/A</v>
      </c>
      <c r="BU622" s="46" t="e">
        <v>#N/A</v>
      </c>
      <c r="BV622" s="46" t="e">
        <v>#N/A</v>
      </c>
      <c r="BW622" s="46" t="e">
        <v>#N/A</v>
      </c>
      <c r="BX622" s="46" t="e">
        <v>#N/A</v>
      </c>
      <c r="BY622" s="46" t="e">
        <v>#N/A</v>
      </c>
      <c r="BZ622" s="46" t="e">
        <v>#N/A</v>
      </c>
      <c r="CA622" s="46" t="e">
        <v>#N/A</v>
      </c>
      <c r="CB622" s="46" t="e">
        <v>#N/A</v>
      </c>
      <c r="CC622" s="46" t="e">
        <v>#N/A</v>
      </c>
      <c r="CD622" s="46" t="e">
        <v>#N/A</v>
      </c>
      <c r="CE622" s="46" t="e">
        <v>#N/A</v>
      </c>
      <c r="CF622" s="46" t="e">
        <v>#N/A</v>
      </c>
      <c r="CG622" s="46" t="e">
        <v>#N/A</v>
      </c>
      <c r="CH622" s="46" t="e">
        <v>#N/A</v>
      </c>
      <c r="CI622" s="46" t="e">
        <v>#N/A</v>
      </c>
      <c r="CJ622" s="46" t="e">
        <v>#N/A</v>
      </c>
      <c r="CM622">
        <f t="shared" si="70"/>
        <v>0</v>
      </c>
      <c r="CP622">
        <f t="shared" si="71"/>
        <v>0</v>
      </c>
      <c r="CS622">
        <f t="shared" si="72"/>
        <v>0</v>
      </c>
      <c r="CW622" s="46"/>
      <c r="CX622" s="46" t="e">
        <f t="shared" si="66"/>
        <v>#N/A</v>
      </c>
      <c r="CY622" s="46"/>
      <c r="CZ622" s="46" t="e">
        <f t="shared" si="67"/>
        <v>#N/A</v>
      </c>
      <c r="DA622" s="46" t="e">
        <f t="shared" si="68"/>
        <v>#N/A</v>
      </c>
      <c r="DB622" s="46"/>
      <c r="DC622" s="46" t="e">
        <f t="shared" si="69"/>
        <v>#N/A</v>
      </c>
      <c r="DD622" s="46"/>
      <c r="DE622" s="995" t="s">
        <v>194</v>
      </c>
      <c r="DF622" s="995" t="s">
        <v>194</v>
      </c>
      <c r="DG622" s="995" t="s">
        <v>194</v>
      </c>
      <c r="DH622" s="995" t="s">
        <v>194</v>
      </c>
      <c r="DI622" s="995" t="s">
        <v>194</v>
      </c>
      <c r="DJ622" s="995" t="s">
        <v>194</v>
      </c>
      <c r="DK622" s="995" t="s">
        <v>194</v>
      </c>
      <c r="DL622" s="995" t="s">
        <v>194</v>
      </c>
      <c r="DM622" s="995" t="s">
        <v>194</v>
      </c>
      <c r="DN622" s="995" t="s">
        <v>194</v>
      </c>
      <c r="DO622" s="995" t="s">
        <v>194</v>
      </c>
      <c r="DP622" s="995" t="s">
        <v>194</v>
      </c>
      <c r="DQ622" s="995" t="s">
        <v>194</v>
      </c>
      <c r="DR622" s="995" t="s">
        <v>194</v>
      </c>
      <c r="DS622" s="995" t="s">
        <v>194</v>
      </c>
      <c r="DT622" s="995" t="s">
        <v>194</v>
      </c>
    </row>
    <row r="623" spans="1:124">
      <c r="A623" s="42" t="s">
        <v>94</v>
      </c>
      <c r="B623" s="42" t="s">
        <v>510</v>
      </c>
      <c r="C623" s="42" t="s">
        <v>788</v>
      </c>
      <c r="D623" s="42">
        <v>809375</v>
      </c>
      <c r="E623" s="42" t="s">
        <v>844</v>
      </c>
      <c r="F623" s="42" t="s">
        <v>149</v>
      </c>
      <c r="G623" s="42" t="s">
        <v>150</v>
      </c>
      <c r="H623" s="43" t="s">
        <v>150</v>
      </c>
      <c r="I623" s="44">
        <v>70</v>
      </c>
      <c r="J623" s="45">
        <v>299798.50880000001</v>
      </c>
      <c r="K623" s="46">
        <v>7444.3931499999999</v>
      </c>
      <c r="L623" s="47">
        <v>307242.90195000003</v>
      </c>
      <c r="M623" s="48">
        <v>5345885</v>
      </c>
      <c r="N623" s="49">
        <v>4390975</v>
      </c>
      <c r="O623" s="49">
        <v>952670</v>
      </c>
      <c r="P623" s="49">
        <v>2240</v>
      </c>
      <c r="Q623" s="50">
        <v>12253.504197247699</v>
      </c>
      <c r="R623" s="51">
        <v>32519.5730044015</v>
      </c>
      <c r="S623" s="49">
        <v>53553.069594271597</v>
      </c>
      <c r="T623" s="49">
        <v>8356.5552035805795</v>
      </c>
      <c r="U623" s="49">
        <f>IFERROR(INDEX('Rentabilidad datos'!$N$2:$N$61,MATCH($C623,'Rentabilidad datos'!$C$2:$C$61,0)),"")</f>
        <v>94429.197802253679</v>
      </c>
      <c r="V623" s="50">
        <f>IFERROR(INDEX('Rentabilidad datos'!$O$2:$O$61,MATCH($C623,'Rentabilidad datos'!$C$2:$C$61,0)),"")</f>
        <v>1573.8199633708946</v>
      </c>
      <c r="W623" s="51">
        <f>IFERROR(INDEX('Rentabilidad datos'!$M$2:$M$61,MATCH($C623,'Rentabilidad datos'!$C$2:$C$61,0)),"")</f>
        <v>3293.1144020900269</v>
      </c>
      <c r="X623" s="52">
        <f>IFERROR(INDEX('Rentabilidad datos'!$P$2:$P$61,MATCH($C623,'Rentabilidad datos'!$C$2:$C$61,0)),"")</f>
        <v>0.47791232590402716</v>
      </c>
      <c r="Y623" s="43" t="s">
        <v>171</v>
      </c>
      <c r="Z623" s="53">
        <v>65.974770642201804</v>
      </c>
      <c r="AA623" s="43">
        <v>1</v>
      </c>
      <c r="AB623" s="54">
        <v>0.97883306505845147</v>
      </c>
      <c r="AC623" s="55">
        <v>2.1166934941548501E-2</v>
      </c>
      <c r="AD623" s="752" t="e">
        <f>_xlfn.XLOOKUP(Table1[[#This Row],[Ruta]],#REF!,#REF!)</f>
        <v>#REF!</v>
      </c>
      <c r="AE623" s="752" t="e">
        <f>_xlfn.XLOOKUP(Table1[[#This Row],[Ruta]],#REF!,#REF!)</f>
        <v>#REF!</v>
      </c>
      <c r="AF623" s="752" t="e">
        <f>_xlfn.XLOOKUP(Table1[[#This Row],[Ruta]],#REF!,#REF!)</f>
        <v>#REF!</v>
      </c>
      <c r="AG623" s="752" t="e">
        <f>_xlfn.XLOOKUP(Table1[[#This Row],[Ruta]],#REF!,#REF!)</f>
        <v>#REF!</v>
      </c>
      <c r="AH623" s="52">
        <v>0.82137475834216411</v>
      </c>
      <c r="AI623" s="52">
        <v>0.17820622778080711</v>
      </c>
      <c r="AJ623" s="55">
        <v>4.1901387702878009E-4</v>
      </c>
      <c r="AK623" s="56">
        <v>28765</v>
      </c>
      <c r="AL623" s="44">
        <v>8786</v>
      </c>
      <c r="AM623" s="54">
        <v>0.305440639666261</v>
      </c>
      <c r="AN623" s="55">
        <v>0.50474202392821499</v>
      </c>
      <c r="AO623" s="56">
        <v>5732.90431829511</v>
      </c>
      <c r="AP623" s="48">
        <v>2866.452159147555</v>
      </c>
      <c r="AQ623" s="55">
        <v>0.40509133179723816</v>
      </c>
      <c r="AR623" s="51">
        <v>5342527.83</v>
      </c>
      <c r="AS623" s="49">
        <v>1743011.6587308701</v>
      </c>
      <c r="AT623" s="55">
        <v>0.32625223755378546</v>
      </c>
      <c r="AU623" s="51">
        <v>1224819.0034325037</v>
      </c>
      <c r="AV623" s="52">
        <v>5.5718175544427345E-3</v>
      </c>
      <c r="AW623" s="44">
        <v>25</v>
      </c>
      <c r="AX623" s="51">
        <v>608.07282381060804</v>
      </c>
      <c r="AY623" s="49">
        <v>443.48077645239698</v>
      </c>
      <c r="AZ623" s="49">
        <v>0</v>
      </c>
      <c r="BA623" s="42" t="s">
        <v>152</v>
      </c>
      <c r="BB623" s="50">
        <v>0</v>
      </c>
      <c r="BC623" s="57">
        <v>1224819.0034325037</v>
      </c>
      <c r="BD623" s="42" t="s">
        <v>150</v>
      </c>
      <c r="BE623" s="46">
        <v>65.974770642201804</v>
      </c>
      <c r="BF623" s="46">
        <v>72.425990467051307</v>
      </c>
      <c r="BG623" s="42" t="s">
        <v>152</v>
      </c>
      <c r="BH623" s="52">
        <v>0.305440639666261</v>
      </c>
      <c r="BI623" s="52">
        <v>0.49337264070319697</v>
      </c>
      <c r="BJ623" s="42" t="s">
        <v>152</v>
      </c>
      <c r="BK623" s="46">
        <v>704.68555493119197</v>
      </c>
      <c r="BL623" s="46">
        <v>605.59017138979505</v>
      </c>
      <c r="BM623" s="42" t="s">
        <v>150</v>
      </c>
      <c r="BN623" s="48">
        <v>1</v>
      </c>
      <c r="BO623" s="42" t="s">
        <v>155</v>
      </c>
      <c r="BP623" s="42" t="s">
        <v>152</v>
      </c>
      <c r="BQ623" s="46">
        <v>8287.9093183413006</v>
      </c>
      <c r="BR623" s="46">
        <v>681</v>
      </c>
      <c r="BS623" s="46">
        <v>78279</v>
      </c>
      <c r="BT623" s="46">
        <v>18755</v>
      </c>
      <c r="BU623" s="46">
        <v>4.1737669954678749</v>
      </c>
      <c r="BV623" s="46">
        <v>27.540381791483114</v>
      </c>
      <c r="BW623" s="46">
        <v>0</v>
      </c>
      <c r="BX623" s="46">
        <v>990</v>
      </c>
      <c r="BY623" s="46">
        <v>990</v>
      </c>
      <c r="BZ623" s="46">
        <v>5.2785923753665691E-2</v>
      </c>
      <c r="CA623" s="46">
        <v>0</v>
      </c>
      <c r="CB623" s="46">
        <v>5.2785923753665691E-2</v>
      </c>
      <c r="CC623" s="46">
        <v>1.1090375899760059E-2</v>
      </c>
      <c r="CD623" s="46">
        <v>3.7696614236203678E-2</v>
      </c>
      <c r="CE623" s="46">
        <v>0</v>
      </c>
      <c r="CF623" s="46">
        <v>0.89842708611037059</v>
      </c>
      <c r="CG623" s="46">
        <v>0</v>
      </c>
      <c r="CH623" s="46">
        <v>0</v>
      </c>
      <c r="CI623" s="46">
        <v>5.5059466779085069</v>
      </c>
      <c r="CJ623" s="46">
        <v>8.9423727947469944E-2</v>
      </c>
      <c r="CK623">
        <v>265</v>
      </c>
      <c r="CL623">
        <v>302.48</v>
      </c>
      <c r="CM623">
        <f t="shared" si="70"/>
        <v>37.480000000000018</v>
      </c>
      <c r="CN623">
        <v>8.6199999999999992</v>
      </c>
      <c r="CO623">
        <v>9.4499999999999993</v>
      </c>
      <c r="CP623">
        <f t="shared" si="71"/>
        <v>0.83000000000000007</v>
      </c>
      <c r="CQ623">
        <v>846.56</v>
      </c>
      <c r="CR623">
        <v>704.69</v>
      </c>
      <c r="CS623">
        <f t="shared" si="72"/>
        <v>141.86999999999989</v>
      </c>
      <c r="CT623" t="s">
        <v>152</v>
      </c>
      <c r="CU623">
        <v>91.23</v>
      </c>
      <c r="CV623">
        <v>19</v>
      </c>
      <c r="CW623" s="46">
        <v>990</v>
      </c>
      <c r="CX623" s="46">
        <f t="shared" si="66"/>
        <v>5.0787523327112769</v>
      </c>
      <c r="CY623" s="46">
        <v>37.479999999999997</v>
      </c>
      <c r="CZ623" s="46">
        <f t="shared" si="67"/>
        <v>5.2785923753665687</v>
      </c>
      <c r="DA623" s="46">
        <f t="shared" si="68"/>
        <v>17.793468451210273</v>
      </c>
      <c r="DB623" s="46">
        <v>334383.40000000002</v>
      </c>
      <c r="DC623" s="46">
        <f t="shared" si="69"/>
        <v>0.96019205554562248</v>
      </c>
      <c r="DD623" s="46">
        <v>18044.39</v>
      </c>
      <c r="DE623" s="995">
        <v>990</v>
      </c>
      <c r="DF623" s="995">
        <v>5.0789999999999997</v>
      </c>
      <c r="DG623" s="995">
        <v>37.5</v>
      </c>
      <c r="DH623" s="995">
        <v>5.2789999999999999</v>
      </c>
      <c r="DI623" s="995">
        <v>230.828</v>
      </c>
      <c r="DJ623" s="995">
        <v>4337838</v>
      </c>
      <c r="DK623" s="995">
        <v>12.779</v>
      </c>
      <c r="DL623" s="995">
        <v>240140.7</v>
      </c>
      <c r="DM623" s="995">
        <v>990</v>
      </c>
      <c r="DN623" s="995">
        <v>5.0789999999999997</v>
      </c>
      <c r="DO623" s="995">
        <v>37.5</v>
      </c>
      <c r="DP623" s="995">
        <v>5.2789999999999999</v>
      </c>
      <c r="DQ623" s="995">
        <v>230.828</v>
      </c>
      <c r="DR623" s="995">
        <v>4337838</v>
      </c>
      <c r="DS623" s="995">
        <v>12.779</v>
      </c>
      <c r="DT623" s="995">
        <v>240140.7</v>
      </c>
    </row>
    <row r="624" spans="1:124">
      <c r="A624" s="42" t="s">
        <v>94</v>
      </c>
      <c r="B624" s="42" t="s">
        <v>510</v>
      </c>
      <c r="C624" s="42" t="s">
        <v>788</v>
      </c>
      <c r="D624" s="42">
        <v>809376</v>
      </c>
      <c r="E624" s="42" t="s">
        <v>845</v>
      </c>
      <c r="F624" s="42" t="s">
        <v>149</v>
      </c>
      <c r="G624" s="42" t="s">
        <v>150</v>
      </c>
      <c r="H624" s="43" t="s">
        <v>152</v>
      </c>
      <c r="I624" s="44">
        <v>70</v>
      </c>
      <c r="J624" s="45">
        <v>49.313600000000001</v>
      </c>
      <c r="K624" s="46">
        <v>4.7927</v>
      </c>
      <c r="L624" s="47">
        <v>54.106299999999997</v>
      </c>
      <c r="M624" s="48">
        <v>1307</v>
      </c>
      <c r="N624" s="49">
        <v>587</v>
      </c>
      <c r="O624" s="49">
        <v>720</v>
      </c>
      <c r="P624" s="49">
        <v>0</v>
      </c>
      <c r="Q624" s="50">
        <v>261.45600000000002</v>
      </c>
      <c r="R624" s="51">
        <v>32519.5730044015</v>
      </c>
      <c r="S624" s="49">
        <v>53553.069594271597</v>
      </c>
      <c r="T624" s="49">
        <v>8356.5552035805795</v>
      </c>
      <c r="U624" s="49">
        <f>IFERROR(INDEX('Rentabilidad datos'!$N$2:$N$61,MATCH($C624,'Rentabilidad datos'!$C$2:$C$61,0)),"")</f>
        <v>94429.197802253679</v>
      </c>
      <c r="V624" s="50">
        <f>IFERROR(INDEX('Rentabilidad datos'!$O$2:$O$61,MATCH($C624,'Rentabilidad datos'!$C$2:$C$61,0)),"")</f>
        <v>1573.8199633708946</v>
      </c>
      <c r="W624" s="51">
        <f>IFERROR(INDEX('Rentabilidad datos'!$M$2:$M$61,MATCH($C624,'Rentabilidad datos'!$C$2:$C$61,0)),"")</f>
        <v>3293.1144020900269</v>
      </c>
      <c r="X624" s="52">
        <f>IFERROR(INDEX('Rentabilidad datos'!$P$2:$P$61,MATCH($C624,'Rentabilidad datos'!$C$2:$C$61,0)),"")</f>
        <v>0.47791232590402716</v>
      </c>
      <c r="Y624" s="43" t="s">
        <v>171</v>
      </c>
      <c r="Z624" s="53">
        <v>0</v>
      </c>
      <c r="AA624" s="43">
        <v>1</v>
      </c>
      <c r="AB624" s="54">
        <v>0</v>
      </c>
      <c r="AC624" s="55">
        <v>1</v>
      </c>
      <c r="AD624" s="752" t="e">
        <f>_xlfn.XLOOKUP(Table1[[#This Row],[Ruta]],#REF!,#REF!)</f>
        <v>#REF!</v>
      </c>
      <c r="AE624" s="752" t="e">
        <f>_xlfn.XLOOKUP(Table1[[#This Row],[Ruta]],#REF!,#REF!)</f>
        <v>#REF!</v>
      </c>
      <c r="AF624" s="752" t="e">
        <f>_xlfn.XLOOKUP(Table1[[#This Row],[Ruta]],#REF!,#REF!)</f>
        <v>#REF!</v>
      </c>
      <c r="AG624" s="752" t="e">
        <f>_xlfn.XLOOKUP(Table1[[#This Row],[Ruta]],#REF!,#REF!)</f>
        <v>#REF!</v>
      </c>
      <c r="AH624" s="52">
        <v>0.44912012241775057</v>
      </c>
      <c r="AI624" s="52">
        <v>0.55087987758224943</v>
      </c>
      <c r="AJ624" s="55">
        <v>0</v>
      </c>
      <c r="AK624" s="56">
        <v>0</v>
      </c>
      <c r="AL624" s="44">
        <v>4</v>
      </c>
      <c r="AM624" s="54">
        <v>0</v>
      </c>
      <c r="AN624" s="55">
        <v>0.50474202392821499</v>
      </c>
      <c r="AO624" s="56">
        <v>0</v>
      </c>
      <c r="AP624" s="48">
        <v>0</v>
      </c>
      <c r="AQ624" s="55" t="s">
        <v>194</v>
      </c>
      <c r="AR624" s="51">
        <v>1307.28</v>
      </c>
      <c r="AS624" s="49">
        <v>0</v>
      </c>
      <c r="AT624" s="55">
        <v>0</v>
      </c>
      <c r="AU624" s="51">
        <v>0</v>
      </c>
      <c r="AV624" s="52">
        <v>0</v>
      </c>
      <c r="AW624" s="44">
        <v>490</v>
      </c>
      <c r="AX624" s="51">
        <v>326.82</v>
      </c>
      <c r="AY624" s="49">
        <v>443.48077645239698</v>
      </c>
      <c r="AZ624" s="49">
        <v>116.66077645239699</v>
      </c>
      <c r="BA624" s="42" t="s">
        <v>150</v>
      </c>
      <c r="BB624" s="50">
        <v>163.95568582499041</v>
      </c>
      <c r="BC624" s="57">
        <v>163.95568582499041</v>
      </c>
      <c r="BD624" s="42" t="s">
        <v>152</v>
      </c>
      <c r="BE624" s="46" t="s">
        <v>195</v>
      </c>
      <c r="BF624" s="46" t="s">
        <v>195</v>
      </c>
      <c r="BG624" s="42" t="s">
        <v>195</v>
      </c>
      <c r="BH624" s="52" t="s">
        <v>195</v>
      </c>
      <c r="BI624" s="52" t="s">
        <v>195</v>
      </c>
      <c r="BJ624" s="42" t="s">
        <v>195</v>
      </c>
      <c r="BK624" s="46" t="s">
        <v>195</v>
      </c>
      <c r="BL624" s="46" t="s">
        <v>195</v>
      </c>
      <c r="BM624" s="42" t="s">
        <v>195</v>
      </c>
      <c r="BN624" s="48" t="s">
        <v>195</v>
      </c>
      <c r="BO624" s="42" t="s">
        <v>195</v>
      </c>
      <c r="BP624" s="42" t="s">
        <v>152</v>
      </c>
      <c r="BQ624" s="46">
        <v>0</v>
      </c>
      <c r="BR624" s="46" t="e">
        <v>#N/A</v>
      </c>
      <c r="BS624" s="46" t="e">
        <v>#N/A</v>
      </c>
      <c r="BT624" s="46" t="e">
        <v>#N/A</v>
      </c>
      <c r="BU624" s="46" t="e">
        <v>#N/A</v>
      </c>
      <c r="BV624" s="46" t="e">
        <v>#N/A</v>
      </c>
      <c r="BW624" s="46" t="e">
        <v>#N/A</v>
      </c>
      <c r="BX624" s="46" t="e">
        <v>#N/A</v>
      </c>
      <c r="BY624" s="46" t="e">
        <v>#N/A</v>
      </c>
      <c r="BZ624" s="46" t="e">
        <v>#N/A</v>
      </c>
      <c r="CA624" s="46" t="e">
        <v>#N/A</v>
      </c>
      <c r="CB624" s="46" t="e">
        <v>#N/A</v>
      </c>
      <c r="CC624" s="46" t="e">
        <v>#N/A</v>
      </c>
      <c r="CD624" s="46" t="e">
        <v>#N/A</v>
      </c>
      <c r="CE624" s="46" t="e">
        <v>#N/A</v>
      </c>
      <c r="CF624" s="46" t="e">
        <v>#N/A</v>
      </c>
      <c r="CG624" s="46" t="e">
        <v>#N/A</v>
      </c>
      <c r="CH624" s="46" t="e">
        <v>#N/A</v>
      </c>
      <c r="CI624" s="46" t="e">
        <v>#N/A</v>
      </c>
      <c r="CJ624" s="46" t="e">
        <v>#N/A</v>
      </c>
      <c r="CM624">
        <f t="shared" si="70"/>
        <v>0</v>
      </c>
      <c r="CP624">
        <f t="shared" si="71"/>
        <v>0</v>
      </c>
      <c r="CS624">
        <f t="shared" si="72"/>
        <v>0</v>
      </c>
      <c r="CW624" s="46"/>
      <c r="CX624" s="46" t="e">
        <f t="shared" si="66"/>
        <v>#N/A</v>
      </c>
      <c r="CY624" s="46"/>
      <c r="CZ624" s="46" t="e">
        <f t="shared" si="67"/>
        <v>#N/A</v>
      </c>
      <c r="DA624" s="46" t="e">
        <f t="shared" si="68"/>
        <v>#N/A</v>
      </c>
      <c r="DB624" s="46"/>
      <c r="DC624" s="46" t="e">
        <f t="shared" si="69"/>
        <v>#N/A</v>
      </c>
      <c r="DD624" s="46"/>
      <c r="DE624" s="995" t="s">
        <v>194</v>
      </c>
      <c r="DF624" s="995" t="s">
        <v>194</v>
      </c>
      <c r="DG624" s="995" t="s">
        <v>194</v>
      </c>
      <c r="DH624" s="995" t="s">
        <v>194</v>
      </c>
      <c r="DI624" s="995" t="s">
        <v>194</v>
      </c>
      <c r="DJ624" s="995" t="s">
        <v>194</v>
      </c>
      <c r="DK624" s="995" t="s">
        <v>194</v>
      </c>
      <c r="DL624" s="995" t="s">
        <v>194</v>
      </c>
      <c r="DM624" s="995" t="s">
        <v>194</v>
      </c>
      <c r="DN624" s="995" t="s">
        <v>194</v>
      </c>
      <c r="DO624" s="995" t="s">
        <v>194</v>
      </c>
      <c r="DP624" s="995" t="s">
        <v>194</v>
      </c>
      <c r="DQ624" s="995" t="s">
        <v>194</v>
      </c>
      <c r="DR624" s="995" t="s">
        <v>194</v>
      </c>
      <c r="DS624" s="995" t="s">
        <v>194</v>
      </c>
      <c r="DT624" s="995" t="s">
        <v>194</v>
      </c>
    </row>
    <row r="625" spans="1:124">
      <c r="A625" s="42" t="s">
        <v>94</v>
      </c>
      <c r="B625" s="42" t="s">
        <v>510</v>
      </c>
      <c r="C625" s="42" t="s">
        <v>788</v>
      </c>
      <c r="D625" s="42">
        <v>809377</v>
      </c>
      <c r="E625" s="42" t="s">
        <v>846</v>
      </c>
      <c r="F625" s="42" t="s">
        <v>149</v>
      </c>
      <c r="G625" s="42" t="s">
        <v>150</v>
      </c>
      <c r="H625" s="43" t="s">
        <v>150</v>
      </c>
      <c r="I625" s="44">
        <v>70</v>
      </c>
      <c r="J625" s="45">
        <v>281031.16159999999</v>
      </c>
      <c r="K625" s="46">
        <v>12218.617525</v>
      </c>
      <c r="L625" s="47">
        <v>293249.779125</v>
      </c>
      <c r="M625" s="48">
        <v>5751020</v>
      </c>
      <c r="N625" s="49">
        <v>4120016</v>
      </c>
      <c r="O625" s="49">
        <v>1626515</v>
      </c>
      <c r="P625" s="49">
        <v>4489</v>
      </c>
      <c r="Q625" s="50">
        <v>13147.774416476001</v>
      </c>
      <c r="R625" s="51">
        <v>32519.5730044015</v>
      </c>
      <c r="S625" s="49">
        <v>53553.069594271597</v>
      </c>
      <c r="T625" s="49">
        <v>8356.5552035805795</v>
      </c>
      <c r="U625" s="49">
        <f>IFERROR(INDEX('Rentabilidad datos'!$N$2:$N$61,MATCH($C625,'Rentabilidad datos'!$C$2:$C$61,0)),"")</f>
        <v>94429.197802253679</v>
      </c>
      <c r="V625" s="50">
        <f>IFERROR(INDEX('Rentabilidad datos'!$O$2:$O$61,MATCH($C625,'Rentabilidad datos'!$C$2:$C$61,0)),"")</f>
        <v>1573.8199633708946</v>
      </c>
      <c r="W625" s="51">
        <f>IFERROR(INDEX('Rentabilidad datos'!$M$2:$M$61,MATCH($C625,'Rentabilidad datos'!$C$2:$C$61,0)),"")</f>
        <v>3293.1144020900269</v>
      </c>
      <c r="X625" s="52">
        <f>IFERROR(INDEX('Rentabilidad datos'!$P$2:$P$61,MATCH($C625,'Rentabilidad datos'!$C$2:$C$61,0)),"")</f>
        <v>0.47791232590402716</v>
      </c>
      <c r="Y625" s="43" t="s">
        <v>171</v>
      </c>
      <c r="Z625" s="53">
        <v>73.080091533180806</v>
      </c>
      <c r="AA625" s="43">
        <v>1</v>
      </c>
      <c r="AB625" s="54">
        <v>0.95965463517775973</v>
      </c>
      <c r="AC625" s="55">
        <v>4.0345364822240229E-2</v>
      </c>
      <c r="AD625" s="752" t="e">
        <f>_xlfn.XLOOKUP(Table1[[#This Row],[Ruta]],#REF!,#REF!)</f>
        <v>#REF!</v>
      </c>
      <c r="AE625" s="752" t="e">
        <f>_xlfn.XLOOKUP(Table1[[#This Row],[Ruta]],#REF!,#REF!)</f>
        <v>#REF!</v>
      </c>
      <c r="AF625" s="752" t="e">
        <f>_xlfn.XLOOKUP(Table1[[#This Row],[Ruta]],#REF!,#REF!)</f>
        <v>#REF!</v>
      </c>
      <c r="AG625" s="752" t="e">
        <f>_xlfn.XLOOKUP(Table1[[#This Row],[Ruta]],#REF!,#REF!)</f>
        <v>#REF!</v>
      </c>
      <c r="AH625" s="52">
        <v>0.71639743906298359</v>
      </c>
      <c r="AI625" s="52">
        <v>0.28282200374890021</v>
      </c>
      <c r="AJ625" s="55">
        <v>7.8055718811619501E-4</v>
      </c>
      <c r="AK625" s="56">
        <v>31936</v>
      </c>
      <c r="AL625" s="44">
        <v>8126</v>
      </c>
      <c r="AM625" s="54">
        <v>0.25444639278557102</v>
      </c>
      <c r="AN625" s="55">
        <v>0.50474202392821499</v>
      </c>
      <c r="AO625" s="56">
        <v>7993.4412761714902</v>
      </c>
      <c r="AP625" s="48">
        <v>3996.7206380857451</v>
      </c>
      <c r="AQ625" s="55">
        <v>0.37959420835689334</v>
      </c>
      <c r="AR625" s="51">
        <v>5745577.4199999999</v>
      </c>
      <c r="AS625" s="49">
        <v>2825925.1602551602</v>
      </c>
      <c r="AT625" s="55">
        <v>0.49184354394360597</v>
      </c>
      <c r="AU625" s="51">
        <v>1985785.2477468702</v>
      </c>
      <c r="AV625" s="52">
        <v>9.033525012056327E-3</v>
      </c>
      <c r="AW625" s="44">
        <v>9</v>
      </c>
      <c r="AX625" s="51">
        <v>707.060967265567</v>
      </c>
      <c r="AY625" s="49">
        <v>443.48077645239698</v>
      </c>
      <c r="AZ625" s="49">
        <v>0</v>
      </c>
      <c r="BA625" s="42" t="s">
        <v>152</v>
      </c>
      <c r="BB625" s="50">
        <v>0</v>
      </c>
      <c r="BC625" s="57">
        <v>1985785.2477468702</v>
      </c>
      <c r="BD625" s="42" t="s">
        <v>150</v>
      </c>
      <c r="BE625" s="46">
        <v>73.080091533180806</v>
      </c>
      <c r="BF625" s="46">
        <v>72.425990467051307</v>
      </c>
      <c r="BG625" s="42" t="s">
        <v>150</v>
      </c>
      <c r="BH625" s="52">
        <v>0.25444639278557102</v>
      </c>
      <c r="BI625" s="52">
        <v>0.49337264070319697</v>
      </c>
      <c r="BJ625" s="42" t="s">
        <v>152</v>
      </c>
      <c r="BK625" s="46">
        <v>671.05212614416496</v>
      </c>
      <c r="BL625" s="46">
        <v>605.59017138979505</v>
      </c>
      <c r="BM625" s="42" t="s">
        <v>150</v>
      </c>
      <c r="BN625" s="48">
        <v>2</v>
      </c>
      <c r="BO625" s="42" t="s">
        <v>161</v>
      </c>
      <c r="BP625" s="42" t="s">
        <v>152</v>
      </c>
      <c r="BQ625" s="46">
        <v>9311.6925215989395</v>
      </c>
      <c r="BR625" s="46">
        <v>1941</v>
      </c>
      <c r="BS625" s="46">
        <v>146631</v>
      </c>
      <c r="BT625" s="46">
        <v>42104</v>
      </c>
      <c r="BU625" s="46">
        <v>3.4825907277218318</v>
      </c>
      <c r="BV625" s="46">
        <v>21.691911385883564</v>
      </c>
      <c r="BW625" s="46">
        <v>0</v>
      </c>
      <c r="BX625" s="46">
        <v>1759</v>
      </c>
      <c r="BY625" s="46">
        <v>1759</v>
      </c>
      <c r="BZ625" s="46">
        <v>4.1777503325099753E-2</v>
      </c>
      <c r="CA625" s="46">
        <v>0</v>
      </c>
      <c r="CB625" s="46">
        <v>4.1777503325099753E-2</v>
      </c>
      <c r="CC625" s="46">
        <v>4.6836405092152762E-2</v>
      </c>
      <c r="CD625" s="46">
        <v>1.2279118373551209E-2</v>
      </c>
      <c r="CE625" s="46">
        <v>6.8212046361390846E-2</v>
      </c>
      <c r="CF625" s="46">
        <v>0.83001615048451449</v>
      </c>
      <c r="CG625" s="46">
        <v>7.6002280068402056E-4</v>
      </c>
      <c r="CH625" s="46">
        <v>1.1875356260687821E-4</v>
      </c>
      <c r="CI625" s="46">
        <v>5.0262222858740646</v>
      </c>
      <c r="CJ625" s="46">
        <v>0.26597377089428559</v>
      </c>
      <c r="CK625">
        <v>400</v>
      </c>
      <c r="CL625">
        <v>406.2</v>
      </c>
      <c r="CM625">
        <f t="shared" si="70"/>
        <v>6.1999999999999886</v>
      </c>
      <c r="CN625">
        <v>10.52</v>
      </c>
      <c r="CO625">
        <v>9.4499999999999993</v>
      </c>
      <c r="CP625">
        <f t="shared" si="71"/>
        <v>-1.0700000000000003</v>
      </c>
      <c r="CQ625">
        <v>846.56</v>
      </c>
      <c r="CR625">
        <v>671.05</v>
      </c>
      <c r="CS625">
        <f t="shared" si="72"/>
        <v>175.51</v>
      </c>
      <c r="CT625" t="s">
        <v>150</v>
      </c>
      <c r="CU625">
        <v>111.32</v>
      </c>
      <c r="CV625">
        <v>139</v>
      </c>
      <c r="CW625" s="46">
        <v>1759</v>
      </c>
      <c r="CX625" s="46">
        <f t="shared" si="66"/>
        <v>4.1630248907467218</v>
      </c>
      <c r="CY625" s="46">
        <v>6.2</v>
      </c>
      <c r="CZ625" s="46">
        <f t="shared" si="67"/>
        <v>4.1777503325099756</v>
      </c>
      <c r="DA625" s="46">
        <f t="shared" si="68"/>
        <v>17.366101799564003</v>
      </c>
      <c r="DB625" s="46">
        <v>731290.02</v>
      </c>
      <c r="DC625" s="46">
        <f t="shared" si="69"/>
        <v>0.96508114423583846</v>
      </c>
      <c r="DD625" s="46">
        <v>40639.760000000002</v>
      </c>
      <c r="DE625" s="995">
        <v>1759</v>
      </c>
      <c r="DF625" s="995">
        <v>4.1630000000000003</v>
      </c>
      <c r="DG625" s="995">
        <v>6.2</v>
      </c>
      <c r="DH625" s="995">
        <v>4.1779999999999999</v>
      </c>
      <c r="DI625" s="995">
        <v>119.43300000000001</v>
      </c>
      <c r="DJ625" s="995">
        <v>5029338</v>
      </c>
      <c r="DK625" s="995">
        <v>6.2640000000000002</v>
      </c>
      <c r="DL625" s="995">
        <v>263784.09999999998</v>
      </c>
      <c r="DM625" s="995">
        <v>1759</v>
      </c>
      <c r="DN625" s="995">
        <v>4.1630000000000003</v>
      </c>
      <c r="DO625" s="995">
        <v>6.2</v>
      </c>
      <c r="DP625" s="995">
        <v>4.1779999999999999</v>
      </c>
      <c r="DQ625" s="995">
        <v>119.43300000000001</v>
      </c>
      <c r="DR625" s="995">
        <v>5029338</v>
      </c>
      <c r="DS625" s="995">
        <v>6.2640000000000002</v>
      </c>
      <c r="DT625" s="995">
        <v>263784.09999999998</v>
      </c>
    </row>
    <row r="626" spans="1:124">
      <c r="A626" s="42" t="s">
        <v>94</v>
      </c>
      <c r="B626" s="42" t="s">
        <v>510</v>
      </c>
      <c r="C626" s="42" t="s">
        <v>788</v>
      </c>
      <c r="D626" s="42">
        <v>809378</v>
      </c>
      <c r="E626" s="42" t="s">
        <v>847</v>
      </c>
      <c r="F626" s="42" t="s">
        <v>149</v>
      </c>
      <c r="G626" s="42" t="s">
        <v>150</v>
      </c>
      <c r="H626" s="43" t="s">
        <v>150</v>
      </c>
      <c r="I626" s="44">
        <v>70</v>
      </c>
      <c r="J626" s="45">
        <v>217184.13919999899</v>
      </c>
      <c r="K626" s="46">
        <v>10560.286375</v>
      </c>
      <c r="L626" s="47">
        <v>227744.42557499901</v>
      </c>
      <c r="M626" s="48">
        <v>4568498</v>
      </c>
      <c r="N626" s="49">
        <v>3169684</v>
      </c>
      <c r="O626" s="49">
        <v>1393201</v>
      </c>
      <c r="P626" s="49">
        <v>5613</v>
      </c>
      <c r="Q626" s="50">
        <v>10346.6842176871</v>
      </c>
      <c r="R626" s="51">
        <v>32519.5730044015</v>
      </c>
      <c r="S626" s="49">
        <v>53553.069594271597</v>
      </c>
      <c r="T626" s="49">
        <v>8356.5552035805795</v>
      </c>
      <c r="U626" s="49">
        <f>IFERROR(INDEX('Rentabilidad datos'!$N$2:$N$61,MATCH($C626,'Rentabilidad datos'!$C$2:$C$61,0)),"")</f>
        <v>94429.197802253679</v>
      </c>
      <c r="V626" s="50">
        <f>IFERROR(INDEX('Rentabilidad datos'!$O$2:$O$61,MATCH($C626,'Rentabilidad datos'!$C$2:$C$61,0)),"")</f>
        <v>1573.8199633708946</v>
      </c>
      <c r="W626" s="51">
        <f>IFERROR(INDEX('Rentabilidad datos'!$M$2:$M$61,MATCH($C626,'Rentabilidad datos'!$C$2:$C$61,0)),"")</f>
        <v>3293.1144020900269</v>
      </c>
      <c r="X626" s="52">
        <f>IFERROR(INDEX('Rentabilidad datos'!$P$2:$P$61,MATCH($C626,'Rentabilidad datos'!$C$2:$C$61,0)),"")</f>
        <v>0.47791232590402716</v>
      </c>
      <c r="Y626" s="43" t="s">
        <v>171</v>
      </c>
      <c r="Z626" s="53">
        <v>80.102040816326493</v>
      </c>
      <c r="AA626" s="43">
        <v>1</v>
      </c>
      <c r="AB626" s="54">
        <v>0.93315461668145638</v>
      </c>
      <c r="AC626" s="55">
        <v>6.6845383318543644E-2</v>
      </c>
      <c r="AD626" s="752" t="e">
        <f>_xlfn.XLOOKUP(Table1[[#This Row],[Ruta]],#REF!,#REF!)</f>
        <v>#REF!</v>
      </c>
      <c r="AE626" s="752" t="e">
        <f>_xlfn.XLOOKUP(Table1[[#This Row],[Ruta]],#REF!,#REF!)</f>
        <v>#REF!</v>
      </c>
      <c r="AF626" s="752" t="e">
        <f>_xlfn.XLOOKUP(Table1[[#This Row],[Ruta]],#REF!,#REF!)</f>
        <v>#REF!</v>
      </c>
      <c r="AG626" s="752" t="e">
        <f>_xlfn.XLOOKUP(Table1[[#This Row],[Ruta]],#REF!,#REF!)</f>
        <v>#REF!</v>
      </c>
      <c r="AH626" s="52">
        <v>0.6938131525941349</v>
      </c>
      <c r="AI626" s="52">
        <v>0.30495821602636142</v>
      </c>
      <c r="AJ626" s="55">
        <v>1.2286313795037231E-3</v>
      </c>
      <c r="AK626" s="56">
        <v>35325</v>
      </c>
      <c r="AL626" s="44">
        <v>17538</v>
      </c>
      <c r="AM626" s="54">
        <v>0.496475583864119</v>
      </c>
      <c r="AN626" s="55">
        <v>0.50474202392821499</v>
      </c>
      <c r="AO626" s="56">
        <v>292.01199526420498</v>
      </c>
      <c r="AP626" s="48">
        <v>146.00599763210249</v>
      </c>
      <c r="AQ626" s="55">
        <v>0.50060880389616713</v>
      </c>
      <c r="AR626" s="51">
        <v>4562887.74</v>
      </c>
      <c r="AS626" s="49">
        <v>37986.599188162298</v>
      </c>
      <c r="AT626" s="55">
        <v>8.325122455930133E-3</v>
      </c>
      <c r="AU626" s="51">
        <v>26693.285916005949</v>
      </c>
      <c r="AV626" s="52">
        <v>1.2143028368742733E-4</v>
      </c>
      <c r="AW626" s="44">
        <v>454</v>
      </c>
      <c r="AX626" s="51">
        <v>260.17149846048602</v>
      </c>
      <c r="AY626" s="49">
        <v>443.48077645239698</v>
      </c>
      <c r="AZ626" s="49">
        <v>183.30927799191096</v>
      </c>
      <c r="BA626" s="42" t="s">
        <v>150</v>
      </c>
      <c r="BB626" s="50">
        <v>1129551.7709861558</v>
      </c>
      <c r="BC626" s="57">
        <v>1156245.0569021618</v>
      </c>
      <c r="BD626" s="42" t="s">
        <v>150</v>
      </c>
      <c r="BE626" s="46">
        <v>80.102040816326493</v>
      </c>
      <c r="BF626" s="46">
        <v>72.425990467051307</v>
      </c>
      <c r="BG626" s="42" t="s">
        <v>150</v>
      </c>
      <c r="BH626" s="52">
        <v>0.496475583864119</v>
      </c>
      <c r="BI626" s="52">
        <v>0.49337264070319697</v>
      </c>
      <c r="BJ626" s="42" t="s">
        <v>150</v>
      </c>
      <c r="BK626" s="46">
        <v>516.42726887754998</v>
      </c>
      <c r="BL626" s="46">
        <v>605.59017138979505</v>
      </c>
      <c r="BM626" s="42" t="s">
        <v>152</v>
      </c>
      <c r="BN626" s="48">
        <v>2</v>
      </c>
      <c r="BO626" s="42" t="s">
        <v>161</v>
      </c>
      <c r="BP626" s="42" t="s">
        <v>152</v>
      </c>
      <c r="BQ626" s="46">
        <v>0</v>
      </c>
      <c r="BR626" s="46">
        <v>801</v>
      </c>
      <c r="BS626" s="46">
        <v>59174</v>
      </c>
      <c r="BT626" s="46">
        <v>16455</v>
      </c>
      <c r="BU626" s="46">
        <v>3.5961106046794287</v>
      </c>
      <c r="BV626" s="46">
        <v>20.54307116104869</v>
      </c>
      <c r="BW626" s="46">
        <v>5</v>
      </c>
      <c r="BX626" s="46">
        <v>1222</v>
      </c>
      <c r="BY626" s="46">
        <v>1227</v>
      </c>
      <c r="BZ626" s="46">
        <v>7.456700091157703E-2</v>
      </c>
      <c r="CA626" s="46">
        <v>3.0385900941962932E-4</v>
      </c>
      <c r="CB626" s="46">
        <v>7.4263141902157395E-2</v>
      </c>
      <c r="CC626" s="46">
        <v>0.17976298997265269</v>
      </c>
      <c r="CD626" s="46">
        <v>0.20261318748100879</v>
      </c>
      <c r="CE626" s="46">
        <v>7.164995442114859E-2</v>
      </c>
      <c r="CF626" s="46">
        <v>0.47134609541172889</v>
      </c>
      <c r="CG626" s="46">
        <v>0</v>
      </c>
      <c r="CH626" s="46">
        <v>6.0771801883925856E-5</v>
      </c>
      <c r="CI626" s="46">
        <v>4.2924257275154627</v>
      </c>
      <c r="CJ626" s="46">
        <v>8.4496569439280772E-2</v>
      </c>
      <c r="CK626">
        <v>382</v>
      </c>
      <c r="CL626">
        <v>442.83</v>
      </c>
      <c r="CM626">
        <f t="shared" si="70"/>
        <v>60.829999999999984</v>
      </c>
      <c r="CN626">
        <v>7.14</v>
      </c>
      <c r="CO626">
        <v>9.4499999999999993</v>
      </c>
      <c r="CP626">
        <f t="shared" si="71"/>
        <v>2.3099999999999996</v>
      </c>
      <c r="CQ626">
        <v>846.56</v>
      </c>
      <c r="CR626">
        <v>516.42999999999995</v>
      </c>
      <c r="CS626">
        <f t="shared" si="72"/>
        <v>330.13</v>
      </c>
      <c r="CT626" t="s">
        <v>152</v>
      </c>
      <c r="CU626">
        <v>76.42</v>
      </c>
      <c r="CV626">
        <v>69</v>
      </c>
      <c r="CW626" s="46">
        <v>1227</v>
      </c>
      <c r="CX626" s="46">
        <f t="shared" si="66"/>
        <v>7.0870252202977824</v>
      </c>
      <c r="CY626" s="46">
        <v>60.83</v>
      </c>
      <c r="CZ626" s="46">
        <f t="shared" si="67"/>
        <v>7.4567000911577033</v>
      </c>
      <c r="DA626" s="46">
        <f t="shared" si="68"/>
        <v>82.730143746938538</v>
      </c>
      <c r="DB626" s="46">
        <v>1366356.99</v>
      </c>
      <c r="DC626" s="46">
        <f t="shared" si="69"/>
        <v>3.9973764564057634</v>
      </c>
      <c r="DD626" s="46">
        <v>66019.990000000005</v>
      </c>
      <c r="DE626" s="995">
        <v>1227</v>
      </c>
      <c r="DF626" s="995">
        <v>7.1740000000000004</v>
      </c>
      <c r="DG626" s="995">
        <v>46.5</v>
      </c>
      <c r="DH626" s="995">
        <v>7.4569999999999999</v>
      </c>
      <c r="DI626" s="995">
        <v>259.08699999999999</v>
      </c>
      <c r="DJ626" s="995">
        <v>4275338</v>
      </c>
      <c r="DK626" s="995">
        <v>12.715</v>
      </c>
      <c r="DL626" s="995">
        <v>209812.7</v>
      </c>
      <c r="DM626" s="995">
        <v>1227</v>
      </c>
      <c r="DN626" s="995">
        <v>7.2240000000000002</v>
      </c>
      <c r="DO626" s="995">
        <v>38.299999999999997</v>
      </c>
      <c r="DP626" s="995">
        <v>7.4569999999999999</v>
      </c>
      <c r="DQ626" s="995">
        <v>254.108</v>
      </c>
      <c r="DR626" s="995">
        <v>4191090</v>
      </c>
      <c r="DS626" s="995">
        <v>12.475</v>
      </c>
      <c r="DT626" s="995">
        <v>205757.1</v>
      </c>
    </row>
    <row r="627" spans="1:124">
      <c r="A627" s="42" t="s">
        <v>94</v>
      </c>
      <c r="B627" s="42" t="s">
        <v>510</v>
      </c>
      <c r="C627" s="42" t="s">
        <v>788</v>
      </c>
      <c r="D627" s="42">
        <v>809379</v>
      </c>
      <c r="E627" s="42" t="s">
        <v>848</v>
      </c>
      <c r="F627" s="42" t="s">
        <v>149</v>
      </c>
      <c r="G627" s="42" t="s">
        <v>150</v>
      </c>
      <c r="H627" s="43" t="s">
        <v>150</v>
      </c>
      <c r="I627" s="44">
        <v>70</v>
      </c>
      <c r="J627" s="45">
        <v>322260.85359999799</v>
      </c>
      <c r="K627" s="46">
        <v>18174.996264000001</v>
      </c>
      <c r="L627" s="47">
        <v>340435.84986399801</v>
      </c>
      <c r="M627" s="48">
        <v>6965469</v>
      </c>
      <c r="N627" s="49">
        <v>4723880</v>
      </c>
      <c r="O627" s="49">
        <v>2237693</v>
      </c>
      <c r="P627" s="49">
        <v>3896</v>
      </c>
      <c r="Q627" s="50">
        <v>15785.8767573696</v>
      </c>
      <c r="R627" s="51">
        <v>32519.5730044015</v>
      </c>
      <c r="S627" s="49">
        <v>53553.069594271597</v>
      </c>
      <c r="T627" s="49">
        <v>8356.5552035805795</v>
      </c>
      <c r="U627" s="49">
        <f>IFERROR(INDEX('Rentabilidad datos'!$N$2:$N$61,MATCH($C627,'Rentabilidad datos'!$C$2:$C$61,0)),"")</f>
        <v>94429.197802253679</v>
      </c>
      <c r="V627" s="50">
        <f>IFERROR(INDEX('Rentabilidad datos'!$O$2:$O$61,MATCH($C627,'Rentabilidad datos'!$C$2:$C$61,0)),"")</f>
        <v>1573.8199633708946</v>
      </c>
      <c r="W627" s="51">
        <f>IFERROR(INDEX('Rentabilidad datos'!$M$2:$M$61,MATCH($C627,'Rentabilidad datos'!$C$2:$C$61,0)),"")</f>
        <v>3293.1144020900269</v>
      </c>
      <c r="X627" s="52">
        <f>IFERROR(INDEX('Rentabilidad datos'!$P$2:$P$61,MATCH($C627,'Rentabilidad datos'!$C$2:$C$61,0)),"")</f>
        <v>0.47791232590402716</v>
      </c>
      <c r="Y627" s="43" t="s">
        <v>171</v>
      </c>
      <c r="Z627" s="53">
        <v>95.004535147392303</v>
      </c>
      <c r="AA627" s="43">
        <v>1</v>
      </c>
      <c r="AB627" s="54">
        <v>0.96128300908381048</v>
      </c>
      <c r="AC627" s="55">
        <v>3.8716990916189561E-2</v>
      </c>
      <c r="AD627" s="752" t="e">
        <f>_xlfn.XLOOKUP(Table1[[#This Row],[Ruta]],#REF!,#REF!)</f>
        <v>#REF!</v>
      </c>
      <c r="AE627" s="752" t="e">
        <f>_xlfn.XLOOKUP(Table1[[#This Row],[Ruta]],#REF!,#REF!)</f>
        <v>#REF!</v>
      </c>
      <c r="AF627" s="752" t="e">
        <f>_xlfn.XLOOKUP(Table1[[#This Row],[Ruta]],#REF!,#REF!)</f>
        <v>#REF!</v>
      </c>
      <c r="AG627" s="752" t="e">
        <f>_xlfn.XLOOKUP(Table1[[#This Row],[Ruta]],#REF!,#REF!)</f>
        <v>#REF!</v>
      </c>
      <c r="AH627" s="52">
        <v>0.67818548901732245</v>
      </c>
      <c r="AI627" s="52">
        <v>0.32125518037622447</v>
      </c>
      <c r="AJ627" s="55">
        <v>5.5933060645306152E-4</v>
      </c>
      <c r="AK627" s="56">
        <v>41897</v>
      </c>
      <c r="AL627" s="44">
        <v>26713</v>
      </c>
      <c r="AM627" s="54">
        <v>0.63758741676014996</v>
      </c>
      <c r="AN627" s="55">
        <v>0.50474202392821499</v>
      </c>
      <c r="AO627" s="56">
        <v>0</v>
      </c>
      <c r="AP627" s="48">
        <v>0</v>
      </c>
      <c r="AQ627" s="55">
        <v>0.63758741676014985</v>
      </c>
      <c r="AR627" s="51">
        <v>6961571.6500000004</v>
      </c>
      <c r="AS627" s="49">
        <v>0</v>
      </c>
      <c r="AT627" s="55">
        <v>0</v>
      </c>
      <c r="AU627" s="51">
        <v>0</v>
      </c>
      <c r="AV627" s="52">
        <v>0</v>
      </c>
      <c r="AW627" s="44">
        <v>490</v>
      </c>
      <c r="AX627" s="51">
        <v>260.60613371766601</v>
      </c>
      <c r="AY627" s="49">
        <v>443.48077645239698</v>
      </c>
      <c r="AZ627" s="49">
        <v>182.87464273473097</v>
      </c>
      <c r="BA627" s="42" t="s">
        <v>150</v>
      </c>
      <c r="BB627" s="50">
        <v>1716397.1434553328</v>
      </c>
      <c r="BC627" s="57">
        <v>1716397.1434553328</v>
      </c>
      <c r="BD627" s="42" t="s">
        <v>150</v>
      </c>
      <c r="BE627" s="46">
        <v>95.004535147392303</v>
      </c>
      <c r="BF627" s="46">
        <v>72.425990467051307</v>
      </c>
      <c r="BG627" s="42" t="s">
        <v>150</v>
      </c>
      <c r="BH627" s="52">
        <v>0.63758741676014996</v>
      </c>
      <c r="BI627" s="52">
        <v>0.49337264070319697</v>
      </c>
      <c r="BJ627" s="42" t="s">
        <v>150</v>
      </c>
      <c r="BK627" s="46">
        <v>771.96337837641204</v>
      </c>
      <c r="BL627" s="46">
        <v>605.59017138979505</v>
      </c>
      <c r="BM627" s="42" t="s">
        <v>150</v>
      </c>
      <c r="BN627" s="48">
        <v>3</v>
      </c>
      <c r="BO627" s="42" t="s">
        <v>153</v>
      </c>
      <c r="BP627" s="42" t="s">
        <v>150</v>
      </c>
      <c r="BQ627" s="46">
        <v>0</v>
      </c>
      <c r="BR627" s="46">
        <v>472</v>
      </c>
      <c r="BS627" s="46">
        <v>37444</v>
      </c>
      <c r="BT627" s="46">
        <v>11092</v>
      </c>
      <c r="BU627" s="46">
        <v>3.3757663180670754</v>
      </c>
      <c r="BV627" s="46">
        <v>23.5</v>
      </c>
      <c r="BW627" s="46">
        <v>0</v>
      </c>
      <c r="BX627" s="46">
        <v>3595</v>
      </c>
      <c r="BY627" s="46">
        <v>3595</v>
      </c>
      <c r="BZ627" s="46">
        <v>0.32410746483952396</v>
      </c>
      <c r="CA627" s="46">
        <v>0</v>
      </c>
      <c r="CB627" s="46">
        <v>0.32410746483952402</v>
      </c>
      <c r="CC627" s="46">
        <v>0.50207356653443924</v>
      </c>
      <c r="CD627" s="46">
        <v>6.6354129102055542E-2</v>
      </c>
      <c r="CE627" s="46">
        <v>0</v>
      </c>
      <c r="CF627" s="46">
        <v>0.1074648395239813</v>
      </c>
      <c r="CG627" s="46">
        <v>0</v>
      </c>
      <c r="CH627" s="46">
        <v>0</v>
      </c>
      <c r="CI627" s="46">
        <v>3.09795961969875</v>
      </c>
      <c r="CJ627" s="46">
        <v>0.37389167823950431</v>
      </c>
      <c r="CK627">
        <v>475</v>
      </c>
      <c r="CL627">
        <v>543.94000000000005</v>
      </c>
      <c r="CM627">
        <f t="shared" si="70"/>
        <v>68.940000000000055</v>
      </c>
      <c r="CN627">
        <v>12.91</v>
      </c>
      <c r="CO627">
        <v>9.4499999999999993</v>
      </c>
      <c r="CP627">
        <f t="shared" si="71"/>
        <v>-3.4600000000000009</v>
      </c>
      <c r="CQ627">
        <v>846.56</v>
      </c>
      <c r="CR627">
        <v>771.96</v>
      </c>
      <c r="CS627">
        <f t="shared" si="72"/>
        <v>74.599999999999909</v>
      </c>
      <c r="CT627" t="s">
        <v>150</v>
      </c>
      <c r="CU627">
        <v>136.62</v>
      </c>
      <c r="CV627">
        <v>137</v>
      </c>
      <c r="CW627" s="46">
        <v>3595</v>
      </c>
      <c r="CX627" s="46">
        <f t="shared" si="66"/>
        <v>31.789217454020918</v>
      </c>
      <c r="CY627" s="46">
        <v>68.94</v>
      </c>
      <c r="CZ627" s="46">
        <f t="shared" si="67"/>
        <v>32.410746483952394</v>
      </c>
      <c r="DA627" s="46">
        <f t="shared" si="68"/>
        <v>158.16951887565025</v>
      </c>
      <c r="DB627" s="46">
        <v>1765320.51</v>
      </c>
      <c r="DC627" s="46">
        <f t="shared" si="69"/>
        <v>7.8932769103677645</v>
      </c>
      <c r="DD627" s="46">
        <v>88096.39</v>
      </c>
      <c r="DE627" s="995">
        <v>3595</v>
      </c>
      <c r="DF627" s="995">
        <v>31.789000000000001</v>
      </c>
      <c r="DG627" s="995">
        <v>68.900000000000006</v>
      </c>
      <c r="DH627" s="995">
        <v>32.411000000000001</v>
      </c>
      <c r="DI627" s="995">
        <v>633.03499999999997</v>
      </c>
      <c r="DJ627" s="995">
        <v>7065264</v>
      </c>
      <c r="DK627" s="995">
        <v>30.821999999999999</v>
      </c>
      <c r="DL627" s="995">
        <v>343999.2</v>
      </c>
      <c r="DM627" s="995">
        <v>3595</v>
      </c>
      <c r="DN627" s="995">
        <v>31.789000000000001</v>
      </c>
      <c r="DO627" s="995">
        <v>68.900000000000006</v>
      </c>
      <c r="DP627" s="995">
        <v>32.411000000000001</v>
      </c>
      <c r="DQ627" s="995">
        <v>633.03499999999997</v>
      </c>
      <c r="DR627" s="995">
        <v>7065264</v>
      </c>
      <c r="DS627" s="995">
        <v>30.821999999999999</v>
      </c>
      <c r="DT627" s="995">
        <v>343999.2</v>
      </c>
    </row>
    <row r="628" spans="1:124">
      <c r="A628" s="42" t="s">
        <v>94</v>
      </c>
      <c r="B628" s="42" t="s">
        <v>510</v>
      </c>
      <c r="C628" s="42" t="s">
        <v>788</v>
      </c>
      <c r="D628" s="42">
        <v>809380</v>
      </c>
      <c r="E628" s="42" t="s">
        <v>849</v>
      </c>
      <c r="F628" s="42" t="s">
        <v>149</v>
      </c>
      <c r="G628" s="42" t="s">
        <v>150</v>
      </c>
      <c r="H628" s="43" t="s">
        <v>150</v>
      </c>
      <c r="I628" s="44">
        <v>70</v>
      </c>
      <c r="J628" s="45">
        <v>183608.62239999999</v>
      </c>
      <c r="K628" s="46">
        <v>5318.1753740000004</v>
      </c>
      <c r="L628" s="47">
        <v>188926.79777400001</v>
      </c>
      <c r="M628" s="48">
        <v>3412436</v>
      </c>
      <c r="N628" s="49">
        <v>2672701</v>
      </c>
      <c r="O628" s="49">
        <v>736948</v>
      </c>
      <c r="P628" s="49">
        <v>2787</v>
      </c>
      <c r="Q628" s="50">
        <v>7782.7530365296798</v>
      </c>
      <c r="R628" s="51">
        <v>32519.5730044015</v>
      </c>
      <c r="S628" s="49">
        <v>53553.069594271597</v>
      </c>
      <c r="T628" s="49">
        <v>8356.5552035805795</v>
      </c>
      <c r="U628" s="49">
        <f>IFERROR(INDEX('Rentabilidad datos'!$N$2:$N$61,MATCH($C628,'Rentabilidad datos'!$C$2:$C$61,0)),"")</f>
        <v>94429.197802253679</v>
      </c>
      <c r="V628" s="50">
        <f>IFERROR(INDEX('Rentabilidad datos'!$O$2:$O$61,MATCH($C628,'Rentabilidad datos'!$C$2:$C$61,0)),"")</f>
        <v>1573.8199633708946</v>
      </c>
      <c r="W628" s="51">
        <f>IFERROR(INDEX('Rentabilidad datos'!$M$2:$M$61,MATCH($C628,'Rentabilidad datos'!$C$2:$C$61,0)),"")</f>
        <v>3293.1144020900269</v>
      </c>
      <c r="X628" s="52">
        <f>IFERROR(INDEX('Rentabilidad datos'!$P$2:$P$61,MATCH($C628,'Rentabilidad datos'!$C$2:$C$61,0)),"")</f>
        <v>0.47791232590402716</v>
      </c>
      <c r="Y628" s="43" t="s">
        <v>171</v>
      </c>
      <c r="Z628" s="53">
        <v>66.392694063926896</v>
      </c>
      <c r="AA628" s="43">
        <v>1</v>
      </c>
      <c r="AB628" s="54">
        <v>0.9677318490368757</v>
      </c>
      <c r="AC628" s="55">
        <v>3.2268150963124291E-2</v>
      </c>
      <c r="AD628" s="752" t="e">
        <f>_xlfn.XLOOKUP(Table1[[#This Row],[Ruta]],#REF!,#REF!)</f>
        <v>#REF!</v>
      </c>
      <c r="AE628" s="752" t="e">
        <f>_xlfn.XLOOKUP(Table1[[#This Row],[Ruta]],#REF!,#REF!)</f>
        <v>#REF!</v>
      </c>
      <c r="AF628" s="752" t="e">
        <f>_xlfn.XLOOKUP(Table1[[#This Row],[Ruta]],#REF!,#REF!)</f>
        <v>#REF!</v>
      </c>
      <c r="AG628" s="752" t="e">
        <f>_xlfn.XLOOKUP(Table1[[#This Row],[Ruta]],#REF!,#REF!)</f>
        <v>#REF!</v>
      </c>
      <c r="AH628" s="52">
        <v>0.78322377328102266</v>
      </c>
      <c r="AI628" s="52">
        <v>0.21595950810506043</v>
      </c>
      <c r="AJ628" s="55">
        <v>8.1671861391686171E-4</v>
      </c>
      <c r="AK628" s="56">
        <v>29080</v>
      </c>
      <c r="AL628" s="44">
        <v>13124</v>
      </c>
      <c r="AM628" s="54">
        <v>0.45130674002750998</v>
      </c>
      <c r="AN628" s="55">
        <v>0.50474202392821499</v>
      </c>
      <c r="AO628" s="56">
        <v>1553.8980558324999</v>
      </c>
      <c r="AP628" s="48">
        <v>776.94902791624997</v>
      </c>
      <c r="AQ628" s="55">
        <v>0.47802438197786279</v>
      </c>
      <c r="AR628" s="51">
        <v>3408845.83</v>
      </c>
      <c r="AS628" s="49">
        <v>201805.81026629551</v>
      </c>
      <c r="AT628" s="55">
        <v>5.9200626936623736E-2</v>
      </c>
      <c r="AU628" s="51">
        <v>141809.48829523474</v>
      </c>
      <c r="AV628" s="52">
        <v>6.451047820580885E-4</v>
      </c>
      <c r="AW628" s="44">
        <v>358</v>
      </c>
      <c r="AX628" s="51">
        <v>259.74137686680899</v>
      </c>
      <c r="AY628" s="49">
        <v>443.48077645239698</v>
      </c>
      <c r="AZ628" s="49">
        <v>183.73939958558799</v>
      </c>
      <c r="BA628" s="42" t="s">
        <v>150</v>
      </c>
      <c r="BB628" s="50">
        <v>847247.20113773923</v>
      </c>
      <c r="BC628" s="57">
        <v>989056.68943297397</v>
      </c>
      <c r="BD628" s="42" t="s">
        <v>150</v>
      </c>
      <c r="BE628" s="46">
        <v>66.392694063926896</v>
      </c>
      <c r="BF628" s="46">
        <v>72.425990467051307</v>
      </c>
      <c r="BG628" s="42" t="s">
        <v>152</v>
      </c>
      <c r="BH628" s="52">
        <v>0.45130674002750998</v>
      </c>
      <c r="BI628" s="52">
        <v>0.49337264070319697</v>
      </c>
      <c r="BJ628" s="42" t="s">
        <v>152</v>
      </c>
      <c r="BK628" s="46">
        <v>431.33972094520601</v>
      </c>
      <c r="BL628" s="46">
        <v>605.59017138979505</v>
      </c>
      <c r="BM628" s="42" t="s">
        <v>152</v>
      </c>
      <c r="BN628" s="48">
        <v>0</v>
      </c>
      <c r="BO628" s="42" t="s">
        <v>155</v>
      </c>
      <c r="BP628" s="42" t="s">
        <v>152</v>
      </c>
      <c r="BQ628" s="46">
        <v>1877.94968432718</v>
      </c>
      <c r="BR628" s="46">
        <v>162</v>
      </c>
      <c r="BS628" s="46">
        <v>17650</v>
      </c>
      <c r="BT628" s="46">
        <v>5948</v>
      </c>
      <c r="BU628" s="46">
        <v>2.9673839946200404</v>
      </c>
      <c r="BV628" s="46">
        <v>36.716049382716051</v>
      </c>
      <c r="BW628" s="46">
        <v>0</v>
      </c>
      <c r="BX628" s="46">
        <v>2866</v>
      </c>
      <c r="BY628" s="46">
        <v>2866</v>
      </c>
      <c r="BZ628" s="46">
        <v>0.48184263618022866</v>
      </c>
      <c r="CA628" s="46">
        <v>0</v>
      </c>
      <c r="CB628" s="46">
        <v>0.48184263618022871</v>
      </c>
      <c r="CC628" s="46">
        <v>0.31355077336919968</v>
      </c>
      <c r="CD628" s="46">
        <v>0.20460659045057161</v>
      </c>
      <c r="CE628" s="46">
        <v>0</v>
      </c>
      <c r="CF628" s="46">
        <v>0</v>
      </c>
      <c r="CG628" s="46">
        <v>0</v>
      </c>
      <c r="CH628" s="46">
        <v>0</v>
      </c>
      <c r="CI628" s="46">
        <v>2.0396600566572238</v>
      </c>
      <c r="CJ628" s="46">
        <v>5.6657223796034002E-2</v>
      </c>
      <c r="CK628">
        <v>333</v>
      </c>
      <c r="CL628">
        <v>488.78</v>
      </c>
      <c r="CM628">
        <f t="shared" si="70"/>
        <v>155.77999999999997</v>
      </c>
      <c r="CN628">
        <v>7.78</v>
      </c>
      <c r="CO628">
        <v>9.4499999999999993</v>
      </c>
      <c r="CP628">
        <f t="shared" si="71"/>
        <v>1.669999999999999</v>
      </c>
      <c r="CQ628">
        <v>846.56</v>
      </c>
      <c r="CR628">
        <v>431.34</v>
      </c>
      <c r="CS628">
        <f t="shared" si="72"/>
        <v>415.21999999999997</v>
      </c>
      <c r="CT628" t="s">
        <v>152</v>
      </c>
      <c r="CU628">
        <v>82.32</v>
      </c>
      <c r="CV628">
        <v>229</v>
      </c>
      <c r="CW628" s="46">
        <v>2866</v>
      </c>
      <c r="CX628" s="46">
        <f t="shared" si="66"/>
        <v>45.565232010759914</v>
      </c>
      <c r="CY628" s="46">
        <v>155.78</v>
      </c>
      <c r="CZ628" s="46">
        <f t="shared" si="67"/>
        <v>48.184263618022868</v>
      </c>
      <c r="DA628" s="46">
        <f t="shared" si="68"/>
        <v>444.947314614878</v>
      </c>
      <c r="DB628" s="46">
        <v>2715860.52</v>
      </c>
      <c r="DC628" s="46">
        <f t="shared" si="69"/>
        <v>25.072766384109521</v>
      </c>
      <c r="DD628" s="46">
        <v>153038.65</v>
      </c>
      <c r="DE628" s="995">
        <v>2866</v>
      </c>
      <c r="DF628" s="995">
        <v>45.58</v>
      </c>
      <c r="DG628" s="995">
        <v>154.9</v>
      </c>
      <c r="DH628" s="995">
        <v>48.183999999999997</v>
      </c>
      <c r="DI628" s="995">
        <v>890.755</v>
      </c>
      <c r="DJ628" s="995">
        <v>5436177</v>
      </c>
      <c r="DK628" s="995">
        <v>49.959000000000003</v>
      </c>
      <c r="DL628" s="995">
        <v>304896.59999999998</v>
      </c>
      <c r="DM628" s="995">
        <v>2866</v>
      </c>
      <c r="DN628" s="995">
        <v>45.741</v>
      </c>
      <c r="DO628" s="995">
        <v>145.30000000000001</v>
      </c>
      <c r="DP628" s="995">
        <v>48.183999999999997</v>
      </c>
      <c r="DQ628" s="995">
        <v>877.87099999999998</v>
      </c>
      <c r="DR628" s="995">
        <v>5349174</v>
      </c>
      <c r="DS628" s="995">
        <v>49.244999999999997</v>
      </c>
      <c r="DT628" s="995">
        <v>300068.40000000002</v>
      </c>
    </row>
    <row r="629" spans="1:124">
      <c r="A629" s="42" t="s">
        <v>94</v>
      </c>
      <c r="B629" s="42" t="s">
        <v>510</v>
      </c>
      <c r="C629" s="42" t="s">
        <v>788</v>
      </c>
      <c r="D629" s="42">
        <v>809381</v>
      </c>
      <c r="E629" s="42" t="s">
        <v>850</v>
      </c>
      <c r="F629" s="42" t="s">
        <v>149</v>
      </c>
      <c r="G629" s="42" t="s">
        <v>150</v>
      </c>
      <c r="H629" s="43" t="s">
        <v>150</v>
      </c>
      <c r="I629" s="44">
        <v>70</v>
      </c>
      <c r="J629" s="45">
        <v>195891.23120000001</v>
      </c>
      <c r="K629" s="46">
        <v>6179.442325</v>
      </c>
      <c r="L629" s="47">
        <v>202070.67352499999</v>
      </c>
      <c r="M629" s="48">
        <v>3672743</v>
      </c>
      <c r="N629" s="49">
        <v>2851257</v>
      </c>
      <c r="O629" s="49">
        <v>814183</v>
      </c>
      <c r="P629" s="49">
        <v>7303</v>
      </c>
      <c r="Q629" s="50">
        <v>8504.5041067285401</v>
      </c>
      <c r="R629" s="51">
        <v>32519.5730044015</v>
      </c>
      <c r="S629" s="49">
        <v>53553.069594271597</v>
      </c>
      <c r="T629" s="49">
        <v>8356.5552035805795</v>
      </c>
      <c r="U629" s="49">
        <f>IFERROR(INDEX('Rentabilidad datos'!$N$2:$N$61,MATCH($C629,'Rentabilidad datos'!$C$2:$C$61,0)),"")</f>
        <v>94429.197802253679</v>
      </c>
      <c r="V629" s="50">
        <f>IFERROR(INDEX('Rentabilidad datos'!$O$2:$O$61,MATCH($C629,'Rentabilidad datos'!$C$2:$C$61,0)),"")</f>
        <v>1573.8199633708946</v>
      </c>
      <c r="W629" s="51">
        <f>IFERROR(INDEX('Rentabilidad datos'!$M$2:$M$61,MATCH($C629,'Rentabilidad datos'!$C$2:$C$61,0)),"")</f>
        <v>3293.1144020900269</v>
      </c>
      <c r="X629" s="52">
        <f>IFERROR(INDEX('Rentabilidad datos'!$P$2:$P$61,MATCH($C629,'Rentabilidad datos'!$C$2:$C$61,0)),"")</f>
        <v>0.47791232590402716</v>
      </c>
      <c r="Y629" s="43" t="s">
        <v>171</v>
      </c>
      <c r="Z629" s="53">
        <v>63.549883990719302</v>
      </c>
      <c r="AA629" s="43">
        <v>1</v>
      </c>
      <c r="AB629" s="54">
        <v>0.91561157423756578</v>
      </c>
      <c r="AC629" s="55">
        <v>8.438842576243423E-2</v>
      </c>
      <c r="AD629" s="752" t="e">
        <f>_xlfn.XLOOKUP(Table1[[#This Row],[Ruta]],#REF!,#REF!)</f>
        <v>#REF!</v>
      </c>
      <c r="AE629" s="752" t="e">
        <f>_xlfn.XLOOKUP(Table1[[#This Row],[Ruta]],#REF!,#REF!)</f>
        <v>#REF!</v>
      </c>
      <c r="AF629" s="752" t="e">
        <f>_xlfn.XLOOKUP(Table1[[#This Row],[Ruta]],#REF!,#REF!)</f>
        <v>#REF!</v>
      </c>
      <c r="AG629" s="752" t="e">
        <f>_xlfn.XLOOKUP(Table1[[#This Row],[Ruta]],#REF!,#REF!)</f>
        <v>#REF!</v>
      </c>
      <c r="AH629" s="52">
        <v>0.77632902710589879</v>
      </c>
      <c r="AI629" s="52">
        <v>0.22168254081486236</v>
      </c>
      <c r="AJ629" s="55">
        <v>1.9884320792388686E-3</v>
      </c>
      <c r="AK629" s="56">
        <v>27390</v>
      </c>
      <c r="AL629" s="44">
        <v>13088</v>
      </c>
      <c r="AM629" s="54">
        <v>0.47783862723621801</v>
      </c>
      <c r="AN629" s="55">
        <v>0.50474202392821499</v>
      </c>
      <c r="AO629" s="56">
        <v>736.88403539381795</v>
      </c>
      <c r="AP629" s="48">
        <v>368.44201769690898</v>
      </c>
      <c r="AQ629" s="55">
        <v>0.49129032558221647</v>
      </c>
      <c r="AR629" s="51">
        <v>3665441.27</v>
      </c>
      <c r="AS629" s="49">
        <v>103186.3216127995</v>
      </c>
      <c r="AT629" s="55">
        <v>2.815113215899364E-2</v>
      </c>
      <c r="AU629" s="51">
        <v>72509.307079264545</v>
      </c>
      <c r="AV629" s="52">
        <v>3.2985169964909743E-4</v>
      </c>
      <c r="AW629" s="44">
        <v>414</v>
      </c>
      <c r="AX629" s="51">
        <v>280.06122172982901</v>
      </c>
      <c r="AY629" s="49">
        <v>443.48077645239698</v>
      </c>
      <c r="AZ629" s="49">
        <v>163.41955472256797</v>
      </c>
      <c r="BA629" s="42" t="s">
        <v>150</v>
      </c>
      <c r="BB629" s="50">
        <v>751482.61401936796</v>
      </c>
      <c r="BC629" s="57">
        <v>823991.92109863251</v>
      </c>
      <c r="BD629" s="42" t="s">
        <v>150</v>
      </c>
      <c r="BE629" s="46">
        <v>63.549883990719302</v>
      </c>
      <c r="BF629" s="46">
        <v>72.425990467051307</v>
      </c>
      <c r="BG629" s="42" t="s">
        <v>152</v>
      </c>
      <c r="BH629" s="52">
        <v>0.47783862723621801</v>
      </c>
      <c r="BI629" s="52">
        <v>0.49337264070319697</v>
      </c>
      <c r="BJ629" s="42" t="s">
        <v>152</v>
      </c>
      <c r="BK629" s="46">
        <v>468.84146989559099</v>
      </c>
      <c r="BL629" s="46">
        <v>605.59017138979505</v>
      </c>
      <c r="BM629" s="42" t="s">
        <v>152</v>
      </c>
      <c r="BN629" s="48">
        <v>0</v>
      </c>
      <c r="BO629" s="42" t="s">
        <v>155</v>
      </c>
      <c r="BP629" s="42" t="s">
        <v>152</v>
      </c>
      <c r="BQ629" s="46">
        <v>2446.8778645605898</v>
      </c>
      <c r="BR629" s="46">
        <v>991</v>
      </c>
      <c r="BS629" s="46">
        <v>98838</v>
      </c>
      <c r="BT629" s="46">
        <v>23709</v>
      </c>
      <c r="BU629" s="46">
        <v>4.1687966594963939</v>
      </c>
      <c r="BV629" s="46">
        <v>23.924318869828458</v>
      </c>
      <c r="BW629" s="46">
        <v>0</v>
      </c>
      <c r="BX629" s="46">
        <v>2473</v>
      </c>
      <c r="BY629" s="46">
        <v>2473</v>
      </c>
      <c r="BZ629" s="46">
        <v>0.10430638154287401</v>
      </c>
      <c r="CA629" s="46">
        <v>0</v>
      </c>
      <c r="CB629" s="46">
        <v>0.104306381542874</v>
      </c>
      <c r="CC629" s="46">
        <v>0.1119827913450588</v>
      </c>
      <c r="CD629" s="46">
        <v>8.4735754354886325E-2</v>
      </c>
      <c r="CE629" s="46">
        <v>4.80830064532456E-3</v>
      </c>
      <c r="CF629" s="46">
        <v>0.69416677211185629</v>
      </c>
      <c r="CG629" s="46">
        <v>0</v>
      </c>
      <c r="CH629" s="46">
        <v>0</v>
      </c>
      <c r="CI629" s="46">
        <v>5.4533681377607799</v>
      </c>
      <c r="CJ629" s="46">
        <v>9.1058095064651234E-2</v>
      </c>
      <c r="CK629">
        <v>369</v>
      </c>
      <c r="CL629">
        <v>425.37</v>
      </c>
      <c r="CM629">
        <f t="shared" si="70"/>
        <v>56.370000000000005</v>
      </c>
      <c r="CN629">
        <v>11.49</v>
      </c>
      <c r="CO629">
        <v>9.4499999999999993</v>
      </c>
      <c r="CP629">
        <f t="shared" si="71"/>
        <v>-2.0400000000000009</v>
      </c>
      <c r="CQ629">
        <v>564.37</v>
      </c>
      <c r="CR629">
        <v>468.84</v>
      </c>
      <c r="CS629">
        <f t="shared" si="72"/>
        <v>95.53000000000003</v>
      </c>
      <c r="CT629" t="s">
        <v>150</v>
      </c>
      <c r="CU629">
        <v>125.39</v>
      </c>
      <c r="CV629">
        <v>78</v>
      </c>
      <c r="CW629" s="46">
        <v>2473</v>
      </c>
      <c r="CX629" s="46">
        <f t="shared" si="66"/>
        <v>10.192880340798853</v>
      </c>
      <c r="CY629" s="46">
        <v>56.37</v>
      </c>
      <c r="CZ629" s="46">
        <f t="shared" si="67"/>
        <v>10.430638154287401</v>
      </c>
      <c r="DA629" s="46">
        <f t="shared" si="68"/>
        <v>84.319079399984105</v>
      </c>
      <c r="DB629" s="46">
        <v>2003874.12</v>
      </c>
      <c r="DC629" s="46">
        <f t="shared" si="69"/>
        <v>4.6380594958126045</v>
      </c>
      <c r="DD629" s="46">
        <v>110225.2</v>
      </c>
      <c r="DE629" s="995">
        <v>2473</v>
      </c>
      <c r="DF629" s="995">
        <v>10.193</v>
      </c>
      <c r="DG629" s="995">
        <v>56.4</v>
      </c>
      <c r="DH629" s="995">
        <v>10.430999999999999</v>
      </c>
      <c r="DI629" s="995">
        <v>198.16900000000001</v>
      </c>
      <c r="DJ629" s="995">
        <v>4709570</v>
      </c>
      <c r="DK629" s="995">
        <v>10.813000000000001</v>
      </c>
      <c r="DL629" s="995">
        <v>256982.7</v>
      </c>
      <c r="DM629" s="995">
        <v>2473</v>
      </c>
      <c r="DN629" s="995">
        <v>10.193</v>
      </c>
      <c r="DO629" s="995">
        <v>56.4</v>
      </c>
      <c r="DP629" s="995">
        <v>10.430999999999999</v>
      </c>
      <c r="DQ629" s="995">
        <v>198.16900000000001</v>
      </c>
      <c r="DR629" s="995">
        <v>4709570</v>
      </c>
      <c r="DS629" s="995">
        <v>10.813000000000001</v>
      </c>
      <c r="DT629" s="995">
        <v>256982.7</v>
      </c>
    </row>
    <row r="630" spans="1:124">
      <c r="A630" s="42" t="s">
        <v>94</v>
      </c>
      <c r="B630" s="42" t="s">
        <v>510</v>
      </c>
      <c r="C630" s="42" t="s">
        <v>788</v>
      </c>
      <c r="D630" s="42">
        <v>809382</v>
      </c>
      <c r="E630" s="42" t="s">
        <v>851</v>
      </c>
      <c r="F630" s="42" t="s">
        <v>193</v>
      </c>
      <c r="G630" s="42" t="s">
        <v>150</v>
      </c>
      <c r="H630" s="43" t="s">
        <v>152</v>
      </c>
      <c r="I630" s="44">
        <v>70</v>
      </c>
      <c r="J630" s="45">
        <v>119.7616</v>
      </c>
      <c r="K630" s="46">
        <v>0</v>
      </c>
      <c r="L630" s="47">
        <v>119.7616</v>
      </c>
      <c r="M630" s="48">
        <v>1700</v>
      </c>
      <c r="N630" s="49">
        <v>1700</v>
      </c>
      <c r="O630" s="49">
        <v>0</v>
      </c>
      <c r="P630" s="49">
        <v>0</v>
      </c>
      <c r="Q630" s="50">
        <v>0</v>
      </c>
      <c r="R630" s="51">
        <v>32519.5730044015</v>
      </c>
      <c r="S630" s="49">
        <v>53553.069594271597</v>
      </c>
      <c r="T630" s="49">
        <v>8356.5552035805795</v>
      </c>
      <c r="U630" s="49">
        <f>IFERROR(INDEX('Rentabilidad datos'!$N$2:$N$61,MATCH($C630,'Rentabilidad datos'!$C$2:$C$61,0)),"")</f>
        <v>94429.197802253679</v>
      </c>
      <c r="V630" s="50">
        <f>IFERROR(INDEX('Rentabilidad datos'!$O$2:$O$61,MATCH($C630,'Rentabilidad datos'!$C$2:$C$61,0)),"")</f>
        <v>1573.8199633708946</v>
      </c>
      <c r="W630" s="51">
        <f>IFERROR(INDEX('Rentabilidad datos'!$M$2:$M$61,MATCH($C630,'Rentabilidad datos'!$C$2:$C$61,0)),"")</f>
        <v>3293.1144020900269</v>
      </c>
      <c r="X630" s="52">
        <f>IFERROR(INDEX('Rentabilidad datos'!$P$2:$P$61,MATCH($C630,'Rentabilidad datos'!$C$2:$C$61,0)),"")</f>
        <v>0.47791232590402716</v>
      </c>
      <c r="Y630" s="43" t="s">
        <v>171</v>
      </c>
      <c r="Z630" s="53">
        <v>37.566666666666698</v>
      </c>
      <c r="AA630" s="43">
        <v>1</v>
      </c>
      <c r="AB630" s="54">
        <v>1</v>
      </c>
      <c r="AC630" s="55">
        <v>0</v>
      </c>
      <c r="AD630" s="752" t="e">
        <f>_xlfn.XLOOKUP(Table1[[#This Row],[Ruta]],#REF!,#REF!)</f>
        <v>#REF!</v>
      </c>
      <c r="AE630" s="752" t="e">
        <f>_xlfn.XLOOKUP(Table1[[#This Row],[Ruta]],#REF!,#REF!)</f>
        <v>#REF!</v>
      </c>
      <c r="AF630" s="752" t="e">
        <f>_xlfn.XLOOKUP(Table1[[#This Row],[Ruta]],#REF!,#REF!)</f>
        <v>#REF!</v>
      </c>
      <c r="AG630" s="752" t="e">
        <f>_xlfn.XLOOKUP(Table1[[#This Row],[Ruta]],#REF!,#REF!)</f>
        <v>#REF!</v>
      </c>
      <c r="AH630" s="52">
        <v>1</v>
      </c>
      <c r="AI630" s="52">
        <v>0</v>
      </c>
      <c r="AJ630" s="55">
        <v>0</v>
      </c>
      <c r="AK630" s="56">
        <v>1127</v>
      </c>
      <c r="AL630" s="44">
        <v>7</v>
      </c>
      <c r="AM630" s="54">
        <v>6.2111801242236003E-3</v>
      </c>
      <c r="AN630" s="55">
        <v>0.50474202392821499</v>
      </c>
      <c r="AO630" s="56">
        <v>0</v>
      </c>
      <c r="AP630" s="48">
        <v>0</v>
      </c>
      <c r="AQ630" s="55">
        <v>6.2111801242236021E-3</v>
      </c>
      <c r="AR630" s="51">
        <v>1700</v>
      </c>
      <c r="AS630" s="49">
        <v>0</v>
      </c>
      <c r="AT630" s="55">
        <v>0</v>
      </c>
      <c r="AU630" s="51">
        <v>0</v>
      </c>
      <c r="AV630" s="52">
        <v>0</v>
      </c>
      <c r="AW630" s="44">
        <v>490</v>
      </c>
      <c r="AX630" s="51">
        <v>242.857142857143</v>
      </c>
      <c r="AY630" s="49">
        <v>443.48077645239698</v>
      </c>
      <c r="AZ630" s="49">
        <v>200.62363359525398</v>
      </c>
      <c r="BA630" s="42" t="s">
        <v>150</v>
      </c>
      <c r="BB630" s="50">
        <v>493.42569343697619</v>
      </c>
      <c r="BC630" s="57">
        <v>493.42569343697619</v>
      </c>
      <c r="BD630" s="42" t="s">
        <v>152</v>
      </c>
      <c r="BE630" s="46" t="s">
        <v>195</v>
      </c>
      <c r="BF630" s="46" t="s">
        <v>195</v>
      </c>
      <c r="BG630" s="42" t="s">
        <v>195</v>
      </c>
      <c r="BH630" s="52" t="s">
        <v>195</v>
      </c>
      <c r="BI630" s="52" t="s">
        <v>195</v>
      </c>
      <c r="BJ630" s="42" t="s">
        <v>195</v>
      </c>
      <c r="BK630" s="46" t="s">
        <v>195</v>
      </c>
      <c r="BL630" s="46" t="s">
        <v>195</v>
      </c>
      <c r="BM630" s="42" t="s">
        <v>195</v>
      </c>
      <c r="BN630" s="48" t="s">
        <v>195</v>
      </c>
      <c r="BO630" s="42" t="s">
        <v>195</v>
      </c>
      <c r="BP630" s="42" t="s">
        <v>152</v>
      </c>
      <c r="BQ630" s="46">
        <v>0</v>
      </c>
      <c r="BR630" s="46" t="e">
        <v>#N/A</v>
      </c>
      <c r="BS630" s="46" t="e">
        <v>#N/A</v>
      </c>
      <c r="BT630" s="46" t="e">
        <v>#N/A</v>
      </c>
      <c r="BU630" s="46" t="e">
        <v>#N/A</v>
      </c>
      <c r="BV630" s="46" t="e">
        <v>#N/A</v>
      </c>
      <c r="BW630" s="46" t="e">
        <v>#N/A</v>
      </c>
      <c r="BX630" s="46" t="e">
        <v>#N/A</v>
      </c>
      <c r="BY630" s="46" t="e">
        <v>#N/A</v>
      </c>
      <c r="BZ630" s="46" t="e">
        <v>#N/A</v>
      </c>
      <c r="CA630" s="46" t="e">
        <v>#N/A</v>
      </c>
      <c r="CB630" s="46" t="e">
        <v>#N/A</v>
      </c>
      <c r="CC630" s="46" t="e">
        <v>#N/A</v>
      </c>
      <c r="CD630" s="46" t="e">
        <v>#N/A</v>
      </c>
      <c r="CE630" s="46" t="e">
        <v>#N/A</v>
      </c>
      <c r="CF630" s="46" t="e">
        <v>#N/A</v>
      </c>
      <c r="CG630" s="46" t="e">
        <v>#N/A</v>
      </c>
      <c r="CH630" s="46" t="e">
        <v>#N/A</v>
      </c>
      <c r="CI630" s="46" t="e">
        <v>#N/A</v>
      </c>
      <c r="CJ630" s="46" t="e">
        <v>#N/A</v>
      </c>
      <c r="CM630">
        <f t="shared" si="70"/>
        <v>0</v>
      </c>
      <c r="CP630">
        <f t="shared" si="71"/>
        <v>0</v>
      </c>
      <c r="CS630">
        <f t="shared" si="72"/>
        <v>0</v>
      </c>
      <c r="CW630" s="46"/>
      <c r="CX630" s="46" t="e">
        <f t="shared" si="66"/>
        <v>#N/A</v>
      </c>
      <c r="CY630" s="46"/>
      <c r="CZ630" s="46" t="e">
        <f t="shared" si="67"/>
        <v>#N/A</v>
      </c>
      <c r="DA630" s="46" t="e">
        <f t="shared" si="68"/>
        <v>#N/A</v>
      </c>
      <c r="DB630" s="46"/>
      <c r="DC630" s="46" t="e">
        <f t="shared" si="69"/>
        <v>#N/A</v>
      </c>
      <c r="DD630" s="46"/>
      <c r="DE630" s="995" t="s">
        <v>194</v>
      </c>
      <c r="DF630" s="995" t="s">
        <v>194</v>
      </c>
      <c r="DG630" s="995" t="s">
        <v>194</v>
      </c>
      <c r="DH630" s="995" t="s">
        <v>194</v>
      </c>
      <c r="DI630" s="995" t="s">
        <v>194</v>
      </c>
      <c r="DJ630" s="995" t="s">
        <v>194</v>
      </c>
      <c r="DK630" s="995" t="s">
        <v>194</v>
      </c>
      <c r="DL630" s="995" t="s">
        <v>194</v>
      </c>
      <c r="DM630" s="995" t="s">
        <v>194</v>
      </c>
      <c r="DN630" s="995" t="s">
        <v>194</v>
      </c>
      <c r="DO630" s="995" t="s">
        <v>194</v>
      </c>
      <c r="DP630" s="995" t="s">
        <v>194</v>
      </c>
      <c r="DQ630" s="995" t="s">
        <v>194</v>
      </c>
      <c r="DR630" s="995" t="s">
        <v>194</v>
      </c>
      <c r="DS630" s="995" t="s">
        <v>194</v>
      </c>
      <c r="DT630" s="995" t="s">
        <v>194</v>
      </c>
    </row>
    <row r="631" spans="1:124">
      <c r="A631" s="42" t="s">
        <v>94</v>
      </c>
      <c r="B631" s="42" t="s">
        <v>510</v>
      </c>
      <c r="C631" s="42" t="s">
        <v>788</v>
      </c>
      <c r="D631" s="42">
        <v>809383</v>
      </c>
      <c r="E631" s="42" t="s">
        <v>852</v>
      </c>
      <c r="F631" s="42" t="s">
        <v>193</v>
      </c>
      <c r="G631" s="42" t="s">
        <v>150</v>
      </c>
      <c r="H631" s="43" t="s">
        <v>152</v>
      </c>
      <c r="I631" s="44">
        <v>70</v>
      </c>
      <c r="J631" s="45">
        <v>84.537599999999998</v>
      </c>
      <c r="K631" s="46">
        <v>0</v>
      </c>
      <c r="L631" s="47">
        <v>84.537599999999998</v>
      </c>
      <c r="M631" s="48">
        <v>1200</v>
      </c>
      <c r="N631" s="49">
        <v>1200</v>
      </c>
      <c r="O631" s="49">
        <v>0</v>
      </c>
      <c r="P631" s="49">
        <v>0</v>
      </c>
      <c r="Q631" s="50">
        <v>0</v>
      </c>
      <c r="R631" s="51">
        <v>32519.5730044015</v>
      </c>
      <c r="S631" s="49">
        <v>53553.069594271597</v>
      </c>
      <c r="T631" s="49">
        <v>8356.5552035805795</v>
      </c>
      <c r="U631" s="49">
        <f>IFERROR(INDEX('Rentabilidad datos'!$N$2:$N$61,MATCH($C631,'Rentabilidad datos'!$C$2:$C$61,0)),"")</f>
        <v>94429.197802253679</v>
      </c>
      <c r="V631" s="50">
        <f>IFERROR(INDEX('Rentabilidad datos'!$O$2:$O$61,MATCH($C631,'Rentabilidad datos'!$C$2:$C$61,0)),"")</f>
        <v>1573.8199633708946</v>
      </c>
      <c r="W631" s="51">
        <f>IFERROR(INDEX('Rentabilidad datos'!$M$2:$M$61,MATCH($C631,'Rentabilidad datos'!$C$2:$C$61,0)),"")</f>
        <v>3293.1144020900269</v>
      </c>
      <c r="X631" s="52">
        <f>IFERROR(INDEX('Rentabilidad datos'!$P$2:$P$61,MATCH($C631,'Rentabilidad datos'!$C$2:$C$61,0)),"")</f>
        <v>0.47791232590402716</v>
      </c>
      <c r="Y631" s="43" t="s">
        <v>171</v>
      </c>
      <c r="Z631" s="53">
        <v>76.5</v>
      </c>
      <c r="AA631" s="43">
        <v>1</v>
      </c>
      <c r="AB631" s="54">
        <v>1</v>
      </c>
      <c r="AC631" s="55">
        <v>0</v>
      </c>
      <c r="AD631" s="752" t="e">
        <f>_xlfn.XLOOKUP(Table1[[#This Row],[Ruta]],#REF!,#REF!)</f>
        <v>#REF!</v>
      </c>
      <c r="AE631" s="752" t="e">
        <f>_xlfn.XLOOKUP(Table1[[#This Row],[Ruta]],#REF!,#REF!)</f>
        <v>#REF!</v>
      </c>
      <c r="AF631" s="752" t="e">
        <f>_xlfn.XLOOKUP(Table1[[#This Row],[Ruta]],#REF!,#REF!)</f>
        <v>#REF!</v>
      </c>
      <c r="AG631" s="752" t="e">
        <f>_xlfn.XLOOKUP(Table1[[#This Row],[Ruta]],#REF!,#REF!)</f>
        <v>#REF!</v>
      </c>
      <c r="AH631" s="52">
        <v>1</v>
      </c>
      <c r="AI631" s="52">
        <v>0</v>
      </c>
      <c r="AJ631" s="55">
        <v>0</v>
      </c>
      <c r="AK631" s="56">
        <v>459</v>
      </c>
      <c r="AL631" s="44">
        <v>18</v>
      </c>
      <c r="AM631" s="54">
        <v>3.9215686274509803E-2</v>
      </c>
      <c r="AN631" s="55">
        <v>0.50474202392821499</v>
      </c>
      <c r="AO631" s="56">
        <v>0</v>
      </c>
      <c r="AP631" s="48">
        <v>0</v>
      </c>
      <c r="AQ631" s="55">
        <v>3.9215686274509803E-2</v>
      </c>
      <c r="AR631" s="51">
        <v>1200</v>
      </c>
      <c r="AS631" s="49">
        <v>0</v>
      </c>
      <c r="AT631" s="55">
        <v>0</v>
      </c>
      <c r="AU631" s="51">
        <v>0</v>
      </c>
      <c r="AV631" s="52">
        <v>0</v>
      </c>
      <c r="AW631" s="44">
        <v>490</v>
      </c>
      <c r="AX631" s="51">
        <v>66.6666666666667</v>
      </c>
      <c r="AY631" s="49">
        <v>443.48077645239698</v>
      </c>
      <c r="AZ631" s="49">
        <v>376.8141097857303</v>
      </c>
      <c r="BA631" s="42" t="s">
        <v>150</v>
      </c>
      <c r="BB631" s="50">
        <v>2383.0946402665113</v>
      </c>
      <c r="BC631" s="57">
        <v>2383.0946402665113</v>
      </c>
      <c r="BD631" s="42" t="s">
        <v>152</v>
      </c>
      <c r="BE631" s="46" t="s">
        <v>195</v>
      </c>
      <c r="BF631" s="46" t="s">
        <v>195</v>
      </c>
      <c r="BG631" s="42" t="s">
        <v>195</v>
      </c>
      <c r="BH631" s="52" t="s">
        <v>195</v>
      </c>
      <c r="BI631" s="52" t="s">
        <v>195</v>
      </c>
      <c r="BJ631" s="42" t="s">
        <v>195</v>
      </c>
      <c r="BK631" s="46" t="s">
        <v>195</v>
      </c>
      <c r="BL631" s="46" t="s">
        <v>195</v>
      </c>
      <c r="BM631" s="42" t="s">
        <v>195</v>
      </c>
      <c r="BN631" s="48" t="s">
        <v>195</v>
      </c>
      <c r="BO631" s="42" t="s">
        <v>195</v>
      </c>
      <c r="BP631" s="42" t="s">
        <v>152</v>
      </c>
      <c r="BQ631" s="46">
        <v>0</v>
      </c>
      <c r="BR631" s="46" t="e">
        <v>#N/A</v>
      </c>
      <c r="BS631" s="46" t="e">
        <v>#N/A</v>
      </c>
      <c r="BT631" s="46" t="e">
        <v>#N/A</v>
      </c>
      <c r="BU631" s="46" t="e">
        <v>#N/A</v>
      </c>
      <c r="BV631" s="46" t="e">
        <v>#N/A</v>
      </c>
      <c r="BW631" s="46" t="e">
        <v>#N/A</v>
      </c>
      <c r="BX631" s="46" t="e">
        <v>#N/A</v>
      </c>
      <c r="BY631" s="46" t="e">
        <v>#N/A</v>
      </c>
      <c r="BZ631" s="46" t="e">
        <v>#N/A</v>
      </c>
      <c r="CA631" s="46" t="e">
        <v>#N/A</v>
      </c>
      <c r="CB631" s="46" t="e">
        <v>#N/A</v>
      </c>
      <c r="CC631" s="46" t="e">
        <v>#N/A</v>
      </c>
      <c r="CD631" s="46" t="e">
        <v>#N/A</v>
      </c>
      <c r="CE631" s="46" t="e">
        <v>#N/A</v>
      </c>
      <c r="CF631" s="46" t="e">
        <v>#N/A</v>
      </c>
      <c r="CG631" s="46" t="e">
        <v>#N/A</v>
      </c>
      <c r="CH631" s="46" t="e">
        <v>#N/A</v>
      </c>
      <c r="CI631" s="46" t="e">
        <v>#N/A</v>
      </c>
      <c r="CJ631" s="46" t="e">
        <v>#N/A</v>
      </c>
      <c r="CM631">
        <f t="shared" si="70"/>
        <v>0</v>
      </c>
      <c r="CP631">
        <f t="shared" si="71"/>
        <v>0</v>
      </c>
      <c r="CS631">
        <f t="shared" si="72"/>
        <v>0</v>
      </c>
      <c r="CW631" s="46"/>
      <c r="CX631" s="46" t="e">
        <f t="shared" si="66"/>
        <v>#N/A</v>
      </c>
      <c r="CY631" s="46"/>
      <c r="CZ631" s="46" t="e">
        <f t="shared" si="67"/>
        <v>#N/A</v>
      </c>
      <c r="DA631" s="46" t="e">
        <f t="shared" si="68"/>
        <v>#N/A</v>
      </c>
      <c r="DB631" s="46"/>
      <c r="DC631" s="46" t="e">
        <f t="shared" si="69"/>
        <v>#N/A</v>
      </c>
      <c r="DD631" s="46"/>
      <c r="DE631" s="995" t="s">
        <v>194</v>
      </c>
      <c r="DF631" s="995" t="s">
        <v>194</v>
      </c>
      <c r="DG631" s="995" t="s">
        <v>194</v>
      </c>
      <c r="DH631" s="995" t="s">
        <v>194</v>
      </c>
      <c r="DI631" s="995" t="s">
        <v>194</v>
      </c>
      <c r="DJ631" s="995" t="s">
        <v>194</v>
      </c>
      <c r="DK631" s="995" t="s">
        <v>194</v>
      </c>
      <c r="DL631" s="995" t="s">
        <v>194</v>
      </c>
      <c r="DM631" s="995" t="s">
        <v>194</v>
      </c>
      <c r="DN631" s="995" t="s">
        <v>194</v>
      </c>
      <c r="DO631" s="995" t="s">
        <v>194</v>
      </c>
      <c r="DP631" s="995" t="s">
        <v>194</v>
      </c>
      <c r="DQ631" s="995" t="s">
        <v>194</v>
      </c>
      <c r="DR631" s="995" t="s">
        <v>194</v>
      </c>
      <c r="DS631" s="995" t="s">
        <v>194</v>
      </c>
      <c r="DT631" s="995" t="s">
        <v>194</v>
      </c>
    </row>
    <row r="632" spans="1:124">
      <c r="A632" s="42" t="s">
        <v>94</v>
      </c>
      <c r="B632" s="42" t="s">
        <v>510</v>
      </c>
      <c r="C632" s="42" t="s">
        <v>788</v>
      </c>
      <c r="D632" s="42">
        <v>809384</v>
      </c>
      <c r="E632" s="42" t="s">
        <v>853</v>
      </c>
      <c r="F632" s="42" t="s">
        <v>193</v>
      </c>
      <c r="G632" s="42" t="s">
        <v>150</v>
      </c>
      <c r="H632" s="43" t="s">
        <v>152</v>
      </c>
      <c r="I632" s="44">
        <v>70</v>
      </c>
      <c r="J632" s="45">
        <v>59.880800000000001</v>
      </c>
      <c r="K632" s="46">
        <v>50.975299999999997</v>
      </c>
      <c r="L632" s="47">
        <v>110.8561</v>
      </c>
      <c r="M632" s="48">
        <v>6211</v>
      </c>
      <c r="N632" s="49">
        <v>681</v>
      </c>
      <c r="O632" s="49">
        <v>5530</v>
      </c>
      <c r="P632" s="49">
        <v>0</v>
      </c>
      <c r="Q632" s="50">
        <v>0</v>
      </c>
      <c r="R632" s="51">
        <v>32519.5730044015</v>
      </c>
      <c r="S632" s="49">
        <v>53553.069594271597</v>
      </c>
      <c r="T632" s="49">
        <v>8356.5552035805795</v>
      </c>
      <c r="U632" s="49">
        <f>IFERROR(INDEX('Rentabilidad datos'!$N$2:$N$61,MATCH($C632,'Rentabilidad datos'!$C$2:$C$61,0)),"")</f>
        <v>94429.197802253679</v>
      </c>
      <c r="V632" s="50">
        <f>IFERROR(INDEX('Rentabilidad datos'!$O$2:$O$61,MATCH($C632,'Rentabilidad datos'!$C$2:$C$61,0)),"")</f>
        <v>1573.8199633708946</v>
      </c>
      <c r="W632" s="51">
        <f>IFERROR(INDEX('Rentabilidad datos'!$M$2:$M$61,MATCH($C632,'Rentabilidad datos'!$C$2:$C$61,0)),"")</f>
        <v>3293.1144020900269</v>
      </c>
      <c r="X632" s="52">
        <f>IFERROR(INDEX('Rentabilidad datos'!$P$2:$P$61,MATCH($C632,'Rentabilidad datos'!$C$2:$C$61,0)),"")</f>
        <v>0.47791232590402716</v>
      </c>
      <c r="Y632" s="43" t="s">
        <v>171</v>
      </c>
      <c r="Z632" s="53">
        <v>40.6666666666667</v>
      </c>
      <c r="AA632" s="43">
        <v>1</v>
      </c>
      <c r="AB632" s="54">
        <v>8.050233456770247E-3</v>
      </c>
      <c r="AC632" s="55">
        <v>0.99194976654322975</v>
      </c>
      <c r="AD632" s="752" t="e">
        <f>_xlfn.XLOOKUP(Table1[[#This Row],[Ruta]],#REF!,#REF!)</f>
        <v>#REF!</v>
      </c>
      <c r="AE632" s="752" t="e">
        <f>_xlfn.XLOOKUP(Table1[[#This Row],[Ruta]],#REF!,#REF!)</f>
        <v>#REF!</v>
      </c>
      <c r="AF632" s="752" t="e">
        <f>_xlfn.XLOOKUP(Table1[[#This Row],[Ruta]],#REF!,#REF!)</f>
        <v>#REF!</v>
      </c>
      <c r="AG632" s="752" t="e">
        <f>_xlfn.XLOOKUP(Table1[[#This Row],[Ruta]],#REF!,#REF!)</f>
        <v>#REF!</v>
      </c>
      <c r="AH632" s="52">
        <v>0.10964417968121075</v>
      </c>
      <c r="AI632" s="52">
        <v>0.89035582031878924</v>
      </c>
      <c r="AJ632" s="55">
        <v>0</v>
      </c>
      <c r="AK632" s="56">
        <v>976</v>
      </c>
      <c r="AL632" s="44">
        <v>9</v>
      </c>
      <c r="AM632" s="54">
        <v>7.1721311475408996E-3</v>
      </c>
      <c r="AN632" s="55">
        <v>0.50474202392821499</v>
      </c>
      <c r="AO632" s="56">
        <v>0</v>
      </c>
      <c r="AP632" s="48">
        <v>0</v>
      </c>
      <c r="AQ632" s="55">
        <v>9.2213114754098359E-3</v>
      </c>
      <c r="AR632" s="51">
        <v>6210.7</v>
      </c>
      <c r="AS632" s="49">
        <v>0</v>
      </c>
      <c r="AT632" s="55">
        <v>0</v>
      </c>
      <c r="AU632" s="51">
        <v>0</v>
      </c>
      <c r="AV632" s="52">
        <v>0</v>
      </c>
      <c r="AW632" s="44">
        <v>490</v>
      </c>
      <c r="AX632" s="51">
        <v>690.07777777777801</v>
      </c>
      <c r="AY632" s="49">
        <v>443.48077645239698</v>
      </c>
      <c r="AZ632" s="49">
        <v>0</v>
      </c>
      <c r="BA632" s="42" t="s">
        <v>152</v>
      </c>
      <c r="BB632" s="50">
        <v>0</v>
      </c>
      <c r="BC632" s="57">
        <v>0</v>
      </c>
      <c r="BD632" s="42" t="s">
        <v>152</v>
      </c>
      <c r="BE632" s="46" t="s">
        <v>195</v>
      </c>
      <c r="BF632" s="46" t="s">
        <v>195</v>
      </c>
      <c r="BG632" s="42" t="s">
        <v>195</v>
      </c>
      <c r="BH632" s="52" t="s">
        <v>195</v>
      </c>
      <c r="BI632" s="52" t="s">
        <v>195</v>
      </c>
      <c r="BJ632" s="42" t="s">
        <v>195</v>
      </c>
      <c r="BK632" s="46" t="s">
        <v>195</v>
      </c>
      <c r="BL632" s="46" t="s">
        <v>195</v>
      </c>
      <c r="BM632" s="42" t="s">
        <v>195</v>
      </c>
      <c r="BN632" s="48" t="s">
        <v>195</v>
      </c>
      <c r="BO632" s="42" t="s">
        <v>195</v>
      </c>
      <c r="BP632" s="42" t="s">
        <v>152</v>
      </c>
      <c r="BQ632" s="46">
        <v>0</v>
      </c>
      <c r="BR632" s="46" t="e">
        <v>#N/A</v>
      </c>
      <c r="BS632" s="46" t="e">
        <v>#N/A</v>
      </c>
      <c r="BT632" s="46" t="e">
        <v>#N/A</v>
      </c>
      <c r="BU632" s="46" t="e">
        <v>#N/A</v>
      </c>
      <c r="BV632" s="46" t="e">
        <v>#N/A</v>
      </c>
      <c r="BW632" s="46" t="e">
        <v>#N/A</v>
      </c>
      <c r="BX632" s="46" t="e">
        <v>#N/A</v>
      </c>
      <c r="BY632" s="46" t="e">
        <v>#N/A</v>
      </c>
      <c r="BZ632" s="46" t="e">
        <v>#N/A</v>
      </c>
      <c r="CA632" s="46" t="e">
        <v>#N/A</v>
      </c>
      <c r="CB632" s="46" t="e">
        <v>#N/A</v>
      </c>
      <c r="CC632" s="46" t="e">
        <v>#N/A</v>
      </c>
      <c r="CD632" s="46" t="e">
        <v>#N/A</v>
      </c>
      <c r="CE632" s="46" t="e">
        <v>#N/A</v>
      </c>
      <c r="CF632" s="46" t="e">
        <v>#N/A</v>
      </c>
      <c r="CG632" s="46" t="e">
        <v>#N/A</v>
      </c>
      <c r="CH632" s="46" t="e">
        <v>#N/A</v>
      </c>
      <c r="CI632" s="46" t="e">
        <v>#N/A</v>
      </c>
      <c r="CJ632" s="46" t="e">
        <v>#N/A</v>
      </c>
      <c r="CM632">
        <f t="shared" si="70"/>
        <v>0</v>
      </c>
      <c r="CP632">
        <f t="shared" si="71"/>
        <v>0</v>
      </c>
      <c r="CS632">
        <f t="shared" si="72"/>
        <v>0</v>
      </c>
      <c r="CW632" s="46"/>
      <c r="CX632" s="46" t="e">
        <f t="shared" si="66"/>
        <v>#N/A</v>
      </c>
      <c r="CY632" s="46"/>
      <c r="CZ632" s="46" t="e">
        <f t="shared" si="67"/>
        <v>#N/A</v>
      </c>
      <c r="DA632" s="46" t="e">
        <f t="shared" si="68"/>
        <v>#N/A</v>
      </c>
      <c r="DB632" s="46"/>
      <c r="DC632" s="46" t="e">
        <f t="shared" si="69"/>
        <v>#N/A</v>
      </c>
      <c r="DD632" s="46"/>
      <c r="DE632" s="995" t="s">
        <v>194</v>
      </c>
      <c r="DF632" s="995" t="s">
        <v>194</v>
      </c>
      <c r="DG632" s="995" t="s">
        <v>194</v>
      </c>
      <c r="DH632" s="995" t="s">
        <v>194</v>
      </c>
      <c r="DI632" s="995" t="s">
        <v>194</v>
      </c>
      <c r="DJ632" s="995" t="s">
        <v>194</v>
      </c>
      <c r="DK632" s="995" t="s">
        <v>194</v>
      </c>
      <c r="DL632" s="995" t="s">
        <v>194</v>
      </c>
      <c r="DM632" s="995" t="s">
        <v>194</v>
      </c>
      <c r="DN632" s="995" t="s">
        <v>194</v>
      </c>
      <c r="DO632" s="995" t="s">
        <v>194</v>
      </c>
      <c r="DP632" s="995" t="s">
        <v>194</v>
      </c>
      <c r="DQ632" s="995" t="s">
        <v>194</v>
      </c>
      <c r="DR632" s="995" t="s">
        <v>194</v>
      </c>
      <c r="DS632" s="995" t="s">
        <v>194</v>
      </c>
      <c r="DT632" s="995" t="s">
        <v>194</v>
      </c>
    </row>
    <row r="633" spans="1:124">
      <c r="A633" s="42" t="s">
        <v>94</v>
      </c>
      <c r="B633" s="42" t="s">
        <v>510</v>
      </c>
      <c r="C633" s="42" t="s">
        <v>788</v>
      </c>
      <c r="D633" s="42">
        <v>809385</v>
      </c>
      <c r="E633" s="42" t="s">
        <v>854</v>
      </c>
      <c r="F633" s="42" t="s">
        <v>149</v>
      </c>
      <c r="G633" s="42" t="s">
        <v>150</v>
      </c>
      <c r="H633" s="43" t="s">
        <v>150</v>
      </c>
      <c r="I633" s="44">
        <v>70</v>
      </c>
      <c r="J633" s="45">
        <v>157123.756681</v>
      </c>
      <c r="K633" s="46">
        <v>6166.1423500000001</v>
      </c>
      <c r="L633" s="47">
        <v>163289.89903100001</v>
      </c>
      <c r="M633" s="48">
        <v>3425934</v>
      </c>
      <c r="N633" s="49">
        <v>2417811</v>
      </c>
      <c r="O633" s="49">
        <v>1003006</v>
      </c>
      <c r="P633" s="49">
        <v>5117</v>
      </c>
      <c r="Q633" s="50">
        <v>7555.4365501165503</v>
      </c>
      <c r="R633" s="51">
        <v>32519.5730044015</v>
      </c>
      <c r="S633" s="49">
        <v>53553.069594271597</v>
      </c>
      <c r="T633" s="49">
        <v>8356.5552035805795</v>
      </c>
      <c r="U633" s="49">
        <f>IFERROR(INDEX('Rentabilidad datos'!$N$2:$N$61,MATCH($C633,'Rentabilidad datos'!$C$2:$C$61,0)),"")</f>
        <v>94429.197802253679</v>
      </c>
      <c r="V633" s="50">
        <f>IFERROR(INDEX('Rentabilidad datos'!$O$2:$O$61,MATCH($C633,'Rentabilidad datos'!$C$2:$C$61,0)),"")</f>
        <v>1573.8199633708946</v>
      </c>
      <c r="W633" s="51">
        <f>IFERROR(INDEX('Rentabilidad datos'!$M$2:$M$61,MATCH($C633,'Rentabilidad datos'!$C$2:$C$61,0)),"")</f>
        <v>3293.1144020900269</v>
      </c>
      <c r="X633" s="52">
        <f>IFERROR(INDEX('Rentabilidad datos'!$P$2:$P$61,MATCH($C633,'Rentabilidad datos'!$C$2:$C$61,0)),"")</f>
        <v>0.47791232590402716</v>
      </c>
      <c r="Y633" s="43" t="s">
        <v>171</v>
      </c>
      <c r="Z633" s="53">
        <v>39.424242424242401</v>
      </c>
      <c r="AA633" s="43">
        <v>1</v>
      </c>
      <c r="AB633" s="54">
        <v>0.97829847276684256</v>
      </c>
      <c r="AC633" s="55">
        <v>2.170152723315744E-2</v>
      </c>
      <c r="AD633" s="752" t="e">
        <f>_xlfn.XLOOKUP(Table1[[#This Row],[Ruta]],#REF!,#REF!)</f>
        <v>#REF!</v>
      </c>
      <c r="AE633" s="752" t="e">
        <f>_xlfn.XLOOKUP(Table1[[#This Row],[Ruta]],#REF!,#REF!)</f>
        <v>#REF!</v>
      </c>
      <c r="AF633" s="752" t="e">
        <f>_xlfn.XLOOKUP(Table1[[#This Row],[Ruta]],#REF!,#REF!)</f>
        <v>#REF!</v>
      </c>
      <c r="AG633" s="752" t="e">
        <f>_xlfn.XLOOKUP(Table1[[#This Row],[Ruta]],#REF!,#REF!)</f>
        <v>#REF!</v>
      </c>
      <c r="AH633" s="52">
        <v>0.7057377637747837</v>
      </c>
      <c r="AI633" s="52">
        <v>0.29276862893447453</v>
      </c>
      <c r="AJ633" s="55">
        <v>1.4936072907417363E-3</v>
      </c>
      <c r="AK633" s="56">
        <v>16913</v>
      </c>
      <c r="AL633" s="44">
        <v>6850</v>
      </c>
      <c r="AM633" s="54">
        <v>0.40501389463726101</v>
      </c>
      <c r="AN633" s="55">
        <v>0.50474202392821499</v>
      </c>
      <c r="AO633" s="56">
        <v>1686.70185069791</v>
      </c>
      <c r="AP633" s="48">
        <v>843.350925348955</v>
      </c>
      <c r="AQ633" s="55">
        <v>0.45487795928273839</v>
      </c>
      <c r="AR633" s="51">
        <v>3241282.28</v>
      </c>
      <c r="AS633" s="49">
        <v>399056.70221243252</v>
      </c>
      <c r="AT633" s="55">
        <v>0.12311692340860622</v>
      </c>
      <c r="AU633" s="51">
        <v>280418.22317630402</v>
      </c>
      <c r="AV633" s="52">
        <v>1.2756490339394647E-3</v>
      </c>
      <c r="AW633" s="44">
        <v>257</v>
      </c>
      <c r="AX633" s="51">
        <v>473.17989489051098</v>
      </c>
      <c r="AY633" s="49">
        <v>443.48077645239698</v>
      </c>
      <c r="AZ633" s="49">
        <v>0</v>
      </c>
      <c r="BA633" s="42" t="s">
        <v>152</v>
      </c>
      <c r="BB633" s="50">
        <v>0</v>
      </c>
      <c r="BC633" s="57">
        <v>280418.22317630402</v>
      </c>
      <c r="BD633" s="42" t="s">
        <v>150</v>
      </c>
      <c r="BE633" s="46">
        <v>39.424242424242401</v>
      </c>
      <c r="BF633" s="46">
        <v>72.425990467051307</v>
      </c>
      <c r="BG633" s="42" t="s">
        <v>152</v>
      </c>
      <c r="BH633" s="52">
        <v>0.40501389463726101</v>
      </c>
      <c r="BI633" s="52">
        <v>0.49337264070319697</v>
      </c>
      <c r="BJ633" s="42" t="s">
        <v>152</v>
      </c>
      <c r="BK633" s="46">
        <v>380.62913527039598</v>
      </c>
      <c r="BL633" s="46">
        <v>605.59017138979505</v>
      </c>
      <c r="BM633" s="42" t="s">
        <v>152</v>
      </c>
      <c r="BN633" s="48">
        <v>0</v>
      </c>
      <c r="BO633" s="42" t="s">
        <v>155</v>
      </c>
      <c r="BP633" s="42" t="s">
        <v>152</v>
      </c>
      <c r="BQ633" s="46">
        <v>7746.8621104785398</v>
      </c>
      <c r="BR633" s="46">
        <v>29</v>
      </c>
      <c r="BS633" s="46">
        <v>1733</v>
      </c>
      <c r="BT633" s="46">
        <v>638</v>
      </c>
      <c r="BU633" s="46">
        <v>2.7163009404388716</v>
      </c>
      <c r="BV633" s="46">
        <v>22</v>
      </c>
      <c r="BW633" s="46">
        <v>0</v>
      </c>
      <c r="BX633" s="46">
        <v>638</v>
      </c>
      <c r="BY633" s="46">
        <v>638</v>
      </c>
      <c r="BZ633" s="46">
        <v>1</v>
      </c>
      <c r="CA633" s="46">
        <v>0</v>
      </c>
      <c r="CB633" s="46">
        <v>1</v>
      </c>
      <c r="CC633" s="46">
        <v>0</v>
      </c>
      <c r="CD633" s="46">
        <v>0</v>
      </c>
      <c r="CE633" s="46">
        <v>0</v>
      </c>
      <c r="CF633" s="46">
        <v>0</v>
      </c>
      <c r="CG633" s="46">
        <v>0</v>
      </c>
      <c r="CH633" s="46">
        <v>0</v>
      </c>
      <c r="CI633" s="46">
        <v>1.154068090017311</v>
      </c>
      <c r="CJ633" s="46">
        <v>1.731102135025967</v>
      </c>
      <c r="CK633">
        <v>160</v>
      </c>
      <c r="CL633">
        <v>160</v>
      </c>
      <c r="CM633">
        <f t="shared" si="70"/>
        <v>0</v>
      </c>
      <c r="CN633">
        <v>10.99</v>
      </c>
      <c r="CO633">
        <v>9.4499999999999993</v>
      </c>
      <c r="CP633">
        <f t="shared" si="71"/>
        <v>-1.5400000000000009</v>
      </c>
      <c r="CQ633">
        <v>564.37</v>
      </c>
      <c r="CR633">
        <v>380.63</v>
      </c>
      <c r="CS633">
        <f t="shared" si="72"/>
        <v>183.74</v>
      </c>
      <c r="CT633" t="s">
        <v>150</v>
      </c>
      <c r="CU633">
        <v>116.31</v>
      </c>
      <c r="CV633">
        <v>163</v>
      </c>
      <c r="CW633" s="46">
        <v>638</v>
      </c>
      <c r="CX633" s="46">
        <f t="shared" si="66"/>
        <v>100</v>
      </c>
      <c r="CY633" s="46">
        <v>0</v>
      </c>
      <c r="CZ633" s="46">
        <f t="shared" si="67"/>
        <v>100</v>
      </c>
      <c r="DA633" s="46">
        <f t="shared" si="68"/>
        <v>0</v>
      </c>
      <c r="DB633" s="46">
        <v>0</v>
      </c>
      <c r="DC633" s="46">
        <f t="shared" si="69"/>
        <v>0</v>
      </c>
      <c r="DD633" s="46">
        <v>0</v>
      </c>
      <c r="DE633" s="995">
        <v>638</v>
      </c>
      <c r="DF633" s="995">
        <v>100</v>
      </c>
      <c r="DG633" s="995">
        <v>0</v>
      </c>
      <c r="DH633" s="995">
        <v>100</v>
      </c>
      <c r="DI633" s="995">
        <v>3577.94</v>
      </c>
      <c r="DJ633" s="995">
        <v>2282726</v>
      </c>
      <c r="DK633" s="995">
        <v>174.15799999999999</v>
      </c>
      <c r="DL633" s="995">
        <v>111112.8</v>
      </c>
      <c r="DM633" s="995">
        <v>638</v>
      </c>
      <c r="DN633" s="995">
        <v>100</v>
      </c>
      <c r="DO633" s="995">
        <v>0</v>
      </c>
      <c r="DP633" s="995">
        <v>100</v>
      </c>
      <c r="DQ633" s="995">
        <v>3577.94</v>
      </c>
      <c r="DR633" s="995">
        <v>2282726</v>
      </c>
      <c r="DS633" s="995">
        <v>174.15799999999999</v>
      </c>
      <c r="DT633" s="995">
        <v>111112.8</v>
      </c>
    </row>
    <row r="634" spans="1:124">
      <c r="A634" s="42" t="s">
        <v>94</v>
      </c>
      <c r="B634" s="42" t="s">
        <v>510</v>
      </c>
      <c r="C634" s="42" t="s">
        <v>788</v>
      </c>
      <c r="D634" s="42">
        <v>809386</v>
      </c>
      <c r="E634" s="42" t="s">
        <v>855</v>
      </c>
      <c r="F634" s="42" t="s">
        <v>193</v>
      </c>
      <c r="G634" s="42" t="s">
        <v>150</v>
      </c>
      <c r="H634" s="43" t="s">
        <v>152</v>
      </c>
      <c r="I634" s="44">
        <v>70</v>
      </c>
      <c r="J634" s="45">
        <v>4786.9416000000001</v>
      </c>
      <c r="K634" s="46">
        <v>217.75482500000001</v>
      </c>
      <c r="L634" s="47">
        <v>5004.6964250000101</v>
      </c>
      <c r="M634" s="48">
        <v>101229</v>
      </c>
      <c r="N634" s="49">
        <v>67621</v>
      </c>
      <c r="O634" s="49">
        <v>33608</v>
      </c>
      <c r="P634" s="49">
        <v>0</v>
      </c>
      <c r="Q634" s="50">
        <v>0</v>
      </c>
      <c r="R634" s="51">
        <v>32519.5730044015</v>
      </c>
      <c r="S634" s="49">
        <v>53553.069594271597</v>
      </c>
      <c r="T634" s="49">
        <v>8356.5552035805795</v>
      </c>
      <c r="U634" s="49">
        <f>IFERROR(INDEX('Rentabilidad datos'!$N$2:$N$61,MATCH($C634,'Rentabilidad datos'!$C$2:$C$61,0)),"")</f>
        <v>94429.197802253679</v>
      </c>
      <c r="V634" s="50">
        <f>IFERROR(INDEX('Rentabilidad datos'!$O$2:$O$61,MATCH($C634,'Rentabilidad datos'!$C$2:$C$61,0)),"")</f>
        <v>1573.8199633708946</v>
      </c>
      <c r="W634" s="51">
        <f>IFERROR(INDEX('Rentabilidad datos'!$M$2:$M$61,MATCH($C634,'Rentabilidad datos'!$C$2:$C$61,0)),"")</f>
        <v>3293.1144020900269</v>
      </c>
      <c r="X634" s="52">
        <f>IFERROR(INDEX('Rentabilidad datos'!$P$2:$P$61,MATCH($C634,'Rentabilidad datos'!$C$2:$C$61,0)),"")</f>
        <v>0.47791232590402716</v>
      </c>
      <c r="Y634" s="43" t="s">
        <v>171</v>
      </c>
      <c r="Z634" s="53">
        <v>49.872727272727303</v>
      </c>
      <c r="AA634" s="43">
        <v>1</v>
      </c>
      <c r="AB634" s="54">
        <v>0.93080046231811042</v>
      </c>
      <c r="AC634" s="55">
        <v>6.9199537681889578E-2</v>
      </c>
      <c r="AD634" s="752" t="e">
        <f>_xlfn.XLOOKUP(Table1[[#This Row],[Ruta]],#REF!,#REF!)</f>
        <v>#REF!</v>
      </c>
      <c r="AE634" s="752" t="e">
        <f>_xlfn.XLOOKUP(Table1[[#This Row],[Ruta]],#REF!,#REF!)</f>
        <v>#REF!</v>
      </c>
      <c r="AF634" s="752" t="e">
        <f>_xlfn.XLOOKUP(Table1[[#This Row],[Ruta]],#REF!,#REF!)</f>
        <v>#REF!</v>
      </c>
      <c r="AG634" s="752" t="e">
        <f>_xlfn.XLOOKUP(Table1[[#This Row],[Ruta]],#REF!,#REF!)</f>
        <v>#REF!</v>
      </c>
      <c r="AH634" s="52">
        <v>0.66800027660057892</v>
      </c>
      <c r="AI634" s="52">
        <v>0.33199972339942113</v>
      </c>
      <c r="AJ634" s="55">
        <v>0</v>
      </c>
      <c r="AK634" s="56">
        <v>2743</v>
      </c>
      <c r="AL634" s="44">
        <v>177</v>
      </c>
      <c r="AM634" s="54">
        <v>5.8330295297119902E-2</v>
      </c>
      <c r="AN634" s="55">
        <v>0.50474202392821499</v>
      </c>
      <c r="AO634" s="56">
        <v>0</v>
      </c>
      <c r="AP634" s="48">
        <v>0</v>
      </c>
      <c r="AQ634" s="55">
        <v>6.4527889172438929E-2</v>
      </c>
      <c r="AR634" s="51">
        <v>101228.01</v>
      </c>
      <c r="AS634" s="49">
        <v>0</v>
      </c>
      <c r="AT634" s="55">
        <v>0</v>
      </c>
      <c r="AU634" s="51">
        <v>0</v>
      </c>
      <c r="AV634" s="52">
        <v>0</v>
      </c>
      <c r="AW634" s="44">
        <v>490</v>
      </c>
      <c r="AX634" s="51">
        <v>571.90966101694903</v>
      </c>
      <c r="AY634" s="49">
        <v>443.48077645239698</v>
      </c>
      <c r="AZ634" s="49">
        <v>0</v>
      </c>
      <c r="BA634" s="42" t="s">
        <v>152</v>
      </c>
      <c r="BB634" s="50">
        <v>0</v>
      </c>
      <c r="BC634" s="57">
        <v>0</v>
      </c>
      <c r="BD634" s="42" t="s">
        <v>152</v>
      </c>
      <c r="BE634" s="46" t="s">
        <v>195</v>
      </c>
      <c r="BF634" s="46" t="s">
        <v>195</v>
      </c>
      <c r="BG634" s="42" t="s">
        <v>195</v>
      </c>
      <c r="BH634" s="52" t="s">
        <v>195</v>
      </c>
      <c r="BI634" s="52" t="s">
        <v>195</v>
      </c>
      <c r="BJ634" s="42" t="s">
        <v>195</v>
      </c>
      <c r="BK634" s="46" t="s">
        <v>195</v>
      </c>
      <c r="BL634" s="46" t="s">
        <v>195</v>
      </c>
      <c r="BM634" s="42" t="s">
        <v>195</v>
      </c>
      <c r="BN634" s="48" t="s">
        <v>195</v>
      </c>
      <c r="BO634" s="42" t="s">
        <v>195</v>
      </c>
      <c r="BP634" s="42" t="s">
        <v>152</v>
      </c>
      <c r="BQ634" s="46">
        <v>0</v>
      </c>
      <c r="BR634" s="46" t="e">
        <v>#N/A</v>
      </c>
      <c r="BS634" s="46" t="e">
        <v>#N/A</v>
      </c>
      <c r="BT634" s="46" t="e">
        <v>#N/A</v>
      </c>
      <c r="BU634" s="46" t="e">
        <v>#N/A</v>
      </c>
      <c r="BV634" s="46" t="e">
        <v>#N/A</v>
      </c>
      <c r="BW634" s="46" t="e">
        <v>#N/A</v>
      </c>
      <c r="BX634" s="46" t="e">
        <v>#N/A</v>
      </c>
      <c r="BY634" s="46" t="e">
        <v>#N/A</v>
      </c>
      <c r="BZ634" s="46" t="e">
        <v>#N/A</v>
      </c>
      <c r="CA634" s="46" t="e">
        <v>#N/A</v>
      </c>
      <c r="CB634" s="46" t="e">
        <v>#N/A</v>
      </c>
      <c r="CC634" s="46" t="e">
        <v>#N/A</v>
      </c>
      <c r="CD634" s="46" t="e">
        <v>#N/A</v>
      </c>
      <c r="CE634" s="46" t="e">
        <v>#N/A</v>
      </c>
      <c r="CF634" s="46" t="e">
        <v>#N/A</v>
      </c>
      <c r="CG634" s="46" t="e">
        <v>#N/A</v>
      </c>
      <c r="CH634" s="46" t="e">
        <v>#N/A</v>
      </c>
      <c r="CI634" s="46" t="e">
        <v>#N/A</v>
      </c>
      <c r="CJ634" s="46" t="e">
        <v>#N/A</v>
      </c>
      <c r="CM634">
        <f t="shared" si="70"/>
        <v>0</v>
      </c>
      <c r="CP634">
        <f t="shared" si="71"/>
        <v>0</v>
      </c>
      <c r="CS634">
        <f t="shared" si="72"/>
        <v>0</v>
      </c>
      <c r="CW634" s="46"/>
      <c r="CX634" s="46" t="e">
        <f t="shared" si="66"/>
        <v>#N/A</v>
      </c>
      <c r="CY634" s="46"/>
      <c r="CZ634" s="46" t="e">
        <f t="shared" si="67"/>
        <v>#N/A</v>
      </c>
      <c r="DA634" s="46" t="e">
        <f t="shared" si="68"/>
        <v>#N/A</v>
      </c>
      <c r="DB634" s="46"/>
      <c r="DC634" s="46" t="e">
        <f t="shared" si="69"/>
        <v>#N/A</v>
      </c>
      <c r="DD634" s="46"/>
      <c r="DE634" s="995" t="s">
        <v>194</v>
      </c>
      <c r="DF634" s="995" t="s">
        <v>194</v>
      </c>
      <c r="DG634" s="995" t="s">
        <v>194</v>
      </c>
      <c r="DH634" s="995" t="s">
        <v>194</v>
      </c>
      <c r="DI634" s="995" t="s">
        <v>194</v>
      </c>
      <c r="DJ634" s="995" t="s">
        <v>194</v>
      </c>
      <c r="DK634" s="995" t="s">
        <v>194</v>
      </c>
      <c r="DL634" s="995" t="s">
        <v>194</v>
      </c>
      <c r="DM634" s="995" t="s">
        <v>194</v>
      </c>
      <c r="DN634" s="995" t="s">
        <v>194</v>
      </c>
      <c r="DO634" s="995" t="s">
        <v>194</v>
      </c>
      <c r="DP634" s="995" t="s">
        <v>194</v>
      </c>
      <c r="DQ634" s="995" t="s">
        <v>194</v>
      </c>
      <c r="DR634" s="995" t="s">
        <v>194</v>
      </c>
      <c r="DS634" s="995" t="s">
        <v>194</v>
      </c>
      <c r="DT634" s="995" t="s">
        <v>194</v>
      </c>
    </row>
    <row r="635" spans="1:124">
      <c r="A635" s="42" t="s">
        <v>94</v>
      </c>
      <c r="B635" s="42" t="s">
        <v>510</v>
      </c>
      <c r="C635" s="42" t="s">
        <v>788</v>
      </c>
      <c r="D635" s="42">
        <v>809388</v>
      </c>
      <c r="E635" s="42" t="s">
        <v>856</v>
      </c>
      <c r="F635" s="42" t="s">
        <v>149</v>
      </c>
      <c r="G635" s="42" t="s">
        <v>150</v>
      </c>
      <c r="H635" s="43" t="s">
        <v>150</v>
      </c>
      <c r="I635" s="44">
        <v>70</v>
      </c>
      <c r="J635" s="45">
        <v>7375.9056</v>
      </c>
      <c r="K635" s="46">
        <v>488.76069999999999</v>
      </c>
      <c r="L635" s="47">
        <v>7864.6662999999999</v>
      </c>
      <c r="M635" s="48">
        <v>173803</v>
      </c>
      <c r="N635" s="49">
        <v>104547</v>
      </c>
      <c r="O635" s="49">
        <v>69256</v>
      </c>
      <c r="P635" s="49">
        <v>0</v>
      </c>
      <c r="Q635" s="50">
        <v>5266.7651515151501</v>
      </c>
      <c r="R635" s="51">
        <v>32519.5730044015</v>
      </c>
      <c r="S635" s="49">
        <v>53553.069594271597</v>
      </c>
      <c r="T635" s="49">
        <v>8356.5552035805795</v>
      </c>
      <c r="U635" s="49">
        <f>IFERROR(INDEX('Rentabilidad datos'!$N$2:$N$61,MATCH($C635,'Rentabilidad datos'!$C$2:$C$61,0)),"")</f>
        <v>94429.197802253679</v>
      </c>
      <c r="V635" s="50">
        <f>IFERROR(INDEX('Rentabilidad datos'!$O$2:$O$61,MATCH($C635,'Rentabilidad datos'!$C$2:$C$61,0)),"")</f>
        <v>1573.8199633708946</v>
      </c>
      <c r="W635" s="51">
        <f>IFERROR(INDEX('Rentabilidad datos'!$M$2:$M$61,MATCH($C635,'Rentabilidad datos'!$C$2:$C$61,0)),"")</f>
        <v>3293.1144020900269</v>
      </c>
      <c r="X635" s="52">
        <f>IFERROR(INDEX('Rentabilidad datos'!$P$2:$P$61,MATCH($C635,'Rentabilidad datos'!$C$2:$C$61,0)),"")</f>
        <v>0.47791232590402716</v>
      </c>
      <c r="Y635" s="43" t="s">
        <v>171</v>
      </c>
      <c r="Z635" s="53">
        <v>128.25925925925901</v>
      </c>
      <c r="AA635" s="43">
        <v>1</v>
      </c>
      <c r="AB635" s="54">
        <v>0.9895456350005466</v>
      </c>
      <c r="AC635" s="55">
        <v>1.0454364999453404E-2</v>
      </c>
      <c r="AD635" s="752" t="e">
        <f>_xlfn.XLOOKUP(Table1[[#This Row],[Ruta]],#REF!,#REF!)</f>
        <v>#REF!</v>
      </c>
      <c r="AE635" s="752" t="e">
        <f>_xlfn.XLOOKUP(Table1[[#This Row],[Ruta]],#REF!,#REF!)</f>
        <v>#REF!</v>
      </c>
      <c r="AF635" s="752" t="e">
        <f>_xlfn.XLOOKUP(Table1[[#This Row],[Ruta]],#REF!,#REF!)</f>
        <v>#REF!</v>
      </c>
      <c r="AG635" s="752" t="e">
        <f>_xlfn.XLOOKUP(Table1[[#This Row],[Ruta]],#REF!,#REF!)</f>
        <v>#REF!</v>
      </c>
      <c r="AH635" s="52">
        <v>0.60152586549138964</v>
      </c>
      <c r="AI635" s="52">
        <v>0.3984741345086103</v>
      </c>
      <c r="AJ635" s="55">
        <v>0</v>
      </c>
      <c r="AK635" s="56">
        <v>3463</v>
      </c>
      <c r="AL635" s="44">
        <v>139</v>
      </c>
      <c r="AM635" s="54">
        <v>3.8406006352873202E-2</v>
      </c>
      <c r="AN635" s="55">
        <v>0.50474202392821499</v>
      </c>
      <c r="AO635" s="56">
        <v>1614.92162886341</v>
      </c>
      <c r="AP635" s="48">
        <v>807.46081443170499</v>
      </c>
      <c r="AQ635" s="55">
        <v>0.27330661693089953</v>
      </c>
      <c r="AR635" s="51">
        <v>173803.25</v>
      </c>
      <c r="AS635" s="49">
        <v>1009635.351049475</v>
      </c>
      <c r="AT635" s="55">
        <v>5.8090706074223295</v>
      </c>
      <c r="AU635" s="51">
        <v>709473.48992665834</v>
      </c>
      <c r="AV635" s="52">
        <v>3.2274620450097771E-3</v>
      </c>
      <c r="AW635" s="44">
        <v>94</v>
      </c>
      <c r="AX635" s="51">
        <v>1250.3830935251799</v>
      </c>
      <c r="AY635" s="49">
        <v>443.48077645239698</v>
      </c>
      <c r="AZ635" s="49">
        <v>0</v>
      </c>
      <c r="BA635" s="42" t="s">
        <v>152</v>
      </c>
      <c r="BB635" s="50">
        <v>0</v>
      </c>
      <c r="BC635" s="57">
        <v>709473.48992665834</v>
      </c>
      <c r="BD635" s="42" t="s">
        <v>150</v>
      </c>
      <c r="BE635" s="46">
        <v>128.25925925925901</v>
      </c>
      <c r="BF635" s="46">
        <v>72.425990467051307</v>
      </c>
      <c r="BG635" s="42" t="s">
        <v>150</v>
      </c>
      <c r="BH635" s="52">
        <v>3.8406006352873202E-2</v>
      </c>
      <c r="BI635" s="52">
        <v>0.49337264070319697</v>
      </c>
      <c r="BJ635" s="42" t="s">
        <v>152</v>
      </c>
      <c r="BK635" s="46">
        <v>238.32322121212101</v>
      </c>
      <c r="BL635" s="46">
        <v>605.59017138979505</v>
      </c>
      <c r="BM635" s="42" t="s">
        <v>152</v>
      </c>
      <c r="BN635" s="48">
        <v>1</v>
      </c>
      <c r="BO635" s="42" t="s">
        <v>155</v>
      </c>
      <c r="BP635" s="42" t="s">
        <v>152</v>
      </c>
      <c r="BQ635" s="46">
        <v>727.60601747309204</v>
      </c>
      <c r="BR635" s="46" t="e">
        <v>#N/A</v>
      </c>
      <c r="BS635" s="46" t="e">
        <v>#N/A</v>
      </c>
      <c r="BT635" s="46" t="e">
        <v>#N/A</v>
      </c>
      <c r="BU635" s="46" t="e">
        <v>#N/A</v>
      </c>
      <c r="BV635" s="46" t="e">
        <v>#N/A</v>
      </c>
      <c r="BW635" s="46" t="e">
        <v>#N/A</v>
      </c>
      <c r="BX635" s="46" t="e">
        <v>#N/A</v>
      </c>
      <c r="BY635" s="46" t="e">
        <v>#N/A</v>
      </c>
      <c r="BZ635" s="46" t="e">
        <v>#N/A</v>
      </c>
      <c r="CA635" s="46" t="e">
        <v>#N/A</v>
      </c>
      <c r="CB635" s="46" t="e">
        <v>#N/A</v>
      </c>
      <c r="CC635" s="46" t="e">
        <v>#N/A</v>
      </c>
      <c r="CD635" s="46" t="e">
        <v>#N/A</v>
      </c>
      <c r="CE635" s="46" t="e">
        <v>#N/A</v>
      </c>
      <c r="CF635" s="46" t="e">
        <v>#N/A</v>
      </c>
      <c r="CG635" s="46" t="e">
        <v>#N/A</v>
      </c>
      <c r="CH635" s="46" t="e">
        <v>#N/A</v>
      </c>
      <c r="CI635" s="46" t="e">
        <v>#N/A</v>
      </c>
      <c r="CJ635" s="46" t="e">
        <v>#N/A</v>
      </c>
      <c r="CM635">
        <f t="shared" si="70"/>
        <v>0</v>
      </c>
      <c r="CP635">
        <f t="shared" si="71"/>
        <v>0</v>
      </c>
      <c r="CS635">
        <f t="shared" si="72"/>
        <v>0</v>
      </c>
      <c r="CW635" s="46"/>
      <c r="CX635" s="46" t="e">
        <f t="shared" si="66"/>
        <v>#N/A</v>
      </c>
      <c r="CY635" s="46"/>
      <c r="CZ635" s="46" t="e">
        <f t="shared" si="67"/>
        <v>#N/A</v>
      </c>
      <c r="DA635" s="46" t="e">
        <f t="shared" si="68"/>
        <v>#N/A</v>
      </c>
      <c r="DB635" s="46"/>
      <c r="DC635" s="46" t="e">
        <f t="shared" si="69"/>
        <v>#N/A</v>
      </c>
      <c r="DD635" s="46"/>
      <c r="DE635" s="995" t="s">
        <v>194</v>
      </c>
      <c r="DF635" s="995" t="s">
        <v>194</v>
      </c>
      <c r="DG635" s="995" t="s">
        <v>194</v>
      </c>
      <c r="DH635" s="995" t="s">
        <v>194</v>
      </c>
      <c r="DI635" s="995" t="s">
        <v>194</v>
      </c>
      <c r="DJ635" s="995" t="s">
        <v>194</v>
      </c>
      <c r="DK635" s="995" t="s">
        <v>194</v>
      </c>
      <c r="DL635" s="995" t="s">
        <v>194</v>
      </c>
      <c r="DM635" s="995" t="s">
        <v>194</v>
      </c>
      <c r="DN635" s="995" t="s">
        <v>194</v>
      </c>
      <c r="DO635" s="995" t="s">
        <v>194</v>
      </c>
      <c r="DP635" s="995" t="s">
        <v>194</v>
      </c>
      <c r="DQ635" s="995" t="s">
        <v>194</v>
      </c>
      <c r="DR635" s="995" t="s">
        <v>194</v>
      </c>
      <c r="DS635" s="995" t="s">
        <v>194</v>
      </c>
      <c r="DT635" s="995" t="s">
        <v>194</v>
      </c>
    </row>
    <row r="636" spans="1:124">
      <c r="A636" s="42" t="s">
        <v>94</v>
      </c>
      <c r="B636" s="42" t="s">
        <v>510</v>
      </c>
      <c r="C636" s="42" t="s">
        <v>788</v>
      </c>
      <c r="D636" s="42">
        <v>809389</v>
      </c>
      <c r="E636" s="42" t="s">
        <v>857</v>
      </c>
      <c r="F636" s="42" t="s">
        <v>149</v>
      </c>
      <c r="G636" s="42" t="s">
        <v>150</v>
      </c>
      <c r="H636" s="43" t="s">
        <v>150</v>
      </c>
      <c r="I636" s="44">
        <v>70</v>
      </c>
      <c r="J636" s="45">
        <v>2888.3679999999999</v>
      </c>
      <c r="K636" s="46">
        <v>173.27182500000001</v>
      </c>
      <c r="L636" s="47">
        <v>3061.6398250000002</v>
      </c>
      <c r="M636" s="48">
        <v>63254</v>
      </c>
      <c r="N636" s="49">
        <v>40728</v>
      </c>
      <c r="O636" s="49">
        <v>22526</v>
      </c>
      <c r="P636" s="49">
        <v>0</v>
      </c>
      <c r="Q636" s="50">
        <v>1941.63441176471</v>
      </c>
      <c r="R636" s="51">
        <v>32519.5730044015</v>
      </c>
      <c r="S636" s="49">
        <v>53553.069594271597</v>
      </c>
      <c r="T636" s="49">
        <v>8356.5552035805795</v>
      </c>
      <c r="U636" s="49">
        <f>IFERROR(INDEX('Rentabilidad datos'!$N$2:$N$61,MATCH($C636,'Rentabilidad datos'!$C$2:$C$61,0)),"")</f>
        <v>94429.197802253679</v>
      </c>
      <c r="V636" s="50">
        <f>IFERROR(INDEX('Rentabilidad datos'!$O$2:$O$61,MATCH($C636,'Rentabilidad datos'!$C$2:$C$61,0)),"")</f>
        <v>1573.8199633708946</v>
      </c>
      <c r="W636" s="51">
        <f>IFERROR(INDEX('Rentabilidad datos'!$M$2:$M$61,MATCH($C636,'Rentabilidad datos'!$C$2:$C$61,0)),"")</f>
        <v>3293.1144020900269</v>
      </c>
      <c r="X636" s="52">
        <f>IFERROR(INDEX('Rentabilidad datos'!$P$2:$P$61,MATCH($C636,'Rentabilidad datos'!$C$2:$C$61,0)),"")</f>
        <v>0.47791232590402716</v>
      </c>
      <c r="Y636" s="43" t="s">
        <v>171</v>
      </c>
      <c r="Z636" s="53">
        <v>50.807692307692299</v>
      </c>
      <c r="AA636" s="43">
        <v>1</v>
      </c>
      <c r="AB636" s="54">
        <v>0.98807980522970884</v>
      </c>
      <c r="AC636" s="55">
        <v>1.1920194770291206E-2</v>
      </c>
      <c r="AD636" s="752" t="e">
        <f>_xlfn.XLOOKUP(Table1[[#This Row],[Ruta]],#REF!,#REF!)</f>
        <v>#REF!</v>
      </c>
      <c r="AE636" s="752" t="e">
        <f>_xlfn.XLOOKUP(Table1[[#This Row],[Ruta]],#REF!,#REF!)</f>
        <v>#REF!</v>
      </c>
      <c r="AF636" s="752" t="e">
        <f>_xlfn.XLOOKUP(Table1[[#This Row],[Ruta]],#REF!,#REF!)</f>
        <v>#REF!</v>
      </c>
      <c r="AG636" s="752" t="e">
        <f>_xlfn.XLOOKUP(Table1[[#This Row],[Ruta]],#REF!,#REF!)</f>
        <v>#REF!</v>
      </c>
      <c r="AH636" s="52">
        <v>0.6438802289183293</v>
      </c>
      <c r="AI636" s="52">
        <v>0.3561197710816707</v>
      </c>
      <c r="AJ636" s="55">
        <v>0</v>
      </c>
      <c r="AK636" s="56">
        <v>1321</v>
      </c>
      <c r="AL636" s="44">
        <v>196</v>
      </c>
      <c r="AM636" s="54">
        <v>0.14231642694928101</v>
      </c>
      <c r="AN636" s="55">
        <v>0.50474202392821499</v>
      </c>
      <c r="AO636" s="56">
        <v>478.76421360917197</v>
      </c>
      <c r="AP636" s="48">
        <v>239.38210680458599</v>
      </c>
      <c r="AQ636" s="55">
        <v>0.32958524360680241</v>
      </c>
      <c r="AR636" s="51">
        <v>66015.570000000007</v>
      </c>
      <c r="AS636" s="49">
        <v>80627.276676049005</v>
      </c>
      <c r="AT636" s="55">
        <v>1.2213372796152331</v>
      </c>
      <c r="AU636" s="51">
        <v>56657.005231818242</v>
      </c>
      <c r="AV636" s="52">
        <v>2.5773807840024678E-4</v>
      </c>
      <c r="AW636" s="44">
        <v>425</v>
      </c>
      <c r="AX636" s="51">
        <v>336.81413265306099</v>
      </c>
      <c r="AY636" s="49">
        <v>443.48077645239698</v>
      </c>
      <c r="AZ636" s="49">
        <v>106.66664379933599</v>
      </c>
      <c r="BA636" s="42" t="s">
        <v>150</v>
      </c>
      <c r="BB636" s="50">
        <v>7345.5840108299517</v>
      </c>
      <c r="BC636" s="57">
        <v>64002.589242648195</v>
      </c>
      <c r="BD636" s="42" t="s">
        <v>150</v>
      </c>
      <c r="BE636" s="46">
        <v>50.807692307692299</v>
      </c>
      <c r="BF636" s="46">
        <v>72.425990467051307</v>
      </c>
      <c r="BG636" s="42" t="s">
        <v>152</v>
      </c>
      <c r="BH636" s="52">
        <v>0.14231642694928101</v>
      </c>
      <c r="BI636" s="52">
        <v>0.49337264070319697</v>
      </c>
      <c r="BJ636" s="42" t="s">
        <v>152</v>
      </c>
      <c r="BK636" s="46">
        <v>90.048230147058803</v>
      </c>
      <c r="BL636" s="46">
        <v>605.59017138979505</v>
      </c>
      <c r="BM636" s="42" t="s">
        <v>152</v>
      </c>
      <c r="BN636" s="48">
        <v>0</v>
      </c>
      <c r="BO636" s="42" t="s">
        <v>155</v>
      </c>
      <c r="BP636" s="42" t="s">
        <v>152</v>
      </c>
      <c r="BQ636" s="46">
        <v>694.14812838714499</v>
      </c>
      <c r="BR636" s="46" t="e">
        <v>#N/A</v>
      </c>
      <c r="BS636" s="46" t="e">
        <v>#N/A</v>
      </c>
      <c r="BT636" s="46" t="e">
        <v>#N/A</v>
      </c>
      <c r="BU636" s="46" t="e">
        <v>#N/A</v>
      </c>
      <c r="BV636" s="46" t="e">
        <v>#N/A</v>
      </c>
      <c r="BW636" s="46" t="e">
        <v>#N/A</v>
      </c>
      <c r="BX636" s="46" t="e">
        <v>#N/A</v>
      </c>
      <c r="BY636" s="46" t="e">
        <v>#N/A</v>
      </c>
      <c r="BZ636" s="46" t="e">
        <v>#N/A</v>
      </c>
      <c r="CA636" s="46" t="e">
        <v>#N/A</v>
      </c>
      <c r="CB636" s="46" t="e">
        <v>#N/A</v>
      </c>
      <c r="CC636" s="46" t="e">
        <v>#N/A</v>
      </c>
      <c r="CD636" s="46" t="e">
        <v>#N/A</v>
      </c>
      <c r="CE636" s="46" t="e">
        <v>#N/A</v>
      </c>
      <c r="CF636" s="46" t="e">
        <v>#N/A</v>
      </c>
      <c r="CG636" s="46" t="e">
        <v>#N/A</v>
      </c>
      <c r="CH636" s="46" t="e">
        <v>#N/A</v>
      </c>
      <c r="CI636" s="46" t="e">
        <v>#N/A</v>
      </c>
      <c r="CJ636" s="46" t="e">
        <v>#N/A</v>
      </c>
      <c r="CM636">
        <f t="shared" si="70"/>
        <v>0</v>
      </c>
      <c r="CP636">
        <f t="shared" si="71"/>
        <v>0</v>
      </c>
      <c r="CS636">
        <f t="shared" si="72"/>
        <v>0</v>
      </c>
      <c r="CW636" s="46"/>
      <c r="CX636" s="46" t="e">
        <f t="shared" si="66"/>
        <v>#N/A</v>
      </c>
      <c r="CY636" s="46"/>
      <c r="CZ636" s="46" t="e">
        <f t="shared" si="67"/>
        <v>#N/A</v>
      </c>
      <c r="DA636" s="46" t="e">
        <f t="shared" si="68"/>
        <v>#N/A</v>
      </c>
      <c r="DB636" s="46"/>
      <c r="DC636" s="46" t="e">
        <f t="shared" si="69"/>
        <v>#N/A</v>
      </c>
      <c r="DD636" s="46"/>
      <c r="DE636" s="995" t="s">
        <v>194</v>
      </c>
      <c r="DF636" s="995" t="s">
        <v>194</v>
      </c>
      <c r="DG636" s="995" t="s">
        <v>194</v>
      </c>
      <c r="DH636" s="995" t="s">
        <v>194</v>
      </c>
      <c r="DI636" s="995" t="s">
        <v>194</v>
      </c>
      <c r="DJ636" s="995" t="s">
        <v>194</v>
      </c>
      <c r="DK636" s="995" t="s">
        <v>194</v>
      </c>
      <c r="DL636" s="995" t="s">
        <v>194</v>
      </c>
      <c r="DM636" s="995" t="s">
        <v>194</v>
      </c>
      <c r="DN636" s="995" t="s">
        <v>194</v>
      </c>
      <c r="DO636" s="995" t="s">
        <v>194</v>
      </c>
      <c r="DP636" s="995" t="s">
        <v>194</v>
      </c>
      <c r="DQ636" s="995" t="s">
        <v>194</v>
      </c>
      <c r="DR636" s="995" t="s">
        <v>194</v>
      </c>
      <c r="DS636" s="995" t="s">
        <v>194</v>
      </c>
      <c r="DT636" s="995" t="s">
        <v>194</v>
      </c>
    </row>
    <row r="637" spans="1:124">
      <c r="A637" s="42" t="s">
        <v>94</v>
      </c>
      <c r="B637" s="42" t="s">
        <v>510</v>
      </c>
      <c r="C637" s="42" t="s">
        <v>788</v>
      </c>
      <c r="D637" s="42">
        <v>809399</v>
      </c>
      <c r="E637" s="42" t="s">
        <v>858</v>
      </c>
      <c r="F637" s="42" t="s">
        <v>193</v>
      </c>
      <c r="G637" s="42" t="s">
        <v>150</v>
      </c>
      <c r="H637" s="43" t="s">
        <v>152</v>
      </c>
      <c r="I637" s="44">
        <v>70</v>
      </c>
      <c r="J637" s="45">
        <v>0</v>
      </c>
      <c r="K637" s="46">
        <v>874.29949999999997</v>
      </c>
      <c r="L637" s="47">
        <v>874.29949999999997</v>
      </c>
      <c r="M637" s="48">
        <v>0</v>
      </c>
      <c r="N637" s="49">
        <v>0</v>
      </c>
      <c r="O637" s="49">
        <v>0</v>
      </c>
      <c r="P637" s="49">
        <v>0</v>
      </c>
      <c r="Q637" s="50">
        <v>0</v>
      </c>
      <c r="R637" s="51">
        <v>32519.5730044015</v>
      </c>
      <c r="S637" s="49">
        <v>53553.069594271597</v>
      </c>
      <c r="T637" s="49">
        <v>8356.5552035805795</v>
      </c>
      <c r="U637" s="49">
        <f>IFERROR(INDEX('Rentabilidad datos'!$N$2:$N$61,MATCH($C637,'Rentabilidad datos'!$C$2:$C$61,0)),"")</f>
        <v>94429.197802253679</v>
      </c>
      <c r="V637" s="50">
        <f>IFERROR(INDEX('Rentabilidad datos'!$O$2:$O$61,MATCH($C637,'Rentabilidad datos'!$C$2:$C$61,0)),"")</f>
        <v>1573.8199633708946</v>
      </c>
      <c r="W637" s="51">
        <f>IFERROR(INDEX('Rentabilidad datos'!$M$2:$M$61,MATCH($C637,'Rentabilidad datos'!$C$2:$C$61,0)),"")</f>
        <v>3293.1144020900269</v>
      </c>
      <c r="X637" s="52">
        <f>IFERROR(INDEX('Rentabilidad datos'!$P$2:$P$61,MATCH($C637,'Rentabilidad datos'!$C$2:$C$61,0)),"")</f>
        <v>0.47791232590402716</v>
      </c>
      <c r="Y637" s="43" t="s">
        <v>171</v>
      </c>
      <c r="Z637" s="53">
        <v>2.3333333333333299</v>
      </c>
      <c r="AA637" s="43">
        <v>1</v>
      </c>
      <c r="AB637" s="54">
        <v>0</v>
      </c>
      <c r="AC637" s="55">
        <v>0</v>
      </c>
      <c r="AD637" s="752" t="e">
        <f>_xlfn.XLOOKUP(Table1[[#This Row],[Ruta]],#REF!,#REF!)</f>
        <v>#REF!</v>
      </c>
      <c r="AE637" s="752" t="e">
        <f>_xlfn.XLOOKUP(Table1[[#This Row],[Ruta]],#REF!,#REF!)</f>
        <v>#REF!</v>
      </c>
      <c r="AF637" s="752" t="e">
        <f>_xlfn.XLOOKUP(Table1[[#This Row],[Ruta]],#REF!,#REF!)</f>
        <v>#REF!</v>
      </c>
      <c r="AG637" s="752" t="e">
        <f>_xlfn.XLOOKUP(Table1[[#This Row],[Ruta]],#REF!,#REF!)</f>
        <v>#REF!</v>
      </c>
      <c r="AH637" s="52">
        <v>0</v>
      </c>
      <c r="AI637" s="52">
        <v>0</v>
      </c>
      <c r="AJ637" s="55">
        <v>0</v>
      </c>
      <c r="AK637" s="56">
        <v>7</v>
      </c>
      <c r="AL637" s="44">
        <v>3</v>
      </c>
      <c r="AM637" s="54">
        <v>0.42857142857142899</v>
      </c>
      <c r="AN637" s="55">
        <v>0.50474202392821499</v>
      </c>
      <c r="AO637" s="56">
        <v>0</v>
      </c>
      <c r="AP637" s="48">
        <v>0</v>
      </c>
      <c r="AQ637" s="55">
        <v>0.42857142857142855</v>
      </c>
      <c r="AR637" s="51">
        <v>0</v>
      </c>
      <c r="AS637" s="49">
        <v>0</v>
      </c>
      <c r="AT637" s="55">
        <v>0</v>
      </c>
      <c r="AU637" s="51">
        <v>0</v>
      </c>
      <c r="AV637" s="52">
        <v>0</v>
      </c>
      <c r="AW637" s="44">
        <v>490</v>
      </c>
      <c r="AX637" s="51">
        <v>0</v>
      </c>
      <c r="AY637" s="49">
        <v>443.48077645239698</v>
      </c>
      <c r="AZ637" s="49">
        <v>443.48077645239698</v>
      </c>
      <c r="BA637" s="42" t="s">
        <v>150</v>
      </c>
      <c r="BB637" s="50">
        <v>467.45271031468883</v>
      </c>
      <c r="BC637" s="57">
        <v>467.45271031468883</v>
      </c>
      <c r="BD637" s="42" t="s">
        <v>152</v>
      </c>
      <c r="BE637" s="46" t="s">
        <v>195</v>
      </c>
      <c r="BF637" s="46" t="s">
        <v>195</v>
      </c>
      <c r="BG637" s="42" t="s">
        <v>195</v>
      </c>
      <c r="BH637" s="52" t="s">
        <v>195</v>
      </c>
      <c r="BI637" s="52" t="s">
        <v>195</v>
      </c>
      <c r="BJ637" s="42" t="s">
        <v>195</v>
      </c>
      <c r="BK637" s="46" t="s">
        <v>195</v>
      </c>
      <c r="BL637" s="46" t="s">
        <v>195</v>
      </c>
      <c r="BM637" s="42" t="s">
        <v>195</v>
      </c>
      <c r="BN637" s="48" t="s">
        <v>195</v>
      </c>
      <c r="BO637" s="42" t="s">
        <v>195</v>
      </c>
      <c r="BP637" s="42" t="s">
        <v>152</v>
      </c>
      <c r="BQ637" s="46">
        <v>0</v>
      </c>
      <c r="BR637" s="46" t="e">
        <v>#N/A</v>
      </c>
      <c r="BS637" s="46" t="e">
        <v>#N/A</v>
      </c>
      <c r="BT637" s="46" t="e">
        <v>#N/A</v>
      </c>
      <c r="BU637" s="46" t="e">
        <v>#N/A</v>
      </c>
      <c r="BV637" s="46" t="e">
        <v>#N/A</v>
      </c>
      <c r="BW637" s="46" t="e">
        <v>#N/A</v>
      </c>
      <c r="BX637" s="46" t="e">
        <v>#N/A</v>
      </c>
      <c r="BY637" s="46" t="e">
        <v>#N/A</v>
      </c>
      <c r="BZ637" s="46" t="e">
        <v>#N/A</v>
      </c>
      <c r="CA637" s="46" t="e">
        <v>#N/A</v>
      </c>
      <c r="CB637" s="46" t="e">
        <v>#N/A</v>
      </c>
      <c r="CC637" s="46" t="e">
        <v>#N/A</v>
      </c>
      <c r="CD637" s="46" t="e">
        <v>#N/A</v>
      </c>
      <c r="CE637" s="46" t="e">
        <v>#N/A</v>
      </c>
      <c r="CF637" s="46" t="e">
        <v>#N/A</v>
      </c>
      <c r="CG637" s="46" t="e">
        <v>#N/A</v>
      </c>
      <c r="CH637" s="46" t="e">
        <v>#N/A</v>
      </c>
      <c r="CI637" s="46" t="e">
        <v>#N/A</v>
      </c>
      <c r="CJ637" s="46" t="e">
        <v>#N/A</v>
      </c>
      <c r="CM637">
        <f t="shared" si="70"/>
        <v>0</v>
      </c>
      <c r="CP637">
        <f t="shared" si="71"/>
        <v>0</v>
      </c>
      <c r="CS637">
        <f t="shared" si="72"/>
        <v>0</v>
      </c>
      <c r="CW637" s="46"/>
      <c r="CX637" s="46" t="e">
        <f t="shared" si="66"/>
        <v>#N/A</v>
      </c>
      <c r="CY637" s="46"/>
      <c r="CZ637" s="46" t="e">
        <f t="shared" si="67"/>
        <v>#N/A</v>
      </c>
      <c r="DA637" s="46" t="e">
        <f t="shared" si="68"/>
        <v>#N/A</v>
      </c>
      <c r="DB637" s="46"/>
      <c r="DC637" s="46" t="e">
        <f t="shared" si="69"/>
        <v>#N/A</v>
      </c>
      <c r="DD637" s="46"/>
      <c r="DE637" s="995" t="s">
        <v>194</v>
      </c>
      <c r="DF637" s="995" t="s">
        <v>194</v>
      </c>
      <c r="DG637" s="995" t="s">
        <v>194</v>
      </c>
      <c r="DH637" s="995" t="s">
        <v>194</v>
      </c>
      <c r="DI637" s="995" t="s">
        <v>194</v>
      </c>
      <c r="DJ637" s="995" t="s">
        <v>194</v>
      </c>
      <c r="DK637" s="995" t="s">
        <v>194</v>
      </c>
      <c r="DL637" s="995" t="s">
        <v>194</v>
      </c>
      <c r="DM637" s="995" t="s">
        <v>194</v>
      </c>
      <c r="DN637" s="995" t="s">
        <v>194</v>
      </c>
      <c r="DO637" s="995" t="s">
        <v>194</v>
      </c>
      <c r="DP637" s="995" t="s">
        <v>194</v>
      </c>
      <c r="DQ637" s="995" t="s">
        <v>194</v>
      </c>
      <c r="DR637" s="995" t="s">
        <v>194</v>
      </c>
      <c r="DS637" s="995" t="s">
        <v>194</v>
      </c>
      <c r="DT637" s="995" t="s">
        <v>194</v>
      </c>
    </row>
    <row r="638" spans="1:124">
      <c r="A638" s="753" t="s">
        <v>94</v>
      </c>
      <c r="B638" s="753" t="s">
        <v>510</v>
      </c>
      <c r="C638" s="753" t="s">
        <v>859</v>
      </c>
      <c r="D638" s="753">
        <v>804348</v>
      </c>
      <c r="E638" s="753" t="s">
        <v>860</v>
      </c>
      <c r="F638" s="753" t="s">
        <v>193</v>
      </c>
      <c r="G638" s="753" t="s">
        <v>150</v>
      </c>
      <c r="H638" s="754" t="s">
        <v>152</v>
      </c>
      <c r="I638" s="755">
        <v>22</v>
      </c>
      <c r="J638" s="756">
        <v>285.31439999999998</v>
      </c>
      <c r="K638" s="757">
        <v>31.701000000000001</v>
      </c>
      <c r="L638" s="758">
        <v>317.0154</v>
      </c>
      <c r="M638" s="759">
        <v>7895</v>
      </c>
      <c r="N638" s="760">
        <v>3461</v>
      </c>
      <c r="O638" s="760">
        <v>4434</v>
      </c>
      <c r="P638" s="760">
        <v>0</v>
      </c>
      <c r="Q638" s="761">
        <v>0</v>
      </c>
      <c r="R638" s="762">
        <v>5546.1445717076303</v>
      </c>
      <c r="S638" s="760">
        <v>8925.5115990452596</v>
      </c>
      <c r="T638" s="760">
        <v>1392.7592005967599</v>
      </c>
      <c r="U638" s="760">
        <f>IFERROR(INDEX('Rentabilidad datos'!$N$2:$N$61,MATCH($C638,'Rentabilidad datos'!$C$2:$C$61,0)),"")</f>
        <v>15864.415371349654</v>
      </c>
      <c r="V638" s="761">
        <f>IFERROR(INDEX('Rentabilidad datos'!$O$2:$O$61,MATCH($C638,'Rentabilidad datos'!$C$2:$C$61,0)),"")</f>
        <v>1586.4415371349655</v>
      </c>
      <c r="W638" s="762">
        <f>IFERROR(INDEX('Rentabilidad datos'!$M$2:$M$61,MATCH($C638,'Rentabilidad datos'!$C$2:$C$61,0)),"")</f>
        <v>3060.1995418491324</v>
      </c>
      <c r="X638" s="763">
        <f>IFERROR(INDEX('Rentabilidad datos'!$P$2:$P$61,MATCH($C638,'Rentabilidad datos'!$C$2:$C$61,0)),"")</f>
        <v>0.51841114131281607</v>
      </c>
      <c r="Y638" s="754" t="s">
        <v>211</v>
      </c>
      <c r="Z638" s="764">
        <v>0</v>
      </c>
      <c r="AA638" s="754">
        <v>2</v>
      </c>
      <c r="AB638" s="765">
        <v>0</v>
      </c>
      <c r="AC638" s="766">
        <v>1</v>
      </c>
      <c r="AD638" s="767" t="e">
        <f>_xlfn.XLOOKUP(Table1[[#This Row],[Ruta]],#REF!,#REF!)</f>
        <v>#REF!</v>
      </c>
      <c r="AE638" s="767" t="e">
        <f>_xlfn.XLOOKUP(Table1[[#This Row],[Ruta]],#REF!,#REF!)</f>
        <v>#REF!</v>
      </c>
      <c r="AF638" s="767" t="e">
        <f>_xlfn.XLOOKUP(Table1[[#This Row],[Ruta]],#REF!,#REF!)</f>
        <v>#REF!</v>
      </c>
      <c r="AG638" s="767" t="e">
        <f>_xlfn.XLOOKUP(Table1[[#This Row],[Ruta]],#REF!,#REF!)</f>
        <v>#REF!</v>
      </c>
      <c r="AH638" s="763">
        <v>0.43837872070930967</v>
      </c>
      <c r="AI638" s="763">
        <v>0.56162127929069028</v>
      </c>
      <c r="AJ638" s="766">
        <v>0</v>
      </c>
      <c r="AK638" s="768">
        <v>0</v>
      </c>
      <c r="AL638" s="755">
        <v>16</v>
      </c>
      <c r="AM638" s="765">
        <v>0</v>
      </c>
      <c r="AN638" s="766">
        <v>0.52393875788094302</v>
      </c>
      <c r="AO638" s="768">
        <v>0</v>
      </c>
      <c r="AP638" s="759">
        <v>0</v>
      </c>
      <c r="AQ638" s="766" t="s">
        <v>194</v>
      </c>
      <c r="AR638" s="762">
        <v>7894.15</v>
      </c>
      <c r="AS638" s="760">
        <v>0</v>
      </c>
      <c r="AT638" s="766">
        <v>0</v>
      </c>
      <c r="AU638" s="762">
        <v>0</v>
      </c>
      <c r="AV638" s="763">
        <v>0</v>
      </c>
      <c r="AW638" s="755">
        <v>490</v>
      </c>
      <c r="AX638" s="762">
        <v>493.38437499999998</v>
      </c>
      <c r="AY638" s="760">
        <v>321.40009216103402</v>
      </c>
      <c r="AZ638" s="760">
        <v>0</v>
      </c>
      <c r="BA638" s="753" t="s">
        <v>152</v>
      </c>
      <c r="BB638" s="761">
        <v>0</v>
      </c>
      <c r="BC638" s="769">
        <v>0</v>
      </c>
      <c r="BD638" s="753" t="s">
        <v>152</v>
      </c>
      <c r="BE638" s="757" t="s">
        <v>195</v>
      </c>
      <c r="BF638" s="757" t="s">
        <v>195</v>
      </c>
      <c r="BG638" s="753" t="s">
        <v>195</v>
      </c>
      <c r="BH638" s="763" t="s">
        <v>195</v>
      </c>
      <c r="BI638" s="763" t="s">
        <v>195</v>
      </c>
      <c r="BJ638" s="753" t="s">
        <v>195</v>
      </c>
      <c r="BK638" s="757" t="s">
        <v>195</v>
      </c>
      <c r="BL638" s="757" t="s">
        <v>195</v>
      </c>
      <c r="BM638" s="753" t="s">
        <v>195</v>
      </c>
      <c r="BN638" s="759" t="s">
        <v>195</v>
      </c>
      <c r="BO638" s="753" t="s">
        <v>195</v>
      </c>
      <c r="BP638" s="753" t="s">
        <v>152</v>
      </c>
      <c r="BQ638" s="757">
        <v>0</v>
      </c>
      <c r="BR638" s="46" t="e">
        <v>#N/A</v>
      </c>
      <c r="BS638" s="46" t="e">
        <v>#N/A</v>
      </c>
      <c r="BT638" s="46" t="e">
        <v>#N/A</v>
      </c>
      <c r="BU638" s="46" t="e">
        <v>#N/A</v>
      </c>
      <c r="BV638" s="46" t="e">
        <v>#N/A</v>
      </c>
      <c r="BW638" s="46" t="e">
        <v>#N/A</v>
      </c>
      <c r="BX638" s="46" t="e">
        <v>#N/A</v>
      </c>
      <c r="BY638" s="46" t="e">
        <v>#N/A</v>
      </c>
      <c r="BZ638" s="46" t="e">
        <v>#N/A</v>
      </c>
      <c r="CA638" s="46" t="e">
        <v>#N/A</v>
      </c>
      <c r="CB638" s="46" t="e">
        <v>#N/A</v>
      </c>
      <c r="CC638" s="46" t="e">
        <v>#N/A</v>
      </c>
      <c r="CD638" s="46" t="e">
        <v>#N/A</v>
      </c>
      <c r="CE638" s="46" t="e">
        <v>#N/A</v>
      </c>
      <c r="CF638" s="46" t="e">
        <v>#N/A</v>
      </c>
      <c r="CG638" s="46" t="e">
        <v>#N/A</v>
      </c>
      <c r="CH638" s="46" t="e">
        <v>#N/A</v>
      </c>
      <c r="CI638" s="46" t="e">
        <v>#N/A</v>
      </c>
      <c r="CJ638" s="46" t="e">
        <v>#N/A</v>
      </c>
      <c r="CM638">
        <f t="shared" si="70"/>
        <v>0</v>
      </c>
      <c r="CP638">
        <f t="shared" si="71"/>
        <v>0</v>
      </c>
      <c r="CS638">
        <f t="shared" si="72"/>
        <v>0</v>
      </c>
      <c r="CW638" s="46"/>
      <c r="CX638" s="46" t="e">
        <f t="shared" si="66"/>
        <v>#N/A</v>
      </c>
      <c r="CY638" s="46"/>
      <c r="CZ638" s="46" t="e">
        <f t="shared" si="67"/>
        <v>#N/A</v>
      </c>
      <c r="DA638" s="46" t="e">
        <f t="shared" si="68"/>
        <v>#N/A</v>
      </c>
      <c r="DB638" s="46"/>
      <c r="DC638" s="46" t="e">
        <f t="shared" si="69"/>
        <v>#N/A</v>
      </c>
      <c r="DD638" s="46"/>
      <c r="DE638" s="995" t="s">
        <v>194</v>
      </c>
      <c r="DF638" s="995" t="s">
        <v>194</v>
      </c>
      <c r="DG638" s="995" t="s">
        <v>194</v>
      </c>
      <c r="DH638" s="995" t="s">
        <v>194</v>
      </c>
      <c r="DI638" s="995" t="s">
        <v>194</v>
      </c>
      <c r="DJ638" s="995" t="s">
        <v>194</v>
      </c>
      <c r="DK638" s="995" t="s">
        <v>194</v>
      </c>
      <c r="DL638" s="995" t="s">
        <v>194</v>
      </c>
      <c r="DM638" s="995" t="s">
        <v>194</v>
      </c>
      <c r="DN638" s="995" t="s">
        <v>194</v>
      </c>
      <c r="DO638" s="995" t="s">
        <v>194</v>
      </c>
      <c r="DP638" s="995" t="s">
        <v>194</v>
      </c>
      <c r="DQ638" s="995" t="s">
        <v>194</v>
      </c>
      <c r="DR638" s="995" t="s">
        <v>194</v>
      </c>
      <c r="DS638" s="995" t="s">
        <v>194</v>
      </c>
      <c r="DT638" s="995" t="s">
        <v>194</v>
      </c>
    </row>
    <row r="639" spans="1:124">
      <c r="A639" s="753" t="s">
        <v>94</v>
      </c>
      <c r="B639" s="753" t="s">
        <v>510</v>
      </c>
      <c r="C639" s="753" t="s">
        <v>859</v>
      </c>
      <c r="D639" s="753">
        <v>804353</v>
      </c>
      <c r="E639" s="753" t="s">
        <v>861</v>
      </c>
      <c r="F639" s="753" t="s">
        <v>193</v>
      </c>
      <c r="G639" s="753" t="s">
        <v>150</v>
      </c>
      <c r="H639" s="754" t="s">
        <v>152</v>
      </c>
      <c r="I639" s="755">
        <v>22</v>
      </c>
      <c r="J639" s="756">
        <v>63.403199999999998</v>
      </c>
      <c r="K639" s="757">
        <v>7.5236999999999998</v>
      </c>
      <c r="L639" s="758">
        <v>70.926900000000003</v>
      </c>
      <c r="M639" s="759">
        <v>2028</v>
      </c>
      <c r="N639" s="760">
        <v>830</v>
      </c>
      <c r="O639" s="760">
        <v>1198</v>
      </c>
      <c r="P639" s="760">
        <v>0</v>
      </c>
      <c r="Q639" s="761">
        <v>0</v>
      </c>
      <c r="R639" s="762">
        <v>5546.1445717076303</v>
      </c>
      <c r="S639" s="760">
        <v>8925.5115990452596</v>
      </c>
      <c r="T639" s="760">
        <v>1392.7592005967599</v>
      </c>
      <c r="U639" s="760">
        <f>IFERROR(INDEX('Rentabilidad datos'!$N$2:$N$61,MATCH($C639,'Rentabilidad datos'!$C$2:$C$61,0)),"")</f>
        <v>15864.415371349654</v>
      </c>
      <c r="V639" s="761">
        <f>IFERROR(INDEX('Rentabilidad datos'!$O$2:$O$61,MATCH($C639,'Rentabilidad datos'!$C$2:$C$61,0)),"")</f>
        <v>1586.4415371349655</v>
      </c>
      <c r="W639" s="762">
        <f>IFERROR(INDEX('Rentabilidad datos'!$M$2:$M$61,MATCH($C639,'Rentabilidad datos'!$C$2:$C$61,0)),"")</f>
        <v>3060.1995418491324</v>
      </c>
      <c r="X639" s="763">
        <f>IFERROR(INDEX('Rentabilidad datos'!$P$2:$P$61,MATCH($C639,'Rentabilidad datos'!$C$2:$C$61,0)),"")</f>
        <v>0.51841114131281607</v>
      </c>
      <c r="Y639" s="754" t="s">
        <v>211</v>
      </c>
      <c r="Z639" s="764">
        <v>0</v>
      </c>
      <c r="AA639" s="754">
        <v>2</v>
      </c>
      <c r="AB639" s="765">
        <v>2.3668639053254437E-2</v>
      </c>
      <c r="AC639" s="766">
        <v>0.97633136094674555</v>
      </c>
      <c r="AD639" s="767" t="e">
        <f>_xlfn.XLOOKUP(Table1[[#This Row],[Ruta]],#REF!,#REF!)</f>
        <v>#REF!</v>
      </c>
      <c r="AE639" s="767" t="e">
        <f>_xlfn.XLOOKUP(Table1[[#This Row],[Ruta]],#REF!,#REF!)</f>
        <v>#REF!</v>
      </c>
      <c r="AF639" s="767" t="e">
        <f>_xlfn.XLOOKUP(Table1[[#This Row],[Ruta]],#REF!,#REF!)</f>
        <v>#REF!</v>
      </c>
      <c r="AG639" s="767" t="e">
        <f>_xlfn.XLOOKUP(Table1[[#This Row],[Ruta]],#REF!,#REF!)</f>
        <v>#REF!</v>
      </c>
      <c r="AH639" s="763">
        <v>0.40927021696252464</v>
      </c>
      <c r="AI639" s="763">
        <v>0.59072978303747536</v>
      </c>
      <c r="AJ639" s="766">
        <v>0</v>
      </c>
      <c r="AK639" s="768">
        <v>0</v>
      </c>
      <c r="AL639" s="755">
        <v>9</v>
      </c>
      <c r="AM639" s="765">
        <v>0</v>
      </c>
      <c r="AN639" s="766">
        <v>0.52393875788094302</v>
      </c>
      <c r="AO639" s="768">
        <v>0</v>
      </c>
      <c r="AP639" s="759">
        <v>0</v>
      </c>
      <c r="AQ639" s="766" t="s">
        <v>194</v>
      </c>
      <c r="AR639" s="762">
        <v>2027.6</v>
      </c>
      <c r="AS639" s="760">
        <v>0</v>
      </c>
      <c r="AT639" s="766">
        <v>0</v>
      </c>
      <c r="AU639" s="762">
        <v>0</v>
      </c>
      <c r="AV639" s="763">
        <v>0</v>
      </c>
      <c r="AW639" s="755">
        <v>490</v>
      </c>
      <c r="AX639" s="762">
        <v>225.28888888888901</v>
      </c>
      <c r="AY639" s="760">
        <v>321.40009216103402</v>
      </c>
      <c r="AZ639" s="760">
        <v>96.111203272145019</v>
      </c>
      <c r="BA639" s="753" t="s">
        <v>150</v>
      </c>
      <c r="BB639" s="761">
        <v>303.91921034705331</v>
      </c>
      <c r="BC639" s="769">
        <v>303.91921034705331</v>
      </c>
      <c r="BD639" s="753" t="s">
        <v>152</v>
      </c>
      <c r="BE639" s="757" t="s">
        <v>195</v>
      </c>
      <c r="BF639" s="757" t="s">
        <v>195</v>
      </c>
      <c r="BG639" s="753" t="s">
        <v>195</v>
      </c>
      <c r="BH639" s="763" t="s">
        <v>195</v>
      </c>
      <c r="BI639" s="763" t="s">
        <v>195</v>
      </c>
      <c r="BJ639" s="753" t="s">
        <v>195</v>
      </c>
      <c r="BK639" s="757" t="s">
        <v>195</v>
      </c>
      <c r="BL639" s="757" t="s">
        <v>195</v>
      </c>
      <c r="BM639" s="753" t="s">
        <v>195</v>
      </c>
      <c r="BN639" s="759" t="s">
        <v>195</v>
      </c>
      <c r="BO639" s="753" t="s">
        <v>195</v>
      </c>
      <c r="BP639" s="753" t="s">
        <v>152</v>
      </c>
      <c r="BQ639" s="757">
        <v>0</v>
      </c>
      <c r="BR639" s="46" t="e">
        <v>#N/A</v>
      </c>
      <c r="BS639" s="46" t="e">
        <v>#N/A</v>
      </c>
      <c r="BT639" s="46" t="e">
        <v>#N/A</v>
      </c>
      <c r="BU639" s="46" t="e">
        <v>#N/A</v>
      </c>
      <c r="BV639" s="46" t="e">
        <v>#N/A</v>
      </c>
      <c r="BW639" s="46" t="e">
        <v>#N/A</v>
      </c>
      <c r="BX639" s="46" t="e">
        <v>#N/A</v>
      </c>
      <c r="BY639" s="46" t="e">
        <v>#N/A</v>
      </c>
      <c r="BZ639" s="46" t="e">
        <v>#N/A</v>
      </c>
      <c r="CA639" s="46" t="e">
        <v>#N/A</v>
      </c>
      <c r="CB639" s="46" t="e">
        <v>#N/A</v>
      </c>
      <c r="CC639" s="46" t="e">
        <v>#N/A</v>
      </c>
      <c r="CD639" s="46" t="e">
        <v>#N/A</v>
      </c>
      <c r="CE639" s="46" t="e">
        <v>#N/A</v>
      </c>
      <c r="CF639" s="46" t="e">
        <v>#N/A</v>
      </c>
      <c r="CG639" s="46" t="e">
        <v>#N/A</v>
      </c>
      <c r="CH639" s="46" t="e">
        <v>#N/A</v>
      </c>
      <c r="CI639" s="46" t="e">
        <v>#N/A</v>
      </c>
      <c r="CJ639" s="46" t="e">
        <v>#N/A</v>
      </c>
      <c r="CM639">
        <f t="shared" si="70"/>
        <v>0</v>
      </c>
      <c r="CP639">
        <f t="shared" si="71"/>
        <v>0</v>
      </c>
      <c r="CS639">
        <f t="shared" si="72"/>
        <v>0</v>
      </c>
      <c r="CW639" s="46"/>
      <c r="CX639" s="46" t="e">
        <f t="shared" si="66"/>
        <v>#N/A</v>
      </c>
      <c r="CY639" s="46"/>
      <c r="CZ639" s="46" t="e">
        <f t="shared" si="67"/>
        <v>#N/A</v>
      </c>
      <c r="DA639" s="46" t="e">
        <f t="shared" si="68"/>
        <v>#N/A</v>
      </c>
      <c r="DB639" s="46"/>
      <c r="DC639" s="46" t="e">
        <f t="shared" si="69"/>
        <v>#N/A</v>
      </c>
      <c r="DD639" s="46"/>
      <c r="DE639" s="995" t="s">
        <v>194</v>
      </c>
      <c r="DF639" s="995" t="s">
        <v>194</v>
      </c>
      <c r="DG639" s="995" t="s">
        <v>194</v>
      </c>
      <c r="DH639" s="995" t="s">
        <v>194</v>
      </c>
      <c r="DI639" s="995" t="s">
        <v>194</v>
      </c>
      <c r="DJ639" s="995" t="s">
        <v>194</v>
      </c>
      <c r="DK639" s="995" t="s">
        <v>194</v>
      </c>
      <c r="DL639" s="995" t="s">
        <v>194</v>
      </c>
      <c r="DM639" s="995" t="s">
        <v>194</v>
      </c>
      <c r="DN639" s="995" t="s">
        <v>194</v>
      </c>
      <c r="DO639" s="995" t="s">
        <v>194</v>
      </c>
      <c r="DP639" s="995" t="s">
        <v>194</v>
      </c>
      <c r="DQ639" s="995" t="s">
        <v>194</v>
      </c>
      <c r="DR639" s="995" t="s">
        <v>194</v>
      </c>
      <c r="DS639" s="995" t="s">
        <v>194</v>
      </c>
      <c r="DT639" s="995" t="s">
        <v>194</v>
      </c>
    </row>
    <row r="640" spans="1:124">
      <c r="A640" s="753" t="s">
        <v>94</v>
      </c>
      <c r="B640" s="753" t="s">
        <v>510</v>
      </c>
      <c r="C640" s="753" t="s">
        <v>859</v>
      </c>
      <c r="D640" s="753">
        <v>804362</v>
      </c>
      <c r="E640" s="753" t="s">
        <v>862</v>
      </c>
      <c r="F640" s="753" t="s">
        <v>149</v>
      </c>
      <c r="G640" s="753" t="s">
        <v>150</v>
      </c>
      <c r="H640" s="754" t="s">
        <v>152</v>
      </c>
      <c r="I640" s="755">
        <v>22</v>
      </c>
      <c r="J640" s="756">
        <v>17.611999999999998</v>
      </c>
      <c r="K640" s="757">
        <v>4.7552000000000003</v>
      </c>
      <c r="L640" s="758">
        <v>22.3672</v>
      </c>
      <c r="M640" s="759">
        <v>512</v>
      </c>
      <c r="N640" s="760">
        <v>214</v>
      </c>
      <c r="O640" s="760">
        <v>298</v>
      </c>
      <c r="P640" s="760">
        <v>0</v>
      </c>
      <c r="Q640" s="761">
        <v>170.5</v>
      </c>
      <c r="R640" s="762">
        <v>5546.1445717076303</v>
      </c>
      <c r="S640" s="760">
        <v>8925.5115990452596</v>
      </c>
      <c r="T640" s="760">
        <v>1392.7592005967599</v>
      </c>
      <c r="U640" s="760">
        <f>IFERROR(INDEX('Rentabilidad datos'!$N$2:$N$61,MATCH($C640,'Rentabilidad datos'!$C$2:$C$61,0)),"")</f>
        <v>15864.415371349654</v>
      </c>
      <c r="V640" s="761">
        <f>IFERROR(INDEX('Rentabilidad datos'!$O$2:$O$61,MATCH($C640,'Rentabilidad datos'!$C$2:$C$61,0)),"")</f>
        <v>1586.4415371349655</v>
      </c>
      <c r="W640" s="762">
        <f>IFERROR(INDEX('Rentabilidad datos'!$M$2:$M$61,MATCH($C640,'Rentabilidad datos'!$C$2:$C$61,0)),"")</f>
        <v>3060.1995418491324</v>
      </c>
      <c r="X640" s="763">
        <f>IFERROR(INDEX('Rentabilidad datos'!$P$2:$P$61,MATCH($C640,'Rentabilidad datos'!$C$2:$C$61,0)),"")</f>
        <v>0.51841114131281607</v>
      </c>
      <c r="Y640" s="754" t="s">
        <v>211</v>
      </c>
      <c r="Z640" s="764">
        <v>0</v>
      </c>
      <c r="AA640" s="754">
        <v>2</v>
      </c>
      <c r="AB640" s="765">
        <v>0</v>
      </c>
      <c r="AC640" s="766">
        <v>1</v>
      </c>
      <c r="AD640" s="767" t="e">
        <f>_xlfn.XLOOKUP(Table1[[#This Row],[Ruta]],#REF!,#REF!)</f>
        <v>#REF!</v>
      </c>
      <c r="AE640" s="767" t="e">
        <f>_xlfn.XLOOKUP(Table1[[#This Row],[Ruta]],#REF!,#REF!)</f>
        <v>#REF!</v>
      </c>
      <c r="AF640" s="767" t="e">
        <f>_xlfn.XLOOKUP(Table1[[#This Row],[Ruta]],#REF!,#REF!)</f>
        <v>#REF!</v>
      </c>
      <c r="AG640" s="767" t="e">
        <f>_xlfn.XLOOKUP(Table1[[#This Row],[Ruta]],#REF!,#REF!)</f>
        <v>#REF!</v>
      </c>
      <c r="AH640" s="763">
        <v>0.41796875</v>
      </c>
      <c r="AI640" s="763">
        <v>0.58203125</v>
      </c>
      <c r="AJ640" s="766">
        <v>0</v>
      </c>
      <c r="AK640" s="768">
        <v>0</v>
      </c>
      <c r="AL640" s="755">
        <v>3</v>
      </c>
      <c r="AM640" s="765">
        <v>0</v>
      </c>
      <c r="AN640" s="766">
        <v>0.52393875788094302</v>
      </c>
      <c r="AO640" s="768">
        <v>0</v>
      </c>
      <c r="AP640" s="759">
        <v>0</v>
      </c>
      <c r="AQ640" s="766" t="s">
        <v>194</v>
      </c>
      <c r="AR640" s="762">
        <v>511.5</v>
      </c>
      <c r="AS640" s="760">
        <v>0</v>
      </c>
      <c r="AT640" s="766">
        <v>0</v>
      </c>
      <c r="AU640" s="762">
        <v>0</v>
      </c>
      <c r="AV640" s="763">
        <v>0</v>
      </c>
      <c r="AW640" s="755">
        <v>490</v>
      </c>
      <c r="AX640" s="762">
        <v>170.5</v>
      </c>
      <c r="AY640" s="760">
        <v>321.40009216103402</v>
      </c>
      <c r="AZ640" s="760">
        <v>150.90009216103402</v>
      </c>
      <c r="BA640" s="753" t="s">
        <v>150</v>
      </c>
      <c r="BB640" s="761">
        <v>159.05685389946836</v>
      </c>
      <c r="BC640" s="769">
        <v>159.05685389946836</v>
      </c>
      <c r="BD640" s="753" t="s">
        <v>152</v>
      </c>
      <c r="BE640" s="757" t="s">
        <v>195</v>
      </c>
      <c r="BF640" s="757" t="s">
        <v>195</v>
      </c>
      <c r="BG640" s="753" t="s">
        <v>195</v>
      </c>
      <c r="BH640" s="763" t="s">
        <v>195</v>
      </c>
      <c r="BI640" s="763" t="s">
        <v>195</v>
      </c>
      <c r="BJ640" s="753" t="s">
        <v>195</v>
      </c>
      <c r="BK640" s="757" t="s">
        <v>195</v>
      </c>
      <c r="BL640" s="757" t="s">
        <v>195</v>
      </c>
      <c r="BM640" s="753" t="s">
        <v>195</v>
      </c>
      <c r="BN640" s="759" t="s">
        <v>195</v>
      </c>
      <c r="BO640" s="753" t="s">
        <v>195</v>
      </c>
      <c r="BP640" s="753" t="s">
        <v>152</v>
      </c>
      <c r="BQ640" s="757">
        <v>0</v>
      </c>
      <c r="BR640" s="46" t="e">
        <v>#N/A</v>
      </c>
      <c r="BS640" s="46" t="e">
        <v>#N/A</v>
      </c>
      <c r="BT640" s="46" t="e">
        <v>#N/A</v>
      </c>
      <c r="BU640" s="46" t="e">
        <v>#N/A</v>
      </c>
      <c r="BV640" s="46" t="e">
        <v>#N/A</v>
      </c>
      <c r="BW640" s="46" t="e">
        <v>#N/A</v>
      </c>
      <c r="BX640" s="46" t="e">
        <v>#N/A</v>
      </c>
      <c r="BY640" s="46" t="e">
        <v>#N/A</v>
      </c>
      <c r="BZ640" s="46" t="e">
        <v>#N/A</v>
      </c>
      <c r="CA640" s="46" t="e">
        <v>#N/A</v>
      </c>
      <c r="CB640" s="46" t="e">
        <v>#N/A</v>
      </c>
      <c r="CC640" s="46" t="e">
        <v>#N/A</v>
      </c>
      <c r="CD640" s="46" t="e">
        <v>#N/A</v>
      </c>
      <c r="CE640" s="46" t="e">
        <v>#N/A</v>
      </c>
      <c r="CF640" s="46" t="e">
        <v>#N/A</v>
      </c>
      <c r="CG640" s="46" t="e">
        <v>#N/A</v>
      </c>
      <c r="CH640" s="46" t="e">
        <v>#N/A</v>
      </c>
      <c r="CI640" s="46" t="e">
        <v>#N/A</v>
      </c>
      <c r="CJ640" s="46" t="e">
        <v>#N/A</v>
      </c>
      <c r="CM640">
        <f t="shared" si="70"/>
        <v>0</v>
      </c>
      <c r="CP640">
        <f t="shared" si="71"/>
        <v>0</v>
      </c>
      <c r="CS640">
        <f t="shared" si="72"/>
        <v>0</v>
      </c>
      <c r="CW640" s="46"/>
      <c r="CX640" s="46" t="e">
        <f t="shared" si="66"/>
        <v>#N/A</v>
      </c>
      <c r="CY640" s="46"/>
      <c r="CZ640" s="46" t="e">
        <f t="shared" si="67"/>
        <v>#N/A</v>
      </c>
      <c r="DA640" s="46" t="e">
        <f t="shared" si="68"/>
        <v>#N/A</v>
      </c>
      <c r="DB640" s="46"/>
      <c r="DC640" s="46" t="e">
        <f t="shared" si="69"/>
        <v>#N/A</v>
      </c>
      <c r="DD640" s="46"/>
      <c r="DE640" s="995" t="s">
        <v>194</v>
      </c>
      <c r="DF640" s="995" t="s">
        <v>194</v>
      </c>
      <c r="DG640" s="995" t="s">
        <v>194</v>
      </c>
      <c r="DH640" s="995" t="s">
        <v>194</v>
      </c>
      <c r="DI640" s="995" t="s">
        <v>194</v>
      </c>
      <c r="DJ640" s="995" t="s">
        <v>194</v>
      </c>
      <c r="DK640" s="995" t="s">
        <v>194</v>
      </c>
      <c r="DL640" s="995" t="s">
        <v>194</v>
      </c>
      <c r="DM640" s="995" t="s">
        <v>194</v>
      </c>
      <c r="DN640" s="995" t="s">
        <v>194</v>
      </c>
      <c r="DO640" s="995" t="s">
        <v>194</v>
      </c>
      <c r="DP640" s="995" t="s">
        <v>194</v>
      </c>
      <c r="DQ640" s="995" t="s">
        <v>194</v>
      </c>
      <c r="DR640" s="995" t="s">
        <v>194</v>
      </c>
      <c r="DS640" s="995" t="s">
        <v>194</v>
      </c>
      <c r="DT640" s="995" t="s">
        <v>194</v>
      </c>
    </row>
    <row r="641" spans="1:124">
      <c r="A641" s="753" t="s">
        <v>94</v>
      </c>
      <c r="B641" s="753" t="s">
        <v>510</v>
      </c>
      <c r="C641" s="753" t="s">
        <v>859</v>
      </c>
      <c r="D641" s="753">
        <v>804371</v>
      </c>
      <c r="E641" s="753" t="s">
        <v>863</v>
      </c>
      <c r="F641" s="753" t="s">
        <v>193</v>
      </c>
      <c r="G641" s="753" t="s">
        <v>150</v>
      </c>
      <c r="H641" s="754" t="s">
        <v>152</v>
      </c>
      <c r="I641" s="755">
        <v>22</v>
      </c>
      <c r="J641" s="756">
        <v>21.134399999999999</v>
      </c>
      <c r="K641" s="757">
        <v>0</v>
      </c>
      <c r="L641" s="758">
        <v>21.134399999999999</v>
      </c>
      <c r="M641" s="759">
        <v>300</v>
      </c>
      <c r="N641" s="760">
        <v>300</v>
      </c>
      <c r="O641" s="760">
        <v>0</v>
      </c>
      <c r="P641" s="760">
        <v>0</v>
      </c>
      <c r="Q641" s="761">
        <v>0</v>
      </c>
      <c r="R641" s="762">
        <v>5546.1445717076303</v>
      </c>
      <c r="S641" s="760">
        <v>8925.5115990452596</v>
      </c>
      <c r="T641" s="760">
        <v>1392.7592005967599</v>
      </c>
      <c r="U641" s="760">
        <f>IFERROR(INDEX('Rentabilidad datos'!$N$2:$N$61,MATCH($C641,'Rentabilidad datos'!$C$2:$C$61,0)),"")</f>
        <v>15864.415371349654</v>
      </c>
      <c r="V641" s="761">
        <f>IFERROR(INDEX('Rentabilidad datos'!$O$2:$O$61,MATCH($C641,'Rentabilidad datos'!$C$2:$C$61,0)),"")</f>
        <v>1586.4415371349655</v>
      </c>
      <c r="W641" s="762">
        <f>IFERROR(INDEX('Rentabilidad datos'!$M$2:$M$61,MATCH($C641,'Rentabilidad datos'!$C$2:$C$61,0)),"")</f>
        <v>3060.1995418491324</v>
      </c>
      <c r="X641" s="763">
        <f>IFERROR(INDEX('Rentabilidad datos'!$P$2:$P$61,MATCH($C641,'Rentabilidad datos'!$C$2:$C$61,0)),"")</f>
        <v>0.51841114131281607</v>
      </c>
      <c r="Y641" s="754" t="s">
        <v>211</v>
      </c>
      <c r="Z641" s="764">
        <v>0</v>
      </c>
      <c r="AA641" s="754">
        <v>2</v>
      </c>
      <c r="AB641" s="765">
        <v>0</v>
      </c>
      <c r="AC641" s="766">
        <v>1</v>
      </c>
      <c r="AD641" s="767" t="e">
        <f>_xlfn.XLOOKUP(Table1[[#This Row],[Ruta]],#REF!,#REF!)</f>
        <v>#REF!</v>
      </c>
      <c r="AE641" s="767" t="e">
        <f>_xlfn.XLOOKUP(Table1[[#This Row],[Ruta]],#REF!,#REF!)</f>
        <v>#REF!</v>
      </c>
      <c r="AF641" s="767" t="e">
        <f>_xlfn.XLOOKUP(Table1[[#This Row],[Ruta]],#REF!,#REF!)</f>
        <v>#REF!</v>
      </c>
      <c r="AG641" s="767" t="e">
        <f>_xlfn.XLOOKUP(Table1[[#This Row],[Ruta]],#REF!,#REF!)</f>
        <v>#REF!</v>
      </c>
      <c r="AH641" s="763">
        <v>1</v>
      </c>
      <c r="AI641" s="763">
        <v>0</v>
      </c>
      <c r="AJ641" s="766">
        <v>0</v>
      </c>
      <c r="AK641" s="768">
        <v>0</v>
      </c>
      <c r="AL641" s="755">
        <v>1</v>
      </c>
      <c r="AM641" s="765">
        <v>0</v>
      </c>
      <c r="AN641" s="766">
        <v>0.52393875788094302</v>
      </c>
      <c r="AO641" s="768">
        <v>0</v>
      </c>
      <c r="AP641" s="759">
        <v>0</v>
      </c>
      <c r="AQ641" s="766" t="s">
        <v>194</v>
      </c>
      <c r="AR641" s="762">
        <v>300</v>
      </c>
      <c r="AS641" s="760">
        <v>0</v>
      </c>
      <c r="AT641" s="766">
        <v>0</v>
      </c>
      <c r="AU641" s="762">
        <v>0</v>
      </c>
      <c r="AV641" s="763">
        <v>0</v>
      </c>
      <c r="AW641" s="755">
        <v>490</v>
      </c>
      <c r="AX641" s="762">
        <v>300</v>
      </c>
      <c r="AY641" s="760">
        <v>321.40009216103402</v>
      </c>
      <c r="AZ641" s="760">
        <v>21.400092161034024</v>
      </c>
      <c r="BA641" s="753" t="s">
        <v>150</v>
      </c>
      <c r="BB641" s="761">
        <v>7.5189512998227679</v>
      </c>
      <c r="BC641" s="769">
        <v>7.5189512998227679</v>
      </c>
      <c r="BD641" s="753" t="s">
        <v>152</v>
      </c>
      <c r="BE641" s="757" t="s">
        <v>195</v>
      </c>
      <c r="BF641" s="757" t="s">
        <v>195</v>
      </c>
      <c r="BG641" s="753" t="s">
        <v>195</v>
      </c>
      <c r="BH641" s="763" t="s">
        <v>195</v>
      </c>
      <c r="BI641" s="763" t="s">
        <v>195</v>
      </c>
      <c r="BJ641" s="753" t="s">
        <v>195</v>
      </c>
      <c r="BK641" s="757" t="s">
        <v>195</v>
      </c>
      <c r="BL641" s="757" t="s">
        <v>195</v>
      </c>
      <c r="BM641" s="753" t="s">
        <v>195</v>
      </c>
      <c r="BN641" s="759" t="s">
        <v>195</v>
      </c>
      <c r="BO641" s="753" t="s">
        <v>195</v>
      </c>
      <c r="BP641" s="753" t="s">
        <v>152</v>
      </c>
      <c r="BQ641" s="757">
        <v>0</v>
      </c>
      <c r="BR641" s="46" t="e">
        <v>#N/A</v>
      </c>
      <c r="BS641" s="46" t="e">
        <v>#N/A</v>
      </c>
      <c r="BT641" s="46" t="e">
        <v>#N/A</v>
      </c>
      <c r="BU641" s="46" t="e">
        <v>#N/A</v>
      </c>
      <c r="BV641" s="46" t="e">
        <v>#N/A</v>
      </c>
      <c r="BW641" s="46" t="e">
        <v>#N/A</v>
      </c>
      <c r="BX641" s="46" t="e">
        <v>#N/A</v>
      </c>
      <c r="BY641" s="46" t="e">
        <v>#N/A</v>
      </c>
      <c r="BZ641" s="46" t="e">
        <v>#N/A</v>
      </c>
      <c r="CA641" s="46" t="e">
        <v>#N/A</v>
      </c>
      <c r="CB641" s="46" t="e">
        <v>#N/A</v>
      </c>
      <c r="CC641" s="46" t="e">
        <v>#N/A</v>
      </c>
      <c r="CD641" s="46" t="e">
        <v>#N/A</v>
      </c>
      <c r="CE641" s="46" t="e">
        <v>#N/A</v>
      </c>
      <c r="CF641" s="46" t="e">
        <v>#N/A</v>
      </c>
      <c r="CG641" s="46" t="e">
        <v>#N/A</v>
      </c>
      <c r="CH641" s="46" t="e">
        <v>#N/A</v>
      </c>
      <c r="CI641" s="46" t="e">
        <v>#N/A</v>
      </c>
      <c r="CJ641" s="46" t="e">
        <v>#N/A</v>
      </c>
      <c r="CM641">
        <f t="shared" si="70"/>
        <v>0</v>
      </c>
      <c r="CP641">
        <f t="shared" si="71"/>
        <v>0</v>
      </c>
      <c r="CS641">
        <f t="shared" si="72"/>
        <v>0</v>
      </c>
      <c r="CW641" s="46"/>
      <c r="CX641" s="46" t="e">
        <f t="shared" si="66"/>
        <v>#N/A</v>
      </c>
      <c r="CY641" s="46"/>
      <c r="CZ641" s="46" t="e">
        <f t="shared" si="67"/>
        <v>#N/A</v>
      </c>
      <c r="DA641" s="46" t="e">
        <f t="shared" si="68"/>
        <v>#N/A</v>
      </c>
      <c r="DB641" s="46"/>
      <c r="DC641" s="46" t="e">
        <f t="shared" si="69"/>
        <v>#N/A</v>
      </c>
      <c r="DD641" s="46"/>
      <c r="DE641" s="995" t="s">
        <v>194</v>
      </c>
      <c r="DF641" s="995" t="s">
        <v>194</v>
      </c>
      <c r="DG641" s="995" t="s">
        <v>194</v>
      </c>
      <c r="DH641" s="995" t="s">
        <v>194</v>
      </c>
      <c r="DI641" s="995" t="s">
        <v>194</v>
      </c>
      <c r="DJ641" s="995" t="s">
        <v>194</v>
      </c>
      <c r="DK641" s="995" t="s">
        <v>194</v>
      </c>
      <c r="DL641" s="995" t="s">
        <v>194</v>
      </c>
      <c r="DM641" s="995" t="s">
        <v>194</v>
      </c>
      <c r="DN641" s="995" t="s">
        <v>194</v>
      </c>
      <c r="DO641" s="995" t="s">
        <v>194</v>
      </c>
      <c r="DP641" s="995" t="s">
        <v>194</v>
      </c>
      <c r="DQ641" s="995" t="s">
        <v>194</v>
      </c>
      <c r="DR641" s="995" t="s">
        <v>194</v>
      </c>
      <c r="DS641" s="995" t="s">
        <v>194</v>
      </c>
      <c r="DT641" s="995" t="s">
        <v>194</v>
      </c>
    </row>
    <row r="642" spans="1:124">
      <c r="A642" s="753" t="s">
        <v>94</v>
      </c>
      <c r="B642" s="753" t="s">
        <v>510</v>
      </c>
      <c r="C642" s="753" t="s">
        <v>859</v>
      </c>
      <c r="D642" s="753">
        <v>804372</v>
      </c>
      <c r="E642" s="753" t="s">
        <v>864</v>
      </c>
      <c r="F642" s="753" t="s">
        <v>149</v>
      </c>
      <c r="G642" s="753" t="s">
        <v>150</v>
      </c>
      <c r="H642" s="754" t="s">
        <v>150</v>
      </c>
      <c r="I642" s="755">
        <v>22</v>
      </c>
      <c r="J642" s="756">
        <v>214943.8928</v>
      </c>
      <c r="K642" s="757">
        <v>17799.572569</v>
      </c>
      <c r="L642" s="758">
        <v>232743.46536900001</v>
      </c>
      <c r="M642" s="759">
        <v>4915791</v>
      </c>
      <c r="N642" s="760">
        <v>3124205</v>
      </c>
      <c r="O642" s="760">
        <v>1791567</v>
      </c>
      <c r="P642" s="760">
        <v>19</v>
      </c>
      <c r="Q642" s="761">
        <v>11272.3604816514</v>
      </c>
      <c r="R642" s="762">
        <v>5546.1445717076303</v>
      </c>
      <c r="S642" s="760">
        <v>8925.5115990452596</v>
      </c>
      <c r="T642" s="760">
        <v>1392.7592005967599</v>
      </c>
      <c r="U642" s="760">
        <f>IFERROR(INDEX('Rentabilidad datos'!$N$2:$N$61,MATCH($C642,'Rentabilidad datos'!$C$2:$C$61,0)),"")</f>
        <v>15864.415371349654</v>
      </c>
      <c r="V642" s="761">
        <f>IFERROR(INDEX('Rentabilidad datos'!$O$2:$O$61,MATCH($C642,'Rentabilidad datos'!$C$2:$C$61,0)),"")</f>
        <v>1586.4415371349655</v>
      </c>
      <c r="W642" s="762">
        <f>IFERROR(INDEX('Rentabilidad datos'!$M$2:$M$61,MATCH($C642,'Rentabilidad datos'!$C$2:$C$61,0)),"")</f>
        <v>3060.1995418491324</v>
      </c>
      <c r="X642" s="763">
        <f>IFERROR(INDEX('Rentabilidad datos'!$P$2:$P$61,MATCH($C642,'Rentabilidad datos'!$C$2:$C$61,0)),"")</f>
        <v>0.51841114131281607</v>
      </c>
      <c r="Y642" s="754" t="s">
        <v>211</v>
      </c>
      <c r="Z642" s="764">
        <v>89.520642201834903</v>
      </c>
      <c r="AA642" s="754">
        <v>2</v>
      </c>
      <c r="AB642" s="765">
        <v>0.92181461742372695</v>
      </c>
      <c r="AC642" s="766">
        <v>7.8185382576273083E-2</v>
      </c>
      <c r="AD642" s="767" t="e">
        <f>_xlfn.XLOOKUP(Table1[[#This Row],[Ruta]],#REF!,#REF!)</f>
        <v>#REF!</v>
      </c>
      <c r="AE642" s="767" t="e">
        <f>_xlfn.XLOOKUP(Table1[[#This Row],[Ruta]],#REF!,#REF!)</f>
        <v>#REF!</v>
      </c>
      <c r="AF642" s="767" t="e">
        <f>_xlfn.XLOOKUP(Table1[[#This Row],[Ruta]],#REF!,#REF!)</f>
        <v>#REF!</v>
      </c>
      <c r="AG642" s="767" t="e">
        <f>_xlfn.XLOOKUP(Table1[[#This Row],[Ruta]],#REF!,#REF!)</f>
        <v>#REF!</v>
      </c>
      <c r="AH642" s="763">
        <v>0.63554471701502357</v>
      </c>
      <c r="AI642" s="763">
        <v>0.36445141788981672</v>
      </c>
      <c r="AJ642" s="766">
        <v>3.865095159659961E-6</v>
      </c>
      <c r="AK642" s="768">
        <v>39031</v>
      </c>
      <c r="AL642" s="755">
        <v>15258</v>
      </c>
      <c r="AM642" s="765">
        <v>0.39092003791857799</v>
      </c>
      <c r="AN642" s="766">
        <v>0.52393875788094302</v>
      </c>
      <c r="AO642" s="768">
        <v>5191.8536588510897</v>
      </c>
      <c r="AP642" s="759">
        <v>2595.9268294255448</v>
      </c>
      <c r="AQ642" s="766">
        <v>0.45742939789976034</v>
      </c>
      <c r="AR642" s="762">
        <v>4914749.17</v>
      </c>
      <c r="AS642" s="760">
        <v>836173.10462052503</v>
      </c>
      <c r="AT642" s="766">
        <v>0.17013545873807534</v>
      </c>
      <c r="AU642" s="762">
        <v>587581.1005441529</v>
      </c>
      <c r="AV642" s="763">
        <v>2.6729620307128976E-3</v>
      </c>
      <c r="AW642" s="755">
        <v>121</v>
      </c>
      <c r="AX642" s="762">
        <v>322.10965853978303</v>
      </c>
      <c r="AY642" s="760">
        <v>321.40009216103402</v>
      </c>
      <c r="AZ642" s="760">
        <v>0</v>
      </c>
      <c r="BA642" s="753" t="s">
        <v>152</v>
      </c>
      <c r="BB642" s="761">
        <v>0</v>
      </c>
      <c r="BC642" s="769">
        <v>587581.1005441529</v>
      </c>
      <c r="BD642" s="753" t="s">
        <v>150</v>
      </c>
      <c r="BE642" s="757">
        <v>89.520642201834903</v>
      </c>
      <c r="BF642" s="757">
        <v>72.425990467051307</v>
      </c>
      <c r="BG642" s="753" t="s">
        <v>150</v>
      </c>
      <c r="BH642" s="763">
        <v>0.39092003791857799</v>
      </c>
      <c r="BI642" s="763">
        <v>0.49337264070319697</v>
      </c>
      <c r="BJ642" s="753" t="s">
        <v>152</v>
      </c>
      <c r="BK642" s="757">
        <v>533.81528754357805</v>
      </c>
      <c r="BL642" s="757">
        <v>605.59017138979505</v>
      </c>
      <c r="BM642" s="753" t="s">
        <v>152</v>
      </c>
      <c r="BN642" s="759">
        <v>1</v>
      </c>
      <c r="BO642" s="753" t="s">
        <v>155</v>
      </c>
      <c r="BP642" s="753" t="s">
        <v>152</v>
      </c>
      <c r="BQ642" s="757">
        <v>4119.2660316245701</v>
      </c>
      <c r="BR642" s="46">
        <v>1273</v>
      </c>
      <c r="BS642" s="46">
        <v>117524</v>
      </c>
      <c r="BT642" s="46">
        <v>34432</v>
      </c>
      <c r="BU642" s="46">
        <v>3.4132202602230484</v>
      </c>
      <c r="BV642" s="46">
        <v>27.047918303220737</v>
      </c>
      <c r="BW642" s="46">
        <v>0</v>
      </c>
      <c r="BX642" s="46">
        <v>0</v>
      </c>
      <c r="BY642" s="46">
        <v>0</v>
      </c>
      <c r="BZ642" s="46">
        <v>0</v>
      </c>
      <c r="CA642" s="46">
        <v>0</v>
      </c>
      <c r="CB642" s="46">
        <v>0</v>
      </c>
      <c r="CC642" s="46">
        <v>8.9364544609665433E-2</v>
      </c>
      <c r="CD642" s="46">
        <v>3.0756273234200736E-2</v>
      </c>
      <c r="CE642" s="46">
        <v>7.2606877323420074E-3</v>
      </c>
      <c r="CF642" s="46">
        <v>0.8726184944237918</v>
      </c>
      <c r="CG642" s="46">
        <v>0</v>
      </c>
      <c r="CH642" s="46">
        <v>0</v>
      </c>
      <c r="CI642" s="46">
        <v>3.786460637827167</v>
      </c>
      <c r="CJ642" s="46">
        <v>0.1276335046458596</v>
      </c>
      <c r="CK642">
        <v>472</v>
      </c>
      <c r="CL642">
        <v>472</v>
      </c>
      <c r="CM642">
        <f t="shared" si="70"/>
        <v>0</v>
      </c>
      <c r="CO642">
        <v>9.4499999999999993</v>
      </c>
      <c r="CP642">
        <f t="shared" si="71"/>
        <v>9.4499999999999993</v>
      </c>
      <c r="CS642">
        <f t="shared" si="72"/>
        <v>0</v>
      </c>
      <c r="CV642">
        <v>0</v>
      </c>
      <c r="CW642" s="46">
        <v>0</v>
      </c>
      <c r="CX642" s="46">
        <f t="shared" si="66"/>
        <v>0</v>
      </c>
      <c r="CY642" s="46">
        <v>0</v>
      </c>
      <c r="CZ642" s="46">
        <f t="shared" si="67"/>
        <v>0</v>
      </c>
      <c r="DA642" s="46">
        <f t="shared" si="68"/>
        <v>0</v>
      </c>
      <c r="DB642" s="46">
        <v>0</v>
      </c>
      <c r="DC642" s="46">
        <f t="shared" si="69"/>
        <v>0</v>
      </c>
      <c r="DD642" s="46">
        <v>0</v>
      </c>
      <c r="DE642" s="995">
        <v>0</v>
      </c>
      <c r="DF642" s="995">
        <v>0</v>
      </c>
      <c r="DG642" s="995">
        <v>0</v>
      </c>
      <c r="DH642" s="995">
        <v>0</v>
      </c>
      <c r="DI642" s="995">
        <v>100.904</v>
      </c>
      <c r="DJ642" s="995">
        <v>3474333</v>
      </c>
      <c r="DK642" s="995">
        <v>4.5519999999999996</v>
      </c>
      <c r="DL642" s="995">
        <v>156721.29999999999</v>
      </c>
      <c r="DM642" s="995">
        <v>0</v>
      </c>
      <c r="DN642" s="995">
        <v>0</v>
      </c>
      <c r="DO642" s="995">
        <v>0</v>
      </c>
      <c r="DP642" s="995">
        <v>0</v>
      </c>
      <c r="DQ642" s="995">
        <v>100.904</v>
      </c>
      <c r="DR642" s="995">
        <v>3474333</v>
      </c>
      <c r="DS642" s="995">
        <v>4.5519999999999996</v>
      </c>
      <c r="DT642" s="995">
        <v>156721.29999999999</v>
      </c>
    </row>
    <row r="643" spans="1:124">
      <c r="A643" s="753" t="s">
        <v>94</v>
      </c>
      <c r="B643" s="753" t="s">
        <v>510</v>
      </c>
      <c r="C643" s="753" t="s">
        <v>859</v>
      </c>
      <c r="D643" s="753">
        <v>804374</v>
      </c>
      <c r="E643" s="753" t="s">
        <v>865</v>
      </c>
      <c r="F643" s="753" t="s">
        <v>149</v>
      </c>
      <c r="G643" s="753" t="s">
        <v>150</v>
      </c>
      <c r="H643" s="754" t="s">
        <v>150</v>
      </c>
      <c r="I643" s="755">
        <v>22</v>
      </c>
      <c r="J643" s="756">
        <v>210086.50320000001</v>
      </c>
      <c r="K643" s="757">
        <v>10761.745475</v>
      </c>
      <c r="L643" s="758">
        <v>220848.24867500001</v>
      </c>
      <c r="M643" s="759">
        <v>4534401</v>
      </c>
      <c r="N643" s="760">
        <v>3051573</v>
      </c>
      <c r="O643" s="760">
        <v>1482465</v>
      </c>
      <c r="P643" s="760">
        <v>363</v>
      </c>
      <c r="Q643" s="761">
        <v>10423.0727816092</v>
      </c>
      <c r="R643" s="762">
        <v>5546.1445717076303</v>
      </c>
      <c r="S643" s="760">
        <v>8925.5115990452596</v>
      </c>
      <c r="T643" s="760">
        <v>1392.7592005967599</v>
      </c>
      <c r="U643" s="760">
        <f>IFERROR(INDEX('Rentabilidad datos'!$N$2:$N$61,MATCH($C643,'Rentabilidad datos'!$C$2:$C$61,0)),"")</f>
        <v>15864.415371349654</v>
      </c>
      <c r="V643" s="761">
        <f>IFERROR(INDEX('Rentabilidad datos'!$O$2:$O$61,MATCH($C643,'Rentabilidad datos'!$C$2:$C$61,0)),"")</f>
        <v>1586.4415371349655</v>
      </c>
      <c r="W643" s="762">
        <f>IFERROR(INDEX('Rentabilidad datos'!$M$2:$M$61,MATCH($C643,'Rentabilidad datos'!$C$2:$C$61,0)),"")</f>
        <v>3060.1995418491324</v>
      </c>
      <c r="X643" s="763">
        <f>IFERROR(INDEX('Rentabilidad datos'!$P$2:$P$61,MATCH($C643,'Rentabilidad datos'!$C$2:$C$61,0)),"")</f>
        <v>0.51841114131281607</v>
      </c>
      <c r="Y643" s="754" t="s">
        <v>211</v>
      </c>
      <c r="Z643" s="764">
        <v>90.018390804597701</v>
      </c>
      <c r="AA643" s="754">
        <v>2</v>
      </c>
      <c r="AB643" s="765">
        <v>0.95280346841843055</v>
      </c>
      <c r="AC643" s="766">
        <v>4.7196531581569431E-2</v>
      </c>
      <c r="AD643" s="767" t="e">
        <f>_xlfn.XLOOKUP(Table1[[#This Row],[Ruta]],#REF!,#REF!)</f>
        <v>#REF!</v>
      </c>
      <c r="AE643" s="767" t="e">
        <f>_xlfn.XLOOKUP(Table1[[#This Row],[Ruta]],#REF!,#REF!)</f>
        <v>#REF!</v>
      </c>
      <c r="AF643" s="767" t="e">
        <f>_xlfn.XLOOKUP(Table1[[#This Row],[Ruta]],#REF!,#REF!)</f>
        <v>#REF!</v>
      </c>
      <c r="AG643" s="767" t="e">
        <f>_xlfn.XLOOKUP(Table1[[#This Row],[Ruta]],#REF!,#REF!)</f>
        <v>#REF!</v>
      </c>
      <c r="AH643" s="763">
        <v>0.67298260564074508</v>
      </c>
      <c r="AI643" s="763">
        <v>0.32693733968389649</v>
      </c>
      <c r="AJ643" s="766">
        <v>8.005467535844315E-5</v>
      </c>
      <c r="AK643" s="768">
        <v>39158</v>
      </c>
      <c r="AL643" s="755">
        <v>16334</v>
      </c>
      <c r="AM643" s="765">
        <v>0.41713059911129302</v>
      </c>
      <c r="AN643" s="766">
        <v>0.52393875788094302</v>
      </c>
      <c r="AO643" s="768">
        <v>4182.3938811019798</v>
      </c>
      <c r="AP643" s="759">
        <v>2091.1969405509899</v>
      </c>
      <c r="AQ643" s="766">
        <v>0.47053467849611796</v>
      </c>
      <c r="AR643" s="762">
        <v>4534036.66</v>
      </c>
      <c r="AS643" s="760">
        <v>580480.20030231494</v>
      </c>
      <c r="AT643" s="766">
        <v>0.12802724014638092</v>
      </c>
      <c r="AU643" s="762">
        <v>407905.00561784307</v>
      </c>
      <c r="AV643" s="763">
        <v>1.8555984716739466E-3</v>
      </c>
      <c r="AW643" s="755">
        <v>184</v>
      </c>
      <c r="AX643" s="762">
        <v>277.582751316273</v>
      </c>
      <c r="AY643" s="760">
        <v>321.40009216103402</v>
      </c>
      <c r="AZ643" s="760">
        <v>43.81734084476102</v>
      </c>
      <c r="BA643" s="753" t="s">
        <v>150</v>
      </c>
      <c r="BB643" s="761">
        <v>251466.53485562833</v>
      </c>
      <c r="BC643" s="769">
        <v>659371.5404734714</v>
      </c>
      <c r="BD643" s="753" t="s">
        <v>150</v>
      </c>
      <c r="BE643" s="757">
        <v>90.018390804597701</v>
      </c>
      <c r="BF643" s="757">
        <v>72.425990467051307</v>
      </c>
      <c r="BG643" s="753" t="s">
        <v>150</v>
      </c>
      <c r="BH643" s="763">
        <v>0.41713059911129302</v>
      </c>
      <c r="BI643" s="763">
        <v>0.49337264070319697</v>
      </c>
      <c r="BJ643" s="753" t="s">
        <v>152</v>
      </c>
      <c r="BK643" s="757">
        <v>507.69712339080399</v>
      </c>
      <c r="BL643" s="757">
        <v>605.59017138979505</v>
      </c>
      <c r="BM643" s="753" t="s">
        <v>152</v>
      </c>
      <c r="BN643" s="759">
        <v>1</v>
      </c>
      <c r="BO643" s="753" t="s">
        <v>155</v>
      </c>
      <c r="BP643" s="753" t="s">
        <v>152</v>
      </c>
      <c r="BQ643" s="757">
        <v>0</v>
      </c>
      <c r="BR643" s="46">
        <v>170</v>
      </c>
      <c r="BS643" s="46">
        <v>11510</v>
      </c>
      <c r="BT643" s="46">
        <v>3441</v>
      </c>
      <c r="BU643" s="46">
        <v>3.3449578610868933</v>
      </c>
      <c r="BV643" s="46">
        <v>20.241176470588236</v>
      </c>
      <c r="BW643" s="46">
        <v>0</v>
      </c>
      <c r="BX643" s="46">
        <v>1661</v>
      </c>
      <c r="BY643" s="46">
        <v>1661</v>
      </c>
      <c r="BZ643" s="46">
        <v>0.48270851496657946</v>
      </c>
      <c r="CA643" s="46">
        <v>0</v>
      </c>
      <c r="CB643" s="46">
        <v>0.48270851496657957</v>
      </c>
      <c r="CC643" s="46">
        <v>0.43591979075850051</v>
      </c>
      <c r="CD643" s="46">
        <v>0</v>
      </c>
      <c r="CE643" s="46">
        <v>0</v>
      </c>
      <c r="CF643" s="46">
        <v>8.1371694274920081E-2</v>
      </c>
      <c r="CG643" s="46">
        <v>0</v>
      </c>
      <c r="CH643" s="46">
        <v>0</v>
      </c>
      <c r="CI643" s="46">
        <v>5.7341442224152912</v>
      </c>
      <c r="CJ643" s="46">
        <v>0.69504778453518679</v>
      </c>
      <c r="CK643">
        <v>382</v>
      </c>
      <c r="CL643">
        <v>416.1</v>
      </c>
      <c r="CM643">
        <f t="shared" si="70"/>
        <v>34.100000000000023</v>
      </c>
      <c r="CN643">
        <v>9.0500000000000007</v>
      </c>
      <c r="CO643">
        <v>9.4499999999999993</v>
      </c>
      <c r="CP643">
        <f t="shared" si="71"/>
        <v>0.39999999999999858</v>
      </c>
      <c r="CQ643">
        <v>846.56</v>
      </c>
      <c r="CR643">
        <v>507.7</v>
      </c>
      <c r="CS643">
        <f t="shared" si="72"/>
        <v>338.85999999999996</v>
      </c>
      <c r="CT643" t="s">
        <v>152</v>
      </c>
      <c r="CU643">
        <v>95.79</v>
      </c>
      <c r="CV643">
        <v>242</v>
      </c>
      <c r="CW643" s="46">
        <v>1661</v>
      </c>
      <c r="CX643" s="46">
        <f t="shared" si="66"/>
        <v>47.27986050566696</v>
      </c>
      <c r="CY643" s="46">
        <v>34.1</v>
      </c>
      <c r="CZ643" s="46">
        <f t="shared" si="67"/>
        <v>48.270851496657947</v>
      </c>
      <c r="DA643" s="46">
        <f t="shared" si="68"/>
        <v>300.07151736640674</v>
      </c>
      <c r="DB643" s="46">
        <v>1042778.53</v>
      </c>
      <c r="DC643" s="46">
        <f t="shared" si="69"/>
        <v>14.475494230381861</v>
      </c>
      <c r="DD643" s="46">
        <v>50303.79</v>
      </c>
      <c r="DE643" s="995">
        <v>1661</v>
      </c>
      <c r="DF643" s="995">
        <v>47.06</v>
      </c>
      <c r="DG643" s="995">
        <v>41.7</v>
      </c>
      <c r="DH643" s="995">
        <v>48.271000000000001</v>
      </c>
      <c r="DI643" s="995">
        <v>1320.7170000000001</v>
      </c>
      <c r="DJ643" s="995">
        <v>4599614</v>
      </c>
      <c r="DK643" s="995">
        <v>63.92</v>
      </c>
      <c r="DL643" s="995">
        <v>222610.5</v>
      </c>
      <c r="DM643" s="995">
        <v>1661</v>
      </c>
      <c r="DN643" s="995">
        <v>47.274000000000001</v>
      </c>
      <c r="DO643" s="995">
        <v>34.299999999999997</v>
      </c>
      <c r="DP643" s="995">
        <v>48.271000000000001</v>
      </c>
      <c r="DQ643" s="995">
        <v>1304.9649999999999</v>
      </c>
      <c r="DR643" s="995">
        <v>4535159</v>
      </c>
      <c r="DS643" s="995">
        <v>63.146999999999998</v>
      </c>
      <c r="DT643" s="995">
        <v>219454</v>
      </c>
    </row>
    <row r="644" spans="1:124">
      <c r="A644" s="753" t="s">
        <v>94</v>
      </c>
      <c r="B644" s="753" t="s">
        <v>510</v>
      </c>
      <c r="C644" s="753" t="s">
        <v>859</v>
      </c>
      <c r="D644" s="753">
        <v>804384</v>
      </c>
      <c r="E644" s="753" t="s">
        <v>866</v>
      </c>
      <c r="F644" s="753" t="s">
        <v>193</v>
      </c>
      <c r="G644" s="753" t="s">
        <v>150</v>
      </c>
      <c r="H644" s="754" t="s">
        <v>152</v>
      </c>
      <c r="I644" s="755">
        <v>22</v>
      </c>
      <c r="J644" s="756">
        <v>183.16480000000001</v>
      </c>
      <c r="K644" s="757">
        <v>18.055499999999999</v>
      </c>
      <c r="L644" s="758">
        <v>201.22030000000001</v>
      </c>
      <c r="M644" s="759">
        <v>5047</v>
      </c>
      <c r="N644" s="760">
        <v>2600</v>
      </c>
      <c r="O644" s="760">
        <v>2447</v>
      </c>
      <c r="P644" s="760">
        <v>0</v>
      </c>
      <c r="Q644" s="761">
        <v>0</v>
      </c>
      <c r="R644" s="762">
        <v>5546.1445717076303</v>
      </c>
      <c r="S644" s="760">
        <v>8925.5115990452596</v>
      </c>
      <c r="T644" s="760">
        <v>1392.7592005967599</v>
      </c>
      <c r="U644" s="760">
        <f>IFERROR(INDEX('Rentabilidad datos'!$N$2:$N$61,MATCH($C644,'Rentabilidad datos'!$C$2:$C$61,0)),"")</f>
        <v>15864.415371349654</v>
      </c>
      <c r="V644" s="761">
        <f>IFERROR(INDEX('Rentabilidad datos'!$O$2:$O$61,MATCH($C644,'Rentabilidad datos'!$C$2:$C$61,0)),"")</f>
        <v>1586.4415371349655</v>
      </c>
      <c r="W644" s="762">
        <f>IFERROR(INDEX('Rentabilidad datos'!$M$2:$M$61,MATCH($C644,'Rentabilidad datos'!$C$2:$C$61,0)),"")</f>
        <v>3060.1995418491324</v>
      </c>
      <c r="X644" s="763">
        <f>IFERROR(INDEX('Rentabilidad datos'!$P$2:$P$61,MATCH($C644,'Rentabilidad datos'!$C$2:$C$61,0)),"")</f>
        <v>0.51841114131281607</v>
      </c>
      <c r="Y644" s="754" t="s">
        <v>211</v>
      </c>
      <c r="Z644" s="764">
        <v>34.3333333333333</v>
      </c>
      <c r="AA644" s="754">
        <v>2</v>
      </c>
      <c r="AB644" s="765">
        <v>1</v>
      </c>
      <c r="AC644" s="766">
        <v>0</v>
      </c>
      <c r="AD644" s="767" t="e">
        <f>_xlfn.XLOOKUP(Table1[[#This Row],[Ruta]],#REF!,#REF!)</f>
        <v>#REF!</v>
      </c>
      <c r="AE644" s="767" t="e">
        <f>_xlfn.XLOOKUP(Table1[[#This Row],[Ruta]],#REF!,#REF!)</f>
        <v>#REF!</v>
      </c>
      <c r="AF644" s="767" t="e">
        <f>_xlfn.XLOOKUP(Table1[[#This Row],[Ruta]],#REF!,#REF!)</f>
        <v>#REF!</v>
      </c>
      <c r="AG644" s="767" t="e">
        <f>_xlfn.XLOOKUP(Table1[[#This Row],[Ruta]],#REF!,#REF!)</f>
        <v>#REF!</v>
      </c>
      <c r="AH644" s="763">
        <v>0.51515751931840692</v>
      </c>
      <c r="AI644" s="763">
        <v>0.48484248068159302</v>
      </c>
      <c r="AJ644" s="766">
        <v>0</v>
      </c>
      <c r="AK644" s="768">
        <v>103</v>
      </c>
      <c r="AL644" s="755">
        <v>11</v>
      </c>
      <c r="AM644" s="765">
        <v>0.106796116504854</v>
      </c>
      <c r="AN644" s="766">
        <v>0.52393875788094302</v>
      </c>
      <c r="AO644" s="768">
        <v>0</v>
      </c>
      <c r="AP644" s="759">
        <v>0</v>
      </c>
      <c r="AQ644" s="766">
        <v>0.10679611650485436</v>
      </c>
      <c r="AR644" s="762">
        <v>5047.16</v>
      </c>
      <c r="AS644" s="760">
        <v>0</v>
      </c>
      <c r="AT644" s="766">
        <v>0</v>
      </c>
      <c r="AU644" s="762">
        <v>0</v>
      </c>
      <c r="AV644" s="763">
        <v>0</v>
      </c>
      <c r="AW644" s="755">
        <v>490</v>
      </c>
      <c r="AX644" s="762">
        <v>458.83272727272703</v>
      </c>
      <c r="AY644" s="760">
        <v>321.40009216103402</v>
      </c>
      <c r="AZ644" s="760">
        <v>0</v>
      </c>
      <c r="BA644" s="753" t="s">
        <v>152</v>
      </c>
      <c r="BB644" s="761">
        <v>0</v>
      </c>
      <c r="BC644" s="769">
        <v>0</v>
      </c>
      <c r="BD644" s="753" t="s">
        <v>152</v>
      </c>
      <c r="BE644" s="757" t="s">
        <v>195</v>
      </c>
      <c r="BF644" s="757" t="s">
        <v>195</v>
      </c>
      <c r="BG644" s="753" t="s">
        <v>195</v>
      </c>
      <c r="BH644" s="763" t="s">
        <v>195</v>
      </c>
      <c r="BI644" s="763" t="s">
        <v>195</v>
      </c>
      <c r="BJ644" s="753" t="s">
        <v>195</v>
      </c>
      <c r="BK644" s="757" t="s">
        <v>195</v>
      </c>
      <c r="BL644" s="757" t="s">
        <v>195</v>
      </c>
      <c r="BM644" s="753" t="s">
        <v>195</v>
      </c>
      <c r="BN644" s="759" t="s">
        <v>195</v>
      </c>
      <c r="BO644" s="753" t="s">
        <v>195</v>
      </c>
      <c r="BP644" s="753" t="s">
        <v>152</v>
      </c>
      <c r="BQ644" s="757">
        <v>0</v>
      </c>
      <c r="BR644" s="46" t="e">
        <v>#N/A</v>
      </c>
      <c r="BS644" s="46" t="e">
        <v>#N/A</v>
      </c>
      <c r="BT644" s="46" t="e">
        <v>#N/A</v>
      </c>
      <c r="BU644" s="46" t="e">
        <v>#N/A</v>
      </c>
      <c r="BV644" s="46" t="e">
        <v>#N/A</v>
      </c>
      <c r="BW644" s="46" t="e">
        <v>#N/A</v>
      </c>
      <c r="BX644" s="46" t="e">
        <v>#N/A</v>
      </c>
      <c r="BY644" s="46" t="e">
        <v>#N/A</v>
      </c>
      <c r="BZ644" s="46" t="e">
        <v>#N/A</v>
      </c>
      <c r="CA644" s="46" t="e">
        <v>#N/A</v>
      </c>
      <c r="CB644" s="46" t="e">
        <v>#N/A</v>
      </c>
      <c r="CC644" s="46" t="e">
        <v>#N/A</v>
      </c>
      <c r="CD644" s="46" t="e">
        <v>#N/A</v>
      </c>
      <c r="CE644" s="46" t="e">
        <v>#N/A</v>
      </c>
      <c r="CF644" s="46" t="e">
        <v>#N/A</v>
      </c>
      <c r="CG644" s="46" t="e">
        <v>#N/A</v>
      </c>
      <c r="CH644" s="46" t="e">
        <v>#N/A</v>
      </c>
      <c r="CI644" s="46" t="e">
        <v>#N/A</v>
      </c>
      <c r="CJ644" s="46" t="e">
        <v>#N/A</v>
      </c>
      <c r="CM644">
        <f t="shared" si="70"/>
        <v>0</v>
      </c>
      <c r="CP644">
        <f t="shared" si="71"/>
        <v>0</v>
      </c>
      <c r="CS644">
        <f t="shared" si="72"/>
        <v>0</v>
      </c>
      <c r="CW644" s="46"/>
      <c r="CX644" s="46" t="e">
        <f t="shared" si="66"/>
        <v>#N/A</v>
      </c>
      <c r="CY644" s="46"/>
      <c r="CZ644" s="46" t="e">
        <f t="shared" si="67"/>
        <v>#N/A</v>
      </c>
      <c r="DA644" s="46" t="e">
        <f t="shared" si="68"/>
        <v>#N/A</v>
      </c>
      <c r="DB644" s="46"/>
      <c r="DC644" s="46" t="e">
        <f t="shared" si="69"/>
        <v>#N/A</v>
      </c>
      <c r="DD644" s="46"/>
      <c r="DE644" s="995" t="s">
        <v>194</v>
      </c>
      <c r="DF644" s="995" t="s">
        <v>194</v>
      </c>
      <c r="DG644" s="995" t="s">
        <v>194</v>
      </c>
      <c r="DH644" s="995" t="s">
        <v>194</v>
      </c>
      <c r="DI644" s="995" t="s">
        <v>194</v>
      </c>
      <c r="DJ644" s="995" t="s">
        <v>194</v>
      </c>
      <c r="DK644" s="995" t="s">
        <v>194</v>
      </c>
      <c r="DL644" s="995" t="s">
        <v>194</v>
      </c>
      <c r="DM644" s="995" t="s">
        <v>194</v>
      </c>
      <c r="DN644" s="995" t="s">
        <v>194</v>
      </c>
      <c r="DO644" s="995" t="s">
        <v>194</v>
      </c>
      <c r="DP644" s="995" t="s">
        <v>194</v>
      </c>
      <c r="DQ644" s="995" t="s">
        <v>194</v>
      </c>
      <c r="DR644" s="995" t="s">
        <v>194</v>
      </c>
      <c r="DS644" s="995" t="s">
        <v>194</v>
      </c>
      <c r="DT644" s="995" t="s">
        <v>194</v>
      </c>
    </row>
    <row r="645" spans="1:124">
      <c r="A645" s="753" t="s">
        <v>94</v>
      </c>
      <c r="B645" s="753" t="s">
        <v>510</v>
      </c>
      <c r="C645" s="753" t="s">
        <v>859</v>
      </c>
      <c r="D645" s="753">
        <v>804385</v>
      </c>
      <c r="E645" s="753" t="s">
        <v>867</v>
      </c>
      <c r="F645" s="753" t="s">
        <v>193</v>
      </c>
      <c r="G645" s="753" t="s">
        <v>150</v>
      </c>
      <c r="H645" s="754" t="s">
        <v>152</v>
      </c>
      <c r="I645" s="755">
        <v>22</v>
      </c>
      <c r="J645" s="756">
        <v>0</v>
      </c>
      <c r="K645" s="757">
        <v>5.5055249999999996</v>
      </c>
      <c r="L645" s="758">
        <v>5.5055249999999996</v>
      </c>
      <c r="M645" s="759">
        <v>612</v>
      </c>
      <c r="N645" s="760">
        <v>0</v>
      </c>
      <c r="O645" s="760">
        <v>612</v>
      </c>
      <c r="P645" s="760">
        <v>0</v>
      </c>
      <c r="Q645" s="761">
        <v>0</v>
      </c>
      <c r="R645" s="762">
        <v>5546.1445717076303</v>
      </c>
      <c r="S645" s="760">
        <v>8925.5115990452596</v>
      </c>
      <c r="T645" s="760">
        <v>1392.7592005967599</v>
      </c>
      <c r="U645" s="760">
        <f>IFERROR(INDEX('Rentabilidad datos'!$N$2:$N$61,MATCH($C645,'Rentabilidad datos'!$C$2:$C$61,0)),"")</f>
        <v>15864.415371349654</v>
      </c>
      <c r="V645" s="761">
        <f>IFERROR(INDEX('Rentabilidad datos'!$O$2:$O$61,MATCH($C645,'Rentabilidad datos'!$C$2:$C$61,0)),"")</f>
        <v>1586.4415371349655</v>
      </c>
      <c r="W645" s="762">
        <f>IFERROR(INDEX('Rentabilidad datos'!$M$2:$M$61,MATCH($C645,'Rentabilidad datos'!$C$2:$C$61,0)),"")</f>
        <v>3060.1995418491324</v>
      </c>
      <c r="X645" s="763">
        <f>IFERROR(INDEX('Rentabilidad datos'!$P$2:$P$61,MATCH($C645,'Rentabilidad datos'!$C$2:$C$61,0)),"")</f>
        <v>0.51841114131281607</v>
      </c>
      <c r="Y645" s="754" t="s">
        <v>211</v>
      </c>
      <c r="Z645" s="764">
        <v>71.6666666666667</v>
      </c>
      <c r="AA645" s="754">
        <v>2</v>
      </c>
      <c r="AB645" s="765">
        <v>1</v>
      </c>
      <c r="AC645" s="766">
        <v>0</v>
      </c>
      <c r="AD645" s="767" t="e">
        <f>_xlfn.XLOOKUP(Table1[[#This Row],[Ruta]],#REF!,#REF!)</f>
        <v>#REF!</v>
      </c>
      <c r="AE645" s="767" t="e">
        <f>_xlfn.XLOOKUP(Table1[[#This Row],[Ruta]],#REF!,#REF!)</f>
        <v>#REF!</v>
      </c>
      <c r="AF645" s="767" t="e">
        <f>_xlfn.XLOOKUP(Table1[[#This Row],[Ruta]],#REF!,#REF!)</f>
        <v>#REF!</v>
      </c>
      <c r="AG645" s="767" t="e">
        <f>_xlfn.XLOOKUP(Table1[[#This Row],[Ruta]],#REF!,#REF!)</f>
        <v>#REF!</v>
      </c>
      <c r="AH645" s="763">
        <v>0</v>
      </c>
      <c r="AI645" s="763">
        <v>1</v>
      </c>
      <c r="AJ645" s="766">
        <v>0</v>
      </c>
      <c r="AK645" s="768">
        <v>215</v>
      </c>
      <c r="AL645" s="755">
        <v>3</v>
      </c>
      <c r="AM645" s="765">
        <v>1.3953488372093001E-2</v>
      </c>
      <c r="AN645" s="766">
        <v>0.52393875788094302</v>
      </c>
      <c r="AO645" s="768">
        <v>0</v>
      </c>
      <c r="AP645" s="759">
        <v>0</v>
      </c>
      <c r="AQ645" s="766">
        <v>1.3953488372093023E-2</v>
      </c>
      <c r="AR645" s="762">
        <v>611.80999999999995</v>
      </c>
      <c r="AS645" s="760">
        <v>0</v>
      </c>
      <c r="AT645" s="766">
        <v>0</v>
      </c>
      <c r="AU645" s="762">
        <v>0</v>
      </c>
      <c r="AV645" s="763">
        <v>0</v>
      </c>
      <c r="AW645" s="755">
        <v>490</v>
      </c>
      <c r="AX645" s="762">
        <v>203.93666666666701</v>
      </c>
      <c r="AY645" s="760">
        <v>321.40009216103402</v>
      </c>
      <c r="AZ645" s="760">
        <v>117.46342549436702</v>
      </c>
      <c r="BA645" s="753" t="s">
        <v>150</v>
      </c>
      <c r="BB645" s="761">
        <v>123.81279984541393</v>
      </c>
      <c r="BC645" s="769">
        <v>123.81279984541393</v>
      </c>
      <c r="BD645" s="753" t="s">
        <v>152</v>
      </c>
      <c r="BE645" s="757" t="s">
        <v>195</v>
      </c>
      <c r="BF645" s="757" t="s">
        <v>195</v>
      </c>
      <c r="BG645" s="753" t="s">
        <v>195</v>
      </c>
      <c r="BH645" s="763" t="s">
        <v>195</v>
      </c>
      <c r="BI645" s="763" t="s">
        <v>195</v>
      </c>
      <c r="BJ645" s="753" t="s">
        <v>195</v>
      </c>
      <c r="BK645" s="757" t="s">
        <v>195</v>
      </c>
      <c r="BL645" s="757" t="s">
        <v>195</v>
      </c>
      <c r="BM645" s="753" t="s">
        <v>195</v>
      </c>
      <c r="BN645" s="759" t="s">
        <v>195</v>
      </c>
      <c r="BO645" s="753" t="s">
        <v>195</v>
      </c>
      <c r="BP645" s="753" t="s">
        <v>152</v>
      </c>
      <c r="BQ645" s="757">
        <v>0</v>
      </c>
      <c r="BR645" s="46" t="e">
        <v>#N/A</v>
      </c>
      <c r="BS645" s="46" t="e">
        <v>#N/A</v>
      </c>
      <c r="BT645" s="46" t="e">
        <v>#N/A</v>
      </c>
      <c r="BU645" s="46" t="e">
        <v>#N/A</v>
      </c>
      <c r="BV645" s="46" t="e">
        <v>#N/A</v>
      </c>
      <c r="BW645" s="46" t="e">
        <v>#N/A</v>
      </c>
      <c r="BX645" s="46" t="e">
        <v>#N/A</v>
      </c>
      <c r="BY645" s="46" t="e">
        <v>#N/A</v>
      </c>
      <c r="BZ645" s="46" t="e">
        <v>#N/A</v>
      </c>
      <c r="CA645" s="46" t="e">
        <v>#N/A</v>
      </c>
      <c r="CB645" s="46" t="e">
        <v>#N/A</v>
      </c>
      <c r="CC645" s="46" t="e">
        <v>#N/A</v>
      </c>
      <c r="CD645" s="46" t="e">
        <v>#N/A</v>
      </c>
      <c r="CE645" s="46" t="e">
        <v>#N/A</v>
      </c>
      <c r="CF645" s="46" t="e">
        <v>#N/A</v>
      </c>
      <c r="CG645" s="46" t="e">
        <v>#N/A</v>
      </c>
      <c r="CH645" s="46" t="e">
        <v>#N/A</v>
      </c>
      <c r="CI645" s="46" t="e">
        <v>#N/A</v>
      </c>
      <c r="CJ645" s="46" t="e">
        <v>#N/A</v>
      </c>
      <c r="CM645">
        <f t="shared" si="70"/>
        <v>0</v>
      </c>
      <c r="CP645">
        <f t="shared" si="71"/>
        <v>0</v>
      </c>
      <c r="CS645">
        <f t="shared" si="72"/>
        <v>0</v>
      </c>
      <c r="CW645" s="46"/>
      <c r="CX645" s="46" t="e">
        <f t="shared" si="66"/>
        <v>#N/A</v>
      </c>
      <c r="CY645" s="46"/>
      <c r="CZ645" s="46" t="e">
        <f t="shared" si="67"/>
        <v>#N/A</v>
      </c>
      <c r="DA645" s="46" t="e">
        <f t="shared" si="68"/>
        <v>#N/A</v>
      </c>
      <c r="DB645" s="46"/>
      <c r="DC645" s="46" t="e">
        <f t="shared" si="69"/>
        <v>#N/A</v>
      </c>
      <c r="DD645" s="46"/>
      <c r="DE645" s="995" t="s">
        <v>194</v>
      </c>
      <c r="DF645" s="995" t="s">
        <v>194</v>
      </c>
      <c r="DG645" s="995" t="s">
        <v>194</v>
      </c>
      <c r="DH645" s="995" t="s">
        <v>194</v>
      </c>
      <c r="DI645" s="995" t="s">
        <v>194</v>
      </c>
      <c r="DJ645" s="995" t="s">
        <v>194</v>
      </c>
      <c r="DK645" s="995" t="s">
        <v>194</v>
      </c>
      <c r="DL645" s="995" t="s">
        <v>194</v>
      </c>
      <c r="DM645" s="995" t="s">
        <v>194</v>
      </c>
      <c r="DN645" s="995" t="s">
        <v>194</v>
      </c>
      <c r="DO645" s="995" t="s">
        <v>194</v>
      </c>
      <c r="DP645" s="995" t="s">
        <v>194</v>
      </c>
      <c r="DQ645" s="995" t="s">
        <v>194</v>
      </c>
      <c r="DR645" s="995" t="s">
        <v>194</v>
      </c>
      <c r="DS645" s="995" t="s">
        <v>194</v>
      </c>
      <c r="DT645" s="995" t="s">
        <v>194</v>
      </c>
    </row>
    <row r="646" spans="1:124">
      <c r="A646" s="753" t="s">
        <v>94</v>
      </c>
      <c r="B646" s="753" t="s">
        <v>510</v>
      </c>
      <c r="C646" s="753" t="s">
        <v>859</v>
      </c>
      <c r="D646" s="753">
        <v>804387</v>
      </c>
      <c r="E646" s="753" t="s">
        <v>868</v>
      </c>
      <c r="F646" s="753" t="s">
        <v>149</v>
      </c>
      <c r="G646" s="753" t="s">
        <v>150</v>
      </c>
      <c r="H646" s="754" t="s">
        <v>150</v>
      </c>
      <c r="I646" s="755">
        <v>22</v>
      </c>
      <c r="J646" s="756">
        <v>195817.26079999999</v>
      </c>
      <c r="K646" s="757">
        <v>8679.6921939999993</v>
      </c>
      <c r="L646" s="758">
        <v>204496.95299399999</v>
      </c>
      <c r="M646" s="759">
        <v>4002378</v>
      </c>
      <c r="N646" s="760">
        <v>2824587</v>
      </c>
      <c r="O646" s="760">
        <v>1177791</v>
      </c>
      <c r="P646" s="760">
        <v>0</v>
      </c>
      <c r="Q646" s="761">
        <v>9198.4876091954102</v>
      </c>
      <c r="R646" s="762">
        <v>5546.1445717076303</v>
      </c>
      <c r="S646" s="760">
        <v>8925.5115990452596</v>
      </c>
      <c r="T646" s="760">
        <v>1392.7592005967599</v>
      </c>
      <c r="U646" s="760">
        <f>IFERROR(INDEX('Rentabilidad datos'!$N$2:$N$61,MATCH($C646,'Rentabilidad datos'!$C$2:$C$61,0)),"")</f>
        <v>15864.415371349654</v>
      </c>
      <c r="V646" s="761">
        <f>IFERROR(INDEX('Rentabilidad datos'!$O$2:$O$61,MATCH($C646,'Rentabilidad datos'!$C$2:$C$61,0)),"")</f>
        <v>1586.4415371349655</v>
      </c>
      <c r="W646" s="762">
        <f>IFERROR(INDEX('Rentabilidad datos'!$M$2:$M$61,MATCH($C646,'Rentabilidad datos'!$C$2:$C$61,0)),"")</f>
        <v>3060.1995418491324</v>
      </c>
      <c r="X646" s="763">
        <f>IFERROR(INDEX('Rentabilidad datos'!$P$2:$P$61,MATCH($C646,'Rentabilidad datos'!$C$2:$C$61,0)),"")</f>
        <v>0.51841114131281607</v>
      </c>
      <c r="Y646" s="754" t="s">
        <v>211</v>
      </c>
      <c r="Z646" s="764">
        <v>63.590804597701201</v>
      </c>
      <c r="AA646" s="754">
        <v>2</v>
      </c>
      <c r="AB646" s="765">
        <v>0.94119745811115296</v>
      </c>
      <c r="AC646" s="766">
        <v>5.8802541888847079E-2</v>
      </c>
      <c r="AD646" s="767" t="e">
        <f>_xlfn.XLOOKUP(Table1[[#This Row],[Ruta]],#REF!,#REF!)</f>
        <v>#REF!</v>
      </c>
      <c r="AE646" s="767" t="e">
        <f>_xlfn.XLOOKUP(Table1[[#This Row],[Ruta]],#REF!,#REF!)</f>
        <v>#REF!</v>
      </c>
      <c r="AF646" s="767" t="e">
        <f>_xlfn.XLOOKUP(Table1[[#This Row],[Ruta]],#REF!,#REF!)</f>
        <v>#REF!</v>
      </c>
      <c r="AG646" s="767" t="e">
        <f>_xlfn.XLOOKUP(Table1[[#This Row],[Ruta]],#REF!,#REF!)</f>
        <v>#REF!</v>
      </c>
      <c r="AH646" s="763">
        <v>0.70572719518246407</v>
      </c>
      <c r="AI646" s="763">
        <v>0.29427280481753598</v>
      </c>
      <c r="AJ646" s="766">
        <v>0</v>
      </c>
      <c r="AK646" s="768">
        <v>27662</v>
      </c>
      <c r="AL646" s="755">
        <v>10332</v>
      </c>
      <c r="AM646" s="765">
        <v>0.373508784614272</v>
      </c>
      <c r="AN646" s="766">
        <v>0.52393875788094302</v>
      </c>
      <c r="AO646" s="768">
        <v>4161.1939205026501</v>
      </c>
      <c r="AP646" s="759">
        <v>2080.5969602513251</v>
      </c>
      <c r="AQ646" s="766">
        <v>0.44872377124760771</v>
      </c>
      <c r="AR646" s="762">
        <v>4001342.11</v>
      </c>
      <c r="AS646" s="760">
        <v>805766.57287955994</v>
      </c>
      <c r="AT646" s="766">
        <v>0.20137407667937696</v>
      </c>
      <c r="AU646" s="762">
        <v>566214.34850996127</v>
      </c>
      <c r="AV646" s="763">
        <v>2.5757626537176873E-3</v>
      </c>
      <c r="AW646" s="755">
        <v>130</v>
      </c>
      <c r="AX646" s="762">
        <v>387.27662698412701</v>
      </c>
      <c r="AY646" s="760">
        <v>321.40009216103402</v>
      </c>
      <c r="AZ646" s="760">
        <v>0</v>
      </c>
      <c r="BA646" s="753" t="s">
        <v>152</v>
      </c>
      <c r="BB646" s="761">
        <v>0</v>
      </c>
      <c r="BC646" s="769">
        <v>566214.34850996127</v>
      </c>
      <c r="BD646" s="753" t="s">
        <v>150</v>
      </c>
      <c r="BE646" s="757">
        <v>63.590804597701201</v>
      </c>
      <c r="BF646" s="757">
        <v>72.425990467051307</v>
      </c>
      <c r="BG646" s="753" t="s">
        <v>152</v>
      </c>
      <c r="BH646" s="763">
        <v>0.373508784614272</v>
      </c>
      <c r="BI646" s="763">
        <v>0.49337264070319697</v>
      </c>
      <c r="BJ646" s="753" t="s">
        <v>152</v>
      </c>
      <c r="BK646" s="757">
        <v>470.10793791724097</v>
      </c>
      <c r="BL646" s="757">
        <v>605.59017138979505</v>
      </c>
      <c r="BM646" s="753" t="s">
        <v>152</v>
      </c>
      <c r="BN646" s="759">
        <v>0</v>
      </c>
      <c r="BO646" s="753" t="s">
        <v>155</v>
      </c>
      <c r="BP646" s="753" t="s">
        <v>152</v>
      </c>
      <c r="BQ646" s="757">
        <v>8047.5954924722701</v>
      </c>
      <c r="BR646" s="46">
        <v>567</v>
      </c>
      <c r="BS646" s="46">
        <v>49086</v>
      </c>
      <c r="BT646" s="46">
        <v>12671</v>
      </c>
      <c r="BU646" s="46">
        <v>3.873885249782969</v>
      </c>
      <c r="BV646" s="46">
        <v>22.347442680776012</v>
      </c>
      <c r="BW646" s="46">
        <v>0</v>
      </c>
      <c r="BX646" s="46">
        <v>509</v>
      </c>
      <c r="BY646" s="46">
        <v>509</v>
      </c>
      <c r="BZ646" s="46">
        <v>4.0170467997790227E-2</v>
      </c>
      <c r="CA646" s="46">
        <v>0</v>
      </c>
      <c r="CB646" s="46">
        <v>4.0170467997790227E-2</v>
      </c>
      <c r="CC646" s="46">
        <v>7.8920369347328545E-4</v>
      </c>
      <c r="CD646" s="46">
        <v>5.1219319706416223E-2</v>
      </c>
      <c r="CE646" s="46">
        <v>0</v>
      </c>
      <c r="CF646" s="46">
        <v>0.90782100860232029</v>
      </c>
      <c r="CG646" s="46">
        <v>0</v>
      </c>
      <c r="CH646" s="46">
        <v>0</v>
      </c>
      <c r="CI646" s="46">
        <v>6.926618587784704</v>
      </c>
      <c r="CJ646" s="46">
        <v>0.20372407611131479</v>
      </c>
      <c r="CK646">
        <v>307</v>
      </c>
      <c r="CL646">
        <v>326.72000000000003</v>
      </c>
      <c r="CM646">
        <f t="shared" si="70"/>
        <v>19.720000000000027</v>
      </c>
      <c r="CN646">
        <v>7.81</v>
      </c>
      <c r="CO646">
        <v>9.4499999999999993</v>
      </c>
      <c r="CP646">
        <f t="shared" si="71"/>
        <v>1.6399999999999997</v>
      </c>
      <c r="CQ646">
        <v>846.56</v>
      </c>
      <c r="CR646">
        <v>470.11</v>
      </c>
      <c r="CS646">
        <f t="shared" si="72"/>
        <v>376.44999999999993</v>
      </c>
      <c r="CT646" t="s">
        <v>152</v>
      </c>
      <c r="CU646">
        <v>82.61</v>
      </c>
      <c r="CV646">
        <v>20</v>
      </c>
      <c r="CW646" s="46">
        <v>509</v>
      </c>
      <c r="CX646" s="46">
        <f t="shared" ref="CX646:CX709" si="73">((CW646-CY646)/BT646)*100</f>
        <v>3.8614158314260911</v>
      </c>
      <c r="CY646" s="46">
        <v>19.72</v>
      </c>
      <c r="CZ646" s="46">
        <f t="shared" ref="CZ646:CZ709" si="74">((CW646)/BT646)*100</f>
        <v>4.0170467997790222</v>
      </c>
      <c r="DA646" s="46">
        <f t="shared" ref="DA646:DA709" si="75">DB646/(CY646+BT646)</f>
        <v>57.4255432315897</v>
      </c>
      <c r="DB646" s="46">
        <v>728771.49</v>
      </c>
      <c r="DC646" s="46">
        <f t="shared" ref="DC646:DC709" si="76">DD646/(CY646+BT646)</f>
        <v>3.2141328466785182</v>
      </c>
      <c r="DD646" s="46">
        <v>40789.660000000003</v>
      </c>
      <c r="DE646" s="995">
        <v>509</v>
      </c>
      <c r="DF646" s="995">
        <v>3.895</v>
      </c>
      <c r="DG646" s="995">
        <v>15.5</v>
      </c>
      <c r="DH646" s="995">
        <v>4.0170000000000003</v>
      </c>
      <c r="DI646" s="995">
        <v>217.12700000000001</v>
      </c>
      <c r="DJ646" s="995">
        <v>2754578</v>
      </c>
      <c r="DK646" s="995">
        <v>11.71</v>
      </c>
      <c r="DL646" s="995">
        <v>148560.70000000001</v>
      </c>
      <c r="DM646" s="995">
        <v>509</v>
      </c>
      <c r="DN646" s="995">
        <v>3.9169999999999998</v>
      </c>
      <c r="DO646" s="995">
        <v>12.7</v>
      </c>
      <c r="DP646" s="995">
        <v>4.0170000000000003</v>
      </c>
      <c r="DQ646" s="995">
        <v>215.251</v>
      </c>
      <c r="DR646" s="995">
        <v>2730190</v>
      </c>
      <c r="DS646" s="995">
        <v>11.605</v>
      </c>
      <c r="DT646" s="995">
        <v>147195.70000000001</v>
      </c>
    </row>
    <row r="647" spans="1:124">
      <c r="A647" s="753" t="s">
        <v>94</v>
      </c>
      <c r="B647" s="753" t="s">
        <v>510</v>
      </c>
      <c r="C647" s="753" t="s">
        <v>859</v>
      </c>
      <c r="D647" s="753">
        <v>804388</v>
      </c>
      <c r="E647" s="753" t="s">
        <v>869</v>
      </c>
      <c r="F647" s="753" t="s">
        <v>193</v>
      </c>
      <c r="G647" s="753" t="s">
        <v>150</v>
      </c>
      <c r="H647" s="754" t="s">
        <v>152</v>
      </c>
      <c r="I647" s="755">
        <v>22</v>
      </c>
      <c r="J647" s="756">
        <v>140.89599999999999</v>
      </c>
      <c r="K647" s="757">
        <v>17.699925</v>
      </c>
      <c r="L647" s="758">
        <v>158.59592499999999</v>
      </c>
      <c r="M647" s="759">
        <v>3430</v>
      </c>
      <c r="N647" s="760">
        <v>1942</v>
      </c>
      <c r="O647" s="760">
        <v>1488</v>
      </c>
      <c r="P647" s="760">
        <v>0</v>
      </c>
      <c r="Q647" s="761">
        <v>0</v>
      </c>
      <c r="R647" s="762">
        <v>5546.1445717076303</v>
      </c>
      <c r="S647" s="760">
        <v>8925.5115990452596</v>
      </c>
      <c r="T647" s="760">
        <v>1392.7592005967599</v>
      </c>
      <c r="U647" s="760">
        <f>IFERROR(INDEX('Rentabilidad datos'!$N$2:$N$61,MATCH($C647,'Rentabilidad datos'!$C$2:$C$61,0)),"")</f>
        <v>15864.415371349654</v>
      </c>
      <c r="V647" s="761">
        <f>IFERROR(INDEX('Rentabilidad datos'!$O$2:$O$61,MATCH($C647,'Rentabilidad datos'!$C$2:$C$61,0)),"")</f>
        <v>1586.4415371349655</v>
      </c>
      <c r="W647" s="762">
        <f>IFERROR(INDEX('Rentabilidad datos'!$M$2:$M$61,MATCH($C647,'Rentabilidad datos'!$C$2:$C$61,0)),"")</f>
        <v>3060.1995418491324</v>
      </c>
      <c r="X647" s="763">
        <f>IFERROR(INDEX('Rentabilidad datos'!$P$2:$P$61,MATCH($C647,'Rentabilidad datos'!$C$2:$C$61,0)),"")</f>
        <v>0.51841114131281607</v>
      </c>
      <c r="Y647" s="754" t="s">
        <v>211</v>
      </c>
      <c r="Z647" s="764">
        <v>53</v>
      </c>
      <c r="AA647" s="754">
        <v>2</v>
      </c>
      <c r="AB647" s="765">
        <v>0.3498542274052478</v>
      </c>
      <c r="AC647" s="766">
        <v>0.65014577259475215</v>
      </c>
      <c r="AD647" s="767" t="e">
        <f>_xlfn.XLOOKUP(Table1[[#This Row],[Ruta]],#REF!,#REF!)</f>
        <v>#REF!</v>
      </c>
      <c r="AE647" s="767" t="e">
        <f>_xlfn.XLOOKUP(Table1[[#This Row],[Ruta]],#REF!,#REF!)</f>
        <v>#REF!</v>
      </c>
      <c r="AF647" s="767" t="e">
        <f>_xlfn.XLOOKUP(Table1[[#This Row],[Ruta]],#REF!,#REF!)</f>
        <v>#REF!</v>
      </c>
      <c r="AG647" s="767" t="e">
        <f>_xlfn.XLOOKUP(Table1[[#This Row],[Ruta]],#REF!,#REF!)</f>
        <v>#REF!</v>
      </c>
      <c r="AH647" s="763">
        <v>0.56618075801749268</v>
      </c>
      <c r="AI647" s="763">
        <v>0.43381924198250726</v>
      </c>
      <c r="AJ647" s="766">
        <v>0</v>
      </c>
      <c r="AK647" s="768">
        <v>159</v>
      </c>
      <c r="AL647" s="755">
        <v>10</v>
      </c>
      <c r="AM647" s="765">
        <v>3.7735849056603703E-2</v>
      </c>
      <c r="AN647" s="766">
        <v>0.52393875788094302</v>
      </c>
      <c r="AO647" s="768">
        <v>0</v>
      </c>
      <c r="AP647" s="759">
        <v>0</v>
      </c>
      <c r="AQ647" s="766">
        <v>6.2893081761006289E-2</v>
      </c>
      <c r="AR647" s="762">
        <v>3430.21</v>
      </c>
      <c r="AS647" s="760">
        <v>0</v>
      </c>
      <c r="AT647" s="766">
        <v>0</v>
      </c>
      <c r="AU647" s="762">
        <v>0</v>
      </c>
      <c r="AV647" s="763">
        <v>0</v>
      </c>
      <c r="AW647" s="755">
        <v>490</v>
      </c>
      <c r="AX647" s="762">
        <v>343.02100000000002</v>
      </c>
      <c r="AY647" s="760">
        <v>321.40009216103402</v>
      </c>
      <c r="AZ647" s="760">
        <v>0</v>
      </c>
      <c r="BA647" s="753" t="s">
        <v>152</v>
      </c>
      <c r="BB647" s="761">
        <v>0</v>
      </c>
      <c r="BC647" s="769">
        <v>0</v>
      </c>
      <c r="BD647" s="753" t="s">
        <v>152</v>
      </c>
      <c r="BE647" s="757" t="s">
        <v>195</v>
      </c>
      <c r="BF647" s="757" t="s">
        <v>195</v>
      </c>
      <c r="BG647" s="753" t="s">
        <v>195</v>
      </c>
      <c r="BH647" s="763" t="s">
        <v>195</v>
      </c>
      <c r="BI647" s="763" t="s">
        <v>195</v>
      </c>
      <c r="BJ647" s="753" t="s">
        <v>195</v>
      </c>
      <c r="BK647" s="757" t="s">
        <v>195</v>
      </c>
      <c r="BL647" s="757" t="s">
        <v>195</v>
      </c>
      <c r="BM647" s="753" t="s">
        <v>195</v>
      </c>
      <c r="BN647" s="759" t="s">
        <v>195</v>
      </c>
      <c r="BO647" s="753" t="s">
        <v>195</v>
      </c>
      <c r="BP647" s="753" t="s">
        <v>152</v>
      </c>
      <c r="BQ647" s="757">
        <v>0</v>
      </c>
      <c r="BR647" s="46" t="e">
        <v>#N/A</v>
      </c>
      <c r="BS647" s="46" t="e">
        <v>#N/A</v>
      </c>
      <c r="BT647" s="46" t="e">
        <v>#N/A</v>
      </c>
      <c r="BU647" s="46" t="e">
        <v>#N/A</v>
      </c>
      <c r="BV647" s="46" t="e">
        <v>#N/A</v>
      </c>
      <c r="BW647" s="46" t="e">
        <v>#N/A</v>
      </c>
      <c r="BX647" s="46" t="e">
        <v>#N/A</v>
      </c>
      <c r="BY647" s="46" t="e">
        <v>#N/A</v>
      </c>
      <c r="BZ647" s="46" t="e">
        <v>#N/A</v>
      </c>
      <c r="CA647" s="46" t="e">
        <v>#N/A</v>
      </c>
      <c r="CB647" s="46" t="e">
        <v>#N/A</v>
      </c>
      <c r="CC647" s="46" t="e">
        <v>#N/A</v>
      </c>
      <c r="CD647" s="46" t="e">
        <v>#N/A</v>
      </c>
      <c r="CE647" s="46" t="e">
        <v>#N/A</v>
      </c>
      <c r="CF647" s="46" t="e">
        <v>#N/A</v>
      </c>
      <c r="CG647" s="46" t="e">
        <v>#N/A</v>
      </c>
      <c r="CH647" s="46" t="e">
        <v>#N/A</v>
      </c>
      <c r="CI647" s="46" t="e">
        <v>#N/A</v>
      </c>
      <c r="CJ647" s="46" t="e">
        <v>#N/A</v>
      </c>
      <c r="CM647">
        <f t="shared" si="70"/>
        <v>0</v>
      </c>
      <c r="CP647">
        <f t="shared" si="71"/>
        <v>0</v>
      </c>
      <c r="CS647">
        <f t="shared" si="72"/>
        <v>0</v>
      </c>
      <c r="CW647" s="46"/>
      <c r="CX647" s="46" t="e">
        <f t="shared" si="73"/>
        <v>#N/A</v>
      </c>
      <c r="CY647" s="46"/>
      <c r="CZ647" s="46" t="e">
        <f t="shared" si="74"/>
        <v>#N/A</v>
      </c>
      <c r="DA647" s="46" t="e">
        <f t="shared" si="75"/>
        <v>#N/A</v>
      </c>
      <c r="DB647" s="46"/>
      <c r="DC647" s="46" t="e">
        <f t="shared" si="76"/>
        <v>#N/A</v>
      </c>
      <c r="DD647" s="46"/>
      <c r="DE647" s="995" t="s">
        <v>194</v>
      </c>
      <c r="DF647" s="995" t="s">
        <v>194</v>
      </c>
      <c r="DG647" s="995" t="s">
        <v>194</v>
      </c>
      <c r="DH647" s="995" t="s">
        <v>194</v>
      </c>
      <c r="DI647" s="995" t="s">
        <v>194</v>
      </c>
      <c r="DJ647" s="995" t="s">
        <v>194</v>
      </c>
      <c r="DK647" s="995" t="s">
        <v>194</v>
      </c>
      <c r="DL647" s="995" t="s">
        <v>194</v>
      </c>
      <c r="DM647" s="995" t="s">
        <v>194</v>
      </c>
      <c r="DN647" s="995" t="s">
        <v>194</v>
      </c>
      <c r="DO647" s="995" t="s">
        <v>194</v>
      </c>
      <c r="DP647" s="995" t="s">
        <v>194</v>
      </c>
      <c r="DQ647" s="995" t="s">
        <v>194</v>
      </c>
      <c r="DR647" s="995" t="s">
        <v>194</v>
      </c>
      <c r="DS647" s="995" t="s">
        <v>194</v>
      </c>
      <c r="DT647" s="995" t="s">
        <v>194</v>
      </c>
    </row>
    <row r="648" spans="1:124">
      <c r="A648" s="753" t="s">
        <v>94</v>
      </c>
      <c r="B648" s="753" t="s">
        <v>510</v>
      </c>
      <c r="C648" s="753" t="s">
        <v>859</v>
      </c>
      <c r="D648" s="753">
        <v>804389</v>
      </c>
      <c r="E648" s="753" t="s">
        <v>870</v>
      </c>
      <c r="F648" s="753" t="s">
        <v>193</v>
      </c>
      <c r="G648" s="753" t="s">
        <v>150</v>
      </c>
      <c r="H648" s="754" t="s">
        <v>152</v>
      </c>
      <c r="I648" s="755">
        <v>22</v>
      </c>
      <c r="J648" s="756">
        <v>7.0448000000000004</v>
      </c>
      <c r="K648" s="757">
        <v>3.1701000000000001</v>
      </c>
      <c r="L648" s="758">
        <v>10.2149</v>
      </c>
      <c r="M648" s="759">
        <v>324</v>
      </c>
      <c r="N648" s="760">
        <v>100</v>
      </c>
      <c r="O648" s="760">
        <v>224</v>
      </c>
      <c r="P648" s="760">
        <v>0</v>
      </c>
      <c r="Q648" s="761">
        <v>0</v>
      </c>
      <c r="R648" s="762">
        <v>5546.1445717076303</v>
      </c>
      <c r="S648" s="760">
        <v>8925.5115990452596</v>
      </c>
      <c r="T648" s="760">
        <v>1392.7592005967599</v>
      </c>
      <c r="U648" s="760">
        <f>IFERROR(INDEX('Rentabilidad datos'!$N$2:$N$61,MATCH($C648,'Rentabilidad datos'!$C$2:$C$61,0)),"")</f>
        <v>15864.415371349654</v>
      </c>
      <c r="V648" s="761">
        <f>IFERROR(INDEX('Rentabilidad datos'!$O$2:$O$61,MATCH($C648,'Rentabilidad datos'!$C$2:$C$61,0)),"")</f>
        <v>1586.4415371349655</v>
      </c>
      <c r="W648" s="762">
        <f>IFERROR(INDEX('Rentabilidad datos'!$M$2:$M$61,MATCH($C648,'Rentabilidad datos'!$C$2:$C$61,0)),"")</f>
        <v>3060.1995418491324</v>
      </c>
      <c r="X648" s="763">
        <f>IFERROR(INDEX('Rentabilidad datos'!$P$2:$P$61,MATCH($C648,'Rentabilidad datos'!$C$2:$C$61,0)),"")</f>
        <v>0.51841114131281607</v>
      </c>
      <c r="Y648" s="754" t="s">
        <v>211</v>
      </c>
      <c r="Z648" s="764">
        <v>40.3333333333333</v>
      </c>
      <c r="AA648" s="754">
        <v>2</v>
      </c>
      <c r="AB648" s="765">
        <v>1</v>
      </c>
      <c r="AC648" s="766">
        <v>0</v>
      </c>
      <c r="AD648" s="767" t="e">
        <f>_xlfn.XLOOKUP(Table1[[#This Row],[Ruta]],#REF!,#REF!)</f>
        <v>#REF!</v>
      </c>
      <c r="AE648" s="767" t="e">
        <f>_xlfn.XLOOKUP(Table1[[#This Row],[Ruta]],#REF!,#REF!)</f>
        <v>#REF!</v>
      </c>
      <c r="AF648" s="767" t="e">
        <f>_xlfn.XLOOKUP(Table1[[#This Row],[Ruta]],#REF!,#REF!)</f>
        <v>#REF!</v>
      </c>
      <c r="AG648" s="767" t="e">
        <f>_xlfn.XLOOKUP(Table1[[#This Row],[Ruta]],#REF!,#REF!)</f>
        <v>#REF!</v>
      </c>
      <c r="AH648" s="763">
        <v>0.30864197530864196</v>
      </c>
      <c r="AI648" s="763">
        <v>0.69135802469135799</v>
      </c>
      <c r="AJ648" s="766">
        <v>0</v>
      </c>
      <c r="AK648" s="768">
        <v>121</v>
      </c>
      <c r="AL648" s="755">
        <v>2</v>
      </c>
      <c r="AM648" s="765">
        <v>1.6528925619834701E-2</v>
      </c>
      <c r="AN648" s="766">
        <v>0.52393875788094302</v>
      </c>
      <c r="AO648" s="768">
        <v>0</v>
      </c>
      <c r="AP648" s="759">
        <v>0</v>
      </c>
      <c r="AQ648" s="766">
        <v>1.6528925619834711E-2</v>
      </c>
      <c r="AR648" s="762">
        <v>323.83999999999997</v>
      </c>
      <c r="AS648" s="760">
        <v>0</v>
      </c>
      <c r="AT648" s="766">
        <v>0</v>
      </c>
      <c r="AU648" s="762">
        <v>0</v>
      </c>
      <c r="AV648" s="763">
        <v>0</v>
      </c>
      <c r="AW648" s="755">
        <v>490</v>
      </c>
      <c r="AX648" s="762">
        <v>161.91999999999999</v>
      </c>
      <c r="AY648" s="760">
        <v>321.40009216103402</v>
      </c>
      <c r="AZ648" s="760">
        <v>159.48009216103404</v>
      </c>
      <c r="BA648" s="753" t="s">
        <v>150</v>
      </c>
      <c r="BB648" s="761">
        <v>112.06709178883477</v>
      </c>
      <c r="BC648" s="769">
        <v>112.06709178883477</v>
      </c>
      <c r="BD648" s="753" t="s">
        <v>152</v>
      </c>
      <c r="BE648" s="757" t="s">
        <v>195</v>
      </c>
      <c r="BF648" s="757" t="s">
        <v>195</v>
      </c>
      <c r="BG648" s="753" t="s">
        <v>195</v>
      </c>
      <c r="BH648" s="763" t="s">
        <v>195</v>
      </c>
      <c r="BI648" s="763" t="s">
        <v>195</v>
      </c>
      <c r="BJ648" s="753" t="s">
        <v>195</v>
      </c>
      <c r="BK648" s="757" t="s">
        <v>195</v>
      </c>
      <c r="BL648" s="757" t="s">
        <v>195</v>
      </c>
      <c r="BM648" s="753" t="s">
        <v>195</v>
      </c>
      <c r="BN648" s="759" t="s">
        <v>195</v>
      </c>
      <c r="BO648" s="753" t="s">
        <v>195</v>
      </c>
      <c r="BP648" s="753" t="s">
        <v>152</v>
      </c>
      <c r="BQ648" s="757">
        <v>0</v>
      </c>
      <c r="BR648" s="46" t="e">
        <v>#N/A</v>
      </c>
      <c r="BS648" s="46" t="e">
        <v>#N/A</v>
      </c>
      <c r="BT648" s="46" t="e">
        <v>#N/A</v>
      </c>
      <c r="BU648" s="46" t="e">
        <v>#N/A</v>
      </c>
      <c r="BV648" s="46" t="e">
        <v>#N/A</v>
      </c>
      <c r="BW648" s="46" t="e">
        <v>#N/A</v>
      </c>
      <c r="BX648" s="46" t="e">
        <v>#N/A</v>
      </c>
      <c r="BY648" s="46" t="e">
        <v>#N/A</v>
      </c>
      <c r="BZ648" s="46" t="e">
        <v>#N/A</v>
      </c>
      <c r="CA648" s="46" t="e">
        <v>#N/A</v>
      </c>
      <c r="CB648" s="46" t="e">
        <v>#N/A</v>
      </c>
      <c r="CC648" s="46" t="e">
        <v>#N/A</v>
      </c>
      <c r="CD648" s="46" t="e">
        <v>#N/A</v>
      </c>
      <c r="CE648" s="46" t="e">
        <v>#N/A</v>
      </c>
      <c r="CF648" s="46" t="e">
        <v>#N/A</v>
      </c>
      <c r="CG648" s="46" t="e">
        <v>#N/A</v>
      </c>
      <c r="CH648" s="46" t="e">
        <v>#N/A</v>
      </c>
      <c r="CI648" s="46" t="e">
        <v>#N/A</v>
      </c>
      <c r="CJ648" s="46" t="e">
        <v>#N/A</v>
      </c>
      <c r="CM648">
        <f t="shared" si="70"/>
        <v>0</v>
      </c>
      <c r="CP648">
        <f t="shared" si="71"/>
        <v>0</v>
      </c>
      <c r="CS648">
        <f t="shared" si="72"/>
        <v>0</v>
      </c>
      <c r="CW648" s="46"/>
      <c r="CX648" s="46" t="e">
        <f t="shared" si="73"/>
        <v>#N/A</v>
      </c>
      <c r="CY648" s="46"/>
      <c r="CZ648" s="46" t="e">
        <f t="shared" si="74"/>
        <v>#N/A</v>
      </c>
      <c r="DA648" s="46" t="e">
        <f t="shared" si="75"/>
        <v>#N/A</v>
      </c>
      <c r="DB648" s="46"/>
      <c r="DC648" s="46" t="e">
        <f t="shared" si="76"/>
        <v>#N/A</v>
      </c>
      <c r="DD648" s="46"/>
      <c r="DE648" s="995" t="s">
        <v>194</v>
      </c>
      <c r="DF648" s="995" t="s">
        <v>194</v>
      </c>
      <c r="DG648" s="995" t="s">
        <v>194</v>
      </c>
      <c r="DH648" s="995" t="s">
        <v>194</v>
      </c>
      <c r="DI648" s="995" t="s">
        <v>194</v>
      </c>
      <c r="DJ648" s="995" t="s">
        <v>194</v>
      </c>
      <c r="DK648" s="995" t="s">
        <v>194</v>
      </c>
      <c r="DL648" s="995" t="s">
        <v>194</v>
      </c>
      <c r="DM648" s="995" t="s">
        <v>194</v>
      </c>
      <c r="DN648" s="995" t="s">
        <v>194</v>
      </c>
      <c r="DO648" s="995" t="s">
        <v>194</v>
      </c>
      <c r="DP648" s="995" t="s">
        <v>194</v>
      </c>
      <c r="DQ648" s="995" t="s">
        <v>194</v>
      </c>
      <c r="DR648" s="995" t="s">
        <v>194</v>
      </c>
      <c r="DS648" s="995" t="s">
        <v>194</v>
      </c>
      <c r="DT648" s="995" t="s">
        <v>194</v>
      </c>
    </row>
    <row r="649" spans="1:124">
      <c r="A649" s="753" t="s">
        <v>94</v>
      </c>
      <c r="B649" s="753" t="s">
        <v>510</v>
      </c>
      <c r="C649" s="753" t="s">
        <v>859</v>
      </c>
      <c r="D649" s="753">
        <v>804390</v>
      </c>
      <c r="E649" s="753" t="s">
        <v>871</v>
      </c>
      <c r="F649" s="753" t="s">
        <v>149</v>
      </c>
      <c r="G649" s="753" t="s">
        <v>150</v>
      </c>
      <c r="H649" s="754" t="s">
        <v>150</v>
      </c>
      <c r="I649" s="755">
        <v>22</v>
      </c>
      <c r="J649" s="756">
        <v>201097.33840000001</v>
      </c>
      <c r="K649" s="757">
        <v>6632.9103999999998</v>
      </c>
      <c r="L649" s="758">
        <v>207730.2488</v>
      </c>
      <c r="M649" s="759">
        <v>3657136</v>
      </c>
      <c r="N649" s="760">
        <v>2923881</v>
      </c>
      <c r="O649" s="760">
        <v>732610</v>
      </c>
      <c r="P649" s="760">
        <v>645</v>
      </c>
      <c r="Q649" s="761">
        <v>8382.6343119266003</v>
      </c>
      <c r="R649" s="762">
        <v>5546.1445717076303</v>
      </c>
      <c r="S649" s="760">
        <v>8925.5115990452596</v>
      </c>
      <c r="T649" s="760">
        <v>1392.7592005967599</v>
      </c>
      <c r="U649" s="760">
        <f>IFERROR(INDEX('Rentabilidad datos'!$N$2:$N$61,MATCH($C649,'Rentabilidad datos'!$C$2:$C$61,0)),"")</f>
        <v>15864.415371349654</v>
      </c>
      <c r="V649" s="761">
        <f>IFERROR(INDEX('Rentabilidad datos'!$O$2:$O$61,MATCH($C649,'Rentabilidad datos'!$C$2:$C$61,0)),"")</f>
        <v>1586.4415371349655</v>
      </c>
      <c r="W649" s="762">
        <f>IFERROR(INDEX('Rentabilidad datos'!$M$2:$M$61,MATCH($C649,'Rentabilidad datos'!$C$2:$C$61,0)),"")</f>
        <v>3060.1995418491324</v>
      </c>
      <c r="X649" s="763">
        <f>IFERROR(INDEX('Rentabilidad datos'!$P$2:$P$61,MATCH($C649,'Rentabilidad datos'!$C$2:$C$61,0)),"")</f>
        <v>0.51841114131281607</v>
      </c>
      <c r="Y649" s="754" t="s">
        <v>211</v>
      </c>
      <c r="Z649" s="764">
        <v>52.142201834862398</v>
      </c>
      <c r="AA649" s="754">
        <v>2</v>
      </c>
      <c r="AB649" s="765">
        <v>0.95318905285447408</v>
      </c>
      <c r="AC649" s="766">
        <v>4.6810947145525895E-2</v>
      </c>
      <c r="AD649" s="767" t="e">
        <f>_xlfn.XLOOKUP(Table1[[#This Row],[Ruta]],#REF!,#REF!)</f>
        <v>#REF!</v>
      </c>
      <c r="AE649" s="767" t="e">
        <f>_xlfn.XLOOKUP(Table1[[#This Row],[Ruta]],#REF!,#REF!)</f>
        <v>#REF!</v>
      </c>
      <c r="AF649" s="767" t="e">
        <f>_xlfn.XLOOKUP(Table1[[#This Row],[Ruta]],#REF!,#REF!)</f>
        <v>#REF!</v>
      </c>
      <c r="AG649" s="767" t="e">
        <f>_xlfn.XLOOKUP(Table1[[#This Row],[Ruta]],#REF!,#REF!)</f>
        <v>#REF!</v>
      </c>
      <c r="AH649" s="763">
        <v>0.79950021000039373</v>
      </c>
      <c r="AI649" s="763">
        <v>0.20032342248141716</v>
      </c>
      <c r="AJ649" s="766">
        <v>1.7636751818909661E-4</v>
      </c>
      <c r="AK649" s="768">
        <v>22734</v>
      </c>
      <c r="AL649" s="755">
        <v>12745</v>
      </c>
      <c r="AM649" s="765">
        <v>0.56061405823876098</v>
      </c>
      <c r="AN649" s="766">
        <v>0.52393875788094302</v>
      </c>
      <c r="AO649" s="768">
        <v>0</v>
      </c>
      <c r="AP649" s="759">
        <v>0</v>
      </c>
      <c r="AQ649" s="766">
        <v>0.56061405823876131</v>
      </c>
      <c r="AR649" s="762">
        <v>3654828.56</v>
      </c>
      <c r="AS649" s="760">
        <v>0</v>
      </c>
      <c r="AT649" s="766">
        <v>0</v>
      </c>
      <c r="AU649" s="762">
        <v>0</v>
      </c>
      <c r="AV649" s="763">
        <v>0</v>
      </c>
      <c r="AW649" s="755">
        <v>490</v>
      </c>
      <c r="AX649" s="762">
        <v>286.765677520596</v>
      </c>
      <c r="AY649" s="760">
        <v>321.40009216103402</v>
      </c>
      <c r="AZ649" s="760">
        <v>34.634414640438024</v>
      </c>
      <c r="BA649" s="753" t="s">
        <v>150</v>
      </c>
      <c r="BB649" s="761">
        <v>155091.97269462098</v>
      </c>
      <c r="BC649" s="769">
        <v>155091.97269462098</v>
      </c>
      <c r="BD649" s="753" t="s">
        <v>150</v>
      </c>
      <c r="BE649" s="757">
        <v>52.142201834862398</v>
      </c>
      <c r="BF649" s="757">
        <v>72.425990467051307</v>
      </c>
      <c r="BG649" s="753" t="s">
        <v>152</v>
      </c>
      <c r="BH649" s="763">
        <v>0.56061405823876098</v>
      </c>
      <c r="BI649" s="763">
        <v>0.49337264070319697</v>
      </c>
      <c r="BJ649" s="753" t="s">
        <v>150</v>
      </c>
      <c r="BK649" s="757">
        <v>476.44552477064201</v>
      </c>
      <c r="BL649" s="757">
        <v>605.59017138979505</v>
      </c>
      <c r="BM649" s="753" t="s">
        <v>152</v>
      </c>
      <c r="BN649" s="759">
        <v>1</v>
      </c>
      <c r="BO649" s="753" t="s">
        <v>155</v>
      </c>
      <c r="BP649" s="753" t="s">
        <v>152</v>
      </c>
      <c r="BQ649" s="757">
        <v>5037.0120499389996</v>
      </c>
      <c r="BR649" s="46">
        <v>1050</v>
      </c>
      <c r="BS649" s="46">
        <v>77999</v>
      </c>
      <c r="BT649" s="46">
        <v>19537</v>
      </c>
      <c r="BU649" s="46">
        <v>3.9923734452577162</v>
      </c>
      <c r="BV649" s="46">
        <v>18.606666666666666</v>
      </c>
      <c r="BW649" s="46">
        <v>0</v>
      </c>
      <c r="BX649" s="46">
        <v>1197</v>
      </c>
      <c r="BY649" s="46">
        <v>1197</v>
      </c>
      <c r="BZ649" s="46">
        <v>6.1268362594052314E-2</v>
      </c>
      <c r="CA649" s="46">
        <v>0</v>
      </c>
      <c r="CB649" s="46">
        <v>6.1268362594052314E-2</v>
      </c>
      <c r="CC649" s="46">
        <v>8.4301581614372734E-2</v>
      </c>
      <c r="CD649" s="46">
        <v>2.2009520397195071E-3</v>
      </c>
      <c r="CE649" s="46">
        <v>0</v>
      </c>
      <c r="CF649" s="46">
        <v>0.85222910375185545</v>
      </c>
      <c r="CG649" s="46">
        <v>0</v>
      </c>
      <c r="CH649" s="46">
        <v>0</v>
      </c>
      <c r="CI649" s="46">
        <v>6.0898216643803122</v>
      </c>
      <c r="CJ649" s="46">
        <v>0.15384812625802899</v>
      </c>
      <c r="CK649">
        <v>293</v>
      </c>
      <c r="CL649">
        <v>316.62</v>
      </c>
      <c r="CM649">
        <f t="shared" si="70"/>
        <v>23.620000000000005</v>
      </c>
      <c r="CN649">
        <v>7.64</v>
      </c>
      <c r="CO649">
        <v>9.4499999999999993</v>
      </c>
      <c r="CP649">
        <f t="shared" si="71"/>
        <v>1.8099999999999996</v>
      </c>
      <c r="CQ649">
        <v>846.56</v>
      </c>
      <c r="CR649">
        <v>476.45</v>
      </c>
      <c r="CS649">
        <f t="shared" si="72"/>
        <v>370.10999999999996</v>
      </c>
      <c r="CT649" t="s">
        <v>152</v>
      </c>
      <c r="CU649">
        <v>80.790000000000006</v>
      </c>
      <c r="CV649">
        <v>31</v>
      </c>
      <c r="CW649" s="46">
        <v>1197</v>
      </c>
      <c r="CX649" s="46">
        <f t="shared" si="73"/>
        <v>6.0059374520141278</v>
      </c>
      <c r="CY649" s="46">
        <v>23.62</v>
      </c>
      <c r="CZ649" s="46">
        <f t="shared" si="74"/>
        <v>6.1268362594052315</v>
      </c>
      <c r="DA649" s="46">
        <f t="shared" si="75"/>
        <v>17.895797781460917</v>
      </c>
      <c r="DB649" s="46">
        <v>350052.9</v>
      </c>
      <c r="DC649" s="46">
        <f t="shared" si="76"/>
        <v>0.96322406958470641</v>
      </c>
      <c r="DD649" s="46">
        <v>18841.259999999998</v>
      </c>
      <c r="DE649" s="995">
        <v>1197</v>
      </c>
      <c r="DF649" s="995">
        <v>6.0259999999999998</v>
      </c>
      <c r="DG649" s="995">
        <v>19.7</v>
      </c>
      <c r="DH649" s="995">
        <v>6.1269999999999998</v>
      </c>
      <c r="DI649" s="995">
        <v>157.09899999999999</v>
      </c>
      <c r="DJ649" s="995">
        <v>3072346</v>
      </c>
      <c r="DK649" s="995">
        <v>8.6579999999999995</v>
      </c>
      <c r="DL649" s="995">
        <v>169329.3</v>
      </c>
      <c r="DM649" s="995">
        <v>1197</v>
      </c>
      <c r="DN649" s="995">
        <v>6.0270000000000001</v>
      </c>
      <c r="DO649" s="995">
        <v>19.5</v>
      </c>
      <c r="DP649" s="995">
        <v>6.1269999999999998</v>
      </c>
      <c r="DQ649" s="995">
        <v>156.988</v>
      </c>
      <c r="DR649" s="995">
        <v>3070138</v>
      </c>
      <c r="DS649" s="995">
        <v>8.6519999999999992</v>
      </c>
      <c r="DT649" s="995">
        <v>169210.5</v>
      </c>
    </row>
    <row r="650" spans="1:124">
      <c r="A650" s="753" t="s">
        <v>94</v>
      </c>
      <c r="B650" s="753" t="s">
        <v>510</v>
      </c>
      <c r="C650" s="753" t="s">
        <v>859</v>
      </c>
      <c r="D650" s="753">
        <v>804399</v>
      </c>
      <c r="E650" s="753" t="s">
        <v>872</v>
      </c>
      <c r="F650" s="753" t="s">
        <v>193</v>
      </c>
      <c r="G650" s="753" t="s">
        <v>150</v>
      </c>
      <c r="H650" s="754" t="s">
        <v>152</v>
      </c>
      <c r="I650" s="755">
        <v>22</v>
      </c>
      <c r="J650" s="756">
        <v>2278.9928</v>
      </c>
      <c r="K650" s="757">
        <v>119.6469</v>
      </c>
      <c r="L650" s="758">
        <v>2398.6397000000002</v>
      </c>
      <c r="M650" s="759">
        <v>33644</v>
      </c>
      <c r="N650" s="760">
        <v>33644</v>
      </c>
      <c r="O650" s="760">
        <v>0</v>
      </c>
      <c r="P650" s="760">
        <v>0</v>
      </c>
      <c r="Q650" s="761">
        <v>0</v>
      </c>
      <c r="R650" s="762">
        <v>5546.1445717076303</v>
      </c>
      <c r="S650" s="760">
        <v>8925.5115990452596</v>
      </c>
      <c r="T650" s="760">
        <v>1392.7592005967599</v>
      </c>
      <c r="U650" s="760">
        <f>IFERROR(INDEX('Rentabilidad datos'!$N$2:$N$61,MATCH($C650,'Rentabilidad datos'!$C$2:$C$61,0)),"")</f>
        <v>15864.415371349654</v>
      </c>
      <c r="V650" s="761">
        <f>IFERROR(INDEX('Rentabilidad datos'!$O$2:$O$61,MATCH($C650,'Rentabilidad datos'!$C$2:$C$61,0)),"")</f>
        <v>1586.4415371349655</v>
      </c>
      <c r="W650" s="762">
        <f>IFERROR(INDEX('Rentabilidad datos'!$M$2:$M$61,MATCH($C650,'Rentabilidad datos'!$C$2:$C$61,0)),"")</f>
        <v>3060.1995418491324</v>
      </c>
      <c r="X650" s="763">
        <f>IFERROR(INDEX('Rentabilidad datos'!$P$2:$P$61,MATCH($C650,'Rentabilidad datos'!$C$2:$C$61,0)),"")</f>
        <v>0.51841114131281607</v>
      </c>
      <c r="Y650" s="754" t="s">
        <v>211</v>
      </c>
      <c r="Z650" s="764">
        <v>3</v>
      </c>
      <c r="AA650" s="754">
        <v>2</v>
      </c>
      <c r="AB650" s="765">
        <v>1</v>
      </c>
      <c r="AC650" s="766">
        <v>0</v>
      </c>
      <c r="AD650" s="767" t="e">
        <f>_xlfn.XLOOKUP(Table1[[#This Row],[Ruta]],#REF!,#REF!)</f>
        <v>#REF!</v>
      </c>
      <c r="AE650" s="767" t="e">
        <f>_xlfn.XLOOKUP(Table1[[#This Row],[Ruta]],#REF!,#REF!)</f>
        <v>#REF!</v>
      </c>
      <c r="AF650" s="767" t="e">
        <f>_xlfn.XLOOKUP(Table1[[#This Row],[Ruta]],#REF!,#REF!)</f>
        <v>#REF!</v>
      </c>
      <c r="AG650" s="767" t="e">
        <f>_xlfn.XLOOKUP(Table1[[#This Row],[Ruta]],#REF!,#REF!)</f>
        <v>#REF!</v>
      </c>
      <c r="AH650" s="763">
        <v>1</v>
      </c>
      <c r="AI650" s="763">
        <v>0</v>
      </c>
      <c r="AJ650" s="766">
        <v>0</v>
      </c>
      <c r="AK650" s="768">
        <v>15</v>
      </c>
      <c r="AL650" s="755">
        <v>5</v>
      </c>
      <c r="AM650" s="765">
        <v>0.33333333333333298</v>
      </c>
      <c r="AN650" s="766">
        <v>0.52393875788094302</v>
      </c>
      <c r="AO650" s="768">
        <v>0</v>
      </c>
      <c r="AP650" s="759">
        <v>0</v>
      </c>
      <c r="AQ650" s="766">
        <v>0.33333333333333331</v>
      </c>
      <c r="AR650" s="762">
        <v>33644</v>
      </c>
      <c r="AS650" s="760">
        <v>0</v>
      </c>
      <c r="AT650" s="766">
        <v>0</v>
      </c>
      <c r="AU650" s="762">
        <v>0</v>
      </c>
      <c r="AV650" s="763">
        <v>0</v>
      </c>
      <c r="AW650" s="755">
        <v>490</v>
      </c>
      <c r="AX650" s="762">
        <v>6728.8</v>
      </c>
      <c r="AY650" s="760">
        <v>321.40009216103402</v>
      </c>
      <c r="AZ650" s="760">
        <v>0</v>
      </c>
      <c r="BA650" s="753" t="s">
        <v>152</v>
      </c>
      <c r="BB650" s="761">
        <v>0</v>
      </c>
      <c r="BC650" s="769">
        <v>0</v>
      </c>
      <c r="BD650" s="753" t="s">
        <v>152</v>
      </c>
      <c r="BE650" s="757" t="s">
        <v>195</v>
      </c>
      <c r="BF650" s="757" t="s">
        <v>195</v>
      </c>
      <c r="BG650" s="753" t="s">
        <v>195</v>
      </c>
      <c r="BH650" s="763" t="s">
        <v>195</v>
      </c>
      <c r="BI650" s="763" t="s">
        <v>195</v>
      </c>
      <c r="BJ650" s="753" t="s">
        <v>195</v>
      </c>
      <c r="BK650" s="757" t="s">
        <v>195</v>
      </c>
      <c r="BL650" s="757" t="s">
        <v>195</v>
      </c>
      <c r="BM650" s="753" t="s">
        <v>195</v>
      </c>
      <c r="BN650" s="759" t="s">
        <v>195</v>
      </c>
      <c r="BO650" s="753" t="s">
        <v>195</v>
      </c>
      <c r="BP650" s="753" t="s">
        <v>152</v>
      </c>
      <c r="BQ650" s="757">
        <v>0</v>
      </c>
      <c r="BR650" s="46" t="e">
        <v>#N/A</v>
      </c>
      <c r="BS650" s="46" t="e">
        <v>#N/A</v>
      </c>
      <c r="BT650" s="46" t="e">
        <v>#N/A</v>
      </c>
      <c r="BU650" s="46" t="e">
        <v>#N/A</v>
      </c>
      <c r="BV650" s="46" t="e">
        <v>#N/A</v>
      </c>
      <c r="BW650" s="46" t="e">
        <v>#N/A</v>
      </c>
      <c r="BX650" s="46" t="e">
        <v>#N/A</v>
      </c>
      <c r="BY650" s="46" t="e">
        <v>#N/A</v>
      </c>
      <c r="BZ650" s="46" t="e">
        <v>#N/A</v>
      </c>
      <c r="CA650" s="46" t="e">
        <v>#N/A</v>
      </c>
      <c r="CB650" s="46" t="e">
        <v>#N/A</v>
      </c>
      <c r="CC650" s="46" t="e">
        <v>#N/A</v>
      </c>
      <c r="CD650" s="46" t="e">
        <v>#N/A</v>
      </c>
      <c r="CE650" s="46" t="e">
        <v>#N/A</v>
      </c>
      <c r="CF650" s="46" t="e">
        <v>#N/A</v>
      </c>
      <c r="CG650" s="46" t="e">
        <v>#N/A</v>
      </c>
      <c r="CH650" s="46" t="e">
        <v>#N/A</v>
      </c>
      <c r="CI650" s="46" t="e">
        <v>#N/A</v>
      </c>
      <c r="CJ650" s="46" t="e">
        <v>#N/A</v>
      </c>
      <c r="CM650">
        <f t="shared" ref="CM650:CM713" si="77">CL650-CK650</f>
        <v>0</v>
      </c>
      <c r="CP650">
        <f t="shared" ref="CP650:CP713" si="78">CO650-CN650</f>
        <v>0</v>
      </c>
      <c r="CS650">
        <f t="shared" ref="CS650:CS713" si="79">CQ650-CR650</f>
        <v>0</v>
      </c>
      <c r="CW650" s="46"/>
      <c r="CX650" s="46" t="e">
        <f t="shared" si="73"/>
        <v>#N/A</v>
      </c>
      <c r="CY650" s="46"/>
      <c r="CZ650" s="46" t="e">
        <f t="shared" si="74"/>
        <v>#N/A</v>
      </c>
      <c r="DA650" s="46" t="e">
        <f t="shared" si="75"/>
        <v>#N/A</v>
      </c>
      <c r="DB650" s="46"/>
      <c r="DC650" s="46" t="e">
        <f t="shared" si="76"/>
        <v>#N/A</v>
      </c>
      <c r="DD650" s="46"/>
      <c r="DE650" s="995" t="s">
        <v>194</v>
      </c>
      <c r="DF650" s="995" t="s">
        <v>194</v>
      </c>
      <c r="DG650" s="995" t="s">
        <v>194</v>
      </c>
      <c r="DH650" s="995" t="s">
        <v>194</v>
      </c>
      <c r="DI650" s="995" t="s">
        <v>194</v>
      </c>
      <c r="DJ650" s="995" t="s">
        <v>194</v>
      </c>
      <c r="DK650" s="995" t="s">
        <v>194</v>
      </c>
      <c r="DL650" s="995" t="s">
        <v>194</v>
      </c>
      <c r="DM650" s="995" t="s">
        <v>194</v>
      </c>
      <c r="DN650" s="995" t="s">
        <v>194</v>
      </c>
      <c r="DO650" s="995" t="s">
        <v>194</v>
      </c>
      <c r="DP650" s="995" t="s">
        <v>194</v>
      </c>
      <c r="DQ650" s="995" t="s">
        <v>194</v>
      </c>
      <c r="DR650" s="995" t="s">
        <v>194</v>
      </c>
      <c r="DS650" s="995" t="s">
        <v>194</v>
      </c>
      <c r="DT650" s="995" t="s">
        <v>194</v>
      </c>
    </row>
    <row r="651" spans="1:124">
      <c r="A651" s="753" t="s">
        <v>94</v>
      </c>
      <c r="B651" s="753" t="s">
        <v>510</v>
      </c>
      <c r="C651" s="753" t="s">
        <v>859</v>
      </c>
      <c r="D651" s="753">
        <v>804413</v>
      </c>
      <c r="E651" s="753" t="s">
        <v>873</v>
      </c>
      <c r="F651" s="753" t="s">
        <v>193</v>
      </c>
      <c r="G651" s="753" t="s">
        <v>150</v>
      </c>
      <c r="H651" s="754" t="s">
        <v>152</v>
      </c>
      <c r="I651" s="755">
        <v>22</v>
      </c>
      <c r="J651" s="756">
        <v>17.611999999999998</v>
      </c>
      <c r="K651" s="757">
        <v>0</v>
      </c>
      <c r="L651" s="758">
        <v>17.611999999999998</v>
      </c>
      <c r="M651" s="759">
        <v>255</v>
      </c>
      <c r="N651" s="760">
        <v>255</v>
      </c>
      <c r="O651" s="760">
        <v>0</v>
      </c>
      <c r="P651" s="760">
        <v>0</v>
      </c>
      <c r="Q651" s="761">
        <v>0</v>
      </c>
      <c r="R651" s="762">
        <v>5546.1445717076303</v>
      </c>
      <c r="S651" s="760">
        <v>8925.5115990452596</v>
      </c>
      <c r="T651" s="760">
        <v>1392.7592005967599</v>
      </c>
      <c r="U651" s="760">
        <f>IFERROR(INDEX('Rentabilidad datos'!$N$2:$N$61,MATCH($C651,'Rentabilidad datos'!$C$2:$C$61,0)),"")</f>
        <v>15864.415371349654</v>
      </c>
      <c r="V651" s="761">
        <f>IFERROR(INDEX('Rentabilidad datos'!$O$2:$O$61,MATCH($C651,'Rentabilidad datos'!$C$2:$C$61,0)),"")</f>
        <v>1586.4415371349655</v>
      </c>
      <c r="W651" s="762">
        <f>IFERROR(INDEX('Rentabilidad datos'!$M$2:$M$61,MATCH($C651,'Rentabilidad datos'!$C$2:$C$61,0)),"")</f>
        <v>3060.1995418491324</v>
      </c>
      <c r="X651" s="763">
        <f>IFERROR(INDEX('Rentabilidad datos'!$P$2:$P$61,MATCH($C651,'Rentabilidad datos'!$C$2:$C$61,0)),"")</f>
        <v>0.51841114131281607</v>
      </c>
      <c r="Y651" s="754" t="s">
        <v>211</v>
      </c>
      <c r="Z651" s="764">
        <v>0</v>
      </c>
      <c r="AA651" s="754">
        <v>2</v>
      </c>
      <c r="AB651" s="765">
        <v>0</v>
      </c>
      <c r="AC651" s="766">
        <v>1</v>
      </c>
      <c r="AD651" s="767" t="e">
        <f>_xlfn.XLOOKUP(Table1[[#This Row],[Ruta]],#REF!,#REF!)</f>
        <v>#REF!</v>
      </c>
      <c r="AE651" s="767" t="e">
        <f>_xlfn.XLOOKUP(Table1[[#This Row],[Ruta]],#REF!,#REF!)</f>
        <v>#REF!</v>
      </c>
      <c r="AF651" s="767" t="e">
        <f>_xlfn.XLOOKUP(Table1[[#This Row],[Ruta]],#REF!,#REF!)</f>
        <v>#REF!</v>
      </c>
      <c r="AG651" s="767" t="e">
        <f>_xlfn.XLOOKUP(Table1[[#This Row],[Ruta]],#REF!,#REF!)</f>
        <v>#REF!</v>
      </c>
      <c r="AH651" s="763">
        <v>1</v>
      </c>
      <c r="AI651" s="763">
        <v>0</v>
      </c>
      <c r="AJ651" s="766">
        <v>0</v>
      </c>
      <c r="AK651" s="768">
        <v>0</v>
      </c>
      <c r="AL651" s="755">
        <v>1</v>
      </c>
      <c r="AM651" s="765">
        <v>0</v>
      </c>
      <c r="AN651" s="766">
        <v>0.52393875788094302</v>
      </c>
      <c r="AO651" s="768">
        <v>0</v>
      </c>
      <c r="AP651" s="759">
        <v>0</v>
      </c>
      <c r="AQ651" s="766" t="s">
        <v>194</v>
      </c>
      <c r="AR651" s="762">
        <v>255</v>
      </c>
      <c r="AS651" s="760">
        <v>0</v>
      </c>
      <c r="AT651" s="766">
        <v>0</v>
      </c>
      <c r="AU651" s="762">
        <v>0</v>
      </c>
      <c r="AV651" s="763">
        <v>0</v>
      </c>
      <c r="AW651" s="755">
        <v>490</v>
      </c>
      <c r="AX651" s="762">
        <v>255</v>
      </c>
      <c r="AY651" s="760">
        <v>321.40009216103402</v>
      </c>
      <c r="AZ651" s="760">
        <v>66.400092161034024</v>
      </c>
      <c r="BA651" s="753" t="s">
        <v>150</v>
      </c>
      <c r="BB651" s="761">
        <v>23.329762110633585</v>
      </c>
      <c r="BC651" s="769">
        <v>23.329762110633585</v>
      </c>
      <c r="BD651" s="753" t="s">
        <v>152</v>
      </c>
      <c r="BE651" s="757" t="s">
        <v>195</v>
      </c>
      <c r="BF651" s="757" t="s">
        <v>195</v>
      </c>
      <c r="BG651" s="753" t="s">
        <v>195</v>
      </c>
      <c r="BH651" s="763" t="s">
        <v>195</v>
      </c>
      <c r="BI651" s="763" t="s">
        <v>195</v>
      </c>
      <c r="BJ651" s="753" t="s">
        <v>195</v>
      </c>
      <c r="BK651" s="757" t="s">
        <v>195</v>
      </c>
      <c r="BL651" s="757" t="s">
        <v>195</v>
      </c>
      <c r="BM651" s="753" t="s">
        <v>195</v>
      </c>
      <c r="BN651" s="759" t="s">
        <v>195</v>
      </c>
      <c r="BO651" s="753" t="s">
        <v>195</v>
      </c>
      <c r="BP651" s="753" t="s">
        <v>152</v>
      </c>
      <c r="BQ651" s="757">
        <v>0</v>
      </c>
      <c r="BR651" s="46" t="e">
        <v>#N/A</v>
      </c>
      <c r="BS651" s="46" t="e">
        <v>#N/A</v>
      </c>
      <c r="BT651" s="46" t="e">
        <v>#N/A</v>
      </c>
      <c r="BU651" s="46" t="e">
        <v>#N/A</v>
      </c>
      <c r="BV651" s="46" t="e">
        <v>#N/A</v>
      </c>
      <c r="BW651" s="46" t="e">
        <v>#N/A</v>
      </c>
      <c r="BX651" s="46" t="e">
        <v>#N/A</v>
      </c>
      <c r="BY651" s="46" t="e">
        <v>#N/A</v>
      </c>
      <c r="BZ651" s="46" t="e">
        <v>#N/A</v>
      </c>
      <c r="CA651" s="46" t="e">
        <v>#N/A</v>
      </c>
      <c r="CB651" s="46" t="e">
        <v>#N/A</v>
      </c>
      <c r="CC651" s="46" t="e">
        <v>#N/A</v>
      </c>
      <c r="CD651" s="46" t="e">
        <v>#N/A</v>
      </c>
      <c r="CE651" s="46" t="e">
        <v>#N/A</v>
      </c>
      <c r="CF651" s="46" t="e">
        <v>#N/A</v>
      </c>
      <c r="CG651" s="46" t="e">
        <v>#N/A</v>
      </c>
      <c r="CH651" s="46" t="e">
        <v>#N/A</v>
      </c>
      <c r="CI651" s="46" t="e">
        <v>#N/A</v>
      </c>
      <c r="CJ651" s="46" t="e">
        <v>#N/A</v>
      </c>
      <c r="CM651">
        <f t="shared" si="77"/>
        <v>0</v>
      </c>
      <c r="CP651">
        <f t="shared" si="78"/>
        <v>0</v>
      </c>
      <c r="CS651">
        <f t="shared" si="79"/>
        <v>0</v>
      </c>
      <c r="CW651" s="46"/>
      <c r="CX651" s="46" t="e">
        <f t="shared" si="73"/>
        <v>#N/A</v>
      </c>
      <c r="CY651" s="46"/>
      <c r="CZ651" s="46" t="e">
        <f t="shared" si="74"/>
        <v>#N/A</v>
      </c>
      <c r="DA651" s="46" t="e">
        <f t="shared" si="75"/>
        <v>#N/A</v>
      </c>
      <c r="DB651" s="46"/>
      <c r="DC651" s="46" t="e">
        <f t="shared" si="76"/>
        <v>#N/A</v>
      </c>
      <c r="DD651" s="46"/>
      <c r="DE651" s="995" t="s">
        <v>194</v>
      </c>
      <c r="DF651" s="995" t="s">
        <v>194</v>
      </c>
      <c r="DG651" s="995" t="s">
        <v>194</v>
      </c>
      <c r="DH651" s="995" t="s">
        <v>194</v>
      </c>
      <c r="DI651" s="995" t="s">
        <v>194</v>
      </c>
      <c r="DJ651" s="995" t="s">
        <v>194</v>
      </c>
      <c r="DK651" s="995" t="s">
        <v>194</v>
      </c>
      <c r="DL651" s="995" t="s">
        <v>194</v>
      </c>
      <c r="DM651" s="995" t="s">
        <v>194</v>
      </c>
      <c r="DN651" s="995" t="s">
        <v>194</v>
      </c>
      <c r="DO651" s="995" t="s">
        <v>194</v>
      </c>
      <c r="DP651" s="995" t="s">
        <v>194</v>
      </c>
      <c r="DQ651" s="995" t="s">
        <v>194</v>
      </c>
      <c r="DR651" s="995" t="s">
        <v>194</v>
      </c>
      <c r="DS651" s="995" t="s">
        <v>194</v>
      </c>
      <c r="DT651" s="995" t="s">
        <v>194</v>
      </c>
    </row>
    <row r="652" spans="1:124">
      <c r="A652" s="753" t="s">
        <v>94</v>
      </c>
      <c r="B652" s="753" t="s">
        <v>510</v>
      </c>
      <c r="C652" s="753" t="s">
        <v>859</v>
      </c>
      <c r="D652" s="753">
        <v>804415</v>
      </c>
      <c r="E652" s="753" t="s">
        <v>874</v>
      </c>
      <c r="F652" s="753" t="s">
        <v>149</v>
      </c>
      <c r="G652" s="753" t="s">
        <v>150</v>
      </c>
      <c r="H652" s="754" t="s">
        <v>152</v>
      </c>
      <c r="I652" s="755">
        <v>22</v>
      </c>
      <c r="J652" s="756">
        <v>10.5672</v>
      </c>
      <c r="K652" s="757">
        <v>0</v>
      </c>
      <c r="L652" s="758">
        <v>10.5672</v>
      </c>
      <c r="M652" s="759">
        <v>162</v>
      </c>
      <c r="N652" s="760">
        <v>162</v>
      </c>
      <c r="O652" s="760">
        <v>0</v>
      </c>
      <c r="P652" s="760">
        <v>0</v>
      </c>
      <c r="Q652" s="761">
        <v>162</v>
      </c>
      <c r="R652" s="762">
        <v>5546.1445717076303</v>
      </c>
      <c r="S652" s="760">
        <v>8925.5115990452596</v>
      </c>
      <c r="T652" s="760">
        <v>1392.7592005967599</v>
      </c>
      <c r="U652" s="760">
        <f>IFERROR(INDEX('Rentabilidad datos'!$N$2:$N$61,MATCH($C652,'Rentabilidad datos'!$C$2:$C$61,0)),"")</f>
        <v>15864.415371349654</v>
      </c>
      <c r="V652" s="761">
        <f>IFERROR(INDEX('Rentabilidad datos'!$O$2:$O$61,MATCH($C652,'Rentabilidad datos'!$C$2:$C$61,0)),"")</f>
        <v>1586.4415371349655</v>
      </c>
      <c r="W652" s="762">
        <f>IFERROR(INDEX('Rentabilidad datos'!$M$2:$M$61,MATCH($C652,'Rentabilidad datos'!$C$2:$C$61,0)),"")</f>
        <v>3060.1995418491324</v>
      </c>
      <c r="X652" s="763">
        <f>IFERROR(INDEX('Rentabilidad datos'!$P$2:$P$61,MATCH($C652,'Rentabilidad datos'!$C$2:$C$61,0)),"")</f>
        <v>0.51841114131281607</v>
      </c>
      <c r="Y652" s="754" t="s">
        <v>211</v>
      </c>
      <c r="Z652" s="764">
        <v>0</v>
      </c>
      <c r="AA652" s="754">
        <v>2</v>
      </c>
      <c r="AB652" s="765">
        <v>0</v>
      </c>
      <c r="AC652" s="766">
        <v>1</v>
      </c>
      <c r="AD652" s="767" t="e">
        <f>_xlfn.XLOOKUP(Table1[[#This Row],[Ruta]],#REF!,#REF!)</f>
        <v>#REF!</v>
      </c>
      <c r="AE652" s="767" t="e">
        <f>_xlfn.XLOOKUP(Table1[[#This Row],[Ruta]],#REF!,#REF!)</f>
        <v>#REF!</v>
      </c>
      <c r="AF652" s="767" t="e">
        <f>_xlfn.XLOOKUP(Table1[[#This Row],[Ruta]],#REF!,#REF!)</f>
        <v>#REF!</v>
      </c>
      <c r="AG652" s="767" t="e">
        <f>_xlfn.XLOOKUP(Table1[[#This Row],[Ruta]],#REF!,#REF!)</f>
        <v>#REF!</v>
      </c>
      <c r="AH652" s="763">
        <v>1</v>
      </c>
      <c r="AI652" s="763">
        <v>0</v>
      </c>
      <c r="AJ652" s="766">
        <v>0</v>
      </c>
      <c r="AK652" s="768">
        <v>0</v>
      </c>
      <c r="AL652" s="755">
        <v>1</v>
      </c>
      <c r="AM652" s="765">
        <v>0</v>
      </c>
      <c r="AN652" s="766">
        <v>0.52393875788094302</v>
      </c>
      <c r="AO652" s="768">
        <v>0</v>
      </c>
      <c r="AP652" s="759">
        <v>0</v>
      </c>
      <c r="AQ652" s="766" t="s">
        <v>194</v>
      </c>
      <c r="AR652" s="762">
        <v>162</v>
      </c>
      <c r="AS652" s="760">
        <v>0</v>
      </c>
      <c r="AT652" s="766">
        <v>0</v>
      </c>
      <c r="AU652" s="762">
        <v>0</v>
      </c>
      <c r="AV652" s="763">
        <v>0</v>
      </c>
      <c r="AW652" s="755">
        <v>490</v>
      </c>
      <c r="AX652" s="762">
        <v>162</v>
      </c>
      <c r="AY652" s="760">
        <v>321.40009216103402</v>
      </c>
      <c r="AZ652" s="760">
        <v>159.40009216103402</v>
      </c>
      <c r="BA652" s="753" t="s">
        <v>150</v>
      </c>
      <c r="BB652" s="761">
        <v>56.005437786309272</v>
      </c>
      <c r="BC652" s="769">
        <v>56.005437786309272</v>
      </c>
      <c r="BD652" s="753" t="s">
        <v>152</v>
      </c>
      <c r="BE652" s="757" t="s">
        <v>195</v>
      </c>
      <c r="BF652" s="757" t="s">
        <v>195</v>
      </c>
      <c r="BG652" s="753" t="s">
        <v>195</v>
      </c>
      <c r="BH652" s="763" t="s">
        <v>195</v>
      </c>
      <c r="BI652" s="763" t="s">
        <v>195</v>
      </c>
      <c r="BJ652" s="753" t="s">
        <v>195</v>
      </c>
      <c r="BK652" s="757" t="s">
        <v>195</v>
      </c>
      <c r="BL652" s="757" t="s">
        <v>195</v>
      </c>
      <c r="BM652" s="753" t="s">
        <v>195</v>
      </c>
      <c r="BN652" s="759" t="s">
        <v>195</v>
      </c>
      <c r="BO652" s="753" t="s">
        <v>195</v>
      </c>
      <c r="BP652" s="753" t="s">
        <v>152</v>
      </c>
      <c r="BQ652" s="757">
        <v>0</v>
      </c>
      <c r="BR652" s="46" t="e">
        <v>#N/A</v>
      </c>
      <c r="BS652" s="46" t="e">
        <v>#N/A</v>
      </c>
      <c r="BT652" s="46" t="e">
        <v>#N/A</v>
      </c>
      <c r="BU652" s="46" t="e">
        <v>#N/A</v>
      </c>
      <c r="BV652" s="46" t="e">
        <v>#N/A</v>
      </c>
      <c r="BW652" s="46" t="e">
        <v>#N/A</v>
      </c>
      <c r="BX652" s="46" t="e">
        <v>#N/A</v>
      </c>
      <c r="BY652" s="46" t="e">
        <v>#N/A</v>
      </c>
      <c r="BZ652" s="46" t="e">
        <v>#N/A</v>
      </c>
      <c r="CA652" s="46" t="e">
        <v>#N/A</v>
      </c>
      <c r="CB652" s="46" t="e">
        <v>#N/A</v>
      </c>
      <c r="CC652" s="46" t="e">
        <v>#N/A</v>
      </c>
      <c r="CD652" s="46" t="e">
        <v>#N/A</v>
      </c>
      <c r="CE652" s="46" t="e">
        <v>#N/A</v>
      </c>
      <c r="CF652" s="46" t="e">
        <v>#N/A</v>
      </c>
      <c r="CG652" s="46" t="e">
        <v>#N/A</v>
      </c>
      <c r="CH652" s="46" t="e">
        <v>#N/A</v>
      </c>
      <c r="CI652" s="46" t="e">
        <v>#N/A</v>
      </c>
      <c r="CJ652" s="46" t="e">
        <v>#N/A</v>
      </c>
      <c r="CM652">
        <f t="shared" si="77"/>
        <v>0</v>
      </c>
      <c r="CP652">
        <f t="shared" si="78"/>
        <v>0</v>
      </c>
      <c r="CS652">
        <f t="shared" si="79"/>
        <v>0</v>
      </c>
      <c r="CW652" s="46"/>
      <c r="CX652" s="46" t="e">
        <f t="shared" si="73"/>
        <v>#N/A</v>
      </c>
      <c r="CY652" s="46"/>
      <c r="CZ652" s="46" t="e">
        <f t="shared" si="74"/>
        <v>#N/A</v>
      </c>
      <c r="DA652" s="46" t="e">
        <f t="shared" si="75"/>
        <v>#N/A</v>
      </c>
      <c r="DB652" s="46"/>
      <c r="DC652" s="46" t="e">
        <f t="shared" si="76"/>
        <v>#N/A</v>
      </c>
      <c r="DD652" s="46"/>
      <c r="DE652" s="995" t="s">
        <v>194</v>
      </c>
      <c r="DF652" s="995" t="s">
        <v>194</v>
      </c>
      <c r="DG652" s="995" t="s">
        <v>194</v>
      </c>
      <c r="DH652" s="995" t="s">
        <v>194</v>
      </c>
      <c r="DI652" s="995" t="s">
        <v>194</v>
      </c>
      <c r="DJ652" s="995" t="s">
        <v>194</v>
      </c>
      <c r="DK652" s="995" t="s">
        <v>194</v>
      </c>
      <c r="DL652" s="995" t="s">
        <v>194</v>
      </c>
      <c r="DM652" s="995" t="s">
        <v>194</v>
      </c>
      <c r="DN652" s="995" t="s">
        <v>194</v>
      </c>
      <c r="DO652" s="995" t="s">
        <v>194</v>
      </c>
      <c r="DP652" s="995" t="s">
        <v>194</v>
      </c>
      <c r="DQ652" s="995" t="s">
        <v>194</v>
      </c>
      <c r="DR652" s="995" t="s">
        <v>194</v>
      </c>
      <c r="DS652" s="995" t="s">
        <v>194</v>
      </c>
      <c r="DT652" s="995" t="s">
        <v>194</v>
      </c>
    </row>
    <row r="653" spans="1:124">
      <c r="A653" s="753" t="s">
        <v>94</v>
      </c>
      <c r="B653" s="753" t="s">
        <v>510</v>
      </c>
      <c r="C653" s="753" t="s">
        <v>859</v>
      </c>
      <c r="D653" s="753">
        <v>804416</v>
      </c>
      <c r="E653" s="753" t="s">
        <v>875</v>
      </c>
      <c r="F653" s="753" t="s">
        <v>193</v>
      </c>
      <c r="G653" s="753" t="s">
        <v>150</v>
      </c>
      <c r="H653" s="754" t="s">
        <v>152</v>
      </c>
      <c r="I653" s="755">
        <v>22</v>
      </c>
      <c r="J653" s="756">
        <v>3.5224000000000002</v>
      </c>
      <c r="K653" s="757">
        <v>1.9441999999999999</v>
      </c>
      <c r="L653" s="758">
        <v>5.4665999999999997</v>
      </c>
      <c r="M653" s="759">
        <v>450</v>
      </c>
      <c r="N653" s="760">
        <v>52</v>
      </c>
      <c r="O653" s="760">
        <v>398</v>
      </c>
      <c r="P653" s="760">
        <v>0</v>
      </c>
      <c r="Q653" s="761">
        <v>0</v>
      </c>
      <c r="R653" s="762">
        <v>5546.1445717076303</v>
      </c>
      <c r="S653" s="760">
        <v>8925.5115990452596</v>
      </c>
      <c r="T653" s="760">
        <v>1392.7592005967599</v>
      </c>
      <c r="U653" s="760">
        <f>IFERROR(INDEX('Rentabilidad datos'!$N$2:$N$61,MATCH($C653,'Rentabilidad datos'!$C$2:$C$61,0)),"")</f>
        <v>15864.415371349654</v>
      </c>
      <c r="V653" s="761">
        <f>IFERROR(INDEX('Rentabilidad datos'!$O$2:$O$61,MATCH($C653,'Rentabilidad datos'!$C$2:$C$61,0)),"")</f>
        <v>1586.4415371349655</v>
      </c>
      <c r="W653" s="762">
        <f>IFERROR(INDEX('Rentabilidad datos'!$M$2:$M$61,MATCH($C653,'Rentabilidad datos'!$C$2:$C$61,0)),"")</f>
        <v>3060.1995418491324</v>
      </c>
      <c r="X653" s="763">
        <f>IFERROR(INDEX('Rentabilidad datos'!$P$2:$P$61,MATCH($C653,'Rentabilidad datos'!$C$2:$C$61,0)),"")</f>
        <v>0.51841114131281607</v>
      </c>
      <c r="Y653" s="754" t="s">
        <v>211</v>
      </c>
      <c r="Z653" s="764">
        <v>0</v>
      </c>
      <c r="AA653" s="754">
        <v>2</v>
      </c>
      <c r="AB653" s="765">
        <v>0</v>
      </c>
      <c r="AC653" s="766">
        <v>1</v>
      </c>
      <c r="AD653" s="767" t="e">
        <f>_xlfn.XLOOKUP(Table1[[#This Row],[Ruta]],#REF!,#REF!)</f>
        <v>#REF!</v>
      </c>
      <c r="AE653" s="767" t="e">
        <f>_xlfn.XLOOKUP(Table1[[#This Row],[Ruta]],#REF!,#REF!)</f>
        <v>#REF!</v>
      </c>
      <c r="AF653" s="767" t="e">
        <f>_xlfn.XLOOKUP(Table1[[#This Row],[Ruta]],#REF!,#REF!)</f>
        <v>#REF!</v>
      </c>
      <c r="AG653" s="767" t="e">
        <f>_xlfn.XLOOKUP(Table1[[#This Row],[Ruta]],#REF!,#REF!)</f>
        <v>#REF!</v>
      </c>
      <c r="AH653" s="763">
        <v>0.11555555555555555</v>
      </c>
      <c r="AI653" s="763">
        <v>0.88444444444444448</v>
      </c>
      <c r="AJ653" s="766">
        <v>0</v>
      </c>
      <c r="AK653" s="768">
        <v>0</v>
      </c>
      <c r="AL653" s="755">
        <v>1</v>
      </c>
      <c r="AM653" s="765">
        <v>0</v>
      </c>
      <c r="AN653" s="766">
        <v>0.52393875788094302</v>
      </c>
      <c r="AO653" s="768">
        <v>0</v>
      </c>
      <c r="AP653" s="759">
        <v>0</v>
      </c>
      <c r="AQ653" s="766" t="s">
        <v>194</v>
      </c>
      <c r="AR653" s="762">
        <v>450.08</v>
      </c>
      <c r="AS653" s="760">
        <v>0</v>
      </c>
      <c r="AT653" s="766">
        <v>0</v>
      </c>
      <c r="AU653" s="762">
        <v>0</v>
      </c>
      <c r="AV653" s="763">
        <v>0</v>
      </c>
      <c r="AW653" s="755">
        <v>490</v>
      </c>
      <c r="AX653" s="762">
        <v>450.08</v>
      </c>
      <c r="AY653" s="760">
        <v>321.40009216103402</v>
      </c>
      <c r="AZ653" s="760">
        <v>0</v>
      </c>
      <c r="BA653" s="753" t="s">
        <v>152</v>
      </c>
      <c r="BB653" s="761">
        <v>0</v>
      </c>
      <c r="BC653" s="769">
        <v>0</v>
      </c>
      <c r="BD653" s="753" t="s">
        <v>152</v>
      </c>
      <c r="BE653" s="757" t="s">
        <v>195</v>
      </c>
      <c r="BF653" s="757" t="s">
        <v>195</v>
      </c>
      <c r="BG653" s="753" t="s">
        <v>195</v>
      </c>
      <c r="BH653" s="763" t="s">
        <v>195</v>
      </c>
      <c r="BI653" s="763" t="s">
        <v>195</v>
      </c>
      <c r="BJ653" s="753" t="s">
        <v>195</v>
      </c>
      <c r="BK653" s="757" t="s">
        <v>195</v>
      </c>
      <c r="BL653" s="757" t="s">
        <v>195</v>
      </c>
      <c r="BM653" s="753" t="s">
        <v>195</v>
      </c>
      <c r="BN653" s="759" t="s">
        <v>195</v>
      </c>
      <c r="BO653" s="753" t="s">
        <v>195</v>
      </c>
      <c r="BP653" s="753" t="s">
        <v>152</v>
      </c>
      <c r="BQ653" s="757">
        <v>0</v>
      </c>
      <c r="BR653" s="46" t="e">
        <v>#N/A</v>
      </c>
      <c r="BS653" s="46" t="e">
        <v>#N/A</v>
      </c>
      <c r="BT653" s="46" t="e">
        <v>#N/A</v>
      </c>
      <c r="BU653" s="46" t="e">
        <v>#N/A</v>
      </c>
      <c r="BV653" s="46" t="e">
        <v>#N/A</v>
      </c>
      <c r="BW653" s="46" t="e">
        <v>#N/A</v>
      </c>
      <c r="BX653" s="46" t="e">
        <v>#N/A</v>
      </c>
      <c r="BY653" s="46" t="e">
        <v>#N/A</v>
      </c>
      <c r="BZ653" s="46" t="e">
        <v>#N/A</v>
      </c>
      <c r="CA653" s="46" t="e">
        <v>#N/A</v>
      </c>
      <c r="CB653" s="46" t="e">
        <v>#N/A</v>
      </c>
      <c r="CC653" s="46" t="e">
        <v>#N/A</v>
      </c>
      <c r="CD653" s="46" t="e">
        <v>#N/A</v>
      </c>
      <c r="CE653" s="46" t="e">
        <v>#N/A</v>
      </c>
      <c r="CF653" s="46" t="e">
        <v>#N/A</v>
      </c>
      <c r="CG653" s="46" t="e">
        <v>#N/A</v>
      </c>
      <c r="CH653" s="46" t="e">
        <v>#N/A</v>
      </c>
      <c r="CI653" s="46" t="e">
        <v>#N/A</v>
      </c>
      <c r="CJ653" s="46" t="e">
        <v>#N/A</v>
      </c>
      <c r="CM653">
        <f t="shared" si="77"/>
        <v>0</v>
      </c>
      <c r="CP653">
        <f t="shared" si="78"/>
        <v>0</v>
      </c>
      <c r="CS653">
        <f t="shared" si="79"/>
        <v>0</v>
      </c>
      <c r="CW653" s="46"/>
      <c r="CX653" s="46" t="e">
        <f t="shared" si="73"/>
        <v>#N/A</v>
      </c>
      <c r="CY653" s="46"/>
      <c r="CZ653" s="46" t="e">
        <f t="shared" si="74"/>
        <v>#N/A</v>
      </c>
      <c r="DA653" s="46" t="e">
        <f t="shared" si="75"/>
        <v>#N/A</v>
      </c>
      <c r="DB653" s="46"/>
      <c r="DC653" s="46" t="e">
        <f t="shared" si="76"/>
        <v>#N/A</v>
      </c>
      <c r="DD653" s="46"/>
      <c r="DE653" s="995" t="s">
        <v>194</v>
      </c>
      <c r="DF653" s="995" t="s">
        <v>194</v>
      </c>
      <c r="DG653" s="995" t="s">
        <v>194</v>
      </c>
      <c r="DH653" s="995" t="s">
        <v>194</v>
      </c>
      <c r="DI653" s="995" t="s">
        <v>194</v>
      </c>
      <c r="DJ653" s="995" t="s">
        <v>194</v>
      </c>
      <c r="DK653" s="995" t="s">
        <v>194</v>
      </c>
      <c r="DL653" s="995" t="s">
        <v>194</v>
      </c>
      <c r="DM653" s="995" t="s">
        <v>194</v>
      </c>
      <c r="DN653" s="995" t="s">
        <v>194</v>
      </c>
      <c r="DO653" s="995" t="s">
        <v>194</v>
      </c>
      <c r="DP653" s="995" t="s">
        <v>194</v>
      </c>
      <c r="DQ653" s="995" t="s">
        <v>194</v>
      </c>
      <c r="DR653" s="995" t="s">
        <v>194</v>
      </c>
      <c r="DS653" s="995" t="s">
        <v>194</v>
      </c>
      <c r="DT653" s="995" t="s">
        <v>194</v>
      </c>
    </row>
    <row r="654" spans="1:124">
      <c r="A654" s="753" t="s">
        <v>94</v>
      </c>
      <c r="B654" s="753" t="s">
        <v>510</v>
      </c>
      <c r="C654" s="753" t="s">
        <v>859</v>
      </c>
      <c r="D654" s="753">
        <v>804420</v>
      </c>
      <c r="E654" s="753" t="s">
        <v>876</v>
      </c>
      <c r="F654" s="753" t="s">
        <v>149</v>
      </c>
      <c r="G654" s="753" t="s">
        <v>150</v>
      </c>
      <c r="H654" s="754" t="s">
        <v>150</v>
      </c>
      <c r="I654" s="755">
        <v>22</v>
      </c>
      <c r="J654" s="756">
        <v>189579.09039999999</v>
      </c>
      <c r="K654" s="757">
        <v>7718.1604610000004</v>
      </c>
      <c r="L654" s="758">
        <v>197297.25086100001</v>
      </c>
      <c r="M654" s="759">
        <v>4372295</v>
      </c>
      <c r="N654" s="760">
        <v>3522197</v>
      </c>
      <c r="O654" s="760">
        <v>850098</v>
      </c>
      <c r="P654" s="760">
        <v>0</v>
      </c>
      <c r="Q654" s="761">
        <v>8144.4334633027502</v>
      </c>
      <c r="R654" s="762">
        <v>5546.1445717076303</v>
      </c>
      <c r="S654" s="760">
        <v>8925.5115990452596</v>
      </c>
      <c r="T654" s="760">
        <v>1392.7592005967599</v>
      </c>
      <c r="U654" s="760">
        <f>IFERROR(INDEX('Rentabilidad datos'!$N$2:$N$61,MATCH($C654,'Rentabilidad datos'!$C$2:$C$61,0)),"")</f>
        <v>15864.415371349654</v>
      </c>
      <c r="V654" s="761">
        <f>IFERROR(INDEX('Rentabilidad datos'!$O$2:$O$61,MATCH($C654,'Rentabilidad datos'!$C$2:$C$61,0)),"")</f>
        <v>1586.4415371349655</v>
      </c>
      <c r="W654" s="762">
        <f>IFERROR(INDEX('Rentabilidad datos'!$M$2:$M$61,MATCH($C654,'Rentabilidad datos'!$C$2:$C$61,0)),"")</f>
        <v>3060.1995418491324</v>
      </c>
      <c r="X654" s="763">
        <f>IFERROR(INDEX('Rentabilidad datos'!$P$2:$P$61,MATCH($C654,'Rentabilidad datos'!$C$2:$C$61,0)),"")</f>
        <v>0.51841114131281607</v>
      </c>
      <c r="Y654" s="754" t="s">
        <v>211</v>
      </c>
      <c r="Z654" s="764">
        <v>66.913486005089098</v>
      </c>
      <c r="AA654" s="754">
        <v>2</v>
      </c>
      <c r="AB654" s="765">
        <v>0.96573195541471923</v>
      </c>
      <c r="AC654" s="766">
        <v>3.4268044585280731E-2</v>
      </c>
      <c r="AD654" s="767" t="e">
        <f>_xlfn.XLOOKUP(Table1[[#This Row],[Ruta]],#REF!,#REF!)</f>
        <v>#REF!</v>
      </c>
      <c r="AE654" s="767" t="e">
        <f>_xlfn.XLOOKUP(Table1[[#This Row],[Ruta]],#REF!,#REF!)</f>
        <v>#REF!</v>
      </c>
      <c r="AF654" s="767" t="e">
        <f>_xlfn.XLOOKUP(Table1[[#This Row],[Ruta]],#REF!,#REF!)</f>
        <v>#REF!</v>
      </c>
      <c r="AG654" s="767" t="e">
        <f>_xlfn.XLOOKUP(Table1[[#This Row],[Ruta]],#REF!,#REF!)</f>
        <v>#REF!</v>
      </c>
      <c r="AH654" s="763">
        <v>0.805571673457532</v>
      </c>
      <c r="AI654" s="763">
        <v>0.19442832654246797</v>
      </c>
      <c r="AJ654" s="766">
        <v>0</v>
      </c>
      <c r="AK654" s="768">
        <v>26297</v>
      </c>
      <c r="AL654" s="755">
        <v>15106</v>
      </c>
      <c r="AM654" s="765">
        <v>0.53854051792980195</v>
      </c>
      <c r="AN654" s="766">
        <v>0.52393875788094302</v>
      </c>
      <c r="AO654" s="768">
        <v>0</v>
      </c>
      <c r="AP654" s="759">
        <v>0</v>
      </c>
      <c r="AQ654" s="766">
        <v>0.57443814883827049</v>
      </c>
      <c r="AR654" s="762">
        <v>3550972.99</v>
      </c>
      <c r="AS654" s="760">
        <v>0</v>
      </c>
      <c r="AT654" s="766">
        <v>0</v>
      </c>
      <c r="AU654" s="762">
        <v>0</v>
      </c>
      <c r="AV654" s="763">
        <v>0</v>
      </c>
      <c r="AW654" s="755">
        <v>490</v>
      </c>
      <c r="AX654" s="762">
        <v>235.07036872765801</v>
      </c>
      <c r="AY654" s="760">
        <v>321.40009216103402</v>
      </c>
      <c r="AZ654" s="760">
        <v>86.329723433376017</v>
      </c>
      <c r="BA654" s="753" t="s">
        <v>150</v>
      </c>
      <c r="BB654" s="761">
        <v>458196.17374052759</v>
      </c>
      <c r="BC654" s="769">
        <v>458196.17374052759</v>
      </c>
      <c r="BD654" s="753" t="s">
        <v>150</v>
      </c>
      <c r="BE654" s="757">
        <v>66.913486005089098</v>
      </c>
      <c r="BF654" s="757">
        <v>72.425990467051307</v>
      </c>
      <c r="BG654" s="753" t="s">
        <v>152</v>
      </c>
      <c r="BH654" s="763">
        <v>0.53854051792980195</v>
      </c>
      <c r="BI654" s="763">
        <v>0.49337264070319697</v>
      </c>
      <c r="BJ654" s="753" t="s">
        <v>150</v>
      </c>
      <c r="BK654" s="757">
        <v>452.516630415137</v>
      </c>
      <c r="BL654" s="757">
        <v>605.59017138979505</v>
      </c>
      <c r="BM654" s="753" t="s">
        <v>152</v>
      </c>
      <c r="BN654" s="759">
        <v>1</v>
      </c>
      <c r="BO654" s="753" t="s">
        <v>155</v>
      </c>
      <c r="BP654" s="753" t="s">
        <v>152</v>
      </c>
      <c r="BQ654" s="757">
        <v>2180.0665712823102</v>
      </c>
      <c r="BR654" s="46">
        <v>589</v>
      </c>
      <c r="BS654" s="46">
        <v>60468</v>
      </c>
      <c r="BT654" s="46">
        <v>14043</v>
      </c>
      <c r="BU654" s="46">
        <v>4.305917538987396</v>
      </c>
      <c r="BV654" s="46">
        <v>23.842105263157894</v>
      </c>
      <c r="BW654" s="46">
        <v>0</v>
      </c>
      <c r="BX654" s="46">
        <v>972</v>
      </c>
      <c r="BY654" s="46">
        <v>972</v>
      </c>
      <c r="BZ654" s="46">
        <v>6.9215979491561636E-2</v>
      </c>
      <c r="CA654" s="46">
        <v>0</v>
      </c>
      <c r="CB654" s="46">
        <v>6.9215979491561636E-2</v>
      </c>
      <c r="CC654" s="46">
        <v>4.5787937050487788E-2</v>
      </c>
      <c r="CD654" s="46">
        <v>0</v>
      </c>
      <c r="CE654" s="46">
        <v>0</v>
      </c>
      <c r="CF654" s="46">
        <v>0.8849248736025066</v>
      </c>
      <c r="CG654" s="46">
        <v>0</v>
      </c>
      <c r="CH654" s="46">
        <v>7.1209855443993449E-5</v>
      </c>
      <c r="CI654" s="46">
        <v>5.3912813388899918</v>
      </c>
      <c r="CJ654" s="46">
        <v>6.6150691274723825E-2</v>
      </c>
      <c r="CK654">
        <v>317</v>
      </c>
      <c r="CL654">
        <v>330.61</v>
      </c>
      <c r="CM654">
        <f t="shared" si="77"/>
        <v>13.610000000000014</v>
      </c>
      <c r="CN654">
        <v>8.94</v>
      </c>
      <c r="CO654">
        <v>9.4499999999999993</v>
      </c>
      <c r="CP654">
        <f t="shared" si="78"/>
        <v>0.50999999999999979</v>
      </c>
      <c r="CQ654">
        <v>846.56</v>
      </c>
      <c r="CR654">
        <v>452.52</v>
      </c>
      <c r="CS654">
        <f t="shared" si="79"/>
        <v>394.03999999999996</v>
      </c>
      <c r="CT654" t="s">
        <v>152</v>
      </c>
      <c r="CU654">
        <v>94.6</v>
      </c>
      <c r="CV654">
        <v>63</v>
      </c>
      <c r="CW654" s="46">
        <v>972</v>
      </c>
      <c r="CX654" s="46">
        <f t="shared" si="73"/>
        <v>6.824681335896889</v>
      </c>
      <c r="CY654" s="46">
        <v>13.61</v>
      </c>
      <c r="CZ654" s="46">
        <f t="shared" si="74"/>
        <v>6.9215979491561637</v>
      </c>
      <c r="DA654" s="46">
        <f t="shared" si="75"/>
        <v>13.671305528146544</v>
      </c>
      <c r="DB654" s="46">
        <v>192172.21</v>
      </c>
      <c r="DC654" s="46">
        <f t="shared" si="76"/>
        <v>0.71780180285289275</v>
      </c>
      <c r="DD654" s="46">
        <v>10089.86</v>
      </c>
      <c r="DE654" s="995">
        <v>972</v>
      </c>
      <c r="DF654" s="995">
        <v>6.8179999999999996</v>
      </c>
      <c r="DG654" s="995">
        <v>14.6</v>
      </c>
      <c r="DH654" s="995">
        <v>6.9219999999999997</v>
      </c>
      <c r="DI654" s="995">
        <v>233.79</v>
      </c>
      <c r="DJ654" s="995">
        <v>3286528</v>
      </c>
      <c r="DK654" s="995">
        <v>12.500999999999999</v>
      </c>
      <c r="DL654" s="995">
        <v>175733.4</v>
      </c>
      <c r="DM654" s="995">
        <v>972</v>
      </c>
      <c r="DN654" s="995">
        <v>6.819</v>
      </c>
      <c r="DO654" s="995">
        <v>14.4</v>
      </c>
      <c r="DP654" s="995">
        <v>6.9219999999999997</v>
      </c>
      <c r="DQ654" s="995">
        <v>233.679</v>
      </c>
      <c r="DR654" s="995">
        <v>3284922</v>
      </c>
      <c r="DS654" s="995">
        <v>12.494999999999999</v>
      </c>
      <c r="DT654" s="995">
        <v>175649</v>
      </c>
    </row>
    <row r="655" spans="1:124">
      <c r="A655" s="753" t="s">
        <v>94</v>
      </c>
      <c r="B655" s="753" t="s">
        <v>510</v>
      </c>
      <c r="C655" s="753" t="s">
        <v>859</v>
      </c>
      <c r="D655" s="753">
        <v>804421</v>
      </c>
      <c r="E655" s="753" t="s">
        <v>877</v>
      </c>
      <c r="F655" s="753" t="s">
        <v>149</v>
      </c>
      <c r="G655" s="753" t="s">
        <v>150</v>
      </c>
      <c r="H655" s="754" t="s">
        <v>150</v>
      </c>
      <c r="I655" s="755">
        <v>22</v>
      </c>
      <c r="J655" s="756">
        <v>223985.89359999899</v>
      </c>
      <c r="K655" s="757">
        <v>12934.080963</v>
      </c>
      <c r="L655" s="758">
        <v>236919.97456299901</v>
      </c>
      <c r="M655" s="759">
        <v>4826276</v>
      </c>
      <c r="N655" s="760">
        <v>3243459</v>
      </c>
      <c r="O655" s="760">
        <v>1582630</v>
      </c>
      <c r="P655" s="760">
        <v>187</v>
      </c>
      <c r="Q655" s="761">
        <v>11137.8878110599</v>
      </c>
      <c r="R655" s="762">
        <v>5546.1445717076303</v>
      </c>
      <c r="S655" s="760">
        <v>8925.5115990452596</v>
      </c>
      <c r="T655" s="760">
        <v>1392.7592005967599</v>
      </c>
      <c r="U655" s="760">
        <f>IFERROR(INDEX('Rentabilidad datos'!$N$2:$N$61,MATCH($C655,'Rentabilidad datos'!$C$2:$C$61,0)),"")</f>
        <v>15864.415371349654</v>
      </c>
      <c r="V655" s="761">
        <f>IFERROR(INDEX('Rentabilidad datos'!$O$2:$O$61,MATCH($C655,'Rentabilidad datos'!$C$2:$C$61,0)),"")</f>
        <v>1586.4415371349655</v>
      </c>
      <c r="W655" s="762">
        <f>IFERROR(INDEX('Rentabilidad datos'!$M$2:$M$61,MATCH($C655,'Rentabilidad datos'!$C$2:$C$61,0)),"")</f>
        <v>3060.1995418491324</v>
      </c>
      <c r="X655" s="763">
        <f>IFERROR(INDEX('Rentabilidad datos'!$P$2:$P$61,MATCH($C655,'Rentabilidad datos'!$C$2:$C$61,0)),"")</f>
        <v>0.51841114131281607</v>
      </c>
      <c r="Y655" s="754" t="s">
        <v>211</v>
      </c>
      <c r="Z655" s="764">
        <v>80.988479262672797</v>
      </c>
      <c r="AA655" s="754">
        <v>2</v>
      </c>
      <c r="AB655" s="765">
        <v>0.8851337967410069</v>
      </c>
      <c r="AC655" s="766">
        <v>0.11486620325899306</v>
      </c>
      <c r="AD655" s="767" t="e">
        <f>_xlfn.XLOOKUP(Table1[[#This Row],[Ruta]],#REF!,#REF!)</f>
        <v>#REF!</v>
      </c>
      <c r="AE655" s="767" t="e">
        <f>_xlfn.XLOOKUP(Table1[[#This Row],[Ruta]],#REF!,#REF!)</f>
        <v>#REF!</v>
      </c>
      <c r="AF655" s="767" t="e">
        <f>_xlfn.XLOOKUP(Table1[[#This Row],[Ruta]],#REF!,#REF!)</f>
        <v>#REF!</v>
      </c>
      <c r="AG655" s="767" t="e">
        <f>_xlfn.XLOOKUP(Table1[[#This Row],[Ruta]],#REF!,#REF!)</f>
        <v>#REF!</v>
      </c>
      <c r="AH655" s="763">
        <v>0.67204175641840624</v>
      </c>
      <c r="AI655" s="763">
        <v>0.32791949735158121</v>
      </c>
      <c r="AJ655" s="766">
        <v>3.8746230012539686E-5</v>
      </c>
      <c r="AK655" s="768">
        <v>35149</v>
      </c>
      <c r="AL655" s="755">
        <v>18352</v>
      </c>
      <c r="AM655" s="765">
        <v>0.52212011721528395</v>
      </c>
      <c r="AN655" s="766">
        <v>0.52393875788094302</v>
      </c>
      <c r="AO655" s="768">
        <v>63.923400757274102</v>
      </c>
      <c r="AP655" s="759">
        <v>31.961700378637051</v>
      </c>
      <c r="AQ655" s="766">
        <v>0.52302943754811337</v>
      </c>
      <c r="AR655" s="762">
        <v>4833843.3099999996</v>
      </c>
      <c r="AS655" s="760">
        <v>8418.5838901209008</v>
      </c>
      <c r="AT655" s="766">
        <v>1.741592217667664E-3</v>
      </c>
      <c r="AU655" s="762">
        <v>5915.7616525173917</v>
      </c>
      <c r="AV655" s="763">
        <v>2.6911359581311379E-5</v>
      </c>
      <c r="AW655" s="755">
        <v>477</v>
      </c>
      <c r="AX655" s="762">
        <v>263.395995531822</v>
      </c>
      <c r="AY655" s="760">
        <v>321.40009216103402</v>
      </c>
      <c r="AZ655" s="760">
        <v>58.004096629212029</v>
      </c>
      <c r="BA655" s="753" t="s">
        <v>150</v>
      </c>
      <c r="BB655" s="761">
        <v>374010.41506515926</v>
      </c>
      <c r="BC655" s="769">
        <v>379926.17671767663</v>
      </c>
      <c r="BD655" s="753" t="s">
        <v>150</v>
      </c>
      <c r="BE655" s="757">
        <v>80.988479262672797</v>
      </c>
      <c r="BF655" s="757">
        <v>72.425990467051307</v>
      </c>
      <c r="BG655" s="753" t="s">
        <v>150</v>
      </c>
      <c r="BH655" s="763">
        <v>0.52212011721528395</v>
      </c>
      <c r="BI655" s="763">
        <v>0.49337264070319697</v>
      </c>
      <c r="BJ655" s="753" t="s">
        <v>150</v>
      </c>
      <c r="BK655" s="757">
        <v>545.89855890091997</v>
      </c>
      <c r="BL655" s="757">
        <v>605.59017138979505</v>
      </c>
      <c r="BM655" s="753" t="s">
        <v>152</v>
      </c>
      <c r="BN655" s="759">
        <v>2</v>
      </c>
      <c r="BO655" s="753" t="s">
        <v>161</v>
      </c>
      <c r="BP655" s="753" t="s">
        <v>152</v>
      </c>
      <c r="BQ655" s="757">
        <v>0</v>
      </c>
      <c r="BR655" s="46">
        <v>598</v>
      </c>
      <c r="BS655" s="46">
        <v>40765</v>
      </c>
      <c r="BT655" s="46">
        <v>11421</v>
      </c>
      <c r="BU655" s="46">
        <v>3.5693021626827774</v>
      </c>
      <c r="BV655" s="46">
        <v>19.098662207357858</v>
      </c>
      <c r="BW655" s="46">
        <v>0</v>
      </c>
      <c r="BX655" s="46">
        <v>4267</v>
      </c>
      <c r="BY655" s="46">
        <v>4267</v>
      </c>
      <c r="BZ655" s="46">
        <v>0.37361001663602139</v>
      </c>
      <c r="CA655" s="46">
        <v>0</v>
      </c>
      <c r="CB655" s="46">
        <v>0.37361001663602139</v>
      </c>
      <c r="CC655" s="46">
        <v>5.7613168724279837E-2</v>
      </c>
      <c r="CD655" s="46">
        <v>6.4968041327379392E-2</v>
      </c>
      <c r="CE655" s="46">
        <v>0</v>
      </c>
      <c r="CF655" s="46">
        <v>0.50284563523334214</v>
      </c>
      <c r="CG655" s="46">
        <v>8.7558007179756587E-4</v>
      </c>
      <c r="CH655" s="46">
        <v>8.755800717975659E-5</v>
      </c>
      <c r="CI655" s="46">
        <v>4.2193057770145952</v>
      </c>
      <c r="CJ655" s="46">
        <v>0.12265423770391272</v>
      </c>
      <c r="CK655">
        <v>419</v>
      </c>
      <c r="CL655">
        <v>459.72</v>
      </c>
      <c r="CM655">
        <f t="shared" si="77"/>
        <v>40.720000000000027</v>
      </c>
      <c r="CN655">
        <v>10.09</v>
      </c>
      <c r="CO655">
        <v>9.4499999999999993</v>
      </c>
      <c r="CP655">
        <f t="shared" si="78"/>
        <v>-0.64000000000000057</v>
      </c>
      <c r="CQ655">
        <v>846.56</v>
      </c>
      <c r="CR655">
        <v>545.9</v>
      </c>
      <c r="CS655">
        <f t="shared" si="79"/>
        <v>300.65999999999997</v>
      </c>
      <c r="CT655" t="s">
        <v>150</v>
      </c>
      <c r="CU655">
        <v>106.79</v>
      </c>
      <c r="CV655">
        <v>195</v>
      </c>
      <c r="CW655" s="46">
        <v>4267</v>
      </c>
      <c r="CX655" s="46">
        <f t="shared" si="73"/>
        <v>37.004465458366163</v>
      </c>
      <c r="CY655" s="46">
        <v>40.72</v>
      </c>
      <c r="CZ655" s="46">
        <f t="shared" si="74"/>
        <v>37.361001663602138</v>
      </c>
      <c r="DA655" s="46">
        <f t="shared" si="75"/>
        <v>45.644412007970878</v>
      </c>
      <c r="DB655" s="46">
        <v>523163.47</v>
      </c>
      <c r="DC655" s="46">
        <f t="shared" si="76"/>
        <v>2.1754091009028316</v>
      </c>
      <c r="DD655" s="46">
        <v>24933.93</v>
      </c>
      <c r="DE655" s="995">
        <v>4267</v>
      </c>
      <c r="DF655" s="995">
        <v>37.058</v>
      </c>
      <c r="DG655" s="995">
        <v>34.6</v>
      </c>
      <c r="DH655" s="995">
        <v>37.360999999999997</v>
      </c>
      <c r="DI655" s="995">
        <v>448.42599999999999</v>
      </c>
      <c r="DJ655" s="995">
        <v>5137001</v>
      </c>
      <c r="DK655" s="995">
        <v>21.667999999999999</v>
      </c>
      <c r="DL655" s="995">
        <v>248219.8</v>
      </c>
      <c r="DM655" s="995">
        <v>4267</v>
      </c>
      <c r="DN655" s="995">
        <v>37.11</v>
      </c>
      <c r="DO655" s="995">
        <v>28.6</v>
      </c>
      <c r="DP655" s="995">
        <v>37.360999999999997</v>
      </c>
      <c r="DQ655" s="995">
        <v>444.53699999999998</v>
      </c>
      <c r="DR655" s="995">
        <v>5089782</v>
      </c>
      <c r="DS655" s="995">
        <v>21.484999999999999</v>
      </c>
      <c r="DT655" s="995">
        <v>246000.7</v>
      </c>
    </row>
    <row r="656" spans="1:124">
      <c r="A656" s="753" t="s">
        <v>94</v>
      </c>
      <c r="B656" s="753" t="s">
        <v>510</v>
      </c>
      <c r="C656" s="753" t="s">
        <v>859</v>
      </c>
      <c r="D656" s="753">
        <v>804422</v>
      </c>
      <c r="E656" s="753" t="s">
        <v>878</v>
      </c>
      <c r="F656" s="753" t="s">
        <v>149</v>
      </c>
      <c r="G656" s="753" t="s">
        <v>150</v>
      </c>
      <c r="H656" s="754" t="s">
        <v>150</v>
      </c>
      <c r="I656" s="755">
        <v>22</v>
      </c>
      <c r="J656" s="756">
        <v>219395.92460799901</v>
      </c>
      <c r="K656" s="757">
        <v>9916.8924750000006</v>
      </c>
      <c r="L656" s="758">
        <v>229312.81708299901</v>
      </c>
      <c r="M656" s="759">
        <v>4365791</v>
      </c>
      <c r="N656" s="760">
        <v>3188275</v>
      </c>
      <c r="O656" s="760">
        <v>1177516</v>
      </c>
      <c r="P656" s="760">
        <v>0</v>
      </c>
      <c r="Q656" s="761">
        <v>9944.4884282460207</v>
      </c>
      <c r="R656" s="762">
        <v>5546.1445717076303</v>
      </c>
      <c r="S656" s="760">
        <v>8925.5115990452596</v>
      </c>
      <c r="T656" s="760">
        <v>1392.7592005967599</v>
      </c>
      <c r="U656" s="760">
        <f>IFERROR(INDEX('Rentabilidad datos'!$N$2:$N$61,MATCH($C656,'Rentabilidad datos'!$C$2:$C$61,0)),"")</f>
        <v>15864.415371349654</v>
      </c>
      <c r="V656" s="761">
        <f>IFERROR(INDEX('Rentabilidad datos'!$O$2:$O$61,MATCH($C656,'Rentabilidad datos'!$C$2:$C$61,0)),"")</f>
        <v>1586.4415371349655</v>
      </c>
      <c r="W656" s="762">
        <f>IFERROR(INDEX('Rentabilidad datos'!$M$2:$M$61,MATCH($C656,'Rentabilidad datos'!$C$2:$C$61,0)),"")</f>
        <v>3060.1995418491324</v>
      </c>
      <c r="X656" s="763">
        <f>IFERROR(INDEX('Rentabilidad datos'!$P$2:$P$61,MATCH($C656,'Rentabilidad datos'!$C$2:$C$61,0)),"")</f>
        <v>0.51841114131281607</v>
      </c>
      <c r="Y656" s="754" t="s">
        <v>211</v>
      </c>
      <c r="Z656" s="764">
        <v>76.030303030303003</v>
      </c>
      <c r="AA656" s="754">
        <v>2</v>
      </c>
      <c r="AB656" s="765">
        <v>0.98378987908491267</v>
      </c>
      <c r="AC656" s="766">
        <v>1.6210120915087323E-2</v>
      </c>
      <c r="AD656" s="767" t="e">
        <f>_xlfn.XLOOKUP(Table1[[#This Row],[Ruta]],#REF!,#REF!)</f>
        <v>#REF!</v>
      </c>
      <c r="AE656" s="767" t="e">
        <f>_xlfn.XLOOKUP(Table1[[#This Row],[Ruta]],#REF!,#REF!)</f>
        <v>#REF!</v>
      </c>
      <c r="AF656" s="767" t="e">
        <f>_xlfn.XLOOKUP(Table1[[#This Row],[Ruta]],#REF!,#REF!)</f>
        <v>#REF!</v>
      </c>
      <c r="AG656" s="767" t="e">
        <f>_xlfn.XLOOKUP(Table1[[#This Row],[Ruta]],#REF!,#REF!)</f>
        <v>#REF!</v>
      </c>
      <c r="AH656" s="763">
        <v>0.73028576035820314</v>
      </c>
      <c r="AI656" s="763">
        <v>0.26971423964179686</v>
      </c>
      <c r="AJ656" s="766">
        <v>0</v>
      </c>
      <c r="AK656" s="768">
        <v>30108</v>
      </c>
      <c r="AL656" s="755">
        <v>16934</v>
      </c>
      <c r="AM656" s="765">
        <v>0.52454497143616297</v>
      </c>
      <c r="AN656" s="766">
        <v>0.52393875788094302</v>
      </c>
      <c r="AO656" s="768">
        <v>0</v>
      </c>
      <c r="AP656" s="759">
        <v>0</v>
      </c>
      <c r="AQ656" s="766">
        <v>0.56244187591337846</v>
      </c>
      <c r="AR656" s="762">
        <v>4365630.42</v>
      </c>
      <c r="AS656" s="760">
        <v>0</v>
      </c>
      <c r="AT656" s="766">
        <v>0</v>
      </c>
      <c r="AU656" s="762">
        <v>0</v>
      </c>
      <c r="AV656" s="763">
        <v>0</v>
      </c>
      <c r="AW656" s="755">
        <v>490</v>
      </c>
      <c r="AX656" s="762">
        <v>257.80267036730902</v>
      </c>
      <c r="AY656" s="760">
        <v>321.40009216103402</v>
      </c>
      <c r="AZ656" s="760">
        <v>63.597421793725005</v>
      </c>
      <c r="BA656" s="753" t="s">
        <v>150</v>
      </c>
      <c r="BB656" s="761">
        <v>378390.90887876262</v>
      </c>
      <c r="BC656" s="769">
        <v>378390.90887876262</v>
      </c>
      <c r="BD656" s="753" t="s">
        <v>150</v>
      </c>
      <c r="BE656" s="757">
        <v>76.030303030303003</v>
      </c>
      <c r="BF656" s="757">
        <v>72.425990467051307</v>
      </c>
      <c r="BG656" s="753" t="s">
        <v>150</v>
      </c>
      <c r="BH656" s="763">
        <v>0.52454497143616297</v>
      </c>
      <c r="BI656" s="763">
        <v>0.49337264070319697</v>
      </c>
      <c r="BJ656" s="753" t="s">
        <v>150</v>
      </c>
      <c r="BK656" s="757">
        <v>522.35265850341602</v>
      </c>
      <c r="BL656" s="757">
        <v>605.59017138979505</v>
      </c>
      <c r="BM656" s="753" t="s">
        <v>152</v>
      </c>
      <c r="BN656" s="759">
        <v>2</v>
      </c>
      <c r="BO656" s="753" t="s">
        <v>161</v>
      </c>
      <c r="BP656" s="753" t="s">
        <v>152</v>
      </c>
      <c r="BQ656" s="757">
        <v>866.26411257633697</v>
      </c>
      <c r="BR656" s="46">
        <v>345</v>
      </c>
      <c r="BS656" s="46">
        <v>22416</v>
      </c>
      <c r="BT656" s="46">
        <v>6667</v>
      </c>
      <c r="BU656" s="46">
        <v>3.3622318884055797</v>
      </c>
      <c r="BV656" s="46">
        <v>19.32463768115942</v>
      </c>
      <c r="BW656" s="46">
        <v>0</v>
      </c>
      <c r="BX656" s="46">
        <v>5323</v>
      </c>
      <c r="BY656" s="46">
        <v>5323</v>
      </c>
      <c r="BZ656" s="46">
        <v>0.79841007949602516</v>
      </c>
      <c r="CA656" s="46">
        <v>0</v>
      </c>
      <c r="CB656" s="46">
        <v>0.79841007949602516</v>
      </c>
      <c r="CC656" s="46">
        <v>9.1495425228738572E-3</v>
      </c>
      <c r="CD656" s="46">
        <v>0</v>
      </c>
      <c r="CE656" s="46">
        <v>1.4999250037498119E-4</v>
      </c>
      <c r="CF656" s="46">
        <v>0.19229038548072599</v>
      </c>
      <c r="CG656" s="46">
        <v>0</v>
      </c>
      <c r="CH656" s="46">
        <v>0</v>
      </c>
      <c r="CI656" s="46">
        <v>2.6766595289079231</v>
      </c>
      <c r="CJ656" s="46">
        <v>0.40149892933618841</v>
      </c>
      <c r="CK656">
        <v>359</v>
      </c>
      <c r="CL656">
        <v>572.30999999999995</v>
      </c>
      <c r="CM656">
        <f t="shared" si="77"/>
        <v>213.30999999999995</v>
      </c>
      <c r="CN656">
        <v>7.69</v>
      </c>
      <c r="CO656">
        <v>9.4499999999999993</v>
      </c>
      <c r="CP656">
        <f t="shared" si="78"/>
        <v>1.7599999999999989</v>
      </c>
      <c r="CQ656">
        <v>846.56</v>
      </c>
      <c r="CR656">
        <v>522.35</v>
      </c>
      <c r="CS656">
        <f t="shared" si="79"/>
        <v>324.20999999999992</v>
      </c>
      <c r="CT656" t="s">
        <v>152</v>
      </c>
      <c r="CU656">
        <v>89.91</v>
      </c>
      <c r="CV656">
        <v>303</v>
      </c>
      <c r="CW656" s="46">
        <v>5323</v>
      </c>
      <c r="CX656" s="46">
        <f t="shared" si="73"/>
        <v>76.641517924103781</v>
      </c>
      <c r="CY656" s="46">
        <v>213.31</v>
      </c>
      <c r="CZ656" s="46">
        <f t="shared" si="74"/>
        <v>79.841007949602513</v>
      </c>
      <c r="DA656" s="46">
        <f t="shared" si="75"/>
        <v>371.57726323377864</v>
      </c>
      <c r="DB656" s="46">
        <v>2556566.7599999998</v>
      </c>
      <c r="DC656" s="46">
        <f t="shared" si="76"/>
        <v>19.169954551466432</v>
      </c>
      <c r="DD656" s="46">
        <v>131895.23000000001</v>
      </c>
      <c r="DE656" s="995">
        <v>5323</v>
      </c>
      <c r="DF656" s="995">
        <v>76.713999999999999</v>
      </c>
      <c r="DG656" s="995">
        <v>208.5</v>
      </c>
      <c r="DH656" s="995">
        <v>79.840999999999994</v>
      </c>
      <c r="DI656" s="995">
        <v>855.62099999999998</v>
      </c>
      <c r="DJ656" s="995">
        <v>5882799</v>
      </c>
      <c r="DK656" s="995">
        <v>44.204999999999998</v>
      </c>
      <c r="DL656" s="995">
        <v>303932.2</v>
      </c>
      <c r="DM656" s="995">
        <v>5323</v>
      </c>
      <c r="DN656" s="995">
        <v>76.932000000000002</v>
      </c>
      <c r="DO656" s="995">
        <v>194</v>
      </c>
      <c r="DP656" s="995">
        <v>79.840999999999994</v>
      </c>
      <c r="DQ656" s="995">
        <v>836.55</v>
      </c>
      <c r="DR656" s="995">
        <v>5739538</v>
      </c>
      <c r="DS656" s="995">
        <v>43.286999999999999</v>
      </c>
      <c r="DT656" s="995">
        <v>296992.09999999998</v>
      </c>
    </row>
    <row r="657" spans="1:124">
      <c r="A657" s="753" t="s">
        <v>94</v>
      </c>
      <c r="B657" s="753" t="s">
        <v>510</v>
      </c>
      <c r="C657" s="753" t="s">
        <v>859</v>
      </c>
      <c r="D657" s="753">
        <v>804423</v>
      </c>
      <c r="E657" s="753" t="s">
        <v>879</v>
      </c>
      <c r="F657" s="753" t="s">
        <v>149</v>
      </c>
      <c r="G657" s="753" t="s">
        <v>150</v>
      </c>
      <c r="H657" s="754" t="s">
        <v>150</v>
      </c>
      <c r="I657" s="755">
        <v>22</v>
      </c>
      <c r="J657" s="756">
        <v>179462.75760000001</v>
      </c>
      <c r="K657" s="757">
        <v>9735.4827750000004</v>
      </c>
      <c r="L657" s="758">
        <v>189198.24037499999</v>
      </c>
      <c r="M657" s="759">
        <v>3785556</v>
      </c>
      <c r="N657" s="760">
        <v>2595145</v>
      </c>
      <c r="O657" s="760">
        <v>1190411</v>
      </c>
      <c r="P657" s="760">
        <v>0</v>
      </c>
      <c r="Q657" s="761">
        <v>8865.4683840749403</v>
      </c>
      <c r="R657" s="762">
        <v>5546.1445717076303</v>
      </c>
      <c r="S657" s="760">
        <v>8925.5115990452596</v>
      </c>
      <c r="T657" s="760">
        <v>1392.7592005967599</v>
      </c>
      <c r="U657" s="760">
        <f>IFERROR(INDEX('Rentabilidad datos'!$N$2:$N$61,MATCH($C657,'Rentabilidad datos'!$C$2:$C$61,0)),"")</f>
        <v>15864.415371349654</v>
      </c>
      <c r="V657" s="761">
        <f>IFERROR(INDEX('Rentabilidad datos'!$O$2:$O$61,MATCH($C657,'Rentabilidad datos'!$C$2:$C$61,0)),"")</f>
        <v>1586.4415371349655</v>
      </c>
      <c r="W657" s="762">
        <f>IFERROR(INDEX('Rentabilidad datos'!$M$2:$M$61,MATCH($C657,'Rentabilidad datos'!$C$2:$C$61,0)),"")</f>
        <v>3060.1995418491324</v>
      </c>
      <c r="X657" s="763">
        <f>IFERROR(INDEX('Rentabilidad datos'!$P$2:$P$61,MATCH($C657,'Rentabilidad datos'!$C$2:$C$61,0)),"")</f>
        <v>0.51841114131281607</v>
      </c>
      <c r="Y657" s="754" t="s">
        <v>211</v>
      </c>
      <c r="Z657" s="764">
        <v>56.872062663185403</v>
      </c>
      <c r="AA657" s="754">
        <v>2</v>
      </c>
      <c r="AB657" s="765">
        <v>0.92839862889361557</v>
      </c>
      <c r="AC657" s="766">
        <v>7.1601371106384371E-2</v>
      </c>
      <c r="AD657" s="767" t="e">
        <f>_xlfn.XLOOKUP(Table1[[#This Row],[Ruta]],#REF!,#REF!)</f>
        <v>#REF!</v>
      </c>
      <c r="AE657" s="767" t="e">
        <f>_xlfn.XLOOKUP(Table1[[#This Row],[Ruta]],#REF!,#REF!)</f>
        <v>#REF!</v>
      </c>
      <c r="AF657" s="767" t="e">
        <f>_xlfn.XLOOKUP(Table1[[#This Row],[Ruta]],#REF!,#REF!)</f>
        <v>#REF!</v>
      </c>
      <c r="AG657" s="767" t="e">
        <f>_xlfn.XLOOKUP(Table1[[#This Row],[Ruta]],#REF!,#REF!)</f>
        <v>#REF!</v>
      </c>
      <c r="AH657" s="763">
        <v>0.68553866327694002</v>
      </c>
      <c r="AI657" s="763">
        <v>0.31446133672305998</v>
      </c>
      <c r="AJ657" s="766">
        <v>0</v>
      </c>
      <c r="AK657" s="768">
        <v>21782</v>
      </c>
      <c r="AL657" s="755">
        <v>11787</v>
      </c>
      <c r="AM657" s="765">
        <v>0.502662749058856</v>
      </c>
      <c r="AN657" s="766">
        <v>0.52393875788094302</v>
      </c>
      <c r="AO657" s="768">
        <v>463.43402416270499</v>
      </c>
      <c r="AP657" s="759">
        <v>231.71701208135249</v>
      </c>
      <c r="AQ657" s="766">
        <v>0.55177288642371458</v>
      </c>
      <c r="AR657" s="762">
        <v>3785555</v>
      </c>
      <c r="AS657" s="760">
        <v>74419.062837840494</v>
      </c>
      <c r="AT657" s="766">
        <v>1.965869280405132E-2</v>
      </c>
      <c r="AU657" s="762">
        <v>52294.476588752797</v>
      </c>
      <c r="AV657" s="763">
        <v>2.3789252276543759E-4</v>
      </c>
      <c r="AW657" s="755">
        <v>426</v>
      </c>
      <c r="AX657" s="762">
        <v>321.16357003478402</v>
      </c>
      <c r="AY657" s="760">
        <v>321.40009216103402</v>
      </c>
      <c r="AZ657" s="760">
        <v>0.23652212625000857</v>
      </c>
      <c r="BA657" s="753" t="s">
        <v>150</v>
      </c>
      <c r="BB657" s="761">
        <v>979.5276196598669</v>
      </c>
      <c r="BC657" s="769">
        <v>53274.004208412662</v>
      </c>
      <c r="BD657" s="753" t="s">
        <v>150</v>
      </c>
      <c r="BE657" s="757">
        <v>56.872062663185403</v>
      </c>
      <c r="BF657" s="757">
        <v>72.425990467051307</v>
      </c>
      <c r="BG657" s="753" t="s">
        <v>152</v>
      </c>
      <c r="BH657" s="763">
        <v>0.502662749058856</v>
      </c>
      <c r="BI657" s="763">
        <v>0.49337264070319697</v>
      </c>
      <c r="BJ657" s="753" t="s">
        <v>150</v>
      </c>
      <c r="BK657" s="757">
        <v>443.087213992974</v>
      </c>
      <c r="BL657" s="757">
        <v>605.59017138979505</v>
      </c>
      <c r="BM657" s="753" t="s">
        <v>152</v>
      </c>
      <c r="BN657" s="759">
        <v>1</v>
      </c>
      <c r="BO657" s="753" t="s">
        <v>155</v>
      </c>
      <c r="BP657" s="753" t="s">
        <v>152</v>
      </c>
      <c r="BQ657" s="757">
        <v>4712.9666803261798</v>
      </c>
      <c r="BR657" s="46">
        <v>857</v>
      </c>
      <c r="BS657" s="46">
        <v>82260</v>
      </c>
      <c r="BT657" s="46">
        <v>24241</v>
      </c>
      <c r="BU657" s="46">
        <v>3.3934243636813664</v>
      </c>
      <c r="BV657" s="46">
        <v>28.285880980163359</v>
      </c>
      <c r="BW657" s="46">
        <v>0</v>
      </c>
      <c r="BX657" s="46">
        <v>0</v>
      </c>
      <c r="BY657" s="46">
        <v>0</v>
      </c>
      <c r="BZ657" s="46">
        <v>0</v>
      </c>
      <c r="CA657" s="46">
        <v>0</v>
      </c>
      <c r="CB657" s="46">
        <v>0</v>
      </c>
      <c r="CC657" s="46">
        <v>0.1150117569407203</v>
      </c>
      <c r="CD657" s="46">
        <v>0.46738995916010068</v>
      </c>
      <c r="CE657" s="46">
        <v>0</v>
      </c>
      <c r="CF657" s="46">
        <v>0.41759828389917908</v>
      </c>
      <c r="CG657" s="46">
        <v>0</v>
      </c>
      <c r="CH657" s="46">
        <v>0</v>
      </c>
      <c r="CI657" s="46">
        <v>3.3552151714077314</v>
      </c>
      <c r="CJ657" s="46">
        <v>0.1458789204959883</v>
      </c>
      <c r="CK657">
        <v>329</v>
      </c>
      <c r="CL657">
        <v>329</v>
      </c>
      <c r="CM657">
        <f t="shared" si="77"/>
        <v>0</v>
      </c>
      <c r="CO657">
        <v>9.4499999999999993</v>
      </c>
      <c r="CP657">
        <f t="shared" si="78"/>
        <v>9.4499999999999993</v>
      </c>
      <c r="CS657">
        <f t="shared" si="79"/>
        <v>0</v>
      </c>
      <c r="CV657">
        <v>0</v>
      </c>
      <c r="CW657" s="46">
        <v>0</v>
      </c>
      <c r="CX657" s="46">
        <f t="shared" si="73"/>
        <v>0</v>
      </c>
      <c r="CY657" s="46">
        <v>0</v>
      </c>
      <c r="CZ657" s="46">
        <f t="shared" si="74"/>
        <v>0</v>
      </c>
      <c r="DA657" s="46">
        <f t="shared" si="75"/>
        <v>0</v>
      </c>
      <c r="DB657" s="46">
        <v>0</v>
      </c>
      <c r="DC657" s="46">
        <f t="shared" si="76"/>
        <v>0</v>
      </c>
      <c r="DD657" s="46">
        <v>0</v>
      </c>
      <c r="DE657" s="995">
        <v>0</v>
      </c>
      <c r="DF657" s="995">
        <v>0</v>
      </c>
      <c r="DG657" s="995">
        <v>0</v>
      </c>
      <c r="DH657" s="995">
        <v>0</v>
      </c>
      <c r="DI657" s="995">
        <v>105.73399999999999</v>
      </c>
      <c r="DJ657" s="995">
        <v>2563107</v>
      </c>
      <c r="DK657" s="995">
        <v>5.4740000000000002</v>
      </c>
      <c r="DL657" s="995">
        <v>132691.1</v>
      </c>
      <c r="DM657" s="995">
        <v>0</v>
      </c>
      <c r="DN657" s="995">
        <v>0</v>
      </c>
      <c r="DO657" s="995">
        <v>0</v>
      </c>
      <c r="DP657" s="995">
        <v>0</v>
      </c>
      <c r="DQ657" s="995">
        <v>105.73399999999999</v>
      </c>
      <c r="DR657" s="995">
        <v>2563107</v>
      </c>
      <c r="DS657" s="995">
        <v>5.4740000000000002</v>
      </c>
      <c r="DT657" s="995">
        <v>132691.1</v>
      </c>
    </row>
    <row r="658" spans="1:124">
      <c r="A658" s="753" t="s">
        <v>94</v>
      </c>
      <c r="B658" s="753" t="s">
        <v>510</v>
      </c>
      <c r="C658" s="753" t="s">
        <v>859</v>
      </c>
      <c r="D658" s="753">
        <v>804424</v>
      </c>
      <c r="E658" s="753" t="s">
        <v>880</v>
      </c>
      <c r="F658" s="753" t="s">
        <v>149</v>
      </c>
      <c r="G658" s="753" t="s">
        <v>150</v>
      </c>
      <c r="H658" s="754" t="s">
        <v>150</v>
      </c>
      <c r="I658" s="755">
        <v>22</v>
      </c>
      <c r="J658" s="756">
        <v>224126.789599999</v>
      </c>
      <c r="K658" s="757">
        <v>10669.148823</v>
      </c>
      <c r="L658" s="758">
        <v>234795.938422999</v>
      </c>
      <c r="M658" s="759">
        <v>4415461</v>
      </c>
      <c r="N658" s="760">
        <v>3247630</v>
      </c>
      <c r="O658" s="760">
        <v>1167831</v>
      </c>
      <c r="P658" s="760">
        <v>0</v>
      </c>
      <c r="Q658" s="761">
        <v>10127.2051605505</v>
      </c>
      <c r="R658" s="762">
        <v>5546.1445717076303</v>
      </c>
      <c r="S658" s="760">
        <v>8925.5115990452596</v>
      </c>
      <c r="T658" s="760">
        <v>1392.7592005967599</v>
      </c>
      <c r="U658" s="760">
        <f>IFERROR(INDEX('Rentabilidad datos'!$N$2:$N$61,MATCH($C658,'Rentabilidad datos'!$C$2:$C$61,0)),"")</f>
        <v>15864.415371349654</v>
      </c>
      <c r="V658" s="761">
        <f>IFERROR(INDEX('Rentabilidad datos'!$O$2:$O$61,MATCH($C658,'Rentabilidad datos'!$C$2:$C$61,0)),"")</f>
        <v>1586.4415371349655</v>
      </c>
      <c r="W658" s="762">
        <f>IFERROR(INDEX('Rentabilidad datos'!$M$2:$M$61,MATCH($C658,'Rentabilidad datos'!$C$2:$C$61,0)),"")</f>
        <v>3060.1995418491324</v>
      </c>
      <c r="X658" s="763">
        <f>IFERROR(INDEX('Rentabilidad datos'!$P$2:$P$61,MATCH($C658,'Rentabilidad datos'!$C$2:$C$61,0)),"")</f>
        <v>0.51841114131281607</v>
      </c>
      <c r="Y658" s="754" t="s">
        <v>211</v>
      </c>
      <c r="Z658" s="764">
        <v>89.2224770642202</v>
      </c>
      <c r="AA658" s="754">
        <v>2</v>
      </c>
      <c r="AB658" s="765">
        <v>0.92816559811082011</v>
      </c>
      <c r="AC658" s="766">
        <v>7.1834401889179861E-2</v>
      </c>
      <c r="AD658" s="767" t="e">
        <f>_xlfn.XLOOKUP(Table1[[#This Row],[Ruta]],#REF!,#REF!)</f>
        <v>#REF!</v>
      </c>
      <c r="AE658" s="767" t="e">
        <f>_xlfn.XLOOKUP(Table1[[#This Row],[Ruta]],#REF!,#REF!)</f>
        <v>#REF!</v>
      </c>
      <c r="AF658" s="767" t="e">
        <f>_xlfn.XLOOKUP(Table1[[#This Row],[Ruta]],#REF!,#REF!)</f>
        <v>#REF!</v>
      </c>
      <c r="AG658" s="767" t="e">
        <f>_xlfn.XLOOKUP(Table1[[#This Row],[Ruta]],#REF!,#REF!)</f>
        <v>#REF!</v>
      </c>
      <c r="AH658" s="763">
        <v>0.73551323406548041</v>
      </c>
      <c r="AI658" s="763">
        <v>0.26448676593451964</v>
      </c>
      <c r="AJ658" s="766">
        <v>0</v>
      </c>
      <c r="AK658" s="768">
        <v>38901</v>
      </c>
      <c r="AL658" s="755">
        <v>20126</v>
      </c>
      <c r="AM658" s="765">
        <v>0.51736459216986697</v>
      </c>
      <c r="AN658" s="766">
        <v>0.52393875788094302</v>
      </c>
      <c r="AO658" s="768">
        <v>255.741620326575</v>
      </c>
      <c r="AP658" s="759">
        <v>127.8708101632875</v>
      </c>
      <c r="AQ658" s="766">
        <v>0.52065167502540521</v>
      </c>
      <c r="AR658" s="762">
        <v>4415461.45</v>
      </c>
      <c r="AS658" s="760">
        <v>28053.693374553499</v>
      </c>
      <c r="AT658" s="766">
        <v>6.353513373908745E-3</v>
      </c>
      <c r="AU658" s="762">
        <v>19713.406155091656</v>
      </c>
      <c r="AV658" s="763">
        <v>8.9678150130736514E-5</v>
      </c>
      <c r="AW658" s="755">
        <v>459</v>
      </c>
      <c r="AX658" s="762">
        <v>219.39090976845901</v>
      </c>
      <c r="AY658" s="760">
        <v>321.40009216103402</v>
      </c>
      <c r="AZ658" s="760">
        <v>102.00918239257501</v>
      </c>
      <c r="BA658" s="753" t="s">
        <v>150</v>
      </c>
      <c r="BB658" s="761">
        <v>721337.25575212296</v>
      </c>
      <c r="BC658" s="769">
        <v>741050.66190721467</v>
      </c>
      <c r="BD658" s="753" t="s">
        <v>150</v>
      </c>
      <c r="BE658" s="757">
        <v>89.2224770642202</v>
      </c>
      <c r="BF658" s="757">
        <v>72.425990467051307</v>
      </c>
      <c r="BG658" s="753" t="s">
        <v>150</v>
      </c>
      <c r="BH658" s="763">
        <v>0.51736459216986697</v>
      </c>
      <c r="BI658" s="763">
        <v>0.49337264070319697</v>
      </c>
      <c r="BJ658" s="753" t="s">
        <v>150</v>
      </c>
      <c r="BK658" s="757">
        <v>538.52279454816301</v>
      </c>
      <c r="BL658" s="757">
        <v>605.59017138979505</v>
      </c>
      <c r="BM658" s="753" t="s">
        <v>152</v>
      </c>
      <c r="BN658" s="759">
        <v>2</v>
      </c>
      <c r="BO658" s="753" t="s">
        <v>161</v>
      </c>
      <c r="BP658" s="753" t="s">
        <v>152</v>
      </c>
      <c r="BQ658" s="757">
        <v>0</v>
      </c>
      <c r="BR658" s="46">
        <v>392</v>
      </c>
      <c r="BS658" s="46">
        <v>30474</v>
      </c>
      <c r="BT658" s="46">
        <v>9207</v>
      </c>
      <c r="BU658" s="46">
        <v>3.3098729227761488</v>
      </c>
      <c r="BV658" s="46">
        <v>23.487244897959183</v>
      </c>
      <c r="BW658" s="46">
        <v>0</v>
      </c>
      <c r="BX658" s="46">
        <v>1828</v>
      </c>
      <c r="BY658" s="46">
        <v>1828</v>
      </c>
      <c r="BZ658" s="46">
        <v>0.19854458564135982</v>
      </c>
      <c r="CA658" s="46">
        <v>0</v>
      </c>
      <c r="CB658" s="46">
        <v>0.19854458564135979</v>
      </c>
      <c r="CC658" s="46">
        <v>0.1531443466927338</v>
      </c>
      <c r="CD658" s="46">
        <v>0</v>
      </c>
      <c r="CE658" s="46">
        <v>2.9434126208319755E-2</v>
      </c>
      <c r="CF658" s="46">
        <v>0.61876832844574781</v>
      </c>
      <c r="CG658" s="46">
        <v>0</v>
      </c>
      <c r="CH658" s="46">
        <v>1.0861301183881829E-4</v>
      </c>
      <c r="CI658" s="46">
        <v>2.6908184025726851</v>
      </c>
      <c r="CJ658" s="46">
        <v>0.22970400997571699</v>
      </c>
      <c r="CK658">
        <v>347</v>
      </c>
      <c r="CL658">
        <v>401.12</v>
      </c>
      <c r="CM658">
        <f t="shared" si="77"/>
        <v>54.120000000000005</v>
      </c>
      <c r="CN658">
        <v>8.02</v>
      </c>
      <c r="CO658">
        <v>9.4499999999999993</v>
      </c>
      <c r="CP658">
        <f t="shared" si="78"/>
        <v>1.4299999999999997</v>
      </c>
      <c r="CQ658">
        <v>846.56</v>
      </c>
      <c r="CR658">
        <v>538.52</v>
      </c>
      <c r="CS658">
        <f t="shared" si="79"/>
        <v>308.03999999999996</v>
      </c>
      <c r="CT658" t="s">
        <v>152</v>
      </c>
      <c r="CU658">
        <v>84.9</v>
      </c>
      <c r="CV658">
        <v>175</v>
      </c>
      <c r="CW658" s="46">
        <v>1828</v>
      </c>
      <c r="CX658" s="46">
        <f t="shared" si="73"/>
        <v>19.2666449440643</v>
      </c>
      <c r="CY658" s="46">
        <v>54.12</v>
      </c>
      <c r="CZ658" s="46">
        <f t="shared" si="74"/>
        <v>19.854458564135982</v>
      </c>
      <c r="DA658" s="46">
        <f t="shared" si="75"/>
        <v>49.648033931101203</v>
      </c>
      <c r="DB658" s="46">
        <v>459796.4</v>
      </c>
      <c r="DC658" s="46">
        <f t="shared" si="76"/>
        <v>2.5419333730693481</v>
      </c>
      <c r="DD658" s="46">
        <v>23541.15</v>
      </c>
      <c r="DE658" s="995">
        <v>1828</v>
      </c>
      <c r="DF658" s="995">
        <v>19.254999999999999</v>
      </c>
      <c r="DG658" s="995">
        <v>55.2</v>
      </c>
      <c r="DH658" s="995">
        <v>19.853999999999999</v>
      </c>
      <c r="DI658" s="995">
        <v>405.86200000000002</v>
      </c>
      <c r="DJ658" s="995">
        <v>3759169</v>
      </c>
      <c r="DK658" s="995">
        <v>21.024999999999999</v>
      </c>
      <c r="DL658" s="995">
        <v>194740.3</v>
      </c>
      <c r="DM658" s="995">
        <v>1828</v>
      </c>
      <c r="DN658" s="995">
        <v>19.335000000000001</v>
      </c>
      <c r="DO658" s="995">
        <v>47.8</v>
      </c>
      <c r="DP658" s="995">
        <v>19.853999999999999</v>
      </c>
      <c r="DQ658" s="995">
        <v>399.18</v>
      </c>
      <c r="DR658" s="995">
        <v>3694337</v>
      </c>
      <c r="DS658" s="995">
        <v>20.686</v>
      </c>
      <c r="DT658" s="995">
        <v>191447.1</v>
      </c>
    </row>
    <row r="659" spans="1:124">
      <c r="A659" s="753" t="s">
        <v>94</v>
      </c>
      <c r="B659" s="753" t="s">
        <v>510</v>
      </c>
      <c r="C659" s="753" t="s">
        <v>859</v>
      </c>
      <c r="D659" s="753">
        <v>804425</v>
      </c>
      <c r="E659" s="753" t="s">
        <v>881</v>
      </c>
      <c r="F659" s="753" t="s">
        <v>149</v>
      </c>
      <c r="G659" s="753" t="s">
        <v>150</v>
      </c>
      <c r="H659" s="754" t="s">
        <v>150</v>
      </c>
      <c r="I659" s="755">
        <v>22</v>
      </c>
      <c r="J659" s="756">
        <v>274144.86959999998</v>
      </c>
      <c r="K659" s="757">
        <v>10832.495800000001</v>
      </c>
      <c r="L659" s="758">
        <v>284977.36540000001</v>
      </c>
      <c r="M659" s="759">
        <v>5410809</v>
      </c>
      <c r="N659" s="760">
        <v>3988070</v>
      </c>
      <c r="O659" s="760">
        <v>1422739</v>
      </c>
      <c r="P659" s="760">
        <v>0</v>
      </c>
      <c r="Q659" s="761">
        <v>12269.403129251699</v>
      </c>
      <c r="R659" s="762">
        <v>5546.1445717076303</v>
      </c>
      <c r="S659" s="760">
        <v>8925.5115990452596</v>
      </c>
      <c r="T659" s="760">
        <v>1392.7592005967599</v>
      </c>
      <c r="U659" s="760">
        <f>IFERROR(INDEX('Rentabilidad datos'!$N$2:$N$61,MATCH($C659,'Rentabilidad datos'!$C$2:$C$61,0)),"")</f>
        <v>15864.415371349654</v>
      </c>
      <c r="V659" s="761">
        <f>IFERROR(INDEX('Rentabilidad datos'!$O$2:$O$61,MATCH($C659,'Rentabilidad datos'!$C$2:$C$61,0)),"")</f>
        <v>1586.4415371349655</v>
      </c>
      <c r="W659" s="762">
        <f>IFERROR(INDEX('Rentabilidad datos'!$M$2:$M$61,MATCH($C659,'Rentabilidad datos'!$C$2:$C$61,0)),"")</f>
        <v>3060.1995418491324</v>
      </c>
      <c r="X659" s="763">
        <f>IFERROR(INDEX('Rentabilidad datos'!$P$2:$P$61,MATCH($C659,'Rentabilidad datos'!$C$2:$C$61,0)),"")</f>
        <v>0.51841114131281607</v>
      </c>
      <c r="Y659" s="754" t="s">
        <v>211</v>
      </c>
      <c r="Z659" s="764">
        <v>70.174603174603206</v>
      </c>
      <c r="AA659" s="754">
        <v>2</v>
      </c>
      <c r="AB659" s="765">
        <v>0.94995295527896106</v>
      </c>
      <c r="AC659" s="766">
        <v>5.0047044721038943E-2</v>
      </c>
      <c r="AD659" s="767" t="e">
        <f>_xlfn.XLOOKUP(Table1[[#This Row],[Ruta]],#REF!,#REF!)</f>
        <v>#REF!</v>
      </c>
      <c r="AE659" s="767" t="e">
        <f>_xlfn.XLOOKUP(Table1[[#This Row],[Ruta]],#REF!,#REF!)</f>
        <v>#REF!</v>
      </c>
      <c r="AF659" s="767" t="e">
        <f>_xlfn.XLOOKUP(Table1[[#This Row],[Ruta]],#REF!,#REF!)</f>
        <v>#REF!</v>
      </c>
      <c r="AG659" s="767" t="e">
        <f>_xlfn.XLOOKUP(Table1[[#This Row],[Ruta]],#REF!,#REF!)</f>
        <v>#REF!</v>
      </c>
      <c r="AH659" s="763">
        <v>0.73705614077303416</v>
      </c>
      <c r="AI659" s="763">
        <v>0.26294385922696589</v>
      </c>
      <c r="AJ659" s="766">
        <v>0</v>
      </c>
      <c r="AK659" s="768">
        <v>30947</v>
      </c>
      <c r="AL659" s="755">
        <v>15006</v>
      </c>
      <c r="AM659" s="765">
        <v>0.48489352764403698</v>
      </c>
      <c r="AN659" s="766">
        <v>0.52393875788094302</v>
      </c>
      <c r="AO659" s="768">
        <v>1208.3327401415499</v>
      </c>
      <c r="AP659" s="759">
        <v>604.16637007077497</v>
      </c>
      <c r="AQ659" s="766">
        <v>0.50441614276248992</v>
      </c>
      <c r="AR659" s="762">
        <v>5410806.7800000003</v>
      </c>
      <c r="AS659" s="760">
        <v>217848.02688437549</v>
      </c>
      <c r="AT659" s="766">
        <v>4.0261653343380978E-2</v>
      </c>
      <c r="AU659" s="762">
        <v>153082.39727010176</v>
      </c>
      <c r="AV659" s="763">
        <v>6.9638631176964191E-4</v>
      </c>
      <c r="AW659" s="755">
        <v>351</v>
      </c>
      <c r="AX659" s="762">
        <v>360.57622151139498</v>
      </c>
      <c r="AY659" s="760">
        <v>321.40009216103402</v>
      </c>
      <c r="AZ659" s="760">
        <v>0</v>
      </c>
      <c r="BA659" s="753" t="s">
        <v>152</v>
      </c>
      <c r="BB659" s="761">
        <v>0</v>
      </c>
      <c r="BC659" s="769">
        <v>153082.39727010176</v>
      </c>
      <c r="BD659" s="753" t="s">
        <v>150</v>
      </c>
      <c r="BE659" s="757">
        <v>70.174603174603206</v>
      </c>
      <c r="BF659" s="757">
        <v>72.425990467051307</v>
      </c>
      <c r="BG659" s="753" t="s">
        <v>152</v>
      </c>
      <c r="BH659" s="763">
        <v>0.48489352764403698</v>
      </c>
      <c r="BI659" s="763">
        <v>0.49337264070319697</v>
      </c>
      <c r="BJ659" s="753" t="s">
        <v>152</v>
      </c>
      <c r="BK659" s="757">
        <v>646.20717777777702</v>
      </c>
      <c r="BL659" s="757">
        <v>605.59017138979505</v>
      </c>
      <c r="BM659" s="753" t="s">
        <v>150</v>
      </c>
      <c r="BN659" s="759">
        <v>1</v>
      </c>
      <c r="BO659" s="753" t="s">
        <v>155</v>
      </c>
      <c r="BP659" s="753" t="s">
        <v>152</v>
      </c>
      <c r="BQ659" s="757">
        <v>7285.48597251724</v>
      </c>
      <c r="BR659" s="46">
        <v>380</v>
      </c>
      <c r="BS659" s="46">
        <v>33199</v>
      </c>
      <c r="BT659" s="46">
        <v>9995</v>
      </c>
      <c r="BU659" s="46">
        <v>3.321560780390195</v>
      </c>
      <c r="BV659" s="46">
        <v>26.30263157894737</v>
      </c>
      <c r="BW659" s="46">
        <v>0</v>
      </c>
      <c r="BX659" s="46">
        <v>2526</v>
      </c>
      <c r="BY659" s="46">
        <v>2526</v>
      </c>
      <c r="BZ659" s="46">
        <v>0.25272636318159081</v>
      </c>
      <c r="CA659" s="46">
        <v>0</v>
      </c>
      <c r="CB659" s="46">
        <v>0.25272636318159081</v>
      </c>
      <c r="CC659" s="46">
        <v>0.71695847923961986</v>
      </c>
      <c r="CD659" s="46">
        <v>0</v>
      </c>
      <c r="CE659" s="46">
        <v>0</v>
      </c>
      <c r="CF659" s="46">
        <v>3.0215107553776887E-2</v>
      </c>
      <c r="CG659" s="46">
        <v>0</v>
      </c>
      <c r="CH659" s="46">
        <v>1.000500250125063E-4</v>
      </c>
      <c r="CI659" s="46">
        <v>2.259104189885238</v>
      </c>
      <c r="CJ659" s="46">
        <v>0.33133528118316807</v>
      </c>
      <c r="CK659">
        <v>444</v>
      </c>
      <c r="CL659">
        <v>512.75</v>
      </c>
      <c r="CM659">
        <f t="shared" si="77"/>
        <v>68.75</v>
      </c>
      <c r="CN659">
        <v>13.47</v>
      </c>
      <c r="CO659">
        <v>9.4499999999999993</v>
      </c>
      <c r="CP659">
        <f t="shared" si="78"/>
        <v>-4.0200000000000014</v>
      </c>
      <c r="CQ659">
        <v>846.56</v>
      </c>
      <c r="CR659">
        <v>646.21</v>
      </c>
      <c r="CS659">
        <f t="shared" si="79"/>
        <v>200.34999999999991</v>
      </c>
      <c r="CT659" t="s">
        <v>150</v>
      </c>
      <c r="CU659">
        <v>147.01</v>
      </c>
      <c r="CV659">
        <v>165</v>
      </c>
      <c r="CW659" s="46">
        <v>2526</v>
      </c>
      <c r="CX659" s="46">
        <f t="shared" si="73"/>
        <v>24.5847923961981</v>
      </c>
      <c r="CY659" s="46">
        <v>68.75</v>
      </c>
      <c r="CZ659" s="46">
        <f t="shared" si="74"/>
        <v>25.27263631815908</v>
      </c>
      <c r="DA659" s="46">
        <f t="shared" si="75"/>
        <v>112.58591777418954</v>
      </c>
      <c r="DB659" s="46">
        <v>1133036.53</v>
      </c>
      <c r="DC659" s="46">
        <f t="shared" si="76"/>
        <v>5.7078991429636075</v>
      </c>
      <c r="DD659" s="46">
        <v>57442.87</v>
      </c>
      <c r="DE659" s="995">
        <v>2526</v>
      </c>
      <c r="DF659" s="995">
        <v>24.585000000000001</v>
      </c>
      <c r="DG659" s="995">
        <v>68.8</v>
      </c>
      <c r="DH659" s="995">
        <v>25.273</v>
      </c>
      <c r="DI659" s="995">
        <v>447.90899999999999</v>
      </c>
      <c r="DJ659" s="995">
        <v>4507640</v>
      </c>
      <c r="DK659" s="995">
        <v>22.821999999999999</v>
      </c>
      <c r="DL659" s="995">
        <v>229674.3</v>
      </c>
      <c r="DM659" s="995">
        <v>2526</v>
      </c>
      <c r="DN659" s="995">
        <v>24.585000000000001</v>
      </c>
      <c r="DO659" s="995">
        <v>68.8</v>
      </c>
      <c r="DP659" s="995">
        <v>25.273</v>
      </c>
      <c r="DQ659" s="995">
        <v>447.90899999999999</v>
      </c>
      <c r="DR659" s="995">
        <v>4507640</v>
      </c>
      <c r="DS659" s="995">
        <v>22.821999999999999</v>
      </c>
      <c r="DT659" s="995">
        <v>229674.3</v>
      </c>
    </row>
    <row r="660" spans="1:124">
      <c r="A660" s="42" t="s">
        <v>94</v>
      </c>
      <c r="B660" s="42" t="s">
        <v>882</v>
      </c>
      <c r="C660" s="42" t="s">
        <v>883</v>
      </c>
      <c r="D660" s="42">
        <v>831399</v>
      </c>
      <c r="E660" s="42" t="s">
        <v>884</v>
      </c>
      <c r="F660" s="42" t="s">
        <v>149</v>
      </c>
      <c r="G660" s="42" t="s">
        <v>150</v>
      </c>
      <c r="H660" s="43" t="s">
        <v>150</v>
      </c>
      <c r="I660" s="44">
        <v>5</v>
      </c>
      <c r="J660" s="45">
        <v>10186.7808</v>
      </c>
      <c r="K660" s="46">
        <v>11218.051949999999</v>
      </c>
      <c r="L660" s="47">
        <v>21404.832750000001</v>
      </c>
      <c r="M660" s="48">
        <v>1348926</v>
      </c>
      <c r="N660" s="49">
        <v>120794</v>
      </c>
      <c r="O660" s="49">
        <v>1219171</v>
      </c>
      <c r="P660" s="49">
        <v>8961</v>
      </c>
      <c r="Q660" s="50">
        <v>15764.2490588235</v>
      </c>
      <c r="R660" s="51">
        <v>1305.17803683176</v>
      </c>
      <c r="S660" s="49">
        <v>2163.7771071941702</v>
      </c>
      <c r="T660" s="49">
        <v>564.71738923060605</v>
      </c>
      <c r="U660" s="49">
        <f>IFERROR(INDEX('Rentabilidad datos'!$N$2:$N$61,MATCH($C660,'Rentabilidad datos'!$C$2:$C$61,0)),"")</f>
        <v>4033.6725332565302</v>
      </c>
      <c r="V660" s="50">
        <f>IFERROR(INDEX('Rentabilidad datos'!$O$2:$O$61,MATCH($C660,'Rentabilidad datos'!$C$2:$C$61,0)),"")</f>
        <v>1008.4181333141325</v>
      </c>
      <c r="W660" s="51">
        <f>IFERROR(INDEX('Rentabilidad datos'!$M$2:$M$61,MATCH($C660,'Rentabilidad datos'!$C$2:$C$61,0)),"")</f>
        <v>3091.5774734715137</v>
      </c>
      <c r="X660" s="52">
        <f>IFERROR(INDEX('Rentabilidad datos'!$P$2:$P$61,MATCH($C660,'Rentabilidad datos'!$C$2:$C$61,0)),"")</f>
        <v>0.32618239134139693</v>
      </c>
      <c r="Y660" s="43" t="s">
        <v>171</v>
      </c>
      <c r="Z660" s="53">
        <v>98.634146341463406</v>
      </c>
      <c r="AA660" s="43">
        <v>1</v>
      </c>
      <c r="AB660" s="54">
        <v>1</v>
      </c>
      <c r="AC660" s="55">
        <v>0</v>
      </c>
      <c r="AD660" s="752" t="e">
        <f>_xlfn.XLOOKUP(Table1[[#This Row],[Ruta]],#REF!,#REF!)</f>
        <v>#REF!</v>
      </c>
      <c r="AE660" s="752" t="e">
        <f>_xlfn.XLOOKUP(Table1[[#This Row],[Ruta]],#REF!,#REF!)</f>
        <v>#REF!</v>
      </c>
      <c r="AF660" s="752" t="e">
        <f>_xlfn.XLOOKUP(Table1[[#This Row],[Ruta]],#REF!,#REF!)</f>
        <v>#REF!</v>
      </c>
      <c r="AG660" s="752" t="e">
        <f>_xlfn.XLOOKUP(Table1[[#This Row],[Ruta]],#REF!,#REF!)</f>
        <v>#REF!</v>
      </c>
      <c r="AH660" s="52">
        <v>8.9548277666825313E-2</v>
      </c>
      <c r="AI660" s="52">
        <v>0.90380865962995749</v>
      </c>
      <c r="AJ660" s="55">
        <v>6.6430627032172266E-3</v>
      </c>
      <c r="AK660" s="56">
        <v>8088</v>
      </c>
      <c r="AL660" s="44">
        <v>1782</v>
      </c>
      <c r="AM660" s="54">
        <v>0.210187932739862</v>
      </c>
      <c r="AN660" s="55">
        <v>0.71518626972506905</v>
      </c>
      <c r="AO660" s="56">
        <v>4084.4265495363602</v>
      </c>
      <c r="AP660" s="48">
        <v>2042.2132747681801</v>
      </c>
      <c r="AQ660" s="55">
        <v>0.47282557798815278</v>
      </c>
      <c r="AR660" s="51">
        <v>1339961.17</v>
      </c>
      <c r="AS660" s="49">
        <v>1535626.5370639199</v>
      </c>
      <c r="AT660" s="55">
        <v>1.1460231620472405</v>
      </c>
      <c r="AU660" s="51">
        <v>1079088.9179368089</v>
      </c>
      <c r="AV660" s="52">
        <v>4.9088776047033784E-3</v>
      </c>
      <c r="AW660" s="44">
        <v>33</v>
      </c>
      <c r="AX660" s="51">
        <v>751.94229517396195</v>
      </c>
      <c r="AY660" s="49">
        <v>355.75402260525601</v>
      </c>
      <c r="AZ660" s="49">
        <v>0</v>
      </c>
      <c r="BA660" s="42" t="s">
        <v>152</v>
      </c>
      <c r="BB660" s="50">
        <v>0</v>
      </c>
      <c r="BC660" s="57">
        <v>1079088.9179368089</v>
      </c>
      <c r="BD660" s="42" t="s">
        <v>150</v>
      </c>
      <c r="BE660" s="46">
        <v>98.634146341463406</v>
      </c>
      <c r="BF660" s="46">
        <v>76.398682366133997</v>
      </c>
      <c r="BG660" s="42" t="s">
        <v>150</v>
      </c>
      <c r="BH660" s="52">
        <v>0.210187932739862</v>
      </c>
      <c r="BI660" s="52">
        <v>0.48060858799040601</v>
      </c>
      <c r="BJ660" s="42" t="s">
        <v>152</v>
      </c>
      <c r="BK660" s="46">
        <v>251.82156176470599</v>
      </c>
      <c r="BL660" s="46">
        <v>435.856244475457</v>
      </c>
      <c r="BM660" s="42" t="s">
        <v>152</v>
      </c>
      <c r="BN660" s="48">
        <v>1</v>
      </c>
      <c r="BO660" s="42" t="s">
        <v>155</v>
      </c>
      <c r="BP660" s="42" t="s">
        <v>152</v>
      </c>
      <c r="BQ660" s="46">
        <v>0</v>
      </c>
      <c r="BR660" s="46" t="e">
        <v>#N/A</v>
      </c>
      <c r="BS660" s="46" t="e">
        <v>#N/A</v>
      </c>
      <c r="BT660" s="46" t="e">
        <v>#N/A</v>
      </c>
      <c r="BU660" s="46" t="e">
        <v>#N/A</v>
      </c>
      <c r="BV660" s="46" t="e">
        <v>#N/A</v>
      </c>
      <c r="BW660" s="46" t="e">
        <v>#N/A</v>
      </c>
      <c r="BX660" s="46" t="e">
        <v>#N/A</v>
      </c>
      <c r="BY660" s="46" t="e">
        <v>#N/A</v>
      </c>
      <c r="BZ660" s="46" t="e">
        <v>#N/A</v>
      </c>
      <c r="CA660" s="46" t="e">
        <v>#N/A</v>
      </c>
      <c r="CB660" s="46" t="e">
        <v>#N/A</v>
      </c>
      <c r="CC660" s="46" t="e">
        <v>#N/A</v>
      </c>
      <c r="CD660" s="46" t="e">
        <v>#N/A</v>
      </c>
      <c r="CE660" s="46" t="e">
        <v>#N/A</v>
      </c>
      <c r="CF660" s="46" t="e">
        <v>#N/A</v>
      </c>
      <c r="CG660" s="46" t="e">
        <v>#N/A</v>
      </c>
      <c r="CH660" s="46" t="e">
        <v>#N/A</v>
      </c>
      <c r="CI660" s="46" t="e">
        <v>#N/A</v>
      </c>
      <c r="CJ660" s="46" t="e">
        <v>#N/A</v>
      </c>
      <c r="CM660">
        <f t="shared" si="77"/>
        <v>0</v>
      </c>
      <c r="CP660">
        <f t="shared" si="78"/>
        <v>0</v>
      </c>
      <c r="CS660">
        <f t="shared" si="79"/>
        <v>0</v>
      </c>
      <c r="CW660" s="46"/>
      <c r="CX660" s="46" t="e">
        <f t="shared" si="73"/>
        <v>#N/A</v>
      </c>
      <c r="CY660" s="46"/>
      <c r="CZ660" s="46" t="e">
        <f t="shared" si="74"/>
        <v>#N/A</v>
      </c>
      <c r="DA660" s="46" t="e">
        <f t="shared" si="75"/>
        <v>#N/A</v>
      </c>
      <c r="DB660" s="46"/>
      <c r="DC660" s="46" t="e">
        <f t="shared" si="76"/>
        <v>#N/A</v>
      </c>
      <c r="DD660" s="46"/>
      <c r="DE660" s="995" t="s">
        <v>194</v>
      </c>
      <c r="DF660" s="995" t="s">
        <v>194</v>
      </c>
      <c r="DG660" s="995" t="s">
        <v>194</v>
      </c>
      <c r="DH660" s="995" t="s">
        <v>194</v>
      </c>
      <c r="DI660" s="995" t="s">
        <v>194</v>
      </c>
      <c r="DJ660" s="995" t="s">
        <v>194</v>
      </c>
      <c r="DK660" s="995" t="s">
        <v>194</v>
      </c>
      <c r="DL660" s="995" t="s">
        <v>194</v>
      </c>
      <c r="DM660" s="995" t="s">
        <v>194</v>
      </c>
      <c r="DN660" s="995" t="s">
        <v>194</v>
      </c>
      <c r="DO660" s="995" t="s">
        <v>194</v>
      </c>
      <c r="DP660" s="995" t="s">
        <v>194</v>
      </c>
      <c r="DQ660" s="995" t="s">
        <v>194</v>
      </c>
      <c r="DR660" s="995" t="s">
        <v>194</v>
      </c>
      <c r="DS660" s="995" t="s">
        <v>194</v>
      </c>
      <c r="DT660" s="995" t="s">
        <v>194</v>
      </c>
    </row>
    <row r="661" spans="1:124">
      <c r="A661" s="42" t="s">
        <v>94</v>
      </c>
      <c r="B661" s="42" t="s">
        <v>882</v>
      </c>
      <c r="C661" s="42" t="s">
        <v>883</v>
      </c>
      <c r="D661" s="42">
        <v>831400</v>
      </c>
      <c r="E661" s="42" t="s">
        <v>885</v>
      </c>
      <c r="F661" s="42" t="s">
        <v>149</v>
      </c>
      <c r="G661" s="42" t="s">
        <v>150</v>
      </c>
      <c r="H661" s="43" t="s">
        <v>150</v>
      </c>
      <c r="I661" s="44">
        <v>5</v>
      </c>
      <c r="J661" s="45">
        <v>224144.40160000001</v>
      </c>
      <c r="K661" s="46">
        <v>12800.661075</v>
      </c>
      <c r="L661" s="47">
        <v>236945.06267499999</v>
      </c>
      <c r="M661" s="48">
        <v>4830038</v>
      </c>
      <c r="N661" s="49">
        <v>3211078</v>
      </c>
      <c r="O661" s="49">
        <v>1618800</v>
      </c>
      <c r="P661" s="49">
        <v>160</v>
      </c>
      <c r="Q661" s="50">
        <v>11284.5898364486</v>
      </c>
      <c r="R661" s="51">
        <v>1305.17803683176</v>
      </c>
      <c r="S661" s="49">
        <v>2163.7771071941702</v>
      </c>
      <c r="T661" s="49">
        <v>564.71738923060605</v>
      </c>
      <c r="U661" s="49">
        <f>IFERROR(INDEX('Rentabilidad datos'!$N$2:$N$61,MATCH($C661,'Rentabilidad datos'!$C$2:$C$61,0)),"")</f>
        <v>4033.6725332565302</v>
      </c>
      <c r="V661" s="50">
        <f>IFERROR(INDEX('Rentabilidad datos'!$O$2:$O$61,MATCH($C661,'Rentabilidad datos'!$C$2:$C$61,0)),"")</f>
        <v>1008.4181333141325</v>
      </c>
      <c r="W661" s="51">
        <f>IFERROR(INDEX('Rentabilidad datos'!$M$2:$M$61,MATCH($C661,'Rentabilidad datos'!$C$2:$C$61,0)),"")</f>
        <v>3091.5774734715137</v>
      </c>
      <c r="X661" s="52">
        <f>IFERROR(INDEX('Rentabilidad datos'!$P$2:$P$61,MATCH($C661,'Rentabilidad datos'!$C$2:$C$61,0)),"")</f>
        <v>0.32618239134139693</v>
      </c>
      <c r="Y661" s="43" t="s">
        <v>171</v>
      </c>
      <c r="Z661" s="53">
        <v>57.448598130841098</v>
      </c>
      <c r="AA661" s="43">
        <v>1</v>
      </c>
      <c r="AB661" s="54">
        <v>1</v>
      </c>
      <c r="AC661" s="55">
        <v>0</v>
      </c>
      <c r="AD661" s="752" t="e">
        <f>_xlfn.XLOOKUP(Table1[[#This Row],[Ruta]],#REF!,#REF!)</f>
        <v>#REF!</v>
      </c>
      <c r="AE661" s="752" t="e">
        <f>_xlfn.XLOOKUP(Table1[[#This Row],[Ruta]],#REF!,#REF!)</f>
        <v>#REF!</v>
      </c>
      <c r="AF661" s="752" t="e">
        <f>_xlfn.XLOOKUP(Table1[[#This Row],[Ruta]],#REF!,#REF!)</f>
        <v>#REF!</v>
      </c>
      <c r="AG661" s="752" t="e">
        <f>_xlfn.XLOOKUP(Table1[[#This Row],[Ruta]],#REF!,#REF!)</f>
        <v>#REF!</v>
      </c>
      <c r="AH661" s="52">
        <v>0.66481423127519912</v>
      </c>
      <c r="AI661" s="52">
        <v>0.33515264269142397</v>
      </c>
      <c r="AJ661" s="55">
        <v>3.312603337696308E-5</v>
      </c>
      <c r="AK661" s="56">
        <v>24588</v>
      </c>
      <c r="AL661" s="44">
        <v>17585</v>
      </c>
      <c r="AM661" s="54">
        <v>0.71518626972506905</v>
      </c>
      <c r="AN661" s="55">
        <v>0.71518626972506905</v>
      </c>
      <c r="AO661" s="56">
        <v>0</v>
      </c>
      <c r="AP661" s="48">
        <v>0</v>
      </c>
      <c r="AQ661" s="55">
        <v>0.71518626972506916</v>
      </c>
      <c r="AR661" s="51">
        <v>4829804.45</v>
      </c>
      <c r="AS661" s="49">
        <v>0</v>
      </c>
      <c r="AT661" s="55">
        <v>0</v>
      </c>
      <c r="AU661" s="51">
        <v>0</v>
      </c>
      <c r="AV661" s="52">
        <v>0</v>
      </c>
      <c r="AW661" s="44">
        <v>490</v>
      </c>
      <c r="AX661" s="51">
        <v>274.65478817173698</v>
      </c>
      <c r="AY661" s="49">
        <v>355.75402260525601</v>
      </c>
      <c r="AZ661" s="49">
        <v>81.09923443351903</v>
      </c>
      <c r="BA661" s="42" t="s">
        <v>150</v>
      </c>
      <c r="BB661" s="50">
        <v>501072.71588309796</v>
      </c>
      <c r="BC661" s="57">
        <v>501072.71588309796</v>
      </c>
      <c r="BD661" s="42" t="s">
        <v>150</v>
      </c>
      <c r="BE661" s="46">
        <v>57.448598130841098</v>
      </c>
      <c r="BF661" s="46">
        <v>76.398682366133997</v>
      </c>
      <c r="BG661" s="42" t="s">
        <v>152</v>
      </c>
      <c r="BH661" s="52">
        <v>0.71518626972506905</v>
      </c>
      <c r="BI661" s="52">
        <v>0.48060858799040601</v>
      </c>
      <c r="BJ661" s="42" t="s">
        <v>150</v>
      </c>
      <c r="BK661" s="46">
        <v>553.60995952102803</v>
      </c>
      <c r="BL661" s="46">
        <v>435.856244475457</v>
      </c>
      <c r="BM661" s="42" t="s">
        <v>150</v>
      </c>
      <c r="BN661" s="48">
        <v>2</v>
      </c>
      <c r="BO661" s="42" t="s">
        <v>161</v>
      </c>
      <c r="BP661" s="42" t="s">
        <v>152</v>
      </c>
      <c r="BQ661" s="46">
        <v>0</v>
      </c>
      <c r="BR661" s="46">
        <v>441</v>
      </c>
      <c r="BS661" s="46">
        <v>28236</v>
      </c>
      <c r="BT661" s="46">
        <v>7532</v>
      </c>
      <c r="BU661" s="46">
        <v>3.7488050982474772</v>
      </c>
      <c r="BV661" s="46">
        <v>17.079365079365079</v>
      </c>
      <c r="BW661" s="46">
        <v>0</v>
      </c>
      <c r="BX661" s="46">
        <v>493</v>
      </c>
      <c r="BY661" s="46">
        <v>493</v>
      </c>
      <c r="BZ661" s="46">
        <v>6.5454062665958573E-2</v>
      </c>
      <c r="CA661" s="46">
        <v>0</v>
      </c>
      <c r="CB661" s="46">
        <v>6.5454062665958573E-2</v>
      </c>
      <c r="CC661" s="46">
        <v>0.36537440254912368</v>
      </c>
      <c r="CD661" s="46">
        <v>0.17153478491768451</v>
      </c>
      <c r="CE661" s="46">
        <v>2.8412108337758899E-2</v>
      </c>
      <c r="CF661" s="46">
        <v>0.36922464152947432</v>
      </c>
      <c r="CG661" s="46">
        <v>0</v>
      </c>
      <c r="CH661" s="46">
        <v>0</v>
      </c>
      <c r="CI661" s="46">
        <v>5.5602776597251733</v>
      </c>
      <c r="CJ661" s="46">
        <v>0.28332625017707891</v>
      </c>
      <c r="CK661">
        <v>260</v>
      </c>
      <c r="CL661">
        <v>314.72000000000003</v>
      </c>
      <c r="CM661">
        <f t="shared" si="77"/>
        <v>54.720000000000027</v>
      </c>
      <c r="CN661">
        <v>6.04</v>
      </c>
      <c r="CO661">
        <v>9.4499999999999993</v>
      </c>
      <c r="CP661">
        <f t="shared" si="78"/>
        <v>3.4099999999999993</v>
      </c>
      <c r="CQ661">
        <v>846.56</v>
      </c>
      <c r="CR661">
        <v>553.61</v>
      </c>
      <c r="CS661">
        <f t="shared" si="79"/>
        <v>292.94999999999993</v>
      </c>
      <c r="CT661" t="s">
        <v>152</v>
      </c>
      <c r="CU661">
        <v>70.48</v>
      </c>
      <c r="CV661">
        <v>55</v>
      </c>
      <c r="CW661" s="46">
        <v>493</v>
      </c>
      <c r="CX661" s="46">
        <f t="shared" si="73"/>
        <v>5.8189060010621345</v>
      </c>
      <c r="CY661" s="46">
        <v>54.72</v>
      </c>
      <c r="CZ661" s="46">
        <f t="shared" si="74"/>
        <v>6.5454062665958572</v>
      </c>
      <c r="DA661" s="46">
        <f t="shared" si="75"/>
        <v>168.17453655861823</v>
      </c>
      <c r="DB661" s="46">
        <v>1275893.1200000001</v>
      </c>
      <c r="DC661" s="46">
        <f t="shared" si="76"/>
        <v>7.5650083303456563</v>
      </c>
      <c r="DD661" s="46">
        <v>57393.599999999999</v>
      </c>
      <c r="DE661" s="995">
        <v>493</v>
      </c>
      <c r="DF661" s="995">
        <v>5.8819999999999997</v>
      </c>
      <c r="DG661" s="995">
        <v>49.9</v>
      </c>
      <c r="DH661" s="995">
        <v>6.5449999999999999</v>
      </c>
      <c r="DI661" s="995">
        <v>440.19799999999998</v>
      </c>
      <c r="DJ661" s="995">
        <v>3337554</v>
      </c>
      <c r="DK661" s="995">
        <v>20.023</v>
      </c>
      <c r="DL661" s="995">
        <v>151816.29999999999</v>
      </c>
      <c r="DM661" s="995">
        <v>493</v>
      </c>
      <c r="DN661" s="995">
        <v>5.9989999999999997</v>
      </c>
      <c r="DO661" s="995">
        <v>41.1</v>
      </c>
      <c r="DP661" s="995">
        <v>6.5449999999999999</v>
      </c>
      <c r="DQ661" s="995">
        <v>429.84800000000001</v>
      </c>
      <c r="DR661" s="995">
        <v>3255293</v>
      </c>
      <c r="DS661" s="995">
        <v>19.559999999999999</v>
      </c>
      <c r="DT661" s="995">
        <v>148132.6</v>
      </c>
    </row>
    <row r="662" spans="1:124">
      <c r="A662" s="42" t="s">
        <v>94</v>
      </c>
      <c r="B662" s="42" t="s">
        <v>882</v>
      </c>
      <c r="C662" s="42" t="s">
        <v>883</v>
      </c>
      <c r="D662" s="42">
        <v>831401</v>
      </c>
      <c r="E662" s="42" t="s">
        <v>886</v>
      </c>
      <c r="F662" s="42" t="s">
        <v>149</v>
      </c>
      <c r="G662" s="42" t="s">
        <v>150</v>
      </c>
      <c r="H662" s="43" t="s">
        <v>150</v>
      </c>
      <c r="I662" s="44">
        <v>5</v>
      </c>
      <c r="J662" s="45">
        <v>132657.10639999999</v>
      </c>
      <c r="K662" s="46">
        <v>8028.5069750000002</v>
      </c>
      <c r="L662" s="47">
        <v>140685.61337499999</v>
      </c>
      <c r="M662" s="48">
        <v>3079333</v>
      </c>
      <c r="N662" s="49">
        <v>1928330</v>
      </c>
      <c r="O662" s="49">
        <v>1150925</v>
      </c>
      <c r="P662" s="49">
        <v>78</v>
      </c>
      <c r="Q662" s="50">
        <v>7384.2970263789002</v>
      </c>
      <c r="R662" s="51">
        <v>1305.17803683176</v>
      </c>
      <c r="S662" s="49">
        <v>2163.7771071941702</v>
      </c>
      <c r="T662" s="49">
        <v>564.71738923060605</v>
      </c>
      <c r="U662" s="49">
        <f>IFERROR(INDEX('Rentabilidad datos'!$N$2:$N$61,MATCH($C662,'Rentabilidad datos'!$C$2:$C$61,0)),"")</f>
        <v>4033.6725332565302</v>
      </c>
      <c r="V662" s="50">
        <f>IFERROR(INDEX('Rentabilidad datos'!$O$2:$O$61,MATCH($C662,'Rentabilidad datos'!$C$2:$C$61,0)),"")</f>
        <v>1008.4181333141325</v>
      </c>
      <c r="W662" s="51">
        <f>IFERROR(INDEX('Rentabilidad datos'!$M$2:$M$61,MATCH($C662,'Rentabilidad datos'!$C$2:$C$61,0)),"")</f>
        <v>3091.5774734715137</v>
      </c>
      <c r="X662" s="52">
        <f>IFERROR(INDEX('Rentabilidad datos'!$P$2:$P$61,MATCH($C662,'Rentabilidad datos'!$C$2:$C$61,0)),"")</f>
        <v>0.32618239134139693</v>
      </c>
      <c r="Y662" s="43" t="s">
        <v>171</v>
      </c>
      <c r="Z662" s="53">
        <v>40.414634146341498</v>
      </c>
      <c r="AA662" s="43">
        <v>1</v>
      </c>
      <c r="AB662" s="54">
        <v>1</v>
      </c>
      <c r="AC662" s="55">
        <v>0</v>
      </c>
      <c r="AD662" s="752" t="e">
        <f>_xlfn.XLOOKUP(Table1[[#This Row],[Ruta]],#REF!,#REF!)</f>
        <v>#REF!</v>
      </c>
      <c r="AE662" s="752" t="e">
        <f>_xlfn.XLOOKUP(Table1[[#This Row],[Ruta]],#REF!,#REF!)</f>
        <v>#REF!</v>
      </c>
      <c r="AF662" s="752" t="e">
        <f>_xlfn.XLOOKUP(Table1[[#This Row],[Ruta]],#REF!,#REF!)</f>
        <v>#REF!</v>
      </c>
      <c r="AG662" s="752" t="e">
        <f>_xlfn.XLOOKUP(Table1[[#This Row],[Ruta]],#REF!,#REF!)</f>
        <v>#REF!</v>
      </c>
      <c r="AH662" s="52">
        <v>0.62621678136141823</v>
      </c>
      <c r="AI662" s="52">
        <v>0.37375788847779695</v>
      </c>
      <c r="AJ662" s="55">
        <v>2.533016078481931E-5</v>
      </c>
      <c r="AK662" s="56">
        <v>14913</v>
      </c>
      <c r="AL662" s="44">
        <v>10948</v>
      </c>
      <c r="AM662" s="54">
        <v>0.65406021591899699</v>
      </c>
      <c r="AN662" s="55">
        <v>0.71518626972506905</v>
      </c>
      <c r="AO662" s="56">
        <v>911.57284040995603</v>
      </c>
      <c r="AP662" s="48">
        <v>455.78642020497801</v>
      </c>
      <c r="AQ662" s="55">
        <v>0.7646876161875531</v>
      </c>
      <c r="AR662" s="51">
        <v>3079251.86</v>
      </c>
      <c r="AS662" s="49">
        <v>128195.212109876</v>
      </c>
      <c r="AT662" s="55">
        <v>4.163193461864987E-2</v>
      </c>
      <c r="AU662" s="51">
        <v>90083.122023156146</v>
      </c>
      <c r="AV662" s="52">
        <v>4.0979664688496815E-4</v>
      </c>
      <c r="AW662" s="44">
        <v>399</v>
      </c>
      <c r="AX662" s="51">
        <v>281.26158750456699</v>
      </c>
      <c r="AY662" s="49">
        <v>355.75402260525601</v>
      </c>
      <c r="AZ662" s="49">
        <v>74.492435100689022</v>
      </c>
      <c r="BA662" s="42" t="s">
        <v>150</v>
      </c>
      <c r="BB662" s="50">
        <v>286542.19819649914</v>
      </c>
      <c r="BC662" s="57">
        <v>376625.32021965529</v>
      </c>
      <c r="BD662" s="42" t="s">
        <v>150</v>
      </c>
      <c r="BE662" s="46">
        <v>40.414634146341498</v>
      </c>
      <c r="BF662" s="46">
        <v>76.398682366133997</v>
      </c>
      <c r="BG662" s="42" t="s">
        <v>152</v>
      </c>
      <c r="BH662" s="52">
        <v>0.65406021591899699</v>
      </c>
      <c r="BI662" s="52">
        <v>0.48060858799040601</v>
      </c>
      <c r="BJ662" s="42" t="s">
        <v>150</v>
      </c>
      <c r="BK662" s="46">
        <v>337.375571642686</v>
      </c>
      <c r="BL662" s="46">
        <v>435.856244475457</v>
      </c>
      <c r="BM662" s="42" t="s">
        <v>152</v>
      </c>
      <c r="BN662" s="48">
        <v>1</v>
      </c>
      <c r="BO662" s="42" t="s">
        <v>155</v>
      </c>
      <c r="BP662" s="42" t="s">
        <v>152</v>
      </c>
      <c r="BQ662" s="46">
        <v>1105.7071003255601</v>
      </c>
      <c r="BR662" s="46">
        <v>271</v>
      </c>
      <c r="BS662" s="46">
        <v>21648</v>
      </c>
      <c r="BT662" s="46">
        <v>6178</v>
      </c>
      <c r="BU662" s="46">
        <v>3.5040466170281643</v>
      </c>
      <c r="BV662" s="46">
        <v>22.797047970479706</v>
      </c>
      <c r="BW662" s="46">
        <v>348</v>
      </c>
      <c r="BX662" s="46">
        <v>324</v>
      </c>
      <c r="BY662" s="46">
        <v>672</v>
      </c>
      <c r="BZ662" s="46">
        <v>0.10877306571706054</v>
      </c>
      <c r="CA662" s="46">
        <v>5.6328909032049207E-2</v>
      </c>
      <c r="CB662" s="46">
        <v>5.2444156685011331E-2</v>
      </c>
      <c r="CC662" s="46">
        <v>7.3324700550339919E-2</v>
      </c>
      <c r="CD662" s="46">
        <v>0.18436387180317251</v>
      </c>
      <c r="CE662" s="46">
        <v>1.1330527678860469E-3</v>
      </c>
      <c r="CF662" s="46">
        <v>0.63240530916154092</v>
      </c>
      <c r="CG662" s="46">
        <v>0</v>
      </c>
      <c r="CH662" s="46">
        <v>0</v>
      </c>
      <c r="CI662" s="46">
        <v>6.7904656319290462</v>
      </c>
      <c r="CJ662" s="46">
        <v>0.27716186252771619</v>
      </c>
      <c r="CK662">
        <v>192</v>
      </c>
      <c r="CL662">
        <v>266.25</v>
      </c>
      <c r="CM662">
        <f t="shared" si="77"/>
        <v>74.25</v>
      </c>
      <c r="CN662">
        <v>5.07</v>
      </c>
      <c r="CO662">
        <v>9.4499999999999993</v>
      </c>
      <c r="CP662">
        <f t="shared" si="78"/>
        <v>4.379999999999999</v>
      </c>
      <c r="CQ662">
        <v>564.37</v>
      </c>
      <c r="CR662">
        <v>337.38</v>
      </c>
      <c r="CS662">
        <f t="shared" si="79"/>
        <v>226.99</v>
      </c>
      <c r="CT662" t="s">
        <v>152</v>
      </c>
      <c r="CU662">
        <v>65.59</v>
      </c>
      <c r="CV662">
        <v>43</v>
      </c>
      <c r="CW662" s="46">
        <v>672</v>
      </c>
      <c r="CX662" s="46">
        <f t="shared" si="73"/>
        <v>9.6754613143412111</v>
      </c>
      <c r="CY662" s="46">
        <v>74.25</v>
      </c>
      <c r="CZ662" s="46">
        <f t="shared" si="74"/>
        <v>10.877306571706054</v>
      </c>
      <c r="DA662" s="46">
        <f t="shared" si="75"/>
        <v>174.38863289215882</v>
      </c>
      <c r="DB662" s="46">
        <v>1090321.33</v>
      </c>
      <c r="DC662" s="46">
        <f t="shared" si="76"/>
        <v>7.8459706505657962</v>
      </c>
      <c r="DD662" s="46">
        <v>49054.97</v>
      </c>
      <c r="DE662" s="995">
        <v>672</v>
      </c>
      <c r="DF662" s="995">
        <v>9.7349999999999994</v>
      </c>
      <c r="DG662" s="995">
        <v>70.599999999999994</v>
      </c>
      <c r="DH662" s="995">
        <v>10.877000000000001</v>
      </c>
      <c r="DI662" s="995">
        <v>491.41699999999997</v>
      </c>
      <c r="DJ662" s="995">
        <v>3070661</v>
      </c>
      <c r="DK662" s="995">
        <v>22.314</v>
      </c>
      <c r="DL662" s="995">
        <v>139428.9</v>
      </c>
      <c r="DM662" s="995">
        <v>672</v>
      </c>
      <c r="DN662" s="995">
        <v>9.9130000000000003</v>
      </c>
      <c r="DO662" s="995">
        <v>59.6</v>
      </c>
      <c r="DP662" s="995">
        <v>10.877000000000001</v>
      </c>
      <c r="DQ662" s="995">
        <v>473.98700000000002</v>
      </c>
      <c r="DR662" s="995">
        <v>2956534</v>
      </c>
      <c r="DS662" s="995">
        <v>21.535</v>
      </c>
      <c r="DT662" s="995">
        <v>134328.5</v>
      </c>
    </row>
    <row r="663" spans="1:124">
      <c r="A663" s="42" t="s">
        <v>94</v>
      </c>
      <c r="B663" s="42" t="s">
        <v>882</v>
      </c>
      <c r="C663" s="42" t="s">
        <v>883</v>
      </c>
      <c r="D663" s="42">
        <v>831402</v>
      </c>
      <c r="E663" s="42" t="s">
        <v>887</v>
      </c>
      <c r="F663" s="42" t="s">
        <v>149</v>
      </c>
      <c r="G663" s="42" t="s">
        <v>150</v>
      </c>
      <c r="H663" s="43" t="s">
        <v>150</v>
      </c>
      <c r="I663" s="44">
        <v>5</v>
      </c>
      <c r="J663" s="45">
        <v>252439.84080000001</v>
      </c>
      <c r="K663" s="46">
        <v>17212.712525999999</v>
      </c>
      <c r="L663" s="47">
        <v>269652.55332599999</v>
      </c>
      <c r="M663" s="48">
        <v>6295068</v>
      </c>
      <c r="N663" s="49">
        <v>3642987</v>
      </c>
      <c r="O663" s="49">
        <v>2652081</v>
      </c>
      <c r="P663" s="49">
        <v>0</v>
      </c>
      <c r="Q663" s="50">
        <v>14471.4193793103</v>
      </c>
      <c r="R663" s="51">
        <v>1305.17803683176</v>
      </c>
      <c r="S663" s="49">
        <v>2163.7771071941702</v>
      </c>
      <c r="T663" s="49">
        <v>564.71738923060605</v>
      </c>
      <c r="U663" s="49">
        <f>IFERROR(INDEX('Rentabilidad datos'!$N$2:$N$61,MATCH($C663,'Rentabilidad datos'!$C$2:$C$61,0)),"")</f>
        <v>4033.6725332565302</v>
      </c>
      <c r="V663" s="50">
        <f>IFERROR(INDEX('Rentabilidad datos'!$O$2:$O$61,MATCH($C663,'Rentabilidad datos'!$C$2:$C$61,0)),"")</f>
        <v>1008.4181333141325</v>
      </c>
      <c r="W663" s="51">
        <f>IFERROR(INDEX('Rentabilidad datos'!$M$2:$M$61,MATCH($C663,'Rentabilidad datos'!$C$2:$C$61,0)),"")</f>
        <v>3091.5774734715137</v>
      </c>
      <c r="X663" s="52">
        <f>IFERROR(INDEX('Rentabilidad datos'!$P$2:$P$61,MATCH($C663,'Rentabilidad datos'!$C$2:$C$61,0)),"")</f>
        <v>0.32618239134139693</v>
      </c>
      <c r="Y663" s="43" t="s">
        <v>171</v>
      </c>
      <c r="Z663" s="53">
        <v>54.163218390804602</v>
      </c>
      <c r="AA663" s="43">
        <v>1</v>
      </c>
      <c r="AB663" s="54">
        <v>1</v>
      </c>
      <c r="AC663" s="55">
        <v>0</v>
      </c>
      <c r="AD663" s="752" t="e">
        <f>_xlfn.XLOOKUP(Table1[[#This Row],[Ruta]],#REF!,#REF!)</f>
        <v>#REF!</v>
      </c>
      <c r="AE663" s="752" t="e">
        <f>_xlfn.XLOOKUP(Table1[[#This Row],[Ruta]],#REF!,#REF!)</f>
        <v>#REF!</v>
      </c>
      <c r="AF663" s="752" t="e">
        <f>_xlfn.XLOOKUP(Table1[[#This Row],[Ruta]],#REF!,#REF!)</f>
        <v>#REF!</v>
      </c>
      <c r="AG663" s="752" t="e">
        <f>_xlfn.XLOOKUP(Table1[[#This Row],[Ruta]],#REF!,#REF!)</f>
        <v>#REF!</v>
      </c>
      <c r="AH663" s="52">
        <v>0.57870494806410355</v>
      </c>
      <c r="AI663" s="52">
        <v>0.4212950519358965</v>
      </c>
      <c r="AJ663" s="55">
        <v>0</v>
      </c>
      <c r="AK663" s="56">
        <v>23561</v>
      </c>
      <c r="AL663" s="44">
        <v>17695</v>
      </c>
      <c r="AM663" s="54">
        <v>0.751029243240949</v>
      </c>
      <c r="AN663" s="55">
        <v>0.71518626972506905</v>
      </c>
      <c r="AO663" s="56">
        <v>0</v>
      </c>
      <c r="AP663" s="48">
        <v>0</v>
      </c>
      <c r="AQ663" s="55">
        <v>0.751029243240949</v>
      </c>
      <c r="AR663" s="51">
        <v>6295067.4299999997</v>
      </c>
      <c r="AS663" s="49">
        <v>0</v>
      </c>
      <c r="AT663" s="55">
        <v>0</v>
      </c>
      <c r="AU663" s="51">
        <v>0</v>
      </c>
      <c r="AV663" s="52">
        <v>0</v>
      </c>
      <c r="AW663" s="44">
        <v>490</v>
      </c>
      <c r="AX663" s="51">
        <v>355.75402260525601</v>
      </c>
      <c r="AY663" s="49">
        <v>355.75402260525601</v>
      </c>
      <c r="AZ663" s="49">
        <v>0</v>
      </c>
      <c r="BA663" s="42" t="s">
        <v>152</v>
      </c>
      <c r="BB663" s="50">
        <v>0</v>
      </c>
      <c r="BC663" s="57">
        <v>0</v>
      </c>
      <c r="BD663" s="42" t="s">
        <v>150</v>
      </c>
      <c r="BE663" s="46">
        <v>54.163218390804602</v>
      </c>
      <c r="BF663" s="46">
        <v>76.398682366133997</v>
      </c>
      <c r="BG663" s="42" t="s">
        <v>152</v>
      </c>
      <c r="BH663" s="52">
        <v>0.751029243240949</v>
      </c>
      <c r="BI663" s="52">
        <v>0.48060858799040601</v>
      </c>
      <c r="BJ663" s="42" t="s">
        <v>150</v>
      </c>
      <c r="BK663" s="46">
        <v>619.89092718620702</v>
      </c>
      <c r="BL663" s="46">
        <v>435.856244475457</v>
      </c>
      <c r="BM663" s="42" t="s">
        <v>150</v>
      </c>
      <c r="BN663" s="48">
        <v>2</v>
      </c>
      <c r="BO663" s="42" t="s">
        <v>161</v>
      </c>
      <c r="BP663" s="42" t="s">
        <v>152</v>
      </c>
      <c r="BQ663" s="46">
        <v>1179.5123736865301</v>
      </c>
      <c r="BR663" s="46">
        <v>470</v>
      </c>
      <c r="BS663" s="46">
        <v>27590</v>
      </c>
      <c r="BT663" s="46">
        <v>7669</v>
      </c>
      <c r="BU663" s="46">
        <v>3.5976007302125441</v>
      </c>
      <c r="BV663" s="46">
        <v>16.317021276595746</v>
      </c>
      <c r="BW663" s="46">
        <v>330</v>
      </c>
      <c r="BX663" s="46">
        <v>1250</v>
      </c>
      <c r="BY663" s="46">
        <v>1580</v>
      </c>
      <c r="BZ663" s="46">
        <v>0.20602425348806885</v>
      </c>
      <c r="CA663" s="46">
        <v>4.3030382057634632E-2</v>
      </c>
      <c r="CB663" s="46">
        <v>0.16299387143043417</v>
      </c>
      <c r="CC663" s="46">
        <v>0.41961142261050982</v>
      </c>
      <c r="CD663" s="46">
        <v>0.17851088799061149</v>
      </c>
      <c r="CE663" s="46">
        <v>6.5197548572173687E-4</v>
      </c>
      <c r="CF663" s="46">
        <v>0.19520146042508801</v>
      </c>
      <c r="CG663" s="46">
        <v>0</v>
      </c>
      <c r="CH663" s="46">
        <v>0</v>
      </c>
      <c r="CI663" s="46">
        <v>5.7992026096411742</v>
      </c>
      <c r="CJ663" s="46">
        <v>0.3262051467923161</v>
      </c>
      <c r="CK663">
        <v>303</v>
      </c>
      <c r="CL663">
        <v>409.95</v>
      </c>
      <c r="CM663">
        <f t="shared" si="77"/>
        <v>106.94999999999999</v>
      </c>
      <c r="CN663">
        <v>4.18</v>
      </c>
      <c r="CO663">
        <v>9.4499999999999993</v>
      </c>
      <c r="CP663">
        <f t="shared" si="78"/>
        <v>5.27</v>
      </c>
      <c r="CQ663">
        <v>846.56</v>
      </c>
      <c r="CR663">
        <v>619.89</v>
      </c>
      <c r="CS663">
        <f t="shared" si="79"/>
        <v>226.66999999999996</v>
      </c>
      <c r="CT663" t="s">
        <v>152</v>
      </c>
      <c r="CU663">
        <v>73.22</v>
      </c>
      <c r="CV663">
        <v>92</v>
      </c>
      <c r="CW663" s="46">
        <v>1580</v>
      </c>
      <c r="CX663" s="46">
        <f t="shared" si="73"/>
        <v>19.20784978484809</v>
      </c>
      <c r="CY663" s="46">
        <v>106.95</v>
      </c>
      <c r="CZ663" s="46">
        <f t="shared" si="74"/>
        <v>20.602425348806886</v>
      </c>
      <c r="DA663" s="46">
        <f t="shared" si="75"/>
        <v>262.12624823976495</v>
      </c>
      <c r="DB663" s="46">
        <v>2038280.6</v>
      </c>
      <c r="DC663" s="46">
        <f t="shared" si="76"/>
        <v>10.329081334113516</v>
      </c>
      <c r="DD663" s="46">
        <v>80318.42</v>
      </c>
      <c r="DE663" s="995">
        <v>1580</v>
      </c>
      <c r="DF663" s="995">
        <v>19.285</v>
      </c>
      <c r="DG663" s="995">
        <v>101</v>
      </c>
      <c r="DH663" s="995">
        <v>20.602</v>
      </c>
      <c r="DI663" s="995">
        <v>687.94100000000003</v>
      </c>
      <c r="DJ663" s="995">
        <v>5345310</v>
      </c>
      <c r="DK663" s="995">
        <v>27.11</v>
      </c>
      <c r="DL663" s="995">
        <v>210646.9</v>
      </c>
      <c r="DM663" s="995">
        <v>1580</v>
      </c>
      <c r="DN663" s="995">
        <v>19.518000000000001</v>
      </c>
      <c r="DO663" s="995">
        <v>83.2</v>
      </c>
      <c r="DP663" s="995">
        <v>20.602</v>
      </c>
      <c r="DQ663" s="995">
        <v>662.74699999999996</v>
      </c>
      <c r="DR663" s="995">
        <v>5137744</v>
      </c>
      <c r="DS663" s="995">
        <v>26.143999999999998</v>
      </c>
      <c r="DT663" s="995">
        <v>202673.3</v>
      </c>
    </row>
    <row r="664" spans="1:124">
      <c r="A664" s="42" t="s">
        <v>94</v>
      </c>
      <c r="B664" s="42" t="s">
        <v>882</v>
      </c>
      <c r="C664" s="42" t="s">
        <v>883</v>
      </c>
      <c r="D664" s="42">
        <v>831403</v>
      </c>
      <c r="E664" s="42" t="s">
        <v>888</v>
      </c>
      <c r="F664" s="42" t="s">
        <v>149</v>
      </c>
      <c r="G664" s="42" t="s">
        <v>150</v>
      </c>
      <c r="H664" s="43" t="s">
        <v>150</v>
      </c>
      <c r="I664" s="44">
        <v>5</v>
      </c>
      <c r="J664" s="45">
        <v>176739.37881600001</v>
      </c>
      <c r="K664" s="46">
        <v>10274.969950000001</v>
      </c>
      <c r="L664" s="47">
        <v>187014.34876600001</v>
      </c>
      <c r="M664" s="48">
        <v>3903286</v>
      </c>
      <c r="N664" s="49">
        <v>2516712</v>
      </c>
      <c r="O664" s="49">
        <v>1386460</v>
      </c>
      <c r="P664" s="49">
        <v>114</v>
      </c>
      <c r="Q664" s="50">
        <v>9052.8780278422291</v>
      </c>
      <c r="R664" s="51">
        <v>1305.17803683176</v>
      </c>
      <c r="S664" s="49">
        <v>2163.7771071941702</v>
      </c>
      <c r="T664" s="49">
        <v>564.71738923060605</v>
      </c>
      <c r="U664" s="49">
        <f>IFERROR(INDEX('Rentabilidad datos'!$N$2:$N$61,MATCH($C664,'Rentabilidad datos'!$C$2:$C$61,0)),"")</f>
        <v>4033.6725332565302</v>
      </c>
      <c r="V664" s="50">
        <f>IFERROR(INDEX('Rentabilidad datos'!$O$2:$O$61,MATCH($C664,'Rentabilidad datos'!$C$2:$C$61,0)),"")</f>
        <v>1008.4181333141325</v>
      </c>
      <c r="W664" s="51">
        <f>IFERROR(INDEX('Rentabilidad datos'!$M$2:$M$61,MATCH($C664,'Rentabilidad datos'!$C$2:$C$61,0)),"")</f>
        <v>3091.5774734715137</v>
      </c>
      <c r="X664" s="52">
        <f>IFERROR(INDEX('Rentabilidad datos'!$P$2:$P$61,MATCH($C664,'Rentabilidad datos'!$C$2:$C$61,0)),"")</f>
        <v>0.32618239134139693</v>
      </c>
      <c r="Y664" s="43" t="s">
        <v>171</v>
      </c>
      <c r="Z664" s="53">
        <v>50.761020881670497</v>
      </c>
      <c r="AA664" s="43">
        <v>1</v>
      </c>
      <c r="AB664" s="54">
        <v>1</v>
      </c>
      <c r="AC664" s="55">
        <v>0</v>
      </c>
      <c r="AD664" s="752" t="e">
        <f>_xlfn.XLOOKUP(Table1[[#This Row],[Ruta]],#REF!,#REF!)</f>
        <v>#REF!</v>
      </c>
      <c r="AE664" s="752" t="e">
        <f>_xlfn.XLOOKUP(Table1[[#This Row],[Ruta]],#REF!,#REF!)</f>
        <v>#REF!</v>
      </c>
      <c r="AF664" s="752" t="e">
        <f>_xlfn.XLOOKUP(Table1[[#This Row],[Ruta]],#REF!,#REF!)</f>
        <v>#REF!</v>
      </c>
      <c r="AG664" s="752" t="e">
        <f>_xlfn.XLOOKUP(Table1[[#This Row],[Ruta]],#REF!,#REF!)</f>
        <v>#REF!</v>
      </c>
      <c r="AH664" s="52">
        <v>0.64476751127127241</v>
      </c>
      <c r="AI664" s="52">
        <v>0.35520328256755973</v>
      </c>
      <c r="AJ664" s="55">
        <v>2.9206161167795545E-5</v>
      </c>
      <c r="AK664" s="56">
        <v>21878</v>
      </c>
      <c r="AL664" s="44">
        <v>12415</v>
      </c>
      <c r="AM664" s="54">
        <v>0.56746503336685294</v>
      </c>
      <c r="AN664" s="55">
        <v>0.71518626972506905</v>
      </c>
      <c r="AO664" s="56">
        <v>3231.8452090450601</v>
      </c>
      <c r="AP664" s="48">
        <v>1615.92260452253</v>
      </c>
      <c r="AQ664" s="55">
        <v>0.64132565154596077</v>
      </c>
      <c r="AR664" s="51">
        <v>3901790.43</v>
      </c>
      <c r="AS664" s="49">
        <v>507852.70672144002</v>
      </c>
      <c r="AT664" s="55">
        <v>0.13015888880568094</v>
      </c>
      <c r="AU664" s="51">
        <v>356869.46958803904</v>
      </c>
      <c r="AV664" s="52">
        <v>1.6234329886480074E-3</v>
      </c>
      <c r="AW664" s="44">
        <v>209</v>
      </c>
      <c r="AX664" s="51">
        <v>314.280340716875</v>
      </c>
      <c r="AY664" s="49">
        <v>355.75402260525601</v>
      </c>
      <c r="AZ664" s="49">
        <v>41.473681888381009</v>
      </c>
      <c r="BA664" s="42" t="s">
        <v>150</v>
      </c>
      <c r="BB664" s="50">
        <v>180909.32130743933</v>
      </c>
      <c r="BC664" s="57">
        <v>537778.79089547833</v>
      </c>
      <c r="BD664" s="42" t="s">
        <v>150</v>
      </c>
      <c r="BE664" s="46">
        <v>50.761020881670497</v>
      </c>
      <c r="BF664" s="46">
        <v>76.398682366133997</v>
      </c>
      <c r="BG664" s="42" t="s">
        <v>152</v>
      </c>
      <c r="BH664" s="52">
        <v>0.56746503336685294</v>
      </c>
      <c r="BI664" s="52">
        <v>0.48060858799040601</v>
      </c>
      <c r="BJ664" s="42" t="s">
        <v>150</v>
      </c>
      <c r="BK664" s="46">
        <v>433.90800177726197</v>
      </c>
      <c r="BL664" s="46">
        <v>435.856244475457</v>
      </c>
      <c r="BM664" s="42" t="s">
        <v>152</v>
      </c>
      <c r="BN664" s="48">
        <v>1</v>
      </c>
      <c r="BO664" s="42" t="s">
        <v>155</v>
      </c>
      <c r="BP664" s="42" t="s">
        <v>152</v>
      </c>
      <c r="BQ664" s="46">
        <v>3095.8082409014701</v>
      </c>
      <c r="BR664" s="46">
        <v>331</v>
      </c>
      <c r="BS664" s="46">
        <v>19567</v>
      </c>
      <c r="BT664" s="46">
        <v>5134</v>
      </c>
      <c r="BU664" s="46">
        <v>3.8112582781456954</v>
      </c>
      <c r="BV664" s="46">
        <v>15.510574018126889</v>
      </c>
      <c r="BW664" s="46">
        <v>141</v>
      </c>
      <c r="BX664" s="46">
        <v>918</v>
      </c>
      <c r="BY664" s="46">
        <v>1059</v>
      </c>
      <c r="BZ664" s="46">
        <v>0.20627191273860537</v>
      </c>
      <c r="CA664" s="46">
        <v>2.7463965718737833E-2</v>
      </c>
      <c r="CB664" s="46">
        <v>0.17880794701986749</v>
      </c>
      <c r="CC664" s="46">
        <v>0.44760420724581212</v>
      </c>
      <c r="CD664" s="46">
        <v>0.19867549668874171</v>
      </c>
      <c r="CE664" s="46">
        <v>5.8433969614335804E-4</v>
      </c>
      <c r="CF664" s="46">
        <v>0.1468640436306973</v>
      </c>
      <c r="CG664" s="46">
        <v>0</v>
      </c>
      <c r="CH664" s="46">
        <v>0</v>
      </c>
      <c r="CI664" s="46">
        <v>5.0084325650329644</v>
      </c>
      <c r="CJ664" s="46">
        <v>0.153319364235703</v>
      </c>
      <c r="CK664">
        <v>327</v>
      </c>
      <c r="CL664">
        <v>413.73</v>
      </c>
      <c r="CM664">
        <f t="shared" si="77"/>
        <v>86.730000000000018</v>
      </c>
      <c r="CN664">
        <v>10.199999999999999</v>
      </c>
      <c r="CO664">
        <v>9.4499999999999993</v>
      </c>
      <c r="CP664">
        <f t="shared" si="78"/>
        <v>-0.75</v>
      </c>
      <c r="CQ664">
        <v>846.56</v>
      </c>
      <c r="CR664">
        <v>433.91</v>
      </c>
      <c r="CS664">
        <f t="shared" si="79"/>
        <v>412.64999999999992</v>
      </c>
      <c r="CT664" t="s">
        <v>150</v>
      </c>
      <c r="CU664">
        <v>110.55</v>
      </c>
      <c r="CV664">
        <v>63</v>
      </c>
      <c r="CW664" s="46">
        <v>1059</v>
      </c>
      <c r="CX664" s="46">
        <f t="shared" si="73"/>
        <v>18.93786521231009</v>
      </c>
      <c r="CY664" s="46">
        <v>86.73</v>
      </c>
      <c r="CZ664" s="46">
        <f t="shared" si="74"/>
        <v>20.627191273860536</v>
      </c>
      <c r="DA664" s="46">
        <f t="shared" si="75"/>
        <v>159.92565407519641</v>
      </c>
      <c r="DB664" s="46">
        <v>834928.66</v>
      </c>
      <c r="DC664" s="46">
        <f t="shared" si="76"/>
        <v>6.9439790987084189</v>
      </c>
      <c r="DD664" s="46">
        <v>36252.639999999999</v>
      </c>
      <c r="DE664" s="995">
        <v>1059</v>
      </c>
      <c r="DF664" s="995">
        <v>19.204999999999998</v>
      </c>
      <c r="DG664" s="995">
        <v>73</v>
      </c>
      <c r="DH664" s="995">
        <v>20.626999999999999</v>
      </c>
      <c r="DI664" s="995">
        <v>1112.614</v>
      </c>
      <c r="DJ664" s="995">
        <v>5793411</v>
      </c>
      <c r="DK664" s="995">
        <v>44.561</v>
      </c>
      <c r="DL664" s="995">
        <v>232030</v>
      </c>
      <c r="DM664" s="995">
        <v>1059</v>
      </c>
      <c r="DN664" s="995">
        <v>19.452999999999999</v>
      </c>
      <c r="DO664" s="995">
        <v>60.3</v>
      </c>
      <c r="DP664" s="995">
        <v>20.626999999999999</v>
      </c>
      <c r="DQ664" s="995">
        <v>1091.7339999999999</v>
      </c>
      <c r="DR664" s="995">
        <v>5670778</v>
      </c>
      <c r="DS664" s="995">
        <v>43.645000000000003</v>
      </c>
      <c r="DT664" s="995">
        <v>226705.2</v>
      </c>
    </row>
    <row r="665" spans="1:124">
      <c r="A665" s="42" t="s">
        <v>94</v>
      </c>
      <c r="B665" s="42" t="s">
        <v>549</v>
      </c>
      <c r="C665" s="42" t="s">
        <v>889</v>
      </c>
      <c r="D665" s="42">
        <v>821401</v>
      </c>
      <c r="E665" s="42" t="s">
        <v>890</v>
      </c>
      <c r="F665" s="42" t="s">
        <v>149</v>
      </c>
      <c r="G665" s="42" t="s">
        <v>150</v>
      </c>
      <c r="H665" s="43" t="s">
        <v>150</v>
      </c>
      <c r="I665" s="44">
        <v>4</v>
      </c>
      <c r="J665" s="45">
        <v>312051.38854399999</v>
      </c>
      <c r="K665" s="46">
        <v>19933.576226000001</v>
      </c>
      <c r="L665" s="47">
        <v>331984.96477000002</v>
      </c>
      <c r="M665" s="48">
        <v>6573024</v>
      </c>
      <c r="N665" s="49">
        <v>4544629</v>
      </c>
      <c r="O665" s="49">
        <v>2028395</v>
      </c>
      <c r="P665" s="49">
        <v>0</v>
      </c>
      <c r="Q665" s="50">
        <v>14671.928125</v>
      </c>
      <c r="R665" s="51">
        <v>1426.7644017989201</v>
      </c>
      <c r="S665" s="49">
        <v>1912.40461568265</v>
      </c>
      <c r="T665" s="49">
        <v>410.26313890576802</v>
      </c>
      <c r="U665" s="49">
        <f>IFERROR(INDEX('Rentabilidad datos'!$N$2:$N$61,MATCH($C665,'Rentabilidad datos'!$C$2:$C$61,0)),"")</f>
        <v>3749.4321563873327</v>
      </c>
      <c r="V665" s="50">
        <f>IFERROR(INDEX('Rentabilidad datos'!$O$2:$O$61,MATCH($C665,'Rentabilidad datos'!$C$2:$C$61,0)),"")</f>
        <v>1249.8107187957776</v>
      </c>
      <c r="W665" s="51">
        <f>IFERROR(INDEX('Rentabilidad datos'!$M$2:$M$61,MATCH($C665,'Rentabilidad datos'!$C$2:$C$61,0)),"")</f>
        <v>3238.9979368526369</v>
      </c>
      <c r="X665" s="52">
        <f>IFERROR(INDEX('Rentabilidad datos'!$P$2:$P$61,MATCH($C665,'Rentabilidad datos'!$C$2:$C$61,0)),"")</f>
        <v>0.38586338835715028</v>
      </c>
      <c r="Y665" s="43" t="s">
        <v>151</v>
      </c>
      <c r="Z665" s="53">
        <v>59.714285714285701</v>
      </c>
      <c r="AA665" s="43">
        <v>1</v>
      </c>
      <c r="AB665" s="54">
        <v>1</v>
      </c>
      <c r="AC665" s="55">
        <v>0</v>
      </c>
      <c r="AD665" s="752" t="e">
        <f>_xlfn.XLOOKUP(Table1[[#This Row],[Ruta]],#REF!,#REF!)</f>
        <v>#REF!</v>
      </c>
      <c r="AE665" s="752" t="e">
        <f>_xlfn.XLOOKUP(Table1[[#This Row],[Ruta]],#REF!,#REF!)</f>
        <v>#REF!</v>
      </c>
      <c r="AF665" s="752" t="e">
        <f>_xlfn.XLOOKUP(Table1[[#This Row],[Ruta]],#REF!,#REF!)</f>
        <v>#REF!</v>
      </c>
      <c r="AG665" s="752" t="e">
        <f>_xlfn.XLOOKUP(Table1[[#This Row],[Ruta]],#REF!,#REF!)</f>
        <v>#REF!</v>
      </c>
      <c r="AH665" s="52">
        <v>0.69140611688014531</v>
      </c>
      <c r="AI665" s="52">
        <v>0.30859388311985475</v>
      </c>
      <c r="AJ665" s="55">
        <v>0</v>
      </c>
      <c r="AK665" s="56">
        <v>26752</v>
      </c>
      <c r="AL665" s="44">
        <v>19179</v>
      </c>
      <c r="AM665" s="54">
        <v>0.71691836124401898</v>
      </c>
      <c r="AN665" s="55">
        <v>0.59098060597158097</v>
      </c>
      <c r="AO665" s="56">
        <v>0</v>
      </c>
      <c r="AP665" s="48">
        <v>0</v>
      </c>
      <c r="AQ665" s="55">
        <v>0.71691836124401909</v>
      </c>
      <c r="AR665" s="51">
        <v>6573023.7999999998</v>
      </c>
      <c r="AS665" s="49">
        <v>0</v>
      </c>
      <c r="AT665" s="55">
        <v>0</v>
      </c>
      <c r="AU665" s="51">
        <v>0</v>
      </c>
      <c r="AV665" s="52">
        <v>0</v>
      </c>
      <c r="AW665" s="44">
        <v>490</v>
      </c>
      <c r="AX665" s="51">
        <v>342.71983940768598</v>
      </c>
      <c r="AY665" s="49">
        <v>579.67386005096603</v>
      </c>
      <c r="AZ665" s="49">
        <v>236.95402064328005</v>
      </c>
      <c r="BA665" s="42" t="s">
        <v>150</v>
      </c>
      <c r="BB665" s="50">
        <v>1596730.6785115432</v>
      </c>
      <c r="BC665" s="57">
        <v>1596730.6785115432</v>
      </c>
      <c r="BD665" s="42" t="s">
        <v>150</v>
      </c>
      <c r="BE665" s="46">
        <v>59.714285714285701</v>
      </c>
      <c r="BF665" s="46">
        <v>83.628504672897193</v>
      </c>
      <c r="BG665" s="42" t="s">
        <v>152</v>
      </c>
      <c r="BH665" s="52">
        <v>0.71691836124401898</v>
      </c>
      <c r="BI665" s="52">
        <v>0.51187669456560203</v>
      </c>
      <c r="BJ665" s="42" t="s">
        <v>150</v>
      </c>
      <c r="BK665" s="46">
        <v>741.03786779017798</v>
      </c>
      <c r="BL665" s="46">
        <v>638.00354527981403</v>
      </c>
      <c r="BM665" s="42" t="s">
        <v>150</v>
      </c>
      <c r="BN665" s="48">
        <v>2</v>
      </c>
      <c r="BO665" s="42" t="s">
        <v>161</v>
      </c>
      <c r="BP665" s="42" t="s">
        <v>152</v>
      </c>
      <c r="BQ665" s="46">
        <v>0</v>
      </c>
      <c r="BR665" s="46">
        <v>291</v>
      </c>
      <c r="BS665" s="46">
        <v>16863</v>
      </c>
      <c r="BT665" s="46">
        <v>4990</v>
      </c>
      <c r="BU665" s="46">
        <v>3.3793587174348696</v>
      </c>
      <c r="BV665" s="46">
        <v>17.147766323024054</v>
      </c>
      <c r="BW665" s="46">
        <v>0</v>
      </c>
      <c r="BX665" s="46">
        <v>687</v>
      </c>
      <c r="BY665" s="46">
        <v>687</v>
      </c>
      <c r="BZ665" s="46">
        <v>0.1376753507014028</v>
      </c>
      <c r="CA665" s="46">
        <v>0</v>
      </c>
      <c r="CB665" s="46">
        <v>0.1376753507014028</v>
      </c>
      <c r="CC665" s="46">
        <v>8.6773547094188372E-2</v>
      </c>
      <c r="CD665" s="46">
        <v>8.7575150300601201E-2</v>
      </c>
      <c r="CE665" s="46">
        <v>9.4188376753507018E-3</v>
      </c>
      <c r="CF665" s="46">
        <v>0.67855711422845688</v>
      </c>
      <c r="CG665" s="46">
        <v>0</v>
      </c>
      <c r="CH665" s="46">
        <v>0</v>
      </c>
      <c r="CI665" s="46">
        <v>7.1754729288975856</v>
      </c>
      <c r="CJ665" s="46">
        <v>0.23720571665777149</v>
      </c>
      <c r="CK665">
        <v>305</v>
      </c>
      <c r="CL665">
        <v>312.64999999999998</v>
      </c>
      <c r="CM665">
        <f t="shared" si="77"/>
        <v>7.6499999999999773</v>
      </c>
      <c r="CN665">
        <v>8.56</v>
      </c>
      <c r="CO665">
        <v>9.4499999999999993</v>
      </c>
      <c r="CP665">
        <f t="shared" si="78"/>
        <v>0.88999999999999879</v>
      </c>
      <c r="CQ665">
        <v>846.56</v>
      </c>
      <c r="CR665">
        <v>741.04</v>
      </c>
      <c r="CS665">
        <f t="shared" si="79"/>
        <v>105.51999999999998</v>
      </c>
      <c r="CT665" t="s">
        <v>152</v>
      </c>
      <c r="CU665">
        <v>90.56</v>
      </c>
      <c r="CV665">
        <v>67</v>
      </c>
      <c r="CW665" s="46">
        <v>687</v>
      </c>
      <c r="CX665" s="46">
        <f t="shared" si="73"/>
        <v>13.61422845691383</v>
      </c>
      <c r="CY665" s="46">
        <v>7.65</v>
      </c>
      <c r="CZ665" s="46">
        <f t="shared" si="74"/>
        <v>13.76753507014028</v>
      </c>
      <c r="DA665" s="46">
        <f t="shared" si="75"/>
        <v>108.11258291396958</v>
      </c>
      <c r="DB665" s="46">
        <v>540308.85</v>
      </c>
      <c r="DC665" s="46">
        <f t="shared" si="76"/>
        <v>4.9562374315928492</v>
      </c>
      <c r="DD665" s="46">
        <v>24769.54</v>
      </c>
      <c r="DE665" s="995">
        <v>687</v>
      </c>
      <c r="DF665" s="995">
        <v>13.622999999999999</v>
      </c>
      <c r="DG665" s="995">
        <v>7.2</v>
      </c>
      <c r="DH665" s="995">
        <v>13.768000000000001</v>
      </c>
      <c r="DI665" s="995">
        <v>1132.615</v>
      </c>
      <c r="DJ665" s="995">
        <v>5659937</v>
      </c>
      <c r="DK665" s="995">
        <v>55.012999999999998</v>
      </c>
      <c r="DL665" s="995">
        <v>274912.2</v>
      </c>
      <c r="DM665" s="995">
        <v>687</v>
      </c>
      <c r="DN665" s="995">
        <v>13.648</v>
      </c>
      <c r="DO665" s="995">
        <v>6</v>
      </c>
      <c r="DP665" s="995">
        <v>13.768000000000001</v>
      </c>
      <c r="DQ665" s="995">
        <v>1126.723</v>
      </c>
      <c r="DR665" s="995">
        <v>5629053</v>
      </c>
      <c r="DS665" s="995">
        <v>54.744</v>
      </c>
      <c r="DT665" s="995">
        <v>273496.40000000002</v>
      </c>
    </row>
    <row r="666" spans="1:124">
      <c r="A666" s="42" t="s">
        <v>94</v>
      </c>
      <c r="B666" s="42" t="s">
        <v>549</v>
      </c>
      <c r="C666" s="42" t="s">
        <v>889</v>
      </c>
      <c r="D666" s="42">
        <v>821402</v>
      </c>
      <c r="E666" s="42" t="s">
        <v>891</v>
      </c>
      <c r="F666" s="42" t="s">
        <v>149</v>
      </c>
      <c r="G666" s="42" t="s">
        <v>150</v>
      </c>
      <c r="H666" s="43" t="s">
        <v>150</v>
      </c>
      <c r="I666" s="44">
        <v>4</v>
      </c>
      <c r="J666" s="45">
        <v>241340.75839999999</v>
      </c>
      <c r="K666" s="46">
        <v>14418.797524</v>
      </c>
      <c r="L666" s="47">
        <v>255759.55592399999</v>
      </c>
      <c r="M666" s="48">
        <v>4741878</v>
      </c>
      <c r="N666" s="49">
        <v>3431478</v>
      </c>
      <c r="O666" s="49">
        <v>1310400</v>
      </c>
      <c r="P666" s="49">
        <v>0</v>
      </c>
      <c r="Q666" s="50">
        <v>10608.225838926201</v>
      </c>
      <c r="R666" s="51">
        <v>1426.7644017989201</v>
      </c>
      <c r="S666" s="49">
        <v>1912.40461568265</v>
      </c>
      <c r="T666" s="49">
        <v>410.26313890576802</v>
      </c>
      <c r="U666" s="49">
        <f>IFERROR(INDEX('Rentabilidad datos'!$N$2:$N$61,MATCH($C666,'Rentabilidad datos'!$C$2:$C$61,0)),"")</f>
        <v>3749.4321563873327</v>
      </c>
      <c r="V666" s="50">
        <f>IFERROR(INDEX('Rentabilidad datos'!$O$2:$O$61,MATCH($C666,'Rentabilidad datos'!$C$2:$C$61,0)),"")</f>
        <v>1249.8107187957776</v>
      </c>
      <c r="W666" s="51">
        <f>IFERROR(INDEX('Rentabilidad datos'!$M$2:$M$61,MATCH($C666,'Rentabilidad datos'!$C$2:$C$61,0)),"")</f>
        <v>3238.9979368526369</v>
      </c>
      <c r="X666" s="52">
        <f>IFERROR(INDEX('Rentabilidad datos'!$P$2:$P$61,MATCH($C666,'Rentabilidad datos'!$C$2:$C$61,0)),"")</f>
        <v>0.38586338835715028</v>
      </c>
      <c r="Y666" s="43" t="s">
        <v>151</v>
      </c>
      <c r="Z666" s="53">
        <v>54.557046979865802</v>
      </c>
      <c r="AA666" s="43">
        <v>1</v>
      </c>
      <c r="AB666" s="54">
        <v>1</v>
      </c>
      <c r="AC666" s="55">
        <v>0</v>
      </c>
      <c r="AD666" s="752" t="e">
        <f>_xlfn.XLOOKUP(Table1[[#This Row],[Ruta]],#REF!,#REF!)</f>
        <v>#REF!</v>
      </c>
      <c r="AE666" s="752" t="e">
        <f>_xlfn.XLOOKUP(Table1[[#This Row],[Ruta]],#REF!,#REF!)</f>
        <v>#REF!</v>
      </c>
      <c r="AF666" s="752" t="e">
        <f>_xlfn.XLOOKUP(Table1[[#This Row],[Ruta]],#REF!,#REF!)</f>
        <v>#REF!</v>
      </c>
      <c r="AG666" s="752" t="e">
        <f>_xlfn.XLOOKUP(Table1[[#This Row],[Ruta]],#REF!,#REF!)</f>
        <v>#REF!</v>
      </c>
      <c r="AH666" s="52">
        <v>0.72365379286434617</v>
      </c>
      <c r="AI666" s="52">
        <v>0.27634620713565383</v>
      </c>
      <c r="AJ666" s="55">
        <v>0</v>
      </c>
      <c r="AK666" s="56">
        <v>24387</v>
      </c>
      <c r="AL666" s="44">
        <v>11341</v>
      </c>
      <c r="AM666" s="54">
        <v>0.46504285069914297</v>
      </c>
      <c r="AN666" s="55">
        <v>0.59098060597158097</v>
      </c>
      <c r="AO666" s="56">
        <v>3071.2440378289498</v>
      </c>
      <c r="AP666" s="48">
        <v>1535.6220189144749</v>
      </c>
      <c r="AQ666" s="55">
        <v>0.52801172833536203</v>
      </c>
      <c r="AR666" s="51">
        <v>4741876.95</v>
      </c>
      <c r="AS666" s="49">
        <v>642071.30371245998</v>
      </c>
      <c r="AT666" s="55">
        <v>0.13540446335547782</v>
      </c>
      <c r="AU666" s="51">
        <v>451185.24044659367</v>
      </c>
      <c r="AV666" s="52">
        <v>2.0524843556318415E-3</v>
      </c>
      <c r="AW666" s="44">
        <v>162</v>
      </c>
      <c r="AX666" s="51">
        <v>418.11806278106002</v>
      </c>
      <c r="AY666" s="49">
        <v>579.67386005096603</v>
      </c>
      <c r="AZ666" s="49">
        <v>161.55579726990601</v>
      </c>
      <c r="BA666" s="42" t="s">
        <v>150</v>
      </c>
      <c r="BB666" s="50">
        <v>643747.45564578543</v>
      </c>
      <c r="BC666" s="57">
        <v>1094932.696092379</v>
      </c>
      <c r="BD666" s="42" t="s">
        <v>150</v>
      </c>
      <c r="BE666" s="46">
        <v>54.557046979865802</v>
      </c>
      <c r="BF666" s="46">
        <v>83.628504672897193</v>
      </c>
      <c r="BG666" s="42" t="s">
        <v>152</v>
      </c>
      <c r="BH666" s="52">
        <v>0.46504285069914297</v>
      </c>
      <c r="BI666" s="52">
        <v>0.51187669456560203</v>
      </c>
      <c r="BJ666" s="42" t="s">
        <v>152</v>
      </c>
      <c r="BK666" s="46">
        <v>572.16902891275095</v>
      </c>
      <c r="BL666" s="46">
        <v>638.00354527981403</v>
      </c>
      <c r="BM666" s="42" t="s">
        <v>152</v>
      </c>
      <c r="BN666" s="48">
        <v>0</v>
      </c>
      <c r="BO666" s="42" t="s">
        <v>155</v>
      </c>
      <c r="BP666" s="42" t="s">
        <v>152</v>
      </c>
      <c r="BQ666" s="46">
        <v>1813.9825478693999</v>
      </c>
      <c r="BR666" s="46">
        <v>320</v>
      </c>
      <c r="BS666" s="46">
        <v>17518</v>
      </c>
      <c r="BT666" s="46">
        <v>4859</v>
      </c>
      <c r="BU666" s="46">
        <v>3.6052685737806134</v>
      </c>
      <c r="BV666" s="46">
        <v>15.184374999999999</v>
      </c>
      <c r="BW666" s="46">
        <v>0</v>
      </c>
      <c r="BX666" s="46">
        <v>0</v>
      </c>
      <c r="BY666" s="46">
        <v>0</v>
      </c>
      <c r="BZ666" s="46">
        <v>0</v>
      </c>
      <c r="CA666" s="46">
        <v>0</v>
      </c>
      <c r="CB666" s="46">
        <v>0</v>
      </c>
      <c r="CC666" s="46">
        <v>0</v>
      </c>
      <c r="CD666" s="46">
        <v>0.18193043836180281</v>
      </c>
      <c r="CE666" s="46">
        <v>1.440625643136448E-3</v>
      </c>
      <c r="CF666" s="46">
        <v>0.8166289359950607</v>
      </c>
      <c r="CG666" s="46">
        <v>0</v>
      </c>
      <c r="CH666" s="46">
        <v>0</v>
      </c>
      <c r="CI666" s="46">
        <v>7.0213494691174789</v>
      </c>
      <c r="CJ666" s="46">
        <v>0.51375727822810824</v>
      </c>
      <c r="CK666">
        <v>205</v>
      </c>
      <c r="CL666">
        <v>205</v>
      </c>
      <c r="CM666">
        <f t="shared" si="77"/>
        <v>0</v>
      </c>
      <c r="CO666">
        <v>9.4499999999999993</v>
      </c>
      <c r="CP666">
        <f t="shared" si="78"/>
        <v>9.4499999999999993</v>
      </c>
      <c r="CS666">
        <f t="shared" si="79"/>
        <v>0</v>
      </c>
      <c r="CV666">
        <v>0</v>
      </c>
      <c r="CW666" s="46">
        <v>0</v>
      </c>
      <c r="CX666" s="46">
        <f t="shared" si="73"/>
        <v>0</v>
      </c>
      <c r="CY666" s="46">
        <v>0</v>
      </c>
      <c r="CZ666" s="46">
        <f t="shared" si="74"/>
        <v>0</v>
      </c>
      <c r="DA666" s="46">
        <f t="shared" si="75"/>
        <v>0</v>
      </c>
      <c r="DB666" s="46">
        <v>0</v>
      </c>
      <c r="DC666" s="46">
        <f t="shared" si="76"/>
        <v>0</v>
      </c>
      <c r="DD666" s="46">
        <v>0</v>
      </c>
      <c r="DE666" s="995">
        <v>0</v>
      </c>
      <c r="DF666" s="995">
        <v>0</v>
      </c>
      <c r="DG666" s="995">
        <v>0</v>
      </c>
      <c r="DH666" s="995">
        <v>0</v>
      </c>
      <c r="DI666" s="995">
        <v>681.28099999999995</v>
      </c>
      <c r="DJ666" s="995">
        <v>3310347</v>
      </c>
      <c r="DK666" s="995">
        <v>35.082999999999998</v>
      </c>
      <c r="DL666" s="995">
        <v>170469.6</v>
      </c>
      <c r="DM666" s="995">
        <v>0</v>
      </c>
      <c r="DN666" s="995">
        <v>0</v>
      </c>
      <c r="DO666" s="995">
        <v>0</v>
      </c>
      <c r="DP666" s="995">
        <v>0</v>
      </c>
      <c r="DQ666" s="995">
        <v>681.28099999999995</v>
      </c>
      <c r="DR666" s="995">
        <v>3310347</v>
      </c>
      <c r="DS666" s="995">
        <v>35.082999999999998</v>
      </c>
      <c r="DT666" s="995">
        <v>170469.6</v>
      </c>
    </row>
    <row r="667" spans="1:124">
      <c r="A667" s="42" t="s">
        <v>94</v>
      </c>
      <c r="B667" s="42" t="s">
        <v>549</v>
      </c>
      <c r="C667" s="42" t="s">
        <v>889</v>
      </c>
      <c r="D667" s="42">
        <v>821470</v>
      </c>
      <c r="E667" s="42" t="s">
        <v>892</v>
      </c>
      <c r="F667" s="42" t="s">
        <v>149</v>
      </c>
      <c r="G667" s="42" t="s">
        <v>150</v>
      </c>
      <c r="H667" s="43" t="s">
        <v>150</v>
      </c>
      <c r="I667" s="44">
        <v>4</v>
      </c>
      <c r="J667" s="45">
        <v>157310.38399999999</v>
      </c>
      <c r="K667" s="46">
        <v>4951.9312879999998</v>
      </c>
      <c r="L667" s="47">
        <v>162262.31528800001</v>
      </c>
      <c r="M667" s="48">
        <v>2379347</v>
      </c>
      <c r="N667" s="49">
        <v>1873329</v>
      </c>
      <c r="O667" s="49">
        <v>506018</v>
      </c>
      <c r="P667" s="49">
        <v>0</v>
      </c>
      <c r="Q667" s="50">
        <v>5572.2416861826696</v>
      </c>
      <c r="R667" s="51">
        <v>1426.7644017989201</v>
      </c>
      <c r="S667" s="49">
        <v>1912.40461568265</v>
      </c>
      <c r="T667" s="49">
        <v>410.26313890576802</v>
      </c>
      <c r="U667" s="49">
        <f>IFERROR(INDEX('Rentabilidad datos'!$N$2:$N$61,MATCH($C667,'Rentabilidad datos'!$C$2:$C$61,0)),"")</f>
        <v>3749.4321563873327</v>
      </c>
      <c r="V667" s="50">
        <f>IFERROR(INDEX('Rentabilidad datos'!$O$2:$O$61,MATCH($C667,'Rentabilidad datos'!$C$2:$C$61,0)),"")</f>
        <v>1249.8107187957776</v>
      </c>
      <c r="W667" s="51">
        <f>IFERROR(INDEX('Rentabilidad datos'!$M$2:$M$61,MATCH($C667,'Rentabilidad datos'!$C$2:$C$61,0)),"")</f>
        <v>3238.9979368526369</v>
      </c>
      <c r="X667" s="52">
        <f>IFERROR(INDEX('Rentabilidad datos'!$P$2:$P$61,MATCH($C667,'Rentabilidad datos'!$C$2:$C$61,0)),"")</f>
        <v>0.38586338835715028</v>
      </c>
      <c r="Y667" s="43" t="s">
        <v>151</v>
      </c>
      <c r="Z667" s="53">
        <v>21.330708661417301</v>
      </c>
      <c r="AA667" s="43">
        <v>1</v>
      </c>
      <c r="AB667" s="54">
        <v>1</v>
      </c>
      <c r="AC667" s="55">
        <v>0</v>
      </c>
      <c r="AD667" s="752" t="e">
        <f>_xlfn.XLOOKUP(Table1[[#This Row],[Ruta]],#REF!,#REF!)</f>
        <v>#REF!</v>
      </c>
      <c r="AE667" s="752" t="e">
        <f>_xlfn.XLOOKUP(Table1[[#This Row],[Ruta]],#REF!,#REF!)</f>
        <v>#REF!</v>
      </c>
      <c r="AF667" s="752" t="e">
        <f>_xlfn.XLOOKUP(Table1[[#This Row],[Ruta]],#REF!,#REF!)</f>
        <v>#REF!</v>
      </c>
      <c r="AG667" s="752" t="e">
        <f>_xlfn.XLOOKUP(Table1[[#This Row],[Ruta]],#REF!,#REF!)</f>
        <v>#REF!</v>
      </c>
      <c r="AH667" s="52">
        <v>0.78732904448153207</v>
      </c>
      <c r="AI667" s="52">
        <v>0.21267095551846787</v>
      </c>
      <c r="AJ667" s="55">
        <v>0</v>
      </c>
      <c r="AK667" s="56">
        <v>2709</v>
      </c>
      <c r="AL667" s="44">
        <v>3210</v>
      </c>
      <c r="AM667" s="54">
        <v>0.37689184200812098</v>
      </c>
      <c r="AN667" s="55">
        <v>0.59098060597158097</v>
      </c>
      <c r="AO667" s="56">
        <v>579.96646157701298</v>
      </c>
      <c r="AP667" s="48">
        <v>289.98323078850649</v>
      </c>
      <c r="AQ667" s="55">
        <v>1.291983473897566</v>
      </c>
      <c r="AR667" s="51">
        <v>2379347.2000000002</v>
      </c>
      <c r="AS667" s="49">
        <v>214944.170786164</v>
      </c>
      <c r="AT667" s="55">
        <v>9.0337455074301048E-2</v>
      </c>
      <c r="AU667" s="51">
        <v>151041.8497416288</v>
      </c>
      <c r="AV667" s="52">
        <v>6.8710366796026457E-4</v>
      </c>
      <c r="AW667" s="44">
        <v>352</v>
      </c>
      <c r="AX667" s="51">
        <v>741.22965732087198</v>
      </c>
      <c r="AY667" s="49">
        <v>579.67386005096603</v>
      </c>
      <c r="AZ667" s="49">
        <v>0</v>
      </c>
      <c r="BA667" s="42" t="s">
        <v>152</v>
      </c>
      <c r="BB667" s="50">
        <v>0</v>
      </c>
      <c r="BC667" s="57">
        <v>151041.8497416288</v>
      </c>
      <c r="BD667" s="42" t="s">
        <v>150</v>
      </c>
      <c r="BE667" s="46">
        <v>21.330708661417301</v>
      </c>
      <c r="BF667" s="46">
        <v>83.628504672897193</v>
      </c>
      <c r="BG667" s="42" t="s">
        <v>152</v>
      </c>
      <c r="BH667" s="52">
        <v>0.37689184200812098</v>
      </c>
      <c r="BI667" s="52">
        <v>0.51187669456560203</v>
      </c>
      <c r="BJ667" s="42" t="s">
        <v>152</v>
      </c>
      <c r="BK667" s="46">
        <v>380.00542222014002</v>
      </c>
      <c r="BL667" s="46">
        <v>638.00354527981403</v>
      </c>
      <c r="BM667" s="42" t="s">
        <v>152</v>
      </c>
      <c r="BN667" s="48">
        <v>0</v>
      </c>
      <c r="BO667" s="42" t="s">
        <v>155</v>
      </c>
      <c r="BP667" s="42" t="s">
        <v>152</v>
      </c>
      <c r="BQ667" s="46">
        <v>3047.9997393367798</v>
      </c>
      <c r="BR667" s="46">
        <v>422</v>
      </c>
      <c r="BS667" s="46">
        <v>19867</v>
      </c>
      <c r="BT667" s="46">
        <v>5755</v>
      </c>
      <c r="BU667" s="46">
        <v>3.452128583840139</v>
      </c>
      <c r="BV667" s="46">
        <v>13.637440758293838</v>
      </c>
      <c r="BW667" s="46">
        <v>0</v>
      </c>
      <c r="BX667" s="46">
        <v>79</v>
      </c>
      <c r="BY667" s="46">
        <v>79</v>
      </c>
      <c r="BZ667" s="46">
        <v>1.3727193744569939E-2</v>
      </c>
      <c r="CA667" s="46">
        <v>0</v>
      </c>
      <c r="CB667" s="46">
        <v>1.3727193744569941E-2</v>
      </c>
      <c r="CC667" s="46">
        <v>5.7341442224152911E-3</v>
      </c>
      <c r="CD667" s="46">
        <v>5.2128583840139011E-4</v>
      </c>
      <c r="CE667" s="46">
        <v>6.7767158992180724E-3</v>
      </c>
      <c r="CF667" s="46">
        <v>0.97202432667245875</v>
      </c>
      <c r="CG667" s="46">
        <v>8.6880973066898344E-4</v>
      </c>
      <c r="CH667" s="46">
        <v>3.4752389226759339E-4</v>
      </c>
      <c r="CI667" s="46">
        <v>8.0032214224593545</v>
      </c>
      <c r="CJ667" s="46">
        <v>0.1006694518548346</v>
      </c>
      <c r="CK667">
        <v>37</v>
      </c>
      <c r="CL667">
        <v>60.97</v>
      </c>
      <c r="CM667">
        <f t="shared" si="77"/>
        <v>23.97</v>
      </c>
      <c r="CN667">
        <v>2.27</v>
      </c>
      <c r="CO667">
        <v>9.4499999999999993</v>
      </c>
      <c r="CP667">
        <f t="shared" si="78"/>
        <v>7.18</v>
      </c>
      <c r="CQ667">
        <v>846.56</v>
      </c>
      <c r="CR667">
        <v>380.01</v>
      </c>
      <c r="CS667">
        <f t="shared" si="79"/>
        <v>466.54999999999995</v>
      </c>
      <c r="CT667" t="s">
        <v>152</v>
      </c>
      <c r="CU667">
        <v>44.89</v>
      </c>
      <c r="CV667">
        <v>1</v>
      </c>
      <c r="CW667" s="46">
        <v>79</v>
      </c>
      <c r="CX667" s="46">
        <f t="shared" si="73"/>
        <v>0.95621198957428333</v>
      </c>
      <c r="CY667" s="46">
        <v>23.97</v>
      </c>
      <c r="CZ667" s="46">
        <f t="shared" si="74"/>
        <v>1.3727193744569939</v>
      </c>
      <c r="DA667" s="46">
        <f t="shared" si="75"/>
        <v>123.91819130398669</v>
      </c>
      <c r="DB667" s="46">
        <v>716119.51</v>
      </c>
      <c r="DC667" s="46">
        <f t="shared" si="76"/>
        <v>4.6042703111454113</v>
      </c>
      <c r="DD667" s="46">
        <v>26607.94</v>
      </c>
      <c r="DE667" s="995">
        <v>79</v>
      </c>
      <c r="DF667" s="995">
        <v>0.97499999999999998</v>
      </c>
      <c r="DG667" s="995">
        <v>22.9</v>
      </c>
      <c r="DH667" s="995">
        <v>1.373</v>
      </c>
      <c r="DI667" s="995">
        <v>290.65300000000002</v>
      </c>
      <c r="DJ667" s="995">
        <v>1679353</v>
      </c>
      <c r="DK667" s="995">
        <v>11.195</v>
      </c>
      <c r="DL667" s="995">
        <v>64681</v>
      </c>
      <c r="DM667" s="995">
        <v>79</v>
      </c>
      <c r="DN667" s="995">
        <v>1.0329999999999999</v>
      </c>
      <c r="DO667" s="995">
        <v>19.5</v>
      </c>
      <c r="DP667" s="995">
        <v>1.373</v>
      </c>
      <c r="DQ667" s="995">
        <v>273.60500000000002</v>
      </c>
      <c r="DR667" s="995">
        <v>1579942</v>
      </c>
      <c r="DS667" s="995">
        <v>10.561</v>
      </c>
      <c r="DT667" s="995">
        <v>60987.3</v>
      </c>
    </row>
    <row r="668" spans="1:124">
      <c r="A668" s="42" t="s">
        <v>94</v>
      </c>
      <c r="B668" s="42" t="s">
        <v>549</v>
      </c>
      <c r="C668" s="42" t="s">
        <v>889</v>
      </c>
      <c r="D668" s="42" t="s">
        <v>322</v>
      </c>
      <c r="E668" s="42" t="s">
        <v>893</v>
      </c>
      <c r="F668" s="42" t="s">
        <v>324</v>
      </c>
      <c r="G668" s="42" t="s">
        <v>152</v>
      </c>
      <c r="H668" s="43" t="s">
        <v>152</v>
      </c>
      <c r="I668" s="44">
        <v>4</v>
      </c>
      <c r="J668" s="45">
        <v>0</v>
      </c>
      <c r="K668" s="46">
        <v>0</v>
      </c>
      <c r="L668" s="47">
        <v>5555.3475250000001</v>
      </c>
      <c r="M668" s="48">
        <v>0</v>
      </c>
      <c r="N668" s="49">
        <v>0</v>
      </c>
      <c r="O668" s="49">
        <v>0</v>
      </c>
      <c r="P668" s="49">
        <v>0</v>
      </c>
      <c r="Q668" s="50">
        <v>0</v>
      </c>
      <c r="R668" s="51">
        <v>1426.7644017989201</v>
      </c>
      <c r="S668" s="49">
        <v>1912.40461568265</v>
      </c>
      <c r="T668" s="49">
        <v>410.26313890576802</v>
      </c>
      <c r="U668" s="49">
        <f>IFERROR(INDEX('Rentabilidad datos'!$N$2:$N$61,MATCH($C668,'Rentabilidad datos'!$C$2:$C$61,0)),"")</f>
        <v>3749.4321563873327</v>
      </c>
      <c r="V668" s="50">
        <f>IFERROR(INDEX('Rentabilidad datos'!$O$2:$O$61,MATCH($C668,'Rentabilidad datos'!$C$2:$C$61,0)),"")</f>
        <v>1249.8107187957776</v>
      </c>
      <c r="W668" s="51">
        <f>IFERROR(INDEX('Rentabilidad datos'!$M$2:$M$61,MATCH($C668,'Rentabilidad datos'!$C$2:$C$61,0)),"")</f>
        <v>3238.9979368526369</v>
      </c>
      <c r="X668" s="52">
        <f>IFERROR(INDEX('Rentabilidad datos'!$P$2:$P$61,MATCH($C668,'Rentabilidad datos'!$C$2:$C$61,0)),"")</f>
        <v>0.38586338835715028</v>
      </c>
      <c r="Y668" s="43" t="s">
        <v>151</v>
      </c>
      <c r="Z668" s="53">
        <v>0</v>
      </c>
      <c r="AA668" s="43">
        <v>1</v>
      </c>
      <c r="AB668" s="54">
        <v>0</v>
      </c>
      <c r="AC668" s="55">
        <v>0</v>
      </c>
      <c r="AD668" s="752" t="e">
        <f>_xlfn.XLOOKUP(Table1[[#This Row],[Ruta]],#REF!,#REF!)</f>
        <v>#REF!</v>
      </c>
      <c r="AE668" s="752" t="e">
        <f>_xlfn.XLOOKUP(Table1[[#This Row],[Ruta]],#REF!,#REF!)</f>
        <v>#REF!</v>
      </c>
      <c r="AF668" s="752" t="e">
        <f>_xlfn.XLOOKUP(Table1[[#This Row],[Ruta]],#REF!,#REF!)</f>
        <v>#REF!</v>
      </c>
      <c r="AG668" s="752" t="e">
        <f>_xlfn.XLOOKUP(Table1[[#This Row],[Ruta]],#REF!,#REF!)</f>
        <v>#REF!</v>
      </c>
      <c r="AH668" s="52">
        <v>0</v>
      </c>
      <c r="AI668" s="52">
        <v>0</v>
      </c>
      <c r="AJ668" s="55">
        <v>0</v>
      </c>
      <c r="AK668" s="56">
        <v>0</v>
      </c>
      <c r="AL668" s="44">
        <v>853</v>
      </c>
      <c r="AM668" s="54">
        <v>0</v>
      </c>
      <c r="AN668" s="55">
        <v>0.59098060597158097</v>
      </c>
      <c r="AO668" s="56">
        <v>0</v>
      </c>
      <c r="AP668" s="48">
        <v>0</v>
      </c>
      <c r="AQ668" s="55" t="s">
        <v>194</v>
      </c>
      <c r="AR668" s="51">
        <v>504936.24</v>
      </c>
      <c r="AS668" s="49">
        <v>0</v>
      </c>
      <c r="AT668" s="55">
        <v>0</v>
      </c>
      <c r="AU668" s="51">
        <v>0</v>
      </c>
      <c r="AV668" s="52">
        <v>0</v>
      </c>
      <c r="AW668" s="44">
        <v>490</v>
      </c>
      <c r="AX668" s="51">
        <v>591.95338804220398</v>
      </c>
      <c r="AY668" s="49">
        <v>579.67386005096603</v>
      </c>
      <c r="AZ668" s="49">
        <v>0</v>
      </c>
      <c r="BA668" s="42" t="s">
        <v>152</v>
      </c>
      <c r="BB668" s="50">
        <v>0</v>
      </c>
      <c r="BC668" s="57">
        <v>0</v>
      </c>
      <c r="BD668" s="42" t="s">
        <v>152</v>
      </c>
      <c r="BE668" s="46" t="s">
        <v>195</v>
      </c>
      <c r="BF668" s="46" t="s">
        <v>195</v>
      </c>
      <c r="BG668" s="42" t="s">
        <v>195</v>
      </c>
      <c r="BH668" s="52" t="s">
        <v>195</v>
      </c>
      <c r="BI668" s="52" t="s">
        <v>195</v>
      </c>
      <c r="BJ668" s="42" t="s">
        <v>195</v>
      </c>
      <c r="BK668" s="46" t="s">
        <v>195</v>
      </c>
      <c r="BL668" s="46" t="s">
        <v>195</v>
      </c>
      <c r="BM668" s="42" t="s">
        <v>195</v>
      </c>
      <c r="BN668" s="48" t="s">
        <v>195</v>
      </c>
      <c r="BO668" s="42" t="s">
        <v>195</v>
      </c>
      <c r="BP668" s="42" t="s">
        <v>152</v>
      </c>
      <c r="BQ668" s="46">
        <v>0</v>
      </c>
      <c r="BR668" s="46" t="e">
        <v>#N/A</v>
      </c>
      <c r="BS668" s="46" t="e">
        <v>#N/A</v>
      </c>
      <c r="BT668" s="46" t="e">
        <v>#N/A</v>
      </c>
      <c r="BU668" s="46" t="e">
        <v>#N/A</v>
      </c>
      <c r="BV668" s="46" t="e">
        <v>#N/A</v>
      </c>
      <c r="BW668" s="46" t="e">
        <v>#N/A</v>
      </c>
      <c r="BX668" s="46" t="e">
        <v>#N/A</v>
      </c>
      <c r="BY668" s="46" t="e">
        <v>#N/A</v>
      </c>
      <c r="BZ668" s="46" t="e">
        <v>#N/A</v>
      </c>
      <c r="CA668" s="46" t="e">
        <v>#N/A</v>
      </c>
      <c r="CB668" s="46" t="e">
        <v>#N/A</v>
      </c>
      <c r="CC668" s="46" t="e">
        <v>#N/A</v>
      </c>
      <c r="CD668" s="46" t="e">
        <v>#N/A</v>
      </c>
      <c r="CE668" s="46" t="e">
        <v>#N/A</v>
      </c>
      <c r="CF668" s="46" t="e">
        <v>#N/A</v>
      </c>
      <c r="CG668" s="46" t="e">
        <v>#N/A</v>
      </c>
      <c r="CH668" s="46" t="e">
        <v>#N/A</v>
      </c>
      <c r="CI668" s="46" t="e">
        <v>#N/A</v>
      </c>
      <c r="CJ668" s="46" t="e">
        <v>#N/A</v>
      </c>
      <c r="CM668">
        <f t="shared" si="77"/>
        <v>0</v>
      </c>
      <c r="CP668">
        <f t="shared" si="78"/>
        <v>0</v>
      </c>
      <c r="CS668">
        <f t="shared" si="79"/>
        <v>0</v>
      </c>
      <c r="CW668" s="46"/>
      <c r="CX668" s="46" t="e">
        <f t="shared" si="73"/>
        <v>#N/A</v>
      </c>
      <c r="CY668" s="46"/>
      <c r="CZ668" s="46" t="e">
        <f t="shared" si="74"/>
        <v>#N/A</v>
      </c>
      <c r="DA668" s="46" t="e">
        <f t="shared" si="75"/>
        <v>#N/A</v>
      </c>
      <c r="DB668" s="46"/>
      <c r="DC668" s="46" t="e">
        <f t="shared" si="76"/>
        <v>#N/A</v>
      </c>
      <c r="DD668" s="46"/>
      <c r="DE668" s="995" t="s">
        <v>194</v>
      </c>
      <c r="DF668" s="995" t="s">
        <v>194</v>
      </c>
      <c r="DG668" s="995" t="s">
        <v>194</v>
      </c>
      <c r="DH668" s="995" t="s">
        <v>194</v>
      </c>
      <c r="DI668" s="995" t="s">
        <v>194</v>
      </c>
      <c r="DJ668" s="995" t="s">
        <v>194</v>
      </c>
      <c r="DK668" s="995" t="s">
        <v>194</v>
      </c>
      <c r="DL668" s="995" t="s">
        <v>194</v>
      </c>
      <c r="DM668" s="995" t="s">
        <v>194</v>
      </c>
      <c r="DN668" s="995" t="s">
        <v>194</v>
      </c>
      <c r="DO668" s="995" t="s">
        <v>194</v>
      </c>
      <c r="DP668" s="995" t="s">
        <v>194</v>
      </c>
      <c r="DQ668" s="995" t="s">
        <v>194</v>
      </c>
      <c r="DR668" s="995" t="s">
        <v>194</v>
      </c>
      <c r="DS668" s="995" t="s">
        <v>194</v>
      </c>
      <c r="DT668" s="995" t="s">
        <v>194</v>
      </c>
    </row>
    <row r="669" spans="1:124">
      <c r="A669" s="42" t="s">
        <v>94</v>
      </c>
      <c r="B669" s="42" t="s">
        <v>320</v>
      </c>
      <c r="C669" s="42" t="s">
        <v>894</v>
      </c>
      <c r="D669" s="42">
        <v>833300</v>
      </c>
      <c r="E669" s="42" t="s">
        <v>895</v>
      </c>
      <c r="F669" s="42" t="s">
        <v>149</v>
      </c>
      <c r="G669" s="42" t="s">
        <v>150</v>
      </c>
      <c r="H669" s="43" t="s">
        <v>150</v>
      </c>
      <c r="I669" s="44">
        <v>1</v>
      </c>
      <c r="J669" s="45">
        <v>274423.13919999998</v>
      </c>
      <c r="K669" s="46">
        <v>1276.0189250000001</v>
      </c>
      <c r="L669" s="47">
        <v>275699.15812500002</v>
      </c>
      <c r="M669" s="48">
        <v>0</v>
      </c>
      <c r="N669" s="49">
        <v>0</v>
      </c>
      <c r="O669" s="49">
        <v>0</v>
      </c>
      <c r="P669" s="49">
        <v>0</v>
      </c>
      <c r="Q669" s="50">
        <v>7693.7756775701</v>
      </c>
      <c r="R669" s="51" t="s">
        <v>194</v>
      </c>
      <c r="S669" s="49" t="s">
        <v>194</v>
      </c>
      <c r="T669" s="49" t="s">
        <v>194</v>
      </c>
      <c r="U669" s="49" t="str">
        <f>IFERROR(INDEX('Rentabilidad datos'!$N$2:$N$61,MATCH($C669,'Rentabilidad datos'!$C$2:$C$61,0)),"")</f>
        <v/>
      </c>
      <c r="V669" s="50" t="str">
        <f>IFERROR(INDEX('Rentabilidad datos'!$O$2:$O$61,MATCH($C669,'Rentabilidad datos'!$C$2:$C$61,0)),"")</f>
        <v/>
      </c>
      <c r="W669" s="51" t="str">
        <f>IFERROR(INDEX('Rentabilidad datos'!$M$2:$M$61,MATCH($C669,'Rentabilidad datos'!$C$2:$C$61,0)),"")</f>
        <v/>
      </c>
      <c r="X669" s="52" t="str">
        <f>IFERROR(INDEX('Rentabilidad datos'!$P$2:$P$61,MATCH($C669,'Rentabilidad datos'!$C$2:$C$61,0)),"")</f>
        <v/>
      </c>
      <c r="Y669" s="43">
        <v>0</v>
      </c>
      <c r="Z669" s="53">
        <v>13.6407766990291</v>
      </c>
      <c r="AA669" s="43">
        <v>1</v>
      </c>
      <c r="AB669" s="54">
        <v>0</v>
      </c>
      <c r="AC669" s="55">
        <v>0</v>
      </c>
      <c r="AD669" s="752" t="e">
        <f>_xlfn.XLOOKUP(Table1[[#This Row],[Ruta]],#REF!,#REF!)</f>
        <v>#REF!</v>
      </c>
      <c r="AE669" s="752" t="e">
        <f>_xlfn.XLOOKUP(Table1[[#This Row],[Ruta]],#REF!,#REF!)</f>
        <v>#REF!</v>
      </c>
      <c r="AF669" s="752" t="e">
        <f>_xlfn.XLOOKUP(Table1[[#This Row],[Ruta]],#REF!,#REF!)</f>
        <v>#REF!</v>
      </c>
      <c r="AG669" s="752" t="e">
        <f>_xlfn.XLOOKUP(Table1[[#This Row],[Ruta]],#REF!,#REF!)</f>
        <v>#REF!</v>
      </c>
      <c r="AH669" s="52">
        <v>0</v>
      </c>
      <c r="AI669" s="52">
        <v>0</v>
      </c>
      <c r="AJ669" s="55">
        <v>0</v>
      </c>
      <c r="AK669" s="56">
        <v>1405</v>
      </c>
      <c r="AL669" s="44">
        <v>2392</v>
      </c>
      <c r="AM669" s="54">
        <v>0.34234875444839902</v>
      </c>
      <c r="AN669" s="55">
        <v>0.34234875444839902</v>
      </c>
      <c r="AO669" s="56">
        <v>0</v>
      </c>
      <c r="AP669" s="48">
        <v>0</v>
      </c>
      <c r="AQ669" s="55">
        <v>1.7024911032028469</v>
      </c>
      <c r="AR669" s="51">
        <v>3292935.99</v>
      </c>
      <c r="AS669" s="49">
        <v>0</v>
      </c>
      <c r="AT669" s="55">
        <v>0</v>
      </c>
      <c r="AU669" s="51">
        <v>0</v>
      </c>
      <c r="AV669" s="52">
        <v>0</v>
      </c>
      <c r="AW669" s="44">
        <v>490</v>
      </c>
      <c r="AX669" s="51">
        <v>1376.6454807692301</v>
      </c>
      <c r="AY669" s="49">
        <v>1376.6454807692301</v>
      </c>
      <c r="AZ669" s="49">
        <v>0</v>
      </c>
      <c r="BA669" s="42" t="s">
        <v>152</v>
      </c>
      <c r="BB669" s="50">
        <v>0</v>
      </c>
      <c r="BC669" s="57">
        <v>0</v>
      </c>
      <c r="BD669" s="42" t="s">
        <v>150</v>
      </c>
      <c r="BE669" s="46">
        <v>13.6407766990291</v>
      </c>
      <c r="BF669" s="46" t="s">
        <v>896</v>
      </c>
      <c r="BG669" s="42" t="s">
        <v>195</v>
      </c>
      <c r="BH669" s="52">
        <v>0.34234875444839902</v>
      </c>
      <c r="BI669" s="52" t="s">
        <v>896</v>
      </c>
      <c r="BJ669" s="42" t="s">
        <v>195</v>
      </c>
      <c r="BK669" s="46">
        <v>644.156911507009</v>
      </c>
      <c r="BL669" s="46" t="s">
        <v>896</v>
      </c>
      <c r="BM669" s="42" t="s">
        <v>195</v>
      </c>
      <c r="BN669" s="48">
        <v>0</v>
      </c>
      <c r="BO669" s="42" t="s">
        <v>155</v>
      </c>
      <c r="BP669" s="42" t="s">
        <v>152</v>
      </c>
      <c r="BQ669" s="46">
        <v>0</v>
      </c>
      <c r="BR669" s="46" t="e">
        <v>#N/A</v>
      </c>
      <c r="BS669" s="46" t="e">
        <v>#N/A</v>
      </c>
      <c r="BT669" s="46" t="e">
        <v>#N/A</v>
      </c>
      <c r="BU669" s="46" t="e">
        <v>#N/A</v>
      </c>
      <c r="BV669" s="46" t="e">
        <v>#N/A</v>
      </c>
      <c r="BW669" s="46" t="e">
        <v>#N/A</v>
      </c>
      <c r="BX669" s="46" t="e">
        <v>#N/A</v>
      </c>
      <c r="BY669" s="46" t="e">
        <v>#N/A</v>
      </c>
      <c r="BZ669" s="46" t="e">
        <v>#N/A</v>
      </c>
      <c r="CA669" s="46" t="e">
        <v>#N/A</v>
      </c>
      <c r="CB669" s="46" t="e">
        <v>#N/A</v>
      </c>
      <c r="CC669" s="46" t="e">
        <v>#N/A</v>
      </c>
      <c r="CD669" s="46" t="e">
        <v>#N/A</v>
      </c>
      <c r="CE669" s="46" t="e">
        <v>#N/A</v>
      </c>
      <c r="CF669" s="46" t="e">
        <v>#N/A</v>
      </c>
      <c r="CG669" s="46" t="e">
        <v>#N/A</v>
      </c>
      <c r="CH669" s="46" t="e">
        <v>#N/A</v>
      </c>
      <c r="CI669" s="46" t="e">
        <v>#N/A</v>
      </c>
      <c r="CJ669" s="46" t="e">
        <v>#N/A</v>
      </c>
      <c r="CM669">
        <f t="shared" si="77"/>
        <v>0</v>
      </c>
      <c r="CP669">
        <f t="shared" si="78"/>
        <v>0</v>
      </c>
      <c r="CS669">
        <f t="shared" si="79"/>
        <v>0</v>
      </c>
      <c r="CW669" s="46"/>
      <c r="CX669" s="46" t="e">
        <f t="shared" si="73"/>
        <v>#N/A</v>
      </c>
      <c r="CY669" s="46"/>
      <c r="CZ669" s="46" t="e">
        <f t="shared" si="74"/>
        <v>#N/A</v>
      </c>
      <c r="DA669" s="46" t="e">
        <f t="shared" si="75"/>
        <v>#N/A</v>
      </c>
      <c r="DB669" s="46"/>
      <c r="DC669" s="46" t="e">
        <f t="shared" si="76"/>
        <v>#N/A</v>
      </c>
      <c r="DD669" s="46"/>
      <c r="DE669" s="995" t="s">
        <v>194</v>
      </c>
      <c r="DF669" s="995" t="s">
        <v>194</v>
      </c>
      <c r="DG669" s="995" t="s">
        <v>194</v>
      </c>
      <c r="DH669" s="995" t="s">
        <v>194</v>
      </c>
      <c r="DI669" s="995" t="s">
        <v>194</v>
      </c>
      <c r="DJ669" s="995" t="s">
        <v>194</v>
      </c>
      <c r="DK669" s="995" t="s">
        <v>194</v>
      </c>
      <c r="DL669" s="995" t="s">
        <v>194</v>
      </c>
      <c r="DM669" s="995" t="s">
        <v>194</v>
      </c>
      <c r="DN669" s="995" t="s">
        <v>194</v>
      </c>
      <c r="DO669" s="995" t="s">
        <v>194</v>
      </c>
      <c r="DP669" s="995" t="s">
        <v>194</v>
      </c>
      <c r="DQ669" s="995" t="s">
        <v>194</v>
      </c>
      <c r="DR669" s="995" t="s">
        <v>194</v>
      </c>
      <c r="DS669" s="995" t="s">
        <v>194</v>
      </c>
      <c r="DT669" s="995" t="s">
        <v>194</v>
      </c>
    </row>
    <row r="670" spans="1:124">
      <c r="A670" s="42" t="s">
        <v>94</v>
      </c>
      <c r="B670" s="42" t="s">
        <v>549</v>
      </c>
      <c r="C670" s="42" t="s">
        <v>897</v>
      </c>
      <c r="D670" s="42">
        <v>822300</v>
      </c>
      <c r="E670" s="42" t="s">
        <v>898</v>
      </c>
      <c r="F670" s="42" t="s">
        <v>149</v>
      </c>
      <c r="G670" s="42" t="s">
        <v>150</v>
      </c>
      <c r="H670" s="43" t="s">
        <v>150</v>
      </c>
      <c r="I670" s="44">
        <v>1</v>
      </c>
      <c r="J670" s="45">
        <v>215736.43279999899</v>
      </c>
      <c r="K670" s="46">
        <v>8056.0778259999997</v>
      </c>
      <c r="L670" s="47">
        <v>223792.51062599901</v>
      </c>
      <c r="M670" s="48">
        <v>3539313</v>
      </c>
      <c r="N670" s="49">
        <v>2655356</v>
      </c>
      <c r="O670" s="49">
        <v>882271</v>
      </c>
      <c r="P670" s="49">
        <v>1686</v>
      </c>
      <c r="Q670" s="50">
        <v>7931.9000672645698</v>
      </c>
      <c r="R670" s="51">
        <v>422.48613690764398</v>
      </c>
      <c r="S670" s="49">
        <v>636.67635395782099</v>
      </c>
      <c r="T670" s="49">
        <v>136.75437963525599</v>
      </c>
      <c r="U670" s="49">
        <f>IFERROR(INDEX('Rentabilidad datos'!$N$2:$N$61,MATCH($C670,'Rentabilidad datos'!$C$2:$C$61,0)),"")</f>
        <v>1195.916870500721</v>
      </c>
      <c r="V670" s="50">
        <f>IFERROR(INDEX('Rentabilidad datos'!$O$2:$O$61,MATCH($C670,'Rentabilidad datos'!$C$2:$C$61,0)),"")</f>
        <v>1195.916870500721</v>
      </c>
      <c r="W670" s="51">
        <f>IFERROR(INDEX('Rentabilidad datos'!$M$2:$M$61,MATCH($C670,'Rentabilidad datos'!$C$2:$C$61,0)),"")</f>
        <v>2406.6869575763203</v>
      </c>
      <c r="X670" s="52">
        <f>IFERROR(INDEX('Rentabilidad datos'!$P$2:$P$61,MATCH($C670,'Rentabilidad datos'!$C$2:$C$61,0)),"")</f>
        <v>0.49691417769807578</v>
      </c>
      <c r="Y670" s="43" t="s">
        <v>151</v>
      </c>
      <c r="Z670" s="53">
        <v>45.721973094170401</v>
      </c>
      <c r="AA670" s="43">
        <v>1</v>
      </c>
      <c r="AB670" s="54">
        <v>1</v>
      </c>
      <c r="AC670" s="55">
        <v>0</v>
      </c>
      <c r="AD670" s="752" t="e">
        <f>_xlfn.XLOOKUP(Table1[[#This Row],[Ruta]],#REF!,#REF!)</f>
        <v>#REF!</v>
      </c>
      <c r="AE670" s="752" t="e">
        <f>_xlfn.XLOOKUP(Table1[[#This Row],[Ruta]],#REF!,#REF!)</f>
        <v>#REF!</v>
      </c>
      <c r="AF670" s="752" t="e">
        <f>_xlfn.XLOOKUP(Table1[[#This Row],[Ruta]],#REF!,#REF!)</f>
        <v>#REF!</v>
      </c>
      <c r="AG670" s="752" t="e">
        <f>_xlfn.XLOOKUP(Table1[[#This Row],[Ruta]],#REF!,#REF!)</f>
        <v>#REF!</v>
      </c>
      <c r="AH670" s="52">
        <v>0.75024616359163487</v>
      </c>
      <c r="AI670" s="52">
        <v>0.24927747277508375</v>
      </c>
      <c r="AJ670" s="55">
        <v>4.7636363328137411E-4</v>
      </c>
      <c r="AK670" s="56">
        <v>20392</v>
      </c>
      <c r="AL670" s="44">
        <v>10347</v>
      </c>
      <c r="AM670" s="54">
        <v>0.50740486465280499</v>
      </c>
      <c r="AN670" s="55">
        <v>0.50740486465280499</v>
      </c>
      <c r="AO670" s="56">
        <v>0</v>
      </c>
      <c r="AP670" s="48">
        <v>0</v>
      </c>
      <c r="AQ670" s="55">
        <v>0.50740486465280499</v>
      </c>
      <c r="AR670" s="51">
        <v>3537627.43</v>
      </c>
      <c r="AS670" s="49">
        <v>0</v>
      </c>
      <c r="AT670" s="55">
        <v>0</v>
      </c>
      <c r="AU670" s="51">
        <v>0</v>
      </c>
      <c r="AV670" s="52">
        <v>0</v>
      </c>
      <c r="AW670" s="44">
        <v>490</v>
      </c>
      <c r="AX670" s="51">
        <v>341.89885280757699</v>
      </c>
      <c r="AY670" s="49">
        <v>341.89885280757699</v>
      </c>
      <c r="AZ670" s="49">
        <v>0</v>
      </c>
      <c r="BA670" s="42" t="s">
        <v>152</v>
      </c>
      <c r="BB670" s="50">
        <v>0</v>
      </c>
      <c r="BC670" s="57">
        <v>0</v>
      </c>
      <c r="BD670" s="42" t="s">
        <v>150</v>
      </c>
      <c r="BE670" s="46">
        <v>45.721973094170401</v>
      </c>
      <c r="BF670" s="46">
        <v>83.628504672897193</v>
      </c>
      <c r="BG670" s="42" t="s">
        <v>152</v>
      </c>
      <c r="BH670" s="52">
        <v>0.50740486465280499</v>
      </c>
      <c r="BI670" s="52">
        <v>0.51187669456560203</v>
      </c>
      <c r="BJ670" s="42" t="s">
        <v>152</v>
      </c>
      <c r="BK670" s="46">
        <v>501.77692965470698</v>
      </c>
      <c r="BL670" s="46">
        <v>638.00354527981403</v>
      </c>
      <c r="BM670" s="42" t="s">
        <v>152</v>
      </c>
      <c r="BN670" s="48">
        <v>0</v>
      </c>
      <c r="BO670" s="42" t="s">
        <v>155</v>
      </c>
      <c r="BP670" s="42" t="s">
        <v>152</v>
      </c>
      <c r="BQ670" s="46">
        <v>0</v>
      </c>
      <c r="BR670" s="46">
        <v>1131</v>
      </c>
      <c r="BS670" s="46">
        <v>54717</v>
      </c>
      <c r="BT670" s="46">
        <v>15879</v>
      </c>
      <c r="BU670" s="46">
        <v>3.4458719062913281</v>
      </c>
      <c r="BV670" s="46">
        <v>14.039787798408488</v>
      </c>
      <c r="BW670" s="46">
        <v>0</v>
      </c>
      <c r="BX670" s="46">
        <v>534</v>
      </c>
      <c r="BY670" s="46">
        <v>534</v>
      </c>
      <c r="BZ670" s="46">
        <v>3.3629321745701872E-2</v>
      </c>
      <c r="CA670" s="46">
        <v>0</v>
      </c>
      <c r="CB670" s="46">
        <v>3.3629321745701872E-2</v>
      </c>
      <c r="CC670" s="46">
        <v>0.23477548964040559</v>
      </c>
      <c r="CD670" s="46">
        <v>5.1388626487814087E-2</v>
      </c>
      <c r="CE670" s="46">
        <v>6.4865545689275148E-3</v>
      </c>
      <c r="CF670" s="46">
        <v>0.66269916241576921</v>
      </c>
      <c r="CG670" s="46">
        <v>1.064298759367718E-2</v>
      </c>
      <c r="CH670" s="46">
        <v>3.7785754770451542E-4</v>
      </c>
      <c r="CI670" s="46">
        <v>6.6341356434015024</v>
      </c>
      <c r="CJ670" s="46">
        <v>0.31068954803808679</v>
      </c>
      <c r="CK670">
        <v>101</v>
      </c>
      <c r="CL670">
        <v>186.02</v>
      </c>
      <c r="CM670">
        <f t="shared" si="77"/>
        <v>85.02000000000001</v>
      </c>
      <c r="CN670">
        <v>2.61</v>
      </c>
      <c r="CO670">
        <v>9.4499999999999993</v>
      </c>
      <c r="CP670">
        <f t="shared" si="78"/>
        <v>6.84</v>
      </c>
      <c r="CQ670">
        <v>846.56</v>
      </c>
      <c r="CR670">
        <v>501.78</v>
      </c>
      <c r="CS670">
        <f t="shared" si="79"/>
        <v>344.78</v>
      </c>
      <c r="CT670" t="s">
        <v>152</v>
      </c>
      <c r="CU670">
        <v>59.27</v>
      </c>
      <c r="CV670">
        <v>13</v>
      </c>
      <c r="CW670" s="46">
        <v>534</v>
      </c>
      <c r="CX670" s="46">
        <f t="shared" si="73"/>
        <v>2.8275080294728889</v>
      </c>
      <c r="CY670" s="46">
        <v>85.02</v>
      </c>
      <c r="CZ670" s="46">
        <f t="shared" si="74"/>
        <v>3.362932174570187</v>
      </c>
      <c r="DA670" s="46">
        <f t="shared" si="75"/>
        <v>93.276152873774905</v>
      </c>
      <c r="DB670" s="46">
        <v>1489062.37</v>
      </c>
      <c r="DC670" s="46">
        <f t="shared" si="76"/>
        <v>4.7172905070276778</v>
      </c>
      <c r="DD670" s="46">
        <v>75306.92</v>
      </c>
      <c r="DE670" s="995">
        <v>534</v>
      </c>
      <c r="DF670" s="995">
        <v>2.8570000000000002</v>
      </c>
      <c r="DG670" s="995">
        <v>80.400000000000006</v>
      </c>
      <c r="DH670" s="995">
        <v>3.363</v>
      </c>
      <c r="DI670" s="995">
        <v>199.05</v>
      </c>
      <c r="DJ670" s="995">
        <v>3176727</v>
      </c>
      <c r="DK670" s="995">
        <v>10.624000000000001</v>
      </c>
      <c r="DL670" s="995">
        <v>169545.60000000001</v>
      </c>
      <c r="DM670" s="995">
        <v>534</v>
      </c>
      <c r="DN670" s="995">
        <v>2.944</v>
      </c>
      <c r="DO670" s="995">
        <v>66.599999999999994</v>
      </c>
      <c r="DP670" s="995">
        <v>3.363</v>
      </c>
      <c r="DQ670" s="995">
        <v>189.06100000000001</v>
      </c>
      <c r="DR670" s="995">
        <v>3014691</v>
      </c>
      <c r="DS670" s="995">
        <v>10.141999999999999</v>
      </c>
      <c r="DT670" s="995">
        <v>161721.20000000001</v>
      </c>
    </row>
    <row r="671" spans="1:124">
      <c r="A671" s="42" t="s">
        <v>94</v>
      </c>
      <c r="B671" s="42" t="s">
        <v>510</v>
      </c>
      <c r="C671" s="42" t="s">
        <v>899</v>
      </c>
      <c r="D671" s="42">
        <v>808300</v>
      </c>
      <c r="E671" s="42" t="s">
        <v>900</v>
      </c>
      <c r="F671" s="42" t="s">
        <v>149</v>
      </c>
      <c r="G671" s="42" t="s">
        <v>150</v>
      </c>
      <c r="H671" s="43" t="s">
        <v>150</v>
      </c>
      <c r="I671" s="44">
        <v>1</v>
      </c>
      <c r="J671" s="45">
        <v>158257.90960000001</v>
      </c>
      <c r="K671" s="46">
        <v>19723.723822</v>
      </c>
      <c r="L671" s="47">
        <v>177981.63342200001</v>
      </c>
      <c r="M671" s="48">
        <v>4132135</v>
      </c>
      <c r="N671" s="49">
        <v>2005963</v>
      </c>
      <c r="O671" s="49">
        <v>2126172</v>
      </c>
      <c r="P671" s="49">
        <v>0</v>
      </c>
      <c r="Q671" s="50">
        <v>9369.9142630385504</v>
      </c>
      <c r="R671" s="51">
        <v>454.68049439921401</v>
      </c>
      <c r="S671" s="49">
        <v>892.551159904526</v>
      </c>
      <c r="T671" s="49">
        <v>139.275920059676</v>
      </c>
      <c r="U671" s="49">
        <f>IFERROR(INDEX('Rentabilidad datos'!$N$2:$N$61,MATCH($C671,'Rentabilidad datos'!$C$2:$C$61,0)),"")</f>
        <v>1486.5075743634159</v>
      </c>
      <c r="V671" s="50">
        <f>IFERROR(INDEX('Rentabilidad datos'!$O$2:$O$61,MATCH($C671,'Rentabilidad datos'!$C$2:$C$61,0)),"")</f>
        <v>1486.5075743634159</v>
      </c>
      <c r="W671" s="51">
        <f>IFERROR(INDEX('Rentabilidad datos'!$M$2:$M$61,MATCH($C671,'Rentabilidad datos'!$C$2:$C$61,0)),"")</f>
        <v>2918.3337087395039</v>
      </c>
      <c r="X671" s="52">
        <f>IFERROR(INDEX('Rentabilidad datos'!$P$2:$P$61,MATCH($C671,'Rentabilidad datos'!$C$2:$C$61,0)),"")</f>
        <v>0.50936860644544757</v>
      </c>
      <c r="Y671" s="43" t="s">
        <v>160</v>
      </c>
      <c r="Z671" s="53">
        <v>46.380952380952401</v>
      </c>
      <c r="AA671" s="43">
        <v>1</v>
      </c>
      <c r="AB671" s="54">
        <v>1</v>
      </c>
      <c r="AC671" s="55">
        <v>0</v>
      </c>
      <c r="AD671" s="752" t="e">
        <f>_xlfn.XLOOKUP(Table1[[#This Row],[Ruta]],#REF!,#REF!)</f>
        <v>#REF!</v>
      </c>
      <c r="AE671" s="752" t="e">
        <f>_xlfn.XLOOKUP(Table1[[#This Row],[Ruta]],#REF!,#REF!)</f>
        <v>#REF!</v>
      </c>
      <c r="AF671" s="752" t="e">
        <f>_xlfn.XLOOKUP(Table1[[#This Row],[Ruta]],#REF!,#REF!)</f>
        <v>#REF!</v>
      </c>
      <c r="AG671" s="752" t="e">
        <f>_xlfn.XLOOKUP(Table1[[#This Row],[Ruta]],#REF!,#REF!)</f>
        <v>#REF!</v>
      </c>
      <c r="AH671" s="52">
        <v>0.4854543716504906</v>
      </c>
      <c r="AI671" s="52">
        <v>0.51454562834950934</v>
      </c>
      <c r="AJ671" s="55">
        <v>0</v>
      </c>
      <c r="AK671" s="56">
        <v>20454</v>
      </c>
      <c r="AL671" s="44">
        <v>9634</v>
      </c>
      <c r="AM671" s="54">
        <v>0.47100811577197599</v>
      </c>
      <c r="AN671" s="55">
        <v>0.47100811577197599</v>
      </c>
      <c r="AO671" s="56">
        <v>0</v>
      </c>
      <c r="AP671" s="48">
        <v>0</v>
      </c>
      <c r="AQ671" s="55">
        <v>0.47100811577197615</v>
      </c>
      <c r="AR671" s="51">
        <v>4132132.19</v>
      </c>
      <c r="AS671" s="49">
        <v>0</v>
      </c>
      <c r="AT671" s="55">
        <v>0</v>
      </c>
      <c r="AU671" s="51">
        <v>0</v>
      </c>
      <c r="AV671" s="52">
        <v>0</v>
      </c>
      <c r="AW671" s="44">
        <v>490</v>
      </c>
      <c r="AX671" s="51">
        <v>428.91137533734701</v>
      </c>
      <c r="AY671" s="49">
        <v>428.91137533734701</v>
      </c>
      <c r="AZ671" s="49">
        <v>0</v>
      </c>
      <c r="BA671" s="42" t="s">
        <v>152</v>
      </c>
      <c r="BB671" s="50">
        <v>0</v>
      </c>
      <c r="BC671" s="57">
        <v>0</v>
      </c>
      <c r="BD671" s="42" t="s">
        <v>150</v>
      </c>
      <c r="BE671" s="46">
        <v>46.380952380952401</v>
      </c>
      <c r="BF671" s="46">
        <v>72.425990467051307</v>
      </c>
      <c r="BG671" s="42" t="s">
        <v>152</v>
      </c>
      <c r="BH671" s="52">
        <v>0.47100811577197599</v>
      </c>
      <c r="BI671" s="52">
        <v>0.49337264070319697</v>
      </c>
      <c r="BJ671" s="42" t="s">
        <v>152</v>
      </c>
      <c r="BK671" s="46">
        <v>403.586470344671</v>
      </c>
      <c r="BL671" s="46">
        <v>605.59017138979505</v>
      </c>
      <c r="BM671" s="42" t="s">
        <v>152</v>
      </c>
      <c r="BN671" s="48">
        <v>0</v>
      </c>
      <c r="BO671" s="42" t="s">
        <v>155</v>
      </c>
      <c r="BP671" s="42" t="s">
        <v>152</v>
      </c>
      <c r="BQ671" s="46">
        <v>0</v>
      </c>
      <c r="BR671" s="46">
        <v>812</v>
      </c>
      <c r="BS671" s="46">
        <v>32315</v>
      </c>
      <c r="BT671" s="46">
        <v>9284</v>
      </c>
      <c r="BU671" s="46">
        <v>3.4807195174493755</v>
      </c>
      <c r="BV671" s="46">
        <v>11.433497536945813</v>
      </c>
      <c r="BW671" s="46">
        <v>0</v>
      </c>
      <c r="BX671" s="46">
        <v>0</v>
      </c>
      <c r="BY671" s="46">
        <v>0</v>
      </c>
      <c r="BZ671" s="46">
        <v>0</v>
      </c>
      <c r="CA671" s="46">
        <v>0</v>
      </c>
      <c r="CB671" s="46">
        <v>0</v>
      </c>
      <c r="CC671" s="46">
        <v>0</v>
      </c>
      <c r="CD671" s="46">
        <v>0</v>
      </c>
      <c r="CE671" s="46">
        <v>2.1542438604049978E-4</v>
      </c>
      <c r="CF671" s="46">
        <v>0.9994614390348987</v>
      </c>
      <c r="CG671" s="46">
        <v>0</v>
      </c>
      <c r="CH671" s="46">
        <v>3.2313657906074973E-4</v>
      </c>
      <c r="CI671" s="46">
        <v>6.74609314559802</v>
      </c>
      <c r="CJ671" s="46">
        <v>0.3713445768219093</v>
      </c>
      <c r="CK671">
        <v>144</v>
      </c>
      <c r="CL671">
        <v>144</v>
      </c>
      <c r="CM671">
        <f t="shared" si="77"/>
        <v>0</v>
      </c>
      <c r="CO671">
        <v>9.4499999999999993</v>
      </c>
      <c r="CP671">
        <f t="shared" si="78"/>
        <v>9.4499999999999993</v>
      </c>
      <c r="CS671">
        <f t="shared" si="79"/>
        <v>0</v>
      </c>
      <c r="CV671">
        <v>0</v>
      </c>
      <c r="CW671" s="46">
        <v>0</v>
      </c>
      <c r="CX671" s="46">
        <f t="shared" si="73"/>
        <v>0</v>
      </c>
      <c r="CY671" s="46">
        <v>0</v>
      </c>
      <c r="CZ671" s="46">
        <f t="shared" si="74"/>
        <v>0</v>
      </c>
      <c r="DA671" s="46">
        <f t="shared" si="75"/>
        <v>0</v>
      </c>
      <c r="DB671" s="46">
        <v>0</v>
      </c>
      <c r="DC671" s="46">
        <f t="shared" si="76"/>
        <v>0</v>
      </c>
      <c r="DD671" s="46">
        <v>0</v>
      </c>
      <c r="DE671" s="995">
        <v>0</v>
      </c>
      <c r="DF671" s="995">
        <v>0</v>
      </c>
      <c r="DG671" s="995">
        <v>0</v>
      </c>
      <c r="DH671" s="995">
        <v>0</v>
      </c>
      <c r="DI671" s="995">
        <v>277.38299999999998</v>
      </c>
      <c r="DJ671" s="995">
        <v>2575219</v>
      </c>
      <c r="DK671" s="995">
        <v>10.554</v>
      </c>
      <c r="DL671" s="995">
        <v>97985.1</v>
      </c>
      <c r="DM671" s="995">
        <v>0</v>
      </c>
      <c r="DN671" s="995">
        <v>0</v>
      </c>
      <c r="DO671" s="995">
        <v>0</v>
      </c>
      <c r="DP671" s="995">
        <v>0</v>
      </c>
      <c r="DQ671" s="995">
        <v>277.38299999999998</v>
      </c>
      <c r="DR671" s="995">
        <v>2575219</v>
      </c>
      <c r="DS671" s="995">
        <v>10.554</v>
      </c>
      <c r="DT671" s="995">
        <v>97985.1</v>
      </c>
    </row>
    <row r="672" spans="1:124">
      <c r="A672" s="42" t="s">
        <v>94</v>
      </c>
      <c r="B672" s="42" t="s">
        <v>549</v>
      </c>
      <c r="C672" s="42" t="s">
        <v>901</v>
      </c>
      <c r="D672" s="42">
        <v>824300</v>
      </c>
      <c r="E672" s="42" t="s">
        <v>902</v>
      </c>
      <c r="F672" s="42" t="s">
        <v>149</v>
      </c>
      <c r="G672" s="42" t="s">
        <v>150</v>
      </c>
      <c r="H672" s="43" t="s">
        <v>150</v>
      </c>
      <c r="I672" s="44">
        <v>1</v>
      </c>
      <c r="J672" s="45">
        <v>288862.724863999</v>
      </c>
      <c r="K672" s="46">
        <v>15445.271027999999</v>
      </c>
      <c r="L672" s="47">
        <v>304307.995891998</v>
      </c>
      <c r="M672" s="48">
        <v>5308779</v>
      </c>
      <c r="N672" s="49">
        <v>3966301</v>
      </c>
      <c r="O672" s="49">
        <v>1342478</v>
      </c>
      <c r="P672" s="49">
        <v>0</v>
      </c>
      <c r="Q672" s="50">
        <v>11876.4590604027</v>
      </c>
      <c r="R672" s="51">
        <v>560.85671119080598</v>
      </c>
      <c r="S672" s="49">
        <v>637.81474657724198</v>
      </c>
      <c r="T672" s="49">
        <v>136.75437963525599</v>
      </c>
      <c r="U672" s="49">
        <f>IFERROR(INDEX('Rentabilidad datos'!$N$2:$N$61,MATCH($C672,'Rentabilidad datos'!$C$2:$C$61,0)),"")</f>
        <v>1335.4258374033043</v>
      </c>
      <c r="V672" s="50">
        <f>IFERROR(INDEX('Rentabilidad datos'!$O$2:$O$61,MATCH($C672,'Rentabilidad datos'!$C$2:$C$61,0)),"")</f>
        <v>1335.4258374033043</v>
      </c>
      <c r="W672" s="51">
        <f>IFERROR(INDEX('Rentabilidad datos'!$M$2:$M$61,MATCH($C672,'Rentabilidad datos'!$C$2:$C$61,0)),"")</f>
        <v>3603.2458469692669</v>
      </c>
      <c r="X672" s="52">
        <f>IFERROR(INDEX('Rentabilidad datos'!$P$2:$P$61,MATCH($C672,'Rentabilidad datos'!$C$2:$C$61,0)),"")</f>
        <v>0.37061746384209304</v>
      </c>
      <c r="Y672" s="43" t="s">
        <v>151</v>
      </c>
      <c r="Z672" s="53">
        <v>61.751677852348998</v>
      </c>
      <c r="AA672" s="43">
        <v>1</v>
      </c>
      <c r="AB672" s="54">
        <v>1</v>
      </c>
      <c r="AC672" s="55">
        <v>0</v>
      </c>
      <c r="AD672" s="752" t="e">
        <f>_xlfn.XLOOKUP(Table1[[#This Row],[Ruta]],#REF!,#REF!)</f>
        <v>#REF!</v>
      </c>
      <c r="AE672" s="752" t="e">
        <f>_xlfn.XLOOKUP(Table1[[#This Row],[Ruta]],#REF!,#REF!)</f>
        <v>#REF!</v>
      </c>
      <c r="AF672" s="752" t="e">
        <f>_xlfn.XLOOKUP(Table1[[#This Row],[Ruta]],#REF!,#REF!)</f>
        <v>#REF!</v>
      </c>
      <c r="AG672" s="752" t="e">
        <f>_xlfn.XLOOKUP(Table1[[#This Row],[Ruta]],#REF!,#REF!)</f>
        <v>#REF!</v>
      </c>
      <c r="AH672" s="52">
        <v>0.74712113651745538</v>
      </c>
      <c r="AI672" s="52">
        <v>0.25287886348254468</v>
      </c>
      <c r="AJ672" s="55">
        <v>0</v>
      </c>
      <c r="AK672" s="56">
        <v>27603</v>
      </c>
      <c r="AL672" s="44">
        <v>13303</v>
      </c>
      <c r="AM672" s="54">
        <v>0.48194036880049301</v>
      </c>
      <c r="AN672" s="55">
        <v>0.48194036880049301</v>
      </c>
      <c r="AO672" s="56">
        <v>0</v>
      </c>
      <c r="AP672" s="48">
        <v>0</v>
      </c>
      <c r="AQ672" s="55">
        <v>0.48194036880049268</v>
      </c>
      <c r="AR672" s="51">
        <v>5308777.2</v>
      </c>
      <c r="AS672" s="49">
        <v>0</v>
      </c>
      <c r="AT672" s="55">
        <v>0</v>
      </c>
      <c r="AU672" s="51">
        <v>0</v>
      </c>
      <c r="AV672" s="52">
        <v>0</v>
      </c>
      <c r="AW672" s="44">
        <v>490</v>
      </c>
      <c r="AX672" s="51">
        <v>399.066165526573</v>
      </c>
      <c r="AY672" s="49">
        <v>399.066165526573</v>
      </c>
      <c r="AZ672" s="49">
        <v>0</v>
      </c>
      <c r="BA672" s="42" t="s">
        <v>152</v>
      </c>
      <c r="BB672" s="50">
        <v>0</v>
      </c>
      <c r="BC672" s="57">
        <v>0</v>
      </c>
      <c r="BD672" s="42" t="s">
        <v>150</v>
      </c>
      <c r="BE672" s="46">
        <v>61.751677852348998</v>
      </c>
      <c r="BF672" s="46">
        <v>83.628504672897193</v>
      </c>
      <c r="BG672" s="42" t="s">
        <v>152</v>
      </c>
      <c r="BH672" s="52">
        <v>0.48194036880049301</v>
      </c>
      <c r="BI672" s="52">
        <v>0.51187669456560203</v>
      </c>
      <c r="BJ672" s="42" t="s">
        <v>152</v>
      </c>
      <c r="BK672" s="46">
        <v>680.77851429977295</v>
      </c>
      <c r="BL672" s="46">
        <v>638.00354527981403</v>
      </c>
      <c r="BM672" s="42" t="s">
        <v>150</v>
      </c>
      <c r="BN672" s="48">
        <v>1</v>
      </c>
      <c r="BO672" s="42" t="s">
        <v>155</v>
      </c>
      <c r="BP672" s="42" t="s">
        <v>152</v>
      </c>
      <c r="BQ672" s="46">
        <v>0</v>
      </c>
      <c r="BR672" s="46">
        <v>809</v>
      </c>
      <c r="BS672" s="46">
        <v>41354</v>
      </c>
      <c r="BT672" s="46">
        <v>11220</v>
      </c>
      <c r="BU672" s="46">
        <v>3.6857397504456326</v>
      </c>
      <c r="BV672" s="46">
        <v>13.868974042027194</v>
      </c>
      <c r="BW672" s="46">
        <v>0</v>
      </c>
      <c r="BX672" s="46">
        <v>1181</v>
      </c>
      <c r="BY672" s="46">
        <v>1181</v>
      </c>
      <c r="BZ672" s="46">
        <v>0.1052584670231729</v>
      </c>
      <c r="CA672" s="46">
        <v>0</v>
      </c>
      <c r="CB672" s="46">
        <v>0.10525846702317289</v>
      </c>
      <c r="CC672" s="46">
        <v>0</v>
      </c>
      <c r="CD672" s="46">
        <v>8.5561497326203211E-3</v>
      </c>
      <c r="CE672" s="46">
        <v>5.1604278074866311E-2</v>
      </c>
      <c r="CF672" s="46">
        <v>0.8338680926916221</v>
      </c>
      <c r="CG672" s="46">
        <v>1.7825311942958999E-4</v>
      </c>
      <c r="CH672" s="46">
        <v>5.3475935828876996E-4</v>
      </c>
      <c r="CI672" s="46">
        <v>7.5446147893795041</v>
      </c>
      <c r="CJ672" s="46">
        <v>0.21763311892440873</v>
      </c>
      <c r="CK672">
        <v>232</v>
      </c>
      <c r="CL672">
        <v>272.82</v>
      </c>
      <c r="CM672">
        <f t="shared" si="77"/>
        <v>40.819999999999993</v>
      </c>
      <c r="CN672">
        <v>6.74</v>
      </c>
      <c r="CO672">
        <v>9.4499999999999993</v>
      </c>
      <c r="CP672">
        <f t="shared" si="78"/>
        <v>2.7099999999999991</v>
      </c>
      <c r="CQ672">
        <v>846.56</v>
      </c>
      <c r="CR672">
        <v>680.78</v>
      </c>
      <c r="CS672">
        <f t="shared" si="79"/>
        <v>165.77999999999997</v>
      </c>
      <c r="CT672" t="s">
        <v>152</v>
      </c>
      <c r="CU672">
        <v>81.209999999999994</v>
      </c>
      <c r="CV672">
        <v>37</v>
      </c>
      <c r="CW672" s="46">
        <v>1181</v>
      </c>
      <c r="CX672" s="46">
        <f t="shared" si="73"/>
        <v>10.162032085561497</v>
      </c>
      <c r="CY672" s="46">
        <v>40.82</v>
      </c>
      <c r="CZ672" s="46">
        <f t="shared" si="74"/>
        <v>10.52584670231729</v>
      </c>
      <c r="DA672" s="46">
        <f t="shared" si="75"/>
        <v>177.94484415877352</v>
      </c>
      <c r="DB672" s="46">
        <v>2003804.86</v>
      </c>
      <c r="DC672" s="46">
        <f t="shared" si="76"/>
        <v>8.45953580645104</v>
      </c>
      <c r="DD672" s="46">
        <v>95261.31</v>
      </c>
      <c r="DE672" s="995">
        <v>1181</v>
      </c>
      <c r="DF672" s="995">
        <v>10.180999999999999</v>
      </c>
      <c r="DG672" s="995">
        <v>38.700000000000003</v>
      </c>
      <c r="DH672" s="995">
        <v>10.526</v>
      </c>
      <c r="DI672" s="995">
        <v>491.476</v>
      </c>
      <c r="DJ672" s="995">
        <v>5533367</v>
      </c>
      <c r="DK672" s="995">
        <v>25.472999999999999</v>
      </c>
      <c r="DL672" s="995">
        <v>286791.5</v>
      </c>
      <c r="DM672" s="995">
        <v>1181</v>
      </c>
      <c r="DN672" s="995">
        <v>10.239000000000001</v>
      </c>
      <c r="DO672" s="995">
        <v>32.200000000000003</v>
      </c>
      <c r="DP672" s="995">
        <v>10.526</v>
      </c>
      <c r="DQ672" s="995">
        <v>487.61200000000002</v>
      </c>
      <c r="DR672" s="995">
        <v>5486722</v>
      </c>
      <c r="DS672" s="995">
        <v>25.268000000000001</v>
      </c>
      <c r="DT672" s="995">
        <v>284324.90000000002</v>
      </c>
    </row>
    <row r="673" spans="1:124">
      <c r="A673" s="42" t="s">
        <v>94</v>
      </c>
      <c r="B673" s="42" t="s">
        <v>510</v>
      </c>
      <c r="C673" s="42" t="s">
        <v>903</v>
      </c>
      <c r="D673" s="42">
        <v>805399</v>
      </c>
      <c r="E673" s="42" t="s">
        <v>904</v>
      </c>
      <c r="F673" s="42" t="s">
        <v>149</v>
      </c>
      <c r="G673" s="42" t="s">
        <v>150</v>
      </c>
      <c r="H673" s="43" t="s">
        <v>150</v>
      </c>
      <c r="I673" s="44">
        <v>7</v>
      </c>
      <c r="J673" s="45">
        <v>5029.9871999999996</v>
      </c>
      <c r="K673" s="46">
        <v>14668.0792</v>
      </c>
      <c r="L673" s="47">
        <v>19698.0664</v>
      </c>
      <c r="M673" s="48">
        <v>1579976</v>
      </c>
      <c r="N673" s="49">
        <v>59738</v>
      </c>
      <c r="O673" s="49">
        <v>1519142</v>
      </c>
      <c r="P673" s="49">
        <v>1096</v>
      </c>
      <c r="Q673" s="50">
        <v>17350.277912087899</v>
      </c>
      <c r="R673" s="51">
        <v>1549.81202707482</v>
      </c>
      <c r="S673" s="49">
        <v>4462.7557995226298</v>
      </c>
      <c r="T673" s="49">
        <v>696.379600298382</v>
      </c>
      <c r="U673" s="49">
        <f>IFERROR(INDEX('Rentabilidad datos'!$N$2:$N$61,MATCH($C673,'Rentabilidad datos'!$C$2:$C$61,0)),"")</f>
        <v>6708.9474268958347</v>
      </c>
      <c r="V673" s="50">
        <f>IFERROR(INDEX('Rentabilidad datos'!$O$2:$O$61,MATCH($C673,'Rentabilidad datos'!$C$2:$C$61,0)),"")</f>
        <v>1341.789485379167</v>
      </c>
      <c r="W673" s="51">
        <f>IFERROR(INDEX('Rentabilidad datos'!$M$2:$M$61,MATCH($C673,'Rentabilidad datos'!$C$2:$C$61,0)),"")</f>
        <v>1887.634665081757</v>
      </c>
      <c r="X673" s="52">
        <f>IFERROR(INDEX('Rentabilidad datos'!$P$2:$P$61,MATCH($C673,'Rentabilidad datos'!$C$2:$C$61,0)),"")</f>
        <v>0.71083113178632562</v>
      </c>
      <c r="Y673" s="43" t="s">
        <v>160</v>
      </c>
      <c r="Z673" s="53">
        <v>32.6666666666667</v>
      </c>
      <c r="AA673" s="43">
        <v>1</v>
      </c>
      <c r="AB673" s="54">
        <v>1</v>
      </c>
      <c r="AC673" s="55">
        <v>0</v>
      </c>
      <c r="AD673" s="752" t="e">
        <f>_xlfn.XLOOKUP(Table1[[#This Row],[Ruta]],#REF!,#REF!)</f>
        <v>#REF!</v>
      </c>
      <c r="AE673" s="752" t="e">
        <f>_xlfn.XLOOKUP(Table1[[#This Row],[Ruta]],#REF!,#REF!)</f>
        <v>#REF!</v>
      </c>
      <c r="AF673" s="752" t="e">
        <f>_xlfn.XLOOKUP(Table1[[#This Row],[Ruta]],#REF!,#REF!)</f>
        <v>#REF!</v>
      </c>
      <c r="AG673" s="752" t="e">
        <f>_xlfn.XLOOKUP(Table1[[#This Row],[Ruta]],#REF!,#REF!)</f>
        <v>#REF!</v>
      </c>
      <c r="AH673" s="52">
        <v>3.7809435080026529E-2</v>
      </c>
      <c r="AI673" s="52">
        <v>0.96149688349696449</v>
      </c>
      <c r="AJ673" s="55">
        <v>6.936814230089571E-4</v>
      </c>
      <c r="AK673" s="56">
        <v>2842</v>
      </c>
      <c r="AL673" s="44">
        <v>977</v>
      </c>
      <c r="AM673" s="54">
        <v>0.32301196340605198</v>
      </c>
      <c r="AN673" s="55">
        <v>0.32301196340605198</v>
      </c>
      <c r="AO673" s="56">
        <v>0</v>
      </c>
      <c r="AP673" s="48">
        <v>0</v>
      </c>
      <c r="AQ673" s="55">
        <v>0.3437719915552428</v>
      </c>
      <c r="AR673" s="51">
        <v>1578875.29</v>
      </c>
      <c r="AS673" s="49">
        <v>0</v>
      </c>
      <c r="AT673" s="55">
        <v>0</v>
      </c>
      <c r="AU673" s="51">
        <v>0</v>
      </c>
      <c r="AV673" s="52">
        <v>0</v>
      </c>
      <c r="AW673" s="44">
        <v>490</v>
      </c>
      <c r="AX673" s="51">
        <v>1616.0443091095201</v>
      </c>
      <c r="AY673" s="49">
        <v>504.852137279597</v>
      </c>
      <c r="AZ673" s="49">
        <v>0</v>
      </c>
      <c r="BA673" s="42" t="s">
        <v>152</v>
      </c>
      <c r="BB673" s="50">
        <v>0</v>
      </c>
      <c r="BC673" s="57">
        <v>0</v>
      </c>
      <c r="BD673" s="42" t="s">
        <v>150</v>
      </c>
      <c r="BE673" s="46">
        <v>32.6666666666667</v>
      </c>
      <c r="BF673" s="46">
        <v>72.425990467051307</v>
      </c>
      <c r="BG673" s="42" t="s">
        <v>152</v>
      </c>
      <c r="BH673" s="52">
        <v>0.32301196340605198</v>
      </c>
      <c r="BI673" s="52">
        <v>0.49337264070319697</v>
      </c>
      <c r="BJ673" s="42" t="s">
        <v>152</v>
      </c>
      <c r="BK673" s="46">
        <v>216.462268131868</v>
      </c>
      <c r="BL673" s="46">
        <v>605.59017138979505</v>
      </c>
      <c r="BM673" s="42" t="s">
        <v>152</v>
      </c>
      <c r="BN673" s="48">
        <v>0</v>
      </c>
      <c r="BO673" s="42" t="s">
        <v>155</v>
      </c>
      <c r="BP673" s="42" t="s">
        <v>152</v>
      </c>
      <c r="BQ673" s="46">
        <v>0</v>
      </c>
      <c r="BR673" s="46" t="e">
        <v>#N/A</v>
      </c>
      <c r="BS673" s="46" t="e">
        <v>#N/A</v>
      </c>
      <c r="BT673" s="46" t="e">
        <v>#N/A</v>
      </c>
      <c r="BU673" s="46" t="e">
        <v>#N/A</v>
      </c>
      <c r="BV673" s="46" t="e">
        <v>#N/A</v>
      </c>
      <c r="BW673" s="46" t="e">
        <v>#N/A</v>
      </c>
      <c r="BX673" s="46" t="e">
        <v>#N/A</v>
      </c>
      <c r="BY673" s="46" t="e">
        <v>#N/A</v>
      </c>
      <c r="BZ673" s="46" t="e">
        <v>#N/A</v>
      </c>
      <c r="CA673" s="46" t="e">
        <v>#N/A</v>
      </c>
      <c r="CB673" s="46" t="e">
        <v>#N/A</v>
      </c>
      <c r="CC673" s="46" t="e">
        <v>#N/A</v>
      </c>
      <c r="CD673" s="46" t="e">
        <v>#N/A</v>
      </c>
      <c r="CE673" s="46" t="e">
        <v>#N/A</v>
      </c>
      <c r="CF673" s="46" t="e">
        <v>#N/A</v>
      </c>
      <c r="CG673" s="46" t="e">
        <v>#N/A</v>
      </c>
      <c r="CH673" s="46" t="e">
        <v>#N/A</v>
      </c>
      <c r="CI673" s="46" t="e">
        <v>#N/A</v>
      </c>
      <c r="CJ673" s="46" t="e">
        <v>#N/A</v>
      </c>
      <c r="CM673">
        <f t="shared" si="77"/>
        <v>0</v>
      </c>
      <c r="CP673">
        <f t="shared" si="78"/>
        <v>0</v>
      </c>
      <c r="CS673">
        <f t="shared" si="79"/>
        <v>0</v>
      </c>
      <c r="CW673" s="46"/>
      <c r="CX673" s="46" t="e">
        <f t="shared" si="73"/>
        <v>#N/A</v>
      </c>
      <c r="CY673" s="46"/>
      <c r="CZ673" s="46" t="e">
        <f t="shared" si="74"/>
        <v>#N/A</v>
      </c>
      <c r="DA673" s="46" t="e">
        <f t="shared" si="75"/>
        <v>#N/A</v>
      </c>
      <c r="DB673" s="46"/>
      <c r="DC673" s="46" t="e">
        <f t="shared" si="76"/>
        <v>#N/A</v>
      </c>
      <c r="DD673" s="46"/>
      <c r="DE673" s="995" t="s">
        <v>194</v>
      </c>
      <c r="DF673" s="995" t="s">
        <v>194</v>
      </c>
      <c r="DG673" s="995" t="s">
        <v>194</v>
      </c>
      <c r="DH673" s="995" t="s">
        <v>194</v>
      </c>
      <c r="DI673" s="995" t="s">
        <v>194</v>
      </c>
      <c r="DJ673" s="995" t="s">
        <v>194</v>
      </c>
      <c r="DK673" s="995" t="s">
        <v>194</v>
      </c>
      <c r="DL673" s="995" t="s">
        <v>194</v>
      </c>
      <c r="DM673" s="995" t="s">
        <v>194</v>
      </c>
      <c r="DN673" s="995" t="s">
        <v>194</v>
      </c>
      <c r="DO673" s="995" t="s">
        <v>194</v>
      </c>
      <c r="DP673" s="995" t="s">
        <v>194</v>
      </c>
      <c r="DQ673" s="995" t="s">
        <v>194</v>
      </c>
      <c r="DR673" s="995" t="s">
        <v>194</v>
      </c>
      <c r="DS673" s="995" t="s">
        <v>194</v>
      </c>
      <c r="DT673" s="995" t="s">
        <v>194</v>
      </c>
    </row>
    <row r="674" spans="1:124">
      <c r="A674" s="42" t="s">
        <v>94</v>
      </c>
      <c r="B674" s="42" t="s">
        <v>510</v>
      </c>
      <c r="C674" s="42" t="s">
        <v>903</v>
      </c>
      <c r="D674" s="42">
        <v>805401</v>
      </c>
      <c r="E674" s="42" t="s">
        <v>905</v>
      </c>
      <c r="F674" s="42" t="s">
        <v>149</v>
      </c>
      <c r="G674" s="42" t="s">
        <v>150</v>
      </c>
      <c r="H674" s="43" t="s">
        <v>150</v>
      </c>
      <c r="I674" s="44">
        <v>7</v>
      </c>
      <c r="J674" s="45">
        <v>5885.9304000000002</v>
      </c>
      <c r="K674" s="46">
        <v>239.41069999999999</v>
      </c>
      <c r="L674" s="47">
        <v>6125.3410999999996</v>
      </c>
      <c r="M674" s="48">
        <v>120586</v>
      </c>
      <c r="N674" s="49">
        <v>90101</v>
      </c>
      <c r="O674" s="49">
        <v>30485</v>
      </c>
      <c r="P674" s="49">
        <v>0</v>
      </c>
      <c r="Q674" s="50">
        <v>2223.7192592592601</v>
      </c>
      <c r="R674" s="51">
        <v>1549.81202707482</v>
      </c>
      <c r="S674" s="49">
        <v>4462.7557995226298</v>
      </c>
      <c r="T674" s="49">
        <v>696.379600298382</v>
      </c>
      <c r="U674" s="49">
        <f>IFERROR(INDEX('Rentabilidad datos'!$N$2:$N$61,MATCH($C674,'Rentabilidad datos'!$C$2:$C$61,0)),"")</f>
        <v>6708.9474268958347</v>
      </c>
      <c r="V674" s="50">
        <f>IFERROR(INDEX('Rentabilidad datos'!$O$2:$O$61,MATCH($C674,'Rentabilidad datos'!$C$2:$C$61,0)),"")</f>
        <v>1341.789485379167</v>
      </c>
      <c r="W674" s="51">
        <f>IFERROR(INDEX('Rentabilidad datos'!$M$2:$M$61,MATCH($C674,'Rentabilidad datos'!$C$2:$C$61,0)),"")</f>
        <v>1887.634665081757</v>
      </c>
      <c r="X674" s="52">
        <f>IFERROR(INDEX('Rentabilidad datos'!$P$2:$P$61,MATCH($C674,'Rentabilidad datos'!$C$2:$C$61,0)),"")</f>
        <v>0.71083113178632562</v>
      </c>
      <c r="Y674" s="43" t="s">
        <v>160</v>
      </c>
      <c r="Z674" s="53">
        <v>25.046511627907002</v>
      </c>
      <c r="AA674" s="43">
        <v>1</v>
      </c>
      <c r="AB674" s="54">
        <v>1</v>
      </c>
      <c r="AC674" s="55">
        <v>0</v>
      </c>
      <c r="AD674" s="752" t="e">
        <f>_xlfn.XLOOKUP(Table1[[#This Row],[Ruta]],#REF!,#REF!)</f>
        <v>#REF!</v>
      </c>
      <c r="AE674" s="752" t="e">
        <f>_xlfn.XLOOKUP(Table1[[#This Row],[Ruta]],#REF!,#REF!)</f>
        <v>#REF!</v>
      </c>
      <c r="AF674" s="752" t="e">
        <f>_xlfn.XLOOKUP(Table1[[#This Row],[Ruta]],#REF!,#REF!)</f>
        <v>#REF!</v>
      </c>
      <c r="AG674" s="752" t="e">
        <f>_xlfn.XLOOKUP(Table1[[#This Row],[Ruta]],#REF!,#REF!)</f>
        <v>#REF!</v>
      </c>
      <c r="AH674" s="52">
        <v>0.74719287479475227</v>
      </c>
      <c r="AI674" s="52">
        <v>0.25280712520524773</v>
      </c>
      <c r="AJ674" s="55">
        <v>0</v>
      </c>
      <c r="AK674" s="56">
        <v>1077</v>
      </c>
      <c r="AL674" s="44">
        <v>342</v>
      </c>
      <c r="AM674" s="54">
        <v>0.308263695450325</v>
      </c>
      <c r="AN674" s="55">
        <v>0.32301196340605198</v>
      </c>
      <c r="AO674" s="56">
        <v>15.8838845883181</v>
      </c>
      <c r="AP674" s="48">
        <v>7.9419422941590501</v>
      </c>
      <c r="AQ674" s="55">
        <v>0.3249228804959694</v>
      </c>
      <c r="AR674" s="51">
        <v>120080.84</v>
      </c>
      <c r="AS674" s="49">
        <v>2788.523689807445</v>
      </c>
      <c r="AT674" s="55">
        <v>2.3222053491693137E-2</v>
      </c>
      <c r="AU674" s="51">
        <v>1959.5031333782053</v>
      </c>
      <c r="AV674" s="52">
        <v>8.9139651866479949E-6</v>
      </c>
      <c r="AW674" s="44">
        <v>487</v>
      </c>
      <c r="AX674" s="51">
        <v>351.11356725146197</v>
      </c>
      <c r="AY674" s="49">
        <v>504.852137279597</v>
      </c>
      <c r="AZ674" s="49">
        <v>153.73857002813503</v>
      </c>
      <c r="BA674" s="42" t="s">
        <v>150</v>
      </c>
      <c r="BB674" s="50">
        <v>18473.558982299692</v>
      </c>
      <c r="BC674" s="57">
        <v>20433.062115677898</v>
      </c>
      <c r="BD674" s="42" t="s">
        <v>150</v>
      </c>
      <c r="BE674" s="46">
        <v>25.046511627907002</v>
      </c>
      <c r="BF674" s="46">
        <v>72.425990467051307</v>
      </c>
      <c r="BG674" s="42" t="s">
        <v>152</v>
      </c>
      <c r="BH674" s="52">
        <v>0.308263695450325</v>
      </c>
      <c r="BI674" s="52">
        <v>0.49337264070319697</v>
      </c>
      <c r="BJ674" s="42" t="s">
        <v>152</v>
      </c>
      <c r="BK674" s="46">
        <v>113.432242592593</v>
      </c>
      <c r="BL674" s="46">
        <v>605.59017138979505</v>
      </c>
      <c r="BM674" s="42" t="s">
        <v>152</v>
      </c>
      <c r="BN674" s="48">
        <v>0</v>
      </c>
      <c r="BO674" s="42" t="s">
        <v>155</v>
      </c>
      <c r="BP674" s="42" t="s">
        <v>152</v>
      </c>
      <c r="BQ674" s="46">
        <v>195.04797742238901</v>
      </c>
      <c r="BR674" s="46">
        <v>850</v>
      </c>
      <c r="BS674" s="46">
        <v>48583</v>
      </c>
      <c r="BT674" s="46">
        <v>14860</v>
      </c>
      <c r="BU674" s="46">
        <v>3.2693808882907134</v>
      </c>
      <c r="BV674" s="46">
        <v>17.482352941176469</v>
      </c>
      <c r="BW674" s="46">
        <v>0</v>
      </c>
      <c r="BX674" s="46">
        <v>552</v>
      </c>
      <c r="BY674" s="46">
        <v>552</v>
      </c>
      <c r="BZ674" s="46">
        <v>3.7146702557200539E-2</v>
      </c>
      <c r="CA674" s="46">
        <v>0</v>
      </c>
      <c r="CB674" s="46">
        <v>3.7146702557200539E-2</v>
      </c>
      <c r="CC674" s="46">
        <v>0.10161507402422611</v>
      </c>
      <c r="CD674" s="46">
        <v>0.1608344549125168</v>
      </c>
      <c r="CE674" s="46">
        <v>8.4656796769851952E-2</v>
      </c>
      <c r="CF674" s="46">
        <v>0.6156796769851951</v>
      </c>
      <c r="CG674" s="46">
        <v>0</v>
      </c>
      <c r="CH674" s="46">
        <v>6.729475100942126E-5</v>
      </c>
      <c r="CI674" s="46">
        <v>4.7959162670069784</v>
      </c>
      <c r="CJ674" s="46">
        <v>0.20583331618055697</v>
      </c>
      <c r="CK674">
        <v>111</v>
      </c>
      <c r="CL674">
        <v>356.68</v>
      </c>
      <c r="CM674">
        <f t="shared" si="77"/>
        <v>245.68</v>
      </c>
      <c r="CN674">
        <v>2.86</v>
      </c>
      <c r="CO674">
        <v>9.4499999999999993</v>
      </c>
      <c r="CP674">
        <f t="shared" si="78"/>
        <v>6.59</v>
      </c>
      <c r="CQ674">
        <v>564.37</v>
      </c>
      <c r="CR674">
        <v>113.43</v>
      </c>
      <c r="CS674">
        <f t="shared" si="79"/>
        <v>450.94</v>
      </c>
      <c r="CT674" t="s">
        <v>152</v>
      </c>
      <c r="CU674">
        <v>31.19</v>
      </c>
      <c r="CV674">
        <v>13</v>
      </c>
      <c r="CW674" s="46">
        <v>552</v>
      </c>
      <c r="CX674" s="46">
        <f t="shared" si="73"/>
        <v>2.0613728129205922</v>
      </c>
      <c r="CY674" s="46">
        <v>245.68</v>
      </c>
      <c r="CZ674" s="46">
        <f t="shared" si="74"/>
        <v>3.7146702557200539</v>
      </c>
      <c r="DA674" s="46">
        <f t="shared" si="75"/>
        <v>127.4692056233152</v>
      </c>
      <c r="DB674" s="46">
        <v>1925509.03</v>
      </c>
      <c r="DC674" s="46">
        <f t="shared" si="76"/>
        <v>6.2923291106391765</v>
      </c>
      <c r="DD674" s="46">
        <v>95049.91</v>
      </c>
      <c r="DE674" s="995">
        <v>552</v>
      </c>
      <c r="DF674" s="995">
        <v>2.6509999999999998</v>
      </c>
      <c r="DG674" s="995">
        <v>158.1</v>
      </c>
      <c r="DH674" s="995">
        <v>3.7149999999999999</v>
      </c>
      <c r="DI674" s="995">
        <v>119.952</v>
      </c>
      <c r="DJ674" s="995">
        <v>1801446</v>
      </c>
      <c r="DK674" s="995">
        <v>5.952</v>
      </c>
      <c r="DL674" s="995">
        <v>89384.2</v>
      </c>
      <c r="DM674" s="995">
        <v>552</v>
      </c>
      <c r="DN674" s="995">
        <v>2.8220000000000001</v>
      </c>
      <c r="DO674" s="995">
        <v>132.6</v>
      </c>
      <c r="DP674" s="995">
        <v>3.7149999999999999</v>
      </c>
      <c r="DQ674" s="995">
        <v>109.657</v>
      </c>
      <c r="DR674" s="995">
        <v>1644039</v>
      </c>
      <c r="DS674" s="995">
        <v>5.4470000000000001</v>
      </c>
      <c r="DT674" s="995">
        <v>81668</v>
      </c>
    </row>
    <row r="675" spans="1:124">
      <c r="A675" s="42" t="s">
        <v>94</v>
      </c>
      <c r="B675" s="42" t="s">
        <v>510</v>
      </c>
      <c r="C675" s="42" t="s">
        <v>903</v>
      </c>
      <c r="D675" s="42">
        <v>805402</v>
      </c>
      <c r="E675" s="42" t="s">
        <v>906</v>
      </c>
      <c r="F675" s="42" t="s">
        <v>193</v>
      </c>
      <c r="G675" s="42" t="s">
        <v>150</v>
      </c>
      <c r="H675" s="43" t="s">
        <v>152</v>
      </c>
      <c r="I675" s="44">
        <v>7</v>
      </c>
      <c r="J675" s="45">
        <v>21.134399999999999</v>
      </c>
      <c r="K675" s="46">
        <v>8.3620999999999999</v>
      </c>
      <c r="L675" s="47">
        <v>29.496500000000001</v>
      </c>
      <c r="M675" s="48">
        <v>1566</v>
      </c>
      <c r="N675" s="49">
        <v>300</v>
      </c>
      <c r="O675" s="49">
        <v>1266</v>
      </c>
      <c r="P675" s="49">
        <v>0</v>
      </c>
      <c r="Q675" s="50">
        <v>0</v>
      </c>
      <c r="R675" s="51">
        <v>1549.81202707482</v>
      </c>
      <c r="S675" s="49">
        <v>4462.7557995226298</v>
      </c>
      <c r="T675" s="49">
        <v>696.379600298382</v>
      </c>
      <c r="U675" s="49">
        <f>IFERROR(INDEX('Rentabilidad datos'!$N$2:$N$61,MATCH($C675,'Rentabilidad datos'!$C$2:$C$61,0)),"")</f>
        <v>6708.9474268958347</v>
      </c>
      <c r="V675" s="50">
        <f>IFERROR(INDEX('Rentabilidad datos'!$O$2:$O$61,MATCH($C675,'Rentabilidad datos'!$C$2:$C$61,0)),"")</f>
        <v>1341.789485379167</v>
      </c>
      <c r="W675" s="51">
        <f>IFERROR(INDEX('Rentabilidad datos'!$M$2:$M$61,MATCH($C675,'Rentabilidad datos'!$C$2:$C$61,0)),"")</f>
        <v>1887.634665081757</v>
      </c>
      <c r="X675" s="52">
        <f>IFERROR(INDEX('Rentabilidad datos'!$P$2:$P$61,MATCH($C675,'Rentabilidad datos'!$C$2:$C$61,0)),"")</f>
        <v>0.71083113178632562</v>
      </c>
      <c r="Y675" s="43" t="s">
        <v>160</v>
      </c>
      <c r="Z675" s="53">
        <v>0</v>
      </c>
      <c r="AA675" s="43">
        <v>1</v>
      </c>
      <c r="AB675" s="54">
        <v>1</v>
      </c>
      <c r="AC675" s="55">
        <v>0</v>
      </c>
      <c r="AD675" s="752" t="e">
        <f>_xlfn.XLOOKUP(Table1[[#This Row],[Ruta]],#REF!,#REF!)</f>
        <v>#REF!</v>
      </c>
      <c r="AE675" s="752" t="e">
        <f>_xlfn.XLOOKUP(Table1[[#This Row],[Ruta]],#REF!,#REF!)</f>
        <v>#REF!</v>
      </c>
      <c r="AF675" s="752" t="e">
        <f>_xlfn.XLOOKUP(Table1[[#This Row],[Ruta]],#REF!,#REF!)</f>
        <v>#REF!</v>
      </c>
      <c r="AG675" s="752" t="e">
        <f>_xlfn.XLOOKUP(Table1[[#This Row],[Ruta]],#REF!,#REF!)</f>
        <v>#REF!</v>
      </c>
      <c r="AH675" s="52">
        <v>0.19157088122605365</v>
      </c>
      <c r="AI675" s="52">
        <v>0.80842911877394641</v>
      </c>
      <c r="AJ675" s="55">
        <v>0</v>
      </c>
      <c r="AK675" s="56">
        <v>0</v>
      </c>
      <c r="AL675" s="44">
        <v>3</v>
      </c>
      <c r="AM675" s="54">
        <v>0</v>
      </c>
      <c r="AN675" s="55">
        <v>0.32301196340605198</v>
      </c>
      <c r="AO675" s="56">
        <v>0</v>
      </c>
      <c r="AP675" s="48">
        <v>0</v>
      </c>
      <c r="AQ675" s="55" t="s">
        <v>194</v>
      </c>
      <c r="AR675" s="51">
        <v>1565.78</v>
      </c>
      <c r="AS675" s="49">
        <v>0</v>
      </c>
      <c r="AT675" s="55">
        <v>0</v>
      </c>
      <c r="AU675" s="51">
        <v>0</v>
      </c>
      <c r="AV675" s="52">
        <v>0</v>
      </c>
      <c r="AW675" s="44">
        <v>490</v>
      </c>
      <c r="AX675" s="51">
        <v>521.92666666666696</v>
      </c>
      <c r="AY675" s="49">
        <v>504.852137279597</v>
      </c>
      <c r="AZ675" s="49">
        <v>0</v>
      </c>
      <c r="BA675" s="42" t="s">
        <v>152</v>
      </c>
      <c r="BB675" s="50">
        <v>0</v>
      </c>
      <c r="BC675" s="57">
        <v>0</v>
      </c>
      <c r="BD675" s="42" t="s">
        <v>152</v>
      </c>
      <c r="BE675" s="46" t="s">
        <v>195</v>
      </c>
      <c r="BF675" s="46" t="s">
        <v>195</v>
      </c>
      <c r="BG675" s="42" t="s">
        <v>195</v>
      </c>
      <c r="BH675" s="52" t="s">
        <v>195</v>
      </c>
      <c r="BI675" s="52" t="s">
        <v>195</v>
      </c>
      <c r="BJ675" s="42" t="s">
        <v>195</v>
      </c>
      <c r="BK675" s="46" t="s">
        <v>195</v>
      </c>
      <c r="BL675" s="46" t="s">
        <v>195</v>
      </c>
      <c r="BM675" s="42" t="s">
        <v>195</v>
      </c>
      <c r="BN675" s="48" t="s">
        <v>195</v>
      </c>
      <c r="BO675" s="42" t="s">
        <v>195</v>
      </c>
      <c r="BP675" s="42" t="s">
        <v>152</v>
      </c>
      <c r="BQ675" s="46">
        <v>0</v>
      </c>
      <c r="BR675" s="46" t="e">
        <v>#N/A</v>
      </c>
      <c r="BS675" s="46" t="e">
        <v>#N/A</v>
      </c>
      <c r="BT675" s="46" t="e">
        <v>#N/A</v>
      </c>
      <c r="BU675" s="46" t="e">
        <v>#N/A</v>
      </c>
      <c r="BV675" s="46" t="e">
        <v>#N/A</v>
      </c>
      <c r="BW675" s="46" t="e">
        <v>#N/A</v>
      </c>
      <c r="BX675" s="46" t="e">
        <v>#N/A</v>
      </c>
      <c r="BY675" s="46" t="e">
        <v>#N/A</v>
      </c>
      <c r="BZ675" s="46" t="e">
        <v>#N/A</v>
      </c>
      <c r="CA675" s="46" t="e">
        <v>#N/A</v>
      </c>
      <c r="CB675" s="46" t="e">
        <v>#N/A</v>
      </c>
      <c r="CC675" s="46" t="e">
        <v>#N/A</v>
      </c>
      <c r="CD675" s="46" t="e">
        <v>#N/A</v>
      </c>
      <c r="CE675" s="46" t="e">
        <v>#N/A</v>
      </c>
      <c r="CF675" s="46" t="e">
        <v>#N/A</v>
      </c>
      <c r="CG675" s="46" t="e">
        <v>#N/A</v>
      </c>
      <c r="CH675" s="46" t="e">
        <v>#N/A</v>
      </c>
      <c r="CI675" s="46" t="e">
        <v>#N/A</v>
      </c>
      <c r="CJ675" s="46" t="e">
        <v>#N/A</v>
      </c>
      <c r="CM675">
        <f t="shared" si="77"/>
        <v>0</v>
      </c>
      <c r="CP675">
        <f t="shared" si="78"/>
        <v>0</v>
      </c>
      <c r="CS675">
        <f t="shared" si="79"/>
        <v>0</v>
      </c>
      <c r="CW675" s="46"/>
      <c r="CX675" s="46" t="e">
        <f t="shared" si="73"/>
        <v>#N/A</v>
      </c>
      <c r="CY675" s="46"/>
      <c r="CZ675" s="46" t="e">
        <f t="shared" si="74"/>
        <v>#N/A</v>
      </c>
      <c r="DA675" s="46" t="e">
        <f t="shared" si="75"/>
        <v>#N/A</v>
      </c>
      <c r="DB675" s="46"/>
      <c r="DC675" s="46" t="e">
        <f t="shared" si="76"/>
        <v>#N/A</v>
      </c>
      <c r="DD675" s="46"/>
      <c r="DE675" s="995" t="s">
        <v>194</v>
      </c>
      <c r="DF675" s="995" t="s">
        <v>194</v>
      </c>
      <c r="DG675" s="995" t="s">
        <v>194</v>
      </c>
      <c r="DH675" s="995" t="s">
        <v>194</v>
      </c>
      <c r="DI675" s="995" t="s">
        <v>194</v>
      </c>
      <c r="DJ675" s="995" t="s">
        <v>194</v>
      </c>
      <c r="DK675" s="995" t="s">
        <v>194</v>
      </c>
      <c r="DL675" s="995" t="s">
        <v>194</v>
      </c>
      <c r="DM675" s="995" t="s">
        <v>194</v>
      </c>
      <c r="DN675" s="995" t="s">
        <v>194</v>
      </c>
      <c r="DO675" s="995" t="s">
        <v>194</v>
      </c>
      <c r="DP675" s="995" t="s">
        <v>194</v>
      </c>
      <c r="DQ675" s="995" t="s">
        <v>194</v>
      </c>
      <c r="DR675" s="995" t="s">
        <v>194</v>
      </c>
      <c r="DS675" s="995" t="s">
        <v>194</v>
      </c>
      <c r="DT675" s="995" t="s">
        <v>194</v>
      </c>
    </row>
    <row r="676" spans="1:124">
      <c r="A676" s="42" t="s">
        <v>94</v>
      </c>
      <c r="B676" s="42" t="s">
        <v>510</v>
      </c>
      <c r="C676" s="42" t="s">
        <v>903</v>
      </c>
      <c r="D676" s="42">
        <v>805403</v>
      </c>
      <c r="E676" s="42" t="s">
        <v>907</v>
      </c>
      <c r="F676" s="42" t="s">
        <v>149</v>
      </c>
      <c r="G676" s="42" t="s">
        <v>150</v>
      </c>
      <c r="H676" s="43" t="s">
        <v>150</v>
      </c>
      <c r="I676" s="44">
        <v>7</v>
      </c>
      <c r="J676" s="45">
        <v>188113.772</v>
      </c>
      <c r="K676" s="46">
        <v>8667.9526650000007</v>
      </c>
      <c r="L676" s="47">
        <v>196781.72466499999</v>
      </c>
      <c r="M676" s="48">
        <v>3850417</v>
      </c>
      <c r="N676" s="49">
        <v>2737002</v>
      </c>
      <c r="O676" s="49">
        <v>1113415</v>
      </c>
      <c r="P676" s="49">
        <v>0</v>
      </c>
      <c r="Q676" s="50">
        <v>9102.6398581560297</v>
      </c>
      <c r="R676" s="51">
        <v>1549.81202707482</v>
      </c>
      <c r="S676" s="49">
        <v>4462.7557995226298</v>
      </c>
      <c r="T676" s="49">
        <v>696.379600298382</v>
      </c>
      <c r="U676" s="49">
        <f>IFERROR(INDEX('Rentabilidad datos'!$N$2:$N$61,MATCH($C676,'Rentabilidad datos'!$C$2:$C$61,0)),"")</f>
        <v>6708.9474268958347</v>
      </c>
      <c r="V676" s="50">
        <f>IFERROR(INDEX('Rentabilidad datos'!$O$2:$O$61,MATCH($C676,'Rentabilidad datos'!$C$2:$C$61,0)),"")</f>
        <v>1341.789485379167</v>
      </c>
      <c r="W676" s="51">
        <f>IFERROR(INDEX('Rentabilidad datos'!$M$2:$M$61,MATCH($C676,'Rentabilidad datos'!$C$2:$C$61,0)),"")</f>
        <v>1887.634665081757</v>
      </c>
      <c r="X676" s="52">
        <f>IFERROR(INDEX('Rentabilidad datos'!$P$2:$P$61,MATCH($C676,'Rentabilidad datos'!$C$2:$C$61,0)),"")</f>
        <v>0.71083113178632562</v>
      </c>
      <c r="Y676" s="43" t="s">
        <v>160</v>
      </c>
      <c r="Z676" s="53">
        <v>77.146572104018901</v>
      </c>
      <c r="AA676" s="43">
        <v>1</v>
      </c>
      <c r="AB676" s="54">
        <v>1</v>
      </c>
      <c r="AC676" s="55">
        <v>0</v>
      </c>
      <c r="AD676" s="752" t="e">
        <f>_xlfn.XLOOKUP(Table1[[#This Row],[Ruta]],#REF!,#REF!)</f>
        <v>#REF!</v>
      </c>
      <c r="AE676" s="752" t="e">
        <f>_xlfn.XLOOKUP(Table1[[#This Row],[Ruta]],#REF!,#REF!)</f>
        <v>#REF!</v>
      </c>
      <c r="AF676" s="752" t="e">
        <f>_xlfn.XLOOKUP(Table1[[#This Row],[Ruta]],#REF!,#REF!)</f>
        <v>#REF!</v>
      </c>
      <c r="AG676" s="752" t="e">
        <f>_xlfn.XLOOKUP(Table1[[#This Row],[Ruta]],#REF!,#REF!)</f>
        <v>#REF!</v>
      </c>
      <c r="AH676" s="52">
        <v>0.71083261890854943</v>
      </c>
      <c r="AI676" s="52">
        <v>0.28916738109145063</v>
      </c>
      <c r="AJ676" s="55">
        <v>0</v>
      </c>
      <c r="AK676" s="56">
        <v>32633</v>
      </c>
      <c r="AL676" s="44">
        <v>9122</v>
      </c>
      <c r="AM676" s="54">
        <v>0.27953298807955101</v>
      </c>
      <c r="AN676" s="55">
        <v>0.32301196340605198</v>
      </c>
      <c r="AO676" s="56">
        <v>1418.8494018296999</v>
      </c>
      <c r="AP676" s="48">
        <v>709.42470091484995</v>
      </c>
      <c r="AQ676" s="55">
        <v>0.30127247574280175</v>
      </c>
      <c r="AR676" s="51">
        <v>3850416.66</v>
      </c>
      <c r="AS676" s="49">
        <v>299449.75744552253</v>
      </c>
      <c r="AT676" s="55">
        <v>7.7770741165846327E-2</v>
      </c>
      <c r="AU676" s="51">
        <v>210424.15388063752</v>
      </c>
      <c r="AV676" s="52">
        <v>9.5723938899148987E-4</v>
      </c>
      <c r="AW676" s="44">
        <v>303</v>
      </c>
      <c r="AX676" s="51">
        <v>422.10224292918201</v>
      </c>
      <c r="AY676" s="49">
        <v>504.852137279597</v>
      </c>
      <c r="AZ676" s="49">
        <v>82.749894350414991</v>
      </c>
      <c r="BA676" s="42" t="s">
        <v>150</v>
      </c>
      <c r="BB676" s="50">
        <v>265215.64787671127</v>
      </c>
      <c r="BC676" s="57">
        <v>475639.80175734882</v>
      </c>
      <c r="BD676" s="42" t="s">
        <v>150</v>
      </c>
      <c r="BE676" s="46">
        <v>77.146572104018901</v>
      </c>
      <c r="BF676" s="46">
        <v>72.425990467051307</v>
      </c>
      <c r="BG676" s="42" t="s">
        <v>150</v>
      </c>
      <c r="BH676" s="52">
        <v>0.27953298807955101</v>
      </c>
      <c r="BI676" s="52">
        <v>0.49337264070319697</v>
      </c>
      <c r="BJ676" s="42" t="s">
        <v>152</v>
      </c>
      <c r="BK676" s="46">
        <v>465.20502284870003</v>
      </c>
      <c r="BL676" s="46">
        <v>605.59017138979505</v>
      </c>
      <c r="BM676" s="42" t="s">
        <v>152</v>
      </c>
      <c r="BN676" s="48">
        <v>1</v>
      </c>
      <c r="BO676" s="42" t="s">
        <v>155</v>
      </c>
      <c r="BP676" s="42" t="s">
        <v>152</v>
      </c>
      <c r="BQ676" s="46">
        <v>2099.65344413087</v>
      </c>
      <c r="BR676" s="46">
        <v>498</v>
      </c>
      <c r="BS676" s="46">
        <v>28234</v>
      </c>
      <c r="BT676" s="46">
        <v>8984</v>
      </c>
      <c r="BU676" s="46">
        <v>3.1426981300089047</v>
      </c>
      <c r="BV676" s="46">
        <v>18.040160642570282</v>
      </c>
      <c r="BW676" s="46">
        <v>0</v>
      </c>
      <c r="BX676" s="46">
        <v>1139</v>
      </c>
      <c r="BY676" s="46">
        <v>1139</v>
      </c>
      <c r="BZ676" s="46">
        <v>0.12678094390026715</v>
      </c>
      <c r="CA676" s="46">
        <v>0</v>
      </c>
      <c r="CB676" s="46">
        <v>0.12678094390026709</v>
      </c>
      <c r="CC676" s="46">
        <v>0.38323686553873548</v>
      </c>
      <c r="CD676" s="46">
        <v>0.40360641139804099</v>
      </c>
      <c r="CE676" s="46">
        <v>0</v>
      </c>
      <c r="CF676" s="46">
        <v>8.637577916295637E-2</v>
      </c>
      <c r="CG676" s="46">
        <v>0</v>
      </c>
      <c r="CH676" s="46">
        <v>0</v>
      </c>
      <c r="CI676" s="46">
        <v>2.7272083303818091</v>
      </c>
      <c r="CJ676" s="46">
        <v>0.42501948005950269</v>
      </c>
      <c r="CK676">
        <v>129</v>
      </c>
      <c r="CL676">
        <v>176.82</v>
      </c>
      <c r="CM676">
        <f t="shared" si="77"/>
        <v>47.819999999999993</v>
      </c>
      <c r="CN676">
        <v>2.78</v>
      </c>
      <c r="CO676">
        <v>9.4499999999999993</v>
      </c>
      <c r="CP676">
        <f t="shared" si="78"/>
        <v>6.67</v>
      </c>
      <c r="CQ676">
        <v>564.37</v>
      </c>
      <c r="CR676">
        <v>465.21</v>
      </c>
      <c r="CS676">
        <f t="shared" si="79"/>
        <v>99.160000000000025</v>
      </c>
      <c r="CT676" t="s">
        <v>152</v>
      </c>
      <c r="CU676">
        <v>82.43</v>
      </c>
      <c r="CV676">
        <v>19</v>
      </c>
      <c r="CW676" s="46">
        <v>1139</v>
      </c>
      <c r="CX676" s="46">
        <f t="shared" si="73"/>
        <v>12.145814781834373</v>
      </c>
      <c r="CY676" s="46">
        <v>47.82</v>
      </c>
      <c r="CZ676" s="46">
        <f t="shared" si="74"/>
        <v>12.678094390026715</v>
      </c>
      <c r="DA676" s="46">
        <f t="shared" si="75"/>
        <v>59.699892159055437</v>
      </c>
      <c r="DB676" s="46">
        <v>539198.68000000005</v>
      </c>
      <c r="DC676" s="46">
        <f t="shared" si="76"/>
        <v>2.963723812033455</v>
      </c>
      <c r="DD676" s="46">
        <v>26767.82</v>
      </c>
      <c r="DE676" s="995">
        <v>1139</v>
      </c>
      <c r="DF676" s="995">
        <v>12.154999999999999</v>
      </c>
      <c r="DG676" s="995">
        <v>47</v>
      </c>
      <c r="DH676" s="995">
        <v>12.678000000000001</v>
      </c>
      <c r="DI676" s="995">
        <v>236.018</v>
      </c>
      <c r="DJ676" s="995">
        <v>2131482</v>
      </c>
      <c r="DK676" s="995">
        <v>11.506</v>
      </c>
      <c r="DL676" s="995">
        <v>103907.5</v>
      </c>
      <c r="DM676" s="995">
        <v>1139</v>
      </c>
      <c r="DN676" s="995">
        <v>12.182</v>
      </c>
      <c r="DO676" s="995">
        <v>44.5</v>
      </c>
      <c r="DP676" s="995">
        <v>12.678000000000001</v>
      </c>
      <c r="DQ676" s="995">
        <v>233.06899999999999</v>
      </c>
      <c r="DR676" s="995">
        <v>2104276</v>
      </c>
      <c r="DS676" s="995">
        <v>11.362</v>
      </c>
      <c r="DT676" s="995">
        <v>102585.3</v>
      </c>
    </row>
    <row r="677" spans="1:124">
      <c r="A677" s="42" t="s">
        <v>94</v>
      </c>
      <c r="B677" s="42" t="s">
        <v>510</v>
      </c>
      <c r="C677" s="42" t="s">
        <v>903</v>
      </c>
      <c r="D677" s="42">
        <v>805404</v>
      </c>
      <c r="E677" s="42" t="s">
        <v>908</v>
      </c>
      <c r="F677" s="42" t="s">
        <v>149</v>
      </c>
      <c r="G677" s="42" t="s">
        <v>150</v>
      </c>
      <c r="H677" s="43" t="s">
        <v>150</v>
      </c>
      <c r="I677" s="44">
        <v>7</v>
      </c>
      <c r="J677" s="45">
        <v>199860.976</v>
      </c>
      <c r="K677" s="46">
        <v>6318.5147870000001</v>
      </c>
      <c r="L677" s="47">
        <v>206179.49078699999</v>
      </c>
      <c r="M677" s="48">
        <v>3696340</v>
      </c>
      <c r="N677" s="49">
        <v>2884973</v>
      </c>
      <c r="O677" s="49">
        <v>811367</v>
      </c>
      <c r="P677" s="49">
        <v>0</v>
      </c>
      <c r="Q677" s="50">
        <v>8637.48422897196</v>
      </c>
      <c r="R677" s="51">
        <v>1549.81202707482</v>
      </c>
      <c r="S677" s="49">
        <v>4462.7557995226298</v>
      </c>
      <c r="T677" s="49">
        <v>696.379600298382</v>
      </c>
      <c r="U677" s="49">
        <f>IFERROR(INDEX('Rentabilidad datos'!$N$2:$N$61,MATCH($C677,'Rentabilidad datos'!$C$2:$C$61,0)),"")</f>
        <v>6708.9474268958347</v>
      </c>
      <c r="V677" s="50">
        <f>IFERROR(INDEX('Rentabilidad datos'!$O$2:$O$61,MATCH($C677,'Rentabilidad datos'!$C$2:$C$61,0)),"")</f>
        <v>1341.789485379167</v>
      </c>
      <c r="W677" s="51">
        <f>IFERROR(INDEX('Rentabilidad datos'!$M$2:$M$61,MATCH($C677,'Rentabilidad datos'!$C$2:$C$61,0)),"")</f>
        <v>1887.634665081757</v>
      </c>
      <c r="X677" s="52">
        <f>IFERROR(INDEX('Rentabilidad datos'!$P$2:$P$61,MATCH($C677,'Rentabilidad datos'!$C$2:$C$61,0)),"")</f>
        <v>0.71083113178632562</v>
      </c>
      <c r="Y677" s="43" t="s">
        <v>160</v>
      </c>
      <c r="Z677" s="53">
        <v>111.62383177570101</v>
      </c>
      <c r="AA677" s="43">
        <v>1</v>
      </c>
      <c r="AB677" s="54">
        <v>1</v>
      </c>
      <c r="AC677" s="55">
        <v>0</v>
      </c>
      <c r="AD677" s="752" t="e">
        <f>_xlfn.XLOOKUP(Table1[[#This Row],[Ruta]],#REF!,#REF!)</f>
        <v>#REF!</v>
      </c>
      <c r="AE677" s="752" t="e">
        <f>_xlfn.XLOOKUP(Table1[[#This Row],[Ruta]],#REF!,#REF!)</f>
        <v>#REF!</v>
      </c>
      <c r="AF677" s="752" t="e">
        <f>_xlfn.XLOOKUP(Table1[[#This Row],[Ruta]],#REF!,#REF!)</f>
        <v>#REF!</v>
      </c>
      <c r="AG677" s="752" t="e">
        <f>_xlfn.XLOOKUP(Table1[[#This Row],[Ruta]],#REF!,#REF!)</f>
        <v>#REF!</v>
      </c>
      <c r="AH677" s="52">
        <v>0.78049448914331476</v>
      </c>
      <c r="AI677" s="52">
        <v>0.21950551085668527</v>
      </c>
      <c r="AJ677" s="55">
        <v>0</v>
      </c>
      <c r="AK677" s="56">
        <v>47775</v>
      </c>
      <c r="AL677" s="44">
        <v>15654</v>
      </c>
      <c r="AM677" s="54">
        <v>0.32766091051805302</v>
      </c>
      <c r="AN677" s="55">
        <v>0.32301196340605198</v>
      </c>
      <c r="AO677" s="56">
        <v>0</v>
      </c>
      <c r="AP677" s="48">
        <v>0</v>
      </c>
      <c r="AQ677" s="55">
        <v>0.32766091051805335</v>
      </c>
      <c r="AR677" s="51">
        <v>3696843.25</v>
      </c>
      <c r="AS677" s="49">
        <v>0</v>
      </c>
      <c r="AT677" s="55">
        <v>0</v>
      </c>
      <c r="AU677" s="51">
        <v>0</v>
      </c>
      <c r="AV677" s="52">
        <v>0</v>
      </c>
      <c r="AW677" s="44">
        <v>490</v>
      </c>
      <c r="AX677" s="51">
        <v>236.15965567905999</v>
      </c>
      <c r="AY677" s="49">
        <v>504.852137279597</v>
      </c>
      <c r="AZ677" s="49">
        <v>268.69248160053701</v>
      </c>
      <c r="BA677" s="42" t="s">
        <v>150</v>
      </c>
      <c r="BB677" s="50">
        <v>1477823.1727208786</v>
      </c>
      <c r="BC677" s="57">
        <v>1477823.1727208786</v>
      </c>
      <c r="BD677" s="42" t="s">
        <v>150</v>
      </c>
      <c r="BE677" s="46">
        <v>111.62383177570101</v>
      </c>
      <c r="BF677" s="46">
        <v>72.425990467051307</v>
      </c>
      <c r="BG677" s="42" t="s">
        <v>150</v>
      </c>
      <c r="BH677" s="52">
        <v>0.32766091051805302</v>
      </c>
      <c r="BI677" s="52">
        <v>0.49337264070319697</v>
      </c>
      <c r="BJ677" s="42" t="s">
        <v>152</v>
      </c>
      <c r="BK677" s="46">
        <v>481.72778221261598</v>
      </c>
      <c r="BL677" s="46">
        <v>605.59017138979505</v>
      </c>
      <c r="BM677" s="42" t="s">
        <v>152</v>
      </c>
      <c r="BN677" s="48">
        <v>1</v>
      </c>
      <c r="BO677" s="42" t="s">
        <v>155</v>
      </c>
      <c r="BP677" s="42" t="s">
        <v>152</v>
      </c>
      <c r="BQ677" s="46">
        <v>0</v>
      </c>
      <c r="BR677" s="46">
        <v>437</v>
      </c>
      <c r="BS677" s="46">
        <v>14878</v>
      </c>
      <c r="BT677" s="46">
        <v>4819</v>
      </c>
      <c r="BU677" s="46">
        <v>3.0873625233450923</v>
      </c>
      <c r="BV677" s="46">
        <v>11.027459954233409</v>
      </c>
      <c r="BW677" s="46">
        <v>0</v>
      </c>
      <c r="BX677" s="46">
        <v>461</v>
      </c>
      <c r="BY677" s="46">
        <v>461</v>
      </c>
      <c r="BZ677" s="46">
        <v>9.5663000622535799E-2</v>
      </c>
      <c r="CA677" s="46">
        <v>0</v>
      </c>
      <c r="CB677" s="46">
        <v>9.5663000622535799E-2</v>
      </c>
      <c r="CC677" s="46">
        <v>7.6156879020543675E-2</v>
      </c>
      <c r="CD677" s="46">
        <v>0</v>
      </c>
      <c r="CE677" s="46">
        <v>0</v>
      </c>
      <c r="CF677" s="46">
        <v>0.82797260842498444</v>
      </c>
      <c r="CG677" s="46">
        <v>0</v>
      </c>
      <c r="CH677" s="46">
        <v>2.0751193193608631E-4</v>
      </c>
      <c r="CI677" s="46">
        <v>5.6459201505578704</v>
      </c>
      <c r="CJ677" s="46">
        <v>1.0082000268853339</v>
      </c>
      <c r="CK677">
        <v>333</v>
      </c>
      <c r="CL677">
        <v>340.5</v>
      </c>
      <c r="CM677">
        <f t="shared" si="77"/>
        <v>7.5</v>
      </c>
      <c r="CN677">
        <v>9.2100000000000009</v>
      </c>
      <c r="CO677">
        <v>9.4499999999999993</v>
      </c>
      <c r="CP677">
        <f t="shared" si="78"/>
        <v>0.23999999999999844</v>
      </c>
      <c r="CQ677">
        <v>521.49</v>
      </c>
      <c r="CR677">
        <v>481.73</v>
      </c>
      <c r="CS677">
        <f t="shared" si="79"/>
        <v>39.759999999999991</v>
      </c>
      <c r="CT677" t="s">
        <v>152</v>
      </c>
      <c r="CU677">
        <v>97.41</v>
      </c>
      <c r="CV677">
        <v>35</v>
      </c>
      <c r="CW677" s="46">
        <v>461</v>
      </c>
      <c r="CX677" s="46">
        <f t="shared" si="73"/>
        <v>9.4106661133015148</v>
      </c>
      <c r="CY677" s="46">
        <v>7.5</v>
      </c>
      <c r="CZ677" s="46">
        <f t="shared" si="74"/>
        <v>9.5663000622535801</v>
      </c>
      <c r="DA677" s="46">
        <f t="shared" si="75"/>
        <v>120.99391070133638</v>
      </c>
      <c r="DB677" s="46">
        <v>583977.11</v>
      </c>
      <c r="DC677" s="46">
        <f t="shared" si="76"/>
        <v>6.7550067336579307</v>
      </c>
      <c r="DD677" s="46">
        <v>32603.040000000001</v>
      </c>
      <c r="DE677" s="995">
        <v>461</v>
      </c>
      <c r="DF677" s="995">
        <v>9.2829999999999995</v>
      </c>
      <c r="DG677" s="995">
        <v>13.6</v>
      </c>
      <c r="DH677" s="995">
        <v>9.5660000000000007</v>
      </c>
      <c r="DI677" s="995">
        <v>552.28099999999995</v>
      </c>
      <c r="DJ677" s="995">
        <v>2668977</v>
      </c>
      <c r="DK677" s="995">
        <v>30.641999999999999</v>
      </c>
      <c r="DL677" s="995">
        <v>148080.5</v>
      </c>
      <c r="DM677" s="995">
        <v>461</v>
      </c>
      <c r="DN677" s="995">
        <v>9.3330000000000002</v>
      </c>
      <c r="DO677" s="995">
        <v>11.2</v>
      </c>
      <c r="DP677" s="995">
        <v>9.5660000000000007</v>
      </c>
      <c r="DQ677" s="995">
        <v>549.10900000000004</v>
      </c>
      <c r="DR677" s="995">
        <v>2652324</v>
      </c>
      <c r="DS677" s="995">
        <v>30.463000000000001</v>
      </c>
      <c r="DT677" s="995">
        <v>147145.20000000001</v>
      </c>
    </row>
    <row r="678" spans="1:124">
      <c r="A678" s="42" t="s">
        <v>94</v>
      </c>
      <c r="B678" s="42" t="s">
        <v>510</v>
      </c>
      <c r="C678" s="42" t="s">
        <v>903</v>
      </c>
      <c r="D678" s="42">
        <v>805405</v>
      </c>
      <c r="E678" s="42" t="s">
        <v>909</v>
      </c>
      <c r="F678" s="42" t="s">
        <v>193</v>
      </c>
      <c r="G678" s="42" t="s">
        <v>150</v>
      </c>
      <c r="H678" s="43" t="s">
        <v>152</v>
      </c>
      <c r="I678" s="44">
        <v>7</v>
      </c>
      <c r="J678" s="45">
        <v>838.33119999999997</v>
      </c>
      <c r="K678" s="46">
        <v>52.469549999999998</v>
      </c>
      <c r="L678" s="47">
        <v>890.80074999999999</v>
      </c>
      <c r="M678" s="48">
        <v>14963</v>
      </c>
      <c r="N678" s="49">
        <v>9700</v>
      </c>
      <c r="O678" s="49">
        <v>5263</v>
      </c>
      <c r="P678" s="49">
        <v>0</v>
      </c>
      <c r="Q678" s="50">
        <v>0</v>
      </c>
      <c r="R678" s="51">
        <v>1549.81202707482</v>
      </c>
      <c r="S678" s="49">
        <v>4462.7557995226298</v>
      </c>
      <c r="T678" s="49">
        <v>696.379600298382</v>
      </c>
      <c r="U678" s="49">
        <f>IFERROR(INDEX('Rentabilidad datos'!$N$2:$N$61,MATCH($C678,'Rentabilidad datos'!$C$2:$C$61,0)),"")</f>
        <v>6708.9474268958347</v>
      </c>
      <c r="V678" s="50">
        <f>IFERROR(INDEX('Rentabilidad datos'!$O$2:$O$61,MATCH($C678,'Rentabilidad datos'!$C$2:$C$61,0)),"")</f>
        <v>1341.789485379167</v>
      </c>
      <c r="W678" s="51">
        <f>IFERROR(INDEX('Rentabilidad datos'!$M$2:$M$61,MATCH($C678,'Rentabilidad datos'!$C$2:$C$61,0)),"")</f>
        <v>1887.634665081757</v>
      </c>
      <c r="X678" s="52">
        <f>IFERROR(INDEX('Rentabilidad datos'!$P$2:$P$61,MATCH($C678,'Rentabilidad datos'!$C$2:$C$61,0)),"")</f>
        <v>0.71083113178632562</v>
      </c>
      <c r="Y678" s="43" t="s">
        <v>160</v>
      </c>
      <c r="Z678" s="53">
        <v>69</v>
      </c>
      <c r="AA678" s="43">
        <v>1</v>
      </c>
      <c r="AB678" s="54">
        <v>1</v>
      </c>
      <c r="AC678" s="55">
        <v>0</v>
      </c>
      <c r="AD678" s="752" t="e">
        <f>_xlfn.XLOOKUP(Table1[[#This Row],[Ruta]],#REF!,#REF!)</f>
        <v>#REF!</v>
      </c>
      <c r="AE678" s="752" t="e">
        <f>_xlfn.XLOOKUP(Table1[[#This Row],[Ruta]],#REF!,#REF!)</f>
        <v>#REF!</v>
      </c>
      <c r="AF678" s="752" t="e">
        <f>_xlfn.XLOOKUP(Table1[[#This Row],[Ruta]],#REF!,#REF!)</f>
        <v>#REF!</v>
      </c>
      <c r="AG678" s="752" t="e">
        <f>_xlfn.XLOOKUP(Table1[[#This Row],[Ruta]],#REF!,#REF!)</f>
        <v>#REF!</v>
      </c>
      <c r="AH678" s="52">
        <v>0.64826572211454925</v>
      </c>
      <c r="AI678" s="52">
        <v>0.35173427788545075</v>
      </c>
      <c r="AJ678" s="55">
        <v>0</v>
      </c>
      <c r="AK678" s="56">
        <v>138</v>
      </c>
      <c r="AL678" s="44">
        <v>4</v>
      </c>
      <c r="AM678" s="54">
        <v>2.1739130434782601E-2</v>
      </c>
      <c r="AN678" s="55">
        <v>0.32301196340605198</v>
      </c>
      <c r="AO678" s="56">
        <v>0</v>
      </c>
      <c r="AP678" s="48">
        <v>0</v>
      </c>
      <c r="AQ678" s="55">
        <v>2.8985507246376812E-2</v>
      </c>
      <c r="AR678" s="51">
        <v>14963.15</v>
      </c>
      <c r="AS678" s="49">
        <v>0</v>
      </c>
      <c r="AT678" s="55">
        <v>0</v>
      </c>
      <c r="AU678" s="51">
        <v>0</v>
      </c>
      <c r="AV678" s="52">
        <v>0</v>
      </c>
      <c r="AW678" s="44">
        <v>490</v>
      </c>
      <c r="AX678" s="51">
        <v>3740.7874999999999</v>
      </c>
      <c r="AY678" s="49">
        <v>504.852137279597</v>
      </c>
      <c r="AZ678" s="49">
        <v>0</v>
      </c>
      <c r="BA678" s="42" t="s">
        <v>152</v>
      </c>
      <c r="BB678" s="50">
        <v>0</v>
      </c>
      <c r="BC678" s="57">
        <v>0</v>
      </c>
      <c r="BD678" s="42" t="s">
        <v>152</v>
      </c>
      <c r="BE678" s="46" t="s">
        <v>195</v>
      </c>
      <c r="BF678" s="46" t="s">
        <v>195</v>
      </c>
      <c r="BG678" s="42" t="s">
        <v>195</v>
      </c>
      <c r="BH678" s="52" t="s">
        <v>195</v>
      </c>
      <c r="BI678" s="52" t="s">
        <v>195</v>
      </c>
      <c r="BJ678" s="42" t="s">
        <v>195</v>
      </c>
      <c r="BK678" s="46" t="s">
        <v>195</v>
      </c>
      <c r="BL678" s="46" t="s">
        <v>195</v>
      </c>
      <c r="BM678" s="42" t="s">
        <v>195</v>
      </c>
      <c r="BN678" s="48" t="s">
        <v>195</v>
      </c>
      <c r="BO678" s="42" t="s">
        <v>195</v>
      </c>
      <c r="BP678" s="42" t="s">
        <v>152</v>
      </c>
      <c r="BQ678" s="46">
        <v>0</v>
      </c>
      <c r="BR678" s="46">
        <v>558</v>
      </c>
      <c r="BS678" s="46">
        <v>31626</v>
      </c>
      <c r="BT678" s="46">
        <v>9974</v>
      </c>
      <c r="BU678" s="46">
        <v>3.1708441949067576</v>
      </c>
      <c r="BV678" s="46">
        <v>17.874551971326166</v>
      </c>
      <c r="BW678" s="46">
        <v>0</v>
      </c>
      <c r="BX678" s="46">
        <v>64</v>
      </c>
      <c r="BY678" s="46">
        <v>64</v>
      </c>
      <c r="BZ678" s="46">
        <v>6.4166833767796269E-3</v>
      </c>
      <c r="CA678" s="46">
        <v>0</v>
      </c>
      <c r="CB678" s="46">
        <v>6.4166833767796269E-3</v>
      </c>
      <c r="CC678" s="46">
        <v>0</v>
      </c>
      <c r="CD678" s="46">
        <v>1.7445357930619611E-2</v>
      </c>
      <c r="CE678" s="46">
        <v>0</v>
      </c>
      <c r="CF678" s="46">
        <v>0.97603769801483853</v>
      </c>
      <c r="CG678" s="46">
        <v>0</v>
      </c>
      <c r="CH678" s="46">
        <v>1.002606777621817E-4</v>
      </c>
      <c r="CI678" s="46">
        <v>6.0393347245936884</v>
      </c>
      <c r="CJ678" s="46">
        <v>0.50591285651046602</v>
      </c>
      <c r="CK678">
        <v>4</v>
      </c>
      <c r="CL678">
        <v>19.47</v>
      </c>
      <c r="CM678">
        <f t="shared" si="77"/>
        <v>15.469999999999999</v>
      </c>
      <c r="CN678">
        <v>0</v>
      </c>
      <c r="CO678">
        <v>9.4499999999999993</v>
      </c>
      <c r="CP678">
        <f t="shared" si="78"/>
        <v>9.4499999999999993</v>
      </c>
      <c r="CQ678">
        <v>564.37</v>
      </c>
      <c r="CR678">
        <v>462.18</v>
      </c>
      <c r="CS678">
        <f t="shared" si="79"/>
        <v>102.19</v>
      </c>
      <c r="CT678" t="s">
        <v>152</v>
      </c>
      <c r="CU678">
        <v>81.89</v>
      </c>
      <c r="CV678">
        <v>0</v>
      </c>
      <c r="CW678" s="46">
        <v>64</v>
      </c>
      <c r="CX678" s="46">
        <f t="shared" si="73"/>
        <v>0.48656506917986764</v>
      </c>
      <c r="CY678" s="46">
        <v>15.47</v>
      </c>
      <c r="CZ678" s="46">
        <f t="shared" si="74"/>
        <v>0.64166833767796272</v>
      </c>
      <c r="DA678" s="46">
        <f t="shared" si="75"/>
        <v>3.9592470871828036</v>
      </c>
      <c r="DB678" s="46">
        <v>39550.78</v>
      </c>
      <c r="DC678" s="46">
        <f t="shared" si="76"/>
        <v>0.29054294171762868</v>
      </c>
      <c r="DD678" s="46">
        <v>2902.37</v>
      </c>
      <c r="DE678" s="995">
        <v>64</v>
      </c>
      <c r="DF678" s="995">
        <v>0.49399999999999999</v>
      </c>
      <c r="DG678" s="995">
        <v>14.7</v>
      </c>
      <c r="DH678" s="995">
        <v>0.64200000000000002</v>
      </c>
      <c r="DI678" s="995">
        <v>24.49</v>
      </c>
      <c r="DJ678" s="995">
        <v>244625</v>
      </c>
      <c r="DK678" s="995">
        <v>1.47</v>
      </c>
      <c r="DL678" s="995">
        <v>14685.9</v>
      </c>
      <c r="DM678" s="995">
        <v>64</v>
      </c>
      <c r="DN678" s="995">
        <v>0.51600000000000001</v>
      </c>
      <c r="DO678" s="995">
        <v>12.5</v>
      </c>
      <c r="DP678" s="995">
        <v>0.64200000000000002</v>
      </c>
      <c r="DQ678" s="995">
        <v>23.933</v>
      </c>
      <c r="DR678" s="995">
        <v>239009</v>
      </c>
      <c r="DS678" s="995">
        <v>1.429</v>
      </c>
      <c r="DT678" s="995">
        <v>14273.8</v>
      </c>
    </row>
    <row r="679" spans="1:124">
      <c r="A679" s="42" t="s">
        <v>94</v>
      </c>
      <c r="B679" s="42" t="s">
        <v>510</v>
      </c>
      <c r="C679" s="42" t="s">
        <v>903</v>
      </c>
      <c r="D679" s="42">
        <v>805406</v>
      </c>
      <c r="E679" s="42" t="s">
        <v>910</v>
      </c>
      <c r="F679" s="42" t="s">
        <v>149</v>
      </c>
      <c r="G679" s="42" t="s">
        <v>150</v>
      </c>
      <c r="H679" s="43" t="s">
        <v>150</v>
      </c>
      <c r="I679" s="44">
        <v>7</v>
      </c>
      <c r="J679" s="45">
        <v>186049.64559999999</v>
      </c>
      <c r="K679" s="46">
        <v>8528.0981749999992</v>
      </c>
      <c r="L679" s="47">
        <v>194577.74377500001</v>
      </c>
      <c r="M679" s="48">
        <v>4008529</v>
      </c>
      <c r="N679" s="49">
        <v>2712246</v>
      </c>
      <c r="O679" s="49">
        <v>1296283</v>
      </c>
      <c r="P679" s="49">
        <v>0</v>
      </c>
      <c r="Q679" s="50">
        <v>9521.4393586698297</v>
      </c>
      <c r="R679" s="51">
        <v>1549.81202707482</v>
      </c>
      <c r="S679" s="49">
        <v>4462.7557995226298</v>
      </c>
      <c r="T679" s="49">
        <v>696.379600298382</v>
      </c>
      <c r="U679" s="49">
        <f>IFERROR(INDEX('Rentabilidad datos'!$N$2:$N$61,MATCH($C679,'Rentabilidad datos'!$C$2:$C$61,0)),"")</f>
        <v>6708.9474268958347</v>
      </c>
      <c r="V679" s="50">
        <f>IFERROR(INDEX('Rentabilidad datos'!$O$2:$O$61,MATCH($C679,'Rentabilidad datos'!$C$2:$C$61,0)),"")</f>
        <v>1341.789485379167</v>
      </c>
      <c r="W679" s="51">
        <f>IFERROR(INDEX('Rentabilidad datos'!$M$2:$M$61,MATCH($C679,'Rentabilidad datos'!$C$2:$C$61,0)),"")</f>
        <v>1887.634665081757</v>
      </c>
      <c r="X679" s="52">
        <f>IFERROR(INDEX('Rentabilidad datos'!$P$2:$P$61,MATCH($C679,'Rentabilidad datos'!$C$2:$C$61,0)),"")</f>
        <v>0.71083113178632562</v>
      </c>
      <c r="Y679" s="43" t="s">
        <v>160</v>
      </c>
      <c r="Z679" s="53">
        <v>65.313539192399105</v>
      </c>
      <c r="AA679" s="43">
        <v>1</v>
      </c>
      <c r="AB679" s="54">
        <v>1</v>
      </c>
      <c r="AC679" s="55">
        <v>0</v>
      </c>
      <c r="AD679" s="752" t="e">
        <f>_xlfn.XLOOKUP(Table1[[#This Row],[Ruta]],#REF!,#REF!)</f>
        <v>#REF!</v>
      </c>
      <c r="AE679" s="752" t="e">
        <f>_xlfn.XLOOKUP(Table1[[#This Row],[Ruta]],#REF!,#REF!)</f>
        <v>#REF!</v>
      </c>
      <c r="AF679" s="752" t="e">
        <f>_xlfn.XLOOKUP(Table1[[#This Row],[Ruta]],#REF!,#REF!)</f>
        <v>#REF!</v>
      </c>
      <c r="AG679" s="752" t="e">
        <f>_xlfn.XLOOKUP(Table1[[#This Row],[Ruta]],#REF!,#REF!)</f>
        <v>#REF!</v>
      </c>
      <c r="AH679" s="52">
        <v>0.67661877960718253</v>
      </c>
      <c r="AI679" s="52">
        <v>0.32338122039281741</v>
      </c>
      <c r="AJ679" s="55">
        <v>0</v>
      </c>
      <c r="AK679" s="56">
        <v>27497</v>
      </c>
      <c r="AL679" s="44">
        <v>7940</v>
      </c>
      <c r="AM679" s="54">
        <v>0.288758773684402</v>
      </c>
      <c r="AN679" s="55">
        <v>0.32301196340605198</v>
      </c>
      <c r="AO679" s="56">
        <v>941.85995777621395</v>
      </c>
      <c r="AP679" s="48">
        <v>470.92997888810697</v>
      </c>
      <c r="AQ679" s="55">
        <v>0.30588536854522702</v>
      </c>
      <c r="AR679" s="51">
        <v>4008525.97</v>
      </c>
      <c r="AS679" s="49">
        <v>237750.00635069649</v>
      </c>
      <c r="AT679" s="55">
        <v>5.9311080464497151E-2</v>
      </c>
      <c r="AU679" s="51">
        <v>167067.57203021922</v>
      </c>
      <c r="AV679" s="52">
        <v>7.6000619520711016E-4</v>
      </c>
      <c r="AW679" s="44">
        <v>337</v>
      </c>
      <c r="AX679" s="51">
        <v>504.852137279597</v>
      </c>
      <c r="AY679" s="49">
        <v>504.852137279597</v>
      </c>
      <c r="AZ679" s="49">
        <v>0</v>
      </c>
      <c r="BA679" s="42" t="s">
        <v>152</v>
      </c>
      <c r="BB679" s="50">
        <v>0</v>
      </c>
      <c r="BC679" s="57">
        <v>167067.57203021922</v>
      </c>
      <c r="BD679" s="42" t="s">
        <v>150</v>
      </c>
      <c r="BE679" s="46">
        <v>65.313539192399105</v>
      </c>
      <c r="BF679" s="46">
        <v>72.425990467051307</v>
      </c>
      <c r="BG679" s="42" t="s">
        <v>152</v>
      </c>
      <c r="BH679" s="52">
        <v>0.288758773684402</v>
      </c>
      <c r="BI679" s="52">
        <v>0.49337264070319697</v>
      </c>
      <c r="BJ679" s="42" t="s">
        <v>152</v>
      </c>
      <c r="BK679" s="46">
        <v>462.17991395486899</v>
      </c>
      <c r="BL679" s="46">
        <v>605.59017138979505</v>
      </c>
      <c r="BM679" s="42" t="s">
        <v>152</v>
      </c>
      <c r="BN679" s="48">
        <v>0</v>
      </c>
      <c r="BO679" s="42" t="s">
        <v>155</v>
      </c>
      <c r="BP679" s="42" t="s">
        <v>152</v>
      </c>
      <c r="BQ679" s="46">
        <v>2588.66133584196</v>
      </c>
      <c r="BR679" s="46">
        <v>737</v>
      </c>
      <c r="BS679" s="46">
        <v>37330</v>
      </c>
      <c r="BT679" s="46">
        <v>11779</v>
      </c>
      <c r="BU679" s="46">
        <v>3.1691994227014177</v>
      </c>
      <c r="BV679" s="46">
        <v>15.98236092265943</v>
      </c>
      <c r="BW679" s="46">
        <v>0</v>
      </c>
      <c r="BX679" s="46">
        <v>2751</v>
      </c>
      <c r="BY679" s="46">
        <v>2751</v>
      </c>
      <c r="BZ679" s="46">
        <v>0.23355123524917226</v>
      </c>
      <c r="CA679" s="46">
        <v>0</v>
      </c>
      <c r="CB679" s="46">
        <v>0.23355123524917229</v>
      </c>
      <c r="CC679" s="46">
        <v>0.25180405806944561</v>
      </c>
      <c r="CD679" s="46">
        <v>0.20646913999490624</v>
      </c>
      <c r="CE679" s="46">
        <v>5.2296459801341372E-2</v>
      </c>
      <c r="CF679" s="46">
        <v>0.25587910688513449</v>
      </c>
      <c r="CG679" s="46">
        <v>0</v>
      </c>
      <c r="CH679" s="46">
        <v>0</v>
      </c>
      <c r="CI679" s="46">
        <v>3.1609965175462089</v>
      </c>
      <c r="CJ679" s="46">
        <v>0.3750334851326011</v>
      </c>
      <c r="CK679">
        <v>258</v>
      </c>
      <c r="CL679">
        <v>292.58999999999997</v>
      </c>
      <c r="CM679">
        <f t="shared" si="77"/>
        <v>34.589999999999975</v>
      </c>
      <c r="CN679">
        <v>6.89</v>
      </c>
      <c r="CO679">
        <v>9.4499999999999993</v>
      </c>
      <c r="CP679">
        <f t="shared" si="78"/>
        <v>2.5599999999999996</v>
      </c>
      <c r="CQ679">
        <v>564.37</v>
      </c>
      <c r="CR679">
        <v>462.18</v>
      </c>
      <c r="CS679">
        <f t="shared" si="79"/>
        <v>102.19</v>
      </c>
      <c r="CT679" t="s">
        <v>152</v>
      </c>
      <c r="CU679">
        <v>88.14</v>
      </c>
      <c r="CV679">
        <v>174</v>
      </c>
      <c r="CW679" s="46">
        <v>2751</v>
      </c>
      <c r="CX679" s="46">
        <f t="shared" si="73"/>
        <v>23.061465319636639</v>
      </c>
      <c r="CY679" s="46">
        <v>34.590000000000003</v>
      </c>
      <c r="CZ679" s="46">
        <f t="shared" si="74"/>
        <v>23.355123524917225</v>
      </c>
      <c r="DA679" s="46">
        <f t="shared" si="75"/>
        <v>42.330362743247392</v>
      </c>
      <c r="DB679" s="46">
        <v>500073.55</v>
      </c>
      <c r="DC679" s="46">
        <f t="shared" si="76"/>
        <v>2.0114198986082976</v>
      </c>
      <c r="DD679" s="46">
        <v>23762.09</v>
      </c>
      <c r="DE679" s="995">
        <v>2751</v>
      </c>
      <c r="DF679" s="995">
        <v>23.02</v>
      </c>
      <c r="DG679" s="995">
        <v>39.5</v>
      </c>
      <c r="DH679" s="995">
        <v>23.355</v>
      </c>
      <c r="DI679" s="995">
        <v>456.041</v>
      </c>
      <c r="DJ679" s="995">
        <v>5389734</v>
      </c>
      <c r="DK679" s="995">
        <v>18.079999999999998</v>
      </c>
      <c r="DL679" s="995">
        <v>213676.7</v>
      </c>
      <c r="DM679" s="995">
        <v>2751</v>
      </c>
      <c r="DN679" s="995">
        <v>23.052</v>
      </c>
      <c r="DO679" s="995">
        <v>35.700000000000003</v>
      </c>
      <c r="DP679" s="995">
        <v>23.355</v>
      </c>
      <c r="DQ679" s="995">
        <v>451.76900000000001</v>
      </c>
      <c r="DR679" s="995">
        <v>5337528</v>
      </c>
      <c r="DS679" s="995">
        <v>17.911999999999999</v>
      </c>
      <c r="DT679" s="995">
        <v>211627.4</v>
      </c>
    </row>
    <row r="680" spans="1:124">
      <c r="A680" s="42" t="s">
        <v>94</v>
      </c>
      <c r="B680" s="42" t="s">
        <v>882</v>
      </c>
      <c r="C680" s="42" t="s">
        <v>911</v>
      </c>
      <c r="D680" s="42">
        <v>835400</v>
      </c>
      <c r="E680" s="42" t="s">
        <v>912</v>
      </c>
      <c r="F680" s="42" t="s">
        <v>149</v>
      </c>
      <c r="G680" s="42" t="s">
        <v>150</v>
      </c>
      <c r="H680" s="43" t="s">
        <v>150</v>
      </c>
      <c r="I680" s="44">
        <v>2</v>
      </c>
      <c r="J680" s="45">
        <v>153323.02720000001</v>
      </c>
      <c r="K680" s="46">
        <v>1730.9802999999999</v>
      </c>
      <c r="L680" s="47">
        <v>155054.00750000001</v>
      </c>
      <c r="M680" s="48">
        <v>2246354</v>
      </c>
      <c r="N680" s="49">
        <v>2019351</v>
      </c>
      <c r="O680" s="49">
        <v>227003</v>
      </c>
      <c r="P680" s="49">
        <v>0</v>
      </c>
      <c r="Q680" s="50">
        <v>5175.9279953917103</v>
      </c>
      <c r="R680" s="51">
        <v>476.703700945766</v>
      </c>
      <c r="S680" s="49">
        <v>540.94427679854198</v>
      </c>
      <c r="T680" s="49">
        <v>141.17934730765199</v>
      </c>
      <c r="U680" s="49">
        <f>IFERROR(INDEX('Rentabilidad datos'!$N$2:$N$61,MATCH($C680,'Rentabilidad datos'!$C$2:$C$61,0)),"")</f>
        <v>1158.8273250519594</v>
      </c>
      <c r="V680" s="50">
        <f>IFERROR(INDEX('Rentabilidad datos'!$O$2:$O$61,MATCH($C680,'Rentabilidad datos'!$C$2:$C$61,0)),"")</f>
        <v>1158.8273250519594</v>
      </c>
      <c r="W680" s="51">
        <f>IFERROR(INDEX('Rentabilidad datos'!$M$2:$M$61,MATCH($C680,'Rentabilidad datos'!$C$2:$C$61,0)),"")</f>
        <v>3086.6202842364569</v>
      </c>
      <c r="X680" s="52">
        <f>IFERROR(INDEX('Rentabilidad datos'!$P$2:$P$61,MATCH($C680,'Rentabilidad datos'!$C$2:$C$61,0)),"")</f>
        <v>0.37543566047633253</v>
      </c>
      <c r="Y680" s="43" t="s">
        <v>151</v>
      </c>
      <c r="Z680" s="53">
        <v>27.675675675675699</v>
      </c>
      <c r="AA680" s="43">
        <v>1</v>
      </c>
      <c r="AB680" s="54">
        <v>1</v>
      </c>
      <c r="AC680" s="55">
        <v>0</v>
      </c>
      <c r="AD680" s="752" t="e">
        <f>_xlfn.XLOOKUP(Table1[[#This Row],[Ruta]],#REF!,#REF!)</f>
        <v>#REF!</v>
      </c>
      <c r="AE680" s="752" t="e">
        <f>_xlfn.XLOOKUP(Table1[[#This Row],[Ruta]],#REF!,#REF!)</f>
        <v>#REF!</v>
      </c>
      <c r="AF680" s="752" t="e">
        <f>_xlfn.XLOOKUP(Table1[[#This Row],[Ruta]],#REF!,#REF!)</f>
        <v>#REF!</v>
      </c>
      <c r="AG680" s="752" t="e">
        <f>_xlfn.XLOOKUP(Table1[[#This Row],[Ruta]],#REF!,#REF!)</f>
        <v>#REF!</v>
      </c>
      <c r="AH680" s="52">
        <v>0.89894602542609048</v>
      </c>
      <c r="AI680" s="52">
        <v>0.10105397457390955</v>
      </c>
      <c r="AJ680" s="55">
        <v>0</v>
      </c>
      <c r="AK680" s="56">
        <v>3072</v>
      </c>
      <c r="AL680" s="44">
        <v>5175</v>
      </c>
      <c r="AM680" s="54">
        <v>0.41634114583333298</v>
      </c>
      <c r="AN680" s="55">
        <v>0.39113956177153902</v>
      </c>
      <c r="AO680" s="56">
        <v>0</v>
      </c>
      <c r="AP680" s="48">
        <v>0</v>
      </c>
      <c r="AQ680" s="55">
        <v>1.6845703125</v>
      </c>
      <c r="AR680" s="51">
        <v>2246352.75</v>
      </c>
      <c r="AS680" s="49">
        <v>0</v>
      </c>
      <c r="AT680" s="55">
        <v>0</v>
      </c>
      <c r="AU680" s="51">
        <v>0</v>
      </c>
      <c r="AV680" s="52">
        <v>0</v>
      </c>
      <c r="AW680" s="44">
        <v>490</v>
      </c>
      <c r="AX680" s="51">
        <v>434.07782608695697</v>
      </c>
      <c r="AY680" s="49">
        <v>449.24302363341201</v>
      </c>
      <c r="AZ680" s="49">
        <v>15.165197546455033</v>
      </c>
      <c r="BA680" s="42" t="s">
        <v>150</v>
      </c>
      <c r="BB680" s="50">
        <v>27574.017971290883</v>
      </c>
      <c r="BC680" s="57">
        <v>27574.017971290883</v>
      </c>
      <c r="BD680" s="42" t="s">
        <v>150</v>
      </c>
      <c r="BE680" s="46">
        <v>27.675675675675699</v>
      </c>
      <c r="BF680" s="46">
        <v>76.398682366133997</v>
      </c>
      <c r="BG680" s="42" t="s">
        <v>152</v>
      </c>
      <c r="BH680" s="52">
        <v>0.41634114583333298</v>
      </c>
      <c r="BI680" s="52">
        <v>0.48060858799040601</v>
      </c>
      <c r="BJ680" s="42" t="s">
        <v>152</v>
      </c>
      <c r="BK680" s="46">
        <v>357.26729838709701</v>
      </c>
      <c r="BL680" s="46">
        <v>435.856244475457</v>
      </c>
      <c r="BM680" s="42" t="s">
        <v>152</v>
      </c>
      <c r="BN680" s="48">
        <v>0</v>
      </c>
      <c r="BO680" s="42" t="s">
        <v>155</v>
      </c>
      <c r="BP680" s="42" t="s">
        <v>152</v>
      </c>
      <c r="BQ680" s="46">
        <v>28.8826089557272</v>
      </c>
      <c r="BR680" s="46">
        <v>214</v>
      </c>
      <c r="BS680" s="46">
        <v>17610</v>
      </c>
      <c r="BT680" s="46">
        <v>4788</v>
      </c>
      <c r="BU680" s="46">
        <v>3.6779448621553885</v>
      </c>
      <c r="BV680" s="46">
        <v>22.373831775700936</v>
      </c>
      <c r="BW680" s="46">
        <v>0</v>
      </c>
      <c r="BX680" s="46">
        <v>529</v>
      </c>
      <c r="BY680" s="46">
        <v>529</v>
      </c>
      <c r="BZ680" s="46">
        <v>0.110484544695071</v>
      </c>
      <c r="CA680" s="46">
        <v>0</v>
      </c>
      <c r="CB680" s="46">
        <v>0.110484544695071</v>
      </c>
      <c r="CC680" s="46">
        <v>0.23308270676691728</v>
      </c>
      <c r="CD680" s="46">
        <v>0.15162907268170431</v>
      </c>
      <c r="CE680" s="46">
        <v>0</v>
      </c>
      <c r="CF680" s="46">
        <v>0.50459482038429404</v>
      </c>
      <c r="CG680" s="46">
        <v>0</v>
      </c>
      <c r="CH680" s="46">
        <v>2.0885547201336671E-4</v>
      </c>
      <c r="CI680" s="46">
        <v>5.7921635434412266</v>
      </c>
      <c r="CJ680" s="46">
        <v>0.45428733674048838</v>
      </c>
      <c r="CK680">
        <v>50</v>
      </c>
      <c r="CL680">
        <v>61.58</v>
      </c>
      <c r="CM680">
        <f t="shared" si="77"/>
        <v>11.579999999999998</v>
      </c>
      <c r="CN680">
        <v>2.2200000000000002</v>
      </c>
      <c r="CO680">
        <v>9.4499999999999993</v>
      </c>
      <c r="CP680">
        <f t="shared" si="78"/>
        <v>7.2299999999999986</v>
      </c>
      <c r="CQ680">
        <v>521.49</v>
      </c>
      <c r="CR680">
        <v>357.27</v>
      </c>
      <c r="CS680">
        <f t="shared" si="79"/>
        <v>164.22000000000003</v>
      </c>
      <c r="CT680" t="s">
        <v>152</v>
      </c>
      <c r="CU680">
        <v>68.510000000000005</v>
      </c>
      <c r="CV680">
        <v>9</v>
      </c>
      <c r="CW680" s="46">
        <v>529</v>
      </c>
      <c r="CX680" s="46">
        <f t="shared" si="73"/>
        <v>10.806599832915621</v>
      </c>
      <c r="CY680" s="46">
        <v>11.58</v>
      </c>
      <c r="CZ680" s="46">
        <f t="shared" si="74"/>
        <v>11.048454469507101</v>
      </c>
      <c r="DA680" s="46">
        <f t="shared" si="75"/>
        <v>83.293927802016015</v>
      </c>
      <c r="DB680" s="46">
        <v>399775.87</v>
      </c>
      <c r="DC680" s="46">
        <f t="shared" si="76"/>
        <v>5.0850595260418627</v>
      </c>
      <c r="DD680" s="46">
        <v>24406.15</v>
      </c>
      <c r="DE680" s="995">
        <v>529</v>
      </c>
      <c r="DF680" s="995">
        <v>10.818</v>
      </c>
      <c r="DG680" s="995">
        <v>11</v>
      </c>
      <c r="DH680" s="995">
        <v>11.048</v>
      </c>
      <c r="DI680" s="995">
        <v>184.27500000000001</v>
      </c>
      <c r="DJ680" s="995">
        <v>884339</v>
      </c>
      <c r="DK680" s="995">
        <v>11.39</v>
      </c>
      <c r="DL680" s="995">
        <v>54662.1</v>
      </c>
      <c r="DM680" s="995">
        <v>529</v>
      </c>
      <c r="DN680" s="995">
        <v>10.853999999999999</v>
      </c>
      <c r="DO680" s="995">
        <v>9.3000000000000007</v>
      </c>
      <c r="DP680" s="995">
        <v>11.048</v>
      </c>
      <c r="DQ680" s="995">
        <v>178.47300000000001</v>
      </c>
      <c r="DR680" s="995">
        <v>856193</v>
      </c>
      <c r="DS680" s="995">
        <v>11.036</v>
      </c>
      <c r="DT680" s="995">
        <v>52943.8</v>
      </c>
    </row>
    <row r="681" spans="1:124">
      <c r="A681" s="42" t="s">
        <v>94</v>
      </c>
      <c r="B681" s="42" t="s">
        <v>882</v>
      </c>
      <c r="C681" s="42" t="s">
        <v>911</v>
      </c>
      <c r="D681" s="42">
        <v>835401</v>
      </c>
      <c r="E681" s="42" t="s">
        <v>913</v>
      </c>
      <c r="F681" s="42" t="s">
        <v>149</v>
      </c>
      <c r="G681" s="42" t="s">
        <v>150</v>
      </c>
      <c r="H681" s="43" t="s">
        <v>150</v>
      </c>
      <c r="I681" s="44">
        <v>2</v>
      </c>
      <c r="J681" s="45">
        <v>148753.206336</v>
      </c>
      <c r="K681" s="46">
        <v>3088.0657999999999</v>
      </c>
      <c r="L681" s="47">
        <v>151841.27213600001</v>
      </c>
      <c r="M681" s="48">
        <v>2518173</v>
      </c>
      <c r="N681" s="49">
        <v>2081544</v>
      </c>
      <c r="O681" s="49">
        <v>436629</v>
      </c>
      <c r="P681" s="49">
        <v>0</v>
      </c>
      <c r="Q681" s="50">
        <v>5775.6291513761498</v>
      </c>
      <c r="R681" s="51">
        <v>476.703700945766</v>
      </c>
      <c r="S681" s="49">
        <v>540.94427679854198</v>
      </c>
      <c r="T681" s="49">
        <v>141.17934730765199</v>
      </c>
      <c r="U681" s="49">
        <f>IFERROR(INDEX('Rentabilidad datos'!$N$2:$N$61,MATCH($C681,'Rentabilidad datos'!$C$2:$C$61,0)),"")</f>
        <v>1158.8273250519594</v>
      </c>
      <c r="V681" s="50">
        <f>IFERROR(INDEX('Rentabilidad datos'!$O$2:$O$61,MATCH($C681,'Rentabilidad datos'!$C$2:$C$61,0)),"")</f>
        <v>1158.8273250519594</v>
      </c>
      <c r="W681" s="51">
        <f>IFERROR(INDEX('Rentabilidad datos'!$M$2:$M$61,MATCH($C681,'Rentabilidad datos'!$C$2:$C$61,0)),"")</f>
        <v>3086.6202842364569</v>
      </c>
      <c r="X681" s="52">
        <f>IFERROR(INDEX('Rentabilidad datos'!$P$2:$P$61,MATCH($C681,'Rentabilidad datos'!$C$2:$C$61,0)),"")</f>
        <v>0.37543566047633253</v>
      </c>
      <c r="Y681" s="43" t="s">
        <v>151</v>
      </c>
      <c r="Z681" s="53">
        <v>40.2912844036697</v>
      </c>
      <c r="AA681" s="43">
        <v>1</v>
      </c>
      <c r="AB681" s="54">
        <v>1</v>
      </c>
      <c r="AC681" s="55">
        <v>0</v>
      </c>
      <c r="AD681" s="752" t="e">
        <f>_xlfn.XLOOKUP(Table1[[#This Row],[Ruta]],#REF!,#REF!)</f>
        <v>#REF!</v>
      </c>
      <c r="AE681" s="752" t="e">
        <f>_xlfn.XLOOKUP(Table1[[#This Row],[Ruta]],#REF!,#REF!)</f>
        <v>#REF!</v>
      </c>
      <c r="AF681" s="752" t="e">
        <f>_xlfn.XLOOKUP(Table1[[#This Row],[Ruta]],#REF!,#REF!)</f>
        <v>#REF!</v>
      </c>
      <c r="AG681" s="752" t="e">
        <f>_xlfn.XLOOKUP(Table1[[#This Row],[Ruta]],#REF!,#REF!)</f>
        <v>#REF!</v>
      </c>
      <c r="AH681" s="52">
        <v>0.82660881520054419</v>
      </c>
      <c r="AI681" s="52">
        <v>0.17339118479945578</v>
      </c>
      <c r="AJ681" s="55">
        <v>0</v>
      </c>
      <c r="AK681" s="56">
        <v>17567</v>
      </c>
      <c r="AL681" s="44">
        <v>5543</v>
      </c>
      <c r="AM681" s="54">
        <v>0.31553480958615598</v>
      </c>
      <c r="AN681" s="55">
        <v>0.39113956177153902</v>
      </c>
      <c r="AO681" s="56">
        <v>1328.14868164063</v>
      </c>
      <c r="AP681" s="48">
        <v>664.074340820315</v>
      </c>
      <c r="AQ681" s="55">
        <v>0.35333718567884759</v>
      </c>
      <c r="AR681" s="51">
        <v>2518174.31</v>
      </c>
      <c r="AS681" s="49">
        <v>301687.70430883899</v>
      </c>
      <c r="AT681" s="55">
        <v>0.11980413870112072</v>
      </c>
      <c r="AU681" s="51">
        <v>211996.76518999506</v>
      </c>
      <c r="AV681" s="52">
        <v>9.6439334665808193E-4</v>
      </c>
      <c r="AW681" s="44">
        <v>300</v>
      </c>
      <c r="AX681" s="51">
        <v>454.29808948223001</v>
      </c>
      <c r="AY681" s="49">
        <v>449.24302363341201</v>
      </c>
      <c r="AZ681" s="49">
        <v>0</v>
      </c>
      <c r="BA681" s="42" t="s">
        <v>152</v>
      </c>
      <c r="BB681" s="50">
        <v>0</v>
      </c>
      <c r="BC681" s="57">
        <v>211996.76518999506</v>
      </c>
      <c r="BD681" s="42" t="s">
        <v>150</v>
      </c>
      <c r="BE681" s="46">
        <v>40.2912844036697</v>
      </c>
      <c r="BF681" s="46">
        <v>76.398682366133997</v>
      </c>
      <c r="BG681" s="42" t="s">
        <v>152</v>
      </c>
      <c r="BH681" s="52">
        <v>0.31553480958615598</v>
      </c>
      <c r="BI681" s="52">
        <v>0.48060858799040601</v>
      </c>
      <c r="BJ681" s="42" t="s">
        <v>152</v>
      </c>
      <c r="BK681" s="46">
        <v>348.25979847706401</v>
      </c>
      <c r="BL681" s="46">
        <v>435.856244475457</v>
      </c>
      <c r="BM681" s="42" t="s">
        <v>152</v>
      </c>
      <c r="BN681" s="48">
        <v>0</v>
      </c>
      <c r="BO681" s="42" t="s">
        <v>155</v>
      </c>
      <c r="BP681" s="42" t="s">
        <v>152</v>
      </c>
      <c r="BQ681" s="46">
        <v>0</v>
      </c>
      <c r="BR681" s="46">
        <v>129</v>
      </c>
      <c r="BS681" s="46">
        <v>9426</v>
      </c>
      <c r="BT681" s="46">
        <v>2885</v>
      </c>
      <c r="BU681" s="46">
        <v>3.2672443674176774</v>
      </c>
      <c r="BV681" s="46">
        <v>22.364341085271317</v>
      </c>
      <c r="BW681" s="46">
        <v>0</v>
      </c>
      <c r="BX681" s="46">
        <v>993</v>
      </c>
      <c r="BY681" s="46">
        <v>993</v>
      </c>
      <c r="BZ681" s="46">
        <v>0.34419410745233969</v>
      </c>
      <c r="CA681" s="46">
        <v>0</v>
      </c>
      <c r="CB681" s="46">
        <v>0.34419410745233969</v>
      </c>
      <c r="CC681" s="46">
        <v>0.12790294627383009</v>
      </c>
      <c r="CD681" s="46">
        <v>0</v>
      </c>
      <c r="CE681" s="46">
        <v>3.2582322357019057E-2</v>
      </c>
      <c r="CF681" s="46">
        <v>0.49532062391681109</v>
      </c>
      <c r="CG681" s="46">
        <v>0</v>
      </c>
      <c r="CH681" s="46">
        <v>0</v>
      </c>
      <c r="CI681" s="46">
        <v>7.32017823042648</v>
      </c>
      <c r="CJ681" s="46">
        <v>0.63653723742838952</v>
      </c>
      <c r="CK681">
        <v>34</v>
      </c>
      <c r="CL681">
        <v>81.430000000000007</v>
      </c>
      <c r="CM681">
        <f t="shared" si="77"/>
        <v>47.430000000000007</v>
      </c>
      <c r="CN681">
        <v>1.74</v>
      </c>
      <c r="CO681">
        <v>9.4499999999999993</v>
      </c>
      <c r="CP681">
        <f t="shared" si="78"/>
        <v>7.7099999999999991</v>
      </c>
      <c r="CQ681">
        <v>564.37</v>
      </c>
      <c r="CR681">
        <v>348.26</v>
      </c>
      <c r="CS681">
        <f t="shared" si="79"/>
        <v>216.11</v>
      </c>
      <c r="CT681" t="s">
        <v>152</v>
      </c>
      <c r="CU681">
        <v>61.71</v>
      </c>
      <c r="CV681">
        <v>22</v>
      </c>
      <c r="CW681" s="46">
        <v>993</v>
      </c>
      <c r="CX681" s="46">
        <f t="shared" si="73"/>
        <v>32.775389948006932</v>
      </c>
      <c r="CY681" s="46">
        <v>47.43</v>
      </c>
      <c r="CZ681" s="46">
        <f t="shared" si="74"/>
        <v>34.419410745233968</v>
      </c>
      <c r="DA681" s="46">
        <f t="shared" si="75"/>
        <v>273.81143965925872</v>
      </c>
      <c r="DB681" s="46">
        <v>802932.88</v>
      </c>
      <c r="DC681" s="46">
        <f t="shared" si="76"/>
        <v>15.098607639398043</v>
      </c>
      <c r="DD681" s="46">
        <v>44275.61</v>
      </c>
      <c r="DE681" s="995">
        <v>993</v>
      </c>
      <c r="DF681" s="995">
        <v>32.82</v>
      </c>
      <c r="DG681" s="995">
        <v>46.1</v>
      </c>
      <c r="DH681" s="995">
        <v>34.418999999999997</v>
      </c>
      <c r="DI681" s="995">
        <v>358.38</v>
      </c>
      <c r="DJ681" s="995">
        <v>1050464</v>
      </c>
      <c r="DK681" s="995">
        <v>19.658999999999999</v>
      </c>
      <c r="DL681" s="995">
        <v>57624.9</v>
      </c>
      <c r="DM681" s="995">
        <v>993</v>
      </c>
      <c r="DN681" s="995">
        <v>32.953000000000003</v>
      </c>
      <c r="DO681" s="995">
        <v>42.3</v>
      </c>
      <c r="DP681" s="995">
        <v>34.418999999999997</v>
      </c>
      <c r="DQ681" s="995">
        <v>352.31599999999997</v>
      </c>
      <c r="DR681" s="995">
        <v>1031331</v>
      </c>
      <c r="DS681" s="995">
        <v>19.239999999999998</v>
      </c>
      <c r="DT681" s="995">
        <v>56322</v>
      </c>
    </row>
    <row r="682" spans="1:124">
      <c r="A682" s="42" t="s">
        <v>94</v>
      </c>
      <c r="B682" s="42" t="s">
        <v>549</v>
      </c>
      <c r="C682" s="42" t="s">
        <v>914</v>
      </c>
      <c r="D682" s="42">
        <v>825301</v>
      </c>
      <c r="E682" s="42" t="s">
        <v>915</v>
      </c>
      <c r="F682" s="42" t="s">
        <v>149</v>
      </c>
      <c r="G682" s="42" t="s">
        <v>150</v>
      </c>
      <c r="H682" s="43" t="s">
        <v>150</v>
      </c>
      <c r="I682" s="44">
        <v>2</v>
      </c>
      <c r="J682" s="45">
        <v>171847.32879999999</v>
      </c>
      <c r="K682" s="46">
        <v>8738.9556520000006</v>
      </c>
      <c r="L682" s="47">
        <v>180586.28445199999</v>
      </c>
      <c r="M682" s="48">
        <v>3438338</v>
      </c>
      <c r="N682" s="49">
        <v>2398529</v>
      </c>
      <c r="O682" s="49">
        <v>1039809</v>
      </c>
      <c r="P682" s="49">
        <v>0</v>
      </c>
      <c r="Q682" s="50">
        <v>7692.0310514541397</v>
      </c>
      <c r="R682" s="51">
        <v>877.34710508932301</v>
      </c>
      <c r="S682" s="49">
        <v>1273.4417497685099</v>
      </c>
      <c r="T682" s="49">
        <v>273.50875927051197</v>
      </c>
      <c r="U682" s="49">
        <f>IFERROR(INDEX('Rentabilidad datos'!$N$2:$N$61,MATCH($C682,'Rentabilidad datos'!$C$2:$C$61,0)),"")</f>
        <v>2424.297614128343</v>
      </c>
      <c r="V682" s="50">
        <f>IFERROR(INDEX('Rentabilidad datos'!$O$2:$O$61,MATCH($C682,'Rentabilidad datos'!$C$2:$C$61,0)),"")</f>
        <v>1212.1488070641715</v>
      </c>
      <c r="W682" s="51">
        <f>IFERROR(INDEX('Rentabilidad datos'!$M$2:$M$61,MATCH($C682,'Rentabilidad datos'!$C$2:$C$61,0)),"")</f>
        <v>2453.4826846202127</v>
      </c>
      <c r="X682" s="52">
        <f>IFERROR(INDEX('Rentabilidad datos'!$P$2:$P$61,MATCH($C682,'Rentabilidad datos'!$C$2:$C$61,0)),"")</f>
        <v>0.49405231781849984</v>
      </c>
      <c r="Y682" s="43" t="s">
        <v>151</v>
      </c>
      <c r="Z682" s="53">
        <v>39.761904761904802</v>
      </c>
      <c r="AA682" s="43">
        <v>1</v>
      </c>
      <c r="AB682" s="54">
        <v>1</v>
      </c>
      <c r="AC682" s="55">
        <v>0</v>
      </c>
      <c r="AD682" s="752" t="e">
        <f>_xlfn.XLOOKUP(Table1[[#This Row],[Ruta]],#REF!,#REF!)</f>
        <v>#REF!</v>
      </c>
      <c r="AE682" s="752" t="e">
        <f>_xlfn.XLOOKUP(Table1[[#This Row],[Ruta]],#REF!,#REF!)</f>
        <v>#REF!</v>
      </c>
      <c r="AF682" s="752" t="e">
        <f>_xlfn.XLOOKUP(Table1[[#This Row],[Ruta]],#REF!,#REF!)</f>
        <v>#REF!</v>
      </c>
      <c r="AG682" s="752" t="e">
        <f>_xlfn.XLOOKUP(Table1[[#This Row],[Ruta]],#REF!,#REF!)</f>
        <v>#REF!</v>
      </c>
      <c r="AH682" s="52">
        <v>0.69758383265403223</v>
      </c>
      <c r="AI682" s="52">
        <v>0.30241616734596771</v>
      </c>
      <c r="AJ682" s="55">
        <v>0</v>
      </c>
      <c r="AK682" s="56">
        <v>3340</v>
      </c>
      <c r="AL682" s="44">
        <v>10246</v>
      </c>
      <c r="AM682" s="54">
        <v>0.68173652694610798</v>
      </c>
      <c r="AN682" s="55">
        <v>0.62578459585682999</v>
      </c>
      <c r="AO682" s="56">
        <v>0</v>
      </c>
      <c r="AP682" s="48">
        <v>0</v>
      </c>
      <c r="AQ682" s="55">
        <v>3.0676646706586825</v>
      </c>
      <c r="AR682" s="51">
        <v>3438337.88</v>
      </c>
      <c r="AS682" s="49">
        <v>0</v>
      </c>
      <c r="AT682" s="55">
        <v>0</v>
      </c>
      <c r="AU682" s="51">
        <v>0</v>
      </c>
      <c r="AV682" s="52">
        <v>0</v>
      </c>
      <c r="AW682" s="44">
        <v>490</v>
      </c>
      <c r="AX682" s="51">
        <v>335.57855553386702</v>
      </c>
      <c r="AY682" s="49">
        <v>487.610402149393</v>
      </c>
      <c r="AZ682" s="49">
        <v>152.03184661552598</v>
      </c>
      <c r="BA682" s="42" t="s">
        <v>150</v>
      </c>
      <c r="BB682" s="50">
        <v>547306.42987823882</v>
      </c>
      <c r="BC682" s="57">
        <v>547306.42987823882</v>
      </c>
      <c r="BD682" s="42" t="s">
        <v>150</v>
      </c>
      <c r="BE682" s="46">
        <v>39.761904761904802</v>
      </c>
      <c r="BF682" s="46">
        <v>83.628504672897193</v>
      </c>
      <c r="BG682" s="42" t="s">
        <v>152</v>
      </c>
      <c r="BH682" s="52">
        <v>0.68173652694610798</v>
      </c>
      <c r="BI682" s="52">
        <v>0.51187669456560203</v>
      </c>
      <c r="BJ682" s="42" t="s">
        <v>150</v>
      </c>
      <c r="BK682" s="46">
        <v>403.99616208501101</v>
      </c>
      <c r="BL682" s="46">
        <v>638.00354527981403</v>
      </c>
      <c r="BM682" s="42" t="s">
        <v>152</v>
      </c>
      <c r="BN682" s="48">
        <v>1</v>
      </c>
      <c r="BO682" s="42" t="s">
        <v>155</v>
      </c>
      <c r="BP682" s="42" t="s">
        <v>152</v>
      </c>
      <c r="BQ682" s="46">
        <v>0</v>
      </c>
      <c r="BR682" s="46">
        <v>976</v>
      </c>
      <c r="BS682" s="46">
        <v>51281</v>
      </c>
      <c r="BT682" s="46">
        <v>14544</v>
      </c>
      <c r="BU682" s="46">
        <v>3.5259213421342133</v>
      </c>
      <c r="BV682" s="46">
        <v>14.901639344262295</v>
      </c>
      <c r="BW682" s="46">
        <v>0</v>
      </c>
      <c r="BX682" s="46">
        <v>565</v>
      </c>
      <c r="BY682" s="46">
        <v>565</v>
      </c>
      <c r="BZ682" s="46">
        <v>3.8847634763476351E-2</v>
      </c>
      <c r="CA682" s="46">
        <v>0</v>
      </c>
      <c r="CB682" s="46">
        <v>3.8847634763476351E-2</v>
      </c>
      <c r="CC682" s="46">
        <v>0.17354235423542361</v>
      </c>
      <c r="CD682" s="46">
        <v>5.4867986798679873E-2</v>
      </c>
      <c r="CE682" s="46">
        <v>5.3149064906490649E-2</v>
      </c>
      <c r="CF682" s="46">
        <v>0.67457370737073707</v>
      </c>
      <c r="CG682" s="46">
        <v>4.4004400440044002E-3</v>
      </c>
      <c r="CH682" s="46">
        <v>6.1881188118811882E-4</v>
      </c>
      <c r="CI682" s="46">
        <v>7.0396443127084103</v>
      </c>
      <c r="CJ682" s="46">
        <v>0.31200639613112069</v>
      </c>
      <c r="CK682">
        <v>202</v>
      </c>
      <c r="CL682">
        <v>230.88</v>
      </c>
      <c r="CM682">
        <f t="shared" si="77"/>
        <v>28.879999999999995</v>
      </c>
      <c r="CN682">
        <v>5.0199999999999996</v>
      </c>
      <c r="CO682">
        <v>9.4499999999999993</v>
      </c>
      <c r="CP682">
        <f t="shared" si="78"/>
        <v>4.43</v>
      </c>
      <c r="CQ682">
        <v>564.37</v>
      </c>
      <c r="CR682">
        <v>404</v>
      </c>
      <c r="CS682">
        <f t="shared" si="79"/>
        <v>160.37</v>
      </c>
      <c r="CT682" t="s">
        <v>152</v>
      </c>
      <c r="CU682">
        <v>71.58</v>
      </c>
      <c r="CV682">
        <v>26</v>
      </c>
      <c r="CW682" s="46">
        <v>565</v>
      </c>
      <c r="CX682" s="46">
        <f t="shared" si="73"/>
        <v>3.6861936193619362</v>
      </c>
      <c r="CY682" s="46">
        <v>28.88</v>
      </c>
      <c r="CZ682" s="46">
        <f t="shared" si="74"/>
        <v>3.8847634763476351</v>
      </c>
      <c r="DA682" s="46">
        <f t="shared" si="75"/>
        <v>21.875256641103199</v>
      </c>
      <c r="DB682" s="46">
        <v>318785.49</v>
      </c>
      <c r="DC682" s="46">
        <f t="shared" si="76"/>
        <v>1.3031528428148726</v>
      </c>
      <c r="DD682" s="46">
        <v>18990.689999999999</v>
      </c>
      <c r="DE682" s="995">
        <v>565</v>
      </c>
      <c r="DF682" s="995">
        <v>3.6949999999999998</v>
      </c>
      <c r="DG682" s="995">
        <v>27.5</v>
      </c>
      <c r="DH682" s="995">
        <v>3.8849999999999998</v>
      </c>
      <c r="DI682" s="995">
        <v>197.84299999999999</v>
      </c>
      <c r="DJ682" s="995">
        <v>2882870</v>
      </c>
      <c r="DK682" s="995">
        <v>10.452999999999999</v>
      </c>
      <c r="DL682" s="995">
        <v>152313.4</v>
      </c>
      <c r="DM682" s="995">
        <v>565</v>
      </c>
      <c r="DN682" s="995">
        <v>3.7229999999999999</v>
      </c>
      <c r="DO682" s="995">
        <v>23.5</v>
      </c>
      <c r="DP682" s="995">
        <v>3.8849999999999998</v>
      </c>
      <c r="DQ682" s="995">
        <v>195.94399999999999</v>
      </c>
      <c r="DR682" s="995">
        <v>2854413</v>
      </c>
      <c r="DS682" s="995">
        <v>10.343999999999999</v>
      </c>
      <c r="DT682" s="995">
        <v>150683.29999999999</v>
      </c>
    </row>
    <row r="683" spans="1:124">
      <c r="A683" s="42" t="s">
        <v>94</v>
      </c>
      <c r="B683" s="42" t="s">
        <v>549</v>
      </c>
      <c r="C683" s="42" t="s">
        <v>914</v>
      </c>
      <c r="D683" s="42">
        <v>825302</v>
      </c>
      <c r="E683" s="42" t="s">
        <v>916</v>
      </c>
      <c r="F683" s="42" t="s">
        <v>149</v>
      </c>
      <c r="G683" s="42" t="s">
        <v>150</v>
      </c>
      <c r="H683" s="43" t="s">
        <v>150</v>
      </c>
      <c r="I683" s="44">
        <v>2</v>
      </c>
      <c r="J683" s="45">
        <v>271629.87599999999</v>
      </c>
      <c r="K683" s="46">
        <v>1665.3461850000001</v>
      </c>
      <c r="L683" s="47">
        <v>273295.22218500002</v>
      </c>
      <c r="M683" s="48">
        <v>3540318</v>
      </c>
      <c r="N683" s="49">
        <v>3350975</v>
      </c>
      <c r="O683" s="49">
        <v>189343</v>
      </c>
      <c r="P683" s="49">
        <v>0</v>
      </c>
      <c r="Q683" s="50">
        <v>8009.76945701357</v>
      </c>
      <c r="R683" s="51">
        <v>877.34710508932301</v>
      </c>
      <c r="S683" s="49">
        <v>1273.4417497685099</v>
      </c>
      <c r="T683" s="49">
        <v>273.50875927051197</v>
      </c>
      <c r="U683" s="49">
        <f>IFERROR(INDEX('Rentabilidad datos'!$N$2:$N$61,MATCH($C683,'Rentabilidad datos'!$C$2:$C$61,0)),"")</f>
        <v>2424.297614128343</v>
      </c>
      <c r="V683" s="50">
        <f>IFERROR(INDEX('Rentabilidad datos'!$O$2:$O$61,MATCH($C683,'Rentabilidad datos'!$C$2:$C$61,0)),"")</f>
        <v>1212.1488070641715</v>
      </c>
      <c r="W683" s="51">
        <f>IFERROR(INDEX('Rentabilidad datos'!$M$2:$M$61,MATCH($C683,'Rentabilidad datos'!$C$2:$C$61,0)),"")</f>
        <v>2453.4826846202127</v>
      </c>
      <c r="X683" s="52">
        <f>IFERROR(INDEX('Rentabilidad datos'!$P$2:$P$61,MATCH($C683,'Rentabilidad datos'!$C$2:$C$61,0)),"")</f>
        <v>0.49405231781849984</v>
      </c>
      <c r="Y683" s="43" t="s">
        <v>151</v>
      </c>
      <c r="Z683" s="53">
        <v>25.75</v>
      </c>
      <c r="AA683" s="43">
        <v>1</v>
      </c>
      <c r="AB683" s="54">
        <v>1</v>
      </c>
      <c r="AC683" s="55">
        <v>0</v>
      </c>
      <c r="AD683" s="752" t="e">
        <f>_xlfn.XLOOKUP(Table1[[#This Row],[Ruta]],#REF!,#REF!)</f>
        <v>#REF!</v>
      </c>
      <c r="AE683" s="752" t="e">
        <f>_xlfn.XLOOKUP(Table1[[#This Row],[Ruta]],#REF!,#REF!)</f>
        <v>#REF!</v>
      </c>
      <c r="AF683" s="752" t="e">
        <f>_xlfn.XLOOKUP(Table1[[#This Row],[Ruta]],#REF!,#REF!)</f>
        <v>#REF!</v>
      </c>
      <c r="AG683" s="752" t="e">
        <f>_xlfn.XLOOKUP(Table1[[#This Row],[Ruta]],#REF!,#REF!)</f>
        <v>#REF!</v>
      </c>
      <c r="AH683" s="52">
        <v>0.94651808114412317</v>
      </c>
      <c r="AI683" s="52">
        <v>5.3481918855876789E-2</v>
      </c>
      <c r="AJ683" s="55">
        <v>0</v>
      </c>
      <c r="AK683" s="56">
        <v>618</v>
      </c>
      <c r="AL683" s="44">
        <v>6577</v>
      </c>
      <c r="AM683" s="54">
        <v>0.45792880258899699</v>
      </c>
      <c r="AN683" s="55">
        <v>0.62578459585682999</v>
      </c>
      <c r="AO683" s="56">
        <v>103.734880239521</v>
      </c>
      <c r="AP683" s="48">
        <v>51.867440119760502</v>
      </c>
      <c r="AQ683" s="55">
        <v>10.72632271864039</v>
      </c>
      <c r="AR683" s="51">
        <v>3540318.1</v>
      </c>
      <c r="AS683" s="49">
        <v>27919.6042354651</v>
      </c>
      <c r="AT683" s="55">
        <v>7.8861852090254536E-3</v>
      </c>
      <c r="AU683" s="51">
        <v>19619.181354651158</v>
      </c>
      <c r="AV683" s="52">
        <v>8.924951259679319E-5</v>
      </c>
      <c r="AW683" s="44">
        <v>460</v>
      </c>
      <c r="AX683" s="51">
        <v>538.28768435456902</v>
      </c>
      <c r="AY683" s="49">
        <v>487.610402149393</v>
      </c>
      <c r="AZ683" s="49">
        <v>0</v>
      </c>
      <c r="BA683" s="42" t="s">
        <v>152</v>
      </c>
      <c r="BB683" s="50">
        <v>0</v>
      </c>
      <c r="BC683" s="57">
        <v>19619.181354651158</v>
      </c>
      <c r="BD683" s="42" t="s">
        <v>150</v>
      </c>
      <c r="BE683" s="46">
        <v>25.75</v>
      </c>
      <c r="BF683" s="46">
        <v>83.628504672897193</v>
      </c>
      <c r="BG683" s="42" t="s">
        <v>152</v>
      </c>
      <c r="BH683" s="52">
        <v>0.45792880258899699</v>
      </c>
      <c r="BI683" s="52">
        <v>0.51187669456560203</v>
      </c>
      <c r="BJ683" s="42" t="s">
        <v>152</v>
      </c>
      <c r="BK683" s="46">
        <v>618.314982319004</v>
      </c>
      <c r="BL683" s="46">
        <v>638.00354527981403</v>
      </c>
      <c r="BM683" s="42" t="s">
        <v>152</v>
      </c>
      <c r="BN683" s="48">
        <v>0</v>
      </c>
      <c r="BO683" s="42" t="s">
        <v>155</v>
      </c>
      <c r="BP683" s="42" t="s">
        <v>152</v>
      </c>
      <c r="BQ683" s="46">
        <v>174.95344666993299</v>
      </c>
      <c r="BR683" s="46">
        <v>792</v>
      </c>
      <c r="BS683" s="46">
        <v>41897</v>
      </c>
      <c r="BT683" s="46">
        <v>11856</v>
      </c>
      <c r="BU683" s="46">
        <v>3.5338225371120107</v>
      </c>
      <c r="BV683" s="46">
        <v>14.969696969696969</v>
      </c>
      <c r="BW683" s="46">
        <v>0</v>
      </c>
      <c r="BX683" s="46">
        <v>0</v>
      </c>
      <c r="BY683" s="46">
        <v>0</v>
      </c>
      <c r="BZ683" s="46">
        <v>0</v>
      </c>
      <c r="CA683" s="46">
        <v>0</v>
      </c>
      <c r="CB683" s="46">
        <v>0</v>
      </c>
      <c r="CC683" s="46">
        <v>4.2341430499325233E-2</v>
      </c>
      <c r="CD683" s="46">
        <v>3.4581646423751687E-2</v>
      </c>
      <c r="CE683" s="46">
        <v>1.6869095816464241E-3</v>
      </c>
      <c r="CF683" s="46">
        <v>0.92113697705802966</v>
      </c>
      <c r="CG683" s="46">
        <v>0</v>
      </c>
      <c r="CH683" s="46">
        <v>2.5303643724696362E-4</v>
      </c>
      <c r="CI683" s="46">
        <v>5.7760698856720056</v>
      </c>
      <c r="CJ683" s="46">
        <v>0.16707640165166959</v>
      </c>
      <c r="CK683">
        <v>67</v>
      </c>
      <c r="CL683">
        <v>67</v>
      </c>
      <c r="CM683">
        <f t="shared" si="77"/>
        <v>0</v>
      </c>
      <c r="CO683">
        <v>9.4499999999999993</v>
      </c>
      <c r="CP683">
        <f t="shared" si="78"/>
        <v>9.4499999999999993</v>
      </c>
      <c r="CS683">
        <f t="shared" si="79"/>
        <v>0</v>
      </c>
      <c r="CV683">
        <v>0</v>
      </c>
      <c r="CW683" s="46">
        <v>0</v>
      </c>
      <c r="CX683" s="46">
        <f t="shared" si="73"/>
        <v>0</v>
      </c>
      <c r="CY683" s="46">
        <v>0</v>
      </c>
      <c r="CZ683" s="46">
        <f t="shared" si="74"/>
        <v>0</v>
      </c>
      <c r="DA683" s="46">
        <f t="shared" si="75"/>
        <v>0</v>
      </c>
      <c r="DB683" s="46">
        <v>0</v>
      </c>
      <c r="DC683" s="46">
        <f t="shared" si="76"/>
        <v>0</v>
      </c>
      <c r="DD683" s="46">
        <v>0</v>
      </c>
      <c r="DE683" s="995">
        <v>0</v>
      </c>
      <c r="DF683" s="995">
        <v>0</v>
      </c>
      <c r="DG683" s="995">
        <v>0</v>
      </c>
      <c r="DH683" s="995">
        <v>0</v>
      </c>
      <c r="DI683" s="995">
        <v>45.698999999999998</v>
      </c>
      <c r="DJ683" s="995">
        <v>541809</v>
      </c>
      <c r="DK683" s="995">
        <v>2.6120000000000001</v>
      </c>
      <c r="DL683" s="995">
        <v>30966.7</v>
      </c>
      <c r="DM683" s="995">
        <v>0</v>
      </c>
      <c r="DN683" s="995">
        <v>0</v>
      </c>
      <c r="DO683" s="995">
        <v>0</v>
      </c>
      <c r="DP683" s="995">
        <v>0</v>
      </c>
      <c r="DQ683" s="995">
        <v>45.698999999999998</v>
      </c>
      <c r="DR683" s="995">
        <v>541809</v>
      </c>
      <c r="DS683" s="995">
        <v>2.6120000000000001</v>
      </c>
      <c r="DT683" s="995">
        <v>30966.7</v>
      </c>
    </row>
    <row r="684" spans="1:124">
      <c r="A684" s="42" t="s">
        <v>94</v>
      </c>
      <c r="B684" s="42" t="s">
        <v>510</v>
      </c>
      <c r="C684" s="42" t="s">
        <v>917</v>
      </c>
      <c r="D684" s="42">
        <v>806399</v>
      </c>
      <c r="E684" s="42" t="s">
        <v>918</v>
      </c>
      <c r="F684" s="42" t="s">
        <v>149</v>
      </c>
      <c r="G684" s="42" t="s">
        <v>150</v>
      </c>
      <c r="H684" s="43" t="s">
        <v>150</v>
      </c>
      <c r="I684" s="44">
        <v>4</v>
      </c>
      <c r="J684" s="45">
        <v>10574.2448</v>
      </c>
      <c r="K684" s="46">
        <v>7882.1482939999996</v>
      </c>
      <c r="L684" s="47">
        <v>18456.393093999999</v>
      </c>
      <c r="M684" s="48">
        <v>956017</v>
      </c>
      <c r="N684" s="49">
        <v>129437</v>
      </c>
      <c r="O684" s="49">
        <v>826307</v>
      </c>
      <c r="P684" s="49">
        <v>273</v>
      </c>
      <c r="Q684" s="50">
        <v>7408.8485271317804</v>
      </c>
      <c r="R684" s="51">
        <v>1669.2080162017501</v>
      </c>
      <c r="S684" s="49">
        <v>2677.6534797135801</v>
      </c>
      <c r="T684" s="49">
        <v>417.82776017902899</v>
      </c>
      <c r="U684" s="49">
        <f>IFERROR(INDEX('Rentabilidad datos'!$N$2:$N$61,MATCH($C684,'Rentabilidad datos'!$C$2:$C$61,0)),"")</f>
        <v>4764.6892560943525</v>
      </c>
      <c r="V684" s="50">
        <f>IFERROR(INDEX('Rentabilidad datos'!$O$2:$O$61,MATCH($C684,'Rentabilidad datos'!$C$2:$C$61,0)),"")</f>
        <v>1588.2297520314507</v>
      </c>
      <c r="W684" s="51">
        <f>IFERROR(INDEX('Rentabilidad datos'!$M$2:$M$61,MATCH($C684,'Rentabilidad datos'!$C$2:$C$61,0)),"")</f>
        <v>3009.8554208951477</v>
      </c>
      <c r="X684" s="52">
        <f>IFERROR(INDEX('Rentabilidad datos'!$P$2:$P$61,MATCH($C684,'Rentabilidad datos'!$C$2:$C$61,0)),"")</f>
        <v>0.52767642625143185</v>
      </c>
      <c r="Y684" s="43" t="s">
        <v>160</v>
      </c>
      <c r="Z684" s="53">
        <v>267.57600000000002</v>
      </c>
      <c r="AA684" s="43">
        <v>1</v>
      </c>
      <c r="AB684" s="54">
        <v>1</v>
      </c>
      <c r="AC684" s="55">
        <v>0</v>
      </c>
      <c r="AD684" s="752" t="e">
        <f>_xlfn.XLOOKUP(Table1[[#This Row],[Ruta]],#REF!,#REF!)</f>
        <v>#REF!</v>
      </c>
      <c r="AE684" s="752" t="e">
        <f>_xlfn.XLOOKUP(Table1[[#This Row],[Ruta]],#REF!,#REF!)</f>
        <v>#REF!</v>
      </c>
      <c r="AF684" s="752" t="e">
        <f>_xlfn.XLOOKUP(Table1[[#This Row],[Ruta]],#REF!,#REF!)</f>
        <v>#REF!</v>
      </c>
      <c r="AG684" s="752" t="e">
        <f>_xlfn.XLOOKUP(Table1[[#This Row],[Ruta]],#REF!,#REF!)</f>
        <v>#REF!</v>
      </c>
      <c r="AH684" s="52">
        <v>0.13539194386710696</v>
      </c>
      <c r="AI684" s="52">
        <v>0.86432249635728231</v>
      </c>
      <c r="AJ684" s="55">
        <v>2.8555977561068474E-4</v>
      </c>
      <c r="AK684" s="56">
        <v>33447</v>
      </c>
      <c r="AL684" s="44">
        <v>1874</v>
      </c>
      <c r="AM684" s="54">
        <v>5.1873112685741601E-2</v>
      </c>
      <c r="AN684" s="55">
        <v>0.50982763679981502</v>
      </c>
      <c r="AO684" s="56">
        <v>15317.204968043399</v>
      </c>
      <c r="AP684" s="48">
        <v>7658.6024840216996</v>
      </c>
      <c r="AQ684" s="55">
        <v>0.28500620336716892</v>
      </c>
      <c r="AR684" s="51">
        <v>955741.46</v>
      </c>
      <c r="AS684" s="49">
        <v>3905893.2335317652</v>
      </c>
      <c r="AT684" s="55">
        <v>4.0867676008653691</v>
      </c>
      <c r="AU684" s="51">
        <v>2744681.731670971</v>
      </c>
      <c r="AV684" s="52">
        <v>1.2485816933787757E-2</v>
      </c>
      <c r="AW684" s="44">
        <v>4</v>
      </c>
      <c r="AX684" s="51">
        <v>510.00077908217702</v>
      </c>
      <c r="AY684" s="49">
        <v>524.17275748313796</v>
      </c>
      <c r="AZ684" s="49">
        <v>14.171978400960938</v>
      </c>
      <c r="BA684" s="42" t="s">
        <v>150</v>
      </c>
      <c r="BB684" s="50">
        <v>9331.2902109246079</v>
      </c>
      <c r="BC684" s="57">
        <v>2754013.0218818956</v>
      </c>
      <c r="BD684" s="42" t="s">
        <v>150</v>
      </c>
      <c r="BE684" s="46">
        <v>267.57600000000002</v>
      </c>
      <c r="BF684" s="46">
        <v>72.425990467051307</v>
      </c>
      <c r="BG684" s="42" t="s">
        <v>150</v>
      </c>
      <c r="BH684" s="52">
        <v>5.1873112685741601E-2</v>
      </c>
      <c r="BI684" s="52">
        <v>0.49337264070319697</v>
      </c>
      <c r="BJ684" s="42" t="s">
        <v>152</v>
      </c>
      <c r="BK684" s="46">
        <v>143.07281468217101</v>
      </c>
      <c r="BL684" s="46">
        <v>605.59017138979505</v>
      </c>
      <c r="BM684" s="42" t="s">
        <v>152</v>
      </c>
      <c r="BN684" s="48">
        <v>1</v>
      </c>
      <c r="BO684" s="42" t="s">
        <v>155</v>
      </c>
      <c r="BP684" s="42" t="s">
        <v>152</v>
      </c>
      <c r="BQ684" s="46">
        <v>1267.3849905913501</v>
      </c>
      <c r="BR684" s="46" t="e">
        <v>#N/A</v>
      </c>
      <c r="BS684" s="46" t="e">
        <v>#N/A</v>
      </c>
      <c r="BT684" s="46" t="e">
        <v>#N/A</v>
      </c>
      <c r="BU684" s="46" t="e">
        <v>#N/A</v>
      </c>
      <c r="BV684" s="46" t="e">
        <v>#N/A</v>
      </c>
      <c r="BW684" s="46" t="e">
        <v>#N/A</v>
      </c>
      <c r="BX684" s="46" t="e">
        <v>#N/A</v>
      </c>
      <c r="BY684" s="46" t="e">
        <v>#N/A</v>
      </c>
      <c r="BZ684" s="46" t="e">
        <v>#N/A</v>
      </c>
      <c r="CA684" s="46" t="e">
        <v>#N/A</v>
      </c>
      <c r="CB684" s="46" t="e">
        <v>#N/A</v>
      </c>
      <c r="CC684" s="46" t="e">
        <v>#N/A</v>
      </c>
      <c r="CD684" s="46" t="e">
        <v>#N/A</v>
      </c>
      <c r="CE684" s="46" t="e">
        <v>#N/A</v>
      </c>
      <c r="CF684" s="46" t="e">
        <v>#N/A</v>
      </c>
      <c r="CG684" s="46" t="e">
        <v>#N/A</v>
      </c>
      <c r="CH684" s="46" t="e">
        <v>#N/A</v>
      </c>
      <c r="CI684" s="46" t="e">
        <v>#N/A</v>
      </c>
      <c r="CJ684" s="46" t="e">
        <v>#N/A</v>
      </c>
      <c r="CM684">
        <f t="shared" si="77"/>
        <v>0</v>
      </c>
      <c r="CP684">
        <f t="shared" si="78"/>
        <v>0</v>
      </c>
      <c r="CS684">
        <f t="shared" si="79"/>
        <v>0</v>
      </c>
      <c r="CW684" s="46"/>
      <c r="CX684" s="46" t="e">
        <f t="shared" si="73"/>
        <v>#N/A</v>
      </c>
      <c r="CY684" s="46"/>
      <c r="CZ684" s="46" t="e">
        <f t="shared" si="74"/>
        <v>#N/A</v>
      </c>
      <c r="DA684" s="46" t="e">
        <f t="shared" si="75"/>
        <v>#N/A</v>
      </c>
      <c r="DB684" s="46"/>
      <c r="DC684" s="46" t="e">
        <f t="shared" si="76"/>
        <v>#N/A</v>
      </c>
      <c r="DD684" s="46"/>
      <c r="DE684" s="995" t="s">
        <v>194</v>
      </c>
      <c r="DF684" s="995" t="s">
        <v>194</v>
      </c>
      <c r="DG684" s="995" t="s">
        <v>194</v>
      </c>
      <c r="DH684" s="995" t="s">
        <v>194</v>
      </c>
      <c r="DI684" s="995" t="s">
        <v>194</v>
      </c>
      <c r="DJ684" s="995" t="s">
        <v>194</v>
      </c>
      <c r="DK684" s="995" t="s">
        <v>194</v>
      </c>
      <c r="DL684" s="995" t="s">
        <v>194</v>
      </c>
      <c r="DM684" s="995" t="s">
        <v>194</v>
      </c>
      <c r="DN684" s="995" t="s">
        <v>194</v>
      </c>
      <c r="DO684" s="995" t="s">
        <v>194</v>
      </c>
      <c r="DP684" s="995" t="s">
        <v>194</v>
      </c>
      <c r="DQ684" s="995" t="s">
        <v>194</v>
      </c>
      <c r="DR684" s="995" t="s">
        <v>194</v>
      </c>
      <c r="DS684" s="995" t="s">
        <v>194</v>
      </c>
      <c r="DT684" s="995" t="s">
        <v>194</v>
      </c>
    </row>
    <row r="685" spans="1:124">
      <c r="A685" s="42" t="s">
        <v>94</v>
      </c>
      <c r="B685" s="42" t="s">
        <v>510</v>
      </c>
      <c r="C685" s="42" t="s">
        <v>917</v>
      </c>
      <c r="D685" s="42">
        <v>806400</v>
      </c>
      <c r="E685" s="42" t="s">
        <v>919</v>
      </c>
      <c r="F685" s="42" t="s">
        <v>149</v>
      </c>
      <c r="G685" s="42" t="s">
        <v>150</v>
      </c>
      <c r="H685" s="43" t="s">
        <v>150</v>
      </c>
      <c r="I685" s="44">
        <v>4</v>
      </c>
      <c r="J685" s="45">
        <v>183524.08480000001</v>
      </c>
      <c r="K685" s="46">
        <v>9750.6564999999991</v>
      </c>
      <c r="L685" s="47">
        <v>193274.74129999999</v>
      </c>
      <c r="M685" s="48">
        <v>3571839</v>
      </c>
      <c r="N685" s="49">
        <v>2540262</v>
      </c>
      <c r="O685" s="49">
        <v>1031577</v>
      </c>
      <c r="P685" s="49">
        <v>0</v>
      </c>
      <c r="Q685" s="50">
        <v>8044.6820495495504</v>
      </c>
      <c r="R685" s="51">
        <v>1669.2080162017501</v>
      </c>
      <c r="S685" s="49">
        <v>2677.6534797135801</v>
      </c>
      <c r="T685" s="49">
        <v>417.82776017902899</v>
      </c>
      <c r="U685" s="49">
        <f>IFERROR(INDEX('Rentabilidad datos'!$N$2:$N$61,MATCH($C685,'Rentabilidad datos'!$C$2:$C$61,0)),"")</f>
        <v>4764.6892560943525</v>
      </c>
      <c r="V685" s="50">
        <f>IFERROR(INDEX('Rentabilidad datos'!$O$2:$O$61,MATCH($C685,'Rentabilidad datos'!$C$2:$C$61,0)),"")</f>
        <v>1588.2297520314507</v>
      </c>
      <c r="W685" s="51">
        <f>IFERROR(INDEX('Rentabilidad datos'!$M$2:$M$61,MATCH($C685,'Rentabilidad datos'!$C$2:$C$61,0)),"")</f>
        <v>3009.8554208951477</v>
      </c>
      <c r="X685" s="52">
        <f>IFERROR(INDEX('Rentabilidad datos'!$P$2:$P$61,MATCH($C685,'Rentabilidad datos'!$C$2:$C$61,0)),"")</f>
        <v>0.52767642625143185</v>
      </c>
      <c r="Y685" s="43" t="s">
        <v>160</v>
      </c>
      <c r="Z685" s="53">
        <v>31.768018018018001</v>
      </c>
      <c r="AA685" s="43">
        <v>1</v>
      </c>
      <c r="AB685" s="54">
        <v>1</v>
      </c>
      <c r="AC685" s="55">
        <v>0</v>
      </c>
      <c r="AD685" s="752" t="e">
        <f>_xlfn.XLOOKUP(Table1[[#This Row],[Ruta]],#REF!,#REF!)</f>
        <v>#REF!</v>
      </c>
      <c r="AE685" s="752" t="e">
        <f>_xlfn.XLOOKUP(Table1[[#This Row],[Ruta]],#REF!,#REF!)</f>
        <v>#REF!</v>
      </c>
      <c r="AF685" s="752" t="e">
        <f>_xlfn.XLOOKUP(Table1[[#This Row],[Ruta]],#REF!,#REF!)</f>
        <v>#REF!</v>
      </c>
      <c r="AG685" s="752" t="e">
        <f>_xlfn.XLOOKUP(Table1[[#This Row],[Ruta]],#REF!,#REF!)</f>
        <v>#REF!</v>
      </c>
      <c r="AH685" s="52">
        <v>0.71119162985789675</v>
      </c>
      <c r="AI685" s="52">
        <v>0.28880837014210325</v>
      </c>
      <c r="AJ685" s="55">
        <v>0</v>
      </c>
      <c r="AK685" s="56">
        <v>14105</v>
      </c>
      <c r="AL685" s="44">
        <v>6303</v>
      </c>
      <c r="AM685" s="54">
        <v>0.44686281460475002</v>
      </c>
      <c r="AN685" s="55">
        <v>0.50982763679981502</v>
      </c>
      <c r="AO685" s="56">
        <v>888.11881706138604</v>
      </c>
      <c r="AP685" s="48">
        <v>444.05940853069302</v>
      </c>
      <c r="AQ685" s="55">
        <v>0.47834522570228238</v>
      </c>
      <c r="AR685" s="51">
        <v>3571838.83</v>
      </c>
      <c r="AS685" s="49">
        <v>251643.44569518699</v>
      </c>
      <c r="AT685" s="55">
        <v>7.0452071796080165E-2</v>
      </c>
      <c r="AU685" s="51">
        <v>176830.52940742875</v>
      </c>
      <c r="AV685" s="52">
        <v>8.0441881221024751E-4</v>
      </c>
      <c r="AW685" s="44">
        <v>331</v>
      </c>
      <c r="AX685" s="51">
        <v>566.68869268602202</v>
      </c>
      <c r="AY685" s="49">
        <v>524.17275748313796</v>
      </c>
      <c r="AZ685" s="49">
        <v>0</v>
      </c>
      <c r="BA685" s="42" t="s">
        <v>152</v>
      </c>
      <c r="BB685" s="50">
        <v>0</v>
      </c>
      <c r="BC685" s="57">
        <v>176830.52940742875</v>
      </c>
      <c r="BD685" s="42" t="s">
        <v>150</v>
      </c>
      <c r="BE685" s="46">
        <v>31.768018018018001</v>
      </c>
      <c r="BF685" s="46">
        <v>72.425990467051307</v>
      </c>
      <c r="BG685" s="42" t="s">
        <v>152</v>
      </c>
      <c r="BH685" s="52">
        <v>0.44686281460475002</v>
      </c>
      <c r="BI685" s="52">
        <v>0.49337264070319697</v>
      </c>
      <c r="BJ685" s="42" t="s">
        <v>152</v>
      </c>
      <c r="BK685" s="46">
        <v>435.30347139639599</v>
      </c>
      <c r="BL685" s="46">
        <v>605.59017138979505</v>
      </c>
      <c r="BM685" s="42" t="s">
        <v>152</v>
      </c>
      <c r="BN685" s="48">
        <v>0</v>
      </c>
      <c r="BO685" s="42" t="s">
        <v>155</v>
      </c>
      <c r="BP685" s="42" t="s">
        <v>152</v>
      </c>
      <c r="BQ685" s="46">
        <v>10167.821040057401</v>
      </c>
      <c r="BR685" s="46">
        <v>978</v>
      </c>
      <c r="BS685" s="46">
        <v>36172</v>
      </c>
      <c r="BT685" s="46">
        <v>10093</v>
      </c>
      <c r="BU685" s="46">
        <v>3.5838700089170712</v>
      </c>
      <c r="BV685" s="46">
        <v>10.320040899795501</v>
      </c>
      <c r="BW685" s="46">
        <v>0</v>
      </c>
      <c r="BX685" s="46">
        <v>0</v>
      </c>
      <c r="BY685" s="46">
        <v>0</v>
      </c>
      <c r="BZ685" s="46">
        <v>0</v>
      </c>
      <c r="CA685" s="46">
        <v>0</v>
      </c>
      <c r="CB685" s="46">
        <v>0</v>
      </c>
      <c r="CC685" s="46">
        <v>0</v>
      </c>
      <c r="CD685" s="46">
        <v>1.2880214009709701E-3</v>
      </c>
      <c r="CE685" s="46">
        <v>0</v>
      </c>
      <c r="CF685" s="46">
        <v>0.99504607153472702</v>
      </c>
      <c r="CG685" s="46">
        <v>3.665907064301992E-3</v>
      </c>
      <c r="CH685" s="46">
        <v>0</v>
      </c>
      <c r="CI685" s="46">
        <v>7.9066681411036157</v>
      </c>
      <c r="CJ685" s="46">
        <v>0.16587415680636949</v>
      </c>
      <c r="CK685">
        <v>144</v>
      </c>
      <c r="CL685">
        <v>144</v>
      </c>
      <c r="CM685">
        <f t="shared" si="77"/>
        <v>0</v>
      </c>
      <c r="CO685">
        <v>9.4499999999999993</v>
      </c>
      <c r="CP685">
        <f t="shared" si="78"/>
        <v>9.4499999999999993</v>
      </c>
      <c r="CS685">
        <f t="shared" si="79"/>
        <v>0</v>
      </c>
      <c r="CV685">
        <v>0</v>
      </c>
      <c r="CW685" s="46">
        <v>0</v>
      </c>
      <c r="CX685" s="46">
        <f t="shared" si="73"/>
        <v>0</v>
      </c>
      <c r="CY685" s="46">
        <v>0</v>
      </c>
      <c r="CZ685" s="46">
        <f t="shared" si="74"/>
        <v>0</v>
      </c>
      <c r="DA685" s="46">
        <f t="shared" si="75"/>
        <v>0</v>
      </c>
      <c r="DB685" s="46">
        <v>0</v>
      </c>
      <c r="DC685" s="46">
        <f t="shared" si="76"/>
        <v>0</v>
      </c>
      <c r="DD685" s="46">
        <v>0</v>
      </c>
      <c r="DE685" s="995">
        <v>0</v>
      </c>
      <c r="DF685" s="995">
        <v>0</v>
      </c>
      <c r="DG685" s="995">
        <v>0</v>
      </c>
      <c r="DH685" s="995">
        <v>0</v>
      </c>
      <c r="DI685" s="995">
        <v>148.62</v>
      </c>
      <c r="DJ685" s="995">
        <v>1500018</v>
      </c>
      <c r="DK685" s="995">
        <v>7.3659999999999997</v>
      </c>
      <c r="DL685" s="995">
        <v>74345.100000000006</v>
      </c>
      <c r="DM685" s="995">
        <v>0</v>
      </c>
      <c r="DN685" s="995">
        <v>0</v>
      </c>
      <c r="DO685" s="995">
        <v>0</v>
      </c>
      <c r="DP685" s="995">
        <v>0</v>
      </c>
      <c r="DQ685" s="995">
        <v>148.62</v>
      </c>
      <c r="DR685" s="995">
        <v>1500018</v>
      </c>
      <c r="DS685" s="995">
        <v>7.3659999999999997</v>
      </c>
      <c r="DT685" s="995">
        <v>74345.100000000006</v>
      </c>
    </row>
    <row r="686" spans="1:124">
      <c r="A686" s="42" t="s">
        <v>94</v>
      </c>
      <c r="B686" s="42" t="s">
        <v>510</v>
      </c>
      <c r="C686" s="42" t="s">
        <v>917</v>
      </c>
      <c r="D686" s="42">
        <v>806401</v>
      </c>
      <c r="E686" s="42" t="s">
        <v>920</v>
      </c>
      <c r="F686" s="42" t="s">
        <v>149</v>
      </c>
      <c r="G686" s="42" t="s">
        <v>150</v>
      </c>
      <c r="H686" s="43" t="s">
        <v>150</v>
      </c>
      <c r="I686" s="44">
        <v>4</v>
      </c>
      <c r="J686" s="45">
        <v>236110.135295999</v>
      </c>
      <c r="K686" s="46">
        <v>11307.651438000001</v>
      </c>
      <c r="L686" s="47">
        <v>247417.786733999</v>
      </c>
      <c r="M686" s="48">
        <v>4562268</v>
      </c>
      <c r="N686" s="49">
        <v>3285796</v>
      </c>
      <c r="O686" s="49">
        <v>1276472</v>
      </c>
      <c r="P686" s="49">
        <v>0</v>
      </c>
      <c r="Q686" s="50">
        <v>10345.2724263039</v>
      </c>
      <c r="R686" s="51">
        <v>1669.2080162017501</v>
      </c>
      <c r="S686" s="49">
        <v>2677.6534797135801</v>
      </c>
      <c r="T686" s="49">
        <v>417.82776017902899</v>
      </c>
      <c r="U686" s="49">
        <f>IFERROR(INDEX('Rentabilidad datos'!$N$2:$N$61,MATCH($C686,'Rentabilidad datos'!$C$2:$C$61,0)),"")</f>
        <v>4764.6892560943525</v>
      </c>
      <c r="V686" s="50">
        <f>IFERROR(INDEX('Rentabilidad datos'!$O$2:$O$61,MATCH($C686,'Rentabilidad datos'!$C$2:$C$61,0)),"")</f>
        <v>1588.2297520314507</v>
      </c>
      <c r="W686" s="51">
        <f>IFERROR(INDEX('Rentabilidad datos'!$M$2:$M$61,MATCH($C686,'Rentabilidad datos'!$C$2:$C$61,0)),"")</f>
        <v>3009.8554208951477</v>
      </c>
      <c r="X686" s="52">
        <f>IFERROR(INDEX('Rentabilidad datos'!$P$2:$P$61,MATCH($C686,'Rentabilidad datos'!$C$2:$C$61,0)),"")</f>
        <v>0.52767642625143185</v>
      </c>
      <c r="Y686" s="43" t="s">
        <v>160</v>
      </c>
      <c r="Z686" s="53">
        <v>67.526077097505706</v>
      </c>
      <c r="AA686" s="43">
        <v>1</v>
      </c>
      <c r="AB686" s="54">
        <v>1</v>
      </c>
      <c r="AC686" s="55">
        <v>0</v>
      </c>
      <c r="AD686" s="752" t="e">
        <f>_xlfn.XLOOKUP(Table1[[#This Row],[Ruta]],#REF!,#REF!)</f>
        <v>#REF!</v>
      </c>
      <c r="AE686" s="752" t="e">
        <f>_xlfn.XLOOKUP(Table1[[#This Row],[Ruta]],#REF!,#REF!)</f>
        <v>#REF!</v>
      </c>
      <c r="AF686" s="752" t="e">
        <f>_xlfn.XLOOKUP(Table1[[#This Row],[Ruta]],#REF!,#REF!)</f>
        <v>#REF!</v>
      </c>
      <c r="AG686" s="752" t="e">
        <f>_xlfn.XLOOKUP(Table1[[#This Row],[Ruta]],#REF!,#REF!)</f>
        <v>#REF!</v>
      </c>
      <c r="AH686" s="52">
        <v>0.72021108799395384</v>
      </c>
      <c r="AI686" s="52">
        <v>0.27978891200604611</v>
      </c>
      <c r="AJ686" s="55">
        <v>0</v>
      </c>
      <c r="AK686" s="56">
        <v>29779</v>
      </c>
      <c r="AL686" s="44">
        <v>18615</v>
      </c>
      <c r="AM686" s="54">
        <v>0.62510493972262304</v>
      </c>
      <c r="AN686" s="55">
        <v>0.50982763679981502</v>
      </c>
      <c r="AO686" s="56">
        <v>0</v>
      </c>
      <c r="AP686" s="48">
        <v>0</v>
      </c>
      <c r="AQ686" s="55">
        <v>0.62510493972262338</v>
      </c>
      <c r="AR686" s="51">
        <v>4562265.1399999997</v>
      </c>
      <c r="AS686" s="49">
        <v>0</v>
      </c>
      <c r="AT686" s="55">
        <v>0</v>
      </c>
      <c r="AU686" s="51">
        <v>0</v>
      </c>
      <c r="AV686" s="52">
        <v>0</v>
      </c>
      <c r="AW686" s="44">
        <v>490</v>
      </c>
      <c r="AX686" s="51">
        <v>245.08542250872901</v>
      </c>
      <c r="AY686" s="49">
        <v>524.17275748313796</v>
      </c>
      <c r="AZ686" s="49">
        <v>279.08733497440892</v>
      </c>
      <c r="BA686" s="42" t="s">
        <v>150</v>
      </c>
      <c r="BB686" s="50">
        <v>1825344.3142468138</v>
      </c>
      <c r="BC686" s="57">
        <v>1825344.3142468138</v>
      </c>
      <c r="BD686" s="42" t="s">
        <v>150</v>
      </c>
      <c r="BE686" s="46">
        <v>67.526077097505706</v>
      </c>
      <c r="BF686" s="46">
        <v>72.425990467051307</v>
      </c>
      <c r="BG686" s="42" t="s">
        <v>152</v>
      </c>
      <c r="BH686" s="52">
        <v>0.62510493972262304</v>
      </c>
      <c r="BI686" s="52">
        <v>0.49337264070319697</v>
      </c>
      <c r="BJ686" s="42" t="s">
        <v>150</v>
      </c>
      <c r="BK686" s="46">
        <v>561.03806515645897</v>
      </c>
      <c r="BL686" s="46">
        <v>605.59017138979505</v>
      </c>
      <c r="BM686" s="42" t="s">
        <v>152</v>
      </c>
      <c r="BN686" s="48">
        <v>1</v>
      </c>
      <c r="BO686" s="42" t="s">
        <v>155</v>
      </c>
      <c r="BP686" s="42" t="s">
        <v>152</v>
      </c>
      <c r="BQ686" s="46">
        <v>254.11394778152999</v>
      </c>
      <c r="BR686" s="46">
        <v>1045</v>
      </c>
      <c r="BS686" s="46">
        <v>50134</v>
      </c>
      <c r="BT686" s="46">
        <v>14736</v>
      </c>
      <c r="BU686" s="46">
        <v>3.4021444082519001</v>
      </c>
      <c r="BV686" s="46">
        <v>14.101435406698565</v>
      </c>
      <c r="BW686" s="46">
        <v>0</v>
      </c>
      <c r="BX686" s="46">
        <v>0</v>
      </c>
      <c r="BY686" s="46">
        <v>0</v>
      </c>
      <c r="BZ686" s="46">
        <v>0</v>
      </c>
      <c r="CA686" s="46">
        <v>0</v>
      </c>
      <c r="CB686" s="46">
        <v>0</v>
      </c>
      <c r="CC686" s="46">
        <v>4.2752442996742669E-2</v>
      </c>
      <c r="CD686" s="46">
        <v>0</v>
      </c>
      <c r="CE686" s="46">
        <v>1.764386536373507E-3</v>
      </c>
      <c r="CF686" s="46">
        <v>0.9549402823018458</v>
      </c>
      <c r="CG686" s="46">
        <v>5.428881650380022E-4</v>
      </c>
      <c r="CH686" s="46">
        <v>0</v>
      </c>
      <c r="CI686" s="46">
        <v>7.3802210076993653</v>
      </c>
      <c r="CJ686" s="46">
        <v>0.19946543264052341</v>
      </c>
      <c r="CK686">
        <v>318</v>
      </c>
      <c r="CL686">
        <v>318</v>
      </c>
      <c r="CM686">
        <f t="shared" si="77"/>
        <v>0</v>
      </c>
      <c r="CO686">
        <v>9.4499999999999993</v>
      </c>
      <c r="CP686">
        <f t="shared" si="78"/>
        <v>9.4499999999999993</v>
      </c>
      <c r="CS686">
        <f t="shared" si="79"/>
        <v>0</v>
      </c>
      <c r="CV686">
        <v>0</v>
      </c>
      <c r="CW686" s="46">
        <v>0</v>
      </c>
      <c r="CX686" s="46">
        <f t="shared" si="73"/>
        <v>0</v>
      </c>
      <c r="CY686" s="46">
        <v>0</v>
      </c>
      <c r="CZ686" s="46">
        <f t="shared" si="74"/>
        <v>0</v>
      </c>
      <c r="DA686" s="46">
        <f t="shared" si="75"/>
        <v>0</v>
      </c>
      <c r="DB686" s="46">
        <v>0</v>
      </c>
      <c r="DC686" s="46">
        <f t="shared" si="76"/>
        <v>0</v>
      </c>
      <c r="DD686" s="46">
        <v>0</v>
      </c>
      <c r="DE686" s="995">
        <v>0</v>
      </c>
      <c r="DF686" s="995">
        <v>0</v>
      </c>
      <c r="DG686" s="995">
        <v>0</v>
      </c>
      <c r="DH686" s="995">
        <v>0</v>
      </c>
      <c r="DI686" s="995">
        <v>247.69900000000001</v>
      </c>
      <c r="DJ686" s="995">
        <v>3650094</v>
      </c>
      <c r="DK686" s="995">
        <v>12.532</v>
      </c>
      <c r="DL686" s="995">
        <v>184671.3</v>
      </c>
      <c r="DM686" s="995">
        <v>0</v>
      </c>
      <c r="DN686" s="995">
        <v>0</v>
      </c>
      <c r="DO686" s="995">
        <v>0</v>
      </c>
      <c r="DP686" s="995">
        <v>0</v>
      </c>
      <c r="DQ686" s="995">
        <v>247.69900000000001</v>
      </c>
      <c r="DR686" s="995">
        <v>3650094</v>
      </c>
      <c r="DS686" s="995">
        <v>12.532</v>
      </c>
      <c r="DT686" s="995">
        <v>184671.3</v>
      </c>
    </row>
    <row r="687" spans="1:124">
      <c r="A687" s="42" t="s">
        <v>94</v>
      </c>
      <c r="B687" s="42" t="s">
        <v>510</v>
      </c>
      <c r="C687" s="42" t="s">
        <v>917</v>
      </c>
      <c r="D687" s="42">
        <v>806402</v>
      </c>
      <c r="E687" s="42" t="s">
        <v>921</v>
      </c>
      <c r="F687" s="42" t="s">
        <v>149</v>
      </c>
      <c r="G687" s="42" t="s">
        <v>150</v>
      </c>
      <c r="H687" s="43" t="s">
        <v>150</v>
      </c>
      <c r="I687" s="44">
        <v>4</v>
      </c>
      <c r="J687" s="45">
        <v>210216.83199999999</v>
      </c>
      <c r="K687" s="46">
        <v>8871.1200420000005</v>
      </c>
      <c r="L687" s="47">
        <v>219087.95204199999</v>
      </c>
      <c r="M687" s="48">
        <v>3896427</v>
      </c>
      <c r="N687" s="49">
        <v>2995721</v>
      </c>
      <c r="O687" s="49">
        <v>900706</v>
      </c>
      <c r="P687" s="49">
        <v>0</v>
      </c>
      <c r="Q687" s="50">
        <v>8895.9516438356204</v>
      </c>
      <c r="R687" s="51">
        <v>1669.2080162017501</v>
      </c>
      <c r="S687" s="49">
        <v>2677.6534797135801</v>
      </c>
      <c r="T687" s="49">
        <v>417.82776017902899</v>
      </c>
      <c r="U687" s="49">
        <f>IFERROR(INDEX('Rentabilidad datos'!$N$2:$N$61,MATCH($C687,'Rentabilidad datos'!$C$2:$C$61,0)),"")</f>
        <v>4764.6892560943525</v>
      </c>
      <c r="V687" s="50">
        <f>IFERROR(INDEX('Rentabilidad datos'!$O$2:$O$61,MATCH($C687,'Rentabilidad datos'!$C$2:$C$61,0)),"")</f>
        <v>1588.2297520314507</v>
      </c>
      <c r="W687" s="51">
        <f>IFERROR(INDEX('Rentabilidad datos'!$M$2:$M$61,MATCH($C687,'Rentabilidad datos'!$C$2:$C$61,0)),"")</f>
        <v>3009.8554208951477</v>
      </c>
      <c r="X687" s="52">
        <f>IFERROR(INDEX('Rentabilidad datos'!$P$2:$P$61,MATCH($C687,'Rentabilidad datos'!$C$2:$C$61,0)),"")</f>
        <v>0.52767642625143185</v>
      </c>
      <c r="Y687" s="43" t="s">
        <v>160</v>
      </c>
      <c r="Z687" s="53">
        <v>79.394977168949794</v>
      </c>
      <c r="AA687" s="43">
        <v>1</v>
      </c>
      <c r="AB687" s="54">
        <v>1</v>
      </c>
      <c r="AC687" s="55">
        <v>0</v>
      </c>
      <c r="AD687" s="752" t="e">
        <f>_xlfn.XLOOKUP(Table1[[#This Row],[Ruta]],#REF!,#REF!)</f>
        <v>#REF!</v>
      </c>
      <c r="AE687" s="752" t="e">
        <f>_xlfn.XLOOKUP(Table1[[#This Row],[Ruta]],#REF!,#REF!)</f>
        <v>#REF!</v>
      </c>
      <c r="AF687" s="752" t="e">
        <f>_xlfn.XLOOKUP(Table1[[#This Row],[Ruta]],#REF!,#REF!)</f>
        <v>#REF!</v>
      </c>
      <c r="AG687" s="752" t="e">
        <f>_xlfn.XLOOKUP(Table1[[#This Row],[Ruta]],#REF!,#REF!)</f>
        <v>#REF!</v>
      </c>
      <c r="AH687" s="52">
        <v>0.76883796360101186</v>
      </c>
      <c r="AI687" s="52">
        <v>0.23116203639898811</v>
      </c>
      <c r="AJ687" s="55">
        <v>0</v>
      </c>
      <c r="AK687" s="56">
        <v>34775</v>
      </c>
      <c r="AL687" s="44">
        <v>16393</v>
      </c>
      <c r="AM687" s="54">
        <v>0.47140186915887899</v>
      </c>
      <c r="AN687" s="55">
        <v>0.50982763679981502</v>
      </c>
      <c r="AO687" s="56">
        <v>1336.25606971356</v>
      </c>
      <c r="AP687" s="48">
        <v>668.12803485678</v>
      </c>
      <c r="AQ687" s="55">
        <v>0.4906147529793467</v>
      </c>
      <c r="AR687" s="51">
        <v>3896426.82</v>
      </c>
      <c r="AS687" s="49">
        <v>158806.31941742499</v>
      </c>
      <c r="AT687" s="55">
        <v>4.0756910562848706E-2</v>
      </c>
      <c r="AU687" s="51">
        <v>111593.62986089328</v>
      </c>
      <c r="AV687" s="52">
        <v>5.0764998263449514E-4</v>
      </c>
      <c r="AW687" s="44">
        <v>387</v>
      </c>
      <c r="AX687" s="51">
        <v>237.68845360824699</v>
      </c>
      <c r="AY687" s="49">
        <v>524.17275748313796</v>
      </c>
      <c r="AZ687" s="49">
        <v>286.484303874891</v>
      </c>
      <c r="BA687" s="42" t="s">
        <v>150</v>
      </c>
      <c r="BB687" s="50">
        <v>1650064.4193101127</v>
      </c>
      <c r="BC687" s="57">
        <v>1761658.0491710061</v>
      </c>
      <c r="BD687" s="42" t="s">
        <v>150</v>
      </c>
      <c r="BE687" s="46">
        <v>79.394977168949794</v>
      </c>
      <c r="BF687" s="46">
        <v>72.425990467051307</v>
      </c>
      <c r="BG687" s="42" t="s">
        <v>150</v>
      </c>
      <c r="BH687" s="52">
        <v>0.47140186915887899</v>
      </c>
      <c r="BI687" s="52">
        <v>0.49337264070319697</v>
      </c>
      <c r="BJ687" s="42" t="s">
        <v>152</v>
      </c>
      <c r="BK687" s="46">
        <v>500.20080374885799</v>
      </c>
      <c r="BL687" s="46">
        <v>605.59017138979505</v>
      </c>
      <c r="BM687" s="42" t="s">
        <v>152</v>
      </c>
      <c r="BN687" s="48">
        <v>1</v>
      </c>
      <c r="BO687" s="42" t="s">
        <v>155</v>
      </c>
      <c r="BP687" s="42" t="s">
        <v>152</v>
      </c>
      <c r="BQ687" s="46">
        <v>0</v>
      </c>
      <c r="BR687" s="46">
        <v>974</v>
      </c>
      <c r="BS687" s="46">
        <v>52106</v>
      </c>
      <c r="BT687" s="46">
        <v>14509</v>
      </c>
      <c r="BU687" s="46">
        <v>3.5912881659659521</v>
      </c>
      <c r="BV687" s="46">
        <v>14.896303901437372</v>
      </c>
      <c r="BW687" s="46">
        <v>0</v>
      </c>
      <c r="BX687" s="46">
        <v>480</v>
      </c>
      <c r="BY687" s="46">
        <v>480</v>
      </c>
      <c r="BZ687" s="46">
        <v>3.30829140533462E-2</v>
      </c>
      <c r="CA687" s="46">
        <v>0</v>
      </c>
      <c r="CB687" s="46">
        <v>3.30829140533462E-2</v>
      </c>
      <c r="CC687" s="46">
        <v>3.3565373216624173E-2</v>
      </c>
      <c r="CD687" s="46">
        <v>0</v>
      </c>
      <c r="CE687" s="46">
        <v>0</v>
      </c>
      <c r="CF687" s="46">
        <v>0.92921634847336132</v>
      </c>
      <c r="CG687" s="46">
        <v>4.1353642566682751E-3</v>
      </c>
      <c r="CH687" s="46">
        <v>0</v>
      </c>
      <c r="CI687" s="46">
        <v>7.0049514451310797</v>
      </c>
      <c r="CJ687" s="46">
        <v>9.5958238974398341E-2</v>
      </c>
      <c r="CK687">
        <v>330</v>
      </c>
      <c r="CL687">
        <v>368.08</v>
      </c>
      <c r="CM687">
        <f t="shared" si="77"/>
        <v>38.079999999999984</v>
      </c>
      <c r="CN687">
        <v>6.32</v>
      </c>
      <c r="CO687">
        <v>9.4499999999999993</v>
      </c>
      <c r="CP687">
        <f t="shared" si="78"/>
        <v>3.129999999999999</v>
      </c>
      <c r="CQ687">
        <v>846.56</v>
      </c>
      <c r="CR687">
        <v>500.2</v>
      </c>
      <c r="CS687">
        <f t="shared" si="79"/>
        <v>346.35999999999996</v>
      </c>
      <c r="CT687" t="s">
        <v>152</v>
      </c>
      <c r="CU687">
        <v>66.84</v>
      </c>
      <c r="CV687">
        <v>32</v>
      </c>
      <c r="CW687" s="46">
        <v>480</v>
      </c>
      <c r="CX687" s="46">
        <f t="shared" si="73"/>
        <v>3.0458336205114067</v>
      </c>
      <c r="CY687" s="46">
        <v>38.08</v>
      </c>
      <c r="CZ687" s="46">
        <f t="shared" si="74"/>
        <v>3.3082914053346202</v>
      </c>
      <c r="DA687" s="46">
        <f t="shared" si="75"/>
        <v>27.0777186899364</v>
      </c>
      <c r="DB687" s="46">
        <v>393901.74</v>
      </c>
      <c r="DC687" s="46">
        <f t="shared" si="76"/>
        <v>1.4295136893452156</v>
      </c>
      <c r="DD687" s="46">
        <v>20795.25</v>
      </c>
      <c r="DE687" s="995">
        <v>480</v>
      </c>
      <c r="DF687" s="995">
        <v>3.0870000000000002</v>
      </c>
      <c r="DG687" s="995">
        <v>32.1</v>
      </c>
      <c r="DH687" s="995">
        <v>3.3079999999999998</v>
      </c>
      <c r="DI687" s="995">
        <v>212.80199999999999</v>
      </c>
      <c r="DJ687" s="995">
        <v>3094384</v>
      </c>
      <c r="DK687" s="995">
        <v>11.206</v>
      </c>
      <c r="DL687" s="995">
        <v>162953.70000000001</v>
      </c>
      <c r="DM687" s="995">
        <v>480</v>
      </c>
      <c r="DN687" s="995">
        <v>3.12</v>
      </c>
      <c r="DO687" s="995">
        <v>27.3</v>
      </c>
      <c r="DP687" s="995">
        <v>3.3079999999999998</v>
      </c>
      <c r="DQ687" s="995">
        <v>209.44300000000001</v>
      </c>
      <c r="DR687" s="995">
        <v>3044526</v>
      </c>
      <c r="DS687" s="995">
        <v>11.029</v>
      </c>
      <c r="DT687" s="995">
        <v>160321.5</v>
      </c>
    </row>
    <row r="688" spans="1:124">
      <c r="A688" s="42" t="s">
        <v>94</v>
      </c>
      <c r="B688" s="42" t="s">
        <v>549</v>
      </c>
      <c r="C688" s="42" t="s">
        <v>922</v>
      </c>
      <c r="D688" s="42">
        <v>827301</v>
      </c>
      <c r="E688" s="42" t="s">
        <v>923</v>
      </c>
      <c r="F688" s="42" t="s">
        <v>149</v>
      </c>
      <c r="G688" s="42" t="s">
        <v>150</v>
      </c>
      <c r="H688" s="43" t="s">
        <v>150</v>
      </c>
      <c r="I688" s="44">
        <v>1</v>
      </c>
      <c r="J688" s="45">
        <v>250298.22159999999</v>
      </c>
      <c r="K688" s="46">
        <v>1599.1066499999999</v>
      </c>
      <c r="L688" s="47">
        <v>251897.32824999999</v>
      </c>
      <c r="M688" s="48">
        <v>0</v>
      </c>
      <c r="N688" s="49">
        <v>0</v>
      </c>
      <c r="O688" s="49">
        <v>0</v>
      </c>
      <c r="P688" s="49">
        <v>0</v>
      </c>
      <c r="Q688" s="50">
        <v>6711.27742152467</v>
      </c>
      <c r="R688" s="51">
        <v>0</v>
      </c>
      <c r="S688" s="49">
        <v>634.38665915546096</v>
      </c>
      <c r="T688" s="49">
        <v>136.75437963525599</v>
      </c>
      <c r="U688" s="49">
        <f>IFERROR(INDEX('Rentabilidad datos'!$N$2:$N$61,MATCH($C688,'Rentabilidad datos'!$C$2:$C$61,0)),"")</f>
        <v>771.14103879071729</v>
      </c>
      <c r="V688" s="50">
        <f>IFERROR(INDEX('Rentabilidad datos'!$O$2:$O$61,MATCH($C688,'Rentabilidad datos'!$C$2:$C$61,0)),"")</f>
        <v>771.14103879071729</v>
      </c>
      <c r="W688" s="51">
        <f>IFERROR(INDEX('Rentabilidad datos'!$M$2:$M$61,MATCH($C688,'Rentabilidad datos'!$C$2:$C$61,0)),"")</f>
        <v>0</v>
      </c>
      <c r="X688" s="52" t="str">
        <f>IFERROR(INDEX('Rentabilidad datos'!$P$2:$P$61,MATCH($C688,'Rentabilidad datos'!$C$2:$C$61,0)),"")</f>
        <v/>
      </c>
      <c r="Y688" s="43" t="s">
        <v>151</v>
      </c>
      <c r="Z688" s="53">
        <v>5.88</v>
      </c>
      <c r="AA688" s="43">
        <v>1</v>
      </c>
      <c r="AB688" s="54">
        <v>0</v>
      </c>
      <c r="AC688" s="55">
        <v>0</v>
      </c>
      <c r="AD688" s="752" t="e">
        <f>_xlfn.XLOOKUP(Table1[[#This Row],[Ruta]],#REF!,#REF!)</f>
        <v>#REF!</v>
      </c>
      <c r="AE688" s="752" t="e">
        <f>_xlfn.XLOOKUP(Table1[[#This Row],[Ruta]],#REF!,#REF!)</f>
        <v>#REF!</v>
      </c>
      <c r="AF688" s="752" t="e">
        <f>_xlfn.XLOOKUP(Table1[[#This Row],[Ruta]],#REF!,#REF!)</f>
        <v>#REF!</v>
      </c>
      <c r="AG688" s="752" t="e">
        <f>_xlfn.XLOOKUP(Table1[[#This Row],[Ruta]],#REF!,#REF!)</f>
        <v>#REF!</v>
      </c>
      <c r="AH688" s="52">
        <v>0</v>
      </c>
      <c r="AI688" s="52">
        <v>0</v>
      </c>
      <c r="AJ688" s="55">
        <v>0</v>
      </c>
      <c r="AK688" s="56">
        <v>147</v>
      </c>
      <c r="AL688" s="44">
        <v>1217</v>
      </c>
      <c r="AM688" s="54">
        <v>0.29251700680272102</v>
      </c>
      <c r="AN688" s="55">
        <v>0.29251700680272102</v>
      </c>
      <c r="AO688" s="56">
        <v>0</v>
      </c>
      <c r="AP688" s="48">
        <v>0</v>
      </c>
      <c r="AQ688" s="55">
        <v>8.2789115646258509</v>
      </c>
      <c r="AR688" s="51">
        <v>2993229.73</v>
      </c>
      <c r="AS688" s="49">
        <v>0</v>
      </c>
      <c r="AT688" s="55">
        <v>0</v>
      </c>
      <c r="AU688" s="51">
        <v>0</v>
      </c>
      <c r="AV688" s="52">
        <v>0</v>
      </c>
      <c r="AW688" s="44">
        <v>490</v>
      </c>
      <c r="AX688" s="51">
        <v>2459.5149794576801</v>
      </c>
      <c r="AY688" s="49">
        <v>2459.5149794576801</v>
      </c>
      <c r="AZ688" s="49">
        <v>0</v>
      </c>
      <c r="BA688" s="42" t="s">
        <v>152</v>
      </c>
      <c r="BB688" s="50">
        <v>0</v>
      </c>
      <c r="BC688" s="57">
        <v>0</v>
      </c>
      <c r="BD688" s="42" t="s">
        <v>150</v>
      </c>
      <c r="BE688" s="46">
        <v>5.88</v>
      </c>
      <c r="BF688" s="46">
        <v>83.628504672897193</v>
      </c>
      <c r="BG688" s="42" t="s">
        <v>152</v>
      </c>
      <c r="BH688" s="52">
        <v>0.29251700680272102</v>
      </c>
      <c r="BI688" s="52">
        <v>0.51187669456560203</v>
      </c>
      <c r="BJ688" s="42" t="s">
        <v>152</v>
      </c>
      <c r="BK688" s="46">
        <v>564.79221580717501</v>
      </c>
      <c r="BL688" s="46">
        <v>638.00354527981403</v>
      </c>
      <c r="BM688" s="42" t="s">
        <v>152</v>
      </c>
      <c r="BN688" s="48">
        <v>0</v>
      </c>
      <c r="BO688" s="42" t="s">
        <v>155</v>
      </c>
      <c r="BP688" s="42" t="s">
        <v>152</v>
      </c>
      <c r="BQ688" s="46">
        <v>0</v>
      </c>
      <c r="BR688" s="46" t="e">
        <v>#N/A</v>
      </c>
      <c r="BS688" s="46" t="e">
        <v>#N/A</v>
      </c>
      <c r="BT688" s="46" t="e">
        <v>#N/A</v>
      </c>
      <c r="BU688" s="46" t="e">
        <v>#N/A</v>
      </c>
      <c r="BV688" s="46" t="e">
        <v>#N/A</v>
      </c>
      <c r="BW688" s="46" t="e">
        <v>#N/A</v>
      </c>
      <c r="BX688" s="46" t="e">
        <v>#N/A</v>
      </c>
      <c r="BY688" s="46" t="e">
        <v>#N/A</v>
      </c>
      <c r="BZ688" s="46" t="e">
        <v>#N/A</v>
      </c>
      <c r="CA688" s="46" t="e">
        <v>#N/A</v>
      </c>
      <c r="CB688" s="46" t="e">
        <v>#N/A</v>
      </c>
      <c r="CC688" s="46" t="e">
        <v>#N/A</v>
      </c>
      <c r="CD688" s="46" t="e">
        <v>#N/A</v>
      </c>
      <c r="CE688" s="46" t="e">
        <v>#N/A</v>
      </c>
      <c r="CF688" s="46" t="e">
        <v>#N/A</v>
      </c>
      <c r="CG688" s="46" t="e">
        <v>#N/A</v>
      </c>
      <c r="CH688" s="46" t="e">
        <v>#N/A</v>
      </c>
      <c r="CI688" s="46" t="e">
        <v>#N/A</v>
      </c>
      <c r="CJ688" s="46" t="e">
        <v>#N/A</v>
      </c>
      <c r="CM688">
        <f t="shared" si="77"/>
        <v>0</v>
      </c>
      <c r="CP688">
        <f t="shared" si="78"/>
        <v>0</v>
      </c>
      <c r="CS688">
        <f t="shared" si="79"/>
        <v>0</v>
      </c>
      <c r="CW688" s="46"/>
      <c r="CX688" s="46" t="e">
        <f t="shared" si="73"/>
        <v>#N/A</v>
      </c>
      <c r="CY688" s="46"/>
      <c r="CZ688" s="46" t="e">
        <f t="shared" si="74"/>
        <v>#N/A</v>
      </c>
      <c r="DA688" s="46" t="e">
        <f t="shared" si="75"/>
        <v>#N/A</v>
      </c>
      <c r="DB688" s="46"/>
      <c r="DC688" s="46" t="e">
        <f t="shared" si="76"/>
        <v>#N/A</v>
      </c>
      <c r="DD688" s="46"/>
      <c r="DE688" s="995" t="s">
        <v>194</v>
      </c>
      <c r="DF688" s="995" t="s">
        <v>194</v>
      </c>
      <c r="DG688" s="995" t="s">
        <v>194</v>
      </c>
      <c r="DH688" s="995" t="s">
        <v>194</v>
      </c>
      <c r="DI688" s="995" t="s">
        <v>194</v>
      </c>
      <c r="DJ688" s="995" t="s">
        <v>194</v>
      </c>
      <c r="DK688" s="995" t="s">
        <v>194</v>
      </c>
      <c r="DL688" s="995" t="s">
        <v>194</v>
      </c>
      <c r="DM688" s="995" t="s">
        <v>194</v>
      </c>
      <c r="DN688" s="995" t="s">
        <v>194</v>
      </c>
      <c r="DO688" s="995" t="s">
        <v>194</v>
      </c>
      <c r="DP688" s="995" t="s">
        <v>194</v>
      </c>
      <c r="DQ688" s="995" t="s">
        <v>194</v>
      </c>
      <c r="DR688" s="995" t="s">
        <v>194</v>
      </c>
      <c r="DS688" s="995" t="s">
        <v>194</v>
      </c>
      <c r="DT688" s="995" t="s">
        <v>194</v>
      </c>
    </row>
    <row r="689" spans="1:124">
      <c r="A689" s="42" t="s">
        <v>94</v>
      </c>
      <c r="B689" s="42" t="s">
        <v>549</v>
      </c>
      <c r="C689" s="42" t="s">
        <v>924</v>
      </c>
      <c r="D689" s="42">
        <v>828301</v>
      </c>
      <c r="E689" s="42" t="s">
        <v>925</v>
      </c>
      <c r="F689" s="42" t="s">
        <v>149</v>
      </c>
      <c r="G689" s="42" t="s">
        <v>150</v>
      </c>
      <c r="H689" s="43" t="s">
        <v>150</v>
      </c>
      <c r="I689" s="44">
        <v>1</v>
      </c>
      <c r="J689" s="45">
        <v>191548.11199999999</v>
      </c>
      <c r="K689" s="46">
        <v>10686.720325</v>
      </c>
      <c r="L689" s="47">
        <v>202234.832325</v>
      </c>
      <c r="M689" s="48">
        <v>3802956</v>
      </c>
      <c r="N689" s="49">
        <v>2696096</v>
      </c>
      <c r="O689" s="49">
        <v>1106860</v>
      </c>
      <c r="P689" s="49">
        <v>0</v>
      </c>
      <c r="Q689" s="50">
        <v>8526.8036322869993</v>
      </c>
      <c r="R689" s="51">
        <v>387.71570996208902</v>
      </c>
      <c r="S689" s="49">
        <v>636.91443721853796</v>
      </c>
      <c r="T689" s="49">
        <v>136.75437963525599</v>
      </c>
      <c r="U689" s="49">
        <f>IFERROR(INDEX('Rentabilidad datos'!$N$2:$N$61,MATCH($C689,'Rentabilidad datos'!$C$2:$C$61,0)),"")</f>
        <v>1161.3845268158834</v>
      </c>
      <c r="V689" s="50">
        <f>IFERROR(INDEX('Rentabilidad datos'!$O$2:$O$61,MATCH($C689,'Rentabilidad datos'!$C$2:$C$61,0)),"")</f>
        <v>1161.3845268158834</v>
      </c>
      <c r="W689" s="51">
        <f>IFERROR(INDEX('Rentabilidad datos'!$M$2:$M$61,MATCH($C689,'Rentabilidad datos'!$C$2:$C$61,0)),"")</f>
        <v>2656.9351032218578</v>
      </c>
      <c r="X689" s="52">
        <f>IFERROR(INDEX('Rentabilidad datos'!$P$2:$P$61,MATCH($C689,'Rentabilidad datos'!$C$2:$C$61,0)),"")</f>
        <v>0.43711437490797689</v>
      </c>
      <c r="Y689" s="43" t="s">
        <v>151</v>
      </c>
      <c r="Z689" s="53">
        <v>29.636771300448402</v>
      </c>
      <c r="AA689" s="43">
        <v>1</v>
      </c>
      <c r="AB689" s="54">
        <v>1</v>
      </c>
      <c r="AC689" s="55">
        <v>0</v>
      </c>
      <c r="AD689" s="752" t="e">
        <f>_xlfn.XLOOKUP(Table1[[#This Row],[Ruta]],#REF!,#REF!)</f>
        <v>#REF!</v>
      </c>
      <c r="AE689" s="752" t="e">
        <f>_xlfn.XLOOKUP(Table1[[#This Row],[Ruta]],#REF!,#REF!)</f>
        <v>#REF!</v>
      </c>
      <c r="AF689" s="752" t="e">
        <f>_xlfn.XLOOKUP(Table1[[#This Row],[Ruta]],#REF!,#REF!)</f>
        <v>#REF!</v>
      </c>
      <c r="AG689" s="752" t="e">
        <f>_xlfn.XLOOKUP(Table1[[#This Row],[Ruta]],#REF!,#REF!)</f>
        <v>#REF!</v>
      </c>
      <c r="AH689" s="52">
        <v>0.70894746086991278</v>
      </c>
      <c r="AI689" s="52">
        <v>0.29105253913008722</v>
      </c>
      <c r="AJ689" s="55">
        <v>0</v>
      </c>
      <c r="AK689" s="56">
        <v>13218</v>
      </c>
      <c r="AL689" s="44">
        <v>6733</v>
      </c>
      <c r="AM689" s="54">
        <v>0.509381146920865</v>
      </c>
      <c r="AN689" s="55">
        <v>0.509381146920865</v>
      </c>
      <c r="AO689" s="56">
        <v>0</v>
      </c>
      <c r="AP689" s="48">
        <v>0</v>
      </c>
      <c r="AQ689" s="55">
        <v>0.50938114692086545</v>
      </c>
      <c r="AR689" s="51">
        <v>3802954.42</v>
      </c>
      <c r="AS689" s="49">
        <v>0</v>
      </c>
      <c r="AT689" s="55">
        <v>0</v>
      </c>
      <c r="AU689" s="51">
        <v>0</v>
      </c>
      <c r="AV689" s="52">
        <v>0</v>
      </c>
      <c r="AW689" s="44">
        <v>490</v>
      </c>
      <c r="AX689" s="51">
        <v>564.82317243427894</v>
      </c>
      <c r="AY689" s="49">
        <v>564.82317243427894</v>
      </c>
      <c r="AZ689" s="49">
        <v>0</v>
      </c>
      <c r="BA689" s="42" t="s">
        <v>152</v>
      </c>
      <c r="BB689" s="50">
        <v>0</v>
      </c>
      <c r="BC689" s="57">
        <v>0</v>
      </c>
      <c r="BD689" s="42" t="s">
        <v>150</v>
      </c>
      <c r="BE689" s="46">
        <v>29.636771300448402</v>
      </c>
      <c r="BF689" s="46">
        <v>83.628504672897193</v>
      </c>
      <c r="BG689" s="42" t="s">
        <v>152</v>
      </c>
      <c r="BH689" s="52">
        <v>0.509381146920865</v>
      </c>
      <c r="BI689" s="52">
        <v>0.51187669456560203</v>
      </c>
      <c r="BJ689" s="42" t="s">
        <v>152</v>
      </c>
      <c r="BK689" s="46">
        <v>453.44132808296001</v>
      </c>
      <c r="BL689" s="46">
        <v>638.00354527981403</v>
      </c>
      <c r="BM689" s="42" t="s">
        <v>152</v>
      </c>
      <c r="BN689" s="48">
        <v>0</v>
      </c>
      <c r="BO689" s="42" t="s">
        <v>155</v>
      </c>
      <c r="BP689" s="42" t="s">
        <v>152</v>
      </c>
      <c r="BQ689" s="46">
        <v>0</v>
      </c>
      <c r="BR689" s="46">
        <v>510</v>
      </c>
      <c r="BS689" s="46">
        <v>37776</v>
      </c>
      <c r="BT689" s="46">
        <v>9479</v>
      </c>
      <c r="BU689" s="46">
        <v>3.9852305095474208</v>
      </c>
      <c r="BV689" s="46">
        <v>18.586274509803921</v>
      </c>
      <c r="BW689" s="46">
        <v>0</v>
      </c>
      <c r="BX689" s="46">
        <v>4</v>
      </c>
      <c r="BY689" s="46">
        <v>4</v>
      </c>
      <c r="BZ689" s="46">
        <v>4.2198544150226817E-4</v>
      </c>
      <c r="CA689" s="46">
        <v>0</v>
      </c>
      <c r="CB689" s="46">
        <v>4.2198544150226828E-4</v>
      </c>
      <c r="CC689" s="46">
        <v>8.5452051904209309E-3</v>
      </c>
      <c r="CD689" s="46">
        <v>0.11942187994514189</v>
      </c>
      <c r="CE689" s="46">
        <v>3.2703871716425778E-3</v>
      </c>
      <c r="CF689" s="46">
        <v>0.86760206772866333</v>
      </c>
      <c r="CG689" s="46">
        <v>0</v>
      </c>
      <c r="CH689" s="46">
        <v>7.3847452262896932E-4</v>
      </c>
      <c r="CI689" s="46">
        <v>8.2856840321897511</v>
      </c>
      <c r="CJ689" s="46">
        <v>0.15883100381194409</v>
      </c>
      <c r="CK689">
        <v>133</v>
      </c>
      <c r="CL689">
        <v>156.12</v>
      </c>
      <c r="CM689">
        <f t="shared" si="77"/>
        <v>23.120000000000005</v>
      </c>
      <c r="CN689">
        <v>1.55</v>
      </c>
      <c r="CO689">
        <v>9.4499999999999993</v>
      </c>
      <c r="CP689">
        <f t="shared" si="78"/>
        <v>7.8999999999999995</v>
      </c>
      <c r="CQ689">
        <v>846.56</v>
      </c>
      <c r="CR689">
        <v>453.44</v>
      </c>
      <c r="CS689">
        <f t="shared" si="79"/>
        <v>393.11999999999995</v>
      </c>
      <c r="CT689" t="s">
        <v>152</v>
      </c>
      <c r="CU689">
        <v>53.56</v>
      </c>
      <c r="CV689">
        <v>0</v>
      </c>
      <c r="CW689" s="46">
        <v>4</v>
      </c>
      <c r="CX689" s="46">
        <f t="shared" si="73"/>
        <v>-0.20170904103808418</v>
      </c>
      <c r="CY689" s="46">
        <v>23.12</v>
      </c>
      <c r="CZ689" s="46">
        <f t="shared" si="74"/>
        <v>4.2198544150226815E-2</v>
      </c>
      <c r="DA689" s="46">
        <f t="shared" si="75"/>
        <v>22.629455321549294</v>
      </c>
      <c r="DB689" s="46">
        <v>215027.8</v>
      </c>
      <c r="DC689" s="46">
        <f t="shared" si="76"/>
        <v>1.2722981818794121</v>
      </c>
      <c r="DD689" s="46">
        <v>12089.53</v>
      </c>
      <c r="DE689" s="995">
        <v>4</v>
      </c>
      <c r="DF689" s="995">
        <v>-0.188</v>
      </c>
      <c r="DG689" s="995">
        <v>21.8</v>
      </c>
      <c r="DH689" s="995">
        <v>4.2000000000000003E-2</v>
      </c>
      <c r="DI689" s="995">
        <v>290.74599999999998</v>
      </c>
      <c r="DJ689" s="995">
        <v>2762333</v>
      </c>
      <c r="DK689" s="995">
        <v>14.815</v>
      </c>
      <c r="DL689" s="995">
        <v>140753.79999999999</v>
      </c>
      <c r="DM689" s="995">
        <v>4</v>
      </c>
      <c r="DN689" s="995">
        <v>-0.14799999999999999</v>
      </c>
      <c r="DO689" s="995">
        <v>18</v>
      </c>
      <c r="DP689" s="995">
        <v>4.2000000000000003E-2</v>
      </c>
      <c r="DQ689" s="995">
        <v>287.50799999999998</v>
      </c>
      <c r="DR689" s="995">
        <v>2730463</v>
      </c>
      <c r="DS689" s="995">
        <v>14.632</v>
      </c>
      <c r="DT689" s="995">
        <v>138962</v>
      </c>
    </row>
    <row r="690" spans="1:124">
      <c r="A690" s="42" t="s">
        <v>94</v>
      </c>
      <c r="B690" s="42" t="s">
        <v>882</v>
      </c>
      <c r="C690" s="42" t="s">
        <v>926</v>
      </c>
      <c r="D690" s="42">
        <v>837400</v>
      </c>
      <c r="E690" s="42" t="s">
        <v>927</v>
      </c>
      <c r="F690" s="42" t="s">
        <v>193</v>
      </c>
      <c r="G690" s="42" t="s">
        <v>150</v>
      </c>
      <c r="H690" s="43" t="s">
        <v>152</v>
      </c>
      <c r="I690" s="44">
        <v>1</v>
      </c>
      <c r="J690" s="45">
        <v>12951.864799999999</v>
      </c>
      <c r="K690" s="46">
        <v>746.27620000000002</v>
      </c>
      <c r="L690" s="47">
        <v>13698.141</v>
      </c>
      <c r="M690" s="48">
        <v>275332</v>
      </c>
      <c r="N690" s="49">
        <v>188697</v>
      </c>
      <c r="O690" s="49">
        <v>86635</v>
      </c>
      <c r="P690" s="49">
        <v>0</v>
      </c>
      <c r="Q690" s="50">
        <v>0</v>
      </c>
      <c r="R690" s="51">
        <v>29.8255640129513</v>
      </c>
      <c r="S690" s="49">
        <v>540.94427679854198</v>
      </c>
      <c r="T690" s="49">
        <v>141.17934730765199</v>
      </c>
      <c r="U690" s="49">
        <f>IFERROR(INDEX('Rentabilidad datos'!$N$2:$N$61,MATCH($C690,'Rentabilidad datos'!$C$2:$C$61,0)),"")</f>
        <v>711.94918811914454</v>
      </c>
      <c r="V690" s="50">
        <f>IFERROR(INDEX('Rentabilidad datos'!$O$2:$O$61,MATCH($C690,'Rentabilidad datos'!$C$2:$C$61,0)),"")</f>
        <v>711.94918811914454</v>
      </c>
      <c r="W690" s="51">
        <f>IFERROR(INDEX('Rentabilidad datos'!$M$2:$M$61,MATCH($C690,'Rentabilidad datos'!$C$2:$C$61,0)),"")</f>
        <v>252.34533422077826</v>
      </c>
      <c r="X690" s="52">
        <f>IFERROR(INDEX('Rentabilidad datos'!$P$2:$P$61,MATCH($C690,'Rentabilidad datos'!$C$2:$C$61,0)),"")</f>
        <v>2.8213289154625558</v>
      </c>
      <c r="Y690" s="43" t="s">
        <v>160</v>
      </c>
      <c r="Z690" s="53">
        <v>45.596491228070199</v>
      </c>
      <c r="AA690" s="43">
        <v>1</v>
      </c>
      <c r="AB690" s="54">
        <v>1</v>
      </c>
      <c r="AC690" s="55">
        <v>0</v>
      </c>
      <c r="AD690" s="752" t="e">
        <f>_xlfn.XLOOKUP(Table1[[#This Row],[Ruta]],#REF!,#REF!)</f>
        <v>#REF!</v>
      </c>
      <c r="AE690" s="752" t="e">
        <f>_xlfn.XLOOKUP(Table1[[#This Row],[Ruta]],#REF!,#REF!)</f>
        <v>#REF!</v>
      </c>
      <c r="AF690" s="752" t="e">
        <f>_xlfn.XLOOKUP(Table1[[#This Row],[Ruta]],#REF!,#REF!)</f>
        <v>#REF!</v>
      </c>
      <c r="AG690" s="752" t="e">
        <f>_xlfn.XLOOKUP(Table1[[#This Row],[Ruta]],#REF!,#REF!)</f>
        <v>#REF!</v>
      </c>
      <c r="AH690" s="52">
        <v>0.68534351255938286</v>
      </c>
      <c r="AI690" s="52">
        <v>0.31465648744061714</v>
      </c>
      <c r="AJ690" s="55">
        <v>0</v>
      </c>
      <c r="AK690" s="56">
        <v>5198</v>
      </c>
      <c r="AL690" s="44">
        <v>2055</v>
      </c>
      <c r="AM690" s="54">
        <v>0.39534436321662197</v>
      </c>
      <c r="AN690" s="55">
        <v>0</v>
      </c>
      <c r="AO690" s="56">
        <v>0</v>
      </c>
      <c r="AP690" s="48">
        <v>0</v>
      </c>
      <c r="AQ690" s="55">
        <v>0.39534436321662175</v>
      </c>
      <c r="AR690" s="51">
        <v>275332.17</v>
      </c>
      <c r="AS690" s="49">
        <v>0</v>
      </c>
      <c r="AT690" s="55">
        <v>0</v>
      </c>
      <c r="AU690" s="51">
        <v>0</v>
      </c>
      <c r="AV690" s="52">
        <v>0</v>
      </c>
      <c r="AW690" s="44">
        <v>490</v>
      </c>
      <c r="AX690" s="51">
        <v>133.98159124087601</v>
      </c>
      <c r="AY690" s="49">
        <v>0</v>
      </c>
      <c r="AZ690" s="49">
        <v>0</v>
      </c>
      <c r="BA690" s="42" t="s">
        <v>152</v>
      </c>
      <c r="BB690" s="50">
        <v>0</v>
      </c>
      <c r="BC690" s="57">
        <v>0</v>
      </c>
      <c r="BD690" s="42" t="s">
        <v>152</v>
      </c>
      <c r="BE690" s="46" t="s">
        <v>195</v>
      </c>
      <c r="BF690" s="46" t="s">
        <v>195</v>
      </c>
      <c r="BG690" s="42" t="s">
        <v>195</v>
      </c>
      <c r="BH690" s="52" t="s">
        <v>195</v>
      </c>
      <c r="BI690" s="52" t="s">
        <v>195</v>
      </c>
      <c r="BJ690" s="42" t="s">
        <v>195</v>
      </c>
      <c r="BK690" s="46" t="s">
        <v>195</v>
      </c>
      <c r="BL690" s="46" t="s">
        <v>195</v>
      </c>
      <c r="BM690" s="42" t="s">
        <v>195</v>
      </c>
      <c r="BN690" s="48" t="s">
        <v>195</v>
      </c>
      <c r="BO690" s="42" t="s">
        <v>195</v>
      </c>
      <c r="BP690" s="42" t="s">
        <v>152</v>
      </c>
      <c r="BQ690" s="46">
        <v>0</v>
      </c>
      <c r="BR690" s="46">
        <v>429</v>
      </c>
      <c r="BS690" s="46">
        <v>28527</v>
      </c>
      <c r="BT690" s="46">
        <v>8043</v>
      </c>
      <c r="BU690" s="46">
        <v>3.5468108914584109</v>
      </c>
      <c r="BV690" s="46">
        <v>18.748251748251747</v>
      </c>
      <c r="BW690" s="46">
        <v>0</v>
      </c>
      <c r="BX690" s="46">
        <v>313</v>
      </c>
      <c r="BY690" s="46">
        <v>313</v>
      </c>
      <c r="BZ690" s="46">
        <v>3.8915827427576773E-2</v>
      </c>
      <c r="CA690" s="46">
        <v>0</v>
      </c>
      <c r="CB690" s="46">
        <v>3.8915827427576773E-2</v>
      </c>
      <c r="CC690" s="46">
        <v>1.2060176551038171E-2</v>
      </c>
      <c r="CD690" s="46">
        <v>7.832898172323759E-3</v>
      </c>
      <c r="CE690" s="46">
        <v>5.4705955489245308E-3</v>
      </c>
      <c r="CF690" s="46">
        <v>0.93572050230013681</v>
      </c>
      <c r="CG690" s="46">
        <v>0</v>
      </c>
      <c r="CH690" s="46">
        <v>0</v>
      </c>
      <c r="CI690" s="46">
        <v>7.6769376380271321</v>
      </c>
      <c r="CJ690" s="46">
        <v>0.24538156833876679</v>
      </c>
      <c r="CM690">
        <f t="shared" si="77"/>
        <v>0</v>
      </c>
      <c r="CP690">
        <f t="shared" si="78"/>
        <v>0</v>
      </c>
      <c r="CS690">
        <f t="shared" si="79"/>
        <v>0</v>
      </c>
      <c r="CW690" s="46"/>
      <c r="CX690" s="46">
        <f t="shared" si="73"/>
        <v>0</v>
      </c>
      <c r="CY690" s="46"/>
      <c r="CZ690" s="46">
        <f t="shared" si="74"/>
        <v>0</v>
      </c>
      <c r="DA690" s="46">
        <f t="shared" si="75"/>
        <v>0</v>
      </c>
      <c r="DB690" s="46"/>
      <c r="DC690" s="46">
        <f t="shared" si="76"/>
        <v>0</v>
      </c>
      <c r="DD690" s="46"/>
      <c r="DE690" s="995" t="s">
        <v>194</v>
      </c>
      <c r="DF690" s="995" t="s">
        <v>194</v>
      </c>
      <c r="DG690" s="995" t="s">
        <v>194</v>
      </c>
      <c r="DH690" s="995" t="s">
        <v>194</v>
      </c>
      <c r="DI690" s="995" t="s">
        <v>194</v>
      </c>
      <c r="DJ690" s="995" t="s">
        <v>194</v>
      </c>
      <c r="DK690" s="995" t="s">
        <v>194</v>
      </c>
      <c r="DL690" s="995" t="s">
        <v>194</v>
      </c>
      <c r="DM690" s="995" t="s">
        <v>194</v>
      </c>
      <c r="DN690" s="995" t="s">
        <v>194</v>
      </c>
      <c r="DO690" s="995" t="s">
        <v>194</v>
      </c>
      <c r="DP690" s="995" t="s">
        <v>194</v>
      </c>
      <c r="DQ690" s="995" t="s">
        <v>194</v>
      </c>
      <c r="DR690" s="995" t="s">
        <v>194</v>
      </c>
      <c r="DS690" s="995" t="s">
        <v>194</v>
      </c>
      <c r="DT690" s="995" t="s">
        <v>194</v>
      </c>
    </row>
    <row r="691" spans="1:124">
      <c r="A691" s="42" t="s">
        <v>94</v>
      </c>
      <c r="B691" s="42" t="s">
        <v>549</v>
      </c>
      <c r="C691" s="42" t="s">
        <v>928</v>
      </c>
      <c r="D691" s="42">
        <v>823301</v>
      </c>
      <c r="E691" s="42" t="s">
        <v>929</v>
      </c>
      <c r="F691" s="42" t="s">
        <v>149</v>
      </c>
      <c r="G691" s="42" t="s">
        <v>150</v>
      </c>
      <c r="H691" s="43" t="s">
        <v>150</v>
      </c>
      <c r="I691" s="44">
        <v>2</v>
      </c>
      <c r="J691" s="45">
        <v>228991.22399999999</v>
      </c>
      <c r="K691" s="46">
        <v>1600.2026249999999</v>
      </c>
      <c r="L691" s="47">
        <v>230591.42662499999</v>
      </c>
      <c r="M691" s="48">
        <v>2774464</v>
      </c>
      <c r="N691" s="49">
        <v>2599856</v>
      </c>
      <c r="O691" s="49">
        <v>174608</v>
      </c>
      <c r="P691" s="49">
        <v>0</v>
      </c>
      <c r="Q691" s="50">
        <v>6319.9658542141196</v>
      </c>
      <c r="R691" s="51" t="s">
        <v>194</v>
      </c>
      <c r="S691" s="49" t="s">
        <v>194</v>
      </c>
      <c r="T691" s="49" t="s">
        <v>194</v>
      </c>
      <c r="U691" s="49" t="str">
        <f>IFERROR(INDEX('Rentabilidad datos'!$N$2:$N$61,MATCH($C691,'Rentabilidad datos'!$C$2:$C$61,0)),"")</f>
        <v/>
      </c>
      <c r="V691" s="50" t="str">
        <f>IFERROR(INDEX('Rentabilidad datos'!$O$2:$O$61,MATCH($C691,'Rentabilidad datos'!$C$2:$C$61,0)),"")</f>
        <v/>
      </c>
      <c r="W691" s="51" t="str">
        <f>IFERROR(INDEX('Rentabilidad datos'!$M$2:$M$61,MATCH($C691,'Rentabilidad datos'!$C$2:$C$61,0)),"")</f>
        <v/>
      </c>
      <c r="X691" s="52" t="str">
        <f>IFERROR(INDEX('Rentabilidad datos'!$P$2:$P$61,MATCH($C691,'Rentabilidad datos'!$C$2:$C$61,0)),"")</f>
        <v/>
      </c>
      <c r="Y691" s="43" t="s">
        <v>160</v>
      </c>
      <c r="Z691" s="53">
        <v>18.651376146789001</v>
      </c>
      <c r="AA691" s="43">
        <v>1</v>
      </c>
      <c r="AB691" s="54">
        <v>1</v>
      </c>
      <c r="AC691" s="55">
        <v>0</v>
      </c>
      <c r="AD691" s="752" t="e">
        <f>_xlfn.XLOOKUP(Table1[[#This Row],[Ruta]],#REF!,#REF!)</f>
        <v>#REF!</v>
      </c>
      <c r="AE691" s="752" t="e">
        <f>_xlfn.XLOOKUP(Table1[[#This Row],[Ruta]],#REF!,#REF!)</f>
        <v>#REF!</v>
      </c>
      <c r="AF691" s="752" t="e">
        <f>_xlfn.XLOOKUP(Table1[[#This Row],[Ruta]],#REF!,#REF!)</f>
        <v>#REF!</v>
      </c>
      <c r="AG691" s="752" t="e">
        <f>_xlfn.XLOOKUP(Table1[[#This Row],[Ruta]],#REF!,#REF!)</f>
        <v>#REF!</v>
      </c>
      <c r="AH691" s="52">
        <v>0.93706604230582913</v>
      </c>
      <c r="AI691" s="52">
        <v>6.2933957694170845E-2</v>
      </c>
      <c r="AJ691" s="55">
        <v>0</v>
      </c>
      <c r="AK691" s="56">
        <v>2033</v>
      </c>
      <c r="AL691" s="44">
        <v>3518</v>
      </c>
      <c r="AM691" s="54">
        <v>0.41416625676340402</v>
      </c>
      <c r="AN691" s="55">
        <v>0.39887955865140801</v>
      </c>
      <c r="AO691" s="56">
        <v>0</v>
      </c>
      <c r="AP691" s="48">
        <v>0</v>
      </c>
      <c r="AQ691" s="55">
        <v>1.7304476143630103</v>
      </c>
      <c r="AR691" s="51">
        <v>2774465.01</v>
      </c>
      <c r="AS691" s="49">
        <v>0</v>
      </c>
      <c r="AT691" s="55">
        <v>0</v>
      </c>
      <c r="AU691" s="51">
        <v>0</v>
      </c>
      <c r="AV691" s="52">
        <v>0</v>
      </c>
      <c r="AW691" s="44">
        <v>490</v>
      </c>
      <c r="AX691" s="51">
        <v>788.648382603752</v>
      </c>
      <c r="AY691" s="49">
        <v>1156.86074495649</v>
      </c>
      <c r="AZ691" s="49">
        <v>368.21236235273796</v>
      </c>
      <c r="BA691" s="42" t="s">
        <v>150</v>
      </c>
      <c r="BB691" s="50">
        <v>455130.38323892222</v>
      </c>
      <c r="BC691" s="57">
        <v>455130.38323892222</v>
      </c>
      <c r="BD691" s="42" t="s">
        <v>150</v>
      </c>
      <c r="BE691" s="46">
        <v>18.651376146789001</v>
      </c>
      <c r="BF691" s="46">
        <v>83.628504672897193</v>
      </c>
      <c r="BG691" s="42" t="s">
        <v>152</v>
      </c>
      <c r="BH691" s="52">
        <v>0.41416625676340402</v>
      </c>
      <c r="BI691" s="52">
        <v>0.51187669456560203</v>
      </c>
      <c r="BJ691" s="42" t="s">
        <v>152</v>
      </c>
      <c r="BK691" s="46">
        <v>525.26520871298396</v>
      </c>
      <c r="BL691" s="46">
        <v>638.00354527981403</v>
      </c>
      <c r="BM691" s="42" t="s">
        <v>152</v>
      </c>
      <c r="BN691" s="48">
        <v>0</v>
      </c>
      <c r="BO691" s="42" t="s">
        <v>155</v>
      </c>
      <c r="BP691" s="42" t="s">
        <v>152</v>
      </c>
      <c r="BQ691" s="46">
        <v>0</v>
      </c>
      <c r="BR691" s="46">
        <v>559</v>
      </c>
      <c r="BS691" s="46">
        <v>30388</v>
      </c>
      <c r="BT691" s="46">
        <v>8353</v>
      </c>
      <c r="BU691" s="46">
        <v>3.6379743804621096</v>
      </c>
      <c r="BV691" s="46">
        <v>14.942754919499105</v>
      </c>
      <c r="BW691" s="46">
        <v>0</v>
      </c>
      <c r="BX691" s="46">
        <v>0</v>
      </c>
      <c r="BY691" s="46">
        <v>0</v>
      </c>
      <c r="BZ691" s="46">
        <v>0</v>
      </c>
      <c r="CA691" s="46">
        <v>0</v>
      </c>
      <c r="CB691" s="46">
        <v>0</v>
      </c>
      <c r="CC691" s="46">
        <v>0</v>
      </c>
      <c r="CD691" s="46">
        <v>4.9084161379145206E-3</v>
      </c>
      <c r="CE691" s="46">
        <v>0</v>
      </c>
      <c r="CF691" s="46">
        <v>0.99233808212618224</v>
      </c>
      <c r="CG691" s="46">
        <v>2.6337842691248649E-3</v>
      </c>
      <c r="CH691" s="46">
        <v>1.1971746677840299E-4</v>
      </c>
      <c r="CI691" s="46">
        <v>6.976438067658286</v>
      </c>
      <c r="CJ691" s="46">
        <v>9.8723180202711591E-2</v>
      </c>
      <c r="CK691">
        <v>73</v>
      </c>
      <c r="CL691">
        <v>73</v>
      </c>
      <c r="CM691">
        <f t="shared" si="77"/>
        <v>0</v>
      </c>
      <c r="CO691">
        <v>9.4499999999999993</v>
      </c>
      <c r="CP691">
        <f t="shared" si="78"/>
        <v>9.4499999999999993</v>
      </c>
      <c r="CS691">
        <f t="shared" si="79"/>
        <v>0</v>
      </c>
      <c r="CV691">
        <v>0</v>
      </c>
      <c r="CW691" s="46">
        <v>0</v>
      </c>
      <c r="CX691" s="46">
        <f t="shared" si="73"/>
        <v>0</v>
      </c>
      <c r="CY691" s="46">
        <v>0</v>
      </c>
      <c r="CZ691" s="46">
        <f t="shared" si="74"/>
        <v>0</v>
      </c>
      <c r="DA691" s="46">
        <f t="shared" si="75"/>
        <v>0</v>
      </c>
      <c r="DB691" s="46">
        <v>0</v>
      </c>
      <c r="DC691" s="46">
        <f t="shared" si="76"/>
        <v>0</v>
      </c>
      <c r="DD691" s="46">
        <v>0</v>
      </c>
      <c r="DE691" s="995">
        <v>0</v>
      </c>
      <c r="DF691" s="995">
        <v>0</v>
      </c>
      <c r="DG691" s="995">
        <v>0</v>
      </c>
      <c r="DH691" s="995">
        <v>0</v>
      </c>
      <c r="DI691" s="995">
        <v>87.628</v>
      </c>
      <c r="DJ691" s="995">
        <v>731960</v>
      </c>
      <c r="DK691" s="995">
        <v>4.21</v>
      </c>
      <c r="DL691" s="995">
        <v>35168.9</v>
      </c>
      <c r="DM691" s="995">
        <v>0</v>
      </c>
      <c r="DN691" s="995">
        <v>0</v>
      </c>
      <c r="DO691" s="995">
        <v>0</v>
      </c>
      <c r="DP691" s="995">
        <v>0</v>
      </c>
      <c r="DQ691" s="995">
        <v>87.628</v>
      </c>
      <c r="DR691" s="995">
        <v>731960</v>
      </c>
      <c r="DS691" s="995">
        <v>4.21</v>
      </c>
      <c r="DT691" s="995">
        <v>35168.9</v>
      </c>
    </row>
    <row r="692" spans="1:124">
      <c r="A692" s="42" t="s">
        <v>94</v>
      </c>
      <c r="B692" s="42" t="s">
        <v>549</v>
      </c>
      <c r="C692" s="42" t="s">
        <v>928</v>
      </c>
      <c r="D692" s="42">
        <v>823302</v>
      </c>
      <c r="E692" s="42" t="s">
        <v>930</v>
      </c>
      <c r="F692" s="42" t="s">
        <v>149</v>
      </c>
      <c r="G692" s="42" t="s">
        <v>150</v>
      </c>
      <c r="H692" s="43" t="s">
        <v>150</v>
      </c>
      <c r="I692" s="44">
        <v>2</v>
      </c>
      <c r="J692" s="45">
        <v>200230.82800000001</v>
      </c>
      <c r="K692" s="46">
        <v>5171.8570250000002</v>
      </c>
      <c r="L692" s="47">
        <v>205402.68502500001</v>
      </c>
      <c r="M692" s="48">
        <v>2763933</v>
      </c>
      <c r="N692" s="49">
        <v>2251885</v>
      </c>
      <c r="O692" s="49">
        <v>512048</v>
      </c>
      <c r="P692" s="49">
        <v>0</v>
      </c>
      <c r="Q692" s="50">
        <v>6324.7874370709396</v>
      </c>
      <c r="R692" s="51" t="s">
        <v>194</v>
      </c>
      <c r="S692" s="49" t="s">
        <v>194</v>
      </c>
      <c r="T692" s="49" t="s">
        <v>194</v>
      </c>
      <c r="U692" s="49" t="str">
        <f>IFERROR(INDEX('Rentabilidad datos'!$N$2:$N$61,MATCH($C692,'Rentabilidad datos'!$C$2:$C$61,0)),"")</f>
        <v/>
      </c>
      <c r="V692" s="50" t="str">
        <f>IFERROR(INDEX('Rentabilidad datos'!$O$2:$O$61,MATCH($C692,'Rentabilidad datos'!$C$2:$C$61,0)),"")</f>
        <v/>
      </c>
      <c r="W692" s="51" t="str">
        <f>IFERROR(INDEX('Rentabilidad datos'!$M$2:$M$61,MATCH($C692,'Rentabilidad datos'!$C$2:$C$61,0)),"")</f>
        <v/>
      </c>
      <c r="X692" s="52" t="str">
        <f>IFERROR(INDEX('Rentabilidad datos'!$P$2:$P$61,MATCH($C692,'Rentabilidad datos'!$C$2:$C$61,0)),"")</f>
        <v/>
      </c>
      <c r="Y692" s="43" t="s">
        <v>160</v>
      </c>
      <c r="Z692" s="53">
        <v>14.4495192307692</v>
      </c>
      <c r="AA692" s="43">
        <v>1</v>
      </c>
      <c r="AB692" s="54">
        <v>1</v>
      </c>
      <c r="AC692" s="55">
        <v>0</v>
      </c>
      <c r="AD692" s="752" t="e">
        <f>_xlfn.XLOOKUP(Table1[[#This Row],[Ruta]],#REF!,#REF!)</f>
        <v>#REF!</v>
      </c>
      <c r="AE692" s="752" t="e">
        <f>_xlfn.XLOOKUP(Table1[[#This Row],[Ruta]],#REF!,#REF!)</f>
        <v>#REF!</v>
      </c>
      <c r="AF692" s="752" t="e">
        <f>_xlfn.XLOOKUP(Table1[[#This Row],[Ruta]],#REF!,#REF!)</f>
        <v>#REF!</v>
      </c>
      <c r="AG692" s="752" t="e">
        <f>_xlfn.XLOOKUP(Table1[[#This Row],[Ruta]],#REF!,#REF!)</f>
        <v>#REF!</v>
      </c>
      <c r="AH692" s="52">
        <v>0.81473935873264658</v>
      </c>
      <c r="AI692" s="52">
        <v>0.18526064126735345</v>
      </c>
      <c r="AJ692" s="55">
        <v>0</v>
      </c>
      <c r="AK692" s="56">
        <v>6011</v>
      </c>
      <c r="AL692" s="44">
        <v>2160</v>
      </c>
      <c r="AM692" s="54">
        <v>0.35301946431542203</v>
      </c>
      <c r="AN692" s="55">
        <v>0.39887955865140801</v>
      </c>
      <c r="AO692" s="56">
        <v>275.66502705361597</v>
      </c>
      <c r="AP692" s="48">
        <v>137.83251352680799</v>
      </c>
      <c r="AQ692" s="55">
        <v>0.3822712549537195</v>
      </c>
      <c r="AR692" s="51">
        <v>2763932.11</v>
      </c>
      <c r="AS692" s="49">
        <v>176370.23608275599</v>
      </c>
      <c r="AT692" s="55">
        <v>6.381134885500353E-2</v>
      </c>
      <c r="AU692" s="51">
        <v>123935.84157166642</v>
      </c>
      <c r="AV692" s="52">
        <v>5.6379587168260226E-4</v>
      </c>
      <c r="AW692" s="44">
        <v>376</v>
      </c>
      <c r="AX692" s="51">
        <v>1279.59819907407</v>
      </c>
      <c r="AY692" s="49">
        <v>1156.86074495649</v>
      </c>
      <c r="AZ692" s="49">
        <v>0</v>
      </c>
      <c r="BA692" s="42" t="s">
        <v>152</v>
      </c>
      <c r="BB692" s="50">
        <v>0</v>
      </c>
      <c r="BC692" s="57">
        <v>123935.84157166642</v>
      </c>
      <c r="BD692" s="42" t="s">
        <v>150</v>
      </c>
      <c r="BE692" s="46">
        <v>14.4495192307692</v>
      </c>
      <c r="BF692" s="46">
        <v>83.628504672897193</v>
      </c>
      <c r="BG692" s="42" t="s">
        <v>152</v>
      </c>
      <c r="BH692" s="52">
        <v>0.35301946431542203</v>
      </c>
      <c r="BI692" s="52">
        <v>0.51187669456560203</v>
      </c>
      <c r="BJ692" s="42" t="s">
        <v>152</v>
      </c>
      <c r="BK692" s="46">
        <v>470.02902751716198</v>
      </c>
      <c r="BL692" s="46">
        <v>638.00354527981403</v>
      </c>
      <c r="BM692" s="42" t="s">
        <v>152</v>
      </c>
      <c r="BN692" s="48">
        <v>0</v>
      </c>
      <c r="BO692" s="42" t="s">
        <v>155</v>
      </c>
      <c r="BP692" s="42" t="s">
        <v>152</v>
      </c>
      <c r="BQ692" s="46">
        <v>1085.6490515572</v>
      </c>
      <c r="BR692" s="46">
        <v>1124</v>
      </c>
      <c r="BS692" s="46">
        <v>75974</v>
      </c>
      <c r="BT692" s="46">
        <v>20100</v>
      </c>
      <c r="BU692" s="46">
        <v>3.7798009950248757</v>
      </c>
      <c r="BV692" s="46">
        <v>17.882562277580071</v>
      </c>
      <c r="BW692" s="46">
        <v>0</v>
      </c>
      <c r="BX692" s="46">
        <v>111</v>
      </c>
      <c r="BY692" s="46">
        <v>111</v>
      </c>
      <c r="BZ692" s="46">
        <v>5.5223880597014925E-3</v>
      </c>
      <c r="CA692" s="46">
        <v>0</v>
      </c>
      <c r="CB692" s="46">
        <v>5.5223880597014916E-3</v>
      </c>
      <c r="CC692" s="46">
        <v>0.35194029850746272</v>
      </c>
      <c r="CD692" s="46">
        <v>4.4328358208955233E-2</v>
      </c>
      <c r="CE692" s="46">
        <v>8.7562189054726375E-3</v>
      </c>
      <c r="CF692" s="46">
        <v>0.58930348258706466</v>
      </c>
      <c r="CG692" s="46">
        <v>4.9751243781094526E-5</v>
      </c>
      <c r="CH692" s="46">
        <v>9.9502487562189051E-5</v>
      </c>
      <c r="CI692" s="46">
        <v>6.8707715797509668</v>
      </c>
      <c r="CJ692" s="46">
        <v>0.42119672519546159</v>
      </c>
      <c r="CK692">
        <v>110</v>
      </c>
      <c r="CL692">
        <v>130.84</v>
      </c>
      <c r="CM692">
        <f t="shared" si="77"/>
        <v>20.840000000000003</v>
      </c>
      <c r="CN692">
        <v>4.41</v>
      </c>
      <c r="CO692">
        <v>9.4499999999999993</v>
      </c>
      <c r="CP692">
        <f t="shared" si="78"/>
        <v>5.0399999999999991</v>
      </c>
      <c r="CQ692">
        <v>846.56</v>
      </c>
      <c r="CR692">
        <v>470.03</v>
      </c>
      <c r="CS692">
        <f t="shared" si="79"/>
        <v>376.53</v>
      </c>
      <c r="CT692" t="s">
        <v>152</v>
      </c>
      <c r="CU692">
        <v>55.52</v>
      </c>
      <c r="CV692">
        <v>0</v>
      </c>
      <c r="CW692" s="46">
        <v>111</v>
      </c>
      <c r="CX692" s="46">
        <f t="shared" si="73"/>
        <v>0.4485572139303482</v>
      </c>
      <c r="CY692" s="46">
        <v>20.84</v>
      </c>
      <c r="CZ692" s="46">
        <f t="shared" si="74"/>
        <v>0.55223880597014929</v>
      </c>
      <c r="DA692" s="46">
        <f t="shared" si="75"/>
        <v>12.106618312157941</v>
      </c>
      <c r="DB692" s="46">
        <v>243595.33</v>
      </c>
      <c r="DC692" s="46">
        <f t="shared" si="76"/>
        <v>0.76231558920999321</v>
      </c>
      <c r="DD692" s="46">
        <v>15338.43</v>
      </c>
      <c r="DE692" s="995">
        <v>111</v>
      </c>
      <c r="DF692" s="995">
        <v>0.45400000000000001</v>
      </c>
      <c r="DG692" s="995">
        <v>19.7</v>
      </c>
      <c r="DH692" s="995">
        <v>0.55200000000000005</v>
      </c>
      <c r="DI692" s="995">
        <v>105.252</v>
      </c>
      <c r="DJ692" s="995">
        <v>2117628</v>
      </c>
      <c r="DK692" s="995">
        <v>6.593</v>
      </c>
      <c r="DL692" s="995">
        <v>132640.29999999999</v>
      </c>
      <c r="DM692" s="995">
        <v>111</v>
      </c>
      <c r="DN692" s="995">
        <v>0.47199999999999998</v>
      </c>
      <c r="DO692" s="995">
        <v>16.2</v>
      </c>
      <c r="DP692" s="995">
        <v>0.55200000000000005</v>
      </c>
      <c r="DQ692" s="995">
        <v>103.252</v>
      </c>
      <c r="DR692" s="995">
        <v>2077028</v>
      </c>
      <c r="DS692" s="995">
        <v>6.4669999999999996</v>
      </c>
      <c r="DT692" s="995">
        <v>130083.9</v>
      </c>
    </row>
    <row r="693" spans="1:124">
      <c r="A693" s="42" t="s">
        <v>94</v>
      </c>
      <c r="B693" s="42" t="s">
        <v>502</v>
      </c>
      <c r="C693" s="42" t="s">
        <v>931</v>
      </c>
      <c r="D693" s="42">
        <v>916340</v>
      </c>
      <c r="E693" s="42" t="s">
        <v>932</v>
      </c>
      <c r="F693" s="42" t="s">
        <v>149</v>
      </c>
      <c r="G693" s="42" t="s">
        <v>150</v>
      </c>
      <c r="H693" s="43" t="s">
        <v>150</v>
      </c>
      <c r="I693" s="44">
        <v>50</v>
      </c>
      <c r="J693" s="45">
        <v>224316.99919999999</v>
      </c>
      <c r="K693" s="46">
        <v>21019.204901000001</v>
      </c>
      <c r="L693" s="47">
        <v>245336.20410100001</v>
      </c>
      <c r="M693" s="48">
        <v>6494971</v>
      </c>
      <c r="N693" s="49">
        <v>3356136</v>
      </c>
      <c r="O693" s="49">
        <v>3138835</v>
      </c>
      <c r="P693" s="49">
        <v>0</v>
      </c>
      <c r="Q693" s="50">
        <v>14896.7188990826</v>
      </c>
      <c r="R693" s="51">
        <v>21461.110189513802</v>
      </c>
      <c r="S693" s="49">
        <v>32979.936003783201</v>
      </c>
      <c r="T693" s="49">
        <v>6632.4105285496998</v>
      </c>
      <c r="U693" s="49">
        <f>IFERROR(INDEX('Rentabilidad datos'!$N$2:$N$61,MATCH($C693,'Rentabilidad datos'!$C$2:$C$61,0)),"")</f>
        <v>61073.456721846684</v>
      </c>
      <c r="V693" s="50">
        <f>IFERROR(INDEX('Rentabilidad datos'!$O$2:$O$61,MATCH($C693,'Rentabilidad datos'!$C$2:$C$61,0)),"")</f>
        <v>1299.4352494009934</v>
      </c>
      <c r="W693" s="51">
        <f>IFERROR(INDEX('Rentabilidad datos'!$M$2:$M$61,MATCH($C693,'Rentabilidad datos'!$C$2:$C$61,0)),"")</f>
        <v>3641.9429094456564</v>
      </c>
      <c r="X693" s="52">
        <f>IFERROR(INDEX('Rentabilidad datos'!$P$2:$P$61,MATCH($C693,'Rentabilidad datos'!$C$2:$C$61,0)),"")</f>
        <v>0.35679725951519148</v>
      </c>
      <c r="Y693" s="43" t="s">
        <v>171</v>
      </c>
      <c r="Z693" s="53">
        <v>75.199541284403693</v>
      </c>
      <c r="AA693" s="43">
        <v>2</v>
      </c>
      <c r="AB693" s="54">
        <v>0.97682006586326564</v>
      </c>
      <c r="AC693" s="55">
        <v>2.3179934136734404E-2</v>
      </c>
      <c r="AD693" s="752" t="e">
        <f>_xlfn.XLOOKUP(Table1[[#This Row],[Ruta]],#REF!,#REF!)</f>
        <v>#REF!</v>
      </c>
      <c r="AE693" s="752" t="e">
        <f>_xlfn.XLOOKUP(Table1[[#This Row],[Ruta]],#REF!,#REF!)</f>
        <v>#REF!</v>
      </c>
      <c r="AF693" s="752" t="e">
        <f>_xlfn.XLOOKUP(Table1[[#This Row],[Ruta]],#REF!,#REF!)</f>
        <v>#REF!</v>
      </c>
      <c r="AG693" s="752" t="e">
        <f>_xlfn.XLOOKUP(Table1[[#This Row],[Ruta]],#REF!,#REF!)</f>
        <v>#REF!</v>
      </c>
      <c r="AH693" s="52">
        <v>0.51672840417609256</v>
      </c>
      <c r="AI693" s="52">
        <v>0.48327159582390744</v>
      </c>
      <c r="AJ693" s="55">
        <v>0</v>
      </c>
      <c r="AK693" s="56">
        <v>32787</v>
      </c>
      <c r="AL693" s="44">
        <v>24441</v>
      </c>
      <c r="AM693" s="54">
        <v>0.74544789093238195</v>
      </c>
      <c r="AN693" s="55">
        <v>0.62538735712289495</v>
      </c>
      <c r="AO693" s="56">
        <v>0</v>
      </c>
      <c r="AP693" s="48">
        <v>0</v>
      </c>
      <c r="AQ693" s="55">
        <v>0.74544789093238173</v>
      </c>
      <c r="AR693" s="51">
        <v>6494969.4400000004</v>
      </c>
      <c r="AS693" s="49">
        <v>0</v>
      </c>
      <c r="AT693" s="55">
        <v>0</v>
      </c>
      <c r="AU693" s="51">
        <v>0</v>
      </c>
      <c r="AV693" s="52">
        <v>0</v>
      </c>
      <c r="AW693" s="44">
        <v>490</v>
      </c>
      <c r="AX693" s="51">
        <v>265.74074055889702</v>
      </c>
      <c r="AY693" s="49">
        <v>327.331066067118</v>
      </c>
      <c r="AZ693" s="49">
        <v>61.590325508220985</v>
      </c>
      <c r="BA693" s="42" t="s">
        <v>150</v>
      </c>
      <c r="BB693" s="50">
        <v>528899.4295865834</v>
      </c>
      <c r="BC693" s="57">
        <v>528899.4295865834</v>
      </c>
      <c r="BD693" s="42" t="s">
        <v>150</v>
      </c>
      <c r="BE693" s="46">
        <v>75.199541284403693</v>
      </c>
      <c r="BF693" s="46">
        <v>77.052752293577996</v>
      </c>
      <c r="BG693" s="42" t="s">
        <v>152</v>
      </c>
      <c r="BH693" s="52">
        <v>0.74544789093238195</v>
      </c>
      <c r="BI693" s="52">
        <v>0.58451671985922604</v>
      </c>
      <c r="BJ693" s="42" t="s">
        <v>150</v>
      </c>
      <c r="BK693" s="46">
        <v>562.69771582798103</v>
      </c>
      <c r="BL693" s="46">
        <v>592.94411248383199</v>
      </c>
      <c r="BM693" s="42" t="s">
        <v>152</v>
      </c>
      <c r="BN693" s="48">
        <v>1</v>
      </c>
      <c r="BO693" s="42" t="s">
        <v>155</v>
      </c>
      <c r="BP693" s="42" t="s">
        <v>152</v>
      </c>
      <c r="BQ693" s="46">
        <v>0</v>
      </c>
      <c r="BR693" s="46">
        <v>141</v>
      </c>
      <c r="BS693" s="46">
        <v>8727</v>
      </c>
      <c r="BT693" s="46">
        <v>3018</v>
      </c>
      <c r="BU693" s="46">
        <v>2.8916500994035785</v>
      </c>
      <c r="BV693" s="46">
        <v>21.404255319148938</v>
      </c>
      <c r="BW693" s="46">
        <v>2195</v>
      </c>
      <c r="BX693" s="46">
        <v>823</v>
      </c>
      <c r="BY693" s="46">
        <v>3018</v>
      </c>
      <c r="BZ693" s="46">
        <v>1</v>
      </c>
      <c r="CA693" s="46">
        <v>0.72730284956925118</v>
      </c>
      <c r="CB693" s="46">
        <v>0.27269715043074882</v>
      </c>
      <c r="CC693" s="46">
        <v>0</v>
      </c>
      <c r="CD693" s="46">
        <v>0</v>
      </c>
      <c r="CE693" s="46">
        <v>0</v>
      </c>
      <c r="CF693" s="46">
        <v>0</v>
      </c>
      <c r="CG693" s="46">
        <v>0</v>
      </c>
      <c r="CH693" s="46">
        <v>0</v>
      </c>
      <c r="CI693" s="46">
        <v>1.4896298842672171</v>
      </c>
      <c r="CJ693" s="46">
        <v>0.80210839922080901</v>
      </c>
      <c r="CK693">
        <v>436</v>
      </c>
      <c r="CL693">
        <v>445.32</v>
      </c>
      <c r="CM693">
        <f t="shared" si="77"/>
        <v>9.3199999999999932</v>
      </c>
      <c r="CN693">
        <v>10.18</v>
      </c>
      <c r="CO693">
        <v>9.4499999999999993</v>
      </c>
      <c r="CP693">
        <f t="shared" si="78"/>
        <v>-0.73000000000000043</v>
      </c>
      <c r="CQ693">
        <v>846.56</v>
      </c>
      <c r="CR693">
        <v>562.70000000000005</v>
      </c>
      <c r="CS693">
        <f t="shared" si="79"/>
        <v>283.8599999999999</v>
      </c>
      <c r="CT693" t="s">
        <v>150</v>
      </c>
      <c r="CU693">
        <v>107.72</v>
      </c>
      <c r="CV693">
        <v>446</v>
      </c>
      <c r="CW693" s="46">
        <v>3018</v>
      </c>
      <c r="CX693" s="46">
        <f t="shared" si="73"/>
        <v>99.69118621603711</v>
      </c>
      <c r="CY693" s="46">
        <v>9.32</v>
      </c>
      <c r="CZ693" s="46">
        <f t="shared" si="74"/>
        <v>100</v>
      </c>
      <c r="DA693" s="46">
        <f t="shared" si="75"/>
        <v>478.43322146320833</v>
      </c>
      <c r="DB693" s="46">
        <v>1448370.46</v>
      </c>
      <c r="DC693" s="46">
        <f t="shared" si="76"/>
        <v>17.888799334064451</v>
      </c>
      <c r="DD693" s="46">
        <v>54155.12</v>
      </c>
      <c r="DE693" s="995">
        <v>3018</v>
      </c>
      <c r="DF693" s="995">
        <v>99.546000000000006</v>
      </c>
      <c r="DG693" s="995">
        <v>13.7</v>
      </c>
      <c r="DH693" s="995">
        <v>100</v>
      </c>
      <c r="DI693" s="995">
        <v>2072.5610000000001</v>
      </c>
      <c r="DJ693" s="995">
        <v>6283362</v>
      </c>
      <c r="DK693" s="995">
        <v>77.62</v>
      </c>
      <c r="DL693" s="995">
        <v>235319.1</v>
      </c>
      <c r="DM693" s="995">
        <v>3018</v>
      </c>
      <c r="DN693" s="995">
        <v>99.622</v>
      </c>
      <c r="DO693" s="995">
        <v>11.4</v>
      </c>
      <c r="DP693" s="995">
        <v>100</v>
      </c>
      <c r="DQ693" s="995">
        <v>2065.6019999999999</v>
      </c>
      <c r="DR693" s="995">
        <v>6257557</v>
      </c>
      <c r="DS693" s="995">
        <v>77.37</v>
      </c>
      <c r="DT693" s="995">
        <v>234385.7</v>
      </c>
    </row>
    <row r="694" spans="1:124">
      <c r="A694" s="42" t="s">
        <v>94</v>
      </c>
      <c r="B694" s="42" t="s">
        <v>502</v>
      </c>
      <c r="C694" s="42" t="s">
        <v>931</v>
      </c>
      <c r="D694" s="42">
        <v>916341</v>
      </c>
      <c r="E694" s="42" t="s">
        <v>933</v>
      </c>
      <c r="F694" s="42" t="s">
        <v>149</v>
      </c>
      <c r="G694" s="42" t="s">
        <v>150</v>
      </c>
      <c r="H694" s="43" t="s">
        <v>150</v>
      </c>
      <c r="I694" s="44">
        <v>50</v>
      </c>
      <c r="J694" s="45">
        <v>294849.5368</v>
      </c>
      <c r="K694" s="46">
        <v>21102.591247</v>
      </c>
      <c r="L694" s="47">
        <v>315952.12804699998</v>
      </c>
      <c r="M694" s="48">
        <v>7756501</v>
      </c>
      <c r="N694" s="49">
        <v>4373332</v>
      </c>
      <c r="O694" s="49">
        <v>3383169</v>
      </c>
      <c r="P694" s="49">
        <v>0</v>
      </c>
      <c r="Q694" s="50">
        <v>17790.139403669698</v>
      </c>
      <c r="R694" s="51">
        <v>21461.110189513802</v>
      </c>
      <c r="S694" s="49">
        <v>32979.936003783201</v>
      </c>
      <c r="T694" s="49">
        <v>6632.4105285496998</v>
      </c>
      <c r="U694" s="49">
        <f>IFERROR(INDEX('Rentabilidad datos'!$N$2:$N$61,MATCH($C694,'Rentabilidad datos'!$C$2:$C$61,0)),"")</f>
        <v>61073.456721846684</v>
      </c>
      <c r="V694" s="50">
        <f>IFERROR(INDEX('Rentabilidad datos'!$O$2:$O$61,MATCH($C694,'Rentabilidad datos'!$C$2:$C$61,0)),"")</f>
        <v>1299.4352494009934</v>
      </c>
      <c r="W694" s="51">
        <f>IFERROR(INDEX('Rentabilidad datos'!$M$2:$M$61,MATCH($C694,'Rentabilidad datos'!$C$2:$C$61,0)),"")</f>
        <v>3641.9429094456564</v>
      </c>
      <c r="X694" s="52">
        <f>IFERROR(INDEX('Rentabilidad datos'!$P$2:$P$61,MATCH($C694,'Rentabilidad datos'!$C$2:$C$61,0)),"")</f>
        <v>0.35679725951519148</v>
      </c>
      <c r="Y694" s="43" t="s">
        <v>171</v>
      </c>
      <c r="Z694" s="53">
        <v>78.905963302752298</v>
      </c>
      <c r="AA694" s="43">
        <v>2</v>
      </c>
      <c r="AB694" s="54">
        <v>0.94601186798016268</v>
      </c>
      <c r="AC694" s="55">
        <v>5.3988132019837293E-2</v>
      </c>
      <c r="AD694" s="752" t="e">
        <f>_xlfn.XLOOKUP(Table1[[#This Row],[Ruta]],#REF!,#REF!)</f>
        <v>#REF!</v>
      </c>
      <c r="AE694" s="752" t="e">
        <f>_xlfn.XLOOKUP(Table1[[#This Row],[Ruta]],#REF!,#REF!)</f>
        <v>#REF!</v>
      </c>
      <c r="AF694" s="752" t="e">
        <f>_xlfn.XLOOKUP(Table1[[#This Row],[Ruta]],#REF!,#REF!)</f>
        <v>#REF!</v>
      </c>
      <c r="AG694" s="752" t="e">
        <f>_xlfn.XLOOKUP(Table1[[#This Row],[Ruta]],#REF!,#REF!)</f>
        <v>#REF!</v>
      </c>
      <c r="AH694" s="52">
        <v>0.56382794252202117</v>
      </c>
      <c r="AI694" s="52">
        <v>0.43617205747797877</v>
      </c>
      <c r="AJ694" s="55">
        <v>0</v>
      </c>
      <c r="AK694" s="56">
        <v>34403</v>
      </c>
      <c r="AL694" s="44">
        <v>21965</v>
      </c>
      <c r="AM694" s="54">
        <v>0.63846176205563498</v>
      </c>
      <c r="AN694" s="55">
        <v>0.62538735712289495</v>
      </c>
      <c r="AO694" s="56">
        <v>0</v>
      </c>
      <c r="AP694" s="48">
        <v>0</v>
      </c>
      <c r="AQ694" s="55">
        <v>0.63846176205563465</v>
      </c>
      <c r="AR694" s="51">
        <v>7756500.7800000003</v>
      </c>
      <c r="AS694" s="49">
        <v>0</v>
      </c>
      <c r="AT694" s="55">
        <v>0</v>
      </c>
      <c r="AU694" s="51">
        <v>0</v>
      </c>
      <c r="AV694" s="52">
        <v>0</v>
      </c>
      <c r="AW694" s="44">
        <v>490</v>
      </c>
      <c r="AX694" s="51">
        <v>353.13001502390199</v>
      </c>
      <c r="AY694" s="49">
        <v>327.331066067118</v>
      </c>
      <c r="AZ694" s="49">
        <v>0</v>
      </c>
      <c r="BA694" s="42" t="s">
        <v>152</v>
      </c>
      <c r="BB694" s="50">
        <v>0</v>
      </c>
      <c r="BC694" s="57">
        <v>0</v>
      </c>
      <c r="BD694" s="42" t="s">
        <v>150</v>
      </c>
      <c r="BE694" s="46">
        <v>78.905963302752298</v>
      </c>
      <c r="BF694" s="46">
        <v>77.052752293577996</v>
      </c>
      <c r="BG694" s="42" t="s">
        <v>150</v>
      </c>
      <c r="BH694" s="52">
        <v>0.63846176205563498</v>
      </c>
      <c r="BI694" s="52">
        <v>0.58451671985922604</v>
      </c>
      <c r="BJ694" s="42" t="s">
        <v>150</v>
      </c>
      <c r="BK694" s="46">
        <v>724.66084414449404</v>
      </c>
      <c r="BL694" s="46">
        <v>592.94411248383199</v>
      </c>
      <c r="BM694" s="42" t="s">
        <v>150</v>
      </c>
      <c r="BN694" s="48">
        <v>3</v>
      </c>
      <c r="BO694" s="42" t="s">
        <v>153</v>
      </c>
      <c r="BP694" s="42" t="s">
        <v>150</v>
      </c>
      <c r="BQ694" s="46">
        <v>1780.5318038586499</v>
      </c>
      <c r="BR694" s="46">
        <v>279</v>
      </c>
      <c r="BS694" s="46">
        <v>15433</v>
      </c>
      <c r="BT694" s="46">
        <v>4789</v>
      </c>
      <c r="BU694" s="46">
        <v>3.2225934433075798</v>
      </c>
      <c r="BV694" s="46">
        <v>17.164874551971327</v>
      </c>
      <c r="BW694" s="46">
        <v>4789</v>
      </c>
      <c r="BX694" s="46">
        <v>0</v>
      </c>
      <c r="BY694" s="46">
        <v>4789</v>
      </c>
      <c r="BZ694" s="46">
        <v>1</v>
      </c>
      <c r="CA694" s="46">
        <v>1</v>
      </c>
      <c r="CB694" s="46">
        <v>0</v>
      </c>
      <c r="CC694" s="46">
        <v>0</v>
      </c>
      <c r="CD694" s="46">
        <v>0</v>
      </c>
      <c r="CE694" s="46">
        <v>0</v>
      </c>
      <c r="CF694" s="46">
        <v>0</v>
      </c>
      <c r="CG694" s="46">
        <v>0</v>
      </c>
      <c r="CH694" s="46">
        <v>0</v>
      </c>
      <c r="CI694" s="46">
        <v>0.64796215900991383</v>
      </c>
      <c r="CJ694" s="46">
        <v>0.97194323851487063</v>
      </c>
      <c r="CK694">
        <v>515</v>
      </c>
      <c r="CL694">
        <v>706.44</v>
      </c>
      <c r="CM694">
        <f t="shared" si="77"/>
        <v>191.44000000000005</v>
      </c>
      <c r="CN694">
        <v>14.37</v>
      </c>
      <c r="CO694">
        <v>9.4499999999999993</v>
      </c>
      <c r="CP694">
        <f t="shared" si="78"/>
        <v>-4.92</v>
      </c>
      <c r="CQ694">
        <v>846.56</v>
      </c>
      <c r="CR694">
        <v>724.66</v>
      </c>
      <c r="CS694">
        <f t="shared" si="79"/>
        <v>121.89999999999998</v>
      </c>
      <c r="CT694" t="s">
        <v>150</v>
      </c>
      <c r="CU694">
        <v>155.66999999999999</v>
      </c>
      <c r="CV694">
        <v>498</v>
      </c>
      <c r="CW694" s="46">
        <v>4789</v>
      </c>
      <c r="CX694" s="46">
        <f t="shared" si="73"/>
        <v>96.002505742326179</v>
      </c>
      <c r="CY694" s="46">
        <v>191.44</v>
      </c>
      <c r="CZ694" s="46">
        <f t="shared" si="74"/>
        <v>100</v>
      </c>
      <c r="DA694" s="46">
        <f t="shared" si="75"/>
        <v>526.01026013765852</v>
      </c>
      <c r="DB694" s="46">
        <v>2619762.54</v>
      </c>
      <c r="DC694" s="46">
        <f t="shared" si="76"/>
        <v>20.592479780902895</v>
      </c>
      <c r="DD694" s="46">
        <v>102559.61</v>
      </c>
      <c r="DE694" s="995">
        <v>4789</v>
      </c>
      <c r="DF694" s="995">
        <v>96.003</v>
      </c>
      <c r="DG694" s="995">
        <v>191.4</v>
      </c>
      <c r="DH694" s="995">
        <v>100</v>
      </c>
      <c r="DI694" s="995">
        <v>1781.09</v>
      </c>
      <c r="DJ694" s="995">
        <v>8870607</v>
      </c>
      <c r="DK694" s="995">
        <v>70.721000000000004</v>
      </c>
      <c r="DL694" s="995">
        <v>352223</v>
      </c>
      <c r="DM694" s="995">
        <v>4789</v>
      </c>
      <c r="DN694" s="995">
        <v>96.003</v>
      </c>
      <c r="DO694" s="995">
        <v>191.4</v>
      </c>
      <c r="DP694" s="995">
        <v>100</v>
      </c>
      <c r="DQ694" s="995">
        <v>1781.09</v>
      </c>
      <c r="DR694" s="995">
        <v>8870607</v>
      </c>
      <c r="DS694" s="995">
        <v>70.721000000000004</v>
      </c>
      <c r="DT694" s="995">
        <v>352223</v>
      </c>
    </row>
    <row r="695" spans="1:124">
      <c r="A695" s="42" t="s">
        <v>94</v>
      </c>
      <c r="B695" s="42" t="s">
        <v>502</v>
      </c>
      <c r="C695" s="42" t="s">
        <v>931</v>
      </c>
      <c r="D695" s="42">
        <v>916342</v>
      </c>
      <c r="E695" s="42" t="s">
        <v>934</v>
      </c>
      <c r="F695" s="42" t="s">
        <v>149</v>
      </c>
      <c r="G695" s="42" t="s">
        <v>150</v>
      </c>
      <c r="H695" s="43" t="s">
        <v>150</v>
      </c>
      <c r="I695" s="44">
        <v>50</v>
      </c>
      <c r="J695" s="45">
        <v>169501.41039999999</v>
      </c>
      <c r="K695" s="46">
        <v>13779.337497</v>
      </c>
      <c r="L695" s="47">
        <v>183280.74789699999</v>
      </c>
      <c r="M695" s="48">
        <v>4445549</v>
      </c>
      <c r="N695" s="49">
        <v>2528512</v>
      </c>
      <c r="O695" s="49">
        <v>1917037</v>
      </c>
      <c r="P695" s="49">
        <v>0</v>
      </c>
      <c r="Q695" s="50">
        <v>10196.213325688101</v>
      </c>
      <c r="R695" s="51">
        <v>21461.110189513802</v>
      </c>
      <c r="S695" s="49">
        <v>32979.936003783201</v>
      </c>
      <c r="T695" s="49">
        <v>6632.4105285496998</v>
      </c>
      <c r="U695" s="49">
        <f>IFERROR(INDEX('Rentabilidad datos'!$N$2:$N$61,MATCH($C695,'Rentabilidad datos'!$C$2:$C$61,0)),"")</f>
        <v>61073.456721846684</v>
      </c>
      <c r="V695" s="50">
        <f>IFERROR(INDEX('Rentabilidad datos'!$O$2:$O$61,MATCH($C695,'Rentabilidad datos'!$C$2:$C$61,0)),"")</f>
        <v>1299.4352494009934</v>
      </c>
      <c r="W695" s="51">
        <f>IFERROR(INDEX('Rentabilidad datos'!$M$2:$M$61,MATCH($C695,'Rentabilidad datos'!$C$2:$C$61,0)),"")</f>
        <v>3641.9429094456564</v>
      </c>
      <c r="X695" s="52">
        <f>IFERROR(INDEX('Rentabilidad datos'!$P$2:$P$61,MATCH($C695,'Rentabilidad datos'!$C$2:$C$61,0)),"")</f>
        <v>0.35679725951519148</v>
      </c>
      <c r="Y695" s="43" t="s">
        <v>171</v>
      </c>
      <c r="Z695" s="53">
        <v>85.935779816513801</v>
      </c>
      <c r="AA695" s="43">
        <v>2</v>
      </c>
      <c r="AB695" s="54">
        <v>0.9302236911571552</v>
      </c>
      <c r="AC695" s="55">
        <v>6.9776308842844831E-2</v>
      </c>
      <c r="AD695" s="752" t="e">
        <f>_xlfn.XLOOKUP(Table1[[#This Row],[Ruta]],#REF!,#REF!)</f>
        <v>#REF!</v>
      </c>
      <c r="AE695" s="752" t="e">
        <f>_xlfn.XLOOKUP(Table1[[#This Row],[Ruta]],#REF!,#REF!)</f>
        <v>#REF!</v>
      </c>
      <c r="AF695" s="752" t="e">
        <f>_xlfn.XLOOKUP(Table1[[#This Row],[Ruta]],#REF!,#REF!)</f>
        <v>#REF!</v>
      </c>
      <c r="AG695" s="752" t="e">
        <f>_xlfn.XLOOKUP(Table1[[#This Row],[Ruta]],#REF!,#REF!)</f>
        <v>#REF!</v>
      </c>
      <c r="AH695" s="52">
        <v>0.56877384548005205</v>
      </c>
      <c r="AI695" s="52">
        <v>0.43122615451994795</v>
      </c>
      <c r="AJ695" s="55">
        <v>0</v>
      </c>
      <c r="AK695" s="56">
        <v>37468</v>
      </c>
      <c r="AL695" s="44">
        <v>14357</v>
      </c>
      <c r="AM695" s="54">
        <v>0.38318031386783402</v>
      </c>
      <c r="AN695" s="55">
        <v>0.62538735712289495</v>
      </c>
      <c r="AO695" s="56">
        <v>9075.0134966806199</v>
      </c>
      <c r="AP695" s="48">
        <v>4537.50674834031</v>
      </c>
      <c r="AQ695" s="55">
        <v>0.50428383549536437</v>
      </c>
      <c r="AR695" s="51">
        <v>4445549.01</v>
      </c>
      <c r="AS695" s="49">
        <v>1405008.611336115</v>
      </c>
      <c r="AT695" s="55">
        <v>0.31604839091316533</v>
      </c>
      <c r="AU695" s="51">
        <v>987303.34850645962</v>
      </c>
      <c r="AV695" s="52">
        <v>4.4913363634560338E-3</v>
      </c>
      <c r="AW695" s="44">
        <v>46</v>
      </c>
      <c r="AX695" s="51">
        <v>309.64331058020502</v>
      </c>
      <c r="AY695" s="49">
        <v>327.331066067118</v>
      </c>
      <c r="AZ695" s="49">
        <v>17.687755486912977</v>
      </c>
      <c r="BA695" s="42" t="s">
        <v>150</v>
      </c>
      <c r="BB695" s="50">
        <v>89223.253292781781</v>
      </c>
      <c r="BC695" s="57">
        <v>1076526.6017992415</v>
      </c>
      <c r="BD695" s="42" t="s">
        <v>150</v>
      </c>
      <c r="BE695" s="46">
        <v>85.935779816513801</v>
      </c>
      <c r="BF695" s="46">
        <v>77.052752293577996</v>
      </c>
      <c r="BG695" s="42" t="s">
        <v>150</v>
      </c>
      <c r="BH695" s="52">
        <v>0.38318031386783402</v>
      </c>
      <c r="BI695" s="52">
        <v>0.58451671985922604</v>
      </c>
      <c r="BJ695" s="42" t="s">
        <v>152</v>
      </c>
      <c r="BK695" s="46">
        <v>420.36868783715602</v>
      </c>
      <c r="BL695" s="46">
        <v>592.94411248383199</v>
      </c>
      <c r="BM695" s="42" t="s">
        <v>152</v>
      </c>
      <c r="BN695" s="48">
        <v>1</v>
      </c>
      <c r="BO695" s="42" t="s">
        <v>155</v>
      </c>
      <c r="BP695" s="42" t="s">
        <v>152</v>
      </c>
      <c r="BQ695" s="46">
        <v>3767.2906918828799</v>
      </c>
      <c r="BR695" s="46">
        <v>119</v>
      </c>
      <c r="BS695" s="46">
        <v>6238</v>
      </c>
      <c r="BT695" s="46">
        <v>2234</v>
      </c>
      <c r="BU695" s="46">
        <v>2.7923008057296328</v>
      </c>
      <c r="BV695" s="46">
        <v>18.77310924369748</v>
      </c>
      <c r="BW695" s="46">
        <v>773</v>
      </c>
      <c r="BX695" s="46">
        <v>1461</v>
      </c>
      <c r="BY695" s="46">
        <v>2234</v>
      </c>
      <c r="BZ695" s="46">
        <v>1</v>
      </c>
      <c r="CA695" s="46">
        <v>0.34601611459265891</v>
      </c>
      <c r="CB695" s="46">
        <v>0.65398388540734109</v>
      </c>
      <c r="CC695" s="46">
        <v>0</v>
      </c>
      <c r="CD695" s="46">
        <v>0</v>
      </c>
      <c r="CE695" s="46">
        <v>0</v>
      </c>
      <c r="CF695" s="46">
        <v>0</v>
      </c>
      <c r="CG695" s="46">
        <v>0</v>
      </c>
      <c r="CH695" s="46">
        <v>0</v>
      </c>
      <c r="CI695" s="46">
        <v>2.084001282462328</v>
      </c>
      <c r="CJ695" s="46">
        <v>1.9236934915036872</v>
      </c>
      <c r="CK695">
        <v>327</v>
      </c>
      <c r="CL695">
        <v>428.62</v>
      </c>
      <c r="CM695">
        <f t="shared" si="77"/>
        <v>101.62</v>
      </c>
      <c r="CN695">
        <v>11.36</v>
      </c>
      <c r="CO695">
        <v>9.4499999999999993</v>
      </c>
      <c r="CP695">
        <f t="shared" si="78"/>
        <v>-1.9100000000000001</v>
      </c>
      <c r="CQ695">
        <v>846.56</v>
      </c>
      <c r="CR695">
        <v>420.37</v>
      </c>
      <c r="CS695">
        <f t="shared" si="79"/>
        <v>426.18999999999994</v>
      </c>
      <c r="CT695" t="s">
        <v>150</v>
      </c>
      <c r="CU695">
        <v>121.69</v>
      </c>
      <c r="CV695">
        <v>324</v>
      </c>
      <c r="CW695" s="46">
        <v>2234</v>
      </c>
      <c r="CX695" s="46">
        <f t="shared" si="73"/>
        <v>95.451208594449426</v>
      </c>
      <c r="CY695" s="46">
        <v>101.62</v>
      </c>
      <c r="CZ695" s="46">
        <f t="shared" si="74"/>
        <v>100</v>
      </c>
      <c r="DA695" s="46">
        <f t="shared" si="75"/>
        <v>950.7010386963633</v>
      </c>
      <c r="DB695" s="46">
        <v>2220476.36</v>
      </c>
      <c r="DC695" s="46">
        <f t="shared" si="76"/>
        <v>42.299642065061953</v>
      </c>
      <c r="DD695" s="46">
        <v>98795.89</v>
      </c>
      <c r="DE695" s="995">
        <v>2234</v>
      </c>
      <c r="DF695" s="995">
        <v>96.403000000000006</v>
      </c>
      <c r="DG695" s="995">
        <v>80.400000000000006</v>
      </c>
      <c r="DH695" s="995">
        <v>100</v>
      </c>
      <c r="DI695" s="995">
        <v>1986.0070000000001</v>
      </c>
      <c r="DJ695" s="995">
        <v>4596328</v>
      </c>
      <c r="DK695" s="995">
        <v>86.332999999999998</v>
      </c>
      <c r="DL695" s="995">
        <v>199806.2</v>
      </c>
      <c r="DM695" s="995">
        <v>2234</v>
      </c>
      <c r="DN695" s="995">
        <v>96.915000000000006</v>
      </c>
      <c r="DO695" s="995">
        <v>68.900000000000006</v>
      </c>
      <c r="DP695" s="995">
        <v>100</v>
      </c>
      <c r="DQ695" s="995">
        <v>1952.01</v>
      </c>
      <c r="DR695" s="995">
        <v>4495309</v>
      </c>
      <c r="DS695" s="995">
        <v>84.725999999999999</v>
      </c>
      <c r="DT695" s="995">
        <v>195116.1</v>
      </c>
    </row>
    <row r="696" spans="1:124">
      <c r="A696" s="42" t="s">
        <v>94</v>
      </c>
      <c r="B696" s="42" t="s">
        <v>502</v>
      </c>
      <c r="C696" s="42" t="s">
        <v>931</v>
      </c>
      <c r="D696" s="42">
        <v>916343</v>
      </c>
      <c r="E696" s="42" t="s">
        <v>935</v>
      </c>
      <c r="F696" s="42" t="s">
        <v>149</v>
      </c>
      <c r="G696" s="42" t="s">
        <v>150</v>
      </c>
      <c r="H696" s="43" t="s">
        <v>150</v>
      </c>
      <c r="I696" s="44">
        <v>50</v>
      </c>
      <c r="J696" s="45">
        <v>332842.14319999999</v>
      </c>
      <c r="K696" s="46">
        <v>23060.846170000001</v>
      </c>
      <c r="L696" s="47">
        <v>355902.98937000002</v>
      </c>
      <c r="M696" s="48">
        <v>8955959</v>
      </c>
      <c r="N696" s="49">
        <v>4972809</v>
      </c>
      <c r="O696" s="49">
        <v>3983150</v>
      </c>
      <c r="P696" s="49">
        <v>0</v>
      </c>
      <c r="Q696" s="50">
        <v>20494.186201372999</v>
      </c>
      <c r="R696" s="51">
        <v>21461.110189513802</v>
      </c>
      <c r="S696" s="49">
        <v>32979.936003783201</v>
      </c>
      <c r="T696" s="49">
        <v>6632.4105285496998</v>
      </c>
      <c r="U696" s="49">
        <f>IFERROR(INDEX('Rentabilidad datos'!$N$2:$N$61,MATCH($C696,'Rentabilidad datos'!$C$2:$C$61,0)),"")</f>
        <v>61073.456721846684</v>
      </c>
      <c r="V696" s="50">
        <f>IFERROR(INDEX('Rentabilidad datos'!$O$2:$O$61,MATCH($C696,'Rentabilidad datos'!$C$2:$C$61,0)),"")</f>
        <v>1299.4352494009934</v>
      </c>
      <c r="W696" s="51">
        <f>IFERROR(INDEX('Rentabilidad datos'!$M$2:$M$61,MATCH($C696,'Rentabilidad datos'!$C$2:$C$61,0)),"")</f>
        <v>3641.9429094456564</v>
      </c>
      <c r="X696" s="52">
        <f>IFERROR(INDEX('Rentabilidad datos'!$P$2:$P$61,MATCH($C696,'Rentabilidad datos'!$C$2:$C$61,0)),"")</f>
        <v>0.35679725951519148</v>
      </c>
      <c r="Y696" s="43" t="s">
        <v>171</v>
      </c>
      <c r="Z696" s="53">
        <v>71.247139588100694</v>
      </c>
      <c r="AA696" s="43">
        <v>2</v>
      </c>
      <c r="AB696" s="54">
        <v>0.97559088870326449</v>
      </c>
      <c r="AC696" s="55">
        <v>2.4409111296735501E-2</v>
      </c>
      <c r="AD696" s="752" t="e">
        <f>_xlfn.XLOOKUP(Table1[[#This Row],[Ruta]],#REF!,#REF!)</f>
        <v>#REF!</v>
      </c>
      <c r="AE696" s="752" t="e">
        <f>_xlfn.XLOOKUP(Table1[[#This Row],[Ruta]],#REF!,#REF!)</f>
        <v>#REF!</v>
      </c>
      <c r="AF696" s="752" t="e">
        <f>_xlfn.XLOOKUP(Table1[[#This Row],[Ruta]],#REF!,#REF!)</f>
        <v>#REF!</v>
      </c>
      <c r="AG696" s="752" t="e">
        <f>_xlfn.XLOOKUP(Table1[[#This Row],[Ruta]],#REF!,#REF!)</f>
        <v>#REF!</v>
      </c>
      <c r="AH696" s="52">
        <v>0.55525142533591321</v>
      </c>
      <c r="AI696" s="52">
        <v>0.44474857466408679</v>
      </c>
      <c r="AJ696" s="55">
        <v>0</v>
      </c>
      <c r="AK696" s="56">
        <v>31135</v>
      </c>
      <c r="AL696" s="44">
        <v>20637</v>
      </c>
      <c r="AM696" s="54">
        <v>0.66282318933675899</v>
      </c>
      <c r="AN696" s="55">
        <v>0.62538735712289495</v>
      </c>
      <c r="AO696" s="56">
        <v>0</v>
      </c>
      <c r="AP696" s="48">
        <v>0</v>
      </c>
      <c r="AQ696" s="55">
        <v>0.66282318933675932</v>
      </c>
      <c r="AR696" s="51">
        <v>8955959.3699999992</v>
      </c>
      <c r="AS696" s="49">
        <v>0</v>
      </c>
      <c r="AT696" s="55">
        <v>0</v>
      </c>
      <c r="AU696" s="51">
        <v>0</v>
      </c>
      <c r="AV696" s="52">
        <v>0</v>
      </c>
      <c r="AW696" s="44">
        <v>490</v>
      </c>
      <c r="AX696" s="51">
        <v>433.975838057857</v>
      </c>
      <c r="AY696" s="49">
        <v>327.331066067118</v>
      </c>
      <c r="AZ696" s="49">
        <v>0</v>
      </c>
      <c r="BA696" s="42" t="s">
        <v>152</v>
      </c>
      <c r="BB696" s="50">
        <v>0</v>
      </c>
      <c r="BC696" s="57">
        <v>0</v>
      </c>
      <c r="BD696" s="42" t="s">
        <v>150</v>
      </c>
      <c r="BE696" s="46">
        <v>71.247139588100694</v>
      </c>
      <c r="BF696" s="46">
        <v>77.052752293577996</v>
      </c>
      <c r="BG696" s="42" t="s">
        <v>152</v>
      </c>
      <c r="BH696" s="52">
        <v>0.66282318933675899</v>
      </c>
      <c r="BI696" s="52">
        <v>0.58451671985922604</v>
      </c>
      <c r="BJ696" s="42" t="s">
        <v>150</v>
      </c>
      <c r="BK696" s="46">
        <v>814.42331663615505</v>
      </c>
      <c r="BL696" s="46">
        <v>592.94411248383199</v>
      </c>
      <c r="BM696" s="42" t="s">
        <v>150</v>
      </c>
      <c r="BN696" s="48">
        <v>2</v>
      </c>
      <c r="BO696" s="42" t="s">
        <v>161</v>
      </c>
      <c r="BP696" s="42" t="s">
        <v>152</v>
      </c>
      <c r="BQ696" s="46">
        <v>2523.3669048019101</v>
      </c>
      <c r="BR696" s="46">
        <v>325</v>
      </c>
      <c r="BS696" s="46">
        <v>8951</v>
      </c>
      <c r="BT696" s="46">
        <v>2489</v>
      </c>
      <c r="BU696" s="46">
        <v>3.5962233828846926</v>
      </c>
      <c r="BV696" s="46">
        <v>7.6584615384615384</v>
      </c>
      <c r="BW696" s="46">
        <v>2489</v>
      </c>
      <c r="BX696" s="46">
        <v>0</v>
      </c>
      <c r="BY696" s="46">
        <v>2489</v>
      </c>
      <c r="BZ696" s="46">
        <v>1</v>
      </c>
      <c r="CA696" s="46">
        <v>1</v>
      </c>
      <c r="CB696" s="46">
        <v>0</v>
      </c>
      <c r="CC696" s="46">
        <v>0</v>
      </c>
      <c r="CD696" s="46">
        <v>0</v>
      </c>
      <c r="CE696" s="46">
        <v>0</v>
      </c>
      <c r="CF696" s="46">
        <v>0</v>
      </c>
      <c r="CG696" s="46">
        <v>0</v>
      </c>
      <c r="CH696" s="46">
        <v>0</v>
      </c>
      <c r="CI696" s="46">
        <v>0.1117193609652553</v>
      </c>
      <c r="CJ696" s="46">
        <v>0.44687744386102107</v>
      </c>
      <c r="CK696">
        <v>414</v>
      </c>
      <c r="CL696">
        <v>416.53</v>
      </c>
      <c r="CM696">
        <f t="shared" si="77"/>
        <v>2.5299999999999727</v>
      </c>
      <c r="CN696">
        <v>10.210000000000001</v>
      </c>
      <c r="CO696">
        <v>9.4499999999999993</v>
      </c>
      <c r="CP696">
        <f t="shared" si="78"/>
        <v>-0.76000000000000156</v>
      </c>
      <c r="CQ696">
        <v>846.56</v>
      </c>
      <c r="CR696">
        <v>814.42</v>
      </c>
      <c r="CS696">
        <f t="shared" si="79"/>
        <v>32.139999999999986</v>
      </c>
      <c r="CT696" t="s">
        <v>150</v>
      </c>
      <c r="CU696">
        <v>112.96</v>
      </c>
      <c r="CV696">
        <v>410</v>
      </c>
      <c r="CW696" s="46">
        <v>2489</v>
      </c>
      <c r="CX696" s="46">
        <f t="shared" si="73"/>
        <v>99.898352752109275</v>
      </c>
      <c r="CY696" s="46">
        <v>2.5299999999999998</v>
      </c>
      <c r="CZ696" s="46">
        <f t="shared" si="74"/>
        <v>100</v>
      </c>
      <c r="DA696" s="46">
        <f t="shared" si="75"/>
        <v>9.620698927967954</v>
      </c>
      <c r="DB696" s="46">
        <v>23970.26</v>
      </c>
      <c r="DC696" s="46">
        <f t="shared" si="76"/>
        <v>0.41620209269003383</v>
      </c>
      <c r="DD696" s="46">
        <v>1036.98</v>
      </c>
      <c r="DE696" s="995">
        <v>2489</v>
      </c>
      <c r="DF696" s="995">
        <v>99.903999999999996</v>
      </c>
      <c r="DG696" s="995">
        <v>2.4</v>
      </c>
      <c r="DH696" s="995">
        <v>100</v>
      </c>
      <c r="DI696" s="995">
        <v>2522.7759999999998</v>
      </c>
      <c r="DJ696" s="995">
        <v>6285217</v>
      </c>
      <c r="DK696" s="995">
        <v>104.964</v>
      </c>
      <c r="DL696" s="995">
        <v>261507.3</v>
      </c>
      <c r="DM696" s="995">
        <v>2489</v>
      </c>
      <c r="DN696" s="995">
        <v>99.921000000000006</v>
      </c>
      <c r="DO696" s="995">
        <v>2</v>
      </c>
      <c r="DP696" s="995">
        <v>100</v>
      </c>
      <c r="DQ696" s="995">
        <v>2521.5990000000002</v>
      </c>
      <c r="DR696" s="995">
        <v>6281222</v>
      </c>
      <c r="DS696" s="995">
        <v>104.913</v>
      </c>
      <c r="DT696" s="995">
        <v>261334.5</v>
      </c>
    </row>
    <row r="697" spans="1:124">
      <c r="A697" s="42" t="s">
        <v>94</v>
      </c>
      <c r="B697" s="42" t="s">
        <v>502</v>
      </c>
      <c r="C697" s="42" t="s">
        <v>931</v>
      </c>
      <c r="D697" s="42">
        <v>916344</v>
      </c>
      <c r="E697" s="42" t="s">
        <v>936</v>
      </c>
      <c r="F697" s="42" t="s">
        <v>149</v>
      </c>
      <c r="G697" s="42" t="s">
        <v>150</v>
      </c>
      <c r="H697" s="43" t="s">
        <v>150</v>
      </c>
      <c r="I697" s="44">
        <v>50</v>
      </c>
      <c r="J697" s="45">
        <v>189600.2248</v>
      </c>
      <c r="K697" s="46">
        <v>13328.615252</v>
      </c>
      <c r="L697" s="47">
        <v>202928.84005200001</v>
      </c>
      <c r="M697" s="48">
        <v>4547642</v>
      </c>
      <c r="N697" s="49">
        <v>2746299</v>
      </c>
      <c r="O697" s="49">
        <v>1801343</v>
      </c>
      <c r="P697" s="49">
        <v>0</v>
      </c>
      <c r="Q697" s="50">
        <v>10478.440529953899</v>
      </c>
      <c r="R697" s="51">
        <v>21461.110189513802</v>
      </c>
      <c r="S697" s="49">
        <v>32979.936003783201</v>
      </c>
      <c r="T697" s="49">
        <v>6632.4105285496998</v>
      </c>
      <c r="U697" s="49">
        <f>IFERROR(INDEX('Rentabilidad datos'!$N$2:$N$61,MATCH($C697,'Rentabilidad datos'!$C$2:$C$61,0)),"")</f>
        <v>61073.456721846684</v>
      </c>
      <c r="V697" s="50">
        <f>IFERROR(INDEX('Rentabilidad datos'!$O$2:$O$61,MATCH($C697,'Rentabilidad datos'!$C$2:$C$61,0)),"")</f>
        <v>1299.4352494009934</v>
      </c>
      <c r="W697" s="51">
        <f>IFERROR(INDEX('Rentabilidad datos'!$M$2:$M$61,MATCH($C697,'Rentabilidad datos'!$C$2:$C$61,0)),"")</f>
        <v>3641.9429094456564</v>
      </c>
      <c r="X697" s="52">
        <f>IFERROR(INDEX('Rentabilidad datos'!$P$2:$P$61,MATCH($C697,'Rentabilidad datos'!$C$2:$C$61,0)),"")</f>
        <v>0.35679725951519148</v>
      </c>
      <c r="Y697" s="43" t="s">
        <v>171</v>
      </c>
      <c r="Z697" s="53">
        <v>50.414746543778797</v>
      </c>
      <c r="AA697" s="43">
        <v>2</v>
      </c>
      <c r="AB697" s="54">
        <v>0.91159418441469231</v>
      </c>
      <c r="AC697" s="55">
        <v>8.8405815585307732E-2</v>
      </c>
      <c r="AD697" s="752" t="e">
        <f>_xlfn.XLOOKUP(Table1[[#This Row],[Ruta]],#REF!,#REF!)</f>
        <v>#REF!</v>
      </c>
      <c r="AE697" s="752" t="e">
        <f>_xlfn.XLOOKUP(Table1[[#This Row],[Ruta]],#REF!,#REF!)</f>
        <v>#REF!</v>
      </c>
      <c r="AF697" s="752" t="e">
        <f>_xlfn.XLOOKUP(Table1[[#This Row],[Ruta]],#REF!,#REF!)</f>
        <v>#REF!</v>
      </c>
      <c r="AG697" s="752" t="e">
        <f>_xlfn.XLOOKUP(Table1[[#This Row],[Ruta]],#REF!,#REF!)</f>
        <v>#REF!</v>
      </c>
      <c r="AH697" s="52">
        <v>0.60389516149248335</v>
      </c>
      <c r="AI697" s="52">
        <v>0.39610483850751665</v>
      </c>
      <c r="AJ697" s="55">
        <v>0</v>
      </c>
      <c r="AK697" s="56">
        <v>21880</v>
      </c>
      <c r="AL697" s="44">
        <v>16159</v>
      </c>
      <c r="AM697" s="54">
        <v>0.73852833638025595</v>
      </c>
      <c r="AN697" s="55">
        <v>0.62538735712289495</v>
      </c>
      <c r="AO697" s="56">
        <v>0</v>
      </c>
      <c r="AP697" s="48">
        <v>0</v>
      </c>
      <c r="AQ697" s="55">
        <v>0.73852833638025595</v>
      </c>
      <c r="AR697" s="51">
        <v>4547643.1900000004</v>
      </c>
      <c r="AS697" s="49">
        <v>0</v>
      </c>
      <c r="AT697" s="55">
        <v>0</v>
      </c>
      <c r="AU697" s="51">
        <v>0</v>
      </c>
      <c r="AV697" s="52">
        <v>0</v>
      </c>
      <c r="AW697" s="44">
        <v>490</v>
      </c>
      <c r="AX697" s="51">
        <v>281.43097902097901</v>
      </c>
      <c r="AY697" s="49">
        <v>327.331066067118</v>
      </c>
      <c r="AZ697" s="49">
        <v>45.900087046138992</v>
      </c>
      <c r="BA697" s="42" t="s">
        <v>150</v>
      </c>
      <c r="BB697" s="50">
        <v>260597.12393300765</v>
      </c>
      <c r="BC697" s="57">
        <v>260597.12393300765</v>
      </c>
      <c r="BD697" s="42" t="s">
        <v>150</v>
      </c>
      <c r="BE697" s="46">
        <v>50.414746543778797</v>
      </c>
      <c r="BF697" s="46">
        <v>77.052752293577996</v>
      </c>
      <c r="BG697" s="42" t="s">
        <v>152</v>
      </c>
      <c r="BH697" s="52">
        <v>0.73852833638025595</v>
      </c>
      <c r="BI697" s="52">
        <v>0.58451671985922604</v>
      </c>
      <c r="BJ697" s="42" t="s">
        <v>150</v>
      </c>
      <c r="BK697" s="46">
        <v>467.57797247004601</v>
      </c>
      <c r="BL697" s="46">
        <v>592.94411248383199</v>
      </c>
      <c r="BM697" s="42" t="s">
        <v>152</v>
      </c>
      <c r="BN697" s="48">
        <v>1</v>
      </c>
      <c r="BO697" s="42" t="s">
        <v>155</v>
      </c>
      <c r="BP697" s="42" t="s">
        <v>152</v>
      </c>
      <c r="BQ697" s="46">
        <v>611.42514620992699</v>
      </c>
      <c r="BR697" s="46">
        <v>182</v>
      </c>
      <c r="BS697" s="46">
        <v>12183</v>
      </c>
      <c r="BT697" s="46">
        <v>3982</v>
      </c>
      <c r="BU697" s="46">
        <v>3.0595178302360622</v>
      </c>
      <c r="BV697" s="46">
        <v>21.87912087912088</v>
      </c>
      <c r="BW697" s="46">
        <v>2008</v>
      </c>
      <c r="BX697" s="46">
        <v>1974</v>
      </c>
      <c r="BY697" s="46">
        <v>3982</v>
      </c>
      <c r="BZ697" s="46">
        <v>1</v>
      </c>
      <c r="CA697" s="46">
        <v>0.50426921145153192</v>
      </c>
      <c r="CB697" s="46">
        <v>0.49573078854846808</v>
      </c>
      <c r="CC697" s="46">
        <v>0</v>
      </c>
      <c r="CD697" s="46">
        <v>0</v>
      </c>
      <c r="CE697" s="46">
        <v>0</v>
      </c>
      <c r="CF697" s="46">
        <v>0</v>
      </c>
      <c r="CG697" s="46">
        <v>0</v>
      </c>
      <c r="CH697" s="46">
        <v>0</v>
      </c>
      <c r="CI697" s="46">
        <v>2.4624476729869489</v>
      </c>
      <c r="CJ697" s="46">
        <v>0.41040794549782478</v>
      </c>
      <c r="CK697">
        <v>368</v>
      </c>
      <c r="CL697">
        <v>554.19000000000005</v>
      </c>
      <c r="CM697">
        <f t="shared" si="77"/>
        <v>186.19000000000005</v>
      </c>
      <c r="CN697">
        <v>9.4600000000000009</v>
      </c>
      <c r="CO697">
        <v>9.4499999999999993</v>
      </c>
      <c r="CP697">
        <f t="shared" si="78"/>
        <v>-1.0000000000001563E-2</v>
      </c>
      <c r="CQ697">
        <v>846.56</v>
      </c>
      <c r="CR697">
        <v>467.58</v>
      </c>
      <c r="CS697">
        <f t="shared" si="79"/>
        <v>378.97999999999996</v>
      </c>
      <c r="CT697" t="s">
        <v>150</v>
      </c>
      <c r="CU697">
        <v>104.39</v>
      </c>
      <c r="CV697">
        <v>370</v>
      </c>
      <c r="CW697" s="46">
        <v>3982</v>
      </c>
      <c r="CX697" s="46">
        <f t="shared" si="73"/>
        <v>95.324208940231031</v>
      </c>
      <c r="CY697" s="46">
        <v>186.19</v>
      </c>
      <c r="CZ697" s="46">
        <f t="shared" si="74"/>
        <v>100</v>
      </c>
      <c r="DA697" s="46">
        <f t="shared" si="75"/>
        <v>718.44992910591895</v>
      </c>
      <c r="DB697" s="46">
        <v>2994635.81</v>
      </c>
      <c r="DC697" s="46">
        <f t="shared" si="76"/>
        <v>32.22108157257707</v>
      </c>
      <c r="DD697" s="46">
        <v>134303.59</v>
      </c>
      <c r="DE697" s="995">
        <v>3982</v>
      </c>
      <c r="DF697" s="995">
        <v>95.415000000000006</v>
      </c>
      <c r="DG697" s="995">
        <v>182.6</v>
      </c>
      <c r="DH697" s="995">
        <v>100</v>
      </c>
      <c r="DI697" s="995">
        <v>1422.971</v>
      </c>
      <c r="DJ697" s="995">
        <v>5926093</v>
      </c>
      <c r="DK697" s="995">
        <v>63.976999999999997</v>
      </c>
      <c r="DL697" s="995">
        <v>266439.2</v>
      </c>
      <c r="DM697" s="995">
        <v>3982</v>
      </c>
      <c r="DN697" s="995">
        <v>95.685000000000002</v>
      </c>
      <c r="DO697" s="995">
        <v>171.8</v>
      </c>
      <c r="DP697" s="995">
        <v>100</v>
      </c>
      <c r="DQ697" s="995">
        <v>1401.0909999999999</v>
      </c>
      <c r="DR697" s="995">
        <v>5819858</v>
      </c>
      <c r="DS697" s="995">
        <v>63.039000000000001</v>
      </c>
      <c r="DT697" s="995">
        <v>261852.2</v>
      </c>
    </row>
    <row r="698" spans="1:124">
      <c r="A698" s="42" t="s">
        <v>94</v>
      </c>
      <c r="B698" s="42" t="s">
        <v>502</v>
      </c>
      <c r="C698" s="42" t="s">
        <v>931</v>
      </c>
      <c r="D698" s="42">
        <v>916345</v>
      </c>
      <c r="E698" s="42" t="s">
        <v>937</v>
      </c>
      <c r="F698" s="42" t="s">
        <v>149</v>
      </c>
      <c r="G698" s="42" t="s">
        <v>150</v>
      </c>
      <c r="H698" s="43" t="s">
        <v>150</v>
      </c>
      <c r="I698" s="44">
        <v>50</v>
      </c>
      <c r="J698" s="45">
        <v>190065.18160000001</v>
      </c>
      <c r="K698" s="46">
        <v>14307.410399</v>
      </c>
      <c r="L698" s="47">
        <v>204372.591999</v>
      </c>
      <c r="M698" s="48">
        <v>4846470</v>
      </c>
      <c r="N698" s="49">
        <v>2795835</v>
      </c>
      <c r="O698" s="49">
        <v>2050635</v>
      </c>
      <c r="P698" s="49">
        <v>0</v>
      </c>
      <c r="Q698" s="50">
        <v>11115.7477752294</v>
      </c>
      <c r="R698" s="51">
        <v>21461.110189513802</v>
      </c>
      <c r="S698" s="49">
        <v>32979.936003783201</v>
      </c>
      <c r="T698" s="49">
        <v>6632.4105285496998</v>
      </c>
      <c r="U698" s="49">
        <f>IFERROR(INDEX('Rentabilidad datos'!$N$2:$N$61,MATCH($C698,'Rentabilidad datos'!$C$2:$C$61,0)),"")</f>
        <v>61073.456721846684</v>
      </c>
      <c r="V698" s="50">
        <f>IFERROR(INDEX('Rentabilidad datos'!$O$2:$O$61,MATCH($C698,'Rentabilidad datos'!$C$2:$C$61,0)),"")</f>
        <v>1299.4352494009934</v>
      </c>
      <c r="W698" s="51">
        <f>IFERROR(INDEX('Rentabilidad datos'!$M$2:$M$61,MATCH($C698,'Rentabilidad datos'!$C$2:$C$61,0)),"")</f>
        <v>3641.9429094456564</v>
      </c>
      <c r="X698" s="52">
        <f>IFERROR(INDEX('Rentabilidad datos'!$P$2:$P$61,MATCH($C698,'Rentabilidad datos'!$C$2:$C$61,0)),"")</f>
        <v>0.35679725951519148</v>
      </c>
      <c r="Y698" s="43" t="s">
        <v>171</v>
      </c>
      <c r="Z698" s="53">
        <v>61.2637614678899</v>
      </c>
      <c r="AA698" s="43">
        <v>2</v>
      </c>
      <c r="AB698" s="54">
        <v>0.92783964411210629</v>
      </c>
      <c r="AC698" s="55">
        <v>7.2160355887893657E-2</v>
      </c>
      <c r="AD698" s="752" t="e">
        <f>_xlfn.XLOOKUP(Table1[[#This Row],[Ruta]],#REF!,#REF!)</f>
        <v>#REF!</v>
      </c>
      <c r="AE698" s="752" t="e">
        <f>_xlfn.XLOOKUP(Table1[[#This Row],[Ruta]],#REF!,#REF!)</f>
        <v>#REF!</v>
      </c>
      <c r="AF698" s="752" t="e">
        <f>_xlfn.XLOOKUP(Table1[[#This Row],[Ruta]],#REF!,#REF!)</f>
        <v>#REF!</v>
      </c>
      <c r="AG698" s="752" t="e">
        <f>_xlfn.XLOOKUP(Table1[[#This Row],[Ruta]],#REF!,#REF!)</f>
        <v>#REF!</v>
      </c>
      <c r="AH698" s="52">
        <v>0.57688069873536818</v>
      </c>
      <c r="AI698" s="52">
        <v>0.42311930126463176</v>
      </c>
      <c r="AJ698" s="55">
        <v>0</v>
      </c>
      <c r="AK698" s="56">
        <v>26711</v>
      </c>
      <c r="AL698" s="44">
        <v>20408</v>
      </c>
      <c r="AM698" s="54">
        <v>0.76402980045674096</v>
      </c>
      <c r="AN698" s="55">
        <v>0.62538735712289495</v>
      </c>
      <c r="AO698" s="56">
        <v>0</v>
      </c>
      <c r="AP698" s="48">
        <v>0</v>
      </c>
      <c r="AQ698" s="55">
        <v>0.76402980045674063</v>
      </c>
      <c r="AR698" s="51">
        <v>4846466.03</v>
      </c>
      <c r="AS698" s="49">
        <v>0</v>
      </c>
      <c r="AT698" s="55">
        <v>0</v>
      </c>
      <c r="AU698" s="51">
        <v>0</v>
      </c>
      <c r="AV698" s="52">
        <v>0</v>
      </c>
      <c r="AW698" s="44">
        <v>490</v>
      </c>
      <c r="AX698" s="51">
        <v>237.478735299883</v>
      </c>
      <c r="AY698" s="49">
        <v>327.331066067118</v>
      </c>
      <c r="AZ698" s="49">
        <v>89.852330767235003</v>
      </c>
      <c r="BA698" s="42" t="s">
        <v>150</v>
      </c>
      <c r="BB698" s="50">
        <v>644275.20978028444</v>
      </c>
      <c r="BC698" s="57">
        <v>644275.20978028444</v>
      </c>
      <c r="BD698" s="42" t="s">
        <v>150</v>
      </c>
      <c r="BE698" s="46">
        <v>61.2637614678899</v>
      </c>
      <c r="BF698" s="46">
        <v>77.052752293577996</v>
      </c>
      <c r="BG698" s="42" t="s">
        <v>152</v>
      </c>
      <c r="BH698" s="52">
        <v>0.76402980045674096</v>
      </c>
      <c r="BI698" s="52">
        <v>0.58451671985922604</v>
      </c>
      <c r="BJ698" s="42" t="s">
        <v>150</v>
      </c>
      <c r="BK698" s="46">
        <v>468.74447706192598</v>
      </c>
      <c r="BL698" s="46">
        <v>592.94411248383199</v>
      </c>
      <c r="BM698" s="42" t="s">
        <v>152</v>
      </c>
      <c r="BN698" s="48">
        <v>1</v>
      </c>
      <c r="BO698" s="42" t="s">
        <v>155</v>
      </c>
      <c r="BP698" s="42" t="s">
        <v>152</v>
      </c>
      <c r="BQ698" s="46">
        <v>0</v>
      </c>
      <c r="BR698" s="46">
        <v>152</v>
      </c>
      <c r="BS698" s="46">
        <v>10678</v>
      </c>
      <c r="BT698" s="46">
        <v>3745</v>
      </c>
      <c r="BU698" s="46">
        <v>2.8512683578104139</v>
      </c>
      <c r="BV698" s="46">
        <v>24.638157894736842</v>
      </c>
      <c r="BW698" s="46">
        <v>1417</v>
      </c>
      <c r="BX698" s="46">
        <v>2328</v>
      </c>
      <c r="BY698" s="46">
        <v>3745</v>
      </c>
      <c r="BZ698" s="46">
        <v>1</v>
      </c>
      <c r="CA698" s="46">
        <v>0.37837116154873163</v>
      </c>
      <c r="CB698" s="46">
        <v>0.62162883845126837</v>
      </c>
      <c r="CC698" s="46">
        <v>0</v>
      </c>
      <c r="CD698" s="46">
        <v>0</v>
      </c>
      <c r="CE698" s="46">
        <v>0</v>
      </c>
      <c r="CF698" s="46">
        <v>0</v>
      </c>
      <c r="CG698" s="46">
        <v>0</v>
      </c>
      <c r="CH698" s="46">
        <v>0</v>
      </c>
      <c r="CI698" s="46">
        <v>1.8730099269526133</v>
      </c>
      <c r="CJ698" s="46">
        <v>0.74920397078104506</v>
      </c>
      <c r="CK698">
        <v>433</v>
      </c>
      <c r="CL698">
        <v>473.97</v>
      </c>
      <c r="CM698">
        <f t="shared" si="77"/>
        <v>40.970000000000027</v>
      </c>
      <c r="CN698">
        <v>10.54</v>
      </c>
      <c r="CO698">
        <v>9.4499999999999993</v>
      </c>
      <c r="CP698">
        <f t="shared" si="78"/>
        <v>-1.0899999999999999</v>
      </c>
      <c r="CQ698">
        <v>846.56</v>
      </c>
      <c r="CR698">
        <v>468.74</v>
      </c>
      <c r="CS698">
        <f t="shared" si="79"/>
        <v>377.81999999999994</v>
      </c>
      <c r="CT698" t="s">
        <v>150</v>
      </c>
      <c r="CU698">
        <v>111.5</v>
      </c>
      <c r="CV698">
        <v>439</v>
      </c>
      <c r="CW698" s="46">
        <v>3745</v>
      </c>
      <c r="CX698" s="46">
        <f t="shared" si="73"/>
        <v>98.906008010680907</v>
      </c>
      <c r="CY698" s="46">
        <v>40.97</v>
      </c>
      <c r="CZ698" s="46">
        <f t="shared" si="74"/>
        <v>100</v>
      </c>
      <c r="DA698" s="46">
        <f t="shared" si="75"/>
        <v>501.9690330351271</v>
      </c>
      <c r="DB698" s="46">
        <v>1900439.7</v>
      </c>
      <c r="DC698" s="46">
        <f t="shared" si="76"/>
        <v>20.803260459010506</v>
      </c>
      <c r="DD698" s="46">
        <v>78760.52</v>
      </c>
      <c r="DE698" s="995">
        <v>3745</v>
      </c>
      <c r="DF698" s="995">
        <v>98.882999999999996</v>
      </c>
      <c r="DG698" s="995">
        <v>41.8</v>
      </c>
      <c r="DH698" s="995">
        <v>100</v>
      </c>
      <c r="DI698" s="995">
        <v>1551.5640000000001</v>
      </c>
      <c r="DJ698" s="995">
        <v>5875490</v>
      </c>
      <c r="DK698" s="995">
        <v>64.290999999999997</v>
      </c>
      <c r="DL698" s="995">
        <v>243459.5</v>
      </c>
      <c r="DM698" s="995">
        <v>3745</v>
      </c>
      <c r="DN698" s="995">
        <v>98.971999999999994</v>
      </c>
      <c r="DO698" s="995">
        <v>38.5</v>
      </c>
      <c r="DP698" s="995">
        <v>100</v>
      </c>
      <c r="DQ698" s="995">
        <v>1543.9559999999999</v>
      </c>
      <c r="DR698" s="995">
        <v>5841562</v>
      </c>
      <c r="DS698" s="995">
        <v>63.975000000000001</v>
      </c>
      <c r="DT698" s="995">
        <v>242050.1</v>
      </c>
    </row>
    <row r="699" spans="1:124">
      <c r="A699" s="42" t="s">
        <v>94</v>
      </c>
      <c r="B699" s="42" t="s">
        <v>502</v>
      </c>
      <c r="C699" s="42" t="s">
        <v>931</v>
      </c>
      <c r="D699" s="42">
        <v>916346</v>
      </c>
      <c r="E699" s="42" t="s">
        <v>938</v>
      </c>
      <c r="F699" s="42" t="s">
        <v>149</v>
      </c>
      <c r="G699" s="42" t="s">
        <v>150</v>
      </c>
      <c r="H699" s="43" t="s">
        <v>150</v>
      </c>
      <c r="I699" s="44">
        <v>50</v>
      </c>
      <c r="J699" s="45">
        <v>181587.46927999999</v>
      </c>
      <c r="K699" s="46">
        <v>12892.159347999999</v>
      </c>
      <c r="L699" s="47">
        <v>194479.62862800001</v>
      </c>
      <c r="M699" s="48">
        <v>4315808</v>
      </c>
      <c r="N699" s="49">
        <v>2667855</v>
      </c>
      <c r="O699" s="49">
        <v>1647953</v>
      </c>
      <c r="P699" s="49">
        <v>0</v>
      </c>
      <c r="Q699" s="50">
        <v>9967.22297921479</v>
      </c>
      <c r="R699" s="51">
        <v>21461.110189513802</v>
      </c>
      <c r="S699" s="49">
        <v>32979.936003783201</v>
      </c>
      <c r="T699" s="49">
        <v>6632.4105285496998</v>
      </c>
      <c r="U699" s="49">
        <f>IFERROR(INDEX('Rentabilidad datos'!$N$2:$N$61,MATCH($C699,'Rentabilidad datos'!$C$2:$C$61,0)),"")</f>
        <v>61073.456721846684</v>
      </c>
      <c r="V699" s="50">
        <f>IFERROR(INDEX('Rentabilidad datos'!$O$2:$O$61,MATCH($C699,'Rentabilidad datos'!$C$2:$C$61,0)),"")</f>
        <v>1299.4352494009934</v>
      </c>
      <c r="W699" s="51">
        <f>IFERROR(INDEX('Rentabilidad datos'!$M$2:$M$61,MATCH($C699,'Rentabilidad datos'!$C$2:$C$61,0)),"")</f>
        <v>3641.9429094456564</v>
      </c>
      <c r="X699" s="52">
        <f>IFERROR(INDEX('Rentabilidad datos'!$P$2:$P$61,MATCH($C699,'Rentabilidad datos'!$C$2:$C$61,0)),"")</f>
        <v>0.35679725951519148</v>
      </c>
      <c r="Y699" s="43" t="s">
        <v>171</v>
      </c>
      <c r="Z699" s="53">
        <v>68.348729792147793</v>
      </c>
      <c r="AA699" s="43">
        <v>2</v>
      </c>
      <c r="AB699" s="54">
        <v>0.95698511147854581</v>
      </c>
      <c r="AC699" s="55">
        <v>4.3014888521454152E-2</v>
      </c>
      <c r="AD699" s="752" t="e">
        <f>_xlfn.XLOOKUP(Table1[[#This Row],[Ruta]],#REF!,#REF!)</f>
        <v>#REF!</v>
      </c>
      <c r="AE699" s="752" t="e">
        <f>_xlfn.XLOOKUP(Table1[[#This Row],[Ruta]],#REF!,#REF!)</f>
        <v>#REF!</v>
      </c>
      <c r="AF699" s="752" t="e">
        <f>_xlfn.XLOOKUP(Table1[[#This Row],[Ruta]],#REF!,#REF!)</f>
        <v>#REF!</v>
      </c>
      <c r="AG699" s="752" t="e">
        <f>_xlfn.XLOOKUP(Table1[[#This Row],[Ruta]],#REF!,#REF!)</f>
        <v>#REF!</v>
      </c>
      <c r="AH699" s="52">
        <v>0.61815887083021304</v>
      </c>
      <c r="AI699" s="52">
        <v>0.38184112916978696</v>
      </c>
      <c r="AJ699" s="55">
        <v>0</v>
      </c>
      <c r="AK699" s="56">
        <v>29595</v>
      </c>
      <c r="AL699" s="44">
        <v>20317</v>
      </c>
      <c r="AM699" s="54">
        <v>0.68650109815847304</v>
      </c>
      <c r="AN699" s="55">
        <v>0.62538735712289495</v>
      </c>
      <c r="AO699" s="56">
        <v>0</v>
      </c>
      <c r="AP699" s="48">
        <v>0</v>
      </c>
      <c r="AQ699" s="55">
        <v>0.68650109815847271</v>
      </c>
      <c r="AR699" s="51">
        <v>4315807.55</v>
      </c>
      <c r="AS699" s="49">
        <v>0</v>
      </c>
      <c r="AT699" s="55">
        <v>0</v>
      </c>
      <c r="AU699" s="51">
        <v>0</v>
      </c>
      <c r="AV699" s="52">
        <v>0</v>
      </c>
      <c r="AW699" s="44">
        <v>490</v>
      </c>
      <c r="AX699" s="51">
        <v>212.423465570704</v>
      </c>
      <c r="AY699" s="49">
        <v>327.331066067118</v>
      </c>
      <c r="AZ699" s="49">
        <v>114.90760049641401</v>
      </c>
      <c r="BA699" s="42" t="s">
        <v>150</v>
      </c>
      <c r="BB699" s="50">
        <v>820257.0365057668</v>
      </c>
      <c r="BC699" s="57">
        <v>820257.0365057668</v>
      </c>
      <c r="BD699" s="42" t="s">
        <v>150</v>
      </c>
      <c r="BE699" s="46">
        <v>68.348729792147793</v>
      </c>
      <c r="BF699" s="46">
        <v>77.052752293577996</v>
      </c>
      <c r="BG699" s="42" t="s">
        <v>152</v>
      </c>
      <c r="BH699" s="52">
        <v>0.68650109815847304</v>
      </c>
      <c r="BI699" s="52">
        <v>0.58451671985922604</v>
      </c>
      <c r="BJ699" s="42" t="s">
        <v>150</v>
      </c>
      <c r="BK699" s="46">
        <v>449.14463886374102</v>
      </c>
      <c r="BL699" s="46">
        <v>592.94411248383199</v>
      </c>
      <c r="BM699" s="42" t="s">
        <v>152</v>
      </c>
      <c r="BN699" s="48">
        <v>1</v>
      </c>
      <c r="BO699" s="42" t="s">
        <v>155</v>
      </c>
      <c r="BP699" s="42" t="s">
        <v>152</v>
      </c>
      <c r="BQ699" s="46">
        <v>0</v>
      </c>
      <c r="BR699" s="46">
        <v>154</v>
      </c>
      <c r="BS699" s="46">
        <v>11280</v>
      </c>
      <c r="BT699" s="46">
        <v>3692</v>
      </c>
      <c r="BU699" s="46">
        <v>3.0552546045503792</v>
      </c>
      <c r="BV699" s="46">
        <v>23.974025974025974</v>
      </c>
      <c r="BW699" s="46">
        <v>1893</v>
      </c>
      <c r="BX699" s="46">
        <v>1671</v>
      </c>
      <c r="BY699" s="46">
        <v>3564</v>
      </c>
      <c r="BZ699" s="46">
        <v>0.96533044420368364</v>
      </c>
      <c r="CA699" s="46">
        <v>0.51273022751895991</v>
      </c>
      <c r="CB699" s="46">
        <v>0.45260021668472372</v>
      </c>
      <c r="CC699" s="46">
        <v>3.4669555796316358E-2</v>
      </c>
      <c r="CD699" s="46">
        <v>0</v>
      </c>
      <c r="CE699" s="46">
        <v>0</v>
      </c>
      <c r="CF699" s="46">
        <v>0</v>
      </c>
      <c r="CG699" s="46">
        <v>0</v>
      </c>
      <c r="CH699" s="46">
        <v>0</v>
      </c>
      <c r="CI699" s="46">
        <v>3.3687943262411348</v>
      </c>
      <c r="CJ699" s="46">
        <v>0.26595744680851058</v>
      </c>
      <c r="CK699">
        <v>379</v>
      </c>
      <c r="CL699">
        <v>466.39</v>
      </c>
      <c r="CM699">
        <f t="shared" si="77"/>
        <v>87.389999999999986</v>
      </c>
      <c r="CN699">
        <v>11.37</v>
      </c>
      <c r="CO699">
        <v>9.4499999999999993</v>
      </c>
      <c r="CP699">
        <f t="shared" si="78"/>
        <v>-1.92</v>
      </c>
      <c r="CQ699">
        <v>846.56</v>
      </c>
      <c r="CR699">
        <v>449.14</v>
      </c>
      <c r="CS699">
        <f t="shared" si="79"/>
        <v>397.41999999999996</v>
      </c>
      <c r="CT699" t="s">
        <v>150</v>
      </c>
      <c r="CU699">
        <v>122.56</v>
      </c>
      <c r="CV699">
        <v>372</v>
      </c>
      <c r="CW699" s="46">
        <v>3564</v>
      </c>
      <c r="CX699" s="46">
        <f t="shared" si="73"/>
        <v>94.166034669555799</v>
      </c>
      <c r="CY699" s="46">
        <v>87.39</v>
      </c>
      <c r="CZ699" s="46">
        <f t="shared" si="74"/>
        <v>96.53304442036837</v>
      </c>
      <c r="DA699" s="46">
        <f t="shared" si="75"/>
        <v>509.38123612540653</v>
      </c>
      <c r="DB699" s="46">
        <v>1925150.35</v>
      </c>
      <c r="DC699" s="46">
        <f t="shared" si="76"/>
        <v>22.942585972868638</v>
      </c>
      <c r="DD699" s="46">
        <v>86708.98</v>
      </c>
      <c r="DE699" s="995">
        <v>3564</v>
      </c>
      <c r="DF699" s="995">
        <v>94.212000000000003</v>
      </c>
      <c r="DG699" s="995">
        <v>85.7</v>
      </c>
      <c r="DH699" s="995">
        <v>96.533000000000001</v>
      </c>
      <c r="DI699" s="995">
        <v>1341.502</v>
      </c>
      <c r="DJ699" s="995">
        <v>5067769</v>
      </c>
      <c r="DK699" s="995">
        <v>60.345999999999997</v>
      </c>
      <c r="DL699" s="995">
        <v>227969.7</v>
      </c>
      <c r="DM699" s="995">
        <v>3564</v>
      </c>
      <c r="DN699" s="995">
        <v>94.350999999999999</v>
      </c>
      <c r="DO699" s="995">
        <v>80.599999999999994</v>
      </c>
      <c r="DP699" s="995">
        <v>96.533000000000001</v>
      </c>
      <c r="DQ699" s="995">
        <v>1330.923</v>
      </c>
      <c r="DR699" s="995">
        <v>5020996</v>
      </c>
      <c r="DS699" s="995">
        <v>59.872999999999998</v>
      </c>
      <c r="DT699" s="995">
        <v>225873.3</v>
      </c>
    </row>
    <row r="700" spans="1:124">
      <c r="A700" s="42" t="s">
        <v>94</v>
      </c>
      <c r="B700" s="42" t="s">
        <v>502</v>
      </c>
      <c r="C700" s="42" t="s">
        <v>931</v>
      </c>
      <c r="D700" s="42">
        <v>916347</v>
      </c>
      <c r="E700" s="42" t="s">
        <v>939</v>
      </c>
      <c r="F700" s="42" t="s">
        <v>149</v>
      </c>
      <c r="G700" s="42" t="s">
        <v>150</v>
      </c>
      <c r="H700" s="43" t="s">
        <v>150</v>
      </c>
      <c r="I700" s="44">
        <v>50</v>
      </c>
      <c r="J700" s="45">
        <v>246659.582399999</v>
      </c>
      <c r="K700" s="46">
        <v>14837.755177999999</v>
      </c>
      <c r="L700" s="47">
        <v>261497.33757800001</v>
      </c>
      <c r="M700" s="48">
        <v>5625480</v>
      </c>
      <c r="N700" s="49">
        <v>3688198</v>
      </c>
      <c r="O700" s="49">
        <v>1937282</v>
      </c>
      <c r="P700" s="49">
        <v>0</v>
      </c>
      <c r="Q700" s="50">
        <v>12873.0664988558</v>
      </c>
      <c r="R700" s="51">
        <v>21461.110189513802</v>
      </c>
      <c r="S700" s="49">
        <v>32979.936003783201</v>
      </c>
      <c r="T700" s="49">
        <v>6632.4105285496998</v>
      </c>
      <c r="U700" s="49">
        <f>IFERROR(INDEX('Rentabilidad datos'!$N$2:$N$61,MATCH($C700,'Rentabilidad datos'!$C$2:$C$61,0)),"")</f>
        <v>61073.456721846684</v>
      </c>
      <c r="V700" s="50">
        <f>IFERROR(INDEX('Rentabilidad datos'!$O$2:$O$61,MATCH($C700,'Rentabilidad datos'!$C$2:$C$61,0)),"")</f>
        <v>1299.4352494009934</v>
      </c>
      <c r="W700" s="51">
        <f>IFERROR(INDEX('Rentabilidad datos'!$M$2:$M$61,MATCH($C700,'Rentabilidad datos'!$C$2:$C$61,0)),"")</f>
        <v>3641.9429094456564</v>
      </c>
      <c r="X700" s="52">
        <f>IFERROR(INDEX('Rentabilidad datos'!$P$2:$P$61,MATCH($C700,'Rentabilidad datos'!$C$2:$C$61,0)),"")</f>
        <v>0.35679725951519148</v>
      </c>
      <c r="Y700" s="43" t="s">
        <v>171</v>
      </c>
      <c r="Z700" s="53">
        <v>97.379862700228799</v>
      </c>
      <c r="AA700" s="43">
        <v>2</v>
      </c>
      <c r="AB700" s="54">
        <v>0.9795123260592874</v>
      </c>
      <c r="AC700" s="55">
        <v>2.0487673940712613E-2</v>
      </c>
      <c r="AD700" s="752" t="e">
        <f>_xlfn.XLOOKUP(Table1[[#This Row],[Ruta]],#REF!,#REF!)</f>
        <v>#REF!</v>
      </c>
      <c r="AE700" s="752" t="e">
        <f>_xlfn.XLOOKUP(Table1[[#This Row],[Ruta]],#REF!,#REF!)</f>
        <v>#REF!</v>
      </c>
      <c r="AF700" s="752" t="e">
        <f>_xlfn.XLOOKUP(Table1[[#This Row],[Ruta]],#REF!,#REF!)</f>
        <v>#REF!</v>
      </c>
      <c r="AG700" s="752" t="e">
        <f>_xlfn.XLOOKUP(Table1[[#This Row],[Ruta]],#REF!,#REF!)</f>
        <v>#REF!</v>
      </c>
      <c r="AH700" s="52">
        <v>0.6556236978888913</v>
      </c>
      <c r="AI700" s="52">
        <v>0.34437630211110876</v>
      </c>
      <c r="AJ700" s="55">
        <v>0</v>
      </c>
      <c r="AK700" s="56">
        <v>42555</v>
      </c>
      <c r="AL700" s="44">
        <v>16096</v>
      </c>
      <c r="AM700" s="54">
        <v>0.37823992480319601</v>
      </c>
      <c r="AN700" s="55">
        <v>0.62538735712289495</v>
      </c>
      <c r="AO700" s="56">
        <v>10517.3589823648</v>
      </c>
      <c r="AP700" s="48">
        <v>5258.6794911823999</v>
      </c>
      <c r="AQ700" s="55">
        <v>0.50181364096304548</v>
      </c>
      <c r="AR700" s="51">
        <v>5625530.0599999996</v>
      </c>
      <c r="AS700" s="49">
        <v>1837901.314211735</v>
      </c>
      <c r="AT700" s="55">
        <v>0.32670722484980114</v>
      </c>
      <c r="AU700" s="51">
        <v>1291498.2207974358</v>
      </c>
      <c r="AV700" s="52">
        <v>5.8751476242646841E-3</v>
      </c>
      <c r="AW700" s="44">
        <v>21</v>
      </c>
      <c r="AX700" s="51">
        <v>349.49863692842899</v>
      </c>
      <c r="AY700" s="49">
        <v>327.331066067118</v>
      </c>
      <c r="AZ700" s="49">
        <v>0</v>
      </c>
      <c r="BA700" s="42" t="s">
        <v>152</v>
      </c>
      <c r="BB700" s="50">
        <v>0</v>
      </c>
      <c r="BC700" s="57">
        <v>1291498.2207974358</v>
      </c>
      <c r="BD700" s="42" t="s">
        <v>150</v>
      </c>
      <c r="BE700" s="46">
        <v>97.379862700228799</v>
      </c>
      <c r="BF700" s="46">
        <v>77.052752293577996</v>
      </c>
      <c r="BG700" s="42" t="s">
        <v>150</v>
      </c>
      <c r="BH700" s="52">
        <v>0.37823992480319601</v>
      </c>
      <c r="BI700" s="52">
        <v>0.58451671985922604</v>
      </c>
      <c r="BJ700" s="42" t="s">
        <v>152</v>
      </c>
      <c r="BK700" s="46">
        <v>598.39207683752795</v>
      </c>
      <c r="BL700" s="46">
        <v>592.94411248383199</v>
      </c>
      <c r="BM700" s="42" t="s">
        <v>150</v>
      </c>
      <c r="BN700" s="48">
        <v>2</v>
      </c>
      <c r="BO700" s="42" t="s">
        <v>161</v>
      </c>
      <c r="BP700" s="42" t="s">
        <v>152</v>
      </c>
      <c r="BQ700" s="46">
        <v>8253.8950811381692</v>
      </c>
      <c r="BR700" s="46">
        <v>177</v>
      </c>
      <c r="BS700" s="46">
        <v>13092</v>
      </c>
      <c r="BT700" s="46">
        <v>4557</v>
      </c>
      <c r="BU700" s="46">
        <v>2.8729427254772877</v>
      </c>
      <c r="BV700" s="46">
        <v>25.745762711864408</v>
      </c>
      <c r="BW700" s="46">
        <v>673</v>
      </c>
      <c r="BX700" s="46">
        <v>3884</v>
      </c>
      <c r="BY700" s="46">
        <v>4557</v>
      </c>
      <c r="BZ700" s="46">
        <v>1</v>
      </c>
      <c r="CA700" s="46">
        <v>0.14768488040377439</v>
      </c>
      <c r="CB700" s="46">
        <v>0.85231511959622563</v>
      </c>
      <c r="CC700" s="46">
        <v>0</v>
      </c>
      <c r="CD700" s="46">
        <v>0</v>
      </c>
      <c r="CE700" s="46">
        <v>0</v>
      </c>
      <c r="CF700" s="46">
        <v>0</v>
      </c>
      <c r="CG700" s="46">
        <v>0</v>
      </c>
      <c r="CH700" s="46">
        <v>0</v>
      </c>
      <c r="CI700" s="46">
        <v>4.048273754964864</v>
      </c>
      <c r="CJ700" s="46">
        <v>0.91659028414298827</v>
      </c>
      <c r="CK700">
        <v>332</v>
      </c>
      <c r="CL700">
        <v>368.35</v>
      </c>
      <c r="CM700">
        <f t="shared" si="77"/>
        <v>36.350000000000023</v>
      </c>
      <c r="CN700">
        <v>13.81</v>
      </c>
      <c r="CO700">
        <v>9.4499999999999993</v>
      </c>
      <c r="CP700">
        <f t="shared" si="78"/>
        <v>-4.3600000000000012</v>
      </c>
      <c r="CQ700">
        <v>846.56</v>
      </c>
      <c r="CR700">
        <v>598.39</v>
      </c>
      <c r="CS700">
        <f t="shared" si="79"/>
        <v>248.16999999999996</v>
      </c>
      <c r="CT700" t="s">
        <v>150</v>
      </c>
      <c r="CU700">
        <v>147.16999999999999</v>
      </c>
      <c r="CV700">
        <v>344</v>
      </c>
      <c r="CW700" s="46">
        <v>3182</v>
      </c>
      <c r="CX700" s="46">
        <f t="shared" si="73"/>
        <v>69.028966425279791</v>
      </c>
      <c r="CY700" s="46">
        <v>36.35</v>
      </c>
      <c r="CZ700" s="46">
        <f t="shared" si="74"/>
        <v>69.826640333552774</v>
      </c>
      <c r="DA700" s="46">
        <f t="shared" si="75"/>
        <v>217.60131276737019</v>
      </c>
      <c r="DB700" s="46">
        <v>999518.99</v>
      </c>
      <c r="DC700" s="46">
        <f t="shared" si="76"/>
        <v>9.5611568898516328</v>
      </c>
      <c r="DD700" s="46">
        <v>43917.74</v>
      </c>
      <c r="DE700" s="995">
        <v>3182</v>
      </c>
      <c r="DF700" s="995">
        <v>69.128</v>
      </c>
      <c r="DG700" s="995">
        <v>31.8</v>
      </c>
      <c r="DH700" s="995">
        <v>69.826999999999998</v>
      </c>
      <c r="DI700" s="995">
        <v>1008.504</v>
      </c>
      <c r="DJ700" s="995">
        <v>4627854</v>
      </c>
      <c r="DK700" s="995">
        <v>44.395000000000003</v>
      </c>
      <c r="DL700" s="995">
        <v>203722.5</v>
      </c>
      <c r="DM700" s="995">
        <v>3182</v>
      </c>
      <c r="DN700" s="995">
        <v>69.251000000000005</v>
      </c>
      <c r="DO700" s="995">
        <v>26.2</v>
      </c>
      <c r="DP700" s="995">
        <v>69.826999999999998</v>
      </c>
      <c r="DQ700" s="995">
        <v>998.88499999999999</v>
      </c>
      <c r="DR700" s="995">
        <v>4578103</v>
      </c>
      <c r="DS700" s="995">
        <v>43.929000000000002</v>
      </c>
      <c r="DT700" s="995">
        <v>201334.1</v>
      </c>
    </row>
    <row r="701" spans="1:124">
      <c r="A701" s="42" t="s">
        <v>94</v>
      </c>
      <c r="B701" s="42" t="s">
        <v>502</v>
      </c>
      <c r="C701" s="42" t="s">
        <v>931</v>
      </c>
      <c r="D701" s="42">
        <v>916348</v>
      </c>
      <c r="E701" s="42" t="s">
        <v>940</v>
      </c>
      <c r="F701" s="42" t="s">
        <v>149</v>
      </c>
      <c r="G701" s="42" t="s">
        <v>150</v>
      </c>
      <c r="H701" s="43" t="s">
        <v>150</v>
      </c>
      <c r="I701" s="44">
        <v>50</v>
      </c>
      <c r="J701" s="45">
        <v>213605.38079999899</v>
      </c>
      <c r="K701" s="46">
        <v>19989.293146</v>
      </c>
      <c r="L701" s="47">
        <v>233594.67394599901</v>
      </c>
      <c r="M701" s="48">
        <v>5871371</v>
      </c>
      <c r="N701" s="49">
        <v>3187739</v>
      </c>
      <c r="O701" s="49">
        <v>2683632</v>
      </c>
      <c r="P701" s="49">
        <v>0</v>
      </c>
      <c r="Q701" s="50">
        <v>13497.4125747126</v>
      </c>
      <c r="R701" s="51">
        <v>21461.110189513802</v>
      </c>
      <c r="S701" s="49">
        <v>32979.936003783201</v>
      </c>
      <c r="T701" s="49">
        <v>6632.4105285496998</v>
      </c>
      <c r="U701" s="49">
        <f>IFERROR(INDEX('Rentabilidad datos'!$N$2:$N$61,MATCH($C701,'Rentabilidad datos'!$C$2:$C$61,0)),"")</f>
        <v>61073.456721846684</v>
      </c>
      <c r="V701" s="50">
        <f>IFERROR(INDEX('Rentabilidad datos'!$O$2:$O$61,MATCH($C701,'Rentabilidad datos'!$C$2:$C$61,0)),"")</f>
        <v>1299.4352494009934</v>
      </c>
      <c r="W701" s="51">
        <f>IFERROR(INDEX('Rentabilidad datos'!$M$2:$M$61,MATCH($C701,'Rentabilidad datos'!$C$2:$C$61,0)),"")</f>
        <v>3641.9429094456564</v>
      </c>
      <c r="X701" s="52">
        <f>IFERROR(INDEX('Rentabilidad datos'!$P$2:$P$61,MATCH($C701,'Rentabilidad datos'!$C$2:$C$61,0)),"")</f>
        <v>0.35679725951519148</v>
      </c>
      <c r="Y701" s="43" t="s">
        <v>171</v>
      </c>
      <c r="Z701" s="53">
        <v>121.726436781609</v>
      </c>
      <c r="AA701" s="43">
        <v>2</v>
      </c>
      <c r="AB701" s="54">
        <v>0.96661307895549442</v>
      </c>
      <c r="AC701" s="55">
        <v>3.3386921044505621E-2</v>
      </c>
      <c r="AD701" s="752" t="e">
        <f>_xlfn.XLOOKUP(Table1[[#This Row],[Ruta]],#REF!,#REF!)</f>
        <v>#REF!</v>
      </c>
      <c r="AE701" s="752" t="e">
        <f>_xlfn.XLOOKUP(Table1[[#This Row],[Ruta]],#REF!,#REF!)</f>
        <v>#REF!</v>
      </c>
      <c r="AF701" s="752" t="e">
        <f>_xlfn.XLOOKUP(Table1[[#This Row],[Ruta]],#REF!,#REF!)</f>
        <v>#REF!</v>
      </c>
      <c r="AG701" s="752" t="e">
        <f>_xlfn.XLOOKUP(Table1[[#This Row],[Ruta]],#REF!,#REF!)</f>
        <v>#REF!</v>
      </c>
      <c r="AH701" s="52">
        <v>0.54292924088769046</v>
      </c>
      <c r="AI701" s="52">
        <v>0.45707075911230954</v>
      </c>
      <c r="AJ701" s="55">
        <v>0</v>
      </c>
      <c r="AK701" s="56">
        <v>52951</v>
      </c>
      <c r="AL701" s="44">
        <v>26169</v>
      </c>
      <c r="AM701" s="54">
        <v>0.494211629619837</v>
      </c>
      <c r="AN701" s="55">
        <v>0.62538735712289495</v>
      </c>
      <c r="AO701" s="56">
        <v>6945.8859470143998</v>
      </c>
      <c r="AP701" s="48">
        <v>3472.9429735071999</v>
      </c>
      <c r="AQ701" s="55">
        <v>0.55979949337136603</v>
      </c>
      <c r="AR701" s="51">
        <v>5871374.4699999997</v>
      </c>
      <c r="AS701" s="49">
        <v>779202.44221850496</v>
      </c>
      <c r="AT701" s="55">
        <v>0.13271210109317128</v>
      </c>
      <c r="AU701" s="51">
        <v>547547.66209949018</v>
      </c>
      <c r="AV701" s="52">
        <v>2.4908461307590586E-3</v>
      </c>
      <c r="AW701" s="44">
        <v>136</v>
      </c>
      <c r="AX701" s="51">
        <v>224.36373075012401</v>
      </c>
      <c r="AY701" s="49">
        <v>327.331066067118</v>
      </c>
      <c r="AZ701" s="49">
        <v>102.967335316994</v>
      </c>
      <c r="BA701" s="42" t="s">
        <v>150</v>
      </c>
      <c r="BB701" s="50">
        <v>946734.55602257897</v>
      </c>
      <c r="BC701" s="57">
        <v>1494282.2181220693</v>
      </c>
      <c r="BD701" s="42" t="s">
        <v>150</v>
      </c>
      <c r="BE701" s="46">
        <v>121.726436781609</v>
      </c>
      <c r="BF701" s="46">
        <v>77.052752293577996</v>
      </c>
      <c r="BG701" s="42" t="s">
        <v>150</v>
      </c>
      <c r="BH701" s="52">
        <v>0.494211629619837</v>
      </c>
      <c r="BI701" s="52">
        <v>0.58451671985922604</v>
      </c>
      <c r="BJ701" s="42" t="s">
        <v>152</v>
      </c>
      <c r="BK701" s="46">
        <v>536.99925045057296</v>
      </c>
      <c r="BL701" s="46">
        <v>592.94411248383199</v>
      </c>
      <c r="BM701" s="42" t="s">
        <v>152</v>
      </c>
      <c r="BN701" s="48">
        <v>1</v>
      </c>
      <c r="BO701" s="42" t="s">
        <v>155</v>
      </c>
      <c r="BP701" s="42" t="s">
        <v>152</v>
      </c>
      <c r="BQ701" s="46">
        <v>0</v>
      </c>
      <c r="BR701" s="46">
        <v>155</v>
      </c>
      <c r="BS701" s="46">
        <v>10936</v>
      </c>
      <c r="BT701" s="46">
        <v>3498</v>
      </c>
      <c r="BU701" s="46">
        <v>3.1263579188107489</v>
      </c>
      <c r="BV701" s="46">
        <v>22.56774193548387</v>
      </c>
      <c r="BW701" s="46">
        <v>0</v>
      </c>
      <c r="BX701" s="46">
        <v>3006</v>
      </c>
      <c r="BY701" s="46">
        <v>3006</v>
      </c>
      <c r="BZ701" s="46">
        <v>0.85934819897084047</v>
      </c>
      <c r="CA701" s="46">
        <v>0</v>
      </c>
      <c r="CB701" s="46">
        <v>0.85934819897084047</v>
      </c>
      <c r="CC701" s="46">
        <v>3.0874785591766721E-2</v>
      </c>
      <c r="CD701" s="46">
        <v>0</v>
      </c>
      <c r="CE701" s="46">
        <v>0</v>
      </c>
      <c r="CF701" s="46">
        <v>0.10977701543739279</v>
      </c>
      <c r="CG701" s="46">
        <v>0</v>
      </c>
      <c r="CH701" s="46">
        <v>0</v>
      </c>
      <c r="CI701" s="46">
        <v>4.1148500365764447</v>
      </c>
      <c r="CJ701" s="46">
        <v>1.005852231163131</v>
      </c>
      <c r="CK701">
        <v>498</v>
      </c>
      <c r="CL701">
        <v>528.12</v>
      </c>
      <c r="CM701">
        <f t="shared" si="77"/>
        <v>30.120000000000005</v>
      </c>
      <c r="CN701">
        <v>12.36</v>
      </c>
      <c r="CO701">
        <v>9.4499999999999993</v>
      </c>
      <c r="CP701">
        <f t="shared" si="78"/>
        <v>-2.91</v>
      </c>
      <c r="CQ701">
        <v>846.56</v>
      </c>
      <c r="CR701">
        <v>537</v>
      </c>
      <c r="CS701">
        <f t="shared" si="79"/>
        <v>309.55999999999995</v>
      </c>
      <c r="CT701" t="s">
        <v>150</v>
      </c>
      <c r="CU701">
        <v>130.78</v>
      </c>
      <c r="CV701">
        <v>439</v>
      </c>
      <c r="CW701" s="46">
        <v>3006</v>
      </c>
      <c r="CX701" s="46">
        <f t="shared" si="73"/>
        <v>85.073756432247009</v>
      </c>
      <c r="CY701" s="46">
        <v>30.12</v>
      </c>
      <c r="CZ701" s="46">
        <f t="shared" si="74"/>
        <v>85.934819897084054</v>
      </c>
      <c r="DA701" s="46">
        <f t="shared" si="75"/>
        <v>671.84974150539097</v>
      </c>
      <c r="DB701" s="46">
        <v>2370366.5099999998</v>
      </c>
      <c r="DC701" s="46">
        <f t="shared" si="76"/>
        <v>26.152548666145144</v>
      </c>
      <c r="DD701" s="46">
        <v>92269.33</v>
      </c>
      <c r="DE701" s="995">
        <v>3006</v>
      </c>
      <c r="DF701" s="995">
        <v>85.135999999999996</v>
      </c>
      <c r="DG701" s="995">
        <v>28</v>
      </c>
      <c r="DH701" s="995">
        <v>85.935000000000002</v>
      </c>
      <c r="DI701" s="995">
        <v>1960.1780000000001</v>
      </c>
      <c r="DJ701" s="995">
        <v>6911490</v>
      </c>
      <c r="DK701" s="995">
        <v>76.763000000000005</v>
      </c>
      <c r="DL701" s="995">
        <v>270663</v>
      </c>
      <c r="DM701" s="995">
        <v>3006</v>
      </c>
      <c r="DN701" s="995">
        <v>85.277000000000001</v>
      </c>
      <c r="DO701" s="995">
        <v>23</v>
      </c>
      <c r="DP701" s="995">
        <v>85.935000000000002</v>
      </c>
      <c r="DQ701" s="995">
        <v>1947.6869999999999</v>
      </c>
      <c r="DR701" s="995">
        <v>6857841</v>
      </c>
      <c r="DS701" s="995">
        <v>76.275000000000006</v>
      </c>
      <c r="DT701" s="995">
        <v>268565.90000000002</v>
      </c>
    </row>
    <row r="702" spans="1:124">
      <c r="A702" s="42" t="s">
        <v>94</v>
      </c>
      <c r="B702" s="42" t="s">
        <v>502</v>
      </c>
      <c r="C702" s="42" t="s">
        <v>931</v>
      </c>
      <c r="D702" s="42">
        <v>916349</v>
      </c>
      <c r="E702" s="42" t="s">
        <v>941</v>
      </c>
      <c r="F702" s="42" t="s">
        <v>149</v>
      </c>
      <c r="G702" s="42" t="s">
        <v>150</v>
      </c>
      <c r="H702" s="43" t="s">
        <v>150</v>
      </c>
      <c r="I702" s="44">
        <v>50</v>
      </c>
      <c r="J702" s="45">
        <v>171706.43280000001</v>
      </c>
      <c r="K702" s="46">
        <v>15339.448935</v>
      </c>
      <c r="L702" s="47">
        <v>187045.881735</v>
      </c>
      <c r="M702" s="48">
        <v>4306460</v>
      </c>
      <c r="N702" s="49">
        <v>2456012</v>
      </c>
      <c r="O702" s="49">
        <v>1850448</v>
      </c>
      <c r="P702" s="49">
        <v>0</v>
      </c>
      <c r="Q702" s="50">
        <v>9677.4397303370806</v>
      </c>
      <c r="R702" s="51">
        <v>21461.110189513802</v>
      </c>
      <c r="S702" s="49">
        <v>32979.936003783201</v>
      </c>
      <c r="T702" s="49">
        <v>6632.4105285496998</v>
      </c>
      <c r="U702" s="49">
        <f>IFERROR(INDEX('Rentabilidad datos'!$N$2:$N$61,MATCH($C702,'Rentabilidad datos'!$C$2:$C$61,0)),"")</f>
        <v>61073.456721846684</v>
      </c>
      <c r="V702" s="50">
        <f>IFERROR(INDEX('Rentabilidad datos'!$O$2:$O$61,MATCH($C702,'Rentabilidad datos'!$C$2:$C$61,0)),"")</f>
        <v>1299.4352494009934</v>
      </c>
      <c r="W702" s="51">
        <f>IFERROR(INDEX('Rentabilidad datos'!$M$2:$M$61,MATCH($C702,'Rentabilidad datos'!$C$2:$C$61,0)),"")</f>
        <v>3641.9429094456564</v>
      </c>
      <c r="X702" s="52">
        <f>IFERROR(INDEX('Rentabilidad datos'!$P$2:$P$61,MATCH($C702,'Rentabilidad datos'!$C$2:$C$61,0)),"")</f>
        <v>0.35679725951519148</v>
      </c>
      <c r="Y702" s="43" t="s">
        <v>171</v>
      </c>
      <c r="Z702" s="53">
        <v>83.036446469248304</v>
      </c>
      <c r="AA702" s="43">
        <v>2</v>
      </c>
      <c r="AB702" s="54">
        <v>0.97055864909926015</v>
      </c>
      <c r="AC702" s="55">
        <v>2.9441350900739818E-2</v>
      </c>
      <c r="AD702" s="752" t="e">
        <f>_xlfn.XLOOKUP(Table1[[#This Row],[Ruta]],#REF!,#REF!)</f>
        <v>#REF!</v>
      </c>
      <c r="AE702" s="752" t="e">
        <f>_xlfn.XLOOKUP(Table1[[#This Row],[Ruta]],#REF!,#REF!)</f>
        <v>#REF!</v>
      </c>
      <c r="AF702" s="752" t="e">
        <f>_xlfn.XLOOKUP(Table1[[#This Row],[Ruta]],#REF!,#REF!)</f>
        <v>#REF!</v>
      </c>
      <c r="AG702" s="752" t="e">
        <f>_xlfn.XLOOKUP(Table1[[#This Row],[Ruta]],#REF!,#REF!)</f>
        <v>#REF!</v>
      </c>
      <c r="AH702" s="52">
        <v>0.57030879190797079</v>
      </c>
      <c r="AI702" s="52">
        <v>0.42969120809202921</v>
      </c>
      <c r="AJ702" s="55">
        <v>0</v>
      </c>
      <c r="AK702" s="56">
        <v>36453</v>
      </c>
      <c r="AL702" s="44">
        <v>14004</v>
      </c>
      <c r="AM702" s="54">
        <v>0.38372699091981499</v>
      </c>
      <c r="AN702" s="55">
        <v>0.62538735712289495</v>
      </c>
      <c r="AO702" s="56">
        <v>8809.2453292008904</v>
      </c>
      <c r="AP702" s="48">
        <v>4404.6226646004452</v>
      </c>
      <c r="AQ702" s="55">
        <v>0.50499609537213519</v>
      </c>
      <c r="AR702" s="51">
        <v>4306460.68</v>
      </c>
      <c r="AS702" s="49">
        <v>1354494.0242315501</v>
      </c>
      <c r="AT702" s="55">
        <v>0.31452604003145113</v>
      </c>
      <c r="AU702" s="51">
        <v>951806.61162217066</v>
      </c>
      <c r="AV702" s="52">
        <v>4.3298583482202788E-3</v>
      </c>
      <c r="AW702" s="44">
        <v>53</v>
      </c>
      <c r="AX702" s="51">
        <v>307.51647243644697</v>
      </c>
      <c r="AY702" s="49">
        <v>327.331066067118</v>
      </c>
      <c r="AZ702" s="49">
        <v>19.814593630671027</v>
      </c>
      <c r="BA702" s="42" t="s">
        <v>150</v>
      </c>
      <c r="BB702" s="50">
        <v>97494.227017592508</v>
      </c>
      <c r="BC702" s="57">
        <v>1049300.8386397632</v>
      </c>
      <c r="BD702" s="42" t="s">
        <v>150</v>
      </c>
      <c r="BE702" s="46">
        <v>83.036446469248304</v>
      </c>
      <c r="BF702" s="46">
        <v>77.052752293577996</v>
      </c>
      <c r="BG702" s="42" t="s">
        <v>150</v>
      </c>
      <c r="BH702" s="52">
        <v>0.38372699091981499</v>
      </c>
      <c r="BI702" s="52">
        <v>0.58451671985922604</v>
      </c>
      <c r="BJ702" s="42" t="s">
        <v>152</v>
      </c>
      <c r="BK702" s="46">
        <v>420.32782412359501</v>
      </c>
      <c r="BL702" s="46">
        <v>592.94411248383199</v>
      </c>
      <c r="BM702" s="42" t="s">
        <v>152</v>
      </c>
      <c r="BN702" s="48">
        <v>1</v>
      </c>
      <c r="BO702" s="42" t="s">
        <v>155</v>
      </c>
      <c r="BP702" s="42" t="s">
        <v>152</v>
      </c>
      <c r="BQ702" s="46">
        <v>7485.1615670753899</v>
      </c>
      <c r="BR702" s="46">
        <v>192</v>
      </c>
      <c r="BS702" s="46">
        <v>12282</v>
      </c>
      <c r="BT702" s="46">
        <v>3753</v>
      </c>
      <c r="BU702" s="46">
        <v>3.2725819344524378</v>
      </c>
      <c r="BV702" s="46">
        <v>19.546875</v>
      </c>
      <c r="BW702" s="46">
        <v>726</v>
      </c>
      <c r="BX702" s="46">
        <v>2574</v>
      </c>
      <c r="BY702" s="46">
        <v>3300</v>
      </c>
      <c r="BZ702" s="46">
        <v>0.87929656274980017</v>
      </c>
      <c r="CA702" s="46">
        <v>0.19344524380495601</v>
      </c>
      <c r="CB702" s="46">
        <v>0.68585131894484408</v>
      </c>
      <c r="CC702" s="46">
        <v>0</v>
      </c>
      <c r="CD702" s="46">
        <v>0</v>
      </c>
      <c r="CE702" s="46">
        <v>0</v>
      </c>
      <c r="CF702" s="46">
        <v>0.12070343725019979</v>
      </c>
      <c r="CG702" s="46">
        <v>0</v>
      </c>
      <c r="CH702" s="46">
        <v>0</v>
      </c>
      <c r="CI702" s="46">
        <v>2.9311187103077669</v>
      </c>
      <c r="CJ702" s="46">
        <v>0.32567985670086308</v>
      </c>
      <c r="CK702">
        <v>436</v>
      </c>
      <c r="CL702">
        <v>459.86</v>
      </c>
      <c r="CM702">
        <f t="shared" si="77"/>
        <v>23.860000000000014</v>
      </c>
      <c r="CN702">
        <v>10.49</v>
      </c>
      <c r="CO702">
        <v>9.4499999999999993</v>
      </c>
      <c r="CP702">
        <f t="shared" si="78"/>
        <v>-1.0400000000000009</v>
      </c>
      <c r="CQ702">
        <v>846.56</v>
      </c>
      <c r="CR702">
        <v>420.33</v>
      </c>
      <c r="CS702">
        <f t="shared" si="79"/>
        <v>426.22999999999996</v>
      </c>
      <c r="CT702" t="s">
        <v>150</v>
      </c>
      <c r="CU702">
        <v>111</v>
      </c>
      <c r="CV702">
        <v>409</v>
      </c>
      <c r="CW702" s="46">
        <v>3300</v>
      </c>
      <c r="CX702" s="46">
        <f t="shared" si="73"/>
        <v>87.293898214761526</v>
      </c>
      <c r="CY702" s="46">
        <v>23.86</v>
      </c>
      <c r="CZ702" s="46">
        <f t="shared" si="74"/>
        <v>87.929656274980019</v>
      </c>
      <c r="DA702" s="46">
        <f t="shared" si="75"/>
        <v>484.44444061998593</v>
      </c>
      <c r="DB702" s="46">
        <v>1829678.83</v>
      </c>
      <c r="DC702" s="46">
        <f t="shared" si="76"/>
        <v>19.875396493383391</v>
      </c>
      <c r="DD702" s="46">
        <v>75066.59</v>
      </c>
      <c r="DE702" s="995">
        <v>3300</v>
      </c>
      <c r="DF702" s="995">
        <v>87.096000000000004</v>
      </c>
      <c r="DG702" s="995">
        <v>31.3</v>
      </c>
      <c r="DH702" s="995">
        <v>87.93</v>
      </c>
      <c r="DI702" s="995">
        <v>1520.337</v>
      </c>
      <c r="DJ702" s="995">
        <v>5753404</v>
      </c>
      <c r="DK702" s="995">
        <v>63.243000000000002</v>
      </c>
      <c r="DL702" s="995">
        <v>239330.8</v>
      </c>
      <c r="DM702" s="995">
        <v>3300</v>
      </c>
      <c r="DN702" s="995">
        <v>87.242999999999995</v>
      </c>
      <c r="DO702" s="995">
        <v>25.8</v>
      </c>
      <c r="DP702" s="995">
        <v>87.93</v>
      </c>
      <c r="DQ702" s="995">
        <v>1507.327</v>
      </c>
      <c r="DR702" s="995">
        <v>5695846</v>
      </c>
      <c r="DS702" s="995">
        <v>62.737000000000002</v>
      </c>
      <c r="DT702" s="995">
        <v>237067.6</v>
      </c>
    </row>
    <row r="703" spans="1:124">
      <c r="A703" s="42" t="s">
        <v>94</v>
      </c>
      <c r="B703" s="42" t="s">
        <v>502</v>
      </c>
      <c r="C703" s="42" t="s">
        <v>931</v>
      </c>
      <c r="D703" s="42">
        <v>916350</v>
      </c>
      <c r="E703" s="42" t="s">
        <v>942</v>
      </c>
      <c r="F703" s="42" t="s">
        <v>149</v>
      </c>
      <c r="G703" s="42" t="s">
        <v>150</v>
      </c>
      <c r="H703" s="43" t="s">
        <v>150</v>
      </c>
      <c r="I703" s="44">
        <v>50</v>
      </c>
      <c r="J703" s="45">
        <v>161949.3848</v>
      </c>
      <c r="K703" s="46">
        <v>15276.649425</v>
      </c>
      <c r="L703" s="47">
        <v>177226.03422500001</v>
      </c>
      <c r="M703" s="48">
        <v>4159251</v>
      </c>
      <c r="N703" s="49">
        <v>2399294</v>
      </c>
      <c r="O703" s="49">
        <v>1759957</v>
      </c>
      <c r="P703" s="49">
        <v>0</v>
      </c>
      <c r="Q703" s="50">
        <v>9605.6578983833697</v>
      </c>
      <c r="R703" s="51">
        <v>21461.110189513802</v>
      </c>
      <c r="S703" s="49">
        <v>32979.936003783201</v>
      </c>
      <c r="T703" s="49">
        <v>6632.4105285496998</v>
      </c>
      <c r="U703" s="49">
        <f>IFERROR(INDEX('Rentabilidad datos'!$N$2:$N$61,MATCH($C703,'Rentabilidad datos'!$C$2:$C$61,0)),"")</f>
        <v>61073.456721846684</v>
      </c>
      <c r="V703" s="50">
        <f>IFERROR(INDEX('Rentabilidad datos'!$O$2:$O$61,MATCH($C703,'Rentabilidad datos'!$C$2:$C$61,0)),"")</f>
        <v>1299.4352494009934</v>
      </c>
      <c r="W703" s="51">
        <f>IFERROR(INDEX('Rentabilidad datos'!$M$2:$M$61,MATCH($C703,'Rentabilidad datos'!$C$2:$C$61,0)),"")</f>
        <v>3641.9429094456564</v>
      </c>
      <c r="X703" s="52">
        <f>IFERROR(INDEX('Rentabilidad datos'!$P$2:$P$61,MATCH($C703,'Rentabilidad datos'!$C$2:$C$61,0)),"")</f>
        <v>0.35679725951519148</v>
      </c>
      <c r="Y703" s="43" t="s">
        <v>171</v>
      </c>
      <c r="Z703" s="53">
        <v>50.512702078521897</v>
      </c>
      <c r="AA703" s="43">
        <v>2</v>
      </c>
      <c r="AB703" s="54">
        <v>0.99805589996852795</v>
      </c>
      <c r="AC703" s="55">
        <v>1.9441000314720125E-3</v>
      </c>
      <c r="AD703" s="752" t="e">
        <f>_xlfn.XLOOKUP(Table1[[#This Row],[Ruta]],#REF!,#REF!)</f>
        <v>#REF!</v>
      </c>
      <c r="AE703" s="752" t="e">
        <f>_xlfn.XLOOKUP(Table1[[#This Row],[Ruta]],#REF!,#REF!)</f>
        <v>#REF!</v>
      </c>
      <c r="AF703" s="752" t="e">
        <f>_xlfn.XLOOKUP(Table1[[#This Row],[Ruta]],#REF!,#REF!)</f>
        <v>#REF!</v>
      </c>
      <c r="AG703" s="752" t="e">
        <f>_xlfn.XLOOKUP(Table1[[#This Row],[Ruta]],#REF!,#REF!)</f>
        <v>#REF!</v>
      </c>
      <c r="AH703" s="52">
        <v>0.57685722741907142</v>
      </c>
      <c r="AI703" s="52">
        <v>0.42314277258092864</v>
      </c>
      <c r="AJ703" s="55">
        <v>0</v>
      </c>
      <c r="AK703" s="56">
        <v>21872</v>
      </c>
      <c r="AL703" s="44">
        <v>17652</v>
      </c>
      <c r="AM703" s="54">
        <v>0.80705925384052701</v>
      </c>
      <c r="AN703" s="55">
        <v>0.62538735712289495</v>
      </c>
      <c r="AO703" s="56">
        <v>0</v>
      </c>
      <c r="AP703" s="48">
        <v>0</v>
      </c>
      <c r="AQ703" s="55">
        <v>0.80705925384052668</v>
      </c>
      <c r="AR703" s="51">
        <v>4159249.87</v>
      </c>
      <c r="AS703" s="49">
        <v>0</v>
      </c>
      <c r="AT703" s="55">
        <v>0</v>
      </c>
      <c r="AU703" s="51">
        <v>0</v>
      </c>
      <c r="AV703" s="52">
        <v>0</v>
      </c>
      <c r="AW703" s="44">
        <v>490</v>
      </c>
      <c r="AX703" s="51">
        <v>235.62485100838401</v>
      </c>
      <c r="AY703" s="49">
        <v>327.331066067118</v>
      </c>
      <c r="AZ703" s="49">
        <v>91.706215058733989</v>
      </c>
      <c r="BA703" s="42" t="s">
        <v>150</v>
      </c>
      <c r="BB703" s="50">
        <v>568766.90288697428</v>
      </c>
      <c r="BC703" s="57">
        <v>568766.90288697428</v>
      </c>
      <c r="BD703" s="42" t="s">
        <v>150</v>
      </c>
      <c r="BE703" s="46">
        <v>50.512702078521897</v>
      </c>
      <c r="BF703" s="46">
        <v>77.052752293577996</v>
      </c>
      <c r="BG703" s="42" t="s">
        <v>152</v>
      </c>
      <c r="BH703" s="52">
        <v>0.80705925384052701</v>
      </c>
      <c r="BI703" s="52">
        <v>0.58451671985922604</v>
      </c>
      <c r="BJ703" s="42" t="s">
        <v>150</v>
      </c>
      <c r="BK703" s="46">
        <v>409.29800051963002</v>
      </c>
      <c r="BL703" s="46">
        <v>592.94411248383199</v>
      </c>
      <c r="BM703" s="42" t="s">
        <v>152</v>
      </c>
      <c r="BN703" s="48">
        <v>1</v>
      </c>
      <c r="BO703" s="42" t="s">
        <v>155</v>
      </c>
      <c r="BP703" s="42" t="s">
        <v>152</v>
      </c>
      <c r="BQ703" s="46">
        <v>1942.2357736997801</v>
      </c>
      <c r="BR703" s="46" t="e">
        <v>#N/A</v>
      </c>
      <c r="BS703" s="46" t="e">
        <v>#N/A</v>
      </c>
      <c r="BT703" s="46" t="e">
        <v>#N/A</v>
      </c>
      <c r="BU703" s="46" t="e">
        <v>#N/A</v>
      </c>
      <c r="BV703" s="46" t="e">
        <v>#N/A</v>
      </c>
      <c r="BW703" s="46" t="e">
        <v>#N/A</v>
      </c>
      <c r="BX703" s="46" t="e">
        <v>#N/A</v>
      </c>
      <c r="BY703" s="46" t="e">
        <v>#N/A</v>
      </c>
      <c r="BZ703" s="46" t="e">
        <v>#N/A</v>
      </c>
      <c r="CA703" s="46" t="e">
        <v>#N/A</v>
      </c>
      <c r="CB703" s="46" t="e">
        <v>#N/A</v>
      </c>
      <c r="CC703" s="46" t="e">
        <v>#N/A</v>
      </c>
      <c r="CD703" s="46" t="e">
        <v>#N/A</v>
      </c>
      <c r="CE703" s="46" t="e">
        <v>#N/A</v>
      </c>
      <c r="CF703" s="46" t="e">
        <v>#N/A</v>
      </c>
      <c r="CG703" s="46" t="e">
        <v>#N/A</v>
      </c>
      <c r="CH703" s="46" t="e">
        <v>#N/A</v>
      </c>
      <c r="CI703" s="46" t="e">
        <v>#N/A</v>
      </c>
      <c r="CJ703" s="46" t="e">
        <v>#N/A</v>
      </c>
      <c r="CM703">
        <f t="shared" si="77"/>
        <v>0</v>
      </c>
      <c r="CP703">
        <f t="shared" si="78"/>
        <v>0</v>
      </c>
      <c r="CS703">
        <f t="shared" si="79"/>
        <v>0</v>
      </c>
      <c r="CW703" s="46"/>
      <c r="CX703" s="46" t="e">
        <f t="shared" si="73"/>
        <v>#N/A</v>
      </c>
      <c r="CY703" s="46"/>
      <c r="CZ703" s="46" t="e">
        <f t="shared" si="74"/>
        <v>#N/A</v>
      </c>
      <c r="DA703" s="46" t="e">
        <f t="shared" si="75"/>
        <v>#N/A</v>
      </c>
      <c r="DB703" s="46"/>
      <c r="DC703" s="46" t="e">
        <f t="shared" si="76"/>
        <v>#N/A</v>
      </c>
      <c r="DD703" s="46"/>
      <c r="DE703" s="995" t="s">
        <v>194</v>
      </c>
      <c r="DF703" s="995" t="s">
        <v>194</v>
      </c>
      <c r="DG703" s="995" t="s">
        <v>194</v>
      </c>
      <c r="DH703" s="995" t="s">
        <v>194</v>
      </c>
      <c r="DI703" s="995" t="s">
        <v>194</v>
      </c>
      <c r="DJ703" s="995" t="s">
        <v>194</v>
      </c>
      <c r="DK703" s="995" t="s">
        <v>194</v>
      </c>
      <c r="DL703" s="995" t="s">
        <v>194</v>
      </c>
      <c r="DM703" s="995" t="s">
        <v>194</v>
      </c>
      <c r="DN703" s="995" t="s">
        <v>194</v>
      </c>
      <c r="DO703" s="995" t="s">
        <v>194</v>
      </c>
      <c r="DP703" s="995" t="s">
        <v>194</v>
      </c>
      <c r="DQ703" s="995" t="s">
        <v>194</v>
      </c>
      <c r="DR703" s="995" t="s">
        <v>194</v>
      </c>
      <c r="DS703" s="995" t="s">
        <v>194</v>
      </c>
      <c r="DT703" s="995" t="s">
        <v>194</v>
      </c>
    </row>
    <row r="704" spans="1:124">
      <c r="A704" s="42" t="s">
        <v>94</v>
      </c>
      <c r="B704" s="42" t="s">
        <v>502</v>
      </c>
      <c r="C704" s="42" t="s">
        <v>931</v>
      </c>
      <c r="D704" s="42">
        <v>916351</v>
      </c>
      <c r="E704" s="42" t="s">
        <v>943</v>
      </c>
      <c r="F704" s="42" t="s">
        <v>149</v>
      </c>
      <c r="G704" s="42" t="s">
        <v>150</v>
      </c>
      <c r="H704" s="43" t="s">
        <v>150</v>
      </c>
      <c r="I704" s="44">
        <v>50</v>
      </c>
      <c r="J704" s="45">
        <v>277653.18</v>
      </c>
      <c r="K704" s="46">
        <v>19786.017959000001</v>
      </c>
      <c r="L704" s="47">
        <v>297439.19795900001</v>
      </c>
      <c r="M704" s="48">
        <v>7147124</v>
      </c>
      <c r="N704" s="49">
        <v>4153527</v>
      </c>
      <c r="O704" s="49">
        <v>2993597</v>
      </c>
      <c r="P704" s="49">
        <v>0</v>
      </c>
      <c r="Q704" s="50">
        <v>16354.974851258599</v>
      </c>
      <c r="R704" s="51">
        <v>21461.110189513802</v>
      </c>
      <c r="S704" s="49">
        <v>32979.936003783201</v>
      </c>
      <c r="T704" s="49">
        <v>6632.4105285496998</v>
      </c>
      <c r="U704" s="49">
        <f>IFERROR(INDEX('Rentabilidad datos'!$N$2:$N$61,MATCH($C704,'Rentabilidad datos'!$C$2:$C$61,0)),"")</f>
        <v>61073.456721846684</v>
      </c>
      <c r="V704" s="50">
        <f>IFERROR(INDEX('Rentabilidad datos'!$O$2:$O$61,MATCH($C704,'Rentabilidad datos'!$C$2:$C$61,0)),"")</f>
        <v>1299.4352494009934</v>
      </c>
      <c r="W704" s="51">
        <f>IFERROR(INDEX('Rentabilidad datos'!$M$2:$M$61,MATCH($C704,'Rentabilidad datos'!$C$2:$C$61,0)),"")</f>
        <v>3641.9429094456564</v>
      </c>
      <c r="X704" s="52">
        <f>IFERROR(INDEX('Rentabilidad datos'!$P$2:$P$61,MATCH($C704,'Rentabilidad datos'!$C$2:$C$61,0)),"")</f>
        <v>0.35679725951519148</v>
      </c>
      <c r="Y704" s="43" t="s">
        <v>171</v>
      </c>
      <c r="Z704" s="53">
        <v>65.942791762013698</v>
      </c>
      <c r="AA704" s="43">
        <v>2</v>
      </c>
      <c r="AB704" s="54">
        <v>0.98086027330713721</v>
      </c>
      <c r="AC704" s="55">
        <v>1.9139726692862753E-2</v>
      </c>
      <c r="AD704" s="752" t="e">
        <f>_xlfn.XLOOKUP(Table1[[#This Row],[Ruta]],#REF!,#REF!)</f>
        <v>#REF!</v>
      </c>
      <c r="AE704" s="752" t="e">
        <f>_xlfn.XLOOKUP(Table1[[#This Row],[Ruta]],#REF!,#REF!)</f>
        <v>#REF!</v>
      </c>
      <c r="AF704" s="752" t="e">
        <f>_xlfn.XLOOKUP(Table1[[#This Row],[Ruta]],#REF!,#REF!)</f>
        <v>#REF!</v>
      </c>
      <c r="AG704" s="752" t="e">
        <f>_xlfn.XLOOKUP(Table1[[#This Row],[Ruta]],#REF!,#REF!)</f>
        <v>#REF!</v>
      </c>
      <c r="AH704" s="52">
        <v>0.5811466262513425</v>
      </c>
      <c r="AI704" s="52">
        <v>0.4188533737486575</v>
      </c>
      <c r="AJ704" s="55">
        <v>0</v>
      </c>
      <c r="AK704" s="56">
        <v>28817</v>
      </c>
      <c r="AL704" s="44">
        <v>20508</v>
      </c>
      <c r="AM704" s="54">
        <v>0.71166325432904198</v>
      </c>
      <c r="AN704" s="55">
        <v>0.62538735712289495</v>
      </c>
      <c r="AO704" s="56">
        <v>0</v>
      </c>
      <c r="AP704" s="48">
        <v>0</v>
      </c>
      <c r="AQ704" s="55">
        <v>0.71166325432904187</v>
      </c>
      <c r="AR704" s="51">
        <v>7147124.0099999998</v>
      </c>
      <c r="AS704" s="49">
        <v>0</v>
      </c>
      <c r="AT704" s="55">
        <v>0</v>
      </c>
      <c r="AU704" s="51">
        <v>0</v>
      </c>
      <c r="AV704" s="52">
        <v>0</v>
      </c>
      <c r="AW704" s="44">
        <v>490</v>
      </c>
      <c r="AX704" s="51">
        <v>348.504193973084</v>
      </c>
      <c r="AY704" s="49">
        <v>327.331066067118</v>
      </c>
      <c r="AZ704" s="49">
        <v>0</v>
      </c>
      <c r="BA704" s="42" t="s">
        <v>152</v>
      </c>
      <c r="BB704" s="50">
        <v>0</v>
      </c>
      <c r="BC704" s="57">
        <v>0</v>
      </c>
      <c r="BD704" s="42" t="s">
        <v>150</v>
      </c>
      <c r="BE704" s="46">
        <v>65.942791762013698</v>
      </c>
      <c r="BF704" s="46">
        <v>77.052752293577996</v>
      </c>
      <c r="BG704" s="42" t="s">
        <v>152</v>
      </c>
      <c r="BH704" s="52">
        <v>0.71166325432904198</v>
      </c>
      <c r="BI704" s="52">
        <v>0.58451671985922604</v>
      </c>
      <c r="BJ704" s="42" t="s">
        <v>150</v>
      </c>
      <c r="BK704" s="46">
        <v>680.63889693135002</v>
      </c>
      <c r="BL704" s="46">
        <v>592.94411248383199</v>
      </c>
      <c r="BM704" s="42" t="s">
        <v>150</v>
      </c>
      <c r="BN704" s="48">
        <v>2</v>
      </c>
      <c r="BO704" s="42" t="s">
        <v>161</v>
      </c>
      <c r="BP704" s="42" t="s">
        <v>152</v>
      </c>
      <c r="BQ704" s="46">
        <v>742.71823828624099</v>
      </c>
      <c r="BR704" s="46">
        <v>121</v>
      </c>
      <c r="BS704" s="46">
        <v>8243</v>
      </c>
      <c r="BT704" s="46">
        <v>2711</v>
      </c>
      <c r="BU704" s="46">
        <v>3.0405754334194026</v>
      </c>
      <c r="BV704" s="46">
        <v>22.404958677685951</v>
      </c>
      <c r="BW704" s="46">
        <v>2508</v>
      </c>
      <c r="BX704" s="46">
        <v>203</v>
      </c>
      <c r="BY704" s="46">
        <v>2711</v>
      </c>
      <c r="BZ704" s="46">
        <v>1</v>
      </c>
      <c r="CA704" s="46">
        <v>0.92511988196237549</v>
      </c>
      <c r="CB704" s="46">
        <v>7.4880118037624496E-2</v>
      </c>
      <c r="CC704" s="46">
        <v>0</v>
      </c>
      <c r="CD704" s="46">
        <v>0</v>
      </c>
      <c r="CE704" s="46">
        <v>0</v>
      </c>
      <c r="CF704" s="46">
        <v>0</v>
      </c>
      <c r="CG704" s="46">
        <v>0</v>
      </c>
      <c r="CH704" s="46">
        <v>0</v>
      </c>
      <c r="CI704" s="46">
        <v>1.2131505519835011</v>
      </c>
      <c r="CJ704" s="46">
        <v>0.24263011039670021</v>
      </c>
      <c r="CK704">
        <v>374</v>
      </c>
      <c r="CL704">
        <v>441.91</v>
      </c>
      <c r="CM704">
        <f t="shared" si="77"/>
        <v>67.910000000000025</v>
      </c>
      <c r="CN704">
        <v>8.9600000000000009</v>
      </c>
      <c r="CO704">
        <v>9.4499999999999993</v>
      </c>
      <c r="CP704">
        <f t="shared" si="78"/>
        <v>0.48999999999999844</v>
      </c>
      <c r="CQ704">
        <v>846.56</v>
      </c>
      <c r="CR704">
        <v>680.64</v>
      </c>
      <c r="CS704">
        <f t="shared" si="79"/>
        <v>165.91999999999996</v>
      </c>
      <c r="CT704" t="s">
        <v>152</v>
      </c>
      <c r="CU704">
        <v>96.54</v>
      </c>
      <c r="CV704">
        <v>374</v>
      </c>
      <c r="CW704" s="46">
        <v>2711</v>
      </c>
      <c r="CX704" s="46">
        <f t="shared" si="73"/>
        <v>97.495020287716713</v>
      </c>
      <c r="CY704" s="46">
        <v>67.91</v>
      </c>
      <c r="CZ704" s="46">
        <f t="shared" si="74"/>
        <v>100</v>
      </c>
      <c r="DA704" s="46">
        <f t="shared" si="75"/>
        <v>414.43413424688094</v>
      </c>
      <c r="DB704" s="46">
        <v>1151675.1599999999</v>
      </c>
      <c r="DC704" s="46">
        <f t="shared" si="76"/>
        <v>17.26730984450738</v>
      </c>
      <c r="DD704" s="46">
        <v>47984.3</v>
      </c>
      <c r="DE704" s="995">
        <v>2711</v>
      </c>
      <c r="DF704" s="995">
        <v>97.24</v>
      </c>
      <c r="DG704" s="995">
        <v>74.8</v>
      </c>
      <c r="DH704" s="995">
        <v>100</v>
      </c>
      <c r="DI704" s="995">
        <v>2127.721</v>
      </c>
      <c r="DJ704" s="995">
        <v>5927461</v>
      </c>
      <c r="DK704" s="995">
        <v>84.91</v>
      </c>
      <c r="DL704" s="995">
        <v>236543.8</v>
      </c>
      <c r="DM704" s="995">
        <v>2711</v>
      </c>
      <c r="DN704" s="995">
        <v>97.284999999999997</v>
      </c>
      <c r="DO704" s="995">
        <v>73.599999999999994</v>
      </c>
      <c r="DP704" s="995">
        <v>100</v>
      </c>
      <c r="DQ704" s="995">
        <v>2123.9229999999998</v>
      </c>
      <c r="DR704" s="995">
        <v>5914289</v>
      </c>
      <c r="DS704" s="995">
        <v>84.766999999999996</v>
      </c>
      <c r="DT704" s="995">
        <v>236043.8</v>
      </c>
    </row>
    <row r="705" spans="1:124">
      <c r="A705" s="42" t="s">
        <v>94</v>
      </c>
      <c r="B705" s="42" t="s">
        <v>502</v>
      </c>
      <c r="C705" s="42" t="s">
        <v>931</v>
      </c>
      <c r="D705" s="42">
        <v>916352</v>
      </c>
      <c r="E705" s="42" t="s">
        <v>944</v>
      </c>
      <c r="F705" s="42" t="s">
        <v>149</v>
      </c>
      <c r="G705" s="42" t="s">
        <v>150</v>
      </c>
      <c r="H705" s="43" t="s">
        <v>150</v>
      </c>
      <c r="I705" s="44">
        <v>50</v>
      </c>
      <c r="J705" s="45">
        <v>211664.53839999999</v>
      </c>
      <c r="K705" s="46">
        <v>18974.884614999999</v>
      </c>
      <c r="L705" s="47">
        <v>230639.42301500001</v>
      </c>
      <c r="M705" s="48">
        <v>5770464</v>
      </c>
      <c r="N705" s="49">
        <v>3125133</v>
      </c>
      <c r="O705" s="49">
        <v>2645331</v>
      </c>
      <c r="P705" s="49">
        <v>0</v>
      </c>
      <c r="Q705" s="50">
        <v>13235.0074770642</v>
      </c>
      <c r="R705" s="51">
        <v>21461.110189513802</v>
      </c>
      <c r="S705" s="49">
        <v>32979.936003783201</v>
      </c>
      <c r="T705" s="49">
        <v>6632.4105285496998</v>
      </c>
      <c r="U705" s="49">
        <f>IFERROR(INDEX('Rentabilidad datos'!$N$2:$N$61,MATCH($C705,'Rentabilidad datos'!$C$2:$C$61,0)),"")</f>
        <v>61073.456721846684</v>
      </c>
      <c r="V705" s="50">
        <f>IFERROR(INDEX('Rentabilidad datos'!$O$2:$O$61,MATCH($C705,'Rentabilidad datos'!$C$2:$C$61,0)),"")</f>
        <v>1299.4352494009934</v>
      </c>
      <c r="W705" s="51">
        <f>IFERROR(INDEX('Rentabilidad datos'!$M$2:$M$61,MATCH($C705,'Rentabilidad datos'!$C$2:$C$61,0)),"")</f>
        <v>3641.9429094456564</v>
      </c>
      <c r="X705" s="52">
        <f>IFERROR(INDEX('Rentabilidad datos'!$P$2:$P$61,MATCH($C705,'Rentabilidad datos'!$C$2:$C$61,0)),"")</f>
        <v>0.35679725951519148</v>
      </c>
      <c r="Y705" s="43" t="s">
        <v>171</v>
      </c>
      <c r="Z705" s="53">
        <v>64.899082568807302</v>
      </c>
      <c r="AA705" s="43">
        <v>2</v>
      </c>
      <c r="AB705" s="54">
        <v>0.9547880378423641</v>
      </c>
      <c r="AC705" s="55">
        <v>4.521196215763585E-2</v>
      </c>
      <c r="AD705" s="752" t="e">
        <f>_xlfn.XLOOKUP(Table1[[#This Row],[Ruta]],#REF!,#REF!)</f>
        <v>#REF!</v>
      </c>
      <c r="AE705" s="752" t="e">
        <f>_xlfn.XLOOKUP(Table1[[#This Row],[Ruta]],#REF!,#REF!)</f>
        <v>#REF!</v>
      </c>
      <c r="AF705" s="752" t="e">
        <f>_xlfn.XLOOKUP(Table1[[#This Row],[Ruta]],#REF!,#REF!)</f>
        <v>#REF!</v>
      </c>
      <c r="AG705" s="752" t="e">
        <f>_xlfn.XLOOKUP(Table1[[#This Row],[Ruta]],#REF!,#REF!)</f>
        <v>#REF!</v>
      </c>
      <c r="AH705" s="52">
        <v>0.54157395315177426</v>
      </c>
      <c r="AI705" s="52">
        <v>0.45842604684822574</v>
      </c>
      <c r="AJ705" s="55">
        <v>0</v>
      </c>
      <c r="AK705" s="56">
        <v>28296</v>
      </c>
      <c r="AL705" s="44">
        <v>20234</v>
      </c>
      <c r="AM705" s="54">
        <v>0.71508340401470205</v>
      </c>
      <c r="AN705" s="55">
        <v>0.62538735712289495</v>
      </c>
      <c r="AO705" s="56">
        <v>0</v>
      </c>
      <c r="AP705" s="48">
        <v>0</v>
      </c>
      <c r="AQ705" s="55">
        <v>0.71508340401470172</v>
      </c>
      <c r="AR705" s="51">
        <v>5770463.2599999998</v>
      </c>
      <c r="AS705" s="49">
        <v>0</v>
      </c>
      <c r="AT705" s="55">
        <v>0</v>
      </c>
      <c r="AU705" s="51">
        <v>0</v>
      </c>
      <c r="AV705" s="52">
        <v>0</v>
      </c>
      <c r="AW705" s="44">
        <v>490</v>
      </c>
      <c r="AX705" s="51">
        <v>285.18648117030801</v>
      </c>
      <c r="AY705" s="49">
        <v>327.331066067118</v>
      </c>
      <c r="AZ705" s="49">
        <v>42.144584896809988</v>
      </c>
      <c r="BA705" s="42" t="s">
        <v>150</v>
      </c>
      <c r="BB705" s="50">
        <v>299616.10541693773</v>
      </c>
      <c r="BC705" s="57">
        <v>299616.10541693773</v>
      </c>
      <c r="BD705" s="42" t="s">
        <v>150</v>
      </c>
      <c r="BE705" s="46">
        <v>64.899082568807302</v>
      </c>
      <c r="BF705" s="46">
        <v>77.052752293577996</v>
      </c>
      <c r="BG705" s="42" t="s">
        <v>152</v>
      </c>
      <c r="BH705" s="52">
        <v>0.71508340401470205</v>
      </c>
      <c r="BI705" s="52">
        <v>0.58451671985922604</v>
      </c>
      <c r="BJ705" s="42" t="s">
        <v>150</v>
      </c>
      <c r="BK705" s="46">
        <v>528.989502327982</v>
      </c>
      <c r="BL705" s="46">
        <v>592.94411248383199</v>
      </c>
      <c r="BM705" s="42" t="s">
        <v>152</v>
      </c>
      <c r="BN705" s="48">
        <v>1</v>
      </c>
      <c r="BO705" s="42" t="s">
        <v>155</v>
      </c>
      <c r="BP705" s="42" t="s">
        <v>152</v>
      </c>
      <c r="BQ705" s="46">
        <v>0</v>
      </c>
      <c r="BR705" s="46">
        <v>187</v>
      </c>
      <c r="BS705" s="46">
        <v>10473</v>
      </c>
      <c r="BT705" s="46">
        <v>3387</v>
      </c>
      <c r="BU705" s="46">
        <v>3.092116917626218</v>
      </c>
      <c r="BV705" s="46">
        <v>18.112299465240643</v>
      </c>
      <c r="BW705" s="46">
        <v>1642</v>
      </c>
      <c r="BX705" s="46">
        <v>1745</v>
      </c>
      <c r="BY705" s="46">
        <v>3387</v>
      </c>
      <c r="BZ705" s="46">
        <v>1</v>
      </c>
      <c r="CA705" s="46">
        <v>0.48479480366105698</v>
      </c>
      <c r="CB705" s="46">
        <v>0.51520519633894302</v>
      </c>
      <c r="CC705" s="46">
        <v>0</v>
      </c>
      <c r="CD705" s="46">
        <v>0</v>
      </c>
      <c r="CE705" s="46">
        <v>0</v>
      </c>
      <c r="CF705" s="46">
        <v>0</v>
      </c>
      <c r="CG705" s="46">
        <v>0</v>
      </c>
      <c r="CH705" s="46">
        <v>0</v>
      </c>
      <c r="CI705" s="46">
        <v>2.291606989401318</v>
      </c>
      <c r="CJ705" s="46">
        <v>0.85935262102549415</v>
      </c>
      <c r="CK705">
        <v>392</v>
      </c>
      <c r="CL705">
        <v>415.4</v>
      </c>
      <c r="CM705">
        <f t="shared" si="77"/>
        <v>23.399999999999977</v>
      </c>
      <c r="CN705">
        <v>9.24</v>
      </c>
      <c r="CO705">
        <v>9.4499999999999993</v>
      </c>
      <c r="CP705">
        <f t="shared" si="78"/>
        <v>0.20999999999999908</v>
      </c>
      <c r="CQ705">
        <v>846.56</v>
      </c>
      <c r="CR705">
        <v>528.99</v>
      </c>
      <c r="CS705">
        <f t="shared" si="79"/>
        <v>317.56999999999994</v>
      </c>
      <c r="CT705" t="s">
        <v>152</v>
      </c>
      <c r="CU705">
        <v>97.81</v>
      </c>
      <c r="CV705">
        <v>402</v>
      </c>
      <c r="CW705" s="46">
        <v>3387</v>
      </c>
      <c r="CX705" s="46">
        <f t="shared" si="73"/>
        <v>99.309123117803367</v>
      </c>
      <c r="CY705" s="46">
        <v>23.4</v>
      </c>
      <c r="CZ705" s="46">
        <f t="shared" si="74"/>
        <v>100</v>
      </c>
      <c r="DA705" s="46">
        <f t="shared" si="75"/>
        <v>501.59178688716861</v>
      </c>
      <c r="DB705" s="46">
        <v>1710628.63</v>
      </c>
      <c r="DC705" s="46">
        <f t="shared" si="76"/>
        <v>20.295584095707248</v>
      </c>
      <c r="DD705" s="46">
        <v>69216.06</v>
      </c>
      <c r="DE705" s="995">
        <v>3387</v>
      </c>
      <c r="DF705" s="995">
        <v>99.064999999999998</v>
      </c>
      <c r="DG705" s="995">
        <v>31.7</v>
      </c>
      <c r="DH705" s="995">
        <v>100</v>
      </c>
      <c r="DI705" s="995">
        <v>1590.82</v>
      </c>
      <c r="DJ705" s="995">
        <v>5438498</v>
      </c>
      <c r="DK705" s="995">
        <v>64.376000000000005</v>
      </c>
      <c r="DL705" s="995">
        <v>220081.7</v>
      </c>
      <c r="DM705" s="995">
        <v>3387</v>
      </c>
      <c r="DN705" s="995">
        <v>99.23</v>
      </c>
      <c r="DO705" s="995">
        <v>26.1</v>
      </c>
      <c r="DP705" s="995">
        <v>100</v>
      </c>
      <c r="DQ705" s="995">
        <v>1576.73</v>
      </c>
      <c r="DR705" s="995">
        <v>5381515</v>
      </c>
      <c r="DS705" s="995">
        <v>63.804000000000002</v>
      </c>
      <c r="DT705" s="995">
        <v>217767.6</v>
      </c>
    </row>
    <row r="706" spans="1:124">
      <c r="A706" s="42" t="s">
        <v>94</v>
      </c>
      <c r="B706" s="42" t="s">
        <v>502</v>
      </c>
      <c r="C706" s="42" t="s">
        <v>931</v>
      </c>
      <c r="D706" s="42">
        <v>916353</v>
      </c>
      <c r="E706" s="42" t="s">
        <v>945</v>
      </c>
      <c r="F706" s="42" t="s">
        <v>149</v>
      </c>
      <c r="G706" s="42" t="s">
        <v>150</v>
      </c>
      <c r="H706" s="43" t="s">
        <v>150</v>
      </c>
      <c r="I706" s="44">
        <v>50</v>
      </c>
      <c r="J706" s="45">
        <v>219769.58079999901</v>
      </c>
      <c r="K706" s="46">
        <v>15730.49265</v>
      </c>
      <c r="L706" s="47">
        <v>235500.07344999901</v>
      </c>
      <c r="M706" s="48">
        <v>5005913</v>
      </c>
      <c r="N706" s="49">
        <v>3254547</v>
      </c>
      <c r="O706" s="49">
        <v>1751366</v>
      </c>
      <c r="P706" s="49">
        <v>0</v>
      </c>
      <c r="Q706" s="50">
        <v>11507.8433563218</v>
      </c>
      <c r="R706" s="51">
        <v>21461.110189513802</v>
      </c>
      <c r="S706" s="49">
        <v>32979.936003783201</v>
      </c>
      <c r="T706" s="49">
        <v>6632.4105285496998</v>
      </c>
      <c r="U706" s="49">
        <f>IFERROR(INDEX('Rentabilidad datos'!$N$2:$N$61,MATCH($C706,'Rentabilidad datos'!$C$2:$C$61,0)),"")</f>
        <v>61073.456721846684</v>
      </c>
      <c r="V706" s="50">
        <f>IFERROR(INDEX('Rentabilidad datos'!$O$2:$O$61,MATCH($C706,'Rentabilidad datos'!$C$2:$C$61,0)),"")</f>
        <v>1299.4352494009934</v>
      </c>
      <c r="W706" s="51">
        <f>IFERROR(INDEX('Rentabilidad datos'!$M$2:$M$61,MATCH($C706,'Rentabilidad datos'!$C$2:$C$61,0)),"")</f>
        <v>3641.9429094456564</v>
      </c>
      <c r="X706" s="52">
        <f>IFERROR(INDEX('Rentabilidad datos'!$P$2:$P$61,MATCH($C706,'Rentabilidad datos'!$C$2:$C$61,0)),"")</f>
        <v>0.35679725951519148</v>
      </c>
      <c r="Y706" s="43" t="s">
        <v>171</v>
      </c>
      <c r="Z706" s="53">
        <v>88.4</v>
      </c>
      <c r="AA706" s="43">
        <v>2</v>
      </c>
      <c r="AB706" s="54">
        <v>0.99273658970901013</v>
      </c>
      <c r="AC706" s="55">
        <v>7.2634102909898751E-3</v>
      </c>
      <c r="AD706" s="752" t="e">
        <f>_xlfn.XLOOKUP(Table1[[#This Row],[Ruta]],#REF!,#REF!)</f>
        <v>#REF!</v>
      </c>
      <c r="AE706" s="752" t="e">
        <f>_xlfn.XLOOKUP(Table1[[#This Row],[Ruta]],#REF!,#REF!)</f>
        <v>#REF!</v>
      </c>
      <c r="AF706" s="752" t="e">
        <f>_xlfn.XLOOKUP(Table1[[#This Row],[Ruta]],#REF!,#REF!)</f>
        <v>#REF!</v>
      </c>
      <c r="AG706" s="752" t="e">
        <f>_xlfn.XLOOKUP(Table1[[#This Row],[Ruta]],#REF!,#REF!)</f>
        <v>#REF!</v>
      </c>
      <c r="AH706" s="52">
        <v>0.65014054379291053</v>
      </c>
      <c r="AI706" s="52">
        <v>0.34985945620708947</v>
      </c>
      <c r="AJ706" s="55">
        <v>0</v>
      </c>
      <c r="AK706" s="56">
        <v>38454</v>
      </c>
      <c r="AL706" s="44">
        <v>17478</v>
      </c>
      <c r="AM706" s="54">
        <v>0.45451708534872798</v>
      </c>
      <c r="AN706" s="55">
        <v>0.62538735712289495</v>
      </c>
      <c r="AO706" s="56">
        <v>6570.6454308038001</v>
      </c>
      <c r="AP706" s="48">
        <v>3285.3227154019</v>
      </c>
      <c r="AQ706" s="55">
        <v>0.53995222123581166</v>
      </c>
      <c r="AR706" s="51">
        <v>5005911.8600000003</v>
      </c>
      <c r="AS706" s="49">
        <v>940956.39918513503</v>
      </c>
      <c r="AT706" s="55">
        <v>0.1879690305184748</v>
      </c>
      <c r="AU706" s="51">
        <v>661212.60483279778</v>
      </c>
      <c r="AV706" s="52">
        <v>3.0079187116639253E-3</v>
      </c>
      <c r="AW706" s="44">
        <v>105</v>
      </c>
      <c r="AX706" s="51">
        <v>286.412167296029</v>
      </c>
      <c r="AY706" s="49">
        <v>327.331066067118</v>
      </c>
      <c r="AZ706" s="49">
        <v>40.918898771089005</v>
      </c>
      <c r="BA706" s="42" t="s">
        <v>150</v>
      </c>
      <c r="BB706" s="50">
        <v>251279.63960470865</v>
      </c>
      <c r="BC706" s="57">
        <v>912492.24443750642</v>
      </c>
      <c r="BD706" s="42" t="s">
        <v>150</v>
      </c>
      <c r="BE706" s="46">
        <v>88.4</v>
      </c>
      <c r="BF706" s="46">
        <v>77.052752293577996</v>
      </c>
      <c r="BG706" s="42" t="s">
        <v>150</v>
      </c>
      <c r="BH706" s="52">
        <v>0.45451708534872798</v>
      </c>
      <c r="BI706" s="52">
        <v>0.58451671985922604</v>
      </c>
      <c r="BJ706" s="42" t="s">
        <v>152</v>
      </c>
      <c r="BK706" s="46">
        <v>541.37947919540102</v>
      </c>
      <c r="BL706" s="46">
        <v>592.94411248383199</v>
      </c>
      <c r="BM706" s="42" t="s">
        <v>152</v>
      </c>
      <c r="BN706" s="48">
        <v>1</v>
      </c>
      <c r="BO706" s="42" t="s">
        <v>155</v>
      </c>
      <c r="BP706" s="42" t="s">
        <v>152</v>
      </c>
      <c r="BQ706" s="46">
        <v>5212.4555885763002</v>
      </c>
      <c r="BR706" s="46">
        <v>323</v>
      </c>
      <c r="BS706" s="46">
        <v>22511</v>
      </c>
      <c r="BT706" s="46">
        <v>6191</v>
      </c>
      <c r="BU706" s="46">
        <v>3.6360846389920853</v>
      </c>
      <c r="BV706" s="46">
        <v>19.1671826625387</v>
      </c>
      <c r="BW706" s="46">
        <v>0</v>
      </c>
      <c r="BX706" s="46">
        <v>3636</v>
      </c>
      <c r="BY706" s="46">
        <v>3636</v>
      </c>
      <c r="BZ706" s="46">
        <v>0.58730415118720725</v>
      </c>
      <c r="CA706" s="46">
        <v>0</v>
      </c>
      <c r="CB706" s="46">
        <v>0.58730415118720725</v>
      </c>
      <c r="CC706" s="46">
        <v>0.112098207074786</v>
      </c>
      <c r="CD706" s="46">
        <v>0</v>
      </c>
      <c r="CE706" s="46">
        <v>0</v>
      </c>
      <c r="CF706" s="46">
        <v>0.30059764173800679</v>
      </c>
      <c r="CG706" s="46">
        <v>0</v>
      </c>
      <c r="CH706" s="46">
        <v>0</v>
      </c>
      <c r="CI706" s="46">
        <v>5.9970681000399804</v>
      </c>
      <c r="CJ706" s="46">
        <v>0.2221136333348141</v>
      </c>
      <c r="CK706">
        <v>412</v>
      </c>
      <c r="CL706">
        <v>472.18</v>
      </c>
      <c r="CM706">
        <f t="shared" si="77"/>
        <v>60.180000000000007</v>
      </c>
      <c r="CN706">
        <v>11.13</v>
      </c>
      <c r="CO706">
        <v>9.4499999999999993</v>
      </c>
      <c r="CP706">
        <f t="shared" si="78"/>
        <v>-1.6800000000000015</v>
      </c>
      <c r="CQ706">
        <v>846.56</v>
      </c>
      <c r="CR706">
        <v>541.38</v>
      </c>
      <c r="CS706">
        <f t="shared" si="79"/>
        <v>305.17999999999995</v>
      </c>
      <c r="CT706" t="s">
        <v>150</v>
      </c>
      <c r="CU706">
        <v>117.82</v>
      </c>
      <c r="CV706">
        <v>312</v>
      </c>
      <c r="CW706" s="46">
        <v>3636</v>
      </c>
      <c r="CX706" s="46">
        <f t="shared" si="73"/>
        <v>57.758358908092397</v>
      </c>
      <c r="CY706" s="46">
        <v>60.18</v>
      </c>
      <c r="CZ706" s="46">
        <f t="shared" si="74"/>
        <v>58.730415118720728</v>
      </c>
      <c r="DA706" s="46">
        <f t="shared" si="75"/>
        <v>118.14874951609136</v>
      </c>
      <c r="DB706" s="46">
        <v>738569.1</v>
      </c>
      <c r="DC706" s="46">
        <f t="shared" si="76"/>
        <v>5.4047155896966652</v>
      </c>
      <c r="DD706" s="46">
        <v>33785.85</v>
      </c>
      <c r="DE706" s="995">
        <v>3636</v>
      </c>
      <c r="DF706" s="995">
        <v>57.887999999999998</v>
      </c>
      <c r="DG706" s="995">
        <v>52.1</v>
      </c>
      <c r="DH706" s="995">
        <v>58.73</v>
      </c>
      <c r="DI706" s="995">
        <v>811.93200000000002</v>
      </c>
      <c r="DJ706" s="995">
        <v>5069012</v>
      </c>
      <c r="DK706" s="995">
        <v>36.273000000000003</v>
      </c>
      <c r="DL706" s="995">
        <v>226454.9</v>
      </c>
      <c r="DM706" s="995">
        <v>3636</v>
      </c>
      <c r="DN706" s="995">
        <v>58.036999999999999</v>
      </c>
      <c r="DO706" s="995">
        <v>42.9</v>
      </c>
      <c r="DP706" s="995">
        <v>58.73</v>
      </c>
      <c r="DQ706" s="995">
        <v>799.81799999999998</v>
      </c>
      <c r="DR706" s="995">
        <v>4986021</v>
      </c>
      <c r="DS706" s="995">
        <v>35.704000000000001</v>
      </c>
      <c r="DT706" s="995">
        <v>222575.5</v>
      </c>
    </row>
    <row r="707" spans="1:124">
      <c r="A707" s="42" t="s">
        <v>94</v>
      </c>
      <c r="B707" s="42" t="s">
        <v>502</v>
      </c>
      <c r="C707" s="42" t="s">
        <v>931</v>
      </c>
      <c r="D707" s="42">
        <v>916354</v>
      </c>
      <c r="E707" s="42" t="s">
        <v>946</v>
      </c>
      <c r="F707" s="42" t="s">
        <v>149</v>
      </c>
      <c r="G707" s="42" t="s">
        <v>150</v>
      </c>
      <c r="H707" s="43" t="s">
        <v>150</v>
      </c>
      <c r="I707" s="44">
        <v>50</v>
      </c>
      <c r="J707" s="45">
        <v>158138.14799999999</v>
      </c>
      <c r="K707" s="46">
        <v>10900.087325</v>
      </c>
      <c r="L707" s="47">
        <v>169038.23532499999</v>
      </c>
      <c r="M707" s="48">
        <v>3659392</v>
      </c>
      <c r="N707" s="49">
        <v>2313413</v>
      </c>
      <c r="O707" s="49">
        <v>1345979</v>
      </c>
      <c r="P707" s="49">
        <v>0</v>
      </c>
      <c r="Q707" s="50">
        <v>8279.1650000000009</v>
      </c>
      <c r="R707" s="51">
        <v>21461.110189513802</v>
      </c>
      <c r="S707" s="49">
        <v>32979.936003783201</v>
      </c>
      <c r="T707" s="49">
        <v>6632.4105285496998</v>
      </c>
      <c r="U707" s="49">
        <f>IFERROR(INDEX('Rentabilidad datos'!$N$2:$N$61,MATCH($C707,'Rentabilidad datos'!$C$2:$C$61,0)),"")</f>
        <v>61073.456721846684</v>
      </c>
      <c r="V707" s="50">
        <f>IFERROR(INDEX('Rentabilidad datos'!$O$2:$O$61,MATCH($C707,'Rentabilidad datos'!$C$2:$C$61,0)),"")</f>
        <v>1299.4352494009934</v>
      </c>
      <c r="W707" s="51">
        <f>IFERROR(INDEX('Rentabilidad datos'!$M$2:$M$61,MATCH($C707,'Rentabilidad datos'!$C$2:$C$61,0)),"")</f>
        <v>3641.9429094456564</v>
      </c>
      <c r="X707" s="52">
        <f>IFERROR(INDEX('Rentabilidad datos'!$P$2:$P$61,MATCH($C707,'Rentabilidad datos'!$C$2:$C$61,0)),"")</f>
        <v>0.35679725951519148</v>
      </c>
      <c r="Y707" s="43" t="s">
        <v>171</v>
      </c>
      <c r="Z707" s="53">
        <v>59.133484162895897</v>
      </c>
      <c r="AA707" s="43">
        <v>2</v>
      </c>
      <c r="AB707" s="54">
        <v>0.9874891785302039</v>
      </c>
      <c r="AC707" s="55">
        <v>1.2510821469796075E-2</v>
      </c>
      <c r="AD707" s="752" t="e">
        <f>_xlfn.XLOOKUP(Table1[[#This Row],[Ruta]],#REF!,#REF!)</f>
        <v>#REF!</v>
      </c>
      <c r="AE707" s="752" t="e">
        <f>_xlfn.XLOOKUP(Table1[[#This Row],[Ruta]],#REF!,#REF!)</f>
        <v>#REF!</v>
      </c>
      <c r="AF707" s="752" t="e">
        <f>_xlfn.XLOOKUP(Table1[[#This Row],[Ruta]],#REF!,#REF!)</f>
        <v>#REF!</v>
      </c>
      <c r="AG707" s="752" t="e">
        <f>_xlfn.XLOOKUP(Table1[[#This Row],[Ruta]],#REF!,#REF!)</f>
        <v>#REF!</v>
      </c>
      <c r="AH707" s="52">
        <v>0.63218507336737906</v>
      </c>
      <c r="AI707" s="52">
        <v>0.36781492663262094</v>
      </c>
      <c r="AJ707" s="55">
        <v>0</v>
      </c>
      <c r="AK707" s="56">
        <v>26137</v>
      </c>
      <c r="AL707" s="44">
        <v>8784</v>
      </c>
      <c r="AM707" s="54">
        <v>0.33607529555802101</v>
      </c>
      <c r="AN707" s="55">
        <v>0.62538735712289495</v>
      </c>
      <c r="AO707" s="56">
        <v>7561.7493531211003</v>
      </c>
      <c r="AP707" s="48">
        <v>3780.8746765605501</v>
      </c>
      <c r="AQ707" s="55">
        <v>0.48073132634045795</v>
      </c>
      <c r="AR707" s="51">
        <v>3659390.93</v>
      </c>
      <c r="AS707" s="49">
        <v>1575102.2881229951</v>
      </c>
      <c r="AT707" s="55">
        <v>0.43042744496363361</v>
      </c>
      <c r="AU707" s="51">
        <v>1106828.6348972402</v>
      </c>
      <c r="AV707" s="52">
        <v>5.035068202238405E-3</v>
      </c>
      <c r="AW707" s="44">
        <v>30</v>
      </c>
      <c r="AX707" s="51">
        <v>416.597328096539</v>
      </c>
      <c r="AY707" s="49">
        <v>327.331066067118</v>
      </c>
      <c r="AZ707" s="49">
        <v>0</v>
      </c>
      <c r="BA707" s="42" t="s">
        <v>152</v>
      </c>
      <c r="BB707" s="50">
        <v>0</v>
      </c>
      <c r="BC707" s="57">
        <v>1106828.6348972402</v>
      </c>
      <c r="BD707" s="42" t="s">
        <v>150</v>
      </c>
      <c r="BE707" s="46">
        <v>59.133484162895897</v>
      </c>
      <c r="BF707" s="46">
        <v>77.052752293577996</v>
      </c>
      <c r="BG707" s="42" t="s">
        <v>152</v>
      </c>
      <c r="BH707" s="52">
        <v>0.33607529555802101</v>
      </c>
      <c r="BI707" s="52">
        <v>0.58451671985922604</v>
      </c>
      <c r="BJ707" s="42" t="s">
        <v>152</v>
      </c>
      <c r="BK707" s="46">
        <v>382.43944643665202</v>
      </c>
      <c r="BL707" s="46">
        <v>592.94411248383199</v>
      </c>
      <c r="BM707" s="42" t="s">
        <v>152</v>
      </c>
      <c r="BN707" s="48">
        <v>0</v>
      </c>
      <c r="BO707" s="42" t="s">
        <v>155</v>
      </c>
      <c r="BP707" s="42" t="s">
        <v>152</v>
      </c>
      <c r="BQ707" s="46">
        <v>9995.8314178111596</v>
      </c>
      <c r="BR707" s="46">
        <v>135</v>
      </c>
      <c r="BS707" s="46">
        <v>10817</v>
      </c>
      <c r="BT707" s="46">
        <v>3508</v>
      </c>
      <c r="BU707" s="46">
        <v>3.0835233751425313</v>
      </c>
      <c r="BV707" s="46">
        <v>25.985185185185184</v>
      </c>
      <c r="BW707" s="46">
        <v>0</v>
      </c>
      <c r="BX707" s="46">
        <v>2811</v>
      </c>
      <c r="BY707" s="46">
        <v>2811</v>
      </c>
      <c r="BZ707" s="46">
        <v>0.80131128848346633</v>
      </c>
      <c r="CA707" s="46">
        <v>0</v>
      </c>
      <c r="CB707" s="46">
        <v>0.80131128848346633</v>
      </c>
      <c r="CC707" s="46">
        <v>0.19868871151653361</v>
      </c>
      <c r="CD707" s="46">
        <v>0</v>
      </c>
      <c r="CE707" s="46">
        <v>0</v>
      </c>
      <c r="CF707" s="46">
        <v>0</v>
      </c>
      <c r="CG707" s="46">
        <v>0</v>
      </c>
      <c r="CH707" s="46">
        <v>0</v>
      </c>
      <c r="CI707" s="46">
        <v>4.067671258204677</v>
      </c>
      <c r="CJ707" s="46">
        <v>0.83202366645095682</v>
      </c>
      <c r="CK707">
        <v>177</v>
      </c>
      <c r="CL707">
        <v>364.5</v>
      </c>
      <c r="CM707">
        <f t="shared" si="77"/>
        <v>187.5</v>
      </c>
      <c r="CN707">
        <v>4.3899999999999997</v>
      </c>
      <c r="CO707">
        <v>9.4499999999999993</v>
      </c>
      <c r="CP707">
        <f t="shared" si="78"/>
        <v>5.0599999999999996</v>
      </c>
      <c r="CQ707">
        <v>846.56</v>
      </c>
      <c r="CR707">
        <v>382.44</v>
      </c>
      <c r="CS707">
        <f t="shared" si="79"/>
        <v>464.11999999999995</v>
      </c>
      <c r="CT707" t="s">
        <v>152</v>
      </c>
      <c r="CU707">
        <v>47.04</v>
      </c>
      <c r="CV707">
        <v>148</v>
      </c>
      <c r="CW707" s="46">
        <v>2811</v>
      </c>
      <c r="CX707" s="46">
        <f t="shared" si="73"/>
        <v>74.786202964652233</v>
      </c>
      <c r="CY707" s="46">
        <v>187.5</v>
      </c>
      <c r="CZ707" s="46">
        <f t="shared" si="74"/>
        <v>80.131128848346634</v>
      </c>
      <c r="DA707" s="46">
        <f t="shared" si="75"/>
        <v>513.10320660262482</v>
      </c>
      <c r="DB707" s="46">
        <v>1896172.9</v>
      </c>
      <c r="DC707" s="46">
        <f t="shared" si="76"/>
        <v>22.810861859017724</v>
      </c>
      <c r="DD707" s="46">
        <v>84297.54</v>
      </c>
      <c r="DE707" s="995">
        <v>2811</v>
      </c>
      <c r="DF707" s="995">
        <v>75.975999999999999</v>
      </c>
      <c r="DG707" s="995">
        <v>145.80000000000001</v>
      </c>
      <c r="DH707" s="995">
        <v>80.131</v>
      </c>
      <c r="DI707" s="995">
        <v>987.53200000000004</v>
      </c>
      <c r="DJ707" s="995">
        <v>3608194</v>
      </c>
      <c r="DK707" s="995">
        <v>44.064</v>
      </c>
      <c r="DL707" s="995">
        <v>160997.70000000001</v>
      </c>
      <c r="DM707" s="995">
        <v>2811</v>
      </c>
      <c r="DN707" s="995">
        <v>76.471999999999994</v>
      </c>
      <c r="DO707" s="995">
        <v>128.4</v>
      </c>
      <c r="DP707" s="995">
        <v>80.131</v>
      </c>
      <c r="DQ707" s="995">
        <v>945.61800000000005</v>
      </c>
      <c r="DR707" s="995">
        <v>3438602</v>
      </c>
      <c r="DS707" s="995">
        <v>42.24</v>
      </c>
      <c r="DT707" s="995">
        <v>153601.4</v>
      </c>
    </row>
    <row r="708" spans="1:124">
      <c r="A708" s="42" t="s">
        <v>94</v>
      </c>
      <c r="B708" s="42" t="s">
        <v>502</v>
      </c>
      <c r="C708" s="42" t="s">
        <v>931</v>
      </c>
      <c r="D708" s="42">
        <v>916355</v>
      </c>
      <c r="E708" s="42" t="s">
        <v>947</v>
      </c>
      <c r="F708" s="42" t="s">
        <v>149</v>
      </c>
      <c r="G708" s="42" t="s">
        <v>150</v>
      </c>
      <c r="H708" s="43" t="s">
        <v>150</v>
      </c>
      <c r="I708" s="44">
        <v>50</v>
      </c>
      <c r="J708" s="45">
        <v>266402.63439999998</v>
      </c>
      <c r="K708" s="46">
        <v>18017.797412</v>
      </c>
      <c r="L708" s="47">
        <v>284420.431812</v>
      </c>
      <c r="M708" s="48">
        <v>6183827</v>
      </c>
      <c r="N708" s="49">
        <v>3978022</v>
      </c>
      <c r="O708" s="49">
        <v>2205805</v>
      </c>
      <c r="P708" s="49">
        <v>0</v>
      </c>
      <c r="Q708" s="50">
        <v>14150.642745995399</v>
      </c>
      <c r="R708" s="51">
        <v>21461.110189513802</v>
      </c>
      <c r="S708" s="49">
        <v>32979.936003783201</v>
      </c>
      <c r="T708" s="49">
        <v>6632.4105285496998</v>
      </c>
      <c r="U708" s="49">
        <f>IFERROR(INDEX('Rentabilidad datos'!$N$2:$N$61,MATCH($C708,'Rentabilidad datos'!$C$2:$C$61,0)),"")</f>
        <v>61073.456721846684</v>
      </c>
      <c r="V708" s="50">
        <f>IFERROR(INDEX('Rentabilidad datos'!$O$2:$O$61,MATCH($C708,'Rentabilidad datos'!$C$2:$C$61,0)),"")</f>
        <v>1299.4352494009934</v>
      </c>
      <c r="W708" s="51">
        <f>IFERROR(INDEX('Rentabilidad datos'!$M$2:$M$61,MATCH($C708,'Rentabilidad datos'!$C$2:$C$61,0)),"")</f>
        <v>3641.9429094456564</v>
      </c>
      <c r="X708" s="52">
        <f>IFERROR(INDEX('Rentabilidad datos'!$P$2:$P$61,MATCH($C708,'Rentabilidad datos'!$C$2:$C$61,0)),"")</f>
        <v>0.35679725951519148</v>
      </c>
      <c r="Y708" s="43" t="s">
        <v>171</v>
      </c>
      <c r="Z708" s="53">
        <v>71.221967963386703</v>
      </c>
      <c r="AA708" s="43">
        <v>2</v>
      </c>
      <c r="AB708" s="54">
        <v>0.96940664737225024</v>
      </c>
      <c r="AC708" s="55">
        <v>3.0593352627749773E-2</v>
      </c>
      <c r="AD708" s="752" t="e">
        <f>_xlfn.XLOOKUP(Table1[[#This Row],[Ruta]],#REF!,#REF!)</f>
        <v>#REF!</v>
      </c>
      <c r="AE708" s="752" t="e">
        <f>_xlfn.XLOOKUP(Table1[[#This Row],[Ruta]],#REF!,#REF!)</f>
        <v>#REF!</v>
      </c>
      <c r="AF708" s="752" t="e">
        <f>_xlfn.XLOOKUP(Table1[[#This Row],[Ruta]],#REF!,#REF!)</f>
        <v>#REF!</v>
      </c>
      <c r="AG708" s="752" t="e">
        <f>_xlfn.XLOOKUP(Table1[[#This Row],[Ruta]],#REF!,#REF!)</f>
        <v>#REF!</v>
      </c>
      <c r="AH708" s="52">
        <v>0.64329451648631175</v>
      </c>
      <c r="AI708" s="52">
        <v>0.35670548351368819</v>
      </c>
      <c r="AJ708" s="55">
        <v>0</v>
      </c>
      <c r="AK708" s="56">
        <v>31124</v>
      </c>
      <c r="AL708" s="44">
        <v>16891</v>
      </c>
      <c r="AM708" s="54">
        <v>0.54270016707364099</v>
      </c>
      <c r="AN708" s="55">
        <v>0.62538735712289495</v>
      </c>
      <c r="AO708" s="56">
        <v>2573.5561030929798</v>
      </c>
      <c r="AP708" s="48">
        <v>1286.7780515464899</v>
      </c>
      <c r="AQ708" s="55">
        <v>0.58404376209826792</v>
      </c>
      <c r="AR708" s="51">
        <v>6183830.8799999999</v>
      </c>
      <c r="AS708" s="49">
        <v>471092.17043747602</v>
      </c>
      <c r="AT708" s="55">
        <v>7.6181283023295757E-2</v>
      </c>
      <c r="AU708" s="51">
        <v>331037.74138849677</v>
      </c>
      <c r="AV708" s="52">
        <v>1.5059220125442352E-3</v>
      </c>
      <c r="AW708" s="44">
        <v>224</v>
      </c>
      <c r="AX708" s="51">
        <v>366.102118287846</v>
      </c>
      <c r="AY708" s="49">
        <v>327.331066067118</v>
      </c>
      <c r="AZ708" s="49">
        <v>0</v>
      </c>
      <c r="BA708" s="42" t="s">
        <v>152</v>
      </c>
      <c r="BB708" s="50">
        <v>0</v>
      </c>
      <c r="BC708" s="57">
        <v>331037.74138849677</v>
      </c>
      <c r="BD708" s="42" t="s">
        <v>150</v>
      </c>
      <c r="BE708" s="46">
        <v>71.221967963386703</v>
      </c>
      <c r="BF708" s="46">
        <v>77.052752293577996</v>
      </c>
      <c r="BG708" s="42" t="s">
        <v>152</v>
      </c>
      <c r="BH708" s="52">
        <v>0.54270016707364099</v>
      </c>
      <c r="BI708" s="52">
        <v>0.58451671985922604</v>
      </c>
      <c r="BJ708" s="42" t="s">
        <v>152</v>
      </c>
      <c r="BK708" s="46">
        <v>650.84767005034303</v>
      </c>
      <c r="BL708" s="46">
        <v>592.94411248383199</v>
      </c>
      <c r="BM708" s="42" t="s">
        <v>150</v>
      </c>
      <c r="BN708" s="48">
        <v>1</v>
      </c>
      <c r="BO708" s="42" t="s">
        <v>155</v>
      </c>
      <c r="BP708" s="42" t="s">
        <v>152</v>
      </c>
      <c r="BQ708" s="46">
        <v>8719.8394401738096</v>
      </c>
      <c r="BR708" s="46">
        <v>581</v>
      </c>
      <c r="BS708" s="46">
        <v>49339</v>
      </c>
      <c r="BT708" s="46">
        <v>13321</v>
      </c>
      <c r="BU708" s="46">
        <v>3.7038510622325651</v>
      </c>
      <c r="BV708" s="46">
        <v>22.927710843373493</v>
      </c>
      <c r="BW708" s="46">
        <v>0</v>
      </c>
      <c r="BX708" s="46">
        <v>1829</v>
      </c>
      <c r="BY708" s="46">
        <v>1829</v>
      </c>
      <c r="BZ708" s="46">
        <v>0.13730200435402748</v>
      </c>
      <c r="CA708" s="46">
        <v>0</v>
      </c>
      <c r="CB708" s="46">
        <v>0.13730200435402751</v>
      </c>
      <c r="CC708" s="46">
        <v>0.40650101343742961</v>
      </c>
      <c r="CD708" s="46">
        <v>0.38931011185346448</v>
      </c>
      <c r="CE708" s="46">
        <v>0</v>
      </c>
      <c r="CF708" s="46">
        <v>6.6886870355078454E-2</v>
      </c>
      <c r="CG708" s="46">
        <v>0</v>
      </c>
      <c r="CH708" s="46">
        <v>0</v>
      </c>
      <c r="CI708" s="46">
        <v>4.3778755142990331</v>
      </c>
      <c r="CJ708" s="46">
        <v>0.24321530634994629</v>
      </c>
      <c r="CK708">
        <v>309</v>
      </c>
      <c r="CL708">
        <v>390.73</v>
      </c>
      <c r="CM708">
        <f t="shared" si="77"/>
        <v>81.730000000000018</v>
      </c>
      <c r="CN708">
        <v>5.41</v>
      </c>
      <c r="CO708">
        <v>9.4499999999999993</v>
      </c>
      <c r="CP708">
        <f t="shared" si="78"/>
        <v>4.0399999999999991</v>
      </c>
      <c r="CQ708">
        <v>846.56</v>
      </c>
      <c r="CR708">
        <v>650.85</v>
      </c>
      <c r="CS708">
        <f t="shared" si="79"/>
        <v>195.70999999999992</v>
      </c>
      <c r="CT708" t="s">
        <v>152</v>
      </c>
      <c r="CU708">
        <v>76.88</v>
      </c>
      <c r="CV708">
        <v>38</v>
      </c>
      <c r="CW708" s="46">
        <v>1829</v>
      </c>
      <c r="CX708" s="46">
        <f t="shared" si="73"/>
        <v>13.116657908565424</v>
      </c>
      <c r="CY708" s="46">
        <v>81.73</v>
      </c>
      <c r="CZ708" s="46">
        <f t="shared" si="74"/>
        <v>13.730200435402748</v>
      </c>
      <c r="DA708" s="46">
        <f t="shared" si="75"/>
        <v>58.108221981641059</v>
      </c>
      <c r="DB708" s="46">
        <v>778808.81</v>
      </c>
      <c r="DC708" s="46">
        <f t="shared" si="76"/>
        <v>2.592593449245042</v>
      </c>
      <c r="DD708" s="46">
        <v>34747.83</v>
      </c>
      <c r="DE708" s="995">
        <v>1829</v>
      </c>
      <c r="DF708" s="995">
        <v>13.117000000000001</v>
      </c>
      <c r="DG708" s="995">
        <v>81.7</v>
      </c>
      <c r="DH708" s="995">
        <v>13.73</v>
      </c>
      <c r="DI708" s="995">
        <v>394.84800000000001</v>
      </c>
      <c r="DJ708" s="995">
        <v>5292037</v>
      </c>
      <c r="DK708" s="995">
        <v>17.707999999999998</v>
      </c>
      <c r="DL708" s="995">
        <v>237332.6</v>
      </c>
      <c r="DM708" s="995">
        <v>1829</v>
      </c>
      <c r="DN708" s="995">
        <v>13.117000000000001</v>
      </c>
      <c r="DO708" s="995">
        <v>81.7</v>
      </c>
      <c r="DP708" s="995">
        <v>13.73</v>
      </c>
      <c r="DQ708" s="995">
        <v>394.84800000000001</v>
      </c>
      <c r="DR708" s="995">
        <v>5292037</v>
      </c>
      <c r="DS708" s="995">
        <v>17.707999999999998</v>
      </c>
      <c r="DT708" s="995">
        <v>237332.6</v>
      </c>
    </row>
    <row r="709" spans="1:124">
      <c r="A709" s="42" t="s">
        <v>94</v>
      </c>
      <c r="B709" s="42" t="s">
        <v>502</v>
      </c>
      <c r="C709" s="42" t="s">
        <v>931</v>
      </c>
      <c r="D709" s="42">
        <v>916356</v>
      </c>
      <c r="E709" s="42" t="s">
        <v>948</v>
      </c>
      <c r="F709" s="42" t="s">
        <v>149</v>
      </c>
      <c r="G709" s="42" t="s">
        <v>150</v>
      </c>
      <c r="H709" s="43" t="s">
        <v>150</v>
      </c>
      <c r="I709" s="44">
        <v>50</v>
      </c>
      <c r="J709" s="45">
        <v>203791.97439999899</v>
      </c>
      <c r="K709" s="46">
        <v>18343.606049999999</v>
      </c>
      <c r="L709" s="47">
        <v>222135.58044999899</v>
      </c>
      <c r="M709" s="48">
        <v>5513178</v>
      </c>
      <c r="N709" s="49">
        <v>2993099</v>
      </c>
      <c r="O709" s="49">
        <v>2520079</v>
      </c>
      <c r="P709" s="49">
        <v>0</v>
      </c>
      <c r="Q709" s="50">
        <v>12644.9073623853</v>
      </c>
      <c r="R709" s="51">
        <v>21461.110189513802</v>
      </c>
      <c r="S709" s="49">
        <v>32979.936003783201</v>
      </c>
      <c r="T709" s="49">
        <v>6632.4105285496998</v>
      </c>
      <c r="U709" s="49">
        <f>IFERROR(INDEX('Rentabilidad datos'!$N$2:$N$61,MATCH($C709,'Rentabilidad datos'!$C$2:$C$61,0)),"")</f>
        <v>61073.456721846684</v>
      </c>
      <c r="V709" s="50">
        <f>IFERROR(INDEX('Rentabilidad datos'!$O$2:$O$61,MATCH($C709,'Rentabilidad datos'!$C$2:$C$61,0)),"")</f>
        <v>1299.4352494009934</v>
      </c>
      <c r="W709" s="51">
        <f>IFERROR(INDEX('Rentabilidad datos'!$M$2:$M$61,MATCH($C709,'Rentabilidad datos'!$C$2:$C$61,0)),"")</f>
        <v>3641.9429094456564</v>
      </c>
      <c r="X709" s="52">
        <f>IFERROR(INDEX('Rentabilidad datos'!$P$2:$P$61,MATCH($C709,'Rentabilidad datos'!$C$2:$C$61,0)),"")</f>
        <v>0.35679725951519148</v>
      </c>
      <c r="Y709" s="43" t="s">
        <v>171</v>
      </c>
      <c r="Z709" s="53">
        <v>115.22018348623899</v>
      </c>
      <c r="AA709" s="43">
        <v>2</v>
      </c>
      <c r="AB709" s="54">
        <v>0.95374954336682038</v>
      </c>
      <c r="AC709" s="55">
        <v>4.6250456633179629E-2</v>
      </c>
      <c r="AD709" s="752" t="e">
        <f>_xlfn.XLOOKUP(Table1[[#This Row],[Ruta]],#REF!,#REF!)</f>
        <v>#REF!</v>
      </c>
      <c r="AE709" s="752" t="e">
        <f>_xlfn.XLOOKUP(Table1[[#This Row],[Ruta]],#REF!,#REF!)</f>
        <v>#REF!</v>
      </c>
      <c r="AF709" s="752" t="e">
        <f>_xlfn.XLOOKUP(Table1[[#This Row],[Ruta]],#REF!,#REF!)</f>
        <v>#REF!</v>
      </c>
      <c r="AG709" s="752" t="e">
        <f>_xlfn.XLOOKUP(Table1[[#This Row],[Ruta]],#REF!,#REF!)</f>
        <v>#REF!</v>
      </c>
      <c r="AH709" s="52">
        <v>0.5428990321009044</v>
      </c>
      <c r="AI709" s="52">
        <v>0.4571009678990956</v>
      </c>
      <c r="AJ709" s="55">
        <v>0</v>
      </c>
      <c r="AK709" s="56">
        <v>50236</v>
      </c>
      <c r="AL709" s="44">
        <v>30478</v>
      </c>
      <c r="AM709" s="54">
        <v>0.60669639302492195</v>
      </c>
      <c r="AN709" s="55">
        <v>0.62538735712289495</v>
      </c>
      <c r="AO709" s="56">
        <v>938.95927242574498</v>
      </c>
      <c r="AP709" s="48">
        <v>469.47963621287249</v>
      </c>
      <c r="AQ709" s="55">
        <v>0.61604187507390862</v>
      </c>
      <c r="AR709" s="51">
        <v>5513179.6100000003</v>
      </c>
      <c r="AS709" s="49">
        <v>84924.389975688493</v>
      </c>
      <c r="AT709" s="55">
        <v>1.5403885957506197E-2</v>
      </c>
      <c r="AU709" s="51">
        <v>59676.598361294637</v>
      </c>
      <c r="AV709" s="52">
        <v>2.7147449329823652E-4</v>
      </c>
      <c r="AW709" s="44">
        <v>423</v>
      </c>
      <c r="AX709" s="51">
        <v>180.89046558173101</v>
      </c>
      <c r="AY709" s="49">
        <v>327.331066067118</v>
      </c>
      <c r="AZ709" s="49">
        <v>146.44060048538699</v>
      </c>
      <c r="BA709" s="42" t="s">
        <v>150</v>
      </c>
      <c r="BB709" s="50">
        <v>1568157.1913707335</v>
      </c>
      <c r="BC709" s="57">
        <v>1627833.7897320283</v>
      </c>
      <c r="BD709" s="42" t="s">
        <v>150</v>
      </c>
      <c r="BE709" s="46">
        <v>115.22018348623899</v>
      </c>
      <c r="BF709" s="46">
        <v>77.052752293577996</v>
      </c>
      <c r="BG709" s="42" t="s">
        <v>150</v>
      </c>
      <c r="BH709" s="52">
        <v>0.60669639302492195</v>
      </c>
      <c r="BI709" s="52">
        <v>0.58451671985922604</v>
      </c>
      <c r="BJ709" s="42" t="s">
        <v>150</v>
      </c>
      <c r="BK709" s="46">
        <v>509.48527626146603</v>
      </c>
      <c r="BL709" s="46">
        <v>592.94411248383199</v>
      </c>
      <c r="BM709" s="42" t="s">
        <v>152</v>
      </c>
      <c r="BN709" s="48">
        <v>2</v>
      </c>
      <c r="BO709" s="42" t="s">
        <v>161</v>
      </c>
      <c r="BP709" s="42" t="s">
        <v>152</v>
      </c>
      <c r="BQ709" s="46">
        <v>0</v>
      </c>
      <c r="BR709" s="46">
        <v>184</v>
      </c>
      <c r="BS709" s="46">
        <v>13424</v>
      </c>
      <c r="BT709" s="46">
        <v>3995</v>
      </c>
      <c r="BU709" s="46">
        <v>3.3602002503128912</v>
      </c>
      <c r="BV709" s="46">
        <v>21.711956521739129</v>
      </c>
      <c r="BW709" s="46">
        <v>0</v>
      </c>
      <c r="BX709" s="46">
        <v>2469</v>
      </c>
      <c r="BY709" s="46">
        <v>2469</v>
      </c>
      <c r="BZ709" s="46">
        <v>0.6180225281602002</v>
      </c>
      <c r="CA709" s="46">
        <v>0</v>
      </c>
      <c r="CB709" s="46">
        <v>0.6180225281602002</v>
      </c>
      <c r="CC709" s="46">
        <v>0</v>
      </c>
      <c r="CD709" s="46">
        <v>0</v>
      </c>
      <c r="CE709" s="46">
        <v>0</v>
      </c>
      <c r="CF709" s="46">
        <v>0.38197747183979974</v>
      </c>
      <c r="CG709" s="46">
        <v>0</v>
      </c>
      <c r="CH709" s="46">
        <v>0</v>
      </c>
      <c r="CI709" s="46">
        <v>5.8849821215733016</v>
      </c>
      <c r="CJ709" s="46">
        <v>0.74493444576877232</v>
      </c>
      <c r="CK709">
        <v>495</v>
      </c>
      <c r="CL709">
        <v>530.54</v>
      </c>
      <c r="CM709">
        <f t="shared" si="77"/>
        <v>35.539999999999964</v>
      </c>
      <c r="CN709">
        <v>12.89</v>
      </c>
      <c r="CO709">
        <v>9.4499999999999993</v>
      </c>
      <c r="CP709">
        <f t="shared" si="78"/>
        <v>-3.4400000000000013</v>
      </c>
      <c r="CQ709">
        <v>797.54</v>
      </c>
      <c r="CR709">
        <v>509.49</v>
      </c>
      <c r="CS709">
        <f t="shared" si="79"/>
        <v>288.04999999999995</v>
      </c>
      <c r="CT709" t="s">
        <v>150</v>
      </c>
      <c r="CU709">
        <v>136.37</v>
      </c>
      <c r="CV709">
        <v>321</v>
      </c>
      <c r="CW709" s="46">
        <v>2469</v>
      </c>
      <c r="CX709" s="46">
        <f t="shared" si="73"/>
        <v>60.912640801001253</v>
      </c>
      <c r="CY709" s="46">
        <v>35.54</v>
      </c>
      <c r="CZ709" s="46">
        <f t="shared" si="74"/>
        <v>61.802252816020022</v>
      </c>
      <c r="DA709" s="46">
        <f t="shared" si="75"/>
        <v>629.38664049978411</v>
      </c>
      <c r="DB709" s="46">
        <v>2536768.0299999998</v>
      </c>
      <c r="DC709" s="46">
        <f t="shared" si="76"/>
        <v>25.158115289762662</v>
      </c>
      <c r="DD709" s="46">
        <v>101400.79</v>
      </c>
      <c r="DE709" s="995">
        <v>2469</v>
      </c>
      <c r="DF709" s="995">
        <v>61.009</v>
      </c>
      <c r="DG709" s="995">
        <v>31.7</v>
      </c>
      <c r="DH709" s="995">
        <v>61.802</v>
      </c>
      <c r="DI709" s="995">
        <v>1605.2739999999999</v>
      </c>
      <c r="DJ709" s="995">
        <v>6463965</v>
      </c>
      <c r="DK709" s="995">
        <v>64.096999999999994</v>
      </c>
      <c r="DL709" s="995">
        <v>258100</v>
      </c>
      <c r="DM709" s="995">
        <v>2469</v>
      </c>
      <c r="DN709" s="995">
        <v>61.149000000000001</v>
      </c>
      <c r="DO709" s="995">
        <v>26.1</v>
      </c>
      <c r="DP709" s="995">
        <v>61.802</v>
      </c>
      <c r="DQ709" s="995">
        <v>1594.1489999999999</v>
      </c>
      <c r="DR709" s="995">
        <v>6410247</v>
      </c>
      <c r="DS709" s="995">
        <v>63.606000000000002</v>
      </c>
      <c r="DT709" s="995">
        <v>255765.1</v>
      </c>
    </row>
    <row r="710" spans="1:124">
      <c r="A710" s="42" t="s">
        <v>94</v>
      </c>
      <c r="B710" s="42" t="s">
        <v>502</v>
      </c>
      <c r="C710" s="42" t="s">
        <v>931</v>
      </c>
      <c r="D710" s="42">
        <v>916399</v>
      </c>
      <c r="E710" s="42" t="s">
        <v>949</v>
      </c>
      <c r="F710" s="42" t="s">
        <v>193</v>
      </c>
      <c r="G710" s="42" t="s">
        <v>150</v>
      </c>
      <c r="H710" s="43" t="s">
        <v>152</v>
      </c>
      <c r="I710" s="44">
        <v>50</v>
      </c>
      <c r="J710" s="45">
        <v>0</v>
      </c>
      <c r="K710" s="46">
        <v>111.6841</v>
      </c>
      <c r="L710" s="47">
        <v>111.6841</v>
      </c>
      <c r="M710" s="48">
        <v>16561</v>
      </c>
      <c r="N710" s="49">
        <v>0</v>
      </c>
      <c r="O710" s="49">
        <v>16561</v>
      </c>
      <c r="P710" s="49">
        <v>0</v>
      </c>
      <c r="Q710" s="50">
        <v>0</v>
      </c>
      <c r="R710" s="51">
        <v>21461.110189513802</v>
      </c>
      <c r="S710" s="49">
        <v>32979.936003783201</v>
      </c>
      <c r="T710" s="49">
        <v>6632.4105285496998</v>
      </c>
      <c r="U710" s="49">
        <f>IFERROR(INDEX('Rentabilidad datos'!$N$2:$N$61,MATCH($C710,'Rentabilidad datos'!$C$2:$C$61,0)),"")</f>
        <v>61073.456721846684</v>
      </c>
      <c r="V710" s="50">
        <f>IFERROR(INDEX('Rentabilidad datos'!$O$2:$O$61,MATCH($C710,'Rentabilidad datos'!$C$2:$C$61,0)),"")</f>
        <v>1299.4352494009934</v>
      </c>
      <c r="W710" s="51">
        <f>IFERROR(INDEX('Rentabilidad datos'!$M$2:$M$61,MATCH($C710,'Rentabilidad datos'!$C$2:$C$61,0)),"")</f>
        <v>3641.9429094456564</v>
      </c>
      <c r="X710" s="52">
        <f>IFERROR(INDEX('Rentabilidad datos'!$P$2:$P$61,MATCH($C710,'Rentabilidad datos'!$C$2:$C$61,0)),"")</f>
        <v>0.35679725951519148</v>
      </c>
      <c r="Y710" s="43" t="s">
        <v>171</v>
      </c>
      <c r="Z710" s="53">
        <v>3</v>
      </c>
      <c r="AA710" s="43">
        <v>2</v>
      </c>
      <c r="AB710" s="54">
        <v>1</v>
      </c>
      <c r="AC710" s="55">
        <v>0</v>
      </c>
      <c r="AD710" s="752" t="e">
        <f>_xlfn.XLOOKUP(Table1[[#This Row],[Ruta]],#REF!,#REF!)</f>
        <v>#REF!</v>
      </c>
      <c r="AE710" s="752" t="e">
        <f>_xlfn.XLOOKUP(Table1[[#This Row],[Ruta]],#REF!,#REF!)</f>
        <v>#REF!</v>
      </c>
      <c r="AF710" s="752" t="e">
        <f>_xlfn.XLOOKUP(Table1[[#This Row],[Ruta]],#REF!,#REF!)</f>
        <v>#REF!</v>
      </c>
      <c r="AG710" s="752" t="e">
        <f>_xlfn.XLOOKUP(Table1[[#This Row],[Ruta]],#REF!,#REF!)</f>
        <v>#REF!</v>
      </c>
      <c r="AH710" s="52">
        <v>0</v>
      </c>
      <c r="AI710" s="52">
        <v>1</v>
      </c>
      <c r="AJ710" s="55">
        <v>0</v>
      </c>
      <c r="AK710" s="56">
        <v>6</v>
      </c>
      <c r="AL710" s="44">
        <v>2</v>
      </c>
      <c r="AM710" s="54">
        <v>0.33333333333333298</v>
      </c>
      <c r="AN710" s="55">
        <v>0.62538735712289495</v>
      </c>
      <c r="AO710" s="56">
        <v>0</v>
      </c>
      <c r="AP710" s="48">
        <v>0</v>
      </c>
      <c r="AQ710" s="55">
        <v>0.33333333333333331</v>
      </c>
      <c r="AR710" s="51">
        <v>16560.439999999999</v>
      </c>
      <c r="AS710" s="49">
        <v>0</v>
      </c>
      <c r="AT710" s="55">
        <v>0</v>
      </c>
      <c r="AU710" s="51">
        <v>0</v>
      </c>
      <c r="AV710" s="52">
        <v>0</v>
      </c>
      <c r="AW710" s="44">
        <v>490</v>
      </c>
      <c r="AX710" s="51">
        <v>8280.2199999999993</v>
      </c>
      <c r="AY710" s="49">
        <v>327.331066067118</v>
      </c>
      <c r="AZ710" s="49">
        <v>0</v>
      </c>
      <c r="BA710" s="42" t="s">
        <v>152</v>
      </c>
      <c r="BB710" s="50">
        <v>0</v>
      </c>
      <c r="BC710" s="57">
        <v>0</v>
      </c>
      <c r="BD710" s="42" t="s">
        <v>152</v>
      </c>
      <c r="BE710" s="46" t="s">
        <v>195</v>
      </c>
      <c r="BF710" s="46" t="s">
        <v>195</v>
      </c>
      <c r="BG710" s="42" t="s">
        <v>195</v>
      </c>
      <c r="BH710" s="52" t="s">
        <v>195</v>
      </c>
      <c r="BI710" s="52" t="s">
        <v>195</v>
      </c>
      <c r="BJ710" s="42" t="s">
        <v>195</v>
      </c>
      <c r="BK710" s="46" t="s">
        <v>195</v>
      </c>
      <c r="BL710" s="46" t="s">
        <v>195</v>
      </c>
      <c r="BM710" s="42" t="s">
        <v>195</v>
      </c>
      <c r="BN710" s="48" t="s">
        <v>195</v>
      </c>
      <c r="BO710" s="42" t="s">
        <v>195</v>
      </c>
      <c r="BP710" s="42" t="s">
        <v>152</v>
      </c>
      <c r="BQ710" s="46">
        <v>0</v>
      </c>
      <c r="BR710" s="46" t="e">
        <v>#N/A</v>
      </c>
      <c r="BS710" s="46" t="e">
        <v>#N/A</v>
      </c>
      <c r="BT710" s="46" t="e">
        <v>#N/A</v>
      </c>
      <c r="BU710" s="46" t="e">
        <v>#N/A</v>
      </c>
      <c r="BV710" s="46" t="e">
        <v>#N/A</v>
      </c>
      <c r="BW710" s="46" t="e">
        <v>#N/A</v>
      </c>
      <c r="BX710" s="46" t="e">
        <v>#N/A</v>
      </c>
      <c r="BY710" s="46" t="e">
        <v>#N/A</v>
      </c>
      <c r="BZ710" s="46" t="e">
        <v>#N/A</v>
      </c>
      <c r="CA710" s="46" t="e">
        <v>#N/A</v>
      </c>
      <c r="CB710" s="46" t="e">
        <v>#N/A</v>
      </c>
      <c r="CC710" s="46" t="e">
        <v>#N/A</v>
      </c>
      <c r="CD710" s="46" t="e">
        <v>#N/A</v>
      </c>
      <c r="CE710" s="46" t="e">
        <v>#N/A</v>
      </c>
      <c r="CF710" s="46" t="e">
        <v>#N/A</v>
      </c>
      <c r="CG710" s="46" t="e">
        <v>#N/A</v>
      </c>
      <c r="CH710" s="46" t="e">
        <v>#N/A</v>
      </c>
      <c r="CI710" s="46" t="e">
        <v>#N/A</v>
      </c>
      <c r="CJ710" s="46" t="e">
        <v>#N/A</v>
      </c>
      <c r="CM710">
        <f t="shared" si="77"/>
        <v>0</v>
      </c>
      <c r="CP710">
        <f t="shared" si="78"/>
        <v>0</v>
      </c>
      <c r="CS710">
        <f t="shared" si="79"/>
        <v>0</v>
      </c>
      <c r="CW710" s="46"/>
      <c r="CX710" s="46" t="e">
        <f t="shared" ref="CX710:CX773" si="80">((CW710-CY710)/BT710)*100</f>
        <v>#N/A</v>
      </c>
      <c r="CY710" s="46"/>
      <c r="CZ710" s="46" t="e">
        <f t="shared" ref="CZ710:CZ773" si="81">((CW710)/BT710)*100</f>
        <v>#N/A</v>
      </c>
      <c r="DA710" s="46" t="e">
        <f t="shared" ref="DA710:DA773" si="82">DB710/(CY710+BT710)</f>
        <v>#N/A</v>
      </c>
      <c r="DB710" s="46"/>
      <c r="DC710" s="46" t="e">
        <f t="shared" ref="DC710:DC773" si="83">DD710/(CY710+BT710)</f>
        <v>#N/A</v>
      </c>
      <c r="DD710" s="46"/>
      <c r="DE710" s="995" t="s">
        <v>194</v>
      </c>
      <c r="DF710" s="995" t="s">
        <v>194</v>
      </c>
      <c r="DG710" s="995" t="s">
        <v>194</v>
      </c>
      <c r="DH710" s="995" t="s">
        <v>194</v>
      </c>
      <c r="DI710" s="995" t="s">
        <v>194</v>
      </c>
      <c r="DJ710" s="995" t="s">
        <v>194</v>
      </c>
      <c r="DK710" s="995" t="s">
        <v>194</v>
      </c>
      <c r="DL710" s="995" t="s">
        <v>194</v>
      </c>
      <c r="DM710" s="995" t="s">
        <v>194</v>
      </c>
      <c r="DN710" s="995" t="s">
        <v>194</v>
      </c>
      <c r="DO710" s="995" t="s">
        <v>194</v>
      </c>
      <c r="DP710" s="995" t="s">
        <v>194</v>
      </c>
      <c r="DQ710" s="995" t="s">
        <v>194</v>
      </c>
      <c r="DR710" s="995" t="s">
        <v>194</v>
      </c>
      <c r="DS710" s="995" t="s">
        <v>194</v>
      </c>
      <c r="DT710" s="995" t="s">
        <v>194</v>
      </c>
    </row>
    <row r="711" spans="1:124">
      <c r="A711" s="42" t="s">
        <v>94</v>
      </c>
      <c r="B711" s="42" t="s">
        <v>502</v>
      </c>
      <c r="C711" s="42" t="s">
        <v>931</v>
      </c>
      <c r="D711" s="42">
        <v>916400</v>
      </c>
      <c r="E711" s="42" t="s">
        <v>950</v>
      </c>
      <c r="F711" s="42" t="s">
        <v>149</v>
      </c>
      <c r="G711" s="42" t="s">
        <v>150</v>
      </c>
      <c r="H711" s="43" t="s">
        <v>150</v>
      </c>
      <c r="I711" s="44">
        <v>50</v>
      </c>
      <c r="J711" s="45">
        <v>195570.69279999999</v>
      </c>
      <c r="K711" s="46">
        <v>17239.098468</v>
      </c>
      <c r="L711" s="47">
        <v>212809.791268</v>
      </c>
      <c r="M711" s="48">
        <v>4803295</v>
      </c>
      <c r="N711" s="49">
        <v>2903969</v>
      </c>
      <c r="O711" s="49">
        <v>1899326</v>
      </c>
      <c r="P711" s="49">
        <v>0</v>
      </c>
      <c r="Q711" s="50">
        <v>11118.7426388889</v>
      </c>
      <c r="R711" s="51">
        <v>21461.110189513802</v>
      </c>
      <c r="S711" s="49">
        <v>32979.936003783201</v>
      </c>
      <c r="T711" s="49">
        <v>6632.4105285496998</v>
      </c>
      <c r="U711" s="49">
        <f>IFERROR(INDEX('Rentabilidad datos'!$N$2:$N$61,MATCH($C711,'Rentabilidad datos'!$C$2:$C$61,0)),"")</f>
        <v>61073.456721846684</v>
      </c>
      <c r="V711" s="50">
        <f>IFERROR(INDEX('Rentabilidad datos'!$O$2:$O$61,MATCH($C711,'Rentabilidad datos'!$C$2:$C$61,0)),"")</f>
        <v>1299.4352494009934</v>
      </c>
      <c r="W711" s="51">
        <f>IFERROR(INDEX('Rentabilidad datos'!$M$2:$M$61,MATCH($C711,'Rentabilidad datos'!$C$2:$C$61,0)),"")</f>
        <v>3641.9429094456564</v>
      </c>
      <c r="X711" s="52">
        <f>IFERROR(INDEX('Rentabilidad datos'!$P$2:$P$61,MATCH($C711,'Rentabilidad datos'!$C$2:$C$61,0)),"")</f>
        <v>0.35679725951519148</v>
      </c>
      <c r="Y711" s="43" t="s">
        <v>171</v>
      </c>
      <c r="Z711" s="53">
        <v>49.435185185185198</v>
      </c>
      <c r="AA711" s="43">
        <v>2</v>
      </c>
      <c r="AB711" s="54">
        <v>0.98954072152553607</v>
      </c>
      <c r="AC711" s="55">
        <v>1.0459278474463884E-2</v>
      </c>
      <c r="AD711" s="752" t="e">
        <f>_xlfn.XLOOKUP(Table1[[#This Row],[Ruta]],#REF!,#REF!)</f>
        <v>#REF!</v>
      </c>
      <c r="AE711" s="752" t="e">
        <f>_xlfn.XLOOKUP(Table1[[#This Row],[Ruta]],#REF!,#REF!)</f>
        <v>#REF!</v>
      </c>
      <c r="AF711" s="752" t="e">
        <f>_xlfn.XLOOKUP(Table1[[#This Row],[Ruta]],#REF!,#REF!)</f>
        <v>#REF!</v>
      </c>
      <c r="AG711" s="752" t="e">
        <f>_xlfn.XLOOKUP(Table1[[#This Row],[Ruta]],#REF!,#REF!)</f>
        <v>#REF!</v>
      </c>
      <c r="AH711" s="52">
        <v>0.6045785237009178</v>
      </c>
      <c r="AI711" s="52">
        <v>0.3954214762990822</v>
      </c>
      <c r="AJ711" s="55">
        <v>0</v>
      </c>
      <c r="AK711" s="56">
        <v>21356</v>
      </c>
      <c r="AL711" s="44">
        <v>16125</v>
      </c>
      <c r="AM711" s="54">
        <v>0.75505712680277204</v>
      </c>
      <c r="AN711" s="55">
        <v>0.62538735712289495</v>
      </c>
      <c r="AO711" s="56">
        <v>0</v>
      </c>
      <c r="AP711" s="48">
        <v>0</v>
      </c>
      <c r="AQ711" s="55">
        <v>0.75505712680277204</v>
      </c>
      <c r="AR711" s="51">
        <v>4803296.82</v>
      </c>
      <c r="AS711" s="49">
        <v>0</v>
      </c>
      <c r="AT711" s="55">
        <v>0</v>
      </c>
      <c r="AU711" s="51">
        <v>0</v>
      </c>
      <c r="AV711" s="52">
        <v>0</v>
      </c>
      <c r="AW711" s="44">
        <v>490</v>
      </c>
      <c r="AX711" s="51">
        <v>297.87887255814002</v>
      </c>
      <c r="AY711" s="49">
        <v>327.331066067118</v>
      </c>
      <c r="AZ711" s="49">
        <v>29.452193508977984</v>
      </c>
      <c r="BA711" s="42" t="s">
        <v>150</v>
      </c>
      <c r="BB711" s="50">
        <v>166862.5963329598</v>
      </c>
      <c r="BC711" s="57">
        <v>166862.5963329598</v>
      </c>
      <c r="BD711" s="42" t="s">
        <v>150</v>
      </c>
      <c r="BE711" s="46">
        <v>49.435185185185198</v>
      </c>
      <c r="BF711" s="46">
        <v>77.052752293577996</v>
      </c>
      <c r="BG711" s="42" t="s">
        <v>152</v>
      </c>
      <c r="BH711" s="52">
        <v>0.75505712680277204</v>
      </c>
      <c r="BI711" s="52">
        <v>0.58451671985922604</v>
      </c>
      <c r="BJ711" s="42" t="s">
        <v>150</v>
      </c>
      <c r="BK711" s="46">
        <v>492.61525756481501</v>
      </c>
      <c r="BL711" s="46">
        <v>592.94411248383199</v>
      </c>
      <c r="BM711" s="42" t="s">
        <v>152</v>
      </c>
      <c r="BN711" s="48">
        <v>1</v>
      </c>
      <c r="BO711" s="42" t="s">
        <v>155</v>
      </c>
      <c r="BP711" s="42" t="s">
        <v>152</v>
      </c>
      <c r="BQ711" s="46">
        <v>3750.8757807760999</v>
      </c>
      <c r="BR711" s="46">
        <v>448</v>
      </c>
      <c r="BS711" s="46">
        <v>18063</v>
      </c>
      <c r="BT711" s="46">
        <v>4904</v>
      </c>
      <c r="BU711" s="46">
        <v>3.6833197389885806</v>
      </c>
      <c r="BV711" s="46">
        <v>10.946428571428571</v>
      </c>
      <c r="BW711" s="46">
        <v>206</v>
      </c>
      <c r="BX711" s="46">
        <v>1431</v>
      </c>
      <c r="BY711" s="46">
        <v>1637</v>
      </c>
      <c r="BZ711" s="46">
        <v>0.33380913539967372</v>
      </c>
      <c r="CA711" s="46">
        <v>4.2006525285481239E-2</v>
      </c>
      <c r="CB711" s="46">
        <v>0.29180261011419251</v>
      </c>
      <c r="CC711" s="46">
        <v>7.3205546492659049E-2</v>
      </c>
      <c r="CD711" s="46">
        <v>0</v>
      </c>
      <c r="CE711" s="46">
        <v>4.6900489396411093E-3</v>
      </c>
      <c r="CF711" s="46">
        <v>0.58584828711256121</v>
      </c>
      <c r="CG711" s="46">
        <v>1.223491027732463E-3</v>
      </c>
      <c r="CH711" s="46">
        <v>1.223491027732463E-3</v>
      </c>
      <c r="CI711" s="46">
        <v>8.4149919725405518</v>
      </c>
      <c r="CJ711" s="46">
        <v>0.27680894646514981</v>
      </c>
      <c r="CK711">
        <v>272</v>
      </c>
      <c r="CL711">
        <v>292.88</v>
      </c>
      <c r="CM711">
        <f t="shared" si="77"/>
        <v>20.879999999999995</v>
      </c>
      <c r="CN711">
        <v>8.6300000000000008</v>
      </c>
      <c r="CO711">
        <v>9.4499999999999993</v>
      </c>
      <c r="CP711">
        <f t="shared" si="78"/>
        <v>0.81999999999999851</v>
      </c>
      <c r="CQ711">
        <v>846.56</v>
      </c>
      <c r="CR711">
        <v>492.62</v>
      </c>
      <c r="CS711">
        <f t="shared" si="79"/>
        <v>353.93999999999994</v>
      </c>
      <c r="CT711" t="s">
        <v>152</v>
      </c>
      <c r="CU711">
        <v>91.32</v>
      </c>
      <c r="CV711">
        <v>75</v>
      </c>
      <c r="CW711" s="46">
        <v>1637</v>
      </c>
      <c r="CX711" s="46">
        <f t="shared" si="80"/>
        <v>32.955138662316472</v>
      </c>
      <c r="CY711" s="46">
        <v>20.88</v>
      </c>
      <c r="CZ711" s="46">
        <f t="shared" si="81"/>
        <v>33.380913539967374</v>
      </c>
      <c r="DA711" s="46">
        <f t="shared" si="82"/>
        <v>97.792100518185208</v>
      </c>
      <c r="DB711" s="46">
        <v>481614.36</v>
      </c>
      <c r="DC711" s="46">
        <f t="shared" si="83"/>
        <v>4.0792445704260816</v>
      </c>
      <c r="DD711" s="46">
        <v>20089.79</v>
      </c>
      <c r="DE711" s="995">
        <v>1637</v>
      </c>
      <c r="DF711" s="995">
        <v>33.082000000000001</v>
      </c>
      <c r="DG711" s="995">
        <v>14.7</v>
      </c>
      <c r="DH711" s="995">
        <v>33.381</v>
      </c>
      <c r="DI711" s="995">
        <v>795.34400000000005</v>
      </c>
      <c r="DJ711" s="995">
        <v>3912036</v>
      </c>
      <c r="DK711" s="995">
        <v>33.844000000000001</v>
      </c>
      <c r="DL711" s="995">
        <v>166469.70000000001</v>
      </c>
      <c r="DM711" s="995">
        <v>1637</v>
      </c>
      <c r="DN711" s="995">
        <v>33.131999999999998</v>
      </c>
      <c r="DO711" s="995">
        <v>12.2</v>
      </c>
      <c r="DP711" s="995">
        <v>33.381</v>
      </c>
      <c r="DQ711" s="995">
        <v>790.25300000000004</v>
      </c>
      <c r="DR711" s="995">
        <v>3885055</v>
      </c>
      <c r="DS711" s="995">
        <v>33.631999999999998</v>
      </c>
      <c r="DT711" s="995">
        <v>165340.6</v>
      </c>
    </row>
    <row r="712" spans="1:124">
      <c r="A712" s="42" t="s">
        <v>94</v>
      </c>
      <c r="B712" s="42" t="s">
        <v>502</v>
      </c>
      <c r="C712" s="42" t="s">
        <v>931</v>
      </c>
      <c r="D712" s="42">
        <v>916401</v>
      </c>
      <c r="E712" s="42" t="s">
        <v>951</v>
      </c>
      <c r="F712" s="42" t="s">
        <v>149</v>
      </c>
      <c r="G712" s="42" t="s">
        <v>150</v>
      </c>
      <c r="H712" s="43" t="s">
        <v>150</v>
      </c>
      <c r="I712" s="44">
        <v>50</v>
      </c>
      <c r="J712" s="45">
        <v>191445.962399999</v>
      </c>
      <c r="K712" s="46">
        <v>10181.749250999999</v>
      </c>
      <c r="L712" s="47">
        <v>201627.711650999</v>
      </c>
      <c r="M712" s="48">
        <v>4051556</v>
      </c>
      <c r="N712" s="49">
        <v>2870304</v>
      </c>
      <c r="O712" s="49">
        <v>1181252</v>
      </c>
      <c r="P712" s="49">
        <v>0</v>
      </c>
      <c r="Q712" s="50">
        <v>9104.6193258426993</v>
      </c>
      <c r="R712" s="51">
        <v>21461.110189513802</v>
      </c>
      <c r="S712" s="49">
        <v>32979.936003783201</v>
      </c>
      <c r="T712" s="49">
        <v>6632.4105285496998</v>
      </c>
      <c r="U712" s="49">
        <f>IFERROR(INDEX('Rentabilidad datos'!$N$2:$N$61,MATCH($C712,'Rentabilidad datos'!$C$2:$C$61,0)),"")</f>
        <v>61073.456721846684</v>
      </c>
      <c r="V712" s="50">
        <f>IFERROR(INDEX('Rentabilidad datos'!$O$2:$O$61,MATCH($C712,'Rentabilidad datos'!$C$2:$C$61,0)),"")</f>
        <v>1299.4352494009934</v>
      </c>
      <c r="W712" s="51">
        <f>IFERROR(INDEX('Rentabilidad datos'!$M$2:$M$61,MATCH($C712,'Rentabilidad datos'!$C$2:$C$61,0)),"")</f>
        <v>3641.9429094456564</v>
      </c>
      <c r="X712" s="52">
        <f>IFERROR(INDEX('Rentabilidad datos'!$P$2:$P$61,MATCH($C712,'Rentabilidad datos'!$C$2:$C$61,0)),"")</f>
        <v>0.35679725951519148</v>
      </c>
      <c r="Y712" s="43" t="s">
        <v>171</v>
      </c>
      <c r="Z712" s="53">
        <v>86.871910112359501</v>
      </c>
      <c r="AA712" s="43">
        <v>2</v>
      </c>
      <c r="AB712" s="54">
        <v>0.98731006062855853</v>
      </c>
      <c r="AC712" s="55">
        <v>1.2689939371441491E-2</v>
      </c>
      <c r="AD712" s="752" t="e">
        <f>_xlfn.XLOOKUP(Table1[[#This Row],[Ruta]],#REF!,#REF!)</f>
        <v>#REF!</v>
      </c>
      <c r="AE712" s="752" t="e">
        <f>_xlfn.XLOOKUP(Table1[[#This Row],[Ruta]],#REF!,#REF!)</f>
        <v>#REF!</v>
      </c>
      <c r="AF712" s="752" t="e">
        <f>_xlfn.XLOOKUP(Table1[[#This Row],[Ruta]],#REF!,#REF!)</f>
        <v>#REF!</v>
      </c>
      <c r="AG712" s="752" t="e">
        <f>_xlfn.XLOOKUP(Table1[[#This Row],[Ruta]],#REF!,#REF!)</f>
        <v>#REF!</v>
      </c>
      <c r="AH712" s="52">
        <v>0.70844485427327175</v>
      </c>
      <c r="AI712" s="52">
        <v>0.29155514572672819</v>
      </c>
      <c r="AJ712" s="55">
        <v>0</v>
      </c>
      <c r="AK712" s="56">
        <v>38658</v>
      </c>
      <c r="AL712" s="44">
        <v>20280</v>
      </c>
      <c r="AM712" s="54">
        <v>0.524600341455844</v>
      </c>
      <c r="AN712" s="55">
        <v>0.62538735712289495</v>
      </c>
      <c r="AO712" s="56">
        <v>3896.2244516568699</v>
      </c>
      <c r="AP712" s="48">
        <v>1948.1122258284349</v>
      </c>
      <c r="AQ712" s="55">
        <v>0.57499384928936914</v>
      </c>
      <c r="AR712" s="51">
        <v>4051555.6</v>
      </c>
      <c r="AS712" s="49">
        <v>389195.51272108749</v>
      </c>
      <c r="AT712" s="55">
        <v>9.6060760642427689E-2</v>
      </c>
      <c r="AU712" s="51">
        <v>273488.73866887239</v>
      </c>
      <c r="AV712" s="52">
        <v>1.2441261531599013E-3</v>
      </c>
      <c r="AW712" s="44">
        <v>264</v>
      </c>
      <c r="AX712" s="51">
        <v>199.780848126233</v>
      </c>
      <c r="AY712" s="49">
        <v>327.331066067118</v>
      </c>
      <c r="AZ712" s="49">
        <v>127.55021794088501</v>
      </c>
      <c r="BA712" s="42" t="s">
        <v>150</v>
      </c>
      <c r="BB712" s="50">
        <v>908847.01237661985</v>
      </c>
      <c r="BC712" s="57">
        <v>1182335.7510454922</v>
      </c>
      <c r="BD712" s="42" t="s">
        <v>150</v>
      </c>
      <c r="BE712" s="46">
        <v>86.871910112359501</v>
      </c>
      <c r="BF712" s="46">
        <v>77.052752293577996</v>
      </c>
      <c r="BG712" s="42" t="s">
        <v>150</v>
      </c>
      <c r="BH712" s="52">
        <v>0.524600341455844</v>
      </c>
      <c r="BI712" s="52">
        <v>0.58451671985922604</v>
      </c>
      <c r="BJ712" s="42" t="s">
        <v>152</v>
      </c>
      <c r="BK712" s="46">
        <v>453.09598123820098</v>
      </c>
      <c r="BL712" s="46">
        <v>592.94411248383199</v>
      </c>
      <c r="BM712" s="42" t="s">
        <v>152</v>
      </c>
      <c r="BN712" s="48">
        <v>1</v>
      </c>
      <c r="BO712" s="42" t="s">
        <v>155</v>
      </c>
      <c r="BP712" s="42" t="s">
        <v>152</v>
      </c>
      <c r="BQ712" s="46">
        <v>3927.9462267743702</v>
      </c>
      <c r="BR712" s="46">
        <v>299</v>
      </c>
      <c r="BS712" s="46">
        <v>15256</v>
      </c>
      <c r="BT712" s="46">
        <v>4274</v>
      </c>
      <c r="BU712" s="46">
        <v>3.5694899391670565</v>
      </c>
      <c r="BV712" s="46">
        <v>14.294314381270903</v>
      </c>
      <c r="BW712" s="46">
        <v>127</v>
      </c>
      <c r="BX712" s="46">
        <v>1711</v>
      </c>
      <c r="BY712" s="46">
        <v>1838</v>
      </c>
      <c r="BZ712" s="46">
        <v>0.43004211511464668</v>
      </c>
      <c r="CA712" s="46">
        <v>2.9714553111839029E-2</v>
      </c>
      <c r="CB712" s="46">
        <v>0.40032756200280772</v>
      </c>
      <c r="CC712" s="46">
        <v>0</v>
      </c>
      <c r="CD712" s="46">
        <v>0</v>
      </c>
      <c r="CE712" s="46">
        <v>0</v>
      </c>
      <c r="CF712" s="46">
        <v>0.56972391202620498</v>
      </c>
      <c r="CG712" s="46">
        <v>0</v>
      </c>
      <c r="CH712" s="46">
        <v>2.3397285914833881E-4</v>
      </c>
      <c r="CI712" s="46">
        <v>4.3917147351861558</v>
      </c>
      <c r="CJ712" s="46">
        <v>0.26219192448872569</v>
      </c>
      <c r="CK712">
        <v>334</v>
      </c>
      <c r="CL712">
        <v>385.22</v>
      </c>
      <c r="CM712">
        <f t="shared" si="77"/>
        <v>51.220000000000027</v>
      </c>
      <c r="CN712">
        <v>11.27</v>
      </c>
      <c r="CO712">
        <v>9.4499999999999993</v>
      </c>
      <c r="CP712">
        <f t="shared" si="78"/>
        <v>-1.8200000000000003</v>
      </c>
      <c r="CQ712">
        <v>846.56</v>
      </c>
      <c r="CR712">
        <v>453.1</v>
      </c>
      <c r="CS712">
        <f t="shared" si="79"/>
        <v>393.45999999999992</v>
      </c>
      <c r="CT712" t="s">
        <v>150</v>
      </c>
      <c r="CU712">
        <v>119.26</v>
      </c>
      <c r="CV712">
        <v>168</v>
      </c>
      <c r="CW712" s="46">
        <v>1838</v>
      </c>
      <c r="CX712" s="46">
        <f t="shared" si="80"/>
        <v>41.805802526906874</v>
      </c>
      <c r="CY712" s="46">
        <v>51.22</v>
      </c>
      <c r="CZ712" s="46">
        <f t="shared" si="81"/>
        <v>43.004211511464668</v>
      </c>
      <c r="DA712" s="46">
        <f t="shared" si="82"/>
        <v>210.79973041833708</v>
      </c>
      <c r="DB712" s="46">
        <v>911755.21</v>
      </c>
      <c r="DC712" s="46">
        <f t="shared" si="83"/>
        <v>9.6682226568821932</v>
      </c>
      <c r="DD712" s="46">
        <v>41817.19</v>
      </c>
      <c r="DE712" s="995">
        <v>1838</v>
      </c>
      <c r="DF712" s="995">
        <v>42.17</v>
      </c>
      <c r="DG712" s="995">
        <v>35.700000000000003</v>
      </c>
      <c r="DH712" s="995">
        <v>43.003999999999998</v>
      </c>
      <c r="DI712" s="995">
        <v>853.38099999999997</v>
      </c>
      <c r="DJ712" s="995">
        <v>3677796</v>
      </c>
      <c r="DK712" s="995">
        <v>39.826999999999998</v>
      </c>
      <c r="DL712" s="995">
        <v>171639.5</v>
      </c>
      <c r="DM712" s="995">
        <v>1838</v>
      </c>
      <c r="DN712" s="995">
        <v>42.317</v>
      </c>
      <c r="DO712" s="995">
        <v>29.4</v>
      </c>
      <c r="DP712" s="995">
        <v>43.003999999999998</v>
      </c>
      <c r="DQ712" s="995">
        <v>841.36</v>
      </c>
      <c r="DR712" s="995">
        <v>3620690</v>
      </c>
      <c r="DS712" s="995">
        <v>39.284999999999997</v>
      </c>
      <c r="DT712" s="995">
        <v>169059.5</v>
      </c>
    </row>
    <row r="713" spans="1:124">
      <c r="A713" s="42" t="s">
        <v>94</v>
      </c>
      <c r="B713" s="42" t="s">
        <v>502</v>
      </c>
      <c r="C713" s="42" t="s">
        <v>931</v>
      </c>
      <c r="D713" s="42">
        <v>916402</v>
      </c>
      <c r="E713" s="42" t="s">
        <v>952</v>
      </c>
      <c r="F713" s="42" t="s">
        <v>149</v>
      </c>
      <c r="G713" s="42" t="s">
        <v>150</v>
      </c>
      <c r="H713" s="43" t="s">
        <v>150</v>
      </c>
      <c r="I713" s="44">
        <v>50</v>
      </c>
      <c r="J713" s="45">
        <v>192735.16080000001</v>
      </c>
      <c r="K713" s="46">
        <v>12069.213598</v>
      </c>
      <c r="L713" s="47">
        <v>204804.37439800001</v>
      </c>
      <c r="M713" s="48">
        <v>4423337</v>
      </c>
      <c r="N713" s="49">
        <v>2834747</v>
      </c>
      <c r="O713" s="49">
        <v>1588590</v>
      </c>
      <c r="P713" s="49">
        <v>0</v>
      </c>
      <c r="Q713" s="50">
        <v>10239.2002777778</v>
      </c>
      <c r="R713" s="51">
        <v>21461.110189513802</v>
      </c>
      <c r="S713" s="49">
        <v>32979.936003783201</v>
      </c>
      <c r="T713" s="49">
        <v>6632.4105285496998</v>
      </c>
      <c r="U713" s="49">
        <f>IFERROR(INDEX('Rentabilidad datos'!$N$2:$N$61,MATCH($C713,'Rentabilidad datos'!$C$2:$C$61,0)),"")</f>
        <v>61073.456721846684</v>
      </c>
      <c r="V713" s="50">
        <f>IFERROR(INDEX('Rentabilidad datos'!$O$2:$O$61,MATCH($C713,'Rentabilidad datos'!$C$2:$C$61,0)),"")</f>
        <v>1299.4352494009934</v>
      </c>
      <c r="W713" s="51">
        <f>IFERROR(INDEX('Rentabilidad datos'!$M$2:$M$61,MATCH($C713,'Rentabilidad datos'!$C$2:$C$61,0)),"")</f>
        <v>3641.9429094456564</v>
      </c>
      <c r="X713" s="52">
        <f>IFERROR(INDEX('Rentabilidad datos'!$P$2:$P$61,MATCH($C713,'Rentabilidad datos'!$C$2:$C$61,0)),"")</f>
        <v>0.35679725951519148</v>
      </c>
      <c r="Y713" s="43" t="s">
        <v>171</v>
      </c>
      <c r="Z713" s="53">
        <v>69.032407407407405</v>
      </c>
      <c r="AA713" s="43">
        <v>2</v>
      </c>
      <c r="AB713" s="54">
        <v>0.97269911833532019</v>
      </c>
      <c r="AC713" s="55">
        <v>2.7300881664679855E-2</v>
      </c>
      <c r="AD713" s="752" t="e">
        <f>_xlfn.XLOOKUP(Table1[[#This Row],[Ruta]],#REF!,#REF!)</f>
        <v>#REF!</v>
      </c>
      <c r="AE713" s="752" t="e">
        <f>_xlfn.XLOOKUP(Table1[[#This Row],[Ruta]],#REF!,#REF!)</f>
        <v>#REF!</v>
      </c>
      <c r="AF713" s="752" t="e">
        <f>_xlfn.XLOOKUP(Table1[[#This Row],[Ruta]],#REF!,#REF!)</f>
        <v>#REF!</v>
      </c>
      <c r="AG713" s="752" t="e">
        <f>_xlfn.XLOOKUP(Table1[[#This Row],[Ruta]],#REF!,#REF!)</f>
        <v>#REF!</v>
      </c>
      <c r="AH713" s="52">
        <v>0.6408616390747528</v>
      </c>
      <c r="AI713" s="52">
        <v>0.35913836092524715</v>
      </c>
      <c r="AJ713" s="55">
        <v>0</v>
      </c>
      <c r="AK713" s="56">
        <v>29822</v>
      </c>
      <c r="AL713" s="44">
        <v>19414</v>
      </c>
      <c r="AM713" s="54">
        <v>0.65099590906042504</v>
      </c>
      <c r="AN713" s="55">
        <v>0.62538735712289495</v>
      </c>
      <c r="AO713" s="56">
        <v>0</v>
      </c>
      <c r="AP713" s="48">
        <v>0</v>
      </c>
      <c r="AQ713" s="55">
        <v>0.65099590906042515</v>
      </c>
      <c r="AR713" s="51">
        <v>4423334.5199999996</v>
      </c>
      <c r="AS713" s="49">
        <v>0</v>
      </c>
      <c r="AT713" s="55">
        <v>0</v>
      </c>
      <c r="AU713" s="51">
        <v>0</v>
      </c>
      <c r="AV713" s="52">
        <v>0</v>
      </c>
      <c r="AW713" s="44">
        <v>490</v>
      </c>
      <c r="AX713" s="51">
        <v>227.842511589575</v>
      </c>
      <c r="AY713" s="49">
        <v>327.331066067118</v>
      </c>
      <c r="AZ713" s="49">
        <v>99.488554477543005</v>
      </c>
      <c r="BA713" s="42" t="s">
        <v>150</v>
      </c>
      <c r="BB713" s="50">
        <v>678624.87449057482</v>
      </c>
      <c r="BC713" s="57">
        <v>678624.87449057482</v>
      </c>
      <c r="BD713" s="42" t="s">
        <v>150</v>
      </c>
      <c r="BE713" s="46">
        <v>69.032407407407405</v>
      </c>
      <c r="BF713" s="46">
        <v>77.052752293577996</v>
      </c>
      <c r="BG713" s="42" t="s">
        <v>152</v>
      </c>
      <c r="BH713" s="52">
        <v>0.65099590906042504</v>
      </c>
      <c r="BI713" s="52">
        <v>0.58451671985922604</v>
      </c>
      <c r="BJ713" s="42" t="s">
        <v>150</v>
      </c>
      <c r="BK713" s="46">
        <v>474.08419999537</v>
      </c>
      <c r="BL713" s="46">
        <v>592.94411248383199</v>
      </c>
      <c r="BM713" s="42" t="s">
        <v>152</v>
      </c>
      <c r="BN713" s="48">
        <v>1</v>
      </c>
      <c r="BO713" s="42" t="s">
        <v>155</v>
      </c>
      <c r="BP713" s="42" t="s">
        <v>152</v>
      </c>
      <c r="BQ713" s="46">
        <v>0</v>
      </c>
      <c r="BR713" s="46">
        <v>336</v>
      </c>
      <c r="BS713" s="46">
        <v>26508</v>
      </c>
      <c r="BT713" s="46">
        <v>7704</v>
      </c>
      <c r="BU713" s="46">
        <v>3.4408099688473519</v>
      </c>
      <c r="BV713" s="46">
        <v>22.928571428571427</v>
      </c>
      <c r="BW713" s="46">
        <v>0</v>
      </c>
      <c r="BX713" s="46">
        <v>5281</v>
      </c>
      <c r="BY713" s="46">
        <v>5281</v>
      </c>
      <c r="BZ713" s="46">
        <v>0.68548805815160951</v>
      </c>
      <c r="CA713" s="46">
        <v>0</v>
      </c>
      <c r="CB713" s="46">
        <v>0.68548805815160951</v>
      </c>
      <c r="CC713" s="46">
        <v>0</v>
      </c>
      <c r="CD713" s="46">
        <v>9.8779854620976118E-2</v>
      </c>
      <c r="CE713" s="46">
        <v>0</v>
      </c>
      <c r="CF713" s="46">
        <v>0.2157320872274143</v>
      </c>
      <c r="CG713" s="46">
        <v>0</v>
      </c>
      <c r="CH713" s="46">
        <v>0</v>
      </c>
      <c r="CI713" s="46">
        <v>3.3197525275388564</v>
      </c>
      <c r="CJ713" s="46">
        <v>0.22634676324128561</v>
      </c>
      <c r="CK713">
        <v>372</v>
      </c>
      <c r="CL713">
        <v>405.2</v>
      </c>
      <c r="CM713">
        <f t="shared" si="77"/>
        <v>33.199999999999989</v>
      </c>
      <c r="CN713">
        <v>8.9499999999999993</v>
      </c>
      <c r="CO713">
        <v>9.4499999999999993</v>
      </c>
      <c r="CP713">
        <f t="shared" si="78"/>
        <v>0.5</v>
      </c>
      <c r="CQ713">
        <v>846.56</v>
      </c>
      <c r="CR713">
        <v>474.08</v>
      </c>
      <c r="CS713">
        <f t="shared" si="79"/>
        <v>372.47999999999996</v>
      </c>
      <c r="CT713" t="s">
        <v>152</v>
      </c>
      <c r="CU713">
        <v>94.7</v>
      </c>
      <c r="CV713">
        <v>346</v>
      </c>
      <c r="CW713" s="46">
        <v>5281</v>
      </c>
      <c r="CX713" s="46">
        <f t="shared" si="80"/>
        <v>68.117860851505725</v>
      </c>
      <c r="CY713" s="46">
        <v>33.200000000000003</v>
      </c>
      <c r="CZ713" s="46">
        <f t="shared" si="81"/>
        <v>68.548805815160947</v>
      </c>
      <c r="DA713" s="46">
        <f t="shared" si="82"/>
        <v>148.41868763893916</v>
      </c>
      <c r="DB713" s="46">
        <v>1148345.07</v>
      </c>
      <c r="DC713" s="46">
        <f t="shared" si="83"/>
        <v>6.5426653052783958</v>
      </c>
      <c r="DD713" s="46">
        <v>50621.91</v>
      </c>
      <c r="DE713" s="995">
        <v>5281</v>
      </c>
      <c r="DF713" s="995">
        <v>68.007999999999996</v>
      </c>
      <c r="DG713" s="995">
        <v>41.7</v>
      </c>
      <c r="DH713" s="995">
        <v>68.549000000000007</v>
      </c>
      <c r="DI713" s="995">
        <v>584.61800000000005</v>
      </c>
      <c r="DJ713" s="995">
        <v>4528264</v>
      </c>
      <c r="DK713" s="995">
        <v>26.84</v>
      </c>
      <c r="DL713" s="995">
        <v>207894.6</v>
      </c>
      <c r="DM713" s="995">
        <v>5281</v>
      </c>
      <c r="DN713" s="995">
        <v>68.102999999999994</v>
      </c>
      <c r="DO713" s="995">
        <v>34.299999999999997</v>
      </c>
      <c r="DP713" s="995">
        <v>68.549000000000007</v>
      </c>
      <c r="DQ713" s="995">
        <v>575.98699999999997</v>
      </c>
      <c r="DR713" s="995">
        <v>4457174</v>
      </c>
      <c r="DS713" s="995">
        <v>26.462</v>
      </c>
      <c r="DT713" s="995">
        <v>204772.6</v>
      </c>
    </row>
    <row r="714" spans="1:124">
      <c r="A714" s="42" t="s">
        <v>94</v>
      </c>
      <c r="B714" s="42" t="s">
        <v>502</v>
      </c>
      <c r="C714" s="42" t="s">
        <v>931</v>
      </c>
      <c r="D714" s="42">
        <v>916403</v>
      </c>
      <c r="E714" s="42" t="s">
        <v>953</v>
      </c>
      <c r="F714" s="42" t="s">
        <v>149</v>
      </c>
      <c r="G714" s="42" t="s">
        <v>150</v>
      </c>
      <c r="H714" s="43" t="s">
        <v>150</v>
      </c>
      <c r="I714" s="44">
        <v>50</v>
      </c>
      <c r="J714" s="45">
        <v>234771.48239999899</v>
      </c>
      <c r="K714" s="46">
        <v>10876.616244000001</v>
      </c>
      <c r="L714" s="47">
        <v>245648.09864399899</v>
      </c>
      <c r="M714" s="48">
        <v>4926302</v>
      </c>
      <c r="N714" s="49">
        <v>3499487</v>
      </c>
      <c r="O714" s="49">
        <v>1426815</v>
      </c>
      <c r="P714" s="49">
        <v>0</v>
      </c>
      <c r="Q714" s="50">
        <v>11298.8552293578</v>
      </c>
      <c r="R714" s="51">
        <v>21461.110189513802</v>
      </c>
      <c r="S714" s="49">
        <v>32979.936003783201</v>
      </c>
      <c r="T714" s="49">
        <v>6632.4105285496998</v>
      </c>
      <c r="U714" s="49">
        <f>IFERROR(INDEX('Rentabilidad datos'!$N$2:$N$61,MATCH($C714,'Rentabilidad datos'!$C$2:$C$61,0)),"")</f>
        <v>61073.456721846684</v>
      </c>
      <c r="V714" s="50">
        <f>IFERROR(INDEX('Rentabilidad datos'!$O$2:$O$61,MATCH($C714,'Rentabilidad datos'!$C$2:$C$61,0)),"")</f>
        <v>1299.4352494009934</v>
      </c>
      <c r="W714" s="51">
        <f>IFERROR(INDEX('Rentabilidad datos'!$M$2:$M$61,MATCH($C714,'Rentabilidad datos'!$C$2:$C$61,0)),"")</f>
        <v>3641.9429094456564</v>
      </c>
      <c r="X714" s="52">
        <f>IFERROR(INDEX('Rentabilidad datos'!$P$2:$P$61,MATCH($C714,'Rentabilidad datos'!$C$2:$C$61,0)),"")</f>
        <v>0.35679725951519148</v>
      </c>
      <c r="Y714" s="43" t="s">
        <v>171</v>
      </c>
      <c r="Z714" s="53">
        <v>64.566513761467903</v>
      </c>
      <c r="AA714" s="43">
        <v>2</v>
      </c>
      <c r="AB714" s="54">
        <v>0.96746829569116954</v>
      </c>
      <c r="AC714" s="55">
        <v>3.2531704308830435E-2</v>
      </c>
      <c r="AD714" s="752" t="e">
        <f>_xlfn.XLOOKUP(Table1[[#This Row],[Ruta]],#REF!,#REF!)</f>
        <v>#REF!</v>
      </c>
      <c r="AE714" s="752" t="e">
        <f>_xlfn.XLOOKUP(Table1[[#This Row],[Ruta]],#REF!,#REF!)</f>
        <v>#REF!</v>
      </c>
      <c r="AF714" s="752" t="e">
        <f>_xlfn.XLOOKUP(Table1[[#This Row],[Ruta]],#REF!,#REF!)</f>
        <v>#REF!</v>
      </c>
      <c r="AG714" s="752" t="e">
        <f>_xlfn.XLOOKUP(Table1[[#This Row],[Ruta]],#REF!,#REF!)</f>
        <v>#REF!</v>
      </c>
      <c r="AH714" s="52">
        <v>0.71036793927777875</v>
      </c>
      <c r="AI714" s="52">
        <v>0.28963206072222125</v>
      </c>
      <c r="AJ714" s="55">
        <v>0</v>
      </c>
      <c r="AK714" s="56">
        <v>28151</v>
      </c>
      <c r="AL714" s="44">
        <v>16968</v>
      </c>
      <c r="AM714" s="54">
        <v>0.60274945827856896</v>
      </c>
      <c r="AN714" s="55">
        <v>0.62538735712289495</v>
      </c>
      <c r="AO714" s="56">
        <v>637.27949036661096</v>
      </c>
      <c r="AP714" s="48">
        <v>318.63974518330548</v>
      </c>
      <c r="AQ714" s="55">
        <v>0.61406840770073201</v>
      </c>
      <c r="AR714" s="51">
        <v>4926300.88</v>
      </c>
      <c r="AS714" s="49">
        <v>92510.328683373999</v>
      </c>
      <c r="AT714" s="55">
        <v>1.8778862870303205E-2</v>
      </c>
      <c r="AU714" s="51">
        <v>65007.257993722291</v>
      </c>
      <c r="AV714" s="52">
        <v>2.9572416842042401E-4</v>
      </c>
      <c r="AW714" s="44">
        <v>419</v>
      </c>
      <c r="AX714" s="51">
        <v>290.328906176332</v>
      </c>
      <c r="AY714" s="49">
        <v>327.331066067118</v>
      </c>
      <c r="AZ714" s="49">
        <v>37.002159890786004</v>
      </c>
      <c r="BA714" s="42" t="s">
        <v>150</v>
      </c>
      <c r="BB714" s="50">
        <v>220596.87668511196</v>
      </c>
      <c r="BC714" s="57">
        <v>285604.13467883423</v>
      </c>
      <c r="BD714" s="42" t="s">
        <v>150</v>
      </c>
      <c r="BE714" s="46">
        <v>64.566513761467903</v>
      </c>
      <c r="BF714" s="46">
        <v>77.052752293577996</v>
      </c>
      <c r="BG714" s="42" t="s">
        <v>152</v>
      </c>
      <c r="BH714" s="52">
        <v>0.60274945827856896</v>
      </c>
      <c r="BI714" s="52">
        <v>0.58451671985922604</v>
      </c>
      <c r="BJ714" s="42" t="s">
        <v>150</v>
      </c>
      <c r="BK714" s="46">
        <v>563.41307028440201</v>
      </c>
      <c r="BL714" s="46">
        <v>592.94411248383199</v>
      </c>
      <c r="BM714" s="42" t="s">
        <v>152</v>
      </c>
      <c r="BN714" s="48">
        <v>1</v>
      </c>
      <c r="BO714" s="42" t="s">
        <v>155</v>
      </c>
      <c r="BP714" s="42" t="s">
        <v>152</v>
      </c>
      <c r="BQ714" s="46">
        <v>3929.77716395482</v>
      </c>
      <c r="BR714" s="46">
        <v>394</v>
      </c>
      <c r="BS714" s="46">
        <v>25844</v>
      </c>
      <c r="BT714" s="46">
        <v>7361</v>
      </c>
      <c r="BU714" s="46">
        <v>3.5109360141285153</v>
      </c>
      <c r="BV714" s="46">
        <v>18.68274111675127</v>
      </c>
      <c r="BW714" s="46">
        <v>0</v>
      </c>
      <c r="BX714" s="46">
        <v>5254</v>
      </c>
      <c r="BY714" s="46">
        <v>5254</v>
      </c>
      <c r="BZ714" s="46">
        <v>0.71376171715799486</v>
      </c>
      <c r="CA714" s="46">
        <v>0</v>
      </c>
      <c r="CB714" s="46">
        <v>0.71376171715799486</v>
      </c>
      <c r="CC714" s="46">
        <v>5.3661187338676808E-2</v>
      </c>
      <c r="CD714" s="46">
        <v>0.13163972286374129</v>
      </c>
      <c r="CE714" s="46">
        <v>0</v>
      </c>
      <c r="CF714" s="46">
        <v>0.1008015215324005</v>
      </c>
      <c r="CG714" s="46">
        <v>0</v>
      </c>
      <c r="CH714" s="46">
        <v>1.3585110718652361E-4</v>
      </c>
      <c r="CI714" s="46">
        <v>4.4110818758706083</v>
      </c>
      <c r="CJ714" s="46">
        <v>7.738740133106331E-2</v>
      </c>
      <c r="CK714">
        <v>335</v>
      </c>
      <c r="CL714">
        <v>442.85</v>
      </c>
      <c r="CM714">
        <f t="shared" ref="CM714:CM777" si="84">CL714-CK714</f>
        <v>107.85000000000002</v>
      </c>
      <c r="CN714">
        <v>9.43</v>
      </c>
      <c r="CO714">
        <v>9.4499999999999993</v>
      </c>
      <c r="CP714">
        <f t="shared" ref="CP714:CP777" si="85">CO714-CN714</f>
        <v>1.9999999999999574E-2</v>
      </c>
      <c r="CQ714">
        <v>846.56</v>
      </c>
      <c r="CR714">
        <v>563.41</v>
      </c>
      <c r="CS714">
        <f t="shared" ref="CS714:CS777" si="86">CQ714-CR714</f>
        <v>283.14999999999998</v>
      </c>
      <c r="CT714" t="s">
        <v>150</v>
      </c>
      <c r="CU714">
        <v>103.48</v>
      </c>
      <c r="CV714">
        <v>278</v>
      </c>
      <c r="CW714" s="46">
        <v>5254</v>
      </c>
      <c r="CX714" s="46">
        <f t="shared" si="80"/>
        <v>69.911017524792811</v>
      </c>
      <c r="CY714" s="46">
        <v>107.85</v>
      </c>
      <c r="CZ714" s="46">
        <f t="shared" si="81"/>
        <v>71.376171715799487</v>
      </c>
      <c r="DA714" s="46">
        <f t="shared" si="82"/>
        <v>142.90858967578677</v>
      </c>
      <c r="DB714" s="46">
        <v>1067362.82</v>
      </c>
      <c r="DC714" s="46">
        <f t="shared" si="83"/>
        <v>6.8053582546175111</v>
      </c>
      <c r="DD714" s="46">
        <v>50828.2</v>
      </c>
      <c r="DE714" s="995">
        <v>5254</v>
      </c>
      <c r="DF714" s="995">
        <v>69.971999999999994</v>
      </c>
      <c r="DG714" s="995">
        <v>103.3</v>
      </c>
      <c r="DH714" s="995">
        <v>71.376000000000005</v>
      </c>
      <c r="DI714" s="995">
        <v>622.90099999999995</v>
      </c>
      <c r="DJ714" s="995">
        <v>4649538</v>
      </c>
      <c r="DK714" s="995">
        <v>29.844000000000001</v>
      </c>
      <c r="DL714" s="995">
        <v>222763.8</v>
      </c>
      <c r="DM714" s="995">
        <v>5254</v>
      </c>
      <c r="DN714" s="995">
        <v>70.094999999999999</v>
      </c>
      <c r="DO714" s="995">
        <v>94.3</v>
      </c>
      <c r="DP714" s="995">
        <v>71.376000000000005</v>
      </c>
      <c r="DQ714" s="995">
        <v>612.779</v>
      </c>
      <c r="DR714" s="995">
        <v>4568444</v>
      </c>
      <c r="DS714" s="995">
        <v>29.373999999999999</v>
      </c>
      <c r="DT714" s="995">
        <v>218991.4</v>
      </c>
    </row>
    <row r="715" spans="1:124">
      <c r="A715" s="42" t="s">
        <v>94</v>
      </c>
      <c r="B715" s="42" t="s">
        <v>502</v>
      </c>
      <c r="C715" s="42" t="s">
        <v>931</v>
      </c>
      <c r="D715" s="42">
        <v>916404</v>
      </c>
      <c r="E715" s="42" t="s">
        <v>954</v>
      </c>
      <c r="F715" s="42" t="s">
        <v>149</v>
      </c>
      <c r="G715" s="42" t="s">
        <v>150</v>
      </c>
      <c r="H715" s="43" t="s">
        <v>150</v>
      </c>
      <c r="I715" s="44">
        <v>50</v>
      </c>
      <c r="J715" s="45">
        <v>157768.296</v>
      </c>
      <c r="K715" s="46">
        <v>9186.9389840000003</v>
      </c>
      <c r="L715" s="47">
        <v>166955.23498400001</v>
      </c>
      <c r="M715" s="48">
        <v>3446047</v>
      </c>
      <c r="N715" s="49">
        <v>2336181</v>
      </c>
      <c r="O715" s="49">
        <v>1109866</v>
      </c>
      <c r="P715" s="49">
        <v>0</v>
      </c>
      <c r="Q715" s="50">
        <v>7995.4720649651999</v>
      </c>
      <c r="R715" s="51">
        <v>21461.110189513802</v>
      </c>
      <c r="S715" s="49">
        <v>32979.936003783201</v>
      </c>
      <c r="T715" s="49">
        <v>6632.4105285496998</v>
      </c>
      <c r="U715" s="49">
        <f>IFERROR(INDEX('Rentabilidad datos'!$N$2:$N$61,MATCH($C715,'Rentabilidad datos'!$C$2:$C$61,0)),"")</f>
        <v>61073.456721846684</v>
      </c>
      <c r="V715" s="50">
        <f>IFERROR(INDEX('Rentabilidad datos'!$O$2:$O$61,MATCH($C715,'Rentabilidad datos'!$C$2:$C$61,0)),"")</f>
        <v>1299.4352494009934</v>
      </c>
      <c r="W715" s="51">
        <f>IFERROR(INDEX('Rentabilidad datos'!$M$2:$M$61,MATCH($C715,'Rentabilidad datos'!$C$2:$C$61,0)),"")</f>
        <v>3641.9429094456564</v>
      </c>
      <c r="X715" s="52">
        <f>IFERROR(INDEX('Rentabilidad datos'!$P$2:$P$61,MATCH($C715,'Rentabilidad datos'!$C$2:$C$61,0)),"")</f>
        <v>0.35679725951519148</v>
      </c>
      <c r="Y715" s="43" t="s">
        <v>171</v>
      </c>
      <c r="Z715" s="53">
        <v>80.069605568445496</v>
      </c>
      <c r="AA715" s="43">
        <v>2</v>
      </c>
      <c r="AB715" s="54">
        <v>0.99281669692839358</v>
      </c>
      <c r="AC715" s="55">
        <v>7.1833030716063938E-3</v>
      </c>
      <c r="AD715" s="752" t="e">
        <f>_xlfn.XLOOKUP(Table1[[#This Row],[Ruta]],#REF!,#REF!)</f>
        <v>#REF!</v>
      </c>
      <c r="AE715" s="752" t="e">
        <f>_xlfn.XLOOKUP(Table1[[#This Row],[Ruta]],#REF!,#REF!)</f>
        <v>#REF!</v>
      </c>
      <c r="AF715" s="752" t="e">
        <f>_xlfn.XLOOKUP(Table1[[#This Row],[Ruta]],#REF!,#REF!)</f>
        <v>#REF!</v>
      </c>
      <c r="AG715" s="752" t="e">
        <f>_xlfn.XLOOKUP(Table1[[#This Row],[Ruta]],#REF!,#REF!)</f>
        <v>#REF!</v>
      </c>
      <c r="AH715" s="52">
        <v>0.67793068405625345</v>
      </c>
      <c r="AI715" s="52">
        <v>0.32206931594374655</v>
      </c>
      <c r="AJ715" s="55">
        <v>0</v>
      </c>
      <c r="AK715" s="56">
        <v>34510</v>
      </c>
      <c r="AL715" s="44">
        <v>15178</v>
      </c>
      <c r="AM715" s="54">
        <v>0.43981454650825802</v>
      </c>
      <c r="AN715" s="55">
        <v>0.62538735712289495</v>
      </c>
      <c r="AO715" s="56">
        <v>6404.1176943111004</v>
      </c>
      <c r="AP715" s="48">
        <v>3202.0588471555502</v>
      </c>
      <c r="AQ715" s="55">
        <v>0.53260095181557665</v>
      </c>
      <c r="AR715" s="51">
        <v>3446048.46</v>
      </c>
      <c r="AS715" s="49">
        <v>727002.89623598498</v>
      </c>
      <c r="AT715" s="55">
        <v>0.21096711339804694</v>
      </c>
      <c r="AU715" s="51">
        <v>510866.90005771938</v>
      </c>
      <c r="AV715" s="52">
        <v>2.3239818730345189E-3</v>
      </c>
      <c r="AW715" s="44">
        <v>143</v>
      </c>
      <c r="AX715" s="51">
        <v>227.04232837000899</v>
      </c>
      <c r="AY715" s="49">
        <v>327.331066067118</v>
      </c>
      <c r="AZ715" s="49">
        <v>100.28873769710901</v>
      </c>
      <c r="BA715" s="42" t="s">
        <v>150</v>
      </c>
      <c r="BB715" s="50">
        <v>534820.86459371285</v>
      </c>
      <c r="BC715" s="57">
        <v>1045687.7646514322</v>
      </c>
      <c r="BD715" s="42" t="s">
        <v>150</v>
      </c>
      <c r="BE715" s="46">
        <v>80.069605568445496</v>
      </c>
      <c r="BF715" s="46">
        <v>77.052752293577996</v>
      </c>
      <c r="BG715" s="42" t="s">
        <v>150</v>
      </c>
      <c r="BH715" s="52">
        <v>0.43981454650825902</v>
      </c>
      <c r="BI715" s="52">
        <v>0.58451671985922604</v>
      </c>
      <c r="BJ715" s="42" t="s">
        <v>152</v>
      </c>
      <c r="BK715" s="46">
        <v>387.36713453364302</v>
      </c>
      <c r="BL715" s="46">
        <v>592.94411248383199</v>
      </c>
      <c r="BM715" s="42" t="s">
        <v>152</v>
      </c>
      <c r="BN715" s="48">
        <v>1</v>
      </c>
      <c r="BO715" s="42" t="s">
        <v>155</v>
      </c>
      <c r="BP715" s="42" t="s">
        <v>152</v>
      </c>
      <c r="BQ715" s="46">
        <v>2055.00792546293</v>
      </c>
      <c r="BR715" s="46">
        <v>330</v>
      </c>
      <c r="BS715" s="46">
        <v>26394</v>
      </c>
      <c r="BT715" s="46">
        <v>7034</v>
      </c>
      <c r="BU715" s="46">
        <v>3.7523457492180836</v>
      </c>
      <c r="BV715" s="46">
        <v>21.315151515151516</v>
      </c>
      <c r="BW715" s="46">
        <v>0</v>
      </c>
      <c r="BX715" s="46">
        <v>1924</v>
      </c>
      <c r="BY715" s="46">
        <v>1924</v>
      </c>
      <c r="BZ715" s="46">
        <v>0.27352857549047482</v>
      </c>
      <c r="CA715" s="46">
        <v>0</v>
      </c>
      <c r="CB715" s="46">
        <v>0.27352857549047482</v>
      </c>
      <c r="CC715" s="46">
        <v>0.110889963036679</v>
      </c>
      <c r="CD715" s="46">
        <v>0</v>
      </c>
      <c r="CE715" s="46">
        <v>0</v>
      </c>
      <c r="CF715" s="46">
        <v>0.6155814614728462</v>
      </c>
      <c r="CG715" s="46">
        <v>0</v>
      </c>
      <c r="CH715" s="46">
        <v>0</v>
      </c>
      <c r="CI715" s="46">
        <v>4.6222626354474503</v>
      </c>
      <c r="CJ715" s="46">
        <v>0.22732439190725157</v>
      </c>
      <c r="CK715">
        <v>232</v>
      </c>
      <c r="CL715">
        <v>364.34</v>
      </c>
      <c r="CM715">
        <f t="shared" si="84"/>
        <v>132.33999999999997</v>
      </c>
      <c r="CN715">
        <v>7.22</v>
      </c>
      <c r="CO715">
        <v>9.4499999999999993</v>
      </c>
      <c r="CP715">
        <f t="shared" si="85"/>
        <v>2.2299999999999995</v>
      </c>
      <c r="CQ715">
        <v>846.56</v>
      </c>
      <c r="CR715">
        <v>387.37</v>
      </c>
      <c r="CS715">
        <f t="shared" si="86"/>
        <v>459.18999999999994</v>
      </c>
      <c r="CT715" t="s">
        <v>152</v>
      </c>
      <c r="CU715">
        <v>78.260000000000005</v>
      </c>
      <c r="CV715">
        <v>58</v>
      </c>
      <c r="CW715" s="46">
        <v>1924</v>
      </c>
      <c r="CX715" s="46">
        <f t="shared" si="80"/>
        <v>25.471424509525164</v>
      </c>
      <c r="CY715" s="46">
        <v>132.34</v>
      </c>
      <c r="CZ715" s="46">
        <f t="shared" si="81"/>
        <v>27.352857549047481</v>
      </c>
      <c r="DA715" s="46">
        <f t="shared" si="82"/>
        <v>225.84083786144669</v>
      </c>
      <c r="DB715" s="46">
        <v>1618452.23</v>
      </c>
      <c r="DC715" s="46">
        <f t="shared" si="83"/>
        <v>11.055164840071781</v>
      </c>
      <c r="DD715" s="46">
        <v>79225.070000000007</v>
      </c>
      <c r="DE715" s="995">
        <v>1924</v>
      </c>
      <c r="DF715" s="995">
        <v>25.916</v>
      </c>
      <c r="DG715" s="995">
        <v>101.1</v>
      </c>
      <c r="DH715" s="995">
        <v>27.353000000000002</v>
      </c>
      <c r="DI715" s="995">
        <v>457.11700000000002</v>
      </c>
      <c r="DJ715" s="995">
        <v>3261567</v>
      </c>
      <c r="DK715" s="995">
        <v>21.59</v>
      </c>
      <c r="DL715" s="995">
        <v>154044.70000000001</v>
      </c>
      <c r="DM715" s="995">
        <v>1924</v>
      </c>
      <c r="DN715" s="995">
        <v>26.158000000000001</v>
      </c>
      <c r="DO715" s="995">
        <v>84</v>
      </c>
      <c r="DP715" s="995">
        <v>27.353000000000002</v>
      </c>
      <c r="DQ715" s="995">
        <v>437.822</v>
      </c>
      <c r="DR715" s="995">
        <v>3116432</v>
      </c>
      <c r="DS715" s="995">
        <v>20.641999999999999</v>
      </c>
      <c r="DT715" s="995">
        <v>146932.79999999999</v>
      </c>
    </row>
    <row r="716" spans="1:124">
      <c r="A716" s="42" t="s">
        <v>94</v>
      </c>
      <c r="B716" s="42" t="s">
        <v>502</v>
      </c>
      <c r="C716" s="42" t="s">
        <v>931</v>
      </c>
      <c r="D716" s="42">
        <v>916405</v>
      </c>
      <c r="E716" s="42" t="s">
        <v>955</v>
      </c>
      <c r="F716" s="42" t="s">
        <v>149</v>
      </c>
      <c r="G716" s="42" t="s">
        <v>150</v>
      </c>
      <c r="H716" s="43" t="s">
        <v>150</v>
      </c>
      <c r="I716" s="44">
        <v>50</v>
      </c>
      <c r="J716" s="45">
        <v>239051.19839999999</v>
      </c>
      <c r="K716" s="46">
        <v>10797.446217000001</v>
      </c>
      <c r="L716" s="47">
        <v>249848.64461700001</v>
      </c>
      <c r="M716" s="48">
        <v>4770468</v>
      </c>
      <c r="N716" s="49">
        <v>3537120</v>
      </c>
      <c r="O716" s="49">
        <v>1233348</v>
      </c>
      <c r="P716" s="49">
        <v>0</v>
      </c>
      <c r="Q716" s="50">
        <v>10891.4820091324</v>
      </c>
      <c r="R716" s="51">
        <v>21461.110189513802</v>
      </c>
      <c r="S716" s="49">
        <v>32979.936003783201</v>
      </c>
      <c r="T716" s="49">
        <v>6632.4105285496998</v>
      </c>
      <c r="U716" s="49">
        <f>IFERROR(INDEX('Rentabilidad datos'!$N$2:$N$61,MATCH($C716,'Rentabilidad datos'!$C$2:$C$61,0)),"")</f>
        <v>61073.456721846684</v>
      </c>
      <c r="V716" s="50">
        <f>IFERROR(INDEX('Rentabilidad datos'!$O$2:$O$61,MATCH($C716,'Rentabilidad datos'!$C$2:$C$61,0)),"")</f>
        <v>1299.4352494009934</v>
      </c>
      <c r="W716" s="51">
        <f>IFERROR(INDEX('Rentabilidad datos'!$M$2:$M$61,MATCH($C716,'Rentabilidad datos'!$C$2:$C$61,0)),"")</f>
        <v>3641.9429094456564</v>
      </c>
      <c r="X716" s="52">
        <f>IFERROR(INDEX('Rentabilidad datos'!$P$2:$P$61,MATCH($C716,'Rentabilidad datos'!$C$2:$C$61,0)),"")</f>
        <v>0.35679725951519148</v>
      </c>
      <c r="Y716" s="43" t="s">
        <v>171</v>
      </c>
      <c r="Z716" s="53">
        <v>114.831050228311</v>
      </c>
      <c r="AA716" s="43">
        <v>2</v>
      </c>
      <c r="AB716" s="54">
        <v>0.93715270703000209</v>
      </c>
      <c r="AC716" s="55">
        <v>6.2847292969997914E-2</v>
      </c>
      <c r="AD716" s="752" t="e">
        <f>_xlfn.XLOOKUP(Table1[[#This Row],[Ruta]],#REF!,#REF!)</f>
        <v>#REF!</v>
      </c>
      <c r="AE716" s="752" t="e">
        <f>_xlfn.XLOOKUP(Table1[[#This Row],[Ruta]],#REF!,#REF!)</f>
        <v>#REF!</v>
      </c>
      <c r="AF716" s="752" t="e">
        <f>_xlfn.XLOOKUP(Table1[[#This Row],[Ruta]],#REF!,#REF!)</f>
        <v>#REF!</v>
      </c>
      <c r="AG716" s="752" t="e">
        <f>_xlfn.XLOOKUP(Table1[[#This Row],[Ruta]],#REF!,#REF!)</f>
        <v>#REF!</v>
      </c>
      <c r="AH716" s="52">
        <v>0.74146184399518034</v>
      </c>
      <c r="AI716" s="52">
        <v>0.25853815600481966</v>
      </c>
      <c r="AJ716" s="55">
        <v>0</v>
      </c>
      <c r="AK716" s="56">
        <v>50296</v>
      </c>
      <c r="AL716" s="44">
        <v>21627</v>
      </c>
      <c r="AM716" s="54">
        <v>0.42999443295689499</v>
      </c>
      <c r="AN716" s="55">
        <v>0.62538735712289495</v>
      </c>
      <c r="AO716" s="56">
        <v>9827.4825138531196</v>
      </c>
      <c r="AP716" s="48">
        <v>4913.7412569265598</v>
      </c>
      <c r="AQ716" s="55">
        <v>0.52769089503989497</v>
      </c>
      <c r="AR716" s="51">
        <v>4770469.12</v>
      </c>
      <c r="AS716" s="49">
        <v>1083869.742906465</v>
      </c>
      <c r="AT716" s="55">
        <v>0.22720401613383989</v>
      </c>
      <c r="AU716" s="51">
        <v>761638.19771805673</v>
      </c>
      <c r="AV716" s="52">
        <v>3.4647642372356885E-3</v>
      </c>
      <c r="AW716" s="44">
        <v>82</v>
      </c>
      <c r="AX716" s="51">
        <v>220.579327692237</v>
      </c>
      <c r="AY716" s="49">
        <v>327.331066067118</v>
      </c>
      <c r="AZ716" s="49">
        <v>106.751738374881</v>
      </c>
      <c r="BA716" s="42" t="s">
        <v>150</v>
      </c>
      <c r="BB716" s="50">
        <v>811171.8377253022</v>
      </c>
      <c r="BC716" s="57">
        <v>1572810.0354433591</v>
      </c>
      <c r="BD716" s="42" t="s">
        <v>150</v>
      </c>
      <c r="BE716" s="46">
        <v>114.831050228311</v>
      </c>
      <c r="BF716" s="46">
        <v>77.052752293577996</v>
      </c>
      <c r="BG716" s="42" t="s">
        <v>150</v>
      </c>
      <c r="BH716" s="52">
        <v>0.42999443295689499</v>
      </c>
      <c r="BI716" s="52">
        <v>0.58451671985922604</v>
      </c>
      <c r="BJ716" s="42" t="s">
        <v>152</v>
      </c>
      <c r="BK716" s="46">
        <v>570.430695472602</v>
      </c>
      <c r="BL716" s="46">
        <v>592.94411248383199</v>
      </c>
      <c r="BM716" s="42" t="s">
        <v>152</v>
      </c>
      <c r="BN716" s="48">
        <v>1</v>
      </c>
      <c r="BO716" s="42" t="s">
        <v>155</v>
      </c>
      <c r="BP716" s="42" t="s">
        <v>152</v>
      </c>
      <c r="BQ716" s="46">
        <v>0</v>
      </c>
      <c r="BR716" s="46">
        <v>293</v>
      </c>
      <c r="BS716" s="46">
        <v>21793</v>
      </c>
      <c r="BT716" s="46">
        <v>6055</v>
      </c>
      <c r="BU716" s="46">
        <v>3.599174236168456</v>
      </c>
      <c r="BV716" s="46">
        <v>20.66552901023891</v>
      </c>
      <c r="BW716" s="46">
        <v>0</v>
      </c>
      <c r="BX716" s="46">
        <v>2542</v>
      </c>
      <c r="BY716" s="46">
        <v>2542</v>
      </c>
      <c r="BZ716" s="46">
        <v>0.41981833195706025</v>
      </c>
      <c r="CA716" s="46">
        <v>0</v>
      </c>
      <c r="CB716" s="46">
        <v>0.41981833195706025</v>
      </c>
      <c r="CC716" s="46">
        <v>0.2208092485549133</v>
      </c>
      <c r="CD716" s="46">
        <v>0</v>
      </c>
      <c r="CE716" s="46">
        <v>0</v>
      </c>
      <c r="CF716" s="46">
        <v>0.35937241948802651</v>
      </c>
      <c r="CG716" s="46">
        <v>0</v>
      </c>
      <c r="CH716" s="46">
        <v>0</v>
      </c>
      <c r="CI716" s="46">
        <v>4.8639471389895839</v>
      </c>
      <c r="CJ716" s="46">
        <v>0.32120405634836868</v>
      </c>
      <c r="CK716">
        <v>303</v>
      </c>
      <c r="CL716">
        <v>389.63</v>
      </c>
      <c r="CM716">
        <f t="shared" si="84"/>
        <v>86.63</v>
      </c>
      <c r="CN716">
        <v>7.27</v>
      </c>
      <c r="CO716">
        <v>9.4499999999999993</v>
      </c>
      <c r="CP716">
        <f t="shared" si="85"/>
        <v>2.1799999999999997</v>
      </c>
      <c r="CQ716">
        <v>846.56</v>
      </c>
      <c r="CR716">
        <v>570.42999999999995</v>
      </c>
      <c r="CS716">
        <f t="shared" si="86"/>
        <v>276.13</v>
      </c>
      <c r="CT716" t="s">
        <v>152</v>
      </c>
      <c r="CU716">
        <v>80.98</v>
      </c>
      <c r="CV716">
        <v>167</v>
      </c>
      <c r="CW716" s="46">
        <v>2542</v>
      </c>
      <c r="CX716" s="46">
        <f t="shared" si="80"/>
        <v>40.551114781172579</v>
      </c>
      <c r="CY716" s="46">
        <v>86.63</v>
      </c>
      <c r="CZ716" s="46">
        <f t="shared" si="81"/>
        <v>41.981833195706024</v>
      </c>
      <c r="DA716" s="46">
        <f t="shared" si="82"/>
        <v>120.34783274147091</v>
      </c>
      <c r="DB716" s="46">
        <v>739131.86</v>
      </c>
      <c r="DC716" s="46">
        <f t="shared" si="83"/>
        <v>6.0806805359489253</v>
      </c>
      <c r="DD716" s="46">
        <v>37345.29</v>
      </c>
      <c r="DE716" s="995">
        <v>2542</v>
      </c>
      <c r="DF716" s="995">
        <v>40.613999999999997</v>
      </c>
      <c r="DG716" s="995">
        <v>82.8</v>
      </c>
      <c r="DH716" s="995">
        <v>41.981999999999999</v>
      </c>
      <c r="DI716" s="995">
        <v>643.93299999999999</v>
      </c>
      <c r="DJ716" s="995">
        <v>3952356</v>
      </c>
      <c r="DK716" s="995">
        <v>33.298999999999999</v>
      </c>
      <c r="DL716" s="995">
        <v>204385.4</v>
      </c>
      <c r="DM716" s="995">
        <v>2542</v>
      </c>
      <c r="DN716" s="995">
        <v>40.808</v>
      </c>
      <c r="DO716" s="995">
        <v>71.099999999999994</v>
      </c>
      <c r="DP716" s="995">
        <v>41.981999999999999</v>
      </c>
      <c r="DQ716" s="995">
        <v>629.24</v>
      </c>
      <c r="DR716" s="995">
        <v>3854773</v>
      </c>
      <c r="DS716" s="995">
        <v>32.555</v>
      </c>
      <c r="DT716" s="995">
        <v>199435.9</v>
      </c>
    </row>
    <row r="717" spans="1:124">
      <c r="A717" s="42" t="s">
        <v>94</v>
      </c>
      <c r="B717" s="42" t="s">
        <v>502</v>
      </c>
      <c r="C717" s="42" t="s">
        <v>931</v>
      </c>
      <c r="D717" s="42">
        <v>916406</v>
      </c>
      <c r="E717" s="42" t="s">
        <v>956</v>
      </c>
      <c r="F717" s="42" t="s">
        <v>149</v>
      </c>
      <c r="G717" s="42" t="s">
        <v>150</v>
      </c>
      <c r="H717" s="43" t="s">
        <v>150</v>
      </c>
      <c r="I717" s="44">
        <v>50</v>
      </c>
      <c r="J717" s="45">
        <v>200531.92275199899</v>
      </c>
      <c r="K717" s="46">
        <v>17381.468960999999</v>
      </c>
      <c r="L717" s="47">
        <v>217913.39171299999</v>
      </c>
      <c r="M717" s="48">
        <v>5143677</v>
      </c>
      <c r="N717" s="49">
        <v>2988186</v>
      </c>
      <c r="O717" s="49">
        <v>2155491</v>
      </c>
      <c r="P717" s="49">
        <v>0</v>
      </c>
      <c r="Q717" s="50">
        <v>11637.2701131222</v>
      </c>
      <c r="R717" s="51">
        <v>21461.110189513802</v>
      </c>
      <c r="S717" s="49">
        <v>32979.936003783201</v>
      </c>
      <c r="T717" s="49">
        <v>6632.4105285496998</v>
      </c>
      <c r="U717" s="49">
        <f>IFERROR(INDEX('Rentabilidad datos'!$N$2:$N$61,MATCH($C717,'Rentabilidad datos'!$C$2:$C$61,0)),"")</f>
        <v>61073.456721846684</v>
      </c>
      <c r="V717" s="50">
        <f>IFERROR(INDEX('Rentabilidad datos'!$O$2:$O$61,MATCH($C717,'Rentabilidad datos'!$C$2:$C$61,0)),"")</f>
        <v>1299.4352494009934</v>
      </c>
      <c r="W717" s="51">
        <f>IFERROR(INDEX('Rentabilidad datos'!$M$2:$M$61,MATCH($C717,'Rentabilidad datos'!$C$2:$C$61,0)),"")</f>
        <v>3641.9429094456564</v>
      </c>
      <c r="X717" s="52">
        <f>IFERROR(INDEX('Rentabilidad datos'!$P$2:$P$61,MATCH($C717,'Rentabilidad datos'!$C$2:$C$61,0)),"")</f>
        <v>0.35679725951519148</v>
      </c>
      <c r="Y717" s="43" t="s">
        <v>171</v>
      </c>
      <c r="Z717" s="53">
        <v>81.979638009049793</v>
      </c>
      <c r="AA717" s="43">
        <v>2</v>
      </c>
      <c r="AB717" s="54">
        <v>0.99054411853621449</v>
      </c>
      <c r="AC717" s="55">
        <v>9.4558814637855371E-3</v>
      </c>
      <c r="AD717" s="752" t="e">
        <f>_xlfn.XLOOKUP(Table1[[#This Row],[Ruta]],#REF!,#REF!)</f>
        <v>#REF!</v>
      </c>
      <c r="AE717" s="752" t="e">
        <f>_xlfn.XLOOKUP(Table1[[#This Row],[Ruta]],#REF!,#REF!)</f>
        <v>#REF!</v>
      </c>
      <c r="AF717" s="752" t="e">
        <f>_xlfn.XLOOKUP(Table1[[#This Row],[Ruta]],#REF!,#REF!)</f>
        <v>#REF!</v>
      </c>
      <c r="AG717" s="752" t="e">
        <f>_xlfn.XLOOKUP(Table1[[#This Row],[Ruta]],#REF!,#REF!)</f>
        <v>#REF!</v>
      </c>
      <c r="AH717" s="52">
        <v>0.58094355458167379</v>
      </c>
      <c r="AI717" s="52">
        <v>0.41905644541832621</v>
      </c>
      <c r="AJ717" s="55">
        <v>0</v>
      </c>
      <c r="AK717" s="56">
        <v>36235</v>
      </c>
      <c r="AL717" s="44">
        <v>20384</v>
      </c>
      <c r="AM717" s="54">
        <v>0.56255002069822002</v>
      </c>
      <c r="AN717" s="55">
        <v>0.62538735712289495</v>
      </c>
      <c r="AO717" s="56">
        <v>2276.9108853480898</v>
      </c>
      <c r="AP717" s="48">
        <v>1138.4554426740449</v>
      </c>
      <c r="AQ717" s="55">
        <v>0.59396868891055732</v>
      </c>
      <c r="AR717" s="51">
        <v>5143673.3899999997</v>
      </c>
      <c r="AS717" s="49">
        <v>287276.44064870302</v>
      </c>
      <c r="AT717" s="55">
        <v>5.5850443616269937E-2</v>
      </c>
      <c r="AU717" s="51">
        <v>201869.93126665626</v>
      </c>
      <c r="AV717" s="52">
        <v>9.1832542081201241E-4</v>
      </c>
      <c r="AW717" s="44">
        <v>311</v>
      </c>
      <c r="AX717" s="51">
        <v>252.33876520800601</v>
      </c>
      <c r="AY717" s="49">
        <v>327.331066067118</v>
      </c>
      <c r="AZ717" s="49">
        <v>74.992300859111992</v>
      </c>
      <c r="BA717" s="42" t="s">
        <v>150</v>
      </c>
      <c r="BB717" s="50">
        <v>537090.80511507601</v>
      </c>
      <c r="BC717" s="57">
        <v>738960.73638173228</v>
      </c>
      <c r="BD717" s="42" t="s">
        <v>150</v>
      </c>
      <c r="BE717" s="46">
        <v>81.979638009049793</v>
      </c>
      <c r="BF717" s="46">
        <v>77.052752293577996</v>
      </c>
      <c r="BG717" s="42" t="s">
        <v>150</v>
      </c>
      <c r="BH717" s="52">
        <v>0.56255002069822002</v>
      </c>
      <c r="BI717" s="52">
        <v>0.58451671985922604</v>
      </c>
      <c r="BJ717" s="42" t="s">
        <v>152</v>
      </c>
      <c r="BK717" s="46">
        <v>493.01672333257801</v>
      </c>
      <c r="BL717" s="46">
        <v>592.94411248383199</v>
      </c>
      <c r="BM717" s="42" t="s">
        <v>152</v>
      </c>
      <c r="BN717" s="48">
        <v>1</v>
      </c>
      <c r="BO717" s="42" t="s">
        <v>155</v>
      </c>
      <c r="BP717" s="42" t="s">
        <v>152</v>
      </c>
      <c r="BQ717" s="46">
        <v>0</v>
      </c>
      <c r="BR717" s="46">
        <v>155</v>
      </c>
      <c r="BS717" s="46">
        <v>11420</v>
      </c>
      <c r="BT717" s="46">
        <v>3768</v>
      </c>
      <c r="BU717" s="46">
        <v>3.0307855626326963</v>
      </c>
      <c r="BV717" s="46">
        <v>24.309677419354838</v>
      </c>
      <c r="BW717" s="46">
        <v>0</v>
      </c>
      <c r="BX717" s="46">
        <v>3032</v>
      </c>
      <c r="BY717" s="46">
        <v>3032</v>
      </c>
      <c r="BZ717" s="46">
        <v>0.80467091295116777</v>
      </c>
      <c r="CA717" s="46">
        <v>0</v>
      </c>
      <c r="CB717" s="46">
        <v>0.80467091295116777</v>
      </c>
      <c r="CC717" s="46">
        <v>0.19532908704883231</v>
      </c>
      <c r="CD717" s="46">
        <v>0</v>
      </c>
      <c r="CE717" s="46">
        <v>0</v>
      </c>
      <c r="CF717" s="46">
        <v>0</v>
      </c>
      <c r="CG717" s="46">
        <v>0</v>
      </c>
      <c r="CH717" s="46">
        <v>0</v>
      </c>
      <c r="CI717" s="46">
        <v>2.7145359019264448</v>
      </c>
      <c r="CJ717" s="46">
        <v>0.35026269702276708</v>
      </c>
      <c r="CK717">
        <v>371</v>
      </c>
      <c r="CL717">
        <v>406.44</v>
      </c>
      <c r="CM717">
        <f t="shared" si="84"/>
        <v>35.44</v>
      </c>
      <c r="CN717">
        <v>8.58</v>
      </c>
      <c r="CO717">
        <v>9.4499999999999993</v>
      </c>
      <c r="CP717">
        <f t="shared" si="85"/>
        <v>0.86999999999999922</v>
      </c>
      <c r="CQ717">
        <v>846.56</v>
      </c>
      <c r="CR717">
        <v>493.02</v>
      </c>
      <c r="CS717">
        <f t="shared" si="86"/>
        <v>353.53999999999996</v>
      </c>
      <c r="CT717" t="s">
        <v>152</v>
      </c>
      <c r="CU717">
        <v>90.8</v>
      </c>
      <c r="CV717">
        <v>299</v>
      </c>
      <c r="CW717" s="46">
        <v>3032</v>
      </c>
      <c r="CX717" s="46">
        <f t="shared" si="80"/>
        <v>79.526539278131636</v>
      </c>
      <c r="CY717" s="46">
        <v>35.44</v>
      </c>
      <c r="CZ717" s="46">
        <f t="shared" si="81"/>
        <v>80.467091295116774</v>
      </c>
      <c r="DA717" s="46">
        <f t="shared" si="82"/>
        <v>420.91370969438191</v>
      </c>
      <c r="DB717" s="46">
        <v>1600920.04</v>
      </c>
      <c r="DC717" s="46">
        <f t="shared" si="83"/>
        <v>18.100911280314662</v>
      </c>
      <c r="DD717" s="46">
        <v>68845.73</v>
      </c>
      <c r="DE717" s="995">
        <v>3032</v>
      </c>
      <c r="DF717" s="995">
        <v>79.167000000000002</v>
      </c>
      <c r="DG717" s="995">
        <v>49</v>
      </c>
      <c r="DH717" s="995">
        <v>80.466999999999999</v>
      </c>
      <c r="DI717" s="995">
        <v>1286.82</v>
      </c>
      <c r="DJ717" s="995">
        <v>4911796</v>
      </c>
      <c r="DK717" s="995">
        <v>55.597999999999999</v>
      </c>
      <c r="DL717" s="995">
        <v>212217.7</v>
      </c>
      <c r="DM717" s="995">
        <v>3032</v>
      </c>
      <c r="DN717" s="995">
        <v>79.396000000000001</v>
      </c>
      <c r="DO717" s="995">
        <v>40.4</v>
      </c>
      <c r="DP717" s="995">
        <v>80.466999999999999</v>
      </c>
      <c r="DQ717" s="995">
        <v>1267.162</v>
      </c>
      <c r="DR717" s="995">
        <v>4825804</v>
      </c>
      <c r="DS717" s="995">
        <v>54.759</v>
      </c>
      <c r="DT717" s="995">
        <v>208541</v>
      </c>
    </row>
    <row r="718" spans="1:124">
      <c r="A718" s="42" t="s">
        <v>94</v>
      </c>
      <c r="B718" s="42" t="s">
        <v>502</v>
      </c>
      <c r="C718" s="42" t="s">
        <v>931</v>
      </c>
      <c r="D718" s="42">
        <v>916407</v>
      </c>
      <c r="E718" s="42" t="s">
        <v>957</v>
      </c>
      <c r="F718" s="42" t="s">
        <v>149</v>
      </c>
      <c r="G718" s="42" t="s">
        <v>150</v>
      </c>
      <c r="H718" s="43" t="s">
        <v>150</v>
      </c>
      <c r="I718" s="44">
        <v>50</v>
      </c>
      <c r="J718" s="45">
        <v>191861.60560000001</v>
      </c>
      <c r="K718" s="46">
        <v>17246.126035000001</v>
      </c>
      <c r="L718" s="47">
        <v>209107.731635</v>
      </c>
      <c r="M718" s="48">
        <v>5110038</v>
      </c>
      <c r="N718" s="49">
        <v>2842616</v>
      </c>
      <c r="O718" s="49">
        <v>2267422</v>
      </c>
      <c r="P718" s="49">
        <v>0</v>
      </c>
      <c r="Q718" s="50">
        <v>11693.4498169336</v>
      </c>
      <c r="R718" s="51">
        <v>21461.110189513802</v>
      </c>
      <c r="S718" s="49">
        <v>32979.936003783201</v>
      </c>
      <c r="T718" s="49">
        <v>6632.4105285496998</v>
      </c>
      <c r="U718" s="49">
        <f>IFERROR(INDEX('Rentabilidad datos'!$N$2:$N$61,MATCH($C718,'Rentabilidad datos'!$C$2:$C$61,0)),"")</f>
        <v>61073.456721846684</v>
      </c>
      <c r="V718" s="50">
        <f>IFERROR(INDEX('Rentabilidad datos'!$O$2:$O$61,MATCH($C718,'Rentabilidad datos'!$C$2:$C$61,0)),"")</f>
        <v>1299.4352494009934</v>
      </c>
      <c r="W718" s="51">
        <f>IFERROR(INDEX('Rentabilidad datos'!$M$2:$M$61,MATCH($C718,'Rentabilidad datos'!$C$2:$C$61,0)),"")</f>
        <v>3641.9429094456564</v>
      </c>
      <c r="X718" s="52">
        <f>IFERROR(INDEX('Rentabilidad datos'!$P$2:$P$61,MATCH($C718,'Rentabilidad datos'!$C$2:$C$61,0)),"")</f>
        <v>0.35679725951519148</v>
      </c>
      <c r="Y718" s="43" t="s">
        <v>171</v>
      </c>
      <c r="Z718" s="53">
        <v>72.009153318077793</v>
      </c>
      <c r="AA718" s="43">
        <v>2</v>
      </c>
      <c r="AB718" s="54">
        <v>0.97838978888219619</v>
      </c>
      <c r="AC718" s="55">
        <v>2.1610211117803819E-2</v>
      </c>
      <c r="AD718" s="752" t="e">
        <f>_xlfn.XLOOKUP(Table1[[#This Row],[Ruta]],#REF!,#REF!)</f>
        <v>#REF!</v>
      </c>
      <c r="AE718" s="752" t="e">
        <f>_xlfn.XLOOKUP(Table1[[#This Row],[Ruta]],#REF!,#REF!)</f>
        <v>#REF!</v>
      </c>
      <c r="AF718" s="752" t="e">
        <f>_xlfn.XLOOKUP(Table1[[#This Row],[Ruta]],#REF!,#REF!)</f>
        <v>#REF!</v>
      </c>
      <c r="AG718" s="752" t="e">
        <f>_xlfn.XLOOKUP(Table1[[#This Row],[Ruta]],#REF!,#REF!)</f>
        <v>#REF!</v>
      </c>
      <c r="AH718" s="52">
        <v>0.55628079478078241</v>
      </c>
      <c r="AI718" s="52">
        <v>0.44371920521921754</v>
      </c>
      <c r="AJ718" s="55">
        <v>0</v>
      </c>
      <c r="AK718" s="56">
        <v>31468</v>
      </c>
      <c r="AL718" s="44">
        <v>15969</v>
      </c>
      <c r="AM718" s="54">
        <v>0.50746790390237695</v>
      </c>
      <c r="AN718" s="55">
        <v>0.62538735712289495</v>
      </c>
      <c r="AO718" s="56">
        <v>3710.6893539432499</v>
      </c>
      <c r="AP718" s="48">
        <v>1855.3446769716249</v>
      </c>
      <c r="AQ718" s="55">
        <v>0.56642763051263589</v>
      </c>
      <c r="AR718" s="51">
        <v>5110037.57</v>
      </c>
      <c r="AS718" s="49">
        <v>593705.36693747505</v>
      </c>
      <c r="AT718" s="55">
        <v>0.11618414909960731</v>
      </c>
      <c r="AU718" s="51">
        <v>417198.36595606367</v>
      </c>
      <c r="AV718" s="52">
        <v>1.8978748473075266E-3</v>
      </c>
      <c r="AW718" s="44">
        <v>181</v>
      </c>
      <c r="AX718" s="51">
        <v>319.99734297701798</v>
      </c>
      <c r="AY718" s="49">
        <v>327.331066067118</v>
      </c>
      <c r="AZ718" s="49">
        <v>7.3337230901000225</v>
      </c>
      <c r="BA718" s="42" t="s">
        <v>150</v>
      </c>
      <c r="BB718" s="50">
        <v>41147.538171229593</v>
      </c>
      <c r="BC718" s="57">
        <v>458345.90412729327</v>
      </c>
      <c r="BD718" s="42" t="s">
        <v>150</v>
      </c>
      <c r="BE718" s="46">
        <v>72.009153318077793</v>
      </c>
      <c r="BF718" s="46">
        <v>77.052752293577996</v>
      </c>
      <c r="BG718" s="42" t="s">
        <v>152</v>
      </c>
      <c r="BH718" s="52">
        <v>0.50746790390237695</v>
      </c>
      <c r="BI718" s="52">
        <v>0.58451671985922604</v>
      </c>
      <c r="BJ718" s="42" t="s">
        <v>152</v>
      </c>
      <c r="BK718" s="46">
        <v>478.50739504576597</v>
      </c>
      <c r="BL718" s="46">
        <v>592.94411248383199</v>
      </c>
      <c r="BM718" s="42" t="s">
        <v>152</v>
      </c>
      <c r="BN718" s="48">
        <v>0</v>
      </c>
      <c r="BO718" s="42" t="s">
        <v>155</v>
      </c>
      <c r="BP718" s="42" t="s">
        <v>152</v>
      </c>
      <c r="BQ718" s="46">
        <v>4415.1680250736999</v>
      </c>
      <c r="BR718" s="46">
        <v>139</v>
      </c>
      <c r="BS718" s="46">
        <v>11515</v>
      </c>
      <c r="BT718" s="46">
        <v>3582</v>
      </c>
      <c r="BU718" s="46">
        <v>3.214684533780011</v>
      </c>
      <c r="BV718" s="46">
        <v>25.769784172661872</v>
      </c>
      <c r="BW718" s="46">
        <v>0</v>
      </c>
      <c r="BX718" s="46">
        <v>3582</v>
      </c>
      <c r="BY718" s="46">
        <v>3582</v>
      </c>
      <c r="BZ718" s="46">
        <v>1</v>
      </c>
      <c r="CA718" s="46">
        <v>0</v>
      </c>
      <c r="CB718" s="46">
        <v>1</v>
      </c>
      <c r="CC718" s="46">
        <v>0</v>
      </c>
      <c r="CD718" s="46">
        <v>0</v>
      </c>
      <c r="CE718" s="46">
        <v>0</v>
      </c>
      <c r="CF718" s="46">
        <v>0</v>
      </c>
      <c r="CG718" s="46">
        <v>0</v>
      </c>
      <c r="CH718" s="46">
        <v>0</v>
      </c>
      <c r="CI718" s="46">
        <v>3.1263569257490231</v>
      </c>
      <c r="CJ718" s="46">
        <v>0.52105948762483711</v>
      </c>
      <c r="CK718">
        <v>330</v>
      </c>
      <c r="CL718">
        <v>399.69</v>
      </c>
      <c r="CM718">
        <f t="shared" si="84"/>
        <v>69.69</v>
      </c>
      <c r="CN718">
        <v>8.42</v>
      </c>
      <c r="CO718">
        <v>9.4499999999999993</v>
      </c>
      <c r="CP718">
        <f t="shared" si="85"/>
        <v>1.0299999999999994</v>
      </c>
      <c r="CQ718">
        <v>846.56</v>
      </c>
      <c r="CR718">
        <v>478.51</v>
      </c>
      <c r="CS718">
        <f t="shared" si="86"/>
        <v>368.04999999999995</v>
      </c>
      <c r="CT718" t="s">
        <v>152</v>
      </c>
      <c r="CU718">
        <v>90.93</v>
      </c>
      <c r="CV718">
        <v>324</v>
      </c>
      <c r="CW718" s="46">
        <v>3582</v>
      </c>
      <c r="CX718" s="46">
        <f t="shared" si="80"/>
        <v>98.05443886097153</v>
      </c>
      <c r="CY718" s="46">
        <v>69.69</v>
      </c>
      <c r="CZ718" s="46">
        <f t="shared" si="81"/>
        <v>100</v>
      </c>
      <c r="DA718" s="46">
        <f t="shared" si="82"/>
        <v>356.62717810109837</v>
      </c>
      <c r="DB718" s="46">
        <v>1302291.8999999999</v>
      </c>
      <c r="DC718" s="46">
        <f t="shared" si="83"/>
        <v>14.333237487300401</v>
      </c>
      <c r="DD718" s="46">
        <v>52340.54</v>
      </c>
      <c r="DE718" s="995">
        <v>3582</v>
      </c>
      <c r="DF718" s="995">
        <v>98.12</v>
      </c>
      <c r="DG718" s="995">
        <v>67.3</v>
      </c>
      <c r="DH718" s="995">
        <v>100</v>
      </c>
      <c r="DI718" s="995">
        <v>1315.3489999999999</v>
      </c>
      <c r="DJ718" s="995">
        <v>4800150</v>
      </c>
      <c r="DK718" s="995">
        <v>53.521000000000001</v>
      </c>
      <c r="DL718" s="995">
        <v>195317</v>
      </c>
      <c r="DM718" s="995">
        <v>3582</v>
      </c>
      <c r="DN718" s="995">
        <v>98.451999999999998</v>
      </c>
      <c r="DO718" s="995">
        <v>55.5</v>
      </c>
      <c r="DP718" s="995">
        <v>100</v>
      </c>
      <c r="DQ718" s="995">
        <v>1284.711</v>
      </c>
      <c r="DR718" s="995">
        <v>4673074</v>
      </c>
      <c r="DS718" s="995">
        <v>52.307000000000002</v>
      </c>
      <c r="DT718" s="995">
        <v>190265</v>
      </c>
    </row>
    <row r="719" spans="1:124">
      <c r="A719" s="42" t="s">
        <v>94</v>
      </c>
      <c r="B719" s="42" t="s">
        <v>502</v>
      </c>
      <c r="C719" s="42" t="s">
        <v>931</v>
      </c>
      <c r="D719" s="42">
        <v>916408</v>
      </c>
      <c r="E719" s="42" t="s">
        <v>958</v>
      </c>
      <c r="F719" s="42" t="s">
        <v>149</v>
      </c>
      <c r="G719" s="42" t="s">
        <v>150</v>
      </c>
      <c r="H719" s="43" t="s">
        <v>150</v>
      </c>
      <c r="I719" s="44">
        <v>50</v>
      </c>
      <c r="J719" s="45">
        <v>163393.56880000001</v>
      </c>
      <c r="K719" s="46">
        <v>7206.7596450000001</v>
      </c>
      <c r="L719" s="47">
        <v>170600.32844499999</v>
      </c>
      <c r="M719" s="48">
        <v>3235679</v>
      </c>
      <c r="N719" s="49">
        <v>2405400</v>
      </c>
      <c r="O719" s="49">
        <v>830279</v>
      </c>
      <c r="P719" s="49">
        <v>0</v>
      </c>
      <c r="Q719" s="50">
        <v>7421.2808256880699</v>
      </c>
      <c r="R719" s="51">
        <v>21461.110189513802</v>
      </c>
      <c r="S719" s="49">
        <v>32979.936003783201</v>
      </c>
      <c r="T719" s="49">
        <v>6632.4105285496998</v>
      </c>
      <c r="U719" s="49">
        <f>IFERROR(INDEX('Rentabilidad datos'!$N$2:$N$61,MATCH($C719,'Rentabilidad datos'!$C$2:$C$61,0)),"")</f>
        <v>61073.456721846684</v>
      </c>
      <c r="V719" s="50">
        <f>IFERROR(INDEX('Rentabilidad datos'!$O$2:$O$61,MATCH($C719,'Rentabilidad datos'!$C$2:$C$61,0)),"")</f>
        <v>1299.4352494009934</v>
      </c>
      <c r="W719" s="51">
        <f>IFERROR(INDEX('Rentabilidad datos'!$M$2:$M$61,MATCH($C719,'Rentabilidad datos'!$C$2:$C$61,0)),"")</f>
        <v>3641.9429094456564</v>
      </c>
      <c r="X719" s="52">
        <f>IFERROR(INDEX('Rentabilidad datos'!$P$2:$P$61,MATCH($C719,'Rentabilidad datos'!$C$2:$C$61,0)),"")</f>
        <v>0.35679725951519148</v>
      </c>
      <c r="Y719" s="43" t="s">
        <v>171</v>
      </c>
      <c r="Z719" s="53">
        <v>76.002293577981703</v>
      </c>
      <c r="AA719" s="43">
        <v>2</v>
      </c>
      <c r="AB719" s="54">
        <v>0.85938469174476206</v>
      </c>
      <c r="AC719" s="55">
        <v>0.14061530825523794</v>
      </c>
      <c r="AD719" s="752" t="e">
        <f>_xlfn.XLOOKUP(Table1[[#This Row],[Ruta]],#REF!,#REF!)</f>
        <v>#REF!</v>
      </c>
      <c r="AE719" s="752" t="e">
        <f>_xlfn.XLOOKUP(Table1[[#This Row],[Ruta]],#REF!,#REF!)</f>
        <v>#REF!</v>
      </c>
      <c r="AF719" s="752" t="e">
        <f>_xlfn.XLOOKUP(Table1[[#This Row],[Ruta]],#REF!,#REF!)</f>
        <v>#REF!</v>
      </c>
      <c r="AG719" s="752" t="e">
        <f>_xlfn.XLOOKUP(Table1[[#This Row],[Ruta]],#REF!,#REF!)</f>
        <v>#REF!</v>
      </c>
      <c r="AH719" s="52">
        <v>0.7433988352985571</v>
      </c>
      <c r="AI719" s="52">
        <v>0.2566011647014429</v>
      </c>
      <c r="AJ719" s="55">
        <v>0</v>
      </c>
      <c r="AK719" s="56">
        <v>33137</v>
      </c>
      <c r="AL719" s="44">
        <v>18231</v>
      </c>
      <c r="AM719" s="54">
        <v>0.55017050427015102</v>
      </c>
      <c r="AN719" s="55">
        <v>0.62538735712289495</v>
      </c>
      <c r="AO719" s="56">
        <v>2492.46085298137</v>
      </c>
      <c r="AP719" s="48">
        <v>1246.230426490685</v>
      </c>
      <c r="AQ719" s="55">
        <v>0.58777893069652309</v>
      </c>
      <c r="AR719" s="51">
        <v>3235678.44</v>
      </c>
      <c r="AS719" s="49">
        <v>221183.74868454351</v>
      </c>
      <c r="AT719" s="55">
        <v>6.835776570076707E-2</v>
      </c>
      <c r="AU719" s="51">
        <v>155426.41799454414</v>
      </c>
      <c r="AV719" s="52">
        <v>7.0704948386594694E-4</v>
      </c>
      <c r="AW719" s="44">
        <v>344</v>
      </c>
      <c r="AX719" s="51">
        <v>177.48222478196499</v>
      </c>
      <c r="AY719" s="49">
        <v>327.331066067118</v>
      </c>
      <c r="AZ719" s="49">
        <v>149.84884128515301</v>
      </c>
      <c r="BA719" s="42" t="s">
        <v>150</v>
      </c>
      <c r="BB719" s="50">
        <v>959854.72786770633</v>
      </c>
      <c r="BC719" s="57">
        <v>1115281.1458622506</v>
      </c>
      <c r="BD719" s="42" t="s">
        <v>150</v>
      </c>
      <c r="BE719" s="46">
        <v>76.002293577981703</v>
      </c>
      <c r="BF719" s="46">
        <v>77.052752293577996</v>
      </c>
      <c r="BG719" s="42" t="s">
        <v>152</v>
      </c>
      <c r="BH719" s="52">
        <v>0.55017050427015102</v>
      </c>
      <c r="BI719" s="52">
        <v>0.58451671985922604</v>
      </c>
      <c r="BJ719" s="42" t="s">
        <v>152</v>
      </c>
      <c r="BK719" s="46">
        <v>391.285156983945</v>
      </c>
      <c r="BL719" s="46">
        <v>592.94411248383199</v>
      </c>
      <c r="BM719" s="42" t="s">
        <v>152</v>
      </c>
      <c r="BN719" s="48">
        <v>0</v>
      </c>
      <c r="BO719" s="42" t="s">
        <v>155</v>
      </c>
      <c r="BP719" s="42" t="s">
        <v>152</v>
      </c>
      <c r="BQ719" s="46">
        <v>2315.2318643855201</v>
      </c>
      <c r="BR719" s="46">
        <v>1132</v>
      </c>
      <c r="BS719" s="46">
        <v>76447</v>
      </c>
      <c r="BT719" s="46">
        <v>20096</v>
      </c>
      <c r="BU719" s="46">
        <v>3.804090366242038</v>
      </c>
      <c r="BV719" s="46">
        <v>17.752650176678443</v>
      </c>
      <c r="BW719" s="46">
        <v>0</v>
      </c>
      <c r="BX719" s="46">
        <v>798</v>
      </c>
      <c r="BY719" s="46">
        <v>798</v>
      </c>
      <c r="BZ719" s="46">
        <v>3.97093949044586E-2</v>
      </c>
      <c r="CA719" s="46">
        <v>0</v>
      </c>
      <c r="CB719" s="46">
        <v>3.97093949044586E-2</v>
      </c>
      <c r="CC719" s="46">
        <v>0.1417197452229299</v>
      </c>
      <c r="CD719" s="46">
        <v>0.1070362261146497</v>
      </c>
      <c r="CE719" s="46">
        <v>0</v>
      </c>
      <c r="CF719" s="46">
        <v>0.71153463375796178</v>
      </c>
      <c r="CG719" s="46">
        <v>0</v>
      </c>
      <c r="CH719" s="46">
        <v>0</v>
      </c>
      <c r="CI719" s="46">
        <v>5.6248119612280414</v>
      </c>
      <c r="CJ719" s="46">
        <v>0.1177286224443078</v>
      </c>
      <c r="CK719">
        <v>395</v>
      </c>
      <c r="CL719">
        <v>431.38</v>
      </c>
      <c r="CM719">
        <f t="shared" si="84"/>
        <v>36.379999999999995</v>
      </c>
      <c r="CN719">
        <v>13.52</v>
      </c>
      <c r="CO719">
        <v>9.4499999999999993</v>
      </c>
      <c r="CP719">
        <f t="shared" si="85"/>
        <v>-4.07</v>
      </c>
      <c r="CQ719">
        <v>564.37</v>
      </c>
      <c r="CR719">
        <v>391.29</v>
      </c>
      <c r="CS719">
        <f t="shared" si="86"/>
        <v>173.07999999999998</v>
      </c>
      <c r="CT719" t="s">
        <v>150</v>
      </c>
      <c r="CU719">
        <v>143.05000000000001</v>
      </c>
      <c r="CV719">
        <v>17</v>
      </c>
      <c r="CW719" s="46">
        <v>798</v>
      </c>
      <c r="CX719" s="46">
        <f t="shared" si="80"/>
        <v>3.7899084394904454</v>
      </c>
      <c r="CY719" s="46">
        <v>36.380000000000003</v>
      </c>
      <c r="CZ719" s="46">
        <f t="shared" si="81"/>
        <v>3.9709394904458599</v>
      </c>
      <c r="DA719" s="46">
        <f t="shared" si="82"/>
        <v>86.973335492375952</v>
      </c>
      <c r="DB719" s="46">
        <v>1750980.24</v>
      </c>
      <c r="DC719" s="46">
        <f t="shared" si="83"/>
        <v>4.5071124228730035</v>
      </c>
      <c r="DD719" s="46">
        <v>90738.9</v>
      </c>
      <c r="DE719" s="995">
        <v>798</v>
      </c>
      <c r="DF719" s="995">
        <v>3.84</v>
      </c>
      <c r="DG719" s="995">
        <v>26.3</v>
      </c>
      <c r="DH719" s="995">
        <v>3.9710000000000001</v>
      </c>
      <c r="DI719" s="995">
        <v>190.96100000000001</v>
      </c>
      <c r="DJ719" s="995">
        <v>3842569</v>
      </c>
      <c r="DK719" s="995">
        <v>9.8290000000000006</v>
      </c>
      <c r="DL719" s="995">
        <v>197785.5</v>
      </c>
      <c r="DM719" s="995">
        <v>798</v>
      </c>
      <c r="DN719" s="995">
        <v>3.855</v>
      </c>
      <c r="DO719" s="995">
        <v>23.3</v>
      </c>
      <c r="DP719" s="995">
        <v>3.9710000000000001</v>
      </c>
      <c r="DQ719" s="995">
        <v>189.803</v>
      </c>
      <c r="DR719" s="995">
        <v>3818709</v>
      </c>
      <c r="DS719" s="995">
        <v>9.7680000000000007</v>
      </c>
      <c r="DT719" s="995">
        <v>196527.1</v>
      </c>
    </row>
    <row r="720" spans="1:124">
      <c r="A720" s="42" t="s">
        <v>94</v>
      </c>
      <c r="B720" s="42" t="s">
        <v>502</v>
      </c>
      <c r="C720" s="42" t="s">
        <v>931</v>
      </c>
      <c r="D720" s="42">
        <v>916409</v>
      </c>
      <c r="E720" s="42" t="s">
        <v>959</v>
      </c>
      <c r="F720" s="42" t="s">
        <v>149</v>
      </c>
      <c r="G720" s="42" t="s">
        <v>150</v>
      </c>
      <c r="H720" s="43" t="s">
        <v>150</v>
      </c>
      <c r="I720" s="44">
        <v>50</v>
      </c>
      <c r="J720" s="45">
        <v>216349.33040000001</v>
      </c>
      <c r="K720" s="46">
        <v>13307.985224</v>
      </c>
      <c r="L720" s="47">
        <v>229657.31562400001</v>
      </c>
      <c r="M720" s="48">
        <v>5067069</v>
      </c>
      <c r="N720" s="49">
        <v>3232679</v>
      </c>
      <c r="O720" s="49">
        <v>1834390</v>
      </c>
      <c r="P720" s="49">
        <v>0</v>
      </c>
      <c r="Q720" s="50">
        <v>11621.717155963301</v>
      </c>
      <c r="R720" s="51">
        <v>21461.110189513802</v>
      </c>
      <c r="S720" s="49">
        <v>32979.936003783201</v>
      </c>
      <c r="T720" s="49">
        <v>6632.4105285496998</v>
      </c>
      <c r="U720" s="49">
        <f>IFERROR(INDEX('Rentabilidad datos'!$N$2:$N$61,MATCH($C720,'Rentabilidad datos'!$C$2:$C$61,0)),"")</f>
        <v>61073.456721846684</v>
      </c>
      <c r="V720" s="50">
        <f>IFERROR(INDEX('Rentabilidad datos'!$O$2:$O$61,MATCH($C720,'Rentabilidad datos'!$C$2:$C$61,0)),"")</f>
        <v>1299.4352494009934</v>
      </c>
      <c r="W720" s="51">
        <f>IFERROR(INDEX('Rentabilidad datos'!$M$2:$M$61,MATCH($C720,'Rentabilidad datos'!$C$2:$C$61,0)),"")</f>
        <v>3641.9429094456564</v>
      </c>
      <c r="X720" s="52">
        <f>IFERROR(INDEX('Rentabilidad datos'!$P$2:$P$61,MATCH($C720,'Rentabilidad datos'!$C$2:$C$61,0)),"")</f>
        <v>0.35679725951519148</v>
      </c>
      <c r="Y720" s="43" t="s">
        <v>171</v>
      </c>
      <c r="Z720" s="53">
        <v>72.655963302752298</v>
      </c>
      <c r="AA720" s="43">
        <v>2</v>
      </c>
      <c r="AB720" s="54">
        <v>0.96744330894250696</v>
      </c>
      <c r="AC720" s="55">
        <v>3.2556691057493002E-2</v>
      </c>
      <c r="AD720" s="752" t="e">
        <f>_xlfn.XLOOKUP(Table1[[#This Row],[Ruta]],#REF!,#REF!)</f>
        <v>#REF!</v>
      </c>
      <c r="AE720" s="752" t="e">
        <f>_xlfn.XLOOKUP(Table1[[#This Row],[Ruta]],#REF!,#REF!)</f>
        <v>#REF!</v>
      </c>
      <c r="AF720" s="752" t="e">
        <f>_xlfn.XLOOKUP(Table1[[#This Row],[Ruta]],#REF!,#REF!)</f>
        <v>#REF!</v>
      </c>
      <c r="AG720" s="752" t="e">
        <f>_xlfn.XLOOKUP(Table1[[#This Row],[Ruta]],#REF!,#REF!)</f>
        <v>#REF!</v>
      </c>
      <c r="AH720" s="52">
        <v>0.63797808950302437</v>
      </c>
      <c r="AI720" s="52">
        <v>0.36202191049697569</v>
      </c>
      <c r="AJ720" s="55">
        <v>0</v>
      </c>
      <c r="AK720" s="56">
        <v>31678</v>
      </c>
      <c r="AL720" s="44">
        <v>19813</v>
      </c>
      <c r="AM720" s="54">
        <v>0.62544983900498796</v>
      </c>
      <c r="AN720" s="55">
        <v>0.62538735712289495</v>
      </c>
      <c r="AO720" s="56">
        <v>0</v>
      </c>
      <c r="AP720" s="48">
        <v>0</v>
      </c>
      <c r="AQ720" s="55">
        <v>0.62544983900498774</v>
      </c>
      <c r="AR720" s="51">
        <v>5067068.68</v>
      </c>
      <c r="AS720" s="49">
        <v>0</v>
      </c>
      <c r="AT720" s="55">
        <v>0</v>
      </c>
      <c r="AU720" s="51">
        <v>0</v>
      </c>
      <c r="AV720" s="52">
        <v>0</v>
      </c>
      <c r="AW720" s="44">
        <v>490</v>
      </c>
      <c r="AX720" s="51">
        <v>255.74464644425399</v>
      </c>
      <c r="AY720" s="49">
        <v>327.331066067118</v>
      </c>
      <c r="AZ720" s="49">
        <v>71.586419622864014</v>
      </c>
      <c r="BA720" s="42" t="s">
        <v>150</v>
      </c>
      <c r="BB720" s="50">
        <v>498336.28421193152</v>
      </c>
      <c r="BC720" s="57">
        <v>498336.28421193152</v>
      </c>
      <c r="BD720" s="42" t="s">
        <v>150</v>
      </c>
      <c r="BE720" s="46">
        <v>72.655963302752298</v>
      </c>
      <c r="BF720" s="46">
        <v>77.052752293577996</v>
      </c>
      <c r="BG720" s="42" t="s">
        <v>152</v>
      </c>
      <c r="BH720" s="52">
        <v>0.62544983900498796</v>
      </c>
      <c r="BI720" s="52">
        <v>0.58451671985922604</v>
      </c>
      <c r="BJ720" s="42" t="s">
        <v>150</v>
      </c>
      <c r="BK720" s="46">
        <v>526.73696244036603</v>
      </c>
      <c r="BL720" s="46">
        <v>592.94411248383199</v>
      </c>
      <c r="BM720" s="42" t="s">
        <v>152</v>
      </c>
      <c r="BN720" s="48">
        <v>1</v>
      </c>
      <c r="BO720" s="42" t="s">
        <v>155</v>
      </c>
      <c r="BP720" s="42" t="s">
        <v>152</v>
      </c>
      <c r="BQ720" s="46">
        <v>0</v>
      </c>
      <c r="BR720" s="46">
        <v>189</v>
      </c>
      <c r="BS720" s="46">
        <v>20369</v>
      </c>
      <c r="BT720" s="46">
        <v>5567</v>
      </c>
      <c r="BU720" s="46">
        <v>3.6588827016346328</v>
      </c>
      <c r="BV720" s="46">
        <v>29.455026455026456</v>
      </c>
      <c r="BW720" s="46">
        <v>0</v>
      </c>
      <c r="BX720" s="46">
        <v>4257</v>
      </c>
      <c r="BY720" s="46">
        <v>4257</v>
      </c>
      <c r="BZ720" s="46">
        <v>0.76468474941620257</v>
      </c>
      <c r="CA720" s="46">
        <v>0</v>
      </c>
      <c r="CB720" s="46">
        <v>0.76468474941620257</v>
      </c>
      <c r="CC720" s="46">
        <v>0</v>
      </c>
      <c r="CD720" s="46">
        <v>0</v>
      </c>
      <c r="CE720" s="46">
        <v>0</v>
      </c>
      <c r="CF720" s="46">
        <v>0.23531525058379743</v>
      </c>
      <c r="CG720" s="46">
        <v>0</v>
      </c>
      <c r="CH720" s="46">
        <v>0</v>
      </c>
      <c r="CI720" s="46">
        <v>4.5166674849035298</v>
      </c>
      <c r="CJ720" s="46">
        <v>0.34365948254700768</v>
      </c>
      <c r="CK720">
        <v>362</v>
      </c>
      <c r="CL720">
        <v>404.92</v>
      </c>
      <c r="CM720">
        <f t="shared" si="84"/>
        <v>42.920000000000016</v>
      </c>
      <c r="CN720">
        <v>8.92</v>
      </c>
      <c r="CO720">
        <v>9.4499999999999993</v>
      </c>
      <c r="CP720">
        <f t="shared" si="85"/>
        <v>0.52999999999999936</v>
      </c>
      <c r="CQ720">
        <v>846.56</v>
      </c>
      <c r="CR720">
        <v>526.74</v>
      </c>
      <c r="CS720">
        <f t="shared" si="86"/>
        <v>319.81999999999994</v>
      </c>
      <c r="CT720" t="s">
        <v>152</v>
      </c>
      <c r="CU720">
        <v>96.06</v>
      </c>
      <c r="CV720">
        <v>323</v>
      </c>
      <c r="CW720" s="46">
        <v>4257</v>
      </c>
      <c r="CX720" s="46">
        <f t="shared" si="80"/>
        <v>75.69750314352433</v>
      </c>
      <c r="CY720" s="46">
        <v>42.92</v>
      </c>
      <c r="CZ720" s="46">
        <f t="shared" si="81"/>
        <v>76.468474941620258</v>
      </c>
      <c r="DA720" s="46">
        <f t="shared" si="82"/>
        <v>306.63235304603273</v>
      </c>
      <c r="DB720" s="46">
        <v>1720182.97</v>
      </c>
      <c r="DC720" s="46">
        <f t="shared" si="83"/>
        <v>13.827986851862414</v>
      </c>
      <c r="DD720" s="46">
        <v>77573.899999999994</v>
      </c>
      <c r="DE720" s="995">
        <v>4257</v>
      </c>
      <c r="DF720" s="995">
        <v>75.64</v>
      </c>
      <c r="DG720" s="995">
        <v>46.1</v>
      </c>
      <c r="DH720" s="995">
        <v>76.468000000000004</v>
      </c>
      <c r="DI720" s="995">
        <v>913.26300000000003</v>
      </c>
      <c r="DJ720" s="995">
        <v>5126274</v>
      </c>
      <c r="DK720" s="995">
        <v>41.07</v>
      </c>
      <c r="DL720" s="995">
        <v>230531</v>
      </c>
      <c r="DM720" s="995">
        <v>4257</v>
      </c>
      <c r="DN720" s="995">
        <v>75.786000000000001</v>
      </c>
      <c r="DO720" s="995">
        <v>38</v>
      </c>
      <c r="DP720" s="995">
        <v>76.468000000000004</v>
      </c>
      <c r="DQ720" s="995">
        <v>900.75900000000001</v>
      </c>
      <c r="DR720" s="995">
        <v>5048751</v>
      </c>
      <c r="DS720" s="995">
        <v>40.514000000000003</v>
      </c>
      <c r="DT720" s="995">
        <v>227081.2</v>
      </c>
    </row>
    <row r="721" spans="1:124">
      <c r="A721" s="42" t="s">
        <v>94</v>
      </c>
      <c r="B721" s="42" t="s">
        <v>502</v>
      </c>
      <c r="C721" s="42" t="s">
        <v>931</v>
      </c>
      <c r="D721" s="42">
        <v>916410</v>
      </c>
      <c r="E721" s="42" t="s">
        <v>960</v>
      </c>
      <c r="F721" s="42" t="s">
        <v>149</v>
      </c>
      <c r="G721" s="42" t="s">
        <v>150</v>
      </c>
      <c r="H721" s="43" t="s">
        <v>150</v>
      </c>
      <c r="I721" s="44">
        <v>50</v>
      </c>
      <c r="J721" s="45">
        <v>212872.72159999999</v>
      </c>
      <c r="K721" s="46">
        <v>18340.247265000002</v>
      </c>
      <c r="L721" s="47">
        <v>231212.968865</v>
      </c>
      <c r="M721" s="48">
        <v>5244897</v>
      </c>
      <c r="N721" s="49">
        <v>3154694</v>
      </c>
      <c r="O721" s="49">
        <v>2090203</v>
      </c>
      <c r="P721" s="49">
        <v>0</v>
      </c>
      <c r="Q721" s="50">
        <v>11962.7687927107</v>
      </c>
      <c r="R721" s="51">
        <v>21461.110189513802</v>
      </c>
      <c r="S721" s="49">
        <v>32979.936003783201</v>
      </c>
      <c r="T721" s="49">
        <v>6632.4105285496998</v>
      </c>
      <c r="U721" s="49">
        <f>IFERROR(INDEX('Rentabilidad datos'!$N$2:$N$61,MATCH($C721,'Rentabilidad datos'!$C$2:$C$61,0)),"")</f>
        <v>61073.456721846684</v>
      </c>
      <c r="V721" s="50">
        <f>IFERROR(INDEX('Rentabilidad datos'!$O$2:$O$61,MATCH($C721,'Rentabilidad datos'!$C$2:$C$61,0)),"")</f>
        <v>1299.4352494009934</v>
      </c>
      <c r="W721" s="51">
        <f>IFERROR(INDEX('Rentabilidad datos'!$M$2:$M$61,MATCH($C721,'Rentabilidad datos'!$C$2:$C$61,0)),"")</f>
        <v>3641.9429094456564</v>
      </c>
      <c r="X721" s="52">
        <f>IFERROR(INDEX('Rentabilidad datos'!$P$2:$P$61,MATCH($C721,'Rentabilidad datos'!$C$2:$C$61,0)),"")</f>
        <v>0.35679725951519148</v>
      </c>
      <c r="Y721" s="43" t="s">
        <v>171</v>
      </c>
      <c r="Z721" s="53">
        <v>75.881927710843399</v>
      </c>
      <c r="AA721" s="43">
        <v>2</v>
      </c>
      <c r="AB721" s="54">
        <v>0.95924838943453039</v>
      </c>
      <c r="AC721" s="55">
        <v>4.0751610565469637E-2</v>
      </c>
      <c r="AD721" s="752" t="e">
        <f>_xlfn.XLOOKUP(Table1[[#This Row],[Ruta]],#REF!,#REF!)</f>
        <v>#REF!</v>
      </c>
      <c r="AE721" s="752" t="e">
        <f>_xlfn.XLOOKUP(Table1[[#This Row],[Ruta]],#REF!,#REF!)</f>
        <v>#REF!</v>
      </c>
      <c r="AF721" s="752" t="e">
        <f>_xlfn.XLOOKUP(Table1[[#This Row],[Ruta]],#REF!,#REF!)</f>
        <v>#REF!</v>
      </c>
      <c r="AG721" s="752" t="e">
        <f>_xlfn.XLOOKUP(Table1[[#This Row],[Ruta]],#REF!,#REF!)</f>
        <v>#REF!</v>
      </c>
      <c r="AH721" s="52">
        <v>0.60147873256614959</v>
      </c>
      <c r="AI721" s="52">
        <v>0.39852126743385047</v>
      </c>
      <c r="AJ721" s="55">
        <v>0</v>
      </c>
      <c r="AK721" s="56">
        <v>31491</v>
      </c>
      <c r="AL721" s="44">
        <v>16777</v>
      </c>
      <c r="AM721" s="54">
        <v>0.50782763329205205</v>
      </c>
      <c r="AN721" s="55">
        <v>0.62538735712289495</v>
      </c>
      <c r="AO721" s="56">
        <v>3702.07326315708</v>
      </c>
      <c r="AP721" s="48">
        <v>1851.03663157854</v>
      </c>
      <c r="AQ721" s="55">
        <v>0.59153525234443305</v>
      </c>
      <c r="AR721" s="51">
        <v>5251655.5</v>
      </c>
      <c r="AS721" s="49">
        <v>579424.61148780503</v>
      </c>
      <c r="AT721" s="55">
        <v>0.11033180136964525</v>
      </c>
      <c r="AU721" s="51">
        <v>407163.24050494423</v>
      </c>
      <c r="AV721" s="52">
        <v>1.8522241119801957E-3</v>
      </c>
      <c r="AW721" s="44">
        <v>185</v>
      </c>
      <c r="AX721" s="51">
        <v>313.02709065983203</v>
      </c>
      <c r="AY721" s="49">
        <v>327.331066067118</v>
      </c>
      <c r="AZ721" s="49">
        <v>14.303975407285975</v>
      </c>
      <c r="BA721" s="42" t="s">
        <v>150</v>
      </c>
      <c r="BB721" s="50">
        <v>84316.52271093188</v>
      </c>
      <c r="BC721" s="57">
        <v>491479.76321587613</v>
      </c>
      <c r="BD721" s="42" t="s">
        <v>150</v>
      </c>
      <c r="BE721" s="46">
        <v>75.881927710843399</v>
      </c>
      <c r="BF721" s="46">
        <v>77.052752293577996</v>
      </c>
      <c r="BG721" s="42" t="s">
        <v>152</v>
      </c>
      <c r="BH721" s="52">
        <v>0.50782763329205205</v>
      </c>
      <c r="BI721" s="52">
        <v>0.58451671985922604</v>
      </c>
      <c r="BJ721" s="42" t="s">
        <v>152</v>
      </c>
      <c r="BK721" s="46">
        <v>526.68102247152603</v>
      </c>
      <c r="BL721" s="46">
        <v>592.94411248383199</v>
      </c>
      <c r="BM721" s="42" t="s">
        <v>152</v>
      </c>
      <c r="BN721" s="48">
        <v>0</v>
      </c>
      <c r="BO721" s="42" t="s">
        <v>155</v>
      </c>
      <c r="BP721" s="42" t="s">
        <v>152</v>
      </c>
      <c r="BQ721" s="46">
        <v>864.81497032638094</v>
      </c>
      <c r="BR721" s="46">
        <v>904</v>
      </c>
      <c r="BS721" s="46">
        <v>60937</v>
      </c>
      <c r="BT721" s="46">
        <v>16993</v>
      </c>
      <c r="BU721" s="46">
        <v>3.5860060024716058</v>
      </c>
      <c r="BV721" s="46">
        <v>18.797566371681416</v>
      </c>
      <c r="BW721" s="46">
        <v>52</v>
      </c>
      <c r="BX721" s="46">
        <v>4686</v>
      </c>
      <c r="BY721" s="46">
        <v>4738</v>
      </c>
      <c r="BZ721" s="46">
        <v>0.27882069087271227</v>
      </c>
      <c r="CA721" s="46">
        <v>3.060083563820397E-3</v>
      </c>
      <c r="CB721" s="46">
        <v>0.2757606073088919</v>
      </c>
      <c r="CC721" s="46">
        <v>0.1175778261637145</v>
      </c>
      <c r="CD721" s="46">
        <v>6.0907432472194434E-2</v>
      </c>
      <c r="CE721" s="46">
        <v>6.8263402577531922E-3</v>
      </c>
      <c r="CF721" s="46">
        <v>0.53580886247278292</v>
      </c>
      <c r="CG721" s="46">
        <v>0</v>
      </c>
      <c r="CH721" s="46">
        <v>5.8847760842699933E-5</v>
      </c>
      <c r="CI721" s="46">
        <v>4.8574757536472104</v>
      </c>
      <c r="CJ721" s="46">
        <v>0.16410391059618951</v>
      </c>
      <c r="CK721">
        <v>379</v>
      </c>
      <c r="CL721">
        <v>453.74</v>
      </c>
      <c r="CM721">
        <f t="shared" si="84"/>
        <v>74.740000000000009</v>
      </c>
      <c r="CN721">
        <v>10.02</v>
      </c>
      <c r="CO721">
        <v>9.4499999999999993</v>
      </c>
      <c r="CP721">
        <f t="shared" si="85"/>
        <v>-0.57000000000000028</v>
      </c>
      <c r="CQ721">
        <v>846.56</v>
      </c>
      <c r="CR721">
        <v>526.67999999999995</v>
      </c>
      <c r="CS721">
        <f t="shared" si="86"/>
        <v>319.88</v>
      </c>
      <c r="CT721" t="s">
        <v>150</v>
      </c>
      <c r="CU721">
        <v>106.25</v>
      </c>
      <c r="CV721">
        <v>170</v>
      </c>
      <c r="CW721" s="46">
        <v>4738</v>
      </c>
      <c r="CX721" s="46">
        <f t="shared" si="80"/>
        <v>27.442240922732893</v>
      </c>
      <c r="CY721" s="46">
        <v>74.739999999999995</v>
      </c>
      <c r="CZ721" s="46">
        <f t="shared" si="81"/>
        <v>27.882069087271226</v>
      </c>
      <c r="DA721" s="46">
        <f t="shared" si="82"/>
        <v>60.177458761382574</v>
      </c>
      <c r="DB721" s="46">
        <v>1027093.22</v>
      </c>
      <c r="DC721" s="46">
        <f t="shared" si="83"/>
        <v>2.8626930103223973</v>
      </c>
      <c r="DD721" s="46">
        <v>48859.7</v>
      </c>
      <c r="DE721" s="995">
        <v>4738</v>
      </c>
      <c r="DF721" s="995">
        <v>27.535</v>
      </c>
      <c r="DG721" s="995">
        <v>58.9</v>
      </c>
      <c r="DH721" s="995">
        <v>27.882000000000001</v>
      </c>
      <c r="DI721" s="995">
        <v>285.34399999999999</v>
      </c>
      <c r="DJ721" s="995">
        <v>4865658</v>
      </c>
      <c r="DK721" s="995">
        <v>12.784000000000001</v>
      </c>
      <c r="DL721" s="995">
        <v>217997</v>
      </c>
      <c r="DM721" s="995">
        <v>4738</v>
      </c>
      <c r="DN721" s="995">
        <v>27.594000000000001</v>
      </c>
      <c r="DO721" s="995">
        <v>48.9</v>
      </c>
      <c r="DP721" s="995">
        <v>27.882000000000001</v>
      </c>
      <c r="DQ721" s="995">
        <v>280.23099999999999</v>
      </c>
      <c r="DR721" s="995">
        <v>4775663</v>
      </c>
      <c r="DS721" s="995">
        <v>12.545999999999999</v>
      </c>
      <c r="DT721" s="995">
        <v>213806.6</v>
      </c>
    </row>
    <row r="722" spans="1:124">
      <c r="A722" s="42" t="s">
        <v>94</v>
      </c>
      <c r="B722" s="42" t="s">
        <v>502</v>
      </c>
      <c r="C722" s="42" t="s">
        <v>931</v>
      </c>
      <c r="D722" s="42">
        <v>916411</v>
      </c>
      <c r="E722" s="42" t="s">
        <v>961</v>
      </c>
      <c r="F722" s="42" t="s">
        <v>149</v>
      </c>
      <c r="G722" s="42" t="s">
        <v>150</v>
      </c>
      <c r="H722" s="43" t="s">
        <v>150</v>
      </c>
      <c r="I722" s="44">
        <v>50</v>
      </c>
      <c r="J722" s="45">
        <v>234891.24399999899</v>
      </c>
      <c r="K722" s="46">
        <v>22432.068880999999</v>
      </c>
      <c r="L722" s="47">
        <v>257323.312880999</v>
      </c>
      <c r="M722" s="48">
        <v>6449186</v>
      </c>
      <c r="N722" s="49">
        <v>3512530</v>
      </c>
      <c r="O722" s="49">
        <v>2936656</v>
      </c>
      <c r="P722" s="49">
        <v>0</v>
      </c>
      <c r="Q722" s="50">
        <v>14736.1260045662</v>
      </c>
      <c r="R722" s="51">
        <v>21461.110189513802</v>
      </c>
      <c r="S722" s="49">
        <v>32979.936003783201</v>
      </c>
      <c r="T722" s="49">
        <v>6632.4105285496998</v>
      </c>
      <c r="U722" s="49">
        <f>IFERROR(INDEX('Rentabilidad datos'!$N$2:$N$61,MATCH($C722,'Rentabilidad datos'!$C$2:$C$61,0)),"")</f>
        <v>61073.456721846684</v>
      </c>
      <c r="V722" s="50">
        <f>IFERROR(INDEX('Rentabilidad datos'!$O$2:$O$61,MATCH($C722,'Rentabilidad datos'!$C$2:$C$61,0)),"")</f>
        <v>1299.4352494009934</v>
      </c>
      <c r="W722" s="51">
        <f>IFERROR(INDEX('Rentabilidad datos'!$M$2:$M$61,MATCH($C722,'Rentabilidad datos'!$C$2:$C$61,0)),"")</f>
        <v>3641.9429094456564</v>
      </c>
      <c r="X722" s="52">
        <f>IFERROR(INDEX('Rentabilidad datos'!$P$2:$P$61,MATCH($C722,'Rentabilidad datos'!$C$2:$C$61,0)),"")</f>
        <v>0.35679725951519148</v>
      </c>
      <c r="Y722" s="43" t="s">
        <v>171</v>
      </c>
      <c r="Z722" s="53">
        <v>93.904109589041099</v>
      </c>
      <c r="AA722" s="43">
        <v>2</v>
      </c>
      <c r="AB722" s="54">
        <v>0.96811551101177729</v>
      </c>
      <c r="AC722" s="55">
        <v>3.1884488988222701E-2</v>
      </c>
      <c r="AD722" s="752" t="e">
        <f>_xlfn.XLOOKUP(Table1[[#This Row],[Ruta]],#REF!,#REF!)</f>
        <v>#REF!</v>
      </c>
      <c r="AE722" s="752" t="e">
        <f>_xlfn.XLOOKUP(Table1[[#This Row],[Ruta]],#REF!,#REF!)</f>
        <v>#REF!</v>
      </c>
      <c r="AF722" s="752" t="e">
        <f>_xlfn.XLOOKUP(Table1[[#This Row],[Ruta]],#REF!,#REF!)</f>
        <v>#REF!</v>
      </c>
      <c r="AG722" s="752" t="e">
        <f>_xlfn.XLOOKUP(Table1[[#This Row],[Ruta]],#REF!,#REF!)</f>
        <v>#REF!</v>
      </c>
      <c r="AH722" s="52">
        <v>0.54464702987322744</v>
      </c>
      <c r="AI722" s="52">
        <v>0.45535297012677256</v>
      </c>
      <c r="AJ722" s="55">
        <v>0</v>
      </c>
      <c r="AK722" s="56">
        <v>41130</v>
      </c>
      <c r="AL722" s="44">
        <v>22873</v>
      </c>
      <c r="AM722" s="54">
        <v>0.55611475808412403</v>
      </c>
      <c r="AN722" s="55">
        <v>0.62538735712289495</v>
      </c>
      <c r="AO722" s="56">
        <v>2849.18199846467</v>
      </c>
      <c r="AP722" s="48">
        <v>1424.590999232335</v>
      </c>
      <c r="AQ722" s="55">
        <v>0.59075105760350921</v>
      </c>
      <c r="AR722" s="51">
        <v>6454423.1900000004</v>
      </c>
      <c r="AS722" s="49">
        <v>401998.56519522751</v>
      </c>
      <c r="AT722" s="55">
        <v>6.228264762962149E-2</v>
      </c>
      <c r="AU722" s="51">
        <v>282485.47824529512</v>
      </c>
      <c r="AV722" s="52">
        <v>1.2850531728780634E-3</v>
      </c>
      <c r="AW722" s="44">
        <v>254</v>
      </c>
      <c r="AX722" s="51">
        <v>282.18524854632102</v>
      </c>
      <c r="AY722" s="49">
        <v>327.331066067118</v>
      </c>
      <c r="AZ722" s="49">
        <v>45.145817520796982</v>
      </c>
      <c r="BA722" s="42" t="s">
        <v>150</v>
      </c>
      <c r="BB722" s="50">
        <v>362812.53227003966</v>
      </c>
      <c r="BC722" s="57">
        <v>645298.01051533478</v>
      </c>
      <c r="BD722" s="42" t="s">
        <v>150</v>
      </c>
      <c r="BE722" s="46">
        <v>93.904109589041099</v>
      </c>
      <c r="BF722" s="46">
        <v>77.052752293577996</v>
      </c>
      <c r="BG722" s="42" t="s">
        <v>150</v>
      </c>
      <c r="BH722" s="52">
        <v>0.55611475808412403</v>
      </c>
      <c r="BI722" s="52">
        <v>0.58451671985922604</v>
      </c>
      <c r="BJ722" s="42" t="s">
        <v>152</v>
      </c>
      <c r="BK722" s="46">
        <v>587.496148130135</v>
      </c>
      <c r="BL722" s="46">
        <v>592.94411248383199</v>
      </c>
      <c r="BM722" s="42" t="s">
        <v>152</v>
      </c>
      <c r="BN722" s="48">
        <v>1</v>
      </c>
      <c r="BO722" s="42" t="s">
        <v>155</v>
      </c>
      <c r="BP722" s="42" t="s">
        <v>152</v>
      </c>
      <c r="BQ722" s="46">
        <v>0</v>
      </c>
      <c r="BR722" s="46">
        <v>349</v>
      </c>
      <c r="BS722" s="46">
        <v>28502</v>
      </c>
      <c r="BT722" s="46">
        <v>8261</v>
      </c>
      <c r="BU722" s="46">
        <v>3.4501876286163902</v>
      </c>
      <c r="BV722" s="46">
        <v>23.670487106017191</v>
      </c>
      <c r="BW722" s="46">
        <v>0</v>
      </c>
      <c r="BX722" s="46">
        <v>2399</v>
      </c>
      <c r="BY722" s="46">
        <v>2399</v>
      </c>
      <c r="BZ722" s="46">
        <v>0.2904006778840334</v>
      </c>
      <c r="CA722" s="46">
        <v>0</v>
      </c>
      <c r="CB722" s="46">
        <v>0.2904006778840334</v>
      </c>
      <c r="CC722" s="46">
        <v>0.43324052778114031</v>
      </c>
      <c r="CD722" s="46">
        <v>1.0652463382157119E-2</v>
      </c>
      <c r="CE722" s="46">
        <v>0</v>
      </c>
      <c r="CF722" s="46">
        <v>0.26570633095266921</v>
      </c>
      <c r="CG722" s="46">
        <v>0</v>
      </c>
      <c r="CH722" s="46">
        <v>0</v>
      </c>
      <c r="CI722" s="46">
        <v>4.2804013753420804</v>
      </c>
      <c r="CJ722" s="46">
        <v>0.17542628587467551</v>
      </c>
      <c r="CK722">
        <v>309</v>
      </c>
      <c r="CL722">
        <v>317.54000000000002</v>
      </c>
      <c r="CM722">
        <f t="shared" si="84"/>
        <v>8.5400000000000205</v>
      </c>
      <c r="CN722">
        <v>10.46</v>
      </c>
      <c r="CO722">
        <v>9.4499999999999993</v>
      </c>
      <c r="CP722">
        <f t="shared" si="85"/>
        <v>-1.0100000000000016</v>
      </c>
      <c r="CQ722">
        <v>846.56</v>
      </c>
      <c r="CR722">
        <v>587.5</v>
      </c>
      <c r="CS722">
        <f t="shared" si="86"/>
        <v>259.05999999999995</v>
      </c>
      <c r="CT722" t="s">
        <v>150</v>
      </c>
      <c r="CU722">
        <v>110.68</v>
      </c>
      <c r="CV722">
        <v>217</v>
      </c>
      <c r="CW722" s="46">
        <v>2399</v>
      </c>
      <c r="CX722" s="46">
        <f t="shared" si="80"/>
        <v>28.936690473308317</v>
      </c>
      <c r="CY722" s="46">
        <v>8.5399999999999991</v>
      </c>
      <c r="CZ722" s="46">
        <f t="shared" si="81"/>
        <v>29.040067788403341</v>
      </c>
      <c r="DA722" s="46">
        <f t="shared" si="82"/>
        <v>41.491712961059498</v>
      </c>
      <c r="DB722" s="46">
        <v>343117.38</v>
      </c>
      <c r="DC722" s="46">
        <f t="shared" si="83"/>
        <v>1.7839081738524754</v>
      </c>
      <c r="DD722" s="46">
        <v>14752.1</v>
      </c>
      <c r="DE722" s="995">
        <v>2399</v>
      </c>
      <c r="DF722" s="995">
        <v>28.879000000000001</v>
      </c>
      <c r="DG722" s="995">
        <v>13.3</v>
      </c>
      <c r="DH722" s="995">
        <v>29.04</v>
      </c>
      <c r="DI722" s="995">
        <v>477.54599999999999</v>
      </c>
      <c r="DJ722" s="995">
        <v>3951381</v>
      </c>
      <c r="DK722" s="995">
        <v>19.349</v>
      </c>
      <c r="DL722" s="995">
        <v>160104</v>
      </c>
      <c r="DM722" s="995">
        <v>2399</v>
      </c>
      <c r="DN722" s="995">
        <v>28.907</v>
      </c>
      <c r="DO722" s="995">
        <v>11</v>
      </c>
      <c r="DP722" s="995">
        <v>29.04</v>
      </c>
      <c r="DQ722" s="995">
        <v>474.904</v>
      </c>
      <c r="DR722" s="995">
        <v>3928402</v>
      </c>
      <c r="DS722" s="995">
        <v>19.234000000000002</v>
      </c>
      <c r="DT722" s="995">
        <v>159102.70000000001</v>
      </c>
    </row>
    <row r="723" spans="1:124">
      <c r="A723" s="42" t="s">
        <v>94</v>
      </c>
      <c r="B723" s="42" t="s">
        <v>502</v>
      </c>
      <c r="C723" s="42" t="s">
        <v>931</v>
      </c>
      <c r="D723" s="42">
        <v>916412</v>
      </c>
      <c r="E723" s="42" t="s">
        <v>962</v>
      </c>
      <c r="F723" s="42" t="s">
        <v>149</v>
      </c>
      <c r="G723" s="42" t="s">
        <v>150</v>
      </c>
      <c r="H723" s="43" t="s">
        <v>150</v>
      </c>
      <c r="I723" s="44">
        <v>50</v>
      </c>
      <c r="J723" s="45">
        <v>249005.50080000001</v>
      </c>
      <c r="K723" s="46">
        <v>13846.760364</v>
      </c>
      <c r="L723" s="47">
        <v>262852.26116400003</v>
      </c>
      <c r="M723" s="48">
        <v>5426920</v>
      </c>
      <c r="N723" s="49">
        <v>3709922</v>
      </c>
      <c r="O723" s="49">
        <v>1716998</v>
      </c>
      <c r="P723" s="49">
        <v>0</v>
      </c>
      <c r="Q723" s="50">
        <v>12447.064426605501</v>
      </c>
      <c r="R723" s="51">
        <v>21461.110189513802</v>
      </c>
      <c r="S723" s="49">
        <v>32979.936003783201</v>
      </c>
      <c r="T723" s="49">
        <v>6632.4105285496998</v>
      </c>
      <c r="U723" s="49">
        <f>IFERROR(INDEX('Rentabilidad datos'!$N$2:$N$61,MATCH($C723,'Rentabilidad datos'!$C$2:$C$61,0)),"")</f>
        <v>61073.456721846684</v>
      </c>
      <c r="V723" s="50">
        <f>IFERROR(INDEX('Rentabilidad datos'!$O$2:$O$61,MATCH($C723,'Rentabilidad datos'!$C$2:$C$61,0)),"")</f>
        <v>1299.4352494009934</v>
      </c>
      <c r="W723" s="51">
        <f>IFERROR(INDEX('Rentabilidad datos'!$M$2:$M$61,MATCH($C723,'Rentabilidad datos'!$C$2:$C$61,0)),"")</f>
        <v>3641.9429094456564</v>
      </c>
      <c r="X723" s="52">
        <f>IFERROR(INDEX('Rentabilidad datos'!$P$2:$P$61,MATCH($C723,'Rentabilidad datos'!$C$2:$C$61,0)),"")</f>
        <v>0.35679725951519148</v>
      </c>
      <c r="Y723" s="43" t="s">
        <v>171</v>
      </c>
      <c r="Z723" s="53">
        <v>57.066513761467903</v>
      </c>
      <c r="AA723" s="43">
        <v>2</v>
      </c>
      <c r="AB723" s="54">
        <v>0.97461801537520365</v>
      </c>
      <c r="AC723" s="55">
        <v>2.5381984624796385E-2</v>
      </c>
      <c r="AD723" s="752" t="e">
        <f>_xlfn.XLOOKUP(Table1[[#This Row],[Ruta]],#REF!,#REF!)</f>
        <v>#REF!</v>
      </c>
      <c r="AE723" s="752" t="e">
        <f>_xlfn.XLOOKUP(Table1[[#This Row],[Ruta]],#REF!,#REF!)</f>
        <v>#REF!</v>
      </c>
      <c r="AF723" s="752" t="e">
        <f>_xlfn.XLOOKUP(Table1[[#This Row],[Ruta]],#REF!,#REF!)</f>
        <v>#REF!</v>
      </c>
      <c r="AG723" s="752" t="e">
        <f>_xlfn.XLOOKUP(Table1[[#This Row],[Ruta]],#REF!,#REF!)</f>
        <v>#REF!</v>
      </c>
      <c r="AH723" s="52">
        <v>0.68361464698208196</v>
      </c>
      <c r="AI723" s="52">
        <v>0.31638535301791809</v>
      </c>
      <c r="AJ723" s="55">
        <v>0</v>
      </c>
      <c r="AK723" s="56">
        <v>24881</v>
      </c>
      <c r="AL723" s="44">
        <v>15286</v>
      </c>
      <c r="AM723" s="54">
        <v>0.61436437442225</v>
      </c>
      <c r="AN723" s="55">
        <v>0.62538735712289495</v>
      </c>
      <c r="AO723" s="56">
        <v>274.26283257474603</v>
      </c>
      <c r="AP723" s="48">
        <v>137.13141628737301</v>
      </c>
      <c r="AQ723" s="55">
        <v>0.61987586577257237</v>
      </c>
      <c r="AR723" s="51">
        <v>5426920.0899999999</v>
      </c>
      <c r="AS723" s="49">
        <v>48685.152297533597</v>
      </c>
      <c r="AT723" s="55">
        <v>8.9710464665297106E-3</v>
      </c>
      <c r="AU723" s="51">
        <v>34211.188100969564</v>
      </c>
      <c r="AV723" s="52">
        <v>1.5562993216558879E-4</v>
      </c>
      <c r="AW723" s="44">
        <v>445</v>
      </c>
      <c r="AX723" s="51">
        <v>355.02551942954301</v>
      </c>
      <c r="AY723" s="49">
        <v>327.331066067118</v>
      </c>
      <c r="AZ723" s="49">
        <v>0</v>
      </c>
      <c r="BA723" s="42" t="s">
        <v>152</v>
      </c>
      <c r="BB723" s="50">
        <v>0</v>
      </c>
      <c r="BC723" s="57">
        <v>34211.188100969564</v>
      </c>
      <c r="BD723" s="42" t="s">
        <v>150</v>
      </c>
      <c r="BE723" s="46">
        <v>57.066513761467903</v>
      </c>
      <c r="BF723" s="46">
        <v>77.052752293577996</v>
      </c>
      <c r="BG723" s="42" t="s">
        <v>152</v>
      </c>
      <c r="BH723" s="52">
        <v>0.61436437442225</v>
      </c>
      <c r="BI723" s="52">
        <v>0.58451671985922604</v>
      </c>
      <c r="BJ723" s="42" t="s">
        <v>150</v>
      </c>
      <c r="BK723" s="46">
        <v>602.87215863302697</v>
      </c>
      <c r="BL723" s="46">
        <v>592.94411248383199</v>
      </c>
      <c r="BM723" s="42" t="s">
        <v>150</v>
      </c>
      <c r="BN723" s="48">
        <v>2</v>
      </c>
      <c r="BO723" s="42" t="s">
        <v>161</v>
      </c>
      <c r="BP723" s="42" t="s">
        <v>152</v>
      </c>
      <c r="BQ723" s="46">
        <v>6627.6162800482098</v>
      </c>
      <c r="BR723" s="46">
        <v>410</v>
      </c>
      <c r="BS723" s="46">
        <v>25016</v>
      </c>
      <c r="BT723" s="46">
        <v>6544</v>
      </c>
      <c r="BU723" s="46">
        <v>3.8227383863080684</v>
      </c>
      <c r="BV723" s="46">
        <v>15.960975609756098</v>
      </c>
      <c r="BW723" s="46">
        <v>0</v>
      </c>
      <c r="BX723" s="46">
        <v>58</v>
      </c>
      <c r="BY723" s="46">
        <v>58</v>
      </c>
      <c r="BZ723" s="46">
        <v>8.8630806845965762E-3</v>
      </c>
      <c r="CA723" s="46">
        <v>0</v>
      </c>
      <c r="CB723" s="46">
        <v>8.8630806845965762E-3</v>
      </c>
      <c r="CC723" s="46">
        <v>0</v>
      </c>
      <c r="CD723" s="46">
        <v>5.8221271393643033E-2</v>
      </c>
      <c r="CE723" s="46">
        <v>4.2328850855745719E-2</v>
      </c>
      <c r="CF723" s="46">
        <v>0.89058679706601462</v>
      </c>
      <c r="CG723" s="46">
        <v>0</v>
      </c>
      <c r="CH723" s="46">
        <v>0</v>
      </c>
      <c r="CI723" s="46">
        <v>5.956188039654621</v>
      </c>
      <c r="CJ723" s="46">
        <v>0.31979533098816759</v>
      </c>
      <c r="CK723">
        <v>309</v>
      </c>
      <c r="CL723">
        <v>309.05</v>
      </c>
      <c r="CM723">
        <f t="shared" si="84"/>
        <v>5.0000000000011369E-2</v>
      </c>
      <c r="CN723">
        <v>11.76</v>
      </c>
      <c r="CO723">
        <v>9.4499999999999993</v>
      </c>
      <c r="CP723">
        <f t="shared" si="85"/>
        <v>-2.3100000000000005</v>
      </c>
      <c r="CQ723">
        <v>846.56</v>
      </c>
      <c r="CR723">
        <v>602.87</v>
      </c>
      <c r="CS723">
        <f t="shared" si="86"/>
        <v>243.68999999999994</v>
      </c>
      <c r="CT723" t="s">
        <v>150</v>
      </c>
      <c r="CU723">
        <v>124.41</v>
      </c>
      <c r="CV723">
        <v>1</v>
      </c>
      <c r="CW723" s="46">
        <v>58</v>
      </c>
      <c r="CX723" s="46">
        <f t="shared" si="80"/>
        <v>0.88554400977995107</v>
      </c>
      <c r="CY723" s="46">
        <v>0.05</v>
      </c>
      <c r="CZ723" s="46">
        <f t="shared" si="81"/>
        <v>0.88630806845965759</v>
      </c>
      <c r="DA723" s="46">
        <f t="shared" si="82"/>
        <v>1.2285969697664288E-3</v>
      </c>
      <c r="DB723" s="46">
        <v>8.0399999999999991</v>
      </c>
      <c r="DC723" s="46">
        <f t="shared" si="83"/>
        <v>5.3483698932618178E-5</v>
      </c>
      <c r="DD723" s="46">
        <v>0.35</v>
      </c>
      <c r="DE723" s="995">
        <v>58</v>
      </c>
      <c r="DF723" s="995">
        <v>0.88600000000000001</v>
      </c>
      <c r="DG723" s="995">
        <v>0.1</v>
      </c>
      <c r="DH723" s="995">
        <v>0.88600000000000001</v>
      </c>
      <c r="DI723" s="995">
        <v>579.17399999999998</v>
      </c>
      <c r="DJ723" s="995">
        <v>3790144</v>
      </c>
      <c r="DK723" s="995">
        <v>26.245999999999999</v>
      </c>
      <c r="DL723" s="995">
        <v>171757.8</v>
      </c>
      <c r="DM723" s="995">
        <v>58</v>
      </c>
      <c r="DN723" s="995">
        <v>0.88600000000000001</v>
      </c>
      <c r="DO723" s="995">
        <v>0.1</v>
      </c>
      <c r="DP723" s="995">
        <v>0.88600000000000001</v>
      </c>
      <c r="DQ723" s="995">
        <v>579.17399999999998</v>
      </c>
      <c r="DR723" s="995">
        <v>3790144</v>
      </c>
      <c r="DS723" s="995">
        <v>26.245999999999999</v>
      </c>
      <c r="DT723" s="995">
        <v>171757.8</v>
      </c>
    </row>
    <row r="724" spans="1:124">
      <c r="A724" s="42" t="s">
        <v>94</v>
      </c>
      <c r="B724" s="42" t="s">
        <v>502</v>
      </c>
      <c r="C724" s="42" t="s">
        <v>931</v>
      </c>
      <c r="D724" s="42">
        <v>916413</v>
      </c>
      <c r="E724" s="42" t="s">
        <v>963</v>
      </c>
      <c r="F724" s="42" t="s">
        <v>149</v>
      </c>
      <c r="G724" s="42" t="s">
        <v>150</v>
      </c>
      <c r="H724" s="43" t="s">
        <v>150</v>
      </c>
      <c r="I724" s="44">
        <v>50</v>
      </c>
      <c r="J724" s="45">
        <v>188983.80480000001</v>
      </c>
      <c r="K724" s="46">
        <v>12814.377086</v>
      </c>
      <c r="L724" s="47">
        <v>201798.18188600001</v>
      </c>
      <c r="M724" s="48">
        <v>4330571</v>
      </c>
      <c r="N724" s="49">
        <v>2802411</v>
      </c>
      <c r="O724" s="49">
        <v>1528160</v>
      </c>
      <c r="P724" s="49">
        <v>0</v>
      </c>
      <c r="Q724" s="50">
        <v>9932.5013073394493</v>
      </c>
      <c r="R724" s="51">
        <v>21461.110189513802</v>
      </c>
      <c r="S724" s="49">
        <v>32979.936003783201</v>
      </c>
      <c r="T724" s="49">
        <v>6632.4105285496998</v>
      </c>
      <c r="U724" s="49">
        <f>IFERROR(INDEX('Rentabilidad datos'!$N$2:$N$61,MATCH($C724,'Rentabilidad datos'!$C$2:$C$61,0)),"")</f>
        <v>61073.456721846684</v>
      </c>
      <c r="V724" s="50">
        <f>IFERROR(INDEX('Rentabilidad datos'!$O$2:$O$61,MATCH($C724,'Rentabilidad datos'!$C$2:$C$61,0)),"")</f>
        <v>1299.4352494009934</v>
      </c>
      <c r="W724" s="51">
        <f>IFERROR(INDEX('Rentabilidad datos'!$M$2:$M$61,MATCH($C724,'Rentabilidad datos'!$C$2:$C$61,0)),"")</f>
        <v>3641.9429094456564</v>
      </c>
      <c r="X724" s="52">
        <f>IFERROR(INDEX('Rentabilidad datos'!$P$2:$P$61,MATCH($C724,'Rentabilidad datos'!$C$2:$C$61,0)),"")</f>
        <v>0.35679725951519148</v>
      </c>
      <c r="Y724" s="43" t="s">
        <v>171</v>
      </c>
      <c r="Z724" s="53">
        <v>72.479357798165097</v>
      </c>
      <c r="AA724" s="43">
        <v>2</v>
      </c>
      <c r="AB724" s="54">
        <v>0.97607220849167464</v>
      </c>
      <c r="AC724" s="55">
        <v>2.3927791508325344E-2</v>
      </c>
      <c r="AD724" s="752" t="e">
        <f>_xlfn.XLOOKUP(Table1[[#This Row],[Ruta]],#REF!,#REF!)</f>
        <v>#REF!</v>
      </c>
      <c r="AE724" s="752" t="e">
        <f>_xlfn.XLOOKUP(Table1[[#This Row],[Ruta]],#REF!,#REF!)</f>
        <v>#REF!</v>
      </c>
      <c r="AF724" s="752" t="e">
        <f>_xlfn.XLOOKUP(Table1[[#This Row],[Ruta]],#REF!,#REF!)</f>
        <v>#REF!</v>
      </c>
      <c r="AG724" s="752" t="e">
        <f>_xlfn.XLOOKUP(Table1[[#This Row],[Ruta]],#REF!,#REF!)</f>
        <v>#REF!</v>
      </c>
      <c r="AH724" s="52">
        <v>0.64712274663087155</v>
      </c>
      <c r="AI724" s="52">
        <v>0.35287725336912845</v>
      </c>
      <c r="AJ724" s="55">
        <v>0</v>
      </c>
      <c r="AK724" s="56">
        <v>31601</v>
      </c>
      <c r="AL724" s="44">
        <v>15949</v>
      </c>
      <c r="AM724" s="54">
        <v>0.50469921837916498</v>
      </c>
      <c r="AN724" s="55">
        <v>0.62538735712289495</v>
      </c>
      <c r="AO724" s="56">
        <v>3813.8658724406</v>
      </c>
      <c r="AP724" s="48">
        <v>1906.9329362203</v>
      </c>
      <c r="AQ724" s="55">
        <v>0.56504328775102997</v>
      </c>
      <c r="AR724" s="51">
        <v>4330570.57</v>
      </c>
      <c r="AS724" s="49">
        <v>517782.158916505</v>
      </c>
      <c r="AT724" s="55">
        <v>0.11956442010284686</v>
      </c>
      <c r="AU724" s="51">
        <v>363846.92248186853</v>
      </c>
      <c r="AV724" s="52">
        <v>1.6551740821566688E-3</v>
      </c>
      <c r="AW724" s="44">
        <v>205</v>
      </c>
      <c r="AX724" s="51">
        <v>271.52615022885402</v>
      </c>
      <c r="AY724" s="49">
        <v>327.331066067118</v>
      </c>
      <c r="AZ724" s="49">
        <v>55.80491583826398</v>
      </c>
      <c r="BA724" s="42" t="s">
        <v>150</v>
      </c>
      <c r="BB724" s="50">
        <v>312714.15770697687</v>
      </c>
      <c r="BC724" s="57">
        <v>676561.0801888454</v>
      </c>
      <c r="BD724" s="42" t="s">
        <v>150</v>
      </c>
      <c r="BE724" s="46">
        <v>72.479357798165097</v>
      </c>
      <c r="BF724" s="46">
        <v>77.052752293577996</v>
      </c>
      <c r="BG724" s="42" t="s">
        <v>152</v>
      </c>
      <c r="BH724" s="52">
        <v>0.50469921837916498</v>
      </c>
      <c r="BI724" s="52">
        <v>0.58451671985922604</v>
      </c>
      <c r="BJ724" s="42" t="s">
        <v>152</v>
      </c>
      <c r="BK724" s="46">
        <v>462.83986671100899</v>
      </c>
      <c r="BL724" s="46">
        <v>592.94411248383199</v>
      </c>
      <c r="BM724" s="42" t="s">
        <v>152</v>
      </c>
      <c r="BN724" s="48">
        <v>0</v>
      </c>
      <c r="BO724" s="42" t="s">
        <v>155</v>
      </c>
      <c r="BP724" s="42" t="s">
        <v>152</v>
      </c>
      <c r="BQ724" s="46">
        <v>2914.6512896336599</v>
      </c>
      <c r="BR724" s="46">
        <v>307</v>
      </c>
      <c r="BS724" s="46">
        <v>18076</v>
      </c>
      <c r="BT724" s="46">
        <v>4690</v>
      </c>
      <c r="BU724" s="46">
        <v>3.8541577825159914</v>
      </c>
      <c r="BV724" s="46">
        <v>15.276872964169382</v>
      </c>
      <c r="BW724" s="46">
        <v>0</v>
      </c>
      <c r="BX724" s="46">
        <v>0</v>
      </c>
      <c r="BY724" s="46">
        <v>0</v>
      </c>
      <c r="BZ724" s="46">
        <v>0</v>
      </c>
      <c r="CA724" s="46">
        <v>0</v>
      </c>
      <c r="CB724" s="46">
        <v>0</v>
      </c>
      <c r="CC724" s="46">
        <v>2.3667377398720681E-2</v>
      </c>
      <c r="CD724" s="46">
        <v>5.3944562899786781E-2</v>
      </c>
      <c r="CE724" s="46">
        <v>3.3475479744136463E-2</v>
      </c>
      <c r="CF724" s="46">
        <v>0.88891257995735606</v>
      </c>
      <c r="CG724" s="46">
        <v>0</v>
      </c>
      <c r="CH724" s="46">
        <v>0</v>
      </c>
      <c r="CI724" s="46">
        <v>5.8641292321310026</v>
      </c>
      <c r="CJ724" s="46">
        <v>0.44257579110422662</v>
      </c>
      <c r="CK724">
        <v>254</v>
      </c>
      <c r="CL724">
        <v>254</v>
      </c>
      <c r="CM724">
        <f t="shared" si="84"/>
        <v>0</v>
      </c>
      <c r="CO724">
        <v>9.4499999999999993</v>
      </c>
      <c r="CP724">
        <f t="shared" si="85"/>
        <v>9.4499999999999993</v>
      </c>
      <c r="CS724">
        <f t="shared" si="86"/>
        <v>0</v>
      </c>
      <c r="CV724">
        <v>0</v>
      </c>
      <c r="CW724" s="46">
        <v>0</v>
      </c>
      <c r="CX724" s="46">
        <f t="shared" si="80"/>
        <v>0</v>
      </c>
      <c r="CY724" s="46">
        <v>0</v>
      </c>
      <c r="CZ724" s="46">
        <f t="shared" si="81"/>
        <v>0</v>
      </c>
      <c r="DA724" s="46">
        <f t="shared" si="82"/>
        <v>0</v>
      </c>
      <c r="DB724" s="46">
        <v>0</v>
      </c>
      <c r="DC724" s="46">
        <f t="shared" si="83"/>
        <v>0</v>
      </c>
      <c r="DD724" s="46">
        <v>0</v>
      </c>
      <c r="DE724" s="995">
        <v>0</v>
      </c>
      <c r="DF724" s="995">
        <v>0</v>
      </c>
      <c r="DG724" s="995">
        <v>0</v>
      </c>
      <c r="DH724" s="995">
        <v>0</v>
      </c>
      <c r="DI724" s="995">
        <v>465.85</v>
      </c>
      <c r="DJ724" s="995">
        <v>2184837</v>
      </c>
      <c r="DK724" s="995">
        <v>21.768000000000001</v>
      </c>
      <c r="DL724" s="995">
        <v>102091</v>
      </c>
      <c r="DM724" s="995">
        <v>0</v>
      </c>
      <c r="DN724" s="995">
        <v>0</v>
      </c>
      <c r="DO724" s="995">
        <v>0</v>
      </c>
      <c r="DP724" s="995">
        <v>0</v>
      </c>
      <c r="DQ724" s="995">
        <v>465.85</v>
      </c>
      <c r="DR724" s="995">
        <v>2184837</v>
      </c>
      <c r="DS724" s="995">
        <v>21.768000000000001</v>
      </c>
      <c r="DT724" s="995">
        <v>102091</v>
      </c>
    </row>
    <row r="725" spans="1:124">
      <c r="A725" s="42" t="s">
        <v>94</v>
      </c>
      <c r="B725" s="42" t="s">
        <v>502</v>
      </c>
      <c r="C725" s="42" t="s">
        <v>931</v>
      </c>
      <c r="D725" s="42">
        <v>916414</v>
      </c>
      <c r="E725" s="42" t="s">
        <v>964</v>
      </c>
      <c r="F725" s="42" t="s">
        <v>149</v>
      </c>
      <c r="G725" s="42" t="s">
        <v>150</v>
      </c>
      <c r="H725" s="43" t="s">
        <v>150</v>
      </c>
      <c r="I725" s="44">
        <v>50</v>
      </c>
      <c r="J725" s="45">
        <v>187166.2464</v>
      </c>
      <c r="K725" s="46">
        <v>7670.4373500000002</v>
      </c>
      <c r="L725" s="47">
        <v>194836.68375</v>
      </c>
      <c r="M725" s="48">
        <v>3701270</v>
      </c>
      <c r="N725" s="49">
        <v>2768114</v>
      </c>
      <c r="O725" s="49">
        <v>933156</v>
      </c>
      <c r="P725" s="49">
        <v>0</v>
      </c>
      <c r="Q725" s="50">
        <v>8655.02443925234</v>
      </c>
      <c r="R725" s="51">
        <v>21461.110189513802</v>
      </c>
      <c r="S725" s="49">
        <v>32979.936003783201</v>
      </c>
      <c r="T725" s="49">
        <v>6632.4105285496998</v>
      </c>
      <c r="U725" s="49">
        <f>IFERROR(INDEX('Rentabilidad datos'!$N$2:$N$61,MATCH($C725,'Rentabilidad datos'!$C$2:$C$61,0)),"")</f>
        <v>61073.456721846684</v>
      </c>
      <c r="V725" s="50">
        <f>IFERROR(INDEX('Rentabilidad datos'!$O$2:$O$61,MATCH($C725,'Rentabilidad datos'!$C$2:$C$61,0)),"")</f>
        <v>1299.4352494009934</v>
      </c>
      <c r="W725" s="51">
        <f>IFERROR(INDEX('Rentabilidad datos'!$M$2:$M$61,MATCH($C725,'Rentabilidad datos'!$C$2:$C$61,0)),"")</f>
        <v>3641.9429094456564</v>
      </c>
      <c r="X725" s="52">
        <f>IFERROR(INDEX('Rentabilidad datos'!$P$2:$P$61,MATCH($C725,'Rentabilidad datos'!$C$2:$C$61,0)),"")</f>
        <v>0.35679725951519148</v>
      </c>
      <c r="Y725" s="43" t="s">
        <v>171</v>
      </c>
      <c r="Z725" s="53">
        <v>94.516355140186903</v>
      </c>
      <c r="AA725" s="43">
        <v>2</v>
      </c>
      <c r="AB725" s="54">
        <v>0.95111434723756982</v>
      </c>
      <c r="AC725" s="55">
        <v>4.888565276243019E-2</v>
      </c>
      <c r="AD725" s="752" t="e">
        <f>_xlfn.XLOOKUP(Table1[[#This Row],[Ruta]],#REF!,#REF!)</f>
        <v>#REF!</v>
      </c>
      <c r="AE725" s="752" t="e">
        <f>_xlfn.XLOOKUP(Table1[[#This Row],[Ruta]],#REF!,#REF!)</f>
        <v>#REF!</v>
      </c>
      <c r="AF725" s="752" t="e">
        <f>_xlfn.XLOOKUP(Table1[[#This Row],[Ruta]],#REF!,#REF!)</f>
        <v>#REF!</v>
      </c>
      <c r="AG725" s="752" t="e">
        <f>_xlfn.XLOOKUP(Table1[[#This Row],[Ruta]],#REF!,#REF!)</f>
        <v>#REF!</v>
      </c>
      <c r="AH725" s="52">
        <v>0.74788221340242678</v>
      </c>
      <c r="AI725" s="52">
        <v>0.25211778659757328</v>
      </c>
      <c r="AJ725" s="55">
        <v>0</v>
      </c>
      <c r="AK725" s="56">
        <v>40453</v>
      </c>
      <c r="AL725" s="44">
        <v>14026</v>
      </c>
      <c r="AM725" s="54">
        <v>0.34672335797097897</v>
      </c>
      <c r="AN725" s="55">
        <v>0.62538735712289495</v>
      </c>
      <c r="AO725" s="56">
        <v>11272.7947576925</v>
      </c>
      <c r="AP725" s="48">
        <v>5636.3973788462499</v>
      </c>
      <c r="AQ725" s="55">
        <v>0.48605535754693718</v>
      </c>
      <c r="AR725" s="51">
        <v>3704350.46</v>
      </c>
      <c r="AS725" s="49">
        <v>1488606.247188925</v>
      </c>
      <c r="AT725" s="55">
        <v>0.40185351339271635</v>
      </c>
      <c r="AU725" s="51">
        <v>1046047.6331597855</v>
      </c>
      <c r="AV725" s="52">
        <v>4.7585696734694346E-3</v>
      </c>
      <c r="AW725" s="44">
        <v>37</v>
      </c>
      <c r="AX725" s="51">
        <v>264.10597889633499</v>
      </c>
      <c r="AY725" s="49">
        <v>327.331066067118</v>
      </c>
      <c r="AZ725" s="49">
        <v>63.225087170783013</v>
      </c>
      <c r="BA725" s="42" t="s">
        <v>150</v>
      </c>
      <c r="BB725" s="50">
        <v>311576.64714989829</v>
      </c>
      <c r="BC725" s="57">
        <v>1357624.2803096839</v>
      </c>
      <c r="BD725" s="42" t="s">
        <v>150</v>
      </c>
      <c r="BE725" s="46">
        <v>94.516355140186903</v>
      </c>
      <c r="BF725" s="46">
        <v>77.052752293577996</v>
      </c>
      <c r="BG725" s="42" t="s">
        <v>150</v>
      </c>
      <c r="BH725" s="52">
        <v>0.34672335797097897</v>
      </c>
      <c r="BI725" s="52">
        <v>0.58451671985922604</v>
      </c>
      <c r="BJ725" s="42" t="s">
        <v>152</v>
      </c>
      <c r="BK725" s="46">
        <v>455.22589661214897</v>
      </c>
      <c r="BL725" s="46">
        <v>592.94411248383199</v>
      </c>
      <c r="BM725" s="42" t="s">
        <v>152</v>
      </c>
      <c r="BN725" s="48">
        <v>1</v>
      </c>
      <c r="BO725" s="42" t="s">
        <v>155</v>
      </c>
      <c r="BP725" s="42" t="s">
        <v>152</v>
      </c>
      <c r="BQ725" s="46">
        <v>5995.4550884644495</v>
      </c>
      <c r="BR725" s="46">
        <v>263</v>
      </c>
      <c r="BS725" s="46">
        <v>18800</v>
      </c>
      <c r="BT725" s="46">
        <v>5552</v>
      </c>
      <c r="BU725" s="46">
        <v>3.3861671469740635</v>
      </c>
      <c r="BV725" s="46">
        <v>21.110266159695819</v>
      </c>
      <c r="BW725" s="46">
        <v>0</v>
      </c>
      <c r="BX725" s="46">
        <v>3837</v>
      </c>
      <c r="BY725" s="46">
        <v>3837</v>
      </c>
      <c r="BZ725" s="46">
        <v>0.69110230547550433</v>
      </c>
      <c r="CA725" s="46">
        <v>0</v>
      </c>
      <c r="CB725" s="46">
        <v>0.69110230547550433</v>
      </c>
      <c r="CC725" s="46">
        <v>0</v>
      </c>
      <c r="CD725" s="46">
        <v>0.12121757925072051</v>
      </c>
      <c r="CE725" s="46">
        <v>0</v>
      </c>
      <c r="CF725" s="46">
        <v>0.18768011527377521</v>
      </c>
      <c r="CG725" s="46">
        <v>0</v>
      </c>
      <c r="CH725" s="46">
        <v>0</v>
      </c>
      <c r="CI725" s="46">
        <v>5.0531914893617023</v>
      </c>
      <c r="CJ725" s="46">
        <v>0.1063829787234043</v>
      </c>
      <c r="CK725">
        <v>441</v>
      </c>
      <c r="CL725">
        <v>466.16</v>
      </c>
      <c r="CM725">
        <f t="shared" si="84"/>
        <v>25.160000000000025</v>
      </c>
      <c r="CN725">
        <v>10.08</v>
      </c>
      <c r="CO725">
        <v>9.4499999999999993</v>
      </c>
      <c r="CP725">
        <f t="shared" si="85"/>
        <v>-0.63000000000000078</v>
      </c>
      <c r="CQ725">
        <v>846.56</v>
      </c>
      <c r="CR725">
        <v>455.23</v>
      </c>
      <c r="CS725">
        <f t="shared" si="86"/>
        <v>391.32999999999993</v>
      </c>
      <c r="CT725" t="s">
        <v>150</v>
      </c>
      <c r="CU725">
        <v>106.69</v>
      </c>
      <c r="CV725">
        <v>321</v>
      </c>
      <c r="CW725" s="46">
        <v>3837</v>
      </c>
      <c r="CX725" s="46">
        <f t="shared" si="80"/>
        <v>68.657060518731996</v>
      </c>
      <c r="CY725" s="46">
        <v>25.16</v>
      </c>
      <c r="CZ725" s="46">
        <f t="shared" si="81"/>
        <v>69.110230547550429</v>
      </c>
      <c r="DA725" s="46">
        <f t="shared" si="82"/>
        <v>234.25474793622561</v>
      </c>
      <c r="DB725" s="46">
        <v>1306476.21</v>
      </c>
      <c r="DC725" s="46">
        <f t="shared" si="83"/>
        <v>11.918731038736562</v>
      </c>
      <c r="DD725" s="46">
        <v>66472.67</v>
      </c>
      <c r="DE725" s="995">
        <v>3837</v>
      </c>
      <c r="DF725" s="995">
        <v>68.632000000000005</v>
      </c>
      <c r="DG725" s="995">
        <v>26.6</v>
      </c>
      <c r="DH725" s="995">
        <v>69.11</v>
      </c>
      <c r="DI725" s="995">
        <v>824.54100000000005</v>
      </c>
      <c r="DJ725" s="995">
        <v>4599768</v>
      </c>
      <c r="DK725" s="995">
        <v>41.789000000000001</v>
      </c>
      <c r="DL725" s="995">
        <v>233120.4</v>
      </c>
      <c r="DM725" s="995">
        <v>3837</v>
      </c>
      <c r="DN725" s="995">
        <v>68.715999999999994</v>
      </c>
      <c r="DO725" s="995">
        <v>21.9</v>
      </c>
      <c r="DP725" s="995">
        <v>69.11</v>
      </c>
      <c r="DQ725" s="995">
        <v>818.30600000000004</v>
      </c>
      <c r="DR725" s="995">
        <v>4561143</v>
      </c>
      <c r="DS725" s="995">
        <v>41.466999999999999</v>
      </c>
      <c r="DT725" s="995">
        <v>231130</v>
      </c>
    </row>
    <row r="726" spans="1:124">
      <c r="A726" s="42" t="s">
        <v>94</v>
      </c>
      <c r="B726" s="42" t="s">
        <v>502</v>
      </c>
      <c r="C726" s="42" t="s">
        <v>931</v>
      </c>
      <c r="D726" s="42">
        <v>916415</v>
      </c>
      <c r="E726" s="42" t="s">
        <v>965</v>
      </c>
      <c r="F726" s="42" t="s">
        <v>149</v>
      </c>
      <c r="G726" s="42" t="s">
        <v>150</v>
      </c>
      <c r="H726" s="43" t="s">
        <v>150</v>
      </c>
      <c r="I726" s="44">
        <v>50</v>
      </c>
      <c r="J726" s="45">
        <v>200048.36063499999</v>
      </c>
      <c r="K726" s="46">
        <v>16937.262900000002</v>
      </c>
      <c r="L726" s="47">
        <v>216985.62353499999</v>
      </c>
      <c r="M726" s="48">
        <v>4895382</v>
      </c>
      <c r="N726" s="49">
        <v>3034007</v>
      </c>
      <c r="O726" s="49">
        <v>1861375</v>
      </c>
      <c r="P726" s="49">
        <v>0</v>
      </c>
      <c r="Q726" s="50">
        <v>10884.035011494299</v>
      </c>
      <c r="R726" s="51">
        <v>21461.110189513802</v>
      </c>
      <c r="S726" s="49">
        <v>32979.936003783201</v>
      </c>
      <c r="T726" s="49">
        <v>6632.4105285496998</v>
      </c>
      <c r="U726" s="49">
        <f>IFERROR(INDEX('Rentabilidad datos'!$N$2:$N$61,MATCH($C726,'Rentabilidad datos'!$C$2:$C$61,0)),"")</f>
        <v>61073.456721846684</v>
      </c>
      <c r="V726" s="50">
        <f>IFERROR(INDEX('Rentabilidad datos'!$O$2:$O$61,MATCH($C726,'Rentabilidad datos'!$C$2:$C$61,0)),"")</f>
        <v>1299.4352494009934</v>
      </c>
      <c r="W726" s="51">
        <f>IFERROR(INDEX('Rentabilidad datos'!$M$2:$M$61,MATCH($C726,'Rentabilidad datos'!$C$2:$C$61,0)),"")</f>
        <v>3641.9429094456564</v>
      </c>
      <c r="X726" s="52">
        <f>IFERROR(INDEX('Rentabilidad datos'!$P$2:$P$61,MATCH($C726,'Rentabilidad datos'!$C$2:$C$61,0)),"")</f>
        <v>0.35679725951519148</v>
      </c>
      <c r="Y726" s="43" t="s">
        <v>171</v>
      </c>
      <c r="Z726" s="53">
        <v>83.758620689655203</v>
      </c>
      <c r="AA726" s="43">
        <v>2</v>
      </c>
      <c r="AB726" s="54">
        <v>0.94665237564708948</v>
      </c>
      <c r="AC726" s="55">
        <v>5.3347624352910558E-2</v>
      </c>
      <c r="AD726" s="752" t="e">
        <f>_xlfn.XLOOKUP(Table1[[#This Row],[Ruta]],#REF!,#REF!)</f>
        <v>#REF!</v>
      </c>
      <c r="AE726" s="752" t="e">
        <f>_xlfn.XLOOKUP(Table1[[#This Row],[Ruta]],#REF!,#REF!)</f>
        <v>#REF!</v>
      </c>
      <c r="AF726" s="752" t="e">
        <f>_xlfn.XLOOKUP(Table1[[#This Row],[Ruta]],#REF!,#REF!)</f>
        <v>#REF!</v>
      </c>
      <c r="AG726" s="752" t="e">
        <f>_xlfn.XLOOKUP(Table1[[#This Row],[Ruta]],#REF!,#REF!)</f>
        <v>#REF!</v>
      </c>
      <c r="AH726" s="52">
        <v>0.61976920289366588</v>
      </c>
      <c r="AI726" s="52">
        <v>0.38023079710633412</v>
      </c>
      <c r="AJ726" s="55">
        <v>0</v>
      </c>
      <c r="AK726" s="56">
        <v>36435</v>
      </c>
      <c r="AL726" s="44">
        <v>15022</v>
      </c>
      <c r="AM726" s="54">
        <v>0.41229586935638801</v>
      </c>
      <c r="AN726" s="55">
        <v>0.62538735712289495</v>
      </c>
      <c r="AO726" s="56">
        <v>7763.9883567726702</v>
      </c>
      <c r="AP726" s="48">
        <v>3881.9941783863351</v>
      </c>
      <c r="AQ726" s="55">
        <v>0.5188416132396414</v>
      </c>
      <c r="AR726" s="51">
        <v>4734555.2300000004</v>
      </c>
      <c r="AS726" s="49">
        <v>1223506.57969036</v>
      </c>
      <c r="AT726" s="55">
        <v>0.25842059501972686</v>
      </c>
      <c r="AU726" s="51">
        <v>859761.38032295601</v>
      </c>
      <c r="AV726" s="52">
        <v>3.9111358805589838E-3</v>
      </c>
      <c r="AW726" s="44">
        <v>64</v>
      </c>
      <c r="AX726" s="51">
        <v>315.17475902010398</v>
      </c>
      <c r="AY726" s="49">
        <v>327.331066067118</v>
      </c>
      <c r="AZ726" s="49">
        <v>12.156307047014025</v>
      </c>
      <c r="BA726" s="42" t="s">
        <v>150</v>
      </c>
      <c r="BB726" s="50">
        <v>64160.98859414005</v>
      </c>
      <c r="BC726" s="57">
        <v>923922.36891709606</v>
      </c>
      <c r="BD726" s="42" t="s">
        <v>150</v>
      </c>
      <c r="BE726" s="46">
        <v>83.758620689655203</v>
      </c>
      <c r="BF726" s="46">
        <v>77.052752293577996</v>
      </c>
      <c r="BG726" s="42" t="s">
        <v>150</v>
      </c>
      <c r="BH726" s="52">
        <v>0.41229586935638801</v>
      </c>
      <c r="BI726" s="52">
        <v>0.58451671985922604</v>
      </c>
      <c r="BJ726" s="42" t="s">
        <v>152</v>
      </c>
      <c r="BK726" s="46">
        <v>498.81752536781499</v>
      </c>
      <c r="BL726" s="46">
        <v>592.94411248383199</v>
      </c>
      <c r="BM726" s="42" t="s">
        <v>152</v>
      </c>
      <c r="BN726" s="48">
        <v>1</v>
      </c>
      <c r="BO726" s="42" t="s">
        <v>155</v>
      </c>
      <c r="BP726" s="42" t="s">
        <v>152</v>
      </c>
      <c r="BQ726" s="46">
        <v>3571.7904703951299</v>
      </c>
      <c r="BR726" s="46">
        <v>702</v>
      </c>
      <c r="BS726" s="46">
        <v>47582</v>
      </c>
      <c r="BT726" s="46">
        <v>13422</v>
      </c>
      <c r="BU726" s="46">
        <v>3.5450752495902251</v>
      </c>
      <c r="BV726" s="46">
        <v>19.119658119658119</v>
      </c>
      <c r="BW726" s="46">
        <v>0</v>
      </c>
      <c r="BX726" s="46">
        <v>2333</v>
      </c>
      <c r="BY726" s="46">
        <v>2333</v>
      </c>
      <c r="BZ726" s="46">
        <v>0.17381910296528089</v>
      </c>
      <c r="CA726" s="46">
        <v>0</v>
      </c>
      <c r="CB726" s="46">
        <v>0.17381910296528089</v>
      </c>
      <c r="CC726" s="46">
        <v>0.30978989718372829</v>
      </c>
      <c r="CD726" s="46">
        <v>0.13954701236775441</v>
      </c>
      <c r="CE726" s="46">
        <v>0</v>
      </c>
      <c r="CF726" s="46">
        <v>0.3768439874832365</v>
      </c>
      <c r="CG726" s="46">
        <v>0</v>
      </c>
      <c r="CH726" s="46">
        <v>0</v>
      </c>
      <c r="CI726" s="46">
        <v>4.4344500021016353</v>
      </c>
      <c r="CJ726" s="46">
        <v>0.25219620865032993</v>
      </c>
      <c r="CK726">
        <v>482</v>
      </c>
      <c r="CL726">
        <v>486.28</v>
      </c>
      <c r="CM726">
        <f t="shared" si="84"/>
        <v>4.2799999999999727</v>
      </c>
      <c r="CN726">
        <v>11.17</v>
      </c>
      <c r="CO726">
        <v>9.4499999999999993</v>
      </c>
      <c r="CP726">
        <f t="shared" si="85"/>
        <v>-1.7200000000000006</v>
      </c>
      <c r="CQ726">
        <v>846.56</v>
      </c>
      <c r="CR726">
        <v>498.82</v>
      </c>
      <c r="CS726">
        <f t="shared" si="86"/>
        <v>347.73999999999995</v>
      </c>
      <c r="CT726" t="s">
        <v>150</v>
      </c>
      <c r="CU726">
        <v>118.19</v>
      </c>
      <c r="CV726">
        <v>155</v>
      </c>
      <c r="CW726" s="46">
        <v>2333</v>
      </c>
      <c r="CX726" s="46">
        <f t="shared" si="80"/>
        <v>17.350022351363432</v>
      </c>
      <c r="CY726" s="46">
        <v>4.28</v>
      </c>
      <c r="CZ726" s="46">
        <f t="shared" si="81"/>
        <v>17.381910296528087</v>
      </c>
      <c r="DA726" s="46">
        <f t="shared" si="82"/>
        <v>87.835457773858423</v>
      </c>
      <c r="DB726" s="46">
        <v>1179303.45</v>
      </c>
      <c r="DC726" s="46">
        <f t="shared" si="83"/>
        <v>3.9724957322504815</v>
      </c>
      <c r="DD726" s="46">
        <v>53335.839999999997</v>
      </c>
      <c r="DE726" s="995">
        <v>2333</v>
      </c>
      <c r="DF726" s="995">
        <v>17.324999999999999</v>
      </c>
      <c r="DG726" s="995">
        <v>7.7</v>
      </c>
      <c r="DH726" s="995">
        <v>17.382000000000001</v>
      </c>
      <c r="DI726" s="995">
        <v>395.41399999999999</v>
      </c>
      <c r="DJ726" s="995">
        <v>5310283</v>
      </c>
      <c r="DK726" s="995">
        <v>17.866</v>
      </c>
      <c r="DL726" s="995">
        <v>239940</v>
      </c>
      <c r="DM726" s="995">
        <v>2333</v>
      </c>
      <c r="DN726" s="995">
        <v>17.329000000000001</v>
      </c>
      <c r="DO726" s="995">
        <v>7.1</v>
      </c>
      <c r="DP726" s="995">
        <v>17.382000000000001</v>
      </c>
      <c r="DQ726" s="995">
        <v>395.02</v>
      </c>
      <c r="DR726" s="995">
        <v>5304751</v>
      </c>
      <c r="DS726" s="995">
        <v>17.849</v>
      </c>
      <c r="DT726" s="995">
        <v>239690.6</v>
      </c>
    </row>
    <row r="727" spans="1:124">
      <c r="A727" s="42" t="s">
        <v>94</v>
      </c>
      <c r="B727" s="42" t="s">
        <v>502</v>
      </c>
      <c r="C727" s="42" t="s">
        <v>931</v>
      </c>
      <c r="D727" s="42">
        <v>916417</v>
      </c>
      <c r="E727" s="42" t="s">
        <v>966</v>
      </c>
      <c r="F727" s="42" t="s">
        <v>149</v>
      </c>
      <c r="G727" s="42" t="s">
        <v>150</v>
      </c>
      <c r="H727" s="43" t="s">
        <v>150</v>
      </c>
      <c r="I727" s="44">
        <v>50</v>
      </c>
      <c r="J727" s="45">
        <v>223320.16</v>
      </c>
      <c r="K727" s="46">
        <v>16461.943603</v>
      </c>
      <c r="L727" s="47">
        <v>239782.103603</v>
      </c>
      <c r="M727" s="48">
        <v>5541889</v>
      </c>
      <c r="N727" s="49">
        <v>3339469</v>
      </c>
      <c r="O727" s="49">
        <v>2202420</v>
      </c>
      <c r="P727" s="49">
        <v>0</v>
      </c>
      <c r="Q727" s="50">
        <v>12738.642563510401</v>
      </c>
      <c r="R727" s="51">
        <v>21461.110189513802</v>
      </c>
      <c r="S727" s="49">
        <v>32979.936003783201</v>
      </c>
      <c r="T727" s="49">
        <v>6632.4105285496998</v>
      </c>
      <c r="U727" s="49">
        <f>IFERROR(INDEX('Rentabilidad datos'!$N$2:$N$61,MATCH($C727,'Rentabilidad datos'!$C$2:$C$61,0)),"")</f>
        <v>61073.456721846684</v>
      </c>
      <c r="V727" s="50">
        <f>IFERROR(INDEX('Rentabilidad datos'!$O$2:$O$61,MATCH($C727,'Rentabilidad datos'!$C$2:$C$61,0)),"")</f>
        <v>1299.4352494009934</v>
      </c>
      <c r="W727" s="51">
        <f>IFERROR(INDEX('Rentabilidad datos'!$M$2:$M$61,MATCH($C727,'Rentabilidad datos'!$C$2:$C$61,0)),"")</f>
        <v>3641.9429094456564</v>
      </c>
      <c r="X727" s="52">
        <f>IFERROR(INDEX('Rentabilidad datos'!$P$2:$P$61,MATCH($C727,'Rentabilidad datos'!$C$2:$C$61,0)),"")</f>
        <v>0.35679725951519148</v>
      </c>
      <c r="Y727" s="43" t="s">
        <v>171</v>
      </c>
      <c r="Z727" s="53">
        <v>44.815242494226297</v>
      </c>
      <c r="AA727" s="43">
        <v>2</v>
      </c>
      <c r="AB727" s="54">
        <v>0.8897202740798309</v>
      </c>
      <c r="AC727" s="55">
        <v>0.1102797259201691</v>
      </c>
      <c r="AD727" s="752" t="e">
        <f>_xlfn.XLOOKUP(Table1[[#This Row],[Ruta]],#REF!,#REF!)</f>
        <v>#REF!</v>
      </c>
      <c r="AE727" s="752" t="e">
        <f>_xlfn.XLOOKUP(Table1[[#This Row],[Ruta]],#REF!,#REF!)</f>
        <v>#REF!</v>
      </c>
      <c r="AF727" s="752" t="e">
        <f>_xlfn.XLOOKUP(Table1[[#This Row],[Ruta]],#REF!,#REF!)</f>
        <v>#REF!</v>
      </c>
      <c r="AG727" s="752" t="e">
        <f>_xlfn.XLOOKUP(Table1[[#This Row],[Ruta]],#REF!,#REF!)</f>
        <v>#REF!</v>
      </c>
      <c r="AH727" s="52">
        <v>0.60258677140592309</v>
      </c>
      <c r="AI727" s="52">
        <v>0.39741322859407685</v>
      </c>
      <c r="AJ727" s="55">
        <v>0</v>
      </c>
      <c r="AK727" s="56">
        <v>19405</v>
      </c>
      <c r="AL727" s="44">
        <v>9926</v>
      </c>
      <c r="AM727" s="54">
        <v>0.51151765009018302</v>
      </c>
      <c r="AN727" s="55">
        <v>0.62538735712289495</v>
      </c>
      <c r="AO727" s="56">
        <v>2209.6416649697799</v>
      </c>
      <c r="AP727" s="48">
        <v>1104.8208324848899</v>
      </c>
      <c r="AQ727" s="55">
        <v>0.56845250360653898</v>
      </c>
      <c r="AR727" s="51">
        <v>5515832.2300000004</v>
      </c>
      <c r="AS727" s="49">
        <v>613943.81988672004</v>
      </c>
      <c r="AT727" s="55">
        <v>0.11130574576716594</v>
      </c>
      <c r="AU727" s="51">
        <v>431419.98154201964</v>
      </c>
      <c r="AV727" s="52">
        <v>1.9625703224367486E-3</v>
      </c>
      <c r="AW727" s="44">
        <v>173</v>
      </c>
      <c r="AX727" s="51">
        <v>555.69536872859203</v>
      </c>
      <c r="AY727" s="49">
        <v>327.331066067118</v>
      </c>
      <c r="AZ727" s="49">
        <v>0</v>
      </c>
      <c r="BA727" s="42" t="s">
        <v>152</v>
      </c>
      <c r="BB727" s="50">
        <v>0</v>
      </c>
      <c r="BC727" s="57">
        <v>431419.98154201964</v>
      </c>
      <c r="BD727" s="42" t="s">
        <v>150</v>
      </c>
      <c r="BE727" s="46">
        <v>44.815242494226297</v>
      </c>
      <c r="BF727" s="46">
        <v>77.052752293577996</v>
      </c>
      <c r="BG727" s="42" t="s">
        <v>152</v>
      </c>
      <c r="BH727" s="52">
        <v>0.51151765009018302</v>
      </c>
      <c r="BI727" s="52">
        <v>0.58451671985922604</v>
      </c>
      <c r="BJ727" s="42" t="s">
        <v>152</v>
      </c>
      <c r="BK727" s="46">
        <v>553.76929238568198</v>
      </c>
      <c r="BL727" s="46">
        <v>592.94411248383199</v>
      </c>
      <c r="BM727" s="42" t="s">
        <v>152</v>
      </c>
      <c r="BN727" s="48">
        <v>0</v>
      </c>
      <c r="BO727" s="42" t="s">
        <v>155</v>
      </c>
      <c r="BP727" s="42" t="s">
        <v>152</v>
      </c>
      <c r="BQ727" s="46">
        <v>3701.3562233902398</v>
      </c>
      <c r="BR727" s="46">
        <v>384</v>
      </c>
      <c r="BS727" s="46">
        <v>22861</v>
      </c>
      <c r="BT727" s="46">
        <v>7032</v>
      </c>
      <c r="BU727" s="46">
        <v>3.250995449374289</v>
      </c>
      <c r="BV727" s="46">
        <v>18.3125</v>
      </c>
      <c r="BW727" s="46">
        <v>104</v>
      </c>
      <c r="BX727" s="46">
        <v>3378</v>
      </c>
      <c r="BY727" s="46">
        <v>3482</v>
      </c>
      <c r="BZ727" s="46">
        <v>0.49516496018202505</v>
      </c>
      <c r="CA727" s="46">
        <v>1.4789533560864619E-2</v>
      </c>
      <c r="CB727" s="46">
        <v>0.4803754266211604</v>
      </c>
      <c r="CC727" s="46">
        <v>7.7645051194539252E-2</v>
      </c>
      <c r="CD727" s="46">
        <v>0</v>
      </c>
      <c r="CE727" s="46">
        <v>0</v>
      </c>
      <c r="CF727" s="46">
        <v>0.42718998862343571</v>
      </c>
      <c r="CG727" s="46">
        <v>0</v>
      </c>
      <c r="CH727" s="46">
        <v>0</v>
      </c>
      <c r="CI727" s="46">
        <v>9.4046629631249736</v>
      </c>
      <c r="CJ727" s="46">
        <v>1.137308079261625</v>
      </c>
      <c r="CK727">
        <v>325</v>
      </c>
      <c r="CL727">
        <v>367.65</v>
      </c>
      <c r="CM727">
        <f t="shared" si="84"/>
        <v>42.649999999999977</v>
      </c>
      <c r="CN727">
        <v>7.92</v>
      </c>
      <c r="CO727">
        <v>9.4499999999999993</v>
      </c>
      <c r="CP727">
        <f t="shared" si="85"/>
        <v>1.5299999999999994</v>
      </c>
      <c r="CQ727">
        <v>846.56</v>
      </c>
      <c r="CR727">
        <v>553.77</v>
      </c>
      <c r="CS727">
        <f t="shared" si="86"/>
        <v>292.78999999999996</v>
      </c>
      <c r="CT727" t="s">
        <v>152</v>
      </c>
      <c r="CU727">
        <v>87.45</v>
      </c>
      <c r="CV727">
        <v>182</v>
      </c>
      <c r="CW727" s="46">
        <v>3482</v>
      </c>
      <c r="CX727" s="46">
        <f t="shared" si="80"/>
        <v>48.909982935153586</v>
      </c>
      <c r="CY727" s="46">
        <v>42.65</v>
      </c>
      <c r="CZ727" s="46">
        <f t="shared" si="81"/>
        <v>49.516496018202503</v>
      </c>
      <c r="DA727" s="46">
        <f t="shared" si="82"/>
        <v>139.297594934025</v>
      </c>
      <c r="DB727" s="46">
        <v>985481.73</v>
      </c>
      <c r="DC727" s="46">
        <f t="shared" si="83"/>
        <v>6.075380407511326</v>
      </c>
      <c r="DD727" s="46">
        <v>42981.19</v>
      </c>
      <c r="DE727" s="995">
        <v>3482</v>
      </c>
      <c r="DF727" s="995">
        <v>48.927</v>
      </c>
      <c r="DG727" s="995">
        <v>41.5</v>
      </c>
      <c r="DH727" s="995">
        <v>49.515999999999998</v>
      </c>
      <c r="DI727" s="995">
        <v>697.00099999999998</v>
      </c>
      <c r="DJ727" s="995">
        <v>4930209</v>
      </c>
      <c r="DK727" s="995">
        <v>30.295999999999999</v>
      </c>
      <c r="DL727" s="995">
        <v>214296.9</v>
      </c>
      <c r="DM727" s="995">
        <v>3482</v>
      </c>
      <c r="DN727" s="995">
        <v>49.030999999999999</v>
      </c>
      <c r="DO727" s="995">
        <v>34.1</v>
      </c>
      <c r="DP727" s="995">
        <v>49.515999999999998</v>
      </c>
      <c r="DQ727" s="995">
        <v>687.58199999999999</v>
      </c>
      <c r="DR727" s="995">
        <v>4858552</v>
      </c>
      <c r="DS727" s="995">
        <v>29.890999999999998</v>
      </c>
      <c r="DT727" s="995">
        <v>211215.9</v>
      </c>
    </row>
    <row r="728" spans="1:124">
      <c r="A728" s="42" t="s">
        <v>94</v>
      </c>
      <c r="B728" s="42" t="s">
        <v>502</v>
      </c>
      <c r="C728" s="42" t="s">
        <v>931</v>
      </c>
      <c r="D728" s="42">
        <v>916418</v>
      </c>
      <c r="E728" s="42" t="s">
        <v>967</v>
      </c>
      <c r="F728" s="42" t="s">
        <v>149</v>
      </c>
      <c r="G728" s="42" t="s">
        <v>150</v>
      </c>
      <c r="H728" s="43" t="s">
        <v>150</v>
      </c>
      <c r="I728" s="44">
        <v>50</v>
      </c>
      <c r="J728" s="45">
        <v>226500.8872</v>
      </c>
      <c r="K728" s="46">
        <v>8969.9121649999997</v>
      </c>
      <c r="L728" s="47">
        <v>235470.79936500001</v>
      </c>
      <c r="M728" s="48">
        <v>4578415</v>
      </c>
      <c r="N728" s="49">
        <v>3385196</v>
      </c>
      <c r="O728" s="49">
        <v>1193219</v>
      </c>
      <c r="P728" s="49">
        <v>0</v>
      </c>
      <c r="Q728" s="50">
        <v>10500.9495642202</v>
      </c>
      <c r="R728" s="51">
        <v>21461.110189513802</v>
      </c>
      <c r="S728" s="49">
        <v>32979.936003783201</v>
      </c>
      <c r="T728" s="49">
        <v>6632.4105285496998</v>
      </c>
      <c r="U728" s="49">
        <f>IFERROR(INDEX('Rentabilidad datos'!$N$2:$N$61,MATCH($C728,'Rentabilidad datos'!$C$2:$C$61,0)),"")</f>
        <v>61073.456721846684</v>
      </c>
      <c r="V728" s="50">
        <f>IFERROR(INDEX('Rentabilidad datos'!$O$2:$O$61,MATCH($C728,'Rentabilidad datos'!$C$2:$C$61,0)),"")</f>
        <v>1299.4352494009934</v>
      </c>
      <c r="W728" s="51">
        <f>IFERROR(INDEX('Rentabilidad datos'!$M$2:$M$61,MATCH($C728,'Rentabilidad datos'!$C$2:$C$61,0)),"")</f>
        <v>3641.9429094456564</v>
      </c>
      <c r="X728" s="52">
        <f>IFERROR(INDEX('Rentabilidad datos'!$P$2:$P$61,MATCH($C728,'Rentabilidad datos'!$C$2:$C$61,0)),"")</f>
        <v>0.35679725951519148</v>
      </c>
      <c r="Y728" s="43" t="s">
        <v>171</v>
      </c>
      <c r="Z728" s="53">
        <v>92.954128440367001</v>
      </c>
      <c r="AA728" s="43">
        <v>2</v>
      </c>
      <c r="AB728" s="54">
        <v>0.9710797295570629</v>
      </c>
      <c r="AC728" s="55">
        <v>2.8920270442937129E-2</v>
      </c>
      <c r="AD728" s="752" t="e">
        <f>_xlfn.XLOOKUP(Table1[[#This Row],[Ruta]],#REF!,#REF!)</f>
        <v>#REF!</v>
      </c>
      <c r="AE728" s="752" t="e">
        <f>_xlfn.XLOOKUP(Table1[[#This Row],[Ruta]],#REF!,#REF!)</f>
        <v>#REF!</v>
      </c>
      <c r="AF728" s="752" t="e">
        <f>_xlfn.XLOOKUP(Table1[[#This Row],[Ruta]],#REF!,#REF!)</f>
        <v>#REF!</v>
      </c>
      <c r="AG728" s="752" t="e">
        <f>_xlfn.XLOOKUP(Table1[[#This Row],[Ruta]],#REF!,#REF!)</f>
        <v>#REF!</v>
      </c>
      <c r="AH728" s="52">
        <v>0.73938164190008993</v>
      </c>
      <c r="AI728" s="52">
        <v>0.26061835809991013</v>
      </c>
      <c r="AJ728" s="55">
        <v>0</v>
      </c>
      <c r="AK728" s="56">
        <v>40528</v>
      </c>
      <c r="AL728" s="44">
        <v>17859</v>
      </c>
      <c r="AM728" s="54">
        <v>0.440658310303987</v>
      </c>
      <c r="AN728" s="55">
        <v>0.62538735712289495</v>
      </c>
      <c r="AO728" s="56">
        <v>7486.6988094766803</v>
      </c>
      <c r="AP728" s="48">
        <v>3743.3494047383401</v>
      </c>
      <c r="AQ728" s="55">
        <v>0.53302283371344106</v>
      </c>
      <c r="AR728" s="51">
        <v>4578414.01</v>
      </c>
      <c r="AS728" s="49">
        <v>959661.98325657495</v>
      </c>
      <c r="AT728" s="55">
        <v>0.20960576766550978</v>
      </c>
      <c r="AU728" s="51">
        <v>674357.06931543129</v>
      </c>
      <c r="AV728" s="52">
        <v>3.0677141244905052E-3</v>
      </c>
      <c r="AW728" s="44">
        <v>102</v>
      </c>
      <c r="AX728" s="51">
        <v>256.36452264964402</v>
      </c>
      <c r="AY728" s="49">
        <v>327.331066067118</v>
      </c>
      <c r="AZ728" s="49">
        <v>70.966543417473986</v>
      </c>
      <c r="BA728" s="42" t="s">
        <v>150</v>
      </c>
      <c r="BB728" s="50">
        <v>445299.71582715376</v>
      </c>
      <c r="BC728" s="57">
        <v>1119656.7851425852</v>
      </c>
      <c r="BD728" s="42" t="s">
        <v>150</v>
      </c>
      <c r="BE728" s="46">
        <v>92.954128440367001</v>
      </c>
      <c r="BF728" s="46">
        <v>77.052752293577996</v>
      </c>
      <c r="BG728" s="42" t="s">
        <v>150</v>
      </c>
      <c r="BH728" s="52">
        <v>0.440658310303987</v>
      </c>
      <c r="BI728" s="52">
        <v>0.58451671985922604</v>
      </c>
      <c r="BJ728" s="42" t="s">
        <v>152</v>
      </c>
      <c r="BK728" s="46">
        <v>540.07064074541199</v>
      </c>
      <c r="BL728" s="46">
        <v>592.94411248383199</v>
      </c>
      <c r="BM728" s="42" t="s">
        <v>152</v>
      </c>
      <c r="BN728" s="48">
        <v>1</v>
      </c>
      <c r="BO728" s="42" t="s">
        <v>155</v>
      </c>
      <c r="BP728" s="42" t="s">
        <v>152</v>
      </c>
      <c r="BQ728" s="46">
        <v>1524.66660298996</v>
      </c>
      <c r="BR728" s="46">
        <v>226</v>
      </c>
      <c r="BS728" s="46">
        <v>21377</v>
      </c>
      <c r="BT728" s="46">
        <v>6170</v>
      </c>
      <c r="BU728" s="46">
        <v>3.4646677471636953</v>
      </c>
      <c r="BV728" s="46">
        <v>27.300884955752213</v>
      </c>
      <c r="BW728" s="46">
        <v>0</v>
      </c>
      <c r="BX728" s="46">
        <v>3807</v>
      </c>
      <c r="BY728" s="46">
        <v>3807</v>
      </c>
      <c r="BZ728" s="46">
        <v>0.6170178282009724</v>
      </c>
      <c r="CA728" s="46">
        <v>0</v>
      </c>
      <c r="CB728" s="46">
        <v>0.6170178282009724</v>
      </c>
      <c r="CC728" s="46">
        <v>0.23565640194489468</v>
      </c>
      <c r="CD728" s="46">
        <v>0</v>
      </c>
      <c r="CE728" s="46">
        <v>0</v>
      </c>
      <c r="CF728" s="46">
        <v>0.1473257698541329</v>
      </c>
      <c r="CG728" s="46">
        <v>0</v>
      </c>
      <c r="CH728" s="46">
        <v>0</v>
      </c>
      <c r="CI728" s="46">
        <v>4.023015390372831</v>
      </c>
      <c r="CJ728" s="46">
        <v>0.60813023342845118</v>
      </c>
      <c r="CK728">
        <v>284</v>
      </c>
      <c r="CL728">
        <v>381.92</v>
      </c>
      <c r="CM728">
        <f t="shared" si="84"/>
        <v>97.920000000000016</v>
      </c>
      <c r="CN728">
        <v>7.21</v>
      </c>
      <c r="CO728">
        <v>9.4499999999999993</v>
      </c>
      <c r="CP728">
        <f t="shared" si="85"/>
        <v>2.2399999999999993</v>
      </c>
      <c r="CQ728">
        <v>846.56</v>
      </c>
      <c r="CR728">
        <v>540.07000000000005</v>
      </c>
      <c r="CS728">
        <f t="shared" si="86"/>
        <v>306.4899999999999</v>
      </c>
      <c r="CT728" t="s">
        <v>152</v>
      </c>
      <c r="CU728">
        <v>79.010000000000005</v>
      </c>
      <c r="CV728">
        <v>223</v>
      </c>
      <c r="CW728" s="46">
        <v>3807</v>
      </c>
      <c r="CX728" s="46">
        <f t="shared" si="80"/>
        <v>60.114748784440842</v>
      </c>
      <c r="CY728" s="46">
        <v>97.92</v>
      </c>
      <c r="CZ728" s="46">
        <f t="shared" si="81"/>
        <v>61.701782820097236</v>
      </c>
      <c r="DA728" s="46">
        <f t="shared" si="82"/>
        <v>156.90784183588815</v>
      </c>
      <c r="DB728" s="46">
        <v>983485.8</v>
      </c>
      <c r="DC728" s="46">
        <f t="shared" si="83"/>
        <v>7.6659242619561194</v>
      </c>
      <c r="DD728" s="46">
        <v>48049.4</v>
      </c>
      <c r="DE728" s="995">
        <v>3807</v>
      </c>
      <c r="DF728" s="995">
        <v>60.155000000000001</v>
      </c>
      <c r="DG728" s="995">
        <v>95.5</v>
      </c>
      <c r="DH728" s="995">
        <v>61.701999999999998</v>
      </c>
      <c r="DI728" s="995">
        <v>632.08399999999995</v>
      </c>
      <c r="DJ728" s="995">
        <v>3960295</v>
      </c>
      <c r="DK728" s="995">
        <v>31.34</v>
      </c>
      <c r="DL728" s="995">
        <v>196357.2</v>
      </c>
      <c r="DM728" s="995">
        <v>3807</v>
      </c>
      <c r="DN728" s="995">
        <v>60.301000000000002</v>
      </c>
      <c r="DO728" s="995">
        <v>86.4</v>
      </c>
      <c r="DP728" s="995">
        <v>61.701999999999998</v>
      </c>
      <c r="DQ728" s="995">
        <v>620.04700000000003</v>
      </c>
      <c r="DR728" s="995">
        <v>3879283</v>
      </c>
      <c r="DS728" s="995">
        <v>30.780999999999999</v>
      </c>
      <c r="DT728" s="995">
        <v>192577.9</v>
      </c>
    </row>
    <row r="729" spans="1:124">
      <c r="A729" s="42" t="s">
        <v>94</v>
      </c>
      <c r="B729" s="42" t="s">
        <v>502</v>
      </c>
      <c r="C729" s="42" t="s">
        <v>931</v>
      </c>
      <c r="D729" s="42">
        <v>916419</v>
      </c>
      <c r="E729" s="42" t="s">
        <v>968</v>
      </c>
      <c r="F729" s="42" t="s">
        <v>149</v>
      </c>
      <c r="G729" s="42" t="s">
        <v>150</v>
      </c>
      <c r="H729" s="43" t="s">
        <v>150</v>
      </c>
      <c r="I729" s="44">
        <v>50</v>
      </c>
      <c r="J729" s="45">
        <v>213052.364</v>
      </c>
      <c r="K729" s="46">
        <v>14984.292018</v>
      </c>
      <c r="L729" s="47">
        <v>228036.65601800001</v>
      </c>
      <c r="M729" s="48">
        <v>4951337</v>
      </c>
      <c r="N729" s="49">
        <v>3155025</v>
      </c>
      <c r="O729" s="49">
        <v>1796312</v>
      </c>
      <c r="P729" s="49">
        <v>0</v>
      </c>
      <c r="Q729" s="50">
        <v>11356.280160550499</v>
      </c>
      <c r="R729" s="51">
        <v>21461.110189513802</v>
      </c>
      <c r="S729" s="49">
        <v>32979.936003783201</v>
      </c>
      <c r="T729" s="49">
        <v>6632.4105285496998</v>
      </c>
      <c r="U729" s="49">
        <f>IFERROR(INDEX('Rentabilidad datos'!$N$2:$N$61,MATCH($C729,'Rentabilidad datos'!$C$2:$C$61,0)),"")</f>
        <v>61073.456721846684</v>
      </c>
      <c r="V729" s="50">
        <f>IFERROR(INDEX('Rentabilidad datos'!$O$2:$O$61,MATCH($C729,'Rentabilidad datos'!$C$2:$C$61,0)),"")</f>
        <v>1299.4352494009934</v>
      </c>
      <c r="W729" s="51">
        <f>IFERROR(INDEX('Rentabilidad datos'!$M$2:$M$61,MATCH($C729,'Rentabilidad datos'!$C$2:$C$61,0)),"")</f>
        <v>3641.9429094456564</v>
      </c>
      <c r="X729" s="52">
        <f>IFERROR(INDEX('Rentabilidad datos'!$P$2:$P$61,MATCH($C729,'Rentabilidad datos'!$C$2:$C$61,0)),"")</f>
        <v>0.35679725951519148</v>
      </c>
      <c r="Y729" s="43" t="s">
        <v>171</v>
      </c>
      <c r="Z729" s="53">
        <v>70.4915662650602</v>
      </c>
      <c r="AA729" s="43">
        <v>2</v>
      </c>
      <c r="AB729" s="54">
        <v>0.9493361086106642</v>
      </c>
      <c r="AC729" s="55">
        <v>5.0663891389335851E-2</v>
      </c>
      <c r="AD729" s="752" t="e">
        <f>_xlfn.XLOOKUP(Table1[[#This Row],[Ruta]],#REF!,#REF!)</f>
        <v>#REF!</v>
      </c>
      <c r="AE729" s="752" t="e">
        <f>_xlfn.XLOOKUP(Table1[[#This Row],[Ruta]],#REF!,#REF!)</f>
        <v>#REF!</v>
      </c>
      <c r="AF729" s="752" t="e">
        <f>_xlfn.XLOOKUP(Table1[[#This Row],[Ruta]],#REF!,#REF!)</f>
        <v>#REF!</v>
      </c>
      <c r="AG729" s="752" t="e">
        <f>_xlfn.XLOOKUP(Table1[[#This Row],[Ruta]],#REF!,#REF!)</f>
        <v>#REF!</v>
      </c>
      <c r="AH729" s="52">
        <v>0.63720667771149486</v>
      </c>
      <c r="AI729" s="52">
        <v>0.36279332228850508</v>
      </c>
      <c r="AJ729" s="55">
        <v>0</v>
      </c>
      <c r="AK729" s="56">
        <v>29254</v>
      </c>
      <c r="AL729" s="44">
        <v>17561</v>
      </c>
      <c r="AM729" s="54">
        <v>0.59906337594858805</v>
      </c>
      <c r="AN729" s="55">
        <v>0.62538735712289495</v>
      </c>
      <c r="AO729" s="56">
        <v>770.08174527316396</v>
      </c>
      <c r="AP729" s="48">
        <v>385.04087263658198</v>
      </c>
      <c r="AQ729" s="55">
        <v>0.61345596747920228</v>
      </c>
      <c r="AR729" s="51">
        <v>4951338.1500000004</v>
      </c>
      <c r="AS729" s="49">
        <v>108562.58538778</v>
      </c>
      <c r="AT729" s="55">
        <v>2.1925908128044132E-2</v>
      </c>
      <c r="AU729" s="51">
        <v>76287.222164385967</v>
      </c>
      <c r="AV729" s="52">
        <v>3.4703779288530805E-4</v>
      </c>
      <c r="AW729" s="44">
        <v>411</v>
      </c>
      <c r="AX729" s="51">
        <v>281.95080860998797</v>
      </c>
      <c r="AY729" s="49">
        <v>327.331066067118</v>
      </c>
      <c r="AZ729" s="49">
        <v>45.380257457130028</v>
      </c>
      <c r="BA729" s="42" t="s">
        <v>150</v>
      </c>
      <c r="BB729" s="50">
        <v>279999.86799082678</v>
      </c>
      <c r="BC729" s="57">
        <v>356287.09015521273</v>
      </c>
      <c r="BD729" s="42" t="s">
        <v>150</v>
      </c>
      <c r="BE729" s="46">
        <v>70.4915662650602</v>
      </c>
      <c r="BF729" s="46">
        <v>77.052752293577996</v>
      </c>
      <c r="BG729" s="42" t="s">
        <v>152</v>
      </c>
      <c r="BH729" s="52">
        <v>0.59906337594858805</v>
      </c>
      <c r="BI729" s="52">
        <v>0.58451671985922604</v>
      </c>
      <c r="BJ729" s="42" t="s">
        <v>150</v>
      </c>
      <c r="BK729" s="46">
        <v>523.01985325229305</v>
      </c>
      <c r="BL729" s="46">
        <v>592.94411248383199</v>
      </c>
      <c r="BM729" s="42" t="s">
        <v>152</v>
      </c>
      <c r="BN729" s="48">
        <v>1</v>
      </c>
      <c r="BO729" s="42" t="s">
        <v>155</v>
      </c>
      <c r="BP729" s="42" t="s">
        <v>152</v>
      </c>
      <c r="BQ729" s="46">
        <v>216.02964846643599</v>
      </c>
      <c r="BR729" s="46">
        <v>246</v>
      </c>
      <c r="BS729" s="46">
        <v>22925</v>
      </c>
      <c r="BT729" s="46">
        <v>6841</v>
      </c>
      <c r="BU729" s="46">
        <v>3.3511182575646834</v>
      </c>
      <c r="BV729" s="46">
        <v>27.808943089430894</v>
      </c>
      <c r="BW729" s="46">
        <v>0</v>
      </c>
      <c r="BX729" s="46">
        <v>6761</v>
      </c>
      <c r="BY729" s="46">
        <v>6761</v>
      </c>
      <c r="BZ729" s="46">
        <v>0.98830580324513961</v>
      </c>
      <c r="CA729" s="46">
        <v>0</v>
      </c>
      <c r="CB729" s="46">
        <v>0.98830580324513961</v>
      </c>
      <c r="CC729" s="46">
        <v>1.16941967548604E-2</v>
      </c>
      <c r="CD729" s="46">
        <v>0</v>
      </c>
      <c r="CE729" s="46">
        <v>0</v>
      </c>
      <c r="CF729" s="46">
        <v>0</v>
      </c>
      <c r="CG729" s="46">
        <v>0</v>
      </c>
      <c r="CH729" s="46">
        <v>0</v>
      </c>
      <c r="CI729" s="46">
        <v>3.3587786259541978</v>
      </c>
      <c r="CJ729" s="46">
        <v>0.34896401308615049</v>
      </c>
      <c r="CK729">
        <v>401</v>
      </c>
      <c r="CL729">
        <v>457.7</v>
      </c>
      <c r="CM729">
        <f t="shared" si="84"/>
        <v>56.699999999999989</v>
      </c>
      <c r="CN729">
        <v>9.7799999999999994</v>
      </c>
      <c r="CO729">
        <v>9.4499999999999993</v>
      </c>
      <c r="CP729">
        <f t="shared" si="85"/>
        <v>-0.33000000000000007</v>
      </c>
      <c r="CQ729">
        <v>846.56</v>
      </c>
      <c r="CR729">
        <v>523.02</v>
      </c>
      <c r="CS729">
        <f t="shared" si="86"/>
        <v>323.53999999999996</v>
      </c>
      <c r="CT729" t="s">
        <v>150</v>
      </c>
      <c r="CU729">
        <v>103.44</v>
      </c>
      <c r="CV729">
        <v>405</v>
      </c>
      <c r="CW729" s="46">
        <v>6761</v>
      </c>
      <c r="CX729" s="46">
        <f t="shared" si="80"/>
        <v>98.00175412951323</v>
      </c>
      <c r="CY729" s="46">
        <v>56.7</v>
      </c>
      <c r="CZ729" s="46">
        <f t="shared" si="81"/>
        <v>98.83058032451396</v>
      </c>
      <c r="DA729" s="46">
        <f t="shared" si="82"/>
        <v>292.51552256549286</v>
      </c>
      <c r="DB729" s="46">
        <v>2017684.32</v>
      </c>
      <c r="DC729" s="46">
        <f t="shared" si="83"/>
        <v>12.893193383301682</v>
      </c>
      <c r="DD729" s="46">
        <v>88933.38</v>
      </c>
      <c r="DE729" s="995">
        <v>6761</v>
      </c>
      <c r="DF729" s="995">
        <v>97.911000000000001</v>
      </c>
      <c r="DG729" s="995">
        <v>62.9</v>
      </c>
      <c r="DH729" s="995">
        <v>98.831000000000003</v>
      </c>
      <c r="DI729" s="995">
        <v>776.18</v>
      </c>
      <c r="DJ729" s="995">
        <v>5358665</v>
      </c>
      <c r="DK729" s="995">
        <v>34.128</v>
      </c>
      <c r="DL729" s="995">
        <v>235617.5</v>
      </c>
      <c r="DM729" s="995">
        <v>6761</v>
      </c>
      <c r="DN729" s="995">
        <v>97.956000000000003</v>
      </c>
      <c r="DO729" s="995">
        <v>59.8</v>
      </c>
      <c r="DP729" s="995">
        <v>98.831000000000003</v>
      </c>
      <c r="DQ729" s="995">
        <v>772.14499999999998</v>
      </c>
      <c r="DR729" s="995">
        <v>5328445</v>
      </c>
      <c r="DS729" s="995">
        <v>33.954999999999998</v>
      </c>
      <c r="DT729" s="995">
        <v>234315.7</v>
      </c>
    </row>
    <row r="730" spans="1:124">
      <c r="A730" s="42" t="s">
        <v>94</v>
      </c>
      <c r="B730" s="42" t="s">
        <v>502</v>
      </c>
      <c r="C730" s="42" t="s">
        <v>931</v>
      </c>
      <c r="D730" s="42">
        <v>916420</v>
      </c>
      <c r="E730" s="42" t="s">
        <v>969</v>
      </c>
      <c r="F730" s="42" t="s">
        <v>193</v>
      </c>
      <c r="G730" s="42" t="s">
        <v>150</v>
      </c>
      <c r="H730" s="43" t="s">
        <v>152</v>
      </c>
      <c r="I730" s="44">
        <v>50</v>
      </c>
      <c r="J730" s="45">
        <v>31.701599999999999</v>
      </c>
      <c r="K730" s="46">
        <v>0</v>
      </c>
      <c r="L730" s="47">
        <v>31.701599999999999</v>
      </c>
      <c r="M730" s="48">
        <v>464</v>
      </c>
      <c r="N730" s="49">
        <v>464</v>
      </c>
      <c r="O730" s="49">
        <v>0</v>
      </c>
      <c r="P730" s="49">
        <v>0</v>
      </c>
      <c r="Q730" s="50">
        <v>0</v>
      </c>
      <c r="R730" s="51">
        <v>21461.110189513802</v>
      </c>
      <c r="S730" s="49">
        <v>32979.936003783201</v>
      </c>
      <c r="T730" s="49">
        <v>6632.4105285496998</v>
      </c>
      <c r="U730" s="49">
        <f>IFERROR(INDEX('Rentabilidad datos'!$N$2:$N$61,MATCH($C730,'Rentabilidad datos'!$C$2:$C$61,0)),"")</f>
        <v>61073.456721846684</v>
      </c>
      <c r="V730" s="50">
        <f>IFERROR(INDEX('Rentabilidad datos'!$O$2:$O$61,MATCH($C730,'Rentabilidad datos'!$C$2:$C$61,0)),"")</f>
        <v>1299.4352494009934</v>
      </c>
      <c r="W730" s="51">
        <f>IFERROR(INDEX('Rentabilidad datos'!$M$2:$M$61,MATCH($C730,'Rentabilidad datos'!$C$2:$C$61,0)),"")</f>
        <v>3641.9429094456564</v>
      </c>
      <c r="X730" s="52">
        <f>IFERROR(INDEX('Rentabilidad datos'!$P$2:$P$61,MATCH($C730,'Rentabilidad datos'!$C$2:$C$61,0)),"")</f>
        <v>0.35679725951519148</v>
      </c>
      <c r="Y730" s="43" t="s">
        <v>171</v>
      </c>
      <c r="Z730" s="53">
        <v>0</v>
      </c>
      <c r="AA730" s="43">
        <v>2</v>
      </c>
      <c r="AB730" s="54">
        <v>1</v>
      </c>
      <c r="AC730" s="55">
        <v>0</v>
      </c>
      <c r="AD730" s="752" t="e">
        <f>_xlfn.XLOOKUP(Table1[[#This Row],[Ruta]],#REF!,#REF!)</f>
        <v>#REF!</v>
      </c>
      <c r="AE730" s="752" t="e">
        <f>_xlfn.XLOOKUP(Table1[[#This Row],[Ruta]],#REF!,#REF!)</f>
        <v>#REF!</v>
      </c>
      <c r="AF730" s="752" t="e">
        <f>_xlfn.XLOOKUP(Table1[[#This Row],[Ruta]],#REF!,#REF!)</f>
        <v>#REF!</v>
      </c>
      <c r="AG730" s="752" t="e">
        <f>_xlfn.XLOOKUP(Table1[[#This Row],[Ruta]],#REF!,#REF!)</f>
        <v>#REF!</v>
      </c>
      <c r="AH730" s="52">
        <v>1</v>
      </c>
      <c r="AI730" s="52">
        <v>0</v>
      </c>
      <c r="AJ730" s="55">
        <v>0</v>
      </c>
      <c r="AK730" s="56">
        <v>0</v>
      </c>
      <c r="AL730" s="44">
        <v>5</v>
      </c>
      <c r="AM730" s="54">
        <v>0</v>
      </c>
      <c r="AN730" s="55">
        <v>0.62538735712289495</v>
      </c>
      <c r="AO730" s="56">
        <v>0</v>
      </c>
      <c r="AP730" s="48">
        <v>0</v>
      </c>
      <c r="AQ730" s="55" t="s">
        <v>194</v>
      </c>
      <c r="AR730" s="51">
        <v>464</v>
      </c>
      <c r="AS730" s="49">
        <v>0</v>
      </c>
      <c r="AT730" s="55">
        <v>0</v>
      </c>
      <c r="AU730" s="51">
        <v>0</v>
      </c>
      <c r="AV730" s="52">
        <v>0</v>
      </c>
      <c r="AW730" s="44">
        <v>490</v>
      </c>
      <c r="AX730" s="51">
        <v>92.8</v>
      </c>
      <c r="AY730" s="49">
        <v>327.331066067118</v>
      </c>
      <c r="AZ730" s="49">
        <v>234.53106606711799</v>
      </c>
      <c r="BA730" s="42" t="s">
        <v>150</v>
      </c>
      <c r="BB730" s="50">
        <v>412.014034982775</v>
      </c>
      <c r="BC730" s="57">
        <v>412.014034982775</v>
      </c>
      <c r="BD730" s="42" t="s">
        <v>152</v>
      </c>
      <c r="BE730" s="46" t="s">
        <v>195</v>
      </c>
      <c r="BF730" s="46" t="s">
        <v>195</v>
      </c>
      <c r="BG730" s="42" t="s">
        <v>195</v>
      </c>
      <c r="BH730" s="52" t="s">
        <v>195</v>
      </c>
      <c r="BI730" s="52" t="s">
        <v>195</v>
      </c>
      <c r="BJ730" s="42" t="s">
        <v>195</v>
      </c>
      <c r="BK730" s="46" t="s">
        <v>195</v>
      </c>
      <c r="BL730" s="46" t="s">
        <v>195</v>
      </c>
      <c r="BM730" s="42" t="s">
        <v>195</v>
      </c>
      <c r="BN730" s="48" t="s">
        <v>195</v>
      </c>
      <c r="BO730" s="42" t="s">
        <v>195</v>
      </c>
      <c r="BP730" s="42" t="s">
        <v>152</v>
      </c>
      <c r="BQ730" s="46">
        <v>0</v>
      </c>
      <c r="BR730" s="46" t="e">
        <v>#N/A</v>
      </c>
      <c r="BS730" s="46" t="e">
        <v>#N/A</v>
      </c>
      <c r="BT730" s="46" t="e">
        <v>#N/A</v>
      </c>
      <c r="BU730" s="46" t="e">
        <v>#N/A</v>
      </c>
      <c r="BV730" s="46" t="e">
        <v>#N/A</v>
      </c>
      <c r="BW730" s="46" t="e">
        <v>#N/A</v>
      </c>
      <c r="BX730" s="46" t="e">
        <v>#N/A</v>
      </c>
      <c r="BY730" s="46" t="e">
        <v>#N/A</v>
      </c>
      <c r="BZ730" s="46" t="e">
        <v>#N/A</v>
      </c>
      <c r="CA730" s="46" t="e">
        <v>#N/A</v>
      </c>
      <c r="CB730" s="46" t="e">
        <v>#N/A</v>
      </c>
      <c r="CC730" s="46" t="e">
        <v>#N/A</v>
      </c>
      <c r="CD730" s="46" t="e">
        <v>#N/A</v>
      </c>
      <c r="CE730" s="46" t="e">
        <v>#N/A</v>
      </c>
      <c r="CF730" s="46" t="e">
        <v>#N/A</v>
      </c>
      <c r="CG730" s="46" t="e">
        <v>#N/A</v>
      </c>
      <c r="CH730" s="46" t="e">
        <v>#N/A</v>
      </c>
      <c r="CI730" s="46" t="e">
        <v>#N/A</v>
      </c>
      <c r="CJ730" s="46" t="e">
        <v>#N/A</v>
      </c>
      <c r="CM730">
        <f t="shared" si="84"/>
        <v>0</v>
      </c>
      <c r="CP730">
        <f t="shared" si="85"/>
        <v>0</v>
      </c>
      <c r="CS730">
        <f t="shared" si="86"/>
        <v>0</v>
      </c>
      <c r="CW730" s="46"/>
      <c r="CX730" s="46" t="e">
        <f t="shared" si="80"/>
        <v>#N/A</v>
      </c>
      <c r="CY730" s="46"/>
      <c r="CZ730" s="46" t="e">
        <f t="shared" si="81"/>
        <v>#N/A</v>
      </c>
      <c r="DA730" s="46" t="e">
        <f t="shared" si="82"/>
        <v>#N/A</v>
      </c>
      <c r="DB730" s="46"/>
      <c r="DC730" s="46" t="e">
        <f t="shared" si="83"/>
        <v>#N/A</v>
      </c>
      <c r="DD730" s="46"/>
      <c r="DE730" s="995" t="s">
        <v>194</v>
      </c>
      <c r="DF730" s="995" t="s">
        <v>194</v>
      </c>
      <c r="DG730" s="995" t="s">
        <v>194</v>
      </c>
      <c r="DH730" s="995" t="s">
        <v>194</v>
      </c>
      <c r="DI730" s="995" t="s">
        <v>194</v>
      </c>
      <c r="DJ730" s="995" t="s">
        <v>194</v>
      </c>
      <c r="DK730" s="995" t="s">
        <v>194</v>
      </c>
      <c r="DL730" s="995" t="s">
        <v>194</v>
      </c>
      <c r="DM730" s="995" t="s">
        <v>194</v>
      </c>
      <c r="DN730" s="995" t="s">
        <v>194</v>
      </c>
      <c r="DO730" s="995" t="s">
        <v>194</v>
      </c>
      <c r="DP730" s="995" t="s">
        <v>194</v>
      </c>
      <c r="DQ730" s="995" t="s">
        <v>194</v>
      </c>
      <c r="DR730" s="995" t="s">
        <v>194</v>
      </c>
      <c r="DS730" s="995" t="s">
        <v>194</v>
      </c>
      <c r="DT730" s="995" t="s">
        <v>194</v>
      </c>
    </row>
    <row r="731" spans="1:124">
      <c r="A731" s="42" t="s">
        <v>94</v>
      </c>
      <c r="B731" s="42" t="s">
        <v>502</v>
      </c>
      <c r="C731" s="42" t="s">
        <v>931</v>
      </c>
      <c r="D731" s="42">
        <v>916421</v>
      </c>
      <c r="E731" s="42" t="s">
        <v>970</v>
      </c>
      <c r="F731" s="42" t="s">
        <v>149</v>
      </c>
      <c r="G731" s="42" t="s">
        <v>150</v>
      </c>
      <c r="H731" s="43" t="s">
        <v>150</v>
      </c>
      <c r="I731" s="44">
        <v>50</v>
      </c>
      <c r="J731" s="45">
        <v>214144.30799999999</v>
      </c>
      <c r="K731" s="46">
        <v>15215.256916</v>
      </c>
      <c r="L731" s="47">
        <v>229359.564916</v>
      </c>
      <c r="M731" s="48">
        <v>5156752</v>
      </c>
      <c r="N731" s="49">
        <v>3195172</v>
      </c>
      <c r="O731" s="49">
        <v>1961580</v>
      </c>
      <c r="P731" s="49">
        <v>0</v>
      </c>
      <c r="Q731" s="50">
        <v>11804.996995412799</v>
      </c>
      <c r="R731" s="51">
        <v>21461.110189513802</v>
      </c>
      <c r="S731" s="49">
        <v>32979.936003783201</v>
      </c>
      <c r="T731" s="49">
        <v>6632.4105285496998</v>
      </c>
      <c r="U731" s="49">
        <f>IFERROR(INDEX('Rentabilidad datos'!$N$2:$N$61,MATCH($C731,'Rentabilidad datos'!$C$2:$C$61,0)),"")</f>
        <v>61073.456721846684</v>
      </c>
      <c r="V731" s="50">
        <f>IFERROR(INDEX('Rentabilidad datos'!$O$2:$O$61,MATCH($C731,'Rentabilidad datos'!$C$2:$C$61,0)),"")</f>
        <v>1299.4352494009934</v>
      </c>
      <c r="W731" s="51">
        <f>IFERROR(INDEX('Rentabilidad datos'!$M$2:$M$61,MATCH($C731,'Rentabilidad datos'!$C$2:$C$61,0)),"")</f>
        <v>3641.9429094456564</v>
      </c>
      <c r="X731" s="52">
        <f>IFERROR(INDEX('Rentabilidad datos'!$P$2:$P$61,MATCH($C731,'Rentabilidad datos'!$C$2:$C$61,0)),"")</f>
        <v>0.35679725951519148</v>
      </c>
      <c r="Y731" s="43" t="s">
        <v>171</v>
      </c>
      <c r="Z731" s="53">
        <v>86.603211009174302</v>
      </c>
      <c r="AA731" s="43">
        <v>2</v>
      </c>
      <c r="AB731" s="54">
        <v>0.98478169979863295</v>
      </c>
      <c r="AC731" s="55">
        <v>1.5218300201367062E-2</v>
      </c>
      <c r="AD731" s="752" t="e">
        <f>_xlfn.XLOOKUP(Table1[[#This Row],[Ruta]],#REF!,#REF!)</f>
        <v>#REF!</v>
      </c>
      <c r="AE731" s="752" t="e">
        <f>_xlfn.XLOOKUP(Table1[[#This Row],[Ruta]],#REF!,#REF!)</f>
        <v>#REF!</v>
      </c>
      <c r="AF731" s="752" t="e">
        <f>_xlfn.XLOOKUP(Table1[[#This Row],[Ruta]],#REF!,#REF!)</f>
        <v>#REF!</v>
      </c>
      <c r="AG731" s="752" t="e">
        <f>_xlfn.XLOOKUP(Table1[[#This Row],[Ruta]],#REF!,#REF!)</f>
        <v>#REF!</v>
      </c>
      <c r="AH731" s="52">
        <v>0.61960939754325983</v>
      </c>
      <c r="AI731" s="52">
        <v>0.38039060245674022</v>
      </c>
      <c r="AJ731" s="55">
        <v>0</v>
      </c>
      <c r="AK731" s="56">
        <v>37759</v>
      </c>
      <c r="AL731" s="44">
        <v>13903</v>
      </c>
      <c r="AM731" s="54">
        <v>0.36820360708705202</v>
      </c>
      <c r="AN731" s="55">
        <v>0.62538735712289495</v>
      </c>
      <c r="AO731" s="56">
        <v>9711.0012176033797</v>
      </c>
      <c r="AP731" s="48">
        <v>4855.5006088016899</v>
      </c>
      <c r="AQ731" s="55">
        <v>0.49679548210497337</v>
      </c>
      <c r="AR731" s="51">
        <v>5146978.6900000004</v>
      </c>
      <c r="AS731" s="49">
        <v>1797537.090036995</v>
      </c>
      <c r="AT731" s="55">
        <v>0.34924121475952619</v>
      </c>
      <c r="AU731" s="51">
        <v>1263134.1713773482</v>
      </c>
      <c r="AV731" s="52">
        <v>5.7461168792884657E-3</v>
      </c>
      <c r="AW731" s="44">
        <v>23</v>
      </c>
      <c r="AX731" s="51">
        <v>370.20633604258097</v>
      </c>
      <c r="AY731" s="49">
        <v>327.331066067118</v>
      </c>
      <c r="AZ731" s="49">
        <v>0</v>
      </c>
      <c r="BA731" s="42" t="s">
        <v>152</v>
      </c>
      <c r="BB731" s="50">
        <v>0</v>
      </c>
      <c r="BC731" s="57">
        <v>1263134.1713773482</v>
      </c>
      <c r="BD731" s="42" t="s">
        <v>150</v>
      </c>
      <c r="BE731" s="46">
        <v>86.603211009174302</v>
      </c>
      <c r="BF731" s="46">
        <v>77.052752293577996</v>
      </c>
      <c r="BG731" s="42" t="s">
        <v>150</v>
      </c>
      <c r="BH731" s="52">
        <v>0.36820360708705202</v>
      </c>
      <c r="BI731" s="52">
        <v>0.58451671985922604</v>
      </c>
      <c r="BJ731" s="42" t="s">
        <v>152</v>
      </c>
      <c r="BK731" s="46">
        <v>526.05404797247695</v>
      </c>
      <c r="BL731" s="46">
        <v>592.94411248383199</v>
      </c>
      <c r="BM731" s="42" t="s">
        <v>152</v>
      </c>
      <c r="BN731" s="48">
        <v>1</v>
      </c>
      <c r="BO731" s="42" t="s">
        <v>155</v>
      </c>
      <c r="BP731" s="42" t="s">
        <v>152</v>
      </c>
      <c r="BQ731" s="46">
        <v>8644.0145502657906</v>
      </c>
      <c r="BR731" s="46">
        <v>673</v>
      </c>
      <c r="BS731" s="46">
        <v>65508</v>
      </c>
      <c r="BT731" s="46">
        <v>17410</v>
      </c>
      <c r="BU731" s="46">
        <v>3.7626651349798967</v>
      </c>
      <c r="BV731" s="46">
        <v>25.86924219910847</v>
      </c>
      <c r="BW731" s="46">
        <v>383</v>
      </c>
      <c r="BX731" s="46">
        <v>5256</v>
      </c>
      <c r="BY731" s="46">
        <v>5639</v>
      </c>
      <c r="BZ731" s="46">
        <v>0.32389431361286619</v>
      </c>
      <c r="CA731" s="46">
        <v>2.199885123492246E-2</v>
      </c>
      <c r="CB731" s="46">
        <v>0.30189546237794368</v>
      </c>
      <c r="CC731" s="46">
        <v>0.2987363584147042</v>
      </c>
      <c r="CD731" s="46">
        <v>8.0987937966685818E-3</v>
      </c>
      <c r="CE731" s="46">
        <v>9.304997128087307E-3</v>
      </c>
      <c r="CF731" s="46">
        <v>0.35990809879379659</v>
      </c>
      <c r="CG731" s="46">
        <v>0</v>
      </c>
      <c r="CH731" s="46">
        <v>5.7438253877082139E-5</v>
      </c>
      <c r="CI731" s="46">
        <v>4.5948586432191494</v>
      </c>
      <c r="CJ731" s="46">
        <v>9.159186664224217E-2</v>
      </c>
      <c r="CK731">
        <v>314</v>
      </c>
      <c r="CL731">
        <v>477.68</v>
      </c>
      <c r="CM731">
        <f t="shared" si="84"/>
        <v>163.68</v>
      </c>
      <c r="CN731">
        <v>9.14</v>
      </c>
      <c r="CO731">
        <v>9.4499999999999993</v>
      </c>
      <c r="CP731">
        <f t="shared" si="85"/>
        <v>0.30999999999999872</v>
      </c>
      <c r="CQ731">
        <v>846.56</v>
      </c>
      <c r="CR731">
        <v>526.04999999999995</v>
      </c>
      <c r="CS731">
        <f t="shared" si="86"/>
        <v>320.51</v>
      </c>
      <c r="CT731" t="s">
        <v>150</v>
      </c>
      <c r="CU731">
        <v>100.28</v>
      </c>
      <c r="CV731">
        <v>128</v>
      </c>
      <c r="CW731" s="46">
        <v>5639</v>
      </c>
      <c r="CX731" s="46">
        <f t="shared" si="80"/>
        <v>31.449282021826537</v>
      </c>
      <c r="CY731" s="46">
        <v>163.68</v>
      </c>
      <c r="CZ731" s="46">
        <f t="shared" si="81"/>
        <v>32.389431361286618</v>
      </c>
      <c r="DA731" s="46">
        <f t="shared" si="82"/>
        <v>80.562528736155443</v>
      </c>
      <c r="DB731" s="46">
        <v>1415780.1</v>
      </c>
      <c r="DC731" s="46">
        <f t="shared" si="83"/>
        <v>3.9939113492450073</v>
      </c>
      <c r="DD731" s="46">
        <v>70187.72</v>
      </c>
      <c r="DE731" s="995">
        <v>5639</v>
      </c>
      <c r="DF731" s="995">
        <v>31.463999999999999</v>
      </c>
      <c r="DG731" s="995">
        <v>161.19999999999999</v>
      </c>
      <c r="DH731" s="995">
        <v>32.389000000000003</v>
      </c>
      <c r="DI731" s="995">
        <v>314.13400000000001</v>
      </c>
      <c r="DJ731" s="995">
        <v>5519693</v>
      </c>
      <c r="DK731" s="995">
        <v>14.413</v>
      </c>
      <c r="DL731" s="995">
        <v>253252.7</v>
      </c>
      <c r="DM731" s="995">
        <v>5639</v>
      </c>
      <c r="DN731" s="995">
        <v>31.507000000000001</v>
      </c>
      <c r="DO731" s="995">
        <v>153.6</v>
      </c>
      <c r="DP731" s="995">
        <v>32.389000000000003</v>
      </c>
      <c r="DQ731" s="995">
        <v>310.709</v>
      </c>
      <c r="DR731" s="995">
        <v>5457156</v>
      </c>
      <c r="DS731" s="995">
        <v>14.239000000000001</v>
      </c>
      <c r="DT731" s="995">
        <v>250090.5</v>
      </c>
    </row>
    <row r="732" spans="1:124">
      <c r="A732" s="42" t="s">
        <v>94</v>
      </c>
      <c r="B732" s="42" t="s">
        <v>502</v>
      </c>
      <c r="C732" s="42" t="s">
        <v>931</v>
      </c>
      <c r="D732" s="42">
        <v>916422</v>
      </c>
      <c r="E732" s="42" t="s">
        <v>971</v>
      </c>
      <c r="F732" s="42" t="s">
        <v>149</v>
      </c>
      <c r="G732" s="42" t="s">
        <v>150</v>
      </c>
      <c r="H732" s="43" t="s">
        <v>150</v>
      </c>
      <c r="I732" s="44">
        <v>50</v>
      </c>
      <c r="J732" s="45">
        <v>185820.68960000001</v>
      </c>
      <c r="K732" s="46">
        <v>10896.348459000001</v>
      </c>
      <c r="L732" s="47">
        <v>196717.03805900001</v>
      </c>
      <c r="M732" s="48">
        <v>4058495</v>
      </c>
      <c r="N732" s="49">
        <v>2738429</v>
      </c>
      <c r="O732" s="49">
        <v>1320066</v>
      </c>
      <c r="P732" s="49">
        <v>0</v>
      </c>
      <c r="Q732" s="50">
        <v>9304.6820183486197</v>
      </c>
      <c r="R732" s="51">
        <v>21461.110189513802</v>
      </c>
      <c r="S732" s="49">
        <v>32979.936003783201</v>
      </c>
      <c r="T732" s="49">
        <v>6632.4105285496998</v>
      </c>
      <c r="U732" s="49">
        <f>IFERROR(INDEX('Rentabilidad datos'!$N$2:$N$61,MATCH($C732,'Rentabilidad datos'!$C$2:$C$61,0)),"")</f>
        <v>61073.456721846684</v>
      </c>
      <c r="V732" s="50">
        <f>IFERROR(INDEX('Rentabilidad datos'!$O$2:$O$61,MATCH($C732,'Rentabilidad datos'!$C$2:$C$61,0)),"")</f>
        <v>1299.4352494009934</v>
      </c>
      <c r="W732" s="51">
        <f>IFERROR(INDEX('Rentabilidad datos'!$M$2:$M$61,MATCH($C732,'Rentabilidad datos'!$C$2:$C$61,0)),"")</f>
        <v>3641.9429094456564</v>
      </c>
      <c r="X732" s="52">
        <f>IFERROR(INDEX('Rentabilidad datos'!$P$2:$P$61,MATCH($C732,'Rentabilidad datos'!$C$2:$C$61,0)),"")</f>
        <v>0.35679725951519148</v>
      </c>
      <c r="Y732" s="43" t="s">
        <v>171</v>
      </c>
      <c r="Z732" s="53">
        <v>68.922018348623894</v>
      </c>
      <c r="AA732" s="43">
        <v>2</v>
      </c>
      <c r="AB732" s="54">
        <v>0.93007186161372624</v>
      </c>
      <c r="AC732" s="55">
        <v>6.9928138386273736E-2</v>
      </c>
      <c r="AD732" s="752" t="e">
        <f>_xlfn.XLOOKUP(Table1[[#This Row],[Ruta]],#REF!,#REF!)</f>
        <v>#REF!</v>
      </c>
      <c r="AE732" s="752" t="e">
        <f>_xlfn.XLOOKUP(Table1[[#This Row],[Ruta]],#REF!,#REF!)</f>
        <v>#REF!</v>
      </c>
      <c r="AF732" s="752" t="e">
        <f>_xlfn.XLOOKUP(Table1[[#This Row],[Ruta]],#REF!,#REF!)</f>
        <v>#REF!</v>
      </c>
      <c r="AG732" s="752" t="e">
        <f>_xlfn.XLOOKUP(Table1[[#This Row],[Ruta]],#REF!,#REF!)</f>
        <v>#REF!</v>
      </c>
      <c r="AH732" s="52">
        <v>0.67474002062340843</v>
      </c>
      <c r="AI732" s="52">
        <v>0.32525997937659157</v>
      </c>
      <c r="AJ732" s="55">
        <v>0</v>
      </c>
      <c r="AK732" s="56">
        <v>30050</v>
      </c>
      <c r="AL732" s="44">
        <v>12188</v>
      </c>
      <c r="AM732" s="54">
        <v>0.40559068219633898</v>
      </c>
      <c r="AN732" s="55">
        <v>0.62538735712289495</v>
      </c>
      <c r="AO732" s="56">
        <v>6604.8900815429897</v>
      </c>
      <c r="AP732" s="48">
        <v>3302.4450407714949</v>
      </c>
      <c r="AQ732" s="55">
        <v>0.51548901965961713</v>
      </c>
      <c r="AR732" s="51">
        <v>4056841.36</v>
      </c>
      <c r="AS732" s="49">
        <v>1099236.5958753449</v>
      </c>
      <c r="AT732" s="55">
        <v>0.27095873324347713</v>
      </c>
      <c r="AU732" s="51">
        <v>772436.52683132375</v>
      </c>
      <c r="AV732" s="52">
        <v>3.5138868582460891E-3</v>
      </c>
      <c r="AW732" s="44">
        <v>78</v>
      </c>
      <c r="AX732" s="51">
        <v>332.85537906137199</v>
      </c>
      <c r="AY732" s="49">
        <v>327.331066067118</v>
      </c>
      <c r="AZ732" s="49">
        <v>0</v>
      </c>
      <c r="BA732" s="42" t="s">
        <v>152</v>
      </c>
      <c r="BB732" s="50">
        <v>0</v>
      </c>
      <c r="BC732" s="57">
        <v>772436.52683132375</v>
      </c>
      <c r="BD732" s="42" t="s">
        <v>150</v>
      </c>
      <c r="BE732" s="46">
        <v>68.922018348623894</v>
      </c>
      <c r="BF732" s="46">
        <v>77.052752293577996</v>
      </c>
      <c r="BG732" s="42" t="s">
        <v>152</v>
      </c>
      <c r="BH732" s="52">
        <v>0.40559068219633898</v>
      </c>
      <c r="BI732" s="52">
        <v>0.58451671985922604</v>
      </c>
      <c r="BJ732" s="42" t="s">
        <v>152</v>
      </c>
      <c r="BK732" s="46">
        <v>451.185867107798</v>
      </c>
      <c r="BL732" s="46">
        <v>592.94411248383199</v>
      </c>
      <c r="BM732" s="42" t="s">
        <v>152</v>
      </c>
      <c r="BN732" s="48">
        <v>0</v>
      </c>
      <c r="BO732" s="42" t="s">
        <v>155</v>
      </c>
      <c r="BP732" s="42" t="s">
        <v>152</v>
      </c>
      <c r="BQ732" s="46">
        <v>6382.5860747107699</v>
      </c>
      <c r="BR732" s="46">
        <v>896</v>
      </c>
      <c r="BS732" s="46">
        <v>70510</v>
      </c>
      <c r="BT732" s="46">
        <v>18670</v>
      </c>
      <c r="BU732" s="46">
        <v>3.7766470273165504</v>
      </c>
      <c r="BV732" s="46">
        <v>20.837053571428573</v>
      </c>
      <c r="BW732" s="46">
        <v>15</v>
      </c>
      <c r="BX732" s="46">
        <v>4151</v>
      </c>
      <c r="BY732" s="46">
        <v>4166</v>
      </c>
      <c r="BZ732" s="46">
        <v>0.22313872522763792</v>
      </c>
      <c r="CA732" s="46">
        <v>8.0342795929298338E-4</v>
      </c>
      <c r="CB732" s="46">
        <v>0.22233529726834489</v>
      </c>
      <c r="CC732" s="46">
        <v>0.14552758435993571</v>
      </c>
      <c r="CD732" s="46">
        <v>0.2424745581146224</v>
      </c>
      <c r="CE732" s="46">
        <v>0</v>
      </c>
      <c r="CF732" s="46">
        <v>0.38875200856989822</v>
      </c>
      <c r="CG732" s="46">
        <v>0</v>
      </c>
      <c r="CH732" s="46">
        <v>1.071237279057311E-4</v>
      </c>
      <c r="CI732" s="46">
        <v>4.6518224365338243</v>
      </c>
      <c r="CJ732" s="46">
        <v>0.1985533966813218</v>
      </c>
      <c r="CK732">
        <v>371</v>
      </c>
      <c r="CL732">
        <v>455.98</v>
      </c>
      <c r="CM732">
        <f t="shared" si="84"/>
        <v>84.980000000000018</v>
      </c>
      <c r="CN732">
        <v>10.84</v>
      </c>
      <c r="CO732">
        <v>9.4499999999999993</v>
      </c>
      <c r="CP732">
        <f t="shared" si="85"/>
        <v>-1.3900000000000006</v>
      </c>
      <c r="CQ732">
        <v>846.56</v>
      </c>
      <c r="CR732">
        <v>451.19</v>
      </c>
      <c r="CS732">
        <f t="shared" si="86"/>
        <v>395.36999999999995</v>
      </c>
      <c r="CT732" t="s">
        <v>150</v>
      </c>
      <c r="CU732">
        <v>114.75</v>
      </c>
      <c r="CV732">
        <v>169</v>
      </c>
      <c r="CW732" s="46">
        <v>4166</v>
      </c>
      <c r="CX732" s="46">
        <f t="shared" si="80"/>
        <v>21.858703802892339</v>
      </c>
      <c r="CY732" s="46">
        <v>84.98</v>
      </c>
      <c r="CZ732" s="46">
        <f t="shared" si="81"/>
        <v>22.313872522763791</v>
      </c>
      <c r="DA732" s="46">
        <f t="shared" si="82"/>
        <v>43.946544864350692</v>
      </c>
      <c r="DB732" s="46">
        <v>824216.57</v>
      </c>
      <c r="DC732" s="46">
        <f t="shared" si="83"/>
        <v>1.8901992964002094</v>
      </c>
      <c r="DD732" s="46">
        <v>35450.65</v>
      </c>
      <c r="DE732" s="995">
        <v>4166</v>
      </c>
      <c r="DF732" s="995">
        <v>21.975000000000001</v>
      </c>
      <c r="DG732" s="995">
        <v>63.2</v>
      </c>
      <c r="DH732" s="995">
        <v>22.314</v>
      </c>
      <c r="DI732" s="995">
        <v>249.39</v>
      </c>
      <c r="DJ732" s="995">
        <v>4671867</v>
      </c>
      <c r="DK732" s="995">
        <v>11.363</v>
      </c>
      <c r="DL732" s="995">
        <v>212871.8</v>
      </c>
      <c r="DM732" s="995">
        <v>4166</v>
      </c>
      <c r="DN732" s="995">
        <v>22.029</v>
      </c>
      <c r="DO732" s="995">
        <v>53.2</v>
      </c>
      <c r="DP732" s="995">
        <v>22.314</v>
      </c>
      <c r="DQ732" s="995">
        <v>244.78200000000001</v>
      </c>
      <c r="DR732" s="995">
        <v>4583093</v>
      </c>
      <c r="DS732" s="995">
        <v>11.167</v>
      </c>
      <c r="DT732" s="995">
        <v>209079.3</v>
      </c>
    </row>
    <row r="733" spans="1:124">
      <c r="A733" s="42" t="s">
        <v>94</v>
      </c>
      <c r="B733" s="42" t="s">
        <v>502</v>
      </c>
      <c r="C733" s="42" t="s">
        <v>931</v>
      </c>
      <c r="D733" s="42">
        <v>916424</v>
      </c>
      <c r="E733" s="42" t="s">
        <v>972</v>
      </c>
      <c r="F733" s="42" t="s">
        <v>149</v>
      </c>
      <c r="G733" s="42" t="s">
        <v>150</v>
      </c>
      <c r="H733" s="43" t="s">
        <v>150</v>
      </c>
      <c r="I733" s="44">
        <v>50</v>
      </c>
      <c r="J733" s="45">
        <v>4403</v>
      </c>
      <c r="K733" s="46">
        <v>389.49869999999999</v>
      </c>
      <c r="L733" s="47">
        <v>4792.4987000000001</v>
      </c>
      <c r="M733" s="48">
        <v>113539</v>
      </c>
      <c r="N733" s="49">
        <v>64503</v>
      </c>
      <c r="O733" s="49">
        <v>49036</v>
      </c>
      <c r="P733" s="49">
        <v>0</v>
      </c>
      <c r="Q733" s="50">
        <v>978.77931034482799</v>
      </c>
      <c r="R733" s="51">
        <v>21461.110189513802</v>
      </c>
      <c r="S733" s="49">
        <v>32979.936003783201</v>
      </c>
      <c r="T733" s="49">
        <v>6632.4105285496998</v>
      </c>
      <c r="U733" s="49">
        <f>IFERROR(INDEX('Rentabilidad datos'!$N$2:$N$61,MATCH($C733,'Rentabilidad datos'!$C$2:$C$61,0)),"")</f>
        <v>61073.456721846684</v>
      </c>
      <c r="V733" s="50">
        <f>IFERROR(INDEX('Rentabilidad datos'!$O$2:$O$61,MATCH($C733,'Rentabilidad datos'!$C$2:$C$61,0)),"")</f>
        <v>1299.4352494009934</v>
      </c>
      <c r="W733" s="51">
        <f>IFERROR(INDEX('Rentabilidad datos'!$M$2:$M$61,MATCH($C733,'Rentabilidad datos'!$C$2:$C$61,0)),"")</f>
        <v>3641.9429094456564</v>
      </c>
      <c r="X733" s="52">
        <f>IFERROR(INDEX('Rentabilidad datos'!$P$2:$P$61,MATCH($C733,'Rentabilidad datos'!$C$2:$C$61,0)),"")</f>
        <v>0.35679725951519148</v>
      </c>
      <c r="Y733" s="43" t="s">
        <v>171</v>
      </c>
      <c r="Z733" s="53">
        <v>7.81666666666667</v>
      </c>
      <c r="AA733" s="43">
        <v>2</v>
      </c>
      <c r="AB733" s="54">
        <v>0.84937334308035128</v>
      </c>
      <c r="AC733" s="55">
        <v>0.15062665691964874</v>
      </c>
      <c r="AD733" s="752" t="e">
        <f>_xlfn.XLOOKUP(Table1[[#This Row],[Ruta]],#REF!,#REF!)</f>
        <v>#REF!</v>
      </c>
      <c r="AE733" s="752" t="e">
        <f>_xlfn.XLOOKUP(Table1[[#This Row],[Ruta]],#REF!,#REF!)</f>
        <v>#REF!</v>
      </c>
      <c r="AF733" s="752" t="e">
        <f>_xlfn.XLOOKUP(Table1[[#This Row],[Ruta]],#REF!,#REF!)</f>
        <v>#REF!</v>
      </c>
      <c r="AG733" s="752" t="e">
        <f>_xlfn.XLOOKUP(Table1[[#This Row],[Ruta]],#REF!,#REF!)</f>
        <v>#REF!</v>
      </c>
      <c r="AH733" s="52">
        <v>0.56811315935493534</v>
      </c>
      <c r="AI733" s="52">
        <v>0.43188684064506472</v>
      </c>
      <c r="AJ733" s="55">
        <v>0</v>
      </c>
      <c r="AK733" s="56">
        <v>469</v>
      </c>
      <c r="AL733" s="44">
        <v>103</v>
      </c>
      <c r="AM733" s="54">
        <v>0.10660980810234499</v>
      </c>
      <c r="AN733" s="55">
        <v>0.62538735712289495</v>
      </c>
      <c r="AO733" s="56">
        <v>243.306670490638</v>
      </c>
      <c r="AP733" s="48">
        <v>121.653335245319</v>
      </c>
      <c r="AQ733" s="55">
        <v>0.47900497920110663</v>
      </c>
      <c r="AR733" s="51">
        <v>113538.4</v>
      </c>
      <c r="AS733" s="49">
        <v>134100.24309142851</v>
      </c>
      <c r="AT733" s="55">
        <v>1.1811003421875639</v>
      </c>
      <c r="AU733" s="51">
        <v>94232.603253436289</v>
      </c>
      <c r="AV733" s="52">
        <v>4.2867302967778271E-4</v>
      </c>
      <c r="AW733" s="44">
        <v>396</v>
      </c>
      <c r="AX733" s="51">
        <v>1102.3145631068001</v>
      </c>
      <c r="AY733" s="49">
        <v>327.331066067118</v>
      </c>
      <c r="AZ733" s="49">
        <v>0</v>
      </c>
      <c r="BA733" s="42" t="s">
        <v>152</v>
      </c>
      <c r="BB733" s="50">
        <v>0</v>
      </c>
      <c r="BC733" s="57">
        <v>94232.603253436289</v>
      </c>
      <c r="BD733" s="42" t="s">
        <v>150</v>
      </c>
      <c r="BE733" s="46">
        <v>7.81666666666667</v>
      </c>
      <c r="BF733" s="46">
        <v>77.052752293577996</v>
      </c>
      <c r="BG733" s="42" t="s">
        <v>152</v>
      </c>
      <c r="BH733" s="52">
        <v>0.10660980810234499</v>
      </c>
      <c r="BI733" s="52">
        <v>0.58451671985922604</v>
      </c>
      <c r="BJ733" s="42" t="s">
        <v>152</v>
      </c>
      <c r="BK733" s="46">
        <v>41.314643965517298</v>
      </c>
      <c r="BL733" s="46">
        <v>592.94411248383199</v>
      </c>
      <c r="BM733" s="42" t="s">
        <v>152</v>
      </c>
      <c r="BN733" s="48">
        <v>0</v>
      </c>
      <c r="BO733" s="42" t="s">
        <v>155</v>
      </c>
      <c r="BP733" s="42" t="s">
        <v>152</v>
      </c>
      <c r="BQ733" s="46">
        <v>2586.3480043367399</v>
      </c>
      <c r="BR733" s="46">
        <v>269</v>
      </c>
      <c r="BS733" s="46">
        <v>23387</v>
      </c>
      <c r="BT733" s="46">
        <v>6658</v>
      </c>
      <c r="BU733" s="46">
        <v>3.512616401321718</v>
      </c>
      <c r="BV733" s="46">
        <v>24.750929368029741</v>
      </c>
      <c r="BW733" s="46">
        <v>0</v>
      </c>
      <c r="BX733" s="46">
        <v>1967</v>
      </c>
      <c r="BY733" s="46">
        <v>1967</v>
      </c>
      <c r="BZ733" s="46">
        <v>0.29543406428356866</v>
      </c>
      <c r="CA733" s="46">
        <v>0</v>
      </c>
      <c r="CB733" s="46">
        <v>0.29543406428356872</v>
      </c>
      <c r="CC733" s="46">
        <v>5.4821267647942318E-2</v>
      </c>
      <c r="CD733" s="46">
        <v>0</v>
      </c>
      <c r="CE733" s="46">
        <v>0</v>
      </c>
      <c r="CF733" s="46">
        <v>0.64974466806848907</v>
      </c>
      <c r="CG733" s="46">
        <v>0</v>
      </c>
      <c r="CH733" s="46">
        <v>0</v>
      </c>
      <c r="CI733" s="46">
        <v>5.6014024885620213</v>
      </c>
      <c r="CJ733" s="46">
        <v>0.25655278573566509</v>
      </c>
      <c r="CK733">
        <v>101</v>
      </c>
      <c r="CL733">
        <v>136.6</v>
      </c>
      <c r="CM733">
        <f t="shared" si="84"/>
        <v>35.599999999999994</v>
      </c>
      <c r="CN733">
        <v>6.48</v>
      </c>
      <c r="CO733">
        <v>9.4499999999999993</v>
      </c>
      <c r="CP733">
        <f t="shared" si="85"/>
        <v>2.9699999999999989</v>
      </c>
      <c r="CQ733">
        <v>797.54</v>
      </c>
      <c r="CR733">
        <v>41.31</v>
      </c>
      <c r="CS733">
        <f t="shared" si="86"/>
        <v>756.23</v>
      </c>
      <c r="CT733" t="s">
        <v>152</v>
      </c>
      <c r="CU733">
        <v>68.61</v>
      </c>
      <c r="CV733">
        <v>71</v>
      </c>
      <c r="CW733" s="46">
        <v>1967</v>
      </c>
      <c r="CX733" s="46">
        <f t="shared" si="80"/>
        <v>29.008711324722142</v>
      </c>
      <c r="CY733" s="46">
        <v>35.6</v>
      </c>
      <c r="CZ733" s="46">
        <f t="shared" si="81"/>
        <v>29.543406428356867</v>
      </c>
      <c r="DA733" s="46">
        <f t="shared" si="82"/>
        <v>65.197146528026764</v>
      </c>
      <c r="DB733" s="46">
        <v>436403.62</v>
      </c>
      <c r="DC733" s="46">
        <f t="shared" si="83"/>
        <v>2.9071232221823831</v>
      </c>
      <c r="DD733" s="46">
        <v>19459.12</v>
      </c>
      <c r="DE733" s="995">
        <v>1967</v>
      </c>
      <c r="DF733" s="995">
        <v>29.114000000000001</v>
      </c>
      <c r="DG733" s="995">
        <v>28.6</v>
      </c>
      <c r="DH733" s="995">
        <v>29.542999999999999</v>
      </c>
      <c r="DI733" s="995">
        <v>200.749</v>
      </c>
      <c r="DJ733" s="995">
        <v>1342330</v>
      </c>
      <c r="DK733" s="995">
        <v>9.0649999999999995</v>
      </c>
      <c r="DL733" s="995">
        <v>60616</v>
      </c>
      <c r="DM733" s="995">
        <v>1967</v>
      </c>
      <c r="DN733" s="995">
        <v>29.19</v>
      </c>
      <c r="DO733" s="995">
        <v>23.6</v>
      </c>
      <c r="DP733" s="995">
        <v>29.542999999999999</v>
      </c>
      <c r="DQ733" s="995">
        <v>193.83099999999999</v>
      </c>
      <c r="DR733" s="995">
        <v>1295089</v>
      </c>
      <c r="DS733" s="995">
        <v>8.7569999999999997</v>
      </c>
      <c r="DT733" s="995">
        <v>58509.599999999999</v>
      </c>
    </row>
    <row r="734" spans="1:124">
      <c r="A734" s="42" t="s">
        <v>94</v>
      </c>
      <c r="B734" s="42" t="s">
        <v>502</v>
      </c>
      <c r="C734" s="42" t="s">
        <v>931</v>
      </c>
      <c r="D734" s="42">
        <v>916425</v>
      </c>
      <c r="E734" s="42" t="s">
        <v>973</v>
      </c>
      <c r="F734" s="42" t="s">
        <v>149</v>
      </c>
      <c r="G734" s="42" t="s">
        <v>150</v>
      </c>
      <c r="H734" s="43" t="s">
        <v>150</v>
      </c>
      <c r="I734" s="44">
        <v>50</v>
      </c>
      <c r="J734" s="45">
        <v>278604.228</v>
      </c>
      <c r="K734" s="46">
        <v>18240.494156000001</v>
      </c>
      <c r="L734" s="47">
        <v>296844.72215599997</v>
      </c>
      <c r="M734" s="48">
        <v>6367716</v>
      </c>
      <c r="N734" s="49">
        <v>4138760</v>
      </c>
      <c r="O734" s="49">
        <v>2228956</v>
      </c>
      <c r="P734" s="49">
        <v>0</v>
      </c>
      <c r="Q734" s="50">
        <v>14657.430733945001</v>
      </c>
      <c r="R734" s="51">
        <v>21461.110189513802</v>
      </c>
      <c r="S734" s="49">
        <v>32979.936003783201</v>
      </c>
      <c r="T734" s="49">
        <v>6632.4105285496998</v>
      </c>
      <c r="U734" s="49">
        <f>IFERROR(INDEX('Rentabilidad datos'!$N$2:$N$61,MATCH($C734,'Rentabilidad datos'!$C$2:$C$61,0)),"")</f>
        <v>61073.456721846684</v>
      </c>
      <c r="V734" s="50">
        <f>IFERROR(INDEX('Rentabilidad datos'!$O$2:$O$61,MATCH($C734,'Rentabilidad datos'!$C$2:$C$61,0)),"")</f>
        <v>1299.4352494009934</v>
      </c>
      <c r="W734" s="51">
        <f>IFERROR(INDEX('Rentabilidad datos'!$M$2:$M$61,MATCH($C734,'Rentabilidad datos'!$C$2:$C$61,0)),"")</f>
        <v>3641.9429094456564</v>
      </c>
      <c r="X734" s="52">
        <f>IFERROR(INDEX('Rentabilidad datos'!$P$2:$P$61,MATCH($C734,'Rentabilidad datos'!$C$2:$C$61,0)),"")</f>
        <v>0.35679725951519148</v>
      </c>
      <c r="Y734" s="43" t="s">
        <v>171</v>
      </c>
      <c r="Z734" s="53">
        <v>86.041284403669707</v>
      </c>
      <c r="AA734" s="43">
        <v>2</v>
      </c>
      <c r="AB734" s="54">
        <v>0.9592312219954533</v>
      </c>
      <c r="AC734" s="55">
        <v>4.0768778004546688E-2</v>
      </c>
      <c r="AD734" s="752" t="e">
        <f>_xlfn.XLOOKUP(Table1[[#This Row],[Ruta]],#REF!,#REF!)</f>
        <v>#REF!</v>
      </c>
      <c r="AE734" s="752" t="e">
        <f>_xlfn.XLOOKUP(Table1[[#This Row],[Ruta]],#REF!,#REF!)</f>
        <v>#REF!</v>
      </c>
      <c r="AF734" s="752" t="e">
        <f>_xlfn.XLOOKUP(Table1[[#This Row],[Ruta]],#REF!,#REF!)</f>
        <v>#REF!</v>
      </c>
      <c r="AG734" s="752" t="e">
        <f>_xlfn.XLOOKUP(Table1[[#This Row],[Ruta]],#REF!,#REF!)</f>
        <v>#REF!</v>
      </c>
      <c r="AH734" s="52">
        <v>0.64995989142731869</v>
      </c>
      <c r="AI734" s="52">
        <v>0.35004010857268131</v>
      </c>
      <c r="AJ734" s="55">
        <v>0</v>
      </c>
      <c r="AK734" s="56">
        <v>37514</v>
      </c>
      <c r="AL734" s="44">
        <v>23460</v>
      </c>
      <c r="AM734" s="54">
        <v>0.62536652982886398</v>
      </c>
      <c r="AN734" s="55">
        <v>0.62538735712289495</v>
      </c>
      <c r="AO734" s="56">
        <v>0.78131510827733996</v>
      </c>
      <c r="AP734" s="48">
        <v>0.39065755413866998</v>
      </c>
      <c r="AQ734" s="55">
        <v>0.62537694347587947</v>
      </c>
      <c r="AR734" s="51">
        <v>6390639.7999999998</v>
      </c>
      <c r="AS734" s="49">
        <v>106.417379098433</v>
      </c>
      <c r="AT734" s="55">
        <v>1.6652069656379788E-5</v>
      </c>
      <c r="AU734" s="51">
        <v>74.779779907006997</v>
      </c>
      <c r="AV734" s="52">
        <v>3.4018029540328454E-7</v>
      </c>
      <c r="AW734" s="44">
        <v>489</v>
      </c>
      <c r="AX734" s="51">
        <v>272.40578857629998</v>
      </c>
      <c r="AY734" s="49">
        <v>327.331066067118</v>
      </c>
      <c r="AZ734" s="49">
        <v>54.925277490818019</v>
      </c>
      <c r="BA734" s="42" t="s">
        <v>150</v>
      </c>
      <c r="BB734" s="50">
        <v>452732.73322026175</v>
      </c>
      <c r="BC734" s="57">
        <v>452807.51300016878</v>
      </c>
      <c r="BD734" s="42" t="s">
        <v>150</v>
      </c>
      <c r="BE734" s="46">
        <v>86.041284403669707</v>
      </c>
      <c r="BF734" s="46">
        <v>77.052752293577996</v>
      </c>
      <c r="BG734" s="42" t="s">
        <v>150</v>
      </c>
      <c r="BH734" s="52">
        <v>0.62536652982886398</v>
      </c>
      <c r="BI734" s="52">
        <v>0.58451671985922604</v>
      </c>
      <c r="BJ734" s="42" t="s">
        <v>150</v>
      </c>
      <c r="BK734" s="46">
        <v>680.836518706422</v>
      </c>
      <c r="BL734" s="46">
        <v>592.94411248383199</v>
      </c>
      <c r="BM734" s="42" t="s">
        <v>150</v>
      </c>
      <c r="BN734" s="48">
        <v>3</v>
      </c>
      <c r="BO734" s="42" t="s">
        <v>153</v>
      </c>
      <c r="BP734" s="42" t="s">
        <v>150</v>
      </c>
      <c r="BQ734" s="46">
        <v>868.79442019835597</v>
      </c>
      <c r="BR734" s="46">
        <v>417</v>
      </c>
      <c r="BS734" s="46">
        <v>30988</v>
      </c>
      <c r="BT734" s="46">
        <v>8554</v>
      </c>
      <c r="BU734" s="46">
        <v>3.6226326864624738</v>
      </c>
      <c r="BV734" s="46">
        <v>20.513189448441246</v>
      </c>
      <c r="BW734" s="46">
        <v>0</v>
      </c>
      <c r="BX734" s="46">
        <v>5256</v>
      </c>
      <c r="BY734" s="46">
        <v>5256</v>
      </c>
      <c r="BZ734" s="46">
        <v>0.61444938040682717</v>
      </c>
      <c r="CA734" s="46">
        <v>0</v>
      </c>
      <c r="CB734" s="46">
        <v>0.61444938040682717</v>
      </c>
      <c r="CC734" s="46">
        <v>0</v>
      </c>
      <c r="CD734" s="46">
        <v>0</v>
      </c>
      <c r="CE734" s="46">
        <v>0</v>
      </c>
      <c r="CF734" s="46">
        <v>0.38403086275426701</v>
      </c>
      <c r="CG734" s="46">
        <v>1.402852466682254E-3</v>
      </c>
      <c r="CH734" s="46">
        <v>1.1690437222352122E-4</v>
      </c>
      <c r="CI734" s="46">
        <v>5.615076803924099</v>
      </c>
      <c r="CJ734" s="46">
        <v>0.38724667613269648</v>
      </c>
      <c r="CK734">
        <v>436</v>
      </c>
      <c r="CL734">
        <v>456.5</v>
      </c>
      <c r="CM734">
        <f t="shared" si="84"/>
        <v>20.5</v>
      </c>
      <c r="CN734">
        <v>10.79</v>
      </c>
      <c r="CO734">
        <v>9.4499999999999993</v>
      </c>
      <c r="CP734">
        <f t="shared" si="85"/>
        <v>-1.3399999999999999</v>
      </c>
      <c r="CQ734">
        <v>846.56</v>
      </c>
      <c r="CR734">
        <v>680.84</v>
      </c>
      <c r="CS734">
        <f t="shared" si="86"/>
        <v>165.71999999999991</v>
      </c>
      <c r="CT734" t="s">
        <v>150</v>
      </c>
      <c r="CU734">
        <v>116.58</v>
      </c>
      <c r="CV734">
        <v>337</v>
      </c>
      <c r="CW734" s="46">
        <v>5256</v>
      </c>
      <c r="CX734" s="46">
        <f t="shared" si="80"/>
        <v>61.205284077624498</v>
      </c>
      <c r="CY734" s="46">
        <v>20.5</v>
      </c>
      <c r="CZ734" s="46">
        <f t="shared" si="81"/>
        <v>61.444938040682715</v>
      </c>
      <c r="DA734" s="46">
        <f t="shared" si="82"/>
        <v>86.822703364627671</v>
      </c>
      <c r="DB734" s="46">
        <v>744461.27</v>
      </c>
      <c r="DC734" s="46">
        <f t="shared" si="83"/>
        <v>4.0753291737127535</v>
      </c>
      <c r="DD734" s="46">
        <v>34943.910000000003</v>
      </c>
      <c r="DE734" s="995">
        <v>5256</v>
      </c>
      <c r="DF734" s="995">
        <v>61.207999999999998</v>
      </c>
      <c r="DG734" s="995">
        <v>20.3</v>
      </c>
      <c r="DH734" s="995">
        <v>61.445</v>
      </c>
      <c r="DI734" s="995">
        <v>568.15800000000002</v>
      </c>
      <c r="DJ734" s="995">
        <v>4871544</v>
      </c>
      <c r="DK734" s="995">
        <v>26.657</v>
      </c>
      <c r="DL734" s="995">
        <v>228563.20000000001</v>
      </c>
      <c r="DM734" s="995">
        <v>5256</v>
      </c>
      <c r="DN734" s="995">
        <v>61.216000000000001</v>
      </c>
      <c r="DO734" s="995">
        <v>19.600000000000001</v>
      </c>
      <c r="DP734" s="995">
        <v>61.445</v>
      </c>
      <c r="DQ734" s="995">
        <v>567.49300000000005</v>
      </c>
      <c r="DR734" s="995">
        <v>4865469</v>
      </c>
      <c r="DS734" s="995">
        <v>26.626000000000001</v>
      </c>
      <c r="DT734" s="995">
        <v>228281.2</v>
      </c>
    </row>
    <row r="735" spans="1:124">
      <c r="A735" s="42" t="s">
        <v>94</v>
      </c>
      <c r="B735" s="42" t="s">
        <v>502</v>
      </c>
      <c r="C735" s="42" t="s">
        <v>931</v>
      </c>
      <c r="D735" s="42">
        <v>916427</v>
      </c>
      <c r="E735" s="42" t="s">
        <v>974</v>
      </c>
      <c r="F735" s="42" t="s">
        <v>149</v>
      </c>
      <c r="G735" s="42" t="s">
        <v>150</v>
      </c>
      <c r="H735" s="43" t="s">
        <v>150</v>
      </c>
      <c r="I735" s="44">
        <v>50</v>
      </c>
      <c r="J735" s="45">
        <v>205842.01120000001</v>
      </c>
      <c r="K735" s="46">
        <v>18132.091304000001</v>
      </c>
      <c r="L735" s="47">
        <v>223974.10250400001</v>
      </c>
      <c r="M735" s="48">
        <v>5675059</v>
      </c>
      <c r="N735" s="49">
        <v>3050941</v>
      </c>
      <c r="O735" s="49">
        <v>2624118</v>
      </c>
      <c r="P735" s="49">
        <v>0</v>
      </c>
      <c r="Q735" s="50">
        <v>12986.408581235701</v>
      </c>
      <c r="R735" s="51">
        <v>21461.110189513802</v>
      </c>
      <c r="S735" s="49">
        <v>32979.936003783201</v>
      </c>
      <c r="T735" s="49">
        <v>6632.4105285496998</v>
      </c>
      <c r="U735" s="49">
        <f>IFERROR(INDEX('Rentabilidad datos'!$N$2:$N$61,MATCH($C735,'Rentabilidad datos'!$C$2:$C$61,0)),"")</f>
        <v>61073.456721846684</v>
      </c>
      <c r="V735" s="50">
        <f>IFERROR(INDEX('Rentabilidad datos'!$O$2:$O$61,MATCH($C735,'Rentabilidad datos'!$C$2:$C$61,0)),"")</f>
        <v>1299.4352494009934</v>
      </c>
      <c r="W735" s="51">
        <f>IFERROR(INDEX('Rentabilidad datos'!$M$2:$M$61,MATCH($C735,'Rentabilidad datos'!$C$2:$C$61,0)),"")</f>
        <v>3641.9429094456564</v>
      </c>
      <c r="X735" s="52">
        <f>IFERROR(INDEX('Rentabilidad datos'!$P$2:$P$61,MATCH($C735,'Rentabilidad datos'!$C$2:$C$61,0)),"")</f>
        <v>0.35679725951519148</v>
      </c>
      <c r="Y735" s="43" t="s">
        <v>171</v>
      </c>
      <c r="Z735" s="53">
        <v>57.926773455377599</v>
      </c>
      <c r="AA735" s="43">
        <v>2</v>
      </c>
      <c r="AB735" s="54">
        <v>0.95034430479048759</v>
      </c>
      <c r="AC735" s="55">
        <v>4.9655695209512359E-2</v>
      </c>
      <c r="AD735" s="752" t="e">
        <f>_xlfn.XLOOKUP(Table1[[#This Row],[Ruta]],#REF!,#REF!)</f>
        <v>#REF!</v>
      </c>
      <c r="AE735" s="752" t="e">
        <f>_xlfn.XLOOKUP(Table1[[#This Row],[Ruta]],#REF!,#REF!)</f>
        <v>#REF!</v>
      </c>
      <c r="AF735" s="752" t="e">
        <f>_xlfn.XLOOKUP(Table1[[#This Row],[Ruta]],#REF!,#REF!)</f>
        <v>#REF!</v>
      </c>
      <c r="AG735" s="752" t="e">
        <f>_xlfn.XLOOKUP(Table1[[#This Row],[Ruta]],#REF!,#REF!)</f>
        <v>#REF!</v>
      </c>
      <c r="AH735" s="52">
        <v>0.53760515969966127</v>
      </c>
      <c r="AI735" s="52">
        <v>0.46239484030033873</v>
      </c>
      <c r="AJ735" s="55">
        <v>0</v>
      </c>
      <c r="AK735" s="56">
        <v>25314</v>
      </c>
      <c r="AL735" s="44">
        <v>14235</v>
      </c>
      <c r="AM735" s="54">
        <v>0.56233704669352902</v>
      </c>
      <c r="AN735" s="55">
        <v>0.62538735712289495</v>
      </c>
      <c r="AO735" s="56">
        <v>1596.0555582089601</v>
      </c>
      <c r="AP735" s="48">
        <v>798.02777910448003</v>
      </c>
      <c r="AQ735" s="55">
        <v>0.59386220190821204</v>
      </c>
      <c r="AR735" s="51">
        <v>5675060.5499999998</v>
      </c>
      <c r="AS735" s="49">
        <v>318149.34787495248</v>
      </c>
      <c r="AT735" s="55">
        <v>5.6060960948681418E-2</v>
      </c>
      <c r="AU735" s="51">
        <v>223564.40661483156</v>
      </c>
      <c r="AV735" s="52">
        <v>1.0170156421758496E-3</v>
      </c>
      <c r="AW735" s="44">
        <v>294</v>
      </c>
      <c r="AX735" s="51">
        <v>398.66951527924101</v>
      </c>
      <c r="AY735" s="49">
        <v>327.331066067118</v>
      </c>
      <c r="AZ735" s="49">
        <v>0</v>
      </c>
      <c r="BA735" s="42" t="s">
        <v>152</v>
      </c>
      <c r="BB735" s="50">
        <v>0</v>
      </c>
      <c r="BC735" s="57">
        <v>223564.40661483156</v>
      </c>
      <c r="BD735" s="42" t="s">
        <v>150</v>
      </c>
      <c r="BE735" s="46">
        <v>57.926773455377599</v>
      </c>
      <c r="BF735" s="46">
        <v>77.052752293577996</v>
      </c>
      <c r="BG735" s="42" t="s">
        <v>152</v>
      </c>
      <c r="BH735" s="52">
        <v>0.56233704669352902</v>
      </c>
      <c r="BI735" s="52">
        <v>0.58451671985922604</v>
      </c>
      <c r="BJ735" s="42" t="s">
        <v>152</v>
      </c>
      <c r="BK735" s="46">
        <v>512.52655035240196</v>
      </c>
      <c r="BL735" s="46">
        <v>592.94411248383199</v>
      </c>
      <c r="BM735" s="42" t="s">
        <v>152</v>
      </c>
      <c r="BN735" s="48">
        <v>0</v>
      </c>
      <c r="BO735" s="42" t="s">
        <v>155</v>
      </c>
      <c r="BP735" s="42" t="s">
        <v>152</v>
      </c>
      <c r="BQ735" s="46">
        <v>6106.96526425102</v>
      </c>
      <c r="BR735" s="46">
        <v>174</v>
      </c>
      <c r="BS735" s="46">
        <v>7244</v>
      </c>
      <c r="BT735" s="46">
        <v>2321</v>
      </c>
      <c r="BU735" s="46">
        <v>3.1210685049547608</v>
      </c>
      <c r="BV735" s="46">
        <v>13.339080459770114</v>
      </c>
      <c r="BW735" s="46">
        <v>2321</v>
      </c>
      <c r="BX735" s="46">
        <v>0</v>
      </c>
      <c r="BY735" s="46">
        <v>2321</v>
      </c>
      <c r="BZ735" s="46">
        <v>1</v>
      </c>
      <c r="CA735" s="46">
        <v>1</v>
      </c>
      <c r="CB735" s="46">
        <v>0</v>
      </c>
      <c r="CC735" s="46">
        <v>0</v>
      </c>
      <c r="CD735" s="46">
        <v>0</v>
      </c>
      <c r="CE735" s="46">
        <v>0</v>
      </c>
      <c r="CF735" s="46">
        <v>0</v>
      </c>
      <c r="CG735" s="46">
        <v>0</v>
      </c>
      <c r="CH735" s="46">
        <v>0</v>
      </c>
      <c r="CI735" s="46">
        <v>0.69022639425731636</v>
      </c>
      <c r="CJ735" s="46">
        <v>1.104362230811706</v>
      </c>
      <c r="CK735">
        <v>306</v>
      </c>
      <c r="CL735">
        <v>382.13</v>
      </c>
      <c r="CM735">
        <f t="shared" si="84"/>
        <v>76.13</v>
      </c>
      <c r="CN735">
        <v>7.42</v>
      </c>
      <c r="CO735">
        <v>9.4499999999999993</v>
      </c>
      <c r="CP735">
        <f t="shared" si="85"/>
        <v>2.0299999999999994</v>
      </c>
      <c r="CQ735">
        <v>846.56</v>
      </c>
      <c r="CR735">
        <v>512.53</v>
      </c>
      <c r="CS735">
        <f t="shared" si="86"/>
        <v>334.03</v>
      </c>
      <c r="CT735" t="s">
        <v>152</v>
      </c>
      <c r="CU735">
        <v>78.510000000000005</v>
      </c>
      <c r="CV735">
        <v>293</v>
      </c>
      <c r="CW735" s="46">
        <v>2321</v>
      </c>
      <c r="CX735" s="46">
        <f t="shared" si="80"/>
        <v>96.719948298147344</v>
      </c>
      <c r="CY735" s="46">
        <v>76.13</v>
      </c>
      <c r="CZ735" s="46">
        <f t="shared" si="81"/>
        <v>100</v>
      </c>
      <c r="DA735" s="46">
        <f t="shared" si="82"/>
        <v>585.28019339793832</v>
      </c>
      <c r="DB735" s="46">
        <v>1402992.71</v>
      </c>
      <c r="DC735" s="46">
        <f t="shared" si="83"/>
        <v>22.877007087642305</v>
      </c>
      <c r="DD735" s="46">
        <v>54839.16</v>
      </c>
      <c r="DE735" s="995">
        <v>2321</v>
      </c>
      <c r="DF735" s="995">
        <v>96.697999999999993</v>
      </c>
      <c r="DG735" s="995">
        <v>76.599999999999994</v>
      </c>
      <c r="DH735" s="995">
        <v>100</v>
      </c>
      <c r="DI735" s="995">
        <v>1964.2429999999999</v>
      </c>
      <c r="DJ735" s="995">
        <v>4709544</v>
      </c>
      <c r="DK735" s="995">
        <v>76.899000000000001</v>
      </c>
      <c r="DL735" s="995">
        <v>184376</v>
      </c>
      <c r="DM735" s="995">
        <v>2321</v>
      </c>
      <c r="DN735" s="995">
        <v>96.968000000000004</v>
      </c>
      <c r="DO735" s="995">
        <v>70.400000000000006</v>
      </c>
      <c r="DP735" s="995">
        <v>100</v>
      </c>
      <c r="DQ735" s="995">
        <v>1942.8119999999999</v>
      </c>
      <c r="DR735" s="995">
        <v>4645989</v>
      </c>
      <c r="DS735" s="995">
        <v>76.027000000000001</v>
      </c>
      <c r="DT735" s="995">
        <v>181808.5</v>
      </c>
    </row>
    <row r="736" spans="1:124">
      <c r="A736" s="42" t="s">
        <v>94</v>
      </c>
      <c r="B736" s="42" t="s">
        <v>502</v>
      </c>
      <c r="C736" s="42" t="s">
        <v>931</v>
      </c>
      <c r="D736" s="42">
        <v>916428</v>
      </c>
      <c r="E736" s="42" t="s">
        <v>975</v>
      </c>
      <c r="F736" s="42" t="s">
        <v>149</v>
      </c>
      <c r="G736" s="42" t="s">
        <v>150</v>
      </c>
      <c r="H736" s="43" t="s">
        <v>150</v>
      </c>
      <c r="I736" s="44">
        <v>50</v>
      </c>
      <c r="J736" s="45">
        <v>203080.44959999999</v>
      </c>
      <c r="K736" s="46">
        <v>16940.094449</v>
      </c>
      <c r="L736" s="47">
        <v>220020.54404899999</v>
      </c>
      <c r="M736" s="48">
        <v>4800929</v>
      </c>
      <c r="N736" s="49">
        <v>2987252</v>
      </c>
      <c r="O736" s="49">
        <v>1813677</v>
      </c>
      <c r="P736" s="49">
        <v>0</v>
      </c>
      <c r="Q736" s="50">
        <v>11113.2662268519</v>
      </c>
      <c r="R736" s="51">
        <v>21461.110189513802</v>
      </c>
      <c r="S736" s="49">
        <v>32979.936003783201</v>
      </c>
      <c r="T736" s="49">
        <v>6632.4105285496998</v>
      </c>
      <c r="U736" s="49">
        <f>IFERROR(INDEX('Rentabilidad datos'!$N$2:$N$61,MATCH($C736,'Rentabilidad datos'!$C$2:$C$61,0)),"")</f>
        <v>61073.456721846684</v>
      </c>
      <c r="V736" s="50">
        <f>IFERROR(INDEX('Rentabilidad datos'!$O$2:$O$61,MATCH($C736,'Rentabilidad datos'!$C$2:$C$61,0)),"")</f>
        <v>1299.4352494009934</v>
      </c>
      <c r="W736" s="51">
        <f>IFERROR(INDEX('Rentabilidad datos'!$M$2:$M$61,MATCH($C736,'Rentabilidad datos'!$C$2:$C$61,0)),"")</f>
        <v>3641.9429094456564</v>
      </c>
      <c r="X736" s="52">
        <f>IFERROR(INDEX('Rentabilidad datos'!$P$2:$P$61,MATCH($C736,'Rentabilidad datos'!$C$2:$C$61,0)),"")</f>
        <v>0.35679725951519148</v>
      </c>
      <c r="Y736" s="43" t="s">
        <v>171</v>
      </c>
      <c r="Z736" s="53">
        <v>87.0416666666667</v>
      </c>
      <c r="AA736" s="43">
        <v>2</v>
      </c>
      <c r="AB736" s="54">
        <v>0.9377462153679007</v>
      </c>
      <c r="AC736" s="55">
        <v>6.2253784632099331E-2</v>
      </c>
      <c r="AD736" s="752" t="e">
        <f>_xlfn.XLOOKUP(Table1[[#This Row],[Ruta]],#REF!,#REF!)</f>
        <v>#REF!</v>
      </c>
      <c r="AE736" s="752" t="e">
        <f>_xlfn.XLOOKUP(Table1[[#This Row],[Ruta]],#REF!,#REF!)</f>
        <v>#REF!</v>
      </c>
      <c r="AF736" s="752" t="e">
        <f>_xlfn.XLOOKUP(Table1[[#This Row],[Ruta]],#REF!,#REF!)</f>
        <v>#REF!</v>
      </c>
      <c r="AG736" s="752" t="e">
        <f>_xlfn.XLOOKUP(Table1[[#This Row],[Ruta]],#REF!,#REF!)</f>
        <v>#REF!</v>
      </c>
      <c r="AH736" s="52">
        <v>0.62222374044690099</v>
      </c>
      <c r="AI736" s="52">
        <v>0.37777625955309901</v>
      </c>
      <c r="AJ736" s="55">
        <v>0</v>
      </c>
      <c r="AK736" s="56">
        <v>37602</v>
      </c>
      <c r="AL736" s="44">
        <v>16641</v>
      </c>
      <c r="AM736" s="54">
        <v>0.442556247008138</v>
      </c>
      <c r="AN736" s="55">
        <v>0.62538735712289495</v>
      </c>
      <c r="AO736" s="56">
        <v>6874.8154025350896</v>
      </c>
      <c r="AP736" s="48">
        <v>3437.4077012675448</v>
      </c>
      <c r="AQ736" s="55">
        <v>0.53397180206551631</v>
      </c>
      <c r="AR736" s="51">
        <v>4800931.01</v>
      </c>
      <c r="AS736" s="49">
        <v>991692.64028773503</v>
      </c>
      <c r="AT736" s="55">
        <v>0.20656256843143744</v>
      </c>
      <c r="AU736" s="51">
        <v>696865.09858057078</v>
      </c>
      <c r="AV736" s="52">
        <v>3.1701052796113491E-3</v>
      </c>
      <c r="AW736" s="44">
        <v>98</v>
      </c>
      <c r="AX736" s="51">
        <v>288.50015083228197</v>
      </c>
      <c r="AY736" s="49">
        <v>327.331066067118</v>
      </c>
      <c r="AZ736" s="49">
        <v>38.830915234836027</v>
      </c>
      <c r="BA736" s="42" t="s">
        <v>150</v>
      </c>
      <c r="BB736" s="50">
        <v>227038.06447291313</v>
      </c>
      <c r="BC736" s="57">
        <v>923903.16305348394</v>
      </c>
      <c r="BD736" s="42" t="s">
        <v>150</v>
      </c>
      <c r="BE736" s="46">
        <v>87.0416666666667</v>
      </c>
      <c r="BF736" s="46">
        <v>77.052752293577996</v>
      </c>
      <c r="BG736" s="42" t="s">
        <v>150</v>
      </c>
      <c r="BH736" s="52">
        <v>0.442556247008138</v>
      </c>
      <c r="BI736" s="52">
        <v>0.58451671985922604</v>
      </c>
      <c r="BJ736" s="42" t="s">
        <v>152</v>
      </c>
      <c r="BK736" s="46">
        <v>509.30681492823999</v>
      </c>
      <c r="BL736" s="46">
        <v>592.94411248383199</v>
      </c>
      <c r="BM736" s="42" t="s">
        <v>152</v>
      </c>
      <c r="BN736" s="48">
        <v>1</v>
      </c>
      <c r="BO736" s="42" t="s">
        <v>155</v>
      </c>
      <c r="BP736" s="42" t="s">
        <v>152</v>
      </c>
      <c r="BQ736" s="46">
        <v>1747.52236589523</v>
      </c>
      <c r="BR736" s="46">
        <v>430</v>
      </c>
      <c r="BS736" s="46">
        <v>32996</v>
      </c>
      <c r="BT736" s="46">
        <v>9074</v>
      </c>
      <c r="BU736" s="46">
        <v>3.6363235618249945</v>
      </c>
      <c r="BV736" s="46">
        <v>21.102325581395348</v>
      </c>
      <c r="BW736" s="46">
        <v>0</v>
      </c>
      <c r="BX736" s="46">
        <v>2221</v>
      </c>
      <c r="BY736" s="46">
        <v>2221</v>
      </c>
      <c r="BZ736" s="46">
        <v>0.24476526338990523</v>
      </c>
      <c r="CA736" s="46">
        <v>0</v>
      </c>
      <c r="CB736" s="46">
        <v>0.24476526338990523</v>
      </c>
      <c r="CC736" s="46">
        <v>0.27000220409962528</v>
      </c>
      <c r="CD736" s="46">
        <v>0.12089486444787299</v>
      </c>
      <c r="CE736" s="46">
        <v>0</v>
      </c>
      <c r="CF736" s="46">
        <v>0.36433766806259638</v>
      </c>
      <c r="CG736" s="46">
        <v>0</v>
      </c>
      <c r="CH736" s="46">
        <v>0</v>
      </c>
      <c r="CI736" s="46">
        <v>4.9399927263910772</v>
      </c>
      <c r="CJ736" s="46">
        <v>0.18184022305734029</v>
      </c>
      <c r="CK736">
        <v>398</v>
      </c>
      <c r="CL736">
        <v>421.46</v>
      </c>
      <c r="CM736">
        <f t="shared" si="84"/>
        <v>23.45999999999998</v>
      </c>
      <c r="CN736">
        <v>9.69</v>
      </c>
      <c r="CO736">
        <v>9.4499999999999993</v>
      </c>
      <c r="CP736">
        <f t="shared" si="85"/>
        <v>-0.24000000000000021</v>
      </c>
      <c r="CQ736">
        <v>846.56</v>
      </c>
      <c r="CR736">
        <v>509.31</v>
      </c>
      <c r="CS736">
        <f t="shared" si="86"/>
        <v>337.24999999999994</v>
      </c>
      <c r="CT736" t="s">
        <v>150</v>
      </c>
      <c r="CU736">
        <v>102.52</v>
      </c>
      <c r="CV736">
        <v>151</v>
      </c>
      <c r="CW736" s="46">
        <v>2221</v>
      </c>
      <c r="CX736" s="46">
        <f t="shared" si="80"/>
        <v>24.217985452942472</v>
      </c>
      <c r="CY736" s="46">
        <v>23.46</v>
      </c>
      <c r="CZ736" s="46">
        <f t="shared" si="81"/>
        <v>24.476526338990524</v>
      </c>
      <c r="DA736" s="46">
        <f t="shared" si="82"/>
        <v>169.67485100236769</v>
      </c>
      <c r="DB736" s="46">
        <v>1543610.17</v>
      </c>
      <c r="DC736" s="46">
        <f t="shared" si="83"/>
        <v>7.5492467128187437</v>
      </c>
      <c r="DD736" s="46">
        <v>68678.97</v>
      </c>
      <c r="DE736" s="995">
        <v>2221</v>
      </c>
      <c r="DF736" s="995">
        <v>24.206</v>
      </c>
      <c r="DG736" s="995">
        <v>24.6</v>
      </c>
      <c r="DH736" s="995">
        <v>24.477</v>
      </c>
      <c r="DI736" s="995">
        <v>510.69799999999998</v>
      </c>
      <c r="DJ736" s="995">
        <v>4646613</v>
      </c>
      <c r="DK736" s="995">
        <v>22.905999999999999</v>
      </c>
      <c r="DL736" s="995">
        <v>208415.3</v>
      </c>
      <c r="DM736" s="995">
        <v>2221</v>
      </c>
      <c r="DN736" s="995">
        <v>24.248000000000001</v>
      </c>
      <c r="DO736" s="995">
        <v>20.7</v>
      </c>
      <c r="DP736" s="995">
        <v>24.477</v>
      </c>
      <c r="DQ736" s="995">
        <v>506.86099999999999</v>
      </c>
      <c r="DR736" s="995">
        <v>4609756</v>
      </c>
      <c r="DS736" s="995">
        <v>22.74</v>
      </c>
      <c r="DT736" s="995">
        <v>206810.3</v>
      </c>
    </row>
    <row r="737" spans="1:124">
      <c r="A737" s="42" t="s">
        <v>94</v>
      </c>
      <c r="B737" s="42" t="s">
        <v>502</v>
      </c>
      <c r="C737" s="42" t="s">
        <v>931</v>
      </c>
      <c r="D737" s="42">
        <v>916429</v>
      </c>
      <c r="E737" s="42" t="s">
        <v>976</v>
      </c>
      <c r="F737" s="42" t="s">
        <v>149</v>
      </c>
      <c r="G737" s="42" t="s">
        <v>150</v>
      </c>
      <c r="H737" s="43" t="s">
        <v>150</v>
      </c>
      <c r="I737" s="44">
        <v>50</v>
      </c>
      <c r="J737" s="45">
        <v>178465.9184</v>
      </c>
      <c r="K737" s="46">
        <v>18401.736670999999</v>
      </c>
      <c r="L737" s="47">
        <v>196867.65507099999</v>
      </c>
      <c r="M737" s="48">
        <v>4950394</v>
      </c>
      <c r="N737" s="49">
        <v>2644809</v>
      </c>
      <c r="O737" s="49">
        <v>2305585</v>
      </c>
      <c r="P737" s="49">
        <v>0</v>
      </c>
      <c r="Q737" s="50">
        <v>11354.115756880699</v>
      </c>
      <c r="R737" s="51">
        <v>21461.110189513802</v>
      </c>
      <c r="S737" s="49">
        <v>32979.936003783201</v>
      </c>
      <c r="T737" s="49">
        <v>6632.4105285496998</v>
      </c>
      <c r="U737" s="49">
        <f>IFERROR(INDEX('Rentabilidad datos'!$N$2:$N$61,MATCH($C737,'Rentabilidad datos'!$C$2:$C$61,0)),"")</f>
        <v>61073.456721846684</v>
      </c>
      <c r="V737" s="50">
        <f>IFERROR(INDEX('Rentabilidad datos'!$O$2:$O$61,MATCH($C737,'Rentabilidad datos'!$C$2:$C$61,0)),"")</f>
        <v>1299.4352494009934</v>
      </c>
      <c r="W737" s="51">
        <f>IFERROR(INDEX('Rentabilidad datos'!$M$2:$M$61,MATCH($C737,'Rentabilidad datos'!$C$2:$C$61,0)),"")</f>
        <v>3641.9429094456564</v>
      </c>
      <c r="X737" s="52">
        <f>IFERROR(INDEX('Rentabilidad datos'!$P$2:$P$61,MATCH($C737,'Rentabilidad datos'!$C$2:$C$61,0)),"")</f>
        <v>0.35679725951519148</v>
      </c>
      <c r="Y737" s="43" t="s">
        <v>171</v>
      </c>
      <c r="Z737" s="53">
        <v>59.901376146788998</v>
      </c>
      <c r="AA737" s="43">
        <v>2</v>
      </c>
      <c r="AB737" s="54">
        <v>0.96532882029187983</v>
      </c>
      <c r="AC737" s="55">
        <v>3.4671179708120205E-2</v>
      </c>
      <c r="AD737" s="752" t="e">
        <f>_xlfn.XLOOKUP(Table1[[#This Row],[Ruta]],#REF!,#REF!)</f>
        <v>#REF!</v>
      </c>
      <c r="AE737" s="752" t="e">
        <f>_xlfn.XLOOKUP(Table1[[#This Row],[Ruta]],#REF!,#REF!)</f>
        <v>#REF!</v>
      </c>
      <c r="AF737" s="752" t="e">
        <f>_xlfn.XLOOKUP(Table1[[#This Row],[Ruta]],#REF!,#REF!)</f>
        <v>#REF!</v>
      </c>
      <c r="AG737" s="752" t="e">
        <f>_xlfn.XLOOKUP(Table1[[#This Row],[Ruta]],#REF!,#REF!)</f>
        <v>#REF!</v>
      </c>
      <c r="AH737" s="52">
        <v>0.53426232336254442</v>
      </c>
      <c r="AI737" s="52">
        <v>0.46573767663745552</v>
      </c>
      <c r="AJ737" s="55">
        <v>0</v>
      </c>
      <c r="AK737" s="56">
        <v>26117</v>
      </c>
      <c r="AL737" s="44">
        <v>15878</v>
      </c>
      <c r="AM737" s="54">
        <v>0.60795650342688701</v>
      </c>
      <c r="AN737" s="55">
        <v>0.62538735712289495</v>
      </c>
      <c r="AO737" s="56">
        <v>455.241605978645</v>
      </c>
      <c r="AP737" s="48">
        <v>227.6208029893225</v>
      </c>
      <c r="AQ737" s="55">
        <v>0.61667193027489076</v>
      </c>
      <c r="AR737" s="51">
        <v>4950394.47</v>
      </c>
      <c r="AS737" s="49">
        <v>70966.920542593507</v>
      </c>
      <c r="AT737" s="55">
        <v>1.4335609207036285E-2</v>
      </c>
      <c r="AU737" s="51">
        <v>49868.646867768432</v>
      </c>
      <c r="AV737" s="52">
        <v>2.2685719380206355E-4</v>
      </c>
      <c r="AW737" s="44">
        <v>430</v>
      </c>
      <c r="AX737" s="51">
        <v>311.776953646555</v>
      </c>
      <c r="AY737" s="49">
        <v>327.331066067118</v>
      </c>
      <c r="AZ737" s="49">
        <v>15.554112420563001</v>
      </c>
      <c r="BA737" s="42" t="s">
        <v>150</v>
      </c>
      <c r="BB737" s="50">
        <v>86772.609761570071</v>
      </c>
      <c r="BC737" s="57">
        <v>136641.25662933849</v>
      </c>
      <c r="BD737" s="42" t="s">
        <v>150</v>
      </c>
      <c r="BE737" s="46">
        <v>59.901376146788998</v>
      </c>
      <c r="BF737" s="46">
        <v>77.052752293577996</v>
      </c>
      <c r="BG737" s="42" t="s">
        <v>152</v>
      </c>
      <c r="BH737" s="52">
        <v>0.60795650342688701</v>
      </c>
      <c r="BI737" s="52">
        <v>0.58451671985922604</v>
      </c>
      <c r="BJ737" s="42" t="s">
        <v>150</v>
      </c>
      <c r="BK737" s="46">
        <v>451.53131897018301</v>
      </c>
      <c r="BL737" s="46">
        <v>592.94411248383199</v>
      </c>
      <c r="BM737" s="42" t="s">
        <v>152</v>
      </c>
      <c r="BN737" s="48">
        <v>1</v>
      </c>
      <c r="BO737" s="42" t="s">
        <v>155</v>
      </c>
      <c r="BP737" s="42" t="s">
        <v>152</v>
      </c>
      <c r="BQ737" s="46">
        <v>4836.5292050060698</v>
      </c>
      <c r="BR737" s="46">
        <v>395</v>
      </c>
      <c r="BS737" s="46">
        <v>33437</v>
      </c>
      <c r="BT737" s="46">
        <v>9373</v>
      </c>
      <c r="BU737" s="46">
        <v>3.5673743731996157</v>
      </c>
      <c r="BV737" s="46">
        <v>23.729113924050633</v>
      </c>
      <c r="BW737" s="46">
        <v>0</v>
      </c>
      <c r="BX737" s="46">
        <v>965</v>
      </c>
      <c r="BY737" s="46">
        <v>965</v>
      </c>
      <c r="BZ737" s="46">
        <v>0.10295529713005441</v>
      </c>
      <c r="CA737" s="46">
        <v>0</v>
      </c>
      <c r="CB737" s="46">
        <v>0.1029552971300544</v>
      </c>
      <c r="CC737" s="46">
        <v>0.39848501013549559</v>
      </c>
      <c r="CD737" s="46">
        <v>0</v>
      </c>
      <c r="CE737" s="46">
        <v>0</v>
      </c>
      <c r="CF737" s="46">
        <v>0.49855969273445</v>
      </c>
      <c r="CG737" s="46">
        <v>0</v>
      </c>
      <c r="CH737" s="46">
        <v>0</v>
      </c>
      <c r="CI737" s="46">
        <v>5.2935370996201812</v>
      </c>
      <c r="CJ737" s="46">
        <v>0.41869784968747198</v>
      </c>
      <c r="CK737">
        <v>331</v>
      </c>
      <c r="CL737">
        <v>331</v>
      </c>
      <c r="CM737">
        <f t="shared" si="84"/>
        <v>0</v>
      </c>
      <c r="CN737">
        <v>9.7799999999999994</v>
      </c>
      <c r="CO737">
        <v>9.4499999999999993</v>
      </c>
      <c r="CP737">
        <f t="shared" si="85"/>
        <v>-0.33000000000000007</v>
      </c>
      <c r="CQ737">
        <v>846.56</v>
      </c>
      <c r="CR737">
        <v>451.53</v>
      </c>
      <c r="CS737">
        <f t="shared" si="86"/>
        <v>395.03</v>
      </c>
      <c r="CT737" t="s">
        <v>150</v>
      </c>
      <c r="CU737">
        <v>103.46</v>
      </c>
      <c r="CV737">
        <v>88</v>
      </c>
      <c r="CW737" s="46">
        <v>965</v>
      </c>
      <c r="CX737" s="46">
        <f t="shared" si="80"/>
        <v>10.295529713005442</v>
      </c>
      <c r="CY737" s="46">
        <v>0</v>
      </c>
      <c r="CZ737" s="46">
        <f t="shared" si="81"/>
        <v>10.295529713005442</v>
      </c>
      <c r="DA737" s="46">
        <f t="shared" si="82"/>
        <v>33.068845620399017</v>
      </c>
      <c r="DB737" s="46">
        <v>309954.28999999998</v>
      </c>
      <c r="DC737" s="46">
        <f t="shared" si="83"/>
        <v>1.3096671289875175</v>
      </c>
      <c r="DD737" s="46">
        <v>12275.51</v>
      </c>
      <c r="DE737" s="995">
        <v>965</v>
      </c>
      <c r="DF737" s="995">
        <v>10.25</v>
      </c>
      <c r="DG737" s="995">
        <v>4.2</v>
      </c>
      <c r="DH737" s="995">
        <v>10.295999999999999</v>
      </c>
      <c r="DI737" s="995">
        <v>416.73099999999999</v>
      </c>
      <c r="DJ737" s="995">
        <v>3907783</v>
      </c>
      <c r="DK737" s="995">
        <v>17.164999999999999</v>
      </c>
      <c r="DL737" s="995">
        <v>160956.9</v>
      </c>
      <c r="DM737" s="995">
        <v>965</v>
      </c>
      <c r="DN737" s="995">
        <v>10.257999999999999</v>
      </c>
      <c r="DO737" s="995">
        <v>3.5</v>
      </c>
      <c r="DP737" s="995">
        <v>10.295999999999999</v>
      </c>
      <c r="DQ737" s="995">
        <v>415.92700000000002</v>
      </c>
      <c r="DR737" s="995">
        <v>3899933</v>
      </c>
      <c r="DS737" s="995">
        <v>17.132999999999999</v>
      </c>
      <c r="DT737" s="995">
        <v>160646</v>
      </c>
    </row>
    <row r="738" spans="1:124">
      <c r="A738" s="42" t="s">
        <v>94</v>
      </c>
      <c r="B738" s="42" t="s">
        <v>502</v>
      </c>
      <c r="C738" s="42" t="s">
        <v>931</v>
      </c>
      <c r="D738" s="42">
        <v>916430</v>
      </c>
      <c r="E738" s="42" t="s">
        <v>977</v>
      </c>
      <c r="F738" s="42" t="s">
        <v>149</v>
      </c>
      <c r="G738" s="42" t="s">
        <v>150</v>
      </c>
      <c r="H738" s="43" t="s">
        <v>150</v>
      </c>
      <c r="I738" s="44">
        <v>50</v>
      </c>
      <c r="J738" s="45">
        <v>182604.7384</v>
      </c>
      <c r="K738" s="46">
        <v>12262.781937</v>
      </c>
      <c r="L738" s="47">
        <v>194867.52033699999</v>
      </c>
      <c r="M738" s="48">
        <v>3976747</v>
      </c>
      <c r="N738" s="49">
        <v>2617585</v>
      </c>
      <c r="O738" s="49">
        <v>1359162</v>
      </c>
      <c r="P738" s="49">
        <v>0</v>
      </c>
      <c r="Q738" s="50">
        <v>9462.3418348623909</v>
      </c>
      <c r="R738" s="51">
        <v>21461.110189513802</v>
      </c>
      <c r="S738" s="49">
        <v>32979.936003783201</v>
      </c>
      <c r="T738" s="49">
        <v>6632.4105285496998</v>
      </c>
      <c r="U738" s="49">
        <f>IFERROR(INDEX('Rentabilidad datos'!$N$2:$N$61,MATCH($C738,'Rentabilidad datos'!$C$2:$C$61,0)),"")</f>
        <v>61073.456721846684</v>
      </c>
      <c r="V738" s="50">
        <f>IFERROR(INDEX('Rentabilidad datos'!$O$2:$O$61,MATCH($C738,'Rentabilidad datos'!$C$2:$C$61,0)),"")</f>
        <v>1299.4352494009934</v>
      </c>
      <c r="W738" s="51">
        <f>IFERROR(INDEX('Rentabilidad datos'!$M$2:$M$61,MATCH($C738,'Rentabilidad datos'!$C$2:$C$61,0)),"")</f>
        <v>3641.9429094456564</v>
      </c>
      <c r="X738" s="52">
        <f>IFERROR(INDEX('Rentabilidad datos'!$P$2:$P$61,MATCH($C738,'Rentabilidad datos'!$C$2:$C$61,0)),"")</f>
        <v>0.35679725951519148</v>
      </c>
      <c r="Y738" s="43" t="s">
        <v>171</v>
      </c>
      <c r="Z738" s="53">
        <v>66.979357798165097</v>
      </c>
      <c r="AA738" s="43">
        <v>2</v>
      </c>
      <c r="AB738" s="54">
        <v>0.96391296705573681</v>
      </c>
      <c r="AC738" s="55">
        <v>3.6087032944263235E-2</v>
      </c>
      <c r="AD738" s="752" t="e">
        <f>_xlfn.XLOOKUP(Table1[[#This Row],[Ruta]],#REF!,#REF!)</f>
        <v>#REF!</v>
      </c>
      <c r="AE738" s="752" t="e">
        <f>_xlfn.XLOOKUP(Table1[[#This Row],[Ruta]],#REF!,#REF!)</f>
        <v>#REF!</v>
      </c>
      <c r="AF738" s="752" t="e">
        <f>_xlfn.XLOOKUP(Table1[[#This Row],[Ruta]],#REF!,#REF!)</f>
        <v>#REF!</v>
      </c>
      <c r="AG738" s="752" t="e">
        <f>_xlfn.XLOOKUP(Table1[[#This Row],[Ruta]],#REF!,#REF!)</f>
        <v>#REF!</v>
      </c>
      <c r="AH738" s="52">
        <v>0.65822266289507481</v>
      </c>
      <c r="AI738" s="52">
        <v>0.34177733710492519</v>
      </c>
      <c r="AJ738" s="55">
        <v>0</v>
      </c>
      <c r="AK738" s="56">
        <v>29203</v>
      </c>
      <c r="AL738" s="44">
        <v>12675</v>
      </c>
      <c r="AM738" s="54">
        <v>0.43403075026538401</v>
      </c>
      <c r="AN738" s="55">
        <v>0.62538735712289495</v>
      </c>
      <c r="AO738" s="56">
        <v>5588.1869900599004</v>
      </c>
      <c r="AP738" s="48">
        <v>2794.0934950299502</v>
      </c>
      <c r="AQ738" s="55">
        <v>0.52970905369413934</v>
      </c>
      <c r="AR738" s="51">
        <v>4125581.04</v>
      </c>
      <c r="AS738" s="49">
        <v>909448.45341876999</v>
      </c>
      <c r="AT738" s="55">
        <v>0.22044130138303378</v>
      </c>
      <c r="AU738" s="51">
        <v>639071.88618616294</v>
      </c>
      <c r="AV738" s="52">
        <v>2.9071984873062246E-3</v>
      </c>
      <c r="AW738" s="44">
        <v>112</v>
      </c>
      <c r="AX738" s="51">
        <v>325.48962840236698</v>
      </c>
      <c r="AY738" s="49">
        <v>327.331066067118</v>
      </c>
      <c r="AZ738" s="49">
        <v>1.8414376647510267</v>
      </c>
      <c r="BA738" s="42" t="s">
        <v>150</v>
      </c>
      <c r="BB738" s="50">
        <v>8200.618681333799</v>
      </c>
      <c r="BC738" s="57">
        <v>647272.50486749678</v>
      </c>
      <c r="BD738" s="42" t="s">
        <v>150</v>
      </c>
      <c r="BE738" s="46">
        <v>66.979357798165097</v>
      </c>
      <c r="BF738" s="46">
        <v>77.052752293577996</v>
      </c>
      <c r="BG738" s="42" t="s">
        <v>152</v>
      </c>
      <c r="BH738" s="52">
        <v>0.43403075026538401</v>
      </c>
      <c r="BI738" s="52">
        <v>0.58451671985922604</v>
      </c>
      <c r="BJ738" s="42" t="s">
        <v>152</v>
      </c>
      <c r="BK738" s="46">
        <v>446.94385398394502</v>
      </c>
      <c r="BL738" s="46">
        <v>592.94411248383199</v>
      </c>
      <c r="BM738" s="42" t="s">
        <v>152</v>
      </c>
      <c r="BN738" s="48">
        <v>0</v>
      </c>
      <c r="BO738" s="42" t="s">
        <v>155</v>
      </c>
      <c r="BP738" s="42" t="s">
        <v>152</v>
      </c>
      <c r="BQ738" s="46">
        <v>6993.1111100779899</v>
      </c>
      <c r="BR738" s="46">
        <v>663</v>
      </c>
      <c r="BS738" s="46">
        <v>35052</v>
      </c>
      <c r="BT738" s="46">
        <v>8725</v>
      </c>
      <c r="BU738" s="46">
        <v>4.0174212034383956</v>
      </c>
      <c r="BV738" s="46">
        <v>13.159879336349924</v>
      </c>
      <c r="BW738" s="46">
        <v>0</v>
      </c>
      <c r="BX738" s="46">
        <v>2116</v>
      </c>
      <c r="BY738" s="46">
        <v>2116</v>
      </c>
      <c r="BZ738" s="46">
        <v>0.2425214899713467</v>
      </c>
      <c r="CA738" s="46">
        <v>0</v>
      </c>
      <c r="CB738" s="46">
        <v>0.2425214899713467</v>
      </c>
      <c r="CC738" s="46">
        <v>0.16194842406876792</v>
      </c>
      <c r="CD738" s="46">
        <v>7.2206303724928365E-3</v>
      </c>
      <c r="CE738" s="46">
        <v>0</v>
      </c>
      <c r="CF738" s="46">
        <v>0.5846418338108883</v>
      </c>
      <c r="CG738" s="46">
        <v>3.0945558739255015E-3</v>
      </c>
      <c r="CH738" s="46">
        <v>5.7306590257879652E-4</v>
      </c>
      <c r="CI738" s="46">
        <v>9.3860550039940662</v>
      </c>
      <c r="CJ738" s="46">
        <v>0.39940659591464106</v>
      </c>
      <c r="CK738">
        <v>212</v>
      </c>
      <c r="CL738">
        <v>325.02999999999997</v>
      </c>
      <c r="CM738">
        <f t="shared" si="84"/>
        <v>113.02999999999997</v>
      </c>
      <c r="CN738">
        <v>5.43</v>
      </c>
      <c r="CO738">
        <v>9.4499999999999993</v>
      </c>
      <c r="CP738">
        <f t="shared" si="85"/>
        <v>4.0199999999999996</v>
      </c>
      <c r="CQ738">
        <v>846.56</v>
      </c>
      <c r="CR738">
        <v>446.94</v>
      </c>
      <c r="CS738">
        <f t="shared" si="86"/>
        <v>399.61999999999995</v>
      </c>
      <c r="CT738" t="s">
        <v>152</v>
      </c>
      <c r="CU738">
        <v>57.51</v>
      </c>
      <c r="CV738">
        <v>78</v>
      </c>
      <c r="CW738" s="46">
        <v>2116</v>
      </c>
      <c r="CX738" s="46">
        <f t="shared" si="80"/>
        <v>22.956676217765043</v>
      </c>
      <c r="CY738" s="46">
        <v>113.03</v>
      </c>
      <c r="CZ738" s="46">
        <f t="shared" si="81"/>
        <v>24.252148997134672</v>
      </c>
      <c r="DA738" s="46">
        <f t="shared" si="82"/>
        <v>116.95030453619188</v>
      </c>
      <c r="DB738" s="46">
        <v>1033610.3</v>
      </c>
      <c r="DC738" s="46">
        <f t="shared" si="83"/>
        <v>5.3921337673667091</v>
      </c>
      <c r="DD738" s="46">
        <v>47655.839999999997</v>
      </c>
      <c r="DE738" s="995">
        <v>2116</v>
      </c>
      <c r="DF738" s="995">
        <v>23.088000000000001</v>
      </c>
      <c r="DG738" s="995">
        <v>101.5</v>
      </c>
      <c r="DH738" s="995">
        <v>24.251999999999999</v>
      </c>
      <c r="DI738" s="995">
        <v>477.55500000000001</v>
      </c>
      <c r="DJ738" s="995">
        <v>4215165</v>
      </c>
      <c r="DK738" s="995">
        <v>21.573</v>
      </c>
      <c r="DL738" s="995">
        <v>190411.6</v>
      </c>
      <c r="DM738" s="995">
        <v>2116</v>
      </c>
      <c r="DN738" s="995">
        <v>23.167999999999999</v>
      </c>
      <c r="DO738" s="995">
        <v>94.6</v>
      </c>
      <c r="DP738" s="995">
        <v>24.251999999999999</v>
      </c>
      <c r="DQ738" s="995">
        <v>470.32299999999998</v>
      </c>
      <c r="DR738" s="995">
        <v>4148052</v>
      </c>
      <c r="DS738" s="995">
        <v>21.26</v>
      </c>
      <c r="DT738" s="995">
        <v>187504.2</v>
      </c>
    </row>
    <row r="739" spans="1:124">
      <c r="A739" s="42" t="s">
        <v>94</v>
      </c>
      <c r="B739" s="42" t="s">
        <v>502</v>
      </c>
      <c r="C739" s="42" t="s">
        <v>931</v>
      </c>
      <c r="D739" s="42">
        <v>916431</v>
      </c>
      <c r="E739" s="42" t="s">
        <v>978</v>
      </c>
      <c r="F739" s="42" t="s">
        <v>149</v>
      </c>
      <c r="G739" s="42" t="s">
        <v>150</v>
      </c>
      <c r="H739" s="43" t="s">
        <v>150</v>
      </c>
      <c r="I739" s="44">
        <v>50</v>
      </c>
      <c r="J739" s="45">
        <v>160730.63440000001</v>
      </c>
      <c r="K739" s="46">
        <v>12812.967674</v>
      </c>
      <c r="L739" s="47">
        <v>173543.60207399999</v>
      </c>
      <c r="M739" s="48">
        <v>3745792</v>
      </c>
      <c r="N739" s="49">
        <v>2369156</v>
      </c>
      <c r="O739" s="49">
        <v>1376636</v>
      </c>
      <c r="P739" s="49">
        <v>0</v>
      </c>
      <c r="Q739" s="50">
        <v>8571.6079633867303</v>
      </c>
      <c r="R739" s="51">
        <v>21461.110189513802</v>
      </c>
      <c r="S739" s="49">
        <v>32979.936003783201</v>
      </c>
      <c r="T739" s="49">
        <v>6632.4105285496998</v>
      </c>
      <c r="U739" s="49">
        <f>IFERROR(INDEX('Rentabilidad datos'!$N$2:$N$61,MATCH($C739,'Rentabilidad datos'!$C$2:$C$61,0)),"")</f>
        <v>61073.456721846684</v>
      </c>
      <c r="V739" s="50">
        <f>IFERROR(INDEX('Rentabilidad datos'!$O$2:$O$61,MATCH($C739,'Rentabilidad datos'!$C$2:$C$61,0)),"")</f>
        <v>1299.4352494009934</v>
      </c>
      <c r="W739" s="51">
        <f>IFERROR(INDEX('Rentabilidad datos'!$M$2:$M$61,MATCH($C739,'Rentabilidad datos'!$C$2:$C$61,0)),"")</f>
        <v>3641.9429094456564</v>
      </c>
      <c r="X739" s="52">
        <f>IFERROR(INDEX('Rentabilidad datos'!$P$2:$P$61,MATCH($C739,'Rentabilidad datos'!$C$2:$C$61,0)),"")</f>
        <v>0.35679725951519148</v>
      </c>
      <c r="Y739" s="43" t="s">
        <v>171</v>
      </c>
      <c r="Z739" s="53">
        <v>89.006864988558405</v>
      </c>
      <c r="AA739" s="43">
        <v>2</v>
      </c>
      <c r="AB739" s="54">
        <v>0.98859279960019131</v>
      </c>
      <c r="AC739" s="55">
        <v>1.1407200399808639E-2</v>
      </c>
      <c r="AD739" s="752" t="e">
        <f>_xlfn.XLOOKUP(Table1[[#This Row],[Ruta]],#REF!,#REF!)</f>
        <v>#REF!</v>
      </c>
      <c r="AE739" s="752" t="e">
        <f>_xlfn.XLOOKUP(Table1[[#This Row],[Ruta]],#REF!,#REF!)</f>
        <v>#REF!</v>
      </c>
      <c r="AF739" s="752" t="e">
        <f>_xlfn.XLOOKUP(Table1[[#This Row],[Ruta]],#REF!,#REF!)</f>
        <v>#REF!</v>
      </c>
      <c r="AG739" s="752" t="e">
        <f>_xlfn.XLOOKUP(Table1[[#This Row],[Ruta]],#REF!,#REF!)</f>
        <v>#REF!</v>
      </c>
      <c r="AH739" s="52">
        <v>0.6324846654592674</v>
      </c>
      <c r="AI739" s="52">
        <v>0.36751533454073265</v>
      </c>
      <c r="AJ739" s="55">
        <v>0</v>
      </c>
      <c r="AK739" s="56">
        <v>38896</v>
      </c>
      <c r="AL739" s="44">
        <v>11932</v>
      </c>
      <c r="AM739" s="54">
        <v>0.30676676264911601</v>
      </c>
      <c r="AN739" s="55">
        <v>0.62538735712289495</v>
      </c>
      <c r="AO739" s="56">
        <v>12393.0666426521</v>
      </c>
      <c r="AP739" s="48">
        <v>6196.5333213260501</v>
      </c>
      <c r="AQ739" s="55">
        <v>0.46607705988600495</v>
      </c>
      <c r="AR739" s="51">
        <v>3745792.68</v>
      </c>
      <c r="AS739" s="49">
        <v>1945267.2776063699</v>
      </c>
      <c r="AT739" s="55">
        <v>0.51932059347352078</v>
      </c>
      <c r="AU739" s="51">
        <v>1366944.5734531253</v>
      </c>
      <c r="AV739" s="52">
        <v>6.2183602221812491E-3</v>
      </c>
      <c r="AW739" s="44">
        <v>18</v>
      </c>
      <c r="AX739" s="51">
        <v>313.92831713040601</v>
      </c>
      <c r="AY739" s="49">
        <v>327.331066067118</v>
      </c>
      <c r="AZ739" s="49">
        <v>13.402748936711987</v>
      </c>
      <c r="BA739" s="42" t="s">
        <v>150</v>
      </c>
      <c r="BB739" s="50">
        <v>56188.670380189666</v>
      </c>
      <c r="BC739" s="57">
        <v>1423133.2438333151</v>
      </c>
      <c r="BD739" s="42" t="s">
        <v>150</v>
      </c>
      <c r="BE739" s="46">
        <v>89.006864988558405</v>
      </c>
      <c r="BF739" s="46">
        <v>77.052752293577996</v>
      </c>
      <c r="BG739" s="42" t="s">
        <v>150</v>
      </c>
      <c r="BH739" s="52">
        <v>0.30676676264911601</v>
      </c>
      <c r="BI739" s="52">
        <v>0.58451671985922604</v>
      </c>
      <c r="BJ739" s="42" t="s">
        <v>152</v>
      </c>
      <c r="BK739" s="46">
        <v>397.12494753775701</v>
      </c>
      <c r="BL739" s="46">
        <v>592.94411248383199</v>
      </c>
      <c r="BM739" s="42" t="s">
        <v>152</v>
      </c>
      <c r="BN739" s="48">
        <v>1</v>
      </c>
      <c r="BO739" s="42" t="s">
        <v>155</v>
      </c>
      <c r="BP739" s="42" t="s">
        <v>152</v>
      </c>
      <c r="BQ739" s="46">
        <v>7020.7837392105102</v>
      </c>
      <c r="BR739" s="46">
        <v>234</v>
      </c>
      <c r="BS739" s="46">
        <v>9471</v>
      </c>
      <c r="BT739" s="46">
        <v>2579</v>
      </c>
      <c r="BU739" s="46">
        <v>3.6723536254362155</v>
      </c>
      <c r="BV739" s="46">
        <v>11.021367521367521</v>
      </c>
      <c r="BW739" s="46">
        <v>0</v>
      </c>
      <c r="BX739" s="46">
        <v>1300</v>
      </c>
      <c r="BY739" s="46">
        <v>1300</v>
      </c>
      <c r="BZ739" s="46">
        <v>0.50407134548274524</v>
      </c>
      <c r="CA739" s="46">
        <v>0</v>
      </c>
      <c r="CB739" s="46">
        <v>0.50407134548274524</v>
      </c>
      <c r="CC739" s="46">
        <v>0.18883288096161299</v>
      </c>
      <c r="CD739" s="46">
        <v>0.30709577355564172</v>
      </c>
      <c r="CE739" s="46">
        <v>0</v>
      </c>
      <c r="CF739" s="46">
        <v>0</v>
      </c>
      <c r="CG739" s="46">
        <v>0</v>
      </c>
      <c r="CH739" s="46">
        <v>0</v>
      </c>
      <c r="CI739" s="46">
        <v>3.061978671734769</v>
      </c>
      <c r="CJ739" s="46">
        <v>0</v>
      </c>
      <c r="CK739">
        <v>316</v>
      </c>
      <c r="CL739">
        <v>401.32</v>
      </c>
      <c r="CM739">
        <f t="shared" si="84"/>
        <v>85.32</v>
      </c>
      <c r="CN739">
        <v>6.09</v>
      </c>
      <c r="CO739">
        <v>9.4499999999999993</v>
      </c>
      <c r="CP739">
        <f t="shared" si="85"/>
        <v>3.3599999999999994</v>
      </c>
      <c r="CQ739">
        <v>846.56</v>
      </c>
      <c r="CR739">
        <v>397.12</v>
      </c>
      <c r="CS739">
        <f t="shared" si="86"/>
        <v>449.43999999999994</v>
      </c>
      <c r="CT739" t="s">
        <v>152</v>
      </c>
      <c r="CU739">
        <v>64.489999999999995</v>
      </c>
      <c r="CV739">
        <v>67</v>
      </c>
      <c r="CW739" s="46">
        <v>1300</v>
      </c>
      <c r="CX739" s="46">
        <f t="shared" si="80"/>
        <v>47.098875533152388</v>
      </c>
      <c r="CY739" s="46">
        <v>85.32</v>
      </c>
      <c r="CZ739" s="46">
        <f t="shared" si="81"/>
        <v>50.407134548274527</v>
      </c>
      <c r="DA739" s="46">
        <f t="shared" si="82"/>
        <v>435.34412908359354</v>
      </c>
      <c r="DB739" s="46">
        <v>1159896.07</v>
      </c>
      <c r="DC739" s="46">
        <f t="shared" si="83"/>
        <v>18.516034110016815</v>
      </c>
      <c r="DD739" s="46">
        <v>49332.639999999999</v>
      </c>
      <c r="DE739" s="995">
        <v>1300</v>
      </c>
      <c r="DF739" s="995">
        <v>47.777000000000001</v>
      </c>
      <c r="DG739" s="995">
        <v>67.8</v>
      </c>
      <c r="DH739" s="995">
        <v>50.406999999999996</v>
      </c>
      <c r="DI739" s="995">
        <v>1419.6980000000001</v>
      </c>
      <c r="DJ739" s="995">
        <v>3757689</v>
      </c>
      <c r="DK739" s="995">
        <v>61.195</v>
      </c>
      <c r="DL739" s="995">
        <v>161973.20000000001</v>
      </c>
      <c r="DM739" s="995">
        <v>1300</v>
      </c>
      <c r="DN739" s="995">
        <v>48.136000000000003</v>
      </c>
      <c r="DO739" s="995">
        <v>58.6</v>
      </c>
      <c r="DP739" s="995">
        <v>50.406999999999996</v>
      </c>
      <c r="DQ739" s="995">
        <v>1391.058</v>
      </c>
      <c r="DR739" s="995">
        <v>3669012</v>
      </c>
      <c r="DS739" s="995">
        <v>59.94</v>
      </c>
      <c r="DT739" s="995">
        <v>158095.1</v>
      </c>
    </row>
    <row r="740" spans="1:124">
      <c r="A740" s="42" t="s">
        <v>94</v>
      </c>
      <c r="B740" s="42" t="s">
        <v>502</v>
      </c>
      <c r="C740" s="42" t="s">
        <v>931</v>
      </c>
      <c r="D740" s="42">
        <v>916432</v>
      </c>
      <c r="E740" s="42" t="s">
        <v>979</v>
      </c>
      <c r="F740" s="42" t="s">
        <v>149</v>
      </c>
      <c r="G740" s="42" t="s">
        <v>150</v>
      </c>
      <c r="H740" s="43" t="s">
        <v>150</v>
      </c>
      <c r="I740" s="44">
        <v>50</v>
      </c>
      <c r="J740" s="45">
        <v>265976.42399999901</v>
      </c>
      <c r="K740" s="46">
        <v>11198.939818000001</v>
      </c>
      <c r="L740" s="47">
        <v>277175.36381799902</v>
      </c>
      <c r="M740" s="48">
        <v>5293999</v>
      </c>
      <c r="N740" s="49">
        <v>3965765</v>
      </c>
      <c r="O740" s="49">
        <v>1328234</v>
      </c>
      <c r="P740" s="49">
        <v>0</v>
      </c>
      <c r="Q740" s="50">
        <v>12369.164182242999</v>
      </c>
      <c r="R740" s="51">
        <v>21461.110189513802</v>
      </c>
      <c r="S740" s="49">
        <v>32979.936003783201</v>
      </c>
      <c r="T740" s="49">
        <v>6632.4105285496998</v>
      </c>
      <c r="U740" s="49">
        <f>IFERROR(INDEX('Rentabilidad datos'!$N$2:$N$61,MATCH($C740,'Rentabilidad datos'!$C$2:$C$61,0)),"")</f>
        <v>61073.456721846684</v>
      </c>
      <c r="V740" s="50">
        <f>IFERROR(INDEX('Rentabilidad datos'!$O$2:$O$61,MATCH($C740,'Rentabilidad datos'!$C$2:$C$61,0)),"")</f>
        <v>1299.4352494009934</v>
      </c>
      <c r="W740" s="51">
        <f>IFERROR(INDEX('Rentabilidad datos'!$M$2:$M$61,MATCH($C740,'Rentabilidad datos'!$C$2:$C$61,0)),"")</f>
        <v>3641.9429094456564</v>
      </c>
      <c r="X740" s="52">
        <f>IFERROR(INDEX('Rentabilidad datos'!$P$2:$P$61,MATCH($C740,'Rentabilidad datos'!$C$2:$C$61,0)),"")</f>
        <v>0.35679725951519148</v>
      </c>
      <c r="Y740" s="43" t="s">
        <v>171</v>
      </c>
      <c r="Z740" s="53">
        <v>102.035971223022</v>
      </c>
      <c r="AA740" s="43">
        <v>2</v>
      </c>
      <c r="AB740" s="54">
        <v>0.97862258757510157</v>
      </c>
      <c r="AC740" s="55">
        <v>2.1377412424898455E-2</v>
      </c>
      <c r="AD740" s="752" t="e">
        <f>_xlfn.XLOOKUP(Table1[[#This Row],[Ruta]],#REF!,#REF!)</f>
        <v>#REF!</v>
      </c>
      <c r="AE740" s="752" t="e">
        <f>_xlfn.XLOOKUP(Table1[[#This Row],[Ruta]],#REF!,#REF!)</f>
        <v>#REF!</v>
      </c>
      <c r="AF740" s="752" t="e">
        <f>_xlfn.XLOOKUP(Table1[[#This Row],[Ruta]],#REF!,#REF!)</f>
        <v>#REF!</v>
      </c>
      <c r="AG740" s="752" t="e">
        <f>_xlfn.XLOOKUP(Table1[[#This Row],[Ruta]],#REF!,#REF!)</f>
        <v>#REF!</v>
      </c>
      <c r="AH740" s="52">
        <v>0.7491057327362548</v>
      </c>
      <c r="AI740" s="52">
        <v>0.25089426726374525</v>
      </c>
      <c r="AJ740" s="55">
        <v>0</v>
      </c>
      <c r="AK740" s="56">
        <v>42549</v>
      </c>
      <c r="AL740" s="44">
        <v>20731</v>
      </c>
      <c r="AM740" s="54">
        <v>0.48668593856494902</v>
      </c>
      <c r="AN740" s="55">
        <v>0.62538735712289495</v>
      </c>
      <c r="AO740" s="56">
        <v>5901.6066582220501</v>
      </c>
      <c r="AP740" s="48">
        <v>2950.8033291110251</v>
      </c>
      <c r="AQ740" s="55">
        <v>0.55657720108841635</v>
      </c>
      <c r="AR740" s="51">
        <v>5294002.2699999996</v>
      </c>
      <c r="AS740" s="49">
        <v>753536.22703377996</v>
      </c>
      <c r="AT740" s="55">
        <v>0.14233772269118805</v>
      </c>
      <c r="AU740" s="51">
        <v>529511.94332103478</v>
      </c>
      <c r="AV740" s="52">
        <v>2.4087999392685884E-3</v>
      </c>
      <c r="AW740" s="44">
        <v>140</v>
      </c>
      <c r="AX740" s="51">
        <v>255.36646905600301</v>
      </c>
      <c r="AY740" s="49">
        <v>327.331066067118</v>
      </c>
      <c r="AZ740" s="49">
        <v>71.964597011114989</v>
      </c>
      <c r="BA740" s="42" t="s">
        <v>150</v>
      </c>
      <c r="BB740" s="50">
        <v>524180.39968341979</v>
      </c>
      <c r="BC740" s="57">
        <v>1053692.3430044546</v>
      </c>
      <c r="BD740" s="42" t="s">
        <v>150</v>
      </c>
      <c r="BE740" s="46">
        <v>102.035971223022</v>
      </c>
      <c r="BF740" s="46">
        <v>77.052752293577996</v>
      </c>
      <c r="BG740" s="42" t="s">
        <v>150</v>
      </c>
      <c r="BH740" s="52">
        <v>0.48668593856494902</v>
      </c>
      <c r="BI740" s="52">
        <v>0.58451671985922604</v>
      </c>
      <c r="BJ740" s="42" t="s">
        <v>152</v>
      </c>
      <c r="BK740" s="46">
        <v>647.605990228971</v>
      </c>
      <c r="BL740" s="46">
        <v>592.94411248383199</v>
      </c>
      <c r="BM740" s="42" t="s">
        <v>150</v>
      </c>
      <c r="BN740" s="48">
        <v>2</v>
      </c>
      <c r="BO740" s="42" t="s">
        <v>161</v>
      </c>
      <c r="BP740" s="42" t="s">
        <v>152</v>
      </c>
      <c r="BQ740" s="46">
        <v>1632.8053770087499</v>
      </c>
      <c r="BR740" s="46">
        <v>264</v>
      </c>
      <c r="BS740" s="46">
        <v>0</v>
      </c>
      <c r="BT740" s="46">
        <v>0</v>
      </c>
      <c r="BU740" s="46" t="s">
        <v>194</v>
      </c>
      <c r="BV740" s="46">
        <v>0</v>
      </c>
      <c r="BW740" s="46">
        <v>0</v>
      </c>
      <c r="BX740" s="46">
        <v>0</v>
      </c>
      <c r="BY740" s="46">
        <v>0</v>
      </c>
      <c r="BZ740" s="46" t="s">
        <v>194</v>
      </c>
      <c r="CA740" s="46" t="s">
        <v>194</v>
      </c>
      <c r="CB740" s="46" t="s">
        <v>194</v>
      </c>
      <c r="CC740" s="46" t="s">
        <v>194</v>
      </c>
      <c r="CD740" s="46" t="s">
        <v>194</v>
      </c>
      <c r="CE740" s="46" t="s">
        <v>194</v>
      </c>
      <c r="CF740" s="46" t="s">
        <v>194</v>
      </c>
      <c r="CG740" s="46" t="s">
        <v>194</v>
      </c>
      <c r="CH740" s="46" t="s">
        <v>194</v>
      </c>
      <c r="CI740" s="46" t="s">
        <v>194</v>
      </c>
      <c r="CJ740" s="46" t="s">
        <v>194</v>
      </c>
      <c r="CK740">
        <v>388</v>
      </c>
      <c r="CL740">
        <v>388</v>
      </c>
      <c r="CM740">
        <f t="shared" si="84"/>
        <v>0</v>
      </c>
      <c r="CO740">
        <v>9.4499999999999993</v>
      </c>
      <c r="CP740">
        <f t="shared" si="85"/>
        <v>9.4499999999999993</v>
      </c>
      <c r="CS740">
        <f t="shared" si="86"/>
        <v>0</v>
      </c>
      <c r="CV740">
        <v>0</v>
      </c>
      <c r="CW740" s="46">
        <v>0</v>
      </c>
      <c r="CX740" s="46" t="e">
        <f t="shared" si="80"/>
        <v>#DIV/0!</v>
      </c>
      <c r="CY740" s="46">
        <v>0</v>
      </c>
      <c r="CZ740" s="46" t="e">
        <f t="shared" si="81"/>
        <v>#DIV/0!</v>
      </c>
      <c r="DA740" s="46" t="e">
        <f t="shared" si="82"/>
        <v>#DIV/0!</v>
      </c>
      <c r="DB740" s="46">
        <v>0</v>
      </c>
      <c r="DC740" s="46" t="e">
        <f t="shared" si="83"/>
        <v>#DIV/0!</v>
      </c>
      <c r="DD740" s="46">
        <v>0</v>
      </c>
      <c r="DE740" s="995" t="s">
        <v>194</v>
      </c>
      <c r="DF740" s="995" t="s">
        <v>194</v>
      </c>
      <c r="DG740" s="995" t="s">
        <v>194</v>
      </c>
      <c r="DH740" s="995" t="s">
        <v>194</v>
      </c>
      <c r="DI740" s="995" t="s">
        <v>194</v>
      </c>
      <c r="DJ740" s="995" t="s">
        <v>194</v>
      </c>
      <c r="DK740" s="995" t="s">
        <v>194</v>
      </c>
      <c r="DL740" s="995" t="s">
        <v>194</v>
      </c>
      <c r="DM740" s="995" t="s">
        <v>194</v>
      </c>
      <c r="DN740" s="995" t="s">
        <v>194</v>
      </c>
      <c r="DO740" s="995" t="s">
        <v>194</v>
      </c>
      <c r="DP740" s="995" t="s">
        <v>194</v>
      </c>
      <c r="DQ740" s="995" t="s">
        <v>194</v>
      </c>
      <c r="DR740" s="995" t="s">
        <v>194</v>
      </c>
      <c r="DS740" s="995" t="s">
        <v>194</v>
      </c>
      <c r="DT740" s="995" t="s">
        <v>194</v>
      </c>
    </row>
    <row r="741" spans="1:124">
      <c r="A741" s="42" t="s">
        <v>94</v>
      </c>
      <c r="B741" s="42" t="s">
        <v>502</v>
      </c>
      <c r="C741" s="42" t="s">
        <v>931</v>
      </c>
      <c r="D741" s="42">
        <v>916433</v>
      </c>
      <c r="E741" s="42" t="s">
        <v>980</v>
      </c>
      <c r="F741" s="42" t="s">
        <v>149</v>
      </c>
      <c r="G741" s="42" t="s">
        <v>150</v>
      </c>
      <c r="H741" s="43" t="s">
        <v>150</v>
      </c>
      <c r="I741" s="44">
        <v>50</v>
      </c>
      <c r="J741" s="45">
        <v>165302.7096</v>
      </c>
      <c r="K741" s="46">
        <v>8121.5159489999996</v>
      </c>
      <c r="L741" s="47">
        <v>173424.225549</v>
      </c>
      <c r="M741" s="48">
        <v>3508799</v>
      </c>
      <c r="N741" s="49">
        <v>2441263</v>
      </c>
      <c r="O741" s="49">
        <v>1067536</v>
      </c>
      <c r="P741" s="49">
        <v>0</v>
      </c>
      <c r="Q741" s="50">
        <v>8159.9975813953497</v>
      </c>
      <c r="R741" s="51">
        <v>21461.110189513802</v>
      </c>
      <c r="S741" s="49">
        <v>32979.936003783201</v>
      </c>
      <c r="T741" s="49">
        <v>6632.4105285496998</v>
      </c>
      <c r="U741" s="49">
        <f>IFERROR(INDEX('Rentabilidad datos'!$N$2:$N$61,MATCH($C741,'Rentabilidad datos'!$C$2:$C$61,0)),"")</f>
        <v>61073.456721846684</v>
      </c>
      <c r="V741" s="50">
        <f>IFERROR(INDEX('Rentabilidad datos'!$O$2:$O$61,MATCH($C741,'Rentabilidad datos'!$C$2:$C$61,0)),"")</f>
        <v>1299.4352494009934</v>
      </c>
      <c r="W741" s="51">
        <f>IFERROR(INDEX('Rentabilidad datos'!$M$2:$M$61,MATCH($C741,'Rentabilidad datos'!$C$2:$C$61,0)),"")</f>
        <v>3641.9429094456564</v>
      </c>
      <c r="X741" s="52">
        <f>IFERROR(INDEX('Rentabilidad datos'!$P$2:$P$61,MATCH($C741,'Rentabilidad datos'!$C$2:$C$61,0)),"")</f>
        <v>0.35679725951519148</v>
      </c>
      <c r="Y741" s="43" t="s">
        <v>171</v>
      </c>
      <c r="Z741" s="53">
        <v>74.3720930232558</v>
      </c>
      <c r="AA741" s="43">
        <v>2</v>
      </c>
      <c r="AB741" s="54">
        <v>0.96730932720854057</v>
      </c>
      <c r="AC741" s="55">
        <v>3.2690672791459416E-2</v>
      </c>
      <c r="AD741" s="752" t="e">
        <f>_xlfn.XLOOKUP(Table1[[#This Row],[Ruta]],#REF!,#REF!)</f>
        <v>#REF!</v>
      </c>
      <c r="AE741" s="752" t="e">
        <f>_xlfn.XLOOKUP(Table1[[#This Row],[Ruta]],#REF!,#REF!)</f>
        <v>#REF!</v>
      </c>
      <c r="AF741" s="752" t="e">
        <f>_xlfn.XLOOKUP(Table1[[#This Row],[Ruta]],#REF!,#REF!)</f>
        <v>#REF!</v>
      </c>
      <c r="AG741" s="752" t="e">
        <f>_xlfn.XLOOKUP(Table1[[#This Row],[Ruta]],#REF!,#REF!)</f>
        <v>#REF!</v>
      </c>
      <c r="AH741" s="52">
        <v>0.69575458725335937</v>
      </c>
      <c r="AI741" s="52">
        <v>0.30424541274664069</v>
      </c>
      <c r="AJ741" s="55">
        <v>0</v>
      </c>
      <c r="AK741" s="56">
        <v>31980</v>
      </c>
      <c r="AL741" s="44">
        <v>11710</v>
      </c>
      <c r="AM741" s="54">
        <v>0.36616635397123198</v>
      </c>
      <c r="AN741" s="55">
        <v>0.62538735712289495</v>
      </c>
      <c r="AO741" s="56">
        <v>8289.8876807901797</v>
      </c>
      <c r="AP741" s="48">
        <v>4144.9438403950899</v>
      </c>
      <c r="AQ741" s="55">
        <v>0.49577685554706347</v>
      </c>
      <c r="AR741" s="51">
        <v>3508798.96</v>
      </c>
      <c r="AS741" s="49">
        <v>1241996.126083405</v>
      </c>
      <c r="AT741" s="55">
        <v>0.35396616911999002</v>
      </c>
      <c r="AU741" s="51">
        <v>872754.03454509575</v>
      </c>
      <c r="AV741" s="52">
        <v>3.9702406941443755E-3</v>
      </c>
      <c r="AW741" s="44">
        <v>61</v>
      </c>
      <c r="AX741" s="51">
        <v>299.64124338172502</v>
      </c>
      <c r="AY741" s="49">
        <v>327.331066067118</v>
      </c>
      <c r="AZ741" s="49">
        <v>27.689822685392983</v>
      </c>
      <c r="BA741" s="42" t="s">
        <v>150</v>
      </c>
      <c r="BB741" s="50">
        <v>113924.91101073987</v>
      </c>
      <c r="BC741" s="57">
        <v>986678.94555583561</v>
      </c>
      <c r="BD741" s="42" t="s">
        <v>150</v>
      </c>
      <c r="BE741" s="46">
        <v>74.3720930232558</v>
      </c>
      <c r="BF741" s="46">
        <v>77.052752293577996</v>
      </c>
      <c r="BG741" s="42" t="s">
        <v>152</v>
      </c>
      <c r="BH741" s="52">
        <v>0.36616635397123198</v>
      </c>
      <c r="BI741" s="52">
        <v>0.58451671985922604</v>
      </c>
      <c r="BJ741" s="42" t="s">
        <v>152</v>
      </c>
      <c r="BK741" s="46">
        <v>403.312152439535</v>
      </c>
      <c r="BL741" s="46">
        <v>592.94411248383199</v>
      </c>
      <c r="BM741" s="42" t="s">
        <v>152</v>
      </c>
      <c r="BN741" s="48">
        <v>0</v>
      </c>
      <c r="BO741" s="42" t="s">
        <v>155</v>
      </c>
      <c r="BP741" s="42" t="s">
        <v>152</v>
      </c>
      <c r="BQ741" s="46">
        <v>6620.5588618051097</v>
      </c>
      <c r="BR741" s="46">
        <v>467</v>
      </c>
      <c r="BS741" s="46">
        <v>14129</v>
      </c>
      <c r="BT741" s="46">
        <v>3786</v>
      </c>
      <c r="BU741" s="46">
        <v>3.7319070258848388</v>
      </c>
      <c r="BV741" s="46">
        <v>8.1070663811563168</v>
      </c>
      <c r="BW741" s="46">
        <v>0</v>
      </c>
      <c r="BX741" s="46">
        <v>1091</v>
      </c>
      <c r="BY741" s="46">
        <v>1091</v>
      </c>
      <c r="BZ741" s="46">
        <v>0.28816693079767564</v>
      </c>
      <c r="CA741" s="46">
        <v>0</v>
      </c>
      <c r="CB741" s="46">
        <v>0.28816693079767558</v>
      </c>
      <c r="CC741" s="46">
        <v>0.37744321183306923</v>
      </c>
      <c r="CD741" s="46">
        <v>3.69783412572636E-3</v>
      </c>
      <c r="CE741" s="46">
        <v>0</v>
      </c>
      <c r="CF741" s="46">
        <v>0.3301637612255679</v>
      </c>
      <c r="CG741" s="46">
        <v>0</v>
      </c>
      <c r="CH741" s="46">
        <v>5.2826201796090863E-4</v>
      </c>
      <c r="CI741" s="46">
        <v>4.4589142897586527</v>
      </c>
      <c r="CJ741" s="46">
        <v>0.21232925189326909</v>
      </c>
      <c r="CK741">
        <v>349</v>
      </c>
      <c r="CL741">
        <v>371.82</v>
      </c>
      <c r="CM741">
        <f t="shared" si="84"/>
        <v>22.819999999999993</v>
      </c>
      <c r="CN741">
        <v>7.63</v>
      </c>
      <c r="CO741">
        <v>9.4499999999999993</v>
      </c>
      <c r="CP741">
        <f t="shared" si="85"/>
        <v>1.8199999999999994</v>
      </c>
      <c r="CQ741">
        <v>846.56</v>
      </c>
      <c r="CR741">
        <v>403.31</v>
      </c>
      <c r="CS741">
        <f t="shared" si="86"/>
        <v>443.24999999999994</v>
      </c>
      <c r="CT741" t="s">
        <v>152</v>
      </c>
      <c r="CU741">
        <v>80.709999999999994</v>
      </c>
      <c r="CV741">
        <v>26</v>
      </c>
      <c r="CW741" s="46">
        <v>1091</v>
      </c>
      <c r="CX741" s="46">
        <f t="shared" si="80"/>
        <v>28.213946117274169</v>
      </c>
      <c r="CY741" s="46">
        <v>22.82</v>
      </c>
      <c r="CZ741" s="46">
        <f t="shared" si="81"/>
        <v>28.816693079767564</v>
      </c>
      <c r="DA741" s="46">
        <f t="shared" si="82"/>
        <v>54.033721730089631</v>
      </c>
      <c r="DB741" s="46">
        <v>205804.72</v>
      </c>
      <c r="DC741" s="46">
        <f t="shared" si="83"/>
        <v>2.5003596914529957</v>
      </c>
      <c r="DD741" s="46">
        <v>9523.42</v>
      </c>
      <c r="DE741" s="995">
        <v>1091</v>
      </c>
      <c r="DF741" s="995">
        <v>28.363</v>
      </c>
      <c r="DG741" s="995">
        <v>17.2</v>
      </c>
      <c r="DH741" s="995">
        <v>28.817</v>
      </c>
      <c r="DI741" s="995">
        <v>837.03599999999994</v>
      </c>
      <c r="DJ741" s="995">
        <v>3183408</v>
      </c>
      <c r="DK741" s="995">
        <v>39.497999999999998</v>
      </c>
      <c r="DL741" s="995">
        <v>150218.4</v>
      </c>
      <c r="DM741" s="995">
        <v>1091</v>
      </c>
      <c r="DN741" s="995">
        <v>28.399000000000001</v>
      </c>
      <c r="DO741" s="995">
        <v>15.8</v>
      </c>
      <c r="DP741" s="995">
        <v>28.817</v>
      </c>
      <c r="DQ741" s="995">
        <v>834.08</v>
      </c>
      <c r="DR741" s="995">
        <v>3171021</v>
      </c>
      <c r="DS741" s="995">
        <v>39.360999999999997</v>
      </c>
      <c r="DT741" s="995">
        <v>149645.20000000001</v>
      </c>
    </row>
    <row r="742" spans="1:124">
      <c r="A742" s="42" t="s">
        <v>94</v>
      </c>
      <c r="B742" s="42" t="s">
        <v>502</v>
      </c>
      <c r="C742" s="42" t="s">
        <v>931</v>
      </c>
      <c r="D742" s="42">
        <v>916434</v>
      </c>
      <c r="E742" s="42" t="s">
        <v>981</v>
      </c>
      <c r="F742" s="42" t="s">
        <v>149</v>
      </c>
      <c r="G742" s="42" t="s">
        <v>150</v>
      </c>
      <c r="H742" s="43" t="s">
        <v>150</v>
      </c>
      <c r="I742" s="44">
        <v>50</v>
      </c>
      <c r="J742" s="45">
        <v>297167.27599999902</v>
      </c>
      <c r="K742" s="46">
        <v>18591.613756999999</v>
      </c>
      <c r="L742" s="47">
        <v>315758.88975700003</v>
      </c>
      <c r="M742" s="48">
        <v>7071034</v>
      </c>
      <c r="N742" s="49">
        <v>4443846</v>
      </c>
      <c r="O742" s="49">
        <v>2627188</v>
      </c>
      <c r="P742" s="49">
        <v>0</v>
      </c>
      <c r="Q742" s="50">
        <v>16175.712974828401</v>
      </c>
      <c r="R742" s="51">
        <v>21461.110189513802</v>
      </c>
      <c r="S742" s="49">
        <v>32979.936003783201</v>
      </c>
      <c r="T742" s="49">
        <v>6632.4105285496998</v>
      </c>
      <c r="U742" s="49">
        <f>IFERROR(INDEX('Rentabilidad datos'!$N$2:$N$61,MATCH($C742,'Rentabilidad datos'!$C$2:$C$61,0)),"")</f>
        <v>61073.456721846684</v>
      </c>
      <c r="V742" s="50">
        <f>IFERROR(INDEX('Rentabilidad datos'!$O$2:$O$61,MATCH($C742,'Rentabilidad datos'!$C$2:$C$61,0)),"")</f>
        <v>1299.4352494009934</v>
      </c>
      <c r="W742" s="51">
        <f>IFERROR(INDEX('Rentabilidad datos'!$M$2:$M$61,MATCH($C742,'Rentabilidad datos'!$C$2:$C$61,0)),"")</f>
        <v>3641.9429094456564</v>
      </c>
      <c r="X742" s="52">
        <f>IFERROR(INDEX('Rentabilidad datos'!$P$2:$P$61,MATCH($C742,'Rentabilidad datos'!$C$2:$C$61,0)),"")</f>
        <v>0.35679725951519148</v>
      </c>
      <c r="Y742" s="43" t="s">
        <v>171</v>
      </c>
      <c r="Z742" s="53">
        <v>109.66361556064101</v>
      </c>
      <c r="AA742" s="43">
        <v>2</v>
      </c>
      <c r="AB742" s="54">
        <v>0.95736436849264195</v>
      </c>
      <c r="AC742" s="55">
        <v>4.2635631507358045E-2</v>
      </c>
      <c r="AD742" s="752" t="e">
        <f>_xlfn.XLOOKUP(Table1[[#This Row],[Ruta]],#REF!,#REF!)</f>
        <v>#REF!</v>
      </c>
      <c r="AE742" s="752" t="e">
        <f>_xlfn.XLOOKUP(Table1[[#This Row],[Ruta]],#REF!,#REF!)</f>
        <v>#REF!</v>
      </c>
      <c r="AF742" s="752" t="e">
        <f>_xlfn.XLOOKUP(Table1[[#This Row],[Ruta]],#REF!,#REF!)</f>
        <v>#REF!</v>
      </c>
      <c r="AG742" s="752" t="e">
        <f>_xlfn.XLOOKUP(Table1[[#This Row],[Ruta]],#REF!,#REF!)</f>
        <v>#REF!</v>
      </c>
      <c r="AH742" s="52">
        <v>0.62845773333857535</v>
      </c>
      <c r="AI742" s="52">
        <v>0.37154226666142465</v>
      </c>
      <c r="AJ742" s="55">
        <v>0</v>
      </c>
      <c r="AK742" s="56">
        <v>47923</v>
      </c>
      <c r="AL742" s="44">
        <v>26670</v>
      </c>
      <c r="AM742" s="54">
        <v>0.55651774721949798</v>
      </c>
      <c r="AN742" s="55">
        <v>0.62538735712289495</v>
      </c>
      <c r="AO742" s="56">
        <v>3300.43831540049</v>
      </c>
      <c r="AP742" s="48">
        <v>1650.219157700245</v>
      </c>
      <c r="AQ742" s="55">
        <v>0.59095255217119635</v>
      </c>
      <c r="AR742" s="51">
        <v>7068786.5700000003</v>
      </c>
      <c r="AS742" s="49">
        <v>437384.59015778801</v>
      </c>
      <c r="AT742" s="55">
        <v>6.1875483978261918E-2</v>
      </c>
      <c r="AU742" s="51">
        <v>307351.3336243917</v>
      </c>
      <c r="AV742" s="52">
        <v>1.398170302118555E-3</v>
      </c>
      <c r="AW742" s="44">
        <v>238</v>
      </c>
      <c r="AX742" s="51">
        <v>265.04636557930297</v>
      </c>
      <c r="AY742" s="49">
        <v>327.331066067118</v>
      </c>
      <c r="AZ742" s="49">
        <v>62.28470048781503</v>
      </c>
      <c r="BA742" s="42" t="s">
        <v>150</v>
      </c>
      <c r="BB742" s="50">
        <v>583641.3109764962</v>
      </c>
      <c r="BC742" s="57">
        <v>890992.6446008879</v>
      </c>
      <c r="BD742" s="42" t="s">
        <v>150</v>
      </c>
      <c r="BE742" s="46">
        <v>109.66361556064101</v>
      </c>
      <c r="BF742" s="46">
        <v>77.052752293577996</v>
      </c>
      <c r="BG742" s="42" t="s">
        <v>150</v>
      </c>
      <c r="BH742" s="52">
        <v>0.55651774721949798</v>
      </c>
      <c r="BI742" s="52">
        <v>0.58451671985922604</v>
      </c>
      <c r="BJ742" s="42" t="s">
        <v>152</v>
      </c>
      <c r="BK742" s="46">
        <v>722.56038845995295</v>
      </c>
      <c r="BL742" s="46">
        <v>592.94411248383199</v>
      </c>
      <c r="BM742" s="42" t="s">
        <v>150</v>
      </c>
      <c r="BN742" s="48">
        <v>2</v>
      </c>
      <c r="BO742" s="42" t="s">
        <v>161</v>
      </c>
      <c r="BP742" s="42" t="s">
        <v>152</v>
      </c>
      <c r="BQ742" s="46">
        <v>0</v>
      </c>
      <c r="BR742" s="46">
        <v>446</v>
      </c>
      <c r="BS742" s="46">
        <v>0</v>
      </c>
      <c r="BT742" s="46">
        <v>0</v>
      </c>
      <c r="BU742" s="46" t="s">
        <v>194</v>
      </c>
      <c r="BV742" s="46">
        <v>0</v>
      </c>
      <c r="BW742" s="46">
        <v>0</v>
      </c>
      <c r="BX742" s="46">
        <v>0</v>
      </c>
      <c r="BY742" s="46">
        <v>0</v>
      </c>
      <c r="BZ742" s="46" t="s">
        <v>194</v>
      </c>
      <c r="CA742" s="46" t="s">
        <v>194</v>
      </c>
      <c r="CB742" s="46" t="s">
        <v>194</v>
      </c>
      <c r="CC742" s="46" t="s">
        <v>194</v>
      </c>
      <c r="CD742" s="46" t="s">
        <v>194</v>
      </c>
      <c r="CE742" s="46" t="s">
        <v>194</v>
      </c>
      <c r="CF742" s="46" t="s">
        <v>194</v>
      </c>
      <c r="CG742" s="46" t="s">
        <v>194</v>
      </c>
      <c r="CH742" s="46" t="s">
        <v>194</v>
      </c>
      <c r="CI742" s="46" t="s">
        <v>194</v>
      </c>
      <c r="CJ742" s="46" t="s">
        <v>194</v>
      </c>
      <c r="CK742">
        <v>605</v>
      </c>
      <c r="CL742">
        <v>605</v>
      </c>
      <c r="CM742">
        <f t="shared" si="84"/>
        <v>0</v>
      </c>
      <c r="CO742">
        <v>9.4499999999999993</v>
      </c>
      <c r="CP742">
        <f t="shared" si="85"/>
        <v>9.4499999999999993</v>
      </c>
      <c r="CS742">
        <f t="shared" si="86"/>
        <v>0</v>
      </c>
      <c r="CV742">
        <v>0</v>
      </c>
      <c r="CW742" s="46">
        <v>0</v>
      </c>
      <c r="CX742" s="46" t="e">
        <f t="shared" si="80"/>
        <v>#DIV/0!</v>
      </c>
      <c r="CY742" s="46">
        <v>0</v>
      </c>
      <c r="CZ742" s="46" t="e">
        <f t="shared" si="81"/>
        <v>#DIV/0!</v>
      </c>
      <c r="DA742" s="46" t="e">
        <f t="shared" si="82"/>
        <v>#DIV/0!</v>
      </c>
      <c r="DB742" s="46">
        <v>0</v>
      </c>
      <c r="DC742" s="46" t="e">
        <f t="shared" si="83"/>
        <v>#DIV/0!</v>
      </c>
      <c r="DD742" s="46">
        <v>0</v>
      </c>
      <c r="DE742" s="995" t="s">
        <v>194</v>
      </c>
      <c r="DF742" s="995" t="s">
        <v>194</v>
      </c>
      <c r="DG742" s="995" t="s">
        <v>194</v>
      </c>
      <c r="DH742" s="995" t="s">
        <v>194</v>
      </c>
      <c r="DI742" s="995" t="s">
        <v>194</v>
      </c>
      <c r="DJ742" s="995" t="s">
        <v>194</v>
      </c>
      <c r="DK742" s="995" t="s">
        <v>194</v>
      </c>
      <c r="DL742" s="995" t="s">
        <v>194</v>
      </c>
      <c r="DM742" s="995" t="s">
        <v>194</v>
      </c>
      <c r="DN742" s="995" t="s">
        <v>194</v>
      </c>
      <c r="DO742" s="995" t="s">
        <v>194</v>
      </c>
      <c r="DP742" s="995" t="s">
        <v>194</v>
      </c>
      <c r="DQ742" s="995" t="s">
        <v>194</v>
      </c>
      <c r="DR742" s="995" t="s">
        <v>194</v>
      </c>
      <c r="DS742" s="995" t="s">
        <v>194</v>
      </c>
      <c r="DT742" s="995" t="s">
        <v>194</v>
      </c>
    </row>
    <row r="743" spans="1:124">
      <c r="A743" s="42" t="s">
        <v>95</v>
      </c>
      <c r="B743" s="42" t="s">
        <v>982</v>
      </c>
      <c r="C743" s="42" t="s">
        <v>983</v>
      </c>
      <c r="D743" s="42">
        <v>501300</v>
      </c>
      <c r="E743" s="42" t="s">
        <v>984</v>
      </c>
      <c r="F743" s="42" t="s">
        <v>149</v>
      </c>
      <c r="G743" s="42" t="s">
        <v>150</v>
      </c>
      <c r="H743" s="43" t="s">
        <v>150</v>
      </c>
      <c r="I743" s="44">
        <v>7</v>
      </c>
      <c r="J743" s="45">
        <v>0</v>
      </c>
      <c r="K743" s="46">
        <v>13676.974724</v>
      </c>
      <c r="L743" s="47">
        <v>13676.974724</v>
      </c>
      <c r="M743" s="48">
        <v>1713439</v>
      </c>
      <c r="N743" s="49">
        <v>0</v>
      </c>
      <c r="O743" s="49">
        <v>1713439</v>
      </c>
      <c r="P743" s="49">
        <v>0</v>
      </c>
      <c r="Q743" s="50">
        <v>3920.91073226545</v>
      </c>
      <c r="R743" s="51">
        <v>947.06873549320005</v>
      </c>
      <c r="S743" s="49">
        <v>6676.7025037403</v>
      </c>
      <c r="T743" s="49">
        <v>1088.27614077217</v>
      </c>
      <c r="U743" s="49">
        <f>IFERROR(INDEX('Rentabilidad datos'!$N$2:$N$61,MATCH($C743,'Rentabilidad datos'!$C$2:$C$61,0)),"")</f>
        <v>8712.0473800056734</v>
      </c>
      <c r="V743" s="50">
        <f>IFERROR(INDEX('Rentabilidad datos'!$O$2:$O$61,MATCH($C743,'Rentabilidad datos'!$C$2:$C$61,0)),"")</f>
        <v>1452.0078966676122</v>
      </c>
      <c r="W743" s="51">
        <f>IFERROR(INDEX('Rentabilidad datos'!$M$2:$M$61,MATCH($C743,'Rentabilidad datos'!$C$2:$C$61,0)),"")</f>
        <v>1247.7563200000006</v>
      </c>
      <c r="X743" s="52">
        <f>IFERROR(INDEX('Rentabilidad datos'!$P$2:$P$61,MATCH($C743,'Rentabilidad datos'!$C$2:$C$61,0)),"")</f>
        <v>1.1636950848444603</v>
      </c>
      <c r="Y743" s="43" t="s">
        <v>160</v>
      </c>
      <c r="Z743" s="53">
        <v>39.180778032036599</v>
      </c>
      <c r="AA743" s="43">
        <v>1</v>
      </c>
      <c r="AB743" s="54">
        <v>0.83405011792074302</v>
      </c>
      <c r="AC743" s="55">
        <v>0.16594988207925698</v>
      </c>
      <c r="AD743" s="752" t="e">
        <f>_xlfn.XLOOKUP(Table1[[#This Row],[Ruta]],#REF!,#REF!)</f>
        <v>#REF!</v>
      </c>
      <c r="AE743" s="752" t="e">
        <f>_xlfn.XLOOKUP(Table1[[#This Row],[Ruta]],#REF!,#REF!)</f>
        <v>#REF!</v>
      </c>
      <c r="AF743" s="752" t="e">
        <f>_xlfn.XLOOKUP(Table1[[#This Row],[Ruta]],#REF!,#REF!)</f>
        <v>#REF!</v>
      </c>
      <c r="AG743" s="752" t="e">
        <f>_xlfn.XLOOKUP(Table1[[#This Row],[Ruta]],#REF!,#REF!)</f>
        <v>#REF!</v>
      </c>
      <c r="AH743" s="52">
        <v>0</v>
      </c>
      <c r="AI743" s="52">
        <v>1</v>
      </c>
      <c r="AJ743" s="55">
        <v>0</v>
      </c>
      <c r="AK743" s="56">
        <v>17122</v>
      </c>
      <c r="AL743" s="44">
        <v>5744</v>
      </c>
      <c r="AM743" s="54">
        <v>0.33547482770704401</v>
      </c>
      <c r="AN743" s="55">
        <v>0.41317694766155399</v>
      </c>
      <c r="AO743" s="56">
        <v>1330.41569786114</v>
      </c>
      <c r="AP743" s="48">
        <v>665.20784893056998</v>
      </c>
      <c r="AQ743" s="55">
        <v>0.37432588768429914</v>
      </c>
      <c r="AR743" s="51">
        <v>1713437.99</v>
      </c>
      <c r="AS743" s="49">
        <v>198431.824443561</v>
      </c>
      <c r="AT743" s="55">
        <v>0.11580916590016835</v>
      </c>
      <c r="AU743" s="51">
        <v>139438.57933871858</v>
      </c>
      <c r="AV743" s="52">
        <v>6.3431929284957602E-4</v>
      </c>
      <c r="AW743" s="44">
        <v>359</v>
      </c>
      <c r="AX743" s="51">
        <v>298.30048572423402</v>
      </c>
      <c r="AY743" s="49">
        <v>346.57471852699899</v>
      </c>
      <c r="AZ743" s="49">
        <v>48.274232802764971</v>
      </c>
      <c r="BA743" s="42" t="s">
        <v>150</v>
      </c>
      <c r="BB743" s="50">
        <v>97425.230049947757</v>
      </c>
      <c r="BC743" s="57">
        <v>236863.80938866636</v>
      </c>
      <c r="BD743" s="42" t="s">
        <v>150</v>
      </c>
      <c r="BE743" s="46">
        <v>39.180778032036599</v>
      </c>
      <c r="BF743" s="46">
        <v>42.389668353896496</v>
      </c>
      <c r="BG743" s="42" t="s">
        <v>152</v>
      </c>
      <c r="BH743" s="52">
        <v>0.33547482770704401</v>
      </c>
      <c r="BI743" s="52">
        <v>0.45227444211977702</v>
      </c>
      <c r="BJ743" s="42" t="s">
        <v>152</v>
      </c>
      <c r="BK743" s="46">
        <v>31.297424997711701</v>
      </c>
      <c r="BL743" s="46">
        <v>44.5370219668091</v>
      </c>
      <c r="BM743" s="42" t="s">
        <v>152</v>
      </c>
      <c r="BN743" s="48">
        <v>0</v>
      </c>
      <c r="BO743" s="42" t="s">
        <v>155</v>
      </c>
      <c r="BP743" s="42" t="s">
        <v>152</v>
      </c>
      <c r="BQ743" s="46">
        <v>904.82329596071099</v>
      </c>
      <c r="BR743" s="46">
        <v>1825</v>
      </c>
      <c r="BS743" s="46">
        <v>105181</v>
      </c>
      <c r="BT743" s="46">
        <v>31422</v>
      </c>
      <c r="BU743" s="46">
        <v>3.3473680860543569</v>
      </c>
      <c r="BV743" s="46">
        <v>17.217534246575344</v>
      </c>
      <c r="BW743" s="46">
        <v>3047</v>
      </c>
      <c r="BX743" s="46">
        <v>10686</v>
      </c>
      <c r="BY743" s="46">
        <v>13733</v>
      </c>
      <c r="BZ743" s="46">
        <v>0.43705047419005794</v>
      </c>
      <c r="CA743" s="46">
        <v>9.697027560308065E-2</v>
      </c>
      <c r="CB743" s="46">
        <v>0.3400801985869773</v>
      </c>
      <c r="CC743" s="46">
        <v>0.1355419769588187</v>
      </c>
      <c r="CD743" s="46">
        <v>0.1020622493794157</v>
      </c>
      <c r="CE743" s="46">
        <v>0</v>
      </c>
      <c r="CF743" s="46">
        <v>0.32534529947170771</v>
      </c>
      <c r="CG743" s="46">
        <v>0</v>
      </c>
      <c r="CH743" s="46">
        <v>0</v>
      </c>
      <c r="CI743" s="46">
        <v>4.8012473735750749</v>
      </c>
      <c r="CJ743" s="46">
        <v>0.71305654062996171</v>
      </c>
      <c r="CK743">
        <v>281</v>
      </c>
      <c r="CL743">
        <v>624.35</v>
      </c>
      <c r="CM743">
        <f t="shared" si="84"/>
        <v>343.35</v>
      </c>
      <c r="CN743">
        <v>4.3099999999999996</v>
      </c>
      <c r="CO743">
        <v>9.4499999999999993</v>
      </c>
      <c r="CP743">
        <f t="shared" si="85"/>
        <v>5.14</v>
      </c>
      <c r="CQ743">
        <v>423.28</v>
      </c>
      <c r="CR743">
        <v>31.3</v>
      </c>
      <c r="CS743">
        <f t="shared" si="86"/>
        <v>391.97999999999996</v>
      </c>
      <c r="CT743" t="s">
        <v>152</v>
      </c>
      <c r="CU743">
        <v>45.59</v>
      </c>
      <c r="CV743">
        <v>188</v>
      </c>
      <c r="CW743" s="46">
        <v>13733</v>
      </c>
      <c r="CX743" s="46">
        <f t="shared" si="80"/>
        <v>42.61234167144039</v>
      </c>
      <c r="CY743" s="46">
        <v>343.35</v>
      </c>
      <c r="CZ743" s="46">
        <f t="shared" si="81"/>
        <v>43.705047419005794</v>
      </c>
      <c r="DA743" s="46">
        <f t="shared" si="82"/>
        <v>53.008802043736338</v>
      </c>
      <c r="DB743" s="46">
        <v>1683843.15</v>
      </c>
      <c r="DC743" s="46">
        <f t="shared" si="83"/>
        <v>0.42517743390203477</v>
      </c>
      <c r="DD743" s="46">
        <v>13505.91</v>
      </c>
      <c r="DE743" s="995">
        <v>13733</v>
      </c>
      <c r="DF743" s="995">
        <v>43.024000000000001</v>
      </c>
      <c r="DG743" s="995">
        <v>214.1</v>
      </c>
      <c r="DH743" s="995">
        <v>43.704999999999998</v>
      </c>
      <c r="DI743" s="995">
        <v>78.122</v>
      </c>
      <c r="DJ743" s="995">
        <v>2471459</v>
      </c>
      <c r="DK743" s="995">
        <v>0.61199999999999999</v>
      </c>
      <c r="DL743" s="995">
        <v>19361.5</v>
      </c>
      <c r="DM743" s="995">
        <v>13733</v>
      </c>
      <c r="DN743" s="995">
        <v>43.131</v>
      </c>
      <c r="DO743" s="995">
        <v>180.5</v>
      </c>
      <c r="DP743" s="995">
        <v>43.704999999999998</v>
      </c>
      <c r="DQ743" s="995">
        <v>73.504999999999995</v>
      </c>
      <c r="DR743" s="995">
        <v>2322955</v>
      </c>
      <c r="DS743" s="995">
        <v>0.57599999999999996</v>
      </c>
      <c r="DT743" s="995">
        <v>18188.599999999999</v>
      </c>
    </row>
    <row r="744" spans="1:124">
      <c r="A744" s="42" t="s">
        <v>95</v>
      </c>
      <c r="B744" s="42" t="s">
        <v>982</v>
      </c>
      <c r="C744" s="42" t="s">
        <v>983</v>
      </c>
      <c r="D744" s="42">
        <v>501301</v>
      </c>
      <c r="E744" s="42" t="s">
        <v>985</v>
      </c>
      <c r="F744" s="42" t="s">
        <v>149</v>
      </c>
      <c r="G744" s="42" t="s">
        <v>150</v>
      </c>
      <c r="H744" s="43" t="s">
        <v>150</v>
      </c>
      <c r="I744" s="44">
        <v>7</v>
      </c>
      <c r="J744" s="45">
        <v>0</v>
      </c>
      <c r="K744" s="46">
        <v>20609.376378000001</v>
      </c>
      <c r="L744" s="47">
        <v>20609.376378000001</v>
      </c>
      <c r="M744" s="48">
        <v>2471983</v>
      </c>
      <c r="N744" s="49">
        <v>0</v>
      </c>
      <c r="O744" s="49">
        <v>2471983</v>
      </c>
      <c r="P744" s="49">
        <v>0</v>
      </c>
      <c r="Q744" s="50">
        <v>5595.8141743119304</v>
      </c>
      <c r="R744" s="51">
        <v>947.06873549320005</v>
      </c>
      <c r="S744" s="49">
        <v>6676.7025037403</v>
      </c>
      <c r="T744" s="49">
        <v>1088.27614077217</v>
      </c>
      <c r="U744" s="49">
        <f>IFERROR(INDEX('Rentabilidad datos'!$N$2:$N$61,MATCH($C744,'Rentabilidad datos'!$C$2:$C$61,0)),"")</f>
        <v>8712.0473800056734</v>
      </c>
      <c r="V744" s="50">
        <f>IFERROR(INDEX('Rentabilidad datos'!$O$2:$O$61,MATCH($C744,'Rentabilidad datos'!$C$2:$C$61,0)),"")</f>
        <v>1452.0078966676122</v>
      </c>
      <c r="W744" s="51">
        <f>IFERROR(INDEX('Rentabilidad datos'!$M$2:$M$61,MATCH($C744,'Rentabilidad datos'!$C$2:$C$61,0)),"")</f>
        <v>1247.7563200000006</v>
      </c>
      <c r="X744" s="52">
        <f>IFERROR(INDEX('Rentabilidad datos'!$P$2:$P$61,MATCH($C744,'Rentabilidad datos'!$C$2:$C$61,0)),"")</f>
        <v>1.1636950848444603</v>
      </c>
      <c r="Y744" s="43" t="s">
        <v>160</v>
      </c>
      <c r="Z744" s="53">
        <v>48.988532110091803</v>
      </c>
      <c r="AA744" s="43">
        <v>1</v>
      </c>
      <c r="AB744" s="54">
        <v>0.83837550662767502</v>
      </c>
      <c r="AC744" s="55">
        <v>0.16162449337232498</v>
      </c>
      <c r="AD744" s="752" t="e">
        <f>_xlfn.XLOOKUP(Table1[[#This Row],[Ruta]],#REF!,#REF!)</f>
        <v>#REF!</v>
      </c>
      <c r="AE744" s="752" t="e">
        <f>_xlfn.XLOOKUP(Table1[[#This Row],[Ruta]],#REF!,#REF!)</f>
        <v>#REF!</v>
      </c>
      <c r="AF744" s="752" t="e">
        <f>_xlfn.XLOOKUP(Table1[[#This Row],[Ruta]],#REF!,#REF!)</f>
        <v>#REF!</v>
      </c>
      <c r="AG744" s="752" t="e">
        <f>_xlfn.XLOOKUP(Table1[[#This Row],[Ruta]],#REF!,#REF!)</f>
        <v>#REF!</v>
      </c>
      <c r="AH744" s="52">
        <v>0</v>
      </c>
      <c r="AI744" s="52">
        <v>1</v>
      </c>
      <c r="AJ744" s="55">
        <v>0</v>
      </c>
      <c r="AK744" s="56">
        <v>21359</v>
      </c>
      <c r="AL744" s="44">
        <v>9942</v>
      </c>
      <c r="AM744" s="54">
        <v>0.46547122992649498</v>
      </c>
      <c r="AN744" s="55">
        <v>0.41317694766155399</v>
      </c>
      <c r="AO744" s="56">
        <v>0</v>
      </c>
      <c r="AP744" s="48">
        <v>0</v>
      </c>
      <c r="AQ744" s="55">
        <v>0.4654712299264947</v>
      </c>
      <c r="AR744" s="51">
        <v>2439774.98</v>
      </c>
      <c r="AS744" s="49">
        <v>0</v>
      </c>
      <c r="AT744" s="55">
        <v>0</v>
      </c>
      <c r="AU744" s="51">
        <v>0</v>
      </c>
      <c r="AV744" s="52">
        <v>0</v>
      </c>
      <c r="AW744" s="44">
        <v>490</v>
      </c>
      <c r="AX744" s="51">
        <v>245.40082277207799</v>
      </c>
      <c r="AY744" s="49">
        <v>346.57471852699899</v>
      </c>
      <c r="AZ744" s="49">
        <v>101.17389575492101</v>
      </c>
      <c r="BA744" s="42" t="s">
        <v>150</v>
      </c>
      <c r="BB744" s="50">
        <v>353414.09002001421</v>
      </c>
      <c r="BC744" s="57">
        <v>353414.09002001421</v>
      </c>
      <c r="BD744" s="42" t="s">
        <v>150</v>
      </c>
      <c r="BE744" s="46">
        <v>48.988532110091803</v>
      </c>
      <c r="BF744" s="46">
        <v>42.389668353896496</v>
      </c>
      <c r="BG744" s="42" t="s">
        <v>150</v>
      </c>
      <c r="BH744" s="52">
        <v>0.46547122992649498</v>
      </c>
      <c r="BI744" s="52">
        <v>0.45227444211977702</v>
      </c>
      <c r="BJ744" s="42" t="s">
        <v>150</v>
      </c>
      <c r="BK744" s="46">
        <v>47.269211876146798</v>
      </c>
      <c r="BL744" s="46">
        <v>44.5370219668091</v>
      </c>
      <c r="BM744" s="42" t="s">
        <v>150</v>
      </c>
      <c r="BN744" s="48">
        <v>3</v>
      </c>
      <c r="BO744" s="42" t="s">
        <v>153</v>
      </c>
      <c r="BP744" s="42" t="s">
        <v>150</v>
      </c>
      <c r="BQ744" s="46">
        <v>0</v>
      </c>
      <c r="BR744" s="46">
        <v>3255</v>
      </c>
      <c r="BS744" s="46">
        <v>176561</v>
      </c>
      <c r="BT744" s="46">
        <v>51600</v>
      </c>
      <c r="BU744" s="46">
        <v>3.4217248062015502</v>
      </c>
      <c r="BV744" s="46">
        <v>15.852534562211982</v>
      </c>
      <c r="BW744" s="46">
        <v>2574</v>
      </c>
      <c r="BX744" s="46">
        <v>23837</v>
      </c>
      <c r="BY744" s="46">
        <v>26411</v>
      </c>
      <c r="BZ744" s="46">
        <v>0.51184108527131777</v>
      </c>
      <c r="CA744" s="46">
        <v>4.9883720930232557E-2</v>
      </c>
      <c r="CB744" s="46">
        <v>0.46195736434108536</v>
      </c>
      <c r="CC744" s="46">
        <v>0.22430232558139529</v>
      </c>
      <c r="CD744" s="46">
        <v>5.9341085271317831E-2</v>
      </c>
      <c r="CE744" s="46">
        <v>1.7945736434108531E-2</v>
      </c>
      <c r="CF744" s="46">
        <v>0.18496124031007749</v>
      </c>
      <c r="CG744" s="46">
        <v>1.472868217054263E-3</v>
      </c>
      <c r="CH744" s="46">
        <v>1.3565891472868221E-4</v>
      </c>
      <c r="CI744" s="46">
        <v>4.4234004111893341</v>
      </c>
      <c r="CJ744" s="46">
        <v>0.37947225038372018</v>
      </c>
      <c r="CK744">
        <v>333</v>
      </c>
      <c r="CL744">
        <v>722.02</v>
      </c>
      <c r="CM744">
        <f t="shared" si="84"/>
        <v>389.02</v>
      </c>
      <c r="CN744">
        <v>4.66</v>
      </c>
      <c r="CO744">
        <v>9.4499999999999993</v>
      </c>
      <c r="CP744">
        <f t="shared" si="85"/>
        <v>4.7899999999999991</v>
      </c>
      <c r="CQ744">
        <v>338.62</v>
      </c>
      <c r="CR744">
        <v>47.27</v>
      </c>
      <c r="CS744">
        <f t="shared" si="86"/>
        <v>291.35000000000002</v>
      </c>
      <c r="CT744" t="s">
        <v>152</v>
      </c>
      <c r="CU744">
        <v>49.33</v>
      </c>
      <c r="CV744">
        <v>237</v>
      </c>
      <c r="CW744" s="46">
        <v>26411</v>
      </c>
      <c r="CX744" s="46">
        <f t="shared" si="80"/>
        <v>50.430193798449608</v>
      </c>
      <c r="CY744" s="46">
        <v>389.02</v>
      </c>
      <c r="CZ744" s="46">
        <f t="shared" si="81"/>
        <v>51.184108527131777</v>
      </c>
      <c r="DA744" s="46">
        <f t="shared" si="82"/>
        <v>32.862342856241568</v>
      </c>
      <c r="DB744" s="46">
        <v>1708481</v>
      </c>
      <c r="DC744" s="46">
        <f t="shared" si="83"/>
        <v>0.26828030226382416</v>
      </c>
      <c r="DD744" s="46">
        <v>13947.63</v>
      </c>
      <c r="DE744" s="995">
        <v>26411</v>
      </c>
      <c r="DF744" s="995">
        <v>50.713000000000001</v>
      </c>
      <c r="DG744" s="995">
        <v>243.2</v>
      </c>
      <c r="DH744" s="995">
        <v>51.183999999999997</v>
      </c>
      <c r="DI744" s="995">
        <v>50.933</v>
      </c>
      <c r="DJ744" s="995">
        <v>2640519</v>
      </c>
      <c r="DK744" s="995">
        <v>0.41899999999999998</v>
      </c>
      <c r="DL744" s="995">
        <v>21733.1</v>
      </c>
      <c r="DM744" s="995">
        <v>26411</v>
      </c>
      <c r="DN744" s="995">
        <v>50.777000000000001</v>
      </c>
      <c r="DO744" s="995">
        <v>209.8</v>
      </c>
      <c r="DP744" s="995">
        <v>51.183999999999997</v>
      </c>
      <c r="DQ744" s="995">
        <v>48.213000000000001</v>
      </c>
      <c r="DR744" s="995">
        <v>2497892</v>
      </c>
      <c r="DS744" s="995">
        <v>0.39700000000000002</v>
      </c>
      <c r="DT744" s="995">
        <v>20572.8</v>
      </c>
    </row>
    <row r="745" spans="1:124">
      <c r="A745" s="42" t="s">
        <v>95</v>
      </c>
      <c r="B745" s="42" t="s">
        <v>982</v>
      </c>
      <c r="C745" s="42" t="s">
        <v>983</v>
      </c>
      <c r="D745" s="42">
        <v>501302</v>
      </c>
      <c r="E745" s="42" t="s">
        <v>986</v>
      </c>
      <c r="F745" s="42" t="s">
        <v>149</v>
      </c>
      <c r="G745" s="42" t="s">
        <v>150</v>
      </c>
      <c r="H745" s="43" t="s">
        <v>150</v>
      </c>
      <c r="I745" s="44">
        <v>7</v>
      </c>
      <c r="J745" s="45">
        <v>0</v>
      </c>
      <c r="K745" s="46">
        <v>12410.391453</v>
      </c>
      <c r="L745" s="47">
        <v>12410.391453</v>
      </c>
      <c r="M745" s="48">
        <v>1528310</v>
      </c>
      <c r="N745" s="49">
        <v>0</v>
      </c>
      <c r="O745" s="49">
        <v>1528310</v>
      </c>
      <c r="P745" s="49">
        <v>0</v>
      </c>
      <c r="Q745" s="50">
        <v>3497.2732036613302</v>
      </c>
      <c r="R745" s="51">
        <v>947.06873549320005</v>
      </c>
      <c r="S745" s="49">
        <v>6676.7025037403</v>
      </c>
      <c r="T745" s="49">
        <v>1088.27614077217</v>
      </c>
      <c r="U745" s="49">
        <f>IFERROR(INDEX('Rentabilidad datos'!$N$2:$N$61,MATCH($C745,'Rentabilidad datos'!$C$2:$C$61,0)),"")</f>
        <v>8712.0473800056734</v>
      </c>
      <c r="V745" s="50">
        <f>IFERROR(INDEX('Rentabilidad datos'!$O$2:$O$61,MATCH($C745,'Rentabilidad datos'!$C$2:$C$61,0)),"")</f>
        <v>1452.0078966676122</v>
      </c>
      <c r="W745" s="51">
        <f>IFERROR(INDEX('Rentabilidad datos'!$M$2:$M$61,MATCH($C745,'Rentabilidad datos'!$C$2:$C$61,0)),"")</f>
        <v>1247.7563200000006</v>
      </c>
      <c r="X745" s="52">
        <f>IFERROR(INDEX('Rentabilidad datos'!$P$2:$P$61,MATCH($C745,'Rentabilidad datos'!$C$2:$C$61,0)),"")</f>
        <v>1.1636950848444603</v>
      </c>
      <c r="Y745" s="43" t="s">
        <v>160</v>
      </c>
      <c r="Z745" s="53">
        <v>48.029748283752902</v>
      </c>
      <c r="AA745" s="43">
        <v>1</v>
      </c>
      <c r="AB745" s="54">
        <v>0.79555914703168862</v>
      </c>
      <c r="AC745" s="55">
        <v>0.20444085296831141</v>
      </c>
      <c r="AD745" s="752" t="e">
        <f>_xlfn.XLOOKUP(Table1[[#This Row],[Ruta]],#REF!,#REF!)</f>
        <v>#REF!</v>
      </c>
      <c r="AE745" s="752" t="e">
        <f>_xlfn.XLOOKUP(Table1[[#This Row],[Ruta]],#REF!,#REF!)</f>
        <v>#REF!</v>
      </c>
      <c r="AF745" s="752" t="e">
        <f>_xlfn.XLOOKUP(Table1[[#This Row],[Ruta]],#REF!,#REF!)</f>
        <v>#REF!</v>
      </c>
      <c r="AG745" s="752" t="e">
        <f>_xlfn.XLOOKUP(Table1[[#This Row],[Ruta]],#REF!,#REF!)</f>
        <v>#REF!</v>
      </c>
      <c r="AH745" s="52">
        <v>0</v>
      </c>
      <c r="AI745" s="52">
        <v>1</v>
      </c>
      <c r="AJ745" s="55">
        <v>0</v>
      </c>
      <c r="AK745" s="56">
        <v>20989</v>
      </c>
      <c r="AL745" s="44">
        <v>4073</v>
      </c>
      <c r="AM745" s="54">
        <v>0.194054028300538</v>
      </c>
      <c r="AN745" s="55">
        <v>0.41317694766155399</v>
      </c>
      <c r="AO745" s="56">
        <v>4599.1709544683699</v>
      </c>
      <c r="AP745" s="48">
        <v>2299.585477234185</v>
      </c>
      <c r="AQ745" s="55">
        <v>0.30361548798104648</v>
      </c>
      <c r="AR745" s="51">
        <v>1528308.39</v>
      </c>
      <c r="AS745" s="49">
        <v>862871.53900789504</v>
      </c>
      <c r="AT745" s="55">
        <v>0.56459255517657347</v>
      </c>
      <c r="AU745" s="51">
        <v>606342.16254608869</v>
      </c>
      <c r="AV745" s="52">
        <v>2.7583078771681083E-3</v>
      </c>
      <c r="AW745" s="44">
        <v>116</v>
      </c>
      <c r="AX745" s="51">
        <v>375.229165234471</v>
      </c>
      <c r="AY745" s="49">
        <v>346.57471852699899</v>
      </c>
      <c r="AZ745" s="49">
        <v>0</v>
      </c>
      <c r="BA745" s="42" t="s">
        <v>152</v>
      </c>
      <c r="BB745" s="50">
        <v>0</v>
      </c>
      <c r="BC745" s="57">
        <v>606342.16254608869</v>
      </c>
      <c r="BD745" s="42" t="s">
        <v>150</v>
      </c>
      <c r="BE745" s="46">
        <v>48.029748283752902</v>
      </c>
      <c r="BF745" s="46">
        <v>42.389668353896496</v>
      </c>
      <c r="BG745" s="42" t="s">
        <v>150</v>
      </c>
      <c r="BH745" s="52">
        <v>0.194054028300538</v>
      </c>
      <c r="BI745" s="52">
        <v>0.45227444211977702</v>
      </c>
      <c r="BJ745" s="42" t="s">
        <v>152</v>
      </c>
      <c r="BK745" s="46">
        <v>28.3990651098398</v>
      </c>
      <c r="BL745" s="46">
        <v>44.5370219668091</v>
      </c>
      <c r="BM745" s="42" t="s">
        <v>152</v>
      </c>
      <c r="BN745" s="48">
        <v>1</v>
      </c>
      <c r="BO745" s="42" t="s">
        <v>155</v>
      </c>
      <c r="BP745" s="42" t="s">
        <v>152</v>
      </c>
      <c r="BQ745" s="46">
        <v>2972.61915918051</v>
      </c>
      <c r="BR745" s="46">
        <v>1810</v>
      </c>
      <c r="BS745" s="46">
        <v>96295</v>
      </c>
      <c r="BT745" s="46">
        <v>29319</v>
      </c>
      <c r="BU745" s="46">
        <v>3.2843889627886353</v>
      </c>
      <c r="BV745" s="46">
        <v>16.198342541436464</v>
      </c>
      <c r="BW745" s="46">
        <v>3190</v>
      </c>
      <c r="BX745" s="46">
        <v>21458</v>
      </c>
      <c r="BY745" s="46">
        <v>24648</v>
      </c>
      <c r="BZ745" s="46">
        <v>0.84068351580886114</v>
      </c>
      <c r="CA745" s="46">
        <v>0.1088031651829871</v>
      </c>
      <c r="CB745" s="46">
        <v>0.73188035062587398</v>
      </c>
      <c r="CC745" s="46">
        <v>0.11484020600975479</v>
      </c>
      <c r="CD745" s="46">
        <v>1.4325181622838431E-3</v>
      </c>
      <c r="CE745" s="46">
        <v>0</v>
      </c>
      <c r="CF745" s="46">
        <v>4.2941437293222827E-2</v>
      </c>
      <c r="CG745" s="46">
        <v>0</v>
      </c>
      <c r="CH745" s="46">
        <v>1.0232272587741741E-4</v>
      </c>
      <c r="CI745" s="46">
        <v>2.149644322135106</v>
      </c>
      <c r="CJ745" s="46">
        <v>0.47769873825224568</v>
      </c>
      <c r="CK745">
        <v>399</v>
      </c>
      <c r="CL745">
        <v>750.91</v>
      </c>
      <c r="CM745">
        <f t="shared" si="84"/>
        <v>351.90999999999997</v>
      </c>
      <c r="CN745">
        <v>6.02</v>
      </c>
      <c r="CO745">
        <v>9.4499999999999993</v>
      </c>
      <c r="CP745">
        <f t="shared" si="85"/>
        <v>3.4299999999999997</v>
      </c>
      <c r="CQ745">
        <v>423.28</v>
      </c>
      <c r="CR745">
        <v>28.4</v>
      </c>
      <c r="CS745">
        <f t="shared" si="86"/>
        <v>394.88</v>
      </c>
      <c r="CT745" t="s">
        <v>152</v>
      </c>
      <c r="CU745">
        <v>63.71</v>
      </c>
      <c r="CV745">
        <v>325</v>
      </c>
      <c r="CW745" s="46">
        <v>24648</v>
      </c>
      <c r="CX745" s="46">
        <f t="shared" si="80"/>
        <v>82.868071898768719</v>
      </c>
      <c r="CY745" s="46">
        <v>351.91</v>
      </c>
      <c r="CZ745" s="46">
        <f t="shared" si="81"/>
        <v>84.068351580886116</v>
      </c>
      <c r="DA745" s="46">
        <f t="shared" si="82"/>
        <v>82.057300905162663</v>
      </c>
      <c r="DB745" s="46">
        <v>2434714.79</v>
      </c>
      <c r="DC745" s="46">
        <f t="shared" si="83"/>
        <v>0.69512259650951047</v>
      </c>
      <c r="DD745" s="46">
        <v>20624.919999999998</v>
      </c>
      <c r="DE745" s="995">
        <v>24648</v>
      </c>
      <c r="DF745" s="995">
        <v>83.203999999999994</v>
      </c>
      <c r="DG745" s="995">
        <v>253.5</v>
      </c>
      <c r="DH745" s="995">
        <v>84.067999999999998</v>
      </c>
      <c r="DI745" s="995">
        <v>102.03400000000001</v>
      </c>
      <c r="DJ745" s="995">
        <v>3017391</v>
      </c>
      <c r="DK745" s="995">
        <v>0.86899999999999999</v>
      </c>
      <c r="DL745" s="995">
        <v>25686.5</v>
      </c>
      <c r="DM745" s="995">
        <v>24648</v>
      </c>
      <c r="DN745" s="995">
        <v>83.326999999999998</v>
      </c>
      <c r="DO745" s="995">
        <v>217.3</v>
      </c>
      <c r="DP745" s="995">
        <v>84.067999999999998</v>
      </c>
      <c r="DQ745" s="995">
        <v>97.129000000000005</v>
      </c>
      <c r="DR745" s="995">
        <v>2868832</v>
      </c>
      <c r="DS745" s="995">
        <v>0.82699999999999996</v>
      </c>
      <c r="DT745" s="995">
        <v>24429.3</v>
      </c>
    </row>
    <row r="746" spans="1:124">
      <c r="A746" s="42" t="s">
        <v>95</v>
      </c>
      <c r="B746" s="42" t="s">
        <v>982</v>
      </c>
      <c r="C746" s="42" t="s">
        <v>983</v>
      </c>
      <c r="D746" s="42">
        <v>501303</v>
      </c>
      <c r="E746" s="42" t="s">
        <v>987</v>
      </c>
      <c r="F746" s="42" t="s">
        <v>149</v>
      </c>
      <c r="G746" s="42" t="s">
        <v>150</v>
      </c>
      <c r="H746" s="43" t="s">
        <v>150</v>
      </c>
      <c r="I746" s="44">
        <v>7</v>
      </c>
      <c r="J746" s="45">
        <v>7.0448000000000004</v>
      </c>
      <c r="K746" s="46">
        <v>9565.4157730000006</v>
      </c>
      <c r="L746" s="47">
        <v>9572.4605730000003</v>
      </c>
      <c r="M746" s="48">
        <v>1254850</v>
      </c>
      <c r="N746" s="49">
        <v>52</v>
      </c>
      <c r="O746" s="49">
        <v>1254798</v>
      </c>
      <c r="P746" s="49">
        <v>0</v>
      </c>
      <c r="Q746" s="50">
        <v>2906.9822505800498</v>
      </c>
      <c r="R746" s="51">
        <v>947.06873549320005</v>
      </c>
      <c r="S746" s="49">
        <v>6676.7025037403</v>
      </c>
      <c r="T746" s="49">
        <v>1088.27614077217</v>
      </c>
      <c r="U746" s="49">
        <f>IFERROR(INDEX('Rentabilidad datos'!$N$2:$N$61,MATCH($C746,'Rentabilidad datos'!$C$2:$C$61,0)),"")</f>
        <v>8712.0473800056734</v>
      </c>
      <c r="V746" s="50">
        <f>IFERROR(INDEX('Rentabilidad datos'!$O$2:$O$61,MATCH($C746,'Rentabilidad datos'!$C$2:$C$61,0)),"")</f>
        <v>1452.0078966676122</v>
      </c>
      <c r="W746" s="51">
        <f>IFERROR(INDEX('Rentabilidad datos'!$M$2:$M$61,MATCH($C746,'Rentabilidad datos'!$C$2:$C$61,0)),"")</f>
        <v>1247.7563200000006</v>
      </c>
      <c r="X746" s="52">
        <f>IFERROR(INDEX('Rentabilidad datos'!$P$2:$P$61,MATCH($C746,'Rentabilidad datos'!$C$2:$C$61,0)),"")</f>
        <v>1.1636950848444603</v>
      </c>
      <c r="Y746" s="43" t="s">
        <v>160</v>
      </c>
      <c r="Z746" s="53">
        <v>46.127610208816698</v>
      </c>
      <c r="AA746" s="43">
        <v>1</v>
      </c>
      <c r="AB746" s="54">
        <v>0.82039287564250707</v>
      </c>
      <c r="AC746" s="55">
        <v>0.17960712435749293</v>
      </c>
      <c r="AD746" s="752" t="e">
        <f>_xlfn.XLOOKUP(Table1[[#This Row],[Ruta]],#REF!,#REF!)</f>
        <v>#REF!</v>
      </c>
      <c r="AE746" s="752" t="e">
        <f>_xlfn.XLOOKUP(Table1[[#This Row],[Ruta]],#REF!,#REF!)</f>
        <v>#REF!</v>
      </c>
      <c r="AF746" s="752" t="e">
        <f>_xlfn.XLOOKUP(Table1[[#This Row],[Ruta]],#REF!,#REF!)</f>
        <v>#REF!</v>
      </c>
      <c r="AG746" s="752" t="e">
        <f>_xlfn.XLOOKUP(Table1[[#This Row],[Ruta]],#REF!,#REF!)</f>
        <v>#REF!</v>
      </c>
      <c r="AH746" s="52">
        <v>4.1439215842530983E-5</v>
      </c>
      <c r="AI746" s="52">
        <v>0.99995856078415746</v>
      </c>
      <c r="AJ746" s="55">
        <v>0</v>
      </c>
      <c r="AK746" s="56">
        <v>19881</v>
      </c>
      <c r="AL746" s="44">
        <v>5019</v>
      </c>
      <c r="AM746" s="54">
        <v>0.25245208993511398</v>
      </c>
      <c r="AN746" s="55">
        <v>0.41317694766155399</v>
      </c>
      <c r="AO746" s="56">
        <v>3195.3708964593602</v>
      </c>
      <c r="AP746" s="48">
        <v>1597.6854482296801</v>
      </c>
      <c r="AQ746" s="55">
        <v>0.33281451879833412</v>
      </c>
      <c r="AR746" s="51">
        <v>1252909.3500000001</v>
      </c>
      <c r="AS746" s="49">
        <v>398835.43264512997</v>
      </c>
      <c r="AT746" s="55">
        <v>0.31832744535359236</v>
      </c>
      <c r="AU746" s="51">
        <v>280262.73645333468</v>
      </c>
      <c r="AV746" s="52">
        <v>1.2749417101225616E-3</v>
      </c>
      <c r="AW746" s="44">
        <v>258</v>
      </c>
      <c r="AX746" s="51">
        <v>249.63326359832601</v>
      </c>
      <c r="AY746" s="49">
        <v>346.57471852699899</v>
      </c>
      <c r="AZ746" s="49">
        <v>96.941454928672982</v>
      </c>
      <c r="BA746" s="42" t="s">
        <v>150</v>
      </c>
      <c r="BB746" s="50">
        <v>170949.70566840889</v>
      </c>
      <c r="BC746" s="57">
        <v>451212.44212174357</v>
      </c>
      <c r="BD746" s="42" t="s">
        <v>150</v>
      </c>
      <c r="BE746" s="46">
        <v>46.127610208816698</v>
      </c>
      <c r="BF746" s="46">
        <v>42.389668353896496</v>
      </c>
      <c r="BG746" s="42" t="s">
        <v>150</v>
      </c>
      <c r="BH746" s="52">
        <v>0.25245208993511398</v>
      </c>
      <c r="BI746" s="52">
        <v>0.45227444211977702</v>
      </c>
      <c r="BJ746" s="42" t="s">
        <v>152</v>
      </c>
      <c r="BK746" s="46">
        <v>22.209885320185599</v>
      </c>
      <c r="BL746" s="46">
        <v>44.5370219668091</v>
      </c>
      <c r="BM746" s="42" t="s">
        <v>152</v>
      </c>
      <c r="BN746" s="48">
        <v>1</v>
      </c>
      <c r="BO746" s="42" t="s">
        <v>155</v>
      </c>
      <c r="BP746" s="42" t="s">
        <v>152</v>
      </c>
      <c r="BQ746" s="46">
        <v>1797.45110134014</v>
      </c>
      <c r="BR746" s="46">
        <v>2096</v>
      </c>
      <c r="BS746" s="46">
        <v>144212</v>
      </c>
      <c r="BT746" s="46">
        <v>39542</v>
      </c>
      <c r="BU746" s="46">
        <v>3.6470588235294117</v>
      </c>
      <c r="BV746" s="46">
        <v>18.865458015267176</v>
      </c>
      <c r="BW746" s="46">
        <v>16</v>
      </c>
      <c r="BX746" s="46">
        <v>13538</v>
      </c>
      <c r="BY746" s="46">
        <v>13554</v>
      </c>
      <c r="BZ746" s="46">
        <v>0.342774771129432</v>
      </c>
      <c r="CA746" s="46">
        <v>4.0463304840422838E-4</v>
      </c>
      <c r="CB746" s="46">
        <v>0.34237013808102779</v>
      </c>
      <c r="CC746" s="46">
        <v>0.4069091093015022</v>
      </c>
      <c r="CD746" s="46">
        <v>5.3133377168580243E-2</v>
      </c>
      <c r="CE746" s="46">
        <v>2.159728895857569E-2</v>
      </c>
      <c r="CF746" s="46">
        <v>0.17533255778665721</v>
      </c>
      <c r="CG746" s="46">
        <v>7.5868696575792828E-5</v>
      </c>
      <c r="CH746" s="46">
        <v>1.770269586768499E-4</v>
      </c>
      <c r="CI746" s="46">
        <v>4.3893712035059496</v>
      </c>
      <c r="CJ746" s="46">
        <v>0.305106371175769</v>
      </c>
      <c r="CK746">
        <v>371</v>
      </c>
      <c r="CL746">
        <v>761.65</v>
      </c>
      <c r="CM746">
        <f t="shared" si="84"/>
        <v>390.65</v>
      </c>
      <c r="CN746">
        <v>6.59</v>
      </c>
      <c r="CO746">
        <v>9.4499999999999993</v>
      </c>
      <c r="CP746">
        <f t="shared" si="85"/>
        <v>2.8599999999999994</v>
      </c>
      <c r="CQ746">
        <v>338.62</v>
      </c>
      <c r="CR746">
        <v>22.21</v>
      </c>
      <c r="CS746">
        <f t="shared" si="86"/>
        <v>316.41000000000003</v>
      </c>
      <c r="CT746" t="s">
        <v>152</v>
      </c>
      <c r="CU746">
        <v>69.77</v>
      </c>
      <c r="CV746">
        <v>161</v>
      </c>
      <c r="CW746" s="46">
        <v>13554</v>
      </c>
      <c r="CX746" s="46">
        <f t="shared" si="80"/>
        <v>33.289540235698752</v>
      </c>
      <c r="CY746" s="46">
        <v>390.65</v>
      </c>
      <c r="CZ746" s="46">
        <f t="shared" si="81"/>
        <v>34.277477112943203</v>
      </c>
      <c r="DA746" s="46">
        <f t="shared" si="82"/>
        <v>51.973136268191567</v>
      </c>
      <c r="DB746" s="46">
        <v>2075425.06</v>
      </c>
      <c r="DC746" s="46">
        <f t="shared" si="83"/>
        <v>0.47516305579519513</v>
      </c>
      <c r="DD746" s="46">
        <v>18974.52</v>
      </c>
      <c r="DE746" s="995">
        <v>13554</v>
      </c>
      <c r="DF746" s="995">
        <v>33.642000000000003</v>
      </c>
      <c r="DG746" s="995">
        <v>251.2</v>
      </c>
      <c r="DH746" s="995">
        <v>34.277000000000001</v>
      </c>
      <c r="DI746" s="995">
        <v>70.959999999999994</v>
      </c>
      <c r="DJ746" s="995">
        <v>2823725</v>
      </c>
      <c r="DK746" s="995">
        <v>0.64200000000000002</v>
      </c>
      <c r="DL746" s="995">
        <v>25538.1</v>
      </c>
      <c r="DM746" s="995">
        <v>13554</v>
      </c>
      <c r="DN746" s="995">
        <v>33.747</v>
      </c>
      <c r="DO746" s="995">
        <v>209.7</v>
      </c>
      <c r="DP746" s="995">
        <v>34.277000000000001</v>
      </c>
      <c r="DQ746" s="995">
        <v>67.105000000000004</v>
      </c>
      <c r="DR746" s="995">
        <v>2667541</v>
      </c>
      <c r="DS746" s="995">
        <v>0.60499999999999998</v>
      </c>
      <c r="DT746" s="995">
        <v>24065.9</v>
      </c>
    </row>
    <row r="747" spans="1:124">
      <c r="A747" s="42" t="s">
        <v>95</v>
      </c>
      <c r="B747" s="42" t="s">
        <v>982</v>
      </c>
      <c r="C747" s="42" t="s">
        <v>983</v>
      </c>
      <c r="D747" s="42">
        <v>501304</v>
      </c>
      <c r="E747" s="42" t="s">
        <v>988</v>
      </c>
      <c r="F747" s="42" t="s">
        <v>149</v>
      </c>
      <c r="G747" s="42" t="s">
        <v>150</v>
      </c>
      <c r="H747" s="43" t="s">
        <v>150</v>
      </c>
      <c r="I747" s="44">
        <v>7</v>
      </c>
      <c r="J747" s="45">
        <v>0</v>
      </c>
      <c r="K747" s="46">
        <v>18185.101944999999</v>
      </c>
      <c r="L747" s="47">
        <v>18185.101944999999</v>
      </c>
      <c r="M747" s="48">
        <v>1942240</v>
      </c>
      <c r="N747" s="49">
        <v>0</v>
      </c>
      <c r="O747" s="49">
        <v>1942240</v>
      </c>
      <c r="P747" s="49">
        <v>0</v>
      </c>
      <c r="Q747" s="50">
        <v>4454.0766436781596</v>
      </c>
      <c r="R747" s="51">
        <v>947.06873549320005</v>
      </c>
      <c r="S747" s="49">
        <v>6676.7025037403</v>
      </c>
      <c r="T747" s="49">
        <v>1088.27614077217</v>
      </c>
      <c r="U747" s="49">
        <f>IFERROR(INDEX('Rentabilidad datos'!$N$2:$N$61,MATCH($C747,'Rentabilidad datos'!$C$2:$C$61,0)),"")</f>
        <v>8712.0473800056734</v>
      </c>
      <c r="V747" s="50">
        <f>IFERROR(INDEX('Rentabilidad datos'!$O$2:$O$61,MATCH($C747,'Rentabilidad datos'!$C$2:$C$61,0)),"")</f>
        <v>1452.0078966676122</v>
      </c>
      <c r="W747" s="51">
        <f>IFERROR(INDEX('Rentabilidad datos'!$M$2:$M$61,MATCH($C747,'Rentabilidad datos'!$C$2:$C$61,0)),"")</f>
        <v>1247.7563200000006</v>
      </c>
      <c r="X747" s="52">
        <f>IFERROR(INDEX('Rentabilidad datos'!$P$2:$P$61,MATCH($C747,'Rentabilidad datos'!$C$2:$C$61,0)),"")</f>
        <v>1.1636950848444603</v>
      </c>
      <c r="Y747" s="43" t="s">
        <v>160</v>
      </c>
      <c r="Z747" s="53">
        <v>35.790804597701197</v>
      </c>
      <c r="AA747" s="43">
        <v>1</v>
      </c>
      <c r="AB747" s="54">
        <v>0.68444013098278278</v>
      </c>
      <c r="AC747" s="55">
        <v>0.31555986901721722</v>
      </c>
      <c r="AD747" s="752" t="e">
        <f>_xlfn.XLOOKUP(Table1[[#This Row],[Ruta]],#REF!,#REF!)</f>
        <v>#REF!</v>
      </c>
      <c r="AE747" s="752" t="e">
        <f>_xlfn.XLOOKUP(Table1[[#This Row],[Ruta]],#REF!,#REF!)</f>
        <v>#REF!</v>
      </c>
      <c r="AF747" s="752" t="e">
        <f>_xlfn.XLOOKUP(Table1[[#This Row],[Ruta]],#REF!,#REF!)</f>
        <v>#REF!</v>
      </c>
      <c r="AG747" s="752" t="e">
        <f>_xlfn.XLOOKUP(Table1[[#This Row],[Ruta]],#REF!,#REF!)</f>
        <v>#REF!</v>
      </c>
      <c r="AH747" s="52">
        <v>0</v>
      </c>
      <c r="AI747" s="52">
        <v>1</v>
      </c>
      <c r="AJ747" s="55">
        <v>0</v>
      </c>
      <c r="AK747" s="56">
        <v>15569</v>
      </c>
      <c r="AL747" s="44">
        <v>6836</v>
      </c>
      <c r="AM747" s="54">
        <v>0.43907765431305801</v>
      </c>
      <c r="AN747" s="55">
        <v>0.41317694766155399</v>
      </c>
      <c r="AO747" s="56">
        <v>0</v>
      </c>
      <c r="AP747" s="48">
        <v>0</v>
      </c>
      <c r="AQ747" s="55">
        <v>0.43907765431305801</v>
      </c>
      <c r="AR747" s="51">
        <v>1937523.34</v>
      </c>
      <c r="AS747" s="49">
        <v>0</v>
      </c>
      <c r="AT747" s="55">
        <v>0</v>
      </c>
      <c r="AU747" s="51">
        <v>0</v>
      </c>
      <c r="AV747" s="52">
        <v>0</v>
      </c>
      <c r="AW747" s="44">
        <v>490</v>
      </c>
      <c r="AX747" s="51">
        <v>283.42939438268002</v>
      </c>
      <c r="AY747" s="49">
        <v>346.57471852699899</v>
      </c>
      <c r="AZ747" s="49">
        <v>63.145324144318977</v>
      </c>
      <c r="BA747" s="42" t="s">
        <v>150</v>
      </c>
      <c r="BB747" s="50">
        <v>151664.82881236056</v>
      </c>
      <c r="BC747" s="57">
        <v>151664.82881236056</v>
      </c>
      <c r="BD747" s="42" t="s">
        <v>150</v>
      </c>
      <c r="BE747" s="46">
        <v>35.790804597701197</v>
      </c>
      <c r="BF747" s="46">
        <v>42.389668353896496</v>
      </c>
      <c r="BG747" s="42" t="s">
        <v>152</v>
      </c>
      <c r="BH747" s="52">
        <v>0.43907765431305801</v>
      </c>
      <c r="BI747" s="52">
        <v>0.45227444211977702</v>
      </c>
      <c r="BJ747" s="42" t="s">
        <v>152</v>
      </c>
      <c r="BK747" s="46">
        <v>41.804832057471302</v>
      </c>
      <c r="BL747" s="46">
        <v>44.5370219668091</v>
      </c>
      <c r="BM747" s="42" t="s">
        <v>152</v>
      </c>
      <c r="BN747" s="48">
        <v>0</v>
      </c>
      <c r="BO747" s="42" t="s">
        <v>155</v>
      </c>
      <c r="BP747" s="42" t="s">
        <v>152</v>
      </c>
      <c r="BQ747" s="46">
        <v>0</v>
      </c>
      <c r="BR747" s="46">
        <v>1942</v>
      </c>
      <c r="BS747" s="46">
        <v>121814</v>
      </c>
      <c r="BT747" s="46">
        <v>34965</v>
      </c>
      <c r="BU747" s="46">
        <v>3.4838838838838839</v>
      </c>
      <c r="BV747" s="46">
        <v>18.004634397528321</v>
      </c>
      <c r="BW747" s="46">
        <v>0</v>
      </c>
      <c r="BX747" s="46">
        <v>9647</v>
      </c>
      <c r="BY747" s="46">
        <v>9647</v>
      </c>
      <c r="BZ747" s="46">
        <v>0.27590447590447592</v>
      </c>
      <c r="CA747" s="46">
        <v>0</v>
      </c>
      <c r="CB747" s="46">
        <v>0.27590447590447592</v>
      </c>
      <c r="CC747" s="46">
        <v>0.13013013013013011</v>
      </c>
      <c r="CD747" s="46">
        <v>9.5409695409695405E-2</v>
      </c>
      <c r="CE747" s="46">
        <v>3.4234234234234232E-2</v>
      </c>
      <c r="CF747" s="46">
        <v>0.46412126412126409</v>
      </c>
      <c r="CG747" s="46">
        <v>1.716001716001716E-4</v>
      </c>
      <c r="CH747" s="46">
        <v>2.8600028600028599E-5</v>
      </c>
      <c r="CI747" s="46">
        <v>5.2621209384799794</v>
      </c>
      <c r="CJ747" s="46">
        <v>0.40225261464199508</v>
      </c>
      <c r="CK747">
        <v>276</v>
      </c>
      <c r="CL747">
        <v>651.07000000000005</v>
      </c>
      <c r="CM747">
        <f t="shared" si="84"/>
        <v>375.07000000000005</v>
      </c>
      <c r="CN747">
        <v>3.65</v>
      </c>
      <c r="CO747">
        <v>9.4499999999999993</v>
      </c>
      <c r="CP747">
        <f t="shared" si="85"/>
        <v>5.7999999999999989</v>
      </c>
      <c r="CQ747">
        <v>677.25</v>
      </c>
      <c r="CR747">
        <v>41.8</v>
      </c>
      <c r="CS747">
        <f t="shared" si="86"/>
        <v>635.45000000000005</v>
      </c>
      <c r="CT747" t="s">
        <v>152</v>
      </c>
      <c r="CU747">
        <v>38.64</v>
      </c>
      <c r="CV747">
        <v>154</v>
      </c>
      <c r="CW747" s="46">
        <v>9647</v>
      </c>
      <c r="CX747" s="46">
        <f t="shared" si="80"/>
        <v>26.517746317746322</v>
      </c>
      <c r="CY747" s="46">
        <v>375.07</v>
      </c>
      <c r="CZ747" s="46">
        <f t="shared" si="81"/>
        <v>27.590447590447592</v>
      </c>
      <c r="DA747" s="46">
        <f t="shared" si="82"/>
        <v>47.853322588212194</v>
      </c>
      <c r="DB747" s="46">
        <v>1691139.77</v>
      </c>
      <c r="DC747" s="46">
        <f t="shared" si="83"/>
        <v>0.41947172147649964</v>
      </c>
      <c r="DD747" s="46">
        <v>14824.16</v>
      </c>
      <c r="DE747" s="995">
        <v>9647</v>
      </c>
      <c r="DF747" s="995">
        <v>26.887</v>
      </c>
      <c r="DG747" s="995">
        <v>245.8</v>
      </c>
      <c r="DH747" s="995">
        <v>27.59</v>
      </c>
      <c r="DI747" s="995">
        <v>64.531999999999996</v>
      </c>
      <c r="DJ747" s="995">
        <v>2272231</v>
      </c>
      <c r="DK747" s="995">
        <v>0.57199999999999995</v>
      </c>
      <c r="DL747" s="995">
        <v>20153.599999999999</v>
      </c>
      <c r="DM747" s="995">
        <v>9647</v>
      </c>
      <c r="DN747" s="995">
        <v>27.007000000000001</v>
      </c>
      <c r="DO747" s="995">
        <v>203.9</v>
      </c>
      <c r="DP747" s="995">
        <v>27.59</v>
      </c>
      <c r="DQ747" s="995">
        <v>59.777000000000001</v>
      </c>
      <c r="DR747" s="995">
        <v>2102289</v>
      </c>
      <c r="DS747" s="995">
        <v>0.53100000000000003</v>
      </c>
      <c r="DT747" s="995">
        <v>18668.3</v>
      </c>
    </row>
    <row r="748" spans="1:124">
      <c r="A748" s="42" t="s">
        <v>95</v>
      </c>
      <c r="B748" s="42" t="s">
        <v>982</v>
      </c>
      <c r="C748" s="42" t="s">
        <v>983</v>
      </c>
      <c r="D748" s="42">
        <v>501305</v>
      </c>
      <c r="E748" s="42" t="s">
        <v>989</v>
      </c>
      <c r="F748" s="42" t="s">
        <v>149</v>
      </c>
      <c r="G748" s="42" t="s">
        <v>150</v>
      </c>
      <c r="H748" s="43" t="s">
        <v>150</v>
      </c>
      <c r="I748" s="44">
        <v>7</v>
      </c>
      <c r="J748" s="45">
        <v>24.6568</v>
      </c>
      <c r="K748" s="46">
        <v>15490.632562000001</v>
      </c>
      <c r="L748" s="47">
        <v>15515.289362</v>
      </c>
      <c r="M748" s="48">
        <v>1719314</v>
      </c>
      <c r="N748" s="49">
        <v>182</v>
      </c>
      <c r="O748" s="49">
        <v>1719132</v>
      </c>
      <c r="P748" s="49">
        <v>0</v>
      </c>
      <c r="Q748" s="50">
        <v>3934.3543020594998</v>
      </c>
      <c r="R748" s="51">
        <v>947.06873549320005</v>
      </c>
      <c r="S748" s="49">
        <v>6676.7025037403</v>
      </c>
      <c r="T748" s="49">
        <v>1088.27614077217</v>
      </c>
      <c r="U748" s="49">
        <f>IFERROR(INDEX('Rentabilidad datos'!$N$2:$N$61,MATCH($C748,'Rentabilidad datos'!$C$2:$C$61,0)),"")</f>
        <v>8712.0473800056734</v>
      </c>
      <c r="V748" s="50">
        <f>IFERROR(INDEX('Rentabilidad datos'!$O$2:$O$61,MATCH($C748,'Rentabilidad datos'!$C$2:$C$61,0)),"")</f>
        <v>1452.0078966676122</v>
      </c>
      <c r="W748" s="51">
        <f>IFERROR(INDEX('Rentabilidad datos'!$M$2:$M$61,MATCH($C748,'Rentabilidad datos'!$C$2:$C$61,0)),"")</f>
        <v>1247.7563200000006</v>
      </c>
      <c r="X748" s="52">
        <f>IFERROR(INDEX('Rentabilidad datos'!$P$2:$P$61,MATCH($C748,'Rentabilidad datos'!$C$2:$C$61,0)),"")</f>
        <v>1.1636950848444603</v>
      </c>
      <c r="Y748" s="43" t="s">
        <v>160</v>
      </c>
      <c r="Z748" s="53">
        <v>46.6453089244851</v>
      </c>
      <c r="AA748" s="43">
        <v>1</v>
      </c>
      <c r="AB748" s="54">
        <v>0.73089557812011074</v>
      </c>
      <c r="AC748" s="55">
        <v>0.26910442187988931</v>
      </c>
      <c r="AD748" s="752" t="e">
        <f>_xlfn.XLOOKUP(Table1[[#This Row],[Ruta]],#REF!,#REF!)</f>
        <v>#REF!</v>
      </c>
      <c r="AE748" s="752" t="e">
        <f>_xlfn.XLOOKUP(Table1[[#This Row],[Ruta]],#REF!,#REF!)</f>
        <v>#REF!</v>
      </c>
      <c r="AF748" s="752" t="e">
        <f>_xlfn.XLOOKUP(Table1[[#This Row],[Ruta]],#REF!,#REF!)</f>
        <v>#REF!</v>
      </c>
      <c r="AG748" s="752" t="e">
        <f>_xlfn.XLOOKUP(Table1[[#This Row],[Ruta]],#REF!,#REF!)</f>
        <v>#REF!</v>
      </c>
      <c r="AH748" s="52">
        <v>1.0585617286894657E-4</v>
      </c>
      <c r="AI748" s="52">
        <v>0.99989414382713104</v>
      </c>
      <c r="AJ748" s="55">
        <v>0</v>
      </c>
      <c r="AK748" s="56">
        <v>20384</v>
      </c>
      <c r="AL748" s="44">
        <v>5408</v>
      </c>
      <c r="AM748" s="54">
        <v>0.26530612244898</v>
      </c>
      <c r="AN748" s="55">
        <v>0.41317694766155399</v>
      </c>
      <c r="AO748" s="56">
        <v>3014.1989011331202</v>
      </c>
      <c r="AP748" s="48">
        <v>1507.0994505665601</v>
      </c>
      <c r="AQ748" s="55">
        <v>0.33924153505526689</v>
      </c>
      <c r="AR748" s="51">
        <v>1719312.83</v>
      </c>
      <c r="AS748" s="49">
        <v>479137.46698318102</v>
      </c>
      <c r="AT748" s="55">
        <v>0.27867963213139113</v>
      </c>
      <c r="AU748" s="51">
        <v>336691.19301520841</v>
      </c>
      <c r="AV748" s="52">
        <v>1.5316400989950718E-3</v>
      </c>
      <c r="AW748" s="44">
        <v>219</v>
      </c>
      <c r="AX748" s="51">
        <v>317.92027181952699</v>
      </c>
      <c r="AY748" s="49">
        <v>346.57471852699899</v>
      </c>
      <c r="AZ748" s="49">
        <v>28.654446707472005</v>
      </c>
      <c r="BA748" s="42" t="s">
        <v>150</v>
      </c>
      <c r="BB748" s="50">
        <v>54446.546522219265</v>
      </c>
      <c r="BC748" s="57">
        <v>391137.73953742767</v>
      </c>
      <c r="BD748" s="42" t="s">
        <v>150</v>
      </c>
      <c r="BE748" s="46">
        <v>46.6453089244851</v>
      </c>
      <c r="BF748" s="46">
        <v>42.389668353896496</v>
      </c>
      <c r="BG748" s="42" t="s">
        <v>150</v>
      </c>
      <c r="BH748" s="52">
        <v>0.26530612244898</v>
      </c>
      <c r="BI748" s="52">
        <v>0.45227444211977702</v>
      </c>
      <c r="BJ748" s="42" t="s">
        <v>152</v>
      </c>
      <c r="BK748" s="46">
        <v>35.504094649885602</v>
      </c>
      <c r="BL748" s="46">
        <v>44.5370219668091</v>
      </c>
      <c r="BM748" s="42" t="s">
        <v>152</v>
      </c>
      <c r="BN748" s="48">
        <v>1</v>
      </c>
      <c r="BO748" s="42" t="s">
        <v>155</v>
      </c>
      <c r="BP748" s="42" t="s">
        <v>152</v>
      </c>
      <c r="BQ748" s="46">
        <v>2678.3453133336402</v>
      </c>
      <c r="BR748" s="46">
        <v>2727</v>
      </c>
      <c r="BS748" s="46">
        <v>166516</v>
      </c>
      <c r="BT748" s="46">
        <v>45472</v>
      </c>
      <c r="BU748" s="46">
        <v>3.6619458128078817</v>
      </c>
      <c r="BV748" s="46">
        <v>16.674734140080673</v>
      </c>
      <c r="BW748" s="46">
        <v>1515</v>
      </c>
      <c r="BX748" s="46">
        <v>2855</v>
      </c>
      <c r="BY748" s="46">
        <v>4370</v>
      </c>
      <c r="BZ748" s="46">
        <v>9.6103096410978181E-2</v>
      </c>
      <c r="CA748" s="46">
        <v>3.3317206192821948E-2</v>
      </c>
      <c r="CB748" s="46">
        <v>6.2785890218156226E-2</v>
      </c>
      <c r="CC748" s="46">
        <v>0.30099841660802251</v>
      </c>
      <c r="CD748" s="46">
        <v>0.14419862772695291</v>
      </c>
      <c r="CE748" s="46">
        <v>0</v>
      </c>
      <c r="CF748" s="46">
        <v>0.45858990147783252</v>
      </c>
      <c r="CG748" s="46">
        <v>0</v>
      </c>
      <c r="CH748" s="46">
        <v>1.099577762139338E-4</v>
      </c>
      <c r="CI748" s="46">
        <v>5.7231737490691588</v>
      </c>
      <c r="CJ748" s="46">
        <v>0.25222801412476881</v>
      </c>
      <c r="CK748">
        <v>326</v>
      </c>
      <c r="CL748">
        <v>486.09</v>
      </c>
      <c r="CM748">
        <f t="shared" si="84"/>
        <v>160.08999999999997</v>
      </c>
      <c r="CN748">
        <v>7.3</v>
      </c>
      <c r="CO748">
        <v>9.4499999999999993</v>
      </c>
      <c r="CP748">
        <f t="shared" si="85"/>
        <v>2.1499999999999995</v>
      </c>
      <c r="CQ748">
        <v>338.62</v>
      </c>
      <c r="CR748">
        <v>35.5</v>
      </c>
      <c r="CS748">
        <f t="shared" si="86"/>
        <v>303.12</v>
      </c>
      <c r="CT748" t="s">
        <v>152</v>
      </c>
      <c r="CU748">
        <v>77.23</v>
      </c>
      <c r="CV748">
        <v>68</v>
      </c>
      <c r="CW748" s="46">
        <v>4370</v>
      </c>
      <c r="CX748" s="46">
        <f t="shared" si="80"/>
        <v>9.2582468332160452</v>
      </c>
      <c r="CY748" s="46">
        <v>160.09</v>
      </c>
      <c r="CZ748" s="46">
        <f t="shared" si="81"/>
        <v>9.6103096410978175</v>
      </c>
      <c r="DA748" s="46">
        <f t="shared" si="82"/>
        <v>23.772962623452049</v>
      </c>
      <c r="DB748" s="46">
        <v>1084809.97</v>
      </c>
      <c r="DC748" s="46">
        <f t="shared" si="83"/>
        <v>0.20191163718339442</v>
      </c>
      <c r="DD748" s="46">
        <v>9213.65</v>
      </c>
      <c r="DE748" s="995">
        <v>4370</v>
      </c>
      <c r="DF748" s="995">
        <v>9.3849999999999998</v>
      </c>
      <c r="DG748" s="995">
        <v>102.6</v>
      </c>
      <c r="DH748" s="995">
        <v>9.61</v>
      </c>
      <c r="DI748" s="995">
        <v>48.774999999999999</v>
      </c>
      <c r="DJ748" s="995">
        <v>2222908</v>
      </c>
      <c r="DK748" s="995">
        <v>0.43099999999999999</v>
      </c>
      <c r="DL748" s="995">
        <v>19657.400000000001</v>
      </c>
      <c r="DM748" s="995">
        <v>4370</v>
      </c>
      <c r="DN748" s="995">
        <v>9.4239999999999995</v>
      </c>
      <c r="DO748" s="995">
        <v>84.6</v>
      </c>
      <c r="DP748" s="995">
        <v>9.61</v>
      </c>
      <c r="DQ748" s="995">
        <v>47.148000000000003</v>
      </c>
      <c r="DR748" s="995">
        <v>2147922</v>
      </c>
      <c r="DS748" s="995">
        <v>0.41799999999999998</v>
      </c>
      <c r="DT748" s="995">
        <v>19021.2</v>
      </c>
    </row>
    <row r="749" spans="1:124">
      <c r="A749" s="42" t="s">
        <v>95</v>
      </c>
      <c r="B749" s="42" t="s">
        <v>982</v>
      </c>
      <c r="C749" s="42" t="s">
        <v>983</v>
      </c>
      <c r="D749" s="42">
        <v>501306</v>
      </c>
      <c r="E749" s="42" t="s">
        <v>990</v>
      </c>
      <c r="F749" s="42" t="s">
        <v>149</v>
      </c>
      <c r="G749" s="42" t="s">
        <v>150</v>
      </c>
      <c r="H749" s="43" t="s">
        <v>152</v>
      </c>
      <c r="I749" s="44">
        <v>7</v>
      </c>
      <c r="J749" s="45">
        <v>0</v>
      </c>
      <c r="K749" s="46">
        <v>526.46500000000003</v>
      </c>
      <c r="L749" s="47">
        <v>526.46500000000003</v>
      </c>
      <c r="M749" s="48">
        <v>38687</v>
      </c>
      <c r="N749" s="49">
        <v>0</v>
      </c>
      <c r="O749" s="49">
        <v>38687</v>
      </c>
      <c r="P749" s="49">
        <v>0</v>
      </c>
      <c r="Q749" s="50">
        <v>606.36985074626898</v>
      </c>
      <c r="R749" s="51">
        <v>947.06873549320005</v>
      </c>
      <c r="S749" s="49">
        <v>6676.7025037403</v>
      </c>
      <c r="T749" s="49">
        <v>1088.27614077217</v>
      </c>
      <c r="U749" s="49">
        <f>IFERROR(INDEX('Rentabilidad datos'!$N$2:$N$61,MATCH($C749,'Rentabilidad datos'!$C$2:$C$61,0)),"")</f>
        <v>8712.0473800056734</v>
      </c>
      <c r="V749" s="50">
        <f>IFERROR(INDEX('Rentabilidad datos'!$O$2:$O$61,MATCH($C749,'Rentabilidad datos'!$C$2:$C$61,0)),"")</f>
        <v>1452.0078966676122</v>
      </c>
      <c r="W749" s="51">
        <f>IFERROR(INDEX('Rentabilidad datos'!$M$2:$M$61,MATCH($C749,'Rentabilidad datos'!$C$2:$C$61,0)),"")</f>
        <v>1247.7563200000006</v>
      </c>
      <c r="X749" s="52">
        <f>IFERROR(INDEX('Rentabilidad datos'!$P$2:$P$61,MATCH($C749,'Rentabilidad datos'!$C$2:$C$61,0)),"")</f>
        <v>1.1636950848444603</v>
      </c>
      <c r="Y749" s="43" t="s">
        <v>160</v>
      </c>
      <c r="Z749" s="53">
        <v>0</v>
      </c>
      <c r="AA749" s="43">
        <v>1</v>
      </c>
      <c r="AB749" s="54">
        <v>0</v>
      </c>
      <c r="AC749" s="55">
        <v>1</v>
      </c>
      <c r="AD749" s="752" t="e">
        <f>_xlfn.XLOOKUP(Table1[[#This Row],[Ruta]],#REF!,#REF!)</f>
        <v>#REF!</v>
      </c>
      <c r="AE749" s="752" t="e">
        <f>_xlfn.XLOOKUP(Table1[[#This Row],[Ruta]],#REF!,#REF!)</f>
        <v>#REF!</v>
      </c>
      <c r="AF749" s="752" t="e">
        <f>_xlfn.XLOOKUP(Table1[[#This Row],[Ruta]],#REF!,#REF!)</f>
        <v>#REF!</v>
      </c>
      <c r="AG749" s="752" t="e">
        <f>_xlfn.XLOOKUP(Table1[[#This Row],[Ruta]],#REF!,#REF!)</f>
        <v>#REF!</v>
      </c>
      <c r="AH749" s="52">
        <v>0</v>
      </c>
      <c r="AI749" s="52">
        <v>1</v>
      </c>
      <c r="AJ749" s="55">
        <v>0</v>
      </c>
      <c r="AK749" s="56">
        <v>0</v>
      </c>
      <c r="AL749" s="44">
        <v>69</v>
      </c>
      <c r="AM749" s="54">
        <v>0</v>
      </c>
      <c r="AN749" s="55">
        <v>0.41317694766155399</v>
      </c>
      <c r="AO749" s="56">
        <v>0</v>
      </c>
      <c r="AP749" s="48">
        <v>0</v>
      </c>
      <c r="AQ749" s="55" t="s">
        <v>194</v>
      </c>
      <c r="AR749" s="51">
        <v>40626.78</v>
      </c>
      <c r="AS749" s="49">
        <v>0</v>
      </c>
      <c r="AT749" s="55">
        <v>0</v>
      </c>
      <c r="AU749" s="51">
        <v>0</v>
      </c>
      <c r="AV749" s="52">
        <v>0</v>
      </c>
      <c r="AW749" s="44">
        <v>490</v>
      </c>
      <c r="AX749" s="51">
        <v>588.79391304347803</v>
      </c>
      <c r="AY749" s="49">
        <v>346.57471852699899</v>
      </c>
      <c r="AZ749" s="49">
        <v>0</v>
      </c>
      <c r="BA749" s="42" t="s">
        <v>152</v>
      </c>
      <c r="BB749" s="50">
        <v>0</v>
      </c>
      <c r="BC749" s="57">
        <v>0</v>
      </c>
      <c r="BD749" s="42" t="s">
        <v>152</v>
      </c>
      <c r="BE749" s="46" t="s">
        <v>195</v>
      </c>
      <c r="BF749" s="46" t="s">
        <v>195</v>
      </c>
      <c r="BG749" s="42" t="s">
        <v>195</v>
      </c>
      <c r="BH749" s="52" t="s">
        <v>195</v>
      </c>
      <c r="BI749" s="52" t="s">
        <v>195</v>
      </c>
      <c r="BJ749" s="42" t="s">
        <v>195</v>
      </c>
      <c r="BK749" s="46" t="s">
        <v>195</v>
      </c>
      <c r="BL749" s="46" t="s">
        <v>195</v>
      </c>
      <c r="BM749" s="42" t="s">
        <v>195</v>
      </c>
      <c r="BN749" s="48" t="s">
        <v>195</v>
      </c>
      <c r="BO749" s="42" t="s">
        <v>195</v>
      </c>
      <c r="BP749" s="42" t="s">
        <v>152</v>
      </c>
      <c r="BQ749" s="46">
        <v>0</v>
      </c>
      <c r="BR749" s="46" t="e">
        <v>#N/A</v>
      </c>
      <c r="BS749" s="46" t="e">
        <v>#N/A</v>
      </c>
      <c r="BT749" s="46" t="e">
        <v>#N/A</v>
      </c>
      <c r="BU749" s="46" t="e">
        <v>#N/A</v>
      </c>
      <c r="BV749" s="46" t="e">
        <v>#N/A</v>
      </c>
      <c r="BW749" s="46" t="e">
        <v>#N/A</v>
      </c>
      <c r="BX749" s="46" t="e">
        <v>#N/A</v>
      </c>
      <c r="BY749" s="46" t="e">
        <v>#N/A</v>
      </c>
      <c r="BZ749" s="46" t="e">
        <v>#N/A</v>
      </c>
      <c r="CA749" s="46" t="e">
        <v>#N/A</v>
      </c>
      <c r="CB749" s="46" t="e">
        <v>#N/A</v>
      </c>
      <c r="CC749" s="46" t="e">
        <v>#N/A</v>
      </c>
      <c r="CD749" s="46" t="e">
        <v>#N/A</v>
      </c>
      <c r="CE749" s="46" t="e">
        <v>#N/A</v>
      </c>
      <c r="CF749" s="46" t="e">
        <v>#N/A</v>
      </c>
      <c r="CG749" s="46" t="e">
        <v>#N/A</v>
      </c>
      <c r="CH749" s="46" t="e">
        <v>#N/A</v>
      </c>
      <c r="CI749" s="46" t="e">
        <v>#N/A</v>
      </c>
      <c r="CJ749" s="46" t="e">
        <v>#N/A</v>
      </c>
      <c r="CM749">
        <f t="shared" si="84"/>
        <v>0</v>
      </c>
      <c r="CP749">
        <f t="shared" si="85"/>
        <v>0</v>
      </c>
      <c r="CS749">
        <f t="shared" si="86"/>
        <v>0</v>
      </c>
      <c r="CW749" s="46"/>
      <c r="CX749" s="46" t="e">
        <f t="shared" si="80"/>
        <v>#N/A</v>
      </c>
      <c r="CY749" s="46"/>
      <c r="CZ749" s="46" t="e">
        <f t="shared" si="81"/>
        <v>#N/A</v>
      </c>
      <c r="DA749" s="46" t="e">
        <f t="shared" si="82"/>
        <v>#N/A</v>
      </c>
      <c r="DB749" s="46"/>
      <c r="DC749" s="46" t="e">
        <f t="shared" si="83"/>
        <v>#N/A</v>
      </c>
      <c r="DD749" s="46"/>
      <c r="DE749" s="995" t="s">
        <v>194</v>
      </c>
      <c r="DF749" s="995" t="s">
        <v>194</v>
      </c>
      <c r="DG749" s="995" t="s">
        <v>194</v>
      </c>
      <c r="DH749" s="995" t="s">
        <v>194</v>
      </c>
      <c r="DI749" s="995" t="s">
        <v>194</v>
      </c>
      <c r="DJ749" s="995" t="s">
        <v>194</v>
      </c>
      <c r="DK749" s="995" t="s">
        <v>194</v>
      </c>
      <c r="DL749" s="995" t="s">
        <v>194</v>
      </c>
      <c r="DM749" s="995" t="s">
        <v>194</v>
      </c>
      <c r="DN749" s="995" t="s">
        <v>194</v>
      </c>
      <c r="DO749" s="995" t="s">
        <v>194</v>
      </c>
      <c r="DP749" s="995" t="s">
        <v>194</v>
      </c>
      <c r="DQ749" s="995" t="s">
        <v>194</v>
      </c>
      <c r="DR749" s="995" t="s">
        <v>194</v>
      </c>
      <c r="DS749" s="995" t="s">
        <v>194</v>
      </c>
      <c r="DT749" s="995" t="s">
        <v>194</v>
      </c>
    </row>
    <row r="750" spans="1:124">
      <c r="A750" s="42" t="s">
        <v>95</v>
      </c>
      <c r="B750" s="42" t="s">
        <v>320</v>
      </c>
      <c r="C750" s="42" t="s">
        <v>991</v>
      </c>
      <c r="D750" s="42">
        <v>502300</v>
      </c>
      <c r="E750" s="42" t="s">
        <v>992</v>
      </c>
      <c r="F750" s="42" t="s">
        <v>149</v>
      </c>
      <c r="G750" s="42" t="s">
        <v>150</v>
      </c>
      <c r="H750" s="43" t="s">
        <v>152</v>
      </c>
      <c r="I750" s="44">
        <v>1</v>
      </c>
      <c r="J750" s="45">
        <v>0</v>
      </c>
      <c r="K750" s="46">
        <v>592.19081700000004</v>
      </c>
      <c r="L750" s="47">
        <v>592.19081700000004</v>
      </c>
      <c r="M750" s="48">
        <v>53507</v>
      </c>
      <c r="N750" s="49">
        <v>0</v>
      </c>
      <c r="O750" s="49">
        <v>53507</v>
      </c>
      <c r="P750" s="49">
        <v>0</v>
      </c>
      <c r="Q750" s="50">
        <v>1305.02902439024</v>
      </c>
      <c r="R750" s="51" t="s">
        <v>194</v>
      </c>
      <c r="S750" s="49" t="s">
        <v>194</v>
      </c>
      <c r="T750" s="49" t="s">
        <v>194</v>
      </c>
      <c r="U750" s="49" t="str">
        <f>IFERROR(INDEX('Rentabilidad datos'!$N$2:$N$61,MATCH($C750,'Rentabilidad datos'!$C$2:$C$61,0)),"")</f>
        <v/>
      </c>
      <c r="V750" s="50" t="str">
        <f>IFERROR(INDEX('Rentabilidad datos'!$O$2:$O$61,MATCH($C750,'Rentabilidad datos'!$C$2:$C$61,0)),"")</f>
        <v/>
      </c>
      <c r="W750" s="51" t="str">
        <f>IFERROR(INDEX('Rentabilidad datos'!$M$2:$M$61,MATCH($C750,'Rentabilidad datos'!$C$2:$C$61,0)),"")</f>
        <v/>
      </c>
      <c r="X750" s="52" t="str">
        <f>IFERROR(INDEX('Rentabilidad datos'!$P$2:$P$61,MATCH($C750,'Rentabilidad datos'!$C$2:$C$61,0)),"")</f>
        <v/>
      </c>
      <c r="Y750" s="43">
        <v>0</v>
      </c>
      <c r="Z750" s="53">
        <v>0</v>
      </c>
      <c r="AA750" s="43">
        <v>1</v>
      </c>
      <c r="AB750" s="54">
        <v>1</v>
      </c>
      <c r="AC750" s="55">
        <v>0</v>
      </c>
      <c r="AD750" s="752" t="e">
        <f>_xlfn.XLOOKUP(Table1[[#This Row],[Ruta]],#REF!,#REF!)</f>
        <v>#REF!</v>
      </c>
      <c r="AE750" s="752" t="e">
        <f>_xlfn.XLOOKUP(Table1[[#This Row],[Ruta]],#REF!,#REF!)</f>
        <v>#REF!</v>
      </c>
      <c r="AF750" s="752" t="e">
        <f>_xlfn.XLOOKUP(Table1[[#This Row],[Ruta]],#REF!,#REF!)</f>
        <v>#REF!</v>
      </c>
      <c r="AG750" s="752" t="e">
        <f>_xlfn.XLOOKUP(Table1[[#This Row],[Ruta]],#REF!,#REF!)</f>
        <v>#REF!</v>
      </c>
      <c r="AH750" s="52">
        <v>0</v>
      </c>
      <c r="AI750" s="52">
        <v>1</v>
      </c>
      <c r="AJ750" s="55">
        <v>0</v>
      </c>
      <c r="AK750" s="56">
        <v>0</v>
      </c>
      <c r="AL750" s="44">
        <v>154</v>
      </c>
      <c r="AM750" s="54">
        <v>0</v>
      </c>
      <c r="AN750" s="55">
        <v>0</v>
      </c>
      <c r="AO750" s="56">
        <v>0</v>
      </c>
      <c r="AP750" s="48">
        <v>0</v>
      </c>
      <c r="AQ750" s="55" t="s">
        <v>194</v>
      </c>
      <c r="AR750" s="51">
        <v>53506.19</v>
      </c>
      <c r="AS750" s="49">
        <v>0</v>
      </c>
      <c r="AT750" s="55">
        <v>0</v>
      </c>
      <c r="AU750" s="51">
        <v>0</v>
      </c>
      <c r="AV750" s="52">
        <v>0</v>
      </c>
      <c r="AW750" s="44">
        <v>490</v>
      </c>
      <c r="AX750" s="51">
        <v>347.44279220779202</v>
      </c>
      <c r="AY750" s="49">
        <v>347.44279220779202</v>
      </c>
      <c r="AZ750" s="49">
        <v>0</v>
      </c>
      <c r="BA750" s="42" t="s">
        <v>152</v>
      </c>
      <c r="BB750" s="50">
        <v>0</v>
      </c>
      <c r="BC750" s="57">
        <v>0</v>
      </c>
      <c r="BD750" s="42" t="s">
        <v>152</v>
      </c>
      <c r="BE750" s="46" t="s">
        <v>195</v>
      </c>
      <c r="BF750" s="46" t="s">
        <v>195</v>
      </c>
      <c r="BG750" s="42" t="s">
        <v>195</v>
      </c>
      <c r="BH750" s="52" t="s">
        <v>195</v>
      </c>
      <c r="BI750" s="52" t="s">
        <v>195</v>
      </c>
      <c r="BJ750" s="42" t="s">
        <v>195</v>
      </c>
      <c r="BK750" s="46" t="s">
        <v>195</v>
      </c>
      <c r="BL750" s="46" t="s">
        <v>195</v>
      </c>
      <c r="BM750" s="42" t="s">
        <v>195</v>
      </c>
      <c r="BN750" s="48" t="s">
        <v>195</v>
      </c>
      <c r="BO750" s="42" t="s">
        <v>195</v>
      </c>
      <c r="BP750" s="42" t="s">
        <v>152</v>
      </c>
      <c r="BQ750" s="46">
        <v>0</v>
      </c>
      <c r="BR750" s="46" t="e">
        <v>#N/A</v>
      </c>
      <c r="BS750" s="46" t="e">
        <v>#N/A</v>
      </c>
      <c r="BT750" s="46" t="e">
        <v>#N/A</v>
      </c>
      <c r="BU750" s="46" t="e">
        <v>#N/A</v>
      </c>
      <c r="BV750" s="46" t="e">
        <v>#N/A</v>
      </c>
      <c r="BW750" s="46" t="e">
        <v>#N/A</v>
      </c>
      <c r="BX750" s="46" t="e">
        <v>#N/A</v>
      </c>
      <c r="BY750" s="46" t="e">
        <v>#N/A</v>
      </c>
      <c r="BZ750" s="46" t="e">
        <v>#N/A</v>
      </c>
      <c r="CA750" s="46" t="e">
        <v>#N/A</v>
      </c>
      <c r="CB750" s="46" t="e">
        <v>#N/A</v>
      </c>
      <c r="CC750" s="46" t="e">
        <v>#N/A</v>
      </c>
      <c r="CD750" s="46" t="e">
        <v>#N/A</v>
      </c>
      <c r="CE750" s="46" t="e">
        <v>#N/A</v>
      </c>
      <c r="CF750" s="46" t="e">
        <v>#N/A</v>
      </c>
      <c r="CG750" s="46" t="e">
        <v>#N/A</v>
      </c>
      <c r="CH750" s="46" t="e">
        <v>#N/A</v>
      </c>
      <c r="CI750" s="46" t="e">
        <v>#N/A</v>
      </c>
      <c r="CJ750" s="46" t="e">
        <v>#N/A</v>
      </c>
      <c r="CM750">
        <f t="shared" si="84"/>
        <v>0</v>
      </c>
      <c r="CP750">
        <f t="shared" si="85"/>
        <v>0</v>
      </c>
      <c r="CS750">
        <f t="shared" si="86"/>
        <v>0</v>
      </c>
      <c r="CW750" s="46"/>
      <c r="CX750" s="46" t="e">
        <f t="shared" si="80"/>
        <v>#N/A</v>
      </c>
      <c r="CY750" s="46"/>
      <c r="CZ750" s="46" t="e">
        <f t="shared" si="81"/>
        <v>#N/A</v>
      </c>
      <c r="DA750" s="46" t="e">
        <f t="shared" si="82"/>
        <v>#N/A</v>
      </c>
      <c r="DB750" s="46"/>
      <c r="DC750" s="46" t="e">
        <f t="shared" si="83"/>
        <v>#N/A</v>
      </c>
      <c r="DD750" s="46"/>
      <c r="DE750" s="995" t="s">
        <v>194</v>
      </c>
      <c r="DF750" s="995" t="s">
        <v>194</v>
      </c>
      <c r="DG750" s="995" t="s">
        <v>194</v>
      </c>
      <c r="DH750" s="995" t="s">
        <v>194</v>
      </c>
      <c r="DI750" s="995" t="s">
        <v>194</v>
      </c>
      <c r="DJ750" s="995" t="s">
        <v>194</v>
      </c>
      <c r="DK750" s="995" t="s">
        <v>194</v>
      </c>
      <c r="DL750" s="995" t="s">
        <v>194</v>
      </c>
      <c r="DM750" s="995" t="s">
        <v>194</v>
      </c>
      <c r="DN750" s="995" t="s">
        <v>194</v>
      </c>
      <c r="DO750" s="995" t="s">
        <v>194</v>
      </c>
      <c r="DP750" s="995" t="s">
        <v>194</v>
      </c>
      <c r="DQ750" s="995" t="s">
        <v>194</v>
      </c>
      <c r="DR750" s="995" t="s">
        <v>194</v>
      </c>
      <c r="DS750" s="995" t="s">
        <v>194</v>
      </c>
      <c r="DT750" s="995" t="s">
        <v>194</v>
      </c>
    </row>
    <row r="751" spans="1:124">
      <c r="A751" s="42" t="s">
        <v>95</v>
      </c>
      <c r="B751" s="42" t="s">
        <v>993</v>
      </c>
      <c r="C751" s="42" t="s">
        <v>994</v>
      </c>
      <c r="D751" s="42">
        <v>401300</v>
      </c>
      <c r="E751" s="42" t="s">
        <v>995</v>
      </c>
      <c r="F751" s="42" t="s">
        <v>149</v>
      </c>
      <c r="G751" s="42" t="s">
        <v>150</v>
      </c>
      <c r="H751" s="43" t="s">
        <v>152</v>
      </c>
      <c r="I751" s="44">
        <v>6</v>
      </c>
      <c r="J751" s="45">
        <v>0</v>
      </c>
      <c r="K751" s="46">
        <v>24623.225114000001</v>
      </c>
      <c r="L751" s="47">
        <v>24623.225114000001</v>
      </c>
      <c r="M751" s="48">
        <v>3054972</v>
      </c>
      <c r="N751" s="49">
        <v>0</v>
      </c>
      <c r="O751" s="49">
        <v>3054972</v>
      </c>
      <c r="P751" s="49">
        <v>0</v>
      </c>
      <c r="Q751" s="50">
        <v>7039.1036405530003</v>
      </c>
      <c r="R751" s="51">
        <v>164.277575516453</v>
      </c>
      <c r="S751" s="49">
        <v>1460.30686625212</v>
      </c>
      <c r="T751" s="49">
        <v>478.84150193975398</v>
      </c>
      <c r="U751" s="49">
        <f>IFERROR(INDEX('Rentabilidad datos'!$N$2:$N$61,MATCH($C751,'Rentabilidad datos'!$C$2:$C$61,0)),"")</f>
        <v>2103.4259437083242</v>
      </c>
      <c r="V751" s="50">
        <f>IFERROR(INDEX('Rentabilidad datos'!$O$2:$O$61,MATCH($C751,'Rentabilidad datos'!$C$2:$C$61,0)),"")</f>
        <v>701.14198123610811</v>
      </c>
      <c r="W751" s="51">
        <f>IFERROR(INDEX('Rentabilidad datos'!$M$2:$M$61,MATCH($C751,'Rentabilidad datos'!$C$2:$C$61,0)),"")</f>
        <v>2188.6588733333338</v>
      </c>
      <c r="X751" s="52">
        <f>IFERROR(INDEX('Rentabilidad datos'!$P$2:$P$61,MATCH($C751,'Rentabilidad datos'!$C$2:$C$61,0)),"")</f>
        <v>0.32035233529484053</v>
      </c>
      <c r="Y751" s="43" t="s">
        <v>151</v>
      </c>
      <c r="Z751" s="53">
        <v>0</v>
      </c>
      <c r="AA751" s="43">
        <v>1</v>
      </c>
      <c r="AB751" s="54">
        <v>0.80693309136712221</v>
      </c>
      <c r="AC751" s="55">
        <v>0.19306690863287782</v>
      </c>
      <c r="AD751" s="752" t="e">
        <f>_xlfn.XLOOKUP(Table1[[#This Row],[Ruta]],#REF!,#REF!)</f>
        <v>#REF!</v>
      </c>
      <c r="AE751" s="752" t="e">
        <f>_xlfn.XLOOKUP(Table1[[#This Row],[Ruta]],#REF!,#REF!)</f>
        <v>#REF!</v>
      </c>
      <c r="AF751" s="752" t="e">
        <f>_xlfn.XLOOKUP(Table1[[#This Row],[Ruta]],#REF!,#REF!)</f>
        <v>#REF!</v>
      </c>
      <c r="AG751" s="752" t="e">
        <f>_xlfn.XLOOKUP(Table1[[#This Row],[Ruta]],#REF!,#REF!)</f>
        <v>#REF!</v>
      </c>
      <c r="AH751" s="52">
        <v>0</v>
      </c>
      <c r="AI751" s="52">
        <v>1</v>
      </c>
      <c r="AJ751" s="55">
        <v>0</v>
      </c>
      <c r="AK751" s="56">
        <v>0</v>
      </c>
      <c r="AL751" s="44">
        <v>8056</v>
      </c>
      <c r="AM751" s="54">
        <v>0</v>
      </c>
      <c r="AN751" s="55">
        <v>0</v>
      </c>
      <c r="AO751" s="56">
        <v>0</v>
      </c>
      <c r="AP751" s="48">
        <v>0</v>
      </c>
      <c r="AQ751" s="55" t="s">
        <v>194</v>
      </c>
      <c r="AR751" s="51">
        <v>3054970.98</v>
      </c>
      <c r="AS751" s="49">
        <v>0</v>
      </c>
      <c r="AT751" s="55">
        <v>0</v>
      </c>
      <c r="AU751" s="51">
        <v>0</v>
      </c>
      <c r="AV751" s="52">
        <v>0</v>
      </c>
      <c r="AW751" s="44">
        <v>490</v>
      </c>
      <c r="AX751" s="51">
        <v>379.21685451837101</v>
      </c>
      <c r="AY751" s="49">
        <v>663.16200000000003</v>
      </c>
      <c r="AZ751" s="49">
        <v>283.94514548162903</v>
      </c>
      <c r="BA751" s="42" t="s">
        <v>150</v>
      </c>
      <c r="BB751" s="50">
        <v>803702.89718919073</v>
      </c>
      <c r="BC751" s="57">
        <v>803702.89718919073</v>
      </c>
      <c r="BD751" s="42" t="s">
        <v>152</v>
      </c>
      <c r="BE751" s="46" t="s">
        <v>195</v>
      </c>
      <c r="BF751" s="46" t="s">
        <v>195</v>
      </c>
      <c r="BG751" s="42" t="s">
        <v>195</v>
      </c>
      <c r="BH751" s="52" t="s">
        <v>195</v>
      </c>
      <c r="BI751" s="52" t="s">
        <v>195</v>
      </c>
      <c r="BJ751" s="42" t="s">
        <v>195</v>
      </c>
      <c r="BK751" s="46" t="s">
        <v>195</v>
      </c>
      <c r="BL751" s="46" t="s">
        <v>195</v>
      </c>
      <c r="BM751" s="42" t="s">
        <v>195</v>
      </c>
      <c r="BN751" s="48" t="s">
        <v>195</v>
      </c>
      <c r="BO751" s="42" t="s">
        <v>195</v>
      </c>
      <c r="BP751" s="42" t="s">
        <v>152</v>
      </c>
      <c r="BQ751" s="46">
        <v>0</v>
      </c>
      <c r="BR751" s="46">
        <v>5123</v>
      </c>
      <c r="BS751" s="46">
        <v>260486</v>
      </c>
      <c r="BT751" s="46">
        <v>80337</v>
      </c>
      <c r="BU751" s="46">
        <v>3.2424163212467483</v>
      </c>
      <c r="BV751" s="46">
        <v>15.68163185633418</v>
      </c>
      <c r="BW751" s="46">
        <v>12228</v>
      </c>
      <c r="BX751" s="46">
        <v>20309</v>
      </c>
      <c r="BY751" s="46">
        <v>32537</v>
      </c>
      <c r="BZ751" s="46">
        <v>0.40500641049578651</v>
      </c>
      <c r="CA751" s="46">
        <v>0.15220882034429961</v>
      </c>
      <c r="CB751" s="46">
        <v>0.25279759015148678</v>
      </c>
      <c r="CC751" s="46">
        <v>0.31820954230304838</v>
      </c>
      <c r="CD751" s="46">
        <v>2.7521565405728369E-2</v>
      </c>
      <c r="CE751" s="46">
        <v>1.867134695096904E-4</v>
      </c>
      <c r="CF751" s="46">
        <v>0.24642443705888939</v>
      </c>
      <c r="CG751" s="46">
        <v>2.5890934438677071E-3</v>
      </c>
      <c r="CH751" s="46">
        <v>6.223782316989681E-5</v>
      </c>
      <c r="CI751" s="46">
        <v>2.8638775212487428</v>
      </c>
      <c r="CJ751" s="46">
        <v>0.63343135523598193</v>
      </c>
      <c r="CK751">
        <v>466</v>
      </c>
      <c r="CL751">
        <v>768.68</v>
      </c>
      <c r="CM751">
        <f t="shared" si="84"/>
        <v>302.67999999999995</v>
      </c>
      <c r="CN751">
        <v>5.92</v>
      </c>
      <c r="CO751">
        <v>9.4499999999999993</v>
      </c>
      <c r="CP751">
        <f t="shared" si="85"/>
        <v>3.5299999999999994</v>
      </c>
      <c r="CQ751">
        <v>564.37</v>
      </c>
      <c r="CR751">
        <v>0</v>
      </c>
      <c r="CS751">
        <f t="shared" si="86"/>
        <v>564.37</v>
      </c>
      <c r="CT751" t="s">
        <v>152</v>
      </c>
      <c r="CU751">
        <v>62.64</v>
      </c>
      <c r="CV751">
        <v>224</v>
      </c>
      <c r="CW751" s="46">
        <v>31057</v>
      </c>
      <c r="CX751" s="46">
        <f t="shared" si="80"/>
        <v>38.281638597408417</v>
      </c>
      <c r="CY751" s="46">
        <v>302.68</v>
      </c>
      <c r="CZ751" s="46">
        <f t="shared" si="81"/>
        <v>38.658401483749707</v>
      </c>
      <c r="DA751" s="46">
        <f t="shared" si="82"/>
        <v>27.186632933067195</v>
      </c>
      <c r="DB751" s="46">
        <v>2192321.38</v>
      </c>
      <c r="DC751" s="46">
        <f t="shared" si="83"/>
        <v>0.22757729197338084</v>
      </c>
      <c r="DD751" s="46">
        <v>18351.759999999998</v>
      </c>
      <c r="DE751" s="995">
        <v>31057</v>
      </c>
      <c r="DF751" s="995">
        <v>38.423000000000002</v>
      </c>
      <c r="DG751" s="995">
        <v>189.1</v>
      </c>
      <c r="DH751" s="995">
        <v>38.658000000000001</v>
      </c>
      <c r="DI751" s="995">
        <v>52.430999999999997</v>
      </c>
      <c r="DJ751" s="995">
        <v>4222032</v>
      </c>
      <c r="DK751" s="995">
        <v>0.436</v>
      </c>
      <c r="DL751" s="995">
        <v>35126.5</v>
      </c>
      <c r="DM751" s="995">
        <v>31057</v>
      </c>
      <c r="DN751" s="995">
        <v>38.451999999999998</v>
      </c>
      <c r="DO751" s="995">
        <v>165.4</v>
      </c>
      <c r="DP751" s="995">
        <v>38.658000000000001</v>
      </c>
      <c r="DQ751" s="995">
        <v>50.835000000000001</v>
      </c>
      <c r="DR751" s="995">
        <v>4092326</v>
      </c>
      <c r="DS751" s="995">
        <v>0.42299999999999999</v>
      </c>
      <c r="DT751" s="995">
        <v>34032.9</v>
      </c>
    </row>
    <row r="752" spans="1:124">
      <c r="A752" s="42" t="s">
        <v>95</v>
      </c>
      <c r="B752" s="42" t="s">
        <v>993</v>
      </c>
      <c r="C752" s="42" t="s">
        <v>994</v>
      </c>
      <c r="D752" s="42">
        <v>401301</v>
      </c>
      <c r="E752" s="42" t="s">
        <v>996</v>
      </c>
      <c r="F752" s="42" t="s">
        <v>149</v>
      </c>
      <c r="G752" s="42" t="s">
        <v>150</v>
      </c>
      <c r="H752" s="43" t="s">
        <v>152</v>
      </c>
      <c r="I752" s="44">
        <v>6</v>
      </c>
      <c r="J752" s="45">
        <v>0</v>
      </c>
      <c r="K752" s="46">
        <v>23437.752927000001</v>
      </c>
      <c r="L752" s="47">
        <v>23437.752927000001</v>
      </c>
      <c r="M752" s="48">
        <v>2654353</v>
      </c>
      <c r="N752" s="49">
        <v>0</v>
      </c>
      <c r="O752" s="49">
        <v>2654353</v>
      </c>
      <c r="P752" s="49">
        <v>0</v>
      </c>
      <c r="Q752" s="50">
        <v>6196.9633179723496</v>
      </c>
      <c r="R752" s="51">
        <v>164.277575516453</v>
      </c>
      <c r="S752" s="49">
        <v>1460.30686625212</v>
      </c>
      <c r="T752" s="49">
        <v>478.84150193975398</v>
      </c>
      <c r="U752" s="49">
        <f>IFERROR(INDEX('Rentabilidad datos'!$N$2:$N$61,MATCH($C752,'Rentabilidad datos'!$C$2:$C$61,0)),"")</f>
        <v>2103.4259437083242</v>
      </c>
      <c r="V752" s="50">
        <f>IFERROR(INDEX('Rentabilidad datos'!$O$2:$O$61,MATCH($C752,'Rentabilidad datos'!$C$2:$C$61,0)),"")</f>
        <v>701.14198123610811</v>
      </c>
      <c r="W752" s="51">
        <f>IFERROR(INDEX('Rentabilidad datos'!$M$2:$M$61,MATCH($C752,'Rentabilidad datos'!$C$2:$C$61,0)),"")</f>
        <v>2188.6588733333338</v>
      </c>
      <c r="X752" s="52">
        <f>IFERROR(INDEX('Rentabilidad datos'!$P$2:$P$61,MATCH($C752,'Rentabilidad datos'!$C$2:$C$61,0)),"")</f>
        <v>0.32035233529484053</v>
      </c>
      <c r="Y752" s="43" t="s">
        <v>151</v>
      </c>
      <c r="Z752" s="53">
        <v>0</v>
      </c>
      <c r="AA752" s="43">
        <v>1</v>
      </c>
      <c r="AB752" s="54">
        <v>0.73437820817351729</v>
      </c>
      <c r="AC752" s="55">
        <v>0.26562179182648277</v>
      </c>
      <c r="AD752" s="752" t="e">
        <f>_xlfn.XLOOKUP(Table1[[#This Row],[Ruta]],#REF!,#REF!)</f>
        <v>#REF!</v>
      </c>
      <c r="AE752" s="752" t="e">
        <f>_xlfn.XLOOKUP(Table1[[#This Row],[Ruta]],#REF!,#REF!)</f>
        <v>#REF!</v>
      </c>
      <c r="AF752" s="752" t="e">
        <f>_xlfn.XLOOKUP(Table1[[#This Row],[Ruta]],#REF!,#REF!)</f>
        <v>#REF!</v>
      </c>
      <c r="AG752" s="752" t="e">
        <f>_xlfn.XLOOKUP(Table1[[#This Row],[Ruta]],#REF!,#REF!)</f>
        <v>#REF!</v>
      </c>
      <c r="AH752" s="52">
        <v>0</v>
      </c>
      <c r="AI752" s="52">
        <v>1</v>
      </c>
      <c r="AJ752" s="55">
        <v>0</v>
      </c>
      <c r="AK752" s="56">
        <v>0</v>
      </c>
      <c r="AL752" s="44">
        <v>8214</v>
      </c>
      <c r="AM752" s="54">
        <v>0</v>
      </c>
      <c r="AN752" s="55">
        <v>0</v>
      </c>
      <c r="AO752" s="56">
        <v>0</v>
      </c>
      <c r="AP752" s="48">
        <v>0</v>
      </c>
      <c r="AQ752" s="55" t="s">
        <v>194</v>
      </c>
      <c r="AR752" s="51">
        <v>2689482.08</v>
      </c>
      <c r="AS752" s="49">
        <v>0</v>
      </c>
      <c r="AT752" s="55">
        <v>0</v>
      </c>
      <c r="AU752" s="51">
        <v>0</v>
      </c>
      <c r="AV752" s="52">
        <v>0</v>
      </c>
      <c r="AW752" s="44">
        <v>490</v>
      </c>
      <c r="AX752" s="51">
        <v>327.42659849038199</v>
      </c>
      <c r="AY752" s="49">
        <v>663.16200000000003</v>
      </c>
      <c r="AZ752" s="49">
        <v>335.73540150961804</v>
      </c>
      <c r="BA752" s="42" t="s">
        <v>150</v>
      </c>
      <c r="BB752" s="50">
        <v>968932.36875675805</v>
      </c>
      <c r="BC752" s="57">
        <v>968932.36875675805</v>
      </c>
      <c r="BD752" s="42" t="s">
        <v>152</v>
      </c>
      <c r="BE752" s="46" t="s">
        <v>195</v>
      </c>
      <c r="BF752" s="46" t="s">
        <v>195</v>
      </c>
      <c r="BG752" s="42" t="s">
        <v>195</v>
      </c>
      <c r="BH752" s="52" t="s">
        <v>195</v>
      </c>
      <c r="BI752" s="52" t="s">
        <v>195</v>
      </c>
      <c r="BJ752" s="42" t="s">
        <v>195</v>
      </c>
      <c r="BK752" s="46" t="s">
        <v>195</v>
      </c>
      <c r="BL752" s="46" t="s">
        <v>195</v>
      </c>
      <c r="BM752" s="42" t="s">
        <v>195</v>
      </c>
      <c r="BN752" s="48" t="s">
        <v>195</v>
      </c>
      <c r="BO752" s="42" t="s">
        <v>195</v>
      </c>
      <c r="BP752" s="42" t="s">
        <v>152</v>
      </c>
      <c r="BQ752" s="46">
        <v>0</v>
      </c>
      <c r="BR752" s="46">
        <v>5323</v>
      </c>
      <c r="BS752" s="46">
        <v>299062</v>
      </c>
      <c r="BT752" s="46">
        <v>89930</v>
      </c>
      <c r="BU752" s="46">
        <v>3.3254976092516402</v>
      </c>
      <c r="BV752" s="46">
        <v>16.894608303588203</v>
      </c>
      <c r="BW752" s="46">
        <v>10983</v>
      </c>
      <c r="BX752" s="46">
        <v>23360</v>
      </c>
      <c r="BY752" s="46">
        <v>34343</v>
      </c>
      <c r="BZ752" s="46">
        <v>0.3818859112643167</v>
      </c>
      <c r="CA752" s="46">
        <v>0.1221283220282442</v>
      </c>
      <c r="CB752" s="46">
        <v>0.25975758923607251</v>
      </c>
      <c r="CC752" s="46">
        <v>0.29498498832425218</v>
      </c>
      <c r="CD752" s="46">
        <v>0.1012009340598243</v>
      </c>
      <c r="CE752" s="46">
        <v>4.1143111308795732E-4</v>
      </c>
      <c r="CF752" s="46">
        <v>0.22102746580673863</v>
      </c>
      <c r="CG752" s="46">
        <v>3.5583231402201709E-4</v>
      </c>
      <c r="CH752" s="46">
        <v>1.3343711775825641E-4</v>
      </c>
      <c r="CI752" s="46">
        <v>2.9224709257612131</v>
      </c>
      <c r="CJ752" s="46">
        <v>0.46144277775177062</v>
      </c>
      <c r="CK752">
        <v>425</v>
      </c>
      <c r="CL752">
        <v>762.3</v>
      </c>
      <c r="CM752">
        <f t="shared" si="84"/>
        <v>337.29999999999995</v>
      </c>
      <c r="CN752">
        <v>6.77</v>
      </c>
      <c r="CO752">
        <v>9.4499999999999993</v>
      </c>
      <c r="CP752">
        <f t="shared" si="85"/>
        <v>2.6799999999999997</v>
      </c>
      <c r="CQ752">
        <v>1058.2</v>
      </c>
      <c r="CR752">
        <v>0</v>
      </c>
      <c r="CS752">
        <f t="shared" si="86"/>
        <v>1058.2</v>
      </c>
      <c r="CT752" t="s">
        <v>152</v>
      </c>
      <c r="CU752">
        <v>71.62</v>
      </c>
      <c r="CV752">
        <v>242</v>
      </c>
      <c r="CW752" s="46">
        <v>31109</v>
      </c>
      <c r="CX752" s="46">
        <f t="shared" si="80"/>
        <v>34.217391304347828</v>
      </c>
      <c r="CY752" s="46">
        <v>337.3</v>
      </c>
      <c r="CZ752" s="46">
        <f t="shared" si="81"/>
        <v>34.592460802846659</v>
      </c>
      <c r="DA752" s="46">
        <f t="shared" si="82"/>
        <v>26.788183650114711</v>
      </c>
      <c r="DB752" s="46">
        <v>2418097.0099999998</v>
      </c>
      <c r="DC752" s="46">
        <f t="shared" si="83"/>
        <v>0.23771609431100743</v>
      </c>
      <c r="DD752" s="46">
        <v>21457.99</v>
      </c>
      <c r="DE752" s="995">
        <v>31109</v>
      </c>
      <c r="DF752" s="995">
        <v>34.372999999999998</v>
      </c>
      <c r="DG752" s="995">
        <v>197.5</v>
      </c>
      <c r="DH752" s="995">
        <v>34.591999999999999</v>
      </c>
      <c r="DI752" s="995">
        <v>40.213999999999999</v>
      </c>
      <c r="DJ752" s="995">
        <v>3624394</v>
      </c>
      <c r="DK752" s="995">
        <v>0.35199999999999998</v>
      </c>
      <c r="DL752" s="995">
        <v>31699.9</v>
      </c>
      <c r="DM752" s="995">
        <v>31109</v>
      </c>
      <c r="DN752" s="995">
        <v>34.399000000000001</v>
      </c>
      <c r="DO752" s="995">
        <v>174</v>
      </c>
      <c r="DP752" s="995">
        <v>34.591999999999999</v>
      </c>
      <c r="DQ752" s="995">
        <v>38.645000000000003</v>
      </c>
      <c r="DR752" s="995">
        <v>3482075</v>
      </c>
      <c r="DS752" s="995">
        <v>0.33800000000000002</v>
      </c>
      <c r="DT752" s="995">
        <v>30423.1</v>
      </c>
    </row>
    <row r="753" spans="1:124">
      <c r="A753" s="42" t="s">
        <v>95</v>
      </c>
      <c r="B753" s="42" t="s">
        <v>993</v>
      </c>
      <c r="C753" s="42" t="s">
        <v>994</v>
      </c>
      <c r="D753" s="42">
        <v>401302</v>
      </c>
      <c r="E753" s="42" t="s">
        <v>997</v>
      </c>
      <c r="F753" s="42" t="s">
        <v>149</v>
      </c>
      <c r="G753" s="42" t="s">
        <v>150</v>
      </c>
      <c r="H753" s="43" t="s">
        <v>152</v>
      </c>
      <c r="I753" s="44">
        <v>6</v>
      </c>
      <c r="J753" s="45">
        <v>0</v>
      </c>
      <c r="K753" s="46">
        <v>22552.210008999999</v>
      </c>
      <c r="L753" s="47">
        <v>22552.210008999999</v>
      </c>
      <c r="M753" s="48">
        <v>2446389</v>
      </c>
      <c r="N753" s="49">
        <v>0</v>
      </c>
      <c r="O753" s="49">
        <v>2446389</v>
      </c>
      <c r="P753" s="49">
        <v>0</v>
      </c>
      <c r="Q753" s="50">
        <v>5548.2563594470103</v>
      </c>
      <c r="R753" s="51">
        <v>164.277575516453</v>
      </c>
      <c r="S753" s="49">
        <v>1460.30686625212</v>
      </c>
      <c r="T753" s="49">
        <v>478.84150193975398</v>
      </c>
      <c r="U753" s="49">
        <f>IFERROR(INDEX('Rentabilidad datos'!$N$2:$N$61,MATCH($C753,'Rentabilidad datos'!$C$2:$C$61,0)),"")</f>
        <v>2103.4259437083242</v>
      </c>
      <c r="V753" s="50">
        <f>IFERROR(INDEX('Rentabilidad datos'!$O$2:$O$61,MATCH($C753,'Rentabilidad datos'!$C$2:$C$61,0)),"")</f>
        <v>701.14198123610811</v>
      </c>
      <c r="W753" s="51">
        <f>IFERROR(INDEX('Rentabilidad datos'!$M$2:$M$61,MATCH($C753,'Rentabilidad datos'!$C$2:$C$61,0)),"")</f>
        <v>2188.6588733333338</v>
      </c>
      <c r="X753" s="52">
        <f>IFERROR(INDEX('Rentabilidad datos'!$P$2:$P$61,MATCH($C753,'Rentabilidad datos'!$C$2:$C$61,0)),"")</f>
        <v>0.32035233529484053</v>
      </c>
      <c r="Y753" s="43" t="s">
        <v>151</v>
      </c>
      <c r="Z753" s="53">
        <v>0</v>
      </c>
      <c r="AA753" s="43">
        <v>1</v>
      </c>
      <c r="AB753" s="54">
        <v>0.51837585927667273</v>
      </c>
      <c r="AC753" s="55">
        <v>0.48162414072332732</v>
      </c>
      <c r="AD753" s="752" t="e">
        <f>_xlfn.XLOOKUP(Table1[[#This Row],[Ruta]],#REF!,#REF!)</f>
        <v>#REF!</v>
      </c>
      <c r="AE753" s="752" t="e">
        <f>_xlfn.XLOOKUP(Table1[[#This Row],[Ruta]],#REF!,#REF!)</f>
        <v>#REF!</v>
      </c>
      <c r="AF753" s="752" t="e">
        <f>_xlfn.XLOOKUP(Table1[[#This Row],[Ruta]],#REF!,#REF!)</f>
        <v>#REF!</v>
      </c>
      <c r="AG753" s="752" t="e">
        <f>_xlfn.XLOOKUP(Table1[[#This Row],[Ruta]],#REF!,#REF!)</f>
        <v>#REF!</v>
      </c>
      <c r="AH753" s="52">
        <v>0</v>
      </c>
      <c r="AI753" s="52">
        <v>1</v>
      </c>
      <c r="AJ753" s="55">
        <v>0</v>
      </c>
      <c r="AK753" s="56">
        <v>0</v>
      </c>
      <c r="AL753" s="44">
        <v>7137</v>
      </c>
      <c r="AM753" s="54">
        <v>0</v>
      </c>
      <c r="AN753" s="55">
        <v>0</v>
      </c>
      <c r="AO753" s="56">
        <v>0</v>
      </c>
      <c r="AP753" s="48">
        <v>0</v>
      </c>
      <c r="AQ753" s="55" t="s">
        <v>194</v>
      </c>
      <c r="AR753" s="51">
        <v>2407943.2599999998</v>
      </c>
      <c r="AS753" s="49">
        <v>0</v>
      </c>
      <c r="AT753" s="55">
        <v>0</v>
      </c>
      <c r="AU753" s="51">
        <v>0</v>
      </c>
      <c r="AV753" s="52">
        <v>0</v>
      </c>
      <c r="AW753" s="44">
        <v>490</v>
      </c>
      <c r="AX753" s="51">
        <v>337.38871514642</v>
      </c>
      <c r="AY753" s="49">
        <v>663.16200000000003</v>
      </c>
      <c r="AZ753" s="49">
        <v>325.77328485358004</v>
      </c>
      <c r="BA753" s="42" t="s">
        <v>150</v>
      </c>
      <c r="BB753" s="50">
        <v>816907.3281621628</v>
      </c>
      <c r="BC753" s="57">
        <v>816907.3281621628</v>
      </c>
      <c r="BD753" s="42" t="s">
        <v>152</v>
      </c>
      <c r="BE753" s="46" t="s">
        <v>195</v>
      </c>
      <c r="BF753" s="46" t="s">
        <v>195</v>
      </c>
      <c r="BG753" s="42" t="s">
        <v>195</v>
      </c>
      <c r="BH753" s="52" t="s">
        <v>195</v>
      </c>
      <c r="BI753" s="52" t="s">
        <v>195</v>
      </c>
      <c r="BJ753" s="42" t="s">
        <v>195</v>
      </c>
      <c r="BK753" s="46" t="s">
        <v>195</v>
      </c>
      <c r="BL753" s="46" t="s">
        <v>195</v>
      </c>
      <c r="BM753" s="42" t="s">
        <v>195</v>
      </c>
      <c r="BN753" s="48" t="s">
        <v>195</v>
      </c>
      <c r="BO753" s="42" t="s">
        <v>195</v>
      </c>
      <c r="BP753" s="42" t="s">
        <v>152</v>
      </c>
      <c r="BQ753" s="46">
        <v>0</v>
      </c>
      <c r="BR753" s="46">
        <v>4729</v>
      </c>
      <c r="BS753" s="46">
        <v>293372</v>
      </c>
      <c r="BT753" s="46">
        <v>86788</v>
      </c>
      <c r="BU753" s="46">
        <v>3.3803290777526849</v>
      </c>
      <c r="BV753" s="46">
        <v>18.352294353986043</v>
      </c>
      <c r="BW753" s="46">
        <v>8278</v>
      </c>
      <c r="BX753" s="46">
        <v>22764</v>
      </c>
      <c r="BY753" s="46">
        <v>31042</v>
      </c>
      <c r="BZ753" s="46">
        <v>0.35767617642992117</v>
      </c>
      <c r="CA753" s="46">
        <v>9.538185002534913E-2</v>
      </c>
      <c r="CB753" s="46">
        <v>0.26229432640457195</v>
      </c>
      <c r="CC753" s="46">
        <v>0.25405586025717841</v>
      </c>
      <c r="CD753" s="46">
        <v>0.14021523712955714</v>
      </c>
      <c r="CE753" s="46">
        <v>0</v>
      </c>
      <c r="CF753" s="46">
        <v>0.24604784071530622</v>
      </c>
      <c r="CG753" s="46">
        <v>1.9242291561045303E-3</v>
      </c>
      <c r="CH753" s="46">
        <v>8.0656311932525228E-5</v>
      </c>
      <c r="CI753" s="46">
        <v>3.0745947125151676</v>
      </c>
      <c r="CJ753" s="46">
        <v>0.35109008357989185</v>
      </c>
      <c r="CK753">
        <v>470</v>
      </c>
      <c r="CL753">
        <v>778.68</v>
      </c>
      <c r="CM753">
        <f t="shared" si="84"/>
        <v>308.67999999999995</v>
      </c>
      <c r="CN753">
        <v>5.97</v>
      </c>
      <c r="CO753">
        <v>9.4499999999999993</v>
      </c>
      <c r="CP753">
        <f t="shared" si="85"/>
        <v>3.4799999999999995</v>
      </c>
      <c r="CQ753">
        <v>592.59</v>
      </c>
      <c r="CR753">
        <v>0</v>
      </c>
      <c r="CS753">
        <f t="shared" si="86"/>
        <v>592.59</v>
      </c>
      <c r="CT753" t="s">
        <v>152</v>
      </c>
      <c r="CU753">
        <v>63.23</v>
      </c>
      <c r="CV753">
        <v>142</v>
      </c>
      <c r="CW753" s="46">
        <v>31042</v>
      </c>
      <c r="CX753" s="46">
        <f t="shared" si="80"/>
        <v>35.411946352030235</v>
      </c>
      <c r="CY753" s="46">
        <v>308.68</v>
      </c>
      <c r="CZ753" s="46">
        <f t="shared" si="81"/>
        <v>35.767617642992114</v>
      </c>
      <c r="DA753" s="46">
        <f t="shared" si="82"/>
        <v>26.441516255269431</v>
      </c>
      <c r="DB753" s="46">
        <v>2302968.2799999998</v>
      </c>
      <c r="DC753" s="46">
        <f t="shared" si="83"/>
        <v>0.23802020926630041</v>
      </c>
      <c r="DD753" s="46">
        <v>20730.77</v>
      </c>
      <c r="DE753" s="995">
        <v>31042</v>
      </c>
      <c r="DF753" s="995">
        <v>35.531999999999996</v>
      </c>
      <c r="DG753" s="995">
        <v>204.6</v>
      </c>
      <c r="DH753" s="995">
        <v>35.768000000000001</v>
      </c>
      <c r="DI753" s="995">
        <v>41.502000000000002</v>
      </c>
      <c r="DJ753" s="995">
        <v>3610385</v>
      </c>
      <c r="DK753" s="995">
        <v>0.379</v>
      </c>
      <c r="DL753" s="995">
        <v>32985.4</v>
      </c>
      <c r="DM753" s="995">
        <v>31042</v>
      </c>
      <c r="DN753" s="995">
        <v>35.549999999999997</v>
      </c>
      <c r="DO753" s="995">
        <v>188.6</v>
      </c>
      <c r="DP753" s="995">
        <v>35.768000000000001</v>
      </c>
      <c r="DQ753" s="995">
        <v>40.563000000000002</v>
      </c>
      <c r="DR753" s="995">
        <v>3528057</v>
      </c>
      <c r="DS753" s="995">
        <v>0.371</v>
      </c>
      <c r="DT753" s="995">
        <v>32245.8</v>
      </c>
    </row>
    <row r="754" spans="1:124">
      <c r="A754" s="42" t="s">
        <v>95</v>
      </c>
      <c r="B754" s="42" t="s">
        <v>993</v>
      </c>
      <c r="C754" s="42" t="s">
        <v>994</v>
      </c>
      <c r="D754" s="42">
        <v>401306</v>
      </c>
      <c r="E754" s="42" t="s">
        <v>998</v>
      </c>
      <c r="F754" s="42" t="s">
        <v>193</v>
      </c>
      <c r="G754" s="42" t="s">
        <v>150</v>
      </c>
      <c r="H754" s="43" t="s">
        <v>152</v>
      </c>
      <c r="I754" s="44">
        <v>6</v>
      </c>
      <c r="J754" s="45">
        <v>0</v>
      </c>
      <c r="K754" s="46">
        <v>9.9330999999999996</v>
      </c>
      <c r="L754" s="47">
        <v>9.9330999999999996</v>
      </c>
      <c r="M754" s="48">
        <v>1001</v>
      </c>
      <c r="N754" s="49">
        <v>0</v>
      </c>
      <c r="O754" s="49">
        <v>1001</v>
      </c>
      <c r="P754" s="49">
        <v>0</v>
      </c>
      <c r="Q754" s="50">
        <v>0</v>
      </c>
      <c r="R754" s="51">
        <v>164.277575516453</v>
      </c>
      <c r="S754" s="49">
        <v>1460.30686625212</v>
      </c>
      <c r="T754" s="49">
        <v>478.84150193975398</v>
      </c>
      <c r="U754" s="49">
        <f>IFERROR(INDEX('Rentabilidad datos'!$N$2:$N$61,MATCH($C754,'Rentabilidad datos'!$C$2:$C$61,0)),"")</f>
        <v>2103.4259437083242</v>
      </c>
      <c r="V754" s="50">
        <f>IFERROR(INDEX('Rentabilidad datos'!$O$2:$O$61,MATCH($C754,'Rentabilidad datos'!$C$2:$C$61,0)),"")</f>
        <v>701.14198123610811</v>
      </c>
      <c r="W754" s="51">
        <f>IFERROR(INDEX('Rentabilidad datos'!$M$2:$M$61,MATCH($C754,'Rentabilidad datos'!$C$2:$C$61,0)),"")</f>
        <v>2188.6588733333338</v>
      </c>
      <c r="X754" s="52">
        <f>IFERROR(INDEX('Rentabilidad datos'!$P$2:$P$61,MATCH($C754,'Rentabilidad datos'!$C$2:$C$61,0)),"")</f>
        <v>0.32035233529484053</v>
      </c>
      <c r="Y754" s="43" t="s">
        <v>151</v>
      </c>
      <c r="Z754" s="53">
        <v>0</v>
      </c>
      <c r="AA754" s="43">
        <v>1</v>
      </c>
      <c r="AB754" s="54">
        <v>0</v>
      </c>
      <c r="AC754" s="55">
        <v>1</v>
      </c>
      <c r="AD754" s="752" t="e">
        <f>_xlfn.XLOOKUP(Table1[[#This Row],[Ruta]],#REF!,#REF!)</f>
        <v>#REF!</v>
      </c>
      <c r="AE754" s="752" t="e">
        <f>_xlfn.XLOOKUP(Table1[[#This Row],[Ruta]],#REF!,#REF!)</f>
        <v>#REF!</v>
      </c>
      <c r="AF754" s="752" t="e">
        <f>_xlfn.XLOOKUP(Table1[[#This Row],[Ruta]],#REF!,#REF!)</f>
        <v>#REF!</v>
      </c>
      <c r="AG754" s="752" t="e">
        <f>_xlfn.XLOOKUP(Table1[[#This Row],[Ruta]],#REF!,#REF!)</f>
        <v>#REF!</v>
      </c>
      <c r="AH754" s="52">
        <v>0</v>
      </c>
      <c r="AI754" s="52">
        <v>1</v>
      </c>
      <c r="AJ754" s="55">
        <v>0</v>
      </c>
      <c r="AK754" s="56">
        <v>0</v>
      </c>
      <c r="AL754" s="44">
        <v>1</v>
      </c>
      <c r="AM754" s="54">
        <v>0</v>
      </c>
      <c r="AN754" s="55">
        <v>0</v>
      </c>
      <c r="AO754" s="56">
        <v>0</v>
      </c>
      <c r="AP754" s="48">
        <v>0</v>
      </c>
      <c r="AQ754" s="55" t="s">
        <v>194</v>
      </c>
      <c r="AR754" s="51">
        <v>1001.38</v>
      </c>
      <c r="AS754" s="49">
        <v>0</v>
      </c>
      <c r="AT754" s="55">
        <v>0</v>
      </c>
      <c r="AU754" s="51">
        <v>0</v>
      </c>
      <c r="AV754" s="52">
        <v>0</v>
      </c>
      <c r="AW754" s="44">
        <v>490</v>
      </c>
      <c r="AX754" s="51">
        <v>1001.38</v>
      </c>
      <c r="AY754" s="49">
        <v>663.16200000000003</v>
      </c>
      <c r="AZ754" s="49">
        <v>0</v>
      </c>
      <c r="BA754" s="42" t="s">
        <v>152</v>
      </c>
      <c r="BB754" s="50">
        <v>0</v>
      </c>
      <c r="BC754" s="57">
        <v>0</v>
      </c>
      <c r="BD754" s="42" t="s">
        <v>152</v>
      </c>
      <c r="BE754" s="46" t="s">
        <v>195</v>
      </c>
      <c r="BF754" s="46" t="s">
        <v>195</v>
      </c>
      <c r="BG754" s="42" t="s">
        <v>195</v>
      </c>
      <c r="BH754" s="52" t="s">
        <v>195</v>
      </c>
      <c r="BI754" s="52" t="s">
        <v>195</v>
      </c>
      <c r="BJ754" s="42" t="s">
        <v>195</v>
      </c>
      <c r="BK754" s="46" t="s">
        <v>195</v>
      </c>
      <c r="BL754" s="46" t="s">
        <v>195</v>
      </c>
      <c r="BM754" s="42" t="s">
        <v>195</v>
      </c>
      <c r="BN754" s="48" t="s">
        <v>195</v>
      </c>
      <c r="BO754" s="42" t="s">
        <v>195</v>
      </c>
      <c r="BP754" s="42" t="s">
        <v>152</v>
      </c>
      <c r="BQ754" s="46">
        <v>0</v>
      </c>
      <c r="BR754" s="46" t="e">
        <v>#N/A</v>
      </c>
      <c r="BS754" s="46" t="e">
        <v>#N/A</v>
      </c>
      <c r="BT754" s="46" t="e">
        <v>#N/A</v>
      </c>
      <c r="BU754" s="46" t="e">
        <v>#N/A</v>
      </c>
      <c r="BV754" s="46" t="e">
        <v>#N/A</v>
      </c>
      <c r="BW754" s="46" t="e">
        <v>#N/A</v>
      </c>
      <c r="BX754" s="46" t="e">
        <v>#N/A</v>
      </c>
      <c r="BY754" s="46" t="e">
        <v>#N/A</v>
      </c>
      <c r="BZ754" s="46" t="e">
        <v>#N/A</v>
      </c>
      <c r="CA754" s="46" t="e">
        <v>#N/A</v>
      </c>
      <c r="CB754" s="46" t="e">
        <v>#N/A</v>
      </c>
      <c r="CC754" s="46" t="e">
        <v>#N/A</v>
      </c>
      <c r="CD754" s="46" t="e">
        <v>#N/A</v>
      </c>
      <c r="CE754" s="46" t="e">
        <v>#N/A</v>
      </c>
      <c r="CF754" s="46" t="e">
        <v>#N/A</v>
      </c>
      <c r="CG754" s="46" t="e">
        <v>#N/A</v>
      </c>
      <c r="CH754" s="46" t="e">
        <v>#N/A</v>
      </c>
      <c r="CI754" s="46" t="e">
        <v>#N/A</v>
      </c>
      <c r="CJ754" s="46" t="e">
        <v>#N/A</v>
      </c>
      <c r="CM754">
        <f t="shared" si="84"/>
        <v>0</v>
      </c>
      <c r="CP754">
        <f t="shared" si="85"/>
        <v>0</v>
      </c>
      <c r="CS754">
        <f t="shared" si="86"/>
        <v>0</v>
      </c>
      <c r="CW754" s="46"/>
      <c r="CX754" s="46" t="e">
        <f t="shared" si="80"/>
        <v>#N/A</v>
      </c>
      <c r="CY754" s="46"/>
      <c r="CZ754" s="46" t="e">
        <f t="shared" si="81"/>
        <v>#N/A</v>
      </c>
      <c r="DA754" s="46" t="e">
        <f t="shared" si="82"/>
        <v>#N/A</v>
      </c>
      <c r="DB754" s="46"/>
      <c r="DC754" s="46" t="e">
        <f t="shared" si="83"/>
        <v>#N/A</v>
      </c>
      <c r="DD754" s="46"/>
      <c r="DE754" s="995" t="s">
        <v>194</v>
      </c>
      <c r="DF754" s="995" t="s">
        <v>194</v>
      </c>
      <c r="DG754" s="995" t="s">
        <v>194</v>
      </c>
      <c r="DH754" s="995" t="s">
        <v>194</v>
      </c>
      <c r="DI754" s="995" t="s">
        <v>194</v>
      </c>
      <c r="DJ754" s="995" t="s">
        <v>194</v>
      </c>
      <c r="DK754" s="995" t="s">
        <v>194</v>
      </c>
      <c r="DL754" s="995" t="s">
        <v>194</v>
      </c>
      <c r="DM754" s="995" t="s">
        <v>194</v>
      </c>
      <c r="DN754" s="995" t="s">
        <v>194</v>
      </c>
      <c r="DO754" s="995" t="s">
        <v>194</v>
      </c>
      <c r="DP754" s="995" t="s">
        <v>194</v>
      </c>
      <c r="DQ754" s="995" t="s">
        <v>194</v>
      </c>
      <c r="DR754" s="995" t="s">
        <v>194</v>
      </c>
      <c r="DS754" s="995" t="s">
        <v>194</v>
      </c>
      <c r="DT754" s="995" t="s">
        <v>194</v>
      </c>
    </row>
    <row r="755" spans="1:124">
      <c r="A755" s="42" t="s">
        <v>95</v>
      </c>
      <c r="B755" s="42" t="s">
        <v>993</v>
      </c>
      <c r="C755" s="42" t="s">
        <v>994</v>
      </c>
      <c r="D755" s="42">
        <v>401307</v>
      </c>
      <c r="E755" s="42" t="s">
        <v>999</v>
      </c>
      <c r="F755" s="42" t="s">
        <v>149</v>
      </c>
      <c r="G755" s="42" t="s">
        <v>150</v>
      </c>
      <c r="H755" s="43" t="s">
        <v>152</v>
      </c>
      <c r="I755" s="44">
        <v>6</v>
      </c>
      <c r="J755" s="45">
        <v>0</v>
      </c>
      <c r="K755" s="46">
        <v>9013.4740849999998</v>
      </c>
      <c r="L755" s="47">
        <v>9013.4740849999998</v>
      </c>
      <c r="M755" s="48">
        <v>1102552</v>
      </c>
      <c r="N755" s="49">
        <v>0</v>
      </c>
      <c r="O755" s="49">
        <v>1102552</v>
      </c>
      <c r="P755" s="49">
        <v>0</v>
      </c>
      <c r="Q755" s="50">
        <v>10401.4374528302</v>
      </c>
      <c r="R755" s="51">
        <v>164.277575516453</v>
      </c>
      <c r="S755" s="49">
        <v>1460.30686625212</v>
      </c>
      <c r="T755" s="49">
        <v>478.84150193975398</v>
      </c>
      <c r="U755" s="49">
        <f>IFERROR(INDEX('Rentabilidad datos'!$N$2:$N$61,MATCH($C755,'Rentabilidad datos'!$C$2:$C$61,0)),"")</f>
        <v>2103.4259437083242</v>
      </c>
      <c r="V755" s="50">
        <f>IFERROR(INDEX('Rentabilidad datos'!$O$2:$O$61,MATCH($C755,'Rentabilidad datos'!$C$2:$C$61,0)),"")</f>
        <v>701.14198123610811</v>
      </c>
      <c r="W755" s="51">
        <f>IFERROR(INDEX('Rentabilidad datos'!$M$2:$M$61,MATCH($C755,'Rentabilidad datos'!$C$2:$C$61,0)),"")</f>
        <v>2188.6588733333338</v>
      </c>
      <c r="X755" s="52">
        <f>IFERROR(INDEX('Rentabilidad datos'!$P$2:$P$61,MATCH($C755,'Rentabilidad datos'!$C$2:$C$61,0)),"")</f>
        <v>0.32035233529484053</v>
      </c>
      <c r="Y755" s="43" t="s">
        <v>151</v>
      </c>
      <c r="Z755" s="53">
        <v>0</v>
      </c>
      <c r="AA755" s="43">
        <v>1</v>
      </c>
      <c r="AB755" s="54">
        <v>0.96420576988659035</v>
      </c>
      <c r="AC755" s="55">
        <v>3.5794230113409618E-2</v>
      </c>
      <c r="AD755" s="752" t="e">
        <f>_xlfn.XLOOKUP(Table1[[#This Row],[Ruta]],#REF!,#REF!)</f>
        <v>#REF!</v>
      </c>
      <c r="AE755" s="752" t="e">
        <f>_xlfn.XLOOKUP(Table1[[#This Row],[Ruta]],#REF!,#REF!)</f>
        <v>#REF!</v>
      </c>
      <c r="AF755" s="752" t="e">
        <f>_xlfn.XLOOKUP(Table1[[#This Row],[Ruta]],#REF!,#REF!)</f>
        <v>#REF!</v>
      </c>
      <c r="AG755" s="752" t="e">
        <f>_xlfn.XLOOKUP(Table1[[#This Row],[Ruta]],#REF!,#REF!)</f>
        <v>#REF!</v>
      </c>
      <c r="AH755" s="52">
        <v>0</v>
      </c>
      <c r="AI755" s="52">
        <v>1</v>
      </c>
      <c r="AJ755" s="55">
        <v>0</v>
      </c>
      <c r="AK755" s="56">
        <v>0</v>
      </c>
      <c r="AL755" s="44">
        <v>113</v>
      </c>
      <c r="AM755" s="54">
        <v>0</v>
      </c>
      <c r="AN755" s="55">
        <v>0</v>
      </c>
      <c r="AO755" s="56">
        <v>0</v>
      </c>
      <c r="AP755" s="48">
        <v>0</v>
      </c>
      <c r="AQ755" s="55" t="s">
        <v>194</v>
      </c>
      <c r="AR755" s="51">
        <v>1102552.3700000001</v>
      </c>
      <c r="AS755" s="49">
        <v>0</v>
      </c>
      <c r="AT755" s="55">
        <v>0</v>
      </c>
      <c r="AU755" s="51">
        <v>0</v>
      </c>
      <c r="AV755" s="52">
        <v>0</v>
      </c>
      <c r="AW755" s="44">
        <v>490</v>
      </c>
      <c r="AX755" s="51">
        <v>9757.1006194690308</v>
      </c>
      <c r="AY755" s="49">
        <v>663.16200000000003</v>
      </c>
      <c r="AZ755" s="49">
        <v>0</v>
      </c>
      <c r="BA755" s="42" t="s">
        <v>152</v>
      </c>
      <c r="BB755" s="50">
        <v>0</v>
      </c>
      <c r="BC755" s="57">
        <v>0</v>
      </c>
      <c r="BD755" s="42" t="s">
        <v>152</v>
      </c>
      <c r="BE755" s="46" t="s">
        <v>195</v>
      </c>
      <c r="BF755" s="46" t="s">
        <v>195</v>
      </c>
      <c r="BG755" s="42" t="s">
        <v>195</v>
      </c>
      <c r="BH755" s="52" t="s">
        <v>195</v>
      </c>
      <c r="BI755" s="52" t="s">
        <v>195</v>
      </c>
      <c r="BJ755" s="42" t="s">
        <v>195</v>
      </c>
      <c r="BK755" s="46" t="s">
        <v>195</v>
      </c>
      <c r="BL755" s="46" t="s">
        <v>195</v>
      </c>
      <c r="BM755" s="42" t="s">
        <v>195</v>
      </c>
      <c r="BN755" s="48" t="s">
        <v>195</v>
      </c>
      <c r="BO755" s="42" t="s">
        <v>195</v>
      </c>
      <c r="BP755" s="42" t="s">
        <v>152</v>
      </c>
      <c r="BQ755" s="46">
        <v>0</v>
      </c>
      <c r="BR755" s="46" t="e">
        <v>#N/A</v>
      </c>
      <c r="BS755" s="46" t="e">
        <v>#N/A</v>
      </c>
      <c r="BT755" s="46" t="e">
        <v>#N/A</v>
      </c>
      <c r="BU755" s="46" t="e">
        <v>#N/A</v>
      </c>
      <c r="BV755" s="46" t="e">
        <v>#N/A</v>
      </c>
      <c r="BW755" s="46" t="e">
        <v>#N/A</v>
      </c>
      <c r="BX755" s="46" t="e">
        <v>#N/A</v>
      </c>
      <c r="BY755" s="46" t="e">
        <v>#N/A</v>
      </c>
      <c r="BZ755" s="46" t="e">
        <v>#N/A</v>
      </c>
      <c r="CA755" s="46" t="e">
        <v>#N/A</v>
      </c>
      <c r="CB755" s="46" t="e">
        <v>#N/A</v>
      </c>
      <c r="CC755" s="46" t="e">
        <v>#N/A</v>
      </c>
      <c r="CD755" s="46" t="e">
        <v>#N/A</v>
      </c>
      <c r="CE755" s="46" t="e">
        <v>#N/A</v>
      </c>
      <c r="CF755" s="46" t="e">
        <v>#N/A</v>
      </c>
      <c r="CG755" s="46" t="e">
        <v>#N/A</v>
      </c>
      <c r="CH755" s="46" t="e">
        <v>#N/A</v>
      </c>
      <c r="CI755" s="46" t="e">
        <v>#N/A</v>
      </c>
      <c r="CJ755" s="46" t="e">
        <v>#N/A</v>
      </c>
      <c r="CM755">
        <f t="shared" si="84"/>
        <v>0</v>
      </c>
      <c r="CP755">
        <f t="shared" si="85"/>
        <v>0</v>
      </c>
      <c r="CS755">
        <f t="shared" si="86"/>
        <v>0</v>
      </c>
      <c r="CW755" s="46"/>
      <c r="CX755" s="46" t="e">
        <f t="shared" si="80"/>
        <v>#N/A</v>
      </c>
      <c r="CY755" s="46"/>
      <c r="CZ755" s="46" t="e">
        <f t="shared" si="81"/>
        <v>#N/A</v>
      </c>
      <c r="DA755" s="46" t="e">
        <f t="shared" si="82"/>
        <v>#N/A</v>
      </c>
      <c r="DB755" s="46"/>
      <c r="DC755" s="46" t="e">
        <f t="shared" si="83"/>
        <v>#N/A</v>
      </c>
      <c r="DD755" s="46"/>
      <c r="DE755" s="995" t="s">
        <v>194</v>
      </c>
      <c r="DF755" s="995" t="s">
        <v>194</v>
      </c>
      <c r="DG755" s="995" t="s">
        <v>194</v>
      </c>
      <c r="DH755" s="995" t="s">
        <v>194</v>
      </c>
      <c r="DI755" s="995" t="s">
        <v>194</v>
      </c>
      <c r="DJ755" s="995" t="s">
        <v>194</v>
      </c>
      <c r="DK755" s="995" t="s">
        <v>194</v>
      </c>
      <c r="DL755" s="995" t="s">
        <v>194</v>
      </c>
      <c r="DM755" s="995" t="s">
        <v>194</v>
      </c>
      <c r="DN755" s="995" t="s">
        <v>194</v>
      </c>
      <c r="DO755" s="995" t="s">
        <v>194</v>
      </c>
      <c r="DP755" s="995" t="s">
        <v>194</v>
      </c>
      <c r="DQ755" s="995" t="s">
        <v>194</v>
      </c>
      <c r="DR755" s="995" t="s">
        <v>194</v>
      </c>
      <c r="DS755" s="995" t="s">
        <v>194</v>
      </c>
      <c r="DT755" s="995" t="s">
        <v>194</v>
      </c>
    </row>
    <row r="756" spans="1:124">
      <c r="A756" s="42" t="s">
        <v>95</v>
      </c>
      <c r="B756" s="42" t="s">
        <v>993</v>
      </c>
      <c r="C756" s="42" t="s">
        <v>994</v>
      </c>
      <c r="D756" s="42">
        <v>5000000311</v>
      </c>
      <c r="E756" s="42" t="s">
        <v>1000</v>
      </c>
      <c r="F756" s="42" t="s">
        <v>149</v>
      </c>
      <c r="G756" s="42" t="s">
        <v>150</v>
      </c>
      <c r="H756" s="43" t="s">
        <v>152</v>
      </c>
      <c r="I756" s="44">
        <v>6</v>
      </c>
      <c r="J756" s="45">
        <v>0</v>
      </c>
      <c r="K756" s="46">
        <v>40.815300000000001</v>
      </c>
      <c r="L756" s="47">
        <v>40.815300000000001</v>
      </c>
      <c r="M756" s="48">
        <v>0</v>
      </c>
      <c r="N756" s="49">
        <v>0</v>
      </c>
      <c r="O756" s="49">
        <v>0</v>
      </c>
      <c r="P756" s="49">
        <v>0</v>
      </c>
      <c r="Q756" s="50">
        <v>663.16200000000003</v>
      </c>
      <c r="R756" s="51">
        <v>164.277575516453</v>
      </c>
      <c r="S756" s="49">
        <v>1460.30686625212</v>
      </c>
      <c r="T756" s="49">
        <v>478.84150193975398</v>
      </c>
      <c r="U756" s="49">
        <f>IFERROR(INDEX('Rentabilidad datos'!$N$2:$N$61,MATCH($C756,'Rentabilidad datos'!$C$2:$C$61,0)),"")</f>
        <v>2103.4259437083242</v>
      </c>
      <c r="V756" s="50">
        <f>IFERROR(INDEX('Rentabilidad datos'!$O$2:$O$61,MATCH($C756,'Rentabilidad datos'!$C$2:$C$61,0)),"")</f>
        <v>701.14198123610811</v>
      </c>
      <c r="W756" s="51">
        <f>IFERROR(INDEX('Rentabilidad datos'!$M$2:$M$61,MATCH($C756,'Rentabilidad datos'!$C$2:$C$61,0)),"")</f>
        <v>2188.6588733333338</v>
      </c>
      <c r="X756" s="52">
        <f>IFERROR(INDEX('Rentabilidad datos'!$P$2:$P$61,MATCH($C756,'Rentabilidad datos'!$C$2:$C$61,0)),"")</f>
        <v>0.32035233529484053</v>
      </c>
      <c r="Y756" s="43" t="s">
        <v>151</v>
      </c>
      <c r="Z756" s="53">
        <v>0</v>
      </c>
      <c r="AA756" s="43">
        <v>1</v>
      </c>
      <c r="AB756" s="54">
        <v>0</v>
      </c>
      <c r="AC756" s="55">
        <v>0</v>
      </c>
      <c r="AD756" s="752" t="e">
        <f>_xlfn.XLOOKUP(Table1[[#This Row],[Ruta]],#REF!,#REF!)</f>
        <v>#REF!</v>
      </c>
      <c r="AE756" s="752" t="e">
        <f>_xlfn.XLOOKUP(Table1[[#This Row],[Ruta]],#REF!,#REF!)</f>
        <v>#REF!</v>
      </c>
      <c r="AF756" s="752" t="e">
        <f>_xlfn.XLOOKUP(Table1[[#This Row],[Ruta]],#REF!,#REF!)</f>
        <v>#REF!</v>
      </c>
      <c r="AG756" s="752" t="e">
        <f>_xlfn.XLOOKUP(Table1[[#This Row],[Ruta]],#REF!,#REF!)</f>
        <v>#REF!</v>
      </c>
      <c r="AH756" s="52">
        <v>0</v>
      </c>
      <c r="AI756" s="52">
        <v>0</v>
      </c>
      <c r="AJ756" s="55">
        <v>0</v>
      </c>
      <c r="AK756" s="56">
        <v>0</v>
      </c>
      <c r="AL756" s="44">
        <v>5</v>
      </c>
      <c r="AM756" s="54">
        <v>0</v>
      </c>
      <c r="AN756" s="55">
        <v>0</v>
      </c>
      <c r="AO756" s="56">
        <v>0</v>
      </c>
      <c r="AP756" s="48">
        <v>0</v>
      </c>
      <c r="AQ756" s="55" t="s">
        <v>194</v>
      </c>
      <c r="AR756" s="51">
        <v>3315.81</v>
      </c>
      <c r="AS756" s="49">
        <v>0</v>
      </c>
      <c r="AT756" s="55">
        <v>0</v>
      </c>
      <c r="AU756" s="51">
        <v>0</v>
      </c>
      <c r="AV756" s="52">
        <v>0</v>
      </c>
      <c r="AW756" s="44">
        <v>490</v>
      </c>
      <c r="AX756" s="51">
        <v>663.16200000000003</v>
      </c>
      <c r="AY756" s="49">
        <v>663.16200000000003</v>
      </c>
      <c r="AZ756" s="49">
        <v>0</v>
      </c>
      <c r="BA756" s="42" t="s">
        <v>152</v>
      </c>
      <c r="BB756" s="50">
        <v>0</v>
      </c>
      <c r="BC756" s="57">
        <v>0</v>
      </c>
      <c r="BD756" s="42" t="s">
        <v>152</v>
      </c>
      <c r="BE756" s="46" t="s">
        <v>195</v>
      </c>
      <c r="BF756" s="46" t="s">
        <v>195</v>
      </c>
      <c r="BG756" s="42" t="s">
        <v>195</v>
      </c>
      <c r="BH756" s="52" t="s">
        <v>195</v>
      </c>
      <c r="BI756" s="52" t="s">
        <v>195</v>
      </c>
      <c r="BJ756" s="42" t="s">
        <v>195</v>
      </c>
      <c r="BK756" s="46" t="s">
        <v>195</v>
      </c>
      <c r="BL756" s="46" t="s">
        <v>195</v>
      </c>
      <c r="BM756" s="42" t="s">
        <v>195</v>
      </c>
      <c r="BN756" s="48" t="s">
        <v>195</v>
      </c>
      <c r="BO756" s="42" t="s">
        <v>195</v>
      </c>
      <c r="BP756" s="42" t="s">
        <v>152</v>
      </c>
      <c r="BQ756" s="46">
        <v>0</v>
      </c>
      <c r="BR756" s="46" t="e">
        <v>#N/A</v>
      </c>
      <c r="BS756" s="46" t="e">
        <v>#N/A</v>
      </c>
      <c r="BT756" s="46" t="e">
        <v>#N/A</v>
      </c>
      <c r="BU756" s="46" t="e">
        <v>#N/A</v>
      </c>
      <c r="BV756" s="46" t="e">
        <v>#N/A</v>
      </c>
      <c r="BW756" s="46" t="e">
        <v>#N/A</v>
      </c>
      <c r="BX756" s="46" t="e">
        <v>#N/A</v>
      </c>
      <c r="BY756" s="46" t="e">
        <v>#N/A</v>
      </c>
      <c r="BZ756" s="46" t="e">
        <v>#N/A</v>
      </c>
      <c r="CA756" s="46" t="e">
        <v>#N/A</v>
      </c>
      <c r="CB756" s="46" t="e">
        <v>#N/A</v>
      </c>
      <c r="CC756" s="46" t="e">
        <v>#N/A</v>
      </c>
      <c r="CD756" s="46" t="e">
        <v>#N/A</v>
      </c>
      <c r="CE756" s="46" t="e">
        <v>#N/A</v>
      </c>
      <c r="CF756" s="46" t="e">
        <v>#N/A</v>
      </c>
      <c r="CG756" s="46" t="e">
        <v>#N/A</v>
      </c>
      <c r="CH756" s="46" t="e">
        <v>#N/A</v>
      </c>
      <c r="CI756" s="46" t="e">
        <v>#N/A</v>
      </c>
      <c r="CJ756" s="46" t="e">
        <v>#N/A</v>
      </c>
      <c r="CM756">
        <f t="shared" si="84"/>
        <v>0</v>
      </c>
      <c r="CP756">
        <f t="shared" si="85"/>
        <v>0</v>
      </c>
      <c r="CS756">
        <f t="shared" si="86"/>
        <v>0</v>
      </c>
      <c r="CW756" s="46"/>
      <c r="CX756" s="46" t="e">
        <f t="shared" si="80"/>
        <v>#N/A</v>
      </c>
      <c r="CY756" s="46"/>
      <c r="CZ756" s="46" t="e">
        <f t="shared" si="81"/>
        <v>#N/A</v>
      </c>
      <c r="DA756" s="46" t="e">
        <f t="shared" si="82"/>
        <v>#N/A</v>
      </c>
      <c r="DB756" s="46"/>
      <c r="DC756" s="46" t="e">
        <f t="shared" si="83"/>
        <v>#N/A</v>
      </c>
      <c r="DD756" s="46"/>
      <c r="DE756" s="995" t="s">
        <v>194</v>
      </c>
      <c r="DF756" s="995" t="s">
        <v>194</v>
      </c>
      <c r="DG756" s="995" t="s">
        <v>194</v>
      </c>
      <c r="DH756" s="995" t="s">
        <v>194</v>
      </c>
      <c r="DI756" s="995" t="s">
        <v>194</v>
      </c>
      <c r="DJ756" s="995" t="s">
        <v>194</v>
      </c>
      <c r="DK756" s="995" t="s">
        <v>194</v>
      </c>
      <c r="DL756" s="995" t="s">
        <v>194</v>
      </c>
      <c r="DM756" s="995" t="s">
        <v>194</v>
      </c>
      <c r="DN756" s="995" t="s">
        <v>194</v>
      </c>
      <c r="DO756" s="995" t="s">
        <v>194</v>
      </c>
      <c r="DP756" s="995" t="s">
        <v>194</v>
      </c>
      <c r="DQ756" s="995" t="s">
        <v>194</v>
      </c>
      <c r="DR756" s="995" t="s">
        <v>194</v>
      </c>
      <c r="DS756" s="995" t="s">
        <v>194</v>
      </c>
      <c r="DT756" s="995" t="s">
        <v>194</v>
      </c>
    </row>
    <row r="757" spans="1:124">
      <c r="A757" s="42" t="s">
        <v>95</v>
      </c>
      <c r="B757" s="42" t="s">
        <v>320</v>
      </c>
      <c r="C757" s="42" t="s">
        <v>1001</v>
      </c>
      <c r="D757" s="42">
        <v>402300</v>
      </c>
      <c r="E757" s="42" t="s">
        <v>1002</v>
      </c>
      <c r="F757" s="42" t="s">
        <v>193</v>
      </c>
      <c r="G757" s="42" t="s">
        <v>150</v>
      </c>
      <c r="H757" s="43" t="s">
        <v>152</v>
      </c>
      <c r="I757" s="44">
        <v>1</v>
      </c>
      <c r="J757" s="45">
        <v>0</v>
      </c>
      <c r="K757" s="46">
        <v>117.36678000000001</v>
      </c>
      <c r="L757" s="47">
        <v>117.36678000000001</v>
      </c>
      <c r="M757" s="48">
        <v>8430</v>
      </c>
      <c r="N757" s="49">
        <v>0</v>
      </c>
      <c r="O757" s="49">
        <v>8430</v>
      </c>
      <c r="P757" s="49">
        <v>0</v>
      </c>
      <c r="Q757" s="50">
        <v>0</v>
      </c>
      <c r="R757" s="51" t="s">
        <v>194</v>
      </c>
      <c r="S757" s="49" t="s">
        <v>194</v>
      </c>
      <c r="T757" s="49" t="s">
        <v>194</v>
      </c>
      <c r="U757" s="49" t="str">
        <f>IFERROR(INDEX('Rentabilidad datos'!$N$2:$N$61,MATCH($C757,'Rentabilidad datos'!$C$2:$C$61,0)),"")</f>
        <v/>
      </c>
      <c r="V757" s="50" t="str">
        <f>IFERROR(INDEX('Rentabilidad datos'!$O$2:$O$61,MATCH($C757,'Rentabilidad datos'!$C$2:$C$61,0)),"")</f>
        <v/>
      </c>
      <c r="W757" s="51" t="str">
        <f>IFERROR(INDEX('Rentabilidad datos'!$M$2:$M$61,MATCH($C757,'Rentabilidad datos'!$C$2:$C$61,0)),"")</f>
        <v/>
      </c>
      <c r="X757" s="52" t="str">
        <f>IFERROR(INDEX('Rentabilidad datos'!$P$2:$P$61,MATCH($C757,'Rentabilidad datos'!$C$2:$C$61,0)),"")</f>
        <v/>
      </c>
      <c r="Y757" s="43">
        <v>0</v>
      </c>
      <c r="Z757" s="53">
        <v>0</v>
      </c>
      <c r="AA757" s="43">
        <v>1</v>
      </c>
      <c r="AB757" s="54">
        <v>1</v>
      </c>
      <c r="AC757" s="55">
        <v>0</v>
      </c>
      <c r="AD757" s="752" t="e">
        <f>_xlfn.XLOOKUP(Table1[[#This Row],[Ruta]],#REF!,#REF!)</f>
        <v>#REF!</v>
      </c>
      <c r="AE757" s="752" t="e">
        <f>_xlfn.XLOOKUP(Table1[[#This Row],[Ruta]],#REF!,#REF!)</f>
        <v>#REF!</v>
      </c>
      <c r="AF757" s="752" t="e">
        <f>_xlfn.XLOOKUP(Table1[[#This Row],[Ruta]],#REF!,#REF!)</f>
        <v>#REF!</v>
      </c>
      <c r="AG757" s="752" t="e">
        <f>_xlfn.XLOOKUP(Table1[[#This Row],[Ruta]],#REF!,#REF!)</f>
        <v>#REF!</v>
      </c>
      <c r="AH757" s="52">
        <v>0</v>
      </c>
      <c r="AI757" s="52">
        <v>1</v>
      </c>
      <c r="AJ757" s="55">
        <v>0</v>
      </c>
      <c r="AK757" s="56">
        <v>0</v>
      </c>
      <c r="AL757" s="44">
        <v>10</v>
      </c>
      <c r="AM757" s="54">
        <v>0</v>
      </c>
      <c r="AN757" s="55">
        <v>0</v>
      </c>
      <c r="AO757" s="56">
        <v>0</v>
      </c>
      <c r="AP757" s="48">
        <v>0</v>
      </c>
      <c r="AQ757" s="55" t="s">
        <v>194</v>
      </c>
      <c r="AR757" s="51">
        <v>8430.4599999999991</v>
      </c>
      <c r="AS757" s="49">
        <v>0</v>
      </c>
      <c r="AT757" s="55">
        <v>0</v>
      </c>
      <c r="AU757" s="51">
        <v>0</v>
      </c>
      <c r="AV757" s="52">
        <v>0</v>
      </c>
      <c r="AW757" s="44">
        <v>490</v>
      </c>
      <c r="AX757" s="51">
        <v>843.04600000000005</v>
      </c>
      <c r="AY757" s="49">
        <v>0</v>
      </c>
      <c r="AZ757" s="49">
        <v>0</v>
      </c>
      <c r="BA757" s="42" t="s">
        <v>152</v>
      </c>
      <c r="BB757" s="50">
        <v>0</v>
      </c>
      <c r="BC757" s="57">
        <v>0</v>
      </c>
      <c r="BD757" s="42" t="s">
        <v>152</v>
      </c>
      <c r="BE757" s="46" t="s">
        <v>195</v>
      </c>
      <c r="BF757" s="46" t="s">
        <v>195</v>
      </c>
      <c r="BG757" s="42" t="s">
        <v>195</v>
      </c>
      <c r="BH757" s="52" t="s">
        <v>195</v>
      </c>
      <c r="BI757" s="52" t="s">
        <v>195</v>
      </c>
      <c r="BJ757" s="42" t="s">
        <v>195</v>
      </c>
      <c r="BK757" s="46" t="s">
        <v>195</v>
      </c>
      <c r="BL757" s="46" t="s">
        <v>195</v>
      </c>
      <c r="BM757" s="42" t="s">
        <v>195</v>
      </c>
      <c r="BN757" s="48" t="s">
        <v>195</v>
      </c>
      <c r="BO757" s="42" t="s">
        <v>195</v>
      </c>
      <c r="BP757" s="42" t="s">
        <v>152</v>
      </c>
      <c r="BQ757" s="46">
        <v>0</v>
      </c>
      <c r="BR757" s="46" t="e">
        <v>#N/A</v>
      </c>
      <c r="BS757" s="46" t="e">
        <v>#N/A</v>
      </c>
      <c r="BT757" s="46" t="e">
        <v>#N/A</v>
      </c>
      <c r="BU757" s="46" t="e">
        <v>#N/A</v>
      </c>
      <c r="BV757" s="46" t="e">
        <v>#N/A</v>
      </c>
      <c r="BW757" s="46" t="e">
        <v>#N/A</v>
      </c>
      <c r="BX757" s="46" t="e">
        <v>#N/A</v>
      </c>
      <c r="BY757" s="46" t="e">
        <v>#N/A</v>
      </c>
      <c r="BZ757" s="46" t="e">
        <v>#N/A</v>
      </c>
      <c r="CA757" s="46" t="e">
        <v>#N/A</v>
      </c>
      <c r="CB757" s="46" t="e">
        <v>#N/A</v>
      </c>
      <c r="CC757" s="46" t="e">
        <v>#N/A</v>
      </c>
      <c r="CD757" s="46" t="e">
        <v>#N/A</v>
      </c>
      <c r="CE757" s="46" t="e">
        <v>#N/A</v>
      </c>
      <c r="CF757" s="46" t="e">
        <v>#N/A</v>
      </c>
      <c r="CG757" s="46" t="e">
        <v>#N/A</v>
      </c>
      <c r="CH757" s="46" t="e">
        <v>#N/A</v>
      </c>
      <c r="CI757" s="46" t="e">
        <v>#N/A</v>
      </c>
      <c r="CJ757" s="46" t="e">
        <v>#N/A</v>
      </c>
      <c r="CM757">
        <f t="shared" si="84"/>
        <v>0</v>
      </c>
      <c r="CP757">
        <f t="shared" si="85"/>
        <v>0</v>
      </c>
      <c r="CS757">
        <f t="shared" si="86"/>
        <v>0</v>
      </c>
      <c r="CW757" s="46"/>
      <c r="CX757" s="46" t="e">
        <f t="shared" si="80"/>
        <v>#N/A</v>
      </c>
      <c r="CY757" s="46"/>
      <c r="CZ757" s="46" t="e">
        <f t="shared" si="81"/>
        <v>#N/A</v>
      </c>
      <c r="DA757" s="46" t="e">
        <f t="shared" si="82"/>
        <v>#N/A</v>
      </c>
      <c r="DB757" s="46"/>
      <c r="DC757" s="46" t="e">
        <f t="shared" si="83"/>
        <v>#N/A</v>
      </c>
      <c r="DD757" s="46"/>
      <c r="DE757" s="995" t="s">
        <v>194</v>
      </c>
      <c r="DF757" s="995" t="s">
        <v>194</v>
      </c>
      <c r="DG757" s="995" t="s">
        <v>194</v>
      </c>
      <c r="DH757" s="995" t="s">
        <v>194</v>
      </c>
      <c r="DI757" s="995" t="s">
        <v>194</v>
      </c>
      <c r="DJ757" s="995" t="s">
        <v>194</v>
      </c>
      <c r="DK757" s="995" t="s">
        <v>194</v>
      </c>
      <c r="DL757" s="995" t="s">
        <v>194</v>
      </c>
      <c r="DM757" s="995" t="s">
        <v>194</v>
      </c>
      <c r="DN757" s="995" t="s">
        <v>194</v>
      </c>
      <c r="DO757" s="995" t="s">
        <v>194</v>
      </c>
      <c r="DP757" s="995" t="s">
        <v>194</v>
      </c>
      <c r="DQ757" s="995" t="s">
        <v>194</v>
      </c>
      <c r="DR757" s="995" t="s">
        <v>194</v>
      </c>
      <c r="DS757" s="995" t="s">
        <v>194</v>
      </c>
      <c r="DT757" s="995" t="s">
        <v>194</v>
      </c>
    </row>
    <row r="758" spans="1:124">
      <c r="A758" s="42" t="s">
        <v>95</v>
      </c>
      <c r="B758" s="42" t="s">
        <v>1003</v>
      </c>
      <c r="C758" s="42" t="s">
        <v>1004</v>
      </c>
      <c r="D758" s="42">
        <v>506300</v>
      </c>
      <c r="E758" s="42" t="s">
        <v>1005</v>
      </c>
      <c r="F758" s="42" t="s">
        <v>149</v>
      </c>
      <c r="G758" s="42" t="s">
        <v>150</v>
      </c>
      <c r="H758" s="43" t="s">
        <v>150</v>
      </c>
      <c r="I758" s="44">
        <v>10</v>
      </c>
      <c r="J758" s="45">
        <v>282306.55219199997</v>
      </c>
      <c r="K758" s="46">
        <v>7848.3757569999998</v>
      </c>
      <c r="L758" s="47">
        <v>290154.92794899998</v>
      </c>
      <c r="M758" s="48">
        <v>5577929</v>
      </c>
      <c r="N758" s="49">
        <v>4304906</v>
      </c>
      <c r="O758" s="49">
        <v>1272412</v>
      </c>
      <c r="P758" s="49">
        <v>611</v>
      </c>
      <c r="Q758" s="50">
        <v>12762.739633867301</v>
      </c>
      <c r="R758" s="51">
        <v>3972.2254009507601</v>
      </c>
      <c r="S758" s="49">
        <v>10245.771068882101</v>
      </c>
      <c r="T758" s="49">
        <v>1217.0620533399201</v>
      </c>
      <c r="U758" s="49">
        <f>IFERROR(INDEX('Rentabilidad datos'!$N$2:$N$61,MATCH($C758,'Rentabilidad datos'!$C$2:$C$61,0)),"")</f>
        <v>15435.058523172749</v>
      </c>
      <c r="V758" s="50">
        <f>IFERROR(INDEX('Rentabilidad datos'!$O$2:$O$61,MATCH($C758,'Rentabilidad datos'!$C$2:$C$61,0)),"")</f>
        <v>1715.0065025747499</v>
      </c>
      <c r="W758" s="51">
        <f>IFERROR(INDEX('Rentabilidad datos'!$M$2:$M$61,MATCH($C758,'Rentabilidad datos'!$C$2:$C$61,0)),"")</f>
        <v>3020.0889828698755</v>
      </c>
      <c r="X758" s="52">
        <f>IFERROR(INDEX('Rentabilidad datos'!$P$2:$P$61,MATCH($C758,'Rentabilidad datos'!$C$2:$C$61,0)),"")</f>
        <v>0.56786621596329412</v>
      </c>
      <c r="Y758" s="43" t="s">
        <v>211</v>
      </c>
      <c r="Z758" s="53">
        <v>39.647597254004602</v>
      </c>
      <c r="AA758" s="43">
        <v>3</v>
      </c>
      <c r="AB758" s="54">
        <v>0.93343586840205384</v>
      </c>
      <c r="AC758" s="55">
        <v>6.6564131597946122E-2</v>
      </c>
      <c r="AD758" s="752" t="e">
        <f>_xlfn.XLOOKUP(Table1[[#This Row],[Ruta]],#REF!,#REF!)</f>
        <v>#REF!</v>
      </c>
      <c r="AE758" s="752" t="e">
        <f>_xlfn.XLOOKUP(Table1[[#This Row],[Ruta]],#REF!,#REF!)</f>
        <v>#REF!</v>
      </c>
      <c r="AF758" s="752" t="e">
        <f>_xlfn.XLOOKUP(Table1[[#This Row],[Ruta]],#REF!,#REF!)</f>
        <v>#REF!</v>
      </c>
      <c r="AG758" s="752" t="e">
        <f>_xlfn.XLOOKUP(Table1[[#This Row],[Ruta]],#REF!,#REF!)</f>
        <v>#REF!</v>
      </c>
      <c r="AH758" s="52">
        <v>0.77177497239566872</v>
      </c>
      <c r="AI758" s="52">
        <v>0.22811548874143073</v>
      </c>
      <c r="AJ758" s="55">
        <v>1.0953886290054965E-4</v>
      </c>
      <c r="AK758" s="56">
        <v>17326</v>
      </c>
      <c r="AL758" s="44">
        <v>11532</v>
      </c>
      <c r="AM758" s="54">
        <v>0.665589287775597</v>
      </c>
      <c r="AN758" s="55">
        <v>0.76280757018515599</v>
      </c>
      <c r="AO758" s="56">
        <v>1684.4039610280099</v>
      </c>
      <c r="AP758" s="48">
        <v>842.20198051400496</v>
      </c>
      <c r="AQ758" s="55">
        <v>0.71419842898037655</v>
      </c>
      <c r="AR758" s="51">
        <v>5577317.2199999997</v>
      </c>
      <c r="AS758" s="49">
        <v>407321.15926455747</v>
      </c>
      <c r="AT758" s="55">
        <v>7.3031736083420673E-2</v>
      </c>
      <c r="AU758" s="51">
        <v>286225.67948320264</v>
      </c>
      <c r="AV758" s="52">
        <v>1.3020677022543379E-3</v>
      </c>
      <c r="AW758" s="44">
        <v>253</v>
      </c>
      <c r="AX758" s="51">
        <v>483.63832986472403</v>
      </c>
      <c r="AY758" s="49">
        <v>430.62251018555702</v>
      </c>
      <c r="AZ758" s="49">
        <v>0</v>
      </c>
      <c r="BA758" s="42" t="s">
        <v>152</v>
      </c>
      <c r="BB758" s="50">
        <v>0</v>
      </c>
      <c r="BC758" s="57">
        <v>286225.67948320264</v>
      </c>
      <c r="BD758" s="42" t="s">
        <v>150</v>
      </c>
      <c r="BE758" s="46">
        <v>39.647597254004602</v>
      </c>
      <c r="BF758" s="46">
        <v>46.785388127853899</v>
      </c>
      <c r="BG758" s="42" t="s">
        <v>152</v>
      </c>
      <c r="BH758" s="52">
        <v>0.665589287775597</v>
      </c>
      <c r="BI758" s="52">
        <v>0.54577396056997896</v>
      </c>
      <c r="BJ758" s="42" t="s">
        <v>150</v>
      </c>
      <c r="BK758" s="46">
        <v>663.97008683981596</v>
      </c>
      <c r="BL758" s="46">
        <v>952.59571841647596</v>
      </c>
      <c r="BM758" s="42" t="s">
        <v>152</v>
      </c>
      <c r="BN758" s="48">
        <v>1</v>
      </c>
      <c r="BO758" s="42" t="s">
        <v>155</v>
      </c>
      <c r="BP758" s="42" t="s">
        <v>152</v>
      </c>
      <c r="BQ758" s="46">
        <v>444.386859099643</v>
      </c>
      <c r="BR758" s="46">
        <v>740</v>
      </c>
      <c r="BS758" s="46">
        <v>17809</v>
      </c>
      <c r="BT758" s="46">
        <v>5717</v>
      </c>
      <c r="BU758" s="46">
        <v>3.1150953297183839</v>
      </c>
      <c r="BV758" s="46">
        <v>7.7256756756756753</v>
      </c>
      <c r="BW758" s="46">
        <v>25</v>
      </c>
      <c r="BX758" s="46">
        <v>2540</v>
      </c>
      <c r="BY758" s="46">
        <v>2565</v>
      </c>
      <c r="BZ758" s="46">
        <v>0.44866188560433795</v>
      </c>
      <c r="CA758" s="46">
        <v>4.372922861640721E-3</v>
      </c>
      <c r="CB758" s="46">
        <v>0.44428896274269725</v>
      </c>
      <c r="CC758" s="46">
        <v>0.31485044603813189</v>
      </c>
      <c r="CD758" s="46">
        <v>2.448836802518803E-3</v>
      </c>
      <c r="CE758" s="46">
        <v>2.6762287913241211E-2</v>
      </c>
      <c r="CF758" s="46">
        <v>0.2072765436417702</v>
      </c>
      <c r="CG758" s="46">
        <v>0</v>
      </c>
      <c r="CH758" s="46">
        <v>0</v>
      </c>
      <c r="CI758" s="46">
        <v>3.2567802796338929</v>
      </c>
      <c r="CJ758" s="46">
        <v>1.4599359874220901</v>
      </c>
      <c r="CK758">
        <v>258</v>
      </c>
      <c r="CL758">
        <v>264</v>
      </c>
      <c r="CM758">
        <f t="shared" si="84"/>
        <v>6</v>
      </c>
      <c r="CN758">
        <v>10.48</v>
      </c>
      <c r="CO758">
        <v>9.4499999999999993</v>
      </c>
      <c r="CP758">
        <f t="shared" si="85"/>
        <v>-1.0300000000000011</v>
      </c>
      <c r="CQ758">
        <v>592.59</v>
      </c>
      <c r="CR758">
        <v>663.97</v>
      </c>
      <c r="CS758">
        <f t="shared" si="86"/>
        <v>-71.38</v>
      </c>
      <c r="CT758" t="s">
        <v>150</v>
      </c>
      <c r="CU758">
        <v>126.46</v>
      </c>
      <c r="CV758">
        <v>178</v>
      </c>
      <c r="CW758" s="46">
        <v>2565</v>
      </c>
      <c r="CX758" s="46">
        <f t="shared" si="80"/>
        <v>44.76123841175442</v>
      </c>
      <c r="CY758" s="46">
        <v>6</v>
      </c>
      <c r="CZ758" s="46">
        <f t="shared" si="81"/>
        <v>44.866188560433798</v>
      </c>
      <c r="DA758" s="46">
        <f t="shared" si="82"/>
        <v>13.758745413244803</v>
      </c>
      <c r="DB758" s="46">
        <v>78741.3</v>
      </c>
      <c r="DC758" s="46">
        <f t="shared" si="83"/>
        <v>0.66619779835750481</v>
      </c>
      <c r="DD758" s="46">
        <v>3812.65</v>
      </c>
      <c r="DE758" s="995">
        <v>2565</v>
      </c>
      <c r="DF758" s="995">
        <v>44.761000000000003</v>
      </c>
      <c r="DG758" s="995">
        <v>6</v>
      </c>
      <c r="DH758" s="995">
        <v>44.866</v>
      </c>
      <c r="DI758" s="995">
        <v>701.39599999999996</v>
      </c>
      <c r="DJ758" s="995">
        <v>4014088</v>
      </c>
      <c r="DK758" s="995">
        <v>35.341000000000001</v>
      </c>
      <c r="DL758" s="995">
        <v>202255.5</v>
      </c>
      <c r="DM758" s="995">
        <v>2565</v>
      </c>
      <c r="DN758" s="995">
        <v>44.761000000000003</v>
      </c>
      <c r="DO758" s="995">
        <v>6</v>
      </c>
      <c r="DP758" s="995">
        <v>44.866</v>
      </c>
      <c r="DQ758" s="995">
        <v>701.39599999999996</v>
      </c>
      <c r="DR758" s="995">
        <v>4014088</v>
      </c>
      <c r="DS758" s="995">
        <v>35.341000000000001</v>
      </c>
      <c r="DT758" s="995">
        <v>202255.5</v>
      </c>
    </row>
    <row r="759" spans="1:124">
      <c r="A759" s="42" t="s">
        <v>95</v>
      </c>
      <c r="B759" s="42" t="s">
        <v>1003</v>
      </c>
      <c r="C759" s="42" t="s">
        <v>1004</v>
      </c>
      <c r="D759" s="42">
        <v>506301</v>
      </c>
      <c r="E759" s="42" t="s">
        <v>1006</v>
      </c>
      <c r="F759" s="42" t="s">
        <v>149</v>
      </c>
      <c r="G759" s="42" t="s">
        <v>150</v>
      </c>
      <c r="H759" s="43" t="s">
        <v>150</v>
      </c>
      <c r="I759" s="44">
        <v>10</v>
      </c>
      <c r="J759" s="45">
        <v>207722.97279999999</v>
      </c>
      <c r="K759" s="46">
        <v>6558.4533719999999</v>
      </c>
      <c r="L759" s="47">
        <v>214281.42617200001</v>
      </c>
      <c r="M759" s="48">
        <v>4231499</v>
      </c>
      <c r="N759" s="49">
        <v>3176136</v>
      </c>
      <c r="O759" s="49">
        <v>1053467</v>
      </c>
      <c r="P759" s="49">
        <v>1896</v>
      </c>
      <c r="Q759" s="50">
        <v>9634.63177676538</v>
      </c>
      <c r="R759" s="51">
        <v>3972.2254009507601</v>
      </c>
      <c r="S759" s="49">
        <v>10245.771068882101</v>
      </c>
      <c r="T759" s="49">
        <v>1217.0620533399201</v>
      </c>
      <c r="U759" s="49">
        <f>IFERROR(INDEX('Rentabilidad datos'!$N$2:$N$61,MATCH($C759,'Rentabilidad datos'!$C$2:$C$61,0)),"")</f>
        <v>15435.058523172749</v>
      </c>
      <c r="V759" s="50">
        <f>IFERROR(INDEX('Rentabilidad datos'!$O$2:$O$61,MATCH($C759,'Rentabilidad datos'!$C$2:$C$61,0)),"")</f>
        <v>1715.0065025747499</v>
      </c>
      <c r="W759" s="51">
        <f>IFERROR(INDEX('Rentabilidad datos'!$M$2:$M$61,MATCH($C759,'Rentabilidad datos'!$C$2:$C$61,0)),"")</f>
        <v>3020.0889828698755</v>
      </c>
      <c r="X759" s="52">
        <f>IFERROR(INDEX('Rentabilidad datos'!$P$2:$P$61,MATCH($C759,'Rentabilidad datos'!$C$2:$C$61,0)),"")</f>
        <v>0.56786621596329412</v>
      </c>
      <c r="Y759" s="43" t="s">
        <v>211</v>
      </c>
      <c r="Z759" s="53">
        <v>34.927107061503399</v>
      </c>
      <c r="AA759" s="43">
        <v>3</v>
      </c>
      <c r="AB759" s="54">
        <v>0.94121563067839553</v>
      </c>
      <c r="AC759" s="55">
        <v>5.8784369321604468E-2</v>
      </c>
      <c r="AD759" s="752" t="e">
        <f>_xlfn.XLOOKUP(Table1[[#This Row],[Ruta]],#REF!,#REF!)</f>
        <v>#REF!</v>
      </c>
      <c r="AE759" s="752" t="e">
        <f>_xlfn.XLOOKUP(Table1[[#This Row],[Ruta]],#REF!,#REF!)</f>
        <v>#REF!</v>
      </c>
      <c r="AF759" s="752" t="e">
        <f>_xlfn.XLOOKUP(Table1[[#This Row],[Ruta]],#REF!,#REF!)</f>
        <v>#REF!</v>
      </c>
      <c r="AG759" s="752" t="e">
        <f>_xlfn.XLOOKUP(Table1[[#This Row],[Ruta]],#REF!,#REF!)</f>
        <v>#REF!</v>
      </c>
      <c r="AH759" s="52">
        <v>0.75059358397579679</v>
      </c>
      <c r="AI759" s="52">
        <v>0.24895834785734322</v>
      </c>
      <c r="AJ759" s="55">
        <v>4.4806816686001819E-4</v>
      </c>
      <c r="AK759" s="56">
        <v>15333</v>
      </c>
      <c r="AL759" s="44">
        <v>11912</v>
      </c>
      <c r="AM759" s="54">
        <v>0.776886454053349</v>
      </c>
      <c r="AN759" s="55">
        <v>0.76280757018515599</v>
      </c>
      <c r="AO759" s="56">
        <v>0</v>
      </c>
      <c r="AP759" s="48">
        <v>0</v>
      </c>
      <c r="AQ759" s="55">
        <v>0.776886454053349</v>
      </c>
      <c r="AR759" s="51">
        <v>4229603.3499999996</v>
      </c>
      <c r="AS759" s="49">
        <v>0</v>
      </c>
      <c r="AT759" s="55">
        <v>0</v>
      </c>
      <c r="AU759" s="51">
        <v>0</v>
      </c>
      <c r="AV759" s="52">
        <v>0</v>
      </c>
      <c r="AW759" s="44">
        <v>490</v>
      </c>
      <c r="AX759" s="51">
        <v>355.07079835460098</v>
      </c>
      <c r="AY759" s="49">
        <v>430.62251018555702</v>
      </c>
      <c r="AZ759" s="49">
        <v>75.551711830956037</v>
      </c>
      <c r="BA759" s="42" t="s">
        <v>150</v>
      </c>
      <c r="BB759" s="50">
        <v>316206.37533228466</v>
      </c>
      <c r="BC759" s="57">
        <v>316206.37533228466</v>
      </c>
      <c r="BD759" s="42" t="s">
        <v>150</v>
      </c>
      <c r="BE759" s="46">
        <v>34.927107061503399</v>
      </c>
      <c r="BF759" s="46">
        <v>46.785388127853899</v>
      </c>
      <c r="BG759" s="42" t="s">
        <v>152</v>
      </c>
      <c r="BH759" s="52">
        <v>0.776886454053349</v>
      </c>
      <c r="BI759" s="52">
        <v>0.54577396056997896</v>
      </c>
      <c r="BJ759" s="42" t="s">
        <v>150</v>
      </c>
      <c r="BK759" s="46">
        <v>488.11258809111598</v>
      </c>
      <c r="BL759" s="46">
        <v>952.59571841647596</v>
      </c>
      <c r="BM759" s="42" t="s">
        <v>152</v>
      </c>
      <c r="BN759" s="48">
        <v>1</v>
      </c>
      <c r="BO759" s="42" t="s">
        <v>155</v>
      </c>
      <c r="BP759" s="42" t="s">
        <v>152</v>
      </c>
      <c r="BQ759" s="46">
        <v>2699.6201063129201</v>
      </c>
      <c r="BR759" s="46">
        <v>286</v>
      </c>
      <c r="BS759" s="46">
        <v>11888</v>
      </c>
      <c r="BT759" s="46">
        <v>4079</v>
      </c>
      <c r="BU759" s="46">
        <v>2.9144398136798233</v>
      </c>
      <c r="BV759" s="46">
        <v>14.262237762237762</v>
      </c>
      <c r="BW759" s="46">
        <v>239</v>
      </c>
      <c r="BX759" s="46">
        <v>2400</v>
      </c>
      <c r="BY759" s="46">
        <v>2639</v>
      </c>
      <c r="BZ759" s="46">
        <v>0.64697229713164994</v>
      </c>
      <c r="CA759" s="46">
        <v>5.8592792351066438E-2</v>
      </c>
      <c r="CB759" s="46">
        <v>0.58837950478058343</v>
      </c>
      <c r="CC759" s="46">
        <v>0.35302770286835011</v>
      </c>
      <c r="CD759" s="46">
        <v>0</v>
      </c>
      <c r="CE759" s="46">
        <v>0</v>
      </c>
      <c r="CF759" s="46">
        <v>0</v>
      </c>
      <c r="CG759" s="46">
        <v>0</v>
      </c>
      <c r="CH759" s="46">
        <v>0</v>
      </c>
      <c r="CI759" s="46">
        <v>2.6076716016150741</v>
      </c>
      <c r="CJ759" s="46">
        <v>0.75706594885598921</v>
      </c>
      <c r="CK759">
        <v>221</v>
      </c>
      <c r="CL759">
        <v>245.3</v>
      </c>
      <c r="CM759">
        <f t="shared" si="84"/>
        <v>24.300000000000011</v>
      </c>
      <c r="CN759">
        <v>8.16</v>
      </c>
      <c r="CO759">
        <v>9.4499999999999993</v>
      </c>
      <c r="CP759">
        <f t="shared" si="85"/>
        <v>1.2899999999999991</v>
      </c>
      <c r="CQ759">
        <v>423.28</v>
      </c>
      <c r="CR759">
        <v>488.11</v>
      </c>
      <c r="CS759">
        <f t="shared" si="86"/>
        <v>-64.830000000000041</v>
      </c>
      <c r="CT759" t="s">
        <v>150</v>
      </c>
      <c r="CU759">
        <v>115.32</v>
      </c>
      <c r="CV759">
        <v>163</v>
      </c>
      <c r="CW759" s="46">
        <v>2639</v>
      </c>
      <c r="CX759" s="46">
        <f t="shared" si="80"/>
        <v>64.10149546457464</v>
      </c>
      <c r="CY759" s="46">
        <v>24.3</v>
      </c>
      <c r="CZ759" s="46">
        <f t="shared" si="81"/>
        <v>64.697229713165001</v>
      </c>
      <c r="DA759" s="46">
        <f t="shared" si="82"/>
        <v>228.16533521799525</v>
      </c>
      <c r="DB759" s="46">
        <v>936230.82</v>
      </c>
      <c r="DC759" s="46">
        <f t="shared" si="83"/>
        <v>11.640613652426095</v>
      </c>
      <c r="DD759" s="46">
        <v>47764.93</v>
      </c>
      <c r="DE759" s="995">
        <v>2639</v>
      </c>
      <c r="DF759" s="995">
        <v>64.100999999999999</v>
      </c>
      <c r="DG759" s="995">
        <v>24.3</v>
      </c>
      <c r="DH759" s="995">
        <v>64.697000000000003</v>
      </c>
      <c r="DI759" s="995">
        <v>817.11300000000006</v>
      </c>
      <c r="DJ759" s="995">
        <v>3352864</v>
      </c>
      <c r="DK759" s="995">
        <v>41.710999999999999</v>
      </c>
      <c r="DL759" s="995">
        <v>171152.3</v>
      </c>
      <c r="DM759" s="995">
        <v>2639</v>
      </c>
      <c r="DN759" s="995">
        <v>64.100999999999999</v>
      </c>
      <c r="DO759" s="995">
        <v>24.3</v>
      </c>
      <c r="DP759" s="995">
        <v>64.697000000000003</v>
      </c>
      <c r="DQ759" s="995">
        <v>817.11300000000006</v>
      </c>
      <c r="DR759" s="995">
        <v>3352864</v>
      </c>
      <c r="DS759" s="995">
        <v>41.710999999999999</v>
      </c>
      <c r="DT759" s="995">
        <v>171152.3</v>
      </c>
    </row>
    <row r="760" spans="1:124">
      <c r="A760" s="42" t="s">
        <v>95</v>
      </c>
      <c r="B760" s="42" t="s">
        <v>1003</v>
      </c>
      <c r="C760" s="42" t="s">
        <v>1004</v>
      </c>
      <c r="D760" s="42">
        <v>506302</v>
      </c>
      <c r="E760" s="42" t="s">
        <v>1007</v>
      </c>
      <c r="F760" s="42" t="s">
        <v>149</v>
      </c>
      <c r="G760" s="42" t="s">
        <v>150</v>
      </c>
      <c r="H760" s="43" t="s">
        <v>150</v>
      </c>
      <c r="I760" s="44">
        <v>10</v>
      </c>
      <c r="J760" s="45">
        <v>295737.18159999902</v>
      </c>
      <c r="K760" s="46">
        <v>6409.4828319999997</v>
      </c>
      <c r="L760" s="47">
        <v>302146.66443199897</v>
      </c>
      <c r="M760" s="48">
        <v>5626841</v>
      </c>
      <c r="N760" s="49">
        <v>4555342</v>
      </c>
      <c r="O760" s="49">
        <v>1070554</v>
      </c>
      <c r="P760" s="49">
        <v>945</v>
      </c>
      <c r="Q760" s="50">
        <v>12844.504200913199</v>
      </c>
      <c r="R760" s="51">
        <v>3972.2254009507601</v>
      </c>
      <c r="S760" s="49">
        <v>10245.771068882101</v>
      </c>
      <c r="T760" s="49">
        <v>1217.0620533399201</v>
      </c>
      <c r="U760" s="49">
        <f>IFERROR(INDEX('Rentabilidad datos'!$N$2:$N$61,MATCH($C760,'Rentabilidad datos'!$C$2:$C$61,0)),"")</f>
        <v>15435.058523172749</v>
      </c>
      <c r="V760" s="50">
        <f>IFERROR(INDEX('Rentabilidad datos'!$O$2:$O$61,MATCH($C760,'Rentabilidad datos'!$C$2:$C$61,0)),"")</f>
        <v>1715.0065025747499</v>
      </c>
      <c r="W760" s="51">
        <f>IFERROR(INDEX('Rentabilidad datos'!$M$2:$M$61,MATCH($C760,'Rentabilidad datos'!$C$2:$C$61,0)),"")</f>
        <v>3020.0889828698755</v>
      </c>
      <c r="X760" s="52">
        <f>IFERROR(INDEX('Rentabilidad datos'!$P$2:$P$61,MATCH($C760,'Rentabilidad datos'!$C$2:$C$61,0)),"")</f>
        <v>0.56786621596329412</v>
      </c>
      <c r="Y760" s="43" t="s">
        <v>211</v>
      </c>
      <c r="Z760" s="53">
        <v>53.440639269406397</v>
      </c>
      <c r="AA760" s="43">
        <v>3</v>
      </c>
      <c r="AB760" s="54">
        <v>0.98249266329011253</v>
      </c>
      <c r="AC760" s="55">
        <v>1.7507336709887484E-2</v>
      </c>
      <c r="AD760" s="752" t="e">
        <f>_xlfn.XLOOKUP(Table1[[#This Row],[Ruta]],#REF!,#REF!)</f>
        <v>#REF!</v>
      </c>
      <c r="AE760" s="752" t="e">
        <f>_xlfn.XLOOKUP(Table1[[#This Row],[Ruta]],#REF!,#REF!)</f>
        <v>#REF!</v>
      </c>
      <c r="AF760" s="752" t="e">
        <f>_xlfn.XLOOKUP(Table1[[#This Row],[Ruta]],#REF!,#REF!)</f>
        <v>#REF!</v>
      </c>
      <c r="AG760" s="752" t="e">
        <f>_xlfn.XLOOKUP(Table1[[#This Row],[Ruta]],#REF!,#REF!)</f>
        <v>#REF!</v>
      </c>
      <c r="AH760" s="52">
        <v>0.80957361332939748</v>
      </c>
      <c r="AI760" s="52">
        <v>0.19025844163714595</v>
      </c>
      <c r="AJ760" s="55">
        <v>1.6794503345660559E-4</v>
      </c>
      <c r="AK760" s="56">
        <v>23407</v>
      </c>
      <c r="AL760" s="44">
        <v>12403</v>
      </c>
      <c r="AM760" s="54">
        <v>0.52988422266843305</v>
      </c>
      <c r="AN760" s="55">
        <v>0.76280757018515599</v>
      </c>
      <c r="AO760" s="56">
        <v>5452.0367953239502</v>
      </c>
      <c r="AP760" s="48">
        <v>2726.0183976619751</v>
      </c>
      <c r="AQ760" s="55">
        <v>0.64634589642679441</v>
      </c>
      <c r="AR760" s="51">
        <v>5625892.8399999999</v>
      </c>
      <c r="AS760" s="49">
        <v>1236498.2169728901</v>
      </c>
      <c r="AT760" s="55">
        <v>0.21978701908102646</v>
      </c>
      <c r="AU760" s="51">
        <v>868890.63895392313</v>
      </c>
      <c r="AV760" s="52">
        <v>3.9526657419968938E-3</v>
      </c>
      <c r="AW760" s="44">
        <v>63</v>
      </c>
      <c r="AX760" s="51">
        <v>453.59129565427702</v>
      </c>
      <c r="AY760" s="49">
        <v>430.62251018555702</v>
      </c>
      <c r="AZ760" s="49">
        <v>0</v>
      </c>
      <c r="BA760" s="42" t="s">
        <v>152</v>
      </c>
      <c r="BB760" s="50">
        <v>0</v>
      </c>
      <c r="BC760" s="57">
        <v>868890.63895392313</v>
      </c>
      <c r="BD760" s="42" t="s">
        <v>150</v>
      </c>
      <c r="BE760" s="46">
        <v>53.440639269406397</v>
      </c>
      <c r="BF760" s="46">
        <v>46.785388127853899</v>
      </c>
      <c r="BG760" s="42" t="s">
        <v>150</v>
      </c>
      <c r="BH760" s="52">
        <v>0.52988422266843305</v>
      </c>
      <c r="BI760" s="52">
        <v>0.54577396056997896</v>
      </c>
      <c r="BJ760" s="42" t="s">
        <v>152</v>
      </c>
      <c r="BK760" s="46">
        <v>689.83256719634596</v>
      </c>
      <c r="BL760" s="46">
        <v>952.59571841647596</v>
      </c>
      <c r="BM760" s="42" t="s">
        <v>152</v>
      </c>
      <c r="BN760" s="48">
        <v>1</v>
      </c>
      <c r="BO760" s="42" t="s">
        <v>155</v>
      </c>
      <c r="BP760" s="42" t="s">
        <v>152</v>
      </c>
      <c r="BQ760" s="46">
        <v>4210.1465754913397</v>
      </c>
      <c r="BR760" s="46">
        <v>253</v>
      </c>
      <c r="BS760" s="46">
        <v>14629</v>
      </c>
      <c r="BT760" s="46">
        <v>4877</v>
      </c>
      <c r="BU760" s="46">
        <v>2.9995899118310438</v>
      </c>
      <c r="BV760" s="46">
        <v>19.276679841897234</v>
      </c>
      <c r="BW760" s="46">
        <v>1380</v>
      </c>
      <c r="BX760" s="46">
        <v>2344</v>
      </c>
      <c r="BY760" s="46">
        <v>3724</v>
      </c>
      <c r="BZ760" s="46">
        <v>0.76358417059667827</v>
      </c>
      <c r="CA760" s="46">
        <v>0.28296083657986459</v>
      </c>
      <c r="CB760" s="46">
        <v>0.48062333401681362</v>
      </c>
      <c r="CC760" s="46">
        <v>0.2364158294033217</v>
      </c>
      <c r="CD760" s="46">
        <v>0</v>
      </c>
      <c r="CE760" s="46">
        <v>0</v>
      </c>
      <c r="CF760" s="46">
        <v>0</v>
      </c>
      <c r="CG760" s="46">
        <v>0</v>
      </c>
      <c r="CH760" s="46">
        <v>0</v>
      </c>
      <c r="CI760" s="46">
        <v>1.982363797935607</v>
      </c>
      <c r="CJ760" s="46">
        <v>0.88864584045389294</v>
      </c>
      <c r="CK760">
        <v>231</v>
      </c>
      <c r="CL760">
        <v>286.31</v>
      </c>
      <c r="CM760">
        <f t="shared" si="84"/>
        <v>55.31</v>
      </c>
      <c r="CN760">
        <v>8.19</v>
      </c>
      <c r="CO760">
        <v>9.4499999999999993</v>
      </c>
      <c r="CP760">
        <f t="shared" si="85"/>
        <v>1.2599999999999998</v>
      </c>
      <c r="CQ760">
        <v>846.56</v>
      </c>
      <c r="CR760">
        <v>689.83</v>
      </c>
      <c r="CS760">
        <f t="shared" si="86"/>
        <v>156.7299999999999</v>
      </c>
      <c r="CT760" t="s">
        <v>152</v>
      </c>
      <c r="CU760">
        <v>92.47</v>
      </c>
      <c r="CV760">
        <v>209</v>
      </c>
      <c r="CW760" s="46">
        <v>3724</v>
      </c>
      <c r="CX760" s="46">
        <f t="shared" si="80"/>
        <v>75.224318228419108</v>
      </c>
      <c r="CY760" s="46">
        <v>55.31</v>
      </c>
      <c r="CZ760" s="46">
        <f t="shared" si="81"/>
        <v>76.358417059667829</v>
      </c>
      <c r="DA760" s="46">
        <f t="shared" si="82"/>
        <v>122.97773659806458</v>
      </c>
      <c r="DB760" s="46">
        <v>606564.31999999995</v>
      </c>
      <c r="DC760" s="46">
        <f t="shared" si="83"/>
        <v>6.596391954277002</v>
      </c>
      <c r="DD760" s="46">
        <v>32535.45</v>
      </c>
      <c r="DE760" s="995">
        <v>3724</v>
      </c>
      <c r="DF760" s="995">
        <v>75.224000000000004</v>
      </c>
      <c r="DG760" s="995">
        <v>55.3</v>
      </c>
      <c r="DH760" s="995">
        <v>76.358000000000004</v>
      </c>
      <c r="DI760" s="995">
        <v>945.40200000000004</v>
      </c>
      <c r="DJ760" s="995">
        <v>4663021</v>
      </c>
      <c r="DK760" s="995">
        <v>50.143000000000001</v>
      </c>
      <c r="DL760" s="995">
        <v>247319.4</v>
      </c>
      <c r="DM760" s="995">
        <v>3724</v>
      </c>
      <c r="DN760" s="995">
        <v>75.224000000000004</v>
      </c>
      <c r="DO760" s="995">
        <v>55.3</v>
      </c>
      <c r="DP760" s="995">
        <v>76.358000000000004</v>
      </c>
      <c r="DQ760" s="995">
        <v>945.40200000000004</v>
      </c>
      <c r="DR760" s="995">
        <v>4663021</v>
      </c>
      <c r="DS760" s="995">
        <v>50.143000000000001</v>
      </c>
      <c r="DT760" s="995">
        <v>247319.4</v>
      </c>
    </row>
    <row r="761" spans="1:124">
      <c r="A761" s="42" t="s">
        <v>95</v>
      </c>
      <c r="B761" s="42" t="s">
        <v>1003</v>
      </c>
      <c r="C761" s="42" t="s">
        <v>1004</v>
      </c>
      <c r="D761" s="42">
        <v>506303</v>
      </c>
      <c r="E761" s="42" t="s">
        <v>1008</v>
      </c>
      <c r="F761" s="42" t="s">
        <v>149</v>
      </c>
      <c r="G761" s="42" t="s">
        <v>150</v>
      </c>
      <c r="H761" s="43" t="s">
        <v>150</v>
      </c>
      <c r="I761" s="44">
        <v>10</v>
      </c>
      <c r="J761" s="45">
        <v>187145.11199999999</v>
      </c>
      <c r="K761" s="46">
        <v>4572.8878889999996</v>
      </c>
      <c r="L761" s="47">
        <v>191717.999889</v>
      </c>
      <c r="M761" s="48">
        <v>3513869</v>
      </c>
      <c r="N761" s="49">
        <v>2843083</v>
      </c>
      <c r="O761" s="49">
        <v>670305</v>
      </c>
      <c r="P761" s="49">
        <v>481</v>
      </c>
      <c r="Q761" s="50">
        <v>8003.1656036446502</v>
      </c>
      <c r="R761" s="51">
        <v>3972.2254009507601</v>
      </c>
      <c r="S761" s="49">
        <v>10245.771068882101</v>
      </c>
      <c r="T761" s="49">
        <v>1217.0620533399201</v>
      </c>
      <c r="U761" s="49">
        <f>IFERROR(INDEX('Rentabilidad datos'!$N$2:$N$61,MATCH($C761,'Rentabilidad datos'!$C$2:$C$61,0)),"")</f>
        <v>15435.058523172749</v>
      </c>
      <c r="V761" s="50">
        <f>IFERROR(INDEX('Rentabilidad datos'!$O$2:$O$61,MATCH($C761,'Rentabilidad datos'!$C$2:$C$61,0)),"")</f>
        <v>1715.0065025747499</v>
      </c>
      <c r="W761" s="51">
        <f>IFERROR(INDEX('Rentabilidad datos'!$M$2:$M$61,MATCH($C761,'Rentabilidad datos'!$C$2:$C$61,0)),"")</f>
        <v>3020.0889828698755</v>
      </c>
      <c r="X761" s="52">
        <f>IFERROR(INDEX('Rentabilidad datos'!$P$2:$P$61,MATCH($C761,'Rentabilidad datos'!$C$2:$C$61,0)),"")</f>
        <v>0.56786621596329412</v>
      </c>
      <c r="Y761" s="43" t="s">
        <v>211</v>
      </c>
      <c r="Z761" s="53">
        <v>32.325740318906597</v>
      </c>
      <c r="AA761" s="43">
        <v>3</v>
      </c>
      <c r="AB761" s="54">
        <v>0.97243778865973662</v>
      </c>
      <c r="AC761" s="55">
        <v>2.7562211340263397E-2</v>
      </c>
      <c r="AD761" s="752" t="e">
        <f>_xlfn.XLOOKUP(Table1[[#This Row],[Ruta]],#REF!,#REF!)</f>
        <v>#REF!</v>
      </c>
      <c r="AE761" s="752" t="e">
        <f>_xlfn.XLOOKUP(Table1[[#This Row],[Ruta]],#REF!,#REF!)</f>
        <v>#REF!</v>
      </c>
      <c r="AF761" s="752" t="e">
        <f>_xlfn.XLOOKUP(Table1[[#This Row],[Ruta]],#REF!,#REF!)</f>
        <v>#REF!</v>
      </c>
      <c r="AG761" s="752" t="e">
        <f>_xlfn.XLOOKUP(Table1[[#This Row],[Ruta]],#REF!,#REF!)</f>
        <v>#REF!</v>
      </c>
      <c r="AH761" s="52">
        <v>0.80910329895622179</v>
      </c>
      <c r="AI761" s="52">
        <v>0.19075981489349775</v>
      </c>
      <c r="AJ761" s="55">
        <v>1.3688615028050277E-4</v>
      </c>
      <c r="AK761" s="56">
        <v>14191</v>
      </c>
      <c r="AL761" s="44">
        <v>10394</v>
      </c>
      <c r="AM761" s="54">
        <v>0.73243605101825104</v>
      </c>
      <c r="AN761" s="55">
        <v>0.76280757018515599</v>
      </c>
      <c r="AO761" s="56">
        <v>431.00222849754903</v>
      </c>
      <c r="AP761" s="48">
        <v>215.50111424877451</v>
      </c>
      <c r="AQ761" s="55">
        <v>0.74762181060170352</v>
      </c>
      <c r="AR761" s="51">
        <v>3513389.7</v>
      </c>
      <c r="AS761" s="49">
        <v>72843.890238615495</v>
      </c>
      <c r="AT761" s="55">
        <v>2.0733222459955264E-2</v>
      </c>
      <c r="AU761" s="51">
        <v>51187.598546054149</v>
      </c>
      <c r="AV761" s="52">
        <v>2.3285722980243497E-4</v>
      </c>
      <c r="AW761" s="44">
        <v>428</v>
      </c>
      <c r="AX761" s="51">
        <v>338.02094477583199</v>
      </c>
      <c r="AY761" s="49">
        <v>430.62251018555702</v>
      </c>
      <c r="AZ761" s="49">
        <v>92.601565409725026</v>
      </c>
      <c r="BA761" s="42" t="s">
        <v>150</v>
      </c>
      <c r="BB761" s="50">
        <v>338175.91138629377</v>
      </c>
      <c r="BC761" s="57">
        <v>389363.50993234792</v>
      </c>
      <c r="BD761" s="42" t="s">
        <v>150</v>
      </c>
      <c r="BE761" s="46">
        <v>32.325740318906597</v>
      </c>
      <c r="BF761" s="46">
        <v>46.785388127853899</v>
      </c>
      <c r="BG761" s="42" t="s">
        <v>152</v>
      </c>
      <c r="BH761" s="52">
        <v>0.73243605101825104</v>
      </c>
      <c r="BI761" s="52">
        <v>0.54577396056997896</v>
      </c>
      <c r="BJ761" s="42" t="s">
        <v>150</v>
      </c>
      <c r="BK761" s="46">
        <v>436.71526170614999</v>
      </c>
      <c r="BL761" s="46">
        <v>952.59571841647596</v>
      </c>
      <c r="BM761" s="42" t="s">
        <v>152</v>
      </c>
      <c r="BN761" s="48">
        <v>1</v>
      </c>
      <c r="BO761" s="42" t="s">
        <v>155</v>
      </c>
      <c r="BP761" s="42" t="s">
        <v>152</v>
      </c>
      <c r="BQ761" s="46">
        <v>1781.6783660133599</v>
      </c>
      <c r="BR761" s="46">
        <v>384</v>
      </c>
      <c r="BS761" s="46">
        <v>22438</v>
      </c>
      <c r="BT761" s="46">
        <v>7174</v>
      </c>
      <c r="BU761" s="46">
        <v>3.1276833008084752</v>
      </c>
      <c r="BV761" s="46">
        <v>18.682291666666668</v>
      </c>
      <c r="BW761" s="46">
        <v>89</v>
      </c>
      <c r="BX761" s="46">
        <v>2910</v>
      </c>
      <c r="BY761" s="46">
        <v>2999</v>
      </c>
      <c r="BZ761" s="46">
        <v>0.41803735712294399</v>
      </c>
      <c r="CA761" s="46">
        <v>1.2405910231391129E-2</v>
      </c>
      <c r="CB761" s="46">
        <v>0.40563144689155278</v>
      </c>
      <c r="CC761" s="46">
        <v>0.4881516587677725</v>
      </c>
      <c r="CD761" s="46">
        <v>0</v>
      </c>
      <c r="CE761" s="46">
        <v>1.393922497909116E-4</v>
      </c>
      <c r="CF761" s="46">
        <v>9.3671591859492614E-2</v>
      </c>
      <c r="CG761" s="46">
        <v>0</v>
      </c>
      <c r="CH761" s="46">
        <v>0</v>
      </c>
      <c r="CI761" s="46">
        <v>3.2088421427934746</v>
      </c>
      <c r="CJ761" s="46">
        <v>0.31197076388269901</v>
      </c>
      <c r="CK761">
        <v>239</v>
      </c>
      <c r="CL761">
        <v>344.86</v>
      </c>
      <c r="CM761">
        <f t="shared" si="84"/>
        <v>105.86000000000001</v>
      </c>
      <c r="CN761">
        <v>8.0399999999999991</v>
      </c>
      <c r="CO761">
        <v>9.4499999999999993</v>
      </c>
      <c r="CP761">
        <f t="shared" si="85"/>
        <v>1.4100000000000001</v>
      </c>
      <c r="CQ761">
        <v>423.28</v>
      </c>
      <c r="CR761">
        <v>436.72</v>
      </c>
      <c r="CS761">
        <f t="shared" si="86"/>
        <v>-13.440000000000055</v>
      </c>
      <c r="CT761" t="s">
        <v>150</v>
      </c>
      <c r="CU761">
        <v>103.17</v>
      </c>
      <c r="CV761">
        <v>107</v>
      </c>
      <c r="CW761" s="46">
        <v>2999</v>
      </c>
      <c r="CX761" s="46">
        <f t="shared" si="80"/>
        <v>40.3281293560078</v>
      </c>
      <c r="CY761" s="46">
        <v>105.86</v>
      </c>
      <c r="CZ761" s="46">
        <f t="shared" si="81"/>
        <v>41.803735712294397</v>
      </c>
      <c r="DA761" s="46">
        <f t="shared" si="82"/>
        <v>226.73994692205622</v>
      </c>
      <c r="DB761" s="46">
        <v>1650635.07</v>
      </c>
      <c r="DC761" s="46">
        <f t="shared" si="83"/>
        <v>12.651544123101269</v>
      </c>
      <c r="DD761" s="46">
        <v>92101.47</v>
      </c>
      <c r="DE761" s="995">
        <v>2999</v>
      </c>
      <c r="DF761" s="995">
        <v>40.328000000000003</v>
      </c>
      <c r="DG761" s="995">
        <v>105.9</v>
      </c>
      <c r="DH761" s="995">
        <v>41.804000000000002</v>
      </c>
      <c r="DI761" s="995">
        <v>566.61300000000006</v>
      </c>
      <c r="DJ761" s="995">
        <v>4124864</v>
      </c>
      <c r="DK761" s="995">
        <v>31.53</v>
      </c>
      <c r="DL761" s="995">
        <v>229531.7</v>
      </c>
      <c r="DM761" s="995">
        <v>2999</v>
      </c>
      <c r="DN761" s="995">
        <v>40.328000000000003</v>
      </c>
      <c r="DO761" s="995">
        <v>105.9</v>
      </c>
      <c r="DP761" s="995">
        <v>41.804000000000002</v>
      </c>
      <c r="DQ761" s="995">
        <v>566.61300000000006</v>
      </c>
      <c r="DR761" s="995">
        <v>4124864</v>
      </c>
      <c r="DS761" s="995">
        <v>31.53</v>
      </c>
      <c r="DT761" s="995">
        <v>229531.7</v>
      </c>
    </row>
    <row r="762" spans="1:124">
      <c r="A762" s="42" t="s">
        <v>95</v>
      </c>
      <c r="B762" s="42" t="s">
        <v>1003</v>
      </c>
      <c r="C762" s="42" t="s">
        <v>1004</v>
      </c>
      <c r="D762" s="42">
        <v>506304</v>
      </c>
      <c r="E762" s="42" t="s">
        <v>1009</v>
      </c>
      <c r="F762" s="42" t="s">
        <v>149</v>
      </c>
      <c r="G762" s="42" t="s">
        <v>150</v>
      </c>
      <c r="H762" s="43" t="s">
        <v>150</v>
      </c>
      <c r="I762" s="44">
        <v>10</v>
      </c>
      <c r="J762" s="45">
        <v>222280.69975999999</v>
      </c>
      <c r="K762" s="46">
        <v>5133.1650239999999</v>
      </c>
      <c r="L762" s="47">
        <v>227413.864784</v>
      </c>
      <c r="M762" s="48">
        <v>4058119</v>
      </c>
      <c r="N762" s="49">
        <v>3383201</v>
      </c>
      <c r="O762" s="49">
        <v>665945</v>
      </c>
      <c r="P762" s="49">
        <v>8973</v>
      </c>
      <c r="Q762" s="50">
        <v>9212.16542141231</v>
      </c>
      <c r="R762" s="51">
        <v>3972.2254009507601</v>
      </c>
      <c r="S762" s="49">
        <v>10245.771068882101</v>
      </c>
      <c r="T762" s="49">
        <v>1217.0620533399201</v>
      </c>
      <c r="U762" s="49">
        <f>IFERROR(INDEX('Rentabilidad datos'!$N$2:$N$61,MATCH($C762,'Rentabilidad datos'!$C$2:$C$61,0)),"")</f>
        <v>15435.058523172749</v>
      </c>
      <c r="V762" s="50">
        <f>IFERROR(INDEX('Rentabilidad datos'!$O$2:$O$61,MATCH($C762,'Rentabilidad datos'!$C$2:$C$61,0)),"")</f>
        <v>1715.0065025747499</v>
      </c>
      <c r="W762" s="51">
        <f>IFERROR(INDEX('Rentabilidad datos'!$M$2:$M$61,MATCH($C762,'Rentabilidad datos'!$C$2:$C$61,0)),"")</f>
        <v>3020.0889828698755</v>
      </c>
      <c r="X762" s="52">
        <f>IFERROR(INDEX('Rentabilidad datos'!$P$2:$P$61,MATCH($C762,'Rentabilidad datos'!$C$2:$C$61,0)),"")</f>
        <v>0.56786621596329412</v>
      </c>
      <c r="Y762" s="43" t="s">
        <v>211</v>
      </c>
      <c r="Z762" s="53">
        <v>38.810933940774497</v>
      </c>
      <c r="AA762" s="43">
        <v>3</v>
      </c>
      <c r="AB762" s="54">
        <v>0.88171441005056772</v>
      </c>
      <c r="AC762" s="55">
        <v>0.11828558994943224</v>
      </c>
      <c r="AD762" s="752" t="e">
        <f>_xlfn.XLOOKUP(Table1[[#This Row],[Ruta]],#REF!,#REF!)</f>
        <v>#REF!</v>
      </c>
      <c r="AE762" s="752" t="e">
        <f>_xlfn.XLOOKUP(Table1[[#This Row],[Ruta]],#REF!,#REF!)</f>
        <v>#REF!</v>
      </c>
      <c r="AF762" s="752" t="e">
        <f>_xlfn.XLOOKUP(Table1[[#This Row],[Ruta]],#REF!,#REF!)</f>
        <v>#REF!</v>
      </c>
      <c r="AG762" s="752" t="e">
        <f>_xlfn.XLOOKUP(Table1[[#This Row],[Ruta]],#REF!,#REF!)</f>
        <v>#REF!</v>
      </c>
      <c r="AH762" s="52">
        <v>0.8336869865077885</v>
      </c>
      <c r="AI762" s="52">
        <v>0.16410189055569835</v>
      </c>
      <c r="AJ762" s="55">
        <v>2.2111229365131975E-3</v>
      </c>
      <c r="AK762" s="56">
        <v>17038</v>
      </c>
      <c r="AL762" s="44">
        <v>11491</v>
      </c>
      <c r="AM762" s="54">
        <v>0.67443361896936305</v>
      </c>
      <c r="AN762" s="55">
        <v>0.76280757018515599</v>
      </c>
      <c r="AO762" s="56">
        <v>1505.71538081469</v>
      </c>
      <c r="AP762" s="48">
        <v>752.85769040734499</v>
      </c>
      <c r="AQ762" s="55">
        <v>0.71862059457725935</v>
      </c>
      <c r="AR762" s="51">
        <v>4044140.62</v>
      </c>
      <c r="AS762" s="49">
        <v>264960.60976901301</v>
      </c>
      <c r="AT762" s="55">
        <v>6.5517160421838402E-2</v>
      </c>
      <c r="AU762" s="51">
        <v>186188.53659444166</v>
      </c>
      <c r="AV762" s="52">
        <v>8.4698927247668404E-4</v>
      </c>
      <c r="AW762" s="44">
        <v>322</v>
      </c>
      <c r="AX762" s="51">
        <v>351.939832912714</v>
      </c>
      <c r="AY762" s="49">
        <v>430.62251018555702</v>
      </c>
      <c r="AZ762" s="49">
        <v>78.682677272843023</v>
      </c>
      <c r="BA762" s="42" t="s">
        <v>150</v>
      </c>
      <c r="BB762" s="50">
        <v>317671.73997430038</v>
      </c>
      <c r="BC762" s="57">
        <v>503860.276568742</v>
      </c>
      <c r="BD762" s="42" t="s">
        <v>150</v>
      </c>
      <c r="BE762" s="46">
        <v>38.810933940774497</v>
      </c>
      <c r="BF762" s="46">
        <v>46.785388127853899</v>
      </c>
      <c r="BG762" s="42" t="s">
        <v>152</v>
      </c>
      <c r="BH762" s="52">
        <v>0.67443361896936305</v>
      </c>
      <c r="BI762" s="52">
        <v>0.54577396056997896</v>
      </c>
      <c r="BJ762" s="42" t="s">
        <v>150</v>
      </c>
      <c r="BK762" s="46">
        <v>518.02702684282394</v>
      </c>
      <c r="BL762" s="46">
        <v>952.59571841647596</v>
      </c>
      <c r="BM762" s="42" t="s">
        <v>152</v>
      </c>
      <c r="BN762" s="48">
        <v>1</v>
      </c>
      <c r="BO762" s="42" t="s">
        <v>155</v>
      </c>
      <c r="BP762" s="42" t="s">
        <v>152</v>
      </c>
      <c r="BQ762" s="46">
        <v>708.22113981796804</v>
      </c>
      <c r="BR762" s="46">
        <v>1042</v>
      </c>
      <c r="BS762" s="46">
        <v>49988</v>
      </c>
      <c r="BT762" s="46">
        <v>15921</v>
      </c>
      <c r="BU762" s="46">
        <v>3.1397525281075311</v>
      </c>
      <c r="BV762" s="46">
        <v>15.279270633397314</v>
      </c>
      <c r="BW762" s="46">
        <v>80</v>
      </c>
      <c r="BX762" s="46">
        <v>6259</v>
      </c>
      <c r="BY762" s="46">
        <v>6339</v>
      </c>
      <c r="BZ762" s="46">
        <v>0.39815338232523084</v>
      </c>
      <c r="CA762" s="46">
        <v>5.0248099993718976E-3</v>
      </c>
      <c r="CB762" s="46">
        <v>0.3931285723258589</v>
      </c>
      <c r="CC762" s="46">
        <v>0.42987249544626588</v>
      </c>
      <c r="CD762" s="46">
        <v>9.8172225362728474E-2</v>
      </c>
      <c r="CE762" s="46">
        <v>4.0198479994975186E-3</v>
      </c>
      <c r="CF762" s="46">
        <v>6.953080836630865E-2</v>
      </c>
      <c r="CG762" s="46">
        <v>0</v>
      </c>
      <c r="CH762" s="46">
        <v>2.5124049996859491E-4</v>
      </c>
      <c r="CI762" s="46">
        <v>2.9207009682323766</v>
      </c>
      <c r="CJ762" s="46">
        <v>0.34008161958870131</v>
      </c>
      <c r="CK762">
        <v>295</v>
      </c>
      <c r="CL762">
        <v>550.03</v>
      </c>
      <c r="CM762">
        <f t="shared" si="84"/>
        <v>255.02999999999997</v>
      </c>
      <c r="CN762">
        <v>9.9700000000000006</v>
      </c>
      <c r="CO762">
        <v>9.4499999999999993</v>
      </c>
      <c r="CP762">
        <f t="shared" si="85"/>
        <v>-0.52000000000000135</v>
      </c>
      <c r="CQ762">
        <v>564.37</v>
      </c>
      <c r="CR762">
        <v>518.03</v>
      </c>
      <c r="CS762">
        <f t="shared" si="86"/>
        <v>46.340000000000032</v>
      </c>
      <c r="CT762" t="s">
        <v>150</v>
      </c>
      <c r="CU762">
        <v>105.53</v>
      </c>
      <c r="CV762">
        <v>152</v>
      </c>
      <c r="CW762" s="46">
        <v>6339</v>
      </c>
      <c r="CX762" s="46">
        <f t="shared" si="80"/>
        <v>38.213491614848316</v>
      </c>
      <c r="CY762" s="46">
        <v>255.03</v>
      </c>
      <c r="CZ762" s="46">
        <f t="shared" si="81"/>
        <v>39.815338232523082</v>
      </c>
      <c r="DA762" s="46">
        <f t="shared" si="82"/>
        <v>201.18590469973162</v>
      </c>
      <c r="DB762" s="46">
        <v>3254389.23</v>
      </c>
      <c r="DC762" s="46">
        <f t="shared" si="83"/>
        <v>11.332061080499974</v>
      </c>
      <c r="DD762" s="46">
        <v>183307.76</v>
      </c>
      <c r="DE762" s="995">
        <v>6339</v>
      </c>
      <c r="DF762" s="995">
        <v>38.213000000000001</v>
      </c>
      <c r="DG762" s="995">
        <v>255</v>
      </c>
      <c r="DH762" s="995">
        <v>39.814999999999998</v>
      </c>
      <c r="DI762" s="995">
        <v>395.62900000000002</v>
      </c>
      <c r="DJ762" s="995">
        <v>6399709</v>
      </c>
      <c r="DK762" s="995">
        <v>21.914999999999999</v>
      </c>
      <c r="DL762" s="995">
        <v>354491.7</v>
      </c>
      <c r="DM762" s="995">
        <v>6339</v>
      </c>
      <c r="DN762" s="995">
        <v>38.213000000000001</v>
      </c>
      <c r="DO762" s="995">
        <v>255</v>
      </c>
      <c r="DP762" s="995">
        <v>39.814999999999998</v>
      </c>
      <c r="DQ762" s="995">
        <v>395.62900000000002</v>
      </c>
      <c r="DR762" s="995">
        <v>6399709</v>
      </c>
      <c r="DS762" s="995">
        <v>21.914999999999999</v>
      </c>
      <c r="DT762" s="995">
        <v>354491.7</v>
      </c>
    </row>
    <row r="763" spans="1:124">
      <c r="A763" s="42" t="s">
        <v>95</v>
      </c>
      <c r="B763" s="42" t="s">
        <v>1003</v>
      </c>
      <c r="C763" s="42" t="s">
        <v>1004</v>
      </c>
      <c r="D763" s="42">
        <v>506305</v>
      </c>
      <c r="E763" s="42" t="s">
        <v>1010</v>
      </c>
      <c r="F763" s="42" t="s">
        <v>149</v>
      </c>
      <c r="G763" s="42" t="s">
        <v>150</v>
      </c>
      <c r="H763" s="43" t="s">
        <v>150</v>
      </c>
      <c r="I763" s="44">
        <v>10</v>
      </c>
      <c r="J763" s="45">
        <v>171776.98647199999</v>
      </c>
      <c r="K763" s="46">
        <v>4999.2716389999996</v>
      </c>
      <c r="L763" s="47">
        <v>176776.258111</v>
      </c>
      <c r="M763" s="48">
        <v>3291748</v>
      </c>
      <c r="N763" s="49">
        <v>2585089</v>
      </c>
      <c r="O763" s="49">
        <v>704929</v>
      </c>
      <c r="P763" s="49">
        <v>1730</v>
      </c>
      <c r="Q763" s="50">
        <v>7530.1780320366097</v>
      </c>
      <c r="R763" s="51">
        <v>3972.2254009507601</v>
      </c>
      <c r="S763" s="49">
        <v>10245.771068882101</v>
      </c>
      <c r="T763" s="49">
        <v>1217.0620533399201</v>
      </c>
      <c r="U763" s="49">
        <f>IFERROR(INDEX('Rentabilidad datos'!$N$2:$N$61,MATCH($C763,'Rentabilidad datos'!$C$2:$C$61,0)),"")</f>
        <v>15435.058523172749</v>
      </c>
      <c r="V763" s="50">
        <f>IFERROR(INDEX('Rentabilidad datos'!$O$2:$O$61,MATCH($C763,'Rentabilidad datos'!$C$2:$C$61,0)),"")</f>
        <v>1715.0065025747499</v>
      </c>
      <c r="W763" s="51">
        <f>IFERROR(INDEX('Rentabilidad datos'!$M$2:$M$61,MATCH($C763,'Rentabilidad datos'!$C$2:$C$61,0)),"")</f>
        <v>3020.0889828698755</v>
      </c>
      <c r="X763" s="52">
        <f>IFERROR(INDEX('Rentabilidad datos'!$P$2:$P$61,MATCH($C763,'Rentabilidad datos'!$C$2:$C$61,0)),"")</f>
        <v>0.56786621596329412</v>
      </c>
      <c r="Y763" s="43" t="s">
        <v>211</v>
      </c>
      <c r="Z763" s="53">
        <v>35.070938215102998</v>
      </c>
      <c r="AA763" s="43">
        <v>3</v>
      </c>
      <c r="AB763" s="54">
        <v>0.91872372976303163</v>
      </c>
      <c r="AC763" s="55">
        <v>8.1276270236968318E-2</v>
      </c>
      <c r="AD763" s="752" t="e">
        <f>_xlfn.XLOOKUP(Table1[[#This Row],[Ruta]],#REF!,#REF!)</f>
        <v>#REF!</v>
      </c>
      <c r="AE763" s="752" t="e">
        <f>_xlfn.XLOOKUP(Table1[[#This Row],[Ruta]],#REF!,#REF!)</f>
        <v>#REF!</v>
      </c>
      <c r="AF763" s="752" t="e">
        <f>_xlfn.XLOOKUP(Table1[[#This Row],[Ruta]],#REF!,#REF!)</f>
        <v>#REF!</v>
      </c>
      <c r="AG763" s="752" t="e">
        <f>_xlfn.XLOOKUP(Table1[[#This Row],[Ruta]],#REF!,#REF!)</f>
        <v>#REF!</v>
      </c>
      <c r="AH763" s="52">
        <v>0.78532408920731478</v>
      </c>
      <c r="AI763" s="52">
        <v>0.21415035415833775</v>
      </c>
      <c r="AJ763" s="55">
        <v>5.2555663434746523E-4</v>
      </c>
      <c r="AK763" s="56">
        <v>15326</v>
      </c>
      <c r="AL763" s="44">
        <v>10944</v>
      </c>
      <c r="AM763" s="54">
        <v>0.714080647266084</v>
      </c>
      <c r="AN763" s="55">
        <v>0.76280757018515599</v>
      </c>
      <c r="AO763" s="56">
        <v>746.78882065770301</v>
      </c>
      <c r="AP763" s="48">
        <v>373.39441032885151</v>
      </c>
      <c r="AQ763" s="55">
        <v>0.73844410872562005</v>
      </c>
      <c r="AR763" s="51">
        <v>3290687.8</v>
      </c>
      <c r="AS763" s="49">
        <v>112273.7966609415</v>
      </c>
      <c r="AT763" s="55">
        <v>3.4118641294668399E-2</v>
      </c>
      <c r="AU763" s="51">
        <v>78895.100356337294</v>
      </c>
      <c r="AV763" s="52">
        <v>3.5890127757083406E-4</v>
      </c>
      <c r="AW763" s="44">
        <v>408</v>
      </c>
      <c r="AX763" s="51">
        <v>300.68419225146198</v>
      </c>
      <c r="AY763" s="49">
        <v>430.62251018555702</v>
      </c>
      <c r="AZ763" s="49">
        <v>129.93831793409504</v>
      </c>
      <c r="BA763" s="42" t="s">
        <v>150</v>
      </c>
      <c r="BB763" s="50">
        <v>499637.41538161022</v>
      </c>
      <c r="BC763" s="57">
        <v>578532.51573794754</v>
      </c>
      <c r="BD763" s="42" t="s">
        <v>150</v>
      </c>
      <c r="BE763" s="46">
        <v>35.070938215102998</v>
      </c>
      <c r="BF763" s="46">
        <v>46.785388127853899</v>
      </c>
      <c r="BG763" s="42" t="s">
        <v>152</v>
      </c>
      <c r="BH763" s="52">
        <v>0.714080647266084</v>
      </c>
      <c r="BI763" s="52">
        <v>0.54577396056997896</v>
      </c>
      <c r="BJ763" s="42" t="s">
        <v>150</v>
      </c>
      <c r="BK763" s="46">
        <v>404.522329773455</v>
      </c>
      <c r="BL763" s="46">
        <v>952.59571841647596</v>
      </c>
      <c r="BM763" s="42" t="s">
        <v>152</v>
      </c>
      <c r="BN763" s="48">
        <v>1</v>
      </c>
      <c r="BO763" s="42" t="s">
        <v>155</v>
      </c>
      <c r="BP763" s="42" t="s">
        <v>152</v>
      </c>
      <c r="BQ763" s="46">
        <v>0</v>
      </c>
      <c r="BR763" s="46">
        <v>1136</v>
      </c>
      <c r="BS763" s="46">
        <v>54924</v>
      </c>
      <c r="BT763" s="46">
        <v>17301</v>
      </c>
      <c r="BU763" s="46">
        <v>3.174614184151205</v>
      </c>
      <c r="BV763" s="46">
        <v>15.22975352112676</v>
      </c>
      <c r="BW763" s="46">
        <v>72</v>
      </c>
      <c r="BX763" s="46">
        <v>2483</v>
      </c>
      <c r="BY763" s="46">
        <v>2555</v>
      </c>
      <c r="BZ763" s="46">
        <v>0.14767932489451477</v>
      </c>
      <c r="CA763" s="46">
        <v>4.1616091555401434E-3</v>
      </c>
      <c r="CB763" s="46">
        <v>0.14351771573897459</v>
      </c>
      <c r="CC763" s="46">
        <v>0.40055488122073868</v>
      </c>
      <c r="CD763" s="46">
        <v>0.26027397260273971</v>
      </c>
      <c r="CE763" s="46">
        <v>9.305820472805041E-3</v>
      </c>
      <c r="CF763" s="46">
        <v>0.18079879775735511</v>
      </c>
      <c r="CG763" s="46">
        <v>1.156002543205595E-3</v>
      </c>
      <c r="CH763" s="46">
        <v>2.3120050864111901E-4</v>
      </c>
      <c r="CI763" s="46">
        <v>3.2408418906124825</v>
      </c>
      <c r="CJ763" s="46">
        <v>0.43696744592527847</v>
      </c>
      <c r="CK763">
        <v>295</v>
      </c>
      <c r="CL763">
        <v>321.91000000000003</v>
      </c>
      <c r="CM763">
        <f t="shared" si="84"/>
        <v>26.910000000000025</v>
      </c>
      <c r="CN763">
        <v>11.56</v>
      </c>
      <c r="CO763">
        <v>9.4499999999999993</v>
      </c>
      <c r="CP763">
        <f t="shared" si="85"/>
        <v>-2.1100000000000012</v>
      </c>
      <c r="CQ763">
        <v>564.37</v>
      </c>
      <c r="CR763">
        <v>404.52</v>
      </c>
      <c r="CS763">
        <f t="shared" si="86"/>
        <v>159.85000000000002</v>
      </c>
      <c r="CT763" t="s">
        <v>150</v>
      </c>
      <c r="CU763">
        <v>124.17</v>
      </c>
      <c r="CV763">
        <v>100</v>
      </c>
      <c r="CW763" s="46">
        <v>2555</v>
      </c>
      <c r="CX763" s="46">
        <f t="shared" si="80"/>
        <v>14.612392347263164</v>
      </c>
      <c r="CY763" s="46">
        <v>26.91</v>
      </c>
      <c r="CZ763" s="46">
        <f t="shared" si="81"/>
        <v>14.767932489451477</v>
      </c>
      <c r="DA763" s="46">
        <f t="shared" si="82"/>
        <v>102.52401818799844</v>
      </c>
      <c r="DB763" s="46">
        <v>1776526.96</v>
      </c>
      <c r="DC763" s="46">
        <f t="shared" si="83"/>
        <v>5.3220128682570493</v>
      </c>
      <c r="DD763" s="46">
        <v>92219.36</v>
      </c>
      <c r="DE763" s="995">
        <v>2555</v>
      </c>
      <c r="DF763" s="995">
        <v>14.612</v>
      </c>
      <c r="DG763" s="995">
        <v>26.9</v>
      </c>
      <c r="DH763" s="995">
        <v>14.768000000000001</v>
      </c>
      <c r="DI763" s="995">
        <v>240.64500000000001</v>
      </c>
      <c r="DJ763" s="995">
        <v>4169872</v>
      </c>
      <c r="DK763" s="995">
        <v>12.564</v>
      </c>
      <c r="DL763" s="995">
        <v>217702.3</v>
      </c>
      <c r="DM763" s="995">
        <v>2555</v>
      </c>
      <c r="DN763" s="995">
        <v>14.612</v>
      </c>
      <c r="DO763" s="995">
        <v>26.9</v>
      </c>
      <c r="DP763" s="995">
        <v>14.768000000000001</v>
      </c>
      <c r="DQ763" s="995">
        <v>240.64500000000001</v>
      </c>
      <c r="DR763" s="995">
        <v>4169872</v>
      </c>
      <c r="DS763" s="995">
        <v>12.564</v>
      </c>
      <c r="DT763" s="995">
        <v>217702.3</v>
      </c>
    </row>
    <row r="764" spans="1:124">
      <c r="A764" s="42" t="s">
        <v>95</v>
      </c>
      <c r="B764" s="42" t="s">
        <v>1003</v>
      </c>
      <c r="C764" s="42" t="s">
        <v>1004</v>
      </c>
      <c r="D764" s="42">
        <v>506306</v>
      </c>
      <c r="E764" s="42" t="s">
        <v>1011</v>
      </c>
      <c r="F764" s="42" t="s">
        <v>149</v>
      </c>
      <c r="G764" s="42" t="s">
        <v>150</v>
      </c>
      <c r="H764" s="43" t="s">
        <v>150</v>
      </c>
      <c r="I764" s="44">
        <v>10</v>
      </c>
      <c r="J764" s="45">
        <v>235782.4112</v>
      </c>
      <c r="K764" s="46">
        <v>3619.2415209999999</v>
      </c>
      <c r="L764" s="47">
        <v>239401.65272099999</v>
      </c>
      <c r="M764" s="48">
        <v>4168680</v>
      </c>
      <c r="N764" s="49">
        <v>3600161</v>
      </c>
      <c r="O764" s="49">
        <v>567896</v>
      </c>
      <c r="P764" s="49">
        <v>623</v>
      </c>
      <c r="Q764" s="50">
        <v>9494.43107061503</v>
      </c>
      <c r="R764" s="51">
        <v>3972.2254009507601</v>
      </c>
      <c r="S764" s="49">
        <v>10245.771068882101</v>
      </c>
      <c r="T764" s="49">
        <v>1217.0620533399201</v>
      </c>
      <c r="U764" s="49">
        <f>IFERROR(INDEX('Rentabilidad datos'!$N$2:$N$61,MATCH($C764,'Rentabilidad datos'!$C$2:$C$61,0)),"")</f>
        <v>15435.058523172749</v>
      </c>
      <c r="V764" s="50">
        <f>IFERROR(INDEX('Rentabilidad datos'!$O$2:$O$61,MATCH($C764,'Rentabilidad datos'!$C$2:$C$61,0)),"")</f>
        <v>1715.0065025747499</v>
      </c>
      <c r="W764" s="51">
        <f>IFERROR(INDEX('Rentabilidad datos'!$M$2:$M$61,MATCH($C764,'Rentabilidad datos'!$C$2:$C$61,0)),"")</f>
        <v>3020.0889828698755</v>
      </c>
      <c r="X764" s="52">
        <f>IFERROR(INDEX('Rentabilidad datos'!$P$2:$P$61,MATCH($C764,'Rentabilidad datos'!$C$2:$C$61,0)),"")</f>
        <v>0.56786621596329412</v>
      </c>
      <c r="Y764" s="43" t="s">
        <v>211</v>
      </c>
      <c r="Z764" s="53">
        <v>40.3872437357631</v>
      </c>
      <c r="AA764" s="43">
        <v>3</v>
      </c>
      <c r="AB764" s="54">
        <v>0.94884327892762221</v>
      </c>
      <c r="AC764" s="55">
        <v>5.1156721072377828E-2</v>
      </c>
      <c r="AD764" s="752" t="e">
        <f>_xlfn.XLOOKUP(Table1[[#This Row],[Ruta]],#REF!,#REF!)</f>
        <v>#REF!</v>
      </c>
      <c r="AE764" s="752" t="e">
        <f>_xlfn.XLOOKUP(Table1[[#This Row],[Ruta]],#REF!,#REF!)</f>
        <v>#REF!</v>
      </c>
      <c r="AF764" s="752" t="e">
        <f>_xlfn.XLOOKUP(Table1[[#This Row],[Ruta]],#REF!,#REF!)</f>
        <v>#REF!</v>
      </c>
      <c r="AG764" s="752" t="e">
        <f>_xlfn.XLOOKUP(Table1[[#This Row],[Ruta]],#REF!,#REF!)</f>
        <v>#REF!</v>
      </c>
      <c r="AH764" s="52">
        <v>0.86362133816939657</v>
      </c>
      <c r="AI764" s="52">
        <v>0.13622921404377406</v>
      </c>
      <c r="AJ764" s="55">
        <v>1.4944778682940402E-4</v>
      </c>
      <c r="AK764" s="56">
        <v>17730</v>
      </c>
      <c r="AL764" s="44">
        <v>11523</v>
      </c>
      <c r="AM764" s="54">
        <v>0.64991539763113404</v>
      </c>
      <c r="AN764" s="55">
        <v>0.76280757018515599</v>
      </c>
      <c r="AO764" s="56">
        <v>2001.57821938282</v>
      </c>
      <c r="AP764" s="48">
        <v>1000.78910969141</v>
      </c>
      <c r="AQ764" s="55">
        <v>0.7063614839081449</v>
      </c>
      <c r="AR764" s="51">
        <v>4168055.24</v>
      </c>
      <c r="AS764" s="49">
        <v>362001.5875018845</v>
      </c>
      <c r="AT764" s="55">
        <v>8.6851437098968115E-2</v>
      </c>
      <c r="AU764" s="51">
        <v>254379.49392024326</v>
      </c>
      <c r="AV764" s="52">
        <v>1.1571963904405381E-3</v>
      </c>
      <c r="AW764" s="44">
        <v>275</v>
      </c>
      <c r="AX764" s="51">
        <v>361.71615377939798</v>
      </c>
      <c r="AY764" s="49">
        <v>430.62251018555702</v>
      </c>
      <c r="AZ764" s="49">
        <v>68.906356406159034</v>
      </c>
      <c r="BA764" s="42" t="s">
        <v>150</v>
      </c>
      <c r="BB764" s="50">
        <v>278975.76441314112</v>
      </c>
      <c r="BC764" s="57">
        <v>533355.25833338441</v>
      </c>
      <c r="BD764" s="42" t="s">
        <v>150</v>
      </c>
      <c r="BE764" s="46">
        <v>40.3872437357631</v>
      </c>
      <c r="BF764" s="46">
        <v>46.785388127853899</v>
      </c>
      <c r="BG764" s="42" t="s">
        <v>152</v>
      </c>
      <c r="BH764" s="52">
        <v>0.64991539763113404</v>
      </c>
      <c r="BI764" s="52">
        <v>0.54577396056997896</v>
      </c>
      <c r="BJ764" s="42" t="s">
        <v>150</v>
      </c>
      <c r="BK764" s="46">
        <v>545.33406086788102</v>
      </c>
      <c r="BL764" s="46">
        <v>952.59571841647596</v>
      </c>
      <c r="BM764" s="42" t="s">
        <v>152</v>
      </c>
      <c r="BN764" s="48">
        <v>1</v>
      </c>
      <c r="BO764" s="42" t="s">
        <v>155</v>
      </c>
      <c r="BP764" s="42" t="s">
        <v>152</v>
      </c>
      <c r="BQ764" s="46">
        <v>1626.18319364064</v>
      </c>
      <c r="BR764" s="46">
        <v>887</v>
      </c>
      <c r="BS764" s="46">
        <v>39892</v>
      </c>
      <c r="BT764" s="46">
        <v>12026</v>
      </c>
      <c r="BU764" s="46">
        <v>3.3171461832695828</v>
      </c>
      <c r="BV764" s="46">
        <v>13.558060879368659</v>
      </c>
      <c r="BW764" s="46">
        <v>56</v>
      </c>
      <c r="BX764" s="46">
        <v>818</v>
      </c>
      <c r="BY764" s="46">
        <v>874</v>
      </c>
      <c r="BZ764" s="46">
        <v>7.2675868950607014E-2</v>
      </c>
      <c r="CA764" s="46">
        <v>4.6565774155995342E-3</v>
      </c>
      <c r="CB764" s="46">
        <v>6.8019291535007478E-2</v>
      </c>
      <c r="CC764" s="46">
        <v>0.31930816564111092</v>
      </c>
      <c r="CD764" s="46">
        <v>0</v>
      </c>
      <c r="CE764" s="46">
        <v>5.7458839181772817E-2</v>
      </c>
      <c r="CF764" s="46">
        <v>0.54664892732413106</v>
      </c>
      <c r="CG764" s="46">
        <v>3.9081989023781807E-3</v>
      </c>
      <c r="CH764" s="46">
        <v>0</v>
      </c>
      <c r="CI764" s="46">
        <v>4.236438383635817</v>
      </c>
      <c r="CJ764" s="46">
        <v>0.47628597212473678</v>
      </c>
      <c r="CK764">
        <v>259</v>
      </c>
      <c r="CL764">
        <v>259</v>
      </c>
      <c r="CM764">
        <f t="shared" si="84"/>
        <v>0</v>
      </c>
      <c r="CN764">
        <v>12.48</v>
      </c>
      <c r="CO764">
        <v>9.4499999999999993</v>
      </c>
      <c r="CP764">
        <f t="shared" si="85"/>
        <v>-3.0300000000000011</v>
      </c>
      <c r="CQ764">
        <v>846.56</v>
      </c>
      <c r="CR764">
        <v>545.33000000000004</v>
      </c>
      <c r="CS764">
        <f t="shared" si="86"/>
        <v>301.2299999999999</v>
      </c>
      <c r="CT764" t="s">
        <v>150</v>
      </c>
      <c r="CU764">
        <v>132.12</v>
      </c>
      <c r="CV764">
        <v>61</v>
      </c>
      <c r="CW764" s="46">
        <v>874</v>
      </c>
      <c r="CX764" s="46">
        <f t="shared" si="80"/>
        <v>7.2675868950607017</v>
      </c>
      <c r="CY764" s="46">
        <v>0</v>
      </c>
      <c r="CZ764" s="46">
        <f t="shared" si="81"/>
        <v>7.2675868950607017</v>
      </c>
      <c r="DA764" s="46">
        <f t="shared" si="82"/>
        <v>0</v>
      </c>
      <c r="DB764" s="46">
        <v>0</v>
      </c>
      <c r="DC764" s="46">
        <f t="shared" si="83"/>
        <v>0</v>
      </c>
      <c r="DD764" s="46">
        <v>0</v>
      </c>
      <c r="DE764" s="995">
        <v>874</v>
      </c>
      <c r="DF764" s="995">
        <v>7.2679999999999998</v>
      </c>
      <c r="DG764" s="995">
        <v>0</v>
      </c>
      <c r="DH764" s="995">
        <v>7.2679999999999998</v>
      </c>
      <c r="DI764" s="995">
        <v>243.56200000000001</v>
      </c>
      <c r="DJ764" s="995">
        <v>2929073</v>
      </c>
      <c r="DK764" s="995">
        <v>13.528</v>
      </c>
      <c r="DL764" s="995">
        <v>162683.4</v>
      </c>
      <c r="DM764" s="995">
        <v>874</v>
      </c>
      <c r="DN764" s="995">
        <v>7.2679999999999998</v>
      </c>
      <c r="DO764" s="995">
        <v>0</v>
      </c>
      <c r="DP764" s="995">
        <v>7.2679999999999998</v>
      </c>
      <c r="DQ764" s="995">
        <v>243.56200000000001</v>
      </c>
      <c r="DR764" s="995">
        <v>2929073</v>
      </c>
      <c r="DS764" s="995">
        <v>13.528</v>
      </c>
      <c r="DT764" s="995">
        <v>162683.4</v>
      </c>
    </row>
    <row r="765" spans="1:124">
      <c r="A765" s="42" t="s">
        <v>95</v>
      </c>
      <c r="B765" s="42" t="s">
        <v>1003</v>
      </c>
      <c r="C765" s="42" t="s">
        <v>1004</v>
      </c>
      <c r="D765" s="42">
        <v>506307</v>
      </c>
      <c r="E765" s="42" t="s">
        <v>1012</v>
      </c>
      <c r="F765" s="42" t="s">
        <v>149</v>
      </c>
      <c r="G765" s="42" t="s">
        <v>150</v>
      </c>
      <c r="H765" s="43" t="s">
        <v>150</v>
      </c>
      <c r="I765" s="44">
        <v>10</v>
      </c>
      <c r="J765" s="45">
        <v>182932.3216</v>
      </c>
      <c r="K765" s="46">
        <v>5162.1377890000003</v>
      </c>
      <c r="L765" s="47">
        <v>188094.459389</v>
      </c>
      <c r="M765" s="48">
        <v>3728028</v>
      </c>
      <c r="N765" s="49">
        <v>2812560</v>
      </c>
      <c r="O765" s="49">
        <v>913270</v>
      </c>
      <c r="P765" s="49">
        <v>2198</v>
      </c>
      <c r="Q765" s="50">
        <v>8506.46175799087</v>
      </c>
      <c r="R765" s="51">
        <v>3972.2254009507601</v>
      </c>
      <c r="S765" s="49">
        <v>10245.771068882101</v>
      </c>
      <c r="T765" s="49">
        <v>1217.0620533399201</v>
      </c>
      <c r="U765" s="49">
        <f>IFERROR(INDEX('Rentabilidad datos'!$N$2:$N$61,MATCH($C765,'Rentabilidad datos'!$C$2:$C$61,0)),"")</f>
        <v>15435.058523172749</v>
      </c>
      <c r="V765" s="50">
        <f>IFERROR(INDEX('Rentabilidad datos'!$O$2:$O$61,MATCH($C765,'Rentabilidad datos'!$C$2:$C$61,0)),"")</f>
        <v>1715.0065025747499</v>
      </c>
      <c r="W765" s="51">
        <f>IFERROR(INDEX('Rentabilidad datos'!$M$2:$M$61,MATCH($C765,'Rentabilidad datos'!$C$2:$C$61,0)),"")</f>
        <v>3020.0889828698755</v>
      </c>
      <c r="X765" s="52">
        <f>IFERROR(INDEX('Rentabilidad datos'!$P$2:$P$61,MATCH($C765,'Rentabilidad datos'!$C$2:$C$61,0)),"")</f>
        <v>0.56786621596329412</v>
      </c>
      <c r="Y765" s="43" t="s">
        <v>211</v>
      </c>
      <c r="Z765" s="53">
        <v>29.175799086758001</v>
      </c>
      <c r="AA765" s="43">
        <v>3</v>
      </c>
      <c r="AB765" s="54">
        <v>0.97945482169125342</v>
      </c>
      <c r="AC765" s="55">
        <v>2.0545178308746609E-2</v>
      </c>
      <c r="AD765" s="752" t="e">
        <f>_xlfn.XLOOKUP(Table1[[#This Row],[Ruta]],#REF!,#REF!)</f>
        <v>#REF!</v>
      </c>
      <c r="AE765" s="752" t="e">
        <f>_xlfn.XLOOKUP(Table1[[#This Row],[Ruta]],#REF!,#REF!)</f>
        <v>#REF!</v>
      </c>
      <c r="AF765" s="752" t="e">
        <f>_xlfn.XLOOKUP(Table1[[#This Row],[Ruta]],#REF!,#REF!)</f>
        <v>#REF!</v>
      </c>
      <c r="AG765" s="752" t="e">
        <f>_xlfn.XLOOKUP(Table1[[#This Row],[Ruta]],#REF!,#REF!)</f>
        <v>#REF!</v>
      </c>
      <c r="AH765" s="52">
        <v>0.75443639371807292</v>
      </c>
      <c r="AI765" s="52">
        <v>0.24497401843548386</v>
      </c>
      <c r="AJ765" s="55">
        <v>5.895878464432134E-4</v>
      </c>
      <c r="AK765" s="56">
        <v>12779</v>
      </c>
      <c r="AL765" s="44">
        <v>10466</v>
      </c>
      <c r="AM765" s="54">
        <v>0.81899992174661596</v>
      </c>
      <c r="AN765" s="55">
        <v>0.76280757018515599</v>
      </c>
      <c r="AO765" s="56">
        <v>0</v>
      </c>
      <c r="AP765" s="48">
        <v>0</v>
      </c>
      <c r="AQ765" s="55">
        <v>0.81899992174661551</v>
      </c>
      <c r="AR765" s="51">
        <v>3725830.25</v>
      </c>
      <c r="AS765" s="49">
        <v>0</v>
      </c>
      <c r="AT765" s="55">
        <v>0</v>
      </c>
      <c r="AU765" s="51">
        <v>0</v>
      </c>
      <c r="AV765" s="52">
        <v>0</v>
      </c>
      <c r="AW765" s="44">
        <v>490</v>
      </c>
      <c r="AX765" s="51">
        <v>355.993717752723</v>
      </c>
      <c r="AY765" s="49">
        <v>430.62251018555702</v>
      </c>
      <c r="AZ765" s="49">
        <v>74.628792432834018</v>
      </c>
      <c r="BA765" s="42" t="s">
        <v>150</v>
      </c>
      <c r="BB765" s="50">
        <v>274428.22272504144</v>
      </c>
      <c r="BC765" s="57">
        <v>274428.22272504144</v>
      </c>
      <c r="BD765" s="42" t="s">
        <v>150</v>
      </c>
      <c r="BE765" s="46">
        <v>29.175799086758001</v>
      </c>
      <c r="BF765" s="46">
        <v>46.785388127853899</v>
      </c>
      <c r="BG765" s="42" t="s">
        <v>152</v>
      </c>
      <c r="BH765" s="52">
        <v>0.81899992174661596</v>
      </c>
      <c r="BI765" s="52">
        <v>0.54577396056997896</v>
      </c>
      <c r="BJ765" s="42" t="s">
        <v>150</v>
      </c>
      <c r="BK765" s="46">
        <v>429.43940499771702</v>
      </c>
      <c r="BL765" s="46">
        <v>952.59571841647596</v>
      </c>
      <c r="BM765" s="42" t="s">
        <v>152</v>
      </c>
      <c r="BN765" s="48">
        <v>1</v>
      </c>
      <c r="BO765" s="42" t="s">
        <v>155</v>
      </c>
      <c r="BP765" s="42" t="s">
        <v>152</v>
      </c>
      <c r="BQ765" s="46">
        <v>0</v>
      </c>
      <c r="BR765" s="46">
        <v>340</v>
      </c>
      <c r="BS765" s="46">
        <v>15355</v>
      </c>
      <c r="BT765" s="46">
        <v>4790</v>
      </c>
      <c r="BU765" s="46">
        <v>3.2056367432150314</v>
      </c>
      <c r="BV765" s="46">
        <v>14.088235294117647</v>
      </c>
      <c r="BW765" s="46">
        <v>661</v>
      </c>
      <c r="BX765" s="46">
        <v>1731</v>
      </c>
      <c r="BY765" s="46">
        <v>2392</v>
      </c>
      <c r="BZ765" s="46">
        <v>0.49937369519832986</v>
      </c>
      <c r="CA765" s="46">
        <v>0.13799582463465551</v>
      </c>
      <c r="CB765" s="46">
        <v>0.36137787056367432</v>
      </c>
      <c r="CC765" s="46">
        <v>0.35177453027139882</v>
      </c>
      <c r="CD765" s="46">
        <v>0</v>
      </c>
      <c r="CE765" s="46">
        <v>0</v>
      </c>
      <c r="CF765" s="46">
        <v>0.14864300626304799</v>
      </c>
      <c r="CG765" s="46">
        <v>0</v>
      </c>
      <c r="CH765" s="46">
        <v>2.0876826722338208E-4</v>
      </c>
      <c r="CI765" s="46">
        <v>2.6701400195376102</v>
      </c>
      <c r="CJ765" s="46">
        <v>0.78150439596222732</v>
      </c>
      <c r="CK765">
        <v>246</v>
      </c>
      <c r="CL765">
        <v>246</v>
      </c>
      <c r="CM765">
        <f t="shared" si="84"/>
        <v>0</v>
      </c>
      <c r="CN765">
        <v>16.05</v>
      </c>
      <c r="CO765">
        <v>9.4499999999999993</v>
      </c>
      <c r="CP765">
        <f t="shared" si="85"/>
        <v>-6.6000000000000014</v>
      </c>
      <c r="CQ765">
        <v>423.28</v>
      </c>
      <c r="CR765">
        <v>429.44</v>
      </c>
      <c r="CS765">
        <f t="shared" si="86"/>
        <v>-6.160000000000025</v>
      </c>
      <c r="CT765" t="s">
        <v>150</v>
      </c>
      <c r="CU765">
        <v>169.88</v>
      </c>
      <c r="CV765">
        <v>179</v>
      </c>
      <c r="CW765" s="46">
        <v>2392</v>
      </c>
      <c r="CX765" s="46">
        <f t="shared" si="80"/>
        <v>49.937369519832984</v>
      </c>
      <c r="CY765" s="46">
        <v>0</v>
      </c>
      <c r="CZ765" s="46">
        <f t="shared" si="81"/>
        <v>49.937369519832984</v>
      </c>
      <c r="DA765" s="46">
        <f t="shared" si="82"/>
        <v>98.861634655532356</v>
      </c>
      <c r="DB765" s="46">
        <v>473547.23</v>
      </c>
      <c r="DC765" s="46">
        <f t="shared" si="83"/>
        <v>4.9695490605427972</v>
      </c>
      <c r="DD765" s="46">
        <v>23804.14</v>
      </c>
      <c r="DE765" s="995">
        <v>2392</v>
      </c>
      <c r="DF765" s="995">
        <v>49.936999999999998</v>
      </c>
      <c r="DG765" s="995">
        <v>0</v>
      </c>
      <c r="DH765" s="995">
        <v>49.936999999999998</v>
      </c>
      <c r="DI765" s="995">
        <v>722.73800000000006</v>
      </c>
      <c r="DJ765" s="995">
        <v>3461914</v>
      </c>
      <c r="DK765" s="995">
        <v>36.137</v>
      </c>
      <c r="DL765" s="995">
        <v>173094.8</v>
      </c>
      <c r="DM765" s="995">
        <v>2392</v>
      </c>
      <c r="DN765" s="995">
        <v>49.936999999999998</v>
      </c>
      <c r="DO765" s="995">
        <v>0</v>
      </c>
      <c r="DP765" s="995">
        <v>49.936999999999998</v>
      </c>
      <c r="DQ765" s="995">
        <v>722.73800000000006</v>
      </c>
      <c r="DR765" s="995">
        <v>3461914</v>
      </c>
      <c r="DS765" s="995">
        <v>36.137</v>
      </c>
      <c r="DT765" s="995">
        <v>173094.8</v>
      </c>
    </row>
    <row r="766" spans="1:124">
      <c r="A766" s="42" t="s">
        <v>95</v>
      </c>
      <c r="B766" s="42" t="s">
        <v>1003</v>
      </c>
      <c r="C766" s="42" t="s">
        <v>1004</v>
      </c>
      <c r="D766" s="42">
        <v>506308</v>
      </c>
      <c r="E766" s="42" t="s">
        <v>1013</v>
      </c>
      <c r="F766" s="42" t="s">
        <v>149</v>
      </c>
      <c r="G766" s="42" t="s">
        <v>150</v>
      </c>
      <c r="H766" s="43" t="s">
        <v>150</v>
      </c>
      <c r="I766" s="44">
        <v>10</v>
      </c>
      <c r="J766" s="45">
        <v>196271.65040000001</v>
      </c>
      <c r="K766" s="46">
        <v>3993.5000620000001</v>
      </c>
      <c r="L766" s="47">
        <v>200265.15046199999</v>
      </c>
      <c r="M766" s="48">
        <v>3542945</v>
      </c>
      <c r="N766" s="49">
        <v>2992014</v>
      </c>
      <c r="O766" s="49">
        <v>545948</v>
      </c>
      <c r="P766" s="49">
        <v>4983</v>
      </c>
      <c r="Q766" s="50">
        <v>8077.53550228311</v>
      </c>
      <c r="R766" s="51">
        <v>3972.2254009507601</v>
      </c>
      <c r="S766" s="49">
        <v>10245.771068882101</v>
      </c>
      <c r="T766" s="49">
        <v>1217.0620533399201</v>
      </c>
      <c r="U766" s="49">
        <f>IFERROR(INDEX('Rentabilidad datos'!$N$2:$N$61,MATCH($C766,'Rentabilidad datos'!$C$2:$C$61,0)),"")</f>
        <v>15435.058523172749</v>
      </c>
      <c r="V766" s="50">
        <f>IFERROR(INDEX('Rentabilidad datos'!$O$2:$O$61,MATCH($C766,'Rentabilidad datos'!$C$2:$C$61,0)),"")</f>
        <v>1715.0065025747499</v>
      </c>
      <c r="W766" s="51">
        <f>IFERROR(INDEX('Rentabilidad datos'!$M$2:$M$61,MATCH($C766,'Rentabilidad datos'!$C$2:$C$61,0)),"")</f>
        <v>3020.0889828698755</v>
      </c>
      <c r="X766" s="52">
        <f>IFERROR(INDEX('Rentabilidad datos'!$P$2:$P$61,MATCH($C766,'Rentabilidad datos'!$C$2:$C$61,0)),"")</f>
        <v>0.56786621596329412</v>
      </c>
      <c r="Y766" s="43" t="s">
        <v>211</v>
      </c>
      <c r="Z766" s="53">
        <v>33.552511415525103</v>
      </c>
      <c r="AA766" s="43">
        <v>3</v>
      </c>
      <c r="AB766" s="54">
        <v>0.92791674722582485</v>
      </c>
      <c r="AC766" s="55">
        <v>7.2083252774175155E-2</v>
      </c>
      <c r="AD766" s="752" t="e">
        <f>_xlfn.XLOOKUP(Table1[[#This Row],[Ruta]],#REF!,#REF!)</f>
        <v>#REF!</v>
      </c>
      <c r="AE766" s="752" t="e">
        <f>_xlfn.XLOOKUP(Table1[[#This Row],[Ruta]],#REF!,#REF!)</f>
        <v>#REF!</v>
      </c>
      <c r="AF766" s="752" t="e">
        <f>_xlfn.XLOOKUP(Table1[[#This Row],[Ruta]],#REF!,#REF!)</f>
        <v>#REF!</v>
      </c>
      <c r="AG766" s="752" t="e">
        <f>_xlfn.XLOOKUP(Table1[[#This Row],[Ruta]],#REF!,#REF!)</f>
        <v>#REF!</v>
      </c>
      <c r="AH766" s="52">
        <v>0.84449913842862367</v>
      </c>
      <c r="AI766" s="52">
        <v>0.15409440451375903</v>
      </c>
      <c r="AJ766" s="55">
        <v>1.4064570576173211E-3</v>
      </c>
      <c r="AK766" s="56">
        <v>14696</v>
      </c>
      <c r="AL766" s="44">
        <v>11359</v>
      </c>
      <c r="AM766" s="54">
        <v>0.77293140990745801</v>
      </c>
      <c r="AN766" s="55">
        <v>0.76280757018515599</v>
      </c>
      <c r="AO766" s="56">
        <v>0</v>
      </c>
      <c r="AP766" s="48">
        <v>0</v>
      </c>
      <c r="AQ766" s="55">
        <v>0.77293140990745779</v>
      </c>
      <c r="AR766" s="51">
        <v>3537960.55</v>
      </c>
      <c r="AS766" s="49">
        <v>0</v>
      </c>
      <c r="AT766" s="55">
        <v>0</v>
      </c>
      <c r="AU766" s="51">
        <v>0</v>
      </c>
      <c r="AV766" s="52">
        <v>0</v>
      </c>
      <c r="AW766" s="44">
        <v>490</v>
      </c>
      <c r="AX766" s="51">
        <v>311.46760718373099</v>
      </c>
      <c r="AY766" s="49">
        <v>430.62251018555702</v>
      </c>
      <c r="AZ766" s="49">
        <v>119.15490300182603</v>
      </c>
      <c r="BA766" s="42" t="s">
        <v>150</v>
      </c>
      <c r="BB766" s="50">
        <v>475547.21788028791</v>
      </c>
      <c r="BC766" s="57">
        <v>475547.21788028791</v>
      </c>
      <c r="BD766" s="42" t="s">
        <v>150</v>
      </c>
      <c r="BE766" s="46">
        <v>33.552511415525103</v>
      </c>
      <c r="BF766" s="46">
        <v>46.785388127853899</v>
      </c>
      <c r="BG766" s="42" t="s">
        <v>152</v>
      </c>
      <c r="BH766" s="52">
        <v>0.77293140990745801</v>
      </c>
      <c r="BI766" s="52">
        <v>0.54577396056997896</v>
      </c>
      <c r="BJ766" s="42" t="s">
        <v>150</v>
      </c>
      <c r="BK766" s="46">
        <v>457.22637091780803</v>
      </c>
      <c r="BL766" s="46">
        <v>952.59571841647596</v>
      </c>
      <c r="BM766" s="42" t="s">
        <v>152</v>
      </c>
      <c r="BN766" s="48">
        <v>1</v>
      </c>
      <c r="BO766" s="42" t="s">
        <v>155</v>
      </c>
      <c r="BP766" s="42" t="s">
        <v>152</v>
      </c>
      <c r="BQ766" s="46">
        <v>0</v>
      </c>
      <c r="BR766" s="46">
        <v>787</v>
      </c>
      <c r="BS766" s="46">
        <v>30242</v>
      </c>
      <c r="BT766" s="46">
        <v>8869</v>
      </c>
      <c r="BU766" s="46">
        <v>3.4098545495546286</v>
      </c>
      <c r="BV766" s="46">
        <v>11.269377382465057</v>
      </c>
      <c r="BW766" s="46">
        <v>399</v>
      </c>
      <c r="BX766" s="46">
        <v>1916</v>
      </c>
      <c r="BY766" s="46">
        <v>2315</v>
      </c>
      <c r="BZ766" s="46">
        <v>0.26102153568609765</v>
      </c>
      <c r="CA766" s="46">
        <v>4.4988161010260458E-2</v>
      </c>
      <c r="CB766" s="46">
        <v>0.21603337467583719</v>
      </c>
      <c r="CC766" s="46">
        <v>0.1225617318750705</v>
      </c>
      <c r="CD766" s="46">
        <v>0.1150073288984102</v>
      </c>
      <c r="CE766" s="46">
        <v>1.55598150862555E-2</v>
      </c>
      <c r="CF766" s="46">
        <v>0.47615289209606482</v>
      </c>
      <c r="CG766" s="46">
        <v>9.0201826586988384E-3</v>
      </c>
      <c r="CH766" s="46">
        <v>6.7651369940241294E-4</v>
      </c>
      <c r="CI766" s="46">
        <v>4.9269228225646451</v>
      </c>
      <c r="CJ766" s="46">
        <v>0.56213213411811391</v>
      </c>
      <c r="CK766">
        <v>245</v>
      </c>
      <c r="CL766">
        <v>266.31</v>
      </c>
      <c r="CM766">
        <f t="shared" si="84"/>
        <v>21.310000000000002</v>
      </c>
      <c r="CN766">
        <v>12.82</v>
      </c>
      <c r="CO766">
        <v>9.4499999999999993</v>
      </c>
      <c r="CP766">
        <f t="shared" si="85"/>
        <v>-3.370000000000001</v>
      </c>
      <c r="CQ766">
        <v>846.56</v>
      </c>
      <c r="CR766">
        <v>457.23</v>
      </c>
      <c r="CS766">
        <f t="shared" si="86"/>
        <v>389.32999999999993</v>
      </c>
      <c r="CT766" t="s">
        <v>150</v>
      </c>
      <c r="CU766">
        <v>135.63</v>
      </c>
      <c r="CV766">
        <v>143</v>
      </c>
      <c r="CW766" s="46">
        <v>2315</v>
      </c>
      <c r="CX766" s="46">
        <f t="shared" si="80"/>
        <v>25.861878453038674</v>
      </c>
      <c r="CY766" s="46">
        <v>21.31</v>
      </c>
      <c r="CZ766" s="46">
        <f t="shared" si="81"/>
        <v>26.102153568609765</v>
      </c>
      <c r="DA766" s="46">
        <f t="shared" si="82"/>
        <v>65.525318014782385</v>
      </c>
      <c r="DB766" s="46">
        <v>582540.39</v>
      </c>
      <c r="DC766" s="46">
        <f t="shared" si="83"/>
        <v>3.2281573983359411</v>
      </c>
      <c r="DD766" s="46">
        <v>28699.32</v>
      </c>
      <c r="DE766" s="995">
        <v>2315</v>
      </c>
      <c r="DF766" s="995">
        <v>25.861999999999998</v>
      </c>
      <c r="DG766" s="995">
        <v>21.3</v>
      </c>
      <c r="DH766" s="995">
        <v>26.102</v>
      </c>
      <c r="DI766" s="995">
        <v>383.774</v>
      </c>
      <c r="DJ766" s="995">
        <v>3411869</v>
      </c>
      <c r="DK766" s="995">
        <v>19.138000000000002</v>
      </c>
      <c r="DL766" s="995">
        <v>170146.2</v>
      </c>
      <c r="DM766" s="995">
        <v>2315</v>
      </c>
      <c r="DN766" s="995">
        <v>25.861999999999998</v>
      </c>
      <c r="DO766" s="995">
        <v>21.3</v>
      </c>
      <c r="DP766" s="995">
        <v>26.102</v>
      </c>
      <c r="DQ766" s="995">
        <v>383.774</v>
      </c>
      <c r="DR766" s="995">
        <v>3411869</v>
      </c>
      <c r="DS766" s="995">
        <v>19.138000000000002</v>
      </c>
      <c r="DT766" s="995">
        <v>170146.2</v>
      </c>
    </row>
    <row r="767" spans="1:124">
      <c r="A767" s="42" t="s">
        <v>95</v>
      </c>
      <c r="B767" s="42" t="s">
        <v>1003</v>
      </c>
      <c r="C767" s="42" t="s">
        <v>1004</v>
      </c>
      <c r="D767" s="42">
        <v>506309</v>
      </c>
      <c r="E767" s="42" t="s">
        <v>1014</v>
      </c>
      <c r="F767" s="42" t="s">
        <v>149</v>
      </c>
      <c r="G767" s="42" t="s">
        <v>150</v>
      </c>
      <c r="H767" s="43" t="s">
        <v>150</v>
      </c>
      <c r="I767" s="44">
        <v>10</v>
      </c>
      <c r="J767" s="45">
        <v>1236.3624</v>
      </c>
      <c r="K767" s="46">
        <v>1620.9387180000001</v>
      </c>
      <c r="L767" s="47">
        <v>2857.3011179999999</v>
      </c>
      <c r="M767" s="48">
        <v>199198</v>
      </c>
      <c r="N767" s="49">
        <v>18704</v>
      </c>
      <c r="O767" s="49">
        <v>178773</v>
      </c>
      <c r="P767" s="49">
        <v>1721</v>
      </c>
      <c r="Q767" s="50">
        <v>4201.6819148936202</v>
      </c>
      <c r="R767" s="51">
        <v>3972.2254009507601</v>
      </c>
      <c r="S767" s="49">
        <v>10245.771068882101</v>
      </c>
      <c r="T767" s="49">
        <v>1217.0620533399201</v>
      </c>
      <c r="U767" s="49">
        <f>IFERROR(INDEX('Rentabilidad datos'!$N$2:$N$61,MATCH($C767,'Rentabilidad datos'!$C$2:$C$61,0)),"")</f>
        <v>15435.058523172749</v>
      </c>
      <c r="V767" s="50">
        <f>IFERROR(INDEX('Rentabilidad datos'!$O$2:$O$61,MATCH($C767,'Rentabilidad datos'!$C$2:$C$61,0)),"")</f>
        <v>1715.0065025747499</v>
      </c>
      <c r="W767" s="51">
        <f>IFERROR(INDEX('Rentabilidad datos'!$M$2:$M$61,MATCH($C767,'Rentabilidad datos'!$C$2:$C$61,0)),"")</f>
        <v>3020.0889828698755</v>
      </c>
      <c r="X767" s="52">
        <f>IFERROR(INDEX('Rentabilidad datos'!$P$2:$P$61,MATCH($C767,'Rentabilidad datos'!$C$2:$C$61,0)),"")</f>
        <v>0.56786621596329412</v>
      </c>
      <c r="Y767" s="43" t="s">
        <v>211</v>
      </c>
      <c r="Z767" s="53">
        <v>10.695652173913</v>
      </c>
      <c r="AA767" s="43">
        <v>3</v>
      </c>
      <c r="AB767" s="54">
        <v>1</v>
      </c>
      <c r="AC767" s="55">
        <v>0</v>
      </c>
      <c r="AD767" s="752" t="e">
        <f>_xlfn.XLOOKUP(Table1[[#This Row],[Ruta]],#REF!,#REF!)</f>
        <v>#REF!</v>
      </c>
      <c r="AE767" s="752" t="e">
        <f>_xlfn.XLOOKUP(Table1[[#This Row],[Ruta]],#REF!,#REF!)</f>
        <v>#REF!</v>
      </c>
      <c r="AF767" s="752" t="e">
        <f>_xlfn.XLOOKUP(Table1[[#This Row],[Ruta]],#REF!,#REF!)</f>
        <v>#REF!</v>
      </c>
      <c r="AG767" s="752" t="e">
        <f>_xlfn.XLOOKUP(Table1[[#This Row],[Ruta]],#REF!,#REF!)</f>
        <v>#REF!</v>
      </c>
      <c r="AH767" s="52">
        <v>9.3896525065512701E-2</v>
      </c>
      <c r="AI767" s="52">
        <v>0.89746382995813212</v>
      </c>
      <c r="AJ767" s="55">
        <v>8.6396449763551843E-3</v>
      </c>
      <c r="AK767" s="56">
        <v>492</v>
      </c>
      <c r="AL767" s="44">
        <v>209</v>
      </c>
      <c r="AM767" s="54">
        <v>0.37804878048780499</v>
      </c>
      <c r="AN767" s="55">
        <v>0.76280757018515599</v>
      </c>
      <c r="AO767" s="56">
        <v>189.30132453109701</v>
      </c>
      <c r="AP767" s="48">
        <v>94.650662265548505</v>
      </c>
      <c r="AQ767" s="55">
        <v>0.6171761428161554</v>
      </c>
      <c r="AR767" s="51">
        <v>197479.05</v>
      </c>
      <c r="AS767" s="49">
        <v>89433.123761106996</v>
      </c>
      <c r="AT767" s="55">
        <v>0.45287398213181096</v>
      </c>
      <c r="AU767" s="51">
        <v>62844.89777807521</v>
      </c>
      <c r="AV767" s="52">
        <v>2.8588738716963828E-4</v>
      </c>
      <c r="AW767" s="44">
        <v>421</v>
      </c>
      <c r="AX767" s="51">
        <v>944.87583732057396</v>
      </c>
      <c r="AY767" s="49">
        <v>430.62251018555702</v>
      </c>
      <c r="AZ767" s="49">
        <v>0</v>
      </c>
      <c r="BA767" s="42" t="s">
        <v>152</v>
      </c>
      <c r="BB767" s="50">
        <v>0</v>
      </c>
      <c r="BC767" s="57">
        <v>62844.89777807521</v>
      </c>
      <c r="BD767" s="42" t="s">
        <v>150</v>
      </c>
      <c r="BE767" s="46">
        <v>10.695652173913</v>
      </c>
      <c r="BF767" s="46">
        <v>46.785388127853899</v>
      </c>
      <c r="BG767" s="42" t="s">
        <v>152</v>
      </c>
      <c r="BH767" s="52">
        <v>0.37804878048780499</v>
      </c>
      <c r="BI767" s="52">
        <v>0.54577396056997896</v>
      </c>
      <c r="BJ767" s="42" t="s">
        <v>152</v>
      </c>
      <c r="BK767" s="46">
        <v>60.793640808510602</v>
      </c>
      <c r="BL767" s="46">
        <v>952.59571841647596</v>
      </c>
      <c r="BM767" s="42" t="s">
        <v>152</v>
      </c>
      <c r="BN767" s="48">
        <v>0</v>
      </c>
      <c r="BO767" s="42" t="s">
        <v>155</v>
      </c>
      <c r="BP767" s="42" t="s">
        <v>152</v>
      </c>
      <c r="BQ767" s="46">
        <v>323.29565011345801</v>
      </c>
      <c r="BR767" s="46" t="e">
        <v>#N/A</v>
      </c>
      <c r="BS767" s="46" t="e">
        <v>#N/A</v>
      </c>
      <c r="BT767" s="46" t="e">
        <v>#N/A</v>
      </c>
      <c r="BU767" s="46" t="e">
        <v>#N/A</v>
      </c>
      <c r="BV767" s="46" t="e">
        <v>#N/A</v>
      </c>
      <c r="BW767" s="46" t="e">
        <v>#N/A</v>
      </c>
      <c r="BX767" s="46" t="e">
        <v>#N/A</v>
      </c>
      <c r="BY767" s="46" t="e">
        <v>#N/A</v>
      </c>
      <c r="BZ767" s="46" t="e">
        <v>#N/A</v>
      </c>
      <c r="CA767" s="46" t="e">
        <v>#N/A</v>
      </c>
      <c r="CB767" s="46" t="e">
        <v>#N/A</v>
      </c>
      <c r="CC767" s="46" t="e">
        <v>#N/A</v>
      </c>
      <c r="CD767" s="46" t="e">
        <v>#N/A</v>
      </c>
      <c r="CE767" s="46" t="e">
        <v>#N/A</v>
      </c>
      <c r="CF767" s="46" t="e">
        <v>#N/A</v>
      </c>
      <c r="CG767" s="46" t="e">
        <v>#N/A</v>
      </c>
      <c r="CH767" s="46" t="e">
        <v>#N/A</v>
      </c>
      <c r="CI767" s="46" t="e">
        <v>#N/A</v>
      </c>
      <c r="CJ767" s="46" t="e">
        <v>#N/A</v>
      </c>
      <c r="CM767">
        <f t="shared" si="84"/>
        <v>0</v>
      </c>
      <c r="CP767">
        <f t="shared" si="85"/>
        <v>0</v>
      </c>
      <c r="CS767">
        <f t="shared" si="86"/>
        <v>0</v>
      </c>
      <c r="CW767" s="46"/>
      <c r="CX767" s="46" t="e">
        <f t="shared" si="80"/>
        <v>#N/A</v>
      </c>
      <c r="CY767" s="46"/>
      <c r="CZ767" s="46" t="e">
        <f t="shared" si="81"/>
        <v>#N/A</v>
      </c>
      <c r="DA767" s="46" t="e">
        <f t="shared" si="82"/>
        <v>#N/A</v>
      </c>
      <c r="DB767" s="46"/>
      <c r="DC767" s="46" t="e">
        <f t="shared" si="83"/>
        <v>#N/A</v>
      </c>
      <c r="DD767" s="46"/>
      <c r="DE767" s="995" t="s">
        <v>194</v>
      </c>
      <c r="DF767" s="995" t="s">
        <v>194</v>
      </c>
      <c r="DG767" s="995" t="s">
        <v>194</v>
      </c>
      <c r="DH767" s="995" t="s">
        <v>194</v>
      </c>
      <c r="DI767" s="995" t="s">
        <v>194</v>
      </c>
      <c r="DJ767" s="995" t="s">
        <v>194</v>
      </c>
      <c r="DK767" s="995" t="s">
        <v>194</v>
      </c>
      <c r="DL767" s="995" t="s">
        <v>194</v>
      </c>
      <c r="DM767" s="995" t="s">
        <v>194</v>
      </c>
      <c r="DN767" s="995" t="s">
        <v>194</v>
      </c>
      <c r="DO767" s="995" t="s">
        <v>194</v>
      </c>
      <c r="DP767" s="995" t="s">
        <v>194</v>
      </c>
      <c r="DQ767" s="995" t="s">
        <v>194</v>
      </c>
      <c r="DR767" s="995" t="s">
        <v>194</v>
      </c>
      <c r="DS767" s="995" t="s">
        <v>194</v>
      </c>
      <c r="DT767" s="995" t="s">
        <v>194</v>
      </c>
    </row>
    <row r="768" spans="1:124">
      <c r="A768" s="42" t="s">
        <v>95</v>
      </c>
      <c r="B768" s="42" t="s">
        <v>1003</v>
      </c>
      <c r="C768" s="42" t="s">
        <v>1015</v>
      </c>
      <c r="D768" s="42">
        <v>507300</v>
      </c>
      <c r="E768" s="42" t="s">
        <v>1016</v>
      </c>
      <c r="F768" s="42" t="s">
        <v>149</v>
      </c>
      <c r="G768" s="42" t="s">
        <v>150</v>
      </c>
      <c r="H768" s="43" t="s">
        <v>150</v>
      </c>
      <c r="I768" s="44">
        <v>8</v>
      </c>
      <c r="J768" s="45">
        <v>280802.20559999999</v>
      </c>
      <c r="K768" s="46">
        <v>5086.8527160000003</v>
      </c>
      <c r="L768" s="47">
        <v>285889.05831599998</v>
      </c>
      <c r="M768" s="48">
        <v>4939843</v>
      </c>
      <c r="N768" s="49">
        <v>4327128</v>
      </c>
      <c r="O768" s="49">
        <v>612449</v>
      </c>
      <c r="P768" s="49">
        <v>266</v>
      </c>
      <c r="Q768" s="50">
        <v>11292.5730645161</v>
      </c>
      <c r="R768" s="51">
        <v>4541.6334478935396</v>
      </c>
      <c r="S768" s="49">
        <v>7968.9330535749395</v>
      </c>
      <c r="T768" s="49">
        <v>946.60381926438197</v>
      </c>
      <c r="U768" s="49">
        <f>IFERROR(INDEX('Rentabilidad datos'!$N$2:$N$61,MATCH($C768,'Rentabilidad datos'!$C$2:$C$61,0)),"")</f>
        <v>13457.170320732861</v>
      </c>
      <c r="V768" s="50">
        <f>IFERROR(INDEX('Rentabilidad datos'!$O$2:$O$61,MATCH($C768,'Rentabilidad datos'!$C$2:$C$61,0)),"")</f>
        <v>1922.4529029618373</v>
      </c>
      <c r="W768" s="51">
        <f>IFERROR(INDEX('Rentabilidad datos'!$M$2:$M$61,MATCH($C768,'Rentabilidad datos'!$C$2:$C$61,0)),"")</f>
        <v>4093.0935254259307</v>
      </c>
      <c r="X768" s="52">
        <f>IFERROR(INDEX('Rentabilidad datos'!$P$2:$P$61,MATCH($C768,'Rentabilidad datos'!$C$2:$C$61,0)),"")</f>
        <v>0.46968213431228284</v>
      </c>
      <c r="Y768" s="43" t="s">
        <v>171</v>
      </c>
      <c r="Z768" s="53">
        <v>34.094470046083003</v>
      </c>
      <c r="AA768" s="43">
        <v>3</v>
      </c>
      <c r="AB768" s="54">
        <v>0.95438215344090893</v>
      </c>
      <c r="AC768" s="55">
        <v>4.5617846559091048E-2</v>
      </c>
      <c r="AD768" s="752" t="e">
        <f>_xlfn.XLOOKUP(Table1[[#This Row],[Ruta]],#REF!,#REF!)</f>
        <v>#REF!</v>
      </c>
      <c r="AE768" s="752" t="e">
        <f>_xlfn.XLOOKUP(Table1[[#This Row],[Ruta]],#REF!,#REF!)</f>
        <v>#REF!</v>
      </c>
      <c r="AF768" s="752" t="e">
        <f>_xlfn.XLOOKUP(Table1[[#This Row],[Ruta]],#REF!,#REF!)</f>
        <v>#REF!</v>
      </c>
      <c r="AG768" s="752" t="e">
        <f>_xlfn.XLOOKUP(Table1[[#This Row],[Ruta]],#REF!,#REF!)</f>
        <v>#REF!</v>
      </c>
      <c r="AH768" s="52">
        <v>0.87596468146862161</v>
      </c>
      <c r="AI768" s="52">
        <v>0.12398147066617299</v>
      </c>
      <c r="AJ768" s="55">
        <v>5.3847865205432643E-5</v>
      </c>
      <c r="AK768" s="56">
        <v>14797</v>
      </c>
      <c r="AL768" s="44">
        <v>7228</v>
      </c>
      <c r="AM768" s="54">
        <v>0.48847739406636498</v>
      </c>
      <c r="AN768" s="55">
        <v>0.55502999868182601</v>
      </c>
      <c r="AO768" s="56">
        <v>984.77889049497196</v>
      </c>
      <c r="AP768" s="48">
        <v>492.38944524748598</v>
      </c>
      <c r="AQ768" s="55">
        <v>0.52175369637409519</v>
      </c>
      <c r="AR768" s="51">
        <v>4900976.71</v>
      </c>
      <c r="AS768" s="49">
        <v>333866.79626559903</v>
      </c>
      <c r="AT768" s="55">
        <v>6.8122502109502783E-2</v>
      </c>
      <c r="AU768" s="51">
        <v>234609.10007852913</v>
      </c>
      <c r="AV768" s="52">
        <v>1.067258997930462E-3</v>
      </c>
      <c r="AW768" s="44">
        <v>284</v>
      </c>
      <c r="AX768" s="51">
        <v>678.05433176535701</v>
      </c>
      <c r="AY768" s="49">
        <v>815.04878519318402</v>
      </c>
      <c r="AZ768" s="49">
        <v>136.99445342782701</v>
      </c>
      <c r="BA768" s="42" t="s">
        <v>150</v>
      </c>
      <c r="BB768" s="50">
        <v>347906.67086195515</v>
      </c>
      <c r="BC768" s="57">
        <v>582515.77094048425</v>
      </c>
      <c r="BD768" s="42" t="s">
        <v>150</v>
      </c>
      <c r="BE768" s="46">
        <v>34.094470046083003</v>
      </c>
      <c r="BF768" s="46">
        <v>46.785388127853899</v>
      </c>
      <c r="BG768" s="42" t="s">
        <v>152</v>
      </c>
      <c r="BH768" s="52">
        <v>0.48847739406636498</v>
      </c>
      <c r="BI768" s="52">
        <v>0.54577396056997896</v>
      </c>
      <c r="BJ768" s="42" t="s">
        <v>152</v>
      </c>
      <c r="BK768" s="46">
        <v>658.73054911520705</v>
      </c>
      <c r="BL768" s="46">
        <v>952.59571841647596</v>
      </c>
      <c r="BM768" s="42" t="s">
        <v>152</v>
      </c>
      <c r="BN768" s="48">
        <v>0</v>
      </c>
      <c r="BO768" s="42" t="s">
        <v>155</v>
      </c>
      <c r="BP768" s="42" t="s">
        <v>152</v>
      </c>
      <c r="BQ768" s="46">
        <v>1207.3167952911101</v>
      </c>
      <c r="BR768" s="46">
        <v>1362</v>
      </c>
      <c r="BS768" s="46">
        <v>104465</v>
      </c>
      <c r="BT768" s="46">
        <v>26885</v>
      </c>
      <c r="BU768" s="46">
        <v>3.8856239538776269</v>
      </c>
      <c r="BV768" s="46">
        <v>19.739353891336272</v>
      </c>
      <c r="BW768" s="46">
        <v>0</v>
      </c>
      <c r="BX768" s="46">
        <v>128</v>
      </c>
      <c r="BY768" s="46">
        <v>128</v>
      </c>
      <c r="BZ768" s="46">
        <v>4.7610191556630094E-3</v>
      </c>
      <c r="CA768" s="46">
        <v>0</v>
      </c>
      <c r="CB768" s="46">
        <v>4.7610191556630094E-3</v>
      </c>
      <c r="CC768" s="46">
        <v>6.676585456574298E-2</v>
      </c>
      <c r="CD768" s="46">
        <v>3.2360052073647012E-2</v>
      </c>
      <c r="CE768" s="46">
        <v>2.2317277292170361E-4</v>
      </c>
      <c r="CF768" s="46">
        <v>0.89533196949972105</v>
      </c>
      <c r="CG768" s="46">
        <v>5.5793193230425887E-4</v>
      </c>
      <c r="CH768" s="46">
        <v>0</v>
      </c>
      <c r="CI768" s="46">
        <v>6.7869621404298091</v>
      </c>
      <c r="CJ768" s="46">
        <v>0.16273393002441011</v>
      </c>
      <c r="CK768">
        <v>224</v>
      </c>
      <c r="CL768">
        <v>224</v>
      </c>
      <c r="CM768">
        <f t="shared" si="84"/>
        <v>0</v>
      </c>
      <c r="CN768">
        <v>6.14</v>
      </c>
      <c r="CO768">
        <v>9.4499999999999993</v>
      </c>
      <c r="CP768">
        <f t="shared" si="85"/>
        <v>3.3099999999999996</v>
      </c>
      <c r="CQ768">
        <v>423.28</v>
      </c>
      <c r="CR768">
        <v>658.73</v>
      </c>
      <c r="CS768">
        <f t="shared" si="86"/>
        <v>-235.45000000000005</v>
      </c>
      <c r="CT768" t="s">
        <v>150</v>
      </c>
      <c r="CU768">
        <v>155.63</v>
      </c>
      <c r="CV768">
        <v>57</v>
      </c>
      <c r="CW768" s="46">
        <v>128</v>
      </c>
      <c r="CX768" s="46">
        <f t="shared" si="80"/>
        <v>0.47610191556630094</v>
      </c>
      <c r="CY768" s="46">
        <v>0</v>
      </c>
      <c r="CZ768" s="46">
        <f t="shared" si="81"/>
        <v>0.47610191556630094</v>
      </c>
      <c r="DA768" s="46">
        <f t="shared" si="82"/>
        <v>0</v>
      </c>
      <c r="DB768" s="46">
        <v>0</v>
      </c>
      <c r="DC768" s="46">
        <f t="shared" si="83"/>
        <v>0</v>
      </c>
      <c r="DD768" s="46">
        <v>0</v>
      </c>
      <c r="DE768" s="995">
        <v>128</v>
      </c>
      <c r="DF768" s="995">
        <v>0.47599999999999998</v>
      </c>
      <c r="DG768" s="995">
        <v>0</v>
      </c>
      <c r="DH768" s="995">
        <v>0.47599999999999998</v>
      </c>
      <c r="DI768" s="995">
        <v>149.58199999999999</v>
      </c>
      <c r="DJ768" s="995">
        <v>4021524</v>
      </c>
      <c r="DK768" s="995">
        <v>8.5630000000000006</v>
      </c>
      <c r="DL768" s="995">
        <v>230229.2</v>
      </c>
      <c r="DM768" s="995">
        <v>128</v>
      </c>
      <c r="DN768" s="995">
        <v>0.47599999999999998</v>
      </c>
      <c r="DO768" s="995">
        <v>0</v>
      </c>
      <c r="DP768" s="995">
        <v>0.47599999999999998</v>
      </c>
      <c r="DQ768" s="995">
        <v>149.58199999999999</v>
      </c>
      <c r="DR768" s="995">
        <v>4021524</v>
      </c>
      <c r="DS768" s="995">
        <v>8.5630000000000006</v>
      </c>
      <c r="DT768" s="995">
        <v>230229.2</v>
      </c>
    </row>
    <row r="769" spans="1:124">
      <c r="A769" s="42" t="s">
        <v>95</v>
      </c>
      <c r="B769" s="42" t="s">
        <v>1003</v>
      </c>
      <c r="C769" s="42" t="s">
        <v>1015</v>
      </c>
      <c r="D769" s="42">
        <v>507301</v>
      </c>
      <c r="E769" s="42" t="s">
        <v>1017</v>
      </c>
      <c r="F769" s="42" t="s">
        <v>149</v>
      </c>
      <c r="G769" s="42" t="s">
        <v>150</v>
      </c>
      <c r="H769" s="43" t="s">
        <v>150</v>
      </c>
      <c r="I769" s="44">
        <v>8</v>
      </c>
      <c r="J769" s="45">
        <v>427334.04560000001</v>
      </c>
      <c r="K769" s="46">
        <v>4692.2810280000003</v>
      </c>
      <c r="L769" s="47">
        <v>432026.32662800001</v>
      </c>
      <c r="M769" s="48">
        <v>7200630</v>
      </c>
      <c r="N769" s="49">
        <v>6577755</v>
      </c>
      <c r="O769" s="49">
        <v>621627</v>
      </c>
      <c r="P769" s="49">
        <v>1248</v>
      </c>
      <c r="Q769" s="50">
        <v>16512.340160550499</v>
      </c>
      <c r="R769" s="51">
        <v>4541.6334478935396</v>
      </c>
      <c r="S769" s="49">
        <v>7968.9330535749395</v>
      </c>
      <c r="T769" s="49">
        <v>946.60381926438197</v>
      </c>
      <c r="U769" s="49">
        <f>IFERROR(INDEX('Rentabilidad datos'!$N$2:$N$61,MATCH($C769,'Rentabilidad datos'!$C$2:$C$61,0)),"")</f>
        <v>13457.170320732861</v>
      </c>
      <c r="V769" s="50">
        <f>IFERROR(INDEX('Rentabilidad datos'!$O$2:$O$61,MATCH($C769,'Rentabilidad datos'!$C$2:$C$61,0)),"")</f>
        <v>1922.4529029618373</v>
      </c>
      <c r="W769" s="51">
        <f>IFERROR(INDEX('Rentabilidad datos'!$M$2:$M$61,MATCH($C769,'Rentabilidad datos'!$C$2:$C$61,0)),"")</f>
        <v>4093.0935254259307</v>
      </c>
      <c r="X769" s="52">
        <f>IFERROR(INDEX('Rentabilidad datos'!$P$2:$P$61,MATCH($C769,'Rentabilidad datos'!$C$2:$C$61,0)),"")</f>
        <v>0.46968213431228284</v>
      </c>
      <c r="Y769" s="43" t="s">
        <v>171</v>
      </c>
      <c r="Z769" s="53">
        <v>29.704128440367001</v>
      </c>
      <c r="AA769" s="43">
        <v>3</v>
      </c>
      <c r="AB769" s="54">
        <v>0.98494242864860437</v>
      </c>
      <c r="AC769" s="55">
        <v>1.5057571351395642E-2</v>
      </c>
      <c r="AD769" s="752" t="e">
        <f>_xlfn.XLOOKUP(Table1[[#This Row],[Ruta]],#REF!,#REF!)</f>
        <v>#REF!</v>
      </c>
      <c r="AE769" s="752" t="e">
        <f>_xlfn.XLOOKUP(Table1[[#This Row],[Ruta]],#REF!,#REF!)</f>
        <v>#REF!</v>
      </c>
      <c r="AF769" s="752" t="e">
        <f>_xlfn.XLOOKUP(Table1[[#This Row],[Ruta]],#REF!,#REF!)</f>
        <v>#REF!</v>
      </c>
      <c r="AG769" s="752" t="e">
        <f>_xlfn.XLOOKUP(Table1[[#This Row],[Ruta]],#REF!,#REF!)</f>
        <v>#REF!</v>
      </c>
      <c r="AH769" s="52">
        <v>0.91349715233250428</v>
      </c>
      <c r="AI769" s="52">
        <v>8.6329529499502122E-2</v>
      </c>
      <c r="AJ769" s="55">
        <v>1.7331816799363389E-4</v>
      </c>
      <c r="AK769" s="56">
        <v>12951</v>
      </c>
      <c r="AL769" s="44">
        <v>7506</v>
      </c>
      <c r="AM769" s="54">
        <v>0.57956914523975001</v>
      </c>
      <c r="AN769" s="55">
        <v>0.55502999868182601</v>
      </c>
      <c r="AO769" s="56">
        <v>0</v>
      </c>
      <c r="AP769" s="48">
        <v>0</v>
      </c>
      <c r="AQ769" s="55">
        <v>0.57956914523974978</v>
      </c>
      <c r="AR769" s="51">
        <v>7199380.3099999996</v>
      </c>
      <c r="AS769" s="49">
        <v>0</v>
      </c>
      <c r="AT769" s="55">
        <v>0</v>
      </c>
      <c r="AU769" s="51">
        <v>0</v>
      </c>
      <c r="AV769" s="52">
        <v>0</v>
      </c>
      <c r="AW769" s="44">
        <v>490</v>
      </c>
      <c r="AX769" s="51">
        <v>959.15005462296801</v>
      </c>
      <c r="AY769" s="49">
        <v>815.04878519318402</v>
      </c>
      <c r="AZ769" s="49">
        <v>0</v>
      </c>
      <c r="BA769" s="42" t="s">
        <v>152</v>
      </c>
      <c r="BB769" s="50">
        <v>0</v>
      </c>
      <c r="BC769" s="57">
        <v>0</v>
      </c>
      <c r="BD769" s="42" t="s">
        <v>150</v>
      </c>
      <c r="BE769" s="46">
        <v>29.704128440367001</v>
      </c>
      <c r="BF769" s="46">
        <v>46.785388127853899</v>
      </c>
      <c r="BG769" s="42" t="s">
        <v>152</v>
      </c>
      <c r="BH769" s="52">
        <v>0.57956914523975001</v>
      </c>
      <c r="BI769" s="52">
        <v>0.54577396056997896</v>
      </c>
      <c r="BJ769" s="42" t="s">
        <v>150</v>
      </c>
      <c r="BK769" s="46">
        <v>990.88607024770602</v>
      </c>
      <c r="BL769" s="46">
        <v>952.59571841647596</v>
      </c>
      <c r="BM769" s="42" t="s">
        <v>150</v>
      </c>
      <c r="BN769" s="48">
        <v>2</v>
      </c>
      <c r="BO769" s="42" t="s">
        <v>161</v>
      </c>
      <c r="BP769" s="42" t="s">
        <v>152</v>
      </c>
      <c r="BQ769" s="46">
        <v>1022.10215720055</v>
      </c>
      <c r="BR769" s="46">
        <v>418</v>
      </c>
      <c r="BS769" s="46">
        <v>30735</v>
      </c>
      <c r="BT769" s="46">
        <v>8972</v>
      </c>
      <c r="BU769" s="46">
        <v>3.4256576014266606</v>
      </c>
      <c r="BV769" s="46">
        <v>21.464114832535884</v>
      </c>
      <c r="BW769" s="46">
        <v>0</v>
      </c>
      <c r="BX769" s="46">
        <v>3167</v>
      </c>
      <c r="BY769" s="46">
        <v>3167</v>
      </c>
      <c r="BZ769" s="46">
        <v>0.35298707088720466</v>
      </c>
      <c r="CA769" s="46">
        <v>0</v>
      </c>
      <c r="CB769" s="46">
        <v>0.35298707088720471</v>
      </c>
      <c r="CC769" s="46">
        <v>0.1769950958537673</v>
      </c>
      <c r="CD769" s="46">
        <v>0.2496656263932234</v>
      </c>
      <c r="CE769" s="46">
        <v>0</v>
      </c>
      <c r="CF769" s="46">
        <v>0.2203522068658047</v>
      </c>
      <c r="CG769" s="46">
        <v>0</v>
      </c>
      <c r="CH769" s="46">
        <v>0</v>
      </c>
      <c r="CI769" s="46">
        <v>2.9607938831950551</v>
      </c>
      <c r="CJ769" s="46">
        <v>0.39043435822352363</v>
      </c>
      <c r="CK769">
        <v>243</v>
      </c>
      <c r="CL769">
        <v>259.24</v>
      </c>
      <c r="CM769">
        <f t="shared" si="84"/>
        <v>16.240000000000009</v>
      </c>
      <c r="CN769">
        <v>10.93</v>
      </c>
      <c r="CO769">
        <v>9.4499999999999993</v>
      </c>
      <c r="CP769">
        <f t="shared" si="85"/>
        <v>-1.4800000000000004</v>
      </c>
      <c r="CQ769">
        <v>564.37</v>
      </c>
      <c r="CR769">
        <v>990.89</v>
      </c>
      <c r="CS769">
        <f t="shared" si="86"/>
        <v>-426.52</v>
      </c>
      <c r="CT769" t="s">
        <v>150</v>
      </c>
      <c r="CU769">
        <v>175.57</v>
      </c>
      <c r="CV769">
        <v>118</v>
      </c>
      <c r="CW769" s="46">
        <v>3167</v>
      </c>
      <c r="CX769" s="46">
        <f t="shared" si="80"/>
        <v>35.117699509585378</v>
      </c>
      <c r="CY769" s="46">
        <v>16.239999999999998</v>
      </c>
      <c r="CZ769" s="46">
        <f t="shared" si="81"/>
        <v>35.298707088720462</v>
      </c>
      <c r="DA769" s="46">
        <f t="shared" si="82"/>
        <v>45.026435653698606</v>
      </c>
      <c r="DB769" s="46">
        <v>404708.41</v>
      </c>
      <c r="DC769" s="46">
        <f t="shared" si="83"/>
        <v>2.6288316733865584</v>
      </c>
      <c r="DD769" s="46">
        <v>23628.57</v>
      </c>
      <c r="DE769" s="995">
        <v>3167</v>
      </c>
      <c r="DF769" s="995">
        <v>35.118000000000002</v>
      </c>
      <c r="DG769" s="995">
        <v>16.2</v>
      </c>
      <c r="DH769" s="995">
        <v>35.298999999999999</v>
      </c>
      <c r="DI769" s="995">
        <v>634.74099999999999</v>
      </c>
      <c r="DJ769" s="995">
        <v>5705204</v>
      </c>
      <c r="DK769" s="995">
        <v>37.08</v>
      </c>
      <c r="DL769" s="995">
        <v>333280.09999999998</v>
      </c>
      <c r="DM769" s="995">
        <v>3167</v>
      </c>
      <c r="DN769" s="995">
        <v>35.118000000000002</v>
      </c>
      <c r="DO769" s="995">
        <v>16.2</v>
      </c>
      <c r="DP769" s="995">
        <v>35.298999999999999</v>
      </c>
      <c r="DQ769" s="995">
        <v>634.74099999999999</v>
      </c>
      <c r="DR769" s="995">
        <v>5705204</v>
      </c>
      <c r="DS769" s="995">
        <v>37.08</v>
      </c>
      <c r="DT769" s="995">
        <v>333280.09999999998</v>
      </c>
    </row>
    <row r="770" spans="1:124">
      <c r="A770" s="42" t="s">
        <v>95</v>
      </c>
      <c r="B770" s="42" t="s">
        <v>1003</v>
      </c>
      <c r="C770" s="42" t="s">
        <v>1015</v>
      </c>
      <c r="D770" s="42">
        <v>507302</v>
      </c>
      <c r="E770" s="42" t="s">
        <v>1018</v>
      </c>
      <c r="F770" s="42" t="s">
        <v>149</v>
      </c>
      <c r="G770" s="42" t="s">
        <v>150</v>
      </c>
      <c r="H770" s="43" t="s">
        <v>150</v>
      </c>
      <c r="I770" s="44">
        <v>8</v>
      </c>
      <c r="J770" s="45">
        <v>411898.88880000002</v>
      </c>
      <c r="K770" s="46">
        <v>4385.4401479999997</v>
      </c>
      <c r="L770" s="47">
        <v>416284.32894799998</v>
      </c>
      <c r="M770" s="48">
        <v>6944556</v>
      </c>
      <c r="N770" s="49">
        <v>6343889</v>
      </c>
      <c r="O770" s="49">
        <v>600667</v>
      </c>
      <c r="P770" s="49">
        <v>0</v>
      </c>
      <c r="Q770" s="50">
        <v>15891.428077803201</v>
      </c>
      <c r="R770" s="51">
        <v>4541.6334478935396</v>
      </c>
      <c r="S770" s="49">
        <v>7968.9330535749395</v>
      </c>
      <c r="T770" s="49">
        <v>946.60381926438197</v>
      </c>
      <c r="U770" s="49">
        <f>IFERROR(INDEX('Rentabilidad datos'!$N$2:$N$61,MATCH($C770,'Rentabilidad datos'!$C$2:$C$61,0)),"")</f>
        <v>13457.170320732861</v>
      </c>
      <c r="V770" s="50">
        <f>IFERROR(INDEX('Rentabilidad datos'!$O$2:$O$61,MATCH($C770,'Rentabilidad datos'!$C$2:$C$61,0)),"")</f>
        <v>1922.4529029618373</v>
      </c>
      <c r="W770" s="51">
        <f>IFERROR(INDEX('Rentabilidad datos'!$M$2:$M$61,MATCH($C770,'Rentabilidad datos'!$C$2:$C$61,0)),"")</f>
        <v>4093.0935254259307</v>
      </c>
      <c r="X770" s="52">
        <f>IFERROR(INDEX('Rentabilidad datos'!$P$2:$P$61,MATCH($C770,'Rentabilidad datos'!$C$2:$C$61,0)),"")</f>
        <v>0.46968213431228284</v>
      </c>
      <c r="Y770" s="43" t="s">
        <v>171</v>
      </c>
      <c r="Z770" s="53">
        <v>37.405034324942797</v>
      </c>
      <c r="AA770" s="43">
        <v>3</v>
      </c>
      <c r="AB770" s="54">
        <v>0.99637644220883237</v>
      </c>
      <c r="AC770" s="55">
        <v>3.6235577911676426E-3</v>
      </c>
      <c r="AD770" s="752" t="e">
        <f>_xlfn.XLOOKUP(Table1[[#This Row],[Ruta]],#REF!,#REF!)</f>
        <v>#REF!</v>
      </c>
      <c r="AE770" s="752" t="e">
        <f>_xlfn.XLOOKUP(Table1[[#This Row],[Ruta]],#REF!,#REF!)</f>
        <v>#REF!</v>
      </c>
      <c r="AF770" s="752" t="e">
        <f>_xlfn.XLOOKUP(Table1[[#This Row],[Ruta]],#REF!,#REF!)</f>
        <v>#REF!</v>
      </c>
      <c r="AG770" s="752" t="e">
        <f>_xlfn.XLOOKUP(Table1[[#This Row],[Ruta]],#REF!,#REF!)</f>
        <v>#REF!</v>
      </c>
      <c r="AH770" s="52">
        <v>0.91350534145019491</v>
      </c>
      <c r="AI770" s="52">
        <v>8.6494658549805051E-2</v>
      </c>
      <c r="AJ770" s="55">
        <v>0</v>
      </c>
      <c r="AK770" s="56">
        <v>16346</v>
      </c>
      <c r="AL770" s="44">
        <v>9054</v>
      </c>
      <c r="AM770" s="54">
        <v>0.55389697785390901</v>
      </c>
      <c r="AN770" s="55">
        <v>0.55502999868182601</v>
      </c>
      <c r="AO770" s="56">
        <v>18.520358453119101</v>
      </c>
      <c r="AP770" s="48">
        <v>9.2601792265595506</v>
      </c>
      <c r="AQ770" s="55">
        <v>0.55446348826786729</v>
      </c>
      <c r="AR770" s="51">
        <v>6944554.0700000003</v>
      </c>
      <c r="AS770" s="49">
        <v>7102.69663538035</v>
      </c>
      <c r="AT770" s="55">
        <v>1.022772169931474E-3</v>
      </c>
      <c r="AU770" s="51">
        <v>4991.0841221591663</v>
      </c>
      <c r="AV770" s="52">
        <v>2.270491399105676E-5</v>
      </c>
      <c r="AW770" s="44">
        <v>480</v>
      </c>
      <c r="AX770" s="51">
        <v>767.01502871659</v>
      </c>
      <c r="AY770" s="49">
        <v>815.04878519318402</v>
      </c>
      <c r="AZ770" s="49">
        <v>48.033756476594021</v>
      </c>
      <c r="BA770" s="42" t="s">
        <v>150</v>
      </c>
      <c r="BB770" s="50">
        <v>152801.87040021815</v>
      </c>
      <c r="BC770" s="57">
        <v>157792.95452237732</v>
      </c>
      <c r="BD770" s="42" t="s">
        <v>150</v>
      </c>
      <c r="BE770" s="46">
        <v>37.405034324942797</v>
      </c>
      <c r="BF770" s="46">
        <v>46.785388127853899</v>
      </c>
      <c r="BG770" s="42" t="s">
        <v>152</v>
      </c>
      <c r="BH770" s="52">
        <v>0.55389697785390901</v>
      </c>
      <c r="BI770" s="52">
        <v>0.54577396056997896</v>
      </c>
      <c r="BJ770" s="42" t="s">
        <v>150</v>
      </c>
      <c r="BK770" s="46">
        <v>952.59571841647596</v>
      </c>
      <c r="BL770" s="46">
        <v>952.59571841647596</v>
      </c>
      <c r="BM770" s="42" t="s">
        <v>150</v>
      </c>
      <c r="BN770" s="48">
        <v>2</v>
      </c>
      <c r="BO770" s="42" t="s">
        <v>161</v>
      </c>
      <c r="BP770" s="42" t="s">
        <v>152</v>
      </c>
      <c r="BQ770" s="46">
        <v>208.525026096391</v>
      </c>
      <c r="BR770" s="46">
        <v>464</v>
      </c>
      <c r="BS770" s="46">
        <v>31078</v>
      </c>
      <c r="BT770" s="46">
        <v>9654</v>
      </c>
      <c r="BU770" s="46">
        <v>3.2191837580277607</v>
      </c>
      <c r="BV770" s="46">
        <v>20.806034482758619</v>
      </c>
      <c r="BW770" s="46">
        <v>56</v>
      </c>
      <c r="BX770" s="46">
        <v>1473</v>
      </c>
      <c r="BY770" s="46">
        <v>1529</v>
      </c>
      <c r="BZ770" s="46">
        <v>0.15837994613631656</v>
      </c>
      <c r="CA770" s="46">
        <v>5.8007043712450801E-3</v>
      </c>
      <c r="CB770" s="46">
        <v>0.15257924176507151</v>
      </c>
      <c r="CC770" s="46">
        <v>0.4077066500932256</v>
      </c>
      <c r="CD770" s="46">
        <v>8.1209861197431121E-2</v>
      </c>
      <c r="CE770" s="46">
        <v>0</v>
      </c>
      <c r="CF770" s="46">
        <v>0.35249637455976801</v>
      </c>
      <c r="CG770" s="46">
        <v>0</v>
      </c>
      <c r="CH770" s="46">
        <v>2.0716801325875291E-4</v>
      </c>
      <c r="CI770" s="46">
        <v>2.4776369135723022</v>
      </c>
      <c r="CJ770" s="46">
        <v>0.32177102773666261</v>
      </c>
      <c r="CK770">
        <v>222</v>
      </c>
      <c r="CL770">
        <v>260.01</v>
      </c>
      <c r="CM770">
        <f t="shared" si="84"/>
        <v>38.009999999999991</v>
      </c>
      <c r="CN770">
        <v>8.56</v>
      </c>
      <c r="CO770">
        <v>9.4499999999999993</v>
      </c>
      <c r="CP770">
        <f t="shared" si="85"/>
        <v>0.88999999999999879</v>
      </c>
      <c r="CQ770">
        <v>423.28</v>
      </c>
      <c r="CR770">
        <v>952.6</v>
      </c>
      <c r="CS770">
        <f t="shared" si="86"/>
        <v>-529.32000000000005</v>
      </c>
      <c r="CT770" t="s">
        <v>150</v>
      </c>
      <c r="CU770">
        <v>225.05</v>
      </c>
      <c r="CV770">
        <v>71</v>
      </c>
      <c r="CW770" s="46">
        <v>1529</v>
      </c>
      <c r="CX770" s="46">
        <f t="shared" si="80"/>
        <v>15.444271804433395</v>
      </c>
      <c r="CY770" s="46">
        <v>38.01</v>
      </c>
      <c r="CZ770" s="46">
        <f t="shared" si="81"/>
        <v>15.837994613631656</v>
      </c>
      <c r="DA770" s="46">
        <f t="shared" si="82"/>
        <v>66.79278704830061</v>
      </c>
      <c r="DB770" s="46">
        <v>647356.36</v>
      </c>
      <c r="DC770" s="46">
        <f t="shared" si="83"/>
        <v>3.9358389023535882</v>
      </c>
      <c r="DD770" s="46">
        <v>38146.19</v>
      </c>
      <c r="DE770" s="995">
        <v>1529</v>
      </c>
      <c r="DF770" s="995">
        <v>15.444000000000001</v>
      </c>
      <c r="DG770" s="995">
        <v>38</v>
      </c>
      <c r="DH770" s="995">
        <v>15.837999999999999</v>
      </c>
      <c r="DI770" s="995">
        <v>611.03399999999999</v>
      </c>
      <c r="DJ770" s="995">
        <v>5922150</v>
      </c>
      <c r="DK770" s="995">
        <v>36.218000000000004</v>
      </c>
      <c r="DL770" s="995">
        <v>351027.3</v>
      </c>
      <c r="DM770" s="995">
        <v>1529</v>
      </c>
      <c r="DN770" s="995">
        <v>15.444000000000001</v>
      </c>
      <c r="DO770" s="995">
        <v>38</v>
      </c>
      <c r="DP770" s="995">
        <v>15.837999999999999</v>
      </c>
      <c r="DQ770" s="995">
        <v>611.03399999999999</v>
      </c>
      <c r="DR770" s="995">
        <v>5922150</v>
      </c>
      <c r="DS770" s="995">
        <v>36.218000000000004</v>
      </c>
      <c r="DT770" s="995">
        <v>351027.3</v>
      </c>
    </row>
    <row r="771" spans="1:124">
      <c r="A771" s="42" t="s">
        <v>95</v>
      </c>
      <c r="B771" s="42" t="s">
        <v>1003</v>
      </c>
      <c r="C771" s="42" t="s">
        <v>1015</v>
      </c>
      <c r="D771" s="42">
        <v>507303</v>
      </c>
      <c r="E771" s="42" t="s">
        <v>1019</v>
      </c>
      <c r="F771" s="42" t="s">
        <v>149</v>
      </c>
      <c r="G771" s="42" t="s">
        <v>150</v>
      </c>
      <c r="H771" s="43" t="s">
        <v>150</v>
      </c>
      <c r="I771" s="44">
        <v>8</v>
      </c>
      <c r="J771" s="45">
        <v>323835.3664</v>
      </c>
      <c r="K771" s="46">
        <v>5375.8175970000002</v>
      </c>
      <c r="L771" s="47">
        <v>329211.18399699999</v>
      </c>
      <c r="M771" s="48">
        <v>5615570</v>
      </c>
      <c r="N771" s="49">
        <v>4973940</v>
      </c>
      <c r="O771" s="49">
        <v>638257</v>
      </c>
      <c r="P771" s="49">
        <v>3373</v>
      </c>
      <c r="Q771" s="50">
        <v>12813.2453196347</v>
      </c>
      <c r="R771" s="51">
        <v>4541.6334478935396</v>
      </c>
      <c r="S771" s="49">
        <v>7968.9330535749395</v>
      </c>
      <c r="T771" s="49">
        <v>946.60381926438197</v>
      </c>
      <c r="U771" s="49">
        <f>IFERROR(INDEX('Rentabilidad datos'!$N$2:$N$61,MATCH($C771,'Rentabilidad datos'!$C$2:$C$61,0)),"")</f>
        <v>13457.170320732861</v>
      </c>
      <c r="V771" s="50">
        <f>IFERROR(INDEX('Rentabilidad datos'!$O$2:$O$61,MATCH($C771,'Rentabilidad datos'!$C$2:$C$61,0)),"")</f>
        <v>1922.4529029618373</v>
      </c>
      <c r="W771" s="51">
        <f>IFERROR(INDEX('Rentabilidad datos'!$M$2:$M$61,MATCH($C771,'Rentabilidad datos'!$C$2:$C$61,0)),"")</f>
        <v>4093.0935254259307</v>
      </c>
      <c r="X771" s="52">
        <f>IFERROR(INDEX('Rentabilidad datos'!$P$2:$P$61,MATCH($C771,'Rentabilidad datos'!$C$2:$C$61,0)),"")</f>
        <v>0.46968213431228284</v>
      </c>
      <c r="Y771" s="43" t="s">
        <v>171</v>
      </c>
      <c r="Z771" s="53">
        <v>46.785388127853899</v>
      </c>
      <c r="AA771" s="43">
        <v>3</v>
      </c>
      <c r="AB771" s="54">
        <v>0.94903829887259883</v>
      </c>
      <c r="AC771" s="55">
        <v>5.0961701127401136E-2</v>
      </c>
      <c r="AD771" s="752" t="e">
        <f>_xlfn.XLOOKUP(Table1[[#This Row],[Ruta]],#REF!,#REF!)</f>
        <v>#REF!</v>
      </c>
      <c r="AE771" s="752" t="e">
        <f>_xlfn.XLOOKUP(Table1[[#This Row],[Ruta]],#REF!,#REF!)</f>
        <v>#REF!</v>
      </c>
      <c r="AF771" s="752" t="e">
        <f>_xlfn.XLOOKUP(Table1[[#This Row],[Ruta]],#REF!,#REF!)</f>
        <v>#REF!</v>
      </c>
      <c r="AG771" s="752" t="e">
        <f>_xlfn.XLOOKUP(Table1[[#This Row],[Ruta]],#REF!,#REF!)</f>
        <v>#REF!</v>
      </c>
      <c r="AH771" s="52">
        <v>0.88574089540331613</v>
      </c>
      <c r="AI771" s="52">
        <v>0.11365845319353156</v>
      </c>
      <c r="AJ771" s="55">
        <v>6.006514031523069E-4</v>
      </c>
      <c r="AK771" s="56">
        <v>20492</v>
      </c>
      <c r="AL771" s="44">
        <v>11184</v>
      </c>
      <c r="AM771" s="54">
        <v>0.54577396056997896</v>
      </c>
      <c r="AN771" s="55">
        <v>0.55502999868182601</v>
      </c>
      <c r="AO771" s="56">
        <v>189.67473298796699</v>
      </c>
      <c r="AP771" s="48">
        <v>94.837366493983495</v>
      </c>
      <c r="AQ771" s="55">
        <v>0.55040197962590198</v>
      </c>
      <c r="AR771" s="51">
        <v>5612201.4500000002</v>
      </c>
      <c r="AS771" s="49">
        <v>47589.98620812915</v>
      </c>
      <c r="AT771" s="55">
        <v>8.4797359168440299E-3</v>
      </c>
      <c r="AU771" s="51">
        <v>33441.611930036714</v>
      </c>
      <c r="AV771" s="52">
        <v>1.5212905733700782E-4</v>
      </c>
      <c r="AW771" s="44">
        <v>446</v>
      </c>
      <c r="AX771" s="51">
        <v>501.80628129470699</v>
      </c>
      <c r="AY771" s="49">
        <v>815.04878519318402</v>
      </c>
      <c r="AZ771" s="49">
        <v>313.24250389847703</v>
      </c>
      <c r="BA771" s="42" t="s">
        <v>150</v>
      </c>
      <c r="BB771" s="50">
        <v>1230890.6520758756</v>
      </c>
      <c r="BC771" s="57">
        <v>1264332.2640059122</v>
      </c>
      <c r="BD771" s="42" t="s">
        <v>150</v>
      </c>
      <c r="BE771" s="46">
        <v>46.785388127853899</v>
      </c>
      <c r="BF771" s="46">
        <v>46.785388127853899</v>
      </c>
      <c r="BG771" s="42" t="s">
        <v>150</v>
      </c>
      <c r="BH771" s="52">
        <v>0.54577396056997896</v>
      </c>
      <c r="BI771" s="52">
        <v>0.54577396056997896</v>
      </c>
      <c r="BJ771" s="42" t="s">
        <v>150</v>
      </c>
      <c r="BK771" s="46">
        <v>751.62370775570696</v>
      </c>
      <c r="BL771" s="46">
        <v>952.59571841647596</v>
      </c>
      <c r="BM771" s="42" t="s">
        <v>152</v>
      </c>
      <c r="BN771" s="48">
        <v>2</v>
      </c>
      <c r="BO771" s="42" t="s">
        <v>161</v>
      </c>
      <c r="BP771" s="42" t="s">
        <v>152</v>
      </c>
      <c r="BQ771" s="46">
        <v>0</v>
      </c>
      <c r="BR771" s="46">
        <v>495</v>
      </c>
      <c r="BS771" s="46">
        <v>25435</v>
      </c>
      <c r="BT771" s="46">
        <v>8554</v>
      </c>
      <c r="BU771" s="46">
        <v>2.9734627075052606</v>
      </c>
      <c r="BV771" s="46">
        <v>17.280808080808082</v>
      </c>
      <c r="BW771" s="46">
        <v>49</v>
      </c>
      <c r="BX771" s="46">
        <v>967</v>
      </c>
      <c r="BY771" s="46">
        <v>1016</v>
      </c>
      <c r="BZ771" s="46">
        <v>0.11877484217909749</v>
      </c>
      <c r="CA771" s="46">
        <v>5.7283142389525374E-3</v>
      </c>
      <c r="CB771" s="46">
        <v>0.113046527940145</v>
      </c>
      <c r="CC771" s="46">
        <v>0.22048164601356091</v>
      </c>
      <c r="CD771" s="46">
        <v>0.1731353752630348</v>
      </c>
      <c r="CE771" s="46">
        <v>0</v>
      </c>
      <c r="CF771" s="46">
        <v>0.48749123217208312</v>
      </c>
      <c r="CG771" s="46">
        <v>0</v>
      </c>
      <c r="CH771" s="46">
        <v>1.1690437222352122E-4</v>
      </c>
      <c r="CI771" s="46">
        <v>3.7350108118734036</v>
      </c>
      <c r="CJ771" s="46">
        <v>1.061529388637704</v>
      </c>
      <c r="CK771">
        <v>253</v>
      </c>
      <c r="CL771">
        <v>262.12</v>
      </c>
      <c r="CM771">
        <f t="shared" si="84"/>
        <v>9.1200000000000045</v>
      </c>
      <c r="CN771">
        <v>8.86</v>
      </c>
      <c r="CO771">
        <v>9.4499999999999993</v>
      </c>
      <c r="CP771">
        <f t="shared" si="85"/>
        <v>0.58999999999999986</v>
      </c>
      <c r="CQ771">
        <v>423.28</v>
      </c>
      <c r="CR771">
        <v>751.62</v>
      </c>
      <c r="CS771">
        <f t="shared" si="86"/>
        <v>-328.34000000000003</v>
      </c>
      <c r="CT771" t="s">
        <v>150</v>
      </c>
      <c r="CU771">
        <v>177.57</v>
      </c>
      <c r="CV771">
        <v>65</v>
      </c>
      <c r="CW771" s="46">
        <v>1016</v>
      </c>
      <c r="CX771" s="46">
        <f t="shared" si="80"/>
        <v>11.770867430441898</v>
      </c>
      <c r="CY771" s="46">
        <v>9.1199999999999992</v>
      </c>
      <c r="CZ771" s="46">
        <f t="shared" si="81"/>
        <v>11.87748421790975</v>
      </c>
      <c r="DA771" s="46">
        <f t="shared" si="82"/>
        <v>209.99139332392863</v>
      </c>
      <c r="DB771" s="46">
        <v>1798181.5</v>
      </c>
      <c r="DC771" s="46">
        <f t="shared" si="83"/>
        <v>11.758398807911135</v>
      </c>
      <c r="DD771" s="46">
        <v>100688.58</v>
      </c>
      <c r="DE771" s="995">
        <v>1016</v>
      </c>
      <c r="DF771" s="995">
        <v>11.771000000000001</v>
      </c>
      <c r="DG771" s="995">
        <v>9.1</v>
      </c>
      <c r="DH771" s="995">
        <v>11.877000000000001</v>
      </c>
      <c r="DI771" s="995">
        <v>665.14200000000005</v>
      </c>
      <c r="DJ771" s="995">
        <v>5695685</v>
      </c>
      <c r="DK771" s="995">
        <v>37.747</v>
      </c>
      <c r="DL771" s="995">
        <v>323233.40000000002</v>
      </c>
      <c r="DM771" s="995">
        <v>1016</v>
      </c>
      <c r="DN771" s="995">
        <v>11.771000000000001</v>
      </c>
      <c r="DO771" s="995">
        <v>9.1</v>
      </c>
      <c r="DP771" s="995">
        <v>11.877000000000001</v>
      </c>
      <c r="DQ771" s="995">
        <v>665.14200000000005</v>
      </c>
      <c r="DR771" s="995">
        <v>5695685</v>
      </c>
      <c r="DS771" s="995">
        <v>37.747</v>
      </c>
      <c r="DT771" s="995">
        <v>323233.40000000002</v>
      </c>
    </row>
    <row r="772" spans="1:124">
      <c r="A772" s="42" t="s">
        <v>95</v>
      </c>
      <c r="B772" s="42" t="s">
        <v>1003</v>
      </c>
      <c r="C772" s="42" t="s">
        <v>1015</v>
      </c>
      <c r="D772" s="42">
        <v>507304</v>
      </c>
      <c r="E772" s="42" t="s">
        <v>1020</v>
      </c>
      <c r="F772" s="42" t="s">
        <v>149</v>
      </c>
      <c r="G772" s="42" t="s">
        <v>150</v>
      </c>
      <c r="H772" s="43" t="s">
        <v>150</v>
      </c>
      <c r="I772" s="44">
        <v>8</v>
      </c>
      <c r="J772" s="45">
        <v>194880.30239999999</v>
      </c>
      <c r="K772" s="46">
        <v>4440.653045</v>
      </c>
      <c r="L772" s="47">
        <v>199320.955445</v>
      </c>
      <c r="M772" s="48">
        <v>3585510</v>
      </c>
      <c r="N772" s="49">
        <v>2959760</v>
      </c>
      <c r="O772" s="49">
        <v>623841</v>
      </c>
      <c r="P772" s="49">
        <v>1909</v>
      </c>
      <c r="Q772" s="50">
        <v>8257.1388479262696</v>
      </c>
      <c r="R772" s="51">
        <v>4541.6334478935396</v>
      </c>
      <c r="S772" s="49">
        <v>7968.9330535749395</v>
      </c>
      <c r="T772" s="49">
        <v>946.60381926438197</v>
      </c>
      <c r="U772" s="49">
        <f>IFERROR(INDEX('Rentabilidad datos'!$N$2:$N$61,MATCH($C772,'Rentabilidad datos'!$C$2:$C$61,0)),"")</f>
        <v>13457.170320732861</v>
      </c>
      <c r="V772" s="50">
        <f>IFERROR(INDEX('Rentabilidad datos'!$O$2:$O$61,MATCH($C772,'Rentabilidad datos'!$C$2:$C$61,0)),"")</f>
        <v>1922.4529029618373</v>
      </c>
      <c r="W772" s="51">
        <f>IFERROR(INDEX('Rentabilidad datos'!$M$2:$M$61,MATCH($C772,'Rentabilidad datos'!$C$2:$C$61,0)),"")</f>
        <v>4093.0935254259307</v>
      </c>
      <c r="X772" s="52">
        <f>IFERROR(INDEX('Rentabilidad datos'!$P$2:$P$61,MATCH($C772,'Rentabilidad datos'!$C$2:$C$61,0)),"")</f>
        <v>0.46968213431228284</v>
      </c>
      <c r="Y772" s="43" t="s">
        <v>171</v>
      </c>
      <c r="Z772" s="53">
        <v>42.665898617511502</v>
      </c>
      <c r="AA772" s="43">
        <v>3</v>
      </c>
      <c r="AB772" s="54">
        <v>0.95616551062470889</v>
      </c>
      <c r="AC772" s="55">
        <v>4.3834489375291101E-2</v>
      </c>
      <c r="AD772" s="752" t="e">
        <f>_xlfn.XLOOKUP(Table1[[#This Row],[Ruta]],#REF!,#REF!)</f>
        <v>#REF!</v>
      </c>
      <c r="AE772" s="752" t="e">
        <f>_xlfn.XLOOKUP(Table1[[#This Row],[Ruta]],#REF!,#REF!)</f>
        <v>#REF!</v>
      </c>
      <c r="AF772" s="752" t="e">
        <f>_xlfn.XLOOKUP(Table1[[#This Row],[Ruta]],#REF!,#REF!)</f>
        <v>#REF!</v>
      </c>
      <c r="AG772" s="752" t="e">
        <f>_xlfn.XLOOKUP(Table1[[#This Row],[Ruta]],#REF!,#REF!)</f>
        <v>#REF!</v>
      </c>
      <c r="AH772" s="52">
        <v>0.82547810492789031</v>
      </c>
      <c r="AI772" s="52">
        <v>0.17398947430072709</v>
      </c>
      <c r="AJ772" s="55">
        <v>5.324207713825927E-4</v>
      </c>
      <c r="AK772" s="56">
        <v>18517</v>
      </c>
      <c r="AL772" s="44">
        <v>8537</v>
      </c>
      <c r="AM772" s="54">
        <v>0.46103580493600499</v>
      </c>
      <c r="AN772" s="55">
        <v>0.55502999868182601</v>
      </c>
      <c r="AO772" s="56">
        <v>1740.4904855913601</v>
      </c>
      <c r="AP772" s="48">
        <v>870.24524279568004</v>
      </c>
      <c r="AQ772" s="55">
        <v>0.50803290180891503</v>
      </c>
      <c r="AR772" s="51">
        <v>3583598.26</v>
      </c>
      <c r="AS772" s="49">
        <v>365305.06475997198</v>
      </c>
      <c r="AT772" s="55">
        <v>0.1019380628787257</v>
      </c>
      <c r="AU772" s="51">
        <v>256700.85631781825</v>
      </c>
      <c r="AV772" s="52">
        <v>1.1677564876637066E-3</v>
      </c>
      <c r="AW772" s="44">
        <v>273</v>
      </c>
      <c r="AX772" s="51">
        <v>419.772550076139</v>
      </c>
      <c r="AY772" s="49">
        <v>815.04878519318402</v>
      </c>
      <c r="AZ772" s="49">
        <v>395.27623511704502</v>
      </c>
      <c r="BA772" s="42" t="s">
        <v>150</v>
      </c>
      <c r="BB772" s="50">
        <v>1185625.7256628321</v>
      </c>
      <c r="BC772" s="57">
        <v>1442326.5819806503</v>
      </c>
      <c r="BD772" s="42" t="s">
        <v>150</v>
      </c>
      <c r="BE772" s="46">
        <v>42.665898617511502</v>
      </c>
      <c r="BF772" s="46">
        <v>46.785388127853899</v>
      </c>
      <c r="BG772" s="42" t="s">
        <v>152</v>
      </c>
      <c r="BH772" s="52">
        <v>0.46103580493600499</v>
      </c>
      <c r="BI772" s="52">
        <v>0.54577396056997896</v>
      </c>
      <c r="BJ772" s="42" t="s">
        <v>152</v>
      </c>
      <c r="BK772" s="46">
        <v>459.264874297235</v>
      </c>
      <c r="BL772" s="46">
        <v>952.59571841647596</v>
      </c>
      <c r="BM772" s="42" t="s">
        <v>152</v>
      </c>
      <c r="BN772" s="48">
        <v>0</v>
      </c>
      <c r="BO772" s="42" t="s">
        <v>155</v>
      </c>
      <c r="BP772" s="42" t="s">
        <v>152</v>
      </c>
      <c r="BQ772" s="46">
        <v>1568.2151270434399</v>
      </c>
      <c r="BR772" s="46">
        <v>861</v>
      </c>
      <c r="BS772" s="46">
        <v>19997</v>
      </c>
      <c r="BT772" s="46">
        <v>6700</v>
      </c>
      <c r="BU772" s="46">
        <v>2.9846268656716419</v>
      </c>
      <c r="BV772" s="46">
        <v>7.7816492450638792</v>
      </c>
      <c r="BW772" s="46">
        <v>70</v>
      </c>
      <c r="BX772" s="46">
        <v>3214</v>
      </c>
      <c r="BY772" s="46">
        <v>3284</v>
      </c>
      <c r="BZ772" s="46">
        <v>0.49014925373134327</v>
      </c>
      <c r="CA772" s="46">
        <v>1.0447761194029849E-2</v>
      </c>
      <c r="CB772" s="46">
        <v>0.47970149253731342</v>
      </c>
      <c r="CC772" s="46">
        <v>0.1817910447761194</v>
      </c>
      <c r="CD772" s="46">
        <v>0.14537313432835819</v>
      </c>
      <c r="CE772" s="46">
        <v>8.2537313432835824E-2</v>
      </c>
      <c r="CF772" s="46">
        <v>9.9850746268656712E-2</v>
      </c>
      <c r="CG772" s="46">
        <v>0</v>
      </c>
      <c r="CH772" s="46">
        <v>2.9850746268656722E-4</v>
      </c>
      <c r="CI772" s="46">
        <v>2.750412561884283</v>
      </c>
      <c r="CJ772" s="46">
        <v>1.1001650247537129</v>
      </c>
      <c r="CK772">
        <v>292</v>
      </c>
      <c r="CL772">
        <v>407.83</v>
      </c>
      <c r="CM772">
        <f t="shared" si="84"/>
        <v>115.82999999999998</v>
      </c>
      <c r="CN772">
        <v>11.74</v>
      </c>
      <c r="CO772">
        <v>9.4499999999999993</v>
      </c>
      <c r="CP772">
        <f t="shared" si="85"/>
        <v>-2.2900000000000009</v>
      </c>
      <c r="CQ772">
        <v>740.74</v>
      </c>
      <c r="CR772">
        <v>459.26</v>
      </c>
      <c r="CS772">
        <f t="shared" si="86"/>
        <v>281.48</v>
      </c>
      <c r="CT772" t="s">
        <v>150</v>
      </c>
      <c r="CU772">
        <v>124.27</v>
      </c>
      <c r="CV772">
        <v>225</v>
      </c>
      <c r="CW772" s="46">
        <v>3284</v>
      </c>
      <c r="CX772" s="46">
        <f t="shared" si="80"/>
        <v>47.286119402985079</v>
      </c>
      <c r="CY772" s="46">
        <v>115.83</v>
      </c>
      <c r="CZ772" s="46">
        <f t="shared" si="81"/>
        <v>49.014925373134325</v>
      </c>
      <c r="DA772" s="46">
        <f t="shared" si="82"/>
        <v>513.89019092318915</v>
      </c>
      <c r="DB772" s="46">
        <v>3502588.18</v>
      </c>
      <c r="DC772" s="46">
        <f t="shared" si="83"/>
        <v>28.42970995462035</v>
      </c>
      <c r="DD772" s="46">
        <v>193772.07</v>
      </c>
      <c r="DE772" s="995">
        <v>3284</v>
      </c>
      <c r="DF772" s="995">
        <v>47.286000000000001</v>
      </c>
      <c r="DG772" s="995">
        <v>115.8</v>
      </c>
      <c r="DH772" s="995">
        <v>49.015000000000001</v>
      </c>
      <c r="DI772" s="995">
        <v>921.20699999999999</v>
      </c>
      <c r="DJ772" s="995">
        <v>6278796</v>
      </c>
      <c r="DK772" s="995">
        <v>51.695</v>
      </c>
      <c r="DL772" s="995">
        <v>352344.3</v>
      </c>
      <c r="DM772" s="995">
        <v>3284</v>
      </c>
      <c r="DN772" s="995">
        <v>47.286000000000001</v>
      </c>
      <c r="DO772" s="995">
        <v>115.8</v>
      </c>
      <c r="DP772" s="995">
        <v>49.015000000000001</v>
      </c>
      <c r="DQ772" s="995">
        <v>921.20699999999999</v>
      </c>
      <c r="DR772" s="995">
        <v>6278796</v>
      </c>
      <c r="DS772" s="995">
        <v>51.695</v>
      </c>
      <c r="DT772" s="995">
        <v>352344.3</v>
      </c>
    </row>
    <row r="773" spans="1:124">
      <c r="A773" s="42" t="s">
        <v>95</v>
      </c>
      <c r="B773" s="42" t="s">
        <v>1003</v>
      </c>
      <c r="C773" s="42" t="s">
        <v>1015</v>
      </c>
      <c r="D773" s="42">
        <v>507305</v>
      </c>
      <c r="E773" s="42" t="s">
        <v>1021</v>
      </c>
      <c r="F773" s="42" t="s">
        <v>149</v>
      </c>
      <c r="G773" s="42" t="s">
        <v>150</v>
      </c>
      <c r="H773" s="43" t="s">
        <v>150</v>
      </c>
      <c r="I773" s="44">
        <v>8</v>
      </c>
      <c r="J773" s="45">
        <v>188423.7432</v>
      </c>
      <c r="K773" s="46">
        <v>5086.064179</v>
      </c>
      <c r="L773" s="47">
        <v>193509.80737900001</v>
      </c>
      <c r="M773" s="48">
        <v>3474131</v>
      </c>
      <c r="N773" s="49">
        <v>2855889</v>
      </c>
      <c r="O773" s="49">
        <v>614480</v>
      </c>
      <c r="P773" s="49">
        <v>3762</v>
      </c>
      <c r="Q773" s="50">
        <v>8014.7129792147798</v>
      </c>
      <c r="R773" s="51">
        <v>4541.6334478935396</v>
      </c>
      <c r="S773" s="49">
        <v>7968.9330535749395</v>
      </c>
      <c r="T773" s="49">
        <v>946.60381926438197</v>
      </c>
      <c r="U773" s="49">
        <f>IFERROR(INDEX('Rentabilidad datos'!$N$2:$N$61,MATCH($C773,'Rentabilidad datos'!$C$2:$C$61,0)),"")</f>
        <v>13457.170320732861</v>
      </c>
      <c r="V773" s="50">
        <f>IFERROR(INDEX('Rentabilidad datos'!$O$2:$O$61,MATCH($C773,'Rentabilidad datos'!$C$2:$C$61,0)),"")</f>
        <v>1922.4529029618373</v>
      </c>
      <c r="W773" s="51">
        <f>IFERROR(INDEX('Rentabilidad datos'!$M$2:$M$61,MATCH($C773,'Rentabilidad datos'!$C$2:$C$61,0)),"")</f>
        <v>4093.0935254259307</v>
      </c>
      <c r="X773" s="52">
        <f>IFERROR(INDEX('Rentabilidad datos'!$P$2:$P$61,MATCH($C773,'Rentabilidad datos'!$C$2:$C$61,0)),"")</f>
        <v>0.46968213431228284</v>
      </c>
      <c r="Y773" s="43" t="s">
        <v>171</v>
      </c>
      <c r="Z773" s="53">
        <v>38.399538106235603</v>
      </c>
      <c r="AA773" s="43">
        <v>3</v>
      </c>
      <c r="AB773" s="54">
        <v>0.91688597810502825</v>
      </c>
      <c r="AC773" s="55">
        <v>8.3114021894971718E-2</v>
      </c>
      <c r="AD773" s="752" t="e">
        <f>_xlfn.XLOOKUP(Table1[[#This Row],[Ruta]],#REF!,#REF!)</f>
        <v>#REF!</v>
      </c>
      <c r="AE773" s="752" t="e">
        <f>_xlfn.XLOOKUP(Table1[[#This Row],[Ruta]],#REF!,#REF!)</f>
        <v>#REF!</v>
      </c>
      <c r="AF773" s="752" t="e">
        <f>_xlfn.XLOOKUP(Table1[[#This Row],[Ruta]],#REF!,#REF!)</f>
        <v>#REF!</v>
      </c>
      <c r="AG773" s="752" t="e">
        <f>_xlfn.XLOOKUP(Table1[[#This Row],[Ruta]],#REF!,#REF!)</f>
        <v>#REF!</v>
      </c>
      <c r="AH773" s="52">
        <v>0.82204413132377563</v>
      </c>
      <c r="AI773" s="52">
        <v>0.17687300795508287</v>
      </c>
      <c r="AJ773" s="55">
        <v>1.0828607211414883E-3</v>
      </c>
      <c r="AK773" s="56">
        <v>16627</v>
      </c>
      <c r="AL773" s="44">
        <v>9285</v>
      </c>
      <c r="AM773" s="54">
        <v>0.558429061165574</v>
      </c>
      <c r="AN773" s="55">
        <v>0.55502999868182601</v>
      </c>
      <c r="AO773" s="56">
        <v>0</v>
      </c>
      <c r="AP773" s="48">
        <v>0</v>
      </c>
      <c r="AQ773" s="55">
        <v>0.55842906116557411</v>
      </c>
      <c r="AR773" s="51">
        <v>3470370.72</v>
      </c>
      <c r="AS773" s="49">
        <v>0</v>
      </c>
      <c r="AT773" s="55">
        <v>0</v>
      </c>
      <c r="AU773" s="51">
        <v>0</v>
      </c>
      <c r="AV773" s="52">
        <v>0</v>
      </c>
      <c r="AW773" s="44">
        <v>490</v>
      </c>
      <c r="AX773" s="51">
        <v>373.76098222940198</v>
      </c>
      <c r="AY773" s="49">
        <v>815.04878519318402</v>
      </c>
      <c r="AZ773" s="49">
        <v>441.28780296378204</v>
      </c>
      <c r="BA773" s="42" t="s">
        <v>150</v>
      </c>
      <c r="BB773" s="50">
        <v>1439612.0069390091</v>
      </c>
      <c r="BC773" s="57">
        <v>1439612.0069390091</v>
      </c>
      <c r="BD773" s="42" t="s">
        <v>150</v>
      </c>
      <c r="BE773" s="46">
        <v>38.399538106235603</v>
      </c>
      <c r="BF773" s="46">
        <v>46.785388127853899</v>
      </c>
      <c r="BG773" s="42" t="s">
        <v>152</v>
      </c>
      <c r="BH773" s="52">
        <v>0.558429061165574</v>
      </c>
      <c r="BI773" s="52">
        <v>0.54577396056997896</v>
      </c>
      <c r="BJ773" s="42" t="s">
        <v>150</v>
      </c>
      <c r="BK773" s="46">
        <v>446.90486692609699</v>
      </c>
      <c r="BL773" s="46">
        <v>952.59571841647596</v>
      </c>
      <c r="BM773" s="42" t="s">
        <v>152</v>
      </c>
      <c r="BN773" s="48">
        <v>1</v>
      </c>
      <c r="BO773" s="42" t="s">
        <v>155</v>
      </c>
      <c r="BP773" s="42" t="s">
        <v>152</v>
      </c>
      <c r="BQ773" s="46">
        <v>630.21744111659802</v>
      </c>
      <c r="BR773" s="46">
        <v>2202</v>
      </c>
      <c r="BS773" s="46">
        <v>112826</v>
      </c>
      <c r="BT773" s="46">
        <v>32767</v>
      </c>
      <c r="BU773" s="46">
        <v>3.4432813501388591</v>
      </c>
      <c r="BV773" s="46">
        <v>14.880563124432335</v>
      </c>
      <c r="BW773" s="46">
        <v>0</v>
      </c>
      <c r="BX773" s="46">
        <v>2480</v>
      </c>
      <c r="BY773" s="46">
        <v>2480</v>
      </c>
      <c r="BZ773" s="46">
        <v>7.5685903500473037E-2</v>
      </c>
      <c r="CA773" s="46">
        <v>0</v>
      </c>
      <c r="CB773" s="46">
        <v>7.5685903500473037E-2</v>
      </c>
      <c r="CC773" s="46">
        <v>0.34772789696951201</v>
      </c>
      <c r="CD773" s="46">
        <v>7.6265755180516981E-2</v>
      </c>
      <c r="CE773" s="46">
        <v>2.2980437635425881E-2</v>
      </c>
      <c r="CF773" s="46">
        <v>0.47108371227149259</v>
      </c>
      <c r="CG773" s="46">
        <v>6.1647389141514328E-3</v>
      </c>
      <c r="CH773" s="46">
        <v>9.1555528427991577E-5</v>
      </c>
      <c r="CI773" s="46">
        <v>5.1938382996826968</v>
      </c>
      <c r="CJ773" s="46">
        <v>0.35452821158243669</v>
      </c>
      <c r="CK773">
        <v>302</v>
      </c>
      <c r="CL773">
        <v>903.6</v>
      </c>
      <c r="CM773">
        <f t="shared" si="84"/>
        <v>601.6</v>
      </c>
      <c r="CN773">
        <v>11.99</v>
      </c>
      <c r="CO773">
        <v>9.4499999999999993</v>
      </c>
      <c r="CP773">
        <f t="shared" si="85"/>
        <v>-2.5400000000000009</v>
      </c>
      <c r="CQ773">
        <v>423.28</v>
      </c>
      <c r="CR773">
        <v>446.9</v>
      </c>
      <c r="CS773">
        <f t="shared" si="86"/>
        <v>-23.620000000000005</v>
      </c>
      <c r="CT773" t="s">
        <v>150</v>
      </c>
      <c r="CU773">
        <v>126.91</v>
      </c>
      <c r="CV773">
        <v>72</v>
      </c>
      <c r="CW773" s="46">
        <v>2480</v>
      </c>
      <c r="CX773" s="46">
        <f t="shared" si="80"/>
        <v>5.7325968199713122</v>
      </c>
      <c r="CY773" s="46">
        <v>601.6</v>
      </c>
      <c r="CZ773" s="46">
        <f t="shared" si="81"/>
        <v>7.5685903500473035</v>
      </c>
      <c r="DA773" s="46">
        <f t="shared" si="82"/>
        <v>267.57055045761587</v>
      </c>
      <c r="DB773" s="46">
        <v>8928454.6699999999</v>
      </c>
      <c r="DC773" s="46">
        <f t="shared" si="83"/>
        <v>14.926266010560827</v>
      </c>
      <c r="DD773" s="46">
        <v>498068.6</v>
      </c>
      <c r="DE773" s="995">
        <v>2480</v>
      </c>
      <c r="DF773" s="995">
        <v>5.7329999999999997</v>
      </c>
      <c r="DG773" s="995">
        <v>601.6</v>
      </c>
      <c r="DH773" s="995">
        <v>7.569</v>
      </c>
      <c r="DI773" s="995">
        <v>332.80700000000002</v>
      </c>
      <c r="DJ773" s="995">
        <v>11105319</v>
      </c>
      <c r="DK773" s="995">
        <v>18.693999999999999</v>
      </c>
      <c r="DL773" s="995">
        <v>623784.30000000005</v>
      </c>
      <c r="DM773" s="995">
        <v>2480</v>
      </c>
      <c r="DN773" s="995">
        <v>5.7329999999999997</v>
      </c>
      <c r="DO773" s="995">
        <v>601.6</v>
      </c>
      <c r="DP773" s="995">
        <v>7.569</v>
      </c>
      <c r="DQ773" s="995">
        <v>332.80700000000002</v>
      </c>
      <c r="DR773" s="995">
        <v>11105319</v>
      </c>
      <c r="DS773" s="995">
        <v>18.693999999999999</v>
      </c>
      <c r="DT773" s="995">
        <v>623784.30000000005</v>
      </c>
    </row>
    <row r="774" spans="1:124">
      <c r="A774" s="42" t="s">
        <v>95</v>
      </c>
      <c r="B774" s="42" t="s">
        <v>1003</v>
      </c>
      <c r="C774" s="42" t="s">
        <v>1015</v>
      </c>
      <c r="D774" s="42">
        <v>507306</v>
      </c>
      <c r="E774" s="42" t="s">
        <v>1022</v>
      </c>
      <c r="F774" s="42" t="s">
        <v>149</v>
      </c>
      <c r="G774" s="42" t="s">
        <v>150</v>
      </c>
      <c r="H774" s="43" t="s">
        <v>150</v>
      </c>
      <c r="I774" s="44">
        <v>8</v>
      </c>
      <c r="J774" s="45">
        <v>465960.68400000001</v>
      </c>
      <c r="K774" s="46">
        <v>7201.2031870000001</v>
      </c>
      <c r="L774" s="47">
        <v>473161.88718700001</v>
      </c>
      <c r="M774" s="48">
        <v>8114701</v>
      </c>
      <c r="N774" s="49">
        <v>7179882</v>
      </c>
      <c r="O774" s="49">
        <v>934310</v>
      </c>
      <c r="P774" s="49">
        <v>509</v>
      </c>
      <c r="Q774" s="50">
        <v>18567.9390846682</v>
      </c>
      <c r="R774" s="51">
        <v>4541.6334478935396</v>
      </c>
      <c r="S774" s="49">
        <v>7968.9330535749395</v>
      </c>
      <c r="T774" s="49">
        <v>946.60381926438197</v>
      </c>
      <c r="U774" s="49">
        <f>IFERROR(INDEX('Rentabilidad datos'!$N$2:$N$61,MATCH($C774,'Rentabilidad datos'!$C$2:$C$61,0)),"")</f>
        <v>13457.170320732861</v>
      </c>
      <c r="V774" s="50">
        <f>IFERROR(INDEX('Rentabilidad datos'!$O$2:$O$61,MATCH($C774,'Rentabilidad datos'!$C$2:$C$61,0)),"")</f>
        <v>1922.4529029618373</v>
      </c>
      <c r="W774" s="51">
        <f>IFERROR(INDEX('Rentabilidad datos'!$M$2:$M$61,MATCH($C774,'Rentabilidad datos'!$C$2:$C$61,0)),"")</f>
        <v>4093.0935254259307</v>
      </c>
      <c r="X774" s="52">
        <f>IFERROR(INDEX('Rentabilidad datos'!$P$2:$P$61,MATCH($C774,'Rentabilidad datos'!$C$2:$C$61,0)),"")</f>
        <v>0.46968213431228284</v>
      </c>
      <c r="Y774" s="43" t="s">
        <v>171</v>
      </c>
      <c r="Z774" s="53">
        <v>52.075514874141902</v>
      </c>
      <c r="AA774" s="43">
        <v>3</v>
      </c>
      <c r="AB774" s="54">
        <v>0.99458883327925451</v>
      </c>
      <c r="AC774" s="55">
        <v>5.4111667207454714E-3</v>
      </c>
      <c r="AD774" s="752" t="e">
        <f>_xlfn.XLOOKUP(Table1[[#This Row],[Ruta]],#REF!,#REF!)</f>
        <v>#REF!</v>
      </c>
      <c r="AE774" s="752" t="e">
        <f>_xlfn.XLOOKUP(Table1[[#This Row],[Ruta]],#REF!,#REF!)</f>
        <v>#REF!</v>
      </c>
      <c r="AF774" s="752" t="e">
        <f>_xlfn.XLOOKUP(Table1[[#This Row],[Ruta]],#REF!,#REF!)</f>
        <v>#REF!</v>
      </c>
      <c r="AG774" s="752" t="e">
        <f>_xlfn.XLOOKUP(Table1[[#This Row],[Ruta]],#REF!,#REF!)</f>
        <v>#REF!</v>
      </c>
      <c r="AH774" s="52">
        <v>0.88479932902025593</v>
      </c>
      <c r="AI774" s="52">
        <v>0.11513794531677754</v>
      </c>
      <c r="AJ774" s="55">
        <v>6.2725662966509795E-5</v>
      </c>
      <c r="AK774" s="56">
        <v>22757</v>
      </c>
      <c r="AL774" s="44">
        <v>11432</v>
      </c>
      <c r="AM774" s="54">
        <v>0.50235092499011302</v>
      </c>
      <c r="AN774" s="55">
        <v>0.55502999868182601</v>
      </c>
      <c r="AO774" s="56">
        <v>1198.8176800023</v>
      </c>
      <c r="AP774" s="48">
        <v>599.40884000115</v>
      </c>
      <c r="AQ774" s="55">
        <v>0.52869046183596913</v>
      </c>
      <c r="AR774" s="51">
        <v>8114189.3799999999</v>
      </c>
      <c r="AS774" s="49">
        <v>425447.58955698501</v>
      </c>
      <c r="AT774" s="55">
        <v>5.2432543736979552E-2</v>
      </c>
      <c r="AU774" s="51">
        <v>298963.17104004364</v>
      </c>
      <c r="AV774" s="52">
        <v>1.3600117567285743E-3</v>
      </c>
      <c r="AW774" s="44">
        <v>242</v>
      </c>
      <c r="AX774" s="51">
        <v>709.77863715885201</v>
      </c>
      <c r="AY774" s="49">
        <v>815.04878519318402</v>
      </c>
      <c r="AZ774" s="49">
        <v>105.27014803433201</v>
      </c>
      <c r="BA774" s="42" t="s">
        <v>150</v>
      </c>
      <c r="BB774" s="50">
        <v>422833.19784514297</v>
      </c>
      <c r="BC774" s="57">
        <v>721796.36888518662</v>
      </c>
      <c r="BD774" s="42" t="s">
        <v>150</v>
      </c>
      <c r="BE774" s="46">
        <v>52.075514874141902</v>
      </c>
      <c r="BF774" s="46">
        <v>46.785388127853899</v>
      </c>
      <c r="BG774" s="42" t="s">
        <v>150</v>
      </c>
      <c r="BH774" s="52">
        <v>0.50235092499011302</v>
      </c>
      <c r="BI774" s="52">
        <v>0.54577396056997896</v>
      </c>
      <c r="BJ774" s="42" t="s">
        <v>152</v>
      </c>
      <c r="BK774" s="46">
        <v>1082.75031392906</v>
      </c>
      <c r="BL774" s="46">
        <v>952.59571841647596</v>
      </c>
      <c r="BM774" s="42" t="s">
        <v>150</v>
      </c>
      <c r="BN774" s="48">
        <v>2</v>
      </c>
      <c r="BO774" s="42" t="s">
        <v>161</v>
      </c>
      <c r="BP774" s="42" t="s">
        <v>152</v>
      </c>
      <c r="BQ774" s="46">
        <v>0</v>
      </c>
      <c r="BR774" s="46">
        <v>433</v>
      </c>
      <c r="BS774" s="46">
        <v>9500</v>
      </c>
      <c r="BT774" s="46">
        <v>3155</v>
      </c>
      <c r="BU774" s="46">
        <v>3.0110935023771792</v>
      </c>
      <c r="BV774" s="46">
        <v>7.2863741339491916</v>
      </c>
      <c r="BW774" s="46">
        <v>114</v>
      </c>
      <c r="BX774" s="46">
        <v>2983</v>
      </c>
      <c r="BY774" s="46">
        <v>3097</v>
      </c>
      <c r="BZ774" s="46">
        <v>0.98161648177496041</v>
      </c>
      <c r="CA774" s="46">
        <v>3.613312202852615E-2</v>
      </c>
      <c r="CB774" s="46">
        <v>0.94548335974643427</v>
      </c>
      <c r="CC774" s="46">
        <v>8.5578446909667198E-3</v>
      </c>
      <c r="CD774" s="46">
        <v>1.5847860538827259E-3</v>
      </c>
      <c r="CE774" s="46">
        <v>8.2408874801901746E-3</v>
      </c>
      <c r="CF774" s="46">
        <v>0</v>
      </c>
      <c r="CG774" s="46">
        <v>0</v>
      </c>
      <c r="CH774" s="46">
        <v>0</v>
      </c>
      <c r="CI774" s="46">
        <v>0.94736842105263153</v>
      </c>
      <c r="CJ774" s="46">
        <v>0.63157894736842102</v>
      </c>
      <c r="CK774">
        <v>215</v>
      </c>
      <c r="CL774">
        <v>284.5</v>
      </c>
      <c r="CM774">
        <f t="shared" si="84"/>
        <v>69.5</v>
      </c>
      <c r="CN774">
        <v>7.47</v>
      </c>
      <c r="CO774">
        <v>9.4499999999999993</v>
      </c>
      <c r="CP774">
        <f t="shared" si="85"/>
        <v>1.9799999999999995</v>
      </c>
      <c r="CQ774">
        <v>564.37</v>
      </c>
      <c r="CR774">
        <v>1082.75</v>
      </c>
      <c r="CS774">
        <f t="shared" si="86"/>
        <v>-518.38</v>
      </c>
      <c r="CT774" t="s">
        <v>150</v>
      </c>
      <c r="CU774">
        <v>191.85</v>
      </c>
      <c r="CV774">
        <v>179</v>
      </c>
      <c r="CW774" s="46">
        <v>3097</v>
      </c>
      <c r="CX774" s="46">
        <f t="shared" ref="CX774:CX837" si="87">((CW774-CY774)/BT774)*100</f>
        <v>95.95879556259905</v>
      </c>
      <c r="CY774" s="46">
        <v>69.5</v>
      </c>
      <c r="CZ774" s="46">
        <f t="shared" ref="CZ774:CZ794" si="88">((CW774)/BT774)*100</f>
        <v>98.161648177496048</v>
      </c>
      <c r="DA774" s="46">
        <f t="shared" ref="DA774:DA837" si="89">DB774/(CY774+BT774)</f>
        <v>552.56918281904177</v>
      </c>
      <c r="DB774" s="46">
        <v>1781759.33</v>
      </c>
      <c r="DC774" s="46">
        <f t="shared" ref="DC774:DC837" si="90">DD774/(CY774+BT774)</f>
        <v>31.807601178477285</v>
      </c>
      <c r="DD774" s="46">
        <v>102563.61</v>
      </c>
      <c r="DE774" s="995">
        <v>3097</v>
      </c>
      <c r="DF774" s="995">
        <v>95.959000000000003</v>
      </c>
      <c r="DG774" s="995">
        <v>69.5</v>
      </c>
      <c r="DH774" s="995">
        <v>98.162000000000006</v>
      </c>
      <c r="DI774" s="995">
        <v>1966.057</v>
      </c>
      <c r="DJ774" s="995">
        <v>6339561</v>
      </c>
      <c r="DK774" s="995">
        <v>112.586</v>
      </c>
      <c r="DL774" s="995">
        <v>363032.8</v>
      </c>
      <c r="DM774" s="995">
        <v>3097</v>
      </c>
      <c r="DN774" s="995">
        <v>95.959000000000003</v>
      </c>
      <c r="DO774" s="995">
        <v>69.5</v>
      </c>
      <c r="DP774" s="995">
        <v>98.162000000000006</v>
      </c>
      <c r="DQ774" s="995">
        <v>1966.057</v>
      </c>
      <c r="DR774" s="995">
        <v>6339561</v>
      </c>
      <c r="DS774" s="995">
        <v>112.586</v>
      </c>
      <c r="DT774" s="995">
        <v>363032.8</v>
      </c>
    </row>
    <row r="775" spans="1:124">
      <c r="A775" s="42" t="s">
        <v>95</v>
      </c>
      <c r="B775" s="42" t="s">
        <v>1003</v>
      </c>
      <c r="C775" s="42" t="s">
        <v>1015</v>
      </c>
      <c r="D775" s="42">
        <v>507307</v>
      </c>
      <c r="E775" s="42" t="s">
        <v>1023</v>
      </c>
      <c r="F775" s="42" t="s">
        <v>149</v>
      </c>
      <c r="G775" s="42" t="s">
        <v>150</v>
      </c>
      <c r="H775" s="43" t="s">
        <v>150</v>
      </c>
      <c r="I775" s="44">
        <v>8</v>
      </c>
      <c r="J775" s="45">
        <v>327.58319999999998</v>
      </c>
      <c r="K775" s="46">
        <v>675.99959100000001</v>
      </c>
      <c r="L775" s="47">
        <v>1003.582791</v>
      </c>
      <c r="M775" s="48">
        <v>77721</v>
      </c>
      <c r="N775" s="49">
        <v>5014</v>
      </c>
      <c r="O775" s="49">
        <v>72707</v>
      </c>
      <c r="P775" s="49">
        <v>0</v>
      </c>
      <c r="Q775" s="50">
        <v>2680.0255172413799</v>
      </c>
      <c r="R775" s="51">
        <v>4541.6334478935396</v>
      </c>
      <c r="S775" s="49">
        <v>7968.9330535749395</v>
      </c>
      <c r="T775" s="49">
        <v>946.60381926438197</v>
      </c>
      <c r="U775" s="49">
        <f>IFERROR(INDEX('Rentabilidad datos'!$N$2:$N$61,MATCH($C775,'Rentabilidad datos'!$C$2:$C$61,0)),"")</f>
        <v>13457.170320732861</v>
      </c>
      <c r="V775" s="50">
        <f>IFERROR(INDEX('Rentabilidad datos'!$O$2:$O$61,MATCH($C775,'Rentabilidad datos'!$C$2:$C$61,0)),"")</f>
        <v>1922.4529029618373</v>
      </c>
      <c r="W775" s="51">
        <f>IFERROR(INDEX('Rentabilidad datos'!$M$2:$M$61,MATCH($C775,'Rentabilidad datos'!$C$2:$C$61,0)),"")</f>
        <v>4093.0935254259307</v>
      </c>
      <c r="X775" s="52">
        <f>IFERROR(INDEX('Rentabilidad datos'!$P$2:$P$61,MATCH($C775,'Rentabilidad datos'!$C$2:$C$61,0)),"")</f>
        <v>0.46968213431228284</v>
      </c>
      <c r="Y775" s="43" t="s">
        <v>171</v>
      </c>
      <c r="Z775" s="53">
        <v>4.6315789473684204</v>
      </c>
      <c r="AA775" s="43">
        <v>3</v>
      </c>
      <c r="AB775" s="54">
        <v>1</v>
      </c>
      <c r="AC775" s="55">
        <v>0</v>
      </c>
      <c r="AD775" s="752" t="e">
        <f>_xlfn.XLOOKUP(Table1[[#This Row],[Ruta]],#REF!,#REF!)</f>
        <v>#REF!</v>
      </c>
      <c r="AE775" s="752" t="e">
        <f>_xlfn.XLOOKUP(Table1[[#This Row],[Ruta]],#REF!,#REF!)</f>
        <v>#REF!</v>
      </c>
      <c r="AF775" s="752" t="e">
        <f>_xlfn.XLOOKUP(Table1[[#This Row],[Ruta]],#REF!,#REF!)</f>
        <v>#REF!</v>
      </c>
      <c r="AG775" s="752" t="e">
        <f>_xlfn.XLOOKUP(Table1[[#This Row],[Ruta]],#REF!,#REF!)</f>
        <v>#REF!</v>
      </c>
      <c r="AH775" s="52">
        <v>6.4512808636018576E-2</v>
      </c>
      <c r="AI775" s="52">
        <v>0.9354871913639814</v>
      </c>
      <c r="AJ775" s="55">
        <v>0</v>
      </c>
      <c r="AK775" s="56">
        <v>88</v>
      </c>
      <c r="AL775" s="44">
        <v>21</v>
      </c>
      <c r="AM775" s="54">
        <v>0.13636363636363599</v>
      </c>
      <c r="AN775" s="55">
        <v>0.55502999868182601</v>
      </c>
      <c r="AO775" s="56">
        <v>36.842639884000597</v>
      </c>
      <c r="AP775" s="48">
        <v>18.421319942000299</v>
      </c>
      <c r="AQ775" s="55">
        <v>0.44796954479545792</v>
      </c>
      <c r="AR775" s="51">
        <v>77720.740000000005</v>
      </c>
      <c r="AS775" s="49">
        <v>68177.077031858003</v>
      </c>
      <c r="AT775" s="55">
        <v>0.87720571152382232</v>
      </c>
      <c r="AU775" s="51">
        <v>47908.216292656994</v>
      </c>
      <c r="AV775" s="52">
        <v>2.1793900959520487E-4</v>
      </c>
      <c r="AW775" s="44">
        <v>435</v>
      </c>
      <c r="AX775" s="51">
        <v>3700.9876190476198</v>
      </c>
      <c r="AY775" s="49">
        <v>815.04878519318402</v>
      </c>
      <c r="AZ775" s="49">
        <v>0</v>
      </c>
      <c r="BA775" s="42" t="s">
        <v>152</v>
      </c>
      <c r="BB775" s="50">
        <v>0</v>
      </c>
      <c r="BC775" s="57">
        <v>47908.216292656994</v>
      </c>
      <c r="BD775" s="42" t="s">
        <v>150</v>
      </c>
      <c r="BE775" s="46">
        <v>4.6315789473684204</v>
      </c>
      <c r="BF775" s="46">
        <v>46.785388127853899</v>
      </c>
      <c r="BG775" s="42" t="s">
        <v>152</v>
      </c>
      <c r="BH775" s="52">
        <v>0.13636363636363599</v>
      </c>
      <c r="BI775" s="52">
        <v>0.54577396056997896</v>
      </c>
      <c r="BJ775" s="42" t="s">
        <v>152</v>
      </c>
      <c r="BK775" s="46">
        <v>34.606303137931</v>
      </c>
      <c r="BL775" s="46">
        <v>952.59571841647596</v>
      </c>
      <c r="BM775" s="42" t="s">
        <v>152</v>
      </c>
      <c r="BN775" s="48">
        <v>0</v>
      </c>
      <c r="BO775" s="42" t="s">
        <v>155</v>
      </c>
      <c r="BP775" s="42" t="s">
        <v>152</v>
      </c>
      <c r="BQ775" s="46">
        <v>92.577606873542194</v>
      </c>
      <c r="BR775" s="46" t="e">
        <v>#N/A</v>
      </c>
      <c r="BS775" s="46" t="e">
        <v>#N/A</v>
      </c>
      <c r="BT775" s="46" t="e">
        <v>#N/A</v>
      </c>
      <c r="BU775" s="46" t="e">
        <v>#N/A</v>
      </c>
      <c r="BV775" s="46" t="e">
        <v>#N/A</v>
      </c>
      <c r="BW775" s="46" t="e">
        <v>#N/A</v>
      </c>
      <c r="BX775" s="46" t="e">
        <v>#N/A</v>
      </c>
      <c r="BY775" s="46" t="e">
        <v>#N/A</v>
      </c>
      <c r="BZ775" s="46" t="e">
        <v>#N/A</v>
      </c>
      <c r="CA775" s="46" t="e">
        <v>#N/A</v>
      </c>
      <c r="CB775" s="46" t="e">
        <v>#N/A</v>
      </c>
      <c r="CC775" s="46" t="e">
        <v>#N/A</v>
      </c>
      <c r="CD775" s="46" t="e">
        <v>#N/A</v>
      </c>
      <c r="CE775" s="46" t="e">
        <v>#N/A</v>
      </c>
      <c r="CF775" s="46" t="e">
        <v>#N/A</v>
      </c>
      <c r="CG775" s="46" t="e">
        <v>#N/A</v>
      </c>
      <c r="CH775" s="46" t="e">
        <v>#N/A</v>
      </c>
      <c r="CI775" s="46" t="e">
        <v>#N/A</v>
      </c>
      <c r="CJ775" s="46" t="e">
        <v>#N/A</v>
      </c>
      <c r="CM775">
        <f t="shared" si="84"/>
        <v>0</v>
      </c>
      <c r="CP775">
        <f t="shared" si="85"/>
        <v>0</v>
      </c>
      <c r="CS775">
        <f t="shared" si="86"/>
        <v>0</v>
      </c>
      <c r="CW775" s="46"/>
      <c r="CX775" s="46" t="e">
        <f t="shared" si="87"/>
        <v>#N/A</v>
      </c>
      <c r="CY775" s="46"/>
      <c r="CZ775" s="46" t="e">
        <f t="shared" si="88"/>
        <v>#N/A</v>
      </c>
      <c r="DA775" s="46" t="e">
        <f t="shared" si="89"/>
        <v>#N/A</v>
      </c>
      <c r="DB775" s="46"/>
      <c r="DC775" s="46" t="e">
        <f t="shared" si="90"/>
        <v>#N/A</v>
      </c>
      <c r="DD775" s="46"/>
      <c r="DE775" s="995" t="s">
        <v>194</v>
      </c>
      <c r="DF775" s="995" t="s">
        <v>194</v>
      </c>
      <c r="DG775" s="995" t="s">
        <v>194</v>
      </c>
      <c r="DH775" s="995" t="s">
        <v>194</v>
      </c>
      <c r="DI775" s="995" t="s">
        <v>194</v>
      </c>
      <c r="DJ775" s="995" t="s">
        <v>194</v>
      </c>
      <c r="DK775" s="995" t="s">
        <v>194</v>
      </c>
      <c r="DL775" s="995" t="s">
        <v>194</v>
      </c>
      <c r="DM775" s="995" t="s">
        <v>194</v>
      </c>
      <c r="DN775" s="995" t="s">
        <v>194</v>
      </c>
      <c r="DO775" s="995" t="s">
        <v>194</v>
      </c>
      <c r="DP775" s="995" t="s">
        <v>194</v>
      </c>
      <c r="DQ775" s="995" t="s">
        <v>194</v>
      </c>
      <c r="DR775" s="995" t="s">
        <v>194</v>
      </c>
      <c r="DS775" s="995" t="s">
        <v>194</v>
      </c>
      <c r="DT775" s="995" t="s">
        <v>194</v>
      </c>
    </row>
    <row r="776" spans="1:124">
      <c r="A776" s="42" t="s">
        <v>95</v>
      </c>
      <c r="B776" s="42" t="s">
        <v>320</v>
      </c>
      <c r="C776" s="42" t="s">
        <v>1024</v>
      </c>
      <c r="D776" s="42">
        <v>508302</v>
      </c>
      <c r="E776" s="42" t="s">
        <v>1025</v>
      </c>
      <c r="F776" s="42" t="s">
        <v>193</v>
      </c>
      <c r="G776" s="42" t="s">
        <v>150</v>
      </c>
      <c r="H776" s="43" t="s">
        <v>152</v>
      </c>
      <c r="I776" s="44">
        <v>1</v>
      </c>
      <c r="J776" s="45">
        <v>0</v>
      </c>
      <c r="K776" s="46">
        <v>0.84540000000000004</v>
      </c>
      <c r="L776" s="47">
        <v>0.84540000000000004</v>
      </c>
      <c r="M776" s="48">
        <v>100</v>
      </c>
      <c r="N776" s="49">
        <v>0</v>
      </c>
      <c r="O776" s="49">
        <v>100</v>
      </c>
      <c r="P776" s="49">
        <v>0</v>
      </c>
      <c r="Q776" s="50">
        <v>0</v>
      </c>
      <c r="R776" s="51" t="s">
        <v>194</v>
      </c>
      <c r="S776" s="49" t="s">
        <v>194</v>
      </c>
      <c r="T776" s="49" t="s">
        <v>194</v>
      </c>
      <c r="U776" s="49" t="str">
        <f>IFERROR(INDEX('Rentabilidad datos'!$N$2:$N$61,MATCH($C776,'Rentabilidad datos'!$C$2:$C$61,0)),"")</f>
        <v/>
      </c>
      <c r="V776" s="50" t="str">
        <f>IFERROR(INDEX('Rentabilidad datos'!$O$2:$O$61,MATCH($C776,'Rentabilidad datos'!$C$2:$C$61,0)),"")</f>
        <v/>
      </c>
      <c r="W776" s="51" t="str">
        <f>IFERROR(INDEX('Rentabilidad datos'!$M$2:$M$61,MATCH($C776,'Rentabilidad datos'!$C$2:$C$61,0)),"")</f>
        <v/>
      </c>
      <c r="X776" s="52" t="str">
        <f>IFERROR(INDEX('Rentabilidad datos'!$P$2:$P$61,MATCH($C776,'Rentabilidad datos'!$C$2:$C$61,0)),"")</f>
        <v/>
      </c>
      <c r="Y776" s="43">
        <v>0</v>
      </c>
      <c r="Z776" s="53">
        <v>0</v>
      </c>
      <c r="AA776" s="43">
        <v>1</v>
      </c>
      <c r="AB776" s="54">
        <v>1</v>
      </c>
      <c r="AC776" s="55">
        <v>0</v>
      </c>
      <c r="AD776" s="752" t="e">
        <f>_xlfn.XLOOKUP(Table1[[#This Row],[Ruta]],#REF!,#REF!)</f>
        <v>#REF!</v>
      </c>
      <c r="AE776" s="752" t="e">
        <f>_xlfn.XLOOKUP(Table1[[#This Row],[Ruta]],#REF!,#REF!)</f>
        <v>#REF!</v>
      </c>
      <c r="AF776" s="752" t="e">
        <f>_xlfn.XLOOKUP(Table1[[#This Row],[Ruta]],#REF!,#REF!)</f>
        <v>#REF!</v>
      </c>
      <c r="AG776" s="752" t="e">
        <f>_xlfn.XLOOKUP(Table1[[#This Row],[Ruta]],#REF!,#REF!)</f>
        <v>#REF!</v>
      </c>
      <c r="AH776" s="52">
        <v>0</v>
      </c>
      <c r="AI776" s="52">
        <v>1</v>
      </c>
      <c r="AJ776" s="55">
        <v>0</v>
      </c>
      <c r="AK776" s="56">
        <v>0</v>
      </c>
      <c r="AL776" s="44">
        <v>2</v>
      </c>
      <c r="AM776" s="54">
        <v>0</v>
      </c>
      <c r="AN776" s="55">
        <v>0</v>
      </c>
      <c r="AO776" s="56">
        <v>0</v>
      </c>
      <c r="AP776" s="48">
        <v>0</v>
      </c>
      <c r="AQ776" s="55" t="s">
        <v>194</v>
      </c>
      <c r="AR776" s="51">
        <v>100</v>
      </c>
      <c r="AS776" s="49">
        <v>0</v>
      </c>
      <c r="AT776" s="55">
        <v>0</v>
      </c>
      <c r="AU776" s="51">
        <v>0</v>
      </c>
      <c r="AV776" s="52">
        <v>0</v>
      </c>
      <c r="AW776" s="44">
        <v>490</v>
      </c>
      <c r="AX776" s="51">
        <v>50</v>
      </c>
      <c r="AY776" s="49">
        <v>0</v>
      </c>
      <c r="AZ776" s="49">
        <v>0</v>
      </c>
      <c r="BA776" s="42" t="s">
        <v>152</v>
      </c>
      <c r="BB776" s="50">
        <v>0</v>
      </c>
      <c r="BC776" s="57">
        <v>0</v>
      </c>
      <c r="BD776" s="42" t="s">
        <v>152</v>
      </c>
      <c r="BE776" s="46" t="s">
        <v>195</v>
      </c>
      <c r="BF776" s="46" t="s">
        <v>195</v>
      </c>
      <c r="BG776" s="42" t="s">
        <v>195</v>
      </c>
      <c r="BH776" s="52" t="s">
        <v>195</v>
      </c>
      <c r="BI776" s="52" t="s">
        <v>195</v>
      </c>
      <c r="BJ776" s="42" t="s">
        <v>195</v>
      </c>
      <c r="BK776" s="46" t="s">
        <v>195</v>
      </c>
      <c r="BL776" s="46" t="s">
        <v>195</v>
      </c>
      <c r="BM776" s="42" t="s">
        <v>195</v>
      </c>
      <c r="BN776" s="48" t="s">
        <v>195</v>
      </c>
      <c r="BO776" s="42" t="s">
        <v>195</v>
      </c>
      <c r="BP776" s="42" t="s">
        <v>152</v>
      </c>
      <c r="BQ776" s="46">
        <v>0</v>
      </c>
      <c r="BR776" s="46" t="e">
        <v>#N/A</v>
      </c>
      <c r="BS776" s="46" t="e">
        <v>#N/A</v>
      </c>
      <c r="BT776" s="46" t="e">
        <v>#N/A</v>
      </c>
      <c r="BU776" s="46" t="e">
        <v>#N/A</v>
      </c>
      <c r="BV776" s="46" t="e">
        <v>#N/A</v>
      </c>
      <c r="BW776" s="46" t="e">
        <v>#N/A</v>
      </c>
      <c r="BX776" s="46" t="e">
        <v>#N/A</v>
      </c>
      <c r="BY776" s="46" t="e">
        <v>#N/A</v>
      </c>
      <c r="BZ776" s="46" t="e">
        <v>#N/A</v>
      </c>
      <c r="CA776" s="46" t="e">
        <v>#N/A</v>
      </c>
      <c r="CB776" s="46" t="e">
        <v>#N/A</v>
      </c>
      <c r="CC776" s="46" t="e">
        <v>#N/A</v>
      </c>
      <c r="CD776" s="46" t="e">
        <v>#N/A</v>
      </c>
      <c r="CE776" s="46" t="e">
        <v>#N/A</v>
      </c>
      <c r="CF776" s="46" t="e">
        <v>#N/A</v>
      </c>
      <c r="CG776" s="46" t="e">
        <v>#N/A</v>
      </c>
      <c r="CH776" s="46" t="e">
        <v>#N/A</v>
      </c>
      <c r="CI776" s="46" t="e">
        <v>#N/A</v>
      </c>
      <c r="CJ776" s="46" t="e">
        <v>#N/A</v>
      </c>
      <c r="CM776">
        <f t="shared" si="84"/>
        <v>0</v>
      </c>
      <c r="CP776">
        <f t="shared" si="85"/>
        <v>0</v>
      </c>
      <c r="CS776">
        <f t="shared" si="86"/>
        <v>0</v>
      </c>
      <c r="CW776" s="46"/>
      <c r="CX776" s="46" t="e">
        <f t="shared" si="87"/>
        <v>#N/A</v>
      </c>
      <c r="CY776" s="46"/>
      <c r="CZ776" s="46" t="e">
        <f t="shared" si="88"/>
        <v>#N/A</v>
      </c>
      <c r="DA776" s="46" t="e">
        <f t="shared" si="89"/>
        <v>#N/A</v>
      </c>
      <c r="DB776" s="46"/>
      <c r="DC776" s="46" t="e">
        <f t="shared" si="90"/>
        <v>#N/A</v>
      </c>
      <c r="DD776" s="46"/>
      <c r="DE776" s="995" t="s">
        <v>194</v>
      </c>
      <c r="DF776" s="995" t="s">
        <v>194</v>
      </c>
      <c r="DG776" s="995" t="s">
        <v>194</v>
      </c>
      <c r="DH776" s="995" t="s">
        <v>194</v>
      </c>
      <c r="DI776" s="995" t="s">
        <v>194</v>
      </c>
      <c r="DJ776" s="995" t="s">
        <v>194</v>
      </c>
      <c r="DK776" s="995" t="s">
        <v>194</v>
      </c>
      <c r="DL776" s="995" t="s">
        <v>194</v>
      </c>
      <c r="DM776" s="995" t="s">
        <v>194</v>
      </c>
      <c r="DN776" s="995" t="s">
        <v>194</v>
      </c>
      <c r="DO776" s="995" t="s">
        <v>194</v>
      </c>
      <c r="DP776" s="995" t="s">
        <v>194</v>
      </c>
      <c r="DQ776" s="995" t="s">
        <v>194</v>
      </c>
      <c r="DR776" s="995" t="s">
        <v>194</v>
      </c>
      <c r="DS776" s="995" t="s">
        <v>194</v>
      </c>
      <c r="DT776" s="995" t="s">
        <v>194</v>
      </c>
    </row>
    <row r="777" spans="1:124">
      <c r="A777" s="42" t="s">
        <v>95</v>
      </c>
      <c r="B777" s="42" t="s">
        <v>320</v>
      </c>
      <c r="C777" s="42" t="s">
        <v>1026</v>
      </c>
      <c r="D777" s="42">
        <v>504300</v>
      </c>
      <c r="E777" s="42" t="s">
        <v>1027</v>
      </c>
      <c r="F777" s="42" t="s">
        <v>149</v>
      </c>
      <c r="G777" s="42" t="s">
        <v>150</v>
      </c>
      <c r="H777" s="43" t="s">
        <v>150</v>
      </c>
      <c r="I777" s="44">
        <v>1</v>
      </c>
      <c r="J777" s="45">
        <v>246.56800000000001</v>
      </c>
      <c r="K777" s="46">
        <v>249.41462999999999</v>
      </c>
      <c r="L777" s="47">
        <v>495.98262999999997</v>
      </c>
      <c r="M777" s="48">
        <v>21476</v>
      </c>
      <c r="N777" s="49">
        <v>3311</v>
      </c>
      <c r="O777" s="49">
        <v>18165</v>
      </c>
      <c r="P777" s="49">
        <v>0</v>
      </c>
      <c r="Q777" s="50">
        <v>1073.6959999999999</v>
      </c>
      <c r="R777" s="51" t="s">
        <v>194</v>
      </c>
      <c r="S777" s="49" t="s">
        <v>194</v>
      </c>
      <c r="T777" s="49" t="s">
        <v>194</v>
      </c>
      <c r="U777" s="49" t="str">
        <f>IFERROR(INDEX('Rentabilidad datos'!$N$2:$N$61,MATCH($C777,'Rentabilidad datos'!$C$2:$C$61,0)),"")</f>
        <v/>
      </c>
      <c r="V777" s="50" t="str">
        <f>IFERROR(INDEX('Rentabilidad datos'!$O$2:$O$61,MATCH($C777,'Rentabilidad datos'!$C$2:$C$61,0)),"")</f>
        <v/>
      </c>
      <c r="W777" s="51" t="str">
        <f>IFERROR(INDEX('Rentabilidad datos'!$M$2:$M$61,MATCH($C777,'Rentabilidad datos'!$C$2:$C$61,0)),"")</f>
        <v/>
      </c>
      <c r="X777" s="52" t="str">
        <f>IFERROR(INDEX('Rentabilidad datos'!$P$2:$P$61,MATCH($C777,'Rentabilidad datos'!$C$2:$C$61,0)),"")</f>
        <v/>
      </c>
      <c r="Y777" s="43">
        <v>0</v>
      </c>
      <c r="Z777" s="53">
        <v>55.428571428571402</v>
      </c>
      <c r="AA777" s="43">
        <v>1</v>
      </c>
      <c r="AB777" s="54">
        <v>1</v>
      </c>
      <c r="AC777" s="55">
        <v>0</v>
      </c>
      <c r="AD777" s="752" t="e">
        <f>_xlfn.XLOOKUP(Table1[[#This Row],[Ruta]],#REF!,#REF!)</f>
        <v>#REF!</v>
      </c>
      <c r="AE777" s="752" t="e">
        <f>_xlfn.XLOOKUP(Table1[[#This Row],[Ruta]],#REF!,#REF!)</f>
        <v>#REF!</v>
      </c>
      <c r="AF777" s="752" t="e">
        <f>_xlfn.XLOOKUP(Table1[[#This Row],[Ruta]],#REF!,#REF!)</f>
        <v>#REF!</v>
      </c>
      <c r="AG777" s="752" t="e">
        <f>_xlfn.XLOOKUP(Table1[[#This Row],[Ruta]],#REF!,#REF!)</f>
        <v>#REF!</v>
      </c>
      <c r="AH777" s="52">
        <v>0.15417209908735333</v>
      </c>
      <c r="AI777" s="52">
        <v>0.8458279009126467</v>
      </c>
      <c r="AJ777" s="55">
        <v>0</v>
      </c>
      <c r="AK777" s="56">
        <v>776</v>
      </c>
      <c r="AL777" s="44">
        <v>36</v>
      </c>
      <c r="AM777" s="54">
        <v>3.0927835051546299E-2</v>
      </c>
      <c r="AN777" s="55">
        <v>3.0927835051546299E-2</v>
      </c>
      <c r="AO777" s="56">
        <v>0</v>
      </c>
      <c r="AP777" s="48">
        <v>0</v>
      </c>
      <c r="AQ777" s="55">
        <v>4.6391752577319589E-2</v>
      </c>
      <c r="AR777" s="51">
        <v>21473.919999999998</v>
      </c>
      <c r="AS777" s="49">
        <v>0</v>
      </c>
      <c r="AT777" s="55">
        <v>0</v>
      </c>
      <c r="AU777" s="51">
        <v>0</v>
      </c>
      <c r="AV777" s="52">
        <v>0</v>
      </c>
      <c r="AW777" s="44">
        <v>490</v>
      </c>
      <c r="AX777" s="51">
        <v>596.49777777777797</v>
      </c>
      <c r="AY777" s="49">
        <v>596.49777777777797</v>
      </c>
      <c r="AZ777" s="49">
        <v>0</v>
      </c>
      <c r="BA777" s="42" t="s">
        <v>152</v>
      </c>
      <c r="BB777" s="50">
        <v>0</v>
      </c>
      <c r="BC777" s="57">
        <v>0</v>
      </c>
      <c r="BD777" s="42" t="s">
        <v>150</v>
      </c>
      <c r="BE777" s="46">
        <v>55.428571428571402</v>
      </c>
      <c r="BF777" s="46" t="s">
        <v>896</v>
      </c>
      <c r="BG777" s="42" t="s">
        <v>195</v>
      </c>
      <c r="BH777" s="52">
        <v>3.09278350515464E-2</v>
      </c>
      <c r="BI777" s="52" t="s">
        <v>896</v>
      </c>
      <c r="BJ777" s="42" t="s">
        <v>195</v>
      </c>
      <c r="BK777" s="46">
        <v>24.799131500000001</v>
      </c>
      <c r="BL777" s="46" t="s">
        <v>896</v>
      </c>
      <c r="BM777" s="42" t="s">
        <v>195</v>
      </c>
      <c r="BN777" s="48">
        <v>0</v>
      </c>
      <c r="BO777" s="42" t="s">
        <v>155</v>
      </c>
      <c r="BP777" s="42" t="s">
        <v>152</v>
      </c>
      <c r="BQ777" s="46">
        <v>0</v>
      </c>
      <c r="BR777" s="46" t="e">
        <v>#N/A</v>
      </c>
      <c r="BS777" s="46" t="e">
        <v>#N/A</v>
      </c>
      <c r="BT777" s="46" t="e">
        <v>#N/A</v>
      </c>
      <c r="BU777" s="46" t="e">
        <v>#N/A</v>
      </c>
      <c r="BV777" s="46" t="e">
        <v>#N/A</v>
      </c>
      <c r="BW777" s="46" t="e">
        <v>#N/A</v>
      </c>
      <c r="BX777" s="46" t="e">
        <v>#N/A</v>
      </c>
      <c r="BY777" s="46" t="e">
        <v>#N/A</v>
      </c>
      <c r="BZ777" s="46" t="e">
        <v>#N/A</v>
      </c>
      <c r="CA777" s="46" t="e">
        <v>#N/A</v>
      </c>
      <c r="CB777" s="46" t="e">
        <v>#N/A</v>
      </c>
      <c r="CC777" s="46" t="e">
        <v>#N/A</v>
      </c>
      <c r="CD777" s="46" t="e">
        <v>#N/A</v>
      </c>
      <c r="CE777" s="46" t="e">
        <v>#N/A</v>
      </c>
      <c r="CF777" s="46" t="e">
        <v>#N/A</v>
      </c>
      <c r="CG777" s="46" t="e">
        <v>#N/A</v>
      </c>
      <c r="CH777" s="46" t="e">
        <v>#N/A</v>
      </c>
      <c r="CI777" s="46" t="e">
        <v>#N/A</v>
      </c>
      <c r="CJ777" s="46" t="e">
        <v>#N/A</v>
      </c>
      <c r="CM777">
        <f t="shared" si="84"/>
        <v>0</v>
      </c>
      <c r="CP777">
        <f t="shared" si="85"/>
        <v>0</v>
      </c>
      <c r="CS777">
        <f t="shared" si="86"/>
        <v>0</v>
      </c>
      <c r="CW777" s="46"/>
      <c r="CX777" s="46" t="e">
        <f t="shared" si="87"/>
        <v>#N/A</v>
      </c>
      <c r="CY777" s="46"/>
      <c r="CZ777" s="46" t="e">
        <f t="shared" si="88"/>
        <v>#N/A</v>
      </c>
      <c r="DA777" s="46" t="e">
        <f t="shared" si="89"/>
        <v>#N/A</v>
      </c>
      <c r="DB777" s="46"/>
      <c r="DC777" s="46" t="e">
        <f t="shared" si="90"/>
        <v>#N/A</v>
      </c>
      <c r="DD777" s="46"/>
      <c r="DE777" s="995" t="s">
        <v>194</v>
      </c>
      <c r="DF777" s="995" t="s">
        <v>194</v>
      </c>
      <c r="DG777" s="995" t="s">
        <v>194</v>
      </c>
      <c r="DH777" s="995" t="s">
        <v>194</v>
      </c>
      <c r="DI777" s="995" t="s">
        <v>194</v>
      </c>
      <c r="DJ777" s="995" t="s">
        <v>194</v>
      </c>
      <c r="DK777" s="995" t="s">
        <v>194</v>
      </c>
      <c r="DL777" s="995" t="s">
        <v>194</v>
      </c>
      <c r="DM777" s="995" t="s">
        <v>194</v>
      </c>
      <c r="DN777" s="995" t="s">
        <v>194</v>
      </c>
      <c r="DO777" s="995" t="s">
        <v>194</v>
      </c>
      <c r="DP777" s="995" t="s">
        <v>194</v>
      </c>
      <c r="DQ777" s="995" t="s">
        <v>194</v>
      </c>
      <c r="DR777" s="995" t="s">
        <v>194</v>
      </c>
      <c r="DS777" s="995" t="s">
        <v>194</v>
      </c>
      <c r="DT777" s="995" t="s">
        <v>194</v>
      </c>
    </row>
    <row r="778" spans="1:124">
      <c r="A778" s="42" t="s">
        <v>95</v>
      </c>
      <c r="B778" s="42" t="s">
        <v>320</v>
      </c>
      <c r="C778" s="42" t="s">
        <v>1028</v>
      </c>
      <c r="D778" s="42">
        <v>505300</v>
      </c>
      <c r="E778" s="42" t="s">
        <v>1029</v>
      </c>
      <c r="F778" s="42" t="s">
        <v>193</v>
      </c>
      <c r="G778" s="42" t="s">
        <v>150</v>
      </c>
      <c r="H778" s="43" t="s">
        <v>152</v>
      </c>
      <c r="I778" s="44">
        <v>1</v>
      </c>
      <c r="J778" s="45">
        <v>0</v>
      </c>
      <c r="K778" s="46">
        <v>1.0567</v>
      </c>
      <c r="L778" s="47">
        <v>1.0567</v>
      </c>
      <c r="M778" s="48">
        <v>144</v>
      </c>
      <c r="N778" s="49">
        <v>0</v>
      </c>
      <c r="O778" s="49">
        <v>144</v>
      </c>
      <c r="P778" s="49">
        <v>0</v>
      </c>
      <c r="Q778" s="50">
        <v>0</v>
      </c>
      <c r="R778" s="51" t="s">
        <v>194</v>
      </c>
      <c r="S778" s="49" t="s">
        <v>194</v>
      </c>
      <c r="T778" s="49" t="s">
        <v>194</v>
      </c>
      <c r="U778" s="49" t="str">
        <f>IFERROR(INDEX('Rentabilidad datos'!$N$2:$N$61,MATCH($C778,'Rentabilidad datos'!$C$2:$C$61,0)),"")</f>
        <v/>
      </c>
      <c r="V778" s="50" t="str">
        <f>IFERROR(INDEX('Rentabilidad datos'!$O$2:$O$61,MATCH($C778,'Rentabilidad datos'!$C$2:$C$61,0)),"")</f>
        <v/>
      </c>
      <c r="W778" s="51" t="str">
        <f>IFERROR(INDEX('Rentabilidad datos'!$M$2:$M$61,MATCH($C778,'Rentabilidad datos'!$C$2:$C$61,0)),"")</f>
        <v/>
      </c>
      <c r="X778" s="52" t="str">
        <f>IFERROR(INDEX('Rentabilidad datos'!$P$2:$P$61,MATCH($C778,'Rentabilidad datos'!$C$2:$C$61,0)),"")</f>
        <v/>
      </c>
      <c r="Y778" s="43">
        <v>0</v>
      </c>
      <c r="Z778" s="53">
        <v>0</v>
      </c>
      <c r="AA778" s="43">
        <v>1</v>
      </c>
      <c r="AB778" s="54">
        <v>1</v>
      </c>
      <c r="AC778" s="55">
        <v>0</v>
      </c>
      <c r="AD778" s="752" t="e">
        <f>_xlfn.XLOOKUP(Table1[[#This Row],[Ruta]],#REF!,#REF!)</f>
        <v>#REF!</v>
      </c>
      <c r="AE778" s="752" t="e">
        <f>_xlfn.XLOOKUP(Table1[[#This Row],[Ruta]],#REF!,#REF!)</f>
        <v>#REF!</v>
      </c>
      <c r="AF778" s="752" t="e">
        <f>_xlfn.XLOOKUP(Table1[[#This Row],[Ruta]],#REF!,#REF!)</f>
        <v>#REF!</v>
      </c>
      <c r="AG778" s="752" t="e">
        <f>_xlfn.XLOOKUP(Table1[[#This Row],[Ruta]],#REF!,#REF!)</f>
        <v>#REF!</v>
      </c>
      <c r="AH778" s="52">
        <v>0</v>
      </c>
      <c r="AI778" s="52">
        <v>1</v>
      </c>
      <c r="AJ778" s="55">
        <v>0</v>
      </c>
      <c r="AK778" s="56">
        <v>0</v>
      </c>
      <c r="AL778" s="44">
        <v>1</v>
      </c>
      <c r="AM778" s="54">
        <v>0</v>
      </c>
      <c r="AN778" s="55">
        <v>0</v>
      </c>
      <c r="AO778" s="56">
        <v>0</v>
      </c>
      <c r="AP778" s="48">
        <v>0</v>
      </c>
      <c r="AQ778" s="55" t="s">
        <v>194</v>
      </c>
      <c r="AR778" s="51">
        <v>144</v>
      </c>
      <c r="AS778" s="49">
        <v>0</v>
      </c>
      <c r="AT778" s="55">
        <v>0</v>
      </c>
      <c r="AU778" s="51">
        <v>0</v>
      </c>
      <c r="AV778" s="52">
        <v>0</v>
      </c>
      <c r="AW778" s="44">
        <v>490</v>
      </c>
      <c r="AX778" s="51">
        <v>144</v>
      </c>
      <c r="AY778" s="49">
        <v>0</v>
      </c>
      <c r="AZ778" s="49">
        <v>0</v>
      </c>
      <c r="BA778" s="42" t="s">
        <v>152</v>
      </c>
      <c r="BB778" s="50">
        <v>0</v>
      </c>
      <c r="BC778" s="57">
        <v>0</v>
      </c>
      <c r="BD778" s="42" t="s">
        <v>152</v>
      </c>
      <c r="BE778" s="46" t="s">
        <v>195</v>
      </c>
      <c r="BF778" s="46" t="s">
        <v>195</v>
      </c>
      <c r="BG778" s="42" t="s">
        <v>195</v>
      </c>
      <c r="BH778" s="52" t="s">
        <v>195</v>
      </c>
      <c r="BI778" s="52" t="s">
        <v>195</v>
      </c>
      <c r="BJ778" s="42" t="s">
        <v>195</v>
      </c>
      <c r="BK778" s="46" t="s">
        <v>195</v>
      </c>
      <c r="BL778" s="46" t="s">
        <v>195</v>
      </c>
      <c r="BM778" s="42" t="s">
        <v>195</v>
      </c>
      <c r="BN778" s="48" t="s">
        <v>195</v>
      </c>
      <c r="BO778" s="42" t="s">
        <v>195</v>
      </c>
      <c r="BP778" s="42" t="s">
        <v>152</v>
      </c>
      <c r="BQ778" s="46">
        <v>0</v>
      </c>
      <c r="BR778" s="46" t="e">
        <v>#N/A</v>
      </c>
      <c r="BS778" s="46" t="e">
        <v>#N/A</v>
      </c>
      <c r="BT778" s="46" t="e">
        <v>#N/A</v>
      </c>
      <c r="BU778" s="46" t="e">
        <v>#N/A</v>
      </c>
      <c r="BV778" s="46" t="e">
        <v>#N/A</v>
      </c>
      <c r="BW778" s="46" t="e">
        <v>#N/A</v>
      </c>
      <c r="BX778" s="46" t="e">
        <v>#N/A</v>
      </c>
      <c r="BY778" s="46" t="e">
        <v>#N/A</v>
      </c>
      <c r="BZ778" s="46" t="e">
        <v>#N/A</v>
      </c>
      <c r="CA778" s="46" t="e">
        <v>#N/A</v>
      </c>
      <c r="CB778" s="46" t="e">
        <v>#N/A</v>
      </c>
      <c r="CC778" s="46" t="e">
        <v>#N/A</v>
      </c>
      <c r="CD778" s="46" t="e">
        <v>#N/A</v>
      </c>
      <c r="CE778" s="46" t="e">
        <v>#N/A</v>
      </c>
      <c r="CF778" s="46" t="e">
        <v>#N/A</v>
      </c>
      <c r="CG778" s="46" t="e">
        <v>#N/A</v>
      </c>
      <c r="CH778" s="46" t="e">
        <v>#N/A</v>
      </c>
      <c r="CI778" s="46" t="e">
        <v>#N/A</v>
      </c>
      <c r="CJ778" s="46" t="e">
        <v>#N/A</v>
      </c>
      <c r="CM778">
        <f t="shared" ref="CM778:CM794" si="91">CL778-CK778</f>
        <v>0</v>
      </c>
      <c r="CP778">
        <f t="shared" ref="CP778:CP794" si="92">CO778-CN778</f>
        <v>0</v>
      </c>
      <c r="CS778">
        <f t="shared" ref="CS778:CS794" si="93">CQ778-CR778</f>
        <v>0</v>
      </c>
      <c r="CW778" s="46"/>
      <c r="CX778" s="46" t="e">
        <f t="shared" si="87"/>
        <v>#N/A</v>
      </c>
      <c r="CY778" s="46"/>
      <c r="CZ778" s="46" t="e">
        <f t="shared" si="88"/>
        <v>#N/A</v>
      </c>
      <c r="DA778" s="46" t="e">
        <f t="shared" si="89"/>
        <v>#N/A</v>
      </c>
      <c r="DB778" s="46"/>
      <c r="DC778" s="46" t="e">
        <f t="shared" si="90"/>
        <v>#N/A</v>
      </c>
      <c r="DD778" s="46"/>
      <c r="DE778" s="995" t="s">
        <v>194</v>
      </c>
      <c r="DF778" s="995" t="s">
        <v>194</v>
      </c>
      <c r="DG778" s="995" t="s">
        <v>194</v>
      </c>
      <c r="DH778" s="995" t="s">
        <v>194</v>
      </c>
      <c r="DI778" s="995" t="s">
        <v>194</v>
      </c>
      <c r="DJ778" s="995" t="s">
        <v>194</v>
      </c>
      <c r="DK778" s="995" t="s">
        <v>194</v>
      </c>
      <c r="DL778" s="995" t="s">
        <v>194</v>
      </c>
      <c r="DM778" s="995" t="s">
        <v>194</v>
      </c>
      <c r="DN778" s="995" t="s">
        <v>194</v>
      </c>
      <c r="DO778" s="995" t="s">
        <v>194</v>
      </c>
      <c r="DP778" s="995" t="s">
        <v>194</v>
      </c>
      <c r="DQ778" s="995" t="s">
        <v>194</v>
      </c>
      <c r="DR778" s="995" t="s">
        <v>194</v>
      </c>
      <c r="DS778" s="995" t="s">
        <v>194</v>
      </c>
      <c r="DT778" s="995" t="s">
        <v>194</v>
      </c>
    </row>
    <row r="779" spans="1:124">
      <c r="A779" s="42" t="s">
        <v>95</v>
      </c>
      <c r="B779" s="42" t="s">
        <v>1030</v>
      </c>
      <c r="C779" s="42" t="s">
        <v>1031</v>
      </c>
      <c r="D779" s="42">
        <v>503270</v>
      </c>
      <c r="E779" s="42" t="s">
        <v>1032</v>
      </c>
      <c r="F779" s="42" t="s">
        <v>149</v>
      </c>
      <c r="G779" s="42" t="s">
        <v>150</v>
      </c>
      <c r="H779" s="43" t="s">
        <v>152</v>
      </c>
      <c r="I779" s="44">
        <v>7</v>
      </c>
      <c r="J779" s="45">
        <v>1285.6759999999999</v>
      </c>
      <c r="K779" s="46">
        <v>109.2933</v>
      </c>
      <c r="L779" s="47">
        <v>1394.9693</v>
      </c>
      <c r="M779" s="48">
        <v>33379</v>
      </c>
      <c r="N779" s="49">
        <v>18941</v>
      </c>
      <c r="O779" s="49">
        <v>14438</v>
      </c>
      <c r="P779" s="49">
        <v>0</v>
      </c>
      <c r="Q779" s="50">
        <v>366.77945054945098</v>
      </c>
      <c r="R779" s="51">
        <v>2581.3676323853501</v>
      </c>
      <c r="S779" s="49">
        <v>7554.9270963214403</v>
      </c>
      <c r="T779" s="49">
        <v>861.56618845846299</v>
      </c>
      <c r="U779" s="49">
        <f>IFERROR(INDEX('Rentabilidad datos'!$N$2:$N$61,MATCH($C779,'Rentabilidad datos'!$C$2:$C$61,0)),"")</f>
        <v>10997.860917165253</v>
      </c>
      <c r="V779" s="50">
        <f>IFERROR(INDEX('Rentabilidad datos'!$O$2:$O$61,MATCH($C779,'Rentabilidad datos'!$C$2:$C$61,0)),"")</f>
        <v>1832.9768195275421</v>
      </c>
      <c r="W779" s="51">
        <f>IFERROR(INDEX('Rentabilidad datos'!$M$2:$M$61,MATCH($C779,'Rentabilidad datos'!$C$2:$C$61,0)),"")</f>
        <v>1989.5052980311282</v>
      </c>
      <c r="X779" s="52">
        <f>IFERROR(INDEX('Rentabilidad datos'!$P$2:$P$61,MATCH($C779,'Rentabilidad datos'!$C$2:$C$61,0)),"")</f>
        <v>0.92132291446597758</v>
      </c>
      <c r="Y779" s="43" t="s">
        <v>211</v>
      </c>
      <c r="Z779" s="53">
        <v>0</v>
      </c>
      <c r="AA779" s="43">
        <v>1</v>
      </c>
      <c r="AB779" s="54">
        <v>8.47838461308008E-3</v>
      </c>
      <c r="AC779" s="55">
        <v>0.99152161538691996</v>
      </c>
      <c r="AD779" s="752" t="e">
        <f>_xlfn.XLOOKUP(Table1[[#This Row],[Ruta]],#REF!,#REF!)</f>
        <v>#REF!</v>
      </c>
      <c r="AE779" s="752" t="e">
        <f>_xlfn.XLOOKUP(Table1[[#This Row],[Ruta]],#REF!,#REF!)</f>
        <v>#REF!</v>
      </c>
      <c r="AF779" s="752" t="e">
        <f>_xlfn.XLOOKUP(Table1[[#This Row],[Ruta]],#REF!,#REF!)</f>
        <v>#REF!</v>
      </c>
      <c r="AG779" s="752" t="e">
        <f>_xlfn.XLOOKUP(Table1[[#This Row],[Ruta]],#REF!,#REF!)</f>
        <v>#REF!</v>
      </c>
      <c r="AH779" s="52">
        <v>0.56745258995176606</v>
      </c>
      <c r="AI779" s="52">
        <v>0.43254741004823394</v>
      </c>
      <c r="AJ779" s="55">
        <v>0</v>
      </c>
      <c r="AK779" s="56">
        <v>0</v>
      </c>
      <c r="AL779" s="44">
        <v>87</v>
      </c>
      <c r="AM779" s="54">
        <v>0</v>
      </c>
      <c r="AN779" s="55">
        <v>0.67098294814271597</v>
      </c>
      <c r="AO779" s="56">
        <v>0</v>
      </c>
      <c r="AP779" s="48">
        <v>0</v>
      </c>
      <c r="AQ779" s="55" t="s">
        <v>194</v>
      </c>
      <c r="AR779" s="51">
        <v>33376.93</v>
      </c>
      <c r="AS779" s="49">
        <v>0</v>
      </c>
      <c r="AT779" s="55">
        <v>0</v>
      </c>
      <c r="AU779" s="51">
        <v>0</v>
      </c>
      <c r="AV779" s="52">
        <v>0</v>
      </c>
      <c r="AW779" s="44">
        <v>490</v>
      </c>
      <c r="AX779" s="51">
        <v>383.64287356321802</v>
      </c>
      <c r="AY779" s="49">
        <v>230.498376716835</v>
      </c>
      <c r="AZ779" s="49">
        <v>0</v>
      </c>
      <c r="BA779" s="42" t="s">
        <v>152</v>
      </c>
      <c r="BB779" s="50">
        <v>0</v>
      </c>
      <c r="BC779" s="57">
        <v>0</v>
      </c>
      <c r="BD779" s="42" t="s">
        <v>152</v>
      </c>
      <c r="BE779" s="46" t="s">
        <v>195</v>
      </c>
      <c r="BF779" s="46" t="s">
        <v>195</v>
      </c>
      <c r="BG779" s="42" t="s">
        <v>195</v>
      </c>
      <c r="BH779" s="52" t="s">
        <v>195</v>
      </c>
      <c r="BI779" s="52" t="s">
        <v>195</v>
      </c>
      <c r="BJ779" s="42" t="s">
        <v>195</v>
      </c>
      <c r="BK779" s="46" t="s">
        <v>195</v>
      </c>
      <c r="BL779" s="46" t="s">
        <v>195</v>
      </c>
      <c r="BM779" s="42" t="s">
        <v>195</v>
      </c>
      <c r="BN779" s="48" t="s">
        <v>195</v>
      </c>
      <c r="BO779" s="42" t="s">
        <v>195</v>
      </c>
      <c r="BP779" s="42" t="s">
        <v>152</v>
      </c>
      <c r="BQ779" s="46">
        <v>0</v>
      </c>
      <c r="BR779" s="46" t="e">
        <v>#N/A</v>
      </c>
      <c r="BS779" s="46" t="e">
        <v>#N/A</v>
      </c>
      <c r="BT779" s="46" t="e">
        <v>#N/A</v>
      </c>
      <c r="BU779" s="46" t="e">
        <v>#N/A</v>
      </c>
      <c r="BV779" s="46" t="e">
        <v>#N/A</v>
      </c>
      <c r="BW779" s="46" t="e">
        <v>#N/A</v>
      </c>
      <c r="BX779" s="46" t="e">
        <v>#N/A</v>
      </c>
      <c r="BY779" s="46" t="e">
        <v>#N/A</v>
      </c>
      <c r="BZ779" s="46" t="e">
        <v>#N/A</v>
      </c>
      <c r="CA779" s="46" t="e">
        <v>#N/A</v>
      </c>
      <c r="CB779" s="46" t="e">
        <v>#N/A</v>
      </c>
      <c r="CC779" s="46" t="e">
        <v>#N/A</v>
      </c>
      <c r="CD779" s="46" t="e">
        <v>#N/A</v>
      </c>
      <c r="CE779" s="46" t="e">
        <v>#N/A</v>
      </c>
      <c r="CF779" s="46" t="e">
        <v>#N/A</v>
      </c>
      <c r="CG779" s="46" t="e">
        <v>#N/A</v>
      </c>
      <c r="CH779" s="46" t="e">
        <v>#N/A</v>
      </c>
      <c r="CI779" s="46" t="e">
        <v>#N/A</v>
      </c>
      <c r="CJ779" s="46" t="e">
        <v>#N/A</v>
      </c>
      <c r="CM779">
        <f t="shared" si="91"/>
        <v>0</v>
      </c>
      <c r="CP779">
        <f t="shared" si="92"/>
        <v>0</v>
      </c>
      <c r="CS779">
        <f t="shared" si="93"/>
        <v>0</v>
      </c>
      <c r="CW779" s="46"/>
      <c r="CX779" s="46" t="e">
        <f t="shared" si="87"/>
        <v>#N/A</v>
      </c>
      <c r="CY779" s="46"/>
      <c r="CZ779" s="46" t="e">
        <f t="shared" si="88"/>
        <v>#N/A</v>
      </c>
      <c r="DA779" s="46" t="e">
        <f t="shared" si="89"/>
        <v>#N/A</v>
      </c>
      <c r="DB779" s="46"/>
      <c r="DC779" s="46" t="e">
        <f t="shared" si="90"/>
        <v>#N/A</v>
      </c>
      <c r="DD779" s="46"/>
      <c r="DE779" s="995" t="s">
        <v>194</v>
      </c>
      <c r="DF779" s="995" t="s">
        <v>194</v>
      </c>
      <c r="DG779" s="995" t="s">
        <v>194</v>
      </c>
      <c r="DH779" s="995" t="s">
        <v>194</v>
      </c>
      <c r="DI779" s="995" t="s">
        <v>194</v>
      </c>
      <c r="DJ779" s="995" t="s">
        <v>194</v>
      </c>
      <c r="DK779" s="995" t="s">
        <v>194</v>
      </c>
      <c r="DL779" s="995" t="s">
        <v>194</v>
      </c>
      <c r="DM779" s="995" t="s">
        <v>194</v>
      </c>
      <c r="DN779" s="995" t="s">
        <v>194</v>
      </c>
      <c r="DO779" s="995" t="s">
        <v>194</v>
      </c>
      <c r="DP779" s="995" t="s">
        <v>194</v>
      </c>
      <c r="DQ779" s="995" t="s">
        <v>194</v>
      </c>
      <c r="DR779" s="995" t="s">
        <v>194</v>
      </c>
      <c r="DS779" s="995" t="s">
        <v>194</v>
      </c>
      <c r="DT779" s="995" t="s">
        <v>194</v>
      </c>
    </row>
    <row r="780" spans="1:124">
      <c r="A780" s="42" t="s">
        <v>95</v>
      </c>
      <c r="B780" s="42" t="s">
        <v>1030</v>
      </c>
      <c r="C780" s="42" t="s">
        <v>1031</v>
      </c>
      <c r="D780" s="42">
        <v>503300</v>
      </c>
      <c r="E780" s="42" t="s">
        <v>1033</v>
      </c>
      <c r="F780" s="42" t="s">
        <v>149</v>
      </c>
      <c r="G780" s="42" t="s">
        <v>150</v>
      </c>
      <c r="H780" s="43" t="s">
        <v>150</v>
      </c>
      <c r="I780" s="44">
        <v>7</v>
      </c>
      <c r="J780" s="45">
        <v>112269.4552</v>
      </c>
      <c r="K780" s="46">
        <v>13035.342790000001</v>
      </c>
      <c r="L780" s="47">
        <v>125304.79799000001</v>
      </c>
      <c r="M780" s="48">
        <v>3143006</v>
      </c>
      <c r="N780" s="49">
        <v>1709100</v>
      </c>
      <c r="O780" s="49">
        <v>1429394</v>
      </c>
      <c r="P780" s="49">
        <v>4512</v>
      </c>
      <c r="Q780" s="50">
        <v>7136.4048054919904</v>
      </c>
      <c r="R780" s="51">
        <v>2581.3676323853501</v>
      </c>
      <c r="S780" s="49">
        <v>7554.9270963214403</v>
      </c>
      <c r="T780" s="49">
        <v>861.56618845846299</v>
      </c>
      <c r="U780" s="49">
        <f>IFERROR(INDEX('Rentabilidad datos'!$N$2:$N$61,MATCH($C780,'Rentabilidad datos'!$C$2:$C$61,0)),"")</f>
        <v>10997.860917165253</v>
      </c>
      <c r="V780" s="50">
        <f>IFERROR(INDEX('Rentabilidad datos'!$O$2:$O$61,MATCH($C780,'Rentabilidad datos'!$C$2:$C$61,0)),"")</f>
        <v>1832.9768195275421</v>
      </c>
      <c r="W780" s="51">
        <f>IFERROR(INDEX('Rentabilidad datos'!$M$2:$M$61,MATCH($C780,'Rentabilidad datos'!$C$2:$C$61,0)),"")</f>
        <v>1989.5052980311282</v>
      </c>
      <c r="X780" s="52">
        <f>IFERROR(INDEX('Rentabilidad datos'!$P$2:$P$61,MATCH($C780,'Rentabilidad datos'!$C$2:$C$61,0)),"")</f>
        <v>0.92132291446597758</v>
      </c>
      <c r="Y780" s="43" t="s">
        <v>211</v>
      </c>
      <c r="Z780" s="53">
        <v>58.620137299771201</v>
      </c>
      <c r="AA780" s="43">
        <v>1</v>
      </c>
      <c r="AB780" s="54">
        <v>0.84318801809477928</v>
      </c>
      <c r="AC780" s="55">
        <v>0.15681198190522067</v>
      </c>
      <c r="AD780" s="752" t="e">
        <f>_xlfn.XLOOKUP(Table1[[#This Row],[Ruta]],#REF!,#REF!)</f>
        <v>#REF!</v>
      </c>
      <c r="AE780" s="752" t="e">
        <f>_xlfn.XLOOKUP(Table1[[#This Row],[Ruta]],#REF!,#REF!)</f>
        <v>#REF!</v>
      </c>
      <c r="AF780" s="752" t="e">
        <f>_xlfn.XLOOKUP(Table1[[#This Row],[Ruta]],#REF!,#REF!)</f>
        <v>#REF!</v>
      </c>
      <c r="AG780" s="752" t="e">
        <f>_xlfn.XLOOKUP(Table1[[#This Row],[Ruta]],#REF!,#REF!)</f>
        <v>#REF!</v>
      </c>
      <c r="AH780" s="52">
        <v>0.54377879011366825</v>
      </c>
      <c r="AI780" s="52">
        <v>0.45478564151643364</v>
      </c>
      <c r="AJ780" s="55">
        <v>1.4355683698981166E-3</v>
      </c>
      <c r="AK780" s="56">
        <v>25617</v>
      </c>
      <c r="AL780" s="44">
        <v>14078</v>
      </c>
      <c r="AM780" s="54">
        <v>0.54955693484795298</v>
      </c>
      <c r="AN780" s="55">
        <v>0.67098294814271597</v>
      </c>
      <c r="AO780" s="56">
        <v>3110.5701825719598</v>
      </c>
      <c r="AP780" s="48">
        <v>1555.2850912859799</v>
      </c>
      <c r="AQ780" s="55">
        <v>0.61026994149533431</v>
      </c>
      <c r="AR780" s="51">
        <v>3118608.9</v>
      </c>
      <c r="AS780" s="49">
        <v>344532.31479768251</v>
      </c>
      <c r="AT780" s="55">
        <v>0.11047628152336848</v>
      </c>
      <c r="AU780" s="51">
        <v>242103.78877674998</v>
      </c>
      <c r="AV780" s="52">
        <v>1.1013530460606776E-3</v>
      </c>
      <c r="AW780" s="44">
        <v>279</v>
      </c>
      <c r="AX780" s="51">
        <v>221.523575792016</v>
      </c>
      <c r="AY780" s="49">
        <v>230.498376716835</v>
      </c>
      <c r="AZ780" s="49">
        <v>8.9748009248189931</v>
      </c>
      <c r="BA780" s="42" t="s">
        <v>150</v>
      </c>
      <c r="BB780" s="50">
        <v>44392.276120400646</v>
      </c>
      <c r="BC780" s="57">
        <v>286496.06489715062</v>
      </c>
      <c r="BD780" s="42" t="s">
        <v>150</v>
      </c>
      <c r="BE780" s="46">
        <v>58.620137299771201</v>
      </c>
      <c r="BF780" s="46">
        <v>54.101830663615601</v>
      </c>
      <c r="BG780" s="42" t="s">
        <v>150</v>
      </c>
      <c r="BH780" s="52">
        <v>0.54955693484795298</v>
      </c>
      <c r="BI780" s="52">
        <v>0.61163466088899399</v>
      </c>
      <c r="BJ780" s="42" t="s">
        <v>152</v>
      </c>
      <c r="BK780" s="46">
        <v>286.73866816933599</v>
      </c>
      <c r="BL780" s="46">
        <v>288.08047217391299</v>
      </c>
      <c r="BM780" s="42" t="s">
        <v>152</v>
      </c>
      <c r="BN780" s="48">
        <v>1</v>
      </c>
      <c r="BO780" s="42" t="s">
        <v>155</v>
      </c>
      <c r="BP780" s="42" t="s">
        <v>152</v>
      </c>
      <c r="BQ780" s="46">
        <v>1344.36397715462</v>
      </c>
      <c r="BR780" s="46">
        <v>2702</v>
      </c>
      <c r="BS780" s="46">
        <v>150635</v>
      </c>
      <c r="BT780" s="46">
        <v>44530</v>
      </c>
      <c r="BU780" s="46">
        <v>3.3827756568605434</v>
      </c>
      <c r="BV780" s="46">
        <v>16.480384900074018</v>
      </c>
      <c r="BW780" s="46">
        <v>0</v>
      </c>
      <c r="BX780" s="46">
        <v>5083</v>
      </c>
      <c r="BY780" s="46">
        <v>5083</v>
      </c>
      <c r="BZ780" s="46">
        <v>0.11414776555131372</v>
      </c>
      <c r="CA780" s="46">
        <v>0</v>
      </c>
      <c r="CB780" s="46">
        <v>0.1141477655513137</v>
      </c>
      <c r="CC780" s="46">
        <v>6.2497192903660452E-2</v>
      </c>
      <c r="CD780" s="46">
        <v>2.0278463956883E-2</v>
      </c>
      <c r="CE780" s="46">
        <v>2.9553110262744216E-2</v>
      </c>
      <c r="CF780" s="46">
        <v>0.76885245901639343</v>
      </c>
      <c r="CG780" s="46">
        <v>4.6485515382887936E-3</v>
      </c>
      <c r="CH780" s="46">
        <v>2.2456770716370989E-5</v>
      </c>
      <c r="CI780" s="46">
        <v>5.8419358050917776</v>
      </c>
      <c r="CJ780" s="46">
        <v>0.17260264878680251</v>
      </c>
      <c r="CK780">
        <v>358</v>
      </c>
      <c r="CL780">
        <v>417</v>
      </c>
      <c r="CM780">
        <f t="shared" si="91"/>
        <v>59</v>
      </c>
      <c r="CN780">
        <v>8.4499999999999993</v>
      </c>
      <c r="CO780">
        <v>9.4499999999999993</v>
      </c>
      <c r="CP780">
        <f t="shared" si="92"/>
        <v>1</v>
      </c>
      <c r="CQ780">
        <v>740.74</v>
      </c>
      <c r="CR780">
        <v>286.74</v>
      </c>
      <c r="CS780">
        <f t="shared" si="93"/>
        <v>454</v>
      </c>
      <c r="CT780" t="s">
        <v>152</v>
      </c>
      <c r="CU780">
        <v>89.42</v>
      </c>
      <c r="CV780">
        <v>121</v>
      </c>
      <c r="CW780" s="46">
        <v>5083</v>
      </c>
      <c r="CX780" s="46">
        <f t="shared" si="87"/>
        <v>11.282281607904784</v>
      </c>
      <c r="CY780" s="46">
        <v>59</v>
      </c>
      <c r="CZ780" s="46">
        <f t="shared" si="88"/>
        <v>11.414776555131372</v>
      </c>
      <c r="DA780" s="46">
        <f t="shared" si="89"/>
        <v>11.239679068828634</v>
      </c>
      <c r="DB780" s="46">
        <v>501166.05</v>
      </c>
      <c r="DC780" s="46">
        <f t="shared" si="90"/>
        <v>0.46293099194868692</v>
      </c>
      <c r="DD780" s="46">
        <v>20641.63</v>
      </c>
      <c r="DE780" s="995">
        <v>5083</v>
      </c>
      <c r="DF780" s="995">
        <v>11.308</v>
      </c>
      <c r="DG780" s="995">
        <v>47.5</v>
      </c>
      <c r="DH780" s="995">
        <v>11.414999999999999</v>
      </c>
      <c r="DI780" s="995">
        <v>60.072000000000003</v>
      </c>
      <c r="DJ780" s="995">
        <v>2677868</v>
      </c>
      <c r="DK780" s="995">
        <v>2.4609999999999999</v>
      </c>
      <c r="DL780" s="995">
        <v>109688.4</v>
      </c>
      <c r="DM780" s="995">
        <v>5083</v>
      </c>
      <c r="DN780" s="995">
        <v>11.321</v>
      </c>
      <c r="DO780" s="995">
        <v>41.8</v>
      </c>
      <c r="DP780" s="995">
        <v>11.414999999999999</v>
      </c>
      <c r="DQ780" s="995">
        <v>59.292000000000002</v>
      </c>
      <c r="DR780" s="995">
        <v>2642739</v>
      </c>
      <c r="DS780" s="995">
        <v>2.427</v>
      </c>
      <c r="DT780" s="995">
        <v>108188.1</v>
      </c>
    </row>
    <row r="781" spans="1:124">
      <c r="A781" s="42" t="s">
        <v>95</v>
      </c>
      <c r="B781" s="42" t="s">
        <v>1030</v>
      </c>
      <c r="C781" s="42" t="s">
        <v>1031</v>
      </c>
      <c r="D781" s="42">
        <v>503301</v>
      </c>
      <c r="E781" s="42" t="s">
        <v>1034</v>
      </c>
      <c r="F781" s="42" t="s">
        <v>149</v>
      </c>
      <c r="G781" s="42" t="s">
        <v>150</v>
      </c>
      <c r="H781" s="43" t="s">
        <v>150</v>
      </c>
      <c r="I781" s="44">
        <v>7</v>
      </c>
      <c r="J781" s="45">
        <v>115676.32047999999</v>
      </c>
      <c r="K781" s="46">
        <v>10801.21421</v>
      </c>
      <c r="L781" s="47">
        <v>126477.53469</v>
      </c>
      <c r="M781" s="48">
        <v>3152076</v>
      </c>
      <c r="N781" s="49">
        <v>1745653</v>
      </c>
      <c r="O781" s="49">
        <v>1400285</v>
      </c>
      <c r="P781" s="49">
        <v>6138</v>
      </c>
      <c r="Q781" s="50">
        <v>7205.0004347826098</v>
      </c>
      <c r="R781" s="51">
        <v>2581.3676323853501</v>
      </c>
      <c r="S781" s="49">
        <v>7554.9270963214403</v>
      </c>
      <c r="T781" s="49">
        <v>861.56618845846299</v>
      </c>
      <c r="U781" s="49">
        <f>IFERROR(INDEX('Rentabilidad datos'!$N$2:$N$61,MATCH($C781,'Rentabilidad datos'!$C$2:$C$61,0)),"")</f>
        <v>10997.860917165253</v>
      </c>
      <c r="V781" s="50">
        <f>IFERROR(INDEX('Rentabilidad datos'!$O$2:$O$61,MATCH($C781,'Rentabilidad datos'!$C$2:$C$61,0)),"")</f>
        <v>1832.9768195275421</v>
      </c>
      <c r="W781" s="51">
        <f>IFERROR(INDEX('Rentabilidad datos'!$M$2:$M$61,MATCH($C781,'Rentabilidad datos'!$C$2:$C$61,0)),"")</f>
        <v>1989.5052980311282</v>
      </c>
      <c r="X781" s="52">
        <f>IFERROR(INDEX('Rentabilidad datos'!$P$2:$P$61,MATCH($C781,'Rentabilidad datos'!$C$2:$C$61,0)),"")</f>
        <v>0.92132291446597758</v>
      </c>
      <c r="Y781" s="43" t="s">
        <v>211</v>
      </c>
      <c r="Z781" s="53">
        <v>49.583524027460001</v>
      </c>
      <c r="AA781" s="43">
        <v>1</v>
      </c>
      <c r="AB781" s="54">
        <v>0.82037552394041258</v>
      </c>
      <c r="AC781" s="55">
        <v>0.1796244760595874</v>
      </c>
      <c r="AD781" s="752" t="e">
        <f>_xlfn.XLOOKUP(Table1[[#This Row],[Ruta]],#REF!,#REF!)</f>
        <v>#REF!</v>
      </c>
      <c r="AE781" s="752" t="e">
        <f>_xlfn.XLOOKUP(Table1[[#This Row],[Ruta]],#REF!,#REF!)</f>
        <v>#REF!</v>
      </c>
      <c r="AF781" s="752" t="e">
        <f>_xlfn.XLOOKUP(Table1[[#This Row],[Ruta]],#REF!,#REF!)</f>
        <v>#REF!</v>
      </c>
      <c r="AG781" s="752" t="e">
        <f>_xlfn.XLOOKUP(Table1[[#This Row],[Ruta]],#REF!,#REF!)</f>
        <v>#REF!</v>
      </c>
      <c r="AH781" s="52">
        <v>0.55381056801929907</v>
      </c>
      <c r="AI781" s="52">
        <v>0.44424214390769767</v>
      </c>
      <c r="AJ781" s="55">
        <v>1.947288073003316E-3</v>
      </c>
      <c r="AK781" s="56">
        <v>21668</v>
      </c>
      <c r="AL781" s="44">
        <v>14598</v>
      </c>
      <c r="AM781" s="54">
        <v>0.67371238693003499</v>
      </c>
      <c r="AN781" s="55">
        <v>0.67098294814271597</v>
      </c>
      <c r="AO781" s="56">
        <v>0</v>
      </c>
      <c r="AP781" s="48">
        <v>0</v>
      </c>
      <c r="AQ781" s="55">
        <v>0.6737123869300351</v>
      </c>
      <c r="AR781" s="51">
        <v>3148585.19</v>
      </c>
      <c r="AS781" s="49">
        <v>0</v>
      </c>
      <c r="AT781" s="55">
        <v>0</v>
      </c>
      <c r="AU781" s="51">
        <v>0</v>
      </c>
      <c r="AV781" s="52">
        <v>0</v>
      </c>
      <c r="AW781" s="44">
        <v>490</v>
      </c>
      <c r="AX781" s="51">
        <v>215.68606589943801</v>
      </c>
      <c r="AY781" s="49">
        <v>230.498376716835</v>
      </c>
      <c r="AZ781" s="49">
        <v>14.812310817396991</v>
      </c>
      <c r="BA781" s="42" t="s">
        <v>150</v>
      </c>
      <c r="BB781" s="50">
        <v>75972.742515153994</v>
      </c>
      <c r="BC781" s="57">
        <v>75972.742515153994</v>
      </c>
      <c r="BD781" s="42" t="s">
        <v>150</v>
      </c>
      <c r="BE781" s="46">
        <v>49.583524027460001</v>
      </c>
      <c r="BF781" s="46">
        <v>54.101830663615601</v>
      </c>
      <c r="BG781" s="42" t="s">
        <v>152</v>
      </c>
      <c r="BH781" s="52">
        <v>0.67371238693003499</v>
      </c>
      <c r="BI781" s="52">
        <v>0.61163466088899399</v>
      </c>
      <c r="BJ781" s="42" t="s">
        <v>150</v>
      </c>
      <c r="BK781" s="46">
        <v>289.42227617848999</v>
      </c>
      <c r="BL781" s="46">
        <v>288.08047217391299</v>
      </c>
      <c r="BM781" s="42" t="s">
        <v>150</v>
      </c>
      <c r="BN781" s="48">
        <v>2</v>
      </c>
      <c r="BO781" s="42" t="s">
        <v>161</v>
      </c>
      <c r="BP781" s="42" t="s">
        <v>152</v>
      </c>
      <c r="BQ781" s="46">
        <v>0</v>
      </c>
      <c r="BR781" s="46">
        <v>638</v>
      </c>
      <c r="BS781" s="46">
        <v>19231</v>
      </c>
      <c r="BT781" s="46">
        <v>6649</v>
      </c>
      <c r="BU781" s="46">
        <v>2.8923146337795158</v>
      </c>
      <c r="BV781" s="46">
        <v>10.421630094043888</v>
      </c>
      <c r="BW781" s="46">
        <v>730</v>
      </c>
      <c r="BX781" s="46">
        <v>5714</v>
      </c>
      <c r="BY781" s="46">
        <v>6444</v>
      </c>
      <c r="BZ781" s="46">
        <v>0.9691682959843585</v>
      </c>
      <c r="CA781" s="46">
        <v>0.1097909460069183</v>
      </c>
      <c r="CB781" s="46">
        <v>0.8593773499774402</v>
      </c>
      <c r="CC781" s="46">
        <v>2.5868551661904049E-2</v>
      </c>
      <c r="CD781" s="46">
        <v>4.9631523537374041E-3</v>
      </c>
      <c r="CE781" s="46">
        <v>0</v>
      </c>
      <c r="CF781" s="46">
        <v>0</v>
      </c>
      <c r="CG781" s="46">
        <v>0</v>
      </c>
      <c r="CH781" s="46">
        <v>0</v>
      </c>
      <c r="CI781" s="46">
        <v>2.3919712963444439</v>
      </c>
      <c r="CJ781" s="46">
        <v>1.663980032239613</v>
      </c>
      <c r="CK781">
        <v>390</v>
      </c>
      <c r="CL781">
        <v>642.12</v>
      </c>
      <c r="CM781">
        <f t="shared" si="91"/>
        <v>252.12</v>
      </c>
      <c r="CN781">
        <v>5.1100000000000003</v>
      </c>
      <c r="CO781">
        <v>9.4499999999999993</v>
      </c>
      <c r="CP781">
        <f t="shared" si="92"/>
        <v>4.339999999999999</v>
      </c>
      <c r="CQ781">
        <v>592.59</v>
      </c>
      <c r="CR781">
        <v>289.42</v>
      </c>
      <c r="CS781">
        <f t="shared" si="93"/>
        <v>303.17</v>
      </c>
      <c r="CT781" t="s">
        <v>152</v>
      </c>
      <c r="CU781">
        <v>60.35</v>
      </c>
      <c r="CV781">
        <v>384</v>
      </c>
      <c r="CW781" s="46">
        <v>6444</v>
      </c>
      <c r="CX781" s="46">
        <f t="shared" si="87"/>
        <v>93.124981200180486</v>
      </c>
      <c r="CY781" s="46">
        <v>252.12</v>
      </c>
      <c r="CZ781" s="46">
        <f t="shared" si="88"/>
        <v>96.916829598435854</v>
      </c>
      <c r="DA781" s="46">
        <f t="shared" si="89"/>
        <v>317.20306993647409</v>
      </c>
      <c r="DB781" s="46">
        <v>2189056.4500000002</v>
      </c>
      <c r="DC781" s="46">
        <f t="shared" si="90"/>
        <v>12.593096482889734</v>
      </c>
      <c r="DD781" s="46">
        <v>86906.47</v>
      </c>
      <c r="DE781" s="995">
        <v>6444</v>
      </c>
      <c r="DF781" s="995">
        <v>93.513000000000005</v>
      </c>
      <c r="DG781" s="995">
        <v>226.3</v>
      </c>
      <c r="DH781" s="995">
        <v>96.917000000000002</v>
      </c>
      <c r="DI781" s="995">
        <v>649.52599999999995</v>
      </c>
      <c r="DJ781" s="995">
        <v>4465715</v>
      </c>
      <c r="DK781" s="995">
        <v>25.978999999999999</v>
      </c>
      <c r="DL781" s="995">
        <v>178615.6</v>
      </c>
      <c r="DM781" s="995">
        <v>6444</v>
      </c>
      <c r="DN781" s="995">
        <v>94.113</v>
      </c>
      <c r="DO781" s="995">
        <v>186.4</v>
      </c>
      <c r="DP781" s="995">
        <v>96.917000000000002</v>
      </c>
      <c r="DQ781" s="995">
        <v>616.04</v>
      </c>
      <c r="DR781" s="995">
        <v>4210883</v>
      </c>
      <c r="DS781" s="995">
        <v>24.654</v>
      </c>
      <c r="DT781" s="995">
        <v>168521.1</v>
      </c>
    </row>
    <row r="782" spans="1:124">
      <c r="A782" s="42" t="s">
        <v>95</v>
      </c>
      <c r="B782" s="42" t="s">
        <v>1030</v>
      </c>
      <c r="C782" s="42" t="s">
        <v>1031</v>
      </c>
      <c r="D782" s="42">
        <v>503302</v>
      </c>
      <c r="E782" s="42" t="s">
        <v>1035</v>
      </c>
      <c r="F782" s="42" t="s">
        <v>149</v>
      </c>
      <c r="G782" s="42" t="s">
        <v>150</v>
      </c>
      <c r="H782" s="43" t="s">
        <v>150</v>
      </c>
      <c r="I782" s="44">
        <v>7</v>
      </c>
      <c r="J782" s="45">
        <v>97443.673599999995</v>
      </c>
      <c r="K782" s="46">
        <v>9652.5406600000006</v>
      </c>
      <c r="L782" s="47">
        <v>107096.21425999999</v>
      </c>
      <c r="M782" s="48">
        <v>2821111</v>
      </c>
      <c r="N782" s="49">
        <v>1485422</v>
      </c>
      <c r="O782" s="49">
        <v>1331759</v>
      </c>
      <c r="P782" s="49">
        <v>3930</v>
      </c>
      <c r="Q782" s="50">
        <v>6441.1160869565201</v>
      </c>
      <c r="R782" s="51">
        <v>2581.3676323853501</v>
      </c>
      <c r="S782" s="49">
        <v>7554.9270963214403</v>
      </c>
      <c r="T782" s="49">
        <v>861.56618845846299</v>
      </c>
      <c r="U782" s="49">
        <f>IFERROR(INDEX('Rentabilidad datos'!$N$2:$N$61,MATCH($C782,'Rentabilidad datos'!$C$2:$C$61,0)),"")</f>
        <v>10997.860917165253</v>
      </c>
      <c r="V782" s="50">
        <f>IFERROR(INDEX('Rentabilidad datos'!$O$2:$O$61,MATCH($C782,'Rentabilidad datos'!$C$2:$C$61,0)),"")</f>
        <v>1832.9768195275421</v>
      </c>
      <c r="W782" s="51">
        <f>IFERROR(INDEX('Rentabilidad datos'!$M$2:$M$61,MATCH($C782,'Rentabilidad datos'!$C$2:$C$61,0)),"")</f>
        <v>1989.5052980311282</v>
      </c>
      <c r="X782" s="52">
        <f>IFERROR(INDEX('Rentabilidad datos'!$P$2:$P$61,MATCH($C782,'Rentabilidad datos'!$C$2:$C$61,0)),"")</f>
        <v>0.92132291446597758</v>
      </c>
      <c r="Y782" s="43" t="s">
        <v>211</v>
      </c>
      <c r="Z782" s="53">
        <v>40.5812356979405</v>
      </c>
      <c r="AA782" s="43">
        <v>1</v>
      </c>
      <c r="AB782" s="54">
        <v>0.85865320435814119</v>
      </c>
      <c r="AC782" s="55">
        <v>0.14134679564185884</v>
      </c>
      <c r="AD782" s="752" t="e">
        <f>_xlfn.XLOOKUP(Table1[[#This Row],[Ruta]],#REF!,#REF!)</f>
        <v>#REF!</v>
      </c>
      <c r="AE782" s="752" t="e">
        <f>_xlfn.XLOOKUP(Table1[[#This Row],[Ruta]],#REF!,#REF!)</f>
        <v>#REF!</v>
      </c>
      <c r="AF782" s="752" t="e">
        <f>_xlfn.XLOOKUP(Table1[[#This Row],[Ruta]],#REF!,#REF!)</f>
        <v>#REF!</v>
      </c>
      <c r="AG782" s="752" t="e">
        <f>_xlfn.XLOOKUP(Table1[[#This Row],[Ruta]],#REF!,#REF!)</f>
        <v>#REF!</v>
      </c>
      <c r="AH782" s="52">
        <v>0.52653794905624063</v>
      </c>
      <c r="AI782" s="52">
        <v>0.47206898275183073</v>
      </c>
      <c r="AJ782" s="55">
        <v>1.3930681919286409E-3</v>
      </c>
      <c r="AK782" s="56">
        <v>17734</v>
      </c>
      <c r="AL782" s="44">
        <v>11754</v>
      </c>
      <c r="AM782" s="54">
        <v>0.66279463178076004</v>
      </c>
      <c r="AN782" s="55">
        <v>0.67098294814271597</v>
      </c>
      <c r="AO782" s="56">
        <v>145.21160236293099</v>
      </c>
      <c r="AP782" s="48">
        <v>72.605801181465495</v>
      </c>
      <c r="AQ782" s="55">
        <v>0.66688878996173828</v>
      </c>
      <c r="AR782" s="51">
        <v>2814767.73</v>
      </c>
      <c r="AS782" s="49">
        <v>17387.141924143751</v>
      </c>
      <c r="AT782" s="55">
        <v>6.1771142744143056E-3</v>
      </c>
      <c r="AU782" s="51">
        <v>12217.991622371288</v>
      </c>
      <c r="AV782" s="52">
        <v>5.5580800110694977E-5</v>
      </c>
      <c r="AW782" s="44">
        <v>470</v>
      </c>
      <c r="AX782" s="51">
        <v>239.47317764165399</v>
      </c>
      <c r="AY782" s="49">
        <v>230.498376716835</v>
      </c>
      <c r="AZ782" s="49">
        <v>0</v>
      </c>
      <c r="BA782" s="42" t="s">
        <v>152</v>
      </c>
      <c r="BB782" s="50">
        <v>0</v>
      </c>
      <c r="BC782" s="57">
        <v>12217.991622371288</v>
      </c>
      <c r="BD782" s="42" t="s">
        <v>150</v>
      </c>
      <c r="BE782" s="46">
        <v>40.5812356979405</v>
      </c>
      <c r="BF782" s="46">
        <v>54.101830663615601</v>
      </c>
      <c r="BG782" s="42" t="s">
        <v>152</v>
      </c>
      <c r="BH782" s="52">
        <v>0.66279463178076004</v>
      </c>
      <c r="BI782" s="52">
        <v>0.61163466088899399</v>
      </c>
      <c r="BJ782" s="42" t="s">
        <v>150</v>
      </c>
      <c r="BK782" s="46">
        <v>245.07142851258601</v>
      </c>
      <c r="BL782" s="46">
        <v>288.08047217391299</v>
      </c>
      <c r="BM782" s="42" t="s">
        <v>152</v>
      </c>
      <c r="BN782" s="48">
        <v>1</v>
      </c>
      <c r="BO782" s="42" t="s">
        <v>155</v>
      </c>
      <c r="BP782" s="42" t="s">
        <v>152</v>
      </c>
      <c r="BQ782" s="46">
        <v>1930.8488505205801</v>
      </c>
      <c r="BR782" s="46">
        <v>977</v>
      </c>
      <c r="BS782" s="46">
        <v>60899</v>
      </c>
      <c r="BT782" s="46">
        <v>20339</v>
      </c>
      <c r="BU782" s="46">
        <v>2.9941983381680517</v>
      </c>
      <c r="BV782" s="46">
        <v>20.817809621289662</v>
      </c>
      <c r="BW782" s="46">
        <v>0</v>
      </c>
      <c r="BX782" s="46">
        <v>5636</v>
      </c>
      <c r="BY782" s="46">
        <v>5636</v>
      </c>
      <c r="BZ782" s="46">
        <v>0.27710310241408131</v>
      </c>
      <c r="CA782" s="46">
        <v>0</v>
      </c>
      <c r="CB782" s="46">
        <v>0.27710310241408131</v>
      </c>
      <c r="CC782" s="46">
        <v>9.8136584886179268E-2</v>
      </c>
      <c r="CD782" s="46">
        <v>0</v>
      </c>
      <c r="CE782" s="46">
        <v>0</v>
      </c>
      <c r="CF782" s="46">
        <v>0.62476031269973942</v>
      </c>
      <c r="CG782" s="46">
        <v>0</v>
      </c>
      <c r="CH782" s="46">
        <v>0</v>
      </c>
      <c r="CI782" s="46">
        <v>5.5009113450138756</v>
      </c>
      <c r="CJ782" s="46">
        <v>0.68966649698681426</v>
      </c>
      <c r="CK782">
        <v>338</v>
      </c>
      <c r="CL782">
        <v>498.36</v>
      </c>
      <c r="CM782">
        <f t="shared" si="91"/>
        <v>160.36000000000001</v>
      </c>
      <c r="CN782">
        <v>4.8899999999999997</v>
      </c>
      <c r="CO782">
        <v>9.4499999999999993</v>
      </c>
      <c r="CP782">
        <f t="shared" si="92"/>
        <v>4.5599999999999996</v>
      </c>
      <c r="CQ782">
        <v>423.28</v>
      </c>
      <c r="CR782">
        <v>245.07</v>
      </c>
      <c r="CS782">
        <f t="shared" si="93"/>
        <v>178.20999999999998</v>
      </c>
      <c r="CT782" t="s">
        <v>152</v>
      </c>
      <c r="CU782">
        <v>61.51</v>
      </c>
      <c r="CV782">
        <v>216</v>
      </c>
      <c r="CW782" s="46">
        <v>5636</v>
      </c>
      <c r="CX782" s="46">
        <f t="shared" si="87"/>
        <v>26.921874231771476</v>
      </c>
      <c r="CY782" s="46">
        <v>160.36000000000001</v>
      </c>
      <c r="CZ782" s="46">
        <f t="shared" si="88"/>
        <v>27.710310241408131</v>
      </c>
      <c r="DA782" s="46">
        <f t="shared" si="89"/>
        <v>70.699654525799829</v>
      </c>
      <c r="DB782" s="46">
        <v>1449297.67</v>
      </c>
      <c r="DC782" s="46">
        <f t="shared" si="90"/>
        <v>2.4849327003379615</v>
      </c>
      <c r="DD782" s="46">
        <v>50939.53</v>
      </c>
      <c r="DE782" s="995">
        <v>5636</v>
      </c>
      <c r="DF782" s="995">
        <v>26.974</v>
      </c>
      <c r="DG782" s="995">
        <v>149.69999999999999</v>
      </c>
      <c r="DH782" s="995">
        <v>27.71</v>
      </c>
      <c r="DI782" s="995">
        <v>174.47300000000001</v>
      </c>
      <c r="DJ782" s="995">
        <v>3574712</v>
      </c>
      <c r="DK782" s="995">
        <v>6.4139999999999997</v>
      </c>
      <c r="DL782" s="995">
        <v>131421.1</v>
      </c>
      <c r="DM782" s="995">
        <v>5636</v>
      </c>
      <c r="DN782" s="995">
        <v>27.096</v>
      </c>
      <c r="DO782" s="995">
        <v>125</v>
      </c>
      <c r="DP782" s="995">
        <v>27.71</v>
      </c>
      <c r="DQ782" s="995">
        <v>165.91499999999999</v>
      </c>
      <c r="DR782" s="995">
        <v>3395293</v>
      </c>
      <c r="DS782" s="995">
        <v>6.1150000000000002</v>
      </c>
      <c r="DT782" s="995">
        <v>125129.60000000001</v>
      </c>
    </row>
    <row r="783" spans="1:124">
      <c r="A783" s="42" t="s">
        <v>95</v>
      </c>
      <c r="B783" s="42" t="s">
        <v>1030</v>
      </c>
      <c r="C783" s="42" t="s">
        <v>1031</v>
      </c>
      <c r="D783" s="42">
        <v>503303</v>
      </c>
      <c r="E783" s="42" t="s">
        <v>1036</v>
      </c>
      <c r="F783" s="42" t="s">
        <v>149</v>
      </c>
      <c r="G783" s="42" t="s">
        <v>150</v>
      </c>
      <c r="H783" s="43" t="s">
        <v>150</v>
      </c>
      <c r="I783" s="44">
        <v>7</v>
      </c>
      <c r="J783" s="45">
        <v>99377.4712</v>
      </c>
      <c r="K783" s="46">
        <v>11745.803354</v>
      </c>
      <c r="L783" s="47">
        <v>111123.274554</v>
      </c>
      <c r="M783" s="48">
        <v>2895382</v>
      </c>
      <c r="N783" s="49">
        <v>1445642</v>
      </c>
      <c r="O783" s="49">
        <v>1444303</v>
      </c>
      <c r="P783" s="49">
        <v>5437</v>
      </c>
      <c r="Q783" s="50">
        <v>6762.7610983981704</v>
      </c>
      <c r="R783" s="51">
        <v>2581.3676323853501</v>
      </c>
      <c r="S783" s="49">
        <v>7554.9270963214403</v>
      </c>
      <c r="T783" s="49">
        <v>861.56618845846299</v>
      </c>
      <c r="U783" s="49">
        <f>IFERROR(INDEX('Rentabilidad datos'!$N$2:$N$61,MATCH($C783,'Rentabilidad datos'!$C$2:$C$61,0)),"")</f>
        <v>10997.860917165253</v>
      </c>
      <c r="V783" s="50">
        <f>IFERROR(INDEX('Rentabilidad datos'!$O$2:$O$61,MATCH($C783,'Rentabilidad datos'!$C$2:$C$61,0)),"")</f>
        <v>1832.9768195275421</v>
      </c>
      <c r="W783" s="51">
        <f>IFERROR(INDEX('Rentabilidad datos'!$M$2:$M$61,MATCH($C783,'Rentabilidad datos'!$C$2:$C$61,0)),"")</f>
        <v>1989.5052980311282</v>
      </c>
      <c r="X783" s="52">
        <f>IFERROR(INDEX('Rentabilidad datos'!$P$2:$P$61,MATCH($C783,'Rentabilidad datos'!$C$2:$C$61,0)),"")</f>
        <v>0.92132291446597758</v>
      </c>
      <c r="Y783" s="43" t="s">
        <v>211</v>
      </c>
      <c r="Z783" s="53">
        <v>47.240274599542303</v>
      </c>
      <c r="AA783" s="43">
        <v>1</v>
      </c>
      <c r="AB783" s="54">
        <v>0.8644672792743755</v>
      </c>
      <c r="AC783" s="55">
        <v>0.13553272072562447</v>
      </c>
      <c r="AD783" s="752" t="e">
        <f>_xlfn.XLOOKUP(Table1[[#This Row],[Ruta]],#REF!,#REF!)</f>
        <v>#REF!</v>
      </c>
      <c r="AE783" s="752" t="e">
        <f>_xlfn.XLOOKUP(Table1[[#This Row],[Ruta]],#REF!,#REF!)</f>
        <v>#REF!</v>
      </c>
      <c r="AF783" s="752" t="e">
        <f>_xlfn.XLOOKUP(Table1[[#This Row],[Ruta]],#REF!,#REF!)</f>
        <v>#REF!</v>
      </c>
      <c r="AG783" s="752" t="e">
        <f>_xlfn.XLOOKUP(Table1[[#This Row],[Ruta]],#REF!,#REF!)</f>
        <v>#REF!</v>
      </c>
      <c r="AH783" s="52">
        <v>0.4992923213586325</v>
      </c>
      <c r="AI783" s="52">
        <v>0.49882986079211655</v>
      </c>
      <c r="AJ783" s="55">
        <v>1.8778178492509796E-3</v>
      </c>
      <c r="AK783" s="56">
        <v>20644</v>
      </c>
      <c r="AL783" s="44">
        <v>14096</v>
      </c>
      <c r="AM783" s="54">
        <v>0.68281340825421399</v>
      </c>
      <c r="AN783" s="55">
        <v>0.67098294814271597</v>
      </c>
      <c r="AO783" s="56">
        <v>0</v>
      </c>
      <c r="AP783" s="48">
        <v>0</v>
      </c>
      <c r="AQ783" s="55">
        <v>0.68281340825421433</v>
      </c>
      <c r="AR783" s="51">
        <v>2955326.6</v>
      </c>
      <c r="AS783" s="49">
        <v>0</v>
      </c>
      <c r="AT783" s="55">
        <v>0</v>
      </c>
      <c r="AU783" s="51">
        <v>0</v>
      </c>
      <c r="AV783" s="52">
        <v>0</v>
      </c>
      <c r="AW783" s="44">
        <v>490</v>
      </c>
      <c r="AX783" s="51">
        <v>209.65710839954599</v>
      </c>
      <c r="AY783" s="49">
        <v>230.498376716835</v>
      </c>
      <c r="AZ783" s="49">
        <v>20.841268317289007</v>
      </c>
      <c r="BA783" s="42" t="s">
        <v>150</v>
      </c>
      <c r="BB783" s="50">
        <v>103219.47936774533</v>
      </c>
      <c r="BC783" s="57">
        <v>103219.47936774533</v>
      </c>
      <c r="BD783" s="42" t="s">
        <v>150</v>
      </c>
      <c r="BE783" s="46">
        <v>47.240274599542303</v>
      </c>
      <c r="BF783" s="46">
        <v>54.101830663615601</v>
      </c>
      <c r="BG783" s="42" t="s">
        <v>152</v>
      </c>
      <c r="BH783" s="52">
        <v>0.68281340825421399</v>
      </c>
      <c r="BI783" s="52">
        <v>0.61163466088899399</v>
      </c>
      <c r="BJ783" s="42" t="s">
        <v>150</v>
      </c>
      <c r="BK783" s="46">
        <v>254.286669459954</v>
      </c>
      <c r="BL783" s="46">
        <v>288.08047217391299</v>
      </c>
      <c r="BM783" s="42" t="s">
        <v>152</v>
      </c>
      <c r="BN783" s="48">
        <v>1</v>
      </c>
      <c r="BO783" s="42" t="s">
        <v>155</v>
      </c>
      <c r="BP783" s="42" t="s">
        <v>152</v>
      </c>
      <c r="BQ783" s="46">
        <v>3865.0748904561201</v>
      </c>
      <c r="BR783" s="46">
        <v>1552</v>
      </c>
      <c r="BS783" s="46">
        <v>79505</v>
      </c>
      <c r="BT783" s="46">
        <v>24021</v>
      </c>
      <c r="BU783" s="46">
        <v>3.3098122476166689</v>
      </c>
      <c r="BV783" s="46">
        <v>15.477448453608247</v>
      </c>
      <c r="BW783" s="46">
        <v>0</v>
      </c>
      <c r="BX783" s="46">
        <v>12560</v>
      </c>
      <c r="BY783" s="46">
        <v>12560</v>
      </c>
      <c r="BZ783" s="46">
        <v>0.52287581699346408</v>
      </c>
      <c r="CA783" s="46">
        <v>0</v>
      </c>
      <c r="CB783" s="46">
        <v>0.52287581699346408</v>
      </c>
      <c r="CC783" s="46">
        <v>0.20332209316847763</v>
      </c>
      <c r="CD783" s="46">
        <v>0.11077806918945921</v>
      </c>
      <c r="CE783" s="46">
        <v>0</v>
      </c>
      <c r="CF783" s="46">
        <v>0.16185837392281749</v>
      </c>
      <c r="CG783" s="46">
        <v>9.9912576495566371E-4</v>
      </c>
      <c r="CH783" s="46">
        <v>1.6652096082594401E-4</v>
      </c>
      <c r="CI783" s="46">
        <v>3.899125841142066</v>
      </c>
      <c r="CJ783" s="46">
        <v>0.26413433117413998</v>
      </c>
      <c r="CK783">
        <v>398</v>
      </c>
      <c r="CL783">
        <v>571.39</v>
      </c>
      <c r="CM783">
        <f t="shared" si="91"/>
        <v>173.39</v>
      </c>
      <c r="CN783">
        <v>4.74</v>
      </c>
      <c r="CO783">
        <v>9.4499999999999993</v>
      </c>
      <c r="CP783">
        <f t="shared" si="92"/>
        <v>4.7099999999999991</v>
      </c>
      <c r="CQ783">
        <v>423.28</v>
      </c>
      <c r="CR783">
        <v>254.29</v>
      </c>
      <c r="CS783">
        <f t="shared" si="93"/>
        <v>168.98999999999998</v>
      </c>
      <c r="CT783" t="s">
        <v>152</v>
      </c>
      <c r="CU783">
        <v>61.47</v>
      </c>
      <c r="CV783">
        <v>232</v>
      </c>
      <c r="CW783" s="46">
        <v>12560</v>
      </c>
      <c r="CX783" s="46">
        <f t="shared" si="87"/>
        <v>51.565754964406153</v>
      </c>
      <c r="CY783" s="46">
        <v>173.39</v>
      </c>
      <c r="CZ783" s="46">
        <f t="shared" si="88"/>
        <v>52.287581699346411</v>
      </c>
      <c r="DA783" s="46">
        <f t="shared" si="89"/>
        <v>64.622867945833733</v>
      </c>
      <c r="DB783" s="46">
        <v>1563510.87</v>
      </c>
      <c r="DC783" s="46">
        <f t="shared" si="90"/>
        <v>2.3225553527077971</v>
      </c>
      <c r="DD783" s="46">
        <v>56192.81</v>
      </c>
      <c r="DE783" s="995">
        <v>12560</v>
      </c>
      <c r="DF783" s="995">
        <v>51.597000000000001</v>
      </c>
      <c r="DG783" s="995">
        <v>165.9</v>
      </c>
      <c r="DH783" s="995">
        <v>52.287999999999997</v>
      </c>
      <c r="DI783" s="995">
        <v>176.61199999999999</v>
      </c>
      <c r="DJ783" s="995">
        <v>4271699</v>
      </c>
      <c r="DK783" s="995">
        <v>6.3879999999999999</v>
      </c>
      <c r="DL783" s="995">
        <v>154496.70000000001</v>
      </c>
      <c r="DM783" s="995">
        <v>12560</v>
      </c>
      <c r="DN783" s="995">
        <v>51.69</v>
      </c>
      <c r="DO783" s="995">
        <v>143.4</v>
      </c>
      <c r="DP783" s="995">
        <v>52.287999999999997</v>
      </c>
      <c r="DQ783" s="995">
        <v>170.24799999999999</v>
      </c>
      <c r="DR783" s="995">
        <v>4113954</v>
      </c>
      <c r="DS783" s="995">
        <v>6.157</v>
      </c>
      <c r="DT783" s="995">
        <v>148784.5</v>
      </c>
    </row>
    <row r="784" spans="1:124">
      <c r="A784" s="42" t="s">
        <v>95</v>
      </c>
      <c r="B784" s="42" t="s">
        <v>1030</v>
      </c>
      <c r="C784" s="42" t="s">
        <v>1031</v>
      </c>
      <c r="D784" s="42">
        <v>503304</v>
      </c>
      <c r="E784" s="42" t="s">
        <v>1037</v>
      </c>
      <c r="F784" s="42" t="s">
        <v>149</v>
      </c>
      <c r="G784" s="42" t="s">
        <v>150</v>
      </c>
      <c r="H784" s="43" t="s">
        <v>150</v>
      </c>
      <c r="I784" s="44">
        <v>7</v>
      </c>
      <c r="J784" s="45">
        <v>93058.285600000003</v>
      </c>
      <c r="K784" s="46">
        <v>13814.573813000001</v>
      </c>
      <c r="L784" s="47">
        <v>106872.859413</v>
      </c>
      <c r="M784" s="48">
        <v>2862575</v>
      </c>
      <c r="N784" s="49">
        <v>1406011</v>
      </c>
      <c r="O784" s="49">
        <v>1452815</v>
      </c>
      <c r="P784" s="49">
        <v>3749</v>
      </c>
      <c r="Q784" s="50">
        <v>6528.5841876430204</v>
      </c>
      <c r="R784" s="51">
        <v>2581.3676323853501</v>
      </c>
      <c r="S784" s="49">
        <v>7554.9270963214403</v>
      </c>
      <c r="T784" s="49">
        <v>861.56618845846299</v>
      </c>
      <c r="U784" s="49">
        <f>IFERROR(INDEX('Rentabilidad datos'!$N$2:$N$61,MATCH($C784,'Rentabilidad datos'!$C$2:$C$61,0)),"")</f>
        <v>10997.860917165253</v>
      </c>
      <c r="V784" s="50">
        <f>IFERROR(INDEX('Rentabilidad datos'!$O$2:$O$61,MATCH($C784,'Rentabilidad datos'!$C$2:$C$61,0)),"")</f>
        <v>1832.9768195275421</v>
      </c>
      <c r="W784" s="51">
        <f>IFERROR(INDEX('Rentabilidad datos'!$M$2:$M$61,MATCH($C784,'Rentabilidad datos'!$C$2:$C$61,0)),"")</f>
        <v>1989.5052980311282</v>
      </c>
      <c r="X784" s="52">
        <f>IFERROR(INDEX('Rentabilidad datos'!$P$2:$P$61,MATCH($C784,'Rentabilidad datos'!$C$2:$C$61,0)),"")</f>
        <v>0.92132291446597758</v>
      </c>
      <c r="Y784" s="43" t="s">
        <v>211</v>
      </c>
      <c r="Z784" s="53">
        <v>53.752860411899299</v>
      </c>
      <c r="AA784" s="43">
        <v>1</v>
      </c>
      <c r="AB784" s="54">
        <v>0.77264665554614287</v>
      </c>
      <c r="AC784" s="55">
        <v>0.2273533444538571</v>
      </c>
      <c r="AD784" s="752" t="e">
        <f>_xlfn.XLOOKUP(Table1[[#This Row],[Ruta]],#REF!,#REF!)</f>
        <v>#REF!</v>
      </c>
      <c r="AE784" s="752" t="e">
        <f>_xlfn.XLOOKUP(Table1[[#This Row],[Ruta]],#REF!,#REF!)</f>
        <v>#REF!</v>
      </c>
      <c r="AF784" s="752" t="e">
        <f>_xlfn.XLOOKUP(Table1[[#This Row],[Ruta]],#REF!,#REF!)</f>
        <v>#REF!</v>
      </c>
      <c r="AG784" s="752" t="e">
        <f>_xlfn.XLOOKUP(Table1[[#This Row],[Ruta]],#REF!,#REF!)</f>
        <v>#REF!</v>
      </c>
      <c r="AH784" s="52">
        <v>0.49117001301275948</v>
      </c>
      <c r="AI784" s="52">
        <v>0.50752032697833249</v>
      </c>
      <c r="AJ784" s="55">
        <v>1.3096600089080636E-3</v>
      </c>
      <c r="AK784" s="56">
        <v>23490</v>
      </c>
      <c r="AL784" s="44">
        <v>15014</v>
      </c>
      <c r="AM784" s="54">
        <v>0.639165602383993</v>
      </c>
      <c r="AN784" s="55">
        <v>0.67098294814271597</v>
      </c>
      <c r="AO784" s="56">
        <v>747.38945187240597</v>
      </c>
      <c r="AP784" s="48">
        <v>373.69472593620299</v>
      </c>
      <c r="AQ784" s="55">
        <v>0.65507427526335471</v>
      </c>
      <c r="AR784" s="51">
        <v>2852991.29</v>
      </c>
      <c r="AS784" s="49">
        <v>71010.243653584999</v>
      </c>
      <c r="AT784" s="55">
        <v>2.4889751294538652E-2</v>
      </c>
      <c r="AU784" s="51">
        <v>49899.090134951643</v>
      </c>
      <c r="AV784" s="52">
        <v>2.2699568310540605E-4</v>
      </c>
      <c r="AW784" s="44">
        <v>429</v>
      </c>
      <c r="AX784" s="51">
        <v>190.02206540562099</v>
      </c>
      <c r="AY784" s="49">
        <v>230.498376716835</v>
      </c>
      <c r="AZ784" s="49">
        <v>40.476311311214005</v>
      </c>
      <c r="BA784" s="42" t="s">
        <v>150</v>
      </c>
      <c r="BB784" s="50">
        <v>213520.19984717228</v>
      </c>
      <c r="BC784" s="57">
        <v>263419.28998212394</v>
      </c>
      <c r="BD784" s="42" t="s">
        <v>150</v>
      </c>
      <c r="BE784" s="46">
        <v>53.752860411899299</v>
      </c>
      <c r="BF784" s="46">
        <v>54.101830663615601</v>
      </c>
      <c r="BG784" s="42" t="s">
        <v>152</v>
      </c>
      <c r="BH784" s="52">
        <v>0.639165602383993</v>
      </c>
      <c r="BI784" s="52">
        <v>0.61163466088899399</v>
      </c>
      <c r="BJ784" s="42" t="s">
        <v>150</v>
      </c>
      <c r="BK784" s="46">
        <v>244.56031902288299</v>
      </c>
      <c r="BL784" s="46">
        <v>288.08047217391299</v>
      </c>
      <c r="BM784" s="42" t="s">
        <v>152</v>
      </c>
      <c r="BN784" s="48">
        <v>1</v>
      </c>
      <c r="BO784" s="42" t="s">
        <v>155</v>
      </c>
      <c r="BP784" s="42" t="s">
        <v>152</v>
      </c>
      <c r="BQ784" s="46">
        <v>0</v>
      </c>
      <c r="BR784" s="46">
        <v>1583</v>
      </c>
      <c r="BS784" s="46">
        <v>96236</v>
      </c>
      <c r="BT784" s="46">
        <v>28957</v>
      </c>
      <c r="BU784" s="46">
        <v>3.3234105742998237</v>
      </c>
      <c r="BV784" s="46">
        <v>18.292482627921668</v>
      </c>
      <c r="BW784" s="46">
        <v>0</v>
      </c>
      <c r="BX784" s="46">
        <v>2916</v>
      </c>
      <c r="BY784" s="46">
        <v>2916</v>
      </c>
      <c r="BZ784" s="46">
        <v>0.10070103947232102</v>
      </c>
      <c r="CA784" s="46">
        <v>0</v>
      </c>
      <c r="CB784" s="46">
        <v>0.10070103947232099</v>
      </c>
      <c r="CC784" s="46">
        <v>0.24229029250267639</v>
      </c>
      <c r="CD784" s="46">
        <v>0.25941913872293398</v>
      </c>
      <c r="CE784" s="46">
        <v>5.3354974617536348E-2</v>
      </c>
      <c r="CF784" s="46">
        <v>0.34416548675622483</v>
      </c>
      <c r="CG784" s="46">
        <v>0</v>
      </c>
      <c r="CH784" s="46">
        <v>6.9067928307490415E-5</v>
      </c>
      <c r="CI784" s="46">
        <v>4.9877384762458954</v>
      </c>
      <c r="CJ784" s="46">
        <v>0.1558668273826842</v>
      </c>
      <c r="CK784">
        <v>328</v>
      </c>
      <c r="CL784">
        <v>453.99</v>
      </c>
      <c r="CM784">
        <f t="shared" si="91"/>
        <v>125.99000000000001</v>
      </c>
      <c r="CN784">
        <v>7.46</v>
      </c>
      <c r="CO784">
        <v>9.4499999999999993</v>
      </c>
      <c r="CP784">
        <f t="shared" si="92"/>
        <v>1.9899999999999993</v>
      </c>
      <c r="CQ784">
        <v>423.28</v>
      </c>
      <c r="CR784">
        <v>244.56</v>
      </c>
      <c r="CS784">
        <f t="shared" si="93"/>
        <v>178.71999999999997</v>
      </c>
      <c r="CT784" t="s">
        <v>152</v>
      </c>
      <c r="CU784">
        <v>87.02</v>
      </c>
      <c r="CV784">
        <v>98</v>
      </c>
      <c r="CW784" s="46">
        <v>2916</v>
      </c>
      <c r="CX784" s="46">
        <f t="shared" si="87"/>
        <v>9.6350105328590665</v>
      </c>
      <c r="CY784" s="46">
        <v>125.99</v>
      </c>
      <c r="CZ784" s="46">
        <f t="shared" si="88"/>
        <v>10.070103947232102</v>
      </c>
      <c r="DA784" s="46">
        <f t="shared" si="89"/>
        <v>44.333539295650134</v>
      </c>
      <c r="DB784" s="46">
        <v>1289351.8799999999</v>
      </c>
      <c r="DC784" s="46">
        <f t="shared" si="90"/>
        <v>1.6582074264028559</v>
      </c>
      <c r="DD784" s="46">
        <v>48225.63</v>
      </c>
      <c r="DE784" s="995">
        <v>2916</v>
      </c>
      <c r="DF784" s="995">
        <v>9.6530000000000005</v>
      </c>
      <c r="DG784" s="995">
        <v>120.6</v>
      </c>
      <c r="DH784" s="995">
        <v>10.07</v>
      </c>
      <c r="DI784" s="995">
        <v>110.14</v>
      </c>
      <c r="DJ784" s="995">
        <v>3202610</v>
      </c>
      <c r="DK784" s="995">
        <v>4.12</v>
      </c>
      <c r="DL784" s="995">
        <v>119803.7</v>
      </c>
      <c r="DM784" s="995">
        <v>2916</v>
      </c>
      <c r="DN784" s="995">
        <v>9.7089999999999996</v>
      </c>
      <c r="DO784" s="995">
        <v>104.6</v>
      </c>
      <c r="DP784" s="995">
        <v>10.07</v>
      </c>
      <c r="DQ784" s="995">
        <v>106.599</v>
      </c>
      <c r="DR784" s="995">
        <v>3097935</v>
      </c>
      <c r="DS784" s="995">
        <v>3.98</v>
      </c>
      <c r="DT784" s="995">
        <v>115667.4</v>
      </c>
    </row>
    <row r="785" spans="1:124">
      <c r="A785" s="42" t="s">
        <v>95</v>
      </c>
      <c r="B785" s="42" t="s">
        <v>1030</v>
      </c>
      <c r="C785" s="42" t="s">
        <v>1031</v>
      </c>
      <c r="D785" s="42">
        <v>503305</v>
      </c>
      <c r="E785" s="42" t="s">
        <v>1038</v>
      </c>
      <c r="F785" s="42" t="s">
        <v>149</v>
      </c>
      <c r="G785" s="42" t="s">
        <v>150</v>
      </c>
      <c r="H785" s="43" t="s">
        <v>150</v>
      </c>
      <c r="I785" s="44">
        <v>7</v>
      </c>
      <c r="J785" s="45">
        <v>79888.032000000007</v>
      </c>
      <c r="K785" s="46">
        <v>7192.7778340000004</v>
      </c>
      <c r="L785" s="47">
        <v>87080.809833999898</v>
      </c>
      <c r="M785" s="48">
        <v>2284863</v>
      </c>
      <c r="N785" s="49">
        <v>1232202</v>
      </c>
      <c r="O785" s="49">
        <v>1050697</v>
      </c>
      <c r="P785" s="49">
        <v>1964</v>
      </c>
      <c r="Q785" s="50">
        <v>5132.7377803203599</v>
      </c>
      <c r="R785" s="51">
        <v>2581.3676323853501</v>
      </c>
      <c r="S785" s="49">
        <v>7554.9270963214403</v>
      </c>
      <c r="T785" s="49">
        <v>861.56618845846299</v>
      </c>
      <c r="U785" s="49">
        <f>IFERROR(INDEX('Rentabilidad datos'!$N$2:$N$61,MATCH($C785,'Rentabilidad datos'!$C$2:$C$61,0)),"")</f>
        <v>10997.860917165253</v>
      </c>
      <c r="V785" s="50">
        <f>IFERROR(INDEX('Rentabilidad datos'!$O$2:$O$61,MATCH($C785,'Rentabilidad datos'!$C$2:$C$61,0)),"")</f>
        <v>1832.9768195275421</v>
      </c>
      <c r="W785" s="51">
        <f>IFERROR(INDEX('Rentabilidad datos'!$M$2:$M$61,MATCH($C785,'Rentabilidad datos'!$C$2:$C$61,0)),"")</f>
        <v>1989.5052980311282</v>
      </c>
      <c r="X785" s="52">
        <f>IFERROR(INDEX('Rentabilidad datos'!$P$2:$P$61,MATCH($C785,'Rentabilidad datos'!$C$2:$C$61,0)),"")</f>
        <v>0.92132291446597758</v>
      </c>
      <c r="Y785" s="43" t="s">
        <v>211</v>
      </c>
      <c r="Z785" s="53">
        <v>51.153318077803199</v>
      </c>
      <c r="AA785" s="43">
        <v>1</v>
      </c>
      <c r="AB785" s="54">
        <v>0.96245683001562898</v>
      </c>
      <c r="AC785" s="55">
        <v>3.7543169984371051E-2</v>
      </c>
      <c r="AD785" s="752" t="e">
        <f>_xlfn.XLOOKUP(Table1[[#This Row],[Ruta]],#REF!,#REF!)</f>
        <v>#REF!</v>
      </c>
      <c r="AE785" s="752" t="e">
        <f>_xlfn.XLOOKUP(Table1[[#This Row],[Ruta]],#REF!,#REF!)</f>
        <v>#REF!</v>
      </c>
      <c r="AF785" s="752" t="e">
        <f>_xlfn.XLOOKUP(Table1[[#This Row],[Ruta]],#REF!,#REF!)</f>
        <v>#REF!</v>
      </c>
      <c r="AG785" s="752" t="e">
        <f>_xlfn.XLOOKUP(Table1[[#This Row],[Ruta]],#REF!,#REF!)</f>
        <v>#REF!</v>
      </c>
      <c r="AH785" s="52">
        <v>0.53928922653130629</v>
      </c>
      <c r="AI785" s="52">
        <v>0.45985120333254115</v>
      </c>
      <c r="AJ785" s="55">
        <v>8.5957013615258328E-4</v>
      </c>
      <c r="AK785" s="56">
        <v>22354</v>
      </c>
      <c r="AL785" s="44">
        <v>12138</v>
      </c>
      <c r="AM785" s="54">
        <v>0.54299006889147405</v>
      </c>
      <c r="AN785" s="55">
        <v>0.67098294814271597</v>
      </c>
      <c r="AO785" s="56">
        <v>2861.1528227822801</v>
      </c>
      <c r="AP785" s="48">
        <v>1430.57641139114</v>
      </c>
      <c r="AQ785" s="55">
        <v>0.6069865085170949</v>
      </c>
      <c r="AR785" s="51">
        <v>2243006.41</v>
      </c>
      <c r="AS785" s="49">
        <v>264359.2075090725</v>
      </c>
      <c r="AT785" s="55">
        <v>0.11785931878325416</v>
      </c>
      <c r="AU785" s="51">
        <v>185765.92960096995</v>
      </c>
      <c r="AV785" s="52">
        <v>8.4506679327097528E-4</v>
      </c>
      <c r="AW785" s="44">
        <v>323</v>
      </c>
      <c r="AX785" s="51">
        <v>184.792091777888</v>
      </c>
      <c r="AY785" s="49">
        <v>230.498376716835</v>
      </c>
      <c r="AZ785" s="49">
        <v>45.706284938946993</v>
      </c>
      <c r="BA785" s="42" t="s">
        <v>150</v>
      </c>
      <c r="BB785" s="50">
        <v>194923.71690962717</v>
      </c>
      <c r="BC785" s="57">
        <v>380689.64651059709</v>
      </c>
      <c r="BD785" s="42" t="s">
        <v>150</v>
      </c>
      <c r="BE785" s="46">
        <v>51.153318077803199</v>
      </c>
      <c r="BF785" s="46">
        <v>54.101830663615601</v>
      </c>
      <c r="BG785" s="42" t="s">
        <v>152</v>
      </c>
      <c r="BH785" s="52">
        <v>0.54299006889147405</v>
      </c>
      <c r="BI785" s="52">
        <v>0.61163466088899399</v>
      </c>
      <c r="BJ785" s="42" t="s">
        <v>152</v>
      </c>
      <c r="BK785" s="46">
        <v>199.26958772082401</v>
      </c>
      <c r="BL785" s="46">
        <v>288.08047217391299</v>
      </c>
      <c r="BM785" s="42" t="s">
        <v>152</v>
      </c>
      <c r="BN785" s="48">
        <v>0</v>
      </c>
      <c r="BO785" s="42" t="s">
        <v>155</v>
      </c>
      <c r="BP785" s="42" t="s">
        <v>152</v>
      </c>
      <c r="BQ785" s="46">
        <v>1145.31207117445</v>
      </c>
      <c r="BR785" s="46">
        <v>489</v>
      </c>
      <c r="BS785" s="46">
        <v>32928</v>
      </c>
      <c r="BT785" s="46">
        <v>10167</v>
      </c>
      <c r="BU785" s="46">
        <v>3.2387134848037769</v>
      </c>
      <c r="BV785" s="46">
        <v>20.791411042944784</v>
      </c>
      <c r="BW785" s="46">
        <v>0</v>
      </c>
      <c r="BX785" s="46">
        <v>3672</v>
      </c>
      <c r="BY785" s="46">
        <v>3672</v>
      </c>
      <c r="BZ785" s="46">
        <v>0.36116848627913839</v>
      </c>
      <c r="CA785" s="46">
        <v>0</v>
      </c>
      <c r="CB785" s="46">
        <v>0.36116848627913839</v>
      </c>
      <c r="CC785" s="46">
        <v>0.1219632143208419</v>
      </c>
      <c r="CD785" s="46">
        <v>2.1441919937051249E-2</v>
      </c>
      <c r="CE785" s="46">
        <v>0</v>
      </c>
      <c r="CF785" s="46">
        <v>0.49355758827579421</v>
      </c>
      <c r="CG785" s="46">
        <v>1.8687911871741909E-3</v>
      </c>
      <c r="CH785" s="46">
        <v>0</v>
      </c>
      <c r="CI785" s="46">
        <v>4.9198250728862973</v>
      </c>
      <c r="CJ785" s="46">
        <v>0.2125850340136054</v>
      </c>
      <c r="CK785">
        <v>213</v>
      </c>
      <c r="CL785">
        <v>379.29</v>
      </c>
      <c r="CM785">
        <f t="shared" si="91"/>
        <v>166.29000000000002</v>
      </c>
      <c r="CN785">
        <v>5.34</v>
      </c>
      <c r="CO785">
        <v>9.4499999999999993</v>
      </c>
      <c r="CP785">
        <f t="shared" si="92"/>
        <v>4.1099999999999994</v>
      </c>
      <c r="CQ785">
        <v>740.74</v>
      </c>
      <c r="CR785">
        <v>199.27</v>
      </c>
      <c r="CS785">
        <f t="shared" si="93"/>
        <v>541.47</v>
      </c>
      <c r="CT785" t="s">
        <v>152</v>
      </c>
      <c r="CU785">
        <v>56.49</v>
      </c>
      <c r="CV785">
        <v>152</v>
      </c>
      <c r="CW785" s="46">
        <v>3672</v>
      </c>
      <c r="CX785" s="46">
        <f t="shared" si="87"/>
        <v>34.481262909412806</v>
      </c>
      <c r="CY785" s="46">
        <v>166.29</v>
      </c>
      <c r="CZ785" s="46">
        <f t="shared" si="88"/>
        <v>36.116848627913839</v>
      </c>
      <c r="DA785" s="46">
        <f t="shared" si="89"/>
        <v>109.87322430706966</v>
      </c>
      <c r="DB785" s="46">
        <v>1135351.8899999999</v>
      </c>
      <c r="DC785" s="46">
        <f t="shared" si="90"/>
        <v>4.2843034503047912</v>
      </c>
      <c r="DD785" s="46">
        <v>44270.95</v>
      </c>
      <c r="DE785" s="995">
        <v>3672</v>
      </c>
      <c r="DF785" s="995">
        <v>34.887999999999998</v>
      </c>
      <c r="DG785" s="995">
        <v>125</v>
      </c>
      <c r="DH785" s="995">
        <v>36.116999999999997</v>
      </c>
      <c r="DI785" s="995">
        <v>226.631</v>
      </c>
      <c r="DJ785" s="995">
        <v>2332481</v>
      </c>
      <c r="DK785" s="995">
        <v>8.8350000000000009</v>
      </c>
      <c r="DL785" s="995">
        <v>90929.2</v>
      </c>
      <c r="DM785" s="995">
        <v>3672</v>
      </c>
      <c r="DN785" s="995">
        <v>35.100999999999999</v>
      </c>
      <c r="DO785" s="995">
        <v>103.3</v>
      </c>
      <c r="DP785" s="995">
        <v>36.116999999999997</v>
      </c>
      <c r="DQ785" s="995">
        <v>213.303</v>
      </c>
      <c r="DR785" s="995">
        <v>2190676</v>
      </c>
      <c r="DS785" s="995">
        <v>8.3140000000000001</v>
      </c>
      <c r="DT785" s="995">
        <v>85390.3</v>
      </c>
    </row>
    <row r="786" spans="1:124">
      <c r="A786" s="42" t="s">
        <v>95</v>
      </c>
      <c r="B786" s="42" t="s">
        <v>1039</v>
      </c>
      <c r="C786" s="42" t="s">
        <v>1040</v>
      </c>
      <c r="D786" s="42">
        <v>407300</v>
      </c>
      <c r="E786" s="42" t="s">
        <v>1041</v>
      </c>
      <c r="F786" s="42" t="s">
        <v>149</v>
      </c>
      <c r="G786" s="42" t="s">
        <v>150</v>
      </c>
      <c r="H786" s="43" t="s">
        <v>152</v>
      </c>
      <c r="I786" s="44">
        <v>6</v>
      </c>
      <c r="J786" s="45">
        <v>0</v>
      </c>
      <c r="K786" s="46">
        <v>23079.887283</v>
      </c>
      <c r="L786" s="47">
        <v>23079.887283</v>
      </c>
      <c r="M786" s="48">
        <v>3428020</v>
      </c>
      <c r="N786" s="49">
        <v>0</v>
      </c>
      <c r="O786" s="49">
        <v>3405895</v>
      </c>
      <c r="P786" s="49">
        <v>22125</v>
      </c>
      <c r="Q786" s="50">
        <v>7781.7153899082596</v>
      </c>
      <c r="R786" s="51">
        <v>926.14838741306698</v>
      </c>
      <c r="S786" s="49">
        <v>4308.9777469532401</v>
      </c>
      <c r="T786" s="49">
        <v>870.62091261773503</v>
      </c>
      <c r="U786" s="49">
        <f>IFERROR(INDEX('Rentabilidad datos'!$N$2:$N$61,MATCH($C786,'Rentabilidad datos'!$C$2:$C$61,0)),"")</f>
        <v>6105.7470469840446</v>
      </c>
      <c r="V786" s="50">
        <f>IFERROR(INDEX('Rentabilidad datos'!$O$2:$O$61,MATCH($C786,'Rentabilidad datos'!$C$2:$C$61,0)),"")</f>
        <v>1221.149409396809</v>
      </c>
      <c r="W786" s="51">
        <f>IFERROR(INDEX('Rentabilidad datos'!$M$2:$M$61,MATCH($C786,'Rentabilidad datos'!$C$2:$C$61,0)),"")</f>
        <v>2027.2848360000007</v>
      </c>
      <c r="X786" s="52">
        <f>IFERROR(INDEX('Rentabilidad datos'!$P$2:$P$61,MATCH($C786,'Rentabilidad datos'!$C$2:$C$61,0)),"")</f>
        <v>0.60235709739053589</v>
      </c>
      <c r="Y786" s="43" t="s">
        <v>211</v>
      </c>
      <c r="Z786" s="53">
        <v>0</v>
      </c>
      <c r="AA786" s="43">
        <v>1</v>
      </c>
      <c r="AB786" s="54">
        <v>0.86944212694208323</v>
      </c>
      <c r="AC786" s="55">
        <v>0.1305578730579168</v>
      </c>
      <c r="AD786" s="752" t="e">
        <f>_xlfn.XLOOKUP(Table1[[#This Row],[Ruta]],#REF!,#REF!)</f>
        <v>#REF!</v>
      </c>
      <c r="AE786" s="752" t="e">
        <f>_xlfn.XLOOKUP(Table1[[#This Row],[Ruta]],#REF!,#REF!)</f>
        <v>#REF!</v>
      </c>
      <c r="AF786" s="752" t="e">
        <f>_xlfn.XLOOKUP(Table1[[#This Row],[Ruta]],#REF!,#REF!)</f>
        <v>#REF!</v>
      </c>
      <c r="AG786" s="752" t="e">
        <f>_xlfn.XLOOKUP(Table1[[#This Row],[Ruta]],#REF!,#REF!)</f>
        <v>#REF!</v>
      </c>
      <c r="AH786" s="52">
        <v>0</v>
      </c>
      <c r="AI786" s="52">
        <v>0.99354583695544363</v>
      </c>
      <c r="AJ786" s="55">
        <v>6.4541630445563332E-3</v>
      </c>
      <c r="AK786" s="56">
        <v>0</v>
      </c>
      <c r="AL786" s="44">
        <v>8801</v>
      </c>
      <c r="AM786" s="54">
        <v>0</v>
      </c>
      <c r="AN786" s="55">
        <v>0</v>
      </c>
      <c r="AO786" s="56">
        <v>0</v>
      </c>
      <c r="AP786" s="48">
        <v>0</v>
      </c>
      <c r="AQ786" s="55" t="s">
        <v>194</v>
      </c>
      <c r="AR786" s="51">
        <v>3392827.91</v>
      </c>
      <c r="AS786" s="49">
        <v>0</v>
      </c>
      <c r="AT786" s="55">
        <v>0</v>
      </c>
      <c r="AU786" s="51">
        <v>0</v>
      </c>
      <c r="AV786" s="52">
        <v>0</v>
      </c>
      <c r="AW786" s="44">
        <v>490</v>
      </c>
      <c r="AX786" s="51">
        <v>385.504818770594</v>
      </c>
      <c r="AY786" s="49">
        <v>440.44761618669401</v>
      </c>
      <c r="AZ786" s="49">
        <v>54.942797416100007</v>
      </c>
      <c r="BA786" s="42" t="s">
        <v>150</v>
      </c>
      <c r="BB786" s="50">
        <v>169896.49407481763</v>
      </c>
      <c r="BC786" s="57">
        <v>169896.49407481763</v>
      </c>
      <c r="BD786" s="42" t="s">
        <v>152</v>
      </c>
      <c r="BE786" s="46" t="s">
        <v>195</v>
      </c>
      <c r="BF786" s="46" t="s">
        <v>195</v>
      </c>
      <c r="BG786" s="42" t="s">
        <v>195</v>
      </c>
      <c r="BH786" s="52" t="s">
        <v>195</v>
      </c>
      <c r="BI786" s="52" t="s">
        <v>195</v>
      </c>
      <c r="BJ786" s="42" t="s">
        <v>195</v>
      </c>
      <c r="BK786" s="46" t="s">
        <v>195</v>
      </c>
      <c r="BL786" s="46" t="s">
        <v>195</v>
      </c>
      <c r="BM786" s="42" t="s">
        <v>195</v>
      </c>
      <c r="BN786" s="48" t="s">
        <v>195</v>
      </c>
      <c r="BO786" s="42" t="s">
        <v>195</v>
      </c>
      <c r="BP786" s="42" t="s">
        <v>152</v>
      </c>
      <c r="BQ786" s="46">
        <v>0</v>
      </c>
      <c r="BR786" s="46">
        <v>2268</v>
      </c>
      <c r="BS786" s="46">
        <v>122806</v>
      </c>
      <c r="BT786" s="46">
        <v>41808</v>
      </c>
      <c r="BU786" s="46">
        <v>2.9373804056639878</v>
      </c>
      <c r="BV786" s="46">
        <v>18.433862433862434</v>
      </c>
      <c r="BW786" s="46">
        <v>6168</v>
      </c>
      <c r="BX786" s="46">
        <v>17214</v>
      </c>
      <c r="BY786" s="46">
        <v>23382</v>
      </c>
      <c r="BZ786" s="46">
        <v>0.55927095292766937</v>
      </c>
      <c r="CA786" s="46">
        <v>0.1475315729047072</v>
      </c>
      <c r="CB786" s="46">
        <v>0.41173938002296212</v>
      </c>
      <c r="CC786" s="46">
        <v>0.37117298124760811</v>
      </c>
      <c r="CD786" s="46">
        <v>1.2389973210868731E-2</v>
      </c>
      <c r="CE786" s="46">
        <v>0</v>
      </c>
      <c r="CF786" s="46">
        <v>5.716609261385381E-2</v>
      </c>
      <c r="CG786" s="46">
        <v>0</v>
      </c>
      <c r="CH786" s="46">
        <v>0</v>
      </c>
      <c r="CI786" s="46">
        <v>1.425011807240689</v>
      </c>
      <c r="CJ786" s="46">
        <v>0.87943585818282499</v>
      </c>
      <c r="CK786">
        <v>295</v>
      </c>
      <c r="CL786">
        <v>733.11</v>
      </c>
      <c r="CM786">
        <f t="shared" si="91"/>
        <v>438.11</v>
      </c>
      <c r="CN786">
        <v>3.85</v>
      </c>
      <c r="CO786">
        <v>9.4499999999999993</v>
      </c>
      <c r="CP786">
        <f t="shared" si="92"/>
        <v>5.6</v>
      </c>
      <c r="CQ786">
        <v>846.56</v>
      </c>
      <c r="CR786">
        <v>0</v>
      </c>
      <c r="CS786">
        <f t="shared" si="93"/>
        <v>846.56</v>
      </c>
      <c r="CT786" t="s">
        <v>152</v>
      </c>
      <c r="CU786">
        <v>40.78</v>
      </c>
      <c r="CV786">
        <v>178</v>
      </c>
      <c r="CW786" s="46">
        <v>23382</v>
      </c>
      <c r="CX786" s="46">
        <f t="shared" si="87"/>
        <v>54.879185801760421</v>
      </c>
      <c r="CY786" s="46">
        <v>438.11</v>
      </c>
      <c r="CZ786" s="46">
        <f t="shared" si="88"/>
        <v>55.927095292766936</v>
      </c>
      <c r="DA786" s="46">
        <f t="shared" si="89"/>
        <v>75.427361951195024</v>
      </c>
      <c r="DB786" s="46">
        <v>3186512.63</v>
      </c>
      <c r="DC786" s="46">
        <f t="shared" si="90"/>
        <v>0.50785314908283863</v>
      </c>
      <c r="DD786" s="46">
        <v>21454.82</v>
      </c>
      <c r="DE786" s="995">
        <v>23382</v>
      </c>
      <c r="DF786" s="995">
        <v>55.287999999999997</v>
      </c>
      <c r="DG786" s="995">
        <v>267.3</v>
      </c>
      <c r="DH786" s="995">
        <v>55.927</v>
      </c>
      <c r="DI786" s="995">
        <v>102.33499999999999</v>
      </c>
      <c r="DJ786" s="995">
        <v>4305794</v>
      </c>
      <c r="DK786" s="995">
        <v>0.69</v>
      </c>
      <c r="DL786" s="995">
        <v>29026.400000000001</v>
      </c>
      <c r="DM786" s="995">
        <v>23382</v>
      </c>
      <c r="DN786" s="995">
        <v>55.378</v>
      </c>
      <c r="DO786" s="995">
        <v>229.7</v>
      </c>
      <c r="DP786" s="995">
        <v>55.927</v>
      </c>
      <c r="DQ786" s="995">
        <v>96.417000000000002</v>
      </c>
      <c r="DR786" s="995">
        <v>4053168</v>
      </c>
      <c r="DS786" s="995">
        <v>0.65</v>
      </c>
      <c r="DT786" s="995">
        <v>27323.200000000001</v>
      </c>
    </row>
    <row r="787" spans="1:124">
      <c r="A787" s="42" t="s">
        <v>95</v>
      </c>
      <c r="B787" s="42" t="s">
        <v>1039</v>
      </c>
      <c r="C787" s="42" t="s">
        <v>1040</v>
      </c>
      <c r="D787" s="42">
        <v>407301</v>
      </c>
      <c r="E787" s="42" t="s">
        <v>1042</v>
      </c>
      <c r="F787" s="42" t="s">
        <v>149</v>
      </c>
      <c r="G787" s="42" t="s">
        <v>150</v>
      </c>
      <c r="H787" s="43" t="s">
        <v>152</v>
      </c>
      <c r="I787" s="44">
        <v>6</v>
      </c>
      <c r="J787" s="45">
        <v>0</v>
      </c>
      <c r="K787" s="46">
        <v>22633.351142</v>
      </c>
      <c r="L787" s="47">
        <v>22633.351142</v>
      </c>
      <c r="M787" s="48">
        <v>2502174</v>
      </c>
      <c r="N787" s="49">
        <v>0</v>
      </c>
      <c r="O787" s="49">
        <v>2459704</v>
      </c>
      <c r="P787" s="49">
        <v>42470</v>
      </c>
      <c r="Q787" s="50">
        <v>5844.7318390804603</v>
      </c>
      <c r="R787" s="51">
        <v>926.14838741306698</v>
      </c>
      <c r="S787" s="49">
        <v>4308.9777469532401</v>
      </c>
      <c r="T787" s="49">
        <v>870.62091261773503</v>
      </c>
      <c r="U787" s="49">
        <f>IFERROR(INDEX('Rentabilidad datos'!$N$2:$N$61,MATCH($C787,'Rentabilidad datos'!$C$2:$C$61,0)),"")</f>
        <v>6105.7470469840446</v>
      </c>
      <c r="V787" s="50">
        <f>IFERROR(INDEX('Rentabilidad datos'!$O$2:$O$61,MATCH($C787,'Rentabilidad datos'!$C$2:$C$61,0)),"")</f>
        <v>1221.149409396809</v>
      </c>
      <c r="W787" s="51">
        <f>IFERROR(INDEX('Rentabilidad datos'!$M$2:$M$61,MATCH($C787,'Rentabilidad datos'!$C$2:$C$61,0)),"")</f>
        <v>2027.2848360000007</v>
      </c>
      <c r="X787" s="52">
        <f>IFERROR(INDEX('Rentabilidad datos'!$P$2:$P$61,MATCH($C787,'Rentabilidad datos'!$C$2:$C$61,0)),"")</f>
        <v>0.60235709739053589</v>
      </c>
      <c r="Y787" s="43" t="s">
        <v>211</v>
      </c>
      <c r="Z787" s="53">
        <v>0</v>
      </c>
      <c r="AA787" s="43">
        <v>1</v>
      </c>
      <c r="AB787" s="54">
        <v>0.67469968115726564</v>
      </c>
      <c r="AC787" s="55">
        <v>0.32530031884273436</v>
      </c>
      <c r="AD787" s="752" t="e">
        <f>_xlfn.XLOOKUP(Table1[[#This Row],[Ruta]],#REF!,#REF!)</f>
        <v>#REF!</v>
      </c>
      <c r="AE787" s="752" t="e">
        <f>_xlfn.XLOOKUP(Table1[[#This Row],[Ruta]],#REF!,#REF!)</f>
        <v>#REF!</v>
      </c>
      <c r="AF787" s="752" t="e">
        <f>_xlfn.XLOOKUP(Table1[[#This Row],[Ruta]],#REF!,#REF!)</f>
        <v>#REF!</v>
      </c>
      <c r="AG787" s="752" t="e">
        <f>_xlfn.XLOOKUP(Table1[[#This Row],[Ruta]],#REF!,#REF!)</f>
        <v>#REF!</v>
      </c>
      <c r="AH787" s="52">
        <v>0</v>
      </c>
      <c r="AI787" s="52">
        <v>0.98302675992956523</v>
      </c>
      <c r="AJ787" s="55">
        <v>1.6973240070434749E-2</v>
      </c>
      <c r="AK787" s="56">
        <v>0</v>
      </c>
      <c r="AL787" s="44">
        <v>5542</v>
      </c>
      <c r="AM787" s="54">
        <v>0</v>
      </c>
      <c r="AN787" s="55">
        <v>0</v>
      </c>
      <c r="AO787" s="56">
        <v>0</v>
      </c>
      <c r="AP787" s="48">
        <v>0</v>
      </c>
      <c r="AQ787" s="55" t="s">
        <v>194</v>
      </c>
      <c r="AR787" s="51">
        <v>2542458.35</v>
      </c>
      <c r="AS787" s="49">
        <v>0</v>
      </c>
      <c r="AT787" s="55">
        <v>0</v>
      </c>
      <c r="AU787" s="51">
        <v>0</v>
      </c>
      <c r="AV787" s="52">
        <v>0</v>
      </c>
      <c r="AW787" s="44">
        <v>490</v>
      </c>
      <c r="AX787" s="51">
        <v>458.76188199206098</v>
      </c>
      <c r="AY787" s="49">
        <v>440.44761618669401</v>
      </c>
      <c r="AZ787" s="49">
        <v>0</v>
      </c>
      <c r="BA787" s="42" t="s">
        <v>152</v>
      </c>
      <c r="BB787" s="50">
        <v>0</v>
      </c>
      <c r="BC787" s="57">
        <v>0</v>
      </c>
      <c r="BD787" s="42" t="s">
        <v>152</v>
      </c>
      <c r="BE787" s="46" t="s">
        <v>195</v>
      </c>
      <c r="BF787" s="46" t="s">
        <v>195</v>
      </c>
      <c r="BG787" s="42" t="s">
        <v>195</v>
      </c>
      <c r="BH787" s="52" t="s">
        <v>195</v>
      </c>
      <c r="BI787" s="52" t="s">
        <v>195</v>
      </c>
      <c r="BJ787" s="42" t="s">
        <v>195</v>
      </c>
      <c r="BK787" s="46" t="s">
        <v>195</v>
      </c>
      <c r="BL787" s="46" t="s">
        <v>195</v>
      </c>
      <c r="BM787" s="42" t="s">
        <v>195</v>
      </c>
      <c r="BN787" s="48" t="s">
        <v>195</v>
      </c>
      <c r="BO787" s="42" t="s">
        <v>195</v>
      </c>
      <c r="BP787" s="42" t="s">
        <v>152</v>
      </c>
      <c r="BQ787" s="46">
        <v>0</v>
      </c>
      <c r="BR787" s="46">
        <v>2844</v>
      </c>
      <c r="BS787" s="46">
        <v>218563</v>
      </c>
      <c r="BT787" s="46">
        <v>67855</v>
      </c>
      <c r="BU787" s="46">
        <v>3.2210301377938251</v>
      </c>
      <c r="BV787" s="46">
        <v>23.859001406469762</v>
      </c>
      <c r="BW787" s="46">
        <v>8014</v>
      </c>
      <c r="BX787" s="46">
        <v>12830</v>
      </c>
      <c r="BY787" s="46">
        <v>20844</v>
      </c>
      <c r="BZ787" s="46">
        <v>0.30718443740328644</v>
      </c>
      <c r="CA787" s="46">
        <v>0.11810478225628181</v>
      </c>
      <c r="CB787" s="46">
        <v>0.18907965514700459</v>
      </c>
      <c r="CC787" s="46">
        <v>0.35222164910470849</v>
      </c>
      <c r="CD787" s="46">
        <v>9.8533637904354876E-2</v>
      </c>
      <c r="CE787" s="46">
        <v>6.8233733696853576E-3</v>
      </c>
      <c r="CF787" s="46">
        <v>0.23522216491047079</v>
      </c>
      <c r="CG787" s="46">
        <v>0</v>
      </c>
      <c r="CH787" s="46">
        <v>1.4737307493920861E-5</v>
      </c>
      <c r="CI787" s="46">
        <v>1.8941906910135751</v>
      </c>
      <c r="CJ787" s="46">
        <v>0.43923262400314778</v>
      </c>
      <c r="CK787">
        <v>530</v>
      </c>
      <c r="CL787">
        <v>762.33</v>
      </c>
      <c r="CM787">
        <f t="shared" si="91"/>
        <v>232.33000000000004</v>
      </c>
      <c r="CN787">
        <v>16.28</v>
      </c>
      <c r="CO787">
        <v>9.4499999999999993</v>
      </c>
      <c r="CP787">
        <f t="shared" si="92"/>
        <v>-6.8300000000000018</v>
      </c>
      <c r="CQ787">
        <v>733.69</v>
      </c>
      <c r="CR787">
        <v>0</v>
      </c>
      <c r="CS787">
        <f t="shared" si="93"/>
        <v>733.69</v>
      </c>
      <c r="CT787" t="s">
        <v>150</v>
      </c>
      <c r="CU787">
        <v>172.26</v>
      </c>
      <c r="CV787">
        <v>62</v>
      </c>
      <c r="CW787" s="46">
        <v>20844</v>
      </c>
      <c r="CX787" s="46">
        <f t="shared" si="87"/>
        <v>30.376051875322375</v>
      </c>
      <c r="CY787" s="46">
        <v>232.33</v>
      </c>
      <c r="CZ787" s="46">
        <f t="shared" si="88"/>
        <v>30.718443740328645</v>
      </c>
      <c r="DA787" s="46">
        <f t="shared" si="89"/>
        <v>24.627027671668134</v>
      </c>
      <c r="DB787" s="46">
        <v>1676788.56</v>
      </c>
      <c r="DC787" s="46">
        <f t="shared" si="90"/>
        <v>0.18788356071533424</v>
      </c>
      <c r="DD787" s="46">
        <v>12792.49</v>
      </c>
      <c r="DE787" s="995">
        <v>20844</v>
      </c>
      <c r="DF787" s="995">
        <v>30.434999999999999</v>
      </c>
      <c r="DG787" s="995">
        <v>192.6</v>
      </c>
      <c r="DH787" s="995">
        <v>30.718</v>
      </c>
      <c r="DI787" s="995">
        <v>69.52</v>
      </c>
      <c r="DJ787" s="995">
        <v>4730646</v>
      </c>
      <c r="DK787" s="995">
        <v>0.55400000000000005</v>
      </c>
      <c r="DL787" s="995">
        <v>37677.9</v>
      </c>
      <c r="DM787" s="995">
        <v>20844</v>
      </c>
      <c r="DN787" s="995">
        <v>30.446999999999999</v>
      </c>
      <c r="DO787" s="995">
        <v>184.2</v>
      </c>
      <c r="DP787" s="995">
        <v>30.718</v>
      </c>
      <c r="DQ787" s="995">
        <v>68.783000000000001</v>
      </c>
      <c r="DR787" s="995">
        <v>4679906</v>
      </c>
      <c r="DS787" s="995">
        <v>0.54800000000000004</v>
      </c>
      <c r="DT787" s="995">
        <v>37298.1</v>
      </c>
    </row>
    <row r="788" spans="1:124">
      <c r="A788" s="42" t="s">
        <v>95</v>
      </c>
      <c r="B788" s="42" t="s">
        <v>1039</v>
      </c>
      <c r="C788" s="42" t="s">
        <v>1040</v>
      </c>
      <c r="D788" s="42">
        <v>407302</v>
      </c>
      <c r="E788" s="42" t="s">
        <v>1043</v>
      </c>
      <c r="F788" s="42" t="s">
        <v>149</v>
      </c>
      <c r="G788" s="42" t="s">
        <v>150</v>
      </c>
      <c r="H788" s="43" t="s">
        <v>152</v>
      </c>
      <c r="I788" s="44">
        <v>6</v>
      </c>
      <c r="J788" s="45">
        <v>0</v>
      </c>
      <c r="K788" s="46">
        <v>26234.387444</v>
      </c>
      <c r="L788" s="47">
        <v>26234.387444</v>
      </c>
      <c r="M788" s="48">
        <v>3182381</v>
      </c>
      <c r="N788" s="49">
        <v>0</v>
      </c>
      <c r="O788" s="49">
        <v>3139369</v>
      </c>
      <c r="P788" s="49">
        <v>43012</v>
      </c>
      <c r="Q788" s="50">
        <v>7050.4397235023098</v>
      </c>
      <c r="R788" s="51">
        <v>926.14838741306698</v>
      </c>
      <c r="S788" s="49">
        <v>4308.9777469532401</v>
      </c>
      <c r="T788" s="49">
        <v>870.62091261773503</v>
      </c>
      <c r="U788" s="49">
        <f>IFERROR(INDEX('Rentabilidad datos'!$N$2:$N$61,MATCH($C788,'Rentabilidad datos'!$C$2:$C$61,0)),"")</f>
        <v>6105.7470469840446</v>
      </c>
      <c r="V788" s="50">
        <f>IFERROR(INDEX('Rentabilidad datos'!$O$2:$O$61,MATCH($C788,'Rentabilidad datos'!$C$2:$C$61,0)),"")</f>
        <v>1221.149409396809</v>
      </c>
      <c r="W788" s="51">
        <f>IFERROR(INDEX('Rentabilidad datos'!$M$2:$M$61,MATCH($C788,'Rentabilidad datos'!$C$2:$C$61,0)),"")</f>
        <v>2027.2848360000007</v>
      </c>
      <c r="X788" s="52">
        <f>IFERROR(INDEX('Rentabilidad datos'!$P$2:$P$61,MATCH($C788,'Rentabilidad datos'!$C$2:$C$61,0)),"")</f>
        <v>0.60235709739053589</v>
      </c>
      <c r="Y788" s="43" t="s">
        <v>211</v>
      </c>
      <c r="Z788" s="53">
        <v>0</v>
      </c>
      <c r="AA788" s="43">
        <v>1</v>
      </c>
      <c r="AB788" s="54">
        <v>0.7920091906028851</v>
      </c>
      <c r="AC788" s="55">
        <v>0.20799080939711492</v>
      </c>
      <c r="AD788" s="752" t="e">
        <f>_xlfn.XLOOKUP(Table1[[#This Row],[Ruta]],#REF!,#REF!)</f>
        <v>#REF!</v>
      </c>
      <c r="AE788" s="752" t="e">
        <f>_xlfn.XLOOKUP(Table1[[#This Row],[Ruta]],#REF!,#REF!)</f>
        <v>#REF!</v>
      </c>
      <c r="AF788" s="752" t="e">
        <f>_xlfn.XLOOKUP(Table1[[#This Row],[Ruta]],#REF!,#REF!)</f>
        <v>#REF!</v>
      </c>
      <c r="AG788" s="752" t="e">
        <f>_xlfn.XLOOKUP(Table1[[#This Row],[Ruta]],#REF!,#REF!)</f>
        <v>#REF!</v>
      </c>
      <c r="AH788" s="52">
        <v>0</v>
      </c>
      <c r="AI788" s="52">
        <v>0.98648433358545062</v>
      </c>
      <c r="AJ788" s="55">
        <v>1.3515666414549357E-2</v>
      </c>
      <c r="AK788" s="56">
        <v>0</v>
      </c>
      <c r="AL788" s="44">
        <v>11107</v>
      </c>
      <c r="AM788" s="54">
        <v>0</v>
      </c>
      <c r="AN788" s="55">
        <v>0</v>
      </c>
      <c r="AO788" s="56">
        <v>0</v>
      </c>
      <c r="AP788" s="48">
        <v>0</v>
      </c>
      <c r="AQ788" s="55" t="s">
        <v>194</v>
      </c>
      <c r="AR788" s="51">
        <v>3059890.84</v>
      </c>
      <c r="AS788" s="49">
        <v>0</v>
      </c>
      <c r="AT788" s="55">
        <v>0</v>
      </c>
      <c r="AU788" s="51">
        <v>0</v>
      </c>
      <c r="AV788" s="52">
        <v>0</v>
      </c>
      <c r="AW788" s="44">
        <v>490</v>
      </c>
      <c r="AX788" s="51">
        <v>275.49210767984198</v>
      </c>
      <c r="AY788" s="49">
        <v>440.44761618669401</v>
      </c>
      <c r="AZ788" s="49">
        <v>164.95550850685203</v>
      </c>
      <c r="BA788" s="42" t="s">
        <v>150</v>
      </c>
      <c r="BB788" s="50">
        <v>643732.18456251035</v>
      </c>
      <c r="BC788" s="57">
        <v>643732.18456251035</v>
      </c>
      <c r="BD788" s="42" t="s">
        <v>152</v>
      </c>
      <c r="BE788" s="46" t="s">
        <v>195</v>
      </c>
      <c r="BF788" s="46" t="s">
        <v>195</v>
      </c>
      <c r="BG788" s="42" t="s">
        <v>195</v>
      </c>
      <c r="BH788" s="52" t="s">
        <v>195</v>
      </c>
      <c r="BI788" s="52" t="s">
        <v>195</v>
      </c>
      <c r="BJ788" s="42" t="s">
        <v>195</v>
      </c>
      <c r="BK788" s="46" t="s">
        <v>195</v>
      </c>
      <c r="BL788" s="46" t="s">
        <v>195</v>
      </c>
      <c r="BM788" s="42" t="s">
        <v>195</v>
      </c>
      <c r="BN788" s="48" t="s">
        <v>195</v>
      </c>
      <c r="BO788" s="42" t="s">
        <v>195</v>
      </c>
      <c r="BP788" s="42" t="s">
        <v>152</v>
      </c>
      <c r="BQ788" s="46">
        <v>0</v>
      </c>
      <c r="BR788" s="46">
        <v>4223</v>
      </c>
      <c r="BS788" s="46">
        <v>204328</v>
      </c>
      <c r="BT788" s="46">
        <v>64053</v>
      </c>
      <c r="BU788" s="46">
        <v>3.1899832950837586</v>
      </c>
      <c r="BV788" s="46">
        <v>15.167653327018707</v>
      </c>
      <c r="BW788" s="46">
        <v>3036</v>
      </c>
      <c r="BX788" s="46">
        <v>3774</v>
      </c>
      <c r="BY788" s="46">
        <v>6810</v>
      </c>
      <c r="BZ788" s="46">
        <v>0.1063182052362887</v>
      </c>
      <c r="CA788" s="46">
        <v>4.7398248325605359E-2</v>
      </c>
      <c r="CB788" s="46">
        <v>5.891995691068333E-2</v>
      </c>
      <c r="CC788" s="46">
        <v>0.39678079090752971</v>
      </c>
      <c r="CD788" s="46">
        <v>0.18049115576163491</v>
      </c>
      <c r="CE788" s="46">
        <v>1.0147846314770581E-3</v>
      </c>
      <c r="CF788" s="46">
        <v>0.31530139103554872</v>
      </c>
      <c r="CG788" s="46">
        <v>9.3672427520959207E-5</v>
      </c>
      <c r="CH788" s="46">
        <v>0</v>
      </c>
      <c r="CI788" s="46">
        <v>2.9805019380603741</v>
      </c>
      <c r="CJ788" s="46">
        <v>0.55303237931169502</v>
      </c>
      <c r="CK788">
        <v>358</v>
      </c>
      <c r="CL788">
        <v>460.8</v>
      </c>
      <c r="CM788">
        <f t="shared" si="91"/>
        <v>102.80000000000001</v>
      </c>
      <c r="CN788">
        <v>5.51</v>
      </c>
      <c r="CO788">
        <v>9.4499999999999993</v>
      </c>
      <c r="CP788">
        <f t="shared" si="92"/>
        <v>3.9399999999999995</v>
      </c>
      <c r="CQ788">
        <v>846.56</v>
      </c>
      <c r="CR788">
        <v>0</v>
      </c>
      <c r="CS788">
        <f t="shared" si="93"/>
        <v>846.56</v>
      </c>
      <c r="CT788" t="s">
        <v>152</v>
      </c>
      <c r="CU788">
        <v>58.32</v>
      </c>
      <c r="CV788">
        <v>48</v>
      </c>
      <c r="CW788" s="46">
        <v>6810</v>
      </c>
      <c r="CX788" s="46">
        <f t="shared" si="87"/>
        <v>10.471328431142959</v>
      </c>
      <c r="CY788" s="46">
        <v>102.8</v>
      </c>
      <c r="CZ788" s="46">
        <f t="shared" si="88"/>
        <v>10.631820523628869</v>
      </c>
      <c r="DA788" s="46">
        <f t="shared" si="89"/>
        <v>15.450541338429261</v>
      </c>
      <c r="DB788" s="46">
        <v>991241.84</v>
      </c>
      <c r="DC788" s="46">
        <f t="shared" si="90"/>
        <v>0.11918485935800036</v>
      </c>
      <c r="DD788" s="46">
        <v>7646.4</v>
      </c>
      <c r="DE788" s="995">
        <v>6810</v>
      </c>
      <c r="DF788" s="995">
        <v>10.532</v>
      </c>
      <c r="DG788" s="995">
        <v>63.7</v>
      </c>
      <c r="DH788" s="995">
        <v>10.632</v>
      </c>
      <c r="DI788" s="995">
        <v>42.343000000000004</v>
      </c>
      <c r="DJ788" s="995">
        <v>2714862</v>
      </c>
      <c r="DK788" s="995">
        <v>0.35199999999999998</v>
      </c>
      <c r="DL788" s="995">
        <v>22595.200000000001</v>
      </c>
      <c r="DM788" s="995">
        <v>6810</v>
      </c>
      <c r="DN788" s="995">
        <v>10.544</v>
      </c>
      <c r="DO788" s="995">
        <v>56.1</v>
      </c>
      <c r="DP788" s="995">
        <v>10.632</v>
      </c>
      <c r="DQ788" s="995">
        <v>41.656999999999996</v>
      </c>
      <c r="DR788" s="995">
        <v>2670585</v>
      </c>
      <c r="DS788" s="995">
        <v>0.34699999999999998</v>
      </c>
      <c r="DT788" s="995">
        <v>22250.3</v>
      </c>
    </row>
    <row r="789" spans="1:124">
      <c r="A789" s="42" t="s">
        <v>95</v>
      </c>
      <c r="B789" s="42" t="s">
        <v>1039</v>
      </c>
      <c r="C789" s="42" t="s">
        <v>1040</v>
      </c>
      <c r="D789" s="42">
        <v>407303</v>
      </c>
      <c r="E789" s="42" t="s">
        <v>1044</v>
      </c>
      <c r="F789" s="42" t="s">
        <v>149</v>
      </c>
      <c r="G789" s="42" t="s">
        <v>150</v>
      </c>
      <c r="H789" s="43" t="s">
        <v>152</v>
      </c>
      <c r="I789" s="44">
        <v>6</v>
      </c>
      <c r="J789" s="45">
        <v>0</v>
      </c>
      <c r="K789" s="46">
        <v>24839.818725000001</v>
      </c>
      <c r="L789" s="47">
        <v>24839.818725000001</v>
      </c>
      <c r="M789" s="48">
        <v>2847656</v>
      </c>
      <c r="N789" s="49">
        <v>0</v>
      </c>
      <c r="O789" s="49">
        <v>2800647</v>
      </c>
      <c r="P789" s="49">
        <v>47009</v>
      </c>
      <c r="Q789" s="50">
        <v>6417.9657701149399</v>
      </c>
      <c r="R789" s="51">
        <v>926.14838741306698</v>
      </c>
      <c r="S789" s="49">
        <v>4308.9777469532401</v>
      </c>
      <c r="T789" s="49">
        <v>870.62091261773503</v>
      </c>
      <c r="U789" s="49">
        <f>IFERROR(INDEX('Rentabilidad datos'!$N$2:$N$61,MATCH($C789,'Rentabilidad datos'!$C$2:$C$61,0)),"")</f>
        <v>6105.7470469840446</v>
      </c>
      <c r="V789" s="50">
        <f>IFERROR(INDEX('Rentabilidad datos'!$O$2:$O$61,MATCH($C789,'Rentabilidad datos'!$C$2:$C$61,0)),"")</f>
        <v>1221.149409396809</v>
      </c>
      <c r="W789" s="51">
        <f>IFERROR(INDEX('Rentabilidad datos'!$M$2:$M$61,MATCH($C789,'Rentabilidad datos'!$C$2:$C$61,0)),"")</f>
        <v>2027.2848360000007</v>
      </c>
      <c r="X789" s="52">
        <f>IFERROR(INDEX('Rentabilidad datos'!$P$2:$P$61,MATCH($C789,'Rentabilidad datos'!$C$2:$C$61,0)),"")</f>
        <v>0.60235709739053589</v>
      </c>
      <c r="Y789" s="43" t="s">
        <v>211</v>
      </c>
      <c r="Z789" s="53">
        <v>0</v>
      </c>
      <c r="AA789" s="43">
        <v>1</v>
      </c>
      <c r="AB789" s="54">
        <v>0.85476546324415592</v>
      </c>
      <c r="AC789" s="55">
        <v>0.14523453675584411</v>
      </c>
      <c r="AD789" s="752" t="e">
        <f>_xlfn.XLOOKUP(Table1[[#This Row],[Ruta]],#REF!,#REF!)</f>
        <v>#REF!</v>
      </c>
      <c r="AE789" s="752" t="e">
        <f>_xlfn.XLOOKUP(Table1[[#This Row],[Ruta]],#REF!,#REF!)</f>
        <v>#REF!</v>
      </c>
      <c r="AF789" s="752" t="e">
        <f>_xlfn.XLOOKUP(Table1[[#This Row],[Ruta]],#REF!,#REF!)</f>
        <v>#REF!</v>
      </c>
      <c r="AG789" s="752" t="e">
        <f>_xlfn.XLOOKUP(Table1[[#This Row],[Ruta]],#REF!,#REF!)</f>
        <v>#REF!</v>
      </c>
      <c r="AH789" s="52">
        <v>0</v>
      </c>
      <c r="AI789" s="52">
        <v>0.98349203695952037</v>
      </c>
      <c r="AJ789" s="55">
        <v>1.650796304047961E-2</v>
      </c>
      <c r="AK789" s="56">
        <v>0</v>
      </c>
      <c r="AL789" s="44">
        <v>8907</v>
      </c>
      <c r="AM789" s="54">
        <v>0</v>
      </c>
      <c r="AN789" s="55">
        <v>0</v>
      </c>
      <c r="AO789" s="56">
        <v>0</v>
      </c>
      <c r="AP789" s="48">
        <v>0</v>
      </c>
      <c r="AQ789" s="55" t="s">
        <v>194</v>
      </c>
      <c r="AR789" s="51">
        <v>2791815.11</v>
      </c>
      <c r="AS789" s="49">
        <v>0</v>
      </c>
      <c r="AT789" s="55">
        <v>0</v>
      </c>
      <c r="AU789" s="51">
        <v>0</v>
      </c>
      <c r="AV789" s="52">
        <v>0</v>
      </c>
      <c r="AW789" s="44">
        <v>490</v>
      </c>
      <c r="AX789" s="51">
        <v>313.44056472437398</v>
      </c>
      <c r="AY789" s="49">
        <v>440.44761618669401</v>
      </c>
      <c r="AZ789" s="49">
        <v>127.00705146232002</v>
      </c>
      <c r="BA789" s="42" t="s">
        <v>150</v>
      </c>
      <c r="BB789" s="50">
        <v>397466.85123982438</v>
      </c>
      <c r="BC789" s="57">
        <v>397466.85123982438</v>
      </c>
      <c r="BD789" s="42" t="s">
        <v>152</v>
      </c>
      <c r="BE789" s="46" t="s">
        <v>195</v>
      </c>
      <c r="BF789" s="46" t="s">
        <v>195</v>
      </c>
      <c r="BG789" s="42" t="s">
        <v>195</v>
      </c>
      <c r="BH789" s="52" t="s">
        <v>195</v>
      </c>
      <c r="BI789" s="52" t="s">
        <v>195</v>
      </c>
      <c r="BJ789" s="42" t="s">
        <v>195</v>
      </c>
      <c r="BK789" s="46" t="s">
        <v>195</v>
      </c>
      <c r="BL789" s="46" t="s">
        <v>195</v>
      </c>
      <c r="BM789" s="42" t="s">
        <v>195</v>
      </c>
      <c r="BN789" s="48" t="s">
        <v>195</v>
      </c>
      <c r="BO789" s="42" t="s">
        <v>195</v>
      </c>
      <c r="BP789" s="42" t="s">
        <v>152</v>
      </c>
      <c r="BQ789" s="46">
        <v>0</v>
      </c>
      <c r="BR789" s="46">
        <v>2626</v>
      </c>
      <c r="BS789" s="46">
        <v>207633</v>
      </c>
      <c r="BT789" s="46">
        <v>65110</v>
      </c>
      <c r="BU789" s="46">
        <v>3.1889571494394104</v>
      </c>
      <c r="BV789" s="46">
        <v>24.794364051789795</v>
      </c>
      <c r="BW789" s="46">
        <v>1332</v>
      </c>
      <c r="BX789" s="46">
        <v>12344</v>
      </c>
      <c r="BY789" s="46">
        <v>13676</v>
      </c>
      <c r="BZ789" s="46">
        <v>0.21004454000921519</v>
      </c>
      <c r="CA789" s="46">
        <v>2.0457686991245581E-2</v>
      </c>
      <c r="CB789" s="46">
        <v>0.1895868530179696</v>
      </c>
      <c r="CC789" s="46">
        <v>0.57651666410689606</v>
      </c>
      <c r="CD789" s="46">
        <v>0.14484718169252031</v>
      </c>
      <c r="CE789" s="46">
        <v>5.4676700967593306E-3</v>
      </c>
      <c r="CF789" s="46">
        <v>6.3123944094609127E-2</v>
      </c>
      <c r="CG789" s="46">
        <v>0</v>
      </c>
      <c r="CH789" s="46">
        <v>0</v>
      </c>
      <c r="CI789" s="46">
        <v>1.8734979507111098</v>
      </c>
      <c r="CJ789" s="46">
        <v>0.4960675807795486</v>
      </c>
      <c r="CK789">
        <v>318</v>
      </c>
      <c r="CL789">
        <v>646.20000000000005</v>
      </c>
      <c r="CM789">
        <f t="shared" si="91"/>
        <v>328.20000000000005</v>
      </c>
      <c r="CN789">
        <v>4.72</v>
      </c>
      <c r="CO789">
        <v>9.4499999999999993</v>
      </c>
      <c r="CP789">
        <f t="shared" si="92"/>
        <v>4.7299999999999995</v>
      </c>
      <c r="CQ789">
        <v>592.59</v>
      </c>
      <c r="CR789">
        <v>0</v>
      </c>
      <c r="CS789">
        <f t="shared" si="93"/>
        <v>592.59</v>
      </c>
      <c r="CT789" t="s">
        <v>152</v>
      </c>
      <c r="CU789">
        <v>49.97</v>
      </c>
      <c r="CV789">
        <v>72</v>
      </c>
      <c r="CW789" s="46">
        <v>13676</v>
      </c>
      <c r="CX789" s="46">
        <f t="shared" si="87"/>
        <v>20.500383965596679</v>
      </c>
      <c r="CY789" s="46">
        <v>328.2</v>
      </c>
      <c r="CZ789" s="46">
        <f t="shared" si="88"/>
        <v>21.00445400092152</v>
      </c>
      <c r="DA789" s="46">
        <f t="shared" si="89"/>
        <v>31.482744941028329</v>
      </c>
      <c r="DB789" s="46">
        <v>2060174.16</v>
      </c>
      <c r="DC789" s="46">
        <f t="shared" si="90"/>
        <v>0.27570898955044609</v>
      </c>
      <c r="DD789" s="46">
        <v>18041.900000000001</v>
      </c>
      <c r="DE789" s="995">
        <v>13676</v>
      </c>
      <c r="DF789" s="995">
        <v>20.670999999999999</v>
      </c>
      <c r="DG789" s="995">
        <v>217.3</v>
      </c>
      <c r="DH789" s="995">
        <v>21.004000000000001</v>
      </c>
      <c r="DI789" s="995">
        <v>53.106999999999999</v>
      </c>
      <c r="DJ789" s="995">
        <v>3469352</v>
      </c>
      <c r="DK789" s="995">
        <v>0.46600000000000003</v>
      </c>
      <c r="DL789" s="995">
        <v>30464.799999999999</v>
      </c>
      <c r="DM789" s="995">
        <v>13676</v>
      </c>
      <c r="DN789" s="995">
        <v>20.712</v>
      </c>
      <c r="DO789" s="995">
        <v>190.3</v>
      </c>
      <c r="DP789" s="995">
        <v>21.004000000000001</v>
      </c>
      <c r="DQ789" s="995">
        <v>50.972999999999999</v>
      </c>
      <c r="DR789" s="995">
        <v>3328582</v>
      </c>
      <c r="DS789" s="995">
        <v>0.44800000000000001</v>
      </c>
      <c r="DT789" s="995">
        <v>29237.5</v>
      </c>
    </row>
    <row r="790" spans="1:124">
      <c r="A790" s="42" t="s">
        <v>95</v>
      </c>
      <c r="B790" s="42" t="s">
        <v>1039</v>
      </c>
      <c r="C790" s="42" t="s">
        <v>1040</v>
      </c>
      <c r="D790" s="42">
        <v>407304</v>
      </c>
      <c r="E790" s="42" t="s">
        <v>1045</v>
      </c>
      <c r="F790" s="42" t="s">
        <v>149</v>
      </c>
      <c r="G790" s="42" t="s">
        <v>150</v>
      </c>
      <c r="H790" s="43" t="s">
        <v>152</v>
      </c>
      <c r="I790" s="44">
        <v>6</v>
      </c>
      <c r="J790" s="45">
        <v>0</v>
      </c>
      <c r="K790" s="46">
        <v>16569.947591</v>
      </c>
      <c r="L790" s="47">
        <v>16569.947591</v>
      </c>
      <c r="M790" s="48">
        <v>1998443</v>
      </c>
      <c r="N790" s="49">
        <v>0</v>
      </c>
      <c r="O790" s="49">
        <v>1943899</v>
      </c>
      <c r="P790" s="49">
        <v>54544</v>
      </c>
      <c r="Q790" s="50">
        <v>4502.2120785219404</v>
      </c>
      <c r="R790" s="51">
        <v>926.14838741306698</v>
      </c>
      <c r="S790" s="49">
        <v>4308.9777469532401</v>
      </c>
      <c r="T790" s="49">
        <v>870.62091261773503</v>
      </c>
      <c r="U790" s="49">
        <f>IFERROR(INDEX('Rentabilidad datos'!$N$2:$N$61,MATCH($C790,'Rentabilidad datos'!$C$2:$C$61,0)),"")</f>
        <v>6105.7470469840446</v>
      </c>
      <c r="V790" s="50">
        <f>IFERROR(INDEX('Rentabilidad datos'!$O$2:$O$61,MATCH($C790,'Rentabilidad datos'!$C$2:$C$61,0)),"")</f>
        <v>1221.149409396809</v>
      </c>
      <c r="W790" s="51">
        <f>IFERROR(INDEX('Rentabilidad datos'!$M$2:$M$61,MATCH($C790,'Rentabilidad datos'!$C$2:$C$61,0)),"")</f>
        <v>2027.2848360000007</v>
      </c>
      <c r="X790" s="52">
        <f>IFERROR(INDEX('Rentabilidad datos'!$P$2:$P$61,MATCH($C790,'Rentabilidad datos'!$C$2:$C$61,0)),"")</f>
        <v>0.60235709739053589</v>
      </c>
      <c r="Y790" s="43" t="s">
        <v>211</v>
      </c>
      <c r="Z790" s="53">
        <v>0</v>
      </c>
      <c r="AA790" s="43">
        <v>1</v>
      </c>
      <c r="AB790" s="54">
        <v>0.82960534776323369</v>
      </c>
      <c r="AC790" s="55">
        <v>0.17039465223676634</v>
      </c>
      <c r="AD790" s="752" t="e">
        <f>_xlfn.XLOOKUP(Table1[[#This Row],[Ruta]],#REF!,#REF!)</f>
        <v>#REF!</v>
      </c>
      <c r="AE790" s="752" t="e">
        <f>_xlfn.XLOOKUP(Table1[[#This Row],[Ruta]],#REF!,#REF!)</f>
        <v>#REF!</v>
      </c>
      <c r="AF790" s="752" t="e">
        <f>_xlfn.XLOOKUP(Table1[[#This Row],[Ruta]],#REF!,#REF!)</f>
        <v>#REF!</v>
      </c>
      <c r="AG790" s="752" t="e">
        <f>_xlfn.XLOOKUP(Table1[[#This Row],[Ruta]],#REF!,#REF!)</f>
        <v>#REF!</v>
      </c>
      <c r="AH790" s="52">
        <v>0</v>
      </c>
      <c r="AI790" s="52">
        <v>0.97270675220659286</v>
      </c>
      <c r="AJ790" s="55">
        <v>2.7293247793407166E-2</v>
      </c>
      <c r="AK790" s="56">
        <v>0</v>
      </c>
      <c r="AL790" s="44">
        <v>6216</v>
      </c>
      <c r="AM790" s="54">
        <v>0</v>
      </c>
      <c r="AN790" s="55">
        <v>0</v>
      </c>
      <c r="AO790" s="56">
        <v>0</v>
      </c>
      <c r="AP790" s="48">
        <v>0</v>
      </c>
      <c r="AQ790" s="55" t="s">
        <v>194</v>
      </c>
      <c r="AR790" s="51">
        <v>1949457.83</v>
      </c>
      <c r="AS790" s="49">
        <v>0</v>
      </c>
      <c r="AT790" s="55">
        <v>0</v>
      </c>
      <c r="AU790" s="51">
        <v>0</v>
      </c>
      <c r="AV790" s="52">
        <v>0</v>
      </c>
      <c r="AW790" s="44">
        <v>490</v>
      </c>
      <c r="AX790" s="51">
        <v>313.619342020592</v>
      </c>
      <c r="AY790" s="49">
        <v>440.44761618669401</v>
      </c>
      <c r="AZ790" s="49">
        <v>126.82827416610201</v>
      </c>
      <c r="BA790" s="42" t="s">
        <v>150</v>
      </c>
      <c r="BB790" s="50">
        <v>276992.95077876688</v>
      </c>
      <c r="BC790" s="57">
        <v>276992.95077876688</v>
      </c>
      <c r="BD790" s="42" t="s">
        <v>152</v>
      </c>
      <c r="BE790" s="46" t="s">
        <v>195</v>
      </c>
      <c r="BF790" s="46" t="s">
        <v>195</v>
      </c>
      <c r="BG790" s="42" t="s">
        <v>195</v>
      </c>
      <c r="BH790" s="52" t="s">
        <v>195</v>
      </c>
      <c r="BI790" s="52" t="s">
        <v>195</v>
      </c>
      <c r="BJ790" s="42" t="s">
        <v>195</v>
      </c>
      <c r="BK790" s="46" t="s">
        <v>195</v>
      </c>
      <c r="BL790" s="46" t="s">
        <v>195</v>
      </c>
      <c r="BM790" s="42" t="s">
        <v>195</v>
      </c>
      <c r="BN790" s="48" t="s">
        <v>195</v>
      </c>
      <c r="BO790" s="42" t="s">
        <v>195</v>
      </c>
      <c r="BP790" s="42" t="s">
        <v>152</v>
      </c>
      <c r="BQ790" s="46">
        <v>0</v>
      </c>
      <c r="BR790" s="46">
        <v>1519</v>
      </c>
      <c r="BS790" s="46">
        <v>95138</v>
      </c>
      <c r="BT790" s="46">
        <v>30636</v>
      </c>
      <c r="BU790" s="46">
        <v>3.1054315184749965</v>
      </c>
      <c r="BV790" s="46">
        <v>20.168531928900592</v>
      </c>
      <c r="BW790" s="46">
        <v>27</v>
      </c>
      <c r="BX790" s="46">
        <v>5259</v>
      </c>
      <c r="BY790" s="46">
        <v>5286</v>
      </c>
      <c r="BZ790" s="46">
        <v>0.17254210732471603</v>
      </c>
      <c r="CA790" s="46">
        <v>8.8131609870740308E-4</v>
      </c>
      <c r="CB790" s="46">
        <v>0.17166079122600861</v>
      </c>
      <c r="CC790" s="46">
        <v>0.48283065674370018</v>
      </c>
      <c r="CD790" s="46">
        <v>0.19774121948034989</v>
      </c>
      <c r="CE790" s="46">
        <v>8.9437263350306828E-3</v>
      </c>
      <c r="CF790" s="46">
        <v>0.13794229011620321</v>
      </c>
      <c r="CG790" s="46">
        <v>0</v>
      </c>
      <c r="CH790" s="46">
        <v>0</v>
      </c>
      <c r="CI790" s="46">
        <v>2.364985599865459</v>
      </c>
      <c r="CJ790" s="46">
        <v>0.54657444974668379</v>
      </c>
      <c r="CK790">
        <v>353</v>
      </c>
      <c r="CL790">
        <v>619.70000000000005</v>
      </c>
      <c r="CM790">
        <f t="shared" si="91"/>
        <v>266.70000000000005</v>
      </c>
      <c r="CN790">
        <v>4.53</v>
      </c>
      <c r="CO790">
        <v>9.4499999999999993</v>
      </c>
      <c r="CP790">
        <f t="shared" si="92"/>
        <v>4.919999999999999</v>
      </c>
      <c r="CQ790">
        <v>846.56</v>
      </c>
      <c r="CR790">
        <v>0</v>
      </c>
      <c r="CS790">
        <f t="shared" si="93"/>
        <v>846.56</v>
      </c>
      <c r="CT790" t="s">
        <v>152</v>
      </c>
      <c r="CU790">
        <v>47.96</v>
      </c>
      <c r="CV790">
        <v>44</v>
      </c>
      <c r="CW790" s="46">
        <v>5286</v>
      </c>
      <c r="CX790" s="46">
        <f t="shared" si="87"/>
        <v>16.383666274970622</v>
      </c>
      <c r="CY790" s="46">
        <v>266.7</v>
      </c>
      <c r="CZ790" s="46">
        <f t="shared" si="88"/>
        <v>17.254210732471602</v>
      </c>
      <c r="DA790" s="46">
        <f t="shared" si="89"/>
        <v>72.425545664294702</v>
      </c>
      <c r="DB790" s="46">
        <v>2238144.91</v>
      </c>
      <c r="DC790" s="46">
        <f t="shared" si="90"/>
        <v>0.62103732036359283</v>
      </c>
      <c r="DD790" s="46">
        <v>19191.73</v>
      </c>
      <c r="DE790" s="995">
        <v>5286</v>
      </c>
      <c r="DF790" s="995">
        <v>16.661000000000001</v>
      </c>
      <c r="DG790" s="995">
        <v>181.6</v>
      </c>
      <c r="DH790" s="995">
        <v>17.254000000000001</v>
      </c>
      <c r="DI790" s="995">
        <v>101.004</v>
      </c>
      <c r="DJ790" s="995">
        <v>3112706</v>
      </c>
      <c r="DK790" s="995">
        <v>0.86699999999999999</v>
      </c>
      <c r="DL790" s="995">
        <v>26708.400000000001</v>
      </c>
      <c r="DM790" s="995">
        <v>5286</v>
      </c>
      <c r="DN790" s="995">
        <v>16.763000000000002</v>
      </c>
      <c r="DO790" s="995">
        <v>150.4</v>
      </c>
      <c r="DP790" s="995">
        <v>17.254000000000001</v>
      </c>
      <c r="DQ790" s="995">
        <v>95.034000000000006</v>
      </c>
      <c r="DR790" s="995">
        <v>2925744</v>
      </c>
      <c r="DS790" s="995">
        <v>0.81399999999999995</v>
      </c>
      <c r="DT790" s="995">
        <v>25071</v>
      </c>
    </row>
    <row r="791" spans="1:124">
      <c r="A791" s="42" t="s">
        <v>95</v>
      </c>
      <c r="B791" s="42" t="s">
        <v>1039</v>
      </c>
      <c r="C791" s="42" t="s">
        <v>1040</v>
      </c>
      <c r="D791" s="42">
        <v>407307</v>
      </c>
      <c r="E791" s="42" t="s">
        <v>1046</v>
      </c>
      <c r="F791" s="42" t="s">
        <v>149</v>
      </c>
      <c r="G791" s="42" t="s">
        <v>150</v>
      </c>
      <c r="H791" s="43" t="s">
        <v>152</v>
      </c>
      <c r="I791" s="44">
        <v>6</v>
      </c>
      <c r="J791" s="45">
        <v>0</v>
      </c>
      <c r="K791" s="46">
        <v>6624.3438619999997</v>
      </c>
      <c r="L791" s="47">
        <v>6624.3438619999997</v>
      </c>
      <c r="M791" s="48">
        <v>873813</v>
      </c>
      <c r="N791" s="49">
        <v>0</v>
      </c>
      <c r="O791" s="49">
        <v>863679</v>
      </c>
      <c r="P791" s="49">
        <v>10134</v>
      </c>
      <c r="Q791" s="50">
        <v>8813.0567346938806</v>
      </c>
      <c r="R791" s="51">
        <v>926.14838741306698</v>
      </c>
      <c r="S791" s="49">
        <v>4308.9777469532401</v>
      </c>
      <c r="T791" s="49">
        <v>870.62091261773503</v>
      </c>
      <c r="U791" s="49">
        <f>IFERROR(INDEX('Rentabilidad datos'!$N$2:$N$61,MATCH($C791,'Rentabilidad datos'!$C$2:$C$61,0)),"")</f>
        <v>6105.7470469840446</v>
      </c>
      <c r="V791" s="50">
        <f>IFERROR(INDEX('Rentabilidad datos'!$O$2:$O$61,MATCH($C791,'Rentabilidad datos'!$C$2:$C$61,0)),"")</f>
        <v>1221.149409396809</v>
      </c>
      <c r="W791" s="51">
        <f>IFERROR(INDEX('Rentabilidad datos'!$M$2:$M$61,MATCH($C791,'Rentabilidad datos'!$C$2:$C$61,0)),"")</f>
        <v>2027.2848360000007</v>
      </c>
      <c r="X791" s="52">
        <f>IFERROR(INDEX('Rentabilidad datos'!$P$2:$P$61,MATCH($C791,'Rentabilidad datos'!$C$2:$C$61,0)),"")</f>
        <v>0.60235709739053589</v>
      </c>
      <c r="Y791" s="43" t="s">
        <v>211</v>
      </c>
      <c r="Z791" s="53">
        <v>0</v>
      </c>
      <c r="AA791" s="43">
        <v>1</v>
      </c>
      <c r="AB791" s="54">
        <v>1</v>
      </c>
      <c r="AC791" s="55">
        <v>0</v>
      </c>
      <c r="AD791" s="752" t="e">
        <f>_xlfn.XLOOKUP(Table1[[#This Row],[Ruta]],#REF!,#REF!)</f>
        <v>#REF!</v>
      </c>
      <c r="AE791" s="752" t="e">
        <f>_xlfn.XLOOKUP(Table1[[#This Row],[Ruta]],#REF!,#REF!)</f>
        <v>#REF!</v>
      </c>
      <c r="AF791" s="752" t="e">
        <f>_xlfn.XLOOKUP(Table1[[#This Row],[Ruta]],#REF!,#REF!)</f>
        <v>#REF!</v>
      </c>
      <c r="AG791" s="752" t="e">
        <f>_xlfn.XLOOKUP(Table1[[#This Row],[Ruta]],#REF!,#REF!)</f>
        <v>#REF!</v>
      </c>
      <c r="AH791" s="52">
        <v>0</v>
      </c>
      <c r="AI791" s="52">
        <v>0.98840255294897195</v>
      </c>
      <c r="AJ791" s="55">
        <v>1.159744705102808E-2</v>
      </c>
      <c r="AK791" s="56">
        <v>0</v>
      </c>
      <c r="AL791" s="44">
        <v>76</v>
      </c>
      <c r="AM791" s="54">
        <v>0</v>
      </c>
      <c r="AN791" s="55">
        <v>0</v>
      </c>
      <c r="AO791" s="56">
        <v>0</v>
      </c>
      <c r="AP791" s="48">
        <v>0</v>
      </c>
      <c r="AQ791" s="55" t="s">
        <v>194</v>
      </c>
      <c r="AR791" s="51">
        <v>863679.56</v>
      </c>
      <c r="AS791" s="49">
        <v>0</v>
      </c>
      <c r="AT791" s="55">
        <v>0</v>
      </c>
      <c r="AU791" s="51">
        <v>0</v>
      </c>
      <c r="AV791" s="52">
        <v>0</v>
      </c>
      <c r="AW791" s="44">
        <v>490</v>
      </c>
      <c r="AX791" s="51">
        <v>11364.204736842101</v>
      </c>
      <c r="AY791" s="49">
        <v>440.44761618669401</v>
      </c>
      <c r="AZ791" s="49">
        <v>0</v>
      </c>
      <c r="BA791" s="42" t="s">
        <v>152</v>
      </c>
      <c r="BB791" s="50">
        <v>0</v>
      </c>
      <c r="BC791" s="57">
        <v>0</v>
      </c>
      <c r="BD791" s="42" t="s">
        <v>152</v>
      </c>
      <c r="BE791" s="46" t="s">
        <v>195</v>
      </c>
      <c r="BF791" s="46" t="s">
        <v>195</v>
      </c>
      <c r="BG791" s="42" t="s">
        <v>195</v>
      </c>
      <c r="BH791" s="52" t="s">
        <v>195</v>
      </c>
      <c r="BI791" s="52" t="s">
        <v>195</v>
      </c>
      <c r="BJ791" s="42" t="s">
        <v>195</v>
      </c>
      <c r="BK791" s="46" t="s">
        <v>195</v>
      </c>
      <c r="BL791" s="46" t="s">
        <v>195</v>
      </c>
      <c r="BM791" s="42" t="s">
        <v>195</v>
      </c>
      <c r="BN791" s="48" t="s">
        <v>195</v>
      </c>
      <c r="BO791" s="42" t="s">
        <v>195</v>
      </c>
      <c r="BP791" s="42" t="s">
        <v>152</v>
      </c>
      <c r="BQ791" s="46">
        <v>0</v>
      </c>
      <c r="BR791" s="46" t="e">
        <v>#N/A</v>
      </c>
      <c r="BS791" s="46" t="e">
        <v>#N/A</v>
      </c>
      <c r="BT791" s="46" t="e">
        <v>#N/A</v>
      </c>
      <c r="BU791" s="46" t="e">
        <v>#N/A</v>
      </c>
      <c r="BV791" s="46" t="e">
        <v>#N/A</v>
      </c>
      <c r="BW791" s="46" t="e">
        <v>#N/A</v>
      </c>
      <c r="BX791" s="46" t="e">
        <v>#N/A</v>
      </c>
      <c r="BY791" s="46" t="e">
        <v>#N/A</v>
      </c>
      <c r="BZ791" s="46" t="e">
        <v>#N/A</v>
      </c>
      <c r="CA791" s="46" t="e">
        <v>#N/A</v>
      </c>
      <c r="CB791" s="46" t="e">
        <v>#N/A</v>
      </c>
      <c r="CC791" s="46" t="e">
        <v>#N/A</v>
      </c>
      <c r="CD791" s="46" t="e">
        <v>#N/A</v>
      </c>
      <c r="CE791" s="46" t="e">
        <v>#N/A</v>
      </c>
      <c r="CF791" s="46" t="e">
        <v>#N/A</v>
      </c>
      <c r="CG791" s="46" t="e">
        <v>#N/A</v>
      </c>
      <c r="CH791" s="46" t="e">
        <v>#N/A</v>
      </c>
      <c r="CI791" s="46" t="e">
        <v>#N/A</v>
      </c>
      <c r="CJ791" s="46" t="e">
        <v>#N/A</v>
      </c>
      <c r="CM791">
        <f t="shared" si="91"/>
        <v>0</v>
      </c>
      <c r="CP791">
        <f t="shared" si="92"/>
        <v>0</v>
      </c>
      <c r="CS791">
        <f t="shared" si="93"/>
        <v>0</v>
      </c>
      <c r="CW791" s="46"/>
      <c r="CX791" s="46" t="e">
        <f t="shared" si="87"/>
        <v>#N/A</v>
      </c>
      <c r="CY791" s="46"/>
      <c r="CZ791" s="46" t="e">
        <f t="shared" si="88"/>
        <v>#N/A</v>
      </c>
      <c r="DA791" s="46" t="e">
        <f t="shared" si="89"/>
        <v>#N/A</v>
      </c>
      <c r="DB791" s="46"/>
      <c r="DC791" s="46" t="e">
        <f t="shared" si="90"/>
        <v>#N/A</v>
      </c>
      <c r="DD791" s="46"/>
      <c r="DE791" s="995" t="s">
        <v>194</v>
      </c>
      <c r="DF791" s="995" t="s">
        <v>194</v>
      </c>
      <c r="DG791" s="995" t="s">
        <v>194</v>
      </c>
      <c r="DH791" s="995" t="s">
        <v>194</v>
      </c>
      <c r="DI791" s="995" t="s">
        <v>194</v>
      </c>
      <c r="DJ791" s="995" t="s">
        <v>194</v>
      </c>
      <c r="DK791" s="995" t="s">
        <v>194</v>
      </c>
      <c r="DL791" s="995" t="s">
        <v>194</v>
      </c>
      <c r="DM791" s="995" t="s">
        <v>194</v>
      </c>
      <c r="DN791" s="995" t="s">
        <v>194</v>
      </c>
      <c r="DO791" s="995" t="s">
        <v>194</v>
      </c>
      <c r="DP791" s="995" t="s">
        <v>194</v>
      </c>
      <c r="DQ791" s="995" t="s">
        <v>194</v>
      </c>
      <c r="DR791" s="995" t="s">
        <v>194</v>
      </c>
      <c r="DS791" s="995" t="s">
        <v>194</v>
      </c>
      <c r="DT791" s="995" t="s">
        <v>194</v>
      </c>
    </row>
    <row r="792" spans="1:124">
      <c r="A792" s="42" t="s">
        <v>95</v>
      </c>
      <c r="B792" s="42" t="s">
        <v>320</v>
      </c>
      <c r="C792" s="42" t="s">
        <v>1047</v>
      </c>
      <c r="D792" s="42" t="s">
        <v>322</v>
      </c>
      <c r="E792" s="42" t="s">
        <v>1048</v>
      </c>
      <c r="F792" s="42" t="s">
        <v>324</v>
      </c>
      <c r="G792" s="42" t="s">
        <v>152</v>
      </c>
      <c r="H792" s="43" t="s">
        <v>152</v>
      </c>
      <c r="I792" s="44">
        <v>1</v>
      </c>
      <c r="J792" s="45">
        <v>0</v>
      </c>
      <c r="K792" s="46">
        <v>0</v>
      </c>
      <c r="L792" s="47">
        <v>90.102655999999996</v>
      </c>
      <c r="M792" s="48">
        <v>0</v>
      </c>
      <c r="N792" s="49">
        <v>0</v>
      </c>
      <c r="O792" s="49">
        <v>0</v>
      </c>
      <c r="P792" s="49">
        <v>0</v>
      </c>
      <c r="Q792" s="50">
        <v>0</v>
      </c>
      <c r="R792" s="51" t="s">
        <v>194</v>
      </c>
      <c r="S792" s="49" t="s">
        <v>194</v>
      </c>
      <c r="T792" s="49" t="s">
        <v>194</v>
      </c>
      <c r="U792" s="49" t="str">
        <f>IFERROR(INDEX('Rentabilidad datos'!$N$2:$N$61,MATCH($C792,'Rentabilidad datos'!$C$2:$C$61,0)),"")</f>
        <v/>
      </c>
      <c r="V792" s="50" t="str">
        <f>IFERROR(INDEX('Rentabilidad datos'!$O$2:$O$61,MATCH($C792,'Rentabilidad datos'!$C$2:$C$61,0)),"")</f>
        <v/>
      </c>
      <c r="W792" s="51" t="str">
        <f>IFERROR(INDEX('Rentabilidad datos'!$M$2:$M$61,MATCH($C792,'Rentabilidad datos'!$C$2:$C$61,0)),"")</f>
        <v/>
      </c>
      <c r="X792" s="52" t="str">
        <f>IFERROR(INDEX('Rentabilidad datos'!$P$2:$P$61,MATCH($C792,'Rentabilidad datos'!$C$2:$C$61,0)),"")</f>
        <v/>
      </c>
      <c r="Y792" s="43">
        <v>0</v>
      </c>
      <c r="Z792" s="53">
        <v>0</v>
      </c>
      <c r="AA792" s="43">
        <v>1</v>
      </c>
      <c r="AB792" s="54">
        <v>0</v>
      </c>
      <c r="AC792" s="55">
        <v>0</v>
      </c>
      <c r="AD792" s="752" t="e">
        <f>_xlfn.XLOOKUP(Table1[[#This Row],[Ruta]],#REF!,#REF!)</f>
        <v>#REF!</v>
      </c>
      <c r="AE792" s="752" t="e">
        <f>_xlfn.XLOOKUP(Table1[[#This Row],[Ruta]],#REF!,#REF!)</f>
        <v>#REF!</v>
      </c>
      <c r="AF792" s="752" t="e">
        <f>_xlfn.XLOOKUP(Table1[[#This Row],[Ruta]],#REF!,#REF!)</f>
        <v>#REF!</v>
      </c>
      <c r="AG792" s="752" t="e">
        <f>_xlfn.XLOOKUP(Table1[[#This Row],[Ruta]],#REF!,#REF!)</f>
        <v>#REF!</v>
      </c>
      <c r="AH792" s="52">
        <v>0</v>
      </c>
      <c r="AI792" s="52">
        <v>0</v>
      </c>
      <c r="AJ792" s="55">
        <v>0</v>
      </c>
      <c r="AK792" s="56">
        <v>0</v>
      </c>
      <c r="AL792" s="44">
        <v>9</v>
      </c>
      <c r="AM792" s="54">
        <v>0</v>
      </c>
      <c r="AN792" s="55">
        <v>0</v>
      </c>
      <c r="AO792" s="56">
        <v>0</v>
      </c>
      <c r="AP792" s="48">
        <v>0</v>
      </c>
      <c r="AQ792" s="55" t="s">
        <v>194</v>
      </c>
      <c r="AR792" s="51">
        <v>8621.7900000000009</v>
      </c>
      <c r="AS792" s="49">
        <v>0</v>
      </c>
      <c r="AT792" s="55">
        <v>0</v>
      </c>
      <c r="AU792" s="51">
        <v>0</v>
      </c>
      <c r="AV792" s="52">
        <v>0</v>
      </c>
      <c r="AW792" s="44">
        <v>490</v>
      </c>
      <c r="AX792" s="51">
        <v>957.97666666666703</v>
      </c>
      <c r="AY792" s="49">
        <v>0</v>
      </c>
      <c r="AZ792" s="49">
        <v>0</v>
      </c>
      <c r="BA792" s="42" t="s">
        <v>152</v>
      </c>
      <c r="BB792" s="50">
        <v>0</v>
      </c>
      <c r="BC792" s="57">
        <v>0</v>
      </c>
      <c r="BD792" s="42" t="s">
        <v>152</v>
      </c>
      <c r="BE792" s="46" t="s">
        <v>195</v>
      </c>
      <c r="BF792" s="46" t="s">
        <v>195</v>
      </c>
      <c r="BG792" s="42" t="s">
        <v>195</v>
      </c>
      <c r="BH792" s="52" t="s">
        <v>195</v>
      </c>
      <c r="BI792" s="52" t="s">
        <v>195</v>
      </c>
      <c r="BJ792" s="42" t="s">
        <v>195</v>
      </c>
      <c r="BK792" s="46" t="s">
        <v>195</v>
      </c>
      <c r="BL792" s="46" t="s">
        <v>195</v>
      </c>
      <c r="BM792" s="42" t="s">
        <v>195</v>
      </c>
      <c r="BN792" s="48" t="s">
        <v>195</v>
      </c>
      <c r="BO792" s="42" t="s">
        <v>195</v>
      </c>
      <c r="BP792" s="42" t="s">
        <v>152</v>
      </c>
      <c r="BQ792" s="46">
        <v>0</v>
      </c>
      <c r="BR792" s="46" t="e">
        <v>#N/A</v>
      </c>
      <c r="BS792" s="46" t="e">
        <v>#N/A</v>
      </c>
      <c r="BT792" s="46" t="e">
        <v>#N/A</v>
      </c>
      <c r="BU792" s="46" t="e">
        <v>#N/A</v>
      </c>
      <c r="BV792" s="46" t="e">
        <v>#N/A</v>
      </c>
      <c r="BW792" s="46" t="e">
        <v>#N/A</v>
      </c>
      <c r="BX792" s="46" t="e">
        <v>#N/A</v>
      </c>
      <c r="BY792" s="46" t="e">
        <v>#N/A</v>
      </c>
      <c r="BZ792" s="46" t="e">
        <v>#N/A</v>
      </c>
      <c r="CA792" s="46" t="e">
        <v>#N/A</v>
      </c>
      <c r="CB792" s="46" t="e">
        <v>#N/A</v>
      </c>
      <c r="CC792" s="46" t="e">
        <v>#N/A</v>
      </c>
      <c r="CD792" s="46" t="e">
        <v>#N/A</v>
      </c>
      <c r="CE792" s="46" t="e">
        <v>#N/A</v>
      </c>
      <c r="CF792" s="46" t="e">
        <v>#N/A</v>
      </c>
      <c r="CG792" s="46" t="e">
        <v>#N/A</v>
      </c>
      <c r="CH792" s="46" t="e">
        <v>#N/A</v>
      </c>
      <c r="CI792" s="46" t="e">
        <v>#N/A</v>
      </c>
      <c r="CJ792" s="46" t="e">
        <v>#N/A</v>
      </c>
      <c r="CM792">
        <f t="shared" si="91"/>
        <v>0</v>
      </c>
      <c r="CP792">
        <f t="shared" si="92"/>
        <v>0</v>
      </c>
      <c r="CS792">
        <f t="shared" si="93"/>
        <v>0</v>
      </c>
      <c r="CW792" s="46"/>
      <c r="CX792" s="46" t="e">
        <f t="shared" si="87"/>
        <v>#N/A</v>
      </c>
      <c r="CY792" s="46"/>
      <c r="CZ792" s="46" t="e">
        <f t="shared" si="88"/>
        <v>#N/A</v>
      </c>
      <c r="DA792" s="46" t="e">
        <f t="shared" si="89"/>
        <v>#N/A</v>
      </c>
      <c r="DB792" s="46"/>
      <c r="DC792" s="46" t="e">
        <f t="shared" si="90"/>
        <v>#N/A</v>
      </c>
      <c r="DD792" s="46"/>
      <c r="DE792" s="995" t="s">
        <v>194</v>
      </c>
      <c r="DF792" s="995" t="s">
        <v>194</v>
      </c>
      <c r="DG792" s="995" t="s">
        <v>194</v>
      </c>
      <c r="DH792" s="995" t="s">
        <v>194</v>
      </c>
      <c r="DI792" s="995" t="s">
        <v>194</v>
      </c>
      <c r="DJ792" s="995" t="s">
        <v>194</v>
      </c>
      <c r="DK792" s="995" t="s">
        <v>194</v>
      </c>
      <c r="DL792" s="995" t="s">
        <v>194</v>
      </c>
      <c r="DM792" s="995" t="s">
        <v>194</v>
      </c>
      <c r="DN792" s="995" t="s">
        <v>194</v>
      </c>
      <c r="DO792" s="995" t="s">
        <v>194</v>
      </c>
      <c r="DP792" s="995" t="s">
        <v>194</v>
      </c>
      <c r="DQ792" s="995" t="s">
        <v>194</v>
      </c>
      <c r="DR792" s="995" t="s">
        <v>194</v>
      </c>
      <c r="DS792" s="995" t="s">
        <v>194</v>
      </c>
      <c r="DT792" s="995" t="s">
        <v>194</v>
      </c>
    </row>
    <row r="793" spans="1:124">
      <c r="A793" s="42" t="s">
        <v>95</v>
      </c>
      <c r="B793" s="42" t="s">
        <v>320</v>
      </c>
      <c r="C793" s="42" t="s">
        <v>1049</v>
      </c>
      <c r="D793" s="42">
        <v>404304</v>
      </c>
      <c r="E793" s="42" t="s">
        <v>1050</v>
      </c>
      <c r="F793" s="42" t="s">
        <v>149</v>
      </c>
      <c r="G793" s="42" t="s">
        <v>150</v>
      </c>
      <c r="H793" s="43" t="s">
        <v>152</v>
      </c>
      <c r="I793" s="44">
        <v>1</v>
      </c>
      <c r="J793" s="45">
        <v>0</v>
      </c>
      <c r="K793" s="46">
        <v>154.033637</v>
      </c>
      <c r="L793" s="47">
        <v>154.033637</v>
      </c>
      <c r="M793" s="48">
        <v>16897</v>
      </c>
      <c r="N793" s="49">
        <v>0</v>
      </c>
      <c r="O793" s="49">
        <v>16897</v>
      </c>
      <c r="P793" s="49">
        <v>0</v>
      </c>
      <c r="Q793" s="50">
        <v>844.83349999999996</v>
      </c>
      <c r="R793" s="51" t="s">
        <v>194</v>
      </c>
      <c r="S793" s="49" t="s">
        <v>194</v>
      </c>
      <c r="T793" s="49" t="s">
        <v>194</v>
      </c>
      <c r="U793" s="49" t="str">
        <f>IFERROR(INDEX('Rentabilidad datos'!$N$2:$N$61,MATCH($C793,'Rentabilidad datos'!$C$2:$C$61,0)),"")</f>
        <v/>
      </c>
      <c r="V793" s="50" t="str">
        <f>IFERROR(INDEX('Rentabilidad datos'!$O$2:$O$61,MATCH($C793,'Rentabilidad datos'!$C$2:$C$61,0)),"")</f>
        <v/>
      </c>
      <c r="W793" s="51" t="str">
        <f>IFERROR(INDEX('Rentabilidad datos'!$M$2:$M$61,MATCH($C793,'Rentabilidad datos'!$C$2:$C$61,0)),"")</f>
        <v/>
      </c>
      <c r="X793" s="52" t="str">
        <f>IFERROR(INDEX('Rentabilidad datos'!$P$2:$P$61,MATCH($C793,'Rentabilidad datos'!$C$2:$C$61,0)),"")</f>
        <v/>
      </c>
      <c r="Y793" s="43">
        <v>0</v>
      </c>
      <c r="Z793" s="53">
        <v>0</v>
      </c>
      <c r="AA793" s="43">
        <v>1</v>
      </c>
      <c r="AB793" s="54">
        <v>1</v>
      </c>
      <c r="AC793" s="55">
        <v>0</v>
      </c>
      <c r="AD793" s="752" t="e">
        <f>_xlfn.XLOOKUP(Table1[[#This Row],[Ruta]],#REF!,#REF!)</f>
        <v>#REF!</v>
      </c>
      <c r="AE793" s="752" t="e">
        <f>_xlfn.XLOOKUP(Table1[[#This Row],[Ruta]],#REF!,#REF!)</f>
        <v>#REF!</v>
      </c>
      <c r="AF793" s="752" t="e">
        <f>_xlfn.XLOOKUP(Table1[[#This Row],[Ruta]],#REF!,#REF!)</f>
        <v>#REF!</v>
      </c>
      <c r="AG793" s="752" t="e">
        <f>_xlfn.XLOOKUP(Table1[[#This Row],[Ruta]],#REF!,#REF!)</f>
        <v>#REF!</v>
      </c>
      <c r="AH793" s="52">
        <v>0</v>
      </c>
      <c r="AI793" s="52">
        <v>1</v>
      </c>
      <c r="AJ793" s="55">
        <v>0</v>
      </c>
      <c r="AK793" s="56">
        <v>0</v>
      </c>
      <c r="AL793" s="44">
        <v>40</v>
      </c>
      <c r="AM793" s="54">
        <v>0</v>
      </c>
      <c r="AN793" s="55">
        <v>0</v>
      </c>
      <c r="AO793" s="56">
        <v>0</v>
      </c>
      <c r="AP793" s="48">
        <v>0</v>
      </c>
      <c r="AQ793" s="55" t="s">
        <v>194</v>
      </c>
      <c r="AR793" s="51">
        <v>16896.669999999998</v>
      </c>
      <c r="AS793" s="49">
        <v>0</v>
      </c>
      <c r="AT793" s="55">
        <v>0</v>
      </c>
      <c r="AU793" s="51">
        <v>0</v>
      </c>
      <c r="AV793" s="52">
        <v>0</v>
      </c>
      <c r="AW793" s="44">
        <v>490</v>
      </c>
      <c r="AX793" s="51">
        <v>422.41674999999998</v>
      </c>
      <c r="AY793" s="49">
        <v>422.41674999999998</v>
      </c>
      <c r="AZ793" s="49">
        <v>0</v>
      </c>
      <c r="BA793" s="42" t="s">
        <v>152</v>
      </c>
      <c r="BB793" s="50">
        <v>0</v>
      </c>
      <c r="BC793" s="57">
        <v>0</v>
      </c>
      <c r="BD793" s="42" t="s">
        <v>152</v>
      </c>
      <c r="BE793" s="46" t="s">
        <v>195</v>
      </c>
      <c r="BF793" s="46" t="s">
        <v>195</v>
      </c>
      <c r="BG793" s="42" t="s">
        <v>195</v>
      </c>
      <c r="BH793" s="52" t="s">
        <v>195</v>
      </c>
      <c r="BI793" s="52" t="s">
        <v>195</v>
      </c>
      <c r="BJ793" s="42" t="s">
        <v>195</v>
      </c>
      <c r="BK793" s="46" t="s">
        <v>195</v>
      </c>
      <c r="BL793" s="46" t="s">
        <v>195</v>
      </c>
      <c r="BM793" s="42" t="s">
        <v>195</v>
      </c>
      <c r="BN793" s="48" t="s">
        <v>195</v>
      </c>
      <c r="BO793" s="42" t="s">
        <v>195</v>
      </c>
      <c r="BP793" s="42" t="s">
        <v>152</v>
      </c>
      <c r="BQ793" s="46">
        <v>0</v>
      </c>
      <c r="BR793" s="46" t="e">
        <v>#N/A</v>
      </c>
      <c r="BS793" s="46" t="e">
        <v>#N/A</v>
      </c>
      <c r="BT793" s="46" t="e">
        <v>#N/A</v>
      </c>
      <c r="BU793" s="46" t="e">
        <v>#N/A</v>
      </c>
      <c r="BV793" s="46" t="e">
        <v>#N/A</v>
      </c>
      <c r="BW793" s="46" t="e">
        <v>#N/A</v>
      </c>
      <c r="BX793" s="46" t="e">
        <v>#N/A</v>
      </c>
      <c r="BY793" s="46" t="e">
        <v>#N/A</v>
      </c>
      <c r="BZ793" s="46" t="e">
        <v>#N/A</v>
      </c>
      <c r="CA793" s="46" t="e">
        <v>#N/A</v>
      </c>
      <c r="CB793" s="46" t="e">
        <v>#N/A</v>
      </c>
      <c r="CC793" s="46" t="e">
        <v>#N/A</v>
      </c>
      <c r="CD793" s="46" t="e">
        <v>#N/A</v>
      </c>
      <c r="CE793" s="46" t="e">
        <v>#N/A</v>
      </c>
      <c r="CF793" s="46" t="e">
        <v>#N/A</v>
      </c>
      <c r="CG793" s="46" t="e">
        <v>#N/A</v>
      </c>
      <c r="CH793" s="46" t="e">
        <v>#N/A</v>
      </c>
      <c r="CI793" s="46" t="e">
        <v>#N/A</v>
      </c>
      <c r="CJ793" s="46" t="e">
        <v>#N/A</v>
      </c>
      <c r="CM793">
        <f t="shared" si="91"/>
        <v>0</v>
      </c>
      <c r="CP793">
        <f t="shared" si="92"/>
        <v>0</v>
      </c>
      <c r="CS793">
        <f t="shared" si="93"/>
        <v>0</v>
      </c>
      <c r="CW793" s="46"/>
      <c r="CX793" s="46" t="e">
        <f t="shared" si="87"/>
        <v>#N/A</v>
      </c>
      <c r="CY793" s="46"/>
      <c r="CZ793" s="46" t="e">
        <f t="shared" si="88"/>
        <v>#N/A</v>
      </c>
      <c r="DA793" s="46" t="e">
        <f t="shared" si="89"/>
        <v>#N/A</v>
      </c>
      <c r="DB793" s="46"/>
      <c r="DC793" s="46" t="e">
        <f t="shared" si="90"/>
        <v>#N/A</v>
      </c>
      <c r="DD793" s="46"/>
      <c r="DE793" s="995" t="s">
        <v>194</v>
      </c>
      <c r="DF793" s="995" t="s">
        <v>194</v>
      </c>
      <c r="DG793" s="995" t="s">
        <v>194</v>
      </c>
      <c r="DH793" s="995" t="s">
        <v>194</v>
      </c>
      <c r="DI793" s="995" t="s">
        <v>194</v>
      </c>
      <c r="DJ793" s="995" t="s">
        <v>194</v>
      </c>
      <c r="DK793" s="995" t="s">
        <v>194</v>
      </c>
      <c r="DL793" s="995" t="s">
        <v>194</v>
      </c>
      <c r="DM793" s="995" t="s">
        <v>194</v>
      </c>
      <c r="DN793" s="995" t="s">
        <v>194</v>
      </c>
      <c r="DO793" s="995" t="s">
        <v>194</v>
      </c>
      <c r="DP793" s="995" t="s">
        <v>194</v>
      </c>
      <c r="DQ793" s="995" t="s">
        <v>194</v>
      </c>
      <c r="DR793" s="995" t="s">
        <v>194</v>
      </c>
      <c r="DS793" s="995" t="s">
        <v>194</v>
      </c>
      <c r="DT793" s="995" t="s">
        <v>194</v>
      </c>
    </row>
    <row r="794" spans="1:124">
      <c r="A794" s="42" t="s">
        <v>95</v>
      </c>
      <c r="B794" s="42" t="s">
        <v>320</v>
      </c>
      <c r="C794" s="42" t="s">
        <v>1051</v>
      </c>
      <c r="D794" s="42">
        <v>406300</v>
      </c>
      <c r="E794" s="42" t="s">
        <v>1052</v>
      </c>
      <c r="F794" s="42" t="s">
        <v>149</v>
      </c>
      <c r="G794" s="42" t="s">
        <v>150</v>
      </c>
      <c r="H794" s="43" t="s">
        <v>152</v>
      </c>
      <c r="I794" s="44">
        <v>1</v>
      </c>
      <c r="J794" s="45">
        <v>0</v>
      </c>
      <c r="K794" s="46">
        <v>841.90747999999996</v>
      </c>
      <c r="L794" s="47">
        <v>827.64197999999999</v>
      </c>
      <c r="M794" s="48">
        <v>70027</v>
      </c>
      <c r="N794" s="49">
        <v>0</v>
      </c>
      <c r="O794" s="49">
        <v>70027</v>
      </c>
      <c r="P794" s="49">
        <v>0</v>
      </c>
      <c r="Q794" s="50">
        <v>1439.42583333333</v>
      </c>
      <c r="R794" s="51" t="s">
        <v>194</v>
      </c>
      <c r="S794" s="49" t="s">
        <v>194</v>
      </c>
      <c r="T794" s="49" t="s">
        <v>194</v>
      </c>
      <c r="U794" s="49" t="str">
        <f>IFERROR(INDEX('Rentabilidad datos'!$N$2:$N$61,MATCH($C794,'Rentabilidad datos'!$C$2:$C$61,0)),"")</f>
        <v/>
      </c>
      <c r="V794" s="50" t="str">
        <f>IFERROR(INDEX('Rentabilidad datos'!$O$2:$O$61,MATCH($C794,'Rentabilidad datos'!$C$2:$C$61,0)),"")</f>
        <v/>
      </c>
      <c r="W794" s="51" t="str">
        <f>IFERROR(INDEX('Rentabilidad datos'!$M$2:$M$61,MATCH($C794,'Rentabilidad datos'!$C$2:$C$61,0)),"")</f>
        <v/>
      </c>
      <c r="X794" s="52" t="str">
        <f>IFERROR(INDEX('Rentabilidad datos'!$P$2:$P$61,MATCH($C794,'Rentabilidad datos'!$C$2:$C$61,0)),"")</f>
        <v/>
      </c>
      <c r="Y794" s="43">
        <v>0</v>
      </c>
      <c r="Z794" s="53">
        <v>0</v>
      </c>
      <c r="AA794" s="43">
        <v>1</v>
      </c>
      <c r="AB794" s="54">
        <v>1</v>
      </c>
      <c r="AC794" s="55">
        <v>0</v>
      </c>
      <c r="AD794" s="752" t="e">
        <f>_xlfn.XLOOKUP(Table1[[#This Row],[Ruta]],#REF!,#REF!)</f>
        <v>#REF!</v>
      </c>
      <c r="AE794" s="752" t="e">
        <f>_xlfn.XLOOKUP(Table1[[#This Row],[Ruta]],#REF!,#REF!)</f>
        <v>#REF!</v>
      </c>
      <c r="AF794" s="752" t="e">
        <f>_xlfn.XLOOKUP(Table1[[#This Row],[Ruta]],#REF!,#REF!)</f>
        <v>#REF!</v>
      </c>
      <c r="AG794" s="752" t="e">
        <f>_xlfn.XLOOKUP(Table1[[#This Row],[Ruta]],#REF!,#REF!)</f>
        <v>#REF!</v>
      </c>
      <c r="AH794" s="52">
        <v>0</v>
      </c>
      <c r="AI794" s="52">
        <v>1</v>
      </c>
      <c r="AJ794" s="55">
        <v>0</v>
      </c>
      <c r="AK794" s="56">
        <v>0</v>
      </c>
      <c r="AL794" s="44">
        <v>147</v>
      </c>
      <c r="AM794" s="54">
        <v>0</v>
      </c>
      <c r="AN794" s="55">
        <v>0</v>
      </c>
      <c r="AO794" s="56">
        <v>0</v>
      </c>
      <c r="AP794" s="48">
        <v>0</v>
      </c>
      <c r="AQ794" s="55" t="s">
        <v>194</v>
      </c>
      <c r="AR794" s="51">
        <v>69092.44</v>
      </c>
      <c r="AS794" s="49">
        <v>0</v>
      </c>
      <c r="AT794" s="55">
        <v>0</v>
      </c>
      <c r="AU794" s="51">
        <v>0</v>
      </c>
      <c r="AV794" s="52">
        <v>0</v>
      </c>
      <c r="AW794" s="44">
        <v>490</v>
      </c>
      <c r="AX794" s="51">
        <v>470.01659863945599</v>
      </c>
      <c r="AY794" s="49">
        <v>470.01659863945599</v>
      </c>
      <c r="AZ794" s="49">
        <v>0</v>
      </c>
      <c r="BA794" s="42" t="s">
        <v>152</v>
      </c>
      <c r="BB794" s="50">
        <v>0</v>
      </c>
      <c r="BC794" s="57">
        <v>0</v>
      </c>
      <c r="BD794" s="42" t="s">
        <v>152</v>
      </c>
      <c r="BE794" s="46" t="s">
        <v>195</v>
      </c>
      <c r="BF794" s="46" t="s">
        <v>195</v>
      </c>
      <c r="BG794" s="42" t="s">
        <v>195</v>
      </c>
      <c r="BH794" s="52" t="s">
        <v>195</v>
      </c>
      <c r="BI794" s="52" t="s">
        <v>195</v>
      </c>
      <c r="BJ794" s="42" t="s">
        <v>195</v>
      </c>
      <c r="BK794" s="46" t="s">
        <v>195</v>
      </c>
      <c r="BL794" s="46" t="s">
        <v>195</v>
      </c>
      <c r="BM794" s="42" t="s">
        <v>195</v>
      </c>
      <c r="BN794" s="48" t="s">
        <v>195</v>
      </c>
      <c r="BO794" s="42" t="s">
        <v>195</v>
      </c>
      <c r="BP794" s="42" t="s">
        <v>152</v>
      </c>
      <c r="BQ794" s="46">
        <v>0</v>
      </c>
      <c r="BR794" s="46" t="e">
        <v>#N/A</v>
      </c>
      <c r="BS794" s="46" t="e">
        <v>#N/A</v>
      </c>
      <c r="BT794" s="46" t="e">
        <v>#N/A</v>
      </c>
      <c r="BU794" s="46" t="e">
        <v>#N/A</v>
      </c>
      <c r="BV794" s="46" t="e">
        <v>#N/A</v>
      </c>
      <c r="BW794" s="46" t="e">
        <v>#N/A</v>
      </c>
      <c r="BX794" s="46" t="e">
        <v>#N/A</v>
      </c>
      <c r="BY794" s="46" t="e">
        <v>#N/A</v>
      </c>
      <c r="BZ794" s="46" t="e">
        <v>#N/A</v>
      </c>
      <c r="CA794" s="46" t="e">
        <v>#N/A</v>
      </c>
      <c r="CB794" s="46" t="e">
        <v>#N/A</v>
      </c>
      <c r="CC794" s="46" t="e">
        <v>#N/A</v>
      </c>
      <c r="CD794" s="46" t="e">
        <v>#N/A</v>
      </c>
      <c r="CE794" s="46" t="e">
        <v>#N/A</v>
      </c>
      <c r="CF794" s="46" t="e">
        <v>#N/A</v>
      </c>
      <c r="CG794" s="46" t="e">
        <v>#N/A</v>
      </c>
      <c r="CH794" s="46" t="e">
        <v>#N/A</v>
      </c>
      <c r="CI794" s="46" t="e">
        <v>#N/A</v>
      </c>
      <c r="CJ794" s="46" t="e">
        <v>#N/A</v>
      </c>
      <c r="CM794">
        <f t="shared" si="91"/>
        <v>0</v>
      </c>
      <c r="CP794">
        <f t="shared" si="92"/>
        <v>0</v>
      </c>
      <c r="CS794">
        <f t="shared" si="93"/>
        <v>0</v>
      </c>
      <c r="CW794" s="46"/>
      <c r="CX794" s="46" t="e">
        <f t="shared" si="87"/>
        <v>#N/A</v>
      </c>
      <c r="CY794" s="46"/>
      <c r="CZ794" s="46" t="e">
        <f t="shared" si="88"/>
        <v>#N/A</v>
      </c>
      <c r="DA794" s="46" t="e">
        <f t="shared" si="89"/>
        <v>#N/A</v>
      </c>
      <c r="DB794" s="46"/>
      <c r="DC794" s="46" t="e">
        <f t="shared" si="90"/>
        <v>#N/A</v>
      </c>
      <c r="DD794" s="46"/>
      <c r="DE794" s="995" t="s">
        <v>194</v>
      </c>
      <c r="DF794" s="995" t="s">
        <v>194</v>
      </c>
      <c r="DG794" s="995" t="s">
        <v>194</v>
      </c>
      <c r="DH794" s="995" t="s">
        <v>194</v>
      </c>
      <c r="DI794" s="995" t="s">
        <v>194</v>
      </c>
      <c r="DJ794" s="995" t="s">
        <v>194</v>
      </c>
      <c r="DK794" s="995" t="s">
        <v>194</v>
      </c>
      <c r="DL794" s="995" t="s">
        <v>194</v>
      </c>
      <c r="DM794" s="995" t="s">
        <v>194</v>
      </c>
      <c r="DN794" s="995" t="s">
        <v>194</v>
      </c>
      <c r="DO794" s="995" t="s">
        <v>194</v>
      </c>
      <c r="DP794" s="995" t="s">
        <v>194</v>
      </c>
      <c r="DQ794" s="995" t="s">
        <v>194</v>
      </c>
      <c r="DR794" s="995" t="s">
        <v>194</v>
      </c>
      <c r="DS794" s="995" t="s">
        <v>194</v>
      </c>
      <c r="DT794" s="995" t="s">
        <v>194</v>
      </c>
    </row>
  </sheetData>
  <mergeCells count="26">
    <mergeCell ref="BR4:CJ4"/>
    <mergeCell ref="CK3:CV3"/>
    <mergeCell ref="CK4:CP4"/>
    <mergeCell ref="AO4:AQ4"/>
    <mergeCell ref="AR4:AT4"/>
    <mergeCell ref="AU4:AW4"/>
    <mergeCell ref="BR3:CJ3"/>
    <mergeCell ref="Z4:AA4"/>
    <mergeCell ref="AX4:BB4"/>
    <mergeCell ref="BD4:BM4"/>
    <mergeCell ref="BN4:BP4"/>
    <mergeCell ref="AB4:AJ4"/>
    <mergeCell ref="AK4:AL4"/>
    <mergeCell ref="AM4:AN4"/>
    <mergeCell ref="A4:H4"/>
    <mergeCell ref="J4:L4"/>
    <mergeCell ref="N4:Q4"/>
    <mergeCell ref="R4:V4"/>
    <mergeCell ref="W4:Y4"/>
    <mergeCell ref="DE3:DL3"/>
    <mergeCell ref="DM3:DT3"/>
    <mergeCell ref="A3:H3"/>
    <mergeCell ref="I3:AJ3"/>
    <mergeCell ref="AK3:BC3"/>
    <mergeCell ref="BD3:BQ3"/>
    <mergeCell ref="CW3:DD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2A393-0A33-4AD5-8AE0-F34E31FD5C61}">
  <sheetPr>
    <tabColor theme="6"/>
  </sheetPr>
  <dimension ref="A1:CV82"/>
  <sheetViews>
    <sheetView topLeftCell="E1" zoomScale="70" zoomScaleNormal="70" workbookViewId="0">
      <selection activeCell="M22" sqref="M22"/>
    </sheetView>
  </sheetViews>
  <sheetFormatPr defaultColWidth="9.140625" defaultRowHeight="15"/>
  <cols>
    <col min="1" max="1" width="11.140625" style="2" customWidth="1"/>
    <col min="2" max="2" width="19.85546875" style="2" customWidth="1"/>
    <col min="3" max="3" width="22.5703125" style="2" bestFit="1" customWidth="1"/>
    <col min="4" max="4" width="16.42578125" style="2" bestFit="1" customWidth="1"/>
    <col min="5" max="5" width="26.85546875" style="2" customWidth="1"/>
    <col min="6" max="6" width="35" style="2" customWidth="1"/>
    <col min="7" max="7" width="41.42578125" style="2" customWidth="1"/>
    <col min="8" max="8" width="29.140625" style="2" customWidth="1"/>
    <col min="9" max="10" width="9.85546875" style="2" bestFit="1" customWidth="1"/>
    <col min="11" max="11" width="20.42578125" style="2" bestFit="1" customWidth="1"/>
    <col min="12" max="12" width="15.42578125" style="2" bestFit="1" customWidth="1"/>
    <col min="13" max="13" width="24.85546875" style="2" customWidth="1"/>
    <col min="14" max="14" width="15" style="2" bestFit="1" customWidth="1"/>
    <col min="15" max="15" width="29.85546875" style="2" customWidth="1"/>
    <col min="16" max="16" width="31.85546875" style="2" customWidth="1"/>
    <col min="17" max="17" width="30.42578125" style="2" customWidth="1"/>
    <col min="18" max="19" width="20.5703125" style="2" customWidth="1"/>
    <col min="20" max="20" width="18.5703125" style="2" bestFit="1" customWidth="1"/>
    <col min="21" max="21" width="18" style="2" bestFit="1" customWidth="1"/>
    <col min="22" max="22" width="17.140625" style="2" customWidth="1"/>
    <col min="23" max="23" width="15.85546875" style="2" customWidth="1"/>
    <col min="24" max="24" width="16.140625" style="2" bestFit="1" customWidth="1"/>
    <col min="25" max="25" width="21.42578125" style="2" customWidth="1"/>
    <col min="26" max="26" width="20" style="2" customWidth="1"/>
    <col min="27" max="27" width="20.42578125" style="2" bestFit="1" customWidth="1"/>
    <col min="28" max="28" width="18.140625" style="2" customWidth="1"/>
    <col min="29" max="29" width="17.42578125" style="2" bestFit="1" customWidth="1"/>
    <col min="30" max="30" width="35" style="2" customWidth="1"/>
    <col min="31" max="31" width="22.85546875" style="2" customWidth="1"/>
    <col min="32" max="32" width="21.42578125" style="2" customWidth="1"/>
    <col min="33" max="33" width="20.5703125" style="2" bestFit="1" customWidth="1"/>
    <col min="34" max="34" width="28.140625" style="2" customWidth="1"/>
    <col min="35" max="35" width="24" style="2" customWidth="1"/>
    <col min="36" max="36" width="28.5703125" style="2" customWidth="1"/>
    <col min="37" max="37" width="34.85546875" style="2" customWidth="1"/>
    <col min="38" max="38" width="28.5703125" style="2" customWidth="1"/>
    <col min="39" max="39" width="40.42578125" style="2" customWidth="1"/>
    <col min="40" max="40" width="22.140625" style="2" customWidth="1"/>
    <col min="41" max="41" width="25.85546875" style="2" customWidth="1"/>
    <col min="42" max="42" width="29.85546875" style="2" customWidth="1"/>
    <col min="43" max="43" width="26.85546875" style="2" customWidth="1"/>
    <col min="44" max="44" width="30.85546875" style="2" customWidth="1"/>
    <col min="45" max="45" width="21.42578125" style="2" customWidth="1"/>
    <col min="46" max="46" width="32.140625" style="2" customWidth="1"/>
    <col min="47" max="47" width="20.42578125" style="2" bestFit="1" customWidth="1"/>
    <col min="48" max="48" width="26.140625" style="2" customWidth="1"/>
    <col min="49" max="49" width="34.85546875" style="2" customWidth="1"/>
    <col min="50" max="50" width="30" style="2" customWidth="1"/>
    <col min="51" max="51" width="21.42578125" style="2" customWidth="1"/>
    <col min="52" max="52" width="34.85546875" style="2" customWidth="1"/>
    <col min="53" max="53" width="32.140625" style="2" customWidth="1"/>
    <col min="54" max="54" width="34.85546875" style="2" customWidth="1"/>
    <col min="55" max="55" width="28.5703125" style="2" customWidth="1"/>
    <col min="56" max="56" width="33.140625" style="2" customWidth="1"/>
    <col min="57" max="57" width="34.85546875" style="2" customWidth="1"/>
    <col min="58" max="58" width="30" style="2" customWidth="1"/>
    <col min="59" max="59" width="41.42578125" style="2" customWidth="1"/>
    <col min="60" max="60" width="35.85546875" style="2" customWidth="1"/>
    <col min="61" max="61" width="15" style="2" customWidth="1"/>
    <col min="62" max="62" width="15.85546875" style="2" customWidth="1"/>
    <col min="63" max="63" width="13.140625" style="2" customWidth="1"/>
    <col min="64" max="64" width="25.42578125" style="2" customWidth="1"/>
    <col min="65" max="65" width="27.140625" style="2" customWidth="1"/>
    <col min="66" max="66" width="17.5703125" style="2" customWidth="1"/>
    <col min="67" max="67" width="16.85546875" style="2" customWidth="1"/>
    <col min="68" max="68" width="23.140625" style="2" customWidth="1"/>
    <col min="69" max="69" width="15.42578125" style="2" customWidth="1"/>
    <col min="70" max="70" width="14.85546875" style="2" customWidth="1"/>
    <col min="71" max="71" width="14" style="2" customWidth="1"/>
    <col min="72" max="72" width="12.5703125" style="2" customWidth="1"/>
    <col min="73" max="73" width="13.140625" style="2" customWidth="1"/>
    <col min="74" max="74" width="14" style="2" customWidth="1"/>
    <col min="75" max="76" width="12.5703125" style="2" customWidth="1"/>
    <col min="77" max="77" width="14.85546875" style="2" customWidth="1"/>
    <col min="78" max="78" width="33.140625" style="2" customWidth="1"/>
    <col min="79" max="79" width="38.140625" style="2" customWidth="1"/>
    <col min="80" max="80" width="13.140625" style="2" customWidth="1"/>
    <col min="81" max="81" width="23.140625" style="2" customWidth="1"/>
    <col min="82" max="82" width="23.5703125" style="2" customWidth="1"/>
    <col min="83" max="83" width="27.5703125" style="2" customWidth="1"/>
    <col min="84" max="84" width="36.140625" style="2" customWidth="1"/>
    <col min="85" max="85" width="16.140625" style="2" customWidth="1"/>
    <col min="86" max="86" width="48.5703125" style="2" customWidth="1"/>
    <col min="87" max="87" width="41.140625" style="2" customWidth="1"/>
    <col min="88" max="89" width="49" style="2" customWidth="1"/>
    <col min="90" max="90" width="56.85546875" style="2" customWidth="1"/>
    <col min="91" max="91" width="46.140625" style="2" customWidth="1"/>
    <col min="92" max="92" width="39.140625" style="2" customWidth="1"/>
    <col min="93" max="93" width="41.42578125" style="2" customWidth="1"/>
    <col min="94" max="94" width="41.85546875" style="2" customWidth="1"/>
    <col min="95" max="95" width="41.140625" style="2" customWidth="1"/>
    <col min="96" max="96" width="20.42578125" style="2" customWidth="1"/>
    <col min="97" max="97" width="35.85546875" style="2" customWidth="1"/>
    <col min="98" max="98" width="32.85546875" style="2" customWidth="1"/>
    <col min="99" max="99" width="24.85546875" style="2" customWidth="1"/>
    <col min="100" max="100" width="29" style="2" customWidth="1"/>
    <col min="101" max="16384" width="9.140625" style="2"/>
  </cols>
  <sheetData>
    <row r="1" spans="1:100" ht="18.75">
      <c r="A1" s="1"/>
    </row>
    <row r="2" spans="1:100">
      <c r="A2" s="949" t="s">
        <v>0</v>
      </c>
      <c r="B2" s="949"/>
      <c r="C2" s="950"/>
      <c r="D2" s="951" t="s">
        <v>1</v>
      </c>
      <c r="E2" s="952"/>
      <c r="F2" s="952"/>
      <c r="G2" s="952"/>
      <c r="H2" s="952"/>
      <c r="I2" s="952"/>
      <c r="J2" s="952"/>
      <c r="K2" s="952"/>
      <c r="L2" s="952"/>
      <c r="M2" s="952"/>
      <c r="N2" s="952"/>
      <c r="O2" s="952"/>
      <c r="P2" s="952"/>
      <c r="Q2" s="952"/>
      <c r="R2" s="952"/>
      <c r="S2" s="952"/>
      <c r="T2" s="952"/>
      <c r="U2" s="952"/>
      <c r="V2" s="952"/>
      <c r="W2" s="952"/>
      <c r="X2" s="952"/>
      <c r="Y2" s="952"/>
      <c r="Z2" s="952"/>
      <c r="AA2" s="952"/>
      <c r="AB2" s="953"/>
      <c r="AC2" s="954" t="s">
        <v>2</v>
      </c>
      <c r="AD2" s="955"/>
      <c r="AE2" s="955"/>
      <c r="AF2" s="955"/>
      <c r="AG2" s="955"/>
      <c r="AH2" s="955"/>
      <c r="AI2" s="955"/>
      <c r="AJ2" s="955"/>
      <c r="AK2" s="955"/>
      <c r="AL2" s="955"/>
      <c r="AM2" s="955"/>
      <c r="AN2" s="955"/>
      <c r="AO2" s="955"/>
      <c r="AP2" s="955"/>
      <c r="AQ2" s="955"/>
      <c r="AR2" s="955"/>
      <c r="AS2" s="955"/>
      <c r="AT2" s="956"/>
      <c r="AU2" s="957" t="s">
        <v>3</v>
      </c>
      <c r="AV2" s="958"/>
      <c r="AW2" s="958"/>
      <c r="AX2" s="958"/>
      <c r="AY2" s="958"/>
      <c r="AZ2" s="958"/>
      <c r="BA2" s="958"/>
      <c r="BB2" s="958"/>
      <c r="BC2" s="959"/>
    </row>
    <row r="3" spans="1:100" ht="30" customHeight="1">
      <c r="A3" s="960" t="s">
        <v>4</v>
      </c>
      <c r="B3" s="960"/>
      <c r="C3" s="961"/>
      <c r="D3" s="3" t="s">
        <v>5</v>
      </c>
      <c r="E3" s="962" t="s">
        <v>6</v>
      </c>
      <c r="F3" s="963"/>
      <c r="G3" s="964"/>
      <c r="H3" s="935" t="s">
        <v>7</v>
      </c>
      <c r="I3" s="936"/>
      <c r="J3" s="936"/>
      <c r="K3" s="937"/>
      <c r="L3" s="962" t="s">
        <v>8</v>
      </c>
      <c r="M3" s="963"/>
      <c r="N3" s="964"/>
      <c r="O3" s="935" t="s">
        <v>9</v>
      </c>
      <c r="P3" s="936"/>
      <c r="Q3" s="937"/>
      <c r="R3" s="4"/>
      <c r="S3" s="5"/>
      <c r="T3" s="965" t="s">
        <v>10</v>
      </c>
      <c r="U3" s="963"/>
      <c r="V3" s="963"/>
      <c r="W3" s="963"/>
      <c r="X3" s="964"/>
      <c r="Y3" s="935" t="s">
        <v>11</v>
      </c>
      <c r="Z3" s="936"/>
      <c r="AA3" s="936"/>
      <c r="AB3" s="937"/>
      <c r="AC3" s="938" t="s">
        <v>12</v>
      </c>
      <c r="AD3" s="939"/>
      <c r="AE3" s="940" t="s">
        <v>13</v>
      </c>
      <c r="AF3" s="941"/>
      <c r="AG3" s="938" t="s">
        <v>14</v>
      </c>
      <c r="AH3" s="939"/>
      <c r="AI3" s="940" t="s">
        <v>15</v>
      </c>
      <c r="AJ3" s="942"/>
      <c r="AK3" s="941"/>
      <c r="AL3" s="938" t="s">
        <v>16</v>
      </c>
      <c r="AM3" s="943"/>
      <c r="AN3" s="939"/>
      <c r="AO3" s="940" t="s">
        <v>17</v>
      </c>
      <c r="AP3" s="942"/>
      <c r="AQ3" s="941"/>
      <c r="AR3" s="938" t="s">
        <v>18</v>
      </c>
      <c r="AS3" s="939"/>
      <c r="AT3" s="6" t="s">
        <v>19</v>
      </c>
      <c r="AU3" s="944" t="s">
        <v>20</v>
      </c>
      <c r="AV3" s="945"/>
      <c r="AW3" s="945"/>
      <c r="AX3" s="946"/>
      <c r="AY3" s="947" t="s">
        <v>21</v>
      </c>
      <c r="AZ3" s="948"/>
      <c r="BA3" s="944" t="s">
        <v>22</v>
      </c>
      <c r="BB3" s="945"/>
      <c r="BC3" s="946"/>
      <c r="BD3" s="932" t="s">
        <v>1093</v>
      </c>
      <c r="BE3" s="933"/>
      <c r="BF3" s="933"/>
      <c r="BG3" s="933"/>
      <c r="BH3" s="934"/>
      <c r="BI3" s="921" t="s">
        <v>1073</v>
      </c>
      <c r="BJ3" s="922"/>
      <c r="BK3" s="922"/>
      <c r="BL3" s="922"/>
      <c r="BM3" s="922"/>
      <c r="BN3" s="922"/>
      <c r="BO3" s="922"/>
      <c r="BP3" s="922"/>
      <c r="BQ3" s="922"/>
      <c r="BR3" s="922"/>
      <c r="BS3" s="922"/>
      <c r="BT3" s="922"/>
      <c r="BU3" s="922"/>
      <c r="BV3" s="922"/>
      <c r="BW3" s="922"/>
      <c r="BX3" s="922"/>
      <c r="BY3" s="922"/>
      <c r="BZ3" s="922"/>
      <c r="CA3" s="923"/>
      <c r="CB3" s="921" t="s">
        <v>1094</v>
      </c>
      <c r="CC3" s="922"/>
      <c r="CD3" s="923"/>
      <c r="CE3" s="924" t="s">
        <v>1095</v>
      </c>
      <c r="CF3" s="925"/>
      <c r="CG3" s="926"/>
      <c r="CH3" s="927" t="s">
        <v>1096</v>
      </c>
      <c r="CI3" s="928"/>
      <c r="CJ3" s="928"/>
      <c r="CK3" s="928"/>
      <c r="CL3" s="929"/>
      <c r="CM3" s="930" t="s">
        <v>1097</v>
      </c>
      <c r="CN3" s="919"/>
      <c r="CO3" s="931"/>
      <c r="CP3" s="918" t="s">
        <v>1098</v>
      </c>
      <c r="CQ3" s="919"/>
      <c r="CR3" s="919"/>
      <c r="CS3" s="931"/>
      <c r="CT3" s="918" t="s">
        <v>1099</v>
      </c>
      <c r="CU3" s="919"/>
      <c r="CV3" s="920"/>
    </row>
    <row r="4" spans="1:100">
      <c r="A4" s="96" t="s">
        <v>23</v>
      </c>
      <c r="B4" s="96" t="s">
        <v>24</v>
      </c>
      <c r="C4" s="96" t="s">
        <v>25</v>
      </c>
      <c r="D4" s="97" t="s">
        <v>26</v>
      </c>
      <c r="E4" s="97" t="s">
        <v>27</v>
      </c>
      <c r="F4" s="96" t="s">
        <v>28</v>
      </c>
      <c r="G4" s="96" t="s">
        <v>29</v>
      </c>
      <c r="H4" s="97" t="s">
        <v>30</v>
      </c>
      <c r="I4" s="96" t="s">
        <v>31</v>
      </c>
      <c r="J4" s="96" t="s">
        <v>32</v>
      </c>
      <c r="K4" s="96" t="s">
        <v>33</v>
      </c>
      <c r="L4" s="97" t="s">
        <v>34</v>
      </c>
      <c r="M4" s="96" t="s">
        <v>35</v>
      </c>
      <c r="N4" s="96" t="s">
        <v>36</v>
      </c>
      <c r="O4" s="97" t="s">
        <v>37</v>
      </c>
      <c r="P4" s="96" t="s">
        <v>38</v>
      </c>
      <c r="Q4" s="96" t="s">
        <v>39</v>
      </c>
      <c r="R4" s="97" t="s">
        <v>40</v>
      </c>
      <c r="S4" s="96" t="s">
        <v>41</v>
      </c>
      <c r="T4" s="98" t="s">
        <v>42</v>
      </c>
      <c r="U4" s="96" t="s">
        <v>43</v>
      </c>
      <c r="V4" s="96" t="s">
        <v>44</v>
      </c>
      <c r="W4" s="96" t="s">
        <v>45</v>
      </c>
      <c r="X4" s="96" t="s">
        <v>46</v>
      </c>
      <c r="Y4" s="97" t="s">
        <v>47</v>
      </c>
      <c r="Z4" s="96" t="s">
        <v>48</v>
      </c>
      <c r="AA4" s="96" t="s">
        <v>49</v>
      </c>
      <c r="AB4" s="96" t="s">
        <v>50</v>
      </c>
      <c r="AC4" s="97" t="s">
        <v>51</v>
      </c>
      <c r="AD4" s="96" t="s">
        <v>52</v>
      </c>
      <c r="AE4" s="97" t="s">
        <v>53</v>
      </c>
      <c r="AF4" s="96" t="s">
        <v>54</v>
      </c>
      <c r="AG4" s="97" t="s">
        <v>55</v>
      </c>
      <c r="AH4" s="96" t="s">
        <v>56</v>
      </c>
      <c r="AI4" s="97" t="s">
        <v>57</v>
      </c>
      <c r="AJ4" s="96" t="s">
        <v>58</v>
      </c>
      <c r="AK4" s="96" t="s">
        <v>59</v>
      </c>
      <c r="AL4" s="97" t="s">
        <v>60</v>
      </c>
      <c r="AM4" s="96" t="s">
        <v>61</v>
      </c>
      <c r="AN4" s="96" t="s">
        <v>62</v>
      </c>
      <c r="AO4" s="97" t="s">
        <v>63</v>
      </c>
      <c r="AP4" s="96" t="s">
        <v>64</v>
      </c>
      <c r="AQ4" s="96" t="s">
        <v>65</v>
      </c>
      <c r="AR4" s="97" t="s">
        <v>66</v>
      </c>
      <c r="AS4" s="96" t="s">
        <v>67</v>
      </c>
      <c r="AT4" s="97" t="s">
        <v>68</v>
      </c>
      <c r="AU4" s="97" t="s">
        <v>69</v>
      </c>
      <c r="AV4" s="96" t="s">
        <v>70</v>
      </c>
      <c r="AW4" s="96" t="s">
        <v>71</v>
      </c>
      <c r="AX4" s="96" t="s">
        <v>72</v>
      </c>
      <c r="AY4" s="97" t="s">
        <v>73</v>
      </c>
      <c r="AZ4" s="96" t="s">
        <v>74</v>
      </c>
      <c r="BA4" s="97" t="s">
        <v>75</v>
      </c>
      <c r="BB4" s="96" t="s">
        <v>76</v>
      </c>
      <c r="BC4" s="99" t="s">
        <v>77</v>
      </c>
      <c r="BD4" s="59" t="s">
        <v>1100</v>
      </c>
      <c r="BE4" s="60" t="s">
        <v>1101</v>
      </c>
      <c r="BF4" s="60" t="s">
        <v>1102</v>
      </c>
      <c r="BG4" s="60" t="s">
        <v>1103</v>
      </c>
      <c r="BH4" s="61" t="s">
        <v>1104</v>
      </c>
      <c r="BI4" s="62" t="s">
        <v>1074</v>
      </c>
      <c r="BJ4" s="63" t="s">
        <v>1075</v>
      </c>
      <c r="BK4" s="63" t="s">
        <v>1076</v>
      </c>
      <c r="BL4" s="64" t="s">
        <v>1077</v>
      </c>
      <c r="BM4" s="64" t="s">
        <v>1078</v>
      </c>
      <c r="BN4" s="63" t="s">
        <v>1079</v>
      </c>
      <c r="BO4" s="63" t="s">
        <v>1080</v>
      </c>
      <c r="BP4" s="63" t="s">
        <v>1081</v>
      </c>
      <c r="BQ4" s="65" t="s">
        <v>1082</v>
      </c>
      <c r="BR4" s="65" t="s">
        <v>1083</v>
      </c>
      <c r="BS4" s="65" t="s">
        <v>1084</v>
      </c>
      <c r="BT4" s="65" t="s">
        <v>1085</v>
      </c>
      <c r="BU4" s="65" t="s">
        <v>1086</v>
      </c>
      <c r="BV4" s="65" t="s">
        <v>1087</v>
      </c>
      <c r="BW4" s="65" t="s">
        <v>1088</v>
      </c>
      <c r="BX4" s="65" t="s">
        <v>1089</v>
      </c>
      <c r="BY4" s="65" t="s">
        <v>1090</v>
      </c>
      <c r="BZ4" s="64" t="s">
        <v>1091</v>
      </c>
      <c r="CA4" s="66" t="s">
        <v>1092</v>
      </c>
      <c r="CB4" s="67" t="s">
        <v>13</v>
      </c>
      <c r="CC4" s="63" t="s">
        <v>1105</v>
      </c>
      <c r="CD4" s="68" t="s">
        <v>1106</v>
      </c>
      <c r="CE4" s="7" t="s">
        <v>1107</v>
      </c>
      <c r="CF4" s="7" t="s">
        <v>1108</v>
      </c>
      <c r="CG4" s="7" t="s">
        <v>1109</v>
      </c>
      <c r="CH4" s="69" t="s">
        <v>1110</v>
      </c>
      <c r="CI4" s="7" t="s">
        <v>1111</v>
      </c>
      <c r="CJ4" s="7" t="s">
        <v>1112</v>
      </c>
      <c r="CK4" s="7" t="s">
        <v>1113</v>
      </c>
      <c r="CL4" s="7" t="s">
        <v>1114</v>
      </c>
      <c r="CM4" s="69" t="s">
        <v>1115</v>
      </c>
      <c r="CN4" s="7" t="s">
        <v>1116</v>
      </c>
      <c r="CO4" s="7" t="s">
        <v>1117</v>
      </c>
      <c r="CP4" s="70" t="s">
        <v>1118</v>
      </c>
      <c r="CQ4" s="7" t="s">
        <v>1119</v>
      </c>
      <c r="CR4" s="71" t="s">
        <v>1120</v>
      </c>
      <c r="CS4" s="72" t="s">
        <v>1121</v>
      </c>
      <c r="CT4" s="7" t="s">
        <v>1122</v>
      </c>
      <c r="CU4" s="7" t="s">
        <v>1123</v>
      </c>
      <c r="CV4" s="73" t="s">
        <v>1124</v>
      </c>
    </row>
    <row r="5" spans="1:100">
      <c r="A5" s="100"/>
      <c r="B5" s="100" t="s">
        <v>146</v>
      </c>
      <c r="C5" s="100" t="s">
        <v>147</v>
      </c>
      <c r="D5" s="101">
        <v>3</v>
      </c>
      <c r="E5" s="102">
        <v>91.328787199999994</v>
      </c>
      <c r="F5" s="103">
        <v>47.805990778000023</v>
      </c>
      <c r="G5" s="103">
        <v>139.13477797800002</v>
      </c>
      <c r="H5" s="104">
        <v>688.35453644154802</v>
      </c>
      <c r="I5" s="105">
        <v>2836.8939417445363</v>
      </c>
      <c r="J5" s="105">
        <v>464.31479355985056</v>
      </c>
      <c r="K5" s="105">
        <v>3989.5632717459348</v>
      </c>
      <c r="L5" s="104">
        <v>8126.8282499999996</v>
      </c>
      <c r="M5" s="106">
        <v>0.49091270899516487</v>
      </c>
      <c r="N5" s="107" t="s">
        <v>151</v>
      </c>
      <c r="O5" s="102">
        <v>34.367978025872766</v>
      </c>
      <c r="P5" s="103">
        <v>1</v>
      </c>
      <c r="Q5" s="103">
        <v>1</v>
      </c>
      <c r="R5" s="108">
        <v>4</v>
      </c>
      <c r="S5" s="107">
        <v>32</v>
      </c>
      <c r="T5" s="106">
        <v>1</v>
      </c>
      <c r="U5" s="106">
        <v>0</v>
      </c>
      <c r="V5" s="106">
        <v>0.1436523918210677</v>
      </c>
      <c r="W5" s="106">
        <v>0.8563476081789323</v>
      </c>
      <c r="X5" s="106">
        <v>0</v>
      </c>
      <c r="Y5" s="104">
        <v>1167.4383160315219</v>
      </c>
      <c r="Z5" s="105">
        <v>6959.3899339684776</v>
      </c>
      <c r="AA5" s="105">
        <v>0</v>
      </c>
      <c r="AB5" s="105">
        <v>109362.2777777778</v>
      </c>
      <c r="AC5" s="101">
        <v>3</v>
      </c>
      <c r="AD5" s="109">
        <v>2</v>
      </c>
      <c r="AE5" s="101">
        <v>42879</v>
      </c>
      <c r="AF5" s="109">
        <v>16117</v>
      </c>
      <c r="AG5" s="110">
        <v>0.37587163879754659</v>
      </c>
      <c r="AH5" s="106">
        <v>0.51668552657086075</v>
      </c>
      <c r="AI5" s="101">
        <v>7381.2668886062802</v>
      </c>
      <c r="AJ5" s="109">
        <v>3690.6334443031424</v>
      </c>
      <c r="AK5" s="106">
        <v>0.46194252301366967</v>
      </c>
      <c r="AL5" s="104">
        <v>10060862.539999999</v>
      </c>
      <c r="AM5" s="105">
        <v>2708376.4597240863</v>
      </c>
      <c r="AN5" s="106">
        <v>0.26919923107547861</v>
      </c>
      <c r="AO5" s="104">
        <v>1903183.4581844932</v>
      </c>
      <c r="AP5" s="106">
        <v>8.6577616545135301E-3</v>
      </c>
      <c r="AQ5" s="109">
        <v>22</v>
      </c>
      <c r="AR5" s="101">
        <v>2</v>
      </c>
      <c r="AS5" s="105">
        <v>831451.85896904091</v>
      </c>
      <c r="AT5" s="104">
        <v>2734635.3171535339</v>
      </c>
      <c r="AU5" s="101">
        <v>3</v>
      </c>
      <c r="AV5" s="109">
        <v>1</v>
      </c>
      <c r="AW5" s="109">
        <v>0</v>
      </c>
      <c r="AX5" s="109">
        <v>2</v>
      </c>
      <c r="AY5" s="110">
        <v>0.33333333333333331</v>
      </c>
      <c r="AZ5" s="109">
        <v>3227.1500234986952</v>
      </c>
      <c r="BA5" s="102">
        <v>34.367978025872766</v>
      </c>
      <c r="BB5" s="106">
        <v>0.41453050942472602</v>
      </c>
      <c r="BC5" s="111">
        <v>131.01206767680867</v>
      </c>
      <c r="BD5" s="74"/>
      <c r="BE5" s="75" t="str">
        <f>IFERROR(_xlfn.XLOOKUP([2]!BaseMaestraCeDi[[#This Row],[CeDi]], '[2]Potencial Hor x CeDi'!$B$6:$BU$6, '[2]Potencial Hor x CeDi'!$B$21:$BU$21) / 1000, "")</f>
        <v/>
      </c>
      <c r="BF5" s="75" t="str">
        <f>IFERROR(_xlfn.XLOOKUP([2]!BaseMaestraCeDi[[#This Row],[CeDi]], '[2]Potencial Hor x CeDi'!$B$6:$BU$6, '[2]Potencial Hor x CeDi'!$B$22:$BU$22) / 1000, "")</f>
        <v/>
      </c>
      <c r="BG5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5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5" s="78" t="str">
        <f>IFERROR(INDEX('[2]Potencial Hor SocioDem x CeDi'!$C$2:$AF$81, MATCH($C5,'[2]Potencial Hor SocioDem x CeDi'!$B$2:$B$81,0), MATCH(BI$4,'[2]Potencial Hor SocioDem x CeDi'!$C$1:$AF$1,0)), "")</f>
        <v/>
      </c>
      <c r="BJ5" s="78" t="str">
        <f>IFERROR(INDEX('[2]Potencial Hor SocioDem x CeDi'!$C$2:$AF$81, MATCH($C5,'[2]Potencial Hor SocioDem x CeDi'!$B$2:$B$81,0), MATCH(BJ$4,'[2]Potencial Hor SocioDem x CeDi'!$C$1:$AF$1,0)), "")</f>
        <v/>
      </c>
      <c r="BK5" s="78" t="str">
        <f>IFERROR(INDEX('[2]Potencial Hor SocioDem x CeDi'!$C$2:$AF$81, MATCH($C5,'[2]Potencial Hor SocioDem x CeDi'!$B$2:$B$81,0), MATCH(BK$4,'[2]Potencial Hor SocioDem x CeDi'!$C$1:$AF$1,0)), "")</f>
        <v/>
      </c>
      <c r="BL5" s="79" t="str">
        <f>IFERROR(INDEX('[2]Potencial Hor SocioDem x CeDi'!$C$2:$AF$81, MATCH($C5,'[2]Potencial Hor SocioDem x CeDi'!$B$2:$B$81,0), MATCH(BL$4,'[2]Potencial Hor SocioDem x CeDi'!$C$1:$AF$1,0)), "")</f>
        <v/>
      </c>
      <c r="BM5" s="79" t="str">
        <f>IFERROR(INDEX('[2]Potencial Hor SocioDem x CeDi'!$C$2:$AF$81, MATCH($C5,'[2]Potencial Hor SocioDem x CeDi'!$B$2:$B$81,0), MATCH(BM$4,'[2]Potencial Hor SocioDem x CeDi'!$C$1:$AF$1,0)), "")</f>
        <v/>
      </c>
      <c r="BN5" s="78" t="str">
        <f>IFERROR(INDEX('[2]Potencial Hor SocioDem x CeDi'!$C$2:$AF$81, MATCH($C5,'[2]Potencial Hor SocioDem x CeDi'!$B$2:$B$81,0), MATCH(BN$4,'[2]Potencial Hor SocioDem x CeDi'!$C$1:$AF$1,0)), "")</f>
        <v/>
      </c>
      <c r="BO5" s="78" t="str">
        <f>IFERROR(INDEX('[2]Potencial Hor SocioDem x CeDi'!$C$2:$AF$81, MATCH($C5,'[2]Potencial Hor SocioDem x CeDi'!$B$2:$B$81,0), MATCH(BO$4,'[2]Potencial Hor SocioDem x CeDi'!$C$1:$AF$1,0)), "")</f>
        <v/>
      </c>
      <c r="BP5" s="78" t="str">
        <f>IFERROR(INDEX('[2]Potencial Hor SocioDem x CeDi'!$C$2:$AF$81, MATCH($C5,'[2]Potencial Hor SocioDem x CeDi'!$B$2:$B$81,0), MATCH(BP$4,'[2]Potencial Hor SocioDem x CeDi'!$C$1:$AF$1,0)), "")</f>
        <v/>
      </c>
      <c r="BQ5" s="80" t="str">
        <f>IFERROR(INDEX('[2]Potencial Hor SocioDem x CeDi'!$C$2:$AF$81, MATCH($C5,'[2]Potencial Hor SocioDem x CeDi'!$B$2:$B$81,0), MATCH(BQ$4,'[2]Potencial Hor SocioDem x CeDi'!$C$1:$AF$1,0)), "")</f>
        <v/>
      </c>
      <c r="BR5" s="80" t="str">
        <f>IFERROR(INDEX('[2]Potencial Hor SocioDem x CeDi'!$C$2:$AF$81, MATCH($C5,'[2]Potencial Hor SocioDem x CeDi'!$B$2:$B$81,0), MATCH(BR$4,'[2]Potencial Hor SocioDem x CeDi'!$C$1:$AF$1,0)), "")</f>
        <v/>
      </c>
      <c r="BS5" s="80" t="str">
        <f>IFERROR(INDEX('[2]Potencial Hor SocioDem x CeDi'!$C$2:$AF$81, MATCH($C5,'[2]Potencial Hor SocioDem x CeDi'!$B$2:$B$81,0), MATCH(BS$4,'[2]Potencial Hor SocioDem x CeDi'!$C$1:$AF$1,0)), "")</f>
        <v/>
      </c>
      <c r="BT5" s="80" t="str">
        <f>IFERROR(INDEX('[2]Potencial Hor SocioDem x CeDi'!$C$2:$AF$81, MATCH($C5,'[2]Potencial Hor SocioDem x CeDi'!$B$2:$B$81,0), MATCH(BT$4,'[2]Potencial Hor SocioDem x CeDi'!$C$1:$AF$1,0)), "")</f>
        <v/>
      </c>
      <c r="BU5" s="80" t="str">
        <f>IFERROR(INDEX('[2]Potencial Hor SocioDem x CeDi'!$C$2:$AF$81, MATCH($C5,'[2]Potencial Hor SocioDem x CeDi'!$B$2:$B$81,0), MATCH(BU$4,'[2]Potencial Hor SocioDem x CeDi'!$C$1:$AF$1,0)), "")</f>
        <v/>
      </c>
      <c r="BV5" s="80" t="str">
        <f>IFERROR(INDEX('[2]Potencial Hor SocioDem x CeDi'!$C$2:$AF$81, MATCH($C5,'[2]Potencial Hor SocioDem x CeDi'!$B$2:$B$81,0), MATCH(BV$4,'[2]Potencial Hor SocioDem x CeDi'!$C$1:$AF$1,0)), "")</f>
        <v/>
      </c>
      <c r="BW5" s="80" t="str">
        <f>IFERROR(INDEX('[2]Potencial Hor SocioDem x CeDi'!$C$2:$AF$81, MATCH($C5,'[2]Potencial Hor SocioDem x CeDi'!$B$2:$B$81,0), MATCH(BW$4,'[2]Potencial Hor SocioDem x CeDi'!$C$1:$AF$1,0)), "")</f>
        <v/>
      </c>
      <c r="BX5" s="80" t="str">
        <f>IFERROR(INDEX('[2]Potencial Hor SocioDem x CeDi'!$C$2:$AF$81, MATCH($C5,'[2]Potencial Hor SocioDem x CeDi'!$B$2:$B$81,0), MATCH(BX$4,'[2]Potencial Hor SocioDem x CeDi'!$C$1:$AF$1,0)), "")</f>
        <v/>
      </c>
      <c r="BY5" s="80" t="str">
        <f>IFERROR(INDEX('[2]Potencial Hor SocioDem x CeDi'!$C$2:$AF$81, MATCH($C5,'[2]Potencial Hor SocioDem x CeDi'!$B$2:$B$81,0), MATCH(BY$4,'[2]Potencial Hor SocioDem x CeDi'!$C$1:$AF$1,0)), "")</f>
        <v/>
      </c>
      <c r="BZ5" s="79" t="str">
        <f>IFERROR(INDEX('[2]Potencial Hor SocioDem x CeDi'!$C$2:$AF$81, MATCH($C5,'[2]Potencial Hor SocioDem x CeDi'!$B$2:$B$81,0), MATCH(BZ$4,'[2]Potencial Hor SocioDem x CeDi'!$C$1:$AF$1,0)), "")</f>
        <v/>
      </c>
      <c r="CA5" s="79" t="str">
        <f>IFERROR(INDEX('[2]Potencial Hor SocioDem x CeDi'!$C$2:$AF$81, MATCH($C5,'[2]Potencial Hor SocioDem x CeDi'!$B$2:$B$81,0), MATCH(CA$4,'[2]Potencial Hor SocioDem x CeDi'!$C$1:$AF$1,0)), "")</f>
        <v/>
      </c>
      <c r="CB5" s="81" t="str">
        <f>IFERROR(INDEX('[2]Potencial Hor SocioDem x CeDi'!$C$2:$AF$81, MATCH($C5,'[2]Potencial Hor SocioDem x CeDi'!$B$2:$B$81,0), MATCH(CB$4,'[2]Potencial Hor SocioDem x CeDi'!$C$1:$AF$1,0)), "")</f>
        <v/>
      </c>
      <c r="CC5" s="82" t="str">
        <f>IFERROR(INDEX('[2]Potencial Hor SocioDem x CeDi'!$C$2:$AF$81, MATCH($C5,'[2]Potencial Hor SocioDem x CeDi'!$B$2:$B$81,0), MATCH(CC$4,'[2]Potencial Hor SocioDem x CeDi'!$C$1:$AF$1,0)), "")</f>
        <v/>
      </c>
      <c r="CD5" s="83" t="str">
        <f>IFERROR(INDEX('[2]Potencial Hor SocioDem x CeDi'!$C$2:$AF$81, MATCH($C5,'[2]Potencial Hor SocioDem x CeDi'!$B$2:$B$81,0), MATCH(CD$4,'[2]Potencial Hor SocioDem x CeDi'!$C$1:$AF$1,0)), "")</f>
        <v/>
      </c>
      <c r="CE5" s="78" t="str">
        <f>IFERROR(_xlfn.XLOOKUP([2]!BaseMaestraCeDi[[#This Row],[CeDi]], '[2]Potencial Hor x CeDi'!$B$6:$BU$6, '[2]Potencial Hor x CeDi'!$B$50:$BU$50), "")</f>
        <v/>
      </c>
      <c r="CF5" s="78" t="str">
        <f>IFERROR(_xlfn.XLOOKUP([2]!BaseMaestraCeDi[[#This Row],[CeDi]], '[2]Potencial Hor x CeDi'!$B$6:$BU$6, '[2]Potencial Hor x CeDi'!$B$34:$BU$34), "")</f>
        <v/>
      </c>
      <c r="CG5" s="78" t="str">
        <f>IFERROR(_xlfn.XLOOKUP([2]!BaseMaestraCeDi[[#This Row],[CeDi]], '[2]Potencial Hor x CeDi'!$B$6:$BU$6, '[2]Potencial Hor x CeDi'!$B$64:$BU$64), "")</f>
        <v/>
      </c>
      <c r="CH5" s="78" t="str">
        <f>IFERROR(_xlfn.XLOOKUP([2]!BaseMaestraCeDi[[#This Row],[CeDi]], '[2]Potencial Hor x CeDi'!$B$6:$BU$6, '[2]Potencial Hor x CeDi'!$B$38:$BU$38), "")</f>
        <v/>
      </c>
      <c r="CI5" s="78" t="str">
        <f>IFERROR(_xlfn.XLOOKUP([2]!BaseMaestraCeDi[[#This Row],[CeDi]], '[2]Potencial Hor x CeDi'!$B$6:$BU$6, '[2]Potencial Hor x CeDi'!$B$26:$BU$26), "")</f>
        <v/>
      </c>
      <c r="CJ5" s="84" t="str">
        <f>IFERROR(_xlfn.XLOOKUP([2]!BaseMaestraCeDi[[#This Row],[CeDi]], '[2]Potencial Hor x CeDi'!$B$6:$BU$6, '[2]Potencial Hor x CeDi'!$B$27:$BU$27), "")</f>
        <v/>
      </c>
      <c r="CK5" s="78" t="str">
        <f>IFERROR(_xlfn.XLOOKUP([2]!BaseMaestraCeDi[[#This Row],[CeDi]], '[2]Potencial Hor x CeDi'!$B$6:$BU$6, '[2]Potencial Hor x CeDi'!$B$28:$BU$28), "")</f>
        <v/>
      </c>
      <c r="CL5" s="84" t="str">
        <f>IFERROR(_xlfn.XLOOKUP([2]!BaseMaestraCeDi[[#This Row],[CeDi]], '[2]Potencial Hor x CeDi'!$B$6:$BU$6, '[2]Potencial Hor x CeDi'!$B$29:$BU$29), "")</f>
        <v/>
      </c>
      <c r="CM5" s="85" t="str">
        <f>IFERROR(_xlfn.XLOOKUP([2]!BaseMaestraCeDi[[#This Row],[CeDi]], '[2]Potencial Hor x CeDi'!$B$6:$BU$6, '[2]Potencial Hor x CeDi'!$B$39:$BU$39), "")</f>
        <v/>
      </c>
      <c r="CN5" s="85" t="str">
        <f>IFERROR(_xlfn.XLOOKUP([2]!BaseMaestraCeDi[[#This Row],[CeDi]], '[2]Potencial Hor x CeDi'!$B$6:$BU$6, '[2]Potencial Hor x CeDi'!$B$43:$BU$43), "")</f>
        <v/>
      </c>
      <c r="CO5" s="85" t="str">
        <f>IFERROR(_xlfn.XLOOKUP([2]!BaseMaestraCeDi[[#This Row],[CeDi]], '[2]Potencial Hor x CeDi'!$B$6:$BU$6, '[2]Potencial Hor x CeDi'!$B$46:$BU$46), "")</f>
        <v/>
      </c>
      <c r="CP5" s="86" t="str">
        <f>IFERROR(_xlfn.XLOOKUP([2]!BaseMaestraCeDi[[#This Row],[CeDi]], '[2]Potencial Hor x CeDi'!$B$6:$BU$6, '[2]Potencial Hor x CeDi'!$B$51:$BU$51), "")</f>
        <v/>
      </c>
      <c r="CQ5" s="82" t="str">
        <f>IFERROR(_xlfn.XLOOKUP([2]!BaseMaestraCeDi[[#This Row],[CeDi]], '[2]Potencial Hor x CeDi'!$B$6:$BU$6, '[2]Potencial Hor x CeDi'!$B$52:$BU$52), "")</f>
        <v/>
      </c>
      <c r="CR5" s="82" t="str">
        <f>IFERROR(_xlfn.XLOOKUP([2]!BaseMaestraCeDi[[#This Row],[CeDi]], '[2]Potencial Hor x CeDi'!$B$6:$BU$6, '[2]Potencial Hor x CeDi'!$B$53:$BU$53), "")</f>
        <v/>
      </c>
      <c r="CS5" s="87" t="str">
        <f>IFERROR(_xlfn.XLOOKUP([2]!BaseMaestraCeDi[[#This Row],[CeDi]], '[2]Potencial Hor x CeDi'!$B$6:$BU$6, '[2]Potencial Hor x CeDi'!$B$60:$BU$60), "")</f>
        <v/>
      </c>
      <c r="CT5" s="78" t="str">
        <f>IFERROR(_xlfn.XLOOKUP([2]!BaseMaestraCeDi[[#This Row],[CeDi]], '[2]Potencial Hor x CeDi'!$B$6:$BU$6, '[2]Potencial Hor x CeDi'!$B$65:$BU$65), "")</f>
        <v/>
      </c>
      <c r="CU5" s="78" t="str">
        <f>IFERROR(_xlfn.XLOOKUP([2]!BaseMaestraCeDi[[#This Row],[CeDi]], '[2]Potencial Hor x CeDi'!$B$6:$BU$6, '[2]Potencial Hor x CeDi'!$B$68:$BU$68), "")</f>
        <v/>
      </c>
      <c r="CV5" s="84" t="str">
        <f>IFERROR(_xlfn.XLOOKUP([2]!BaseMaestraCeDi[[#This Row],[CeDi]], '[2]Potencial Hor x CeDi'!$B$6:$BU$6, '[2]Potencial Hor x CeDi'!$B$71:$BU$71), "")</f>
        <v/>
      </c>
    </row>
    <row r="6" spans="1:100">
      <c r="A6" s="112" t="s">
        <v>92</v>
      </c>
      <c r="B6" s="112" t="s">
        <v>157</v>
      </c>
      <c r="C6" s="112" t="s">
        <v>158</v>
      </c>
      <c r="D6" s="113">
        <v>2</v>
      </c>
      <c r="E6" s="114">
        <v>61.863911199999997</v>
      </c>
      <c r="F6" s="115">
        <v>38.376400634000014</v>
      </c>
      <c r="G6" s="115">
        <v>100.24031183400001</v>
      </c>
      <c r="H6" s="116">
        <v>688.34135645909009</v>
      </c>
      <c r="I6" s="117">
        <v>2977.2562854805901</v>
      </c>
      <c r="J6" s="117">
        <v>315.23992905544827</v>
      </c>
      <c r="K6" s="117">
        <v>3980.8375709951283</v>
      </c>
      <c r="L6" s="116">
        <v>5869.0060700000004</v>
      </c>
      <c r="M6" s="118">
        <v>0.67828138589659492</v>
      </c>
      <c r="N6" s="119" t="s">
        <v>160</v>
      </c>
      <c r="O6" s="114">
        <v>27.844671201814059</v>
      </c>
      <c r="P6" s="115">
        <v>1</v>
      </c>
      <c r="Q6" s="115">
        <v>1</v>
      </c>
      <c r="R6" s="120">
        <v>2</v>
      </c>
      <c r="S6" s="119">
        <v>16</v>
      </c>
      <c r="T6" s="121">
        <v>1</v>
      </c>
      <c r="U6" s="118">
        <v>0</v>
      </c>
      <c r="V6" s="118">
        <v>0.13623114861351093</v>
      </c>
      <c r="W6" s="118">
        <v>0.86376885138648907</v>
      </c>
      <c r="X6" s="118">
        <v>0</v>
      </c>
      <c r="Y6" s="116">
        <v>799.54143813576775</v>
      </c>
      <c r="Z6" s="117">
        <v>5069.4646318642326</v>
      </c>
      <c r="AA6" s="117">
        <v>0</v>
      </c>
      <c r="AB6" s="117">
        <v>119222</v>
      </c>
      <c r="AC6" s="113">
        <v>2</v>
      </c>
      <c r="AD6" s="122">
        <v>1</v>
      </c>
      <c r="AE6" s="113">
        <v>24559</v>
      </c>
      <c r="AF6" s="122">
        <v>11345</v>
      </c>
      <c r="AG6" s="123">
        <v>0.46194877641597787</v>
      </c>
      <c r="AH6" s="118">
        <v>0.50471056333830089</v>
      </c>
      <c r="AI6" s="113">
        <v>1739.3572312190745</v>
      </c>
      <c r="AJ6" s="122">
        <v>869.67861560953725</v>
      </c>
      <c r="AK6" s="118">
        <v>0.4973605853499547</v>
      </c>
      <c r="AL6" s="116">
        <v>7516237.4299999997</v>
      </c>
      <c r="AM6" s="117">
        <v>1186796.1471100333</v>
      </c>
      <c r="AN6" s="118">
        <v>0.15789763936582207</v>
      </c>
      <c r="AO6" s="116">
        <v>833964.86013137479</v>
      </c>
      <c r="AP6" s="118">
        <v>3.7937850690152588E-3</v>
      </c>
      <c r="AQ6" s="122">
        <v>32</v>
      </c>
      <c r="AR6" s="113">
        <v>1</v>
      </c>
      <c r="AS6" s="117">
        <v>2099036.9849839858</v>
      </c>
      <c r="AT6" s="116">
        <v>2933001.8451153608</v>
      </c>
      <c r="AU6" s="113">
        <v>2</v>
      </c>
      <c r="AV6" s="122">
        <v>1</v>
      </c>
      <c r="AW6" s="122">
        <v>1</v>
      </c>
      <c r="AX6" s="122">
        <v>0</v>
      </c>
      <c r="AY6" s="123">
        <v>0.5</v>
      </c>
      <c r="AZ6" s="122">
        <v>1004.1185193729</v>
      </c>
      <c r="BA6" s="114">
        <v>27.844671201814052</v>
      </c>
      <c r="BB6" s="118">
        <v>0.45304085977001901</v>
      </c>
      <c r="BC6" s="124">
        <v>139.80165751247148</v>
      </c>
      <c r="BD6" s="74" t="s">
        <v>1125</v>
      </c>
      <c r="BE6" s="88" t="str">
        <f>IFERROR(_xlfn.XLOOKUP([2]!BaseMaestraCeDi[[#This Row],[CeDi]], '[2]Potencial Hor x CeDi'!$B$6:$BU$6, '[2]Potencial Hor x CeDi'!$B$21:$BU$21) / 1000, "")</f>
        <v/>
      </c>
      <c r="BF6" s="89" t="str">
        <f>IFERROR(_xlfn.XLOOKUP([2]!BaseMaestraCeDi[[#This Row],[CeDi]], '[2]Potencial Hor x CeDi'!$B$6:$BU$6, '[2]Potencial Hor x CeDi'!$B$22:$BU$22) / 1000, "")</f>
        <v/>
      </c>
      <c r="BG6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6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6" s="78">
        <f>IFERROR(INDEX('[2]Potencial Hor SocioDem x CeDi'!$C$2:$AF$81, MATCH($C6,'[2]Potencial Hor SocioDem x CeDi'!$B$2:$B$81,0), MATCH(BI$4,'[2]Potencial Hor SocioDem x CeDi'!$C$1:$AF$1,0)), "")</f>
        <v>6688</v>
      </c>
      <c r="BJ6" s="78">
        <f>IFERROR(INDEX('[2]Potencial Hor SocioDem x CeDi'!$C$2:$AF$81, MATCH($C6,'[2]Potencial Hor SocioDem x CeDi'!$B$2:$B$81,0), MATCH(BJ$4,'[2]Potencial Hor SocioDem x CeDi'!$C$1:$AF$1,0)), "")</f>
        <v>448470</v>
      </c>
      <c r="BK6" s="78">
        <f>IFERROR(INDEX('[2]Potencial Hor SocioDem x CeDi'!$C$2:$AF$81, MATCH($C6,'[2]Potencial Hor SocioDem x CeDi'!$B$2:$B$81,0), MATCH(BK$4,'[2]Potencial Hor SocioDem x CeDi'!$C$1:$AF$1,0)), "")</f>
        <v>132561</v>
      </c>
      <c r="BL6" s="79">
        <f>IFERROR(INDEX('[2]Potencial Hor SocioDem x CeDi'!$C$2:$AF$81, MATCH($C6,'[2]Potencial Hor SocioDem x CeDi'!$B$2:$B$81,0), MATCH(BL$4,'[2]Potencial Hor SocioDem x CeDi'!$C$1:$AF$1,0)), "")</f>
        <v>3.3831217326362961</v>
      </c>
      <c r="BM6" s="79">
        <f>IFERROR(INDEX('[2]Potencial Hor SocioDem x CeDi'!$C$2:$AF$81, MATCH($C6,'[2]Potencial Hor SocioDem x CeDi'!$B$2:$B$81,0), MATCH(BM$4,'[2]Potencial Hor SocioDem x CeDi'!$C$1:$AF$1,0)), "")</f>
        <v>19.820723684210531</v>
      </c>
      <c r="BN6" s="78">
        <f>IFERROR(INDEX('[2]Potencial Hor SocioDem x CeDi'!$C$2:$AF$81, MATCH($C6,'[2]Potencial Hor SocioDem x CeDi'!$B$2:$B$81,0), MATCH(BN$4,'[2]Potencial Hor SocioDem x CeDi'!$C$1:$AF$1,0)), "")</f>
        <v>2978</v>
      </c>
      <c r="BO6" s="78">
        <f>IFERROR(INDEX('[2]Potencial Hor SocioDem x CeDi'!$C$2:$AF$81, MATCH($C6,'[2]Potencial Hor SocioDem x CeDi'!$B$2:$B$81,0), MATCH(BO$4,'[2]Potencial Hor SocioDem x CeDi'!$C$1:$AF$1,0)), "")</f>
        <v>12473</v>
      </c>
      <c r="BP6" s="78">
        <f>IFERROR(INDEX('[2]Potencial Hor SocioDem x CeDi'!$C$2:$AF$81, MATCH($C6,'[2]Potencial Hor SocioDem x CeDi'!$B$2:$B$81,0), MATCH(BP$4,'[2]Potencial Hor SocioDem x CeDi'!$C$1:$AF$1,0)), "")</f>
        <v>15451</v>
      </c>
      <c r="BQ6" s="80">
        <f>IFERROR(INDEX('[2]Potencial Hor SocioDem x CeDi'!$C$2:$AF$81, MATCH($C6,'[2]Potencial Hor SocioDem x CeDi'!$B$2:$B$81,0), MATCH(BQ$4,'[2]Potencial Hor SocioDem x CeDi'!$C$1:$AF$1,0)), "")</f>
        <v>0.1165576602469806</v>
      </c>
      <c r="BR6" s="80">
        <f>IFERROR(INDEX('[2]Potencial Hor SocioDem x CeDi'!$C$2:$AF$81, MATCH($C6,'[2]Potencial Hor SocioDem x CeDi'!$B$2:$B$81,0), MATCH(BR$4,'[2]Potencial Hor SocioDem x CeDi'!$C$1:$AF$1,0)), "")</f>
        <v>2.2465129261245761E-2</v>
      </c>
      <c r="BS6" s="80">
        <f>IFERROR(INDEX('[2]Potencial Hor SocioDem x CeDi'!$C$2:$AF$81, MATCH($C6,'[2]Potencial Hor SocioDem x CeDi'!$B$2:$B$81,0), MATCH(BS$4,'[2]Potencial Hor SocioDem x CeDi'!$C$1:$AF$1,0)), "")</f>
        <v>9.4092530985734862E-2</v>
      </c>
      <c r="BT6" s="80">
        <f>IFERROR(INDEX('[2]Potencial Hor SocioDem x CeDi'!$C$2:$AF$81, MATCH($C6,'[2]Potencial Hor SocioDem x CeDi'!$B$2:$B$81,0), MATCH(BT$4,'[2]Potencial Hor SocioDem x CeDi'!$C$1:$AF$1,0)), "")</f>
        <v>0.21963473419784099</v>
      </c>
      <c r="BU6" s="80">
        <f>IFERROR(INDEX('[2]Potencial Hor SocioDem x CeDi'!$C$2:$AF$81, MATCH($C6,'[2]Potencial Hor SocioDem x CeDi'!$B$2:$B$81,0), MATCH(BU$4,'[2]Potencial Hor SocioDem x CeDi'!$C$1:$AF$1,0)), "")</f>
        <v>6.9575516177457927E-2</v>
      </c>
      <c r="BV6" s="80">
        <f>IFERROR(INDEX('[2]Potencial Hor SocioDem x CeDi'!$C$2:$AF$81, MATCH($C6,'[2]Potencial Hor SocioDem x CeDi'!$B$2:$B$81,0), MATCH(BV$4,'[2]Potencial Hor SocioDem x CeDi'!$C$1:$AF$1,0)), "")</f>
        <v>3.5168714780365269E-2</v>
      </c>
      <c r="BW6" s="80">
        <f>IFERROR(INDEX('[2]Potencial Hor SocioDem x CeDi'!$C$2:$AF$81, MATCH($C6,'[2]Potencial Hor SocioDem x CeDi'!$B$2:$B$81,0), MATCH(BW$4,'[2]Potencial Hor SocioDem x CeDi'!$C$1:$AF$1,0)), "")</f>
        <v>0.55898793762871435</v>
      </c>
      <c r="BX6" s="80">
        <f>IFERROR(INDEX('[2]Potencial Hor SocioDem x CeDi'!$C$2:$AF$81, MATCH($C6,'[2]Potencial Hor SocioDem x CeDi'!$B$2:$B$81,0), MATCH(BX$4,'[2]Potencial Hor SocioDem x CeDi'!$C$1:$AF$1,0)), "")</f>
        <v>7.543696864085214E-5</v>
      </c>
      <c r="BY6" s="80">
        <f>IFERROR(INDEX('[2]Potencial Hor SocioDem x CeDi'!$C$2:$AF$81, MATCH($C6,'[2]Potencial Hor SocioDem x CeDi'!$B$2:$B$81,0), MATCH(BY$4,'[2]Potencial Hor SocioDem x CeDi'!$C$1:$AF$1,0)), "")</f>
        <v>0</v>
      </c>
      <c r="BZ6" s="79">
        <f>IFERROR(INDEX('[2]Potencial Hor SocioDem x CeDi'!$C$2:$AF$81, MATCH($C6,'[2]Potencial Hor SocioDem x CeDi'!$B$2:$B$81,0), MATCH(BZ$4,'[2]Potencial Hor SocioDem x CeDi'!$C$1:$AF$1,0)), "")</f>
        <v>4.2923718420407164</v>
      </c>
      <c r="CA6" s="79">
        <f>IFERROR(INDEX('[2]Potencial Hor SocioDem x CeDi'!$C$2:$AF$81, MATCH($C6,'[2]Potencial Hor SocioDem x CeDi'!$B$2:$B$81,0), MATCH(CA$4,'[2]Potencial Hor SocioDem x CeDi'!$C$1:$AF$1,0)), "")</f>
        <v>0.58643833478270568</v>
      </c>
      <c r="CB6" s="81">
        <f>IFERROR(INDEX('[2]Potencial Hor SocioDem x CeDi'!$C$2:$AF$81, MATCH($C6,'[2]Potencial Hor SocioDem x CeDi'!$B$2:$B$81,0), MATCH(CB$4,'[2]Potencial Hor SocioDem x CeDi'!$C$1:$AF$1,0)), "")</f>
        <v>323</v>
      </c>
      <c r="CC6" s="82">
        <f>IFERROR(INDEX('[2]Potencial Hor SocioDem x CeDi'!$C$2:$AF$81, MATCH($C6,'[2]Potencial Hor SocioDem x CeDi'!$B$2:$B$81,0), MATCH(CC$4,'[2]Potencial Hor SocioDem x CeDi'!$C$1:$AF$1,0)), "")</f>
        <v>126</v>
      </c>
      <c r="CD6" s="83">
        <f>IFERROR(INDEX('[2]Potencial Hor SocioDem x CeDi'!$C$2:$AF$81, MATCH($C6,'[2]Potencial Hor SocioDem x CeDi'!$B$2:$B$81,0), MATCH(CD$4,'[2]Potencial Hor SocioDem x CeDi'!$C$1:$AF$1,0)), "")</f>
        <v>8.1548119862792055E-3</v>
      </c>
      <c r="CE6" s="78" t="str">
        <f>IFERROR(_xlfn.XLOOKUP([2]!BaseMaestraCeDi[[#This Row],[CeDi]], '[2]Potencial Hor x CeDi'!$B$6:$BU$6, '[2]Potencial Hor x CeDi'!$B$50:$BU$50), "")</f>
        <v/>
      </c>
      <c r="CF6" s="90" t="str">
        <f>IFERROR(_xlfn.XLOOKUP([2]!BaseMaestraCeDi[[#This Row],[CeDi]], '[2]Potencial Hor x CeDi'!$B$6:$BU$6, '[2]Potencial Hor x CeDi'!$B$34:$BU$34), "")</f>
        <v/>
      </c>
      <c r="CG6" s="90" t="str">
        <f>IFERROR(_xlfn.XLOOKUP([2]!BaseMaestraCeDi[[#This Row],[CeDi]], '[2]Potencial Hor x CeDi'!$B$6:$BU$6, '[2]Potencial Hor x CeDi'!$B$64:$BU$64), "")</f>
        <v/>
      </c>
      <c r="CH6" s="91" t="str">
        <f>IFERROR(_xlfn.XLOOKUP([2]!BaseMaestraCeDi[[#This Row],[CeDi]], '[2]Potencial Hor x CeDi'!$B$6:$BU$6, '[2]Potencial Hor x CeDi'!$B$38:$BU$38), "")</f>
        <v/>
      </c>
      <c r="CI6" s="90" t="str">
        <f>IFERROR(_xlfn.XLOOKUP([2]!BaseMaestraCeDi[[#This Row],[CeDi]], '[2]Potencial Hor x CeDi'!$B$6:$BU$6, '[2]Potencial Hor x CeDi'!$B$26:$BU$26), "")</f>
        <v/>
      </c>
      <c r="CJ6" s="92" t="str">
        <f>IFERROR(_xlfn.XLOOKUP([2]!BaseMaestraCeDi[[#This Row],[CeDi]], '[2]Potencial Hor x CeDi'!$B$6:$BU$6, '[2]Potencial Hor x CeDi'!$B$27:$BU$27), "")</f>
        <v/>
      </c>
      <c r="CK6" s="90" t="str">
        <f>IFERROR(_xlfn.XLOOKUP([2]!BaseMaestraCeDi[[#This Row],[CeDi]], '[2]Potencial Hor x CeDi'!$B$6:$BU$6, '[2]Potencial Hor x CeDi'!$B$28:$BU$28), "")</f>
        <v/>
      </c>
      <c r="CL6" s="92" t="str">
        <f>IFERROR(_xlfn.XLOOKUP([2]!BaseMaestraCeDi[[#This Row],[CeDi]], '[2]Potencial Hor x CeDi'!$B$6:$BU$6, '[2]Potencial Hor x CeDi'!$B$29:$BU$29), "")</f>
        <v/>
      </c>
      <c r="CM6" s="93" t="str">
        <f>IFERROR(_xlfn.XLOOKUP([2]!BaseMaestraCeDi[[#This Row],[CeDi]], '[2]Potencial Hor x CeDi'!$B$6:$BU$6, '[2]Potencial Hor x CeDi'!$B$39:$BU$39), "")</f>
        <v/>
      </c>
      <c r="CN6" s="94" t="str">
        <f>IFERROR(_xlfn.XLOOKUP([2]!BaseMaestraCeDi[[#This Row],[CeDi]], '[2]Potencial Hor x CeDi'!$B$6:$BU$6, '[2]Potencial Hor x CeDi'!$B$43:$BU$43), "")</f>
        <v/>
      </c>
      <c r="CO6" s="94" t="str">
        <f>IFERROR(_xlfn.XLOOKUP([2]!BaseMaestraCeDi[[#This Row],[CeDi]], '[2]Potencial Hor x CeDi'!$B$6:$BU$6, '[2]Potencial Hor x CeDi'!$B$46:$BU$46), "")</f>
        <v/>
      </c>
      <c r="CP6" s="86" t="str">
        <f>IFERROR(_xlfn.XLOOKUP([2]!BaseMaestraCeDi[[#This Row],[CeDi]], '[2]Potencial Hor x CeDi'!$B$6:$BU$6, '[2]Potencial Hor x CeDi'!$B$51:$BU$51), "")</f>
        <v/>
      </c>
      <c r="CQ6" s="82" t="str">
        <f>IFERROR(_xlfn.XLOOKUP([2]!BaseMaestraCeDi[[#This Row],[CeDi]], '[2]Potencial Hor x CeDi'!$B$6:$BU$6, '[2]Potencial Hor x CeDi'!$B$52:$BU$52), "")</f>
        <v/>
      </c>
      <c r="CR6" s="82" t="str">
        <f>IFERROR(_xlfn.XLOOKUP([2]!BaseMaestraCeDi[[#This Row],[CeDi]], '[2]Potencial Hor x CeDi'!$B$6:$BU$6, '[2]Potencial Hor x CeDi'!$B$53:$BU$53), "")</f>
        <v/>
      </c>
      <c r="CS6" s="87" t="str">
        <f>IFERROR(_xlfn.XLOOKUP([2]!BaseMaestraCeDi[[#This Row],[CeDi]], '[2]Potencial Hor x CeDi'!$B$6:$BU$6, '[2]Potencial Hor x CeDi'!$B$60:$BU$60), "")</f>
        <v/>
      </c>
      <c r="CT6" s="90" t="str">
        <f>IFERROR(_xlfn.XLOOKUP([2]!BaseMaestraCeDi[[#This Row],[CeDi]], '[2]Potencial Hor x CeDi'!$B$6:$BU$6, '[2]Potencial Hor x CeDi'!$B$65:$BU$65), "")</f>
        <v/>
      </c>
      <c r="CU6" s="90" t="str">
        <f>IFERROR(_xlfn.XLOOKUP([2]!BaseMaestraCeDi[[#This Row],[CeDi]], '[2]Potencial Hor x CeDi'!$B$6:$BU$6, '[2]Potencial Hor x CeDi'!$B$68:$BU$68), "")</f>
        <v/>
      </c>
      <c r="CV6" s="95" t="str">
        <f>IFERROR(_xlfn.XLOOKUP([2]!BaseMaestraCeDi[[#This Row],[CeDi]], '[2]Potencial Hor x CeDi'!$B$6:$BU$6, '[2]Potencial Hor x CeDi'!$B$71:$BU$71), "")</f>
        <v/>
      </c>
    </row>
    <row r="7" spans="1:100">
      <c r="A7" s="100" t="s">
        <v>92</v>
      </c>
      <c r="B7" s="100" t="s">
        <v>163</v>
      </c>
      <c r="C7" s="100" t="s">
        <v>164</v>
      </c>
      <c r="D7" s="101">
        <v>3</v>
      </c>
      <c r="E7" s="102">
        <v>392.51822131200004</v>
      </c>
      <c r="F7" s="103">
        <v>21.317992926000002</v>
      </c>
      <c r="G7" s="103">
        <v>413.83621423800003</v>
      </c>
      <c r="H7" s="104">
        <v>1365.8094045577689</v>
      </c>
      <c r="I7" s="105">
        <v>3238.6464975533404</v>
      </c>
      <c r="J7" s="105">
        <v>415.65553064469452</v>
      </c>
      <c r="K7" s="105">
        <v>5020.1114327558034</v>
      </c>
      <c r="L7" s="104">
        <v>8779.0980225162784</v>
      </c>
      <c r="M7" s="106">
        <v>0.5718254221425052</v>
      </c>
      <c r="N7" s="107" t="s">
        <v>160</v>
      </c>
      <c r="O7" s="102">
        <v>33.708031975856578</v>
      </c>
      <c r="P7" s="103">
        <v>1</v>
      </c>
      <c r="Q7" s="103">
        <v>1</v>
      </c>
      <c r="R7" s="108">
        <v>3</v>
      </c>
      <c r="S7" s="107">
        <v>32</v>
      </c>
      <c r="T7" s="125">
        <v>1</v>
      </c>
      <c r="U7" s="106">
        <v>0</v>
      </c>
      <c r="V7" s="106">
        <v>0.70599120093657175</v>
      </c>
      <c r="W7" s="106">
        <v>0.29400879906342831</v>
      </c>
      <c r="X7" s="106">
        <v>0</v>
      </c>
      <c r="Y7" s="104">
        <v>6197.9659560561495</v>
      </c>
      <c r="Z7" s="105">
        <v>2581.1320664601294</v>
      </c>
      <c r="AA7" s="105">
        <v>0</v>
      </c>
      <c r="AB7" s="105">
        <v>117698.76388888889</v>
      </c>
      <c r="AC7" s="101">
        <v>3</v>
      </c>
      <c r="AD7" s="109">
        <v>2</v>
      </c>
      <c r="AE7" s="101">
        <v>44625</v>
      </c>
      <c r="AF7" s="109">
        <v>30102</v>
      </c>
      <c r="AG7" s="110">
        <v>0.67455462184873949</v>
      </c>
      <c r="AH7" s="106">
        <v>0.70543489129178183</v>
      </c>
      <c r="AI7" s="101">
        <v>2163.0075035481768</v>
      </c>
      <c r="AJ7" s="109">
        <v>1081.5037517740884</v>
      </c>
      <c r="AK7" s="106">
        <v>0.69879000003975555</v>
      </c>
      <c r="AL7" s="104">
        <v>11706766.139999997</v>
      </c>
      <c r="AM7" s="105">
        <v>423781.32144972909</v>
      </c>
      <c r="AN7" s="106">
        <v>3.6199691390583225E-2</v>
      </c>
      <c r="AO7" s="104">
        <v>297792.27993764746</v>
      </c>
      <c r="AP7" s="106">
        <v>1.3546852622992865E-3</v>
      </c>
      <c r="AQ7" s="109">
        <v>38</v>
      </c>
      <c r="AR7" s="101">
        <v>2</v>
      </c>
      <c r="AS7" s="105">
        <v>711542.96397913084</v>
      </c>
      <c r="AT7" s="104">
        <v>1009335.2439167784</v>
      </c>
      <c r="AU7" s="101">
        <v>3</v>
      </c>
      <c r="AV7" s="109">
        <v>1</v>
      </c>
      <c r="AW7" s="109">
        <v>1</v>
      </c>
      <c r="AX7" s="109">
        <v>1</v>
      </c>
      <c r="AY7" s="110">
        <v>0.33333333333333331</v>
      </c>
      <c r="AZ7" s="109">
        <v>4254.7698738594318</v>
      </c>
      <c r="BA7" s="102">
        <v>33.708031975856592</v>
      </c>
      <c r="BB7" s="106">
        <v>0.67523259488366172</v>
      </c>
      <c r="BC7" s="111">
        <v>431.85771766637203</v>
      </c>
      <c r="BD7" s="74" t="s">
        <v>1126</v>
      </c>
      <c r="BE7" s="88" t="str">
        <f>IFERROR(_xlfn.XLOOKUP([2]!BaseMaestraCeDi[[#This Row],[CeDi]], '[2]Potencial Hor x CeDi'!$B$6:$BU$6, '[2]Potencial Hor x CeDi'!$B$21:$BU$21) / 1000, "")</f>
        <v/>
      </c>
      <c r="BF7" s="89" t="str">
        <f>IFERROR(_xlfn.XLOOKUP([2]!BaseMaestraCeDi[[#This Row],[CeDi]], '[2]Potencial Hor x CeDi'!$B$6:$BU$6, '[2]Potencial Hor x CeDi'!$B$22:$BU$22) / 1000, "")</f>
        <v/>
      </c>
      <c r="BG7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7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7" s="78">
        <f>IFERROR(INDEX('[2]Potencial Hor SocioDem x CeDi'!$C$2:$AF$81, MATCH($C7,'[2]Potencial Hor SocioDem x CeDi'!$B$2:$B$81,0), MATCH(BI$4,'[2]Potencial Hor SocioDem x CeDi'!$C$1:$AF$1,0)), "")</f>
        <v>7108</v>
      </c>
      <c r="BJ7" s="78">
        <f>IFERROR(INDEX('[2]Potencial Hor SocioDem x CeDi'!$C$2:$AF$81, MATCH($C7,'[2]Potencial Hor SocioDem x CeDi'!$B$2:$B$81,0), MATCH(BJ$4,'[2]Potencial Hor SocioDem x CeDi'!$C$1:$AF$1,0)), "")</f>
        <v>364026</v>
      </c>
      <c r="BK7" s="78">
        <f>IFERROR(INDEX('[2]Potencial Hor SocioDem x CeDi'!$C$2:$AF$81, MATCH($C7,'[2]Potencial Hor SocioDem x CeDi'!$B$2:$B$81,0), MATCH(BK$4,'[2]Potencial Hor SocioDem x CeDi'!$C$1:$AF$1,0)), "")</f>
        <v>105882</v>
      </c>
      <c r="BL7" s="79">
        <f>IFERROR(INDEX('[2]Potencial Hor SocioDem x CeDi'!$C$2:$AF$81, MATCH($C7,'[2]Potencial Hor SocioDem x CeDi'!$B$2:$B$81,0), MATCH(BL$4,'[2]Potencial Hor SocioDem x CeDi'!$C$1:$AF$1,0)), "")</f>
        <v>3.4380347934493121</v>
      </c>
      <c r="BM7" s="79">
        <f>IFERROR(INDEX('[2]Potencial Hor SocioDem x CeDi'!$C$2:$AF$81, MATCH($C7,'[2]Potencial Hor SocioDem x CeDi'!$B$2:$B$81,0), MATCH(BM$4,'[2]Potencial Hor SocioDem x CeDi'!$C$1:$AF$1,0)), "")</f>
        <v>14.89617332583005</v>
      </c>
      <c r="BN7" s="78">
        <f>IFERROR(INDEX('[2]Potencial Hor SocioDem x CeDi'!$C$2:$AF$81, MATCH($C7,'[2]Potencial Hor SocioDem x CeDi'!$B$2:$B$81,0), MATCH(BN$4,'[2]Potencial Hor SocioDem x CeDi'!$C$1:$AF$1,0)), "")</f>
        <v>4080</v>
      </c>
      <c r="BO7" s="78">
        <f>IFERROR(INDEX('[2]Potencial Hor SocioDem x CeDi'!$C$2:$AF$81, MATCH($C7,'[2]Potencial Hor SocioDem x CeDi'!$B$2:$B$81,0), MATCH(BO$4,'[2]Potencial Hor SocioDem x CeDi'!$C$1:$AF$1,0)), "")</f>
        <v>17047</v>
      </c>
      <c r="BP7" s="78">
        <f>IFERROR(INDEX('[2]Potencial Hor SocioDem x CeDi'!$C$2:$AF$81, MATCH($C7,'[2]Potencial Hor SocioDem x CeDi'!$B$2:$B$81,0), MATCH(BP$4,'[2]Potencial Hor SocioDem x CeDi'!$C$1:$AF$1,0)), "")</f>
        <v>21127</v>
      </c>
      <c r="BQ7" s="80">
        <f>IFERROR(INDEX('[2]Potencial Hor SocioDem x CeDi'!$C$2:$AF$81, MATCH($C7,'[2]Potencial Hor SocioDem x CeDi'!$B$2:$B$81,0), MATCH(BQ$4,'[2]Potencial Hor SocioDem x CeDi'!$C$1:$AF$1,0)), "")</f>
        <v>0.19953344288925409</v>
      </c>
      <c r="BR7" s="80">
        <f>IFERROR(INDEX('[2]Potencial Hor SocioDem x CeDi'!$C$2:$AF$81, MATCH($C7,'[2]Potencial Hor SocioDem x CeDi'!$B$2:$B$81,0), MATCH(BR$4,'[2]Potencial Hor SocioDem x CeDi'!$C$1:$AF$1,0)), "")</f>
        <v>3.8533461778205928E-2</v>
      </c>
      <c r="BS7" s="80">
        <f>IFERROR(INDEX('[2]Potencial Hor SocioDem x CeDi'!$C$2:$AF$81, MATCH($C7,'[2]Potencial Hor SocioDem x CeDi'!$B$2:$B$81,0), MATCH(BS$4,'[2]Potencial Hor SocioDem x CeDi'!$C$1:$AF$1,0)), "")</f>
        <v>0.16099998111104821</v>
      </c>
      <c r="BT7" s="80">
        <f>IFERROR(INDEX('[2]Potencial Hor SocioDem x CeDi'!$C$2:$AF$81, MATCH($C7,'[2]Potencial Hor SocioDem x CeDi'!$B$2:$B$81,0), MATCH(BT$4,'[2]Potencial Hor SocioDem x CeDi'!$C$1:$AF$1,0)), "")</f>
        <v>9.4983094388092409E-2</v>
      </c>
      <c r="BU7" s="80">
        <f>IFERROR(INDEX('[2]Potencial Hor SocioDem x CeDi'!$C$2:$AF$81, MATCH($C7,'[2]Potencial Hor SocioDem x CeDi'!$B$2:$B$81,0), MATCH(BU$4,'[2]Potencial Hor SocioDem x CeDi'!$C$1:$AF$1,0)), "")</f>
        <v>0.10966925445307039</v>
      </c>
      <c r="BV7" s="80">
        <f>IFERROR(INDEX('[2]Potencial Hor SocioDem x CeDi'!$C$2:$AF$81, MATCH($C7,'[2]Potencial Hor SocioDem x CeDi'!$B$2:$B$81,0), MATCH(BV$4,'[2]Potencial Hor SocioDem x CeDi'!$C$1:$AF$1,0)), "")</f>
        <v>6.0539090685857843E-3</v>
      </c>
      <c r="BW7" s="80">
        <f>IFERROR(INDEX('[2]Potencial Hor SocioDem x CeDi'!$C$2:$AF$81, MATCH($C7,'[2]Potencial Hor SocioDem x CeDi'!$B$2:$B$81,0), MATCH(BW$4,'[2]Potencial Hor SocioDem x CeDi'!$C$1:$AF$1,0)), "")</f>
        <v>0.58874029580098597</v>
      </c>
      <c r="BX7" s="80">
        <f>IFERROR(INDEX('[2]Potencial Hor SocioDem x CeDi'!$C$2:$AF$81, MATCH($C7,'[2]Potencial Hor SocioDem x CeDi'!$B$2:$B$81,0), MATCH(BX$4,'[2]Potencial Hor SocioDem x CeDi'!$C$1:$AF$1,0)), "")</f>
        <v>1.010558924085303E-3</v>
      </c>
      <c r="BY7" s="80">
        <f>IFERROR(INDEX('[2]Potencial Hor SocioDem x CeDi'!$C$2:$AF$81, MATCH($C7,'[2]Potencial Hor SocioDem x CeDi'!$B$2:$B$81,0), MATCH(BY$4,'[2]Potencial Hor SocioDem x CeDi'!$C$1:$AF$1,0)), "")</f>
        <v>9.4444759260308643E-6</v>
      </c>
      <c r="BZ7" s="79">
        <f>IFERROR(INDEX('[2]Potencial Hor SocioDem x CeDi'!$C$2:$AF$81, MATCH($C7,'[2]Potencial Hor SocioDem x CeDi'!$B$2:$B$81,0), MATCH(BZ$4,'[2]Potencial Hor SocioDem x CeDi'!$C$1:$AF$1,0)), "")</f>
        <v>5.1617192178580664</v>
      </c>
      <c r="CA7" s="79">
        <f>IFERROR(INDEX('[2]Potencial Hor SocioDem x CeDi'!$C$2:$AF$81, MATCH($C7,'[2]Potencial Hor SocioDem x CeDi'!$B$2:$B$81,0), MATCH(CA$4,'[2]Potencial Hor SocioDem x CeDi'!$C$1:$AF$1,0)), "")</f>
        <v>0.55765247537263818</v>
      </c>
      <c r="CB7" s="81">
        <f>IFERROR(INDEX('[2]Potencial Hor SocioDem x CeDi'!$C$2:$AF$81, MATCH($C7,'[2]Potencial Hor SocioDem x CeDi'!$B$2:$B$81,0), MATCH(CB$4,'[2]Potencial Hor SocioDem x CeDi'!$C$1:$AF$1,0)), "")</f>
        <v>459</v>
      </c>
      <c r="CC7" s="82">
        <f>IFERROR(INDEX('[2]Potencial Hor SocioDem x CeDi'!$C$2:$AF$81, MATCH($C7,'[2]Potencial Hor SocioDem x CeDi'!$B$2:$B$81,0), MATCH(CC$4,'[2]Potencial Hor SocioDem x CeDi'!$C$1:$AF$1,0)), "")</f>
        <v>238</v>
      </c>
      <c r="CD7" s="83">
        <f>IFERROR(INDEX('[2]Potencial Hor SocioDem x CeDi'!$C$2:$AF$81, MATCH($C7,'[2]Potencial Hor SocioDem x CeDi'!$B$2:$B$81,0), MATCH(CD$4,'[2]Potencial Hor SocioDem x CeDi'!$C$1:$AF$1,0)), "")</f>
        <v>1.126520566100251E-2</v>
      </c>
      <c r="CE7" s="78" t="str">
        <f>IFERROR(_xlfn.XLOOKUP([2]!BaseMaestraCeDi[[#This Row],[CeDi]], '[2]Potencial Hor x CeDi'!$B$6:$BU$6, '[2]Potencial Hor x CeDi'!$B$50:$BU$50), "")</f>
        <v/>
      </c>
      <c r="CF7" s="90" t="str">
        <f>IFERROR(_xlfn.XLOOKUP([2]!BaseMaestraCeDi[[#This Row],[CeDi]], '[2]Potencial Hor x CeDi'!$B$6:$BU$6, '[2]Potencial Hor x CeDi'!$B$34:$BU$34), "")</f>
        <v/>
      </c>
      <c r="CG7" s="90" t="str">
        <f>IFERROR(_xlfn.XLOOKUP([2]!BaseMaestraCeDi[[#This Row],[CeDi]], '[2]Potencial Hor x CeDi'!$B$6:$BU$6, '[2]Potencial Hor x CeDi'!$B$64:$BU$64), "")</f>
        <v/>
      </c>
      <c r="CH7" s="91" t="str">
        <f>IFERROR(_xlfn.XLOOKUP([2]!BaseMaestraCeDi[[#This Row],[CeDi]], '[2]Potencial Hor x CeDi'!$B$6:$BU$6, '[2]Potencial Hor x CeDi'!$B$38:$BU$38), "")</f>
        <v/>
      </c>
      <c r="CI7" s="90" t="str">
        <f>IFERROR(_xlfn.XLOOKUP([2]!BaseMaestraCeDi[[#This Row],[CeDi]], '[2]Potencial Hor x CeDi'!$B$6:$BU$6, '[2]Potencial Hor x CeDi'!$B$26:$BU$26), "")</f>
        <v/>
      </c>
      <c r="CJ7" s="92" t="str">
        <f>IFERROR(_xlfn.XLOOKUP([2]!BaseMaestraCeDi[[#This Row],[CeDi]], '[2]Potencial Hor x CeDi'!$B$6:$BU$6, '[2]Potencial Hor x CeDi'!$B$27:$BU$27), "")</f>
        <v/>
      </c>
      <c r="CK7" s="90" t="str">
        <f>IFERROR(_xlfn.XLOOKUP([2]!BaseMaestraCeDi[[#This Row],[CeDi]], '[2]Potencial Hor x CeDi'!$B$6:$BU$6, '[2]Potencial Hor x CeDi'!$B$28:$BU$28), "")</f>
        <v/>
      </c>
      <c r="CL7" s="92" t="str">
        <f>IFERROR(_xlfn.XLOOKUP([2]!BaseMaestraCeDi[[#This Row],[CeDi]], '[2]Potencial Hor x CeDi'!$B$6:$BU$6, '[2]Potencial Hor x CeDi'!$B$29:$BU$29), "")</f>
        <v/>
      </c>
      <c r="CM7" s="93" t="str">
        <f>IFERROR(_xlfn.XLOOKUP([2]!BaseMaestraCeDi[[#This Row],[CeDi]], '[2]Potencial Hor x CeDi'!$B$6:$BU$6, '[2]Potencial Hor x CeDi'!$B$39:$BU$39), "")</f>
        <v/>
      </c>
      <c r="CN7" s="94" t="str">
        <f>IFERROR(_xlfn.XLOOKUP([2]!BaseMaestraCeDi[[#This Row],[CeDi]], '[2]Potencial Hor x CeDi'!$B$6:$BU$6, '[2]Potencial Hor x CeDi'!$B$43:$BU$43), "")</f>
        <v/>
      </c>
      <c r="CO7" s="94" t="str">
        <f>IFERROR(_xlfn.XLOOKUP([2]!BaseMaestraCeDi[[#This Row],[CeDi]], '[2]Potencial Hor x CeDi'!$B$6:$BU$6, '[2]Potencial Hor x CeDi'!$B$46:$BU$46), "")</f>
        <v/>
      </c>
      <c r="CP7" s="86" t="str">
        <f>IFERROR(_xlfn.XLOOKUP([2]!BaseMaestraCeDi[[#This Row],[CeDi]], '[2]Potencial Hor x CeDi'!$B$6:$BU$6, '[2]Potencial Hor x CeDi'!$B$51:$BU$51), "")</f>
        <v/>
      </c>
      <c r="CQ7" s="82" t="str">
        <f>IFERROR(_xlfn.XLOOKUP([2]!BaseMaestraCeDi[[#This Row],[CeDi]], '[2]Potencial Hor x CeDi'!$B$6:$BU$6, '[2]Potencial Hor x CeDi'!$B$52:$BU$52), "")</f>
        <v/>
      </c>
      <c r="CR7" s="82" t="str">
        <f>IFERROR(_xlfn.XLOOKUP([2]!BaseMaestraCeDi[[#This Row],[CeDi]], '[2]Potencial Hor x CeDi'!$B$6:$BU$6, '[2]Potencial Hor x CeDi'!$B$53:$BU$53), "")</f>
        <v/>
      </c>
      <c r="CS7" s="87" t="str">
        <f>IFERROR(_xlfn.XLOOKUP([2]!BaseMaestraCeDi[[#This Row],[CeDi]], '[2]Potencial Hor x CeDi'!$B$6:$BU$6, '[2]Potencial Hor x CeDi'!$B$60:$BU$60), "")</f>
        <v/>
      </c>
      <c r="CT7" s="90" t="str">
        <f>IFERROR(_xlfn.XLOOKUP([2]!BaseMaestraCeDi[[#This Row],[CeDi]], '[2]Potencial Hor x CeDi'!$B$6:$BU$6, '[2]Potencial Hor x CeDi'!$B$65:$BU$65), "")</f>
        <v/>
      </c>
      <c r="CU7" s="90" t="str">
        <f>IFERROR(_xlfn.XLOOKUP([2]!BaseMaestraCeDi[[#This Row],[CeDi]], '[2]Potencial Hor x CeDi'!$B$6:$BU$6, '[2]Potencial Hor x CeDi'!$B$68:$BU$68), "")</f>
        <v/>
      </c>
      <c r="CV7" s="95" t="str">
        <f>IFERROR(_xlfn.XLOOKUP([2]!BaseMaestraCeDi[[#This Row],[CeDi]], '[2]Potencial Hor x CeDi'!$B$6:$BU$6, '[2]Potencial Hor x CeDi'!$B$71:$BU$71), "")</f>
        <v/>
      </c>
    </row>
    <row r="8" spans="1:100">
      <c r="A8" s="112" t="s">
        <v>92</v>
      </c>
      <c r="B8" s="112" t="s">
        <v>168</v>
      </c>
      <c r="C8" s="112" t="s">
        <v>169</v>
      </c>
      <c r="D8" s="113">
        <v>21</v>
      </c>
      <c r="E8" s="114">
        <v>1231.8977477879746</v>
      </c>
      <c r="F8" s="115">
        <v>399.36114767987073</v>
      </c>
      <c r="G8" s="115">
        <v>1631.2588954678454</v>
      </c>
      <c r="H8" s="116">
        <v>6394.5727445680959</v>
      </c>
      <c r="I8" s="117">
        <v>22541.518989494452</v>
      </c>
      <c r="J8" s="117">
        <v>2275.8097446924344</v>
      </c>
      <c r="K8" s="117">
        <v>31211.901478754982</v>
      </c>
      <c r="L8" s="116">
        <v>74789.711440858198</v>
      </c>
      <c r="M8" s="118">
        <v>0.41732881271291655</v>
      </c>
      <c r="N8" s="119" t="s">
        <v>171</v>
      </c>
      <c r="O8" s="114">
        <v>61.641393477748785</v>
      </c>
      <c r="P8" s="115">
        <v>1</v>
      </c>
      <c r="Q8" s="115">
        <v>1</v>
      </c>
      <c r="R8" s="120">
        <v>34</v>
      </c>
      <c r="S8" s="119">
        <v>340</v>
      </c>
      <c r="T8" s="121">
        <v>0.99271520125780899</v>
      </c>
      <c r="U8" s="118">
        <v>7.2847987421910121E-3</v>
      </c>
      <c r="V8" s="118">
        <v>0.24267746429264081</v>
      </c>
      <c r="W8" s="118">
        <v>0.75712954692285206</v>
      </c>
      <c r="X8" s="118">
        <v>1.9298878450710815E-4</v>
      </c>
      <c r="Y8" s="116">
        <v>18149.777527645776</v>
      </c>
      <c r="Z8" s="117">
        <v>56625.50033770781</v>
      </c>
      <c r="AA8" s="117">
        <v>14.433575504608584</v>
      </c>
      <c r="AB8" s="117">
        <v>113803.9564725597</v>
      </c>
      <c r="AC8" s="113">
        <v>21</v>
      </c>
      <c r="AD8" s="122">
        <v>15</v>
      </c>
      <c r="AE8" s="113">
        <v>507980</v>
      </c>
      <c r="AF8" s="122">
        <v>286201</v>
      </c>
      <c r="AG8" s="123">
        <v>0.56340997677073901</v>
      </c>
      <c r="AH8" s="118">
        <v>0.76950938426078364</v>
      </c>
      <c r="AI8" s="113">
        <v>111639.39249259136</v>
      </c>
      <c r="AJ8" s="122">
        <v>55819.69624629568</v>
      </c>
      <c r="AK8" s="118">
        <v>0.67329559479959</v>
      </c>
      <c r="AL8" s="116">
        <v>104514157.57000001</v>
      </c>
      <c r="AM8" s="117">
        <v>25885537.902258255</v>
      </c>
      <c r="AN8" s="118">
        <v>0.24767494188450984</v>
      </c>
      <c r="AO8" s="116">
        <v>18189837.444830127</v>
      </c>
      <c r="AP8" s="118">
        <v>8.2747291888461943E-2</v>
      </c>
      <c r="AQ8" s="122">
        <v>5</v>
      </c>
      <c r="AR8" s="113">
        <v>15</v>
      </c>
      <c r="AS8" s="117">
        <v>12704081.346615586</v>
      </c>
      <c r="AT8" s="116">
        <v>30893918.791445713</v>
      </c>
      <c r="AU8" s="113">
        <v>22</v>
      </c>
      <c r="AV8" s="122">
        <v>1</v>
      </c>
      <c r="AW8" s="122">
        <v>2</v>
      </c>
      <c r="AX8" s="122">
        <v>18</v>
      </c>
      <c r="AY8" s="123">
        <v>4.5454545454545456E-2</v>
      </c>
      <c r="AZ8" s="122">
        <v>76754.277624788141</v>
      </c>
      <c r="BA8" s="114">
        <v>61.641393477748821</v>
      </c>
      <c r="BB8" s="118">
        <v>0.61182876945178777</v>
      </c>
      <c r="BC8" s="124">
        <v>255.75727381845803</v>
      </c>
      <c r="BD8" s="74" t="s">
        <v>1127</v>
      </c>
      <c r="BE8" s="88" t="str">
        <f>IFERROR(_xlfn.XLOOKUP([2]!BaseMaestraCeDi[[#This Row],[CeDi]], '[2]Potencial Hor x CeDi'!$B$6:$BU$6, '[2]Potencial Hor x CeDi'!$B$21:$BU$21) / 1000, "")</f>
        <v/>
      </c>
      <c r="BF8" s="89" t="str">
        <f>IFERROR(_xlfn.XLOOKUP([2]!BaseMaestraCeDi[[#This Row],[CeDi]], '[2]Potencial Hor x CeDi'!$B$6:$BU$6, '[2]Potencial Hor x CeDi'!$B$22:$BU$22) / 1000, "")</f>
        <v/>
      </c>
      <c r="BG8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8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8" s="78">
        <f>IFERROR(INDEX('[2]Potencial Hor SocioDem x CeDi'!$C$2:$AF$81, MATCH($C8,'[2]Potencial Hor SocioDem x CeDi'!$B$2:$B$81,0), MATCH(BI$4,'[2]Potencial Hor SocioDem x CeDi'!$C$1:$AF$1,0)), "")</f>
        <v>20266</v>
      </c>
      <c r="BJ8" s="78">
        <f>IFERROR(INDEX('[2]Potencial Hor SocioDem x CeDi'!$C$2:$AF$81, MATCH($C8,'[2]Potencial Hor SocioDem x CeDi'!$B$2:$B$81,0), MATCH(BJ$4,'[2]Potencial Hor SocioDem x CeDi'!$C$1:$AF$1,0)), "")</f>
        <v>1538278</v>
      </c>
      <c r="BK8" s="78">
        <f>IFERROR(INDEX('[2]Potencial Hor SocioDem x CeDi'!$C$2:$AF$81, MATCH($C8,'[2]Potencial Hor SocioDem x CeDi'!$B$2:$B$81,0), MATCH(BK$4,'[2]Potencial Hor SocioDem x CeDi'!$C$1:$AF$1,0)), "")</f>
        <v>441265</v>
      </c>
      <c r="BL8" s="79">
        <f>IFERROR(INDEX('[2]Potencial Hor SocioDem x CeDi'!$C$2:$AF$81, MATCH($C8,'[2]Potencial Hor SocioDem x CeDi'!$B$2:$B$81,0), MATCH(BL$4,'[2]Potencial Hor SocioDem x CeDi'!$C$1:$AF$1,0)), "")</f>
        <v>3.4860639298380791</v>
      </c>
      <c r="BM8" s="79">
        <f>IFERROR(INDEX('[2]Potencial Hor SocioDem x CeDi'!$C$2:$AF$81, MATCH($C8,'[2]Potencial Hor SocioDem x CeDi'!$B$2:$B$81,0), MATCH(BM$4,'[2]Potencial Hor SocioDem x CeDi'!$C$1:$AF$1,0)), "")</f>
        <v>21.773660317773611</v>
      </c>
      <c r="BN8" s="78">
        <f>IFERROR(INDEX('[2]Potencial Hor SocioDem x CeDi'!$C$2:$AF$81, MATCH($C8,'[2]Potencial Hor SocioDem x CeDi'!$B$2:$B$81,0), MATCH(BN$4,'[2]Potencial Hor SocioDem x CeDi'!$C$1:$AF$1,0)), "")</f>
        <v>50291</v>
      </c>
      <c r="BO8" s="78">
        <f>IFERROR(INDEX('[2]Potencial Hor SocioDem x CeDi'!$C$2:$AF$81, MATCH($C8,'[2]Potencial Hor SocioDem x CeDi'!$B$2:$B$81,0), MATCH(BO$4,'[2]Potencial Hor SocioDem x CeDi'!$C$1:$AF$1,0)), "")</f>
        <v>68424</v>
      </c>
      <c r="BP8" s="78">
        <f>IFERROR(INDEX('[2]Potencial Hor SocioDem x CeDi'!$C$2:$AF$81, MATCH($C8,'[2]Potencial Hor SocioDem x CeDi'!$B$2:$B$81,0), MATCH(BP$4,'[2]Potencial Hor SocioDem x CeDi'!$C$1:$AF$1,0)), "")</f>
        <v>118715</v>
      </c>
      <c r="BQ8" s="80">
        <f>IFERROR(INDEX('[2]Potencial Hor SocioDem x CeDi'!$C$2:$AF$81, MATCH($C8,'[2]Potencial Hor SocioDem x CeDi'!$B$2:$B$81,0), MATCH(BQ$4,'[2]Potencial Hor SocioDem x CeDi'!$C$1:$AF$1,0)), "")</f>
        <v>0.2690333473083068</v>
      </c>
      <c r="BR8" s="80">
        <f>IFERROR(INDEX('[2]Potencial Hor SocioDem x CeDi'!$C$2:$AF$81, MATCH($C8,'[2]Potencial Hor SocioDem x CeDi'!$B$2:$B$81,0), MATCH(BR$4,'[2]Potencial Hor SocioDem x CeDi'!$C$1:$AF$1,0)), "")</f>
        <v>0.113970063340623</v>
      </c>
      <c r="BS8" s="80">
        <f>IFERROR(INDEX('[2]Potencial Hor SocioDem x CeDi'!$C$2:$AF$81, MATCH($C8,'[2]Potencial Hor SocioDem x CeDi'!$B$2:$B$81,0), MATCH(BS$4,'[2]Potencial Hor SocioDem x CeDi'!$C$1:$AF$1,0)), "")</f>
        <v>0.15506328396768379</v>
      </c>
      <c r="BT8" s="80">
        <f>IFERROR(INDEX('[2]Potencial Hor SocioDem x CeDi'!$C$2:$AF$81, MATCH($C8,'[2]Potencial Hor SocioDem x CeDi'!$B$2:$B$81,0), MATCH(BT$4,'[2]Potencial Hor SocioDem x CeDi'!$C$1:$AF$1,0)), "")</f>
        <v>0.20460494260818329</v>
      </c>
      <c r="BU8" s="80">
        <f>IFERROR(INDEX('[2]Potencial Hor SocioDem x CeDi'!$C$2:$AF$81, MATCH($C8,'[2]Potencial Hor SocioDem x CeDi'!$B$2:$B$81,0), MATCH(BU$4,'[2]Potencial Hor SocioDem x CeDi'!$C$1:$AF$1,0)), "")</f>
        <v>0.1240456415079374</v>
      </c>
      <c r="BV8" s="80">
        <f>IFERROR(INDEX('[2]Potencial Hor SocioDem x CeDi'!$C$2:$AF$81, MATCH($C8,'[2]Potencial Hor SocioDem x CeDi'!$B$2:$B$81,0), MATCH(BV$4,'[2]Potencial Hor SocioDem x CeDi'!$C$1:$AF$1,0)), "")</f>
        <v>1.945316306527823E-2</v>
      </c>
      <c r="BW8" s="80">
        <f>IFERROR(INDEX('[2]Potencial Hor SocioDem x CeDi'!$C$2:$AF$81, MATCH($C8,'[2]Potencial Hor SocioDem x CeDi'!$B$2:$B$81,0), MATCH(BW$4,'[2]Potencial Hor SocioDem x CeDi'!$C$1:$AF$1,0)), "")</f>
        <v>0.38279718536480339</v>
      </c>
      <c r="BX8" s="80">
        <f>IFERROR(INDEX('[2]Potencial Hor SocioDem x CeDi'!$C$2:$AF$81, MATCH($C8,'[2]Potencial Hor SocioDem x CeDi'!$B$2:$B$81,0), MATCH(BX$4,'[2]Potencial Hor SocioDem x CeDi'!$C$1:$AF$1,0)), "")</f>
        <v>5.212287400994867E-5</v>
      </c>
      <c r="BY8" s="80">
        <f>IFERROR(INDEX('[2]Potencial Hor SocioDem x CeDi'!$C$2:$AF$81, MATCH($C8,'[2]Potencial Hor SocioDem x CeDi'!$B$2:$B$81,0), MATCH(BY$4,'[2]Potencial Hor SocioDem x CeDi'!$C$1:$AF$1,0)), "")</f>
        <v>1.3597271480856169E-5</v>
      </c>
      <c r="BZ8" s="79">
        <f>IFERROR(INDEX('[2]Potencial Hor SocioDem x CeDi'!$C$2:$AF$81, MATCH($C8,'[2]Potencial Hor SocioDem x CeDi'!$B$2:$B$81,0), MATCH(BZ$4,'[2]Potencial Hor SocioDem x CeDi'!$C$1:$AF$1,0)), "")</f>
        <v>3.3446490166276841</v>
      </c>
      <c r="CA8" s="79">
        <f>IFERROR(INDEX('[2]Potencial Hor SocioDem x CeDi'!$C$2:$AF$81, MATCH($C8,'[2]Potencial Hor SocioDem x CeDi'!$B$2:$B$81,0), MATCH(CA$4,'[2]Potencial Hor SocioDem x CeDi'!$C$1:$AF$1,0)), "")</f>
        <v>0.51876188829327341</v>
      </c>
      <c r="CB8" s="81">
        <f>IFERROR(INDEX('[2]Potencial Hor SocioDem x CeDi'!$C$2:$AF$81, MATCH($C8,'[2]Potencial Hor SocioDem x CeDi'!$B$2:$B$81,0), MATCH(CB$4,'[2]Potencial Hor SocioDem x CeDi'!$C$1:$AF$1,0)), "")</f>
        <v>9284</v>
      </c>
      <c r="CC8" s="82">
        <f>IFERROR(INDEX('[2]Potencial Hor SocioDem x CeDi'!$C$2:$AF$81, MATCH($C8,'[2]Potencial Hor SocioDem x CeDi'!$B$2:$B$81,0), MATCH(CC$4,'[2]Potencial Hor SocioDem x CeDi'!$C$1:$AF$1,0)), "")</f>
        <v>6873</v>
      </c>
      <c r="CD8" s="83">
        <f>IFERROR(INDEX('[2]Potencial Hor SocioDem x CeDi'!$C$2:$AF$81, MATCH($C8,'[2]Potencial Hor SocioDem x CeDi'!$B$2:$B$81,0), MATCH(CD$4,'[2]Potencial Hor SocioDem x CeDi'!$C$1:$AF$1,0)), "")</f>
        <v>5.7894958514088372E-2</v>
      </c>
      <c r="CE8" s="78" t="str">
        <f>IFERROR(_xlfn.XLOOKUP([2]!BaseMaestraCeDi[[#This Row],[CeDi]], '[2]Potencial Hor x CeDi'!$B$6:$BU$6, '[2]Potencial Hor x CeDi'!$B$50:$BU$50), "")</f>
        <v/>
      </c>
      <c r="CF8" s="90" t="str">
        <f>IFERROR(_xlfn.XLOOKUP([2]!BaseMaestraCeDi[[#This Row],[CeDi]], '[2]Potencial Hor x CeDi'!$B$6:$BU$6, '[2]Potencial Hor x CeDi'!$B$34:$BU$34), "")</f>
        <v/>
      </c>
      <c r="CG8" s="90" t="str">
        <f>IFERROR(_xlfn.XLOOKUP([2]!BaseMaestraCeDi[[#This Row],[CeDi]], '[2]Potencial Hor x CeDi'!$B$6:$BU$6, '[2]Potencial Hor x CeDi'!$B$64:$BU$64), "")</f>
        <v/>
      </c>
      <c r="CH8" s="91" t="str">
        <f>IFERROR(_xlfn.XLOOKUP([2]!BaseMaestraCeDi[[#This Row],[CeDi]], '[2]Potencial Hor x CeDi'!$B$6:$BU$6, '[2]Potencial Hor x CeDi'!$B$38:$BU$38), "")</f>
        <v/>
      </c>
      <c r="CI8" s="90" t="str">
        <f>IFERROR(_xlfn.XLOOKUP([2]!BaseMaestraCeDi[[#This Row],[CeDi]], '[2]Potencial Hor x CeDi'!$B$6:$BU$6, '[2]Potencial Hor x CeDi'!$B$26:$BU$26), "")</f>
        <v/>
      </c>
      <c r="CJ8" s="92" t="str">
        <f>IFERROR(_xlfn.XLOOKUP([2]!BaseMaestraCeDi[[#This Row],[CeDi]], '[2]Potencial Hor x CeDi'!$B$6:$BU$6, '[2]Potencial Hor x CeDi'!$B$27:$BU$27), "")</f>
        <v/>
      </c>
      <c r="CK8" s="90" t="str">
        <f>IFERROR(_xlfn.XLOOKUP([2]!BaseMaestraCeDi[[#This Row],[CeDi]], '[2]Potencial Hor x CeDi'!$B$6:$BU$6, '[2]Potencial Hor x CeDi'!$B$28:$BU$28), "")</f>
        <v/>
      </c>
      <c r="CL8" s="92" t="str">
        <f>IFERROR(_xlfn.XLOOKUP([2]!BaseMaestraCeDi[[#This Row],[CeDi]], '[2]Potencial Hor x CeDi'!$B$6:$BU$6, '[2]Potencial Hor x CeDi'!$B$29:$BU$29), "")</f>
        <v/>
      </c>
      <c r="CM8" s="93" t="str">
        <f>IFERROR(_xlfn.XLOOKUP([2]!BaseMaestraCeDi[[#This Row],[CeDi]], '[2]Potencial Hor x CeDi'!$B$6:$BU$6, '[2]Potencial Hor x CeDi'!$B$39:$BU$39), "")</f>
        <v/>
      </c>
      <c r="CN8" s="94" t="str">
        <f>IFERROR(_xlfn.XLOOKUP([2]!BaseMaestraCeDi[[#This Row],[CeDi]], '[2]Potencial Hor x CeDi'!$B$6:$BU$6, '[2]Potencial Hor x CeDi'!$B$43:$BU$43), "")</f>
        <v/>
      </c>
      <c r="CO8" s="94" t="str">
        <f>IFERROR(_xlfn.XLOOKUP([2]!BaseMaestraCeDi[[#This Row],[CeDi]], '[2]Potencial Hor x CeDi'!$B$6:$BU$6, '[2]Potencial Hor x CeDi'!$B$46:$BU$46), "")</f>
        <v/>
      </c>
      <c r="CP8" s="86" t="str">
        <f>IFERROR(_xlfn.XLOOKUP([2]!BaseMaestraCeDi[[#This Row],[CeDi]], '[2]Potencial Hor x CeDi'!$B$6:$BU$6, '[2]Potencial Hor x CeDi'!$B$51:$BU$51), "")</f>
        <v/>
      </c>
      <c r="CQ8" s="82" t="str">
        <f>IFERROR(_xlfn.XLOOKUP([2]!BaseMaestraCeDi[[#This Row],[CeDi]], '[2]Potencial Hor x CeDi'!$B$6:$BU$6, '[2]Potencial Hor x CeDi'!$B$52:$BU$52), "")</f>
        <v/>
      </c>
      <c r="CR8" s="82" t="str">
        <f>IFERROR(_xlfn.XLOOKUP([2]!BaseMaestraCeDi[[#This Row],[CeDi]], '[2]Potencial Hor x CeDi'!$B$6:$BU$6, '[2]Potencial Hor x CeDi'!$B$53:$BU$53), "")</f>
        <v/>
      </c>
      <c r="CS8" s="87" t="str">
        <f>IFERROR(_xlfn.XLOOKUP([2]!BaseMaestraCeDi[[#This Row],[CeDi]], '[2]Potencial Hor x CeDi'!$B$6:$BU$6, '[2]Potencial Hor x CeDi'!$B$60:$BU$60), "")</f>
        <v/>
      </c>
      <c r="CT8" s="90" t="str">
        <f>IFERROR(_xlfn.XLOOKUP([2]!BaseMaestraCeDi[[#This Row],[CeDi]], '[2]Potencial Hor x CeDi'!$B$6:$BU$6, '[2]Potencial Hor x CeDi'!$B$65:$BU$65), "")</f>
        <v/>
      </c>
      <c r="CU8" s="90" t="str">
        <f>IFERROR(_xlfn.XLOOKUP([2]!BaseMaestraCeDi[[#This Row],[CeDi]], '[2]Potencial Hor x CeDi'!$B$6:$BU$6, '[2]Potencial Hor x CeDi'!$B$68:$BU$68), "")</f>
        <v/>
      </c>
      <c r="CV8" s="95" t="str">
        <f>IFERROR(_xlfn.XLOOKUP([2]!BaseMaestraCeDi[[#This Row],[CeDi]], '[2]Potencial Hor x CeDi'!$B$6:$BU$6, '[2]Potencial Hor x CeDi'!$B$71:$BU$71), "")</f>
        <v/>
      </c>
    </row>
    <row r="9" spans="1:100">
      <c r="A9" s="100" t="s">
        <v>92</v>
      </c>
      <c r="B9" s="100" t="s">
        <v>168</v>
      </c>
      <c r="C9" s="100" t="s">
        <v>196</v>
      </c>
      <c r="D9" s="101">
        <v>12</v>
      </c>
      <c r="E9" s="102">
        <v>627.25599872735654</v>
      </c>
      <c r="F9" s="103">
        <v>203.34615920083266</v>
      </c>
      <c r="G9" s="103">
        <v>830.60215792818917</v>
      </c>
      <c r="H9" s="104">
        <v>3255.9797438798023</v>
      </c>
      <c r="I9" s="105">
        <v>12862.528700987385</v>
      </c>
      <c r="J9" s="105">
        <v>1300.4627112528196</v>
      </c>
      <c r="K9" s="105">
        <v>17418.971156120009</v>
      </c>
      <c r="L9" s="104">
        <v>39389.458682228324</v>
      </c>
      <c r="M9" s="106">
        <v>0.44222418227796245</v>
      </c>
      <c r="N9" s="107" t="s">
        <v>171</v>
      </c>
      <c r="O9" s="102">
        <v>51.206000677801505</v>
      </c>
      <c r="P9" s="103">
        <v>1</v>
      </c>
      <c r="Q9" s="103">
        <v>1</v>
      </c>
      <c r="R9" s="108">
        <v>16</v>
      </c>
      <c r="S9" s="107">
        <v>144</v>
      </c>
      <c r="T9" s="125">
        <v>0.99691528862260903</v>
      </c>
      <c r="U9" s="106">
        <v>3.0847113773909696E-3</v>
      </c>
      <c r="V9" s="106">
        <v>0.22386055085998349</v>
      </c>
      <c r="W9" s="106">
        <v>0.77613763777029365</v>
      </c>
      <c r="X9" s="106">
        <v>1.8113697228326241E-6</v>
      </c>
      <c r="Y9" s="104">
        <v>8817.7459186801916</v>
      </c>
      <c r="Z9" s="105">
        <v>30571.641414675276</v>
      </c>
      <c r="AA9" s="105">
        <v>7.1348872855755016E-2</v>
      </c>
      <c r="AB9" s="105">
        <v>125633.45512820514</v>
      </c>
      <c r="AC9" s="101">
        <v>12</v>
      </c>
      <c r="AD9" s="109">
        <v>9</v>
      </c>
      <c r="AE9" s="101">
        <v>241303</v>
      </c>
      <c r="AF9" s="109">
        <v>153659</v>
      </c>
      <c r="AG9" s="110">
        <v>0.63678860188228081</v>
      </c>
      <c r="AH9" s="106">
        <v>0.74419034651647431</v>
      </c>
      <c r="AI9" s="101">
        <v>31529.685904034344</v>
      </c>
      <c r="AJ9" s="109">
        <v>15764.842952017172</v>
      </c>
      <c r="AK9" s="106">
        <v>0.70212074840353078</v>
      </c>
      <c r="AL9" s="104">
        <v>56510739.350000001</v>
      </c>
      <c r="AM9" s="105">
        <v>4894856.6990814693</v>
      </c>
      <c r="AN9" s="106">
        <v>8.6618167721450437E-2</v>
      </c>
      <c r="AO9" s="104">
        <v>3439629.0317869787</v>
      </c>
      <c r="AP9" s="106">
        <v>1.5647197966697547E-2</v>
      </c>
      <c r="AQ9" s="109">
        <v>17</v>
      </c>
      <c r="AR9" s="101">
        <v>9</v>
      </c>
      <c r="AS9" s="105">
        <v>2216728.610740948</v>
      </c>
      <c r="AT9" s="104">
        <v>5656357.6425279267</v>
      </c>
      <c r="AU9" s="101">
        <v>12</v>
      </c>
      <c r="AV9" s="109">
        <v>0</v>
      </c>
      <c r="AW9" s="109">
        <v>1</v>
      </c>
      <c r="AX9" s="109">
        <v>11</v>
      </c>
      <c r="AY9" s="110">
        <v>0</v>
      </c>
      <c r="AZ9" s="109">
        <v>23002.791615213067</v>
      </c>
      <c r="BA9" s="102">
        <v>51.206000677801491</v>
      </c>
      <c r="BB9" s="106">
        <v>0.64505871446001672</v>
      </c>
      <c r="BC9" s="111">
        <v>231.96721600170076</v>
      </c>
      <c r="BD9" s="74"/>
      <c r="BE9" s="88" t="str">
        <f>IFERROR(_xlfn.XLOOKUP([2]!BaseMaestraCeDi[[#This Row],[CeDi]], '[2]Potencial Hor x CeDi'!$B$6:$BU$6, '[2]Potencial Hor x CeDi'!$B$21:$BU$21) / 1000, "")</f>
        <v/>
      </c>
      <c r="BF9" s="89" t="str">
        <f>IFERROR(_xlfn.XLOOKUP([2]!BaseMaestraCeDi[[#This Row],[CeDi]], '[2]Potencial Hor x CeDi'!$B$6:$BU$6, '[2]Potencial Hor x CeDi'!$B$22:$BU$22) / 1000, "")</f>
        <v/>
      </c>
      <c r="BG9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9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9" s="78">
        <f>IFERROR(INDEX('[2]Potencial Hor SocioDem x CeDi'!$C$2:$AF$81, MATCH($C9,'[2]Potencial Hor SocioDem x CeDi'!$B$2:$B$81,0), MATCH(BI$4,'[2]Potencial Hor SocioDem x CeDi'!$C$1:$AF$1,0)), "")</f>
        <v>10732</v>
      </c>
      <c r="BJ9" s="78">
        <f>IFERROR(INDEX('[2]Potencial Hor SocioDem x CeDi'!$C$2:$AF$81, MATCH($C9,'[2]Potencial Hor SocioDem x CeDi'!$B$2:$B$81,0), MATCH(BJ$4,'[2]Potencial Hor SocioDem x CeDi'!$C$1:$AF$1,0)), "")</f>
        <v>841295</v>
      </c>
      <c r="BK9" s="78">
        <f>IFERROR(INDEX('[2]Potencial Hor SocioDem x CeDi'!$C$2:$AF$81, MATCH($C9,'[2]Potencial Hor SocioDem x CeDi'!$B$2:$B$81,0), MATCH(BK$4,'[2]Potencial Hor SocioDem x CeDi'!$C$1:$AF$1,0)), "")</f>
        <v>246450</v>
      </c>
      <c r="BL9" s="79">
        <f>IFERROR(INDEX('[2]Potencial Hor SocioDem x CeDi'!$C$2:$AF$81, MATCH($C9,'[2]Potencial Hor SocioDem x CeDi'!$B$2:$B$81,0), MATCH(BL$4,'[2]Potencial Hor SocioDem x CeDi'!$C$1:$AF$1,0)), "")</f>
        <v>3.4136538851694049</v>
      </c>
      <c r="BM9" s="79">
        <f>IFERROR(INDEX('[2]Potencial Hor SocioDem x CeDi'!$C$2:$AF$81, MATCH($C9,'[2]Potencial Hor SocioDem x CeDi'!$B$2:$B$81,0), MATCH(BM$4,'[2]Potencial Hor SocioDem x CeDi'!$C$1:$AF$1,0)), "")</f>
        <v>22.964032799105478</v>
      </c>
      <c r="BN9" s="78">
        <f>IFERROR(INDEX('[2]Potencial Hor SocioDem x CeDi'!$C$2:$AF$81, MATCH($C9,'[2]Potencial Hor SocioDem x CeDi'!$B$2:$B$81,0), MATCH(BN$4,'[2]Potencial Hor SocioDem x CeDi'!$C$1:$AF$1,0)), "")</f>
        <v>23554</v>
      </c>
      <c r="BO9" s="78">
        <f>IFERROR(INDEX('[2]Potencial Hor SocioDem x CeDi'!$C$2:$AF$81, MATCH($C9,'[2]Potencial Hor SocioDem x CeDi'!$B$2:$B$81,0), MATCH(BO$4,'[2]Potencial Hor SocioDem x CeDi'!$C$1:$AF$1,0)), "")</f>
        <v>99058</v>
      </c>
      <c r="BP9" s="78">
        <f>IFERROR(INDEX('[2]Potencial Hor SocioDem x CeDi'!$C$2:$AF$81, MATCH($C9,'[2]Potencial Hor SocioDem x CeDi'!$B$2:$B$81,0), MATCH(BP$4,'[2]Potencial Hor SocioDem x CeDi'!$C$1:$AF$1,0)), "")</f>
        <v>122612</v>
      </c>
      <c r="BQ9" s="80">
        <f>IFERROR(INDEX('[2]Potencial Hor SocioDem x CeDi'!$C$2:$AF$81, MATCH($C9,'[2]Potencial Hor SocioDem x CeDi'!$B$2:$B$81,0), MATCH(BQ$4,'[2]Potencial Hor SocioDem x CeDi'!$C$1:$AF$1,0)), "")</f>
        <v>0.49751268005680671</v>
      </c>
      <c r="BR9" s="80">
        <f>IFERROR(INDEX('[2]Potencial Hor SocioDem x CeDi'!$C$2:$AF$81, MATCH($C9,'[2]Potencial Hor SocioDem x CeDi'!$B$2:$B$81,0), MATCH(BR$4,'[2]Potencial Hor SocioDem x CeDi'!$C$1:$AF$1,0)), "")</f>
        <v>9.5573138567660781E-2</v>
      </c>
      <c r="BS9" s="80">
        <f>IFERROR(INDEX('[2]Potencial Hor SocioDem x CeDi'!$C$2:$AF$81, MATCH($C9,'[2]Potencial Hor SocioDem x CeDi'!$B$2:$B$81,0), MATCH(BS$4,'[2]Potencial Hor SocioDem x CeDi'!$C$1:$AF$1,0)), "")</f>
        <v>0.40193954148914579</v>
      </c>
      <c r="BT9" s="80">
        <f>IFERROR(INDEX('[2]Potencial Hor SocioDem x CeDi'!$C$2:$AF$81, MATCH($C9,'[2]Potencial Hor SocioDem x CeDi'!$B$2:$B$81,0), MATCH(BT$4,'[2]Potencial Hor SocioDem x CeDi'!$C$1:$AF$1,0)), "")</f>
        <v>0.2233597078514912</v>
      </c>
      <c r="BU9" s="80">
        <f>IFERROR(INDEX('[2]Potencial Hor SocioDem x CeDi'!$C$2:$AF$81, MATCH($C9,'[2]Potencial Hor SocioDem x CeDi'!$B$2:$B$81,0), MATCH(BU$4,'[2]Potencial Hor SocioDem x CeDi'!$C$1:$AF$1,0)), "")</f>
        <v>9.5532562385879483E-2</v>
      </c>
      <c r="BV9" s="80">
        <f>IFERROR(INDEX('[2]Potencial Hor SocioDem x CeDi'!$C$2:$AF$81, MATCH($C9,'[2]Potencial Hor SocioDem x CeDi'!$B$2:$B$81,0), MATCH(BV$4,'[2]Potencial Hor SocioDem x CeDi'!$C$1:$AF$1,0)), "")</f>
        <v>8.1152363562588761E-6</v>
      </c>
      <c r="BW9" s="80">
        <f>IFERROR(INDEX('[2]Potencial Hor SocioDem x CeDi'!$C$2:$AF$81, MATCH($C9,'[2]Potencial Hor SocioDem x CeDi'!$B$2:$B$81,0), MATCH(BW$4,'[2]Potencial Hor SocioDem x CeDi'!$C$1:$AF$1,0)), "")</f>
        <v>0.183574761614932</v>
      </c>
      <c r="BX9" s="80">
        <f>IFERROR(INDEX('[2]Potencial Hor SocioDem x CeDi'!$C$2:$AF$81, MATCH($C9,'[2]Potencial Hor SocioDem x CeDi'!$B$2:$B$81,0), MATCH(BX$4,'[2]Potencial Hor SocioDem x CeDi'!$C$1:$AF$1,0)), "")</f>
        <v>0</v>
      </c>
      <c r="BY9" s="80">
        <f>IFERROR(INDEX('[2]Potencial Hor SocioDem x CeDi'!$C$2:$AF$81, MATCH($C9,'[2]Potencial Hor SocioDem x CeDi'!$B$2:$B$81,0), MATCH(BY$4,'[2]Potencial Hor SocioDem x CeDi'!$C$1:$AF$1,0)), "")</f>
        <v>1.217285453438831E-5</v>
      </c>
      <c r="BZ9" s="79">
        <f>IFERROR(INDEX('[2]Potencial Hor SocioDem x CeDi'!$C$2:$AF$81, MATCH($C9,'[2]Potencial Hor SocioDem x CeDi'!$B$2:$B$81,0), MATCH(BZ$4,'[2]Potencial Hor SocioDem x CeDi'!$C$1:$AF$1,0)), "")</f>
        <v>2.5092268467065648</v>
      </c>
      <c r="CA9" s="79">
        <f>IFERROR(INDEX('[2]Potencial Hor SocioDem x CeDi'!$C$2:$AF$81, MATCH($C9,'[2]Potencial Hor SocioDem x CeDi'!$B$2:$B$81,0), MATCH(CA$4,'[2]Potencial Hor SocioDem x CeDi'!$C$1:$AF$1,0)), "")</f>
        <v>0.76905247267605303</v>
      </c>
      <c r="CB9" s="81">
        <f>IFERROR(INDEX('[2]Potencial Hor SocioDem x CeDi'!$C$2:$AF$81, MATCH($C9,'[2]Potencial Hor SocioDem x CeDi'!$B$2:$B$81,0), MATCH(CB$4,'[2]Potencial Hor SocioDem x CeDi'!$C$1:$AF$1,0)), "")</f>
        <v>5203</v>
      </c>
      <c r="CC9" s="82">
        <f>IFERROR(INDEX('[2]Potencial Hor SocioDem x CeDi'!$C$2:$AF$81, MATCH($C9,'[2]Potencial Hor SocioDem x CeDi'!$B$2:$B$81,0), MATCH(CC$4,'[2]Potencial Hor SocioDem x CeDi'!$C$1:$AF$1,0)), "")</f>
        <v>3784</v>
      </c>
      <c r="CD9" s="83">
        <f>IFERROR(INDEX('[2]Potencial Hor SocioDem x CeDi'!$C$2:$AF$81, MATCH($C9,'[2]Potencial Hor SocioDem x CeDi'!$B$2:$B$81,0), MATCH(CD$4,'[2]Potencial Hor SocioDem x CeDi'!$C$1:$AF$1,0)), "")</f>
        <v>3.086157961700323E-2</v>
      </c>
      <c r="CE9" s="78" t="str">
        <f>IFERROR(_xlfn.XLOOKUP([2]!BaseMaestraCeDi[[#This Row],[CeDi]], '[2]Potencial Hor x CeDi'!$B$6:$BU$6, '[2]Potencial Hor x CeDi'!$B$50:$BU$50), "")</f>
        <v/>
      </c>
      <c r="CF9" s="90" t="str">
        <f>IFERROR(_xlfn.XLOOKUP([2]!BaseMaestraCeDi[[#This Row],[CeDi]], '[2]Potencial Hor x CeDi'!$B$6:$BU$6, '[2]Potencial Hor x CeDi'!$B$34:$BU$34), "")</f>
        <v/>
      </c>
      <c r="CG9" s="90" t="str">
        <f>IFERROR(_xlfn.XLOOKUP([2]!BaseMaestraCeDi[[#This Row],[CeDi]], '[2]Potencial Hor x CeDi'!$B$6:$BU$6, '[2]Potencial Hor x CeDi'!$B$64:$BU$64), "")</f>
        <v/>
      </c>
      <c r="CH9" s="91" t="str">
        <f>IFERROR(_xlfn.XLOOKUP([2]!BaseMaestraCeDi[[#This Row],[CeDi]], '[2]Potencial Hor x CeDi'!$B$6:$BU$6, '[2]Potencial Hor x CeDi'!$B$38:$BU$38), "")</f>
        <v/>
      </c>
      <c r="CI9" s="90" t="str">
        <f>IFERROR(_xlfn.XLOOKUP([2]!BaseMaestraCeDi[[#This Row],[CeDi]], '[2]Potencial Hor x CeDi'!$B$6:$BU$6, '[2]Potencial Hor x CeDi'!$B$26:$BU$26), "")</f>
        <v/>
      </c>
      <c r="CJ9" s="92" t="str">
        <f>IFERROR(_xlfn.XLOOKUP([2]!BaseMaestraCeDi[[#This Row],[CeDi]], '[2]Potencial Hor x CeDi'!$B$6:$BU$6, '[2]Potencial Hor x CeDi'!$B$27:$BU$27), "")</f>
        <v/>
      </c>
      <c r="CK9" s="90" t="str">
        <f>IFERROR(_xlfn.XLOOKUP([2]!BaseMaestraCeDi[[#This Row],[CeDi]], '[2]Potencial Hor x CeDi'!$B$6:$BU$6, '[2]Potencial Hor x CeDi'!$B$28:$BU$28), "")</f>
        <v/>
      </c>
      <c r="CL9" s="92" t="str">
        <f>IFERROR(_xlfn.XLOOKUP([2]!BaseMaestraCeDi[[#This Row],[CeDi]], '[2]Potencial Hor x CeDi'!$B$6:$BU$6, '[2]Potencial Hor x CeDi'!$B$29:$BU$29), "")</f>
        <v/>
      </c>
      <c r="CM9" s="93" t="str">
        <f>IFERROR(_xlfn.XLOOKUP([2]!BaseMaestraCeDi[[#This Row],[CeDi]], '[2]Potencial Hor x CeDi'!$B$6:$BU$6, '[2]Potencial Hor x CeDi'!$B$39:$BU$39), "")</f>
        <v/>
      </c>
      <c r="CN9" s="94" t="str">
        <f>IFERROR(_xlfn.XLOOKUP([2]!BaseMaestraCeDi[[#This Row],[CeDi]], '[2]Potencial Hor x CeDi'!$B$6:$BU$6, '[2]Potencial Hor x CeDi'!$B$43:$BU$43), "")</f>
        <v/>
      </c>
      <c r="CO9" s="94" t="str">
        <f>IFERROR(_xlfn.XLOOKUP([2]!BaseMaestraCeDi[[#This Row],[CeDi]], '[2]Potencial Hor x CeDi'!$B$6:$BU$6, '[2]Potencial Hor x CeDi'!$B$46:$BU$46), "")</f>
        <v/>
      </c>
      <c r="CP9" s="86" t="str">
        <f>IFERROR(_xlfn.XLOOKUP([2]!BaseMaestraCeDi[[#This Row],[CeDi]], '[2]Potencial Hor x CeDi'!$B$6:$BU$6, '[2]Potencial Hor x CeDi'!$B$51:$BU$51), "")</f>
        <v/>
      </c>
      <c r="CQ9" s="82" t="str">
        <f>IFERROR(_xlfn.XLOOKUP([2]!BaseMaestraCeDi[[#This Row],[CeDi]], '[2]Potencial Hor x CeDi'!$B$6:$BU$6, '[2]Potencial Hor x CeDi'!$B$52:$BU$52), "")</f>
        <v/>
      </c>
      <c r="CR9" s="82" t="str">
        <f>IFERROR(_xlfn.XLOOKUP([2]!BaseMaestraCeDi[[#This Row],[CeDi]], '[2]Potencial Hor x CeDi'!$B$6:$BU$6, '[2]Potencial Hor x CeDi'!$B$53:$BU$53), "")</f>
        <v/>
      </c>
      <c r="CS9" s="87" t="str">
        <f>IFERROR(_xlfn.XLOOKUP([2]!BaseMaestraCeDi[[#This Row],[CeDi]], '[2]Potencial Hor x CeDi'!$B$6:$BU$6, '[2]Potencial Hor x CeDi'!$B$60:$BU$60), "")</f>
        <v/>
      </c>
      <c r="CT9" s="90" t="str">
        <f>IFERROR(_xlfn.XLOOKUP([2]!BaseMaestraCeDi[[#This Row],[CeDi]], '[2]Potencial Hor x CeDi'!$B$6:$BU$6, '[2]Potencial Hor x CeDi'!$B$65:$BU$65), "")</f>
        <v/>
      </c>
      <c r="CU9" s="90" t="str">
        <f>IFERROR(_xlfn.XLOOKUP([2]!BaseMaestraCeDi[[#This Row],[CeDi]], '[2]Potencial Hor x CeDi'!$B$6:$BU$6, '[2]Potencial Hor x CeDi'!$B$68:$BU$68), "")</f>
        <v/>
      </c>
      <c r="CV9" s="95" t="str">
        <f>IFERROR(_xlfn.XLOOKUP([2]!BaseMaestraCeDi[[#This Row],[CeDi]], '[2]Potencial Hor x CeDi'!$B$6:$BU$6, '[2]Potencial Hor x CeDi'!$B$71:$BU$71), "")</f>
        <v/>
      </c>
    </row>
    <row r="10" spans="1:100">
      <c r="A10" s="112" t="s">
        <v>92</v>
      </c>
      <c r="B10" s="112" t="s">
        <v>168</v>
      </c>
      <c r="C10" s="112" t="s">
        <v>209</v>
      </c>
      <c r="D10" s="113">
        <v>26</v>
      </c>
      <c r="E10" s="114">
        <v>967.16474528713843</v>
      </c>
      <c r="F10" s="115">
        <v>313.53902819202142</v>
      </c>
      <c r="G10" s="115">
        <v>1280.7037734791597</v>
      </c>
      <c r="H10" s="116">
        <v>5020.3885272341049</v>
      </c>
      <c r="I10" s="117">
        <v>27731.475878010548</v>
      </c>
      <c r="J10" s="117">
        <v>2817.6692077144426</v>
      </c>
      <c r="K10" s="117">
        <v>35569.533612959094</v>
      </c>
      <c r="L10" s="116">
        <v>60275.470508460814</v>
      </c>
      <c r="M10" s="118">
        <v>0.59011623323564488</v>
      </c>
      <c r="N10" s="119" t="s">
        <v>211</v>
      </c>
      <c r="O10" s="114">
        <v>56.948039226373993</v>
      </c>
      <c r="P10" s="115">
        <v>1</v>
      </c>
      <c r="Q10" s="115">
        <v>1</v>
      </c>
      <c r="R10" s="120">
        <v>35</v>
      </c>
      <c r="S10" s="119">
        <v>236</v>
      </c>
      <c r="T10" s="121">
        <v>0.99264615657318289</v>
      </c>
      <c r="U10" s="118">
        <v>7.3538434268171082E-3</v>
      </c>
      <c r="V10" s="118">
        <v>0.22854200055507815</v>
      </c>
      <c r="W10" s="118">
        <v>0.7714117345962187</v>
      </c>
      <c r="X10" s="118">
        <v>4.6264848703191292E-5</v>
      </c>
      <c r="Y10" s="116">
        <v>13775.476614402247</v>
      </c>
      <c r="Z10" s="117">
        <v>46497.205258534981</v>
      </c>
      <c r="AA10" s="117">
        <v>2.7886355235876081</v>
      </c>
      <c r="AB10" s="117">
        <v>78508.344464092719</v>
      </c>
      <c r="AC10" s="113">
        <v>27</v>
      </c>
      <c r="AD10" s="122">
        <v>20</v>
      </c>
      <c r="AE10" s="113">
        <v>567677</v>
      </c>
      <c r="AF10" s="122">
        <v>251821</v>
      </c>
      <c r="AG10" s="123">
        <v>0.44359908891852234</v>
      </c>
      <c r="AH10" s="118">
        <v>0.59461304275985039</v>
      </c>
      <c r="AI10" s="113">
        <v>95914.570911538118</v>
      </c>
      <c r="AJ10" s="122">
        <v>47957.285455769059</v>
      </c>
      <c r="AK10" s="118">
        <v>0.52807897000542392</v>
      </c>
      <c r="AL10" s="116">
        <v>85980343.599999994</v>
      </c>
      <c r="AM10" s="117">
        <v>14058723.976501567</v>
      </c>
      <c r="AN10" s="118">
        <v>0.16351090711972416</v>
      </c>
      <c r="AO10" s="116">
        <v>9879103.3348389398</v>
      </c>
      <c r="AP10" s="118">
        <v>4.4940975955589678E-2</v>
      </c>
      <c r="AQ10" s="122">
        <v>9</v>
      </c>
      <c r="AR10" s="113">
        <v>20</v>
      </c>
      <c r="AS10" s="117">
        <v>9321794.9008875638</v>
      </c>
      <c r="AT10" s="116">
        <v>19200898.235726506</v>
      </c>
      <c r="AU10" s="113">
        <v>27</v>
      </c>
      <c r="AV10" s="122">
        <v>0</v>
      </c>
      <c r="AW10" s="122">
        <v>0</v>
      </c>
      <c r="AX10" s="122">
        <v>27</v>
      </c>
      <c r="AY10" s="123">
        <v>0</v>
      </c>
      <c r="AZ10" s="122">
        <v>62179.185225915913</v>
      </c>
      <c r="BA10" s="114">
        <v>56.948039226374007</v>
      </c>
      <c r="BB10" s="118">
        <v>0.46268469864457262</v>
      </c>
      <c r="BC10" s="124">
        <v>164.42474621089056</v>
      </c>
      <c r="BD10" s="74" t="s">
        <v>1128</v>
      </c>
      <c r="BE10" s="88" t="str">
        <f>IFERROR(_xlfn.XLOOKUP([2]!BaseMaestraCeDi[[#This Row],[CeDi]], '[2]Potencial Hor x CeDi'!$B$6:$BU$6, '[2]Potencial Hor x CeDi'!$B$21:$BU$21) / 1000, "")</f>
        <v/>
      </c>
      <c r="BF10" s="89" t="str">
        <f>IFERROR(_xlfn.XLOOKUP([2]!BaseMaestraCeDi[[#This Row],[CeDi]], '[2]Potencial Hor x CeDi'!$B$6:$BU$6, '[2]Potencial Hor x CeDi'!$B$22:$BU$22) / 1000, "")</f>
        <v/>
      </c>
      <c r="BG10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10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10" s="78">
        <f>IFERROR(INDEX('[2]Potencial Hor SocioDem x CeDi'!$C$2:$AF$81, MATCH($C10,'[2]Potencial Hor SocioDem x CeDi'!$B$2:$B$81,0), MATCH(BI$4,'[2]Potencial Hor SocioDem x CeDi'!$C$1:$AF$1,0)), "")</f>
        <v>21423</v>
      </c>
      <c r="BJ10" s="78">
        <f>IFERROR(INDEX('[2]Potencial Hor SocioDem x CeDi'!$C$2:$AF$81, MATCH($C10,'[2]Potencial Hor SocioDem x CeDi'!$B$2:$B$81,0), MATCH(BJ$4,'[2]Potencial Hor SocioDem x CeDi'!$C$1:$AF$1,0)), "")</f>
        <v>1687453</v>
      </c>
      <c r="BK10" s="78">
        <f>IFERROR(INDEX('[2]Potencial Hor SocioDem x CeDi'!$C$2:$AF$81, MATCH($C10,'[2]Potencial Hor SocioDem x CeDi'!$B$2:$B$81,0), MATCH(BK$4,'[2]Potencial Hor SocioDem x CeDi'!$C$1:$AF$1,0)), "")</f>
        <v>482439</v>
      </c>
      <c r="BL10" s="79">
        <f>IFERROR(INDEX('[2]Potencial Hor SocioDem x CeDi'!$C$2:$AF$81, MATCH($C10,'[2]Potencial Hor SocioDem x CeDi'!$B$2:$B$81,0), MATCH(BL$4,'[2]Potencial Hor SocioDem x CeDi'!$C$1:$AF$1,0)), "")</f>
        <v>3.4977541202100162</v>
      </c>
      <c r="BM10" s="79">
        <f>IFERROR(INDEX('[2]Potencial Hor SocioDem x CeDi'!$C$2:$AF$81, MATCH($C10,'[2]Potencial Hor SocioDem x CeDi'!$B$2:$B$81,0), MATCH(BM$4,'[2]Potencial Hor SocioDem x CeDi'!$C$1:$AF$1,0)), "")</f>
        <v>22.519675115530038</v>
      </c>
      <c r="BN10" s="78">
        <f>IFERROR(INDEX('[2]Potencial Hor SocioDem x CeDi'!$C$2:$AF$81, MATCH($C10,'[2]Potencial Hor SocioDem x CeDi'!$B$2:$B$81,0), MATCH(BN$4,'[2]Potencial Hor SocioDem x CeDi'!$C$1:$AF$1,0)), "")</f>
        <v>54212</v>
      </c>
      <c r="BO10" s="78">
        <f>IFERROR(INDEX('[2]Potencial Hor SocioDem x CeDi'!$C$2:$AF$81, MATCH($C10,'[2]Potencial Hor SocioDem x CeDi'!$B$2:$B$81,0), MATCH(BO$4,'[2]Potencial Hor SocioDem x CeDi'!$C$1:$AF$1,0)), "")</f>
        <v>81580</v>
      </c>
      <c r="BP10" s="78">
        <f>IFERROR(INDEX('[2]Potencial Hor SocioDem x CeDi'!$C$2:$AF$81, MATCH($C10,'[2]Potencial Hor SocioDem x CeDi'!$B$2:$B$81,0), MATCH(BP$4,'[2]Potencial Hor SocioDem x CeDi'!$C$1:$AF$1,0)), "")</f>
        <v>135792</v>
      </c>
      <c r="BQ10" s="80">
        <f>IFERROR(INDEX('[2]Potencial Hor SocioDem x CeDi'!$C$2:$AF$81, MATCH($C10,'[2]Potencial Hor SocioDem x CeDi'!$B$2:$B$81,0), MATCH(BQ$4,'[2]Potencial Hor SocioDem x CeDi'!$C$1:$AF$1,0)), "")</f>
        <v>0.28146978167187969</v>
      </c>
      <c r="BR10" s="80">
        <f>IFERROR(INDEX('[2]Potencial Hor SocioDem x CeDi'!$C$2:$AF$81, MATCH($C10,'[2]Potencial Hor SocioDem x CeDi'!$B$2:$B$81,0), MATCH(BR$4,'[2]Potencial Hor SocioDem x CeDi'!$C$1:$AF$1,0)), "")</f>
        <v>0.1123706831329971</v>
      </c>
      <c r="BS10" s="80">
        <f>IFERROR(INDEX('[2]Potencial Hor SocioDem x CeDi'!$C$2:$AF$81, MATCH($C10,'[2]Potencial Hor SocioDem x CeDi'!$B$2:$B$81,0), MATCH(BS$4,'[2]Potencial Hor SocioDem x CeDi'!$C$1:$AF$1,0)), "")</f>
        <v>0.16909909853888261</v>
      </c>
      <c r="BT10" s="80">
        <f>IFERROR(INDEX('[2]Potencial Hor SocioDem x CeDi'!$C$2:$AF$81, MATCH($C10,'[2]Potencial Hor SocioDem x CeDi'!$B$2:$B$81,0), MATCH(BT$4,'[2]Potencial Hor SocioDem x CeDi'!$C$1:$AF$1,0)), "")</f>
        <v>0.1041416635056453</v>
      </c>
      <c r="BU10" s="80">
        <f>IFERROR(INDEX('[2]Potencial Hor SocioDem x CeDi'!$C$2:$AF$81, MATCH($C10,'[2]Potencial Hor SocioDem x CeDi'!$B$2:$B$81,0), MATCH(BU$4,'[2]Potencial Hor SocioDem x CeDi'!$C$1:$AF$1,0)), "")</f>
        <v>9.0166839745542959E-2</v>
      </c>
      <c r="BV10" s="80">
        <f>IFERROR(INDEX('[2]Potencial Hor SocioDem x CeDi'!$C$2:$AF$81, MATCH($C10,'[2]Potencial Hor SocioDem x CeDi'!$B$2:$B$81,0), MATCH(BV$4,'[2]Potencial Hor SocioDem x CeDi'!$C$1:$AF$1,0)), "")</f>
        <v>2.7460466504573639E-2</v>
      </c>
      <c r="BW10" s="80">
        <f>IFERROR(INDEX('[2]Potencial Hor SocioDem x CeDi'!$C$2:$AF$81, MATCH($C10,'[2]Potencial Hor SocioDem x CeDi'!$B$2:$B$81,0), MATCH(BW$4,'[2]Potencial Hor SocioDem x CeDi'!$C$1:$AF$1,0)), "")</f>
        <v>0.49666797253124229</v>
      </c>
      <c r="BX10" s="80">
        <f>IFERROR(INDEX('[2]Potencial Hor SocioDem x CeDi'!$C$2:$AF$81, MATCH($C10,'[2]Potencial Hor SocioDem x CeDi'!$B$2:$B$81,0), MATCH(BX$4,'[2]Potencial Hor SocioDem x CeDi'!$C$1:$AF$1,0)), "")</f>
        <v>7.8766434720244419E-5</v>
      </c>
      <c r="BY10" s="80">
        <f>IFERROR(INDEX('[2]Potencial Hor SocioDem x CeDi'!$C$2:$AF$81, MATCH($C10,'[2]Potencial Hor SocioDem x CeDi'!$B$2:$B$81,0), MATCH(BY$4,'[2]Potencial Hor SocioDem x CeDi'!$C$1:$AF$1,0)), "")</f>
        <v>1.4509606395834501E-5</v>
      </c>
      <c r="BZ10" s="79">
        <f>IFERROR(INDEX('[2]Potencial Hor SocioDem x CeDi'!$C$2:$AF$81, MATCH($C10,'[2]Potencial Hor SocioDem x CeDi'!$B$2:$B$81,0), MATCH(BZ$4,'[2]Potencial Hor SocioDem x CeDi'!$C$1:$AF$1,0)), "")</f>
        <v>3.7612899440754788</v>
      </c>
      <c r="CA10" s="79">
        <f>IFERROR(INDEX('[2]Potencial Hor SocioDem x CeDi'!$C$2:$AF$81, MATCH($C10,'[2]Potencial Hor SocioDem x CeDi'!$B$2:$B$81,0), MATCH(CA$4,'[2]Potencial Hor SocioDem x CeDi'!$C$1:$AF$1,0)), "")</f>
        <v>0.49956946949040948</v>
      </c>
      <c r="CB10" s="81">
        <f>IFERROR(INDEX('[2]Potencial Hor SocioDem x CeDi'!$C$2:$AF$81, MATCH($C10,'[2]Potencial Hor SocioDem x CeDi'!$B$2:$B$81,0), MATCH(CB$4,'[2]Potencial Hor SocioDem x CeDi'!$C$1:$AF$1,0)), "")</f>
        <v>10706</v>
      </c>
      <c r="CC10" s="82">
        <f>IFERROR(INDEX('[2]Potencial Hor SocioDem x CeDi'!$C$2:$AF$81, MATCH($C10,'[2]Potencial Hor SocioDem x CeDi'!$B$2:$B$81,0), MATCH(CC$4,'[2]Potencial Hor SocioDem x CeDi'!$C$1:$AF$1,0)), "")</f>
        <v>7271</v>
      </c>
      <c r="CD10" s="83">
        <f>IFERROR(INDEX('[2]Potencial Hor SocioDem x CeDi'!$C$2:$AF$81, MATCH($C10,'[2]Potencial Hor SocioDem x CeDi'!$B$2:$B$81,0), MATCH(CD$4,'[2]Potencial Hor SocioDem x CeDi'!$C$1:$AF$1,0)), "")</f>
        <v>5.3545127842582772E-2</v>
      </c>
      <c r="CE10" s="78" t="str">
        <f>IFERROR(_xlfn.XLOOKUP([2]!BaseMaestraCeDi[[#This Row],[CeDi]], '[2]Potencial Hor x CeDi'!$B$6:$BU$6, '[2]Potencial Hor x CeDi'!$B$50:$BU$50), "")</f>
        <v/>
      </c>
      <c r="CF10" s="90" t="str">
        <f>IFERROR(_xlfn.XLOOKUP([2]!BaseMaestraCeDi[[#This Row],[CeDi]], '[2]Potencial Hor x CeDi'!$B$6:$BU$6, '[2]Potencial Hor x CeDi'!$B$34:$BU$34), "")</f>
        <v/>
      </c>
      <c r="CG10" s="90" t="str">
        <f>IFERROR(_xlfn.XLOOKUP([2]!BaseMaestraCeDi[[#This Row],[CeDi]], '[2]Potencial Hor x CeDi'!$B$6:$BU$6, '[2]Potencial Hor x CeDi'!$B$64:$BU$64), "")</f>
        <v/>
      </c>
      <c r="CH10" s="91" t="str">
        <f>IFERROR(_xlfn.XLOOKUP([2]!BaseMaestraCeDi[[#This Row],[CeDi]], '[2]Potencial Hor x CeDi'!$B$6:$BU$6, '[2]Potencial Hor x CeDi'!$B$38:$BU$38), "")</f>
        <v/>
      </c>
      <c r="CI10" s="90" t="str">
        <f>IFERROR(_xlfn.XLOOKUP([2]!BaseMaestraCeDi[[#This Row],[CeDi]], '[2]Potencial Hor x CeDi'!$B$6:$BU$6, '[2]Potencial Hor x CeDi'!$B$26:$BU$26), "")</f>
        <v/>
      </c>
      <c r="CJ10" s="92" t="str">
        <f>IFERROR(_xlfn.XLOOKUP([2]!BaseMaestraCeDi[[#This Row],[CeDi]], '[2]Potencial Hor x CeDi'!$B$6:$BU$6, '[2]Potencial Hor x CeDi'!$B$27:$BU$27), "")</f>
        <v/>
      </c>
      <c r="CK10" s="90" t="str">
        <f>IFERROR(_xlfn.XLOOKUP([2]!BaseMaestraCeDi[[#This Row],[CeDi]], '[2]Potencial Hor x CeDi'!$B$6:$BU$6, '[2]Potencial Hor x CeDi'!$B$28:$BU$28), "")</f>
        <v/>
      </c>
      <c r="CL10" s="92" t="str">
        <f>IFERROR(_xlfn.XLOOKUP([2]!BaseMaestraCeDi[[#This Row],[CeDi]], '[2]Potencial Hor x CeDi'!$B$6:$BU$6, '[2]Potencial Hor x CeDi'!$B$29:$BU$29), "")</f>
        <v/>
      </c>
      <c r="CM10" s="93" t="str">
        <f>IFERROR(_xlfn.XLOOKUP([2]!BaseMaestraCeDi[[#This Row],[CeDi]], '[2]Potencial Hor x CeDi'!$B$6:$BU$6, '[2]Potencial Hor x CeDi'!$B$39:$BU$39), "")</f>
        <v/>
      </c>
      <c r="CN10" s="94" t="str">
        <f>IFERROR(_xlfn.XLOOKUP([2]!BaseMaestraCeDi[[#This Row],[CeDi]], '[2]Potencial Hor x CeDi'!$B$6:$BU$6, '[2]Potencial Hor x CeDi'!$B$43:$BU$43), "")</f>
        <v/>
      </c>
      <c r="CO10" s="94" t="str">
        <f>IFERROR(_xlfn.XLOOKUP([2]!BaseMaestraCeDi[[#This Row],[CeDi]], '[2]Potencial Hor x CeDi'!$B$6:$BU$6, '[2]Potencial Hor x CeDi'!$B$46:$BU$46), "")</f>
        <v/>
      </c>
      <c r="CP10" s="86" t="str">
        <f>IFERROR(_xlfn.XLOOKUP([2]!BaseMaestraCeDi[[#This Row],[CeDi]], '[2]Potencial Hor x CeDi'!$B$6:$BU$6, '[2]Potencial Hor x CeDi'!$B$51:$BU$51), "")</f>
        <v/>
      </c>
      <c r="CQ10" s="82" t="str">
        <f>IFERROR(_xlfn.XLOOKUP([2]!BaseMaestraCeDi[[#This Row],[CeDi]], '[2]Potencial Hor x CeDi'!$B$6:$BU$6, '[2]Potencial Hor x CeDi'!$B$52:$BU$52), "")</f>
        <v/>
      </c>
      <c r="CR10" s="82" t="str">
        <f>IFERROR(_xlfn.XLOOKUP([2]!BaseMaestraCeDi[[#This Row],[CeDi]], '[2]Potencial Hor x CeDi'!$B$6:$BU$6, '[2]Potencial Hor x CeDi'!$B$53:$BU$53), "")</f>
        <v/>
      </c>
      <c r="CS10" s="87" t="str">
        <f>IFERROR(_xlfn.XLOOKUP([2]!BaseMaestraCeDi[[#This Row],[CeDi]], '[2]Potencial Hor x CeDi'!$B$6:$BU$6, '[2]Potencial Hor x CeDi'!$B$60:$BU$60), "")</f>
        <v/>
      </c>
      <c r="CT10" s="90" t="str">
        <f>IFERROR(_xlfn.XLOOKUP([2]!BaseMaestraCeDi[[#This Row],[CeDi]], '[2]Potencial Hor x CeDi'!$B$6:$BU$6, '[2]Potencial Hor x CeDi'!$B$65:$BU$65), "")</f>
        <v/>
      </c>
      <c r="CU10" s="90" t="str">
        <f>IFERROR(_xlfn.XLOOKUP([2]!BaseMaestraCeDi[[#This Row],[CeDi]], '[2]Potencial Hor x CeDi'!$B$6:$BU$6, '[2]Potencial Hor x CeDi'!$B$68:$BU$68), "")</f>
        <v/>
      </c>
      <c r="CV10" s="95" t="str">
        <f>IFERROR(_xlfn.XLOOKUP([2]!BaseMaestraCeDi[[#This Row],[CeDi]], '[2]Potencial Hor x CeDi'!$B$6:$BU$6, '[2]Potencial Hor x CeDi'!$B$71:$BU$71), "")</f>
        <v/>
      </c>
    </row>
    <row r="11" spans="1:100">
      <c r="A11" s="100" t="s">
        <v>92</v>
      </c>
      <c r="B11" s="100" t="s">
        <v>168</v>
      </c>
      <c r="C11" s="100" t="s">
        <v>238</v>
      </c>
      <c r="D11" s="101">
        <v>18</v>
      </c>
      <c r="E11" s="102">
        <v>1097.8941866034727</v>
      </c>
      <c r="F11" s="103">
        <v>355.91937981892067</v>
      </c>
      <c r="G11" s="103">
        <v>1453.8135664223933</v>
      </c>
      <c r="H11" s="104">
        <v>5698.9829348098256</v>
      </c>
      <c r="I11" s="105">
        <v>19312.020708898504</v>
      </c>
      <c r="J11" s="105">
        <v>1950.6940668792297</v>
      </c>
      <c r="K11" s="105">
        <v>26961.697710587559</v>
      </c>
      <c r="L11" s="104">
        <v>62411.330169722605</v>
      </c>
      <c r="M11" s="106">
        <v>0.43200004930622993</v>
      </c>
      <c r="N11" s="107" t="s">
        <v>171</v>
      </c>
      <c r="O11" s="102">
        <v>55.196169658169886</v>
      </c>
      <c r="P11" s="103">
        <v>1</v>
      </c>
      <c r="Q11" s="103">
        <v>1</v>
      </c>
      <c r="R11" s="108">
        <v>40</v>
      </c>
      <c r="S11" s="107">
        <v>290</v>
      </c>
      <c r="T11" s="125">
        <v>0.99740637639497232</v>
      </c>
      <c r="U11" s="106">
        <v>2.593623605027684E-3</v>
      </c>
      <c r="V11" s="106">
        <v>0.27641334251567545</v>
      </c>
      <c r="W11" s="106">
        <v>0.72358665748432449</v>
      </c>
      <c r="X11" s="106">
        <v>0</v>
      </c>
      <c r="Y11" s="104">
        <v>17251.324383062445</v>
      </c>
      <c r="Z11" s="105">
        <v>45160.005786660156</v>
      </c>
      <c r="AA11" s="105">
        <v>0</v>
      </c>
      <c r="AB11" s="105">
        <v>143764.25694444444</v>
      </c>
      <c r="AC11" s="101">
        <v>18</v>
      </c>
      <c r="AD11" s="109">
        <v>13</v>
      </c>
      <c r="AE11" s="101">
        <v>280114</v>
      </c>
      <c r="AF11" s="109">
        <v>191407</v>
      </c>
      <c r="AG11" s="110">
        <v>0.68331822043882129</v>
      </c>
      <c r="AH11" s="106">
        <v>0.83144613465711148</v>
      </c>
      <c r="AI11" s="101">
        <v>45231.604812879996</v>
      </c>
      <c r="AJ11" s="109">
        <v>22615.802406439998</v>
      </c>
      <c r="AK11" s="106">
        <v>0.76405607147961185</v>
      </c>
      <c r="AL11" s="104">
        <v>89016449.740000024</v>
      </c>
      <c r="AM11" s="105">
        <v>6298422.5584924771</v>
      </c>
      <c r="AN11" s="106">
        <v>7.0755715116576329E-2</v>
      </c>
      <c r="AO11" s="104">
        <v>4425918.5546163358</v>
      </c>
      <c r="AP11" s="106">
        <v>2.0133922341207471E-2</v>
      </c>
      <c r="AQ11" s="109">
        <v>14</v>
      </c>
      <c r="AR11" s="101">
        <v>13</v>
      </c>
      <c r="AS11" s="105">
        <v>5399555.4960384276</v>
      </c>
      <c r="AT11" s="104">
        <v>9825474.0506547634</v>
      </c>
      <c r="AU11" s="101">
        <v>18</v>
      </c>
      <c r="AV11" s="109">
        <v>0</v>
      </c>
      <c r="AW11" s="109">
        <v>10</v>
      </c>
      <c r="AX11" s="109">
        <v>8</v>
      </c>
      <c r="AY11" s="110">
        <v>0</v>
      </c>
      <c r="AZ11" s="109">
        <v>25575.369957602281</v>
      </c>
      <c r="BA11" s="102">
        <v>55.196169658169886</v>
      </c>
      <c r="BB11" s="106">
        <v>0.71100173749413054</v>
      </c>
      <c r="BC11" s="111">
        <v>270.80782716501136</v>
      </c>
      <c r="BD11" s="74" t="s">
        <v>1129</v>
      </c>
      <c r="BE11" s="88" t="str">
        <f>IFERROR(_xlfn.XLOOKUP([2]!BaseMaestraCeDi[[#This Row],[CeDi]], '[2]Potencial Hor x CeDi'!$B$6:$BU$6, '[2]Potencial Hor x CeDi'!$B$21:$BU$21) / 1000, "")</f>
        <v/>
      </c>
      <c r="BF11" s="89" t="str">
        <f>IFERROR(_xlfn.XLOOKUP([2]!BaseMaestraCeDi[[#This Row],[CeDi]], '[2]Potencial Hor x CeDi'!$B$6:$BU$6, '[2]Potencial Hor x CeDi'!$B$22:$BU$22) / 1000, "")</f>
        <v/>
      </c>
      <c r="BG11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11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11" s="78">
        <f>IFERROR(INDEX('[2]Potencial Hor SocioDem x CeDi'!$C$2:$AF$81, MATCH($C11,'[2]Potencial Hor SocioDem x CeDi'!$B$2:$B$81,0), MATCH(BI$4,'[2]Potencial Hor SocioDem x CeDi'!$C$1:$AF$1,0)), "")</f>
        <v>6072</v>
      </c>
      <c r="BJ11" s="78">
        <f>IFERROR(INDEX('[2]Potencial Hor SocioDem x CeDi'!$C$2:$AF$81, MATCH($C11,'[2]Potencial Hor SocioDem x CeDi'!$B$2:$B$81,0), MATCH(BJ$4,'[2]Potencial Hor SocioDem x CeDi'!$C$1:$AF$1,0)), "")</f>
        <v>505795</v>
      </c>
      <c r="BK11" s="78">
        <f>IFERROR(INDEX('[2]Potencial Hor SocioDem x CeDi'!$C$2:$AF$81, MATCH($C11,'[2]Potencial Hor SocioDem x CeDi'!$B$2:$B$81,0), MATCH(BK$4,'[2]Potencial Hor SocioDem x CeDi'!$C$1:$AF$1,0)), "")</f>
        <v>139026</v>
      </c>
      <c r="BL11" s="79">
        <f>IFERROR(INDEX('[2]Potencial Hor SocioDem x CeDi'!$C$2:$AF$81, MATCH($C11,'[2]Potencial Hor SocioDem x CeDi'!$B$2:$B$81,0), MATCH(BL$4,'[2]Potencial Hor SocioDem x CeDi'!$C$1:$AF$1,0)), "")</f>
        <v>3.638132435659517</v>
      </c>
      <c r="BM11" s="79">
        <f>IFERROR(INDEX('[2]Potencial Hor SocioDem x CeDi'!$C$2:$AF$81, MATCH($C11,'[2]Potencial Hor SocioDem x CeDi'!$B$2:$B$81,0), MATCH(BM$4,'[2]Potencial Hor SocioDem x CeDi'!$C$1:$AF$1,0)), "")</f>
        <v>22.896245059288539</v>
      </c>
      <c r="BN11" s="78">
        <f>IFERROR(INDEX('[2]Potencial Hor SocioDem x CeDi'!$C$2:$AF$81, MATCH($C11,'[2]Potencial Hor SocioDem x CeDi'!$B$2:$B$81,0), MATCH(BN$4,'[2]Potencial Hor SocioDem x CeDi'!$C$1:$AF$1,0)), "")</f>
        <v>36782</v>
      </c>
      <c r="BO11" s="78">
        <f>IFERROR(INDEX('[2]Potencial Hor SocioDem x CeDi'!$C$2:$AF$81, MATCH($C11,'[2]Potencial Hor SocioDem x CeDi'!$B$2:$B$81,0), MATCH(BO$4,'[2]Potencial Hor SocioDem x CeDi'!$C$1:$AF$1,0)), "")</f>
        <v>18787</v>
      </c>
      <c r="BP11" s="78">
        <f>IFERROR(INDEX('[2]Potencial Hor SocioDem x CeDi'!$C$2:$AF$81, MATCH($C11,'[2]Potencial Hor SocioDem x CeDi'!$B$2:$B$81,0), MATCH(BP$4,'[2]Potencial Hor SocioDem x CeDi'!$C$1:$AF$1,0)), "")</f>
        <v>55569</v>
      </c>
      <c r="BQ11" s="80">
        <f>IFERROR(INDEX('[2]Potencial Hor SocioDem x CeDi'!$C$2:$AF$81, MATCH($C11,'[2]Potencial Hor SocioDem x CeDi'!$B$2:$B$81,0), MATCH(BQ$4,'[2]Potencial Hor SocioDem x CeDi'!$C$1:$AF$1,0)), "")</f>
        <v>0.39970221397436451</v>
      </c>
      <c r="BR11" s="80">
        <f>IFERROR(INDEX('[2]Potencial Hor SocioDem x CeDi'!$C$2:$AF$81, MATCH($C11,'[2]Potencial Hor SocioDem x CeDi'!$B$2:$B$81,0), MATCH(BR$4,'[2]Potencial Hor SocioDem x CeDi'!$C$1:$AF$1,0)), "")</f>
        <v>0.26456921726871241</v>
      </c>
      <c r="BS11" s="80">
        <f>IFERROR(INDEX('[2]Potencial Hor SocioDem x CeDi'!$C$2:$AF$81, MATCH($C11,'[2]Potencial Hor SocioDem x CeDi'!$B$2:$B$81,0), MATCH(BS$4,'[2]Potencial Hor SocioDem x CeDi'!$C$1:$AF$1,0)), "")</f>
        <v>0.13513299670565221</v>
      </c>
      <c r="BT11" s="80">
        <f>IFERROR(INDEX('[2]Potencial Hor SocioDem x CeDi'!$C$2:$AF$81, MATCH($C11,'[2]Potencial Hor SocioDem x CeDi'!$B$2:$B$81,0), MATCH(BT$4,'[2]Potencial Hor SocioDem x CeDi'!$C$1:$AF$1,0)), "")</f>
        <v>0.24642153266295511</v>
      </c>
      <c r="BU11" s="80">
        <f>IFERROR(INDEX('[2]Potencial Hor SocioDem x CeDi'!$C$2:$AF$81, MATCH($C11,'[2]Potencial Hor SocioDem x CeDi'!$B$2:$B$81,0), MATCH(BU$4,'[2]Potencial Hor SocioDem x CeDi'!$C$1:$AF$1,0)), "")</f>
        <v>8.2207644613237818E-2</v>
      </c>
      <c r="BV11" s="80">
        <f>IFERROR(INDEX('[2]Potencial Hor SocioDem x CeDi'!$C$2:$AF$81, MATCH($C11,'[2]Potencial Hor SocioDem x CeDi'!$B$2:$B$81,0), MATCH(BV$4,'[2]Potencial Hor SocioDem x CeDi'!$C$1:$AF$1,0)), "")</f>
        <v>0</v>
      </c>
      <c r="BW11" s="80">
        <f>IFERROR(INDEX('[2]Potencial Hor SocioDem x CeDi'!$C$2:$AF$81, MATCH($C11,'[2]Potencial Hor SocioDem x CeDi'!$B$2:$B$81,0), MATCH(BW$4,'[2]Potencial Hor SocioDem x CeDi'!$C$1:$AF$1,0)), "")</f>
        <v>0.27145282177434438</v>
      </c>
      <c r="BX11" s="80">
        <f>IFERROR(INDEX('[2]Potencial Hor SocioDem x CeDi'!$C$2:$AF$81, MATCH($C11,'[2]Potencial Hor SocioDem x CeDi'!$B$2:$B$81,0), MATCH(BX$4,'[2]Potencial Hor SocioDem x CeDi'!$C$1:$AF$1,0)), "")</f>
        <v>2.0859407592824361E-4</v>
      </c>
      <c r="BY11" s="80">
        <f>IFERROR(INDEX('[2]Potencial Hor SocioDem x CeDi'!$C$2:$AF$81, MATCH($C11,'[2]Potencial Hor SocioDem x CeDi'!$B$2:$B$81,0), MATCH(BY$4,'[2]Potencial Hor SocioDem x CeDi'!$C$1:$AF$1,0)), "")</f>
        <v>7.1928991699394358E-6</v>
      </c>
      <c r="BZ11" s="79">
        <f>IFERROR(INDEX('[2]Potencial Hor SocioDem x CeDi'!$C$2:$AF$81, MATCH($C11,'[2]Potencial Hor SocioDem x CeDi'!$B$2:$B$81,0), MATCH(BZ$4,'[2]Potencial Hor SocioDem x CeDi'!$C$1:$AF$1,0)), "")</f>
        <v>2.7165155843770701</v>
      </c>
      <c r="CA11" s="79">
        <f>IFERROR(INDEX('[2]Potencial Hor SocioDem x CeDi'!$C$2:$AF$81, MATCH($C11,'[2]Potencial Hor SocioDem x CeDi'!$B$2:$B$81,0), MATCH(CA$4,'[2]Potencial Hor SocioDem x CeDi'!$C$1:$AF$1,0)), "")</f>
        <v>0.53183602052214829</v>
      </c>
      <c r="CB11" s="81">
        <f>IFERROR(INDEX('[2]Potencial Hor SocioDem x CeDi'!$C$2:$AF$81, MATCH($C11,'[2]Potencial Hor SocioDem x CeDi'!$B$2:$B$81,0), MATCH(CB$4,'[2]Potencial Hor SocioDem x CeDi'!$C$1:$AF$1,0)), "")</f>
        <v>8081</v>
      </c>
      <c r="CC11" s="82">
        <f>IFERROR(INDEX('[2]Potencial Hor SocioDem x CeDi'!$C$2:$AF$81, MATCH($C11,'[2]Potencial Hor SocioDem x CeDi'!$B$2:$B$81,0), MATCH(CC$4,'[2]Potencial Hor SocioDem x CeDi'!$C$1:$AF$1,0)), "")</f>
        <v>5609</v>
      </c>
      <c r="CD11" s="83">
        <f>IFERROR(INDEX('[2]Potencial Hor SocioDem x CeDi'!$C$2:$AF$81, MATCH($C11,'[2]Potencial Hor SocioDem x CeDi'!$B$2:$B$81,0), MATCH(CD$4,'[2]Potencial Hor SocioDem x CeDi'!$C$1:$AF$1,0)), "")</f>
        <v>0.100937573107308</v>
      </c>
      <c r="CE11" s="78" t="str">
        <f>IFERROR(_xlfn.XLOOKUP([2]!BaseMaestraCeDi[[#This Row],[CeDi]], '[2]Potencial Hor x CeDi'!$B$6:$BU$6, '[2]Potencial Hor x CeDi'!$B$50:$BU$50), "")</f>
        <v/>
      </c>
      <c r="CF11" s="90" t="str">
        <f>IFERROR(_xlfn.XLOOKUP([2]!BaseMaestraCeDi[[#This Row],[CeDi]], '[2]Potencial Hor x CeDi'!$B$6:$BU$6, '[2]Potencial Hor x CeDi'!$B$34:$BU$34), "")</f>
        <v/>
      </c>
      <c r="CG11" s="90" t="str">
        <f>IFERROR(_xlfn.XLOOKUP([2]!BaseMaestraCeDi[[#This Row],[CeDi]], '[2]Potencial Hor x CeDi'!$B$6:$BU$6, '[2]Potencial Hor x CeDi'!$B$64:$BU$64), "")</f>
        <v/>
      </c>
      <c r="CH11" s="91" t="str">
        <f>IFERROR(_xlfn.XLOOKUP([2]!BaseMaestraCeDi[[#This Row],[CeDi]], '[2]Potencial Hor x CeDi'!$B$6:$BU$6, '[2]Potencial Hor x CeDi'!$B$38:$BU$38), "")</f>
        <v/>
      </c>
      <c r="CI11" s="90" t="str">
        <f>IFERROR(_xlfn.XLOOKUP([2]!BaseMaestraCeDi[[#This Row],[CeDi]], '[2]Potencial Hor x CeDi'!$B$6:$BU$6, '[2]Potencial Hor x CeDi'!$B$26:$BU$26), "")</f>
        <v/>
      </c>
      <c r="CJ11" s="92" t="str">
        <f>IFERROR(_xlfn.XLOOKUP([2]!BaseMaestraCeDi[[#This Row],[CeDi]], '[2]Potencial Hor x CeDi'!$B$6:$BU$6, '[2]Potencial Hor x CeDi'!$B$27:$BU$27), "")</f>
        <v/>
      </c>
      <c r="CK11" s="90" t="str">
        <f>IFERROR(_xlfn.XLOOKUP([2]!BaseMaestraCeDi[[#This Row],[CeDi]], '[2]Potencial Hor x CeDi'!$B$6:$BU$6, '[2]Potencial Hor x CeDi'!$B$28:$BU$28), "")</f>
        <v/>
      </c>
      <c r="CL11" s="92" t="str">
        <f>IFERROR(_xlfn.XLOOKUP([2]!BaseMaestraCeDi[[#This Row],[CeDi]], '[2]Potencial Hor x CeDi'!$B$6:$BU$6, '[2]Potencial Hor x CeDi'!$B$29:$BU$29), "")</f>
        <v/>
      </c>
      <c r="CM11" s="93" t="str">
        <f>IFERROR(_xlfn.XLOOKUP([2]!BaseMaestraCeDi[[#This Row],[CeDi]], '[2]Potencial Hor x CeDi'!$B$6:$BU$6, '[2]Potencial Hor x CeDi'!$B$39:$BU$39), "")</f>
        <v/>
      </c>
      <c r="CN11" s="94" t="str">
        <f>IFERROR(_xlfn.XLOOKUP([2]!BaseMaestraCeDi[[#This Row],[CeDi]], '[2]Potencial Hor x CeDi'!$B$6:$BU$6, '[2]Potencial Hor x CeDi'!$B$43:$BU$43), "")</f>
        <v/>
      </c>
      <c r="CO11" s="94" t="str">
        <f>IFERROR(_xlfn.XLOOKUP([2]!BaseMaestraCeDi[[#This Row],[CeDi]], '[2]Potencial Hor x CeDi'!$B$6:$BU$6, '[2]Potencial Hor x CeDi'!$B$46:$BU$46), "")</f>
        <v/>
      </c>
      <c r="CP11" s="86" t="str">
        <f>IFERROR(_xlfn.XLOOKUP([2]!BaseMaestraCeDi[[#This Row],[CeDi]], '[2]Potencial Hor x CeDi'!$B$6:$BU$6, '[2]Potencial Hor x CeDi'!$B$51:$BU$51), "")</f>
        <v/>
      </c>
      <c r="CQ11" s="82" t="str">
        <f>IFERROR(_xlfn.XLOOKUP([2]!BaseMaestraCeDi[[#This Row],[CeDi]], '[2]Potencial Hor x CeDi'!$B$6:$BU$6, '[2]Potencial Hor x CeDi'!$B$52:$BU$52), "")</f>
        <v/>
      </c>
      <c r="CR11" s="82" t="str">
        <f>IFERROR(_xlfn.XLOOKUP([2]!BaseMaestraCeDi[[#This Row],[CeDi]], '[2]Potencial Hor x CeDi'!$B$6:$BU$6, '[2]Potencial Hor x CeDi'!$B$53:$BU$53), "")</f>
        <v/>
      </c>
      <c r="CS11" s="87" t="str">
        <f>IFERROR(_xlfn.XLOOKUP([2]!BaseMaestraCeDi[[#This Row],[CeDi]], '[2]Potencial Hor x CeDi'!$B$6:$BU$6, '[2]Potencial Hor x CeDi'!$B$60:$BU$60), "")</f>
        <v/>
      </c>
      <c r="CT11" s="90" t="str">
        <f>IFERROR(_xlfn.XLOOKUP([2]!BaseMaestraCeDi[[#This Row],[CeDi]], '[2]Potencial Hor x CeDi'!$B$6:$BU$6, '[2]Potencial Hor x CeDi'!$B$65:$BU$65), "")</f>
        <v/>
      </c>
      <c r="CU11" s="90" t="str">
        <f>IFERROR(_xlfn.XLOOKUP([2]!BaseMaestraCeDi[[#This Row],[CeDi]], '[2]Potencial Hor x CeDi'!$B$6:$BU$6, '[2]Potencial Hor x CeDi'!$B$68:$BU$68), "")</f>
        <v/>
      </c>
      <c r="CV11" s="95" t="str">
        <f>IFERROR(_xlfn.XLOOKUP([2]!BaseMaestraCeDi[[#This Row],[CeDi]], '[2]Potencial Hor x CeDi'!$B$6:$BU$6, '[2]Potencial Hor x CeDi'!$B$71:$BU$71), "")</f>
        <v/>
      </c>
    </row>
    <row r="12" spans="1:100">
      <c r="A12" s="112" t="s">
        <v>92</v>
      </c>
      <c r="B12" s="112" t="s">
        <v>168</v>
      </c>
      <c r="C12" s="112" t="s">
        <v>257</v>
      </c>
      <c r="D12" s="113">
        <v>10</v>
      </c>
      <c r="E12" s="114">
        <v>767.75935087280993</v>
      </c>
      <c r="F12" s="115">
        <v>248.89505322749403</v>
      </c>
      <c r="G12" s="115">
        <v>1016.654404100304</v>
      </c>
      <c r="H12" s="116">
        <v>3985.3088686087531</v>
      </c>
      <c r="I12" s="117">
        <v>10709.392896953446</v>
      </c>
      <c r="J12" s="117">
        <v>1083.7189260440164</v>
      </c>
      <c r="K12" s="117">
        <v>15778.420691606218</v>
      </c>
      <c r="L12" s="116">
        <v>31112.206603186733</v>
      </c>
      <c r="M12" s="118">
        <v>0.50714566449266507</v>
      </c>
      <c r="N12" s="119" t="s">
        <v>171</v>
      </c>
      <c r="O12" s="114">
        <v>41.271331070308726</v>
      </c>
      <c r="P12" s="115">
        <v>1</v>
      </c>
      <c r="Q12" s="115">
        <v>1</v>
      </c>
      <c r="R12" s="120">
        <v>12</v>
      </c>
      <c r="S12" s="119">
        <v>86</v>
      </c>
      <c r="T12" s="121">
        <v>5.0162924336396193E-2</v>
      </c>
      <c r="U12" s="118">
        <v>0.94983707566360376</v>
      </c>
      <c r="V12" s="118">
        <v>0.39376112036927041</v>
      </c>
      <c r="W12" s="118">
        <v>0.60467609287030866</v>
      </c>
      <c r="X12" s="118">
        <v>1.5627867604209524E-3</v>
      </c>
      <c r="Y12" s="116">
        <v>12250.777329231021</v>
      </c>
      <c r="Z12" s="117">
        <v>18812.80752938877</v>
      </c>
      <c r="AA12" s="117">
        <v>48.621744566941558</v>
      </c>
      <c r="AB12" s="117">
        <v>96755.658593749977</v>
      </c>
      <c r="AC12" s="113">
        <v>10</v>
      </c>
      <c r="AD12" s="122">
        <v>7</v>
      </c>
      <c r="AE12" s="113">
        <v>165136</v>
      </c>
      <c r="AF12" s="122">
        <v>96388</v>
      </c>
      <c r="AG12" s="123">
        <v>0.58368859606627266</v>
      </c>
      <c r="AH12" s="118">
        <v>0.70449135053685175</v>
      </c>
      <c r="AI12" s="113">
        <v>26034.687980960156</v>
      </c>
      <c r="AJ12" s="122">
        <v>13017.343990480078</v>
      </c>
      <c r="AK12" s="118">
        <v>0.66251661654926897</v>
      </c>
      <c r="AL12" s="116">
        <v>42495428.280000001</v>
      </c>
      <c r="AM12" s="117">
        <v>5243392.2911001276</v>
      </c>
      <c r="AN12" s="118">
        <v>0.1233872090087364</v>
      </c>
      <c r="AO12" s="116">
        <v>3684545.9342865762</v>
      </c>
      <c r="AP12" s="118">
        <v>1.6761348133295773E-2</v>
      </c>
      <c r="AQ12" s="122">
        <v>16</v>
      </c>
      <c r="AR12" s="113">
        <v>7</v>
      </c>
      <c r="AS12" s="117">
        <v>1524604.0456426605</v>
      </c>
      <c r="AT12" s="116">
        <v>5209149.9799292367</v>
      </c>
      <c r="AU12" s="113">
        <v>10</v>
      </c>
      <c r="AV12" s="122">
        <v>1</v>
      </c>
      <c r="AW12" s="122">
        <v>0</v>
      </c>
      <c r="AX12" s="122">
        <v>9</v>
      </c>
      <c r="AY12" s="123">
        <v>0.1</v>
      </c>
      <c r="AZ12" s="122">
        <v>27519.171864141899</v>
      </c>
      <c r="BA12" s="114">
        <v>41.271331070308719</v>
      </c>
      <c r="BB12" s="118">
        <v>0.57465500808572345</v>
      </c>
      <c r="BC12" s="124">
        <v>326.32586105394012</v>
      </c>
      <c r="BD12" s="74" t="s">
        <v>1130</v>
      </c>
      <c r="BE12" s="88" t="str">
        <f>IFERROR(_xlfn.XLOOKUP([2]!BaseMaestraCeDi[[#This Row],[CeDi]], '[2]Potencial Hor x CeDi'!$B$6:$BU$6, '[2]Potencial Hor x CeDi'!$B$21:$BU$21) / 1000, "")</f>
        <v/>
      </c>
      <c r="BF12" s="89" t="str">
        <f>IFERROR(_xlfn.XLOOKUP([2]!BaseMaestraCeDi[[#This Row],[CeDi]], '[2]Potencial Hor x CeDi'!$B$6:$BU$6, '[2]Potencial Hor x CeDi'!$B$22:$BU$22) / 1000, "")</f>
        <v/>
      </c>
      <c r="BG12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12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12" s="78">
        <f>IFERROR(INDEX('[2]Potencial Hor SocioDem x CeDi'!$C$2:$AF$81, MATCH($C12,'[2]Potencial Hor SocioDem x CeDi'!$B$2:$B$81,0), MATCH(BI$4,'[2]Potencial Hor SocioDem x CeDi'!$C$1:$AF$1,0)), "")</f>
        <v>6503</v>
      </c>
      <c r="BJ12" s="78">
        <f>IFERROR(INDEX('[2]Potencial Hor SocioDem x CeDi'!$C$2:$AF$81, MATCH($C12,'[2]Potencial Hor SocioDem x CeDi'!$B$2:$B$81,0), MATCH(BJ$4,'[2]Potencial Hor SocioDem x CeDi'!$C$1:$AF$1,0)), "")</f>
        <v>565786</v>
      </c>
      <c r="BK12" s="78">
        <f>IFERROR(INDEX('[2]Potencial Hor SocioDem x CeDi'!$C$2:$AF$81, MATCH($C12,'[2]Potencial Hor SocioDem x CeDi'!$B$2:$B$81,0), MATCH(BK$4,'[2]Potencial Hor SocioDem x CeDi'!$C$1:$AF$1,0)), "")</f>
        <v>154326</v>
      </c>
      <c r="BL12" s="79">
        <f>IFERROR(INDEX('[2]Potencial Hor SocioDem x CeDi'!$C$2:$AF$81, MATCH($C12,'[2]Potencial Hor SocioDem x CeDi'!$B$2:$B$81,0), MATCH(BL$4,'[2]Potencial Hor SocioDem x CeDi'!$C$1:$AF$1,0)), "")</f>
        <v>3.6661742026618982</v>
      </c>
      <c r="BM12" s="79">
        <f>IFERROR(INDEX('[2]Potencial Hor SocioDem x CeDi'!$C$2:$AF$81, MATCH($C12,'[2]Potencial Hor SocioDem x CeDi'!$B$2:$B$81,0), MATCH(BM$4,'[2]Potencial Hor SocioDem x CeDi'!$C$1:$AF$1,0)), "")</f>
        <v>23.731508534522529</v>
      </c>
      <c r="BN12" s="78">
        <f>IFERROR(INDEX('[2]Potencial Hor SocioDem x CeDi'!$C$2:$AF$81, MATCH($C12,'[2]Potencial Hor SocioDem x CeDi'!$B$2:$B$81,0), MATCH(BN$4,'[2]Potencial Hor SocioDem x CeDi'!$C$1:$AF$1,0)), "")</f>
        <v>2048</v>
      </c>
      <c r="BO12" s="78">
        <f>IFERROR(INDEX('[2]Potencial Hor SocioDem x CeDi'!$C$2:$AF$81, MATCH($C12,'[2]Potencial Hor SocioDem x CeDi'!$B$2:$B$81,0), MATCH(BO$4,'[2]Potencial Hor SocioDem x CeDi'!$C$1:$AF$1,0)), "")</f>
        <v>30574</v>
      </c>
      <c r="BP12" s="78">
        <f>IFERROR(INDEX('[2]Potencial Hor SocioDem x CeDi'!$C$2:$AF$81, MATCH($C12,'[2]Potencial Hor SocioDem x CeDi'!$B$2:$B$81,0), MATCH(BP$4,'[2]Potencial Hor SocioDem x CeDi'!$C$1:$AF$1,0)), "")</f>
        <v>32622</v>
      </c>
      <c r="BQ12" s="80">
        <f>IFERROR(INDEX('[2]Potencial Hor SocioDem x CeDi'!$C$2:$AF$81, MATCH($C12,'[2]Potencial Hor SocioDem x CeDi'!$B$2:$B$81,0), MATCH(BQ$4,'[2]Potencial Hor SocioDem x CeDi'!$C$1:$AF$1,0)), "")</f>
        <v>0.2113836942576105</v>
      </c>
      <c r="BR12" s="80">
        <f>IFERROR(INDEX('[2]Potencial Hor SocioDem x CeDi'!$C$2:$AF$81, MATCH($C12,'[2]Potencial Hor SocioDem x CeDi'!$B$2:$B$81,0), MATCH(BR$4,'[2]Potencial Hor SocioDem x CeDi'!$C$1:$AF$1,0)), "")</f>
        <v>1.327060897062063E-2</v>
      </c>
      <c r="BS12" s="80">
        <f>IFERROR(INDEX('[2]Potencial Hor SocioDem x CeDi'!$C$2:$AF$81, MATCH($C12,'[2]Potencial Hor SocioDem x CeDi'!$B$2:$B$81,0), MATCH(BS$4,'[2]Potencial Hor SocioDem x CeDi'!$C$1:$AF$1,0)), "")</f>
        <v>0.1981130852869899</v>
      </c>
      <c r="BT12" s="80">
        <f>IFERROR(INDEX('[2]Potencial Hor SocioDem x CeDi'!$C$2:$AF$81, MATCH($C12,'[2]Potencial Hor SocioDem x CeDi'!$B$2:$B$81,0), MATCH(BT$4,'[2]Potencial Hor SocioDem x CeDi'!$C$1:$AF$1,0)), "")</f>
        <v>0.21072923551443051</v>
      </c>
      <c r="BU12" s="80">
        <f>IFERROR(INDEX('[2]Potencial Hor SocioDem x CeDi'!$C$2:$AF$81, MATCH($C12,'[2]Potencial Hor SocioDem x CeDi'!$B$2:$B$81,0), MATCH(BU$4,'[2]Potencial Hor SocioDem x CeDi'!$C$1:$AF$1,0)), "")</f>
        <v>0.20655625105296579</v>
      </c>
      <c r="BV12" s="80">
        <f>IFERROR(INDEX('[2]Potencial Hor SocioDem x CeDi'!$C$2:$AF$81, MATCH($C12,'[2]Potencial Hor SocioDem x CeDi'!$B$2:$B$81,0), MATCH(BV$4,'[2]Potencial Hor SocioDem x CeDi'!$C$1:$AF$1,0)), "")</f>
        <v>2.3910423389448309E-3</v>
      </c>
      <c r="BW12" s="80">
        <f>IFERROR(INDEX('[2]Potencial Hor SocioDem x CeDi'!$C$2:$AF$81, MATCH($C12,'[2]Potencial Hor SocioDem x CeDi'!$B$2:$B$81,0), MATCH(BW$4,'[2]Potencial Hor SocioDem x CeDi'!$C$1:$AF$1,0)), "")</f>
        <v>0.36875834272902819</v>
      </c>
      <c r="BX12" s="80">
        <f>IFERROR(INDEX('[2]Potencial Hor SocioDem x CeDi'!$C$2:$AF$81, MATCH($C12,'[2]Potencial Hor SocioDem x CeDi'!$B$2:$B$81,0), MATCH(BX$4,'[2]Potencial Hor SocioDem x CeDi'!$C$1:$AF$1,0)), "")</f>
        <v>1.6847452794733231E-4</v>
      </c>
      <c r="BY12" s="80">
        <f>IFERROR(INDEX('[2]Potencial Hor SocioDem x CeDi'!$C$2:$AF$81, MATCH($C12,'[2]Potencial Hor SocioDem x CeDi'!$B$2:$B$81,0), MATCH(BY$4,'[2]Potencial Hor SocioDem x CeDi'!$C$1:$AF$1,0)), "")</f>
        <v>1.2959579072871709E-5</v>
      </c>
      <c r="BZ12" s="79">
        <f>IFERROR(INDEX('[2]Potencial Hor SocioDem x CeDi'!$C$2:$AF$81, MATCH($C12,'[2]Potencial Hor SocioDem x CeDi'!$B$2:$B$81,0), MATCH(BZ$4,'[2]Potencial Hor SocioDem x CeDi'!$C$1:$AF$1,0)), "")</f>
        <v>3.5667195724178402</v>
      </c>
      <c r="CA12" s="79">
        <f>IFERROR(INDEX('[2]Potencial Hor SocioDem x CeDi'!$C$2:$AF$81, MATCH($C12,'[2]Potencial Hor SocioDem x CeDi'!$B$2:$B$81,0), MATCH(CA$4,'[2]Potencial Hor SocioDem x CeDi'!$C$1:$AF$1,0)), "")</f>
        <v>0.4595377050687009</v>
      </c>
      <c r="CB12" s="81">
        <f>IFERROR(INDEX('[2]Potencial Hor SocioDem x CeDi'!$C$2:$AF$81, MATCH($C12,'[2]Potencial Hor SocioDem x CeDi'!$B$2:$B$81,0), MATCH(CB$4,'[2]Potencial Hor SocioDem x CeDi'!$C$1:$AF$1,0)), "")</f>
        <v>1179</v>
      </c>
      <c r="CC12" s="82">
        <f>IFERROR(INDEX('[2]Potencial Hor SocioDem x CeDi'!$C$2:$AF$81, MATCH($C12,'[2]Potencial Hor SocioDem x CeDi'!$B$2:$B$81,0), MATCH(CC$4,'[2]Potencial Hor SocioDem x CeDi'!$C$1:$AF$1,0)), "")</f>
        <v>572</v>
      </c>
      <c r="CD12" s="83">
        <f>IFERROR(INDEX('[2]Potencial Hor SocioDem x CeDi'!$C$2:$AF$81, MATCH($C12,'[2]Potencial Hor SocioDem x CeDi'!$B$2:$B$81,0), MATCH(CD$4,'[2]Potencial Hor SocioDem x CeDi'!$C$1:$AF$1,0)), "")</f>
        <v>1.753417938814297E-2</v>
      </c>
      <c r="CE12" s="78" t="str">
        <f>IFERROR(_xlfn.XLOOKUP([2]!BaseMaestraCeDi[[#This Row],[CeDi]], '[2]Potencial Hor x CeDi'!$B$6:$BU$6, '[2]Potencial Hor x CeDi'!$B$50:$BU$50), "")</f>
        <v/>
      </c>
      <c r="CF12" s="90" t="str">
        <f>IFERROR(_xlfn.XLOOKUP([2]!BaseMaestraCeDi[[#This Row],[CeDi]], '[2]Potencial Hor x CeDi'!$B$6:$BU$6, '[2]Potencial Hor x CeDi'!$B$34:$BU$34), "")</f>
        <v/>
      </c>
      <c r="CG12" s="90" t="str">
        <f>IFERROR(_xlfn.XLOOKUP([2]!BaseMaestraCeDi[[#This Row],[CeDi]], '[2]Potencial Hor x CeDi'!$B$6:$BU$6, '[2]Potencial Hor x CeDi'!$B$64:$BU$64), "")</f>
        <v/>
      </c>
      <c r="CH12" s="91" t="str">
        <f>IFERROR(_xlfn.XLOOKUP([2]!BaseMaestraCeDi[[#This Row],[CeDi]], '[2]Potencial Hor x CeDi'!$B$6:$BU$6, '[2]Potencial Hor x CeDi'!$B$38:$BU$38), "")</f>
        <v/>
      </c>
      <c r="CI12" s="90" t="str">
        <f>IFERROR(_xlfn.XLOOKUP([2]!BaseMaestraCeDi[[#This Row],[CeDi]], '[2]Potencial Hor x CeDi'!$B$6:$BU$6, '[2]Potencial Hor x CeDi'!$B$26:$BU$26), "")</f>
        <v/>
      </c>
      <c r="CJ12" s="92" t="str">
        <f>IFERROR(_xlfn.XLOOKUP([2]!BaseMaestraCeDi[[#This Row],[CeDi]], '[2]Potencial Hor x CeDi'!$B$6:$BU$6, '[2]Potencial Hor x CeDi'!$B$27:$BU$27), "")</f>
        <v/>
      </c>
      <c r="CK12" s="90" t="str">
        <f>IFERROR(_xlfn.XLOOKUP([2]!BaseMaestraCeDi[[#This Row],[CeDi]], '[2]Potencial Hor x CeDi'!$B$6:$BU$6, '[2]Potencial Hor x CeDi'!$B$28:$BU$28), "")</f>
        <v/>
      </c>
      <c r="CL12" s="92" t="str">
        <f>IFERROR(_xlfn.XLOOKUP([2]!BaseMaestraCeDi[[#This Row],[CeDi]], '[2]Potencial Hor x CeDi'!$B$6:$BU$6, '[2]Potencial Hor x CeDi'!$B$29:$BU$29), "")</f>
        <v/>
      </c>
      <c r="CM12" s="93" t="str">
        <f>IFERROR(_xlfn.XLOOKUP([2]!BaseMaestraCeDi[[#This Row],[CeDi]], '[2]Potencial Hor x CeDi'!$B$6:$BU$6, '[2]Potencial Hor x CeDi'!$B$39:$BU$39), "")</f>
        <v/>
      </c>
      <c r="CN12" s="94" t="str">
        <f>IFERROR(_xlfn.XLOOKUP([2]!BaseMaestraCeDi[[#This Row],[CeDi]], '[2]Potencial Hor x CeDi'!$B$6:$BU$6, '[2]Potencial Hor x CeDi'!$B$43:$BU$43), "")</f>
        <v/>
      </c>
      <c r="CO12" s="94" t="str">
        <f>IFERROR(_xlfn.XLOOKUP([2]!BaseMaestraCeDi[[#This Row],[CeDi]], '[2]Potencial Hor x CeDi'!$B$6:$BU$6, '[2]Potencial Hor x CeDi'!$B$46:$BU$46), "")</f>
        <v/>
      </c>
      <c r="CP12" s="86" t="str">
        <f>IFERROR(_xlfn.XLOOKUP([2]!BaseMaestraCeDi[[#This Row],[CeDi]], '[2]Potencial Hor x CeDi'!$B$6:$BU$6, '[2]Potencial Hor x CeDi'!$B$51:$BU$51), "")</f>
        <v/>
      </c>
      <c r="CQ12" s="82" t="str">
        <f>IFERROR(_xlfn.XLOOKUP([2]!BaseMaestraCeDi[[#This Row],[CeDi]], '[2]Potencial Hor x CeDi'!$B$6:$BU$6, '[2]Potencial Hor x CeDi'!$B$52:$BU$52), "")</f>
        <v/>
      </c>
      <c r="CR12" s="82" t="str">
        <f>IFERROR(_xlfn.XLOOKUP([2]!BaseMaestraCeDi[[#This Row],[CeDi]], '[2]Potencial Hor x CeDi'!$B$6:$BU$6, '[2]Potencial Hor x CeDi'!$B$53:$BU$53), "")</f>
        <v/>
      </c>
      <c r="CS12" s="87" t="str">
        <f>IFERROR(_xlfn.XLOOKUP([2]!BaseMaestraCeDi[[#This Row],[CeDi]], '[2]Potencial Hor x CeDi'!$B$6:$BU$6, '[2]Potencial Hor x CeDi'!$B$60:$BU$60), "")</f>
        <v/>
      </c>
      <c r="CT12" s="90" t="str">
        <f>IFERROR(_xlfn.XLOOKUP([2]!BaseMaestraCeDi[[#This Row],[CeDi]], '[2]Potencial Hor x CeDi'!$B$6:$BU$6, '[2]Potencial Hor x CeDi'!$B$65:$BU$65), "")</f>
        <v/>
      </c>
      <c r="CU12" s="90" t="str">
        <f>IFERROR(_xlfn.XLOOKUP([2]!BaseMaestraCeDi[[#This Row],[CeDi]], '[2]Potencial Hor x CeDi'!$B$6:$BU$6, '[2]Potencial Hor x CeDi'!$B$68:$BU$68), "")</f>
        <v/>
      </c>
      <c r="CV12" s="95" t="str">
        <f>IFERROR(_xlfn.XLOOKUP([2]!BaseMaestraCeDi[[#This Row],[CeDi]], '[2]Potencial Hor x CeDi'!$B$6:$BU$6, '[2]Potencial Hor x CeDi'!$B$71:$BU$71), "")</f>
        <v/>
      </c>
    </row>
    <row r="13" spans="1:100">
      <c r="A13" s="100" t="s">
        <v>92</v>
      </c>
      <c r="B13" s="100" t="s">
        <v>168</v>
      </c>
      <c r="C13" s="100" t="s">
        <v>268</v>
      </c>
      <c r="D13" s="101">
        <v>1</v>
      </c>
      <c r="E13" s="102">
        <v>12.283026825249145</v>
      </c>
      <c r="F13" s="103">
        <v>3.9819568618599455</v>
      </c>
      <c r="G13" s="103">
        <v>16.26498368710909</v>
      </c>
      <c r="H13" s="104">
        <v>63.759113691516809</v>
      </c>
      <c r="I13" s="105">
        <v>1062.5809051350675</v>
      </c>
      <c r="J13" s="105">
        <v>108.37189260440164</v>
      </c>
      <c r="K13" s="105">
        <v>1234.711911430986</v>
      </c>
      <c r="L13" s="104">
        <v>1585.5427901842493</v>
      </c>
      <c r="M13" s="106">
        <v>0.77873137141098869</v>
      </c>
      <c r="N13" s="107" t="s">
        <v>160</v>
      </c>
      <c r="O13" s="102">
        <v>24.722222222222221</v>
      </c>
      <c r="P13" s="103">
        <v>1</v>
      </c>
      <c r="Q13" s="103">
        <v>1</v>
      </c>
      <c r="R13" s="108">
        <v>1</v>
      </c>
      <c r="S13" s="107">
        <v>8</v>
      </c>
      <c r="T13" s="125">
        <v>1</v>
      </c>
      <c r="U13" s="106">
        <v>0</v>
      </c>
      <c r="V13" s="106">
        <v>4.5674012384411107E-2</v>
      </c>
      <c r="W13" s="106">
        <v>0.95432598761558884</v>
      </c>
      <c r="X13" s="106">
        <v>0</v>
      </c>
      <c r="Y13" s="104">
        <v>72.418101034889148</v>
      </c>
      <c r="Z13" s="105">
        <v>1513.1246891493599</v>
      </c>
      <c r="AA13" s="105">
        <v>0</v>
      </c>
      <c r="AB13" s="105">
        <v>65741.25</v>
      </c>
      <c r="AC13" s="101">
        <v>1</v>
      </c>
      <c r="AD13" s="109">
        <v>0</v>
      </c>
      <c r="AE13" s="101">
        <v>10680</v>
      </c>
      <c r="AF13" s="109">
        <v>3239</v>
      </c>
      <c r="AG13" s="110">
        <v>0.30327715355805246</v>
      </c>
      <c r="AH13" s="106">
        <v>0.30327715355805246</v>
      </c>
      <c r="AI13" s="101">
        <v>0</v>
      </c>
      <c r="AJ13" s="109">
        <v>0</v>
      </c>
      <c r="AK13" s="106">
        <v>0.30327715355805246</v>
      </c>
      <c r="AL13" s="104">
        <v>2060559.4499999995</v>
      </c>
      <c r="AM13" s="105">
        <v>0</v>
      </c>
      <c r="AN13" s="106">
        <v>0</v>
      </c>
      <c r="AO13" s="104">
        <v>0</v>
      </c>
      <c r="AP13" s="106">
        <v>0</v>
      </c>
      <c r="AQ13" s="109" t="s">
        <v>194</v>
      </c>
      <c r="AR13" s="101">
        <v>0</v>
      </c>
      <c r="AS13" s="105">
        <v>0</v>
      </c>
      <c r="AT13" s="104">
        <v>0</v>
      </c>
      <c r="AU13" s="101">
        <v>1</v>
      </c>
      <c r="AV13" s="109">
        <v>0</v>
      </c>
      <c r="AW13" s="109">
        <v>0</v>
      </c>
      <c r="AX13" s="109">
        <v>1</v>
      </c>
      <c r="AY13" s="110">
        <v>0</v>
      </c>
      <c r="AZ13" s="109">
        <v>0</v>
      </c>
      <c r="BA13" s="102">
        <v>24.7222222222222</v>
      </c>
      <c r="BB13" s="106">
        <v>0.30327715355805301</v>
      </c>
      <c r="BC13" s="111">
        <v>50.610581252314802</v>
      </c>
      <c r="BD13" s="74" t="s">
        <v>1131</v>
      </c>
      <c r="BE13" s="88" t="str">
        <f>IFERROR(_xlfn.XLOOKUP([2]!BaseMaestraCeDi[[#This Row],[CeDi]], '[2]Potencial Hor x CeDi'!$B$6:$BU$6, '[2]Potencial Hor x CeDi'!$B$21:$BU$21) / 1000, "")</f>
        <v/>
      </c>
      <c r="BF13" s="89" t="str">
        <f>IFERROR(_xlfn.XLOOKUP([2]!BaseMaestraCeDi[[#This Row],[CeDi]], '[2]Potencial Hor x CeDi'!$B$6:$BU$6, '[2]Potencial Hor x CeDi'!$B$22:$BU$22) / 1000, "")</f>
        <v/>
      </c>
      <c r="BG13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13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13" s="78" t="str">
        <f>IFERROR(INDEX('[2]Potencial Hor SocioDem x CeDi'!$C$2:$AF$81, MATCH($C13,'[2]Potencial Hor SocioDem x CeDi'!$B$2:$B$81,0), MATCH(BI$4,'[2]Potencial Hor SocioDem x CeDi'!$C$1:$AF$1,0)), "")</f>
        <v/>
      </c>
      <c r="BJ13" s="78" t="str">
        <f>IFERROR(INDEX('[2]Potencial Hor SocioDem x CeDi'!$C$2:$AF$81, MATCH($C13,'[2]Potencial Hor SocioDem x CeDi'!$B$2:$B$81,0), MATCH(BJ$4,'[2]Potencial Hor SocioDem x CeDi'!$C$1:$AF$1,0)), "")</f>
        <v/>
      </c>
      <c r="BK13" s="78" t="str">
        <f>IFERROR(INDEX('[2]Potencial Hor SocioDem x CeDi'!$C$2:$AF$81, MATCH($C13,'[2]Potencial Hor SocioDem x CeDi'!$B$2:$B$81,0), MATCH(BK$4,'[2]Potencial Hor SocioDem x CeDi'!$C$1:$AF$1,0)), "")</f>
        <v/>
      </c>
      <c r="BL13" s="79" t="str">
        <f>IFERROR(INDEX('[2]Potencial Hor SocioDem x CeDi'!$C$2:$AF$81, MATCH($C13,'[2]Potencial Hor SocioDem x CeDi'!$B$2:$B$81,0), MATCH(BL$4,'[2]Potencial Hor SocioDem x CeDi'!$C$1:$AF$1,0)), "")</f>
        <v/>
      </c>
      <c r="BM13" s="79" t="str">
        <f>IFERROR(INDEX('[2]Potencial Hor SocioDem x CeDi'!$C$2:$AF$81, MATCH($C13,'[2]Potencial Hor SocioDem x CeDi'!$B$2:$B$81,0), MATCH(BM$4,'[2]Potencial Hor SocioDem x CeDi'!$C$1:$AF$1,0)), "")</f>
        <v/>
      </c>
      <c r="BN13" s="78" t="str">
        <f>IFERROR(INDEX('[2]Potencial Hor SocioDem x CeDi'!$C$2:$AF$81, MATCH($C13,'[2]Potencial Hor SocioDem x CeDi'!$B$2:$B$81,0), MATCH(BN$4,'[2]Potencial Hor SocioDem x CeDi'!$C$1:$AF$1,0)), "")</f>
        <v/>
      </c>
      <c r="BO13" s="78" t="str">
        <f>IFERROR(INDEX('[2]Potencial Hor SocioDem x CeDi'!$C$2:$AF$81, MATCH($C13,'[2]Potencial Hor SocioDem x CeDi'!$B$2:$B$81,0), MATCH(BO$4,'[2]Potencial Hor SocioDem x CeDi'!$C$1:$AF$1,0)), "")</f>
        <v/>
      </c>
      <c r="BP13" s="78" t="str">
        <f>IFERROR(INDEX('[2]Potencial Hor SocioDem x CeDi'!$C$2:$AF$81, MATCH($C13,'[2]Potencial Hor SocioDem x CeDi'!$B$2:$B$81,0), MATCH(BP$4,'[2]Potencial Hor SocioDem x CeDi'!$C$1:$AF$1,0)), "")</f>
        <v/>
      </c>
      <c r="BQ13" s="80" t="str">
        <f>IFERROR(INDEX('[2]Potencial Hor SocioDem x CeDi'!$C$2:$AF$81, MATCH($C13,'[2]Potencial Hor SocioDem x CeDi'!$B$2:$B$81,0), MATCH(BQ$4,'[2]Potencial Hor SocioDem x CeDi'!$C$1:$AF$1,0)), "")</f>
        <v/>
      </c>
      <c r="BR13" s="80" t="str">
        <f>IFERROR(INDEX('[2]Potencial Hor SocioDem x CeDi'!$C$2:$AF$81, MATCH($C13,'[2]Potencial Hor SocioDem x CeDi'!$B$2:$B$81,0), MATCH(BR$4,'[2]Potencial Hor SocioDem x CeDi'!$C$1:$AF$1,0)), "")</f>
        <v/>
      </c>
      <c r="BS13" s="80" t="str">
        <f>IFERROR(INDEX('[2]Potencial Hor SocioDem x CeDi'!$C$2:$AF$81, MATCH($C13,'[2]Potencial Hor SocioDem x CeDi'!$B$2:$B$81,0), MATCH(BS$4,'[2]Potencial Hor SocioDem x CeDi'!$C$1:$AF$1,0)), "")</f>
        <v/>
      </c>
      <c r="BT13" s="80" t="str">
        <f>IFERROR(INDEX('[2]Potencial Hor SocioDem x CeDi'!$C$2:$AF$81, MATCH($C13,'[2]Potencial Hor SocioDem x CeDi'!$B$2:$B$81,0), MATCH(BT$4,'[2]Potencial Hor SocioDem x CeDi'!$C$1:$AF$1,0)), "")</f>
        <v/>
      </c>
      <c r="BU13" s="80" t="str">
        <f>IFERROR(INDEX('[2]Potencial Hor SocioDem x CeDi'!$C$2:$AF$81, MATCH($C13,'[2]Potencial Hor SocioDem x CeDi'!$B$2:$B$81,0), MATCH(BU$4,'[2]Potencial Hor SocioDem x CeDi'!$C$1:$AF$1,0)), "")</f>
        <v/>
      </c>
      <c r="BV13" s="80" t="str">
        <f>IFERROR(INDEX('[2]Potencial Hor SocioDem x CeDi'!$C$2:$AF$81, MATCH($C13,'[2]Potencial Hor SocioDem x CeDi'!$B$2:$B$81,0), MATCH(BV$4,'[2]Potencial Hor SocioDem x CeDi'!$C$1:$AF$1,0)), "")</f>
        <v/>
      </c>
      <c r="BW13" s="80" t="str">
        <f>IFERROR(INDEX('[2]Potencial Hor SocioDem x CeDi'!$C$2:$AF$81, MATCH($C13,'[2]Potencial Hor SocioDem x CeDi'!$B$2:$B$81,0), MATCH(BW$4,'[2]Potencial Hor SocioDem x CeDi'!$C$1:$AF$1,0)), "")</f>
        <v/>
      </c>
      <c r="BX13" s="80" t="str">
        <f>IFERROR(INDEX('[2]Potencial Hor SocioDem x CeDi'!$C$2:$AF$81, MATCH($C13,'[2]Potencial Hor SocioDem x CeDi'!$B$2:$B$81,0), MATCH(BX$4,'[2]Potencial Hor SocioDem x CeDi'!$C$1:$AF$1,0)), "")</f>
        <v/>
      </c>
      <c r="BY13" s="80" t="str">
        <f>IFERROR(INDEX('[2]Potencial Hor SocioDem x CeDi'!$C$2:$AF$81, MATCH($C13,'[2]Potencial Hor SocioDem x CeDi'!$B$2:$B$81,0), MATCH(BY$4,'[2]Potencial Hor SocioDem x CeDi'!$C$1:$AF$1,0)), "")</f>
        <v/>
      </c>
      <c r="BZ13" s="79" t="str">
        <f>IFERROR(INDEX('[2]Potencial Hor SocioDem x CeDi'!$C$2:$AF$81, MATCH($C13,'[2]Potencial Hor SocioDem x CeDi'!$B$2:$B$81,0), MATCH(BZ$4,'[2]Potencial Hor SocioDem x CeDi'!$C$1:$AF$1,0)), "")</f>
        <v/>
      </c>
      <c r="CA13" s="79" t="str">
        <f>IFERROR(INDEX('[2]Potencial Hor SocioDem x CeDi'!$C$2:$AF$81, MATCH($C13,'[2]Potencial Hor SocioDem x CeDi'!$B$2:$B$81,0), MATCH(CA$4,'[2]Potencial Hor SocioDem x CeDi'!$C$1:$AF$1,0)), "")</f>
        <v/>
      </c>
      <c r="CB13" s="81" t="str">
        <f>IFERROR(INDEX('[2]Potencial Hor SocioDem x CeDi'!$C$2:$AF$81, MATCH($C13,'[2]Potencial Hor SocioDem x CeDi'!$B$2:$B$81,0), MATCH(CB$4,'[2]Potencial Hor SocioDem x CeDi'!$C$1:$AF$1,0)), "")</f>
        <v/>
      </c>
      <c r="CC13" s="82" t="str">
        <f>IFERROR(INDEX('[2]Potencial Hor SocioDem x CeDi'!$C$2:$AF$81, MATCH($C13,'[2]Potencial Hor SocioDem x CeDi'!$B$2:$B$81,0), MATCH(CC$4,'[2]Potencial Hor SocioDem x CeDi'!$C$1:$AF$1,0)), "")</f>
        <v/>
      </c>
      <c r="CD13" s="83" t="str">
        <f>IFERROR(INDEX('[2]Potencial Hor SocioDem x CeDi'!$C$2:$AF$81, MATCH($C13,'[2]Potencial Hor SocioDem x CeDi'!$B$2:$B$81,0), MATCH(CD$4,'[2]Potencial Hor SocioDem x CeDi'!$C$1:$AF$1,0)), "")</f>
        <v/>
      </c>
      <c r="CE13" s="78" t="str">
        <f>IFERROR(_xlfn.XLOOKUP([2]!BaseMaestraCeDi[[#This Row],[CeDi]], '[2]Potencial Hor x CeDi'!$B$6:$BU$6, '[2]Potencial Hor x CeDi'!$B$50:$BU$50), "")</f>
        <v/>
      </c>
      <c r="CF13" s="90" t="str">
        <f>IFERROR(_xlfn.XLOOKUP([2]!BaseMaestraCeDi[[#This Row],[CeDi]], '[2]Potencial Hor x CeDi'!$B$6:$BU$6, '[2]Potencial Hor x CeDi'!$B$34:$BU$34), "")</f>
        <v/>
      </c>
      <c r="CG13" s="90" t="str">
        <f>IFERROR(_xlfn.XLOOKUP([2]!BaseMaestraCeDi[[#This Row],[CeDi]], '[2]Potencial Hor x CeDi'!$B$6:$BU$6, '[2]Potencial Hor x CeDi'!$B$64:$BU$64), "")</f>
        <v/>
      </c>
      <c r="CH13" s="91" t="str">
        <f>IFERROR(_xlfn.XLOOKUP([2]!BaseMaestraCeDi[[#This Row],[CeDi]], '[2]Potencial Hor x CeDi'!$B$6:$BU$6, '[2]Potencial Hor x CeDi'!$B$38:$BU$38), "")</f>
        <v/>
      </c>
      <c r="CI13" s="90" t="str">
        <f>IFERROR(_xlfn.XLOOKUP([2]!BaseMaestraCeDi[[#This Row],[CeDi]], '[2]Potencial Hor x CeDi'!$B$6:$BU$6, '[2]Potencial Hor x CeDi'!$B$26:$BU$26), "")</f>
        <v/>
      </c>
      <c r="CJ13" s="92" t="str">
        <f>IFERROR(_xlfn.XLOOKUP([2]!BaseMaestraCeDi[[#This Row],[CeDi]], '[2]Potencial Hor x CeDi'!$B$6:$BU$6, '[2]Potencial Hor x CeDi'!$B$27:$BU$27), "")</f>
        <v/>
      </c>
      <c r="CK13" s="90" t="str">
        <f>IFERROR(_xlfn.XLOOKUP([2]!BaseMaestraCeDi[[#This Row],[CeDi]], '[2]Potencial Hor x CeDi'!$B$6:$BU$6, '[2]Potencial Hor x CeDi'!$B$28:$BU$28), "")</f>
        <v/>
      </c>
      <c r="CL13" s="92" t="str">
        <f>IFERROR(_xlfn.XLOOKUP([2]!BaseMaestraCeDi[[#This Row],[CeDi]], '[2]Potencial Hor x CeDi'!$B$6:$BU$6, '[2]Potencial Hor x CeDi'!$B$29:$BU$29), "")</f>
        <v/>
      </c>
      <c r="CM13" s="93" t="str">
        <f>IFERROR(_xlfn.XLOOKUP([2]!BaseMaestraCeDi[[#This Row],[CeDi]], '[2]Potencial Hor x CeDi'!$B$6:$BU$6, '[2]Potencial Hor x CeDi'!$B$39:$BU$39), "")</f>
        <v/>
      </c>
      <c r="CN13" s="94" t="str">
        <f>IFERROR(_xlfn.XLOOKUP([2]!BaseMaestraCeDi[[#This Row],[CeDi]], '[2]Potencial Hor x CeDi'!$B$6:$BU$6, '[2]Potencial Hor x CeDi'!$B$43:$BU$43), "")</f>
        <v/>
      </c>
      <c r="CO13" s="94" t="str">
        <f>IFERROR(_xlfn.XLOOKUP([2]!BaseMaestraCeDi[[#This Row],[CeDi]], '[2]Potencial Hor x CeDi'!$B$6:$BU$6, '[2]Potencial Hor x CeDi'!$B$46:$BU$46), "")</f>
        <v/>
      </c>
      <c r="CP13" s="86" t="str">
        <f>IFERROR(_xlfn.XLOOKUP([2]!BaseMaestraCeDi[[#This Row],[CeDi]], '[2]Potencial Hor x CeDi'!$B$6:$BU$6, '[2]Potencial Hor x CeDi'!$B$51:$BU$51), "")</f>
        <v/>
      </c>
      <c r="CQ13" s="82" t="str">
        <f>IFERROR(_xlfn.XLOOKUP([2]!BaseMaestraCeDi[[#This Row],[CeDi]], '[2]Potencial Hor x CeDi'!$B$6:$BU$6, '[2]Potencial Hor x CeDi'!$B$52:$BU$52), "")</f>
        <v/>
      </c>
      <c r="CR13" s="82" t="str">
        <f>IFERROR(_xlfn.XLOOKUP([2]!BaseMaestraCeDi[[#This Row],[CeDi]], '[2]Potencial Hor x CeDi'!$B$6:$BU$6, '[2]Potencial Hor x CeDi'!$B$53:$BU$53), "")</f>
        <v/>
      </c>
      <c r="CS13" s="87" t="str">
        <f>IFERROR(_xlfn.XLOOKUP([2]!BaseMaestraCeDi[[#This Row],[CeDi]], '[2]Potencial Hor x CeDi'!$B$6:$BU$6, '[2]Potencial Hor x CeDi'!$B$60:$BU$60), "")</f>
        <v/>
      </c>
      <c r="CT13" s="90" t="str">
        <f>IFERROR(_xlfn.XLOOKUP([2]!BaseMaestraCeDi[[#This Row],[CeDi]], '[2]Potencial Hor x CeDi'!$B$6:$BU$6, '[2]Potencial Hor x CeDi'!$B$65:$BU$65), "")</f>
        <v/>
      </c>
      <c r="CU13" s="90" t="str">
        <f>IFERROR(_xlfn.XLOOKUP([2]!BaseMaestraCeDi[[#This Row],[CeDi]], '[2]Potencial Hor x CeDi'!$B$6:$BU$6, '[2]Potencial Hor x CeDi'!$B$68:$BU$68), "")</f>
        <v/>
      </c>
      <c r="CV13" s="95" t="str">
        <f>IFERROR(_xlfn.XLOOKUP([2]!BaseMaestraCeDi[[#This Row],[CeDi]], '[2]Potencial Hor x CeDi'!$B$6:$BU$6, '[2]Potencial Hor x CeDi'!$B$71:$BU$71), "")</f>
        <v/>
      </c>
    </row>
    <row r="14" spans="1:100">
      <c r="A14" s="112" t="s">
        <v>92</v>
      </c>
      <c r="B14" s="112" t="s">
        <v>270</v>
      </c>
      <c r="C14" s="112" t="s">
        <v>271</v>
      </c>
      <c r="D14" s="113">
        <v>1</v>
      </c>
      <c r="E14" s="114">
        <v>147.58640426307232</v>
      </c>
      <c r="F14" s="115">
        <v>14.93048208855398</v>
      </c>
      <c r="G14" s="115">
        <v>162.51688635162631</v>
      </c>
      <c r="H14" s="116">
        <v>341.45599486119045</v>
      </c>
      <c r="I14" s="117">
        <v>1212.3699808202864</v>
      </c>
      <c r="J14" s="117">
        <v>141.84187403893168</v>
      </c>
      <c r="K14" s="117">
        <v>1695.6678497204084</v>
      </c>
      <c r="L14" s="116">
        <v>4082.7295063475231</v>
      </c>
      <c r="M14" s="118">
        <v>0.41532701274578948</v>
      </c>
      <c r="N14" s="119" t="s">
        <v>151</v>
      </c>
      <c r="O14" s="114">
        <v>58.890109890109891</v>
      </c>
      <c r="P14" s="115">
        <v>1</v>
      </c>
      <c r="Q14" s="115">
        <v>1</v>
      </c>
      <c r="R14" s="120">
        <v>1</v>
      </c>
      <c r="S14" s="119">
        <v>8</v>
      </c>
      <c r="T14" s="121">
        <v>1</v>
      </c>
      <c r="U14" s="118">
        <v>0</v>
      </c>
      <c r="V14" s="118">
        <v>0.54032172258032041</v>
      </c>
      <c r="W14" s="118">
        <v>0.45967827741967965</v>
      </c>
      <c r="X14" s="118">
        <v>0</v>
      </c>
      <c r="Y14" s="116">
        <v>2205.987439699195</v>
      </c>
      <c r="Z14" s="117">
        <v>1876.7420666483285</v>
      </c>
      <c r="AA14" s="117">
        <v>0</v>
      </c>
      <c r="AB14" s="117">
        <v>160557.58333333334</v>
      </c>
      <c r="AC14" s="113">
        <v>1</v>
      </c>
      <c r="AD14" s="122">
        <v>0</v>
      </c>
      <c r="AE14" s="113">
        <v>26795</v>
      </c>
      <c r="AF14" s="122">
        <v>11274</v>
      </c>
      <c r="AG14" s="123">
        <v>0.42075013995148347</v>
      </c>
      <c r="AH14" s="118">
        <v>0.42075013995148347</v>
      </c>
      <c r="AI14" s="113">
        <v>0</v>
      </c>
      <c r="AJ14" s="122">
        <v>0</v>
      </c>
      <c r="AK14" s="118">
        <v>0.42075013995148347</v>
      </c>
      <c r="AL14" s="116">
        <v>5435475.669999999</v>
      </c>
      <c r="AM14" s="117">
        <v>0</v>
      </c>
      <c r="AN14" s="118">
        <v>0</v>
      </c>
      <c r="AO14" s="116">
        <v>0</v>
      </c>
      <c r="AP14" s="118">
        <v>0</v>
      </c>
      <c r="AQ14" s="122" t="s">
        <v>194</v>
      </c>
      <c r="AR14" s="113">
        <v>0</v>
      </c>
      <c r="AS14" s="117">
        <v>0</v>
      </c>
      <c r="AT14" s="116">
        <v>0</v>
      </c>
      <c r="AU14" s="113">
        <v>1</v>
      </c>
      <c r="AV14" s="122">
        <v>1</v>
      </c>
      <c r="AW14" s="122">
        <v>0</v>
      </c>
      <c r="AX14" s="122">
        <v>0</v>
      </c>
      <c r="AY14" s="123">
        <v>1</v>
      </c>
      <c r="AZ14" s="122">
        <v>0</v>
      </c>
      <c r="BA14" s="114">
        <v>58.890109890109898</v>
      </c>
      <c r="BB14" s="118">
        <v>0.42075013995148403</v>
      </c>
      <c r="BC14" s="124">
        <v>473.46692146593199</v>
      </c>
      <c r="BD14" s="74" t="s">
        <v>1132</v>
      </c>
      <c r="BE14" s="88" t="str">
        <f>IFERROR(_xlfn.XLOOKUP([2]!BaseMaestraCeDi[[#This Row],[CeDi]], '[2]Potencial Hor x CeDi'!$B$6:$BU$6, '[2]Potencial Hor x CeDi'!$B$21:$BU$21) / 1000, "")</f>
        <v/>
      </c>
      <c r="BF14" s="89" t="str">
        <f>IFERROR(_xlfn.XLOOKUP([2]!BaseMaestraCeDi[[#This Row],[CeDi]], '[2]Potencial Hor x CeDi'!$B$6:$BU$6, '[2]Potencial Hor x CeDi'!$B$22:$BU$22) / 1000, "")</f>
        <v/>
      </c>
      <c r="BG14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14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14" s="78" t="str">
        <f>IFERROR(INDEX('[2]Potencial Hor SocioDem x CeDi'!$C$2:$AF$81, MATCH($C14,'[2]Potencial Hor SocioDem x CeDi'!$B$2:$B$81,0), MATCH(BI$4,'[2]Potencial Hor SocioDem x CeDi'!$C$1:$AF$1,0)), "")</f>
        <v/>
      </c>
      <c r="BJ14" s="78" t="str">
        <f>IFERROR(INDEX('[2]Potencial Hor SocioDem x CeDi'!$C$2:$AF$81, MATCH($C14,'[2]Potencial Hor SocioDem x CeDi'!$B$2:$B$81,0), MATCH(BJ$4,'[2]Potencial Hor SocioDem x CeDi'!$C$1:$AF$1,0)), "")</f>
        <v/>
      </c>
      <c r="BK14" s="78" t="str">
        <f>IFERROR(INDEX('[2]Potencial Hor SocioDem x CeDi'!$C$2:$AF$81, MATCH($C14,'[2]Potencial Hor SocioDem x CeDi'!$B$2:$B$81,0), MATCH(BK$4,'[2]Potencial Hor SocioDem x CeDi'!$C$1:$AF$1,0)), "")</f>
        <v/>
      </c>
      <c r="BL14" s="79" t="str">
        <f>IFERROR(INDEX('[2]Potencial Hor SocioDem x CeDi'!$C$2:$AF$81, MATCH($C14,'[2]Potencial Hor SocioDem x CeDi'!$B$2:$B$81,0), MATCH(BL$4,'[2]Potencial Hor SocioDem x CeDi'!$C$1:$AF$1,0)), "")</f>
        <v/>
      </c>
      <c r="BM14" s="79" t="str">
        <f>IFERROR(INDEX('[2]Potencial Hor SocioDem x CeDi'!$C$2:$AF$81, MATCH($C14,'[2]Potencial Hor SocioDem x CeDi'!$B$2:$B$81,0), MATCH(BM$4,'[2]Potencial Hor SocioDem x CeDi'!$C$1:$AF$1,0)), "")</f>
        <v/>
      </c>
      <c r="BN14" s="78" t="str">
        <f>IFERROR(INDEX('[2]Potencial Hor SocioDem x CeDi'!$C$2:$AF$81, MATCH($C14,'[2]Potencial Hor SocioDem x CeDi'!$B$2:$B$81,0), MATCH(BN$4,'[2]Potencial Hor SocioDem x CeDi'!$C$1:$AF$1,0)), "")</f>
        <v/>
      </c>
      <c r="BO14" s="78" t="str">
        <f>IFERROR(INDEX('[2]Potencial Hor SocioDem x CeDi'!$C$2:$AF$81, MATCH($C14,'[2]Potencial Hor SocioDem x CeDi'!$B$2:$B$81,0), MATCH(BO$4,'[2]Potencial Hor SocioDem x CeDi'!$C$1:$AF$1,0)), "")</f>
        <v/>
      </c>
      <c r="BP14" s="78" t="str">
        <f>IFERROR(INDEX('[2]Potencial Hor SocioDem x CeDi'!$C$2:$AF$81, MATCH($C14,'[2]Potencial Hor SocioDem x CeDi'!$B$2:$B$81,0), MATCH(BP$4,'[2]Potencial Hor SocioDem x CeDi'!$C$1:$AF$1,0)), "")</f>
        <v/>
      </c>
      <c r="BQ14" s="80" t="str">
        <f>IFERROR(INDEX('[2]Potencial Hor SocioDem x CeDi'!$C$2:$AF$81, MATCH($C14,'[2]Potencial Hor SocioDem x CeDi'!$B$2:$B$81,0), MATCH(BQ$4,'[2]Potencial Hor SocioDem x CeDi'!$C$1:$AF$1,0)), "")</f>
        <v/>
      </c>
      <c r="BR14" s="80" t="str">
        <f>IFERROR(INDEX('[2]Potencial Hor SocioDem x CeDi'!$C$2:$AF$81, MATCH($C14,'[2]Potencial Hor SocioDem x CeDi'!$B$2:$B$81,0), MATCH(BR$4,'[2]Potencial Hor SocioDem x CeDi'!$C$1:$AF$1,0)), "")</f>
        <v/>
      </c>
      <c r="BS14" s="80" t="str">
        <f>IFERROR(INDEX('[2]Potencial Hor SocioDem x CeDi'!$C$2:$AF$81, MATCH($C14,'[2]Potencial Hor SocioDem x CeDi'!$B$2:$B$81,0), MATCH(BS$4,'[2]Potencial Hor SocioDem x CeDi'!$C$1:$AF$1,0)), "")</f>
        <v/>
      </c>
      <c r="BT14" s="80" t="str">
        <f>IFERROR(INDEX('[2]Potencial Hor SocioDem x CeDi'!$C$2:$AF$81, MATCH($C14,'[2]Potencial Hor SocioDem x CeDi'!$B$2:$B$81,0), MATCH(BT$4,'[2]Potencial Hor SocioDem x CeDi'!$C$1:$AF$1,0)), "")</f>
        <v/>
      </c>
      <c r="BU14" s="80" t="str">
        <f>IFERROR(INDEX('[2]Potencial Hor SocioDem x CeDi'!$C$2:$AF$81, MATCH($C14,'[2]Potencial Hor SocioDem x CeDi'!$B$2:$B$81,0), MATCH(BU$4,'[2]Potencial Hor SocioDem x CeDi'!$C$1:$AF$1,0)), "")</f>
        <v/>
      </c>
      <c r="BV14" s="80" t="str">
        <f>IFERROR(INDEX('[2]Potencial Hor SocioDem x CeDi'!$C$2:$AF$81, MATCH($C14,'[2]Potencial Hor SocioDem x CeDi'!$B$2:$B$81,0), MATCH(BV$4,'[2]Potencial Hor SocioDem x CeDi'!$C$1:$AF$1,0)), "")</f>
        <v/>
      </c>
      <c r="BW14" s="80" t="str">
        <f>IFERROR(INDEX('[2]Potencial Hor SocioDem x CeDi'!$C$2:$AF$81, MATCH($C14,'[2]Potencial Hor SocioDem x CeDi'!$B$2:$B$81,0), MATCH(BW$4,'[2]Potencial Hor SocioDem x CeDi'!$C$1:$AF$1,0)), "")</f>
        <v/>
      </c>
      <c r="BX14" s="80" t="str">
        <f>IFERROR(INDEX('[2]Potencial Hor SocioDem x CeDi'!$C$2:$AF$81, MATCH($C14,'[2]Potencial Hor SocioDem x CeDi'!$B$2:$B$81,0), MATCH(BX$4,'[2]Potencial Hor SocioDem x CeDi'!$C$1:$AF$1,0)), "")</f>
        <v/>
      </c>
      <c r="BY14" s="80" t="str">
        <f>IFERROR(INDEX('[2]Potencial Hor SocioDem x CeDi'!$C$2:$AF$81, MATCH($C14,'[2]Potencial Hor SocioDem x CeDi'!$B$2:$B$81,0), MATCH(BY$4,'[2]Potencial Hor SocioDem x CeDi'!$C$1:$AF$1,0)), "")</f>
        <v/>
      </c>
      <c r="BZ14" s="79" t="str">
        <f>IFERROR(INDEX('[2]Potencial Hor SocioDem x CeDi'!$C$2:$AF$81, MATCH($C14,'[2]Potencial Hor SocioDem x CeDi'!$B$2:$B$81,0), MATCH(BZ$4,'[2]Potencial Hor SocioDem x CeDi'!$C$1:$AF$1,0)), "")</f>
        <v/>
      </c>
      <c r="CA14" s="79" t="str">
        <f>IFERROR(INDEX('[2]Potencial Hor SocioDem x CeDi'!$C$2:$AF$81, MATCH($C14,'[2]Potencial Hor SocioDem x CeDi'!$B$2:$B$81,0), MATCH(CA$4,'[2]Potencial Hor SocioDem x CeDi'!$C$1:$AF$1,0)), "")</f>
        <v/>
      </c>
      <c r="CB14" s="81" t="str">
        <f>IFERROR(INDEX('[2]Potencial Hor SocioDem x CeDi'!$C$2:$AF$81, MATCH($C14,'[2]Potencial Hor SocioDem x CeDi'!$B$2:$B$81,0), MATCH(CB$4,'[2]Potencial Hor SocioDem x CeDi'!$C$1:$AF$1,0)), "")</f>
        <v/>
      </c>
      <c r="CC14" s="82" t="str">
        <f>IFERROR(INDEX('[2]Potencial Hor SocioDem x CeDi'!$C$2:$AF$81, MATCH($C14,'[2]Potencial Hor SocioDem x CeDi'!$B$2:$B$81,0), MATCH(CC$4,'[2]Potencial Hor SocioDem x CeDi'!$C$1:$AF$1,0)), "")</f>
        <v/>
      </c>
      <c r="CD14" s="83" t="str">
        <f>IFERROR(INDEX('[2]Potencial Hor SocioDem x CeDi'!$C$2:$AF$81, MATCH($C14,'[2]Potencial Hor SocioDem x CeDi'!$B$2:$B$81,0), MATCH(CD$4,'[2]Potencial Hor SocioDem x CeDi'!$C$1:$AF$1,0)), "")</f>
        <v/>
      </c>
      <c r="CE14" s="78" t="str">
        <f>IFERROR(_xlfn.XLOOKUP([2]!BaseMaestraCeDi[[#This Row],[CeDi]], '[2]Potencial Hor x CeDi'!$B$6:$BU$6, '[2]Potencial Hor x CeDi'!$B$50:$BU$50), "")</f>
        <v/>
      </c>
      <c r="CF14" s="90" t="str">
        <f>IFERROR(_xlfn.XLOOKUP([2]!BaseMaestraCeDi[[#This Row],[CeDi]], '[2]Potencial Hor x CeDi'!$B$6:$BU$6, '[2]Potencial Hor x CeDi'!$B$34:$BU$34), "")</f>
        <v/>
      </c>
      <c r="CG14" s="90" t="str">
        <f>IFERROR(_xlfn.XLOOKUP([2]!BaseMaestraCeDi[[#This Row],[CeDi]], '[2]Potencial Hor x CeDi'!$B$6:$BU$6, '[2]Potencial Hor x CeDi'!$B$64:$BU$64), "")</f>
        <v/>
      </c>
      <c r="CH14" s="91" t="str">
        <f>IFERROR(_xlfn.XLOOKUP([2]!BaseMaestraCeDi[[#This Row],[CeDi]], '[2]Potencial Hor x CeDi'!$B$6:$BU$6, '[2]Potencial Hor x CeDi'!$B$38:$BU$38), "")</f>
        <v/>
      </c>
      <c r="CI14" s="90" t="str">
        <f>IFERROR(_xlfn.XLOOKUP([2]!BaseMaestraCeDi[[#This Row],[CeDi]], '[2]Potencial Hor x CeDi'!$B$6:$BU$6, '[2]Potencial Hor x CeDi'!$B$26:$BU$26), "")</f>
        <v/>
      </c>
      <c r="CJ14" s="92" t="str">
        <f>IFERROR(_xlfn.XLOOKUP([2]!BaseMaestraCeDi[[#This Row],[CeDi]], '[2]Potencial Hor x CeDi'!$B$6:$BU$6, '[2]Potencial Hor x CeDi'!$B$27:$BU$27), "")</f>
        <v/>
      </c>
      <c r="CK14" s="90" t="str">
        <f>IFERROR(_xlfn.XLOOKUP([2]!BaseMaestraCeDi[[#This Row],[CeDi]], '[2]Potencial Hor x CeDi'!$B$6:$BU$6, '[2]Potencial Hor x CeDi'!$B$28:$BU$28), "")</f>
        <v/>
      </c>
      <c r="CL14" s="92" t="str">
        <f>IFERROR(_xlfn.XLOOKUP([2]!BaseMaestraCeDi[[#This Row],[CeDi]], '[2]Potencial Hor x CeDi'!$B$6:$BU$6, '[2]Potencial Hor x CeDi'!$B$29:$BU$29), "")</f>
        <v/>
      </c>
      <c r="CM14" s="93" t="str">
        <f>IFERROR(_xlfn.XLOOKUP([2]!BaseMaestraCeDi[[#This Row],[CeDi]], '[2]Potencial Hor x CeDi'!$B$6:$BU$6, '[2]Potencial Hor x CeDi'!$B$39:$BU$39), "")</f>
        <v/>
      </c>
      <c r="CN14" s="94" t="str">
        <f>IFERROR(_xlfn.XLOOKUP([2]!BaseMaestraCeDi[[#This Row],[CeDi]], '[2]Potencial Hor x CeDi'!$B$6:$BU$6, '[2]Potencial Hor x CeDi'!$B$43:$BU$43), "")</f>
        <v/>
      </c>
      <c r="CO14" s="94" t="str">
        <f>IFERROR(_xlfn.XLOOKUP([2]!BaseMaestraCeDi[[#This Row],[CeDi]], '[2]Potencial Hor x CeDi'!$B$6:$BU$6, '[2]Potencial Hor x CeDi'!$B$46:$BU$46), "")</f>
        <v/>
      </c>
      <c r="CP14" s="86" t="str">
        <f>IFERROR(_xlfn.XLOOKUP([2]!BaseMaestraCeDi[[#This Row],[CeDi]], '[2]Potencial Hor x CeDi'!$B$6:$BU$6, '[2]Potencial Hor x CeDi'!$B$51:$BU$51), "")</f>
        <v/>
      </c>
      <c r="CQ14" s="82" t="str">
        <f>IFERROR(_xlfn.XLOOKUP([2]!BaseMaestraCeDi[[#This Row],[CeDi]], '[2]Potencial Hor x CeDi'!$B$6:$BU$6, '[2]Potencial Hor x CeDi'!$B$52:$BU$52), "")</f>
        <v/>
      </c>
      <c r="CR14" s="82" t="str">
        <f>IFERROR(_xlfn.XLOOKUP([2]!BaseMaestraCeDi[[#This Row],[CeDi]], '[2]Potencial Hor x CeDi'!$B$6:$BU$6, '[2]Potencial Hor x CeDi'!$B$53:$BU$53), "")</f>
        <v/>
      </c>
      <c r="CS14" s="87" t="str">
        <f>IFERROR(_xlfn.XLOOKUP([2]!BaseMaestraCeDi[[#This Row],[CeDi]], '[2]Potencial Hor x CeDi'!$B$6:$BU$6, '[2]Potencial Hor x CeDi'!$B$60:$BU$60), "")</f>
        <v/>
      </c>
      <c r="CT14" s="90" t="str">
        <f>IFERROR(_xlfn.XLOOKUP([2]!BaseMaestraCeDi[[#This Row],[CeDi]], '[2]Potencial Hor x CeDi'!$B$6:$BU$6, '[2]Potencial Hor x CeDi'!$B$65:$BU$65), "")</f>
        <v/>
      </c>
      <c r="CU14" s="90" t="str">
        <f>IFERROR(_xlfn.XLOOKUP([2]!BaseMaestraCeDi[[#This Row],[CeDi]], '[2]Potencial Hor x CeDi'!$B$6:$BU$6, '[2]Potencial Hor x CeDi'!$B$68:$BU$68), "")</f>
        <v/>
      </c>
      <c r="CV14" s="95" t="str">
        <f>IFERROR(_xlfn.XLOOKUP([2]!BaseMaestraCeDi[[#This Row],[CeDi]], '[2]Potencial Hor x CeDi'!$B$6:$BU$6, '[2]Potencial Hor x CeDi'!$B$71:$BU$71), "")</f>
        <v/>
      </c>
    </row>
    <row r="15" spans="1:100">
      <c r="A15" s="100" t="s">
        <v>92</v>
      </c>
      <c r="B15" s="100" t="s">
        <v>270</v>
      </c>
      <c r="C15" s="100" t="s">
        <v>273</v>
      </c>
      <c r="D15" s="101">
        <v>2</v>
      </c>
      <c r="E15" s="102">
        <v>221.89580668664988</v>
      </c>
      <c r="F15" s="103">
        <v>22.447944197860053</v>
      </c>
      <c r="G15" s="103">
        <v>244.34375088450992</v>
      </c>
      <c r="H15" s="104">
        <v>513.37827360209155</v>
      </c>
      <c r="I15" s="105">
        <v>2424.7399616405728</v>
      </c>
      <c r="J15" s="105">
        <v>283.68374807786336</v>
      </c>
      <c r="K15" s="105">
        <v>3221.8019833205281</v>
      </c>
      <c r="L15" s="104">
        <v>5421.0814866424953</v>
      </c>
      <c r="M15" s="106">
        <v>0.59430982383478725</v>
      </c>
      <c r="N15" s="107" t="s">
        <v>160</v>
      </c>
      <c r="O15" s="102">
        <v>48.588742493269834</v>
      </c>
      <c r="P15" s="103">
        <v>1</v>
      </c>
      <c r="Q15" s="103">
        <v>1</v>
      </c>
      <c r="R15" s="108">
        <v>4</v>
      </c>
      <c r="S15" s="107">
        <v>32</v>
      </c>
      <c r="T15" s="125">
        <v>1</v>
      </c>
      <c r="U15" s="106">
        <v>0</v>
      </c>
      <c r="V15" s="106">
        <v>0.62980421189895075</v>
      </c>
      <c r="W15" s="106">
        <v>0.37019578810104931</v>
      </c>
      <c r="X15" s="106">
        <v>0</v>
      </c>
      <c r="Y15" s="104">
        <v>3414.2199533348689</v>
      </c>
      <c r="Z15" s="105">
        <v>2006.8615333076266</v>
      </c>
      <c r="AA15" s="105">
        <v>0</v>
      </c>
      <c r="AB15" s="105">
        <v>106594.83333333333</v>
      </c>
      <c r="AC15" s="101">
        <v>2</v>
      </c>
      <c r="AD15" s="109">
        <v>1</v>
      </c>
      <c r="AE15" s="101">
        <v>42703</v>
      </c>
      <c r="AF15" s="109">
        <v>25043</v>
      </c>
      <c r="AG15" s="110">
        <v>0.58644591714867811</v>
      </c>
      <c r="AH15" s="106">
        <v>0.69280731528544015</v>
      </c>
      <c r="AI15" s="101">
        <v>6098.2377274936553</v>
      </c>
      <c r="AJ15" s="109">
        <v>3049.1188637468276</v>
      </c>
      <c r="AK15" s="106">
        <v>0.65784883646926051</v>
      </c>
      <c r="AL15" s="104">
        <v>7021907.3099999996</v>
      </c>
      <c r="AM15" s="105">
        <v>1019969.7800283837</v>
      </c>
      <c r="AN15" s="106">
        <v>0.1452553750710765</v>
      </c>
      <c r="AO15" s="104">
        <v>716735.52110102645</v>
      </c>
      <c r="AP15" s="106">
        <v>3.2604977120470014E-3</v>
      </c>
      <c r="AQ15" s="109">
        <v>33</v>
      </c>
      <c r="AR15" s="101">
        <v>1</v>
      </c>
      <c r="AS15" s="105">
        <v>357140.06941148074</v>
      </c>
      <c r="AT15" s="104">
        <v>1073875.5905125071</v>
      </c>
      <c r="AU15" s="101">
        <v>2</v>
      </c>
      <c r="AV15" s="109">
        <v>0</v>
      </c>
      <c r="AW15" s="109">
        <v>0</v>
      </c>
      <c r="AX15" s="109">
        <v>2</v>
      </c>
      <c r="AY15" s="110">
        <v>0</v>
      </c>
      <c r="AZ15" s="109">
        <v>3062.73660064469</v>
      </c>
      <c r="BA15" s="102">
        <v>48.588742493269848</v>
      </c>
      <c r="BB15" s="106">
        <v>0.60876092856731601</v>
      </c>
      <c r="BC15" s="111">
        <v>358.50453342030602</v>
      </c>
      <c r="BD15" s="74" t="s">
        <v>1133</v>
      </c>
      <c r="BE15" s="88" t="str">
        <f>IFERROR(_xlfn.XLOOKUP([2]!BaseMaestraCeDi[[#This Row],[CeDi]], '[2]Potencial Hor x CeDi'!$B$6:$BU$6, '[2]Potencial Hor x CeDi'!$B$21:$BU$21) / 1000, "")</f>
        <v/>
      </c>
      <c r="BF15" s="89" t="str">
        <f>IFERROR(_xlfn.XLOOKUP([2]!BaseMaestraCeDi[[#This Row],[CeDi]], '[2]Potencial Hor x CeDi'!$B$6:$BU$6, '[2]Potencial Hor x CeDi'!$B$22:$BU$22) / 1000, "")</f>
        <v/>
      </c>
      <c r="BG15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15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15" s="78" t="str">
        <f>IFERROR(INDEX('[2]Potencial Hor SocioDem x CeDi'!$C$2:$AF$81, MATCH($C15,'[2]Potencial Hor SocioDem x CeDi'!$B$2:$B$81,0), MATCH(BI$4,'[2]Potencial Hor SocioDem x CeDi'!$C$1:$AF$1,0)), "")</f>
        <v/>
      </c>
      <c r="BJ15" s="78" t="str">
        <f>IFERROR(INDEX('[2]Potencial Hor SocioDem x CeDi'!$C$2:$AF$81, MATCH($C15,'[2]Potencial Hor SocioDem x CeDi'!$B$2:$B$81,0), MATCH(BJ$4,'[2]Potencial Hor SocioDem x CeDi'!$C$1:$AF$1,0)), "")</f>
        <v/>
      </c>
      <c r="BK15" s="78" t="str">
        <f>IFERROR(INDEX('[2]Potencial Hor SocioDem x CeDi'!$C$2:$AF$81, MATCH($C15,'[2]Potencial Hor SocioDem x CeDi'!$B$2:$B$81,0), MATCH(BK$4,'[2]Potencial Hor SocioDem x CeDi'!$C$1:$AF$1,0)), "")</f>
        <v/>
      </c>
      <c r="BL15" s="79" t="str">
        <f>IFERROR(INDEX('[2]Potencial Hor SocioDem x CeDi'!$C$2:$AF$81, MATCH($C15,'[2]Potencial Hor SocioDem x CeDi'!$B$2:$B$81,0), MATCH(BL$4,'[2]Potencial Hor SocioDem x CeDi'!$C$1:$AF$1,0)), "")</f>
        <v/>
      </c>
      <c r="BM15" s="79" t="str">
        <f>IFERROR(INDEX('[2]Potencial Hor SocioDem x CeDi'!$C$2:$AF$81, MATCH($C15,'[2]Potencial Hor SocioDem x CeDi'!$B$2:$B$81,0), MATCH(BM$4,'[2]Potencial Hor SocioDem x CeDi'!$C$1:$AF$1,0)), "")</f>
        <v/>
      </c>
      <c r="BN15" s="78" t="str">
        <f>IFERROR(INDEX('[2]Potencial Hor SocioDem x CeDi'!$C$2:$AF$81, MATCH($C15,'[2]Potencial Hor SocioDem x CeDi'!$B$2:$B$81,0), MATCH(BN$4,'[2]Potencial Hor SocioDem x CeDi'!$C$1:$AF$1,0)), "")</f>
        <v/>
      </c>
      <c r="BO15" s="78" t="str">
        <f>IFERROR(INDEX('[2]Potencial Hor SocioDem x CeDi'!$C$2:$AF$81, MATCH($C15,'[2]Potencial Hor SocioDem x CeDi'!$B$2:$B$81,0), MATCH(BO$4,'[2]Potencial Hor SocioDem x CeDi'!$C$1:$AF$1,0)), "")</f>
        <v/>
      </c>
      <c r="BP15" s="78" t="str">
        <f>IFERROR(INDEX('[2]Potencial Hor SocioDem x CeDi'!$C$2:$AF$81, MATCH($C15,'[2]Potencial Hor SocioDem x CeDi'!$B$2:$B$81,0), MATCH(BP$4,'[2]Potencial Hor SocioDem x CeDi'!$C$1:$AF$1,0)), "")</f>
        <v/>
      </c>
      <c r="BQ15" s="80" t="str">
        <f>IFERROR(INDEX('[2]Potencial Hor SocioDem x CeDi'!$C$2:$AF$81, MATCH($C15,'[2]Potencial Hor SocioDem x CeDi'!$B$2:$B$81,0), MATCH(BQ$4,'[2]Potencial Hor SocioDem x CeDi'!$C$1:$AF$1,0)), "")</f>
        <v/>
      </c>
      <c r="BR15" s="80" t="str">
        <f>IFERROR(INDEX('[2]Potencial Hor SocioDem x CeDi'!$C$2:$AF$81, MATCH($C15,'[2]Potencial Hor SocioDem x CeDi'!$B$2:$B$81,0), MATCH(BR$4,'[2]Potencial Hor SocioDem x CeDi'!$C$1:$AF$1,0)), "")</f>
        <v/>
      </c>
      <c r="BS15" s="80" t="str">
        <f>IFERROR(INDEX('[2]Potencial Hor SocioDem x CeDi'!$C$2:$AF$81, MATCH($C15,'[2]Potencial Hor SocioDem x CeDi'!$B$2:$B$81,0), MATCH(BS$4,'[2]Potencial Hor SocioDem x CeDi'!$C$1:$AF$1,0)), "")</f>
        <v/>
      </c>
      <c r="BT15" s="80" t="str">
        <f>IFERROR(INDEX('[2]Potencial Hor SocioDem x CeDi'!$C$2:$AF$81, MATCH($C15,'[2]Potencial Hor SocioDem x CeDi'!$B$2:$B$81,0), MATCH(BT$4,'[2]Potencial Hor SocioDem x CeDi'!$C$1:$AF$1,0)), "")</f>
        <v/>
      </c>
      <c r="BU15" s="80" t="str">
        <f>IFERROR(INDEX('[2]Potencial Hor SocioDem x CeDi'!$C$2:$AF$81, MATCH($C15,'[2]Potencial Hor SocioDem x CeDi'!$B$2:$B$81,0), MATCH(BU$4,'[2]Potencial Hor SocioDem x CeDi'!$C$1:$AF$1,0)), "")</f>
        <v/>
      </c>
      <c r="BV15" s="80" t="str">
        <f>IFERROR(INDEX('[2]Potencial Hor SocioDem x CeDi'!$C$2:$AF$81, MATCH($C15,'[2]Potencial Hor SocioDem x CeDi'!$B$2:$B$81,0), MATCH(BV$4,'[2]Potencial Hor SocioDem x CeDi'!$C$1:$AF$1,0)), "")</f>
        <v/>
      </c>
      <c r="BW15" s="80" t="str">
        <f>IFERROR(INDEX('[2]Potencial Hor SocioDem x CeDi'!$C$2:$AF$81, MATCH($C15,'[2]Potencial Hor SocioDem x CeDi'!$B$2:$B$81,0), MATCH(BW$4,'[2]Potencial Hor SocioDem x CeDi'!$C$1:$AF$1,0)), "")</f>
        <v/>
      </c>
      <c r="BX15" s="80" t="str">
        <f>IFERROR(INDEX('[2]Potencial Hor SocioDem x CeDi'!$C$2:$AF$81, MATCH($C15,'[2]Potencial Hor SocioDem x CeDi'!$B$2:$B$81,0), MATCH(BX$4,'[2]Potencial Hor SocioDem x CeDi'!$C$1:$AF$1,0)), "")</f>
        <v/>
      </c>
      <c r="BY15" s="80" t="str">
        <f>IFERROR(INDEX('[2]Potencial Hor SocioDem x CeDi'!$C$2:$AF$81, MATCH($C15,'[2]Potencial Hor SocioDem x CeDi'!$B$2:$B$81,0), MATCH(BY$4,'[2]Potencial Hor SocioDem x CeDi'!$C$1:$AF$1,0)), "")</f>
        <v/>
      </c>
      <c r="BZ15" s="79" t="str">
        <f>IFERROR(INDEX('[2]Potencial Hor SocioDem x CeDi'!$C$2:$AF$81, MATCH($C15,'[2]Potencial Hor SocioDem x CeDi'!$B$2:$B$81,0), MATCH(BZ$4,'[2]Potencial Hor SocioDem x CeDi'!$C$1:$AF$1,0)), "")</f>
        <v/>
      </c>
      <c r="CA15" s="79" t="str">
        <f>IFERROR(INDEX('[2]Potencial Hor SocioDem x CeDi'!$C$2:$AF$81, MATCH($C15,'[2]Potencial Hor SocioDem x CeDi'!$B$2:$B$81,0), MATCH(CA$4,'[2]Potencial Hor SocioDem x CeDi'!$C$1:$AF$1,0)), "")</f>
        <v/>
      </c>
      <c r="CB15" s="81" t="str">
        <f>IFERROR(INDEX('[2]Potencial Hor SocioDem x CeDi'!$C$2:$AF$81, MATCH($C15,'[2]Potencial Hor SocioDem x CeDi'!$B$2:$B$81,0), MATCH(CB$4,'[2]Potencial Hor SocioDem x CeDi'!$C$1:$AF$1,0)), "")</f>
        <v/>
      </c>
      <c r="CC15" s="82" t="str">
        <f>IFERROR(INDEX('[2]Potencial Hor SocioDem x CeDi'!$C$2:$AF$81, MATCH($C15,'[2]Potencial Hor SocioDem x CeDi'!$B$2:$B$81,0), MATCH(CC$4,'[2]Potencial Hor SocioDem x CeDi'!$C$1:$AF$1,0)), "")</f>
        <v/>
      </c>
      <c r="CD15" s="83" t="str">
        <f>IFERROR(INDEX('[2]Potencial Hor SocioDem x CeDi'!$C$2:$AF$81, MATCH($C15,'[2]Potencial Hor SocioDem x CeDi'!$B$2:$B$81,0), MATCH(CD$4,'[2]Potencial Hor SocioDem x CeDi'!$C$1:$AF$1,0)), "")</f>
        <v/>
      </c>
      <c r="CE15" s="78" t="str">
        <f>IFERROR(_xlfn.XLOOKUP([2]!BaseMaestraCeDi[[#This Row],[CeDi]], '[2]Potencial Hor x CeDi'!$B$6:$BU$6, '[2]Potencial Hor x CeDi'!$B$50:$BU$50), "")</f>
        <v/>
      </c>
      <c r="CF15" s="90" t="str">
        <f>IFERROR(_xlfn.XLOOKUP([2]!BaseMaestraCeDi[[#This Row],[CeDi]], '[2]Potencial Hor x CeDi'!$B$6:$BU$6, '[2]Potencial Hor x CeDi'!$B$34:$BU$34), "")</f>
        <v/>
      </c>
      <c r="CG15" s="90" t="str">
        <f>IFERROR(_xlfn.XLOOKUP([2]!BaseMaestraCeDi[[#This Row],[CeDi]], '[2]Potencial Hor x CeDi'!$B$6:$BU$6, '[2]Potencial Hor x CeDi'!$B$64:$BU$64), "")</f>
        <v/>
      </c>
      <c r="CH15" s="91" t="str">
        <f>IFERROR(_xlfn.XLOOKUP([2]!BaseMaestraCeDi[[#This Row],[CeDi]], '[2]Potencial Hor x CeDi'!$B$6:$BU$6, '[2]Potencial Hor x CeDi'!$B$38:$BU$38), "")</f>
        <v/>
      </c>
      <c r="CI15" s="90" t="str">
        <f>IFERROR(_xlfn.XLOOKUP([2]!BaseMaestraCeDi[[#This Row],[CeDi]], '[2]Potencial Hor x CeDi'!$B$6:$BU$6, '[2]Potencial Hor x CeDi'!$B$26:$BU$26), "")</f>
        <v/>
      </c>
      <c r="CJ15" s="92" t="str">
        <f>IFERROR(_xlfn.XLOOKUP([2]!BaseMaestraCeDi[[#This Row],[CeDi]], '[2]Potencial Hor x CeDi'!$B$6:$BU$6, '[2]Potencial Hor x CeDi'!$B$27:$BU$27), "")</f>
        <v/>
      </c>
      <c r="CK15" s="90" t="str">
        <f>IFERROR(_xlfn.XLOOKUP([2]!BaseMaestraCeDi[[#This Row],[CeDi]], '[2]Potencial Hor x CeDi'!$B$6:$BU$6, '[2]Potencial Hor x CeDi'!$B$28:$BU$28), "")</f>
        <v/>
      </c>
      <c r="CL15" s="92" t="str">
        <f>IFERROR(_xlfn.XLOOKUP([2]!BaseMaestraCeDi[[#This Row],[CeDi]], '[2]Potencial Hor x CeDi'!$B$6:$BU$6, '[2]Potencial Hor x CeDi'!$B$29:$BU$29), "")</f>
        <v/>
      </c>
      <c r="CM15" s="93" t="str">
        <f>IFERROR(_xlfn.XLOOKUP([2]!BaseMaestraCeDi[[#This Row],[CeDi]], '[2]Potencial Hor x CeDi'!$B$6:$BU$6, '[2]Potencial Hor x CeDi'!$B$39:$BU$39), "")</f>
        <v/>
      </c>
      <c r="CN15" s="94" t="str">
        <f>IFERROR(_xlfn.XLOOKUP([2]!BaseMaestraCeDi[[#This Row],[CeDi]], '[2]Potencial Hor x CeDi'!$B$6:$BU$6, '[2]Potencial Hor x CeDi'!$B$43:$BU$43), "")</f>
        <v/>
      </c>
      <c r="CO15" s="94" t="str">
        <f>IFERROR(_xlfn.XLOOKUP([2]!BaseMaestraCeDi[[#This Row],[CeDi]], '[2]Potencial Hor x CeDi'!$B$6:$BU$6, '[2]Potencial Hor x CeDi'!$B$46:$BU$46), "")</f>
        <v/>
      </c>
      <c r="CP15" s="86" t="str">
        <f>IFERROR(_xlfn.XLOOKUP([2]!BaseMaestraCeDi[[#This Row],[CeDi]], '[2]Potencial Hor x CeDi'!$B$6:$BU$6, '[2]Potencial Hor x CeDi'!$B$51:$BU$51), "")</f>
        <v/>
      </c>
      <c r="CQ15" s="82" t="str">
        <f>IFERROR(_xlfn.XLOOKUP([2]!BaseMaestraCeDi[[#This Row],[CeDi]], '[2]Potencial Hor x CeDi'!$B$6:$BU$6, '[2]Potencial Hor x CeDi'!$B$52:$BU$52), "")</f>
        <v/>
      </c>
      <c r="CR15" s="82" t="str">
        <f>IFERROR(_xlfn.XLOOKUP([2]!BaseMaestraCeDi[[#This Row],[CeDi]], '[2]Potencial Hor x CeDi'!$B$6:$BU$6, '[2]Potencial Hor x CeDi'!$B$53:$BU$53), "")</f>
        <v/>
      </c>
      <c r="CS15" s="87" t="str">
        <f>IFERROR(_xlfn.XLOOKUP([2]!BaseMaestraCeDi[[#This Row],[CeDi]], '[2]Potencial Hor x CeDi'!$B$6:$BU$6, '[2]Potencial Hor x CeDi'!$B$60:$BU$60), "")</f>
        <v/>
      </c>
      <c r="CT15" s="90" t="str">
        <f>IFERROR(_xlfn.XLOOKUP([2]!BaseMaestraCeDi[[#This Row],[CeDi]], '[2]Potencial Hor x CeDi'!$B$6:$BU$6, '[2]Potencial Hor x CeDi'!$B$65:$BU$65), "")</f>
        <v/>
      </c>
      <c r="CU15" s="90" t="str">
        <f>IFERROR(_xlfn.XLOOKUP([2]!BaseMaestraCeDi[[#This Row],[CeDi]], '[2]Potencial Hor x CeDi'!$B$6:$BU$6, '[2]Potencial Hor x CeDi'!$B$68:$BU$68), "")</f>
        <v/>
      </c>
      <c r="CV15" s="95" t="str">
        <f>IFERROR(_xlfn.XLOOKUP([2]!BaseMaestraCeDi[[#This Row],[CeDi]], '[2]Potencial Hor x CeDi'!$B$6:$BU$6, '[2]Potencial Hor x CeDi'!$B$71:$BU$71), "")</f>
        <v/>
      </c>
    </row>
    <row r="16" spans="1:100">
      <c r="A16" s="112" t="s">
        <v>92</v>
      </c>
      <c r="B16" s="112" t="s">
        <v>270</v>
      </c>
      <c r="C16" s="112" t="s">
        <v>276</v>
      </c>
      <c r="D16" s="113">
        <v>1</v>
      </c>
      <c r="E16" s="114">
        <v>78.299982194278073</v>
      </c>
      <c r="F16" s="115">
        <v>7.9211665025860016</v>
      </c>
      <c r="G16" s="115">
        <v>86.221148696864077</v>
      </c>
      <c r="H16" s="116">
        <v>181.15488653076665</v>
      </c>
      <c r="I16" s="117">
        <v>1212.3699808202864</v>
      </c>
      <c r="J16" s="117">
        <v>141.84187403893168</v>
      </c>
      <c r="K16" s="117">
        <v>1535.3667413899848</v>
      </c>
      <c r="L16" s="116">
        <v>2075.2417976079637</v>
      </c>
      <c r="M16" s="118">
        <v>0.73984956507705835</v>
      </c>
      <c r="N16" s="119" t="s">
        <v>160</v>
      </c>
      <c r="O16" s="114">
        <v>47.377574370709382</v>
      </c>
      <c r="P16" s="115">
        <v>1</v>
      </c>
      <c r="Q16" s="115">
        <v>1</v>
      </c>
      <c r="R16" s="120">
        <v>1</v>
      </c>
      <c r="S16" s="119">
        <v>8</v>
      </c>
      <c r="T16" s="121">
        <v>1</v>
      </c>
      <c r="U16" s="118">
        <v>0</v>
      </c>
      <c r="V16" s="118">
        <v>0.53278074606938908</v>
      </c>
      <c r="W16" s="118">
        <v>0.46721925393061092</v>
      </c>
      <c r="X16" s="118">
        <v>0</v>
      </c>
      <c r="Y16" s="116">
        <v>1105.6488732039511</v>
      </c>
      <c r="Z16" s="117">
        <v>969.59292440401271</v>
      </c>
      <c r="AA16" s="117">
        <v>0</v>
      </c>
      <c r="AB16" s="117">
        <v>81611.041666666672</v>
      </c>
      <c r="AC16" s="113">
        <v>1</v>
      </c>
      <c r="AD16" s="122">
        <v>0</v>
      </c>
      <c r="AE16" s="113">
        <v>20704</v>
      </c>
      <c r="AF16" s="122">
        <v>6894</v>
      </c>
      <c r="AG16" s="123">
        <v>0.33297913446676969</v>
      </c>
      <c r="AH16" s="118">
        <v>0.33297913446676969</v>
      </c>
      <c r="AI16" s="113">
        <v>0</v>
      </c>
      <c r="AJ16" s="122">
        <v>0</v>
      </c>
      <c r="AK16" s="118">
        <v>0.33297913446676969</v>
      </c>
      <c r="AL16" s="116">
        <v>2755370.7399999998</v>
      </c>
      <c r="AM16" s="117">
        <v>0</v>
      </c>
      <c r="AN16" s="118">
        <v>0</v>
      </c>
      <c r="AO16" s="116">
        <v>0</v>
      </c>
      <c r="AP16" s="118">
        <v>0</v>
      </c>
      <c r="AQ16" s="122" t="s">
        <v>194</v>
      </c>
      <c r="AR16" s="113">
        <v>0</v>
      </c>
      <c r="AS16" s="117">
        <v>0</v>
      </c>
      <c r="AT16" s="116">
        <v>0</v>
      </c>
      <c r="AU16" s="113">
        <v>1</v>
      </c>
      <c r="AV16" s="122">
        <v>0</v>
      </c>
      <c r="AW16" s="122">
        <v>0</v>
      </c>
      <c r="AX16" s="122">
        <v>1</v>
      </c>
      <c r="AY16" s="123">
        <v>0</v>
      </c>
      <c r="AZ16" s="122">
        <v>0</v>
      </c>
      <c r="BA16" s="114">
        <v>47.377574370709397</v>
      </c>
      <c r="BB16" s="118">
        <v>0.33297913446677002</v>
      </c>
      <c r="BC16" s="124">
        <v>265.480638860412</v>
      </c>
      <c r="BD16" s="74" t="s">
        <v>1134</v>
      </c>
      <c r="BE16" s="88" t="str">
        <f>IFERROR(_xlfn.XLOOKUP([2]!BaseMaestraCeDi[[#This Row],[CeDi]], '[2]Potencial Hor x CeDi'!$B$6:$BU$6, '[2]Potencial Hor x CeDi'!$B$21:$BU$21) / 1000, "")</f>
        <v/>
      </c>
      <c r="BF16" s="89" t="str">
        <f>IFERROR(_xlfn.XLOOKUP([2]!BaseMaestraCeDi[[#This Row],[CeDi]], '[2]Potencial Hor x CeDi'!$B$6:$BU$6, '[2]Potencial Hor x CeDi'!$B$22:$BU$22) / 1000, "")</f>
        <v/>
      </c>
      <c r="BG16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16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16" s="78" t="str">
        <f>IFERROR(INDEX('[2]Potencial Hor SocioDem x CeDi'!$C$2:$AF$81, MATCH($C16,'[2]Potencial Hor SocioDem x CeDi'!$B$2:$B$81,0), MATCH(BI$4,'[2]Potencial Hor SocioDem x CeDi'!$C$1:$AF$1,0)), "")</f>
        <v/>
      </c>
      <c r="BJ16" s="78" t="str">
        <f>IFERROR(INDEX('[2]Potencial Hor SocioDem x CeDi'!$C$2:$AF$81, MATCH($C16,'[2]Potencial Hor SocioDem x CeDi'!$B$2:$B$81,0), MATCH(BJ$4,'[2]Potencial Hor SocioDem x CeDi'!$C$1:$AF$1,0)), "")</f>
        <v/>
      </c>
      <c r="BK16" s="78" t="str">
        <f>IFERROR(INDEX('[2]Potencial Hor SocioDem x CeDi'!$C$2:$AF$81, MATCH($C16,'[2]Potencial Hor SocioDem x CeDi'!$B$2:$B$81,0), MATCH(BK$4,'[2]Potencial Hor SocioDem x CeDi'!$C$1:$AF$1,0)), "")</f>
        <v/>
      </c>
      <c r="BL16" s="79" t="str">
        <f>IFERROR(INDEX('[2]Potencial Hor SocioDem x CeDi'!$C$2:$AF$81, MATCH($C16,'[2]Potencial Hor SocioDem x CeDi'!$B$2:$B$81,0), MATCH(BL$4,'[2]Potencial Hor SocioDem x CeDi'!$C$1:$AF$1,0)), "")</f>
        <v/>
      </c>
      <c r="BM16" s="79" t="str">
        <f>IFERROR(INDEX('[2]Potencial Hor SocioDem x CeDi'!$C$2:$AF$81, MATCH($C16,'[2]Potencial Hor SocioDem x CeDi'!$B$2:$B$81,0), MATCH(BM$4,'[2]Potencial Hor SocioDem x CeDi'!$C$1:$AF$1,0)), "")</f>
        <v/>
      </c>
      <c r="BN16" s="78" t="str">
        <f>IFERROR(INDEX('[2]Potencial Hor SocioDem x CeDi'!$C$2:$AF$81, MATCH($C16,'[2]Potencial Hor SocioDem x CeDi'!$B$2:$B$81,0), MATCH(BN$4,'[2]Potencial Hor SocioDem x CeDi'!$C$1:$AF$1,0)), "")</f>
        <v/>
      </c>
      <c r="BO16" s="78" t="str">
        <f>IFERROR(INDEX('[2]Potencial Hor SocioDem x CeDi'!$C$2:$AF$81, MATCH($C16,'[2]Potencial Hor SocioDem x CeDi'!$B$2:$B$81,0), MATCH(BO$4,'[2]Potencial Hor SocioDem x CeDi'!$C$1:$AF$1,0)), "")</f>
        <v/>
      </c>
      <c r="BP16" s="78" t="str">
        <f>IFERROR(INDEX('[2]Potencial Hor SocioDem x CeDi'!$C$2:$AF$81, MATCH($C16,'[2]Potencial Hor SocioDem x CeDi'!$B$2:$B$81,0), MATCH(BP$4,'[2]Potencial Hor SocioDem x CeDi'!$C$1:$AF$1,0)), "")</f>
        <v/>
      </c>
      <c r="BQ16" s="80" t="str">
        <f>IFERROR(INDEX('[2]Potencial Hor SocioDem x CeDi'!$C$2:$AF$81, MATCH($C16,'[2]Potencial Hor SocioDem x CeDi'!$B$2:$B$81,0), MATCH(BQ$4,'[2]Potencial Hor SocioDem x CeDi'!$C$1:$AF$1,0)), "")</f>
        <v/>
      </c>
      <c r="BR16" s="80" t="str">
        <f>IFERROR(INDEX('[2]Potencial Hor SocioDem x CeDi'!$C$2:$AF$81, MATCH($C16,'[2]Potencial Hor SocioDem x CeDi'!$B$2:$B$81,0), MATCH(BR$4,'[2]Potencial Hor SocioDem x CeDi'!$C$1:$AF$1,0)), "")</f>
        <v/>
      </c>
      <c r="BS16" s="80" t="str">
        <f>IFERROR(INDEX('[2]Potencial Hor SocioDem x CeDi'!$C$2:$AF$81, MATCH($C16,'[2]Potencial Hor SocioDem x CeDi'!$B$2:$B$81,0), MATCH(BS$4,'[2]Potencial Hor SocioDem x CeDi'!$C$1:$AF$1,0)), "")</f>
        <v/>
      </c>
      <c r="BT16" s="80" t="str">
        <f>IFERROR(INDEX('[2]Potencial Hor SocioDem x CeDi'!$C$2:$AF$81, MATCH($C16,'[2]Potencial Hor SocioDem x CeDi'!$B$2:$B$81,0), MATCH(BT$4,'[2]Potencial Hor SocioDem x CeDi'!$C$1:$AF$1,0)), "")</f>
        <v/>
      </c>
      <c r="BU16" s="80" t="str">
        <f>IFERROR(INDEX('[2]Potencial Hor SocioDem x CeDi'!$C$2:$AF$81, MATCH($C16,'[2]Potencial Hor SocioDem x CeDi'!$B$2:$B$81,0), MATCH(BU$4,'[2]Potencial Hor SocioDem x CeDi'!$C$1:$AF$1,0)), "")</f>
        <v/>
      </c>
      <c r="BV16" s="80" t="str">
        <f>IFERROR(INDEX('[2]Potencial Hor SocioDem x CeDi'!$C$2:$AF$81, MATCH($C16,'[2]Potencial Hor SocioDem x CeDi'!$B$2:$B$81,0), MATCH(BV$4,'[2]Potencial Hor SocioDem x CeDi'!$C$1:$AF$1,0)), "")</f>
        <v/>
      </c>
      <c r="BW16" s="80" t="str">
        <f>IFERROR(INDEX('[2]Potencial Hor SocioDem x CeDi'!$C$2:$AF$81, MATCH($C16,'[2]Potencial Hor SocioDem x CeDi'!$B$2:$B$81,0), MATCH(BW$4,'[2]Potencial Hor SocioDem x CeDi'!$C$1:$AF$1,0)), "")</f>
        <v/>
      </c>
      <c r="BX16" s="80" t="str">
        <f>IFERROR(INDEX('[2]Potencial Hor SocioDem x CeDi'!$C$2:$AF$81, MATCH($C16,'[2]Potencial Hor SocioDem x CeDi'!$B$2:$B$81,0), MATCH(BX$4,'[2]Potencial Hor SocioDem x CeDi'!$C$1:$AF$1,0)), "")</f>
        <v/>
      </c>
      <c r="BY16" s="80" t="str">
        <f>IFERROR(INDEX('[2]Potencial Hor SocioDem x CeDi'!$C$2:$AF$81, MATCH($C16,'[2]Potencial Hor SocioDem x CeDi'!$B$2:$B$81,0), MATCH(BY$4,'[2]Potencial Hor SocioDem x CeDi'!$C$1:$AF$1,0)), "")</f>
        <v/>
      </c>
      <c r="BZ16" s="79" t="str">
        <f>IFERROR(INDEX('[2]Potencial Hor SocioDem x CeDi'!$C$2:$AF$81, MATCH($C16,'[2]Potencial Hor SocioDem x CeDi'!$B$2:$B$81,0), MATCH(BZ$4,'[2]Potencial Hor SocioDem x CeDi'!$C$1:$AF$1,0)), "")</f>
        <v/>
      </c>
      <c r="CA16" s="79" t="str">
        <f>IFERROR(INDEX('[2]Potencial Hor SocioDem x CeDi'!$C$2:$AF$81, MATCH($C16,'[2]Potencial Hor SocioDem x CeDi'!$B$2:$B$81,0), MATCH(CA$4,'[2]Potencial Hor SocioDem x CeDi'!$C$1:$AF$1,0)), "")</f>
        <v/>
      </c>
      <c r="CB16" s="81" t="str">
        <f>IFERROR(INDEX('[2]Potencial Hor SocioDem x CeDi'!$C$2:$AF$81, MATCH($C16,'[2]Potencial Hor SocioDem x CeDi'!$B$2:$B$81,0), MATCH(CB$4,'[2]Potencial Hor SocioDem x CeDi'!$C$1:$AF$1,0)), "")</f>
        <v/>
      </c>
      <c r="CC16" s="82" t="str">
        <f>IFERROR(INDEX('[2]Potencial Hor SocioDem x CeDi'!$C$2:$AF$81, MATCH($C16,'[2]Potencial Hor SocioDem x CeDi'!$B$2:$B$81,0), MATCH(CC$4,'[2]Potencial Hor SocioDem x CeDi'!$C$1:$AF$1,0)), "")</f>
        <v/>
      </c>
      <c r="CD16" s="83" t="str">
        <f>IFERROR(INDEX('[2]Potencial Hor SocioDem x CeDi'!$C$2:$AF$81, MATCH($C16,'[2]Potencial Hor SocioDem x CeDi'!$B$2:$B$81,0), MATCH(CD$4,'[2]Potencial Hor SocioDem x CeDi'!$C$1:$AF$1,0)), "")</f>
        <v/>
      </c>
      <c r="CE16" s="78" t="str">
        <f>IFERROR(_xlfn.XLOOKUP([2]!BaseMaestraCeDi[[#This Row],[CeDi]], '[2]Potencial Hor x CeDi'!$B$6:$BU$6, '[2]Potencial Hor x CeDi'!$B$50:$BU$50), "")</f>
        <v/>
      </c>
      <c r="CF16" s="90" t="str">
        <f>IFERROR(_xlfn.XLOOKUP([2]!BaseMaestraCeDi[[#This Row],[CeDi]], '[2]Potencial Hor x CeDi'!$B$6:$BU$6, '[2]Potencial Hor x CeDi'!$B$34:$BU$34), "")</f>
        <v/>
      </c>
      <c r="CG16" s="90" t="str">
        <f>IFERROR(_xlfn.XLOOKUP([2]!BaseMaestraCeDi[[#This Row],[CeDi]], '[2]Potencial Hor x CeDi'!$B$6:$BU$6, '[2]Potencial Hor x CeDi'!$B$64:$BU$64), "")</f>
        <v/>
      </c>
      <c r="CH16" s="91" t="str">
        <f>IFERROR(_xlfn.XLOOKUP([2]!BaseMaestraCeDi[[#This Row],[CeDi]], '[2]Potencial Hor x CeDi'!$B$6:$BU$6, '[2]Potencial Hor x CeDi'!$B$38:$BU$38), "")</f>
        <v/>
      </c>
      <c r="CI16" s="90" t="str">
        <f>IFERROR(_xlfn.XLOOKUP([2]!BaseMaestraCeDi[[#This Row],[CeDi]], '[2]Potencial Hor x CeDi'!$B$6:$BU$6, '[2]Potencial Hor x CeDi'!$B$26:$BU$26), "")</f>
        <v/>
      </c>
      <c r="CJ16" s="92" t="str">
        <f>IFERROR(_xlfn.XLOOKUP([2]!BaseMaestraCeDi[[#This Row],[CeDi]], '[2]Potencial Hor x CeDi'!$B$6:$BU$6, '[2]Potencial Hor x CeDi'!$B$27:$BU$27), "")</f>
        <v/>
      </c>
      <c r="CK16" s="90" t="str">
        <f>IFERROR(_xlfn.XLOOKUP([2]!BaseMaestraCeDi[[#This Row],[CeDi]], '[2]Potencial Hor x CeDi'!$B$6:$BU$6, '[2]Potencial Hor x CeDi'!$B$28:$BU$28), "")</f>
        <v/>
      </c>
      <c r="CL16" s="92" t="str">
        <f>IFERROR(_xlfn.XLOOKUP([2]!BaseMaestraCeDi[[#This Row],[CeDi]], '[2]Potencial Hor x CeDi'!$B$6:$BU$6, '[2]Potencial Hor x CeDi'!$B$29:$BU$29), "")</f>
        <v/>
      </c>
      <c r="CM16" s="93" t="str">
        <f>IFERROR(_xlfn.XLOOKUP([2]!BaseMaestraCeDi[[#This Row],[CeDi]], '[2]Potencial Hor x CeDi'!$B$6:$BU$6, '[2]Potencial Hor x CeDi'!$B$39:$BU$39), "")</f>
        <v/>
      </c>
      <c r="CN16" s="94" t="str">
        <f>IFERROR(_xlfn.XLOOKUP([2]!BaseMaestraCeDi[[#This Row],[CeDi]], '[2]Potencial Hor x CeDi'!$B$6:$BU$6, '[2]Potencial Hor x CeDi'!$B$43:$BU$43), "")</f>
        <v/>
      </c>
      <c r="CO16" s="94" t="str">
        <f>IFERROR(_xlfn.XLOOKUP([2]!BaseMaestraCeDi[[#This Row],[CeDi]], '[2]Potencial Hor x CeDi'!$B$6:$BU$6, '[2]Potencial Hor x CeDi'!$B$46:$BU$46), "")</f>
        <v/>
      </c>
      <c r="CP16" s="86" t="str">
        <f>IFERROR(_xlfn.XLOOKUP([2]!BaseMaestraCeDi[[#This Row],[CeDi]], '[2]Potencial Hor x CeDi'!$B$6:$BU$6, '[2]Potencial Hor x CeDi'!$B$51:$BU$51), "")</f>
        <v/>
      </c>
      <c r="CQ16" s="82" t="str">
        <f>IFERROR(_xlfn.XLOOKUP([2]!BaseMaestraCeDi[[#This Row],[CeDi]], '[2]Potencial Hor x CeDi'!$B$6:$BU$6, '[2]Potencial Hor x CeDi'!$B$52:$BU$52), "")</f>
        <v/>
      </c>
      <c r="CR16" s="82" t="str">
        <f>IFERROR(_xlfn.XLOOKUP([2]!BaseMaestraCeDi[[#This Row],[CeDi]], '[2]Potencial Hor x CeDi'!$B$6:$BU$6, '[2]Potencial Hor x CeDi'!$B$53:$BU$53), "")</f>
        <v/>
      </c>
      <c r="CS16" s="87" t="str">
        <f>IFERROR(_xlfn.XLOOKUP([2]!BaseMaestraCeDi[[#This Row],[CeDi]], '[2]Potencial Hor x CeDi'!$B$6:$BU$6, '[2]Potencial Hor x CeDi'!$B$60:$BU$60), "")</f>
        <v/>
      </c>
      <c r="CT16" s="90" t="str">
        <f>IFERROR(_xlfn.XLOOKUP([2]!BaseMaestraCeDi[[#This Row],[CeDi]], '[2]Potencial Hor x CeDi'!$B$6:$BU$6, '[2]Potencial Hor x CeDi'!$B$65:$BU$65), "")</f>
        <v/>
      </c>
      <c r="CU16" s="90" t="str">
        <f>IFERROR(_xlfn.XLOOKUP([2]!BaseMaestraCeDi[[#This Row],[CeDi]], '[2]Potencial Hor x CeDi'!$B$6:$BU$6, '[2]Potencial Hor x CeDi'!$B$68:$BU$68), "")</f>
        <v/>
      </c>
      <c r="CV16" s="95" t="str">
        <f>IFERROR(_xlfn.XLOOKUP([2]!BaseMaestraCeDi[[#This Row],[CeDi]], '[2]Potencial Hor x CeDi'!$B$6:$BU$6, '[2]Potencial Hor x CeDi'!$B$71:$BU$71), "")</f>
        <v/>
      </c>
    </row>
    <row r="17" spans="1:100">
      <c r="A17" s="100" t="s">
        <v>92</v>
      </c>
      <c r="B17" s="100" t="s">
        <v>278</v>
      </c>
      <c r="C17" s="100" t="s">
        <v>279</v>
      </c>
      <c r="D17" s="101">
        <v>3</v>
      </c>
      <c r="E17" s="102">
        <v>195.73272320000004</v>
      </c>
      <c r="F17" s="103">
        <v>23.797411273000009</v>
      </c>
      <c r="G17" s="103">
        <v>219.53013447300003</v>
      </c>
      <c r="H17" s="104">
        <v>1205.819554188422</v>
      </c>
      <c r="I17" s="105">
        <v>2287.5105990285674</v>
      </c>
      <c r="J17" s="105">
        <v>435.19768763078127</v>
      </c>
      <c r="K17" s="105">
        <v>3928.5278408477707</v>
      </c>
      <c r="L17" s="104">
        <v>6417.0250199999991</v>
      </c>
      <c r="M17" s="106">
        <v>0.61220391514817118</v>
      </c>
      <c r="N17" s="107" t="s">
        <v>160</v>
      </c>
      <c r="O17" s="102">
        <v>37.823695437569576</v>
      </c>
      <c r="P17" s="103">
        <v>1</v>
      </c>
      <c r="Q17" s="103">
        <v>1</v>
      </c>
      <c r="R17" s="108">
        <v>3</v>
      </c>
      <c r="S17" s="107">
        <v>24</v>
      </c>
      <c r="T17" s="125">
        <v>1</v>
      </c>
      <c r="U17" s="106">
        <v>0</v>
      </c>
      <c r="V17" s="106">
        <v>0.45801723872262812</v>
      </c>
      <c r="W17" s="106">
        <v>0.54198276127737188</v>
      </c>
      <c r="X17" s="106">
        <v>0</v>
      </c>
      <c r="Y17" s="104">
        <v>2939.108080474417</v>
      </c>
      <c r="Z17" s="105">
        <v>3477.9169395255822</v>
      </c>
      <c r="AA17" s="105">
        <v>0</v>
      </c>
      <c r="AB17" s="105">
        <v>88784.291666666672</v>
      </c>
      <c r="AC17" s="101">
        <v>3</v>
      </c>
      <c r="AD17" s="109">
        <v>2</v>
      </c>
      <c r="AE17" s="101">
        <v>49539</v>
      </c>
      <c r="AF17" s="109">
        <v>39986</v>
      </c>
      <c r="AG17" s="110">
        <v>0.80716203395304709</v>
      </c>
      <c r="AH17" s="106">
        <v>0.86201457270143456</v>
      </c>
      <c r="AI17" s="101">
        <v>3040.8465568953998</v>
      </c>
      <c r="AJ17" s="109">
        <v>1520.4232784476999</v>
      </c>
      <c r="AK17" s="106">
        <v>0.8378534746048103</v>
      </c>
      <c r="AL17" s="104">
        <v>8402913.4699999988</v>
      </c>
      <c r="AM17" s="105">
        <v>399172.70404293295</v>
      </c>
      <c r="AN17" s="106">
        <v>4.7504083609578453E-2</v>
      </c>
      <c r="AO17" s="104">
        <v>280499.73797611508</v>
      </c>
      <c r="AP17" s="106">
        <v>1.2760198524777661E-3</v>
      </c>
      <c r="AQ17" s="109">
        <v>39</v>
      </c>
      <c r="AR17" s="101">
        <v>2</v>
      </c>
      <c r="AS17" s="105">
        <v>653443.00027381117</v>
      </c>
      <c r="AT17" s="104">
        <v>933942.73824992625</v>
      </c>
      <c r="AU17" s="101">
        <v>3</v>
      </c>
      <c r="AV17" s="109">
        <v>1</v>
      </c>
      <c r="AW17" s="109">
        <v>0</v>
      </c>
      <c r="AX17" s="109">
        <v>2</v>
      </c>
      <c r="AY17" s="110">
        <v>0.33333333333333331</v>
      </c>
      <c r="AZ17" s="109">
        <v>7680.3149414644959</v>
      </c>
      <c r="BA17" s="102">
        <v>37.823695437569604</v>
      </c>
      <c r="BB17" s="106">
        <v>0.79605099850875671</v>
      </c>
      <c r="BC17" s="111">
        <v>225.55650982293636</v>
      </c>
      <c r="BD17" s="74" t="s">
        <v>1135</v>
      </c>
      <c r="BE17" s="88" t="str">
        <f>IFERROR(_xlfn.XLOOKUP([2]!BaseMaestraCeDi[[#This Row],[CeDi]], '[2]Potencial Hor x CeDi'!$B$6:$BU$6, '[2]Potencial Hor x CeDi'!$B$21:$BU$21) / 1000, "")</f>
        <v/>
      </c>
      <c r="BF17" s="89" t="str">
        <f>IFERROR(_xlfn.XLOOKUP([2]!BaseMaestraCeDi[[#This Row],[CeDi]], '[2]Potencial Hor x CeDi'!$B$6:$BU$6, '[2]Potencial Hor x CeDi'!$B$22:$BU$22) / 1000, "")</f>
        <v/>
      </c>
      <c r="BG17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17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17" s="78">
        <f>IFERROR(INDEX('[2]Potencial Hor SocioDem x CeDi'!$C$2:$AF$81, MATCH($C17,'[2]Potencial Hor SocioDem x CeDi'!$B$2:$B$81,0), MATCH(BI$4,'[2]Potencial Hor SocioDem x CeDi'!$C$1:$AF$1,0)), "")</f>
        <v>12918</v>
      </c>
      <c r="BJ17" s="78">
        <f>IFERROR(INDEX('[2]Potencial Hor SocioDem x CeDi'!$C$2:$AF$81, MATCH($C17,'[2]Potencial Hor SocioDem x CeDi'!$B$2:$B$81,0), MATCH(BJ$4,'[2]Potencial Hor SocioDem x CeDi'!$C$1:$AF$1,0)), "")</f>
        <v>764345</v>
      </c>
      <c r="BK17" s="78">
        <f>IFERROR(INDEX('[2]Potencial Hor SocioDem x CeDi'!$C$2:$AF$81, MATCH($C17,'[2]Potencial Hor SocioDem x CeDi'!$B$2:$B$81,0), MATCH(BK$4,'[2]Potencial Hor SocioDem x CeDi'!$C$1:$AF$1,0)), "")</f>
        <v>233255</v>
      </c>
      <c r="BL17" s="79">
        <f>IFERROR(INDEX('[2]Potencial Hor SocioDem x CeDi'!$C$2:$AF$81, MATCH($C17,'[2]Potencial Hor SocioDem x CeDi'!$B$2:$B$81,0), MATCH(BL$4,'[2]Potencial Hor SocioDem x CeDi'!$C$1:$AF$1,0)), "")</f>
        <v>3.276864375897623</v>
      </c>
      <c r="BM17" s="79">
        <f>IFERROR(INDEX('[2]Potencial Hor SocioDem x CeDi'!$C$2:$AF$81, MATCH($C17,'[2]Potencial Hor SocioDem x CeDi'!$B$2:$B$81,0), MATCH(BM$4,'[2]Potencial Hor SocioDem x CeDi'!$C$1:$AF$1,0)), "")</f>
        <v>18.056587707075401</v>
      </c>
      <c r="BN17" s="78">
        <f>IFERROR(INDEX('[2]Potencial Hor SocioDem x CeDi'!$C$2:$AF$81, MATCH($C17,'[2]Potencial Hor SocioDem x CeDi'!$B$2:$B$81,0), MATCH(BN$4,'[2]Potencial Hor SocioDem x CeDi'!$C$1:$AF$1,0)), "")</f>
        <v>2611</v>
      </c>
      <c r="BO17" s="78">
        <f>IFERROR(INDEX('[2]Potencial Hor SocioDem x CeDi'!$C$2:$AF$81, MATCH($C17,'[2]Potencial Hor SocioDem x CeDi'!$B$2:$B$81,0), MATCH(BO$4,'[2]Potencial Hor SocioDem x CeDi'!$C$1:$AF$1,0)), "")</f>
        <v>16980</v>
      </c>
      <c r="BP17" s="78">
        <f>IFERROR(INDEX('[2]Potencial Hor SocioDem x CeDi'!$C$2:$AF$81, MATCH($C17,'[2]Potencial Hor SocioDem x CeDi'!$B$2:$B$81,0), MATCH(BP$4,'[2]Potencial Hor SocioDem x CeDi'!$C$1:$AF$1,0)), "")</f>
        <v>19591</v>
      </c>
      <c r="BQ17" s="80">
        <f>IFERROR(INDEX('[2]Potencial Hor SocioDem x CeDi'!$C$2:$AF$81, MATCH($C17,'[2]Potencial Hor SocioDem x CeDi'!$B$2:$B$81,0), MATCH(BQ$4,'[2]Potencial Hor SocioDem x CeDi'!$C$1:$AF$1,0)), "")</f>
        <v>8.3989625088422545E-2</v>
      </c>
      <c r="BR17" s="80">
        <f>IFERROR(INDEX('[2]Potencial Hor SocioDem x CeDi'!$C$2:$AF$81, MATCH($C17,'[2]Potencial Hor SocioDem x CeDi'!$B$2:$B$81,0), MATCH(BR$4,'[2]Potencial Hor SocioDem x CeDi'!$C$1:$AF$1,0)), "")</f>
        <v>1.119375790443935E-2</v>
      </c>
      <c r="BS17" s="80">
        <f>IFERROR(INDEX('[2]Potencial Hor SocioDem x CeDi'!$C$2:$AF$81, MATCH($C17,'[2]Potencial Hor SocioDem x CeDi'!$B$2:$B$81,0), MATCH(BS$4,'[2]Potencial Hor SocioDem x CeDi'!$C$1:$AF$1,0)), "")</f>
        <v>7.279586718398319E-2</v>
      </c>
      <c r="BT17" s="80">
        <f>IFERROR(INDEX('[2]Potencial Hor SocioDem x CeDi'!$C$2:$AF$81, MATCH($C17,'[2]Potencial Hor SocioDem x CeDi'!$B$2:$B$81,0), MATCH(BT$4,'[2]Potencial Hor SocioDem x CeDi'!$C$1:$AF$1,0)), "")</f>
        <v>0.189573642580009</v>
      </c>
      <c r="BU17" s="80">
        <f>IFERROR(INDEX('[2]Potencial Hor SocioDem x CeDi'!$C$2:$AF$81, MATCH($C17,'[2]Potencial Hor SocioDem x CeDi'!$B$2:$B$81,0), MATCH(BU$4,'[2]Potencial Hor SocioDem x CeDi'!$C$1:$AF$1,0)), "")</f>
        <v>7.5183811708216336E-2</v>
      </c>
      <c r="BV17" s="80">
        <f>IFERROR(INDEX('[2]Potencial Hor SocioDem x CeDi'!$C$2:$AF$81, MATCH($C17,'[2]Potencial Hor SocioDem x CeDi'!$B$2:$B$81,0), MATCH(BV$4,'[2]Potencial Hor SocioDem x CeDi'!$C$1:$AF$1,0)), "")</f>
        <v>2.7544961522796941E-2</v>
      </c>
      <c r="BW17" s="80">
        <f>IFERROR(INDEX('[2]Potencial Hor SocioDem x CeDi'!$C$2:$AF$81, MATCH($C17,'[2]Potencial Hor SocioDem x CeDi'!$B$2:$B$81,0), MATCH(BW$4,'[2]Potencial Hor SocioDem x CeDi'!$C$1:$AF$1,0)), "")</f>
        <v>0.62368223617928875</v>
      </c>
      <c r="BX17" s="80">
        <f>IFERROR(INDEX('[2]Potencial Hor SocioDem x CeDi'!$C$2:$AF$81, MATCH($C17,'[2]Potencial Hor SocioDem x CeDi'!$B$2:$B$81,0), MATCH(BX$4,'[2]Potencial Hor SocioDem x CeDi'!$C$1:$AF$1,0)), "")</f>
        <v>4.2871535444041934E-6</v>
      </c>
      <c r="BY17" s="80">
        <f>IFERROR(INDEX('[2]Potencial Hor SocioDem x CeDi'!$C$2:$AF$81, MATCH($C17,'[2]Potencial Hor SocioDem x CeDi'!$B$2:$B$81,0), MATCH(BY$4,'[2]Potencial Hor SocioDem x CeDi'!$C$1:$AF$1,0)), "")</f>
        <v>2.1435767722020959E-5</v>
      </c>
      <c r="BZ17" s="79">
        <f>IFERROR(INDEX('[2]Potencial Hor SocioDem x CeDi'!$C$2:$AF$81, MATCH($C17,'[2]Potencial Hor SocioDem x CeDi'!$B$2:$B$81,0), MATCH(BZ$4,'[2]Potencial Hor SocioDem x CeDi'!$C$1:$AF$1,0)), "")</f>
        <v>4.5293682826472326</v>
      </c>
      <c r="CA17" s="79">
        <f>IFERROR(INDEX('[2]Potencial Hor SocioDem x CeDi'!$C$2:$AF$81, MATCH($C17,'[2]Potencial Hor SocioDem x CeDi'!$B$2:$B$81,0), MATCH(CA$4,'[2]Potencial Hor SocioDem x CeDi'!$C$1:$AF$1,0)), "")</f>
        <v>0.59266430734812159</v>
      </c>
      <c r="CB17" s="81">
        <f>IFERROR(INDEX('[2]Potencial Hor SocioDem x CeDi'!$C$2:$AF$81, MATCH($C17,'[2]Potencial Hor SocioDem x CeDi'!$B$2:$B$81,0), MATCH(CB$4,'[2]Potencial Hor SocioDem x CeDi'!$C$1:$AF$1,0)), "")</f>
        <v>613</v>
      </c>
      <c r="CC17" s="82">
        <f>IFERROR(INDEX('[2]Potencial Hor SocioDem x CeDi'!$C$2:$AF$81, MATCH($C17,'[2]Potencial Hor SocioDem x CeDi'!$B$2:$B$81,0), MATCH(CC$4,'[2]Potencial Hor SocioDem x CeDi'!$C$1:$AF$1,0)), "")</f>
        <v>308</v>
      </c>
      <c r="CD17" s="83">
        <f>IFERROR(INDEX('[2]Potencial Hor SocioDem x CeDi'!$C$2:$AF$81, MATCH($C17,'[2]Potencial Hor SocioDem x CeDi'!$B$2:$B$81,0), MATCH(CD$4,'[2]Potencial Hor SocioDem x CeDi'!$C$1:$AF$1,0)), "")</f>
        <v>1.5721504772599659E-2</v>
      </c>
      <c r="CE17" s="78" t="str">
        <f>IFERROR(_xlfn.XLOOKUP([2]!BaseMaestraCeDi[[#This Row],[CeDi]], '[2]Potencial Hor x CeDi'!$B$6:$BU$6, '[2]Potencial Hor x CeDi'!$B$50:$BU$50), "")</f>
        <v/>
      </c>
      <c r="CF17" s="90" t="str">
        <f>IFERROR(_xlfn.XLOOKUP([2]!BaseMaestraCeDi[[#This Row],[CeDi]], '[2]Potencial Hor x CeDi'!$B$6:$BU$6, '[2]Potencial Hor x CeDi'!$B$34:$BU$34), "")</f>
        <v/>
      </c>
      <c r="CG17" s="90" t="str">
        <f>IFERROR(_xlfn.XLOOKUP([2]!BaseMaestraCeDi[[#This Row],[CeDi]], '[2]Potencial Hor x CeDi'!$B$6:$BU$6, '[2]Potencial Hor x CeDi'!$B$64:$BU$64), "")</f>
        <v/>
      </c>
      <c r="CH17" s="91" t="str">
        <f>IFERROR(_xlfn.XLOOKUP([2]!BaseMaestraCeDi[[#This Row],[CeDi]], '[2]Potencial Hor x CeDi'!$B$6:$BU$6, '[2]Potencial Hor x CeDi'!$B$38:$BU$38), "")</f>
        <v/>
      </c>
      <c r="CI17" s="90" t="str">
        <f>IFERROR(_xlfn.XLOOKUP([2]!BaseMaestraCeDi[[#This Row],[CeDi]], '[2]Potencial Hor x CeDi'!$B$6:$BU$6, '[2]Potencial Hor x CeDi'!$B$26:$BU$26), "")</f>
        <v/>
      </c>
      <c r="CJ17" s="92" t="str">
        <f>IFERROR(_xlfn.XLOOKUP([2]!BaseMaestraCeDi[[#This Row],[CeDi]], '[2]Potencial Hor x CeDi'!$B$6:$BU$6, '[2]Potencial Hor x CeDi'!$B$27:$BU$27), "")</f>
        <v/>
      </c>
      <c r="CK17" s="90" t="str">
        <f>IFERROR(_xlfn.XLOOKUP([2]!BaseMaestraCeDi[[#This Row],[CeDi]], '[2]Potencial Hor x CeDi'!$B$6:$BU$6, '[2]Potencial Hor x CeDi'!$B$28:$BU$28), "")</f>
        <v/>
      </c>
      <c r="CL17" s="92" t="str">
        <f>IFERROR(_xlfn.XLOOKUP([2]!BaseMaestraCeDi[[#This Row],[CeDi]], '[2]Potencial Hor x CeDi'!$B$6:$BU$6, '[2]Potencial Hor x CeDi'!$B$29:$BU$29), "")</f>
        <v/>
      </c>
      <c r="CM17" s="93" t="str">
        <f>IFERROR(_xlfn.XLOOKUP([2]!BaseMaestraCeDi[[#This Row],[CeDi]], '[2]Potencial Hor x CeDi'!$B$6:$BU$6, '[2]Potencial Hor x CeDi'!$B$39:$BU$39), "")</f>
        <v/>
      </c>
      <c r="CN17" s="94" t="str">
        <f>IFERROR(_xlfn.XLOOKUP([2]!BaseMaestraCeDi[[#This Row],[CeDi]], '[2]Potencial Hor x CeDi'!$B$6:$BU$6, '[2]Potencial Hor x CeDi'!$B$43:$BU$43), "")</f>
        <v/>
      </c>
      <c r="CO17" s="94" t="str">
        <f>IFERROR(_xlfn.XLOOKUP([2]!BaseMaestraCeDi[[#This Row],[CeDi]], '[2]Potencial Hor x CeDi'!$B$6:$BU$6, '[2]Potencial Hor x CeDi'!$B$46:$BU$46), "")</f>
        <v/>
      </c>
      <c r="CP17" s="86" t="str">
        <f>IFERROR(_xlfn.XLOOKUP([2]!BaseMaestraCeDi[[#This Row],[CeDi]], '[2]Potencial Hor x CeDi'!$B$6:$BU$6, '[2]Potencial Hor x CeDi'!$B$51:$BU$51), "")</f>
        <v/>
      </c>
      <c r="CQ17" s="82" t="str">
        <f>IFERROR(_xlfn.XLOOKUP([2]!BaseMaestraCeDi[[#This Row],[CeDi]], '[2]Potencial Hor x CeDi'!$B$6:$BU$6, '[2]Potencial Hor x CeDi'!$B$52:$BU$52), "")</f>
        <v/>
      </c>
      <c r="CR17" s="82" t="str">
        <f>IFERROR(_xlfn.XLOOKUP([2]!BaseMaestraCeDi[[#This Row],[CeDi]], '[2]Potencial Hor x CeDi'!$B$6:$BU$6, '[2]Potencial Hor x CeDi'!$B$53:$BU$53), "")</f>
        <v/>
      </c>
      <c r="CS17" s="87" t="str">
        <f>IFERROR(_xlfn.XLOOKUP([2]!BaseMaestraCeDi[[#This Row],[CeDi]], '[2]Potencial Hor x CeDi'!$B$6:$BU$6, '[2]Potencial Hor x CeDi'!$B$60:$BU$60), "")</f>
        <v/>
      </c>
      <c r="CT17" s="90" t="str">
        <f>IFERROR(_xlfn.XLOOKUP([2]!BaseMaestraCeDi[[#This Row],[CeDi]], '[2]Potencial Hor x CeDi'!$B$6:$BU$6, '[2]Potencial Hor x CeDi'!$B$65:$BU$65), "")</f>
        <v/>
      </c>
      <c r="CU17" s="90" t="str">
        <f>IFERROR(_xlfn.XLOOKUP([2]!BaseMaestraCeDi[[#This Row],[CeDi]], '[2]Potencial Hor x CeDi'!$B$6:$BU$6, '[2]Potencial Hor x CeDi'!$B$68:$BU$68), "")</f>
        <v/>
      </c>
      <c r="CV17" s="95" t="str">
        <f>IFERROR(_xlfn.XLOOKUP([2]!BaseMaestraCeDi[[#This Row],[CeDi]], '[2]Potencial Hor x CeDi'!$B$6:$BU$6, '[2]Potencial Hor x CeDi'!$B$71:$BU$71), "")</f>
        <v/>
      </c>
    </row>
    <row r="18" spans="1:100">
      <c r="A18" s="112" t="s">
        <v>92</v>
      </c>
      <c r="B18" s="112" t="s">
        <v>283</v>
      </c>
      <c r="C18" s="112" t="s">
        <v>284</v>
      </c>
      <c r="D18" s="113">
        <v>21</v>
      </c>
      <c r="E18" s="114">
        <v>2083.3234799999996</v>
      </c>
      <c r="F18" s="115">
        <v>170.24885091499971</v>
      </c>
      <c r="G18" s="115">
        <v>2253.5723309149994</v>
      </c>
      <c r="H18" s="116">
        <v>3749.7377439252155</v>
      </c>
      <c r="I18" s="117">
        <v>29778.08004843954</v>
      </c>
      <c r="J18" s="117">
        <v>1011.1960804390053</v>
      </c>
      <c r="K18" s="117">
        <v>34539.013872803756</v>
      </c>
      <c r="L18" s="116">
        <v>52541.447358210869</v>
      </c>
      <c r="M18" s="118">
        <v>0.6573670047063559</v>
      </c>
      <c r="N18" s="119" t="s">
        <v>211</v>
      </c>
      <c r="O18" s="114">
        <v>54.939364431724158</v>
      </c>
      <c r="P18" s="115">
        <v>1</v>
      </c>
      <c r="Q18" s="115">
        <v>1</v>
      </c>
      <c r="R18" s="120">
        <v>32</v>
      </c>
      <c r="S18" s="119">
        <v>250</v>
      </c>
      <c r="T18" s="121">
        <v>0.9165759856071185</v>
      </c>
      <c r="U18" s="118">
        <v>8.3424014392881496E-2</v>
      </c>
      <c r="V18" s="118">
        <v>0.60136750443182796</v>
      </c>
      <c r="W18" s="118">
        <v>0.3986324955681721</v>
      </c>
      <c r="X18" s="118">
        <v>0</v>
      </c>
      <c r="Y18" s="116">
        <v>31596.71907704353</v>
      </c>
      <c r="Z18" s="117">
        <v>20944.728281167343</v>
      </c>
      <c r="AA18" s="117">
        <v>0</v>
      </c>
      <c r="AB18" s="117">
        <v>99708.274405546152</v>
      </c>
      <c r="AC18" s="113">
        <v>22</v>
      </c>
      <c r="AD18" s="122">
        <v>16</v>
      </c>
      <c r="AE18" s="113">
        <v>514719</v>
      </c>
      <c r="AF18" s="122">
        <v>301520</v>
      </c>
      <c r="AG18" s="123">
        <v>0.58579535630120516</v>
      </c>
      <c r="AH18" s="118">
        <v>0.73696442291874287</v>
      </c>
      <c r="AI18" s="113">
        <v>91806.618298580288</v>
      </c>
      <c r="AJ18" s="122">
        <v>45903.309149290144</v>
      </c>
      <c r="AK18" s="118">
        <v>0.67497665551357178</v>
      </c>
      <c r="AL18" s="116">
        <v>73341384.709999993</v>
      </c>
      <c r="AM18" s="117">
        <v>12507677.232295565</v>
      </c>
      <c r="AN18" s="118">
        <v>0.1705405110873256</v>
      </c>
      <c r="AO18" s="116">
        <v>8789178.5956671536</v>
      </c>
      <c r="AP18" s="118">
        <v>3.998280517466625E-2</v>
      </c>
      <c r="AQ18" s="122">
        <v>10</v>
      </c>
      <c r="AR18" s="113">
        <v>16</v>
      </c>
      <c r="AS18" s="117">
        <v>4720116.6065637842</v>
      </c>
      <c r="AT18" s="116">
        <v>13509295.202230938</v>
      </c>
      <c r="AU18" s="113">
        <v>23</v>
      </c>
      <c r="AV18" s="122">
        <v>0</v>
      </c>
      <c r="AW18" s="122">
        <v>8</v>
      </c>
      <c r="AX18" s="122">
        <v>14</v>
      </c>
      <c r="AY18" s="123">
        <v>0</v>
      </c>
      <c r="AZ18" s="122">
        <v>68281.895481081752</v>
      </c>
      <c r="BA18" s="114">
        <v>54.939364431724158</v>
      </c>
      <c r="BB18" s="118">
        <v>0.58321405260746573</v>
      </c>
      <c r="BC18" s="124">
        <v>331.40271724151597</v>
      </c>
      <c r="BD18" s="74" t="s">
        <v>1136</v>
      </c>
      <c r="BE18" s="88" t="str">
        <f>IFERROR(_xlfn.XLOOKUP([2]!BaseMaestraCeDi[[#This Row],[CeDi]], '[2]Potencial Hor x CeDi'!$B$6:$BU$6, '[2]Potencial Hor x CeDi'!$B$21:$BU$21) / 1000, "")</f>
        <v/>
      </c>
      <c r="BF18" s="89" t="str">
        <f>IFERROR(_xlfn.XLOOKUP([2]!BaseMaestraCeDi[[#This Row],[CeDi]], '[2]Potencial Hor x CeDi'!$B$6:$BU$6, '[2]Potencial Hor x CeDi'!$B$22:$BU$22) / 1000, "")</f>
        <v/>
      </c>
      <c r="BG18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18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18" s="78">
        <f>IFERROR(INDEX('[2]Potencial Hor SocioDem x CeDi'!$C$2:$AF$81, MATCH($C18,'[2]Potencial Hor SocioDem x CeDi'!$B$2:$B$81,0), MATCH(BI$4,'[2]Potencial Hor SocioDem x CeDi'!$C$1:$AF$1,0)), "")</f>
        <v>15064</v>
      </c>
      <c r="BJ18" s="78">
        <f>IFERROR(INDEX('[2]Potencial Hor SocioDem x CeDi'!$C$2:$AF$81, MATCH($C18,'[2]Potencial Hor SocioDem x CeDi'!$B$2:$B$81,0), MATCH(BJ$4,'[2]Potencial Hor SocioDem x CeDi'!$C$1:$AF$1,0)), "")</f>
        <v>982822</v>
      </c>
      <c r="BK18" s="78">
        <f>IFERROR(INDEX('[2]Potencial Hor SocioDem x CeDi'!$C$2:$AF$81, MATCH($C18,'[2]Potencial Hor SocioDem x CeDi'!$B$2:$B$81,0), MATCH(BK$4,'[2]Potencial Hor SocioDem x CeDi'!$C$1:$AF$1,0)), "")</f>
        <v>271716</v>
      </c>
      <c r="BL18" s="79">
        <f>IFERROR(INDEX('[2]Potencial Hor SocioDem x CeDi'!$C$2:$AF$81, MATCH($C18,'[2]Potencial Hor SocioDem x CeDi'!$B$2:$B$81,0), MATCH(BL$4,'[2]Potencial Hor SocioDem x CeDi'!$C$1:$AF$1,0)), "")</f>
        <v>3.617092846943132</v>
      </c>
      <c r="BM18" s="79">
        <f>IFERROR(INDEX('[2]Potencial Hor SocioDem x CeDi'!$C$2:$AF$81, MATCH($C18,'[2]Potencial Hor SocioDem x CeDi'!$B$2:$B$81,0), MATCH(BM$4,'[2]Potencial Hor SocioDem x CeDi'!$C$1:$AF$1,0)), "")</f>
        <v>18.037440254912369</v>
      </c>
      <c r="BN18" s="78">
        <f>IFERROR(INDEX('[2]Potencial Hor SocioDem x CeDi'!$C$2:$AF$81, MATCH($C18,'[2]Potencial Hor SocioDem x CeDi'!$B$2:$B$81,0), MATCH(BN$4,'[2]Potencial Hor SocioDem x CeDi'!$C$1:$AF$1,0)), "")</f>
        <v>31625</v>
      </c>
      <c r="BO18" s="78">
        <f>IFERROR(INDEX('[2]Potencial Hor SocioDem x CeDi'!$C$2:$AF$81, MATCH($C18,'[2]Potencial Hor SocioDem x CeDi'!$B$2:$B$81,0), MATCH(BO$4,'[2]Potencial Hor SocioDem x CeDi'!$C$1:$AF$1,0)), "")</f>
        <v>65204</v>
      </c>
      <c r="BP18" s="78">
        <f>IFERROR(INDEX('[2]Potencial Hor SocioDem x CeDi'!$C$2:$AF$81, MATCH($C18,'[2]Potencial Hor SocioDem x CeDi'!$B$2:$B$81,0), MATCH(BP$4,'[2]Potencial Hor SocioDem x CeDi'!$C$1:$AF$1,0)), "")</f>
        <v>96829</v>
      </c>
      <c r="BQ18" s="80">
        <f>IFERROR(INDEX('[2]Potencial Hor SocioDem x CeDi'!$C$2:$AF$81, MATCH($C18,'[2]Potencial Hor SocioDem x CeDi'!$B$2:$B$81,0), MATCH(BQ$4,'[2]Potencial Hor SocioDem x CeDi'!$C$1:$AF$1,0)), "")</f>
        <v>0.35636105345286989</v>
      </c>
      <c r="BR18" s="80">
        <f>IFERROR(INDEX('[2]Potencial Hor SocioDem x CeDi'!$C$2:$AF$81, MATCH($C18,'[2]Potencial Hor SocioDem x CeDi'!$B$2:$B$81,0), MATCH(BR$4,'[2]Potencial Hor SocioDem x CeDi'!$C$1:$AF$1,0)), "")</f>
        <v>0.1163899071088931</v>
      </c>
      <c r="BS18" s="80">
        <f>IFERROR(INDEX('[2]Potencial Hor SocioDem x CeDi'!$C$2:$AF$81, MATCH($C18,'[2]Potencial Hor SocioDem x CeDi'!$B$2:$B$81,0), MATCH(BS$4,'[2]Potencial Hor SocioDem x CeDi'!$C$1:$AF$1,0)), "")</f>
        <v>0.23997114634397679</v>
      </c>
      <c r="BT18" s="80">
        <f>IFERROR(INDEX('[2]Potencial Hor SocioDem x CeDi'!$C$2:$AF$81, MATCH($C18,'[2]Potencial Hor SocioDem x CeDi'!$B$2:$B$81,0), MATCH(BT$4,'[2]Potencial Hor SocioDem x CeDi'!$C$1:$AF$1,0)), "")</f>
        <v>0.2151253514699171</v>
      </c>
      <c r="BU18" s="80">
        <f>IFERROR(INDEX('[2]Potencial Hor SocioDem x CeDi'!$C$2:$AF$81, MATCH($C18,'[2]Potencial Hor SocioDem x CeDi'!$B$2:$B$81,0), MATCH(BU$4,'[2]Potencial Hor SocioDem x CeDi'!$C$1:$AF$1,0)), "")</f>
        <v>0.1016833752889046</v>
      </c>
      <c r="BV18" s="80">
        <f>IFERROR(INDEX('[2]Potencial Hor SocioDem x CeDi'!$C$2:$AF$81, MATCH($C18,'[2]Potencial Hor SocioDem x CeDi'!$B$2:$B$81,0), MATCH(BV$4,'[2]Potencial Hor SocioDem x CeDi'!$C$1:$AF$1,0)), "")</f>
        <v>2.1872101753301239E-2</v>
      </c>
      <c r="BW18" s="80">
        <f>IFERROR(INDEX('[2]Potencial Hor SocioDem x CeDi'!$C$2:$AF$81, MATCH($C18,'[2]Potencial Hor SocioDem x CeDi'!$B$2:$B$81,0), MATCH(BW$4,'[2]Potencial Hor SocioDem x CeDi'!$C$1:$AF$1,0)), "")</f>
        <v>0.30474465986544769</v>
      </c>
      <c r="BX18" s="80">
        <f>IFERROR(INDEX('[2]Potencial Hor SocioDem x CeDi'!$C$2:$AF$81, MATCH($C18,'[2]Potencial Hor SocioDem x CeDi'!$B$2:$B$81,0), MATCH(BX$4,'[2]Potencial Hor SocioDem x CeDi'!$C$1:$AF$1,0)), "")</f>
        <v>1.9505660321806589E-4</v>
      </c>
      <c r="BY18" s="80">
        <f>IFERROR(INDEX('[2]Potencial Hor SocioDem x CeDi'!$C$2:$AF$81, MATCH($C18,'[2]Potencial Hor SocioDem x CeDi'!$B$2:$B$81,0), MATCH(BY$4,'[2]Potencial Hor SocioDem x CeDi'!$C$1:$AF$1,0)), "")</f>
        <v>1.840156634132697E-5</v>
      </c>
      <c r="BZ18" s="79">
        <f>IFERROR(INDEX('[2]Potencial Hor SocioDem x CeDi'!$C$2:$AF$81, MATCH($C18,'[2]Potencial Hor SocioDem x CeDi'!$B$2:$B$81,0), MATCH(BZ$4,'[2]Potencial Hor SocioDem x CeDi'!$C$1:$AF$1,0)), "")</f>
        <v>4.4769042614023693</v>
      </c>
      <c r="CA18" s="79">
        <f>IFERROR(INDEX('[2]Potencial Hor SocioDem x CeDi'!$C$2:$AF$81, MATCH($C18,'[2]Potencial Hor SocioDem x CeDi'!$B$2:$B$81,0), MATCH(CA$4,'[2]Potencial Hor SocioDem x CeDi'!$C$1:$AF$1,0)), "")</f>
        <v>0.51077407709636125</v>
      </c>
      <c r="CB18" s="81">
        <f>IFERROR(INDEX('[2]Potencial Hor SocioDem x CeDi'!$C$2:$AF$81, MATCH($C18,'[2]Potencial Hor SocioDem x CeDi'!$B$2:$B$81,0), MATCH(CB$4,'[2]Potencial Hor SocioDem x CeDi'!$C$1:$AF$1,0)), "")</f>
        <v>7806</v>
      </c>
      <c r="CC18" s="82">
        <f>IFERROR(INDEX('[2]Potencial Hor SocioDem x CeDi'!$C$2:$AF$81, MATCH($C18,'[2]Potencial Hor SocioDem x CeDi'!$B$2:$B$81,0), MATCH(CC$4,'[2]Potencial Hor SocioDem x CeDi'!$C$1:$AF$1,0)), "")</f>
        <v>5702</v>
      </c>
      <c r="CD18" s="83">
        <f>IFERROR(INDEX('[2]Potencial Hor SocioDem x CeDi'!$C$2:$AF$81, MATCH($C18,'[2]Potencial Hor SocioDem x CeDi'!$B$2:$B$81,0), MATCH(CD$4,'[2]Potencial Hor SocioDem x CeDi'!$C$1:$AF$1,0)), "")</f>
        <v>5.8887316816243068E-2</v>
      </c>
      <c r="CE18" s="78" t="str">
        <f>IFERROR(_xlfn.XLOOKUP([2]!BaseMaestraCeDi[[#This Row],[CeDi]], '[2]Potencial Hor x CeDi'!$B$6:$BU$6, '[2]Potencial Hor x CeDi'!$B$50:$BU$50), "")</f>
        <v/>
      </c>
      <c r="CF18" s="90" t="str">
        <f>IFERROR(_xlfn.XLOOKUP([2]!BaseMaestraCeDi[[#This Row],[CeDi]], '[2]Potencial Hor x CeDi'!$B$6:$BU$6, '[2]Potencial Hor x CeDi'!$B$34:$BU$34), "")</f>
        <v/>
      </c>
      <c r="CG18" s="90" t="str">
        <f>IFERROR(_xlfn.XLOOKUP([2]!BaseMaestraCeDi[[#This Row],[CeDi]], '[2]Potencial Hor x CeDi'!$B$6:$BU$6, '[2]Potencial Hor x CeDi'!$B$64:$BU$64), "")</f>
        <v/>
      </c>
      <c r="CH18" s="91" t="str">
        <f>IFERROR(_xlfn.XLOOKUP([2]!BaseMaestraCeDi[[#This Row],[CeDi]], '[2]Potencial Hor x CeDi'!$B$6:$BU$6, '[2]Potencial Hor x CeDi'!$B$38:$BU$38), "")</f>
        <v/>
      </c>
      <c r="CI18" s="90" t="str">
        <f>IFERROR(_xlfn.XLOOKUP([2]!BaseMaestraCeDi[[#This Row],[CeDi]], '[2]Potencial Hor x CeDi'!$B$6:$BU$6, '[2]Potencial Hor x CeDi'!$B$26:$BU$26), "")</f>
        <v/>
      </c>
      <c r="CJ18" s="92" t="str">
        <f>IFERROR(_xlfn.XLOOKUP([2]!BaseMaestraCeDi[[#This Row],[CeDi]], '[2]Potencial Hor x CeDi'!$B$6:$BU$6, '[2]Potencial Hor x CeDi'!$B$27:$BU$27), "")</f>
        <v/>
      </c>
      <c r="CK18" s="90" t="str">
        <f>IFERROR(_xlfn.XLOOKUP([2]!BaseMaestraCeDi[[#This Row],[CeDi]], '[2]Potencial Hor x CeDi'!$B$6:$BU$6, '[2]Potencial Hor x CeDi'!$B$28:$BU$28), "")</f>
        <v/>
      </c>
      <c r="CL18" s="92" t="str">
        <f>IFERROR(_xlfn.XLOOKUP([2]!BaseMaestraCeDi[[#This Row],[CeDi]], '[2]Potencial Hor x CeDi'!$B$6:$BU$6, '[2]Potencial Hor x CeDi'!$B$29:$BU$29), "")</f>
        <v/>
      </c>
      <c r="CM18" s="93" t="str">
        <f>IFERROR(_xlfn.XLOOKUP([2]!BaseMaestraCeDi[[#This Row],[CeDi]], '[2]Potencial Hor x CeDi'!$B$6:$BU$6, '[2]Potencial Hor x CeDi'!$B$39:$BU$39), "")</f>
        <v/>
      </c>
      <c r="CN18" s="94" t="str">
        <f>IFERROR(_xlfn.XLOOKUP([2]!BaseMaestraCeDi[[#This Row],[CeDi]], '[2]Potencial Hor x CeDi'!$B$6:$BU$6, '[2]Potencial Hor x CeDi'!$B$43:$BU$43), "")</f>
        <v/>
      </c>
      <c r="CO18" s="94" t="str">
        <f>IFERROR(_xlfn.XLOOKUP([2]!BaseMaestraCeDi[[#This Row],[CeDi]], '[2]Potencial Hor x CeDi'!$B$6:$BU$6, '[2]Potencial Hor x CeDi'!$B$46:$BU$46), "")</f>
        <v/>
      </c>
      <c r="CP18" s="86" t="str">
        <f>IFERROR(_xlfn.XLOOKUP([2]!BaseMaestraCeDi[[#This Row],[CeDi]], '[2]Potencial Hor x CeDi'!$B$6:$BU$6, '[2]Potencial Hor x CeDi'!$B$51:$BU$51), "")</f>
        <v/>
      </c>
      <c r="CQ18" s="82" t="str">
        <f>IFERROR(_xlfn.XLOOKUP([2]!BaseMaestraCeDi[[#This Row],[CeDi]], '[2]Potencial Hor x CeDi'!$B$6:$BU$6, '[2]Potencial Hor x CeDi'!$B$52:$BU$52), "")</f>
        <v/>
      </c>
      <c r="CR18" s="82" t="str">
        <f>IFERROR(_xlfn.XLOOKUP([2]!BaseMaestraCeDi[[#This Row],[CeDi]], '[2]Potencial Hor x CeDi'!$B$6:$BU$6, '[2]Potencial Hor x CeDi'!$B$53:$BU$53), "")</f>
        <v/>
      </c>
      <c r="CS18" s="87" t="str">
        <f>IFERROR(_xlfn.XLOOKUP([2]!BaseMaestraCeDi[[#This Row],[CeDi]], '[2]Potencial Hor x CeDi'!$B$6:$BU$6, '[2]Potencial Hor x CeDi'!$B$60:$BU$60), "")</f>
        <v/>
      </c>
      <c r="CT18" s="90" t="str">
        <f>IFERROR(_xlfn.XLOOKUP([2]!BaseMaestraCeDi[[#This Row],[CeDi]], '[2]Potencial Hor x CeDi'!$B$6:$BU$6, '[2]Potencial Hor x CeDi'!$B$65:$BU$65), "")</f>
        <v/>
      </c>
      <c r="CU18" s="90" t="str">
        <f>IFERROR(_xlfn.XLOOKUP([2]!BaseMaestraCeDi[[#This Row],[CeDi]], '[2]Potencial Hor x CeDi'!$B$6:$BU$6, '[2]Potencial Hor x CeDi'!$B$68:$BU$68), "")</f>
        <v/>
      </c>
      <c r="CV18" s="95" t="str">
        <f>IFERROR(_xlfn.XLOOKUP([2]!BaseMaestraCeDi[[#This Row],[CeDi]], '[2]Potencial Hor x CeDi'!$B$6:$BU$6, '[2]Potencial Hor x CeDi'!$B$71:$BU$71), "")</f>
        <v/>
      </c>
    </row>
    <row r="19" spans="1:100">
      <c r="A19" s="100" t="s">
        <v>93</v>
      </c>
      <c r="B19" s="100" t="s">
        <v>308</v>
      </c>
      <c r="C19" s="100" t="s">
        <v>309</v>
      </c>
      <c r="D19" s="101">
        <v>8</v>
      </c>
      <c r="E19" s="102">
        <v>547.96701959999996</v>
      </c>
      <c r="F19" s="103">
        <v>91.264650916999983</v>
      </c>
      <c r="G19" s="103">
        <v>639.23167051699988</v>
      </c>
      <c r="H19" s="104">
        <v>1263.9564972912333</v>
      </c>
      <c r="I19" s="105">
        <v>9006.0589465777357</v>
      </c>
      <c r="J19" s="105">
        <v>1205.739214845114</v>
      </c>
      <c r="K19" s="105">
        <v>11475.754658714084</v>
      </c>
      <c r="L19" s="104">
        <v>21542.681456091323</v>
      </c>
      <c r="M19" s="106">
        <v>0.53269852604487389</v>
      </c>
      <c r="N19" s="107" t="s">
        <v>211</v>
      </c>
      <c r="O19" s="102">
        <v>41.725533815526916</v>
      </c>
      <c r="P19" s="103">
        <v>1</v>
      </c>
      <c r="Q19" s="103">
        <v>1</v>
      </c>
      <c r="R19" s="108">
        <v>10</v>
      </c>
      <c r="S19" s="107">
        <v>78</v>
      </c>
      <c r="T19" s="125">
        <v>0.89156247657985788</v>
      </c>
      <c r="U19" s="106">
        <v>0.10843752342014212</v>
      </c>
      <c r="V19" s="106">
        <v>0.38779301146022821</v>
      </c>
      <c r="W19" s="106">
        <v>0.60873094975553588</v>
      </c>
      <c r="X19" s="106">
        <v>3.4760387842359495E-3</v>
      </c>
      <c r="Y19" s="104">
        <v>8354.1013167860674</v>
      </c>
      <c r="Z19" s="105">
        <v>13113.696943047442</v>
      </c>
      <c r="AA19" s="105">
        <v>74.883196257814021</v>
      </c>
      <c r="AB19" s="105">
        <v>69185.017448646118</v>
      </c>
      <c r="AC19" s="101">
        <v>9</v>
      </c>
      <c r="AD19" s="109">
        <v>6</v>
      </c>
      <c r="AE19" s="101">
        <v>163194</v>
      </c>
      <c r="AF19" s="109">
        <v>110580</v>
      </c>
      <c r="AG19" s="110">
        <v>0.67759844111915879</v>
      </c>
      <c r="AH19" s="106">
        <v>0.76706276150627617</v>
      </c>
      <c r="AI19" s="101">
        <v>16365.712736401678</v>
      </c>
      <c r="AJ19" s="109">
        <v>8182.8563682008389</v>
      </c>
      <c r="AK19" s="106">
        <v>0.72774033584691122</v>
      </c>
      <c r="AL19" s="104">
        <v>30480339.819999997</v>
      </c>
      <c r="AM19" s="105">
        <v>2401258.3081961144</v>
      </c>
      <c r="AN19" s="106">
        <v>7.8780562237055624E-2</v>
      </c>
      <c r="AO19" s="104">
        <v>1687370.7030567292</v>
      </c>
      <c r="AP19" s="106">
        <v>7.67600900851142E-3</v>
      </c>
      <c r="AQ19" s="109">
        <v>25</v>
      </c>
      <c r="AR19" s="101">
        <v>6</v>
      </c>
      <c r="AS19" s="105">
        <v>2387240.6678868704</v>
      </c>
      <c r="AT19" s="104">
        <v>4074611.3709435994</v>
      </c>
      <c r="AU19" s="101">
        <v>10</v>
      </c>
      <c r="AV19" s="109">
        <v>2</v>
      </c>
      <c r="AW19" s="109">
        <v>0</v>
      </c>
      <c r="AX19" s="109">
        <v>7</v>
      </c>
      <c r="AY19" s="110">
        <v>0.2</v>
      </c>
      <c r="AZ19" s="109">
        <v>26524.631020355289</v>
      </c>
      <c r="BA19" s="102">
        <v>41.72553381552693</v>
      </c>
      <c r="BB19" s="106">
        <v>0.70903859245885192</v>
      </c>
      <c r="BC19" s="111">
        <v>237.00295845269022</v>
      </c>
      <c r="BD19" s="74" t="s">
        <v>1137</v>
      </c>
      <c r="BE19" s="88" t="str">
        <f>IFERROR(_xlfn.XLOOKUP([2]!BaseMaestraCeDi[[#This Row],[CeDi]], '[2]Potencial Hor x CeDi'!$B$6:$BU$6, '[2]Potencial Hor x CeDi'!$B$21:$BU$21) / 1000, "")</f>
        <v/>
      </c>
      <c r="BF19" s="89" t="str">
        <f>IFERROR(_xlfn.XLOOKUP([2]!BaseMaestraCeDi[[#This Row],[CeDi]], '[2]Potencial Hor x CeDi'!$B$6:$BU$6, '[2]Potencial Hor x CeDi'!$B$22:$BU$22) / 1000, "")</f>
        <v/>
      </c>
      <c r="BG19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19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19" s="78">
        <f>IFERROR(INDEX('[2]Potencial Hor SocioDem x CeDi'!$C$2:$AF$81, MATCH($C19,'[2]Potencial Hor SocioDem x CeDi'!$B$2:$B$81,0), MATCH(BI$4,'[2]Potencial Hor SocioDem x CeDi'!$C$1:$AF$1,0)), "")</f>
        <v>19590</v>
      </c>
      <c r="BJ19" s="78">
        <f>IFERROR(INDEX('[2]Potencial Hor SocioDem x CeDi'!$C$2:$AF$81, MATCH($C19,'[2]Potencial Hor SocioDem x CeDi'!$B$2:$B$81,0), MATCH(BJ$4,'[2]Potencial Hor SocioDem x CeDi'!$C$1:$AF$1,0)), "")</f>
        <v>924974</v>
      </c>
      <c r="BK19" s="78">
        <f>IFERROR(INDEX('[2]Potencial Hor SocioDem x CeDi'!$C$2:$AF$81, MATCH($C19,'[2]Potencial Hor SocioDem x CeDi'!$B$2:$B$81,0), MATCH(BK$4,'[2]Potencial Hor SocioDem x CeDi'!$C$1:$AF$1,0)), "")</f>
        <v>296066</v>
      </c>
      <c r="BL19" s="79">
        <f>IFERROR(INDEX('[2]Potencial Hor SocioDem x CeDi'!$C$2:$AF$81, MATCH($C19,'[2]Potencial Hor SocioDem x CeDi'!$B$2:$B$81,0), MATCH(BL$4,'[2]Potencial Hor SocioDem x CeDi'!$C$1:$AF$1,0)), "")</f>
        <v>3.1242155465335428</v>
      </c>
      <c r="BM19" s="79">
        <f>IFERROR(INDEX('[2]Potencial Hor SocioDem x CeDi'!$C$2:$AF$81, MATCH($C19,'[2]Potencial Hor SocioDem x CeDi'!$B$2:$B$81,0), MATCH(BM$4,'[2]Potencial Hor SocioDem x CeDi'!$C$1:$AF$1,0)), "")</f>
        <v>15.113118938233789</v>
      </c>
      <c r="BN19" s="78">
        <f>IFERROR(INDEX('[2]Potencial Hor SocioDem x CeDi'!$C$2:$AF$81, MATCH($C19,'[2]Potencial Hor SocioDem x CeDi'!$B$2:$B$81,0), MATCH(BN$4,'[2]Potencial Hor SocioDem x CeDi'!$C$1:$AF$1,0)), "")</f>
        <v>36777</v>
      </c>
      <c r="BO19" s="78">
        <f>IFERROR(INDEX('[2]Potencial Hor SocioDem x CeDi'!$C$2:$AF$81, MATCH($C19,'[2]Potencial Hor SocioDem x CeDi'!$B$2:$B$81,0), MATCH(BO$4,'[2]Potencial Hor SocioDem x CeDi'!$C$1:$AF$1,0)), "")</f>
        <v>68626</v>
      </c>
      <c r="BP19" s="78">
        <f>IFERROR(INDEX('[2]Potencial Hor SocioDem x CeDi'!$C$2:$AF$81, MATCH($C19,'[2]Potencial Hor SocioDem x CeDi'!$B$2:$B$81,0), MATCH(BP$4,'[2]Potencial Hor SocioDem x CeDi'!$C$1:$AF$1,0)), "")</f>
        <v>105403</v>
      </c>
      <c r="BQ19" s="80">
        <f>IFERROR(INDEX('[2]Potencial Hor SocioDem x CeDi'!$C$2:$AF$81, MATCH($C19,'[2]Potencial Hor SocioDem x CeDi'!$B$2:$B$81,0), MATCH(BQ$4,'[2]Potencial Hor SocioDem x CeDi'!$C$1:$AF$1,0)), "")</f>
        <v>0.35601183519890828</v>
      </c>
      <c r="BR19" s="80">
        <f>IFERROR(INDEX('[2]Potencial Hor SocioDem x CeDi'!$C$2:$AF$81, MATCH($C19,'[2]Potencial Hor SocioDem x CeDi'!$B$2:$B$81,0), MATCH(BR$4,'[2]Potencial Hor SocioDem x CeDi'!$C$1:$AF$1,0)), "")</f>
        <v>0.1242189241588024</v>
      </c>
      <c r="BS19" s="80">
        <f>IFERROR(INDEX('[2]Potencial Hor SocioDem x CeDi'!$C$2:$AF$81, MATCH($C19,'[2]Potencial Hor SocioDem x CeDi'!$B$2:$B$81,0), MATCH(BS$4,'[2]Potencial Hor SocioDem x CeDi'!$C$1:$AF$1,0)), "")</f>
        <v>0.23179291104010591</v>
      </c>
      <c r="BT19" s="80">
        <f>IFERROR(INDEX('[2]Potencial Hor SocioDem x CeDi'!$C$2:$AF$81, MATCH($C19,'[2]Potencial Hor SocioDem x CeDi'!$B$2:$B$81,0), MATCH(BT$4,'[2]Potencial Hor SocioDem x CeDi'!$C$1:$AF$1,0)), "")</f>
        <v>0.30798200401261883</v>
      </c>
      <c r="BU19" s="80">
        <f>IFERROR(INDEX('[2]Potencial Hor SocioDem x CeDi'!$C$2:$AF$81, MATCH($C19,'[2]Potencial Hor SocioDem x CeDi'!$B$2:$B$81,0), MATCH(BU$4,'[2]Potencial Hor SocioDem x CeDi'!$C$1:$AF$1,0)), "")</f>
        <v>3.0483067964575471E-2</v>
      </c>
      <c r="BV19" s="80">
        <f>IFERROR(INDEX('[2]Potencial Hor SocioDem x CeDi'!$C$2:$AF$81, MATCH($C19,'[2]Potencial Hor SocioDem x CeDi'!$B$2:$B$81,0), MATCH(BV$4,'[2]Potencial Hor SocioDem x CeDi'!$C$1:$AF$1,0)), "")</f>
        <v>6.5796140049853751E-3</v>
      </c>
      <c r="BW19" s="80">
        <f>IFERROR(INDEX('[2]Potencial Hor SocioDem x CeDi'!$C$2:$AF$81, MATCH($C19,'[2]Potencial Hor SocioDem x CeDi'!$B$2:$B$81,0), MATCH(BW$4,'[2]Potencial Hor SocioDem x CeDi'!$C$1:$AF$1,0)), "")</f>
        <v>0.29869015692446949</v>
      </c>
      <c r="BX19" s="80">
        <f>IFERROR(INDEX('[2]Potencial Hor SocioDem x CeDi'!$C$2:$AF$81, MATCH($C19,'[2]Potencial Hor SocioDem x CeDi'!$B$2:$B$81,0), MATCH(BX$4,'[2]Potencial Hor SocioDem x CeDi'!$C$1:$AF$1,0)), "")</f>
        <v>1.9590226503549881E-4</v>
      </c>
      <c r="BY19" s="80">
        <f>IFERROR(INDEX('[2]Potencial Hor SocioDem x CeDi'!$C$2:$AF$81, MATCH($C19,'[2]Potencial Hor SocioDem x CeDi'!$B$2:$B$81,0), MATCH(BY$4,'[2]Potencial Hor SocioDem x CeDi'!$C$1:$AF$1,0)), "")</f>
        <v>5.741962940695656E-5</v>
      </c>
      <c r="BZ19" s="79">
        <f>IFERROR(INDEX('[2]Potencial Hor SocioDem x CeDi'!$C$2:$AF$81, MATCH($C19,'[2]Potencial Hor SocioDem x CeDi'!$B$2:$B$81,0), MATCH(BZ$4,'[2]Potencial Hor SocioDem x CeDi'!$C$1:$AF$1,0)), "")</f>
        <v>2.930893192673524</v>
      </c>
      <c r="CA19" s="79">
        <f>IFERROR(INDEX('[2]Potencial Hor SocioDem x CeDi'!$C$2:$AF$81, MATCH($C19,'[2]Potencial Hor SocioDem x CeDi'!$B$2:$B$81,0), MATCH(CA$4,'[2]Potencial Hor SocioDem x CeDi'!$C$1:$AF$1,0)), "")</f>
        <v>0.45082348260599758</v>
      </c>
      <c r="CB19" s="81">
        <f>IFERROR(INDEX('[2]Potencial Hor SocioDem x CeDi'!$C$2:$AF$81, MATCH($C19,'[2]Potencial Hor SocioDem x CeDi'!$B$2:$B$81,0), MATCH(CB$4,'[2]Potencial Hor SocioDem x CeDi'!$C$1:$AF$1,0)), "")</f>
        <v>2713</v>
      </c>
      <c r="CC19" s="82">
        <f>IFERROR(INDEX('[2]Potencial Hor SocioDem x CeDi'!$C$2:$AF$81, MATCH($C19,'[2]Potencial Hor SocioDem x CeDi'!$B$2:$B$81,0), MATCH(CC$4,'[2]Potencial Hor SocioDem x CeDi'!$C$1:$AF$1,0)), "")</f>
        <v>2143</v>
      </c>
      <c r="CD19" s="83">
        <f>IFERROR(INDEX('[2]Potencial Hor SocioDem x CeDi'!$C$2:$AF$81, MATCH($C19,'[2]Potencial Hor SocioDem x CeDi'!$B$2:$B$81,0), MATCH(CD$4,'[2]Potencial Hor SocioDem x CeDi'!$C$1:$AF$1,0)), "")</f>
        <v>2.0331489616045081E-2</v>
      </c>
      <c r="CE19" s="78" t="str">
        <f>IFERROR(_xlfn.XLOOKUP([2]!BaseMaestraCeDi[[#This Row],[CeDi]], '[2]Potencial Hor x CeDi'!$B$6:$BU$6, '[2]Potencial Hor x CeDi'!$B$50:$BU$50), "")</f>
        <v/>
      </c>
      <c r="CF19" s="90" t="str">
        <f>IFERROR(_xlfn.XLOOKUP([2]!BaseMaestraCeDi[[#This Row],[CeDi]], '[2]Potencial Hor x CeDi'!$B$6:$BU$6, '[2]Potencial Hor x CeDi'!$B$34:$BU$34), "")</f>
        <v/>
      </c>
      <c r="CG19" s="90" t="str">
        <f>IFERROR(_xlfn.XLOOKUP([2]!BaseMaestraCeDi[[#This Row],[CeDi]], '[2]Potencial Hor x CeDi'!$B$6:$BU$6, '[2]Potencial Hor x CeDi'!$B$64:$BU$64), "")</f>
        <v/>
      </c>
      <c r="CH19" s="91" t="str">
        <f>IFERROR(_xlfn.XLOOKUP([2]!BaseMaestraCeDi[[#This Row],[CeDi]], '[2]Potencial Hor x CeDi'!$B$6:$BU$6, '[2]Potencial Hor x CeDi'!$B$38:$BU$38), "")</f>
        <v/>
      </c>
      <c r="CI19" s="90" t="str">
        <f>IFERROR(_xlfn.XLOOKUP([2]!BaseMaestraCeDi[[#This Row],[CeDi]], '[2]Potencial Hor x CeDi'!$B$6:$BU$6, '[2]Potencial Hor x CeDi'!$B$26:$BU$26), "")</f>
        <v/>
      </c>
      <c r="CJ19" s="92" t="str">
        <f>IFERROR(_xlfn.XLOOKUP([2]!BaseMaestraCeDi[[#This Row],[CeDi]], '[2]Potencial Hor x CeDi'!$B$6:$BU$6, '[2]Potencial Hor x CeDi'!$B$27:$BU$27), "")</f>
        <v/>
      </c>
      <c r="CK19" s="90" t="str">
        <f>IFERROR(_xlfn.XLOOKUP([2]!BaseMaestraCeDi[[#This Row],[CeDi]], '[2]Potencial Hor x CeDi'!$B$6:$BU$6, '[2]Potencial Hor x CeDi'!$B$28:$BU$28), "")</f>
        <v/>
      </c>
      <c r="CL19" s="92" t="str">
        <f>IFERROR(_xlfn.XLOOKUP([2]!BaseMaestraCeDi[[#This Row],[CeDi]], '[2]Potencial Hor x CeDi'!$B$6:$BU$6, '[2]Potencial Hor x CeDi'!$B$29:$BU$29), "")</f>
        <v/>
      </c>
      <c r="CM19" s="93" t="str">
        <f>IFERROR(_xlfn.XLOOKUP([2]!BaseMaestraCeDi[[#This Row],[CeDi]], '[2]Potencial Hor x CeDi'!$B$6:$BU$6, '[2]Potencial Hor x CeDi'!$B$39:$BU$39), "")</f>
        <v/>
      </c>
      <c r="CN19" s="94" t="str">
        <f>IFERROR(_xlfn.XLOOKUP([2]!BaseMaestraCeDi[[#This Row],[CeDi]], '[2]Potencial Hor x CeDi'!$B$6:$BU$6, '[2]Potencial Hor x CeDi'!$B$43:$BU$43), "")</f>
        <v/>
      </c>
      <c r="CO19" s="94" t="str">
        <f>IFERROR(_xlfn.XLOOKUP([2]!BaseMaestraCeDi[[#This Row],[CeDi]], '[2]Potencial Hor x CeDi'!$B$6:$BU$6, '[2]Potencial Hor x CeDi'!$B$46:$BU$46), "")</f>
        <v/>
      </c>
      <c r="CP19" s="86" t="str">
        <f>IFERROR(_xlfn.XLOOKUP([2]!BaseMaestraCeDi[[#This Row],[CeDi]], '[2]Potencial Hor x CeDi'!$B$6:$BU$6, '[2]Potencial Hor x CeDi'!$B$51:$BU$51), "")</f>
        <v/>
      </c>
      <c r="CQ19" s="82" t="str">
        <f>IFERROR(_xlfn.XLOOKUP([2]!BaseMaestraCeDi[[#This Row],[CeDi]], '[2]Potencial Hor x CeDi'!$B$6:$BU$6, '[2]Potencial Hor x CeDi'!$B$52:$BU$52), "")</f>
        <v/>
      </c>
      <c r="CR19" s="82" t="str">
        <f>IFERROR(_xlfn.XLOOKUP([2]!BaseMaestraCeDi[[#This Row],[CeDi]], '[2]Potencial Hor x CeDi'!$B$6:$BU$6, '[2]Potencial Hor x CeDi'!$B$53:$BU$53), "")</f>
        <v/>
      </c>
      <c r="CS19" s="87" t="str">
        <f>IFERROR(_xlfn.XLOOKUP([2]!BaseMaestraCeDi[[#This Row],[CeDi]], '[2]Potencial Hor x CeDi'!$B$6:$BU$6, '[2]Potencial Hor x CeDi'!$B$60:$BU$60), "")</f>
        <v/>
      </c>
      <c r="CT19" s="90" t="str">
        <f>IFERROR(_xlfn.XLOOKUP([2]!BaseMaestraCeDi[[#This Row],[CeDi]], '[2]Potencial Hor x CeDi'!$B$6:$BU$6, '[2]Potencial Hor x CeDi'!$B$65:$BU$65), "")</f>
        <v/>
      </c>
      <c r="CU19" s="90" t="str">
        <f>IFERROR(_xlfn.XLOOKUP([2]!BaseMaestraCeDi[[#This Row],[CeDi]], '[2]Potencial Hor x CeDi'!$B$6:$BU$6, '[2]Potencial Hor x CeDi'!$B$68:$BU$68), "")</f>
        <v/>
      </c>
      <c r="CV19" s="95" t="str">
        <f>IFERROR(_xlfn.XLOOKUP([2]!BaseMaestraCeDi[[#This Row],[CeDi]], '[2]Potencial Hor x CeDi'!$B$6:$BU$6, '[2]Potencial Hor x CeDi'!$B$71:$BU$71), "")</f>
        <v/>
      </c>
    </row>
    <row r="20" spans="1:100">
      <c r="A20" s="112" t="s">
        <v>93</v>
      </c>
      <c r="B20" s="112" t="s">
        <v>320</v>
      </c>
      <c r="C20" s="112" t="s">
        <v>321</v>
      </c>
      <c r="D20" s="113" t="s">
        <v>194</v>
      </c>
      <c r="E20" s="114" t="s">
        <v>194</v>
      </c>
      <c r="F20" s="115" t="s">
        <v>194</v>
      </c>
      <c r="G20" s="115" t="s">
        <v>194</v>
      </c>
      <c r="H20" s="116" t="s">
        <v>194</v>
      </c>
      <c r="I20" s="117" t="s">
        <v>194</v>
      </c>
      <c r="J20" s="117" t="s">
        <v>194</v>
      </c>
      <c r="K20" s="117" t="s">
        <v>194</v>
      </c>
      <c r="L20" s="116" t="s">
        <v>194</v>
      </c>
      <c r="M20" s="118" t="s">
        <v>194</v>
      </c>
      <c r="N20" s="119" t="s">
        <v>194</v>
      </c>
      <c r="O20" s="114" t="s">
        <v>194</v>
      </c>
      <c r="P20" s="115" t="s">
        <v>194</v>
      </c>
      <c r="Q20" s="115" t="s">
        <v>194</v>
      </c>
      <c r="R20" s="120" t="s">
        <v>194</v>
      </c>
      <c r="S20" s="119" t="s">
        <v>194</v>
      </c>
      <c r="T20" s="121" t="s">
        <v>194</v>
      </c>
      <c r="U20" s="118" t="s">
        <v>194</v>
      </c>
      <c r="V20" s="118" t="s">
        <v>194</v>
      </c>
      <c r="W20" s="118" t="s">
        <v>194</v>
      </c>
      <c r="X20" s="118" t="s">
        <v>194</v>
      </c>
      <c r="Y20" s="116" t="s">
        <v>194</v>
      </c>
      <c r="Z20" s="117" t="s">
        <v>194</v>
      </c>
      <c r="AA20" s="117" t="s">
        <v>194</v>
      </c>
      <c r="AB20" s="117" t="s">
        <v>194</v>
      </c>
      <c r="AC20" s="113">
        <v>0</v>
      </c>
      <c r="AD20" s="122">
        <v>0</v>
      </c>
      <c r="AE20" s="113">
        <v>0</v>
      </c>
      <c r="AF20" s="122">
        <v>0</v>
      </c>
      <c r="AG20" s="123" t="s">
        <v>194</v>
      </c>
      <c r="AH20" s="118" t="s">
        <v>194</v>
      </c>
      <c r="AI20" s="113">
        <v>0</v>
      </c>
      <c r="AJ20" s="122">
        <v>0</v>
      </c>
      <c r="AK20" s="118" t="s">
        <v>194</v>
      </c>
      <c r="AL20" s="116">
        <v>0</v>
      </c>
      <c r="AM20" s="117">
        <v>0</v>
      </c>
      <c r="AN20" s="118" t="s">
        <v>194</v>
      </c>
      <c r="AO20" s="116">
        <v>0</v>
      </c>
      <c r="AP20" s="118">
        <v>0</v>
      </c>
      <c r="AQ20" s="122" t="s">
        <v>194</v>
      </c>
      <c r="AR20" s="113">
        <v>0</v>
      </c>
      <c r="AS20" s="117">
        <v>0</v>
      </c>
      <c r="AT20" s="116">
        <v>0</v>
      </c>
      <c r="AU20" s="113">
        <v>1</v>
      </c>
      <c r="AV20" s="122">
        <v>0</v>
      </c>
      <c r="AW20" s="122">
        <v>0</v>
      </c>
      <c r="AX20" s="122">
        <v>0</v>
      </c>
      <c r="AY20" s="123">
        <v>0</v>
      </c>
      <c r="AZ20" s="122">
        <v>0</v>
      </c>
      <c r="BA20" s="114" t="s">
        <v>194</v>
      </c>
      <c r="BB20" s="118" t="s">
        <v>194</v>
      </c>
      <c r="BC20" s="124" t="s">
        <v>194</v>
      </c>
      <c r="BD20" s="74" t="s">
        <v>1138</v>
      </c>
      <c r="BE20" s="88" t="str">
        <f>IFERROR(_xlfn.XLOOKUP([2]!BaseMaestraCeDi[[#This Row],[CeDi]], '[2]Potencial Hor x CeDi'!$B$6:$BU$6, '[2]Potencial Hor x CeDi'!$B$21:$BU$21) / 1000, "")</f>
        <v/>
      </c>
      <c r="BF20" s="89" t="str">
        <f>IFERROR(_xlfn.XLOOKUP([2]!BaseMaestraCeDi[[#This Row],[CeDi]], '[2]Potencial Hor x CeDi'!$B$6:$BU$6, '[2]Potencial Hor x CeDi'!$B$22:$BU$22) / 1000, "")</f>
        <v/>
      </c>
      <c r="BG20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20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20" s="78" t="str">
        <f>IFERROR(INDEX('[2]Potencial Hor SocioDem x CeDi'!$C$2:$AF$81, MATCH($C20,'[2]Potencial Hor SocioDem x CeDi'!$B$2:$B$81,0), MATCH(BI$4,'[2]Potencial Hor SocioDem x CeDi'!$C$1:$AF$1,0)), "")</f>
        <v/>
      </c>
      <c r="BJ20" s="78" t="str">
        <f>IFERROR(INDEX('[2]Potencial Hor SocioDem x CeDi'!$C$2:$AF$81, MATCH($C20,'[2]Potencial Hor SocioDem x CeDi'!$B$2:$B$81,0), MATCH(BJ$4,'[2]Potencial Hor SocioDem x CeDi'!$C$1:$AF$1,0)), "")</f>
        <v/>
      </c>
      <c r="BK20" s="78" t="str">
        <f>IFERROR(INDEX('[2]Potencial Hor SocioDem x CeDi'!$C$2:$AF$81, MATCH($C20,'[2]Potencial Hor SocioDem x CeDi'!$B$2:$B$81,0), MATCH(BK$4,'[2]Potencial Hor SocioDem x CeDi'!$C$1:$AF$1,0)), "")</f>
        <v/>
      </c>
      <c r="BL20" s="79" t="str">
        <f>IFERROR(INDEX('[2]Potencial Hor SocioDem x CeDi'!$C$2:$AF$81, MATCH($C20,'[2]Potencial Hor SocioDem x CeDi'!$B$2:$B$81,0), MATCH(BL$4,'[2]Potencial Hor SocioDem x CeDi'!$C$1:$AF$1,0)), "")</f>
        <v/>
      </c>
      <c r="BM20" s="79" t="str">
        <f>IFERROR(INDEX('[2]Potencial Hor SocioDem x CeDi'!$C$2:$AF$81, MATCH($C20,'[2]Potencial Hor SocioDem x CeDi'!$B$2:$B$81,0), MATCH(BM$4,'[2]Potencial Hor SocioDem x CeDi'!$C$1:$AF$1,0)), "")</f>
        <v/>
      </c>
      <c r="BN20" s="78" t="str">
        <f>IFERROR(INDEX('[2]Potencial Hor SocioDem x CeDi'!$C$2:$AF$81, MATCH($C20,'[2]Potencial Hor SocioDem x CeDi'!$B$2:$B$81,0), MATCH(BN$4,'[2]Potencial Hor SocioDem x CeDi'!$C$1:$AF$1,0)), "")</f>
        <v/>
      </c>
      <c r="BO20" s="78" t="str">
        <f>IFERROR(INDEX('[2]Potencial Hor SocioDem x CeDi'!$C$2:$AF$81, MATCH($C20,'[2]Potencial Hor SocioDem x CeDi'!$B$2:$B$81,0), MATCH(BO$4,'[2]Potencial Hor SocioDem x CeDi'!$C$1:$AF$1,0)), "")</f>
        <v/>
      </c>
      <c r="BP20" s="78" t="str">
        <f>IFERROR(INDEX('[2]Potencial Hor SocioDem x CeDi'!$C$2:$AF$81, MATCH($C20,'[2]Potencial Hor SocioDem x CeDi'!$B$2:$B$81,0), MATCH(BP$4,'[2]Potencial Hor SocioDem x CeDi'!$C$1:$AF$1,0)), "")</f>
        <v/>
      </c>
      <c r="BQ20" s="80" t="str">
        <f>IFERROR(INDEX('[2]Potencial Hor SocioDem x CeDi'!$C$2:$AF$81, MATCH($C20,'[2]Potencial Hor SocioDem x CeDi'!$B$2:$B$81,0), MATCH(BQ$4,'[2]Potencial Hor SocioDem x CeDi'!$C$1:$AF$1,0)), "")</f>
        <v/>
      </c>
      <c r="BR20" s="80" t="str">
        <f>IFERROR(INDEX('[2]Potencial Hor SocioDem x CeDi'!$C$2:$AF$81, MATCH($C20,'[2]Potencial Hor SocioDem x CeDi'!$B$2:$B$81,0), MATCH(BR$4,'[2]Potencial Hor SocioDem x CeDi'!$C$1:$AF$1,0)), "")</f>
        <v/>
      </c>
      <c r="BS20" s="80" t="str">
        <f>IFERROR(INDEX('[2]Potencial Hor SocioDem x CeDi'!$C$2:$AF$81, MATCH($C20,'[2]Potencial Hor SocioDem x CeDi'!$B$2:$B$81,0), MATCH(BS$4,'[2]Potencial Hor SocioDem x CeDi'!$C$1:$AF$1,0)), "")</f>
        <v/>
      </c>
      <c r="BT20" s="80" t="str">
        <f>IFERROR(INDEX('[2]Potencial Hor SocioDem x CeDi'!$C$2:$AF$81, MATCH($C20,'[2]Potencial Hor SocioDem x CeDi'!$B$2:$B$81,0), MATCH(BT$4,'[2]Potencial Hor SocioDem x CeDi'!$C$1:$AF$1,0)), "")</f>
        <v/>
      </c>
      <c r="BU20" s="80" t="str">
        <f>IFERROR(INDEX('[2]Potencial Hor SocioDem x CeDi'!$C$2:$AF$81, MATCH($C20,'[2]Potencial Hor SocioDem x CeDi'!$B$2:$B$81,0), MATCH(BU$4,'[2]Potencial Hor SocioDem x CeDi'!$C$1:$AF$1,0)), "")</f>
        <v/>
      </c>
      <c r="BV20" s="80" t="str">
        <f>IFERROR(INDEX('[2]Potencial Hor SocioDem x CeDi'!$C$2:$AF$81, MATCH($C20,'[2]Potencial Hor SocioDem x CeDi'!$B$2:$B$81,0), MATCH(BV$4,'[2]Potencial Hor SocioDem x CeDi'!$C$1:$AF$1,0)), "")</f>
        <v/>
      </c>
      <c r="BW20" s="80" t="str">
        <f>IFERROR(INDEX('[2]Potencial Hor SocioDem x CeDi'!$C$2:$AF$81, MATCH($C20,'[2]Potencial Hor SocioDem x CeDi'!$B$2:$B$81,0), MATCH(BW$4,'[2]Potencial Hor SocioDem x CeDi'!$C$1:$AF$1,0)), "")</f>
        <v/>
      </c>
      <c r="BX20" s="80" t="str">
        <f>IFERROR(INDEX('[2]Potencial Hor SocioDem x CeDi'!$C$2:$AF$81, MATCH($C20,'[2]Potencial Hor SocioDem x CeDi'!$B$2:$B$81,0), MATCH(BX$4,'[2]Potencial Hor SocioDem x CeDi'!$C$1:$AF$1,0)), "")</f>
        <v/>
      </c>
      <c r="BY20" s="80" t="str">
        <f>IFERROR(INDEX('[2]Potencial Hor SocioDem x CeDi'!$C$2:$AF$81, MATCH($C20,'[2]Potencial Hor SocioDem x CeDi'!$B$2:$B$81,0), MATCH(BY$4,'[2]Potencial Hor SocioDem x CeDi'!$C$1:$AF$1,0)), "")</f>
        <v/>
      </c>
      <c r="BZ20" s="79" t="str">
        <f>IFERROR(INDEX('[2]Potencial Hor SocioDem x CeDi'!$C$2:$AF$81, MATCH($C20,'[2]Potencial Hor SocioDem x CeDi'!$B$2:$B$81,0), MATCH(BZ$4,'[2]Potencial Hor SocioDem x CeDi'!$C$1:$AF$1,0)), "")</f>
        <v/>
      </c>
      <c r="CA20" s="79" t="str">
        <f>IFERROR(INDEX('[2]Potencial Hor SocioDem x CeDi'!$C$2:$AF$81, MATCH($C20,'[2]Potencial Hor SocioDem x CeDi'!$B$2:$B$81,0), MATCH(CA$4,'[2]Potencial Hor SocioDem x CeDi'!$C$1:$AF$1,0)), "")</f>
        <v/>
      </c>
      <c r="CB20" s="81" t="str">
        <f>IFERROR(INDEX('[2]Potencial Hor SocioDem x CeDi'!$C$2:$AF$81, MATCH($C20,'[2]Potencial Hor SocioDem x CeDi'!$B$2:$B$81,0), MATCH(CB$4,'[2]Potencial Hor SocioDem x CeDi'!$C$1:$AF$1,0)), "")</f>
        <v/>
      </c>
      <c r="CC20" s="82" t="str">
        <f>IFERROR(INDEX('[2]Potencial Hor SocioDem x CeDi'!$C$2:$AF$81, MATCH($C20,'[2]Potencial Hor SocioDem x CeDi'!$B$2:$B$81,0), MATCH(CC$4,'[2]Potencial Hor SocioDem x CeDi'!$C$1:$AF$1,0)), "")</f>
        <v/>
      </c>
      <c r="CD20" s="83" t="str">
        <f>IFERROR(INDEX('[2]Potencial Hor SocioDem x CeDi'!$C$2:$AF$81, MATCH($C20,'[2]Potencial Hor SocioDem x CeDi'!$B$2:$B$81,0), MATCH(CD$4,'[2]Potencial Hor SocioDem x CeDi'!$C$1:$AF$1,0)), "")</f>
        <v/>
      </c>
      <c r="CE20" s="78" t="str">
        <f>IFERROR(_xlfn.XLOOKUP([2]!BaseMaestraCeDi[[#This Row],[CeDi]], '[2]Potencial Hor x CeDi'!$B$6:$BU$6, '[2]Potencial Hor x CeDi'!$B$50:$BU$50), "")</f>
        <v/>
      </c>
      <c r="CF20" s="90" t="str">
        <f>IFERROR(_xlfn.XLOOKUP([2]!BaseMaestraCeDi[[#This Row],[CeDi]], '[2]Potencial Hor x CeDi'!$B$6:$BU$6, '[2]Potencial Hor x CeDi'!$B$34:$BU$34), "")</f>
        <v/>
      </c>
      <c r="CG20" s="90" t="str">
        <f>IFERROR(_xlfn.XLOOKUP([2]!BaseMaestraCeDi[[#This Row],[CeDi]], '[2]Potencial Hor x CeDi'!$B$6:$BU$6, '[2]Potencial Hor x CeDi'!$B$64:$BU$64), "")</f>
        <v/>
      </c>
      <c r="CH20" s="91" t="str">
        <f>IFERROR(_xlfn.XLOOKUP([2]!BaseMaestraCeDi[[#This Row],[CeDi]], '[2]Potencial Hor x CeDi'!$B$6:$BU$6, '[2]Potencial Hor x CeDi'!$B$38:$BU$38), "")</f>
        <v/>
      </c>
      <c r="CI20" s="90" t="str">
        <f>IFERROR(_xlfn.XLOOKUP([2]!BaseMaestraCeDi[[#This Row],[CeDi]], '[2]Potencial Hor x CeDi'!$B$6:$BU$6, '[2]Potencial Hor x CeDi'!$B$26:$BU$26), "")</f>
        <v/>
      </c>
      <c r="CJ20" s="92" t="str">
        <f>IFERROR(_xlfn.XLOOKUP([2]!BaseMaestraCeDi[[#This Row],[CeDi]], '[2]Potencial Hor x CeDi'!$B$6:$BU$6, '[2]Potencial Hor x CeDi'!$B$27:$BU$27), "")</f>
        <v/>
      </c>
      <c r="CK20" s="90" t="str">
        <f>IFERROR(_xlfn.XLOOKUP([2]!BaseMaestraCeDi[[#This Row],[CeDi]], '[2]Potencial Hor x CeDi'!$B$6:$BU$6, '[2]Potencial Hor x CeDi'!$B$28:$BU$28), "")</f>
        <v/>
      </c>
      <c r="CL20" s="92" t="str">
        <f>IFERROR(_xlfn.XLOOKUP([2]!BaseMaestraCeDi[[#This Row],[CeDi]], '[2]Potencial Hor x CeDi'!$B$6:$BU$6, '[2]Potencial Hor x CeDi'!$B$29:$BU$29), "")</f>
        <v/>
      </c>
      <c r="CM20" s="93" t="str">
        <f>IFERROR(_xlfn.XLOOKUP([2]!BaseMaestraCeDi[[#This Row],[CeDi]], '[2]Potencial Hor x CeDi'!$B$6:$BU$6, '[2]Potencial Hor x CeDi'!$B$39:$BU$39), "")</f>
        <v/>
      </c>
      <c r="CN20" s="94" t="str">
        <f>IFERROR(_xlfn.XLOOKUP([2]!BaseMaestraCeDi[[#This Row],[CeDi]], '[2]Potencial Hor x CeDi'!$B$6:$BU$6, '[2]Potencial Hor x CeDi'!$B$43:$BU$43), "")</f>
        <v/>
      </c>
      <c r="CO20" s="94" t="str">
        <f>IFERROR(_xlfn.XLOOKUP([2]!BaseMaestraCeDi[[#This Row],[CeDi]], '[2]Potencial Hor x CeDi'!$B$6:$BU$6, '[2]Potencial Hor x CeDi'!$B$46:$BU$46), "")</f>
        <v/>
      </c>
      <c r="CP20" s="86" t="str">
        <f>IFERROR(_xlfn.XLOOKUP([2]!BaseMaestraCeDi[[#This Row],[CeDi]], '[2]Potencial Hor x CeDi'!$B$6:$BU$6, '[2]Potencial Hor x CeDi'!$B$51:$BU$51), "")</f>
        <v/>
      </c>
      <c r="CQ20" s="82" t="str">
        <f>IFERROR(_xlfn.XLOOKUP([2]!BaseMaestraCeDi[[#This Row],[CeDi]], '[2]Potencial Hor x CeDi'!$B$6:$BU$6, '[2]Potencial Hor x CeDi'!$B$52:$BU$52), "")</f>
        <v/>
      </c>
      <c r="CR20" s="82" t="str">
        <f>IFERROR(_xlfn.XLOOKUP([2]!BaseMaestraCeDi[[#This Row],[CeDi]], '[2]Potencial Hor x CeDi'!$B$6:$BU$6, '[2]Potencial Hor x CeDi'!$B$53:$BU$53), "")</f>
        <v/>
      </c>
      <c r="CS20" s="87" t="str">
        <f>IFERROR(_xlfn.XLOOKUP([2]!BaseMaestraCeDi[[#This Row],[CeDi]], '[2]Potencial Hor x CeDi'!$B$6:$BU$6, '[2]Potencial Hor x CeDi'!$B$60:$BU$60), "")</f>
        <v/>
      </c>
      <c r="CT20" s="90" t="str">
        <f>IFERROR(_xlfn.XLOOKUP([2]!BaseMaestraCeDi[[#This Row],[CeDi]], '[2]Potencial Hor x CeDi'!$B$6:$BU$6, '[2]Potencial Hor x CeDi'!$B$65:$BU$65), "")</f>
        <v/>
      </c>
      <c r="CU20" s="90" t="str">
        <f>IFERROR(_xlfn.XLOOKUP([2]!BaseMaestraCeDi[[#This Row],[CeDi]], '[2]Potencial Hor x CeDi'!$B$6:$BU$6, '[2]Potencial Hor x CeDi'!$B$68:$BU$68), "")</f>
        <v/>
      </c>
      <c r="CV20" s="95" t="str">
        <f>IFERROR(_xlfn.XLOOKUP([2]!BaseMaestraCeDi[[#This Row],[CeDi]], '[2]Potencial Hor x CeDi'!$B$6:$BU$6, '[2]Potencial Hor x CeDi'!$B$71:$BU$71), "")</f>
        <v/>
      </c>
    </row>
    <row r="21" spans="1:100">
      <c r="A21" s="100" t="s">
        <v>93</v>
      </c>
      <c r="B21" s="100" t="s">
        <v>320</v>
      </c>
      <c r="C21" s="100" t="s">
        <v>325</v>
      </c>
      <c r="D21" s="101" t="s">
        <v>194</v>
      </c>
      <c r="E21" s="102" t="s">
        <v>194</v>
      </c>
      <c r="F21" s="103" t="s">
        <v>194</v>
      </c>
      <c r="G21" s="103" t="s">
        <v>194</v>
      </c>
      <c r="H21" s="104" t="s">
        <v>194</v>
      </c>
      <c r="I21" s="105" t="s">
        <v>194</v>
      </c>
      <c r="J21" s="105" t="s">
        <v>194</v>
      </c>
      <c r="K21" s="105" t="s">
        <v>194</v>
      </c>
      <c r="L21" s="104" t="s">
        <v>194</v>
      </c>
      <c r="M21" s="106" t="s">
        <v>194</v>
      </c>
      <c r="N21" s="107" t="s">
        <v>194</v>
      </c>
      <c r="O21" s="102" t="s">
        <v>194</v>
      </c>
      <c r="P21" s="103" t="s">
        <v>194</v>
      </c>
      <c r="Q21" s="103" t="s">
        <v>194</v>
      </c>
      <c r="R21" s="108" t="s">
        <v>194</v>
      </c>
      <c r="S21" s="107" t="s">
        <v>194</v>
      </c>
      <c r="T21" s="125" t="s">
        <v>194</v>
      </c>
      <c r="U21" s="106" t="s">
        <v>194</v>
      </c>
      <c r="V21" s="106" t="s">
        <v>194</v>
      </c>
      <c r="W21" s="106" t="s">
        <v>194</v>
      </c>
      <c r="X21" s="106" t="s">
        <v>194</v>
      </c>
      <c r="Y21" s="104" t="s">
        <v>194</v>
      </c>
      <c r="Z21" s="105" t="s">
        <v>194</v>
      </c>
      <c r="AA21" s="105" t="s">
        <v>194</v>
      </c>
      <c r="AB21" s="105" t="s">
        <v>194</v>
      </c>
      <c r="AC21" s="101">
        <v>0</v>
      </c>
      <c r="AD21" s="109">
        <v>0</v>
      </c>
      <c r="AE21" s="101">
        <v>0</v>
      </c>
      <c r="AF21" s="109">
        <v>0</v>
      </c>
      <c r="AG21" s="110" t="s">
        <v>194</v>
      </c>
      <c r="AH21" s="106" t="s">
        <v>194</v>
      </c>
      <c r="AI21" s="101">
        <v>0</v>
      </c>
      <c r="AJ21" s="109">
        <v>0</v>
      </c>
      <c r="AK21" s="106" t="s">
        <v>194</v>
      </c>
      <c r="AL21" s="104">
        <v>0</v>
      </c>
      <c r="AM21" s="105">
        <v>0</v>
      </c>
      <c r="AN21" s="106" t="s">
        <v>194</v>
      </c>
      <c r="AO21" s="104">
        <v>0</v>
      </c>
      <c r="AP21" s="106">
        <v>0</v>
      </c>
      <c r="AQ21" s="109" t="s">
        <v>194</v>
      </c>
      <c r="AR21" s="101">
        <v>0</v>
      </c>
      <c r="AS21" s="105">
        <v>0</v>
      </c>
      <c r="AT21" s="104">
        <v>0</v>
      </c>
      <c r="AU21" s="101">
        <v>1</v>
      </c>
      <c r="AV21" s="109">
        <v>0</v>
      </c>
      <c r="AW21" s="109">
        <v>0</v>
      </c>
      <c r="AX21" s="109">
        <v>0</v>
      </c>
      <c r="AY21" s="110">
        <v>0</v>
      </c>
      <c r="AZ21" s="109">
        <v>0</v>
      </c>
      <c r="BA21" s="102" t="s">
        <v>194</v>
      </c>
      <c r="BB21" s="106" t="s">
        <v>194</v>
      </c>
      <c r="BC21" s="111" t="s">
        <v>194</v>
      </c>
      <c r="BD21" s="74"/>
      <c r="BE21" s="88" t="str">
        <f>IFERROR(_xlfn.XLOOKUP([2]!BaseMaestraCeDi[[#This Row],[CeDi]], '[2]Potencial Hor x CeDi'!$B$6:$BU$6, '[2]Potencial Hor x CeDi'!$B$21:$BU$21) / 1000, "")</f>
        <v/>
      </c>
      <c r="BF21" s="89" t="str">
        <f>IFERROR(_xlfn.XLOOKUP([2]!BaseMaestraCeDi[[#This Row],[CeDi]], '[2]Potencial Hor x CeDi'!$B$6:$BU$6, '[2]Potencial Hor x CeDi'!$B$22:$BU$22) / 1000, "")</f>
        <v/>
      </c>
      <c r="BG21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21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21" s="78" t="str">
        <f>IFERROR(INDEX('[2]Potencial Hor SocioDem x CeDi'!$C$2:$AF$81, MATCH($C21,'[2]Potencial Hor SocioDem x CeDi'!$B$2:$B$81,0), MATCH(BI$4,'[2]Potencial Hor SocioDem x CeDi'!$C$1:$AF$1,0)), "")</f>
        <v/>
      </c>
      <c r="BJ21" s="78" t="str">
        <f>IFERROR(INDEX('[2]Potencial Hor SocioDem x CeDi'!$C$2:$AF$81, MATCH($C21,'[2]Potencial Hor SocioDem x CeDi'!$B$2:$B$81,0), MATCH(BJ$4,'[2]Potencial Hor SocioDem x CeDi'!$C$1:$AF$1,0)), "")</f>
        <v/>
      </c>
      <c r="BK21" s="78" t="str">
        <f>IFERROR(INDEX('[2]Potencial Hor SocioDem x CeDi'!$C$2:$AF$81, MATCH($C21,'[2]Potencial Hor SocioDem x CeDi'!$B$2:$B$81,0), MATCH(BK$4,'[2]Potencial Hor SocioDem x CeDi'!$C$1:$AF$1,0)), "")</f>
        <v/>
      </c>
      <c r="BL21" s="79" t="str">
        <f>IFERROR(INDEX('[2]Potencial Hor SocioDem x CeDi'!$C$2:$AF$81, MATCH($C21,'[2]Potencial Hor SocioDem x CeDi'!$B$2:$B$81,0), MATCH(BL$4,'[2]Potencial Hor SocioDem x CeDi'!$C$1:$AF$1,0)), "")</f>
        <v/>
      </c>
      <c r="BM21" s="79" t="str">
        <f>IFERROR(INDEX('[2]Potencial Hor SocioDem x CeDi'!$C$2:$AF$81, MATCH($C21,'[2]Potencial Hor SocioDem x CeDi'!$B$2:$B$81,0), MATCH(BM$4,'[2]Potencial Hor SocioDem x CeDi'!$C$1:$AF$1,0)), "")</f>
        <v/>
      </c>
      <c r="BN21" s="78" t="str">
        <f>IFERROR(INDEX('[2]Potencial Hor SocioDem x CeDi'!$C$2:$AF$81, MATCH($C21,'[2]Potencial Hor SocioDem x CeDi'!$B$2:$B$81,0), MATCH(BN$4,'[2]Potencial Hor SocioDem x CeDi'!$C$1:$AF$1,0)), "")</f>
        <v/>
      </c>
      <c r="BO21" s="78" t="str">
        <f>IFERROR(INDEX('[2]Potencial Hor SocioDem x CeDi'!$C$2:$AF$81, MATCH($C21,'[2]Potencial Hor SocioDem x CeDi'!$B$2:$B$81,0), MATCH(BO$4,'[2]Potencial Hor SocioDem x CeDi'!$C$1:$AF$1,0)), "")</f>
        <v/>
      </c>
      <c r="BP21" s="78" t="str">
        <f>IFERROR(INDEX('[2]Potencial Hor SocioDem x CeDi'!$C$2:$AF$81, MATCH($C21,'[2]Potencial Hor SocioDem x CeDi'!$B$2:$B$81,0), MATCH(BP$4,'[2]Potencial Hor SocioDem x CeDi'!$C$1:$AF$1,0)), "")</f>
        <v/>
      </c>
      <c r="BQ21" s="80" t="str">
        <f>IFERROR(INDEX('[2]Potencial Hor SocioDem x CeDi'!$C$2:$AF$81, MATCH($C21,'[2]Potencial Hor SocioDem x CeDi'!$B$2:$B$81,0), MATCH(BQ$4,'[2]Potencial Hor SocioDem x CeDi'!$C$1:$AF$1,0)), "")</f>
        <v/>
      </c>
      <c r="BR21" s="80" t="str">
        <f>IFERROR(INDEX('[2]Potencial Hor SocioDem x CeDi'!$C$2:$AF$81, MATCH($C21,'[2]Potencial Hor SocioDem x CeDi'!$B$2:$B$81,0), MATCH(BR$4,'[2]Potencial Hor SocioDem x CeDi'!$C$1:$AF$1,0)), "")</f>
        <v/>
      </c>
      <c r="BS21" s="80" t="str">
        <f>IFERROR(INDEX('[2]Potencial Hor SocioDem x CeDi'!$C$2:$AF$81, MATCH($C21,'[2]Potencial Hor SocioDem x CeDi'!$B$2:$B$81,0), MATCH(BS$4,'[2]Potencial Hor SocioDem x CeDi'!$C$1:$AF$1,0)), "")</f>
        <v/>
      </c>
      <c r="BT21" s="80" t="str">
        <f>IFERROR(INDEX('[2]Potencial Hor SocioDem x CeDi'!$C$2:$AF$81, MATCH($C21,'[2]Potencial Hor SocioDem x CeDi'!$B$2:$B$81,0), MATCH(BT$4,'[2]Potencial Hor SocioDem x CeDi'!$C$1:$AF$1,0)), "")</f>
        <v/>
      </c>
      <c r="BU21" s="80" t="str">
        <f>IFERROR(INDEX('[2]Potencial Hor SocioDem x CeDi'!$C$2:$AF$81, MATCH($C21,'[2]Potencial Hor SocioDem x CeDi'!$B$2:$B$81,0), MATCH(BU$4,'[2]Potencial Hor SocioDem x CeDi'!$C$1:$AF$1,0)), "")</f>
        <v/>
      </c>
      <c r="BV21" s="80" t="str">
        <f>IFERROR(INDEX('[2]Potencial Hor SocioDem x CeDi'!$C$2:$AF$81, MATCH($C21,'[2]Potencial Hor SocioDem x CeDi'!$B$2:$B$81,0), MATCH(BV$4,'[2]Potencial Hor SocioDem x CeDi'!$C$1:$AF$1,0)), "")</f>
        <v/>
      </c>
      <c r="BW21" s="80" t="str">
        <f>IFERROR(INDEX('[2]Potencial Hor SocioDem x CeDi'!$C$2:$AF$81, MATCH($C21,'[2]Potencial Hor SocioDem x CeDi'!$B$2:$B$81,0), MATCH(BW$4,'[2]Potencial Hor SocioDem x CeDi'!$C$1:$AF$1,0)), "")</f>
        <v/>
      </c>
      <c r="BX21" s="80" t="str">
        <f>IFERROR(INDEX('[2]Potencial Hor SocioDem x CeDi'!$C$2:$AF$81, MATCH($C21,'[2]Potencial Hor SocioDem x CeDi'!$B$2:$B$81,0), MATCH(BX$4,'[2]Potencial Hor SocioDem x CeDi'!$C$1:$AF$1,0)), "")</f>
        <v/>
      </c>
      <c r="BY21" s="80" t="str">
        <f>IFERROR(INDEX('[2]Potencial Hor SocioDem x CeDi'!$C$2:$AF$81, MATCH($C21,'[2]Potencial Hor SocioDem x CeDi'!$B$2:$B$81,0), MATCH(BY$4,'[2]Potencial Hor SocioDem x CeDi'!$C$1:$AF$1,0)), "")</f>
        <v/>
      </c>
      <c r="BZ21" s="79" t="str">
        <f>IFERROR(INDEX('[2]Potencial Hor SocioDem x CeDi'!$C$2:$AF$81, MATCH($C21,'[2]Potencial Hor SocioDem x CeDi'!$B$2:$B$81,0), MATCH(BZ$4,'[2]Potencial Hor SocioDem x CeDi'!$C$1:$AF$1,0)), "")</f>
        <v/>
      </c>
      <c r="CA21" s="79" t="str">
        <f>IFERROR(INDEX('[2]Potencial Hor SocioDem x CeDi'!$C$2:$AF$81, MATCH($C21,'[2]Potencial Hor SocioDem x CeDi'!$B$2:$B$81,0), MATCH(CA$4,'[2]Potencial Hor SocioDem x CeDi'!$C$1:$AF$1,0)), "")</f>
        <v/>
      </c>
      <c r="CB21" s="81" t="str">
        <f>IFERROR(INDEX('[2]Potencial Hor SocioDem x CeDi'!$C$2:$AF$81, MATCH($C21,'[2]Potencial Hor SocioDem x CeDi'!$B$2:$B$81,0), MATCH(CB$4,'[2]Potencial Hor SocioDem x CeDi'!$C$1:$AF$1,0)), "")</f>
        <v/>
      </c>
      <c r="CC21" s="82" t="str">
        <f>IFERROR(INDEX('[2]Potencial Hor SocioDem x CeDi'!$C$2:$AF$81, MATCH($C21,'[2]Potencial Hor SocioDem x CeDi'!$B$2:$B$81,0), MATCH(CC$4,'[2]Potencial Hor SocioDem x CeDi'!$C$1:$AF$1,0)), "")</f>
        <v/>
      </c>
      <c r="CD21" s="83" t="str">
        <f>IFERROR(INDEX('[2]Potencial Hor SocioDem x CeDi'!$C$2:$AF$81, MATCH($C21,'[2]Potencial Hor SocioDem x CeDi'!$B$2:$B$81,0), MATCH(CD$4,'[2]Potencial Hor SocioDem x CeDi'!$C$1:$AF$1,0)), "")</f>
        <v/>
      </c>
      <c r="CE21" s="78" t="str">
        <f>IFERROR(_xlfn.XLOOKUP([2]!BaseMaestraCeDi[[#This Row],[CeDi]], '[2]Potencial Hor x CeDi'!$B$6:$BU$6, '[2]Potencial Hor x CeDi'!$B$50:$BU$50), "")</f>
        <v/>
      </c>
      <c r="CF21" s="90" t="str">
        <f>IFERROR(_xlfn.XLOOKUP([2]!BaseMaestraCeDi[[#This Row],[CeDi]], '[2]Potencial Hor x CeDi'!$B$6:$BU$6, '[2]Potencial Hor x CeDi'!$B$34:$BU$34), "")</f>
        <v/>
      </c>
      <c r="CG21" s="90" t="str">
        <f>IFERROR(_xlfn.XLOOKUP([2]!BaseMaestraCeDi[[#This Row],[CeDi]], '[2]Potencial Hor x CeDi'!$B$6:$BU$6, '[2]Potencial Hor x CeDi'!$B$64:$BU$64), "")</f>
        <v/>
      </c>
      <c r="CH21" s="91" t="str">
        <f>IFERROR(_xlfn.XLOOKUP([2]!BaseMaestraCeDi[[#This Row],[CeDi]], '[2]Potencial Hor x CeDi'!$B$6:$BU$6, '[2]Potencial Hor x CeDi'!$B$38:$BU$38), "")</f>
        <v/>
      </c>
      <c r="CI21" s="90" t="str">
        <f>IFERROR(_xlfn.XLOOKUP([2]!BaseMaestraCeDi[[#This Row],[CeDi]], '[2]Potencial Hor x CeDi'!$B$6:$BU$6, '[2]Potencial Hor x CeDi'!$B$26:$BU$26), "")</f>
        <v/>
      </c>
      <c r="CJ21" s="92" t="str">
        <f>IFERROR(_xlfn.XLOOKUP([2]!BaseMaestraCeDi[[#This Row],[CeDi]], '[2]Potencial Hor x CeDi'!$B$6:$BU$6, '[2]Potencial Hor x CeDi'!$B$27:$BU$27), "")</f>
        <v/>
      </c>
      <c r="CK21" s="90" t="str">
        <f>IFERROR(_xlfn.XLOOKUP([2]!BaseMaestraCeDi[[#This Row],[CeDi]], '[2]Potencial Hor x CeDi'!$B$6:$BU$6, '[2]Potencial Hor x CeDi'!$B$28:$BU$28), "")</f>
        <v/>
      </c>
      <c r="CL21" s="92" t="str">
        <f>IFERROR(_xlfn.XLOOKUP([2]!BaseMaestraCeDi[[#This Row],[CeDi]], '[2]Potencial Hor x CeDi'!$B$6:$BU$6, '[2]Potencial Hor x CeDi'!$B$29:$BU$29), "")</f>
        <v/>
      </c>
      <c r="CM21" s="93" t="str">
        <f>IFERROR(_xlfn.XLOOKUP([2]!BaseMaestraCeDi[[#This Row],[CeDi]], '[2]Potencial Hor x CeDi'!$B$6:$BU$6, '[2]Potencial Hor x CeDi'!$B$39:$BU$39), "")</f>
        <v/>
      </c>
      <c r="CN21" s="94" t="str">
        <f>IFERROR(_xlfn.XLOOKUP([2]!BaseMaestraCeDi[[#This Row],[CeDi]], '[2]Potencial Hor x CeDi'!$B$6:$BU$6, '[2]Potencial Hor x CeDi'!$B$43:$BU$43), "")</f>
        <v/>
      </c>
      <c r="CO21" s="94" t="str">
        <f>IFERROR(_xlfn.XLOOKUP([2]!BaseMaestraCeDi[[#This Row],[CeDi]], '[2]Potencial Hor x CeDi'!$B$6:$BU$6, '[2]Potencial Hor x CeDi'!$B$46:$BU$46), "")</f>
        <v/>
      </c>
      <c r="CP21" s="86" t="str">
        <f>IFERROR(_xlfn.XLOOKUP([2]!BaseMaestraCeDi[[#This Row],[CeDi]], '[2]Potencial Hor x CeDi'!$B$6:$BU$6, '[2]Potencial Hor x CeDi'!$B$51:$BU$51), "")</f>
        <v/>
      </c>
      <c r="CQ21" s="82" t="str">
        <f>IFERROR(_xlfn.XLOOKUP([2]!BaseMaestraCeDi[[#This Row],[CeDi]], '[2]Potencial Hor x CeDi'!$B$6:$BU$6, '[2]Potencial Hor x CeDi'!$B$52:$BU$52), "")</f>
        <v/>
      </c>
      <c r="CR21" s="82" t="str">
        <f>IFERROR(_xlfn.XLOOKUP([2]!BaseMaestraCeDi[[#This Row],[CeDi]], '[2]Potencial Hor x CeDi'!$B$6:$BU$6, '[2]Potencial Hor x CeDi'!$B$53:$BU$53), "")</f>
        <v/>
      </c>
      <c r="CS21" s="87" t="str">
        <f>IFERROR(_xlfn.XLOOKUP([2]!BaseMaestraCeDi[[#This Row],[CeDi]], '[2]Potencial Hor x CeDi'!$B$6:$BU$6, '[2]Potencial Hor x CeDi'!$B$60:$BU$60), "")</f>
        <v/>
      </c>
      <c r="CT21" s="90" t="str">
        <f>IFERROR(_xlfn.XLOOKUP([2]!BaseMaestraCeDi[[#This Row],[CeDi]], '[2]Potencial Hor x CeDi'!$B$6:$BU$6, '[2]Potencial Hor x CeDi'!$B$65:$BU$65), "")</f>
        <v/>
      </c>
      <c r="CU21" s="90" t="str">
        <f>IFERROR(_xlfn.XLOOKUP([2]!BaseMaestraCeDi[[#This Row],[CeDi]], '[2]Potencial Hor x CeDi'!$B$6:$BU$6, '[2]Potencial Hor x CeDi'!$B$68:$BU$68), "")</f>
        <v/>
      </c>
      <c r="CV21" s="95" t="str">
        <f>IFERROR(_xlfn.XLOOKUP([2]!BaseMaestraCeDi[[#This Row],[CeDi]], '[2]Potencial Hor x CeDi'!$B$6:$BU$6, '[2]Potencial Hor x CeDi'!$B$71:$BU$71), "")</f>
        <v/>
      </c>
    </row>
    <row r="22" spans="1:100">
      <c r="A22" s="112" t="s">
        <v>93</v>
      </c>
      <c r="B22" s="112" t="s">
        <v>327</v>
      </c>
      <c r="C22" s="112" t="s">
        <v>328</v>
      </c>
      <c r="D22" s="113">
        <v>28</v>
      </c>
      <c r="E22" s="114">
        <v>4137.1045912000009</v>
      </c>
      <c r="F22" s="115">
        <v>204.39342242199945</v>
      </c>
      <c r="G22" s="115">
        <v>4341.4980136220001</v>
      </c>
      <c r="H22" s="116">
        <v>8688.5825669476799</v>
      </c>
      <c r="I22" s="117">
        <v>19152.017921397837</v>
      </c>
      <c r="J22" s="117">
        <v>3894.6408247793743</v>
      </c>
      <c r="K22" s="117">
        <v>31735.24131312489</v>
      </c>
      <c r="L22" s="116">
        <v>83949.991378581093</v>
      </c>
      <c r="M22" s="118">
        <v>0.3780255458277722</v>
      </c>
      <c r="N22" s="119" t="s">
        <v>171</v>
      </c>
      <c r="O22" s="114">
        <v>77.635146617558277</v>
      </c>
      <c r="P22" s="115">
        <v>1</v>
      </c>
      <c r="Q22" s="115">
        <v>1</v>
      </c>
      <c r="R22" s="120">
        <v>33</v>
      </c>
      <c r="S22" s="119">
        <v>264</v>
      </c>
      <c r="T22" s="121">
        <v>0.98517627661757667</v>
      </c>
      <c r="U22" s="118">
        <v>1.4823723382423326E-2</v>
      </c>
      <c r="V22" s="118">
        <v>0.70079265029476756</v>
      </c>
      <c r="W22" s="118">
        <v>0.29920734970523244</v>
      </c>
      <c r="X22" s="118">
        <v>0</v>
      </c>
      <c r="Y22" s="116">
        <v>58831.536950418733</v>
      </c>
      <c r="Z22" s="117">
        <v>25118.45442816236</v>
      </c>
      <c r="AA22" s="117">
        <v>0</v>
      </c>
      <c r="AB22" s="117">
        <v>121918.21048850578</v>
      </c>
      <c r="AC22" s="113">
        <v>29</v>
      </c>
      <c r="AD22" s="122">
        <v>21</v>
      </c>
      <c r="AE22" s="113">
        <v>947643</v>
      </c>
      <c r="AF22" s="122">
        <v>605404</v>
      </c>
      <c r="AG22" s="123">
        <v>0.63885239483645218</v>
      </c>
      <c r="AH22" s="118">
        <v>0.71946747217665508</v>
      </c>
      <c r="AI22" s="113">
        <v>88112.767707860316</v>
      </c>
      <c r="AJ22" s="122">
        <v>44056.383853930158</v>
      </c>
      <c r="AK22" s="118">
        <v>0.68534288107856034</v>
      </c>
      <c r="AL22" s="116">
        <v>118371619.2</v>
      </c>
      <c r="AM22" s="117">
        <v>9363262.5972724669</v>
      </c>
      <c r="AN22" s="118">
        <v>7.9100570394769656E-2</v>
      </c>
      <c r="AO22" s="116">
        <v>6579589.9332184903</v>
      </c>
      <c r="AP22" s="118">
        <v>2.9931177250028508E-2</v>
      </c>
      <c r="AQ22" s="122">
        <v>11</v>
      </c>
      <c r="AR22" s="113">
        <v>21</v>
      </c>
      <c r="AS22" s="117">
        <v>6848110.3481683442</v>
      </c>
      <c r="AT22" s="116">
        <v>13427700.281386834</v>
      </c>
      <c r="AU22" s="113">
        <v>30</v>
      </c>
      <c r="AV22" s="122">
        <v>1</v>
      </c>
      <c r="AW22" s="122">
        <v>5</v>
      </c>
      <c r="AX22" s="122">
        <v>22</v>
      </c>
      <c r="AY22" s="123">
        <v>3.3333333333333333E-2</v>
      </c>
      <c r="AZ22" s="122">
        <v>85054.604264151698</v>
      </c>
      <c r="BA22" s="114">
        <v>77.63514661755832</v>
      </c>
      <c r="BB22" s="118">
        <v>0.64606367909011386</v>
      </c>
      <c r="BC22" s="124">
        <v>497.48092338139821</v>
      </c>
      <c r="BD22" s="74" t="s">
        <v>1139</v>
      </c>
      <c r="BE22" s="88" t="str">
        <f>IFERROR(_xlfn.XLOOKUP([2]!BaseMaestraCeDi[[#This Row],[CeDi]], '[2]Potencial Hor x CeDi'!$B$6:$BU$6, '[2]Potencial Hor x CeDi'!$B$21:$BU$21) / 1000, "")</f>
        <v/>
      </c>
      <c r="BF22" s="89" t="str">
        <f>IFERROR(_xlfn.XLOOKUP([2]!BaseMaestraCeDi[[#This Row],[CeDi]], '[2]Potencial Hor x CeDi'!$B$6:$BU$6, '[2]Potencial Hor x CeDi'!$B$22:$BU$22) / 1000, "")</f>
        <v/>
      </c>
      <c r="BG22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22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22" s="78">
        <f>IFERROR(INDEX('[2]Potencial Hor SocioDem x CeDi'!$C$2:$AF$81, MATCH($C22,'[2]Potencial Hor SocioDem x CeDi'!$B$2:$B$81,0), MATCH(BI$4,'[2]Potencial Hor SocioDem x CeDi'!$C$1:$AF$1,0)), "")</f>
        <v>11186</v>
      </c>
      <c r="BJ22" s="78">
        <f>IFERROR(INDEX('[2]Potencial Hor SocioDem x CeDi'!$C$2:$AF$81, MATCH($C22,'[2]Potencial Hor SocioDem x CeDi'!$B$2:$B$81,0), MATCH(BJ$4,'[2]Potencial Hor SocioDem x CeDi'!$C$1:$AF$1,0)), "")</f>
        <v>616044</v>
      </c>
      <c r="BK22" s="78">
        <f>IFERROR(INDEX('[2]Potencial Hor SocioDem x CeDi'!$C$2:$AF$81, MATCH($C22,'[2]Potencial Hor SocioDem x CeDi'!$B$2:$B$81,0), MATCH(BK$4,'[2]Potencial Hor SocioDem x CeDi'!$C$1:$AF$1,0)), "")</f>
        <v>168602</v>
      </c>
      <c r="BL22" s="79">
        <f>IFERROR(INDEX('[2]Potencial Hor SocioDem x CeDi'!$C$2:$AF$81, MATCH($C22,'[2]Potencial Hor SocioDem x CeDi'!$B$2:$B$81,0), MATCH(BL$4,'[2]Potencial Hor SocioDem x CeDi'!$C$1:$AF$1,0)), "")</f>
        <v>3.6538356603124522</v>
      </c>
      <c r="BM22" s="79">
        <f>IFERROR(INDEX('[2]Potencial Hor SocioDem x CeDi'!$C$2:$AF$81, MATCH($C22,'[2]Potencial Hor SocioDem x CeDi'!$B$2:$B$81,0), MATCH(BM$4,'[2]Potencial Hor SocioDem x CeDi'!$C$1:$AF$1,0)), "")</f>
        <v>15.072590738423029</v>
      </c>
      <c r="BN22" s="78">
        <f>IFERROR(INDEX('[2]Potencial Hor SocioDem x CeDi'!$C$2:$AF$81, MATCH($C22,'[2]Potencial Hor SocioDem x CeDi'!$B$2:$B$81,0), MATCH(BN$4,'[2]Potencial Hor SocioDem x CeDi'!$C$1:$AF$1,0)), "")</f>
        <v>24455</v>
      </c>
      <c r="BO22" s="78">
        <f>IFERROR(INDEX('[2]Potencial Hor SocioDem x CeDi'!$C$2:$AF$81, MATCH($C22,'[2]Potencial Hor SocioDem x CeDi'!$B$2:$B$81,0), MATCH(BO$4,'[2]Potencial Hor SocioDem x CeDi'!$C$1:$AF$1,0)), "")</f>
        <v>37786</v>
      </c>
      <c r="BP22" s="78">
        <f>IFERROR(INDEX('[2]Potencial Hor SocioDem x CeDi'!$C$2:$AF$81, MATCH($C22,'[2]Potencial Hor SocioDem x CeDi'!$B$2:$B$81,0), MATCH(BP$4,'[2]Potencial Hor SocioDem x CeDi'!$C$1:$AF$1,0)), "")</f>
        <v>62241</v>
      </c>
      <c r="BQ22" s="80">
        <f>IFERROR(INDEX('[2]Potencial Hor SocioDem x CeDi'!$C$2:$AF$81, MATCH($C22,'[2]Potencial Hor SocioDem x CeDi'!$B$2:$B$81,0), MATCH(BQ$4,'[2]Potencial Hor SocioDem x CeDi'!$C$1:$AF$1,0)), "")</f>
        <v>0.36915932195347623</v>
      </c>
      <c r="BR22" s="80">
        <f>IFERROR(INDEX('[2]Potencial Hor SocioDem x CeDi'!$C$2:$AF$81, MATCH($C22,'[2]Potencial Hor SocioDem x CeDi'!$B$2:$B$81,0), MATCH(BR$4,'[2]Potencial Hor SocioDem x CeDi'!$C$1:$AF$1,0)), "")</f>
        <v>0.14504572899491111</v>
      </c>
      <c r="BS22" s="80">
        <f>IFERROR(INDEX('[2]Potencial Hor SocioDem x CeDi'!$C$2:$AF$81, MATCH($C22,'[2]Potencial Hor SocioDem x CeDi'!$B$2:$B$81,0), MATCH(BS$4,'[2]Potencial Hor SocioDem x CeDi'!$C$1:$AF$1,0)), "")</f>
        <v>0.22411359295856509</v>
      </c>
      <c r="BT22" s="80">
        <f>IFERROR(INDEX('[2]Potencial Hor SocioDem x CeDi'!$C$2:$AF$81, MATCH($C22,'[2]Potencial Hor SocioDem x CeDi'!$B$2:$B$81,0), MATCH(BT$4,'[2]Potencial Hor SocioDem x CeDi'!$C$1:$AF$1,0)), "")</f>
        <v>7.5200768674155705E-2</v>
      </c>
      <c r="BU22" s="80">
        <f>IFERROR(INDEX('[2]Potencial Hor SocioDem x CeDi'!$C$2:$AF$81, MATCH($C22,'[2]Potencial Hor SocioDem x CeDi'!$B$2:$B$81,0), MATCH(BU$4,'[2]Potencial Hor SocioDem x CeDi'!$C$1:$AF$1,0)), "")</f>
        <v>6.059833216687821E-2</v>
      </c>
      <c r="BV22" s="80">
        <f>IFERROR(INDEX('[2]Potencial Hor SocioDem x CeDi'!$C$2:$AF$81, MATCH($C22,'[2]Potencial Hor SocioDem x CeDi'!$B$2:$B$81,0), MATCH(BV$4,'[2]Potencial Hor SocioDem x CeDi'!$C$1:$AF$1,0)), "")</f>
        <v>5.3083593314432803E-3</v>
      </c>
      <c r="BW22" s="80">
        <f>IFERROR(INDEX('[2]Potencial Hor SocioDem x CeDi'!$C$2:$AF$81, MATCH($C22,'[2]Potencial Hor SocioDem x CeDi'!$B$2:$B$81,0), MATCH(BW$4,'[2]Potencial Hor SocioDem x CeDi'!$C$1:$AF$1,0)), "")</f>
        <v>0.48956714629719689</v>
      </c>
      <c r="BX22" s="80">
        <f>IFERROR(INDEX('[2]Potencial Hor SocioDem x CeDi'!$C$2:$AF$81, MATCH($C22,'[2]Potencial Hor SocioDem x CeDi'!$B$2:$B$81,0), MATCH(BX$4,'[2]Potencial Hor SocioDem x CeDi'!$C$1:$AF$1,0)), "")</f>
        <v>7.7104660680181732E-5</v>
      </c>
      <c r="BY22" s="80">
        <f>IFERROR(INDEX('[2]Potencial Hor SocioDem x CeDi'!$C$2:$AF$81, MATCH($C22,'[2]Potencial Hor SocioDem x CeDi'!$B$2:$B$81,0), MATCH(BY$4,'[2]Potencial Hor SocioDem x CeDi'!$C$1:$AF$1,0)), "")</f>
        <v>8.8966916169440458E-5</v>
      </c>
      <c r="BZ22" s="79">
        <f>IFERROR(INDEX('[2]Potencial Hor SocioDem x CeDi'!$C$2:$AF$81, MATCH($C22,'[2]Potencial Hor SocioDem x CeDi'!$B$2:$B$81,0), MATCH(BZ$4,'[2]Potencial Hor SocioDem x CeDi'!$C$1:$AF$1,0)), "")</f>
        <v>4.5337670685860108</v>
      </c>
      <c r="CA22" s="79">
        <f>IFERROR(INDEX('[2]Potencial Hor SocioDem x CeDi'!$C$2:$AF$81, MATCH($C22,'[2]Potencial Hor SocioDem x CeDi'!$B$2:$B$81,0), MATCH(CA$4,'[2]Potencial Hor SocioDem x CeDi'!$C$1:$AF$1,0)), "")</f>
        <v>0.3765964768750284</v>
      </c>
      <c r="CB22" s="81">
        <f>IFERROR(INDEX('[2]Potencial Hor SocioDem x CeDi'!$C$2:$AF$81, MATCH($C22,'[2]Potencial Hor SocioDem x CeDi'!$B$2:$B$81,0), MATCH(CB$4,'[2]Potencial Hor SocioDem x CeDi'!$C$1:$AF$1,0)), "")</f>
        <v>10825</v>
      </c>
      <c r="CC22" s="82">
        <f>IFERROR(INDEX('[2]Potencial Hor SocioDem x CeDi'!$C$2:$AF$81, MATCH($C22,'[2]Potencial Hor SocioDem x CeDi'!$B$2:$B$81,0), MATCH(CC$4,'[2]Potencial Hor SocioDem x CeDi'!$C$1:$AF$1,0)), "")</f>
        <v>6675</v>
      </c>
      <c r="CD22" s="83">
        <f>IFERROR(INDEX('[2]Potencial Hor SocioDem x CeDi'!$C$2:$AF$81, MATCH($C22,'[2]Potencial Hor SocioDem x CeDi'!$B$2:$B$81,0), MATCH(CD$4,'[2]Potencial Hor SocioDem x CeDi'!$C$1:$AF$1,0)), "")</f>
        <v>0.1072444208801272</v>
      </c>
      <c r="CE22" s="78" t="str">
        <f>IFERROR(_xlfn.XLOOKUP([2]!BaseMaestraCeDi[[#This Row],[CeDi]], '[2]Potencial Hor x CeDi'!$B$6:$BU$6, '[2]Potencial Hor x CeDi'!$B$50:$BU$50), "")</f>
        <v/>
      </c>
      <c r="CF22" s="90" t="str">
        <f>IFERROR(_xlfn.XLOOKUP([2]!BaseMaestraCeDi[[#This Row],[CeDi]], '[2]Potencial Hor x CeDi'!$B$6:$BU$6, '[2]Potencial Hor x CeDi'!$B$34:$BU$34), "")</f>
        <v/>
      </c>
      <c r="CG22" s="90" t="str">
        <f>IFERROR(_xlfn.XLOOKUP([2]!BaseMaestraCeDi[[#This Row],[CeDi]], '[2]Potencial Hor x CeDi'!$B$6:$BU$6, '[2]Potencial Hor x CeDi'!$B$64:$BU$64), "")</f>
        <v/>
      </c>
      <c r="CH22" s="91" t="str">
        <f>IFERROR(_xlfn.XLOOKUP([2]!BaseMaestraCeDi[[#This Row],[CeDi]], '[2]Potencial Hor x CeDi'!$B$6:$BU$6, '[2]Potencial Hor x CeDi'!$B$38:$BU$38), "")</f>
        <v/>
      </c>
      <c r="CI22" s="90" t="str">
        <f>IFERROR(_xlfn.XLOOKUP([2]!BaseMaestraCeDi[[#This Row],[CeDi]], '[2]Potencial Hor x CeDi'!$B$6:$BU$6, '[2]Potencial Hor x CeDi'!$B$26:$BU$26), "")</f>
        <v/>
      </c>
      <c r="CJ22" s="92" t="str">
        <f>IFERROR(_xlfn.XLOOKUP([2]!BaseMaestraCeDi[[#This Row],[CeDi]], '[2]Potencial Hor x CeDi'!$B$6:$BU$6, '[2]Potencial Hor x CeDi'!$B$27:$BU$27), "")</f>
        <v/>
      </c>
      <c r="CK22" s="90" t="str">
        <f>IFERROR(_xlfn.XLOOKUP([2]!BaseMaestraCeDi[[#This Row],[CeDi]], '[2]Potencial Hor x CeDi'!$B$6:$BU$6, '[2]Potencial Hor x CeDi'!$B$28:$BU$28), "")</f>
        <v/>
      </c>
      <c r="CL22" s="92" t="str">
        <f>IFERROR(_xlfn.XLOOKUP([2]!BaseMaestraCeDi[[#This Row],[CeDi]], '[2]Potencial Hor x CeDi'!$B$6:$BU$6, '[2]Potencial Hor x CeDi'!$B$29:$BU$29), "")</f>
        <v/>
      </c>
      <c r="CM22" s="93" t="str">
        <f>IFERROR(_xlfn.XLOOKUP([2]!BaseMaestraCeDi[[#This Row],[CeDi]], '[2]Potencial Hor x CeDi'!$B$6:$BU$6, '[2]Potencial Hor x CeDi'!$B$39:$BU$39), "")</f>
        <v/>
      </c>
      <c r="CN22" s="94" t="str">
        <f>IFERROR(_xlfn.XLOOKUP([2]!BaseMaestraCeDi[[#This Row],[CeDi]], '[2]Potencial Hor x CeDi'!$B$6:$BU$6, '[2]Potencial Hor x CeDi'!$B$43:$BU$43), "")</f>
        <v/>
      </c>
      <c r="CO22" s="94" t="str">
        <f>IFERROR(_xlfn.XLOOKUP([2]!BaseMaestraCeDi[[#This Row],[CeDi]], '[2]Potencial Hor x CeDi'!$B$6:$BU$6, '[2]Potencial Hor x CeDi'!$B$46:$BU$46), "")</f>
        <v/>
      </c>
      <c r="CP22" s="86" t="str">
        <f>IFERROR(_xlfn.XLOOKUP([2]!BaseMaestraCeDi[[#This Row],[CeDi]], '[2]Potencial Hor x CeDi'!$B$6:$BU$6, '[2]Potencial Hor x CeDi'!$B$51:$BU$51), "")</f>
        <v/>
      </c>
      <c r="CQ22" s="82" t="str">
        <f>IFERROR(_xlfn.XLOOKUP([2]!BaseMaestraCeDi[[#This Row],[CeDi]], '[2]Potencial Hor x CeDi'!$B$6:$BU$6, '[2]Potencial Hor x CeDi'!$B$52:$BU$52), "")</f>
        <v/>
      </c>
      <c r="CR22" s="82" t="str">
        <f>IFERROR(_xlfn.XLOOKUP([2]!BaseMaestraCeDi[[#This Row],[CeDi]], '[2]Potencial Hor x CeDi'!$B$6:$BU$6, '[2]Potencial Hor x CeDi'!$B$53:$BU$53), "")</f>
        <v/>
      </c>
      <c r="CS22" s="87" t="str">
        <f>IFERROR(_xlfn.XLOOKUP([2]!BaseMaestraCeDi[[#This Row],[CeDi]], '[2]Potencial Hor x CeDi'!$B$6:$BU$6, '[2]Potencial Hor x CeDi'!$B$60:$BU$60), "")</f>
        <v/>
      </c>
      <c r="CT22" s="90" t="str">
        <f>IFERROR(_xlfn.XLOOKUP([2]!BaseMaestraCeDi[[#This Row],[CeDi]], '[2]Potencial Hor x CeDi'!$B$6:$BU$6, '[2]Potencial Hor x CeDi'!$B$65:$BU$65), "")</f>
        <v/>
      </c>
      <c r="CU22" s="90" t="str">
        <f>IFERROR(_xlfn.XLOOKUP([2]!BaseMaestraCeDi[[#This Row],[CeDi]], '[2]Potencial Hor x CeDi'!$B$6:$BU$6, '[2]Potencial Hor x CeDi'!$B$68:$BU$68), "")</f>
        <v/>
      </c>
      <c r="CV22" s="95" t="str">
        <f>IFERROR(_xlfn.XLOOKUP([2]!BaseMaestraCeDi[[#This Row],[CeDi]], '[2]Potencial Hor x CeDi'!$B$6:$BU$6, '[2]Potencial Hor x CeDi'!$B$71:$BU$71), "")</f>
        <v/>
      </c>
    </row>
    <row r="23" spans="1:100">
      <c r="A23" s="100" t="s">
        <v>93</v>
      </c>
      <c r="B23" s="100" t="s">
        <v>320</v>
      </c>
      <c r="C23" s="100" t="s">
        <v>359</v>
      </c>
      <c r="D23" s="101" t="s">
        <v>194</v>
      </c>
      <c r="E23" s="102" t="s">
        <v>194</v>
      </c>
      <c r="F23" s="103" t="s">
        <v>194</v>
      </c>
      <c r="G23" s="103" t="s">
        <v>194</v>
      </c>
      <c r="H23" s="104" t="s">
        <v>194</v>
      </c>
      <c r="I23" s="105" t="s">
        <v>194</v>
      </c>
      <c r="J23" s="105" t="s">
        <v>194</v>
      </c>
      <c r="K23" s="105" t="s">
        <v>194</v>
      </c>
      <c r="L23" s="104" t="s">
        <v>194</v>
      </c>
      <c r="M23" s="106" t="s">
        <v>194</v>
      </c>
      <c r="N23" s="107" t="s">
        <v>194</v>
      </c>
      <c r="O23" s="102" t="s">
        <v>194</v>
      </c>
      <c r="P23" s="103" t="s">
        <v>194</v>
      </c>
      <c r="Q23" s="103" t="s">
        <v>194</v>
      </c>
      <c r="R23" s="108" t="s">
        <v>194</v>
      </c>
      <c r="S23" s="107" t="s">
        <v>194</v>
      </c>
      <c r="T23" s="125" t="s">
        <v>194</v>
      </c>
      <c r="U23" s="106" t="s">
        <v>194</v>
      </c>
      <c r="V23" s="106" t="s">
        <v>194</v>
      </c>
      <c r="W23" s="106" t="s">
        <v>194</v>
      </c>
      <c r="X23" s="106" t="s">
        <v>194</v>
      </c>
      <c r="Y23" s="104" t="s">
        <v>194</v>
      </c>
      <c r="Z23" s="105" t="s">
        <v>194</v>
      </c>
      <c r="AA23" s="105" t="s">
        <v>194</v>
      </c>
      <c r="AB23" s="105" t="s">
        <v>194</v>
      </c>
      <c r="AC23" s="101">
        <v>0</v>
      </c>
      <c r="AD23" s="109">
        <v>0</v>
      </c>
      <c r="AE23" s="101">
        <v>0</v>
      </c>
      <c r="AF23" s="109">
        <v>0</v>
      </c>
      <c r="AG23" s="110" t="s">
        <v>194</v>
      </c>
      <c r="AH23" s="106" t="s">
        <v>194</v>
      </c>
      <c r="AI23" s="101">
        <v>0</v>
      </c>
      <c r="AJ23" s="109">
        <v>0</v>
      </c>
      <c r="AK23" s="106" t="s">
        <v>194</v>
      </c>
      <c r="AL23" s="104">
        <v>0</v>
      </c>
      <c r="AM23" s="105">
        <v>0</v>
      </c>
      <c r="AN23" s="106" t="s">
        <v>194</v>
      </c>
      <c r="AO23" s="104">
        <v>0</v>
      </c>
      <c r="AP23" s="106">
        <v>0</v>
      </c>
      <c r="AQ23" s="109" t="s">
        <v>194</v>
      </c>
      <c r="AR23" s="101">
        <v>0</v>
      </c>
      <c r="AS23" s="105">
        <v>0</v>
      </c>
      <c r="AT23" s="104">
        <v>0</v>
      </c>
      <c r="AU23" s="101">
        <v>1</v>
      </c>
      <c r="AV23" s="109">
        <v>0</v>
      </c>
      <c r="AW23" s="109">
        <v>0</v>
      </c>
      <c r="AX23" s="109">
        <v>0</v>
      </c>
      <c r="AY23" s="110">
        <v>0</v>
      </c>
      <c r="AZ23" s="109">
        <v>0</v>
      </c>
      <c r="BA23" s="102" t="s">
        <v>194</v>
      </c>
      <c r="BB23" s="106" t="s">
        <v>194</v>
      </c>
      <c r="BC23" s="111" t="s">
        <v>194</v>
      </c>
      <c r="BD23" s="74" t="s">
        <v>1140</v>
      </c>
      <c r="BE23" s="88" t="str">
        <f>IFERROR(_xlfn.XLOOKUP([2]!BaseMaestraCeDi[[#This Row],[CeDi]], '[2]Potencial Hor x CeDi'!$B$6:$BU$6, '[2]Potencial Hor x CeDi'!$B$21:$BU$21) / 1000, "")</f>
        <v/>
      </c>
      <c r="BF23" s="89" t="str">
        <f>IFERROR(_xlfn.XLOOKUP([2]!BaseMaestraCeDi[[#This Row],[CeDi]], '[2]Potencial Hor x CeDi'!$B$6:$BU$6, '[2]Potencial Hor x CeDi'!$B$22:$BU$22) / 1000, "")</f>
        <v/>
      </c>
      <c r="BG23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23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23" s="78" t="str">
        <f>IFERROR(INDEX('[2]Potencial Hor SocioDem x CeDi'!$C$2:$AF$81, MATCH($C23,'[2]Potencial Hor SocioDem x CeDi'!$B$2:$B$81,0), MATCH(BI$4,'[2]Potencial Hor SocioDem x CeDi'!$C$1:$AF$1,0)), "")</f>
        <v/>
      </c>
      <c r="BJ23" s="78" t="str">
        <f>IFERROR(INDEX('[2]Potencial Hor SocioDem x CeDi'!$C$2:$AF$81, MATCH($C23,'[2]Potencial Hor SocioDem x CeDi'!$B$2:$B$81,0), MATCH(BJ$4,'[2]Potencial Hor SocioDem x CeDi'!$C$1:$AF$1,0)), "")</f>
        <v/>
      </c>
      <c r="BK23" s="78" t="str">
        <f>IFERROR(INDEX('[2]Potencial Hor SocioDem x CeDi'!$C$2:$AF$81, MATCH($C23,'[2]Potencial Hor SocioDem x CeDi'!$B$2:$B$81,0), MATCH(BK$4,'[2]Potencial Hor SocioDem x CeDi'!$C$1:$AF$1,0)), "")</f>
        <v/>
      </c>
      <c r="BL23" s="79" t="str">
        <f>IFERROR(INDEX('[2]Potencial Hor SocioDem x CeDi'!$C$2:$AF$81, MATCH($C23,'[2]Potencial Hor SocioDem x CeDi'!$B$2:$B$81,0), MATCH(BL$4,'[2]Potencial Hor SocioDem x CeDi'!$C$1:$AF$1,0)), "")</f>
        <v/>
      </c>
      <c r="BM23" s="79" t="str">
        <f>IFERROR(INDEX('[2]Potencial Hor SocioDem x CeDi'!$C$2:$AF$81, MATCH($C23,'[2]Potencial Hor SocioDem x CeDi'!$B$2:$B$81,0), MATCH(BM$4,'[2]Potencial Hor SocioDem x CeDi'!$C$1:$AF$1,0)), "")</f>
        <v/>
      </c>
      <c r="BN23" s="78" t="str">
        <f>IFERROR(INDEX('[2]Potencial Hor SocioDem x CeDi'!$C$2:$AF$81, MATCH($C23,'[2]Potencial Hor SocioDem x CeDi'!$B$2:$B$81,0), MATCH(BN$4,'[2]Potencial Hor SocioDem x CeDi'!$C$1:$AF$1,0)), "")</f>
        <v/>
      </c>
      <c r="BO23" s="78" t="str">
        <f>IFERROR(INDEX('[2]Potencial Hor SocioDem x CeDi'!$C$2:$AF$81, MATCH($C23,'[2]Potencial Hor SocioDem x CeDi'!$B$2:$B$81,0), MATCH(BO$4,'[2]Potencial Hor SocioDem x CeDi'!$C$1:$AF$1,0)), "")</f>
        <v/>
      </c>
      <c r="BP23" s="78" t="str">
        <f>IFERROR(INDEX('[2]Potencial Hor SocioDem x CeDi'!$C$2:$AF$81, MATCH($C23,'[2]Potencial Hor SocioDem x CeDi'!$B$2:$B$81,0), MATCH(BP$4,'[2]Potencial Hor SocioDem x CeDi'!$C$1:$AF$1,0)), "")</f>
        <v/>
      </c>
      <c r="BQ23" s="80" t="str">
        <f>IFERROR(INDEX('[2]Potencial Hor SocioDem x CeDi'!$C$2:$AF$81, MATCH($C23,'[2]Potencial Hor SocioDem x CeDi'!$B$2:$B$81,0), MATCH(BQ$4,'[2]Potencial Hor SocioDem x CeDi'!$C$1:$AF$1,0)), "")</f>
        <v/>
      </c>
      <c r="BR23" s="80" t="str">
        <f>IFERROR(INDEX('[2]Potencial Hor SocioDem x CeDi'!$C$2:$AF$81, MATCH($C23,'[2]Potencial Hor SocioDem x CeDi'!$B$2:$B$81,0), MATCH(BR$4,'[2]Potencial Hor SocioDem x CeDi'!$C$1:$AF$1,0)), "")</f>
        <v/>
      </c>
      <c r="BS23" s="80" t="str">
        <f>IFERROR(INDEX('[2]Potencial Hor SocioDem x CeDi'!$C$2:$AF$81, MATCH($C23,'[2]Potencial Hor SocioDem x CeDi'!$B$2:$B$81,0), MATCH(BS$4,'[2]Potencial Hor SocioDem x CeDi'!$C$1:$AF$1,0)), "")</f>
        <v/>
      </c>
      <c r="BT23" s="80" t="str">
        <f>IFERROR(INDEX('[2]Potencial Hor SocioDem x CeDi'!$C$2:$AF$81, MATCH($C23,'[2]Potencial Hor SocioDem x CeDi'!$B$2:$B$81,0), MATCH(BT$4,'[2]Potencial Hor SocioDem x CeDi'!$C$1:$AF$1,0)), "")</f>
        <v/>
      </c>
      <c r="BU23" s="80" t="str">
        <f>IFERROR(INDEX('[2]Potencial Hor SocioDem x CeDi'!$C$2:$AF$81, MATCH($C23,'[2]Potencial Hor SocioDem x CeDi'!$B$2:$B$81,0), MATCH(BU$4,'[2]Potencial Hor SocioDem x CeDi'!$C$1:$AF$1,0)), "")</f>
        <v/>
      </c>
      <c r="BV23" s="80" t="str">
        <f>IFERROR(INDEX('[2]Potencial Hor SocioDem x CeDi'!$C$2:$AF$81, MATCH($C23,'[2]Potencial Hor SocioDem x CeDi'!$B$2:$B$81,0), MATCH(BV$4,'[2]Potencial Hor SocioDem x CeDi'!$C$1:$AF$1,0)), "")</f>
        <v/>
      </c>
      <c r="BW23" s="80" t="str">
        <f>IFERROR(INDEX('[2]Potencial Hor SocioDem x CeDi'!$C$2:$AF$81, MATCH($C23,'[2]Potencial Hor SocioDem x CeDi'!$B$2:$B$81,0), MATCH(BW$4,'[2]Potencial Hor SocioDem x CeDi'!$C$1:$AF$1,0)), "")</f>
        <v/>
      </c>
      <c r="BX23" s="80" t="str">
        <f>IFERROR(INDEX('[2]Potencial Hor SocioDem x CeDi'!$C$2:$AF$81, MATCH($C23,'[2]Potencial Hor SocioDem x CeDi'!$B$2:$B$81,0), MATCH(BX$4,'[2]Potencial Hor SocioDem x CeDi'!$C$1:$AF$1,0)), "")</f>
        <v/>
      </c>
      <c r="BY23" s="80" t="str">
        <f>IFERROR(INDEX('[2]Potencial Hor SocioDem x CeDi'!$C$2:$AF$81, MATCH($C23,'[2]Potencial Hor SocioDem x CeDi'!$B$2:$B$81,0), MATCH(BY$4,'[2]Potencial Hor SocioDem x CeDi'!$C$1:$AF$1,0)), "")</f>
        <v/>
      </c>
      <c r="BZ23" s="79" t="str">
        <f>IFERROR(INDEX('[2]Potencial Hor SocioDem x CeDi'!$C$2:$AF$81, MATCH($C23,'[2]Potencial Hor SocioDem x CeDi'!$B$2:$B$81,0), MATCH(BZ$4,'[2]Potencial Hor SocioDem x CeDi'!$C$1:$AF$1,0)), "")</f>
        <v/>
      </c>
      <c r="CA23" s="79" t="str">
        <f>IFERROR(INDEX('[2]Potencial Hor SocioDem x CeDi'!$C$2:$AF$81, MATCH($C23,'[2]Potencial Hor SocioDem x CeDi'!$B$2:$B$81,0), MATCH(CA$4,'[2]Potencial Hor SocioDem x CeDi'!$C$1:$AF$1,0)), "")</f>
        <v/>
      </c>
      <c r="CB23" s="81" t="str">
        <f>IFERROR(INDEX('[2]Potencial Hor SocioDem x CeDi'!$C$2:$AF$81, MATCH($C23,'[2]Potencial Hor SocioDem x CeDi'!$B$2:$B$81,0), MATCH(CB$4,'[2]Potencial Hor SocioDem x CeDi'!$C$1:$AF$1,0)), "")</f>
        <v/>
      </c>
      <c r="CC23" s="82" t="str">
        <f>IFERROR(INDEX('[2]Potencial Hor SocioDem x CeDi'!$C$2:$AF$81, MATCH($C23,'[2]Potencial Hor SocioDem x CeDi'!$B$2:$B$81,0), MATCH(CC$4,'[2]Potencial Hor SocioDem x CeDi'!$C$1:$AF$1,0)), "")</f>
        <v/>
      </c>
      <c r="CD23" s="83" t="str">
        <f>IFERROR(INDEX('[2]Potencial Hor SocioDem x CeDi'!$C$2:$AF$81, MATCH($C23,'[2]Potencial Hor SocioDem x CeDi'!$B$2:$B$81,0), MATCH(CD$4,'[2]Potencial Hor SocioDem x CeDi'!$C$1:$AF$1,0)), "")</f>
        <v/>
      </c>
      <c r="CE23" s="78" t="str">
        <f>IFERROR(_xlfn.XLOOKUP([2]!BaseMaestraCeDi[[#This Row],[CeDi]], '[2]Potencial Hor x CeDi'!$B$6:$BU$6, '[2]Potencial Hor x CeDi'!$B$50:$BU$50), "")</f>
        <v/>
      </c>
      <c r="CF23" s="78" t="str">
        <f>IFERROR(_xlfn.XLOOKUP([2]!BaseMaestraCeDi[[#This Row],[CeDi]], '[2]Potencial Hor x CeDi'!$B$6:$BU$6, '[2]Potencial Hor x CeDi'!$B$34:$BU$34), "")</f>
        <v/>
      </c>
      <c r="CG23" s="78" t="str">
        <f>IFERROR(_xlfn.XLOOKUP([2]!BaseMaestraCeDi[[#This Row],[CeDi]], '[2]Potencial Hor x CeDi'!$B$6:$BU$6, '[2]Potencial Hor x CeDi'!$B$64:$BU$64), "")</f>
        <v/>
      </c>
      <c r="CH23" s="91" t="str">
        <f>IFERROR(_xlfn.XLOOKUP([2]!BaseMaestraCeDi[[#This Row],[CeDi]], '[2]Potencial Hor x CeDi'!$B$6:$BU$6, '[2]Potencial Hor x CeDi'!$B$38:$BU$38), "")</f>
        <v/>
      </c>
      <c r="CI23" s="90" t="str">
        <f>IFERROR(_xlfn.XLOOKUP([2]!BaseMaestraCeDi[[#This Row],[CeDi]], '[2]Potencial Hor x CeDi'!$B$6:$BU$6, '[2]Potencial Hor x CeDi'!$B$26:$BU$26), "")</f>
        <v/>
      </c>
      <c r="CJ23" s="92" t="str">
        <f>IFERROR(_xlfn.XLOOKUP([2]!BaseMaestraCeDi[[#This Row],[CeDi]], '[2]Potencial Hor x CeDi'!$B$6:$BU$6, '[2]Potencial Hor x CeDi'!$B$27:$BU$27), "")</f>
        <v/>
      </c>
      <c r="CK23" s="90" t="str">
        <f>IFERROR(_xlfn.XLOOKUP([2]!BaseMaestraCeDi[[#This Row],[CeDi]], '[2]Potencial Hor x CeDi'!$B$6:$BU$6, '[2]Potencial Hor x CeDi'!$B$28:$BU$28), "")</f>
        <v/>
      </c>
      <c r="CL23" s="92" t="str">
        <f>IFERROR(_xlfn.XLOOKUP([2]!BaseMaestraCeDi[[#This Row],[CeDi]], '[2]Potencial Hor x CeDi'!$B$6:$BU$6, '[2]Potencial Hor x CeDi'!$B$29:$BU$29), "")</f>
        <v/>
      </c>
      <c r="CM23" s="93" t="str">
        <f>IFERROR(_xlfn.XLOOKUP([2]!BaseMaestraCeDi[[#This Row],[CeDi]], '[2]Potencial Hor x CeDi'!$B$6:$BU$6, '[2]Potencial Hor x CeDi'!$B$39:$BU$39), "")</f>
        <v/>
      </c>
      <c r="CN23" s="94" t="str">
        <f>IFERROR(_xlfn.XLOOKUP([2]!BaseMaestraCeDi[[#This Row],[CeDi]], '[2]Potencial Hor x CeDi'!$B$6:$BU$6, '[2]Potencial Hor x CeDi'!$B$43:$BU$43), "")</f>
        <v/>
      </c>
      <c r="CO23" s="94" t="str">
        <f>IFERROR(_xlfn.XLOOKUP([2]!BaseMaestraCeDi[[#This Row],[CeDi]], '[2]Potencial Hor x CeDi'!$B$6:$BU$6, '[2]Potencial Hor x CeDi'!$B$46:$BU$46), "")</f>
        <v/>
      </c>
      <c r="CP23" s="86" t="str">
        <f>IFERROR(_xlfn.XLOOKUP([2]!BaseMaestraCeDi[[#This Row],[CeDi]], '[2]Potencial Hor x CeDi'!$B$6:$BU$6, '[2]Potencial Hor x CeDi'!$B$51:$BU$51), "")</f>
        <v/>
      </c>
      <c r="CQ23" s="82" t="str">
        <f>IFERROR(_xlfn.XLOOKUP([2]!BaseMaestraCeDi[[#This Row],[CeDi]], '[2]Potencial Hor x CeDi'!$B$6:$BU$6, '[2]Potencial Hor x CeDi'!$B$52:$BU$52), "")</f>
        <v/>
      </c>
      <c r="CR23" s="82" t="str">
        <f>IFERROR(_xlfn.XLOOKUP([2]!BaseMaestraCeDi[[#This Row],[CeDi]], '[2]Potencial Hor x CeDi'!$B$6:$BU$6, '[2]Potencial Hor x CeDi'!$B$53:$BU$53), "")</f>
        <v/>
      </c>
      <c r="CS23" s="87" t="str">
        <f>IFERROR(_xlfn.XLOOKUP([2]!BaseMaestraCeDi[[#This Row],[CeDi]], '[2]Potencial Hor x CeDi'!$B$6:$BU$6, '[2]Potencial Hor x CeDi'!$B$60:$BU$60), "")</f>
        <v/>
      </c>
      <c r="CT23" s="90" t="str">
        <f>IFERROR(_xlfn.XLOOKUP([2]!BaseMaestraCeDi[[#This Row],[CeDi]], '[2]Potencial Hor x CeDi'!$B$6:$BU$6, '[2]Potencial Hor x CeDi'!$B$65:$BU$65), "")</f>
        <v/>
      </c>
      <c r="CU23" s="90" t="str">
        <f>IFERROR(_xlfn.XLOOKUP([2]!BaseMaestraCeDi[[#This Row],[CeDi]], '[2]Potencial Hor x CeDi'!$B$6:$BU$6, '[2]Potencial Hor x CeDi'!$B$68:$BU$68), "")</f>
        <v/>
      </c>
      <c r="CV23" s="95" t="str">
        <f>IFERROR(_xlfn.XLOOKUP([2]!BaseMaestraCeDi[[#This Row],[CeDi]], '[2]Potencial Hor x CeDi'!$B$6:$BU$6, '[2]Potencial Hor x CeDi'!$B$71:$BU$71), "")</f>
        <v/>
      </c>
    </row>
    <row r="24" spans="1:100">
      <c r="A24" s="112" t="s">
        <v>93</v>
      </c>
      <c r="B24" s="112" t="s">
        <v>361</v>
      </c>
      <c r="C24" s="112" t="s">
        <v>362</v>
      </c>
      <c r="D24" s="113">
        <v>21</v>
      </c>
      <c r="E24" s="114">
        <v>1947.4205025958888</v>
      </c>
      <c r="F24" s="115">
        <v>146.3968138082339</v>
      </c>
      <c r="G24" s="115">
        <v>2093.8173164041227</v>
      </c>
      <c r="H24" s="116">
        <v>2617.7199802636405</v>
      </c>
      <c r="I24" s="117">
        <v>27673.204792902645</v>
      </c>
      <c r="J24" s="117">
        <v>3072.8545955521649</v>
      </c>
      <c r="K24" s="117">
        <v>33363.779368718446</v>
      </c>
      <c r="L24" s="116">
        <v>52530.540183141718</v>
      </c>
      <c r="M24" s="118">
        <v>0.63513109235883447</v>
      </c>
      <c r="N24" s="119" t="s">
        <v>211</v>
      </c>
      <c r="O24" s="114">
        <v>44.589160099977683</v>
      </c>
      <c r="P24" s="115">
        <v>1</v>
      </c>
      <c r="Q24" s="115">
        <v>1</v>
      </c>
      <c r="R24" s="120">
        <v>26</v>
      </c>
      <c r="S24" s="119">
        <v>202</v>
      </c>
      <c r="T24" s="121">
        <v>0.951491488256205</v>
      </c>
      <c r="U24" s="118">
        <v>4.8508511743795002E-2</v>
      </c>
      <c r="V24" s="118">
        <v>0.56791172238759169</v>
      </c>
      <c r="W24" s="118">
        <v>0.43208827761240837</v>
      </c>
      <c r="X24" s="118">
        <v>0</v>
      </c>
      <c r="Y24" s="116">
        <v>29832.709553358611</v>
      </c>
      <c r="Z24" s="117">
        <v>22697.830629783111</v>
      </c>
      <c r="AA24" s="117">
        <v>0</v>
      </c>
      <c r="AB24" s="117">
        <v>98155.49581608006</v>
      </c>
      <c r="AC24" s="113">
        <v>22</v>
      </c>
      <c r="AD24" s="122">
        <v>16</v>
      </c>
      <c r="AE24" s="113">
        <v>407041</v>
      </c>
      <c r="AF24" s="122">
        <v>279830</v>
      </c>
      <c r="AG24" s="123">
        <v>0.68747374343125145</v>
      </c>
      <c r="AH24" s="118">
        <v>0.7622731228245333</v>
      </c>
      <c r="AI24" s="113">
        <v>38162.03882087917</v>
      </c>
      <c r="AJ24" s="122">
        <v>19081.019410439585</v>
      </c>
      <c r="AK24" s="118">
        <v>0.73435113271252672</v>
      </c>
      <c r="AL24" s="116">
        <v>72165875.010000005</v>
      </c>
      <c r="AM24" s="117">
        <v>6990387.4805781189</v>
      </c>
      <c r="AN24" s="118">
        <v>9.6865554247204277E-2</v>
      </c>
      <c r="AO24" s="116">
        <v>4912164.1755413814</v>
      </c>
      <c r="AP24" s="118">
        <v>2.2345899685491367E-2</v>
      </c>
      <c r="AQ24" s="122">
        <v>13</v>
      </c>
      <c r="AR24" s="113">
        <v>16</v>
      </c>
      <c r="AS24" s="117">
        <v>16885716.824274395</v>
      </c>
      <c r="AT24" s="116">
        <v>21797880.999815777</v>
      </c>
      <c r="AU24" s="113">
        <v>23</v>
      </c>
      <c r="AV24" s="122">
        <v>1</v>
      </c>
      <c r="AW24" s="122">
        <v>8</v>
      </c>
      <c r="AX24" s="122">
        <v>13</v>
      </c>
      <c r="AY24" s="123">
        <v>4.3478260869565216E-2</v>
      </c>
      <c r="AZ24" s="122">
        <v>97582.302767885063</v>
      </c>
      <c r="BA24" s="114">
        <v>44.58916009997769</v>
      </c>
      <c r="BB24" s="118">
        <v>0.65739904648596303</v>
      </c>
      <c r="BC24" s="124">
        <v>303.21569943037417</v>
      </c>
      <c r="BD24" s="74" t="s">
        <v>1141</v>
      </c>
      <c r="BE24" s="88" t="str">
        <f>IFERROR(_xlfn.XLOOKUP([2]!BaseMaestraCeDi[[#This Row],[CeDi]], '[2]Potencial Hor x CeDi'!$B$6:$BU$6, '[2]Potencial Hor x CeDi'!$B$21:$BU$21) / 1000, "")</f>
        <v/>
      </c>
      <c r="BF24" s="89" t="str">
        <f>IFERROR(_xlfn.XLOOKUP([2]!BaseMaestraCeDi[[#This Row],[CeDi]], '[2]Potencial Hor x CeDi'!$B$6:$BU$6, '[2]Potencial Hor x CeDi'!$B$22:$BU$22) / 1000, "")</f>
        <v/>
      </c>
      <c r="BG24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24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24" s="78" t="str">
        <f>IFERROR(INDEX('[2]Potencial Hor SocioDem x CeDi'!$C$2:$AF$81, MATCH($C24,'[2]Potencial Hor SocioDem x CeDi'!$B$2:$B$81,0), MATCH(BI$4,'[2]Potencial Hor SocioDem x CeDi'!$C$1:$AF$1,0)), "")</f>
        <v/>
      </c>
      <c r="BJ24" s="78" t="str">
        <f>IFERROR(INDEX('[2]Potencial Hor SocioDem x CeDi'!$C$2:$AF$81, MATCH($C24,'[2]Potencial Hor SocioDem x CeDi'!$B$2:$B$81,0), MATCH(BJ$4,'[2]Potencial Hor SocioDem x CeDi'!$C$1:$AF$1,0)), "")</f>
        <v/>
      </c>
      <c r="BK24" s="78" t="str">
        <f>IFERROR(INDEX('[2]Potencial Hor SocioDem x CeDi'!$C$2:$AF$81, MATCH($C24,'[2]Potencial Hor SocioDem x CeDi'!$B$2:$B$81,0), MATCH(BK$4,'[2]Potencial Hor SocioDem x CeDi'!$C$1:$AF$1,0)), "")</f>
        <v/>
      </c>
      <c r="BL24" s="79" t="str">
        <f>IFERROR(INDEX('[2]Potencial Hor SocioDem x CeDi'!$C$2:$AF$81, MATCH($C24,'[2]Potencial Hor SocioDem x CeDi'!$B$2:$B$81,0), MATCH(BL$4,'[2]Potencial Hor SocioDem x CeDi'!$C$1:$AF$1,0)), "")</f>
        <v/>
      </c>
      <c r="BM24" s="79" t="str">
        <f>IFERROR(INDEX('[2]Potencial Hor SocioDem x CeDi'!$C$2:$AF$81, MATCH($C24,'[2]Potencial Hor SocioDem x CeDi'!$B$2:$B$81,0), MATCH(BM$4,'[2]Potencial Hor SocioDem x CeDi'!$C$1:$AF$1,0)), "")</f>
        <v/>
      </c>
      <c r="BN24" s="78" t="str">
        <f>IFERROR(INDEX('[2]Potencial Hor SocioDem x CeDi'!$C$2:$AF$81, MATCH($C24,'[2]Potencial Hor SocioDem x CeDi'!$B$2:$B$81,0), MATCH(BN$4,'[2]Potencial Hor SocioDem x CeDi'!$C$1:$AF$1,0)), "")</f>
        <v/>
      </c>
      <c r="BO24" s="78" t="str">
        <f>IFERROR(INDEX('[2]Potencial Hor SocioDem x CeDi'!$C$2:$AF$81, MATCH($C24,'[2]Potencial Hor SocioDem x CeDi'!$B$2:$B$81,0), MATCH(BO$4,'[2]Potencial Hor SocioDem x CeDi'!$C$1:$AF$1,0)), "")</f>
        <v/>
      </c>
      <c r="BP24" s="78" t="str">
        <f>IFERROR(INDEX('[2]Potencial Hor SocioDem x CeDi'!$C$2:$AF$81, MATCH($C24,'[2]Potencial Hor SocioDem x CeDi'!$B$2:$B$81,0), MATCH(BP$4,'[2]Potencial Hor SocioDem x CeDi'!$C$1:$AF$1,0)), "")</f>
        <v/>
      </c>
      <c r="BQ24" s="80" t="str">
        <f>IFERROR(INDEX('[2]Potencial Hor SocioDem x CeDi'!$C$2:$AF$81, MATCH($C24,'[2]Potencial Hor SocioDem x CeDi'!$B$2:$B$81,0), MATCH(BQ$4,'[2]Potencial Hor SocioDem x CeDi'!$C$1:$AF$1,0)), "")</f>
        <v/>
      </c>
      <c r="BR24" s="80" t="str">
        <f>IFERROR(INDEX('[2]Potencial Hor SocioDem x CeDi'!$C$2:$AF$81, MATCH($C24,'[2]Potencial Hor SocioDem x CeDi'!$B$2:$B$81,0), MATCH(BR$4,'[2]Potencial Hor SocioDem x CeDi'!$C$1:$AF$1,0)), "")</f>
        <v/>
      </c>
      <c r="BS24" s="80" t="str">
        <f>IFERROR(INDEX('[2]Potencial Hor SocioDem x CeDi'!$C$2:$AF$81, MATCH($C24,'[2]Potencial Hor SocioDem x CeDi'!$B$2:$B$81,0), MATCH(BS$4,'[2]Potencial Hor SocioDem x CeDi'!$C$1:$AF$1,0)), "")</f>
        <v/>
      </c>
      <c r="BT24" s="80" t="str">
        <f>IFERROR(INDEX('[2]Potencial Hor SocioDem x CeDi'!$C$2:$AF$81, MATCH($C24,'[2]Potencial Hor SocioDem x CeDi'!$B$2:$B$81,0), MATCH(BT$4,'[2]Potencial Hor SocioDem x CeDi'!$C$1:$AF$1,0)), "")</f>
        <v/>
      </c>
      <c r="BU24" s="80" t="str">
        <f>IFERROR(INDEX('[2]Potencial Hor SocioDem x CeDi'!$C$2:$AF$81, MATCH($C24,'[2]Potencial Hor SocioDem x CeDi'!$B$2:$B$81,0), MATCH(BU$4,'[2]Potencial Hor SocioDem x CeDi'!$C$1:$AF$1,0)), "")</f>
        <v/>
      </c>
      <c r="BV24" s="80" t="str">
        <f>IFERROR(INDEX('[2]Potencial Hor SocioDem x CeDi'!$C$2:$AF$81, MATCH($C24,'[2]Potencial Hor SocioDem x CeDi'!$B$2:$B$81,0), MATCH(BV$4,'[2]Potencial Hor SocioDem x CeDi'!$C$1:$AF$1,0)), "")</f>
        <v/>
      </c>
      <c r="BW24" s="80" t="str">
        <f>IFERROR(INDEX('[2]Potencial Hor SocioDem x CeDi'!$C$2:$AF$81, MATCH($C24,'[2]Potencial Hor SocioDem x CeDi'!$B$2:$B$81,0), MATCH(BW$4,'[2]Potencial Hor SocioDem x CeDi'!$C$1:$AF$1,0)), "")</f>
        <v/>
      </c>
      <c r="BX24" s="80" t="str">
        <f>IFERROR(INDEX('[2]Potencial Hor SocioDem x CeDi'!$C$2:$AF$81, MATCH($C24,'[2]Potencial Hor SocioDem x CeDi'!$B$2:$B$81,0), MATCH(BX$4,'[2]Potencial Hor SocioDem x CeDi'!$C$1:$AF$1,0)), "")</f>
        <v/>
      </c>
      <c r="BY24" s="80" t="str">
        <f>IFERROR(INDEX('[2]Potencial Hor SocioDem x CeDi'!$C$2:$AF$81, MATCH($C24,'[2]Potencial Hor SocioDem x CeDi'!$B$2:$B$81,0), MATCH(BY$4,'[2]Potencial Hor SocioDem x CeDi'!$C$1:$AF$1,0)), "")</f>
        <v/>
      </c>
      <c r="BZ24" s="79" t="str">
        <f>IFERROR(INDEX('[2]Potencial Hor SocioDem x CeDi'!$C$2:$AF$81, MATCH($C24,'[2]Potencial Hor SocioDem x CeDi'!$B$2:$B$81,0), MATCH(BZ$4,'[2]Potencial Hor SocioDem x CeDi'!$C$1:$AF$1,0)), "")</f>
        <v/>
      </c>
      <c r="CA24" s="79" t="str">
        <f>IFERROR(INDEX('[2]Potencial Hor SocioDem x CeDi'!$C$2:$AF$81, MATCH($C24,'[2]Potencial Hor SocioDem x CeDi'!$B$2:$B$81,0), MATCH(CA$4,'[2]Potencial Hor SocioDem x CeDi'!$C$1:$AF$1,0)), "")</f>
        <v/>
      </c>
      <c r="CB24" s="81" t="str">
        <f>IFERROR(INDEX('[2]Potencial Hor SocioDem x CeDi'!$C$2:$AF$81, MATCH($C24,'[2]Potencial Hor SocioDem x CeDi'!$B$2:$B$81,0), MATCH(CB$4,'[2]Potencial Hor SocioDem x CeDi'!$C$1:$AF$1,0)), "")</f>
        <v/>
      </c>
      <c r="CC24" s="82" t="str">
        <f>IFERROR(INDEX('[2]Potencial Hor SocioDem x CeDi'!$C$2:$AF$81, MATCH($C24,'[2]Potencial Hor SocioDem x CeDi'!$B$2:$B$81,0), MATCH(CC$4,'[2]Potencial Hor SocioDem x CeDi'!$C$1:$AF$1,0)), "")</f>
        <v/>
      </c>
      <c r="CD24" s="83" t="str">
        <f>IFERROR(INDEX('[2]Potencial Hor SocioDem x CeDi'!$C$2:$AF$81, MATCH($C24,'[2]Potencial Hor SocioDem x CeDi'!$B$2:$B$81,0), MATCH(CD$4,'[2]Potencial Hor SocioDem x CeDi'!$C$1:$AF$1,0)), "")</f>
        <v/>
      </c>
      <c r="CE24" s="78" t="str">
        <f>IFERROR(_xlfn.XLOOKUP([2]!BaseMaestraCeDi[[#This Row],[CeDi]], '[2]Potencial Hor x CeDi'!$B$6:$BU$6, '[2]Potencial Hor x CeDi'!$B$50:$BU$50), "")</f>
        <v/>
      </c>
      <c r="CF24" s="90" t="str">
        <f>IFERROR(_xlfn.XLOOKUP([2]!BaseMaestraCeDi[[#This Row],[CeDi]], '[2]Potencial Hor x CeDi'!$B$6:$BU$6, '[2]Potencial Hor x CeDi'!$B$34:$BU$34), "")</f>
        <v/>
      </c>
      <c r="CG24" s="90" t="str">
        <f>IFERROR(_xlfn.XLOOKUP([2]!BaseMaestraCeDi[[#This Row],[CeDi]], '[2]Potencial Hor x CeDi'!$B$6:$BU$6, '[2]Potencial Hor x CeDi'!$B$64:$BU$64), "")</f>
        <v/>
      </c>
      <c r="CH24" s="91" t="str">
        <f>IFERROR(_xlfn.XLOOKUP([2]!BaseMaestraCeDi[[#This Row],[CeDi]], '[2]Potencial Hor x CeDi'!$B$6:$BU$6, '[2]Potencial Hor x CeDi'!$B$38:$BU$38), "")</f>
        <v/>
      </c>
      <c r="CI24" s="90" t="str">
        <f>IFERROR(_xlfn.XLOOKUP([2]!BaseMaestraCeDi[[#This Row],[CeDi]], '[2]Potencial Hor x CeDi'!$B$6:$BU$6, '[2]Potencial Hor x CeDi'!$B$26:$BU$26), "")</f>
        <v/>
      </c>
      <c r="CJ24" s="92" t="str">
        <f>IFERROR(_xlfn.XLOOKUP([2]!BaseMaestraCeDi[[#This Row],[CeDi]], '[2]Potencial Hor x CeDi'!$B$6:$BU$6, '[2]Potencial Hor x CeDi'!$B$27:$BU$27), "")</f>
        <v/>
      </c>
      <c r="CK24" s="90" t="str">
        <f>IFERROR(_xlfn.XLOOKUP([2]!BaseMaestraCeDi[[#This Row],[CeDi]], '[2]Potencial Hor x CeDi'!$B$6:$BU$6, '[2]Potencial Hor x CeDi'!$B$28:$BU$28), "")</f>
        <v/>
      </c>
      <c r="CL24" s="92" t="str">
        <f>IFERROR(_xlfn.XLOOKUP([2]!BaseMaestraCeDi[[#This Row],[CeDi]], '[2]Potencial Hor x CeDi'!$B$6:$BU$6, '[2]Potencial Hor x CeDi'!$B$29:$BU$29), "")</f>
        <v/>
      </c>
      <c r="CM24" s="93" t="str">
        <f>IFERROR(_xlfn.XLOOKUP([2]!BaseMaestraCeDi[[#This Row],[CeDi]], '[2]Potencial Hor x CeDi'!$B$6:$BU$6, '[2]Potencial Hor x CeDi'!$B$39:$BU$39), "")</f>
        <v/>
      </c>
      <c r="CN24" s="94" t="str">
        <f>IFERROR(_xlfn.XLOOKUP([2]!BaseMaestraCeDi[[#This Row],[CeDi]], '[2]Potencial Hor x CeDi'!$B$6:$BU$6, '[2]Potencial Hor x CeDi'!$B$43:$BU$43), "")</f>
        <v/>
      </c>
      <c r="CO24" s="94" t="str">
        <f>IFERROR(_xlfn.XLOOKUP([2]!BaseMaestraCeDi[[#This Row],[CeDi]], '[2]Potencial Hor x CeDi'!$B$6:$BU$6, '[2]Potencial Hor x CeDi'!$B$46:$BU$46), "")</f>
        <v/>
      </c>
      <c r="CP24" s="86" t="str">
        <f>IFERROR(_xlfn.XLOOKUP([2]!BaseMaestraCeDi[[#This Row],[CeDi]], '[2]Potencial Hor x CeDi'!$B$6:$BU$6, '[2]Potencial Hor x CeDi'!$B$51:$BU$51), "")</f>
        <v/>
      </c>
      <c r="CQ24" s="82" t="str">
        <f>IFERROR(_xlfn.XLOOKUP([2]!BaseMaestraCeDi[[#This Row],[CeDi]], '[2]Potencial Hor x CeDi'!$B$6:$BU$6, '[2]Potencial Hor x CeDi'!$B$52:$BU$52), "")</f>
        <v/>
      </c>
      <c r="CR24" s="82" t="str">
        <f>IFERROR(_xlfn.XLOOKUP([2]!BaseMaestraCeDi[[#This Row],[CeDi]], '[2]Potencial Hor x CeDi'!$B$6:$BU$6, '[2]Potencial Hor x CeDi'!$B$53:$BU$53), "")</f>
        <v/>
      </c>
      <c r="CS24" s="87" t="str">
        <f>IFERROR(_xlfn.XLOOKUP([2]!BaseMaestraCeDi[[#This Row],[CeDi]], '[2]Potencial Hor x CeDi'!$B$6:$BU$6, '[2]Potencial Hor x CeDi'!$B$60:$BU$60), "")</f>
        <v/>
      </c>
      <c r="CT24" s="90" t="str">
        <f>IFERROR(_xlfn.XLOOKUP([2]!BaseMaestraCeDi[[#This Row],[CeDi]], '[2]Potencial Hor x CeDi'!$B$6:$BU$6, '[2]Potencial Hor x CeDi'!$B$65:$BU$65), "")</f>
        <v/>
      </c>
      <c r="CU24" s="90" t="str">
        <f>IFERROR(_xlfn.XLOOKUP([2]!BaseMaestraCeDi[[#This Row],[CeDi]], '[2]Potencial Hor x CeDi'!$B$6:$BU$6, '[2]Potencial Hor x CeDi'!$B$68:$BU$68), "")</f>
        <v/>
      </c>
      <c r="CV24" s="95" t="str">
        <f>IFERROR(_xlfn.XLOOKUP([2]!BaseMaestraCeDi[[#This Row],[CeDi]], '[2]Potencial Hor x CeDi'!$B$6:$BU$6, '[2]Potencial Hor x CeDi'!$B$71:$BU$71), "")</f>
        <v/>
      </c>
    </row>
    <row r="25" spans="1:100">
      <c r="A25" s="100" t="s">
        <v>93</v>
      </c>
      <c r="B25" s="100" t="s">
        <v>361</v>
      </c>
      <c r="C25" s="100" t="s">
        <v>386</v>
      </c>
      <c r="D25" s="101">
        <v>1</v>
      </c>
      <c r="E25" s="102">
        <v>72.580051404111359</v>
      </c>
      <c r="F25" s="103">
        <v>5.4561858917661006</v>
      </c>
      <c r="G25" s="103">
        <v>78.036237295877456</v>
      </c>
      <c r="H25" s="104">
        <v>97.562005984759978</v>
      </c>
      <c r="I25" s="105">
        <v>1312.3712804379243</v>
      </c>
      <c r="J25" s="105">
        <v>146.32640931200785</v>
      </c>
      <c r="K25" s="105">
        <v>1556.2596957346921</v>
      </c>
      <c r="L25" s="104">
        <v>1586.1500308831457</v>
      </c>
      <c r="M25" s="106">
        <v>0.98115541747850221</v>
      </c>
      <c r="N25" s="107" t="s">
        <v>160</v>
      </c>
      <c r="O25" s="102">
        <v>25.88399071925754</v>
      </c>
      <c r="P25" s="103">
        <v>1</v>
      </c>
      <c r="Q25" s="103">
        <v>1</v>
      </c>
      <c r="R25" s="108" t="s">
        <v>194</v>
      </c>
      <c r="S25" s="107" t="s">
        <v>194</v>
      </c>
      <c r="T25" s="125">
        <v>1</v>
      </c>
      <c r="U25" s="106">
        <v>0</v>
      </c>
      <c r="V25" s="106">
        <v>0.63629393158276193</v>
      </c>
      <c r="W25" s="106">
        <v>0.36370606841723813</v>
      </c>
      <c r="X25" s="106">
        <v>0</v>
      </c>
      <c r="Y25" s="104">
        <v>1009.257639230756</v>
      </c>
      <c r="Z25" s="105">
        <v>576.89239165238973</v>
      </c>
      <c r="AA25" s="105">
        <v>0</v>
      </c>
      <c r="AB25" s="105">
        <v>65481.791666666664</v>
      </c>
      <c r="AC25" s="101">
        <v>1</v>
      </c>
      <c r="AD25" s="109">
        <v>0</v>
      </c>
      <c r="AE25" s="101">
        <v>11156</v>
      </c>
      <c r="AF25" s="109">
        <v>4335</v>
      </c>
      <c r="AG25" s="110">
        <v>0.38858013624955179</v>
      </c>
      <c r="AH25" s="106">
        <v>0.38858013624955179</v>
      </c>
      <c r="AI25" s="101">
        <v>0</v>
      </c>
      <c r="AJ25" s="109">
        <v>0</v>
      </c>
      <c r="AK25" s="106">
        <v>0.38858013624955179</v>
      </c>
      <c r="AL25" s="104">
        <v>2124682.7799999998</v>
      </c>
      <c r="AM25" s="105">
        <v>0</v>
      </c>
      <c r="AN25" s="106">
        <v>0</v>
      </c>
      <c r="AO25" s="104">
        <v>0</v>
      </c>
      <c r="AP25" s="106">
        <v>0</v>
      </c>
      <c r="AQ25" s="109" t="s">
        <v>194</v>
      </c>
      <c r="AR25" s="101">
        <v>0</v>
      </c>
      <c r="AS25" s="105">
        <v>0</v>
      </c>
      <c r="AT25" s="104">
        <v>0</v>
      </c>
      <c r="AU25" s="101">
        <v>1</v>
      </c>
      <c r="AV25" s="109">
        <v>0</v>
      </c>
      <c r="AW25" s="109">
        <v>0</v>
      </c>
      <c r="AX25" s="109">
        <v>1</v>
      </c>
      <c r="AY25" s="110">
        <v>0</v>
      </c>
      <c r="AZ25" s="109">
        <v>0</v>
      </c>
      <c r="BA25" s="102">
        <v>25.883990719257501</v>
      </c>
      <c r="BB25" s="106">
        <v>0.38858013624955201</v>
      </c>
      <c r="BC25" s="111">
        <v>245.53826718329501</v>
      </c>
      <c r="BD25" s="74"/>
      <c r="BE25" s="88" t="str">
        <f>IFERROR(_xlfn.XLOOKUP([2]!BaseMaestraCeDi[[#This Row],[CeDi]], '[2]Potencial Hor x CeDi'!$B$6:$BU$6, '[2]Potencial Hor x CeDi'!$B$21:$BU$21) / 1000, "")</f>
        <v/>
      </c>
      <c r="BF25" s="89" t="str">
        <f>IFERROR(_xlfn.XLOOKUP([2]!BaseMaestraCeDi[[#This Row],[CeDi]], '[2]Potencial Hor x CeDi'!$B$6:$BU$6, '[2]Potencial Hor x CeDi'!$B$22:$BU$22) / 1000, "")</f>
        <v/>
      </c>
      <c r="BG25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25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25" s="78" t="str">
        <f>IFERROR(INDEX('[2]Potencial Hor SocioDem x CeDi'!$C$2:$AF$81, MATCH($C25,'[2]Potencial Hor SocioDem x CeDi'!$B$2:$B$81,0), MATCH(BI$4,'[2]Potencial Hor SocioDem x CeDi'!$C$1:$AF$1,0)), "")</f>
        <v/>
      </c>
      <c r="BJ25" s="78" t="str">
        <f>IFERROR(INDEX('[2]Potencial Hor SocioDem x CeDi'!$C$2:$AF$81, MATCH($C25,'[2]Potencial Hor SocioDem x CeDi'!$B$2:$B$81,0), MATCH(BJ$4,'[2]Potencial Hor SocioDem x CeDi'!$C$1:$AF$1,0)), "")</f>
        <v/>
      </c>
      <c r="BK25" s="78" t="str">
        <f>IFERROR(INDEX('[2]Potencial Hor SocioDem x CeDi'!$C$2:$AF$81, MATCH($C25,'[2]Potencial Hor SocioDem x CeDi'!$B$2:$B$81,0), MATCH(BK$4,'[2]Potencial Hor SocioDem x CeDi'!$C$1:$AF$1,0)), "")</f>
        <v/>
      </c>
      <c r="BL25" s="79" t="str">
        <f>IFERROR(INDEX('[2]Potencial Hor SocioDem x CeDi'!$C$2:$AF$81, MATCH($C25,'[2]Potencial Hor SocioDem x CeDi'!$B$2:$B$81,0), MATCH(BL$4,'[2]Potencial Hor SocioDem x CeDi'!$C$1:$AF$1,0)), "")</f>
        <v/>
      </c>
      <c r="BM25" s="79" t="str">
        <f>IFERROR(INDEX('[2]Potencial Hor SocioDem x CeDi'!$C$2:$AF$81, MATCH($C25,'[2]Potencial Hor SocioDem x CeDi'!$B$2:$B$81,0), MATCH(BM$4,'[2]Potencial Hor SocioDem x CeDi'!$C$1:$AF$1,0)), "")</f>
        <v/>
      </c>
      <c r="BN25" s="78" t="str">
        <f>IFERROR(INDEX('[2]Potencial Hor SocioDem x CeDi'!$C$2:$AF$81, MATCH($C25,'[2]Potencial Hor SocioDem x CeDi'!$B$2:$B$81,0), MATCH(BN$4,'[2]Potencial Hor SocioDem x CeDi'!$C$1:$AF$1,0)), "")</f>
        <v/>
      </c>
      <c r="BO25" s="78" t="str">
        <f>IFERROR(INDEX('[2]Potencial Hor SocioDem x CeDi'!$C$2:$AF$81, MATCH($C25,'[2]Potencial Hor SocioDem x CeDi'!$B$2:$B$81,0), MATCH(BO$4,'[2]Potencial Hor SocioDem x CeDi'!$C$1:$AF$1,0)), "")</f>
        <v/>
      </c>
      <c r="BP25" s="78" t="str">
        <f>IFERROR(INDEX('[2]Potencial Hor SocioDem x CeDi'!$C$2:$AF$81, MATCH($C25,'[2]Potencial Hor SocioDem x CeDi'!$B$2:$B$81,0), MATCH(BP$4,'[2]Potencial Hor SocioDem x CeDi'!$C$1:$AF$1,0)), "")</f>
        <v/>
      </c>
      <c r="BQ25" s="80" t="str">
        <f>IFERROR(INDEX('[2]Potencial Hor SocioDem x CeDi'!$C$2:$AF$81, MATCH($C25,'[2]Potencial Hor SocioDem x CeDi'!$B$2:$B$81,0), MATCH(BQ$4,'[2]Potencial Hor SocioDem x CeDi'!$C$1:$AF$1,0)), "")</f>
        <v/>
      </c>
      <c r="BR25" s="80" t="str">
        <f>IFERROR(INDEX('[2]Potencial Hor SocioDem x CeDi'!$C$2:$AF$81, MATCH($C25,'[2]Potencial Hor SocioDem x CeDi'!$B$2:$B$81,0), MATCH(BR$4,'[2]Potencial Hor SocioDem x CeDi'!$C$1:$AF$1,0)), "")</f>
        <v/>
      </c>
      <c r="BS25" s="80" t="str">
        <f>IFERROR(INDEX('[2]Potencial Hor SocioDem x CeDi'!$C$2:$AF$81, MATCH($C25,'[2]Potencial Hor SocioDem x CeDi'!$B$2:$B$81,0), MATCH(BS$4,'[2]Potencial Hor SocioDem x CeDi'!$C$1:$AF$1,0)), "")</f>
        <v/>
      </c>
      <c r="BT25" s="80" t="str">
        <f>IFERROR(INDEX('[2]Potencial Hor SocioDem x CeDi'!$C$2:$AF$81, MATCH($C25,'[2]Potencial Hor SocioDem x CeDi'!$B$2:$B$81,0), MATCH(BT$4,'[2]Potencial Hor SocioDem x CeDi'!$C$1:$AF$1,0)), "")</f>
        <v/>
      </c>
      <c r="BU25" s="80" t="str">
        <f>IFERROR(INDEX('[2]Potencial Hor SocioDem x CeDi'!$C$2:$AF$81, MATCH($C25,'[2]Potencial Hor SocioDem x CeDi'!$B$2:$B$81,0), MATCH(BU$4,'[2]Potencial Hor SocioDem x CeDi'!$C$1:$AF$1,0)), "")</f>
        <v/>
      </c>
      <c r="BV25" s="80" t="str">
        <f>IFERROR(INDEX('[2]Potencial Hor SocioDem x CeDi'!$C$2:$AF$81, MATCH($C25,'[2]Potencial Hor SocioDem x CeDi'!$B$2:$B$81,0), MATCH(BV$4,'[2]Potencial Hor SocioDem x CeDi'!$C$1:$AF$1,0)), "")</f>
        <v/>
      </c>
      <c r="BW25" s="80" t="str">
        <f>IFERROR(INDEX('[2]Potencial Hor SocioDem x CeDi'!$C$2:$AF$81, MATCH($C25,'[2]Potencial Hor SocioDem x CeDi'!$B$2:$B$81,0), MATCH(BW$4,'[2]Potencial Hor SocioDem x CeDi'!$C$1:$AF$1,0)), "")</f>
        <v/>
      </c>
      <c r="BX25" s="80" t="str">
        <f>IFERROR(INDEX('[2]Potencial Hor SocioDem x CeDi'!$C$2:$AF$81, MATCH($C25,'[2]Potencial Hor SocioDem x CeDi'!$B$2:$B$81,0), MATCH(BX$4,'[2]Potencial Hor SocioDem x CeDi'!$C$1:$AF$1,0)), "")</f>
        <v/>
      </c>
      <c r="BY25" s="80" t="str">
        <f>IFERROR(INDEX('[2]Potencial Hor SocioDem x CeDi'!$C$2:$AF$81, MATCH($C25,'[2]Potencial Hor SocioDem x CeDi'!$B$2:$B$81,0), MATCH(BY$4,'[2]Potencial Hor SocioDem x CeDi'!$C$1:$AF$1,0)), "")</f>
        <v/>
      </c>
      <c r="BZ25" s="79" t="str">
        <f>IFERROR(INDEX('[2]Potencial Hor SocioDem x CeDi'!$C$2:$AF$81, MATCH($C25,'[2]Potencial Hor SocioDem x CeDi'!$B$2:$B$81,0), MATCH(BZ$4,'[2]Potencial Hor SocioDem x CeDi'!$C$1:$AF$1,0)), "")</f>
        <v/>
      </c>
      <c r="CA25" s="79" t="str">
        <f>IFERROR(INDEX('[2]Potencial Hor SocioDem x CeDi'!$C$2:$AF$81, MATCH($C25,'[2]Potencial Hor SocioDem x CeDi'!$B$2:$B$81,0), MATCH(CA$4,'[2]Potencial Hor SocioDem x CeDi'!$C$1:$AF$1,0)), "")</f>
        <v/>
      </c>
      <c r="CB25" s="81" t="str">
        <f>IFERROR(INDEX('[2]Potencial Hor SocioDem x CeDi'!$C$2:$AF$81, MATCH($C25,'[2]Potencial Hor SocioDem x CeDi'!$B$2:$B$81,0), MATCH(CB$4,'[2]Potencial Hor SocioDem x CeDi'!$C$1:$AF$1,0)), "")</f>
        <v/>
      </c>
      <c r="CC25" s="82" t="str">
        <f>IFERROR(INDEX('[2]Potencial Hor SocioDem x CeDi'!$C$2:$AF$81, MATCH($C25,'[2]Potencial Hor SocioDem x CeDi'!$B$2:$B$81,0), MATCH(CC$4,'[2]Potencial Hor SocioDem x CeDi'!$C$1:$AF$1,0)), "")</f>
        <v/>
      </c>
      <c r="CD25" s="83" t="str">
        <f>IFERROR(INDEX('[2]Potencial Hor SocioDem x CeDi'!$C$2:$AF$81, MATCH($C25,'[2]Potencial Hor SocioDem x CeDi'!$B$2:$B$81,0), MATCH(CD$4,'[2]Potencial Hor SocioDem x CeDi'!$C$1:$AF$1,0)), "")</f>
        <v/>
      </c>
      <c r="CE25" s="78" t="str">
        <f>IFERROR(_xlfn.XLOOKUP([2]!BaseMaestraCeDi[[#This Row],[CeDi]], '[2]Potencial Hor x CeDi'!$B$6:$BU$6, '[2]Potencial Hor x CeDi'!$B$50:$BU$50), "")</f>
        <v/>
      </c>
      <c r="CF25" s="90" t="str">
        <f>IFERROR(_xlfn.XLOOKUP([2]!BaseMaestraCeDi[[#This Row],[CeDi]], '[2]Potencial Hor x CeDi'!$B$6:$BU$6, '[2]Potencial Hor x CeDi'!$B$34:$BU$34), "")</f>
        <v/>
      </c>
      <c r="CG25" s="90" t="str">
        <f>IFERROR(_xlfn.XLOOKUP([2]!BaseMaestraCeDi[[#This Row],[CeDi]], '[2]Potencial Hor x CeDi'!$B$6:$BU$6, '[2]Potencial Hor x CeDi'!$B$64:$BU$64), "")</f>
        <v/>
      </c>
      <c r="CH25" s="91" t="str">
        <f>IFERROR(_xlfn.XLOOKUP([2]!BaseMaestraCeDi[[#This Row],[CeDi]], '[2]Potencial Hor x CeDi'!$B$6:$BU$6, '[2]Potencial Hor x CeDi'!$B$38:$BU$38), "")</f>
        <v/>
      </c>
      <c r="CI25" s="90" t="str">
        <f>IFERROR(_xlfn.XLOOKUP([2]!BaseMaestraCeDi[[#This Row],[CeDi]], '[2]Potencial Hor x CeDi'!$B$6:$BU$6, '[2]Potencial Hor x CeDi'!$B$26:$BU$26), "")</f>
        <v/>
      </c>
      <c r="CJ25" s="92" t="str">
        <f>IFERROR(_xlfn.XLOOKUP([2]!BaseMaestraCeDi[[#This Row],[CeDi]], '[2]Potencial Hor x CeDi'!$B$6:$BU$6, '[2]Potencial Hor x CeDi'!$B$27:$BU$27), "")</f>
        <v/>
      </c>
      <c r="CK25" s="90" t="str">
        <f>IFERROR(_xlfn.XLOOKUP([2]!BaseMaestraCeDi[[#This Row],[CeDi]], '[2]Potencial Hor x CeDi'!$B$6:$BU$6, '[2]Potencial Hor x CeDi'!$B$28:$BU$28), "")</f>
        <v/>
      </c>
      <c r="CL25" s="92" t="str">
        <f>IFERROR(_xlfn.XLOOKUP([2]!BaseMaestraCeDi[[#This Row],[CeDi]], '[2]Potencial Hor x CeDi'!$B$6:$BU$6, '[2]Potencial Hor x CeDi'!$B$29:$BU$29), "")</f>
        <v/>
      </c>
      <c r="CM25" s="93" t="str">
        <f>IFERROR(_xlfn.XLOOKUP([2]!BaseMaestraCeDi[[#This Row],[CeDi]], '[2]Potencial Hor x CeDi'!$B$6:$BU$6, '[2]Potencial Hor x CeDi'!$B$39:$BU$39), "")</f>
        <v/>
      </c>
      <c r="CN25" s="94" t="str">
        <f>IFERROR(_xlfn.XLOOKUP([2]!BaseMaestraCeDi[[#This Row],[CeDi]], '[2]Potencial Hor x CeDi'!$B$6:$BU$6, '[2]Potencial Hor x CeDi'!$B$43:$BU$43), "")</f>
        <v/>
      </c>
      <c r="CO25" s="94" t="str">
        <f>IFERROR(_xlfn.XLOOKUP([2]!BaseMaestraCeDi[[#This Row],[CeDi]], '[2]Potencial Hor x CeDi'!$B$6:$BU$6, '[2]Potencial Hor x CeDi'!$B$46:$BU$46), "")</f>
        <v/>
      </c>
      <c r="CP25" s="86" t="str">
        <f>IFERROR(_xlfn.XLOOKUP([2]!BaseMaestraCeDi[[#This Row],[CeDi]], '[2]Potencial Hor x CeDi'!$B$6:$BU$6, '[2]Potencial Hor x CeDi'!$B$51:$BU$51), "")</f>
        <v/>
      </c>
      <c r="CQ25" s="82" t="str">
        <f>IFERROR(_xlfn.XLOOKUP([2]!BaseMaestraCeDi[[#This Row],[CeDi]], '[2]Potencial Hor x CeDi'!$B$6:$BU$6, '[2]Potencial Hor x CeDi'!$B$52:$BU$52), "")</f>
        <v/>
      </c>
      <c r="CR25" s="82" t="str">
        <f>IFERROR(_xlfn.XLOOKUP([2]!BaseMaestraCeDi[[#This Row],[CeDi]], '[2]Potencial Hor x CeDi'!$B$6:$BU$6, '[2]Potencial Hor x CeDi'!$B$53:$BU$53), "")</f>
        <v/>
      </c>
      <c r="CS25" s="87" t="str">
        <f>IFERROR(_xlfn.XLOOKUP([2]!BaseMaestraCeDi[[#This Row],[CeDi]], '[2]Potencial Hor x CeDi'!$B$6:$BU$6, '[2]Potencial Hor x CeDi'!$B$60:$BU$60), "")</f>
        <v/>
      </c>
      <c r="CT25" s="90" t="str">
        <f>IFERROR(_xlfn.XLOOKUP([2]!BaseMaestraCeDi[[#This Row],[CeDi]], '[2]Potencial Hor x CeDi'!$B$6:$BU$6, '[2]Potencial Hor x CeDi'!$B$65:$BU$65), "")</f>
        <v/>
      </c>
      <c r="CU25" s="90" t="str">
        <f>IFERROR(_xlfn.XLOOKUP([2]!BaseMaestraCeDi[[#This Row],[CeDi]], '[2]Potencial Hor x CeDi'!$B$6:$BU$6, '[2]Potencial Hor x CeDi'!$B$68:$BU$68), "")</f>
        <v/>
      </c>
      <c r="CV25" s="95" t="str">
        <f>IFERROR(_xlfn.XLOOKUP([2]!BaseMaestraCeDi[[#This Row],[CeDi]], '[2]Potencial Hor x CeDi'!$B$6:$BU$6, '[2]Potencial Hor x CeDi'!$B$71:$BU$71), "")</f>
        <v/>
      </c>
    </row>
    <row r="26" spans="1:100">
      <c r="A26" s="112" t="s">
        <v>93</v>
      </c>
      <c r="B26" s="112" t="s">
        <v>388</v>
      </c>
      <c r="C26" s="112" t="s">
        <v>389</v>
      </c>
      <c r="D26" s="113">
        <v>12</v>
      </c>
      <c r="E26" s="114">
        <v>1025.1262355749639</v>
      </c>
      <c r="F26" s="115">
        <v>85.427444080187925</v>
      </c>
      <c r="G26" s="115">
        <v>1110.5536796551519</v>
      </c>
      <c r="H26" s="116">
        <v>3204.3830289684574</v>
      </c>
      <c r="I26" s="117">
        <v>7796.8716590759477</v>
      </c>
      <c r="J26" s="117">
        <v>1771.5728801298624</v>
      </c>
      <c r="K26" s="117">
        <v>12772.827568174269</v>
      </c>
      <c r="L26" s="116">
        <v>23639.209030389582</v>
      </c>
      <c r="M26" s="118">
        <v>0.5403238133625391</v>
      </c>
      <c r="N26" s="119" t="s">
        <v>211</v>
      </c>
      <c r="O26" s="114">
        <v>65.242078341969247</v>
      </c>
      <c r="P26" s="115">
        <v>1</v>
      </c>
      <c r="Q26" s="115">
        <v>1</v>
      </c>
      <c r="R26" s="120">
        <v>14</v>
      </c>
      <c r="S26" s="119">
        <v>112</v>
      </c>
      <c r="T26" s="121">
        <v>0.79923632062174965</v>
      </c>
      <c r="U26" s="118">
        <v>0.20076367937825035</v>
      </c>
      <c r="V26" s="118">
        <v>0.60670791256000289</v>
      </c>
      <c r="W26" s="118">
        <v>0.39329208743999705</v>
      </c>
      <c r="X26" s="118">
        <v>0</v>
      </c>
      <c r="Y26" s="116">
        <v>14342.095165397233</v>
      </c>
      <c r="Z26" s="117">
        <v>9297.1138649923469</v>
      </c>
      <c r="AA26" s="117">
        <v>0</v>
      </c>
      <c r="AB26" s="117">
        <v>78050.869391025612</v>
      </c>
      <c r="AC26" s="113">
        <v>13</v>
      </c>
      <c r="AD26" s="122">
        <v>9</v>
      </c>
      <c r="AE26" s="113">
        <v>350576</v>
      </c>
      <c r="AF26" s="122">
        <v>134823</v>
      </c>
      <c r="AG26" s="123">
        <v>0.38457566975491764</v>
      </c>
      <c r="AH26" s="118">
        <v>0.5076380272952854</v>
      </c>
      <c r="AI26" s="113">
        <v>50715.160825062041</v>
      </c>
      <c r="AJ26" s="122">
        <v>25357.580412531021</v>
      </c>
      <c r="AK26" s="118">
        <v>0.45690686302693567</v>
      </c>
      <c r="AL26" s="116">
        <v>33172285.059999995</v>
      </c>
      <c r="AM26" s="117">
        <v>5986396.2985299006</v>
      </c>
      <c r="AN26" s="118">
        <v>0.18046379041124463</v>
      </c>
      <c r="AO26" s="116">
        <v>4206656.8584264172</v>
      </c>
      <c r="AP26" s="118">
        <v>1.9136480135931298E-2</v>
      </c>
      <c r="AQ26" s="122">
        <v>15</v>
      </c>
      <c r="AR26" s="113">
        <v>9</v>
      </c>
      <c r="AS26" s="117">
        <v>1213366.9340640374</v>
      </c>
      <c r="AT26" s="116">
        <v>5420023.7924904544</v>
      </c>
      <c r="AU26" s="113">
        <v>13</v>
      </c>
      <c r="AV26" s="122">
        <v>0</v>
      </c>
      <c r="AW26" s="122">
        <v>5</v>
      </c>
      <c r="AX26" s="122">
        <v>8</v>
      </c>
      <c r="AY26" s="123">
        <v>0</v>
      </c>
      <c r="AZ26" s="122">
        <v>40936.33853271624</v>
      </c>
      <c r="BA26" s="114">
        <v>65.242078341969247</v>
      </c>
      <c r="BB26" s="118">
        <v>0.39297597800843193</v>
      </c>
      <c r="BC26" s="124">
        <v>276.70320055539173</v>
      </c>
      <c r="BD26" s="74"/>
      <c r="BE26" s="88" t="str">
        <f>IFERROR(_xlfn.XLOOKUP([2]!BaseMaestraCeDi[[#This Row],[CeDi]], '[2]Potencial Hor x CeDi'!$B$6:$BU$6, '[2]Potencial Hor x CeDi'!$B$21:$BU$21) / 1000, "")</f>
        <v/>
      </c>
      <c r="BF26" s="89" t="str">
        <f>IFERROR(_xlfn.XLOOKUP([2]!BaseMaestraCeDi[[#This Row],[CeDi]], '[2]Potencial Hor x CeDi'!$B$6:$BU$6, '[2]Potencial Hor x CeDi'!$B$22:$BU$22) / 1000, "")</f>
        <v/>
      </c>
      <c r="BG26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26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26" s="78" t="str">
        <f>IFERROR(INDEX('[2]Potencial Hor SocioDem x CeDi'!$C$2:$AF$81, MATCH($C26,'[2]Potencial Hor SocioDem x CeDi'!$B$2:$B$81,0), MATCH(BI$4,'[2]Potencial Hor SocioDem x CeDi'!$C$1:$AF$1,0)), "")</f>
        <v/>
      </c>
      <c r="BJ26" s="78" t="str">
        <f>IFERROR(INDEX('[2]Potencial Hor SocioDem x CeDi'!$C$2:$AF$81, MATCH($C26,'[2]Potencial Hor SocioDem x CeDi'!$B$2:$B$81,0), MATCH(BJ$4,'[2]Potencial Hor SocioDem x CeDi'!$C$1:$AF$1,0)), "")</f>
        <v/>
      </c>
      <c r="BK26" s="78" t="str">
        <f>IFERROR(INDEX('[2]Potencial Hor SocioDem x CeDi'!$C$2:$AF$81, MATCH($C26,'[2]Potencial Hor SocioDem x CeDi'!$B$2:$B$81,0), MATCH(BK$4,'[2]Potencial Hor SocioDem x CeDi'!$C$1:$AF$1,0)), "")</f>
        <v/>
      </c>
      <c r="BL26" s="79" t="str">
        <f>IFERROR(INDEX('[2]Potencial Hor SocioDem x CeDi'!$C$2:$AF$81, MATCH($C26,'[2]Potencial Hor SocioDem x CeDi'!$B$2:$B$81,0), MATCH(BL$4,'[2]Potencial Hor SocioDem x CeDi'!$C$1:$AF$1,0)), "")</f>
        <v/>
      </c>
      <c r="BM26" s="79" t="str">
        <f>IFERROR(INDEX('[2]Potencial Hor SocioDem x CeDi'!$C$2:$AF$81, MATCH($C26,'[2]Potencial Hor SocioDem x CeDi'!$B$2:$B$81,0), MATCH(BM$4,'[2]Potencial Hor SocioDem x CeDi'!$C$1:$AF$1,0)), "")</f>
        <v/>
      </c>
      <c r="BN26" s="78" t="str">
        <f>IFERROR(INDEX('[2]Potencial Hor SocioDem x CeDi'!$C$2:$AF$81, MATCH($C26,'[2]Potencial Hor SocioDem x CeDi'!$B$2:$B$81,0), MATCH(BN$4,'[2]Potencial Hor SocioDem x CeDi'!$C$1:$AF$1,0)), "")</f>
        <v/>
      </c>
      <c r="BO26" s="78" t="str">
        <f>IFERROR(INDEX('[2]Potencial Hor SocioDem x CeDi'!$C$2:$AF$81, MATCH($C26,'[2]Potencial Hor SocioDem x CeDi'!$B$2:$B$81,0), MATCH(BO$4,'[2]Potencial Hor SocioDem x CeDi'!$C$1:$AF$1,0)), "")</f>
        <v/>
      </c>
      <c r="BP26" s="78" t="str">
        <f>IFERROR(INDEX('[2]Potencial Hor SocioDem x CeDi'!$C$2:$AF$81, MATCH($C26,'[2]Potencial Hor SocioDem x CeDi'!$B$2:$B$81,0), MATCH(BP$4,'[2]Potencial Hor SocioDem x CeDi'!$C$1:$AF$1,0)), "")</f>
        <v/>
      </c>
      <c r="BQ26" s="80" t="str">
        <f>IFERROR(INDEX('[2]Potencial Hor SocioDem x CeDi'!$C$2:$AF$81, MATCH($C26,'[2]Potencial Hor SocioDem x CeDi'!$B$2:$B$81,0), MATCH(BQ$4,'[2]Potencial Hor SocioDem x CeDi'!$C$1:$AF$1,0)), "")</f>
        <v/>
      </c>
      <c r="BR26" s="80" t="str">
        <f>IFERROR(INDEX('[2]Potencial Hor SocioDem x CeDi'!$C$2:$AF$81, MATCH($C26,'[2]Potencial Hor SocioDem x CeDi'!$B$2:$B$81,0), MATCH(BR$4,'[2]Potencial Hor SocioDem x CeDi'!$C$1:$AF$1,0)), "")</f>
        <v/>
      </c>
      <c r="BS26" s="80" t="str">
        <f>IFERROR(INDEX('[2]Potencial Hor SocioDem x CeDi'!$C$2:$AF$81, MATCH($C26,'[2]Potencial Hor SocioDem x CeDi'!$B$2:$B$81,0), MATCH(BS$4,'[2]Potencial Hor SocioDem x CeDi'!$C$1:$AF$1,0)), "")</f>
        <v/>
      </c>
      <c r="BT26" s="80" t="str">
        <f>IFERROR(INDEX('[2]Potencial Hor SocioDem x CeDi'!$C$2:$AF$81, MATCH($C26,'[2]Potencial Hor SocioDem x CeDi'!$B$2:$B$81,0), MATCH(BT$4,'[2]Potencial Hor SocioDem x CeDi'!$C$1:$AF$1,0)), "")</f>
        <v/>
      </c>
      <c r="BU26" s="80" t="str">
        <f>IFERROR(INDEX('[2]Potencial Hor SocioDem x CeDi'!$C$2:$AF$81, MATCH($C26,'[2]Potencial Hor SocioDem x CeDi'!$B$2:$B$81,0), MATCH(BU$4,'[2]Potencial Hor SocioDem x CeDi'!$C$1:$AF$1,0)), "")</f>
        <v/>
      </c>
      <c r="BV26" s="80" t="str">
        <f>IFERROR(INDEX('[2]Potencial Hor SocioDem x CeDi'!$C$2:$AF$81, MATCH($C26,'[2]Potencial Hor SocioDem x CeDi'!$B$2:$B$81,0), MATCH(BV$4,'[2]Potencial Hor SocioDem x CeDi'!$C$1:$AF$1,0)), "")</f>
        <v/>
      </c>
      <c r="BW26" s="80" t="str">
        <f>IFERROR(INDEX('[2]Potencial Hor SocioDem x CeDi'!$C$2:$AF$81, MATCH($C26,'[2]Potencial Hor SocioDem x CeDi'!$B$2:$B$81,0), MATCH(BW$4,'[2]Potencial Hor SocioDem x CeDi'!$C$1:$AF$1,0)), "")</f>
        <v/>
      </c>
      <c r="BX26" s="80" t="str">
        <f>IFERROR(INDEX('[2]Potencial Hor SocioDem x CeDi'!$C$2:$AF$81, MATCH($C26,'[2]Potencial Hor SocioDem x CeDi'!$B$2:$B$81,0), MATCH(BX$4,'[2]Potencial Hor SocioDem x CeDi'!$C$1:$AF$1,0)), "")</f>
        <v/>
      </c>
      <c r="BY26" s="80" t="str">
        <f>IFERROR(INDEX('[2]Potencial Hor SocioDem x CeDi'!$C$2:$AF$81, MATCH($C26,'[2]Potencial Hor SocioDem x CeDi'!$B$2:$B$81,0), MATCH(BY$4,'[2]Potencial Hor SocioDem x CeDi'!$C$1:$AF$1,0)), "")</f>
        <v/>
      </c>
      <c r="BZ26" s="79" t="str">
        <f>IFERROR(INDEX('[2]Potencial Hor SocioDem x CeDi'!$C$2:$AF$81, MATCH($C26,'[2]Potencial Hor SocioDem x CeDi'!$B$2:$B$81,0), MATCH(BZ$4,'[2]Potencial Hor SocioDem x CeDi'!$C$1:$AF$1,0)), "")</f>
        <v/>
      </c>
      <c r="CA26" s="79" t="str">
        <f>IFERROR(INDEX('[2]Potencial Hor SocioDem x CeDi'!$C$2:$AF$81, MATCH($C26,'[2]Potencial Hor SocioDem x CeDi'!$B$2:$B$81,0), MATCH(CA$4,'[2]Potencial Hor SocioDem x CeDi'!$C$1:$AF$1,0)), "")</f>
        <v/>
      </c>
      <c r="CB26" s="81" t="str">
        <f>IFERROR(INDEX('[2]Potencial Hor SocioDem x CeDi'!$C$2:$AF$81, MATCH($C26,'[2]Potencial Hor SocioDem x CeDi'!$B$2:$B$81,0), MATCH(CB$4,'[2]Potencial Hor SocioDem x CeDi'!$C$1:$AF$1,0)), "")</f>
        <v/>
      </c>
      <c r="CC26" s="82" t="str">
        <f>IFERROR(INDEX('[2]Potencial Hor SocioDem x CeDi'!$C$2:$AF$81, MATCH($C26,'[2]Potencial Hor SocioDem x CeDi'!$B$2:$B$81,0), MATCH(CC$4,'[2]Potencial Hor SocioDem x CeDi'!$C$1:$AF$1,0)), "")</f>
        <v/>
      </c>
      <c r="CD26" s="83" t="str">
        <f>IFERROR(INDEX('[2]Potencial Hor SocioDem x CeDi'!$C$2:$AF$81, MATCH($C26,'[2]Potencial Hor SocioDem x CeDi'!$B$2:$B$81,0), MATCH(CD$4,'[2]Potencial Hor SocioDem x CeDi'!$C$1:$AF$1,0)), "")</f>
        <v/>
      </c>
      <c r="CE26" s="78" t="str">
        <f>IFERROR(_xlfn.XLOOKUP([2]!BaseMaestraCeDi[[#This Row],[CeDi]], '[2]Potencial Hor x CeDi'!$B$6:$BU$6, '[2]Potencial Hor x CeDi'!$B$50:$BU$50), "")</f>
        <v/>
      </c>
      <c r="CF26" s="90" t="str">
        <f>IFERROR(_xlfn.XLOOKUP([2]!BaseMaestraCeDi[[#This Row],[CeDi]], '[2]Potencial Hor x CeDi'!$B$6:$BU$6, '[2]Potencial Hor x CeDi'!$B$34:$BU$34), "")</f>
        <v/>
      </c>
      <c r="CG26" s="90" t="str">
        <f>IFERROR(_xlfn.XLOOKUP([2]!BaseMaestraCeDi[[#This Row],[CeDi]], '[2]Potencial Hor x CeDi'!$B$6:$BU$6, '[2]Potencial Hor x CeDi'!$B$64:$BU$64), "")</f>
        <v/>
      </c>
      <c r="CH26" s="91" t="str">
        <f>IFERROR(_xlfn.XLOOKUP([2]!BaseMaestraCeDi[[#This Row],[CeDi]], '[2]Potencial Hor x CeDi'!$B$6:$BU$6, '[2]Potencial Hor x CeDi'!$B$38:$BU$38), "")</f>
        <v/>
      </c>
      <c r="CI26" s="90" t="str">
        <f>IFERROR(_xlfn.XLOOKUP([2]!BaseMaestraCeDi[[#This Row],[CeDi]], '[2]Potencial Hor x CeDi'!$B$6:$BU$6, '[2]Potencial Hor x CeDi'!$B$26:$BU$26), "")</f>
        <v/>
      </c>
      <c r="CJ26" s="92" t="str">
        <f>IFERROR(_xlfn.XLOOKUP([2]!BaseMaestraCeDi[[#This Row],[CeDi]], '[2]Potencial Hor x CeDi'!$B$6:$BU$6, '[2]Potencial Hor x CeDi'!$B$27:$BU$27), "")</f>
        <v/>
      </c>
      <c r="CK26" s="90" t="str">
        <f>IFERROR(_xlfn.XLOOKUP([2]!BaseMaestraCeDi[[#This Row],[CeDi]], '[2]Potencial Hor x CeDi'!$B$6:$BU$6, '[2]Potencial Hor x CeDi'!$B$28:$BU$28), "")</f>
        <v/>
      </c>
      <c r="CL26" s="92" t="str">
        <f>IFERROR(_xlfn.XLOOKUP([2]!BaseMaestraCeDi[[#This Row],[CeDi]], '[2]Potencial Hor x CeDi'!$B$6:$BU$6, '[2]Potencial Hor x CeDi'!$B$29:$BU$29), "")</f>
        <v/>
      </c>
      <c r="CM26" s="93" t="str">
        <f>IFERROR(_xlfn.XLOOKUP([2]!BaseMaestraCeDi[[#This Row],[CeDi]], '[2]Potencial Hor x CeDi'!$B$6:$BU$6, '[2]Potencial Hor x CeDi'!$B$39:$BU$39), "")</f>
        <v/>
      </c>
      <c r="CN26" s="94" t="str">
        <f>IFERROR(_xlfn.XLOOKUP([2]!BaseMaestraCeDi[[#This Row],[CeDi]], '[2]Potencial Hor x CeDi'!$B$6:$BU$6, '[2]Potencial Hor x CeDi'!$B$43:$BU$43), "")</f>
        <v/>
      </c>
      <c r="CO26" s="94" t="str">
        <f>IFERROR(_xlfn.XLOOKUP([2]!BaseMaestraCeDi[[#This Row],[CeDi]], '[2]Potencial Hor x CeDi'!$B$6:$BU$6, '[2]Potencial Hor x CeDi'!$B$46:$BU$46), "")</f>
        <v/>
      </c>
      <c r="CP26" s="86" t="str">
        <f>IFERROR(_xlfn.XLOOKUP([2]!BaseMaestraCeDi[[#This Row],[CeDi]], '[2]Potencial Hor x CeDi'!$B$6:$BU$6, '[2]Potencial Hor x CeDi'!$B$51:$BU$51), "")</f>
        <v/>
      </c>
      <c r="CQ26" s="82" t="str">
        <f>IFERROR(_xlfn.XLOOKUP([2]!BaseMaestraCeDi[[#This Row],[CeDi]], '[2]Potencial Hor x CeDi'!$B$6:$BU$6, '[2]Potencial Hor x CeDi'!$B$52:$BU$52), "")</f>
        <v/>
      </c>
      <c r="CR26" s="82" t="str">
        <f>IFERROR(_xlfn.XLOOKUP([2]!BaseMaestraCeDi[[#This Row],[CeDi]], '[2]Potencial Hor x CeDi'!$B$6:$BU$6, '[2]Potencial Hor x CeDi'!$B$53:$BU$53), "")</f>
        <v/>
      </c>
      <c r="CS26" s="87" t="str">
        <f>IFERROR(_xlfn.XLOOKUP([2]!BaseMaestraCeDi[[#This Row],[CeDi]], '[2]Potencial Hor x CeDi'!$B$6:$BU$6, '[2]Potencial Hor x CeDi'!$B$60:$BU$60), "")</f>
        <v/>
      </c>
      <c r="CT26" s="90" t="str">
        <f>IFERROR(_xlfn.XLOOKUP([2]!BaseMaestraCeDi[[#This Row],[CeDi]], '[2]Potencial Hor x CeDi'!$B$6:$BU$6, '[2]Potencial Hor x CeDi'!$B$65:$BU$65), "")</f>
        <v/>
      </c>
      <c r="CU26" s="90" t="str">
        <f>IFERROR(_xlfn.XLOOKUP([2]!BaseMaestraCeDi[[#This Row],[CeDi]], '[2]Potencial Hor x CeDi'!$B$6:$BU$6, '[2]Potencial Hor x CeDi'!$B$68:$BU$68), "")</f>
        <v/>
      </c>
      <c r="CV26" s="95" t="str">
        <f>IFERROR(_xlfn.XLOOKUP([2]!BaseMaestraCeDi[[#This Row],[CeDi]], '[2]Potencial Hor x CeDi'!$B$6:$BU$6, '[2]Potencial Hor x CeDi'!$B$71:$BU$71), "")</f>
        <v/>
      </c>
    </row>
    <row r="27" spans="1:100">
      <c r="A27" s="100" t="s">
        <v>93</v>
      </c>
      <c r="B27" s="100" t="s">
        <v>388</v>
      </c>
      <c r="C27" s="100" t="s">
        <v>403</v>
      </c>
      <c r="D27" s="101">
        <v>1</v>
      </c>
      <c r="E27" s="102">
        <v>76.371588259879914</v>
      </c>
      <c r="F27" s="103">
        <v>6.3643182263565574</v>
      </c>
      <c r="G27" s="103">
        <v>82.735906486236473</v>
      </c>
      <c r="H27" s="104">
        <v>238.72554698404269</v>
      </c>
      <c r="I27" s="105">
        <v>649.73930492299564</v>
      </c>
      <c r="J27" s="105">
        <v>147.6310733441552</v>
      </c>
      <c r="K27" s="105">
        <v>1036.0959252511934</v>
      </c>
      <c r="L27" s="104">
        <v>1406.8633675876576</v>
      </c>
      <c r="M27" s="106">
        <v>0.73645810184665084</v>
      </c>
      <c r="N27" s="107" t="s">
        <v>160</v>
      </c>
      <c r="O27" s="102">
        <v>27.222988505747125</v>
      </c>
      <c r="P27" s="103">
        <v>1</v>
      </c>
      <c r="Q27" s="103">
        <v>1</v>
      </c>
      <c r="R27" s="108" t="s">
        <v>194</v>
      </c>
      <c r="S27" s="107" t="s">
        <v>194</v>
      </c>
      <c r="T27" s="125">
        <v>1</v>
      </c>
      <c r="U27" s="106">
        <v>0</v>
      </c>
      <c r="V27" s="106">
        <v>0.82361286532323563</v>
      </c>
      <c r="W27" s="106">
        <v>0.17638713467676437</v>
      </c>
      <c r="X27" s="106">
        <v>0</v>
      </c>
      <c r="Y27" s="104">
        <v>1158.7107692971672</v>
      </c>
      <c r="Z27" s="105">
        <v>248.15259829049043</v>
      </c>
      <c r="AA27" s="105">
        <v>0</v>
      </c>
      <c r="AB27" s="105">
        <v>59149.958333333336</v>
      </c>
      <c r="AC27" s="101">
        <v>1</v>
      </c>
      <c r="AD27" s="109">
        <v>0</v>
      </c>
      <c r="AE27" s="101">
        <v>11842</v>
      </c>
      <c r="AF27" s="109">
        <v>4975</v>
      </c>
      <c r="AG27" s="110">
        <v>0.42011484546529304</v>
      </c>
      <c r="AH27" s="106">
        <v>0.42011484546529304</v>
      </c>
      <c r="AI27" s="101">
        <v>0</v>
      </c>
      <c r="AJ27" s="109">
        <v>0</v>
      </c>
      <c r="AK27" s="106">
        <v>0.42011484546529304</v>
      </c>
      <c r="AL27" s="104">
        <v>1971451.1000000006</v>
      </c>
      <c r="AM27" s="105">
        <v>0</v>
      </c>
      <c r="AN27" s="106">
        <v>0</v>
      </c>
      <c r="AO27" s="104">
        <v>0</v>
      </c>
      <c r="AP27" s="106">
        <v>0</v>
      </c>
      <c r="AQ27" s="109" t="s">
        <v>194</v>
      </c>
      <c r="AR27" s="101">
        <v>0</v>
      </c>
      <c r="AS27" s="105">
        <v>0</v>
      </c>
      <c r="AT27" s="104">
        <v>0</v>
      </c>
      <c r="AU27" s="101">
        <v>1</v>
      </c>
      <c r="AV27" s="109">
        <v>0</v>
      </c>
      <c r="AW27" s="109">
        <v>0</v>
      </c>
      <c r="AX27" s="109">
        <v>1</v>
      </c>
      <c r="AY27" s="110">
        <v>0</v>
      </c>
      <c r="AZ27" s="109">
        <v>0</v>
      </c>
      <c r="BA27" s="102">
        <v>27.2229885057471</v>
      </c>
      <c r="BB27" s="106">
        <v>0.42011484546529299</v>
      </c>
      <c r="BC27" s="111">
        <v>267.59901160919497</v>
      </c>
      <c r="BD27" s="74"/>
      <c r="BE27" s="88" t="str">
        <f>IFERROR(_xlfn.XLOOKUP([2]!BaseMaestraCeDi[[#This Row],[CeDi]], '[2]Potencial Hor x CeDi'!$B$6:$BU$6, '[2]Potencial Hor x CeDi'!$B$21:$BU$21) / 1000, "")</f>
        <v/>
      </c>
      <c r="BF27" s="89" t="str">
        <f>IFERROR(_xlfn.XLOOKUP([2]!BaseMaestraCeDi[[#This Row],[CeDi]], '[2]Potencial Hor x CeDi'!$B$6:$BU$6, '[2]Potencial Hor x CeDi'!$B$22:$BU$22) / 1000, "")</f>
        <v/>
      </c>
      <c r="BG27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27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27" s="78" t="str">
        <f>IFERROR(INDEX('[2]Potencial Hor SocioDem x CeDi'!$C$2:$AF$81, MATCH($C27,'[2]Potencial Hor SocioDem x CeDi'!$B$2:$B$81,0), MATCH(BI$4,'[2]Potencial Hor SocioDem x CeDi'!$C$1:$AF$1,0)), "")</f>
        <v/>
      </c>
      <c r="BJ27" s="78" t="str">
        <f>IFERROR(INDEX('[2]Potencial Hor SocioDem x CeDi'!$C$2:$AF$81, MATCH($C27,'[2]Potencial Hor SocioDem x CeDi'!$B$2:$B$81,0), MATCH(BJ$4,'[2]Potencial Hor SocioDem x CeDi'!$C$1:$AF$1,0)), "")</f>
        <v/>
      </c>
      <c r="BK27" s="78" t="str">
        <f>IFERROR(INDEX('[2]Potencial Hor SocioDem x CeDi'!$C$2:$AF$81, MATCH($C27,'[2]Potencial Hor SocioDem x CeDi'!$B$2:$B$81,0), MATCH(BK$4,'[2]Potencial Hor SocioDem x CeDi'!$C$1:$AF$1,0)), "")</f>
        <v/>
      </c>
      <c r="BL27" s="79" t="str">
        <f>IFERROR(INDEX('[2]Potencial Hor SocioDem x CeDi'!$C$2:$AF$81, MATCH($C27,'[2]Potencial Hor SocioDem x CeDi'!$B$2:$B$81,0), MATCH(BL$4,'[2]Potencial Hor SocioDem x CeDi'!$C$1:$AF$1,0)), "")</f>
        <v/>
      </c>
      <c r="BM27" s="79" t="str">
        <f>IFERROR(INDEX('[2]Potencial Hor SocioDem x CeDi'!$C$2:$AF$81, MATCH($C27,'[2]Potencial Hor SocioDem x CeDi'!$B$2:$B$81,0), MATCH(BM$4,'[2]Potencial Hor SocioDem x CeDi'!$C$1:$AF$1,0)), "")</f>
        <v/>
      </c>
      <c r="BN27" s="78" t="str">
        <f>IFERROR(INDEX('[2]Potencial Hor SocioDem x CeDi'!$C$2:$AF$81, MATCH($C27,'[2]Potencial Hor SocioDem x CeDi'!$B$2:$B$81,0), MATCH(BN$4,'[2]Potencial Hor SocioDem x CeDi'!$C$1:$AF$1,0)), "")</f>
        <v/>
      </c>
      <c r="BO27" s="78" t="str">
        <f>IFERROR(INDEX('[2]Potencial Hor SocioDem x CeDi'!$C$2:$AF$81, MATCH($C27,'[2]Potencial Hor SocioDem x CeDi'!$B$2:$B$81,0), MATCH(BO$4,'[2]Potencial Hor SocioDem x CeDi'!$C$1:$AF$1,0)), "")</f>
        <v/>
      </c>
      <c r="BP27" s="78" t="str">
        <f>IFERROR(INDEX('[2]Potencial Hor SocioDem x CeDi'!$C$2:$AF$81, MATCH($C27,'[2]Potencial Hor SocioDem x CeDi'!$B$2:$B$81,0), MATCH(BP$4,'[2]Potencial Hor SocioDem x CeDi'!$C$1:$AF$1,0)), "")</f>
        <v/>
      </c>
      <c r="BQ27" s="80" t="str">
        <f>IFERROR(INDEX('[2]Potencial Hor SocioDem x CeDi'!$C$2:$AF$81, MATCH($C27,'[2]Potencial Hor SocioDem x CeDi'!$B$2:$B$81,0), MATCH(BQ$4,'[2]Potencial Hor SocioDem x CeDi'!$C$1:$AF$1,0)), "")</f>
        <v/>
      </c>
      <c r="BR27" s="80" t="str">
        <f>IFERROR(INDEX('[2]Potencial Hor SocioDem x CeDi'!$C$2:$AF$81, MATCH($C27,'[2]Potencial Hor SocioDem x CeDi'!$B$2:$B$81,0), MATCH(BR$4,'[2]Potencial Hor SocioDem x CeDi'!$C$1:$AF$1,0)), "")</f>
        <v/>
      </c>
      <c r="BS27" s="80" t="str">
        <f>IFERROR(INDEX('[2]Potencial Hor SocioDem x CeDi'!$C$2:$AF$81, MATCH($C27,'[2]Potencial Hor SocioDem x CeDi'!$B$2:$B$81,0), MATCH(BS$4,'[2]Potencial Hor SocioDem x CeDi'!$C$1:$AF$1,0)), "")</f>
        <v/>
      </c>
      <c r="BT27" s="80" t="str">
        <f>IFERROR(INDEX('[2]Potencial Hor SocioDem x CeDi'!$C$2:$AF$81, MATCH($C27,'[2]Potencial Hor SocioDem x CeDi'!$B$2:$B$81,0), MATCH(BT$4,'[2]Potencial Hor SocioDem x CeDi'!$C$1:$AF$1,0)), "")</f>
        <v/>
      </c>
      <c r="BU27" s="80" t="str">
        <f>IFERROR(INDEX('[2]Potencial Hor SocioDem x CeDi'!$C$2:$AF$81, MATCH($C27,'[2]Potencial Hor SocioDem x CeDi'!$B$2:$B$81,0), MATCH(BU$4,'[2]Potencial Hor SocioDem x CeDi'!$C$1:$AF$1,0)), "")</f>
        <v/>
      </c>
      <c r="BV27" s="80" t="str">
        <f>IFERROR(INDEX('[2]Potencial Hor SocioDem x CeDi'!$C$2:$AF$81, MATCH($C27,'[2]Potencial Hor SocioDem x CeDi'!$B$2:$B$81,0), MATCH(BV$4,'[2]Potencial Hor SocioDem x CeDi'!$C$1:$AF$1,0)), "")</f>
        <v/>
      </c>
      <c r="BW27" s="80" t="str">
        <f>IFERROR(INDEX('[2]Potencial Hor SocioDem x CeDi'!$C$2:$AF$81, MATCH($C27,'[2]Potencial Hor SocioDem x CeDi'!$B$2:$B$81,0), MATCH(BW$4,'[2]Potencial Hor SocioDem x CeDi'!$C$1:$AF$1,0)), "")</f>
        <v/>
      </c>
      <c r="BX27" s="80" t="str">
        <f>IFERROR(INDEX('[2]Potencial Hor SocioDem x CeDi'!$C$2:$AF$81, MATCH($C27,'[2]Potencial Hor SocioDem x CeDi'!$B$2:$B$81,0), MATCH(BX$4,'[2]Potencial Hor SocioDem x CeDi'!$C$1:$AF$1,0)), "")</f>
        <v/>
      </c>
      <c r="BY27" s="80" t="str">
        <f>IFERROR(INDEX('[2]Potencial Hor SocioDem x CeDi'!$C$2:$AF$81, MATCH($C27,'[2]Potencial Hor SocioDem x CeDi'!$B$2:$B$81,0), MATCH(BY$4,'[2]Potencial Hor SocioDem x CeDi'!$C$1:$AF$1,0)), "")</f>
        <v/>
      </c>
      <c r="BZ27" s="79" t="str">
        <f>IFERROR(INDEX('[2]Potencial Hor SocioDem x CeDi'!$C$2:$AF$81, MATCH($C27,'[2]Potencial Hor SocioDem x CeDi'!$B$2:$B$81,0), MATCH(BZ$4,'[2]Potencial Hor SocioDem x CeDi'!$C$1:$AF$1,0)), "")</f>
        <v/>
      </c>
      <c r="CA27" s="79" t="str">
        <f>IFERROR(INDEX('[2]Potencial Hor SocioDem x CeDi'!$C$2:$AF$81, MATCH($C27,'[2]Potencial Hor SocioDem x CeDi'!$B$2:$B$81,0), MATCH(CA$4,'[2]Potencial Hor SocioDem x CeDi'!$C$1:$AF$1,0)), "")</f>
        <v/>
      </c>
      <c r="CB27" s="81" t="str">
        <f>IFERROR(INDEX('[2]Potencial Hor SocioDem x CeDi'!$C$2:$AF$81, MATCH($C27,'[2]Potencial Hor SocioDem x CeDi'!$B$2:$B$81,0), MATCH(CB$4,'[2]Potencial Hor SocioDem x CeDi'!$C$1:$AF$1,0)), "")</f>
        <v/>
      </c>
      <c r="CC27" s="82" t="str">
        <f>IFERROR(INDEX('[2]Potencial Hor SocioDem x CeDi'!$C$2:$AF$81, MATCH($C27,'[2]Potencial Hor SocioDem x CeDi'!$B$2:$B$81,0), MATCH(CC$4,'[2]Potencial Hor SocioDem x CeDi'!$C$1:$AF$1,0)), "")</f>
        <v/>
      </c>
      <c r="CD27" s="83" t="str">
        <f>IFERROR(INDEX('[2]Potencial Hor SocioDem x CeDi'!$C$2:$AF$81, MATCH($C27,'[2]Potencial Hor SocioDem x CeDi'!$B$2:$B$81,0), MATCH(CD$4,'[2]Potencial Hor SocioDem x CeDi'!$C$1:$AF$1,0)), "")</f>
        <v/>
      </c>
      <c r="CE27" s="78" t="str">
        <f>IFERROR(_xlfn.XLOOKUP([2]!BaseMaestraCeDi[[#This Row],[CeDi]], '[2]Potencial Hor x CeDi'!$B$6:$BU$6, '[2]Potencial Hor x CeDi'!$B$50:$BU$50), "")</f>
        <v/>
      </c>
      <c r="CF27" s="90" t="str">
        <f>IFERROR(_xlfn.XLOOKUP([2]!BaseMaestraCeDi[[#This Row],[CeDi]], '[2]Potencial Hor x CeDi'!$B$6:$BU$6, '[2]Potencial Hor x CeDi'!$B$34:$BU$34), "")</f>
        <v/>
      </c>
      <c r="CG27" s="90" t="str">
        <f>IFERROR(_xlfn.XLOOKUP([2]!BaseMaestraCeDi[[#This Row],[CeDi]], '[2]Potencial Hor x CeDi'!$B$6:$BU$6, '[2]Potencial Hor x CeDi'!$B$64:$BU$64), "")</f>
        <v/>
      </c>
      <c r="CH27" s="91" t="str">
        <f>IFERROR(_xlfn.XLOOKUP([2]!BaseMaestraCeDi[[#This Row],[CeDi]], '[2]Potencial Hor x CeDi'!$B$6:$BU$6, '[2]Potencial Hor x CeDi'!$B$38:$BU$38), "")</f>
        <v/>
      </c>
      <c r="CI27" s="90" t="str">
        <f>IFERROR(_xlfn.XLOOKUP([2]!BaseMaestraCeDi[[#This Row],[CeDi]], '[2]Potencial Hor x CeDi'!$B$6:$BU$6, '[2]Potencial Hor x CeDi'!$B$26:$BU$26), "")</f>
        <v/>
      </c>
      <c r="CJ27" s="92" t="str">
        <f>IFERROR(_xlfn.XLOOKUP([2]!BaseMaestraCeDi[[#This Row],[CeDi]], '[2]Potencial Hor x CeDi'!$B$6:$BU$6, '[2]Potencial Hor x CeDi'!$B$27:$BU$27), "")</f>
        <v/>
      </c>
      <c r="CK27" s="90" t="str">
        <f>IFERROR(_xlfn.XLOOKUP([2]!BaseMaestraCeDi[[#This Row],[CeDi]], '[2]Potencial Hor x CeDi'!$B$6:$BU$6, '[2]Potencial Hor x CeDi'!$B$28:$BU$28), "")</f>
        <v/>
      </c>
      <c r="CL27" s="92" t="str">
        <f>IFERROR(_xlfn.XLOOKUP([2]!BaseMaestraCeDi[[#This Row],[CeDi]], '[2]Potencial Hor x CeDi'!$B$6:$BU$6, '[2]Potencial Hor x CeDi'!$B$29:$BU$29), "")</f>
        <v/>
      </c>
      <c r="CM27" s="93" t="str">
        <f>IFERROR(_xlfn.XLOOKUP([2]!BaseMaestraCeDi[[#This Row],[CeDi]], '[2]Potencial Hor x CeDi'!$B$6:$BU$6, '[2]Potencial Hor x CeDi'!$B$39:$BU$39), "")</f>
        <v/>
      </c>
      <c r="CN27" s="94" t="str">
        <f>IFERROR(_xlfn.XLOOKUP([2]!BaseMaestraCeDi[[#This Row],[CeDi]], '[2]Potencial Hor x CeDi'!$B$6:$BU$6, '[2]Potencial Hor x CeDi'!$B$43:$BU$43), "")</f>
        <v/>
      </c>
      <c r="CO27" s="94" t="str">
        <f>IFERROR(_xlfn.XLOOKUP([2]!BaseMaestraCeDi[[#This Row],[CeDi]], '[2]Potencial Hor x CeDi'!$B$6:$BU$6, '[2]Potencial Hor x CeDi'!$B$46:$BU$46), "")</f>
        <v/>
      </c>
      <c r="CP27" s="86" t="str">
        <f>IFERROR(_xlfn.XLOOKUP([2]!BaseMaestraCeDi[[#This Row],[CeDi]], '[2]Potencial Hor x CeDi'!$B$6:$BU$6, '[2]Potencial Hor x CeDi'!$B$51:$BU$51), "")</f>
        <v/>
      </c>
      <c r="CQ27" s="82" t="str">
        <f>IFERROR(_xlfn.XLOOKUP([2]!BaseMaestraCeDi[[#This Row],[CeDi]], '[2]Potencial Hor x CeDi'!$B$6:$BU$6, '[2]Potencial Hor x CeDi'!$B$52:$BU$52), "")</f>
        <v/>
      </c>
      <c r="CR27" s="82" t="str">
        <f>IFERROR(_xlfn.XLOOKUP([2]!BaseMaestraCeDi[[#This Row],[CeDi]], '[2]Potencial Hor x CeDi'!$B$6:$BU$6, '[2]Potencial Hor x CeDi'!$B$53:$BU$53), "")</f>
        <v/>
      </c>
      <c r="CS27" s="87" t="str">
        <f>IFERROR(_xlfn.XLOOKUP([2]!BaseMaestraCeDi[[#This Row],[CeDi]], '[2]Potencial Hor x CeDi'!$B$6:$BU$6, '[2]Potencial Hor x CeDi'!$B$60:$BU$60), "")</f>
        <v/>
      </c>
      <c r="CT27" s="90" t="str">
        <f>IFERROR(_xlfn.XLOOKUP([2]!BaseMaestraCeDi[[#This Row],[CeDi]], '[2]Potencial Hor x CeDi'!$B$6:$BU$6, '[2]Potencial Hor x CeDi'!$B$65:$BU$65), "")</f>
        <v/>
      </c>
      <c r="CU27" s="90" t="str">
        <f>IFERROR(_xlfn.XLOOKUP([2]!BaseMaestraCeDi[[#This Row],[CeDi]], '[2]Potencial Hor x CeDi'!$B$6:$BU$6, '[2]Potencial Hor x CeDi'!$B$68:$BU$68), "")</f>
        <v/>
      </c>
      <c r="CV27" s="95" t="str">
        <f>IFERROR(_xlfn.XLOOKUP([2]!BaseMaestraCeDi[[#This Row],[CeDi]], '[2]Potencial Hor x CeDi'!$B$6:$BU$6, '[2]Potencial Hor x CeDi'!$B$71:$BU$71), "")</f>
        <v/>
      </c>
    </row>
    <row r="28" spans="1:100">
      <c r="A28" s="112" t="s">
        <v>93</v>
      </c>
      <c r="B28" s="112" t="s">
        <v>388</v>
      </c>
      <c r="C28" s="112" t="s">
        <v>405</v>
      </c>
      <c r="D28" s="113">
        <v>8</v>
      </c>
      <c r="E28" s="114">
        <v>649.26882736515597</v>
      </c>
      <c r="F28" s="115">
        <v>54.105898881455431</v>
      </c>
      <c r="G28" s="115">
        <v>703.37472624661143</v>
      </c>
      <c r="H28" s="116">
        <v>2029.5120146644779</v>
      </c>
      <c r="I28" s="117">
        <v>5197.9144393839651</v>
      </c>
      <c r="J28" s="117">
        <v>1181.0485867532416</v>
      </c>
      <c r="K28" s="117">
        <v>8408.4750408016844</v>
      </c>
      <c r="L28" s="116">
        <v>15114.113468731033</v>
      </c>
      <c r="M28" s="118">
        <v>0.556332666034143</v>
      </c>
      <c r="N28" s="119" t="s">
        <v>211</v>
      </c>
      <c r="O28" s="114">
        <v>49.079357331803521</v>
      </c>
      <c r="P28" s="115">
        <v>1</v>
      </c>
      <c r="Q28" s="115">
        <v>1</v>
      </c>
      <c r="R28" s="120">
        <v>9</v>
      </c>
      <c r="S28" s="119">
        <v>72</v>
      </c>
      <c r="T28" s="121">
        <v>0.8981571949523095</v>
      </c>
      <c r="U28" s="118">
        <v>0.1018428050476905</v>
      </c>
      <c r="V28" s="118">
        <v>0.61095825344205146</v>
      </c>
      <c r="W28" s="118">
        <v>0.38904174655794854</v>
      </c>
      <c r="X28" s="118">
        <v>0</v>
      </c>
      <c r="Y28" s="116">
        <v>9234.0923671808978</v>
      </c>
      <c r="Z28" s="117">
        <v>5880.0211015501354</v>
      </c>
      <c r="AA28" s="117">
        <v>0</v>
      </c>
      <c r="AB28" s="117">
        <v>79431.947916666672</v>
      </c>
      <c r="AC28" s="113">
        <v>8</v>
      </c>
      <c r="AD28" s="122">
        <v>6</v>
      </c>
      <c r="AE28" s="113">
        <v>171259</v>
      </c>
      <c r="AF28" s="122">
        <v>94991</v>
      </c>
      <c r="AG28" s="123">
        <v>0.5546628206400831</v>
      </c>
      <c r="AH28" s="118">
        <v>0.62069890798831628</v>
      </c>
      <c r="AI28" s="113">
        <v>12978.425751484927</v>
      </c>
      <c r="AJ28" s="122">
        <v>6489.2128757424634</v>
      </c>
      <c r="AK28" s="118">
        <v>0.5925540431495131</v>
      </c>
      <c r="AL28" s="116">
        <v>21259753.869999997</v>
      </c>
      <c r="AM28" s="117">
        <v>1713493.8400034029</v>
      </c>
      <c r="AN28" s="118">
        <v>8.0598009294046591E-2</v>
      </c>
      <c r="AO28" s="116">
        <v>1204076.7524348237</v>
      </c>
      <c r="AP28" s="118">
        <v>5.4774590917607922E-3</v>
      </c>
      <c r="AQ28" s="122">
        <v>28</v>
      </c>
      <c r="AR28" s="113">
        <v>6</v>
      </c>
      <c r="AS28" s="117">
        <v>1467311.3235139265</v>
      </c>
      <c r="AT28" s="116">
        <v>2671388.0759487501</v>
      </c>
      <c r="AU28" s="113">
        <v>8</v>
      </c>
      <c r="AV28" s="122">
        <v>0</v>
      </c>
      <c r="AW28" s="122">
        <v>1</v>
      </c>
      <c r="AX28" s="122">
        <v>7</v>
      </c>
      <c r="AY28" s="123">
        <v>0</v>
      </c>
      <c r="AZ28" s="122">
        <v>13321.245570524197</v>
      </c>
      <c r="BA28" s="114">
        <v>49.07935733180355</v>
      </c>
      <c r="BB28" s="118">
        <v>0.55338385205427043</v>
      </c>
      <c r="BC28" s="124">
        <v>285.74828721187538</v>
      </c>
      <c r="BD28" s="74"/>
      <c r="BE28" s="88" t="str">
        <f>IFERROR(_xlfn.XLOOKUP([2]!BaseMaestraCeDi[[#This Row],[CeDi]], '[2]Potencial Hor x CeDi'!$B$6:$BU$6, '[2]Potencial Hor x CeDi'!$B$21:$BU$21) / 1000, "")</f>
        <v/>
      </c>
      <c r="BF28" s="89" t="str">
        <f>IFERROR(_xlfn.XLOOKUP([2]!BaseMaestraCeDi[[#This Row],[CeDi]], '[2]Potencial Hor x CeDi'!$B$6:$BU$6, '[2]Potencial Hor x CeDi'!$B$22:$BU$22) / 1000, "")</f>
        <v/>
      </c>
      <c r="BG28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28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28" s="78" t="str">
        <f>IFERROR(INDEX('[2]Potencial Hor SocioDem x CeDi'!$C$2:$AF$81, MATCH($C28,'[2]Potencial Hor SocioDem x CeDi'!$B$2:$B$81,0), MATCH(BI$4,'[2]Potencial Hor SocioDem x CeDi'!$C$1:$AF$1,0)), "")</f>
        <v/>
      </c>
      <c r="BJ28" s="78" t="str">
        <f>IFERROR(INDEX('[2]Potencial Hor SocioDem x CeDi'!$C$2:$AF$81, MATCH($C28,'[2]Potencial Hor SocioDem x CeDi'!$B$2:$B$81,0), MATCH(BJ$4,'[2]Potencial Hor SocioDem x CeDi'!$C$1:$AF$1,0)), "")</f>
        <v/>
      </c>
      <c r="BK28" s="78" t="str">
        <f>IFERROR(INDEX('[2]Potencial Hor SocioDem x CeDi'!$C$2:$AF$81, MATCH($C28,'[2]Potencial Hor SocioDem x CeDi'!$B$2:$B$81,0), MATCH(BK$4,'[2]Potencial Hor SocioDem x CeDi'!$C$1:$AF$1,0)), "")</f>
        <v/>
      </c>
      <c r="BL28" s="79" t="str">
        <f>IFERROR(INDEX('[2]Potencial Hor SocioDem x CeDi'!$C$2:$AF$81, MATCH($C28,'[2]Potencial Hor SocioDem x CeDi'!$B$2:$B$81,0), MATCH(BL$4,'[2]Potencial Hor SocioDem x CeDi'!$C$1:$AF$1,0)), "")</f>
        <v/>
      </c>
      <c r="BM28" s="79" t="str">
        <f>IFERROR(INDEX('[2]Potencial Hor SocioDem x CeDi'!$C$2:$AF$81, MATCH($C28,'[2]Potencial Hor SocioDem x CeDi'!$B$2:$B$81,0), MATCH(BM$4,'[2]Potencial Hor SocioDem x CeDi'!$C$1:$AF$1,0)), "")</f>
        <v/>
      </c>
      <c r="BN28" s="78" t="str">
        <f>IFERROR(INDEX('[2]Potencial Hor SocioDem x CeDi'!$C$2:$AF$81, MATCH($C28,'[2]Potencial Hor SocioDem x CeDi'!$B$2:$B$81,0), MATCH(BN$4,'[2]Potencial Hor SocioDem x CeDi'!$C$1:$AF$1,0)), "")</f>
        <v/>
      </c>
      <c r="BO28" s="78" t="str">
        <f>IFERROR(INDEX('[2]Potencial Hor SocioDem x CeDi'!$C$2:$AF$81, MATCH($C28,'[2]Potencial Hor SocioDem x CeDi'!$B$2:$B$81,0), MATCH(BO$4,'[2]Potencial Hor SocioDem x CeDi'!$C$1:$AF$1,0)), "")</f>
        <v/>
      </c>
      <c r="BP28" s="78" t="str">
        <f>IFERROR(INDEX('[2]Potencial Hor SocioDem x CeDi'!$C$2:$AF$81, MATCH($C28,'[2]Potencial Hor SocioDem x CeDi'!$B$2:$B$81,0), MATCH(BP$4,'[2]Potencial Hor SocioDem x CeDi'!$C$1:$AF$1,0)), "")</f>
        <v/>
      </c>
      <c r="BQ28" s="80" t="str">
        <f>IFERROR(INDEX('[2]Potencial Hor SocioDem x CeDi'!$C$2:$AF$81, MATCH($C28,'[2]Potencial Hor SocioDem x CeDi'!$B$2:$B$81,0), MATCH(BQ$4,'[2]Potencial Hor SocioDem x CeDi'!$C$1:$AF$1,0)), "")</f>
        <v/>
      </c>
      <c r="BR28" s="80" t="str">
        <f>IFERROR(INDEX('[2]Potencial Hor SocioDem x CeDi'!$C$2:$AF$81, MATCH($C28,'[2]Potencial Hor SocioDem x CeDi'!$B$2:$B$81,0), MATCH(BR$4,'[2]Potencial Hor SocioDem x CeDi'!$C$1:$AF$1,0)), "")</f>
        <v/>
      </c>
      <c r="BS28" s="80" t="str">
        <f>IFERROR(INDEX('[2]Potencial Hor SocioDem x CeDi'!$C$2:$AF$81, MATCH($C28,'[2]Potencial Hor SocioDem x CeDi'!$B$2:$B$81,0), MATCH(BS$4,'[2]Potencial Hor SocioDem x CeDi'!$C$1:$AF$1,0)), "")</f>
        <v/>
      </c>
      <c r="BT28" s="80" t="str">
        <f>IFERROR(INDEX('[2]Potencial Hor SocioDem x CeDi'!$C$2:$AF$81, MATCH($C28,'[2]Potencial Hor SocioDem x CeDi'!$B$2:$B$81,0), MATCH(BT$4,'[2]Potencial Hor SocioDem x CeDi'!$C$1:$AF$1,0)), "")</f>
        <v/>
      </c>
      <c r="BU28" s="80" t="str">
        <f>IFERROR(INDEX('[2]Potencial Hor SocioDem x CeDi'!$C$2:$AF$81, MATCH($C28,'[2]Potencial Hor SocioDem x CeDi'!$B$2:$B$81,0), MATCH(BU$4,'[2]Potencial Hor SocioDem x CeDi'!$C$1:$AF$1,0)), "")</f>
        <v/>
      </c>
      <c r="BV28" s="80" t="str">
        <f>IFERROR(INDEX('[2]Potencial Hor SocioDem x CeDi'!$C$2:$AF$81, MATCH($C28,'[2]Potencial Hor SocioDem x CeDi'!$B$2:$B$81,0), MATCH(BV$4,'[2]Potencial Hor SocioDem x CeDi'!$C$1:$AF$1,0)), "")</f>
        <v/>
      </c>
      <c r="BW28" s="80" t="str">
        <f>IFERROR(INDEX('[2]Potencial Hor SocioDem x CeDi'!$C$2:$AF$81, MATCH($C28,'[2]Potencial Hor SocioDem x CeDi'!$B$2:$B$81,0), MATCH(BW$4,'[2]Potencial Hor SocioDem x CeDi'!$C$1:$AF$1,0)), "")</f>
        <v/>
      </c>
      <c r="BX28" s="80" t="str">
        <f>IFERROR(INDEX('[2]Potencial Hor SocioDem x CeDi'!$C$2:$AF$81, MATCH($C28,'[2]Potencial Hor SocioDem x CeDi'!$B$2:$B$81,0), MATCH(BX$4,'[2]Potencial Hor SocioDem x CeDi'!$C$1:$AF$1,0)), "")</f>
        <v/>
      </c>
      <c r="BY28" s="80" t="str">
        <f>IFERROR(INDEX('[2]Potencial Hor SocioDem x CeDi'!$C$2:$AF$81, MATCH($C28,'[2]Potencial Hor SocioDem x CeDi'!$B$2:$B$81,0), MATCH(BY$4,'[2]Potencial Hor SocioDem x CeDi'!$C$1:$AF$1,0)), "")</f>
        <v/>
      </c>
      <c r="BZ28" s="79" t="str">
        <f>IFERROR(INDEX('[2]Potencial Hor SocioDem x CeDi'!$C$2:$AF$81, MATCH($C28,'[2]Potencial Hor SocioDem x CeDi'!$B$2:$B$81,0), MATCH(BZ$4,'[2]Potencial Hor SocioDem x CeDi'!$C$1:$AF$1,0)), "")</f>
        <v/>
      </c>
      <c r="CA28" s="79" t="str">
        <f>IFERROR(INDEX('[2]Potencial Hor SocioDem x CeDi'!$C$2:$AF$81, MATCH($C28,'[2]Potencial Hor SocioDem x CeDi'!$B$2:$B$81,0), MATCH(CA$4,'[2]Potencial Hor SocioDem x CeDi'!$C$1:$AF$1,0)), "")</f>
        <v/>
      </c>
      <c r="CB28" s="81" t="str">
        <f>IFERROR(INDEX('[2]Potencial Hor SocioDem x CeDi'!$C$2:$AF$81, MATCH($C28,'[2]Potencial Hor SocioDem x CeDi'!$B$2:$B$81,0), MATCH(CB$4,'[2]Potencial Hor SocioDem x CeDi'!$C$1:$AF$1,0)), "")</f>
        <v/>
      </c>
      <c r="CC28" s="82" t="str">
        <f>IFERROR(INDEX('[2]Potencial Hor SocioDem x CeDi'!$C$2:$AF$81, MATCH($C28,'[2]Potencial Hor SocioDem x CeDi'!$B$2:$B$81,0), MATCH(CC$4,'[2]Potencial Hor SocioDem x CeDi'!$C$1:$AF$1,0)), "")</f>
        <v/>
      </c>
      <c r="CD28" s="83" t="str">
        <f>IFERROR(INDEX('[2]Potencial Hor SocioDem x CeDi'!$C$2:$AF$81, MATCH($C28,'[2]Potencial Hor SocioDem x CeDi'!$B$2:$B$81,0), MATCH(CD$4,'[2]Potencial Hor SocioDem x CeDi'!$C$1:$AF$1,0)), "")</f>
        <v/>
      </c>
      <c r="CE28" s="78" t="str">
        <f>IFERROR(_xlfn.XLOOKUP([2]!BaseMaestraCeDi[[#This Row],[CeDi]], '[2]Potencial Hor x CeDi'!$B$6:$BU$6, '[2]Potencial Hor x CeDi'!$B$50:$BU$50), "")</f>
        <v/>
      </c>
      <c r="CF28" s="90" t="str">
        <f>IFERROR(_xlfn.XLOOKUP([2]!BaseMaestraCeDi[[#This Row],[CeDi]], '[2]Potencial Hor x CeDi'!$B$6:$BU$6, '[2]Potencial Hor x CeDi'!$B$34:$BU$34), "")</f>
        <v/>
      </c>
      <c r="CG28" s="90" t="str">
        <f>IFERROR(_xlfn.XLOOKUP([2]!BaseMaestraCeDi[[#This Row],[CeDi]], '[2]Potencial Hor x CeDi'!$B$6:$BU$6, '[2]Potencial Hor x CeDi'!$B$64:$BU$64), "")</f>
        <v/>
      </c>
      <c r="CH28" s="91" t="str">
        <f>IFERROR(_xlfn.XLOOKUP([2]!BaseMaestraCeDi[[#This Row],[CeDi]], '[2]Potencial Hor x CeDi'!$B$6:$BU$6, '[2]Potencial Hor x CeDi'!$B$38:$BU$38), "")</f>
        <v/>
      </c>
      <c r="CI28" s="90" t="str">
        <f>IFERROR(_xlfn.XLOOKUP([2]!BaseMaestraCeDi[[#This Row],[CeDi]], '[2]Potencial Hor x CeDi'!$B$6:$BU$6, '[2]Potencial Hor x CeDi'!$B$26:$BU$26), "")</f>
        <v/>
      </c>
      <c r="CJ28" s="92" t="str">
        <f>IFERROR(_xlfn.XLOOKUP([2]!BaseMaestraCeDi[[#This Row],[CeDi]], '[2]Potencial Hor x CeDi'!$B$6:$BU$6, '[2]Potencial Hor x CeDi'!$B$27:$BU$27), "")</f>
        <v/>
      </c>
      <c r="CK28" s="90" t="str">
        <f>IFERROR(_xlfn.XLOOKUP([2]!BaseMaestraCeDi[[#This Row],[CeDi]], '[2]Potencial Hor x CeDi'!$B$6:$BU$6, '[2]Potencial Hor x CeDi'!$B$28:$BU$28), "")</f>
        <v/>
      </c>
      <c r="CL28" s="92" t="str">
        <f>IFERROR(_xlfn.XLOOKUP([2]!BaseMaestraCeDi[[#This Row],[CeDi]], '[2]Potencial Hor x CeDi'!$B$6:$BU$6, '[2]Potencial Hor x CeDi'!$B$29:$BU$29), "")</f>
        <v/>
      </c>
      <c r="CM28" s="93" t="str">
        <f>IFERROR(_xlfn.XLOOKUP([2]!BaseMaestraCeDi[[#This Row],[CeDi]], '[2]Potencial Hor x CeDi'!$B$6:$BU$6, '[2]Potencial Hor x CeDi'!$B$39:$BU$39), "")</f>
        <v/>
      </c>
      <c r="CN28" s="94" t="str">
        <f>IFERROR(_xlfn.XLOOKUP([2]!BaseMaestraCeDi[[#This Row],[CeDi]], '[2]Potencial Hor x CeDi'!$B$6:$BU$6, '[2]Potencial Hor x CeDi'!$B$43:$BU$43), "")</f>
        <v/>
      </c>
      <c r="CO28" s="94" t="str">
        <f>IFERROR(_xlfn.XLOOKUP([2]!BaseMaestraCeDi[[#This Row],[CeDi]], '[2]Potencial Hor x CeDi'!$B$6:$BU$6, '[2]Potencial Hor x CeDi'!$B$46:$BU$46), "")</f>
        <v/>
      </c>
      <c r="CP28" s="86" t="str">
        <f>IFERROR(_xlfn.XLOOKUP([2]!BaseMaestraCeDi[[#This Row],[CeDi]], '[2]Potencial Hor x CeDi'!$B$6:$BU$6, '[2]Potencial Hor x CeDi'!$B$51:$BU$51), "")</f>
        <v/>
      </c>
      <c r="CQ28" s="82" t="str">
        <f>IFERROR(_xlfn.XLOOKUP([2]!BaseMaestraCeDi[[#This Row],[CeDi]], '[2]Potencial Hor x CeDi'!$B$6:$BU$6, '[2]Potencial Hor x CeDi'!$B$52:$BU$52), "")</f>
        <v/>
      </c>
      <c r="CR28" s="82" t="str">
        <f>IFERROR(_xlfn.XLOOKUP([2]!BaseMaestraCeDi[[#This Row],[CeDi]], '[2]Potencial Hor x CeDi'!$B$6:$BU$6, '[2]Potencial Hor x CeDi'!$B$53:$BU$53), "")</f>
        <v/>
      </c>
      <c r="CS28" s="87" t="str">
        <f>IFERROR(_xlfn.XLOOKUP([2]!BaseMaestraCeDi[[#This Row],[CeDi]], '[2]Potencial Hor x CeDi'!$B$6:$BU$6, '[2]Potencial Hor x CeDi'!$B$60:$BU$60), "")</f>
        <v/>
      </c>
      <c r="CT28" s="90" t="str">
        <f>IFERROR(_xlfn.XLOOKUP([2]!BaseMaestraCeDi[[#This Row],[CeDi]], '[2]Potencial Hor x CeDi'!$B$6:$BU$6, '[2]Potencial Hor x CeDi'!$B$65:$BU$65), "")</f>
        <v/>
      </c>
      <c r="CU28" s="90" t="str">
        <f>IFERROR(_xlfn.XLOOKUP([2]!BaseMaestraCeDi[[#This Row],[CeDi]], '[2]Potencial Hor x CeDi'!$B$6:$BU$6, '[2]Potencial Hor x CeDi'!$B$68:$BU$68), "")</f>
        <v/>
      </c>
      <c r="CV28" s="95" t="str">
        <f>IFERROR(_xlfn.XLOOKUP([2]!BaseMaestraCeDi[[#This Row],[CeDi]], '[2]Potencial Hor x CeDi'!$B$6:$BU$6, '[2]Potencial Hor x CeDi'!$B$71:$BU$71), "")</f>
        <v/>
      </c>
    </row>
    <row r="29" spans="1:100">
      <c r="A29" s="100" t="s">
        <v>93</v>
      </c>
      <c r="B29" s="100" t="s">
        <v>414</v>
      </c>
      <c r="C29" s="100" t="s">
        <v>415</v>
      </c>
      <c r="D29" s="101">
        <v>12</v>
      </c>
      <c r="E29" s="102">
        <v>1608.192936542079</v>
      </c>
      <c r="F29" s="103">
        <v>90.767737870266416</v>
      </c>
      <c r="G29" s="103">
        <v>1698.9606744123455</v>
      </c>
      <c r="H29" s="104">
        <v>7372.7952799256827</v>
      </c>
      <c r="I29" s="105">
        <v>7180.6408351987448</v>
      </c>
      <c r="J29" s="105">
        <v>1673.1474260371861</v>
      </c>
      <c r="K29" s="105">
        <v>16226.583541161614</v>
      </c>
      <c r="L29" s="104">
        <v>34391.844584048333</v>
      </c>
      <c r="M29" s="106">
        <v>0.47181486591992355</v>
      </c>
      <c r="N29" s="107" t="s">
        <v>171</v>
      </c>
      <c r="O29" s="102">
        <v>70.164515257661677</v>
      </c>
      <c r="P29" s="103">
        <v>1</v>
      </c>
      <c r="Q29" s="103">
        <v>1</v>
      </c>
      <c r="R29" s="108">
        <v>15</v>
      </c>
      <c r="S29" s="107">
        <v>120</v>
      </c>
      <c r="T29" s="125">
        <v>0.98426783256283845</v>
      </c>
      <c r="U29" s="106">
        <v>1.5732167437161548E-2</v>
      </c>
      <c r="V29" s="106">
        <v>0.66633224751707776</v>
      </c>
      <c r="W29" s="106">
        <v>0.33354241159637149</v>
      </c>
      <c r="X29" s="106">
        <v>1.2534088655076375E-4</v>
      </c>
      <c r="Y29" s="104">
        <v>22916.395097946963</v>
      </c>
      <c r="Z29" s="105">
        <v>11471.138781811089</v>
      </c>
      <c r="AA29" s="105">
        <v>4.3107042902807011</v>
      </c>
      <c r="AB29" s="105">
        <v>104892.88353846149</v>
      </c>
      <c r="AC29" s="101">
        <v>12</v>
      </c>
      <c r="AD29" s="109">
        <v>9</v>
      </c>
      <c r="AE29" s="101">
        <v>367535</v>
      </c>
      <c r="AF29" s="109">
        <v>206553</v>
      </c>
      <c r="AG29" s="110">
        <v>0.56199545621505431</v>
      </c>
      <c r="AH29" s="106">
        <v>0.63241987281794343</v>
      </c>
      <c r="AI29" s="101">
        <v>28520.766302083946</v>
      </c>
      <c r="AJ29" s="109">
        <v>14260.383151041973</v>
      </c>
      <c r="AK29" s="106">
        <v>0.60079552464674657</v>
      </c>
      <c r="AL29" s="104">
        <v>48579329.600000001</v>
      </c>
      <c r="AM29" s="105">
        <v>3391333.66812356</v>
      </c>
      <c r="AN29" s="106">
        <v>6.9810219614960672E-2</v>
      </c>
      <c r="AO29" s="104">
        <v>2383099.3343570963</v>
      </c>
      <c r="AP29" s="106">
        <v>1.0840944390918254E-2</v>
      </c>
      <c r="AQ29" s="109">
        <v>21</v>
      </c>
      <c r="AR29" s="101">
        <v>9</v>
      </c>
      <c r="AS29" s="105">
        <v>1900316.8639329753</v>
      </c>
      <c r="AT29" s="104">
        <v>4283416.1982900715</v>
      </c>
      <c r="AU29" s="101">
        <v>13</v>
      </c>
      <c r="AV29" s="109">
        <v>3</v>
      </c>
      <c r="AW29" s="109">
        <v>0</v>
      </c>
      <c r="AX29" s="109">
        <v>9</v>
      </c>
      <c r="AY29" s="110">
        <v>0.23076923076923078</v>
      </c>
      <c r="AZ29" s="109">
        <v>24573.156654311904</v>
      </c>
      <c r="BA29" s="102">
        <v>70.164515257661705</v>
      </c>
      <c r="BB29" s="106">
        <v>0.56400427995970814</v>
      </c>
      <c r="BC29" s="111">
        <v>452.5834179224517</v>
      </c>
      <c r="BD29" s="74"/>
      <c r="BE29" s="88" t="str">
        <f>IFERROR(_xlfn.XLOOKUP([2]!BaseMaestraCeDi[[#This Row],[CeDi]], '[2]Potencial Hor x CeDi'!$B$6:$BU$6, '[2]Potencial Hor x CeDi'!$B$21:$BU$21) / 1000, "")</f>
        <v/>
      </c>
      <c r="BF29" s="89" t="str">
        <f>IFERROR(_xlfn.XLOOKUP([2]!BaseMaestraCeDi[[#This Row],[CeDi]], '[2]Potencial Hor x CeDi'!$B$6:$BU$6, '[2]Potencial Hor x CeDi'!$B$22:$BU$22) / 1000, "")</f>
        <v/>
      </c>
      <c r="BG29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29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29" s="78">
        <f>IFERROR(INDEX('[2]Potencial Hor SocioDem x CeDi'!$C$2:$AF$81, MATCH($C29,'[2]Potencial Hor SocioDem x CeDi'!$B$2:$B$81,0), MATCH(BI$4,'[2]Potencial Hor SocioDem x CeDi'!$C$1:$AF$1,0)), "")</f>
        <v>8916</v>
      </c>
      <c r="BJ29" s="78">
        <f>IFERROR(INDEX('[2]Potencial Hor SocioDem x CeDi'!$C$2:$AF$81, MATCH($C29,'[2]Potencial Hor SocioDem x CeDi'!$B$2:$B$81,0), MATCH(BJ$4,'[2]Potencial Hor SocioDem x CeDi'!$C$1:$AF$1,0)), "")</f>
        <v>387332</v>
      </c>
      <c r="BK29" s="78">
        <f>IFERROR(INDEX('[2]Potencial Hor SocioDem x CeDi'!$C$2:$AF$81, MATCH($C29,'[2]Potencial Hor SocioDem x CeDi'!$B$2:$B$81,0), MATCH(BK$4,'[2]Potencial Hor SocioDem x CeDi'!$C$1:$AF$1,0)), "")</f>
        <v>109490</v>
      </c>
      <c r="BL29" s="79">
        <f>IFERROR(INDEX('[2]Potencial Hor SocioDem x CeDi'!$C$2:$AF$81, MATCH($C29,'[2]Potencial Hor SocioDem x CeDi'!$B$2:$B$81,0), MATCH(BL$4,'[2]Potencial Hor SocioDem x CeDi'!$C$1:$AF$1,0)), "")</f>
        <v>3.5376016074527352</v>
      </c>
      <c r="BM29" s="79">
        <f>IFERROR(INDEX('[2]Potencial Hor SocioDem x CeDi'!$C$2:$AF$81, MATCH($C29,'[2]Potencial Hor SocioDem x CeDi'!$B$2:$B$81,0), MATCH(BM$4,'[2]Potencial Hor SocioDem x CeDi'!$C$1:$AF$1,0)), "")</f>
        <v>12.28017048003589</v>
      </c>
      <c r="BN29" s="78">
        <f>IFERROR(INDEX('[2]Potencial Hor SocioDem x CeDi'!$C$2:$AF$81, MATCH($C29,'[2]Potencial Hor SocioDem x CeDi'!$B$2:$B$81,0), MATCH(BN$4,'[2]Potencial Hor SocioDem x CeDi'!$C$1:$AF$1,0)), "")</f>
        <v>13676</v>
      </c>
      <c r="BO29" s="78">
        <f>IFERROR(INDEX('[2]Potencial Hor SocioDem x CeDi'!$C$2:$AF$81, MATCH($C29,'[2]Potencial Hor SocioDem x CeDi'!$B$2:$B$81,0), MATCH(BO$4,'[2]Potencial Hor SocioDem x CeDi'!$C$1:$AF$1,0)), "")</f>
        <v>34857</v>
      </c>
      <c r="BP29" s="78">
        <f>IFERROR(INDEX('[2]Potencial Hor SocioDem x CeDi'!$C$2:$AF$81, MATCH($C29,'[2]Potencial Hor SocioDem x CeDi'!$B$2:$B$81,0), MATCH(BP$4,'[2]Potencial Hor SocioDem x CeDi'!$C$1:$AF$1,0)), "")</f>
        <v>48533</v>
      </c>
      <c r="BQ29" s="80">
        <f>IFERROR(INDEX('[2]Potencial Hor SocioDem x CeDi'!$C$2:$AF$81, MATCH($C29,'[2]Potencial Hor SocioDem x CeDi'!$B$2:$B$81,0), MATCH(BQ$4,'[2]Potencial Hor SocioDem x CeDi'!$C$1:$AF$1,0)), "")</f>
        <v>0.44326422504338298</v>
      </c>
      <c r="BR29" s="80">
        <f>IFERROR(INDEX('[2]Potencial Hor SocioDem x CeDi'!$C$2:$AF$81, MATCH($C29,'[2]Potencial Hor SocioDem x CeDi'!$B$2:$B$81,0), MATCH(BR$4,'[2]Potencial Hor SocioDem x CeDi'!$C$1:$AF$1,0)), "")</f>
        <v>0.1249063841446707</v>
      </c>
      <c r="BS29" s="80">
        <f>IFERROR(INDEX('[2]Potencial Hor SocioDem x CeDi'!$C$2:$AF$81, MATCH($C29,'[2]Potencial Hor SocioDem x CeDi'!$B$2:$B$81,0), MATCH(BS$4,'[2]Potencial Hor SocioDem x CeDi'!$C$1:$AF$1,0)), "")</f>
        <v>0.31835784089871222</v>
      </c>
      <c r="BT29" s="80">
        <f>IFERROR(INDEX('[2]Potencial Hor SocioDem x CeDi'!$C$2:$AF$81, MATCH($C29,'[2]Potencial Hor SocioDem x CeDi'!$B$2:$B$81,0), MATCH(BT$4,'[2]Potencial Hor SocioDem x CeDi'!$C$1:$AF$1,0)), "")</f>
        <v>0.1518586172253174</v>
      </c>
      <c r="BU29" s="80">
        <f>IFERROR(INDEX('[2]Potencial Hor SocioDem x CeDi'!$C$2:$AF$81, MATCH($C29,'[2]Potencial Hor SocioDem x CeDi'!$B$2:$B$81,0), MATCH(BU$4,'[2]Potencial Hor SocioDem x CeDi'!$C$1:$AF$1,0)), "")</f>
        <v>0.1054799525070783</v>
      </c>
      <c r="BV29" s="80">
        <f>IFERROR(INDEX('[2]Potencial Hor SocioDem x CeDi'!$C$2:$AF$81, MATCH($C29,'[2]Potencial Hor SocioDem x CeDi'!$B$2:$B$81,0), MATCH(BV$4,'[2]Potencial Hor SocioDem x CeDi'!$C$1:$AF$1,0)), "")</f>
        <v>2.1764544707279201E-2</v>
      </c>
      <c r="BW29" s="80">
        <f>IFERROR(INDEX('[2]Potencial Hor SocioDem x CeDi'!$C$2:$AF$81, MATCH($C29,'[2]Potencial Hor SocioDem x CeDi'!$B$2:$B$81,0), MATCH(BW$4,'[2]Potencial Hor SocioDem x CeDi'!$C$1:$AF$1,0)), "")</f>
        <v>0.27676500136998811</v>
      </c>
      <c r="BX29" s="80">
        <f>IFERROR(INDEX('[2]Potencial Hor SocioDem x CeDi'!$C$2:$AF$81, MATCH($C29,'[2]Potencial Hor SocioDem x CeDi'!$B$2:$B$81,0), MATCH(BX$4,'[2]Potencial Hor SocioDem x CeDi'!$C$1:$AF$1,0)), "")</f>
        <v>5.5712850488629103E-4</v>
      </c>
      <c r="BY29" s="80">
        <f>IFERROR(INDEX('[2]Potencial Hor SocioDem x CeDi'!$C$2:$AF$81, MATCH($C29,'[2]Potencial Hor SocioDem x CeDi'!$B$2:$B$81,0), MATCH(BY$4,'[2]Potencial Hor SocioDem x CeDi'!$C$1:$AF$1,0)), "")</f>
        <v>3.1053064206776869E-4</v>
      </c>
      <c r="BZ29" s="79">
        <f>IFERROR(INDEX('[2]Potencial Hor SocioDem x CeDi'!$C$2:$AF$81, MATCH($C29,'[2]Potencial Hor SocioDem x CeDi'!$B$2:$B$81,0), MATCH(BZ$4,'[2]Potencial Hor SocioDem x CeDi'!$C$1:$AF$1,0)), "")</f>
        <v>4.8046636993586898</v>
      </c>
      <c r="CA29" s="79">
        <f>IFERROR(INDEX('[2]Potencial Hor SocioDem x CeDi'!$C$2:$AF$81, MATCH($C29,'[2]Potencial Hor SocioDem x CeDi'!$B$2:$B$81,0), MATCH(CA$4,'[2]Potencial Hor SocioDem x CeDi'!$C$1:$AF$1,0)), "")</f>
        <v>0.4750446645255233</v>
      </c>
      <c r="CB29" s="81">
        <f>IFERROR(INDEX('[2]Potencial Hor SocioDem x CeDi'!$C$2:$AF$81, MATCH($C29,'[2]Potencial Hor SocioDem x CeDi'!$B$2:$B$81,0), MATCH(CB$4,'[2]Potencial Hor SocioDem x CeDi'!$C$1:$AF$1,0)), "")</f>
        <v>4056</v>
      </c>
      <c r="CC29" s="82">
        <f>IFERROR(INDEX('[2]Potencial Hor SocioDem x CeDi'!$C$2:$AF$81, MATCH($C29,'[2]Potencial Hor SocioDem x CeDi'!$B$2:$B$81,0), MATCH(CC$4,'[2]Potencial Hor SocioDem x CeDi'!$C$1:$AF$1,0)), "")</f>
        <v>2484</v>
      </c>
      <c r="CD29" s="83">
        <f>IFERROR(INDEX('[2]Potencial Hor SocioDem x CeDi'!$C$2:$AF$81, MATCH($C29,'[2]Potencial Hor SocioDem x CeDi'!$B$2:$B$81,0), MATCH(CD$4,'[2]Potencial Hor SocioDem x CeDi'!$C$1:$AF$1,0)), "")</f>
        <v>5.1181670203778867E-2</v>
      </c>
      <c r="CE29" s="78" t="str">
        <f>IFERROR(_xlfn.XLOOKUP([2]!BaseMaestraCeDi[[#This Row],[CeDi]], '[2]Potencial Hor x CeDi'!$B$6:$BU$6, '[2]Potencial Hor x CeDi'!$B$50:$BU$50), "")</f>
        <v/>
      </c>
      <c r="CF29" s="90" t="str">
        <f>IFERROR(_xlfn.XLOOKUP([2]!BaseMaestraCeDi[[#This Row],[CeDi]], '[2]Potencial Hor x CeDi'!$B$6:$BU$6, '[2]Potencial Hor x CeDi'!$B$34:$BU$34), "")</f>
        <v/>
      </c>
      <c r="CG29" s="90" t="str">
        <f>IFERROR(_xlfn.XLOOKUP([2]!BaseMaestraCeDi[[#This Row],[CeDi]], '[2]Potencial Hor x CeDi'!$B$6:$BU$6, '[2]Potencial Hor x CeDi'!$B$64:$BU$64), "")</f>
        <v/>
      </c>
      <c r="CH29" s="91" t="str">
        <f>IFERROR(_xlfn.XLOOKUP([2]!BaseMaestraCeDi[[#This Row],[CeDi]], '[2]Potencial Hor x CeDi'!$B$6:$BU$6, '[2]Potencial Hor x CeDi'!$B$38:$BU$38), "")</f>
        <v/>
      </c>
      <c r="CI29" s="90" t="str">
        <f>IFERROR(_xlfn.XLOOKUP([2]!BaseMaestraCeDi[[#This Row],[CeDi]], '[2]Potencial Hor x CeDi'!$B$6:$BU$6, '[2]Potencial Hor x CeDi'!$B$26:$BU$26), "")</f>
        <v/>
      </c>
      <c r="CJ29" s="92" t="str">
        <f>IFERROR(_xlfn.XLOOKUP([2]!BaseMaestraCeDi[[#This Row],[CeDi]], '[2]Potencial Hor x CeDi'!$B$6:$BU$6, '[2]Potencial Hor x CeDi'!$B$27:$BU$27), "")</f>
        <v/>
      </c>
      <c r="CK29" s="90" t="str">
        <f>IFERROR(_xlfn.XLOOKUP([2]!BaseMaestraCeDi[[#This Row],[CeDi]], '[2]Potencial Hor x CeDi'!$B$6:$BU$6, '[2]Potencial Hor x CeDi'!$B$28:$BU$28), "")</f>
        <v/>
      </c>
      <c r="CL29" s="92" t="str">
        <f>IFERROR(_xlfn.XLOOKUP([2]!BaseMaestraCeDi[[#This Row],[CeDi]], '[2]Potencial Hor x CeDi'!$B$6:$BU$6, '[2]Potencial Hor x CeDi'!$B$29:$BU$29), "")</f>
        <v/>
      </c>
      <c r="CM29" s="93" t="str">
        <f>IFERROR(_xlfn.XLOOKUP([2]!BaseMaestraCeDi[[#This Row],[CeDi]], '[2]Potencial Hor x CeDi'!$B$6:$BU$6, '[2]Potencial Hor x CeDi'!$B$39:$BU$39), "")</f>
        <v/>
      </c>
      <c r="CN29" s="94" t="str">
        <f>IFERROR(_xlfn.XLOOKUP([2]!BaseMaestraCeDi[[#This Row],[CeDi]], '[2]Potencial Hor x CeDi'!$B$6:$BU$6, '[2]Potencial Hor x CeDi'!$B$43:$BU$43), "")</f>
        <v/>
      </c>
      <c r="CO29" s="94" t="str">
        <f>IFERROR(_xlfn.XLOOKUP([2]!BaseMaestraCeDi[[#This Row],[CeDi]], '[2]Potencial Hor x CeDi'!$B$6:$BU$6, '[2]Potencial Hor x CeDi'!$B$46:$BU$46), "")</f>
        <v/>
      </c>
      <c r="CP29" s="86" t="str">
        <f>IFERROR(_xlfn.XLOOKUP([2]!BaseMaestraCeDi[[#This Row],[CeDi]], '[2]Potencial Hor x CeDi'!$B$6:$BU$6, '[2]Potencial Hor x CeDi'!$B$51:$BU$51), "")</f>
        <v/>
      </c>
      <c r="CQ29" s="82" t="str">
        <f>IFERROR(_xlfn.XLOOKUP([2]!BaseMaestraCeDi[[#This Row],[CeDi]], '[2]Potencial Hor x CeDi'!$B$6:$BU$6, '[2]Potencial Hor x CeDi'!$B$52:$BU$52), "")</f>
        <v/>
      </c>
      <c r="CR29" s="82" t="str">
        <f>IFERROR(_xlfn.XLOOKUP([2]!BaseMaestraCeDi[[#This Row],[CeDi]], '[2]Potencial Hor x CeDi'!$B$6:$BU$6, '[2]Potencial Hor x CeDi'!$B$53:$BU$53), "")</f>
        <v/>
      </c>
      <c r="CS29" s="87" t="str">
        <f>IFERROR(_xlfn.XLOOKUP([2]!BaseMaestraCeDi[[#This Row],[CeDi]], '[2]Potencial Hor x CeDi'!$B$6:$BU$6, '[2]Potencial Hor x CeDi'!$B$60:$BU$60), "")</f>
        <v/>
      </c>
      <c r="CT29" s="90" t="str">
        <f>IFERROR(_xlfn.XLOOKUP([2]!BaseMaestraCeDi[[#This Row],[CeDi]], '[2]Potencial Hor x CeDi'!$B$6:$BU$6, '[2]Potencial Hor x CeDi'!$B$65:$BU$65), "")</f>
        <v/>
      </c>
      <c r="CU29" s="90" t="str">
        <f>IFERROR(_xlfn.XLOOKUP([2]!BaseMaestraCeDi[[#This Row],[CeDi]], '[2]Potencial Hor x CeDi'!$B$6:$BU$6, '[2]Potencial Hor x CeDi'!$B$68:$BU$68), "")</f>
        <v/>
      </c>
      <c r="CV29" s="95" t="str">
        <f>IFERROR(_xlfn.XLOOKUP([2]!BaseMaestraCeDi[[#This Row],[CeDi]], '[2]Potencial Hor x CeDi'!$B$6:$BU$6, '[2]Potencial Hor x CeDi'!$B$71:$BU$71), "")</f>
        <v/>
      </c>
    </row>
    <row r="30" spans="1:100">
      <c r="A30" s="112" t="s">
        <v>93</v>
      </c>
      <c r="B30" s="112" t="s">
        <v>320</v>
      </c>
      <c r="C30" s="112" t="s">
        <v>429</v>
      </c>
      <c r="D30" s="113" t="s">
        <v>194</v>
      </c>
      <c r="E30" s="114" t="s">
        <v>194</v>
      </c>
      <c r="F30" s="115" t="s">
        <v>194</v>
      </c>
      <c r="G30" s="115" t="s">
        <v>194</v>
      </c>
      <c r="H30" s="116" t="s">
        <v>194</v>
      </c>
      <c r="I30" s="117" t="s">
        <v>194</v>
      </c>
      <c r="J30" s="117" t="s">
        <v>194</v>
      </c>
      <c r="K30" s="117" t="s">
        <v>194</v>
      </c>
      <c r="L30" s="116" t="s">
        <v>194</v>
      </c>
      <c r="M30" s="118" t="s">
        <v>194</v>
      </c>
      <c r="N30" s="119" t="s">
        <v>194</v>
      </c>
      <c r="O30" s="114" t="s">
        <v>194</v>
      </c>
      <c r="P30" s="115" t="s">
        <v>194</v>
      </c>
      <c r="Q30" s="115" t="s">
        <v>194</v>
      </c>
      <c r="R30" s="120" t="s">
        <v>194</v>
      </c>
      <c r="S30" s="119" t="s">
        <v>194</v>
      </c>
      <c r="T30" s="121" t="s">
        <v>194</v>
      </c>
      <c r="U30" s="118" t="s">
        <v>194</v>
      </c>
      <c r="V30" s="118" t="s">
        <v>194</v>
      </c>
      <c r="W30" s="118" t="s">
        <v>194</v>
      </c>
      <c r="X30" s="118" t="s">
        <v>194</v>
      </c>
      <c r="Y30" s="116" t="s">
        <v>194</v>
      </c>
      <c r="Z30" s="117" t="s">
        <v>194</v>
      </c>
      <c r="AA30" s="117" t="s">
        <v>194</v>
      </c>
      <c r="AB30" s="117" t="s">
        <v>194</v>
      </c>
      <c r="AC30" s="113">
        <v>0</v>
      </c>
      <c r="AD30" s="122">
        <v>0</v>
      </c>
      <c r="AE30" s="113">
        <v>0</v>
      </c>
      <c r="AF30" s="122">
        <v>0</v>
      </c>
      <c r="AG30" s="123" t="s">
        <v>194</v>
      </c>
      <c r="AH30" s="118" t="s">
        <v>194</v>
      </c>
      <c r="AI30" s="113">
        <v>0</v>
      </c>
      <c r="AJ30" s="122">
        <v>0</v>
      </c>
      <c r="AK30" s="118" t="s">
        <v>194</v>
      </c>
      <c r="AL30" s="116">
        <v>0</v>
      </c>
      <c r="AM30" s="117">
        <v>0</v>
      </c>
      <c r="AN30" s="118" t="s">
        <v>194</v>
      </c>
      <c r="AO30" s="116">
        <v>0</v>
      </c>
      <c r="AP30" s="118">
        <v>0</v>
      </c>
      <c r="AQ30" s="122" t="s">
        <v>194</v>
      </c>
      <c r="AR30" s="113">
        <v>0</v>
      </c>
      <c r="AS30" s="117">
        <v>0</v>
      </c>
      <c r="AT30" s="116">
        <v>0</v>
      </c>
      <c r="AU30" s="113">
        <v>1</v>
      </c>
      <c r="AV30" s="122">
        <v>0</v>
      </c>
      <c r="AW30" s="122">
        <v>0</v>
      </c>
      <c r="AX30" s="122">
        <v>0</v>
      </c>
      <c r="AY30" s="123">
        <v>0</v>
      </c>
      <c r="AZ30" s="122">
        <v>0</v>
      </c>
      <c r="BA30" s="114" t="s">
        <v>194</v>
      </c>
      <c r="BB30" s="118" t="s">
        <v>194</v>
      </c>
      <c r="BC30" s="124" t="s">
        <v>194</v>
      </c>
      <c r="BD30" s="74"/>
      <c r="BE30" s="88" t="str">
        <f>IFERROR(_xlfn.XLOOKUP([2]!BaseMaestraCeDi[[#This Row],[CeDi]], '[2]Potencial Hor x CeDi'!$B$6:$BU$6, '[2]Potencial Hor x CeDi'!$B$21:$BU$21) / 1000, "")</f>
        <v/>
      </c>
      <c r="BF30" s="89" t="str">
        <f>IFERROR(_xlfn.XLOOKUP([2]!BaseMaestraCeDi[[#This Row],[CeDi]], '[2]Potencial Hor x CeDi'!$B$6:$BU$6, '[2]Potencial Hor x CeDi'!$B$22:$BU$22) / 1000, "")</f>
        <v/>
      </c>
      <c r="BG30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30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30" s="78" t="str">
        <f>IFERROR(INDEX('[2]Potencial Hor SocioDem x CeDi'!$C$2:$AF$81, MATCH($C30,'[2]Potencial Hor SocioDem x CeDi'!$B$2:$B$81,0), MATCH(BI$4,'[2]Potencial Hor SocioDem x CeDi'!$C$1:$AF$1,0)), "")</f>
        <v/>
      </c>
      <c r="BJ30" s="78" t="str">
        <f>IFERROR(INDEX('[2]Potencial Hor SocioDem x CeDi'!$C$2:$AF$81, MATCH($C30,'[2]Potencial Hor SocioDem x CeDi'!$B$2:$B$81,0), MATCH(BJ$4,'[2]Potencial Hor SocioDem x CeDi'!$C$1:$AF$1,0)), "")</f>
        <v/>
      </c>
      <c r="BK30" s="78" t="str">
        <f>IFERROR(INDEX('[2]Potencial Hor SocioDem x CeDi'!$C$2:$AF$81, MATCH($C30,'[2]Potencial Hor SocioDem x CeDi'!$B$2:$B$81,0), MATCH(BK$4,'[2]Potencial Hor SocioDem x CeDi'!$C$1:$AF$1,0)), "")</f>
        <v/>
      </c>
      <c r="BL30" s="79" t="str">
        <f>IFERROR(INDEX('[2]Potencial Hor SocioDem x CeDi'!$C$2:$AF$81, MATCH($C30,'[2]Potencial Hor SocioDem x CeDi'!$B$2:$B$81,0), MATCH(BL$4,'[2]Potencial Hor SocioDem x CeDi'!$C$1:$AF$1,0)), "")</f>
        <v/>
      </c>
      <c r="BM30" s="79" t="str">
        <f>IFERROR(INDEX('[2]Potencial Hor SocioDem x CeDi'!$C$2:$AF$81, MATCH($C30,'[2]Potencial Hor SocioDem x CeDi'!$B$2:$B$81,0), MATCH(BM$4,'[2]Potencial Hor SocioDem x CeDi'!$C$1:$AF$1,0)), "")</f>
        <v/>
      </c>
      <c r="BN30" s="78" t="str">
        <f>IFERROR(INDEX('[2]Potencial Hor SocioDem x CeDi'!$C$2:$AF$81, MATCH($C30,'[2]Potencial Hor SocioDem x CeDi'!$B$2:$B$81,0), MATCH(BN$4,'[2]Potencial Hor SocioDem x CeDi'!$C$1:$AF$1,0)), "")</f>
        <v/>
      </c>
      <c r="BO30" s="78" t="str">
        <f>IFERROR(INDEX('[2]Potencial Hor SocioDem x CeDi'!$C$2:$AF$81, MATCH($C30,'[2]Potencial Hor SocioDem x CeDi'!$B$2:$B$81,0), MATCH(BO$4,'[2]Potencial Hor SocioDem x CeDi'!$C$1:$AF$1,0)), "")</f>
        <v/>
      </c>
      <c r="BP30" s="78" t="str">
        <f>IFERROR(INDEX('[2]Potencial Hor SocioDem x CeDi'!$C$2:$AF$81, MATCH($C30,'[2]Potencial Hor SocioDem x CeDi'!$B$2:$B$81,0), MATCH(BP$4,'[2]Potencial Hor SocioDem x CeDi'!$C$1:$AF$1,0)), "")</f>
        <v/>
      </c>
      <c r="BQ30" s="80" t="str">
        <f>IFERROR(INDEX('[2]Potencial Hor SocioDem x CeDi'!$C$2:$AF$81, MATCH($C30,'[2]Potencial Hor SocioDem x CeDi'!$B$2:$B$81,0), MATCH(BQ$4,'[2]Potencial Hor SocioDem x CeDi'!$C$1:$AF$1,0)), "")</f>
        <v/>
      </c>
      <c r="BR30" s="80" t="str">
        <f>IFERROR(INDEX('[2]Potencial Hor SocioDem x CeDi'!$C$2:$AF$81, MATCH($C30,'[2]Potencial Hor SocioDem x CeDi'!$B$2:$B$81,0), MATCH(BR$4,'[2]Potencial Hor SocioDem x CeDi'!$C$1:$AF$1,0)), "")</f>
        <v/>
      </c>
      <c r="BS30" s="80" t="str">
        <f>IFERROR(INDEX('[2]Potencial Hor SocioDem x CeDi'!$C$2:$AF$81, MATCH($C30,'[2]Potencial Hor SocioDem x CeDi'!$B$2:$B$81,0), MATCH(BS$4,'[2]Potencial Hor SocioDem x CeDi'!$C$1:$AF$1,0)), "")</f>
        <v/>
      </c>
      <c r="BT30" s="80" t="str">
        <f>IFERROR(INDEX('[2]Potencial Hor SocioDem x CeDi'!$C$2:$AF$81, MATCH($C30,'[2]Potencial Hor SocioDem x CeDi'!$B$2:$B$81,0), MATCH(BT$4,'[2]Potencial Hor SocioDem x CeDi'!$C$1:$AF$1,0)), "")</f>
        <v/>
      </c>
      <c r="BU30" s="80" t="str">
        <f>IFERROR(INDEX('[2]Potencial Hor SocioDem x CeDi'!$C$2:$AF$81, MATCH($C30,'[2]Potencial Hor SocioDem x CeDi'!$B$2:$B$81,0), MATCH(BU$4,'[2]Potencial Hor SocioDem x CeDi'!$C$1:$AF$1,0)), "")</f>
        <v/>
      </c>
      <c r="BV30" s="80" t="str">
        <f>IFERROR(INDEX('[2]Potencial Hor SocioDem x CeDi'!$C$2:$AF$81, MATCH($C30,'[2]Potencial Hor SocioDem x CeDi'!$B$2:$B$81,0), MATCH(BV$4,'[2]Potencial Hor SocioDem x CeDi'!$C$1:$AF$1,0)), "")</f>
        <v/>
      </c>
      <c r="BW30" s="80" t="str">
        <f>IFERROR(INDEX('[2]Potencial Hor SocioDem x CeDi'!$C$2:$AF$81, MATCH($C30,'[2]Potencial Hor SocioDem x CeDi'!$B$2:$B$81,0), MATCH(BW$4,'[2]Potencial Hor SocioDem x CeDi'!$C$1:$AF$1,0)), "")</f>
        <v/>
      </c>
      <c r="BX30" s="80" t="str">
        <f>IFERROR(INDEX('[2]Potencial Hor SocioDem x CeDi'!$C$2:$AF$81, MATCH($C30,'[2]Potencial Hor SocioDem x CeDi'!$B$2:$B$81,0), MATCH(BX$4,'[2]Potencial Hor SocioDem x CeDi'!$C$1:$AF$1,0)), "")</f>
        <v/>
      </c>
      <c r="BY30" s="80" t="str">
        <f>IFERROR(INDEX('[2]Potencial Hor SocioDem x CeDi'!$C$2:$AF$81, MATCH($C30,'[2]Potencial Hor SocioDem x CeDi'!$B$2:$B$81,0), MATCH(BY$4,'[2]Potencial Hor SocioDem x CeDi'!$C$1:$AF$1,0)), "")</f>
        <v/>
      </c>
      <c r="BZ30" s="79" t="str">
        <f>IFERROR(INDEX('[2]Potencial Hor SocioDem x CeDi'!$C$2:$AF$81, MATCH($C30,'[2]Potencial Hor SocioDem x CeDi'!$B$2:$B$81,0), MATCH(BZ$4,'[2]Potencial Hor SocioDem x CeDi'!$C$1:$AF$1,0)), "")</f>
        <v/>
      </c>
      <c r="CA30" s="79" t="str">
        <f>IFERROR(INDEX('[2]Potencial Hor SocioDem x CeDi'!$C$2:$AF$81, MATCH($C30,'[2]Potencial Hor SocioDem x CeDi'!$B$2:$B$81,0), MATCH(CA$4,'[2]Potencial Hor SocioDem x CeDi'!$C$1:$AF$1,0)), "")</f>
        <v/>
      </c>
      <c r="CB30" s="81" t="str">
        <f>IFERROR(INDEX('[2]Potencial Hor SocioDem x CeDi'!$C$2:$AF$81, MATCH($C30,'[2]Potencial Hor SocioDem x CeDi'!$B$2:$B$81,0), MATCH(CB$4,'[2]Potencial Hor SocioDem x CeDi'!$C$1:$AF$1,0)), "")</f>
        <v/>
      </c>
      <c r="CC30" s="82" t="str">
        <f>IFERROR(INDEX('[2]Potencial Hor SocioDem x CeDi'!$C$2:$AF$81, MATCH($C30,'[2]Potencial Hor SocioDem x CeDi'!$B$2:$B$81,0), MATCH(CC$4,'[2]Potencial Hor SocioDem x CeDi'!$C$1:$AF$1,0)), "")</f>
        <v/>
      </c>
      <c r="CD30" s="83" t="str">
        <f>IFERROR(INDEX('[2]Potencial Hor SocioDem x CeDi'!$C$2:$AF$81, MATCH($C30,'[2]Potencial Hor SocioDem x CeDi'!$B$2:$B$81,0), MATCH(CD$4,'[2]Potencial Hor SocioDem x CeDi'!$C$1:$AF$1,0)), "")</f>
        <v/>
      </c>
      <c r="CE30" s="78" t="str">
        <f>IFERROR(_xlfn.XLOOKUP([2]!BaseMaestraCeDi[[#This Row],[CeDi]], '[2]Potencial Hor x CeDi'!$B$6:$BU$6, '[2]Potencial Hor x CeDi'!$B$50:$BU$50), "")</f>
        <v/>
      </c>
      <c r="CF30" s="90" t="str">
        <f>IFERROR(_xlfn.XLOOKUP([2]!BaseMaestraCeDi[[#This Row],[CeDi]], '[2]Potencial Hor x CeDi'!$B$6:$BU$6, '[2]Potencial Hor x CeDi'!$B$34:$BU$34), "")</f>
        <v/>
      </c>
      <c r="CG30" s="90" t="str">
        <f>IFERROR(_xlfn.XLOOKUP([2]!BaseMaestraCeDi[[#This Row],[CeDi]], '[2]Potencial Hor x CeDi'!$B$6:$BU$6, '[2]Potencial Hor x CeDi'!$B$64:$BU$64), "")</f>
        <v/>
      </c>
      <c r="CH30" s="91" t="str">
        <f>IFERROR(_xlfn.XLOOKUP([2]!BaseMaestraCeDi[[#This Row],[CeDi]], '[2]Potencial Hor x CeDi'!$B$6:$BU$6, '[2]Potencial Hor x CeDi'!$B$38:$BU$38), "")</f>
        <v/>
      </c>
      <c r="CI30" s="90" t="str">
        <f>IFERROR(_xlfn.XLOOKUP([2]!BaseMaestraCeDi[[#This Row],[CeDi]], '[2]Potencial Hor x CeDi'!$B$6:$BU$6, '[2]Potencial Hor x CeDi'!$B$26:$BU$26), "")</f>
        <v/>
      </c>
      <c r="CJ30" s="92" t="str">
        <f>IFERROR(_xlfn.XLOOKUP([2]!BaseMaestraCeDi[[#This Row],[CeDi]], '[2]Potencial Hor x CeDi'!$B$6:$BU$6, '[2]Potencial Hor x CeDi'!$B$27:$BU$27), "")</f>
        <v/>
      </c>
      <c r="CK30" s="90" t="str">
        <f>IFERROR(_xlfn.XLOOKUP([2]!BaseMaestraCeDi[[#This Row],[CeDi]], '[2]Potencial Hor x CeDi'!$B$6:$BU$6, '[2]Potencial Hor x CeDi'!$B$28:$BU$28), "")</f>
        <v/>
      </c>
      <c r="CL30" s="92" t="str">
        <f>IFERROR(_xlfn.XLOOKUP([2]!BaseMaestraCeDi[[#This Row],[CeDi]], '[2]Potencial Hor x CeDi'!$B$6:$BU$6, '[2]Potencial Hor x CeDi'!$B$29:$BU$29), "")</f>
        <v/>
      </c>
      <c r="CM30" s="93" t="str">
        <f>IFERROR(_xlfn.XLOOKUP([2]!BaseMaestraCeDi[[#This Row],[CeDi]], '[2]Potencial Hor x CeDi'!$B$6:$BU$6, '[2]Potencial Hor x CeDi'!$B$39:$BU$39), "")</f>
        <v/>
      </c>
      <c r="CN30" s="94" t="str">
        <f>IFERROR(_xlfn.XLOOKUP([2]!BaseMaestraCeDi[[#This Row],[CeDi]], '[2]Potencial Hor x CeDi'!$B$6:$BU$6, '[2]Potencial Hor x CeDi'!$B$43:$BU$43), "")</f>
        <v/>
      </c>
      <c r="CO30" s="94" t="str">
        <f>IFERROR(_xlfn.XLOOKUP([2]!BaseMaestraCeDi[[#This Row],[CeDi]], '[2]Potencial Hor x CeDi'!$B$6:$BU$6, '[2]Potencial Hor x CeDi'!$B$46:$BU$46), "")</f>
        <v/>
      </c>
      <c r="CP30" s="86" t="str">
        <f>IFERROR(_xlfn.XLOOKUP([2]!BaseMaestraCeDi[[#This Row],[CeDi]], '[2]Potencial Hor x CeDi'!$B$6:$BU$6, '[2]Potencial Hor x CeDi'!$B$51:$BU$51), "")</f>
        <v/>
      </c>
      <c r="CQ30" s="82" t="str">
        <f>IFERROR(_xlfn.XLOOKUP([2]!BaseMaestraCeDi[[#This Row],[CeDi]], '[2]Potencial Hor x CeDi'!$B$6:$BU$6, '[2]Potencial Hor x CeDi'!$B$52:$BU$52), "")</f>
        <v/>
      </c>
      <c r="CR30" s="82" t="str">
        <f>IFERROR(_xlfn.XLOOKUP([2]!BaseMaestraCeDi[[#This Row],[CeDi]], '[2]Potencial Hor x CeDi'!$B$6:$BU$6, '[2]Potencial Hor x CeDi'!$B$53:$BU$53), "")</f>
        <v/>
      </c>
      <c r="CS30" s="87" t="str">
        <f>IFERROR(_xlfn.XLOOKUP([2]!BaseMaestraCeDi[[#This Row],[CeDi]], '[2]Potencial Hor x CeDi'!$B$6:$BU$6, '[2]Potencial Hor x CeDi'!$B$60:$BU$60), "")</f>
        <v/>
      </c>
      <c r="CT30" s="90" t="str">
        <f>IFERROR(_xlfn.XLOOKUP([2]!BaseMaestraCeDi[[#This Row],[CeDi]], '[2]Potencial Hor x CeDi'!$B$6:$BU$6, '[2]Potencial Hor x CeDi'!$B$65:$BU$65), "")</f>
        <v/>
      </c>
      <c r="CU30" s="90" t="str">
        <f>IFERROR(_xlfn.XLOOKUP([2]!BaseMaestraCeDi[[#This Row],[CeDi]], '[2]Potencial Hor x CeDi'!$B$6:$BU$6, '[2]Potencial Hor x CeDi'!$B$68:$BU$68), "")</f>
        <v/>
      </c>
      <c r="CV30" s="95" t="str">
        <f>IFERROR(_xlfn.XLOOKUP([2]!BaseMaestraCeDi[[#This Row],[CeDi]], '[2]Potencial Hor x CeDi'!$B$6:$BU$6, '[2]Potencial Hor x CeDi'!$B$71:$BU$71), "")</f>
        <v/>
      </c>
    </row>
    <row r="31" spans="1:100">
      <c r="A31" s="100" t="s">
        <v>93</v>
      </c>
      <c r="B31" s="100" t="s">
        <v>414</v>
      </c>
      <c r="C31" s="100" t="s">
        <v>431</v>
      </c>
      <c r="D31" s="101">
        <v>4</v>
      </c>
      <c r="E31" s="102">
        <v>443.96571715278054</v>
      </c>
      <c r="F31" s="103">
        <v>25.057791837188571</v>
      </c>
      <c r="G31" s="103">
        <v>469.02350898996912</v>
      </c>
      <c r="H31" s="104">
        <v>2035.3704269532429</v>
      </c>
      <c r="I31" s="105">
        <v>2393.5469450662481</v>
      </c>
      <c r="J31" s="105">
        <v>557.71580867906198</v>
      </c>
      <c r="K31" s="105">
        <v>4986.6331806985536</v>
      </c>
      <c r="L31" s="104">
        <v>9053.8419379558181</v>
      </c>
      <c r="M31" s="106">
        <v>0.55077537413077904</v>
      </c>
      <c r="N31" s="107" t="s">
        <v>160</v>
      </c>
      <c r="O31" s="102">
        <v>60.369565217391305</v>
      </c>
      <c r="P31" s="103">
        <v>1</v>
      </c>
      <c r="Q31" s="103">
        <v>1</v>
      </c>
      <c r="R31" s="108">
        <v>4</v>
      </c>
      <c r="S31" s="107">
        <v>32</v>
      </c>
      <c r="T31" s="125">
        <v>0.95216571446606968</v>
      </c>
      <c r="U31" s="106">
        <v>4.7834285533930321E-2</v>
      </c>
      <c r="V31" s="106">
        <v>0.69447880157743724</v>
      </c>
      <c r="W31" s="106">
        <v>0.3055211984225627</v>
      </c>
      <c r="X31" s="106">
        <v>0</v>
      </c>
      <c r="Y31" s="104">
        <v>6287.701298743099</v>
      </c>
      <c r="Z31" s="105">
        <v>2766.1406392127192</v>
      </c>
      <c r="AA31" s="105">
        <v>0</v>
      </c>
      <c r="AB31" s="105">
        <v>93070.260416666672</v>
      </c>
      <c r="AC31" s="101">
        <v>4</v>
      </c>
      <c r="AD31" s="109">
        <v>3</v>
      </c>
      <c r="AE31" s="101">
        <v>105526</v>
      </c>
      <c r="AF31" s="109">
        <v>73880</v>
      </c>
      <c r="AG31" s="110">
        <v>0.70011182078350365</v>
      </c>
      <c r="AH31" s="106">
        <v>0.72882545853387515</v>
      </c>
      <c r="AI31" s="101">
        <v>4398.8382714249346</v>
      </c>
      <c r="AJ31" s="109">
        <v>2199.4191357124673</v>
      </c>
      <c r="AK31" s="106">
        <v>0.72095425900453414</v>
      </c>
      <c r="AL31" s="104">
        <v>12994021.82</v>
      </c>
      <c r="AM31" s="105">
        <v>453223.05146867782</v>
      </c>
      <c r="AN31" s="106">
        <v>3.4879351269911735E-2</v>
      </c>
      <c r="AO31" s="104">
        <v>318481.06319420604</v>
      </c>
      <c r="AP31" s="106">
        <v>1.4488004951670843E-3</v>
      </c>
      <c r="AQ31" s="109">
        <v>37</v>
      </c>
      <c r="AR31" s="101">
        <v>3</v>
      </c>
      <c r="AS31" s="105">
        <v>561844.51272879739</v>
      </c>
      <c r="AT31" s="104">
        <v>880325.57592300349</v>
      </c>
      <c r="AU31" s="101">
        <v>4</v>
      </c>
      <c r="AV31" s="109">
        <v>0</v>
      </c>
      <c r="AW31" s="109">
        <v>0</v>
      </c>
      <c r="AX31" s="109">
        <v>4</v>
      </c>
      <c r="AY31" s="110">
        <v>0</v>
      </c>
      <c r="AZ31" s="109">
        <v>9419.5300358436743</v>
      </c>
      <c r="BA31" s="102">
        <v>60.369565217391333</v>
      </c>
      <c r="BB31" s="106">
        <v>0.69625243070375564</v>
      </c>
      <c r="BC31" s="111">
        <v>379.93928979405001</v>
      </c>
      <c r="BD31" s="74"/>
      <c r="BE31" s="88" t="str">
        <f>IFERROR(_xlfn.XLOOKUP([2]!BaseMaestraCeDi[[#This Row],[CeDi]], '[2]Potencial Hor x CeDi'!$B$6:$BU$6, '[2]Potencial Hor x CeDi'!$B$21:$BU$21) / 1000, "")</f>
        <v/>
      </c>
      <c r="BF31" s="89" t="str">
        <f>IFERROR(_xlfn.XLOOKUP([2]!BaseMaestraCeDi[[#This Row],[CeDi]], '[2]Potencial Hor x CeDi'!$B$6:$BU$6, '[2]Potencial Hor x CeDi'!$B$22:$BU$22) / 1000, "")</f>
        <v/>
      </c>
      <c r="BG31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31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31" s="78" t="str">
        <f>IFERROR(INDEX('[2]Potencial Hor SocioDem x CeDi'!$C$2:$AF$81, MATCH($C31,'[2]Potencial Hor SocioDem x CeDi'!$B$2:$B$81,0), MATCH(BI$4,'[2]Potencial Hor SocioDem x CeDi'!$C$1:$AF$1,0)), "")</f>
        <v/>
      </c>
      <c r="BJ31" s="78" t="str">
        <f>IFERROR(INDEX('[2]Potencial Hor SocioDem x CeDi'!$C$2:$AF$81, MATCH($C31,'[2]Potencial Hor SocioDem x CeDi'!$B$2:$B$81,0), MATCH(BJ$4,'[2]Potencial Hor SocioDem x CeDi'!$C$1:$AF$1,0)), "")</f>
        <v/>
      </c>
      <c r="BK31" s="78" t="str">
        <f>IFERROR(INDEX('[2]Potencial Hor SocioDem x CeDi'!$C$2:$AF$81, MATCH($C31,'[2]Potencial Hor SocioDem x CeDi'!$B$2:$B$81,0), MATCH(BK$4,'[2]Potencial Hor SocioDem x CeDi'!$C$1:$AF$1,0)), "")</f>
        <v/>
      </c>
      <c r="BL31" s="79" t="str">
        <f>IFERROR(INDEX('[2]Potencial Hor SocioDem x CeDi'!$C$2:$AF$81, MATCH($C31,'[2]Potencial Hor SocioDem x CeDi'!$B$2:$B$81,0), MATCH(BL$4,'[2]Potencial Hor SocioDem x CeDi'!$C$1:$AF$1,0)), "")</f>
        <v/>
      </c>
      <c r="BM31" s="79" t="str">
        <f>IFERROR(INDEX('[2]Potencial Hor SocioDem x CeDi'!$C$2:$AF$81, MATCH($C31,'[2]Potencial Hor SocioDem x CeDi'!$B$2:$B$81,0), MATCH(BM$4,'[2]Potencial Hor SocioDem x CeDi'!$C$1:$AF$1,0)), "")</f>
        <v/>
      </c>
      <c r="BN31" s="78" t="str">
        <f>IFERROR(INDEX('[2]Potencial Hor SocioDem x CeDi'!$C$2:$AF$81, MATCH($C31,'[2]Potencial Hor SocioDem x CeDi'!$B$2:$B$81,0), MATCH(BN$4,'[2]Potencial Hor SocioDem x CeDi'!$C$1:$AF$1,0)), "")</f>
        <v/>
      </c>
      <c r="BO31" s="78" t="str">
        <f>IFERROR(INDEX('[2]Potencial Hor SocioDem x CeDi'!$C$2:$AF$81, MATCH($C31,'[2]Potencial Hor SocioDem x CeDi'!$B$2:$B$81,0), MATCH(BO$4,'[2]Potencial Hor SocioDem x CeDi'!$C$1:$AF$1,0)), "")</f>
        <v/>
      </c>
      <c r="BP31" s="78" t="str">
        <f>IFERROR(INDEX('[2]Potencial Hor SocioDem x CeDi'!$C$2:$AF$81, MATCH($C31,'[2]Potencial Hor SocioDem x CeDi'!$B$2:$B$81,0), MATCH(BP$4,'[2]Potencial Hor SocioDem x CeDi'!$C$1:$AF$1,0)), "")</f>
        <v/>
      </c>
      <c r="BQ31" s="80" t="str">
        <f>IFERROR(INDEX('[2]Potencial Hor SocioDem x CeDi'!$C$2:$AF$81, MATCH($C31,'[2]Potencial Hor SocioDem x CeDi'!$B$2:$B$81,0), MATCH(BQ$4,'[2]Potencial Hor SocioDem x CeDi'!$C$1:$AF$1,0)), "")</f>
        <v/>
      </c>
      <c r="BR31" s="80" t="str">
        <f>IFERROR(INDEX('[2]Potencial Hor SocioDem x CeDi'!$C$2:$AF$81, MATCH($C31,'[2]Potencial Hor SocioDem x CeDi'!$B$2:$B$81,0), MATCH(BR$4,'[2]Potencial Hor SocioDem x CeDi'!$C$1:$AF$1,0)), "")</f>
        <v/>
      </c>
      <c r="BS31" s="80" t="str">
        <f>IFERROR(INDEX('[2]Potencial Hor SocioDem x CeDi'!$C$2:$AF$81, MATCH($C31,'[2]Potencial Hor SocioDem x CeDi'!$B$2:$B$81,0), MATCH(BS$4,'[2]Potencial Hor SocioDem x CeDi'!$C$1:$AF$1,0)), "")</f>
        <v/>
      </c>
      <c r="BT31" s="80" t="str">
        <f>IFERROR(INDEX('[2]Potencial Hor SocioDem x CeDi'!$C$2:$AF$81, MATCH($C31,'[2]Potencial Hor SocioDem x CeDi'!$B$2:$B$81,0), MATCH(BT$4,'[2]Potencial Hor SocioDem x CeDi'!$C$1:$AF$1,0)), "")</f>
        <v/>
      </c>
      <c r="BU31" s="80" t="str">
        <f>IFERROR(INDEX('[2]Potencial Hor SocioDem x CeDi'!$C$2:$AF$81, MATCH($C31,'[2]Potencial Hor SocioDem x CeDi'!$B$2:$B$81,0), MATCH(BU$4,'[2]Potencial Hor SocioDem x CeDi'!$C$1:$AF$1,0)), "")</f>
        <v/>
      </c>
      <c r="BV31" s="80" t="str">
        <f>IFERROR(INDEX('[2]Potencial Hor SocioDem x CeDi'!$C$2:$AF$81, MATCH($C31,'[2]Potencial Hor SocioDem x CeDi'!$B$2:$B$81,0), MATCH(BV$4,'[2]Potencial Hor SocioDem x CeDi'!$C$1:$AF$1,0)), "")</f>
        <v/>
      </c>
      <c r="BW31" s="80" t="str">
        <f>IFERROR(INDEX('[2]Potencial Hor SocioDem x CeDi'!$C$2:$AF$81, MATCH($C31,'[2]Potencial Hor SocioDem x CeDi'!$B$2:$B$81,0), MATCH(BW$4,'[2]Potencial Hor SocioDem x CeDi'!$C$1:$AF$1,0)), "")</f>
        <v/>
      </c>
      <c r="BX31" s="80" t="str">
        <f>IFERROR(INDEX('[2]Potencial Hor SocioDem x CeDi'!$C$2:$AF$81, MATCH($C31,'[2]Potencial Hor SocioDem x CeDi'!$B$2:$B$81,0), MATCH(BX$4,'[2]Potencial Hor SocioDem x CeDi'!$C$1:$AF$1,0)), "")</f>
        <v/>
      </c>
      <c r="BY31" s="80" t="str">
        <f>IFERROR(INDEX('[2]Potencial Hor SocioDem x CeDi'!$C$2:$AF$81, MATCH($C31,'[2]Potencial Hor SocioDem x CeDi'!$B$2:$B$81,0), MATCH(BY$4,'[2]Potencial Hor SocioDem x CeDi'!$C$1:$AF$1,0)), "")</f>
        <v/>
      </c>
      <c r="BZ31" s="79" t="str">
        <f>IFERROR(INDEX('[2]Potencial Hor SocioDem x CeDi'!$C$2:$AF$81, MATCH($C31,'[2]Potencial Hor SocioDem x CeDi'!$B$2:$B$81,0), MATCH(BZ$4,'[2]Potencial Hor SocioDem x CeDi'!$C$1:$AF$1,0)), "")</f>
        <v/>
      </c>
      <c r="CA31" s="79" t="str">
        <f>IFERROR(INDEX('[2]Potencial Hor SocioDem x CeDi'!$C$2:$AF$81, MATCH($C31,'[2]Potencial Hor SocioDem x CeDi'!$B$2:$B$81,0), MATCH(CA$4,'[2]Potencial Hor SocioDem x CeDi'!$C$1:$AF$1,0)), "")</f>
        <v/>
      </c>
      <c r="CB31" s="81" t="str">
        <f>IFERROR(INDEX('[2]Potencial Hor SocioDem x CeDi'!$C$2:$AF$81, MATCH($C31,'[2]Potencial Hor SocioDem x CeDi'!$B$2:$B$81,0), MATCH(CB$4,'[2]Potencial Hor SocioDem x CeDi'!$C$1:$AF$1,0)), "")</f>
        <v/>
      </c>
      <c r="CC31" s="82" t="str">
        <f>IFERROR(INDEX('[2]Potencial Hor SocioDem x CeDi'!$C$2:$AF$81, MATCH($C31,'[2]Potencial Hor SocioDem x CeDi'!$B$2:$B$81,0), MATCH(CC$4,'[2]Potencial Hor SocioDem x CeDi'!$C$1:$AF$1,0)), "")</f>
        <v/>
      </c>
      <c r="CD31" s="83" t="str">
        <f>IFERROR(INDEX('[2]Potencial Hor SocioDem x CeDi'!$C$2:$AF$81, MATCH($C31,'[2]Potencial Hor SocioDem x CeDi'!$B$2:$B$81,0), MATCH(CD$4,'[2]Potencial Hor SocioDem x CeDi'!$C$1:$AF$1,0)), "")</f>
        <v/>
      </c>
      <c r="CE31" s="78" t="str">
        <f>IFERROR(_xlfn.XLOOKUP([2]!BaseMaestraCeDi[[#This Row],[CeDi]], '[2]Potencial Hor x CeDi'!$B$6:$BU$6, '[2]Potencial Hor x CeDi'!$B$50:$BU$50), "")</f>
        <v/>
      </c>
      <c r="CF31" s="90" t="str">
        <f>IFERROR(_xlfn.XLOOKUP([2]!BaseMaestraCeDi[[#This Row],[CeDi]], '[2]Potencial Hor x CeDi'!$B$6:$BU$6, '[2]Potencial Hor x CeDi'!$B$34:$BU$34), "")</f>
        <v/>
      </c>
      <c r="CG31" s="90" t="str">
        <f>IFERROR(_xlfn.XLOOKUP([2]!BaseMaestraCeDi[[#This Row],[CeDi]], '[2]Potencial Hor x CeDi'!$B$6:$BU$6, '[2]Potencial Hor x CeDi'!$B$64:$BU$64), "")</f>
        <v/>
      </c>
      <c r="CH31" s="91" t="str">
        <f>IFERROR(_xlfn.XLOOKUP([2]!BaseMaestraCeDi[[#This Row],[CeDi]], '[2]Potencial Hor x CeDi'!$B$6:$BU$6, '[2]Potencial Hor x CeDi'!$B$38:$BU$38), "")</f>
        <v/>
      </c>
      <c r="CI31" s="90" t="str">
        <f>IFERROR(_xlfn.XLOOKUP([2]!BaseMaestraCeDi[[#This Row],[CeDi]], '[2]Potencial Hor x CeDi'!$B$6:$BU$6, '[2]Potencial Hor x CeDi'!$B$26:$BU$26), "")</f>
        <v/>
      </c>
      <c r="CJ31" s="92" t="str">
        <f>IFERROR(_xlfn.XLOOKUP([2]!BaseMaestraCeDi[[#This Row],[CeDi]], '[2]Potencial Hor x CeDi'!$B$6:$BU$6, '[2]Potencial Hor x CeDi'!$B$27:$BU$27), "")</f>
        <v/>
      </c>
      <c r="CK31" s="90" t="str">
        <f>IFERROR(_xlfn.XLOOKUP([2]!BaseMaestraCeDi[[#This Row],[CeDi]], '[2]Potencial Hor x CeDi'!$B$6:$BU$6, '[2]Potencial Hor x CeDi'!$B$28:$BU$28), "")</f>
        <v/>
      </c>
      <c r="CL31" s="92" t="str">
        <f>IFERROR(_xlfn.XLOOKUP([2]!BaseMaestraCeDi[[#This Row],[CeDi]], '[2]Potencial Hor x CeDi'!$B$6:$BU$6, '[2]Potencial Hor x CeDi'!$B$29:$BU$29), "")</f>
        <v/>
      </c>
      <c r="CM31" s="93" t="str">
        <f>IFERROR(_xlfn.XLOOKUP([2]!BaseMaestraCeDi[[#This Row],[CeDi]], '[2]Potencial Hor x CeDi'!$B$6:$BU$6, '[2]Potencial Hor x CeDi'!$B$39:$BU$39), "")</f>
        <v/>
      </c>
      <c r="CN31" s="94" t="str">
        <f>IFERROR(_xlfn.XLOOKUP([2]!BaseMaestraCeDi[[#This Row],[CeDi]], '[2]Potencial Hor x CeDi'!$B$6:$BU$6, '[2]Potencial Hor x CeDi'!$B$43:$BU$43), "")</f>
        <v/>
      </c>
      <c r="CO31" s="94" t="str">
        <f>IFERROR(_xlfn.XLOOKUP([2]!BaseMaestraCeDi[[#This Row],[CeDi]], '[2]Potencial Hor x CeDi'!$B$6:$BU$6, '[2]Potencial Hor x CeDi'!$B$46:$BU$46), "")</f>
        <v/>
      </c>
      <c r="CP31" s="86" t="str">
        <f>IFERROR(_xlfn.XLOOKUP([2]!BaseMaestraCeDi[[#This Row],[CeDi]], '[2]Potencial Hor x CeDi'!$B$6:$BU$6, '[2]Potencial Hor x CeDi'!$B$51:$BU$51), "")</f>
        <v/>
      </c>
      <c r="CQ31" s="82" t="str">
        <f>IFERROR(_xlfn.XLOOKUP([2]!BaseMaestraCeDi[[#This Row],[CeDi]], '[2]Potencial Hor x CeDi'!$B$6:$BU$6, '[2]Potencial Hor x CeDi'!$B$52:$BU$52), "")</f>
        <v/>
      </c>
      <c r="CR31" s="82" t="str">
        <f>IFERROR(_xlfn.XLOOKUP([2]!BaseMaestraCeDi[[#This Row],[CeDi]], '[2]Potencial Hor x CeDi'!$B$6:$BU$6, '[2]Potencial Hor x CeDi'!$B$53:$BU$53), "")</f>
        <v/>
      </c>
      <c r="CS31" s="87" t="str">
        <f>IFERROR(_xlfn.XLOOKUP([2]!BaseMaestraCeDi[[#This Row],[CeDi]], '[2]Potencial Hor x CeDi'!$B$6:$BU$6, '[2]Potencial Hor x CeDi'!$B$60:$BU$60), "")</f>
        <v/>
      </c>
      <c r="CT31" s="90" t="str">
        <f>IFERROR(_xlfn.XLOOKUP([2]!BaseMaestraCeDi[[#This Row],[CeDi]], '[2]Potencial Hor x CeDi'!$B$6:$BU$6, '[2]Potencial Hor x CeDi'!$B$65:$BU$65), "")</f>
        <v/>
      </c>
      <c r="CU31" s="90" t="str">
        <f>IFERROR(_xlfn.XLOOKUP([2]!BaseMaestraCeDi[[#This Row],[CeDi]], '[2]Potencial Hor x CeDi'!$B$6:$BU$6, '[2]Potencial Hor x CeDi'!$B$68:$BU$68), "")</f>
        <v/>
      </c>
      <c r="CV31" s="95" t="str">
        <f>IFERROR(_xlfn.XLOOKUP([2]!BaseMaestraCeDi[[#This Row],[CeDi]], '[2]Potencial Hor x CeDi'!$B$6:$BU$6, '[2]Potencial Hor x CeDi'!$B$71:$BU$71), "")</f>
        <v/>
      </c>
    </row>
    <row r="32" spans="1:100">
      <c r="A32" s="112" t="s">
        <v>93</v>
      </c>
      <c r="B32" s="112" t="s">
        <v>320</v>
      </c>
      <c r="C32" s="112" t="s">
        <v>436</v>
      </c>
      <c r="D32" s="113" t="s">
        <v>194</v>
      </c>
      <c r="E32" s="114" t="s">
        <v>194</v>
      </c>
      <c r="F32" s="115" t="s">
        <v>194</v>
      </c>
      <c r="G32" s="115" t="s">
        <v>194</v>
      </c>
      <c r="H32" s="116" t="s">
        <v>194</v>
      </c>
      <c r="I32" s="117" t="s">
        <v>194</v>
      </c>
      <c r="J32" s="117" t="s">
        <v>194</v>
      </c>
      <c r="K32" s="117" t="s">
        <v>194</v>
      </c>
      <c r="L32" s="116" t="s">
        <v>194</v>
      </c>
      <c r="M32" s="118" t="s">
        <v>194</v>
      </c>
      <c r="N32" s="119" t="s">
        <v>194</v>
      </c>
      <c r="O32" s="114" t="s">
        <v>194</v>
      </c>
      <c r="P32" s="115" t="s">
        <v>194</v>
      </c>
      <c r="Q32" s="115" t="s">
        <v>194</v>
      </c>
      <c r="R32" s="120" t="s">
        <v>194</v>
      </c>
      <c r="S32" s="119" t="s">
        <v>194</v>
      </c>
      <c r="T32" s="121" t="s">
        <v>194</v>
      </c>
      <c r="U32" s="118" t="s">
        <v>194</v>
      </c>
      <c r="V32" s="118" t="s">
        <v>194</v>
      </c>
      <c r="W32" s="118" t="s">
        <v>194</v>
      </c>
      <c r="X32" s="118" t="s">
        <v>194</v>
      </c>
      <c r="Y32" s="116" t="s">
        <v>194</v>
      </c>
      <c r="Z32" s="117" t="s">
        <v>194</v>
      </c>
      <c r="AA32" s="117" t="s">
        <v>194</v>
      </c>
      <c r="AB32" s="117" t="s">
        <v>194</v>
      </c>
      <c r="AC32" s="113">
        <v>0</v>
      </c>
      <c r="AD32" s="122">
        <v>0</v>
      </c>
      <c r="AE32" s="113">
        <v>0</v>
      </c>
      <c r="AF32" s="122">
        <v>0</v>
      </c>
      <c r="AG32" s="123" t="s">
        <v>194</v>
      </c>
      <c r="AH32" s="118" t="s">
        <v>194</v>
      </c>
      <c r="AI32" s="113">
        <v>0</v>
      </c>
      <c r="AJ32" s="122">
        <v>0</v>
      </c>
      <c r="AK32" s="118" t="s">
        <v>194</v>
      </c>
      <c r="AL32" s="116">
        <v>0</v>
      </c>
      <c r="AM32" s="117">
        <v>0</v>
      </c>
      <c r="AN32" s="118" t="s">
        <v>194</v>
      </c>
      <c r="AO32" s="116">
        <v>0</v>
      </c>
      <c r="AP32" s="118">
        <v>0</v>
      </c>
      <c r="AQ32" s="122" t="s">
        <v>194</v>
      </c>
      <c r="AR32" s="113">
        <v>0</v>
      </c>
      <c r="AS32" s="117">
        <v>0</v>
      </c>
      <c r="AT32" s="116">
        <v>0</v>
      </c>
      <c r="AU32" s="113">
        <v>1</v>
      </c>
      <c r="AV32" s="122">
        <v>0</v>
      </c>
      <c r="AW32" s="122">
        <v>0</v>
      </c>
      <c r="AX32" s="122">
        <v>0</v>
      </c>
      <c r="AY32" s="123">
        <v>0</v>
      </c>
      <c r="AZ32" s="122">
        <v>0</v>
      </c>
      <c r="BA32" s="114" t="s">
        <v>194</v>
      </c>
      <c r="BB32" s="118" t="s">
        <v>194</v>
      </c>
      <c r="BC32" s="124" t="s">
        <v>194</v>
      </c>
      <c r="BD32" s="74"/>
      <c r="BE32" s="88" t="str">
        <f>IFERROR(_xlfn.XLOOKUP([2]!BaseMaestraCeDi[[#This Row],[CeDi]], '[2]Potencial Hor x CeDi'!$B$6:$BU$6, '[2]Potencial Hor x CeDi'!$B$21:$BU$21) / 1000, "")</f>
        <v/>
      </c>
      <c r="BF32" s="89" t="str">
        <f>IFERROR(_xlfn.XLOOKUP([2]!BaseMaestraCeDi[[#This Row],[CeDi]], '[2]Potencial Hor x CeDi'!$B$6:$BU$6, '[2]Potencial Hor x CeDi'!$B$22:$BU$22) / 1000, "")</f>
        <v/>
      </c>
      <c r="BG32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32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32" s="78" t="str">
        <f>IFERROR(INDEX('[2]Potencial Hor SocioDem x CeDi'!$C$2:$AF$81, MATCH($C32,'[2]Potencial Hor SocioDem x CeDi'!$B$2:$B$81,0), MATCH(BI$4,'[2]Potencial Hor SocioDem x CeDi'!$C$1:$AF$1,0)), "")</f>
        <v/>
      </c>
      <c r="BJ32" s="78" t="str">
        <f>IFERROR(INDEX('[2]Potencial Hor SocioDem x CeDi'!$C$2:$AF$81, MATCH($C32,'[2]Potencial Hor SocioDem x CeDi'!$B$2:$B$81,0), MATCH(BJ$4,'[2]Potencial Hor SocioDem x CeDi'!$C$1:$AF$1,0)), "")</f>
        <v/>
      </c>
      <c r="BK32" s="78" t="str">
        <f>IFERROR(INDEX('[2]Potencial Hor SocioDem x CeDi'!$C$2:$AF$81, MATCH($C32,'[2]Potencial Hor SocioDem x CeDi'!$B$2:$B$81,0), MATCH(BK$4,'[2]Potencial Hor SocioDem x CeDi'!$C$1:$AF$1,0)), "")</f>
        <v/>
      </c>
      <c r="BL32" s="79" t="str">
        <f>IFERROR(INDEX('[2]Potencial Hor SocioDem x CeDi'!$C$2:$AF$81, MATCH($C32,'[2]Potencial Hor SocioDem x CeDi'!$B$2:$B$81,0), MATCH(BL$4,'[2]Potencial Hor SocioDem x CeDi'!$C$1:$AF$1,0)), "")</f>
        <v/>
      </c>
      <c r="BM32" s="79" t="str">
        <f>IFERROR(INDEX('[2]Potencial Hor SocioDem x CeDi'!$C$2:$AF$81, MATCH($C32,'[2]Potencial Hor SocioDem x CeDi'!$B$2:$B$81,0), MATCH(BM$4,'[2]Potencial Hor SocioDem x CeDi'!$C$1:$AF$1,0)), "")</f>
        <v/>
      </c>
      <c r="BN32" s="78" t="str">
        <f>IFERROR(INDEX('[2]Potencial Hor SocioDem x CeDi'!$C$2:$AF$81, MATCH($C32,'[2]Potencial Hor SocioDem x CeDi'!$B$2:$B$81,0), MATCH(BN$4,'[2]Potencial Hor SocioDem x CeDi'!$C$1:$AF$1,0)), "")</f>
        <v/>
      </c>
      <c r="BO32" s="78" t="str">
        <f>IFERROR(INDEX('[2]Potencial Hor SocioDem x CeDi'!$C$2:$AF$81, MATCH($C32,'[2]Potencial Hor SocioDem x CeDi'!$B$2:$B$81,0), MATCH(BO$4,'[2]Potencial Hor SocioDem x CeDi'!$C$1:$AF$1,0)), "")</f>
        <v/>
      </c>
      <c r="BP32" s="78" t="str">
        <f>IFERROR(INDEX('[2]Potencial Hor SocioDem x CeDi'!$C$2:$AF$81, MATCH($C32,'[2]Potencial Hor SocioDem x CeDi'!$B$2:$B$81,0), MATCH(BP$4,'[2]Potencial Hor SocioDem x CeDi'!$C$1:$AF$1,0)), "")</f>
        <v/>
      </c>
      <c r="BQ32" s="80" t="str">
        <f>IFERROR(INDEX('[2]Potencial Hor SocioDem x CeDi'!$C$2:$AF$81, MATCH($C32,'[2]Potencial Hor SocioDem x CeDi'!$B$2:$B$81,0), MATCH(BQ$4,'[2]Potencial Hor SocioDem x CeDi'!$C$1:$AF$1,0)), "")</f>
        <v/>
      </c>
      <c r="BR32" s="80" t="str">
        <f>IFERROR(INDEX('[2]Potencial Hor SocioDem x CeDi'!$C$2:$AF$81, MATCH($C32,'[2]Potencial Hor SocioDem x CeDi'!$B$2:$B$81,0), MATCH(BR$4,'[2]Potencial Hor SocioDem x CeDi'!$C$1:$AF$1,0)), "")</f>
        <v/>
      </c>
      <c r="BS32" s="80" t="str">
        <f>IFERROR(INDEX('[2]Potencial Hor SocioDem x CeDi'!$C$2:$AF$81, MATCH($C32,'[2]Potencial Hor SocioDem x CeDi'!$B$2:$B$81,0), MATCH(BS$4,'[2]Potencial Hor SocioDem x CeDi'!$C$1:$AF$1,0)), "")</f>
        <v/>
      </c>
      <c r="BT32" s="80" t="str">
        <f>IFERROR(INDEX('[2]Potencial Hor SocioDem x CeDi'!$C$2:$AF$81, MATCH($C32,'[2]Potencial Hor SocioDem x CeDi'!$B$2:$B$81,0), MATCH(BT$4,'[2]Potencial Hor SocioDem x CeDi'!$C$1:$AF$1,0)), "")</f>
        <v/>
      </c>
      <c r="BU32" s="80" t="str">
        <f>IFERROR(INDEX('[2]Potencial Hor SocioDem x CeDi'!$C$2:$AF$81, MATCH($C32,'[2]Potencial Hor SocioDem x CeDi'!$B$2:$B$81,0), MATCH(BU$4,'[2]Potencial Hor SocioDem x CeDi'!$C$1:$AF$1,0)), "")</f>
        <v/>
      </c>
      <c r="BV32" s="80" t="str">
        <f>IFERROR(INDEX('[2]Potencial Hor SocioDem x CeDi'!$C$2:$AF$81, MATCH($C32,'[2]Potencial Hor SocioDem x CeDi'!$B$2:$B$81,0), MATCH(BV$4,'[2]Potencial Hor SocioDem x CeDi'!$C$1:$AF$1,0)), "")</f>
        <v/>
      </c>
      <c r="BW32" s="80" t="str">
        <f>IFERROR(INDEX('[2]Potencial Hor SocioDem x CeDi'!$C$2:$AF$81, MATCH($C32,'[2]Potencial Hor SocioDem x CeDi'!$B$2:$B$81,0), MATCH(BW$4,'[2]Potencial Hor SocioDem x CeDi'!$C$1:$AF$1,0)), "")</f>
        <v/>
      </c>
      <c r="BX32" s="80" t="str">
        <f>IFERROR(INDEX('[2]Potencial Hor SocioDem x CeDi'!$C$2:$AF$81, MATCH($C32,'[2]Potencial Hor SocioDem x CeDi'!$B$2:$B$81,0), MATCH(BX$4,'[2]Potencial Hor SocioDem x CeDi'!$C$1:$AF$1,0)), "")</f>
        <v/>
      </c>
      <c r="BY32" s="80" t="str">
        <f>IFERROR(INDEX('[2]Potencial Hor SocioDem x CeDi'!$C$2:$AF$81, MATCH($C32,'[2]Potencial Hor SocioDem x CeDi'!$B$2:$B$81,0), MATCH(BY$4,'[2]Potencial Hor SocioDem x CeDi'!$C$1:$AF$1,0)), "")</f>
        <v/>
      </c>
      <c r="BZ32" s="79" t="str">
        <f>IFERROR(INDEX('[2]Potencial Hor SocioDem x CeDi'!$C$2:$AF$81, MATCH($C32,'[2]Potencial Hor SocioDem x CeDi'!$B$2:$B$81,0), MATCH(BZ$4,'[2]Potencial Hor SocioDem x CeDi'!$C$1:$AF$1,0)), "")</f>
        <v/>
      </c>
      <c r="CA32" s="79" t="str">
        <f>IFERROR(INDEX('[2]Potencial Hor SocioDem x CeDi'!$C$2:$AF$81, MATCH($C32,'[2]Potencial Hor SocioDem x CeDi'!$B$2:$B$81,0), MATCH(CA$4,'[2]Potencial Hor SocioDem x CeDi'!$C$1:$AF$1,0)), "")</f>
        <v/>
      </c>
      <c r="CB32" s="81" t="str">
        <f>IFERROR(INDEX('[2]Potencial Hor SocioDem x CeDi'!$C$2:$AF$81, MATCH($C32,'[2]Potencial Hor SocioDem x CeDi'!$B$2:$B$81,0), MATCH(CB$4,'[2]Potencial Hor SocioDem x CeDi'!$C$1:$AF$1,0)), "")</f>
        <v/>
      </c>
      <c r="CC32" s="82" t="str">
        <f>IFERROR(INDEX('[2]Potencial Hor SocioDem x CeDi'!$C$2:$AF$81, MATCH($C32,'[2]Potencial Hor SocioDem x CeDi'!$B$2:$B$81,0), MATCH(CC$4,'[2]Potencial Hor SocioDem x CeDi'!$C$1:$AF$1,0)), "")</f>
        <v/>
      </c>
      <c r="CD32" s="83" t="str">
        <f>IFERROR(INDEX('[2]Potencial Hor SocioDem x CeDi'!$C$2:$AF$81, MATCH($C32,'[2]Potencial Hor SocioDem x CeDi'!$B$2:$B$81,0), MATCH(CD$4,'[2]Potencial Hor SocioDem x CeDi'!$C$1:$AF$1,0)), "")</f>
        <v/>
      </c>
      <c r="CE32" s="78" t="str">
        <f>IFERROR(_xlfn.XLOOKUP([2]!BaseMaestraCeDi[[#This Row],[CeDi]], '[2]Potencial Hor x CeDi'!$B$6:$BU$6, '[2]Potencial Hor x CeDi'!$B$50:$BU$50), "")</f>
        <v/>
      </c>
      <c r="CF32" s="90" t="str">
        <f>IFERROR(_xlfn.XLOOKUP([2]!BaseMaestraCeDi[[#This Row],[CeDi]], '[2]Potencial Hor x CeDi'!$B$6:$BU$6, '[2]Potencial Hor x CeDi'!$B$34:$BU$34), "")</f>
        <v/>
      </c>
      <c r="CG32" s="90" t="str">
        <f>IFERROR(_xlfn.XLOOKUP([2]!BaseMaestraCeDi[[#This Row],[CeDi]], '[2]Potencial Hor x CeDi'!$B$6:$BU$6, '[2]Potencial Hor x CeDi'!$B$64:$BU$64), "")</f>
        <v/>
      </c>
      <c r="CH32" s="91" t="str">
        <f>IFERROR(_xlfn.XLOOKUP([2]!BaseMaestraCeDi[[#This Row],[CeDi]], '[2]Potencial Hor x CeDi'!$B$6:$BU$6, '[2]Potencial Hor x CeDi'!$B$38:$BU$38), "")</f>
        <v/>
      </c>
      <c r="CI32" s="90" t="str">
        <f>IFERROR(_xlfn.XLOOKUP([2]!BaseMaestraCeDi[[#This Row],[CeDi]], '[2]Potencial Hor x CeDi'!$B$6:$BU$6, '[2]Potencial Hor x CeDi'!$B$26:$BU$26), "")</f>
        <v/>
      </c>
      <c r="CJ32" s="92" t="str">
        <f>IFERROR(_xlfn.XLOOKUP([2]!BaseMaestraCeDi[[#This Row],[CeDi]], '[2]Potencial Hor x CeDi'!$B$6:$BU$6, '[2]Potencial Hor x CeDi'!$B$27:$BU$27), "")</f>
        <v/>
      </c>
      <c r="CK32" s="90" t="str">
        <f>IFERROR(_xlfn.XLOOKUP([2]!BaseMaestraCeDi[[#This Row],[CeDi]], '[2]Potencial Hor x CeDi'!$B$6:$BU$6, '[2]Potencial Hor x CeDi'!$B$28:$BU$28), "")</f>
        <v/>
      </c>
      <c r="CL32" s="92" t="str">
        <f>IFERROR(_xlfn.XLOOKUP([2]!BaseMaestraCeDi[[#This Row],[CeDi]], '[2]Potencial Hor x CeDi'!$B$6:$BU$6, '[2]Potencial Hor x CeDi'!$B$29:$BU$29), "")</f>
        <v/>
      </c>
      <c r="CM32" s="93" t="str">
        <f>IFERROR(_xlfn.XLOOKUP([2]!BaseMaestraCeDi[[#This Row],[CeDi]], '[2]Potencial Hor x CeDi'!$B$6:$BU$6, '[2]Potencial Hor x CeDi'!$B$39:$BU$39), "")</f>
        <v/>
      </c>
      <c r="CN32" s="94" t="str">
        <f>IFERROR(_xlfn.XLOOKUP([2]!BaseMaestraCeDi[[#This Row],[CeDi]], '[2]Potencial Hor x CeDi'!$B$6:$BU$6, '[2]Potencial Hor x CeDi'!$B$43:$BU$43), "")</f>
        <v/>
      </c>
      <c r="CO32" s="94" t="str">
        <f>IFERROR(_xlfn.XLOOKUP([2]!BaseMaestraCeDi[[#This Row],[CeDi]], '[2]Potencial Hor x CeDi'!$B$6:$BU$6, '[2]Potencial Hor x CeDi'!$B$46:$BU$46), "")</f>
        <v/>
      </c>
      <c r="CP32" s="86" t="str">
        <f>IFERROR(_xlfn.XLOOKUP([2]!BaseMaestraCeDi[[#This Row],[CeDi]], '[2]Potencial Hor x CeDi'!$B$6:$BU$6, '[2]Potencial Hor x CeDi'!$B$51:$BU$51), "")</f>
        <v/>
      </c>
      <c r="CQ32" s="82" t="str">
        <f>IFERROR(_xlfn.XLOOKUP([2]!BaseMaestraCeDi[[#This Row],[CeDi]], '[2]Potencial Hor x CeDi'!$B$6:$BU$6, '[2]Potencial Hor x CeDi'!$B$52:$BU$52), "")</f>
        <v/>
      </c>
      <c r="CR32" s="82" t="str">
        <f>IFERROR(_xlfn.XLOOKUP([2]!BaseMaestraCeDi[[#This Row],[CeDi]], '[2]Potencial Hor x CeDi'!$B$6:$BU$6, '[2]Potencial Hor x CeDi'!$B$53:$BU$53), "")</f>
        <v/>
      </c>
      <c r="CS32" s="87" t="str">
        <f>IFERROR(_xlfn.XLOOKUP([2]!BaseMaestraCeDi[[#This Row],[CeDi]], '[2]Potencial Hor x CeDi'!$B$6:$BU$6, '[2]Potencial Hor x CeDi'!$B$60:$BU$60), "")</f>
        <v/>
      </c>
      <c r="CT32" s="90" t="str">
        <f>IFERROR(_xlfn.XLOOKUP([2]!BaseMaestraCeDi[[#This Row],[CeDi]], '[2]Potencial Hor x CeDi'!$B$6:$BU$6, '[2]Potencial Hor x CeDi'!$B$65:$BU$65), "")</f>
        <v/>
      </c>
      <c r="CU32" s="90" t="str">
        <f>IFERROR(_xlfn.XLOOKUP([2]!BaseMaestraCeDi[[#This Row],[CeDi]], '[2]Potencial Hor x CeDi'!$B$6:$BU$6, '[2]Potencial Hor x CeDi'!$B$68:$BU$68), "")</f>
        <v/>
      </c>
      <c r="CV32" s="95" t="str">
        <f>IFERROR(_xlfn.XLOOKUP([2]!BaseMaestraCeDi[[#This Row],[CeDi]], '[2]Potencial Hor x CeDi'!$B$6:$BU$6, '[2]Potencial Hor x CeDi'!$B$71:$BU$71), "")</f>
        <v/>
      </c>
    </row>
    <row r="33" spans="1:100">
      <c r="A33" s="100" t="s">
        <v>93</v>
      </c>
      <c r="B33" s="100" t="s">
        <v>414</v>
      </c>
      <c r="C33" s="100" t="s">
        <v>438</v>
      </c>
      <c r="D33" s="101">
        <v>1</v>
      </c>
      <c r="E33" s="102">
        <v>204.72404150513881</v>
      </c>
      <c r="F33" s="103">
        <v>11.554794025544936</v>
      </c>
      <c r="G33" s="103">
        <v>216.27883553068375</v>
      </c>
      <c r="H33" s="104">
        <v>938.56179355063546</v>
      </c>
      <c r="I33" s="105">
        <v>598.38673626656202</v>
      </c>
      <c r="J33" s="105">
        <v>139.42895216976549</v>
      </c>
      <c r="K33" s="105">
        <v>1676.3774819869632</v>
      </c>
      <c r="L33" s="104">
        <v>3597.2918502060097</v>
      </c>
      <c r="M33" s="106">
        <v>0.46601097486459442</v>
      </c>
      <c r="N33" s="107" t="s">
        <v>151</v>
      </c>
      <c r="O33" s="102">
        <v>61.216704288939049</v>
      </c>
      <c r="P33" s="103">
        <v>1</v>
      </c>
      <c r="Q33" s="103">
        <v>1</v>
      </c>
      <c r="R33" s="108" t="s">
        <v>194</v>
      </c>
      <c r="S33" s="107" t="s">
        <v>194</v>
      </c>
      <c r="T33" s="125">
        <v>1</v>
      </c>
      <c r="U33" s="106">
        <v>0</v>
      </c>
      <c r="V33" s="106">
        <v>0.76360376926916607</v>
      </c>
      <c r="W33" s="106">
        <v>0.23639623073083393</v>
      </c>
      <c r="X33" s="106">
        <v>0</v>
      </c>
      <c r="Y33" s="104">
        <v>2746.9056159785614</v>
      </c>
      <c r="Z33" s="105">
        <v>850.38623422744843</v>
      </c>
      <c r="AA33" s="105">
        <v>0</v>
      </c>
      <c r="AB33" s="105">
        <v>147915.5</v>
      </c>
      <c r="AC33" s="101">
        <v>1</v>
      </c>
      <c r="AD33" s="109">
        <v>0</v>
      </c>
      <c r="AE33" s="101">
        <v>27119</v>
      </c>
      <c r="AF33" s="109">
        <v>20472</v>
      </c>
      <c r="AG33" s="110">
        <v>0.75489509200191751</v>
      </c>
      <c r="AH33" s="106">
        <v>0.75489509200191751</v>
      </c>
      <c r="AI33" s="101">
        <v>0</v>
      </c>
      <c r="AJ33" s="109">
        <v>0</v>
      </c>
      <c r="AK33" s="106">
        <v>0.75489509200191751</v>
      </c>
      <c r="AL33" s="104">
        <v>5138112.7999999989</v>
      </c>
      <c r="AM33" s="105">
        <v>0</v>
      </c>
      <c r="AN33" s="106">
        <v>0</v>
      </c>
      <c r="AO33" s="104">
        <v>0</v>
      </c>
      <c r="AP33" s="106">
        <v>0</v>
      </c>
      <c r="AQ33" s="109" t="s">
        <v>194</v>
      </c>
      <c r="AR33" s="101">
        <v>0</v>
      </c>
      <c r="AS33" s="105">
        <v>0</v>
      </c>
      <c r="AT33" s="104">
        <v>0</v>
      </c>
      <c r="AU33" s="101">
        <v>1</v>
      </c>
      <c r="AV33" s="109">
        <v>0</v>
      </c>
      <c r="AW33" s="109">
        <v>1</v>
      </c>
      <c r="AX33" s="109">
        <v>0</v>
      </c>
      <c r="AY33" s="110">
        <v>0</v>
      </c>
      <c r="AZ33" s="109">
        <v>0</v>
      </c>
      <c r="BA33" s="102">
        <v>61.216704288939098</v>
      </c>
      <c r="BB33" s="106">
        <v>0.75489509200191796</v>
      </c>
      <c r="BC33" s="111">
        <v>692.87735262979504</v>
      </c>
      <c r="BD33" s="74"/>
      <c r="BE33" s="88" t="str">
        <f>IFERROR(_xlfn.XLOOKUP([2]!BaseMaestraCeDi[[#This Row],[CeDi]], '[2]Potencial Hor x CeDi'!$B$6:$BU$6, '[2]Potencial Hor x CeDi'!$B$21:$BU$21) / 1000, "")</f>
        <v/>
      </c>
      <c r="BF33" s="89" t="str">
        <f>IFERROR(_xlfn.XLOOKUP([2]!BaseMaestraCeDi[[#This Row],[CeDi]], '[2]Potencial Hor x CeDi'!$B$6:$BU$6, '[2]Potencial Hor x CeDi'!$B$22:$BU$22) / 1000, "")</f>
        <v/>
      </c>
      <c r="BG33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33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33" s="78" t="str">
        <f>IFERROR(INDEX('[2]Potencial Hor SocioDem x CeDi'!$C$2:$AF$81, MATCH($C33,'[2]Potencial Hor SocioDem x CeDi'!$B$2:$B$81,0), MATCH(BI$4,'[2]Potencial Hor SocioDem x CeDi'!$C$1:$AF$1,0)), "")</f>
        <v/>
      </c>
      <c r="BJ33" s="78" t="str">
        <f>IFERROR(INDEX('[2]Potencial Hor SocioDem x CeDi'!$C$2:$AF$81, MATCH($C33,'[2]Potencial Hor SocioDem x CeDi'!$B$2:$B$81,0), MATCH(BJ$4,'[2]Potencial Hor SocioDem x CeDi'!$C$1:$AF$1,0)), "")</f>
        <v/>
      </c>
      <c r="BK33" s="78" t="str">
        <f>IFERROR(INDEX('[2]Potencial Hor SocioDem x CeDi'!$C$2:$AF$81, MATCH($C33,'[2]Potencial Hor SocioDem x CeDi'!$B$2:$B$81,0), MATCH(BK$4,'[2]Potencial Hor SocioDem x CeDi'!$C$1:$AF$1,0)), "")</f>
        <v/>
      </c>
      <c r="BL33" s="79" t="str">
        <f>IFERROR(INDEX('[2]Potencial Hor SocioDem x CeDi'!$C$2:$AF$81, MATCH($C33,'[2]Potencial Hor SocioDem x CeDi'!$B$2:$B$81,0), MATCH(BL$4,'[2]Potencial Hor SocioDem x CeDi'!$C$1:$AF$1,0)), "")</f>
        <v/>
      </c>
      <c r="BM33" s="79" t="str">
        <f>IFERROR(INDEX('[2]Potencial Hor SocioDem x CeDi'!$C$2:$AF$81, MATCH($C33,'[2]Potencial Hor SocioDem x CeDi'!$B$2:$B$81,0), MATCH(BM$4,'[2]Potencial Hor SocioDem x CeDi'!$C$1:$AF$1,0)), "")</f>
        <v/>
      </c>
      <c r="BN33" s="78" t="str">
        <f>IFERROR(INDEX('[2]Potencial Hor SocioDem x CeDi'!$C$2:$AF$81, MATCH($C33,'[2]Potencial Hor SocioDem x CeDi'!$B$2:$B$81,0), MATCH(BN$4,'[2]Potencial Hor SocioDem x CeDi'!$C$1:$AF$1,0)), "")</f>
        <v/>
      </c>
      <c r="BO33" s="78" t="str">
        <f>IFERROR(INDEX('[2]Potencial Hor SocioDem x CeDi'!$C$2:$AF$81, MATCH($C33,'[2]Potencial Hor SocioDem x CeDi'!$B$2:$B$81,0), MATCH(BO$4,'[2]Potencial Hor SocioDem x CeDi'!$C$1:$AF$1,0)), "")</f>
        <v/>
      </c>
      <c r="BP33" s="78" t="str">
        <f>IFERROR(INDEX('[2]Potencial Hor SocioDem x CeDi'!$C$2:$AF$81, MATCH($C33,'[2]Potencial Hor SocioDem x CeDi'!$B$2:$B$81,0), MATCH(BP$4,'[2]Potencial Hor SocioDem x CeDi'!$C$1:$AF$1,0)), "")</f>
        <v/>
      </c>
      <c r="BQ33" s="80" t="str">
        <f>IFERROR(INDEX('[2]Potencial Hor SocioDem x CeDi'!$C$2:$AF$81, MATCH($C33,'[2]Potencial Hor SocioDem x CeDi'!$B$2:$B$81,0), MATCH(BQ$4,'[2]Potencial Hor SocioDem x CeDi'!$C$1:$AF$1,0)), "")</f>
        <v/>
      </c>
      <c r="BR33" s="80" t="str">
        <f>IFERROR(INDEX('[2]Potencial Hor SocioDem x CeDi'!$C$2:$AF$81, MATCH($C33,'[2]Potencial Hor SocioDem x CeDi'!$B$2:$B$81,0), MATCH(BR$4,'[2]Potencial Hor SocioDem x CeDi'!$C$1:$AF$1,0)), "")</f>
        <v/>
      </c>
      <c r="BS33" s="80" t="str">
        <f>IFERROR(INDEX('[2]Potencial Hor SocioDem x CeDi'!$C$2:$AF$81, MATCH($C33,'[2]Potencial Hor SocioDem x CeDi'!$B$2:$B$81,0), MATCH(BS$4,'[2]Potencial Hor SocioDem x CeDi'!$C$1:$AF$1,0)), "")</f>
        <v/>
      </c>
      <c r="BT33" s="80" t="str">
        <f>IFERROR(INDEX('[2]Potencial Hor SocioDem x CeDi'!$C$2:$AF$81, MATCH($C33,'[2]Potencial Hor SocioDem x CeDi'!$B$2:$B$81,0), MATCH(BT$4,'[2]Potencial Hor SocioDem x CeDi'!$C$1:$AF$1,0)), "")</f>
        <v/>
      </c>
      <c r="BU33" s="80" t="str">
        <f>IFERROR(INDEX('[2]Potencial Hor SocioDem x CeDi'!$C$2:$AF$81, MATCH($C33,'[2]Potencial Hor SocioDem x CeDi'!$B$2:$B$81,0), MATCH(BU$4,'[2]Potencial Hor SocioDem x CeDi'!$C$1:$AF$1,0)), "")</f>
        <v/>
      </c>
      <c r="BV33" s="80" t="str">
        <f>IFERROR(INDEX('[2]Potencial Hor SocioDem x CeDi'!$C$2:$AF$81, MATCH($C33,'[2]Potencial Hor SocioDem x CeDi'!$B$2:$B$81,0), MATCH(BV$4,'[2]Potencial Hor SocioDem x CeDi'!$C$1:$AF$1,0)), "")</f>
        <v/>
      </c>
      <c r="BW33" s="80" t="str">
        <f>IFERROR(INDEX('[2]Potencial Hor SocioDem x CeDi'!$C$2:$AF$81, MATCH($C33,'[2]Potencial Hor SocioDem x CeDi'!$B$2:$B$81,0), MATCH(BW$4,'[2]Potencial Hor SocioDem x CeDi'!$C$1:$AF$1,0)), "")</f>
        <v/>
      </c>
      <c r="BX33" s="80" t="str">
        <f>IFERROR(INDEX('[2]Potencial Hor SocioDem x CeDi'!$C$2:$AF$81, MATCH($C33,'[2]Potencial Hor SocioDem x CeDi'!$B$2:$B$81,0), MATCH(BX$4,'[2]Potencial Hor SocioDem x CeDi'!$C$1:$AF$1,0)), "")</f>
        <v/>
      </c>
      <c r="BY33" s="80" t="str">
        <f>IFERROR(INDEX('[2]Potencial Hor SocioDem x CeDi'!$C$2:$AF$81, MATCH($C33,'[2]Potencial Hor SocioDem x CeDi'!$B$2:$B$81,0), MATCH(BY$4,'[2]Potencial Hor SocioDem x CeDi'!$C$1:$AF$1,0)), "")</f>
        <v/>
      </c>
      <c r="BZ33" s="79" t="str">
        <f>IFERROR(INDEX('[2]Potencial Hor SocioDem x CeDi'!$C$2:$AF$81, MATCH($C33,'[2]Potencial Hor SocioDem x CeDi'!$B$2:$B$81,0), MATCH(BZ$4,'[2]Potencial Hor SocioDem x CeDi'!$C$1:$AF$1,0)), "")</f>
        <v/>
      </c>
      <c r="CA33" s="79" t="str">
        <f>IFERROR(INDEX('[2]Potencial Hor SocioDem x CeDi'!$C$2:$AF$81, MATCH($C33,'[2]Potencial Hor SocioDem x CeDi'!$B$2:$B$81,0), MATCH(CA$4,'[2]Potencial Hor SocioDem x CeDi'!$C$1:$AF$1,0)), "")</f>
        <v/>
      </c>
      <c r="CB33" s="81" t="str">
        <f>IFERROR(INDEX('[2]Potencial Hor SocioDem x CeDi'!$C$2:$AF$81, MATCH($C33,'[2]Potencial Hor SocioDem x CeDi'!$B$2:$B$81,0), MATCH(CB$4,'[2]Potencial Hor SocioDem x CeDi'!$C$1:$AF$1,0)), "")</f>
        <v/>
      </c>
      <c r="CC33" s="82" t="str">
        <f>IFERROR(INDEX('[2]Potencial Hor SocioDem x CeDi'!$C$2:$AF$81, MATCH($C33,'[2]Potencial Hor SocioDem x CeDi'!$B$2:$B$81,0), MATCH(CC$4,'[2]Potencial Hor SocioDem x CeDi'!$C$1:$AF$1,0)), "")</f>
        <v/>
      </c>
      <c r="CD33" s="83" t="str">
        <f>IFERROR(INDEX('[2]Potencial Hor SocioDem x CeDi'!$C$2:$AF$81, MATCH($C33,'[2]Potencial Hor SocioDem x CeDi'!$B$2:$B$81,0), MATCH(CD$4,'[2]Potencial Hor SocioDem x CeDi'!$C$1:$AF$1,0)), "")</f>
        <v/>
      </c>
      <c r="CE33" s="78" t="str">
        <f>IFERROR(_xlfn.XLOOKUP([2]!BaseMaestraCeDi[[#This Row],[CeDi]], '[2]Potencial Hor x CeDi'!$B$6:$BU$6, '[2]Potencial Hor x CeDi'!$B$50:$BU$50), "")</f>
        <v/>
      </c>
      <c r="CF33" s="90" t="str">
        <f>IFERROR(_xlfn.XLOOKUP([2]!BaseMaestraCeDi[[#This Row],[CeDi]], '[2]Potencial Hor x CeDi'!$B$6:$BU$6, '[2]Potencial Hor x CeDi'!$B$34:$BU$34), "")</f>
        <v/>
      </c>
      <c r="CG33" s="90" t="str">
        <f>IFERROR(_xlfn.XLOOKUP([2]!BaseMaestraCeDi[[#This Row],[CeDi]], '[2]Potencial Hor x CeDi'!$B$6:$BU$6, '[2]Potencial Hor x CeDi'!$B$64:$BU$64), "")</f>
        <v/>
      </c>
      <c r="CH33" s="91" t="str">
        <f>IFERROR(_xlfn.XLOOKUP([2]!BaseMaestraCeDi[[#This Row],[CeDi]], '[2]Potencial Hor x CeDi'!$B$6:$BU$6, '[2]Potencial Hor x CeDi'!$B$38:$BU$38), "")</f>
        <v/>
      </c>
      <c r="CI33" s="90" t="str">
        <f>IFERROR(_xlfn.XLOOKUP([2]!BaseMaestraCeDi[[#This Row],[CeDi]], '[2]Potencial Hor x CeDi'!$B$6:$BU$6, '[2]Potencial Hor x CeDi'!$B$26:$BU$26), "")</f>
        <v/>
      </c>
      <c r="CJ33" s="92" t="str">
        <f>IFERROR(_xlfn.XLOOKUP([2]!BaseMaestraCeDi[[#This Row],[CeDi]], '[2]Potencial Hor x CeDi'!$B$6:$BU$6, '[2]Potencial Hor x CeDi'!$B$27:$BU$27), "")</f>
        <v/>
      </c>
      <c r="CK33" s="90" t="str">
        <f>IFERROR(_xlfn.XLOOKUP([2]!BaseMaestraCeDi[[#This Row],[CeDi]], '[2]Potencial Hor x CeDi'!$B$6:$BU$6, '[2]Potencial Hor x CeDi'!$B$28:$BU$28), "")</f>
        <v/>
      </c>
      <c r="CL33" s="92" t="str">
        <f>IFERROR(_xlfn.XLOOKUP([2]!BaseMaestraCeDi[[#This Row],[CeDi]], '[2]Potencial Hor x CeDi'!$B$6:$BU$6, '[2]Potencial Hor x CeDi'!$B$29:$BU$29), "")</f>
        <v/>
      </c>
      <c r="CM33" s="93" t="str">
        <f>IFERROR(_xlfn.XLOOKUP([2]!BaseMaestraCeDi[[#This Row],[CeDi]], '[2]Potencial Hor x CeDi'!$B$6:$BU$6, '[2]Potencial Hor x CeDi'!$B$39:$BU$39), "")</f>
        <v/>
      </c>
      <c r="CN33" s="94" t="str">
        <f>IFERROR(_xlfn.XLOOKUP([2]!BaseMaestraCeDi[[#This Row],[CeDi]], '[2]Potencial Hor x CeDi'!$B$6:$BU$6, '[2]Potencial Hor x CeDi'!$B$43:$BU$43), "")</f>
        <v/>
      </c>
      <c r="CO33" s="94" t="str">
        <f>IFERROR(_xlfn.XLOOKUP([2]!BaseMaestraCeDi[[#This Row],[CeDi]], '[2]Potencial Hor x CeDi'!$B$6:$BU$6, '[2]Potencial Hor x CeDi'!$B$46:$BU$46), "")</f>
        <v/>
      </c>
      <c r="CP33" s="86" t="str">
        <f>IFERROR(_xlfn.XLOOKUP([2]!BaseMaestraCeDi[[#This Row],[CeDi]], '[2]Potencial Hor x CeDi'!$B$6:$BU$6, '[2]Potencial Hor x CeDi'!$B$51:$BU$51), "")</f>
        <v/>
      </c>
      <c r="CQ33" s="82" t="str">
        <f>IFERROR(_xlfn.XLOOKUP([2]!BaseMaestraCeDi[[#This Row],[CeDi]], '[2]Potencial Hor x CeDi'!$B$6:$BU$6, '[2]Potencial Hor x CeDi'!$B$52:$BU$52), "")</f>
        <v/>
      </c>
      <c r="CR33" s="82" t="str">
        <f>IFERROR(_xlfn.XLOOKUP([2]!BaseMaestraCeDi[[#This Row],[CeDi]], '[2]Potencial Hor x CeDi'!$B$6:$BU$6, '[2]Potencial Hor x CeDi'!$B$53:$BU$53), "")</f>
        <v/>
      </c>
      <c r="CS33" s="87" t="str">
        <f>IFERROR(_xlfn.XLOOKUP([2]!BaseMaestraCeDi[[#This Row],[CeDi]], '[2]Potencial Hor x CeDi'!$B$6:$BU$6, '[2]Potencial Hor x CeDi'!$B$60:$BU$60), "")</f>
        <v/>
      </c>
      <c r="CT33" s="90" t="str">
        <f>IFERROR(_xlfn.XLOOKUP([2]!BaseMaestraCeDi[[#This Row],[CeDi]], '[2]Potencial Hor x CeDi'!$B$6:$BU$6, '[2]Potencial Hor x CeDi'!$B$65:$BU$65), "")</f>
        <v/>
      </c>
      <c r="CU33" s="90" t="str">
        <f>IFERROR(_xlfn.XLOOKUP([2]!BaseMaestraCeDi[[#This Row],[CeDi]], '[2]Potencial Hor x CeDi'!$B$6:$BU$6, '[2]Potencial Hor x CeDi'!$B$68:$BU$68), "")</f>
        <v/>
      </c>
      <c r="CV33" s="95" t="str">
        <f>IFERROR(_xlfn.XLOOKUP([2]!BaseMaestraCeDi[[#This Row],[CeDi]], '[2]Potencial Hor x CeDi'!$B$6:$BU$6, '[2]Potencial Hor x CeDi'!$B$71:$BU$71), "")</f>
        <v/>
      </c>
    </row>
    <row r="34" spans="1:100">
      <c r="A34" s="112" t="s">
        <v>93</v>
      </c>
      <c r="B34" s="112" t="s">
        <v>320</v>
      </c>
      <c r="C34" s="112" t="s">
        <v>440</v>
      </c>
      <c r="D34" s="113" t="s">
        <v>194</v>
      </c>
      <c r="E34" s="114" t="s">
        <v>194</v>
      </c>
      <c r="F34" s="115" t="s">
        <v>194</v>
      </c>
      <c r="G34" s="115" t="s">
        <v>194</v>
      </c>
      <c r="H34" s="116" t="s">
        <v>194</v>
      </c>
      <c r="I34" s="117" t="s">
        <v>194</v>
      </c>
      <c r="J34" s="117" t="s">
        <v>194</v>
      </c>
      <c r="K34" s="117" t="s">
        <v>194</v>
      </c>
      <c r="L34" s="116" t="s">
        <v>194</v>
      </c>
      <c r="M34" s="118" t="s">
        <v>194</v>
      </c>
      <c r="N34" s="119" t="s">
        <v>194</v>
      </c>
      <c r="O34" s="114" t="s">
        <v>194</v>
      </c>
      <c r="P34" s="115" t="s">
        <v>194</v>
      </c>
      <c r="Q34" s="115" t="s">
        <v>194</v>
      </c>
      <c r="R34" s="120" t="s">
        <v>194</v>
      </c>
      <c r="S34" s="119" t="s">
        <v>194</v>
      </c>
      <c r="T34" s="121" t="s">
        <v>194</v>
      </c>
      <c r="U34" s="118" t="s">
        <v>194</v>
      </c>
      <c r="V34" s="118" t="s">
        <v>194</v>
      </c>
      <c r="W34" s="118" t="s">
        <v>194</v>
      </c>
      <c r="X34" s="118" t="s">
        <v>194</v>
      </c>
      <c r="Y34" s="116" t="s">
        <v>194</v>
      </c>
      <c r="Z34" s="117" t="s">
        <v>194</v>
      </c>
      <c r="AA34" s="117" t="s">
        <v>194</v>
      </c>
      <c r="AB34" s="117" t="s">
        <v>194</v>
      </c>
      <c r="AC34" s="113">
        <v>0</v>
      </c>
      <c r="AD34" s="122">
        <v>0</v>
      </c>
      <c r="AE34" s="113">
        <v>0</v>
      </c>
      <c r="AF34" s="122">
        <v>0</v>
      </c>
      <c r="AG34" s="123" t="s">
        <v>194</v>
      </c>
      <c r="AH34" s="118" t="s">
        <v>194</v>
      </c>
      <c r="AI34" s="113">
        <v>0</v>
      </c>
      <c r="AJ34" s="122">
        <v>0</v>
      </c>
      <c r="AK34" s="118" t="s">
        <v>194</v>
      </c>
      <c r="AL34" s="116">
        <v>0</v>
      </c>
      <c r="AM34" s="117">
        <v>0</v>
      </c>
      <c r="AN34" s="118" t="s">
        <v>194</v>
      </c>
      <c r="AO34" s="116">
        <v>0</v>
      </c>
      <c r="AP34" s="118">
        <v>0</v>
      </c>
      <c r="AQ34" s="122" t="s">
        <v>194</v>
      </c>
      <c r="AR34" s="113">
        <v>0</v>
      </c>
      <c r="AS34" s="117">
        <v>0</v>
      </c>
      <c r="AT34" s="116">
        <v>0</v>
      </c>
      <c r="AU34" s="113">
        <v>1</v>
      </c>
      <c r="AV34" s="122">
        <v>0</v>
      </c>
      <c r="AW34" s="122">
        <v>0</v>
      </c>
      <c r="AX34" s="122">
        <v>0</v>
      </c>
      <c r="AY34" s="123">
        <v>0</v>
      </c>
      <c r="AZ34" s="122">
        <v>0</v>
      </c>
      <c r="BA34" s="114" t="s">
        <v>194</v>
      </c>
      <c r="BB34" s="118" t="s">
        <v>194</v>
      </c>
      <c r="BC34" s="124" t="s">
        <v>194</v>
      </c>
      <c r="BD34" s="74" t="s">
        <v>1142</v>
      </c>
      <c r="BE34" s="88" t="str">
        <f>IFERROR(_xlfn.XLOOKUP([2]!BaseMaestraCeDi[[#This Row],[CeDi]], '[2]Potencial Hor x CeDi'!$B$6:$BU$6, '[2]Potencial Hor x CeDi'!$B$21:$BU$21) / 1000, "")</f>
        <v/>
      </c>
      <c r="BF34" s="89" t="str">
        <f>IFERROR(_xlfn.XLOOKUP([2]!BaseMaestraCeDi[[#This Row],[CeDi]], '[2]Potencial Hor x CeDi'!$B$6:$BU$6, '[2]Potencial Hor x CeDi'!$B$22:$BU$22) / 1000, "")</f>
        <v/>
      </c>
      <c r="BG34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34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34" s="78" t="str">
        <f>IFERROR(INDEX('[2]Potencial Hor SocioDem x CeDi'!$C$2:$AF$81, MATCH($C34,'[2]Potencial Hor SocioDem x CeDi'!$B$2:$B$81,0), MATCH(BI$4,'[2]Potencial Hor SocioDem x CeDi'!$C$1:$AF$1,0)), "")</f>
        <v/>
      </c>
      <c r="BJ34" s="78" t="str">
        <f>IFERROR(INDEX('[2]Potencial Hor SocioDem x CeDi'!$C$2:$AF$81, MATCH($C34,'[2]Potencial Hor SocioDem x CeDi'!$B$2:$B$81,0), MATCH(BJ$4,'[2]Potencial Hor SocioDem x CeDi'!$C$1:$AF$1,0)), "")</f>
        <v/>
      </c>
      <c r="BK34" s="78" t="str">
        <f>IFERROR(INDEX('[2]Potencial Hor SocioDem x CeDi'!$C$2:$AF$81, MATCH($C34,'[2]Potencial Hor SocioDem x CeDi'!$B$2:$B$81,0), MATCH(BK$4,'[2]Potencial Hor SocioDem x CeDi'!$C$1:$AF$1,0)), "")</f>
        <v/>
      </c>
      <c r="BL34" s="79" t="str">
        <f>IFERROR(INDEX('[2]Potencial Hor SocioDem x CeDi'!$C$2:$AF$81, MATCH($C34,'[2]Potencial Hor SocioDem x CeDi'!$B$2:$B$81,0), MATCH(BL$4,'[2]Potencial Hor SocioDem x CeDi'!$C$1:$AF$1,0)), "")</f>
        <v/>
      </c>
      <c r="BM34" s="79" t="str">
        <f>IFERROR(INDEX('[2]Potencial Hor SocioDem x CeDi'!$C$2:$AF$81, MATCH($C34,'[2]Potencial Hor SocioDem x CeDi'!$B$2:$B$81,0), MATCH(BM$4,'[2]Potencial Hor SocioDem x CeDi'!$C$1:$AF$1,0)), "")</f>
        <v/>
      </c>
      <c r="BN34" s="78" t="str">
        <f>IFERROR(INDEX('[2]Potencial Hor SocioDem x CeDi'!$C$2:$AF$81, MATCH($C34,'[2]Potencial Hor SocioDem x CeDi'!$B$2:$B$81,0), MATCH(BN$4,'[2]Potencial Hor SocioDem x CeDi'!$C$1:$AF$1,0)), "")</f>
        <v/>
      </c>
      <c r="BO34" s="78" t="str">
        <f>IFERROR(INDEX('[2]Potencial Hor SocioDem x CeDi'!$C$2:$AF$81, MATCH($C34,'[2]Potencial Hor SocioDem x CeDi'!$B$2:$B$81,0), MATCH(BO$4,'[2]Potencial Hor SocioDem x CeDi'!$C$1:$AF$1,0)), "")</f>
        <v/>
      </c>
      <c r="BP34" s="78" t="str">
        <f>IFERROR(INDEX('[2]Potencial Hor SocioDem x CeDi'!$C$2:$AF$81, MATCH($C34,'[2]Potencial Hor SocioDem x CeDi'!$B$2:$B$81,0), MATCH(BP$4,'[2]Potencial Hor SocioDem x CeDi'!$C$1:$AF$1,0)), "")</f>
        <v/>
      </c>
      <c r="BQ34" s="80" t="str">
        <f>IFERROR(INDEX('[2]Potencial Hor SocioDem x CeDi'!$C$2:$AF$81, MATCH($C34,'[2]Potencial Hor SocioDem x CeDi'!$B$2:$B$81,0), MATCH(BQ$4,'[2]Potencial Hor SocioDem x CeDi'!$C$1:$AF$1,0)), "")</f>
        <v/>
      </c>
      <c r="BR34" s="80" t="str">
        <f>IFERROR(INDEX('[2]Potencial Hor SocioDem x CeDi'!$C$2:$AF$81, MATCH($C34,'[2]Potencial Hor SocioDem x CeDi'!$B$2:$B$81,0), MATCH(BR$4,'[2]Potencial Hor SocioDem x CeDi'!$C$1:$AF$1,0)), "")</f>
        <v/>
      </c>
      <c r="BS34" s="80" t="str">
        <f>IFERROR(INDEX('[2]Potencial Hor SocioDem x CeDi'!$C$2:$AF$81, MATCH($C34,'[2]Potencial Hor SocioDem x CeDi'!$B$2:$B$81,0), MATCH(BS$4,'[2]Potencial Hor SocioDem x CeDi'!$C$1:$AF$1,0)), "")</f>
        <v/>
      </c>
      <c r="BT34" s="80" t="str">
        <f>IFERROR(INDEX('[2]Potencial Hor SocioDem x CeDi'!$C$2:$AF$81, MATCH($C34,'[2]Potencial Hor SocioDem x CeDi'!$B$2:$B$81,0), MATCH(BT$4,'[2]Potencial Hor SocioDem x CeDi'!$C$1:$AF$1,0)), "")</f>
        <v/>
      </c>
      <c r="BU34" s="80" t="str">
        <f>IFERROR(INDEX('[2]Potencial Hor SocioDem x CeDi'!$C$2:$AF$81, MATCH($C34,'[2]Potencial Hor SocioDem x CeDi'!$B$2:$B$81,0), MATCH(BU$4,'[2]Potencial Hor SocioDem x CeDi'!$C$1:$AF$1,0)), "")</f>
        <v/>
      </c>
      <c r="BV34" s="80" t="str">
        <f>IFERROR(INDEX('[2]Potencial Hor SocioDem x CeDi'!$C$2:$AF$81, MATCH($C34,'[2]Potencial Hor SocioDem x CeDi'!$B$2:$B$81,0), MATCH(BV$4,'[2]Potencial Hor SocioDem x CeDi'!$C$1:$AF$1,0)), "")</f>
        <v/>
      </c>
      <c r="BW34" s="80" t="str">
        <f>IFERROR(INDEX('[2]Potencial Hor SocioDem x CeDi'!$C$2:$AF$81, MATCH($C34,'[2]Potencial Hor SocioDem x CeDi'!$B$2:$B$81,0), MATCH(BW$4,'[2]Potencial Hor SocioDem x CeDi'!$C$1:$AF$1,0)), "")</f>
        <v/>
      </c>
      <c r="BX34" s="80" t="str">
        <f>IFERROR(INDEX('[2]Potencial Hor SocioDem x CeDi'!$C$2:$AF$81, MATCH($C34,'[2]Potencial Hor SocioDem x CeDi'!$B$2:$B$81,0), MATCH(BX$4,'[2]Potencial Hor SocioDem x CeDi'!$C$1:$AF$1,0)), "")</f>
        <v/>
      </c>
      <c r="BY34" s="80" t="str">
        <f>IFERROR(INDEX('[2]Potencial Hor SocioDem x CeDi'!$C$2:$AF$81, MATCH($C34,'[2]Potencial Hor SocioDem x CeDi'!$B$2:$B$81,0), MATCH(BY$4,'[2]Potencial Hor SocioDem x CeDi'!$C$1:$AF$1,0)), "")</f>
        <v/>
      </c>
      <c r="BZ34" s="79" t="str">
        <f>IFERROR(INDEX('[2]Potencial Hor SocioDem x CeDi'!$C$2:$AF$81, MATCH($C34,'[2]Potencial Hor SocioDem x CeDi'!$B$2:$B$81,0), MATCH(BZ$4,'[2]Potencial Hor SocioDem x CeDi'!$C$1:$AF$1,0)), "")</f>
        <v/>
      </c>
      <c r="CA34" s="79" t="str">
        <f>IFERROR(INDEX('[2]Potencial Hor SocioDem x CeDi'!$C$2:$AF$81, MATCH($C34,'[2]Potencial Hor SocioDem x CeDi'!$B$2:$B$81,0), MATCH(CA$4,'[2]Potencial Hor SocioDem x CeDi'!$C$1:$AF$1,0)), "")</f>
        <v/>
      </c>
      <c r="CB34" s="81" t="str">
        <f>IFERROR(INDEX('[2]Potencial Hor SocioDem x CeDi'!$C$2:$AF$81, MATCH($C34,'[2]Potencial Hor SocioDem x CeDi'!$B$2:$B$81,0), MATCH(CB$4,'[2]Potencial Hor SocioDem x CeDi'!$C$1:$AF$1,0)), "")</f>
        <v/>
      </c>
      <c r="CC34" s="82" t="str">
        <f>IFERROR(INDEX('[2]Potencial Hor SocioDem x CeDi'!$C$2:$AF$81, MATCH($C34,'[2]Potencial Hor SocioDem x CeDi'!$B$2:$B$81,0), MATCH(CC$4,'[2]Potencial Hor SocioDem x CeDi'!$C$1:$AF$1,0)), "")</f>
        <v/>
      </c>
      <c r="CD34" s="83" t="str">
        <f>IFERROR(INDEX('[2]Potencial Hor SocioDem x CeDi'!$C$2:$AF$81, MATCH($C34,'[2]Potencial Hor SocioDem x CeDi'!$B$2:$B$81,0), MATCH(CD$4,'[2]Potencial Hor SocioDem x CeDi'!$C$1:$AF$1,0)), "")</f>
        <v/>
      </c>
      <c r="CE34" s="78" t="str">
        <f>IFERROR(_xlfn.XLOOKUP([2]!BaseMaestraCeDi[[#This Row],[CeDi]], '[2]Potencial Hor x CeDi'!$B$6:$BU$6, '[2]Potencial Hor x CeDi'!$B$50:$BU$50), "")</f>
        <v/>
      </c>
      <c r="CF34" s="90" t="str">
        <f>IFERROR(_xlfn.XLOOKUP([2]!BaseMaestraCeDi[[#This Row],[CeDi]], '[2]Potencial Hor x CeDi'!$B$6:$BU$6, '[2]Potencial Hor x CeDi'!$B$34:$BU$34), "")</f>
        <v/>
      </c>
      <c r="CG34" s="90" t="str">
        <f>IFERROR(_xlfn.XLOOKUP([2]!BaseMaestraCeDi[[#This Row],[CeDi]], '[2]Potencial Hor x CeDi'!$B$6:$BU$6, '[2]Potencial Hor x CeDi'!$B$64:$BU$64), "")</f>
        <v/>
      </c>
      <c r="CH34" s="91" t="str">
        <f>IFERROR(_xlfn.XLOOKUP([2]!BaseMaestraCeDi[[#This Row],[CeDi]], '[2]Potencial Hor x CeDi'!$B$6:$BU$6, '[2]Potencial Hor x CeDi'!$B$38:$BU$38), "")</f>
        <v/>
      </c>
      <c r="CI34" s="90" t="str">
        <f>IFERROR(_xlfn.XLOOKUP([2]!BaseMaestraCeDi[[#This Row],[CeDi]], '[2]Potencial Hor x CeDi'!$B$6:$BU$6, '[2]Potencial Hor x CeDi'!$B$26:$BU$26), "")</f>
        <v/>
      </c>
      <c r="CJ34" s="92" t="str">
        <f>IFERROR(_xlfn.XLOOKUP([2]!BaseMaestraCeDi[[#This Row],[CeDi]], '[2]Potencial Hor x CeDi'!$B$6:$BU$6, '[2]Potencial Hor x CeDi'!$B$27:$BU$27), "")</f>
        <v/>
      </c>
      <c r="CK34" s="90" t="str">
        <f>IFERROR(_xlfn.XLOOKUP([2]!BaseMaestraCeDi[[#This Row],[CeDi]], '[2]Potencial Hor x CeDi'!$B$6:$BU$6, '[2]Potencial Hor x CeDi'!$B$28:$BU$28), "")</f>
        <v/>
      </c>
      <c r="CL34" s="92" t="str">
        <f>IFERROR(_xlfn.XLOOKUP([2]!BaseMaestraCeDi[[#This Row],[CeDi]], '[2]Potencial Hor x CeDi'!$B$6:$BU$6, '[2]Potencial Hor x CeDi'!$B$29:$BU$29), "")</f>
        <v/>
      </c>
      <c r="CM34" s="93" t="str">
        <f>IFERROR(_xlfn.XLOOKUP([2]!BaseMaestraCeDi[[#This Row],[CeDi]], '[2]Potencial Hor x CeDi'!$B$6:$BU$6, '[2]Potencial Hor x CeDi'!$B$39:$BU$39), "")</f>
        <v/>
      </c>
      <c r="CN34" s="94" t="str">
        <f>IFERROR(_xlfn.XLOOKUP([2]!BaseMaestraCeDi[[#This Row],[CeDi]], '[2]Potencial Hor x CeDi'!$B$6:$BU$6, '[2]Potencial Hor x CeDi'!$B$43:$BU$43), "")</f>
        <v/>
      </c>
      <c r="CO34" s="94" t="str">
        <f>IFERROR(_xlfn.XLOOKUP([2]!BaseMaestraCeDi[[#This Row],[CeDi]], '[2]Potencial Hor x CeDi'!$B$6:$BU$6, '[2]Potencial Hor x CeDi'!$B$46:$BU$46), "")</f>
        <v/>
      </c>
      <c r="CP34" s="86" t="str">
        <f>IFERROR(_xlfn.XLOOKUP([2]!BaseMaestraCeDi[[#This Row],[CeDi]], '[2]Potencial Hor x CeDi'!$B$6:$BU$6, '[2]Potencial Hor x CeDi'!$B$51:$BU$51), "")</f>
        <v/>
      </c>
      <c r="CQ34" s="82" t="str">
        <f>IFERROR(_xlfn.XLOOKUP([2]!BaseMaestraCeDi[[#This Row],[CeDi]], '[2]Potencial Hor x CeDi'!$B$6:$BU$6, '[2]Potencial Hor x CeDi'!$B$52:$BU$52), "")</f>
        <v/>
      </c>
      <c r="CR34" s="82" t="str">
        <f>IFERROR(_xlfn.XLOOKUP([2]!BaseMaestraCeDi[[#This Row],[CeDi]], '[2]Potencial Hor x CeDi'!$B$6:$BU$6, '[2]Potencial Hor x CeDi'!$B$53:$BU$53), "")</f>
        <v/>
      </c>
      <c r="CS34" s="87" t="str">
        <f>IFERROR(_xlfn.XLOOKUP([2]!BaseMaestraCeDi[[#This Row],[CeDi]], '[2]Potencial Hor x CeDi'!$B$6:$BU$6, '[2]Potencial Hor x CeDi'!$B$60:$BU$60), "")</f>
        <v/>
      </c>
      <c r="CT34" s="90" t="str">
        <f>IFERROR(_xlfn.XLOOKUP([2]!BaseMaestraCeDi[[#This Row],[CeDi]], '[2]Potencial Hor x CeDi'!$B$6:$BU$6, '[2]Potencial Hor x CeDi'!$B$65:$BU$65), "")</f>
        <v/>
      </c>
      <c r="CU34" s="90" t="str">
        <f>IFERROR(_xlfn.XLOOKUP([2]!BaseMaestraCeDi[[#This Row],[CeDi]], '[2]Potencial Hor x CeDi'!$B$6:$BU$6, '[2]Potencial Hor x CeDi'!$B$68:$BU$68), "")</f>
        <v/>
      </c>
      <c r="CV34" s="95" t="str">
        <f>IFERROR(_xlfn.XLOOKUP([2]!BaseMaestraCeDi[[#This Row],[CeDi]], '[2]Potencial Hor x CeDi'!$B$6:$BU$6, '[2]Potencial Hor x CeDi'!$B$71:$BU$71), "")</f>
        <v/>
      </c>
    </row>
    <row r="35" spans="1:100">
      <c r="A35" s="100" t="s">
        <v>93</v>
      </c>
      <c r="B35" s="100" t="s">
        <v>320</v>
      </c>
      <c r="C35" s="100" t="s">
        <v>442</v>
      </c>
      <c r="D35" s="101" t="s">
        <v>194</v>
      </c>
      <c r="E35" s="102" t="s">
        <v>194</v>
      </c>
      <c r="F35" s="103" t="s">
        <v>194</v>
      </c>
      <c r="G35" s="103" t="s">
        <v>194</v>
      </c>
      <c r="H35" s="104" t="s">
        <v>194</v>
      </c>
      <c r="I35" s="105" t="s">
        <v>194</v>
      </c>
      <c r="J35" s="105" t="s">
        <v>194</v>
      </c>
      <c r="K35" s="105" t="s">
        <v>194</v>
      </c>
      <c r="L35" s="104" t="s">
        <v>194</v>
      </c>
      <c r="M35" s="106" t="s">
        <v>194</v>
      </c>
      <c r="N35" s="107" t="s">
        <v>194</v>
      </c>
      <c r="O35" s="102" t="s">
        <v>194</v>
      </c>
      <c r="P35" s="103" t="s">
        <v>194</v>
      </c>
      <c r="Q35" s="103" t="s">
        <v>194</v>
      </c>
      <c r="R35" s="108" t="s">
        <v>194</v>
      </c>
      <c r="S35" s="107" t="s">
        <v>194</v>
      </c>
      <c r="T35" s="125" t="s">
        <v>194</v>
      </c>
      <c r="U35" s="106" t="s">
        <v>194</v>
      </c>
      <c r="V35" s="106" t="s">
        <v>194</v>
      </c>
      <c r="W35" s="106" t="s">
        <v>194</v>
      </c>
      <c r="X35" s="106" t="s">
        <v>194</v>
      </c>
      <c r="Y35" s="104" t="s">
        <v>194</v>
      </c>
      <c r="Z35" s="105" t="s">
        <v>194</v>
      </c>
      <c r="AA35" s="105" t="s">
        <v>194</v>
      </c>
      <c r="AB35" s="105" t="s">
        <v>194</v>
      </c>
      <c r="AC35" s="101">
        <v>0</v>
      </c>
      <c r="AD35" s="109">
        <v>0</v>
      </c>
      <c r="AE35" s="101">
        <v>0</v>
      </c>
      <c r="AF35" s="109">
        <v>0</v>
      </c>
      <c r="AG35" s="110" t="s">
        <v>194</v>
      </c>
      <c r="AH35" s="106" t="s">
        <v>194</v>
      </c>
      <c r="AI35" s="101">
        <v>0</v>
      </c>
      <c r="AJ35" s="109">
        <v>0</v>
      </c>
      <c r="AK35" s="106" t="s">
        <v>194</v>
      </c>
      <c r="AL35" s="104">
        <v>0</v>
      </c>
      <c r="AM35" s="105">
        <v>0</v>
      </c>
      <c r="AN35" s="106" t="s">
        <v>194</v>
      </c>
      <c r="AO35" s="104">
        <v>0</v>
      </c>
      <c r="AP35" s="106">
        <v>0</v>
      </c>
      <c r="AQ35" s="109" t="s">
        <v>194</v>
      </c>
      <c r="AR35" s="101">
        <v>0</v>
      </c>
      <c r="AS35" s="105">
        <v>0</v>
      </c>
      <c r="AT35" s="104">
        <v>0</v>
      </c>
      <c r="AU35" s="101">
        <v>1</v>
      </c>
      <c r="AV35" s="109">
        <v>0</v>
      </c>
      <c r="AW35" s="109">
        <v>0</v>
      </c>
      <c r="AX35" s="109">
        <v>0</v>
      </c>
      <c r="AY35" s="110">
        <v>0</v>
      </c>
      <c r="AZ35" s="109">
        <v>0</v>
      </c>
      <c r="BA35" s="102" t="s">
        <v>194</v>
      </c>
      <c r="BB35" s="106" t="s">
        <v>194</v>
      </c>
      <c r="BC35" s="111" t="s">
        <v>194</v>
      </c>
      <c r="BD35" s="74" t="s">
        <v>1143</v>
      </c>
      <c r="BE35" s="88" t="str">
        <f>IFERROR(_xlfn.XLOOKUP([2]!BaseMaestraCeDi[[#This Row],[CeDi]], '[2]Potencial Hor x CeDi'!$B$6:$BU$6, '[2]Potencial Hor x CeDi'!$B$21:$BU$21) / 1000, "")</f>
        <v/>
      </c>
      <c r="BF35" s="89" t="str">
        <f>IFERROR(_xlfn.XLOOKUP([2]!BaseMaestraCeDi[[#This Row],[CeDi]], '[2]Potencial Hor x CeDi'!$B$6:$BU$6, '[2]Potencial Hor x CeDi'!$B$22:$BU$22) / 1000, "")</f>
        <v/>
      </c>
      <c r="BG35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35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35" s="78" t="str">
        <f>IFERROR(INDEX('[2]Potencial Hor SocioDem x CeDi'!$C$2:$AF$81, MATCH($C35,'[2]Potencial Hor SocioDem x CeDi'!$B$2:$B$81,0), MATCH(BI$4,'[2]Potencial Hor SocioDem x CeDi'!$C$1:$AF$1,0)), "")</f>
        <v/>
      </c>
      <c r="BJ35" s="78" t="str">
        <f>IFERROR(INDEX('[2]Potencial Hor SocioDem x CeDi'!$C$2:$AF$81, MATCH($C35,'[2]Potencial Hor SocioDem x CeDi'!$B$2:$B$81,0), MATCH(BJ$4,'[2]Potencial Hor SocioDem x CeDi'!$C$1:$AF$1,0)), "")</f>
        <v/>
      </c>
      <c r="BK35" s="78" t="str">
        <f>IFERROR(INDEX('[2]Potencial Hor SocioDem x CeDi'!$C$2:$AF$81, MATCH($C35,'[2]Potencial Hor SocioDem x CeDi'!$B$2:$B$81,0), MATCH(BK$4,'[2]Potencial Hor SocioDem x CeDi'!$C$1:$AF$1,0)), "")</f>
        <v/>
      </c>
      <c r="BL35" s="79" t="str">
        <f>IFERROR(INDEX('[2]Potencial Hor SocioDem x CeDi'!$C$2:$AF$81, MATCH($C35,'[2]Potencial Hor SocioDem x CeDi'!$B$2:$B$81,0), MATCH(BL$4,'[2]Potencial Hor SocioDem x CeDi'!$C$1:$AF$1,0)), "")</f>
        <v/>
      </c>
      <c r="BM35" s="79" t="str">
        <f>IFERROR(INDEX('[2]Potencial Hor SocioDem x CeDi'!$C$2:$AF$81, MATCH($C35,'[2]Potencial Hor SocioDem x CeDi'!$B$2:$B$81,0), MATCH(BM$4,'[2]Potencial Hor SocioDem x CeDi'!$C$1:$AF$1,0)), "")</f>
        <v/>
      </c>
      <c r="BN35" s="78" t="str">
        <f>IFERROR(INDEX('[2]Potencial Hor SocioDem x CeDi'!$C$2:$AF$81, MATCH($C35,'[2]Potencial Hor SocioDem x CeDi'!$B$2:$B$81,0), MATCH(BN$4,'[2]Potencial Hor SocioDem x CeDi'!$C$1:$AF$1,0)), "")</f>
        <v/>
      </c>
      <c r="BO35" s="78" t="str">
        <f>IFERROR(INDEX('[2]Potencial Hor SocioDem x CeDi'!$C$2:$AF$81, MATCH($C35,'[2]Potencial Hor SocioDem x CeDi'!$B$2:$B$81,0), MATCH(BO$4,'[2]Potencial Hor SocioDem x CeDi'!$C$1:$AF$1,0)), "")</f>
        <v/>
      </c>
      <c r="BP35" s="78" t="str">
        <f>IFERROR(INDEX('[2]Potencial Hor SocioDem x CeDi'!$C$2:$AF$81, MATCH($C35,'[2]Potencial Hor SocioDem x CeDi'!$B$2:$B$81,0), MATCH(BP$4,'[2]Potencial Hor SocioDem x CeDi'!$C$1:$AF$1,0)), "")</f>
        <v/>
      </c>
      <c r="BQ35" s="80" t="str">
        <f>IFERROR(INDEX('[2]Potencial Hor SocioDem x CeDi'!$C$2:$AF$81, MATCH($C35,'[2]Potencial Hor SocioDem x CeDi'!$B$2:$B$81,0), MATCH(BQ$4,'[2]Potencial Hor SocioDem x CeDi'!$C$1:$AF$1,0)), "")</f>
        <v/>
      </c>
      <c r="BR35" s="80" t="str">
        <f>IFERROR(INDEX('[2]Potencial Hor SocioDem x CeDi'!$C$2:$AF$81, MATCH($C35,'[2]Potencial Hor SocioDem x CeDi'!$B$2:$B$81,0), MATCH(BR$4,'[2]Potencial Hor SocioDem x CeDi'!$C$1:$AF$1,0)), "")</f>
        <v/>
      </c>
      <c r="BS35" s="80" t="str">
        <f>IFERROR(INDEX('[2]Potencial Hor SocioDem x CeDi'!$C$2:$AF$81, MATCH($C35,'[2]Potencial Hor SocioDem x CeDi'!$B$2:$B$81,0), MATCH(BS$4,'[2]Potencial Hor SocioDem x CeDi'!$C$1:$AF$1,0)), "")</f>
        <v/>
      </c>
      <c r="BT35" s="80" t="str">
        <f>IFERROR(INDEX('[2]Potencial Hor SocioDem x CeDi'!$C$2:$AF$81, MATCH($C35,'[2]Potencial Hor SocioDem x CeDi'!$B$2:$B$81,0), MATCH(BT$4,'[2]Potencial Hor SocioDem x CeDi'!$C$1:$AF$1,0)), "")</f>
        <v/>
      </c>
      <c r="BU35" s="80" t="str">
        <f>IFERROR(INDEX('[2]Potencial Hor SocioDem x CeDi'!$C$2:$AF$81, MATCH($C35,'[2]Potencial Hor SocioDem x CeDi'!$B$2:$B$81,0), MATCH(BU$4,'[2]Potencial Hor SocioDem x CeDi'!$C$1:$AF$1,0)), "")</f>
        <v/>
      </c>
      <c r="BV35" s="80" t="str">
        <f>IFERROR(INDEX('[2]Potencial Hor SocioDem x CeDi'!$C$2:$AF$81, MATCH($C35,'[2]Potencial Hor SocioDem x CeDi'!$B$2:$B$81,0), MATCH(BV$4,'[2]Potencial Hor SocioDem x CeDi'!$C$1:$AF$1,0)), "")</f>
        <v/>
      </c>
      <c r="BW35" s="80" t="str">
        <f>IFERROR(INDEX('[2]Potencial Hor SocioDem x CeDi'!$C$2:$AF$81, MATCH($C35,'[2]Potencial Hor SocioDem x CeDi'!$B$2:$B$81,0), MATCH(BW$4,'[2]Potencial Hor SocioDem x CeDi'!$C$1:$AF$1,0)), "")</f>
        <v/>
      </c>
      <c r="BX35" s="80" t="str">
        <f>IFERROR(INDEX('[2]Potencial Hor SocioDem x CeDi'!$C$2:$AF$81, MATCH($C35,'[2]Potencial Hor SocioDem x CeDi'!$B$2:$B$81,0), MATCH(BX$4,'[2]Potencial Hor SocioDem x CeDi'!$C$1:$AF$1,0)), "")</f>
        <v/>
      </c>
      <c r="BY35" s="80" t="str">
        <f>IFERROR(INDEX('[2]Potencial Hor SocioDem x CeDi'!$C$2:$AF$81, MATCH($C35,'[2]Potencial Hor SocioDem x CeDi'!$B$2:$B$81,0), MATCH(BY$4,'[2]Potencial Hor SocioDem x CeDi'!$C$1:$AF$1,0)), "")</f>
        <v/>
      </c>
      <c r="BZ35" s="79" t="str">
        <f>IFERROR(INDEX('[2]Potencial Hor SocioDem x CeDi'!$C$2:$AF$81, MATCH($C35,'[2]Potencial Hor SocioDem x CeDi'!$B$2:$B$81,0), MATCH(BZ$4,'[2]Potencial Hor SocioDem x CeDi'!$C$1:$AF$1,0)), "")</f>
        <v/>
      </c>
      <c r="CA35" s="79" t="str">
        <f>IFERROR(INDEX('[2]Potencial Hor SocioDem x CeDi'!$C$2:$AF$81, MATCH($C35,'[2]Potencial Hor SocioDem x CeDi'!$B$2:$B$81,0), MATCH(CA$4,'[2]Potencial Hor SocioDem x CeDi'!$C$1:$AF$1,0)), "")</f>
        <v/>
      </c>
      <c r="CB35" s="81" t="str">
        <f>IFERROR(INDEX('[2]Potencial Hor SocioDem x CeDi'!$C$2:$AF$81, MATCH($C35,'[2]Potencial Hor SocioDem x CeDi'!$B$2:$B$81,0), MATCH(CB$4,'[2]Potencial Hor SocioDem x CeDi'!$C$1:$AF$1,0)), "")</f>
        <v/>
      </c>
      <c r="CC35" s="82" t="str">
        <f>IFERROR(INDEX('[2]Potencial Hor SocioDem x CeDi'!$C$2:$AF$81, MATCH($C35,'[2]Potencial Hor SocioDem x CeDi'!$B$2:$B$81,0), MATCH(CC$4,'[2]Potencial Hor SocioDem x CeDi'!$C$1:$AF$1,0)), "")</f>
        <v/>
      </c>
      <c r="CD35" s="83" t="str">
        <f>IFERROR(INDEX('[2]Potencial Hor SocioDem x CeDi'!$C$2:$AF$81, MATCH($C35,'[2]Potencial Hor SocioDem x CeDi'!$B$2:$B$81,0), MATCH(CD$4,'[2]Potencial Hor SocioDem x CeDi'!$C$1:$AF$1,0)), "")</f>
        <v/>
      </c>
      <c r="CE35" s="78" t="str">
        <f>IFERROR(_xlfn.XLOOKUP([2]!BaseMaestraCeDi[[#This Row],[CeDi]], '[2]Potencial Hor x CeDi'!$B$6:$BU$6, '[2]Potencial Hor x CeDi'!$B$50:$BU$50), "")</f>
        <v/>
      </c>
      <c r="CF35" s="90" t="str">
        <f>IFERROR(_xlfn.XLOOKUP([2]!BaseMaestraCeDi[[#This Row],[CeDi]], '[2]Potencial Hor x CeDi'!$B$6:$BU$6, '[2]Potencial Hor x CeDi'!$B$34:$BU$34), "")</f>
        <v/>
      </c>
      <c r="CG35" s="90" t="str">
        <f>IFERROR(_xlfn.XLOOKUP([2]!BaseMaestraCeDi[[#This Row],[CeDi]], '[2]Potencial Hor x CeDi'!$B$6:$BU$6, '[2]Potencial Hor x CeDi'!$B$64:$BU$64), "")</f>
        <v/>
      </c>
      <c r="CH35" s="91" t="str">
        <f>IFERROR(_xlfn.XLOOKUP([2]!BaseMaestraCeDi[[#This Row],[CeDi]], '[2]Potencial Hor x CeDi'!$B$6:$BU$6, '[2]Potencial Hor x CeDi'!$B$38:$BU$38), "")</f>
        <v/>
      </c>
      <c r="CI35" s="90" t="str">
        <f>IFERROR(_xlfn.XLOOKUP([2]!BaseMaestraCeDi[[#This Row],[CeDi]], '[2]Potencial Hor x CeDi'!$B$6:$BU$6, '[2]Potencial Hor x CeDi'!$B$26:$BU$26), "")</f>
        <v/>
      </c>
      <c r="CJ35" s="92" t="str">
        <f>IFERROR(_xlfn.XLOOKUP([2]!BaseMaestraCeDi[[#This Row],[CeDi]], '[2]Potencial Hor x CeDi'!$B$6:$BU$6, '[2]Potencial Hor x CeDi'!$B$27:$BU$27), "")</f>
        <v/>
      </c>
      <c r="CK35" s="90" t="str">
        <f>IFERROR(_xlfn.XLOOKUP([2]!BaseMaestraCeDi[[#This Row],[CeDi]], '[2]Potencial Hor x CeDi'!$B$6:$BU$6, '[2]Potencial Hor x CeDi'!$B$28:$BU$28), "")</f>
        <v/>
      </c>
      <c r="CL35" s="92" t="str">
        <f>IFERROR(_xlfn.XLOOKUP([2]!BaseMaestraCeDi[[#This Row],[CeDi]], '[2]Potencial Hor x CeDi'!$B$6:$BU$6, '[2]Potencial Hor x CeDi'!$B$29:$BU$29), "")</f>
        <v/>
      </c>
      <c r="CM35" s="93" t="str">
        <f>IFERROR(_xlfn.XLOOKUP([2]!BaseMaestraCeDi[[#This Row],[CeDi]], '[2]Potencial Hor x CeDi'!$B$6:$BU$6, '[2]Potencial Hor x CeDi'!$B$39:$BU$39), "")</f>
        <v/>
      </c>
      <c r="CN35" s="94" t="str">
        <f>IFERROR(_xlfn.XLOOKUP([2]!BaseMaestraCeDi[[#This Row],[CeDi]], '[2]Potencial Hor x CeDi'!$B$6:$BU$6, '[2]Potencial Hor x CeDi'!$B$43:$BU$43), "")</f>
        <v/>
      </c>
      <c r="CO35" s="94" t="str">
        <f>IFERROR(_xlfn.XLOOKUP([2]!BaseMaestraCeDi[[#This Row],[CeDi]], '[2]Potencial Hor x CeDi'!$B$6:$BU$6, '[2]Potencial Hor x CeDi'!$B$46:$BU$46), "")</f>
        <v/>
      </c>
      <c r="CP35" s="86" t="str">
        <f>IFERROR(_xlfn.XLOOKUP([2]!BaseMaestraCeDi[[#This Row],[CeDi]], '[2]Potencial Hor x CeDi'!$B$6:$BU$6, '[2]Potencial Hor x CeDi'!$B$51:$BU$51), "")</f>
        <v/>
      </c>
      <c r="CQ35" s="82" t="str">
        <f>IFERROR(_xlfn.XLOOKUP([2]!BaseMaestraCeDi[[#This Row],[CeDi]], '[2]Potencial Hor x CeDi'!$B$6:$BU$6, '[2]Potencial Hor x CeDi'!$B$52:$BU$52), "")</f>
        <v/>
      </c>
      <c r="CR35" s="82" t="str">
        <f>IFERROR(_xlfn.XLOOKUP([2]!BaseMaestraCeDi[[#This Row],[CeDi]], '[2]Potencial Hor x CeDi'!$B$6:$BU$6, '[2]Potencial Hor x CeDi'!$B$53:$BU$53), "")</f>
        <v/>
      </c>
      <c r="CS35" s="87" t="str">
        <f>IFERROR(_xlfn.XLOOKUP([2]!BaseMaestraCeDi[[#This Row],[CeDi]], '[2]Potencial Hor x CeDi'!$B$6:$BU$6, '[2]Potencial Hor x CeDi'!$B$60:$BU$60), "")</f>
        <v/>
      </c>
      <c r="CT35" s="90" t="str">
        <f>IFERROR(_xlfn.XLOOKUP([2]!BaseMaestraCeDi[[#This Row],[CeDi]], '[2]Potencial Hor x CeDi'!$B$6:$BU$6, '[2]Potencial Hor x CeDi'!$B$65:$BU$65), "")</f>
        <v/>
      </c>
      <c r="CU35" s="90" t="str">
        <f>IFERROR(_xlfn.XLOOKUP([2]!BaseMaestraCeDi[[#This Row],[CeDi]], '[2]Potencial Hor x CeDi'!$B$6:$BU$6, '[2]Potencial Hor x CeDi'!$B$68:$BU$68), "")</f>
        <v/>
      </c>
      <c r="CV35" s="95" t="str">
        <f>IFERROR(_xlfn.XLOOKUP([2]!BaseMaestraCeDi[[#This Row],[CeDi]], '[2]Potencial Hor x CeDi'!$B$6:$BU$6, '[2]Potencial Hor x CeDi'!$B$71:$BU$71), "")</f>
        <v/>
      </c>
    </row>
    <row r="36" spans="1:100">
      <c r="A36" s="112" t="s">
        <v>93</v>
      </c>
      <c r="B36" s="112" t="s">
        <v>320</v>
      </c>
      <c r="C36" s="112" t="s">
        <v>444</v>
      </c>
      <c r="D36" s="113" t="s">
        <v>194</v>
      </c>
      <c r="E36" s="114" t="s">
        <v>194</v>
      </c>
      <c r="F36" s="115" t="s">
        <v>194</v>
      </c>
      <c r="G36" s="115" t="s">
        <v>194</v>
      </c>
      <c r="H36" s="116" t="s">
        <v>194</v>
      </c>
      <c r="I36" s="117" t="s">
        <v>194</v>
      </c>
      <c r="J36" s="117" t="s">
        <v>194</v>
      </c>
      <c r="K36" s="117" t="s">
        <v>194</v>
      </c>
      <c r="L36" s="116" t="s">
        <v>194</v>
      </c>
      <c r="M36" s="118" t="s">
        <v>194</v>
      </c>
      <c r="N36" s="119" t="s">
        <v>194</v>
      </c>
      <c r="O36" s="114" t="s">
        <v>194</v>
      </c>
      <c r="P36" s="115" t="s">
        <v>194</v>
      </c>
      <c r="Q36" s="115" t="s">
        <v>194</v>
      </c>
      <c r="R36" s="120" t="s">
        <v>194</v>
      </c>
      <c r="S36" s="119" t="s">
        <v>194</v>
      </c>
      <c r="T36" s="121" t="s">
        <v>194</v>
      </c>
      <c r="U36" s="118" t="s">
        <v>194</v>
      </c>
      <c r="V36" s="118" t="s">
        <v>194</v>
      </c>
      <c r="W36" s="118" t="s">
        <v>194</v>
      </c>
      <c r="X36" s="118" t="s">
        <v>194</v>
      </c>
      <c r="Y36" s="116" t="s">
        <v>194</v>
      </c>
      <c r="Z36" s="117" t="s">
        <v>194</v>
      </c>
      <c r="AA36" s="117" t="s">
        <v>194</v>
      </c>
      <c r="AB36" s="117" t="s">
        <v>194</v>
      </c>
      <c r="AC36" s="113">
        <v>0</v>
      </c>
      <c r="AD36" s="122">
        <v>0</v>
      </c>
      <c r="AE36" s="113">
        <v>0</v>
      </c>
      <c r="AF36" s="122">
        <v>0</v>
      </c>
      <c r="AG36" s="123" t="s">
        <v>194</v>
      </c>
      <c r="AH36" s="118" t="s">
        <v>194</v>
      </c>
      <c r="AI36" s="113">
        <v>0</v>
      </c>
      <c r="AJ36" s="122">
        <v>0</v>
      </c>
      <c r="AK36" s="118" t="s">
        <v>194</v>
      </c>
      <c r="AL36" s="116">
        <v>0</v>
      </c>
      <c r="AM36" s="117">
        <v>0</v>
      </c>
      <c r="AN36" s="118" t="s">
        <v>194</v>
      </c>
      <c r="AO36" s="116">
        <v>0</v>
      </c>
      <c r="AP36" s="118">
        <v>0</v>
      </c>
      <c r="AQ36" s="122" t="s">
        <v>194</v>
      </c>
      <c r="AR36" s="113">
        <v>0</v>
      </c>
      <c r="AS36" s="117">
        <v>0</v>
      </c>
      <c r="AT36" s="116">
        <v>0</v>
      </c>
      <c r="AU36" s="113">
        <v>1</v>
      </c>
      <c r="AV36" s="122">
        <v>0</v>
      </c>
      <c r="AW36" s="122">
        <v>0</v>
      </c>
      <c r="AX36" s="122">
        <v>0</v>
      </c>
      <c r="AY36" s="123">
        <v>0</v>
      </c>
      <c r="AZ36" s="122">
        <v>0</v>
      </c>
      <c r="BA36" s="114" t="s">
        <v>194</v>
      </c>
      <c r="BB36" s="118" t="s">
        <v>194</v>
      </c>
      <c r="BC36" s="124" t="s">
        <v>194</v>
      </c>
      <c r="BD36" s="74" t="s">
        <v>1144</v>
      </c>
      <c r="BE36" s="88" t="str">
        <f>IFERROR(_xlfn.XLOOKUP([2]!BaseMaestraCeDi[[#This Row],[CeDi]], '[2]Potencial Hor x CeDi'!$B$6:$BU$6, '[2]Potencial Hor x CeDi'!$B$21:$BU$21) / 1000, "")</f>
        <v/>
      </c>
      <c r="BF36" s="89" t="str">
        <f>IFERROR(_xlfn.XLOOKUP([2]!BaseMaestraCeDi[[#This Row],[CeDi]], '[2]Potencial Hor x CeDi'!$B$6:$BU$6, '[2]Potencial Hor x CeDi'!$B$22:$BU$22) / 1000, "")</f>
        <v/>
      </c>
      <c r="BG36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36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36" s="78" t="str">
        <f>IFERROR(INDEX('[2]Potencial Hor SocioDem x CeDi'!$C$2:$AF$81, MATCH($C36,'[2]Potencial Hor SocioDem x CeDi'!$B$2:$B$81,0), MATCH(BI$4,'[2]Potencial Hor SocioDem x CeDi'!$C$1:$AF$1,0)), "")</f>
        <v/>
      </c>
      <c r="BJ36" s="78" t="str">
        <f>IFERROR(INDEX('[2]Potencial Hor SocioDem x CeDi'!$C$2:$AF$81, MATCH($C36,'[2]Potencial Hor SocioDem x CeDi'!$B$2:$B$81,0), MATCH(BJ$4,'[2]Potencial Hor SocioDem x CeDi'!$C$1:$AF$1,0)), "")</f>
        <v/>
      </c>
      <c r="BK36" s="78" t="str">
        <f>IFERROR(INDEX('[2]Potencial Hor SocioDem x CeDi'!$C$2:$AF$81, MATCH($C36,'[2]Potencial Hor SocioDem x CeDi'!$B$2:$B$81,0), MATCH(BK$4,'[2]Potencial Hor SocioDem x CeDi'!$C$1:$AF$1,0)), "")</f>
        <v/>
      </c>
      <c r="BL36" s="79" t="str">
        <f>IFERROR(INDEX('[2]Potencial Hor SocioDem x CeDi'!$C$2:$AF$81, MATCH($C36,'[2]Potencial Hor SocioDem x CeDi'!$B$2:$B$81,0), MATCH(BL$4,'[2]Potencial Hor SocioDem x CeDi'!$C$1:$AF$1,0)), "")</f>
        <v/>
      </c>
      <c r="BM36" s="79" t="str">
        <f>IFERROR(INDEX('[2]Potencial Hor SocioDem x CeDi'!$C$2:$AF$81, MATCH($C36,'[2]Potencial Hor SocioDem x CeDi'!$B$2:$B$81,0), MATCH(BM$4,'[2]Potencial Hor SocioDem x CeDi'!$C$1:$AF$1,0)), "")</f>
        <v/>
      </c>
      <c r="BN36" s="78" t="str">
        <f>IFERROR(INDEX('[2]Potencial Hor SocioDem x CeDi'!$C$2:$AF$81, MATCH($C36,'[2]Potencial Hor SocioDem x CeDi'!$B$2:$B$81,0), MATCH(BN$4,'[2]Potencial Hor SocioDem x CeDi'!$C$1:$AF$1,0)), "")</f>
        <v/>
      </c>
      <c r="BO36" s="78" t="str">
        <f>IFERROR(INDEX('[2]Potencial Hor SocioDem x CeDi'!$C$2:$AF$81, MATCH($C36,'[2]Potencial Hor SocioDem x CeDi'!$B$2:$B$81,0), MATCH(BO$4,'[2]Potencial Hor SocioDem x CeDi'!$C$1:$AF$1,0)), "")</f>
        <v/>
      </c>
      <c r="BP36" s="78" t="str">
        <f>IFERROR(INDEX('[2]Potencial Hor SocioDem x CeDi'!$C$2:$AF$81, MATCH($C36,'[2]Potencial Hor SocioDem x CeDi'!$B$2:$B$81,0), MATCH(BP$4,'[2]Potencial Hor SocioDem x CeDi'!$C$1:$AF$1,0)), "")</f>
        <v/>
      </c>
      <c r="BQ36" s="80" t="str">
        <f>IFERROR(INDEX('[2]Potencial Hor SocioDem x CeDi'!$C$2:$AF$81, MATCH($C36,'[2]Potencial Hor SocioDem x CeDi'!$B$2:$B$81,0), MATCH(BQ$4,'[2]Potencial Hor SocioDem x CeDi'!$C$1:$AF$1,0)), "")</f>
        <v/>
      </c>
      <c r="BR36" s="80" t="str">
        <f>IFERROR(INDEX('[2]Potencial Hor SocioDem x CeDi'!$C$2:$AF$81, MATCH($C36,'[2]Potencial Hor SocioDem x CeDi'!$B$2:$B$81,0), MATCH(BR$4,'[2]Potencial Hor SocioDem x CeDi'!$C$1:$AF$1,0)), "")</f>
        <v/>
      </c>
      <c r="BS36" s="80" t="str">
        <f>IFERROR(INDEX('[2]Potencial Hor SocioDem x CeDi'!$C$2:$AF$81, MATCH($C36,'[2]Potencial Hor SocioDem x CeDi'!$B$2:$B$81,0), MATCH(BS$4,'[2]Potencial Hor SocioDem x CeDi'!$C$1:$AF$1,0)), "")</f>
        <v/>
      </c>
      <c r="BT36" s="80" t="str">
        <f>IFERROR(INDEX('[2]Potencial Hor SocioDem x CeDi'!$C$2:$AF$81, MATCH($C36,'[2]Potencial Hor SocioDem x CeDi'!$B$2:$B$81,0), MATCH(BT$4,'[2]Potencial Hor SocioDem x CeDi'!$C$1:$AF$1,0)), "")</f>
        <v/>
      </c>
      <c r="BU36" s="80" t="str">
        <f>IFERROR(INDEX('[2]Potencial Hor SocioDem x CeDi'!$C$2:$AF$81, MATCH($C36,'[2]Potencial Hor SocioDem x CeDi'!$B$2:$B$81,0), MATCH(BU$4,'[2]Potencial Hor SocioDem x CeDi'!$C$1:$AF$1,0)), "")</f>
        <v/>
      </c>
      <c r="BV36" s="80" t="str">
        <f>IFERROR(INDEX('[2]Potencial Hor SocioDem x CeDi'!$C$2:$AF$81, MATCH($C36,'[2]Potencial Hor SocioDem x CeDi'!$B$2:$B$81,0), MATCH(BV$4,'[2]Potencial Hor SocioDem x CeDi'!$C$1:$AF$1,0)), "")</f>
        <v/>
      </c>
      <c r="BW36" s="80" t="str">
        <f>IFERROR(INDEX('[2]Potencial Hor SocioDem x CeDi'!$C$2:$AF$81, MATCH($C36,'[2]Potencial Hor SocioDem x CeDi'!$B$2:$B$81,0), MATCH(BW$4,'[2]Potencial Hor SocioDem x CeDi'!$C$1:$AF$1,0)), "")</f>
        <v/>
      </c>
      <c r="BX36" s="80" t="str">
        <f>IFERROR(INDEX('[2]Potencial Hor SocioDem x CeDi'!$C$2:$AF$81, MATCH($C36,'[2]Potencial Hor SocioDem x CeDi'!$B$2:$B$81,0), MATCH(BX$4,'[2]Potencial Hor SocioDem x CeDi'!$C$1:$AF$1,0)), "")</f>
        <v/>
      </c>
      <c r="BY36" s="80" t="str">
        <f>IFERROR(INDEX('[2]Potencial Hor SocioDem x CeDi'!$C$2:$AF$81, MATCH($C36,'[2]Potencial Hor SocioDem x CeDi'!$B$2:$B$81,0), MATCH(BY$4,'[2]Potencial Hor SocioDem x CeDi'!$C$1:$AF$1,0)), "")</f>
        <v/>
      </c>
      <c r="BZ36" s="79" t="str">
        <f>IFERROR(INDEX('[2]Potencial Hor SocioDem x CeDi'!$C$2:$AF$81, MATCH($C36,'[2]Potencial Hor SocioDem x CeDi'!$B$2:$B$81,0), MATCH(BZ$4,'[2]Potencial Hor SocioDem x CeDi'!$C$1:$AF$1,0)), "")</f>
        <v/>
      </c>
      <c r="CA36" s="79" t="str">
        <f>IFERROR(INDEX('[2]Potencial Hor SocioDem x CeDi'!$C$2:$AF$81, MATCH($C36,'[2]Potencial Hor SocioDem x CeDi'!$B$2:$B$81,0), MATCH(CA$4,'[2]Potencial Hor SocioDem x CeDi'!$C$1:$AF$1,0)), "")</f>
        <v/>
      </c>
      <c r="CB36" s="81" t="str">
        <f>IFERROR(INDEX('[2]Potencial Hor SocioDem x CeDi'!$C$2:$AF$81, MATCH($C36,'[2]Potencial Hor SocioDem x CeDi'!$B$2:$B$81,0), MATCH(CB$4,'[2]Potencial Hor SocioDem x CeDi'!$C$1:$AF$1,0)), "")</f>
        <v/>
      </c>
      <c r="CC36" s="82" t="str">
        <f>IFERROR(INDEX('[2]Potencial Hor SocioDem x CeDi'!$C$2:$AF$81, MATCH($C36,'[2]Potencial Hor SocioDem x CeDi'!$B$2:$B$81,0), MATCH(CC$4,'[2]Potencial Hor SocioDem x CeDi'!$C$1:$AF$1,0)), "")</f>
        <v/>
      </c>
      <c r="CD36" s="83" t="str">
        <f>IFERROR(INDEX('[2]Potencial Hor SocioDem x CeDi'!$C$2:$AF$81, MATCH($C36,'[2]Potencial Hor SocioDem x CeDi'!$B$2:$B$81,0), MATCH(CD$4,'[2]Potencial Hor SocioDem x CeDi'!$C$1:$AF$1,0)), "")</f>
        <v/>
      </c>
      <c r="CE36" s="78" t="str">
        <f>IFERROR(_xlfn.XLOOKUP([2]!BaseMaestraCeDi[[#This Row],[CeDi]], '[2]Potencial Hor x CeDi'!$B$6:$BU$6, '[2]Potencial Hor x CeDi'!$B$50:$BU$50), "")</f>
        <v/>
      </c>
      <c r="CF36" s="90" t="str">
        <f>IFERROR(_xlfn.XLOOKUP([2]!BaseMaestraCeDi[[#This Row],[CeDi]], '[2]Potencial Hor x CeDi'!$B$6:$BU$6, '[2]Potencial Hor x CeDi'!$B$34:$BU$34), "")</f>
        <v/>
      </c>
      <c r="CG36" s="90" t="str">
        <f>IFERROR(_xlfn.XLOOKUP([2]!BaseMaestraCeDi[[#This Row],[CeDi]], '[2]Potencial Hor x CeDi'!$B$6:$BU$6, '[2]Potencial Hor x CeDi'!$B$64:$BU$64), "")</f>
        <v/>
      </c>
      <c r="CH36" s="91" t="str">
        <f>IFERROR(_xlfn.XLOOKUP([2]!BaseMaestraCeDi[[#This Row],[CeDi]], '[2]Potencial Hor x CeDi'!$B$6:$BU$6, '[2]Potencial Hor x CeDi'!$B$38:$BU$38), "")</f>
        <v/>
      </c>
      <c r="CI36" s="90" t="str">
        <f>IFERROR(_xlfn.XLOOKUP([2]!BaseMaestraCeDi[[#This Row],[CeDi]], '[2]Potencial Hor x CeDi'!$B$6:$BU$6, '[2]Potencial Hor x CeDi'!$B$26:$BU$26), "")</f>
        <v/>
      </c>
      <c r="CJ36" s="92" t="str">
        <f>IFERROR(_xlfn.XLOOKUP([2]!BaseMaestraCeDi[[#This Row],[CeDi]], '[2]Potencial Hor x CeDi'!$B$6:$BU$6, '[2]Potencial Hor x CeDi'!$B$27:$BU$27), "")</f>
        <v/>
      </c>
      <c r="CK36" s="90" t="str">
        <f>IFERROR(_xlfn.XLOOKUP([2]!BaseMaestraCeDi[[#This Row],[CeDi]], '[2]Potencial Hor x CeDi'!$B$6:$BU$6, '[2]Potencial Hor x CeDi'!$B$28:$BU$28), "")</f>
        <v/>
      </c>
      <c r="CL36" s="92" t="str">
        <f>IFERROR(_xlfn.XLOOKUP([2]!BaseMaestraCeDi[[#This Row],[CeDi]], '[2]Potencial Hor x CeDi'!$B$6:$BU$6, '[2]Potencial Hor x CeDi'!$B$29:$BU$29), "")</f>
        <v/>
      </c>
      <c r="CM36" s="93" t="str">
        <f>IFERROR(_xlfn.XLOOKUP([2]!BaseMaestraCeDi[[#This Row],[CeDi]], '[2]Potencial Hor x CeDi'!$B$6:$BU$6, '[2]Potencial Hor x CeDi'!$B$39:$BU$39), "")</f>
        <v/>
      </c>
      <c r="CN36" s="94" t="str">
        <f>IFERROR(_xlfn.XLOOKUP([2]!BaseMaestraCeDi[[#This Row],[CeDi]], '[2]Potencial Hor x CeDi'!$B$6:$BU$6, '[2]Potencial Hor x CeDi'!$B$43:$BU$43), "")</f>
        <v/>
      </c>
      <c r="CO36" s="94" t="str">
        <f>IFERROR(_xlfn.XLOOKUP([2]!BaseMaestraCeDi[[#This Row],[CeDi]], '[2]Potencial Hor x CeDi'!$B$6:$BU$6, '[2]Potencial Hor x CeDi'!$B$46:$BU$46), "")</f>
        <v/>
      </c>
      <c r="CP36" s="86" t="str">
        <f>IFERROR(_xlfn.XLOOKUP([2]!BaseMaestraCeDi[[#This Row],[CeDi]], '[2]Potencial Hor x CeDi'!$B$6:$BU$6, '[2]Potencial Hor x CeDi'!$B$51:$BU$51), "")</f>
        <v/>
      </c>
      <c r="CQ36" s="82" t="str">
        <f>IFERROR(_xlfn.XLOOKUP([2]!BaseMaestraCeDi[[#This Row],[CeDi]], '[2]Potencial Hor x CeDi'!$B$6:$BU$6, '[2]Potencial Hor x CeDi'!$B$52:$BU$52), "")</f>
        <v/>
      </c>
      <c r="CR36" s="82" t="str">
        <f>IFERROR(_xlfn.XLOOKUP([2]!BaseMaestraCeDi[[#This Row],[CeDi]], '[2]Potencial Hor x CeDi'!$B$6:$BU$6, '[2]Potencial Hor x CeDi'!$B$53:$BU$53), "")</f>
        <v/>
      </c>
      <c r="CS36" s="87" t="str">
        <f>IFERROR(_xlfn.XLOOKUP([2]!BaseMaestraCeDi[[#This Row],[CeDi]], '[2]Potencial Hor x CeDi'!$B$6:$BU$6, '[2]Potencial Hor x CeDi'!$B$60:$BU$60), "")</f>
        <v/>
      </c>
      <c r="CT36" s="90" t="str">
        <f>IFERROR(_xlfn.XLOOKUP([2]!BaseMaestraCeDi[[#This Row],[CeDi]], '[2]Potencial Hor x CeDi'!$B$6:$BU$6, '[2]Potencial Hor x CeDi'!$B$65:$BU$65), "")</f>
        <v/>
      </c>
      <c r="CU36" s="90" t="str">
        <f>IFERROR(_xlfn.XLOOKUP([2]!BaseMaestraCeDi[[#This Row],[CeDi]], '[2]Potencial Hor x CeDi'!$B$6:$BU$6, '[2]Potencial Hor x CeDi'!$B$68:$BU$68), "")</f>
        <v/>
      </c>
      <c r="CV36" s="95" t="str">
        <f>IFERROR(_xlfn.XLOOKUP([2]!BaseMaestraCeDi[[#This Row],[CeDi]], '[2]Potencial Hor x CeDi'!$B$6:$BU$6, '[2]Potencial Hor x CeDi'!$B$71:$BU$71), "")</f>
        <v/>
      </c>
    </row>
    <row r="37" spans="1:100">
      <c r="A37" s="100" t="s">
        <v>94</v>
      </c>
      <c r="B37" s="100" t="s">
        <v>446</v>
      </c>
      <c r="C37" s="100" t="s">
        <v>447</v>
      </c>
      <c r="D37" s="101">
        <v>19</v>
      </c>
      <c r="E37" s="102">
        <v>2668.0120594364098</v>
      </c>
      <c r="F37" s="103">
        <v>132.34398785695279</v>
      </c>
      <c r="G37" s="103">
        <v>2800.3560472933627</v>
      </c>
      <c r="H37" s="104">
        <v>5746.8139000759311</v>
      </c>
      <c r="I37" s="105">
        <v>13015.529808507174</v>
      </c>
      <c r="J37" s="105">
        <v>2661.4088152055015</v>
      </c>
      <c r="K37" s="105">
        <v>21423.752523788604</v>
      </c>
      <c r="L37" s="104">
        <v>54240.348183647919</v>
      </c>
      <c r="M37" s="106">
        <v>0.39497815263374947</v>
      </c>
      <c r="N37" s="107" t="s">
        <v>171</v>
      </c>
      <c r="O37" s="102">
        <v>64.419604662092823</v>
      </c>
      <c r="P37" s="103">
        <v>2</v>
      </c>
      <c r="Q37" s="103">
        <v>1</v>
      </c>
      <c r="R37" s="108">
        <v>2</v>
      </c>
      <c r="S37" s="107">
        <v>16</v>
      </c>
      <c r="T37" s="125">
        <v>0.9472628840016194</v>
      </c>
      <c r="U37" s="106">
        <v>5.2737115998380601E-2</v>
      </c>
      <c r="V37" s="106">
        <v>0.71907159046655611</v>
      </c>
      <c r="W37" s="106">
        <v>0.27730643692927393</v>
      </c>
      <c r="X37" s="106">
        <v>3.6219726041699738E-3</v>
      </c>
      <c r="Y37" s="104">
        <v>39002.693435875488</v>
      </c>
      <c r="Z37" s="105">
        <v>15041.19769261062</v>
      </c>
      <c r="AA37" s="105">
        <v>196.45705516181337</v>
      </c>
      <c r="AB37" s="105">
        <v>80561.732607614802</v>
      </c>
      <c r="AC37" s="101">
        <v>22</v>
      </c>
      <c r="AD37" s="109">
        <v>15</v>
      </c>
      <c r="AE37" s="101">
        <v>513874</v>
      </c>
      <c r="AF37" s="109">
        <v>231128</v>
      </c>
      <c r="AG37" s="110">
        <v>0.4497756259316486</v>
      </c>
      <c r="AH37" s="106">
        <v>0.57187636047017854</v>
      </c>
      <c r="AI37" s="101">
        <v>77386.277753591654</v>
      </c>
      <c r="AJ37" s="109">
        <v>38693.138876795827</v>
      </c>
      <c r="AK37" s="106">
        <v>0.52507256424103155</v>
      </c>
      <c r="AL37" s="104">
        <v>78808628.420000002</v>
      </c>
      <c r="AM37" s="105">
        <v>26750045.150145281</v>
      </c>
      <c r="AN37" s="106">
        <v>0.339430411192852</v>
      </c>
      <c r="AO37" s="104">
        <v>18797329.024426416</v>
      </c>
      <c r="AP37" s="106">
        <v>8.5510828572563757E-2</v>
      </c>
      <c r="AQ37" s="109">
        <v>4</v>
      </c>
      <c r="AR37" s="101">
        <v>16</v>
      </c>
      <c r="AS37" s="105">
        <v>5630794.8318056902</v>
      </c>
      <c r="AT37" s="104">
        <v>24428123.856232107</v>
      </c>
      <c r="AU37" s="101">
        <v>22</v>
      </c>
      <c r="AV37" s="109">
        <v>0</v>
      </c>
      <c r="AW37" s="109">
        <v>5</v>
      </c>
      <c r="AX37" s="109">
        <v>16</v>
      </c>
      <c r="AY37" s="110">
        <v>0</v>
      </c>
      <c r="AZ37" s="109">
        <v>61662.849624492599</v>
      </c>
      <c r="BA37" s="102">
        <v>64.419604662092851</v>
      </c>
      <c r="BB37" s="106">
        <v>0.44183747258507672</v>
      </c>
      <c r="BC37" s="111">
        <v>491.95726584100186</v>
      </c>
      <c r="BD37" s="74" t="s">
        <v>1145</v>
      </c>
      <c r="BE37" s="88" t="str">
        <f>IFERROR(_xlfn.XLOOKUP([2]!BaseMaestraCeDi[[#This Row],[CeDi]], '[2]Potencial Hor x CeDi'!$B$6:$BU$6, '[2]Potencial Hor x CeDi'!$B$21:$BU$21) / 1000, "")</f>
        <v/>
      </c>
      <c r="BF37" s="89" t="str">
        <f>IFERROR(_xlfn.XLOOKUP([2]!BaseMaestraCeDi[[#This Row],[CeDi]], '[2]Potencial Hor x CeDi'!$B$6:$BU$6, '[2]Potencial Hor x CeDi'!$B$22:$BU$22) / 1000, "")</f>
        <v/>
      </c>
      <c r="BG37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37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37" s="78">
        <f>IFERROR(INDEX('[2]Potencial Hor SocioDem x CeDi'!$C$2:$AF$81, MATCH($C37,'[2]Potencial Hor SocioDem x CeDi'!$B$2:$B$81,0), MATCH(BI$4,'[2]Potencial Hor SocioDem x CeDi'!$C$1:$AF$1,0)), "")</f>
        <v>6</v>
      </c>
      <c r="BJ37" s="78">
        <f>IFERROR(INDEX('[2]Potencial Hor SocioDem x CeDi'!$C$2:$AF$81, MATCH($C37,'[2]Potencial Hor SocioDem x CeDi'!$B$2:$B$81,0), MATCH(BJ$4,'[2]Potencial Hor SocioDem x CeDi'!$C$1:$AF$1,0)), "")</f>
        <v>0</v>
      </c>
      <c r="BK37" s="78">
        <f>IFERROR(INDEX('[2]Potencial Hor SocioDem x CeDi'!$C$2:$AF$81, MATCH($C37,'[2]Potencial Hor SocioDem x CeDi'!$B$2:$B$81,0), MATCH(BK$4,'[2]Potencial Hor SocioDem x CeDi'!$C$1:$AF$1,0)), "")</f>
        <v>0</v>
      </c>
      <c r="BL37" s="79">
        <f>IFERROR(INDEX('[2]Potencial Hor SocioDem x CeDi'!$C$2:$AF$81, MATCH($C37,'[2]Potencial Hor SocioDem x CeDi'!$B$2:$B$81,0), MATCH(BL$4,'[2]Potencial Hor SocioDem x CeDi'!$C$1:$AF$1,0)), "")</f>
        <v>0</v>
      </c>
      <c r="BM37" s="79">
        <f>IFERROR(INDEX('[2]Potencial Hor SocioDem x CeDi'!$C$2:$AF$81, MATCH($C37,'[2]Potencial Hor SocioDem x CeDi'!$B$2:$B$81,0), MATCH(BM$4,'[2]Potencial Hor SocioDem x CeDi'!$C$1:$AF$1,0)), "")</f>
        <v>0</v>
      </c>
      <c r="BN37" s="78">
        <f>IFERROR(INDEX('[2]Potencial Hor SocioDem x CeDi'!$C$2:$AF$81, MATCH($C37,'[2]Potencial Hor SocioDem x CeDi'!$B$2:$B$81,0), MATCH(BN$4,'[2]Potencial Hor SocioDem x CeDi'!$C$1:$AF$1,0)), "")</f>
        <v>0</v>
      </c>
      <c r="BO37" s="78">
        <f>IFERROR(INDEX('[2]Potencial Hor SocioDem x CeDi'!$C$2:$AF$81, MATCH($C37,'[2]Potencial Hor SocioDem x CeDi'!$B$2:$B$81,0), MATCH(BO$4,'[2]Potencial Hor SocioDem x CeDi'!$C$1:$AF$1,0)), "")</f>
        <v>0</v>
      </c>
      <c r="BP37" s="78">
        <f>IFERROR(INDEX('[2]Potencial Hor SocioDem x CeDi'!$C$2:$AF$81, MATCH($C37,'[2]Potencial Hor SocioDem x CeDi'!$B$2:$B$81,0), MATCH(BP$4,'[2]Potencial Hor SocioDem x CeDi'!$C$1:$AF$1,0)), "")</f>
        <v>0</v>
      </c>
      <c r="BQ37" s="80">
        <f>IFERROR(INDEX('[2]Potencial Hor SocioDem x CeDi'!$C$2:$AF$81, MATCH($C37,'[2]Potencial Hor SocioDem x CeDi'!$B$2:$B$81,0), MATCH(BQ$4,'[2]Potencial Hor SocioDem x CeDi'!$C$1:$AF$1,0)), "")</f>
        <v>0</v>
      </c>
      <c r="BR37" s="80">
        <f>IFERROR(INDEX('[2]Potencial Hor SocioDem x CeDi'!$C$2:$AF$81, MATCH($C37,'[2]Potencial Hor SocioDem x CeDi'!$B$2:$B$81,0), MATCH(BR$4,'[2]Potencial Hor SocioDem x CeDi'!$C$1:$AF$1,0)), "")</f>
        <v>0</v>
      </c>
      <c r="BS37" s="80">
        <f>IFERROR(INDEX('[2]Potencial Hor SocioDem x CeDi'!$C$2:$AF$81, MATCH($C37,'[2]Potencial Hor SocioDem x CeDi'!$B$2:$B$81,0), MATCH(BS$4,'[2]Potencial Hor SocioDem x CeDi'!$C$1:$AF$1,0)), "")</f>
        <v>0</v>
      </c>
      <c r="BT37" s="80">
        <f>IFERROR(INDEX('[2]Potencial Hor SocioDem x CeDi'!$C$2:$AF$81, MATCH($C37,'[2]Potencial Hor SocioDem x CeDi'!$B$2:$B$81,0), MATCH(BT$4,'[2]Potencial Hor SocioDem x CeDi'!$C$1:$AF$1,0)), "")</f>
        <v>0</v>
      </c>
      <c r="BU37" s="80">
        <f>IFERROR(INDEX('[2]Potencial Hor SocioDem x CeDi'!$C$2:$AF$81, MATCH($C37,'[2]Potencial Hor SocioDem x CeDi'!$B$2:$B$81,0), MATCH(BU$4,'[2]Potencial Hor SocioDem x CeDi'!$C$1:$AF$1,0)), "")</f>
        <v>0</v>
      </c>
      <c r="BV37" s="80">
        <f>IFERROR(INDEX('[2]Potencial Hor SocioDem x CeDi'!$C$2:$AF$81, MATCH($C37,'[2]Potencial Hor SocioDem x CeDi'!$B$2:$B$81,0), MATCH(BV$4,'[2]Potencial Hor SocioDem x CeDi'!$C$1:$AF$1,0)), "")</f>
        <v>0</v>
      </c>
      <c r="BW37" s="80">
        <f>IFERROR(INDEX('[2]Potencial Hor SocioDem x CeDi'!$C$2:$AF$81, MATCH($C37,'[2]Potencial Hor SocioDem x CeDi'!$B$2:$B$81,0), MATCH(BW$4,'[2]Potencial Hor SocioDem x CeDi'!$C$1:$AF$1,0)), "")</f>
        <v>0</v>
      </c>
      <c r="BX37" s="80">
        <f>IFERROR(INDEX('[2]Potencial Hor SocioDem x CeDi'!$C$2:$AF$81, MATCH($C37,'[2]Potencial Hor SocioDem x CeDi'!$B$2:$B$81,0), MATCH(BX$4,'[2]Potencial Hor SocioDem x CeDi'!$C$1:$AF$1,0)), "")</f>
        <v>0</v>
      </c>
      <c r="BY37" s="80">
        <f>IFERROR(INDEX('[2]Potencial Hor SocioDem x CeDi'!$C$2:$AF$81, MATCH($C37,'[2]Potencial Hor SocioDem x CeDi'!$B$2:$B$81,0), MATCH(BY$4,'[2]Potencial Hor SocioDem x CeDi'!$C$1:$AF$1,0)), "")</f>
        <v>0</v>
      </c>
      <c r="BZ37" s="79">
        <f>IFERROR(INDEX('[2]Potencial Hor SocioDem x CeDi'!$C$2:$AF$81, MATCH($C37,'[2]Potencial Hor SocioDem x CeDi'!$B$2:$B$81,0), MATCH(BZ$4,'[2]Potencial Hor SocioDem x CeDi'!$C$1:$AF$1,0)), "")</f>
        <v>0</v>
      </c>
      <c r="CA37" s="79">
        <f>IFERROR(INDEX('[2]Potencial Hor SocioDem x CeDi'!$C$2:$AF$81, MATCH($C37,'[2]Potencial Hor SocioDem x CeDi'!$B$2:$B$81,0), MATCH(CA$4,'[2]Potencial Hor SocioDem x CeDi'!$C$1:$AF$1,0)), "")</f>
        <v>0</v>
      </c>
      <c r="CB37" s="81">
        <f>IFERROR(INDEX('[2]Potencial Hor SocioDem x CeDi'!$C$2:$AF$81, MATCH($C37,'[2]Potencial Hor SocioDem x CeDi'!$B$2:$B$81,0), MATCH(CB$4,'[2]Potencial Hor SocioDem x CeDi'!$C$1:$AF$1,0)), "")</f>
        <v>0</v>
      </c>
      <c r="CC37" s="82">
        <f>IFERROR(INDEX('[2]Potencial Hor SocioDem x CeDi'!$C$2:$AF$81, MATCH($C37,'[2]Potencial Hor SocioDem x CeDi'!$B$2:$B$81,0), MATCH(CC$4,'[2]Potencial Hor SocioDem x CeDi'!$C$1:$AF$1,0)), "")</f>
        <v>0</v>
      </c>
      <c r="CD37" s="83">
        <f>IFERROR(INDEX('[2]Potencial Hor SocioDem x CeDi'!$C$2:$AF$81, MATCH($C37,'[2]Potencial Hor SocioDem x CeDi'!$B$2:$B$81,0), MATCH(CD$4,'[2]Potencial Hor SocioDem x CeDi'!$C$1:$AF$1,0)), "")</f>
        <v>0</v>
      </c>
      <c r="CE37" s="78" t="str">
        <f>IFERROR(_xlfn.XLOOKUP([2]!BaseMaestraCeDi[[#This Row],[CeDi]], '[2]Potencial Hor x CeDi'!$B$6:$BU$6, '[2]Potencial Hor x CeDi'!$B$50:$BU$50), "")</f>
        <v/>
      </c>
      <c r="CF37" s="90" t="str">
        <f>IFERROR(_xlfn.XLOOKUP([2]!BaseMaestraCeDi[[#This Row],[CeDi]], '[2]Potencial Hor x CeDi'!$B$6:$BU$6, '[2]Potencial Hor x CeDi'!$B$34:$BU$34), "")</f>
        <v/>
      </c>
      <c r="CG37" s="90" t="str">
        <f>IFERROR(_xlfn.XLOOKUP([2]!BaseMaestraCeDi[[#This Row],[CeDi]], '[2]Potencial Hor x CeDi'!$B$6:$BU$6, '[2]Potencial Hor x CeDi'!$B$64:$BU$64), "")</f>
        <v/>
      </c>
      <c r="CH37" s="91" t="str">
        <f>IFERROR(_xlfn.XLOOKUP([2]!BaseMaestraCeDi[[#This Row],[CeDi]], '[2]Potencial Hor x CeDi'!$B$6:$BU$6, '[2]Potencial Hor x CeDi'!$B$38:$BU$38), "")</f>
        <v/>
      </c>
      <c r="CI37" s="90" t="str">
        <f>IFERROR(_xlfn.XLOOKUP([2]!BaseMaestraCeDi[[#This Row],[CeDi]], '[2]Potencial Hor x CeDi'!$B$6:$BU$6, '[2]Potencial Hor x CeDi'!$B$26:$BU$26), "")</f>
        <v/>
      </c>
      <c r="CJ37" s="92" t="str">
        <f>IFERROR(_xlfn.XLOOKUP([2]!BaseMaestraCeDi[[#This Row],[CeDi]], '[2]Potencial Hor x CeDi'!$B$6:$BU$6, '[2]Potencial Hor x CeDi'!$B$27:$BU$27), "")</f>
        <v/>
      </c>
      <c r="CK37" s="90" t="str">
        <f>IFERROR(_xlfn.XLOOKUP([2]!BaseMaestraCeDi[[#This Row],[CeDi]], '[2]Potencial Hor x CeDi'!$B$6:$BU$6, '[2]Potencial Hor x CeDi'!$B$28:$BU$28), "")</f>
        <v/>
      </c>
      <c r="CL37" s="92" t="str">
        <f>IFERROR(_xlfn.XLOOKUP([2]!BaseMaestraCeDi[[#This Row],[CeDi]], '[2]Potencial Hor x CeDi'!$B$6:$BU$6, '[2]Potencial Hor x CeDi'!$B$29:$BU$29), "")</f>
        <v/>
      </c>
      <c r="CM37" s="93" t="str">
        <f>IFERROR(_xlfn.XLOOKUP([2]!BaseMaestraCeDi[[#This Row],[CeDi]], '[2]Potencial Hor x CeDi'!$B$6:$BU$6, '[2]Potencial Hor x CeDi'!$B$39:$BU$39), "")</f>
        <v/>
      </c>
      <c r="CN37" s="94" t="str">
        <f>IFERROR(_xlfn.XLOOKUP([2]!BaseMaestraCeDi[[#This Row],[CeDi]], '[2]Potencial Hor x CeDi'!$B$6:$BU$6, '[2]Potencial Hor x CeDi'!$B$43:$BU$43), "")</f>
        <v/>
      </c>
      <c r="CO37" s="94" t="str">
        <f>IFERROR(_xlfn.XLOOKUP([2]!BaseMaestraCeDi[[#This Row],[CeDi]], '[2]Potencial Hor x CeDi'!$B$6:$BU$6, '[2]Potencial Hor x CeDi'!$B$46:$BU$46), "")</f>
        <v/>
      </c>
      <c r="CP37" s="86" t="str">
        <f>IFERROR(_xlfn.XLOOKUP([2]!BaseMaestraCeDi[[#This Row],[CeDi]], '[2]Potencial Hor x CeDi'!$B$6:$BU$6, '[2]Potencial Hor x CeDi'!$B$51:$BU$51), "")</f>
        <v/>
      </c>
      <c r="CQ37" s="82" t="str">
        <f>IFERROR(_xlfn.XLOOKUP([2]!BaseMaestraCeDi[[#This Row],[CeDi]], '[2]Potencial Hor x CeDi'!$B$6:$BU$6, '[2]Potencial Hor x CeDi'!$B$52:$BU$52), "")</f>
        <v/>
      </c>
      <c r="CR37" s="82" t="str">
        <f>IFERROR(_xlfn.XLOOKUP([2]!BaseMaestraCeDi[[#This Row],[CeDi]], '[2]Potencial Hor x CeDi'!$B$6:$BU$6, '[2]Potencial Hor x CeDi'!$B$53:$BU$53), "")</f>
        <v/>
      </c>
      <c r="CS37" s="87" t="str">
        <f>IFERROR(_xlfn.XLOOKUP([2]!BaseMaestraCeDi[[#This Row],[CeDi]], '[2]Potencial Hor x CeDi'!$B$6:$BU$6, '[2]Potencial Hor x CeDi'!$B$60:$BU$60), "")</f>
        <v/>
      </c>
      <c r="CT37" s="90" t="str">
        <f>IFERROR(_xlfn.XLOOKUP([2]!BaseMaestraCeDi[[#This Row],[CeDi]], '[2]Potencial Hor x CeDi'!$B$6:$BU$6, '[2]Potencial Hor x CeDi'!$B$65:$BU$65), "")</f>
        <v/>
      </c>
      <c r="CU37" s="90" t="str">
        <f>IFERROR(_xlfn.XLOOKUP([2]!BaseMaestraCeDi[[#This Row],[CeDi]], '[2]Potencial Hor x CeDi'!$B$6:$BU$6, '[2]Potencial Hor x CeDi'!$B$68:$BU$68), "")</f>
        <v/>
      </c>
      <c r="CV37" s="95" t="str">
        <f>IFERROR(_xlfn.XLOOKUP([2]!BaseMaestraCeDi[[#This Row],[CeDi]], '[2]Potencial Hor x CeDi'!$B$6:$BU$6, '[2]Potencial Hor x CeDi'!$B$71:$BU$71), "")</f>
        <v/>
      </c>
    </row>
    <row r="38" spans="1:100">
      <c r="A38" s="112" t="s">
        <v>94</v>
      </c>
      <c r="B38" s="112" t="s">
        <v>446</v>
      </c>
      <c r="C38" s="112" t="s">
        <v>470</v>
      </c>
      <c r="D38" s="113">
        <v>14</v>
      </c>
      <c r="E38" s="114">
        <v>1797.0523956578443</v>
      </c>
      <c r="F38" s="115">
        <v>89.140931574158117</v>
      </c>
      <c r="G38" s="115">
        <v>1886.1933272320025</v>
      </c>
      <c r="H38" s="116">
        <v>3870.7942304851476</v>
      </c>
      <c r="I38" s="117">
        <v>9590.3903852158128</v>
      </c>
      <c r="J38" s="117">
        <v>1961.0380743619487</v>
      </c>
      <c r="K38" s="117">
        <v>15422.222690062908</v>
      </c>
      <c r="L38" s="116">
        <v>38738.162948281133</v>
      </c>
      <c r="M38" s="118">
        <v>0.39811445655419792</v>
      </c>
      <c r="N38" s="119" t="s">
        <v>171</v>
      </c>
      <c r="O38" s="114">
        <v>46.52095734564525</v>
      </c>
      <c r="P38" s="115">
        <v>2</v>
      </c>
      <c r="Q38" s="115">
        <v>1</v>
      </c>
      <c r="R38" s="120">
        <v>22</v>
      </c>
      <c r="S38" s="119">
        <v>140</v>
      </c>
      <c r="T38" s="121">
        <v>0.92479837349938232</v>
      </c>
      <c r="U38" s="118">
        <v>7.520162650061768E-2</v>
      </c>
      <c r="V38" s="118">
        <v>0.66792957444444956</v>
      </c>
      <c r="W38" s="118">
        <v>0.32802252420682365</v>
      </c>
      <c r="X38" s="118">
        <v>4.0479013487268074E-3</v>
      </c>
      <c r="Y38" s="116">
        <v>25874.36469280516</v>
      </c>
      <c r="Z38" s="117">
        <v>12706.989993430427</v>
      </c>
      <c r="AA38" s="117">
        <v>156.80826204554603</v>
      </c>
      <c r="AB38" s="117">
        <v>80546.931397174252</v>
      </c>
      <c r="AC38" s="113">
        <v>14</v>
      </c>
      <c r="AD38" s="122">
        <v>10</v>
      </c>
      <c r="AE38" s="113">
        <v>284316</v>
      </c>
      <c r="AF38" s="122">
        <v>195893</v>
      </c>
      <c r="AG38" s="123">
        <v>0.6889974535376131</v>
      </c>
      <c r="AH38" s="118">
        <v>0.77820466152725853</v>
      </c>
      <c r="AI38" s="113">
        <v>28419.588753391043</v>
      </c>
      <c r="AJ38" s="122">
        <v>14209.794376695521</v>
      </c>
      <c r="AK38" s="118">
        <v>0.73897633047980249</v>
      </c>
      <c r="AL38" s="116">
        <v>57059632.489999987</v>
      </c>
      <c r="AM38" s="117">
        <v>4242275.7275286466</v>
      </c>
      <c r="AN38" s="118">
        <v>7.4348108152854447E-2</v>
      </c>
      <c r="AO38" s="116">
        <v>2981058.6193444547</v>
      </c>
      <c r="AP38" s="118">
        <v>1.3561117764778058E-2</v>
      </c>
      <c r="AQ38" s="122">
        <v>20</v>
      </c>
      <c r="AR38" s="113">
        <v>10</v>
      </c>
      <c r="AS38" s="117">
        <v>3741435.0445447648</v>
      </c>
      <c r="AT38" s="116">
        <v>6722493.66388922</v>
      </c>
      <c r="AU38" s="113">
        <v>14</v>
      </c>
      <c r="AV38" s="122">
        <v>0</v>
      </c>
      <c r="AW38" s="122">
        <v>1</v>
      </c>
      <c r="AX38" s="122">
        <v>13</v>
      </c>
      <c r="AY38" s="123">
        <v>0</v>
      </c>
      <c r="AZ38" s="122">
        <v>38183.368050877551</v>
      </c>
      <c r="BA38" s="114">
        <v>46.520957345645265</v>
      </c>
      <c r="BB38" s="118">
        <v>0.69339156100236943</v>
      </c>
      <c r="BC38" s="124">
        <v>455.81940138868202</v>
      </c>
      <c r="BD38" s="74" t="s">
        <v>1146</v>
      </c>
      <c r="BE38" s="88" t="str">
        <f>IFERROR(_xlfn.XLOOKUP([2]!BaseMaestraCeDi[[#This Row],[CeDi]], '[2]Potencial Hor x CeDi'!$B$6:$BU$6, '[2]Potencial Hor x CeDi'!$B$21:$BU$21) / 1000, "")</f>
        <v/>
      </c>
      <c r="BF38" s="89" t="str">
        <f>IFERROR(_xlfn.XLOOKUP([2]!BaseMaestraCeDi[[#This Row],[CeDi]], '[2]Potencial Hor x CeDi'!$B$6:$BU$6, '[2]Potencial Hor x CeDi'!$B$22:$BU$22) / 1000, "")</f>
        <v/>
      </c>
      <c r="BG38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38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38" s="78">
        <f>IFERROR(INDEX('[2]Potencial Hor SocioDem x CeDi'!$C$2:$AF$81, MATCH($C38,'[2]Potencial Hor SocioDem x CeDi'!$B$2:$B$81,0), MATCH(BI$4,'[2]Potencial Hor SocioDem x CeDi'!$C$1:$AF$1,0)), "")</f>
        <v>9859</v>
      </c>
      <c r="BJ38" s="78">
        <f>IFERROR(INDEX('[2]Potencial Hor SocioDem x CeDi'!$C$2:$AF$81, MATCH($C38,'[2]Potencial Hor SocioDem x CeDi'!$B$2:$B$81,0), MATCH(BJ$4,'[2]Potencial Hor SocioDem x CeDi'!$C$1:$AF$1,0)), "")</f>
        <v>726340</v>
      </c>
      <c r="BK38" s="78">
        <f>IFERROR(INDEX('[2]Potencial Hor SocioDem x CeDi'!$C$2:$AF$81, MATCH($C38,'[2]Potencial Hor SocioDem x CeDi'!$B$2:$B$81,0), MATCH(BK$4,'[2]Potencial Hor SocioDem x CeDi'!$C$1:$AF$1,0)), "")</f>
        <v>196862</v>
      </c>
      <c r="BL38" s="79">
        <f>IFERROR(INDEX('[2]Potencial Hor SocioDem x CeDi'!$C$2:$AF$81, MATCH($C38,'[2]Potencial Hor SocioDem x CeDi'!$B$2:$B$81,0), MATCH(BL$4,'[2]Potencial Hor SocioDem x CeDi'!$C$1:$AF$1,0)), "")</f>
        <v>3.6895896617935411</v>
      </c>
      <c r="BM38" s="79">
        <f>IFERROR(INDEX('[2]Potencial Hor SocioDem x CeDi'!$C$2:$AF$81, MATCH($C38,'[2]Potencial Hor SocioDem x CeDi'!$B$2:$B$81,0), MATCH(BM$4,'[2]Potencial Hor SocioDem x CeDi'!$C$1:$AF$1,0)), "")</f>
        <v>19.967745207424692</v>
      </c>
      <c r="BN38" s="78">
        <f>IFERROR(INDEX('[2]Potencial Hor SocioDem x CeDi'!$C$2:$AF$81, MATCH($C38,'[2]Potencial Hor SocioDem x CeDi'!$B$2:$B$81,0), MATCH(BN$4,'[2]Potencial Hor SocioDem x CeDi'!$C$1:$AF$1,0)), "")</f>
        <v>18237</v>
      </c>
      <c r="BO38" s="78">
        <f>IFERROR(INDEX('[2]Potencial Hor SocioDem x CeDi'!$C$2:$AF$81, MATCH($C38,'[2]Potencial Hor SocioDem x CeDi'!$B$2:$B$81,0), MATCH(BO$4,'[2]Potencial Hor SocioDem x CeDi'!$C$1:$AF$1,0)), "")</f>
        <v>41767</v>
      </c>
      <c r="BP38" s="78">
        <f>IFERROR(INDEX('[2]Potencial Hor SocioDem x CeDi'!$C$2:$AF$81, MATCH($C38,'[2]Potencial Hor SocioDem x CeDi'!$B$2:$B$81,0), MATCH(BP$4,'[2]Potencial Hor SocioDem x CeDi'!$C$1:$AF$1,0)), "")</f>
        <v>60004</v>
      </c>
      <c r="BQ38" s="80">
        <f>IFERROR(INDEX('[2]Potencial Hor SocioDem x CeDi'!$C$2:$AF$81, MATCH($C38,'[2]Potencial Hor SocioDem x CeDi'!$B$2:$B$81,0), MATCH(BQ$4,'[2]Potencial Hor SocioDem x CeDi'!$C$1:$AF$1,0)), "")</f>
        <v>0.3048023488535116</v>
      </c>
      <c r="BR38" s="80">
        <f>IFERROR(INDEX('[2]Potencial Hor SocioDem x CeDi'!$C$2:$AF$81, MATCH($C38,'[2]Potencial Hor SocioDem x CeDi'!$B$2:$B$81,0), MATCH(BR$4,'[2]Potencial Hor SocioDem x CeDi'!$C$1:$AF$1,0)), "")</f>
        <v>9.26384980341559E-2</v>
      </c>
      <c r="BS38" s="80">
        <f>IFERROR(INDEX('[2]Potencial Hor SocioDem x CeDi'!$C$2:$AF$81, MATCH($C38,'[2]Potencial Hor SocioDem x CeDi'!$B$2:$B$81,0), MATCH(BS$4,'[2]Potencial Hor SocioDem x CeDi'!$C$1:$AF$1,0)), "")</f>
        <v>0.21216385081935571</v>
      </c>
      <c r="BT38" s="80">
        <f>IFERROR(INDEX('[2]Potencial Hor SocioDem x CeDi'!$C$2:$AF$81, MATCH($C38,'[2]Potencial Hor SocioDem x CeDi'!$B$2:$B$81,0), MATCH(BT$4,'[2]Potencial Hor SocioDem x CeDi'!$C$1:$AF$1,0)), "")</f>
        <v>0.16976359073868999</v>
      </c>
      <c r="BU38" s="80">
        <f>IFERROR(INDEX('[2]Potencial Hor SocioDem x CeDi'!$C$2:$AF$81, MATCH($C38,'[2]Potencial Hor SocioDem x CeDi'!$B$2:$B$81,0), MATCH(BU$4,'[2]Potencial Hor SocioDem x CeDi'!$C$1:$AF$1,0)), "")</f>
        <v>6.236348304903943E-2</v>
      </c>
      <c r="BV38" s="80">
        <f>IFERROR(INDEX('[2]Potencial Hor SocioDem x CeDi'!$C$2:$AF$81, MATCH($C38,'[2]Potencial Hor SocioDem x CeDi'!$B$2:$B$81,0), MATCH(BV$4,'[2]Potencial Hor SocioDem x CeDi'!$C$1:$AF$1,0)), "")</f>
        <v>1.4924160071522179E-2</v>
      </c>
      <c r="BW38" s="80">
        <f>IFERROR(INDEX('[2]Potencial Hor SocioDem x CeDi'!$C$2:$AF$81, MATCH($C38,'[2]Potencial Hor SocioDem x CeDi'!$B$2:$B$81,0), MATCH(BW$4,'[2]Potencial Hor SocioDem x CeDi'!$C$1:$AF$1,0)), "")</f>
        <v>0.44814133758673591</v>
      </c>
      <c r="BX38" s="80">
        <f>IFERROR(INDEX('[2]Potencial Hor SocioDem x CeDi'!$C$2:$AF$81, MATCH($C38,'[2]Potencial Hor SocioDem x CeDi'!$B$2:$B$81,0), MATCH(BX$4,'[2]Potencial Hor SocioDem x CeDi'!$C$1:$AF$1,0)), "")</f>
        <v>0</v>
      </c>
      <c r="BY38" s="80">
        <f>IFERROR(INDEX('[2]Potencial Hor SocioDem x CeDi'!$C$2:$AF$81, MATCH($C38,'[2]Potencial Hor SocioDem x CeDi'!$B$2:$B$81,0), MATCH(BY$4,'[2]Potencial Hor SocioDem x CeDi'!$C$1:$AF$1,0)), "")</f>
        <v>5.0797005008584691E-6</v>
      </c>
      <c r="BZ38" s="79">
        <f>IFERROR(INDEX('[2]Potencial Hor SocioDem x CeDi'!$C$2:$AF$81, MATCH($C38,'[2]Potencial Hor SocioDem x CeDi'!$B$2:$B$81,0), MATCH(BZ$4,'[2]Potencial Hor SocioDem x CeDi'!$C$1:$AF$1,0)), "")</f>
        <v>4.4400693889913816</v>
      </c>
      <c r="CA38" s="79">
        <f>IFERROR(INDEX('[2]Potencial Hor SocioDem x CeDi'!$C$2:$AF$81, MATCH($C38,'[2]Potencial Hor SocioDem x CeDi'!$B$2:$B$81,0), MATCH(CA$4,'[2]Potencial Hor SocioDem x CeDi'!$C$1:$AF$1,0)), "")</f>
        <v>0.30839551725087422</v>
      </c>
      <c r="CB38" s="81">
        <f>IFERROR(INDEX('[2]Potencial Hor SocioDem x CeDi'!$C$2:$AF$81, MATCH($C38,'[2]Potencial Hor SocioDem x CeDi'!$B$2:$B$81,0), MATCH(CB$4,'[2]Potencial Hor SocioDem x CeDi'!$C$1:$AF$1,0)), "")</f>
        <v>4808</v>
      </c>
      <c r="CC38" s="82">
        <f>IFERROR(INDEX('[2]Potencial Hor SocioDem x CeDi'!$C$2:$AF$81, MATCH($C38,'[2]Potencial Hor SocioDem x CeDi'!$B$2:$B$81,0), MATCH(CC$4,'[2]Potencial Hor SocioDem x CeDi'!$C$1:$AF$1,0)), "")</f>
        <v>2752</v>
      </c>
      <c r="CD38" s="83">
        <f>IFERROR(INDEX('[2]Potencial Hor SocioDem x CeDi'!$C$2:$AF$81, MATCH($C38,'[2]Potencial Hor SocioDem x CeDi'!$B$2:$B$81,0), MATCH(CD$4,'[2]Potencial Hor SocioDem x CeDi'!$C$1:$AF$1,0)), "")</f>
        <v>4.5863609092727152E-2</v>
      </c>
      <c r="CE38" s="78" t="str">
        <f>IFERROR(_xlfn.XLOOKUP([2]!BaseMaestraCeDi[[#This Row],[CeDi]], '[2]Potencial Hor x CeDi'!$B$6:$BU$6, '[2]Potencial Hor x CeDi'!$B$50:$BU$50), "")</f>
        <v/>
      </c>
      <c r="CF38" s="90" t="str">
        <f>IFERROR(_xlfn.XLOOKUP([2]!BaseMaestraCeDi[[#This Row],[CeDi]], '[2]Potencial Hor x CeDi'!$B$6:$BU$6, '[2]Potencial Hor x CeDi'!$B$34:$BU$34), "")</f>
        <v/>
      </c>
      <c r="CG38" s="90" t="str">
        <f>IFERROR(_xlfn.XLOOKUP([2]!BaseMaestraCeDi[[#This Row],[CeDi]], '[2]Potencial Hor x CeDi'!$B$6:$BU$6, '[2]Potencial Hor x CeDi'!$B$64:$BU$64), "")</f>
        <v/>
      </c>
      <c r="CH38" s="91" t="str">
        <f>IFERROR(_xlfn.XLOOKUP([2]!BaseMaestraCeDi[[#This Row],[CeDi]], '[2]Potencial Hor x CeDi'!$B$6:$BU$6, '[2]Potencial Hor x CeDi'!$B$38:$BU$38), "")</f>
        <v/>
      </c>
      <c r="CI38" s="90" t="str">
        <f>IFERROR(_xlfn.XLOOKUP([2]!BaseMaestraCeDi[[#This Row],[CeDi]], '[2]Potencial Hor x CeDi'!$B$6:$BU$6, '[2]Potencial Hor x CeDi'!$B$26:$BU$26), "")</f>
        <v/>
      </c>
      <c r="CJ38" s="92" t="str">
        <f>IFERROR(_xlfn.XLOOKUP([2]!BaseMaestraCeDi[[#This Row],[CeDi]], '[2]Potencial Hor x CeDi'!$B$6:$BU$6, '[2]Potencial Hor x CeDi'!$B$27:$BU$27), "")</f>
        <v/>
      </c>
      <c r="CK38" s="90" t="str">
        <f>IFERROR(_xlfn.XLOOKUP([2]!BaseMaestraCeDi[[#This Row],[CeDi]], '[2]Potencial Hor x CeDi'!$B$6:$BU$6, '[2]Potencial Hor x CeDi'!$B$28:$BU$28), "")</f>
        <v/>
      </c>
      <c r="CL38" s="92" t="str">
        <f>IFERROR(_xlfn.XLOOKUP([2]!BaseMaestraCeDi[[#This Row],[CeDi]], '[2]Potencial Hor x CeDi'!$B$6:$BU$6, '[2]Potencial Hor x CeDi'!$B$29:$BU$29), "")</f>
        <v/>
      </c>
      <c r="CM38" s="93" t="str">
        <f>IFERROR(_xlfn.XLOOKUP([2]!BaseMaestraCeDi[[#This Row],[CeDi]], '[2]Potencial Hor x CeDi'!$B$6:$BU$6, '[2]Potencial Hor x CeDi'!$B$39:$BU$39), "")</f>
        <v/>
      </c>
      <c r="CN38" s="94" t="str">
        <f>IFERROR(_xlfn.XLOOKUP([2]!BaseMaestraCeDi[[#This Row],[CeDi]], '[2]Potencial Hor x CeDi'!$B$6:$BU$6, '[2]Potencial Hor x CeDi'!$B$43:$BU$43), "")</f>
        <v/>
      </c>
      <c r="CO38" s="94" t="str">
        <f>IFERROR(_xlfn.XLOOKUP([2]!BaseMaestraCeDi[[#This Row],[CeDi]], '[2]Potencial Hor x CeDi'!$B$6:$BU$6, '[2]Potencial Hor x CeDi'!$B$46:$BU$46), "")</f>
        <v/>
      </c>
      <c r="CP38" s="86" t="str">
        <f>IFERROR(_xlfn.XLOOKUP([2]!BaseMaestraCeDi[[#This Row],[CeDi]], '[2]Potencial Hor x CeDi'!$B$6:$BU$6, '[2]Potencial Hor x CeDi'!$B$51:$BU$51), "")</f>
        <v/>
      </c>
      <c r="CQ38" s="82" t="str">
        <f>IFERROR(_xlfn.XLOOKUP([2]!BaseMaestraCeDi[[#This Row],[CeDi]], '[2]Potencial Hor x CeDi'!$B$6:$BU$6, '[2]Potencial Hor x CeDi'!$B$52:$BU$52), "")</f>
        <v/>
      </c>
      <c r="CR38" s="82" t="str">
        <f>IFERROR(_xlfn.XLOOKUP([2]!BaseMaestraCeDi[[#This Row],[CeDi]], '[2]Potencial Hor x CeDi'!$B$6:$BU$6, '[2]Potencial Hor x CeDi'!$B$53:$BU$53), "")</f>
        <v/>
      </c>
      <c r="CS38" s="87" t="str">
        <f>IFERROR(_xlfn.XLOOKUP([2]!BaseMaestraCeDi[[#This Row],[CeDi]], '[2]Potencial Hor x CeDi'!$B$6:$BU$6, '[2]Potencial Hor x CeDi'!$B$60:$BU$60), "")</f>
        <v/>
      </c>
      <c r="CT38" s="90" t="str">
        <f>IFERROR(_xlfn.XLOOKUP([2]!BaseMaestraCeDi[[#This Row],[CeDi]], '[2]Potencial Hor x CeDi'!$B$6:$BU$6, '[2]Potencial Hor x CeDi'!$B$65:$BU$65), "")</f>
        <v/>
      </c>
      <c r="CU38" s="90" t="str">
        <f>IFERROR(_xlfn.XLOOKUP([2]!BaseMaestraCeDi[[#This Row],[CeDi]], '[2]Potencial Hor x CeDi'!$B$6:$BU$6, '[2]Potencial Hor x CeDi'!$B$68:$BU$68), "")</f>
        <v/>
      </c>
      <c r="CV38" s="95" t="str">
        <f>IFERROR(_xlfn.XLOOKUP([2]!BaseMaestraCeDi[[#This Row],[CeDi]], '[2]Potencial Hor x CeDi'!$B$6:$BU$6, '[2]Potencial Hor x CeDi'!$B$71:$BU$71), "")</f>
        <v/>
      </c>
    </row>
    <row r="39" spans="1:100">
      <c r="A39" s="100" t="s">
        <v>94</v>
      </c>
      <c r="B39" s="100" t="s">
        <v>446</v>
      </c>
      <c r="C39" s="100" t="s">
        <v>485</v>
      </c>
      <c r="D39" s="101">
        <v>1</v>
      </c>
      <c r="E39" s="102">
        <v>110.30565946772892</v>
      </c>
      <c r="F39" s="103">
        <v>5.4715985280194062</v>
      </c>
      <c r="G39" s="103">
        <v>115.77725799574833</v>
      </c>
      <c r="H39" s="104">
        <v>237.5949144772955</v>
      </c>
      <c r="I39" s="105">
        <v>685.02788465827246</v>
      </c>
      <c r="J39" s="105">
        <v>140.07414816871062</v>
      </c>
      <c r="K39" s="105">
        <v>1062.6969473042786</v>
      </c>
      <c r="L39" s="104">
        <v>1993.1247910307675</v>
      </c>
      <c r="M39" s="106">
        <v>0.5331813402183877</v>
      </c>
      <c r="N39" s="107" t="s">
        <v>160</v>
      </c>
      <c r="O39" s="102">
        <v>35.710610932475888</v>
      </c>
      <c r="P39" s="103">
        <v>2</v>
      </c>
      <c r="Q39" s="103">
        <v>1</v>
      </c>
      <c r="R39" s="108">
        <v>2</v>
      </c>
      <c r="S39" s="107">
        <v>8</v>
      </c>
      <c r="T39" s="125">
        <v>1</v>
      </c>
      <c r="U39" s="106">
        <v>0</v>
      </c>
      <c r="V39" s="106">
        <v>0.76899094743780028</v>
      </c>
      <c r="W39" s="106">
        <v>0.23100905256219972</v>
      </c>
      <c r="X39" s="106">
        <v>0</v>
      </c>
      <c r="Y39" s="104">
        <v>1532.6949214165177</v>
      </c>
      <c r="Z39" s="105">
        <v>460.42986961424992</v>
      </c>
      <c r="AA39" s="105">
        <v>0</v>
      </c>
      <c r="AB39" s="105">
        <v>84584.708333333328</v>
      </c>
      <c r="AC39" s="101">
        <v>1</v>
      </c>
      <c r="AD39" s="109">
        <v>0</v>
      </c>
      <c r="AE39" s="101">
        <v>11106</v>
      </c>
      <c r="AF39" s="109">
        <v>7690</v>
      </c>
      <c r="AG39" s="110">
        <v>0.69241851251575726</v>
      </c>
      <c r="AH39" s="106">
        <v>0.69241851251575726</v>
      </c>
      <c r="AI39" s="101">
        <v>0</v>
      </c>
      <c r="AJ39" s="109">
        <v>0</v>
      </c>
      <c r="AK39" s="106">
        <v>0.69241851251575726</v>
      </c>
      <c r="AL39" s="104">
        <v>2994601.0499999993</v>
      </c>
      <c r="AM39" s="105">
        <v>0</v>
      </c>
      <c r="AN39" s="106">
        <v>0</v>
      </c>
      <c r="AO39" s="104">
        <v>0</v>
      </c>
      <c r="AP39" s="106">
        <v>0</v>
      </c>
      <c r="AQ39" s="109" t="s">
        <v>194</v>
      </c>
      <c r="AR39" s="101">
        <v>0</v>
      </c>
      <c r="AS39" s="105">
        <v>0</v>
      </c>
      <c r="AT39" s="104">
        <v>0</v>
      </c>
      <c r="AU39" s="101">
        <v>1</v>
      </c>
      <c r="AV39" s="109">
        <v>0</v>
      </c>
      <c r="AW39" s="109">
        <v>0</v>
      </c>
      <c r="AX39" s="109">
        <v>1</v>
      </c>
      <c r="AY39" s="110">
        <v>0</v>
      </c>
      <c r="AZ39" s="109">
        <v>0</v>
      </c>
      <c r="BA39" s="102">
        <v>35.710610932475902</v>
      </c>
      <c r="BB39" s="106">
        <v>0.69241851251575703</v>
      </c>
      <c r="BC39" s="111">
        <v>401.225853535147</v>
      </c>
      <c r="BD39" s="74" t="s">
        <v>1147</v>
      </c>
      <c r="BE39" s="88" t="str">
        <f>IFERROR(_xlfn.XLOOKUP([2]!BaseMaestraCeDi[[#This Row],[CeDi]], '[2]Potencial Hor x CeDi'!$B$6:$BU$6, '[2]Potencial Hor x CeDi'!$B$21:$BU$21) / 1000, "")</f>
        <v/>
      </c>
      <c r="BF39" s="89" t="str">
        <f>IFERROR(_xlfn.XLOOKUP([2]!BaseMaestraCeDi[[#This Row],[CeDi]], '[2]Potencial Hor x CeDi'!$B$6:$BU$6, '[2]Potencial Hor x CeDi'!$B$22:$BU$22) / 1000, "")</f>
        <v/>
      </c>
      <c r="BG39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39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39" s="78" t="str">
        <f>IFERROR(INDEX('[2]Potencial Hor SocioDem x CeDi'!$C$2:$AF$81, MATCH($C39,'[2]Potencial Hor SocioDem x CeDi'!$B$2:$B$81,0), MATCH(BI$4,'[2]Potencial Hor SocioDem x CeDi'!$C$1:$AF$1,0)), "")</f>
        <v/>
      </c>
      <c r="BJ39" s="78" t="str">
        <f>IFERROR(INDEX('[2]Potencial Hor SocioDem x CeDi'!$C$2:$AF$81, MATCH($C39,'[2]Potencial Hor SocioDem x CeDi'!$B$2:$B$81,0), MATCH(BJ$4,'[2]Potencial Hor SocioDem x CeDi'!$C$1:$AF$1,0)), "")</f>
        <v/>
      </c>
      <c r="BK39" s="78" t="str">
        <f>IFERROR(INDEX('[2]Potencial Hor SocioDem x CeDi'!$C$2:$AF$81, MATCH($C39,'[2]Potencial Hor SocioDem x CeDi'!$B$2:$B$81,0), MATCH(BK$4,'[2]Potencial Hor SocioDem x CeDi'!$C$1:$AF$1,0)), "")</f>
        <v/>
      </c>
      <c r="BL39" s="79" t="str">
        <f>IFERROR(INDEX('[2]Potencial Hor SocioDem x CeDi'!$C$2:$AF$81, MATCH($C39,'[2]Potencial Hor SocioDem x CeDi'!$B$2:$B$81,0), MATCH(BL$4,'[2]Potencial Hor SocioDem x CeDi'!$C$1:$AF$1,0)), "")</f>
        <v/>
      </c>
      <c r="BM39" s="79" t="str">
        <f>IFERROR(INDEX('[2]Potencial Hor SocioDem x CeDi'!$C$2:$AF$81, MATCH($C39,'[2]Potencial Hor SocioDem x CeDi'!$B$2:$B$81,0), MATCH(BM$4,'[2]Potencial Hor SocioDem x CeDi'!$C$1:$AF$1,0)), "")</f>
        <v/>
      </c>
      <c r="BN39" s="78" t="str">
        <f>IFERROR(INDEX('[2]Potencial Hor SocioDem x CeDi'!$C$2:$AF$81, MATCH($C39,'[2]Potencial Hor SocioDem x CeDi'!$B$2:$B$81,0), MATCH(BN$4,'[2]Potencial Hor SocioDem x CeDi'!$C$1:$AF$1,0)), "")</f>
        <v/>
      </c>
      <c r="BO39" s="78" t="str">
        <f>IFERROR(INDEX('[2]Potencial Hor SocioDem x CeDi'!$C$2:$AF$81, MATCH($C39,'[2]Potencial Hor SocioDem x CeDi'!$B$2:$B$81,0), MATCH(BO$4,'[2]Potencial Hor SocioDem x CeDi'!$C$1:$AF$1,0)), "")</f>
        <v/>
      </c>
      <c r="BP39" s="78" t="str">
        <f>IFERROR(INDEX('[2]Potencial Hor SocioDem x CeDi'!$C$2:$AF$81, MATCH($C39,'[2]Potencial Hor SocioDem x CeDi'!$B$2:$B$81,0), MATCH(BP$4,'[2]Potencial Hor SocioDem x CeDi'!$C$1:$AF$1,0)), "")</f>
        <v/>
      </c>
      <c r="BQ39" s="80" t="str">
        <f>IFERROR(INDEX('[2]Potencial Hor SocioDem x CeDi'!$C$2:$AF$81, MATCH($C39,'[2]Potencial Hor SocioDem x CeDi'!$B$2:$B$81,0), MATCH(BQ$4,'[2]Potencial Hor SocioDem x CeDi'!$C$1:$AF$1,0)), "")</f>
        <v/>
      </c>
      <c r="BR39" s="80" t="str">
        <f>IFERROR(INDEX('[2]Potencial Hor SocioDem x CeDi'!$C$2:$AF$81, MATCH($C39,'[2]Potencial Hor SocioDem x CeDi'!$B$2:$B$81,0), MATCH(BR$4,'[2]Potencial Hor SocioDem x CeDi'!$C$1:$AF$1,0)), "")</f>
        <v/>
      </c>
      <c r="BS39" s="80" t="str">
        <f>IFERROR(INDEX('[2]Potencial Hor SocioDem x CeDi'!$C$2:$AF$81, MATCH($C39,'[2]Potencial Hor SocioDem x CeDi'!$B$2:$B$81,0), MATCH(BS$4,'[2]Potencial Hor SocioDem x CeDi'!$C$1:$AF$1,0)), "")</f>
        <v/>
      </c>
      <c r="BT39" s="80" t="str">
        <f>IFERROR(INDEX('[2]Potencial Hor SocioDem x CeDi'!$C$2:$AF$81, MATCH($C39,'[2]Potencial Hor SocioDem x CeDi'!$B$2:$B$81,0), MATCH(BT$4,'[2]Potencial Hor SocioDem x CeDi'!$C$1:$AF$1,0)), "")</f>
        <v/>
      </c>
      <c r="BU39" s="80" t="str">
        <f>IFERROR(INDEX('[2]Potencial Hor SocioDem x CeDi'!$C$2:$AF$81, MATCH($C39,'[2]Potencial Hor SocioDem x CeDi'!$B$2:$B$81,0), MATCH(BU$4,'[2]Potencial Hor SocioDem x CeDi'!$C$1:$AF$1,0)), "")</f>
        <v/>
      </c>
      <c r="BV39" s="80" t="str">
        <f>IFERROR(INDEX('[2]Potencial Hor SocioDem x CeDi'!$C$2:$AF$81, MATCH($C39,'[2]Potencial Hor SocioDem x CeDi'!$B$2:$B$81,0), MATCH(BV$4,'[2]Potencial Hor SocioDem x CeDi'!$C$1:$AF$1,0)), "")</f>
        <v/>
      </c>
      <c r="BW39" s="80" t="str">
        <f>IFERROR(INDEX('[2]Potencial Hor SocioDem x CeDi'!$C$2:$AF$81, MATCH($C39,'[2]Potencial Hor SocioDem x CeDi'!$B$2:$B$81,0), MATCH(BW$4,'[2]Potencial Hor SocioDem x CeDi'!$C$1:$AF$1,0)), "")</f>
        <v/>
      </c>
      <c r="BX39" s="80" t="str">
        <f>IFERROR(INDEX('[2]Potencial Hor SocioDem x CeDi'!$C$2:$AF$81, MATCH($C39,'[2]Potencial Hor SocioDem x CeDi'!$B$2:$B$81,0), MATCH(BX$4,'[2]Potencial Hor SocioDem x CeDi'!$C$1:$AF$1,0)), "")</f>
        <v/>
      </c>
      <c r="BY39" s="80" t="str">
        <f>IFERROR(INDEX('[2]Potencial Hor SocioDem x CeDi'!$C$2:$AF$81, MATCH($C39,'[2]Potencial Hor SocioDem x CeDi'!$B$2:$B$81,0), MATCH(BY$4,'[2]Potencial Hor SocioDem x CeDi'!$C$1:$AF$1,0)), "")</f>
        <v/>
      </c>
      <c r="BZ39" s="79" t="str">
        <f>IFERROR(INDEX('[2]Potencial Hor SocioDem x CeDi'!$C$2:$AF$81, MATCH($C39,'[2]Potencial Hor SocioDem x CeDi'!$B$2:$B$81,0), MATCH(BZ$4,'[2]Potencial Hor SocioDem x CeDi'!$C$1:$AF$1,0)), "")</f>
        <v/>
      </c>
      <c r="CA39" s="79" t="str">
        <f>IFERROR(INDEX('[2]Potencial Hor SocioDem x CeDi'!$C$2:$AF$81, MATCH($C39,'[2]Potencial Hor SocioDem x CeDi'!$B$2:$B$81,0), MATCH(CA$4,'[2]Potencial Hor SocioDem x CeDi'!$C$1:$AF$1,0)), "")</f>
        <v/>
      </c>
      <c r="CB39" s="81" t="str">
        <f>IFERROR(INDEX('[2]Potencial Hor SocioDem x CeDi'!$C$2:$AF$81, MATCH($C39,'[2]Potencial Hor SocioDem x CeDi'!$B$2:$B$81,0), MATCH(CB$4,'[2]Potencial Hor SocioDem x CeDi'!$C$1:$AF$1,0)), "")</f>
        <v/>
      </c>
      <c r="CC39" s="82" t="str">
        <f>IFERROR(INDEX('[2]Potencial Hor SocioDem x CeDi'!$C$2:$AF$81, MATCH($C39,'[2]Potencial Hor SocioDem x CeDi'!$B$2:$B$81,0), MATCH(CC$4,'[2]Potencial Hor SocioDem x CeDi'!$C$1:$AF$1,0)), "")</f>
        <v/>
      </c>
      <c r="CD39" s="83" t="str">
        <f>IFERROR(INDEX('[2]Potencial Hor SocioDem x CeDi'!$C$2:$AF$81, MATCH($C39,'[2]Potencial Hor SocioDem x CeDi'!$B$2:$B$81,0), MATCH(CD$4,'[2]Potencial Hor SocioDem x CeDi'!$C$1:$AF$1,0)), "")</f>
        <v/>
      </c>
      <c r="CE39" s="78" t="str">
        <f>IFERROR(_xlfn.XLOOKUP([2]!BaseMaestraCeDi[[#This Row],[CeDi]], '[2]Potencial Hor x CeDi'!$B$6:$BU$6, '[2]Potencial Hor x CeDi'!$B$50:$BU$50), "")</f>
        <v/>
      </c>
      <c r="CF39" s="90" t="str">
        <f>IFERROR(_xlfn.XLOOKUP([2]!BaseMaestraCeDi[[#This Row],[CeDi]], '[2]Potencial Hor x CeDi'!$B$6:$BU$6, '[2]Potencial Hor x CeDi'!$B$34:$BU$34), "")</f>
        <v/>
      </c>
      <c r="CG39" s="90" t="str">
        <f>IFERROR(_xlfn.XLOOKUP([2]!BaseMaestraCeDi[[#This Row],[CeDi]], '[2]Potencial Hor x CeDi'!$B$6:$BU$6, '[2]Potencial Hor x CeDi'!$B$64:$BU$64), "")</f>
        <v/>
      </c>
      <c r="CH39" s="91" t="str">
        <f>IFERROR(_xlfn.XLOOKUP([2]!BaseMaestraCeDi[[#This Row],[CeDi]], '[2]Potencial Hor x CeDi'!$B$6:$BU$6, '[2]Potencial Hor x CeDi'!$B$38:$BU$38), "")</f>
        <v/>
      </c>
      <c r="CI39" s="90" t="str">
        <f>IFERROR(_xlfn.XLOOKUP([2]!BaseMaestraCeDi[[#This Row],[CeDi]], '[2]Potencial Hor x CeDi'!$B$6:$BU$6, '[2]Potencial Hor x CeDi'!$B$26:$BU$26), "")</f>
        <v/>
      </c>
      <c r="CJ39" s="92" t="str">
        <f>IFERROR(_xlfn.XLOOKUP([2]!BaseMaestraCeDi[[#This Row],[CeDi]], '[2]Potencial Hor x CeDi'!$B$6:$BU$6, '[2]Potencial Hor x CeDi'!$B$27:$BU$27), "")</f>
        <v/>
      </c>
      <c r="CK39" s="90" t="str">
        <f>IFERROR(_xlfn.XLOOKUP([2]!BaseMaestraCeDi[[#This Row],[CeDi]], '[2]Potencial Hor x CeDi'!$B$6:$BU$6, '[2]Potencial Hor x CeDi'!$B$28:$BU$28), "")</f>
        <v/>
      </c>
      <c r="CL39" s="92" t="str">
        <f>IFERROR(_xlfn.XLOOKUP([2]!BaseMaestraCeDi[[#This Row],[CeDi]], '[2]Potencial Hor x CeDi'!$B$6:$BU$6, '[2]Potencial Hor x CeDi'!$B$29:$BU$29), "")</f>
        <v/>
      </c>
      <c r="CM39" s="93" t="str">
        <f>IFERROR(_xlfn.XLOOKUP([2]!BaseMaestraCeDi[[#This Row],[CeDi]], '[2]Potencial Hor x CeDi'!$B$6:$BU$6, '[2]Potencial Hor x CeDi'!$B$39:$BU$39), "")</f>
        <v/>
      </c>
      <c r="CN39" s="94" t="str">
        <f>IFERROR(_xlfn.XLOOKUP([2]!BaseMaestraCeDi[[#This Row],[CeDi]], '[2]Potencial Hor x CeDi'!$B$6:$BU$6, '[2]Potencial Hor x CeDi'!$B$43:$BU$43), "")</f>
        <v/>
      </c>
      <c r="CO39" s="94" t="str">
        <f>IFERROR(_xlfn.XLOOKUP([2]!BaseMaestraCeDi[[#This Row],[CeDi]], '[2]Potencial Hor x CeDi'!$B$6:$BU$6, '[2]Potencial Hor x CeDi'!$B$46:$BU$46), "")</f>
        <v/>
      </c>
      <c r="CP39" s="86" t="str">
        <f>IFERROR(_xlfn.XLOOKUP([2]!BaseMaestraCeDi[[#This Row],[CeDi]], '[2]Potencial Hor x CeDi'!$B$6:$BU$6, '[2]Potencial Hor x CeDi'!$B$51:$BU$51), "")</f>
        <v/>
      </c>
      <c r="CQ39" s="82" t="str">
        <f>IFERROR(_xlfn.XLOOKUP([2]!BaseMaestraCeDi[[#This Row],[CeDi]], '[2]Potencial Hor x CeDi'!$B$6:$BU$6, '[2]Potencial Hor x CeDi'!$B$52:$BU$52), "")</f>
        <v/>
      </c>
      <c r="CR39" s="82" t="str">
        <f>IFERROR(_xlfn.XLOOKUP([2]!BaseMaestraCeDi[[#This Row],[CeDi]], '[2]Potencial Hor x CeDi'!$B$6:$BU$6, '[2]Potencial Hor x CeDi'!$B$53:$BU$53), "")</f>
        <v/>
      </c>
      <c r="CS39" s="87" t="str">
        <f>IFERROR(_xlfn.XLOOKUP([2]!BaseMaestraCeDi[[#This Row],[CeDi]], '[2]Potencial Hor x CeDi'!$B$6:$BU$6, '[2]Potencial Hor x CeDi'!$B$60:$BU$60), "")</f>
        <v/>
      </c>
      <c r="CT39" s="90" t="str">
        <f>IFERROR(_xlfn.XLOOKUP([2]!BaseMaestraCeDi[[#This Row],[CeDi]], '[2]Potencial Hor x CeDi'!$B$6:$BU$6, '[2]Potencial Hor x CeDi'!$B$65:$BU$65), "")</f>
        <v/>
      </c>
      <c r="CU39" s="90" t="str">
        <f>IFERROR(_xlfn.XLOOKUP([2]!BaseMaestraCeDi[[#This Row],[CeDi]], '[2]Potencial Hor x CeDi'!$B$6:$BU$6, '[2]Potencial Hor x CeDi'!$B$68:$BU$68), "")</f>
        <v/>
      </c>
      <c r="CV39" s="95" t="str">
        <f>IFERROR(_xlfn.XLOOKUP([2]!BaseMaestraCeDi[[#This Row],[CeDi]], '[2]Potencial Hor x CeDi'!$B$6:$BU$6, '[2]Potencial Hor x CeDi'!$B$71:$BU$71), "")</f>
        <v/>
      </c>
    </row>
    <row r="40" spans="1:100">
      <c r="A40" s="112" t="s">
        <v>94</v>
      </c>
      <c r="B40" s="112" t="s">
        <v>446</v>
      </c>
      <c r="C40" s="112" t="s">
        <v>487</v>
      </c>
      <c r="D40" s="113">
        <v>1</v>
      </c>
      <c r="E40" s="114">
        <v>246.44520383039932</v>
      </c>
      <c r="F40" s="115">
        <v>12.224660285090437</v>
      </c>
      <c r="G40" s="115">
        <v>258.66986411548976</v>
      </c>
      <c r="H40" s="116">
        <v>530.83520292586638</v>
      </c>
      <c r="I40" s="117">
        <v>685.02788465827246</v>
      </c>
      <c r="J40" s="117">
        <v>140.07414816871062</v>
      </c>
      <c r="K40" s="117">
        <v>1355.9372357528496</v>
      </c>
      <c r="L40" s="116">
        <v>4224.6263774826693</v>
      </c>
      <c r="M40" s="118">
        <v>0.32096027307409197</v>
      </c>
      <c r="N40" s="119" t="s">
        <v>151</v>
      </c>
      <c r="O40" s="114">
        <v>57.643990929705218</v>
      </c>
      <c r="P40" s="115">
        <v>2</v>
      </c>
      <c r="Q40" s="115">
        <v>1</v>
      </c>
      <c r="R40" s="120">
        <v>2</v>
      </c>
      <c r="S40" s="119">
        <v>12</v>
      </c>
      <c r="T40" s="121">
        <v>1</v>
      </c>
      <c r="U40" s="118">
        <v>0</v>
      </c>
      <c r="V40" s="118">
        <v>0.8549496299784074</v>
      </c>
      <c r="W40" s="118">
        <v>0.14505037002159263</v>
      </c>
      <c r="X40" s="118">
        <v>0</v>
      </c>
      <c r="Y40" s="116">
        <v>3611.8427582258278</v>
      </c>
      <c r="Z40" s="117">
        <v>612.78361925684169</v>
      </c>
      <c r="AA40" s="117">
        <v>0</v>
      </c>
      <c r="AB40" s="117">
        <v>179285.70833333334</v>
      </c>
      <c r="AC40" s="113">
        <v>1</v>
      </c>
      <c r="AD40" s="122">
        <v>0</v>
      </c>
      <c r="AE40" s="113">
        <v>25421</v>
      </c>
      <c r="AF40" s="122">
        <v>14977</v>
      </c>
      <c r="AG40" s="123">
        <v>0.58915856968647973</v>
      </c>
      <c r="AH40" s="118">
        <v>0.58915856968647973</v>
      </c>
      <c r="AI40" s="113">
        <v>0</v>
      </c>
      <c r="AJ40" s="122">
        <v>0</v>
      </c>
      <c r="AK40" s="118">
        <v>0.58915856968647973</v>
      </c>
      <c r="AL40" s="116">
        <v>5836502.3200000012</v>
      </c>
      <c r="AM40" s="117">
        <v>0</v>
      </c>
      <c r="AN40" s="118">
        <v>0</v>
      </c>
      <c r="AO40" s="116">
        <v>0</v>
      </c>
      <c r="AP40" s="118">
        <v>0</v>
      </c>
      <c r="AQ40" s="122" t="s">
        <v>194</v>
      </c>
      <c r="AR40" s="113">
        <v>0</v>
      </c>
      <c r="AS40" s="117">
        <v>0</v>
      </c>
      <c r="AT40" s="116">
        <v>0</v>
      </c>
      <c r="AU40" s="113">
        <v>1</v>
      </c>
      <c r="AV40" s="122">
        <v>0</v>
      </c>
      <c r="AW40" s="122">
        <v>1</v>
      </c>
      <c r="AX40" s="122">
        <v>0</v>
      </c>
      <c r="AY40" s="123">
        <v>0</v>
      </c>
      <c r="AZ40" s="122">
        <v>0</v>
      </c>
      <c r="BA40" s="114">
        <v>57.643990929705197</v>
      </c>
      <c r="BB40" s="118">
        <v>0.58915856968647995</v>
      </c>
      <c r="BC40" s="124">
        <v>790.73551084807195</v>
      </c>
      <c r="BD40" s="74" t="s">
        <v>1148</v>
      </c>
      <c r="BE40" s="88" t="str">
        <f>IFERROR(_xlfn.XLOOKUP([2]!BaseMaestraCeDi[[#This Row],[CeDi]], '[2]Potencial Hor x CeDi'!$B$6:$BU$6, '[2]Potencial Hor x CeDi'!$B$21:$BU$21) / 1000, "")</f>
        <v/>
      </c>
      <c r="BF40" s="89" t="str">
        <f>IFERROR(_xlfn.XLOOKUP([2]!BaseMaestraCeDi[[#This Row],[CeDi]], '[2]Potencial Hor x CeDi'!$B$6:$BU$6, '[2]Potencial Hor x CeDi'!$B$22:$BU$22) / 1000, "")</f>
        <v/>
      </c>
      <c r="BG40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40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40" s="78">
        <f>IFERROR(INDEX('[2]Potencial Hor SocioDem x CeDi'!$C$2:$AF$81, MATCH($C40,'[2]Potencial Hor SocioDem x CeDi'!$B$2:$B$81,0), MATCH(BI$4,'[2]Potencial Hor SocioDem x CeDi'!$C$1:$AF$1,0)), "")</f>
        <v>949</v>
      </c>
      <c r="BJ40" s="78">
        <f>IFERROR(INDEX('[2]Potencial Hor SocioDem x CeDi'!$C$2:$AF$81, MATCH($C40,'[2]Potencial Hor SocioDem x CeDi'!$B$2:$B$81,0), MATCH(BJ$4,'[2]Potencial Hor SocioDem x CeDi'!$C$1:$AF$1,0)), "")</f>
        <v>25031</v>
      </c>
      <c r="BK40" s="78">
        <f>IFERROR(INDEX('[2]Potencial Hor SocioDem x CeDi'!$C$2:$AF$81, MATCH($C40,'[2]Potencial Hor SocioDem x CeDi'!$B$2:$B$81,0), MATCH(BK$4,'[2]Potencial Hor SocioDem x CeDi'!$C$1:$AF$1,0)), "")</f>
        <v>7006</v>
      </c>
      <c r="BL40" s="79">
        <f>IFERROR(INDEX('[2]Potencial Hor SocioDem x CeDi'!$C$2:$AF$81, MATCH($C40,'[2]Potencial Hor SocioDem x CeDi'!$B$2:$B$81,0), MATCH(BL$4,'[2]Potencial Hor SocioDem x CeDi'!$C$1:$AF$1,0)), "")</f>
        <v>3.5727947473594059</v>
      </c>
      <c r="BM40" s="79">
        <f>IFERROR(INDEX('[2]Potencial Hor SocioDem x CeDi'!$C$2:$AF$81, MATCH($C40,'[2]Potencial Hor SocioDem x CeDi'!$B$2:$B$81,0), MATCH(BM$4,'[2]Potencial Hor SocioDem x CeDi'!$C$1:$AF$1,0)), "")</f>
        <v>7.3825079030558483</v>
      </c>
      <c r="BN40" s="78">
        <f>IFERROR(INDEX('[2]Potencial Hor SocioDem x CeDi'!$C$2:$AF$81, MATCH($C40,'[2]Potencial Hor SocioDem x CeDi'!$B$2:$B$81,0), MATCH(BN$4,'[2]Potencial Hor SocioDem x CeDi'!$C$1:$AF$1,0)), "")</f>
        <v>0</v>
      </c>
      <c r="BO40" s="78">
        <f>IFERROR(INDEX('[2]Potencial Hor SocioDem x CeDi'!$C$2:$AF$81, MATCH($C40,'[2]Potencial Hor SocioDem x CeDi'!$B$2:$B$81,0), MATCH(BO$4,'[2]Potencial Hor SocioDem x CeDi'!$C$1:$AF$1,0)), "")</f>
        <v>4</v>
      </c>
      <c r="BP40" s="78">
        <f>IFERROR(INDEX('[2]Potencial Hor SocioDem x CeDi'!$C$2:$AF$81, MATCH($C40,'[2]Potencial Hor SocioDem x CeDi'!$B$2:$B$81,0), MATCH(BP$4,'[2]Potencial Hor SocioDem x CeDi'!$C$1:$AF$1,0)), "")</f>
        <v>4</v>
      </c>
      <c r="BQ40" s="80">
        <f>IFERROR(INDEX('[2]Potencial Hor SocioDem x CeDi'!$C$2:$AF$81, MATCH($C40,'[2]Potencial Hor SocioDem x CeDi'!$B$2:$B$81,0), MATCH(BQ$4,'[2]Potencial Hor SocioDem x CeDi'!$C$1:$AF$1,0)), "")</f>
        <v>5.7093919497573512E-4</v>
      </c>
      <c r="BR40" s="80">
        <f>IFERROR(INDEX('[2]Potencial Hor SocioDem x CeDi'!$C$2:$AF$81, MATCH($C40,'[2]Potencial Hor SocioDem x CeDi'!$B$2:$B$81,0), MATCH(BR$4,'[2]Potencial Hor SocioDem x CeDi'!$C$1:$AF$1,0)), "")</f>
        <v>0</v>
      </c>
      <c r="BS40" s="80">
        <f>IFERROR(INDEX('[2]Potencial Hor SocioDem x CeDi'!$C$2:$AF$81, MATCH($C40,'[2]Potencial Hor SocioDem x CeDi'!$B$2:$B$81,0), MATCH(BS$4,'[2]Potencial Hor SocioDem x CeDi'!$C$1:$AF$1,0)), "")</f>
        <v>5.7093919497573512E-4</v>
      </c>
      <c r="BT40" s="80">
        <f>IFERROR(INDEX('[2]Potencial Hor SocioDem x CeDi'!$C$2:$AF$81, MATCH($C40,'[2]Potencial Hor SocioDem x CeDi'!$B$2:$B$81,0), MATCH(BT$4,'[2]Potencial Hor SocioDem x CeDi'!$C$1:$AF$1,0)), "")</f>
        <v>4.2677704824436197E-2</v>
      </c>
      <c r="BU40" s="80">
        <f>IFERROR(INDEX('[2]Potencial Hor SocioDem x CeDi'!$C$2:$AF$81, MATCH($C40,'[2]Potencial Hor SocioDem x CeDi'!$B$2:$B$81,0), MATCH(BU$4,'[2]Potencial Hor SocioDem x CeDi'!$C$1:$AF$1,0)), "")</f>
        <v>1.1418783899514701E-2</v>
      </c>
      <c r="BV40" s="80">
        <f>IFERROR(INDEX('[2]Potencial Hor SocioDem x CeDi'!$C$2:$AF$81, MATCH($C40,'[2]Potencial Hor SocioDem x CeDi'!$B$2:$B$81,0), MATCH(BV$4,'[2]Potencial Hor SocioDem x CeDi'!$C$1:$AF$1,0)), "")</f>
        <v>4.0822152440765057E-2</v>
      </c>
      <c r="BW40" s="80">
        <f>IFERROR(INDEX('[2]Potencial Hor SocioDem x CeDi'!$C$2:$AF$81, MATCH($C40,'[2]Potencial Hor SocioDem x CeDi'!$B$2:$B$81,0), MATCH(BW$4,'[2]Potencial Hor SocioDem x CeDi'!$C$1:$AF$1,0)), "")</f>
        <v>0.90194119326291755</v>
      </c>
      <c r="BX40" s="80">
        <f>IFERROR(INDEX('[2]Potencial Hor SocioDem x CeDi'!$C$2:$AF$81, MATCH($C40,'[2]Potencial Hor SocioDem x CeDi'!$B$2:$B$81,0), MATCH(BX$4,'[2]Potencial Hor SocioDem x CeDi'!$C$1:$AF$1,0)), "")</f>
        <v>5.7093919497573512E-4</v>
      </c>
      <c r="BY40" s="80">
        <f>IFERROR(INDEX('[2]Potencial Hor SocioDem x CeDi'!$C$2:$AF$81, MATCH($C40,'[2]Potencial Hor SocioDem x CeDi'!$B$2:$B$81,0), MATCH(BY$4,'[2]Potencial Hor SocioDem x CeDi'!$C$1:$AF$1,0)), "")</f>
        <v>1.9982871824150731E-3</v>
      </c>
      <c r="BZ40" s="79">
        <f>IFERROR(INDEX('[2]Potencial Hor SocioDem x CeDi'!$C$2:$AF$81, MATCH($C40,'[2]Potencial Hor SocioDem x CeDi'!$B$2:$B$81,0), MATCH(BZ$4,'[2]Potencial Hor SocioDem x CeDi'!$C$1:$AF$1,0)), "")</f>
        <v>9.5481602812512474</v>
      </c>
      <c r="CA40" s="79">
        <f>IFERROR(INDEX('[2]Potencial Hor SocioDem x CeDi'!$C$2:$AF$81, MATCH($C40,'[2]Potencial Hor SocioDem x CeDi'!$B$2:$B$81,0), MATCH(CA$4,'[2]Potencial Hor SocioDem x CeDi'!$C$1:$AF$1,0)), "")</f>
        <v>0.35955415285046538</v>
      </c>
      <c r="CB40" s="81">
        <f>IFERROR(INDEX('[2]Potencial Hor SocioDem x CeDi'!$C$2:$AF$81, MATCH($C40,'[2]Potencial Hor SocioDem x CeDi'!$B$2:$B$81,0), MATCH(CB$4,'[2]Potencial Hor SocioDem x CeDi'!$C$1:$AF$1,0)), "")</f>
        <v>237</v>
      </c>
      <c r="CC40" s="82">
        <f>IFERROR(INDEX('[2]Potencial Hor SocioDem x CeDi'!$C$2:$AF$81, MATCH($C40,'[2]Potencial Hor SocioDem x CeDi'!$B$2:$B$81,0), MATCH(CC$4,'[2]Potencial Hor SocioDem x CeDi'!$C$1:$AF$1,0)), "")</f>
        <v>0</v>
      </c>
      <c r="CD40" s="83">
        <f>IFERROR(INDEX('[2]Potencial Hor SocioDem x CeDi'!$C$2:$AF$81, MATCH($C40,'[2]Potencial Hor SocioDem x CeDi'!$B$2:$B$81,0), MATCH(CD$4,'[2]Potencial Hor SocioDem x CeDi'!$C$1:$AF$1,0)), "")</f>
        <v>0</v>
      </c>
      <c r="CE40" s="78" t="str">
        <f>IFERROR(_xlfn.XLOOKUP([2]!BaseMaestraCeDi[[#This Row],[CeDi]], '[2]Potencial Hor x CeDi'!$B$6:$BU$6, '[2]Potencial Hor x CeDi'!$B$50:$BU$50), "")</f>
        <v/>
      </c>
      <c r="CF40" s="90" t="str">
        <f>IFERROR(_xlfn.XLOOKUP([2]!BaseMaestraCeDi[[#This Row],[CeDi]], '[2]Potencial Hor x CeDi'!$B$6:$BU$6, '[2]Potencial Hor x CeDi'!$B$34:$BU$34), "")</f>
        <v/>
      </c>
      <c r="CG40" s="90" t="str">
        <f>IFERROR(_xlfn.XLOOKUP([2]!BaseMaestraCeDi[[#This Row],[CeDi]], '[2]Potencial Hor x CeDi'!$B$6:$BU$6, '[2]Potencial Hor x CeDi'!$B$64:$BU$64), "")</f>
        <v/>
      </c>
      <c r="CH40" s="91" t="str">
        <f>IFERROR(_xlfn.XLOOKUP([2]!BaseMaestraCeDi[[#This Row],[CeDi]], '[2]Potencial Hor x CeDi'!$B$6:$BU$6, '[2]Potencial Hor x CeDi'!$B$38:$BU$38), "")</f>
        <v/>
      </c>
      <c r="CI40" s="90" t="str">
        <f>IFERROR(_xlfn.XLOOKUP([2]!BaseMaestraCeDi[[#This Row],[CeDi]], '[2]Potencial Hor x CeDi'!$B$6:$BU$6, '[2]Potencial Hor x CeDi'!$B$26:$BU$26), "")</f>
        <v/>
      </c>
      <c r="CJ40" s="92" t="str">
        <f>IFERROR(_xlfn.XLOOKUP([2]!BaseMaestraCeDi[[#This Row],[CeDi]], '[2]Potencial Hor x CeDi'!$B$6:$BU$6, '[2]Potencial Hor x CeDi'!$B$27:$BU$27), "")</f>
        <v/>
      </c>
      <c r="CK40" s="90" t="str">
        <f>IFERROR(_xlfn.XLOOKUP([2]!BaseMaestraCeDi[[#This Row],[CeDi]], '[2]Potencial Hor x CeDi'!$B$6:$BU$6, '[2]Potencial Hor x CeDi'!$B$28:$BU$28), "")</f>
        <v/>
      </c>
      <c r="CL40" s="92" t="str">
        <f>IFERROR(_xlfn.XLOOKUP([2]!BaseMaestraCeDi[[#This Row],[CeDi]], '[2]Potencial Hor x CeDi'!$B$6:$BU$6, '[2]Potencial Hor x CeDi'!$B$29:$BU$29), "")</f>
        <v/>
      </c>
      <c r="CM40" s="93" t="str">
        <f>IFERROR(_xlfn.XLOOKUP([2]!BaseMaestraCeDi[[#This Row],[CeDi]], '[2]Potencial Hor x CeDi'!$B$6:$BU$6, '[2]Potencial Hor x CeDi'!$B$39:$BU$39), "")</f>
        <v/>
      </c>
      <c r="CN40" s="94" t="str">
        <f>IFERROR(_xlfn.XLOOKUP([2]!BaseMaestraCeDi[[#This Row],[CeDi]], '[2]Potencial Hor x CeDi'!$B$6:$BU$6, '[2]Potencial Hor x CeDi'!$B$43:$BU$43), "")</f>
        <v/>
      </c>
      <c r="CO40" s="94" t="str">
        <f>IFERROR(_xlfn.XLOOKUP([2]!BaseMaestraCeDi[[#This Row],[CeDi]], '[2]Potencial Hor x CeDi'!$B$6:$BU$6, '[2]Potencial Hor x CeDi'!$B$46:$BU$46), "")</f>
        <v/>
      </c>
      <c r="CP40" s="86" t="str">
        <f>IFERROR(_xlfn.XLOOKUP([2]!BaseMaestraCeDi[[#This Row],[CeDi]], '[2]Potencial Hor x CeDi'!$B$6:$BU$6, '[2]Potencial Hor x CeDi'!$B$51:$BU$51), "")</f>
        <v/>
      </c>
      <c r="CQ40" s="82" t="str">
        <f>IFERROR(_xlfn.XLOOKUP([2]!BaseMaestraCeDi[[#This Row],[CeDi]], '[2]Potencial Hor x CeDi'!$B$6:$BU$6, '[2]Potencial Hor x CeDi'!$B$52:$BU$52), "")</f>
        <v/>
      </c>
      <c r="CR40" s="82" t="str">
        <f>IFERROR(_xlfn.XLOOKUP([2]!BaseMaestraCeDi[[#This Row],[CeDi]], '[2]Potencial Hor x CeDi'!$B$6:$BU$6, '[2]Potencial Hor x CeDi'!$B$53:$BU$53), "")</f>
        <v/>
      </c>
      <c r="CS40" s="87" t="str">
        <f>IFERROR(_xlfn.XLOOKUP([2]!BaseMaestraCeDi[[#This Row],[CeDi]], '[2]Potencial Hor x CeDi'!$B$6:$BU$6, '[2]Potencial Hor x CeDi'!$B$60:$BU$60), "")</f>
        <v/>
      </c>
      <c r="CT40" s="90" t="str">
        <f>IFERROR(_xlfn.XLOOKUP([2]!BaseMaestraCeDi[[#This Row],[CeDi]], '[2]Potencial Hor x CeDi'!$B$6:$BU$6, '[2]Potencial Hor x CeDi'!$B$65:$BU$65), "")</f>
        <v/>
      </c>
      <c r="CU40" s="90" t="str">
        <f>IFERROR(_xlfn.XLOOKUP([2]!BaseMaestraCeDi[[#This Row],[CeDi]], '[2]Potencial Hor x CeDi'!$B$6:$BU$6, '[2]Potencial Hor x CeDi'!$B$68:$BU$68), "")</f>
        <v/>
      </c>
      <c r="CV40" s="95" t="str">
        <f>IFERROR(_xlfn.XLOOKUP([2]!BaseMaestraCeDi[[#This Row],[CeDi]], '[2]Potencial Hor x CeDi'!$B$6:$BU$6, '[2]Potencial Hor x CeDi'!$B$71:$BU$71), "")</f>
        <v/>
      </c>
    </row>
    <row r="41" spans="1:100">
      <c r="A41" s="100" t="s">
        <v>94</v>
      </c>
      <c r="B41" s="100" t="s">
        <v>446</v>
      </c>
      <c r="C41" s="100" t="s">
        <v>489</v>
      </c>
      <c r="D41" s="101">
        <v>1</v>
      </c>
      <c r="E41" s="102">
        <v>102.75299140568387</v>
      </c>
      <c r="F41" s="103">
        <v>5.0969562145577392</v>
      </c>
      <c r="G41" s="103">
        <v>107.84994762024161</v>
      </c>
      <c r="H41" s="104">
        <v>221.32670547572576</v>
      </c>
      <c r="I41" s="105">
        <v>685.02788465827246</v>
      </c>
      <c r="J41" s="105">
        <v>140.07414816871062</v>
      </c>
      <c r="K41" s="105">
        <v>1046.428738302709</v>
      </c>
      <c r="L41" s="104">
        <v>1656.0369040335643</v>
      </c>
      <c r="M41" s="106">
        <v>0.63188733038131628</v>
      </c>
      <c r="N41" s="107" t="s">
        <v>160</v>
      </c>
      <c r="O41" s="102">
        <v>28.67710843373494</v>
      </c>
      <c r="P41" s="103">
        <v>2</v>
      </c>
      <c r="Q41" s="103">
        <v>1</v>
      </c>
      <c r="R41" s="108" t="s">
        <v>194</v>
      </c>
      <c r="S41" s="107" t="s">
        <v>194</v>
      </c>
      <c r="T41" s="125">
        <v>1</v>
      </c>
      <c r="U41" s="106">
        <v>0</v>
      </c>
      <c r="V41" s="106">
        <v>0.88962194292652585</v>
      </c>
      <c r="W41" s="106">
        <v>0.1103780570734741</v>
      </c>
      <c r="X41" s="106">
        <v>0</v>
      </c>
      <c r="Y41" s="104">
        <v>1473.2467681243681</v>
      </c>
      <c r="Z41" s="105">
        <v>182.79013590919612</v>
      </c>
      <c r="AA41" s="105">
        <v>0</v>
      </c>
      <c r="AB41" s="105">
        <v>70279.291666666672</v>
      </c>
      <c r="AC41" s="101">
        <v>1</v>
      </c>
      <c r="AD41" s="109">
        <v>0</v>
      </c>
      <c r="AE41" s="101">
        <v>11901</v>
      </c>
      <c r="AF41" s="109">
        <v>8533</v>
      </c>
      <c r="AG41" s="110">
        <v>0.71699857154860935</v>
      </c>
      <c r="AH41" s="106">
        <v>0.71699857154860935</v>
      </c>
      <c r="AI41" s="101">
        <v>0</v>
      </c>
      <c r="AJ41" s="109">
        <v>0</v>
      </c>
      <c r="AK41" s="106">
        <v>0.71699857154860935</v>
      </c>
      <c r="AL41" s="104">
        <v>2386650.6900000004</v>
      </c>
      <c r="AM41" s="105">
        <v>0</v>
      </c>
      <c r="AN41" s="106">
        <v>0</v>
      </c>
      <c r="AO41" s="104">
        <v>0</v>
      </c>
      <c r="AP41" s="106">
        <v>0</v>
      </c>
      <c r="AQ41" s="109" t="s">
        <v>194</v>
      </c>
      <c r="AR41" s="101">
        <v>0</v>
      </c>
      <c r="AS41" s="105">
        <v>0</v>
      </c>
      <c r="AT41" s="104">
        <v>0</v>
      </c>
      <c r="AU41" s="101">
        <v>1</v>
      </c>
      <c r="AV41" s="109">
        <v>0</v>
      </c>
      <c r="AW41" s="109">
        <v>0</v>
      </c>
      <c r="AX41" s="109">
        <v>1</v>
      </c>
      <c r="AY41" s="110">
        <v>0</v>
      </c>
      <c r="AZ41" s="109">
        <v>0</v>
      </c>
      <c r="BA41" s="102">
        <v>28.677108433734901</v>
      </c>
      <c r="BB41" s="106">
        <v>0.71699857154860902</v>
      </c>
      <c r="BC41" s="111">
        <v>347.00180652242102</v>
      </c>
      <c r="BD41" s="74" t="s">
        <v>1149</v>
      </c>
      <c r="BE41" s="88" t="str">
        <f>IFERROR(_xlfn.XLOOKUP([2]!BaseMaestraCeDi[[#This Row],[CeDi]], '[2]Potencial Hor x CeDi'!$B$6:$BU$6, '[2]Potencial Hor x CeDi'!$B$21:$BU$21) / 1000, "")</f>
        <v/>
      </c>
      <c r="BF41" s="89" t="str">
        <f>IFERROR(_xlfn.XLOOKUP([2]!BaseMaestraCeDi[[#This Row],[CeDi]], '[2]Potencial Hor x CeDi'!$B$6:$BU$6, '[2]Potencial Hor x CeDi'!$B$22:$BU$22) / 1000, "")</f>
        <v/>
      </c>
      <c r="BG41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41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41" s="78">
        <f>IFERROR(INDEX('[2]Potencial Hor SocioDem x CeDi'!$C$2:$AF$81, MATCH($C41,'[2]Potencial Hor SocioDem x CeDi'!$B$2:$B$81,0), MATCH(BI$4,'[2]Potencial Hor SocioDem x CeDi'!$C$1:$AF$1,0)), "")</f>
        <v>410</v>
      </c>
      <c r="BJ41" s="78">
        <f>IFERROR(INDEX('[2]Potencial Hor SocioDem x CeDi'!$C$2:$AF$81, MATCH($C41,'[2]Potencial Hor SocioDem x CeDi'!$B$2:$B$81,0), MATCH(BJ$4,'[2]Potencial Hor SocioDem x CeDi'!$C$1:$AF$1,0)), "")</f>
        <v>10581</v>
      </c>
      <c r="BK41" s="78">
        <f>IFERROR(INDEX('[2]Potencial Hor SocioDem x CeDi'!$C$2:$AF$81, MATCH($C41,'[2]Potencial Hor SocioDem x CeDi'!$B$2:$B$81,0), MATCH(BK$4,'[2]Potencial Hor SocioDem x CeDi'!$C$1:$AF$1,0)), "")</f>
        <v>3326</v>
      </c>
      <c r="BL41" s="79">
        <f>IFERROR(INDEX('[2]Potencial Hor SocioDem x CeDi'!$C$2:$AF$81, MATCH($C41,'[2]Potencial Hor SocioDem x CeDi'!$B$2:$B$81,0), MATCH(BL$4,'[2]Potencial Hor SocioDem x CeDi'!$C$1:$AF$1,0)), "")</f>
        <v>3.1812988574864698</v>
      </c>
      <c r="BM41" s="79">
        <f>IFERROR(INDEX('[2]Potencial Hor SocioDem x CeDi'!$C$2:$AF$81, MATCH($C41,'[2]Potencial Hor SocioDem x CeDi'!$B$2:$B$81,0), MATCH(BM$4,'[2]Potencial Hor SocioDem x CeDi'!$C$1:$AF$1,0)), "")</f>
        <v>8.1121951219512187</v>
      </c>
      <c r="BN41" s="78">
        <f>IFERROR(INDEX('[2]Potencial Hor SocioDem x CeDi'!$C$2:$AF$81, MATCH($C41,'[2]Potencial Hor SocioDem x CeDi'!$B$2:$B$81,0), MATCH(BN$4,'[2]Potencial Hor SocioDem x CeDi'!$C$1:$AF$1,0)), "")</f>
        <v>0</v>
      </c>
      <c r="BO41" s="78">
        <f>IFERROR(INDEX('[2]Potencial Hor SocioDem x CeDi'!$C$2:$AF$81, MATCH($C41,'[2]Potencial Hor SocioDem x CeDi'!$B$2:$B$81,0), MATCH(BO$4,'[2]Potencial Hor SocioDem x CeDi'!$C$1:$AF$1,0)), "")</f>
        <v>0</v>
      </c>
      <c r="BP41" s="78">
        <f>IFERROR(INDEX('[2]Potencial Hor SocioDem x CeDi'!$C$2:$AF$81, MATCH($C41,'[2]Potencial Hor SocioDem x CeDi'!$B$2:$B$81,0), MATCH(BP$4,'[2]Potencial Hor SocioDem x CeDi'!$C$1:$AF$1,0)), "")</f>
        <v>0</v>
      </c>
      <c r="BQ41" s="80">
        <f>IFERROR(INDEX('[2]Potencial Hor SocioDem x CeDi'!$C$2:$AF$81, MATCH($C41,'[2]Potencial Hor SocioDem x CeDi'!$B$2:$B$81,0), MATCH(BQ$4,'[2]Potencial Hor SocioDem x CeDi'!$C$1:$AF$1,0)), "")</f>
        <v>0</v>
      </c>
      <c r="BR41" s="80">
        <f>IFERROR(INDEX('[2]Potencial Hor SocioDem x CeDi'!$C$2:$AF$81, MATCH($C41,'[2]Potencial Hor SocioDem x CeDi'!$B$2:$B$81,0), MATCH(BR$4,'[2]Potencial Hor SocioDem x CeDi'!$C$1:$AF$1,0)), "")</f>
        <v>0</v>
      </c>
      <c r="BS41" s="80">
        <f>IFERROR(INDEX('[2]Potencial Hor SocioDem x CeDi'!$C$2:$AF$81, MATCH($C41,'[2]Potencial Hor SocioDem x CeDi'!$B$2:$B$81,0), MATCH(BS$4,'[2]Potencial Hor SocioDem x CeDi'!$C$1:$AF$1,0)), "")</f>
        <v>0</v>
      </c>
      <c r="BT41" s="80">
        <f>IFERROR(INDEX('[2]Potencial Hor SocioDem x CeDi'!$C$2:$AF$81, MATCH($C41,'[2]Potencial Hor SocioDem x CeDi'!$B$2:$B$81,0), MATCH(BT$4,'[2]Potencial Hor SocioDem x CeDi'!$C$1:$AF$1,0)), "")</f>
        <v>0</v>
      </c>
      <c r="BU41" s="80">
        <f>IFERROR(INDEX('[2]Potencial Hor SocioDem x CeDi'!$C$2:$AF$81, MATCH($C41,'[2]Potencial Hor SocioDem x CeDi'!$B$2:$B$81,0), MATCH(BU$4,'[2]Potencial Hor SocioDem x CeDi'!$C$1:$AF$1,0)), "")</f>
        <v>9.0198436560432957E-4</v>
      </c>
      <c r="BV41" s="80">
        <f>IFERROR(INDEX('[2]Potencial Hor SocioDem x CeDi'!$C$2:$AF$81, MATCH($C41,'[2]Potencial Hor SocioDem x CeDi'!$B$2:$B$81,0), MATCH(BV$4,'[2]Potencial Hor SocioDem x CeDi'!$C$1:$AF$1,0)), "")</f>
        <v>9.0198436560432957E-4</v>
      </c>
      <c r="BW41" s="80">
        <f>IFERROR(INDEX('[2]Potencial Hor SocioDem x CeDi'!$C$2:$AF$81, MATCH($C41,'[2]Potencial Hor SocioDem x CeDi'!$B$2:$B$81,0), MATCH(BW$4,'[2]Potencial Hor SocioDem x CeDi'!$C$1:$AF$1,0)), "")</f>
        <v>0.99579073962717979</v>
      </c>
      <c r="BX41" s="80">
        <f>IFERROR(INDEX('[2]Potencial Hor SocioDem x CeDi'!$C$2:$AF$81, MATCH($C41,'[2]Potencial Hor SocioDem x CeDi'!$B$2:$B$81,0), MATCH(BX$4,'[2]Potencial Hor SocioDem x CeDi'!$C$1:$AF$1,0)), "")</f>
        <v>1.5033072760072159E-3</v>
      </c>
      <c r="BY41" s="80">
        <f>IFERROR(INDEX('[2]Potencial Hor SocioDem x CeDi'!$C$2:$AF$81, MATCH($C41,'[2]Potencial Hor SocioDem x CeDi'!$B$2:$B$81,0), MATCH(BY$4,'[2]Potencial Hor SocioDem x CeDi'!$C$1:$AF$1,0)), "")</f>
        <v>9.0198436560432957E-4</v>
      </c>
      <c r="BZ41" s="79">
        <f>IFERROR(INDEX('[2]Potencial Hor SocioDem x CeDi'!$C$2:$AF$81, MATCH($C41,'[2]Potencial Hor SocioDem x CeDi'!$B$2:$B$81,0), MATCH(BZ$4,'[2]Potencial Hor SocioDem x CeDi'!$C$1:$AF$1,0)), "")</f>
        <v>10.017956714866269</v>
      </c>
      <c r="CA41" s="79">
        <f>IFERROR(INDEX('[2]Potencial Hor SocioDem x CeDi'!$C$2:$AF$81, MATCH($C41,'[2]Potencial Hor SocioDem x CeDi'!$B$2:$B$81,0), MATCH(CA$4,'[2]Potencial Hor SocioDem x CeDi'!$C$1:$AF$1,0)), "")</f>
        <v>0.28352707683583778</v>
      </c>
      <c r="CB41" s="81">
        <f>IFERROR(INDEX('[2]Potencial Hor SocioDem x CeDi'!$C$2:$AF$81, MATCH($C41,'[2]Potencial Hor SocioDem x CeDi'!$B$2:$B$81,0), MATCH(CB$4,'[2]Potencial Hor SocioDem x CeDi'!$C$1:$AF$1,0)), "")</f>
        <v>141</v>
      </c>
      <c r="CC41" s="82">
        <f>IFERROR(INDEX('[2]Potencial Hor SocioDem x CeDi'!$C$2:$AF$81, MATCH($C41,'[2]Potencial Hor SocioDem x CeDi'!$B$2:$B$81,0), MATCH(CC$4,'[2]Potencial Hor SocioDem x CeDi'!$C$1:$AF$1,0)), "")</f>
        <v>0</v>
      </c>
      <c r="CD41" s="83">
        <f>IFERROR(INDEX('[2]Potencial Hor SocioDem x CeDi'!$C$2:$AF$81, MATCH($C41,'[2]Potencial Hor SocioDem x CeDi'!$B$2:$B$81,0), MATCH(CD$4,'[2]Potencial Hor SocioDem x CeDi'!$C$1:$AF$1,0)), "")</f>
        <v>0</v>
      </c>
      <c r="CE41" s="78" t="str">
        <f>IFERROR(_xlfn.XLOOKUP([2]!BaseMaestraCeDi[[#This Row],[CeDi]], '[2]Potencial Hor x CeDi'!$B$6:$BU$6, '[2]Potencial Hor x CeDi'!$B$50:$BU$50), "")</f>
        <v/>
      </c>
      <c r="CF41" s="90" t="str">
        <f>IFERROR(_xlfn.XLOOKUP([2]!BaseMaestraCeDi[[#This Row],[CeDi]], '[2]Potencial Hor x CeDi'!$B$6:$BU$6, '[2]Potencial Hor x CeDi'!$B$34:$BU$34), "")</f>
        <v/>
      </c>
      <c r="CG41" s="90" t="str">
        <f>IFERROR(_xlfn.XLOOKUP([2]!BaseMaestraCeDi[[#This Row],[CeDi]], '[2]Potencial Hor x CeDi'!$B$6:$BU$6, '[2]Potencial Hor x CeDi'!$B$64:$BU$64), "")</f>
        <v/>
      </c>
      <c r="CH41" s="91" t="str">
        <f>IFERROR(_xlfn.XLOOKUP([2]!BaseMaestraCeDi[[#This Row],[CeDi]], '[2]Potencial Hor x CeDi'!$B$6:$BU$6, '[2]Potencial Hor x CeDi'!$B$38:$BU$38), "")</f>
        <v/>
      </c>
      <c r="CI41" s="90" t="str">
        <f>IFERROR(_xlfn.XLOOKUP([2]!BaseMaestraCeDi[[#This Row],[CeDi]], '[2]Potencial Hor x CeDi'!$B$6:$BU$6, '[2]Potencial Hor x CeDi'!$B$26:$BU$26), "")</f>
        <v/>
      </c>
      <c r="CJ41" s="92" t="str">
        <f>IFERROR(_xlfn.XLOOKUP([2]!BaseMaestraCeDi[[#This Row],[CeDi]], '[2]Potencial Hor x CeDi'!$B$6:$BU$6, '[2]Potencial Hor x CeDi'!$B$27:$BU$27), "")</f>
        <v/>
      </c>
      <c r="CK41" s="90" t="str">
        <f>IFERROR(_xlfn.XLOOKUP([2]!BaseMaestraCeDi[[#This Row],[CeDi]], '[2]Potencial Hor x CeDi'!$B$6:$BU$6, '[2]Potencial Hor x CeDi'!$B$28:$BU$28), "")</f>
        <v/>
      </c>
      <c r="CL41" s="92" t="str">
        <f>IFERROR(_xlfn.XLOOKUP([2]!BaseMaestraCeDi[[#This Row],[CeDi]], '[2]Potencial Hor x CeDi'!$B$6:$BU$6, '[2]Potencial Hor x CeDi'!$B$29:$BU$29), "")</f>
        <v/>
      </c>
      <c r="CM41" s="93" t="str">
        <f>IFERROR(_xlfn.XLOOKUP([2]!BaseMaestraCeDi[[#This Row],[CeDi]], '[2]Potencial Hor x CeDi'!$B$6:$BU$6, '[2]Potencial Hor x CeDi'!$B$39:$BU$39), "")</f>
        <v/>
      </c>
      <c r="CN41" s="94" t="str">
        <f>IFERROR(_xlfn.XLOOKUP([2]!BaseMaestraCeDi[[#This Row],[CeDi]], '[2]Potencial Hor x CeDi'!$B$6:$BU$6, '[2]Potencial Hor x CeDi'!$B$43:$BU$43), "")</f>
        <v/>
      </c>
      <c r="CO41" s="94" t="str">
        <f>IFERROR(_xlfn.XLOOKUP([2]!BaseMaestraCeDi[[#This Row],[CeDi]], '[2]Potencial Hor x CeDi'!$B$6:$BU$6, '[2]Potencial Hor x CeDi'!$B$46:$BU$46), "")</f>
        <v/>
      </c>
      <c r="CP41" s="86" t="str">
        <f>IFERROR(_xlfn.XLOOKUP([2]!BaseMaestraCeDi[[#This Row],[CeDi]], '[2]Potencial Hor x CeDi'!$B$6:$BU$6, '[2]Potencial Hor x CeDi'!$B$51:$BU$51), "")</f>
        <v/>
      </c>
      <c r="CQ41" s="82" t="str">
        <f>IFERROR(_xlfn.XLOOKUP([2]!BaseMaestraCeDi[[#This Row],[CeDi]], '[2]Potencial Hor x CeDi'!$B$6:$BU$6, '[2]Potencial Hor x CeDi'!$B$52:$BU$52), "")</f>
        <v/>
      </c>
      <c r="CR41" s="82" t="str">
        <f>IFERROR(_xlfn.XLOOKUP([2]!BaseMaestraCeDi[[#This Row],[CeDi]], '[2]Potencial Hor x CeDi'!$B$6:$BU$6, '[2]Potencial Hor x CeDi'!$B$53:$BU$53), "")</f>
        <v/>
      </c>
      <c r="CS41" s="87" t="str">
        <f>IFERROR(_xlfn.XLOOKUP([2]!BaseMaestraCeDi[[#This Row],[CeDi]], '[2]Potencial Hor x CeDi'!$B$6:$BU$6, '[2]Potencial Hor x CeDi'!$B$60:$BU$60), "")</f>
        <v/>
      </c>
      <c r="CT41" s="90" t="str">
        <f>IFERROR(_xlfn.XLOOKUP([2]!BaseMaestraCeDi[[#This Row],[CeDi]], '[2]Potencial Hor x CeDi'!$B$6:$BU$6, '[2]Potencial Hor x CeDi'!$B$65:$BU$65), "")</f>
        <v/>
      </c>
      <c r="CU41" s="90" t="str">
        <f>IFERROR(_xlfn.XLOOKUP([2]!BaseMaestraCeDi[[#This Row],[CeDi]], '[2]Potencial Hor x CeDi'!$B$6:$BU$6, '[2]Potencial Hor x CeDi'!$B$68:$BU$68), "")</f>
        <v/>
      </c>
      <c r="CV41" s="95" t="str">
        <f>IFERROR(_xlfn.XLOOKUP([2]!BaseMaestraCeDi[[#This Row],[CeDi]], '[2]Potencial Hor x CeDi'!$B$6:$BU$6, '[2]Potencial Hor x CeDi'!$B$71:$BU$71), "")</f>
        <v/>
      </c>
    </row>
    <row r="42" spans="1:100">
      <c r="A42" s="112" t="s">
        <v>94</v>
      </c>
      <c r="B42" s="112" t="s">
        <v>446</v>
      </c>
      <c r="C42" s="112" t="s">
        <v>491</v>
      </c>
      <c r="D42" s="113">
        <v>1</v>
      </c>
      <c r="E42" s="114">
        <v>119.086481864934</v>
      </c>
      <c r="F42" s="115">
        <v>5.907162171219448</v>
      </c>
      <c r="G42" s="115">
        <v>124.99364403615346</v>
      </c>
      <c r="H42" s="116">
        <v>256.50852921448518</v>
      </c>
      <c r="I42" s="117">
        <v>685.02788465827246</v>
      </c>
      <c r="J42" s="117">
        <v>140.07414816871062</v>
      </c>
      <c r="K42" s="117">
        <v>1081.6105620414683</v>
      </c>
      <c r="L42" s="116">
        <v>1879.0737607763299</v>
      </c>
      <c r="M42" s="118">
        <v>0.57560835802135102</v>
      </c>
      <c r="N42" s="119" t="s">
        <v>160</v>
      </c>
      <c r="O42" s="114">
        <v>63.686363636363637</v>
      </c>
      <c r="P42" s="115">
        <v>2</v>
      </c>
      <c r="Q42" s="115">
        <v>1</v>
      </c>
      <c r="R42" s="120" t="s">
        <v>194</v>
      </c>
      <c r="S42" s="119" t="s">
        <v>194</v>
      </c>
      <c r="T42" s="121">
        <v>1</v>
      </c>
      <c r="U42" s="118">
        <v>0</v>
      </c>
      <c r="V42" s="118">
        <v>0.96836253246040749</v>
      </c>
      <c r="W42" s="118">
        <v>3.1637467539592554E-2</v>
      </c>
      <c r="X42" s="118">
        <v>0</v>
      </c>
      <c r="Y42" s="116">
        <v>1819.6246256652687</v>
      </c>
      <c r="Z42" s="117">
        <v>59.449135111061238</v>
      </c>
      <c r="AA42" s="117">
        <v>0</v>
      </c>
      <c r="AB42" s="117">
        <v>79744.583333333328</v>
      </c>
      <c r="AC42" s="113">
        <v>1</v>
      </c>
      <c r="AD42" s="122">
        <v>0</v>
      </c>
      <c r="AE42" s="113">
        <v>28022</v>
      </c>
      <c r="AF42" s="122">
        <v>10641</v>
      </c>
      <c r="AG42" s="123">
        <v>0.37973734922560848</v>
      </c>
      <c r="AH42" s="118">
        <v>0.37973734922560848</v>
      </c>
      <c r="AI42" s="113">
        <v>0</v>
      </c>
      <c r="AJ42" s="122">
        <v>0</v>
      </c>
      <c r="AK42" s="118">
        <v>0.37973734922560848</v>
      </c>
      <c r="AL42" s="116">
        <v>2754282.6900000004</v>
      </c>
      <c r="AM42" s="117">
        <v>0</v>
      </c>
      <c r="AN42" s="118">
        <v>0</v>
      </c>
      <c r="AO42" s="116">
        <v>0</v>
      </c>
      <c r="AP42" s="118">
        <v>0</v>
      </c>
      <c r="AQ42" s="122" t="s">
        <v>194</v>
      </c>
      <c r="AR42" s="113">
        <v>0</v>
      </c>
      <c r="AS42" s="117">
        <v>0</v>
      </c>
      <c r="AT42" s="116">
        <v>0</v>
      </c>
      <c r="AU42" s="113">
        <v>1</v>
      </c>
      <c r="AV42" s="122">
        <v>0</v>
      </c>
      <c r="AW42" s="122">
        <v>0</v>
      </c>
      <c r="AX42" s="122">
        <v>1</v>
      </c>
      <c r="AY42" s="123">
        <v>0</v>
      </c>
      <c r="AZ42" s="122">
        <v>0</v>
      </c>
      <c r="BA42" s="114">
        <v>63.686363636363602</v>
      </c>
      <c r="BB42" s="118">
        <v>0.37973734922560898</v>
      </c>
      <c r="BC42" s="124">
        <v>409.24758880681799</v>
      </c>
      <c r="BD42" s="74" t="s">
        <v>1150</v>
      </c>
      <c r="BE42" s="88" t="str">
        <f>IFERROR(_xlfn.XLOOKUP([2]!BaseMaestraCeDi[[#This Row],[CeDi]], '[2]Potencial Hor x CeDi'!$B$6:$BU$6, '[2]Potencial Hor x CeDi'!$B$21:$BU$21) / 1000, "")</f>
        <v/>
      </c>
      <c r="BF42" s="89" t="str">
        <f>IFERROR(_xlfn.XLOOKUP([2]!BaseMaestraCeDi[[#This Row],[CeDi]], '[2]Potencial Hor x CeDi'!$B$6:$BU$6, '[2]Potencial Hor x CeDi'!$B$22:$BU$22) / 1000, "")</f>
        <v/>
      </c>
      <c r="BG42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42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42" s="78">
        <f>IFERROR(INDEX('[2]Potencial Hor SocioDem x CeDi'!$C$2:$AF$81, MATCH($C42,'[2]Potencial Hor SocioDem x CeDi'!$B$2:$B$81,0), MATCH(BI$4,'[2]Potencial Hor SocioDem x CeDi'!$C$1:$AF$1,0)), "")</f>
        <v>674</v>
      </c>
      <c r="BJ42" s="78">
        <f>IFERROR(INDEX('[2]Potencial Hor SocioDem x CeDi'!$C$2:$AF$81, MATCH($C42,'[2]Potencial Hor SocioDem x CeDi'!$B$2:$B$81,0), MATCH(BJ$4,'[2]Potencial Hor SocioDem x CeDi'!$C$1:$AF$1,0)), "")</f>
        <v>18360</v>
      </c>
      <c r="BK42" s="78">
        <f>IFERROR(INDEX('[2]Potencial Hor SocioDem x CeDi'!$C$2:$AF$81, MATCH($C42,'[2]Potencial Hor SocioDem x CeDi'!$B$2:$B$81,0), MATCH(BK$4,'[2]Potencial Hor SocioDem x CeDi'!$C$1:$AF$1,0)), "")</f>
        <v>5491</v>
      </c>
      <c r="BL42" s="79">
        <f>IFERROR(INDEX('[2]Potencial Hor SocioDem x CeDi'!$C$2:$AF$81, MATCH($C42,'[2]Potencial Hor SocioDem x CeDi'!$B$2:$B$81,0), MATCH(BL$4,'[2]Potencial Hor SocioDem x CeDi'!$C$1:$AF$1,0)), "")</f>
        <v>3.3436532507739938</v>
      </c>
      <c r="BM42" s="79">
        <f>IFERROR(INDEX('[2]Potencial Hor SocioDem x CeDi'!$C$2:$AF$81, MATCH($C42,'[2]Potencial Hor SocioDem x CeDi'!$B$2:$B$81,0), MATCH(BM$4,'[2]Potencial Hor SocioDem x CeDi'!$C$1:$AF$1,0)), "")</f>
        <v>8.146884272997033</v>
      </c>
      <c r="BN42" s="78">
        <f>IFERROR(INDEX('[2]Potencial Hor SocioDem x CeDi'!$C$2:$AF$81, MATCH($C42,'[2]Potencial Hor SocioDem x CeDi'!$B$2:$B$81,0), MATCH(BN$4,'[2]Potencial Hor SocioDem x CeDi'!$C$1:$AF$1,0)), "")</f>
        <v>0</v>
      </c>
      <c r="BO42" s="78">
        <f>IFERROR(INDEX('[2]Potencial Hor SocioDem x CeDi'!$C$2:$AF$81, MATCH($C42,'[2]Potencial Hor SocioDem x CeDi'!$B$2:$B$81,0), MATCH(BO$4,'[2]Potencial Hor SocioDem x CeDi'!$C$1:$AF$1,0)), "")</f>
        <v>0</v>
      </c>
      <c r="BP42" s="78">
        <f>IFERROR(INDEX('[2]Potencial Hor SocioDem x CeDi'!$C$2:$AF$81, MATCH($C42,'[2]Potencial Hor SocioDem x CeDi'!$B$2:$B$81,0), MATCH(BP$4,'[2]Potencial Hor SocioDem x CeDi'!$C$1:$AF$1,0)), "")</f>
        <v>0</v>
      </c>
      <c r="BQ42" s="80">
        <f>IFERROR(INDEX('[2]Potencial Hor SocioDem x CeDi'!$C$2:$AF$81, MATCH($C42,'[2]Potencial Hor SocioDem x CeDi'!$B$2:$B$81,0), MATCH(BQ$4,'[2]Potencial Hor SocioDem x CeDi'!$C$1:$AF$1,0)), "")</f>
        <v>0</v>
      </c>
      <c r="BR42" s="80">
        <f>IFERROR(INDEX('[2]Potencial Hor SocioDem x CeDi'!$C$2:$AF$81, MATCH($C42,'[2]Potencial Hor SocioDem x CeDi'!$B$2:$B$81,0), MATCH(BR$4,'[2]Potencial Hor SocioDem x CeDi'!$C$1:$AF$1,0)), "")</f>
        <v>0</v>
      </c>
      <c r="BS42" s="80">
        <f>IFERROR(INDEX('[2]Potencial Hor SocioDem x CeDi'!$C$2:$AF$81, MATCH($C42,'[2]Potencial Hor SocioDem x CeDi'!$B$2:$B$81,0), MATCH(BS$4,'[2]Potencial Hor SocioDem x CeDi'!$C$1:$AF$1,0)), "")</f>
        <v>0</v>
      </c>
      <c r="BT42" s="80">
        <f>IFERROR(INDEX('[2]Potencial Hor SocioDem x CeDi'!$C$2:$AF$81, MATCH($C42,'[2]Potencial Hor SocioDem x CeDi'!$B$2:$B$81,0), MATCH(BT$4,'[2]Potencial Hor SocioDem x CeDi'!$C$1:$AF$1,0)), "")</f>
        <v>5.4816973228920048E-2</v>
      </c>
      <c r="BU42" s="80">
        <f>IFERROR(INDEX('[2]Potencial Hor SocioDem x CeDi'!$C$2:$AF$81, MATCH($C42,'[2]Potencial Hor SocioDem x CeDi'!$B$2:$B$81,0), MATCH(BU$4,'[2]Potencial Hor SocioDem x CeDi'!$C$1:$AF$1,0)), "")</f>
        <v>1.6026224731378619E-2</v>
      </c>
      <c r="BV42" s="80">
        <f>IFERROR(INDEX('[2]Potencial Hor SocioDem x CeDi'!$C$2:$AF$81, MATCH($C42,'[2]Potencial Hor SocioDem x CeDi'!$B$2:$B$81,0), MATCH(BV$4,'[2]Potencial Hor SocioDem x CeDi'!$C$1:$AF$1,0)), "")</f>
        <v>1.311236568930978E-2</v>
      </c>
      <c r="BW42" s="80">
        <f>IFERROR(INDEX('[2]Potencial Hor SocioDem x CeDi'!$C$2:$AF$81, MATCH($C42,'[2]Potencial Hor SocioDem x CeDi'!$B$2:$B$81,0), MATCH(BW$4,'[2]Potencial Hor SocioDem x CeDi'!$C$1:$AF$1,0)), "")</f>
        <v>0.91531597158987432</v>
      </c>
      <c r="BX42" s="80">
        <f>IFERROR(INDEX('[2]Potencial Hor SocioDem x CeDi'!$C$2:$AF$81, MATCH($C42,'[2]Potencial Hor SocioDem x CeDi'!$B$2:$B$81,0), MATCH(BX$4,'[2]Potencial Hor SocioDem x CeDi'!$C$1:$AF$1,0)), "")</f>
        <v>5.4634857038790747E-4</v>
      </c>
      <c r="BY42" s="80">
        <f>IFERROR(INDEX('[2]Potencial Hor SocioDem x CeDi'!$C$2:$AF$81, MATCH($C42,'[2]Potencial Hor SocioDem x CeDi'!$B$2:$B$81,0), MATCH(BY$4,'[2]Potencial Hor SocioDem x CeDi'!$C$1:$AF$1,0)), "")</f>
        <v>1.8211619012930251E-4</v>
      </c>
      <c r="BZ42" s="79">
        <f>IFERROR(INDEX('[2]Potencial Hor SocioDem x CeDi'!$C$2:$AF$81, MATCH($C42,'[2]Potencial Hor SocioDem x CeDi'!$B$2:$B$81,0), MATCH(BZ$4,'[2]Potencial Hor SocioDem x CeDi'!$C$1:$AF$1,0)), "")</f>
        <v>11.22004357298475</v>
      </c>
      <c r="CA42" s="79">
        <f>IFERROR(INDEX('[2]Potencial Hor SocioDem x CeDi'!$C$2:$AF$81, MATCH($C42,'[2]Potencial Hor SocioDem x CeDi'!$B$2:$B$81,0), MATCH(CA$4,'[2]Potencial Hor SocioDem x CeDi'!$C$1:$AF$1,0)), "")</f>
        <v>0.2178649237472767</v>
      </c>
      <c r="CB42" s="81">
        <f>IFERROR(INDEX('[2]Potencial Hor SocioDem x CeDi'!$C$2:$AF$81, MATCH($C42,'[2]Potencial Hor SocioDem x CeDi'!$B$2:$B$81,0), MATCH(CB$4,'[2]Potencial Hor SocioDem x CeDi'!$C$1:$AF$1,0)), "")</f>
        <v>80</v>
      </c>
      <c r="CC42" s="82">
        <f>IFERROR(INDEX('[2]Potencial Hor SocioDem x CeDi'!$C$2:$AF$81, MATCH($C42,'[2]Potencial Hor SocioDem x CeDi'!$B$2:$B$81,0), MATCH(CC$4,'[2]Potencial Hor SocioDem x CeDi'!$C$1:$AF$1,0)), "")</f>
        <v>0</v>
      </c>
      <c r="CD42" s="83">
        <f>IFERROR(INDEX('[2]Potencial Hor SocioDem x CeDi'!$C$2:$AF$81, MATCH($C42,'[2]Potencial Hor SocioDem x CeDi'!$B$2:$B$81,0), MATCH(CD$4,'[2]Potencial Hor SocioDem x CeDi'!$C$1:$AF$1,0)), "")</f>
        <v>0</v>
      </c>
      <c r="CE42" s="78" t="str">
        <f>IFERROR(_xlfn.XLOOKUP([2]!BaseMaestraCeDi[[#This Row],[CeDi]], '[2]Potencial Hor x CeDi'!$B$6:$BU$6, '[2]Potencial Hor x CeDi'!$B$50:$BU$50), "")</f>
        <v/>
      </c>
      <c r="CF42" s="90" t="str">
        <f>IFERROR(_xlfn.XLOOKUP([2]!BaseMaestraCeDi[[#This Row],[CeDi]], '[2]Potencial Hor x CeDi'!$B$6:$BU$6, '[2]Potencial Hor x CeDi'!$B$34:$BU$34), "")</f>
        <v/>
      </c>
      <c r="CG42" s="90" t="str">
        <f>IFERROR(_xlfn.XLOOKUP([2]!BaseMaestraCeDi[[#This Row],[CeDi]], '[2]Potencial Hor x CeDi'!$B$6:$BU$6, '[2]Potencial Hor x CeDi'!$B$64:$BU$64), "")</f>
        <v/>
      </c>
      <c r="CH42" s="91" t="str">
        <f>IFERROR(_xlfn.XLOOKUP([2]!BaseMaestraCeDi[[#This Row],[CeDi]], '[2]Potencial Hor x CeDi'!$B$6:$BU$6, '[2]Potencial Hor x CeDi'!$B$38:$BU$38), "")</f>
        <v/>
      </c>
      <c r="CI42" s="90" t="str">
        <f>IFERROR(_xlfn.XLOOKUP([2]!BaseMaestraCeDi[[#This Row],[CeDi]], '[2]Potencial Hor x CeDi'!$B$6:$BU$6, '[2]Potencial Hor x CeDi'!$B$26:$BU$26), "")</f>
        <v/>
      </c>
      <c r="CJ42" s="92" t="str">
        <f>IFERROR(_xlfn.XLOOKUP([2]!BaseMaestraCeDi[[#This Row],[CeDi]], '[2]Potencial Hor x CeDi'!$B$6:$BU$6, '[2]Potencial Hor x CeDi'!$B$27:$BU$27), "")</f>
        <v/>
      </c>
      <c r="CK42" s="90" t="str">
        <f>IFERROR(_xlfn.XLOOKUP([2]!BaseMaestraCeDi[[#This Row],[CeDi]], '[2]Potencial Hor x CeDi'!$B$6:$BU$6, '[2]Potencial Hor x CeDi'!$B$28:$BU$28), "")</f>
        <v/>
      </c>
      <c r="CL42" s="92" t="str">
        <f>IFERROR(_xlfn.XLOOKUP([2]!BaseMaestraCeDi[[#This Row],[CeDi]], '[2]Potencial Hor x CeDi'!$B$6:$BU$6, '[2]Potencial Hor x CeDi'!$B$29:$BU$29), "")</f>
        <v/>
      </c>
      <c r="CM42" s="93" t="str">
        <f>IFERROR(_xlfn.XLOOKUP([2]!BaseMaestraCeDi[[#This Row],[CeDi]], '[2]Potencial Hor x CeDi'!$B$6:$BU$6, '[2]Potencial Hor x CeDi'!$B$39:$BU$39), "")</f>
        <v/>
      </c>
      <c r="CN42" s="94" t="str">
        <f>IFERROR(_xlfn.XLOOKUP([2]!BaseMaestraCeDi[[#This Row],[CeDi]], '[2]Potencial Hor x CeDi'!$B$6:$BU$6, '[2]Potencial Hor x CeDi'!$B$43:$BU$43), "")</f>
        <v/>
      </c>
      <c r="CO42" s="94" t="str">
        <f>IFERROR(_xlfn.XLOOKUP([2]!BaseMaestraCeDi[[#This Row],[CeDi]], '[2]Potencial Hor x CeDi'!$B$6:$BU$6, '[2]Potencial Hor x CeDi'!$B$46:$BU$46), "")</f>
        <v/>
      </c>
      <c r="CP42" s="86" t="str">
        <f>IFERROR(_xlfn.XLOOKUP([2]!BaseMaestraCeDi[[#This Row],[CeDi]], '[2]Potencial Hor x CeDi'!$B$6:$BU$6, '[2]Potencial Hor x CeDi'!$B$51:$BU$51), "")</f>
        <v/>
      </c>
      <c r="CQ42" s="82" t="str">
        <f>IFERROR(_xlfn.XLOOKUP([2]!BaseMaestraCeDi[[#This Row],[CeDi]], '[2]Potencial Hor x CeDi'!$B$6:$BU$6, '[2]Potencial Hor x CeDi'!$B$52:$BU$52), "")</f>
        <v/>
      </c>
      <c r="CR42" s="82" t="str">
        <f>IFERROR(_xlfn.XLOOKUP([2]!BaseMaestraCeDi[[#This Row],[CeDi]], '[2]Potencial Hor x CeDi'!$B$6:$BU$6, '[2]Potencial Hor x CeDi'!$B$53:$BU$53), "")</f>
        <v/>
      </c>
      <c r="CS42" s="87" t="str">
        <f>IFERROR(_xlfn.XLOOKUP([2]!BaseMaestraCeDi[[#This Row],[CeDi]], '[2]Potencial Hor x CeDi'!$B$6:$BU$6, '[2]Potencial Hor x CeDi'!$B$60:$BU$60), "")</f>
        <v/>
      </c>
      <c r="CT42" s="90" t="str">
        <f>IFERROR(_xlfn.XLOOKUP([2]!BaseMaestraCeDi[[#This Row],[CeDi]], '[2]Potencial Hor x CeDi'!$B$6:$BU$6, '[2]Potencial Hor x CeDi'!$B$65:$BU$65), "")</f>
        <v/>
      </c>
      <c r="CU42" s="90" t="str">
        <f>IFERROR(_xlfn.XLOOKUP([2]!BaseMaestraCeDi[[#This Row],[CeDi]], '[2]Potencial Hor x CeDi'!$B$6:$BU$6, '[2]Potencial Hor x CeDi'!$B$68:$BU$68), "")</f>
        <v/>
      </c>
      <c r="CV42" s="95" t="str">
        <f>IFERROR(_xlfn.XLOOKUP([2]!BaseMaestraCeDi[[#This Row],[CeDi]], '[2]Potencial Hor x CeDi'!$B$6:$BU$6, '[2]Potencial Hor x CeDi'!$B$71:$BU$71), "")</f>
        <v/>
      </c>
    </row>
    <row r="43" spans="1:100">
      <c r="A43" s="100" t="s">
        <v>94</v>
      </c>
      <c r="B43" s="100" t="s">
        <v>493</v>
      </c>
      <c r="C43" s="100" t="s">
        <v>494</v>
      </c>
      <c r="D43" s="101">
        <v>3</v>
      </c>
      <c r="E43" s="102">
        <v>451.90729427200006</v>
      </c>
      <c r="F43" s="103">
        <v>29.523065895000009</v>
      </c>
      <c r="G43" s="103">
        <v>481.43036016700006</v>
      </c>
      <c r="H43" s="104">
        <v>1580.9404071345762</v>
      </c>
      <c r="I43" s="105">
        <v>2386.2112970803755</v>
      </c>
      <c r="J43" s="105">
        <v>551.59205334400633</v>
      </c>
      <c r="K43" s="105">
        <v>4518.7437575589584</v>
      </c>
      <c r="L43" s="104">
        <v>8429.9944872969863</v>
      </c>
      <c r="M43" s="106">
        <v>0.53603163849848012</v>
      </c>
      <c r="N43" s="107" t="s">
        <v>160</v>
      </c>
      <c r="O43" s="102">
        <v>119.52823668687324</v>
      </c>
      <c r="P43" s="103">
        <v>2</v>
      </c>
      <c r="Q43" s="103">
        <v>1</v>
      </c>
      <c r="R43" s="108">
        <v>3</v>
      </c>
      <c r="S43" s="107">
        <v>32</v>
      </c>
      <c r="T43" s="125">
        <v>1</v>
      </c>
      <c r="U43" s="106">
        <v>0</v>
      </c>
      <c r="V43" s="106">
        <v>0.66865335384039593</v>
      </c>
      <c r="W43" s="106">
        <v>0.33134664615960407</v>
      </c>
      <c r="X43" s="106">
        <v>0</v>
      </c>
      <c r="Y43" s="104">
        <v>5636.7440867871792</v>
      </c>
      <c r="Z43" s="105">
        <v>2793.2504005098076</v>
      </c>
      <c r="AA43" s="105">
        <v>0</v>
      </c>
      <c r="AB43" s="105">
        <v>82403.264583333323</v>
      </c>
      <c r="AC43" s="101">
        <v>4</v>
      </c>
      <c r="AD43" s="109">
        <v>3</v>
      </c>
      <c r="AE43" s="101">
        <v>114184</v>
      </c>
      <c r="AF43" s="109">
        <v>57251</v>
      </c>
      <c r="AG43" s="110">
        <v>0.50139248931549074</v>
      </c>
      <c r="AH43" s="106">
        <v>0.5845387735535934</v>
      </c>
      <c r="AI43" s="101">
        <v>11136.843412773022</v>
      </c>
      <c r="AJ43" s="109">
        <v>5568.4217063865108</v>
      </c>
      <c r="AK43" s="106">
        <v>0.55015958195882531</v>
      </c>
      <c r="AL43" s="104">
        <v>11895733.040000001</v>
      </c>
      <c r="AM43" s="105">
        <v>1558869.1709393251</v>
      </c>
      <c r="AN43" s="106">
        <v>0.13104439765902187</v>
      </c>
      <c r="AO43" s="104">
        <v>1095421.5795789852</v>
      </c>
      <c r="AP43" s="106">
        <v>4.9831764281161681E-3</v>
      </c>
      <c r="AQ43" s="109">
        <v>29</v>
      </c>
      <c r="AR43" s="101">
        <v>3</v>
      </c>
      <c r="AS43" s="105">
        <v>640804.20887288975</v>
      </c>
      <c r="AT43" s="104">
        <v>1736225.7884518751</v>
      </c>
      <c r="AU43" s="101">
        <v>5</v>
      </c>
      <c r="AV43" s="109">
        <v>1</v>
      </c>
      <c r="AW43" s="109">
        <v>3</v>
      </c>
      <c r="AX43" s="109">
        <v>0</v>
      </c>
      <c r="AY43" s="110">
        <v>0.2</v>
      </c>
      <c r="AZ43" s="109">
        <v>19751.059159661429</v>
      </c>
      <c r="BA43" s="102">
        <v>119.52823668687327</v>
      </c>
      <c r="BB43" s="106">
        <v>0.4682927435850458</v>
      </c>
      <c r="BC43" s="111">
        <v>352.19047748111745</v>
      </c>
      <c r="BD43" s="74" t="s">
        <v>1151</v>
      </c>
      <c r="BE43" s="88" t="str">
        <f>IFERROR(_xlfn.XLOOKUP([2]!BaseMaestraCeDi[[#This Row],[CeDi]], '[2]Potencial Hor x CeDi'!$B$6:$BU$6, '[2]Potencial Hor x CeDi'!$B$21:$BU$21) / 1000, "")</f>
        <v/>
      </c>
      <c r="BF43" s="89" t="str">
        <f>IFERROR(_xlfn.XLOOKUP([2]!BaseMaestraCeDi[[#This Row],[CeDi]], '[2]Potencial Hor x CeDi'!$B$6:$BU$6, '[2]Potencial Hor x CeDi'!$B$22:$BU$22) / 1000, "")</f>
        <v/>
      </c>
      <c r="BG43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43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43" s="78">
        <f>IFERROR(INDEX('[2]Potencial Hor SocioDem x CeDi'!$C$2:$AF$81, MATCH($C43,'[2]Potencial Hor SocioDem x CeDi'!$B$2:$B$81,0), MATCH(BI$4,'[2]Potencial Hor SocioDem x CeDi'!$C$1:$AF$1,0)), "")</f>
        <v>414</v>
      </c>
      <c r="BJ43" s="78">
        <f>IFERROR(INDEX('[2]Potencial Hor SocioDem x CeDi'!$C$2:$AF$81, MATCH($C43,'[2]Potencial Hor SocioDem x CeDi'!$B$2:$B$81,0), MATCH(BJ$4,'[2]Potencial Hor SocioDem x CeDi'!$C$1:$AF$1,0)), "")</f>
        <v>11739</v>
      </c>
      <c r="BK43" s="78">
        <f>IFERROR(INDEX('[2]Potencial Hor SocioDem x CeDi'!$C$2:$AF$81, MATCH($C43,'[2]Potencial Hor SocioDem x CeDi'!$B$2:$B$81,0), MATCH(BK$4,'[2]Potencial Hor SocioDem x CeDi'!$C$1:$AF$1,0)), "")</f>
        <v>2904</v>
      </c>
      <c r="BL43" s="79">
        <f>IFERROR(INDEX('[2]Potencial Hor SocioDem x CeDi'!$C$2:$AF$81, MATCH($C43,'[2]Potencial Hor SocioDem x CeDi'!$B$2:$B$81,0), MATCH(BL$4,'[2]Potencial Hor SocioDem x CeDi'!$C$1:$AF$1,0)), "")</f>
        <v>4.0423553719008263</v>
      </c>
      <c r="BM43" s="79">
        <f>IFERROR(INDEX('[2]Potencial Hor SocioDem x CeDi'!$C$2:$AF$81, MATCH($C43,'[2]Potencial Hor SocioDem x CeDi'!$B$2:$B$81,0), MATCH(BM$4,'[2]Potencial Hor SocioDem x CeDi'!$C$1:$AF$1,0)), "")</f>
        <v>7.0144927536231876</v>
      </c>
      <c r="BN43" s="78">
        <f>IFERROR(INDEX('[2]Potencial Hor SocioDem x CeDi'!$C$2:$AF$81, MATCH($C43,'[2]Potencial Hor SocioDem x CeDi'!$B$2:$B$81,0), MATCH(BN$4,'[2]Potencial Hor SocioDem x CeDi'!$C$1:$AF$1,0)), "")</f>
        <v>0</v>
      </c>
      <c r="BO43" s="78">
        <f>IFERROR(INDEX('[2]Potencial Hor SocioDem x CeDi'!$C$2:$AF$81, MATCH($C43,'[2]Potencial Hor SocioDem x CeDi'!$B$2:$B$81,0), MATCH(BO$4,'[2]Potencial Hor SocioDem x CeDi'!$C$1:$AF$1,0)), "")</f>
        <v>89</v>
      </c>
      <c r="BP43" s="78">
        <f>IFERROR(INDEX('[2]Potencial Hor SocioDem x CeDi'!$C$2:$AF$81, MATCH($C43,'[2]Potencial Hor SocioDem x CeDi'!$B$2:$B$81,0), MATCH(BP$4,'[2]Potencial Hor SocioDem x CeDi'!$C$1:$AF$1,0)), "")</f>
        <v>89</v>
      </c>
      <c r="BQ43" s="80">
        <f>IFERROR(INDEX('[2]Potencial Hor SocioDem x CeDi'!$C$2:$AF$81, MATCH($C43,'[2]Potencial Hor SocioDem x CeDi'!$B$2:$B$81,0), MATCH(BQ$4,'[2]Potencial Hor SocioDem x CeDi'!$C$1:$AF$1,0)), "")</f>
        <v>3.064738292011019E-2</v>
      </c>
      <c r="BR43" s="80">
        <f>IFERROR(INDEX('[2]Potencial Hor SocioDem x CeDi'!$C$2:$AF$81, MATCH($C43,'[2]Potencial Hor SocioDem x CeDi'!$B$2:$B$81,0), MATCH(BR$4,'[2]Potencial Hor SocioDem x CeDi'!$C$1:$AF$1,0)), "")</f>
        <v>0</v>
      </c>
      <c r="BS43" s="80">
        <f>IFERROR(INDEX('[2]Potencial Hor SocioDem x CeDi'!$C$2:$AF$81, MATCH($C43,'[2]Potencial Hor SocioDem x CeDi'!$B$2:$B$81,0), MATCH(BS$4,'[2]Potencial Hor SocioDem x CeDi'!$C$1:$AF$1,0)), "")</f>
        <v>3.064738292011019E-2</v>
      </c>
      <c r="BT43" s="80">
        <f>IFERROR(INDEX('[2]Potencial Hor SocioDem x CeDi'!$C$2:$AF$81, MATCH($C43,'[2]Potencial Hor SocioDem x CeDi'!$B$2:$B$81,0), MATCH(BT$4,'[2]Potencial Hor SocioDem x CeDi'!$C$1:$AF$1,0)), "")</f>
        <v>0</v>
      </c>
      <c r="BU43" s="80">
        <f>IFERROR(INDEX('[2]Potencial Hor SocioDem x CeDi'!$C$2:$AF$81, MATCH($C43,'[2]Potencial Hor SocioDem x CeDi'!$B$2:$B$81,0), MATCH(BU$4,'[2]Potencial Hor SocioDem x CeDi'!$C$1:$AF$1,0)), "")</f>
        <v>3.4435261707988982E-3</v>
      </c>
      <c r="BV43" s="80">
        <f>IFERROR(INDEX('[2]Potencial Hor SocioDem x CeDi'!$C$2:$AF$81, MATCH($C43,'[2]Potencial Hor SocioDem x CeDi'!$B$2:$B$81,0), MATCH(BV$4,'[2]Potencial Hor SocioDem x CeDi'!$C$1:$AF$1,0)), "")</f>
        <v>0</v>
      </c>
      <c r="BW43" s="80">
        <f>IFERROR(INDEX('[2]Potencial Hor SocioDem x CeDi'!$C$2:$AF$81, MATCH($C43,'[2]Potencial Hor SocioDem x CeDi'!$B$2:$B$81,0), MATCH(BW$4,'[2]Potencial Hor SocioDem x CeDi'!$C$1:$AF$1,0)), "")</f>
        <v>0.96590909090909094</v>
      </c>
      <c r="BX43" s="80">
        <f>IFERROR(INDEX('[2]Potencial Hor SocioDem x CeDi'!$C$2:$AF$81, MATCH($C43,'[2]Potencial Hor SocioDem x CeDi'!$B$2:$B$81,0), MATCH(BX$4,'[2]Potencial Hor SocioDem x CeDi'!$C$1:$AF$1,0)), "")</f>
        <v>0</v>
      </c>
      <c r="BY43" s="80">
        <f>IFERROR(INDEX('[2]Potencial Hor SocioDem x CeDi'!$C$2:$AF$81, MATCH($C43,'[2]Potencial Hor SocioDem x CeDi'!$B$2:$B$81,0), MATCH(BY$4,'[2]Potencial Hor SocioDem x CeDi'!$C$1:$AF$1,0)), "")</f>
        <v>0</v>
      </c>
      <c r="BZ43" s="79">
        <f>IFERROR(INDEX('[2]Potencial Hor SocioDem x CeDi'!$C$2:$AF$81, MATCH($C43,'[2]Potencial Hor SocioDem x CeDi'!$B$2:$B$81,0), MATCH(BZ$4,'[2]Potencial Hor SocioDem x CeDi'!$C$1:$AF$1,0)), "")</f>
        <v>10.989010989010991</v>
      </c>
      <c r="CA43" s="79">
        <f>IFERROR(INDEX('[2]Potencial Hor SocioDem x CeDi'!$C$2:$AF$81, MATCH($C43,'[2]Potencial Hor SocioDem x CeDi'!$B$2:$B$81,0), MATCH(CA$4,'[2]Potencial Hor SocioDem x CeDi'!$C$1:$AF$1,0)), "")</f>
        <v>0.25555839509327882</v>
      </c>
      <c r="CB43" s="81">
        <f>IFERROR(INDEX('[2]Potencial Hor SocioDem x CeDi'!$C$2:$AF$81, MATCH($C43,'[2]Potencial Hor SocioDem x CeDi'!$B$2:$B$81,0), MATCH(CB$4,'[2]Potencial Hor SocioDem x CeDi'!$C$1:$AF$1,0)), "")</f>
        <v>35</v>
      </c>
      <c r="CC43" s="82">
        <f>IFERROR(INDEX('[2]Potencial Hor SocioDem x CeDi'!$C$2:$AF$81, MATCH($C43,'[2]Potencial Hor SocioDem x CeDi'!$B$2:$B$81,0), MATCH(CC$4,'[2]Potencial Hor SocioDem x CeDi'!$C$1:$AF$1,0)), "")</f>
        <v>5</v>
      </c>
      <c r="CD43" s="83">
        <f>IFERROR(INDEX('[2]Potencial Hor SocioDem x CeDi'!$C$2:$AF$81, MATCH($C43,'[2]Potencial Hor SocioDem x CeDi'!$B$2:$B$81,0), MATCH(CD$4,'[2]Potencial Hor SocioDem x CeDi'!$C$1:$AF$1,0)), "")</f>
        <v>5.6179775280898868E-2</v>
      </c>
      <c r="CE43" s="78" t="str">
        <f>IFERROR(_xlfn.XLOOKUP([2]!BaseMaestraCeDi[[#This Row],[CeDi]], '[2]Potencial Hor x CeDi'!$B$6:$BU$6, '[2]Potencial Hor x CeDi'!$B$50:$BU$50), "")</f>
        <v/>
      </c>
      <c r="CF43" s="90" t="str">
        <f>IFERROR(_xlfn.XLOOKUP([2]!BaseMaestraCeDi[[#This Row],[CeDi]], '[2]Potencial Hor x CeDi'!$B$6:$BU$6, '[2]Potencial Hor x CeDi'!$B$34:$BU$34), "")</f>
        <v/>
      </c>
      <c r="CG43" s="90" t="str">
        <f>IFERROR(_xlfn.XLOOKUP([2]!BaseMaestraCeDi[[#This Row],[CeDi]], '[2]Potencial Hor x CeDi'!$B$6:$BU$6, '[2]Potencial Hor x CeDi'!$B$64:$BU$64), "")</f>
        <v/>
      </c>
      <c r="CH43" s="91" t="str">
        <f>IFERROR(_xlfn.XLOOKUP([2]!BaseMaestraCeDi[[#This Row],[CeDi]], '[2]Potencial Hor x CeDi'!$B$6:$BU$6, '[2]Potencial Hor x CeDi'!$B$38:$BU$38), "")</f>
        <v/>
      </c>
      <c r="CI43" s="90" t="str">
        <f>IFERROR(_xlfn.XLOOKUP([2]!BaseMaestraCeDi[[#This Row],[CeDi]], '[2]Potencial Hor x CeDi'!$B$6:$BU$6, '[2]Potencial Hor x CeDi'!$B$26:$BU$26), "")</f>
        <v/>
      </c>
      <c r="CJ43" s="92" t="str">
        <f>IFERROR(_xlfn.XLOOKUP([2]!BaseMaestraCeDi[[#This Row],[CeDi]], '[2]Potencial Hor x CeDi'!$B$6:$BU$6, '[2]Potencial Hor x CeDi'!$B$27:$BU$27), "")</f>
        <v/>
      </c>
      <c r="CK43" s="90" t="str">
        <f>IFERROR(_xlfn.XLOOKUP([2]!BaseMaestraCeDi[[#This Row],[CeDi]], '[2]Potencial Hor x CeDi'!$B$6:$BU$6, '[2]Potencial Hor x CeDi'!$B$28:$BU$28), "")</f>
        <v/>
      </c>
      <c r="CL43" s="92" t="str">
        <f>IFERROR(_xlfn.XLOOKUP([2]!BaseMaestraCeDi[[#This Row],[CeDi]], '[2]Potencial Hor x CeDi'!$B$6:$BU$6, '[2]Potencial Hor x CeDi'!$B$29:$BU$29), "")</f>
        <v/>
      </c>
      <c r="CM43" s="93" t="str">
        <f>IFERROR(_xlfn.XLOOKUP([2]!BaseMaestraCeDi[[#This Row],[CeDi]], '[2]Potencial Hor x CeDi'!$B$6:$BU$6, '[2]Potencial Hor x CeDi'!$B$39:$BU$39), "")</f>
        <v/>
      </c>
      <c r="CN43" s="94" t="str">
        <f>IFERROR(_xlfn.XLOOKUP([2]!BaseMaestraCeDi[[#This Row],[CeDi]], '[2]Potencial Hor x CeDi'!$B$6:$BU$6, '[2]Potencial Hor x CeDi'!$B$43:$BU$43), "")</f>
        <v/>
      </c>
      <c r="CO43" s="94" t="str">
        <f>IFERROR(_xlfn.XLOOKUP([2]!BaseMaestraCeDi[[#This Row],[CeDi]], '[2]Potencial Hor x CeDi'!$B$6:$BU$6, '[2]Potencial Hor x CeDi'!$B$46:$BU$46), "")</f>
        <v/>
      </c>
      <c r="CP43" s="86" t="str">
        <f>IFERROR(_xlfn.XLOOKUP([2]!BaseMaestraCeDi[[#This Row],[CeDi]], '[2]Potencial Hor x CeDi'!$B$6:$BU$6, '[2]Potencial Hor x CeDi'!$B$51:$BU$51), "")</f>
        <v/>
      </c>
      <c r="CQ43" s="82" t="str">
        <f>IFERROR(_xlfn.XLOOKUP([2]!BaseMaestraCeDi[[#This Row],[CeDi]], '[2]Potencial Hor x CeDi'!$B$6:$BU$6, '[2]Potencial Hor x CeDi'!$B$52:$BU$52), "")</f>
        <v/>
      </c>
      <c r="CR43" s="82" t="str">
        <f>IFERROR(_xlfn.XLOOKUP([2]!BaseMaestraCeDi[[#This Row],[CeDi]], '[2]Potencial Hor x CeDi'!$B$6:$BU$6, '[2]Potencial Hor x CeDi'!$B$53:$BU$53), "")</f>
        <v/>
      </c>
      <c r="CS43" s="87" t="str">
        <f>IFERROR(_xlfn.XLOOKUP([2]!BaseMaestraCeDi[[#This Row],[CeDi]], '[2]Potencial Hor x CeDi'!$B$6:$BU$6, '[2]Potencial Hor x CeDi'!$B$60:$BU$60), "")</f>
        <v/>
      </c>
      <c r="CT43" s="90" t="str">
        <f>IFERROR(_xlfn.XLOOKUP([2]!BaseMaestraCeDi[[#This Row],[CeDi]], '[2]Potencial Hor x CeDi'!$B$6:$BU$6, '[2]Potencial Hor x CeDi'!$B$65:$BU$65), "")</f>
        <v/>
      </c>
      <c r="CU43" s="90" t="str">
        <f>IFERROR(_xlfn.XLOOKUP([2]!BaseMaestraCeDi[[#This Row],[CeDi]], '[2]Potencial Hor x CeDi'!$B$6:$BU$6, '[2]Potencial Hor x CeDi'!$B$68:$BU$68), "")</f>
        <v/>
      </c>
      <c r="CV43" s="95" t="str">
        <f>IFERROR(_xlfn.XLOOKUP([2]!BaseMaestraCeDi[[#This Row],[CeDi]], '[2]Potencial Hor x CeDi'!$B$6:$BU$6, '[2]Potencial Hor x CeDi'!$B$71:$BU$71), "")</f>
        <v/>
      </c>
    </row>
    <row r="44" spans="1:100">
      <c r="A44" s="112" t="s">
        <v>94</v>
      </c>
      <c r="B44" s="112" t="s">
        <v>320</v>
      </c>
      <c r="C44" s="112" t="s">
        <v>500</v>
      </c>
      <c r="D44" s="113" t="s">
        <v>194</v>
      </c>
      <c r="E44" s="114" t="s">
        <v>194</v>
      </c>
      <c r="F44" s="115" t="s">
        <v>194</v>
      </c>
      <c r="G44" s="115" t="s">
        <v>194</v>
      </c>
      <c r="H44" s="116" t="s">
        <v>194</v>
      </c>
      <c r="I44" s="117" t="s">
        <v>194</v>
      </c>
      <c r="J44" s="117" t="s">
        <v>194</v>
      </c>
      <c r="K44" s="117" t="s">
        <v>194</v>
      </c>
      <c r="L44" s="116" t="s">
        <v>194</v>
      </c>
      <c r="M44" s="118" t="s">
        <v>194</v>
      </c>
      <c r="N44" s="119" t="s">
        <v>194</v>
      </c>
      <c r="O44" s="114" t="s">
        <v>194</v>
      </c>
      <c r="P44" s="115" t="s">
        <v>194</v>
      </c>
      <c r="Q44" s="115" t="s">
        <v>194</v>
      </c>
      <c r="R44" s="120" t="s">
        <v>194</v>
      </c>
      <c r="S44" s="119" t="s">
        <v>194</v>
      </c>
      <c r="T44" s="121" t="s">
        <v>194</v>
      </c>
      <c r="U44" s="118" t="s">
        <v>194</v>
      </c>
      <c r="V44" s="118" t="s">
        <v>194</v>
      </c>
      <c r="W44" s="118" t="s">
        <v>194</v>
      </c>
      <c r="X44" s="118" t="s">
        <v>194</v>
      </c>
      <c r="Y44" s="116" t="s">
        <v>194</v>
      </c>
      <c r="Z44" s="117" t="s">
        <v>194</v>
      </c>
      <c r="AA44" s="117" t="s">
        <v>194</v>
      </c>
      <c r="AB44" s="117" t="s">
        <v>194</v>
      </c>
      <c r="AC44" s="113">
        <v>0</v>
      </c>
      <c r="AD44" s="122">
        <v>0</v>
      </c>
      <c r="AE44" s="113">
        <v>0</v>
      </c>
      <c r="AF44" s="122">
        <v>0</v>
      </c>
      <c r="AG44" s="123" t="s">
        <v>194</v>
      </c>
      <c r="AH44" s="118" t="s">
        <v>194</v>
      </c>
      <c r="AI44" s="113">
        <v>0</v>
      </c>
      <c r="AJ44" s="122">
        <v>0</v>
      </c>
      <c r="AK44" s="118" t="s">
        <v>194</v>
      </c>
      <c r="AL44" s="116">
        <v>0</v>
      </c>
      <c r="AM44" s="117">
        <v>0</v>
      </c>
      <c r="AN44" s="118" t="s">
        <v>194</v>
      </c>
      <c r="AO44" s="116">
        <v>0</v>
      </c>
      <c r="AP44" s="118">
        <v>0</v>
      </c>
      <c r="AQ44" s="122" t="s">
        <v>194</v>
      </c>
      <c r="AR44" s="113">
        <v>0</v>
      </c>
      <c r="AS44" s="117">
        <v>0</v>
      </c>
      <c r="AT44" s="116">
        <v>0</v>
      </c>
      <c r="AU44" s="113">
        <v>1</v>
      </c>
      <c r="AV44" s="122">
        <v>0</v>
      </c>
      <c r="AW44" s="122">
        <v>0</v>
      </c>
      <c r="AX44" s="122">
        <v>0</v>
      </c>
      <c r="AY44" s="123">
        <v>0</v>
      </c>
      <c r="AZ44" s="122">
        <v>0</v>
      </c>
      <c r="BA44" s="114" t="s">
        <v>194</v>
      </c>
      <c r="BB44" s="118" t="s">
        <v>194</v>
      </c>
      <c r="BC44" s="124" t="s">
        <v>194</v>
      </c>
      <c r="BD44" s="74" t="s">
        <v>1152</v>
      </c>
      <c r="BE44" s="88" t="str">
        <f>IFERROR(_xlfn.XLOOKUP([2]!BaseMaestraCeDi[[#This Row],[CeDi]], '[2]Potencial Hor x CeDi'!$B$6:$BU$6, '[2]Potencial Hor x CeDi'!$B$21:$BU$21) / 1000, "")</f>
        <v/>
      </c>
      <c r="BF44" s="89" t="str">
        <f>IFERROR(_xlfn.XLOOKUP([2]!BaseMaestraCeDi[[#This Row],[CeDi]], '[2]Potencial Hor x CeDi'!$B$6:$BU$6, '[2]Potencial Hor x CeDi'!$B$22:$BU$22) / 1000, "")</f>
        <v/>
      </c>
      <c r="BG44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44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44" s="78" t="str">
        <f>IFERROR(INDEX('[2]Potencial Hor SocioDem x CeDi'!$C$2:$AF$81, MATCH($C44,'[2]Potencial Hor SocioDem x CeDi'!$B$2:$B$81,0), MATCH(BI$4,'[2]Potencial Hor SocioDem x CeDi'!$C$1:$AF$1,0)), "")</f>
        <v/>
      </c>
      <c r="BJ44" s="78" t="str">
        <f>IFERROR(INDEX('[2]Potencial Hor SocioDem x CeDi'!$C$2:$AF$81, MATCH($C44,'[2]Potencial Hor SocioDem x CeDi'!$B$2:$B$81,0), MATCH(BJ$4,'[2]Potencial Hor SocioDem x CeDi'!$C$1:$AF$1,0)), "")</f>
        <v/>
      </c>
      <c r="BK44" s="78" t="str">
        <f>IFERROR(INDEX('[2]Potencial Hor SocioDem x CeDi'!$C$2:$AF$81, MATCH($C44,'[2]Potencial Hor SocioDem x CeDi'!$B$2:$B$81,0), MATCH(BK$4,'[2]Potencial Hor SocioDem x CeDi'!$C$1:$AF$1,0)), "")</f>
        <v/>
      </c>
      <c r="BL44" s="79" t="str">
        <f>IFERROR(INDEX('[2]Potencial Hor SocioDem x CeDi'!$C$2:$AF$81, MATCH($C44,'[2]Potencial Hor SocioDem x CeDi'!$B$2:$B$81,0), MATCH(BL$4,'[2]Potencial Hor SocioDem x CeDi'!$C$1:$AF$1,0)), "")</f>
        <v/>
      </c>
      <c r="BM44" s="79" t="str">
        <f>IFERROR(INDEX('[2]Potencial Hor SocioDem x CeDi'!$C$2:$AF$81, MATCH($C44,'[2]Potencial Hor SocioDem x CeDi'!$B$2:$B$81,0), MATCH(BM$4,'[2]Potencial Hor SocioDem x CeDi'!$C$1:$AF$1,0)), "")</f>
        <v/>
      </c>
      <c r="BN44" s="78" t="str">
        <f>IFERROR(INDEX('[2]Potencial Hor SocioDem x CeDi'!$C$2:$AF$81, MATCH($C44,'[2]Potencial Hor SocioDem x CeDi'!$B$2:$B$81,0), MATCH(BN$4,'[2]Potencial Hor SocioDem x CeDi'!$C$1:$AF$1,0)), "")</f>
        <v/>
      </c>
      <c r="BO44" s="78" t="str">
        <f>IFERROR(INDEX('[2]Potencial Hor SocioDem x CeDi'!$C$2:$AF$81, MATCH($C44,'[2]Potencial Hor SocioDem x CeDi'!$B$2:$B$81,0), MATCH(BO$4,'[2]Potencial Hor SocioDem x CeDi'!$C$1:$AF$1,0)), "")</f>
        <v/>
      </c>
      <c r="BP44" s="78" t="str">
        <f>IFERROR(INDEX('[2]Potencial Hor SocioDem x CeDi'!$C$2:$AF$81, MATCH($C44,'[2]Potencial Hor SocioDem x CeDi'!$B$2:$B$81,0), MATCH(BP$4,'[2]Potencial Hor SocioDem x CeDi'!$C$1:$AF$1,0)), "")</f>
        <v/>
      </c>
      <c r="BQ44" s="80" t="str">
        <f>IFERROR(INDEX('[2]Potencial Hor SocioDem x CeDi'!$C$2:$AF$81, MATCH($C44,'[2]Potencial Hor SocioDem x CeDi'!$B$2:$B$81,0), MATCH(BQ$4,'[2]Potencial Hor SocioDem x CeDi'!$C$1:$AF$1,0)), "")</f>
        <v/>
      </c>
      <c r="BR44" s="80" t="str">
        <f>IFERROR(INDEX('[2]Potencial Hor SocioDem x CeDi'!$C$2:$AF$81, MATCH($C44,'[2]Potencial Hor SocioDem x CeDi'!$B$2:$B$81,0), MATCH(BR$4,'[2]Potencial Hor SocioDem x CeDi'!$C$1:$AF$1,0)), "")</f>
        <v/>
      </c>
      <c r="BS44" s="80" t="str">
        <f>IFERROR(INDEX('[2]Potencial Hor SocioDem x CeDi'!$C$2:$AF$81, MATCH($C44,'[2]Potencial Hor SocioDem x CeDi'!$B$2:$B$81,0), MATCH(BS$4,'[2]Potencial Hor SocioDem x CeDi'!$C$1:$AF$1,0)), "")</f>
        <v/>
      </c>
      <c r="BT44" s="80" t="str">
        <f>IFERROR(INDEX('[2]Potencial Hor SocioDem x CeDi'!$C$2:$AF$81, MATCH($C44,'[2]Potencial Hor SocioDem x CeDi'!$B$2:$B$81,0), MATCH(BT$4,'[2]Potencial Hor SocioDem x CeDi'!$C$1:$AF$1,0)), "")</f>
        <v/>
      </c>
      <c r="BU44" s="80" t="str">
        <f>IFERROR(INDEX('[2]Potencial Hor SocioDem x CeDi'!$C$2:$AF$81, MATCH($C44,'[2]Potencial Hor SocioDem x CeDi'!$B$2:$B$81,0), MATCH(BU$4,'[2]Potencial Hor SocioDem x CeDi'!$C$1:$AF$1,0)), "")</f>
        <v/>
      </c>
      <c r="BV44" s="80" t="str">
        <f>IFERROR(INDEX('[2]Potencial Hor SocioDem x CeDi'!$C$2:$AF$81, MATCH($C44,'[2]Potencial Hor SocioDem x CeDi'!$B$2:$B$81,0), MATCH(BV$4,'[2]Potencial Hor SocioDem x CeDi'!$C$1:$AF$1,0)), "")</f>
        <v/>
      </c>
      <c r="BW44" s="80" t="str">
        <f>IFERROR(INDEX('[2]Potencial Hor SocioDem x CeDi'!$C$2:$AF$81, MATCH($C44,'[2]Potencial Hor SocioDem x CeDi'!$B$2:$B$81,0), MATCH(BW$4,'[2]Potencial Hor SocioDem x CeDi'!$C$1:$AF$1,0)), "")</f>
        <v/>
      </c>
      <c r="BX44" s="80" t="str">
        <f>IFERROR(INDEX('[2]Potencial Hor SocioDem x CeDi'!$C$2:$AF$81, MATCH($C44,'[2]Potencial Hor SocioDem x CeDi'!$B$2:$B$81,0), MATCH(BX$4,'[2]Potencial Hor SocioDem x CeDi'!$C$1:$AF$1,0)), "")</f>
        <v/>
      </c>
      <c r="BY44" s="80" t="str">
        <f>IFERROR(INDEX('[2]Potencial Hor SocioDem x CeDi'!$C$2:$AF$81, MATCH($C44,'[2]Potencial Hor SocioDem x CeDi'!$B$2:$B$81,0), MATCH(BY$4,'[2]Potencial Hor SocioDem x CeDi'!$C$1:$AF$1,0)), "")</f>
        <v/>
      </c>
      <c r="BZ44" s="79" t="str">
        <f>IFERROR(INDEX('[2]Potencial Hor SocioDem x CeDi'!$C$2:$AF$81, MATCH($C44,'[2]Potencial Hor SocioDem x CeDi'!$B$2:$B$81,0), MATCH(BZ$4,'[2]Potencial Hor SocioDem x CeDi'!$C$1:$AF$1,0)), "")</f>
        <v/>
      </c>
      <c r="CA44" s="79" t="str">
        <f>IFERROR(INDEX('[2]Potencial Hor SocioDem x CeDi'!$C$2:$AF$81, MATCH($C44,'[2]Potencial Hor SocioDem x CeDi'!$B$2:$B$81,0), MATCH(CA$4,'[2]Potencial Hor SocioDem x CeDi'!$C$1:$AF$1,0)), "")</f>
        <v/>
      </c>
      <c r="CB44" s="81" t="str">
        <f>IFERROR(INDEX('[2]Potencial Hor SocioDem x CeDi'!$C$2:$AF$81, MATCH($C44,'[2]Potencial Hor SocioDem x CeDi'!$B$2:$B$81,0), MATCH(CB$4,'[2]Potencial Hor SocioDem x CeDi'!$C$1:$AF$1,0)), "")</f>
        <v/>
      </c>
      <c r="CC44" s="82" t="str">
        <f>IFERROR(INDEX('[2]Potencial Hor SocioDem x CeDi'!$C$2:$AF$81, MATCH($C44,'[2]Potencial Hor SocioDem x CeDi'!$B$2:$B$81,0), MATCH(CC$4,'[2]Potencial Hor SocioDem x CeDi'!$C$1:$AF$1,0)), "")</f>
        <v/>
      </c>
      <c r="CD44" s="83" t="str">
        <f>IFERROR(INDEX('[2]Potencial Hor SocioDem x CeDi'!$C$2:$AF$81, MATCH($C44,'[2]Potencial Hor SocioDem x CeDi'!$B$2:$B$81,0), MATCH(CD$4,'[2]Potencial Hor SocioDem x CeDi'!$C$1:$AF$1,0)), "")</f>
        <v/>
      </c>
      <c r="CE44" s="78" t="str">
        <f>IFERROR(_xlfn.XLOOKUP([2]!BaseMaestraCeDi[[#This Row],[CeDi]], '[2]Potencial Hor x CeDi'!$B$6:$BU$6, '[2]Potencial Hor x CeDi'!$B$50:$BU$50), "")</f>
        <v/>
      </c>
      <c r="CF44" s="90" t="str">
        <f>IFERROR(_xlfn.XLOOKUP([2]!BaseMaestraCeDi[[#This Row],[CeDi]], '[2]Potencial Hor x CeDi'!$B$6:$BU$6, '[2]Potencial Hor x CeDi'!$B$34:$BU$34), "")</f>
        <v/>
      </c>
      <c r="CG44" s="90" t="str">
        <f>IFERROR(_xlfn.XLOOKUP([2]!BaseMaestraCeDi[[#This Row],[CeDi]], '[2]Potencial Hor x CeDi'!$B$6:$BU$6, '[2]Potencial Hor x CeDi'!$B$64:$BU$64), "")</f>
        <v/>
      </c>
      <c r="CH44" s="91" t="str">
        <f>IFERROR(_xlfn.XLOOKUP([2]!BaseMaestraCeDi[[#This Row],[CeDi]], '[2]Potencial Hor x CeDi'!$B$6:$BU$6, '[2]Potencial Hor x CeDi'!$B$38:$BU$38), "")</f>
        <v/>
      </c>
      <c r="CI44" s="90" t="str">
        <f>IFERROR(_xlfn.XLOOKUP([2]!BaseMaestraCeDi[[#This Row],[CeDi]], '[2]Potencial Hor x CeDi'!$B$6:$BU$6, '[2]Potencial Hor x CeDi'!$B$26:$BU$26), "")</f>
        <v/>
      </c>
      <c r="CJ44" s="92" t="str">
        <f>IFERROR(_xlfn.XLOOKUP([2]!BaseMaestraCeDi[[#This Row],[CeDi]], '[2]Potencial Hor x CeDi'!$B$6:$BU$6, '[2]Potencial Hor x CeDi'!$B$27:$BU$27), "")</f>
        <v/>
      </c>
      <c r="CK44" s="90" t="str">
        <f>IFERROR(_xlfn.XLOOKUP([2]!BaseMaestraCeDi[[#This Row],[CeDi]], '[2]Potencial Hor x CeDi'!$B$6:$BU$6, '[2]Potencial Hor x CeDi'!$B$28:$BU$28), "")</f>
        <v/>
      </c>
      <c r="CL44" s="92" t="str">
        <f>IFERROR(_xlfn.XLOOKUP([2]!BaseMaestraCeDi[[#This Row],[CeDi]], '[2]Potencial Hor x CeDi'!$B$6:$BU$6, '[2]Potencial Hor x CeDi'!$B$29:$BU$29), "")</f>
        <v/>
      </c>
      <c r="CM44" s="93" t="str">
        <f>IFERROR(_xlfn.XLOOKUP([2]!BaseMaestraCeDi[[#This Row],[CeDi]], '[2]Potencial Hor x CeDi'!$B$6:$BU$6, '[2]Potencial Hor x CeDi'!$B$39:$BU$39), "")</f>
        <v/>
      </c>
      <c r="CN44" s="94" t="str">
        <f>IFERROR(_xlfn.XLOOKUP([2]!BaseMaestraCeDi[[#This Row],[CeDi]], '[2]Potencial Hor x CeDi'!$B$6:$BU$6, '[2]Potencial Hor x CeDi'!$B$43:$BU$43), "")</f>
        <v/>
      </c>
      <c r="CO44" s="94" t="str">
        <f>IFERROR(_xlfn.XLOOKUP([2]!BaseMaestraCeDi[[#This Row],[CeDi]], '[2]Potencial Hor x CeDi'!$B$6:$BU$6, '[2]Potencial Hor x CeDi'!$B$46:$BU$46), "")</f>
        <v/>
      </c>
      <c r="CP44" s="86" t="str">
        <f>IFERROR(_xlfn.XLOOKUP([2]!BaseMaestraCeDi[[#This Row],[CeDi]], '[2]Potencial Hor x CeDi'!$B$6:$BU$6, '[2]Potencial Hor x CeDi'!$B$51:$BU$51), "")</f>
        <v/>
      </c>
      <c r="CQ44" s="82" t="str">
        <f>IFERROR(_xlfn.XLOOKUP([2]!BaseMaestraCeDi[[#This Row],[CeDi]], '[2]Potencial Hor x CeDi'!$B$6:$BU$6, '[2]Potencial Hor x CeDi'!$B$52:$BU$52), "")</f>
        <v/>
      </c>
      <c r="CR44" s="82" t="str">
        <f>IFERROR(_xlfn.XLOOKUP([2]!BaseMaestraCeDi[[#This Row],[CeDi]], '[2]Potencial Hor x CeDi'!$B$6:$BU$6, '[2]Potencial Hor x CeDi'!$B$53:$BU$53), "")</f>
        <v/>
      </c>
      <c r="CS44" s="87" t="str">
        <f>IFERROR(_xlfn.XLOOKUP([2]!BaseMaestraCeDi[[#This Row],[CeDi]], '[2]Potencial Hor x CeDi'!$B$6:$BU$6, '[2]Potencial Hor x CeDi'!$B$60:$BU$60), "")</f>
        <v/>
      </c>
      <c r="CT44" s="90" t="str">
        <f>IFERROR(_xlfn.XLOOKUP([2]!BaseMaestraCeDi[[#This Row],[CeDi]], '[2]Potencial Hor x CeDi'!$B$6:$BU$6, '[2]Potencial Hor x CeDi'!$B$65:$BU$65), "")</f>
        <v/>
      </c>
      <c r="CU44" s="90" t="str">
        <f>IFERROR(_xlfn.XLOOKUP([2]!BaseMaestraCeDi[[#This Row],[CeDi]], '[2]Potencial Hor x CeDi'!$B$6:$BU$6, '[2]Potencial Hor x CeDi'!$B$68:$BU$68), "")</f>
        <v/>
      </c>
      <c r="CV44" s="95" t="str">
        <f>IFERROR(_xlfn.XLOOKUP([2]!BaseMaestraCeDi[[#This Row],[CeDi]], '[2]Potencial Hor x CeDi'!$B$6:$BU$6, '[2]Potencial Hor x CeDi'!$B$71:$BU$71), "")</f>
        <v/>
      </c>
    </row>
    <row r="45" spans="1:100">
      <c r="A45" s="100" t="s">
        <v>94</v>
      </c>
      <c r="B45" s="100" t="s">
        <v>502</v>
      </c>
      <c r="C45" s="100" t="s">
        <v>503</v>
      </c>
      <c r="D45" s="101">
        <v>4</v>
      </c>
      <c r="E45" s="102">
        <v>490.44002534235386</v>
      </c>
      <c r="F45" s="103">
        <v>34.970303552665762</v>
      </c>
      <c r="G45" s="103">
        <v>525.41032889501957</v>
      </c>
      <c r="H45" s="104">
        <v>1497.3006833480654</v>
      </c>
      <c r="I45" s="105">
        <v>2806.8030641517616</v>
      </c>
      <c r="J45" s="105">
        <v>564.46047051486846</v>
      </c>
      <c r="K45" s="105">
        <v>4868.5642180146951</v>
      </c>
      <c r="L45" s="104">
        <v>11174.484673177822</v>
      </c>
      <c r="M45" s="106">
        <v>0.43568579316241196</v>
      </c>
      <c r="N45" s="107" t="s">
        <v>171</v>
      </c>
      <c r="O45" s="102">
        <v>99.233374446184925</v>
      </c>
      <c r="P45" s="103">
        <v>2</v>
      </c>
      <c r="Q45" s="103">
        <v>1</v>
      </c>
      <c r="R45" s="108">
        <v>6</v>
      </c>
      <c r="S45" s="107">
        <v>36</v>
      </c>
      <c r="T45" s="125">
        <v>1</v>
      </c>
      <c r="U45" s="106">
        <v>0</v>
      </c>
      <c r="V45" s="106">
        <v>0.64522530599594907</v>
      </c>
      <c r="W45" s="106">
        <v>0.35477469400405093</v>
      </c>
      <c r="X45" s="106">
        <v>0</v>
      </c>
      <c r="Y45" s="104">
        <v>7210.060292598203</v>
      </c>
      <c r="Z45" s="105">
        <v>3964.4243805796186</v>
      </c>
      <c r="AA45" s="105">
        <v>0</v>
      </c>
      <c r="AB45" s="105">
        <v>100426.36458333333</v>
      </c>
      <c r="AC45" s="101">
        <v>5</v>
      </c>
      <c r="AD45" s="109">
        <v>3</v>
      </c>
      <c r="AE45" s="101">
        <v>127098</v>
      </c>
      <c r="AF45" s="109">
        <v>59263</v>
      </c>
      <c r="AG45" s="110">
        <v>0.46627799021227712</v>
      </c>
      <c r="AH45" s="106">
        <v>0.54654333008763389</v>
      </c>
      <c r="AI45" s="101">
        <v>10743.236903602727</v>
      </c>
      <c r="AJ45" s="109">
        <v>5371.6184518013633</v>
      </c>
      <c r="AK45" s="106">
        <v>0.50854158564101215</v>
      </c>
      <c r="AL45" s="104">
        <v>15433907.439999996</v>
      </c>
      <c r="AM45" s="105">
        <v>1400171.6954008262</v>
      </c>
      <c r="AN45" s="106">
        <v>9.0720493228565485E-2</v>
      </c>
      <c r="AO45" s="104">
        <v>983904.434605986</v>
      </c>
      <c r="AP45" s="106">
        <v>4.4758743824746677E-3</v>
      </c>
      <c r="AQ45" s="109">
        <v>30</v>
      </c>
      <c r="AR45" s="101">
        <v>3</v>
      </c>
      <c r="AS45" s="105">
        <v>362875.13582002948</v>
      </c>
      <c r="AT45" s="104">
        <v>1346779.5704260154</v>
      </c>
      <c r="AU45" s="101">
        <v>6</v>
      </c>
      <c r="AV45" s="109">
        <v>0</v>
      </c>
      <c r="AW45" s="109">
        <v>0</v>
      </c>
      <c r="AX45" s="109">
        <v>5</v>
      </c>
      <c r="AY45" s="110">
        <v>0</v>
      </c>
      <c r="AZ45" s="109">
        <v>11747.179057560779</v>
      </c>
      <c r="BA45" s="102">
        <v>99.233374446185053</v>
      </c>
      <c r="BB45" s="106">
        <v>0.44972876540472501</v>
      </c>
      <c r="BC45" s="111">
        <v>344.43113919897758</v>
      </c>
      <c r="BD45" s="74" t="s">
        <v>1153</v>
      </c>
      <c r="BE45" s="88" t="str">
        <f>IFERROR(_xlfn.XLOOKUP([2]!BaseMaestraCeDi[[#This Row],[CeDi]], '[2]Potencial Hor x CeDi'!$B$6:$BU$6, '[2]Potencial Hor x CeDi'!$B$21:$BU$21) / 1000, "")</f>
        <v/>
      </c>
      <c r="BF45" s="89" t="str">
        <f>IFERROR(_xlfn.XLOOKUP([2]!BaseMaestraCeDi[[#This Row],[CeDi]], '[2]Potencial Hor x CeDi'!$B$6:$BU$6, '[2]Potencial Hor x CeDi'!$B$22:$BU$22) / 1000, "")</f>
        <v/>
      </c>
      <c r="BG45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45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45" s="78" t="str">
        <f>IFERROR(INDEX('[2]Potencial Hor SocioDem x CeDi'!$C$2:$AF$81, MATCH($C45,'[2]Potencial Hor SocioDem x CeDi'!$B$2:$B$81,0), MATCH(BI$4,'[2]Potencial Hor SocioDem x CeDi'!$C$1:$AF$1,0)), "")</f>
        <v/>
      </c>
      <c r="BJ45" s="78" t="str">
        <f>IFERROR(INDEX('[2]Potencial Hor SocioDem x CeDi'!$C$2:$AF$81, MATCH($C45,'[2]Potencial Hor SocioDem x CeDi'!$B$2:$B$81,0), MATCH(BJ$4,'[2]Potencial Hor SocioDem x CeDi'!$C$1:$AF$1,0)), "")</f>
        <v/>
      </c>
      <c r="BK45" s="78" t="str">
        <f>IFERROR(INDEX('[2]Potencial Hor SocioDem x CeDi'!$C$2:$AF$81, MATCH($C45,'[2]Potencial Hor SocioDem x CeDi'!$B$2:$B$81,0), MATCH(BK$4,'[2]Potencial Hor SocioDem x CeDi'!$C$1:$AF$1,0)), "")</f>
        <v/>
      </c>
      <c r="BL45" s="79" t="str">
        <f>IFERROR(INDEX('[2]Potencial Hor SocioDem x CeDi'!$C$2:$AF$81, MATCH($C45,'[2]Potencial Hor SocioDem x CeDi'!$B$2:$B$81,0), MATCH(BL$4,'[2]Potencial Hor SocioDem x CeDi'!$C$1:$AF$1,0)), "")</f>
        <v/>
      </c>
      <c r="BM45" s="79" t="str">
        <f>IFERROR(INDEX('[2]Potencial Hor SocioDem x CeDi'!$C$2:$AF$81, MATCH($C45,'[2]Potencial Hor SocioDem x CeDi'!$B$2:$B$81,0), MATCH(BM$4,'[2]Potencial Hor SocioDem x CeDi'!$C$1:$AF$1,0)), "")</f>
        <v/>
      </c>
      <c r="BN45" s="78" t="str">
        <f>IFERROR(INDEX('[2]Potencial Hor SocioDem x CeDi'!$C$2:$AF$81, MATCH($C45,'[2]Potencial Hor SocioDem x CeDi'!$B$2:$B$81,0), MATCH(BN$4,'[2]Potencial Hor SocioDem x CeDi'!$C$1:$AF$1,0)), "")</f>
        <v/>
      </c>
      <c r="BO45" s="78" t="str">
        <f>IFERROR(INDEX('[2]Potencial Hor SocioDem x CeDi'!$C$2:$AF$81, MATCH($C45,'[2]Potencial Hor SocioDem x CeDi'!$B$2:$B$81,0), MATCH(BO$4,'[2]Potencial Hor SocioDem x CeDi'!$C$1:$AF$1,0)), "")</f>
        <v/>
      </c>
      <c r="BP45" s="78" t="str">
        <f>IFERROR(INDEX('[2]Potencial Hor SocioDem x CeDi'!$C$2:$AF$81, MATCH($C45,'[2]Potencial Hor SocioDem x CeDi'!$B$2:$B$81,0), MATCH(BP$4,'[2]Potencial Hor SocioDem x CeDi'!$C$1:$AF$1,0)), "")</f>
        <v/>
      </c>
      <c r="BQ45" s="80" t="str">
        <f>IFERROR(INDEX('[2]Potencial Hor SocioDem x CeDi'!$C$2:$AF$81, MATCH($C45,'[2]Potencial Hor SocioDem x CeDi'!$B$2:$B$81,0), MATCH(BQ$4,'[2]Potencial Hor SocioDem x CeDi'!$C$1:$AF$1,0)), "")</f>
        <v/>
      </c>
      <c r="BR45" s="80" t="str">
        <f>IFERROR(INDEX('[2]Potencial Hor SocioDem x CeDi'!$C$2:$AF$81, MATCH($C45,'[2]Potencial Hor SocioDem x CeDi'!$B$2:$B$81,0), MATCH(BR$4,'[2]Potencial Hor SocioDem x CeDi'!$C$1:$AF$1,0)), "")</f>
        <v/>
      </c>
      <c r="BS45" s="80" t="str">
        <f>IFERROR(INDEX('[2]Potencial Hor SocioDem x CeDi'!$C$2:$AF$81, MATCH($C45,'[2]Potencial Hor SocioDem x CeDi'!$B$2:$B$81,0), MATCH(BS$4,'[2]Potencial Hor SocioDem x CeDi'!$C$1:$AF$1,0)), "")</f>
        <v/>
      </c>
      <c r="BT45" s="80" t="str">
        <f>IFERROR(INDEX('[2]Potencial Hor SocioDem x CeDi'!$C$2:$AF$81, MATCH($C45,'[2]Potencial Hor SocioDem x CeDi'!$B$2:$B$81,0), MATCH(BT$4,'[2]Potencial Hor SocioDem x CeDi'!$C$1:$AF$1,0)), "")</f>
        <v/>
      </c>
      <c r="BU45" s="80" t="str">
        <f>IFERROR(INDEX('[2]Potencial Hor SocioDem x CeDi'!$C$2:$AF$81, MATCH($C45,'[2]Potencial Hor SocioDem x CeDi'!$B$2:$B$81,0), MATCH(BU$4,'[2]Potencial Hor SocioDem x CeDi'!$C$1:$AF$1,0)), "")</f>
        <v/>
      </c>
      <c r="BV45" s="80" t="str">
        <f>IFERROR(INDEX('[2]Potencial Hor SocioDem x CeDi'!$C$2:$AF$81, MATCH($C45,'[2]Potencial Hor SocioDem x CeDi'!$B$2:$B$81,0), MATCH(BV$4,'[2]Potencial Hor SocioDem x CeDi'!$C$1:$AF$1,0)), "")</f>
        <v/>
      </c>
      <c r="BW45" s="80" t="str">
        <f>IFERROR(INDEX('[2]Potencial Hor SocioDem x CeDi'!$C$2:$AF$81, MATCH($C45,'[2]Potencial Hor SocioDem x CeDi'!$B$2:$B$81,0), MATCH(BW$4,'[2]Potencial Hor SocioDem x CeDi'!$C$1:$AF$1,0)), "")</f>
        <v/>
      </c>
      <c r="BX45" s="80" t="str">
        <f>IFERROR(INDEX('[2]Potencial Hor SocioDem x CeDi'!$C$2:$AF$81, MATCH($C45,'[2]Potencial Hor SocioDem x CeDi'!$B$2:$B$81,0), MATCH(BX$4,'[2]Potencial Hor SocioDem x CeDi'!$C$1:$AF$1,0)), "")</f>
        <v/>
      </c>
      <c r="BY45" s="80" t="str">
        <f>IFERROR(INDEX('[2]Potencial Hor SocioDem x CeDi'!$C$2:$AF$81, MATCH($C45,'[2]Potencial Hor SocioDem x CeDi'!$B$2:$B$81,0), MATCH(BY$4,'[2]Potencial Hor SocioDem x CeDi'!$C$1:$AF$1,0)), "")</f>
        <v/>
      </c>
      <c r="BZ45" s="79" t="str">
        <f>IFERROR(INDEX('[2]Potencial Hor SocioDem x CeDi'!$C$2:$AF$81, MATCH($C45,'[2]Potencial Hor SocioDem x CeDi'!$B$2:$B$81,0), MATCH(BZ$4,'[2]Potencial Hor SocioDem x CeDi'!$C$1:$AF$1,0)), "")</f>
        <v/>
      </c>
      <c r="CA45" s="79" t="str">
        <f>IFERROR(INDEX('[2]Potencial Hor SocioDem x CeDi'!$C$2:$AF$81, MATCH($C45,'[2]Potencial Hor SocioDem x CeDi'!$B$2:$B$81,0), MATCH(CA$4,'[2]Potencial Hor SocioDem x CeDi'!$C$1:$AF$1,0)), "")</f>
        <v/>
      </c>
      <c r="CB45" s="81" t="str">
        <f>IFERROR(INDEX('[2]Potencial Hor SocioDem x CeDi'!$C$2:$AF$81, MATCH($C45,'[2]Potencial Hor SocioDem x CeDi'!$B$2:$B$81,0), MATCH(CB$4,'[2]Potencial Hor SocioDem x CeDi'!$C$1:$AF$1,0)), "")</f>
        <v/>
      </c>
      <c r="CC45" s="82" t="str">
        <f>IFERROR(INDEX('[2]Potencial Hor SocioDem x CeDi'!$C$2:$AF$81, MATCH($C45,'[2]Potencial Hor SocioDem x CeDi'!$B$2:$B$81,0), MATCH(CC$4,'[2]Potencial Hor SocioDem x CeDi'!$C$1:$AF$1,0)), "")</f>
        <v/>
      </c>
      <c r="CD45" s="83" t="str">
        <f>IFERROR(INDEX('[2]Potencial Hor SocioDem x CeDi'!$C$2:$AF$81, MATCH($C45,'[2]Potencial Hor SocioDem x CeDi'!$B$2:$B$81,0), MATCH(CD$4,'[2]Potencial Hor SocioDem x CeDi'!$C$1:$AF$1,0)), "")</f>
        <v/>
      </c>
      <c r="CE45" s="78" t="str">
        <f>IFERROR(_xlfn.XLOOKUP([2]!BaseMaestraCeDi[[#This Row],[CeDi]], '[2]Potencial Hor x CeDi'!$B$6:$BU$6, '[2]Potencial Hor x CeDi'!$B$50:$BU$50), "")</f>
        <v/>
      </c>
      <c r="CF45" s="90" t="str">
        <f>IFERROR(_xlfn.XLOOKUP([2]!BaseMaestraCeDi[[#This Row],[CeDi]], '[2]Potencial Hor x CeDi'!$B$6:$BU$6, '[2]Potencial Hor x CeDi'!$B$34:$BU$34), "")</f>
        <v/>
      </c>
      <c r="CG45" s="90" t="str">
        <f>IFERROR(_xlfn.XLOOKUP([2]!BaseMaestraCeDi[[#This Row],[CeDi]], '[2]Potencial Hor x CeDi'!$B$6:$BU$6, '[2]Potencial Hor x CeDi'!$B$64:$BU$64), "")</f>
        <v/>
      </c>
      <c r="CH45" s="91" t="str">
        <f>IFERROR(_xlfn.XLOOKUP([2]!BaseMaestraCeDi[[#This Row],[CeDi]], '[2]Potencial Hor x CeDi'!$B$6:$BU$6, '[2]Potencial Hor x CeDi'!$B$38:$BU$38), "")</f>
        <v/>
      </c>
      <c r="CI45" s="90" t="str">
        <f>IFERROR(_xlfn.XLOOKUP([2]!BaseMaestraCeDi[[#This Row],[CeDi]], '[2]Potencial Hor x CeDi'!$B$6:$BU$6, '[2]Potencial Hor x CeDi'!$B$26:$BU$26), "")</f>
        <v/>
      </c>
      <c r="CJ45" s="92" t="str">
        <f>IFERROR(_xlfn.XLOOKUP([2]!BaseMaestraCeDi[[#This Row],[CeDi]], '[2]Potencial Hor x CeDi'!$B$6:$BU$6, '[2]Potencial Hor x CeDi'!$B$27:$BU$27), "")</f>
        <v/>
      </c>
      <c r="CK45" s="90" t="str">
        <f>IFERROR(_xlfn.XLOOKUP([2]!BaseMaestraCeDi[[#This Row],[CeDi]], '[2]Potencial Hor x CeDi'!$B$6:$BU$6, '[2]Potencial Hor x CeDi'!$B$28:$BU$28), "")</f>
        <v/>
      </c>
      <c r="CL45" s="92" t="str">
        <f>IFERROR(_xlfn.XLOOKUP([2]!BaseMaestraCeDi[[#This Row],[CeDi]], '[2]Potencial Hor x CeDi'!$B$6:$BU$6, '[2]Potencial Hor x CeDi'!$B$29:$BU$29), "")</f>
        <v/>
      </c>
      <c r="CM45" s="93" t="str">
        <f>IFERROR(_xlfn.XLOOKUP([2]!BaseMaestraCeDi[[#This Row],[CeDi]], '[2]Potencial Hor x CeDi'!$B$6:$BU$6, '[2]Potencial Hor x CeDi'!$B$39:$BU$39), "")</f>
        <v/>
      </c>
      <c r="CN45" s="94" t="str">
        <f>IFERROR(_xlfn.XLOOKUP([2]!BaseMaestraCeDi[[#This Row],[CeDi]], '[2]Potencial Hor x CeDi'!$B$6:$BU$6, '[2]Potencial Hor x CeDi'!$B$43:$BU$43), "")</f>
        <v/>
      </c>
      <c r="CO45" s="94" t="str">
        <f>IFERROR(_xlfn.XLOOKUP([2]!BaseMaestraCeDi[[#This Row],[CeDi]], '[2]Potencial Hor x CeDi'!$B$6:$BU$6, '[2]Potencial Hor x CeDi'!$B$46:$BU$46), "")</f>
        <v/>
      </c>
      <c r="CP45" s="86" t="str">
        <f>IFERROR(_xlfn.XLOOKUP([2]!BaseMaestraCeDi[[#This Row],[CeDi]], '[2]Potencial Hor x CeDi'!$B$6:$BU$6, '[2]Potencial Hor x CeDi'!$B$51:$BU$51), "")</f>
        <v/>
      </c>
      <c r="CQ45" s="82" t="str">
        <f>IFERROR(_xlfn.XLOOKUP([2]!BaseMaestraCeDi[[#This Row],[CeDi]], '[2]Potencial Hor x CeDi'!$B$6:$BU$6, '[2]Potencial Hor x CeDi'!$B$52:$BU$52), "")</f>
        <v/>
      </c>
      <c r="CR45" s="82" t="str">
        <f>IFERROR(_xlfn.XLOOKUP([2]!BaseMaestraCeDi[[#This Row],[CeDi]], '[2]Potencial Hor x CeDi'!$B$6:$BU$6, '[2]Potencial Hor x CeDi'!$B$53:$BU$53), "")</f>
        <v/>
      </c>
      <c r="CS45" s="87" t="str">
        <f>IFERROR(_xlfn.XLOOKUP([2]!BaseMaestraCeDi[[#This Row],[CeDi]], '[2]Potencial Hor x CeDi'!$B$6:$BU$6, '[2]Potencial Hor x CeDi'!$B$60:$BU$60), "")</f>
        <v/>
      </c>
      <c r="CT45" s="90" t="str">
        <f>IFERROR(_xlfn.XLOOKUP([2]!BaseMaestraCeDi[[#This Row],[CeDi]], '[2]Potencial Hor x CeDi'!$B$6:$BU$6, '[2]Potencial Hor x CeDi'!$B$65:$BU$65), "")</f>
        <v/>
      </c>
      <c r="CU45" s="90" t="str">
        <f>IFERROR(_xlfn.XLOOKUP([2]!BaseMaestraCeDi[[#This Row],[CeDi]], '[2]Potencial Hor x CeDi'!$B$6:$BU$6, '[2]Potencial Hor x CeDi'!$B$68:$BU$68), "")</f>
        <v/>
      </c>
      <c r="CV45" s="95" t="str">
        <f>IFERROR(_xlfn.XLOOKUP([2]!BaseMaestraCeDi[[#This Row],[CeDi]], '[2]Potencial Hor x CeDi'!$B$6:$BU$6, '[2]Potencial Hor x CeDi'!$B$71:$BU$71), "")</f>
        <v/>
      </c>
    </row>
    <row r="46" spans="1:100">
      <c r="A46" s="112" t="s">
        <v>94</v>
      </c>
      <c r="B46" s="112" t="s">
        <v>510</v>
      </c>
      <c r="C46" s="112" t="s">
        <v>511</v>
      </c>
      <c r="D46" s="113">
        <v>37</v>
      </c>
      <c r="E46" s="114">
        <v>5209.0680785813829</v>
      </c>
      <c r="F46" s="115">
        <v>299.83091755343816</v>
      </c>
      <c r="G46" s="115">
        <v>5508.8989961348207</v>
      </c>
      <c r="H46" s="116">
        <v>19019.595825971686</v>
      </c>
      <c r="I46" s="117">
        <v>33024.392916467463</v>
      </c>
      <c r="J46" s="117">
        <v>5153.2090422080264</v>
      </c>
      <c r="K46" s="117">
        <v>57197.197784647178</v>
      </c>
      <c r="L46" s="116">
        <v>110339.86983912137</v>
      </c>
      <c r="M46" s="118">
        <v>0.51837289520136554</v>
      </c>
      <c r="N46" s="119" t="s">
        <v>211</v>
      </c>
      <c r="O46" s="114">
        <v>73.422621327402808</v>
      </c>
      <c r="P46" s="115">
        <v>2</v>
      </c>
      <c r="Q46" s="115">
        <v>1</v>
      </c>
      <c r="R46" s="120">
        <v>34</v>
      </c>
      <c r="S46" s="119">
        <v>238</v>
      </c>
      <c r="T46" s="121">
        <v>0.97425017462282926</v>
      </c>
      <c r="U46" s="118">
        <v>2.5749825377170743E-2</v>
      </c>
      <c r="V46" s="118">
        <v>0.6722669444486139</v>
      </c>
      <c r="W46" s="118">
        <v>0.32722938886058811</v>
      </c>
      <c r="X46" s="118">
        <v>5.0366669079796576E-4</v>
      </c>
      <c r="Y46" s="116">
        <v>74177.847147603898</v>
      </c>
      <c r="Z46" s="117">
        <v>36106.448174412522</v>
      </c>
      <c r="AA46" s="117">
        <v>55.574517104948534</v>
      </c>
      <c r="AB46" s="117">
        <v>93550.063614754094</v>
      </c>
      <c r="AC46" s="113">
        <v>37</v>
      </c>
      <c r="AD46" s="122">
        <v>27</v>
      </c>
      <c r="AE46" s="113">
        <v>1097414</v>
      </c>
      <c r="AF46" s="122">
        <v>563706</v>
      </c>
      <c r="AG46" s="123">
        <v>0.51366758579715588</v>
      </c>
      <c r="AH46" s="118">
        <v>0.59299875749554321</v>
      </c>
      <c r="AI46" s="113">
        <v>110674.73599481389</v>
      </c>
      <c r="AJ46" s="122">
        <v>55337.367997406946</v>
      </c>
      <c r="AK46" s="118">
        <v>0.56409282913960179</v>
      </c>
      <c r="AL46" s="116">
        <v>160977166.40000001</v>
      </c>
      <c r="AM46" s="117">
        <v>15606719.924208494</v>
      </c>
      <c r="AN46" s="118">
        <v>9.6949898381417238E-2</v>
      </c>
      <c r="AO46" s="116">
        <v>10966884.271065429</v>
      </c>
      <c r="AP46" s="118">
        <v>4.988939437404126E-2</v>
      </c>
      <c r="AQ46" s="122">
        <v>8</v>
      </c>
      <c r="AR46" s="113">
        <v>27</v>
      </c>
      <c r="AS46" s="117">
        <v>14740667.366347224</v>
      </c>
      <c r="AT46" s="116">
        <v>25707551.637412652</v>
      </c>
      <c r="AU46" s="113">
        <v>37</v>
      </c>
      <c r="AV46" s="122">
        <v>2</v>
      </c>
      <c r="AW46" s="122">
        <v>8</v>
      </c>
      <c r="AX46" s="122">
        <v>27</v>
      </c>
      <c r="AY46" s="123">
        <v>5.4054054054054057E-2</v>
      </c>
      <c r="AZ46" s="122">
        <v>145439.48426991823</v>
      </c>
      <c r="BA46" s="114">
        <v>73.422621327402837</v>
      </c>
      <c r="BB46" s="118">
        <v>0.53196254556101497</v>
      </c>
      <c r="BC46" s="124">
        <v>492.15767178213207</v>
      </c>
      <c r="BD46" s="74" t="s">
        <v>1154</v>
      </c>
      <c r="BE46" s="88" t="str">
        <f>IFERROR(_xlfn.XLOOKUP([2]!BaseMaestraCeDi[[#This Row],[CeDi]], '[2]Potencial Hor x CeDi'!$B$6:$BU$6, '[2]Potencial Hor x CeDi'!$B$21:$BU$21) / 1000, "")</f>
        <v/>
      </c>
      <c r="BF46" s="89" t="str">
        <f>IFERROR(_xlfn.XLOOKUP([2]!BaseMaestraCeDi[[#This Row],[CeDi]], '[2]Potencial Hor x CeDi'!$B$6:$BU$6, '[2]Potencial Hor x CeDi'!$B$22:$BU$22) / 1000, "")</f>
        <v/>
      </c>
      <c r="BG46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46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46" s="78" t="str">
        <f>IFERROR(INDEX('[2]Potencial Hor SocioDem x CeDi'!$C$2:$AF$81, MATCH($C46,'[2]Potencial Hor SocioDem x CeDi'!$B$2:$B$81,0), MATCH(BI$4,'[2]Potencial Hor SocioDem x CeDi'!$C$1:$AF$1,0)), "")</f>
        <v/>
      </c>
      <c r="BJ46" s="78" t="str">
        <f>IFERROR(INDEX('[2]Potencial Hor SocioDem x CeDi'!$C$2:$AF$81, MATCH($C46,'[2]Potencial Hor SocioDem x CeDi'!$B$2:$B$81,0), MATCH(BJ$4,'[2]Potencial Hor SocioDem x CeDi'!$C$1:$AF$1,0)), "")</f>
        <v/>
      </c>
      <c r="BK46" s="78" t="str">
        <f>IFERROR(INDEX('[2]Potencial Hor SocioDem x CeDi'!$C$2:$AF$81, MATCH($C46,'[2]Potencial Hor SocioDem x CeDi'!$B$2:$B$81,0), MATCH(BK$4,'[2]Potencial Hor SocioDem x CeDi'!$C$1:$AF$1,0)), "")</f>
        <v/>
      </c>
      <c r="BL46" s="79" t="str">
        <f>IFERROR(INDEX('[2]Potencial Hor SocioDem x CeDi'!$C$2:$AF$81, MATCH($C46,'[2]Potencial Hor SocioDem x CeDi'!$B$2:$B$81,0), MATCH(BL$4,'[2]Potencial Hor SocioDem x CeDi'!$C$1:$AF$1,0)), "")</f>
        <v/>
      </c>
      <c r="BM46" s="79" t="str">
        <f>IFERROR(INDEX('[2]Potencial Hor SocioDem x CeDi'!$C$2:$AF$81, MATCH($C46,'[2]Potencial Hor SocioDem x CeDi'!$B$2:$B$81,0), MATCH(BM$4,'[2]Potencial Hor SocioDem x CeDi'!$C$1:$AF$1,0)), "")</f>
        <v/>
      </c>
      <c r="BN46" s="78" t="str">
        <f>IFERROR(INDEX('[2]Potencial Hor SocioDem x CeDi'!$C$2:$AF$81, MATCH($C46,'[2]Potencial Hor SocioDem x CeDi'!$B$2:$B$81,0), MATCH(BN$4,'[2]Potencial Hor SocioDem x CeDi'!$C$1:$AF$1,0)), "")</f>
        <v/>
      </c>
      <c r="BO46" s="78" t="str">
        <f>IFERROR(INDEX('[2]Potencial Hor SocioDem x CeDi'!$C$2:$AF$81, MATCH($C46,'[2]Potencial Hor SocioDem x CeDi'!$B$2:$B$81,0), MATCH(BO$4,'[2]Potencial Hor SocioDem x CeDi'!$C$1:$AF$1,0)), "")</f>
        <v/>
      </c>
      <c r="BP46" s="78" t="str">
        <f>IFERROR(INDEX('[2]Potencial Hor SocioDem x CeDi'!$C$2:$AF$81, MATCH($C46,'[2]Potencial Hor SocioDem x CeDi'!$B$2:$B$81,0), MATCH(BP$4,'[2]Potencial Hor SocioDem x CeDi'!$C$1:$AF$1,0)), "")</f>
        <v/>
      </c>
      <c r="BQ46" s="80" t="str">
        <f>IFERROR(INDEX('[2]Potencial Hor SocioDem x CeDi'!$C$2:$AF$81, MATCH($C46,'[2]Potencial Hor SocioDem x CeDi'!$B$2:$B$81,0), MATCH(BQ$4,'[2]Potencial Hor SocioDem x CeDi'!$C$1:$AF$1,0)), "")</f>
        <v/>
      </c>
      <c r="BR46" s="80" t="str">
        <f>IFERROR(INDEX('[2]Potencial Hor SocioDem x CeDi'!$C$2:$AF$81, MATCH($C46,'[2]Potencial Hor SocioDem x CeDi'!$B$2:$B$81,0), MATCH(BR$4,'[2]Potencial Hor SocioDem x CeDi'!$C$1:$AF$1,0)), "")</f>
        <v/>
      </c>
      <c r="BS46" s="80" t="str">
        <f>IFERROR(INDEX('[2]Potencial Hor SocioDem x CeDi'!$C$2:$AF$81, MATCH($C46,'[2]Potencial Hor SocioDem x CeDi'!$B$2:$B$81,0), MATCH(BS$4,'[2]Potencial Hor SocioDem x CeDi'!$C$1:$AF$1,0)), "")</f>
        <v/>
      </c>
      <c r="BT46" s="80" t="str">
        <f>IFERROR(INDEX('[2]Potencial Hor SocioDem x CeDi'!$C$2:$AF$81, MATCH($C46,'[2]Potencial Hor SocioDem x CeDi'!$B$2:$B$81,0), MATCH(BT$4,'[2]Potencial Hor SocioDem x CeDi'!$C$1:$AF$1,0)), "")</f>
        <v/>
      </c>
      <c r="BU46" s="80" t="str">
        <f>IFERROR(INDEX('[2]Potencial Hor SocioDem x CeDi'!$C$2:$AF$81, MATCH($C46,'[2]Potencial Hor SocioDem x CeDi'!$B$2:$B$81,0), MATCH(BU$4,'[2]Potencial Hor SocioDem x CeDi'!$C$1:$AF$1,0)), "")</f>
        <v/>
      </c>
      <c r="BV46" s="80" t="str">
        <f>IFERROR(INDEX('[2]Potencial Hor SocioDem x CeDi'!$C$2:$AF$81, MATCH($C46,'[2]Potencial Hor SocioDem x CeDi'!$B$2:$B$81,0), MATCH(BV$4,'[2]Potencial Hor SocioDem x CeDi'!$C$1:$AF$1,0)), "")</f>
        <v/>
      </c>
      <c r="BW46" s="80" t="str">
        <f>IFERROR(INDEX('[2]Potencial Hor SocioDem x CeDi'!$C$2:$AF$81, MATCH($C46,'[2]Potencial Hor SocioDem x CeDi'!$B$2:$B$81,0), MATCH(BW$4,'[2]Potencial Hor SocioDem x CeDi'!$C$1:$AF$1,0)), "")</f>
        <v/>
      </c>
      <c r="BX46" s="80" t="str">
        <f>IFERROR(INDEX('[2]Potencial Hor SocioDem x CeDi'!$C$2:$AF$81, MATCH($C46,'[2]Potencial Hor SocioDem x CeDi'!$B$2:$B$81,0), MATCH(BX$4,'[2]Potencial Hor SocioDem x CeDi'!$C$1:$AF$1,0)), "")</f>
        <v/>
      </c>
      <c r="BY46" s="80" t="str">
        <f>IFERROR(INDEX('[2]Potencial Hor SocioDem x CeDi'!$C$2:$AF$81, MATCH($C46,'[2]Potencial Hor SocioDem x CeDi'!$B$2:$B$81,0), MATCH(BY$4,'[2]Potencial Hor SocioDem x CeDi'!$C$1:$AF$1,0)), "")</f>
        <v/>
      </c>
      <c r="BZ46" s="79" t="str">
        <f>IFERROR(INDEX('[2]Potencial Hor SocioDem x CeDi'!$C$2:$AF$81, MATCH($C46,'[2]Potencial Hor SocioDem x CeDi'!$B$2:$B$81,0), MATCH(BZ$4,'[2]Potencial Hor SocioDem x CeDi'!$C$1:$AF$1,0)), "")</f>
        <v/>
      </c>
      <c r="CA46" s="79" t="str">
        <f>IFERROR(INDEX('[2]Potencial Hor SocioDem x CeDi'!$C$2:$AF$81, MATCH($C46,'[2]Potencial Hor SocioDem x CeDi'!$B$2:$B$81,0), MATCH(CA$4,'[2]Potencial Hor SocioDem x CeDi'!$C$1:$AF$1,0)), "")</f>
        <v/>
      </c>
      <c r="CB46" s="81" t="str">
        <f>IFERROR(INDEX('[2]Potencial Hor SocioDem x CeDi'!$C$2:$AF$81, MATCH($C46,'[2]Potencial Hor SocioDem x CeDi'!$B$2:$B$81,0), MATCH(CB$4,'[2]Potencial Hor SocioDem x CeDi'!$C$1:$AF$1,0)), "")</f>
        <v/>
      </c>
      <c r="CC46" s="82" t="str">
        <f>IFERROR(INDEX('[2]Potencial Hor SocioDem x CeDi'!$C$2:$AF$81, MATCH($C46,'[2]Potencial Hor SocioDem x CeDi'!$B$2:$B$81,0), MATCH(CC$4,'[2]Potencial Hor SocioDem x CeDi'!$C$1:$AF$1,0)), "")</f>
        <v/>
      </c>
      <c r="CD46" s="83" t="str">
        <f>IFERROR(INDEX('[2]Potencial Hor SocioDem x CeDi'!$C$2:$AF$81, MATCH($C46,'[2]Potencial Hor SocioDem x CeDi'!$B$2:$B$81,0), MATCH(CD$4,'[2]Potencial Hor SocioDem x CeDi'!$C$1:$AF$1,0)), "")</f>
        <v/>
      </c>
      <c r="CE46" s="78" t="str">
        <f>IFERROR(_xlfn.XLOOKUP([2]!BaseMaestraCeDi[[#This Row],[CeDi]], '[2]Potencial Hor x CeDi'!$B$6:$BU$6, '[2]Potencial Hor x CeDi'!$B$50:$BU$50), "")</f>
        <v/>
      </c>
      <c r="CF46" s="90" t="str">
        <f>IFERROR(_xlfn.XLOOKUP([2]!BaseMaestraCeDi[[#This Row],[CeDi]], '[2]Potencial Hor x CeDi'!$B$6:$BU$6, '[2]Potencial Hor x CeDi'!$B$34:$BU$34), "")</f>
        <v/>
      </c>
      <c r="CG46" s="90" t="str">
        <f>IFERROR(_xlfn.XLOOKUP([2]!BaseMaestraCeDi[[#This Row],[CeDi]], '[2]Potencial Hor x CeDi'!$B$6:$BU$6, '[2]Potencial Hor x CeDi'!$B$64:$BU$64), "")</f>
        <v/>
      </c>
      <c r="CH46" s="91" t="str">
        <f>IFERROR(_xlfn.XLOOKUP([2]!BaseMaestraCeDi[[#This Row],[CeDi]], '[2]Potencial Hor x CeDi'!$B$6:$BU$6, '[2]Potencial Hor x CeDi'!$B$38:$BU$38), "")</f>
        <v/>
      </c>
      <c r="CI46" s="90" t="str">
        <f>IFERROR(_xlfn.XLOOKUP([2]!BaseMaestraCeDi[[#This Row],[CeDi]], '[2]Potencial Hor x CeDi'!$B$6:$BU$6, '[2]Potencial Hor x CeDi'!$B$26:$BU$26), "")</f>
        <v/>
      </c>
      <c r="CJ46" s="92" t="str">
        <f>IFERROR(_xlfn.XLOOKUP([2]!BaseMaestraCeDi[[#This Row],[CeDi]], '[2]Potencial Hor x CeDi'!$B$6:$BU$6, '[2]Potencial Hor x CeDi'!$B$27:$BU$27), "")</f>
        <v/>
      </c>
      <c r="CK46" s="90" t="str">
        <f>IFERROR(_xlfn.XLOOKUP([2]!BaseMaestraCeDi[[#This Row],[CeDi]], '[2]Potencial Hor x CeDi'!$B$6:$BU$6, '[2]Potencial Hor x CeDi'!$B$28:$BU$28), "")</f>
        <v/>
      </c>
      <c r="CL46" s="92" t="str">
        <f>IFERROR(_xlfn.XLOOKUP([2]!BaseMaestraCeDi[[#This Row],[CeDi]], '[2]Potencial Hor x CeDi'!$B$6:$BU$6, '[2]Potencial Hor x CeDi'!$B$29:$BU$29), "")</f>
        <v/>
      </c>
      <c r="CM46" s="93" t="str">
        <f>IFERROR(_xlfn.XLOOKUP([2]!BaseMaestraCeDi[[#This Row],[CeDi]], '[2]Potencial Hor x CeDi'!$B$6:$BU$6, '[2]Potencial Hor x CeDi'!$B$39:$BU$39), "")</f>
        <v/>
      </c>
      <c r="CN46" s="94" t="str">
        <f>IFERROR(_xlfn.XLOOKUP([2]!BaseMaestraCeDi[[#This Row],[CeDi]], '[2]Potencial Hor x CeDi'!$B$6:$BU$6, '[2]Potencial Hor x CeDi'!$B$43:$BU$43), "")</f>
        <v/>
      </c>
      <c r="CO46" s="94" t="str">
        <f>IFERROR(_xlfn.XLOOKUP([2]!BaseMaestraCeDi[[#This Row],[CeDi]], '[2]Potencial Hor x CeDi'!$B$6:$BU$6, '[2]Potencial Hor x CeDi'!$B$46:$BU$46), "")</f>
        <v/>
      </c>
      <c r="CP46" s="86" t="str">
        <f>IFERROR(_xlfn.XLOOKUP([2]!BaseMaestraCeDi[[#This Row],[CeDi]], '[2]Potencial Hor x CeDi'!$B$6:$BU$6, '[2]Potencial Hor x CeDi'!$B$51:$BU$51), "")</f>
        <v/>
      </c>
      <c r="CQ46" s="82" t="str">
        <f>IFERROR(_xlfn.XLOOKUP([2]!BaseMaestraCeDi[[#This Row],[CeDi]], '[2]Potencial Hor x CeDi'!$B$6:$BU$6, '[2]Potencial Hor x CeDi'!$B$52:$BU$52), "")</f>
        <v/>
      </c>
      <c r="CR46" s="82" t="str">
        <f>IFERROR(_xlfn.XLOOKUP([2]!BaseMaestraCeDi[[#This Row],[CeDi]], '[2]Potencial Hor x CeDi'!$B$6:$BU$6, '[2]Potencial Hor x CeDi'!$B$53:$BU$53), "")</f>
        <v/>
      </c>
      <c r="CS46" s="87" t="str">
        <f>IFERROR(_xlfn.XLOOKUP([2]!BaseMaestraCeDi[[#This Row],[CeDi]], '[2]Potencial Hor x CeDi'!$B$6:$BU$6, '[2]Potencial Hor x CeDi'!$B$60:$BU$60), "")</f>
        <v/>
      </c>
      <c r="CT46" s="90" t="str">
        <f>IFERROR(_xlfn.XLOOKUP([2]!BaseMaestraCeDi[[#This Row],[CeDi]], '[2]Potencial Hor x CeDi'!$B$6:$BU$6, '[2]Potencial Hor x CeDi'!$B$65:$BU$65), "")</f>
        <v/>
      </c>
      <c r="CU46" s="90" t="str">
        <f>IFERROR(_xlfn.XLOOKUP([2]!BaseMaestraCeDi[[#This Row],[CeDi]], '[2]Potencial Hor x CeDi'!$B$6:$BU$6, '[2]Potencial Hor x CeDi'!$B$68:$BU$68), "")</f>
        <v/>
      </c>
      <c r="CV46" s="95" t="str">
        <f>IFERROR(_xlfn.XLOOKUP([2]!BaseMaestraCeDi[[#This Row],[CeDi]], '[2]Potencial Hor x CeDi'!$B$6:$BU$6, '[2]Potencial Hor x CeDi'!$B$71:$BU$71), "")</f>
        <v/>
      </c>
    </row>
    <row r="47" spans="1:100">
      <c r="A47" s="100" t="s">
        <v>94</v>
      </c>
      <c r="B47" s="100" t="s">
        <v>549</v>
      </c>
      <c r="C47" s="100" t="s">
        <v>550</v>
      </c>
      <c r="D47" s="101">
        <v>60</v>
      </c>
      <c r="E47" s="102">
        <v>8771.0369269528419</v>
      </c>
      <c r="F47" s="103">
        <v>498.20353569537036</v>
      </c>
      <c r="G47" s="103">
        <v>9269.240462648213</v>
      </c>
      <c r="H47" s="104">
        <v>25175.51411574857</v>
      </c>
      <c r="I47" s="105">
        <v>38258.83189076573</v>
      </c>
      <c r="J47" s="105">
        <v>8205.2627781153678</v>
      </c>
      <c r="K47" s="105">
        <v>71639.608784629672</v>
      </c>
      <c r="L47" s="104">
        <v>205628.19295121671</v>
      </c>
      <c r="M47" s="106">
        <v>0.34839390336725601</v>
      </c>
      <c r="N47" s="107" t="s">
        <v>171</v>
      </c>
      <c r="O47" s="102">
        <v>72.697169485449948</v>
      </c>
      <c r="P47" s="103">
        <v>2</v>
      </c>
      <c r="Q47" s="103">
        <v>1</v>
      </c>
      <c r="R47" s="108">
        <v>64</v>
      </c>
      <c r="S47" s="107">
        <v>492</v>
      </c>
      <c r="T47" s="125">
        <v>0.9755078875721287</v>
      </c>
      <c r="U47" s="106">
        <v>2.4492112427871304E-2</v>
      </c>
      <c r="V47" s="106">
        <v>0.62128675924856325</v>
      </c>
      <c r="W47" s="106">
        <v>0.37782329655994762</v>
      </c>
      <c r="X47" s="106">
        <v>8.8994419148911508E-4</v>
      </c>
      <c r="Y47" s="104">
        <v>127754.07360879969</v>
      </c>
      <c r="Z47" s="105">
        <v>77691.121726493686</v>
      </c>
      <c r="AA47" s="105">
        <v>182.99761592333832</v>
      </c>
      <c r="AB47" s="105">
        <v>101819.44053429796</v>
      </c>
      <c r="AC47" s="101">
        <v>64</v>
      </c>
      <c r="AD47" s="109">
        <v>46</v>
      </c>
      <c r="AE47" s="101">
        <v>1879397</v>
      </c>
      <c r="AF47" s="109">
        <v>873773</v>
      </c>
      <c r="AG47" s="110">
        <v>0.46492199359688241</v>
      </c>
      <c r="AH47" s="106">
        <v>0.55224100357395156</v>
      </c>
      <c r="AI47" s="101">
        <v>192201.91902028324</v>
      </c>
      <c r="AJ47" s="109">
        <v>96100.95951014162</v>
      </c>
      <c r="AK47" s="106">
        <v>0.5160559261881027</v>
      </c>
      <c r="AL47" s="104">
        <v>300904875.95000005</v>
      </c>
      <c r="AM47" s="105">
        <v>34138873.681205288</v>
      </c>
      <c r="AN47" s="106">
        <v>0.11345403949811031</v>
      </c>
      <c r="AO47" s="104">
        <v>23989478.803009123</v>
      </c>
      <c r="AP47" s="106">
        <v>0.10913040926206059</v>
      </c>
      <c r="AQ47" s="109">
        <v>1</v>
      </c>
      <c r="AR47" s="101">
        <v>48</v>
      </c>
      <c r="AS47" s="105">
        <v>22224915.201433264</v>
      </c>
      <c r="AT47" s="104">
        <v>46214394.004442386</v>
      </c>
      <c r="AU47" s="101">
        <v>69</v>
      </c>
      <c r="AV47" s="109">
        <v>2</v>
      </c>
      <c r="AW47" s="109">
        <v>7</v>
      </c>
      <c r="AX47" s="109">
        <v>53</v>
      </c>
      <c r="AY47" s="110">
        <v>2.8985507246376812E-2</v>
      </c>
      <c r="AZ47" s="109">
        <v>200521.00604351232</v>
      </c>
      <c r="BA47" s="102">
        <v>72.697169485449962</v>
      </c>
      <c r="BB47" s="106">
        <v>0.45308756166931063</v>
      </c>
      <c r="BC47" s="111">
        <v>506.96359520701321</v>
      </c>
      <c r="BD47" s="74" t="s">
        <v>1155</v>
      </c>
      <c r="BE47" s="88" t="str">
        <f>IFERROR(_xlfn.XLOOKUP([2]!BaseMaestraCeDi[[#This Row],[CeDi]], '[2]Potencial Hor x CeDi'!$B$6:$BU$6, '[2]Potencial Hor x CeDi'!$B$21:$BU$21) / 1000, "")</f>
        <v/>
      </c>
      <c r="BF47" s="89" t="str">
        <f>IFERROR(_xlfn.XLOOKUP([2]!BaseMaestraCeDi[[#This Row],[CeDi]], '[2]Potencial Hor x CeDi'!$B$6:$BU$6, '[2]Potencial Hor x CeDi'!$B$22:$BU$22) / 1000, "")</f>
        <v/>
      </c>
      <c r="BG47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47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47" s="78">
        <f>IFERROR(INDEX('[2]Potencial Hor SocioDem x CeDi'!$C$2:$AF$81, MATCH($C47,'[2]Potencial Hor SocioDem x CeDi'!$B$2:$B$81,0), MATCH(BI$4,'[2]Potencial Hor SocioDem x CeDi'!$C$1:$AF$1,0)), "")</f>
        <v>6213</v>
      </c>
      <c r="BJ47" s="78">
        <f>IFERROR(INDEX('[2]Potencial Hor SocioDem x CeDi'!$C$2:$AF$81, MATCH($C47,'[2]Potencial Hor SocioDem x CeDi'!$B$2:$B$81,0), MATCH(BJ$4,'[2]Potencial Hor SocioDem x CeDi'!$C$1:$AF$1,0)), "")</f>
        <v>534307</v>
      </c>
      <c r="BK47" s="78">
        <f>IFERROR(INDEX('[2]Potencial Hor SocioDem x CeDi'!$C$2:$AF$81, MATCH($C47,'[2]Potencial Hor SocioDem x CeDi'!$B$2:$B$81,0), MATCH(BK$4,'[2]Potencial Hor SocioDem x CeDi'!$C$1:$AF$1,0)), "")</f>
        <v>158130</v>
      </c>
      <c r="BL47" s="79">
        <f>IFERROR(INDEX('[2]Potencial Hor SocioDem x CeDi'!$C$2:$AF$81, MATCH($C47,'[2]Potencial Hor SocioDem x CeDi'!$B$2:$B$81,0), MATCH(BL$4,'[2]Potencial Hor SocioDem x CeDi'!$C$1:$AF$1,0)), "")</f>
        <v>3.37890975779422</v>
      </c>
      <c r="BM47" s="79">
        <f>IFERROR(INDEX('[2]Potencial Hor SocioDem x CeDi'!$C$2:$AF$81, MATCH($C47,'[2]Potencial Hor SocioDem x CeDi'!$B$2:$B$81,0), MATCH(BM$4,'[2]Potencial Hor SocioDem x CeDi'!$C$1:$AF$1,0)), "")</f>
        <v>25.451472718493481</v>
      </c>
      <c r="BN47" s="78">
        <f>IFERROR(INDEX('[2]Potencial Hor SocioDem x CeDi'!$C$2:$AF$81, MATCH($C47,'[2]Potencial Hor SocioDem x CeDi'!$B$2:$B$81,0), MATCH(BN$4,'[2]Potencial Hor SocioDem x CeDi'!$C$1:$AF$1,0)), "")</f>
        <v>50306</v>
      </c>
      <c r="BO47" s="78">
        <f>IFERROR(INDEX('[2]Potencial Hor SocioDem x CeDi'!$C$2:$AF$81, MATCH($C47,'[2]Potencial Hor SocioDem x CeDi'!$B$2:$B$81,0), MATCH(BO$4,'[2]Potencial Hor SocioDem x CeDi'!$C$1:$AF$1,0)), "")</f>
        <v>55924</v>
      </c>
      <c r="BP47" s="78">
        <f>IFERROR(INDEX('[2]Potencial Hor SocioDem x CeDi'!$C$2:$AF$81, MATCH($C47,'[2]Potencial Hor SocioDem x CeDi'!$B$2:$B$81,0), MATCH(BP$4,'[2]Potencial Hor SocioDem x CeDi'!$C$1:$AF$1,0)), "")</f>
        <v>106230</v>
      </c>
      <c r="BQ47" s="80">
        <f>IFERROR(INDEX('[2]Potencial Hor SocioDem x CeDi'!$C$2:$AF$81, MATCH($C47,'[2]Potencial Hor SocioDem x CeDi'!$B$2:$B$81,0), MATCH(BQ$4,'[2]Potencial Hor SocioDem x CeDi'!$C$1:$AF$1,0)), "")</f>
        <v>0.67178903433883519</v>
      </c>
      <c r="BR47" s="80">
        <f>IFERROR(INDEX('[2]Potencial Hor SocioDem x CeDi'!$C$2:$AF$81, MATCH($C47,'[2]Potencial Hor SocioDem x CeDi'!$B$2:$B$81,0), MATCH(BR$4,'[2]Potencial Hor SocioDem x CeDi'!$C$1:$AF$1,0)), "")</f>
        <v>0.3181306519951938</v>
      </c>
      <c r="BS47" s="80">
        <f>IFERROR(INDEX('[2]Potencial Hor SocioDem x CeDi'!$C$2:$AF$81, MATCH($C47,'[2]Potencial Hor SocioDem x CeDi'!$B$2:$B$81,0), MATCH(BS$4,'[2]Potencial Hor SocioDem x CeDi'!$C$1:$AF$1,0)), "")</f>
        <v>0.35365838234364128</v>
      </c>
      <c r="BT47" s="80">
        <f>IFERROR(INDEX('[2]Potencial Hor SocioDem x CeDi'!$C$2:$AF$81, MATCH($C47,'[2]Potencial Hor SocioDem x CeDi'!$B$2:$B$81,0), MATCH(BT$4,'[2]Potencial Hor SocioDem x CeDi'!$C$1:$AF$1,0)), "")</f>
        <v>6.4440650098020621E-2</v>
      </c>
      <c r="BU47" s="80">
        <f>IFERROR(INDEX('[2]Potencial Hor SocioDem x CeDi'!$C$2:$AF$81, MATCH($C47,'[2]Potencial Hor SocioDem x CeDi'!$B$2:$B$81,0), MATCH(BU$4,'[2]Potencial Hor SocioDem x CeDi'!$C$1:$AF$1,0)), "")</f>
        <v>4.6771643584392592E-2</v>
      </c>
      <c r="BV47" s="80">
        <f>IFERROR(INDEX('[2]Potencial Hor SocioDem x CeDi'!$C$2:$AF$81, MATCH($C47,'[2]Potencial Hor SocioDem x CeDi'!$B$2:$B$81,0), MATCH(BV$4,'[2]Potencial Hor SocioDem x CeDi'!$C$1:$AF$1,0)), "")</f>
        <v>1.878201479795105E-3</v>
      </c>
      <c r="BW47" s="80">
        <f>IFERROR(INDEX('[2]Potencial Hor SocioDem x CeDi'!$C$2:$AF$81, MATCH($C47,'[2]Potencial Hor SocioDem x CeDi'!$B$2:$B$81,0), MATCH(BW$4,'[2]Potencial Hor SocioDem x CeDi'!$C$1:$AF$1,0)), "")</f>
        <v>0.2151078226775438</v>
      </c>
      <c r="BX47" s="80">
        <f>IFERROR(INDEX('[2]Potencial Hor SocioDem x CeDi'!$C$2:$AF$81, MATCH($C47,'[2]Potencial Hor SocioDem x CeDi'!$B$2:$B$81,0), MATCH(BX$4,'[2]Potencial Hor SocioDem x CeDi'!$C$1:$AF$1,0)), "")</f>
        <v>0</v>
      </c>
      <c r="BY47" s="80">
        <f>IFERROR(INDEX('[2]Potencial Hor SocioDem x CeDi'!$C$2:$AF$81, MATCH($C47,'[2]Potencial Hor SocioDem x CeDi'!$B$2:$B$81,0), MATCH(BY$4,'[2]Potencial Hor SocioDem x CeDi'!$C$1:$AF$1,0)), "")</f>
        <v>1.2647821412761651E-5</v>
      </c>
      <c r="BZ47" s="79">
        <f>IFERROR(INDEX('[2]Potencial Hor SocioDem x CeDi'!$C$2:$AF$81, MATCH($C47,'[2]Potencial Hor SocioDem x CeDi'!$B$2:$B$81,0), MATCH(BZ$4,'[2]Potencial Hor SocioDem x CeDi'!$C$1:$AF$1,0)), "")</f>
        <v>2.8803665308521129</v>
      </c>
      <c r="CA47" s="79">
        <f>IFERROR(INDEX('[2]Potencial Hor SocioDem x CeDi'!$C$2:$AF$81, MATCH($C47,'[2]Potencial Hor SocioDem x CeDi'!$B$2:$B$81,0), MATCH(CA$4,'[2]Potencial Hor SocioDem x CeDi'!$C$1:$AF$1,0)), "")</f>
        <v>0.40239038605146482</v>
      </c>
      <c r="CB47" s="81">
        <f>IFERROR(INDEX('[2]Potencial Hor SocioDem x CeDi'!$C$2:$AF$81, MATCH($C47,'[2]Potencial Hor SocioDem x CeDi'!$B$2:$B$81,0), MATCH(CB$4,'[2]Potencial Hor SocioDem x CeDi'!$C$1:$AF$1,0)), "")</f>
        <v>19102</v>
      </c>
      <c r="CC47" s="82">
        <f>IFERROR(INDEX('[2]Potencial Hor SocioDem x CeDi'!$C$2:$AF$81, MATCH($C47,'[2]Potencial Hor SocioDem x CeDi'!$B$2:$B$81,0), MATCH(CC$4,'[2]Potencial Hor SocioDem x CeDi'!$C$1:$AF$1,0)), "")</f>
        <v>15500</v>
      </c>
      <c r="CD47" s="83">
        <f>IFERROR(INDEX('[2]Potencial Hor SocioDem x CeDi'!$C$2:$AF$81, MATCH($C47,'[2]Potencial Hor SocioDem x CeDi'!$B$2:$B$81,0), MATCH(CD$4,'[2]Potencial Hor SocioDem x CeDi'!$C$1:$AF$1,0)), "")</f>
        <v>0.14590981831874239</v>
      </c>
      <c r="CE47" s="78" t="str">
        <f>IFERROR(_xlfn.XLOOKUP([2]!BaseMaestraCeDi[[#This Row],[CeDi]], '[2]Potencial Hor x CeDi'!$B$6:$BU$6, '[2]Potencial Hor x CeDi'!$B$50:$BU$50), "")</f>
        <v/>
      </c>
      <c r="CF47" s="90" t="str">
        <f>IFERROR(_xlfn.XLOOKUP([2]!BaseMaestraCeDi[[#This Row],[CeDi]], '[2]Potencial Hor x CeDi'!$B$6:$BU$6, '[2]Potencial Hor x CeDi'!$B$34:$BU$34), "")</f>
        <v/>
      </c>
      <c r="CG47" s="90" t="str">
        <f>IFERROR(_xlfn.XLOOKUP([2]!BaseMaestraCeDi[[#This Row],[CeDi]], '[2]Potencial Hor x CeDi'!$B$6:$BU$6, '[2]Potencial Hor x CeDi'!$B$64:$BU$64), "")</f>
        <v/>
      </c>
      <c r="CH47" s="91" t="str">
        <f>IFERROR(_xlfn.XLOOKUP([2]!BaseMaestraCeDi[[#This Row],[CeDi]], '[2]Potencial Hor x CeDi'!$B$6:$BU$6, '[2]Potencial Hor x CeDi'!$B$38:$BU$38), "")</f>
        <v/>
      </c>
      <c r="CI47" s="90" t="str">
        <f>IFERROR(_xlfn.XLOOKUP([2]!BaseMaestraCeDi[[#This Row],[CeDi]], '[2]Potencial Hor x CeDi'!$B$6:$BU$6, '[2]Potencial Hor x CeDi'!$B$26:$BU$26), "")</f>
        <v/>
      </c>
      <c r="CJ47" s="92" t="str">
        <f>IFERROR(_xlfn.XLOOKUP([2]!BaseMaestraCeDi[[#This Row],[CeDi]], '[2]Potencial Hor x CeDi'!$B$6:$BU$6, '[2]Potencial Hor x CeDi'!$B$27:$BU$27), "")</f>
        <v/>
      </c>
      <c r="CK47" s="90" t="str">
        <f>IFERROR(_xlfn.XLOOKUP([2]!BaseMaestraCeDi[[#This Row],[CeDi]], '[2]Potencial Hor x CeDi'!$B$6:$BU$6, '[2]Potencial Hor x CeDi'!$B$28:$BU$28), "")</f>
        <v/>
      </c>
      <c r="CL47" s="92" t="str">
        <f>IFERROR(_xlfn.XLOOKUP([2]!BaseMaestraCeDi[[#This Row],[CeDi]], '[2]Potencial Hor x CeDi'!$B$6:$BU$6, '[2]Potencial Hor x CeDi'!$B$29:$BU$29), "")</f>
        <v/>
      </c>
      <c r="CM47" s="93" t="str">
        <f>IFERROR(_xlfn.XLOOKUP([2]!BaseMaestraCeDi[[#This Row],[CeDi]], '[2]Potencial Hor x CeDi'!$B$6:$BU$6, '[2]Potencial Hor x CeDi'!$B$39:$BU$39), "")</f>
        <v/>
      </c>
      <c r="CN47" s="94" t="str">
        <f>IFERROR(_xlfn.XLOOKUP([2]!BaseMaestraCeDi[[#This Row],[CeDi]], '[2]Potencial Hor x CeDi'!$B$6:$BU$6, '[2]Potencial Hor x CeDi'!$B$43:$BU$43), "")</f>
        <v/>
      </c>
      <c r="CO47" s="94" t="str">
        <f>IFERROR(_xlfn.XLOOKUP([2]!BaseMaestraCeDi[[#This Row],[CeDi]], '[2]Potencial Hor x CeDi'!$B$6:$BU$6, '[2]Potencial Hor x CeDi'!$B$46:$BU$46), "")</f>
        <v/>
      </c>
      <c r="CP47" s="86" t="str">
        <f>IFERROR(_xlfn.XLOOKUP([2]!BaseMaestraCeDi[[#This Row],[CeDi]], '[2]Potencial Hor x CeDi'!$B$6:$BU$6, '[2]Potencial Hor x CeDi'!$B$51:$BU$51), "")</f>
        <v/>
      </c>
      <c r="CQ47" s="82" t="str">
        <f>IFERROR(_xlfn.XLOOKUP([2]!BaseMaestraCeDi[[#This Row],[CeDi]], '[2]Potencial Hor x CeDi'!$B$6:$BU$6, '[2]Potencial Hor x CeDi'!$B$52:$BU$52), "")</f>
        <v/>
      </c>
      <c r="CR47" s="82" t="str">
        <f>IFERROR(_xlfn.XLOOKUP([2]!BaseMaestraCeDi[[#This Row],[CeDi]], '[2]Potencial Hor x CeDi'!$B$6:$BU$6, '[2]Potencial Hor x CeDi'!$B$53:$BU$53), "")</f>
        <v/>
      </c>
      <c r="CS47" s="87" t="str">
        <f>IFERROR(_xlfn.XLOOKUP([2]!BaseMaestraCeDi[[#This Row],[CeDi]], '[2]Potencial Hor x CeDi'!$B$6:$BU$6, '[2]Potencial Hor x CeDi'!$B$60:$BU$60), "")</f>
        <v/>
      </c>
      <c r="CT47" s="90" t="str">
        <f>IFERROR(_xlfn.XLOOKUP([2]!BaseMaestraCeDi[[#This Row],[CeDi]], '[2]Potencial Hor x CeDi'!$B$6:$BU$6, '[2]Potencial Hor x CeDi'!$B$65:$BU$65), "")</f>
        <v/>
      </c>
      <c r="CU47" s="90" t="str">
        <f>IFERROR(_xlfn.XLOOKUP([2]!BaseMaestraCeDi[[#This Row],[CeDi]], '[2]Potencial Hor x CeDi'!$B$6:$BU$6, '[2]Potencial Hor x CeDi'!$B$68:$BU$68), "")</f>
        <v/>
      </c>
      <c r="CV47" s="95" t="str">
        <f>IFERROR(_xlfn.XLOOKUP([2]!BaseMaestraCeDi[[#This Row],[CeDi]], '[2]Potencial Hor x CeDi'!$B$6:$BU$6, '[2]Potencial Hor x CeDi'!$B$71:$BU$71), "")</f>
        <v/>
      </c>
    </row>
    <row r="48" spans="1:100">
      <c r="A48" s="112" t="s">
        <v>94</v>
      </c>
      <c r="B48" s="112" t="s">
        <v>510</v>
      </c>
      <c r="C48" s="112" t="s">
        <v>620</v>
      </c>
      <c r="D48" s="113">
        <v>14</v>
      </c>
      <c r="E48" s="114">
        <v>2026.4535846882575</v>
      </c>
      <c r="F48" s="115">
        <v>116.64148529270204</v>
      </c>
      <c r="G48" s="115">
        <v>2143.0950699809596</v>
      </c>
      <c r="H48" s="116">
        <v>7399.0832063301823</v>
      </c>
      <c r="I48" s="117">
        <v>12495.716238663363</v>
      </c>
      <c r="J48" s="117">
        <v>1949.8628808354697</v>
      </c>
      <c r="K48" s="117">
        <v>21844.662325829013</v>
      </c>
      <c r="L48" s="116">
        <v>44220.870105345937</v>
      </c>
      <c r="M48" s="118">
        <v>0.49398988020337875</v>
      </c>
      <c r="N48" s="119" t="s">
        <v>171</v>
      </c>
      <c r="O48" s="114">
        <v>90.503953414855786</v>
      </c>
      <c r="P48" s="115">
        <v>2</v>
      </c>
      <c r="Q48" s="115">
        <v>1</v>
      </c>
      <c r="R48" s="120">
        <v>17</v>
      </c>
      <c r="S48" s="119">
        <v>132</v>
      </c>
      <c r="T48" s="121">
        <v>0.96591256186276686</v>
      </c>
      <c r="U48" s="118">
        <v>3.4087438137233139E-2</v>
      </c>
      <c r="V48" s="118">
        <v>0.65705112861933057</v>
      </c>
      <c r="W48" s="118">
        <v>0.34235313623549551</v>
      </c>
      <c r="X48" s="118">
        <v>5.9573514517391284E-4</v>
      </c>
      <c r="Y48" s="116">
        <v>29055.372611246363</v>
      </c>
      <c r="Z48" s="117">
        <v>15139.153567627649</v>
      </c>
      <c r="AA48" s="117">
        <v>26.343926471925005</v>
      </c>
      <c r="AB48" s="117">
        <v>104663.91967164853</v>
      </c>
      <c r="AC48" s="113">
        <v>15</v>
      </c>
      <c r="AD48" s="122">
        <v>11</v>
      </c>
      <c r="AE48" s="113">
        <v>538289</v>
      </c>
      <c r="AF48" s="122">
        <v>222668</v>
      </c>
      <c r="AG48" s="123">
        <v>0.41365883382346658</v>
      </c>
      <c r="AH48" s="118">
        <v>0.44443503778800614</v>
      </c>
      <c r="AI48" s="113">
        <v>26903.543166638799</v>
      </c>
      <c r="AJ48" s="122">
        <v>13451.7715833194</v>
      </c>
      <c r="AK48" s="118">
        <v>0.43864870280336288</v>
      </c>
      <c r="AL48" s="116">
        <v>64085066.259999998</v>
      </c>
      <c r="AM48" s="117">
        <v>4376756.5857642619</v>
      </c>
      <c r="AN48" s="118">
        <v>6.8296045259706686E-2</v>
      </c>
      <c r="AO48" s="116">
        <v>3075558.6818884006</v>
      </c>
      <c r="AP48" s="118">
        <v>1.3991007492078742E-2</v>
      </c>
      <c r="AQ48" s="122">
        <v>18</v>
      </c>
      <c r="AR48" s="113">
        <v>11</v>
      </c>
      <c r="AS48" s="117">
        <v>5851177.8738146778</v>
      </c>
      <c r="AT48" s="116">
        <v>8926736.5557030775</v>
      </c>
      <c r="AU48" s="113">
        <v>18</v>
      </c>
      <c r="AV48" s="122">
        <v>1</v>
      </c>
      <c r="AW48" s="122">
        <v>1</v>
      </c>
      <c r="AX48" s="122">
        <v>13</v>
      </c>
      <c r="AY48" s="123">
        <v>5.5555555555555552E-2</v>
      </c>
      <c r="AZ48" s="122">
        <v>200642.27030148642</v>
      </c>
      <c r="BA48" s="114">
        <v>90.503953414855857</v>
      </c>
      <c r="BB48" s="118">
        <v>0.39033681811286808</v>
      </c>
      <c r="BC48" s="124">
        <v>472.60648658796288</v>
      </c>
      <c r="BD48" s="74" t="s">
        <v>1156</v>
      </c>
      <c r="BE48" s="88" t="str">
        <f>IFERROR(_xlfn.XLOOKUP([2]!BaseMaestraCeDi[[#This Row],[CeDi]], '[2]Potencial Hor x CeDi'!$B$6:$BU$6, '[2]Potencial Hor x CeDi'!$B$21:$BU$21) / 1000, "")</f>
        <v/>
      </c>
      <c r="BF48" s="89" t="str">
        <f>IFERROR(_xlfn.XLOOKUP([2]!BaseMaestraCeDi[[#This Row],[CeDi]], '[2]Potencial Hor x CeDi'!$B$6:$BU$6, '[2]Potencial Hor x CeDi'!$B$22:$BU$22) / 1000, "")</f>
        <v/>
      </c>
      <c r="BG48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48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48" s="78" t="str">
        <f>IFERROR(INDEX('[2]Potencial Hor SocioDem x CeDi'!$C$2:$AF$81, MATCH($C48,'[2]Potencial Hor SocioDem x CeDi'!$B$2:$B$81,0), MATCH(BI$4,'[2]Potencial Hor SocioDem x CeDi'!$C$1:$AF$1,0)), "")</f>
        <v/>
      </c>
      <c r="BJ48" s="78" t="str">
        <f>IFERROR(INDEX('[2]Potencial Hor SocioDem x CeDi'!$C$2:$AF$81, MATCH($C48,'[2]Potencial Hor SocioDem x CeDi'!$B$2:$B$81,0), MATCH(BJ$4,'[2]Potencial Hor SocioDem x CeDi'!$C$1:$AF$1,0)), "")</f>
        <v/>
      </c>
      <c r="BK48" s="78" t="str">
        <f>IFERROR(INDEX('[2]Potencial Hor SocioDem x CeDi'!$C$2:$AF$81, MATCH($C48,'[2]Potencial Hor SocioDem x CeDi'!$B$2:$B$81,0), MATCH(BK$4,'[2]Potencial Hor SocioDem x CeDi'!$C$1:$AF$1,0)), "")</f>
        <v/>
      </c>
      <c r="BL48" s="79" t="str">
        <f>IFERROR(INDEX('[2]Potencial Hor SocioDem x CeDi'!$C$2:$AF$81, MATCH($C48,'[2]Potencial Hor SocioDem x CeDi'!$B$2:$B$81,0), MATCH(BL$4,'[2]Potencial Hor SocioDem x CeDi'!$C$1:$AF$1,0)), "")</f>
        <v/>
      </c>
      <c r="BM48" s="79" t="str">
        <f>IFERROR(INDEX('[2]Potencial Hor SocioDem x CeDi'!$C$2:$AF$81, MATCH($C48,'[2]Potencial Hor SocioDem x CeDi'!$B$2:$B$81,0), MATCH(BM$4,'[2]Potencial Hor SocioDem x CeDi'!$C$1:$AF$1,0)), "")</f>
        <v/>
      </c>
      <c r="BN48" s="78" t="str">
        <f>IFERROR(INDEX('[2]Potencial Hor SocioDem x CeDi'!$C$2:$AF$81, MATCH($C48,'[2]Potencial Hor SocioDem x CeDi'!$B$2:$B$81,0), MATCH(BN$4,'[2]Potencial Hor SocioDem x CeDi'!$C$1:$AF$1,0)), "")</f>
        <v/>
      </c>
      <c r="BO48" s="78" t="str">
        <f>IFERROR(INDEX('[2]Potencial Hor SocioDem x CeDi'!$C$2:$AF$81, MATCH($C48,'[2]Potencial Hor SocioDem x CeDi'!$B$2:$B$81,0), MATCH(BO$4,'[2]Potencial Hor SocioDem x CeDi'!$C$1:$AF$1,0)), "")</f>
        <v/>
      </c>
      <c r="BP48" s="78" t="str">
        <f>IFERROR(INDEX('[2]Potencial Hor SocioDem x CeDi'!$C$2:$AF$81, MATCH($C48,'[2]Potencial Hor SocioDem x CeDi'!$B$2:$B$81,0), MATCH(BP$4,'[2]Potencial Hor SocioDem x CeDi'!$C$1:$AF$1,0)), "")</f>
        <v/>
      </c>
      <c r="BQ48" s="80" t="str">
        <f>IFERROR(INDEX('[2]Potencial Hor SocioDem x CeDi'!$C$2:$AF$81, MATCH($C48,'[2]Potencial Hor SocioDem x CeDi'!$B$2:$B$81,0), MATCH(BQ$4,'[2]Potencial Hor SocioDem x CeDi'!$C$1:$AF$1,0)), "")</f>
        <v/>
      </c>
      <c r="BR48" s="80" t="str">
        <f>IFERROR(INDEX('[2]Potencial Hor SocioDem x CeDi'!$C$2:$AF$81, MATCH($C48,'[2]Potencial Hor SocioDem x CeDi'!$B$2:$B$81,0), MATCH(BR$4,'[2]Potencial Hor SocioDem x CeDi'!$C$1:$AF$1,0)), "")</f>
        <v/>
      </c>
      <c r="BS48" s="80" t="str">
        <f>IFERROR(INDEX('[2]Potencial Hor SocioDem x CeDi'!$C$2:$AF$81, MATCH($C48,'[2]Potencial Hor SocioDem x CeDi'!$B$2:$B$81,0), MATCH(BS$4,'[2]Potencial Hor SocioDem x CeDi'!$C$1:$AF$1,0)), "")</f>
        <v/>
      </c>
      <c r="BT48" s="80" t="str">
        <f>IFERROR(INDEX('[2]Potencial Hor SocioDem x CeDi'!$C$2:$AF$81, MATCH($C48,'[2]Potencial Hor SocioDem x CeDi'!$B$2:$B$81,0), MATCH(BT$4,'[2]Potencial Hor SocioDem x CeDi'!$C$1:$AF$1,0)), "")</f>
        <v/>
      </c>
      <c r="BU48" s="80" t="str">
        <f>IFERROR(INDEX('[2]Potencial Hor SocioDem x CeDi'!$C$2:$AF$81, MATCH($C48,'[2]Potencial Hor SocioDem x CeDi'!$B$2:$B$81,0), MATCH(BU$4,'[2]Potencial Hor SocioDem x CeDi'!$C$1:$AF$1,0)), "")</f>
        <v/>
      </c>
      <c r="BV48" s="80" t="str">
        <f>IFERROR(INDEX('[2]Potencial Hor SocioDem x CeDi'!$C$2:$AF$81, MATCH($C48,'[2]Potencial Hor SocioDem x CeDi'!$B$2:$B$81,0), MATCH(BV$4,'[2]Potencial Hor SocioDem x CeDi'!$C$1:$AF$1,0)), "")</f>
        <v/>
      </c>
      <c r="BW48" s="80" t="str">
        <f>IFERROR(INDEX('[2]Potencial Hor SocioDem x CeDi'!$C$2:$AF$81, MATCH($C48,'[2]Potencial Hor SocioDem x CeDi'!$B$2:$B$81,0), MATCH(BW$4,'[2]Potencial Hor SocioDem x CeDi'!$C$1:$AF$1,0)), "")</f>
        <v/>
      </c>
      <c r="BX48" s="80" t="str">
        <f>IFERROR(INDEX('[2]Potencial Hor SocioDem x CeDi'!$C$2:$AF$81, MATCH($C48,'[2]Potencial Hor SocioDem x CeDi'!$B$2:$B$81,0), MATCH(BX$4,'[2]Potencial Hor SocioDem x CeDi'!$C$1:$AF$1,0)), "")</f>
        <v/>
      </c>
      <c r="BY48" s="80" t="str">
        <f>IFERROR(INDEX('[2]Potencial Hor SocioDem x CeDi'!$C$2:$AF$81, MATCH($C48,'[2]Potencial Hor SocioDem x CeDi'!$B$2:$B$81,0), MATCH(BY$4,'[2]Potencial Hor SocioDem x CeDi'!$C$1:$AF$1,0)), "")</f>
        <v/>
      </c>
      <c r="BZ48" s="79" t="str">
        <f>IFERROR(INDEX('[2]Potencial Hor SocioDem x CeDi'!$C$2:$AF$81, MATCH($C48,'[2]Potencial Hor SocioDem x CeDi'!$B$2:$B$81,0), MATCH(BZ$4,'[2]Potencial Hor SocioDem x CeDi'!$C$1:$AF$1,0)), "")</f>
        <v/>
      </c>
      <c r="CA48" s="79" t="str">
        <f>IFERROR(INDEX('[2]Potencial Hor SocioDem x CeDi'!$C$2:$AF$81, MATCH($C48,'[2]Potencial Hor SocioDem x CeDi'!$B$2:$B$81,0), MATCH(CA$4,'[2]Potencial Hor SocioDem x CeDi'!$C$1:$AF$1,0)), "")</f>
        <v/>
      </c>
      <c r="CB48" s="81" t="str">
        <f>IFERROR(INDEX('[2]Potencial Hor SocioDem x CeDi'!$C$2:$AF$81, MATCH($C48,'[2]Potencial Hor SocioDem x CeDi'!$B$2:$B$81,0), MATCH(CB$4,'[2]Potencial Hor SocioDem x CeDi'!$C$1:$AF$1,0)), "")</f>
        <v/>
      </c>
      <c r="CC48" s="82" t="str">
        <f>IFERROR(INDEX('[2]Potencial Hor SocioDem x CeDi'!$C$2:$AF$81, MATCH($C48,'[2]Potencial Hor SocioDem x CeDi'!$B$2:$B$81,0), MATCH(CC$4,'[2]Potencial Hor SocioDem x CeDi'!$C$1:$AF$1,0)), "")</f>
        <v/>
      </c>
      <c r="CD48" s="83" t="str">
        <f>IFERROR(INDEX('[2]Potencial Hor SocioDem x CeDi'!$C$2:$AF$81, MATCH($C48,'[2]Potencial Hor SocioDem x CeDi'!$B$2:$B$81,0), MATCH(CD$4,'[2]Potencial Hor SocioDem x CeDi'!$C$1:$AF$1,0)), "")</f>
        <v/>
      </c>
      <c r="CE48" s="78" t="str">
        <f>IFERROR(_xlfn.XLOOKUP([2]!BaseMaestraCeDi[[#This Row],[CeDi]], '[2]Potencial Hor x CeDi'!$B$6:$BU$6, '[2]Potencial Hor x CeDi'!$B$50:$BU$50), "")</f>
        <v/>
      </c>
      <c r="CF48" s="90" t="str">
        <f>IFERROR(_xlfn.XLOOKUP([2]!BaseMaestraCeDi[[#This Row],[CeDi]], '[2]Potencial Hor x CeDi'!$B$6:$BU$6, '[2]Potencial Hor x CeDi'!$B$34:$BU$34), "")</f>
        <v/>
      </c>
      <c r="CG48" s="90" t="str">
        <f>IFERROR(_xlfn.XLOOKUP([2]!BaseMaestraCeDi[[#This Row],[CeDi]], '[2]Potencial Hor x CeDi'!$B$6:$BU$6, '[2]Potencial Hor x CeDi'!$B$64:$BU$64), "")</f>
        <v/>
      </c>
      <c r="CH48" s="91" t="str">
        <f>IFERROR(_xlfn.XLOOKUP([2]!BaseMaestraCeDi[[#This Row],[CeDi]], '[2]Potencial Hor x CeDi'!$B$6:$BU$6, '[2]Potencial Hor x CeDi'!$B$38:$BU$38), "")</f>
        <v/>
      </c>
      <c r="CI48" s="90" t="str">
        <f>IFERROR(_xlfn.XLOOKUP([2]!BaseMaestraCeDi[[#This Row],[CeDi]], '[2]Potencial Hor x CeDi'!$B$6:$BU$6, '[2]Potencial Hor x CeDi'!$B$26:$BU$26), "")</f>
        <v/>
      </c>
      <c r="CJ48" s="92" t="str">
        <f>IFERROR(_xlfn.XLOOKUP([2]!BaseMaestraCeDi[[#This Row],[CeDi]], '[2]Potencial Hor x CeDi'!$B$6:$BU$6, '[2]Potencial Hor x CeDi'!$B$27:$BU$27), "")</f>
        <v/>
      </c>
      <c r="CK48" s="90" t="str">
        <f>IFERROR(_xlfn.XLOOKUP([2]!BaseMaestraCeDi[[#This Row],[CeDi]], '[2]Potencial Hor x CeDi'!$B$6:$BU$6, '[2]Potencial Hor x CeDi'!$B$28:$BU$28), "")</f>
        <v/>
      </c>
      <c r="CL48" s="92" t="str">
        <f>IFERROR(_xlfn.XLOOKUP([2]!BaseMaestraCeDi[[#This Row],[CeDi]], '[2]Potencial Hor x CeDi'!$B$6:$BU$6, '[2]Potencial Hor x CeDi'!$B$29:$BU$29), "")</f>
        <v/>
      </c>
      <c r="CM48" s="93" t="str">
        <f>IFERROR(_xlfn.XLOOKUP([2]!BaseMaestraCeDi[[#This Row],[CeDi]], '[2]Potencial Hor x CeDi'!$B$6:$BU$6, '[2]Potencial Hor x CeDi'!$B$39:$BU$39), "")</f>
        <v/>
      </c>
      <c r="CN48" s="94" t="str">
        <f>IFERROR(_xlfn.XLOOKUP([2]!BaseMaestraCeDi[[#This Row],[CeDi]], '[2]Potencial Hor x CeDi'!$B$6:$BU$6, '[2]Potencial Hor x CeDi'!$B$43:$BU$43), "")</f>
        <v/>
      </c>
      <c r="CO48" s="94" t="str">
        <f>IFERROR(_xlfn.XLOOKUP([2]!BaseMaestraCeDi[[#This Row],[CeDi]], '[2]Potencial Hor x CeDi'!$B$6:$BU$6, '[2]Potencial Hor x CeDi'!$B$46:$BU$46), "")</f>
        <v/>
      </c>
      <c r="CP48" s="86" t="str">
        <f>IFERROR(_xlfn.XLOOKUP([2]!BaseMaestraCeDi[[#This Row],[CeDi]], '[2]Potencial Hor x CeDi'!$B$6:$BU$6, '[2]Potencial Hor x CeDi'!$B$51:$BU$51), "")</f>
        <v/>
      </c>
      <c r="CQ48" s="82" t="str">
        <f>IFERROR(_xlfn.XLOOKUP([2]!BaseMaestraCeDi[[#This Row],[CeDi]], '[2]Potencial Hor x CeDi'!$B$6:$BU$6, '[2]Potencial Hor x CeDi'!$B$52:$BU$52), "")</f>
        <v/>
      </c>
      <c r="CR48" s="82" t="str">
        <f>IFERROR(_xlfn.XLOOKUP([2]!BaseMaestraCeDi[[#This Row],[CeDi]], '[2]Potencial Hor x CeDi'!$B$6:$BU$6, '[2]Potencial Hor x CeDi'!$B$53:$BU$53), "")</f>
        <v/>
      </c>
      <c r="CS48" s="87" t="str">
        <f>IFERROR(_xlfn.XLOOKUP([2]!BaseMaestraCeDi[[#This Row],[CeDi]], '[2]Potencial Hor x CeDi'!$B$6:$BU$6, '[2]Potencial Hor x CeDi'!$B$60:$BU$60), "")</f>
        <v/>
      </c>
      <c r="CT48" s="90" t="str">
        <f>IFERROR(_xlfn.XLOOKUP([2]!BaseMaestraCeDi[[#This Row],[CeDi]], '[2]Potencial Hor x CeDi'!$B$6:$BU$6, '[2]Potencial Hor x CeDi'!$B$65:$BU$65), "")</f>
        <v/>
      </c>
      <c r="CU48" s="90" t="str">
        <f>IFERROR(_xlfn.XLOOKUP([2]!BaseMaestraCeDi[[#This Row],[CeDi]], '[2]Potencial Hor x CeDi'!$B$6:$BU$6, '[2]Potencial Hor x CeDi'!$B$68:$BU$68), "")</f>
        <v/>
      </c>
      <c r="CV48" s="95" t="str">
        <f>IFERROR(_xlfn.XLOOKUP([2]!BaseMaestraCeDi[[#This Row],[CeDi]], '[2]Potencial Hor x CeDi'!$B$6:$BU$6, '[2]Potencial Hor x CeDi'!$B$71:$BU$71), "")</f>
        <v/>
      </c>
    </row>
    <row r="49" spans="1:100">
      <c r="A49" s="100" t="s">
        <v>94</v>
      </c>
      <c r="B49" s="100" t="s">
        <v>549</v>
      </c>
      <c r="C49" s="100" t="s">
        <v>639</v>
      </c>
      <c r="D49" s="101">
        <v>59</v>
      </c>
      <c r="E49" s="102">
        <v>8056.20165310834</v>
      </c>
      <c r="F49" s="103">
        <v>457.60018812825166</v>
      </c>
      <c r="G49" s="103">
        <v>8513.8018412365909</v>
      </c>
      <c r="H49" s="104">
        <v>23123.721873054252</v>
      </c>
      <c r="I49" s="105">
        <v>37603.72958907103</v>
      </c>
      <c r="J49" s="105">
        <v>8068.5083984801095</v>
      </c>
      <c r="K49" s="105">
        <v>68795.959860605391</v>
      </c>
      <c r="L49" s="104">
        <v>183854.08285339901</v>
      </c>
      <c r="M49" s="106">
        <v>0.37418782761251868</v>
      </c>
      <c r="N49" s="107" t="s">
        <v>171</v>
      </c>
      <c r="O49" s="102">
        <v>91.101473237731156</v>
      </c>
      <c r="P49" s="103">
        <v>2</v>
      </c>
      <c r="Q49" s="103">
        <v>1</v>
      </c>
      <c r="R49" s="108">
        <v>63</v>
      </c>
      <c r="S49" s="107">
        <v>468</v>
      </c>
      <c r="T49" s="125">
        <v>0.95144697197187944</v>
      </c>
      <c r="U49" s="106">
        <v>4.855302802812056E-2</v>
      </c>
      <c r="V49" s="106">
        <v>0.63334172917575082</v>
      </c>
      <c r="W49" s="106">
        <v>0.36200702237695737</v>
      </c>
      <c r="X49" s="106">
        <v>4.6512484472918825E-3</v>
      </c>
      <c r="Y49" s="104">
        <v>116442.46275039349</v>
      </c>
      <c r="Z49" s="105">
        <v>66556.469085605393</v>
      </c>
      <c r="AA49" s="105">
        <v>855.15101740014529</v>
      </c>
      <c r="AB49" s="105">
        <v>88718.548323059425</v>
      </c>
      <c r="AC49" s="101">
        <v>60</v>
      </c>
      <c r="AD49" s="109">
        <v>45</v>
      </c>
      <c r="AE49" s="101">
        <v>2269338</v>
      </c>
      <c r="AF49" s="109">
        <v>1034091</v>
      </c>
      <c r="AG49" s="110">
        <v>0.45567958585279056</v>
      </c>
      <c r="AH49" s="106">
        <v>0.50214093649930192</v>
      </c>
      <c r="AI49" s="101">
        <v>128219.19858973537</v>
      </c>
      <c r="AJ49" s="109">
        <v>64109.599294867687</v>
      </c>
      <c r="AK49" s="106">
        <v>0.48392993872876916</v>
      </c>
      <c r="AL49" s="104">
        <v>268612952.50000006</v>
      </c>
      <c r="AM49" s="105">
        <v>19628828.3672585</v>
      </c>
      <c r="AN49" s="106">
        <v>7.3074764952961446E-2</v>
      </c>
      <c r="AO49" s="104">
        <v>13793230.744560027</v>
      </c>
      <c r="AP49" s="106">
        <v>6.2746711946533001E-2</v>
      </c>
      <c r="AQ49" s="109">
        <v>6</v>
      </c>
      <c r="AR49" s="101">
        <v>45</v>
      </c>
      <c r="AS49" s="105">
        <v>26774763.716367971</v>
      </c>
      <c r="AT49" s="104">
        <v>40567994.460928001</v>
      </c>
      <c r="AU49" s="101">
        <v>63</v>
      </c>
      <c r="AV49" s="109">
        <v>2</v>
      </c>
      <c r="AW49" s="109">
        <v>12</v>
      </c>
      <c r="AX49" s="109">
        <v>46</v>
      </c>
      <c r="AY49" s="110">
        <v>3.1746031746031744E-2</v>
      </c>
      <c r="AZ49" s="109">
        <v>282613.81724146602</v>
      </c>
      <c r="BA49" s="102">
        <v>91.101473237731199</v>
      </c>
      <c r="BB49" s="106">
        <v>0.44014684705619039</v>
      </c>
      <c r="BC49" s="111">
        <v>481.49575172114822</v>
      </c>
      <c r="BD49" s="74" t="s">
        <v>1157</v>
      </c>
      <c r="BE49" s="88" t="str">
        <f>IFERROR(_xlfn.XLOOKUP([2]!BaseMaestraCeDi[[#This Row],[CeDi]], '[2]Potencial Hor x CeDi'!$B$6:$BU$6, '[2]Potencial Hor x CeDi'!$B$21:$BU$21) / 1000, "")</f>
        <v/>
      </c>
      <c r="BF49" s="89" t="str">
        <f>IFERROR(_xlfn.XLOOKUP([2]!BaseMaestraCeDi[[#This Row],[CeDi]], '[2]Potencial Hor x CeDi'!$B$6:$BU$6, '[2]Potencial Hor x CeDi'!$B$22:$BU$22) / 1000, "")</f>
        <v/>
      </c>
      <c r="BG49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49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49" s="78" t="str">
        <f>IFERROR(INDEX('[2]Potencial Hor SocioDem x CeDi'!$C$2:$AF$81, MATCH($C49,'[2]Potencial Hor SocioDem x CeDi'!$B$2:$B$81,0), MATCH(BI$4,'[2]Potencial Hor SocioDem x CeDi'!$C$1:$AF$1,0)), "")</f>
        <v/>
      </c>
      <c r="BJ49" s="78" t="str">
        <f>IFERROR(INDEX('[2]Potencial Hor SocioDem x CeDi'!$C$2:$AF$81, MATCH($C49,'[2]Potencial Hor SocioDem x CeDi'!$B$2:$B$81,0), MATCH(BJ$4,'[2]Potencial Hor SocioDem x CeDi'!$C$1:$AF$1,0)), "")</f>
        <v/>
      </c>
      <c r="BK49" s="78" t="str">
        <f>IFERROR(INDEX('[2]Potencial Hor SocioDem x CeDi'!$C$2:$AF$81, MATCH($C49,'[2]Potencial Hor SocioDem x CeDi'!$B$2:$B$81,0), MATCH(BK$4,'[2]Potencial Hor SocioDem x CeDi'!$C$1:$AF$1,0)), "")</f>
        <v/>
      </c>
      <c r="BL49" s="79" t="str">
        <f>IFERROR(INDEX('[2]Potencial Hor SocioDem x CeDi'!$C$2:$AF$81, MATCH($C49,'[2]Potencial Hor SocioDem x CeDi'!$B$2:$B$81,0), MATCH(BL$4,'[2]Potencial Hor SocioDem x CeDi'!$C$1:$AF$1,0)), "")</f>
        <v/>
      </c>
      <c r="BM49" s="79" t="str">
        <f>IFERROR(INDEX('[2]Potencial Hor SocioDem x CeDi'!$C$2:$AF$81, MATCH($C49,'[2]Potencial Hor SocioDem x CeDi'!$B$2:$B$81,0), MATCH(BM$4,'[2]Potencial Hor SocioDem x CeDi'!$C$1:$AF$1,0)), "")</f>
        <v/>
      </c>
      <c r="BN49" s="78" t="str">
        <f>IFERROR(INDEX('[2]Potencial Hor SocioDem x CeDi'!$C$2:$AF$81, MATCH($C49,'[2]Potencial Hor SocioDem x CeDi'!$B$2:$B$81,0), MATCH(BN$4,'[2]Potencial Hor SocioDem x CeDi'!$C$1:$AF$1,0)), "")</f>
        <v/>
      </c>
      <c r="BO49" s="78" t="str">
        <f>IFERROR(INDEX('[2]Potencial Hor SocioDem x CeDi'!$C$2:$AF$81, MATCH($C49,'[2]Potencial Hor SocioDem x CeDi'!$B$2:$B$81,0), MATCH(BO$4,'[2]Potencial Hor SocioDem x CeDi'!$C$1:$AF$1,0)), "")</f>
        <v/>
      </c>
      <c r="BP49" s="78" t="str">
        <f>IFERROR(INDEX('[2]Potencial Hor SocioDem x CeDi'!$C$2:$AF$81, MATCH($C49,'[2]Potencial Hor SocioDem x CeDi'!$B$2:$B$81,0), MATCH(BP$4,'[2]Potencial Hor SocioDem x CeDi'!$C$1:$AF$1,0)), "")</f>
        <v/>
      </c>
      <c r="BQ49" s="80" t="str">
        <f>IFERROR(INDEX('[2]Potencial Hor SocioDem x CeDi'!$C$2:$AF$81, MATCH($C49,'[2]Potencial Hor SocioDem x CeDi'!$B$2:$B$81,0), MATCH(BQ$4,'[2]Potencial Hor SocioDem x CeDi'!$C$1:$AF$1,0)), "")</f>
        <v/>
      </c>
      <c r="BR49" s="80" t="str">
        <f>IFERROR(INDEX('[2]Potencial Hor SocioDem x CeDi'!$C$2:$AF$81, MATCH($C49,'[2]Potencial Hor SocioDem x CeDi'!$B$2:$B$81,0), MATCH(BR$4,'[2]Potencial Hor SocioDem x CeDi'!$C$1:$AF$1,0)), "")</f>
        <v/>
      </c>
      <c r="BS49" s="80" t="str">
        <f>IFERROR(INDEX('[2]Potencial Hor SocioDem x CeDi'!$C$2:$AF$81, MATCH($C49,'[2]Potencial Hor SocioDem x CeDi'!$B$2:$B$81,0), MATCH(BS$4,'[2]Potencial Hor SocioDem x CeDi'!$C$1:$AF$1,0)), "")</f>
        <v/>
      </c>
      <c r="BT49" s="80" t="str">
        <f>IFERROR(INDEX('[2]Potencial Hor SocioDem x CeDi'!$C$2:$AF$81, MATCH($C49,'[2]Potencial Hor SocioDem x CeDi'!$B$2:$B$81,0), MATCH(BT$4,'[2]Potencial Hor SocioDem x CeDi'!$C$1:$AF$1,0)), "")</f>
        <v/>
      </c>
      <c r="BU49" s="80" t="str">
        <f>IFERROR(INDEX('[2]Potencial Hor SocioDem x CeDi'!$C$2:$AF$81, MATCH($C49,'[2]Potencial Hor SocioDem x CeDi'!$B$2:$B$81,0), MATCH(BU$4,'[2]Potencial Hor SocioDem x CeDi'!$C$1:$AF$1,0)), "")</f>
        <v/>
      </c>
      <c r="BV49" s="80" t="str">
        <f>IFERROR(INDEX('[2]Potencial Hor SocioDem x CeDi'!$C$2:$AF$81, MATCH($C49,'[2]Potencial Hor SocioDem x CeDi'!$B$2:$B$81,0), MATCH(BV$4,'[2]Potencial Hor SocioDem x CeDi'!$C$1:$AF$1,0)), "")</f>
        <v/>
      </c>
      <c r="BW49" s="80" t="str">
        <f>IFERROR(INDEX('[2]Potencial Hor SocioDem x CeDi'!$C$2:$AF$81, MATCH($C49,'[2]Potencial Hor SocioDem x CeDi'!$B$2:$B$81,0), MATCH(BW$4,'[2]Potencial Hor SocioDem x CeDi'!$C$1:$AF$1,0)), "")</f>
        <v/>
      </c>
      <c r="BX49" s="80" t="str">
        <f>IFERROR(INDEX('[2]Potencial Hor SocioDem x CeDi'!$C$2:$AF$81, MATCH($C49,'[2]Potencial Hor SocioDem x CeDi'!$B$2:$B$81,0), MATCH(BX$4,'[2]Potencial Hor SocioDem x CeDi'!$C$1:$AF$1,0)), "")</f>
        <v/>
      </c>
      <c r="BY49" s="80" t="str">
        <f>IFERROR(INDEX('[2]Potencial Hor SocioDem x CeDi'!$C$2:$AF$81, MATCH($C49,'[2]Potencial Hor SocioDem x CeDi'!$B$2:$B$81,0), MATCH(BY$4,'[2]Potencial Hor SocioDem x CeDi'!$C$1:$AF$1,0)), "")</f>
        <v/>
      </c>
      <c r="BZ49" s="79" t="str">
        <f>IFERROR(INDEX('[2]Potencial Hor SocioDem x CeDi'!$C$2:$AF$81, MATCH($C49,'[2]Potencial Hor SocioDem x CeDi'!$B$2:$B$81,0), MATCH(BZ$4,'[2]Potencial Hor SocioDem x CeDi'!$C$1:$AF$1,0)), "")</f>
        <v/>
      </c>
      <c r="CA49" s="79" t="str">
        <f>IFERROR(INDEX('[2]Potencial Hor SocioDem x CeDi'!$C$2:$AF$81, MATCH($C49,'[2]Potencial Hor SocioDem x CeDi'!$B$2:$B$81,0), MATCH(CA$4,'[2]Potencial Hor SocioDem x CeDi'!$C$1:$AF$1,0)), "")</f>
        <v/>
      </c>
      <c r="CB49" s="81" t="str">
        <f>IFERROR(INDEX('[2]Potencial Hor SocioDem x CeDi'!$C$2:$AF$81, MATCH($C49,'[2]Potencial Hor SocioDem x CeDi'!$B$2:$B$81,0), MATCH(CB$4,'[2]Potencial Hor SocioDem x CeDi'!$C$1:$AF$1,0)), "")</f>
        <v/>
      </c>
      <c r="CC49" s="82" t="str">
        <f>IFERROR(INDEX('[2]Potencial Hor SocioDem x CeDi'!$C$2:$AF$81, MATCH($C49,'[2]Potencial Hor SocioDem x CeDi'!$B$2:$B$81,0), MATCH(CC$4,'[2]Potencial Hor SocioDem x CeDi'!$C$1:$AF$1,0)), "")</f>
        <v/>
      </c>
      <c r="CD49" s="83" t="str">
        <f>IFERROR(INDEX('[2]Potencial Hor SocioDem x CeDi'!$C$2:$AF$81, MATCH($C49,'[2]Potencial Hor SocioDem x CeDi'!$B$2:$B$81,0), MATCH(CD$4,'[2]Potencial Hor SocioDem x CeDi'!$C$1:$AF$1,0)), "")</f>
        <v/>
      </c>
      <c r="CE49" s="78" t="str">
        <f>IFERROR(_xlfn.XLOOKUP([2]!BaseMaestraCeDi[[#This Row],[CeDi]], '[2]Potencial Hor x CeDi'!$B$6:$BU$6, '[2]Potencial Hor x CeDi'!$B$50:$BU$50), "")</f>
        <v/>
      </c>
      <c r="CF49" s="90" t="str">
        <f>IFERROR(_xlfn.XLOOKUP([2]!BaseMaestraCeDi[[#This Row],[CeDi]], '[2]Potencial Hor x CeDi'!$B$6:$BU$6, '[2]Potencial Hor x CeDi'!$B$34:$BU$34), "")</f>
        <v/>
      </c>
      <c r="CG49" s="90" t="str">
        <f>IFERROR(_xlfn.XLOOKUP([2]!BaseMaestraCeDi[[#This Row],[CeDi]], '[2]Potencial Hor x CeDi'!$B$6:$BU$6, '[2]Potencial Hor x CeDi'!$B$64:$BU$64), "")</f>
        <v/>
      </c>
      <c r="CH49" s="91" t="str">
        <f>IFERROR(_xlfn.XLOOKUP([2]!BaseMaestraCeDi[[#This Row],[CeDi]], '[2]Potencial Hor x CeDi'!$B$6:$BU$6, '[2]Potencial Hor x CeDi'!$B$38:$BU$38), "")</f>
        <v/>
      </c>
      <c r="CI49" s="90" t="str">
        <f>IFERROR(_xlfn.XLOOKUP([2]!BaseMaestraCeDi[[#This Row],[CeDi]], '[2]Potencial Hor x CeDi'!$B$6:$BU$6, '[2]Potencial Hor x CeDi'!$B$26:$BU$26), "")</f>
        <v/>
      </c>
      <c r="CJ49" s="92" t="str">
        <f>IFERROR(_xlfn.XLOOKUP([2]!BaseMaestraCeDi[[#This Row],[CeDi]], '[2]Potencial Hor x CeDi'!$B$6:$BU$6, '[2]Potencial Hor x CeDi'!$B$27:$BU$27), "")</f>
        <v/>
      </c>
      <c r="CK49" s="90" t="str">
        <f>IFERROR(_xlfn.XLOOKUP([2]!BaseMaestraCeDi[[#This Row],[CeDi]], '[2]Potencial Hor x CeDi'!$B$6:$BU$6, '[2]Potencial Hor x CeDi'!$B$28:$BU$28), "")</f>
        <v/>
      </c>
      <c r="CL49" s="92" t="str">
        <f>IFERROR(_xlfn.XLOOKUP([2]!BaseMaestraCeDi[[#This Row],[CeDi]], '[2]Potencial Hor x CeDi'!$B$6:$BU$6, '[2]Potencial Hor x CeDi'!$B$29:$BU$29), "")</f>
        <v/>
      </c>
      <c r="CM49" s="93" t="str">
        <f>IFERROR(_xlfn.XLOOKUP([2]!BaseMaestraCeDi[[#This Row],[CeDi]], '[2]Potencial Hor x CeDi'!$B$6:$BU$6, '[2]Potencial Hor x CeDi'!$B$39:$BU$39), "")</f>
        <v/>
      </c>
      <c r="CN49" s="94" t="str">
        <f>IFERROR(_xlfn.XLOOKUP([2]!BaseMaestraCeDi[[#This Row],[CeDi]], '[2]Potencial Hor x CeDi'!$B$6:$BU$6, '[2]Potencial Hor x CeDi'!$B$43:$BU$43), "")</f>
        <v/>
      </c>
      <c r="CO49" s="94" t="str">
        <f>IFERROR(_xlfn.XLOOKUP([2]!BaseMaestraCeDi[[#This Row],[CeDi]], '[2]Potencial Hor x CeDi'!$B$6:$BU$6, '[2]Potencial Hor x CeDi'!$B$46:$BU$46), "")</f>
        <v/>
      </c>
      <c r="CP49" s="86" t="str">
        <f>IFERROR(_xlfn.XLOOKUP([2]!BaseMaestraCeDi[[#This Row],[CeDi]], '[2]Potencial Hor x CeDi'!$B$6:$BU$6, '[2]Potencial Hor x CeDi'!$B$51:$BU$51), "")</f>
        <v/>
      </c>
      <c r="CQ49" s="82" t="str">
        <f>IFERROR(_xlfn.XLOOKUP([2]!BaseMaestraCeDi[[#This Row],[CeDi]], '[2]Potencial Hor x CeDi'!$B$6:$BU$6, '[2]Potencial Hor x CeDi'!$B$52:$BU$52), "")</f>
        <v/>
      </c>
      <c r="CR49" s="82" t="str">
        <f>IFERROR(_xlfn.XLOOKUP([2]!BaseMaestraCeDi[[#This Row],[CeDi]], '[2]Potencial Hor x CeDi'!$B$6:$BU$6, '[2]Potencial Hor x CeDi'!$B$53:$BU$53), "")</f>
        <v/>
      </c>
      <c r="CS49" s="87" t="str">
        <f>IFERROR(_xlfn.XLOOKUP([2]!BaseMaestraCeDi[[#This Row],[CeDi]], '[2]Potencial Hor x CeDi'!$B$6:$BU$6, '[2]Potencial Hor x CeDi'!$B$60:$BU$60), "")</f>
        <v/>
      </c>
      <c r="CT49" s="90" t="str">
        <f>IFERROR(_xlfn.XLOOKUP([2]!BaseMaestraCeDi[[#This Row],[CeDi]], '[2]Potencial Hor x CeDi'!$B$6:$BU$6, '[2]Potencial Hor x CeDi'!$B$65:$BU$65), "")</f>
        <v/>
      </c>
      <c r="CU49" s="90" t="str">
        <f>IFERROR(_xlfn.XLOOKUP([2]!BaseMaestraCeDi[[#This Row],[CeDi]], '[2]Potencial Hor x CeDi'!$B$6:$BU$6, '[2]Potencial Hor x CeDi'!$B$68:$BU$68), "")</f>
        <v/>
      </c>
      <c r="CV49" s="95" t="str">
        <f>IFERROR(_xlfn.XLOOKUP([2]!BaseMaestraCeDi[[#This Row],[CeDi]], '[2]Potencial Hor x CeDi'!$B$6:$BU$6, '[2]Potencial Hor x CeDi'!$B$71:$BU$71), "")</f>
        <v/>
      </c>
    </row>
    <row r="50" spans="1:100">
      <c r="A50" s="112" t="s">
        <v>94</v>
      </c>
      <c r="B50" s="112" t="s">
        <v>549</v>
      </c>
      <c r="C50" s="112" t="s">
        <v>703</v>
      </c>
      <c r="D50" s="113">
        <v>29</v>
      </c>
      <c r="E50" s="114">
        <v>3898.9313290399286</v>
      </c>
      <c r="F50" s="115">
        <v>221.46313939143056</v>
      </c>
      <c r="G50" s="115">
        <v>4120.3944684313592</v>
      </c>
      <c r="H50" s="116">
        <v>11191.105627311515</v>
      </c>
      <c r="I50" s="117">
        <v>18476.29358023782</v>
      </c>
      <c r="J50" s="117">
        <v>3965.8770094224269</v>
      </c>
      <c r="K50" s="117">
        <v>33633.276216971761</v>
      </c>
      <c r="L50" s="116">
        <v>83121.087957776603</v>
      </c>
      <c r="M50" s="118">
        <v>0.40462988446513848</v>
      </c>
      <c r="N50" s="119" t="s">
        <v>171</v>
      </c>
      <c r="O50" s="114">
        <v>83.251802491144659</v>
      </c>
      <c r="P50" s="115">
        <v>2</v>
      </c>
      <c r="Q50" s="115">
        <v>1</v>
      </c>
      <c r="R50" s="120">
        <v>28</v>
      </c>
      <c r="S50" s="119">
        <v>204</v>
      </c>
      <c r="T50" s="121">
        <v>0.95424540313785555</v>
      </c>
      <c r="U50" s="118">
        <v>4.5754596862144448E-2</v>
      </c>
      <c r="V50" s="118">
        <v>0.67775964975104408</v>
      </c>
      <c r="W50" s="118">
        <v>0.32143845771569479</v>
      </c>
      <c r="X50" s="118">
        <v>8.0189253326117904E-4</v>
      </c>
      <c r="Y50" s="116">
        <v>56336.119461188398</v>
      </c>
      <c r="Z50" s="117">
        <v>26718.314316798322</v>
      </c>
      <c r="AA50" s="117">
        <v>66.654179789886769</v>
      </c>
      <c r="AB50" s="117">
        <v>74508.257105178942</v>
      </c>
      <c r="AC50" s="113">
        <v>41</v>
      </c>
      <c r="AD50" s="122">
        <v>28</v>
      </c>
      <c r="AE50" s="113">
        <v>1001219</v>
      </c>
      <c r="AF50" s="122">
        <v>437269</v>
      </c>
      <c r="AG50" s="123">
        <v>0.43673661806258174</v>
      </c>
      <c r="AH50" s="118">
        <v>0.50225307463674573</v>
      </c>
      <c r="AI50" s="113">
        <v>87202.748277326958</v>
      </c>
      <c r="AJ50" s="122">
        <v>43601.374138663479</v>
      </c>
      <c r="AK50" s="118">
        <v>0.48028490683722891</v>
      </c>
      <c r="AL50" s="116">
        <v>121825847.53999998</v>
      </c>
      <c r="AM50" s="117">
        <v>16296101.921913024</v>
      </c>
      <c r="AN50" s="118">
        <v>0.13376555345992897</v>
      </c>
      <c r="AO50" s="116">
        <v>11451314.864046991</v>
      </c>
      <c r="AP50" s="118">
        <v>5.2093114984449407E-2</v>
      </c>
      <c r="AQ50" s="122">
        <v>7</v>
      </c>
      <c r="AR50" s="113">
        <v>30</v>
      </c>
      <c r="AS50" s="117">
        <v>19489121.758108106</v>
      </c>
      <c r="AT50" s="116">
        <v>30940436.622155096</v>
      </c>
      <c r="AU50" s="113">
        <v>46</v>
      </c>
      <c r="AV50" s="122">
        <v>0</v>
      </c>
      <c r="AW50" s="122">
        <v>2</v>
      </c>
      <c r="AX50" s="122">
        <v>36</v>
      </c>
      <c r="AY50" s="123">
        <v>0</v>
      </c>
      <c r="AZ50" s="122">
        <v>71178.641474030956</v>
      </c>
      <c r="BA50" s="114">
        <v>83.251802491144645</v>
      </c>
      <c r="BB50" s="118">
        <v>0.35701460576126159</v>
      </c>
      <c r="BC50" s="124">
        <v>372.82928964566099</v>
      </c>
      <c r="BD50" s="74" t="s">
        <v>1158</v>
      </c>
      <c r="BE50" s="88" t="str">
        <f>IFERROR(_xlfn.XLOOKUP([2]!BaseMaestraCeDi[[#This Row],[CeDi]], '[2]Potencial Hor x CeDi'!$B$6:$BU$6, '[2]Potencial Hor x CeDi'!$B$21:$BU$21) / 1000, "")</f>
        <v/>
      </c>
      <c r="BF50" s="89" t="str">
        <f>IFERROR(_xlfn.XLOOKUP([2]!BaseMaestraCeDi[[#This Row],[CeDi]], '[2]Potencial Hor x CeDi'!$B$6:$BU$6, '[2]Potencial Hor x CeDi'!$B$22:$BU$22) / 1000, "")</f>
        <v/>
      </c>
      <c r="BG50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50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50" s="78" t="str">
        <f>IFERROR(INDEX('[2]Potencial Hor SocioDem x CeDi'!$C$2:$AF$81, MATCH($C50,'[2]Potencial Hor SocioDem x CeDi'!$B$2:$B$81,0), MATCH(BI$4,'[2]Potencial Hor SocioDem x CeDi'!$C$1:$AF$1,0)), "")</f>
        <v/>
      </c>
      <c r="BJ50" s="78" t="str">
        <f>IFERROR(INDEX('[2]Potencial Hor SocioDem x CeDi'!$C$2:$AF$81, MATCH($C50,'[2]Potencial Hor SocioDem x CeDi'!$B$2:$B$81,0), MATCH(BJ$4,'[2]Potencial Hor SocioDem x CeDi'!$C$1:$AF$1,0)), "")</f>
        <v/>
      </c>
      <c r="BK50" s="78" t="str">
        <f>IFERROR(INDEX('[2]Potencial Hor SocioDem x CeDi'!$C$2:$AF$81, MATCH($C50,'[2]Potencial Hor SocioDem x CeDi'!$B$2:$B$81,0), MATCH(BK$4,'[2]Potencial Hor SocioDem x CeDi'!$C$1:$AF$1,0)), "")</f>
        <v/>
      </c>
      <c r="BL50" s="79" t="str">
        <f>IFERROR(INDEX('[2]Potencial Hor SocioDem x CeDi'!$C$2:$AF$81, MATCH($C50,'[2]Potencial Hor SocioDem x CeDi'!$B$2:$B$81,0), MATCH(BL$4,'[2]Potencial Hor SocioDem x CeDi'!$C$1:$AF$1,0)), "")</f>
        <v/>
      </c>
      <c r="BM50" s="79" t="str">
        <f>IFERROR(INDEX('[2]Potencial Hor SocioDem x CeDi'!$C$2:$AF$81, MATCH($C50,'[2]Potencial Hor SocioDem x CeDi'!$B$2:$B$81,0), MATCH(BM$4,'[2]Potencial Hor SocioDem x CeDi'!$C$1:$AF$1,0)), "")</f>
        <v/>
      </c>
      <c r="BN50" s="78" t="str">
        <f>IFERROR(INDEX('[2]Potencial Hor SocioDem x CeDi'!$C$2:$AF$81, MATCH($C50,'[2]Potencial Hor SocioDem x CeDi'!$B$2:$B$81,0), MATCH(BN$4,'[2]Potencial Hor SocioDem x CeDi'!$C$1:$AF$1,0)), "")</f>
        <v/>
      </c>
      <c r="BO50" s="78" t="str">
        <f>IFERROR(INDEX('[2]Potencial Hor SocioDem x CeDi'!$C$2:$AF$81, MATCH($C50,'[2]Potencial Hor SocioDem x CeDi'!$B$2:$B$81,0), MATCH(BO$4,'[2]Potencial Hor SocioDem x CeDi'!$C$1:$AF$1,0)), "")</f>
        <v/>
      </c>
      <c r="BP50" s="78" t="str">
        <f>IFERROR(INDEX('[2]Potencial Hor SocioDem x CeDi'!$C$2:$AF$81, MATCH($C50,'[2]Potencial Hor SocioDem x CeDi'!$B$2:$B$81,0), MATCH(BP$4,'[2]Potencial Hor SocioDem x CeDi'!$C$1:$AF$1,0)), "")</f>
        <v/>
      </c>
      <c r="BQ50" s="80" t="str">
        <f>IFERROR(INDEX('[2]Potencial Hor SocioDem x CeDi'!$C$2:$AF$81, MATCH($C50,'[2]Potencial Hor SocioDem x CeDi'!$B$2:$B$81,0), MATCH(BQ$4,'[2]Potencial Hor SocioDem x CeDi'!$C$1:$AF$1,0)), "")</f>
        <v/>
      </c>
      <c r="BR50" s="80" t="str">
        <f>IFERROR(INDEX('[2]Potencial Hor SocioDem x CeDi'!$C$2:$AF$81, MATCH($C50,'[2]Potencial Hor SocioDem x CeDi'!$B$2:$B$81,0), MATCH(BR$4,'[2]Potencial Hor SocioDem x CeDi'!$C$1:$AF$1,0)), "")</f>
        <v/>
      </c>
      <c r="BS50" s="80" t="str">
        <f>IFERROR(INDEX('[2]Potencial Hor SocioDem x CeDi'!$C$2:$AF$81, MATCH($C50,'[2]Potencial Hor SocioDem x CeDi'!$B$2:$B$81,0), MATCH(BS$4,'[2]Potencial Hor SocioDem x CeDi'!$C$1:$AF$1,0)), "")</f>
        <v/>
      </c>
      <c r="BT50" s="80" t="str">
        <f>IFERROR(INDEX('[2]Potencial Hor SocioDem x CeDi'!$C$2:$AF$81, MATCH($C50,'[2]Potencial Hor SocioDem x CeDi'!$B$2:$B$81,0), MATCH(BT$4,'[2]Potencial Hor SocioDem x CeDi'!$C$1:$AF$1,0)), "")</f>
        <v/>
      </c>
      <c r="BU50" s="80" t="str">
        <f>IFERROR(INDEX('[2]Potencial Hor SocioDem x CeDi'!$C$2:$AF$81, MATCH($C50,'[2]Potencial Hor SocioDem x CeDi'!$B$2:$B$81,0), MATCH(BU$4,'[2]Potencial Hor SocioDem x CeDi'!$C$1:$AF$1,0)), "")</f>
        <v/>
      </c>
      <c r="BV50" s="80" t="str">
        <f>IFERROR(INDEX('[2]Potencial Hor SocioDem x CeDi'!$C$2:$AF$81, MATCH($C50,'[2]Potencial Hor SocioDem x CeDi'!$B$2:$B$81,0), MATCH(BV$4,'[2]Potencial Hor SocioDem x CeDi'!$C$1:$AF$1,0)), "")</f>
        <v/>
      </c>
      <c r="BW50" s="80" t="str">
        <f>IFERROR(INDEX('[2]Potencial Hor SocioDem x CeDi'!$C$2:$AF$81, MATCH($C50,'[2]Potencial Hor SocioDem x CeDi'!$B$2:$B$81,0), MATCH(BW$4,'[2]Potencial Hor SocioDem x CeDi'!$C$1:$AF$1,0)), "")</f>
        <v/>
      </c>
      <c r="BX50" s="80" t="str">
        <f>IFERROR(INDEX('[2]Potencial Hor SocioDem x CeDi'!$C$2:$AF$81, MATCH($C50,'[2]Potencial Hor SocioDem x CeDi'!$B$2:$B$81,0), MATCH(BX$4,'[2]Potencial Hor SocioDem x CeDi'!$C$1:$AF$1,0)), "")</f>
        <v/>
      </c>
      <c r="BY50" s="80" t="str">
        <f>IFERROR(INDEX('[2]Potencial Hor SocioDem x CeDi'!$C$2:$AF$81, MATCH($C50,'[2]Potencial Hor SocioDem x CeDi'!$B$2:$B$81,0), MATCH(BY$4,'[2]Potencial Hor SocioDem x CeDi'!$C$1:$AF$1,0)), "")</f>
        <v/>
      </c>
      <c r="BZ50" s="79" t="str">
        <f>IFERROR(INDEX('[2]Potencial Hor SocioDem x CeDi'!$C$2:$AF$81, MATCH($C50,'[2]Potencial Hor SocioDem x CeDi'!$B$2:$B$81,0), MATCH(BZ$4,'[2]Potencial Hor SocioDem x CeDi'!$C$1:$AF$1,0)), "")</f>
        <v/>
      </c>
      <c r="CA50" s="79" t="str">
        <f>IFERROR(INDEX('[2]Potencial Hor SocioDem x CeDi'!$C$2:$AF$81, MATCH($C50,'[2]Potencial Hor SocioDem x CeDi'!$B$2:$B$81,0), MATCH(CA$4,'[2]Potencial Hor SocioDem x CeDi'!$C$1:$AF$1,0)), "")</f>
        <v/>
      </c>
      <c r="CB50" s="81" t="str">
        <f>IFERROR(INDEX('[2]Potencial Hor SocioDem x CeDi'!$C$2:$AF$81, MATCH($C50,'[2]Potencial Hor SocioDem x CeDi'!$B$2:$B$81,0), MATCH(CB$4,'[2]Potencial Hor SocioDem x CeDi'!$C$1:$AF$1,0)), "")</f>
        <v/>
      </c>
      <c r="CC50" s="82" t="str">
        <f>IFERROR(INDEX('[2]Potencial Hor SocioDem x CeDi'!$C$2:$AF$81, MATCH($C50,'[2]Potencial Hor SocioDem x CeDi'!$B$2:$B$81,0), MATCH(CC$4,'[2]Potencial Hor SocioDem x CeDi'!$C$1:$AF$1,0)), "")</f>
        <v/>
      </c>
      <c r="CD50" s="83" t="str">
        <f>IFERROR(INDEX('[2]Potencial Hor SocioDem x CeDi'!$C$2:$AF$81, MATCH($C50,'[2]Potencial Hor SocioDem x CeDi'!$B$2:$B$81,0), MATCH(CD$4,'[2]Potencial Hor SocioDem x CeDi'!$C$1:$AF$1,0)), "")</f>
        <v/>
      </c>
      <c r="CE50" s="78" t="str">
        <f>IFERROR(_xlfn.XLOOKUP([2]!BaseMaestraCeDi[[#This Row],[CeDi]], '[2]Potencial Hor x CeDi'!$B$6:$BU$6, '[2]Potencial Hor x CeDi'!$B$50:$BU$50), "")</f>
        <v/>
      </c>
      <c r="CF50" s="90" t="str">
        <f>IFERROR(_xlfn.XLOOKUP([2]!BaseMaestraCeDi[[#This Row],[CeDi]], '[2]Potencial Hor x CeDi'!$B$6:$BU$6, '[2]Potencial Hor x CeDi'!$B$34:$BU$34), "")</f>
        <v/>
      </c>
      <c r="CG50" s="90" t="str">
        <f>IFERROR(_xlfn.XLOOKUP([2]!BaseMaestraCeDi[[#This Row],[CeDi]], '[2]Potencial Hor x CeDi'!$B$6:$BU$6, '[2]Potencial Hor x CeDi'!$B$64:$BU$64), "")</f>
        <v/>
      </c>
      <c r="CH50" s="91" t="str">
        <f>IFERROR(_xlfn.XLOOKUP([2]!BaseMaestraCeDi[[#This Row],[CeDi]], '[2]Potencial Hor x CeDi'!$B$6:$BU$6, '[2]Potencial Hor x CeDi'!$B$38:$BU$38), "")</f>
        <v/>
      </c>
      <c r="CI50" s="90" t="str">
        <f>IFERROR(_xlfn.XLOOKUP([2]!BaseMaestraCeDi[[#This Row],[CeDi]], '[2]Potencial Hor x CeDi'!$B$6:$BU$6, '[2]Potencial Hor x CeDi'!$B$26:$BU$26), "")</f>
        <v/>
      </c>
      <c r="CJ50" s="92" t="str">
        <f>IFERROR(_xlfn.XLOOKUP([2]!BaseMaestraCeDi[[#This Row],[CeDi]], '[2]Potencial Hor x CeDi'!$B$6:$BU$6, '[2]Potencial Hor x CeDi'!$B$27:$BU$27), "")</f>
        <v/>
      </c>
      <c r="CK50" s="90" t="str">
        <f>IFERROR(_xlfn.XLOOKUP([2]!BaseMaestraCeDi[[#This Row],[CeDi]], '[2]Potencial Hor x CeDi'!$B$6:$BU$6, '[2]Potencial Hor x CeDi'!$B$28:$BU$28), "")</f>
        <v/>
      </c>
      <c r="CL50" s="92" t="str">
        <f>IFERROR(_xlfn.XLOOKUP([2]!BaseMaestraCeDi[[#This Row],[CeDi]], '[2]Potencial Hor x CeDi'!$B$6:$BU$6, '[2]Potencial Hor x CeDi'!$B$29:$BU$29), "")</f>
        <v/>
      </c>
      <c r="CM50" s="93" t="str">
        <f>IFERROR(_xlfn.XLOOKUP([2]!BaseMaestraCeDi[[#This Row],[CeDi]], '[2]Potencial Hor x CeDi'!$B$6:$BU$6, '[2]Potencial Hor x CeDi'!$B$39:$BU$39), "")</f>
        <v/>
      </c>
      <c r="CN50" s="94" t="str">
        <f>IFERROR(_xlfn.XLOOKUP([2]!BaseMaestraCeDi[[#This Row],[CeDi]], '[2]Potencial Hor x CeDi'!$B$6:$BU$6, '[2]Potencial Hor x CeDi'!$B$43:$BU$43), "")</f>
        <v/>
      </c>
      <c r="CO50" s="94" t="str">
        <f>IFERROR(_xlfn.XLOOKUP([2]!BaseMaestraCeDi[[#This Row],[CeDi]], '[2]Potencial Hor x CeDi'!$B$6:$BU$6, '[2]Potencial Hor x CeDi'!$B$46:$BU$46), "")</f>
        <v/>
      </c>
      <c r="CP50" s="86" t="str">
        <f>IFERROR(_xlfn.XLOOKUP([2]!BaseMaestraCeDi[[#This Row],[CeDi]], '[2]Potencial Hor x CeDi'!$B$6:$BU$6, '[2]Potencial Hor x CeDi'!$B$51:$BU$51), "")</f>
        <v/>
      </c>
      <c r="CQ50" s="82" t="str">
        <f>IFERROR(_xlfn.XLOOKUP([2]!BaseMaestraCeDi[[#This Row],[CeDi]], '[2]Potencial Hor x CeDi'!$B$6:$BU$6, '[2]Potencial Hor x CeDi'!$B$52:$BU$52), "")</f>
        <v/>
      </c>
      <c r="CR50" s="82" t="str">
        <f>IFERROR(_xlfn.XLOOKUP([2]!BaseMaestraCeDi[[#This Row],[CeDi]], '[2]Potencial Hor x CeDi'!$B$6:$BU$6, '[2]Potencial Hor x CeDi'!$B$53:$BU$53), "")</f>
        <v/>
      </c>
      <c r="CS50" s="87" t="str">
        <f>IFERROR(_xlfn.XLOOKUP([2]!BaseMaestraCeDi[[#This Row],[CeDi]], '[2]Potencial Hor x CeDi'!$B$6:$BU$6, '[2]Potencial Hor x CeDi'!$B$60:$BU$60), "")</f>
        <v/>
      </c>
      <c r="CT50" s="90" t="str">
        <f>IFERROR(_xlfn.XLOOKUP([2]!BaseMaestraCeDi[[#This Row],[CeDi]], '[2]Potencial Hor x CeDi'!$B$6:$BU$6, '[2]Potencial Hor x CeDi'!$B$65:$BU$65), "")</f>
        <v/>
      </c>
      <c r="CU50" s="90" t="str">
        <f>IFERROR(_xlfn.XLOOKUP([2]!BaseMaestraCeDi[[#This Row],[CeDi]], '[2]Potencial Hor x CeDi'!$B$6:$BU$6, '[2]Potencial Hor x CeDi'!$B$68:$BU$68), "")</f>
        <v/>
      </c>
      <c r="CV50" s="95" t="str">
        <f>IFERROR(_xlfn.XLOOKUP([2]!BaseMaestraCeDi[[#This Row],[CeDi]], '[2]Potencial Hor x CeDi'!$B$6:$BU$6, '[2]Potencial Hor x CeDi'!$B$71:$BU$71), "")</f>
        <v/>
      </c>
    </row>
    <row r="51" spans="1:100">
      <c r="A51" s="100" t="s">
        <v>94</v>
      </c>
      <c r="B51" s="100" t="s">
        <v>510</v>
      </c>
      <c r="C51" s="100" t="s">
        <v>750</v>
      </c>
      <c r="D51" s="101">
        <v>19</v>
      </c>
      <c r="E51" s="102">
        <v>2536.3976199260355</v>
      </c>
      <c r="F51" s="103">
        <v>145.99356625607564</v>
      </c>
      <c r="G51" s="103">
        <v>2682.3911861821111</v>
      </c>
      <c r="H51" s="104">
        <v>9261.0149948525086</v>
      </c>
      <c r="I51" s="105">
        <v>16958.472038185995</v>
      </c>
      <c r="J51" s="105">
        <v>2646.2424811338519</v>
      </c>
      <c r="K51" s="105">
        <v>28865.729514172355</v>
      </c>
      <c r="L51" s="104">
        <v>58030.66546931761</v>
      </c>
      <c r="M51" s="106">
        <v>0.49742199715828611</v>
      </c>
      <c r="N51" s="107" t="s">
        <v>171</v>
      </c>
      <c r="O51" s="102">
        <v>90.487580345600563</v>
      </c>
      <c r="P51" s="103">
        <v>2</v>
      </c>
      <c r="Q51" s="103">
        <v>1</v>
      </c>
      <c r="R51" s="108">
        <v>18</v>
      </c>
      <c r="S51" s="107">
        <v>122</v>
      </c>
      <c r="T51" s="125">
        <v>0.9788424697867576</v>
      </c>
      <c r="U51" s="106">
        <v>2.1157530213242404E-2</v>
      </c>
      <c r="V51" s="106">
        <v>0.61453566955743555</v>
      </c>
      <c r="W51" s="106">
        <v>0.38496866254084894</v>
      </c>
      <c r="X51" s="106">
        <v>4.9566790171544871E-4</v>
      </c>
      <c r="Y51" s="104">
        <v>35661.913859050655</v>
      </c>
      <c r="Z51" s="105">
        <v>22339.987672078627</v>
      </c>
      <c r="AA51" s="105">
        <v>28.763938188327803</v>
      </c>
      <c r="AB51" s="105">
        <v>86259.882439940222</v>
      </c>
      <c r="AC51" s="101">
        <v>26</v>
      </c>
      <c r="AD51" s="109">
        <v>18</v>
      </c>
      <c r="AE51" s="101">
        <v>725029</v>
      </c>
      <c r="AF51" s="109">
        <v>322015</v>
      </c>
      <c r="AG51" s="110">
        <v>0.44414085505545298</v>
      </c>
      <c r="AH51" s="106">
        <v>0.50430318916557448</v>
      </c>
      <c r="AI51" s="101">
        <v>55880.496133682827</v>
      </c>
      <c r="AJ51" s="109">
        <v>27940.248066841414</v>
      </c>
      <c r="AK51" s="106">
        <v>0.48267758678182721</v>
      </c>
      <c r="AL51" s="104">
        <v>84040799.210000008</v>
      </c>
      <c r="AM51" s="105">
        <v>8822315.679599721</v>
      </c>
      <c r="AN51" s="106">
        <v>0.10497657997700187</v>
      </c>
      <c r="AO51" s="104">
        <v>6199465.0721511552</v>
      </c>
      <c r="AP51" s="106">
        <v>2.8201953284822615E-2</v>
      </c>
      <c r="AQ51" s="109">
        <v>12</v>
      </c>
      <c r="AR51" s="101">
        <v>19</v>
      </c>
      <c r="AS51" s="105">
        <v>5306943.8176904321</v>
      </c>
      <c r="AT51" s="104">
        <v>11506408.889841586</v>
      </c>
      <c r="AU51" s="101">
        <v>37</v>
      </c>
      <c r="AV51" s="109">
        <v>1</v>
      </c>
      <c r="AW51" s="109">
        <v>5</v>
      </c>
      <c r="AX51" s="109">
        <v>19</v>
      </c>
      <c r="AY51" s="110">
        <v>2.7027027027027029E-2</v>
      </c>
      <c r="AZ51" s="109">
        <v>63660.866951469921</v>
      </c>
      <c r="BA51" s="102">
        <v>90.487580345600634</v>
      </c>
      <c r="BB51" s="106">
        <v>0.34847487624071255</v>
      </c>
      <c r="BC51" s="111">
        <v>358.73199436221</v>
      </c>
      <c r="BD51" s="74" t="s">
        <v>1159</v>
      </c>
      <c r="BE51" s="88" t="str">
        <f>IFERROR(_xlfn.XLOOKUP([2]!BaseMaestraCeDi[[#This Row],[CeDi]], '[2]Potencial Hor x CeDi'!$B$6:$BU$6, '[2]Potencial Hor x CeDi'!$B$21:$BU$21) / 1000, "")</f>
        <v/>
      </c>
      <c r="BF51" s="89" t="str">
        <f>IFERROR(_xlfn.XLOOKUP([2]!BaseMaestraCeDi[[#This Row],[CeDi]], '[2]Potencial Hor x CeDi'!$B$6:$BU$6, '[2]Potencial Hor x CeDi'!$B$22:$BU$22) / 1000, "")</f>
        <v/>
      </c>
      <c r="BG51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51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51" s="78" t="str">
        <f>IFERROR(INDEX('[2]Potencial Hor SocioDem x CeDi'!$C$2:$AF$81, MATCH($C51,'[2]Potencial Hor SocioDem x CeDi'!$B$2:$B$81,0), MATCH(BI$4,'[2]Potencial Hor SocioDem x CeDi'!$C$1:$AF$1,0)), "")</f>
        <v/>
      </c>
      <c r="BJ51" s="78" t="str">
        <f>IFERROR(INDEX('[2]Potencial Hor SocioDem x CeDi'!$C$2:$AF$81, MATCH($C51,'[2]Potencial Hor SocioDem x CeDi'!$B$2:$B$81,0), MATCH(BJ$4,'[2]Potencial Hor SocioDem x CeDi'!$C$1:$AF$1,0)), "")</f>
        <v/>
      </c>
      <c r="BK51" s="78" t="str">
        <f>IFERROR(INDEX('[2]Potencial Hor SocioDem x CeDi'!$C$2:$AF$81, MATCH($C51,'[2]Potencial Hor SocioDem x CeDi'!$B$2:$B$81,0), MATCH(BK$4,'[2]Potencial Hor SocioDem x CeDi'!$C$1:$AF$1,0)), "")</f>
        <v/>
      </c>
      <c r="BL51" s="79" t="str">
        <f>IFERROR(INDEX('[2]Potencial Hor SocioDem x CeDi'!$C$2:$AF$81, MATCH($C51,'[2]Potencial Hor SocioDem x CeDi'!$B$2:$B$81,0), MATCH(BL$4,'[2]Potencial Hor SocioDem x CeDi'!$C$1:$AF$1,0)), "")</f>
        <v/>
      </c>
      <c r="BM51" s="79" t="str">
        <f>IFERROR(INDEX('[2]Potencial Hor SocioDem x CeDi'!$C$2:$AF$81, MATCH($C51,'[2]Potencial Hor SocioDem x CeDi'!$B$2:$B$81,0), MATCH(BM$4,'[2]Potencial Hor SocioDem x CeDi'!$C$1:$AF$1,0)), "")</f>
        <v/>
      </c>
      <c r="BN51" s="78" t="str">
        <f>IFERROR(INDEX('[2]Potencial Hor SocioDem x CeDi'!$C$2:$AF$81, MATCH($C51,'[2]Potencial Hor SocioDem x CeDi'!$B$2:$B$81,0), MATCH(BN$4,'[2]Potencial Hor SocioDem x CeDi'!$C$1:$AF$1,0)), "")</f>
        <v/>
      </c>
      <c r="BO51" s="78" t="str">
        <f>IFERROR(INDEX('[2]Potencial Hor SocioDem x CeDi'!$C$2:$AF$81, MATCH($C51,'[2]Potencial Hor SocioDem x CeDi'!$B$2:$B$81,0), MATCH(BO$4,'[2]Potencial Hor SocioDem x CeDi'!$C$1:$AF$1,0)), "")</f>
        <v/>
      </c>
      <c r="BP51" s="78" t="str">
        <f>IFERROR(INDEX('[2]Potencial Hor SocioDem x CeDi'!$C$2:$AF$81, MATCH($C51,'[2]Potencial Hor SocioDem x CeDi'!$B$2:$B$81,0), MATCH(BP$4,'[2]Potencial Hor SocioDem x CeDi'!$C$1:$AF$1,0)), "")</f>
        <v/>
      </c>
      <c r="BQ51" s="80" t="str">
        <f>IFERROR(INDEX('[2]Potencial Hor SocioDem x CeDi'!$C$2:$AF$81, MATCH($C51,'[2]Potencial Hor SocioDem x CeDi'!$B$2:$B$81,0), MATCH(BQ$4,'[2]Potencial Hor SocioDem x CeDi'!$C$1:$AF$1,0)), "")</f>
        <v/>
      </c>
      <c r="BR51" s="80" t="str">
        <f>IFERROR(INDEX('[2]Potencial Hor SocioDem x CeDi'!$C$2:$AF$81, MATCH($C51,'[2]Potencial Hor SocioDem x CeDi'!$B$2:$B$81,0), MATCH(BR$4,'[2]Potencial Hor SocioDem x CeDi'!$C$1:$AF$1,0)), "")</f>
        <v/>
      </c>
      <c r="BS51" s="80" t="str">
        <f>IFERROR(INDEX('[2]Potencial Hor SocioDem x CeDi'!$C$2:$AF$81, MATCH($C51,'[2]Potencial Hor SocioDem x CeDi'!$B$2:$B$81,0), MATCH(BS$4,'[2]Potencial Hor SocioDem x CeDi'!$C$1:$AF$1,0)), "")</f>
        <v/>
      </c>
      <c r="BT51" s="80" t="str">
        <f>IFERROR(INDEX('[2]Potencial Hor SocioDem x CeDi'!$C$2:$AF$81, MATCH($C51,'[2]Potencial Hor SocioDem x CeDi'!$B$2:$B$81,0), MATCH(BT$4,'[2]Potencial Hor SocioDem x CeDi'!$C$1:$AF$1,0)), "")</f>
        <v/>
      </c>
      <c r="BU51" s="80" t="str">
        <f>IFERROR(INDEX('[2]Potencial Hor SocioDem x CeDi'!$C$2:$AF$81, MATCH($C51,'[2]Potencial Hor SocioDem x CeDi'!$B$2:$B$81,0), MATCH(BU$4,'[2]Potencial Hor SocioDem x CeDi'!$C$1:$AF$1,0)), "")</f>
        <v/>
      </c>
      <c r="BV51" s="80" t="str">
        <f>IFERROR(INDEX('[2]Potencial Hor SocioDem x CeDi'!$C$2:$AF$81, MATCH($C51,'[2]Potencial Hor SocioDem x CeDi'!$B$2:$B$81,0), MATCH(BV$4,'[2]Potencial Hor SocioDem x CeDi'!$C$1:$AF$1,0)), "")</f>
        <v/>
      </c>
      <c r="BW51" s="80" t="str">
        <f>IFERROR(INDEX('[2]Potencial Hor SocioDem x CeDi'!$C$2:$AF$81, MATCH($C51,'[2]Potencial Hor SocioDem x CeDi'!$B$2:$B$81,0), MATCH(BW$4,'[2]Potencial Hor SocioDem x CeDi'!$C$1:$AF$1,0)), "")</f>
        <v/>
      </c>
      <c r="BX51" s="80" t="str">
        <f>IFERROR(INDEX('[2]Potencial Hor SocioDem x CeDi'!$C$2:$AF$81, MATCH($C51,'[2]Potencial Hor SocioDem x CeDi'!$B$2:$B$81,0), MATCH(BX$4,'[2]Potencial Hor SocioDem x CeDi'!$C$1:$AF$1,0)), "")</f>
        <v/>
      </c>
      <c r="BY51" s="80" t="str">
        <f>IFERROR(INDEX('[2]Potencial Hor SocioDem x CeDi'!$C$2:$AF$81, MATCH($C51,'[2]Potencial Hor SocioDem x CeDi'!$B$2:$B$81,0), MATCH(BY$4,'[2]Potencial Hor SocioDem x CeDi'!$C$1:$AF$1,0)), "")</f>
        <v/>
      </c>
      <c r="BZ51" s="79" t="str">
        <f>IFERROR(INDEX('[2]Potencial Hor SocioDem x CeDi'!$C$2:$AF$81, MATCH($C51,'[2]Potencial Hor SocioDem x CeDi'!$B$2:$B$81,0), MATCH(BZ$4,'[2]Potencial Hor SocioDem x CeDi'!$C$1:$AF$1,0)), "")</f>
        <v/>
      </c>
      <c r="CA51" s="79" t="str">
        <f>IFERROR(INDEX('[2]Potencial Hor SocioDem x CeDi'!$C$2:$AF$81, MATCH($C51,'[2]Potencial Hor SocioDem x CeDi'!$B$2:$B$81,0), MATCH(CA$4,'[2]Potencial Hor SocioDem x CeDi'!$C$1:$AF$1,0)), "")</f>
        <v/>
      </c>
      <c r="CB51" s="81" t="str">
        <f>IFERROR(INDEX('[2]Potencial Hor SocioDem x CeDi'!$C$2:$AF$81, MATCH($C51,'[2]Potencial Hor SocioDem x CeDi'!$B$2:$B$81,0), MATCH(CB$4,'[2]Potencial Hor SocioDem x CeDi'!$C$1:$AF$1,0)), "")</f>
        <v/>
      </c>
      <c r="CC51" s="82" t="str">
        <f>IFERROR(INDEX('[2]Potencial Hor SocioDem x CeDi'!$C$2:$AF$81, MATCH($C51,'[2]Potencial Hor SocioDem x CeDi'!$B$2:$B$81,0), MATCH(CC$4,'[2]Potencial Hor SocioDem x CeDi'!$C$1:$AF$1,0)), "")</f>
        <v/>
      </c>
      <c r="CD51" s="83" t="str">
        <f>IFERROR(INDEX('[2]Potencial Hor SocioDem x CeDi'!$C$2:$AF$81, MATCH($C51,'[2]Potencial Hor SocioDem x CeDi'!$B$2:$B$81,0), MATCH(CD$4,'[2]Potencial Hor SocioDem x CeDi'!$C$1:$AF$1,0)), "")</f>
        <v/>
      </c>
      <c r="CE51" s="78" t="str">
        <f>IFERROR(_xlfn.XLOOKUP([2]!BaseMaestraCeDi[[#This Row],[CeDi]], '[2]Potencial Hor x CeDi'!$B$6:$BU$6, '[2]Potencial Hor x CeDi'!$B$50:$BU$50), "")</f>
        <v/>
      </c>
      <c r="CF51" s="90" t="str">
        <f>IFERROR(_xlfn.XLOOKUP([2]!BaseMaestraCeDi[[#This Row],[CeDi]], '[2]Potencial Hor x CeDi'!$B$6:$BU$6, '[2]Potencial Hor x CeDi'!$B$34:$BU$34), "")</f>
        <v/>
      </c>
      <c r="CG51" s="90" t="str">
        <f>IFERROR(_xlfn.XLOOKUP([2]!BaseMaestraCeDi[[#This Row],[CeDi]], '[2]Potencial Hor x CeDi'!$B$6:$BU$6, '[2]Potencial Hor x CeDi'!$B$64:$BU$64), "")</f>
        <v/>
      </c>
      <c r="CH51" s="91" t="str">
        <f>IFERROR(_xlfn.XLOOKUP([2]!BaseMaestraCeDi[[#This Row],[CeDi]], '[2]Potencial Hor x CeDi'!$B$6:$BU$6, '[2]Potencial Hor x CeDi'!$B$38:$BU$38), "")</f>
        <v/>
      </c>
      <c r="CI51" s="90" t="str">
        <f>IFERROR(_xlfn.XLOOKUP([2]!BaseMaestraCeDi[[#This Row],[CeDi]], '[2]Potencial Hor x CeDi'!$B$6:$BU$6, '[2]Potencial Hor x CeDi'!$B$26:$BU$26), "")</f>
        <v/>
      </c>
      <c r="CJ51" s="92" t="str">
        <f>IFERROR(_xlfn.XLOOKUP([2]!BaseMaestraCeDi[[#This Row],[CeDi]], '[2]Potencial Hor x CeDi'!$B$6:$BU$6, '[2]Potencial Hor x CeDi'!$B$27:$BU$27), "")</f>
        <v/>
      </c>
      <c r="CK51" s="90" t="str">
        <f>IFERROR(_xlfn.XLOOKUP([2]!BaseMaestraCeDi[[#This Row],[CeDi]], '[2]Potencial Hor x CeDi'!$B$6:$BU$6, '[2]Potencial Hor x CeDi'!$B$28:$BU$28), "")</f>
        <v/>
      </c>
      <c r="CL51" s="92" t="str">
        <f>IFERROR(_xlfn.XLOOKUP([2]!BaseMaestraCeDi[[#This Row],[CeDi]], '[2]Potencial Hor x CeDi'!$B$6:$BU$6, '[2]Potencial Hor x CeDi'!$B$29:$BU$29), "")</f>
        <v/>
      </c>
      <c r="CM51" s="93" t="str">
        <f>IFERROR(_xlfn.XLOOKUP([2]!BaseMaestraCeDi[[#This Row],[CeDi]], '[2]Potencial Hor x CeDi'!$B$6:$BU$6, '[2]Potencial Hor x CeDi'!$B$39:$BU$39), "")</f>
        <v/>
      </c>
      <c r="CN51" s="94" t="str">
        <f>IFERROR(_xlfn.XLOOKUP([2]!BaseMaestraCeDi[[#This Row],[CeDi]], '[2]Potencial Hor x CeDi'!$B$6:$BU$6, '[2]Potencial Hor x CeDi'!$B$43:$BU$43), "")</f>
        <v/>
      </c>
      <c r="CO51" s="94" t="str">
        <f>IFERROR(_xlfn.XLOOKUP([2]!BaseMaestraCeDi[[#This Row],[CeDi]], '[2]Potencial Hor x CeDi'!$B$6:$BU$6, '[2]Potencial Hor x CeDi'!$B$46:$BU$46), "")</f>
        <v/>
      </c>
      <c r="CP51" s="86" t="str">
        <f>IFERROR(_xlfn.XLOOKUP([2]!BaseMaestraCeDi[[#This Row],[CeDi]], '[2]Potencial Hor x CeDi'!$B$6:$BU$6, '[2]Potencial Hor x CeDi'!$B$51:$BU$51), "")</f>
        <v/>
      </c>
      <c r="CQ51" s="82" t="str">
        <f>IFERROR(_xlfn.XLOOKUP([2]!BaseMaestraCeDi[[#This Row],[CeDi]], '[2]Potencial Hor x CeDi'!$B$6:$BU$6, '[2]Potencial Hor x CeDi'!$B$52:$BU$52), "")</f>
        <v/>
      </c>
      <c r="CR51" s="82" t="str">
        <f>IFERROR(_xlfn.XLOOKUP([2]!BaseMaestraCeDi[[#This Row],[CeDi]], '[2]Potencial Hor x CeDi'!$B$6:$BU$6, '[2]Potencial Hor x CeDi'!$B$53:$BU$53), "")</f>
        <v/>
      </c>
      <c r="CS51" s="87" t="str">
        <f>IFERROR(_xlfn.XLOOKUP([2]!BaseMaestraCeDi[[#This Row],[CeDi]], '[2]Potencial Hor x CeDi'!$B$6:$BU$6, '[2]Potencial Hor x CeDi'!$B$60:$BU$60), "")</f>
        <v/>
      </c>
      <c r="CT51" s="90" t="str">
        <f>IFERROR(_xlfn.XLOOKUP([2]!BaseMaestraCeDi[[#This Row],[CeDi]], '[2]Potencial Hor x CeDi'!$B$6:$BU$6, '[2]Potencial Hor x CeDi'!$B$65:$BU$65), "")</f>
        <v/>
      </c>
      <c r="CU51" s="90" t="str">
        <f>IFERROR(_xlfn.XLOOKUP([2]!BaseMaestraCeDi[[#This Row],[CeDi]], '[2]Potencial Hor x CeDi'!$B$6:$BU$6, '[2]Potencial Hor x CeDi'!$B$68:$BU$68), "")</f>
        <v/>
      </c>
      <c r="CV51" s="95" t="str">
        <f>IFERROR(_xlfn.XLOOKUP([2]!BaseMaestraCeDi[[#This Row],[CeDi]], '[2]Potencial Hor x CeDi'!$B$6:$BU$6, '[2]Potencial Hor x CeDi'!$B$71:$BU$71), "")</f>
        <v/>
      </c>
    </row>
    <row r="52" spans="1:100">
      <c r="A52" s="112" t="s">
        <v>94</v>
      </c>
      <c r="B52" s="112" t="s">
        <v>510</v>
      </c>
      <c r="C52" s="112" t="s">
        <v>788</v>
      </c>
      <c r="D52" s="113">
        <v>60</v>
      </c>
      <c r="E52" s="114">
        <v>8906.4284654782168</v>
      </c>
      <c r="F52" s="115">
        <v>512.64882290723415</v>
      </c>
      <c r="G52" s="115">
        <v>9419.0772883854515</v>
      </c>
      <c r="H52" s="116">
        <v>32519.573004401529</v>
      </c>
      <c r="I52" s="117">
        <v>53553.069594271554</v>
      </c>
      <c r="J52" s="117">
        <v>8356.5552035805831</v>
      </c>
      <c r="K52" s="117">
        <v>94429.197802253679</v>
      </c>
      <c r="L52" s="116">
        <v>197586.86412540163</v>
      </c>
      <c r="M52" s="118">
        <v>0.47791232590402716</v>
      </c>
      <c r="N52" s="119" t="s">
        <v>171</v>
      </c>
      <c r="O52" s="114">
        <v>68.297552435331838</v>
      </c>
      <c r="P52" s="115">
        <v>2</v>
      </c>
      <c r="Q52" s="115">
        <v>1</v>
      </c>
      <c r="R52" s="120">
        <v>62</v>
      </c>
      <c r="S52" s="119">
        <v>448</v>
      </c>
      <c r="T52" s="121">
        <v>0.97225045846879043</v>
      </c>
      <c r="U52" s="118">
        <v>2.7749541531209565E-2</v>
      </c>
      <c r="V52" s="118">
        <v>0.65250051149985355</v>
      </c>
      <c r="W52" s="118">
        <v>0.34623039659117111</v>
      </c>
      <c r="X52" s="118">
        <v>1.2690919089753871E-3</v>
      </c>
      <c r="Y52" s="116">
        <v>128925.52990747662</v>
      </c>
      <c r="Z52" s="117">
        <v>68410.578327343639</v>
      </c>
      <c r="AA52" s="117">
        <v>250.75589058136637</v>
      </c>
      <c r="AB52" s="117">
        <v>103377.4286750742</v>
      </c>
      <c r="AC52" s="113">
        <v>65</v>
      </c>
      <c r="AD52" s="122">
        <v>47</v>
      </c>
      <c r="AE52" s="113">
        <v>1785542</v>
      </c>
      <c r="AF52" s="122">
        <v>795493</v>
      </c>
      <c r="AG52" s="123">
        <v>0.44551906367926375</v>
      </c>
      <c r="AH52" s="118">
        <v>0.50474202392821532</v>
      </c>
      <c r="AI52" s="113">
        <v>131674.69632352938</v>
      </c>
      <c r="AJ52" s="122">
        <v>65837.34816176469</v>
      </c>
      <c r="AK52" s="118">
        <v>0.48239153610599173</v>
      </c>
      <c r="AL52" s="116">
        <v>284367098.69999987</v>
      </c>
      <c r="AM52" s="117">
        <v>30222821.391546212</v>
      </c>
      <c r="AN52" s="118">
        <v>0.10628100624056558</v>
      </c>
      <c r="AO52" s="116">
        <v>21237658.275140584</v>
      </c>
      <c r="AP52" s="118">
        <v>9.6612117268807113E-2</v>
      </c>
      <c r="AQ52" s="122">
        <v>2</v>
      </c>
      <c r="AR52" s="113">
        <v>48</v>
      </c>
      <c r="AS52" s="117">
        <v>28819174.816729385</v>
      </c>
      <c r="AT52" s="116">
        <v>50056833.091869965</v>
      </c>
      <c r="AU52" s="113">
        <v>70</v>
      </c>
      <c r="AV52" s="122">
        <v>2</v>
      </c>
      <c r="AW52" s="122">
        <v>11</v>
      </c>
      <c r="AX52" s="122">
        <v>50</v>
      </c>
      <c r="AY52" s="123">
        <v>2.8571428571428571E-2</v>
      </c>
      <c r="AZ52" s="122">
        <v>189589.53987961606</v>
      </c>
      <c r="BA52" s="114">
        <v>68.297552435331824</v>
      </c>
      <c r="BB52" s="118">
        <v>0.42968028017541954</v>
      </c>
      <c r="BC52" s="124">
        <v>497.55240421388112</v>
      </c>
      <c r="BD52" s="74" t="s">
        <v>1160</v>
      </c>
      <c r="BE52" s="88" t="str">
        <f>IFERROR(_xlfn.XLOOKUP([2]!BaseMaestraCeDi[[#This Row],[CeDi]], '[2]Potencial Hor x CeDi'!$B$6:$BU$6, '[2]Potencial Hor x CeDi'!$B$21:$BU$21) / 1000, "")</f>
        <v/>
      </c>
      <c r="BF52" s="89" t="str">
        <f>IFERROR(_xlfn.XLOOKUP([2]!BaseMaestraCeDi[[#This Row],[CeDi]], '[2]Potencial Hor x CeDi'!$B$6:$BU$6, '[2]Potencial Hor x CeDi'!$B$22:$BU$22) / 1000, "")</f>
        <v/>
      </c>
      <c r="BG52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52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52" s="78" t="str">
        <f>IFERROR(INDEX('[2]Potencial Hor SocioDem x CeDi'!$C$2:$AF$81, MATCH($C52,'[2]Potencial Hor SocioDem x CeDi'!$B$2:$B$81,0), MATCH(BI$4,'[2]Potencial Hor SocioDem x CeDi'!$C$1:$AF$1,0)), "")</f>
        <v/>
      </c>
      <c r="BJ52" s="78" t="str">
        <f>IFERROR(INDEX('[2]Potencial Hor SocioDem x CeDi'!$C$2:$AF$81, MATCH($C52,'[2]Potencial Hor SocioDem x CeDi'!$B$2:$B$81,0), MATCH(BJ$4,'[2]Potencial Hor SocioDem x CeDi'!$C$1:$AF$1,0)), "")</f>
        <v/>
      </c>
      <c r="BK52" s="78" t="str">
        <f>IFERROR(INDEX('[2]Potencial Hor SocioDem x CeDi'!$C$2:$AF$81, MATCH($C52,'[2]Potencial Hor SocioDem x CeDi'!$B$2:$B$81,0), MATCH(BK$4,'[2]Potencial Hor SocioDem x CeDi'!$C$1:$AF$1,0)), "")</f>
        <v/>
      </c>
      <c r="BL52" s="79" t="str">
        <f>IFERROR(INDEX('[2]Potencial Hor SocioDem x CeDi'!$C$2:$AF$81, MATCH($C52,'[2]Potencial Hor SocioDem x CeDi'!$B$2:$B$81,0), MATCH(BL$4,'[2]Potencial Hor SocioDem x CeDi'!$C$1:$AF$1,0)), "")</f>
        <v/>
      </c>
      <c r="BM52" s="79" t="str">
        <f>IFERROR(INDEX('[2]Potencial Hor SocioDem x CeDi'!$C$2:$AF$81, MATCH($C52,'[2]Potencial Hor SocioDem x CeDi'!$B$2:$B$81,0), MATCH(BM$4,'[2]Potencial Hor SocioDem x CeDi'!$C$1:$AF$1,0)), "")</f>
        <v/>
      </c>
      <c r="BN52" s="78" t="str">
        <f>IFERROR(INDEX('[2]Potencial Hor SocioDem x CeDi'!$C$2:$AF$81, MATCH($C52,'[2]Potencial Hor SocioDem x CeDi'!$B$2:$B$81,0), MATCH(BN$4,'[2]Potencial Hor SocioDem x CeDi'!$C$1:$AF$1,0)), "")</f>
        <v/>
      </c>
      <c r="BO52" s="78" t="str">
        <f>IFERROR(INDEX('[2]Potencial Hor SocioDem x CeDi'!$C$2:$AF$81, MATCH($C52,'[2]Potencial Hor SocioDem x CeDi'!$B$2:$B$81,0), MATCH(BO$4,'[2]Potencial Hor SocioDem x CeDi'!$C$1:$AF$1,0)), "")</f>
        <v/>
      </c>
      <c r="BP52" s="78" t="str">
        <f>IFERROR(INDEX('[2]Potencial Hor SocioDem x CeDi'!$C$2:$AF$81, MATCH($C52,'[2]Potencial Hor SocioDem x CeDi'!$B$2:$B$81,0), MATCH(BP$4,'[2]Potencial Hor SocioDem x CeDi'!$C$1:$AF$1,0)), "")</f>
        <v/>
      </c>
      <c r="BQ52" s="80" t="str">
        <f>IFERROR(INDEX('[2]Potencial Hor SocioDem x CeDi'!$C$2:$AF$81, MATCH($C52,'[2]Potencial Hor SocioDem x CeDi'!$B$2:$B$81,0), MATCH(BQ$4,'[2]Potencial Hor SocioDem x CeDi'!$C$1:$AF$1,0)), "")</f>
        <v/>
      </c>
      <c r="BR52" s="80" t="str">
        <f>IFERROR(INDEX('[2]Potencial Hor SocioDem x CeDi'!$C$2:$AF$81, MATCH($C52,'[2]Potencial Hor SocioDem x CeDi'!$B$2:$B$81,0), MATCH(BR$4,'[2]Potencial Hor SocioDem x CeDi'!$C$1:$AF$1,0)), "")</f>
        <v/>
      </c>
      <c r="BS52" s="80" t="str">
        <f>IFERROR(INDEX('[2]Potencial Hor SocioDem x CeDi'!$C$2:$AF$81, MATCH($C52,'[2]Potencial Hor SocioDem x CeDi'!$B$2:$B$81,0), MATCH(BS$4,'[2]Potencial Hor SocioDem x CeDi'!$C$1:$AF$1,0)), "")</f>
        <v/>
      </c>
      <c r="BT52" s="80" t="str">
        <f>IFERROR(INDEX('[2]Potencial Hor SocioDem x CeDi'!$C$2:$AF$81, MATCH($C52,'[2]Potencial Hor SocioDem x CeDi'!$B$2:$B$81,0), MATCH(BT$4,'[2]Potencial Hor SocioDem x CeDi'!$C$1:$AF$1,0)), "")</f>
        <v/>
      </c>
      <c r="BU52" s="80" t="str">
        <f>IFERROR(INDEX('[2]Potencial Hor SocioDem x CeDi'!$C$2:$AF$81, MATCH($C52,'[2]Potencial Hor SocioDem x CeDi'!$B$2:$B$81,0), MATCH(BU$4,'[2]Potencial Hor SocioDem x CeDi'!$C$1:$AF$1,0)), "")</f>
        <v/>
      </c>
      <c r="BV52" s="80" t="str">
        <f>IFERROR(INDEX('[2]Potencial Hor SocioDem x CeDi'!$C$2:$AF$81, MATCH($C52,'[2]Potencial Hor SocioDem x CeDi'!$B$2:$B$81,0), MATCH(BV$4,'[2]Potencial Hor SocioDem x CeDi'!$C$1:$AF$1,0)), "")</f>
        <v/>
      </c>
      <c r="BW52" s="80" t="str">
        <f>IFERROR(INDEX('[2]Potencial Hor SocioDem x CeDi'!$C$2:$AF$81, MATCH($C52,'[2]Potencial Hor SocioDem x CeDi'!$B$2:$B$81,0), MATCH(BW$4,'[2]Potencial Hor SocioDem x CeDi'!$C$1:$AF$1,0)), "")</f>
        <v/>
      </c>
      <c r="BX52" s="80" t="str">
        <f>IFERROR(INDEX('[2]Potencial Hor SocioDem x CeDi'!$C$2:$AF$81, MATCH($C52,'[2]Potencial Hor SocioDem x CeDi'!$B$2:$B$81,0), MATCH(BX$4,'[2]Potencial Hor SocioDem x CeDi'!$C$1:$AF$1,0)), "")</f>
        <v/>
      </c>
      <c r="BY52" s="80" t="str">
        <f>IFERROR(INDEX('[2]Potencial Hor SocioDem x CeDi'!$C$2:$AF$81, MATCH($C52,'[2]Potencial Hor SocioDem x CeDi'!$B$2:$B$81,0), MATCH(BY$4,'[2]Potencial Hor SocioDem x CeDi'!$C$1:$AF$1,0)), "")</f>
        <v/>
      </c>
      <c r="BZ52" s="79" t="str">
        <f>IFERROR(INDEX('[2]Potencial Hor SocioDem x CeDi'!$C$2:$AF$81, MATCH($C52,'[2]Potencial Hor SocioDem x CeDi'!$B$2:$B$81,0), MATCH(BZ$4,'[2]Potencial Hor SocioDem x CeDi'!$C$1:$AF$1,0)), "")</f>
        <v/>
      </c>
      <c r="CA52" s="79" t="str">
        <f>IFERROR(INDEX('[2]Potencial Hor SocioDem x CeDi'!$C$2:$AF$81, MATCH($C52,'[2]Potencial Hor SocioDem x CeDi'!$B$2:$B$81,0), MATCH(CA$4,'[2]Potencial Hor SocioDem x CeDi'!$C$1:$AF$1,0)), "")</f>
        <v/>
      </c>
      <c r="CB52" s="81" t="str">
        <f>IFERROR(INDEX('[2]Potencial Hor SocioDem x CeDi'!$C$2:$AF$81, MATCH($C52,'[2]Potencial Hor SocioDem x CeDi'!$B$2:$B$81,0), MATCH(CB$4,'[2]Potencial Hor SocioDem x CeDi'!$C$1:$AF$1,0)), "")</f>
        <v/>
      </c>
      <c r="CC52" s="82" t="str">
        <f>IFERROR(INDEX('[2]Potencial Hor SocioDem x CeDi'!$C$2:$AF$81, MATCH($C52,'[2]Potencial Hor SocioDem x CeDi'!$B$2:$B$81,0), MATCH(CC$4,'[2]Potencial Hor SocioDem x CeDi'!$C$1:$AF$1,0)), "")</f>
        <v/>
      </c>
      <c r="CD52" s="83" t="str">
        <f>IFERROR(INDEX('[2]Potencial Hor SocioDem x CeDi'!$C$2:$AF$81, MATCH($C52,'[2]Potencial Hor SocioDem x CeDi'!$B$2:$B$81,0), MATCH(CD$4,'[2]Potencial Hor SocioDem x CeDi'!$C$1:$AF$1,0)), "")</f>
        <v/>
      </c>
      <c r="CE52" s="78" t="str">
        <f>IFERROR(_xlfn.XLOOKUP([2]!BaseMaestraCeDi[[#This Row],[CeDi]], '[2]Potencial Hor x CeDi'!$B$6:$BU$6, '[2]Potencial Hor x CeDi'!$B$50:$BU$50), "")</f>
        <v/>
      </c>
      <c r="CF52" s="90" t="str">
        <f>IFERROR(_xlfn.XLOOKUP([2]!BaseMaestraCeDi[[#This Row],[CeDi]], '[2]Potencial Hor x CeDi'!$B$6:$BU$6, '[2]Potencial Hor x CeDi'!$B$34:$BU$34), "")</f>
        <v/>
      </c>
      <c r="CG52" s="90" t="str">
        <f>IFERROR(_xlfn.XLOOKUP([2]!BaseMaestraCeDi[[#This Row],[CeDi]], '[2]Potencial Hor x CeDi'!$B$6:$BU$6, '[2]Potencial Hor x CeDi'!$B$64:$BU$64), "")</f>
        <v/>
      </c>
      <c r="CH52" s="91" t="str">
        <f>IFERROR(_xlfn.XLOOKUP([2]!BaseMaestraCeDi[[#This Row],[CeDi]], '[2]Potencial Hor x CeDi'!$B$6:$BU$6, '[2]Potencial Hor x CeDi'!$B$38:$BU$38), "")</f>
        <v/>
      </c>
      <c r="CI52" s="90" t="str">
        <f>IFERROR(_xlfn.XLOOKUP([2]!BaseMaestraCeDi[[#This Row],[CeDi]], '[2]Potencial Hor x CeDi'!$B$6:$BU$6, '[2]Potencial Hor x CeDi'!$B$26:$BU$26), "")</f>
        <v/>
      </c>
      <c r="CJ52" s="92" t="str">
        <f>IFERROR(_xlfn.XLOOKUP([2]!BaseMaestraCeDi[[#This Row],[CeDi]], '[2]Potencial Hor x CeDi'!$B$6:$BU$6, '[2]Potencial Hor x CeDi'!$B$27:$BU$27), "")</f>
        <v/>
      </c>
      <c r="CK52" s="90" t="str">
        <f>IFERROR(_xlfn.XLOOKUP([2]!BaseMaestraCeDi[[#This Row],[CeDi]], '[2]Potencial Hor x CeDi'!$B$6:$BU$6, '[2]Potencial Hor x CeDi'!$B$28:$BU$28), "")</f>
        <v/>
      </c>
      <c r="CL52" s="92" t="str">
        <f>IFERROR(_xlfn.XLOOKUP([2]!BaseMaestraCeDi[[#This Row],[CeDi]], '[2]Potencial Hor x CeDi'!$B$6:$BU$6, '[2]Potencial Hor x CeDi'!$B$29:$BU$29), "")</f>
        <v/>
      </c>
      <c r="CM52" s="93" t="str">
        <f>IFERROR(_xlfn.XLOOKUP([2]!BaseMaestraCeDi[[#This Row],[CeDi]], '[2]Potencial Hor x CeDi'!$B$6:$BU$6, '[2]Potencial Hor x CeDi'!$B$39:$BU$39), "")</f>
        <v/>
      </c>
      <c r="CN52" s="94" t="str">
        <f>IFERROR(_xlfn.XLOOKUP([2]!BaseMaestraCeDi[[#This Row],[CeDi]], '[2]Potencial Hor x CeDi'!$B$6:$BU$6, '[2]Potencial Hor x CeDi'!$B$43:$BU$43), "")</f>
        <v/>
      </c>
      <c r="CO52" s="94" t="str">
        <f>IFERROR(_xlfn.XLOOKUP([2]!BaseMaestraCeDi[[#This Row],[CeDi]], '[2]Potencial Hor x CeDi'!$B$6:$BU$6, '[2]Potencial Hor x CeDi'!$B$46:$BU$46), "")</f>
        <v/>
      </c>
      <c r="CP52" s="86" t="str">
        <f>IFERROR(_xlfn.XLOOKUP([2]!BaseMaestraCeDi[[#This Row],[CeDi]], '[2]Potencial Hor x CeDi'!$B$6:$BU$6, '[2]Potencial Hor x CeDi'!$B$51:$BU$51), "")</f>
        <v/>
      </c>
      <c r="CQ52" s="82" t="str">
        <f>IFERROR(_xlfn.XLOOKUP([2]!BaseMaestraCeDi[[#This Row],[CeDi]], '[2]Potencial Hor x CeDi'!$B$6:$BU$6, '[2]Potencial Hor x CeDi'!$B$52:$BU$52), "")</f>
        <v/>
      </c>
      <c r="CR52" s="82" t="str">
        <f>IFERROR(_xlfn.XLOOKUP([2]!BaseMaestraCeDi[[#This Row],[CeDi]], '[2]Potencial Hor x CeDi'!$B$6:$BU$6, '[2]Potencial Hor x CeDi'!$B$53:$BU$53), "")</f>
        <v/>
      </c>
      <c r="CS52" s="87" t="str">
        <f>IFERROR(_xlfn.XLOOKUP([2]!BaseMaestraCeDi[[#This Row],[CeDi]], '[2]Potencial Hor x CeDi'!$B$6:$BU$6, '[2]Potencial Hor x CeDi'!$B$60:$BU$60), "")</f>
        <v/>
      </c>
      <c r="CT52" s="90" t="str">
        <f>IFERROR(_xlfn.XLOOKUP([2]!BaseMaestraCeDi[[#This Row],[CeDi]], '[2]Potencial Hor x CeDi'!$B$6:$BU$6, '[2]Potencial Hor x CeDi'!$B$65:$BU$65), "")</f>
        <v/>
      </c>
      <c r="CU52" s="90" t="str">
        <f>IFERROR(_xlfn.XLOOKUP([2]!BaseMaestraCeDi[[#This Row],[CeDi]], '[2]Potencial Hor x CeDi'!$B$6:$BU$6, '[2]Potencial Hor x CeDi'!$B$68:$BU$68), "")</f>
        <v/>
      </c>
      <c r="CV52" s="95" t="str">
        <f>IFERROR(_xlfn.XLOOKUP([2]!BaseMaestraCeDi[[#This Row],[CeDi]], '[2]Potencial Hor x CeDi'!$B$6:$BU$6, '[2]Potencial Hor x CeDi'!$B$71:$BU$71), "")</f>
        <v/>
      </c>
    </row>
    <row r="53" spans="1:100">
      <c r="A53" s="100" t="s">
        <v>94</v>
      </c>
      <c r="B53" s="100" t="s">
        <v>510</v>
      </c>
      <c r="C53" s="100" t="s">
        <v>859</v>
      </c>
      <c r="D53" s="101">
        <v>10</v>
      </c>
      <c r="E53" s="102">
        <v>1518.9725855388244</v>
      </c>
      <c r="F53" s="103">
        <v>87.431175248655094</v>
      </c>
      <c r="G53" s="103">
        <v>1606.4037607874795</v>
      </c>
      <c r="H53" s="104">
        <v>5546.1445717076313</v>
      </c>
      <c r="I53" s="105">
        <v>8925.5115990452596</v>
      </c>
      <c r="J53" s="105">
        <v>1392.759200596764</v>
      </c>
      <c r="K53" s="105">
        <v>15864.415371349654</v>
      </c>
      <c r="L53" s="104">
        <v>30601.995418491322</v>
      </c>
      <c r="M53" s="106">
        <v>0.51841114131281607</v>
      </c>
      <c r="N53" s="107" t="s">
        <v>211</v>
      </c>
      <c r="O53" s="102">
        <v>73.54734506390696</v>
      </c>
      <c r="P53" s="103">
        <v>2</v>
      </c>
      <c r="Q53" s="103">
        <v>1</v>
      </c>
      <c r="R53" s="108">
        <v>21</v>
      </c>
      <c r="S53" s="107">
        <v>136</v>
      </c>
      <c r="T53" s="125">
        <v>0.941031495030069</v>
      </c>
      <c r="U53" s="106">
        <v>5.8968504969931002E-2</v>
      </c>
      <c r="V53" s="106">
        <v>0.70801028270598931</v>
      </c>
      <c r="W53" s="106">
        <v>0.29195622143952998</v>
      </c>
      <c r="X53" s="106">
        <v>3.349585448071406E-5</v>
      </c>
      <c r="Y53" s="104">
        <v>21666.52742761343</v>
      </c>
      <c r="Z53" s="105">
        <v>8934.442950892535</v>
      </c>
      <c r="AA53" s="105">
        <v>1.0250399853572636</v>
      </c>
      <c r="AB53" s="105">
        <v>97661.265611548937</v>
      </c>
      <c r="AC53" s="101">
        <v>12</v>
      </c>
      <c r="AD53" s="109">
        <v>7</v>
      </c>
      <c r="AE53" s="101">
        <v>311769</v>
      </c>
      <c r="AF53" s="109">
        <v>149057</v>
      </c>
      <c r="AG53" s="110">
        <v>0.47810077332897111</v>
      </c>
      <c r="AH53" s="106">
        <v>0.52393875788094324</v>
      </c>
      <c r="AI53" s="101">
        <v>15526.873245843826</v>
      </c>
      <c r="AJ53" s="109">
        <v>7763.4366229219131</v>
      </c>
      <c r="AK53" s="106">
        <v>0.5030020195174052</v>
      </c>
      <c r="AL53" s="104">
        <v>43467899.950000003</v>
      </c>
      <c r="AM53" s="105">
        <v>2551159.2447892907</v>
      </c>
      <c r="AN53" s="106">
        <v>5.8690648679228186E-2</v>
      </c>
      <c r="AO53" s="104">
        <v>1792706.4963384205</v>
      </c>
      <c r="AP53" s="106">
        <v>8.1551915003516707E-3</v>
      </c>
      <c r="AQ53" s="109">
        <v>23</v>
      </c>
      <c r="AR53" s="101">
        <v>9</v>
      </c>
      <c r="AS53" s="105">
        <v>2339687.8508981587</v>
      </c>
      <c r="AT53" s="104">
        <v>4132394.3472365793</v>
      </c>
      <c r="AU53" s="101">
        <v>22</v>
      </c>
      <c r="AV53" s="109">
        <v>0</v>
      </c>
      <c r="AW53" s="109">
        <v>3</v>
      </c>
      <c r="AX53" s="109">
        <v>7</v>
      </c>
      <c r="AY53" s="110">
        <v>0</v>
      </c>
      <c r="AZ53" s="109">
        <v>32248.656910737904</v>
      </c>
      <c r="BA53" s="102">
        <v>73.547345063906988</v>
      </c>
      <c r="BB53" s="106">
        <v>0.48322999553369128</v>
      </c>
      <c r="BC53" s="111">
        <v>513.6650907760652</v>
      </c>
      <c r="BD53" s="74"/>
      <c r="BE53" s="88" t="str">
        <f>IFERROR(_xlfn.XLOOKUP([2]!BaseMaestraCeDi[[#This Row],[CeDi]], '[2]Potencial Hor x CeDi'!$B$6:$BU$6, '[2]Potencial Hor x CeDi'!$B$21:$BU$21) / 1000, "")</f>
        <v/>
      </c>
      <c r="BF53" s="89" t="str">
        <f>IFERROR(_xlfn.XLOOKUP([2]!BaseMaestraCeDi[[#This Row],[CeDi]], '[2]Potencial Hor x CeDi'!$B$6:$BU$6, '[2]Potencial Hor x CeDi'!$B$22:$BU$22) / 1000, "")</f>
        <v/>
      </c>
      <c r="BG53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53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53" s="78" t="str">
        <f>IFERROR(INDEX('[2]Potencial Hor SocioDem x CeDi'!$C$2:$AF$81, MATCH($C53,'[2]Potencial Hor SocioDem x CeDi'!$B$2:$B$81,0), MATCH(BI$4,'[2]Potencial Hor SocioDem x CeDi'!$C$1:$AF$1,0)), "")</f>
        <v/>
      </c>
      <c r="BJ53" s="78" t="str">
        <f>IFERROR(INDEX('[2]Potencial Hor SocioDem x CeDi'!$C$2:$AF$81, MATCH($C53,'[2]Potencial Hor SocioDem x CeDi'!$B$2:$B$81,0), MATCH(BJ$4,'[2]Potencial Hor SocioDem x CeDi'!$C$1:$AF$1,0)), "")</f>
        <v/>
      </c>
      <c r="BK53" s="78" t="str">
        <f>IFERROR(INDEX('[2]Potencial Hor SocioDem x CeDi'!$C$2:$AF$81, MATCH($C53,'[2]Potencial Hor SocioDem x CeDi'!$B$2:$B$81,0), MATCH(BK$4,'[2]Potencial Hor SocioDem x CeDi'!$C$1:$AF$1,0)), "")</f>
        <v/>
      </c>
      <c r="BL53" s="79" t="str">
        <f>IFERROR(INDEX('[2]Potencial Hor SocioDem x CeDi'!$C$2:$AF$81, MATCH($C53,'[2]Potencial Hor SocioDem x CeDi'!$B$2:$B$81,0), MATCH(BL$4,'[2]Potencial Hor SocioDem x CeDi'!$C$1:$AF$1,0)), "")</f>
        <v/>
      </c>
      <c r="BM53" s="79" t="str">
        <f>IFERROR(INDEX('[2]Potencial Hor SocioDem x CeDi'!$C$2:$AF$81, MATCH($C53,'[2]Potencial Hor SocioDem x CeDi'!$B$2:$B$81,0), MATCH(BM$4,'[2]Potencial Hor SocioDem x CeDi'!$C$1:$AF$1,0)), "")</f>
        <v/>
      </c>
      <c r="BN53" s="78" t="str">
        <f>IFERROR(INDEX('[2]Potencial Hor SocioDem x CeDi'!$C$2:$AF$81, MATCH($C53,'[2]Potencial Hor SocioDem x CeDi'!$B$2:$B$81,0), MATCH(BN$4,'[2]Potencial Hor SocioDem x CeDi'!$C$1:$AF$1,0)), "")</f>
        <v/>
      </c>
      <c r="BO53" s="78" t="str">
        <f>IFERROR(INDEX('[2]Potencial Hor SocioDem x CeDi'!$C$2:$AF$81, MATCH($C53,'[2]Potencial Hor SocioDem x CeDi'!$B$2:$B$81,0), MATCH(BO$4,'[2]Potencial Hor SocioDem x CeDi'!$C$1:$AF$1,0)), "")</f>
        <v/>
      </c>
      <c r="BP53" s="78" t="str">
        <f>IFERROR(INDEX('[2]Potencial Hor SocioDem x CeDi'!$C$2:$AF$81, MATCH($C53,'[2]Potencial Hor SocioDem x CeDi'!$B$2:$B$81,0), MATCH(BP$4,'[2]Potencial Hor SocioDem x CeDi'!$C$1:$AF$1,0)), "")</f>
        <v/>
      </c>
      <c r="BQ53" s="80" t="str">
        <f>IFERROR(INDEX('[2]Potencial Hor SocioDem x CeDi'!$C$2:$AF$81, MATCH($C53,'[2]Potencial Hor SocioDem x CeDi'!$B$2:$B$81,0), MATCH(BQ$4,'[2]Potencial Hor SocioDem x CeDi'!$C$1:$AF$1,0)), "")</f>
        <v/>
      </c>
      <c r="BR53" s="80" t="str">
        <f>IFERROR(INDEX('[2]Potencial Hor SocioDem x CeDi'!$C$2:$AF$81, MATCH($C53,'[2]Potencial Hor SocioDem x CeDi'!$B$2:$B$81,0), MATCH(BR$4,'[2]Potencial Hor SocioDem x CeDi'!$C$1:$AF$1,0)), "")</f>
        <v/>
      </c>
      <c r="BS53" s="80" t="str">
        <f>IFERROR(INDEX('[2]Potencial Hor SocioDem x CeDi'!$C$2:$AF$81, MATCH($C53,'[2]Potencial Hor SocioDem x CeDi'!$B$2:$B$81,0), MATCH(BS$4,'[2]Potencial Hor SocioDem x CeDi'!$C$1:$AF$1,0)), "")</f>
        <v/>
      </c>
      <c r="BT53" s="80" t="str">
        <f>IFERROR(INDEX('[2]Potencial Hor SocioDem x CeDi'!$C$2:$AF$81, MATCH($C53,'[2]Potencial Hor SocioDem x CeDi'!$B$2:$B$81,0), MATCH(BT$4,'[2]Potencial Hor SocioDem x CeDi'!$C$1:$AF$1,0)), "")</f>
        <v/>
      </c>
      <c r="BU53" s="80" t="str">
        <f>IFERROR(INDEX('[2]Potencial Hor SocioDem x CeDi'!$C$2:$AF$81, MATCH($C53,'[2]Potencial Hor SocioDem x CeDi'!$B$2:$B$81,0), MATCH(BU$4,'[2]Potencial Hor SocioDem x CeDi'!$C$1:$AF$1,0)), "")</f>
        <v/>
      </c>
      <c r="BV53" s="80" t="str">
        <f>IFERROR(INDEX('[2]Potencial Hor SocioDem x CeDi'!$C$2:$AF$81, MATCH($C53,'[2]Potencial Hor SocioDem x CeDi'!$B$2:$B$81,0), MATCH(BV$4,'[2]Potencial Hor SocioDem x CeDi'!$C$1:$AF$1,0)), "")</f>
        <v/>
      </c>
      <c r="BW53" s="80" t="str">
        <f>IFERROR(INDEX('[2]Potencial Hor SocioDem x CeDi'!$C$2:$AF$81, MATCH($C53,'[2]Potencial Hor SocioDem x CeDi'!$B$2:$B$81,0), MATCH(BW$4,'[2]Potencial Hor SocioDem x CeDi'!$C$1:$AF$1,0)), "")</f>
        <v/>
      </c>
      <c r="BX53" s="80" t="str">
        <f>IFERROR(INDEX('[2]Potencial Hor SocioDem x CeDi'!$C$2:$AF$81, MATCH($C53,'[2]Potencial Hor SocioDem x CeDi'!$B$2:$B$81,0), MATCH(BX$4,'[2]Potencial Hor SocioDem x CeDi'!$C$1:$AF$1,0)), "")</f>
        <v/>
      </c>
      <c r="BY53" s="80" t="str">
        <f>IFERROR(INDEX('[2]Potencial Hor SocioDem x CeDi'!$C$2:$AF$81, MATCH($C53,'[2]Potencial Hor SocioDem x CeDi'!$B$2:$B$81,0), MATCH(BY$4,'[2]Potencial Hor SocioDem x CeDi'!$C$1:$AF$1,0)), "")</f>
        <v/>
      </c>
      <c r="BZ53" s="79" t="str">
        <f>IFERROR(INDEX('[2]Potencial Hor SocioDem x CeDi'!$C$2:$AF$81, MATCH($C53,'[2]Potencial Hor SocioDem x CeDi'!$B$2:$B$81,0), MATCH(BZ$4,'[2]Potencial Hor SocioDem x CeDi'!$C$1:$AF$1,0)), "")</f>
        <v/>
      </c>
      <c r="CA53" s="79" t="str">
        <f>IFERROR(INDEX('[2]Potencial Hor SocioDem x CeDi'!$C$2:$AF$81, MATCH($C53,'[2]Potencial Hor SocioDem x CeDi'!$B$2:$B$81,0), MATCH(CA$4,'[2]Potencial Hor SocioDem x CeDi'!$C$1:$AF$1,0)), "")</f>
        <v/>
      </c>
      <c r="CB53" s="81" t="str">
        <f>IFERROR(INDEX('[2]Potencial Hor SocioDem x CeDi'!$C$2:$AF$81, MATCH($C53,'[2]Potencial Hor SocioDem x CeDi'!$B$2:$B$81,0), MATCH(CB$4,'[2]Potencial Hor SocioDem x CeDi'!$C$1:$AF$1,0)), "")</f>
        <v/>
      </c>
      <c r="CC53" s="82" t="str">
        <f>IFERROR(INDEX('[2]Potencial Hor SocioDem x CeDi'!$C$2:$AF$81, MATCH($C53,'[2]Potencial Hor SocioDem x CeDi'!$B$2:$B$81,0), MATCH(CC$4,'[2]Potencial Hor SocioDem x CeDi'!$C$1:$AF$1,0)), "")</f>
        <v/>
      </c>
      <c r="CD53" s="83" t="str">
        <f>IFERROR(INDEX('[2]Potencial Hor SocioDem x CeDi'!$C$2:$AF$81, MATCH($C53,'[2]Potencial Hor SocioDem x CeDi'!$B$2:$B$81,0), MATCH(CD$4,'[2]Potencial Hor SocioDem x CeDi'!$C$1:$AF$1,0)), "")</f>
        <v/>
      </c>
      <c r="CE53" s="78" t="str">
        <f>IFERROR(_xlfn.XLOOKUP([2]!BaseMaestraCeDi[[#This Row],[CeDi]], '[2]Potencial Hor x CeDi'!$B$6:$BU$6, '[2]Potencial Hor x CeDi'!$B$50:$BU$50), "")</f>
        <v/>
      </c>
      <c r="CF53" s="90" t="str">
        <f>IFERROR(_xlfn.XLOOKUP([2]!BaseMaestraCeDi[[#This Row],[CeDi]], '[2]Potencial Hor x CeDi'!$B$6:$BU$6, '[2]Potencial Hor x CeDi'!$B$34:$BU$34), "")</f>
        <v/>
      </c>
      <c r="CG53" s="90" t="str">
        <f>IFERROR(_xlfn.XLOOKUP([2]!BaseMaestraCeDi[[#This Row],[CeDi]], '[2]Potencial Hor x CeDi'!$B$6:$BU$6, '[2]Potencial Hor x CeDi'!$B$64:$BU$64), "")</f>
        <v/>
      </c>
      <c r="CH53" s="91" t="str">
        <f>IFERROR(_xlfn.XLOOKUP([2]!BaseMaestraCeDi[[#This Row],[CeDi]], '[2]Potencial Hor x CeDi'!$B$6:$BU$6, '[2]Potencial Hor x CeDi'!$B$38:$BU$38), "")</f>
        <v/>
      </c>
      <c r="CI53" s="90" t="str">
        <f>IFERROR(_xlfn.XLOOKUP([2]!BaseMaestraCeDi[[#This Row],[CeDi]], '[2]Potencial Hor x CeDi'!$B$6:$BU$6, '[2]Potencial Hor x CeDi'!$B$26:$BU$26), "")</f>
        <v/>
      </c>
      <c r="CJ53" s="92" t="str">
        <f>IFERROR(_xlfn.XLOOKUP([2]!BaseMaestraCeDi[[#This Row],[CeDi]], '[2]Potencial Hor x CeDi'!$B$6:$BU$6, '[2]Potencial Hor x CeDi'!$B$27:$BU$27), "")</f>
        <v/>
      </c>
      <c r="CK53" s="90" t="str">
        <f>IFERROR(_xlfn.XLOOKUP([2]!BaseMaestraCeDi[[#This Row],[CeDi]], '[2]Potencial Hor x CeDi'!$B$6:$BU$6, '[2]Potencial Hor x CeDi'!$B$28:$BU$28), "")</f>
        <v/>
      </c>
      <c r="CL53" s="92" t="str">
        <f>IFERROR(_xlfn.XLOOKUP([2]!BaseMaestraCeDi[[#This Row],[CeDi]], '[2]Potencial Hor x CeDi'!$B$6:$BU$6, '[2]Potencial Hor x CeDi'!$B$29:$BU$29), "")</f>
        <v/>
      </c>
      <c r="CM53" s="93" t="str">
        <f>IFERROR(_xlfn.XLOOKUP([2]!BaseMaestraCeDi[[#This Row],[CeDi]], '[2]Potencial Hor x CeDi'!$B$6:$BU$6, '[2]Potencial Hor x CeDi'!$B$39:$BU$39), "")</f>
        <v/>
      </c>
      <c r="CN53" s="94" t="str">
        <f>IFERROR(_xlfn.XLOOKUP([2]!BaseMaestraCeDi[[#This Row],[CeDi]], '[2]Potencial Hor x CeDi'!$B$6:$BU$6, '[2]Potencial Hor x CeDi'!$B$43:$BU$43), "")</f>
        <v/>
      </c>
      <c r="CO53" s="94" t="str">
        <f>IFERROR(_xlfn.XLOOKUP([2]!BaseMaestraCeDi[[#This Row],[CeDi]], '[2]Potencial Hor x CeDi'!$B$6:$BU$6, '[2]Potencial Hor x CeDi'!$B$46:$BU$46), "")</f>
        <v/>
      </c>
      <c r="CP53" s="86" t="str">
        <f>IFERROR(_xlfn.XLOOKUP([2]!BaseMaestraCeDi[[#This Row],[CeDi]], '[2]Potencial Hor x CeDi'!$B$6:$BU$6, '[2]Potencial Hor x CeDi'!$B$51:$BU$51), "")</f>
        <v/>
      </c>
      <c r="CQ53" s="82" t="str">
        <f>IFERROR(_xlfn.XLOOKUP([2]!BaseMaestraCeDi[[#This Row],[CeDi]], '[2]Potencial Hor x CeDi'!$B$6:$BU$6, '[2]Potencial Hor x CeDi'!$B$52:$BU$52), "")</f>
        <v/>
      </c>
      <c r="CR53" s="82" t="str">
        <f>IFERROR(_xlfn.XLOOKUP([2]!BaseMaestraCeDi[[#This Row],[CeDi]], '[2]Potencial Hor x CeDi'!$B$6:$BU$6, '[2]Potencial Hor x CeDi'!$B$53:$BU$53), "")</f>
        <v/>
      </c>
      <c r="CS53" s="87" t="str">
        <f>IFERROR(_xlfn.XLOOKUP([2]!BaseMaestraCeDi[[#This Row],[CeDi]], '[2]Potencial Hor x CeDi'!$B$6:$BU$6, '[2]Potencial Hor x CeDi'!$B$60:$BU$60), "")</f>
        <v/>
      </c>
      <c r="CT53" s="90" t="str">
        <f>IFERROR(_xlfn.XLOOKUP([2]!BaseMaestraCeDi[[#This Row],[CeDi]], '[2]Potencial Hor x CeDi'!$B$6:$BU$6, '[2]Potencial Hor x CeDi'!$B$65:$BU$65), "")</f>
        <v/>
      </c>
      <c r="CU53" s="90" t="str">
        <f>IFERROR(_xlfn.XLOOKUP([2]!BaseMaestraCeDi[[#This Row],[CeDi]], '[2]Potencial Hor x CeDi'!$B$6:$BU$6, '[2]Potencial Hor x CeDi'!$B$68:$BU$68), "")</f>
        <v/>
      </c>
      <c r="CV53" s="95" t="str">
        <f>IFERROR(_xlfn.XLOOKUP([2]!BaseMaestraCeDi[[#This Row],[CeDi]], '[2]Potencial Hor x CeDi'!$B$6:$BU$6, '[2]Potencial Hor x CeDi'!$B$71:$BU$71), "")</f>
        <v/>
      </c>
    </row>
    <row r="54" spans="1:100">
      <c r="A54" s="112" t="s">
        <v>94</v>
      </c>
      <c r="B54" s="112" t="s">
        <v>882</v>
      </c>
      <c r="C54" s="112" t="s">
        <v>883</v>
      </c>
      <c r="D54" s="113">
        <v>4</v>
      </c>
      <c r="E54" s="114">
        <v>490.28271074446889</v>
      </c>
      <c r="F54" s="115">
        <v>32.641377118935239</v>
      </c>
      <c r="G54" s="115">
        <v>522.92408786340411</v>
      </c>
      <c r="H54" s="116">
        <v>1305.1780368317575</v>
      </c>
      <c r="I54" s="117">
        <v>2163.7771071941665</v>
      </c>
      <c r="J54" s="117">
        <v>564.71738923060639</v>
      </c>
      <c r="K54" s="117">
        <v>4033.6725332565302</v>
      </c>
      <c r="L54" s="116">
        <v>12366.309893886055</v>
      </c>
      <c r="M54" s="118">
        <v>0.32618239134139693</v>
      </c>
      <c r="N54" s="119" t="s">
        <v>171</v>
      </c>
      <c r="O54" s="114">
        <v>60.284323578224225</v>
      </c>
      <c r="P54" s="115">
        <v>2</v>
      </c>
      <c r="Q54" s="115">
        <v>1</v>
      </c>
      <c r="R54" s="120">
        <v>4</v>
      </c>
      <c r="S54" s="119">
        <v>32</v>
      </c>
      <c r="T54" s="121">
        <v>1</v>
      </c>
      <c r="U54" s="118">
        <v>0</v>
      </c>
      <c r="V54" s="118">
        <v>0.58256550928003514</v>
      </c>
      <c r="W54" s="118">
        <v>0.41682987119855108</v>
      </c>
      <c r="X54" s="118">
        <v>6.04619521413781E-4</v>
      </c>
      <c r="Y54" s="116">
        <v>7204.1856212464672</v>
      </c>
      <c r="Z54" s="117">
        <v>5154.6473602698925</v>
      </c>
      <c r="AA54" s="117">
        <v>7.4769123696958912</v>
      </c>
      <c r="AB54" s="117">
        <v>87246.182795698944</v>
      </c>
      <c r="AC54" s="113">
        <v>5</v>
      </c>
      <c r="AD54" s="122">
        <v>3</v>
      </c>
      <c r="AE54" s="113">
        <v>93028</v>
      </c>
      <c r="AF54" s="122">
        <v>59149</v>
      </c>
      <c r="AG54" s="123">
        <v>0.63581932321451606</v>
      </c>
      <c r="AH54" s="118">
        <v>0.71518626972506916</v>
      </c>
      <c r="AI54" s="113">
        <v>8227.844598991378</v>
      </c>
      <c r="AJ54" s="122">
        <v>4113.922299495689</v>
      </c>
      <c r="AK54" s="118">
        <v>0.68004173259121647</v>
      </c>
      <c r="AL54" s="116">
        <v>19445875.34</v>
      </c>
      <c r="AM54" s="117">
        <v>2171674.4558952348</v>
      </c>
      <c r="AN54" s="118">
        <v>0.11167789661945014</v>
      </c>
      <c r="AO54" s="116">
        <v>1526041.5095480029</v>
      </c>
      <c r="AP54" s="118">
        <v>6.9421072402363598E-3</v>
      </c>
      <c r="AQ54" s="122">
        <v>26</v>
      </c>
      <c r="AR54" s="113">
        <v>3</v>
      </c>
      <c r="AS54" s="117">
        <v>968524.23538702948</v>
      </c>
      <c r="AT54" s="116">
        <v>2494565.7449350324</v>
      </c>
      <c r="AU54" s="113">
        <v>5</v>
      </c>
      <c r="AV54" s="122">
        <v>0</v>
      </c>
      <c r="AW54" s="122">
        <v>2</v>
      </c>
      <c r="AX54" s="122">
        <v>3</v>
      </c>
      <c r="AY54" s="123">
        <v>0</v>
      </c>
      <c r="AZ54" s="122">
        <v>5381.02771491356</v>
      </c>
      <c r="BA54" s="114">
        <v>60.284323578224225</v>
      </c>
      <c r="BB54" s="118">
        <v>0.57958573899834609</v>
      </c>
      <c r="BC54" s="124">
        <v>439.32120437837784</v>
      </c>
      <c r="BD54" s="74" t="s">
        <v>1161</v>
      </c>
      <c r="BE54" s="88" t="str">
        <f>IFERROR(_xlfn.XLOOKUP([2]!BaseMaestraCeDi[[#This Row],[CeDi]], '[2]Potencial Hor x CeDi'!$B$6:$BU$6, '[2]Potencial Hor x CeDi'!$B$21:$BU$21) / 1000, "")</f>
        <v/>
      </c>
      <c r="BF54" s="89" t="str">
        <f>IFERROR(_xlfn.XLOOKUP([2]!BaseMaestraCeDi[[#This Row],[CeDi]], '[2]Potencial Hor x CeDi'!$B$6:$BU$6, '[2]Potencial Hor x CeDi'!$B$22:$BU$22) / 1000, "")</f>
        <v/>
      </c>
      <c r="BG54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54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54" s="78">
        <f>IFERROR(INDEX('[2]Potencial Hor SocioDem x CeDi'!$C$2:$AF$81, MATCH($C54,'[2]Potencial Hor SocioDem x CeDi'!$B$2:$B$81,0), MATCH(BI$4,'[2]Potencial Hor SocioDem x CeDi'!$C$1:$AF$1,0)), "")</f>
        <v>1937</v>
      </c>
      <c r="BJ54" s="78">
        <f>IFERROR(INDEX('[2]Potencial Hor SocioDem x CeDi'!$C$2:$AF$81, MATCH($C54,'[2]Potencial Hor SocioDem x CeDi'!$B$2:$B$81,0), MATCH(BJ$4,'[2]Potencial Hor SocioDem x CeDi'!$C$1:$AF$1,0)), "")</f>
        <v>125568</v>
      </c>
      <c r="BK54" s="78">
        <f>IFERROR(INDEX('[2]Potencial Hor SocioDem x CeDi'!$C$2:$AF$81, MATCH($C54,'[2]Potencial Hor SocioDem x CeDi'!$B$2:$B$81,0), MATCH(BK$4,'[2]Potencial Hor SocioDem x CeDi'!$C$1:$AF$1,0)), "")</f>
        <v>34556</v>
      </c>
      <c r="BL54" s="79">
        <f>IFERROR(INDEX('[2]Potencial Hor SocioDem x CeDi'!$C$2:$AF$81, MATCH($C54,'[2]Potencial Hor SocioDem x CeDi'!$B$2:$B$81,0), MATCH(BL$4,'[2]Potencial Hor SocioDem x CeDi'!$C$1:$AF$1,0)), "")</f>
        <v>3.633753906702164</v>
      </c>
      <c r="BM54" s="79">
        <f>IFERROR(INDEX('[2]Potencial Hor SocioDem x CeDi'!$C$2:$AF$81, MATCH($C54,'[2]Potencial Hor SocioDem x CeDi'!$B$2:$B$81,0), MATCH(BM$4,'[2]Potencial Hor SocioDem x CeDi'!$C$1:$AF$1,0)), "")</f>
        <v>17.8399586990191</v>
      </c>
      <c r="BN54" s="78">
        <f>IFERROR(INDEX('[2]Potencial Hor SocioDem x CeDi'!$C$2:$AF$81, MATCH($C54,'[2]Potencial Hor SocioDem x CeDi'!$B$2:$B$81,0), MATCH(BN$4,'[2]Potencial Hor SocioDem x CeDi'!$C$1:$AF$1,0)), "")</f>
        <v>819</v>
      </c>
      <c r="BO54" s="78">
        <f>IFERROR(INDEX('[2]Potencial Hor SocioDem x CeDi'!$C$2:$AF$81, MATCH($C54,'[2]Potencial Hor SocioDem x CeDi'!$B$2:$B$81,0), MATCH(BO$4,'[2]Potencial Hor SocioDem x CeDi'!$C$1:$AF$1,0)), "")</f>
        <v>3298</v>
      </c>
      <c r="BP54" s="78">
        <f>IFERROR(INDEX('[2]Potencial Hor SocioDem x CeDi'!$C$2:$AF$81, MATCH($C54,'[2]Potencial Hor SocioDem x CeDi'!$B$2:$B$81,0), MATCH(BP$4,'[2]Potencial Hor SocioDem x CeDi'!$C$1:$AF$1,0)), "")</f>
        <v>4117</v>
      </c>
      <c r="BQ54" s="80">
        <f>IFERROR(INDEX('[2]Potencial Hor SocioDem x CeDi'!$C$2:$AF$81, MATCH($C54,'[2]Potencial Hor SocioDem x CeDi'!$B$2:$B$81,0), MATCH(BQ$4,'[2]Potencial Hor SocioDem x CeDi'!$C$1:$AF$1,0)), "")</f>
        <v>0.1191399467530964</v>
      </c>
      <c r="BR54" s="80">
        <f>IFERROR(INDEX('[2]Potencial Hor SocioDem x CeDi'!$C$2:$AF$81, MATCH($C54,'[2]Potencial Hor SocioDem x CeDi'!$B$2:$B$81,0), MATCH(BR$4,'[2]Potencial Hor SocioDem x CeDi'!$C$1:$AF$1,0)), "")</f>
        <v>2.3700659798587799E-2</v>
      </c>
      <c r="BS54" s="80">
        <f>IFERROR(INDEX('[2]Potencial Hor SocioDem x CeDi'!$C$2:$AF$81, MATCH($C54,'[2]Potencial Hor SocioDem x CeDi'!$B$2:$B$81,0), MATCH(BS$4,'[2]Potencial Hor SocioDem x CeDi'!$C$1:$AF$1,0)), "")</f>
        <v>9.5439286954508623E-2</v>
      </c>
      <c r="BT54" s="80">
        <f>IFERROR(INDEX('[2]Potencial Hor SocioDem x CeDi'!$C$2:$AF$81, MATCH($C54,'[2]Potencial Hor SocioDem x CeDi'!$B$2:$B$81,0), MATCH(BT$4,'[2]Potencial Hor SocioDem x CeDi'!$C$1:$AF$1,0)), "")</f>
        <v>0.25517999768491723</v>
      </c>
      <c r="BU54" s="80">
        <f>IFERROR(INDEX('[2]Potencial Hor SocioDem x CeDi'!$C$2:$AF$81, MATCH($C54,'[2]Potencial Hor SocioDem x CeDi'!$B$2:$B$81,0), MATCH(BU$4,'[2]Potencial Hor SocioDem x CeDi'!$C$1:$AF$1,0)), "")</f>
        <v>0.1413068642203959</v>
      </c>
      <c r="BV54" s="80">
        <f>IFERROR(INDEX('[2]Potencial Hor SocioDem x CeDi'!$C$2:$AF$81, MATCH($C54,'[2]Potencial Hor SocioDem x CeDi'!$B$2:$B$81,0), MATCH(BV$4,'[2]Potencial Hor SocioDem x CeDi'!$C$1:$AF$1,0)), "")</f>
        <v>7.9002199328625997E-3</v>
      </c>
      <c r="BW54" s="80">
        <f>IFERROR(INDEX('[2]Potencial Hor SocioDem x CeDi'!$C$2:$AF$81, MATCH($C54,'[2]Potencial Hor SocioDem x CeDi'!$B$2:$B$81,0), MATCH(BW$4,'[2]Potencial Hor SocioDem x CeDi'!$C$1:$AF$1,0)), "")</f>
        <v>0.47647297140872791</v>
      </c>
      <c r="BX54" s="80">
        <f>IFERROR(INDEX('[2]Potencial Hor SocioDem x CeDi'!$C$2:$AF$81, MATCH($C54,'[2]Potencial Hor SocioDem x CeDi'!$B$2:$B$81,0), MATCH(BX$4,'[2]Potencial Hor SocioDem x CeDi'!$C$1:$AF$1,0)), "")</f>
        <v>0</v>
      </c>
      <c r="BY54" s="80">
        <f>IFERROR(INDEX('[2]Potencial Hor SocioDem x CeDi'!$C$2:$AF$81, MATCH($C54,'[2]Potencial Hor SocioDem x CeDi'!$B$2:$B$81,0), MATCH(BY$4,'[2]Potencial Hor SocioDem x CeDi'!$C$1:$AF$1,0)), "")</f>
        <v>0</v>
      </c>
      <c r="BZ54" s="79">
        <f>IFERROR(INDEX('[2]Potencial Hor SocioDem x CeDi'!$C$2:$AF$81, MATCH($C54,'[2]Potencial Hor SocioDem x CeDi'!$B$2:$B$81,0), MATCH(BZ$4,'[2]Potencial Hor SocioDem x CeDi'!$C$1:$AF$1,0)), "")</f>
        <v>6.2197375127420997</v>
      </c>
      <c r="CA54" s="79">
        <f>IFERROR(INDEX('[2]Potencial Hor SocioDem x CeDi'!$C$2:$AF$81, MATCH($C54,'[2]Potencial Hor SocioDem x CeDi'!$B$2:$B$81,0), MATCH(CA$4,'[2]Potencial Hor SocioDem x CeDi'!$C$1:$AF$1,0)), "")</f>
        <v>0.26280581039755352</v>
      </c>
      <c r="CB54" s="81">
        <f>IFERROR(INDEX('[2]Potencial Hor SocioDem x CeDi'!$C$2:$AF$81, MATCH($C54,'[2]Potencial Hor SocioDem x CeDi'!$B$2:$B$81,0), MATCH(CB$4,'[2]Potencial Hor SocioDem x CeDi'!$C$1:$AF$1,0)), "")</f>
        <v>1198</v>
      </c>
      <c r="CC54" s="82">
        <f>IFERROR(INDEX('[2]Potencial Hor SocioDem x CeDi'!$C$2:$AF$81, MATCH($C54,'[2]Potencial Hor SocioDem x CeDi'!$B$2:$B$81,0), MATCH(CC$4,'[2]Potencial Hor SocioDem x CeDi'!$C$1:$AF$1,0)), "")</f>
        <v>259</v>
      </c>
      <c r="CD54" s="83">
        <f>IFERROR(INDEX('[2]Potencial Hor SocioDem x CeDi'!$C$2:$AF$81, MATCH($C54,'[2]Potencial Hor SocioDem x CeDi'!$B$2:$B$81,0), MATCH(CD$4,'[2]Potencial Hor SocioDem x CeDi'!$C$1:$AF$1,0)), "")</f>
        <v>6.2909885839203303E-2</v>
      </c>
      <c r="CE54" s="78" t="str">
        <f>IFERROR(_xlfn.XLOOKUP([2]!BaseMaestraCeDi[[#This Row],[CeDi]], '[2]Potencial Hor x CeDi'!$B$6:$BU$6, '[2]Potencial Hor x CeDi'!$B$50:$BU$50), "")</f>
        <v/>
      </c>
      <c r="CF54" s="90" t="str">
        <f>IFERROR(_xlfn.XLOOKUP([2]!BaseMaestraCeDi[[#This Row],[CeDi]], '[2]Potencial Hor x CeDi'!$B$6:$BU$6, '[2]Potencial Hor x CeDi'!$B$34:$BU$34), "")</f>
        <v/>
      </c>
      <c r="CG54" s="90" t="str">
        <f>IFERROR(_xlfn.XLOOKUP([2]!BaseMaestraCeDi[[#This Row],[CeDi]], '[2]Potencial Hor x CeDi'!$B$6:$BU$6, '[2]Potencial Hor x CeDi'!$B$64:$BU$64), "")</f>
        <v/>
      </c>
      <c r="CH54" s="91" t="str">
        <f>IFERROR(_xlfn.XLOOKUP([2]!BaseMaestraCeDi[[#This Row],[CeDi]], '[2]Potencial Hor x CeDi'!$B$6:$BU$6, '[2]Potencial Hor x CeDi'!$B$38:$BU$38), "")</f>
        <v/>
      </c>
      <c r="CI54" s="90" t="str">
        <f>IFERROR(_xlfn.XLOOKUP([2]!BaseMaestraCeDi[[#This Row],[CeDi]], '[2]Potencial Hor x CeDi'!$B$6:$BU$6, '[2]Potencial Hor x CeDi'!$B$26:$BU$26), "")</f>
        <v/>
      </c>
      <c r="CJ54" s="92" t="str">
        <f>IFERROR(_xlfn.XLOOKUP([2]!BaseMaestraCeDi[[#This Row],[CeDi]], '[2]Potencial Hor x CeDi'!$B$6:$BU$6, '[2]Potencial Hor x CeDi'!$B$27:$BU$27), "")</f>
        <v/>
      </c>
      <c r="CK54" s="90" t="str">
        <f>IFERROR(_xlfn.XLOOKUP([2]!BaseMaestraCeDi[[#This Row],[CeDi]], '[2]Potencial Hor x CeDi'!$B$6:$BU$6, '[2]Potencial Hor x CeDi'!$B$28:$BU$28), "")</f>
        <v/>
      </c>
      <c r="CL54" s="92" t="str">
        <f>IFERROR(_xlfn.XLOOKUP([2]!BaseMaestraCeDi[[#This Row],[CeDi]], '[2]Potencial Hor x CeDi'!$B$6:$BU$6, '[2]Potencial Hor x CeDi'!$B$29:$BU$29), "")</f>
        <v/>
      </c>
      <c r="CM54" s="93" t="str">
        <f>IFERROR(_xlfn.XLOOKUP([2]!BaseMaestraCeDi[[#This Row],[CeDi]], '[2]Potencial Hor x CeDi'!$B$6:$BU$6, '[2]Potencial Hor x CeDi'!$B$39:$BU$39), "")</f>
        <v/>
      </c>
      <c r="CN54" s="94" t="str">
        <f>IFERROR(_xlfn.XLOOKUP([2]!BaseMaestraCeDi[[#This Row],[CeDi]], '[2]Potencial Hor x CeDi'!$B$6:$BU$6, '[2]Potencial Hor x CeDi'!$B$43:$BU$43), "")</f>
        <v/>
      </c>
      <c r="CO54" s="94" t="str">
        <f>IFERROR(_xlfn.XLOOKUP([2]!BaseMaestraCeDi[[#This Row],[CeDi]], '[2]Potencial Hor x CeDi'!$B$6:$BU$6, '[2]Potencial Hor x CeDi'!$B$46:$BU$46), "")</f>
        <v/>
      </c>
      <c r="CP54" s="86" t="str">
        <f>IFERROR(_xlfn.XLOOKUP([2]!BaseMaestraCeDi[[#This Row],[CeDi]], '[2]Potencial Hor x CeDi'!$B$6:$BU$6, '[2]Potencial Hor x CeDi'!$B$51:$BU$51), "")</f>
        <v/>
      </c>
      <c r="CQ54" s="82" t="str">
        <f>IFERROR(_xlfn.XLOOKUP([2]!BaseMaestraCeDi[[#This Row],[CeDi]], '[2]Potencial Hor x CeDi'!$B$6:$BU$6, '[2]Potencial Hor x CeDi'!$B$52:$BU$52), "")</f>
        <v/>
      </c>
      <c r="CR54" s="82" t="str">
        <f>IFERROR(_xlfn.XLOOKUP([2]!BaseMaestraCeDi[[#This Row],[CeDi]], '[2]Potencial Hor x CeDi'!$B$6:$BU$6, '[2]Potencial Hor x CeDi'!$B$53:$BU$53), "")</f>
        <v/>
      </c>
      <c r="CS54" s="87" t="str">
        <f>IFERROR(_xlfn.XLOOKUP([2]!BaseMaestraCeDi[[#This Row],[CeDi]], '[2]Potencial Hor x CeDi'!$B$6:$BU$6, '[2]Potencial Hor x CeDi'!$B$60:$BU$60), "")</f>
        <v/>
      </c>
      <c r="CT54" s="90" t="str">
        <f>IFERROR(_xlfn.XLOOKUP([2]!BaseMaestraCeDi[[#This Row],[CeDi]], '[2]Potencial Hor x CeDi'!$B$6:$BU$6, '[2]Potencial Hor x CeDi'!$B$65:$BU$65), "")</f>
        <v/>
      </c>
      <c r="CU54" s="90" t="str">
        <f>IFERROR(_xlfn.XLOOKUP([2]!BaseMaestraCeDi[[#This Row],[CeDi]], '[2]Potencial Hor x CeDi'!$B$6:$BU$6, '[2]Potencial Hor x CeDi'!$B$68:$BU$68), "")</f>
        <v/>
      </c>
      <c r="CV54" s="95" t="str">
        <f>IFERROR(_xlfn.XLOOKUP([2]!BaseMaestraCeDi[[#This Row],[CeDi]], '[2]Potencial Hor x CeDi'!$B$6:$BU$6, '[2]Potencial Hor x CeDi'!$B$71:$BU$71), "")</f>
        <v/>
      </c>
    </row>
    <row r="55" spans="1:100">
      <c r="A55" s="100" t="s">
        <v>94</v>
      </c>
      <c r="B55" s="100" t="s">
        <v>549</v>
      </c>
      <c r="C55" s="100" t="s">
        <v>889</v>
      </c>
      <c r="D55" s="101">
        <v>3</v>
      </c>
      <c r="E55" s="102">
        <v>497.0783594211407</v>
      </c>
      <c r="F55" s="103">
        <v>28.234540367771718</v>
      </c>
      <c r="G55" s="103">
        <v>525.31289978891243</v>
      </c>
      <c r="H55" s="104">
        <v>1426.7644017989153</v>
      </c>
      <c r="I55" s="105">
        <v>1912.4046156826494</v>
      </c>
      <c r="J55" s="105">
        <v>410.2631389057683</v>
      </c>
      <c r="K55" s="105">
        <v>3749.4321563873332</v>
      </c>
      <c r="L55" s="104">
        <v>9716.9938105579113</v>
      </c>
      <c r="M55" s="106">
        <v>0.38586338835715034</v>
      </c>
      <c r="N55" s="107" t="s">
        <v>151</v>
      </c>
      <c r="O55" s="102">
        <v>45.200680451856272</v>
      </c>
      <c r="P55" s="103">
        <v>2</v>
      </c>
      <c r="Q55" s="103">
        <v>1</v>
      </c>
      <c r="R55" s="108">
        <v>4</v>
      </c>
      <c r="S55" s="107">
        <v>32</v>
      </c>
      <c r="T55" s="125">
        <v>1</v>
      </c>
      <c r="U55" s="106">
        <v>0</v>
      </c>
      <c r="V55" s="106">
        <v>0.70248821787191018</v>
      </c>
      <c r="W55" s="106">
        <v>0.29698165103273616</v>
      </c>
      <c r="X55" s="106">
        <v>5.301310953537043E-4</v>
      </c>
      <c r="Y55" s="104">
        <v>6826.073665051209</v>
      </c>
      <c r="Z55" s="105">
        <v>2885.7688649343668</v>
      </c>
      <c r="AA55" s="105">
        <v>5.1512805723362307</v>
      </c>
      <c r="AB55" s="105">
        <v>74800.128787878784</v>
      </c>
      <c r="AC55" s="101">
        <v>3</v>
      </c>
      <c r="AD55" s="109">
        <v>2</v>
      </c>
      <c r="AE55" s="101">
        <v>53848</v>
      </c>
      <c r="AF55" s="109">
        <v>31541</v>
      </c>
      <c r="AG55" s="110">
        <v>0.58574134601099392</v>
      </c>
      <c r="AH55" s="106">
        <v>0.59098060597158097</v>
      </c>
      <c r="AI55" s="101">
        <v>3651.2104994059573</v>
      </c>
      <c r="AJ55" s="109">
        <v>1825.6052497029787</v>
      </c>
      <c r="AK55" s="106">
        <v>0.61964428111913128</v>
      </c>
      <c r="AL55" s="104">
        <v>13694247.950000001</v>
      </c>
      <c r="AM55" s="105">
        <v>857015.47449862305</v>
      </c>
      <c r="AN55" s="106">
        <v>6.258214964616754E-2</v>
      </c>
      <c r="AO55" s="104">
        <v>602227.09018822166</v>
      </c>
      <c r="AP55" s="106">
        <v>2.7395880235921068E-3</v>
      </c>
      <c r="AQ55" s="109">
        <v>34</v>
      </c>
      <c r="AR55" s="101">
        <v>2</v>
      </c>
      <c r="AS55" s="105">
        <v>2240478.1341573298</v>
      </c>
      <c r="AT55" s="104">
        <v>2842705.2243455513</v>
      </c>
      <c r="AU55" s="101">
        <v>4</v>
      </c>
      <c r="AV55" s="109">
        <v>0</v>
      </c>
      <c r="AW55" s="109">
        <v>1</v>
      </c>
      <c r="AX55" s="109">
        <v>2</v>
      </c>
      <c r="AY55" s="110">
        <v>0</v>
      </c>
      <c r="AZ55" s="109">
        <v>4861.9822872061795</v>
      </c>
      <c r="BA55" s="102">
        <v>45.200680451856272</v>
      </c>
      <c r="BB55" s="106">
        <v>0.51961768465042768</v>
      </c>
      <c r="BC55" s="111">
        <v>564.40410630768963</v>
      </c>
      <c r="BD55" s="74"/>
      <c r="BE55" s="88" t="str">
        <f>IFERROR(_xlfn.XLOOKUP([2]!BaseMaestraCeDi[[#This Row],[CeDi]], '[2]Potencial Hor x CeDi'!$B$6:$BU$6, '[2]Potencial Hor x CeDi'!$B$21:$BU$21) / 1000, "")</f>
        <v/>
      </c>
      <c r="BF55" s="89" t="str">
        <f>IFERROR(_xlfn.XLOOKUP([2]!BaseMaestraCeDi[[#This Row],[CeDi]], '[2]Potencial Hor x CeDi'!$B$6:$BU$6, '[2]Potencial Hor x CeDi'!$B$22:$BU$22) / 1000, "")</f>
        <v/>
      </c>
      <c r="BG55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55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55" s="78" t="str">
        <f>IFERROR(INDEX('[2]Potencial Hor SocioDem x CeDi'!$C$2:$AF$81, MATCH($C55,'[2]Potencial Hor SocioDem x CeDi'!$B$2:$B$81,0), MATCH(BI$4,'[2]Potencial Hor SocioDem x CeDi'!$C$1:$AF$1,0)), "")</f>
        <v/>
      </c>
      <c r="BJ55" s="78" t="str">
        <f>IFERROR(INDEX('[2]Potencial Hor SocioDem x CeDi'!$C$2:$AF$81, MATCH($C55,'[2]Potencial Hor SocioDem x CeDi'!$B$2:$B$81,0), MATCH(BJ$4,'[2]Potencial Hor SocioDem x CeDi'!$C$1:$AF$1,0)), "")</f>
        <v/>
      </c>
      <c r="BK55" s="78" t="str">
        <f>IFERROR(INDEX('[2]Potencial Hor SocioDem x CeDi'!$C$2:$AF$81, MATCH($C55,'[2]Potencial Hor SocioDem x CeDi'!$B$2:$B$81,0), MATCH(BK$4,'[2]Potencial Hor SocioDem x CeDi'!$C$1:$AF$1,0)), "")</f>
        <v/>
      </c>
      <c r="BL55" s="79" t="str">
        <f>IFERROR(INDEX('[2]Potencial Hor SocioDem x CeDi'!$C$2:$AF$81, MATCH($C55,'[2]Potencial Hor SocioDem x CeDi'!$B$2:$B$81,0), MATCH(BL$4,'[2]Potencial Hor SocioDem x CeDi'!$C$1:$AF$1,0)), "")</f>
        <v/>
      </c>
      <c r="BM55" s="79" t="str">
        <f>IFERROR(INDEX('[2]Potencial Hor SocioDem x CeDi'!$C$2:$AF$81, MATCH($C55,'[2]Potencial Hor SocioDem x CeDi'!$B$2:$B$81,0), MATCH(BM$4,'[2]Potencial Hor SocioDem x CeDi'!$C$1:$AF$1,0)), "")</f>
        <v/>
      </c>
      <c r="BN55" s="78" t="str">
        <f>IFERROR(INDEX('[2]Potencial Hor SocioDem x CeDi'!$C$2:$AF$81, MATCH($C55,'[2]Potencial Hor SocioDem x CeDi'!$B$2:$B$81,0), MATCH(BN$4,'[2]Potencial Hor SocioDem x CeDi'!$C$1:$AF$1,0)), "")</f>
        <v/>
      </c>
      <c r="BO55" s="78" t="str">
        <f>IFERROR(INDEX('[2]Potencial Hor SocioDem x CeDi'!$C$2:$AF$81, MATCH($C55,'[2]Potencial Hor SocioDem x CeDi'!$B$2:$B$81,0), MATCH(BO$4,'[2]Potencial Hor SocioDem x CeDi'!$C$1:$AF$1,0)), "")</f>
        <v/>
      </c>
      <c r="BP55" s="78" t="str">
        <f>IFERROR(INDEX('[2]Potencial Hor SocioDem x CeDi'!$C$2:$AF$81, MATCH($C55,'[2]Potencial Hor SocioDem x CeDi'!$B$2:$B$81,0), MATCH(BP$4,'[2]Potencial Hor SocioDem x CeDi'!$C$1:$AF$1,0)), "")</f>
        <v/>
      </c>
      <c r="BQ55" s="80" t="str">
        <f>IFERROR(INDEX('[2]Potencial Hor SocioDem x CeDi'!$C$2:$AF$81, MATCH($C55,'[2]Potencial Hor SocioDem x CeDi'!$B$2:$B$81,0), MATCH(BQ$4,'[2]Potencial Hor SocioDem x CeDi'!$C$1:$AF$1,0)), "")</f>
        <v/>
      </c>
      <c r="BR55" s="80" t="str">
        <f>IFERROR(INDEX('[2]Potencial Hor SocioDem x CeDi'!$C$2:$AF$81, MATCH($C55,'[2]Potencial Hor SocioDem x CeDi'!$B$2:$B$81,0), MATCH(BR$4,'[2]Potencial Hor SocioDem x CeDi'!$C$1:$AF$1,0)), "")</f>
        <v/>
      </c>
      <c r="BS55" s="80" t="str">
        <f>IFERROR(INDEX('[2]Potencial Hor SocioDem x CeDi'!$C$2:$AF$81, MATCH($C55,'[2]Potencial Hor SocioDem x CeDi'!$B$2:$B$81,0), MATCH(BS$4,'[2]Potencial Hor SocioDem x CeDi'!$C$1:$AF$1,0)), "")</f>
        <v/>
      </c>
      <c r="BT55" s="80" t="str">
        <f>IFERROR(INDEX('[2]Potencial Hor SocioDem x CeDi'!$C$2:$AF$81, MATCH($C55,'[2]Potencial Hor SocioDem x CeDi'!$B$2:$B$81,0), MATCH(BT$4,'[2]Potencial Hor SocioDem x CeDi'!$C$1:$AF$1,0)), "")</f>
        <v/>
      </c>
      <c r="BU55" s="80" t="str">
        <f>IFERROR(INDEX('[2]Potencial Hor SocioDem x CeDi'!$C$2:$AF$81, MATCH($C55,'[2]Potencial Hor SocioDem x CeDi'!$B$2:$B$81,0), MATCH(BU$4,'[2]Potencial Hor SocioDem x CeDi'!$C$1:$AF$1,0)), "")</f>
        <v/>
      </c>
      <c r="BV55" s="80" t="str">
        <f>IFERROR(INDEX('[2]Potencial Hor SocioDem x CeDi'!$C$2:$AF$81, MATCH($C55,'[2]Potencial Hor SocioDem x CeDi'!$B$2:$B$81,0), MATCH(BV$4,'[2]Potencial Hor SocioDem x CeDi'!$C$1:$AF$1,0)), "")</f>
        <v/>
      </c>
      <c r="BW55" s="80" t="str">
        <f>IFERROR(INDEX('[2]Potencial Hor SocioDem x CeDi'!$C$2:$AF$81, MATCH($C55,'[2]Potencial Hor SocioDem x CeDi'!$B$2:$B$81,0), MATCH(BW$4,'[2]Potencial Hor SocioDem x CeDi'!$C$1:$AF$1,0)), "")</f>
        <v/>
      </c>
      <c r="BX55" s="80" t="str">
        <f>IFERROR(INDEX('[2]Potencial Hor SocioDem x CeDi'!$C$2:$AF$81, MATCH($C55,'[2]Potencial Hor SocioDem x CeDi'!$B$2:$B$81,0), MATCH(BX$4,'[2]Potencial Hor SocioDem x CeDi'!$C$1:$AF$1,0)), "")</f>
        <v/>
      </c>
      <c r="BY55" s="80" t="str">
        <f>IFERROR(INDEX('[2]Potencial Hor SocioDem x CeDi'!$C$2:$AF$81, MATCH($C55,'[2]Potencial Hor SocioDem x CeDi'!$B$2:$B$81,0), MATCH(BY$4,'[2]Potencial Hor SocioDem x CeDi'!$C$1:$AF$1,0)), "")</f>
        <v/>
      </c>
      <c r="BZ55" s="79" t="str">
        <f>IFERROR(INDEX('[2]Potencial Hor SocioDem x CeDi'!$C$2:$AF$81, MATCH($C55,'[2]Potencial Hor SocioDem x CeDi'!$B$2:$B$81,0), MATCH(BZ$4,'[2]Potencial Hor SocioDem x CeDi'!$C$1:$AF$1,0)), "")</f>
        <v/>
      </c>
      <c r="CA55" s="79" t="str">
        <f>IFERROR(INDEX('[2]Potencial Hor SocioDem x CeDi'!$C$2:$AF$81, MATCH($C55,'[2]Potencial Hor SocioDem x CeDi'!$B$2:$B$81,0), MATCH(CA$4,'[2]Potencial Hor SocioDem x CeDi'!$C$1:$AF$1,0)), "")</f>
        <v/>
      </c>
      <c r="CB55" s="81" t="str">
        <f>IFERROR(INDEX('[2]Potencial Hor SocioDem x CeDi'!$C$2:$AF$81, MATCH($C55,'[2]Potencial Hor SocioDem x CeDi'!$B$2:$B$81,0), MATCH(CB$4,'[2]Potencial Hor SocioDem x CeDi'!$C$1:$AF$1,0)), "")</f>
        <v/>
      </c>
      <c r="CC55" s="82" t="str">
        <f>IFERROR(INDEX('[2]Potencial Hor SocioDem x CeDi'!$C$2:$AF$81, MATCH($C55,'[2]Potencial Hor SocioDem x CeDi'!$B$2:$B$81,0), MATCH(CC$4,'[2]Potencial Hor SocioDem x CeDi'!$C$1:$AF$1,0)), "")</f>
        <v/>
      </c>
      <c r="CD55" s="83" t="str">
        <f>IFERROR(INDEX('[2]Potencial Hor SocioDem x CeDi'!$C$2:$AF$81, MATCH($C55,'[2]Potencial Hor SocioDem x CeDi'!$B$2:$B$81,0), MATCH(CD$4,'[2]Potencial Hor SocioDem x CeDi'!$C$1:$AF$1,0)), "")</f>
        <v/>
      </c>
      <c r="CE55" s="78" t="str">
        <f>IFERROR(_xlfn.XLOOKUP([2]!BaseMaestraCeDi[[#This Row],[CeDi]], '[2]Potencial Hor x CeDi'!$B$6:$BU$6, '[2]Potencial Hor x CeDi'!$B$50:$BU$50), "")</f>
        <v/>
      </c>
      <c r="CF55" s="90" t="str">
        <f>IFERROR(_xlfn.XLOOKUP([2]!BaseMaestraCeDi[[#This Row],[CeDi]], '[2]Potencial Hor x CeDi'!$B$6:$BU$6, '[2]Potencial Hor x CeDi'!$B$34:$BU$34), "")</f>
        <v/>
      </c>
      <c r="CG55" s="90" t="str">
        <f>IFERROR(_xlfn.XLOOKUP([2]!BaseMaestraCeDi[[#This Row],[CeDi]], '[2]Potencial Hor x CeDi'!$B$6:$BU$6, '[2]Potencial Hor x CeDi'!$B$64:$BU$64), "")</f>
        <v/>
      </c>
      <c r="CH55" s="91" t="str">
        <f>IFERROR(_xlfn.XLOOKUP([2]!BaseMaestraCeDi[[#This Row],[CeDi]], '[2]Potencial Hor x CeDi'!$B$6:$BU$6, '[2]Potencial Hor x CeDi'!$B$38:$BU$38), "")</f>
        <v/>
      </c>
      <c r="CI55" s="90" t="str">
        <f>IFERROR(_xlfn.XLOOKUP([2]!BaseMaestraCeDi[[#This Row],[CeDi]], '[2]Potencial Hor x CeDi'!$B$6:$BU$6, '[2]Potencial Hor x CeDi'!$B$26:$BU$26), "")</f>
        <v/>
      </c>
      <c r="CJ55" s="92" t="str">
        <f>IFERROR(_xlfn.XLOOKUP([2]!BaseMaestraCeDi[[#This Row],[CeDi]], '[2]Potencial Hor x CeDi'!$B$6:$BU$6, '[2]Potencial Hor x CeDi'!$B$27:$BU$27), "")</f>
        <v/>
      </c>
      <c r="CK55" s="90" t="str">
        <f>IFERROR(_xlfn.XLOOKUP([2]!BaseMaestraCeDi[[#This Row],[CeDi]], '[2]Potencial Hor x CeDi'!$B$6:$BU$6, '[2]Potencial Hor x CeDi'!$B$28:$BU$28), "")</f>
        <v/>
      </c>
      <c r="CL55" s="92" t="str">
        <f>IFERROR(_xlfn.XLOOKUP([2]!BaseMaestraCeDi[[#This Row],[CeDi]], '[2]Potencial Hor x CeDi'!$B$6:$BU$6, '[2]Potencial Hor x CeDi'!$B$29:$BU$29), "")</f>
        <v/>
      </c>
      <c r="CM55" s="93" t="str">
        <f>IFERROR(_xlfn.XLOOKUP([2]!BaseMaestraCeDi[[#This Row],[CeDi]], '[2]Potencial Hor x CeDi'!$B$6:$BU$6, '[2]Potencial Hor x CeDi'!$B$39:$BU$39), "")</f>
        <v/>
      </c>
      <c r="CN55" s="94" t="str">
        <f>IFERROR(_xlfn.XLOOKUP([2]!BaseMaestraCeDi[[#This Row],[CeDi]], '[2]Potencial Hor x CeDi'!$B$6:$BU$6, '[2]Potencial Hor x CeDi'!$B$43:$BU$43), "")</f>
        <v/>
      </c>
      <c r="CO55" s="94" t="str">
        <f>IFERROR(_xlfn.XLOOKUP([2]!BaseMaestraCeDi[[#This Row],[CeDi]], '[2]Potencial Hor x CeDi'!$B$6:$BU$6, '[2]Potencial Hor x CeDi'!$B$46:$BU$46), "")</f>
        <v/>
      </c>
      <c r="CP55" s="86" t="str">
        <f>IFERROR(_xlfn.XLOOKUP([2]!BaseMaestraCeDi[[#This Row],[CeDi]], '[2]Potencial Hor x CeDi'!$B$6:$BU$6, '[2]Potencial Hor x CeDi'!$B$51:$BU$51), "")</f>
        <v/>
      </c>
      <c r="CQ55" s="82" t="str">
        <f>IFERROR(_xlfn.XLOOKUP([2]!BaseMaestraCeDi[[#This Row],[CeDi]], '[2]Potencial Hor x CeDi'!$B$6:$BU$6, '[2]Potencial Hor x CeDi'!$B$52:$BU$52), "")</f>
        <v/>
      </c>
      <c r="CR55" s="82" t="str">
        <f>IFERROR(_xlfn.XLOOKUP([2]!BaseMaestraCeDi[[#This Row],[CeDi]], '[2]Potencial Hor x CeDi'!$B$6:$BU$6, '[2]Potencial Hor x CeDi'!$B$53:$BU$53), "")</f>
        <v/>
      </c>
      <c r="CS55" s="87" t="str">
        <f>IFERROR(_xlfn.XLOOKUP([2]!BaseMaestraCeDi[[#This Row],[CeDi]], '[2]Potencial Hor x CeDi'!$B$6:$BU$6, '[2]Potencial Hor x CeDi'!$B$60:$BU$60), "")</f>
        <v/>
      </c>
      <c r="CT55" s="90" t="str">
        <f>IFERROR(_xlfn.XLOOKUP([2]!BaseMaestraCeDi[[#This Row],[CeDi]], '[2]Potencial Hor x CeDi'!$B$6:$BU$6, '[2]Potencial Hor x CeDi'!$B$65:$BU$65), "")</f>
        <v/>
      </c>
      <c r="CU55" s="90" t="str">
        <f>IFERROR(_xlfn.XLOOKUP([2]!BaseMaestraCeDi[[#This Row],[CeDi]], '[2]Potencial Hor x CeDi'!$B$6:$BU$6, '[2]Potencial Hor x CeDi'!$B$68:$BU$68), "")</f>
        <v/>
      </c>
      <c r="CV55" s="95" t="str">
        <f>IFERROR(_xlfn.XLOOKUP([2]!BaseMaestraCeDi[[#This Row],[CeDi]], '[2]Potencial Hor x CeDi'!$B$6:$BU$6, '[2]Potencial Hor x CeDi'!$B$71:$BU$71), "")</f>
        <v/>
      </c>
    </row>
    <row r="56" spans="1:100">
      <c r="A56" s="112" t="s">
        <v>94</v>
      </c>
      <c r="B56" s="112" t="s">
        <v>320</v>
      </c>
      <c r="C56" s="112" t="s">
        <v>894</v>
      </c>
      <c r="D56" s="113" t="s">
        <v>194</v>
      </c>
      <c r="E56" s="114" t="s">
        <v>194</v>
      </c>
      <c r="F56" s="115" t="s">
        <v>194</v>
      </c>
      <c r="G56" s="115" t="s">
        <v>194</v>
      </c>
      <c r="H56" s="116" t="s">
        <v>194</v>
      </c>
      <c r="I56" s="117" t="s">
        <v>194</v>
      </c>
      <c r="J56" s="117" t="s">
        <v>194</v>
      </c>
      <c r="K56" s="117" t="s">
        <v>194</v>
      </c>
      <c r="L56" s="116" t="s">
        <v>194</v>
      </c>
      <c r="M56" s="118" t="s">
        <v>194</v>
      </c>
      <c r="N56" s="119" t="s">
        <v>194</v>
      </c>
      <c r="O56" s="114" t="s">
        <v>194</v>
      </c>
      <c r="P56" s="115" t="s">
        <v>194</v>
      </c>
      <c r="Q56" s="115" t="s">
        <v>194</v>
      </c>
      <c r="R56" s="120" t="s">
        <v>194</v>
      </c>
      <c r="S56" s="119" t="s">
        <v>194</v>
      </c>
      <c r="T56" s="121" t="s">
        <v>194</v>
      </c>
      <c r="U56" s="118" t="s">
        <v>194</v>
      </c>
      <c r="V56" s="118" t="s">
        <v>194</v>
      </c>
      <c r="W56" s="118" t="s">
        <v>194</v>
      </c>
      <c r="X56" s="118" t="s">
        <v>194</v>
      </c>
      <c r="Y56" s="116" t="s">
        <v>194</v>
      </c>
      <c r="Z56" s="117" t="s">
        <v>194</v>
      </c>
      <c r="AA56" s="117" t="s">
        <v>194</v>
      </c>
      <c r="AB56" s="117" t="s">
        <v>194</v>
      </c>
      <c r="AC56" s="113">
        <v>1</v>
      </c>
      <c r="AD56" s="122">
        <v>0</v>
      </c>
      <c r="AE56" s="113">
        <v>1405</v>
      </c>
      <c r="AF56" s="122">
        <v>481</v>
      </c>
      <c r="AG56" s="123">
        <v>0.34234875444839857</v>
      </c>
      <c r="AH56" s="118">
        <v>0.34234875444839857</v>
      </c>
      <c r="AI56" s="113">
        <v>0</v>
      </c>
      <c r="AJ56" s="122">
        <v>0</v>
      </c>
      <c r="AK56" s="118">
        <v>0.34234875444839857</v>
      </c>
      <c r="AL56" s="116">
        <v>3292935.9900000021</v>
      </c>
      <c r="AM56" s="117">
        <v>0</v>
      </c>
      <c r="AN56" s="118">
        <v>0</v>
      </c>
      <c r="AO56" s="116">
        <v>0</v>
      </c>
      <c r="AP56" s="118">
        <v>0</v>
      </c>
      <c r="AQ56" s="122" t="s">
        <v>194</v>
      </c>
      <c r="AR56" s="113">
        <v>0</v>
      </c>
      <c r="AS56" s="117">
        <v>0</v>
      </c>
      <c r="AT56" s="116">
        <v>0</v>
      </c>
      <c r="AU56" s="113">
        <v>1</v>
      </c>
      <c r="AV56" s="122">
        <v>0</v>
      </c>
      <c r="AW56" s="122">
        <v>0</v>
      </c>
      <c r="AX56" s="122">
        <v>1</v>
      </c>
      <c r="AY56" s="123">
        <v>0</v>
      </c>
      <c r="AZ56" s="122">
        <v>0</v>
      </c>
      <c r="BA56" s="114">
        <v>13.6407766990291</v>
      </c>
      <c r="BB56" s="118">
        <v>0.34234875444839902</v>
      </c>
      <c r="BC56" s="124">
        <v>644.156911507009</v>
      </c>
      <c r="BD56" s="74"/>
      <c r="BE56" s="88" t="str">
        <f>IFERROR(_xlfn.XLOOKUP([2]!BaseMaestraCeDi[[#This Row],[CeDi]], '[2]Potencial Hor x CeDi'!$B$6:$BU$6, '[2]Potencial Hor x CeDi'!$B$21:$BU$21) / 1000, "")</f>
        <v/>
      </c>
      <c r="BF56" s="89" t="str">
        <f>IFERROR(_xlfn.XLOOKUP([2]!BaseMaestraCeDi[[#This Row],[CeDi]], '[2]Potencial Hor x CeDi'!$B$6:$BU$6, '[2]Potencial Hor x CeDi'!$B$22:$BU$22) / 1000, "")</f>
        <v/>
      </c>
      <c r="BG56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56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56" s="78" t="str">
        <f>IFERROR(INDEX('[2]Potencial Hor SocioDem x CeDi'!$C$2:$AF$81, MATCH($C56,'[2]Potencial Hor SocioDem x CeDi'!$B$2:$B$81,0), MATCH(BI$4,'[2]Potencial Hor SocioDem x CeDi'!$C$1:$AF$1,0)), "")</f>
        <v/>
      </c>
      <c r="BJ56" s="78" t="str">
        <f>IFERROR(INDEX('[2]Potencial Hor SocioDem x CeDi'!$C$2:$AF$81, MATCH($C56,'[2]Potencial Hor SocioDem x CeDi'!$B$2:$B$81,0), MATCH(BJ$4,'[2]Potencial Hor SocioDem x CeDi'!$C$1:$AF$1,0)), "")</f>
        <v/>
      </c>
      <c r="BK56" s="78" t="str">
        <f>IFERROR(INDEX('[2]Potencial Hor SocioDem x CeDi'!$C$2:$AF$81, MATCH($C56,'[2]Potencial Hor SocioDem x CeDi'!$B$2:$B$81,0), MATCH(BK$4,'[2]Potencial Hor SocioDem x CeDi'!$C$1:$AF$1,0)), "")</f>
        <v/>
      </c>
      <c r="BL56" s="79" t="str">
        <f>IFERROR(INDEX('[2]Potencial Hor SocioDem x CeDi'!$C$2:$AF$81, MATCH($C56,'[2]Potencial Hor SocioDem x CeDi'!$B$2:$B$81,0), MATCH(BL$4,'[2]Potencial Hor SocioDem x CeDi'!$C$1:$AF$1,0)), "")</f>
        <v/>
      </c>
      <c r="BM56" s="79" t="str">
        <f>IFERROR(INDEX('[2]Potencial Hor SocioDem x CeDi'!$C$2:$AF$81, MATCH($C56,'[2]Potencial Hor SocioDem x CeDi'!$B$2:$B$81,0), MATCH(BM$4,'[2]Potencial Hor SocioDem x CeDi'!$C$1:$AF$1,0)), "")</f>
        <v/>
      </c>
      <c r="BN56" s="78" t="str">
        <f>IFERROR(INDEX('[2]Potencial Hor SocioDem x CeDi'!$C$2:$AF$81, MATCH($C56,'[2]Potencial Hor SocioDem x CeDi'!$B$2:$B$81,0), MATCH(BN$4,'[2]Potencial Hor SocioDem x CeDi'!$C$1:$AF$1,0)), "")</f>
        <v/>
      </c>
      <c r="BO56" s="78" t="str">
        <f>IFERROR(INDEX('[2]Potencial Hor SocioDem x CeDi'!$C$2:$AF$81, MATCH($C56,'[2]Potencial Hor SocioDem x CeDi'!$B$2:$B$81,0), MATCH(BO$4,'[2]Potencial Hor SocioDem x CeDi'!$C$1:$AF$1,0)), "")</f>
        <v/>
      </c>
      <c r="BP56" s="78" t="str">
        <f>IFERROR(INDEX('[2]Potencial Hor SocioDem x CeDi'!$C$2:$AF$81, MATCH($C56,'[2]Potencial Hor SocioDem x CeDi'!$B$2:$B$81,0), MATCH(BP$4,'[2]Potencial Hor SocioDem x CeDi'!$C$1:$AF$1,0)), "")</f>
        <v/>
      </c>
      <c r="BQ56" s="80" t="str">
        <f>IFERROR(INDEX('[2]Potencial Hor SocioDem x CeDi'!$C$2:$AF$81, MATCH($C56,'[2]Potencial Hor SocioDem x CeDi'!$B$2:$B$81,0), MATCH(BQ$4,'[2]Potencial Hor SocioDem x CeDi'!$C$1:$AF$1,0)), "")</f>
        <v/>
      </c>
      <c r="BR56" s="80" t="str">
        <f>IFERROR(INDEX('[2]Potencial Hor SocioDem x CeDi'!$C$2:$AF$81, MATCH($C56,'[2]Potencial Hor SocioDem x CeDi'!$B$2:$B$81,0), MATCH(BR$4,'[2]Potencial Hor SocioDem x CeDi'!$C$1:$AF$1,0)), "")</f>
        <v/>
      </c>
      <c r="BS56" s="80" t="str">
        <f>IFERROR(INDEX('[2]Potencial Hor SocioDem x CeDi'!$C$2:$AF$81, MATCH($C56,'[2]Potencial Hor SocioDem x CeDi'!$B$2:$B$81,0), MATCH(BS$4,'[2]Potencial Hor SocioDem x CeDi'!$C$1:$AF$1,0)), "")</f>
        <v/>
      </c>
      <c r="BT56" s="80" t="str">
        <f>IFERROR(INDEX('[2]Potencial Hor SocioDem x CeDi'!$C$2:$AF$81, MATCH($C56,'[2]Potencial Hor SocioDem x CeDi'!$B$2:$B$81,0), MATCH(BT$4,'[2]Potencial Hor SocioDem x CeDi'!$C$1:$AF$1,0)), "")</f>
        <v/>
      </c>
      <c r="BU56" s="80" t="str">
        <f>IFERROR(INDEX('[2]Potencial Hor SocioDem x CeDi'!$C$2:$AF$81, MATCH($C56,'[2]Potencial Hor SocioDem x CeDi'!$B$2:$B$81,0), MATCH(BU$4,'[2]Potencial Hor SocioDem x CeDi'!$C$1:$AF$1,0)), "")</f>
        <v/>
      </c>
      <c r="BV56" s="80" t="str">
        <f>IFERROR(INDEX('[2]Potencial Hor SocioDem x CeDi'!$C$2:$AF$81, MATCH($C56,'[2]Potencial Hor SocioDem x CeDi'!$B$2:$B$81,0), MATCH(BV$4,'[2]Potencial Hor SocioDem x CeDi'!$C$1:$AF$1,0)), "")</f>
        <v/>
      </c>
      <c r="BW56" s="80" t="str">
        <f>IFERROR(INDEX('[2]Potencial Hor SocioDem x CeDi'!$C$2:$AF$81, MATCH($C56,'[2]Potencial Hor SocioDem x CeDi'!$B$2:$B$81,0), MATCH(BW$4,'[2]Potencial Hor SocioDem x CeDi'!$C$1:$AF$1,0)), "")</f>
        <v/>
      </c>
      <c r="BX56" s="80" t="str">
        <f>IFERROR(INDEX('[2]Potencial Hor SocioDem x CeDi'!$C$2:$AF$81, MATCH($C56,'[2]Potencial Hor SocioDem x CeDi'!$B$2:$B$81,0), MATCH(BX$4,'[2]Potencial Hor SocioDem x CeDi'!$C$1:$AF$1,0)), "")</f>
        <v/>
      </c>
      <c r="BY56" s="80" t="str">
        <f>IFERROR(INDEX('[2]Potencial Hor SocioDem x CeDi'!$C$2:$AF$81, MATCH($C56,'[2]Potencial Hor SocioDem x CeDi'!$B$2:$B$81,0), MATCH(BY$4,'[2]Potencial Hor SocioDem x CeDi'!$C$1:$AF$1,0)), "")</f>
        <v/>
      </c>
      <c r="BZ56" s="79" t="str">
        <f>IFERROR(INDEX('[2]Potencial Hor SocioDem x CeDi'!$C$2:$AF$81, MATCH($C56,'[2]Potencial Hor SocioDem x CeDi'!$B$2:$B$81,0), MATCH(BZ$4,'[2]Potencial Hor SocioDem x CeDi'!$C$1:$AF$1,0)), "")</f>
        <v/>
      </c>
      <c r="CA56" s="79" t="str">
        <f>IFERROR(INDEX('[2]Potencial Hor SocioDem x CeDi'!$C$2:$AF$81, MATCH($C56,'[2]Potencial Hor SocioDem x CeDi'!$B$2:$B$81,0), MATCH(CA$4,'[2]Potencial Hor SocioDem x CeDi'!$C$1:$AF$1,0)), "")</f>
        <v/>
      </c>
      <c r="CB56" s="81" t="str">
        <f>IFERROR(INDEX('[2]Potencial Hor SocioDem x CeDi'!$C$2:$AF$81, MATCH($C56,'[2]Potencial Hor SocioDem x CeDi'!$B$2:$B$81,0), MATCH(CB$4,'[2]Potencial Hor SocioDem x CeDi'!$C$1:$AF$1,0)), "")</f>
        <v/>
      </c>
      <c r="CC56" s="82" t="str">
        <f>IFERROR(INDEX('[2]Potencial Hor SocioDem x CeDi'!$C$2:$AF$81, MATCH($C56,'[2]Potencial Hor SocioDem x CeDi'!$B$2:$B$81,0), MATCH(CC$4,'[2]Potencial Hor SocioDem x CeDi'!$C$1:$AF$1,0)), "")</f>
        <v/>
      </c>
      <c r="CD56" s="83" t="str">
        <f>IFERROR(INDEX('[2]Potencial Hor SocioDem x CeDi'!$C$2:$AF$81, MATCH($C56,'[2]Potencial Hor SocioDem x CeDi'!$B$2:$B$81,0), MATCH(CD$4,'[2]Potencial Hor SocioDem x CeDi'!$C$1:$AF$1,0)), "")</f>
        <v/>
      </c>
      <c r="CE56" s="78" t="str">
        <f>IFERROR(_xlfn.XLOOKUP([2]!BaseMaestraCeDi[[#This Row],[CeDi]], '[2]Potencial Hor x CeDi'!$B$6:$BU$6, '[2]Potencial Hor x CeDi'!$B$50:$BU$50), "")</f>
        <v/>
      </c>
      <c r="CF56" s="90" t="str">
        <f>IFERROR(_xlfn.XLOOKUP([2]!BaseMaestraCeDi[[#This Row],[CeDi]], '[2]Potencial Hor x CeDi'!$B$6:$BU$6, '[2]Potencial Hor x CeDi'!$B$34:$BU$34), "")</f>
        <v/>
      </c>
      <c r="CG56" s="90" t="str">
        <f>IFERROR(_xlfn.XLOOKUP([2]!BaseMaestraCeDi[[#This Row],[CeDi]], '[2]Potencial Hor x CeDi'!$B$6:$BU$6, '[2]Potencial Hor x CeDi'!$B$64:$BU$64), "")</f>
        <v/>
      </c>
      <c r="CH56" s="91" t="str">
        <f>IFERROR(_xlfn.XLOOKUP([2]!BaseMaestraCeDi[[#This Row],[CeDi]], '[2]Potencial Hor x CeDi'!$B$6:$BU$6, '[2]Potencial Hor x CeDi'!$B$38:$BU$38), "")</f>
        <v/>
      </c>
      <c r="CI56" s="90" t="str">
        <f>IFERROR(_xlfn.XLOOKUP([2]!BaseMaestraCeDi[[#This Row],[CeDi]], '[2]Potencial Hor x CeDi'!$B$6:$BU$6, '[2]Potencial Hor x CeDi'!$B$26:$BU$26), "")</f>
        <v/>
      </c>
      <c r="CJ56" s="92" t="str">
        <f>IFERROR(_xlfn.XLOOKUP([2]!BaseMaestraCeDi[[#This Row],[CeDi]], '[2]Potencial Hor x CeDi'!$B$6:$BU$6, '[2]Potencial Hor x CeDi'!$B$27:$BU$27), "")</f>
        <v/>
      </c>
      <c r="CK56" s="90" t="str">
        <f>IFERROR(_xlfn.XLOOKUP([2]!BaseMaestraCeDi[[#This Row],[CeDi]], '[2]Potencial Hor x CeDi'!$B$6:$BU$6, '[2]Potencial Hor x CeDi'!$B$28:$BU$28), "")</f>
        <v/>
      </c>
      <c r="CL56" s="92" t="str">
        <f>IFERROR(_xlfn.XLOOKUP([2]!BaseMaestraCeDi[[#This Row],[CeDi]], '[2]Potencial Hor x CeDi'!$B$6:$BU$6, '[2]Potencial Hor x CeDi'!$B$29:$BU$29), "")</f>
        <v/>
      </c>
      <c r="CM56" s="93" t="str">
        <f>IFERROR(_xlfn.XLOOKUP([2]!BaseMaestraCeDi[[#This Row],[CeDi]], '[2]Potencial Hor x CeDi'!$B$6:$BU$6, '[2]Potencial Hor x CeDi'!$B$39:$BU$39), "")</f>
        <v/>
      </c>
      <c r="CN56" s="94" t="str">
        <f>IFERROR(_xlfn.XLOOKUP([2]!BaseMaestraCeDi[[#This Row],[CeDi]], '[2]Potencial Hor x CeDi'!$B$6:$BU$6, '[2]Potencial Hor x CeDi'!$B$43:$BU$43), "")</f>
        <v/>
      </c>
      <c r="CO56" s="94" t="str">
        <f>IFERROR(_xlfn.XLOOKUP([2]!BaseMaestraCeDi[[#This Row],[CeDi]], '[2]Potencial Hor x CeDi'!$B$6:$BU$6, '[2]Potencial Hor x CeDi'!$B$46:$BU$46), "")</f>
        <v/>
      </c>
      <c r="CP56" s="86" t="str">
        <f>IFERROR(_xlfn.XLOOKUP([2]!BaseMaestraCeDi[[#This Row],[CeDi]], '[2]Potencial Hor x CeDi'!$B$6:$BU$6, '[2]Potencial Hor x CeDi'!$B$51:$BU$51), "")</f>
        <v/>
      </c>
      <c r="CQ56" s="82" t="str">
        <f>IFERROR(_xlfn.XLOOKUP([2]!BaseMaestraCeDi[[#This Row],[CeDi]], '[2]Potencial Hor x CeDi'!$B$6:$BU$6, '[2]Potencial Hor x CeDi'!$B$52:$BU$52), "")</f>
        <v/>
      </c>
      <c r="CR56" s="82" t="str">
        <f>IFERROR(_xlfn.XLOOKUP([2]!BaseMaestraCeDi[[#This Row],[CeDi]], '[2]Potencial Hor x CeDi'!$B$6:$BU$6, '[2]Potencial Hor x CeDi'!$B$53:$BU$53), "")</f>
        <v/>
      </c>
      <c r="CS56" s="87" t="str">
        <f>IFERROR(_xlfn.XLOOKUP([2]!BaseMaestraCeDi[[#This Row],[CeDi]], '[2]Potencial Hor x CeDi'!$B$6:$BU$6, '[2]Potencial Hor x CeDi'!$B$60:$BU$60), "")</f>
        <v/>
      </c>
      <c r="CT56" s="90" t="str">
        <f>IFERROR(_xlfn.XLOOKUP([2]!BaseMaestraCeDi[[#This Row],[CeDi]], '[2]Potencial Hor x CeDi'!$B$6:$BU$6, '[2]Potencial Hor x CeDi'!$B$65:$BU$65), "")</f>
        <v/>
      </c>
      <c r="CU56" s="90" t="str">
        <f>IFERROR(_xlfn.XLOOKUP([2]!BaseMaestraCeDi[[#This Row],[CeDi]], '[2]Potencial Hor x CeDi'!$B$6:$BU$6, '[2]Potencial Hor x CeDi'!$B$68:$BU$68), "")</f>
        <v/>
      </c>
      <c r="CV56" s="95" t="str">
        <f>IFERROR(_xlfn.XLOOKUP([2]!BaseMaestraCeDi[[#This Row],[CeDi]], '[2]Potencial Hor x CeDi'!$B$6:$BU$6, '[2]Potencial Hor x CeDi'!$B$71:$BU$71), "")</f>
        <v/>
      </c>
    </row>
    <row r="57" spans="1:100">
      <c r="A57" s="100" t="s">
        <v>94</v>
      </c>
      <c r="B57" s="100" t="s">
        <v>549</v>
      </c>
      <c r="C57" s="100" t="s">
        <v>897</v>
      </c>
      <c r="D57" s="101">
        <v>1</v>
      </c>
      <c r="E57" s="102">
        <v>147.19228735132486</v>
      </c>
      <c r="F57" s="103">
        <v>8.3606668853685076</v>
      </c>
      <c r="G57" s="103">
        <v>155.55295423669338</v>
      </c>
      <c r="H57" s="104">
        <v>422.48613690764387</v>
      </c>
      <c r="I57" s="105">
        <v>636.67635395782122</v>
      </c>
      <c r="J57" s="105">
        <v>136.75437963525613</v>
      </c>
      <c r="K57" s="105">
        <v>1195.9168705007212</v>
      </c>
      <c r="L57" s="104">
        <v>2406.6869575763203</v>
      </c>
      <c r="M57" s="106">
        <v>0.49691417769807589</v>
      </c>
      <c r="N57" s="107" t="s">
        <v>151</v>
      </c>
      <c r="O57" s="102">
        <v>45.721973094170401</v>
      </c>
      <c r="P57" s="103">
        <v>2</v>
      </c>
      <c r="Q57" s="103">
        <v>1</v>
      </c>
      <c r="R57" s="108" t="s">
        <v>194</v>
      </c>
      <c r="S57" s="107" t="s">
        <v>194</v>
      </c>
      <c r="T57" s="125">
        <v>1</v>
      </c>
      <c r="U57" s="106">
        <v>0</v>
      </c>
      <c r="V57" s="106">
        <v>0.76823520353080521</v>
      </c>
      <c r="W57" s="106">
        <v>0.23107426453844124</v>
      </c>
      <c r="X57" s="106">
        <v>6.9053193075349075E-4</v>
      </c>
      <c r="Y57" s="104">
        <v>1848.9016446885787</v>
      </c>
      <c r="Z57" s="105">
        <v>556.12341869620695</v>
      </c>
      <c r="AA57" s="105">
        <v>1.661894191534421</v>
      </c>
      <c r="AB57" s="105">
        <v>93907.538461538468</v>
      </c>
      <c r="AC57" s="101">
        <v>1</v>
      </c>
      <c r="AD57" s="109">
        <v>0</v>
      </c>
      <c r="AE57" s="101">
        <v>20392</v>
      </c>
      <c r="AF57" s="109">
        <v>10347</v>
      </c>
      <c r="AG57" s="110">
        <v>0.50740486465280499</v>
      </c>
      <c r="AH57" s="106">
        <v>0.50740486465280499</v>
      </c>
      <c r="AI57" s="101">
        <v>0</v>
      </c>
      <c r="AJ57" s="109">
        <v>0</v>
      </c>
      <c r="AK57" s="106">
        <v>0.50740486465280499</v>
      </c>
      <c r="AL57" s="104">
        <v>3537627.4299999992</v>
      </c>
      <c r="AM57" s="105">
        <v>0</v>
      </c>
      <c r="AN57" s="106">
        <v>0</v>
      </c>
      <c r="AO57" s="104">
        <v>0</v>
      </c>
      <c r="AP57" s="106">
        <v>0</v>
      </c>
      <c r="AQ57" s="109" t="s">
        <v>194</v>
      </c>
      <c r="AR57" s="101">
        <v>0</v>
      </c>
      <c r="AS57" s="105">
        <v>0</v>
      </c>
      <c r="AT57" s="104">
        <v>0</v>
      </c>
      <c r="AU57" s="101">
        <v>1</v>
      </c>
      <c r="AV57" s="109">
        <v>0</v>
      </c>
      <c r="AW57" s="109">
        <v>0</v>
      </c>
      <c r="AX57" s="109">
        <v>1</v>
      </c>
      <c r="AY57" s="110">
        <v>0</v>
      </c>
      <c r="AZ57" s="109">
        <v>0</v>
      </c>
      <c r="BA57" s="102">
        <v>45.721973094170401</v>
      </c>
      <c r="BB57" s="106">
        <v>0.50740486465280499</v>
      </c>
      <c r="BC57" s="111">
        <v>501.77692965470698</v>
      </c>
      <c r="BD57" s="74" t="s">
        <v>1162</v>
      </c>
      <c r="BE57" s="88" t="str">
        <f>IFERROR(_xlfn.XLOOKUP([2]!BaseMaestraCeDi[[#This Row],[CeDi]], '[2]Potencial Hor x CeDi'!$B$6:$BU$6, '[2]Potencial Hor x CeDi'!$B$21:$BU$21) / 1000, "")</f>
        <v/>
      </c>
      <c r="BF57" s="89" t="str">
        <f>IFERROR(_xlfn.XLOOKUP([2]!BaseMaestraCeDi[[#This Row],[CeDi]], '[2]Potencial Hor x CeDi'!$B$6:$BU$6, '[2]Potencial Hor x CeDi'!$B$22:$BU$22) / 1000, "")</f>
        <v/>
      </c>
      <c r="BG57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57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57" s="78" t="str">
        <f>IFERROR(INDEX('[2]Potencial Hor SocioDem x CeDi'!$C$2:$AF$81, MATCH($C57,'[2]Potencial Hor SocioDem x CeDi'!$B$2:$B$81,0), MATCH(BI$4,'[2]Potencial Hor SocioDem x CeDi'!$C$1:$AF$1,0)), "")</f>
        <v/>
      </c>
      <c r="BJ57" s="78" t="str">
        <f>IFERROR(INDEX('[2]Potencial Hor SocioDem x CeDi'!$C$2:$AF$81, MATCH($C57,'[2]Potencial Hor SocioDem x CeDi'!$B$2:$B$81,0), MATCH(BJ$4,'[2]Potencial Hor SocioDem x CeDi'!$C$1:$AF$1,0)), "")</f>
        <v/>
      </c>
      <c r="BK57" s="78" t="str">
        <f>IFERROR(INDEX('[2]Potencial Hor SocioDem x CeDi'!$C$2:$AF$81, MATCH($C57,'[2]Potencial Hor SocioDem x CeDi'!$B$2:$B$81,0), MATCH(BK$4,'[2]Potencial Hor SocioDem x CeDi'!$C$1:$AF$1,0)), "")</f>
        <v/>
      </c>
      <c r="BL57" s="79" t="str">
        <f>IFERROR(INDEX('[2]Potencial Hor SocioDem x CeDi'!$C$2:$AF$81, MATCH($C57,'[2]Potencial Hor SocioDem x CeDi'!$B$2:$B$81,0), MATCH(BL$4,'[2]Potencial Hor SocioDem x CeDi'!$C$1:$AF$1,0)), "")</f>
        <v/>
      </c>
      <c r="BM57" s="79" t="str">
        <f>IFERROR(INDEX('[2]Potencial Hor SocioDem x CeDi'!$C$2:$AF$81, MATCH($C57,'[2]Potencial Hor SocioDem x CeDi'!$B$2:$B$81,0), MATCH(BM$4,'[2]Potencial Hor SocioDem x CeDi'!$C$1:$AF$1,0)), "")</f>
        <v/>
      </c>
      <c r="BN57" s="78" t="str">
        <f>IFERROR(INDEX('[2]Potencial Hor SocioDem x CeDi'!$C$2:$AF$81, MATCH($C57,'[2]Potencial Hor SocioDem x CeDi'!$B$2:$B$81,0), MATCH(BN$4,'[2]Potencial Hor SocioDem x CeDi'!$C$1:$AF$1,0)), "")</f>
        <v/>
      </c>
      <c r="BO57" s="78" t="str">
        <f>IFERROR(INDEX('[2]Potencial Hor SocioDem x CeDi'!$C$2:$AF$81, MATCH($C57,'[2]Potencial Hor SocioDem x CeDi'!$B$2:$B$81,0), MATCH(BO$4,'[2]Potencial Hor SocioDem x CeDi'!$C$1:$AF$1,0)), "")</f>
        <v/>
      </c>
      <c r="BP57" s="78" t="str">
        <f>IFERROR(INDEX('[2]Potencial Hor SocioDem x CeDi'!$C$2:$AF$81, MATCH($C57,'[2]Potencial Hor SocioDem x CeDi'!$B$2:$B$81,0), MATCH(BP$4,'[2]Potencial Hor SocioDem x CeDi'!$C$1:$AF$1,0)), "")</f>
        <v/>
      </c>
      <c r="BQ57" s="80" t="str">
        <f>IFERROR(INDEX('[2]Potencial Hor SocioDem x CeDi'!$C$2:$AF$81, MATCH($C57,'[2]Potencial Hor SocioDem x CeDi'!$B$2:$B$81,0), MATCH(BQ$4,'[2]Potencial Hor SocioDem x CeDi'!$C$1:$AF$1,0)), "")</f>
        <v/>
      </c>
      <c r="BR57" s="80" t="str">
        <f>IFERROR(INDEX('[2]Potencial Hor SocioDem x CeDi'!$C$2:$AF$81, MATCH($C57,'[2]Potencial Hor SocioDem x CeDi'!$B$2:$B$81,0), MATCH(BR$4,'[2]Potencial Hor SocioDem x CeDi'!$C$1:$AF$1,0)), "")</f>
        <v/>
      </c>
      <c r="BS57" s="80" t="str">
        <f>IFERROR(INDEX('[2]Potencial Hor SocioDem x CeDi'!$C$2:$AF$81, MATCH($C57,'[2]Potencial Hor SocioDem x CeDi'!$B$2:$B$81,0), MATCH(BS$4,'[2]Potencial Hor SocioDem x CeDi'!$C$1:$AF$1,0)), "")</f>
        <v/>
      </c>
      <c r="BT57" s="80" t="str">
        <f>IFERROR(INDEX('[2]Potencial Hor SocioDem x CeDi'!$C$2:$AF$81, MATCH($C57,'[2]Potencial Hor SocioDem x CeDi'!$B$2:$B$81,0), MATCH(BT$4,'[2]Potencial Hor SocioDem x CeDi'!$C$1:$AF$1,0)), "")</f>
        <v/>
      </c>
      <c r="BU57" s="80" t="str">
        <f>IFERROR(INDEX('[2]Potencial Hor SocioDem x CeDi'!$C$2:$AF$81, MATCH($C57,'[2]Potencial Hor SocioDem x CeDi'!$B$2:$B$81,0), MATCH(BU$4,'[2]Potencial Hor SocioDem x CeDi'!$C$1:$AF$1,0)), "")</f>
        <v/>
      </c>
      <c r="BV57" s="80" t="str">
        <f>IFERROR(INDEX('[2]Potencial Hor SocioDem x CeDi'!$C$2:$AF$81, MATCH($C57,'[2]Potencial Hor SocioDem x CeDi'!$B$2:$B$81,0), MATCH(BV$4,'[2]Potencial Hor SocioDem x CeDi'!$C$1:$AF$1,0)), "")</f>
        <v/>
      </c>
      <c r="BW57" s="80" t="str">
        <f>IFERROR(INDEX('[2]Potencial Hor SocioDem x CeDi'!$C$2:$AF$81, MATCH($C57,'[2]Potencial Hor SocioDem x CeDi'!$B$2:$B$81,0), MATCH(BW$4,'[2]Potencial Hor SocioDem x CeDi'!$C$1:$AF$1,0)), "")</f>
        <v/>
      </c>
      <c r="BX57" s="80" t="str">
        <f>IFERROR(INDEX('[2]Potencial Hor SocioDem x CeDi'!$C$2:$AF$81, MATCH($C57,'[2]Potencial Hor SocioDem x CeDi'!$B$2:$B$81,0), MATCH(BX$4,'[2]Potencial Hor SocioDem x CeDi'!$C$1:$AF$1,0)), "")</f>
        <v/>
      </c>
      <c r="BY57" s="80" t="str">
        <f>IFERROR(INDEX('[2]Potencial Hor SocioDem x CeDi'!$C$2:$AF$81, MATCH($C57,'[2]Potencial Hor SocioDem x CeDi'!$B$2:$B$81,0), MATCH(BY$4,'[2]Potencial Hor SocioDem x CeDi'!$C$1:$AF$1,0)), "")</f>
        <v/>
      </c>
      <c r="BZ57" s="79" t="str">
        <f>IFERROR(INDEX('[2]Potencial Hor SocioDem x CeDi'!$C$2:$AF$81, MATCH($C57,'[2]Potencial Hor SocioDem x CeDi'!$B$2:$B$81,0), MATCH(BZ$4,'[2]Potencial Hor SocioDem x CeDi'!$C$1:$AF$1,0)), "")</f>
        <v/>
      </c>
      <c r="CA57" s="79" t="str">
        <f>IFERROR(INDEX('[2]Potencial Hor SocioDem x CeDi'!$C$2:$AF$81, MATCH($C57,'[2]Potencial Hor SocioDem x CeDi'!$B$2:$B$81,0), MATCH(CA$4,'[2]Potencial Hor SocioDem x CeDi'!$C$1:$AF$1,0)), "")</f>
        <v/>
      </c>
      <c r="CB57" s="81" t="str">
        <f>IFERROR(INDEX('[2]Potencial Hor SocioDem x CeDi'!$C$2:$AF$81, MATCH($C57,'[2]Potencial Hor SocioDem x CeDi'!$B$2:$B$81,0), MATCH(CB$4,'[2]Potencial Hor SocioDem x CeDi'!$C$1:$AF$1,0)), "")</f>
        <v/>
      </c>
      <c r="CC57" s="82" t="str">
        <f>IFERROR(INDEX('[2]Potencial Hor SocioDem x CeDi'!$C$2:$AF$81, MATCH($C57,'[2]Potencial Hor SocioDem x CeDi'!$B$2:$B$81,0), MATCH(CC$4,'[2]Potencial Hor SocioDem x CeDi'!$C$1:$AF$1,0)), "")</f>
        <v/>
      </c>
      <c r="CD57" s="83" t="str">
        <f>IFERROR(INDEX('[2]Potencial Hor SocioDem x CeDi'!$C$2:$AF$81, MATCH($C57,'[2]Potencial Hor SocioDem x CeDi'!$B$2:$B$81,0), MATCH(CD$4,'[2]Potencial Hor SocioDem x CeDi'!$C$1:$AF$1,0)), "")</f>
        <v/>
      </c>
      <c r="CE57" s="78" t="str">
        <f>IFERROR(_xlfn.XLOOKUP([2]!BaseMaestraCeDi[[#This Row],[CeDi]], '[2]Potencial Hor x CeDi'!$B$6:$BU$6, '[2]Potencial Hor x CeDi'!$B$50:$BU$50), "")</f>
        <v/>
      </c>
      <c r="CF57" s="90" t="str">
        <f>IFERROR(_xlfn.XLOOKUP([2]!BaseMaestraCeDi[[#This Row],[CeDi]], '[2]Potencial Hor x CeDi'!$B$6:$BU$6, '[2]Potencial Hor x CeDi'!$B$34:$BU$34), "")</f>
        <v/>
      </c>
      <c r="CG57" s="90" t="str">
        <f>IFERROR(_xlfn.XLOOKUP([2]!BaseMaestraCeDi[[#This Row],[CeDi]], '[2]Potencial Hor x CeDi'!$B$6:$BU$6, '[2]Potencial Hor x CeDi'!$B$64:$BU$64), "")</f>
        <v/>
      </c>
      <c r="CH57" s="91" t="str">
        <f>IFERROR(_xlfn.XLOOKUP([2]!BaseMaestraCeDi[[#This Row],[CeDi]], '[2]Potencial Hor x CeDi'!$B$6:$BU$6, '[2]Potencial Hor x CeDi'!$B$38:$BU$38), "")</f>
        <v/>
      </c>
      <c r="CI57" s="90" t="str">
        <f>IFERROR(_xlfn.XLOOKUP([2]!BaseMaestraCeDi[[#This Row],[CeDi]], '[2]Potencial Hor x CeDi'!$B$6:$BU$6, '[2]Potencial Hor x CeDi'!$B$26:$BU$26), "")</f>
        <v/>
      </c>
      <c r="CJ57" s="92" t="str">
        <f>IFERROR(_xlfn.XLOOKUP([2]!BaseMaestraCeDi[[#This Row],[CeDi]], '[2]Potencial Hor x CeDi'!$B$6:$BU$6, '[2]Potencial Hor x CeDi'!$B$27:$BU$27), "")</f>
        <v/>
      </c>
      <c r="CK57" s="90" t="str">
        <f>IFERROR(_xlfn.XLOOKUP([2]!BaseMaestraCeDi[[#This Row],[CeDi]], '[2]Potencial Hor x CeDi'!$B$6:$BU$6, '[2]Potencial Hor x CeDi'!$B$28:$BU$28), "")</f>
        <v/>
      </c>
      <c r="CL57" s="92" t="str">
        <f>IFERROR(_xlfn.XLOOKUP([2]!BaseMaestraCeDi[[#This Row],[CeDi]], '[2]Potencial Hor x CeDi'!$B$6:$BU$6, '[2]Potencial Hor x CeDi'!$B$29:$BU$29), "")</f>
        <v/>
      </c>
      <c r="CM57" s="93" t="str">
        <f>IFERROR(_xlfn.XLOOKUP([2]!BaseMaestraCeDi[[#This Row],[CeDi]], '[2]Potencial Hor x CeDi'!$B$6:$BU$6, '[2]Potencial Hor x CeDi'!$B$39:$BU$39), "")</f>
        <v/>
      </c>
      <c r="CN57" s="94" t="str">
        <f>IFERROR(_xlfn.XLOOKUP([2]!BaseMaestraCeDi[[#This Row],[CeDi]], '[2]Potencial Hor x CeDi'!$B$6:$BU$6, '[2]Potencial Hor x CeDi'!$B$43:$BU$43), "")</f>
        <v/>
      </c>
      <c r="CO57" s="94" t="str">
        <f>IFERROR(_xlfn.XLOOKUP([2]!BaseMaestraCeDi[[#This Row],[CeDi]], '[2]Potencial Hor x CeDi'!$B$6:$BU$6, '[2]Potencial Hor x CeDi'!$B$46:$BU$46), "")</f>
        <v/>
      </c>
      <c r="CP57" s="86" t="str">
        <f>IFERROR(_xlfn.XLOOKUP([2]!BaseMaestraCeDi[[#This Row],[CeDi]], '[2]Potencial Hor x CeDi'!$B$6:$BU$6, '[2]Potencial Hor x CeDi'!$B$51:$BU$51), "")</f>
        <v/>
      </c>
      <c r="CQ57" s="82" t="str">
        <f>IFERROR(_xlfn.XLOOKUP([2]!BaseMaestraCeDi[[#This Row],[CeDi]], '[2]Potencial Hor x CeDi'!$B$6:$BU$6, '[2]Potencial Hor x CeDi'!$B$52:$BU$52), "")</f>
        <v/>
      </c>
      <c r="CR57" s="82" t="str">
        <f>IFERROR(_xlfn.XLOOKUP([2]!BaseMaestraCeDi[[#This Row],[CeDi]], '[2]Potencial Hor x CeDi'!$B$6:$BU$6, '[2]Potencial Hor x CeDi'!$B$53:$BU$53), "")</f>
        <v/>
      </c>
      <c r="CS57" s="87" t="str">
        <f>IFERROR(_xlfn.XLOOKUP([2]!BaseMaestraCeDi[[#This Row],[CeDi]], '[2]Potencial Hor x CeDi'!$B$6:$BU$6, '[2]Potencial Hor x CeDi'!$B$60:$BU$60), "")</f>
        <v/>
      </c>
      <c r="CT57" s="90" t="str">
        <f>IFERROR(_xlfn.XLOOKUP([2]!BaseMaestraCeDi[[#This Row],[CeDi]], '[2]Potencial Hor x CeDi'!$B$6:$BU$6, '[2]Potencial Hor x CeDi'!$B$65:$BU$65), "")</f>
        <v/>
      </c>
      <c r="CU57" s="90" t="str">
        <f>IFERROR(_xlfn.XLOOKUP([2]!BaseMaestraCeDi[[#This Row],[CeDi]], '[2]Potencial Hor x CeDi'!$B$6:$BU$6, '[2]Potencial Hor x CeDi'!$B$68:$BU$68), "")</f>
        <v/>
      </c>
      <c r="CV57" s="95" t="str">
        <f>IFERROR(_xlfn.XLOOKUP([2]!BaseMaestraCeDi[[#This Row],[CeDi]], '[2]Potencial Hor x CeDi'!$B$6:$BU$6, '[2]Potencial Hor x CeDi'!$B$71:$BU$71), "")</f>
        <v/>
      </c>
    </row>
    <row r="58" spans="1:100">
      <c r="A58" s="112" t="s">
        <v>94</v>
      </c>
      <c r="B58" s="112" t="s">
        <v>510</v>
      </c>
      <c r="C58" s="112" t="s">
        <v>899</v>
      </c>
      <c r="D58" s="113">
        <v>1</v>
      </c>
      <c r="E58" s="114">
        <v>124.52744374800844</v>
      </c>
      <c r="F58" s="115">
        <v>7.1677269631150189</v>
      </c>
      <c r="G58" s="115">
        <v>131.69517071112347</v>
      </c>
      <c r="H58" s="116">
        <v>454.68049439921356</v>
      </c>
      <c r="I58" s="117">
        <v>892.55115990452589</v>
      </c>
      <c r="J58" s="117">
        <v>139.27592005967639</v>
      </c>
      <c r="K58" s="117">
        <v>1486.5075743634159</v>
      </c>
      <c r="L58" s="116">
        <v>2918.3337087395039</v>
      </c>
      <c r="M58" s="118">
        <v>0.50936860644544757</v>
      </c>
      <c r="N58" s="119" t="s">
        <v>160</v>
      </c>
      <c r="O58" s="114">
        <v>46.38095238095238</v>
      </c>
      <c r="P58" s="115">
        <v>2</v>
      </c>
      <c r="Q58" s="115">
        <v>1</v>
      </c>
      <c r="R58" s="120" t="s">
        <v>194</v>
      </c>
      <c r="S58" s="119" t="s">
        <v>194</v>
      </c>
      <c r="T58" s="121">
        <v>1</v>
      </c>
      <c r="U58" s="118">
        <v>0</v>
      </c>
      <c r="V58" s="118">
        <v>0.50425538675689607</v>
      </c>
      <c r="W58" s="118">
        <v>0.49574461324310387</v>
      </c>
      <c r="X58" s="118">
        <v>0</v>
      </c>
      <c r="Y58" s="116">
        <v>1471.5854929861255</v>
      </c>
      <c r="Z58" s="117">
        <v>1446.7482157533782</v>
      </c>
      <c r="AA58" s="117">
        <v>0</v>
      </c>
      <c r="AB58" s="117">
        <v>121948.375</v>
      </c>
      <c r="AC58" s="113">
        <v>1</v>
      </c>
      <c r="AD58" s="122">
        <v>0</v>
      </c>
      <c r="AE58" s="113">
        <v>20454</v>
      </c>
      <c r="AF58" s="122">
        <v>9634</v>
      </c>
      <c r="AG58" s="123">
        <v>0.47100811577197615</v>
      </c>
      <c r="AH58" s="118">
        <v>0.47100811577197615</v>
      </c>
      <c r="AI58" s="113">
        <v>0</v>
      </c>
      <c r="AJ58" s="122">
        <v>0</v>
      </c>
      <c r="AK58" s="118">
        <v>0.47100811577197615</v>
      </c>
      <c r="AL58" s="116">
        <v>4132132.1899999995</v>
      </c>
      <c r="AM58" s="117">
        <v>0</v>
      </c>
      <c r="AN58" s="118">
        <v>0</v>
      </c>
      <c r="AO58" s="116">
        <v>0</v>
      </c>
      <c r="AP58" s="118">
        <v>0</v>
      </c>
      <c r="AQ58" s="122" t="s">
        <v>194</v>
      </c>
      <c r="AR58" s="113">
        <v>0</v>
      </c>
      <c r="AS58" s="117">
        <v>0</v>
      </c>
      <c r="AT58" s="116">
        <v>0</v>
      </c>
      <c r="AU58" s="113">
        <v>1</v>
      </c>
      <c r="AV58" s="122">
        <v>0</v>
      </c>
      <c r="AW58" s="122">
        <v>0</v>
      </c>
      <c r="AX58" s="122">
        <v>1</v>
      </c>
      <c r="AY58" s="123">
        <v>0</v>
      </c>
      <c r="AZ58" s="122">
        <v>0</v>
      </c>
      <c r="BA58" s="114">
        <v>46.380952380952401</v>
      </c>
      <c r="BB58" s="118">
        <v>0.47100811577197599</v>
      </c>
      <c r="BC58" s="124">
        <v>403.586470344671</v>
      </c>
      <c r="BD58" s="74" t="s">
        <v>1163</v>
      </c>
      <c r="BE58" s="88" t="str">
        <f>IFERROR(_xlfn.XLOOKUP([2]!BaseMaestraCeDi[[#This Row],[CeDi]], '[2]Potencial Hor x CeDi'!$B$6:$BU$6, '[2]Potencial Hor x CeDi'!$B$21:$BU$21) / 1000, "")</f>
        <v/>
      </c>
      <c r="BF58" s="89" t="str">
        <f>IFERROR(_xlfn.XLOOKUP([2]!BaseMaestraCeDi[[#This Row],[CeDi]], '[2]Potencial Hor x CeDi'!$B$6:$BU$6, '[2]Potencial Hor x CeDi'!$B$22:$BU$22) / 1000, "")</f>
        <v/>
      </c>
      <c r="BG58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58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58" s="78" t="str">
        <f>IFERROR(INDEX('[2]Potencial Hor SocioDem x CeDi'!$C$2:$AF$81, MATCH($C58,'[2]Potencial Hor SocioDem x CeDi'!$B$2:$B$81,0), MATCH(BI$4,'[2]Potencial Hor SocioDem x CeDi'!$C$1:$AF$1,0)), "")</f>
        <v/>
      </c>
      <c r="BJ58" s="78" t="str">
        <f>IFERROR(INDEX('[2]Potencial Hor SocioDem x CeDi'!$C$2:$AF$81, MATCH($C58,'[2]Potencial Hor SocioDem x CeDi'!$B$2:$B$81,0), MATCH(BJ$4,'[2]Potencial Hor SocioDem x CeDi'!$C$1:$AF$1,0)), "")</f>
        <v/>
      </c>
      <c r="BK58" s="78" t="str">
        <f>IFERROR(INDEX('[2]Potencial Hor SocioDem x CeDi'!$C$2:$AF$81, MATCH($C58,'[2]Potencial Hor SocioDem x CeDi'!$B$2:$B$81,0), MATCH(BK$4,'[2]Potencial Hor SocioDem x CeDi'!$C$1:$AF$1,0)), "")</f>
        <v/>
      </c>
      <c r="BL58" s="79" t="str">
        <f>IFERROR(INDEX('[2]Potencial Hor SocioDem x CeDi'!$C$2:$AF$81, MATCH($C58,'[2]Potencial Hor SocioDem x CeDi'!$B$2:$B$81,0), MATCH(BL$4,'[2]Potencial Hor SocioDem x CeDi'!$C$1:$AF$1,0)), "")</f>
        <v/>
      </c>
      <c r="BM58" s="79" t="str">
        <f>IFERROR(INDEX('[2]Potencial Hor SocioDem x CeDi'!$C$2:$AF$81, MATCH($C58,'[2]Potencial Hor SocioDem x CeDi'!$B$2:$B$81,0), MATCH(BM$4,'[2]Potencial Hor SocioDem x CeDi'!$C$1:$AF$1,0)), "")</f>
        <v/>
      </c>
      <c r="BN58" s="78" t="str">
        <f>IFERROR(INDEX('[2]Potencial Hor SocioDem x CeDi'!$C$2:$AF$81, MATCH($C58,'[2]Potencial Hor SocioDem x CeDi'!$B$2:$B$81,0), MATCH(BN$4,'[2]Potencial Hor SocioDem x CeDi'!$C$1:$AF$1,0)), "")</f>
        <v/>
      </c>
      <c r="BO58" s="78" t="str">
        <f>IFERROR(INDEX('[2]Potencial Hor SocioDem x CeDi'!$C$2:$AF$81, MATCH($C58,'[2]Potencial Hor SocioDem x CeDi'!$B$2:$B$81,0), MATCH(BO$4,'[2]Potencial Hor SocioDem x CeDi'!$C$1:$AF$1,0)), "")</f>
        <v/>
      </c>
      <c r="BP58" s="78" t="str">
        <f>IFERROR(INDEX('[2]Potencial Hor SocioDem x CeDi'!$C$2:$AF$81, MATCH($C58,'[2]Potencial Hor SocioDem x CeDi'!$B$2:$B$81,0), MATCH(BP$4,'[2]Potencial Hor SocioDem x CeDi'!$C$1:$AF$1,0)), "")</f>
        <v/>
      </c>
      <c r="BQ58" s="80" t="str">
        <f>IFERROR(INDEX('[2]Potencial Hor SocioDem x CeDi'!$C$2:$AF$81, MATCH($C58,'[2]Potencial Hor SocioDem x CeDi'!$B$2:$B$81,0), MATCH(BQ$4,'[2]Potencial Hor SocioDem x CeDi'!$C$1:$AF$1,0)), "")</f>
        <v/>
      </c>
      <c r="BR58" s="80" t="str">
        <f>IFERROR(INDEX('[2]Potencial Hor SocioDem x CeDi'!$C$2:$AF$81, MATCH($C58,'[2]Potencial Hor SocioDem x CeDi'!$B$2:$B$81,0), MATCH(BR$4,'[2]Potencial Hor SocioDem x CeDi'!$C$1:$AF$1,0)), "")</f>
        <v/>
      </c>
      <c r="BS58" s="80" t="str">
        <f>IFERROR(INDEX('[2]Potencial Hor SocioDem x CeDi'!$C$2:$AF$81, MATCH($C58,'[2]Potencial Hor SocioDem x CeDi'!$B$2:$B$81,0), MATCH(BS$4,'[2]Potencial Hor SocioDem x CeDi'!$C$1:$AF$1,0)), "")</f>
        <v/>
      </c>
      <c r="BT58" s="80" t="str">
        <f>IFERROR(INDEX('[2]Potencial Hor SocioDem x CeDi'!$C$2:$AF$81, MATCH($C58,'[2]Potencial Hor SocioDem x CeDi'!$B$2:$B$81,0), MATCH(BT$4,'[2]Potencial Hor SocioDem x CeDi'!$C$1:$AF$1,0)), "")</f>
        <v/>
      </c>
      <c r="BU58" s="80" t="str">
        <f>IFERROR(INDEX('[2]Potencial Hor SocioDem x CeDi'!$C$2:$AF$81, MATCH($C58,'[2]Potencial Hor SocioDem x CeDi'!$B$2:$B$81,0), MATCH(BU$4,'[2]Potencial Hor SocioDem x CeDi'!$C$1:$AF$1,0)), "")</f>
        <v/>
      </c>
      <c r="BV58" s="80" t="str">
        <f>IFERROR(INDEX('[2]Potencial Hor SocioDem x CeDi'!$C$2:$AF$81, MATCH($C58,'[2]Potencial Hor SocioDem x CeDi'!$B$2:$B$81,0), MATCH(BV$4,'[2]Potencial Hor SocioDem x CeDi'!$C$1:$AF$1,0)), "")</f>
        <v/>
      </c>
      <c r="BW58" s="80" t="str">
        <f>IFERROR(INDEX('[2]Potencial Hor SocioDem x CeDi'!$C$2:$AF$81, MATCH($C58,'[2]Potencial Hor SocioDem x CeDi'!$B$2:$B$81,0), MATCH(BW$4,'[2]Potencial Hor SocioDem x CeDi'!$C$1:$AF$1,0)), "")</f>
        <v/>
      </c>
      <c r="BX58" s="80" t="str">
        <f>IFERROR(INDEX('[2]Potencial Hor SocioDem x CeDi'!$C$2:$AF$81, MATCH($C58,'[2]Potencial Hor SocioDem x CeDi'!$B$2:$B$81,0), MATCH(BX$4,'[2]Potencial Hor SocioDem x CeDi'!$C$1:$AF$1,0)), "")</f>
        <v/>
      </c>
      <c r="BY58" s="80" t="str">
        <f>IFERROR(INDEX('[2]Potencial Hor SocioDem x CeDi'!$C$2:$AF$81, MATCH($C58,'[2]Potencial Hor SocioDem x CeDi'!$B$2:$B$81,0), MATCH(BY$4,'[2]Potencial Hor SocioDem x CeDi'!$C$1:$AF$1,0)), "")</f>
        <v/>
      </c>
      <c r="BZ58" s="79" t="str">
        <f>IFERROR(INDEX('[2]Potencial Hor SocioDem x CeDi'!$C$2:$AF$81, MATCH($C58,'[2]Potencial Hor SocioDem x CeDi'!$B$2:$B$81,0), MATCH(BZ$4,'[2]Potencial Hor SocioDem x CeDi'!$C$1:$AF$1,0)), "")</f>
        <v/>
      </c>
      <c r="CA58" s="79" t="str">
        <f>IFERROR(INDEX('[2]Potencial Hor SocioDem x CeDi'!$C$2:$AF$81, MATCH($C58,'[2]Potencial Hor SocioDem x CeDi'!$B$2:$B$81,0), MATCH(CA$4,'[2]Potencial Hor SocioDem x CeDi'!$C$1:$AF$1,0)), "")</f>
        <v/>
      </c>
      <c r="CB58" s="81" t="str">
        <f>IFERROR(INDEX('[2]Potencial Hor SocioDem x CeDi'!$C$2:$AF$81, MATCH($C58,'[2]Potencial Hor SocioDem x CeDi'!$B$2:$B$81,0), MATCH(CB$4,'[2]Potencial Hor SocioDem x CeDi'!$C$1:$AF$1,0)), "")</f>
        <v/>
      </c>
      <c r="CC58" s="82" t="str">
        <f>IFERROR(INDEX('[2]Potencial Hor SocioDem x CeDi'!$C$2:$AF$81, MATCH($C58,'[2]Potencial Hor SocioDem x CeDi'!$B$2:$B$81,0), MATCH(CC$4,'[2]Potencial Hor SocioDem x CeDi'!$C$1:$AF$1,0)), "")</f>
        <v/>
      </c>
      <c r="CD58" s="83" t="str">
        <f>IFERROR(INDEX('[2]Potencial Hor SocioDem x CeDi'!$C$2:$AF$81, MATCH($C58,'[2]Potencial Hor SocioDem x CeDi'!$B$2:$B$81,0), MATCH(CD$4,'[2]Potencial Hor SocioDem x CeDi'!$C$1:$AF$1,0)), "")</f>
        <v/>
      </c>
      <c r="CE58" s="78" t="str">
        <f>IFERROR(_xlfn.XLOOKUP([2]!BaseMaestraCeDi[[#This Row],[CeDi]], '[2]Potencial Hor x CeDi'!$B$6:$BU$6, '[2]Potencial Hor x CeDi'!$B$50:$BU$50), "")</f>
        <v/>
      </c>
      <c r="CF58" s="90" t="str">
        <f>IFERROR(_xlfn.XLOOKUP([2]!BaseMaestraCeDi[[#This Row],[CeDi]], '[2]Potencial Hor x CeDi'!$B$6:$BU$6, '[2]Potencial Hor x CeDi'!$B$34:$BU$34), "")</f>
        <v/>
      </c>
      <c r="CG58" s="90" t="str">
        <f>IFERROR(_xlfn.XLOOKUP([2]!BaseMaestraCeDi[[#This Row],[CeDi]], '[2]Potencial Hor x CeDi'!$B$6:$BU$6, '[2]Potencial Hor x CeDi'!$B$64:$BU$64), "")</f>
        <v/>
      </c>
      <c r="CH58" s="91" t="str">
        <f>IFERROR(_xlfn.XLOOKUP([2]!BaseMaestraCeDi[[#This Row],[CeDi]], '[2]Potencial Hor x CeDi'!$B$6:$BU$6, '[2]Potencial Hor x CeDi'!$B$38:$BU$38), "")</f>
        <v/>
      </c>
      <c r="CI58" s="90" t="str">
        <f>IFERROR(_xlfn.XLOOKUP([2]!BaseMaestraCeDi[[#This Row],[CeDi]], '[2]Potencial Hor x CeDi'!$B$6:$BU$6, '[2]Potencial Hor x CeDi'!$B$26:$BU$26), "")</f>
        <v/>
      </c>
      <c r="CJ58" s="92" t="str">
        <f>IFERROR(_xlfn.XLOOKUP([2]!BaseMaestraCeDi[[#This Row],[CeDi]], '[2]Potencial Hor x CeDi'!$B$6:$BU$6, '[2]Potencial Hor x CeDi'!$B$27:$BU$27), "")</f>
        <v/>
      </c>
      <c r="CK58" s="90" t="str">
        <f>IFERROR(_xlfn.XLOOKUP([2]!BaseMaestraCeDi[[#This Row],[CeDi]], '[2]Potencial Hor x CeDi'!$B$6:$BU$6, '[2]Potencial Hor x CeDi'!$B$28:$BU$28), "")</f>
        <v/>
      </c>
      <c r="CL58" s="92" t="str">
        <f>IFERROR(_xlfn.XLOOKUP([2]!BaseMaestraCeDi[[#This Row],[CeDi]], '[2]Potencial Hor x CeDi'!$B$6:$BU$6, '[2]Potencial Hor x CeDi'!$B$29:$BU$29), "")</f>
        <v/>
      </c>
      <c r="CM58" s="93" t="str">
        <f>IFERROR(_xlfn.XLOOKUP([2]!BaseMaestraCeDi[[#This Row],[CeDi]], '[2]Potencial Hor x CeDi'!$B$6:$BU$6, '[2]Potencial Hor x CeDi'!$B$39:$BU$39), "")</f>
        <v/>
      </c>
      <c r="CN58" s="94" t="str">
        <f>IFERROR(_xlfn.XLOOKUP([2]!BaseMaestraCeDi[[#This Row],[CeDi]], '[2]Potencial Hor x CeDi'!$B$6:$BU$6, '[2]Potencial Hor x CeDi'!$B$43:$BU$43), "")</f>
        <v/>
      </c>
      <c r="CO58" s="94" t="str">
        <f>IFERROR(_xlfn.XLOOKUP([2]!BaseMaestraCeDi[[#This Row],[CeDi]], '[2]Potencial Hor x CeDi'!$B$6:$BU$6, '[2]Potencial Hor x CeDi'!$B$46:$BU$46), "")</f>
        <v/>
      </c>
      <c r="CP58" s="86" t="str">
        <f>IFERROR(_xlfn.XLOOKUP([2]!BaseMaestraCeDi[[#This Row],[CeDi]], '[2]Potencial Hor x CeDi'!$B$6:$BU$6, '[2]Potencial Hor x CeDi'!$B$51:$BU$51), "")</f>
        <v/>
      </c>
      <c r="CQ58" s="82" t="str">
        <f>IFERROR(_xlfn.XLOOKUP([2]!BaseMaestraCeDi[[#This Row],[CeDi]], '[2]Potencial Hor x CeDi'!$B$6:$BU$6, '[2]Potencial Hor x CeDi'!$B$52:$BU$52), "")</f>
        <v/>
      </c>
      <c r="CR58" s="82" t="str">
        <f>IFERROR(_xlfn.XLOOKUP([2]!BaseMaestraCeDi[[#This Row],[CeDi]], '[2]Potencial Hor x CeDi'!$B$6:$BU$6, '[2]Potencial Hor x CeDi'!$B$53:$BU$53), "")</f>
        <v/>
      </c>
      <c r="CS58" s="87" t="str">
        <f>IFERROR(_xlfn.XLOOKUP([2]!BaseMaestraCeDi[[#This Row],[CeDi]], '[2]Potencial Hor x CeDi'!$B$6:$BU$6, '[2]Potencial Hor x CeDi'!$B$60:$BU$60), "")</f>
        <v/>
      </c>
      <c r="CT58" s="90" t="str">
        <f>IFERROR(_xlfn.XLOOKUP([2]!BaseMaestraCeDi[[#This Row],[CeDi]], '[2]Potencial Hor x CeDi'!$B$6:$BU$6, '[2]Potencial Hor x CeDi'!$B$65:$BU$65), "")</f>
        <v/>
      </c>
      <c r="CU58" s="90" t="str">
        <f>IFERROR(_xlfn.XLOOKUP([2]!BaseMaestraCeDi[[#This Row],[CeDi]], '[2]Potencial Hor x CeDi'!$B$6:$BU$6, '[2]Potencial Hor x CeDi'!$B$68:$BU$68), "")</f>
        <v/>
      </c>
      <c r="CV58" s="95" t="str">
        <f>IFERROR(_xlfn.XLOOKUP([2]!BaseMaestraCeDi[[#This Row],[CeDi]], '[2]Potencial Hor x CeDi'!$B$6:$BU$6, '[2]Potencial Hor x CeDi'!$B$71:$BU$71), "")</f>
        <v/>
      </c>
    </row>
    <row r="59" spans="1:100">
      <c r="A59" s="100" t="s">
        <v>94</v>
      </c>
      <c r="B59" s="100" t="s">
        <v>549</v>
      </c>
      <c r="C59" s="100" t="s">
        <v>901</v>
      </c>
      <c r="D59" s="101">
        <v>1</v>
      </c>
      <c r="E59" s="102">
        <v>195.39997880347619</v>
      </c>
      <c r="F59" s="103">
        <v>11.098911237683319</v>
      </c>
      <c r="G59" s="103">
        <v>206.49889004115951</v>
      </c>
      <c r="H59" s="104">
        <v>560.85671119080621</v>
      </c>
      <c r="I59" s="105">
        <v>637.81474657724175</v>
      </c>
      <c r="J59" s="105">
        <v>136.75437963525613</v>
      </c>
      <c r="K59" s="105">
        <v>1335.4258374033041</v>
      </c>
      <c r="L59" s="104">
        <v>3603.2458469692669</v>
      </c>
      <c r="M59" s="106">
        <v>0.37061746384209299</v>
      </c>
      <c r="N59" s="107" t="s">
        <v>151</v>
      </c>
      <c r="O59" s="102">
        <v>61.75167785234899</v>
      </c>
      <c r="P59" s="103">
        <v>2</v>
      </c>
      <c r="Q59" s="103">
        <v>1</v>
      </c>
      <c r="R59" s="108">
        <v>1</v>
      </c>
      <c r="S59" s="107">
        <v>8</v>
      </c>
      <c r="T59" s="125">
        <v>1</v>
      </c>
      <c r="U59" s="106">
        <v>0</v>
      </c>
      <c r="V59" s="106">
        <v>0.74078562477311649</v>
      </c>
      <c r="W59" s="106">
        <v>0.25921437522688345</v>
      </c>
      <c r="X59" s="106">
        <v>0</v>
      </c>
      <c r="Y59" s="104">
        <v>2669.2327259582657</v>
      </c>
      <c r="Z59" s="105">
        <v>934.01312101100109</v>
      </c>
      <c r="AA59" s="105">
        <v>0</v>
      </c>
      <c r="AB59" s="105">
        <v>152312.95833333334</v>
      </c>
      <c r="AC59" s="101">
        <v>1</v>
      </c>
      <c r="AD59" s="109">
        <v>0</v>
      </c>
      <c r="AE59" s="101">
        <v>27603</v>
      </c>
      <c r="AF59" s="109">
        <v>13303</v>
      </c>
      <c r="AG59" s="110">
        <v>0.48194036880049268</v>
      </c>
      <c r="AH59" s="106">
        <v>0.48194036880049268</v>
      </c>
      <c r="AI59" s="101">
        <v>0</v>
      </c>
      <c r="AJ59" s="109">
        <v>0</v>
      </c>
      <c r="AK59" s="106">
        <v>0.48194036880049268</v>
      </c>
      <c r="AL59" s="104">
        <v>5308777.2</v>
      </c>
      <c r="AM59" s="105">
        <v>0</v>
      </c>
      <c r="AN59" s="106">
        <v>0</v>
      </c>
      <c r="AO59" s="104">
        <v>0</v>
      </c>
      <c r="AP59" s="106">
        <v>0</v>
      </c>
      <c r="AQ59" s="109" t="s">
        <v>194</v>
      </c>
      <c r="AR59" s="101">
        <v>0</v>
      </c>
      <c r="AS59" s="105">
        <v>0</v>
      </c>
      <c r="AT59" s="104">
        <v>0</v>
      </c>
      <c r="AU59" s="101">
        <v>1</v>
      </c>
      <c r="AV59" s="109">
        <v>0</v>
      </c>
      <c r="AW59" s="109">
        <v>0</v>
      </c>
      <c r="AX59" s="109">
        <v>1</v>
      </c>
      <c r="AY59" s="110">
        <v>0</v>
      </c>
      <c r="AZ59" s="109">
        <v>0</v>
      </c>
      <c r="BA59" s="102">
        <v>61.751677852348998</v>
      </c>
      <c r="BB59" s="106">
        <v>0.48194036880049301</v>
      </c>
      <c r="BC59" s="111">
        <v>680.77851429977295</v>
      </c>
      <c r="BD59" s="74" t="s">
        <v>1164</v>
      </c>
      <c r="BE59" s="88" t="str">
        <f>IFERROR(_xlfn.XLOOKUP([2]!BaseMaestraCeDi[[#This Row],[CeDi]], '[2]Potencial Hor x CeDi'!$B$6:$BU$6, '[2]Potencial Hor x CeDi'!$B$21:$BU$21) / 1000, "")</f>
        <v/>
      </c>
      <c r="BF59" s="89" t="str">
        <f>IFERROR(_xlfn.XLOOKUP([2]!BaseMaestraCeDi[[#This Row],[CeDi]], '[2]Potencial Hor x CeDi'!$B$6:$BU$6, '[2]Potencial Hor x CeDi'!$B$22:$BU$22) / 1000, "")</f>
        <v/>
      </c>
      <c r="BG59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59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59" s="78" t="str">
        <f>IFERROR(INDEX('[2]Potencial Hor SocioDem x CeDi'!$C$2:$AF$81, MATCH($C59,'[2]Potencial Hor SocioDem x CeDi'!$B$2:$B$81,0), MATCH(BI$4,'[2]Potencial Hor SocioDem x CeDi'!$C$1:$AF$1,0)), "")</f>
        <v/>
      </c>
      <c r="BJ59" s="78" t="str">
        <f>IFERROR(INDEX('[2]Potencial Hor SocioDem x CeDi'!$C$2:$AF$81, MATCH($C59,'[2]Potencial Hor SocioDem x CeDi'!$B$2:$B$81,0), MATCH(BJ$4,'[2]Potencial Hor SocioDem x CeDi'!$C$1:$AF$1,0)), "")</f>
        <v/>
      </c>
      <c r="BK59" s="78" t="str">
        <f>IFERROR(INDEX('[2]Potencial Hor SocioDem x CeDi'!$C$2:$AF$81, MATCH($C59,'[2]Potencial Hor SocioDem x CeDi'!$B$2:$B$81,0), MATCH(BK$4,'[2]Potencial Hor SocioDem x CeDi'!$C$1:$AF$1,0)), "")</f>
        <v/>
      </c>
      <c r="BL59" s="79" t="str">
        <f>IFERROR(INDEX('[2]Potencial Hor SocioDem x CeDi'!$C$2:$AF$81, MATCH($C59,'[2]Potencial Hor SocioDem x CeDi'!$B$2:$B$81,0), MATCH(BL$4,'[2]Potencial Hor SocioDem x CeDi'!$C$1:$AF$1,0)), "")</f>
        <v/>
      </c>
      <c r="BM59" s="79" t="str">
        <f>IFERROR(INDEX('[2]Potencial Hor SocioDem x CeDi'!$C$2:$AF$81, MATCH($C59,'[2]Potencial Hor SocioDem x CeDi'!$B$2:$B$81,0), MATCH(BM$4,'[2]Potencial Hor SocioDem x CeDi'!$C$1:$AF$1,0)), "")</f>
        <v/>
      </c>
      <c r="BN59" s="78" t="str">
        <f>IFERROR(INDEX('[2]Potencial Hor SocioDem x CeDi'!$C$2:$AF$81, MATCH($C59,'[2]Potencial Hor SocioDem x CeDi'!$B$2:$B$81,0), MATCH(BN$4,'[2]Potencial Hor SocioDem x CeDi'!$C$1:$AF$1,0)), "")</f>
        <v/>
      </c>
      <c r="BO59" s="78" t="str">
        <f>IFERROR(INDEX('[2]Potencial Hor SocioDem x CeDi'!$C$2:$AF$81, MATCH($C59,'[2]Potencial Hor SocioDem x CeDi'!$B$2:$B$81,0), MATCH(BO$4,'[2]Potencial Hor SocioDem x CeDi'!$C$1:$AF$1,0)), "")</f>
        <v/>
      </c>
      <c r="BP59" s="78" t="str">
        <f>IFERROR(INDEX('[2]Potencial Hor SocioDem x CeDi'!$C$2:$AF$81, MATCH($C59,'[2]Potencial Hor SocioDem x CeDi'!$B$2:$B$81,0), MATCH(BP$4,'[2]Potencial Hor SocioDem x CeDi'!$C$1:$AF$1,0)), "")</f>
        <v/>
      </c>
      <c r="BQ59" s="80" t="str">
        <f>IFERROR(INDEX('[2]Potencial Hor SocioDem x CeDi'!$C$2:$AF$81, MATCH($C59,'[2]Potencial Hor SocioDem x CeDi'!$B$2:$B$81,0), MATCH(BQ$4,'[2]Potencial Hor SocioDem x CeDi'!$C$1:$AF$1,0)), "")</f>
        <v/>
      </c>
      <c r="BR59" s="80" t="str">
        <f>IFERROR(INDEX('[2]Potencial Hor SocioDem x CeDi'!$C$2:$AF$81, MATCH($C59,'[2]Potencial Hor SocioDem x CeDi'!$B$2:$B$81,0), MATCH(BR$4,'[2]Potencial Hor SocioDem x CeDi'!$C$1:$AF$1,0)), "")</f>
        <v/>
      </c>
      <c r="BS59" s="80" t="str">
        <f>IFERROR(INDEX('[2]Potencial Hor SocioDem x CeDi'!$C$2:$AF$81, MATCH($C59,'[2]Potencial Hor SocioDem x CeDi'!$B$2:$B$81,0), MATCH(BS$4,'[2]Potencial Hor SocioDem x CeDi'!$C$1:$AF$1,0)), "")</f>
        <v/>
      </c>
      <c r="BT59" s="80" t="str">
        <f>IFERROR(INDEX('[2]Potencial Hor SocioDem x CeDi'!$C$2:$AF$81, MATCH($C59,'[2]Potencial Hor SocioDem x CeDi'!$B$2:$B$81,0), MATCH(BT$4,'[2]Potencial Hor SocioDem x CeDi'!$C$1:$AF$1,0)), "")</f>
        <v/>
      </c>
      <c r="BU59" s="80" t="str">
        <f>IFERROR(INDEX('[2]Potencial Hor SocioDem x CeDi'!$C$2:$AF$81, MATCH($C59,'[2]Potencial Hor SocioDem x CeDi'!$B$2:$B$81,0), MATCH(BU$4,'[2]Potencial Hor SocioDem x CeDi'!$C$1:$AF$1,0)), "")</f>
        <v/>
      </c>
      <c r="BV59" s="80" t="str">
        <f>IFERROR(INDEX('[2]Potencial Hor SocioDem x CeDi'!$C$2:$AF$81, MATCH($C59,'[2]Potencial Hor SocioDem x CeDi'!$B$2:$B$81,0), MATCH(BV$4,'[2]Potencial Hor SocioDem x CeDi'!$C$1:$AF$1,0)), "")</f>
        <v/>
      </c>
      <c r="BW59" s="80" t="str">
        <f>IFERROR(INDEX('[2]Potencial Hor SocioDem x CeDi'!$C$2:$AF$81, MATCH($C59,'[2]Potencial Hor SocioDem x CeDi'!$B$2:$B$81,0), MATCH(BW$4,'[2]Potencial Hor SocioDem x CeDi'!$C$1:$AF$1,0)), "")</f>
        <v/>
      </c>
      <c r="BX59" s="80" t="str">
        <f>IFERROR(INDEX('[2]Potencial Hor SocioDem x CeDi'!$C$2:$AF$81, MATCH($C59,'[2]Potencial Hor SocioDem x CeDi'!$B$2:$B$81,0), MATCH(BX$4,'[2]Potencial Hor SocioDem x CeDi'!$C$1:$AF$1,0)), "")</f>
        <v/>
      </c>
      <c r="BY59" s="80" t="str">
        <f>IFERROR(INDEX('[2]Potencial Hor SocioDem x CeDi'!$C$2:$AF$81, MATCH($C59,'[2]Potencial Hor SocioDem x CeDi'!$B$2:$B$81,0), MATCH(BY$4,'[2]Potencial Hor SocioDem x CeDi'!$C$1:$AF$1,0)), "")</f>
        <v/>
      </c>
      <c r="BZ59" s="79" t="str">
        <f>IFERROR(INDEX('[2]Potencial Hor SocioDem x CeDi'!$C$2:$AF$81, MATCH($C59,'[2]Potencial Hor SocioDem x CeDi'!$B$2:$B$81,0), MATCH(BZ$4,'[2]Potencial Hor SocioDem x CeDi'!$C$1:$AF$1,0)), "")</f>
        <v/>
      </c>
      <c r="CA59" s="79" t="str">
        <f>IFERROR(INDEX('[2]Potencial Hor SocioDem x CeDi'!$C$2:$AF$81, MATCH($C59,'[2]Potencial Hor SocioDem x CeDi'!$B$2:$B$81,0), MATCH(CA$4,'[2]Potencial Hor SocioDem x CeDi'!$C$1:$AF$1,0)), "")</f>
        <v/>
      </c>
      <c r="CB59" s="81" t="str">
        <f>IFERROR(INDEX('[2]Potencial Hor SocioDem x CeDi'!$C$2:$AF$81, MATCH($C59,'[2]Potencial Hor SocioDem x CeDi'!$B$2:$B$81,0), MATCH(CB$4,'[2]Potencial Hor SocioDem x CeDi'!$C$1:$AF$1,0)), "")</f>
        <v/>
      </c>
      <c r="CC59" s="82" t="str">
        <f>IFERROR(INDEX('[2]Potencial Hor SocioDem x CeDi'!$C$2:$AF$81, MATCH($C59,'[2]Potencial Hor SocioDem x CeDi'!$B$2:$B$81,0), MATCH(CC$4,'[2]Potencial Hor SocioDem x CeDi'!$C$1:$AF$1,0)), "")</f>
        <v/>
      </c>
      <c r="CD59" s="83" t="str">
        <f>IFERROR(INDEX('[2]Potencial Hor SocioDem x CeDi'!$C$2:$AF$81, MATCH($C59,'[2]Potencial Hor SocioDem x CeDi'!$B$2:$B$81,0), MATCH(CD$4,'[2]Potencial Hor SocioDem x CeDi'!$C$1:$AF$1,0)), "")</f>
        <v/>
      </c>
      <c r="CE59" s="78" t="str">
        <f>IFERROR(_xlfn.XLOOKUP([2]!BaseMaestraCeDi[[#This Row],[CeDi]], '[2]Potencial Hor x CeDi'!$B$6:$BU$6, '[2]Potencial Hor x CeDi'!$B$50:$BU$50), "")</f>
        <v/>
      </c>
      <c r="CF59" s="90" t="str">
        <f>IFERROR(_xlfn.XLOOKUP([2]!BaseMaestraCeDi[[#This Row],[CeDi]], '[2]Potencial Hor x CeDi'!$B$6:$BU$6, '[2]Potencial Hor x CeDi'!$B$34:$BU$34), "")</f>
        <v/>
      </c>
      <c r="CG59" s="90" t="str">
        <f>IFERROR(_xlfn.XLOOKUP([2]!BaseMaestraCeDi[[#This Row],[CeDi]], '[2]Potencial Hor x CeDi'!$B$6:$BU$6, '[2]Potencial Hor x CeDi'!$B$64:$BU$64), "")</f>
        <v/>
      </c>
      <c r="CH59" s="91" t="str">
        <f>IFERROR(_xlfn.XLOOKUP([2]!BaseMaestraCeDi[[#This Row],[CeDi]], '[2]Potencial Hor x CeDi'!$B$6:$BU$6, '[2]Potencial Hor x CeDi'!$B$38:$BU$38), "")</f>
        <v/>
      </c>
      <c r="CI59" s="90" t="str">
        <f>IFERROR(_xlfn.XLOOKUP([2]!BaseMaestraCeDi[[#This Row],[CeDi]], '[2]Potencial Hor x CeDi'!$B$6:$BU$6, '[2]Potencial Hor x CeDi'!$B$26:$BU$26), "")</f>
        <v/>
      </c>
      <c r="CJ59" s="92" t="str">
        <f>IFERROR(_xlfn.XLOOKUP([2]!BaseMaestraCeDi[[#This Row],[CeDi]], '[2]Potencial Hor x CeDi'!$B$6:$BU$6, '[2]Potencial Hor x CeDi'!$B$27:$BU$27), "")</f>
        <v/>
      </c>
      <c r="CK59" s="90" t="str">
        <f>IFERROR(_xlfn.XLOOKUP([2]!BaseMaestraCeDi[[#This Row],[CeDi]], '[2]Potencial Hor x CeDi'!$B$6:$BU$6, '[2]Potencial Hor x CeDi'!$B$28:$BU$28), "")</f>
        <v/>
      </c>
      <c r="CL59" s="92" t="str">
        <f>IFERROR(_xlfn.XLOOKUP([2]!BaseMaestraCeDi[[#This Row],[CeDi]], '[2]Potencial Hor x CeDi'!$B$6:$BU$6, '[2]Potencial Hor x CeDi'!$B$29:$BU$29), "")</f>
        <v/>
      </c>
      <c r="CM59" s="93" t="str">
        <f>IFERROR(_xlfn.XLOOKUP([2]!BaseMaestraCeDi[[#This Row],[CeDi]], '[2]Potencial Hor x CeDi'!$B$6:$BU$6, '[2]Potencial Hor x CeDi'!$B$39:$BU$39), "")</f>
        <v/>
      </c>
      <c r="CN59" s="94" t="str">
        <f>IFERROR(_xlfn.XLOOKUP([2]!BaseMaestraCeDi[[#This Row],[CeDi]], '[2]Potencial Hor x CeDi'!$B$6:$BU$6, '[2]Potencial Hor x CeDi'!$B$43:$BU$43), "")</f>
        <v/>
      </c>
      <c r="CO59" s="94" t="str">
        <f>IFERROR(_xlfn.XLOOKUP([2]!BaseMaestraCeDi[[#This Row],[CeDi]], '[2]Potencial Hor x CeDi'!$B$6:$BU$6, '[2]Potencial Hor x CeDi'!$B$46:$BU$46), "")</f>
        <v/>
      </c>
      <c r="CP59" s="86" t="str">
        <f>IFERROR(_xlfn.XLOOKUP([2]!BaseMaestraCeDi[[#This Row],[CeDi]], '[2]Potencial Hor x CeDi'!$B$6:$BU$6, '[2]Potencial Hor x CeDi'!$B$51:$BU$51), "")</f>
        <v/>
      </c>
      <c r="CQ59" s="82" t="str">
        <f>IFERROR(_xlfn.XLOOKUP([2]!BaseMaestraCeDi[[#This Row],[CeDi]], '[2]Potencial Hor x CeDi'!$B$6:$BU$6, '[2]Potencial Hor x CeDi'!$B$52:$BU$52), "")</f>
        <v/>
      </c>
      <c r="CR59" s="82" t="str">
        <f>IFERROR(_xlfn.XLOOKUP([2]!BaseMaestraCeDi[[#This Row],[CeDi]], '[2]Potencial Hor x CeDi'!$B$6:$BU$6, '[2]Potencial Hor x CeDi'!$B$53:$BU$53), "")</f>
        <v/>
      </c>
      <c r="CS59" s="87" t="str">
        <f>IFERROR(_xlfn.XLOOKUP([2]!BaseMaestraCeDi[[#This Row],[CeDi]], '[2]Potencial Hor x CeDi'!$B$6:$BU$6, '[2]Potencial Hor x CeDi'!$B$60:$BU$60), "")</f>
        <v/>
      </c>
      <c r="CT59" s="90" t="str">
        <f>IFERROR(_xlfn.XLOOKUP([2]!BaseMaestraCeDi[[#This Row],[CeDi]], '[2]Potencial Hor x CeDi'!$B$6:$BU$6, '[2]Potencial Hor x CeDi'!$B$65:$BU$65), "")</f>
        <v/>
      </c>
      <c r="CU59" s="90" t="str">
        <f>IFERROR(_xlfn.XLOOKUP([2]!BaseMaestraCeDi[[#This Row],[CeDi]], '[2]Potencial Hor x CeDi'!$B$6:$BU$6, '[2]Potencial Hor x CeDi'!$B$68:$BU$68), "")</f>
        <v/>
      </c>
      <c r="CV59" s="95" t="str">
        <f>IFERROR(_xlfn.XLOOKUP([2]!BaseMaestraCeDi[[#This Row],[CeDi]], '[2]Potencial Hor x CeDi'!$B$6:$BU$6, '[2]Potencial Hor x CeDi'!$B$71:$BU$71), "")</f>
        <v/>
      </c>
    </row>
    <row r="60" spans="1:100">
      <c r="A60" s="112" t="s">
        <v>94</v>
      </c>
      <c r="B60" s="112" t="s">
        <v>510</v>
      </c>
      <c r="C60" s="112" t="s">
        <v>903</v>
      </c>
      <c r="D60" s="113">
        <v>5</v>
      </c>
      <c r="E60" s="114">
        <v>424.46098391917462</v>
      </c>
      <c r="F60" s="115">
        <v>24.43172643441061</v>
      </c>
      <c r="G60" s="115">
        <v>448.89271035358524</v>
      </c>
      <c r="H60" s="116">
        <v>1549.8120270748232</v>
      </c>
      <c r="I60" s="117">
        <v>4462.7557995226298</v>
      </c>
      <c r="J60" s="117">
        <v>696.379600298382</v>
      </c>
      <c r="K60" s="117">
        <v>6708.9474268958347</v>
      </c>
      <c r="L60" s="116">
        <v>9438.1733254087849</v>
      </c>
      <c r="M60" s="118">
        <v>0.71083113178632562</v>
      </c>
      <c r="N60" s="119" t="s">
        <v>160</v>
      </c>
      <c r="O60" s="114">
        <v>62.359424273338504</v>
      </c>
      <c r="P60" s="115">
        <v>2</v>
      </c>
      <c r="Q60" s="115">
        <v>1</v>
      </c>
      <c r="R60" s="120">
        <v>8</v>
      </c>
      <c r="S60" s="119">
        <v>66</v>
      </c>
      <c r="T60" s="121">
        <v>1</v>
      </c>
      <c r="U60" s="118">
        <v>0</v>
      </c>
      <c r="V60" s="118">
        <v>0.63855675622908969</v>
      </c>
      <c r="W60" s="118">
        <v>0.36133442671583366</v>
      </c>
      <c r="X60" s="118">
        <v>1.0881705507664313E-4</v>
      </c>
      <c r="Y60" s="116">
        <v>6026.8093434009543</v>
      </c>
      <c r="Z60" s="117">
        <v>3410.3369477812566</v>
      </c>
      <c r="AA60" s="117">
        <v>1.0270342265739119</v>
      </c>
      <c r="AB60" s="117">
        <v>80535.346296296295</v>
      </c>
      <c r="AC60" s="113">
        <v>5</v>
      </c>
      <c r="AD60" s="122">
        <v>3</v>
      </c>
      <c r="AE60" s="113">
        <v>111824</v>
      </c>
      <c r="AF60" s="122">
        <v>33966</v>
      </c>
      <c r="AG60" s="123">
        <v>0.30374517098297327</v>
      </c>
      <c r="AH60" s="118">
        <v>0.32301196340605209</v>
      </c>
      <c r="AI60" s="113">
        <v>2376.5932441942314</v>
      </c>
      <c r="AJ60" s="122">
        <v>1188.2966220971157</v>
      </c>
      <c r="AK60" s="118">
        <v>0.3143716610217584</v>
      </c>
      <c r="AL60" s="116">
        <v>13254742.009999998</v>
      </c>
      <c r="AM60" s="117">
        <v>539988.28748602595</v>
      </c>
      <c r="AN60" s="118">
        <v>4.0739252946502734E-2</v>
      </c>
      <c r="AO60" s="116">
        <v>379451.2290442345</v>
      </c>
      <c r="AP60" s="118">
        <v>1.7261595493852488E-3</v>
      </c>
      <c r="AQ60" s="122">
        <v>36</v>
      </c>
      <c r="AR60" s="113">
        <v>3</v>
      </c>
      <c r="AS60" s="117">
        <v>1761512.379579887</v>
      </c>
      <c r="AT60" s="116">
        <v>2140963.6086241216</v>
      </c>
      <c r="AU60" s="113">
        <v>7</v>
      </c>
      <c r="AV60" s="122">
        <v>0</v>
      </c>
      <c r="AW60" s="122">
        <v>0</v>
      </c>
      <c r="AX60" s="122">
        <v>5</v>
      </c>
      <c r="AY60" s="123">
        <v>0</v>
      </c>
      <c r="AZ60" s="122">
        <v>4883.362757395219</v>
      </c>
      <c r="BA60" s="114">
        <v>62.359424273338547</v>
      </c>
      <c r="BB60" s="118">
        <v>0.3054456662276766</v>
      </c>
      <c r="BC60" s="124">
        <v>347.80144594812919</v>
      </c>
      <c r="BD60" s="74" t="s">
        <v>1165</v>
      </c>
      <c r="BE60" s="88" t="str">
        <f>IFERROR(_xlfn.XLOOKUP([2]!BaseMaestraCeDi[[#This Row],[CeDi]], '[2]Potencial Hor x CeDi'!$B$6:$BU$6, '[2]Potencial Hor x CeDi'!$B$21:$BU$21) / 1000, "")</f>
        <v/>
      </c>
      <c r="BF60" s="89" t="str">
        <f>IFERROR(_xlfn.XLOOKUP([2]!BaseMaestraCeDi[[#This Row],[CeDi]], '[2]Potencial Hor x CeDi'!$B$6:$BU$6, '[2]Potencial Hor x CeDi'!$B$22:$BU$22) / 1000, "")</f>
        <v/>
      </c>
      <c r="BG60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60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60" s="78" t="str">
        <f>IFERROR(INDEX('[2]Potencial Hor SocioDem x CeDi'!$C$2:$AF$81, MATCH($C60,'[2]Potencial Hor SocioDem x CeDi'!$B$2:$B$81,0), MATCH(BI$4,'[2]Potencial Hor SocioDem x CeDi'!$C$1:$AF$1,0)), "")</f>
        <v/>
      </c>
      <c r="BJ60" s="78" t="str">
        <f>IFERROR(INDEX('[2]Potencial Hor SocioDem x CeDi'!$C$2:$AF$81, MATCH($C60,'[2]Potencial Hor SocioDem x CeDi'!$B$2:$B$81,0), MATCH(BJ$4,'[2]Potencial Hor SocioDem x CeDi'!$C$1:$AF$1,0)), "")</f>
        <v/>
      </c>
      <c r="BK60" s="78" t="str">
        <f>IFERROR(INDEX('[2]Potencial Hor SocioDem x CeDi'!$C$2:$AF$81, MATCH($C60,'[2]Potencial Hor SocioDem x CeDi'!$B$2:$B$81,0), MATCH(BK$4,'[2]Potencial Hor SocioDem x CeDi'!$C$1:$AF$1,0)), "")</f>
        <v/>
      </c>
      <c r="BL60" s="79" t="str">
        <f>IFERROR(INDEX('[2]Potencial Hor SocioDem x CeDi'!$C$2:$AF$81, MATCH($C60,'[2]Potencial Hor SocioDem x CeDi'!$B$2:$B$81,0), MATCH(BL$4,'[2]Potencial Hor SocioDem x CeDi'!$C$1:$AF$1,0)), "")</f>
        <v/>
      </c>
      <c r="BM60" s="79" t="str">
        <f>IFERROR(INDEX('[2]Potencial Hor SocioDem x CeDi'!$C$2:$AF$81, MATCH($C60,'[2]Potencial Hor SocioDem x CeDi'!$B$2:$B$81,0), MATCH(BM$4,'[2]Potencial Hor SocioDem x CeDi'!$C$1:$AF$1,0)), "")</f>
        <v/>
      </c>
      <c r="BN60" s="78" t="str">
        <f>IFERROR(INDEX('[2]Potencial Hor SocioDem x CeDi'!$C$2:$AF$81, MATCH($C60,'[2]Potencial Hor SocioDem x CeDi'!$B$2:$B$81,0), MATCH(BN$4,'[2]Potencial Hor SocioDem x CeDi'!$C$1:$AF$1,0)), "")</f>
        <v/>
      </c>
      <c r="BO60" s="78" t="str">
        <f>IFERROR(INDEX('[2]Potencial Hor SocioDem x CeDi'!$C$2:$AF$81, MATCH($C60,'[2]Potencial Hor SocioDem x CeDi'!$B$2:$B$81,0), MATCH(BO$4,'[2]Potencial Hor SocioDem x CeDi'!$C$1:$AF$1,0)), "")</f>
        <v/>
      </c>
      <c r="BP60" s="78" t="str">
        <f>IFERROR(INDEX('[2]Potencial Hor SocioDem x CeDi'!$C$2:$AF$81, MATCH($C60,'[2]Potencial Hor SocioDem x CeDi'!$B$2:$B$81,0), MATCH(BP$4,'[2]Potencial Hor SocioDem x CeDi'!$C$1:$AF$1,0)), "")</f>
        <v/>
      </c>
      <c r="BQ60" s="80" t="str">
        <f>IFERROR(INDEX('[2]Potencial Hor SocioDem x CeDi'!$C$2:$AF$81, MATCH($C60,'[2]Potencial Hor SocioDem x CeDi'!$B$2:$B$81,0), MATCH(BQ$4,'[2]Potencial Hor SocioDem x CeDi'!$C$1:$AF$1,0)), "")</f>
        <v/>
      </c>
      <c r="BR60" s="80" t="str">
        <f>IFERROR(INDEX('[2]Potencial Hor SocioDem x CeDi'!$C$2:$AF$81, MATCH($C60,'[2]Potencial Hor SocioDem x CeDi'!$B$2:$B$81,0), MATCH(BR$4,'[2]Potencial Hor SocioDem x CeDi'!$C$1:$AF$1,0)), "")</f>
        <v/>
      </c>
      <c r="BS60" s="80" t="str">
        <f>IFERROR(INDEX('[2]Potencial Hor SocioDem x CeDi'!$C$2:$AF$81, MATCH($C60,'[2]Potencial Hor SocioDem x CeDi'!$B$2:$B$81,0), MATCH(BS$4,'[2]Potencial Hor SocioDem x CeDi'!$C$1:$AF$1,0)), "")</f>
        <v/>
      </c>
      <c r="BT60" s="80" t="str">
        <f>IFERROR(INDEX('[2]Potencial Hor SocioDem x CeDi'!$C$2:$AF$81, MATCH($C60,'[2]Potencial Hor SocioDem x CeDi'!$B$2:$B$81,0), MATCH(BT$4,'[2]Potencial Hor SocioDem x CeDi'!$C$1:$AF$1,0)), "")</f>
        <v/>
      </c>
      <c r="BU60" s="80" t="str">
        <f>IFERROR(INDEX('[2]Potencial Hor SocioDem x CeDi'!$C$2:$AF$81, MATCH($C60,'[2]Potencial Hor SocioDem x CeDi'!$B$2:$B$81,0), MATCH(BU$4,'[2]Potencial Hor SocioDem x CeDi'!$C$1:$AF$1,0)), "")</f>
        <v/>
      </c>
      <c r="BV60" s="80" t="str">
        <f>IFERROR(INDEX('[2]Potencial Hor SocioDem x CeDi'!$C$2:$AF$81, MATCH($C60,'[2]Potencial Hor SocioDem x CeDi'!$B$2:$B$81,0), MATCH(BV$4,'[2]Potencial Hor SocioDem x CeDi'!$C$1:$AF$1,0)), "")</f>
        <v/>
      </c>
      <c r="BW60" s="80" t="str">
        <f>IFERROR(INDEX('[2]Potencial Hor SocioDem x CeDi'!$C$2:$AF$81, MATCH($C60,'[2]Potencial Hor SocioDem x CeDi'!$B$2:$B$81,0), MATCH(BW$4,'[2]Potencial Hor SocioDem x CeDi'!$C$1:$AF$1,0)), "")</f>
        <v/>
      </c>
      <c r="BX60" s="80" t="str">
        <f>IFERROR(INDEX('[2]Potencial Hor SocioDem x CeDi'!$C$2:$AF$81, MATCH($C60,'[2]Potencial Hor SocioDem x CeDi'!$B$2:$B$81,0), MATCH(BX$4,'[2]Potencial Hor SocioDem x CeDi'!$C$1:$AF$1,0)), "")</f>
        <v/>
      </c>
      <c r="BY60" s="80" t="str">
        <f>IFERROR(INDEX('[2]Potencial Hor SocioDem x CeDi'!$C$2:$AF$81, MATCH($C60,'[2]Potencial Hor SocioDem x CeDi'!$B$2:$B$81,0), MATCH(BY$4,'[2]Potencial Hor SocioDem x CeDi'!$C$1:$AF$1,0)), "")</f>
        <v/>
      </c>
      <c r="BZ60" s="79" t="str">
        <f>IFERROR(INDEX('[2]Potencial Hor SocioDem x CeDi'!$C$2:$AF$81, MATCH($C60,'[2]Potencial Hor SocioDem x CeDi'!$B$2:$B$81,0), MATCH(BZ$4,'[2]Potencial Hor SocioDem x CeDi'!$C$1:$AF$1,0)), "")</f>
        <v/>
      </c>
      <c r="CA60" s="79" t="str">
        <f>IFERROR(INDEX('[2]Potencial Hor SocioDem x CeDi'!$C$2:$AF$81, MATCH($C60,'[2]Potencial Hor SocioDem x CeDi'!$B$2:$B$81,0), MATCH(CA$4,'[2]Potencial Hor SocioDem x CeDi'!$C$1:$AF$1,0)), "")</f>
        <v/>
      </c>
      <c r="CB60" s="81" t="str">
        <f>IFERROR(INDEX('[2]Potencial Hor SocioDem x CeDi'!$C$2:$AF$81, MATCH($C60,'[2]Potencial Hor SocioDem x CeDi'!$B$2:$B$81,0), MATCH(CB$4,'[2]Potencial Hor SocioDem x CeDi'!$C$1:$AF$1,0)), "")</f>
        <v/>
      </c>
      <c r="CC60" s="82" t="str">
        <f>IFERROR(INDEX('[2]Potencial Hor SocioDem x CeDi'!$C$2:$AF$81, MATCH($C60,'[2]Potencial Hor SocioDem x CeDi'!$B$2:$B$81,0), MATCH(CC$4,'[2]Potencial Hor SocioDem x CeDi'!$C$1:$AF$1,0)), "")</f>
        <v/>
      </c>
      <c r="CD60" s="83" t="str">
        <f>IFERROR(INDEX('[2]Potencial Hor SocioDem x CeDi'!$C$2:$AF$81, MATCH($C60,'[2]Potencial Hor SocioDem x CeDi'!$B$2:$B$81,0), MATCH(CD$4,'[2]Potencial Hor SocioDem x CeDi'!$C$1:$AF$1,0)), "")</f>
        <v/>
      </c>
      <c r="CE60" s="78" t="str">
        <f>IFERROR(_xlfn.XLOOKUP([2]!BaseMaestraCeDi[[#This Row],[CeDi]], '[2]Potencial Hor x CeDi'!$B$6:$BU$6, '[2]Potencial Hor x CeDi'!$B$50:$BU$50), "")</f>
        <v/>
      </c>
      <c r="CF60" s="90" t="str">
        <f>IFERROR(_xlfn.XLOOKUP([2]!BaseMaestraCeDi[[#This Row],[CeDi]], '[2]Potencial Hor x CeDi'!$B$6:$BU$6, '[2]Potencial Hor x CeDi'!$B$34:$BU$34), "")</f>
        <v/>
      </c>
      <c r="CG60" s="90" t="str">
        <f>IFERROR(_xlfn.XLOOKUP([2]!BaseMaestraCeDi[[#This Row],[CeDi]], '[2]Potencial Hor x CeDi'!$B$6:$BU$6, '[2]Potencial Hor x CeDi'!$B$64:$BU$64), "")</f>
        <v/>
      </c>
      <c r="CH60" s="91" t="str">
        <f>IFERROR(_xlfn.XLOOKUP([2]!BaseMaestraCeDi[[#This Row],[CeDi]], '[2]Potencial Hor x CeDi'!$B$6:$BU$6, '[2]Potencial Hor x CeDi'!$B$38:$BU$38), "")</f>
        <v/>
      </c>
      <c r="CI60" s="90" t="str">
        <f>IFERROR(_xlfn.XLOOKUP([2]!BaseMaestraCeDi[[#This Row],[CeDi]], '[2]Potencial Hor x CeDi'!$B$6:$BU$6, '[2]Potencial Hor x CeDi'!$B$26:$BU$26), "")</f>
        <v/>
      </c>
      <c r="CJ60" s="92" t="str">
        <f>IFERROR(_xlfn.XLOOKUP([2]!BaseMaestraCeDi[[#This Row],[CeDi]], '[2]Potencial Hor x CeDi'!$B$6:$BU$6, '[2]Potencial Hor x CeDi'!$B$27:$BU$27), "")</f>
        <v/>
      </c>
      <c r="CK60" s="90" t="str">
        <f>IFERROR(_xlfn.XLOOKUP([2]!BaseMaestraCeDi[[#This Row],[CeDi]], '[2]Potencial Hor x CeDi'!$B$6:$BU$6, '[2]Potencial Hor x CeDi'!$B$28:$BU$28), "")</f>
        <v/>
      </c>
      <c r="CL60" s="92" t="str">
        <f>IFERROR(_xlfn.XLOOKUP([2]!BaseMaestraCeDi[[#This Row],[CeDi]], '[2]Potencial Hor x CeDi'!$B$6:$BU$6, '[2]Potencial Hor x CeDi'!$B$29:$BU$29), "")</f>
        <v/>
      </c>
      <c r="CM60" s="93" t="str">
        <f>IFERROR(_xlfn.XLOOKUP([2]!BaseMaestraCeDi[[#This Row],[CeDi]], '[2]Potencial Hor x CeDi'!$B$6:$BU$6, '[2]Potencial Hor x CeDi'!$B$39:$BU$39), "")</f>
        <v/>
      </c>
      <c r="CN60" s="94" t="str">
        <f>IFERROR(_xlfn.XLOOKUP([2]!BaseMaestraCeDi[[#This Row],[CeDi]], '[2]Potencial Hor x CeDi'!$B$6:$BU$6, '[2]Potencial Hor x CeDi'!$B$43:$BU$43), "")</f>
        <v/>
      </c>
      <c r="CO60" s="94" t="str">
        <f>IFERROR(_xlfn.XLOOKUP([2]!BaseMaestraCeDi[[#This Row],[CeDi]], '[2]Potencial Hor x CeDi'!$B$6:$BU$6, '[2]Potencial Hor x CeDi'!$B$46:$BU$46), "")</f>
        <v/>
      </c>
      <c r="CP60" s="86" t="str">
        <f>IFERROR(_xlfn.XLOOKUP([2]!BaseMaestraCeDi[[#This Row],[CeDi]], '[2]Potencial Hor x CeDi'!$B$6:$BU$6, '[2]Potencial Hor x CeDi'!$B$51:$BU$51), "")</f>
        <v/>
      </c>
      <c r="CQ60" s="82" t="str">
        <f>IFERROR(_xlfn.XLOOKUP([2]!BaseMaestraCeDi[[#This Row],[CeDi]], '[2]Potencial Hor x CeDi'!$B$6:$BU$6, '[2]Potencial Hor x CeDi'!$B$52:$BU$52), "")</f>
        <v/>
      </c>
      <c r="CR60" s="82" t="str">
        <f>IFERROR(_xlfn.XLOOKUP([2]!BaseMaestraCeDi[[#This Row],[CeDi]], '[2]Potencial Hor x CeDi'!$B$6:$BU$6, '[2]Potencial Hor x CeDi'!$B$53:$BU$53), "")</f>
        <v/>
      </c>
      <c r="CS60" s="87" t="str">
        <f>IFERROR(_xlfn.XLOOKUP([2]!BaseMaestraCeDi[[#This Row],[CeDi]], '[2]Potencial Hor x CeDi'!$B$6:$BU$6, '[2]Potencial Hor x CeDi'!$B$60:$BU$60), "")</f>
        <v/>
      </c>
      <c r="CT60" s="90" t="str">
        <f>IFERROR(_xlfn.XLOOKUP([2]!BaseMaestraCeDi[[#This Row],[CeDi]], '[2]Potencial Hor x CeDi'!$B$6:$BU$6, '[2]Potencial Hor x CeDi'!$B$65:$BU$65), "")</f>
        <v/>
      </c>
      <c r="CU60" s="90" t="str">
        <f>IFERROR(_xlfn.XLOOKUP([2]!BaseMaestraCeDi[[#This Row],[CeDi]], '[2]Potencial Hor x CeDi'!$B$6:$BU$6, '[2]Potencial Hor x CeDi'!$B$68:$BU$68), "")</f>
        <v/>
      </c>
      <c r="CV60" s="95" t="str">
        <f>IFERROR(_xlfn.XLOOKUP([2]!BaseMaestraCeDi[[#This Row],[CeDi]], '[2]Potencial Hor x CeDi'!$B$6:$BU$6, '[2]Potencial Hor x CeDi'!$B$71:$BU$71), "")</f>
        <v/>
      </c>
    </row>
    <row r="61" spans="1:100">
      <c r="A61" s="100" t="s">
        <v>94</v>
      </c>
      <c r="B61" s="100" t="s">
        <v>882</v>
      </c>
      <c r="C61" s="100" t="s">
        <v>911</v>
      </c>
      <c r="D61" s="101">
        <v>1</v>
      </c>
      <c r="E61" s="102">
        <v>179.07103561821447</v>
      </c>
      <c r="F61" s="103">
        <v>11.921948452591572</v>
      </c>
      <c r="G61" s="103">
        <v>190.99298407080605</v>
      </c>
      <c r="H61" s="104">
        <v>476.70370094576617</v>
      </c>
      <c r="I61" s="105">
        <v>540.94427679854164</v>
      </c>
      <c r="J61" s="105">
        <v>141.1793473076516</v>
      </c>
      <c r="K61" s="105">
        <v>1158.8273250519594</v>
      </c>
      <c r="L61" s="104">
        <v>3086.6202842364569</v>
      </c>
      <c r="M61" s="106">
        <v>0.37543566047633253</v>
      </c>
      <c r="N61" s="107" t="s">
        <v>151</v>
      </c>
      <c r="O61" s="102">
        <v>33.983480039672699</v>
      </c>
      <c r="P61" s="103">
        <v>2</v>
      </c>
      <c r="Q61" s="103">
        <v>1</v>
      </c>
      <c r="R61" s="108">
        <v>1</v>
      </c>
      <c r="S61" s="107">
        <v>8</v>
      </c>
      <c r="T61" s="125">
        <v>1</v>
      </c>
      <c r="U61" s="106">
        <v>0</v>
      </c>
      <c r="V61" s="106">
        <v>0.8612857642125229</v>
      </c>
      <c r="W61" s="106">
        <v>0.13871423578747705</v>
      </c>
      <c r="X61" s="106">
        <v>0</v>
      </c>
      <c r="Y61" s="104">
        <v>2658.4621103424715</v>
      </c>
      <c r="Z61" s="105">
        <v>428.15817389398529</v>
      </c>
      <c r="AA61" s="105">
        <v>0</v>
      </c>
      <c r="AB61" s="105">
        <v>70162.229166666672</v>
      </c>
      <c r="AC61" s="101">
        <v>2</v>
      </c>
      <c r="AD61" s="109">
        <v>1</v>
      </c>
      <c r="AE61" s="101">
        <v>20639</v>
      </c>
      <c r="AF61" s="109">
        <v>6822</v>
      </c>
      <c r="AG61" s="110">
        <v>0.33053927031348418</v>
      </c>
      <c r="AH61" s="106">
        <v>0.39113956177153897</v>
      </c>
      <c r="AI61" s="101">
        <v>1328.148681640625</v>
      </c>
      <c r="AJ61" s="109">
        <v>664.0743408203125</v>
      </c>
      <c r="AK61" s="106">
        <v>0.36271497363342764</v>
      </c>
      <c r="AL61" s="104">
        <v>4764527.0600000024</v>
      </c>
      <c r="AM61" s="105">
        <v>301687.70430883922</v>
      </c>
      <c r="AN61" s="106">
        <v>6.3319548931020042E-2</v>
      </c>
      <c r="AO61" s="104">
        <v>211996.76518999515</v>
      </c>
      <c r="AP61" s="106">
        <v>9.6439334665808388E-4</v>
      </c>
      <c r="AQ61" s="109">
        <v>40</v>
      </c>
      <c r="AR61" s="101">
        <v>1</v>
      </c>
      <c r="AS61" s="105">
        <v>27574.017971290566</v>
      </c>
      <c r="AT61" s="104">
        <v>239570.78316128571</v>
      </c>
      <c r="AU61" s="101">
        <v>2</v>
      </c>
      <c r="AV61" s="109">
        <v>0</v>
      </c>
      <c r="AW61" s="109">
        <v>0</v>
      </c>
      <c r="AX61" s="109">
        <v>2</v>
      </c>
      <c r="AY61" s="110">
        <v>0</v>
      </c>
      <c r="AZ61" s="109">
        <v>28.8826089557272</v>
      </c>
      <c r="BA61" s="102">
        <v>33.983480039672699</v>
      </c>
      <c r="BB61" s="106">
        <v>0.36593797770974446</v>
      </c>
      <c r="BC61" s="111">
        <v>352.76354843208048</v>
      </c>
      <c r="BD61" s="74" t="s">
        <v>1166</v>
      </c>
      <c r="BE61" s="88" t="str">
        <f>IFERROR(_xlfn.XLOOKUP([2]!BaseMaestraCeDi[[#This Row],[CeDi]], '[2]Potencial Hor x CeDi'!$B$6:$BU$6, '[2]Potencial Hor x CeDi'!$B$21:$BU$21) / 1000, "")</f>
        <v/>
      </c>
      <c r="BF61" s="89" t="str">
        <f>IFERROR(_xlfn.XLOOKUP([2]!BaseMaestraCeDi[[#This Row],[CeDi]], '[2]Potencial Hor x CeDi'!$B$6:$BU$6, '[2]Potencial Hor x CeDi'!$B$22:$BU$22) / 1000, "")</f>
        <v/>
      </c>
      <c r="BG61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61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61" s="78" t="str">
        <f>IFERROR(INDEX('[2]Potencial Hor SocioDem x CeDi'!$C$2:$AF$81, MATCH($C61,'[2]Potencial Hor SocioDem x CeDi'!$B$2:$B$81,0), MATCH(BI$4,'[2]Potencial Hor SocioDem x CeDi'!$C$1:$AF$1,0)), "")</f>
        <v/>
      </c>
      <c r="BJ61" s="78" t="str">
        <f>IFERROR(INDEX('[2]Potencial Hor SocioDem x CeDi'!$C$2:$AF$81, MATCH($C61,'[2]Potencial Hor SocioDem x CeDi'!$B$2:$B$81,0), MATCH(BJ$4,'[2]Potencial Hor SocioDem x CeDi'!$C$1:$AF$1,0)), "")</f>
        <v/>
      </c>
      <c r="BK61" s="78" t="str">
        <f>IFERROR(INDEX('[2]Potencial Hor SocioDem x CeDi'!$C$2:$AF$81, MATCH($C61,'[2]Potencial Hor SocioDem x CeDi'!$B$2:$B$81,0), MATCH(BK$4,'[2]Potencial Hor SocioDem x CeDi'!$C$1:$AF$1,0)), "")</f>
        <v/>
      </c>
      <c r="BL61" s="79" t="str">
        <f>IFERROR(INDEX('[2]Potencial Hor SocioDem x CeDi'!$C$2:$AF$81, MATCH($C61,'[2]Potencial Hor SocioDem x CeDi'!$B$2:$B$81,0), MATCH(BL$4,'[2]Potencial Hor SocioDem x CeDi'!$C$1:$AF$1,0)), "")</f>
        <v/>
      </c>
      <c r="BM61" s="79" t="str">
        <f>IFERROR(INDEX('[2]Potencial Hor SocioDem x CeDi'!$C$2:$AF$81, MATCH($C61,'[2]Potencial Hor SocioDem x CeDi'!$B$2:$B$81,0), MATCH(BM$4,'[2]Potencial Hor SocioDem x CeDi'!$C$1:$AF$1,0)), "")</f>
        <v/>
      </c>
      <c r="BN61" s="78" t="str">
        <f>IFERROR(INDEX('[2]Potencial Hor SocioDem x CeDi'!$C$2:$AF$81, MATCH($C61,'[2]Potencial Hor SocioDem x CeDi'!$B$2:$B$81,0), MATCH(BN$4,'[2]Potencial Hor SocioDem x CeDi'!$C$1:$AF$1,0)), "")</f>
        <v/>
      </c>
      <c r="BO61" s="78" t="str">
        <f>IFERROR(INDEX('[2]Potencial Hor SocioDem x CeDi'!$C$2:$AF$81, MATCH($C61,'[2]Potencial Hor SocioDem x CeDi'!$B$2:$B$81,0), MATCH(BO$4,'[2]Potencial Hor SocioDem x CeDi'!$C$1:$AF$1,0)), "")</f>
        <v/>
      </c>
      <c r="BP61" s="78" t="str">
        <f>IFERROR(INDEX('[2]Potencial Hor SocioDem x CeDi'!$C$2:$AF$81, MATCH($C61,'[2]Potencial Hor SocioDem x CeDi'!$B$2:$B$81,0), MATCH(BP$4,'[2]Potencial Hor SocioDem x CeDi'!$C$1:$AF$1,0)), "")</f>
        <v/>
      </c>
      <c r="BQ61" s="80" t="str">
        <f>IFERROR(INDEX('[2]Potencial Hor SocioDem x CeDi'!$C$2:$AF$81, MATCH($C61,'[2]Potencial Hor SocioDem x CeDi'!$B$2:$B$81,0), MATCH(BQ$4,'[2]Potencial Hor SocioDem x CeDi'!$C$1:$AF$1,0)), "")</f>
        <v/>
      </c>
      <c r="BR61" s="80" t="str">
        <f>IFERROR(INDEX('[2]Potencial Hor SocioDem x CeDi'!$C$2:$AF$81, MATCH($C61,'[2]Potencial Hor SocioDem x CeDi'!$B$2:$B$81,0), MATCH(BR$4,'[2]Potencial Hor SocioDem x CeDi'!$C$1:$AF$1,0)), "")</f>
        <v/>
      </c>
      <c r="BS61" s="80" t="str">
        <f>IFERROR(INDEX('[2]Potencial Hor SocioDem x CeDi'!$C$2:$AF$81, MATCH($C61,'[2]Potencial Hor SocioDem x CeDi'!$B$2:$B$81,0), MATCH(BS$4,'[2]Potencial Hor SocioDem x CeDi'!$C$1:$AF$1,0)), "")</f>
        <v/>
      </c>
      <c r="BT61" s="80" t="str">
        <f>IFERROR(INDEX('[2]Potencial Hor SocioDem x CeDi'!$C$2:$AF$81, MATCH($C61,'[2]Potencial Hor SocioDem x CeDi'!$B$2:$B$81,0), MATCH(BT$4,'[2]Potencial Hor SocioDem x CeDi'!$C$1:$AF$1,0)), "")</f>
        <v/>
      </c>
      <c r="BU61" s="80" t="str">
        <f>IFERROR(INDEX('[2]Potencial Hor SocioDem x CeDi'!$C$2:$AF$81, MATCH($C61,'[2]Potencial Hor SocioDem x CeDi'!$B$2:$B$81,0), MATCH(BU$4,'[2]Potencial Hor SocioDem x CeDi'!$C$1:$AF$1,0)), "")</f>
        <v/>
      </c>
      <c r="BV61" s="80" t="str">
        <f>IFERROR(INDEX('[2]Potencial Hor SocioDem x CeDi'!$C$2:$AF$81, MATCH($C61,'[2]Potencial Hor SocioDem x CeDi'!$B$2:$B$81,0), MATCH(BV$4,'[2]Potencial Hor SocioDem x CeDi'!$C$1:$AF$1,0)), "")</f>
        <v/>
      </c>
      <c r="BW61" s="80" t="str">
        <f>IFERROR(INDEX('[2]Potencial Hor SocioDem x CeDi'!$C$2:$AF$81, MATCH($C61,'[2]Potencial Hor SocioDem x CeDi'!$B$2:$B$81,0), MATCH(BW$4,'[2]Potencial Hor SocioDem x CeDi'!$C$1:$AF$1,0)), "")</f>
        <v/>
      </c>
      <c r="BX61" s="80" t="str">
        <f>IFERROR(INDEX('[2]Potencial Hor SocioDem x CeDi'!$C$2:$AF$81, MATCH($C61,'[2]Potencial Hor SocioDem x CeDi'!$B$2:$B$81,0), MATCH(BX$4,'[2]Potencial Hor SocioDem x CeDi'!$C$1:$AF$1,0)), "")</f>
        <v/>
      </c>
      <c r="BY61" s="80" t="str">
        <f>IFERROR(INDEX('[2]Potencial Hor SocioDem x CeDi'!$C$2:$AF$81, MATCH($C61,'[2]Potencial Hor SocioDem x CeDi'!$B$2:$B$81,0), MATCH(BY$4,'[2]Potencial Hor SocioDem x CeDi'!$C$1:$AF$1,0)), "")</f>
        <v/>
      </c>
      <c r="BZ61" s="79" t="str">
        <f>IFERROR(INDEX('[2]Potencial Hor SocioDem x CeDi'!$C$2:$AF$81, MATCH($C61,'[2]Potencial Hor SocioDem x CeDi'!$B$2:$B$81,0), MATCH(BZ$4,'[2]Potencial Hor SocioDem x CeDi'!$C$1:$AF$1,0)), "")</f>
        <v/>
      </c>
      <c r="CA61" s="79" t="str">
        <f>IFERROR(INDEX('[2]Potencial Hor SocioDem x CeDi'!$C$2:$AF$81, MATCH($C61,'[2]Potencial Hor SocioDem x CeDi'!$B$2:$B$81,0), MATCH(CA$4,'[2]Potencial Hor SocioDem x CeDi'!$C$1:$AF$1,0)), "")</f>
        <v/>
      </c>
      <c r="CB61" s="81" t="str">
        <f>IFERROR(INDEX('[2]Potencial Hor SocioDem x CeDi'!$C$2:$AF$81, MATCH($C61,'[2]Potencial Hor SocioDem x CeDi'!$B$2:$B$81,0), MATCH(CB$4,'[2]Potencial Hor SocioDem x CeDi'!$C$1:$AF$1,0)), "")</f>
        <v/>
      </c>
      <c r="CC61" s="82" t="str">
        <f>IFERROR(INDEX('[2]Potencial Hor SocioDem x CeDi'!$C$2:$AF$81, MATCH($C61,'[2]Potencial Hor SocioDem x CeDi'!$B$2:$B$81,0), MATCH(CC$4,'[2]Potencial Hor SocioDem x CeDi'!$C$1:$AF$1,0)), "")</f>
        <v/>
      </c>
      <c r="CD61" s="83" t="str">
        <f>IFERROR(INDEX('[2]Potencial Hor SocioDem x CeDi'!$C$2:$AF$81, MATCH($C61,'[2]Potencial Hor SocioDem x CeDi'!$B$2:$B$81,0), MATCH(CD$4,'[2]Potencial Hor SocioDem x CeDi'!$C$1:$AF$1,0)), "")</f>
        <v/>
      </c>
      <c r="CE61" s="78" t="str">
        <f>IFERROR(_xlfn.XLOOKUP([2]!BaseMaestraCeDi[[#This Row],[CeDi]], '[2]Potencial Hor x CeDi'!$B$6:$BU$6, '[2]Potencial Hor x CeDi'!$B$50:$BU$50), "")</f>
        <v/>
      </c>
      <c r="CF61" s="90" t="str">
        <f>IFERROR(_xlfn.XLOOKUP([2]!BaseMaestraCeDi[[#This Row],[CeDi]], '[2]Potencial Hor x CeDi'!$B$6:$BU$6, '[2]Potencial Hor x CeDi'!$B$34:$BU$34), "")</f>
        <v/>
      </c>
      <c r="CG61" s="90" t="str">
        <f>IFERROR(_xlfn.XLOOKUP([2]!BaseMaestraCeDi[[#This Row],[CeDi]], '[2]Potencial Hor x CeDi'!$B$6:$BU$6, '[2]Potencial Hor x CeDi'!$B$64:$BU$64), "")</f>
        <v/>
      </c>
      <c r="CH61" s="91" t="str">
        <f>IFERROR(_xlfn.XLOOKUP([2]!BaseMaestraCeDi[[#This Row],[CeDi]], '[2]Potencial Hor x CeDi'!$B$6:$BU$6, '[2]Potencial Hor x CeDi'!$B$38:$BU$38), "")</f>
        <v/>
      </c>
      <c r="CI61" s="90" t="str">
        <f>IFERROR(_xlfn.XLOOKUP([2]!BaseMaestraCeDi[[#This Row],[CeDi]], '[2]Potencial Hor x CeDi'!$B$6:$BU$6, '[2]Potencial Hor x CeDi'!$B$26:$BU$26), "")</f>
        <v/>
      </c>
      <c r="CJ61" s="92" t="str">
        <f>IFERROR(_xlfn.XLOOKUP([2]!BaseMaestraCeDi[[#This Row],[CeDi]], '[2]Potencial Hor x CeDi'!$B$6:$BU$6, '[2]Potencial Hor x CeDi'!$B$27:$BU$27), "")</f>
        <v/>
      </c>
      <c r="CK61" s="90" t="str">
        <f>IFERROR(_xlfn.XLOOKUP([2]!BaseMaestraCeDi[[#This Row],[CeDi]], '[2]Potencial Hor x CeDi'!$B$6:$BU$6, '[2]Potencial Hor x CeDi'!$B$28:$BU$28), "")</f>
        <v/>
      </c>
      <c r="CL61" s="92" t="str">
        <f>IFERROR(_xlfn.XLOOKUP([2]!BaseMaestraCeDi[[#This Row],[CeDi]], '[2]Potencial Hor x CeDi'!$B$6:$BU$6, '[2]Potencial Hor x CeDi'!$B$29:$BU$29), "")</f>
        <v/>
      </c>
      <c r="CM61" s="93" t="str">
        <f>IFERROR(_xlfn.XLOOKUP([2]!BaseMaestraCeDi[[#This Row],[CeDi]], '[2]Potencial Hor x CeDi'!$B$6:$BU$6, '[2]Potencial Hor x CeDi'!$B$39:$BU$39), "")</f>
        <v/>
      </c>
      <c r="CN61" s="94" t="str">
        <f>IFERROR(_xlfn.XLOOKUP([2]!BaseMaestraCeDi[[#This Row],[CeDi]], '[2]Potencial Hor x CeDi'!$B$6:$BU$6, '[2]Potencial Hor x CeDi'!$B$43:$BU$43), "")</f>
        <v/>
      </c>
      <c r="CO61" s="94" t="str">
        <f>IFERROR(_xlfn.XLOOKUP([2]!BaseMaestraCeDi[[#This Row],[CeDi]], '[2]Potencial Hor x CeDi'!$B$6:$BU$6, '[2]Potencial Hor x CeDi'!$B$46:$BU$46), "")</f>
        <v/>
      </c>
      <c r="CP61" s="86" t="str">
        <f>IFERROR(_xlfn.XLOOKUP([2]!BaseMaestraCeDi[[#This Row],[CeDi]], '[2]Potencial Hor x CeDi'!$B$6:$BU$6, '[2]Potencial Hor x CeDi'!$B$51:$BU$51), "")</f>
        <v/>
      </c>
      <c r="CQ61" s="82" t="str">
        <f>IFERROR(_xlfn.XLOOKUP([2]!BaseMaestraCeDi[[#This Row],[CeDi]], '[2]Potencial Hor x CeDi'!$B$6:$BU$6, '[2]Potencial Hor x CeDi'!$B$52:$BU$52), "")</f>
        <v/>
      </c>
      <c r="CR61" s="82" t="str">
        <f>IFERROR(_xlfn.XLOOKUP([2]!BaseMaestraCeDi[[#This Row],[CeDi]], '[2]Potencial Hor x CeDi'!$B$6:$BU$6, '[2]Potencial Hor x CeDi'!$B$53:$BU$53), "")</f>
        <v/>
      </c>
      <c r="CS61" s="87" t="str">
        <f>IFERROR(_xlfn.XLOOKUP([2]!BaseMaestraCeDi[[#This Row],[CeDi]], '[2]Potencial Hor x CeDi'!$B$6:$BU$6, '[2]Potencial Hor x CeDi'!$B$60:$BU$60), "")</f>
        <v/>
      </c>
      <c r="CT61" s="90" t="str">
        <f>IFERROR(_xlfn.XLOOKUP([2]!BaseMaestraCeDi[[#This Row],[CeDi]], '[2]Potencial Hor x CeDi'!$B$6:$BU$6, '[2]Potencial Hor x CeDi'!$B$65:$BU$65), "")</f>
        <v/>
      </c>
      <c r="CU61" s="90" t="str">
        <f>IFERROR(_xlfn.XLOOKUP([2]!BaseMaestraCeDi[[#This Row],[CeDi]], '[2]Potencial Hor x CeDi'!$B$6:$BU$6, '[2]Potencial Hor x CeDi'!$B$68:$BU$68), "")</f>
        <v/>
      </c>
      <c r="CV61" s="95" t="str">
        <f>IFERROR(_xlfn.XLOOKUP([2]!BaseMaestraCeDi[[#This Row],[CeDi]], '[2]Potencial Hor x CeDi'!$B$6:$BU$6, '[2]Potencial Hor x CeDi'!$B$71:$BU$71), "")</f>
        <v/>
      </c>
    </row>
    <row r="62" spans="1:100">
      <c r="A62" s="112" t="s">
        <v>94</v>
      </c>
      <c r="B62" s="112" t="s">
        <v>549</v>
      </c>
      <c r="C62" s="112" t="s">
        <v>914</v>
      </c>
      <c r="D62" s="113">
        <v>2</v>
      </c>
      <c r="E62" s="114">
        <v>305.66382164485213</v>
      </c>
      <c r="F62" s="115">
        <v>17.362006105534569</v>
      </c>
      <c r="G62" s="115">
        <v>323.02582775038672</v>
      </c>
      <c r="H62" s="116">
        <v>877.34710508932289</v>
      </c>
      <c r="I62" s="117">
        <v>1273.4417497685079</v>
      </c>
      <c r="J62" s="117">
        <v>273.50875927051226</v>
      </c>
      <c r="K62" s="117">
        <v>2424.297614128343</v>
      </c>
      <c r="L62" s="116">
        <v>4906.9653692404254</v>
      </c>
      <c r="M62" s="118">
        <v>0.49405231781849984</v>
      </c>
      <c r="N62" s="119" t="s">
        <v>151</v>
      </c>
      <c r="O62" s="114">
        <v>32.75595238095238</v>
      </c>
      <c r="P62" s="115">
        <v>2</v>
      </c>
      <c r="Q62" s="115">
        <v>1</v>
      </c>
      <c r="R62" s="120">
        <v>1</v>
      </c>
      <c r="S62" s="119">
        <v>8</v>
      </c>
      <c r="T62" s="121">
        <v>1</v>
      </c>
      <c r="U62" s="118">
        <v>0</v>
      </c>
      <c r="V62" s="118">
        <v>0.83240289899382114</v>
      </c>
      <c r="W62" s="118">
        <v>0.16759710100617881</v>
      </c>
      <c r="X62" s="118">
        <v>0</v>
      </c>
      <c r="Y62" s="116">
        <v>4084.572198618016</v>
      </c>
      <c r="Z62" s="117">
        <v>822.393170622409</v>
      </c>
      <c r="AA62" s="117">
        <v>0</v>
      </c>
      <c r="AB62" s="117">
        <v>103711.27083333333</v>
      </c>
      <c r="AC62" s="113">
        <v>2</v>
      </c>
      <c r="AD62" s="122">
        <v>1</v>
      </c>
      <c r="AE62" s="113">
        <v>3958</v>
      </c>
      <c r="AF62" s="122">
        <v>2560</v>
      </c>
      <c r="AG62" s="123">
        <v>0.64679130874178881</v>
      </c>
      <c r="AH62" s="118">
        <v>0.62578459585682999</v>
      </c>
      <c r="AI62" s="113">
        <v>103.73488023952092</v>
      </c>
      <c r="AJ62" s="122">
        <v>51.86744011976046</v>
      </c>
      <c r="AK62" s="118">
        <v>0.65989576556840834</v>
      </c>
      <c r="AL62" s="116">
        <v>6978655.9800000004</v>
      </c>
      <c r="AM62" s="117">
        <v>27919.604235465114</v>
      </c>
      <c r="AN62" s="118">
        <v>4.0007136496596745E-3</v>
      </c>
      <c r="AO62" s="116">
        <v>19619.181354651162</v>
      </c>
      <c r="AP62" s="118">
        <v>8.9249512596793353E-5</v>
      </c>
      <c r="AQ62" s="122">
        <v>42</v>
      </c>
      <c r="AR62" s="113">
        <v>1</v>
      </c>
      <c r="AS62" s="117">
        <v>547306.4298782401</v>
      </c>
      <c r="AT62" s="116">
        <v>566925.61123289121</v>
      </c>
      <c r="AU62" s="113">
        <v>2</v>
      </c>
      <c r="AV62" s="122">
        <v>0</v>
      </c>
      <c r="AW62" s="122">
        <v>0</v>
      </c>
      <c r="AX62" s="122">
        <v>2</v>
      </c>
      <c r="AY62" s="123">
        <v>0</v>
      </c>
      <c r="AZ62" s="122">
        <v>174.95344666993299</v>
      </c>
      <c r="BA62" s="114">
        <v>32.755952380952401</v>
      </c>
      <c r="BB62" s="118">
        <v>0.56983266476755245</v>
      </c>
      <c r="BC62" s="124">
        <v>511.15557220200753</v>
      </c>
      <c r="BD62" s="74" t="s">
        <v>1167</v>
      </c>
      <c r="BE62" s="88" t="str">
        <f>IFERROR(_xlfn.XLOOKUP([2]!BaseMaestraCeDi[[#This Row],[CeDi]], '[2]Potencial Hor x CeDi'!$B$6:$BU$6, '[2]Potencial Hor x CeDi'!$B$21:$BU$21) / 1000, "")</f>
        <v/>
      </c>
      <c r="BF62" s="89" t="str">
        <f>IFERROR(_xlfn.XLOOKUP([2]!BaseMaestraCeDi[[#This Row],[CeDi]], '[2]Potencial Hor x CeDi'!$B$6:$BU$6, '[2]Potencial Hor x CeDi'!$B$22:$BU$22) / 1000, "")</f>
        <v/>
      </c>
      <c r="BG62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62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62" s="78" t="str">
        <f>IFERROR(INDEX('[2]Potencial Hor SocioDem x CeDi'!$C$2:$AF$81, MATCH($C62,'[2]Potencial Hor SocioDem x CeDi'!$B$2:$B$81,0), MATCH(BI$4,'[2]Potencial Hor SocioDem x CeDi'!$C$1:$AF$1,0)), "")</f>
        <v/>
      </c>
      <c r="BJ62" s="78" t="str">
        <f>IFERROR(INDEX('[2]Potencial Hor SocioDem x CeDi'!$C$2:$AF$81, MATCH($C62,'[2]Potencial Hor SocioDem x CeDi'!$B$2:$B$81,0), MATCH(BJ$4,'[2]Potencial Hor SocioDem x CeDi'!$C$1:$AF$1,0)), "")</f>
        <v/>
      </c>
      <c r="BK62" s="78" t="str">
        <f>IFERROR(INDEX('[2]Potencial Hor SocioDem x CeDi'!$C$2:$AF$81, MATCH($C62,'[2]Potencial Hor SocioDem x CeDi'!$B$2:$B$81,0), MATCH(BK$4,'[2]Potencial Hor SocioDem x CeDi'!$C$1:$AF$1,0)), "")</f>
        <v/>
      </c>
      <c r="BL62" s="79" t="str">
        <f>IFERROR(INDEX('[2]Potencial Hor SocioDem x CeDi'!$C$2:$AF$81, MATCH($C62,'[2]Potencial Hor SocioDem x CeDi'!$B$2:$B$81,0), MATCH(BL$4,'[2]Potencial Hor SocioDem x CeDi'!$C$1:$AF$1,0)), "")</f>
        <v/>
      </c>
      <c r="BM62" s="79" t="str">
        <f>IFERROR(INDEX('[2]Potencial Hor SocioDem x CeDi'!$C$2:$AF$81, MATCH($C62,'[2]Potencial Hor SocioDem x CeDi'!$B$2:$B$81,0), MATCH(BM$4,'[2]Potencial Hor SocioDem x CeDi'!$C$1:$AF$1,0)), "")</f>
        <v/>
      </c>
      <c r="BN62" s="78" t="str">
        <f>IFERROR(INDEX('[2]Potencial Hor SocioDem x CeDi'!$C$2:$AF$81, MATCH($C62,'[2]Potencial Hor SocioDem x CeDi'!$B$2:$B$81,0), MATCH(BN$4,'[2]Potencial Hor SocioDem x CeDi'!$C$1:$AF$1,0)), "")</f>
        <v/>
      </c>
      <c r="BO62" s="78" t="str">
        <f>IFERROR(INDEX('[2]Potencial Hor SocioDem x CeDi'!$C$2:$AF$81, MATCH($C62,'[2]Potencial Hor SocioDem x CeDi'!$B$2:$B$81,0), MATCH(BO$4,'[2]Potencial Hor SocioDem x CeDi'!$C$1:$AF$1,0)), "")</f>
        <v/>
      </c>
      <c r="BP62" s="78" t="str">
        <f>IFERROR(INDEX('[2]Potencial Hor SocioDem x CeDi'!$C$2:$AF$81, MATCH($C62,'[2]Potencial Hor SocioDem x CeDi'!$B$2:$B$81,0), MATCH(BP$4,'[2]Potencial Hor SocioDem x CeDi'!$C$1:$AF$1,0)), "")</f>
        <v/>
      </c>
      <c r="BQ62" s="80" t="str">
        <f>IFERROR(INDEX('[2]Potencial Hor SocioDem x CeDi'!$C$2:$AF$81, MATCH($C62,'[2]Potencial Hor SocioDem x CeDi'!$B$2:$B$81,0), MATCH(BQ$4,'[2]Potencial Hor SocioDem x CeDi'!$C$1:$AF$1,0)), "")</f>
        <v/>
      </c>
      <c r="BR62" s="80" t="str">
        <f>IFERROR(INDEX('[2]Potencial Hor SocioDem x CeDi'!$C$2:$AF$81, MATCH($C62,'[2]Potencial Hor SocioDem x CeDi'!$B$2:$B$81,0), MATCH(BR$4,'[2]Potencial Hor SocioDem x CeDi'!$C$1:$AF$1,0)), "")</f>
        <v/>
      </c>
      <c r="BS62" s="80" t="str">
        <f>IFERROR(INDEX('[2]Potencial Hor SocioDem x CeDi'!$C$2:$AF$81, MATCH($C62,'[2]Potencial Hor SocioDem x CeDi'!$B$2:$B$81,0), MATCH(BS$4,'[2]Potencial Hor SocioDem x CeDi'!$C$1:$AF$1,0)), "")</f>
        <v/>
      </c>
      <c r="BT62" s="80" t="str">
        <f>IFERROR(INDEX('[2]Potencial Hor SocioDem x CeDi'!$C$2:$AF$81, MATCH($C62,'[2]Potencial Hor SocioDem x CeDi'!$B$2:$B$81,0), MATCH(BT$4,'[2]Potencial Hor SocioDem x CeDi'!$C$1:$AF$1,0)), "")</f>
        <v/>
      </c>
      <c r="BU62" s="80" t="str">
        <f>IFERROR(INDEX('[2]Potencial Hor SocioDem x CeDi'!$C$2:$AF$81, MATCH($C62,'[2]Potencial Hor SocioDem x CeDi'!$B$2:$B$81,0), MATCH(BU$4,'[2]Potencial Hor SocioDem x CeDi'!$C$1:$AF$1,0)), "")</f>
        <v/>
      </c>
      <c r="BV62" s="80" t="str">
        <f>IFERROR(INDEX('[2]Potencial Hor SocioDem x CeDi'!$C$2:$AF$81, MATCH($C62,'[2]Potencial Hor SocioDem x CeDi'!$B$2:$B$81,0), MATCH(BV$4,'[2]Potencial Hor SocioDem x CeDi'!$C$1:$AF$1,0)), "")</f>
        <v/>
      </c>
      <c r="BW62" s="80" t="str">
        <f>IFERROR(INDEX('[2]Potencial Hor SocioDem x CeDi'!$C$2:$AF$81, MATCH($C62,'[2]Potencial Hor SocioDem x CeDi'!$B$2:$B$81,0), MATCH(BW$4,'[2]Potencial Hor SocioDem x CeDi'!$C$1:$AF$1,0)), "")</f>
        <v/>
      </c>
      <c r="BX62" s="80" t="str">
        <f>IFERROR(INDEX('[2]Potencial Hor SocioDem x CeDi'!$C$2:$AF$81, MATCH($C62,'[2]Potencial Hor SocioDem x CeDi'!$B$2:$B$81,0), MATCH(BX$4,'[2]Potencial Hor SocioDem x CeDi'!$C$1:$AF$1,0)), "")</f>
        <v/>
      </c>
      <c r="BY62" s="80" t="str">
        <f>IFERROR(INDEX('[2]Potencial Hor SocioDem x CeDi'!$C$2:$AF$81, MATCH($C62,'[2]Potencial Hor SocioDem x CeDi'!$B$2:$B$81,0), MATCH(BY$4,'[2]Potencial Hor SocioDem x CeDi'!$C$1:$AF$1,0)), "")</f>
        <v/>
      </c>
      <c r="BZ62" s="79" t="str">
        <f>IFERROR(INDEX('[2]Potencial Hor SocioDem x CeDi'!$C$2:$AF$81, MATCH($C62,'[2]Potencial Hor SocioDem x CeDi'!$B$2:$B$81,0), MATCH(BZ$4,'[2]Potencial Hor SocioDem x CeDi'!$C$1:$AF$1,0)), "")</f>
        <v/>
      </c>
      <c r="CA62" s="79" t="str">
        <f>IFERROR(INDEX('[2]Potencial Hor SocioDem x CeDi'!$C$2:$AF$81, MATCH($C62,'[2]Potencial Hor SocioDem x CeDi'!$B$2:$B$81,0), MATCH(CA$4,'[2]Potencial Hor SocioDem x CeDi'!$C$1:$AF$1,0)), "")</f>
        <v/>
      </c>
      <c r="CB62" s="81" t="str">
        <f>IFERROR(INDEX('[2]Potencial Hor SocioDem x CeDi'!$C$2:$AF$81, MATCH($C62,'[2]Potencial Hor SocioDem x CeDi'!$B$2:$B$81,0), MATCH(CB$4,'[2]Potencial Hor SocioDem x CeDi'!$C$1:$AF$1,0)), "")</f>
        <v/>
      </c>
      <c r="CC62" s="82" t="str">
        <f>IFERROR(INDEX('[2]Potencial Hor SocioDem x CeDi'!$C$2:$AF$81, MATCH($C62,'[2]Potencial Hor SocioDem x CeDi'!$B$2:$B$81,0), MATCH(CC$4,'[2]Potencial Hor SocioDem x CeDi'!$C$1:$AF$1,0)), "")</f>
        <v/>
      </c>
      <c r="CD62" s="83" t="str">
        <f>IFERROR(INDEX('[2]Potencial Hor SocioDem x CeDi'!$C$2:$AF$81, MATCH($C62,'[2]Potencial Hor SocioDem x CeDi'!$B$2:$B$81,0), MATCH(CD$4,'[2]Potencial Hor SocioDem x CeDi'!$C$1:$AF$1,0)), "")</f>
        <v/>
      </c>
      <c r="CE62" s="78" t="str">
        <f>IFERROR(_xlfn.XLOOKUP([2]!BaseMaestraCeDi[[#This Row],[CeDi]], '[2]Potencial Hor x CeDi'!$B$6:$BU$6, '[2]Potencial Hor x CeDi'!$B$50:$BU$50), "")</f>
        <v/>
      </c>
      <c r="CF62" s="90" t="str">
        <f>IFERROR(_xlfn.XLOOKUP([2]!BaseMaestraCeDi[[#This Row],[CeDi]], '[2]Potencial Hor x CeDi'!$B$6:$BU$6, '[2]Potencial Hor x CeDi'!$B$34:$BU$34), "")</f>
        <v/>
      </c>
      <c r="CG62" s="90" t="str">
        <f>IFERROR(_xlfn.XLOOKUP([2]!BaseMaestraCeDi[[#This Row],[CeDi]], '[2]Potencial Hor x CeDi'!$B$6:$BU$6, '[2]Potencial Hor x CeDi'!$B$64:$BU$64), "")</f>
        <v/>
      </c>
      <c r="CH62" s="91" t="str">
        <f>IFERROR(_xlfn.XLOOKUP([2]!BaseMaestraCeDi[[#This Row],[CeDi]], '[2]Potencial Hor x CeDi'!$B$6:$BU$6, '[2]Potencial Hor x CeDi'!$B$38:$BU$38), "")</f>
        <v/>
      </c>
      <c r="CI62" s="90" t="str">
        <f>IFERROR(_xlfn.XLOOKUP([2]!BaseMaestraCeDi[[#This Row],[CeDi]], '[2]Potencial Hor x CeDi'!$B$6:$BU$6, '[2]Potencial Hor x CeDi'!$B$26:$BU$26), "")</f>
        <v/>
      </c>
      <c r="CJ62" s="92" t="str">
        <f>IFERROR(_xlfn.XLOOKUP([2]!BaseMaestraCeDi[[#This Row],[CeDi]], '[2]Potencial Hor x CeDi'!$B$6:$BU$6, '[2]Potencial Hor x CeDi'!$B$27:$BU$27), "")</f>
        <v/>
      </c>
      <c r="CK62" s="90" t="str">
        <f>IFERROR(_xlfn.XLOOKUP([2]!BaseMaestraCeDi[[#This Row],[CeDi]], '[2]Potencial Hor x CeDi'!$B$6:$BU$6, '[2]Potencial Hor x CeDi'!$B$28:$BU$28), "")</f>
        <v/>
      </c>
      <c r="CL62" s="92" t="str">
        <f>IFERROR(_xlfn.XLOOKUP([2]!BaseMaestraCeDi[[#This Row],[CeDi]], '[2]Potencial Hor x CeDi'!$B$6:$BU$6, '[2]Potencial Hor x CeDi'!$B$29:$BU$29), "")</f>
        <v/>
      </c>
      <c r="CM62" s="93" t="str">
        <f>IFERROR(_xlfn.XLOOKUP([2]!BaseMaestraCeDi[[#This Row],[CeDi]], '[2]Potencial Hor x CeDi'!$B$6:$BU$6, '[2]Potencial Hor x CeDi'!$B$39:$BU$39), "")</f>
        <v/>
      </c>
      <c r="CN62" s="94" t="str">
        <f>IFERROR(_xlfn.XLOOKUP([2]!BaseMaestraCeDi[[#This Row],[CeDi]], '[2]Potencial Hor x CeDi'!$B$6:$BU$6, '[2]Potencial Hor x CeDi'!$B$43:$BU$43), "")</f>
        <v/>
      </c>
      <c r="CO62" s="94" t="str">
        <f>IFERROR(_xlfn.XLOOKUP([2]!BaseMaestraCeDi[[#This Row],[CeDi]], '[2]Potencial Hor x CeDi'!$B$6:$BU$6, '[2]Potencial Hor x CeDi'!$B$46:$BU$46), "")</f>
        <v/>
      </c>
      <c r="CP62" s="86" t="str">
        <f>IFERROR(_xlfn.XLOOKUP([2]!BaseMaestraCeDi[[#This Row],[CeDi]], '[2]Potencial Hor x CeDi'!$B$6:$BU$6, '[2]Potencial Hor x CeDi'!$B$51:$BU$51), "")</f>
        <v/>
      </c>
      <c r="CQ62" s="82" t="str">
        <f>IFERROR(_xlfn.XLOOKUP([2]!BaseMaestraCeDi[[#This Row],[CeDi]], '[2]Potencial Hor x CeDi'!$B$6:$BU$6, '[2]Potencial Hor x CeDi'!$B$52:$BU$52), "")</f>
        <v/>
      </c>
      <c r="CR62" s="82" t="str">
        <f>IFERROR(_xlfn.XLOOKUP([2]!BaseMaestraCeDi[[#This Row],[CeDi]], '[2]Potencial Hor x CeDi'!$B$6:$BU$6, '[2]Potencial Hor x CeDi'!$B$53:$BU$53), "")</f>
        <v/>
      </c>
      <c r="CS62" s="87" t="str">
        <f>IFERROR(_xlfn.XLOOKUP([2]!BaseMaestraCeDi[[#This Row],[CeDi]], '[2]Potencial Hor x CeDi'!$B$6:$BU$6, '[2]Potencial Hor x CeDi'!$B$60:$BU$60), "")</f>
        <v/>
      </c>
      <c r="CT62" s="90" t="str">
        <f>IFERROR(_xlfn.XLOOKUP([2]!BaseMaestraCeDi[[#This Row],[CeDi]], '[2]Potencial Hor x CeDi'!$B$6:$BU$6, '[2]Potencial Hor x CeDi'!$B$65:$BU$65), "")</f>
        <v/>
      </c>
      <c r="CU62" s="90" t="str">
        <f>IFERROR(_xlfn.XLOOKUP([2]!BaseMaestraCeDi[[#This Row],[CeDi]], '[2]Potencial Hor x CeDi'!$B$6:$BU$6, '[2]Potencial Hor x CeDi'!$B$68:$BU$68), "")</f>
        <v/>
      </c>
      <c r="CV62" s="95" t="str">
        <f>IFERROR(_xlfn.XLOOKUP([2]!BaseMaestraCeDi[[#This Row],[CeDi]], '[2]Potencial Hor x CeDi'!$B$6:$BU$6, '[2]Potencial Hor x CeDi'!$B$71:$BU$71), "")</f>
        <v/>
      </c>
    </row>
    <row r="63" spans="1:100">
      <c r="A63" s="100" t="s">
        <v>94</v>
      </c>
      <c r="B63" s="100" t="s">
        <v>510</v>
      </c>
      <c r="C63" s="100" t="s">
        <v>917</v>
      </c>
      <c r="D63" s="101">
        <v>3</v>
      </c>
      <c r="E63" s="102">
        <v>457.16103923908969</v>
      </c>
      <c r="F63" s="103">
        <v>26.313922528359232</v>
      </c>
      <c r="G63" s="103">
        <v>483.47496176744892</v>
      </c>
      <c r="H63" s="104">
        <v>1669.2080162017453</v>
      </c>
      <c r="I63" s="105">
        <v>2677.6534797135778</v>
      </c>
      <c r="J63" s="105">
        <v>417.82776017902916</v>
      </c>
      <c r="K63" s="105">
        <v>4764.6892560943525</v>
      </c>
      <c r="L63" s="104">
        <v>9029.5662626854428</v>
      </c>
      <c r="M63" s="106">
        <v>0.52767642625143185</v>
      </c>
      <c r="N63" s="107" t="s">
        <v>160</v>
      </c>
      <c r="O63" s="102">
        <v>111.56626807111837</v>
      </c>
      <c r="P63" s="103">
        <v>2</v>
      </c>
      <c r="Q63" s="103">
        <v>1</v>
      </c>
      <c r="R63" s="108">
        <v>3</v>
      </c>
      <c r="S63" s="107">
        <v>24</v>
      </c>
      <c r="T63" s="125">
        <v>1</v>
      </c>
      <c r="U63" s="106">
        <v>0</v>
      </c>
      <c r="V63" s="106">
        <v>0.70284157686904769</v>
      </c>
      <c r="W63" s="106">
        <v>0.29715212871181618</v>
      </c>
      <c r="X63" s="106">
        <v>6.2944191360942868E-6</v>
      </c>
      <c r="Y63" s="104">
        <v>6346.3545905093906</v>
      </c>
      <c r="Z63" s="105">
        <v>2683.1548363013776</v>
      </c>
      <c r="AA63" s="105">
        <v>5.683587467447862E-2</v>
      </c>
      <c r="AB63" s="105">
        <v>95695.553333333344</v>
      </c>
      <c r="AC63" s="101">
        <v>4</v>
      </c>
      <c r="AD63" s="109">
        <v>3</v>
      </c>
      <c r="AE63" s="101">
        <v>112106</v>
      </c>
      <c r="AF63" s="109">
        <v>43046</v>
      </c>
      <c r="AG63" s="110">
        <v>0.38397587997074195</v>
      </c>
      <c r="AH63" s="106">
        <v>0.50982763679981469</v>
      </c>
      <c r="AI63" s="101">
        <v>17541.579854818345</v>
      </c>
      <c r="AJ63" s="109">
        <v>8770.7899274091724</v>
      </c>
      <c r="AK63" s="106">
        <v>0.46221245898889601</v>
      </c>
      <c r="AL63" s="104">
        <v>12986272.249999996</v>
      </c>
      <c r="AM63" s="105">
        <v>4316342.9986443743</v>
      </c>
      <c r="AN63" s="106">
        <v>0.3323773686204966</v>
      </c>
      <c r="AO63" s="104">
        <v>3033105.8909392902</v>
      </c>
      <c r="AP63" s="106">
        <v>1.379788572863251E-2</v>
      </c>
      <c r="AQ63" s="109">
        <v>19</v>
      </c>
      <c r="AR63" s="101">
        <v>3</v>
      </c>
      <c r="AS63" s="105">
        <v>3484740.0237678499</v>
      </c>
      <c r="AT63" s="104">
        <v>6517845.9147071401</v>
      </c>
      <c r="AU63" s="101">
        <v>4</v>
      </c>
      <c r="AV63" s="109">
        <v>0</v>
      </c>
      <c r="AW63" s="109">
        <v>0</v>
      </c>
      <c r="AX63" s="109">
        <v>4</v>
      </c>
      <c r="AY63" s="110">
        <v>0</v>
      </c>
      <c r="AZ63" s="109">
        <v>11689.319978430281</v>
      </c>
      <c r="BA63" s="102">
        <v>111.56626807111837</v>
      </c>
      <c r="BB63" s="106">
        <v>0.39881068404299841</v>
      </c>
      <c r="BC63" s="111">
        <v>409.90378874597104</v>
      </c>
      <c r="BD63" s="74" t="s">
        <v>1168</v>
      </c>
      <c r="BE63" s="88" t="str">
        <f>IFERROR(_xlfn.XLOOKUP([2]!BaseMaestraCeDi[[#This Row],[CeDi]], '[2]Potencial Hor x CeDi'!$B$6:$BU$6, '[2]Potencial Hor x CeDi'!$B$21:$BU$21) / 1000, "")</f>
        <v/>
      </c>
      <c r="BF63" s="89" t="str">
        <f>IFERROR(_xlfn.XLOOKUP([2]!BaseMaestraCeDi[[#This Row],[CeDi]], '[2]Potencial Hor x CeDi'!$B$6:$BU$6, '[2]Potencial Hor x CeDi'!$B$22:$BU$22) / 1000, "")</f>
        <v/>
      </c>
      <c r="BG63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63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63" s="78" t="str">
        <f>IFERROR(INDEX('[2]Potencial Hor SocioDem x CeDi'!$C$2:$AF$81, MATCH($C63,'[2]Potencial Hor SocioDem x CeDi'!$B$2:$B$81,0), MATCH(BI$4,'[2]Potencial Hor SocioDem x CeDi'!$C$1:$AF$1,0)), "")</f>
        <v/>
      </c>
      <c r="BJ63" s="78" t="str">
        <f>IFERROR(INDEX('[2]Potencial Hor SocioDem x CeDi'!$C$2:$AF$81, MATCH($C63,'[2]Potencial Hor SocioDem x CeDi'!$B$2:$B$81,0), MATCH(BJ$4,'[2]Potencial Hor SocioDem x CeDi'!$C$1:$AF$1,0)), "")</f>
        <v/>
      </c>
      <c r="BK63" s="78" t="str">
        <f>IFERROR(INDEX('[2]Potencial Hor SocioDem x CeDi'!$C$2:$AF$81, MATCH($C63,'[2]Potencial Hor SocioDem x CeDi'!$B$2:$B$81,0), MATCH(BK$4,'[2]Potencial Hor SocioDem x CeDi'!$C$1:$AF$1,0)), "")</f>
        <v/>
      </c>
      <c r="BL63" s="79" t="str">
        <f>IFERROR(INDEX('[2]Potencial Hor SocioDem x CeDi'!$C$2:$AF$81, MATCH($C63,'[2]Potencial Hor SocioDem x CeDi'!$B$2:$B$81,0), MATCH(BL$4,'[2]Potencial Hor SocioDem x CeDi'!$C$1:$AF$1,0)), "")</f>
        <v/>
      </c>
      <c r="BM63" s="79" t="str">
        <f>IFERROR(INDEX('[2]Potencial Hor SocioDem x CeDi'!$C$2:$AF$81, MATCH($C63,'[2]Potencial Hor SocioDem x CeDi'!$B$2:$B$81,0), MATCH(BM$4,'[2]Potencial Hor SocioDem x CeDi'!$C$1:$AF$1,0)), "")</f>
        <v/>
      </c>
      <c r="BN63" s="78" t="str">
        <f>IFERROR(INDEX('[2]Potencial Hor SocioDem x CeDi'!$C$2:$AF$81, MATCH($C63,'[2]Potencial Hor SocioDem x CeDi'!$B$2:$B$81,0), MATCH(BN$4,'[2]Potencial Hor SocioDem x CeDi'!$C$1:$AF$1,0)), "")</f>
        <v/>
      </c>
      <c r="BO63" s="78" t="str">
        <f>IFERROR(INDEX('[2]Potencial Hor SocioDem x CeDi'!$C$2:$AF$81, MATCH($C63,'[2]Potencial Hor SocioDem x CeDi'!$B$2:$B$81,0), MATCH(BO$4,'[2]Potencial Hor SocioDem x CeDi'!$C$1:$AF$1,0)), "")</f>
        <v/>
      </c>
      <c r="BP63" s="78" t="str">
        <f>IFERROR(INDEX('[2]Potencial Hor SocioDem x CeDi'!$C$2:$AF$81, MATCH($C63,'[2]Potencial Hor SocioDem x CeDi'!$B$2:$B$81,0), MATCH(BP$4,'[2]Potencial Hor SocioDem x CeDi'!$C$1:$AF$1,0)), "")</f>
        <v/>
      </c>
      <c r="BQ63" s="80" t="str">
        <f>IFERROR(INDEX('[2]Potencial Hor SocioDem x CeDi'!$C$2:$AF$81, MATCH($C63,'[2]Potencial Hor SocioDem x CeDi'!$B$2:$B$81,0), MATCH(BQ$4,'[2]Potencial Hor SocioDem x CeDi'!$C$1:$AF$1,0)), "")</f>
        <v/>
      </c>
      <c r="BR63" s="80" t="str">
        <f>IFERROR(INDEX('[2]Potencial Hor SocioDem x CeDi'!$C$2:$AF$81, MATCH($C63,'[2]Potencial Hor SocioDem x CeDi'!$B$2:$B$81,0), MATCH(BR$4,'[2]Potencial Hor SocioDem x CeDi'!$C$1:$AF$1,0)), "")</f>
        <v/>
      </c>
      <c r="BS63" s="80" t="str">
        <f>IFERROR(INDEX('[2]Potencial Hor SocioDem x CeDi'!$C$2:$AF$81, MATCH($C63,'[2]Potencial Hor SocioDem x CeDi'!$B$2:$B$81,0), MATCH(BS$4,'[2]Potencial Hor SocioDem x CeDi'!$C$1:$AF$1,0)), "")</f>
        <v/>
      </c>
      <c r="BT63" s="80" t="str">
        <f>IFERROR(INDEX('[2]Potencial Hor SocioDem x CeDi'!$C$2:$AF$81, MATCH($C63,'[2]Potencial Hor SocioDem x CeDi'!$B$2:$B$81,0), MATCH(BT$4,'[2]Potencial Hor SocioDem x CeDi'!$C$1:$AF$1,0)), "")</f>
        <v/>
      </c>
      <c r="BU63" s="80" t="str">
        <f>IFERROR(INDEX('[2]Potencial Hor SocioDem x CeDi'!$C$2:$AF$81, MATCH($C63,'[2]Potencial Hor SocioDem x CeDi'!$B$2:$B$81,0), MATCH(BU$4,'[2]Potencial Hor SocioDem x CeDi'!$C$1:$AF$1,0)), "")</f>
        <v/>
      </c>
      <c r="BV63" s="80" t="str">
        <f>IFERROR(INDEX('[2]Potencial Hor SocioDem x CeDi'!$C$2:$AF$81, MATCH($C63,'[2]Potencial Hor SocioDem x CeDi'!$B$2:$B$81,0), MATCH(BV$4,'[2]Potencial Hor SocioDem x CeDi'!$C$1:$AF$1,0)), "")</f>
        <v/>
      </c>
      <c r="BW63" s="80" t="str">
        <f>IFERROR(INDEX('[2]Potencial Hor SocioDem x CeDi'!$C$2:$AF$81, MATCH($C63,'[2]Potencial Hor SocioDem x CeDi'!$B$2:$B$81,0), MATCH(BW$4,'[2]Potencial Hor SocioDem x CeDi'!$C$1:$AF$1,0)), "")</f>
        <v/>
      </c>
      <c r="BX63" s="80" t="str">
        <f>IFERROR(INDEX('[2]Potencial Hor SocioDem x CeDi'!$C$2:$AF$81, MATCH($C63,'[2]Potencial Hor SocioDem x CeDi'!$B$2:$B$81,0), MATCH(BX$4,'[2]Potencial Hor SocioDem x CeDi'!$C$1:$AF$1,0)), "")</f>
        <v/>
      </c>
      <c r="BY63" s="80" t="str">
        <f>IFERROR(INDEX('[2]Potencial Hor SocioDem x CeDi'!$C$2:$AF$81, MATCH($C63,'[2]Potencial Hor SocioDem x CeDi'!$B$2:$B$81,0), MATCH(BY$4,'[2]Potencial Hor SocioDem x CeDi'!$C$1:$AF$1,0)), "")</f>
        <v/>
      </c>
      <c r="BZ63" s="79" t="str">
        <f>IFERROR(INDEX('[2]Potencial Hor SocioDem x CeDi'!$C$2:$AF$81, MATCH($C63,'[2]Potencial Hor SocioDem x CeDi'!$B$2:$B$81,0), MATCH(BZ$4,'[2]Potencial Hor SocioDem x CeDi'!$C$1:$AF$1,0)), "")</f>
        <v/>
      </c>
      <c r="CA63" s="79" t="str">
        <f>IFERROR(INDEX('[2]Potencial Hor SocioDem x CeDi'!$C$2:$AF$81, MATCH($C63,'[2]Potencial Hor SocioDem x CeDi'!$B$2:$B$81,0), MATCH(CA$4,'[2]Potencial Hor SocioDem x CeDi'!$C$1:$AF$1,0)), "")</f>
        <v/>
      </c>
      <c r="CB63" s="81" t="str">
        <f>IFERROR(INDEX('[2]Potencial Hor SocioDem x CeDi'!$C$2:$AF$81, MATCH($C63,'[2]Potencial Hor SocioDem x CeDi'!$B$2:$B$81,0), MATCH(CB$4,'[2]Potencial Hor SocioDem x CeDi'!$C$1:$AF$1,0)), "")</f>
        <v/>
      </c>
      <c r="CC63" s="82" t="str">
        <f>IFERROR(INDEX('[2]Potencial Hor SocioDem x CeDi'!$C$2:$AF$81, MATCH($C63,'[2]Potencial Hor SocioDem x CeDi'!$B$2:$B$81,0), MATCH(CC$4,'[2]Potencial Hor SocioDem x CeDi'!$C$1:$AF$1,0)), "")</f>
        <v/>
      </c>
      <c r="CD63" s="83" t="str">
        <f>IFERROR(INDEX('[2]Potencial Hor SocioDem x CeDi'!$C$2:$AF$81, MATCH($C63,'[2]Potencial Hor SocioDem x CeDi'!$B$2:$B$81,0), MATCH(CD$4,'[2]Potencial Hor SocioDem x CeDi'!$C$1:$AF$1,0)), "")</f>
        <v/>
      </c>
      <c r="CE63" s="78" t="str">
        <f>IFERROR(_xlfn.XLOOKUP([2]!BaseMaestraCeDi[[#This Row],[CeDi]], '[2]Potencial Hor x CeDi'!$B$6:$BU$6, '[2]Potencial Hor x CeDi'!$B$50:$BU$50), "")</f>
        <v/>
      </c>
      <c r="CF63" s="90" t="str">
        <f>IFERROR(_xlfn.XLOOKUP([2]!BaseMaestraCeDi[[#This Row],[CeDi]], '[2]Potencial Hor x CeDi'!$B$6:$BU$6, '[2]Potencial Hor x CeDi'!$B$34:$BU$34), "")</f>
        <v/>
      </c>
      <c r="CG63" s="90" t="str">
        <f>IFERROR(_xlfn.XLOOKUP([2]!BaseMaestraCeDi[[#This Row],[CeDi]], '[2]Potencial Hor x CeDi'!$B$6:$BU$6, '[2]Potencial Hor x CeDi'!$B$64:$BU$64), "")</f>
        <v/>
      </c>
      <c r="CH63" s="91" t="str">
        <f>IFERROR(_xlfn.XLOOKUP([2]!BaseMaestraCeDi[[#This Row],[CeDi]], '[2]Potencial Hor x CeDi'!$B$6:$BU$6, '[2]Potencial Hor x CeDi'!$B$38:$BU$38), "")</f>
        <v/>
      </c>
      <c r="CI63" s="90" t="str">
        <f>IFERROR(_xlfn.XLOOKUP([2]!BaseMaestraCeDi[[#This Row],[CeDi]], '[2]Potencial Hor x CeDi'!$B$6:$BU$6, '[2]Potencial Hor x CeDi'!$B$26:$BU$26), "")</f>
        <v/>
      </c>
      <c r="CJ63" s="92" t="str">
        <f>IFERROR(_xlfn.XLOOKUP([2]!BaseMaestraCeDi[[#This Row],[CeDi]], '[2]Potencial Hor x CeDi'!$B$6:$BU$6, '[2]Potencial Hor x CeDi'!$B$27:$BU$27), "")</f>
        <v/>
      </c>
      <c r="CK63" s="90" t="str">
        <f>IFERROR(_xlfn.XLOOKUP([2]!BaseMaestraCeDi[[#This Row],[CeDi]], '[2]Potencial Hor x CeDi'!$B$6:$BU$6, '[2]Potencial Hor x CeDi'!$B$28:$BU$28), "")</f>
        <v/>
      </c>
      <c r="CL63" s="92" t="str">
        <f>IFERROR(_xlfn.XLOOKUP([2]!BaseMaestraCeDi[[#This Row],[CeDi]], '[2]Potencial Hor x CeDi'!$B$6:$BU$6, '[2]Potencial Hor x CeDi'!$B$29:$BU$29), "")</f>
        <v/>
      </c>
      <c r="CM63" s="93" t="str">
        <f>IFERROR(_xlfn.XLOOKUP([2]!BaseMaestraCeDi[[#This Row],[CeDi]], '[2]Potencial Hor x CeDi'!$B$6:$BU$6, '[2]Potencial Hor x CeDi'!$B$39:$BU$39), "")</f>
        <v/>
      </c>
      <c r="CN63" s="94" t="str">
        <f>IFERROR(_xlfn.XLOOKUP([2]!BaseMaestraCeDi[[#This Row],[CeDi]], '[2]Potencial Hor x CeDi'!$B$6:$BU$6, '[2]Potencial Hor x CeDi'!$B$43:$BU$43), "")</f>
        <v/>
      </c>
      <c r="CO63" s="94" t="str">
        <f>IFERROR(_xlfn.XLOOKUP([2]!BaseMaestraCeDi[[#This Row],[CeDi]], '[2]Potencial Hor x CeDi'!$B$6:$BU$6, '[2]Potencial Hor x CeDi'!$B$46:$BU$46), "")</f>
        <v/>
      </c>
      <c r="CP63" s="86" t="str">
        <f>IFERROR(_xlfn.XLOOKUP([2]!BaseMaestraCeDi[[#This Row],[CeDi]], '[2]Potencial Hor x CeDi'!$B$6:$BU$6, '[2]Potencial Hor x CeDi'!$B$51:$BU$51), "")</f>
        <v/>
      </c>
      <c r="CQ63" s="82" t="str">
        <f>IFERROR(_xlfn.XLOOKUP([2]!BaseMaestraCeDi[[#This Row],[CeDi]], '[2]Potencial Hor x CeDi'!$B$6:$BU$6, '[2]Potencial Hor x CeDi'!$B$52:$BU$52), "")</f>
        <v/>
      </c>
      <c r="CR63" s="82" t="str">
        <f>IFERROR(_xlfn.XLOOKUP([2]!BaseMaestraCeDi[[#This Row],[CeDi]], '[2]Potencial Hor x CeDi'!$B$6:$BU$6, '[2]Potencial Hor x CeDi'!$B$53:$BU$53), "")</f>
        <v/>
      </c>
      <c r="CS63" s="87" t="str">
        <f>IFERROR(_xlfn.XLOOKUP([2]!BaseMaestraCeDi[[#This Row],[CeDi]], '[2]Potencial Hor x CeDi'!$B$6:$BU$6, '[2]Potencial Hor x CeDi'!$B$60:$BU$60), "")</f>
        <v/>
      </c>
      <c r="CT63" s="90" t="str">
        <f>IFERROR(_xlfn.XLOOKUP([2]!BaseMaestraCeDi[[#This Row],[CeDi]], '[2]Potencial Hor x CeDi'!$B$6:$BU$6, '[2]Potencial Hor x CeDi'!$B$65:$BU$65), "")</f>
        <v/>
      </c>
      <c r="CU63" s="90" t="str">
        <f>IFERROR(_xlfn.XLOOKUP([2]!BaseMaestraCeDi[[#This Row],[CeDi]], '[2]Potencial Hor x CeDi'!$B$6:$BU$6, '[2]Potencial Hor x CeDi'!$B$68:$BU$68), "")</f>
        <v/>
      </c>
      <c r="CV63" s="95" t="str">
        <f>IFERROR(_xlfn.XLOOKUP([2]!BaseMaestraCeDi[[#This Row],[CeDi]], '[2]Potencial Hor x CeDi'!$B$6:$BU$6, '[2]Potencial Hor x CeDi'!$B$71:$BU$71), "")</f>
        <v/>
      </c>
    </row>
    <row r="64" spans="1:100">
      <c r="A64" s="112" t="s">
        <v>94</v>
      </c>
      <c r="B64" s="112" t="s">
        <v>549</v>
      </c>
      <c r="C64" s="112" t="s">
        <v>922</v>
      </c>
      <c r="D64" s="113">
        <v>1</v>
      </c>
      <c r="E64" s="114">
        <v>0</v>
      </c>
      <c r="F64" s="115">
        <v>0</v>
      </c>
      <c r="G64" s="115">
        <v>0</v>
      </c>
      <c r="H64" s="116">
        <v>0</v>
      </c>
      <c r="I64" s="117">
        <v>634.38665915546119</v>
      </c>
      <c r="J64" s="117">
        <v>136.75437963525613</v>
      </c>
      <c r="K64" s="117">
        <v>771.14103879071729</v>
      </c>
      <c r="L64" s="116">
        <v>0</v>
      </c>
      <c r="M64" s="118">
        <v>0</v>
      </c>
      <c r="N64" s="119" t="s">
        <v>151</v>
      </c>
      <c r="O64" s="114">
        <v>5.88</v>
      </c>
      <c r="P64" s="115">
        <v>2</v>
      </c>
      <c r="Q64" s="115">
        <v>1</v>
      </c>
      <c r="R64" s="120" t="s">
        <v>194</v>
      </c>
      <c r="S64" s="119" t="s">
        <v>194</v>
      </c>
      <c r="T64" s="121" t="s">
        <v>194</v>
      </c>
      <c r="U64" s="118" t="s">
        <v>194</v>
      </c>
      <c r="V64" s="118" t="s">
        <v>194</v>
      </c>
      <c r="W64" s="118" t="s">
        <v>194</v>
      </c>
      <c r="X64" s="118" t="s">
        <v>194</v>
      </c>
      <c r="Y64" s="116" t="s">
        <v>194</v>
      </c>
      <c r="Z64" s="117" t="s">
        <v>194</v>
      </c>
      <c r="AA64" s="117" t="s">
        <v>194</v>
      </c>
      <c r="AB64" s="117" t="s">
        <v>194</v>
      </c>
      <c r="AC64" s="113">
        <v>1</v>
      </c>
      <c r="AD64" s="122">
        <v>0</v>
      </c>
      <c r="AE64" s="113">
        <v>147</v>
      </c>
      <c r="AF64" s="122">
        <v>43</v>
      </c>
      <c r="AG64" s="123">
        <v>0.29251700680272108</v>
      </c>
      <c r="AH64" s="118">
        <v>0.29251700680272108</v>
      </c>
      <c r="AI64" s="113">
        <v>0</v>
      </c>
      <c r="AJ64" s="122">
        <v>0</v>
      </c>
      <c r="AK64" s="118">
        <v>0.29251700680272108</v>
      </c>
      <c r="AL64" s="116">
        <v>2993229.7300000009</v>
      </c>
      <c r="AM64" s="117">
        <v>0</v>
      </c>
      <c r="AN64" s="118">
        <v>0</v>
      </c>
      <c r="AO64" s="116">
        <v>0</v>
      </c>
      <c r="AP64" s="118">
        <v>0</v>
      </c>
      <c r="AQ64" s="122" t="s">
        <v>194</v>
      </c>
      <c r="AR64" s="113">
        <v>0</v>
      </c>
      <c r="AS64" s="117">
        <v>0</v>
      </c>
      <c r="AT64" s="116">
        <v>0</v>
      </c>
      <c r="AU64" s="113">
        <v>1</v>
      </c>
      <c r="AV64" s="122">
        <v>0</v>
      </c>
      <c r="AW64" s="122">
        <v>0</v>
      </c>
      <c r="AX64" s="122">
        <v>1</v>
      </c>
      <c r="AY64" s="123">
        <v>0</v>
      </c>
      <c r="AZ64" s="122">
        <v>0</v>
      </c>
      <c r="BA64" s="114">
        <v>5.88</v>
      </c>
      <c r="BB64" s="118">
        <v>0.29251700680272102</v>
      </c>
      <c r="BC64" s="124">
        <v>564.79221580717501</v>
      </c>
      <c r="BD64" s="74" t="s">
        <v>1169</v>
      </c>
      <c r="BE64" s="88" t="str">
        <f>IFERROR(_xlfn.XLOOKUP([2]!BaseMaestraCeDi[[#This Row],[CeDi]], '[2]Potencial Hor x CeDi'!$B$6:$BU$6, '[2]Potencial Hor x CeDi'!$B$21:$BU$21) / 1000, "")</f>
        <v/>
      </c>
      <c r="BF64" s="89" t="str">
        <f>IFERROR(_xlfn.XLOOKUP([2]!BaseMaestraCeDi[[#This Row],[CeDi]], '[2]Potencial Hor x CeDi'!$B$6:$BU$6, '[2]Potencial Hor x CeDi'!$B$22:$BU$22) / 1000, "")</f>
        <v/>
      </c>
      <c r="BG64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64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64" s="78" t="str">
        <f>IFERROR(INDEX('[2]Potencial Hor SocioDem x CeDi'!$C$2:$AF$81, MATCH($C64,'[2]Potencial Hor SocioDem x CeDi'!$B$2:$B$81,0), MATCH(BI$4,'[2]Potencial Hor SocioDem x CeDi'!$C$1:$AF$1,0)), "")</f>
        <v/>
      </c>
      <c r="BJ64" s="78" t="str">
        <f>IFERROR(INDEX('[2]Potencial Hor SocioDem x CeDi'!$C$2:$AF$81, MATCH($C64,'[2]Potencial Hor SocioDem x CeDi'!$B$2:$B$81,0), MATCH(BJ$4,'[2]Potencial Hor SocioDem x CeDi'!$C$1:$AF$1,0)), "")</f>
        <v/>
      </c>
      <c r="BK64" s="78" t="str">
        <f>IFERROR(INDEX('[2]Potencial Hor SocioDem x CeDi'!$C$2:$AF$81, MATCH($C64,'[2]Potencial Hor SocioDem x CeDi'!$B$2:$B$81,0), MATCH(BK$4,'[2]Potencial Hor SocioDem x CeDi'!$C$1:$AF$1,0)), "")</f>
        <v/>
      </c>
      <c r="BL64" s="79" t="str">
        <f>IFERROR(INDEX('[2]Potencial Hor SocioDem x CeDi'!$C$2:$AF$81, MATCH($C64,'[2]Potencial Hor SocioDem x CeDi'!$B$2:$B$81,0), MATCH(BL$4,'[2]Potencial Hor SocioDem x CeDi'!$C$1:$AF$1,0)), "")</f>
        <v/>
      </c>
      <c r="BM64" s="79" t="str">
        <f>IFERROR(INDEX('[2]Potencial Hor SocioDem x CeDi'!$C$2:$AF$81, MATCH($C64,'[2]Potencial Hor SocioDem x CeDi'!$B$2:$B$81,0), MATCH(BM$4,'[2]Potencial Hor SocioDem x CeDi'!$C$1:$AF$1,0)), "")</f>
        <v/>
      </c>
      <c r="BN64" s="78" t="str">
        <f>IFERROR(INDEX('[2]Potencial Hor SocioDem x CeDi'!$C$2:$AF$81, MATCH($C64,'[2]Potencial Hor SocioDem x CeDi'!$B$2:$B$81,0), MATCH(BN$4,'[2]Potencial Hor SocioDem x CeDi'!$C$1:$AF$1,0)), "")</f>
        <v/>
      </c>
      <c r="BO64" s="78" t="str">
        <f>IFERROR(INDEX('[2]Potencial Hor SocioDem x CeDi'!$C$2:$AF$81, MATCH($C64,'[2]Potencial Hor SocioDem x CeDi'!$B$2:$B$81,0), MATCH(BO$4,'[2]Potencial Hor SocioDem x CeDi'!$C$1:$AF$1,0)), "")</f>
        <v/>
      </c>
      <c r="BP64" s="78" t="str">
        <f>IFERROR(INDEX('[2]Potencial Hor SocioDem x CeDi'!$C$2:$AF$81, MATCH($C64,'[2]Potencial Hor SocioDem x CeDi'!$B$2:$B$81,0), MATCH(BP$4,'[2]Potencial Hor SocioDem x CeDi'!$C$1:$AF$1,0)), "")</f>
        <v/>
      </c>
      <c r="BQ64" s="80" t="str">
        <f>IFERROR(INDEX('[2]Potencial Hor SocioDem x CeDi'!$C$2:$AF$81, MATCH($C64,'[2]Potencial Hor SocioDem x CeDi'!$B$2:$B$81,0), MATCH(BQ$4,'[2]Potencial Hor SocioDem x CeDi'!$C$1:$AF$1,0)), "")</f>
        <v/>
      </c>
      <c r="BR64" s="80" t="str">
        <f>IFERROR(INDEX('[2]Potencial Hor SocioDem x CeDi'!$C$2:$AF$81, MATCH($C64,'[2]Potencial Hor SocioDem x CeDi'!$B$2:$B$81,0), MATCH(BR$4,'[2]Potencial Hor SocioDem x CeDi'!$C$1:$AF$1,0)), "")</f>
        <v/>
      </c>
      <c r="BS64" s="80" t="str">
        <f>IFERROR(INDEX('[2]Potencial Hor SocioDem x CeDi'!$C$2:$AF$81, MATCH($C64,'[2]Potencial Hor SocioDem x CeDi'!$B$2:$B$81,0), MATCH(BS$4,'[2]Potencial Hor SocioDem x CeDi'!$C$1:$AF$1,0)), "")</f>
        <v/>
      </c>
      <c r="BT64" s="80" t="str">
        <f>IFERROR(INDEX('[2]Potencial Hor SocioDem x CeDi'!$C$2:$AF$81, MATCH($C64,'[2]Potencial Hor SocioDem x CeDi'!$B$2:$B$81,0), MATCH(BT$4,'[2]Potencial Hor SocioDem x CeDi'!$C$1:$AF$1,0)), "")</f>
        <v/>
      </c>
      <c r="BU64" s="80" t="str">
        <f>IFERROR(INDEX('[2]Potencial Hor SocioDem x CeDi'!$C$2:$AF$81, MATCH($C64,'[2]Potencial Hor SocioDem x CeDi'!$B$2:$B$81,0), MATCH(BU$4,'[2]Potencial Hor SocioDem x CeDi'!$C$1:$AF$1,0)), "")</f>
        <v/>
      </c>
      <c r="BV64" s="80" t="str">
        <f>IFERROR(INDEX('[2]Potencial Hor SocioDem x CeDi'!$C$2:$AF$81, MATCH($C64,'[2]Potencial Hor SocioDem x CeDi'!$B$2:$B$81,0), MATCH(BV$4,'[2]Potencial Hor SocioDem x CeDi'!$C$1:$AF$1,0)), "")</f>
        <v/>
      </c>
      <c r="BW64" s="80" t="str">
        <f>IFERROR(INDEX('[2]Potencial Hor SocioDem x CeDi'!$C$2:$AF$81, MATCH($C64,'[2]Potencial Hor SocioDem x CeDi'!$B$2:$B$81,0), MATCH(BW$4,'[2]Potencial Hor SocioDem x CeDi'!$C$1:$AF$1,0)), "")</f>
        <v/>
      </c>
      <c r="BX64" s="80" t="str">
        <f>IFERROR(INDEX('[2]Potencial Hor SocioDem x CeDi'!$C$2:$AF$81, MATCH($C64,'[2]Potencial Hor SocioDem x CeDi'!$B$2:$B$81,0), MATCH(BX$4,'[2]Potencial Hor SocioDem x CeDi'!$C$1:$AF$1,0)), "")</f>
        <v/>
      </c>
      <c r="BY64" s="80" t="str">
        <f>IFERROR(INDEX('[2]Potencial Hor SocioDem x CeDi'!$C$2:$AF$81, MATCH($C64,'[2]Potencial Hor SocioDem x CeDi'!$B$2:$B$81,0), MATCH(BY$4,'[2]Potencial Hor SocioDem x CeDi'!$C$1:$AF$1,0)), "")</f>
        <v/>
      </c>
      <c r="BZ64" s="79" t="str">
        <f>IFERROR(INDEX('[2]Potencial Hor SocioDem x CeDi'!$C$2:$AF$81, MATCH($C64,'[2]Potencial Hor SocioDem x CeDi'!$B$2:$B$81,0), MATCH(BZ$4,'[2]Potencial Hor SocioDem x CeDi'!$C$1:$AF$1,0)), "")</f>
        <v/>
      </c>
      <c r="CA64" s="79" t="str">
        <f>IFERROR(INDEX('[2]Potencial Hor SocioDem x CeDi'!$C$2:$AF$81, MATCH($C64,'[2]Potencial Hor SocioDem x CeDi'!$B$2:$B$81,0), MATCH(CA$4,'[2]Potencial Hor SocioDem x CeDi'!$C$1:$AF$1,0)), "")</f>
        <v/>
      </c>
      <c r="CB64" s="81" t="str">
        <f>IFERROR(INDEX('[2]Potencial Hor SocioDem x CeDi'!$C$2:$AF$81, MATCH($C64,'[2]Potencial Hor SocioDem x CeDi'!$B$2:$B$81,0), MATCH(CB$4,'[2]Potencial Hor SocioDem x CeDi'!$C$1:$AF$1,0)), "")</f>
        <v/>
      </c>
      <c r="CC64" s="82" t="str">
        <f>IFERROR(INDEX('[2]Potencial Hor SocioDem x CeDi'!$C$2:$AF$81, MATCH($C64,'[2]Potencial Hor SocioDem x CeDi'!$B$2:$B$81,0), MATCH(CC$4,'[2]Potencial Hor SocioDem x CeDi'!$C$1:$AF$1,0)), "")</f>
        <v/>
      </c>
      <c r="CD64" s="83" t="str">
        <f>IFERROR(INDEX('[2]Potencial Hor SocioDem x CeDi'!$C$2:$AF$81, MATCH($C64,'[2]Potencial Hor SocioDem x CeDi'!$B$2:$B$81,0), MATCH(CD$4,'[2]Potencial Hor SocioDem x CeDi'!$C$1:$AF$1,0)), "")</f>
        <v/>
      </c>
      <c r="CE64" s="78" t="str">
        <f>IFERROR(_xlfn.XLOOKUP([2]!BaseMaestraCeDi[[#This Row],[CeDi]], '[2]Potencial Hor x CeDi'!$B$6:$BU$6, '[2]Potencial Hor x CeDi'!$B$50:$BU$50), "")</f>
        <v/>
      </c>
      <c r="CF64" s="90" t="str">
        <f>IFERROR(_xlfn.XLOOKUP([2]!BaseMaestraCeDi[[#This Row],[CeDi]], '[2]Potencial Hor x CeDi'!$B$6:$BU$6, '[2]Potencial Hor x CeDi'!$B$34:$BU$34), "")</f>
        <v/>
      </c>
      <c r="CG64" s="90" t="str">
        <f>IFERROR(_xlfn.XLOOKUP([2]!BaseMaestraCeDi[[#This Row],[CeDi]], '[2]Potencial Hor x CeDi'!$B$6:$BU$6, '[2]Potencial Hor x CeDi'!$B$64:$BU$64), "")</f>
        <v/>
      </c>
      <c r="CH64" s="91" t="str">
        <f>IFERROR(_xlfn.XLOOKUP([2]!BaseMaestraCeDi[[#This Row],[CeDi]], '[2]Potencial Hor x CeDi'!$B$6:$BU$6, '[2]Potencial Hor x CeDi'!$B$38:$BU$38), "")</f>
        <v/>
      </c>
      <c r="CI64" s="90" t="str">
        <f>IFERROR(_xlfn.XLOOKUP([2]!BaseMaestraCeDi[[#This Row],[CeDi]], '[2]Potencial Hor x CeDi'!$B$6:$BU$6, '[2]Potencial Hor x CeDi'!$B$26:$BU$26), "")</f>
        <v/>
      </c>
      <c r="CJ64" s="92" t="str">
        <f>IFERROR(_xlfn.XLOOKUP([2]!BaseMaestraCeDi[[#This Row],[CeDi]], '[2]Potencial Hor x CeDi'!$B$6:$BU$6, '[2]Potencial Hor x CeDi'!$B$27:$BU$27), "")</f>
        <v/>
      </c>
      <c r="CK64" s="90" t="str">
        <f>IFERROR(_xlfn.XLOOKUP([2]!BaseMaestraCeDi[[#This Row],[CeDi]], '[2]Potencial Hor x CeDi'!$B$6:$BU$6, '[2]Potencial Hor x CeDi'!$B$28:$BU$28), "")</f>
        <v/>
      </c>
      <c r="CL64" s="92" t="str">
        <f>IFERROR(_xlfn.XLOOKUP([2]!BaseMaestraCeDi[[#This Row],[CeDi]], '[2]Potencial Hor x CeDi'!$B$6:$BU$6, '[2]Potencial Hor x CeDi'!$B$29:$BU$29), "")</f>
        <v/>
      </c>
      <c r="CM64" s="93" t="str">
        <f>IFERROR(_xlfn.XLOOKUP([2]!BaseMaestraCeDi[[#This Row],[CeDi]], '[2]Potencial Hor x CeDi'!$B$6:$BU$6, '[2]Potencial Hor x CeDi'!$B$39:$BU$39), "")</f>
        <v/>
      </c>
      <c r="CN64" s="94" t="str">
        <f>IFERROR(_xlfn.XLOOKUP([2]!BaseMaestraCeDi[[#This Row],[CeDi]], '[2]Potencial Hor x CeDi'!$B$6:$BU$6, '[2]Potencial Hor x CeDi'!$B$43:$BU$43), "")</f>
        <v/>
      </c>
      <c r="CO64" s="94" t="str">
        <f>IFERROR(_xlfn.XLOOKUP([2]!BaseMaestraCeDi[[#This Row],[CeDi]], '[2]Potencial Hor x CeDi'!$B$6:$BU$6, '[2]Potencial Hor x CeDi'!$B$46:$BU$46), "")</f>
        <v/>
      </c>
      <c r="CP64" s="86" t="str">
        <f>IFERROR(_xlfn.XLOOKUP([2]!BaseMaestraCeDi[[#This Row],[CeDi]], '[2]Potencial Hor x CeDi'!$B$6:$BU$6, '[2]Potencial Hor x CeDi'!$B$51:$BU$51), "")</f>
        <v/>
      </c>
      <c r="CQ64" s="82" t="str">
        <f>IFERROR(_xlfn.XLOOKUP([2]!BaseMaestraCeDi[[#This Row],[CeDi]], '[2]Potencial Hor x CeDi'!$B$6:$BU$6, '[2]Potencial Hor x CeDi'!$B$52:$BU$52), "")</f>
        <v/>
      </c>
      <c r="CR64" s="82" t="str">
        <f>IFERROR(_xlfn.XLOOKUP([2]!BaseMaestraCeDi[[#This Row],[CeDi]], '[2]Potencial Hor x CeDi'!$B$6:$BU$6, '[2]Potencial Hor x CeDi'!$B$53:$BU$53), "")</f>
        <v/>
      </c>
      <c r="CS64" s="87" t="str">
        <f>IFERROR(_xlfn.XLOOKUP([2]!BaseMaestraCeDi[[#This Row],[CeDi]], '[2]Potencial Hor x CeDi'!$B$6:$BU$6, '[2]Potencial Hor x CeDi'!$B$60:$BU$60), "")</f>
        <v/>
      </c>
      <c r="CT64" s="90" t="str">
        <f>IFERROR(_xlfn.XLOOKUP([2]!BaseMaestraCeDi[[#This Row],[CeDi]], '[2]Potencial Hor x CeDi'!$B$6:$BU$6, '[2]Potencial Hor x CeDi'!$B$65:$BU$65), "")</f>
        <v/>
      </c>
      <c r="CU64" s="90" t="str">
        <f>IFERROR(_xlfn.XLOOKUP([2]!BaseMaestraCeDi[[#This Row],[CeDi]], '[2]Potencial Hor x CeDi'!$B$6:$BU$6, '[2]Potencial Hor x CeDi'!$B$68:$BU$68), "")</f>
        <v/>
      </c>
      <c r="CV64" s="95" t="str">
        <f>IFERROR(_xlfn.XLOOKUP([2]!BaseMaestraCeDi[[#This Row],[CeDi]], '[2]Potencial Hor x CeDi'!$B$6:$BU$6, '[2]Potencial Hor x CeDi'!$B$71:$BU$71), "")</f>
        <v/>
      </c>
    </row>
    <row r="65" spans="1:100">
      <c r="A65" s="100" t="s">
        <v>94</v>
      </c>
      <c r="B65" s="100" t="s">
        <v>549</v>
      </c>
      <c r="C65" s="100" t="s">
        <v>924</v>
      </c>
      <c r="D65" s="101">
        <v>1</v>
      </c>
      <c r="E65" s="102">
        <v>135.07842555278464</v>
      </c>
      <c r="F65" s="103">
        <v>7.6725876047520813</v>
      </c>
      <c r="G65" s="103">
        <v>142.7510131575367</v>
      </c>
      <c r="H65" s="104">
        <v>387.71570996208914</v>
      </c>
      <c r="I65" s="105">
        <v>636.91443721853818</v>
      </c>
      <c r="J65" s="105">
        <v>136.75437963525613</v>
      </c>
      <c r="K65" s="105">
        <v>1161.3845268158834</v>
      </c>
      <c r="L65" s="104">
        <v>2656.9351032218578</v>
      </c>
      <c r="M65" s="106">
        <v>0.43711437490797689</v>
      </c>
      <c r="N65" s="107" t="s">
        <v>151</v>
      </c>
      <c r="O65" s="102">
        <v>29.63677130044843</v>
      </c>
      <c r="P65" s="103">
        <v>2</v>
      </c>
      <c r="Q65" s="103">
        <v>1</v>
      </c>
      <c r="R65" s="108" t="s">
        <v>194</v>
      </c>
      <c r="S65" s="107" t="s">
        <v>194</v>
      </c>
      <c r="T65" s="125">
        <v>1</v>
      </c>
      <c r="U65" s="106">
        <v>0</v>
      </c>
      <c r="V65" s="106">
        <v>0.70526705136091095</v>
      </c>
      <c r="W65" s="106">
        <v>0.29473294863908905</v>
      </c>
      <c r="X65" s="106">
        <v>0</v>
      </c>
      <c r="Y65" s="104">
        <v>1873.8487859065772</v>
      </c>
      <c r="Z65" s="105">
        <v>783.08631731528055</v>
      </c>
      <c r="AA65" s="105">
        <v>0</v>
      </c>
      <c r="AB65" s="105">
        <v>112311.41666666667</v>
      </c>
      <c r="AC65" s="101">
        <v>1</v>
      </c>
      <c r="AD65" s="109">
        <v>0</v>
      </c>
      <c r="AE65" s="101">
        <v>13218</v>
      </c>
      <c r="AF65" s="109">
        <v>6733</v>
      </c>
      <c r="AG65" s="110">
        <v>0.50938114692086545</v>
      </c>
      <c r="AH65" s="106">
        <v>0.50938114692086545</v>
      </c>
      <c r="AI65" s="101">
        <v>0</v>
      </c>
      <c r="AJ65" s="109">
        <v>0</v>
      </c>
      <c r="AK65" s="106">
        <v>0.50938114692086545</v>
      </c>
      <c r="AL65" s="104">
        <v>3802954.4200000009</v>
      </c>
      <c r="AM65" s="105">
        <v>0</v>
      </c>
      <c r="AN65" s="106">
        <v>0</v>
      </c>
      <c r="AO65" s="104">
        <v>0</v>
      </c>
      <c r="AP65" s="106">
        <v>0</v>
      </c>
      <c r="AQ65" s="109" t="s">
        <v>194</v>
      </c>
      <c r="AR65" s="101">
        <v>0</v>
      </c>
      <c r="AS65" s="105">
        <v>0</v>
      </c>
      <c r="AT65" s="104">
        <v>0</v>
      </c>
      <c r="AU65" s="101">
        <v>1</v>
      </c>
      <c r="AV65" s="109">
        <v>0</v>
      </c>
      <c r="AW65" s="109">
        <v>0</v>
      </c>
      <c r="AX65" s="109">
        <v>1</v>
      </c>
      <c r="AY65" s="110">
        <v>0</v>
      </c>
      <c r="AZ65" s="109">
        <v>0</v>
      </c>
      <c r="BA65" s="102">
        <v>29.636771300448402</v>
      </c>
      <c r="BB65" s="106">
        <v>0.509381146920865</v>
      </c>
      <c r="BC65" s="111">
        <v>453.44132808296001</v>
      </c>
      <c r="BD65" s="74" t="s">
        <v>1170</v>
      </c>
      <c r="BE65" s="88" t="str">
        <f>IFERROR(_xlfn.XLOOKUP([2]!BaseMaestraCeDi[[#This Row],[CeDi]], '[2]Potencial Hor x CeDi'!$B$6:$BU$6, '[2]Potencial Hor x CeDi'!$B$21:$BU$21) / 1000, "")</f>
        <v/>
      </c>
      <c r="BF65" s="89" t="str">
        <f>IFERROR(_xlfn.XLOOKUP([2]!BaseMaestraCeDi[[#This Row],[CeDi]], '[2]Potencial Hor x CeDi'!$B$6:$BU$6, '[2]Potencial Hor x CeDi'!$B$22:$BU$22) / 1000, "")</f>
        <v/>
      </c>
      <c r="BG65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65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65" s="78" t="str">
        <f>IFERROR(INDEX('[2]Potencial Hor SocioDem x CeDi'!$C$2:$AF$81, MATCH($C65,'[2]Potencial Hor SocioDem x CeDi'!$B$2:$B$81,0), MATCH(BI$4,'[2]Potencial Hor SocioDem x CeDi'!$C$1:$AF$1,0)), "")</f>
        <v/>
      </c>
      <c r="BJ65" s="78" t="str">
        <f>IFERROR(INDEX('[2]Potencial Hor SocioDem x CeDi'!$C$2:$AF$81, MATCH($C65,'[2]Potencial Hor SocioDem x CeDi'!$B$2:$B$81,0), MATCH(BJ$4,'[2]Potencial Hor SocioDem x CeDi'!$C$1:$AF$1,0)), "")</f>
        <v/>
      </c>
      <c r="BK65" s="78" t="str">
        <f>IFERROR(INDEX('[2]Potencial Hor SocioDem x CeDi'!$C$2:$AF$81, MATCH($C65,'[2]Potencial Hor SocioDem x CeDi'!$B$2:$B$81,0), MATCH(BK$4,'[2]Potencial Hor SocioDem x CeDi'!$C$1:$AF$1,0)), "")</f>
        <v/>
      </c>
      <c r="BL65" s="79" t="str">
        <f>IFERROR(INDEX('[2]Potencial Hor SocioDem x CeDi'!$C$2:$AF$81, MATCH($C65,'[2]Potencial Hor SocioDem x CeDi'!$B$2:$B$81,0), MATCH(BL$4,'[2]Potencial Hor SocioDem x CeDi'!$C$1:$AF$1,0)), "")</f>
        <v/>
      </c>
      <c r="BM65" s="79" t="str">
        <f>IFERROR(INDEX('[2]Potencial Hor SocioDem x CeDi'!$C$2:$AF$81, MATCH($C65,'[2]Potencial Hor SocioDem x CeDi'!$B$2:$B$81,0), MATCH(BM$4,'[2]Potencial Hor SocioDem x CeDi'!$C$1:$AF$1,0)), "")</f>
        <v/>
      </c>
      <c r="BN65" s="78" t="str">
        <f>IFERROR(INDEX('[2]Potencial Hor SocioDem x CeDi'!$C$2:$AF$81, MATCH($C65,'[2]Potencial Hor SocioDem x CeDi'!$B$2:$B$81,0), MATCH(BN$4,'[2]Potencial Hor SocioDem x CeDi'!$C$1:$AF$1,0)), "")</f>
        <v/>
      </c>
      <c r="BO65" s="78" t="str">
        <f>IFERROR(INDEX('[2]Potencial Hor SocioDem x CeDi'!$C$2:$AF$81, MATCH($C65,'[2]Potencial Hor SocioDem x CeDi'!$B$2:$B$81,0), MATCH(BO$4,'[2]Potencial Hor SocioDem x CeDi'!$C$1:$AF$1,0)), "")</f>
        <v/>
      </c>
      <c r="BP65" s="78" t="str">
        <f>IFERROR(INDEX('[2]Potencial Hor SocioDem x CeDi'!$C$2:$AF$81, MATCH($C65,'[2]Potencial Hor SocioDem x CeDi'!$B$2:$B$81,0), MATCH(BP$4,'[2]Potencial Hor SocioDem x CeDi'!$C$1:$AF$1,0)), "")</f>
        <v/>
      </c>
      <c r="BQ65" s="80" t="str">
        <f>IFERROR(INDEX('[2]Potencial Hor SocioDem x CeDi'!$C$2:$AF$81, MATCH($C65,'[2]Potencial Hor SocioDem x CeDi'!$B$2:$B$81,0), MATCH(BQ$4,'[2]Potencial Hor SocioDem x CeDi'!$C$1:$AF$1,0)), "")</f>
        <v/>
      </c>
      <c r="BR65" s="80" t="str">
        <f>IFERROR(INDEX('[2]Potencial Hor SocioDem x CeDi'!$C$2:$AF$81, MATCH($C65,'[2]Potencial Hor SocioDem x CeDi'!$B$2:$B$81,0), MATCH(BR$4,'[2]Potencial Hor SocioDem x CeDi'!$C$1:$AF$1,0)), "")</f>
        <v/>
      </c>
      <c r="BS65" s="80" t="str">
        <f>IFERROR(INDEX('[2]Potencial Hor SocioDem x CeDi'!$C$2:$AF$81, MATCH($C65,'[2]Potencial Hor SocioDem x CeDi'!$B$2:$B$81,0), MATCH(BS$4,'[2]Potencial Hor SocioDem x CeDi'!$C$1:$AF$1,0)), "")</f>
        <v/>
      </c>
      <c r="BT65" s="80" t="str">
        <f>IFERROR(INDEX('[2]Potencial Hor SocioDem x CeDi'!$C$2:$AF$81, MATCH($C65,'[2]Potencial Hor SocioDem x CeDi'!$B$2:$B$81,0), MATCH(BT$4,'[2]Potencial Hor SocioDem x CeDi'!$C$1:$AF$1,0)), "")</f>
        <v/>
      </c>
      <c r="BU65" s="80" t="str">
        <f>IFERROR(INDEX('[2]Potencial Hor SocioDem x CeDi'!$C$2:$AF$81, MATCH($C65,'[2]Potencial Hor SocioDem x CeDi'!$B$2:$B$81,0), MATCH(BU$4,'[2]Potencial Hor SocioDem x CeDi'!$C$1:$AF$1,0)), "")</f>
        <v/>
      </c>
      <c r="BV65" s="80" t="str">
        <f>IFERROR(INDEX('[2]Potencial Hor SocioDem x CeDi'!$C$2:$AF$81, MATCH($C65,'[2]Potencial Hor SocioDem x CeDi'!$B$2:$B$81,0), MATCH(BV$4,'[2]Potencial Hor SocioDem x CeDi'!$C$1:$AF$1,0)), "")</f>
        <v/>
      </c>
      <c r="BW65" s="80" t="str">
        <f>IFERROR(INDEX('[2]Potencial Hor SocioDem x CeDi'!$C$2:$AF$81, MATCH($C65,'[2]Potencial Hor SocioDem x CeDi'!$B$2:$B$81,0), MATCH(BW$4,'[2]Potencial Hor SocioDem x CeDi'!$C$1:$AF$1,0)), "")</f>
        <v/>
      </c>
      <c r="BX65" s="80" t="str">
        <f>IFERROR(INDEX('[2]Potencial Hor SocioDem x CeDi'!$C$2:$AF$81, MATCH($C65,'[2]Potencial Hor SocioDem x CeDi'!$B$2:$B$81,0), MATCH(BX$4,'[2]Potencial Hor SocioDem x CeDi'!$C$1:$AF$1,0)), "")</f>
        <v/>
      </c>
      <c r="BY65" s="80" t="str">
        <f>IFERROR(INDEX('[2]Potencial Hor SocioDem x CeDi'!$C$2:$AF$81, MATCH($C65,'[2]Potencial Hor SocioDem x CeDi'!$B$2:$B$81,0), MATCH(BY$4,'[2]Potencial Hor SocioDem x CeDi'!$C$1:$AF$1,0)), "")</f>
        <v/>
      </c>
      <c r="BZ65" s="79" t="str">
        <f>IFERROR(INDEX('[2]Potencial Hor SocioDem x CeDi'!$C$2:$AF$81, MATCH($C65,'[2]Potencial Hor SocioDem x CeDi'!$B$2:$B$81,0), MATCH(BZ$4,'[2]Potencial Hor SocioDem x CeDi'!$C$1:$AF$1,0)), "")</f>
        <v/>
      </c>
      <c r="CA65" s="79" t="str">
        <f>IFERROR(INDEX('[2]Potencial Hor SocioDem x CeDi'!$C$2:$AF$81, MATCH($C65,'[2]Potencial Hor SocioDem x CeDi'!$B$2:$B$81,0), MATCH(CA$4,'[2]Potencial Hor SocioDem x CeDi'!$C$1:$AF$1,0)), "")</f>
        <v/>
      </c>
      <c r="CB65" s="81" t="str">
        <f>IFERROR(INDEX('[2]Potencial Hor SocioDem x CeDi'!$C$2:$AF$81, MATCH($C65,'[2]Potencial Hor SocioDem x CeDi'!$B$2:$B$81,0), MATCH(CB$4,'[2]Potencial Hor SocioDem x CeDi'!$C$1:$AF$1,0)), "")</f>
        <v/>
      </c>
      <c r="CC65" s="82" t="str">
        <f>IFERROR(INDEX('[2]Potencial Hor SocioDem x CeDi'!$C$2:$AF$81, MATCH($C65,'[2]Potencial Hor SocioDem x CeDi'!$B$2:$B$81,0), MATCH(CC$4,'[2]Potencial Hor SocioDem x CeDi'!$C$1:$AF$1,0)), "")</f>
        <v/>
      </c>
      <c r="CD65" s="83" t="str">
        <f>IFERROR(INDEX('[2]Potencial Hor SocioDem x CeDi'!$C$2:$AF$81, MATCH($C65,'[2]Potencial Hor SocioDem x CeDi'!$B$2:$B$81,0), MATCH(CD$4,'[2]Potencial Hor SocioDem x CeDi'!$C$1:$AF$1,0)), "")</f>
        <v/>
      </c>
      <c r="CE65" s="78" t="str">
        <f>IFERROR(_xlfn.XLOOKUP([2]!BaseMaestraCeDi[[#This Row],[CeDi]], '[2]Potencial Hor x CeDi'!$B$6:$BU$6, '[2]Potencial Hor x CeDi'!$B$50:$BU$50), "")</f>
        <v/>
      </c>
      <c r="CF65" s="90" t="str">
        <f>IFERROR(_xlfn.XLOOKUP([2]!BaseMaestraCeDi[[#This Row],[CeDi]], '[2]Potencial Hor x CeDi'!$B$6:$BU$6, '[2]Potencial Hor x CeDi'!$B$34:$BU$34), "")</f>
        <v/>
      </c>
      <c r="CG65" s="90" t="str">
        <f>IFERROR(_xlfn.XLOOKUP([2]!BaseMaestraCeDi[[#This Row],[CeDi]], '[2]Potencial Hor x CeDi'!$B$6:$BU$6, '[2]Potencial Hor x CeDi'!$B$64:$BU$64), "")</f>
        <v/>
      </c>
      <c r="CH65" s="91" t="str">
        <f>IFERROR(_xlfn.XLOOKUP([2]!BaseMaestraCeDi[[#This Row],[CeDi]], '[2]Potencial Hor x CeDi'!$B$6:$BU$6, '[2]Potencial Hor x CeDi'!$B$38:$BU$38), "")</f>
        <v/>
      </c>
      <c r="CI65" s="90" t="str">
        <f>IFERROR(_xlfn.XLOOKUP([2]!BaseMaestraCeDi[[#This Row],[CeDi]], '[2]Potencial Hor x CeDi'!$B$6:$BU$6, '[2]Potencial Hor x CeDi'!$B$26:$BU$26), "")</f>
        <v/>
      </c>
      <c r="CJ65" s="92" t="str">
        <f>IFERROR(_xlfn.XLOOKUP([2]!BaseMaestraCeDi[[#This Row],[CeDi]], '[2]Potencial Hor x CeDi'!$B$6:$BU$6, '[2]Potencial Hor x CeDi'!$B$27:$BU$27), "")</f>
        <v/>
      </c>
      <c r="CK65" s="90" t="str">
        <f>IFERROR(_xlfn.XLOOKUP([2]!BaseMaestraCeDi[[#This Row],[CeDi]], '[2]Potencial Hor x CeDi'!$B$6:$BU$6, '[2]Potencial Hor x CeDi'!$B$28:$BU$28), "")</f>
        <v/>
      </c>
      <c r="CL65" s="92" t="str">
        <f>IFERROR(_xlfn.XLOOKUP([2]!BaseMaestraCeDi[[#This Row],[CeDi]], '[2]Potencial Hor x CeDi'!$B$6:$BU$6, '[2]Potencial Hor x CeDi'!$B$29:$BU$29), "")</f>
        <v/>
      </c>
      <c r="CM65" s="93" t="str">
        <f>IFERROR(_xlfn.XLOOKUP([2]!BaseMaestraCeDi[[#This Row],[CeDi]], '[2]Potencial Hor x CeDi'!$B$6:$BU$6, '[2]Potencial Hor x CeDi'!$B$39:$BU$39), "")</f>
        <v/>
      </c>
      <c r="CN65" s="94" t="str">
        <f>IFERROR(_xlfn.XLOOKUP([2]!BaseMaestraCeDi[[#This Row],[CeDi]], '[2]Potencial Hor x CeDi'!$B$6:$BU$6, '[2]Potencial Hor x CeDi'!$B$43:$BU$43), "")</f>
        <v/>
      </c>
      <c r="CO65" s="94" t="str">
        <f>IFERROR(_xlfn.XLOOKUP([2]!BaseMaestraCeDi[[#This Row],[CeDi]], '[2]Potencial Hor x CeDi'!$B$6:$BU$6, '[2]Potencial Hor x CeDi'!$B$46:$BU$46), "")</f>
        <v/>
      </c>
      <c r="CP65" s="86" t="str">
        <f>IFERROR(_xlfn.XLOOKUP([2]!BaseMaestraCeDi[[#This Row],[CeDi]], '[2]Potencial Hor x CeDi'!$B$6:$BU$6, '[2]Potencial Hor x CeDi'!$B$51:$BU$51), "")</f>
        <v/>
      </c>
      <c r="CQ65" s="82" t="str">
        <f>IFERROR(_xlfn.XLOOKUP([2]!BaseMaestraCeDi[[#This Row],[CeDi]], '[2]Potencial Hor x CeDi'!$B$6:$BU$6, '[2]Potencial Hor x CeDi'!$B$52:$BU$52), "")</f>
        <v/>
      </c>
      <c r="CR65" s="82" t="str">
        <f>IFERROR(_xlfn.XLOOKUP([2]!BaseMaestraCeDi[[#This Row],[CeDi]], '[2]Potencial Hor x CeDi'!$B$6:$BU$6, '[2]Potencial Hor x CeDi'!$B$53:$BU$53), "")</f>
        <v/>
      </c>
      <c r="CS65" s="87" t="str">
        <f>IFERROR(_xlfn.XLOOKUP([2]!BaseMaestraCeDi[[#This Row],[CeDi]], '[2]Potencial Hor x CeDi'!$B$6:$BU$6, '[2]Potencial Hor x CeDi'!$B$60:$BU$60), "")</f>
        <v/>
      </c>
      <c r="CT65" s="90" t="str">
        <f>IFERROR(_xlfn.XLOOKUP([2]!BaseMaestraCeDi[[#This Row],[CeDi]], '[2]Potencial Hor x CeDi'!$B$6:$BU$6, '[2]Potencial Hor x CeDi'!$B$65:$BU$65), "")</f>
        <v/>
      </c>
      <c r="CU65" s="90" t="str">
        <f>IFERROR(_xlfn.XLOOKUP([2]!BaseMaestraCeDi[[#This Row],[CeDi]], '[2]Potencial Hor x CeDi'!$B$6:$BU$6, '[2]Potencial Hor x CeDi'!$B$68:$BU$68), "")</f>
        <v/>
      </c>
      <c r="CV65" s="95" t="str">
        <f>IFERROR(_xlfn.XLOOKUP([2]!BaseMaestraCeDi[[#This Row],[CeDi]], '[2]Potencial Hor x CeDi'!$B$6:$BU$6, '[2]Potencial Hor x CeDi'!$B$71:$BU$71), "")</f>
        <v/>
      </c>
    </row>
    <row r="66" spans="1:100">
      <c r="A66" s="112" t="s">
        <v>94</v>
      </c>
      <c r="B66" s="112" t="s">
        <v>882</v>
      </c>
      <c r="C66" s="112" t="s">
        <v>926</v>
      </c>
      <c r="D66" s="113">
        <v>1</v>
      </c>
      <c r="E66" s="114">
        <v>11.203803589316314</v>
      </c>
      <c r="F66" s="115">
        <v>0.74591163447319198</v>
      </c>
      <c r="G66" s="115">
        <v>11.949715223789505</v>
      </c>
      <c r="H66" s="116">
        <v>29.82556401295134</v>
      </c>
      <c r="I66" s="117">
        <v>540.94427679854164</v>
      </c>
      <c r="J66" s="117">
        <v>141.1793473076516</v>
      </c>
      <c r="K66" s="117">
        <v>711.94918811914454</v>
      </c>
      <c r="L66" s="116">
        <v>252.34533422077826</v>
      </c>
      <c r="M66" s="118">
        <v>2.8213289154625558</v>
      </c>
      <c r="N66" s="119" t="s">
        <v>160</v>
      </c>
      <c r="O66" s="114" t="s">
        <v>194</v>
      </c>
      <c r="P66" s="115">
        <v>2</v>
      </c>
      <c r="Q66" s="115">
        <v>1</v>
      </c>
      <c r="R66" s="120" t="s">
        <v>194</v>
      </c>
      <c r="S66" s="119" t="s">
        <v>194</v>
      </c>
      <c r="T66" s="121">
        <v>1</v>
      </c>
      <c r="U66" s="118">
        <v>0</v>
      </c>
      <c r="V66" s="118">
        <v>0.68534351255938286</v>
      </c>
      <c r="W66" s="118">
        <v>0.31465648744061714</v>
      </c>
      <c r="X66" s="118">
        <v>0</v>
      </c>
      <c r="Y66" s="116">
        <v>172.94323773283961</v>
      </c>
      <c r="Z66" s="117">
        <v>79.40209648793865</v>
      </c>
      <c r="AA66" s="117">
        <v>0</v>
      </c>
      <c r="AB66" s="117">
        <v>21179.384615384617</v>
      </c>
      <c r="AC66" s="113">
        <v>0</v>
      </c>
      <c r="AD66" s="122">
        <v>0</v>
      </c>
      <c r="AE66" s="113">
        <v>0</v>
      </c>
      <c r="AF66" s="122">
        <v>0</v>
      </c>
      <c r="AG66" s="123" t="s">
        <v>194</v>
      </c>
      <c r="AH66" s="118" t="s">
        <v>194</v>
      </c>
      <c r="AI66" s="113">
        <v>0</v>
      </c>
      <c r="AJ66" s="122">
        <v>0</v>
      </c>
      <c r="AK66" s="118" t="s">
        <v>194</v>
      </c>
      <c r="AL66" s="116">
        <v>0</v>
      </c>
      <c r="AM66" s="117">
        <v>0</v>
      </c>
      <c r="AN66" s="118" t="s">
        <v>194</v>
      </c>
      <c r="AO66" s="116">
        <v>0</v>
      </c>
      <c r="AP66" s="118">
        <v>0</v>
      </c>
      <c r="AQ66" s="122" t="s">
        <v>194</v>
      </c>
      <c r="AR66" s="113">
        <v>0</v>
      </c>
      <c r="AS66" s="117">
        <v>0</v>
      </c>
      <c r="AT66" s="116">
        <v>0</v>
      </c>
      <c r="AU66" s="113">
        <v>1</v>
      </c>
      <c r="AV66" s="122">
        <v>0</v>
      </c>
      <c r="AW66" s="122">
        <v>0</v>
      </c>
      <c r="AX66" s="122">
        <v>0</v>
      </c>
      <c r="AY66" s="123">
        <v>0</v>
      </c>
      <c r="AZ66" s="122">
        <v>0</v>
      </c>
      <c r="BA66" s="114" t="s">
        <v>194</v>
      </c>
      <c r="BB66" s="118" t="s">
        <v>194</v>
      </c>
      <c r="BC66" s="124" t="s">
        <v>194</v>
      </c>
      <c r="BD66" s="74"/>
      <c r="BE66" s="88" t="str">
        <f>IFERROR(_xlfn.XLOOKUP([2]!BaseMaestraCeDi[[#This Row],[CeDi]], '[2]Potencial Hor x CeDi'!$B$6:$BU$6, '[2]Potencial Hor x CeDi'!$B$21:$BU$21) / 1000, "")</f>
        <v/>
      </c>
      <c r="BF66" s="89" t="str">
        <f>IFERROR(_xlfn.XLOOKUP([2]!BaseMaestraCeDi[[#This Row],[CeDi]], '[2]Potencial Hor x CeDi'!$B$6:$BU$6, '[2]Potencial Hor x CeDi'!$B$22:$BU$22) / 1000, "")</f>
        <v/>
      </c>
      <c r="BG66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66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66" s="78" t="str">
        <f>IFERROR(INDEX('[2]Potencial Hor SocioDem x CeDi'!$C$2:$AF$81, MATCH($C66,'[2]Potencial Hor SocioDem x CeDi'!$B$2:$B$81,0), MATCH(BI$4,'[2]Potencial Hor SocioDem x CeDi'!$C$1:$AF$1,0)), "")</f>
        <v/>
      </c>
      <c r="BJ66" s="78" t="str">
        <f>IFERROR(INDEX('[2]Potencial Hor SocioDem x CeDi'!$C$2:$AF$81, MATCH($C66,'[2]Potencial Hor SocioDem x CeDi'!$B$2:$B$81,0), MATCH(BJ$4,'[2]Potencial Hor SocioDem x CeDi'!$C$1:$AF$1,0)), "")</f>
        <v/>
      </c>
      <c r="BK66" s="78" t="str">
        <f>IFERROR(INDEX('[2]Potencial Hor SocioDem x CeDi'!$C$2:$AF$81, MATCH($C66,'[2]Potencial Hor SocioDem x CeDi'!$B$2:$B$81,0), MATCH(BK$4,'[2]Potencial Hor SocioDem x CeDi'!$C$1:$AF$1,0)), "")</f>
        <v/>
      </c>
      <c r="BL66" s="79" t="str">
        <f>IFERROR(INDEX('[2]Potencial Hor SocioDem x CeDi'!$C$2:$AF$81, MATCH($C66,'[2]Potencial Hor SocioDem x CeDi'!$B$2:$B$81,0), MATCH(BL$4,'[2]Potencial Hor SocioDem x CeDi'!$C$1:$AF$1,0)), "")</f>
        <v/>
      </c>
      <c r="BM66" s="79" t="str">
        <f>IFERROR(INDEX('[2]Potencial Hor SocioDem x CeDi'!$C$2:$AF$81, MATCH($C66,'[2]Potencial Hor SocioDem x CeDi'!$B$2:$B$81,0), MATCH(BM$4,'[2]Potencial Hor SocioDem x CeDi'!$C$1:$AF$1,0)), "")</f>
        <v/>
      </c>
      <c r="BN66" s="78" t="str">
        <f>IFERROR(INDEX('[2]Potencial Hor SocioDem x CeDi'!$C$2:$AF$81, MATCH($C66,'[2]Potencial Hor SocioDem x CeDi'!$B$2:$B$81,0), MATCH(BN$4,'[2]Potencial Hor SocioDem x CeDi'!$C$1:$AF$1,0)), "")</f>
        <v/>
      </c>
      <c r="BO66" s="78" t="str">
        <f>IFERROR(INDEX('[2]Potencial Hor SocioDem x CeDi'!$C$2:$AF$81, MATCH($C66,'[2]Potencial Hor SocioDem x CeDi'!$B$2:$B$81,0), MATCH(BO$4,'[2]Potencial Hor SocioDem x CeDi'!$C$1:$AF$1,0)), "")</f>
        <v/>
      </c>
      <c r="BP66" s="78" t="str">
        <f>IFERROR(INDEX('[2]Potencial Hor SocioDem x CeDi'!$C$2:$AF$81, MATCH($C66,'[2]Potencial Hor SocioDem x CeDi'!$B$2:$B$81,0), MATCH(BP$4,'[2]Potencial Hor SocioDem x CeDi'!$C$1:$AF$1,0)), "")</f>
        <v/>
      </c>
      <c r="BQ66" s="80" t="str">
        <f>IFERROR(INDEX('[2]Potencial Hor SocioDem x CeDi'!$C$2:$AF$81, MATCH($C66,'[2]Potencial Hor SocioDem x CeDi'!$B$2:$B$81,0), MATCH(BQ$4,'[2]Potencial Hor SocioDem x CeDi'!$C$1:$AF$1,0)), "")</f>
        <v/>
      </c>
      <c r="BR66" s="80" t="str">
        <f>IFERROR(INDEX('[2]Potencial Hor SocioDem x CeDi'!$C$2:$AF$81, MATCH($C66,'[2]Potencial Hor SocioDem x CeDi'!$B$2:$B$81,0), MATCH(BR$4,'[2]Potencial Hor SocioDem x CeDi'!$C$1:$AF$1,0)), "")</f>
        <v/>
      </c>
      <c r="BS66" s="80" t="str">
        <f>IFERROR(INDEX('[2]Potencial Hor SocioDem x CeDi'!$C$2:$AF$81, MATCH($C66,'[2]Potencial Hor SocioDem x CeDi'!$B$2:$B$81,0), MATCH(BS$4,'[2]Potencial Hor SocioDem x CeDi'!$C$1:$AF$1,0)), "")</f>
        <v/>
      </c>
      <c r="BT66" s="80" t="str">
        <f>IFERROR(INDEX('[2]Potencial Hor SocioDem x CeDi'!$C$2:$AF$81, MATCH($C66,'[2]Potencial Hor SocioDem x CeDi'!$B$2:$B$81,0), MATCH(BT$4,'[2]Potencial Hor SocioDem x CeDi'!$C$1:$AF$1,0)), "")</f>
        <v/>
      </c>
      <c r="BU66" s="80" t="str">
        <f>IFERROR(INDEX('[2]Potencial Hor SocioDem x CeDi'!$C$2:$AF$81, MATCH($C66,'[2]Potencial Hor SocioDem x CeDi'!$B$2:$B$81,0), MATCH(BU$4,'[2]Potencial Hor SocioDem x CeDi'!$C$1:$AF$1,0)), "")</f>
        <v/>
      </c>
      <c r="BV66" s="80" t="str">
        <f>IFERROR(INDEX('[2]Potencial Hor SocioDem x CeDi'!$C$2:$AF$81, MATCH($C66,'[2]Potencial Hor SocioDem x CeDi'!$B$2:$B$81,0), MATCH(BV$4,'[2]Potencial Hor SocioDem x CeDi'!$C$1:$AF$1,0)), "")</f>
        <v/>
      </c>
      <c r="BW66" s="80" t="str">
        <f>IFERROR(INDEX('[2]Potencial Hor SocioDem x CeDi'!$C$2:$AF$81, MATCH($C66,'[2]Potencial Hor SocioDem x CeDi'!$B$2:$B$81,0), MATCH(BW$4,'[2]Potencial Hor SocioDem x CeDi'!$C$1:$AF$1,0)), "")</f>
        <v/>
      </c>
      <c r="BX66" s="80" t="str">
        <f>IFERROR(INDEX('[2]Potencial Hor SocioDem x CeDi'!$C$2:$AF$81, MATCH($C66,'[2]Potencial Hor SocioDem x CeDi'!$B$2:$B$81,0), MATCH(BX$4,'[2]Potencial Hor SocioDem x CeDi'!$C$1:$AF$1,0)), "")</f>
        <v/>
      </c>
      <c r="BY66" s="80" t="str">
        <f>IFERROR(INDEX('[2]Potencial Hor SocioDem x CeDi'!$C$2:$AF$81, MATCH($C66,'[2]Potencial Hor SocioDem x CeDi'!$B$2:$B$81,0), MATCH(BY$4,'[2]Potencial Hor SocioDem x CeDi'!$C$1:$AF$1,0)), "")</f>
        <v/>
      </c>
      <c r="BZ66" s="79" t="str">
        <f>IFERROR(INDEX('[2]Potencial Hor SocioDem x CeDi'!$C$2:$AF$81, MATCH($C66,'[2]Potencial Hor SocioDem x CeDi'!$B$2:$B$81,0), MATCH(BZ$4,'[2]Potencial Hor SocioDem x CeDi'!$C$1:$AF$1,0)), "")</f>
        <v/>
      </c>
      <c r="CA66" s="79" t="str">
        <f>IFERROR(INDEX('[2]Potencial Hor SocioDem x CeDi'!$C$2:$AF$81, MATCH($C66,'[2]Potencial Hor SocioDem x CeDi'!$B$2:$B$81,0), MATCH(CA$4,'[2]Potencial Hor SocioDem x CeDi'!$C$1:$AF$1,0)), "")</f>
        <v/>
      </c>
      <c r="CB66" s="81" t="str">
        <f>IFERROR(INDEX('[2]Potencial Hor SocioDem x CeDi'!$C$2:$AF$81, MATCH($C66,'[2]Potencial Hor SocioDem x CeDi'!$B$2:$B$81,0), MATCH(CB$4,'[2]Potencial Hor SocioDem x CeDi'!$C$1:$AF$1,0)), "")</f>
        <v/>
      </c>
      <c r="CC66" s="82" t="str">
        <f>IFERROR(INDEX('[2]Potencial Hor SocioDem x CeDi'!$C$2:$AF$81, MATCH($C66,'[2]Potencial Hor SocioDem x CeDi'!$B$2:$B$81,0), MATCH(CC$4,'[2]Potencial Hor SocioDem x CeDi'!$C$1:$AF$1,0)), "")</f>
        <v/>
      </c>
      <c r="CD66" s="83" t="str">
        <f>IFERROR(INDEX('[2]Potencial Hor SocioDem x CeDi'!$C$2:$AF$81, MATCH($C66,'[2]Potencial Hor SocioDem x CeDi'!$B$2:$B$81,0), MATCH(CD$4,'[2]Potencial Hor SocioDem x CeDi'!$C$1:$AF$1,0)), "")</f>
        <v/>
      </c>
      <c r="CE66" s="78" t="str">
        <f>IFERROR(_xlfn.XLOOKUP([2]!BaseMaestraCeDi[[#This Row],[CeDi]], '[2]Potencial Hor x CeDi'!$B$6:$BU$6, '[2]Potencial Hor x CeDi'!$B$50:$BU$50), "")</f>
        <v/>
      </c>
      <c r="CF66" s="90" t="str">
        <f>IFERROR(_xlfn.XLOOKUP([2]!BaseMaestraCeDi[[#This Row],[CeDi]], '[2]Potencial Hor x CeDi'!$B$6:$BU$6, '[2]Potencial Hor x CeDi'!$B$34:$BU$34), "")</f>
        <v/>
      </c>
      <c r="CG66" s="90" t="str">
        <f>IFERROR(_xlfn.XLOOKUP([2]!BaseMaestraCeDi[[#This Row],[CeDi]], '[2]Potencial Hor x CeDi'!$B$6:$BU$6, '[2]Potencial Hor x CeDi'!$B$64:$BU$64), "")</f>
        <v/>
      </c>
      <c r="CH66" s="91" t="str">
        <f>IFERROR(_xlfn.XLOOKUP([2]!BaseMaestraCeDi[[#This Row],[CeDi]], '[2]Potencial Hor x CeDi'!$B$6:$BU$6, '[2]Potencial Hor x CeDi'!$B$38:$BU$38), "")</f>
        <v/>
      </c>
      <c r="CI66" s="90" t="str">
        <f>IFERROR(_xlfn.XLOOKUP([2]!BaseMaestraCeDi[[#This Row],[CeDi]], '[2]Potencial Hor x CeDi'!$B$6:$BU$6, '[2]Potencial Hor x CeDi'!$B$26:$BU$26), "")</f>
        <v/>
      </c>
      <c r="CJ66" s="92" t="str">
        <f>IFERROR(_xlfn.XLOOKUP([2]!BaseMaestraCeDi[[#This Row],[CeDi]], '[2]Potencial Hor x CeDi'!$B$6:$BU$6, '[2]Potencial Hor x CeDi'!$B$27:$BU$27), "")</f>
        <v/>
      </c>
      <c r="CK66" s="90" t="str">
        <f>IFERROR(_xlfn.XLOOKUP([2]!BaseMaestraCeDi[[#This Row],[CeDi]], '[2]Potencial Hor x CeDi'!$B$6:$BU$6, '[2]Potencial Hor x CeDi'!$B$28:$BU$28), "")</f>
        <v/>
      </c>
      <c r="CL66" s="92" t="str">
        <f>IFERROR(_xlfn.XLOOKUP([2]!BaseMaestraCeDi[[#This Row],[CeDi]], '[2]Potencial Hor x CeDi'!$B$6:$BU$6, '[2]Potencial Hor x CeDi'!$B$29:$BU$29), "")</f>
        <v/>
      </c>
      <c r="CM66" s="93" t="str">
        <f>IFERROR(_xlfn.XLOOKUP([2]!BaseMaestraCeDi[[#This Row],[CeDi]], '[2]Potencial Hor x CeDi'!$B$6:$BU$6, '[2]Potencial Hor x CeDi'!$B$39:$BU$39), "")</f>
        <v/>
      </c>
      <c r="CN66" s="94" t="str">
        <f>IFERROR(_xlfn.XLOOKUP([2]!BaseMaestraCeDi[[#This Row],[CeDi]], '[2]Potencial Hor x CeDi'!$B$6:$BU$6, '[2]Potencial Hor x CeDi'!$B$43:$BU$43), "")</f>
        <v/>
      </c>
      <c r="CO66" s="94" t="str">
        <f>IFERROR(_xlfn.XLOOKUP([2]!BaseMaestraCeDi[[#This Row],[CeDi]], '[2]Potencial Hor x CeDi'!$B$6:$BU$6, '[2]Potencial Hor x CeDi'!$B$46:$BU$46), "")</f>
        <v/>
      </c>
      <c r="CP66" s="86" t="str">
        <f>IFERROR(_xlfn.XLOOKUP([2]!BaseMaestraCeDi[[#This Row],[CeDi]], '[2]Potencial Hor x CeDi'!$B$6:$BU$6, '[2]Potencial Hor x CeDi'!$B$51:$BU$51), "")</f>
        <v/>
      </c>
      <c r="CQ66" s="82" t="str">
        <f>IFERROR(_xlfn.XLOOKUP([2]!BaseMaestraCeDi[[#This Row],[CeDi]], '[2]Potencial Hor x CeDi'!$B$6:$BU$6, '[2]Potencial Hor x CeDi'!$B$52:$BU$52), "")</f>
        <v/>
      </c>
      <c r="CR66" s="82" t="str">
        <f>IFERROR(_xlfn.XLOOKUP([2]!BaseMaestraCeDi[[#This Row],[CeDi]], '[2]Potencial Hor x CeDi'!$B$6:$BU$6, '[2]Potencial Hor x CeDi'!$B$53:$BU$53), "")</f>
        <v/>
      </c>
      <c r="CS66" s="87" t="str">
        <f>IFERROR(_xlfn.XLOOKUP([2]!BaseMaestraCeDi[[#This Row],[CeDi]], '[2]Potencial Hor x CeDi'!$B$6:$BU$6, '[2]Potencial Hor x CeDi'!$B$60:$BU$60), "")</f>
        <v/>
      </c>
      <c r="CT66" s="90" t="str">
        <f>IFERROR(_xlfn.XLOOKUP([2]!BaseMaestraCeDi[[#This Row],[CeDi]], '[2]Potencial Hor x CeDi'!$B$6:$BU$6, '[2]Potencial Hor x CeDi'!$B$65:$BU$65), "")</f>
        <v/>
      </c>
      <c r="CU66" s="90" t="str">
        <f>IFERROR(_xlfn.XLOOKUP([2]!BaseMaestraCeDi[[#This Row],[CeDi]], '[2]Potencial Hor x CeDi'!$B$6:$BU$6, '[2]Potencial Hor x CeDi'!$B$68:$BU$68), "")</f>
        <v/>
      </c>
      <c r="CV66" s="95" t="str">
        <f>IFERROR(_xlfn.XLOOKUP([2]!BaseMaestraCeDi[[#This Row],[CeDi]], '[2]Potencial Hor x CeDi'!$B$6:$BU$6, '[2]Potencial Hor x CeDi'!$B$71:$BU$71), "")</f>
        <v/>
      </c>
    </row>
    <row r="67" spans="1:100">
      <c r="A67" s="100" t="s">
        <v>94</v>
      </c>
      <c r="B67" s="100" t="s">
        <v>549</v>
      </c>
      <c r="C67" s="100" t="s">
        <v>928</v>
      </c>
      <c r="D67" s="101">
        <v>2</v>
      </c>
      <c r="E67" s="102">
        <v>305.40623602830698</v>
      </c>
      <c r="F67" s="103">
        <v>17.347374988829007</v>
      </c>
      <c r="G67" s="103">
        <v>322.753611017136</v>
      </c>
      <c r="H67" s="104">
        <v>876.60775689373872</v>
      </c>
      <c r="I67" s="105">
        <v>1272.5016932835381</v>
      </c>
      <c r="J67" s="105">
        <v>273.50875927051226</v>
      </c>
      <c r="K67" s="105">
        <v>2422.618209447789</v>
      </c>
      <c r="L67" s="104">
        <v>3918.8766163506693</v>
      </c>
      <c r="M67" s="106">
        <v>0.61819200924569451</v>
      </c>
      <c r="N67" s="107" t="s">
        <v>160</v>
      </c>
      <c r="O67" s="102">
        <v>16.600000000000001</v>
      </c>
      <c r="P67" s="103">
        <v>2</v>
      </c>
      <c r="Q67" s="103">
        <v>1</v>
      </c>
      <c r="R67" s="108" t="s">
        <v>194</v>
      </c>
      <c r="S67" s="107" t="s">
        <v>194</v>
      </c>
      <c r="T67" s="125">
        <v>1</v>
      </c>
      <c r="U67" s="106">
        <v>0</v>
      </c>
      <c r="V67" s="106">
        <v>0.8989071161953055</v>
      </c>
      <c r="W67" s="106">
        <v>0.1010928838046945</v>
      </c>
      <c r="X67" s="106">
        <v>0</v>
      </c>
      <c r="Y67" s="104">
        <v>3522.7060779289968</v>
      </c>
      <c r="Z67" s="105">
        <v>396.17053842167257</v>
      </c>
      <c r="AA67" s="105">
        <v>0</v>
      </c>
      <c r="AB67" s="105">
        <v>82827.5</v>
      </c>
      <c r="AC67" s="101">
        <v>2</v>
      </c>
      <c r="AD67" s="109">
        <v>1</v>
      </c>
      <c r="AE67" s="101">
        <v>8044</v>
      </c>
      <c r="AF67" s="109">
        <v>2964</v>
      </c>
      <c r="AG67" s="110">
        <v>0.36847339632023868</v>
      </c>
      <c r="AH67" s="106">
        <v>0.39887955865140834</v>
      </c>
      <c r="AI67" s="101">
        <v>275.66502705361563</v>
      </c>
      <c r="AJ67" s="109">
        <v>137.83251352680782</v>
      </c>
      <c r="AK67" s="106">
        <v>0.38560821898642561</v>
      </c>
      <c r="AL67" s="104">
        <v>5538397.1199999992</v>
      </c>
      <c r="AM67" s="105">
        <v>176370.23608275619</v>
      </c>
      <c r="AN67" s="106">
        <v>3.1844996352077444E-2</v>
      </c>
      <c r="AO67" s="104">
        <v>123935.84157166652</v>
      </c>
      <c r="AP67" s="106">
        <v>5.6379587168260356E-4</v>
      </c>
      <c r="AQ67" s="109">
        <v>41</v>
      </c>
      <c r="AR67" s="101">
        <v>1</v>
      </c>
      <c r="AS67" s="105">
        <v>455130.38323892618</v>
      </c>
      <c r="AT67" s="104">
        <v>579066.22481059271</v>
      </c>
      <c r="AU67" s="101">
        <v>2</v>
      </c>
      <c r="AV67" s="109">
        <v>0</v>
      </c>
      <c r="AW67" s="109">
        <v>0</v>
      </c>
      <c r="AX67" s="109">
        <v>2</v>
      </c>
      <c r="AY67" s="110">
        <v>0</v>
      </c>
      <c r="AZ67" s="109">
        <v>1085.6490515572</v>
      </c>
      <c r="BA67" s="102">
        <v>16.550447688779101</v>
      </c>
      <c r="BB67" s="106">
        <v>0.38359286053941299</v>
      </c>
      <c r="BC67" s="111">
        <v>497.647118115073</v>
      </c>
      <c r="BD67" s="74" t="s">
        <v>1171</v>
      </c>
      <c r="BE67" s="88" t="str">
        <f>IFERROR(_xlfn.XLOOKUP([2]!BaseMaestraCeDi[[#This Row],[CeDi]], '[2]Potencial Hor x CeDi'!$B$6:$BU$6, '[2]Potencial Hor x CeDi'!$B$21:$BU$21) / 1000, "")</f>
        <v/>
      </c>
      <c r="BF67" s="89" t="str">
        <f>IFERROR(_xlfn.XLOOKUP([2]!BaseMaestraCeDi[[#This Row],[CeDi]], '[2]Potencial Hor x CeDi'!$B$6:$BU$6, '[2]Potencial Hor x CeDi'!$B$22:$BU$22) / 1000, "")</f>
        <v/>
      </c>
      <c r="BG67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67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67" s="78">
        <f>IFERROR(INDEX('[2]Potencial Hor SocioDem x CeDi'!$C$2:$AF$81, MATCH($C67,'[2]Potencial Hor SocioDem x CeDi'!$B$2:$B$81,0), MATCH(BI$4,'[2]Potencial Hor SocioDem x CeDi'!$C$1:$AF$1,0)), "")</f>
        <v>1683</v>
      </c>
      <c r="BJ67" s="78">
        <f>IFERROR(INDEX('[2]Potencial Hor SocioDem x CeDi'!$C$2:$AF$81, MATCH($C67,'[2]Potencial Hor SocioDem x CeDi'!$B$2:$B$81,0), MATCH(BJ$4,'[2]Potencial Hor SocioDem x CeDi'!$C$1:$AF$1,0)), "")</f>
        <v>106362</v>
      </c>
      <c r="BK67" s="78">
        <f>IFERROR(INDEX('[2]Potencial Hor SocioDem x CeDi'!$C$2:$AF$81, MATCH($C67,'[2]Potencial Hor SocioDem x CeDi'!$B$2:$B$81,0), MATCH(BK$4,'[2]Potencial Hor SocioDem x CeDi'!$C$1:$AF$1,0)), "")</f>
        <v>28453</v>
      </c>
      <c r="BL67" s="79">
        <f>IFERROR(INDEX('[2]Potencial Hor SocioDem x CeDi'!$C$2:$AF$81, MATCH($C67,'[2]Potencial Hor SocioDem x CeDi'!$B$2:$B$81,0), MATCH(BL$4,'[2]Potencial Hor SocioDem x CeDi'!$C$1:$AF$1,0)), "")</f>
        <v>3.738164692651039</v>
      </c>
      <c r="BM67" s="79">
        <f>IFERROR(INDEX('[2]Potencial Hor SocioDem x CeDi'!$C$2:$AF$81, MATCH($C67,'[2]Potencial Hor SocioDem x CeDi'!$B$2:$B$81,0), MATCH(BM$4,'[2]Potencial Hor SocioDem x CeDi'!$C$1:$AF$1,0)), "")</f>
        <v>16.90612002376708</v>
      </c>
      <c r="BN67" s="78">
        <f>IFERROR(INDEX('[2]Potencial Hor SocioDem x CeDi'!$C$2:$AF$81, MATCH($C67,'[2]Potencial Hor SocioDem x CeDi'!$B$2:$B$81,0), MATCH(BN$4,'[2]Potencial Hor SocioDem x CeDi'!$C$1:$AF$1,0)), "")</f>
        <v>0</v>
      </c>
      <c r="BO67" s="78">
        <f>IFERROR(INDEX('[2]Potencial Hor SocioDem x CeDi'!$C$2:$AF$81, MATCH($C67,'[2]Potencial Hor SocioDem x CeDi'!$B$2:$B$81,0), MATCH(BO$4,'[2]Potencial Hor SocioDem x CeDi'!$C$1:$AF$1,0)), "")</f>
        <v>111</v>
      </c>
      <c r="BP67" s="78">
        <f>IFERROR(INDEX('[2]Potencial Hor SocioDem x CeDi'!$C$2:$AF$81, MATCH($C67,'[2]Potencial Hor SocioDem x CeDi'!$B$2:$B$81,0), MATCH(BP$4,'[2]Potencial Hor SocioDem x CeDi'!$C$1:$AF$1,0)), "")</f>
        <v>111</v>
      </c>
      <c r="BQ67" s="80">
        <f>IFERROR(INDEX('[2]Potencial Hor SocioDem x CeDi'!$C$2:$AF$81, MATCH($C67,'[2]Potencial Hor SocioDem x CeDi'!$B$2:$B$81,0), MATCH(BQ$4,'[2]Potencial Hor SocioDem x CeDi'!$C$1:$AF$1,0)), "")</f>
        <v>3.9011703511053321E-3</v>
      </c>
      <c r="BR67" s="80">
        <f>IFERROR(INDEX('[2]Potencial Hor SocioDem x CeDi'!$C$2:$AF$81, MATCH($C67,'[2]Potencial Hor SocioDem x CeDi'!$B$2:$B$81,0), MATCH(BR$4,'[2]Potencial Hor SocioDem x CeDi'!$C$1:$AF$1,0)), "")</f>
        <v>0</v>
      </c>
      <c r="BS67" s="80">
        <f>IFERROR(INDEX('[2]Potencial Hor SocioDem x CeDi'!$C$2:$AF$81, MATCH($C67,'[2]Potencial Hor SocioDem x CeDi'!$B$2:$B$81,0), MATCH(BS$4,'[2]Potencial Hor SocioDem x CeDi'!$C$1:$AF$1,0)), "")</f>
        <v>3.9011703511053321E-3</v>
      </c>
      <c r="BT67" s="80">
        <f>IFERROR(INDEX('[2]Potencial Hor SocioDem x CeDi'!$C$2:$AF$81, MATCH($C67,'[2]Potencial Hor SocioDem x CeDi'!$B$2:$B$81,0), MATCH(BT$4,'[2]Potencial Hor SocioDem x CeDi'!$C$1:$AF$1,0)), "")</f>
        <v>0.24862053210557761</v>
      </c>
      <c r="BU67" s="80">
        <f>IFERROR(INDEX('[2]Potencial Hor SocioDem x CeDi'!$C$2:$AF$81, MATCH($C67,'[2]Potencial Hor SocioDem x CeDi'!$B$2:$B$81,0), MATCH(BU$4,'[2]Potencial Hor SocioDem x CeDi'!$C$1:$AF$1,0)), "")</f>
        <v>3.2755772677749269E-2</v>
      </c>
      <c r="BV67" s="80">
        <f>IFERROR(INDEX('[2]Potencial Hor SocioDem x CeDi'!$C$2:$AF$81, MATCH($C67,'[2]Potencial Hor SocioDem x CeDi'!$B$2:$B$81,0), MATCH(BV$4,'[2]Potencial Hor SocioDem x CeDi'!$C$1:$AF$1,0)), "")</f>
        <v>6.185639475626472E-3</v>
      </c>
      <c r="BW67" s="80">
        <f>IFERROR(INDEX('[2]Potencial Hor SocioDem x CeDi'!$C$2:$AF$81, MATCH($C67,'[2]Potencial Hor SocioDem x CeDi'!$B$2:$B$81,0), MATCH(BW$4,'[2]Potencial Hor SocioDem x CeDi'!$C$1:$AF$1,0)), "")</f>
        <v>0.70762309774013288</v>
      </c>
      <c r="BX67" s="80">
        <f>IFERROR(INDEX('[2]Potencial Hor SocioDem x CeDi'!$C$2:$AF$81, MATCH($C67,'[2]Potencial Hor SocioDem x CeDi'!$B$2:$B$81,0), MATCH(BX$4,'[2]Potencial Hor SocioDem x CeDi'!$C$1:$AF$1,0)), "")</f>
        <v>8.0835061329209571E-4</v>
      </c>
      <c r="BY67" s="80">
        <f>IFERROR(INDEX('[2]Potencial Hor SocioDem x CeDi'!$C$2:$AF$81, MATCH($C67,'[2]Potencial Hor SocioDem x CeDi'!$B$2:$B$81,0), MATCH(BY$4,'[2]Potencial Hor SocioDem x CeDi'!$C$1:$AF$1,0)), "")</f>
        <v>1.054370365163603E-4</v>
      </c>
      <c r="BZ67" s="79">
        <f>IFERROR(INDEX('[2]Potencial Hor SocioDem x CeDi'!$C$2:$AF$81, MATCH($C67,'[2]Potencial Hor SocioDem x CeDi'!$B$2:$B$81,0), MATCH(BZ$4,'[2]Potencial Hor SocioDem x CeDi'!$C$1:$AF$1,0)), "")</f>
        <v>6.9009608694834617</v>
      </c>
      <c r="CA67" s="79">
        <f>IFERROR(INDEX('[2]Potencial Hor SocioDem x CeDi'!$C$2:$AF$81, MATCH($C67,'[2]Potencial Hor SocioDem x CeDi'!$B$2:$B$81,0), MATCH(CA$4,'[2]Potencial Hor SocioDem x CeDi'!$C$1:$AF$1,0)), "")</f>
        <v>0.32906489159662289</v>
      </c>
      <c r="CB67" s="81">
        <f>IFERROR(INDEX('[2]Potencial Hor SocioDem x CeDi'!$C$2:$AF$81, MATCH($C67,'[2]Potencial Hor SocioDem x CeDi'!$B$2:$B$81,0), MATCH(CB$4,'[2]Potencial Hor SocioDem x CeDi'!$C$1:$AF$1,0)), "")</f>
        <v>188</v>
      </c>
      <c r="CC67" s="82">
        <f>IFERROR(INDEX('[2]Potencial Hor SocioDem x CeDi'!$C$2:$AF$81, MATCH($C67,'[2]Potencial Hor SocioDem x CeDi'!$B$2:$B$81,0), MATCH(CC$4,'[2]Potencial Hor SocioDem x CeDi'!$C$1:$AF$1,0)), "")</f>
        <v>0</v>
      </c>
      <c r="CD67" s="83">
        <f>IFERROR(INDEX('[2]Potencial Hor SocioDem x CeDi'!$C$2:$AF$81, MATCH($C67,'[2]Potencial Hor SocioDem x CeDi'!$B$2:$B$81,0), MATCH(CD$4,'[2]Potencial Hor SocioDem x CeDi'!$C$1:$AF$1,0)), "")</f>
        <v>0</v>
      </c>
      <c r="CE67" s="78" t="str">
        <f>IFERROR(_xlfn.XLOOKUP([2]!BaseMaestraCeDi[[#This Row],[CeDi]], '[2]Potencial Hor x CeDi'!$B$6:$BU$6, '[2]Potencial Hor x CeDi'!$B$50:$BU$50), "")</f>
        <v/>
      </c>
      <c r="CF67" s="90" t="str">
        <f>IFERROR(_xlfn.XLOOKUP([2]!BaseMaestraCeDi[[#This Row],[CeDi]], '[2]Potencial Hor x CeDi'!$B$6:$BU$6, '[2]Potencial Hor x CeDi'!$B$34:$BU$34), "")</f>
        <v/>
      </c>
      <c r="CG67" s="90" t="str">
        <f>IFERROR(_xlfn.XLOOKUP([2]!BaseMaestraCeDi[[#This Row],[CeDi]], '[2]Potencial Hor x CeDi'!$B$6:$BU$6, '[2]Potencial Hor x CeDi'!$B$64:$BU$64), "")</f>
        <v/>
      </c>
      <c r="CH67" s="91" t="str">
        <f>IFERROR(_xlfn.XLOOKUP([2]!BaseMaestraCeDi[[#This Row],[CeDi]], '[2]Potencial Hor x CeDi'!$B$6:$BU$6, '[2]Potencial Hor x CeDi'!$B$38:$BU$38), "")</f>
        <v/>
      </c>
      <c r="CI67" s="90" t="str">
        <f>IFERROR(_xlfn.XLOOKUP([2]!BaseMaestraCeDi[[#This Row],[CeDi]], '[2]Potencial Hor x CeDi'!$B$6:$BU$6, '[2]Potencial Hor x CeDi'!$B$26:$BU$26), "")</f>
        <v/>
      </c>
      <c r="CJ67" s="92" t="str">
        <f>IFERROR(_xlfn.XLOOKUP([2]!BaseMaestraCeDi[[#This Row],[CeDi]], '[2]Potencial Hor x CeDi'!$B$6:$BU$6, '[2]Potencial Hor x CeDi'!$B$27:$BU$27), "")</f>
        <v/>
      </c>
      <c r="CK67" s="90" t="str">
        <f>IFERROR(_xlfn.XLOOKUP([2]!BaseMaestraCeDi[[#This Row],[CeDi]], '[2]Potencial Hor x CeDi'!$B$6:$BU$6, '[2]Potencial Hor x CeDi'!$B$28:$BU$28), "")</f>
        <v/>
      </c>
      <c r="CL67" s="92" t="str">
        <f>IFERROR(_xlfn.XLOOKUP([2]!BaseMaestraCeDi[[#This Row],[CeDi]], '[2]Potencial Hor x CeDi'!$B$6:$BU$6, '[2]Potencial Hor x CeDi'!$B$29:$BU$29), "")</f>
        <v/>
      </c>
      <c r="CM67" s="93" t="str">
        <f>IFERROR(_xlfn.XLOOKUP([2]!BaseMaestraCeDi[[#This Row],[CeDi]], '[2]Potencial Hor x CeDi'!$B$6:$BU$6, '[2]Potencial Hor x CeDi'!$B$39:$BU$39), "")</f>
        <v/>
      </c>
      <c r="CN67" s="94" t="str">
        <f>IFERROR(_xlfn.XLOOKUP([2]!BaseMaestraCeDi[[#This Row],[CeDi]], '[2]Potencial Hor x CeDi'!$B$6:$BU$6, '[2]Potencial Hor x CeDi'!$B$43:$BU$43), "")</f>
        <v/>
      </c>
      <c r="CO67" s="94" t="str">
        <f>IFERROR(_xlfn.XLOOKUP([2]!BaseMaestraCeDi[[#This Row],[CeDi]], '[2]Potencial Hor x CeDi'!$B$6:$BU$6, '[2]Potencial Hor x CeDi'!$B$46:$BU$46), "")</f>
        <v/>
      </c>
      <c r="CP67" s="86" t="str">
        <f>IFERROR(_xlfn.XLOOKUP([2]!BaseMaestraCeDi[[#This Row],[CeDi]], '[2]Potencial Hor x CeDi'!$B$6:$BU$6, '[2]Potencial Hor x CeDi'!$B$51:$BU$51), "")</f>
        <v/>
      </c>
      <c r="CQ67" s="82" t="str">
        <f>IFERROR(_xlfn.XLOOKUP([2]!BaseMaestraCeDi[[#This Row],[CeDi]], '[2]Potencial Hor x CeDi'!$B$6:$BU$6, '[2]Potencial Hor x CeDi'!$B$52:$BU$52), "")</f>
        <v/>
      </c>
      <c r="CR67" s="82" t="str">
        <f>IFERROR(_xlfn.XLOOKUP([2]!BaseMaestraCeDi[[#This Row],[CeDi]], '[2]Potencial Hor x CeDi'!$B$6:$BU$6, '[2]Potencial Hor x CeDi'!$B$53:$BU$53), "")</f>
        <v/>
      </c>
      <c r="CS67" s="87" t="str">
        <f>IFERROR(_xlfn.XLOOKUP([2]!BaseMaestraCeDi[[#This Row],[CeDi]], '[2]Potencial Hor x CeDi'!$B$6:$BU$6, '[2]Potencial Hor x CeDi'!$B$60:$BU$60), "")</f>
        <v/>
      </c>
      <c r="CT67" s="90" t="str">
        <f>IFERROR(_xlfn.XLOOKUP([2]!BaseMaestraCeDi[[#This Row],[CeDi]], '[2]Potencial Hor x CeDi'!$B$6:$BU$6, '[2]Potencial Hor x CeDi'!$B$65:$BU$65), "")</f>
        <v/>
      </c>
      <c r="CU67" s="90" t="str">
        <f>IFERROR(_xlfn.XLOOKUP([2]!BaseMaestraCeDi[[#This Row],[CeDi]], '[2]Potencial Hor x CeDi'!$B$6:$BU$6, '[2]Potencial Hor x CeDi'!$B$68:$BU$68), "")</f>
        <v/>
      </c>
      <c r="CV67" s="95" t="str">
        <f>IFERROR(_xlfn.XLOOKUP([2]!BaseMaestraCeDi[[#This Row],[CeDi]], '[2]Potencial Hor x CeDi'!$B$6:$BU$6, '[2]Potencial Hor x CeDi'!$B$71:$BU$71), "")</f>
        <v/>
      </c>
    </row>
    <row r="68" spans="1:100">
      <c r="A68" s="112" t="s">
        <v>94</v>
      </c>
      <c r="B68" s="112" t="s">
        <v>502</v>
      </c>
      <c r="C68" s="112" t="s">
        <v>931</v>
      </c>
      <c r="D68" s="113">
        <v>47</v>
      </c>
      <c r="E68" s="114">
        <v>7029.574982684645</v>
      </c>
      <c r="F68" s="115">
        <v>501.23635569732915</v>
      </c>
      <c r="G68" s="115">
        <v>7530.8113383819746</v>
      </c>
      <c r="H68" s="116">
        <v>21461.110189513776</v>
      </c>
      <c r="I68" s="117">
        <v>32979.936003783201</v>
      </c>
      <c r="J68" s="117">
        <v>6632.4105285497044</v>
      </c>
      <c r="K68" s="117">
        <v>61073.456721846684</v>
      </c>
      <c r="L68" s="116">
        <v>171171.31674394585</v>
      </c>
      <c r="M68" s="118">
        <v>0.35679725951519148</v>
      </c>
      <c r="N68" s="119" t="s">
        <v>171</v>
      </c>
      <c r="O68" s="114">
        <v>76.217105446233262</v>
      </c>
      <c r="P68" s="115">
        <v>2</v>
      </c>
      <c r="Q68" s="115">
        <v>1</v>
      </c>
      <c r="R68" s="120">
        <v>51</v>
      </c>
      <c r="S68" s="119">
        <v>396</v>
      </c>
      <c r="T68" s="121">
        <v>0.9644224859677093</v>
      </c>
      <c r="U68" s="118">
        <v>3.5577514032290702E-2</v>
      </c>
      <c r="V68" s="118">
        <v>0.61217796244381451</v>
      </c>
      <c r="W68" s="118">
        <v>0.38782203755618555</v>
      </c>
      <c r="X68" s="118">
        <v>0</v>
      </c>
      <c r="Y68" s="116">
        <v>104787.30791313355</v>
      </c>
      <c r="Z68" s="117">
        <v>66384.008830812294</v>
      </c>
      <c r="AA68" s="117">
        <v>0</v>
      </c>
      <c r="AB68" s="117">
        <v>144869.08062287414</v>
      </c>
      <c r="AC68" s="113">
        <v>48</v>
      </c>
      <c r="AD68" s="122">
        <v>36</v>
      </c>
      <c r="AE68" s="113">
        <v>1586739</v>
      </c>
      <c r="AF68" s="122">
        <v>835059</v>
      </c>
      <c r="AG68" s="123">
        <v>0.52627369718649386</v>
      </c>
      <c r="AH68" s="118">
        <v>0.62538735712289484</v>
      </c>
      <c r="AI68" s="113">
        <v>183339.44659657928</v>
      </c>
      <c r="AJ68" s="122">
        <v>91669.723298289638</v>
      </c>
      <c r="AK68" s="118">
        <v>0.58404609913683947</v>
      </c>
      <c r="AL68" s="116">
        <v>239408279.71000001</v>
      </c>
      <c r="AM68" s="117">
        <v>27485019.309232529</v>
      </c>
      <c r="AN68" s="118">
        <v>0.11480396309820896</v>
      </c>
      <c r="AO68" s="116">
        <v>19313797.35243367</v>
      </c>
      <c r="AP68" s="118">
        <v>8.78602918714185E-2</v>
      </c>
      <c r="AQ68" s="122">
        <v>3</v>
      </c>
      <c r="AR68" s="113">
        <v>36</v>
      </c>
      <c r="AS68" s="117">
        <v>15346213.843425116</v>
      </c>
      <c r="AT68" s="116">
        <v>34660011.195858784</v>
      </c>
      <c r="AU68" s="113">
        <v>50</v>
      </c>
      <c r="AV68" s="122">
        <v>2</v>
      </c>
      <c r="AW68" s="122">
        <v>7</v>
      </c>
      <c r="AX68" s="122">
        <v>39</v>
      </c>
      <c r="AY68" s="123">
        <v>0.04</v>
      </c>
      <c r="AZ68" s="122">
        <v>150285.15818642252</v>
      </c>
      <c r="BA68" s="114">
        <v>76.217105446233305</v>
      </c>
      <c r="BB68" s="118">
        <v>0.530413508281668</v>
      </c>
      <c r="BC68" s="124">
        <v>511.20964899645742</v>
      </c>
      <c r="BD68" s="74" t="s">
        <v>1172</v>
      </c>
      <c r="BE68" s="88" t="str">
        <f>IFERROR(_xlfn.XLOOKUP([2]!BaseMaestraCeDi[[#This Row],[CeDi]], '[2]Potencial Hor x CeDi'!$B$6:$BU$6, '[2]Potencial Hor x CeDi'!$B$21:$BU$21) / 1000, "")</f>
        <v/>
      </c>
      <c r="BF68" s="89" t="str">
        <f>IFERROR(_xlfn.XLOOKUP([2]!BaseMaestraCeDi[[#This Row],[CeDi]], '[2]Potencial Hor x CeDi'!$B$6:$BU$6, '[2]Potencial Hor x CeDi'!$B$22:$BU$22) / 1000, "")</f>
        <v/>
      </c>
      <c r="BG68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68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68" s="78">
        <f>IFERROR(INDEX('[2]Potencial Hor SocioDem x CeDi'!$C$2:$AF$81, MATCH($C68,'[2]Potencial Hor SocioDem x CeDi'!$B$2:$B$81,0), MATCH(BI$4,'[2]Potencial Hor SocioDem x CeDi'!$C$1:$AF$1,0)), "")</f>
        <v>16205</v>
      </c>
      <c r="BJ68" s="78">
        <f>IFERROR(INDEX('[2]Potencial Hor SocioDem x CeDi'!$C$2:$AF$81, MATCH($C68,'[2]Potencial Hor SocioDem x CeDi'!$B$2:$B$81,0), MATCH(BJ$4,'[2]Potencial Hor SocioDem x CeDi'!$C$1:$AF$1,0)), "")</f>
        <v>1066675</v>
      </c>
      <c r="BK68" s="78">
        <f>IFERROR(INDEX('[2]Potencial Hor SocioDem x CeDi'!$C$2:$AF$81, MATCH($C68,'[2]Potencial Hor SocioDem x CeDi'!$B$2:$B$81,0), MATCH(BK$4,'[2]Potencial Hor SocioDem x CeDi'!$C$1:$AF$1,0)), "")</f>
        <v>301795</v>
      </c>
      <c r="BL68" s="79">
        <f>IFERROR(INDEX('[2]Potencial Hor SocioDem x CeDi'!$C$2:$AF$81, MATCH($C68,'[2]Potencial Hor SocioDem x CeDi'!$B$2:$B$81,0), MATCH(BL$4,'[2]Potencial Hor SocioDem x CeDi'!$C$1:$AF$1,0)), "")</f>
        <v>3.5344356268327841</v>
      </c>
      <c r="BM68" s="79">
        <f>IFERROR(INDEX('[2]Potencial Hor SocioDem x CeDi'!$C$2:$AF$81, MATCH($C68,'[2]Potencial Hor SocioDem x CeDi'!$B$2:$B$81,0), MATCH(BM$4,'[2]Potencial Hor SocioDem x CeDi'!$C$1:$AF$1,0)), "")</f>
        <v>18.623572971305151</v>
      </c>
      <c r="BN68" s="78">
        <f>IFERROR(INDEX('[2]Potencial Hor SocioDem x CeDi'!$C$2:$AF$81, MATCH($C68,'[2]Potencial Hor SocioDem x CeDi'!$B$2:$B$81,0), MATCH(BN$4,'[2]Potencial Hor SocioDem x CeDi'!$C$1:$AF$1,0)), "")</f>
        <v>24321</v>
      </c>
      <c r="BO68" s="78">
        <f>IFERROR(INDEX('[2]Potencial Hor SocioDem x CeDi'!$C$2:$AF$81, MATCH($C68,'[2]Potencial Hor SocioDem x CeDi'!$B$2:$B$81,0), MATCH(BO$4,'[2]Potencial Hor SocioDem x CeDi'!$C$1:$AF$1,0)), "")</f>
        <v>111808</v>
      </c>
      <c r="BP68" s="78">
        <f>IFERROR(INDEX('[2]Potencial Hor SocioDem x CeDi'!$C$2:$AF$81, MATCH($C68,'[2]Potencial Hor SocioDem x CeDi'!$B$2:$B$81,0), MATCH(BP$4,'[2]Potencial Hor SocioDem x CeDi'!$C$1:$AF$1,0)), "")</f>
        <v>136129</v>
      </c>
      <c r="BQ68" s="80">
        <f>IFERROR(INDEX('[2]Potencial Hor SocioDem x CeDi'!$C$2:$AF$81, MATCH($C68,'[2]Potencial Hor SocioDem x CeDi'!$B$2:$B$81,0), MATCH(BQ$4,'[2]Potencial Hor SocioDem x CeDi'!$C$1:$AF$1,0)), "")</f>
        <v>0.45106446428867281</v>
      </c>
      <c r="BR68" s="80">
        <f>IFERROR(INDEX('[2]Potencial Hor SocioDem x CeDi'!$C$2:$AF$81, MATCH($C68,'[2]Potencial Hor SocioDem x CeDi'!$B$2:$B$81,0), MATCH(BR$4,'[2]Potencial Hor SocioDem x CeDi'!$C$1:$AF$1,0)), "")</f>
        <v>8.0587816232873311E-2</v>
      </c>
      <c r="BS68" s="80">
        <f>IFERROR(INDEX('[2]Potencial Hor SocioDem x CeDi'!$C$2:$AF$81, MATCH($C68,'[2]Potencial Hor SocioDem x CeDi'!$B$2:$B$81,0), MATCH(BS$4,'[2]Potencial Hor SocioDem x CeDi'!$C$1:$AF$1,0)), "")</f>
        <v>0.37047664805579938</v>
      </c>
      <c r="BT68" s="80">
        <f>IFERROR(INDEX('[2]Potencial Hor SocioDem x CeDi'!$C$2:$AF$81, MATCH($C68,'[2]Potencial Hor SocioDem x CeDi'!$B$2:$B$81,0), MATCH(BT$4,'[2]Potencial Hor SocioDem x CeDi'!$C$1:$AF$1,0)), "")</f>
        <v>0.14320979472820949</v>
      </c>
      <c r="BU68" s="80">
        <f>IFERROR(INDEX('[2]Potencial Hor SocioDem x CeDi'!$C$2:$AF$81, MATCH($C68,'[2]Potencial Hor SocioDem x CeDi'!$B$2:$B$81,0), MATCH(BU$4,'[2]Potencial Hor SocioDem x CeDi'!$C$1:$AF$1,0)), "")</f>
        <v>6.6223761162378436E-2</v>
      </c>
      <c r="BV68" s="80">
        <f>IFERROR(INDEX('[2]Potencial Hor SocioDem x CeDi'!$C$2:$AF$81, MATCH($C68,'[2]Potencial Hor SocioDem x CeDi'!$B$2:$B$81,0), MATCH(BV$4,'[2]Potencial Hor SocioDem x CeDi'!$C$1:$AF$1,0)), "")</f>
        <v>2.4354280223330411E-3</v>
      </c>
      <c r="BW68" s="80">
        <f>IFERROR(INDEX('[2]Potencial Hor SocioDem x CeDi'!$C$2:$AF$81, MATCH($C68,'[2]Potencial Hor SocioDem x CeDi'!$B$2:$B$81,0), MATCH(BW$4,'[2]Potencial Hor SocioDem x CeDi'!$C$1:$AF$1,0)), "")</f>
        <v>0.3368511738100366</v>
      </c>
      <c r="BX68" s="80">
        <f>IFERROR(INDEX('[2]Potencial Hor SocioDem x CeDi'!$C$2:$AF$81, MATCH($C68,'[2]Potencial Hor SocioDem x CeDi'!$B$2:$B$81,0), MATCH(BX$4,'[2]Potencial Hor SocioDem x CeDi'!$C$1:$AF$1,0)), "")</f>
        <v>1.4910783810202289E-4</v>
      </c>
      <c r="BY68" s="80">
        <f>IFERROR(INDEX('[2]Potencial Hor SocioDem x CeDi'!$C$2:$AF$81, MATCH($C68,'[2]Potencial Hor SocioDem x CeDi'!$B$2:$B$81,0), MATCH(BY$4,'[2]Potencial Hor SocioDem x CeDi'!$C$1:$AF$1,0)), "")</f>
        <v>6.6270150267565725E-5</v>
      </c>
      <c r="BZ68" s="79">
        <f>IFERROR(INDEX('[2]Potencial Hor SocioDem x CeDi'!$C$2:$AF$81, MATCH($C68,'[2]Potencial Hor SocioDem x CeDi'!$B$2:$B$81,0), MATCH(BZ$4,'[2]Potencial Hor SocioDem x CeDi'!$C$1:$AF$1,0)), "")</f>
        <v>4.7380879836876284</v>
      </c>
      <c r="CA68" s="79">
        <f>IFERROR(INDEX('[2]Potencial Hor SocioDem x CeDi'!$C$2:$AF$81, MATCH($C68,'[2]Potencial Hor SocioDem x CeDi'!$B$2:$B$81,0), MATCH(CA$4,'[2]Potencial Hor SocioDem x CeDi'!$C$1:$AF$1,0)), "")</f>
        <v>0.33655987062601073</v>
      </c>
      <c r="CB68" s="81">
        <f>IFERROR(INDEX('[2]Potencial Hor SocioDem x CeDi'!$C$2:$AF$81, MATCH($C68,'[2]Potencial Hor SocioDem x CeDi'!$B$2:$B$81,0), MATCH(CB$4,'[2]Potencial Hor SocioDem x CeDi'!$C$1:$AF$1,0)), "")</f>
        <v>17223</v>
      </c>
      <c r="CC68" s="82">
        <f>IFERROR(INDEX('[2]Potencial Hor SocioDem x CeDi'!$C$2:$AF$81, MATCH($C68,'[2]Potencial Hor SocioDem x CeDi'!$B$2:$B$81,0), MATCH(CC$4,'[2]Potencial Hor SocioDem x CeDi'!$C$1:$AF$1,0)), "")</f>
        <v>10874</v>
      </c>
      <c r="CD68" s="83">
        <f>IFERROR(INDEX('[2]Potencial Hor SocioDem x CeDi'!$C$2:$AF$81, MATCH($C68,'[2]Potencial Hor SocioDem x CeDi'!$B$2:$B$81,0), MATCH(CD$4,'[2]Potencial Hor SocioDem x CeDi'!$C$1:$AF$1,0)), "")</f>
        <v>7.9880113715666751E-2</v>
      </c>
      <c r="CE68" s="78" t="str">
        <f>IFERROR(_xlfn.XLOOKUP([2]!BaseMaestraCeDi[[#This Row],[CeDi]], '[2]Potencial Hor x CeDi'!$B$6:$BU$6, '[2]Potencial Hor x CeDi'!$B$50:$BU$50), "")</f>
        <v/>
      </c>
      <c r="CF68" s="90" t="str">
        <f>IFERROR(_xlfn.XLOOKUP([2]!BaseMaestraCeDi[[#This Row],[CeDi]], '[2]Potencial Hor x CeDi'!$B$6:$BU$6, '[2]Potencial Hor x CeDi'!$B$34:$BU$34), "")</f>
        <v/>
      </c>
      <c r="CG68" s="90" t="str">
        <f>IFERROR(_xlfn.XLOOKUP([2]!BaseMaestraCeDi[[#This Row],[CeDi]], '[2]Potencial Hor x CeDi'!$B$6:$BU$6, '[2]Potencial Hor x CeDi'!$B$64:$BU$64), "")</f>
        <v/>
      </c>
      <c r="CH68" s="91" t="str">
        <f>IFERROR(_xlfn.XLOOKUP([2]!BaseMaestraCeDi[[#This Row],[CeDi]], '[2]Potencial Hor x CeDi'!$B$6:$BU$6, '[2]Potencial Hor x CeDi'!$B$38:$BU$38), "")</f>
        <v/>
      </c>
      <c r="CI68" s="90" t="str">
        <f>IFERROR(_xlfn.XLOOKUP([2]!BaseMaestraCeDi[[#This Row],[CeDi]], '[2]Potencial Hor x CeDi'!$B$6:$BU$6, '[2]Potencial Hor x CeDi'!$B$26:$BU$26), "")</f>
        <v/>
      </c>
      <c r="CJ68" s="92" t="str">
        <f>IFERROR(_xlfn.XLOOKUP([2]!BaseMaestraCeDi[[#This Row],[CeDi]], '[2]Potencial Hor x CeDi'!$B$6:$BU$6, '[2]Potencial Hor x CeDi'!$B$27:$BU$27), "")</f>
        <v/>
      </c>
      <c r="CK68" s="90" t="str">
        <f>IFERROR(_xlfn.XLOOKUP([2]!BaseMaestraCeDi[[#This Row],[CeDi]], '[2]Potencial Hor x CeDi'!$B$6:$BU$6, '[2]Potencial Hor x CeDi'!$B$28:$BU$28), "")</f>
        <v/>
      </c>
      <c r="CL68" s="92" t="str">
        <f>IFERROR(_xlfn.XLOOKUP([2]!BaseMaestraCeDi[[#This Row],[CeDi]], '[2]Potencial Hor x CeDi'!$B$6:$BU$6, '[2]Potencial Hor x CeDi'!$B$29:$BU$29), "")</f>
        <v/>
      </c>
      <c r="CM68" s="93" t="str">
        <f>IFERROR(_xlfn.XLOOKUP([2]!BaseMaestraCeDi[[#This Row],[CeDi]], '[2]Potencial Hor x CeDi'!$B$6:$BU$6, '[2]Potencial Hor x CeDi'!$B$39:$BU$39), "")</f>
        <v/>
      </c>
      <c r="CN68" s="94" t="str">
        <f>IFERROR(_xlfn.XLOOKUP([2]!BaseMaestraCeDi[[#This Row],[CeDi]], '[2]Potencial Hor x CeDi'!$B$6:$BU$6, '[2]Potencial Hor x CeDi'!$B$43:$BU$43), "")</f>
        <v/>
      </c>
      <c r="CO68" s="94" t="str">
        <f>IFERROR(_xlfn.XLOOKUP([2]!BaseMaestraCeDi[[#This Row],[CeDi]], '[2]Potencial Hor x CeDi'!$B$6:$BU$6, '[2]Potencial Hor x CeDi'!$B$46:$BU$46), "")</f>
        <v/>
      </c>
      <c r="CP68" s="86" t="str">
        <f>IFERROR(_xlfn.XLOOKUP([2]!BaseMaestraCeDi[[#This Row],[CeDi]], '[2]Potencial Hor x CeDi'!$B$6:$BU$6, '[2]Potencial Hor x CeDi'!$B$51:$BU$51), "")</f>
        <v/>
      </c>
      <c r="CQ68" s="82" t="str">
        <f>IFERROR(_xlfn.XLOOKUP([2]!BaseMaestraCeDi[[#This Row],[CeDi]], '[2]Potencial Hor x CeDi'!$B$6:$BU$6, '[2]Potencial Hor x CeDi'!$B$52:$BU$52), "")</f>
        <v/>
      </c>
      <c r="CR68" s="82" t="str">
        <f>IFERROR(_xlfn.XLOOKUP([2]!BaseMaestraCeDi[[#This Row],[CeDi]], '[2]Potencial Hor x CeDi'!$B$6:$BU$6, '[2]Potencial Hor x CeDi'!$B$53:$BU$53), "")</f>
        <v/>
      </c>
      <c r="CS68" s="87" t="str">
        <f>IFERROR(_xlfn.XLOOKUP([2]!BaseMaestraCeDi[[#This Row],[CeDi]], '[2]Potencial Hor x CeDi'!$B$6:$BU$6, '[2]Potencial Hor x CeDi'!$B$60:$BU$60), "")</f>
        <v/>
      </c>
      <c r="CT68" s="90" t="str">
        <f>IFERROR(_xlfn.XLOOKUP([2]!BaseMaestraCeDi[[#This Row],[CeDi]], '[2]Potencial Hor x CeDi'!$B$6:$BU$6, '[2]Potencial Hor x CeDi'!$B$65:$BU$65), "")</f>
        <v/>
      </c>
      <c r="CU68" s="90" t="str">
        <f>IFERROR(_xlfn.XLOOKUP([2]!BaseMaestraCeDi[[#This Row],[CeDi]], '[2]Potencial Hor x CeDi'!$B$6:$BU$6, '[2]Potencial Hor x CeDi'!$B$68:$BU$68), "")</f>
        <v/>
      </c>
      <c r="CV68" s="95" t="str">
        <f>IFERROR(_xlfn.XLOOKUP([2]!BaseMaestraCeDi[[#This Row],[CeDi]], '[2]Potencial Hor x CeDi'!$B$6:$BU$6, '[2]Potencial Hor x CeDi'!$B$71:$BU$71), "")</f>
        <v/>
      </c>
    </row>
    <row r="69" spans="1:100">
      <c r="A69" s="100" t="s">
        <v>95</v>
      </c>
      <c r="B69" s="100" t="s">
        <v>982</v>
      </c>
      <c r="C69" s="100" t="s">
        <v>983</v>
      </c>
      <c r="D69" s="101">
        <v>6</v>
      </c>
      <c r="E69" s="102">
        <v>0</v>
      </c>
      <c r="F69" s="103">
        <v>63.802829418000044</v>
      </c>
      <c r="G69" s="103">
        <v>63.802829418000044</v>
      </c>
      <c r="H69" s="104">
        <v>947.06873549320039</v>
      </c>
      <c r="I69" s="105">
        <v>6676.7025037403037</v>
      </c>
      <c r="J69" s="105">
        <v>1088.2761407721687</v>
      </c>
      <c r="K69" s="105">
        <v>8712.0473800056734</v>
      </c>
      <c r="L69" s="104">
        <v>7486.5379200000043</v>
      </c>
      <c r="M69" s="106">
        <v>1.1636950848444603</v>
      </c>
      <c r="N69" s="107" t="s">
        <v>160</v>
      </c>
      <c r="O69" s="102">
        <v>44.127130359480695</v>
      </c>
      <c r="P69" s="103">
        <v>1</v>
      </c>
      <c r="Q69" s="103">
        <v>1</v>
      </c>
      <c r="R69" s="108">
        <v>8</v>
      </c>
      <c r="S69" s="107">
        <v>76</v>
      </c>
      <c r="T69" s="125">
        <v>0.77302830661060906</v>
      </c>
      <c r="U69" s="106">
        <v>0.22697169338939094</v>
      </c>
      <c r="V69" s="106">
        <v>1.0448501946033487E-5</v>
      </c>
      <c r="W69" s="106">
        <v>0.99998955149805402</v>
      </c>
      <c r="X69" s="106">
        <v>0</v>
      </c>
      <c r="Y69" s="104">
        <v>7.8223106026173536E-2</v>
      </c>
      <c r="Z69" s="105">
        <v>7486.4596968939786</v>
      </c>
      <c r="AA69" s="105">
        <v>0</v>
      </c>
      <c r="AB69" s="105">
        <v>76180.132653061228</v>
      </c>
      <c r="AC69" s="101">
        <v>7</v>
      </c>
      <c r="AD69" s="109">
        <v>4</v>
      </c>
      <c r="AE69" s="101">
        <v>115304</v>
      </c>
      <c r="AF69" s="109">
        <v>37022</v>
      </c>
      <c r="AG69" s="110">
        <v>0.32108166238812186</v>
      </c>
      <c r="AH69" s="106">
        <v>0.41317694766155438</v>
      </c>
      <c r="AI69" s="101">
        <v>12139.156449921986</v>
      </c>
      <c r="AJ69" s="109">
        <v>6069.5782249609929</v>
      </c>
      <c r="AK69" s="106">
        <v>0.37372145133699602</v>
      </c>
      <c r="AL69" s="104">
        <v>10631893.659999998</v>
      </c>
      <c r="AM69" s="105">
        <v>1939276.2630797671</v>
      </c>
      <c r="AN69" s="106">
        <v>0.18240177386045897</v>
      </c>
      <c r="AO69" s="104">
        <v>1362734.6713533499</v>
      </c>
      <c r="AP69" s="106">
        <v>6.1992089791353261E-3</v>
      </c>
      <c r="AQ69" s="109">
        <v>27</v>
      </c>
      <c r="AR69" s="101">
        <v>5</v>
      </c>
      <c r="AS69" s="105">
        <v>827900.40107294871</v>
      </c>
      <c r="AT69" s="104">
        <v>2190635.0724262986</v>
      </c>
      <c r="AU69" s="101">
        <v>7</v>
      </c>
      <c r="AV69" s="109">
        <v>1</v>
      </c>
      <c r="AW69" s="109">
        <v>0</v>
      </c>
      <c r="AX69" s="109">
        <v>5</v>
      </c>
      <c r="AY69" s="110">
        <v>0.14285714285714285</v>
      </c>
      <c r="AZ69" s="109">
        <v>8353.2388698150007</v>
      </c>
      <c r="BA69" s="102">
        <v>44.127130359480709</v>
      </c>
      <c r="BB69" s="106">
        <v>0.32530599210520483</v>
      </c>
      <c r="BC69" s="111">
        <v>34.414085668540132</v>
      </c>
      <c r="BD69" s="74" t="s">
        <v>1173</v>
      </c>
      <c r="BE69" s="88" t="str">
        <f>IFERROR(_xlfn.XLOOKUP([2]!BaseMaestraCeDi[[#This Row],[CeDi]], '[2]Potencial Hor x CeDi'!$B$6:$BU$6, '[2]Potencial Hor x CeDi'!$B$21:$BU$21) / 1000, "")</f>
        <v/>
      </c>
      <c r="BF69" s="89" t="str">
        <f>IFERROR(_xlfn.XLOOKUP([2]!BaseMaestraCeDi[[#This Row],[CeDi]], '[2]Potencial Hor x CeDi'!$B$6:$BU$6, '[2]Potencial Hor x CeDi'!$B$22:$BU$22) / 1000, "")</f>
        <v/>
      </c>
      <c r="BG69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69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69" s="78">
        <f>IFERROR(INDEX('[2]Potencial Hor SocioDem x CeDi'!$C$2:$AF$81, MATCH($C69,'[2]Potencial Hor SocioDem x CeDi'!$B$2:$B$81,0), MATCH(BI$4,'[2]Potencial Hor SocioDem x CeDi'!$C$1:$AF$1,0)), "")</f>
        <v>13652</v>
      </c>
      <c r="BJ69" s="78">
        <f>IFERROR(INDEX('[2]Potencial Hor SocioDem x CeDi'!$C$2:$AF$81, MATCH($C69,'[2]Potencial Hor SocioDem x CeDi'!$B$2:$B$81,0), MATCH(BJ$4,'[2]Potencial Hor SocioDem x CeDi'!$C$1:$AF$1,0)), "")</f>
        <v>810579</v>
      </c>
      <c r="BK69" s="78">
        <f>IFERROR(INDEX('[2]Potencial Hor SocioDem x CeDi'!$C$2:$AF$81, MATCH($C69,'[2]Potencial Hor SocioDem x CeDi'!$B$2:$B$81,0), MATCH(BK$4,'[2]Potencial Hor SocioDem x CeDi'!$C$1:$AF$1,0)), "")</f>
        <v>232320</v>
      </c>
      <c r="BL69" s="79">
        <f>IFERROR(INDEX('[2]Potencial Hor SocioDem x CeDi'!$C$2:$AF$81, MATCH($C69,'[2]Potencial Hor SocioDem x CeDi'!$B$2:$B$81,0), MATCH(BL$4,'[2]Potencial Hor SocioDem x CeDi'!$C$1:$AF$1,0)), "")</f>
        <v>3.4890625000000002</v>
      </c>
      <c r="BM69" s="79">
        <f>IFERROR(INDEX('[2]Potencial Hor SocioDem x CeDi'!$C$2:$AF$81, MATCH($C69,'[2]Potencial Hor SocioDem x CeDi'!$B$2:$B$81,0), MATCH(BM$4,'[2]Potencial Hor SocioDem x CeDi'!$C$1:$AF$1,0)), "")</f>
        <v>17.0172868444184</v>
      </c>
      <c r="BN69" s="78">
        <f>IFERROR(INDEX('[2]Potencial Hor SocioDem x CeDi'!$C$2:$AF$81, MATCH($C69,'[2]Potencial Hor SocioDem x CeDi'!$B$2:$B$81,0), MATCH(BN$4,'[2]Potencial Hor SocioDem x CeDi'!$C$1:$AF$1,0)), "")</f>
        <v>10342</v>
      </c>
      <c r="BO69" s="78">
        <f>IFERROR(INDEX('[2]Potencial Hor SocioDem x CeDi'!$C$2:$AF$81, MATCH($C69,'[2]Potencial Hor SocioDem x CeDi'!$B$2:$B$81,0), MATCH(BO$4,'[2]Potencial Hor SocioDem x CeDi'!$C$1:$AF$1,0)), "")</f>
        <v>82021</v>
      </c>
      <c r="BP69" s="78">
        <f>IFERROR(INDEX('[2]Potencial Hor SocioDem x CeDi'!$C$2:$AF$81, MATCH($C69,'[2]Potencial Hor SocioDem x CeDi'!$B$2:$B$81,0), MATCH(BP$4,'[2]Potencial Hor SocioDem x CeDi'!$C$1:$AF$1,0)), "")</f>
        <v>92363</v>
      </c>
      <c r="BQ69" s="80">
        <f>IFERROR(INDEX('[2]Potencial Hor SocioDem x CeDi'!$C$2:$AF$81, MATCH($C69,'[2]Potencial Hor SocioDem x CeDi'!$B$2:$B$81,0), MATCH(BQ$4,'[2]Potencial Hor SocioDem x CeDi'!$C$1:$AF$1,0)), "")</f>
        <v>0.39756800964187328</v>
      </c>
      <c r="BR69" s="80">
        <f>IFERROR(INDEX('[2]Potencial Hor SocioDem x CeDi'!$C$2:$AF$81, MATCH($C69,'[2]Potencial Hor SocioDem x CeDi'!$B$2:$B$81,0), MATCH(BR$4,'[2]Potencial Hor SocioDem x CeDi'!$C$1:$AF$1,0)), "")</f>
        <v>4.4516184573002757E-2</v>
      </c>
      <c r="BS69" s="80">
        <f>IFERROR(INDEX('[2]Potencial Hor SocioDem x CeDi'!$C$2:$AF$81, MATCH($C69,'[2]Potencial Hor SocioDem x CeDi'!$B$2:$B$81,0), MATCH(BS$4,'[2]Potencial Hor SocioDem x CeDi'!$C$1:$AF$1,0)), "")</f>
        <v>0.35305182506887051</v>
      </c>
      <c r="BT69" s="80">
        <f>IFERROR(INDEX('[2]Potencial Hor SocioDem x CeDi'!$C$2:$AF$81, MATCH($C69,'[2]Potencial Hor SocioDem x CeDi'!$B$2:$B$81,0), MATCH(BT$4,'[2]Potencial Hor SocioDem x CeDi'!$C$1:$AF$1,0)), "")</f>
        <v>0.23040203168044079</v>
      </c>
      <c r="BU69" s="80">
        <f>IFERROR(INDEX('[2]Potencial Hor SocioDem x CeDi'!$C$2:$AF$81, MATCH($C69,'[2]Potencial Hor SocioDem x CeDi'!$B$2:$B$81,0), MATCH(BU$4,'[2]Potencial Hor SocioDem x CeDi'!$C$1:$AF$1,0)), "")</f>
        <v>7.879218319559228E-2</v>
      </c>
      <c r="BV69" s="80">
        <f>IFERROR(INDEX('[2]Potencial Hor SocioDem x CeDi'!$C$2:$AF$81, MATCH($C69,'[2]Potencial Hor SocioDem x CeDi'!$B$2:$B$81,0), MATCH(BV$4,'[2]Potencial Hor SocioDem x CeDi'!$C$1:$AF$1,0)), "")</f>
        <v>1.2814221763085399E-2</v>
      </c>
      <c r="BW69" s="80">
        <f>IFERROR(INDEX('[2]Potencial Hor SocioDem x CeDi'!$C$2:$AF$81, MATCH($C69,'[2]Potencial Hor SocioDem x CeDi'!$B$2:$B$81,0), MATCH(BW$4,'[2]Potencial Hor SocioDem x CeDi'!$C$1:$AF$1,0)), "")</f>
        <v>0.2799586776859504</v>
      </c>
      <c r="BX69" s="80">
        <f>IFERROR(INDEX('[2]Potencial Hor SocioDem x CeDi'!$C$2:$AF$81, MATCH($C69,'[2]Potencial Hor SocioDem x CeDi'!$B$2:$B$81,0), MATCH(BX$4,'[2]Potencial Hor SocioDem x CeDi'!$C$1:$AF$1,0)), "")</f>
        <v>3.6587465564738288E-4</v>
      </c>
      <c r="BY69" s="80">
        <f>IFERROR(INDEX('[2]Potencial Hor SocioDem x CeDi'!$C$2:$AF$81, MATCH($C69,'[2]Potencial Hor SocioDem x CeDi'!$B$2:$B$81,0), MATCH(BY$4,'[2]Potencial Hor SocioDem x CeDi'!$C$1:$AF$1,0)), "")</f>
        <v>9.9001377410468325E-5</v>
      </c>
      <c r="BZ69" s="79">
        <f>IFERROR(INDEX('[2]Potencial Hor SocioDem x CeDi'!$C$2:$AF$81, MATCH($C69,'[2]Potencial Hor SocioDem x CeDi'!$B$2:$B$81,0), MATCH(BZ$4,'[2]Potencial Hor SocioDem x CeDi'!$C$1:$AF$1,0)), "")</f>
        <v>4.5893120843249076</v>
      </c>
      <c r="CA69" s="79">
        <f>IFERROR(INDEX('[2]Potencial Hor SocioDem x CeDi'!$C$2:$AF$81, MATCH($C69,'[2]Potencial Hor SocioDem x CeDi'!$B$2:$B$81,0), MATCH(CA$4,'[2]Potencial Hor SocioDem x CeDi'!$C$1:$AF$1,0)), "")</f>
        <v>0.39848059226799609</v>
      </c>
      <c r="CB69" s="81">
        <f>IFERROR(INDEX('[2]Potencial Hor SocioDem x CeDi'!$C$2:$AF$81, MATCH($C69,'[2]Potencial Hor SocioDem x CeDi'!$B$2:$B$81,0), MATCH(CB$4,'[2]Potencial Hor SocioDem x CeDi'!$C$1:$AF$1,0)), "")</f>
        <v>2029</v>
      </c>
      <c r="CC69" s="82">
        <f>IFERROR(INDEX('[2]Potencial Hor SocioDem x CeDi'!$C$2:$AF$81, MATCH($C69,'[2]Potencial Hor SocioDem x CeDi'!$B$2:$B$81,0), MATCH(CC$4,'[2]Potencial Hor SocioDem x CeDi'!$C$1:$AF$1,0)), "")</f>
        <v>1133</v>
      </c>
      <c r="CD69" s="83">
        <f>IFERROR(INDEX('[2]Potencial Hor SocioDem x CeDi'!$C$2:$AF$81, MATCH($C69,'[2]Potencial Hor SocioDem x CeDi'!$B$2:$B$81,0), MATCH(CD$4,'[2]Potencial Hor SocioDem x CeDi'!$C$1:$AF$1,0)), "")</f>
        <v>1.226681679893464E-2</v>
      </c>
      <c r="CE69" s="78" t="str">
        <f>IFERROR(_xlfn.XLOOKUP([2]!BaseMaestraCeDi[[#This Row],[CeDi]], '[2]Potencial Hor x CeDi'!$B$6:$BU$6, '[2]Potencial Hor x CeDi'!$B$50:$BU$50), "")</f>
        <v/>
      </c>
      <c r="CF69" s="90" t="str">
        <f>IFERROR(_xlfn.XLOOKUP([2]!BaseMaestraCeDi[[#This Row],[CeDi]], '[2]Potencial Hor x CeDi'!$B$6:$BU$6, '[2]Potencial Hor x CeDi'!$B$34:$BU$34), "")</f>
        <v/>
      </c>
      <c r="CG69" s="90" t="str">
        <f>IFERROR(_xlfn.XLOOKUP([2]!BaseMaestraCeDi[[#This Row],[CeDi]], '[2]Potencial Hor x CeDi'!$B$6:$BU$6, '[2]Potencial Hor x CeDi'!$B$64:$BU$64), "")</f>
        <v/>
      </c>
      <c r="CH69" s="91" t="str">
        <f>IFERROR(_xlfn.XLOOKUP([2]!BaseMaestraCeDi[[#This Row],[CeDi]], '[2]Potencial Hor x CeDi'!$B$6:$BU$6, '[2]Potencial Hor x CeDi'!$B$38:$BU$38), "")</f>
        <v/>
      </c>
      <c r="CI69" s="90" t="str">
        <f>IFERROR(_xlfn.XLOOKUP([2]!BaseMaestraCeDi[[#This Row],[CeDi]], '[2]Potencial Hor x CeDi'!$B$6:$BU$6, '[2]Potencial Hor x CeDi'!$B$26:$BU$26), "")</f>
        <v/>
      </c>
      <c r="CJ69" s="92" t="str">
        <f>IFERROR(_xlfn.XLOOKUP([2]!BaseMaestraCeDi[[#This Row],[CeDi]], '[2]Potencial Hor x CeDi'!$B$6:$BU$6, '[2]Potencial Hor x CeDi'!$B$27:$BU$27), "")</f>
        <v/>
      </c>
      <c r="CK69" s="90" t="str">
        <f>IFERROR(_xlfn.XLOOKUP([2]!BaseMaestraCeDi[[#This Row],[CeDi]], '[2]Potencial Hor x CeDi'!$B$6:$BU$6, '[2]Potencial Hor x CeDi'!$B$28:$BU$28), "")</f>
        <v/>
      </c>
      <c r="CL69" s="92" t="str">
        <f>IFERROR(_xlfn.XLOOKUP([2]!BaseMaestraCeDi[[#This Row],[CeDi]], '[2]Potencial Hor x CeDi'!$B$6:$BU$6, '[2]Potencial Hor x CeDi'!$B$29:$BU$29), "")</f>
        <v/>
      </c>
      <c r="CM69" s="93" t="str">
        <f>IFERROR(_xlfn.XLOOKUP([2]!BaseMaestraCeDi[[#This Row],[CeDi]], '[2]Potencial Hor x CeDi'!$B$6:$BU$6, '[2]Potencial Hor x CeDi'!$B$39:$BU$39), "")</f>
        <v/>
      </c>
      <c r="CN69" s="94" t="str">
        <f>IFERROR(_xlfn.XLOOKUP([2]!BaseMaestraCeDi[[#This Row],[CeDi]], '[2]Potencial Hor x CeDi'!$B$6:$BU$6, '[2]Potencial Hor x CeDi'!$B$43:$BU$43), "")</f>
        <v/>
      </c>
      <c r="CO69" s="94" t="str">
        <f>IFERROR(_xlfn.XLOOKUP([2]!BaseMaestraCeDi[[#This Row],[CeDi]], '[2]Potencial Hor x CeDi'!$B$6:$BU$6, '[2]Potencial Hor x CeDi'!$B$46:$BU$46), "")</f>
        <v/>
      </c>
      <c r="CP69" s="86" t="str">
        <f>IFERROR(_xlfn.XLOOKUP([2]!BaseMaestraCeDi[[#This Row],[CeDi]], '[2]Potencial Hor x CeDi'!$B$6:$BU$6, '[2]Potencial Hor x CeDi'!$B$51:$BU$51), "")</f>
        <v/>
      </c>
      <c r="CQ69" s="82" t="str">
        <f>IFERROR(_xlfn.XLOOKUP([2]!BaseMaestraCeDi[[#This Row],[CeDi]], '[2]Potencial Hor x CeDi'!$B$6:$BU$6, '[2]Potencial Hor x CeDi'!$B$52:$BU$52), "")</f>
        <v/>
      </c>
      <c r="CR69" s="82" t="str">
        <f>IFERROR(_xlfn.XLOOKUP([2]!BaseMaestraCeDi[[#This Row],[CeDi]], '[2]Potencial Hor x CeDi'!$B$6:$BU$6, '[2]Potencial Hor x CeDi'!$B$53:$BU$53), "")</f>
        <v/>
      </c>
      <c r="CS69" s="87" t="str">
        <f>IFERROR(_xlfn.XLOOKUP([2]!BaseMaestraCeDi[[#This Row],[CeDi]], '[2]Potencial Hor x CeDi'!$B$6:$BU$6, '[2]Potencial Hor x CeDi'!$B$60:$BU$60), "")</f>
        <v/>
      </c>
      <c r="CT69" s="90" t="str">
        <f>IFERROR(_xlfn.XLOOKUP([2]!BaseMaestraCeDi[[#This Row],[CeDi]], '[2]Potencial Hor x CeDi'!$B$6:$BU$6, '[2]Potencial Hor x CeDi'!$B$65:$BU$65), "")</f>
        <v/>
      </c>
      <c r="CU69" s="90" t="str">
        <f>IFERROR(_xlfn.XLOOKUP([2]!BaseMaestraCeDi[[#This Row],[CeDi]], '[2]Potencial Hor x CeDi'!$B$6:$BU$6, '[2]Potencial Hor x CeDi'!$B$68:$BU$68), "")</f>
        <v/>
      </c>
      <c r="CV69" s="95" t="str">
        <f>IFERROR(_xlfn.XLOOKUP([2]!BaseMaestraCeDi[[#This Row],[CeDi]], '[2]Potencial Hor x CeDi'!$B$6:$BU$6, '[2]Potencial Hor x CeDi'!$B$71:$BU$71), "")</f>
        <v/>
      </c>
    </row>
    <row r="70" spans="1:100">
      <c r="A70" s="112" t="s">
        <v>95</v>
      </c>
      <c r="B70" s="112" t="s">
        <v>320</v>
      </c>
      <c r="C70" s="112" t="s">
        <v>991</v>
      </c>
      <c r="D70" s="113" t="s">
        <v>194</v>
      </c>
      <c r="E70" s="114" t="s">
        <v>194</v>
      </c>
      <c r="F70" s="115" t="s">
        <v>194</v>
      </c>
      <c r="G70" s="115" t="s">
        <v>194</v>
      </c>
      <c r="H70" s="116" t="s">
        <v>194</v>
      </c>
      <c r="I70" s="117" t="s">
        <v>194</v>
      </c>
      <c r="J70" s="117" t="s">
        <v>194</v>
      </c>
      <c r="K70" s="117" t="s">
        <v>194</v>
      </c>
      <c r="L70" s="116" t="s">
        <v>194</v>
      </c>
      <c r="M70" s="118" t="s">
        <v>194</v>
      </c>
      <c r="N70" s="119" t="s">
        <v>194</v>
      </c>
      <c r="O70" s="114" t="s">
        <v>194</v>
      </c>
      <c r="P70" s="115" t="s">
        <v>194</v>
      </c>
      <c r="Q70" s="115" t="s">
        <v>194</v>
      </c>
      <c r="R70" s="120" t="s">
        <v>194</v>
      </c>
      <c r="S70" s="119" t="s">
        <v>194</v>
      </c>
      <c r="T70" s="121" t="s">
        <v>194</v>
      </c>
      <c r="U70" s="118" t="s">
        <v>194</v>
      </c>
      <c r="V70" s="118" t="s">
        <v>194</v>
      </c>
      <c r="W70" s="118" t="s">
        <v>194</v>
      </c>
      <c r="X70" s="118" t="s">
        <v>194</v>
      </c>
      <c r="Y70" s="116" t="s">
        <v>194</v>
      </c>
      <c r="Z70" s="117" t="s">
        <v>194</v>
      </c>
      <c r="AA70" s="117" t="s">
        <v>194</v>
      </c>
      <c r="AB70" s="117" t="s">
        <v>194</v>
      </c>
      <c r="AC70" s="113">
        <v>1</v>
      </c>
      <c r="AD70" s="122">
        <v>0</v>
      </c>
      <c r="AE70" s="113">
        <v>0</v>
      </c>
      <c r="AF70" s="122">
        <v>0</v>
      </c>
      <c r="AG70" s="123" t="s">
        <v>194</v>
      </c>
      <c r="AH70" s="118" t="s">
        <v>194</v>
      </c>
      <c r="AI70" s="113">
        <v>0</v>
      </c>
      <c r="AJ70" s="122">
        <v>0</v>
      </c>
      <c r="AK70" s="118" t="s">
        <v>194</v>
      </c>
      <c r="AL70" s="116">
        <v>53506.19</v>
      </c>
      <c r="AM70" s="117">
        <v>0</v>
      </c>
      <c r="AN70" s="118">
        <v>0</v>
      </c>
      <c r="AO70" s="116">
        <v>0</v>
      </c>
      <c r="AP70" s="118">
        <v>0</v>
      </c>
      <c r="AQ70" s="122" t="s">
        <v>194</v>
      </c>
      <c r="AR70" s="113">
        <v>0</v>
      </c>
      <c r="AS70" s="117">
        <v>0</v>
      </c>
      <c r="AT70" s="116">
        <v>0</v>
      </c>
      <c r="AU70" s="113">
        <v>1</v>
      </c>
      <c r="AV70" s="122">
        <v>0</v>
      </c>
      <c r="AW70" s="122">
        <v>0</v>
      </c>
      <c r="AX70" s="122">
        <v>0</v>
      </c>
      <c r="AY70" s="123">
        <v>0</v>
      </c>
      <c r="AZ70" s="122">
        <v>0</v>
      </c>
      <c r="BA70" s="114" t="s">
        <v>194</v>
      </c>
      <c r="BB70" s="118" t="s">
        <v>194</v>
      </c>
      <c r="BC70" s="124" t="s">
        <v>194</v>
      </c>
      <c r="BD70" s="74" t="s">
        <v>1174</v>
      </c>
      <c r="BE70" s="88" t="str">
        <f>IFERROR(_xlfn.XLOOKUP([2]!BaseMaestraCeDi[[#This Row],[CeDi]], '[2]Potencial Hor x CeDi'!$B$6:$BU$6, '[2]Potencial Hor x CeDi'!$B$21:$BU$21) / 1000, "")</f>
        <v/>
      </c>
      <c r="BF70" s="89" t="str">
        <f>IFERROR(_xlfn.XLOOKUP([2]!BaseMaestraCeDi[[#This Row],[CeDi]], '[2]Potencial Hor x CeDi'!$B$6:$BU$6, '[2]Potencial Hor x CeDi'!$B$22:$BU$22) / 1000, "")</f>
        <v/>
      </c>
      <c r="BG70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70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70" s="78" t="str">
        <f>IFERROR(INDEX('[2]Potencial Hor SocioDem x CeDi'!$C$2:$AF$81, MATCH($C70,'[2]Potencial Hor SocioDem x CeDi'!$B$2:$B$81,0), MATCH(BI$4,'[2]Potencial Hor SocioDem x CeDi'!$C$1:$AF$1,0)), "")</f>
        <v/>
      </c>
      <c r="BJ70" s="78" t="str">
        <f>IFERROR(INDEX('[2]Potencial Hor SocioDem x CeDi'!$C$2:$AF$81, MATCH($C70,'[2]Potencial Hor SocioDem x CeDi'!$B$2:$B$81,0), MATCH(BJ$4,'[2]Potencial Hor SocioDem x CeDi'!$C$1:$AF$1,0)), "")</f>
        <v/>
      </c>
      <c r="BK70" s="78" t="str">
        <f>IFERROR(INDEX('[2]Potencial Hor SocioDem x CeDi'!$C$2:$AF$81, MATCH($C70,'[2]Potencial Hor SocioDem x CeDi'!$B$2:$B$81,0), MATCH(BK$4,'[2]Potencial Hor SocioDem x CeDi'!$C$1:$AF$1,0)), "")</f>
        <v/>
      </c>
      <c r="BL70" s="79" t="str">
        <f>IFERROR(INDEX('[2]Potencial Hor SocioDem x CeDi'!$C$2:$AF$81, MATCH($C70,'[2]Potencial Hor SocioDem x CeDi'!$B$2:$B$81,0), MATCH(BL$4,'[2]Potencial Hor SocioDem x CeDi'!$C$1:$AF$1,0)), "")</f>
        <v/>
      </c>
      <c r="BM70" s="79" t="str">
        <f>IFERROR(INDEX('[2]Potencial Hor SocioDem x CeDi'!$C$2:$AF$81, MATCH($C70,'[2]Potencial Hor SocioDem x CeDi'!$B$2:$B$81,0), MATCH(BM$4,'[2]Potencial Hor SocioDem x CeDi'!$C$1:$AF$1,0)), "")</f>
        <v/>
      </c>
      <c r="BN70" s="78" t="str">
        <f>IFERROR(INDEX('[2]Potencial Hor SocioDem x CeDi'!$C$2:$AF$81, MATCH($C70,'[2]Potencial Hor SocioDem x CeDi'!$B$2:$B$81,0), MATCH(BN$4,'[2]Potencial Hor SocioDem x CeDi'!$C$1:$AF$1,0)), "")</f>
        <v/>
      </c>
      <c r="BO70" s="78" t="str">
        <f>IFERROR(INDEX('[2]Potencial Hor SocioDem x CeDi'!$C$2:$AF$81, MATCH($C70,'[2]Potencial Hor SocioDem x CeDi'!$B$2:$B$81,0), MATCH(BO$4,'[2]Potencial Hor SocioDem x CeDi'!$C$1:$AF$1,0)), "")</f>
        <v/>
      </c>
      <c r="BP70" s="78" t="str">
        <f>IFERROR(INDEX('[2]Potencial Hor SocioDem x CeDi'!$C$2:$AF$81, MATCH($C70,'[2]Potencial Hor SocioDem x CeDi'!$B$2:$B$81,0), MATCH(BP$4,'[2]Potencial Hor SocioDem x CeDi'!$C$1:$AF$1,0)), "")</f>
        <v/>
      </c>
      <c r="BQ70" s="80" t="str">
        <f>IFERROR(INDEX('[2]Potencial Hor SocioDem x CeDi'!$C$2:$AF$81, MATCH($C70,'[2]Potencial Hor SocioDem x CeDi'!$B$2:$B$81,0), MATCH(BQ$4,'[2]Potencial Hor SocioDem x CeDi'!$C$1:$AF$1,0)), "")</f>
        <v/>
      </c>
      <c r="BR70" s="80" t="str">
        <f>IFERROR(INDEX('[2]Potencial Hor SocioDem x CeDi'!$C$2:$AF$81, MATCH($C70,'[2]Potencial Hor SocioDem x CeDi'!$B$2:$B$81,0), MATCH(BR$4,'[2]Potencial Hor SocioDem x CeDi'!$C$1:$AF$1,0)), "")</f>
        <v/>
      </c>
      <c r="BS70" s="80" t="str">
        <f>IFERROR(INDEX('[2]Potencial Hor SocioDem x CeDi'!$C$2:$AF$81, MATCH($C70,'[2]Potencial Hor SocioDem x CeDi'!$B$2:$B$81,0), MATCH(BS$4,'[2]Potencial Hor SocioDem x CeDi'!$C$1:$AF$1,0)), "")</f>
        <v/>
      </c>
      <c r="BT70" s="80" t="str">
        <f>IFERROR(INDEX('[2]Potencial Hor SocioDem x CeDi'!$C$2:$AF$81, MATCH($C70,'[2]Potencial Hor SocioDem x CeDi'!$B$2:$B$81,0), MATCH(BT$4,'[2]Potencial Hor SocioDem x CeDi'!$C$1:$AF$1,0)), "")</f>
        <v/>
      </c>
      <c r="BU70" s="80" t="str">
        <f>IFERROR(INDEX('[2]Potencial Hor SocioDem x CeDi'!$C$2:$AF$81, MATCH($C70,'[2]Potencial Hor SocioDem x CeDi'!$B$2:$B$81,0), MATCH(BU$4,'[2]Potencial Hor SocioDem x CeDi'!$C$1:$AF$1,0)), "")</f>
        <v/>
      </c>
      <c r="BV70" s="80" t="str">
        <f>IFERROR(INDEX('[2]Potencial Hor SocioDem x CeDi'!$C$2:$AF$81, MATCH($C70,'[2]Potencial Hor SocioDem x CeDi'!$B$2:$B$81,0), MATCH(BV$4,'[2]Potencial Hor SocioDem x CeDi'!$C$1:$AF$1,0)), "")</f>
        <v/>
      </c>
      <c r="BW70" s="80" t="str">
        <f>IFERROR(INDEX('[2]Potencial Hor SocioDem x CeDi'!$C$2:$AF$81, MATCH($C70,'[2]Potencial Hor SocioDem x CeDi'!$B$2:$B$81,0), MATCH(BW$4,'[2]Potencial Hor SocioDem x CeDi'!$C$1:$AF$1,0)), "")</f>
        <v/>
      </c>
      <c r="BX70" s="80" t="str">
        <f>IFERROR(INDEX('[2]Potencial Hor SocioDem x CeDi'!$C$2:$AF$81, MATCH($C70,'[2]Potencial Hor SocioDem x CeDi'!$B$2:$B$81,0), MATCH(BX$4,'[2]Potencial Hor SocioDem x CeDi'!$C$1:$AF$1,0)), "")</f>
        <v/>
      </c>
      <c r="BY70" s="80" t="str">
        <f>IFERROR(INDEX('[2]Potencial Hor SocioDem x CeDi'!$C$2:$AF$81, MATCH($C70,'[2]Potencial Hor SocioDem x CeDi'!$B$2:$B$81,0), MATCH(BY$4,'[2]Potencial Hor SocioDem x CeDi'!$C$1:$AF$1,0)), "")</f>
        <v/>
      </c>
      <c r="BZ70" s="79" t="str">
        <f>IFERROR(INDEX('[2]Potencial Hor SocioDem x CeDi'!$C$2:$AF$81, MATCH($C70,'[2]Potencial Hor SocioDem x CeDi'!$B$2:$B$81,0), MATCH(BZ$4,'[2]Potencial Hor SocioDem x CeDi'!$C$1:$AF$1,0)), "")</f>
        <v/>
      </c>
      <c r="CA70" s="79" t="str">
        <f>IFERROR(INDEX('[2]Potencial Hor SocioDem x CeDi'!$C$2:$AF$81, MATCH($C70,'[2]Potencial Hor SocioDem x CeDi'!$B$2:$B$81,0), MATCH(CA$4,'[2]Potencial Hor SocioDem x CeDi'!$C$1:$AF$1,0)), "")</f>
        <v/>
      </c>
      <c r="CB70" s="81" t="str">
        <f>IFERROR(INDEX('[2]Potencial Hor SocioDem x CeDi'!$C$2:$AF$81, MATCH($C70,'[2]Potencial Hor SocioDem x CeDi'!$B$2:$B$81,0), MATCH(CB$4,'[2]Potencial Hor SocioDem x CeDi'!$C$1:$AF$1,0)), "")</f>
        <v/>
      </c>
      <c r="CC70" s="82" t="str">
        <f>IFERROR(INDEX('[2]Potencial Hor SocioDem x CeDi'!$C$2:$AF$81, MATCH($C70,'[2]Potencial Hor SocioDem x CeDi'!$B$2:$B$81,0), MATCH(CC$4,'[2]Potencial Hor SocioDem x CeDi'!$C$1:$AF$1,0)), "")</f>
        <v/>
      </c>
      <c r="CD70" s="83" t="str">
        <f>IFERROR(INDEX('[2]Potencial Hor SocioDem x CeDi'!$C$2:$AF$81, MATCH($C70,'[2]Potencial Hor SocioDem x CeDi'!$B$2:$B$81,0), MATCH(CD$4,'[2]Potencial Hor SocioDem x CeDi'!$C$1:$AF$1,0)), "")</f>
        <v/>
      </c>
      <c r="CE70" s="78" t="str">
        <f>IFERROR(_xlfn.XLOOKUP([2]!BaseMaestraCeDi[[#This Row],[CeDi]], '[2]Potencial Hor x CeDi'!$B$6:$BU$6, '[2]Potencial Hor x CeDi'!$B$50:$BU$50), "")</f>
        <v/>
      </c>
      <c r="CF70" s="90" t="str">
        <f>IFERROR(_xlfn.XLOOKUP([2]!BaseMaestraCeDi[[#This Row],[CeDi]], '[2]Potencial Hor x CeDi'!$B$6:$BU$6, '[2]Potencial Hor x CeDi'!$B$34:$BU$34), "")</f>
        <v/>
      </c>
      <c r="CG70" s="90" t="str">
        <f>IFERROR(_xlfn.XLOOKUP([2]!BaseMaestraCeDi[[#This Row],[CeDi]], '[2]Potencial Hor x CeDi'!$B$6:$BU$6, '[2]Potencial Hor x CeDi'!$B$64:$BU$64), "")</f>
        <v/>
      </c>
      <c r="CH70" s="91" t="str">
        <f>IFERROR(_xlfn.XLOOKUP([2]!BaseMaestraCeDi[[#This Row],[CeDi]], '[2]Potencial Hor x CeDi'!$B$6:$BU$6, '[2]Potencial Hor x CeDi'!$B$38:$BU$38), "")</f>
        <v/>
      </c>
      <c r="CI70" s="90" t="str">
        <f>IFERROR(_xlfn.XLOOKUP([2]!BaseMaestraCeDi[[#This Row],[CeDi]], '[2]Potencial Hor x CeDi'!$B$6:$BU$6, '[2]Potencial Hor x CeDi'!$B$26:$BU$26), "")</f>
        <v/>
      </c>
      <c r="CJ70" s="92" t="str">
        <f>IFERROR(_xlfn.XLOOKUP([2]!BaseMaestraCeDi[[#This Row],[CeDi]], '[2]Potencial Hor x CeDi'!$B$6:$BU$6, '[2]Potencial Hor x CeDi'!$B$27:$BU$27), "")</f>
        <v/>
      </c>
      <c r="CK70" s="90" t="str">
        <f>IFERROR(_xlfn.XLOOKUP([2]!BaseMaestraCeDi[[#This Row],[CeDi]], '[2]Potencial Hor x CeDi'!$B$6:$BU$6, '[2]Potencial Hor x CeDi'!$B$28:$BU$28), "")</f>
        <v/>
      </c>
      <c r="CL70" s="92" t="str">
        <f>IFERROR(_xlfn.XLOOKUP([2]!BaseMaestraCeDi[[#This Row],[CeDi]], '[2]Potencial Hor x CeDi'!$B$6:$BU$6, '[2]Potencial Hor x CeDi'!$B$29:$BU$29), "")</f>
        <v/>
      </c>
      <c r="CM70" s="93" t="str">
        <f>IFERROR(_xlfn.XLOOKUP([2]!BaseMaestraCeDi[[#This Row],[CeDi]], '[2]Potencial Hor x CeDi'!$B$6:$BU$6, '[2]Potencial Hor x CeDi'!$B$39:$BU$39), "")</f>
        <v/>
      </c>
      <c r="CN70" s="94" t="str">
        <f>IFERROR(_xlfn.XLOOKUP([2]!BaseMaestraCeDi[[#This Row],[CeDi]], '[2]Potencial Hor x CeDi'!$B$6:$BU$6, '[2]Potencial Hor x CeDi'!$B$43:$BU$43), "")</f>
        <v/>
      </c>
      <c r="CO70" s="94" t="str">
        <f>IFERROR(_xlfn.XLOOKUP([2]!BaseMaestraCeDi[[#This Row],[CeDi]], '[2]Potencial Hor x CeDi'!$B$6:$BU$6, '[2]Potencial Hor x CeDi'!$B$46:$BU$46), "")</f>
        <v/>
      </c>
      <c r="CP70" s="86" t="str">
        <f>IFERROR(_xlfn.XLOOKUP([2]!BaseMaestraCeDi[[#This Row],[CeDi]], '[2]Potencial Hor x CeDi'!$B$6:$BU$6, '[2]Potencial Hor x CeDi'!$B$51:$BU$51), "")</f>
        <v/>
      </c>
      <c r="CQ70" s="82" t="str">
        <f>IFERROR(_xlfn.XLOOKUP([2]!BaseMaestraCeDi[[#This Row],[CeDi]], '[2]Potencial Hor x CeDi'!$B$6:$BU$6, '[2]Potencial Hor x CeDi'!$B$52:$BU$52), "")</f>
        <v/>
      </c>
      <c r="CR70" s="82" t="str">
        <f>IFERROR(_xlfn.XLOOKUP([2]!BaseMaestraCeDi[[#This Row],[CeDi]], '[2]Potencial Hor x CeDi'!$B$6:$BU$6, '[2]Potencial Hor x CeDi'!$B$53:$BU$53), "")</f>
        <v/>
      </c>
      <c r="CS70" s="87" t="str">
        <f>IFERROR(_xlfn.XLOOKUP([2]!BaseMaestraCeDi[[#This Row],[CeDi]], '[2]Potencial Hor x CeDi'!$B$6:$BU$6, '[2]Potencial Hor x CeDi'!$B$60:$BU$60), "")</f>
        <v/>
      </c>
      <c r="CT70" s="90" t="str">
        <f>IFERROR(_xlfn.XLOOKUP([2]!BaseMaestraCeDi[[#This Row],[CeDi]], '[2]Potencial Hor x CeDi'!$B$6:$BU$6, '[2]Potencial Hor x CeDi'!$B$65:$BU$65), "")</f>
        <v/>
      </c>
      <c r="CU70" s="90" t="str">
        <f>IFERROR(_xlfn.XLOOKUP([2]!BaseMaestraCeDi[[#This Row],[CeDi]], '[2]Potencial Hor x CeDi'!$B$6:$BU$6, '[2]Potencial Hor x CeDi'!$B$68:$BU$68), "")</f>
        <v/>
      </c>
      <c r="CV70" s="95" t="str">
        <f>IFERROR(_xlfn.XLOOKUP([2]!BaseMaestraCeDi[[#This Row],[CeDi]], '[2]Potencial Hor x CeDi'!$B$6:$BU$6, '[2]Potencial Hor x CeDi'!$B$71:$BU$71), "")</f>
        <v/>
      </c>
    </row>
    <row r="71" spans="1:100">
      <c r="A71" s="100" t="s">
        <v>95</v>
      </c>
      <c r="B71" s="100" t="s">
        <v>993</v>
      </c>
      <c r="C71" s="100" t="s">
        <v>994</v>
      </c>
      <c r="D71" s="101">
        <v>3</v>
      </c>
      <c r="E71" s="102">
        <v>0</v>
      </c>
      <c r="F71" s="103">
        <v>56.549858271000048</v>
      </c>
      <c r="G71" s="103">
        <v>56.549858271000048</v>
      </c>
      <c r="H71" s="104">
        <v>164.277575516453</v>
      </c>
      <c r="I71" s="105">
        <v>1460.3068662521168</v>
      </c>
      <c r="J71" s="105">
        <v>478.84150193975421</v>
      </c>
      <c r="K71" s="105">
        <v>2103.4259437083242</v>
      </c>
      <c r="L71" s="104">
        <v>6565.9766200000013</v>
      </c>
      <c r="M71" s="106">
        <v>0.32035233529484053</v>
      </c>
      <c r="N71" s="107" t="s">
        <v>151</v>
      </c>
      <c r="O71" s="102" t="s">
        <v>194</v>
      </c>
      <c r="P71" s="103">
        <v>1</v>
      </c>
      <c r="Q71" s="103">
        <v>1</v>
      </c>
      <c r="R71" s="108">
        <v>4</v>
      </c>
      <c r="S71" s="107">
        <v>30</v>
      </c>
      <c r="T71" s="125">
        <v>0.73538464041523244</v>
      </c>
      <c r="U71" s="106">
        <v>0.26461535958476756</v>
      </c>
      <c r="V71" s="106">
        <v>0</v>
      </c>
      <c r="W71" s="106">
        <v>1</v>
      </c>
      <c r="X71" s="106">
        <v>0</v>
      </c>
      <c r="Y71" s="104">
        <v>0</v>
      </c>
      <c r="Z71" s="105">
        <v>6565.9766200000013</v>
      </c>
      <c r="AA71" s="105">
        <v>0</v>
      </c>
      <c r="AB71" s="105">
        <v>133638.19999999998</v>
      </c>
      <c r="AC71" s="101">
        <v>5</v>
      </c>
      <c r="AD71" s="109">
        <v>0</v>
      </c>
      <c r="AE71" s="101">
        <v>0</v>
      </c>
      <c r="AF71" s="109">
        <v>0</v>
      </c>
      <c r="AG71" s="110" t="s">
        <v>194</v>
      </c>
      <c r="AH71" s="106" t="s">
        <v>194</v>
      </c>
      <c r="AI71" s="101">
        <v>0</v>
      </c>
      <c r="AJ71" s="109">
        <v>0</v>
      </c>
      <c r="AK71" s="106" t="s">
        <v>194</v>
      </c>
      <c r="AL71" s="104">
        <v>9258264.5000000019</v>
      </c>
      <c r="AM71" s="105">
        <v>0</v>
      </c>
      <c r="AN71" s="106">
        <v>0</v>
      </c>
      <c r="AO71" s="104">
        <v>0</v>
      </c>
      <c r="AP71" s="106">
        <v>0</v>
      </c>
      <c r="AQ71" s="109" t="s">
        <v>194</v>
      </c>
      <c r="AR71" s="101">
        <v>3</v>
      </c>
      <c r="AS71" s="105">
        <v>2589542.594108108</v>
      </c>
      <c r="AT71" s="104">
        <v>2589542.594108108</v>
      </c>
      <c r="AU71" s="101">
        <v>6</v>
      </c>
      <c r="AV71" s="109">
        <v>0</v>
      </c>
      <c r="AW71" s="109">
        <v>0</v>
      </c>
      <c r="AX71" s="109">
        <v>0</v>
      </c>
      <c r="AY71" s="110">
        <v>0</v>
      </c>
      <c r="AZ71" s="109">
        <v>0</v>
      </c>
      <c r="BA71" s="102" t="s">
        <v>194</v>
      </c>
      <c r="BB71" s="106" t="s">
        <v>194</v>
      </c>
      <c r="BC71" s="111" t="s">
        <v>194</v>
      </c>
      <c r="BD71" s="74" t="s">
        <v>1175</v>
      </c>
      <c r="BE71" s="88" t="str">
        <f>IFERROR(_xlfn.XLOOKUP([2]!BaseMaestraCeDi[[#This Row],[CeDi]], '[2]Potencial Hor x CeDi'!$B$6:$BU$6, '[2]Potencial Hor x CeDi'!$B$21:$BU$21) / 1000, "")</f>
        <v/>
      </c>
      <c r="BF71" s="89" t="str">
        <f>IFERROR(_xlfn.XLOOKUP([2]!BaseMaestraCeDi[[#This Row],[CeDi]], '[2]Potencial Hor x CeDi'!$B$6:$BU$6, '[2]Potencial Hor x CeDi'!$B$22:$BU$22) / 1000, "")</f>
        <v/>
      </c>
      <c r="BG71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71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71" s="78">
        <f>IFERROR(INDEX('[2]Potencial Hor SocioDem x CeDi'!$C$2:$AF$81, MATCH($C71,'[2]Potencial Hor SocioDem x CeDi'!$B$2:$B$81,0), MATCH(BI$4,'[2]Potencial Hor SocioDem x CeDi'!$C$1:$AF$1,0)), "")</f>
        <v>15094</v>
      </c>
      <c r="BJ71" s="78">
        <f>IFERROR(INDEX('[2]Potencial Hor SocioDem x CeDi'!$C$2:$AF$81, MATCH($C71,'[2]Potencial Hor SocioDem x CeDi'!$B$2:$B$81,0), MATCH(BJ$4,'[2]Potencial Hor SocioDem x CeDi'!$C$1:$AF$1,0)), "")</f>
        <v>851566</v>
      </c>
      <c r="BK71" s="78">
        <f>IFERROR(INDEX('[2]Potencial Hor SocioDem x CeDi'!$C$2:$AF$81, MATCH($C71,'[2]Potencial Hor SocioDem x CeDi'!$B$2:$B$81,0), MATCH(BK$4,'[2]Potencial Hor SocioDem x CeDi'!$C$1:$AF$1,0)), "")</f>
        <v>256608</v>
      </c>
      <c r="BL71" s="79">
        <f>IFERROR(INDEX('[2]Potencial Hor SocioDem x CeDi'!$C$2:$AF$81, MATCH($C71,'[2]Potencial Hor SocioDem x CeDi'!$B$2:$B$81,0), MATCH(BL$4,'[2]Potencial Hor SocioDem x CeDi'!$C$1:$AF$1,0)), "")</f>
        <v>3.3185481356777649</v>
      </c>
      <c r="BM71" s="79">
        <f>IFERROR(INDEX('[2]Potencial Hor SocioDem x CeDi'!$C$2:$AF$81, MATCH($C71,'[2]Potencial Hor SocioDem x CeDi'!$B$2:$B$81,0), MATCH(BM$4,'[2]Potencial Hor SocioDem x CeDi'!$C$1:$AF$1,0)), "")</f>
        <v>17.00066251490659</v>
      </c>
      <c r="BN71" s="78">
        <f>IFERROR(INDEX('[2]Potencial Hor SocioDem x CeDi'!$C$2:$AF$81, MATCH($C71,'[2]Potencial Hor SocioDem x CeDi'!$B$2:$B$81,0), MATCH(BN$4,'[2]Potencial Hor SocioDem x CeDi'!$C$1:$AF$1,0)), "")</f>
        <v>31489</v>
      </c>
      <c r="BO71" s="78">
        <f>IFERROR(INDEX('[2]Potencial Hor SocioDem x CeDi'!$C$2:$AF$81, MATCH($C71,'[2]Potencial Hor SocioDem x CeDi'!$B$2:$B$81,0), MATCH(BO$4,'[2]Potencial Hor SocioDem x CeDi'!$C$1:$AF$1,0)), "")</f>
        <v>66433</v>
      </c>
      <c r="BP71" s="78">
        <f>IFERROR(INDEX('[2]Potencial Hor SocioDem x CeDi'!$C$2:$AF$81, MATCH($C71,'[2]Potencial Hor SocioDem x CeDi'!$B$2:$B$81,0), MATCH(BP$4,'[2]Potencial Hor SocioDem x CeDi'!$C$1:$AF$1,0)), "")</f>
        <v>97922</v>
      </c>
      <c r="BQ71" s="80">
        <f>IFERROR(INDEX('[2]Potencial Hor SocioDem x CeDi'!$C$2:$AF$81, MATCH($C71,'[2]Potencial Hor SocioDem x CeDi'!$B$2:$B$81,0), MATCH(BQ$4,'[2]Potencial Hor SocioDem x CeDi'!$C$1:$AF$1,0)), "")</f>
        <v>0.38160150891632372</v>
      </c>
      <c r="BR71" s="80">
        <f>IFERROR(INDEX('[2]Potencial Hor SocioDem x CeDi'!$C$2:$AF$81, MATCH($C71,'[2]Potencial Hor SocioDem x CeDi'!$B$2:$B$81,0), MATCH(BR$4,'[2]Potencial Hor SocioDem x CeDi'!$C$1:$AF$1,0)), "")</f>
        <v>0.1227124641476493</v>
      </c>
      <c r="BS71" s="80">
        <f>IFERROR(INDEX('[2]Potencial Hor SocioDem x CeDi'!$C$2:$AF$81, MATCH($C71,'[2]Potencial Hor SocioDem x CeDi'!$B$2:$B$81,0), MATCH(BS$4,'[2]Potencial Hor SocioDem x CeDi'!$C$1:$AF$1,0)), "")</f>
        <v>0.25888904476867441</v>
      </c>
      <c r="BT71" s="80">
        <f>IFERROR(INDEX('[2]Potencial Hor SocioDem x CeDi'!$C$2:$AF$81, MATCH($C71,'[2]Potencial Hor SocioDem x CeDi'!$B$2:$B$81,0), MATCH(BT$4,'[2]Potencial Hor SocioDem x CeDi'!$C$1:$AF$1,0)), "")</f>
        <v>0.28892707943633872</v>
      </c>
      <c r="BU71" s="80">
        <f>IFERROR(INDEX('[2]Potencial Hor SocioDem x CeDi'!$C$2:$AF$81, MATCH($C71,'[2]Potencial Hor SocioDem x CeDi'!$B$2:$B$81,0), MATCH(BU$4,'[2]Potencial Hor SocioDem x CeDi'!$C$1:$AF$1,0)), "")</f>
        <v>9.1505331088664418E-2</v>
      </c>
      <c r="BV71" s="80">
        <f>IFERROR(INDEX('[2]Potencial Hor SocioDem x CeDi'!$C$2:$AF$81, MATCH($C71,'[2]Potencial Hor SocioDem x CeDi'!$B$2:$B$81,0), MATCH(BV$4,'[2]Potencial Hor SocioDem x CeDi'!$C$1:$AF$1,0)), "")</f>
        <v>2.026437211622397E-4</v>
      </c>
      <c r="BW71" s="80">
        <f>IFERROR(INDEX('[2]Potencial Hor SocioDem x CeDi'!$C$2:$AF$81, MATCH($C71,'[2]Potencial Hor SocioDem x CeDi'!$B$2:$B$81,0), MATCH(BW$4,'[2]Potencial Hor SocioDem x CeDi'!$C$1:$AF$1,0)), "")</f>
        <v>0.23659433844619029</v>
      </c>
      <c r="BX71" s="80">
        <f>IFERROR(INDEX('[2]Potencial Hor SocioDem x CeDi'!$C$2:$AF$81, MATCH($C71,'[2]Potencial Hor SocioDem x CeDi'!$B$2:$B$81,0), MATCH(BX$4,'[2]Potencial Hor SocioDem x CeDi'!$C$1:$AF$1,0)), "")</f>
        <v>1.0794675146527E-3</v>
      </c>
      <c r="BY71" s="80">
        <f>IFERROR(INDEX('[2]Potencial Hor SocioDem x CeDi'!$C$2:$AF$81, MATCH($C71,'[2]Potencial Hor SocioDem x CeDi'!$B$2:$B$81,0), MATCH(BY$4,'[2]Potencial Hor SocioDem x CeDi'!$C$1:$AF$1,0)), "")</f>
        <v>8.9630876667913699E-5</v>
      </c>
      <c r="BZ71" s="79">
        <f>IFERROR(INDEX('[2]Potencial Hor SocioDem x CeDi'!$C$2:$AF$81, MATCH($C71,'[2]Potencial Hor SocioDem x CeDi'!$B$2:$B$81,0), MATCH(BZ$4,'[2]Potencial Hor SocioDem x CeDi'!$C$1:$AF$1,0)), "")</f>
        <v>2.9451622070397359</v>
      </c>
      <c r="CA71" s="79">
        <f>IFERROR(INDEX('[2]Potencial Hor SocioDem x CeDi'!$C$2:$AF$81, MATCH($C71,'[2]Potencial Hor SocioDem x CeDi'!$B$2:$B$81,0), MATCH(CA$4,'[2]Potencial Hor SocioDem x CeDi'!$C$1:$AF$1,0)), "")</f>
        <v>0.47676868263880889</v>
      </c>
      <c r="CB71" s="81">
        <f>IFERROR(INDEX('[2]Potencial Hor SocioDem x CeDi'!$C$2:$AF$81, MATCH($C71,'[2]Potencial Hor SocioDem x CeDi'!$B$2:$B$81,0), MATCH(CB$4,'[2]Potencial Hor SocioDem x CeDi'!$C$1:$AF$1,0)), "")</f>
        <v>1409</v>
      </c>
      <c r="CC71" s="82">
        <f>IFERROR(INDEX('[2]Potencial Hor SocioDem x CeDi'!$C$2:$AF$81, MATCH($C71,'[2]Potencial Hor SocioDem x CeDi'!$B$2:$B$81,0), MATCH(CC$4,'[2]Potencial Hor SocioDem x CeDi'!$C$1:$AF$1,0)), "")</f>
        <v>627</v>
      </c>
      <c r="CD71" s="83">
        <f>IFERROR(INDEX('[2]Potencial Hor SocioDem x CeDi'!$C$2:$AF$81, MATCH($C71,'[2]Potencial Hor SocioDem x CeDi'!$B$2:$B$81,0), MATCH(CD$4,'[2]Potencial Hor SocioDem x CeDi'!$C$1:$AF$1,0)), "")</f>
        <v>6.4030554931476073E-3</v>
      </c>
      <c r="CE71" s="78" t="str">
        <f>IFERROR(_xlfn.XLOOKUP([2]!BaseMaestraCeDi[[#This Row],[CeDi]], '[2]Potencial Hor x CeDi'!$B$6:$BU$6, '[2]Potencial Hor x CeDi'!$B$50:$BU$50), "")</f>
        <v/>
      </c>
      <c r="CF71" s="90" t="str">
        <f>IFERROR(_xlfn.XLOOKUP([2]!BaseMaestraCeDi[[#This Row],[CeDi]], '[2]Potencial Hor x CeDi'!$B$6:$BU$6, '[2]Potencial Hor x CeDi'!$B$34:$BU$34), "")</f>
        <v/>
      </c>
      <c r="CG71" s="90" t="str">
        <f>IFERROR(_xlfn.XLOOKUP([2]!BaseMaestraCeDi[[#This Row],[CeDi]], '[2]Potencial Hor x CeDi'!$B$6:$BU$6, '[2]Potencial Hor x CeDi'!$B$64:$BU$64), "")</f>
        <v/>
      </c>
      <c r="CH71" s="91" t="str">
        <f>IFERROR(_xlfn.XLOOKUP([2]!BaseMaestraCeDi[[#This Row],[CeDi]], '[2]Potencial Hor x CeDi'!$B$6:$BU$6, '[2]Potencial Hor x CeDi'!$B$38:$BU$38), "")</f>
        <v/>
      </c>
      <c r="CI71" s="90" t="str">
        <f>IFERROR(_xlfn.XLOOKUP([2]!BaseMaestraCeDi[[#This Row],[CeDi]], '[2]Potencial Hor x CeDi'!$B$6:$BU$6, '[2]Potencial Hor x CeDi'!$B$26:$BU$26), "")</f>
        <v/>
      </c>
      <c r="CJ71" s="92" t="str">
        <f>IFERROR(_xlfn.XLOOKUP([2]!BaseMaestraCeDi[[#This Row],[CeDi]], '[2]Potencial Hor x CeDi'!$B$6:$BU$6, '[2]Potencial Hor x CeDi'!$B$27:$BU$27), "")</f>
        <v/>
      </c>
      <c r="CK71" s="90" t="str">
        <f>IFERROR(_xlfn.XLOOKUP([2]!BaseMaestraCeDi[[#This Row],[CeDi]], '[2]Potencial Hor x CeDi'!$B$6:$BU$6, '[2]Potencial Hor x CeDi'!$B$28:$BU$28), "")</f>
        <v/>
      </c>
      <c r="CL71" s="92" t="str">
        <f>IFERROR(_xlfn.XLOOKUP([2]!BaseMaestraCeDi[[#This Row],[CeDi]], '[2]Potencial Hor x CeDi'!$B$6:$BU$6, '[2]Potencial Hor x CeDi'!$B$29:$BU$29), "")</f>
        <v/>
      </c>
      <c r="CM71" s="93" t="str">
        <f>IFERROR(_xlfn.XLOOKUP([2]!BaseMaestraCeDi[[#This Row],[CeDi]], '[2]Potencial Hor x CeDi'!$B$6:$BU$6, '[2]Potencial Hor x CeDi'!$B$39:$BU$39), "")</f>
        <v/>
      </c>
      <c r="CN71" s="94" t="str">
        <f>IFERROR(_xlfn.XLOOKUP([2]!BaseMaestraCeDi[[#This Row],[CeDi]], '[2]Potencial Hor x CeDi'!$B$6:$BU$6, '[2]Potencial Hor x CeDi'!$B$43:$BU$43), "")</f>
        <v/>
      </c>
      <c r="CO71" s="94" t="str">
        <f>IFERROR(_xlfn.XLOOKUP([2]!BaseMaestraCeDi[[#This Row],[CeDi]], '[2]Potencial Hor x CeDi'!$B$6:$BU$6, '[2]Potencial Hor x CeDi'!$B$46:$BU$46), "")</f>
        <v/>
      </c>
      <c r="CP71" s="86" t="str">
        <f>IFERROR(_xlfn.XLOOKUP([2]!BaseMaestraCeDi[[#This Row],[CeDi]], '[2]Potencial Hor x CeDi'!$B$6:$BU$6, '[2]Potencial Hor x CeDi'!$B$51:$BU$51), "")</f>
        <v/>
      </c>
      <c r="CQ71" s="82" t="str">
        <f>IFERROR(_xlfn.XLOOKUP([2]!BaseMaestraCeDi[[#This Row],[CeDi]], '[2]Potencial Hor x CeDi'!$B$6:$BU$6, '[2]Potencial Hor x CeDi'!$B$52:$BU$52), "")</f>
        <v/>
      </c>
      <c r="CR71" s="82" t="str">
        <f>IFERROR(_xlfn.XLOOKUP([2]!BaseMaestraCeDi[[#This Row],[CeDi]], '[2]Potencial Hor x CeDi'!$B$6:$BU$6, '[2]Potencial Hor x CeDi'!$B$53:$BU$53), "")</f>
        <v/>
      </c>
      <c r="CS71" s="87" t="str">
        <f>IFERROR(_xlfn.XLOOKUP([2]!BaseMaestraCeDi[[#This Row],[CeDi]], '[2]Potencial Hor x CeDi'!$B$6:$BU$6, '[2]Potencial Hor x CeDi'!$B$60:$BU$60), "")</f>
        <v/>
      </c>
      <c r="CT71" s="90" t="str">
        <f>IFERROR(_xlfn.XLOOKUP([2]!BaseMaestraCeDi[[#This Row],[CeDi]], '[2]Potencial Hor x CeDi'!$B$6:$BU$6, '[2]Potencial Hor x CeDi'!$B$65:$BU$65), "")</f>
        <v/>
      </c>
      <c r="CU71" s="90" t="str">
        <f>IFERROR(_xlfn.XLOOKUP([2]!BaseMaestraCeDi[[#This Row],[CeDi]], '[2]Potencial Hor x CeDi'!$B$6:$BU$6, '[2]Potencial Hor x CeDi'!$B$68:$BU$68), "")</f>
        <v/>
      </c>
      <c r="CV71" s="95" t="str">
        <f>IFERROR(_xlfn.XLOOKUP([2]!BaseMaestraCeDi[[#This Row],[CeDi]], '[2]Potencial Hor x CeDi'!$B$6:$BU$6, '[2]Potencial Hor x CeDi'!$B$71:$BU$71), "")</f>
        <v/>
      </c>
    </row>
    <row r="72" spans="1:100">
      <c r="A72" s="112" t="s">
        <v>95</v>
      </c>
      <c r="B72" s="112" t="s">
        <v>320</v>
      </c>
      <c r="C72" s="112" t="s">
        <v>1001</v>
      </c>
      <c r="D72" s="113" t="s">
        <v>194</v>
      </c>
      <c r="E72" s="114" t="s">
        <v>194</v>
      </c>
      <c r="F72" s="115" t="s">
        <v>194</v>
      </c>
      <c r="G72" s="115" t="s">
        <v>194</v>
      </c>
      <c r="H72" s="116" t="s">
        <v>194</v>
      </c>
      <c r="I72" s="117" t="s">
        <v>194</v>
      </c>
      <c r="J72" s="117" t="s">
        <v>194</v>
      </c>
      <c r="K72" s="117" t="s">
        <v>194</v>
      </c>
      <c r="L72" s="116" t="s">
        <v>194</v>
      </c>
      <c r="M72" s="118" t="s">
        <v>194</v>
      </c>
      <c r="N72" s="119" t="s">
        <v>194</v>
      </c>
      <c r="O72" s="114" t="s">
        <v>194</v>
      </c>
      <c r="P72" s="115" t="s">
        <v>194</v>
      </c>
      <c r="Q72" s="115" t="s">
        <v>194</v>
      </c>
      <c r="R72" s="120" t="s">
        <v>194</v>
      </c>
      <c r="S72" s="119" t="s">
        <v>194</v>
      </c>
      <c r="T72" s="121" t="s">
        <v>194</v>
      </c>
      <c r="U72" s="118" t="s">
        <v>194</v>
      </c>
      <c r="V72" s="118" t="s">
        <v>194</v>
      </c>
      <c r="W72" s="118" t="s">
        <v>194</v>
      </c>
      <c r="X72" s="118" t="s">
        <v>194</v>
      </c>
      <c r="Y72" s="116" t="s">
        <v>194</v>
      </c>
      <c r="Z72" s="117" t="s">
        <v>194</v>
      </c>
      <c r="AA72" s="117" t="s">
        <v>194</v>
      </c>
      <c r="AB72" s="117" t="s">
        <v>194</v>
      </c>
      <c r="AC72" s="113">
        <v>0</v>
      </c>
      <c r="AD72" s="122">
        <v>0</v>
      </c>
      <c r="AE72" s="113">
        <v>0</v>
      </c>
      <c r="AF72" s="122">
        <v>0</v>
      </c>
      <c r="AG72" s="123" t="s">
        <v>194</v>
      </c>
      <c r="AH72" s="118" t="s">
        <v>194</v>
      </c>
      <c r="AI72" s="113">
        <v>0</v>
      </c>
      <c r="AJ72" s="122">
        <v>0</v>
      </c>
      <c r="AK72" s="118" t="s">
        <v>194</v>
      </c>
      <c r="AL72" s="116">
        <v>0</v>
      </c>
      <c r="AM72" s="117">
        <v>0</v>
      </c>
      <c r="AN72" s="118" t="s">
        <v>194</v>
      </c>
      <c r="AO72" s="116">
        <v>0</v>
      </c>
      <c r="AP72" s="118">
        <v>0</v>
      </c>
      <c r="AQ72" s="122" t="s">
        <v>194</v>
      </c>
      <c r="AR72" s="113">
        <v>0</v>
      </c>
      <c r="AS72" s="117">
        <v>0</v>
      </c>
      <c r="AT72" s="116">
        <v>0</v>
      </c>
      <c r="AU72" s="113">
        <v>1</v>
      </c>
      <c r="AV72" s="122">
        <v>0</v>
      </c>
      <c r="AW72" s="122">
        <v>0</v>
      </c>
      <c r="AX72" s="122">
        <v>0</v>
      </c>
      <c r="AY72" s="123">
        <v>0</v>
      </c>
      <c r="AZ72" s="122">
        <v>0</v>
      </c>
      <c r="BA72" s="114" t="s">
        <v>194</v>
      </c>
      <c r="BB72" s="118" t="s">
        <v>194</v>
      </c>
      <c r="BC72" s="124" t="s">
        <v>194</v>
      </c>
      <c r="BD72" s="74" t="s">
        <v>1176</v>
      </c>
      <c r="BE72" s="88" t="str">
        <f>IFERROR(_xlfn.XLOOKUP([2]!BaseMaestraCeDi[[#This Row],[CeDi]], '[2]Potencial Hor x CeDi'!$B$6:$BU$6, '[2]Potencial Hor x CeDi'!$B$21:$BU$21) / 1000, "")</f>
        <v/>
      </c>
      <c r="BF72" s="89" t="str">
        <f>IFERROR(_xlfn.XLOOKUP([2]!BaseMaestraCeDi[[#This Row],[CeDi]], '[2]Potencial Hor x CeDi'!$B$6:$BU$6, '[2]Potencial Hor x CeDi'!$B$22:$BU$22) / 1000, "")</f>
        <v/>
      </c>
      <c r="BG72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72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72" s="78" t="str">
        <f>IFERROR(INDEX('[2]Potencial Hor SocioDem x CeDi'!$C$2:$AF$81, MATCH($C72,'[2]Potencial Hor SocioDem x CeDi'!$B$2:$B$81,0), MATCH(BI$4,'[2]Potencial Hor SocioDem x CeDi'!$C$1:$AF$1,0)), "")</f>
        <v/>
      </c>
      <c r="BJ72" s="78" t="str">
        <f>IFERROR(INDEX('[2]Potencial Hor SocioDem x CeDi'!$C$2:$AF$81, MATCH($C72,'[2]Potencial Hor SocioDem x CeDi'!$B$2:$B$81,0), MATCH(BJ$4,'[2]Potencial Hor SocioDem x CeDi'!$C$1:$AF$1,0)), "")</f>
        <v/>
      </c>
      <c r="BK72" s="78" t="str">
        <f>IFERROR(INDEX('[2]Potencial Hor SocioDem x CeDi'!$C$2:$AF$81, MATCH($C72,'[2]Potencial Hor SocioDem x CeDi'!$B$2:$B$81,0), MATCH(BK$4,'[2]Potencial Hor SocioDem x CeDi'!$C$1:$AF$1,0)), "")</f>
        <v/>
      </c>
      <c r="BL72" s="79" t="str">
        <f>IFERROR(INDEX('[2]Potencial Hor SocioDem x CeDi'!$C$2:$AF$81, MATCH($C72,'[2]Potencial Hor SocioDem x CeDi'!$B$2:$B$81,0), MATCH(BL$4,'[2]Potencial Hor SocioDem x CeDi'!$C$1:$AF$1,0)), "")</f>
        <v/>
      </c>
      <c r="BM72" s="79" t="str">
        <f>IFERROR(INDEX('[2]Potencial Hor SocioDem x CeDi'!$C$2:$AF$81, MATCH($C72,'[2]Potencial Hor SocioDem x CeDi'!$B$2:$B$81,0), MATCH(BM$4,'[2]Potencial Hor SocioDem x CeDi'!$C$1:$AF$1,0)), "")</f>
        <v/>
      </c>
      <c r="BN72" s="78" t="str">
        <f>IFERROR(INDEX('[2]Potencial Hor SocioDem x CeDi'!$C$2:$AF$81, MATCH($C72,'[2]Potencial Hor SocioDem x CeDi'!$B$2:$B$81,0), MATCH(BN$4,'[2]Potencial Hor SocioDem x CeDi'!$C$1:$AF$1,0)), "")</f>
        <v/>
      </c>
      <c r="BO72" s="78" t="str">
        <f>IFERROR(INDEX('[2]Potencial Hor SocioDem x CeDi'!$C$2:$AF$81, MATCH($C72,'[2]Potencial Hor SocioDem x CeDi'!$B$2:$B$81,0), MATCH(BO$4,'[2]Potencial Hor SocioDem x CeDi'!$C$1:$AF$1,0)), "")</f>
        <v/>
      </c>
      <c r="BP72" s="78" t="str">
        <f>IFERROR(INDEX('[2]Potencial Hor SocioDem x CeDi'!$C$2:$AF$81, MATCH($C72,'[2]Potencial Hor SocioDem x CeDi'!$B$2:$B$81,0), MATCH(BP$4,'[2]Potencial Hor SocioDem x CeDi'!$C$1:$AF$1,0)), "")</f>
        <v/>
      </c>
      <c r="BQ72" s="80" t="str">
        <f>IFERROR(INDEX('[2]Potencial Hor SocioDem x CeDi'!$C$2:$AF$81, MATCH($C72,'[2]Potencial Hor SocioDem x CeDi'!$B$2:$B$81,0), MATCH(BQ$4,'[2]Potencial Hor SocioDem x CeDi'!$C$1:$AF$1,0)), "")</f>
        <v/>
      </c>
      <c r="BR72" s="80" t="str">
        <f>IFERROR(INDEX('[2]Potencial Hor SocioDem x CeDi'!$C$2:$AF$81, MATCH($C72,'[2]Potencial Hor SocioDem x CeDi'!$B$2:$B$81,0), MATCH(BR$4,'[2]Potencial Hor SocioDem x CeDi'!$C$1:$AF$1,0)), "")</f>
        <v/>
      </c>
      <c r="BS72" s="80" t="str">
        <f>IFERROR(INDEX('[2]Potencial Hor SocioDem x CeDi'!$C$2:$AF$81, MATCH($C72,'[2]Potencial Hor SocioDem x CeDi'!$B$2:$B$81,0), MATCH(BS$4,'[2]Potencial Hor SocioDem x CeDi'!$C$1:$AF$1,0)), "")</f>
        <v/>
      </c>
      <c r="BT72" s="80" t="str">
        <f>IFERROR(INDEX('[2]Potencial Hor SocioDem x CeDi'!$C$2:$AF$81, MATCH($C72,'[2]Potencial Hor SocioDem x CeDi'!$B$2:$B$81,0), MATCH(BT$4,'[2]Potencial Hor SocioDem x CeDi'!$C$1:$AF$1,0)), "")</f>
        <v/>
      </c>
      <c r="BU72" s="80" t="str">
        <f>IFERROR(INDEX('[2]Potencial Hor SocioDem x CeDi'!$C$2:$AF$81, MATCH($C72,'[2]Potencial Hor SocioDem x CeDi'!$B$2:$B$81,0), MATCH(BU$4,'[2]Potencial Hor SocioDem x CeDi'!$C$1:$AF$1,0)), "")</f>
        <v/>
      </c>
      <c r="BV72" s="80" t="str">
        <f>IFERROR(INDEX('[2]Potencial Hor SocioDem x CeDi'!$C$2:$AF$81, MATCH($C72,'[2]Potencial Hor SocioDem x CeDi'!$B$2:$B$81,0), MATCH(BV$4,'[2]Potencial Hor SocioDem x CeDi'!$C$1:$AF$1,0)), "")</f>
        <v/>
      </c>
      <c r="BW72" s="80" t="str">
        <f>IFERROR(INDEX('[2]Potencial Hor SocioDem x CeDi'!$C$2:$AF$81, MATCH($C72,'[2]Potencial Hor SocioDem x CeDi'!$B$2:$B$81,0), MATCH(BW$4,'[2]Potencial Hor SocioDem x CeDi'!$C$1:$AF$1,0)), "")</f>
        <v/>
      </c>
      <c r="BX72" s="80" t="str">
        <f>IFERROR(INDEX('[2]Potencial Hor SocioDem x CeDi'!$C$2:$AF$81, MATCH($C72,'[2]Potencial Hor SocioDem x CeDi'!$B$2:$B$81,0), MATCH(BX$4,'[2]Potencial Hor SocioDem x CeDi'!$C$1:$AF$1,0)), "")</f>
        <v/>
      </c>
      <c r="BY72" s="80" t="str">
        <f>IFERROR(INDEX('[2]Potencial Hor SocioDem x CeDi'!$C$2:$AF$81, MATCH($C72,'[2]Potencial Hor SocioDem x CeDi'!$B$2:$B$81,0), MATCH(BY$4,'[2]Potencial Hor SocioDem x CeDi'!$C$1:$AF$1,0)), "")</f>
        <v/>
      </c>
      <c r="BZ72" s="79" t="str">
        <f>IFERROR(INDEX('[2]Potencial Hor SocioDem x CeDi'!$C$2:$AF$81, MATCH($C72,'[2]Potencial Hor SocioDem x CeDi'!$B$2:$B$81,0), MATCH(BZ$4,'[2]Potencial Hor SocioDem x CeDi'!$C$1:$AF$1,0)), "")</f>
        <v/>
      </c>
      <c r="CA72" s="79" t="str">
        <f>IFERROR(INDEX('[2]Potencial Hor SocioDem x CeDi'!$C$2:$AF$81, MATCH($C72,'[2]Potencial Hor SocioDem x CeDi'!$B$2:$B$81,0), MATCH(CA$4,'[2]Potencial Hor SocioDem x CeDi'!$C$1:$AF$1,0)), "")</f>
        <v/>
      </c>
      <c r="CB72" s="81" t="str">
        <f>IFERROR(INDEX('[2]Potencial Hor SocioDem x CeDi'!$C$2:$AF$81, MATCH($C72,'[2]Potencial Hor SocioDem x CeDi'!$B$2:$B$81,0), MATCH(CB$4,'[2]Potencial Hor SocioDem x CeDi'!$C$1:$AF$1,0)), "")</f>
        <v/>
      </c>
      <c r="CC72" s="82" t="str">
        <f>IFERROR(INDEX('[2]Potencial Hor SocioDem x CeDi'!$C$2:$AF$81, MATCH($C72,'[2]Potencial Hor SocioDem x CeDi'!$B$2:$B$81,0), MATCH(CC$4,'[2]Potencial Hor SocioDem x CeDi'!$C$1:$AF$1,0)), "")</f>
        <v/>
      </c>
      <c r="CD72" s="83" t="str">
        <f>IFERROR(INDEX('[2]Potencial Hor SocioDem x CeDi'!$C$2:$AF$81, MATCH($C72,'[2]Potencial Hor SocioDem x CeDi'!$B$2:$B$81,0), MATCH(CD$4,'[2]Potencial Hor SocioDem x CeDi'!$C$1:$AF$1,0)), "")</f>
        <v/>
      </c>
      <c r="CE72" s="78" t="str">
        <f>IFERROR(_xlfn.XLOOKUP([2]!BaseMaestraCeDi[[#This Row],[CeDi]], '[2]Potencial Hor x CeDi'!$B$6:$BU$6, '[2]Potencial Hor x CeDi'!$B$50:$BU$50), "")</f>
        <v/>
      </c>
      <c r="CF72" s="90" t="str">
        <f>IFERROR(_xlfn.XLOOKUP([2]!BaseMaestraCeDi[[#This Row],[CeDi]], '[2]Potencial Hor x CeDi'!$B$6:$BU$6, '[2]Potencial Hor x CeDi'!$B$34:$BU$34), "")</f>
        <v/>
      </c>
      <c r="CG72" s="90" t="str">
        <f>IFERROR(_xlfn.XLOOKUP([2]!BaseMaestraCeDi[[#This Row],[CeDi]], '[2]Potencial Hor x CeDi'!$B$6:$BU$6, '[2]Potencial Hor x CeDi'!$B$64:$BU$64), "")</f>
        <v/>
      </c>
      <c r="CH72" s="91" t="str">
        <f>IFERROR(_xlfn.XLOOKUP([2]!BaseMaestraCeDi[[#This Row],[CeDi]], '[2]Potencial Hor x CeDi'!$B$6:$BU$6, '[2]Potencial Hor x CeDi'!$B$38:$BU$38), "")</f>
        <v/>
      </c>
      <c r="CI72" s="90" t="str">
        <f>IFERROR(_xlfn.XLOOKUP([2]!BaseMaestraCeDi[[#This Row],[CeDi]], '[2]Potencial Hor x CeDi'!$B$6:$BU$6, '[2]Potencial Hor x CeDi'!$B$26:$BU$26), "")</f>
        <v/>
      </c>
      <c r="CJ72" s="92" t="str">
        <f>IFERROR(_xlfn.XLOOKUP([2]!BaseMaestraCeDi[[#This Row],[CeDi]], '[2]Potencial Hor x CeDi'!$B$6:$BU$6, '[2]Potencial Hor x CeDi'!$B$27:$BU$27), "")</f>
        <v/>
      </c>
      <c r="CK72" s="90" t="str">
        <f>IFERROR(_xlfn.XLOOKUP([2]!BaseMaestraCeDi[[#This Row],[CeDi]], '[2]Potencial Hor x CeDi'!$B$6:$BU$6, '[2]Potencial Hor x CeDi'!$B$28:$BU$28), "")</f>
        <v/>
      </c>
      <c r="CL72" s="92" t="str">
        <f>IFERROR(_xlfn.XLOOKUP([2]!BaseMaestraCeDi[[#This Row],[CeDi]], '[2]Potencial Hor x CeDi'!$B$6:$BU$6, '[2]Potencial Hor x CeDi'!$B$29:$BU$29), "")</f>
        <v/>
      </c>
      <c r="CM72" s="93" t="str">
        <f>IFERROR(_xlfn.XLOOKUP([2]!BaseMaestraCeDi[[#This Row],[CeDi]], '[2]Potencial Hor x CeDi'!$B$6:$BU$6, '[2]Potencial Hor x CeDi'!$B$39:$BU$39), "")</f>
        <v/>
      </c>
      <c r="CN72" s="94" t="str">
        <f>IFERROR(_xlfn.XLOOKUP([2]!BaseMaestraCeDi[[#This Row],[CeDi]], '[2]Potencial Hor x CeDi'!$B$6:$BU$6, '[2]Potencial Hor x CeDi'!$B$43:$BU$43), "")</f>
        <v/>
      </c>
      <c r="CO72" s="94" t="str">
        <f>IFERROR(_xlfn.XLOOKUP([2]!BaseMaestraCeDi[[#This Row],[CeDi]], '[2]Potencial Hor x CeDi'!$B$6:$BU$6, '[2]Potencial Hor x CeDi'!$B$46:$BU$46), "")</f>
        <v/>
      </c>
      <c r="CP72" s="86" t="str">
        <f>IFERROR(_xlfn.XLOOKUP([2]!BaseMaestraCeDi[[#This Row],[CeDi]], '[2]Potencial Hor x CeDi'!$B$6:$BU$6, '[2]Potencial Hor x CeDi'!$B$51:$BU$51), "")</f>
        <v/>
      </c>
      <c r="CQ72" s="82" t="str">
        <f>IFERROR(_xlfn.XLOOKUP([2]!BaseMaestraCeDi[[#This Row],[CeDi]], '[2]Potencial Hor x CeDi'!$B$6:$BU$6, '[2]Potencial Hor x CeDi'!$B$52:$BU$52), "")</f>
        <v/>
      </c>
      <c r="CR72" s="82" t="str">
        <f>IFERROR(_xlfn.XLOOKUP([2]!BaseMaestraCeDi[[#This Row],[CeDi]], '[2]Potencial Hor x CeDi'!$B$6:$BU$6, '[2]Potencial Hor x CeDi'!$B$53:$BU$53), "")</f>
        <v/>
      </c>
      <c r="CS72" s="87" t="str">
        <f>IFERROR(_xlfn.XLOOKUP([2]!BaseMaestraCeDi[[#This Row],[CeDi]], '[2]Potencial Hor x CeDi'!$B$6:$BU$6, '[2]Potencial Hor x CeDi'!$B$60:$BU$60), "")</f>
        <v/>
      </c>
      <c r="CT72" s="90" t="str">
        <f>IFERROR(_xlfn.XLOOKUP([2]!BaseMaestraCeDi[[#This Row],[CeDi]], '[2]Potencial Hor x CeDi'!$B$6:$BU$6, '[2]Potencial Hor x CeDi'!$B$65:$BU$65), "")</f>
        <v/>
      </c>
      <c r="CU72" s="90" t="str">
        <f>IFERROR(_xlfn.XLOOKUP([2]!BaseMaestraCeDi[[#This Row],[CeDi]], '[2]Potencial Hor x CeDi'!$B$6:$BU$6, '[2]Potencial Hor x CeDi'!$B$68:$BU$68), "")</f>
        <v/>
      </c>
      <c r="CV72" s="95" t="str">
        <f>IFERROR(_xlfn.XLOOKUP([2]!BaseMaestraCeDi[[#This Row],[CeDi]], '[2]Potencial Hor x CeDi'!$B$6:$BU$6, '[2]Potencial Hor x CeDi'!$B$71:$BU$71), "")</f>
        <v/>
      </c>
    </row>
    <row r="73" spans="1:100">
      <c r="A73" s="100" t="s">
        <v>95</v>
      </c>
      <c r="B73" s="100" t="s">
        <v>1003</v>
      </c>
      <c r="C73" s="100" t="s">
        <v>1004</v>
      </c>
      <c r="D73" s="101">
        <v>9</v>
      </c>
      <c r="E73" s="102">
        <v>1410.4913779783835</v>
      </c>
      <c r="F73" s="103">
        <v>29.322390877544596</v>
      </c>
      <c r="G73" s="103">
        <v>1439.8137688559282</v>
      </c>
      <c r="H73" s="104">
        <v>3972.2254009507628</v>
      </c>
      <c r="I73" s="105">
        <v>10245.771068882066</v>
      </c>
      <c r="J73" s="105">
        <v>1217.0620533399201</v>
      </c>
      <c r="K73" s="105">
        <v>15435.058523172749</v>
      </c>
      <c r="L73" s="104">
        <v>27180.800845828879</v>
      </c>
      <c r="M73" s="106">
        <v>0.56786621596329412</v>
      </c>
      <c r="N73" s="107" t="s">
        <v>211</v>
      </c>
      <c r="O73" s="102">
        <v>34.803416247165778</v>
      </c>
      <c r="P73" s="103">
        <v>2</v>
      </c>
      <c r="Q73" s="103">
        <v>3</v>
      </c>
      <c r="R73" s="108">
        <v>13</v>
      </c>
      <c r="S73" s="107">
        <v>106</v>
      </c>
      <c r="T73" s="125">
        <v>0.94826074893446277</v>
      </c>
      <c r="U73" s="106">
        <v>5.1739251065537228E-2</v>
      </c>
      <c r="V73" s="106">
        <v>0.79693433008642156</v>
      </c>
      <c r="W73" s="106">
        <v>0.20237047214913281</v>
      </c>
      <c r="X73" s="106">
        <v>6.9519776444566307E-4</v>
      </c>
      <c r="Y73" s="104">
        <v>21661.313313283077</v>
      </c>
      <c r="Z73" s="105">
        <v>5500.591500561939</v>
      </c>
      <c r="AA73" s="105">
        <v>18.896031983863026</v>
      </c>
      <c r="AB73" s="105">
        <v>81914.16650793649</v>
      </c>
      <c r="AC73" s="101">
        <v>10</v>
      </c>
      <c r="AD73" s="109">
        <v>7</v>
      </c>
      <c r="AE73" s="101">
        <v>148318</v>
      </c>
      <c r="AF73" s="109">
        <v>102210</v>
      </c>
      <c r="AG73" s="110">
        <v>0.68912741541822298</v>
      </c>
      <c r="AH73" s="106">
        <v>0.7628075701851561</v>
      </c>
      <c r="AI73" s="101">
        <v>12010.82673023582</v>
      </c>
      <c r="AJ73" s="109">
        <v>6005.41336511791</v>
      </c>
      <c r="AK73" s="106">
        <v>0.72961753371214499</v>
      </c>
      <c r="AL73" s="104">
        <v>37910356.620000005</v>
      </c>
      <c r="AM73" s="105">
        <v>2545332.38416901</v>
      </c>
      <c r="AN73" s="106">
        <v>6.7140818792144868E-2</v>
      </c>
      <c r="AO73" s="104">
        <v>1788611.9456322773</v>
      </c>
      <c r="AP73" s="106">
        <v>8.1365650017113742E-3</v>
      </c>
      <c r="AQ73" s="109">
        <v>24</v>
      </c>
      <c r="AR73" s="101">
        <v>7</v>
      </c>
      <c r="AS73" s="105">
        <v>2500642.6470929678</v>
      </c>
      <c r="AT73" s="104">
        <v>4289254.5927252453</v>
      </c>
      <c r="AU73" s="101">
        <v>10</v>
      </c>
      <c r="AV73" s="109">
        <v>0</v>
      </c>
      <c r="AW73" s="109">
        <v>0</v>
      </c>
      <c r="AX73" s="109">
        <v>10</v>
      </c>
      <c r="AY73" s="110">
        <v>0</v>
      </c>
      <c r="AZ73" s="109">
        <v>11793.531890489328</v>
      </c>
      <c r="BA73" s="102">
        <v>34.803416247165771</v>
      </c>
      <c r="BB73" s="106">
        <v>0.67132057915240906</v>
      </c>
      <c r="BC73" s="111">
        <v>469.39733380416237</v>
      </c>
      <c r="BD73" s="74" t="s">
        <v>1177</v>
      </c>
      <c r="BE73" s="88" t="str">
        <f>IFERROR(_xlfn.XLOOKUP([2]!BaseMaestraCeDi[[#This Row],[CeDi]], '[2]Potencial Hor x CeDi'!$B$6:$BU$6, '[2]Potencial Hor x CeDi'!$B$21:$BU$21) / 1000, "")</f>
        <v/>
      </c>
      <c r="BF73" s="89" t="str">
        <f>IFERROR(_xlfn.XLOOKUP([2]!BaseMaestraCeDi[[#This Row],[CeDi]], '[2]Potencial Hor x CeDi'!$B$6:$BU$6, '[2]Potencial Hor x CeDi'!$B$22:$BU$22) / 1000, "")</f>
        <v/>
      </c>
      <c r="BG73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73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73" s="78">
        <f>IFERROR(INDEX('[2]Potencial Hor SocioDem x CeDi'!$C$2:$AF$81, MATCH($C73,'[2]Potencial Hor SocioDem x CeDi'!$B$2:$B$81,0), MATCH(BI$4,'[2]Potencial Hor SocioDem x CeDi'!$C$1:$AF$1,0)), "")</f>
        <v>5855</v>
      </c>
      <c r="BJ73" s="78">
        <f>IFERROR(INDEX('[2]Potencial Hor SocioDem x CeDi'!$C$2:$AF$81, MATCH($C73,'[2]Potencial Hor SocioDem x CeDi'!$B$2:$B$81,0), MATCH(BJ$4,'[2]Potencial Hor SocioDem x CeDi'!$C$1:$AF$1,0)), "")</f>
        <v>257165</v>
      </c>
      <c r="BK73" s="78">
        <f>IFERROR(INDEX('[2]Potencial Hor SocioDem x CeDi'!$C$2:$AF$81, MATCH($C73,'[2]Potencial Hor SocioDem x CeDi'!$B$2:$B$81,0), MATCH(BK$4,'[2]Potencial Hor SocioDem x CeDi'!$C$1:$AF$1,0)), "")</f>
        <v>80754</v>
      </c>
      <c r="BL73" s="79">
        <f>IFERROR(INDEX('[2]Potencial Hor SocioDem x CeDi'!$C$2:$AF$81, MATCH($C73,'[2]Potencial Hor SocioDem x CeDi'!$B$2:$B$81,0), MATCH(BL$4,'[2]Potencial Hor SocioDem x CeDi'!$C$1:$AF$1,0)), "")</f>
        <v>3.1845481338385708</v>
      </c>
      <c r="BM73" s="79">
        <f>IFERROR(INDEX('[2]Potencial Hor SocioDem x CeDi'!$C$2:$AF$81, MATCH($C73,'[2]Potencial Hor SocioDem x CeDi'!$B$2:$B$81,0), MATCH(BM$4,'[2]Potencial Hor SocioDem x CeDi'!$C$1:$AF$1,0)), "")</f>
        <v>13.792314261315109</v>
      </c>
      <c r="BN73" s="78">
        <f>IFERROR(INDEX('[2]Potencial Hor SocioDem x CeDi'!$C$2:$AF$81, MATCH($C73,'[2]Potencial Hor SocioDem x CeDi'!$B$2:$B$81,0), MATCH(BN$4,'[2]Potencial Hor SocioDem x CeDi'!$C$1:$AF$1,0)), "")</f>
        <v>3001</v>
      </c>
      <c r="BO73" s="78">
        <f>IFERROR(INDEX('[2]Potencial Hor SocioDem x CeDi'!$C$2:$AF$81, MATCH($C73,'[2]Potencial Hor SocioDem x CeDi'!$B$2:$B$81,0), MATCH(BO$4,'[2]Potencial Hor SocioDem x CeDi'!$C$1:$AF$1,0)), "")</f>
        <v>23401</v>
      </c>
      <c r="BP73" s="78">
        <f>IFERROR(INDEX('[2]Potencial Hor SocioDem x CeDi'!$C$2:$AF$81, MATCH($C73,'[2]Potencial Hor SocioDem x CeDi'!$B$2:$B$81,0), MATCH(BP$4,'[2]Potencial Hor SocioDem x CeDi'!$C$1:$AF$1,0)), "")</f>
        <v>26402</v>
      </c>
      <c r="BQ73" s="80">
        <f>IFERROR(INDEX('[2]Potencial Hor SocioDem x CeDi'!$C$2:$AF$81, MATCH($C73,'[2]Potencial Hor SocioDem x CeDi'!$B$2:$B$81,0), MATCH(BQ$4,'[2]Potencial Hor SocioDem x CeDi'!$C$1:$AF$1,0)), "")</f>
        <v>0.32694355697550592</v>
      </c>
      <c r="BR73" s="80">
        <f>IFERROR(INDEX('[2]Potencial Hor SocioDem x CeDi'!$C$2:$AF$81, MATCH($C73,'[2]Potencial Hor SocioDem x CeDi'!$B$2:$B$81,0), MATCH(BR$4,'[2]Potencial Hor SocioDem x CeDi'!$C$1:$AF$1,0)), "")</f>
        <v>3.7162245833023751E-2</v>
      </c>
      <c r="BS73" s="80">
        <f>IFERROR(INDEX('[2]Potencial Hor SocioDem x CeDi'!$C$2:$AF$81, MATCH($C73,'[2]Potencial Hor SocioDem x CeDi'!$B$2:$B$81,0), MATCH(BS$4,'[2]Potencial Hor SocioDem x CeDi'!$C$1:$AF$1,0)), "")</f>
        <v>0.28978131114248212</v>
      </c>
      <c r="BT73" s="80">
        <f>IFERROR(INDEX('[2]Potencial Hor SocioDem x CeDi'!$C$2:$AF$81, MATCH($C73,'[2]Potencial Hor SocioDem x CeDi'!$B$2:$B$81,0), MATCH(BT$4,'[2]Potencial Hor SocioDem x CeDi'!$C$1:$AF$1,0)), "")</f>
        <v>0.35021175421650941</v>
      </c>
      <c r="BU73" s="80">
        <f>IFERROR(INDEX('[2]Potencial Hor SocioDem x CeDi'!$C$2:$AF$81, MATCH($C73,'[2]Potencial Hor SocioDem x CeDi'!$B$2:$B$81,0), MATCH(BU$4,'[2]Potencial Hor SocioDem x CeDi'!$C$1:$AF$1,0)), "")</f>
        <v>8.7921341357703645E-2</v>
      </c>
      <c r="BV73" s="80">
        <f>IFERROR(INDEX('[2]Potencial Hor SocioDem x CeDi'!$C$2:$AF$81, MATCH($C73,'[2]Potencial Hor SocioDem x CeDi'!$B$2:$B$81,0), MATCH(BV$4,'[2]Potencial Hor SocioDem x CeDi'!$C$1:$AF$1,0)), "")</f>
        <v>1.495901131832479E-2</v>
      </c>
      <c r="BW73" s="80">
        <f>IFERROR(INDEX('[2]Potencial Hor SocioDem x CeDi'!$C$2:$AF$81, MATCH($C73,'[2]Potencial Hor SocioDem x CeDi'!$B$2:$B$81,0), MATCH(BW$4,'[2]Potencial Hor SocioDem x CeDi'!$C$1:$AF$1,0)), "")</f>
        <v>0.21795824355449889</v>
      </c>
      <c r="BX73" s="80">
        <f>IFERROR(INDEX('[2]Potencial Hor SocioDem x CeDi'!$C$2:$AF$81, MATCH($C73,'[2]Potencial Hor SocioDem x CeDi'!$B$2:$B$81,0), MATCH(BX$4,'[2]Potencial Hor SocioDem x CeDi'!$C$1:$AF$1,0)), "")</f>
        <v>1.820343264729921E-3</v>
      </c>
      <c r="BY73" s="80">
        <f>IFERROR(INDEX('[2]Potencial Hor SocioDem x CeDi'!$C$2:$AF$81, MATCH($C73,'[2]Potencial Hor SocioDem x CeDi'!$B$2:$B$81,0), MATCH(BY$4,'[2]Potencial Hor SocioDem x CeDi'!$C$1:$AF$1,0)), "")</f>
        <v>1.8574931272754289E-4</v>
      </c>
      <c r="BZ73" s="79">
        <f>IFERROR(INDEX('[2]Potencial Hor SocioDem x CeDi'!$C$2:$AF$81, MATCH($C73,'[2]Potencial Hor SocioDem x CeDi'!$B$2:$B$81,0), MATCH(BZ$4,'[2]Potencial Hor SocioDem x CeDi'!$C$1:$AF$1,0)), "")</f>
        <v>3.3947076779499539</v>
      </c>
      <c r="CA73" s="79">
        <f>IFERROR(INDEX('[2]Potencial Hor SocioDem x CeDi'!$C$2:$AF$81, MATCH($C73,'[2]Potencial Hor SocioDem x CeDi'!$B$2:$B$81,0), MATCH(CA$4,'[2]Potencial Hor SocioDem x CeDi'!$C$1:$AF$1,0)), "")</f>
        <v>0.55995178192988937</v>
      </c>
      <c r="CB73" s="81">
        <f>IFERROR(INDEX('[2]Potencial Hor SocioDem x CeDi'!$C$2:$AF$81, MATCH($C73,'[2]Potencial Hor SocioDem x CeDi'!$B$2:$B$81,0), MATCH(CB$4,'[2]Potencial Hor SocioDem x CeDi'!$C$1:$AF$1,0)), "")</f>
        <v>2320</v>
      </c>
      <c r="CC73" s="82">
        <f>IFERROR(INDEX('[2]Potencial Hor SocioDem x CeDi'!$C$2:$AF$81, MATCH($C73,'[2]Potencial Hor SocioDem x CeDi'!$B$2:$B$81,0), MATCH(CC$4,'[2]Potencial Hor SocioDem x CeDi'!$C$1:$AF$1,0)), "")</f>
        <v>1292</v>
      </c>
      <c r="CD73" s="83">
        <f>IFERROR(INDEX('[2]Potencial Hor SocioDem x CeDi'!$C$2:$AF$81, MATCH($C73,'[2]Potencial Hor SocioDem x CeDi'!$B$2:$B$81,0), MATCH(CD$4,'[2]Potencial Hor SocioDem x CeDi'!$C$1:$AF$1,0)), "")</f>
        <v>4.8935686690402241E-2</v>
      </c>
      <c r="CE73" s="78" t="str">
        <f>IFERROR(_xlfn.XLOOKUP([2]!BaseMaestraCeDi[[#This Row],[CeDi]], '[2]Potencial Hor x CeDi'!$B$6:$BU$6, '[2]Potencial Hor x CeDi'!$B$50:$BU$50), "")</f>
        <v/>
      </c>
      <c r="CF73" s="90" t="str">
        <f>IFERROR(_xlfn.XLOOKUP([2]!BaseMaestraCeDi[[#This Row],[CeDi]], '[2]Potencial Hor x CeDi'!$B$6:$BU$6, '[2]Potencial Hor x CeDi'!$B$34:$BU$34), "")</f>
        <v/>
      </c>
      <c r="CG73" s="90" t="str">
        <f>IFERROR(_xlfn.XLOOKUP([2]!BaseMaestraCeDi[[#This Row],[CeDi]], '[2]Potencial Hor x CeDi'!$B$6:$BU$6, '[2]Potencial Hor x CeDi'!$B$64:$BU$64), "")</f>
        <v/>
      </c>
      <c r="CH73" s="91" t="str">
        <f>IFERROR(_xlfn.XLOOKUP([2]!BaseMaestraCeDi[[#This Row],[CeDi]], '[2]Potencial Hor x CeDi'!$B$6:$BU$6, '[2]Potencial Hor x CeDi'!$B$38:$BU$38), "")</f>
        <v/>
      </c>
      <c r="CI73" s="90" t="str">
        <f>IFERROR(_xlfn.XLOOKUP([2]!BaseMaestraCeDi[[#This Row],[CeDi]], '[2]Potencial Hor x CeDi'!$B$6:$BU$6, '[2]Potencial Hor x CeDi'!$B$26:$BU$26), "")</f>
        <v/>
      </c>
      <c r="CJ73" s="92" t="str">
        <f>IFERROR(_xlfn.XLOOKUP([2]!BaseMaestraCeDi[[#This Row],[CeDi]], '[2]Potencial Hor x CeDi'!$B$6:$BU$6, '[2]Potencial Hor x CeDi'!$B$27:$BU$27), "")</f>
        <v/>
      </c>
      <c r="CK73" s="90" t="str">
        <f>IFERROR(_xlfn.XLOOKUP([2]!BaseMaestraCeDi[[#This Row],[CeDi]], '[2]Potencial Hor x CeDi'!$B$6:$BU$6, '[2]Potencial Hor x CeDi'!$B$28:$BU$28), "")</f>
        <v/>
      </c>
      <c r="CL73" s="92" t="str">
        <f>IFERROR(_xlfn.XLOOKUP([2]!BaseMaestraCeDi[[#This Row],[CeDi]], '[2]Potencial Hor x CeDi'!$B$6:$BU$6, '[2]Potencial Hor x CeDi'!$B$29:$BU$29), "")</f>
        <v/>
      </c>
      <c r="CM73" s="93" t="str">
        <f>IFERROR(_xlfn.XLOOKUP([2]!BaseMaestraCeDi[[#This Row],[CeDi]], '[2]Potencial Hor x CeDi'!$B$6:$BU$6, '[2]Potencial Hor x CeDi'!$B$39:$BU$39), "")</f>
        <v/>
      </c>
      <c r="CN73" s="94" t="str">
        <f>IFERROR(_xlfn.XLOOKUP([2]!BaseMaestraCeDi[[#This Row],[CeDi]], '[2]Potencial Hor x CeDi'!$B$6:$BU$6, '[2]Potencial Hor x CeDi'!$B$43:$BU$43), "")</f>
        <v/>
      </c>
      <c r="CO73" s="94" t="str">
        <f>IFERROR(_xlfn.XLOOKUP([2]!BaseMaestraCeDi[[#This Row],[CeDi]], '[2]Potencial Hor x CeDi'!$B$6:$BU$6, '[2]Potencial Hor x CeDi'!$B$46:$BU$46), "")</f>
        <v/>
      </c>
      <c r="CP73" s="86" t="str">
        <f>IFERROR(_xlfn.XLOOKUP([2]!BaseMaestraCeDi[[#This Row],[CeDi]], '[2]Potencial Hor x CeDi'!$B$6:$BU$6, '[2]Potencial Hor x CeDi'!$B$51:$BU$51), "")</f>
        <v/>
      </c>
      <c r="CQ73" s="82" t="str">
        <f>IFERROR(_xlfn.XLOOKUP([2]!BaseMaestraCeDi[[#This Row],[CeDi]], '[2]Potencial Hor x CeDi'!$B$6:$BU$6, '[2]Potencial Hor x CeDi'!$B$52:$BU$52), "")</f>
        <v/>
      </c>
      <c r="CR73" s="82" t="str">
        <f>IFERROR(_xlfn.XLOOKUP([2]!BaseMaestraCeDi[[#This Row],[CeDi]], '[2]Potencial Hor x CeDi'!$B$6:$BU$6, '[2]Potencial Hor x CeDi'!$B$53:$BU$53), "")</f>
        <v/>
      </c>
      <c r="CS73" s="87" t="str">
        <f>IFERROR(_xlfn.XLOOKUP([2]!BaseMaestraCeDi[[#This Row],[CeDi]], '[2]Potencial Hor x CeDi'!$B$6:$BU$6, '[2]Potencial Hor x CeDi'!$B$60:$BU$60), "")</f>
        <v/>
      </c>
      <c r="CT73" s="90" t="str">
        <f>IFERROR(_xlfn.XLOOKUP([2]!BaseMaestraCeDi[[#This Row],[CeDi]], '[2]Potencial Hor x CeDi'!$B$6:$BU$6, '[2]Potencial Hor x CeDi'!$B$65:$BU$65), "")</f>
        <v/>
      </c>
      <c r="CU73" s="90" t="str">
        <f>IFERROR(_xlfn.XLOOKUP([2]!BaseMaestraCeDi[[#This Row],[CeDi]], '[2]Potencial Hor x CeDi'!$B$6:$BU$6, '[2]Potencial Hor x CeDi'!$B$68:$BU$68), "")</f>
        <v/>
      </c>
      <c r="CV73" s="95" t="str">
        <f>IFERROR(_xlfn.XLOOKUP([2]!BaseMaestraCeDi[[#This Row],[CeDi]], '[2]Potencial Hor x CeDi'!$B$6:$BU$6, '[2]Potencial Hor x CeDi'!$B$71:$BU$71), "")</f>
        <v/>
      </c>
    </row>
    <row r="74" spans="1:100">
      <c r="A74" s="112" t="s">
        <v>95</v>
      </c>
      <c r="B74" s="112" t="s">
        <v>1003</v>
      </c>
      <c r="C74" s="112" t="s">
        <v>1015</v>
      </c>
      <c r="D74" s="113">
        <v>7</v>
      </c>
      <c r="E74" s="114">
        <v>1612.6816012653248</v>
      </c>
      <c r="F74" s="115">
        <v>33.525678364019804</v>
      </c>
      <c r="G74" s="115">
        <v>1646.2072796293446</v>
      </c>
      <c r="H74" s="116">
        <v>4541.6334478935387</v>
      </c>
      <c r="I74" s="117">
        <v>7968.9330535749395</v>
      </c>
      <c r="J74" s="117">
        <v>946.60381926438231</v>
      </c>
      <c r="K74" s="117">
        <v>13457.170320732861</v>
      </c>
      <c r="L74" s="116">
        <v>28651.654677981514</v>
      </c>
      <c r="M74" s="118">
        <v>0.46968213431228284</v>
      </c>
      <c r="N74" s="119" t="s">
        <v>171</v>
      </c>
      <c r="O74" s="114">
        <v>35.720193935563003</v>
      </c>
      <c r="P74" s="115">
        <v>2</v>
      </c>
      <c r="Q74" s="115">
        <v>3</v>
      </c>
      <c r="R74" s="120">
        <v>11</v>
      </c>
      <c r="S74" s="119">
        <v>104</v>
      </c>
      <c r="T74" s="121">
        <v>0.97499719335107349</v>
      </c>
      <c r="U74" s="118">
        <v>2.5002806648926512E-2</v>
      </c>
      <c r="V74" s="118">
        <v>0.87740646194900795</v>
      </c>
      <c r="W74" s="118">
        <v>0.12223977964648004</v>
      </c>
      <c r="X74" s="118">
        <v>3.5375840451198443E-4</v>
      </c>
      <c r="Y74" s="116">
        <v>25139.146959992504</v>
      </c>
      <c r="Z74" s="117">
        <v>3502.3719543434995</v>
      </c>
      <c r="AA74" s="117">
        <v>10.135763645511075</v>
      </c>
      <c r="AB74" s="117">
        <v>114387.40652958151</v>
      </c>
      <c r="AC74" s="113">
        <v>8</v>
      </c>
      <c r="AD74" s="122">
        <v>6</v>
      </c>
      <c r="AE74" s="113">
        <v>122575</v>
      </c>
      <c r="AF74" s="122">
        <v>64238</v>
      </c>
      <c r="AG74" s="123">
        <v>0.52407097695288596</v>
      </c>
      <c r="AH74" s="118">
        <v>0.55502999868182545</v>
      </c>
      <c r="AI74" s="113">
        <v>4169.1247874137234</v>
      </c>
      <c r="AJ74" s="122">
        <v>2084.5623937068617</v>
      </c>
      <c r="AK74" s="118">
        <v>0.54107740072369459</v>
      </c>
      <c r="AL74" s="116">
        <v>39902991.640000008</v>
      </c>
      <c r="AM74" s="117">
        <v>1247489.2104579238</v>
      </c>
      <c r="AN74" s="118">
        <v>3.126304969092597E-2</v>
      </c>
      <c r="AO74" s="116">
        <v>876614.03978124377</v>
      </c>
      <c r="AP74" s="118">
        <v>3.9878002232460186E-3</v>
      </c>
      <c r="AQ74" s="122">
        <v>31</v>
      </c>
      <c r="AR74" s="113">
        <v>6</v>
      </c>
      <c r="AS74" s="117">
        <v>4779670.1237850357</v>
      </c>
      <c r="AT74" s="116">
        <v>5656284.1635662792</v>
      </c>
      <c r="AU74" s="113">
        <v>8</v>
      </c>
      <c r="AV74" s="122">
        <v>0</v>
      </c>
      <c r="AW74" s="122">
        <v>4</v>
      </c>
      <c r="AX74" s="122">
        <v>4</v>
      </c>
      <c r="AY74" s="123">
        <v>0</v>
      </c>
      <c r="AZ74" s="122">
        <v>4728.9541536216311</v>
      </c>
      <c r="BA74" s="114">
        <v>35.720193935563017</v>
      </c>
      <c r="BB74" s="118">
        <v>0.4782371131481663</v>
      </c>
      <c r="BC74" s="124">
        <v>672.17030047817741</v>
      </c>
      <c r="BD74" s="74" t="s">
        <v>1178</v>
      </c>
      <c r="BE74" s="88" t="str">
        <f>IFERROR(_xlfn.XLOOKUP([2]!BaseMaestraCeDi[[#This Row],[CeDi]], '[2]Potencial Hor x CeDi'!$B$6:$BU$6, '[2]Potencial Hor x CeDi'!$B$21:$BU$21) / 1000, "")</f>
        <v/>
      </c>
      <c r="BF74" s="89" t="str">
        <f>IFERROR(_xlfn.XLOOKUP([2]!BaseMaestraCeDi[[#This Row],[CeDi]], '[2]Potencial Hor x CeDi'!$B$6:$BU$6, '[2]Potencial Hor x CeDi'!$B$22:$BU$22) / 1000, "")</f>
        <v/>
      </c>
      <c r="BG74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74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74" s="78" t="str">
        <f>IFERROR(INDEX('[2]Potencial Hor SocioDem x CeDi'!$C$2:$AF$81, MATCH($C74,'[2]Potencial Hor SocioDem x CeDi'!$B$2:$B$81,0), MATCH(BI$4,'[2]Potencial Hor SocioDem x CeDi'!$C$1:$AF$1,0)), "")</f>
        <v/>
      </c>
      <c r="BJ74" s="78" t="str">
        <f>IFERROR(INDEX('[2]Potencial Hor SocioDem x CeDi'!$C$2:$AF$81, MATCH($C74,'[2]Potencial Hor SocioDem x CeDi'!$B$2:$B$81,0), MATCH(BJ$4,'[2]Potencial Hor SocioDem x CeDi'!$C$1:$AF$1,0)), "")</f>
        <v/>
      </c>
      <c r="BK74" s="78" t="str">
        <f>IFERROR(INDEX('[2]Potencial Hor SocioDem x CeDi'!$C$2:$AF$81, MATCH($C74,'[2]Potencial Hor SocioDem x CeDi'!$B$2:$B$81,0), MATCH(BK$4,'[2]Potencial Hor SocioDem x CeDi'!$C$1:$AF$1,0)), "")</f>
        <v/>
      </c>
      <c r="BL74" s="79" t="str">
        <f>IFERROR(INDEX('[2]Potencial Hor SocioDem x CeDi'!$C$2:$AF$81, MATCH($C74,'[2]Potencial Hor SocioDem x CeDi'!$B$2:$B$81,0), MATCH(BL$4,'[2]Potencial Hor SocioDem x CeDi'!$C$1:$AF$1,0)), "")</f>
        <v/>
      </c>
      <c r="BM74" s="79" t="str">
        <f>IFERROR(INDEX('[2]Potencial Hor SocioDem x CeDi'!$C$2:$AF$81, MATCH($C74,'[2]Potencial Hor SocioDem x CeDi'!$B$2:$B$81,0), MATCH(BM$4,'[2]Potencial Hor SocioDem x CeDi'!$C$1:$AF$1,0)), "")</f>
        <v/>
      </c>
      <c r="BN74" s="78" t="str">
        <f>IFERROR(INDEX('[2]Potencial Hor SocioDem x CeDi'!$C$2:$AF$81, MATCH($C74,'[2]Potencial Hor SocioDem x CeDi'!$B$2:$B$81,0), MATCH(BN$4,'[2]Potencial Hor SocioDem x CeDi'!$C$1:$AF$1,0)), "")</f>
        <v/>
      </c>
      <c r="BO74" s="78" t="str">
        <f>IFERROR(INDEX('[2]Potencial Hor SocioDem x CeDi'!$C$2:$AF$81, MATCH($C74,'[2]Potencial Hor SocioDem x CeDi'!$B$2:$B$81,0), MATCH(BO$4,'[2]Potencial Hor SocioDem x CeDi'!$C$1:$AF$1,0)), "")</f>
        <v/>
      </c>
      <c r="BP74" s="78" t="str">
        <f>IFERROR(INDEX('[2]Potencial Hor SocioDem x CeDi'!$C$2:$AF$81, MATCH($C74,'[2]Potencial Hor SocioDem x CeDi'!$B$2:$B$81,0), MATCH(BP$4,'[2]Potencial Hor SocioDem x CeDi'!$C$1:$AF$1,0)), "")</f>
        <v/>
      </c>
      <c r="BQ74" s="80" t="str">
        <f>IFERROR(INDEX('[2]Potencial Hor SocioDem x CeDi'!$C$2:$AF$81, MATCH($C74,'[2]Potencial Hor SocioDem x CeDi'!$B$2:$B$81,0), MATCH(BQ$4,'[2]Potencial Hor SocioDem x CeDi'!$C$1:$AF$1,0)), "")</f>
        <v/>
      </c>
      <c r="BR74" s="80" t="str">
        <f>IFERROR(INDEX('[2]Potencial Hor SocioDem x CeDi'!$C$2:$AF$81, MATCH($C74,'[2]Potencial Hor SocioDem x CeDi'!$B$2:$B$81,0), MATCH(BR$4,'[2]Potencial Hor SocioDem x CeDi'!$C$1:$AF$1,0)), "")</f>
        <v/>
      </c>
      <c r="BS74" s="80" t="str">
        <f>IFERROR(INDEX('[2]Potencial Hor SocioDem x CeDi'!$C$2:$AF$81, MATCH($C74,'[2]Potencial Hor SocioDem x CeDi'!$B$2:$B$81,0), MATCH(BS$4,'[2]Potencial Hor SocioDem x CeDi'!$C$1:$AF$1,0)), "")</f>
        <v/>
      </c>
      <c r="BT74" s="80" t="str">
        <f>IFERROR(INDEX('[2]Potencial Hor SocioDem x CeDi'!$C$2:$AF$81, MATCH($C74,'[2]Potencial Hor SocioDem x CeDi'!$B$2:$B$81,0), MATCH(BT$4,'[2]Potencial Hor SocioDem x CeDi'!$C$1:$AF$1,0)), "")</f>
        <v/>
      </c>
      <c r="BU74" s="80" t="str">
        <f>IFERROR(INDEX('[2]Potencial Hor SocioDem x CeDi'!$C$2:$AF$81, MATCH($C74,'[2]Potencial Hor SocioDem x CeDi'!$B$2:$B$81,0), MATCH(BU$4,'[2]Potencial Hor SocioDem x CeDi'!$C$1:$AF$1,0)), "")</f>
        <v/>
      </c>
      <c r="BV74" s="80" t="str">
        <f>IFERROR(INDEX('[2]Potencial Hor SocioDem x CeDi'!$C$2:$AF$81, MATCH($C74,'[2]Potencial Hor SocioDem x CeDi'!$B$2:$B$81,0), MATCH(BV$4,'[2]Potencial Hor SocioDem x CeDi'!$C$1:$AF$1,0)), "")</f>
        <v/>
      </c>
      <c r="BW74" s="80" t="str">
        <f>IFERROR(INDEX('[2]Potencial Hor SocioDem x CeDi'!$C$2:$AF$81, MATCH($C74,'[2]Potencial Hor SocioDem x CeDi'!$B$2:$B$81,0), MATCH(BW$4,'[2]Potencial Hor SocioDem x CeDi'!$C$1:$AF$1,0)), "")</f>
        <v/>
      </c>
      <c r="BX74" s="80" t="str">
        <f>IFERROR(INDEX('[2]Potencial Hor SocioDem x CeDi'!$C$2:$AF$81, MATCH($C74,'[2]Potencial Hor SocioDem x CeDi'!$B$2:$B$81,0), MATCH(BX$4,'[2]Potencial Hor SocioDem x CeDi'!$C$1:$AF$1,0)), "")</f>
        <v/>
      </c>
      <c r="BY74" s="80" t="str">
        <f>IFERROR(INDEX('[2]Potencial Hor SocioDem x CeDi'!$C$2:$AF$81, MATCH($C74,'[2]Potencial Hor SocioDem x CeDi'!$B$2:$B$81,0), MATCH(BY$4,'[2]Potencial Hor SocioDem x CeDi'!$C$1:$AF$1,0)), "")</f>
        <v/>
      </c>
      <c r="BZ74" s="79" t="str">
        <f>IFERROR(INDEX('[2]Potencial Hor SocioDem x CeDi'!$C$2:$AF$81, MATCH($C74,'[2]Potencial Hor SocioDem x CeDi'!$B$2:$B$81,0), MATCH(BZ$4,'[2]Potencial Hor SocioDem x CeDi'!$C$1:$AF$1,0)), "")</f>
        <v/>
      </c>
      <c r="CA74" s="79" t="str">
        <f>IFERROR(INDEX('[2]Potencial Hor SocioDem x CeDi'!$C$2:$AF$81, MATCH($C74,'[2]Potencial Hor SocioDem x CeDi'!$B$2:$B$81,0), MATCH(CA$4,'[2]Potencial Hor SocioDem x CeDi'!$C$1:$AF$1,0)), "")</f>
        <v/>
      </c>
      <c r="CB74" s="81" t="str">
        <f>IFERROR(INDEX('[2]Potencial Hor SocioDem x CeDi'!$C$2:$AF$81, MATCH($C74,'[2]Potencial Hor SocioDem x CeDi'!$B$2:$B$81,0), MATCH(CB$4,'[2]Potencial Hor SocioDem x CeDi'!$C$1:$AF$1,0)), "")</f>
        <v/>
      </c>
      <c r="CC74" s="82" t="str">
        <f>IFERROR(INDEX('[2]Potencial Hor SocioDem x CeDi'!$C$2:$AF$81, MATCH($C74,'[2]Potencial Hor SocioDem x CeDi'!$B$2:$B$81,0), MATCH(CC$4,'[2]Potencial Hor SocioDem x CeDi'!$C$1:$AF$1,0)), "")</f>
        <v/>
      </c>
      <c r="CD74" s="83" t="str">
        <f>IFERROR(INDEX('[2]Potencial Hor SocioDem x CeDi'!$C$2:$AF$81, MATCH($C74,'[2]Potencial Hor SocioDem x CeDi'!$B$2:$B$81,0), MATCH(CD$4,'[2]Potencial Hor SocioDem x CeDi'!$C$1:$AF$1,0)), "")</f>
        <v/>
      </c>
      <c r="CE74" s="78" t="str">
        <f>IFERROR(_xlfn.XLOOKUP([2]!BaseMaestraCeDi[[#This Row],[CeDi]], '[2]Potencial Hor x CeDi'!$B$6:$BU$6, '[2]Potencial Hor x CeDi'!$B$50:$BU$50), "")</f>
        <v/>
      </c>
      <c r="CF74" s="90" t="str">
        <f>IFERROR(_xlfn.XLOOKUP([2]!BaseMaestraCeDi[[#This Row],[CeDi]], '[2]Potencial Hor x CeDi'!$B$6:$BU$6, '[2]Potencial Hor x CeDi'!$B$34:$BU$34), "")</f>
        <v/>
      </c>
      <c r="CG74" s="90" t="str">
        <f>IFERROR(_xlfn.XLOOKUP([2]!BaseMaestraCeDi[[#This Row],[CeDi]], '[2]Potencial Hor x CeDi'!$B$6:$BU$6, '[2]Potencial Hor x CeDi'!$B$64:$BU$64), "")</f>
        <v/>
      </c>
      <c r="CH74" s="91" t="str">
        <f>IFERROR(_xlfn.XLOOKUP([2]!BaseMaestraCeDi[[#This Row],[CeDi]], '[2]Potencial Hor x CeDi'!$B$6:$BU$6, '[2]Potencial Hor x CeDi'!$B$38:$BU$38), "")</f>
        <v/>
      </c>
      <c r="CI74" s="90" t="str">
        <f>IFERROR(_xlfn.XLOOKUP([2]!BaseMaestraCeDi[[#This Row],[CeDi]], '[2]Potencial Hor x CeDi'!$B$6:$BU$6, '[2]Potencial Hor x CeDi'!$B$26:$BU$26), "")</f>
        <v/>
      </c>
      <c r="CJ74" s="92" t="str">
        <f>IFERROR(_xlfn.XLOOKUP([2]!BaseMaestraCeDi[[#This Row],[CeDi]], '[2]Potencial Hor x CeDi'!$B$6:$BU$6, '[2]Potencial Hor x CeDi'!$B$27:$BU$27), "")</f>
        <v/>
      </c>
      <c r="CK74" s="90" t="str">
        <f>IFERROR(_xlfn.XLOOKUP([2]!BaseMaestraCeDi[[#This Row],[CeDi]], '[2]Potencial Hor x CeDi'!$B$6:$BU$6, '[2]Potencial Hor x CeDi'!$B$28:$BU$28), "")</f>
        <v/>
      </c>
      <c r="CL74" s="92" t="str">
        <f>IFERROR(_xlfn.XLOOKUP([2]!BaseMaestraCeDi[[#This Row],[CeDi]], '[2]Potencial Hor x CeDi'!$B$6:$BU$6, '[2]Potencial Hor x CeDi'!$B$29:$BU$29), "")</f>
        <v/>
      </c>
      <c r="CM74" s="93" t="str">
        <f>IFERROR(_xlfn.XLOOKUP([2]!BaseMaestraCeDi[[#This Row],[CeDi]], '[2]Potencial Hor x CeDi'!$B$6:$BU$6, '[2]Potencial Hor x CeDi'!$B$39:$BU$39), "")</f>
        <v/>
      </c>
      <c r="CN74" s="94" t="str">
        <f>IFERROR(_xlfn.XLOOKUP([2]!BaseMaestraCeDi[[#This Row],[CeDi]], '[2]Potencial Hor x CeDi'!$B$6:$BU$6, '[2]Potencial Hor x CeDi'!$B$43:$BU$43), "")</f>
        <v/>
      </c>
      <c r="CO74" s="94" t="str">
        <f>IFERROR(_xlfn.XLOOKUP([2]!BaseMaestraCeDi[[#This Row],[CeDi]], '[2]Potencial Hor x CeDi'!$B$6:$BU$6, '[2]Potencial Hor x CeDi'!$B$46:$BU$46), "")</f>
        <v/>
      </c>
      <c r="CP74" s="86" t="str">
        <f>IFERROR(_xlfn.XLOOKUP([2]!BaseMaestraCeDi[[#This Row],[CeDi]], '[2]Potencial Hor x CeDi'!$B$6:$BU$6, '[2]Potencial Hor x CeDi'!$B$51:$BU$51), "")</f>
        <v/>
      </c>
      <c r="CQ74" s="82" t="str">
        <f>IFERROR(_xlfn.XLOOKUP([2]!BaseMaestraCeDi[[#This Row],[CeDi]], '[2]Potencial Hor x CeDi'!$B$6:$BU$6, '[2]Potencial Hor x CeDi'!$B$52:$BU$52), "")</f>
        <v/>
      </c>
      <c r="CR74" s="82" t="str">
        <f>IFERROR(_xlfn.XLOOKUP([2]!BaseMaestraCeDi[[#This Row],[CeDi]], '[2]Potencial Hor x CeDi'!$B$6:$BU$6, '[2]Potencial Hor x CeDi'!$B$53:$BU$53), "")</f>
        <v/>
      </c>
      <c r="CS74" s="87" t="str">
        <f>IFERROR(_xlfn.XLOOKUP([2]!BaseMaestraCeDi[[#This Row],[CeDi]], '[2]Potencial Hor x CeDi'!$B$6:$BU$6, '[2]Potencial Hor x CeDi'!$B$60:$BU$60), "")</f>
        <v/>
      </c>
      <c r="CT74" s="90" t="str">
        <f>IFERROR(_xlfn.XLOOKUP([2]!BaseMaestraCeDi[[#This Row],[CeDi]], '[2]Potencial Hor x CeDi'!$B$6:$BU$6, '[2]Potencial Hor x CeDi'!$B$65:$BU$65), "")</f>
        <v/>
      </c>
      <c r="CU74" s="90" t="str">
        <f>IFERROR(_xlfn.XLOOKUP([2]!BaseMaestraCeDi[[#This Row],[CeDi]], '[2]Potencial Hor x CeDi'!$B$6:$BU$6, '[2]Potencial Hor x CeDi'!$B$68:$BU$68), "")</f>
        <v/>
      </c>
      <c r="CV74" s="95" t="str">
        <f>IFERROR(_xlfn.XLOOKUP([2]!BaseMaestraCeDi[[#This Row],[CeDi]], '[2]Potencial Hor x CeDi'!$B$6:$BU$6, '[2]Potencial Hor x CeDi'!$B$71:$BU$71), "")</f>
        <v/>
      </c>
    </row>
    <row r="75" spans="1:100">
      <c r="A75" s="100" t="s">
        <v>95</v>
      </c>
      <c r="B75" s="100" t="s">
        <v>320</v>
      </c>
      <c r="C75" s="100" t="s">
        <v>1024</v>
      </c>
      <c r="D75" s="101" t="s">
        <v>194</v>
      </c>
      <c r="E75" s="102" t="s">
        <v>194</v>
      </c>
      <c r="F75" s="103" t="s">
        <v>194</v>
      </c>
      <c r="G75" s="103" t="s">
        <v>194</v>
      </c>
      <c r="H75" s="104" t="s">
        <v>194</v>
      </c>
      <c r="I75" s="105" t="s">
        <v>194</v>
      </c>
      <c r="J75" s="105" t="s">
        <v>194</v>
      </c>
      <c r="K75" s="105" t="s">
        <v>194</v>
      </c>
      <c r="L75" s="104" t="s">
        <v>194</v>
      </c>
      <c r="M75" s="106" t="s">
        <v>194</v>
      </c>
      <c r="N75" s="107" t="s">
        <v>194</v>
      </c>
      <c r="O75" s="102" t="s">
        <v>194</v>
      </c>
      <c r="P75" s="103" t="s">
        <v>194</v>
      </c>
      <c r="Q75" s="103" t="s">
        <v>194</v>
      </c>
      <c r="R75" s="108" t="s">
        <v>194</v>
      </c>
      <c r="S75" s="107" t="s">
        <v>194</v>
      </c>
      <c r="T75" s="125" t="s">
        <v>194</v>
      </c>
      <c r="U75" s="106" t="s">
        <v>194</v>
      </c>
      <c r="V75" s="106" t="s">
        <v>194</v>
      </c>
      <c r="W75" s="106" t="s">
        <v>194</v>
      </c>
      <c r="X75" s="106" t="s">
        <v>194</v>
      </c>
      <c r="Y75" s="104" t="s">
        <v>194</v>
      </c>
      <c r="Z75" s="105" t="s">
        <v>194</v>
      </c>
      <c r="AA75" s="105" t="s">
        <v>194</v>
      </c>
      <c r="AB75" s="105" t="s">
        <v>194</v>
      </c>
      <c r="AC75" s="101">
        <v>0</v>
      </c>
      <c r="AD75" s="109">
        <v>0</v>
      </c>
      <c r="AE75" s="101">
        <v>0</v>
      </c>
      <c r="AF75" s="109">
        <v>0</v>
      </c>
      <c r="AG75" s="110" t="s">
        <v>194</v>
      </c>
      <c r="AH75" s="106" t="s">
        <v>194</v>
      </c>
      <c r="AI75" s="101">
        <v>0</v>
      </c>
      <c r="AJ75" s="109">
        <v>0</v>
      </c>
      <c r="AK75" s="106" t="s">
        <v>194</v>
      </c>
      <c r="AL75" s="104">
        <v>0</v>
      </c>
      <c r="AM75" s="105">
        <v>0</v>
      </c>
      <c r="AN75" s="106" t="s">
        <v>194</v>
      </c>
      <c r="AO75" s="104">
        <v>0</v>
      </c>
      <c r="AP75" s="106">
        <v>0</v>
      </c>
      <c r="AQ75" s="109" t="s">
        <v>194</v>
      </c>
      <c r="AR75" s="101">
        <v>0</v>
      </c>
      <c r="AS75" s="105">
        <v>0</v>
      </c>
      <c r="AT75" s="104">
        <v>0</v>
      </c>
      <c r="AU75" s="101">
        <v>1</v>
      </c>
      <c r="AV75" s="109">
        <v>0</v>
      </c>
      <c r="AW75" s="109">
        <v>0</v>
      </c>
      <c r="AX75" s="109">
        <v>0</v>
      </c>
      <c r="AY75" s="110">
        <v>0</v>
      </c>
      <c r="AZ75" s="109">
        <v>0</v>
      </c>
      <c r="BA75" s="102" t="s">
        <v>194</v>
      </c>
      <c r="BB75" s="106" t="s">
        <v>194</v>
      </c>
      <c r="BC75" s="111" t="s">
        <v>194</v>
      </c>
      <c r="BD75" s="74"/>
      <c r="BE75" s="88" t="str">
        <f>IFERROR(_xlfn.XLOOKUP([2]!BaseMaestraCeDi[[#This Row],[CeDi]], '[2]Potencial Hor x CeDi'!$B$6:$BU$6, '[2]Potencial Hor x CeDi'!$B$21:$BU$21) / 1000, "")</f>
        <v/>
      </c>
      <c r="BF75" s="89" t="str">
        <f>IFERROR(_xlfn.XLOOKUP([2]!BaseMaestraCeDi[[#This Row],[CeDi]], '[2]Potencial Hor x CeDi'!$B$6:$BU$6, '[2]Potencial Hor x CeDi'!$B$22:$BU$22) / 1000, "")</f>
        <v/>
      </c>
      <c r="BG75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75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75" s="78" t="str">
        <f>IFERROR(INDEX('[2]Potencial Hor SocioDem x CeDi'!$C$2:$AF$81, MATCH($C75,'[2]Potencial Hor SocioDem x CeDi'!$B$2:$B$81,0), MATCH(BI$4,'[2]Potencial Hor SocioDem x CeDi'!$C$1:$AF$1,0)), "")</f>
        <v/>
      </c>
      <c r="BJ75" s="78" t="str">
        <f>IFERROR(INDEX('[2]Potencial Hor SocioDem x CeDi'!$C$2:$AF$81, MATCH($C75,'[2]Potencial Hor SocioDem x CeDi'!$B$2:$B$81,0), MATCH(BJ$4,'[2]Potencial Hor SocioDem x CeDi'!$C$1:$AF$1,0)), "")</f>
        <v/>
      </c>
      <c r="BK75" s="78" t="str">
        <f>IFERROR(INDEX('[2]Potencial Hor SocioDem x CeDi'!$C$2:$AF$81, MATCH($C75,'[2]Potencial Hor SocioDem x CeDi'!$B$2:$B$81,0), MATCH(BK$4,'[2]Potencial Hor SocioDem x CeDi'!$C$1:$AF$1,0)), "")</f>
        <v/>
      </c>
      <c r="BL75" s="79" t="str">
        <f>IFERROR(INDEX('[2]Potencial Hor SocioDem x CeDi'!$C$2:$AF$81, MATCH($C75,'[2]Potencial Hor SocioDem x CeDi'!$B$2:$B$81,0), MATCH(BL$4,'[2]Potencial Hor SocioDem x CeDi'!$C$1:$AF$1,0)), "")</f>
        <v/>
      </c>
      <c r="BM75" s="79" t="str">
        <f>IFERROR(INDEX('[2]Potencial Hor SocioDem x CeDi'!$C$2:$AF$81, MATCH($C75,'[2]Potencial Hor SocioDem x CeDi'!$B$2:$B$81,0), MATCH(BM$4,'[2]Potencial Hor SocioDem x CeDi'!$C$1:$AF$1,0)), "")</f>
        <v/>
      </c>
      <c r="BN75" s="78" t="str">
        <f>IFERROR(INDEX('[2]Potencial Hor SocioDem x CeDi'!$C$2:$AF$81, MATCH($C75,'[2]Potencial Hor SocioDem x CeDi'!$B$2:$B$81,0), MATCH(BN$4,'[2]Potencial Hor SocioDem x CeDi'!$C$1:$AF$1,0)), "")</f>
        <v/>
      </c>
      <c r="BO75" s="78" t="str">
        <f>IFERROR(INDEX('[2]Potencial Hor SocioDem x CeDi'!$C$2:$AF$81, MATCH($C75,'[2]Potencial Hor SocioDem x CeDi'!$B$2:$B$81,0), MATCH(BO$4,'[2]Potencial Hor SocioDem x CeDi'!$C$1:$AF$1,0)), "")</f>
        <v/>
      </c>
      <c r="BP75" s="78" t="str">
        <f>IFERROR(INDEX('[2]Potencial Hor SocioDem x CeDi'!$C$2:$AF$81, MATCH($C75,'[2]Potencial Hor SocioDem x CeDi'!$B$2:$B$81,0), MATCH(BP$4,'[2]Potencial Hor SocioDem x CeDi'!$C$1:$AF$1,0)), "")</f>
        <v/>
      </c>
      <c r="BQ75" s="80" t="str">
        <f>IFERROR(INDEX('[2]Potencial Hor SocioDem x CeDi'!$C$2:$AF$81, MATCH($C75,'[2]Potencial Hor SocioDem x CeDi'!$B$2:$B$81,0), MATCH(BQ$4,'[2]Potencial Hor SocioDem x CeDi'!$C$1:$AF$1,0)), "")</f>
        <v/>
      </c>
      <c r="BR75" s="80" t="str">
        <f>IFERROR(INDEX('[2]Potencial Hor SocioDem x CeDi'!$C$2:$AF$81, MATCH($C75,'[2]Potencial Hor SocioDem x CeDi'!$B$2:$B$81,0), MATCH(BR$4,'[2]Potencial Hor SocioDem x CeDi'!$C$1:$AF$1,0)), "")</f>
        <v/>
      </c>
      <c r="BS75" s="80" t="str">
        <f>IFERROR(INDEX('[2]Potencial Hor SocioDem x CeDi'!$C$2:$AF$81, MATCH($C75,'[2]Potencial Hor SocioDem x CeDi'!$B$2:$B$81,0), MATCH(BS$4,'[2]Potencial Hor SocioDem x CeDi'!$C$1:$AF$1,0)), "")</f>
        <v/>
      </c>
      <c r="BT75" s="80" t="str">
        <f>IFERROR(INDEX('[2]Potencial Hor SocioDem x CeDi'!$C$2:$AF$81, MATCH($C75,'[2]Potencial Hor SocioDem x CeDi'!$B$2:$B$81,0), MATCH(BT$4,'[2]Potencial Hor SocioDem x CeDi'!$C$1:$AF$1,0)), "")</f>
        <v/>
      </c>
      <c r="BU75" s="80" t="str">
        <f>IFERROR(INDEX('[2]Potencial Hor SocioDem x CeDi'!$C$2:$AF$81, MATCH($C75,'[2]Potencial Hor SocioDem x CeDi'!$B$2:$B$81,0), MATCH(BU$4,'[2]Potencial Hor SocioDem x CeDi'!$C$1:$AF$1,0)), "")</f>
        <v/>
      </c>
      <c r="BV75" s="80" t="str">
        <f>IFERROR(INDEX('[2]Potencial Hor SocioDem x CeDi'!$C$2:$AF$81, MATCH($C75,'[2]Potencial Hor SocioDem x CeDi'!$B$2:$B$81,0), MATCH(BV$4,'[2]Potencial Hor SocioDem x CeDi'!$C$1:$AF$1,0)), "")</f>
        <v/>
      </c>
      <c r="BW75" s="80" t="str">
        <f>IFERROR(INDEX('[2]Potencial Hor SocioDem x CeDi'!$C$2:$AF$81, MATCH($C75,'[2]Potencial Hor SocioDem x CeDi'!$B$2:$B$81,0), MATCH(BW$4,'[2]Potencial Hor SocioDem x CeDi'!$C$1:$AF$1,0)), "")</f>
        <v/>
      </c>
      <c r="BX75" s="80" t="str">
        <f>IFERROR(INDEX('[2]Potencial Hor SocioDem x CeDi'!$C$2:$AF$81, MATCH($C75,'[2]Potencial Hor SocioDem x CeDi'!$B$2:$B$81,0), MATCH(BX$4,'[2]Potencial Hor SocioDem x CeDi'!$C$1:$AF$1,0)), "")</f>
        <v/>
      </c>
      <c r="BY75" s="80" t="str">
        <f>IFERROR(INDEX('[2]Potencial Hor SocioDem x CeDi'!$C$2:$AF$81, MATCH($C75,'[2]Potencial Hor SocioDem x CeDi'!$B$2:$B$81,0), MATCH(BY$4,'[2]Potencial Hor SocioDem x CeDi'!$C$1:$AF$1,0)), "")</f>
        <v/>
      </c>
      <c r="BZ75" s="79" t="str">
        <f>IFERROR(INDEX('[2]Potencial Hor SocioDem x CeDi'!$C$2:$AF$81, MATCH($C75,'[2]Potencial Hor SocioDem x CeDi'!$B$2:$B$81,0), MATCH(BZ$4,'[2]Potencial Hor SocioDem x CeDi'!$C$1:$AF$1,0)), "")</f>
        <v/>
      </c>
      <c r="CA75" s="79" t="str">
        <f>IFERROR(INDEX('[2]Potencial Hor SocioDem x CeDi'!$C$2:$AF$81, MATCH($C75,'[2]Potencial Hor SocioDem x CeDi'!$B$2:$B$81,0), MATCH(CA$4,'[2]Potencial Hor SocioDem x CeDi'!$C$1:$AF$1,0)), "")</f>
        <v/>
      </c>
      <c r="CB75" s="81" t="str">
        <f>IFERROR(INDEX('[2]Potencial Hor SocioDem x CeDi'!$C$2:$AF$81, MATCH($C75,'[2]Potencial Hor SocioDem x CeDi'!$B$2:$B$81,0), MATCH(CB$4,'[2]Potencial Hor SocioDem x CeDi'!$C$1:$AF$1,0)), "")</f>
        <v/>
      </c>
      <c r="CC75" s="82" t="str">
        <f>IFERROR(INDEX('[2]Potencial Hor SocioDem x CeDi'!$C$2:$AF$81, MATCH($C75,'[2]Potencial Hor SocioDem x CeDi'!$B$2:$B$81,0), MATCH(CC$4,'[2]Potencial Hor SocioDem x CeDi'!$C$1:$AF$1,0)), "")</f>
        <v/>
      </c>
      <c r="CD75" s="83" t="str">
        <f>IFERROR(INDEX('[2]Potencial Hor SocioDem x CeDi'!$C$2:$AF$81, MATCH($C75,'[2]Potencial Hor SocioDem x CeDi'!$B$2:$B$81,0), MATCH(CD$4,'[2]Potencial Hor SocioDem x CeDi'!$C$1:$AF$1,0)), "")</f>
        <v/>
      </c>
      <c r="CE75" s="78" t="str">
        <f>IFERROR(_xlfn.XLOOKUP([2]!BaseMaestraCeDi[[#This Row],[CeDi]], '[2]Potencial Hor x CeDi'!$B$6:$BU$6, '[2]Potencial Hor x CeDi'!$B$50:$BU$50), "")</f>
        <v/>
      </c>
      <c r="CF75" s="90" t="str">
        <f>IFERROR(_xlfn.XLOOKUP([2]!BaseMaestraCeDi[[#This Row],[CeDi]], '[2]Potencial Hor x CeDi'!$B$6:$BU$6, '[2]Potencial Hor x CeDi'!$B$34:$BU$34), "")</f>
        <v/>
      </c>
      <c r="CG75" s="90" t="str">
        <f>IFERROR(_xlfn.XLOOKUP([2]!BaseMaestraCeDi[[#This Row],[CeDi]], '[2]Potencial Hor x CeDi'!$B$6:$BU$6, '[2]Potencial Hor x CeDi'!$B$64:$BU$64), "")</f>
        <v/>
      </c>
      <c r="CH75" s="91" t="str">
        <f>IFERROR(_xlfn.XLOOKUP([2]!BaseMaestraCeDi[[#This Row],[CeDi]], '[2]Potencial Hor x CeDi'!$B$6:$BU$6, '[2]Potencial Hor x CeDi'!$B$38:$BU$38), "")</f>
        <v/>
      </c>
      <c r="CI75" s="90" t="str">
        <f>IFERROR(_xlfn.XLOOKUP([2]!BaseMaestraCeDi[[#This Row],[CeDi]], '[2]Potencial Hor x CeDi'!$B$6:$BU$6, '[2]Potencial Hor x CeDi'!$B$26:$BU$26), "")</f>
        <v/>
      </c>
      <c r="CJ75" s="92" t="str">
        <f>IFERROR(_xlfn.XLOOKUP([2]!BaseMaestraCeDi[[#This Row],[CeDi]], '[2]Potencial Hor x CeDi'!$B$6:$BU$6, '[2]Potencial Hor x CeDi'!$B$27:$BU$27), "")</f>
        <v/>
      </c>
      <c r="CK75" s="90" t="str">
        <f>IFERROR(_xlfn.XLOOKUP([2]!BaseMaestraCeDi[[#This Row],[CeDi]], '[2]Potencial Hor x CeDi'!$B$6:$BU$6, '[2]Potencial Hor x CeDi'!$B$28:$BU$28), "")</f>
        <v/>
      </c>
      <c r="CL75" s="92" t="str">
        <f>IFERROR(_xlfn.XLOOKUP([2]!BaseMaestraCeDi[[#This Row],[CeDi]], '[2]Potencial Hor x CeDi'!$B$6:$BU$6, '[2]Potencial Hor x CeDi'!$B$29:$BU$29), "")</f>
        <v/>
      </c>
      <c r="CM75" s="93" t="str">
        <f>IFERROR(_xlfn.XLOOKUP([2]!BaseMaestraCeDi[[#This Row],[CeDi]], '[2]Potencial Hor x CeDi'!$B$6:$BU$6, '[2]Potencial Hor x CeDi'!$B$39:$BU$39), "")</f>
        <v/>
      </c>
      <c r="CN75" s="94" t="str">
        <f>IFERROR(_xlfn.XLOOKUP([2]!BaseMaestraCeDi[[#This Row],[CeDi]], '[2]Potencial Hor x CeDi'!$B$6:$BU$6, '[2]Potencial Hor x CeDi'!$B$43:$BU$43), "")</f>
        <v/>
      </c>
      <c r="CO75" s="94" t="str">
        <f>IFERROR(_xlfn.XLOOKUP([2]!BaseMaestraCeDi[[#This Row],[CeDi]], '[2]Potencial Hor x CeDi'!$B$6:$BU$6, '[2]Potencial Hor x CeDi'!$B$46:$BU$46), "")</f>
        <v/>
      </c>
      <c r="CP75" s="86" t="str">
        <f>IFERROR(_xlfn.XLOOKUP([2]!BaseMaestraCeDi[[#This Row],[CeDi]], '[2]Potencial Hor x CeDi'!$B$6:$BU$6, '[2]Potencial Hor x CeDi'!$B$51:$BU$51), "")</f>
        <v/>
      </c>
      <c r="CQ75" s="82" t="str">
        <f>IFERROR(_xlfn.XLOOKUP([2]!BaseMaestraCeDi[[#This Row],[CeDi]], '[2]Potencial Hor x CeDi'!$B$6:$BU$6, '[2]Potencial Hor x CeDi'!$B$52:$BU$52), "")</f>
        <v/>
      </c>
      <c r="CR75" s="82" t="str">
        <f>IFERROR(_xlfn.XLOOKUP([2]!BaseMaestraCeDi[[#This Row],[CeDi]], '[2]Potencial Hor x CeDi'!$B$6:$BU$6, '[2]Potencial Hor x CeDi'!$B$53:$BU$53), "")</f>
        <v/>
      </c>
      <c r="CS75" s="87" t="str">
        <f>IFERROR(_xlfn.XLOOKUP([2]!BaseMaestraCeDi[[#This Row],[CeDi]], '[2]Potencial Hor x CeDi'!$B$6:$BU$6, '[2]Potencial Hor x CeDi'!$B$60:$BU$60), "")</f>
        <v/>
      </c>
      <c r="CT75" s="90" t="str">
        <f>IFERROR(_xlfn.XLOOKUP([2]!BaseMaestraCeDi[[#This Row],[CeDi]], '[2]Potencial Hor x CeDi'!$B$6:$BU$6, '[2]Potencial Hor x CeDi'!$B$65:$BU$65), "")</f>
        <v/>
      </c>
      <c r="CU75" s="90" t="str">
        <f>IFERROR(_xlfn.XLOOKUP([2]!BaseMaestraCeDi[[#This Row],[CeDi]], '[2]Potencial Hor x CeDi'!$B$6:$BU$6, '[2]Potencial Hor x CeDi'!$B$68:$BU$68), "")</f>
        <v/>
      </c>
      <c r="CV75" s="95" t="str">
        <f>IFERROR(_xlfn.XLOOKUP([2]!BaseMaestraCeDi[[#This Row],[CeDi]], '[2]Potencial Hor x CeDi'!$B$6:$BU$6, '[2]Potencial Hor x CeDi'!$B$71:$BU$71), "")</f>
        <v/>
      </c>
    </row>
    <row r="76" spans="1:100">
      <c r="A76" s="112" t="s">
        <v>95</v>
      </c>
      <c r="B76" s="112" t="s">
        <v>320</v>
      </c>
      <c r="C76" s="112" t="s">
        <v>1026</v>
      </c>
      <c r="D76" s="113" t="s">
        <v>194</v>
      </c>
      <c r="E76" s="114" t="s">
        <v>194</v>
      </c>
      <c r="F76" s="115" t="s">
        <v>194</v>
      </c>
      <c r="G76" s="115" t="s">
        <v>194</v>
      </c>
      <c r="H76" s="116" t="s">
        <v>194</v>
      </c>
      <c r="I76" s="117" t="s">
        <v>194</v>
      </c>
      <c r="J76" s="117" t="s">
        <v>194</v>
      </c>
      <c r="K76" s="117" t="s">
        <v>194</v>
      </c>
      <c r="L76" s="116" t="s">
        <v>194</v>
      </c>
      <c r="M76" s="118" t="s">
        <v>194</v>
      </c>
      <c r="N76" s="119" t="s">
        <v>194</v>
      </c>
      <c r="O76" s="114" t="s">
        <v>194</v>
      </c>
      <c r="P76" s="115" t="s">
        <v>194</v>
      </c>
      <c r="Q76" s="115" t="s">
        <v>194</v>
      </c>
      <c r="R76" s="120" t="s">
        <v>194</v>
      </c>
      <c r="S76" s="119" t="s">
        <v>194</v>
      </c>
      <c r="T76" s="121" t="s">
        <v>194</v>
      </c>
      <c r="U76" s="118" t="s">
        <v>194</v>
      </c>
      <c r="V76" s="118" t="s">
        <v>194</v>
      </c>
      <c r="W76" s="118" t="s">
        <v>194</v>
      </c>
      <c r="X76" s="118" t="s">
        <v>194</v>
      </c>
      <c r="Y76" s="116" t="s">
        <v>194</v>
      </c>
      <c r="Z76" s="117" t="s">
        <v>194</v>
      </c>
      <c r="AA76" s="117" t="s">
        <v>194</v>
      </c>
      <c r="AB76" s="117" t="s">
        <v>194</v>
      </c>
      <c r="AC76" s="113">
        <v>1</v>
      </c>
      <c r="AD76" s="122">
        <v>0</v>
      </c>
      <c r="AE76" s="113">
        <v>776</v>
      </c>
      <c r="AF76" s="122">
        <v>24</v>
      </c>
      <c r="AG76" s="123">
        <v>3.0927835051546393E-2</v>
      </c>
      <c r="AH76" s="118">
        <v>3.0927835051546393E-2</v>
      </c>
      <c r="AI76" s="113">
        <v>0</v>
      </c>
      <c r="AJ76" s="122">
        <v>0</v>
      </c>
      <c r="AK76" s="118">
        <v>3.0927835051546393E-2</v>
      </c>
      <c r="AL76" s="116">
        <v>21473.919999999998</v>
      </c>
      <c r="AM76" s="117">
        <v>0</v>
      </c>
      <c r="AN76" s="118">
        <v>0</v>
      </c>
      <c r="AO76" s="116">
        <v>0</v>
      </c>
      <c r="AP76" s="118">
        <v>0</v>
      </c>
      <c r="AQ76" s="122" t="s">
        <v>194</v>
      </c>
      <c r="AR76" s="113">
        <v>0</v>
      </c>
      <c r="AS76" s="117">
        <v>0</v>
      </c>
      <c r="AT76" s="116">
        <v>0</v>
      </c>
      <c r="AU76" s="113">
        <v>1</v>
      </c>
      <c r="AV76" s="122">
        <v>0</v>
      </c>
      <c r="AW76" s="122">
        <v>0</v>
      </c>
      <c r="AX76" s="122">
        <v>1</v>
      </c>
      <c r="AY76" s="123">
        <v>0</v>
      </c>
      <c r="AZ76" s="122">
        <v>0</v>
      </c>
      <c r="BA76" s="114">
        <v>55.428571428571402</v>
      </c>
      <c r="BB76" s="118">
        <v>3.09278350515464E-2</v>
      </c>
      <c r="BC76" s="124">
        <v>24.799131500000001</v>
      </c>
      <c r="BD76" s="74"/>
      <c r="BE76" s="88" t="str">
        <f>IFERROR(_xlfn.XLOOKUP([2]!BaseMaestraCeDi[[#This Row],[CeDi]], '[2]Potencial Hor x CeDi'!$B$6:$BU$6, '[2]Potencial Hor x CeDi'!$B$21:$BU$21) / 1000, "")</f>
        <v/>
      </c>
      <c r="BF76" s="89" t="str">
        <f>IFERROR(_xlfn.XLOOKUP([2]!BaseMaestraCeDi[[#This Row],[CeDi]], '[2]Potencial Hor x CeDi'!$B$6:$BU$6, '[2]Potencial Hor x CeDi'!$B$22:$BU$22) / 1000, "")</f>
        <v/>
      </c>
      <c r="BG76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76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76" s="78" t="str">
        <f>IFERROR(INDEX('[2]Potencial Hor SocioDem x CeDi'!$C$2:$AF$81, MATCH($C76,'[2]Potencial Hor SocioDem x CeDi'!$B$2:$B$81,0), MATCH(BI$4,'[2]Potencial Hor SocioDem x CeDi'!$C$1:$AF$1,0)), "")</f>
        <v/>
      </c>
      <c r="BJ76" s="78" t="str">
        <f>IFERROR(INDEX('[2]Potencial Hor SocioDem x CeDi'!$C$2:$AF$81, MATCH($C76,'[2]Potencial Hor SocioDem x CeDi'!$B$2:$B$81,0), MATCH(BJ$4,'[2]Potencial Hor SocioDem x CeDi'!$C$1:$AF$1,0)), "")</f>
        <v/>
      </c>
      <c r="BK76" s="78" t="str">
        <f>IFERROR(INDEX('[2]Potencial Hor SocioDem x CeDi'!$C$2:$AF$81, MATCH($C76,'[2]Potencial Hor SocioDem x CeDi'!$B$2:$B$81,0), MATCH(BK$4,'[2]Potencial Hor SocioDem x CeDi'!$C$1:$AF$1,0)), "")</f>
        <v/>
      </c>
      <c r="BL76" s="79" t="str">
        <f>IFERROR(INDEX('[2]Potencial Hor SocioDem x CeDi'!$C$2:$AF$81, MATCH($C76,'[2]Potencial Hor SocioDem x CeDi'!$B$2:$B$81,0), MATCH(BL$4,'[2]Potencial Hor SocioDem x CeDi'!$C$1:$AF$1,0)), "")</f>
        <v/>
      </c>
      <c r="BM76" s="79" t="str">
        <f>IFERROR(INDEX('[2]Potencial Hor SocioDem x CeDi'!$C$2:$AF$81, MATCH($C76,'[2]Potencial Hor SocioDem x CeDi'!$B$2:$B$81,0), MATCH(BM$4,'[2]Potencial Hor SocioDem x CeDi'!$C$1:$AF$1,0)), "")</f>
        <v/>
      </c>
      <c r="BN76" s="78" t="str">
        <f>IFERROR(INDEX('[2]Potencial Hor SocioDem x CeDi'!$C$2:$AF$81, MATCH($C76,'[2]Potencial Hor SocioDem x CeDi'!$B$2:$B$81,0), MATCH(BN$4,'[2]Potencial Hor SocioDem x CeDi'!$C$1:$AF$1,0)), "")</f>
        <v/>
      </c>
      <c r="BO76" s="78" t="str">
        <f>IFERROR(INDEX('[2]Potencial Hor SocioDem x CeDi'!$C$2:$AF$81, MATCH($C76,'[2]Potencial Hor SocioDem x CeDi'!$B$2:$B$81,0), MATCH(BO$4,'[2]Potencial Hor SocioDem x CeDi'!$C$1:$AF$1,0)), "")</f>
        <v/>
      </c>
      <c r="BP76" s="78" t="str">
        <f>IFERROR(INDEX('[2]Potencial Hor SocioDem x CeDi'!$C$2:$AF$81, MATCH($C76,'[2]Potencial Hor SocioDem x CeDi'!$B$2:$B$81,0), MATCH(BP$4,'[2]Potencial Hor SocioDem x CeDi'!$C$1:$AF$1,0)), "")</f>
        <v/>
      </c>
      <c r="BQ76" s="80" t="str">
        <f>IFERROR(INDEX('[2]Potencial Hor SocioDem x CeDi'!$C$2:$AF$81, MATCH($C76,'[2]Potencial Hor SocioDem x CeDi'!$B$2:$B$81,0), MATCH(BQ$4,'[2]Potencial Hor SocioDem x CeDi'!$C$1:$AF$1,0)), "")</f>
        <v/>
      </c>
      <c r="BR76" s="80" t="str">
        <f>IFERROR(INDEX('[2]Potencial Hor SocioDem x CeDi'!$C$2:$AF$81, MATCH($C76,'[2]Potencial Hor SocioDem x CeDi'!$B$2:$B$81,0), MATCH(BR$4,'[2]Potencial Hor SocioDem x CeDi'!$C$1:$AF$1,0)), "")</f>
        <v/>
      </c>
      <c r="BS76" s="80" t="str">
        <f>IFERROR(INDEX('[2]Potencial Hor SocioDem x CeDi'!$C$2:$AF$81, MATCH($C76,'[2]Potencial Hor SocioDem x CeDi'!$B$2:$B$81,0), MATCH(BS$4,'[2]Potencial Hor SocioDem x CeDi'!$C$1:$AF$1,0)), "")</f>
        <v/>
      </c>
      <c r="BT76" s="80" t="str">
        <f>IFERROR(INDEX('[2]Potencial Hor SocioDem x CeDi'!$C$2:$AF$81, MATCH($C76,'[2]Potencial Hor SocioDem x CeDi'!$B$2:$B$81,0), MATCH(BT$4,'[2]Potencial Hor SocioDem x CeDi'!$C$1:$AF$1,0)), "")</f>
        <v/>
      </c>
      <c r="BU76" s="80" t="str">
        <f>IFERROR(INDEX('[2]Potencial Hor SocioDem x CeDi'!$C$2:$AF$81, MATCH($C76,'[2]Potencial Hor SocioDem x CeDi'!$B$2:$B$81,0), MATCH(BU$4,'[2]Potencial Hor SocioDem x CeDi'!$C$1:$AF$1,0)), "")</f>
        <v/>
      </c>
      <c r="BV76" s="80" t="str">
        <f>IFERROR(INDEX('[2]Potencial Hor SocioDem x CeDi'!$C$2:$AF$81, MATCH($C76,'[2]Potencial Hor SocioDem x CeDi'!$B$2:$B$81,0), MATCH(BV$4,'[2]Potencial Hor SocioDem x CeDi'!$C$1:$AF$1,0)), "")</f>
        <v/>
      </c>
      <c r="BW76" s="80" t="str">
        <f>IFERROR(INDEX('[2]Potencial Hor SocioDem x CeDi'!$C$2:$AF$81, MATCH($C76,'[2]Potencial Hor SocioDem x CeDi'!$B$2:$B$81,0), MATCH(BW$4,'[2]Potencial Hor SocioDem x CeDi'!$C$1:$AF$1,0)), "")</f>
        <v/>
      </c>
      <c r="BX76" s="80" t="str">
        <f>IFERROR(INDEX('[2]Potencial Hor SocioDem x CeDi'!$C$2:$AF$81, MATCH($C76,'[2]Potencial Hor SocioDem x CeDi'!$B$2:$B$81,0), MATCH(BX$4,'[2]Potencial Hor SocioDem x CeDi'!$C$1:$AF$1,0)), "")</f>
        <v/>
      </c>
      <c r="BY76" s="80" t="str">
        <f>IFERROR(INDEX('[2]Potencial Hor SocioDem x CeDi'!$C$2:$AF$81, MATCH($C76,'[2]Potencial Hor SocioDem x CeDi'!$B$2:$B$81,0), MATCH(BY$4,'[2]Potencial Hor SocioDem x CeDi'!$C$1:$AF$1,0)), "")</f>
        <v/>
      </c>
      <c r="BZ76" s="79" t="str">
        <f>IFERROR(INDEX('[2]Potencial Hor SocioDem x CeDi'!$C$2:$AF$81, MATCH($C76,'[2]Potencial Hor SocioDem x CeDi'!$B$2:$B$81,0), MATCH(BZ$4,'[2]Potencial Hor SocioDem x CeDi'!$C$1:$AF$1,0)), "")</f>
        <v/>
      </c>
      <c r="CA76" s="79" t="str">
        <f>IFERROR(INDEX('[2]Potencial Hor SocioDem x CeDi'!$C$2:$AF$81, MATCH($C76,'[2]Potencial Hor SocioDem x CeDi'!$B$2:$B$81,0), MATCH(CA$4,'[2]Potencial Hor SocioDem x CeDi'!$C$1:$AF$1,0)), "")</f>
        <v/>
      </c>
      <c r="CB76" s="81" t="str">
        <f>IFERROR(INDEX('[2]Potencial Hor SocioDem x CeDi'!$C$2:$AF$81, MATCH($C76,'[2]Potencial Hor SocioDem x CeDi'!$B$2:$B$81,0), MATCH(CB$4,'[2]Potencial Hor SocioDem x CeDi'!$C$1:$AF$1,0)), "")</f>
        <v/>
      </c>
      <c r="CC76" s="82" t="str">
        <f>IFERROR(INDEX('[2]Potencial Hor SocioDem x CeDi'!$C$2:$AF$81, MATCH($C76,'[2]Potencial Hor SocioDem x CeDi'!$B$2:$B$81,0), MATCH(CC$4,'[2]Potencial Hor SocioDem x CeDi'!$C$1:$AF$1,0)), "")</f>
        <v/>
      </c>
      <c r="CD76" s="83" t="str">
        <f>IFERROR(INDEX('[2]Potencial Hor SocioDem x CeDi'!$C$2:$AF$81, MATCH($C76,'[2]Potencial Hor SocioDem x CeDi'!$B$2:$B$81,0), MATCH(CD$4,'[2]Potencial Hor SocioDem x CeDi'!$C$1:$AF$1,0)), "")</f>
        <v/>
      </c>
      <c r="CE76" s="78" t="str">
        <f>IFERROR(_xlfn.XLOOKUP([2]!BaseMaestraCeDi[[#This Row],[CeDi]], '[2]Potencial Hor x CeDi'!$B$6:$BU$6, '[2]Potencial Hor x CeDi'!$B$50:$BU$50), "")</f>
        <v/>
      </c>
      <c r="CF76" s="90" t="str">
        <f>IFERROR(_xlfn.XLOOKUP([2]!BaseMaestraCeDi[[#This Row],[CeDi]], '[2]Potencial Hor x CeDi'!$B$6:$BU$6, '[2]Potencial Hor x CeDi'!$B$34:$BU$34), "")</f>
        <v/>
      </c>
      <c r="CG76" s="90" t="str">
        <f>IFERROR(_xlfn.XLOOKUP([2]!BaseMaestraCeDi[[#This Row],[CeDi]], '[2]Potencial Hor x CeDi'!$B$6:$BU$6, '[2]Potencial Hor x CeDi'!$B$64:$BU$64), "")</f>
        <v/>
      </c>
      <c r="CH76" s="91" t="str">
        <f>IFERROR(_xlfn.XLOOKUP([2]!BaseMaestraCeDi[[#This Row],[CeDi]], '[2]Potencial Hor x CeDi'!$B$6:$BU$6, '[2]Potencial Hor x CeDi'!$B$38:$BU$38), "")</f>
        <v/>
      </c>
      <c r="CI76" s="90" t="str">
        <f>IFERROR(_xlfn.XLOOKUP([2]!BaseMaestraCeDi[[#This Row],[CeDi]], '[2]Potencial Hor x CeDi'!$B$6:$BU$6, '[2]Potencial Hor x CeDi'!$B$26:$BU$26), "")</f>
        <v/>
      </c>
      <c r="CJ76" s="92" t="str">
        <f>IFERROR(_xlfn.XLOOKUP([2]!BaseMaestraCeDi[[#This Row],[CeDi]], '[2]Potencial Hor x CeDi'!$B$6:$BU$6, '[2]Potencial Hor x CeDi'!$B$27:$BU$27), "")</f>
        <v/>
      </c>
      <c r="CK76" s="90" t="str">
        <f>IFERROR(_xlfn.XLOOKUP([2]!BaseMaestraCeDi[[#This Row],[CeDi]], '[2]Potencial Hor x CeDi'!$B$6:$BU$6, '[2]Potencial Hor x CeDi'!$B$28:$BU$28), "")</f>
        <v/>
      </c>
      <c r="CL76" s="92" t="str">
        <f>IFERROR(_xlfn.XLOOKUP([2]!BaseMaestraCeDi[[#This Row],[CeDi]], '[2]Potencial Hor x CeDi'!$B$6:$BU$6, '[2]Potencial Hor x CeDi'!$B$29:$BU$29), "")</f>
        <v/>
      </c>
      <c r="CM76" s="93" t="str">
        <f>IFERROR(_xlfn.XLOOKUP([2]!BaseMaestraCeDi[[#This Row],[CeDi]], '[2]Potencial Hor x CeDi'!$B$6:$BU$6, '[2]Potencial Hor x CeDi'!$B$39:$BU$39), "")</f>
        <v/>
      </c>
      <c r="CN76" s="94" t="str">
        <f>IFERROR(_xlfn.XLOOKUP([2]!BaseMaestraCeDi[[#This Row],[CeDi]], '[2]Potencial Hor x CeDi'!$B$6:$BU$6, '[2]Potencial Hor x CeDi'!$B$43:$BU$43), "")</f>
        <v/>
      </c>
      <c r="CO76" s="94" t="str">
        <f>IFERROR(_xlfn.XLOOKUP([2]!BaseMaestraCeDi[[#This Row],[CeDi]], '[2]Potencial Hor x CeDi'!$B$6:$BU$6, '[2]Potencial Hor x CeDi'!$B$46:$BU$46), "")</f>
        <v/>
      </c>
      <c r="CP76" s="86" t="str">
        <f>IFERROR(_xlfn.XLOOKUP([2]!BaseMaestraCeDi[[#This Row],[CeDi]], '[2]Potencial Hor x CeDi'!$B$6:$BU$6, '[2]Potencial Hor x CeDi'!$B$51:$BU$51), "")</f>
        <v/>
      </c>
      <c r="CQ76" s="82" t="str">
        <f>IFERROR(_xlfn.XLOOKUP([2]!BaseMaestraCeDi[[#This Row],[CeDi]], '[2]Potencial Hor x CeDi'!$B$6:$BU$6, '[2]Potencial Hor x CeDi'!$B$52:$BU$52), "")</f>
        <v/>
      </c>
      <c r="CR76" s="82" t="str">
        <f>IFERROR(_xlfn.XLOOKUP([2]!BaseMaestraCeDi[[#This Row],[CeDi]], '[2]Potencial Hor x CeDi'!$B$6:$BU$6, '[2]Potencial Hor x CeDi'!$B$53:$BU$53), "")</f>
        <v/>
      </c>
      <c r="CS76" s="87" t="str">
        <f>IFERROR(_xlfn.XLOOKUP([2]!BaseMaestraCeDi[[#This Row],[CeDi]], '[2]Potencial Hor x CeDi'!$B$6:$BU$6, '[2]Potencial Hor x CeDi'!$B$60:$BU$60), "")</f>
        <v/>
      </c>
      <c r="CT76" s="90" t="str">
        <f>IFERROR(_xlfn.XLOOKUP([2]!BaseMaestraCeDi[[#This Row],[CeDi]], '[2]Potencial Hor x CeDi'!$B$6:$BU$6, '[2]Potencial Hor x CeDi'!$B$65:$BU$65), "")</f>
        <v/>
      </c>
      <c r="CU76" s="90" t="str">
        <f>IFERROR(_xlfn.XLOOKUP([2]!BaseMaestraCeDi[[#This Row],[CeDi]], '[2]Potencial Hor x CeDi'!$B$6:$BU$6, '[2]Potencial Hor x CeDi'!$B$68:$BU$68), "")</f>
        <v/>
      </c>
      <c r="CV76" s="95" t="str">
        <f>IFERROR(_xlfn.XLOOKUP([2]!BaseMaestraCeDi[[#This Row],[CeDi]], '[2]Potencial Hor x CeDi'!$B$6:$BU$6, '[2]Potencial Hor x CeDi'!$B$71:$BU$71), "")</f>
        <v/>
      </c>
    </row>
    <row r="77" spans="1:100">
      <c r="A77" s="100" t="s">
        <v>95</v>
      </c>
      <c r="B77" s="100" t="s">
        <v>320</v>
      </c>
      <c r="C77" s="100" t="s">
        <v>1028</v>
      </c>
      <c r="D77" s="101" t="s">
        <v>194</v>
      </c>
      <c r="E77" s="102" t="s">
        <v>194</v>
      </c>
      <c r="F77" s="103" t="s">
        <v>194</v>
      </c>
      <c r="G77" s="103" t="s">
        <v>194</v>
      </c>
      <c r="H77" s="104" t="s">
        <v>194</v>
      </c>
      <c r="I77" s="105" t="s">
        <v>194</v>
      </c>
      <c r="J77" s="105" t="s">
        <v>194</v>
      </c>
      <c r="K77" s="105" t="s">
        <v>194</v>
      </c>
      <c r="L77" s="104" t="s">
        <v>194</v>
      </c>
      <c r="M77" s="106" t="s">
        <v>194</v>
      </c>
      <c r="N77" s="107" t="s">
        <v>194</v>
      </c>
      <c r="O77" s="102" t="s">
        <v>194</v>
      </c>
      <c r="P77" s="103" t="s">
        <v>194</v>
      </c>
      <c r="Q77" s="103" t="s">
        <v>194</v>
      </c>
      <c r="R77" s="108" t="s">
        <v>194</v>
      </c>
      <c r="S77" s="107" t="s">
        <v>194</v>
      </c>
      <c r="T77" s="125" t="s">
        <v>194</v>
      </c>
      <c r="U77" s="106" t="s">
        <v>194</v>
      </c>
      <c r="V77" s="106" t="s">
        <v>194</v>
      </c>
      <c r="W77" s="106" t="s">
        <v>194</v>
      </c>
      <c r="X77" s="106" t="s">
        <v>194</v>
      </c>
      <c r="Y77" s="104" t="s">
        <v>194</v>
      </c>
      <c r="Z77" s="105" t="s">
        <v>194</v>
      </c>
      <c r="AA77" s="105" t="s">
        <v>194</v>
      </c>
      <c r="AB77" s="105" t="s">
        <v>194</v>
      </c>
      <c r="AC77" s="101">
        <v>0</v>
      </c>
      <c r="AD77" s="109">
        <v>0</v>
      </c>
      <c r="AE77" s="101">
        <v>0</v>
      </c>
      <c r="AF77" s="109">
        <v>0</v>
      </c>
      <c r="AG77" s="110" t="s">
        <v>194</v>
      </c>
      <c r="AH77" s="106" t="s">
        <v>194</v>
      </c>
      <c r="AI77" s="101">
        <v>0</v>
      </c>
      <c r="AJ77" s="109">
        <v>0</v>
      </c>
      <c r="AK77" s="106" t="s">
        <v>194</v>
      </c>
      <c r="AL77" s="104">
        <v>0</v>
      </c>
      <c r="AM77" s="105">
        <v>0</v>
      </c>
      <c r="AN77" s="106" t="s">
        <v>194</v>
      </c>
      <c r="AO77" s="104">
        <v>0</v>
      </c>
      <c r="AP77" s="106">
        <v>0</v>
      </c>
      <c r="AQ77" s="109" t="s">
        <v>194</v>
      </c>
      <c r="AR77" s="101">
        <v>0</v>
      </c>
      <c r="AS77" s="105">
        <v>0</v>
      </c>
      <c r="AT77" s="104">
        <v>0</v>
      </c>
      <c r="AU77" s="101">
        <v>1</v>
      </c>
      <c r="AV77" s="109">
        <v>0</v>
      </c>
      <c r="AW77" s="109">
        <v>0</v>
      </c>
      <c r="AX77" s="109">
        <v>0</v>
      </c>
      <c r="AY77" s="110">
        <v>0</v>
      </c>
      <c r="AZ77" s="109">
        <v>0</v>
      </c>
      <c r="BA77" s="102" t="s">
        <v>194</v>
      </c>
      <c r="BB77" s="106" t="s">
        <v>194</v>
      </c>
      <c r="BC77" s="111" t="s">
        <v>194</v>
      </c>
      <c r="BD77" s="74"/>
      <c r="BE77" s="88" t="str">
        <f>IFERROR(_xlfn.XLOOKUP([2]!BaseMaestraCeDi[[#This Row],[CeDi]], '[2]Potencial Hor x CeDi'!$B$6:$BU$6, '[2]Potencial Hor x CeDi'!$B$21:$BU$21) / 1000, "")</f>
        <v/>
      </c>
      <c r="BF77" s="89" t="str">
        <f>IFERROR(_xlfn.XLOOKUP([2]!BaseMaestraCeDi[[#This Row],[CeDi]], '[2]Potencial Hor x CeDi'!$B$6:$BU$6, '[2]Potencial Hor x CeDi'!$B$22:$BU$22) / 1000, "")</f>
        <v/>
      </c>
      <c r="BG77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77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77" s="78" t="str">
        <f>IFERROR(INDEX('[2]Potencial Hor SocioDem x CeDi'!$C$2:$AF$81, MATCH($C77,'[2]Potencial Hor SocioDem x CeDi'!$B$2:$B$81,0), MATCH(BI$4,'[2]Potencial Hor SocioDem x CeDi'!$C$1:$AF$1,0)), "")</f>
        <v/>
      </c>
      <c r="BJ77" s="78" t="str">
        <f>IFERROR(INDEX('[2]Potencial Hor SocioDem x CeDi'!$C$2:$AF$81, MATCH($C77,'[2]Potencial Hor SocioDem x CeDi'!$B$2:$B$81,0), MATCH(BJ$4,'[2]Potencial Hor SocioDem x CeDi'!$C$1:$AF$1,0)), "")</f>
        <v/>
      </c>
      <c r="BK77" s="78" t="str">
        <f>IFERROR(INDEX('[2]Potencial Hor SocioDem x CeDi'!$C$2:$AF$81, MATCH($C77,'[2]Potencial Hor SocioDem x CeDi'!$B$2:$B$81,0), MATCH(BK$4,'[2]Potencial Hor SocioDem x CeDi'!$C$1:$AF$1,0)), "")</f>
        <v/>
      </c>
      <c r="BL77" s="79" t="str">
        <f>IFERROR(INDEX('[2]Potencial Hor SocioDem x CeDi'!$C$2:$AF$81, MATCH($C77,'[2]Potencial Hor SocioDem x CeDi'!$B$2:$B$81,0), MATCH(BL$4,'[2]Potencial Hor SocioDem x CeDi'!$C$1:$AF$1,0)), "")</f>
        <v/>
      </c>
      <c r="BM77" s="79" t="str">
        <f>IFERROR(INDEX('[2]Potencial Hor SocioDem x CeDi'!$C$2:$AF$81, MATCH($C77,'[2]Potencial Hor SocioDem x CeDi'!$B$2:$B$81,0), MATCH(BM$4,'[2]Potencial Hor SocioDem x CeDi'!$C$1:$AF$1,0)), "")</f>
        <v/>
      </c>
      <c r="BN77" s="78" t="str">
        <f>IFERROR(INDEX('[2]Potencial Hor SocioDem x CeDi'!$C$2:$AF$81, MATCH($C77,'[2]Potencial Hor SocioDem x CeDi'!$B$2:$B$81,0), MATCH(BN$4,'[2]Potencial Hor SocioDem x CeDi'!$C$1:$AF$1,0)), "")</f>
        <v/>
      </c>
      <c r="BO77" s="78" t="str">
        <f>IFERROR(INDEX('[2]Potencial Hor SocioDem x CeDi'!$C$2:$AF$81, MATCH($C77,'[2]Potencial Hor SocioDem x CeDi'!$B$2:$B$81,0), MATCH(BO$4,'[2]Potencial Hor SocioDem x CeDi'!$C$1:$AF$1,0)), "")</f>
        <v/>
      </c>
      <c r="BP77" s="78" t="str">
        <f>IFERROR(INDEX('[2]Potencial Hor SocioDem x CeDi'!$C$2:$AF$81, MATCH($C77,'[2]Potencial Hor SocioDem x CeDi'!$B$2:$B$81,0), MATCH(BP$4,'[2]Potencial Hor SocioDem x CeDi'!$C$1:$AF$1,0)), "")</f>
        <v/>
      </c>
      <c r="BQ77" s="80" t="str">
        <f>IFERROR(INDEX('[2]Potencial Hor SocioDem x CeDi'!$C$2:$AF$81, MATCH($C77,'[2]Potencial Hor SocioDem x CeDi'!$B$2:$B$81,0), MATCH(BQ$4,'[2]Potencial Hor SocioDem x CeDi'!$C$1:$AF$1,0)), "")</f>
        <v/>
      </c>
      <c r="BR77" s="80" t="str">
        <f>IFERROR(INDEX('[2]Potencial Hor SocioDem x CeDi'!$C$2:$AF$81, MATCH($C77,'[2]Potencial Hor SocioDem x CeDi'!$B$2:$B$81,0), MATCH(BR$4,'[2]Potencial Hor SocioDem x CeDi'!$C$1:$AF$1,0)), "")</f>
        <v/>
      </c>
      <c r="BS77" s="80" t="str">
        <f>IFERROR(INDEX('[2]Potencial Hor SocioDem x CeDi'!$C$2:$AF$81, MATCH($C77,'[2]Potencial Hor SocioDem x CeDi'!$B$2:$B$81,0), MATCH(BS$4,'[2]Potencial Hor SocioDem x CeDi'!$C$1:$AF$1,0)), "")</f>
        <v/>
      </c>
      <c r="BT77" s="80" t="str">
        <f>IFERROR(INDEX('[2]Potencial Hor SocioDem x CeDi'!$C$2:$AF$81, MATCH($C77,'[2]Potencial Hor SocioDem x CeDi'!$B$2:$B$81,0), MATCH(BT$4,'[2]Potencial Hor SocioDem x CeDi'!$C$1:$AF$1,0)), "")</f>
        <v/>
      </c>
      <c r="BU77" s="80" t="str">
        <f>IFERROR(INDEX('[2]Potencial Hor SocioDem x CeDi'!$C$2:$AF$81, MATCH($C77,'[2]Potencial Hor SocioDem x CeDi'!$B$2:$B$81,0), MATCH(BU$4,'[2]Potencial Hor SocioDem x CeDi'!$C$1:$AF$1,0)), "")</f>
        <v/>
      </c>
      <c r="BV77" s="80" t="str">
        <f>IFERROR(INDEX('[2]Potencial Hor SocioDem x CeDi'!$C$2:$AF$81, MATCH($C77,'[2]Potencial Hor SocioDem x CeDi'!$B$2:$B$81,0), MATCH(BV$4,'[2]Potencial Hor SocioDem x CeDi'!$C$1:$AF$1,0)), "")</f>
        <v/>
      </c>
      <c r="BW77" s="80" t="str">
        <f>IFERROR(INDEX('[2]Potencial Hor SocioDem x CeDi'!$C$2:$AF$81, MATCH($C77,'[2]Potencial Hor SocioDem x CeDi'!$B$2:$B$81,0), MATCH(BW$4,'[2]Potencial Hor SocioDem x CeDi'!$C$1:$AF$1,0)), "")</f>
        <v/>
      </c>
      <c r="BX77" s="80" t="str">
        <f>IFERROR(INDEX('[2]Potencial Hor SocioDem x CeDi'!$C$2:$AF$81, MATCH($C77,'[2]Potencial Hor SocioDem x CeDi'!$B$2:$B$81,0), MATCH(BX$4,'[2]Potencial Hor SocioDem x CeDi'!$C$1:$AF$1,0)), "")</f>
        <v/>
      </c>
      <c r="BY77" s="80" t="str">
        <f>IFERROR(INDEX('[2]Potencial Hor SocioDem x CeDi'!$C$2:$AF$81, MATCH($C77,'[2]Potencial Hor SocioDem x CeDi'!$B$2:$B$81,0), MATCH(BY$4,'[2]Potencial Hor SocioDem x CeDi'!$C$1:$AF$1,0)), "")</f>
        <v/>
      </c>
      <c r="BZ77" s="79" t="str">
        <f>IFERROR(INDEX('[2]Potencial Hor SocioDem x CeDi'!$C$2:$AF$81, MATCH($C77,'[2]Potencial Hor SocioDem x CeDi'!$B$2:$B$81,0), MATCH(BZ$4,'[2]Potencial Hor SocioDem x CeDi'!$C$1:$AF$1,0)), "")</f>
        <v/>
      </c>
      <c r="CA77" s="79" t="str">
        <f>IFERROR(INDEX('[2]Potencial Hor SocioDem x CeDi'!$C$2:$AF$81, MATCH($C77,'[2]Potencial Hor SocioDem x CeDi'!$B$2:$B$81,0), MATCH(CA$4,'[2]Potencial Hor SocioDem x CeDi'!$C$1:$AF$1,0)), "")</f>
        <v/>
      </c>
      <c r="CB77" s="81" t="str">
        <f>IFERROR(INDEX('[2]Potencial Hor SocioDem x CeDi'!$C$2:$AF$81, MATCH($C77,'[2]Potencial Hor SocioDem x CeDi'!$B$2:$B$81,0), MATCH(CB$4,'[2]Potencial Hor SocioDem x CeDi'!$C$1:$AF$1,0)), "")</f>
        <v/>
      </c>
      <c r="CC77" s="82" t="str">
        <f>IFERROR(INDEX('[2]Potencial Hor SocioDem x CeDi'!$C$2:$AF$81, MATCH($C77,'[2]Potencial Hor SocioDem x CeDi'!$B$2:$B$81,0), MATCH(CC$4,'[2]Potencial Hor SocioDem x CeDi'!$C$1:$AF$1,0)), "")</f>
        <v/>
      </c>
      <c r="CD77" s="83" t="str">
        <f>IFERROR(INDEX('[2]Potencial Hor SocioDem x CeDi'!$C$2:$AF$81, MATCH($C77,'[2]Potencial Hor SocioDem x CeDi'!$B$2:$B$81,0), MATCH(CD$4,'[2]Potencial Hor SocioDem x CeDi'!$C$1:$AF$1,0)), "")</f>
        <v/>
      </c>
      <c r="CE77" s="78" t="str">
        <f>IFERROR(_xlfn.XLOOKUP([2]!BaseMaestraCeDi[[#This Row],[CeDi]], '[2]Potencial Hor x CeDi'!$B$6:$BU$6, '[2]Potencial Hor x CeDi'!$B$50:$BU$50), "")</f>
        <v/>
      </c>
      <c r="CF77" s="90" t="str">
        <f>IFERROR(_xlfn.XLOOKUP([2]!BaseMaestraCeDi[[#This Row],[CeDi]], '[2]Potencial Hor x CeDi'!$B$6:$BU$6, '[2]Potencial Hor x CeDi'!$B$34:$BU$34), "")</f>
        <v/>
      </c>
      <c r="CG77" s="90" t="str">
        <f>IFERROR(_xlfn.XLOOKUP([2]!BaseMaestraCeDi[[#This Row],[CeDi]], '[2]Potencial Hor x CeDi'!$B$6:$BU$6, '[2]Potencial Hor x CeDi'!$B$64:$BU$64), "")</f>
        <v/>
      </c>
      <c r="CH77" s="91" t="str">
        <f>IFERROR(_xlfn.XLOOKUP([2]!BaseMaestraCeDi[[#This Row],[CeDi]], '[2]Potencial Hor x CeDi'!$B$6:$BU$6, '[2]Potencial Hor x CeDi'!$B$38:$BU$38), "")</f>
        <v/>
      </c>
      <c r="CI77" s="90" t="str">
        <f>IFERROR(_xlfn.XLOOKUP([2]!BaseMaestraCeDi[[#This Row],[CeDi]], '[2]Potencial Hor x CeDi'!$B$6:$BU$6, '[2]Potencial Hor x CeDi'!$B$26:$BU$26), "")</f>
        <v/>
      </c>
      <c r="CJ77" s="92" t="str">
        <f>IFERROR(_xlfn.XLOOKUP([2]!BaseMaestraCeDi[[#This Row],[CeDi]], '[2]Potencial Hor x CeDi'!$B$6:$BU$6, '[2]Potencial Hor x CeDi'!$B$27:$BU$27), "")</f>
        <v/>
      </c>
      <c r="CK77" s="90" t="str">
        <f>IFERROR(_xlfn.XLOOKUP([2]!BaseMaestraCeDi[[#This Row],[CeDi]], '[2]Potencial Hor x CeDi'!$B$6:$BU$6, '[2]Potencial Hor x CeDi'!$B$28:$BU$28), "")</f>
        <v/>
      </c>
      <c r="CL77" s="92" t="str">
        <f>IFERROR(_xlfn.XLOOKUP([2]!BaseMaestraCeDi[[#This Row],[CeDi]], '[2]Potencial Hor x CeDi'!$B$6:$BU$6, '[2]Potencial Hor x CeDi'!$B$29:$BU$29), "")</f>
        <v/>
      </c>
      <c r="CM77" s="93" t="str">
        <f>IFERROR(_xlfn.XLOOKUP([2]!BaseMaestraCeDi[[#This Row],[CeDi]], '[2]Potencial Hor x CeDi'!$B$6:$BU$6, '[2]Potencial Hor x CeDi'!$B$39:$BU$39), "")</f>
        <v/>
      </c>
      <c r="CN77" s="94" t="str">
        <f>IFERROR(_xlfn.XLOOKUP([2]!BaseMaestraCeDi[[#This Row],[CeDi]], '[2]Potencial Hor x CeDi'!$B$6:$BU$6, '[2]Potencial Hor x CeDi'!$B$43:$BU$43), "")</f>
        <v/>
      </c>
      <c r="CO77" s="94" t="str">
        <f>IFERROR(_xlfn.XLOOKUP([2]!BaseMaestraCeDi[[#This Row],[CeDi]], '[2]Potencial Hor x CeDi'!$B$6:$BU$6, '[2]Potencial Hor x CeDi'!$B$46:$BU$46), "")</f>
        <v/>
      </c>
      <c r="CP77" s="86" t="str">
        <f>IFERROR(_xlfn.XLOOKUP([2]!BaseMaestraCeDi[[#This Row],[CeDi]], '[2]Potencial Hor x CeDi'!$B$6:$BU$6, '[2]Potencial Hor x CeDi'!$B$51:$BU$51), "")</f>
        <v/>
      </c>
      <c r="CQ77" s="82" t="str">
        <f>IFERROR(_xlfn.XLOOKUP([2]!BaseMaestraCeDi[[#This Row],[CeDi]], '[2]Potencial Hor x CeDi'!$B$6:$BU$6, '[2]Potencial Hor x CeDi'!$B$52:$BU$52), "")</f>
        <v/>
      </c>
      <c r="CR77" s="82" t="str">
        <f>IFERROR(_xlfn.XLOOKUP([2]!BaseMaestraCeDi[[#This Row],[CeDi]], '[2]Potencial Hor x CeDi'!$B$6:$BU$6, '[2]Potencial Hor x CeDi'!$B$53:$BU$53), "")</f>
        <v/>
      </c>
      <c r="CS77" s="87" t="str">
        <f>IFERROR(_xlfn.XLOOKUP([2]!BaseMaestraCeDi[[#This Row],[CeDi]], '[2]Potencial Hor x CeDi'!$B$6:$BU$6, '[2]Potencial Hor x CeDi'!$B$60:$BU$60), "")</f>
        <v/>
      </c>
      <c r="CT77" s="90" t="str">
        <f>IFERROR(_xlfn.XLOOKUP([2]!BaseMaestraCeDi[[#This Row],[CeDi]], '[2]Potencial Hor x CeDi'!$B$6:$BU$6, '[2]Potencial Hor x CeDi'!$B$65:$BU$65), "")</f>
        <v/>
      </c>
      <c r="CU77" s="90" t="str">
        <f>IFERROR(_xlfn.XLOOKUP([2]!BaseMaestraCeDi[[#This Row],[CeDi]], '[2]Potencial Hor x CeDi'!$B$6:$BU$6, '[2]Potencial Hor x CeDi'!$B$68:$BU$68), "")</f>
        <v/>
      </c>
      <c r="CV77" s="95" t="str">
        <f>IFERROR(_xlfn.XLOOKUP([2]!BaseMaestraCeDi[[#This Row],[CeDi]], '[2]Potencial Hor x CeDi'!$B$6:$BU$6, '[2]Potencial Hor x CeDi'!$B$71:$BU$71), "")</f>
        <v/>
      </c>
    </row>
    <row r="78" spans="1:100">
      <c r="A78" s="112" t="s">
        <v>95</v>
      </c>
      <c r="B78" s="112" t="s">
        <v>1030</v>
      </c>
      <c r="C78" s="112" t="s">
        <v>1031</v>
      </c>
      <c r="D78" s="113">
        <v>6</v>
      </c>
      <c r="E78" s="114">
        <v>412.32580367999998</v>
      </c>
      <c r="F78" s="115">
        <v>46.383501267000049</v>
      </c>
      <c r="G78" s="115">
        <v>458.70930494700002</v>
      </c>
      <c r="H78" s="116">
        <v>2581.3676323853501</v>
      </c>
      <c r="I78" s="117">
        <v>7554.9270963214403</v>
      </c>
      <c r="J78" s="117">
        <v>861.5661884584631</v>
      </c>
      <c r="K78" s="117">
        <v>10997.860917165253</v>
      </c>
      <c r="L78" s="116">
        <v>11937.031788186769</v>
      </c>
      <c r="M78" s="118">
        <v>0.92132291446597758</v>
      </c>
      <c r="N78" s="119" t="s">
        <v>211</v>
      </c>
      <c r="O78" s="114">
        <v>50.155225019069412</v>
      </c>
      <c r="P78" s="115">
        <v>1</v>
      </c>
      <c r="Q78" s="115">
        <v>1</v>
      </c>
      <c r="R78" s="120">
        <v>8</v>
      </c>
      <c r="S78" s="119">
        <v>58</v>
      </c>
      <c r="T78" s="121">
        <v>0.84964095991176991</v>
      </c>
      <c r="U78" s="118">
        <v>0.15035904008823009</v>
      </c>
      <c r="V78" s="118">
        <v>0.52290727986012175</v>
      </c>
      <c r="W78" s="118">
        <v>0.47654356866993058</v>
      </c>
      <c r="X78" s="118">
        <v>5.4915146994765403E-4</v>
      </c>
      <c r="Y78" s="116">
        <v>6241.9608219645479</v>
      </c>
      <c r="Z78" s="117">
        <v>5688.515727668926</v>
      </c>
      <c r="AA78" s="117">
        <v>6.5552385532946369</v>
      </c>
      <c r="AB78" s="117">
        <v>64361.785714285725</v>
      </c>
      <c r="AC78" s="113">
        <v>7</v>
      </c>
      <c r="AD78" s="122">
        <v>4</v>
      </c>
      <c r="AE78" s="113">
        <v>131507</v>
      </c>
      <c r="AF78" s="122">
        <v>81678</v>
      </c>
      <c r="AG78" s="123">
        <v>0.62109241333160969</v>
      </c>
      <c r="AH78" s="118">
        <v>0.67098294814271631</v>
      </c>
      <c r="AI78" s="113">
        <v>6864.3240595895804</v>
      </c>
      <c r="AJ78" s="122">
        <v>3432.1620297947902</v>
      </c>
      <c r="AK78" s="118">
        <v>0.64719111552841135</v>
      </c>
      <c r="AL78" s="116">
        <v>17166663.049999997</v>
      </c>
      <c r="AM78" s="117">
        <v>697288.90788448369</v>
      </c>
      <c r="AN78" s="118">
        <v>4.0618779890625498E-2</v>
      </c>
      <c r="AO78" s="116">
        <v>489986.80013504263</v>
      </c>
      <c r="AP78" s="118">
        <v>2.2289963225477567E-3</v>
      </c>
      <c r="AQ78" s="122">
        <v>35</v>
      </c>
      <c r="AR78" s="113">
        <v>5</v>
      </c>
      <c r="AS78" s="117">
        <v>632028.41476009542</v>
      </c>
      <c r="AT78" s="116">
        <v>1122015.2148951381</v>
      </c>
      <c r="AU78" s="113">
        <v>7</v>
      </c>
      <c r="AV78" s="122">
        <v>0</v>
      </c>
      <c r="AW78" s="122">
        <v>1</v>
      </c>
      <c r="AX78" s="122">
        <v>5</v>
      </c>
      <c r="AY78" s="123">
        <v>0</v>
      </c>
      <c r="AZ78" s="122">
        <v>8285.5997893057702</v>
      </c>
      <c r="BA78" s="114">
        <v>50.155225019069412</v>
      </c>
      <c r="BB78" s="118">
        <v>0.62517217218140486</v>
      </c>
      <c r="BC78" s="124">
        <v>253.2248248440122</v>
      </c>
      <c r="BD78" s="74"/>
      <c r="BE78" s="88" t="str">
        <f>IFERROR(_xlfn.XLOOKUP([2]!BaseMaestraCeDi[[#This Row],[CeDi]], '[2]Potencial Hor x CeDi'!$B$6:$BU$6, '[2]Potencial Hor x CeDi'!$B$21:$BU$21) / 1000, "")</f>
        <v/>
      </c>
      <c r="BF78" s="89" t="str">
        <f>IFERROR(_xlfn.XLOOKUP([2]!BaseMaestraCeDi[[#This Row],[CeDi]], '[2]Potencial Hor x CeDi'!$B$6:$BU$6, '[2]Potencial Hor x CeDi'!$B$22:$BU$22) / 1000, "")</f>
        <v/>
      </c>
      <c r="BG78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78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78" s="78">
        <f>IFERROR(INDEX('[2]Potencial Hor SocioDem x CeDi'!$C$2:$AF$81, MATCH($C78,'[2]Potencial Hor SocioDem x CeDi'!$B$2:$B$81,0), MATCH(BI$4,'[2]Potencial Hor SocioDem x CeDi'!$C$1:$AF$1,0)), "")</f>
        <v>7941</v>
      </c>
      <c r="BJ78" s="78">
        <f>IFERROR(INDEX('[2]Potencial Hor SocioDem x CeDi'!$C$2:$AF$81, MATCH($C78,'[2]Potencial Hor SocioDem x CeDi'!$B$2:$B$81,0), MATCH(BJ$4,'[2]Potencial Hor SocioDem x CeDi'!$C$1:$AF$1,0)), "")</f>
        <v>439434</v>
      </c>
      <c r="BK78" s="78">
        <f>IFERROR(INDEX('[2]Potencial Hor SocioDem x CeDi'!$C$2:$AF$81, MATCH($C78,'[2]Potencial Hor SocioDem x CeDi'!$B$2:$B$81,0), MATCH(BK$4,'[2]Potencial Hor SocioDem x CeDi'!$C$1:$AF$1,0)), "")</f>
        <v>134663</v>
      </c>
      <c r="BL78" s="79">
        <f>IFERROR(INDEX('[2]Potencial Hor SocioDem x CeDi'!$C$2:$AF$81, MATCH($C78,'[2]Potencial Hor SocioDem x CeDi'!$B$2:$B$81,0), MATCH(BL$4,'[2]Potencial Hor SocioDem x CeDi'!$C$1:$AF$1,0)), "")</f>
        <v>3.2632126122245899</v>
      </c>
      <c r="BM78" s="79">
        <f>IFERROR(INDEX('[2]Potencial Hor SocioDem x CeDi'!$C$2:$AF$81, MATCH($C78,'[2]Potencial Hor SocioDem x CeDi'!$B$2:$B$81,0), MATCH(BM$4,'[2]Potencial Hor SocioDem x CeDi'!$C$1:$AF$1,0)), "")</f>
        <v>16.95793980606976</v>
      </c>
      <c r="BN78" s="78">
        <f>IFERROR(INDEX('[2]Potencial Hor SocioDem x CeDi'!$C$2:$AF$81, MATCH($C78,'[2]Potencial Hor SocioDem x CeDi'!$B$2:$B$81,0), MATCH(BN$4,'[2]Potencial Hor SocioDem x CeDi'!$C$1:$AF$1,0)), "")</f>
        <v>730</v>
      </c>
      <c r="BO78" s="78">
        <f>IFERROR(INDEX('[2]Potencial Hor SocioDem x CeDi'!$C$2:$AF$81, MATCH($C78,'[2]Potencial Hor SocioDem x CeDi'!$B$2:$B$81,0), MATCH(BO$4,'[2]Potencial Hor SocioDem x CeDi'!$C$1:$AF$1,0)), "")</f>
        <v>35581</v>
      </c>
      <c r="BP78" s="78">
        <f>IFERROR(INDEX('[2]Potencial Hor SocioDem x CeDi'!$C$2:$AF$81, MATCH($C78,'[2]Potencial Hor SocioDem x CeDi'!$B$2:$B$81,0), MATCH(BP$4,'[2]Potencial Hor SocioDem x CeDi'!$C$1:$AF$1,0)), "")</f>
        <v>36311</v>
      </c>
      <c r="BQ78" s="80">
        <f>IFERROR(INDEX('[2]Potencial Hor SocioDem x CeDi'!$C$2:$AF$81, MATCH($C78,'[2]Potencial Hor SocioDem x CeDi'!$B$2:$B$81,0), MATCH(BQ$4,'[2]Potencial Hor SocioDem x CeDi'!$C$1:$AF$1,0)), "")</f>
        <v>0.26964348039179292</v>
      </c>
      <c r="BR78" s="80">
        <f>IFERROR(INDEX('[2]Potencial Hor SocioDem x CeDi'!$C$2:$AF$81, MATCH($C78,'[2]Potencial Hor SocioDem x CeDi'!$B$2:$B$81,0), MATCH(BR$4,'[2]Potencial Hor SocioDem x CeDi'!$C$1:$AF$1,0)), "")</f>
        <v>5.4209396790506669E-3</v>
      </c>
      <c r="BS78" s="80">
        <f>IFERROR(INDEX('[2]Potencial Hor SocioDem x CeDi'!$C$2:$AF$81, MATCH($C78,'[2]Potencial Hor SocioDem x CeDi'!$B$2:$B$81,0), MATCH(BS$4,'[2]Potencial Hor SocioDem x CeDi'!$C$1:$AF$1,0)), "")</f>
        <v>0.2642225407127422</v>
      </c>
      <c r="BT78" s="80">
        <f>IFERROR(INDEX('[2]Potencial Hor SocioDem x CeDi'!$C$2:$AF$81, MATCH($C78,'[2]Potencial Hor SocioDem x CeDi'!$B$2:$B$81,0), MATCH(BT$4,'[2]Potencial Hor SocioDem x CeDi'!$C$1:$AF$1,0)), "")</f>
        <v>0.13434276675850079</v>
      </c>
      <c r="BU78" s="80">
        <f>IFERROR(INDEX('[2]Potencial Hor SocioDem x CeDi'!$C$2:$AF$81, MATCH($C78,'[2]Potencial Hor SocioDem x CeDi'!$B$2:$B$81,0), MATCH(BU$4,'[2]Potencial Hor SocioDem x CeDi'!$C$1:$AF$1,0)), "")</f>
        <v>8.4113676362475215E-2</v>
      </c>
      <c r="BV78" s="80">
        <f>IFERROR(INDEX('[2]Potencial Hor SocioDem x CeDi'!$C$2:$AF$81, MATCH($C78,'[2]Potencial Hor SocioDem x CeDi'!$B$2:$B$81,0), MATCH(BV$4,'[2]Potencial Hor SocioDem x CeDi'!$C$1:$AF$1,0)), "")</f>
        <v>2.1245627975019121E-2</v>
      </c>
      <c r="BW78" s="80">
        <f>IFERROR(INDEX('[2]Potencial Hor SocioDem x CeDi'!$C$2:$AF$81, MATCH($C78,'[2]Potencial Hor SocioDem x CeDi'!$B$2:$B$81,0), MATCH(BW$4,'[2]Potencial Hor SocioDem x CeDi'!$C$1:$AF$1,0)), "")</f>
        <v>0.4887459807073955</v>
      </c>
      <c r="BX78" s="80">
        <f>IFERROR(INDEX('[2]Potencial Hor SocioDem x CeDi'!$C$2:$AF$81, MATCH($C78,'[2]Potencial Hor SocioDem x CeDi'!$B$2:$B$81,0), MATCH(BX$4,'[2]Potencial Hor SocioDem x CeDi'!$C$1:$AF$1,0)), "")</f>
        <v>1.8564861914557079E-3</v>
      </c>
      <c r="BY78" s="80">
        <f>IFERROR(INDEX('[2]Potencial Hor SocioDem x CeDi'!$C$2:$AF$81, MATCH($C78,'[2]Potencial Hor SocioDem x CeDi'!$B$2:$B$81,0), MATCH(BY$4,'[2]Potencial Hor SocioDem x CeDi'!$C$1:$AF$1,0)), "")</f>
        <v>5.1981613360759822E-5</v>
      </c>
      <c r="BZ78" s="79">
        <f>IFERROR(INDEX('[2]Potencial Hor SocioDem x CeDi'!$C$2:$AF$81, MATCH($C78,'[2]Potencial Hor SocioDem x CeDi'!$B$2:$B$81,0), MATCH(BZ$4,'[2]Potencial Hor SocioDem x CeDi'!$C$1:$AF$1,0)), "")</f>
        <v>5.0360236121920474</v>
      </c>
      <c r="CA78" s="79">
        <f>IFERROR(INDEX('[2]Potencial Hor SocioDem x CeDi'!$C$2:$AF$81, MATCH($C78,'[2]Potencial Hor SocioDem x CeDi'!$B$2:$B$81,0), MATCH(CA$4,'[2]Potencial Hor SocioDem x CeDi'!$C$1:$AF$1,0)), "")</f>
        <v>0.32541860666220629</v>
      </c>
      <c r="CB78" s="81">
        <f>IFERROR(INDEX('[2]Potencial Hor SocioDem x CeDi'!$C$2:$AF$81, MATCH($C78,'[2]Potencial Hor SocioDem x CeDi'!$B$2:$B$81,0), MATCH(CB$4,'[2]Potencial Hor SocioDem x CeDi'!$C$1:$AF$1,0)), "")</f>
        <v>2049</v>
      </c>
      <c r="CC78" s="82">
        <f>IFERROR(INDEX('[2]Potencial Hor SocioDem x CeDi'!$C$2:$AF$81, MATCH($C78,'[2]Potencial Hor SocioDem x CeDi'!$B$2:$B$81,0), MATCH(CC$4,'[2]Potencial Hor SocioDem x CeDi'!$C$1:$AF$1,0)), "")</f>
        <v>1203</v>
      </c>
      <c r="CD78" s="83">
        <f>IFERROR(INDEX('[2]Potencial Hor SocioDem x CeDi'!$C$2:$AF$81, MATCH($C78,'[2]Potencial Hor SocioDem x CeDi'!$B$2:$B$81,0), MATCH(CD$4,'[2]Potencial Hor SocioDem x CeDi'!$C$1:$AF$1,0)), "")</f>
        <v>3.3130456335545698E-2</v>
      </c>
      <c r="CE78" s="78" t="str">
        <f>IFERROR(_xlfn.XLOOKUP([2]!BaseMaestraCeDi[[#This Row],[CeDi]], '[2]Potencial Hor x CeDi'!$B$6:$BU$6, '[2]Potencial Hor x CeDi'!$B$50:$BU$50), "")</f>
        <v/>
      </c>
      <c r="CF78" s="90" t="str">
        <f>IFERROR(_xlfn.XLOOKUP([2]!BaseMaestraCeDi[[#This Row],[CeDi]], '[2]Potencial Hor x CeDi'!$B$6:$BU$6, '[2]Potencial Hor x CeDi'!$B$34:$BU$34), "")</f>
        <v/>
      </c>
      <c r="CG78" s="90" t="str">
        <f>IFERROR(_xlfn.XLOOKUP([2]!BaseMaestraCeDi[[#This Row],[CeDi]], '[2]Potencial Hor x CeDi'!$B$6:$BU$6, '[2]Potencial Hor x CeDi'!$B$64:$BU$64), "")</f>
        <v/>
      </c>
      <c r="CH78" s="91" t="str">
        <f>IFERROR(_xlfn.XLOOKUP([2]!BaseMaestraCeDi[[#This Row],[CeDi]], '[2]Potencial Hor x CeDi'!$B$6:$BU$6, '[2]Potencial Hor x CeDi'!$B$38:$BU$38), "")</f>
        <v/>
      </c>
      <c r="CI78" s="90" t="str">
        <f>IFERROR(_xlfn.XLOOKUP([2]!BaseMaestraCeDi[[#This Row],[CeDi]], '[2]Potencial Hor x CeDi'!$B$6:$BU$6, '[2]Potencial Hor x CeDi'!$B$26:$BU$26), "")</f>
        <v/>
      </c>
      <c r="CJ78" s="92" t="str">
        <f>IFERROR(_xlfn.XLOOKUP([2]!BaseMaestraCeDi[[#This Row],[CeDi]], '[2]Potencial Hor x CeDi'!$B$6:$BU$6, '[2]Potencial Hor x CeDi'!$B$27:$BU$27), "")</f>
        <v/>
      </c>
      <c r="CK78" s="90" t="str">
        <f>IFERROR(_xlfn.XLOOKUP([2]!BaseMaestraCeDi[[#This Row],[CeDi]], '[2]Potencial Hor x CeDi'!$B$6:$BU$6, '[2]Potencial Hor x CeDi'!$B$28:$BU$28), "")</f>
        <v/>
      </c>
      <c r="CL78" s="92" t="str">
        <f>IFERROR(_xlfn.XLOOKUP([2]!BaseMaestraCeDi[[#This Row],[CeDi]], '[2]Potencial Hor x CeDi'!$B$6:$BU$6, '[2]Potencial Hor x CeDi'!$B$29:$BU$29), "")</f>
        <v/>
      </c>
      <c r="CM78" s="93" t="str">
        <f>IFERROR(_xlfn.XLOOKUP([2]!BaseMaestraCeDi[[#This Row],[CeDi]], '[2]Potencial Hor x CeDi'!$B$6:$BU$6, '[2]Potencial Hor x CeDi'!$B$39:$BU$39), "")</f>
        <v/>
      </c>
      <c r="CN78" s="94" t="str">
        <f>IFERROR(_xlfn.XLOOKUP([2]!BaseMaestraCeDi[[#This Row],[CeDi]], '[2]Potencial Hor x CeDi'!$B$6:$BU$6, '[2]Potencial Hor x CeDi'!$B$43:$BU$43), "")</f>
        <v/>
      </c>
      <c r="CO78" s="94" t="str">
        <f>IFERROR(_xlfn.XLOOKUP([2]!BaseMaestraCeDi[[#This Row],[CeDi]], '[2]Potencial Hor x CeDi'!$B$6:$BU$6, '[2]Potencial Hor x CeDi'!$B$46:$BU$46), "")</f>
        <v/>
      </c>
      <c r="CP78" s="86" t="str">
        <f>IFERROR(_xlfn.XLOOKUP([2]!BaseMaestraCeDi[[#This Row],[CeDi]], '[2]Potencial Hor x CeDi'!$B$6:$BU$6, '[2]Potencial Hor x CeDi'!$B$51:$BU$51), "")</f>
        <v/>
      </c>
      <c r="CQ78" s="82" t="str">
        <f>IFERROR(_xlfn.XLOOKUP([2]!BaseMaestraCeDi[[#This Row],[CeDi]], '[2]Potencial Hor x CeDi'!$B$6:$BU$6, '[2]Potencial Hor x CeDi'!$B$52:$BU$52), "")</f>
        <v/>
      </c>
      <c r="CR78" s="82" t="str">
        <f>IFERROR(_xlfn.XLOOKUP([2]!BaseMaestraCeDi[[#This Row],[CeDi]], '[2]Potencial Hor x CeDi'!$B$6:$BU$6, '[2]Potencial Hor x CeDi'!$B$53:$BU$53), "")</f>
        <v/>
      </c>
      <c r="CS78" s="87" t="str">
        <f>IFERROR(_xlfn.XLOOKUP([2]!BaseMaestraCeDi[[#This Row],[CeDi]], '[2]Potencial Hor x CeDi'!$B$6:$BU$6, '[2]Potencial Hor x CeDi'!$B$60:$BU$60), "")</f>
        <v/>
      </c>
      <c r="CT78" s="90" t="str">
        <f>IFERROR(_xlfn.XLOOKUP([2]!BaseMaestraCeDi[[#This Row],[CeDi]], '[2]Potencial Hor x CeDi'!$B$6:$BU$6, '[2]Potencial Hor x CeDi'!$B$65:$BU$65), "")</f>
        <v/>
      </c>
      <c r="CU78" s="90" t="str">
        <f>IFERROR(_xlfn.XLOOKUP([2]!BaseMaestraCeDi[[#This Row],[CeDi]], '[2]Potencial Hor x CeDi'!$B$6:$BU$6, '[2]Potencial Hor x CeDi'!$B$68:$BU$68), "")</f>
        <v/>
      </c>
      <c r="CV78" s="95" t="str">
        <f>IFERROR(_xlfn.XLOOKUP([2]!BaseMaestraCeDi[[#This Row],[CeDi]], '[2]Potencial Hor x CeDi'!$B$6:$BU$6, '[2]Potencial Hor x CeDi'!$B$71:$BU$71), "")</f>
        <v/>
      </c>
    </row>
    <row r="79" spans="1:100">
      <c r="A79" s="100" t="s">
        <v>95</v>
      </c>
      <c r="B79" s="100" t="s">
        <v>1039</v>
      </c>
      <c r="C79" s="100" t="s">
        <v>1040</v>
      </c>
      <c r="D79" s="101">
        <v>5</v>
      </c>
      <c r="E79" s="102">
        <v>0</v>
      </c>
      <c r="F79" s="103">
        <v>83.183201455000059</v>
      </c>
      <c r="G79" s="103">
        <v>83.183201455000059</v>
      </c>
      <c r="H79" s="104">
        <v>926.14838741306698</v>
      </c>
      <c r="I79" s="105">
        <v>4308.9777469532419</v>
      </c>
      <c r="J79" s="105">
        <v>870.62091261773514</v>
      </c>
      <c r="K79" s="105">
        <v>6105.7470469840446</v>
      </c>
      <c r="L79" s="104">
        <v>10136.424180000004</v>
      </c>
      <c r="M79" s="106">
        <v>0.60235709739053589</v>
      </c>
      <c r="N79" s="107" t="s">
        <v>211</v>
      </c>
      <c r="O79" s="102" t="s">
        <v>194</v>
      </c>
      <c r="P79" s="103">
        <v>1</v>
      </c>
      <c r="Q79" s="103">
        <v>1</v>
      </c>
      <c r="R79" s="108">
        <v>6</v>
      </c>
      <c r="S79" s="107">
        <v>44</v>
      </c>
      <c r="T79" s="125">
        <v>0.84197405994253893</v>
      </c>
      <c r="U79" s="106">
        <v>0.15802594005746107</v>
      </c>
      <c r="V79" s="106">
        <v>0</v>
      </c>
      <c r="W79" s="106">
        <v>0.98560627178411286</v>
      </c>
      <c r="X79" s="106">
        <v>1.4393728215887171E-2</v>
      </c>
      <c r="Y79" s="104">
        <v>0</v>
      </c>
      <c r="Z79" s="105">
        <v>9990.5232452721375</v>
      </c>
      <c r="AA79" s="105">
        <v>145.90093472786702</v>
      </c>
      <c r="AB79" s="105">
        <v>90343.375438596486</v>
      </c>
      <c r="AC79" s="101">
        <v>6</v>
      </c>
      <c r="AD79" s="109">
        <v>0</v>
      </c>
      <c r="AE79" s="101">
        <v>0</v>
      </c>
      <c r="AF79" s="109">
        <v>0</v>
      </c>
      <c r="AG79" s="110" t="s">
        <v>194</v>
      </c>
      <c r="AH79" s="106" t="s">
        <v>194</v>
      </c>
      <c r="AI79" s="101">
        <v>0</v>
      </c>
      <c r="AJ79" s="109">
        <v>0</v>
      </c>
      <c r="AK79" s="106" t="s">
        <v>194</v>
      </c>
      <c r="AL79" s="104">
        <v>14600129.6</v>
      </c>
      <c r="AM79" s="105">
        <v>0</v>
      </c>
      <c r="AN79" s="106">
        <v>0</v>
      </c>
      <c r="AO79" s="104">
        <v>0</v>
      </c>
      <c r="AP79" s="106">
        <v>0</v>
      </c>
      <c r="AQ79" s="109" t="s">
        <v>194</v>
      </c>
      <c r="AR79" s="101">
        <v>4</v>
      </c>
      <c r="AS79" s="105">
        <v>1488088.4806559195</v>
      </c>
      <c r="AT79" s="104">
        <v>1488088.4806559195</v>
      </c>
      <c r="AU79" s="101">
        <v>6</v>
      </c>
      <c r="AV79" s="109">
        <v>0</v>
      </c>
      <c r="AW79" s="109">
        <v>0</v>
      </c>
      <c r="AX79" s="109">
        <v>0</v>
      </c>
      <c r="AY79" s="110">
        <v>0</v>
      </c>
      <c r="AZ79" s="109">
        <v>0</v>
      </c>
      <c r="BA79" s="102" t="s">
        <v>194</v>
      </c>
      <c r="BB79" s="106" t="s">
        <v>194</v>
      </c>
      <c r="BC79" s="111" t="s">
        <v>194</v>
      </c>
      <c r="BD79" s="74"/>
      <c r="BE79" s="88" t="str">
        <f>IFERROR(_xlfn.XLOOKUP([2]!BaseMaestraCeDi[[#This Row],[CeDi]], '[2]Potencial Hor x CeDi'!$B$6:$BU$6, '[2]Potencial Hor x CeDi'!$B$21:$BU$21) / 1000, "")</f>
        <v/>
      </c>
      <c r="BF79" s="89" t="str">
        <f>IFERROR(_xlfn.XLOOKUP([2]!BaseMaestraCeDi[[#This Row],[CeDi]], '[2]Potencial Hor x CeDi'!$B$6:$BU$6, '[2]Potencial Hor x CeDi'!$B$22:$BU$22) / 1000, "")</f>
        <v/>
      </c>
      <c r="BG79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79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79" s="78">
        <f>IFERROR(INDEX('[2]Potencial Hor SocioDem x CeDi'!$C$2:$AF$81, MATCH($C79,'[2]Potencial Hor SocioDem x CeDi'!$B$2:$B$81,0), MATCH(BI$4,'[2]Potencial Hor SocioDem x CeDi'!$C$1:$AF$1,0)), "")</f>
        <v>13480</v>
      </c>
      <c r="BJ79" s="78">
        <f>IFERROR(INDEX('[2]Potencial Hor SocioDem x CeDi'!$C$2:$AF$81, MATCH($C79,'[2]Potencial Hor SocioDem x CeDi'!$B$2:$B$81,0), MATCH(BJ$4,'[2]Potencial Hor SocioDem x CeDi'!$C$1:$AF$1,0)), "")</f>
        <v>848468</v>
      </c>
      <c r="BK79" s="78">
        <f>IFERROR(INDEX('[2]Potencial Hor SocioDem x CeDi'!$C$2:$AF$81, MATCH($C79,'[2]Potencial Hor SocioDem x CeDi'!$B$2:$B$81,0), MATCH(BK$4,'[2]Potencial Hor SocioDem x CeDi'!$C$1:$AF$1,0)), "")</f>
        <v>269462</v>
      </c>
      <c r="BL79" s="79">
        <f>IFERROR(INDEX('[2]Potencial Hor SocioDem x CeDi'!$C$2:$AF$81, MATCH($C79,'[2]Potencial Hor SocioDem x CeDi'!$B$2:$B$81,0), MATCH(BL$4,'[2]Potencial Hor SocioDem x CeDi'!$C$1:$AF$1,0)), "")</f>
        <v>3.1487482465060008</v>
      </c>
      <c r="BM79" s="79">
        <f>IFERROR(INDEX('[2]Potencial Hor SocioDem x CeDi'!$C$2:$AF$81, MATCH($C79,'[2]Potencial Hor SocioDem x CeDi'!$B$2:$B$81,0), MATCH(BM$4,'[2]Potencial Hor SocioDem x CeDi'!$C$1:$AF$1,0)), "")</f>
        <v>19.98976261127596</v>
      </c>
      <c r="BN79" s="78">
        <f>IFERROR(INDEX('[2]Potencial Hor SocioDem x CeDi'!$C$2:$AF$81, MATCH($C79,'[2]Potencial Hor SocioDem x CeDi'!$B$2:$B$81,0), MATCH(BN$4,'[2]Potencial Hor SocioDem x CeDi'!$C$1:$AF$1,0)), "")</f>
        <v>18577</v>
      </c>
      <c r="BO79" s="78">
        <f>IFERROR(INDEX('[2]Potencial Hor SocioDem x CeDi'!$C$2:$AF$81, MATCH($C79,'[2]Potencial Hor SocioDem x CeDi'!$B$2:$B$81,0), MATCH(BO$4,'[2]Potencial Hor SocioDem x CeDi'!$C$1:$AF$1,0)), "")</f>
        <v>51421</v>
      </c>
      <c r="BP79" s="78">
        <f>IFERROR(INDEX('[2]Potencial Hor SocioDem x CeDi'!$C$2:$AF$81, MATCH($C79,'[2]Potencial Hor SocioDem x CeDi'!$B$2:$B$81,0), MATCH(BP$4,'[2]Potencial Hor SocioDem x CeDi'!$C$1:$AF$1,0)), "")</f>
        <v>69998</v>
      </c>
      <c r="BQ79" s="80">
        <f>IFERROR(INDEX('[2]Potencial Hor SocioDem x CeDi'!$C$2:$AF$81, MATCH($C79,'[2]Potencial Hor SocioDem x CeDi'!$B$2:$B$81,0), MATCH(BQ$4,'[2]Potencial Hor SocioDem x CeDi'!$C$1:$AF$1,0)), "")</f>
        <v>0.2597694665667144</v>
      </c>
      <c r="BR79" s="80">
        <f>IFERROR(INDEX('[2]Potencial Hor SocioDem x CeDi'!$C$2:$AF$81, MATCH($C79,'[2]Potencial Hor SocioDem x CeDi'!$B$2:$B$81,0), MATCH(BR$4,'[2]Potencial Hor SocioDem x CeDi'!$C$1:$AF$1,0)), "")</f>
        <v>6.8941075179431613E-2</v>
      </c>
      <c r="BS79" s="80">
        <f>IFERROR(INDEX('[2]Potencial Hor SocioDem x CeDi'!$C$2:$AF$81, MATCH($C79,'[2]Potencial Hor SocioDem x CeDi'!$B$2:$B$81,0), MATCH(BS$4,'[2]Potencial Hor SocioDem x CeDi'!$C$1:$AF$1,0)), "")</f>
        <v>0.1908283913872828</v>
      </c>
      <c r="BT79" s="80">
        <f>IFERROR(INDEX('[2]Potencial Hor SocioDem x CeDi'!$C$2:$AF$81, MATCH($C79,'[2]Potencial Hor SocioDem x CeDi'!$B$2:$B$81,0), MATCH(BT$4,'[2]Potencial Hor SocioDem x CeDi'!$C$1:$AF$1,0)), "")</f>
        <v>0.43479971201876327</v>
      </c>
      <c r="BU79" s="80">
        <f>IFERROR(INDEX('[2]Potencial Hor SocioDem x CeDi'!$C$2:$AF$81, MATCH($C79,'[2]Potencial Hor SocioDem x CeDi'!$B$2:$B$81,0), MATCH(BU$4,'[2]Potencial Hor SocioDem x CeDi'!$C$1:$AF$1,0)), "")</f>
        <v>0.12711996496723099</v>
      </c>
      <c r="BV79" s="80">
        <f>IFERROR(INDEX('[2]Potencial Hor SocioDem x CeDi'!$C$2:$AF$81, MATCH($C79,'[2]Potencial Hor SocioDem x CeDi'!$B$2:$B$81,0), MATCH(BV$4,'[2]Potencial Hor SocioDem x CeDi'!$C$1:$AF$1,0)), "")</f>
        <v>4.2974519598310704E-3</v>
      </c>
      <c r="BW79" s="80">
        <f>IFERROR(INDEX('[2]Potencial Hor SocioDem x CeDi'!$C$2:$AF$81, MATCH($C79,'[2]Potencial Hor SocioDem x CeDi'!$B$2:$B$81,0), MATCH(BW$4,'[2]Potencial Hor SocioDem x CeDi'!$C$1:$AF$1,0)), "")</f>
        <v>0.17398742679858381</v>
      </c>
      <c r="BX79" s="80">
        <f>IFERROR(INDEX('[2]Potencial Hor SocioDem x CeDi'!$C$2:$AF$81, MATCH($C79,'[2]Potencial Hor SocioDem x CeDi'!$B$2:$B$81,0), MATCH(BX$4,'[2]Potencial Hor SocioDem x CeDi'!$C$1:$AF$1,0)), "")</f>
        <v>2.226659046544596E-5</v>
      </c>
      <c r="BY79" s="80">
        <f>IFERROR(INDEX('[2]Potencial Hor SocioDem x CeDi'!$C$2:$AF$81, MATCH($C79,'[2]Potencial Hor SocioDem x CeDi'!$B$2:$B$81,0), MATCH(BY$4,'[2]Potencial Hor SocioDem x CeDi'!$C$1:$AF$1,0)), "")</f>
        <v>3.7110984109076601E-6</v>
      </c>
      <c r="BZ79" s="79">
        <f>IFERROR(INDEX('[2]Potencial Hor SocioDem x CeDi'!$C$2:$AF$81, MATCH($C79,'[2]Potencial Hor SocioDem x CeDi'!$B$2:$B$81,0), MATCH(BZ$4,'[2]Potencial Hor SocioDem x CeDi'!$C$1:$AF$1,0)), "")</f>
        <v>2.135613835760453</v>
      </c>
      <c r="CA79" s="79">
        <f>IFERROR(INDEX('[2]Potencial Hor SocioDem x CeDi'!$C$2:$AF$81, MATCH($C79,'[2]Potencial Hor SocioDem x CeDi'!$B$2:$B$81,0), MATCH(CA$4,'[2]Potencial Hor SocioDem x CeDi'!$C$1:$AF$1,0)), "")</f>
        <v>0.55629676074996337</v>
      </c>
      <c r="CB79" s="81">
        <f>IFERROR(INDEX('[2]Potencial Hor SocioDem x CeDi'!$C$2:$AF$81, MATCH($C79,'[2]Potencial Hor SocioDem x CeDi'!$B$2:$B$81,0), MATCH(CB$4,'[2]Potencial Hor SocioDem x CeDi'!$C$1:$AF$1,0)), "")</f>
        <v>1865</v>
      </c>
      <c r="CC79" s="82">
        <f>IFERROR(INDEX('[2]Potencial Hor SocioDem x CeDi'!$C$2:$AF$81, MATCH($C79,'[2]Potencial Hor SocioDem x CeDi'!$B$2:$B$81,0), MATCH(CC$4,'[2]Potencial Hor SocioDem x CeDi'!$C$1:$AF$1,0)), "")</f>
        <v>404</v>
      </c>
      <c r="CD79" s="83">
        <f>IFERROR(INDEX('[2]Potencial Hor SocioDem x CeDi'!$C$2:$AF$81, MATCH($C79,'[2]Potencial Hor SocioDem x CeDi'!$B$2:$B$81,0), MATCH(CD$4,'[2]Potencial Hor SocioDem x CeDi'!$C$1:$AF$1,0)), "")</f>
        <v>5.7715934740992601E-3</v>
      </c>
      <c r="CE79" s="78" t="str">
        <f>IFERROR(_xlfn.XLOOKUP([2]!BaseMaestraCeDi[[#This Row],[CeDi]], '[2]Potencial Hor x CeDi'!$B$6:$BU$6, '[2]Potencial Hor x CeDi'!$B$50:$BU$50), "")</f>
        <v/>
      </c>
      <c r="CF79" s="90" t="str">
        <f>IFERROR(_xlfn.XLOOKUP([2]!BaseMaestraCeDi[[#This Row],[CeDi]], '[2]Potencial Hor x CeDi'!$B$6:$BU$6, '[2]Potencial Hor x CeDi'!$B$34:$BU$34), "")</f>
        <v/>
      </c>
      <c r="CG79" s="90" t="str">
        <f>IFERROR(_xlfn.XLOOKUP([2]!BaseMaestraCeDi[[#This Row],[CeDi]], '[2]Potencial Hor x CeDi'!$B$6:$BU$6, '[2]Potencial Hor x CeDi'!$B$64:$BU$64), "")</f>
        <v/>
      </c>
      <c r="CH79" s="91" t="str">
        <f>IFERROR(_xlfn.XLOOKUP([2]!BaseMaestraCeDi[[#This Row],[CeDi]], '[2]Potencial Hor x CeDi'!$B$6:$BU$6, '[2]Potencial Hor x CeDi'!$B$38:$BU$38), "")</f>
        <v/>
      </c>
      <c r="CI79" s="90" t="str">
        <f>IFERROR(_xlfn.XLOOKUP([2]!BaseMaestraCeDi[[#This Row],[CeDi]], '[2]Potencial Hor x CeDi'!$B$6:$BU$6, '[2]Potencial Hor x CeDi'!$B$26:$BU$26), "")</f>
        <v/>
      </c>
      <c r="CJ79" s="92" t="str">
        <f>IFERROR(_xlfn.XLOOKUP([2]!BaseMaestraCeDi[[#This Row],[CeDi]], '[2]Potencial Hor x CeDi'!$B$6:$BU$6, '[2]Potencial Hor x CeDi'!$B$27:$BU$27), "")</f>
        <v/>
      </c>
      <c r="CK79" s="90" t="str">
        <f>IFERROR(_xlfn.XLOOKUP([2]!BaseMaestraCeDi[[#This Row],[CeDi]], '[2]Potencial Hor x CeDi'!$B$6:$BU$6, '[2]Potencial Hor x CeDi'!$B$28:$BU$28), "")</f>
        <v/>
      </c>
      <c r="CL79" s="92" t="str">
        <f>IFERROR(_xlfn.XLOOKUP([2]!BaseMaestraCeDi[[#This Row],[CeDi]], '[2]Potencial Hor x CeDi'!$B$6:$BU$6, '[2]Potencial Hor x CeDi'!$B$29:$BU$29), "")</f>
        <v/>
      </c>
      <c r="CM79" s="93" t="str">
        <f>IFERROR(_xlfn.XLOOKUP([2]!BaseMaestraCeDi[[#This Row],[CeDi]], '[2]Potencial Hor x CeDi'!$B$6:$BU$6, '[2]Potencial Hor x CeDi'!$B$39:$BU$39), "")</f>
        <v/>
      </c>
      <c r="CN79" s="94" t="str">
        <f>IFERROR(_xlfn.XLOOKUP([2]!BaseMaestraCeDi[[#This Row],[CeDi]], '[2]Potencial Hor x CeDi'!$B$6:$BU$6, '[2]Potencial Hor x CeDi'!$B$43:$BU$43), "")</f>
        <v/>
      </c>
      <c r="CO79" s="94" t="str">
        <f>IFERROR(_xlfn.XLOOKUP([2]!BaseMaestraCeDi[[#This Row],[CeDi]], '[2]Potencial Hor x CeDi'!$B$6:$BU$6, '[2]Potencial Hor x CeDi'!$B$46:$BU$46), "")</f>
        <v/>
      </c>
      <c r="CP79" s="86" t="str">
        <f>IFERROR(_xlfn.XLOOKUP([2]!BaseMaestraCeDi[[#This Row],[CeDi]], '[2]Potencial Hor x CeDi'!$B$6:$BU$6, '[2]Potencial Hor x CeDi'!$B$51:$BU$51), "")</f>
        <v/>
      </c>
      <c r="CQ79" s="82" t="str">
        <f>IFERROR(_xlfn.XLOOKUP([2]!BaseMaestraCeDi[[#This Row],[CeDi]], '[2]Potencial Hor x CeDi'!$B$6:$BU$6, '[2]Potencial Hor x CeDi'!$B$52:$BU$52), "")</f>
        <v/>
      </c>
      <c r="CR79" s="82" t="str">
        <f>IFERROR(_xlfn.XLOOKUP([2]!BaseMaestraCeDi[[#This Row],[CeDi]], '[2]Potencial Hor x CeDi'!$B$6:$BU$6, '[2]Potencial Hor x CeDi'!$B$53:$BU$53), "")</f>
        <v/>
      </c>
      <c r="CS79" s="87" t="str">
        <f>IFERROR(_xlfn.XLOOKUP([2]!BaseMaestraCeDi[[#This Row],[CeDi]], '[2]Potencial Hor x CeDi'!$B$6:$BU$6, '[2]Potencial Hor x CeDi'!$B$60:$BU$60), "")</f>
        <v/>
      </c>
      <c r="CT79" s="90" t="str">
        <f>IFERROR(_xlfn.XLOOKUP([2]!BaseMaestraCeDi[[#This Row],[CeDi]], '[2]Potencial Hor x CeDi'!$B$6:$BU$6, '[2]Potencial Hor x CeDi'!$B$65:$BU$65), "")</f>
        <v/>
      </c>
      <c r="CU79" s="90" t="str">
        <f>IFERROR(_xlfn.XLOOKUP([2]!BaseMaestraCeDi[[#This Row],[CeDi]], '[2]Potencial Hor x CeDi'!$B$6:$BU$6, '[2]Potencial Hor x CeDi'!$B$68:$BU$68), "")</f>
        <v/>
      </c>
      <c r="CV79" s="95" t="str">
        <f>IFERROR(_xlfn.XLOOKUP([2]!BaseMaestraCeDi[[#This Row],[CeDi]], '[2]Potencial Hor x CeDi'!$B$6:$BU$6, '[2]Potencial Hor x CeDi'!$B$71:$BU$71), "")</f>
        <v/>
      </c>
    </row>
    <row r="80" spans="1:100">
      <c r="A80" s="112" t="s">
        <v>95</v>
      </c>
      <c r="B80" s="112" t="s">
        <v>320</v>
      </c>
      <c r="C80" s="112" t="s">
        <v>1047</v>
      </c>
      <c r="D80" s="113" t="s">
        <v>194</v>
      </c>
      <c r="E80" s="114" t="s">
        <v>194</v>
      </c>
      <c r="F80" s="115" t="s">
        <v>194</v>
      </c>
      <c r="G80" s="115" t="s">
        <v>194</v>
      </c>
      <c r="H80" s="116" t="s">
        <v>194</v>
      </c>
      <c r="I80" s="117" t="s">
        <v>194</v>
      </c>
      <c r="J80" s="117" t="s">
        <v>194</v>
      </c>
      <c r="K80" s="117" t="s">
        <v>194</v>
      </c>
      <c r="L80" s="116" t="s">
        <v>194</v>
      </c>
      <c r="M80" s="118" t="s">
        <v>194</v>
      </c>
      <c r="N80" s="119" t="s">
        <v>194</v>
      </c>
      <c r="O80" s="114" t="s">
        <v>194</v>
      </c>
      <c r="P80" s="115" t="s">
        <v>194</v>
      </c>
      <c r="Q80" s="115" t="s">
        <v>194</v>
      </c>
      <c r="R80" s="120" t="s">
        <v>194</v>
      </c>
      <c r="S80" s="119" t="s">
        <v>194</v>
      </c>
      <c r="T80" s="118" t="s">
        <v>194</v>
      </c>
      <c r="U80" s="118" t="s">
        <v>194</v>
      </c>
      <c r="V80" s="118" t="s">
        <v>194</v>
      </c>
      <c r="W80" s="118" t="s">
        <v>194</v>
      </c>
      <c r="X80" s="118" t="s">
        <v>194</v>
      </c>
      <c r="Y80" s="116" t="s">
        <v>194</v>
      </c>
      <c r="Z80" s="117" t="s">
        <v>194</v>
      </c>
      <c r="AA80" s="117" t="s">
        <v>194</v>
      </c>
      <c r="AB80" s="117" t="s">
        <v>194</v>
      </c>
      <c r="AC80" s="113">
        <v>0</v>
      </c>
      <c r="AD80" s="122">
        <v>0</v>
      </c>
      <c r="AE80" s="113">
        <v>0</v>
      </c>
      <c r="AF80" s="122">
        <v>0</v>
      </c>
      <c r="AG80" s="123" t="s">
        <v>194</v>
      </c>
      <c r="AH80" s="118" t="s">
        <v>194</v>
      </c>
      <c r="AI80" s="113">
        <v>0</v>
      </c>
      <c r="AJ80" s="122">
        <v>0</v>
      </c>
      <c r="AK80" s="118" t="s">
        <v>194</v>
      </c>
      <c r="AL80" s="116">
        <v>0</v>
      </c>
      <c r="AM80" s="117">
        <v>0</v>
      </c>
      <c r="AN80" s="118" t="s">
        <v>194</v>
      </c>
      <c r="AO80" s="116">
        <v>0</v>
      </c>
      <c r="AP80" s="118">
        <v>0</v>
      </c>
      <c r="AQ80" s="122" t="s">
        <v>194</v>
      </c>
      <c r="AR80" s="113">
        <v>0</v>
      </c>
      <c r="AS80" s="117">
        <v>0</v>
      </c>
      <c r="AT80" s="116">
        <v>0</v>
      </c>
      <c r="AU80" s="113">
        <v>1</v>
      </c>
      <c r="AV80" s="122">
        <v>0</v>
      </c>
      <c r="AW80" s="122">
        <v>0</v>
      </c>
      <c r="AX80" s="122">
        <v>0</v>
      </c>
      <c r="AY80" s="123">
        <v>0</v>
      </c>
      <c r="AZ80" s="122">
        <v>0</v>
      </c>
      <c r="BA80" s="114" t="s">
        <v>194</v>
      </c>
      <c r="BB80" s="118" t="s">
        <v>194</v>
      </c>
      <c r="BC80" s="124" t="s">
        <v>194</v>
      </c>
      <c r="BD80" s="74"/>
      <c r="BE80" s="88" t="str">
        <f>IFERROR(_xlfn.XLOOKUP([2]!BaseMaestraCeDi[[#This Row],[CeDi]], '[2]Potencial Hor x CeDi'!$B$6:$BU$6, '[2]Potencial Hor x CeDi'!$B$21:$BU$21) / 1000, "")</f>
        <v/>
      </c>
      <c r="BF80" s="89" t="str">
        <f>IFERROR(_xlfn.XLOOKUP([2]!BaseMaestraCeDi[[#This Row],[CeDi]], '[2]Potencial Hor x CeDi'!$B$6:$BU$6, '[2]Potencial Hor x CeDi'!$B$22:$BU$22) / 1000, "")</f>
        <v/>
      </c>
      <c r="BG80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80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80" s="78" t="str">
        <f>IFERROR(INDEX('[2]Potencial Hor SocioDem x CeDi'!$C$2:$AF$81, MATCH($C80,'[2]Potencial Hor SocioDem x CeDi'!$B$2:$B$81,0), MATCH(BI$4,'[2]Potencial Hor SocioDem x CeDi'!$C$1:$AF$1,0)), "")</f>
        <v/>
      </c>
      <c r="BJ80" s="78" t="str">
        <f>IFERROR(INDEX('[2]Potencial Hor SocioDem x CeDi'!$C$2:$AF$81, MATCH($C80,'[2]Potencial Hor SocioDem x CeDi'!$B$2:$B$81,0), MATCH(BJ$4,'[2]Potencial Hor SocioDem x CeDi'!$C$1:$AF$1,0)), "")</f>
        <v/>
      </c>
      <c r="BK80" s="78" t="str">
        <f>IFERROR(INDEX('[2]Potencial Hor SocioDem x CeDi'!$C$2:$AF$81, MATCH($C80,'[2]Potencial Hor SocioDem x CeDi'!$B$2:$B$81,0), MATCH(BK$4,'[2]Potencial Hor SocioDem x CeDi'!$C$1:$AF$1,0)), "")</f>
        <v/>
      </c>
      <c r="BL80" s="79" t="str">
        <f>IFERROR(INDEX('[2]Potencial Hor SocioDem x CeDi'!$C$2:$AF$81, MATCH($C80,'[2]Potencial Hor SocioDem x CeDi'!$B$2:$B$81,0), MATCH(BL$4,'[2]Potencial Hor SocioDem x CeDi'!$C$1:$AF$1,0)), "")</f>
        <v/>
      </c>
      <c r="BM80" s="79" t="str">
        <f>IFERROR(INDEX('[2]Potencial Hor SocioDem x CeDi'!$C$2:$AF$81, MATCH($C80,'[2]Potencial Hor SocioDem x CeDi'!$B$2:$B$81,0), MATCH(BM$4,'[2]Potencial Hor SocioDem x CeDi'!$C$1:$AF$1,0)), "")</f>
        <v/>
      </c>
      <c r="BN80" s="78" t="str">
        <f>IFERROR(INDEX('[2]Potencial Hor SocioDem x CeDi'!$C$2:$AF$81, MATCH($C80,'[2]Potencial Hor SocioDem x CeDi'!$B$2:$B$81,0), MATCH(BN$4,'[2]Potencial Hor SocioDem x CeDi'!$C$1:$AF$1,0)), "")</f>
        <v/>
      </c>
      <c r="BO80" s="78" t="str">
        <f>IFERROR(INDEX('[2]Potencial Hor SocioDem x CeDi'!$C$2:$AF$81, MATCH($C80,'[2]Potencial Hor SocioDem x CeDi'!$B$2:$B$81,0), MATCH(BO$4,'[2]Potencial Hor SocioDem x CeDi'!$C$1:$AF$1,0)), "")</f>
        <v/>
      </c>
      <c r="BP80" s="78" t="str">
        <f>IFERROR(INDEX('[2]Potencial Hor SocioDem x CeDi'!$C$2:$AF$81, MATCH($C80,'[2]Potencial Hor SocioDem x CeDi'!$B$2:$B$81,0), MATCH(BP$4,'[2]Potencial Hor SocioDem x CeDi'!$C$1:$AF$1,0)), "")</f>
        <v/>
      </c>
      <c r="BQ80" s="80" t="str">
        <f>IFERROR(INDEX('[2]Potencial Hor SocioDem x CeDi'!$C$2:$AF$81, MATCH($C80,'[2]Potencial Hor SocioDem x CeDi'!$B$2:$B$81,0), MATCH(BQ$4,'[2]Potencial Hor SocioDem x CeDi'!$C$1:$AF$1,0)), "")</f>
        <v/>
      </c>
      <c r="BR80" s="80" t="str">
        <f>IFERROR(INDEX('[2]Potencial Hor SocioDem x CeDi'!$C$2:$AF$81, MATCH($C80,'[2]Potencial Hor SocioDem x CeDi'!$B$2:$B$81,0), MATCH(BR$4,'[2]Potencial Hor SocioDem x CeDi'!$C$1:$AF$1,0)), "")</f>
        <v/>
      </c>
      <c r="BS80" s="80" t="str">
        <f>IFERROR(INDEX('[2]Potencial Hor SocioDem x CeDi'!$C$2:$AF$81, MATCH($C80,'[2]Potencial Hor SocioDem x CeDi'!$B$2:$B$81,0), MATCH(BS$4,'[2]Potencial Hor SocioDem x CeDi'!$C$1:$AF$1,0)), "")</f>
        <v/>
      </c>
      <c r="BT80" s="80" t="str">
        <f>IFERROR(INDEX('[2]Potencial Hor SocioDem x CeDi'!$C$2:$AF$81, MATCH($C80,'[2]Potencial Hor SocioDem x CeDi'!$B$2:$B$81,0), MATCH(BT$4,'[2]Potencial Hor SocioDem x CeDi'!$C$1:$AF$1,0)), "")</f>
        <v/>
      </c>
      <c r="BU80" s="80" t="str">
        <f>IFERROR(INDEX('[2]Potencial Hor SocioDem x CeDi'!$C$2:$AF$81, MATCH($C80,'[2]Potencial Hor SocioDem x CeDi'!$B$2:$B$81,0), MATCH(BU$4,'[2]Potencial Hor SocioDem x CeDi'!$C$1:$AF$1,0)), "")</f>
        <v/>
      </c>
      <c r="BV80" s="80" t="str">
        <f>IFERROR(INDEX('[2]Potencial Hor SocioDem x CeDi'!$C$2:$AF$81, MATCH($C80,'[2]Potencial Hor SocioDem x CeDi'!$B$2:$B$81,0), MATCH(BV$4,'[2]Potencial Hor SocioDem x CeDi'!$C$1:$AF$1,0)), "")</f>
        <v/>
      </c>
      <c r="BW80" s="80" t="str">
        <f>IFERROR(INDEX('[2]Potencial Hor SocioDem x CeDi'!$C$2:$AF$81, MATCH($C80,'[2]Potencial Hor SocioDem x CeDi'!$B$2:$B$81,0), MATCH(BW$4,'[2]Potencial Hor SocioDem x CeDi'!$C$1:$AF$1,0)), "")</f>
        <v/>
      </c>
      <c r="BX80" s="80" t="str">
        <f>IFERROR(INDEX('[2]Potencial Hor SocioDem x CeDi'!$C$2:$AF$81, MATCH($C80,'[2]Potencial Hor SocioDem x CeDi'!$B$2:$B$81,0), MATCH(BX$4,'[2]Potencial Hor SocioDem x CeDi'!$C$1:$AF$1,0)), "")</f>
        <v/>
      </c>
      <c r="BY80" s="80" t="str">
        <f>IFERROR(INDEX('[2]Potencial Hor SocioDem x CeDi'!$C$2:$AF$81, MATCH($C80,'[2]Potencial Hor SocioDem x CeDi'!$B$2:$B$81,0), MATCH(BY$4,'[2]Potencial Hor SocioDem x CeDi'!$C$1:$AF$1,0)), "")</f>
        <v/>
      </c>
      <c r="BZ80" s="79" t="str">
        <f>IFERROR(INDEX('[2]Potencial Hor SocioDem x CeDi'!$C$2:$AF$81, MATCH($C80,'[2]Potencial Hor SocioDem x CeDi'!$B$2:$B$81,0), MATCH(BZ$4,'[2]Potencial Hor SocioDem x CeDi'!$C$1:$AF$1,0)), "")</f>
        <v/>
      </c>
      <c r="CA80" s="79" t="str">
        <f>IFERROR(INDEX('[2]Potencial Hor SocioDem x CeDi'!$C$2:$AF$81, MATCH($C80,'[2]Potencial Hor SocioDem x CeDi'!$B$2:$B$81,0), MATCH(CA$4,'[2]Potencial Hor SocioDem x CeDi'!$C$1:$AF$1,0)), "")</f>
        <v/>
      </c>
      <c r="CB80" s="81" t="str">
        <f>IFERROR(INDEX('[2]Potencial Hor SocioDem x CeDi'!$C$2:$AF$81, MATCH($C80,'[2]Potencial Hor SocioDem x CeDi'!$B$2:$B$81,0), MATCH(CB$4,'[2]Potencial Hor SocioDem x CeDi'!$C$1:$AF$1,0)), "")</f>
        <v/>
      </c>
      <c r="CC80" s="82" t="str">
        <f>IFERROR(INDEX('[2]Potencial Hor SocioDem x CeDi'!$C$2:$AF$81, MATCH($C80,'[2]Potencial Hor SocioDem x CeDi'!$B$2:$B$81,0), MATCH(CC$4,'[2]Potencial Hor SocioDem x CeDi'!$C$1:$AF$1,0)), "")</f>
        <v/>
      </c>
      <c r="CD80" s="83" t="str">
        <f>IFERROR(INDEX('[2]Potencial Hor SocioDem x CeDi'!$C$2:$AF$81, MATCH($C80,'[2]Potencial Hor SocioDem x CeDi'!$B$2:$B$81,0), MATCH(CD$4,'[2]Potencial Hor SocioDem x CeDi'!$C$1:$AF$1,0)), "")</f>
        <v/>
      </c>
      <c r="CE80" s="78" t="str">
        <f>IFERROR(_xlfn.XLOOKUP([2]!BaseMaestraCeDi[[#This Row],[CeDi]], '[2]Potencial Hor x CeDi'!$B$6:$BU$6, '[2]Potencial Hor x CeDi'!$B$50:$BU$50), "")</f>
        <v/>
      </c>
      <c r="CF80" s="90" t="str">
        <f>IFERROR(_xlfn.XLOOKUP([2]!BaseMaestraCeDi[[#This Row],[CeDi]], '[2]Potencial Hor x CeDi'!$B$6:$BU$6, '[2]Potencial Hor x CeDi'!$B$34:$BU$34), "")</f>
        <v/>
      </c>
      <c r="CG80" s="90" t="str">
        <f>IFERROR(_xlfn.XLOOKUP([2]!BaseMaestraCeDi[[#This Row],[CeDi]], '[2]Potencial Hor x CeDi'!$B$6:$BU$6, '[2]Potencial Hor x CeDi'!$B$64:$BU$64), "")</f>
        <v/>
      </c>
      <c r="CH80" s="91" t="str">
        <f>IFERROR(_xlfn.XLOOKUP([2]!BaseMaestraCeDi[[#This Row],[CeDi]], '[2]Potencial Hor x CeDi'!$B$6:$BU$6, '[2]Potencial Hor x CeDi'!$B$38:$BU$38), "")</f>
        <v/>
      </c>
      <c r="CI80" s="90" t="str">
        <f>IFERROR(_xlfn.XLOOKUP([2]!BaseMaestraCeDi[[#This Row],[CeDi]], '[2]Potencial Hor x CeDi'!$B$6:$BU$6, '[2]Potencial Hor x CeDi'!$B$26:$BU$26), "")</f>
        <v/>
      </c>
      <c r="CJ80" s="92" t="str">
        <f>IFERROR(_xlfn.XLOOKUP([2]!BaseMaestraCeDi[[#This Row],[CeDi]], '[2]Potencial Hor x CeDi'!$B$6:$BU$6, '[2]Potencial Hor x CeDi'!$B$27:$BU$27), "")</f>
        <v/>
      </c>
      <c r="CK80" s="90" t="str">
        <f>IFERROR(_xlfn.XLOOKUP([2]!BaseMaestraCeDi[[#This Row],[CeDi]], '[2]Potencial Hor x CeDi'!$B$6:$BU$6, '[2]Potencial Hor x CeDi'!$B$28:$BU$28), "")</f>
        <v/>
      </c>
      <c r="CL80" s="92" t="str">
        <f>IFERROR(_xlfn.XLOOKUP([2]!BaseMaestraCeDi[[#This Row],[CeDi]], '[2]Potencial Hor x CeDi'!$B$6:$BU$6, '[2]Potencial Hor x CeDi'!$B$29:$BU$29), "")</f>
        <v/>
      </c>
      <c r="CM80" s="93" t="str">
        <f>IFERROR(_xlfn.XLOOKUP([2]!BaseMaestraCeDi[[#This Row],[CeDi]], '[2]Potencial Hor x CeDi'!$B$6:$BU$6, '[2]Potencial Hor x CeDi'!$B$39:$BU$39), "")</f>
        <v/>
      </c>
      <c r="CN80" s="94" t="str">
        <f>IFERROR(_xlfn.XLOOKUP([2]!BaseMaestraCeDi[[#This Row],[CeDi]], '[2]Potencial Hor x CeDi'!$B$6:$BU$6, '[2]Potencial Hor x CeDi'!$B$43:$BU$43), "")</f>
        <v/>
      </c>
      <c r="CO80" s="94" t="str">
        <f>IFERROR(_xlfn.XLOOKUP([2]!BaseMaestraCeDi[[#This Row],[CeDi]], '[2]Potencial Hor x CeDi'!$B$6:$BU$6, '[2]Potencial Hor x CeDi'!$B$46:$BU$46), "")</f>
        <v/>
      </c>
      <c r="CP80" s="86" t="str">
        <f>IFERROR(_xlfn.XLOOKUP([2]!BaseMaestraCeDi[[#This Row],[CeDi]], '[2]Potencial Hor x CeDi'!$B$6:$BU$6, '[2]Potencial Hor x CeDi'!$B$51:$BU$51), "")</f>
        <v/>
      </c>
      <c r="CQ80" s="82" t="str">
        <f>IFERROR(_xlfn.XLOOKUP([2]!BaseMaestraCeDi[[#This Row],[CeDi]], '[2]Potencial Hor x CeDi'!$B$6:$BU$6, '[2]Potencial Hor x CeDi'!$B$52:$BU$52), "")</f>
        <v/>
      </c>
      <c r="CR80" s="82" t="str">
        <f>IFERROR(_xlfn.XLOOKUP([2]!BaseMaestraCeDi[[#This Row],[CeDi]], '[2]Potencial Hor x CeDi'!$B$6:$BU$6, '[2]Potencial Hor x CeDi'!$B$53:$BU$53), "")</f>
        <v/>
      </c>
      <c r="CS80" s="87" t="str">
        <f>IFERROR(_xlfn.XLOOKUP([2]!BaseMaestraCeDi[[#This Row],[CeDi]], '[2]Potencial Hor x CeDi'!$B$6:$BU$6, '[2]Potencial Hor x CeDi'!$B$60:$BU$60), "")</f>
        <v/>
      </c>
      <c r="CT80" s="90" t="str">
        <f>IFERROR(_xlfn.XLOOKUP([2]!BaseMaestraCeDi[[#This Row],[CeDi]], '[2]Potencial Hor x CeDi'!$B$6:$BU$6, '[2]Potencial Hor x CeDi'!$B$65:$BU$65), "")</f>
        <v/>
      </c>
      <c r="CU80" s="90" t="str">
        <f>IFERROR(_xlfn.XLOOKUP([2]!BaseMaestraCeDi[[#This Row],[CeDi]], '[2]Potencial Hor x CeDi'!$B$6:$BU$6, '[2]Potencial Hor x CeDi'!$B$68:$BU$68), "")</f>
        <v/>
      </c>
      <c r="CV80" s="95" t="str">
        <f>IFERROR(_xlfn.XLOOKUP([2]!BaseMaestraCeDi[[#This Row],[CeDi]], '[2]Potencial Hor x CeDi'!$B$6:$BU$6, '[2]Potencial Hor x CeDi'!$B$71:$BU$71), "")</f>
        <v/>
      </c>
    </row>
    <row r="81" spans="1:100">
      <c r="A81" s="100" t="s">
        <v>95</v>
      </c>
      <c r="B81" s="100" t="s">
        <v>320</v>
      </c>
      <c r="C81" s="100" t="s">
        <v>1049</v>
      </c>
      <c r="D81" s="101" t="s">
        <v>194</v>
      </c>
      <c r="E81" s="102" t="s">
        <v>194</v>
      </c>
      <c r="F81" s="103" t="s">
        <v>194</v>
      </c>
      <c r="G81" s="103" t="s">
        <v>194</v>
      </c>
      <c r="H81" s="104" t="s">
        <v>194</v>
      </c>
      <c r="I81" s="105" t="s">
        <v>194</v>
      </c>
      <c r="J81" s="105" t="s">
        <v>194</v>
      </c>
      <c r="K81" s="105" t="s">
        <v>194</v>
      </c>
      <c r="L81" s="104" t="s">
        <v>194</v>
      </c>
      <c r="M81" s="106" t="s">
        <v>194</v>
      </c>
      <c r="N81" s="107" t="s">
        <v>194</v>
      </c>
      <c r="O81" s="102" t="s">
        <v>194</v>
      </c>
      <c r="P81" s="103" t="s">
        <v>194</v>
      </c>
      <c r="Q81" s="103" t="s">
        <v>194</v>
      </c>
      <c r="R81" s="108" t="s">
        <v>194</v>
      </c>
      <c r="S81" s="107" t="s">
        <v>194</v>
      </c>
      <c r="T81" s="106" t="s">
        <v>194</v>
      </c>
      <c r="U81" s="106" t="s">
        <v>194</v>
      </c>
      <c r="V81" s="106" t="s">
        <v>194</v>
      </c>
      <c r="W81" s="106" t="s">
        <v>194</v>
      </c>
      <c r="X81" s="106" t="s">
        <v>194</v>
      </c>
      <c r="Y81" s="104" t="s">
        <v>194</v>
      </c>
      <c r="Z81" s="105" t="s">
        <v>194</v>
      </c>
      <c r="AA81" s="105" t="s">
        <v>194</v>
      </c>
      <c r="AB81" s="105" t="s">
        <v>194</v>
      </c>
      <c r="AC81" s="101">
        <v>1</v>
      </c>
      <c r="AD81" s="109">
        <v>0</v>
      </c>
      <c r="AE81" s="101">
        <v>0</v>
      </c>
      <c r="AF81" s="109">
        <v>0</v>
      </c>
      <c r="AG81" s="110" t="s">
        <v>194</v>
      </c>
      <c r="AH81" s="106" t="s">
        <v>194</v>
      </c>
      <c r="AI81" s="101">
        <v>0</v>
      </c>
      <c r="AJ81" s="109">
        <v>0</v>
      </c>
      <c r="AK81" s="106" t="s">
        <v>194</v>
      </c>
      <c r="AL81" s="104">
        <v>16896.669999999998</v>
      </c>
      <c r="AM81" s="105">
        <v>0</v>
      </c>
      <c r="AN81" s="106">
        <v>0</v>
      </c>
      <c r="AO81" s="104">
        <v>0</v>
      </c>
      <c r="AP81" s="106">
        <v>0</v>
      </c>
      <c r="AQ81" s="109" t="s">
        <v>194</v>
      </c>
      <c r="AR81" s="101">
        <v>0</v>
      </c>
      <c r="AS81" s="105">
        <v>0</v>
      </c>
      <c r="AT81" s="104">
        <v>0</v>
      </c>
      <c r="AU81" s="101">
        <v>1</v>
      </c>
      <c r="AV81" s="109">
        <v>0</v>
      </c>
      <c r="AW81" s="109">
        <v>0</v>
      </c>
      <c r="AX81" s="109">
        <v>0</v>
      </c>
      <c r="AY81" s="110">
        <v>0</v>
      </c>
      <c r="AZ81" s="109">
        <v>0</v>
      </c>
      <c r="BA81" s="102" t="s">
        <v>194</v>
      </c>
      <c r="BB81" s="106" t="s">
        <v>194</v>
      </c>
      <c r="BC81" s="111" t="s">
        <v>194</v>
      </c>
      <c r="BD81" s="74"/>
      <c r="BE81" s="88" t="str">
        <f>IFERROR(_xlfn.XLOOKUP([2]!BaseMaestraCeDi[[#This Row],[CeDi]], '[2]Potencial Hor x CeDi'!$B$6:$BU$6, '[2]Potencial Hor x CeDi'!$B$21:$BU$21) / 1000, "")</f>
        <v/>
      </c>
      <c r="BF81" s="89" t="str">
        <f>IFERROR(_xlfn.XLOOKUP([2]!BaseMaestraCeDi[[#This Row],[CeDi]], '[2]Potencial Hor x CeDi'!$B$6:$BU$6, '[2]Potencial Hor x CeDi'!$B$22:$BU$22) / 1000, "")</f>
        <v/>
      </c>
      <c r="BG81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81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81" s="78" t="str">
        <f>IFERROR(INDEX('[2]Potencial Hor SocioDem x CeDi'!$C$2:$AF$81, MATCH($C81,'[2]Potencial Hor SocioDem x CeDi'!$B$2:$B$81,0), MATCH(BI$4,'[2]Potencial Hor SocioDem x CeDi'!$C$1:$AF$1,0)), "")</f>
        <v/>
      </c>
      <c r="BJ81" s="78" t="str">
        <f>IFERROR(INDEX('[2]Potencial Hor SocioDem x CeDi'!$C$2:$AF$81, MATCH($C81,'[2]Potencial Hor SocioDem x CeDi'!$B$2:$B$81,0), MATCH(BJ$4,'[2]Potencial Hor SocioDem x CeDi'!$C$1:$AF$1,0)), "")</f>
        <v/>
      </c>
      <c r="BK81" s="78" t="str">
        <f>IFERROR(INDEX('[2]Potencial Hor SocioDem x CeDi'!$C$2:$AF$81, MATCH($C81,'[2]Potencial Hor SocioDem x CeDi'!$B$2:$B$81,0), MATCH(BK$4,'[2]Potencial Hor SocioDem x CeDi'!$C$1:$AF$1,0)), "")</f>
        <v/>
      </c>
      <c r="BL81" s="79" t="str">
        <f>IFERROR(INDEX('[2]Potencial Hor SocioDem x CeDi'!$C$2:$AF$81, MATCH($C81,'[2]Potencial Hor SocioDem x CeDi'!$B$2:$B$81,0), MATCH(BL$4,'[2]Potencial Hor SocioDem x CeDi'!$C$1:$AF$1,0)), "")</f>
        <v/>
      </c>
      <c r="BM81" s="79" t="str">
        <f>IFERROR(INDEX('[2]Potencial Hor SocioDem x CeDi'!$C$2:$AF$81, MATCH($C81,'[2]Potencial Hor SocioDem x CeDi'!$B$2:$B$81,0), MATCH(BM$4,'[2]Potencial Hor SocioDem x CeDi'!$C$1:$AF$1,0)), "")</f>
        <v/>
      </c>
      <c r="BN81" s="78" t="str">
        <f>IFERROR(INDEX('[2]Potencial Hor SocioDem x CeDi'!$C$2:$AF$81, MATCH($C81,'[2]Potencial Hor SocioDem x CeDi'!$B$2:$B$81,0), MATCH(BN$4,'[2]Potencial Hor SocioDem x CeDi'!$C$1:$AF$1,0)), "")</f>
        <v/>
      </c>
      <c r="BO81" s="78" t="str">
        <f>IFERROR(INDEX('[2]Potencial Hor SocioDem x CeDi'!$C$2:$AF$81, MATCH($C81,'[2]Potencial Hor SocioDem x CeDi'!$B$2:$B$81,0), MATCH(BO$4,'[2]Potencial Hor SocioDem x CeDi'!$C$1:$AF$1,0)), "")</f>
        <v/>
      </c>
      <c r="BP81" s="78" t="str">
        <f>IFERROR(INDEX('[2]Potencial Hor SocioDem x CeDi'!$C$2:$AF$81, MATCH($C81,'[2]Potencial Hor SocioDem x CeDi'!$B$2:$B$81,0), MATCH(BP$4,'[2]Potencial Hor SocioDem x CeDi'!$C$1:$AF$1,0)), "")</f>
        <v/>
      </c>
      <c r="BQ81" s="80" t="str">
        <f>IFERROR(INDEX('[2]Potencial Hor SocioDem x CeDi'!$C$2:$AF$81, MATCH($C81,'[2]Potencial Hor SocioDem x CeDi'!$B$2:$B$81,0), MATCH(BQ$4,'[2]Potencial Hor SocioDem x CeDi'!$C$1:$AF$1,0)), "")</f>
        <v/>
      </c>
      <c r="BR81" s="80" t="str">
        <f>IFERROR(INDEX('[2]Potencial Hor SocioDem x CeDi'!$C$2:$AF$81, MATCH($C81,'[2]Potencial Hor SocioDem x CeDi'!$B$2:$B$81,0), MATCH(BR$4,'[2]Potencial Hor SocioDem x CeDi'!$C$1:$AF$1,0)), "")</f>
        <v/>
      </c>
      <c r="BS81" s="80" t="str">
        <f>IFERROR(INDEX('[2]Potencial Hor SocioDem x CeDi'!$C$2:$AF$81, MATCH($C81,'[2]Potencial Hor SocioDem x CeDi'!$B$2:$B$81,0), MATCH(BS$4,'[2]Potencial Hor SocioDem x CeDi'!$C$1:$AF$1,0)), "")</f>
        <v/>
      </c>
      <c r="BT81" s="80" t="str">
        <f>IFERROR(INDEX('[2]Potencial Hor SocioDem x CeDi'!$C$2:$AF$81, MATCH($C81,'[2]Potencial Hor SocioDem x CeDi'!$B$2:$B$81,0), MATCH(BT$4,'[2]Potencial Hor SocioDem x CeDi'!$C$1:$AF$1,0)), "")</f>
        <v/>
      </c>
      <c r="BU81" s="80" t="str">
        <f>IFERROR(INDEX('[2]Potencial Hor SocioDem x CeDi'!$C$2:$AF$81, MATCH($C81,'[2]Potencial Hor SocioDem x CeDi'!$B$2:$B$81,0), MATCH(BU$4,'[2]Potencial Hor SocioDem x CeDi'!$C$1:$AF$1,0)), "")</f>
        <v/>
      </c>
      <c r="BV81" s="80" t="str">
        <f>IFERROR(INDEX('[2]Potencial Hor SocioDem x CeDi'!$C$2:$AF$81, MATCH($C81,'[2]Potencial Hor SocioDem x CeDi'!$B$2:$B$81,0), MATCH(BV$4,'[2]Potencial Hor SocioDem x CeDi'!$C$1:$AF$1,0)), "")</f>
        <v/>
      </c>
      <c r="BW81" s="80" t="str">
        <f>IFERROR(INDEX('[2]Potencial Hor SocioDem x CeDi'!$C$2:$AF$81, MATCH($C81,'[2]Potencial Hor SocioDem x CeDi'!$B$2:$B$81,0), MATCH(BW$4,'[2]Potencial Hor SocioDem x CeDi'!$C$1:$AF$1,0)), "")</f>
        <v/>
      </c>
      <c r="BX81" s="80" t="str">
        <f>IFERROR(INDEX('[2]Potencial Hor SocioDem x CeDi'!$C$2:$AF$81, MATCH($C81,'[2]Potencial Hor SocioDem x CeDi'!$B$2:$B$81,0), MATCH(BX$4,'[2]Potencial Hor SocioDem x CeDi'!$C$1:$AF$1,0)), "")</f>
        <v/>
      </c>
      <c r="BY81" s="80" t="str">
        <f>IFERROR(INDEX('[2]Potencial Hor SocioDem x CeDi'!$C$2:$AF$81, MATCH($C81,'[2]Potencial Hor SocioDem x CeDi'!$B$2:$B$81,0), MATCH(BY$4,'[2]Potencial Hor SocioDem x CeDi'!$C$1:$AF$1,0)), "")</f>
        <v/>
      </c>
      <c r="BZ81" s="79" t="str">
        <f>IFERROR(INDEX('[2]Potencial Hor SocioDem x CeDi'!$C$2:$AF$81, MATCH($C81,'[2]Potencial Hor SocioDem x CeDi'!$B$2:$B$81,0), MATCH(BZ$4,'[2]Potencial Hor SocioDem x CeDi'!$C$1:$AF$1,0)), "")</f>
        <v/>
      </c>
      <c r="CA81" s="79" t="str">
        <f>IFERROR(INDEX('[2]Potencial Hor SocioDem x CeDi'!$C$2:$AF$81, MATCH($C81,'[2]Potencial Hor SocioDem x CeDi'!$B$2:$B$81,0), MATCH(CA$4,'[2]Potencial Hor SocioDem x CeDi'!$C$1:$AF$1,0)), "")</f>
        <v/>
      </c>
      <c r="CB81" s="81" t="str">
        <f>IFERROR(INDEX('[2]Potencial Hor SocioDem x CeDi'!$C$2:$AF$81, MATCH($C81,'[2]Potencial Hor SocioDem x CeDi'!$B$2:$B$81,0), MATCH(CB$4,'[2]Potencial Hor SocioDem x CeDi'!$C$1:$AF$1,0)), "")</f>
        <v/>
      </c>
      <c r="CC81" s="82" t="str">
        <f>IFERROR(INDEX('[2]Potencial Hor SocioDem x CeDi'!$C$2:$AF$81, MATCH($C81,'[2]Potencial Hor SocioDem x CeDi'!$B$2:$B$81,0), MATCH(CC$4,'[2]Potencial Hor SocioDem x CeDi'!$C$1:$AF$1,0)), "")</f>
        <v/>
      </c>
      <c r="CD81" s="83" t="str">
        <f>IFERROR(INDEX('[2]Potencial Hor SocioDem x CeDi'!$C$2:$AF$81, MATCH($C81,'[2]Potencial Hor SocioDem x CeDi'!$B$2:$B$81,0), MATCH(CD$4,'[2]Potencial Hor SocioDem x CeDi'!$C$1:$AF$1,0)), "")</f>
        <v/>
      </c>
      <c r="CE81" s="78" t="str">
        <f>IFERROR(_xlfn.XLOOKUP([2]!BaseMaestraCeDi[[#This Row],[CeDi]], '[2]Potencial Hor x CeDi'!$B$6:$BU$6, '[2]Potencial Hor x CeDi'!$B$50:$BU$50), "")</f>
        <v/>
      </c>
      <c r="CF81" s="90" t="str">
        <f>IFERROR(_xlfn.XLOOKUP([2]!BaseMaestraCeDi[[#This Row],[CeDi]], '[2]Potencial Hor x CeDi'!$B$6:$BU$6, '[2]Potencial Hor x CeDi'!$B$34:$BU$34), "")</f>
        <v/>
      </c>
      <c r="CG81" s="90" t="str">
        <f>IFERROR(_xlfn.XLOOKUP([2]!BaseMaestraCeDi[[#This Row],[CeDi]], '[2]Potencial Hor x CeDi'!$B$6:$BU$6, '[2]Potencial Hor x CeDi'!$B$64:$BU$64), "")</f>
        <v/>
      </c>
      <c r="CH81" s="91" t="str">
        <f>IFERROR(_xlfn.XLOOKUP([2]!BaseMaestraCeDi[[#This Row],[CeDi]], '[2]Potencial Hor x CeDi'!$B$6:$BU$6, '[2]Potencial Hor x CeDi'!$B$38:$BU$38), "")</f>
        <v/>
      </c>
      <c r="CI81" s="90" t="str">
        <f>IFERROR(_xlfn.XLOOKUP([2]!BaseMaestraCeDi[[#This Row],[CeDi]], '[2]Potencial Hor x CeDi'!$B$6:$BU$6, '[2]Potencial Hor x CeDi'!$B$26:$BU$26), "")</f>
        <v/>
      </c>
      <c r="CJ81" s="92" t="str">
        <f>IFERROR(_xlfn.XLOOKUP([2]!BaseMaestraCeDi[[#This Row],[CeDi]], '[2]Potencial Hor x CeDi'!$B$6:$BU$6, '[2]Potencial Hor x CeDi'!$B$27:$BU$27), "")</f>
        <v/>
      </c>
      <c r="CK81" s="90" t="str">
        <f>IFERROR(_xlfn.XLOOKUP([2]!BaseMaestraCeDi[[#This Row],[CeDi]], '[2]Potencial Hor x CeDi'!$B$6:$BU$6, '[2]Potencial Hor x CeDi'!$B$28:$BU$28), "")</f>
        <v/>
      </c>
      <c r="CL81" s="92" t="str">
        <f>IFERROR(_xlfn.XLOOKUP([2]!BaseMaestraCeDi[[#This Row],[CeDi]], '[2]Potencial Hor x CeDi'!$B$6:$BU$6, '[2]Potencial Hor x CeDi'!$B$29:$BU$29), "")</f>
        <v/>
      </c>
      <c r="CM81" s="93" t="str">
        <f>IFERROR(_xlfn.XLOOKUP([2]!BaseMaestraCeDi[[#This Row],[CeDi]], '[2]Potencial Hor x CeDi'!$B$6:$BU$6, '[2]Potencial Hor x CeDi'!$B$39:$BU$39), "")</f>
        <v/>
      </c>
      <c r="CN81" s="94" t="str">
        <f>IFERROR(_xlfn.XLOOKUP([2]!BaseMaestraCeDi[[#This Row],[CeDi]], '[2]Potencial Hor x CeDi'!$B$6:$BU$6, '[2]Potencial Hor x CeDi'!$B$43:$BU$43), "")</f>
        <v/>
      </c>
      <c r="CO81" s="94" t="str">
        <f>IFERROR(_xlfn.XLOOKUP([2]!BaseMaestraCeDi[[#This Row],[CeDi]], '[2]Potencial Hor x CeDi'!$B$6:$BU$6, '[2]Potencial Hor x CeDi'!$B$46:$BU$46), "")</f>
        <v/>
      </c>
      <c r="CP81" s="86" t="str">
        <f>IFERROR(_xlfn.XLOOKUP([2]!BaseMaestraCeDi[[#This Row],[CeDi]], '[2]Potencial Hor x CeDi'!$B$6:$BU$6, '[2]Potencial Hor x CeDi'!$B$51:$BU$51), "")</f>
        <v/>
      </c>
      <c r="CQ81" s="82" t="str">
        <f>IFERROR(_xlfn.XLOOKUP([2]!BaseMaestraCeDi[[#This Row],[CeDi]], '[2]Potencial Hor x CeDi'!$B$6:$BU$6, '[2]Potencial Hor x CeDi'!$B$52:$BU$52), "")</f>
        <v/>
      </c>
      <c r="CR81" s="82" t="str">
        <f>IFERROR(_xlfn.XLOOKUP([2]!BaseMaestraCeDi[[#This Row],[CeDi]], '[2]Potencial Hor x CeDi'!$B$6:$BU$6, '[2]Potencial Hor x CeDi'!$B$53:$BU$53), "")</f>
        <v/>
      </c>
      <c r="CS81" s="87" t="str">
        <f>IFERROR(_xlfn.XLOOKUP([2]!BaseMaestraCeDi[[#This Row],[CeDi]], '[2]Potencial Hor x CeDi'!$B$6:$BU$6, '[2]Potencial Hor x CeDi'!$B$60:$BU$60), "")</f>
        <v/>
      </c>
      <c r="CT81" s="90" t="str">
        <f>IFERROR(_xlfn.XLOOKUP([2]!BaseMaestraCeDi[[#This Row],[CeDi]], '[2]Potencial Hor x CeDi'!$B$6:$BU$6, '[2]Potencial Hor x CeDi'!$B$65:$BU$65), "")</f>
        <v/>
      </c>
      <c r="CU81" s="90" t="str">
        <f>IFERROR(_xlfn.XLOOKUP([2]!BaseMaestraCeDi[[#This Row],[CeDi]], '[2]Potencial Hor x CeDi'!$B$6:$BU$6, '[2]Potencial Hor x CeDi'!$B$68:$BU$68), "")</f>
        <v/>
      </c>
      <c r="CV81" s="95" t="str">
        <f>IFERROR(_xlfn.XLOOKUP([2]!BaseMaestraCeDi[[#This Row],[CeDi]], '[2]Potencial Hor x CeDi'!$B$6:$BU$6, '[2]Potencial Hor x CeDi'!$B$71:$BU$71), "")</f>
        <v/>
      </c>
    </row>
    <row r="82" spans="1:100">
      <c r="A82" s="126" t="s">
        <v>95</v>
      </c>
      <c r="B82" s="126" t="s">
        <v>320</v>
      </c>
      <c r="C82" s="126" t="s">
        <v>1051</v>
      </c>
      <c r="D82" s="127" t="s">
        <v>194</v>
      </c>
      <c r="E82" s="128" t="s">
        <v>194</v>
      </c>
      <c r="F82" s="129" t="s">
        <v>194</v>
      </c>
      <c r="G82" s="129" t="s">
        <v>194</v>
      </c>
      <c r="H82" s="130" t="s">
        <v>194</v>
      </c>
      <c r="I82" s="131" t="s">
        <v>194</v>
      </c>
      <c r="J82" s="131" t="s">
        <v>194</v>
      </c>
      <c r="K82" s="131" t="s">
        <v>194</v>
      </c>
      <c r="L82" s="130" t="s">
        <v>194</v>
      </c>
      <c r="M82" s="132" t="s">
        <v>194</v>
      </c>
      <c r="N82" s="133" t="s">
        <v>194</v>
      </c>
      <c r="O82" s="128" t="s">
        <v>194</v>
      </c>
      <c r="P82" s="129" t="s">
        <v>194</v>
      </c>
      <c r="Q82" s="129" t="s">
        <v>194</v>
      </c>
      <c r="R82" s="134" t="s">
        <v>194</v>
      </c>
      <c r="S82" s="133" t="s">
        <v>194</v>
      </c>
      <c r="T82" s="132" t="s">
        <v>194</v>
      </c>
      <c r="U82" s="132" t="s">
        <v>194</v>
      </c>
      <c r="V82" s="132" t="s">
        <v>194</v>
      </c>
      <c r="W82" s="132" t="s">
        <v>194</v>
      </c>
      <c r="X82" s="132" t="s">
        <v>194</v>
      </c>
      <c r="Y82" s="130" t="s">
        <v>194</v>
      </c>
      <c r="Z82" s="131" t="s">
        <v>194</v>
      </c>
      <c r="AA82" s="131" t="s">
        <v>194</v>
      </c>
      <c r="AB82" s="131" t="s">
        <v>194</v>
      </c>
      <c r="AC82" s="127">
        <v>1</v>
      </c>
      <c r="AD82" s="135">
        <v>0</v>
      </c>
      <c r="AE82" s="127">
        <v>0</v>
      </c>
      <c r="AF82" s="135">
        <v>0</v>
      </c>
      <c r="AG82" s="136" t="s">
        <v>194</v>
      </c>
      <c r="AH82" s="132" t="s">
        <v>194</v>
      </c>
      <c r="AI82" s="127">
        <v>0</v>
      </c>
      <c r="AJ82" s="135">
        <v>0</v>
      </c>
      <c r="AK82" s="132" t="s">
        <v>194</v>
      </c>
      <c r="AL82" s="130">
        <v>69092.44</v>
      </c>
      <c r="AM82" s="131">
        <v>0</v>
      </c>
      <c r="AN82" s="132">
        <v>0</v>
      </c>
      <c r="AO82" s="130">
        <v>0</v>
      </c>
      <c r="AP82" s="132">
        <v>0</v>
      </c>
      <c r="AQ82" s="135" t="s">
        <v>194</v>
      </c>
      <c r="AR82" s="127">
        <v>0</v>
      </c>
      <c r="AS82" s="131">
        <v>0</v>
      </c>
      <c r="AT82" s="130">
        <v>0</v>
      </c>
      <c r="AU82" s="127">
        <v>1</v>
      </c>
      <c r="AV82" s="135">
        <v>0</v>
      </c>
      <c r="AW82" s="135">
        <v>0</v>
      </c>
      <c r="AX82" s="135">
        <v>0</v>
      </c>
      <c r="AY82" s="136">
        <v>0</v>
      </c>
      <c r="AZ82" s="135">
        <v>0</v>
      </c>
      <c r="BA82" s="128" t="s">
        <v>194</v>
      </c>
      <c r="BB82" s="132" t="s">
        <v>194</v>
      </c>
      <c r="BC82" s="137" t="s">
        <v>194</v>
      </c>
      <c r="BD82" s="74"/>
      <c r="BE82" s="88" t="str">
        <f>IFERROR(_xlfn.XLOOKUP([2]!BaseMaestraCeDi[[#This Row],[CeDi]], '[2]Potencial Hor x CeDi'!$B$6:$BU$6, '[2]Potencial Hor x CeDi'!$B$21:$BU$21) / 1000, "")</f>
        <v/>
      </c>
      <c r="BF82" s="89" t="str">
        <f>IFERROR(_xlfn.XLOOKUP([2]!BaseMaestraCeDi[[#This Row],[CeDi]], '[2]Potencial Hor x CeDi'!$B$6:$BU$6, '[2]Potencial Hor x CeDi'!$B$22:$BU$22) / 1000, "")</f>
        <v/>
      </c>
      <c r="BG82" s="76" t="str">
        <f>IFERROR(IF([2]!BaseMaestraCeDi[[#This Row],[Venta Neta (k MXN)]]&gt;0, [2]!BaseMaestraCeDi[[#This Row],[Venta 2026 anualizada (k MXN)]]/[2]!BaseMaestraCeDi[[#This Row],[Venta Neta (k MXN)]], "Por confirmar"), "")</f>
        <v/>
      </c>
      <c r="BH82" s="77" t="str">
        <f>IF(ISNUMBER([2]!BaseMaestraCeDi[[#This Row],[Ratio venta 2026 an. / venta neta 2025]]),   IF(AND([2]!BaseMaestraCeDi[[#This Row],[Ratio venta 2026 an. / venta neta 2025]]&gt;=$BH$89, [2]!BaseMaestraCeDi[[#This Row],[Ratio venta 2026 an. / venta neta 2025]]&lt;=$BH$90), "Comparable", "Revisar"),   "Por confirmar")</f>
        <v>Por confirmar</v>
      </c>
      <c r="BI82" s="78" t="str">
        <f>IFERROR(INDEX('[2]Potencial Hor SocioDem x CeDi'!$C$2:$AF$81, MATCH($C82,'[2]Potencial Hor SocioDem x CeDi'!$B$2:$B$81,0), MATCH(BI$4,'[2]Potencial Hor SocioDem x CeDi'!$C$1:$AF$1,0)), "")</f>
        <v/>
      </c>
      <c r="BJ82" s="78" t="str">
        <f>IFERROR(INDEX('[2]Potencial Hor SocioDem x CeDi'!$C$2:$AF$81, MATCH($C82,'[2]Potencial Hor SocioDem x CeDi'!$B$2:$B$81,0), MATCH(BJ$4,'[2]Potencial Hor SocioDem x CeDi'!$C$1:$AF$1,0)), "")</f>
        <v/>
      </c>
      <c r="BK82" s="78" t="str">
        <f>IFERROR(INDEX('[2]Potencial Hor SocioDem x CeDi'!$C$2:$AF$81, MATCH($C82,'[2]Potencial Hor SocioDem x CeDi'!$B$2:$B$81,0), MATCH(BK$4,'[2]Potencial Hor SocioDem x CeDi'!$C$1:$AF$1,0)), "")</f>
        <v/>
      </c>
      <c r="BL82" s="79" t="str">
        <f>IFERROR(INDEX('[2]Potencial Hor SocioDem x CeDi'!$C$2:$AF$81, MATCH($C82,'[2]Potencial Hor SocioDem x CeDi'!$B$2:$B$81,0), MATCH(BL$4,'[2]Potencial Hor SocioDem x CeDi'!$C$1:$AF$1,0)), "")</f>
        <v/>
      </c>
      <c r="BM82" s="79" t="str">
        <f>IFERROR(INDEX('[2]Potencial Hor SocioDem x CeDi'!$C$2:$AF$81, MATCH($C82,'[2]Potencial Hor SocioDem x CeDi'!$B$2:$B$81,0), MATCH(BM$4,'[2]Potencial Hor SocioDem x CeDi'!$C$1:$AF$1,0)), "")</f>
        <v/>
      </c>
      <c r="BN82" s="78" t="str">
        <f>IFERROR(INDEX('[2]Potencial Hor SocioDem x CeDi'!$C$2:$AF$81, MATCH($C82,'[2]Potencial Hor SocioDem x CeDi'!$B$2:$B$81,0), MATCH(BN$4,'[2]Potencial Hor SocioDem x CeDi'!$C$1:$AF$1,0)), "")</f>
        <v/>
      </c>
      <c r="BO82" s="78" t="str">
        <f>IFERROR(INDEX('[2]Potencial Hor SocioDem x CeDi'!$C$2:$AF$81, MATCH($C82,'[2]Potencial Hor SocioDem x CeDi'!$B$2:$B$81,0), MATCH(BO$4,'[2]Potencial Hor SocioDem x CeDi'!$C$1:$AF$1,0)), "")</f>
        <v/>
      </c>
      <c r="BP82" s="78" t="str">
        <f>IFERROR(INDEX('[2]Potencial Hor SocioDem x CeDi'!$C$2:$AF$81, MATCH($C82,'[2]Potencial Hor SocioDem x CeDi'!$B$2:$B$81,0), MATCH(BP$4,'[2]Potencial Hor SocioDem x CeDi'!$C$1:$AF$1,0)), "")</f>
        <v/>
      </c>
      <c r="BQ82" s="80" t="str">
        <f>IFERROR(INDEX('[2]Potencial Hor SocioDem x CeDi'!$C$2:$AF$81, MATCH($C82,'[2]Potencial Hor SocioDem x CeDi'!$B$2:$B$81,0), MATCH(BQ$4,'[2]Potencial Hor SocioDem x CeDi'!$C$1:$AF$1,0)), "")</f>
        <v/>
      </c>
      <c r="BR82" s="80" t="str">
        <f>IFERROR(INDEX('[2]Potencial Hor SocioDem x CeDi'!$C$2:$AF$81, MATCH($C82,'[2]Potencial Hor SocioDem x CeDi'!$B$2:$B$81,0), MATCH(BR$4,'[2]Potencial Hor SocioDem x CeDi'!$C$1:$AF$1,0)), "")</f>
        <v/>
      </c>
      <c r="BS82" s="80" t="str">
        <f>IFERROR(INDEX('[2]Potencial Hor SocioDem x CeDi'!$C$2:$AF$81, MATCH($C82,'[2]Potencial Hor SocioDem x CeDi'!$B$2:$B$81,0), MATCH(BS$4,'[2]Potencial Hor SocioDem x CeDi'!$C$1:$AF$1,0)), "")</f>
        <v/>
      </c>
      <c r="BT82" s="80" t="str">
        <f>IFERROR(INDEX('[2]Potencial Hor SocioDem x CeDi'!$C$2:$AF$81, MATCH($C82,'[2]Potencial Hor SocioDem x CeDi'!$B$2:$B$81,0), MATCH(BT$4,'[2]Potencial Hor SocioDem x CeDi'!$C$1:$AF$1,0)), "")</f>
        <v/>
      </c>
      <c r="BU82" s="80" t="str">
        <f>IFERROR(INDEX('[2]Potencial Hor SocioDem x CeDi'!$C$2:$AF$81, MATCH($C82,'[2]Potencial Hor SocioDem x CeDi'!$B$2:$B$81,0), MATCH(BU$4,'[2]Potencial Hor SocioDem x CeDi'!$C$1:$AF$1,0)), "")</f>
        <v/>
      </c>
      <c r="BV82" s="80" t="str">
        <f>IFERROR(INDEX('[2]Potencial Hor SocioDem x CeDi'!$C$2:$AF$81, MATCH($C82,'[2]Potencial Hor SocioDem x CeDi'!$B$2:$B$81,0), MATCH(BV$4,'[2]Potencial Hor SocioDem x CeDi'!$C$1:$AF$1,0)), "")</f>
        <v/>
      </c>
      <c r="BW82" s="80" t="str">
        <f>IFERROR(INDEX('[2]Potencial Hor SocioDem x CeDi'!$C$2:$AF$81, MATCH($C82,'[2]Potencial Hor SocioDem x CeDi'!$B$2:$B$81,0), MATCH(BW$4,'[2]Potencial Hor SocioDem x CeDi'!$C$1:$AF$1,0)), "")</f>
        <v/>
      </c>
      <c r="BX82" s="80" t="str">
        <f>IFERROR(INDEX('[2]Potencial Hor SocioDem x CeDi'!$C$2:$AF$81, MATCH($C82,'[2]Potencial Hor SocioDem x CeDi'!$B$2:$B$81,0), MATCH(BX$4,'[2]Potencial Hor SocioDem x CeDi'!$C$1:$AF$1,0)), "")</f>
        <v/>
      </c>
      <c r="BY82" s="80" t="str">
        <f>IFERROR(INDEX('[2]Potencial Hor SocioDem x CeDi'!$C$2:$AF$81, MATCH($C82,'[2]Potencial Hor SocioDem x CeDi'!$B$2:$B$81,0), MATCH(BY$4,'[2]Potencial Hor SocioDem x CeDi'!$C$1:$AF$1,0)), "")</f>
        <v/>
      </c>
      <c r="BZ82" s="79" t="str">
        <f>IFERROR(INDEX('[2]Potencial Hor SocioDem x CeDi'!$C$2:$AF$81, MATCH($C82,'[2]Potencial Hor SocioDem x CeDi'!$B$2:$B$81,0), MATCH(BZ$4,'[2]Potencial Hor SocioDem x CeDi'!$C$1:$AF$1,0)), "")</f>
        <v/>
      </c>
      <c r="CA82" s="79" t="str">
        <f>IFERROR(INDEX('[2]Potencial Hor SocioDem x CeDi'!$C$2:$AF$81, MATCH($C82,'[2]Potencial Hor SocioDem x CeDi'!$B$2:$B$81,0), MATCH(CA$4,'[2]Potencial Hor SocioDem x CeDi'!$C$1:$AF$1,0)), "")</f>
        <v/>
      </c>
      <c r="CB82" s="81" t="str">
        <f>IFERROR(INDEX('[2]Potencial Hor SocioDem x CeDi'!$C$2:$AF$81, MATCH($C82,'[2]Potencial Hor SocioDem x CeDi'!$B$2:$B$81,0), MATCH(CB$4,'[2]Potencial Hor SocioDem x CeDi'!$C$1:$AF$1,0)), "")</f>
        <v/>
      </c>
      <c r="CC82" s="82" t="str">
        <f>IFERROR(INDEX('[2]Potencial Hor SocioDem x CeDi'!$C$2:$AF$81, MATCH($C82,'[2]Potencial Hor SocioDem x CeDi'!$B$2:$B$81,0), MATCH(CC$4,'[2]Potencial Hor SocioDem x CeDi'!$C$1:$AF$1,0)), "")</f>
        <v/>
      </c>
      <c r="CD82" s="83" t="str">
        <f>IFERROR(INDEX('[2]Potencial Hor SocioDem x CeDi'!$C$2:$AF$81, MATCH($C82,'[2]Potencial Hor SocioDem x CeDi'!$B$2:$B$81,0), MATCH(CD$4,'[2]Potencial Hor SocioDem x CeDi'!$C$1:$AF$1,0)), "")</f>
        <v/>
      </c>
      <c r="CE82" s="78" t="str">
        <f>IFERROR(_xlfn.XLOOKUP([2]!BaseMaestraCeDi[[#This Row],[CeDi]], '[2]Potencial Hor x CeDi'!$B$6:$BU$6, '[2]Potencial Hor x CeDi'!$B$50:$BU$50), "")</f>
        <v/>
      </c>
      <c r="CF82" s="90" t="str">
        <f>IFERROR(_xlfn.XLOOKUP([2]!BaseMaestraCeDi[[#This Row],[CeDi]], '[2]Potencial Hor x CeDi'!$B$6:$BU$6, '[2]Potencial Hor x CeDi'!$B$34:$BU$34), "")</f>
        <v/>
      </c>
      <c r="CG82" s="90" t="str">
        <f>IFERROR(_xlfn.XLOOKUP([2]!BaseMaestraCeDi[[#This Row],[CeDi]], '[2]Potencial Hor x CeDi'!$B$6:$BU$6, '[2]Potencial Hor x CeDi'!$B$64:$BU$64), "")</f>
        <v/>
      </c>
      <c r="CH82" s="91" t="str">
        <f>IFERROR(_xlfn.XLOOKUP([2]!BaseMaestraCeDi[[#This Row],[CeDi]], '[2]Potencial Hor x CeDi'!$B$6:$BU$6, '[2]Potencial Hor x CeDi'!$B$38:$BU$38), "")</f>
        <v/>
      </c>
      <c r="CI82" s="90" t="str">
        <f>IFERROR(_xlfn.XLOOKUP([2]!BaseMaestraCeDi[[#This Row],[CeDi]], '[2]Potencial Hor x CeDi'!$B$6:$BU$6, '[2]Potencial Hor x CeDi'!$B$26:$BU$26), "")</f>
        <v/>
      </c>
      <c r="CJ82" s="92" t="str">
        <f>IFERROR(_xlfn.XLOOKUP([2]!BaseMaestraCeDi[[#This Row],[CeDi]], '[2]Potencial Hor x CeDi'!$B$6:$BU$6, '[2]Potencial Hor x CeDi'!$B$27:$BU$27), "")</f>
        <v/>
      </c>
      <c r="CK82" s="90" t="str">
        <f>IFERROR(_xlfn.XLOOKUP([2]!BaseMaestraCeDi[[#This Row],[CeDi]], '[2]Potencial Hor x CeDi'!$B$6:$BU$6, '[2]Potencial Hor x CeDi'!$B$28:$BU$28), "")</f>
        <v/>
      </c>
      <c r="CL82" s="92" t="str">
        <f>IFERROR(_xlfn.XLOOKUP([2]!BaseMaestraCeDi[[#This Row],[CeDi]], '[2]Potencial Hor x CeDi'!$B$6:$BU$6, '[2]Potencial Hor x CeDi'!$B$29:$BU$29), "")</f>
        <v/>
      </c>
      <c r="CM82" s="93" t="str">
        <f>IFERROR(_xlfn.XLOOKUP([2]!BaseMaestraCeDi[[#This Row],[CeDi]], '[2]Potencial Hor x CeDi'!$B$6:$BU$6, '[2]Potencial Hor x CeDi'!$B$39:$BU$39), "")</f>
        <v/>
      </c>
      <c r="CN82" s="94" t="str">
        <f>IFERROR(_xlfn.XLOOKUP([2]!BaseMaestraCeDi[[#This Row],[CeDi]], '[2]Potencial Hor x CeDi'!$B$6:$BU$6, '[2]Potencial Hor x CeDi'!$B$43:$BU$43), "")</f>
        <v/>
      </c>
      <c r="CO82" s="94" t="str">
        <f>IFERROR(_xlfn.XLOOKUP([2]!BaseMaestraCeDi[[#This Row],[CeDi]], '[2]Potencial Hor x CeDi'!$B$6:$BU$6, '[2]Potencial Hor x CeDi'!$B$46:$BU$46), "")</f>
        <v/>
      </c>
      <c r="CP82" s="86" t="str">
        <f>IFERROR(_xlfn.XLOOKUP([2]!BaseMaestraCeDi[[#This Row],[CeDi]], '[2]Potencial Hor x CeDi'!$B$6:$BU$6, '[2]Potencial Hor x CeDi'!$B$51:$BU$51), "")</f>
        <v/>
      </c>
      <c r="CQ82" s="82" t="str">
        <f>IFERROR(_xlfn.XLOOKUP([2]!BaseMaestraCeDi[[#This Row],[CeDi]], '[2]Potencial Hor x CeDi'!$B$6:$BU$6, '[2]Potencial Hor x CeDi'!$B$52:$BU$52), "")</f>
        <v/>
      </c>
      <c r="CR82" s="82" t="str">
        <f>IFERROR(_xlfn.XLOOKUP([2]!BaseMaestraCeDi[[#This Row],[CeDi]], '[2]Potencial Hor x CeDi'!$B$6:$BU$6, '[2]Potencial Hor x CeDi'!$B$53:$BU$53), "")</f>
        <v/>
      </c>
      <c r="CS82" s="87" t="str">
        <f>IFERROR(_xlfn.XLOOKUP([2]!BaseMaestraCeDi[[#This Row],[CeDi]], '[2]Potencial Hor x CeDi'!$B$6:$BU$6, '[2]Potencial Hor x CeDi'!$B$60:$BU$60), "")</f>
        <v/>
      </c>
      <c r="CT82" s="90" t="str">
        <f>IFERROR(_xlfn.XLOOKUP([2]!BaseMaestraCeDi[[#This Row],[CeDi]], '[2]Potencial Hor x CeDi'!$B$6:$BU$6, '[2]Potencial Hor x CeDi'!$B$65:$BU$65), "")</f>
        <v/>
      </c>
      <c r="CU82" s="90" t="str">
        <f>IFERROR(_xlfn.XLOOKUP([2]!BaseMaestraCeDi[[#This Row],[CeDi]], '[2]Potencial Hor x CeDi'!$B$6:$BU$6, '[2]Potencial Hor x CeDi'!$B$68:$BU$68), "")</f>
        <v/>
      </c>
      <c r="CV82" s="95" t="str">
        <f>IFERROR(_xlfn.XLOOKUP([2]!BaseMaestraCeDi[[#This Row],[CeDi]], '[2]Potencial Hor x CeDi'!$B$6:$BU$6, '[2]Potencial Hor x CeDi'!$B$71:$BU$71), "")</f>
        <v/>
      </c>
    </row>
  </sheetData>
  <mergeCells count="29">
    <mergeCell ref="A2:C2"/>
    <mergeCell ref="D2:AB2"/>
    <mergeCell ref="AC2:AT2"/>
    <mergeCell ref="AU2:BC2"/>
    <mergeCell ref="A3:C3"/>
    <mergeCell ref="E3:G3"/>
    <mergeCell ref="H3:K3"/>
    <mergeCell ref="L3:N3"/>
    <mergeCell ref="O3:Q3"/>
    <mergeCell ref="T3:X3"/>
    <mergeCell ref="BD3:BH3"/>
    <mergeCell ref="Y3:AB3"/>
    <mergeCell ref="AC3:AD3"/>
    <mergeCell ref="AE3:AF3"/>
    <mergeCell ref="AG3:AH3"/>
    <mergeCell ref="AI3:AK3"/>
    <mergeCell ref="AL3:AN3"/>
    <mergeCell ref="AO3:AQ3"/>
    <mergeCell ref="AR3:AS3"/>
    <mergeCell ref="AU3:AX3"/>
    <mergeCell ref="AY3:AZ3"/>
    <mergeCell ref="BA3:BC3"/>
    <mergeCell ref="CT3:CV3"/>
    <mergeCell ref="BI3:CA3"/>
    <mergeCell ref="CB3:CD3"/>
    <mergeCell ref="CE3:CG3"/>
    <mergeCell ref="CH3:CL3"/>
    <mergeCell ref="CM3:CO3"/>
    <mergeCell ref="CP3:CS3"/>
  </mergeCells>
  <conditionalFormatting sqref="B5:B82">
    <cfRule type="cellIs" dxfId="158" priority="2" operator="equal">
      <formula>"No está en EERR"</formula>
    </cfRule>
  </conditionalFormatting>
  <conditionalFormatting sqref="BG5:BG82">
    <cfRule type="cellIs" dxfId="157" priority="1" operator="notBetween">
      <formula>$BH$89</formula>
      <formula>$BH$90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1F49-F88A-48C2-AB2C-3BA6DB98C827}">
  <sheetPr>
    <tabColor theme="6"/>
  </sheetPr>
  <dimension ref="A1:DF294"/>
  <sheetViews>
    <sheetView topLeftCell="A16" zoomScale="70" zoomScaleNormal="70" workbookViewId="0">
      <selection activeCell="F16" sqref="F16"/>
    </sheetView>
  </sheetViews>
  <sheetFormatPr defaultColWidth="11.42578125" defaultRowHeight="12.75" outlineLevelRow="2" outlineLevelCol="2"/>
  <cols>
    <col min="1" max="1" width="8" style="185" customWidth="1"/>
    <col min="2" max="2" width="21.140625" style="185" customWidth="1" outlineLevel="1"/>
    <col min="3" max="3" width="17.5703125" style="185" customWidth="1" outlineLevel="1"/>
    <col min="4" max="4" width="15.85546875" style="186" customWidth="1" outlineLevel="1"/>
    <col min="5" max="5" width="17.140625" style="187" customWidth="1" outlineLevel="1"/>
    <col min="6" max="6" width="36.140625" style="185" bestFit="1" customWidth="1"/>
    <col min="7" max="7" width="4.85546875" style="188" bestFit="1" customWidth="1"/>
    <col min="8" max="15" width="16.140625" style="185" customWidth="1" outlineLevel="2"/>
    <col min="16" max="16" width="16.140625" style="185" customWidth="1" outlineLevel="1"/>
    <col min="17" max="19" width="16.140625" style="185" customWidth="1" outlineLevel="2"/>
    <col min="20" max="20" width="16.140625" style="185" customWidth="1" outlineLevel="1"/>
    <col min="21" max="30" width="16.140625" style="185" customWidth="1" outlineLevel="2"/>
    <col min="31" max="31" width="16.140625" style="185" customWidth="1" outlineLevel="1"/>
    <col min="32" max="37" width="16.140625" style="185" customWidth="1" outlineLevel="2"/>
    <col min="38" max="38" width="16.140625" style="185" customWidth="1" outlineLevel="1"/>
    <col min="39" max="40" width="16.140625" style="185" customWidth="1" outlineLevel="2"/>
    <col min="41" max="41" width="16.140625" style="185" customWidth="1" outlineLevel="1"/>
    <col min="42" max="42" width="16.140625" style="185" customWidth="1" outlineLevel="2"/>
    <col min="43" max="43" width="16.140625" style="185" customWidth="1" outlineLevel="1"/>
    <col min="44" max="44" width="16.140625" style="185" customWidth="1"/>
    <col min="45" max="45" width="1.85546875" style="185" customWidth="1"/>
    <col min="46" max="46" width="11.42578125" style="189"/>
    <col min="47" max="52" width="15.85546875" style="185" customWidth="1" outlineLevel="2"/>
    <col min="53" max="53" width="15.85546875" style="185" customWidth="1" outlineLevel="1"/>
    <col min="54" max="54" width="15.85546875" style="185" customWidth="1" outlineLevel="2"/>
    <col min="55" max="55" width="15.85546875" style="185" customWidth="1" outlineLevel="1"/>
    <col min="56" max="56" width="15.85546875" style="185" customWidth="1" outlineLevel="2"/>
    <col min="57" max="57" width="15.85546875" style="185" customWidth="1" outlineLevel="1"/>
    <col min="58" max="58" width="15.85546875" style="185" customWidth="1" outlineLevel="2"/>
    <col min="59" max="59" width="15.85546875" style="185" customWidth="1" outlineLevel="1"/>
    <col min="60" max="60" width="15.85546875" style="185" customWidth="1" outlineLevel="2"/>
    <col min="61" max="61" width="15.85546875" style="185" customWidth="1" outlineLevel="1"/>
    <col min="62" max="62" width="15.85546875" style="185" customWidth="1" outlineLevel="2"/>
    <col min="63" max="63" width="15.85546875" style="185" customWidth="1" outlineLevel="1"/>
    <col min="64" max="66" width="15.85546875" style="185" customWidth="1" outlineLevel="2"/>
    <col min="67" max="67" width="15.85546875" style="185" customWidth="1" outlineLevel="1"/>
    <col min="68" max="68" width="15.85546875" style="185" customWidth="1"/>
    <col min="69" max="69" width="1.85546875" style="185" customWidth="1"/>
    <col min="70" max="70" width="11.42578125" style="189"/>
    <col min="71" max="71" width="15.85546875" style="185" customWidth="1" outlineLevel="2"/>
    <col min="72" max="72" width="15.85546875" style="185" customWidth="1" outlineLevel="1"/>
    <col min="73" max="74" width="15.85546875" style="185" customWidth="1" outlineLevel="2"/>
    <col min="75" max="75" width="15.85546875" style="185" customWidth="1" outlineLevel="1"/>
    <col min="76" max="78" width="15.85546875" style="185" customWidth="1" outlineLevel="2"/>
    <col min="79" max="79" width="15.85546875" style="185" customWidth="1" outlineLevel="1"/>
    <col min="80" max="80" width="15.85546875" style="185" customWidth="1" outlineLevel="2"/>
    <col min="81" max="81" width="15.85546875" style="185" customWidth="1" outlineLevel="1"/>
    <col min="82" max="84" width="15.85546875" style="185" customWidth="1" outlineLevel="2"/>
    <col min="85" max="85" width="15.85546875" style="185" customWidth="1" outlineLevel="1"/>
    <col min="86" max="86" width="15.85546875" style="185" customWidth="1"/>
    <col min="87" max="87" width="1.85546875" style="185" customWidth="1"/>
    <col min="88" max="88" width="10.85546875" style="189" customWidth="1"/>
    <col min="89" max="90" width="15.85546875" style="185" customWidth="1" outlineLevel="2"/>
    <col min="91" max="91" width="15.85546875" style="185" customWidth="1" outlineLevel="1"/>
    <col min="92" max="92" width="15.85546875" style="185" customWidth="1" outlineLevel="2"/>
    <col min="93" max="93" width="15.85546875" style="185" customWidth="1" outlineLevel="1"/>
    <col min="94" max="94" width="15.85546875" style="185" customWidth="1" outlineLevel="2"/>
    <col min="95" max="95" width="15.85546875" style="185" customWidth="1" outlineLevel="1"/>
    <col min="96" max="96" width="15.85546875" style="185" customWidth="1" outlineLevel="2"/>
    <col min="97" max="97" width="15.85546875" style="185" customWidth="1" outlineLevel="1"/>
    <col min="98" max="98" width="15.85546875" style="185" customWidth="1" outlineLevel="2"/>
    <col min="99" max="99" width="15.85546875" style="185" customWidth="1" outlineLevel="1"/>
    <col min="100" max="100" width="15.85546875" style="185" customWidth="1" outlineLevel="2"/>
    <col min="101" max="101" width="15.85546875" style="185" customWidth="1" outlineLevel="1"/>
    <col min="102" max="102" width="15.85546875" style="185" customWidth="1"/>
    <col min="103" max="103" width="1.85546875" style="185" customWidth="1"/>
    <col min="104" max="104" width="11.42578125" style="189"/>
    <col min="105" max="105" width="11.42578125" style="185"/>
    <col min="106" max="106" width="12.140625" style="185" bestFit="1" customWidth="1"/>
    <col min="107" max="107" width="11.42578125" style="185"/>
    <col min="108" max="108" width="17.140625" style="185" bestFit="1" customWidth="1"/>
    <col min="109" max="109" width="11.42578125" style="185"/>
    <col min="110" max="110" width="13.5703125" style="185" bestFit="1" customWidth="1"/>
    <col min="111" max="16384" width="11.42578125" style="185"/>
  </cols>
  <sheetData>
    <row r="1" spans="1:104" ht="13.5" thickBot="1">
      <c r="A1" s="184" t="s">
        <v>1292</v>
      </c>
      <c r="T1" s="185" t="s">
        <v>1293</v>
      </c>
    </row>
    <row r="2" spans="1:104" ht="13.5" thickBot="1">
      <c r="A2" s="190" t="e">
        <v>#VALUE!</v>
      </c>
      <c r="C2" s="191"/>
      <c r="E2" s="192"/>
      <c r="F2" s="193" t="s">
        <v>94</v>
      </c>
      <c r="J2" s="185" t="s">
        <v>510</v>
      </c>
      <c r="K2" s="185">
        <v>8</v>
      </c>
      <c r="T2" s="194" t="s">
        <v>5</v>
      </c>
      <c r="U2" s="194"/>
      <c r="V2" s="194"/>
      <c r="W2" s="194"/>
      <c r="X2" s="194"/>
      <c r="Y2" s="194"/>
      <c r="Z2" s="194"/>
      <c r="AA2" s="194"/>
      <c r="AB2" s="194"/>
      <c r="AC2" s="194"/>
      <c r="AD2" s="194"/>
      <c r="BC2" s="195" t="s">
        <v>146</v>
      </c>
      <c r="BD2" s="195">
        <v>1</v>
      </c>
      <c r="BE2" s="195"/>
      <c r="BF2" s="195"/>
      <c r="BH2" s="195"/>
    </row>
    <row r="3" spans="1:104" ht="15.75" thickBot="1">
      <c r="C3" s="191"/>
      <c r="E3" s="192"/>
      <c r="F3" s="193" t="s">
        <v>1294</v>
      </c>
      <c r="J3" s="185" t="s">
        <v>882</v>
      </c>
      <c r="K3" s="185">
        <v>3</v>
      </c>
      <c r="T3" s="196" t="s">
        <v>1295</v>
      </c>
      <c r="U3" s="196"/>
      <c r="V3" s="196"/>
      <c r="W3" s="196"/>
      <c r="X3" s="196"/>
      <c r="Y3" s="196"/>
      <c r="Z3" s="196"/>
      <c r="AA3" s="196"/>
      <c r="AB3" s="196"/>
      <c r="AC3" s="196"/>
      <c r="AD3" s="196"/>
      <c r="BC3" s="195" t="s">
        <v>157</v>
      </c>
      <c r="BD3" s="195">
        <v>1</v>
      </c>
      <c r="BE3" s="195"/>
      <c r="BF3" s="195"/>
      <c r="BH3" s="195"/>
      <c r="BW3" t="s">
        <v>308</v>
      </c>
      <c r="BX3">
        <v>1</v>
      </c>
      <c r="BY3"/>
      <c r="BZ3"/>
      <c r="CA3"/>
      <c r="CB3"/>
      <c r="CQ3" t="s">
        <v>982</v>
      </c>
      <c r="CR3">
        <v>1</v>
      </c>
      <c r="CS3"/>
      <c r="CT3"/>
      <c r="CV3"/>
    </row>
    <row r="4" spans="1:104" ht="15.75" thickBot="1">
      <c r="C4" s="197"/>
      <c r="E4" s="192"/>
      <c r="F4" s="193" t="s">
        <v>1296</v>
      </c>
      <c r="J4" s="185" t="s">
        <v>549</v>
      </c>
      <c r="K4" s="185">
        <v>10</v>
      </c>
      <c r="T4" s="198" t="s">
        <v>1297</v>
      </c>
      <c r="U4" s="198"/>
      <c r="V4" s="198"/>
      <c r="W4" s="198"/>
      <c r="X4" s="198"/>
      <c r="Y4" s="198"/>
      <c r="Z4" s="198"/>
      <c r="AA4" s="198"/>
      <c r="AB4" s="198"/>
      <c r="AC4" s="198"/>
      <c r="AD4" s="198"/>
      <c r="BC4" s="195" t="s">
        <v>163</v>
      </c>
      <c r="BD4" s="195">
        <v>1</v>
      </c>
      <c r="BE4" s="195"/>
      <c r="BF4" s="195"/>
      <c r="BH4" s="195"/>
      <c r="BW4" t="s">
        <v>388</v>
      </c>
      <c r="BX4">
        <v>3</v>
      </c>
      <c r="BY4"/>
      <c r="BZ4"/>
      <c r="CA4"/>
      <c r="CB4"/>
      <c r="CQ4" t="s">
        <v>993</v>
      </c>
      <c r="CR4">
        <v>1</v>
      </c>
      <c r="CS4"/>
      <c r="CT4"/>
      <c r="CV4"/>
    </row>
    <row r="5" spans="1:104" ht="15.75" thickBot="1">
      <c r="C5" s="197"/>
      <c r="E5" s="192"/>
      <c r="F5" s="193">
        <v>2025</v>
      </c>
      <c r="J5" s="185" t="s">
        <v>446</v>
      </c>
      <c r="K5" s="185">
        <v>6</v>
      </c>
      <c r="T5" s="199" t="s">
        <v>1298</v>
      </c>
      <c r="U5" s="199"/>
      <c r="V5" s="199"/>
      <c r="W5" s="199"/>
      <c r="X5" s="199"/>
      <c r="Y5" s="199"/>
      <c r="Z5" s="199"/>
      <c r="AA5" s="199"/>
      <c r="AB5" s="199"/>
      <c r="AC5" s="199"/>
      <c r="AD5" s="199"/>
      <c r="BC5" s="195" t="s">
        <v>168</v>
      </c>
      <c r="BD5" s="195">
        <v>6</v>
      </c>
      <c r="BE5" s="195"/>
      <c r="BF5" s="195"/>
      <c r="BH5" s="195"/>
      <c r="BW5" t="s">
        <v>327</v>
      </c>
      <c r="BX5">
        <v>1</v>
      </c>
      <c r="BY5"/>
      <c r="BZ5"/>
      <c r="CA5"/>
      <c r="CB5"/>
      <c r="CQ5" t="s">
        <v>1003</v>
      </c>
      <c r="CR5">
        <v>2</v>
      </c>
      <c r="CS5"/>
      <c r="CT5"/>
      <c r="CV5"/>
    </row>
    <row r="6" spans="1:104" ht="15.75" thickBot="1">
      <c r="C6" s="197"/>
      <c r="E6" s="192"/>
      <c r="F6" s="193" t="s">
        <v>1299</v>
      </c>
      <c r="J6" s="185" t="s">
        <v>502</v>
      </c>
      <c r="K6" s="185">
        <v>2</v>
      </c>
      <c r="T6" s="198" t="s">
        <v>1300</v>
      </c>
      <c r="U6" s="198"/>
      <c r="V6" s="198"/>
      <c r="W6" s="198"/>
      <c r="X6" s="198"/>
      <c r="Y6" s="198"/>
      <c r="Z6" s="198"/>
      <c r="AA6" s="198"/>
      <c r="AB6" s="198"/>
      <c r="AC6" s="198"/>
      <c r="AD6" s="198"/>
      <c r="BC6" s="195" t="s">
        <v>270</v>
      </c>
      <c r="BD6" s="195">
        <v>3</v>
      </c>
      <c r="BE6" s="195"/>
      <c r="BF6" s="195"/>
      <c r="BH6" s="195"/>
      <c r="BW6" t="s">
        <v>361</v>
      </c>
      <c r="BX6">
        <v>2</v>
      </c>
      <c r="BY6"/>
      <c r="BZ6"/>
      <c r="CA6"/>
      <c r="CB6"/>
      <c r="CQ6" t="s">
        <v>1030</v>
      </c>
      <c r="CR6">
        <v>1</v>
      </c>
      <c r="CS6"/>
      <c r="CT6"/>
      <c r="CV6"/>
    </row>
    <row r="7" spans="1:104" ht="15.75" thickBot="1">
      <c r="C7" s="197"/>
      <c r="E7" s="192"/>
      <c r="F7" s="200" t="s">
        <v>1301</v>
      </c>
      <c r="G7" s="201">
        <v>12</v>
      </c>
      <c r="J7" s="185" t="s">
        <v>493</v>
      </c>
      <c r="K7" s="185">
        <v>1</v>
      </c>
      <c r="T7" s="198" t="s">
        <v>1302</v>
      </c>
      <c r="U7" s="198"/>
      <c r="V7" s="198"/>
      <c r="W7" s="198"/>
      <c r="X7" s="198"/>
      <c r="Y7" s="198"/>
      <c r="Z7" s="198"/>
      <c r="AA7" s="198"/>
      <c r="AB7" s="198"/>
      <c r="AC7" s="198"/>
      <c r="AD7" s="198"/>
      <c r="BC7" s="195" t="s">
        <v>278</v>
      </c>
      <c r="BD7" s="195">
        <v>1</v>
      </c>
      <c r="BE7" s="195"/>
      <c r="BF7" s="195"/>
      <c r="BH7" s="195"/>
      <c r="BW7" t="s">
        <v>414</v>
      </c>
      <c r="BX7">
        <v>3</v>
      </c>
      <c r="BY7"/>
      <c r="BZ7"/>
      <c r="CA7"/>
      <c r="CB7"/>
      <c r="CQ7" t="s">
        <v>1039</v>
      </c>
      <c r="CR7">
        <v>1</v>
      </c>
      <c r="CS7"/>
      <c r="CT7"/>
      <c r="CV7"/>
    </row>
    <row r="8" spans="1:104" ht="15.75" thickBot="1">
      <c r="F8" s="202" t="s">
        <v>1303</v>
      </c>
      <c r="G8" s="201">
        <v>53</v>
      </c>
      <c r="T8" s="203" t="s">
        <v>1304</v>
      </c>
      <c r="U8" s="203"/>
      <c r="V8" s="203"/>
      <c r="W8" s="203"/>
      <c r="X8" s="203"/>
      <c r="Y8" s="203"/>
      <c r="Z8" s="203"/>
      <c r="AA8" s="203"/>
      <c r="AB8" s="203"/>
      <c r="AC8" s="203"/>
      <c r="AD8" s="203"/>
      <c r="BC8" s="195" t="s">
        <v>283</v>
      </c>
      <c r="BD8" s="195">
        <v>1</v>
      </c>
      <c r="BE8" s="195"/>
      <c r="BF8" s="195"/>
      <c r="BH8" s="195"/>
    </row>
    <row r="9" spans="1:104" ht="15.75" thickBot="1">
      <c r="F9" s="202" t="s">
        <v>1305</v>
      </c>
      <c r="G9" s="204">
        <v>306</v>
      </c>
      <c r="T9" s="198" t="s">
        <v>1306</v>
      </c>
      <c r="U9" s="198"/>
      <c r="V9" s="198"/>
      <c r="W9" s="198"/>
      <c r="X9" s="198"/>
      <c r="Y9" s="198"/>
      <c r="Z9" s="198"/>
      <c r="AA9" s="198"/>
      <c r="AB9" s="198"/>
      <c r="AC9" s="198"/>
      <c r="AD9" s="198"/>
    </row>
    <row r="10" spans="1:104" ht="15.75" thickBot="1">
      <c r="F10" s="202" t="s">
        <v>1307</v>
      </c>
      <c r="G10" s="205">
        <v>26</v>
      </c>
      <c r="T10" s="198" t="s">
        <v>1308</v>
      </c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CT10" s="206"/>
      <c r="CU10" s="206"/>
    </row>
    <row r="11" spans="1:104"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CT11" s="206"/>
      <c r="CU11" s="206"/>
    </row>
    <row r="12" spans="1:104" s="208" customFormat="1" ht="13.5" thickBot="1">
      <c r="D12" s="186"/>
      <c r="E12" s="209"/>
      <c r="P12" s="208">
        <v>8</v>
      </c>
      <c r="T12" s="210">
        <v>3</v>
      </c>
      <c r="U12" s="210"/>
      <c r="V12" s="210"/>
      <c r="W12" s="210"/>
      <c r="X12" s="210"/>
      <c r="Y12" s="210"/>
      <c r="Z12" s="210"/>
      <c r="AA12" s="210"/>
      <c r="AB12" s="210"/>
      <c r="AC12" s="211"/>
      <c r="AD12" s="210"/>
      <c r="AE12" s="208">
        <v>10</v>
      </c>
      <c r="AL12" s="208">
        <v>6</v>
      </c>
      <c r="AO12" s="208">
        <v>2</v>
      </c>
      <c r="AQ12" s="208">
        <v>1</v>
      </c>
      <c r="AT12" s="212"/>
      <c r="BR12" s="212"/>
      <c r="CJ12" s="212"/>
      <c r="CT12" s="213"/>
      <c r="CU12" s="213"/>
      <c r="CZ12" s="212"/>
    </row>
    <row r="13" spans="1:104" ht="15.6" customHeight="1" thickTop="1" thickBot="1">
      <c r="B13" s="214">
        <v>138406.13884290558</v>
      </c>
      <c r="C13" s="185">
        <v>8363.0590874124118</v>
      </c>
      <c r="D13" s="215">
        <v>697.38276898886738</v>
      </c>
      <c r="E13" s="216">
        <v>7665.6763184235442</v>
      </c>
      <c r="F13" s="217" t="s">
        <v>1309</v>
      </c>
      <c r="G13" s="218"/>
      <c r="H13" s="219"/>
      <c r="I13" s="219"/>
      <c r="J13" s="219"/>
      <c r="K13" s="219"/>
      <c r="L13" s="219"/>
      <c r="M13" s="219"/>
      <c r="N13" s="219"/>
      <c r="O13" s="219"/>
      <c r="P13" s="220" t="s">
        <v>510</v>
      </c>
      <c r="Q13" s="221"/>
      <c r="R13" s="221"/>
      <c r="S13" s="221"/>
      <c r="T13" s="220" t="s">
        <v>882</v>
      </c>
      <c r="U13" s="221"/>
      <c r="V13" s="221"/>
      <c r="W13" s="221"/>
      <c r="X13" s="221"/>
      <c r="Y13" s="221"/>
      <c r="Z13" s="221"/>
      <c r="AA13" s="221"/>
      <c r="AB13" s="221"/>
      <c r="AC13" s="221"/>
      <c r="AD13" s="221"/>
      <c r="AE13" s="220" t="s">
        <v>549</v>
      </c>
      <c r="AF13" s="221"/>
      <c r="AG13" s="221"/>
      <c r="AH13" s="221"/>
      <c r="AI13" s="221"/>
      <c r="AJ13" s="221"/>
      <c r="AK13" s="221"/>
      <c r="AL13" s="220" t="s">
        <v>446</v>
      </c>
      <c r="AM13" s="221"/>
      <c r="AN13" s="221"/>
      <c r="AO13" s="220" t="s">
        <v>502</v>
      </c>
      <c r="AP13" s="221"/>
      <c r="AQ13" s="220" t="s">
        <v>493</v>
      </c>
      <c r="AR13" s="222" t="s">
        <v>94</v>
      </c>
      <c r="AU13" s="223"/>
      <c r="AV13" s="224"/>
      <c r="AW13" s="224"/>
      <c r="AX13" s="224"/>
      <c r="AY13" s="224"/>
      <c r="AZ13" s="224"/>
      <c r="BA13" s="225" t="s">
        <v>168</v>
      </c>
      <c r="BB13" s="224"/>
      <c r="BC13" s="225" t="s">
        <v>146</v>
      </c>
      <c r="BD13" s="224"/>
      <c r="BE13" s="225" t="s">
        <v>157</v>
      </c>
      <c r="BF13" s="224"/>
      <c r="BG13" s="225" t="s">
        <v>278</v>
      </c>
      <c r="BH13" s="224"/>
      <c r="BI13" s="225" t="s">
        <v>283</v>
      </c>
      <c r="BJ13" s="224"/>
      <c r="BK13" s="225" t="s">
        <v>163</v>
      </c>
      <c r="BL13" s="224"/>
      <c r="BM13" s="224"/>
      <c r="BN13" s="224"/>
      <c r="BO13" s="225" t="s">
        <v>270</v>
      </c>
      <c r="BP13" s="226" t="s">
        <v>92</v>
      </c>
      <c r="BQ13" s="227"/>
      <c r="BS13" s="228"/>
      <c r="BT13" s="229" t="s">
        <v>308</v>
      </c>
      <c r="BU13" s="228"/>
      <c r="BV13" s="228"/>
      <c r="BW13" s="229" t="s">
        <v>361</v>
      </c>
      <c r="BX13" s="228"/>
      <c r="BY13" s="228"/>
      <c r="BZ13" s="228"/>
      <c r="CA13" s="229" t="s">
        <v>388</v>
      </c>
      <c r="CB13" s="228"/>
      <c r="CC13" s="229" t="s">
        <v>327</v>
      </c>
      <c r="CD13" s="228"/>
      <c r="CE13" s="228"/>
      <c r="CF13" s="228"/>
      <c r="CG13" s="229" t="s">
        <v>414</v>
      </c>
      <c r="CH13" s="230" t="s">
        <v>93</v>
      </c>
      <c r="CI13" s="227"/>
      <c r="CK13" s="231"/>
      <c r="CL13" s="231"/>
      <c r="CM13" s="232" t="s">
        <v>1003</v>
      </c>
      <c r="CN13" s="231"/>
      <c r="CO13" s="232" t="s">
        <v>1030</v>
      </c>
      <c r="CP13" s="231"/>
      <c r="CQ13" s="232" t="s">
        <v>993</v>
      </c>
      <c r="CR13" s="231"/>
      <c r="CS13" s="232" t="s">
        <v>1039</v>
      </c>
      <c r="CT13" s="231"/>
      <c r="CU13" s="232" t="s">
        <v>1310</v>
      </c>
      <c r="CV13" s="231"/>
      <c r="CW13" s="232" t="s">
        <v>982</v>
      </c>
      <c r="CX13" s="233" t="s">
        <v>1311</v>
      </c>
      <c r="CY13" s="227"/>
    </row>
    <row r="14" spans="1:104" s="188" customFormat="1" ht="14.25" thickTop="1" thickBot="1">
      <c r="C14" s="188">
        <v>33024.392916467463</v>
      </c>
      <c r="D14" s="234">
        <v>34369.309645553738</v>
      </c>
      <c r="E14" s="216">
        <v>-1344.9167290862752</v>
      </c>
      <c r="F14" s="235"/>
      <c r="G14" s="236"/>
      <c r="H14" s="237" t="s">
        <v>511</v>
      </c>
      <c r="I14" s="237" t="s">
        <v>620</v>
      </c>
      <c r="J14" s="237" t="s">
        <v>899</v>
      </c>
      <c r="K14" s="237" t="s">
        <v>903</v>
      </c>
      <c r="L14" s="237" t="s">
        <v>750</v>
      </c>
      <c r="M14" s="237" t="s">
        <v>788</v>
      </c>
      <c r="N14" s="237" t="s">
        <v>917</v>
      </c>
      <c r="O14" s="237" t="s">
        <v>859</v>
      </c>
      <c r="P14" s="238"/>
      <c r="Q14" s="237" t="s">
        <v>883</v>
      </c>
      <c r="R14" s="237" t="s">
        <v>911</v>
      </c>
      <c r="S14" s="237" t="s">
        <v>926</v>
      </c>
      <c r="T14" s="239"/>
      <c r="U14" s="237" t="s">
        <v>550</v>
      </c>
      <c r="V14" s="237" t="s">
        <v>889</v>
      </c>
      <c r="W14" s="237" t="s">
        <v>897</v>
      </c>
      <c r="X14" s="237" t="s">
        <v>639</v>
      </c>
      <c r="Y14" s="237" t="s">
        <v>1312</v>
      </c>
      <c r="Z14" s="237" t="s">
        <v>901</v>
      </c>
      <c r="AA14" s="237" t="s">
        <v>703</v>
      </c>
      <c r="AB14" s="237" t="s">
        <v>914</v>
      </c>
      <c r="AC14" s="237" t="s">
        <v>922</v>
      </c>
      <c r="AD14" s="237" t="s">
        <v>924</v>
      </c>
      <c r="AE14" s="239"/>
      <c r="AF14" s="237" t="s">
        <v>447</v>
      </c>
      <c r="AG14" s="237" t="s">
        <v>470</v>
      </c>
      <c r="AH14" s="237" t="s">
        <v>485</v>
      </c>
      <c r="AI14" s="237" t="s">
        <v>487</v>
      </c>
      <c r="AJ14" s="237" t="s">
        <v>489</v>
      </c>
      <c r="AK14" s="237" t="s">
        <v>491</v>
      </c>
      <c r="AL14" s="239"/>
      <c r="AM14" s="237" t="s">
        <v>931</v>
      </c>
      <c r="AN14" s="237" t="s">
        <v>503</v>
      </c>
      <c r="AO14" s="240"/>
      <c r="AP14" s="237" t="s">
        <v>494</v>
      </c>
      <c r="AQ14" s="239"/>
      <c r="AR14" s="241">
        <v>405</v>
      </c>
      <c r="AT14" s="218"/>
      <c r="AU14" s="242" t="s">
        <v>169</v>
      </c>
      <c r="AV14" s="242" t="s">
        <v>268</v>
      </c>
      <c r="AW14" s="242" t="s">
        <v>196</v>
      </c>
      <c r="AX14" s="242" t="s">
        <v>209</v>
      </c>
      <c r="AY14" s="242" t="s">
        <v>238</v>
      </c>
      <c r="AZ14" s="242" t="s">
        <v>257</v>
      </c>
      <c r="BA14" s="240"/>
      <c r="BB14" s="243" t="s">
        <v>147</v>
      </c>
      <c r="BC14" s="240"/>
      <c r="BD14" s="243" t="s">
        <v>158</v>
      </c>
      <c r="BE14" s="240"/>
      <c r="BF14" s="243" t="s">
        <v>279</v>
      </c>
      <c r="BG14" s="240"/>
      <c r="BH14" s="243" t="s">
        <v>284</v>
      </c>
      <c r="BI14" s="240"/>
      <c r="BJ14" s="243" t="s">
        <v>164</v>
      </c>
      <c r="BK14" s="240"/>
      <c r="BL14" s="243" t="s">
        <v>271</v>
      </c>
      <c r="BM14" s="243" t="s">
        <v>273</v>
      </c>
      <c r="BN14" s="244" t="s">
        <v>276</v>
      </c>
      <c r="BO14" s="240"/>
      <c r="BP14" s="241"/>
      <c r="BQ14" s="245"/>
      <c r="BR14" s="189"/>
      <c r="BS14" s="246" t="s">
        <v>309</v>
      </c>
      <c r="BT14" s="240"/>
      <c r="BU14" s="246" t="s">
        <v>362</v>
      </c>
      <c r="BV14" s="246" t="s">
        <v>386</v>
      </c>
      <c r="BW14" s="240"/>
      <c r="BX14" s="246" t="s">
        <v>389</v>
      </c>
      <c r="BY14" s="246" t="s">
        <v>403</v>
      </c>
      <c r="BZ14" s="246" t="s">
        <v>405</v>
      </c>
      <c r="CA14" s="240"/>
      <c r="CB14" s="246" t="s">
        <v>328</v>
      </c>
      <c r="CC14" s="240"/>
      <c r="CD14" s="246" t="s">
        <v>415</v>
      </c>
      <c r="CE14" s="246" t="s">
        <v>431</v>
      </c>
      <c r="CF14" s="246" t="s">
        <v>438</v>
      </c>
      <c r="CG14" s="240"/>
      <c r="CH14" s="245"/>
      <c r="CI14" s="245"/>
      <c r="CJ14" s="189"/>
      <c r="CK14" s="247" t="s">
        <v>1004</v>
      </c>
      <c r="CL14" s="247" t="s">
        <v>1015</v>
      </c>
      <c r="CM14" s="240"/>
      <c r="CN14" s="247" t="s">
        <v>1031</v>
      </c>
      <c r="CO14" s="240"/>
      <c r="CP14" s="247" t="s">
        <v>994</v>
      </c>
      <c r="CQ14" s="240"/>
      <c r="CR14" s="247" t="s">
        <v>1040</v>
      </c>
      <c r="CS14" s="240"/>
      <c r="CT14" s="247" t="s">
        <v>1313</v>
      </c>
      <c r="CU14" s="240"/>
      <c r="CV14" s="247" t="s">
        <v>983</v>
      </c>
      <c r="CW14" s="240"/>
      <c r="CX14" s="245"/>
      <c r="CY14" s="245"/>
      <c r="CZ14" s="218"/>
    </row>
    <row r="15" spans="1:104" s="188" customFormat="1" ht="13.5" thickTop="1">
      <c r="C15" s="188">
        <v>0</v>
      </c>
      <c r="D15" s="248"/>
      <c r="E15" s="249"/>
      <c r="F15" s="235"/>
      <c r="G15" s="236"/>
      <c r="H15" s="250"/>
      <c r="I15" s="250"/>
      <c r="J15" s="250"/>
      <c r="K15" s="250"/>
      <c r="L15" s="250"/>
      <c r="M15" s="250"/>
      <c r="N15" s="250"/>
      <c r="O15" s="250"/>
      <c r="P15" s="239"/>
      <c r="Q15" s="250"/>
      <c r="R15" s="250"/>
      <c r="S15" s="250"/>
      <c r="T15" s="239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39"/>
      <c r="AF15" s="250"/>
      <c r="AG15" s="250"/>
      <c r="AH15" s="250"/>
      <c r="AI15" s="250"/>
      <c r="AJ15" s="250"/>
      <c r="AK15" s="250"/>
      <c r="AL15" s="239"/>
      <c r="AM15" s="250"/>
      <c r="AN15" s="250"/>
      <c r="AO15" s="239"/>
      <c r="AP15" s="250"/>
      <c r="AQ15" s="239"/>
      <c r="AR15" s="241"/>
      <c r="AT15" s="218"/>
      <c r="BA15" s="239"/>
      <c r="BB15" s="250"/>
      <c r="BC15" s="239"/>
      <c r="BE15" s="239"/>
      <c r="BG15" s="239"/>
      <c r="BI15" s="239"/>
      <c r="BK15" s="239"/>
      <c r="BO15" s="239"/>
      <c r="BP15" s="241"/>
      <c r="BR15" s="189"/>
      <c r="BT15" s="239"/>
      <c r="BW15" s="239"/>
      <c r="CA15" s="239"/>
      <c r="CC15" s="239"/>
      <c r="CG15" s="239"/>
      <c r="CJ15" s="218"/>
      <c r="CM15" s="239"/>
      <c r="CO15" s="239"/>
      <c r="CQ15" s="239"/>
      <c r="CS15" s="239"/>
      <c r="CU15" s="239"/>
      <c r="CW15" s="239"/>
      <c r="CZ15" s="218"/>
    </row>
    <row r="16" spans="1:104" s="188" customFormat="1">
      <c r="D16" s="186"/>
      <c r="E16" s="249"/>
      <c r="F16" s="251" t="s">
        <v>1314</v>
      </c>
      <c r="G16" s="236"/>
      <c r="H16" s="252">
        <v>111103.44582043694</v>
      </c>
      <c r="I16" s="252">
        <v>44526.888177821005</v>
      </c>
      <c r="J16" s="252">
        <v>2938.52921493963</v>
      </c>
      <c r="K16" s="252">
        <v>9503.4875447320737</v>
      </c>
      <c r="L16" s="252">
        <v>58432.250339743281</v>
      </c>
      <c r="M16" s="252">
        <v>198954.20834911332</v>
      </c>
      <c r="N16" s="252">
        <v>9092.0528319548903</v>
      </c>
      <c r="O16" s="252">
        <v>30813.767905770477</v>
      </c>
      <c r="P16" s="253">
        <v>465364.6301845116</v>
      </c>
      <c r="Q16" s="252">
        <v>12734.4570008343</v>
      </c>
      <c r="R16" s="252">
        <v>3178.5094846236498</v>
      </c>
      <c r="S16" s="252">
        <v>259.85769688534305</v>
      </c>
      <c r="T16" s="253">
        <v>16172.824182343291</v>
      </c>
      <c r="U16" s="252">
        <v>206888.99582990678</v>
      </c>
      <c r="V16" s="252">
        <v>9776.5732563174333</v>
      </c>
      <c r="W16" s="252">
        <v>2421.4434839099349</v>
      </c>
      <c r="X16" s="252">
        <v>184981.37845228356</v>
      </c>
      <c r="Y16" s="252">
        <v>3942.9050866115467</v>
      </c>
      <c r="Z16" s="252">
        <v>3625.3390369705266</v>
      </c>
      <c r="AA16" s="252">
        <v>83630.742327019048</v>
      </c>
      <c r="AB16" s="252">
        <v>4937.0522750016335</v>
      </c>
      <c r="AC16" s="252">
        <v>0</v>
      </c>
      <c r="AD16" s="252">
        <v>2673.2260182883028</v>
      </c>
      <c r="AE16" s="253">
        <v>502877.65576630877</v>
      </c>
      <c r="AF16" s="252">
        <v>54783.263914110452</v>
      </c>
      <c r="AG16" s="252">
        <v>39125.910422958732</v>
      </c>
      <c r="AH16" s="252">
        <v>2013.0748621136759</v>
      </c>
      <c r="AI16" s="252">
        <v>4266.9125388453613</v>
      </c>
      <c r="AJ16" s="252">
        <v>1672.6129127712325</v>
      </c>
      <c r="AK16" s="252">
        <v>1897.882244452923</v>
      </c>
      <c r="AL16" s="253">
        <v>103759.65689525238</v>
      </c>
      <c r="AM16" s="252">
        <v>172778.64382757604</v>
      </c>
      <c r="AN16" s="252">
        <v>11279.414939547609</v>
      </c>
      <c r="AO16" s="253">
        <v>184058.05876712367</v>
      </c>
      <c r="AP16" s="252">
        <v>8699.689417296986</v>
      </c>
      <c r="AQ16" s="253">
        <v>8699.689417296986</v>
      </c>
      <c r="AR16" s="254">
        <v>1280932.5152128367</v>
      </c>
      <c r="AT16" s="218"/>
      <c r="AU16" s="252">
        <v>75946.388299323909</v>
      </c>
      <c r="AV16" s="252">
        <v>1610.0643536210002</v>
      </c>
      <c r="AW16" s="252">
        <v>39998.645085644974</v>
      </c>
      <c r="AX16" s="252">
        <v>61207.674156891815</v>
      </c>
      <c r="AY16" s="252">
        <v>63376.56642913066</v>
      </c>
      <c r="AZ16" s="252">
        <v>31593.379330028551</v>
      </c>
      <c r="BA16" s="253">
        <v>273732.7176546409</v>
      </c>
      <c r="BB16" s="252">
        <v>8131.3432499999999</v>
      </c>
      <c r="BC16" s="253">
        <v>8131.3432499999999</v>
      </c>
      <c r="BD16" s="252">
        <v>5895.01541</v>
      </c>
      <c r="BE16" s="253">
        <v>5895.01541</v>
      </c>
      <c r="BF16" s="252">
        <v>6430.5913499999988</v>
      </c>
      <c r="BG16" s="253">
        <v>6430.5913499999988</v>
      </c>
      <c r="BH16" s="252">
        <v>52920.584368210868</v>
      </c>
      <c r="BI16" s="253">
        <v>52920.584368210868</v>
      </c>
      <c r="BJ16" s="252">
        <v>8840.3960025162778</v>
      </c>
      <c r="BK16" s="253">
        <v>8840.3960025162778</v>
      </c>
      <c r="BL16" s="252">
        <v>4106.3845654233937</v>
      </c>
      <c r="BM16" s="252">
        <v>5452.4908667207656</v>
      </c>
      <c r="BN16" s="252">
        <v>2087.2656084538235</v>
      </c>
      <c r="BO16" s="253">
        <v>11646.141040597982</v>
      </c>
      <c r="BP16" s="254">
        <v>367596.78907596599</v>
      </c>
      <c r="BR16" s="189"/>
      <c r="BS16" s="252">
        <v>22408.783686091323</v>
      </c>
      <c r="BT16" s="253">
        <v>22408.783686091323</v>
      </c>
      <c r="BU16" s="252">
        <v>52867.324288810618</v>
      </c>
      <c r="BV16" s="252">
        <v>1596.3191652142466</v>
      </c>
      <c r="BW16" s="253">
        <v>54463.643454024867</v>
      </c>
      <c r="BX16" s="252">
        <v>23880.091349615886</v>
      </c>
      <c r="BY16" s="252">
        <v>1421.1992326491063</v>
      </c>
      <c r="BZ16" s="252">
        <v>15268.125504443273</v>
      </c>
      <c r="CA16" s="253">
        <v>40569.416086708268</v>
      </c>
      <c r="CB16" s="252">
        <v>85054.504958581092</v>
      </c>
      <c r="CC16" s="253">
        <v>85054.504958581092</v>
      </c>
      <c r="CD16" s="252">
        <v>34908.729104197737</v>
      </c>
      <c r="CE16" s="252">
        <v>9189.9146261820097</v>
      </c>
      <c r="CF16" s="252">
        <v>3651.3565418304161</v>
      </c>
      <c r="CG16" s="253">
        <v>47750.000272210164</v>
      </c>
      <c r="CH16" s="254">
        <v>250246.34845761571</v>
      </c>
      <c r="CJ16" s="218"/>
      <c r="CK16" s="252">
        <v>27280.433493659388</v>
      </c>
      <c r="CL16" s="252">
        <v>28756.678817501332</v>
      </c>
      <c r="CM16" s="253">
        <v>56037.214346434717</v>
      </c>
      <c r="CN16" s="252">
        <v>12055.070768186768</v>
      </c>
      <c r="CO16" s="253">
        <v>12055.070768186768</v>
      </c>
      <c r="CP16" s="252">
        <v>6593.0074100000011</v>
      </c>
      <c r="CQ16" s="253">
        <v>6593.0074100000011</v>
      </c>
      <c r="CR16" s="252">
        <v>10196.052480000004</v>
      </c>
      <c r="CS16" s="253">
        <v>10196.052480000004</v>
      </c>
      <c r="CT16" s="252">
        <v>3.0527500000000001</v>
      </c>
      <c r="CU16" s="253">
        <v>3.0527500000000001</v>
      </c>
      <c r="CV16" s="252">
        <v>7527.7744200000043</v>
      </c>
      <c r="CW16" s="253">
        <v>7527.7744200000043</v>
      </c>
      <c r="CX16" s="254">
        <v>92412.17217462149</v>
      </c>
      <c r="CZ16" s="218"/>
    </row>
    <row r="17" spans="1:104" s="188" customFormat="1">
      <c r="D17" s="185"/>
      <c r="E17" s="249"/>
      <c r="F17" s="255" t="s">
        <v>1315</v>
      </c>
      <c r="G17" s="236"/>
      <c r="H17" s="256">
        <v>0.23874492948977608</v>
      </c>
      <c r="I17" s="256">
        <v>9.568171985947152E-2</v>
      </c>
      <c r="J17" s="256">
        <v>6.3144661719876259E-3</v>
      </c>
      <c r="K17" s="256">
        <v>2.042159401105334E-2</v>
      </c>
      <c r="L17" s="256">
        <v>0.12556229362892402</v>
      </c>
      <c r="M17" s="256">
        <v>0.42752326980722688</v>
      </c>
      <c r="N17" s="256">
        <v>1.9537481454811035E-2</v>
      </c>
      <c r="O17" s="256">
        <v>6.6214245576749528E-2</v>
      </c>
      <c r="P17" s="257">
        <v>1</v>
      </c>
      <c r="Q17" s="256">
        <v>0.7873984690155208</v>
      </c>
      <c r="R17" s="256">
        <v>0.19653397877742299</v>
      </c>
      <c r="S17" s="256">
        <v>1.6067552207056274E-2</v>
      </c>
      <c r="T17" s="257">
        <v>1</v>
      </c>
      <c r="U17" s="256">
        <v>0.41141019780375715</v>
      </c>
      <c r="V17" s="256">
        <v>1.9441256027610588E-2</v>
      </c>
      <c r="W17" s="256">
        <v>4.815174140557159E-3</v>
      </c>
      <c r="X17" s="256">
        <v>0.36784569036061104</v>
      </c>
      <c r="Y17" s="256">
        <v>7.840684590774194E-3</v>
      </c>
      <c r="Z17" s="256">
        <v>7.2091869571060249E-3</v>
      </c>
      <c r="AA17" s="256">
        <v>0.16630435130305912</v>
      </c>
      <c r="AB17" s="256">
        <v>9.8176011966137552E-3</v>
      </c>
      <c r="AC17" s="256">
        <v>0</v>
      </c>
      <c r="AD17" s="256">
        <v>5.3158576199109795E-3</v>
      </c>
      <c r="AE17" s="257">
        <v>0.99999999999999989</v>
      </c>
      <c r="AF17" s="256">
        <v>0.52798231560668463</v>
      </c>
      <c r="AG17" s="256">
        <v>0.37708211065556224</v>
      </c>
      <c r="AH17" s="256">
        <v>1.9401325354669575E-2</v>
      </c>
      <c r="AI17" s="256">
        <v>4.1123040173050129E-2</v>
      </c>
      <c r="AJ17" s="256">
        <v>1.612006981152387E-2</v>
      </c>
      <c r="AK17" s="256">
        <v>1.8291138398509512E-2</v>
      </c>
      <c r="AL17" s="257">
        <v>1</v>
      </c>
      <c r="AM17" s="256">
        <v>0.9387181685219298</v>
      </c>
      <c r="AN17" s="256">
        <v>6.1281831478070169E-2</v>
      </c>
      <c r="AO17" s="257">
        <v>1</v>
      </c>
      <c r="AP17" s="256">
        <v>1</v>
      </c>
      <c r="AQ17" s="257">
        <v>1</v>
      </c>
      <c r="AR17" s="241"/>
      <c r="AT17" s="218"/>
      <c r="AU17" s="256">
        <v>0.2774472447065785</v>
      </c>
      <c r="AV17" s="256">
        <v>5.8818849548425657E-3</v>
      </c>
      <c r="AW17" s="256">
        <v>0.14612299701824419</v>
      </c>
      <c r="AX17" s="256">
        <v>0.22360379380778084</v>
      </c>
      <c r="AY17" s="256">
        <v>0.23152718817153117</v>
      </c>
      <c r="AZ17" s="256">
        <v>0.11541689134102276</v>
      </c>
      <c r="BA17" s="257">
        <v>1</v>
      </c>
      <c r="BB17" s="256">
        <v>1</v>
      </c>
      <c r="BC17" s="258">
        <v>1</v>
      </c>
      <c r="BD17" s="256">
        <v>1</v>
      </c>
      <c r="BE17" s="258">
        <v>1</v>
      </c>
      <c r="BF17" s="256">
        <v>1</v>
      </c>
      <c r="BG17" s="258">
        <v>1</v>
      </c>
      <c r="BH17" s="256">
        <v>1</v>
      </c>
      <c r="BI17" s="258">
        <v>1</v>
      </c>
      <c r="BJ17" s="256">
        <v>1</v>
      </c>
      <c r="BK17" s="258">
        <v>1</v>
      </c>
      <c r="BL17" s="256">
        <v>0.35259615619531837</v>
      </c>
      <c r="BM17" s="256">
        <v>0.46818004759804988</v>
      </c>
      <c r="BN17" s="256">
        <v>0.17922379620663179</v>
      </c>
      <c r="BO17" s="257">
        <v>1</v>
      </c>
      <c r="BP17" s="241"/>
      <c r="BR17" s="189"/>
      <c r="BS17" s="256">
        <v>1</v>
      </c>
      <c r="BT17" s="258">
        <v>1</v>
      </c>
      <c r="BU17" s="256">
        <v>0.97069018772932869</v>
      </c>
      <c r="BV17" s="256">
        <v>2.9309812270671337E-2</v>
      </c>
      <c r="BW17" s="258">
        <v>1</v>
      </c>
      <c r="BX17" s="256">
        <v>0.58862299862974132</v>
      </c>
      <c r="BY17" s="256">
        <v>3.503129622599456E-2</v>
      </c>
      <c r="BZ17" s="256">
        <v>0.37634570514426408</v>
      </c>
      <c r="CA17" s="258">
        <v>1</v>
      </c>
      <c r="CB17" s="256">
        <v>1</v>
      </c>
      <c r="CC17" s="258">
        <v>1</v>
      </c>
      <c r="CD17" s="256">
        <v>0.7310728566532414</v>
      </c>
      <c r="CE17" s="256">
        <v>0.19245894395377441</v>
      </c>
      <c r="CF17" s="256">
        <v>7.6468199392984187E-2</v>
      </c>
      <c r="CG17" s="258">
        <v>1</v>
      </c>
      <c r="CH17" s="241"/>
      <c r="CJ17" s="218"/>
      <c r="CK17" s="256">
        <v>0.48682708110730821</v>
      </c>
      <c r="CL17" s="256">
        <v>0.51317109804425765</v>
      </c>
      <c r="CM17" s="258">
        <v>0.99999817915156586</v>
      </c>
      <c r="CN17" s="256">
        <v>1</v>
      </c>
      <c r="CO17" s="258">
        <v>1</v>
      </c>
      <c r="CP17" s="256">
        <v>1</v>
      </c>
      <c r="CQ17" s="258">
        <v>1</v>
      </c>
      <c r="CR17" s="256">
        <v>1</v>
      </c>
      <c r="CS17" s="258">
        <v>1</v>
      </c>
      <c r="CT17" s="256">
        <v>1</v>
      </c>
      <c r="CU17" s="258">
        <v>1</v>
      </c>
      <c r="CV17" s="256">
        <v>1</v>
      </c>
      <c r="CW17" s="258">
        <v>1</v>
      </c>
      <c r="CX17" s="241"/>
      <c r="CZ17" s="218"/>
    </row>
    <row r="18" spans="1:104" s="188" customFormat="1">
      <c r="D18" s="185"/>
      <c r="E18" s="249"/>
      <c r="F18" s="251" t="s">
        <v>1316</v>
      </c>
      <c r="G18" s="259"/>
      <c r="H18" s="260">
        <v>5508.8989961348207</v>
      </c>
      <c r="I18" s="260">
        <v>2143.0950699809596</v>
      </c>
      <c r="J18" s="260">
        <v>131.69517071112344</v>
      </c>
      <c r="K18" s="260">
        <v>448.89271035358519</v>
      </c>
      <c r="L18" s="260">
        <v>2682.3911861821111</v>
      </c>
      <c r="M18" s="260">
        <v>9419.0772883854515</v>
      </c>
      <c r="N18" s="260">
        <v>483.47496176744886</v>
      </c>
      <c r="O18" s="260">
        <v>1606.4037607874793</v>
      </c>
      <c r="P18" s="261">
        <v>22423.929144302991</v>
      </c>
      <c r="Q18" s="260">
        <v>522.92408786340411</v>
      </c>
      <c r="R18" s="260">
        <v>190.99298407080605</v>
      </c>
      <c r="S18" s="260">
        <v>11.949715223789505</v>
      </c>
      <c r="T18" s="261">
        <v>725.86678715800019</v>
      </c>
      <c r="U18" s="260">
        <v>9269.240462648213</v>
      </c>
      <c r="V18" s="260">
        <v>525.31289978891243</v>
      </c>
      <c r="W18" s="260">
        <v>155.55295423669335</v>
      </c>
      <c r="X18" s="260">
        <v>8513.8018412365927</v>
      </c>
      <c r="Y18" s="260">
        <v>322.75361101713605</v>
      </c>
      <c r="Z18" s="260">
        <v>206.49889004115951</v>
      </c>
      <c r="AA18" s="260">
        <v>4120.3944684313592</v>
      </c>
      <c r="AB18" s="260">
        <v>323.02582775038667</v>
      </c>
      <c r="AC18" s="260">
        <v>0</v>
      </c>
      <c r="AD18" s="260">
        <v>142.7510131575367</v>
      </c>
      <c r="AE18" s="261">
        <v>23579.33196830799</v>
      </c>
      <c r="AF18" s="260">
        <v>2800.3560472933623</v>
      </c>
      <c r="AG18" s="260">
        <v>1886.1933272320023</v>
      </c>
      <c r="AH18" s="260">
        <v>115.77725799574831</v>
      </c>
      <c r="AI18" s="260">
        <v>258.66986411548976</v>
      </c>
      <c r="AJ18" s="260">
        <v>107.84994762024159</v>
      </c>
      <c r="AK18" s="260">
        <v>124.99364403615344</v>
      </c>
      <c r="AL18" s="261">
        <v>5293.8400882929973</v>
      </c>
      <c r="AM18" s="260">
        <v>7530.8113383819746</v>
      </c>
      <c r="AN18" s="260">
        <v>525.41032889501957</v>
      </c>
      <c r="AO18" s="261">
        <v>8056.2216672769946</v>
      </c>
      <c r="AP18" s="260">
        <v>481.43036016700006</v>
      </c>
      <c r="AQ18" s="261">
        <v>481.43036016700006</v>
      </c>
      <c r="AR18" s="262">
        <v>60560.620015505978</v>
      </c>
      <c r="AT18" s="218"/>
      <c r="AU18" s="260">
        <v>1631.2588954678452</v>
      </c>
      <c r="AV18" s="260">
        <v>16.26498368710909</v>
      </c>
      <c r="AW18" s="260">
        <v>830.60215792818917</v>
      </c>
      <c r="AX18" s="260">
        <v>1280.7037734791597</v>
      </c>
      <c r="AY18" s="260">
        <v>1453.8135664223933</v>
      </c>
      <c r="AZ18" s="260">
        <v>1016.6544041003039</v>
      </c>
      <c r="BA18" s="261">
        <v>6229.2977810849998</v>
      </c>
      <c r="BB18" s="260">
        <v>139.13477797800002</v>
      </c>
      <c r="BC18" s="261">
        <v>139.13477797800002</v>
      </c>
      <c r="BD18" s="260">
        <v>100.24031183400001</v>
      </c>
      <c r="BE18" s="261">
        <v>100.24031183400001</v>
      </c>
      <c r="BF18" s="260">
        <v>219.53013447300003</v>
      </c>
      <c r="BG18" s="261">
        <v>219.53013447300003</v>
      </c>
      <c r="BH18" s="260">
        <v>2253.5723309149994</v>
      </c>
      <c r="BI18" s="261">
        <v>2253.5723309149994</v>
      </c>
      <c r="BJ18" s="260">
        <v>413.83621423800003</v>
      </c>
      <c r="BK18" s="261">
        <v>413.83621423800003</v>
      </c>
      <c r="BL18" s="260">
        <v>162.51688635162631</v>
      </c>
      <c r="BM18" s="260">
        <v>244.34375088450994</v>
      </c>
      <c r="BN18" s="260">
        <v>86.221148696864077</v>
      </c>
      <c r="BO18" s="261">
        <v>493.08178593300011</v>
      </c>
      <c r="BP18" s="262">
        <v>9848.6933364559973</v>
      </c>
      <c r="BR18" s="189"/>
      <c r="BS18" s="260">
        <v>639.23167051699988</v>
      </c>
      <c r="BT18" s="261">
        <v>639.23167051699988</v>
      </c>
      <c r="BU18" s="252">
        <v>2093.8173164041227</v>
      </c>
      <c r="BV18" s="252">
        <v>78.036237295877456</v>
      </c>
      <c r="BW18" s="261">
        <v>2171.8535536999998</v>
      </c>
      <c r="BX18" s="252">
        <v>1110.5536796551519</v>
      </c>
      <c r="BY18" s="252">
        <v>82.735906486236473</v>
      </c>
      <c r="BZ18" s="252">
        <v>703.37472624661143</v>
      </c>
      <c r="CA18" s="261">
        <v>1896.6643123880001</v>
      </c>
      <c r="CB18" s="260">
        <v>4341.4980136220001</v>
      </c>
      <c r="CC18" s="261">
        <v>4341.4980136220001</v>
      </c>
      <c r="CD18" s="252">
        <v>1698.9606744123453</v>
      </c>
      <c r="CE18" s="252">
        <v>469.02350898996906</v>
      </c>
      <c r="CF18" s="252">
        <v>216.27883553068375</v>
      </c>
      <c r="CG18" s="261">
        <v>2384.2630189329993</v>
      </c>
      <c r="CH18" s="262">
        <v>11433.510569159998</v>
      </c>
      <c r="CJ18" s="218"/>
      <c r="CK18" s="252">
        <v>1439.8137688559282</v>
      </c>
      <c r="CL18" s="252">
        <v>1646.2072796293448</v>
      </c>
      <c r="CM18" s="261">
        <v>3086.0218920450002</v>
      </c>
      <c r="CN18" s="260">
        <v>458.70930494700002</v>
      </c>
      <c r="CO18" s="261">
        <v>458.70930494700002</v>
      </c>
      <c r="CP18" s="260">
        <v>56.549858271000048</v>
      </c>
      <c r="CQ18" s="261">
        <v>56.549858271000048</v>
      </c>
      <c r="CR18" s="260">
        <v>83.183201455000059</v>
      </c>
      <c r="CS18" s="261">
        <v>83.183201455000059</v>
      </c>
      <c r="CT18" s="260">
        <v>2.4358128999999999E-2</v>
      </c>
      <c r="CU18" s="261">
        <v>2.4358128999999999E-2</v>
      </c>
      <c r="CV18" s="260">
        <v>63.802829418000044</v>
      </c>
      <c r="CW18" s="261">
        <v>63.802829418000044</v>
      </c>
      <c r="CX18" s="262">
        <v>3748.2914442650003</v>
      </c>
      <c r="CZ18" s="218"/>
    </row>
    <row r="19" spans="1:104" s="188" customFormat="1">
      <c r="D19" s="186"/>
      <c r="E19" s="249"/>
      <c r="F19" s="263" t="s">
        <v>1317</v>
      </c>
      <c r="G19" s="264"/>
      <c r="H19" s="265">
        <v>0.24567054955818965</v>
      </c>
      <c r="I19" s="265">
        <v>9.5571791017964078E-2</v>
      </c>
      <c r="J19" s="265">
        <v>5.8729747968625668E-3</v>
      </c>
      <c r="K19" s="265">
        <v>2.0018468104535132E-2</v>
      </c>
      <c r="L19" s="265">
        <v>0.1196218186795153</v>
      </c>
      <c r="M19" s="265">
        <v>0.42004580141917081</v>
      </c>
      <c r="N19" s="265">
        <v>2.1560671131993843E-2</v>
      </c>
      <c r="O19" s="265">
        <v>7.1637925291768115E-2</v>
      </c>
      <c r="P19" s="258">
        <v>0.99999999999999956</v>
      </c>
      <c r="Q19" s="265">
        <v>0.72041330050492958</v>
      </c>
      <c r="R19" s="265">
        <v>0.26312401593494095</v>
      </c>
      <c r="S19" s="265">
        <v>1.6462683560128779E-2</v>
      </c>
      <c r="T19" s="258">
        <v>0.99999999999999933</v>
      </c>
      <c r="U19" s="265">
        <v>0.39310869684970795</v>
      </c>
      <c r="V19" s="265">
        <v>2.2278531914939909E-2</v>
      </c>
      <c r="W19" s="265">
        <v>6.5970042936655581E-3</v>
      </c>
      <c r="X19" s="265">
        <v>0.36107052789619498</v>
      </c>
      <c r="Y19" s="265">
        <v>1.3687987914625227E-2</v>
      </c>
      <c r="Z19" s="265">
        <v>8.7576225789053816E-3</v>
      </c>
      <c r="AA19" s="265">
        <v>0.17474602223546504</v>
      </c>
      <c r="AB19" s="265">
        <v>1.369953263241522E-2</v>
      </c>
      <c r="AC19" s="265">
        <v>0</v>
      </c>
      <c r="AD19" s="265">
        <v>6.0540736840807227E-3</v>
      </c>
      <c r="AE19" s="258">
        <v>0.99999999999999989</v>
      </c>
      <c r="AF19" s="265">
        <v>0.52898387570984207</v>
      </c>
      <c r="AG19" s="265">
        <v>0.35629964180504869</v>
      </c>
      <c r="AH19" s="265">
        <v>2.187018422633933E-2</v>
      </c>
      <c r="AI19" s="265">
        <v>4.8862424969640147E-2</v>
      </c>
      <c r="AJ19" s="265">
        <v>2.0372724869182419E-2</v>
      </c>
      <c r="AK19" s="265">
        <v>2.3611148419947405E-2</v>
      </c>
      <c r="AL19" s="258">
        <v>1</v>
      </c>
      <c r="AM19" s="265">
        <v>0.93478204168225065</v>
      </c>
      <c r="AN19" s="265">
        <v>6.5217958317749278E-2</v>
      </c>
      <c r="AO19" s="258">
        <v>0.99999999999999989</v>
      </c>
      <c r="AP19" s="265">
        <v>1</v>
      </c>
      <c r="AQ19" s="258">
        <v>1</v>
      </c>
      <c r="AR19" s="241"/>
      <c r="AT19" s="218"/>
      <c r="AU19" s="265">
        <v>0.26186882579623888</v>
      </c>
      <c r="AV19" s="265">
        <v>2.6110461016163053E-3</v>
      </c>
      <c r="AW19" s="265">
        <v>0.13333800808981675</v>
      </c>
      <c r="AX19" s="265">
        <v>0.20559360276016389</v>
      </c>
      <c r="AY19" s="265">
        <v>0.23338321870513831</v>
      </c>
      <c r="AZ19" s="265">
        <v>0.16320529854702598</v>
      </c>
      <c r="BA19" s="258">
        <v>1.0000000000000002</v>
      </c>
      <c r="BB19" s="265">
        <v>1</v>
      </c>
      <c r="BC19" s="258">
        <v>1</v>
      </c>
      <c r="BD19" s="265">
        <v>1</v>
      </c>
      <c r="BE19" s="258">
        <v>1</v>
      </c>
      <c r="BF19" s="265">
        <v>1</v>
      </c>
      <c r="BG19" s="258">
        <v>1</v>
      </c>
      <c r="BH19" s="265">
        <v>1</v>
      </c>
      <c r="BI19" s="258">
        <v>1</v>
      </c>
      <c r="BJ19" s="265">
        <v>1</v>
      </c>
      <c r="BK19" s="258">
        <v>1</v>
      </c>
      <c r="BL19" s="265">
        <v>0.32959417887260811</v>
      </c>
      <c r="BM19" s="265">
        <v>0.49554406156408165</v>
      </c>
      <c r="BN19" s="265">
        <v>0.17486175956331065</v>
      </c>
      <c r="BO19" s="257">
        <v>1.0000000000000004</v>
      </c>
      <c r="BP19" s="241"/>
      <c r="BR19" s="189"/>
      <c r="BS19" s="265">
        <v>1</v>
      </c>
      <c r="BT19" s="258">
        <v>1</v>
      </c>
      <c r="BU19" s="265">
        <v>0.96406929133737695</v>
      </c>
      <c r="BV19" s="265">
        <v>3.5930708662623149E-2</v>
      </c>
      <c r="BW19" s="258">
        <v>1</v>
      </c>
      <c r="BX19" s="265">
        <v>0.58552990763922075</v>
      </c>
      <c r="BY19" s="265">
        <v>4.3621797460863074E-2</v>
      </c>
      <c r="BZ19" s="265">
        <v>0.370848294899916</v>
      </c>
      <c r="CA19" s="258">
        <v>0.99999999999999978</v>
      </c>
      <c r="CB19" s="265">
        <v>1</v>
      </c>
      <c r="CC19" s="258">
        <v>1</v>
      </c>
      <c r="CD19" s="265">
        <v>0.71257267378691336</v>
      </c>
      <c r="CE19" s="265">
        <v>0.19671634600106558</v>
      </c>
      <c r="CF19" s="265">
        <v>9.0710980212020578E-2</v>
      </c>
      <c r="CG19" s="258">
        <v>0.99999999999999956</v>
      </c>
      <c r="CH19" s="241"/>
      <c r="CJ19" s="218"/>
      <c r="CK19" s="265">
        <v>0.46655980392343011</v>
      </c>
      <c r="CL19" s="265">
        <v>0.53343992272798169</v>
      </c>
      <c r="CM19" s="258">
        <v>0.99999972665141179</v>
      </c>
      <c r="CN19" s="265">
        <v>1</v>
      </c>
      <c r="CO19" s="258">
        <v>1</v>
      </c>
      <c r="CP19" s="265">
        <v>1</v>
      </c>
      <c r="CQ19" s="258">
        <v>1</v>
      </c>
      <c r="CR19" s="265">
        <v>1</v>
      </c>
      <c r="CS19" s="258">
        <v>1</v>
      </c>
      <c r="CT19" s="265">
        <v>1</v>
      </c>
      <c r="CU19" s="258">
        <v>1</v>
      </c>
      <c r="CV19" s="265">
        <v>1</v>
      </c>
      <c r="CW19" s="258">
        <v>1</v>
      </c>
      <c r="CX19" s="241"/>
      <c r="CZ19" s="218"/>
    </row>
    <row r="20" spans="1:104" s="188" customFormat="1">
      <c r="D20" s="186"/>
      <c r="E20" s="249"/>
      <c r="F20" s="251" t="s">
        <v>1318</v>
      </c>
      <c r="G20" s="259"/>
      <c r="H20" s="266">
        <v>37</v>
      </c>
      <c r="I20" s="266">
        <v>14</v>
      </c>
      <c r="J20" s="266">
        <v>1</v>
      </c>
      <c r="K20" s="266">
        <v>5</v>
      </c>
      <c r="L20" s="266">
        <v>19</v>
      </c>
      <c r="M20" s="266">
        <v>60</v>
      </c>
      <c r="N20" s="266">
        <v>3</v>
      </c>
      <c r="O20" s="266">
        <v>10</v>
      </c>
      <c r="P20" s="261">
        <v>149</v>
      </c>
      <c r="Q20" s="266">
        <v>4</v>
      </c>
      <c r="R20" s="266">
        <v>1</v>
      </c>
      <c r="S20" s="266">
        <v>1</v>
      </c>
      <c r="T20" s="261">
        <v>6</v>
      </c>
      <c r="U20" s="266">
        <v>60</v>
      </c>
      <c r="V20" s="266">
        <v>3</v>
      </c>
      <c r="W20" s="266">
        <v>1</v>
      </c>
      <c r="X20" s="266">
        <v>59</v>
      </c>
      <c r="Y20" s="266">
        <v>2</v>
      </c>
      <c r="Z20" s="266">
        <v>1</v>
      </c>
      <c r="AA20" s="266">
        <v>29</v>
      </c>
      <c r="AB20" s="266">
        <v>2</v>
      </c>
      <c r="AC20" s="266">
        <v>1</v>
      </c>
      <c r="AD20" s="266">
        <v>1</v>
      </c>
      <c r="AE20" s="261">
        <v>159</v>
      </c>
      <c r="AF20" s="266">
        <v>19</v>
      </c>
      <c r="AG20" s="266">
        <v>14</v>
      </c>
      <c r="AH20" s="266">
        <v>1</v>
      </c>
      <c r="AI20" s="266">
        <v>1</v>
      </c>
      <c r="AJ20" s="266">
        <v>1</v>
      </c>
      <c r="AK20" s="266">
        <v>1</v>
      </c>
      <c r="AL20" s="261">
        <v>37</v>
      </c>
      <c r="AM20" s="266">
        <v>47</v>
      </c>
      <c r="AN20" s="266">
        <v>4</v>
      </c>
      <c r="AO20" s="261">
        <v>51</v>
      </c>
      <c r="AP20" s="266">
        <v>3</v>
      </c>
      <c r="AQ20" s="261">
        <v>3</v>
      </c>
      <c r="AR20" s="262">
        <v>405</v>
      </c>
      <c r="AT20" s="218"/>
      <c r="AU20" s="266">
        <v>21</v>
      </c>
      <c r="AV20" s="266">
        <v>1</v>
      </c>
      <c r="AW20" s="266">
        <v>12</v>
      </c>
      <c r="AX20" s="266">
        <v>26</v>
      </c>
      <c r="AY20" s="266">
        <v>18</v>
      </c>
      <c r="AZ20" s="266">
        <v>10</v>
      </c>
      <c r="BA20" s="261">
        <v>88</v>
      </c>
      <c r="BB20" s="266">
        <v>3</v>
      </c>
      <c r="BC20" s="261">
        <v>3</v>
      </c>
      <c r="BD20" s="266">
        <v>2</v>
      </c>
      <c r="BE20" s="261">
        <v>2</v>
      </c>
      <c r="BF20" s="266">
        <v>3</v>
      </c>
      <c r="BG20" s="261">
        <v>3</v>
      </c>
      <c r="BH20" s="266">
        <v>21</v>
      </c>
      <c r="BI20" s="261">
        <v>21</v>
      </c>
      <c r="BJ20" s="266">
        <v>3</v>
      </c>
      <c r="BK20" s="261">
        <v>3</v>
      </c>
      <c r="BL20" s="266">
        <v>1</v>
      </c>
      <c r="BM20" s="266">
        <v>2</v>
      </c>
      <c r="BN20" s="266">
        <v>1</v>
      </c>
      <c r="BO20" s="261">
        <v>4</v>
      </c>
      <c r="BP20" s="262">
        <v>124</v>
      </c>
      <c r="BR20" s="189"/>
      <c r="BS20" s="266">
        <v>8</v>
      </c>
      <c r="BT20" s="261">
        <v>8</v>
      </c>
      <c r="BU20" s="266">
        <v>21</v>
      </c>
      <c r="BV20" s="266">
        <v>1</v>
      </c>
      <c r="BW20" s="261">
        <v>22</v>
      </c>
      <c r="BX20" s="266">
        <v>12</v>
      </c>
      <c r="BY20" s="266">
        <v>1</v>
      </c>
      <c r="BZ20" s="266">
        <v>8</v>
      </c>
      <c r="CA20" s="261">
        <v>21</v>
      </c>
      <c r="CB20" s="266">
        <v>28</v>
      </c>
      <c r="CC20" s="261">
        <v>28</v>
      </c>
      <c r="CD20" s="266">
        <v>12</v>
      </c>
      <c r="CE20" s="266">
        <v>4</v>
      </c>
      <c r="CF20" s="266">
        <v>1</v>
      </c>
      <c r="CG20" s="261">
        <v>17</v>
      </c>
      <c r="CH20" s="262">
        <v>96</v>
      </c>
      <c r="CJ20" s="218"/>
      <c r="CK20" s="266">
        <v>9</v>
      </c>
      <c r="CL20" s="266">
        <v>7</v>
      </c>
      <c r="CM20" s="261">
        <v>16</v>
      </c>
      <c r="CN20" s="266">
        <v>6</v>
      </c>
      <c r="CO20" s="261">
        <v>6</v>
      </c>
      <c r="CP20" s="266">
        <v>3</v>
      </c>
      <c r="CQ20" s="261">
        <v>3</v>
      </c>
      <c r="CR20" s="266">
        <v>5</v>
      </c>
      <c r="CS20" s="261">
        <v>5</v>
      </c>
      <c r="CT20" s="266">
        <v>0</v>
      </c>
      <c r="CU20" s="261">
        <v>0</v>
      </c>
      <c r="CV20" s="266">
        <v>6</v>
      </c>
      <c r="CW20" s="261">
        <v>6</v>
      </c>
      <c r="CX20" s="262">
        <v>36</v>
      </c>
      <c r="CZ20" s="218"/>
    </row>
    <row r="21" spans="1:104" s="188" customFormat="1">
      <c r="D21" s="186"/>
      <c r="E21" s="249"/>
      <c r="F21" s="267" t="s">
        <v>1319</v>
      </c>
      <c r="G21" s="268"/>
      <c r="H21" s="269">
        <v>0.24832214765100671</v>
      </c>
      <c r="I21" s="269">
        <v>9.3959731543624164E-2</v>
      </c>
      <c r="J21" s="269">
        <v>6.7114093959731542E-3</v>
      </c>
      <c r="K21" s="269">
        <v>3.3557046979865772E-2</v>
      </c>
      <c r="L21" s="269">
        <v>0.12751677852348994</v>
      </c>
      <c r="M21" s="269">
        <v>0.40268456375838924</v>
      </c>
      <c r="N21" s="269">
        <v>2.0134228187919462E-2</v>
      </c>
      <c r="O21" s="269">
        <v>6.7114093959731544E-2</v>
      </c>
      <c r="P21" s="258">
        <v>1</v>
      </c>
      <c r="Q21" s="269">
        <v>0.66666666666666663</v>
      </c>
      <c r="R21" s="269">
        <v>0.16666666666666666</v>
      </c>
      <c r="S21" s="269">
        <v>0.16666666666666666</v>
      </c>
      <c r="T21" s="258">
        <v>0.99999999999999989</v>
      </c>
      <c r="U21" s="269">
        <v>0.37735849056603776</v>
      </c>
      <c r="V21" s="269">
        <v>1.8867924528301886E-2</v>
      </c>
      <c r="W21" s="269">
        <v>6.2893081761006293E-3</v>
      </c>
      <c r="X21" s="269">
        <v>0.37106918238993708</v>
      </c>
      <c r="Y21" s="269">
        <v>1.2578616352201259E-2</v>
      </c>
      <c r="Z21" s="269">
        <v>6.2893081761006293E-3</v>
      </c>
      <c r="AA21" s="269">
        <v>0.18238993710691823</v>
      </c>
      <c r="AB21" s="269">
        <v>1.2578616352201259E-2</v>
      </c>
      <c r="AC21" s="269">
        <v>6.2893081761006293E-3</v>
      </c>
      <c r="AD21" s="269">
        <v>6.2893081761006293E-3</v>
      </c>
      <c r="AE21" s="258">
        <v>1</v>
      </c>
      <c r="AF21" s="269">
        <v>0.51351351351351349</v>
      </c>
      <c r="AG21" s="269">
        <v>0.3783783783783784</v>
      </c>
      <c r="AH21" s="269">
        <v>2.7027027027027029E-2</v>
      </c>
      <c r="AI21" s="269">
        <v>2.7027027027027029E-2</v>
      </c>
      <c r="AJ21" s="269">
        <v>2.7027027027027029E-2</v>
      </c>
      <c r="AK21" s="269">
        <v>2.7027027027027029E-2</v>
      </c>
      <c r="AL21" s="258">
        <v>0.99999999999999978</v>
      </c>
      <c r="AM21" s="269">
        <v>0.92156862745098034</v>
      </c>
      <c r="AN21" s="269">
        <v>7.8431372549019607E-2</v>
      </c>
      <c r="AO21" s="258">
        <v>1</v>
      </c>
      <c r="AP21" s="269">
        <v>1</v>
      </c>
      <c r="AQ21" s="258">
        <v>1</v>
      </c>
      <c r="AR21" s="241"/>
      <c r="AT21" s="218"/>
      <c r="AU21" s="269">
        <v>0.23863636363636365</v>
      </c>
      <c r="AV21" s="269">
        <v>1.1363636363636364E-2</v>
      </c>
      <c r="AW21" s="269">
        <v>0.13636363636363635</v>
      </c>
      <c r="AX21" s="269">
        <v>0.29545454545454547</v>
      </c>
      <c r="AY21" s="269">
        <v>0.20454545454545456</v>
      </c>
      <c r="AZ21" s="269">
        <v>0.11363636363636363</v>
      </c>
      <c r="BA21" s="258">
        <v>1</v>
      </c>
      <c r="BB21" s="269">
        <v>1</v>
      </c>
      <c r="BC21" s="258">
        <v>1</v>
      </c>
      <c r="BD21" s="269">
        <v>1</v>
      </c>
      <c r="BE21" s="258">
        <v>1</v>
      </c>
      <c r="BF21" s="269">
        <v>1</v>
      </c>
      <c r="BG21" s="258">
        <v>1</v>
      </c>
      <c r="BH21" s="269">
        <v>1</v>
      </c>
      <c r="BI21" s="258">
        <v>1</v>
      </c>
      <c r="BJ21" s="269">
        <v>1</v>
      </c>
      <c r="BK21" s="258">
        <v>1</v>
      </c>
      <c r="BL21" s="269">
        <v>0.25</v>
      </c>
      <c r="BM21" s="269">
        <v>0.5</v>
      </c>
      <c r="BN21" s="269">
        <v>0.25</v>
      </c>
      <c r="BO21" s="257">
        <v>1</v>
      </c>
      <c r="BR21" s="189"/>
      <c r="BS21" s="269">
        <v>1</v>
      </c>
      <c r="BT21" s="258">
        <v>1</v>
      </c>
      <c r="BU21" s="269">
        <v>0.95454545454545459</v>
      </c>
      <c r="BV21" s="269">
        <v>4.5454545454545456E-2</v>
      </c>
      <c r="BW21" s="258">
        <v>1</v>
      </c>
      <c r="BX21" s="269">
        <v>0.5714285714285714</v>
      </c>
      <c r="BY21" s="269">
        <v>4.7619047619047616E-2</v>
      </c>
      <c r="BZ21" s="269">
        <v>0.38095238095238093</v>
      </c>
      <c r="CA21" s="258">
        <v>1</v>
      </c>
      <c r="CB21" s="269">
        <v>1</v>
      </c>
      <c r="CC21" s="258">
        <v>1</v>
      </c>
      <c r="CD21" s="269">
        <v>0.70588235294117652</v>
      </c>
      <c r="CE21" s="269">
        <v>0.23529411764705882</v>
      </c>
      <c r="CF21" s="269">
        <v>5.8823529411764705E-2</v>
      </c>
      <c r="CG21" s="258">
        <v>1</v>
      </c>
      <c r="CJ21" s="218"/>
      <c r="CK21" s="269">
        <v>0.5625</v>
      </c>
      <c r="CL21" s="269">
        <v>0.4375</v>
      </c>
      <c r="CM21" s="258">
        <v>1</v>
      </c>
      <c r="CN21" s="269">
        <v>1</v>
      </c>
      <c r="CO21" s="258">
        <v>1</v>
      </c>
      <c r="CP21" s="269">
        <v>1</v>
      </c>
      <c r="CQ21" s="258">
        <v>1</v>
      </c>
      <c r="CR21" s="269">
        <v>1</v>
      </c>
      <c r="CS21" s="258">
        <v>1</v>
      </c>
      <c r="CT21" s="269" t="e">
        <v>#DIV/0!</v>
      </c>
      <c r="CU21" s="258" t="e">
        <v>#DIV/0!</v>
      </c>
      <c r="CV21" s="269">
        <v>1</v>
      </c>
      <c r="CW21" s="258">
        <v>1</v>
      </c>
      <c r="CZ21" s="218"/>
    </row>
    <row r="22" spans="1:104" s="188" customFormat="1">
      <c r="D22" s="185"/>
      <c r="E22" s="249"/>
      <c r="F22" s="235"/>
      <c r="G22" s="236"/>
      <c r="H22" s="250"/>
      <c r="I22" s="250"/>
      <c r="J22" s="250"/>
      <c r="K22" s="250"/>
      <c r="L22" s="250"/>
      <c r="M22" s="250"/>
      <c r="N22" s="250"/>
      <c r="O22" s="250"/>
      <c r="P22" s="239"/>
      <c r="Q22" s="250"/>
      <c r="R22" s="250"/>
      <c r="S22" s="250"/>
      <c r="T22" s="239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39"/>
      <c r="AF22" s="250"/>
      <c r="AG22" s="250"/>
      <c r="AH22" s="250"/>
      <c r="AI22" s="250"/>
      <c r="AJ22" s="250"/>
      <c r="AK22" s="250"/>
      <c r="AL22" s="239"/>
      <c r="AM22" s="250"/>
      <c r="AN22" s="250"/>
      <c r="AO22" s="239"/>
      <c r="AP22" s="250"/>
      <c r="AQ22" s="239"/>
      <c r="AR22" s="241"/>
      <c r="AT22" s="218"/>
      <c r="BA22" s="239"/>
      <c r="BC22" s="239"/>
      <c r="BE22" s="239"/>
      <c r="BG22" s="239"/>
      <c r="BI22" s="239"/>
      <c r="BK22" s="239"/>
      <c r="BO22" s="239"/>
      <c r="BR22" s="189"/>
      <c r="BT22" s="239"/>
      <c r="BW22" s="239"/>
      <c r="CA22" s="239"/>
      <c r="CC22" s="239"/>
      <c r="CG22" s="239"/>
      <c r="CJ22" s="218"/>
      <c r="CM22" s="239"/>
      <c r="CO22" s="239"/>
      <c r="CQ22" s="239"/>
      <c r="CS22" s="239"/>
      <c r="CU22" s="239"/>
      <c r="CW22" s="239"/>
      <c r="CZ22" s="218"/>
    </row>
    <row r="23" spans="1:104" ht="15.75">
      <c r="F23" s="270" t="s">
        <v>26</v>
      </c>
      <c r="G23" s="236"/>
      <c r="H23" s="271"/>
      <c r="I23" s="271"/>
      <c r="J23" s="271"/>
      <c r="K23" s="271"/>
      <c r="L23" s="271"/>
      <c r="M23" s="271"/>
      <c r="N23" s="271"/>
      <c r="O23" s="271"/>
      <c r="P23" s="272">
        <v>149</v>
      </c>
      <c r="Q23" s="271"/>
      <c r="R23" s="271"/>
      <c r="S23" s="271"/>
      <c r="T23" s="272">
        <v>6</v>
      </c>
      <c r="U23" s="271"/>
      <c r="V23" s="271"/>
      <c r="W23" s="271"/>
      <c r="X23" s="271"/>
      <c r="Y23" s="271"/>
      <c r="Z23" s="271"/>
      <c r="AA23" s="271"/>
      <c r="AB23" s="271"/>
      <c r="AC23" s="271"/>
      <c r="AD23" s="271"/>
      <c r="AE23" s="272">
        <v>159</v>
      </c>
      <c r="AF23" s="271"/>
      <c r="AG23" s="271"/>
      <c r="AH23" s="271"/>
      <c r="AI23" s="271"/>
      <c r="AJ23" s="271"/>
      <c r="AK23" s="271"/>
      <c r="AL23" s="272">
        <v>37</v>
      </c>
      <c r="AM23" s="271"/>
      <c r="AN23" s="271"/>
      <c r="AO23" s="272">
        <v>51</v>
      </c>
      <c r="AP23" s="271"/>
      <c r="AQ23" s="272">
        <v>3</v>
      </c>
      <c r="AR23" s="273">
        <v>405</v>
      </c>
      <c r="AU23" s="274"/>
      <c r="AV23" s="275"/>
      <c r="AW23" s="275"/>
      <c r="AX23" s="275"/>
      <c r="AY23" s="275"/>
      <c r="AZ23" s="275"/>
      <c r="BA23" s="276">
        <v>88</v>
      </c>
      <c r="BB23" s="275"/>
      <c r="BC23" s="276">
        <v>3</v>
      </c>
      <c r="BD23" s="275"/>
      <c r="BE23" s="276">
        <v>2</v>
      </c>
      <c r="BF23" s="275"/>
      <c r="BG23" s="276">
        <v>3</v>
      </c>
      <c r="BH23" s="275"/>
      <c r="BI23" s="276">
        <v>21</v>
      </c>
      <c r="BJ23" s="275"/>
      <c r="BK23" s="276">
        <v>3</v>
      </c>
      <c r="BL23" s="275"/>
      <c r="BM23" s="275"/>
      <c r="BN23" s="275"/>
      <c r="BO23" s="276">
        <v>4</v>
      </c>
      <c r="BP23" s="273">
        <v>124</v>
      </c>
      <c r="BQ23" s="277"/>
      <c r="BR23" s="218"/>
      <c r="BS23" s="275"/>
      <c r="BT23" s="276">
        <v>8</v>
      </c>
      <c r="BU23" s="275"/>
      <c r="BV23" s="275"/>
      <c r="BW23" s="276">
        <v>22</v>
      </c>
      <c r="BX23" s="275"/>
      <c r="BY23" s="275"/>
      <c r="BZ23" s="275"/>
      <c r="CA23" s="276">
        <v>21</v>
      </c>
      <c r="CB23" s="275"/>
      <c r="CC23" s="276">
        <v>28</v>
      </c>
      <c r="CD23" s="275"/>
      <c r="CE23" s="275"/>
      <c r="CF23" s="275"/>
      <c r="CG23" s="276">
        <v>17</v>
      </c>
      <c r="CH23" s="273">
        <v>96</v>
      </c>
      <c r="CI23" s="277"/>
      <c r="CK23" s="275"/>
      <c r="CL23" s="275"/>
      <c r="CM23" s="276">
        <v>16</v>
      </c>
      <c r="CN23" s="275"/>
      <c r="CO23" s="276">
        <v>6</v>
      </c>
      <c r="CP23" s="275"/>
      <c r="CQ23" s="276">
        <v>3</v>
      </c>
      <c r="CR23" s="275"/>
      <c r="CS23" s="276">
        <v>5</v>
      </c>
      <c r="CT23" s="275"/>
      <c r="CU23" s="276">
        <v>0</v>
      </c>
      <c r="CV23" s="275"/>
      <c r="CW23" s="276">
        <v>6</v>
      </c>
      <c r="CX23" s="273">
        <v>36</v>
      </c>
      <c r="CY23" s="277"/>
    </row>
    <row r="24" spans="1:104" ht="38.25">
      <c r="A24" s="188"/>
      <c r="C24" s="278" t="s">
        <v>1320</v>
      </c>
      <c r="D24" s="248" t="s">
        <v>1321</v>
      </c>
      <c r="E24" s="279" t="s">
        <v>1322</v>
      </c>
      <c r="F24" s="280"/>
      <c r="G24" s="236"/>
      <c r="H24" s="281"/>
      <c r="I24" s="281"/>
      <c r="J24" s="281"/>
      <c r="K24" s="281"/>
      <c r="L24" s="281"/>
      <c r="M24" s="281"/>
      <c r="N24" s="281"/>
      <c r="O24" s="281"/>
      <c r="P24" s="282"/>
      <c r="Q24" s="281"/>
      <c r="R24" s="281"/>
      <c r="S24" s="281"/>
      <c r="T24" s="282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2"/>
      <c r="AF24" s="281"/>
      <c r="AG24" s="281"/>
      <c r="AH24" s="281"/>
      <c r="AI24" s="281"/>
      <c r="AJ24" s="281"/>
      <c r="AK24" s="281"/>
      <c r="AL24" s="282"/>
      <c r="AM24" s="281"/>
      <c r="AN24" s="281"/>
      <c r="AO24" s="282"/>
      <c r="AP24" s="281"/>
      <c r="AQ24" s="282"/>
      <c r="AR24" s="281"/>
      <c r="AU24" s="281"/>
      <c r="AV24" s="281"/>
      <c r="AW24" s="281"/>
      <c r="AX24" s="281"/>
      <c r="AY24" s="281"/>
      <c r="AZ24" s="281"/>
      <c r="BA24" s="282"/>
      <c r="BB24" s="281"/>
      <c r="BC24" s="282"/>
      <c r="BD24" s="281"/>
      <c r="BE24" s="282"/>
      <c r="BF24" s="281"/>
      <c r="BG24" s="282"/>
      <c r="BH24" s="281"/>
      <c r="BI24" s="282"/>
      <c r="BJ24" s="281"/>
      <c r="BK24" s="282"/>
      <c r="BL24" s="281"/>
      <c r="BM24" s="281"/>
      <c r="BN24" s="281"/>
      <c r="BO24" s="282"/>
      <c r="BP24" s="281"/>
      <c r="BQ24" s="281"/>
      <c r="BR24" s="218"/>
      <c r="BS24" s="281"/>
      <c r="BT24" s="282"/>
      <c r="BU24" s="281"/>
      <c r="BV24" s="281"/>
      <c r="BW24" s="282"/>
      <c r="BX24" s="281"/>
      <c r="BY24" s="281"/>
      <c r="BZ24" s="281"/>
      <c r="CA24" s="282"/>
      <c r="CB24" s="281"/>
      <c r="CC24" s="282"/>
      <c r="CD24" s="281"/>
      <c r="CE24" s="281"/>
      <c r="CF24" s="281"/>
      <c r="CG24" s="282"/>
      <c r="CH24" s="281"/>
      <c r="CI24" s="281"/>
      <c r="CK24" s="281"/>
      <c r="CL24" s="281"/>
      <c r="CM24" s="282"/>
      <c r="CN24" s="281"/>
      <c r="CO24" s="282"/>
      <c r="CP24" s="281"/>
      <c r="CQ24" s="282"/>
      <c r="CR24" s="281"/>
      <c r="CS24" s="282"/>
      <c r="CT24" s="281"/>
      <c r="CU24" s="282"/>
      <c r="CV24" s="281"/>
      <c r="CW24" s="282"/>
      <c r="CX24" s="281"/>
      <c r="CY24" s="281"/>
    </row>
    <row r="25" spans="1:104">
      <c r="C25" s="278"/>
      <c r="E25" s="283"/>
      <c r="F25" s="284" t="s">
        <v>1323</v>
      </c>
      <c r="G25" s="285"/>
      <c r="H25" s="286" t="s">
        <v>1324</v>
      </c>
      <c r="I25" s="286" t="s">
        <v>1324</v>
      </c>
      <c r="J25" s="286" t="s">
        <v>1324</v>
      </c>
      <c r="K25" s="286" t="s">
        <v>1324</v>
      </c>
      <c r="L25" s="286" t="s">
        <v>1324</v>
      </c>
      <c r="M25" s="286" t="s">
        <v>1324</v>
      </c>
      <c r="N25" s="286" t="s">
        <v>1324</v>
      </c>
      <c r="O25" s="286" t="s">
        <v>1324</v>
      </c>
      <c r="P25" s="287" t="s">
        <v>1324</v>
      </c>
      <c r="Q25" s="286"/>
      <c r="R25" s="286"/>
      <c r="S25" s="286"/>
      <c r="T25" s="287" t="s">
        <v>1324</v>
      </c>
      <c r="U25" s="286"/>
      <c r="V25" s="286"/>
      <c r="W25" s="286"/>
      <c r="X25" s="286"/>
      <c r="Y25" s="286"/>
      <c r="Z25" s="286"/>
      <c r="AA25" s="286"/>
      <c r="AB25" s="286"/>
      <c r="AC25" s="286"/>
      <c r="AD25" s="286"/>
      <c r="AE25" s="287" t="s">
        <v>1324</v>
      </c>
      <c r="AF25" s="286"/>
      <c r="AG25" s="286"/>
      <c r="AH25" s="286"/>
      <c r="AI25" s="286"/>
      <c r="AJ25" s="286"/>
      <c r="AK25" s="286"/>
      <c r="AL25" s="287" t="s">
        <v>1324</v>
      </c>
      <c r="AM25" s="286"/>
      <c r="AN25" s="286"/>
      <c r="AO25" s="287" t="s">
        <v>1324</v>
      </c>
      <c r="AP25" s="286"/>
      <c r="AQ25" s="287" t="s">
        <v>1324</v>
      </c>
      <c r="AR25" s="286"/>
      <c r="AU25" s="286"/>
      <c r="AV25" s="286"/>
      <c r="AW25" s="286"/>
      <c r="AX25" s="286"/>
      <c r="AY25" s="286"/>
      <c r="AZ25" s="286"/>
      <c r="BA25" s="287" t="s">
        <v>1324</v>
      </c>
      <c r="BB25" s="286"/>
      <c r="BC25" s="287" t="s">
        <v>1324</v>
      </c>
      <c r="BD25" s="286"/>
      <c r="BE25" s="287" t="s">
        <v>1324</v>
      </c>
      <c r="BF25" s="286"/>
      <c r="BG25" s="287" t="s">
        <v>1324</v>
      </c>
      <c r="BH25" s="286"/>
      <c r="BI25" s="287" t="s">
        <v>1324</v>
      </c>
      <c r="BJ25" s="286"/>
      <c r="BK25" s="287" t="s">
        <v>1324</v>
      </c>
      <c r="BL25" s="286"/>
      <c r="BM25" s="286"/>
      <c r="BN25" s="286"/>
      <c r="BO25" s="287" t="s">
        <v>1324</v>
      </c>
      <c r="BP25" s="286"/>
      <c r="BQ25" s="286"/>
      <c r="BR25" s="218"/>
      <c r="BS25" s="286"/>
      <c r="BT25" s="287" t="s">
        <v>1325</v>
      </c>
      <c r="BU25" s="286"/>
      <c r="BV25" s="286"/>
      <c r="BW25" s="287" t="s">
        <v>1325</v>
      </c>
      <c r="BX25" s="286"/>
      <c r="BY25" s="286"/>
      <c r="BZ25" s="286"/>
      <c r="CA25" s="287" t="s">
        <v>1324</v>
      </c>
      <c r="CB25" s="286"/>
      <c r="CC25" s="287" t="s">
        <v>1324</v>
      </c>
      <c r="CD25" s="286"/>
      <c r="CE25" s="286"/>
      <c r="CF25" s="286"/>
      <c r="CG25" s="287" t="s">
        <v>1324</v>
      </c>
      <c r="CH25" s="286"/>
      <c r="CI25" s="286"/>
      <c r="CK25" s="286"/>
      <c r="CL25" s="286"/>
      <c r="CM25" s="287" t="s">
        <v>1324</v>
      </c>
      <c r="CN25" s="286"/>
      <c r="CO25" s="287" t="s">
        <v>1324</v>
      </c>
      <c r="CP25" s="286"/>
      <c r="CQ25" s="287" t="s">
        <v>1326</v>
      </c>
      <c r="CR25" s="286"/>
      <c r="CS25" s="287" t="s">
        <v>1326</v>
      </c>
      <c r="CT25" s="286"/>
      <c r="CU25" s="287" t="s">
        <v>1326</v>
      </c>
      <c r="CV25" s="286"/>
      <c r="CW25" s="287" t="s">
        <v>1326</v>
      </c>
      <c r="CX25" s="286"/>
      <c r="CY25" s="286"/>
    </row>
    <row r="26" spans="1:104" ht="12" customHeight="1">
      <c r="B26" s="288" t="s">
        <v>1454</v>
      </c>
      <c r="C26" s="288" t="s">
        <v>1327</v>
      </c>
      <c r="D26" s="185"/>
      <c r="E26" s="289"/>
      <c r="F26" s="290" t="s">
        <v>1327</v>
      </c>
      <c r="G26" s="236"/>
      <c r="H26" s="277"/>
      <c r="I26" s="277"/>
      <c r="J26" s="277"/>
      <c r="K26" s="277"/>
      <c r="L26" s="277"/>
      <c r="M26" s="277"/>
      <c r="N26" s="277"/>
      <c r="O26" s="277"/>
      <c r="P26" s="291">
        <v>6019.608733</v>
      </c>
      <c r="Q26" s="277"/>
      <c r="R26" s="277"/>
      <c r="S26" s="277"/>
      <c r="T26" s="291">
        <v>193.20848000000001</v>
      </c>
      <c r="U26" s="277"/>
      <c r="V26" s="277"/>
      <c r="W26" s="277"/>
      <c r="X26" s="277"/>
      <c r="Y26" s="277"/>
      <c r="Z26" s="277"/>
      <c r="AA26" s="277"/>
      <c r="AB26" s="277"/>
      <c r="AC26" s="277"/>
      <c r="AD26" s="277"/>
      <c r="AE26" s="291">
        <v>6334.3143929999997</v>
      </c>
      <c r="AF26" s="277"/>
      <c r="AG26" s="277"/>
      <c r="AH26" s="277"/>
      <c r="AI26" s="277"/>
      <c r="AJ26" s="277"/>
      <c r="AK26" s="277"/>
      <c r="AL26" s="291">
        <v>1431.8802929999999</v>
      </c>
      <c r="AM26" s="277"/>
      <c r="AN26" s="277"/>
      <c r="AO26" s="291">
        <v>2134.9122779999998</v>
      </c>
      <c r="AP26" s="277"/>
      <c r="AQ26" s="291">
        <v>128.29527999999999</v>
      </c>
      <c r="AR26" s="277">
        <v>16242.219456999999</v>
      </c>
      <c r="AU26" s="277"/>
      <c r="AV26" s="277"/>
      <c r="AW26" s="277"/>
      <c r="AX26" s="277"/>
      <c r="AY26" s="277"/>
      <c r="AZ26" s="277"/>
      <c r="BA26" s="291">
        <v>1335.5257099999999</v>
      </c>
      <c r="BB26" s="277"/>
      <c r="BC26" s="291">
        <v>25.928000000000001</v>
      </c>
      <c r="BD26" s="277"/>
      <c r="BE26" s="291">
        <v>17.562999999999999</v>
      </c>
      <c r="BF26" s="277"/>
      <c r="BG26" s="291">
        <v>55.567999999999998</v>
      </c>
      <c r="BH26" s="277"/>
      <c r="BI26" s="291">
        <v>591.44999999999993</v>
      </c>
      <c r="BJ26" s="277"/>
      <c r="BK26" s="291">
        <v>111.43487999999999</v>
      </c>
      <c r="BL26" s="277"/>
      <c r="BM26" s="277"/>
      <c r="BN26" s="277"/>
      <c r="BO26" s="291">
        <v>133.81811999999999</v>
      </c>
      <c r="BP26" s="277">
        <v>2271.2877099999996</v>
      </c>
      <c r="BQ26" s="277"/>
      <c r="BR26" s="218"/>
      <c r="BS26" s="277"/>
      <c r="BT26" s="291">
        <v>163.75800000000001</v>
      </c>
      <c r="BU26" s="277"/>
      <c r="BV26" s="277"/>
      <c r="BW26" s="291">
        <v>603.66999999999996</v>
      </c>
      <c r="BX26" s="277"/>
      <c r="BY26" s="277"/>
      <c r="BZ26" s="277"/>
      <c r="CA26" s="291">
        <v>497.03800000000001</v>
      </c>
      <c r="CB26" s="277"/>
      <c r="CC26" s="291">
        <v>1174.5129999999999</v>
      </c>
      <c r="CD26" s="277"/>
      <c r="CE26" s="277"/>
      <c r="CF26" s="277"/>
      <c r="CG26" s="291">
        <v>640.72299999999996</v>
      </c>
      <c r="CH26" s="277">
        <v>3079.7019999999998</v>
      </c>
      <c r="CI26" s="277"/>
      <c r="CK26" s="277"/>
      <c r="CL26" s="277"/>
      <c r="CM26" s="291">
        <v>858.27101000000016</v>
      </c>
      <c r="CN26" s="277"/>
      <c r="CO26" s="291">
        <v>117.05820000000003</v>
      </c>
      <c r="CP26" s="277"/>
      <c r="CQ26" s="291">
        <v>0</v>
      </c>
      <c r="CR26" s="277"/>
      <c r="CS26" s="291">
        <v>0</v>
      </c>
      <c r="CT26" s="277"/>
      <c r="CU26" s="291">
        <v>0</v>
      </c>
      <c r="CV26" s="277"/>
      <c r="CW26" s="291">
        <v>0</v>
      </c>
      <c r="CX26" s="277">
        <v>975.32921000000022</v>
      </c>
      <c r="CY26" s="277"/>
    </row>
    <row r="27" spans="1:104" ht="12" customHeight="1" outlineLevel="1">
      <c r="B27" s="288"/>
      <c r="C27" s="288"/>
      <c r="D27" s="185"/>
      <c r="E27" s="289"/>
      <c r="F27" s="292" t="s">
        <v>1328</v>
      </c>
      <c r="G27" s="236"/>
      <c r="H27" s="293"/>
      <c r="I27" s="293"/>
      <c r="J27" s="293"/>
      <c r="K27" s="293"/>
      <c r="L27" s="293"/>
      <c r="M27" s="293"/>
      <c r="N27" s="293"/>
      <c r="O27" s="293"/>
      <c r="P27" s="294">
        <v>3.5223999999999669</v>
      </c>
      <c r="Q27" s="293"/>
      <c r="R27" s="293"/>
      <c r="S27" s="293"/>
      <c r="T27" s="294">
        <v>3.5224000000000006</v>
      </c>
      <c r="U27" s="293"/>
      <c r="V27" s="293"/>
      <c r="W27" s="293"/>
      <c r="X27" s="293"/>
      <c r="Y27" s="293"/>
      <c r="Z27" s="293"/>
      <c r="AA27" s="293"/>
      <c r="AB27" s="293"/>
      <c r="AC27" s="293"/>
      <c r="AD27" s="293"/>
      <c r="AE27" s="294">
        <v>3.5223999999999682</v>
      </c>
      <c r="AF27" s="293"/>
      <c r="AG27" s="293"/>
      <c r="AH27" s="293"/>
      <c r="AI27" s="293"/>
      <c r="AJ27" s="293"/>
      <c r="AK27" s="293"/>
      <c r="AL27" s="294">
        <v>3.5223997538899012</v>
      </c>
      <c r="AM27" s="293"/>
      <c r="AN27" s="293"/>
      <c r="AO27" s="294">
        <v>3.5223999999999065</v>
      </c>
      <c r="AP27" s="293"/>
      <c r="AQ27" s="294">
        <v>3.5224000000000006</v>
      </c>
      <c r="AR27" s="293">
        <v>3.522399978303409</v>
      </c>
      <c r="AU27" s="295"/>
      <c r="AV27" s="295"/>
      <c r="AW27" s="295"/>
      <c r="AX27" s="295"/>
      <c r="AY27" s="295"/>
      <c r="AZ27" s="295"/>
      <c r="BA27" s="296">
        <v>3.5223994722677419</v>
      </c>
      <c r="BB27" s="295"/>
      <c r="BC27" s="296">
        <v>3.5223999999999998</v>
      </c>
      <c r="BD27" s="295"/>
      <c r="BE27" s="296">
        <v>3.5224000000000002</v>
      </c>
      <c r="BF27" s="295"/>
      <c r="BG27" s="296">
        <v>3.5224000000000006</v>
      </c>
      <c r="BH27" s="295"/>
      <c r="BI27" s="296">
        <v>3.5223999999999998</v>
      </c>
      <c r="BJ27" s="295"/>
      <c r="BK27" s="296">
        <v>3.5224000000000006</v>
      </c>
      <c r="BL27" s="295"/>
      <c r="BM27" s="295"/>
      <c r="BN27" s="295"/>
      <c r="BO27" s="296">
        <v>3.346200000000001</v>
      </c>
      <c r="BP27" s="295">
        <v>3.5120184629361648</v>
      </c>
      <c r="BQ27" s="295"/>
      <c r="BR27" s="218"/>
      <c r="BS27" s="295"/>
      <c r="BT27" s="296">
        <v>3.3461999999999996</v>
      </c>
      <c r="BU27" s="295"/>
      <c r="BV27" s="295"/>
      <c r="BW27" s="296">
        <v>3.3462000000000001</v>
      </c>
      <c r="BX27" s="295"/>
      <c r="BY27" s="295"/>
      <c r="BZ27" s="295"/>
      <c r="CA27" s="296">
        <v>3.5224000000000002</v>
      </c>
      <c r="CB27" s="295"/>
      <c r="CC27" s="296">
        <v>3.5224000000000011</v>
      </c>
      <c r="CD27" s="295"/>
      <c r="CE27" s="295"/>
      <c r="CF27" s="295"/>
      <c r="CG27" s="296">
        <v>3.5223999999999993</v>
      </c>
      <c r="CH27" s="295">
        <v>3.4784928902861387</v>
      </c>
      <c r="CI27" s="295"/>
      <c r="CK27" s="295"/>
      <c r="CL27" s="295"/>
      <c r="CM27" s="296">
        <v>3.5223999999999993</v>
      </c>
      <c r="CN27" s="295"/>
      <c r="CO27" s="296">
        <v>3.5223999999999989</v>
      </c>
      <c r="CP27" s="295"/>
      <c r="CQ27" s="296">
        <v>0</v>
      </c>
      <c r="CR27" s="295"/>
      <c r="CS27" s="296">
        <v>0</v>
      </c>
      <c r="CT27" s="295"/>
      <c r="CU27" s="296">
        <v>0</v>
      </c>
      <c r="CV27" s="295"/>
      <c r="CW27" s="296">
        <v>0</v>
      </c>
      <c r="CX27" s="295">
        <v>3.5223999999999993</v>
      </c>
      <c r="CY27" s="295"/>
    </row>
    <row r="28" spans="1:104" ht="15" outlineLevel="2">
      <c r="B28" s="288" t="s">
        <v>1451</v>
      </c>
      <c r="C28" s="288" t="s">
        <v>1329</v>
      </c>
      <c r="E28" s="289"/>
      <c r="F28" s="297" t="s">
        <v>1330</v>
      </c>
      <c r="G28" s="298"/>
      <c r="H28" s="299"/>
      <c r="I28" s="299"/>
      <c r="J28" s="299"/>
      <c r="K28" s="299"/>
      <c r="L28" s="299"/>
      <c r="M28" s="299"/>
      <c r="N28" s="299"/>
      <c r="O28" s="299"/>
      <c r="P28" s="300">
        <v>0</v>
      </c>
      <c r="Q28" s="299"/>
      <c r="R28" s="299"/>
      <c r="S28" s="299"/>
      <c r="T28" s="300">
        <v>0</v>
      </c>
      <c r="U28" s="299"/>
      <c r="V28" s="299"/>
      <c r="W28" s="299"/>
      <c r="X28" s="299"/>
      <c r="Y28" s="299"/>
      <c r="Z28" s="299"/>
      <c r="AA28" s="299"/>
      <c r="AB28" s="299"/>
      <c r="AC28" s="299"/>
      <c r="AD28" s="299"/>
      <c r="AE28" s="300">
        <v>0</v>
      </c>
      <c r="AF28" s="299"/>
      <c r="AG28" s="299"/>
      <c r="AH28" s="299"/>
      <c r="AI28" s="299"/>
      <c r="AJ28" s="299"/>
      <c r="AK28" s="299"/>
      <c r="AL28" s="300">
        <v>0</v>
      </c>
      <c r="AM28" s="299"/>
      <c r="AN28" s="299"/>
      <c r="AO28" s="300">
        <v>0</v>
      </c>
      <c r="AP28" s="299"/>
      <c r="AQ28" s="300">
        <v>0</v>
      </c>
      <c r="AR28" s="299">
        <v>0</v>
      </c>
      <c r="AU28" s="301"/>
      <c r="AV28" s="301"/>
      <c r="AW28" s="301"/>
      <c r="AX28" s="301"/>
      <c r="AY28" s="301"/>
      <c r="AZ28" s="301"/>
      <c r="BA28" s="302">
        <v>0</v>
      </c>
      <c r="BB28" s="301"/>
      <c r="BC28" s="302">
        <v>0</v>
      </c>
      <c r="BD28" s="301"/>
      <c r="BE28" s="302">
        <v>0</v>
      </c>
      <c r="BF28" s="301"/>
      <c r="BG28" s="302">
        <v>0</v>
      </c>
      <c r="BH28" s="301"/>
      <c r="BI28" s="302">
        <v>0</v>
      </c>
      <c r="BJ28" s="301"/>
      <c r="BK28" s="302">
        <v>0</v>
      </c>
      <c r="BL28" s="301"/>
      <c r="BM28" s="301"/>
      <c r="BN28" s="301"/>
      <c r="BO28" s="302">
        <v>0</v>
      </c>
      <c r="BP28" s="301">
        <v>0</v>
      </c>
      <c r="BQ28" s="303"/>
      <c r="BR28" s="218"/>
      <c r="BS28" s="301"/>
      <c r="BT28" s="302">
        <v>0</v>
      </c>
      <c r="BU28" s="301"/>
      <c r="BV28" s="301"/>
      <c r="BW28" s="302">
        <v>0</v>
      </c>
      <c r="BX28" s="301"/>
      <c r="BY28" s="301"/>
      <c r="BZ28" s="301"/>
      <c r="CA28" s="302">
        <v>0</v>
      </c>
      <c r="CB28" s="301"/>
      <c r="CC28" s="302">
        <v>0</v>
      </c>
      <c r="CD28" s="301"/>
      <c r="CE28" s="301"/>
      <c r="CF28" s="301"/>
      <c r="CG28" s="302">
        <v>0</v>
      </c>
      <c r="CH28" s="301">
        <v>0</v>
      </c>
      <c r="CI28" s="303"/>
      <c r="CK28" s="301"/>
      <c r="CL28" s="301"/>
      <c r="CM28" s="302">
        <v>0</v>
      </c>
      <c r="CN28" s="301"/>
      <c r="CO28" s="302">
        <v>0</v>
      </c>
      <c r="CP28" s="301"/>
      <c r="CQ28" s="302">
        <v>0</v>
      </c>
      <c r="CR28" s="301"/>
      <c r="CS28" s="302">
        <v>0</v>
      </c>
      <c r="CT28" s="301"/>
      <c r="CU28" s="302">
        <v>0</v>
      </c>
      <c r="CV28" s="301"/>
      <c r="CW28" s="302">
        <v>0</v>
      </c>
      <c r="CX28" s="301">
        <v>0</v>
      </c>
      <c r="CY28" s="303"/>
    </row>
    <row r="29" spans="1:104" ht="15" outlineLevel="2">
      <c r="B29" s="288" t="s">
        <v>1454</v>
      </c>
      <c r="C29" s="288" t="s">
        <v>1331</v>
      </c>
      <c r="E29" s="289"/>
      <c r="F29" s="304" t="s">
        <v>27</v>
      </c>
      <c r="G29" s="298"/>
      <c r="H29" s="305">
        <f t="shared" ref="H29:O30" si="0">$P29*H$19</f>
        <v>5209.0680785813829</v>
      </c>
      <c r="I29" s="305">
        <f t="shared" si="0"/>
        <v>2026.4535846882575</v>
      </c>
      <c r="J29" s="305">
        <f t="shared" si="0"/>
        <v>124.52744374800844</v>
      </c>
      <c r="K29" s="305">
        <f t="shared" si="0"/>
        <v>424.46098391917462</v>
      </c>
      <c r="L29" s="305">
        <f t="shared" si="0"/>
        <v>2536.3976199260355</v>
      </c>
      <c r="M29" s="305">
        <f t="shared" si="0"/>
        <v>8906.4284654782168</v>
      </c>
      <c r="N29" s="305">
        <f t="shared" si="0"/>
        <v>457.16103923908969</v>
      </c>
      <c r="O29" s="305">
        <f t="shared" si="0"/>
        <v>1518.9725855388244</v>
      </c>
      <c r="P29" s="306">
        <v>21203.469801119001</v>
      </c>
      <c r="Q29" s="305">
        <f t="shared" ref="Q29:S30" si="1">$T29*Q$19</f>
        <v>490.28271074446889</v>
      </c>
      <c r="R29" s="305">
        <f t="shared" si="1"/>
        <v>179.07103561821447</v>
      </c>
      <c r="S29" s="305">
        <f t="shared" si="1"/>
        <v>11.203803589316314</v>
      </c>
      <c r="T29" s="306">
        <v>680.55754995200016</v>
      </c>
      <c r="U29" s="305">
        <f t="shared" ref="U29:AD30" si="2">$AE29*U$19</f>
        <v>8771.0369269528419</v>
      </c>
      <c r="V29" s="305">
        <f t="shared" si="2"/>
        <v>497.0783594211407</v>
      </c>
      <c r="W29" s="305">
        <f t="shared" si="2"/>
        <v>147.19228735132486</v>
      </c>
      <c r="X29" s="305">
        <f t="shared" si="2"/>
        <v>8056.20165310834</v>
      </c>
      <c r="Y29" s="305">
        <f t="shared" si="2"/>
        <v>305.40623602830698</v>
      </c>
      <c r="Z29" s="305">
        <f t="shared" si="2"/>
        <v>195.39997880347619</v>
      </c>
      <c r="AA29" s="305">
        <f t="shared" si="2"/>
        <v>3898.9313290399286</v>
      </c>
      <c r="AB29" s="305">
        <f t="shared" si="2"/>
        <v>305.66382164485213</v>
      </c>
      <c r="AC29" s="305">
        <f t="shared" si="2"/>
        <v>0</v>
      </c>
      <c r="AD29" s="305">
        <f t="shared" si="2"/>
        <v>135.07842555278464</v>
      </c>
      <c r="AE29" s="306">
        <v>22311.989017902997</v>
      </c>
      <c r="AF29" s="305">
        <f t="shared" ref="AF29:AK30" si="3">$AL29*AF$19</f>
        <v>2668.0120594364098</v>
      </c>
      <c r="AG29" s="305">
        <f t="shared" si="3"/>
        <v>1797.0523956578443</v>
      </c>
      <c r="AH29" s="305">
        <f t="shared" si="3"/>
        <v>110.30565946772892</v>
      </c>
      <c r="AI29" s="305">
        <f t="shared" si="3"/>
        <v>246.44520383039932</v>
      </c>
      <c r="AJ29" s="305">
        <f t="shared" si="3"/>
        <v>102.75299140568387</v>
      </c>
      <c r="AK29" s="305">
        <f t="shared" si="3"/>
        <v>119.086481864934</v>
      </c>
      <c r="AL29" s="306">
        <v>5043.6547916629997</v>
      </c>
      <c r="AM29" s="305">
        <f>$AO29*AM$19</f>
        <v>7029.574982684645</v>
      </c>
      <c r="AN29" s="305">
        <f>$AO29*AN$19</f>
        <v>490.44002534235386</v>
      </c>
      <c r="AO29" s="306">
        <v>7520.0150080269996</v>
      </c>
      <c r="AP29" s="305">
        <f>$AQ29*AP$19</f>
        <v>451.90729427200006</v>
      </c>
      <c r="AQ29" s="306">
        <v>451.90729427200006</v>
      </c>
      <c r="AR29" s="305">
        <v>57211.593462936005</v>
      </c>
      <c r="AU29" s="307">
        <f t="shared" ref="AU29:AZ30" si="4">$BA29*AU$19</f>
        <v>1231.8977477879746</v>
      </c>
      <c r="AV29" s="307">
        <f t="shared" si="4"/>
        <v>12.283026825249145</v>
      </c>
      <c r="AW29" s="307">
        <f t="shared" si="4"/>
        <v>627.25599872735654</v>
      </c>
      <c r="AX29" s="307">
        <f t="shared" si="4"/>
        <v>967.16474528713843</v>
      </c>
      <c r="AY29" s="307">
        <f t="shared" si="4"/>
        <v>1097.8941866034727</v>
      </c>
      <c r="AZ29" s="307">
        <f t="shared" si="4"/>
        <v>767.75935087280993</v>
      </c>
      <c r="BA29" s="308">
        <v>4704.2550561040007</v>
      </c>
      <c r="BB29" s="307">
        <f>$BC29*BB$19</f>
        <v>91.328787199999994</v>
      </c>
      <c r="BC29" s="308">
        <v>91.328787199999994</v>
      </c>
      <c r="BD29" s="307">
        <f>$BE29*BD$19</f>
        <v>61.863911199999997</v>
      </c>
      <c r="BE29" s="308">
        <v>61.863911199999997</v>
      </c>
      <c r="BF29" s="307">
        <f>$BG29*BF$19</f>
        <v>195.73272320000004</v>
      </c>
      <c r="BG29" s="308">
        <v>195.73272320000004</v>
      </c>
      <c r="BH29" s="307">
        <f>$BI29*BH$19</f>
        <v>2083.3234799999996</v>
      </c>
      <c r="BI29" s="308">
        <v>2083.3234799999996</v>
      </c>
      <c r="BJ29" s="307">
        <f>$BK29*BJ$19</f>
        <v>392.51822131200004</v>
      </c>
      <c r="BK29" s="308">
        <v>392.51822131200004</v>
      </c>
      <c r="BL29" s="307">
        <f t="shared" ref="BL29:BN30" si="5">$BO29*BL$19</f>
        <v>147.58640426307232</v>
      </c>
      <c r="BM29" s="307">
        <f t="shared" si="5"/>
        <v>221.89580668664988</v>
      </c>
      <c r="BN29" s="307">
        <f t="shared" si="5"/>
        <v>78.299982194278073</v>
      </c>
      <c r="BO29" s="308">
        <v>447.78219314400008</v>
      </c>
      <c r="BP29" s="307">
        <v>7976.8043721600006</v>
      </c>
      <c r="BQ29" s="303"/>
      <c r="BR29" s="218"/>
      <c r="BS29" s="307">
        <f>$BT29*BS$19</f>
        <v>547.96701959999996</v>
      </c>
      <c r="BT29" s="308">
        <v>547.96701959999996</v>
      </c>
      <c r="BU29" s="307">
        <f>$BW29*BU$19</f>
        <v>1947.4205025958888</v>
      </c>
      <c r="BV29" s="307">
        <f>$BW29*BV$19</f>
        <v>72.580051404111359</v>
      </c>
      <c r="BW29" s="308">
        <v>2020.000554</v>
      </c>
      <c r="BX29" s="307">
        <f t="shared" ref="BX29:BZ30" si="6">$CA29*BX$19</f>
        <v>1025.1262355749639</v>
      </c>
      <c r="BY29" s="307">
        <f t="shared" si="6"/>
        <v>76.371588259879914</v>
      </c>
      <c r="BZ29" s="307">
        <f t="shared" si="6"/>
        <v>649.26882736515597</v>
      </c>
      <c r="CA29" s="308">
        <v>1750.7666512000001</v>
      </c>
      <c r="CB29" s="307">
        <f>$CC29*CB$19</f>
        <v>4137.1045912000009</v>
      </c>
      <c r="CC29" s="308">
        <v>4137.1045912000009</v>
      </c>
      <c r="CD29" s="307">
        <f t="shared" ref="CD29:CF30" si="7">$CG29*CD$19</f>
        <v>1608.192936542079</v>
      </c>
      <c r="CE29" s="307">
        <f t="shared" si="7"/>
        <v>443.96571715278054</v>
      </c>
      <c r="CF29" s="307">
        <f t="shared" si="7"/>
        <v>204.72404150513881</v>
      </c>
      <c r="CG29" s="308">
        <v>2256.8826951999995</v>
      </c>
      <c r="CH29" s="307">
        <v>10712.721511200001</v>
      </c>
      <c r="CI29" s="303"/>
      <c r="CK29" s="307">
        <f>$CM29*CK$19</f>
        <v>1410.4913779783835</v>
      </c>
      <c r="CL29" s="307">
        <f>$CM29*CL$19</f>
        <v>1612.6816012653248</v>
      </c>
      <c r="CM29" s="308">
        <v>3023.1738056240001</v>
      </c>
      <c r="CN29" s="307">
        <f>$CO29*CN$19</f>
        <v>412.32580367999998</v>
      </c>
      <c r="CO29" s="308">
        <v>412.32580367999998</v>
      </c>
      <c r="CP29" s="307">
        <f>$CQ29*CP$19</f>
        <v>0</v>
      </c>
      <c r="CQ29" s="308">
        <v>0</v>
      </c>
      <c r="CR29" s="307">
        <f>$CS29*CR$19</f>
        <v>0</v>
      </c>
      <c r="CS29" s="308">
        <v>0</v>
      </c>
      <c r="CT29" s="307">
        <v>0</v>
      </c>
      <c r="CU29" s="308">
        <v>0</v>
      </c>
      <c r="CV29" s="307">
        <f>$CW29*CV$19</f>
        <v>0</v>
      </c>
      <c r="CW29" s="308">
        <v>0</v>
      </c>
      <c r="CX29" s="307">
        <v>3435.4996093039999</v>
      </c>
      <c r="CY29" s="303"/>
    </row>
    <row r="30" spans="1:104" ht="15" customHeight="1" outlineLevel="2">
      <c r="B30" s="288" t="s">
        <v>1456</v>
      </c>
      <c r="C30" s="288" t="s">
        <v>1331</v>
      </c>
      <c r="E30" s="289"/>
      <c r="F30" s="309" t="s">
        <v>28</v>
      </c>
      <c r="G30" s="310"/>
      <c r="H30" s="311">
        <f t="shared" si="0"/>
        <v>299.83091755343816</v>
      </c>
      <c r="I30" s="311">
        <f t="shared" si="0"/>
        <v>116.64148529270204</v>
      </c>
      <c r="J30" s="311">
        <f t="shared" si="0"/>
        <v>7.1677269631150189</v>
      </c>
      <c r="K30" s="311">
        <f t="shared" si="0"/>
        <v>24.43172643441061</v>
      </c>
      <c r="L30" s="311">
        <f t="shared" si="0"/>
        <v>145.99356625607564</v>
      </c>
      <c r="M30" s="311">
        <f t="shared" si="0"/>
        <v>512.64882290723415</v>
      </c>
      <c r="N30" s="311">
        <f t="shared" si="0"/>
        <v>26.313922528359232</v>
      </c>
      <c r="O30" s="311">
        <f t="shared" si="0"/>
        <v>87.431175248655094</v>
      </c>
      <c r="P30" s="312">
        <v>1220.4593431839905</v>
      </c>
      <c r="Q30" s="311">
        <f t="shared" si="1"/>
        <v>32.641377118935239</v>
      </c>
      <c r="R30" s="311">
        <f t="shared" si="1"/>
        <v>11.921948452591572</v>
      </c>
      <c r="S30" s="311">
        <f t="shared" si="1"/>
        <v>0.74591163447319198</v>
      </c>
      <c r="T30" s="312">
        <v>45.309237206000034</v>
      </c>
      <c r="U30" s="311">
        <f t="shared" si="2"/>
        <v>498.20353569537036</v>
      </c>
      <c r="V30" s="311">
        <f t="shared" si="2"/>
        <v>28.234540367771718</v>
      </c>
      <c r="W30" s="311">
        <f t="shared" si="2"/>
        <v>8.3606668853685076</v>
      </c>
      <c r="X30" s="311">
        <f t="shared" si="2"/>
        <v>457.60018812825166</v>
      </c>
      <c r="Y30" s="311">
        <f t="shared" si="2"/>
        <v>17.347374988829007</v>
      </c>
      <c r="Z30" s="311">
        <f t="shared" si="2"/>
        <v>11.098911237683319</v>
      </c>
      <c r="AA30" s="311">
        <f t="shared" si="2"/>
        <v>221.46313939143056</v>
      </c>
      <c r="AB30" s="311">
        <f t="shared" si="2"/>
        <v>17.362006105534569</v>
      </c>
      <c r="AC30" s="311">
        <f t="shared" si="2"/>
        <v>0</v>
      </c>
      <c r="AD30" s="311">
        <f t="shared" si="2"/>
        <v>7.6725876047520813</v>
      </c>
      <c r="AE30" s="312">
        <v>1267.3429504049918</v>
      </c>
      <c r="AF30" s="311">
        <f t="shared" si="3"/>
        <v>132.34398785695279</v>
      </c>
      <c r="AG30" s="311">
        <f t="shared" si="3"/>
        <v>89.140931574158117</v>
      </c>
      <c r="AH30" s="311">
        <f t="shared" si="3"/>
        <v>5.4715985280194062</v>
      </c>
      <c r="AI30" s="311">
        <f t="shared" si="3"/>
        <v>12.224660285090437</v>
      </c>
      <c r="AJ30" s="311">
        <f t="shared" si="3"/>
        <v>5.0969562145577392</v>
      </c>
      <c r="AK30" s="311">
        <f t="shared" si="3"/>
        <v>5.907162171219448</v>
      </c>
      <c r="AL30" s="312">
        <v>250.18529662999791</v>
      </c>
      <c r="AM30" s="311">
        <f>$AO30*AM$19</f>
        <v>501.23635569732915</v>
      </c>
      <c r="AN30" s="311">
        <f>$AO30*AN$19</f>
        <v>34.970303552665762</v>
      </c>
      <c r="AO30" s="312">
        <v>536.20665924999491</v>
      </c>
      <c r="AP30" s="311">
        <f>$AQ30*AP$19</f>
        <v>29.523065895000009</v>
      </c>
      <c r="AQ30" s="312">
        <v>29.523065895000009</v>
      </c>
      <c r="AR30" s="311">
        <v>3349.0265525699751</v>
      </c>
      <c r="AU30" s="313">
        <f t="shared" si="4"/>
        <v>399.36114767987073</v>
      </c>
      <c r="AV30" s="313">
        <f t="shared" si="4"/>
        <v>3.9819568618599455</v>
      </c>
      <c r="AW30" s="313">
        <f t="shared" si="4"/>
        <v>203.34615920083266</v>
      </c>
      <c r="AX30" s="313">
        <f t="shared" si="4"/>
        <v>313.53902819202142</v>
      </c>
      <c r="AY30" s="313">
        <f t="shared" si="4"/>
        <v>355.91937981892067</v>
      </c>
      <c r="AZ30" s="313">
        <f t="shared" si="4"/>
        <v>248.89505322749403</v>
      </c>
      <c r="BA30" s="314">
        <v>1525.0427249809993</v>
      </c>
      <c r="BB30" s="313">
        <f>$BC30*BB$19</f>
        <v>47.805990778000023</v>
      </c>
      <c r="BC30" s="314">
        <v>47.805990778000023</v>
      </c>
      <c r="BD30" s="313">
        <f>$BE30*BD$19</f>
        <v>38.376400634000014</v>
      </c>
      <c r="BE30" s="314">
        <v>38.376400634000014</v>
      </c>
      <c r="BF30" s="313">
        <f>$BG30*BF$19</f>
        <v>23.797411273000009</v>
      </c>
      <c r="BG30" s="314">
        <v>23.797411273000009</v>
      </c>
      <c r="BH30" s="313">
        <f>$BI30*BH$19</f>
        <v>170.24885091499971</v>
      </c>
      <c r="BI30" s="314">
        <v>170.24885091499971</v>
      </c>
      <c r="BJ30" s="313">
        <f>$BK30*BJ$19</f>
        <v>21.317992926000002</v>
      </c>
      <c r="BK30" s="314">
        <v>21.317992926000002</v>
      </c>
      <c r="BL30" s="313">
        <f t="shared" si="5"/>
        <v>14.93048208855398</v>
      </c>
      <c r="BM30" s="313">
        <f t="shared" si="5"/>
        <v>22.447944197860053</v>
      </c>
      <c r="BN30" s="313">
        <f t="shared" si="5"/>
        <v>7.9211665025860016</v>
      </c>
      <c r="BO30" s="314">
        <v>45.299592789000016</v>
      </c>
      <c r="BP30" s="313">
        <v>1871.8889642959991</v>
      </c>
      <c r="BQ30" s="303"/>
      <c r="BR30" s="218"/>
      <c r="BS30" s="313">
        <f>$BT30*BS$19</f>
        <v>91.264650916999983</v>
      </c>
      <c r="BT30" s="314">
        <v>91.264650916999983</v>
      </c>
      <c r="BU30" s="313">
        <f>$BW30*BU$19</f>
        <v>146.3968138082339</v>
      </c>
      <c r="BV30" s="313">
        <f>$BW30*BV$19</f>
        <v>5.4561858917661006</v>
      </c>
      <c r="BW30" s="314">
        <v>151.8529997</v>
      </c>
      <c r="BX30" s="313">
        <f t="shared" si="6"/>
        <v>85.427444080187925</v>
      </c>
      <c r="BY30" s="313">
        <f t="shared" si="6"/>
        <v>6.3643182263565574</v>
      </c>
      <c r="BZ30" s="313">
        <f t="shared" si="6"/>
        <v>54.105898881455431</v>
      </c>
      <c r="CA30" s="314">
        <v>145.89766118799994</v>
      </c>
      <c r="CB30" s="313">
        <f>$CC30*CB$19</f>
        <v>204.39342242199945</v>
      </c>
      <c r="CC30" s="314">
        <v>204.39342242199945</v>
      </c>
      <c r="CD30" s="313">
        <f t="shared" si="7"/>
        <v>90.767737870266416</v>
      </c>
      <c r="CE30" s="313">
        <f t="shared" si="7"/>
        <v>25.057791837188571</v>
      </c>
      <c r="CF30" s="313">
        <f t="shared" si="7"/>
        <v>11.554794025544936</v>
      </c>
      <c r="CG30" s="314">
        <v>127.38032373299998</v>
      </c>
      <c r="CH30" s="313">
        <v>720.78905795999924</v>
      </c>
      <c r="CI30" s="303"/>
      <c r="CK30" s="313">
        <f>$CM30*CK$19</f>
        <v>29.322390877544596</v>
      </c>
      <c r="CL30" s="313">
        <f>$CM30*CL$19</f>
        <v>33.525678364019804</v>
      </c>
      <c r="CM30" s="314">
        <v>62.848086421000097</v>
      </c>
      <c r="CN30" s="313">
        <f>$CO30*CN$19</f>
        <v>46.383501267000049</v>
      </c>
      <c r="CO30" s="314">
        <v>46.383501267000049</v>
      </c>
      <c r="CP30" s="313">
        <f>$CQ30*CP$19</f>
        <v>56.549858271000048</v>
      </c>
      <c r="CQ30" s="314">
        <v>56.549858271000048</v>
      </c>
      <c r="CR30" s="313">
        <f>$CS30*CR$19</f>
        <v>83.183201455000059</v>
      </c>
      <c r="CS30" s="314">
        <v>83.183201455000059</v>
      </c>
      <c r="CT30" s="313">
        <v>2.4358128999999999E-2</v>
      </c>
      <c r="CU30" s="314">
        <v>2.4358128999999999E-2</v>
      </c>
      <c r="CV30" s="313">
        <f>$CW30*CV$19</f>
        <v>63.802829418000044</v>
      </c>
      <c r="CW30" s="314">
        <v>63.802829418000044</v>
      </c>
      <c r="CX30" s="313">
        <v>312.79183496100029</v>
      </c>
      <c r="CY30" s="303"/>
    </row>
    <row r="31" spans="1:104" ht="17.100000000000001" customHeight="1" outlineLevel="1">
      <c r="B31" s="278"/>
      <c r="C31" s="288"/>
      <c r="D31" s="185"/>
      <c r="E31" s="289"/>
      <c r="F31" s="315" t="s">
        <v>1332</v>
      </c>
      <c r="G31" s="236"/>
      <c r="H31" s="277">
        <f t="shared" ref="H31:O31" si="8">SUM(H28:H30)</f>
        <v>5508.8989961348207</v>
      </c>
      <c r="I31" s="277">
        <f t="shared" si="8"/>
        <v>2143.0950699809596</v>
      </c>
      <c r="J31" s="277">
        <f t="shared" si="8"/>
        <v>131.69517071112347</v>
      </c>
      <c r="K31" s="277">
        <f t="shared" si="8"/>
        <v>448.89271035358524</v>
      </c>
      <c r="L31" s="277">
        <f t="shared" si="8"/>
        <v>2682.3911861821111</v>
      </c>
      <c r="M31" s="277">
        <f t="shared" si="8"/>
        <v>9419.0772883854515</v>
      </c>
      <c r="N31" s="277">
        <f t="shared" si="8"/>
        <v>483.47496176744892</v>
      </c>
      <c r="O31" s="277">
        <f t="shared" si="8"/>
        <v>1606.4037607874795</v>
      </c>
      <c r="P31" s="291">
        <v>22423.929144302991</v>
      </c>
      <c r="Q31" s="277">
        <f>SUM(Q28:Q30)</f>
        <v>522.92408786340411</v>
      </c>
      <c r="R31" s="277">
        <f>SUM(R28:R30)</f>
        <v>190.99298407080605</v>
      </c>
      <c r="S31" s="277">
        <f>SUM(S28:S30)</f>
        <v>11.949715223789505</v>
      </c>
      <c r="T31" s="291">
        <v>725.86678715800019</v>
      </c>
      <c r="U31" s="277">
        <f t="shared" ref="U31:AD31" si="9">SUM(U28:U30)</f>
        <v>9269.240462648213</v>
      </c>
      <c r="V31" s="277">
        <f t="shared" si="9"/>
        <v>525.31289978891243</v>
      </c>
      <c r="W31" s="277">
        <f t="shared" si="9"/>
        <v>155.55295423669338</v>
      </c>
      <c r="X31" s="277">
        <f t="shared" si="9"/>
        <v>8513.8018412365909</v>
      </c>
      <c r="Y31" s="277">
        <f t="shared" si="9"/>
        <v>322.753611017136</v>
      </c>
      <c r="Z31" s="277">
        <f t="shared" si="9"/>
        <v>206.49889004115951</v>
      </c>
      <c r="AA31" s="277">
        <f t="shared" si="9"/>
        <v>4120.3944684313592</v>
      </c>
      <c r="AB31" s="277">
        <f t="shared" si="9"/>
        <v>323.02582775038672</v>
      </c>
      <c r="AC31" s="316">
        <f t="shared" si="9"/>
        <v>0</v>
      </c>
      <c r="AD31" s="277">
        <f t="shared" si="9"/>
        <v>142.7510131575367</v>
      </c>
      <c r="AE31" s="291">
        <v>23579.33196830799</v>
      </c>
      <c r="AF31" s="277">
        <f t="shared" ref="AF31:AK31" si="10">SUM(AF28:AF30)</f>
        <v>2800.3560472933627</v>
      </c>
      <c r="AG31" s="277">
        <f t="shared" si="10"/>
        <v>1886.1933272320025</v>
      </c>
      <c r="AH31" s="277">
        <f t="shared" si="10"/>
        <v>115.77725799574833</v>
      </c>
      <c r="AI31" s="277">
        <f t="shared" si="10"/>
        <v>258.66986411548976</v>
      </c>
      <c r="AJ31" s="277">
        <f t="shared" si="10"/>
        <v>107.84994762024161</v>
      </c>
      <c r="AK31" s="277">
        <f t="shared" si="10"/>
        <v>124.99364403615346</v>
      </c>
      <c r="AL31" s="291">
        <v>5293.8400882929973</v>
      </c>
      <c r="AM31" s="277">
        <f>SUM(AM28:AM30)</f>
        <v>7530.8113383819746</v>
      </c>
      <c r="AN31" s="277">
        <f>SUM(AN28:AN30)</f>
        <v>525.41032889501957</v>
      </c>
      <c r="AO31" s="291">
        <v>8056.2216672769946</v>
      </c>
      <c r="AP31" s="277">
        <f>SUM(AP28:AP30)</f>
        <v>481.43036016700006</v>
      </c>
      <c r="AQ31" s="291">
        <v>481.43036016700006</v>
      </c>
      <c r="AR31" s="277">
        <v>60560.620015505978</v>
      </c>
      <c r="AU31" s="277">
        <f t="shared" ref="AU31:AZ31" si="11">SUM(AU28:AU30)</f>
        <v>1631.2588954678454</v>
      </c>
      <c r="AV31" s="277">
        <f t="shared" si="11"/>
        <v>16.26498368710909</v>
      </c>
      <c r="AW31" s="277">
        <f t="shared" si="11"/>
        <v>830.60215792818917</v>
      </c>
      <c r="AX31" s="277">
        <f t="shared" si="11"/>
        <v>1280.7037734791597</v>
      </c>
      <c r="AY31" s="277">
        <f t="shared" si="11"/>
        <v>1453.8135664223933</v>
      </c>
      <c r="AZ31" s="277">
        <f t="shared" si="11"/>
        <v>1016.654404100304</v>
      </c>
      <c r="BA31" s="291">
        <v>6229.2977810849998</v>
      </c>
      <c r="BB31" s="277">
        <f>SUM(BB28:BB30)</f>
        <v>139.13477797800002</v>
      </c>
      <c r="BC31" s="291">
        <v>139.13477797800002</v>
      </c>
      <c r="BD31" s="277">
        <f>SUM(BD28:BD30)</f>
        <v>100.24031183400001</v>
      </c>
      <c r="BE31" s="291">
        <v>100.24031183400001</v>
      </c>
      <c r="BF31" s="277">
        <f>SUM(BF28:BF30)</f>
        <v>219.53013447300003</v>
      </c>
      <c r="BG31" s="291">
        <v>219.53013447300003</v>
      </c>
      <c r="BH31" s="277">
        <f>SUM(BH28:BH30)</f>
        <v>2253.5723309149994</v>
      </c>
      <c r="BI31" s="291">
        <v>2253.5723309149994</v>
      </c>
      <c r="BJ31" s="277">
        <f>SUM(BJ28:BJ30)</f>
        <v>413.83621423800003</v>
      </c>
      <c r="BK31" s="291">
        <v>413.83621423800003</v>
      </c>
      <c r="BL31" s="277">
        <f>SUM(BL28:BL30)</f>
        <v>162.51688635162631</v>
      </c>
      <c r="BM31" s="277">
        <f>SUM(BM28:BM30)</f>
        <v>244.34375088450992</v>
      </c>
      <c r="BN31" s="277">
        <f>SUM(BN28:BN30)</f>
        <v>86.221148696864077</v>
      </c>
      <c r="BO31" s="291">
        <v>493.08178593300011</v>
      </c>
      <c r="BP31" s="277">
        <v>9848.6933364559973</v>
      </c>
      <c r="BQ31" s="277"/>
      <c r="BS31" s="277">
        <f>SUM(BS28:BS30)</f>
        <v>639.23167051699988</v>
      </c>
      <c r="BT31" s="291">
        <v>639.23167051699988</v>
      </c>
      <c r="BU31" s="277">
        <f>SUM(BU28:BU30)</f>
        <v>2093.8173164041227</v>
      </c>
      <c r="BV31" s="277">
        <f>SUM(BV28:BV30)</f>
        <v>78.036237295877456</v>
      </c>
      <c r="BW31" s="291">
        <v>2171.8535536999998</v>
      </c>
      <c r="BX31" s="277">
        <f>SUM(BX28:BX30)</f>
        <v>1110.5536796551519</v>
      </c>
      <c r="BY31" s="277">
        <f>SUM(BY28:BY30)</f>
        <v>82.735906486236473</v>
      </c>
      <c r="BZ31" s="277">
        <f>SUM(BZ28:BZ30)</f>
        <v>703.37472624661143</v>
      </c>
      <c r="CA31" s="291">
        <v>1896.6643123880001</v>
      </c>
      <c r="CB31" s="277">
        <f>SUM(CB28:CB30)</f>
        <v>4341.4980136220001</v>
      </c>
      <c r="CC31" s="291">
        <v>4341.4980136220001</v>
      </c>
      <c r="CD31" s="277">
        <f>SUM(CD28:CD30)</f>
        <v>1698.9606744123455</v>
      </c>
      <c r="CE31" s="277">
        <f>SUM(CE28:CE30)</f>
        <v>469.02350898996912</v>
      </c>
      <c r="CF31" s="277">
        <f>SUM(CF28:CF30)</f>
        <v>216.27883553068375</v>
      </c>
      <c r="CG31" s="291">
        <v>2384.2630189329993</v>
      </c>
      <c r="CH31" s="277">
        <v>11433.510569159998</v>
      </c>
      <c r="CI31" s="277"/>
      <c r="CK31" s="277">
        <f>SUM(CK28:CK30)</f>
        <v>1439.8137688559282</v>
      </c>
      <c r="CL31" s="277">
        <f>SUM(CL28:CL30)</f>
        <v>1646.2072796293446</v>
      </c>
      <c r="CM31" s="291">
        <v>3086.0218920450002</v>
      </c>
      <c r="CN31" s="277">
        <f>SUM(CN28:CN30)</f>
        <v>458.70930494700002</v>
      </c>
      <c r="CO31" s="291">
        <v>458.70930494700002</v>
      </c>
      <c r="CP31" s="277">
        <f>SUM(CP28:CP30)</f>
        <v>56.549858271000048</v>
      </c>
      <c r="CQ31" s="291">
        <v>56.549858271000048</v>
      </c>
      <c r="CR31" s="277">
        <f>SUM(CR28:CR30)</f>
        <v>83.183201455000059</v>
      </c>
      <c r="CS31" s="291">
        <v>83.183201455000059</v>
      </c>
      <c r="CT31" s="277">
        <v>2.4358128999999999E-2</v>
      </c>
      <c r="CU31" s="291">
        <v>2.4358128999999999E-2</v>
      </c>
      <c r="CV31" s="277">
        <f>SUM(CV28:CV30)</f>
        <v>63.802829418000044</v>
      </c>
      <c r="CW31" s="291">
        <v>63.802829418000044</v>
      </c>
      <c r="CX31" s="277">
        <v>3748.2914442650003</v>
      </c>
      <c r="CY31" s="277"/>
    </row>
    <row r="32" spans="1:104" ht="15">
      <c r="C32" s="278"/>
      <c r="E32" s="283"/>
      <c r="F32" s="280"/>
      <c r="G32" s="236"/>
      <c r="H32" s="281"/>
      <c r="I32" s="281"/>
      <c r="J32" s="281"/>
      <c r="K32" s="281"/>
      <c r="L32" s="281"/>
      <c r="M32" s="281"/>
      <c r="N32" s="281"/>
      <c r="O32" s="281"/>
      <c r="P32" s="282"/>
      <c r="Q32" s="281"/>
      <c r="R32" s="281"/>
      <c r="S32" s="281"/>
      <c r="T32" s="282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82"/>
      <c r="AF32" s="281"/>
      <c r="AG32" s="281"/>
      <c r="AH32" s="281"/>
      <c r="AI32" s="281"/>
      <c r="AJ32" s="281"/>
      <c r="AK32" s="281"/>
      <c r="AL32" s="282"/>
      <c r="AM32" s="281"/>
      <c r="AN32" s="281"/>
      <c r="AO32" s="282"/>
      <c r="AP32" s="281"/>
      <c r="AQ32" s="282"/>
      <c r="AR32" s="281"/>
      <c r="AU32" s="281"/>
      <c r="AV32" s="281"/>
      <c r="AW32" s="281"/>
      <c r="AX32" s="281"/>
      <c r="AY32" s="281"/>
      <c r="AZ32" s="281"/>
      <c r="BA32" s="282"/>
      <c r="BB32" s="281"/>
      <c r="BC32" s="282"/>
      <c r="BD32" s="281"/>
      <c r="BE32" s="282"/>
      <c r="BF32" s="281"/>
      <c r="BG32" s="282"/>
      <c r="BH32" s="281"/>
      <c r="BI32" s="282"/>
      <c r="BJ32" s="281"/>
      <c r="BK32" s="282"/>
      <c r="BL32" s="281"/>
      <c r="BM32" s="281"/>
      <c r="BN32" s="281"/>
      <c r="BO32" s="282"/>
      <c r="BP32" s="281"/>
      <c r="BQ32" s="281"/>
      <c r="BS32" s="281"/>
      <c r="BT32" s="282"/>
      <c r="BU32" s="281"/>
      <c r="BV32" s="281"/>
      <c r="BW32" s="282"/>
      <c r="BX32" s="281"/>
      <c r="BY32" s="281"/>
      <c r="BZ32" s="281"/>
      <c r="CA32" s="282"/>
      <c r="CB32" s="281"/>
      <c r="CC32" s="282"/>
      <c r="CD32" s="281"/>
      <c r="CE32" s="281"/>
      <c r="CF32" s="281"/>
      <c r="CG32" s="282"/>
      <c r="CH32" s="281"/>
      <c r="CI32" s="281"/>
      <c r="CK32" s="281"/>
      <c r="CL32" s="281"/>
      <c r="CM32" s="282"/>
      <c r="CN32" s="281"/>
      <c r="CO32" s="282"/>
      <c r="CP32" s="281"/>
      <c r="CQ32" s="282"/>
      <c r="CR32" s="281"/>
      <c r="CS32" s="282"/>
      <c r="CT32" s="281"/>
      <c r="CU32" s="282"/>
      <c r="CV32" s="281"/>
      <c r="CW32" s="282"/>
      <c r="CX32" s="281"/>
      <c r="CY32" s="281"/>
    </row>
    <row r="33" spans="1:110" ht="15" outlineLevel="2">
      <c r="A33" s="317"/>
      <c r="B33" s="288" t="s">
        <v>1451</v>
      </c>
      <c r="C33" s="288" t="s">
        <v>1329</v>
      </c>
      <c r="E33" s="289"/>
      <c r="F33" s="297" t="s">
        <v>1330</v>
      </c>
      <c r="G33" s="298"/>
      <c r="H33" s="318">
        <f t="shared" ref="H33:O35" si="12">$P33*H$17</f>
        <v>0</v>
      </c>
      <c r="I33" s="318">
        <f t="shared" si="12"/>
        <v>0</v>
      </c>
      <c r="J33" s="318">
        <f t="shared" si="12"/>
        <v>0</v>
      </c>
      <c r="K33" s="318">
        <f t="shared" si="12"/>
        <v>0</v>
      </c>
      <c r="L33" s="318">
        <f t="shared" si="12"/>
        <v>0</v>
      </c>
      <c r="M33" s="318">
        <f t="shared" si="12"/>
        <v>0</v>
      </c>
      <c r="N33" s="318">
        <f t="shared" si="12"/>
        <v>0</v>
      </c>
      <c r="O33" s="318">
        <f t="shared" si="12"/>
        <v>0</v>
      </c>
      <c r="P33" s="319">
        <v>0</v>
      </c>
      <c r="Q33" s="318">
        <f t="shared" ref="Q33:S35" si="13">$T33*Q$17</f>
        <v>0</v>
      </c>
      <c r="R33" s="318">
        <f t="shared" si="13"/>
        <v>0</v>
      </c>
      <c r="S33" s="318">
        <f t="shared" si="13"/>
        <v>0</v>
      </c>
      <c r="T33" s="319">
        <v>0</v>
      </c>
      <c r="U33" s="318">
        <f t="shared" ref="U33:AD35" si="14">$AE33*U$17</f>
        <v>0</v>
      </c>
      <c r="V33" s="318">
        <f t="shared" si="14"/>
        <v>0</v>
      </c>
      <c r="W33" s="318">
        <f t="shared" si="14"/>
        <v>0</v>
      </c>
      <c r="X33" s="318">
        <f t="shared" si="14"/>
        <v>0</v>
      </c>
      <c r="Y33" s="318">
        <f t="shared" si="14"/>
        <v>0</v>
      </c>
      <c r="Z33" s="318">
        <f t="shared" si="14"/>
        <v>0</v>
      </c>
      <c r="AA33" s="318">
        <f t="shared" si="14"/>
        <v>0</v>
      </c>
      <c r="AB33" s="318">
        <f t="shared" si="14"/>
        <v>0</v>
      </c>
      <c r="AC33" s="318">
        <f t="shared" si="14"/>
        <v>0</v>
      </c>
      <c r="AD33" s="318">
        <f t="shared" si="14"/>
        <v>0</v>
      </c>
      <c r="AE33" s="319">
        <v>0</v>
      </c>
      <c r="AF33" s="318">
        <f t="shared" ref="AF33:AK35" si="15">$AL33*AF$17</f>
        <v>0</v>
      </c>
      <c r="AG33" s="318">
        <f t="shared" si="15"/>
        <v>0</v>
      </c>
      <c r="AH33" s="318">
        <f t="shared" si="15"/>
        <v>0</v>
      </c>
      <c r="AI33" s="318">
        <f t="shared" si="15"/>
        <v>0</v>
      </c>
      <c r="AJ33" s="318">
        <f t="shared" si="15"/>
        <v>0</v>
      </c>
      <c r="AK33" s="318">
        <f t="shared" si="15"/>
        <v>0</v>
      </c>
      <c r="AL33" s="319">
        <v>0</v>
      </c>
      <c r="AM33" s="318">
        <f t="shared" ref="AM33:AN35" si="16">$AO33*AM$17</f>
        <v>0</v>
      </c>
      <c r="AN33" s="318">
        <f t="shared" si="16"/>
        <v>0</v>
      </c>
      <c r="AO33" s="319">
        <v>0</v>
      </c>
      <c r="AP33" s="318">
        <f>$AQ33*AP$17</f>
        <v>0</v>
      </c>
      <c r="AQ33" s="319">
        <v>0</v>
      </c>
      <c r="AR33" s="318">
        <v>0</v>
      </c>
      <c r="AU33" s="320">
        <f t="shared" ref="AU33:AZ35" si="17">$BA33*AU$17</f>
        <v>0</v>
      </c>
      <c r="AV33" s="320">
        <f t="shared" si="17"/>
        <v>0</v>
      </c>
      <c r="AW33" s="320">
        <f t="shared" si="17"/>
        <v>0</v>
      </c>
      <c r="AX33" s="320">
        <f t="shared" si="17"/>
        <v>0</v>
      </c>
      <c r="AY33" s="320">
        <f t="shared" si="17"/>
        <v>0</v>
      </c>
      <c r="AZ33" s="320">
        <f t="shared" si="17"/>
        <v>0</v>
      </c>
      <c r="BA33" s="321">
        <v>0</v>
      </c>
      <c r="BB33" s="320">
        <f>$BC33*BB$17</f>
        <v>0</v>
      </c>
      <c r="BC33" s="321">
        <v>0</v>
      </c>
      <c r="BD33" s="320">
        <f>$BE33*BD$17</f>
        <v>0</v>
      </c>
      <c r="BE33" s="321">
        <v>0</v>
      </c>
      <c r="BF33" s="320">
        <f>$BG33*BF$17</f>
        <v>0</v>
      </c>
      <c r="BG33" s="321">
        <v>0</v>
      </c>
      <c r="BH33" s="320">
        <f>$BI33*BH$17</f>
        <v>0</v>
      </c>
      <c r="BI33" s="321">
        <v>0</v>
      </c>
      <c r="BJ33" s="320">
        <f>$BK33*BJ$17</f>
        <v>0</v>
      </c>
      <c r="BK33" s="321">
        <v>0</v>
      </c>
      <c r="BL33" s="320">
        <f t="shared" ref="BL33:BN35" si="18">$BO33*BL$17</f>
        <v>0</v>
      </c>
      <c r="BM33" s="320">
        <f t="shared" si="18"/>
        <v>0</v>
      </c>
      <c r="BN33" s="320">
        <f t="shared" si="18"/>
        <v>0</v>
      </c>
      <c r="BO33" s="321">
        <v>0</v>
      </c>
      <c r="BP33" s="320">
        <v>0</v>
      </c>
      <c r="BQ33" s="322"/>
      <c r="BS33" s="320">
        <f>$BT33*BS$17</f>
        <v>0</v>
      </c>
      <c r="BT33" s="321">
        <v>0</v>
      </c>
      <c r="BU33" s="320">
        <f t="shared" ref="BU33:BV35" si="19">$BW33*BU$17</f>
        <v>0</v>
      </c>
      <c r="BV33" s="320">
        <f t="shared" si="19"/>
        <v>0</v>
      </c>
      <c r="BW33" s="321">
        <v>0</v>
      </c>
      <c r="BX33" s="320">
        <f t="shared" ref="BX33:BZ35" si="20">$CA33*BX$17</f>
        <v>0</v>
      </c>
      <c r="BY33" s="320">
        <f t="shared" si="20"/>
        <v>0</v>
      </c>
      <c r="BZ33" s="320">
        <f t="shared" si="20"/>
        <v>0</v>
      </c>
      <c r="CA33" s="321">
        <v>0</v>
      </c>
      <c r="CB33" s="320">
        <f>$CC33*CB$17</f>
        <v>0</v>
      </c>
      <c r="CC33" s="321">
        <v>0</v>
      </c>
      <c r="CD33" s="320">
        <f t="shared" ref="CD33:CF35" si="21">$CG33*CD$17</f>
        <v>0</v>
      </c>
      <c r="CE33" s="320">
        <f t="shared" si="21"/>
        <v>0</v>
      </c>
      <c r="CF33" s="320">
        <f t="shared" si="21"/>
        <v>0</v>
      </c>
      <c r="CG33" s="321">
        <v>0</v>
      </c>
      <c r="CH33" s="320">
        <v>0</v>
      </c>
      <c r="CI33" s="322"/>
      <c r="CK33" s="320">
        <f t="shared" ref="CK33:CL35" si="22">$CM33*CK$17</f>
        <v>0</v>
      </c>
      <c r="CL33" s="320">
        <f t="shared" si="22"/>
        <v>0</v>
      </c>
      <c r="CM33" s="321">
        <v>0</v>
      </c>
      <c r="CN33" s="320">
        <f>$CO33*CN$17</f>
        <v>0</v>
      </c>
      <c r="CO33" s="321">
        <v>0</v>
      </c>
      <c r="CP33" s="320">
        <f>$CQ33*CP$17</f>
        <v>0</v>
      </c>
      <c r="CQ33" s="321">
        <v>0</v>
      </c>
      <c r="CR33" s="320">
        <f>$CS33*CR$17</f>
        <v>0</v>
      </c>
      <c r="CS33" s="321">
        <v>0</v>
      </c>
      <c r="CT33" s="320">
        <v>0</v>
      </c>
      <c r="CU33" s="321">
        <v>0</v>
      </c>
      <c r="CV33" s="320">
        <f>$CW33*CV$17</f>
        <v>0</v>
      </c>
      <c r="CW33" s="321">
        <v>0</v>
      </c>
      <c r="CX33" s="320">
        <v>0</v>
      </c>
      <c r="CY33" s="322"/>
    </row>
    <row r="34" spans="1:110" ht="15" outlineLevel="2">
      <c r="A34" s="317"/>
      <c r="B34" s="288" t="s">
        <v>1454</v>
      </c>
      <c r="C34" s="288" t="s">
        <v>1329</v>
      </c>
      <c r="E34" s="289"/>
      <c r="F34" s="304" t="s">
        <v>1333</v>
      </c>
      <c r="G34" s="298"/>
      <c r="H34" s="323">
        <f t="shared" si="12"/>
        <v>72985.018676793363</v>
      </c>
      <c r="I34" s="323">
        <f t="shared" si="12"/>
        <v>29250.179787672896</v>
      </c>
      <c r="J34" s="323">
        <f t="shared" si="12"/>
        <v>1930.3506570020475</v>
      </c>
      <c r="K34" s="323">
        <f t="shared" si="12"/>
        <v>6242.9406291137448</v>
      </c>
      <c r="L34" s="323">
        <f t="shared" si="12"/>
        <v>38384.758014307794</v>
      </c>
      <c r="M34" s="323">
        <f t="shared" si="12"/>
        <v>130695.10585346457</v>
      </c>
      <c r="N34" s="323">
        <f t="shared" si="12"/>
        <v>5972.6648516652631</v>
      </c>
      <c r="O34" s="323">
        <f t="shared" si="12"/>
        <v>20241.887274493081</v>
      </c>
      <c r="P34" s="324">
        <v>305702.90574451274</v>
      </c>
      <c r="Q34" s="323">
        <f t="shared" si="13"/>
        <v>7702.1626610678431</v>
      </c>
      <c r="R34" s="323">
        <f t="shared" si="13"/>
        <v>1922.453157501287</v>
      </c>
      <c r="S34" s="323">
        <f t="shared" si="13"/>
        <v>157.16934377415922</v>
      </c>
      <c r="T34" s="324">
        <v>9781.7851623432889</v>
      </c>
      <c r="U34" s="323">
        <f t="shared" si="14"/>
        <v>132782.68307309508</v>
      </c>
      <c r="V34" s="323">
        <f t="shared" si="14"/>
        <v>6274.6673549605948</v>
      </c>
      <c r="W34" s="323">
        <f t="shared" si="14"/>
        <v>1554.097942298321</v>
      </c>
      <c r="X34" s="323">
        <f t="shared" si="14"/>
        <v>118722.23387679677</v>
      </c>
      <c r="Y34" s="323">
        <f t="shared" si="14"/>
        <v>2530.5817470024854</v>
      </c>
      <c r="Z34" s="323">
        <f t="shared" si="14"/>
        <v>2326.7658216792943</v>
      </c>
      <c r="AA34" s="323">
        <f t="shared" si="14"/>
        <v>53674.7462523621</v>
      </c>
      <c r="AB34" s="323">
        <f t="shared" si="14"/>
        <v>3168.6317820683303</v>
      </c>
      <c r="AC34" s="323">
        <f t="shared" si="14"/>
        <v>0</v>
      </c>
      <c r="AD34" s="323">
        <f t="shared" si="14"/>
        <v>1715.6935860472513</v>
      </c>
      <c r="AE34" s="324">
        <v>322750.10143631021</v>
      </c>
      <c r="AF34" s="323">
        <f t="shared" si="15"/>
        <v>39159.806224508538</v>
      </c>
      <c r="AG34" s="323">
        <f t="shared" si="15"/>
        <v>27967.721545811466</v>
      </c>
      <c r="AH34" s="323">
        <f t="shared" si="15"/>
        <v>1438.9727059598622</v>
      </c>
      <c r="AI34" s="323">
        <f t="shared" si="15"/>
        <v>3050.0458764208929</v>
      </c>
      <c r="AJ34" s="323">
        <f t="shared" si="15"/>
        <v>1195.6059729376898</v>
      </c>
      <c r="AK34" s="323">
        <f t="shared" si="15"/>
        <v>1356.6314896139133</v>
      </c>
      <c r="AL34" s="324">
        <v>74168.783815252362</v>
      </c>
      <c r="AM34" s="323">
        <f t="shared" si="16"/>
        <v>107662.77518105588</v>
      </c>
      <c r="AN34" s="323">
        <f t="shared" si="16"/>
        <v>7028.4908360678955</v>
      </c>
      <c r="AO34" s="324">
        <v>114691.26601712378</v>
      </c>
      <c r="AP34" s="323">
        <f>$AQ34*AP$17</f>
        <v>5400.457417296986</v>
      </c>
      <c r="AQ34" s="324">
        <v>5400.457417296986</v>
      </c>
      <c r="AR34" s="323">
        <v>832495.29959283932</v>
      </c>
      <c r="AU34" s="325">
        <f t="shared" si="17"/>
        <v>20844.298499532695</v>
      </c>
      <c r="AV34" s="325">
        <f t="shared" si="17"/>
        <v>441.89938115374554</v>
      </c>
      <c r="AW34" s="325">
        <f t="shared" si="17"/>
        <v>10978.055920922212</v>
      </c>
      <c r="AX34" s="325">
        <f t="shared" si="17"/>
        <v>16799.100775668405</v>
      </c>
      <c r="AY34" s="325">
        <f t="shared" si="17"/>
        <v>17394.376455634858</v>
      </c>
      <c r="AZ34" s="325">
        <f t="shared" si="17"/>
        <v>8671.1408417290586</v>
      </c>
      <c r="BA34" s="326">
        <v>75128.871874640972</v>
      </c>
      <c r="BB34" s="325">
        <f>$BC34*BB$17</f>
        <v>1384.0248199999999</v>
      </c>
      <c r="BC34" s="326">
        <v>1384.0248199999999</v>
      </c>
      <c r="BD34" s="325">
        <f>$BE34*BD$17</f>
        <v>927.22299999999996</v>
      </c>
      <c r="BE34" s="326">
        <v>927.22299999999996</v>
      </c>
      <c r="BF34" s="325">
        <f>$BG34*BF$17</f>
        <v>2952.922</v>
      </c>
      <c r="BG34" s="326">
        <v>2952.922</v>
      </c>
      <c r="BH34" s="325">
        <f>$BI34*BH$17</f>
        <v>32107.404938210853</v>
      </c>
      <c r="BI34" s="326">
        <v>32107.404938210853</v>
      </c>
      <c r="BJ34" s="325">
        <f>$BK34*BJ$17</f>
        <v>6339.5065325162777</v>
      </c>
      <c r="BK34" s="326">
        <v>6339.5065325162777</v>
      </c>
      <c r="BL34" s="325">
        <f t="shared" si="18"/>
        <v>2479.4289007896045</v>
      </c>
      <c r="BM34" s="325">
        <f t="shared" si="18"/>
        <v>3292.2058859445683</v>
      </c>
      <c r="BN34" s="325">
        <f t="shared" si="18"/>
        <v>1260.2878738638085</v>
      </c>
      <c r="BO34" s="326">
        <v>7031.9226605979811</v>
      </c>
      <c r="BP34" s="325">
        <v>125871.87582596608</v>
      </c>
      <c r="BQ34" s="322"/>
      <c r="BS34" s="325">
        <f>$BT34*BS$17</f>
        <v>8562.9786960913152</v>
      </c>
      <c r="BT34" s="326">
        <v>8562.9786960913152</v>
      </c>
      <c r="BU34" s="325">
        <f t="shared" si="19"/>
        <v>30416.399565118369</v>
      </c>
      <c r="BV34" s="325">
        <f t="shared" si="19"/>
        <v>918.41760890647629</v>
      </c>
      <c r="BW34" s="326">
        <v>31334.817174024844</v>
      </c>
      <c r="BX34" s="325">
        <f t="shared" si="20"/>
        <v>15105.853785062178</v>
      </c>
      <c r="BY34" s="325">
        <f t="shared" si="20"/>
        <v>899.00945074003198</v>
      </c>
      <c r="BZ34" s="325">
        <f t="shared" si="20"/>
        <v>9658.1737509060513</v>
      </c>
      <c r="CA34" s="326">
        <v>25663.036986708263</v>
      </c>
      <c r="CB34" s="325">
        <f>$CC34*CB$17</f>
        <v>60071.780448581078</v>
      </c>
      <c r="CC34" s="326">
        <v>60071.780448581078</v>
      </c>
      <c r="CD34" s="325">
        <f t="shared" si="21"/>
        <v>23664.569228085718</v>
      </c>
      <c r="CE34" s="325">
        <f t="shared" si="21"/>
        <v>6229.8277952871804</v>
      </c>
      <c r="CF34" s="325">
        <f t="shared" si="21"/>
        <v>2475.2485088372669</v>
      </c>
      <c r="CG34" s="326">
        <v>32369.645532210165</v>
      </c>
      <c r="CH34" s="325">
        <v>158002.25883761566</v>
      </c>
      <c r="CI34" s="322"/>
      <c r="CK34" s="325">
        <f t="shared" si="22"/>
        <v>22955.918222329103</v>
      </c>
      <c r="CL34" s="325">
        <f t="shared" si="22"/>
        <v>24198.148003541628</v>
      </c>
      <c r="CM34" s="326">
        <v>47154.152086434719</v>
      </c>
      <c r="CN34" s="325">
        <f>$CO34*CN$17</f>
        <v>6370.4113681867675</v>
      </c>
      <c r="CO34" s="326">
        <v>6370.4113681867675</v>
      </c>
      <c r="CP34" s="325">
        <f>$CQ34*CP$17</f>
        <v>0</v>
      </c>
      <c r="CQ34" s="326">
        <v>0</v>
      </c>
      <c r="CR34" s="325">
        <f>$CS34*CR$17</f>
        <v>0</v>
      </c>
      <c r="CS34" s="326">
        <v>0</v>
      </c>
      <c r="CT34" s="325">
        <v>0</v>
      </c>
      <c r="CU34" s="326">
        <v>0</v>
      </c>
      <c r="CV34" s="325">
        <f>$CW34*CV$17</f>
        <v>0</v>
      </c>
      <c r="CW34" s="326">
        <v>0</v>
      </c>
      <c r="CX34" s="325">
        <v>53524.563454621486</v>
      </c>
      <c r="CY34" s="322"/>
    </row>
    <row r="35" spans="1:110" ht="15" customHeight="1" outlineLevel="2" thickBot="1">
      <c r="A35" s="317"/>
      <c r="B35" s="288" t="s">
        <v>1456</v>
      </c>
      <c r="C35" s="288" t="s">
        <v>1329</v>
      </c>
      <c r="E35" s="289"/>
      <c r="F35" s="309" t="s">
        <v>1334</v>
      </c>
      <c r="G35" s="310"/>
      <c r="H35" s="327">
        <f t="shared" si="12"/>
        <v>38118.427143643581</v>
      </c>
      <c r="I35" s="327">
        <f t="shared" si="12"/>
        <v>15276.708390148107</v>
      </c>
      <c r="J35" s="327">
        <f t="shared" si="12"/>
        <v>1008.1785579375827</v>
      </c>
      <c r="K35" s="327">
        <f t="shared" si="12"/>
        <v>3260.5469156183294</v>
      </c>
      <c r="L35" s="327">
        <f t="shared" si="12"/>
        <v>20047.492325435491</v>
      </c>
      <c r="M35" s="327">
        <f t="shared" si="12"/>
        <v>68259.102495648738</v>
      </c>
      <c r="N35" s="327">
        <f t="shared" si="12"/>
        <v>3119.3879802896272</v>
      </c>
      <c r="O35" s="327">
        <f t="shared" si="12"/>
        <v>10571.880631277396</v>
      </c>
      <c r="P35" s="328">
        <v>159661.72443999886</v>
      </c>
      <c r="Q35" s="327">
        <f t="shared" si="13"/>
        <v>5032.2943397664549</v>
      </c>
      <c r="R35" s="327">
        <f t="shared" si="13"/>
        <v>1256.0563271223623</v>
      </c>
      <c r="S35" s="327">
        <f t="shared" si="13"/>
        <v>102.68835311118379</v>
      </c>
      <c r="T35" s="328">
        <v>6391.0390200000011</v>
      </c>
      <c r="U35" s="327">
        <f t="shared" si="14"/>
        <v>74106.312756811705</v>
      </c>
      <c r="V35" s="327">
        <f t="shared" si="14"/>
        <v>3501.9059013568376</v>
      </c>
      <c r="W35" s="327">
        <f t="shared" si="14"/>
        <v>867.34554161161361</v>
      </c>
      <c r="X35" s="327">
        <f t="shared" si="14"/>
        <v>66259.144575486789</v>
      </c>
      <c r="Y35" s="327">
        <f t="shared" si="14"/>
        <v>1412.3233396090609</v>
      </c>
      <c r="Z35" s="327">
        <f t="shared" si="14"/>
        <v>1298.5732152912324</v>
      </c>
      <c r="AA35" s="327">
        <f t="shared" si="14"/>
        <v>29955.996074656945</v>
      </c>
      <c r="AB35" s="327">
        <f t="shared" si="14"/>
        <v>1768.4204929333027</v>
      </c>
      <c r="AC35" s="327">
        <f t="shared" si="14"/>
        <v>0</v>
      </c>
      <c r="AD35" s="327">
        <f t="shared" si="14"/>
        <v>957.53243224105165</v>
      </c>
      <c r="AE35" s="328">
        <v>180127.55432999853</v>
      </c>
      <c r="AF35" s="327">
        <f t="shared" si="15"/>
        <v>15623.457689601919</v>
      </c>
      <c r="AG35" s="327">
        <f t="shared" si="15"/>
        <v>11158.188877147266</v>
      </c>
      <c r="AH35" s="327">
        <f t="shared" si="15"/>
        <v>574.10215615381378</v>
      </c>
      <c r="AI35" s="327">
        <f t="shared" si="15"/>
        <v>1216.8666624244684</v>
      </c>
      <c r="AJ35" s="327">
        <f t="shared" si="15"/>
        <v>477.00693983354267</v>
      </c>
      <c r="AK35" s="327">
        <f t="shared" si="15"/>
        <v>541.2507548390098</v>
      </c>
      <c r="AL35" s="328">
        <v>29590.873080000019</v>
      </c>
      <c r="AM35" s="327">
        <f t="shared" si="16"/>
        <v>65115.868646520175</v>
      </c>
      <c r="AN35" s="327">
        <f t="shared" si="16"/>
        <v>4250.9241034797133</v>
      </c>
      <c r="AO35" s="328">
        <v>69366.792749999891</v>
      </c>
      <c r="AP35" s="327">
        <f>$AQ35*AP$17</f>
        <v>3299.232</v>
      </c>
      <c r="AQ35" s="328">
        <v>3299.232</v>
      </c>
      <c r="AR35" s="327">
        <v>448437.2156199973</v>
      </c>
      <c r="AU35" s="329">
        <f t="shared" si="17"/>
        <v>55102.089799791225</v>
      </c>
      <c r="AV35" s="329">
        <f t="shared" si="17"/>
        <v>1168.1649724672548</v>
      </c>
      <c r="AW35" s="329">
        <f t="shared" si="17"/>
        <v>29020.589164722762</v>
      </c>
      <c r="AX35" s="329">
        <f t="shared" si="17"/>
        <v>44408.57338122341</v>
      </c>
      <c r="AY35" s="329">
        <f t="shared" si="17"/>
        <v>45982.189973495806</v>
      </c>
      <c r="AZ35" s="329">
        <f t="shared" si="17"/>
        <v>22922.238488299496</v>
      </c>
      <c r="BA35" s="330">
        <v>198603.84577999995</v>
      </c>
      <c r="BB35" s="329">
        <f>$BC35*BB$17</f>
        <v>6747.3184300000003</v>
      </c>
      <c r="BC35" s="330">
        <v>6747.3184300000003</v>
      </c>
      <c r="BD35" s="329">
        <f>$BE35*BD$17</f>
        <v>4967.79241</v>
      </c>
      <c r="BE35" s="330">
        <v>4967.79241</v>
      </c>
      <c r="BF35" s="329">
        <f>$BG35*BF$17</f>
        <v>3477.6693499999988</v>
      </c>
      <c r="BG35" s="330">
        <v>3477.6693499999988</v>
      </c>
      <c r="BH35" s="329">
        <f>$BI35*BH$17</f>
        <v>20813.179430000018</v>
      </c>
      <c r="BI35" s="330">
        <v>20813.179430000018</v>
      </c>
      <c r="BJ35" s="329">
        <f>$BK35*BJ$17</f>
        <v>2500.8894700000001</v>
      </c>
      <c r="BK35" s="330">
        <v>2500.8894700000001</v>
      </c>
      <c r="BL35" s="329">
        <f t="shared" si="18"/>
        <v>1626.9556646337892</v>
      </c>
      <c r="BM35" s="329">
        <f t="shared" si="18"/>
        <v>2160.2849807761972</v>
      </c>
      <c r="BN35" s="329">
        <f t="shared" si="18"/>
        <v>826.97773459001485</v>
      </c>
      <c r="BO35" s="330">
        <v>4614.2183800000012</v>
      </c>
      <c r="BP35" s="329">
        <v>241724.91324999998</v>
      </c>
      <c r="BQ35" s="322"/>
      <c r="BS35" s="329">
        <f>$BT35*BS$17</f>
        <v>13845.80499000001</v>
      </c>
      <c r="BT35" s="330">
        <v>13845.80499000001</v>
      </c>
      <c r="BU35" s="329">
        <f t="shared" si="19"/>
        <v>22450.924723692253</v>
      </c>
      <c r="BV35" s="329">
        <f t="shared" si="19"/>
        <v>677.90155630777042</v>
      </c>
      <c r="BW35" s="330">
        <v>23128.826280000023</v>
      </c>
      <c r="BX35" s="329">
        <f t="shared" si="20"/>
        <v>8774.2375645537104</v>
      </c>
      <c r="BY35" s="329">
        <f t="shared" si="20"/>
        <v>522.18978190907455</v>
      </c>
      <c r="BZ35" s="329">
        <f t="shared" si="20"/>
        <v>5609.9517535372242</v>
      </c>
      <c r="CA35" s="330">
        <v>14906.379100000009</v>
      </c>
      <c r="CB35" s="329">
        <f>$CC35*CB$17</f>
        <v>24982.724510000018</v>
      </c>
      <c r="CC35" s="330">
        <v>24982.724510000018</v>
      </c>
      <c r="CD35" s="329">
        <f t="shared" si="21"/>
        <v>11244.15987611202</v>
      </c>
      <c r="CE35" s="329">
        <f t="shared" si="21"/>
        <v>2960.0868308948284</v>
      </c>
      <c r="CF35" s="329">
        <f t="shared" si="21"/>
        <v>1176.1080329931494</v>
      </c>
      <c r="CG35" s="330">
        <v>15380.354739999999</v>
      </c>
      <c r="CH35" s="329">
        <v>92244.089620000057</v>
      </c>
      <c r="CI35" s="322"/>
      <c r="CK35" s="329">
        <f t="shared" si="22"/>
        <v>4324.5152713302896</v>
      </c>
      <c r="CL35" s="329">
        <f t="shared" si="22"/>
        <v>4558.5308139597064</v>
      </c>
      <c r="CM35" s="330">
        <v>8883.0622600000024</v>
      </c>
      <c r="CN35" s="329">
        <f>$CO35*CN$17</f>
        <v>5684.6594000000005</v>
      </c>
      <c r="CO35" s="330">
        <v>5684.6594000000005</v>
      </c>
      <c r="CP35" s="329">
        <f>$CQ35*CP$17</f>
        <v>6593.0074100000011</v>
      </c>
      <c r="CQ35" s="330">
        <v>6593.0074100000011</v>
      </c>
      <c r="CR35" s="329">
        <f>$CS35*CR$17</f>
        <v>10196.052480000004</v>
      </c>
      <c r="CS35" s="330">
        <v>10196.052480000004</v>
      </c>
      <c r="CT35" s="329">
        <v>3.0527500000000001</v>
      </c>
      <c r="CU35" s="330">
        <v>3.0527500000000001</v>
      </c>
      <c r="CV35" s="329">
        <f>$CW35*CV$17</f>
        <v>7527.7744200000043</v>
      </c>
      <c r="CW35" s="330">
        <v>7527.7744200000043</v>
      </c>
      <c r="CX35" s="329">
        <v>38887.608720000011</v>
      </c>
      <c r="CY35" s="322"/>
    </row>
    <row r="36" spans="1:110" ht="17.100000000000001" customHeight="1" outlineLevel="1" thickTop="1" thickBot="1">
      <c r="A36" s="317"/>
      <c r="B36" s="278"/>
      <c r="C36" s="288" t="s">
        <v>1329</v>
      </c>
      <c r="D36" s="185"/>
      <c r="E36" s="289"/>
      <c r="F36" s="331" t="s">
        <v>1329</v>
      </c>
      <c r="G36" s="332"/>
      <c r="H36" s="333">
        <f t="shared" ref="H36:O36" si="23">SUM(H33:H35)</f>
        <v>111103.44582043694</v>
      </c>
      <c r="I36" s="333">
        <f t="shared" si="23"/>
        <v>44526.888177821005</v>
      </c>
      <c r="J36" s="333">
        <f t="shared" si="23"/>
        <v>2938.52921493963</v>
      </c>
      <c r="K36" s="333">
        <f t="shared" si="23"/>
        <v>9503.4875447320737</v>
      </c>
      <c r="L36" s="333">
        <f t="shared" si="23"/>
        <v>58432.250339743288</v>
      </c>
      <c r="M36" s="333">
        <f t="shared" si="23"/>
        <v>198954.20834911329</v>
      </c>
      <c r="N36" s="333">
        <f t="shared" si="23"/>
        <v>9092.0528319548903</v>
      </c>
      <c r="O36" s="333">
        <f t="shared" si="23"/>
        <v>30813.767905770477</v>
      </c>
      <c r="P36" s="334">
        <v>465364.6301845116</v>
      </c>
      <c r="Q36" s="333">
        <f>SUM(Q33:Q35)</f>
        <v>12734.457000834298</v>
      </c>
      <c r="R36" s="333">
        <f>SUM(R33:R35)</f>
        <v>3178.5094846236493</v>
      </c>
      <c r="S36" s="333">
        <f>SUM(S33:S35)</f>
        <v>259.85769688534299</v>
      </c>
      <c r="T36" s="334">
        <v>16172.824182343291</v>
      </c>
      <c r="U36" s="333">
        <f t="shared" ref="U36:AD36" si="24">SUM(U33:U35)</f>
        <v>206888.99582990678</v>
      </c>
      <c r="V36" s="333">
        <f t="shared" si="24"/>
        <v>9776.5732563174315</v>
      </c>
      <c r="W36" s="333">
        <f t="shared" si="24"/>
        <v>2421.4434839099345</v>
      </c>
      <c r="X36" s="333">
        <f t="shared" si="24"/>
        <v>184981.37845228356</v>
      </c>
      <c r="Y36" s="333">
        <f t="shared" si="24"/>
        <v>3942.9050866115463</v>
      </c>
      <c r="Z36" s="333">
        <f t="shared" si="24"/>
        <v>3625.3390369705266</v>
      </c>
      <c r="AA36" s="333">
        <f t="shared" si="24"/>
        <v>83630.742327019048</v>
      </c>
      <c r="AB36" s="333">
        <f t="shared" si="24"/>
        <v>4937.0522750016335</v>
      </c>
      <c r="AC36" s="333">
        <f t="shared" si="24"/>
        <v>0</v>
      </c>
      <c r="AD36" s="333">
        <f t="shared" si="24"/>
        <v>2673.2260182883028</v>
      </c>
      <c r="AE36" s="334">
        <v>502877.65576630877</v>
      </c>
      <c r="AF36" s="333">
        <f t="shared" ref="AF36:AK36" si="25">SUM(AF33:AF35)</f>
        <v>54783.263914110459</v>
      </c>
      <c r="AG36" s="333">
        <f t="shared" si="25"/>
        <v>39125.910422958732</v>
      </c>
      <c r="AH36" s="333">
        <f t="shared" si="25"/>
        <v>2013.0748621136759</v>
      </c>
      <c r="AI36" s="333">
        <f t="shared" si="25"/>
        <v>4266.9125388453613</v>
      </c>
      <c r="AJ36" s="333">
        <f t="shared" si="25"/>
        <v>1672.6129127712325</v>
      </c>
      <c r="AK36" s="333">
        <f t="shared" si="25"/>
        <v>1897.8822444529233</v>
      </c>
      <c r="AL36" s="334">
        <v>103759.65689525238</v>
      </c>
      <c r="AM36" s="333">
        <f>SUM(AM33:AM35)</f>
        <v>172778.64382757607</v>
      </c>
      <c r="AN36" s="333">
        <f>SUM(AN33:AN35)</f>
        <v>11279.414939547609</v>
      </c>
      <c r="AO36" s="334">
        <v>184058.05876712367</v>
      </c>
      <c r="AP36" s="333">
        <f>SUM(AP33:AP35)</f>
        <v>8699.689417296986</v>
      </c>
      <c r="AQ36" s="334">
        <v>8699.689417296986</v>
      </c>
      <c r="AR36" s="336">
        <v>1280932.5152128367</v>
      </c>
      <c r="AU36" s="333">
        <f t="shared" ref="AU36:AZ36" si="26">SUM(AU33:AU35)</f>
        <v>75946.388299323924</v>
      </c>
      <c r="AV36" s="333">
        <f t="shared" si="26"/>
        <v>1610.0643536210002</v>
      </c>
      <c r="AW36" s="333">
        <f t="shared" si="26"/>
        <v>39998.645085644974</v>
      </c>
      <c r="AX36" s="333">
        <f t="shared" si="26"/>
        <v>61207.674156891815</v>
      </c>
      <c r="AY36" s="333">
        <f t="shared" si="26"/>
        <v>63376.56642913066</v>
      </c>
      <c r="AZ36" s="333">
        <f t="shared" si="26"/>
        <v>31593.379330028554</v>
      </c>
      <c r="BA36" s="337">
        <v>273732.7176546409</v>
      </c>
      <c r="BB36" s="333">
        <f>SUM(BB33:BB35)</f>
        <v>8131.3432499999999</v>
      </c>
      <c r="BC36" s="337">
        <v>8131.3432499999999</v>
      </c>
      <c r="BD36" s="333">
        <f>SUM(BD33:BD35)</f>
        <v>5895.01541</v>
      </c>
      <c r="BE36" s="337">
        <v>5895.01541</v>
      </c>
      <c r="BF36" s="333">
        <f>SUM(BF33:BF35)</f>
        <v>6430.5913499999988</v>
      </c>
      <c r="BG36" s="337">
        <v>6430.5913499999988</v>
      </c>
      <c r="BH36" s="333">
        <f>SUM(BH33:BH35)</f>
        <v>52920.584368210868</v>
      </c>
      <c r="BI36" s="337">
        <v>52920.584368210868</v>
      </c>
      <c r="BJ36" s="333">
        <f>SUM(BJ33:BJ35)</f>
        <v>8840.3960025162778</v>
      </c>
      <c r="BK36" s="337">
        <v>8840.3960025162778</v>
      </c>
      <c r="BL36" s="333">
        <f>SUM(BL33:BL35)</f>
        <v>4106.3845654233937</v>
      </c>
      <c r="BM36" s="333">
        <f>SUM(BM33:BM35)</f>
        <v>5452.4908667207656</v>
      </c>
      <c r="BN36" s="333">
        <f>SUM(BN33:BN35)</f>
        <v>2087.2656084538235</v>
      </c>
      <c r="BO36" s="337">
        <v>11646.141040597982</v>
      </c>
      <c r="BP36" s="338">
        <v>367596.78907596599</v>
      </c>
      <c r="BQ36" s="339"/>
      <c r="BS36" s="333">
        <f>SUM(BS33:BS35)</f>
        <v>22408.783686091323</v>
      </c>
      <c r="BT36" s="337">
        <v>22408.783686091323</v>
      </c>
      <c r="BU36" s="333">
        <f>SUM(BU33:BU35)</f>
        <v>52867.324288810618</v>
      </c>
      <c r="BV36" s="333">
        <f>SUM(BV33:BV35)</f>
        <v>1596.3191652142468</v>
      </c>
      <c r="BW36" s="337">
        <v>54463.643454024867</v>
      </c>
      <c r="BX36" s="333">
        <f>SUM(BX33:BX35)</f>
        <v>23880.09134961589</v>
      </c>
      <c r="BY36" s="333">
        <f>SUM(BY33:BY35)</f>
        <v>1421.1992326491065</v>
      </c>
      <c r="BZ36" s="333">
        <f>SUM(BZ33:BZ35)</f>
        <v>15268.125504443276</v>
      </c>
      <c r="CA36" s="337">
        <v>40569.416086708268</v>
      </c>
      <c r="CB36" s="333">
        <f>SUM(CB33:CB35)</f>
        <v>85054.504958581092</v>
      </c>
      <c r="CC36" s="337">
        <v>85054.504958581092</v>
      </c>
      <c r="CD36" s="333">
        <f>SUM(CD33:CD35)</f>
        <v>34908.729104197737</v>
      </c>
      <c r="CE36" s="333">
        <f>SUM(CE33:CE35)</f>
        <v>9189.9146261820097</v>
      </c>
      <c r="CF36" s="333">
        <f>SUM(CF33:CF35)</f>
        <v>3651.3565418304161</v>
      </c>
      <c r="CG36" s="337">
        <v>47750.000272210164</v>
      </c>
      <c r="CH36" s="338">
        <v>250246.34845761571</v>
      </c>
      <c r="CI36" s="339"/>
      <c r="CK36" s="333">
        <f>SUM(CK33:CK35)</f>
        <v>27280.433493659391</v>
      </c>
      <c r="CL36" s="333">
        <f>SUM(CL33:CL35)</f>
        <v>28756.678817501335</v>
      </c>
      <c r="CM36" s="337">
        <v>56037.214346434717</v>
      </c>
      <c r="CN36" s="333">
        <f>SUM(CN33:CN35)</f>
        <v>12055.070768186768</v>
      </c>
      <c r="CO36" s="337">
        <v>12055.070768186768</v>
      </c>
      <c r="CP36" s="333">
        <f>SUM(CP33:CP35)</f>
        <v>6593.0074100000011</v>
      </c>
      <c r="CQ36" s="337">
        <v>6593.0074100000011</v>
      </c>
      <c r="CR36" s="333">
        <f>SUM(CR33:CR35)</f>
        <v>10196.052480000004</v>
      </c>
      <c r="CS36" s="337">
        <v>10196.052480000004</v>
      </c>
      <c r="CT36" s="335">
        <v>3.0527500000000001</v>
      </c>
      <c r="CU36" s="337">
        <v>3.0527500000000001</v>
      </c>
      <c r="CV36" s="333">
        <f>SUM(CV33:CV35)</f>
        <v>7527.7744200000043</v>
      </c>
      <c r="CW36" s="337">
        <v>7527.7744200000043</v>
      </c>
      <c r="CX36" s="338">
        <v>92412.17217462149</v>
      </c>
      <c r="CY36" s="339"/>
    </row>
    <row r="37" spans="1:110" ht="22.35" customHeight="1" outlineLevel="1" thickTop="1" thickBot="1">
      <c r="A37" s="317"/>
      <c r="C37" s="288" t="s">
        <v>1335</v>
      </c>
      <c r="D37" s="185"/>
      <c r="E37" s="340" t="s">
        <v>1304</v>
      </c>
      <c r="F37" s="341" t="s">
        <v>1335</v>
      </c>
      <c r="G37" s="236"/>
      <c r="H37" s="342">
        <f t="shared" ref="H37:O37" si="27">$P$37*H17</f>
        <v>763.57598131556995</v>
      </c>
      <c r="I37" s="342">
        <f t="shared" si="27"/>
        <v>306.01807247506855</v>
      </c>
      <c r="J37" s="342">
        <f t="shared" si="27"/>
        <v>20.195506200126019</v>
      </c>
      <c r="K37" s="342">
        <f t="shared" si="27"/>
        <v>65.314219323288228</v>
      </c>
      <c r="L37" s="342">
        <f t="shared" si="27"/>
        <v>401.58487042567816</v>
      </c>
      <c r="M37" s="342">
        <f t="shared" si="27"/>
        <v>1367.3442237116665</v>
      </c>
      <c r="N37" s="342">
        <f t="shared" si="27"/>
        <v>62.486569269446797</v>
      </c>
      <c r="O37" s="342">
        <f t="shared" si="27"/>
        <v>211.77248727915622</v>
      </c>
      <c r="P37" s="343">
        <v>3198.2919300000003</v>
      </c>
      <c r="Q37" s="342">
        <f>$T$37*Q17</f>
        <v>368.14710694824299</v>
      </c>
      <c r="R37" s="342">
        <f>$T$37*R17</f>
        <v>91.889200387192361</v>
      </c>
      <c r="S37" s="342">
        <f>$T$37*S17</f>
        <v>7.5123626645647263</v>
      </c>
      <c r="T37" s="343">
        <v>467.54867000000007</v>
      </c>
      <c r="U37" s="342">
        <f t="shared" ref="U37:AD37" si="28">$AE$37*U17</f>
        <v>1260.8028786900798</v>
      </c>
      <c r="V37" s="342">
        <f t="shared" si="28"/>
        <v>59.579445759519885</v>
      </c>
      <c r="W37" s="342">
        <f t="shared" si="28"/>
        <v>14.756526333614024</v>
      </c>
      <c r="X37" s="342">
        <f t="shared" si="28"/>
        <v>1127.2955988845513</v>
      </c>
      <c r="Y37" s="342">
        <f t="shared" si="28"/>
        <v>24.028470260876883</v>
      </c>
      <c r="Z37" s="342">
        <f t="shared" si="28"/>
        <v>22.093190001259725</v>
      </c>
      <c r="AA37" s="342">
        <f t="shared" si="28"/>
        <v>509.65436924244472</v>
      </c>
      <c r="AB37" s="342">
        <f t="shared" si="28"/>
        <v>30.086905761208513</v>
      </c>
      <c r="AC37" s="342">
        <f t="shared" si="28"/>
        <v>0</v>
      </c>
      <c r="AD37" s="342">
        <f t="shared" si="28"/>
        <v>16.290915066445034</v>
      </c>
      <c r="AE37" s="343">
        <v>3064.5882999999999</v>
      </c>
      <c r="AF37" s="342">
        <f t="shared" ref="AF37:AK37" si="29">$AL$37*AF17</f>
        <v>542.915730462542</v>
      </c>
      <c r="AG37" s="342">
        <f t="shared" si="29"/>
        <v>387.74747467759641</v>
      </c>
      <c r="AH37" s="342">
        <f t="shared" si="29"/>
        <v>19.950071082908277</v>
      </c>
      <c r="AI37" s="342">
        <f t="shared" si="29"/>
        <v>42.286161362691871</v>
      </c>
      <c r="AJ37" s="342">
        <f t="shared" si="29"/>
        <v>16.576008737668126</v>
      </c>
      <c r="AK37" s="342">
        <f t="shared" si="29"/>
        <v>18.808483676593269</v>
      </c>
      <c r="AL37" s="343">
        <v>1028.2839300000001</v>
      </c>
      <c r="AM37" s="342">
        <f>$AO$37*AM17</f>
        <v>1607.3270836302129</v>
      </c>
      <c r="AN37" s="342">
        <f>$AO$37*AN17</f>
        <v>104.93026636978701</v>
      </c>
      <c r="AO37" s="343">
        <v>1712.2573499999999</v>
      </c>
      <c r="AP37" s="342">
        <f>$AQ$37*AP17</f>
        <v>269.69493</v>
      </c>
      <c r="AQ37" s="343">
        <v>269.69493</v>
      </c>
      <c r="AR37" s="342">
        <v>9740.6651099999999</v>
      </c>
      <c r="AU37" s="342">
        <f t="shared" ref="AU37:AZ37" si="30">$BA$37*AU17</f>
        <v>1156.6768584657243</v>
      </c>
      <c r="AV37" s="342">
        <f t="shared" si="30"/>
        <v>24.521563436750874</v>
      </c>
      <c r="AW37" s="342">
        <f t="shared" si="30"/>
        <v>609.18640341664764</v>
      </c>
      <c r="AX37" s="342">
        <f t="shared" si="30"/>
        <v>932.20364843100219</v>
      </c>
      <c r="AY37" s="342">
        <f t="shared" si="30"/>
        <v>965.23625940805562</v>
      </c>
      <c r="AZ37" s="342">
        <f t="shared" si="30"/>
        <v>481.17272684181995</v>
      </c>
      <c r="BA37" s="343">
        <v>4168.9974600000005</v>
      </c>
      <c r="BB37" s="342">
        <f>$BC$37*BB17</f>
        <v>4.5149999999999997</v>
      </c>
      <c r="BC37" s="343">
        <v>4.5149999999999997</v>
      </c>
      <c r="BD37" s="342">
        <f>$BE$37*BD17</f>
        <v>26.009340000000002</v>
      </c>
      <c r="BE37" s="343">
        <v>26.009340000000002</v>
      </c>
      <c r="BF37" s="342">
        <f>$BG$37*BF17</f>
        <v>13.566329999999999</v>
      </c>
      <c r="BG37" s="343">
        <v>13.566329999999999</v>
      </c>
      <c r="BH37" s="342">
        <f>$BI$37*BH17</f>
        <v>379.13700999999998</v>
      </c>
      <c r="BI37" s="343">
        <v>379.13700999999998</v>
      </c>
      <c r="BJ37" s="342">
        <f>$BK$37*BJ17</f>
        <v>61.297980000000003</v>
      </c>
      <c r="BK37" s="343">
        <v>61.297980000000003</v>
      </c>
      <c r="BL37" s="342">
        <f>$BO$37*BL17</f>
        <v>23.655059075870568</v>
      </c>
      <c r="BM37" s="342">
        <f>$BO$37*BM17</f>
        <v>31.409380078269869</v>
      </c>
      <c r="BN37" s="342">
        <f>$BO$37*BN17</f>
        <v>12.023810845859565</v>
      </c>
      <c r="BO37" s="343">
        <v>67.088250000000002</v>
      </c>
      <c r="BP37" s="342">
        <v>4720.6113700000005</v>
      </c>
      <c r="BQ37" s="344"/>
      <c r="BS37" s="342">
        <f>$BT$37*BS17</f>
        <v>866.10222999999996</v>
      </c>
      <c r="BT37" s="343">
        <v>866.10222999999996</v>
      </c>
      <c r="BU37" s="342">
        <f>$BW$37*BU17</f>
        <v>336.78410566889875</v>
      </c>
      <c r="BV37" s="342">
        <f>$BW$37*BV17</f>
        <v>10.169134331101176</v>
      </c>
      <c r="BW37" s="343">
        <v>346.95323999999994</v>
      </c>
      <c r="BX37" s="342">
        <f>$CA$37*BX17</f>
        <v>240.88231922630874</v>
      </c>
      <c r="BY37" s="342">
        <f>$CA$37*BY17</f>
        <v>14.335865061448922</v>
      </c>
      <c r="BZ37" s="342">
        <f>$CA$37*BZ17</f>
        <v>154.01203571224232</v>
      </c>
      <c r="CA37" s="343">
        <v>409.23021999999997</v>
      </c>
      <c r="CB37" s="342">
        <f>$CC$37*CB17</f>
        <v>1104.51358</v>
      </c>
      <c r="CC37" s="343">
        <v>1104.51358</v>
      </c>
      <c r="CD37" s="342">
        <f>$CG$37*CD17</f>
        <v>516.88452014940231</v>
      </c>
      <c r="CE37" s="342">
        <f>$CG$37*CE17</f>
        <v>136.0726882261911</v>
      </c>
      <c r="CF37" s="342">
        <f>$CG$37*CF17</f>
        <v>54.064691624406521</v>
      </c>
      <c r="CG37" s="343">
        <v>707.02189999999996</v>
      </c>
      <c r="CH37" s="342">
        <v>3433.8211699999993</v>
      </c>
      <c r="CI37" s="344"/>
      <c r="CK37" s="342">
        <f>$CM$37*CK17</f>
        <v>99.632647830511374</v>
      </c>
      <c r="CL37" s="342">
        <f>$CM$37*CL17</f>
        <v>105.02413951981934</v>
      </c>
      <c r="CM37" s="343">
        <v>204.65716000000003</v>
      </c>
      <c r="CN37" s="342">
        <f>$CO$37*CN17</f>
        <v>118.03898000000001</v>
      </c>
      <c r="CO37" s="343">
        <v>118.03898000000001</v>
      </c>
      <c r="CP37" s="342">
        <f>$CQ$37*CP17</f>
        <v>27.030790000000003</v>
      </c>
      <c r="CQ37" s="343">
        <v>27.030790000000003</v>
      </c>
      <c r="CR37" s="342">
        <f>$CS$37*CR17</f>
        <v>59.628299999999989</v>
      </c>
      <c r="CS37" s="343">
        <v>59.628299999999989</v>
      </c>
      <c r="CT37" s="342">
        <v>0.57111000000000001</v>
      </c>
      <c r="CU37" s="343">
        <v>0.57111000000000001</v>
      </c>
      <c r="CV37" s="342">
        <f>$CW$37*CV17</f>
        <v>41.236500000000021</v>
      </c>
      <c r="CW37" s="343">
        <v>41.236500000000021</v>
      </c>
      <c r="CX37" s="342">
        <v>451.16284000000002</v>
      </c>
      <c r="CY37" s="344"/>
    </row>
    <row r="38" spans="1:110" s="278" customFormat="1" ht="14.25" thickTop="1" thickBot="1">
      <c r="A38" s="345"/>
      <c r="D38" s="346"/>
      <c r="E38" s="283"/>
      <c r="F38" s="347" t="s">
        <v>34</v>
      </c>
      <c r="G38" s="310"/>
      <c r="H38" s="348">
        <f t="shared" ref="H38:O38" si="31">H36-H37</f>
        <v>110339.86983912137</v>
      </c>
      <c r="I38" s="348">
        <f t="shared" si="31"/>
        <v>44220.870105345937</v>
      </c>
      <c r="J38" s="348">
        <f t="shared" si="31"/>
        <v>2918.3337087395039</v>
      </c>
      <c r="K38" s="348">
        <f t="shared" si="31"/>
        <v>9438.1733254087849</v>
      </c>
      <c r="L38" s="348">
        <f t="shared" si="31"/>
        <v>58030.66546931761</v>
      </c>
      <c r="M38" s="348">
        <f t="shared" si="31"/>
        <v>197586.86412540163</v>
      </c>
      <c r="N38" s="348">
        <f t="shared" si="31"/>
        <v>9029.5662626854428</v>
      </c>
      <c r="O38" s="348">
        <f t="shared" si="31"/>
        <v>30601.995418491322</v>
      </c>
      <c r="P38" s="349">
        <v>462166.33825451159</v>
      </c>
      <c r="Q38" s="348">
        <f>Q36-Q37</f>
        <v>12366.309893886055</v>
      </c>
      <c r="R38" s="348">
        <f>R36-R37</f>
        <v>3086.6202842364569</v>
      </c>
      <c r="S38" s="348">
        <f>S36-S37</f>
        <v>252.34533422077826</v>
      </c>
      <c r="T38" s="349">
        <v>15705.275512343291</v>
      </c>
      <c r="U38" s="348">
        <f t="shared" ref="U38:AD38" si="32">U36-U37</f>
        <v>205628.19295121671</v>
      </c>
      <c r="V38" s="348">
        <f t="shared" si="32"/>
        <v>9716.9938105579113</v>
      </c>
      <c r="W38" s="348">
        <f t="shared" si="32"/>
        <v>2406.6869575763203</v>
      </c>
      <c r="X38" s="348">
        <f t="shared" si="32"/>
        <v>183854.08285339901</v>
      </c>
      <c r="Y38" s="348">
        <f t="shared" si="32"/>
        <v>3918.8766163506693</v>
      </c>
      <c r="Z38" s="348">
        <f t="shared" si="32"/>
        <v>3603.2458469692669</v>
      </c>
      <c r="AA38" s="348">
        <f t="shared" si="32"/>
        <v>83121.087957776603</v>
      </c>
      <c r="AB38" s="348">
        <f t="shared" si="32"/>
        <v>4906.9653692404254</v>
      </c>
      <c r="AC38" s="348">
        <f t="shared" si="32"/>
        <v>0</v>
      </c>
      <c r="AD38" s="348">
        <f t="shared" si="32"/>
        <v>2656.9351032218578</v>
      </c>
      <c r="AE38" s="349">
        <v>499813.06746630877</v>
      </c>
      <c r="AF38" s="348">
        <f t="shared" ref="AF38:AK38" si="33">AF36-AF37</f>
        <v>54240.348183647919</v>
      </c>
      <c r="AG38" s="348">
        <f t="shared" si="33"/>
        <v>38738.162948281133</v>
      </c>
      <c r="AH38" s="348">
        <f t="shared" si="33"/>
        <v>1993.1247910307675</v>
      </c>
      <c r="AI38" s="348">
        <f t="shared" si="33"/>
        <v>4224.6263774826693</v>
      </c>
      <c r="AJ38" s="348">
        <f t="shared" si="33"/>
        <v>1656.0369040335643</v>
      </c>
      <c r="AK38" s="348">
        <f t="shared" si="33"/>
        <v>1879.0737607763299</v>
      </c>
      <c r="AL38" s="349">
        <v>102731.37296525238</v>
      </c>
      <c r="AM38" s="348">
        <f>AM36-AM37</f>
        <v>171171.31674394585</v>
      </c>
      <c r="AN38" s="348">
        <f>AN36-AN37</f>
        <v>11174.484673177822</v>
      </c>
      <c r="AO38" s="349">
        <v>182345.80141712367</v>
      </c>
      <c r="AP38" s="348">
        <f>AP36-AP37</f>
        <v>8429.9944872969863</v>
      </c>
      <c r="AQ38" s="349">
        <v>8429.9944872969863</v>
      </c>
      <c r="AR38" s="350">
        <v>1271191.8501028367</v>
      </c>
      <c r="AT38" s="351"/>
      <c r="AU38" s="731">
        <f t="shared" ref="AU38:AZ38" si="34">AU36-AU37</f>
        <v>74789.711440858198</v>
      </c>
      <c r="AV38" s="731">
        <f t="shared" si="34"/>
        <v>1585.5427901842493</v>
      </c>
      <c r="AW38" s="731">
        <f t="shared" si="34"/>
        <v>39389.458682228324</v>
      </c>
      <c r="AX38" s="731">
        <f t="shared" si="34"/>
        <v>60275.470508460814</v>
      </c>
      <c r="AY38" s="731">
        <f t="shared" si="34"/>
        <v>62411.330169722605</v>
      </c>
      <c r="AZ38" s="731">
        <f t="shared" si="34"/>
        <v>31112.206603186733</v>
      </c>
      <c r="BA38" s="353">
        <v>269563.72019464092</v>
      </c>
      <c r="BB38" s="731">
        <f>BB36-BB37</f>
        <v>8126.8282499999996</v>
      </c>
      <c r="BC38" s="353">
        <v>8126.8282499999996</v>
      </c>
      <c r="BD38" s="731">
        <f>BD36-BD37</f>
        <v>5869.0060700000004</v>
      </c>
      <c r="BE38" s="353">
        <v>5869.0060700000004</v>
      </c>
      <c r="BF38" s="731">
        <f>BF36-BF37</f>
        <v>6417.0250199999991</v>
      </c>
      <c r="BG38" s="353">
        <v>6417.0250199999991</v>
      </c>
      <c r="BH38" s="731">
        <f>BH36-BH37</f>
        <v>52541.447358210869</v>
      </c>
      <c r="BI38" s="353">
        <v>52541.447358210869</v>
      </c>
      <c r="BJ38" s="731">
        <f>BJ36-BJ37</f>
        <v>8779.0980225162784</v>
      </c>
      <c r="BK38" s="353">
        <v>8779.0980225162784</v>
      </c>
      <c r="BL38" s="731">
        <f>BL36-BL37</f>
        <v>4082.7295063475231</v>
      </c>
      <c r="BM38" s="731">
        <f>BM36-BM37</f>
        <v>5421.0814866424953</v>
      </c>
      <c r="BN38" s="731">
        <f>BN36-BN37</f>
        <v>2075.2417976079637</v>
      </c>
      <c r="BO38" s="353">
        <v>11579.052790597982</v>
      </c>
      <c r="BP38" s="354">
        <v>362876.17770596599</v>
      </c>
      <c r="BQ38" s="339"/>
      <c r="BR38" s="189"/>
      <c r="BS38" s="731">
        <f>BS36-BS37</f>
        <v>21542.681456091323</v>
      </c>
      <c r="BT38" s="353">
        <v>21542.681456091323</v>
      </c>
      <c r="BU38" s="731">
        <f>BU36-BU37</f>
        <v>52530.540183141718</v>
      </c>
      <c r="BV38" s="731">
        <f>BV36-BV37</f>
        <v>1586.1500308831457</v>
      </c>
      <c r="BW38" s="353">
        <v>54116.690214024864</v>
      </c>
      <c r="BX38" s="731">
        <f>BX36-BX37</f>
        <v>23639.209030389582</v>
      </c>
      <c r="BY38" s="731">
        <f>BY36-BY37</f>
        <v>1406.8633675876576</v>
      </c>
      <c r="BZ38" s="731">
        <f>BZ36-BZ37</f>
        <v>15114.113468731033</v>
      </c>
      <c r="CA38" s="353">
        <v>40160.185866708271</v>
      </c>
      <c r="CB38" s="731">
        <f>CB36-CB37</f>
        <v>83949.991378581093</v>
      </c>
      <c r="CC38" s="353">
        <v>83949.991378581093</v>
      </c>
      <c r="CD38" s="731">
        <f>CD36-CD37</f>
        <v>34391.844584048333</v>
      </c>
      <c r="CE38" s="731">
        <f>CE36-CE37</f>
        <v>9053.8419379558181</v>
      </c>
      <c r="CF38" s="731">
        <f>CF36-CF37</f>
        <v>3597.2918502060097</v>
      </c>
      <c r="CG38" s="353">
        <v>47042.978372210164</v>
      </c>
      <c r="CH38" s="354">
        <v>246812.5272876157</v>
      </c>
      <c r="CI38" s="339"/>
      <c r="CJ38" s="351"/>
      <c r="CK38" s="731">
        <f>CK36-CK37</f>
        <v>27180.800845828879</v>
      </c>
      <c r="CL38" s="731">
        <f>CL36-CL37</f>
        <v>28651.654677981514</v>
      </c>
      <c r="CM38" s="353">
        <v>55832.557186434715</v>
      </c>
      <c r="CN38" s="731">
        <f>CN36-CN37</f>
        <v>11937.031788186769</v>
      </c>
      <c r="CO38" s="353">
        <v>11937.031788186769</v>
      </c>
      <c r="CP38" s="731">
        <f>CP36-CP37</f>
        <v>6565.9766200000013</v>
      </c>
      <c r="CQ38" s="353">
        <v>6565.9766200000013</v>
      </c>
      <c r="CR38" s="731">
        <f>CR36-CR37</f>
        <v>10136.424180000004</v>
      </c>
      <c r="CS38" s="353">
        <v>10136.424180000004</v>
      </c>
      <c r="CT38" s="352">
        <v>2.4816400000000001</v>
      </c>
      <c r="CU38" s="353">
        <v>2.4816400000000001</v>
      </c>
      <c r="CV38" s="731">
        <f>CV36-CV37</f>
        <v>7486.5379200000043</v>
      </c>
      <c r="CW38" s="353">
        <v>7486.5379200000043</v>
      </c>
      <c r="CX38" s="354">
        <v>91961.009334621485</v>
      </c>
      <c r="CY38" s="339"/>
      <c r="CZ38" s="351"/>
      <c r="DB38" s="355">
        <v>1972841.5644310398</v>
      </c>
      <c r="DD38" s="356">
        <v>219823.96075691399</v>
      </c>
      <c r="DF38" s="357">
        <v>2192665.5251879538</v>
      </c>
    </row>
    <row r="39" spans="1:110" s="278" customFormat="1" ht="22.35" customHeight="1" thickTop="1">
      <c r="D39" s="346"/>
      <c r="E39" s="283"/>
      <c r="F39" s="358" t="s">
        <v>1336</v>
      </c>
      <c r="G39" s="359"/>
      <c r="H39" s="360">
        <f t="shared" ref="H39:O39" si="35">IFERROR(H37/H36,0)</f>
        <v>6.8726579601288461E-3</v>
      </c>
      <c r="I39" s="360">
        <f t="shared" si="35"/>
        <v>6.8726579601288461E-3</v>
      </c>
      <c r="J39" s="360">
        <f t="shared" si="35"/>
        <v>6.872657960128847E-3</v>
      </c>
      <c r="K39" s="360">
        <f t="shared" si="35"/>
        <v>6.8726579601288461E-3</v>
      </c>
      <c r="L39" s="360">
        <f t="shared" si="35"/>
        <v>6.8726579601288461E-3</v>
      </c>
      <c r="M39" s="360">
        <f t="shared" si="35"/>
        <v>6.8726579601288461E-3</v>
      </c>
      <c r="N39" s="360">
        <f t="shared" si="35"/>
        <v>6.8726579601288461E-3</v>
      </c>
      <c r="O39" s="360">
        <f t="shared" si="35"/>
        <v>6.8726579601288461E-3</v>
      </c>
      <c r="P39" s="361">
        <v>6.8726579601288461E-3</v>
      </c>
      <c r="Q39" s="360">
        <f>IFERROR(Q37/Q36,0)</f>
        <v>2.8909525307920379E-2</v>
      </c>
      <c r="R39" s="360">
        <f>IFERROR(R37/R36,0)</f>
        <v>2.8909525307920382E-2</v>
      </c>
      <c r="S39" s="360">
        <f>IFERROR(S37/S36,0)</f>
        <v>2.8909525307920382E-2</v>
      </c>
      <c r="T39" s="361">
        <v>2.8909525307920379E-2</v>
      </c>
      <c r="U39" s="360">
        <f t="shared" ref="U39:AD39" si="36">IFERROR(U37/U36,0)</f>
        <v>6.0941031379293147E-3</v>
      </c>
      <c r="V39" s="360">
        <f t="shared" si="36"/>
        <v>6.0941031379293156E-3</v>
      </c>
      <c r="W39" s="360">
        <f t="shared" si="36"/>
        <v>6.0941031379293147E-3</v>
      </c>
      <c r="X39" s="360">
        <f t="shared" si="36"/>
        <v>6.0941031379293138E-3</v>
      </c>
      <c r="Y39" s="360">
        <f t="shared" si="36"/>
        <v>6.0941031379293156E-3</v>
      </c>
      <c r="Z39" s="360">
        <f t="shared" si="36"/>
        <v>6.0941031379293138E-3</v>
      </c>
      <c r="AA39" s="360">
        <f t="shared" si="36"/>
        <v>6.0941031379293147E-3</v>
      </c>
      <c r="AB39" s="360">
        <f t="shared" si="36"/>
        <v>6.0941031379293138E-3</v>
      </c>
      <c r="AC39" s="360">
        <f t="shared" si="36"/>
        <v>0</v>
      </c>
      <c r="AD39" s="360">
        <f t="shared" si="36"/>
        <v>6.0941031379293147E-3</v>
      </c>
      <c r="AE39" s="361">
        <v>6.0941031379293147E-3</v>
      </c>
      <c r="AF39" s="360">
        <f t="shared" ref="AF39:AK39" si="37">IFERROR(AF37/AF36,0)</f>
        <v>9.9102479785382752E-3</v>
      </c>
      <c r="AG39" s="360">
        <f t="shared" si="37"/>
        <v>9.9102479785382752E-3</v>
      </c>
      <c r="AH39" s="360">
        <f t="shared" si="37"/>
        <v>9.910247978538277E-3</v>
      </c>
      <c r="AI39" s="360">
        <f t="shared" si="37"/>
        <v>9.910247978538277E-3</v>
      </c>
      <c r="AJ39" s="360">
        <f t="shared" si="37"/>
        <v>9.910247978538277E-3</v>
      </c>
      <c r="AK39" s="360">
        <f t="shared" si="37"/>
        <v>9.910247978538277E-3</v>
      </c>
      <c r="AL39" s="361">
        <v>9.910247978538277E-3</v>
      </c>
      <c r="AM39" s="360">
        <f>IFERROR(AM37/AM36,0)</f>
        <v>9.3028110883555722E-3</v>
      </c>
      <c r="AN39" s="360">
        <f>IFERROR(AN37/AN36,0)</f>
        <v>9.302811088355574E-3</v>
      </c>
      <c r="AO39" s="361">
        <v>9.302811088355574E-3</v>
      </c>
      <c r="AP39" s="360">
        <f>IFERROR(AP37/AP36,0)</f>
        <v>3.1000523934082563E-2</v>
      </c>
      <c r="AQ39" s="361">
        <v>3.1000523934082563E-2</v>
      </c>
      <c r="AR39" s="360">
        <v>7.6043546356394228E-3</v>
      </c>
      <c r="AT39" s="351"/>
      <c r="AU39" s="360">
        <f t="shared" ref="AU39:AZ39" si="38">IFERROR(AU37/AU36,0)</f>
        <v>1.5230175975017643E-2</v>
      </c>
      <c r="AV39" s="360">
        <f t="shared" si="38"/>
        <v>1.5230175975017647E-2</v>
      </c>
      <c r="AW39" s="360">
        <f t="shared" si="38"/>
        <v>1.5230175975017643E-2</v>
      </c>
      <c r="AX39" s="360">
        <f t="shared" si="38"/>
        <v>1.5230175975017647E-2</v>
      </c>
      <c r="AY39" s="360">
        <f t="shared" si="38"/>
        <v>1.5230175975017645E-2</v>
      </c>
      <c r="AZ39" s="360">
        <f t="shared" si="38"/>
        <v>1.5230175975017645E-2</v>
      </c>
      <c r="BA39" s="362">
        <v>1.5230175975017647E-2</v>
      </c>
      <c r="BB39" s="360">
        <f>IFERROR(BB37/BB36,0)</f>
        <v>5.5525881286588158E-4</v>
      </c>
      <c r="BC39" s="362">
        <v>5.5525881286588158E-4</v>
      </c>
      <c r="BD39" s="360">
        <f>IFERROR(BD37/BD36,0)</f>
        <v>4.4120902476148067E-3</v>
      </c>
      <c r="BE39" s="362">
        <v>4.4120902476148067E-3</v>
      </c>
      <c r="BF39" s="360">
        <f>IFERROR(BF37/BF36,0)</f>
        <v>2.1096551252630913E-3</v>
      </c>
      <c r="BG39" s="362">
        <v>2.1096551252630913E-3</v>
      </c>
      <c r="BH39" s="360">
        <f>IFERROR(BH37/BH36,0)</f>
        <v>7.1642634813334693E-3</v>
      </c>
      <c r="BI39" s="362">
        <v>7.1642634813334693E-3</v>
      </c>
      <c r="BJ39" s="360">
        <f>IFERROR(BJ37/BJ36,0)</f>
        <v>6.9338500201294728E-3</v>
      </c>
      <c r="BK39" s="362">
        <v>6.9338500201294728E-3</v>
      </c>
      <c r="BL39" s="360">
        <f>IFERROR(BL37/BL36,0)</f>
        <v>5.7605562019327301E-3</v>
      </c>
      <c r="BM39" s="360">
        <f>IFERROR(BM37/BM36,0)</f>
        <v>5.7605562019327292E-3</v>
      </c>
      <c r="BN39" s="360">
        <f>IFERROR(BN37/BN36,0)</f>
        <v>5.7605562019327292E-3</v>
      </c>
      <c r="BO39" s="362">
        <v>5.7605562019327301E-3</v>
      </c>
      <c r="BP39" s="363">
        <v>1.2841818835975901E-2</v>
      </c>
      <c r="BQ39" s="364"/>
      <c r="BR39" s="189"/>
      <c r="BS39" s="360">
        <f>IFERROR(BS37/BS36,0)</f>
        <v>3.8650122297247756E-2</v>
      </c>
      <c r="BT39" s="362">
        <v>3.8650122297247756E-2</v>
      </c>
      <c r="BU39" s="360">
        <f>IFERROR(BU37/BU36,0)</f>
        <v>6.3703641180905988E-3</v>
      </c>
      <c r="BV39" s="360">
        <f>IFERROR(BV37/BV36,0)</f>
        <v>6.3703641180905988E-3</v>
      </c>
      <c r="BW39" s="362">
        <v>6.3703641180905988E-3</v>
      </c>
      <c r="BX39" s="360">
        <f>IFERROR(BX37/BX36,0)</f>
        <v>1.0087160710554958E-2</v>
      </c>
      <c r="BY39" s="360">
        <f>IFERROR(BY37/BY36,0)</f>
        <v>1.0087160710554958E-2</v>
      </c>
      <c r="BZ39" s="360">
        <f>IFERROR(BZ37/BZ36,0)</f>
        <v>1.0087160710554958E-2</v>
      </c>
      <c r="CA39" s="362">
        <v>1.008716071055496E-2</v>
      </c>
      <c r="CB39" s="360">
        <f>IFERROR(CB37/CB36,0)</f>
        <v>1.2985950368388646E-2</v>
      </c>
      <c r="CC39" s="362">
        <v>1.2985950368388646E-2</v>
      </c>
      <c r="CD39" s="360">
        <f>IFERROR(CD37/CD36,0)</f>
        <v>1.4806741276847214E-2</v>
      </c>
      <c r="CE39" s="360">
        <f>IFERROR(CE37/CE36,0)</f>
        <v>1.4806741276847215E-2</v>
      </c>
      <c r="CF39" s="360">
        <f>IFERROR(CF37/CF36,0)</f>
        <v>1.4806741276847214E-2</v>
      </c>
      <c r="CG39" s="362">
        <v>1.4806741276847215E-2</v>
      </c>
      <c r="CH39" s="363">
        <v>1.3721763339062614E-2</v>
      </c>
      <c r="CI39" s="364"/>
      <c r="CJ39" s="351"/>
      <c r="CK39" s="360">
        <f>IFERROR(CK37/CK36,0)</f>
        <v>3.6521651261028649E-3</v>
      </c>
      <c r="CL39" s="360">
        <f>IFERROR(CL37/CL36,0)</f>
        <v>3.6521651261028649E-3</v>
      </c>
      <c r="CM39" s="362">
        <v>3.6521651261028653E-3</v>
      </c>
      <c r="CN39" s="360">
        <f>IFERROR(CN37/CN36,0)</f>
        <v>9.791645546495165E-3</v>
      </c>
      <c r="CO39" s="362">
        <v>9.791645546495165E-3</v>
      </c>
      <c r="CP39" s="360">
        <f>IFERROR(CP37/CP36,0)</f>
        <v>4.0999180372527444E-3</v>
      </c>
      <c r="CQ39" s="362">
        <v>4.0999180372527444E-3</v>
      </c>
      <c r="CR39" s="360">
        <f>IFERROR(CR37/CR36,0)</f>
        <v>5.8481750772628391E-3</v>
      </c>
      <c r="CS39" s="362">
        <v>5.8481750772628391E-3</v>
      </c>
      <c r="CT39" s="360">
        <v>0.18708050118745392</v>
      </c>
      <c r="CU39" s="362">
        <v>0.18708050118745392</v>
      </c>
      <c r="CV39" s="360">
        <f>IFERROR(CV37/CV36,0)</f>
        <v>5.4779138825469739E-3</v>
      </c>
      <c r="CW39" s="362">
        <v>5.4779138825469739E-3</v>
      </c>
      <c r="CX39" s="363">
        <v>4.8820715862785413E-3</v>
      </c>
      <c r="CY39" s="364"/>
      <c r="CZ39" s="351"/>
    </row>
    <row r="40" spans="1:110" s="278" customFormat="1" ht="9.6" customHeight="1">
      <c r="D40" s="346"/>
      <c r="E40" s="283"/>
      <c r="F40" s="365"/>
      <c r="G40" s="236"/>
      <c r="H40" s="344"/>
      <c r="I40" s="344"/>
      <c r="J40" s="344"/>
      <c r="K40" s="344"/>
      <c r="L40" s="344"/>
      <c r="M40" s="344"/>
      <c r="N40" s="344"/>
      <c r="O40" s="344"/>
      <c r="P40" s="366"/>
      <c r="Q40" s="344"/>
      <c r="R40" s="344"/>
      <c r="S40" s="344"/>
      <c r="T40" s="366"/>
      <c r="U40" s="344"/>
      <c r="V40" s="344"/>
      <c r="W40" s="344"/>
      <c r="X40" s="344"/>
      <c r="Y40" s="344"/>
      <c r="Z40" s="344"/>
      <c r="AA40" s="344"/>
      <c r="AB40" s="344"/>
      <c r="AC40" s="344"/>
      <c r="AD40" s="344"/>
      <c r="AE40" s="366"/>
      <c r="AF40" s="344"/>
      <c r="AG40" s="344"/>
      <c r="AH40" s="344"/>
      <c r="AI40" s="344"/>
      <c r="AJ40" s="344"/>
      <c r="AK40" s="344"/>
      <c r="AL40" s="366"/>
      <c r="AM40" s="344"/>
      <c r="AN40" s="344"/>
      <c r="AO40" s="366"/>
      <c r="AP40" s="344"/>
      <c r="AQ40" s="366"/>
      <c r="AR40" s="344"/>
      <c r="AT40" s="351"/>
      <c r="AU40" s="367"/>
      <c r="AV40" s="367"/>
      <c r="AW40" s="367"/>
      <c r="AX40" s="367"/>
      <c r="AY40" s="367"/>
      <c r="AZ40" s="367"/>
      <c r="BA40" s="368"/>
      <c r="BB40" s="367"/>
      <c r="BC40" s="368"/>
      <c r="BD40" s="367"/>
      <c r="BE40" s="368"/>
      <c r="BF40" s="367"/>
      <c r="BG40" s="368"/>
      <c r="BH40" s="367"/>
      <c r="BI40" s="368"/>
      <c r="BJ40" s="367"/>
      <c r="BK40" s="368"/>
      <c r="BL40" s="367"/>
      <c r="BM40" s="367"/>
      <c r="BN40" s="367"/>
      <c r="BO40" s="366"/>
      <c r="BP40" s="344"/>
      <c r="BQ40" s="344"/>
      <c r="BR40" s="189"/>
      <c r="BS40" s="367"/>
      <c r="BT40" s="368"/>
      <c r="BU40" s="367"/>
      <c r="BV40" s="367"/>
      <c r="BW40" s="368"/>
      <c r="BX40" s="367"/>
      <c r="BY40" s="367"/>
      <c r="BZ40" s="367"/>
      <c r="CA40" s="368"/>
      <c r="CB40" s="367"/>
      <c r="CC40" s="368"/>
      <c r="CD40" s="367"/>
      <c r="CE40" s="367"/>
      <c r="CF40" s="367"/>
      <c r="CG40" s="368"/>
      <c r="CH40" s="344"/>
      <c r="CI40" s="344"/>
      <c r="CJ40" s="351"/>
      <c r="CK40" s="367"/>
      <c r="CL40" s="367"/>
      <c r="CM40" s="368"/>
      <c r="CN40" s="367"/>
      <c r="CO40" s="368"/>
      <c r="CP40" s="367"/>
      <c r="CQ40" s="368"/>
      <c r="CR40" s="367"/>
      <c r="CS40" s="368"/>
      <c r="CT40" s="367"/>
      <c r="CU40" s="368"/>
      <c r="CV40" s="367"/>
      <c r="CW40" s="368"/>
      <c r="CX40" s="344"/>
      <c r="CY40" s="344"/>
      <c r="CZ40" s="351"/>
    </row>
    <row r="41" spans="1:110" s="278" customFormat="1" ht="17.850000000000001" customHeight="1" outlineLevel="1">
      <c r="C41" s="369" t="s">
        <v>1337</v>
      </c>
      <c r="D41" s="370" t="s">
        <v>1338</v>
      </c>
      <c r="E41" s="371" t="s">
        <v>1298</v>
      </c>
      <c r="F41" s="372" t="s">
        <v>1339</v>
      </c>
      <c r="G41" s="236"/>
      <c r="H41" s="344">
        <f t="shared" ref="H41:O42" si="39">$P41*H$19</f>
        <v>25029.06206413007</v>
      </c>
      <c r="I41" s="344">
        <f t="shared" si="39"/>
        <v>9736.9110512862044</v>
      </c>
      <c r="J41" s="344">
        <f t="shared" si="39"/>
        <v>598.34217392397522</v>
      </c>
      <c r="K41" s="344">
        <f t="shared" si="39"/>
        <v>2039.4934660189729</v>
      </c>
      <c r="L41" s="344">
        <f t="shared" si="39"/>
        <v>12187.142208694155</v>
      </c>
      <c r="M41" s="344">
        <f t="shared" si="39"/>
        <v>42794.516690766322</v>
      </c>
      <c r="N41" s="344">
        <f t="shared" si="39"/>
        <v>2196.6140299578369</v>
      </c>
      <c r="O41" s="344">
        <f t="shared" si="39"/>
        <v>7298.5145411109988</v>
      </c>
      <c r="P41" s="366">
        <v>101880.59622588858</v>
      </c>
      <c r="Q41" s="344">
        <f t="shared" ref="Q41:S42" si="40">$T41*Q$19</f>
        <v>3007.7524293025344</v>
      </c>
      <c r="R41" s="344">
        <f t="shared" si="40"/>
        <v>1098.5525913825657</v>
      </c>
      <c r="S41" s="344">
        <f t="shared" si="40"/>
        <v>68.732318567843279</v>
      </c>
      <c r="T41" s="366">
        <v>4175.0373392529464</v>
      </c>
      <c r="U41" s="344">
        <f t="shared" ref="U41:AD42" si="41">$AE41*U$19</f>
        <v>47267.287132655918</v>
      </c>
      <c r="V41" s="344">
        <f t="shared" si="41"/>
        <v>2678.7648641619867</v>
      </c>
      <c r="W41" s="344">
        <f t="shared" si="41"/>
        <v>793.22207486869434</v>
      </c>
      <c r="X41" s="344">
        <f t="shared" si="41"/>
        <v>43415.026057625051</v>
      </c>
      <c r="Y41" s="344">
        <f t="shared" si="41"/>
        <v>1645.8400951538129</v>
      </c>
      <c r="Z41" s="344">
        <f t="shared" si="41"/>
        <v>1053.0142537009579</v>
      </c>
      <c r="AA41" s="344">
        <f t="shared" si="41"/>
        <v>21011.416115912212</v>
      </c>
      <c r="AB41" s="344">
        <f t="shared" si="41"/>
        <v>1647.228229008439</v>
      </c>
      <c r="AC41" s="344">
        <f t="shared" si="41"/>
        <v>0</v>
      </c>
      <c r="AD41" s="344">
        <f t="shared" si="41"/>
        <v>727.94024004282767</v>
      </c>
      <c r="AE41" s="366">
        <v>120239.73906312991</v>
      </c>
      <c r="AF41" s="344">
        <f t="shared" ref="AF41:AK42" si="42">$AL41*AF$19</f>
        <v>11081.704501132948</v>
      </c>
      <c r="AG41" s="344">
        <f t="shared" si="42"/>
        <v>7464.1355354068355</v>
      </c>
      <c r="AH41" s="344">
        <f t="shared" si="42"/>
        <v>458.15936952031012</v>
      </c>
      <c r="AI41" s="344">
        <f t="shared" si="42"/>
        <v>1023.6209071509467</v>
      </c>
      <c r="AJ41" s="344">
        <f t="shared" si="42"/>
        <v>426.78903318217243</v>
      </c>
      <c r="AK41" s="344">
        <f t="shared" si="42"/>
        <v>494.63089847708386</v>
      </c>
      <c r="AL41" s="366">
        <v>20949.040244870295</v>
      </c>
      <c r="AM41" s="344">
        <f>$AO41*AM$19</f>
        <v>42154.799541849738</v>
      </c>
      <c r="AN41" s="344">
        <f>$AO41*AN$19</f>
        <v>2941.0598800826688</v>
      </c>
      <c r="AO41" s="366">
        <v>45095.859421932408</v>
      </c>
      <c r="AP41" s="344">
        <f>$AQ41*AP$19</f>
        <v>2415.639669927788</v>
      </c>
      <c r="AQ41" s="366">
        <v>2415.639669927788</v>
      </c>
      <c r="AR41" s="344">
        <v>294755.9119650019</v>
      </c>
      <c r="AT41" s="351"/>
      <c r="AU41" s="367">
        <f t="shared" ref="AU41:AZ42" si="43">$BA41*AU$19</f>
        <v>22165.870031747017</v>
      </c>
      <c r="AV41" s="367">
        <f t="shared" si="43"/>
        <v>221.01183048172507</v>
      </c>
      <c r="AW41" s="367">
        <f t="shared" si="43"/>
        <v>11286.387177336783</v>
      </c>
      <c r="AX41" s="367">
        <f t="shared" si="43"/>
        <v>17402.457372632671</v>
      </c>
      <c r="AY41" s="367">
        <f t="shared" si="43"/>
        <v>19754.707639137338</v>
      </c>
      <c r="AZ41" s="367">
        <f t="shared" si="43"/>
        <v>13814.502070210932</v>
      </c>
      <c r="BA41" s="368">
        <v>84644.93612154646</v>
      </c>
      <c r="BB41" s="367">
        <f>$BC41*BB$19</f>
        <v>2679.4574036049044</v>
      </c>
      <c r="BC41" s="368">
        <v>2679.4574036049044</v>
      </c>
      <c r="BD41" s="367">
        <f>$BE41*BD$19</f>
        <v>2041.8929117124528</v>
      </c>
      <c r="BE41" s="368">
        <v>2041.8929117124528</v>
      </c>
      <c r="BF41" s="367">
        <f>$BG41*BF$19</f>
        <v>1702.2850030964878</v>
      </c>
      <c r="BG41" s="368">
        <v>1702.2850030964878</v>
      </c>
      <c r="BH41" s="367">
        <f>$BI41*BH$19</f>
        <v>11355.946637725829</v>
      </c>
      <c r="BI41" s="368">
        <v>11355.946637725829</v>
      </c>
      <c r="BJ41" s="367">
        <f>$BK41*BJ$19</f>
        <v>1381.6422262473679</v>
      </c>
      <c r="BK41" s="368">
        <v>1381.6422262473679</v>
      </c>
      <c r="BL41" s="367">
        <f t="shared" ref="BL41:BN42" si="44">$BO41*BL$19</f>
        <v>884.20992660141781</v>
      </c>
      <c r="BM41" s="367">
        <f t="shared" si="44"/>
        <v>1329.407515029872</v>
      </c>
      <c r="BN41" s="367">
        <f t="shared" si="44"/>
        <v>469.10568662873726</v>
      </c>
      <c r="BO41" s="368">
        <v>2682.723128260026</v>
      </c>
      <c r="BP41" s="344">
        <v>106488.88343219353</v>
      </c>
      <c r="BQ41" s="344"/>
      <c r="BR41" s="189"/>
      <c r="BS41" s="367">
        <f>$BT41*BS$19</f>
        <v>7236.0443368910783</v>
      </c>
      <c r="BT41" s="368">
        <v>7236.0443368910783</v>
      </c>
      <c r="BU41" s="367">
        <f>$BW41*BU$19</f>
        <v>12917.940283957571</v>
      </c>
      <c r="BV41" s="367">
        <f>$BW41*BV$19</f>
        <v>481.44957321497429</v>
      </c>
      <c r="BW41" s="368">
        <v>13399.389857172544</v>
      </c>
      <c r="BX41" s="367">
        <f t="shared" ref="BX41:BZ42" si="45">$CA41*BX$19</f>
        <v>5703.9843922400996</v>
      </c>
      <c r="BY41" s="367">
        <f t="shared" si="45"/>
        <v>424.94507732563704</v>
      </c>
      <c r="BZ41" s="367">
        <f t="shared" si="45"/>
        <v>3612.6470371541513</v>
      </c>
      <c r="CA41" s="368">
        <v>9741.5765067198899</v>
      </c>
      <c r="CB41" s="367">
        <f>$CC41*CB$19</f>
        <v>17558.835148031376</v>
      </c>
      <c r="CC41" s="368">
        <v>17558.835148031376</v>
      </c>
      <c r="CD41" s="367">
        <f t="shared" ref="CD41:CF42" si="46">$CG41*CD$19</f>
        <v>7869.0269937900111</v>
      </c>
      <c r="CE41" s="367">
        <f t="shared" si="46"/>
        <v>2172.3626147148916</v>
      </c>
      <c r="CF41" s="367">
        <f t="shared" si="46"/>
        <v>1001.7324241863887</v>
      </c>
      <c r="CG41" s="368">
        <v>11043.122032691297</v>
      </c>
      <c r="CH41" s="344">
        <v>58978.967881506185</v>
      </c>
      <c r="CI41" s="344"/>
      <c r="CJ41" s="351"/>
      <c r="CK41" s="367">
        <f>$CM41*CK$19</f>
        <v>3765.0389170847698</v>
      </c>
      <c r="CL41" s="367">
        <f>$CM41*CL$19</f>
        <v>4304.7473273697569</v>
      </c>
      <c r="CM41" s="368">
        <v>8069.7884503198065</v>
      </c>
      <c r="CN41" s="367">
        <f>$CO41*CN$19</f>
        <v>3511.7195292273291</v>
      </c>
      <c r="CO41" s="368">
        <v>3511.7195292273291</v>
      </c>
      <c r="CP41" s="367">
        <f>$CQ41*CP$19</f>
        <v>3380.8453111135022</v>
      </c>
      <c r="CQ41" s="368">
        <v>3380.8453111135022</v>
      </c>
      <c r="CR41" s="367">
        <f>$CS41*CR$19</f>
        <v>4733.1470206804743</v>
      </c>
      <c r="CS41" s="368">
        <v>4733.1470206804743</v>
      </c>
      <c r="CT41" s="367"/>
      <c r="CU41" s="368">
        <v>1.6740360854645766</v>
      </c>
      <c r="CV41" s="367">
        <f>$CW41*CV$19</f>
        <v>3588.4242126971731</v>
      </c>
      <c r="CW41" s="368">
        <v>3588.4242126971731</v>
      </c>
      <c r="CX41" s="344">
        <v>23285.598560123748</v>
      </c>
      <c r="CY41" s="344"/>
      <c r="CZ41" s="351"/>
    </row>
    <row r="42" spans="1:110" s="278" customFormat="1" ht="17.850000000000001" customHeight="1" outlineLevel="1">
      <c r="C42" s="369" t="s">
        <v>1340</v>
      </c>
      <c r="D42" s="370" t="s">
        <v>1338</v>
      </c>
      <c r="E42" s="371" t="s">
        <v>1298</v>
      </c>
      <c r="F42" s="372" t="s">
        <v>1340</v>
      </c>
      <c r="G42" s="236"/>
      <c r="H42" s="344">
        <f t="shared" si="39"/>
        <v>3121.1875495523041</v>
      </c>
      <c r="I42" s="344">
        <f t="shared" si="39"/>
        <v>1214.2175150832611</v>
      </c>
      <c r="J42" s="344">
        <f t="shared" si="39"/>
        <v>74.614787355535697</v>
      </c>
      <c r="K42" s="344">
        <f t="shared" si="39"/>
        <v>254.33001033844144</v>
      </c>
      <c r="L42" s="344">
        <f t="shared" si="39"/>
        <v>1519.7675577669177</v>
      </c>
      <c r="M42" s="344">
        <f t="shared" si="39"/>
        <v>5336.5848205614957</v>
      </c>
      <c r="N42" s="344">
        <f t="shared" si="39"/>
        <v>273.92334334820811</v>
      </c>
      <c r="O42" s="344">
        <f t="shared" si="39"/>
        <v>910.14328293943038</v>
      </c>
      <c r="P42" s="366">
        <v>12704.7688669456</v>
      </c>
      <c r="Q42" s="344">
        <f t="shared" si="40"/>
        <v>17.44828241426314</v>
      </c>
      <c r="R42" s="344">
        <f t="shared" si="40"/>
        <v>6.3728170159963744</v>
      </c>
      <c r="S42" s="344">
        <f t="shared" si="40"/>
        <v>0.39872327711391048</v>
      </c>
      <c r="T42" s="366">
        <v>24.219822707373442</v>
      </c>
      <c r="U42" s="344">
        <f t="shared" si="41"/>
        <v>5756.1236194017401</v>
      </c>
      <c r="V42" s="344">
        <f t="shared" si="41"/>
        <v>326.2150768702241</v>
      </c>
      <c r="W42" s="344">
        <f t="shared" si="41"/>
        <v>96.597130860680991</v>
      </c>
      <c r="X42" s="344">
        <f t="shared" si="41"/>
        <v>5287.0023241631243</v>
      </c>
      <c r="Y42" s="344">
        <f t="shared" si="41"/>
        <v>200.42739112328132</v>
      </c>
      <c r="Z42" s="344">
        <f t="shared" si="41"/>
        <v>128.23414638296802</v>
      </c>
      <c r="AA42" s="344">
        <f t="shared" si="41"/>
        <v>2558.7317554834435</v>
      </c>
      <c r="AB42" s="344">
        <f t="shared" si="41"/>
        <v>200.59643552062698</v>
      </c>
      <c r="AC42" s="344">
        <f t="shared" si="41"/>
        <v>0</v>
      </c>
      <c r="AD42" s="344">
        <f t="shared" si="41"/>
        <v>88.647228631165419</v>
      </c>
      <c r="AE42" s="366">
        <v>14642.575108437255</v>
      </c>
      <c r="AF42" s="344">
        <f t="shared" si="42"/>
        <v>2218.3960275432173</v>
      </c>
      <c r="AG42" s="344">
        <f t="shared" si="42"/>
        <v>1494.2113480013679</v>
      </c>
      <c r="AH42" s="344">
        <f t="shared" si="42"/>
        <v>91.71684060170081</v>
      </c>
      <c r="AI42" s="344">
        <f t="shared" si="42"/>
        <v>204.91401425671364</v>
      </c>
      <c r="AJ42" s="344">
        <f t="shared" si="42"/>
        <v>85.436955633814819</v>
      </c>
      <c r="AK42" s="344">
        <f t="shared" si="42"/>
        <v>99.017910121093109</v>
      </c>
      <c r="AL42" s="366">
        <v>4193.6930961579073</v>
      </c>
      <c r="AM42" s="344">
        <f>$AO42*AM$19</f>
        <v>5359.2218272880173</v>
      </c>
      <c r="AN42" s="344">
        <f>$AO42*AN$19</f>
        <v>373.9026748081767</v>
      </c>
      <c r="AO42" s="366">
        <v>5733.1245020961942</v>
      </c>
      <c r="AP42" s="344">
        <f>$AQ42*AP$19</f>
        <v>39.39266419344527</v>
      </c>
      <c r="AQ42" s="366">
        <v>39.39266419344527</v>
      </c>
      <c r="AR42" s="344">
        <v>37337.774060537784</v>
      </c>
      <c r="AT42" s="351"/>
      <c r="AU42" s="367">
        <f t="shared" si="43"/>
        <v>1220.1562451591849</v>
      </c>
      <c r="AV42" s="367">
        <f t="shared" si="43"/>
        <v>12.165954452954347</v>
      </c>
      <c r="AW42" s="367">
        <f t="shared" si="43"/>
        <v>621.27747658848102</v>
      </c>
      <c r="AX42" s="367">
        <f t="shared" si="43"/>
        <v>957.94647419308637</v>
      </c>
      <c r="AY42" s="367">
        <f t="shared" si="43"/>
        <v>1087.4299029392766</v>
      </c>
      <c r="AZ42" s="367">
        <f t="shared" si="43"/>
        <v>760.44165875693591</v>
      </c>
      <c r="BA42" s="368">
        <v>4659.4177120899185</v>
      </c>
      <c r="BB42" s="367">
        <f>$BC42*BB$19</f>
        <v>195.27953839240584</v>
      </c>
      <c r="BC42" s="368">
        <v>195.27953839240584</v>
      </c>
      <c r="BD42" s="367">
        <f>$BE42*BD$19</f>
        <v>81.859450711130322</v>
      </c>
      <c r="BE42" s="368">
        <v>81.859450711130322</v>
      </c>
      <c r="BF42" s="367">
        <f>$BG42*BF$19</f>
        <v>103.78304842529735</v>
      </c>
      <c r="BG42" s="368">
        <v>103.78304842529735</v>
      </c>
      <c r="BH42" s="367">
        <f>$BI42*BH$19</f>
        <v>1887.5781000493644</v>
      </c>
      <c r="BI42" s="368">
        <v>1887.5781000493644</v>
      </c>
      <c r="BJ42" s="367">
        <f>$BK42*BJ$19</f>
        <v>60.916706743355249</v>
      </c>
      <c r="BK42" s="368">
        <v>60.916706743355249</v>
      </c>
      <c r="BL42" s="367">
        <f t="shared" si="44"/>
        <v>122.19353343980987</v>
      </c>
      <c r="BM42" s="367">
        <f t="shared" si="44"/>
        <v>183.7176859881192</v>
      </c>
      <c r="BN42" s="367">
        <f t="shared" si="44"/>
        <v>64.828136035745857</v>
      </c>
      <c r="BO42" s="368">
        <v>370.73935546367477</v>
      </c>
      <c r="BP42" s="344">
        <v>7359.5739118751462</v>
      </c>
      <c r="BQ42" s="344"/>
      <c r="BR42" s="189"/>
      <c r="BS42" s="367">
        <f>$BT42*BS$19</f>
        <v>640.76216343141732</v>
      </c>
      <c r="BT42" s="368">
        <v>640.76216343141732</v>
      </c>
      <c r="BU42" s="367">
        <f>$BW42*BU$19</f>
        <v>1413.7786860195044</v>
      </c>
      <c r="BV42" s="367">
        <f>$BW42*BV$19</f>
        <v>52.691306047436534</v>
      </c>
      <c r="BW42" s="368">
        <v>1466.4699920669409</v>
      </c>
      <c r="BX42" s="367">
        <f t="shared" si="45"/>
        <v>1177.5849064135484</v>
      </c>
      <c r="BY42" s="367">
        <f t="shared" si="45"/>
        <v>87.729712198052681</v>
      </c>
      <c r="BZ42" s="367">
        <f t="shared" si="45"/>
        <v>745.82928889846107</v>
      </c>
      <c r="CA42" s="368">
        <v>2011.1439075100625</v>
      </c>
      <c r="CB42" s="367">
        <f>$CC42*CB$19</f>
        <v>4435.5086011174362</v>
      </c>
      <c r="CC42" s="368">
        <v>4435.5086011174362</v>
      </c>
      <c r="CD42" s="367">
        <f t="shared" si="46"/>
        <v>208.6905573655263</v>
      </c>
      <c r="CE42" s="367">
        <f t="shared" si="46"/>
        <v>57.612150170872923</v>
      </c>
      <c r="CF42" s="367">
        <f t="shared" si="46"/>
        <v>26.56644818978949</v>
      </c>
      <c r="CG42" s="368">
        <v>292.86915572618886</v>
      </c>
      <c r="CH42" s="344">
        <v>8846.7538198520451</v>
      </c>
      <c r="CI42" s="344"/>
      <c r="CJ42" s="351"/>
      <c r="CK42" s="367">
        <f>$CM42*CK$19</f>
        <v>908.6876578551412</v>
      </c>
      <c r="CL42" s="367">
        <f>$CM42*CL$19</f>
        <v>1038.945639795556</v>
      </c>
      <c r="CM42" s="368">
        <v>1947.6338300336549</v>
      </c>
      <c r="CN42" s="367">
        <f>$CO42*CN$19</f>
        <v>79.406413032672418</v>
      </c>
      <c r="CO42" s="368">
        <v>79.406413032672418</v>
      </c>
      <c r="CP42" s="367">
        <f>$CQ42*CP$19</f>
        <v>35.837506752672724</v>
      </c>
      <c r="CQ42" s="368">
        <v>35.837506752672724</v>
      </c>
      <c r="CR42" s="367">
        <f>$CS42*CR$19</f>
        <v>96.088691779735512</v>
      </c>
      <c r="CS42" s="368">
        <v>96.088691779735512</v>
      </c>
      <c r="CT42" s="367"/>
      <c r="CU42" s="368">
        <v>0</v>
      </c>
      <c r="CV42" s="367">
        <f>$CW42*CV$19</f>
        <v>80.417266000293523</v>
      </c>
      <c r="CW42" s="368">
        <v>80.417266000293523</v>
      </c>
      <c r="CX42" s="344">
        <v>2239.3837075990295</v>
      </c>
      <c r="CY42" s="344"/>
      <c r="CZ42" s="351"/>
    </row>
    <row r="43" spans="1:110" s="278" customFormat="1" ht="17.850000000000001" customHeight="1" outlineLevel="1">
      <c r="C43" s="373" t="s">
        <v>1341</v>
      </c>
      <c r="D43" s="370" t="s">
        <v>1338</v>
      </c>
      <c r="E43" s="374" t="s">
        <v>1304</v>
      </c>
      <c r="F43" s="372" t="s">
        <v>1341</v>
      </c>
      <c r="G43" s="236"/>
      <c r="H43" s="344">
        <f t="shared" ref="H43:O43" si="47">$P43*H$17</f>
        <v>729.85018676793391</v>
      </c>
      <c r="I43" s="344">
        <f t="shared" si="47"/>
        <v>292.50179787672909</v>
      </c>
      <c r="J43" s="344">
        <f t="shared" si="47"/>
        <v>19.303506570020481</v>
      </c>
      <c r="K43" s="344">
        <f t="shared" si="47"/>
        <v>62.429406291137475</v>
      </c>
      <c r="L43" s="344">
        <f t="shared" si="47"/>
        <v>383.84758014307806</v>
      </c>
      <c r="M43" s="344">
        <f t="shared" si="47"/>
        <v>1306.9510585346463</v>
      </c>
      <c r="N43" s="344">
        <f t="shared" si="47"/>
        <v>59.726648516652659</v>
      </c>
      <c r="O43" s="344">
        <f t="shared" si="47"/>
        <v>202.41887274493089</v>
      </c>
      <c r="P43" s="366">
        <v>3057.0290574451287</v>
      </c>
      <c r="Q43" s="344">
        <f>$T43*Q$17</f>
        <v>77.021626610678425</v>
      </c>
      <c r="R43" s="344">
        <f>$T43*R$17</f>
        <v>19.224531575012868</v>
      </c>
      <c r="S43" s="344">
        <f>$T43*S$17</f>
        <v>1.5716934377415921</v>
      </c>
      <c r="T43" s="366">
        <v>97.817851623432887</v>
      </c>
      <c r="U43" s="344">
        <f t="shared" ref="U43:AD43" si="48">$AE43*U$17</f>
        <v>1327.8268307309506</v>
      </c>
      <c r="V43" s="344">
        <f t="shared" si="48"/>
        <v>62.746673549605944</v>
      </c>
      <c r="W43" s="344">
        <f t="shared" si="48"/>
        <v>15.540979422983209</v>
      </c>
      <c r="X43" s="344">
        <f t="shared" si="48"/>
        <v>1187.2223387679676</v>
      </c>
      <c r="Y43" s="344">
        <f t="shared" si="48"/>
        <v>25.305817470024856</v>
      </c>
      <c r="Z43" s="344">
        <f t="shared" si="48"/>
        <v>23.267658216792942</v>
      </c>
      <c r="AA43" s="344">
        <f t="shared" si="48"/>
        <v>536.74746252362104</v>
      </c>
      <c r="AB43" s="344">
        <f t="shared" si="48"/>
        <v>31.6863178206833</v>
      </c>
      <c r="AC43" s="344">
        <f t="shared" si="48"/>
        <v>0</v>
      </c>
      <c r="AD43" s="344">
        <f t="shared" si="48"/>
        <v>17.156935860472512</v>
      </c>
      <c r="AE43" s="366">
        <v>3227.5010143631021</v>
      </c>
      <c r="AF43" s="344">
        <f t="shared" ref="AF43:AK43" si="49">$AL43*AF$17</f>
        <v>391.59806224508543</v>
      </c>
      <c r="AG43" s="344">
        <f t="shared" si="49"/>
        <v>279.67721545811474</v>
      </c>
      <c r="AH43" s="344">
        <f t="shared" si="49"/>
        <v>14.389727059598625</v>
      </c>
      <c r="AI43" s="344">
        <f t="shared" si="49"/>
        <v>30.50045876420894</v>
      </c>
      <c r="AJ43" s="344">
        <f t="shared" si="49"/>
        <v>11.9560597293769</v>
      </c>
      <c r="AK43" s="344">
        <f t="shared" si="49"/>
        <v>13.566314896139136</v>
      </c>
      <c r="AL43" s="366">
        <v>741.6878381525238</v>
      </c>
      <c r="AM43" s="344">
        <f>$AO43*AM$17</f>
        <v>1076.6277518105587</v>
      </c>
      <c r="AN43" s="344">
        <f>$AO43*AN$17</f>
        <v>70.284908360678955</v>
      </c>
      <c r="AO43" s="366">
        <v>1146.9126601712378</v>
      </c>
      <c r="AP43" s="344">
        <f>$AQ43*AP$17</f>
        <v>54.004574172969861</v>
      </c>
      <c r="AQ43" s="366">
        <v>54.004574172969861</v>
      </c>
      <c r="AR43" s="344">
        <v>8324.9529959283955</v>
      </c>
      <c r="AT43" s="351"/>
      <c r="AU43" s="367">
        <f t="shared" ref="AU43:AZ43" si="50">$BA43*AU$17</f>
        <v>208.44298499532695</v>
      </c>
      <c r="AV43" s="367">
        <f t="shared" si="50"/>
        <v>4.4189938115374554</v>
      </c>
      <c r="AW43" s="367">
        <f t="shared" si="50"/>
        <v>109.78055920922212</v>
      </c>
      <c r="AX43" s="367">
        <f t="shared" si="50"/>
        <v>167.99100775668404</v>
      </c>
      <c r="AY43" s="367">
        <f t="shared" si="50"/>
        <v>173.94376455634855</v>
      </c>
      <c r="AZ43" s="367">
        <f t="shared" si="50"/>
        <v>86.711408417290571</v>
      </c>
      <c r="BA43" s="368">
        <v>751.2887187464097</v>
      </c>
      <c r="BB43" s="367">
        <f>$BC43*BB$17</f>
        <v>13.840248200000001</v>
      </c>
      <c r="BC43" s="368">
        <v>13.840248200000001</v>
      </c>
      <c r="BD43" s="367">
        <f>$BE43*BD$17</f>
        <v>9.2722299999999986</v>
      </c>
      <c r="BE43" s="368">
        <v>9.2722299999999986</v>
      </c>
      <c r="BF43" s="367">
        <f>$BG43*BF$17</f>
        <v>29.529220000000002</v>
      </c>
      <c r="BG43" s="368">
        <v>29.529220000000002</v>
      </c>
      <c r="BH43" s="367">
        <f>$BI43*BH$17</f>
        <v>321.07404938210868</v>
      </c>
      <c r="BI43" s="368">
        <v>321.07404938210868</v>
      </c>
      <c r="BJ43" s="367">
        <f>$BK43*BJ$17</f>
        <v>63.39506532516279</v>
      </c>
      <c r="BK43" s="368">
        <v>63.39506532516279</v>
      </c>
      <c r="BL43" s="367">
        <f>$BO43*BL$17</f>
        <v>24.794289007896037</v>
      </c>
      <c r="BM43" s="367">
        <f>$BO43*BM$17</f>
        <v>32.922058859445677</v>
      </c>
      <c r="BN43" s="367">
        <f>$BO43*BN$17</f>
        <v>12.602878738638083</v>
      </c>
      <c r="BO43" s="368">
        <v>70.319226605979793</v>
      </c>
      <c r="BP43" s="344">
        <v>1258.7187582596609</v>
      </c>
      <c r="BQ43" s="344"/>
      <c r="BR43" s="189"/>
      <c r="BS43" s="367">
        <f>$BT43*BS$17</f>
        <v>85.629786960913151</v>
      </c>
      <c r="BT43" s="368">
        <v>85.629786960913151</v>
      </c>
      <c r="BU43" s="367">
        <f>$BW43*BU$17</f>
        <v>304.16399565118371</v>
      </c>
      <c r="BV43" s="367">
        <f>$BW43*BV$17</f>
        <v>9.1841760890647635</v>
      </c>
      <c r="BW43" s="368">
        <v>313.34817174024846</v>
      </c>
      <c r="BX43" s="367">
        <f>$CA43*BX$17</f>
        <v>151.0585378506218</v>
      </c>
      <c r="BY43" s="367">
        <f>$CA43*BY$17</f>
        <v>8.9900945074003218</v>
      </c>
      <c r="BZ43" s="367">
        <f>$CA43*BZ$17</f>
        <v>96.581737509060531</v>
      </c>
      <c r="CA43" s="368">
        <v>256.63036986708266</v>
      </c>
      <c r="CB43" s="367">
        <f>$CC43*CB$17</f>
        <v>600.7178044858108</v>
      </c>
      <c r="CC43" s="368">
        <v>600.7178044858108</v>
      </c>
      <c r="CD43" s="367">
        <f>$CG43*CD$17</f>
        <v>236.64569228085722</v>
      </c>
      <c r="CE43" s="367">
        <f>$CG43*CE$17</f>
        <v>62.298277952871814</v>
      </c>
      <c r="CF43" s="367">
        <f>$CG43*CF$17</f>
        <v>24.752485088372673</v>
      </c>
      <c r="CG43" s="368">
        <v>323.69645532210171</v>
      </c>
      <c r="CH43" s="344">
        <v>1580.0225883761566</v>
      </c>
      <c r="CI43" s="344"/>
      <c r="CJ43" s="351"/>
      <c r="CK43" s="367">
        <f>$CM43*CK$17</f>
        <v>229.55918222329103</v>
      </c>
      <c r="CL43" s="367">
        <f>$CM43*CL$17</f>
        <v>241.98148003541627</v>
      </c>
      <c r="CM43" s="368">
        <v>471.54152086434721</v>
      </c>
      <c r="CN43" s="367">
        <f>$CO43*CN$17</f>
        <v>63.704113681867682</v>
      </c>
      <c r="CO43" s="368">
        <v>63.704113681867682</v>
      </c>
      <c r="CP43" s="367">
        <f>$CQ43*CP$17</f>
        <v>0</v>
      </c>
      <c r="CQ43" s="368">
        <v>0</v>
      </c>
      <c r="CR43" s="367">
        <f>$CS43*CR$17</f>
        <v>0</v>
      </c>
      <c r="CS43" s="368">
        <v>0</v>
      </c>
      <c r="CT43" s="367"/>
      <c r="CU43" s="368">
        <v>0</v>
      </c>
      <c r="CV43" s="367">
        <f>$CW43*CV$17</f>
        <v>0</v>
      </c>
      <c r="CW43" s="368">
        <v>0</v>
      </c>
      <c r="CX43" s="344">
        <v>535.24563454621489</v>
      </c>
      <c r="CY43" s="344"/>
      <c r="CZ43" s="351"/>
    </row>
    <row r="44" spans="1:110" s="278" customFormat="1" ht="17.850000000000001" customHeight="1" outlineLevel="1">
      <c r="A44" s="345"/>
      <c r="C44" s="369" t="s">
        <v>1342</v>
      </c>
      <c r="D44" s="370" t="s">
        <v>1338</v>
      </c>
      <c r="E44" s="371" t="s">
        <v>1298</v>
      </c>
      <c r="F44" s="372" t="s">
        <v>1342</v>
      </c>
      <c r="G44" s="236"/>
      <c r="H44" s="344">
        <f t="shared" ref="H44:O45" si="51">$P44*H$19</f>
        <v>17429.421930438068</v>
      </c>
      <c r="I44" s="344">
        <f t="shared" si="51"/>
        <v>6780.4670657326551</v>
      </c>
      <c r="J44" s="344">
        <f t="shared" si="51"/>
        <v>416.66596140821031</v>
      </c>
      <c r="K44" s="344">
        <f t="shared" si="51"/>
        <v>1420.2366853594574</v>
      </c>
      <c r="L44" s="344">
        <f t="shared" si="51"/>
        <v>8486.728073841794</v>
      </c>
      <c r="M44" s="344">
        <f t="shared" si="51"/>
        <v>29800.704708846821</v>
      </c>
      <c r="N44" s="344">
        <f t="shared" si="51"/>
        <v>1529.6503180326326</v>
      </c>
      <c r="O44" s="344">
        <f t="shared" si="51"/>
        <v>5082.4473197007328</v>
      </c>
      <c r="P44" s="366">
        <v>70946.322063360407</v>
      </c>
      <c r="Q44" s="344">
        <f t="shared" ref="Q44:S45" si="52">$T44*Q$19</f>
        <v>780.50101788944141</v>
      </c>
      <c r="R44" s="344">
        <f t="shared" si="52"/>
        <v>285.07047569004976</v>
      </c>
      <c r="S44" s="344">
        <f t="shared" si="52"/>
        <v>17.835791297671026</v>
      </c>
      <c r="T44" s="366">
        <v>1083.407284877163</v>
      </c>
      <c r="U44" s="344">
        <f t="shared" ref="U44:AD45" si="53">$AE44*U$19</f>
        <v>22517.826629018746</v>
      </c>
      <c r="V44" s="344">
        <f t="shared" si="53"/>
        <v>1276.1460716333947</v>
      </c>
      <c r="W44" s="344">
        <f t="shared" si="53"/>
        <v>377.88581159893937</v>
      </c>
      <c r="X44" s="344">
        <f t="shared" si="53"/>
        <v>20682.634633044589</v>
      </c>
      <c r="Y44" s="344">
        <f t="shared" si="53"/>
        <v>784.06746335473167</v>
      </c>
      <c r="Z44" s="344">
        <f t="shared" si="53"/>
        <v>501.64910747208756</v>
      </c>
      <c r="AA44" s="344">
        <f t="shared" si="53"/>
        <v>10009.701297229847</v>
      </c>
      <c r="AB44" s="344">
        <f t="shared" si="53"/>
        <v>784.72876124958691</v>
      </c>
      <c r="AC44" s="344">
        <f t="shared" si="53"/>
        <v>0</v>
      </c>
      <c r="AD44" s="344">
        <f t="shared" si="53"/>
        <v>346.78597220033953</v>
      </c>
      <c r="AE44" s="366">
        <v>57281.425746802262</v>
      </c>
      <c r="AF44" s="344">
        <f t="shared" ref="AF44:AK45" si="54">$AL44*AF$19</f>
        <v>4603.3728918341476</v>
      </c>
      <c r="AG44" s="344">
        <f t="shared" si="54"/>
        <v>3100.6240223383456</v>
      </c>
      <c r="AH44" s="344">
        <f t="shared" si="54"/>
        <v>190.32075991324228</v>
      </c>
      <c r="AI44" s="344">
        <f t="shared" si="54"/>
        <v>425.2151584633574</v>
      </c>
      <c r="AJ44" s="344">
        <f t="shared" si="54"/>
        <v>177.28942922833374</v>
      </c>
      <c r="AK44" s="344">
        <f t="shared" si="54"/>
        <v>205.47114112997585</v>
      </c>
      <c r="AL44" s="366">
        <v>8702.2934029074022</v>
      </c>
      <c r="AM44" s="344">
        <f>$AO44*AM$19</f>
        <v>19692.378884888272</v>
      </c>
      <c r="AN44" s="344">
        <f>$AO44*AN$19</f>
        <v>1373.8996771704403</v>
      </c>
      <c r="AO44" s="366">
        <v>21066.278562058713</v>
      </c>
      <c r="AP44" s="344">
        <f>$AQ44*AP$19</f>
        <v>776.78994621513618</v>
      </c>
      <c r="AQ44" s="366">
        <v>776.78994621513618</v>
      </c>
      <c r="AR44" s="344">
        <v>159856.51700622111</v>
      </c>
      <c r="AT44" s="351"/>
      <c r="AU44" s="367">
        <f t="shared" ref="AU44:AZ45" si="55">$BA44*AU$19</f>
        <v>5059.7149059863623</v>
      </c>
      <c r="AV44" s="367">
        <f t="shared" si="55"/>
        <v>50.44949065775873</v>
      </c>
      <c r="AW44" s="367">
        <f t="shared" si="55"/>
        <v>2576.2986679121759</v>
      </c>
      <c r="AX44" s="367">
        <f t="shared" si="55"/>
        <v>3972.3896622596026</v>
      </c>
      <c r="AY44" s="367">
        <f t="shared" si="55"/>
        <v>4509.3284658796665</v>
      </c>
      <c r="AZ44" s="367">
        <f t="shared" si="55"/>
        <v>3153.3813896461211</v>
      </c>
      <c r="BA44" s="368">
        <v>19321.562582341685</v>
      </c>
      <c r="BB44" s="367">
        <f>$BC44*BB$19</f>
        <v>352.53454999999997</v>
      </c>
      <c r="BC44" s="368">
        <v>352.53454999999997</v>
      </c>
      <c r="BD44" s="367">
        <f>$BE44*BD$19</f>
        <v>399.63022999999998</v>
      </c>
      <c r="BE44" s="368">
        <v>399.63022999999998</v>
      </c>
      <c r="BF44" s="367">
        <f>$BG44*BF$19</f>
        <v>524.21684999999991</v>
      </c>
      <c r="BG44" s="368">
        <v>524.21684999999991</v>
      </c>
      <c r="BH44" s="367">
        <f>$BI44*BH$19</f>
        <v>3397.0437629079015</v>
      </c>
      <c r="BI44" s="368">
        <v>3397.0437629079015</v>
      </c>
      <c r="BJ44" s="367">
        <f>$BK44*BJ$19</f>
        <v>384.43845590216756</v>
      </c>
      <c r="BK44" s="368">
        <v>384.43845590216756</v>
      </c>
      <c r="BL44" s="367">
        <f t="shared" ref="BL44:BN45" si="56">$BO44*BL$19</f>
        <v>244.50410626596528</v>
      </c>
      <c r="BM44" s="367">
        <f t="shared" si="56"/>
        <v>367.61134041436742</v>
      </c>
      <c r="BN44" s="367">
        <f t="shared" si="56"/>
        <v>129.71836574409417</v>
      </c>
      <c r="BO44" s="368">
        <v>741.83381242442658</v>
      </c>
      <c r="BP44" s="344">
        <v>25121.26024357618</v>
      </c>
      <c r="BQ44" s="344"/>
      <c r="BR44" s="189"/>
      <c r="BS44" s="367">
        <f>$BT44*BS$19</f>
        <v>922.3125323250614</v>
      </c>
      <c r="BT44" s="368">
        <v>922.3125323250614</v>
      </c>
      <c r="BU44" s="367">
        <f>$BW44*BU$19</f>
        <v>2178.0380846917283</v>
      </c>
      <c r="BV44" s="367">
        <f>$BW44*BV$19</f>
        <v>81.175131891810864</v>
      </c>
      <c r="BW44" s="368">
        <v>2259.2132165835387</v>
      </c>
      <c r="BX44" s="367">
        <f t="shared" ref="BX44:BZ45" si="57">$CA44*BX$19</f>
        <v>2402.3426514285579</v>
      </c>
      <c r="BY44" s="367">
        <f t="shared" si="57"/>
        <v>178.97378631729833</v>
      </c>
      <c r="BZ44" s="367">
        <f t="shared" si="57"/>
        <v>1521.5357310092561</v>
      </c>
      <c r="CA44" s="368">
        <v>4102.8521687551129</v>
      </c>
      <c r="CB44" s="367">
        <f>$CC44*CB$19</f>
        <v>7592.8442857400332</v>
      </c>
      <c r="CC44" s="368">
        <v>7592.8442857400332</v>
      </c>
      <c r="CD44" s="367">
        <f t="shared" ref="CD44:CF45" si="58">$CG44*CD$19</f>
        <v>3547.0440436026502</v>
      </c>
      <c r="CE44" s="367">
        <f t="shared" si="58"/>
        <v>979.21456860555281</v>
      </c>
      <c r="CF44" s="367">
        <f t="shared" si="58"/>
        <v>451.54109031498285</v>
      </c>
      <c r="CG44" s="368">
        <v>4977.799702523188</v>
      </c>
      <c r="CH44" s="344">
        <v>19855.021905926933</v>
      </c>
      <c r="CI44" s="344"/>
      <c r="CJ44" s="351"/>
      <c r="CK44" s="367">
        <f>$CM44*CK$19</f>
        <v>2344.8973331687143</v>
      </c>
      <c r="CL44" s="367">
        <f>$CM44*CL$19</f>
        <v>2681.0321885677395</v>
      </c>
      <c r="CM44" s="368">
        <v>5025.9308955675688</v>
      </c>
      <c r="CN44" s="367">
        <f>$CO44*CN$19</f>
        <v>893.75009728170562</v>
      </c>
      <c r="CO44" s="368">
        <v>893.75009728170562</v>
      </c>
      <c r="CP44" s="367">
        <f>$CQ44*CP$19</f>
        <v>77.938870000000009</v>
      </c>
      <c r="CQ44" s="368">
        <v>77.938870000000009</v>
      </c>
      <c r="CR44" s="367">
        <f>$CS44*CR$19</f>
        <v>800.02527000000021</v>
      </c>
      <c r="CS44" s="368">
        <v>800.02527000000021</v>
      </c>
      <c r="CT44" s="367">
        <v>0</v>
      </c>
      <c r="CU44" s="368">
        <v>0</v>
      </c>
      <c r="CV44" s="367">
        <f>$CW44*CV$19</f>
        <v>849.6774999999999</v>
      </c>
      <c r="CW44" s="368">
        <v>849.6774999999999</v>
      </c>
      <c r="CX44" s="344">
        <v>7647.3226328492747</v>
      </c>
      <c r="CY44" s="344"/>
      <c r="CZ44" s="351"/>
    </row>
    <row r="45" spans="1:110" s="278" customFormat="1" ht="17.850000000000001" customHeight="1" outlineLevel="1">
      <c r="A45" s="345"/>
      <c r="C45" s="369" t="s">
        <v>1343</v>
      </c>
      <c r="D45" s="370" t="s">
        <v>1338</v>
      </c>
      <c r="E45" s="371" t="s">
        <v>1298</v>
      </c>
      <c r="F45" s="375" t="s">
        <v>1343</v>
      </c>
      <c r="G45" s="236"/>
      <c r="H45" s="342">
        <f t="shared" si="51"/>
        <v>1590.1738955336175</v>
      </c>
      <c r="I45" s="342">
        <f t="shared" si="51"/>
        <v>618.61614059752685</v>
      </c>
      <c r="J45" s="342">
        <f t="shared" si="51"/>
        <v>38.014532991003271</v>
      </c>
      <c r="K45" s="342">
        <f t="shared" si="51"/>
        <v>129.57534171536568</v>
      </c>
      <c r="L45" s="342">
        <f t="shared" si="51"/>
        <v>774.28692101071488</v>
      </c>
      <c r="M45" s="342">
        <f t="shared" si="51"/>
        <v>2718.8682955547065</v>
      </c>
      <c r="N45" s="342">
        <f t="shared" si="51"/>
        <v>139.55769816911265</v>
      </c>
      <c r="O45" s="342">
        <f t="shared" si="51"/>
        <v>463.69725200689874</v>
      </c>
      <c r="P45" s="343">
        <v>6472.7900775789494</v>
      </c>
      <c r="Q45" s="342">
        <f t="shared" si="52"/>
        <v>524.67701894231607</v>
      </c>
      <c r="R45" s="342">
        <f t="shared" si="52"/>
        <v>191.63322525571638</v>
      </c>
      <c r="S45" s="342">
        <f t="shared" si="52"/>
        <v>11.989772715280314</v>
      </c>
      <c r="T45" s="343">
        <v>728.30001691331324</v>
      </c>
      <c r="U45" s="342">
        <f t="shared" si="53"/>
        <v>2657.6874867298238</v>
      </c>
      <c r="V45" s="342">
        <f t="shared" si="53"/>
        <v>150.61833016552049</v>
      </c>
      <c r="W45" s="342">
        <f t="shared" si="53"/>
        <v>44.600325308704498</v>
      </c>
      <c r="X45" s="342">
        <f t="shared" si="53"/>
        <v>2441.0872400096637</v>
      </c>
      <c r="Y45" s="342">
        <f t="shared" si="53"/>
        <v>92.540293539007081</v>
      </c>
      <c r="Z45" s="342">
        <f t="shared" si="53"/>
        <v>59.20760371871863</v>
      </c>
      <c r="AA45" s="342">
        <f t="shared" si="53"/>
        <v>1181.4043300816686</v>
      </c>
      <c r="AB45" s="342">
        <f t="shared" si="53"/>
        <v>92.618343839736042</v>
      </c>
      <c r="AC45" s="342">
        <f t="shared" si="53"/>
        <v>0</v>
      </c>
      <c r="AD45" s="342">
        <f t="shared" si="53"/>
        <v>40.929737761749585</v>
      </c>
      <c r="AE45" s="343">
        <v>6760.6936911545927</v>
      </c>
      <c r="AF45" s="342">
        <f t="shared" si="54"/>
        <v>1143.4410082417833</v>
      </c>
      <c r="AG45" s="342">
        <f t="shared" si="54"/>
        <v>770.17020814680211</v>
      </c>
      <c r="AH45" s="342">
        <f t="shared" si="54"/>
        <v>47.274154564053219</v>
      </c>
      <c r="AI45" s="342">
        <f t="shared" si="54"/>
        <v>105.62004446250894</v>
      </c>
      <c r="AJ45" s="342">
        <f t="shared" si="54"/>
        <v>44.037276247392015</v>
      </c>
      <c r="AK45" s="342">
        <f t="shared" si="54"/>
        <v>51.037388084509317</v>
      </c>
      <c r="AL45" s="343">
        <v>2161.5800797470488</v>
      </c>
      <c r="AM45" s="342">
        <f>$AO45*AM$19</f>
        <v>1768.7313046255047</v>
      </c>
      <c r="AN45" s="342">
        <f>$AO45*AN$19</f>
        <v>123.40100617762515</v>
      </c>
      <c r="AO45" s="343">
        <v>1892.1323108031299</v>
      </c>
      <c r="AP45" s="342">
        <f>$AQ45*AP$19</f>
        <v>804.15046091944009</v>
      </c>
      <c r="AQ45" s="343">
        <v>804.15046091944009</v>
      </c>
      <c r="AR45" s="342">
        <v>18819.646637116475</v>
      </c>
      <c r="AT45" s="351"/>
      <c r="AU45" s="376">
        <f t="shared" si="55"/>
        <v>1334.8578385817336</v>
      </c>
      <c r="AV45" s="376">
        <f t="shared" si="55"/>
        <v>13.309623033758079</v>
      </c>
      <c r="AW45" s="376">
        <f t="shared" si="55"/>
        <v>679.68107596762616</v>
      </c>
      <c r="AX45" s="376">
        <f t="shared" si="55"/>
        <v>1047.9988649745019</v>
      </c>
      <c r="AY45" s="376">
        <f t="shared" si="55"/>
        <v>1189.6544689301593</v>
      </c>
      <c r="AZ45" s="376">
        <f t="shared" si="55"/>
        <v>831.92747896263188</v>
      </c>
      <c r="BA45" s="377">
        <v>5097.4293504504103</v>
      </c>
      <c r="BB45" s="377">
        <f>$BC45*BB$19</f>
        <v>335.81998644154805</v>
      </c>
      <c r="BC45" s="377">
        <v>335.81998644154805</v>
      </c>
      <c r="BD45" s="377">
        <f>$BE45*BD$19</f>
        <v>288.71112645909005</v>
      </c>
      <c r="BE45" s="377">
        <v>288.71112645909005</v>
      </c>
      <c r="BF45" s="377">
        <f>$BG45*BF$19</f>
        <v>681.60270418842219</v>
      </c>
      <c r="BG45" s="377">
        <v>681.60270418842219</v>
      </c>
      <c r="BH45" s="377">
        <f>$BI45*BH$19</f>
        <v>352.69398101731412</v>
      </c>
      <c r="BI45" s="377">
        <v>352.69398101731412</v>
      </c>
      <c r="BJ45" s="377">
        <f>$BK45*BJ$19</f>
        <v>981.3709486556013</v>
      </c>
      <c r="BK45" s="377">
        <v>981.3709486556013</v>
      </c>
      <c r="BL45" s="376">
        <f t="shared" si="56"/>
        <v>96.951888595225199</v>
      </c>
      <c r="BM45" s="376">
        <f t="shared" si="56"/>
        <v>145.76693318772413</v>
      </c>
      <c r="BN45" s="376">
        <f t="shared" si="56"/>
        <v>51.43652078667246</v>
      </c>
      <c r="BO45" s="377">
        <v>294.15534256962167</v>
      </c>
      <c r="BP45" s="342">
        <v>8031.7834397820079</v>
      </c>
      <c r="BQ45" s="344"/>
      <c r="BR45" s="189"/>
      <c r="BS45" s="367">
        <f>$BT45*BS$19</f>
        <v>341.64396496617184</v>
      </c>
      <c r="BT45" s="368">
        <v>341.64396496617184</v>
      </c>
      <c r="BU45" s="367">
        <f>$BW45*BU$19</f>
        <v>439.68189557191221</v>
      </c>
      <c r="BV45" s="367">
        <f>$BW45*BV$19</f>
        <v>16.386874092949114</v>
      </c>
      <c r="BW45" s="368">
        <v>456.06876966486129</v>
      </c>
      <c r="BX45" s="367">
        <f t="shared" si="57"/>
        <v>802.04037753989951</v>
      </c>
      <c r="BY45" s="367">
        <f t="shared" si="57"/>
        <v>59.75176066674436</v>
      </c>
      <c r="BZ45" s="367">
        <f t="shared" si="57"/>
        <v>507.97628365522178</v>
      </c>
      <c r="CA45" s="368">
        <v>1369.7684218618658</v>
      </c>
      <c r="CB45" s="367">
        <f>$CC45*CB$19</f>
        <v>1095.7382812076467</v>
      </c>
      <c r="CC45" s="368">
        <v>1095.7382812076467</v>
      </c>
      <c r="CD45" s="367">
        <f t="shared" si="58"/>
        <v>3825.7512363230326</v>
      </c>
      <c r="CE45" s="367">
        <f t="shared" si="58"/>
        <v>1056.1558583476901</v>
      </c>
      <c r="CF45" s="367">
        <f t="shared" si="58"/>
        <v>487.02070323565266</v>
      </c>
      <c r="CG45" s="368">
        <v>5368.9277979063781</v>
      </c>
      <c r="CH45" s="344">
        <v>8632.1472356069244</v>
      </c>
      <c r="CI45" s="344"/>
      <c r="CJ45" s="351"/>
      <c r="CK45" s="367">
        <f>$CM45*CK$19</f>
        <v>1627.3280677820485</v>
      </c>
      <c r="CL45" s="367">
        <f>$CM45*CL$19</f>
        <v>1860.6012593257988</v>
      </c>
      <c r="CM45" s="377">
        <v>3487.9302805286652</v>
      </c>
      <c r="CN45" s="367">
        <f>$CO45*CN$19</f>
        <v>1687.6175351036445</v>
      </c>
      <c r="CO45" s="377">
        <v>1687.6175351036445</v>
      </c>
      <c r="CP45" s="367">
        <f>$CQ45*CP$19</f>
        <v>86.338705516453004</v>
      </c>
      <c r="CQ45" s="377">
        <v>86.338705516453004</v>
      </c>
      <c r="CR45" s="367">
        <f>$CS45*CR$19</f>
        <v>126.12311741306684</v>
      </c>
      <c r="CS45" s="377">
        <v>126.12311741306684</v>
      </c>
      <c r="CT45" s="367">
        <v>3.4682374663314419E-2</v>
      </c>
      <c r="CU45" s="377">
        <v>3.4682374663314419E-2</v>
      </c>
      <c r="CV45" s="367">
        <f>$CW45*CV$19</f>
        <v>97.391235493200455</v>
      </c>
      <c r="CW45" s="377">
        <v>97.391235493200455</v>
      </c>
      <c r="CX45" s="342">
        <v>5485.4355564296939</v>
      </c>
      <c r="CY45" s="344"/>
      <c r="CZ45" s="351"/>
    </row>
    <row r="46" spans="1:110" s="278" customFormat="1">
      <c r="C46" s="288"/>
      <c r="D46" s="346"/>
      <c r="E46" s="289"/>
      <c r="F46" s="315" t="s">
        <v>1344</v>
      </c>
      <c r="G46" s="236"/>
      <c r="H46" s="344">
        <f t="shared" ref="H46:O46" si="59">SUM(H41:H45)</f>
        <v>47899.695626421992</v>
      </c>
      <c r="I46" s="344">
        <f t="shared" si="59"/>
        <v>18642.713570576376</v>
      </c>
      <c r="J46" s="344">
        <f t="shared" si="59"/>
        <v>1146.9409622487449</v>
      </c>
      <c r="K46" s="344">
        <f t="shared" si="59"/>
        <v>3906.0649097233745</v>
      </c>
      <c r="L46" s="344">
        <f t="shared" si="59"/>
        <v>23351.772341456661</v>
      </c>
      <c r="M46" s="344">
        <f t="shared" si="59"/>
        <v>81957.625574263991</v>
      </c>
      <c r="N46" s="344">
        <f t="shared" si="59"/>
        <v>4199.4720380244435</v>
      </c>
      <c r="O46" s="344">
        <f t="shared" si="59"/>
        <v>13957.221268502992</v>
      </c>
      <c r="P46" s="366">
        <v>195061.50629121868</v>
      </c>
      <c r="Q46" s="344">
        <f>SUM(Q41:Q45)</f>
        <v>4407.4003751592336</v>
      </c>
      <c r="R46" s="344">
        <f>SUM(R41:R45)</f>
        <v>1600.8536409193409</v>
      </c>
      <c r="S46" s="344">
        <f>SUM(S41:S45)</f>
        <v>100.52829929565011</v>
      </c>
      <c r="T46" s="366">
        <v>6108.7823153742283</v>
      </c>
      <c r="U46" s="344">
        <f t="shared" ref="U46:AD46" si="60">SUM(U41:U45)</f>
        <v>79526.751698537177</v>
      </c>
      <c r="V46" s="344">
        <f t="shared" si="60"/>
        <v>4494.4910163807317</v>
      </c>
      <c r="W46" s="344">
        <f t="shared" si="60"/>
        <v>1327.8463220600024</v>
      </c>
      <c r="X46" s="344">
        <f t="shared" si="60"/>
        <v>73012.972593610393</v>
      </c>
      <c r="Y46" s="344">
        <f t="shared" si="60"/>
        <v>2748.1810606408576</v>
      </c>
      <c r="Z46" s="344">
        <f t="shared" si="60"/>
        <v>1765.3727694915251</v>
      </c>
      <c r="AA46" s="344">
        <f t="shared" si="60"/>
        <v>35298.000961230791</v>
      </c>
      <c r="AB46" s="344">
        <f t="shared" si="60"/>
        <v>2756.8580874390723</v>
      </c>
      <c r="AC46" s="344">
        <f t="shared" si="60"/>
        <v>0</v>
      </c>
      <c r="AD46" s="344">
        <f t="shared" si="60"/>
        <v>1221.4601144965545</v>
      </c>
      <c r="AE46" s="366">
        <v>202151.93462388712</v>
      </c>
      <c r="AF46" s="344">
        <f t="shared" ref="AF46:AK46" si="61">SUM(AF41:AF45)</f>
        <v>19438.512490997178</v>
      </c>
      <c r="AG46" s="344">
        <f t="shared" si="61"/>
        <v>13108.818329351467</v>
      </c>
      <c r="AH46" s="344">
        <f t="shared" si="61"/>
        <v>801.86085165890506</v>
      </c>
      <c r="AI46" s="344">
        <f t="shared" si="61"/>
        <v>1789.8705830977358</v>
      </c>
      <c r="AJ46" s="344">
        <f t="shared" si="61"/>
        <v>745.50875402108989</v>
      </c>
      <c r="AK46" s="344">
        <f t="shared" si="61"/>
        <v>863.7236527088013</v>
      </c>
      <c r="AL46" s="366">
        <v>36748.294661835178</v>
      </c>
      <c r="AM46" s="344">
        <f>SUM(AM41:AM45)</f>
        <v>70051.75931046209</v>
      </c>
      <c r="AN46" s="344">
        <f>SUM(AN41:AN45)</f>
        <v>4882.5481465995899</v>
      </c>
      <c r="AO46" s="366">
        <v>74934.307457061688</v>
      </c>
      <c r="AP46" s="344">
        <f>SUM(AP41:AP45)</f>
        <v>4089.9773154287795</v>
      </c>
      <c r="AQ46" s="366">
        <v>4089.9773154287795</v>
      </c>
      <c r="AR46" s="378">
        <v>519094.80266480573</v>
      </c>
      <c r="AT46" s="351"/>
      <c r="AU46" s="344">
        <f t="shared" ref="AU46:AZ46" si="62">SUM(AU41:AU45)</f>
        <v>29989.042006469626</v>
      </c>
      <c r="AV46" s="344">
        <f t="shared" si="62"/>
        <v>301.3558924377337</v>
      </c>
      <c r="AW46" s="344">
        <f t="shared" si="62"/>
        <v>15273.424957014289</v>
      </c>
      <c r="AX46" s="344">
        <f t="shared" si="62"/>
        <v>23548.783381816549</v>
      </c>
      <c r="AY46" s="344">
        <f t="shared" si="62"/>
        <v>26715.064241442786</v>
      </c>
      <c r="AZ46" s="344">
        <f t="shared" si="62"/>
        <v>18646.964005993912</v>
      </c>
      <c r="BA46" s="366">
        <v>114474.63448517489</v>
      </c>
      <c r="BB46" s="344">
        <f>SUM(BB41:BB45)</f>
        <v>3576.931726638858</v>
      </c>
      <c r="BC46" s="366">
        <v>3576.931726638858</v>
      </c>
      <c r="BD46" s="344">
        <f>SUM(BD41:BD45)</f>
        <v>2821.3659488826729</v>
      </c>
      <c r="BE46" s="366">
        <v>2821.3659488826729</v>
      </c>
      <c r="BF46" s="344">
        <f>SUM(BF41:BF45)</f>
        <v>3041.4168257102069</v>
      </c>
      <c r="BG46" s="366">
        <v>3041.4168257102069</v>
      </c>
      <c r="BH46" s="344">
        <f>SUM(BH41:BH45)</f>
        <v>17314.336531082517</v>
      </c>
      <c r="BI46" s="366">
        <v>17314.336531082517</v>
      </c>
      <c r="BJ46" s="344">
        <f>SUM(BJ41:BJ45)</f>
        <v>2871.7634028736547</v>
      </c>
      <c r="BK46" s="366">
        <v>2871.7634028736547</v>
      </c>
      <c r="BL46" s="344">
        <f>SUM(BL41:BL45)</f>
        <v>1372.653743910314</v>
      </c>
      <c r="BM46" s="344">
        <f>SUM(BM41:BM45)</f>
        <v>2059.4255334795284</v>
      </c>
      <c r="BN46" s="344">
        <f>SUM(BN41:BN45)</f>
        <v>727.69158793388783</v>
      </c>
      <c r="BO46" s="366">
        <v>4159.7708653237287</v>
      </c>
      <c r="BP46" s="379">
        <v>148260.21978568655</v>
      </c>
      <c r="BQ46" s="344"/>
      <c r="BR46" s="351"/>
      <c r="BS46" s="380">
        <f>SUM(BS41:BS45)</f>
        <v>9226.3927845746421</v>
      </c>
      <c r="BT46" s="381">
        <v>9226.3927845746421</v>
      </c>
      <c r="BU46" s="380">
        <f>SUM(BU41:BU45)</f>
        <v>17253.6029458919</v>
      </c>
      <c r="BV46" s="380">
        <f>SUM(BV41:BV45)</f>
        <v>640.88706133623566</v>
      </c>
      <c r="BW46" s="381">
        <v>17894.490007228131</v>
      </c>
      <c r="BX46" s="380">
        <f>SUM(BX41:BX45)</f>
        <v>10237.010865472726</v>
      </c>
      <c r="BY46" s="380">
        <f>SUM(BY41:BY45)</f>
        <v>760.39043101513266</v>
      </c>
      <c r="BZ46" s="380">
        <f>SUM(BZ41:BZ45)</f>
        <v>6484.5700782261511</v>
      </c>
      <c r="CA46" s="381">
        <v>17481.971374714012</v>
      </c>
      <c r="CB46" s="380">
        <f>SUM(CB41:CB45)</f>
        <v>31283.644120582303</v>
      </c>
      <c r="CC46" s="381">
        <v>31283.644120582303</v>
      </c>
      <c r="CD46" s="380">
        <f>SUM(CD41:CD45)</f>
        <v>15687.158523362077</v>
      </c>
      <c r="CE46" s="380">
        <f>SUM(CE41:CE45)</f>
        <v>4327.6434697918794</v>
      </c>
      <c r="CF46" s="380">
        <f>SUM(CF41:CF45)</f>
        <v>1991.6131510151865</v>
      </c>
      <c r="CG46" s="381">
        <v>22006.415144169154</v>
      </c>
      <c r="CH46" s="382">
        <v>97892.913431268244</v>
      </c>
      <c r="CI46" s="344"/>
      <c r="CJ46" s="351"/>
      <c r="CK46" s="380">
        <f>SUM(CK41:CK45)</f>
        <v>8875.5111581139645</v>
      </c>
      <c r="CL46" s="380">
        <f>SUM(CL41:CL45)</f>
        <v>10127.307895094265</v>
      </c>
      <c r="CM46" s="381">
        <v>19002.824977314041</v>
      </c>
      <c r="CN46" s="380">
        <f>SUM(CN41:CN45)</f>
        <v>6236.1976883272191</v>
      </c>
      <c r="CO46" s="381">
        <v>6236.1976883272191</v>
      </c>
      <c r="CP46" s="380">
        <f>SUM(CP41:CP45)</f>
        <v>3580.9603933826279</v>
      </c>
      <c r="CQ46" s="381">
        <v>3580.9603933826279</v>
      </c>
      <c r="CR46" s="380">
        <f>SUM(CR41:CR45)</f>
        <v>5755.3840998732767</v>
      </c>
      <c r="CS46" s="381">
        <v>5755.3840998732767</v>
      </c>
      <c r="CT46" s="380"/>
      <c r="CU46" s="381">
        <v>1.7087184601278911</v>
      </c>
      <c r="CV46" s="380">
        <f>SUM(CV41:CV45)</f>
        <v>4615.9102141906678</v>
      </c>
      <c r="CW46" s="381">
        <v>4615.9102141906678</v>
      </c>
      <c r="CX46" s="382">
        <v>39192.986091547958</v>
      </c>
      <c r="CY46" s="344"/>
      <c r="CZ46" s="351"/>
      <c r="DB46" s="355">
        <v>804440.92197330843</v>
      </c>
      <c r="DD46" s="383"/>
    </row>
    <row r="47" spans="1:110" s="278" customFormat="1" ht="6.6" customHeight="1" thickBot="1">
      <c r="C47" s="288"/>
      <c r="D47" s="346"/>
      <c r="E47" s="289"/>
      <c r="F47" s="384"/>
      <c r="G47" s="236"/>
      <c r="H47" s="344"/>
      <c r="I47" s="344"/>
      <c r="J47" s="344"/>
      <c r="K47" s="344"/>
      <c r="L47" s="344"/>
      <c r="M47" s="344"/>
      <c r="N47" s="344"/>
      <c r="O47" s="344"/>
      <c r="P47" s="366"/>
      <c r="Q47" s="344"/>
      <c r="R47" s="344"/>
      <c r="S47" s="344"/>
      <c r="T47" s="366"/>
      <c r="U47" s="344"/>
      <c r="V47" s="344"/>
      <c r="W47" s="344"/>
      <c r="X47" s="344"/>
      <c r="Y47" s="344"/>
      <c r="Z47" s="344"/>
      <c r="AA47" s="344"/>
      <c r="AB47" s="344"/>
      <c r="AC47" s="344"/>
      <c r="AD47" s="344"/>
      <c r="AE47" s="366"/>
      <c r="AF47" s="344"/>
      <c r="AG47" s="344"/>
      <c r="AH47" s="344"/>
      <c r="AI47" s="344"/>
      <c r="AJ47" s="344"/>
      <c r="AK47" s="344"/>
      <c r="AL47" s="366"/>
      <c r="AM47" s="344"/>
      <c r="AN47" s="344"/>
      <c r="AO47" s="366"/>
      <c r="AP47" s="344"/>
      <c r="AQ47" s="366"/>
      <c r="AR47" s="378"/>
      <c r="AT47" s="351"/>
      <c r="AU47" s="367"/>
      <c r="AV47" s="367"/>
      <c r="AW47" s="367"/>
      <c r="AX47" s="367"/>
      <c r="AY47" s="367"/>
      <c r="AZ47" s="367"/>
      <c r="BA47" s="368"/>
      <c r="BB47" s="367"/>
      <c r="BC47" s="368"/>
      <c r="BD47" s="367"/>
      <c r="BE47" s="368"/>
      <c r="BF47" s="367"/>
      <c r="BG47" s="368"/>
      <c r="BH47" s="367"/>
      <c r="BI47" s="368"/>
      <c r="BJ47" s="367"/>
      <c r="BK47" s="368"/>
      <c r="BL47" s="367"/>
      <c r="BM47" s="367"/>
      <c r="BN47" s="367"/>
      <c r="BO47" s="368"/>
      <c r="BP47" s="385"/>
      <c r="BQ47" s="367"/>
      <c r="BR47" s="351"/>
      <c r="BS47" s="367"/>
      <c r="BT47" s="368"/>
      <c r="BU47" s="367"/>
      <c r="BV47" s="367"/>
      <c r="BW47" s="368"/>
      <c r="BX47" s="367"/>
      <c r="BY47" s="367"/>
      <c r="BZ47" s="367"/>
      <c r="CA47" s="368"/>
      <c r="CB47" s="367"/>
      <c r="CC47" s="368"/>
      <c r="CD47" s="367"/>
      <c r="CE47" s="367"/>
      <c r="CF47" s="367"/>
      <c r="CG47" s="368"/>
      <c r="CH47" s="385"/>
      <c r="CI47" s="367"/>
      <c r="CJ47" s="351"/>
      <c r="CK47" s="367"/>
      <c r="CL47" s="367"/>
      <c r="CM47" s="368"/>
      <c r="CN47" s="367"/>
      <c r="CO47" s="368"/>
      <c r="CP47" s="367"/>
      <c r="CQ47" s="368"/>
      <c r="CR47" s="367"/>
      <c r="CS47" s="368"/>
      <c r="CT47" s="367"/>
      <c r="CU47" s="368"/>
      <c r="CV47" s="367"/>
      <c r="CW47" s="368"/>
      <c r="CX47" s="385"/>
      <c r="CY47" s="367"/>
      <c r="CZ47" s="351"/>
    </row>
    <row r="48" spans="1:110" s="278" customFormat="1" ht="14.25" thickTop="1" thickBot="1">
      <c r="D48" s="346"/>
      <c r="E48" s="283"/>
      <c r="F48" s="386" t="s">
        <v>1345</v>
      </c>
      <c r="G48" s="236"/>
      <c r="H48" s="387">
        <f t="shared" ref="H48:O48" si="63">H38-H46</f>
        <v>62440.174212699378</v>
      </c>
      <c r="I48" s="387">
        <f t="shared" si="63"/>
        <v>25578.156534769561</v>
      </c>
      <c r="J48" s="387">
        <f t="shared" si="63"/>
        <v>1771.392746490759</v>
      </c>
      <c r="K48" s="387">
        <f t="shared" si="63"/>
        <v>5532.1084156854104</v>
      </c>
      <c r="L48" s="387">
        <f t="shared" si="63"/>
        <v>34678.893127860953</v>
      </c>
      <c r="M48" s="387">
        <f t="shared" si="63"/>
        <v>115629.23855113763</v>
      </c>
      <c r="N48" s="387">
        <f t="shared" si="63"/>
        <v>4830.0942246609993</v>
      </c>
      <c r="O48" s="387">
        <f t="shared" si="63"/>
        <v>16644.77414998833</v>
      </c>
      <c r="P48" s="388">
        <v>267104.83196329291</v>
      </c>
      <c r="Q48" s="387">
        <f>Q38-Q46</f>
        <v>7958.9095187268213</v>
      </c>
      <c r="R48" s="387">
        <f>R38-R46</f>
        <v>1485.7666433171159</v>
      </c>
      <c r="S48" s="387">
        <f>S38-S46</f>
        <v>151.81703492512816</v>
      </c>
      <c r="T48" s="388">
        <v>9596.4931969690624</v>
      </c>
      <c r="U48" s="387">
        <f t="shared" ref="U48:AD48" si="64">U38-U46</f>
        <v>126101.44125267953</v>
      </c>
      <c r="V48" s="387">
        <f t="shared" si="64"/>
        <v>5222.5027941771796</v>
      </c>
      <c r="W48" s="387">
        <f t="shared" si="64"/>
        <v>1078.8406355163179</v>
      </c>
      <c r="X48" s="387">
        <f t="shared" si="64"/>
        <v>110841.11025978862</v>
      </c>
      <c r="Y48" s="387">
        <f t="shared" si="64"/>
        <v>1170.6955557098117</v>
      </c>
      <c r="Z48" s="387">
        <f t="shared" si="64"/>
        <v>1837.8730774777418</v>
      </c>
      <c r="AA48" s="387">
        <f t="shared" si="64"/>
        <v>47823.086996545811</v>
      </c>
      <c r="AB48" s="387">
        <f t="shared" si="64"/>
        <v>2150.1072818013531</v>
      </c>
      <c r="AC48" s="387">
        <f t="shared" si="64"/>
        <v>0</v>
      </c>
      <c r="AD48" s="387">
        <f t="shared" si="64"/>
        <v>1435.4749887253033</v>
      </c>
      <c r="AE48" s="388">
        <v>297661.13284242165</v>
      </c>
      <c r="AF48" s="387">
        <f t="shared" ref="AF48:AK48" si="65">AF38-AF46</f>
        <v>34801.83569265074</v>
      </c>
      <c r="AG48" s="387">
        <f t="shared" si="65"/>
        <v>25629.344618929666</v>
      </c>
      <c r="AH48" s="387">
        <f t="shared" si="65"/>
        <v>1191.2639393718623</v>
      </c>
      <c r="AI48" s="387">
        <f t="shared" si="65"/>
        <v>2434.7557943849333</v>
      </c>
      <c r="AJ48" s="387">
        <f t="shared" si="65"/>
        <v>910.52815001247438</v>
      </c>
      <c r="AK48" s="387">
        <f t="shared" si="65"/>
        <v>1015.3501080675286</v>
      </c>
      <c r="AL48" s="388">
        <v>65983.078303417191</v>
      </c>
      <c r="AM48" s="387">
        <f>AM38-AM46</f>
        <v>101119.55743348376</v>
      </c>
      <c r="AN48" s="387">
        <f>AN38-AN46</f>
        <v>6291.9365265782317</v>
      </c>
      <c r="AO48" s="388">
        <v>107411.49396006198</v>
      </c>
      <c r="AP48" s="387">
        <f>AP38-AP46</f>
        <v>4340.0171718682068</v>
      </c>
      <c r="AQ48" s="388">
        <v>4340.0171718682068</v>
      </c>
      <c r="AR48" s="389">
        <v>752097.04743803106</v>
      </c>
      <c r="AT48" s="351"/>
      <c r="AU48" s="732">
        <f t="shared" ref="AU48:AZ48" si="66">AU38-AU46</f>
        <v>44800.669434388576</v>
      </c>
      <c r="AV48" s="732">
        <f t="shared" si="66"/>
        <v>1284.1868977465156</v>
      </c>
      <c r="AW48" s="732">
        <f t="shared" si="66"/>
        <v>24116.033725214034</v>
      </c>
      <c r="AX48" s="732">
        <f t="shared" si="66"/>
        <v>36726.687126644261</v>
      </c>
      <c r="AY48" s="732">
        <f t="shared" si="66"/>
        <v>35696.265928279819</v>
      </c>
      <c r="AZ48" s="732">
        <f t="shared" si="66"/>
        <v>12465.242597192821</v>
      </c>
      <c r="BA48" s="391">
        <v>155089.08570946602</v>
      </c>
      <c r="BB48" s="732">
        <f>BB38-BB46</f>
        <v>4549.8965233611416</v>
      </c>
      <c r="BC48" s="391">
        <v>4549.8965233611416</v>
      </c>
      <c r="BD48" s="732">
        <f>BD38-BD46</f>
        <v>3047.6401211173275</v>
      </c>
      <c r="BE48" s="391">
        <v>3047.6401211173275</v>
      </c>
      <c r="BF48" s="732">
        <f>BF38-BF46</f>
        <v>3375.6081942897922</v>
      </c>
      <c r="BG48" s="391">
        <v>3375.6081942897922</v>
      </c>
      <c r="BH48" s="732">
        <f>BH38-BH46</f>
        <v>35227.110827128352</v>
      </c>
      <c r="BI48" s="391">
        <v>35227.110827128352</v>
      </c>
      <c r="BJ48" s="732">
        <f>BJ38-BJ46</f>
        <v>5907.3346196426237</v>
      </c>
      <c r="BK48" s="391">
        <v>5907.3346196426237</v>
      </c>
      <c r="BL48" s="732">
        <f>BL38-BL46</f>
        <v>2710.0757624372091</v>
      </c>
      <c r="BM48" s="732">
        <f>BM38-BM46</f>
        <v>3361.6559531629669</v>
      </c>
      <c r="BN48" s="732">
        <f>BN38-BN46</f>
        <v>1347.5502096740759</v>
      </c>
      <c r="BO48" s="391">
        <v>7419.2819252742529</v>
      </c>
      <c r="BP48" s="392">
        <v>214615.95792027944</v>
      </c>
      <c r="BQ48" s="339"/>
      <c r="BR48" s="351"/>
      <c r="BS48" s="732">
        <f>BS38-BS46</f>
        <v>12316.288671516681</v>
      </c>
      <c r="BT48" s="391">
        <v>12316.288671516681</v>
      </c>
      <c r="BU48" s="732">
        <f>BU38-BU46</f>
        <v>35276.937237249818</v>
      </c>
      <c r="BV48" s="732">
        <f>BV38-BV46</f>
        <v>945.26296954691009</v>
      </c>
      <c r="BW48" s="391">
        <v>36222.200206796733</v>
      </c>
      <c r="BX48" s="732">
        <f>BX38-BX46</f>
        <v>13402.198164916856</v>
      </c>
      <c r="BY48" s="732">
        <f>BY38-BY46</f>
        <v>646.47293657252499</v>
      </c>
      <c r="BZ48" s="732">
        <f>BZ38-BZ46</f>
        <v>8629.5433905048812</v>
      </c>
      <c r="CA48" s="391">
        <v>22678.214491994258</v>
      </c>
      <c r="CB48" s="732">
        <f>CB38-CB46</f>
        <v>52666.347257998787</v>
      </c>
      <c r="CC48" s="391">
        <v>52666.347257998787</v>
      </c>
      <c r="CD48" s="732">
        <f>CD38-CD46</f>
        <v>18704.686060686254</v>
      </c>
      <c r="CE48" s="732">
        <f>CE38-CE46</f>
        <v>4726.1984681639387</v>
      </c>
      <c r="CF48" s="732">
        <f>CF38-CF46</f>
        <v>1605.6786991908232</v>
      </c>
      <c r="CG48" s="391">
        <v>25036.56322804101</v>
      </c>
      <c r="CH48" s="392">
        <v>148919.61385634745</v>
      </c>
      <c r="CI48" s="339"/>
      <c r="CJ48" s="351"/>
      <c r="CK48" s="732">
        <f>CK38-CK46</f>
        <v>18305.289687714914</v>
      </c>
      <c r="CL48" s="732">
        <f>CL38-CL46</f>
        <v>18524.346782887249</v>
      </c>
      <c r="CM48" s="391">
        <v>36829.732209120673</v>
      </c>
      <c r="CN48" s="732">
        <f>CN38-CN46</f>
        <v>5700.8340998595495</v>
      </c>
      <c r="CO48" s="391">
        <v>5700.8340998595495</v>
      </c>
      <c r="CP48" s="732">
        <f>CP38-CP46</f>
        <v>2985.0162266173734</v>
      </c>
      <c r="CQ48" s="391">
        <v>2985.0162266173734</v>
      </c>
      <c r="CR48" s="732">
        <f>CR38-CR46</f>
        <v>4381.0400801267269</v>
      </c>
      <c r="CS48" s="391">
        <v>4381.0400801267269</v>
      </c>
      <c r="CT48" s="390"/>
      <c r="CU48" s="391">
        <v>0.77292153987210899</v>
      </c>
      <c r="CV48" s="732">
        <f>CV38-CV46</f>
        <v>2870.6277058093365</v>
      </c>
      <c r="CW48" s="391">
        <v>2870.6277058093365</v>
      </c>
      <c r="CX48" s="392">
        <v>52768.023243073527</v>
      </c>
      <c r="CY48" s="339"/>
      <c r="CZ48" s="351"/>
      <c r="DB48" s="355">
        <v>1168400.6424577315</v>
      </c>
    </row>
    <row r="49" spans="1:104" s="393" customFormat="1" ht="13.5" thickTop="1">
      <c r="D49" s="394"/>
      <c r="E49" s="187"/>
      <c r="F49" s="395" t="s">
        <v>1346</v>
      </c>
      <c r="G49" s="396"/>
      <c r="H49" s="397">
        <f t="shared" ref="H49:O49" si="67">IF(H$38=0,0,H48/H$38)</f>
        <v>0.56588950398200488</v>
      </c>
      <c r="I49" s="397">
        <f t="shared" si="67"/>
        <v>0.57841821008577066</v>
      </c>
      <c r="J49" s="397">
        <f t="shared" si="67"/>
        <v>0.60698772768377629</v>
      </c>
      <c r="K49" s="397">
        <f t="shared" si="67"/>
        <v>0.5861418544616317</v>
      </c>
      <c r="L49" s="397">
        <f t="shared" si="67"/>
        <v>0.59759599252220574</v>
      </c>
      <c r="M49" s="397">
        <f t="shared" si="67"/>
        <v>0.58520711416196025</v>
      </c>
      <c r="N49" s="397">
        <f t="shared" si="67"/>
        <v>0.53491984932003844</v>
      </c>
      <c r="O49" s="397">
        <f t="shared" si="67"/>
        <v>0.54391139931779386</v>
      </c>
      <c r="P49" s="398">
        <v>0.57794090537204001</v>
      </c>
      <c r="Q49" s="397">
        <f>IF(Q$38=0,0,Q48/Q$38)</f>
        <v>0.64359615657551428</v>
      </c>
      <c r="R49" s="397">
        <f>IF(R$38=0,0,R48/R$38)</f>
        <v>0.48135711765551781</v>
      </c>
      <c r="S49" s="397">
        <f>IF(S$38=0,0,S48/S$38)</f>
        <v>0.60162410132894562</v>
      </c>
      <c r="T49" s="398">
        <v>0.61103628455463033</v>
      </c>
      <c r="U49" s="397">
        <f t="shared" ref="U49:AD49" si="68">IF(U$38=0,0,U48/U$38)</f>
        <v>0.61324976620592042</v>
      </c>
      <c r="V49" s="397">
        <f t="shared" si="68"/>
        <v>0.53746075133882631</v>
      </c>
      <c r="W49" s="397">
        <f t="shared" si="68"/>
        <v>0.44826795280545162</v>
      </c>
      <c r="X49" s="397">
        <f t="shared" si="68"/>
        <v>0.60287543545155187</v>
      </c>
      <c r="Y49" s="397">
        <f t="shared" si="68"/>
        <v>0.29873243541920569</v>
      </c>
      <c r="Z49" s="397">
        <f t="shared" si="68"/>
        <v>0.51006041650574541</v>
      </c>
      <c r="AA49" s="397">
        <f t="shared" si="68"/>
        <v>0.57534240914698709</v>
      </c>
      <c r="AB49" s="397">
        <f t="shared" si="68"/>
        <v>0.43817453762348019</v>
      </c>
      <c r="AC49" s="397">
        <f t="shared" si="68"/>
        <v>0</v>
      </c>
      <c r="AD49" s="397">
        <f t="shared" si="68"/>
        <v>0.5402747650797397</v>
      </c>
      <c r="AE49" s="398">
        <v>0.5955449191261617</v>
      </c>
      <c r="AF49" s="397">
        <f t="shared" ref="AF49:AK49" si="69">IF(AF$38=0,0,AF48/AF$38)</f>
        <v>0.64162264546713599</v>
      </c>
      <c r="AG49" s="397">
        <f t="shared" si="69"/>
        <v>0.66160454364206955</v>
      </c>
      <c r="AH49" s="397">
        <f t="shared" si="69"/>
        <v>0.59768657975288464</v>
      </c>
      <c r="AI49" s="397">
        <f t="shared" si="69"/>
        <v>0.57632452596570982</v>
      </c>
      <c r="AJ49" s="397">
        <f t="shared" si="69"/>
        <v>0.54982358653646279</v>
      </c>
      <c r="AK49" s="397">
        <f t="shared" si="69"/>
        <v>0.54034606265165541</v>
      </c>
      <c r="AL49" s="398">
        <v>0.6422875154772355</v>
      </c>
      <c r="AM49" s="397">
        <f>IF(AM$38=0,0,AM48/AM$38)</f>
        <v>0.59075059628563764</v>
      </c>
      <c r="AN49" s="397">
        <f>IF(AN$38=0,0,AN48/AN$38)</f>
        <v>0.56306279086683986</v>
      </c>
      <c r="AO49" s="398">
        <v>0.58905383685996526</v>
      </c>
      <c r="AP49" s="397">
        <f>IF(AP$38=0,0,AP48/AP$38)</f>
        <v>0.51483036891757217</v>
      </c>
      <c r="AQ49" s="398">
        <v>0.51483036891757217</v>
      </c>
      <c r="AR49" s="397">
        <v>0.59164715961417469</v>
      </c>
      <c r="AT49" s="399"/>
      <c r="AU49" s="400">
        <f t="shared" ref="AU49:AZ49" si="70">IF(AU$38=0,0,AU48/AU$38)</f>
        <v>0.59902182494467582</v>
      </c>
      <c r="AV49" s="400">
        <f t="shared" si="70"/>
        <v>0.80993518793478014</v>
      </c>
      <c r="AW49" s="400">
        <f t="shared" si="70"/>
        <v>0.61224587826322863</v>
      </c>
      <c r="AX49" s="400">
        <f t="shared" si="70"/>
        <v>0.60931398489023769</v>
      </c>
      <c r="AY49" s="400">
        <f t="shared" si="70"/>
        <v>0.57195169260463907</v>
      </c>
      <c r="AZ49" s="400">
        <f t="shared" si="70"/>
        <v>0.40065440411147313</v>
      </c>
      <c r="BA49" s="401">
        <v>0.57533367471513797</v>
      </c>
      <c r="BB49" s="400">
        <f>IF(BB$38=0,0,BB48/BB$38)</f>
        <v>0.55986128701085103</v>
      </c>
      <c r="BC49" s="401">
        <v>0.55986128701085103</v>
      </c>
      <c r="BD49" s="400">
        <f>IF(BD$38=0,0,BD48/BD$38)</f>
        <v>0.51927704363702032</v>
      </c>
      <c r="BE49" s="401">
        <v>0.51927704363702032</v>
      </c>
      <c r="BF49" s="400">
        <f>IF(BF$38=0,0,BF48/BF$38)</f>
        <v>0.52603943163210432</v>
      </c>
      <c r="BG49" s="401">
        <v>0.52603943163210432</v>
      </c>
      <c r="BH49" s="400">
        <f>IF(BH$38=0,0,BH48/BH$38)</f>
        <v>0.67046327420257612</v>
      </c>
      <c r="BI49" s="401">
        <v>0.67046327420257612</v>
      </c>
      <c r="BJ49" s="400">
        <f>IF(BJ$38=0,0,BJ48/BJ$38)</f>
        <v>0.67288628108397108</v>
      </c>
      <c r="BK49" s="401">
        <v>0.67288628108397108</v>
      </c>
      <c r="BL49" s="400">
        <f>IF(BL$38=0,0,BL48/BL$38)</f>
        <v>0.66379018208867024</v>
      </c>
      <c r="BM49" s="400">
        <f>IF(BM$38=0,0,BM48/BM$38)</f>
        <v>0.62010799163341523</v>
      </c>
      <c r="BN49" s="400">
        <f>IF(BN$38=0,0,BN48/BN$38)</f>
        <v>0.64934612016167725</v>
      </c>
      <c r="BO49" s="401">
        <v>0.6407503324709426</v>
      </c>
      <c r="BP49" s="400">
        <v>0.59143027596090936</v>
      </c>
      <c r="BQ49" s="400"/>
      <c r="BR49" s="351"/>
      <c r="BS49" s="400">
        <f>IF(BS$38=0,0,BS48/BS$38)</f>
        <v>0.57171567507136745</v>
      </c>
      <c r="BT49" s="401">
        <v>0.57171567507136745</v>
      </c>
      <c r="BU49" s="400">
        <f>IF(BU$38=0,0,BU48/BU$38)</f>
        <v>0.67155100850402094</v>
      </c>
      <c r="BV49" s="400">
        <f>IF(BV$38=0,0,BV48/BV$38)</f>
        <v>0.59594801950771403</v>
      </c>
      <c r="BW49" s="401">
        <v>0.66933509908943767</v>
      </c>
      <c r="BX49" s="400">
        <f>IF(BX$38=0,0,BX48/BX$38)</f>
        <v>0.56694782586369741</v>
      </c>
      <c r="BY49" s="400">
        <f>IF(BY$38=0,0,BY48/BY$38)</f>
        <v>0.45951366100393193</v>
      </c>
      <c r="BZ49" s="400">
        <f>IF(BZ$38=0,0,BZ48/BZ$38)</f>
        <v>0.57095928308055832</v>
      </c>
      <c r="CA49" s="401">
        <v>0.5646939625046381</v>
      </c>
      <c r="CB49" s="400">
        <f>IF(CB$38=0,0,CB48/CB$38)</f>
        <v>0.62735381377818722</v>
      </c>
      <c r="CC49" s="401">
        <v>0.62735381377818722</v>
      </c>
      <c r="CD49" s="400">
        <f>IF(CD$38=0,0,CD48/CD$38)</f>
        <v>0.54386981236132603</v>
      </c>
      <c r="CE49" s="400">
        <f>IF(CE$38=0,0,CE48/CE$38)</f>
        <v>0.52201026929248806</v>
      </c>
      <c r="CF49" s="400">
        <f>IF(CF$38=0,0,CF48/CF$38)</f>
        <v>0.44635763959459368</v>
      </c>
      <c r="CG49" s="401">
        <v>0.53220616751661565</v>
      </c>
      <c r="CH49" s="400">
        <v>0.60337137459318824</v>
      </c>
      <c r="CI49" s="400"/>
      <c r="CJ49" s="399"/>
      <c r="CK49" s="400">
        <f>IF(CK$38=0,0,CK48/CK$38)</f>
        <v>0.67346395684010962</v>
      </c>
      <c r="CL49" s="400">
        <f>IF(CL$38=0,0,CL48/CL$38)</f>
        <v>0.64653671807384339</v>
      </c>
      <c r="CM49" s="401">
        <v>0.65964616462290504</v>
      </c>
      <c r="CN49" s="400">
        <f>IF(CN$38=0,0,CN48/CN$38)</f>
        <v>0.47757551466866827</v>
      </c>
      <c r="CO49" s="401">
        <v>0.47757551466866827</v>
      </c>
      <c r="CP49" s="400">
        <f>IF(CP$38=0,0,CP48/CP$38)</f>
        <v>0.45461877179473914</v>
      </c>
      <c r="CQ49" s="401">
        <v>0.45461877179473914</v>
      </c>
      <c r="CR49" s="400">
        <f>IF(CR$38=0,0,CR48/CR$38)</f>
        <v>0.4322076505806533</v>
      </c>
      <c r="CS49" s="401">
        <v>0.4322076505806533</v>
      </c>
      <c r="CT49" s="400"/>
      <c r="CU49" s="401">
        <v>0.31145594843414393</v>
      </c>
      <c r="CV49" s="400">
        <f>IF(CV$38=0,0,CV48/CV$38)</f>
        <v>0.38343861160985543</v>
      </c>
      <c r="CW49" s="401">
        <v>0.38343861160985543</v>
      </c>
      <c r="CX49" s="400">
        <v>0.5738086567869739</v>
      </c>
      <c r="CY49" s="400"/>
      <c r="CZ49" s="399"/>
    </row>
    <row r="50" spans="1:104" s="278" customFormat="1" ht="15">
      <c r="D50" s="346"/>
      <c r="E50" s="283"/>
      <c r="F50" s="402"/>
      <c r="G50" s="403"/>
      <c r="H50" s="404"/>
      <c r="I50" s="404"/>
      <c r="J50" s="404"/>
      <c r="K50" s="404"/>
      <c r="L50" s="404"/>
      <c r="M50" s="404"/>
      <c r="N50" s="404"/>
      <c r="O50" s="404"/>
      <c r="P50" s="405"/>
      <c r="Q50" s="404"/>
      <c r="R50" s="404"/>
      <c r="S50" s="404"/>
      <c r="T50" s="406"/>
      <c r="U50" s="407"/>
      <c r="V50" s="407"/>
      <c r="W50" s="407"/>
      <c r="X50" s="407"/>
      <c r="Y50" s="407"/>
      <c r="Z50" s="407"/>
      <c r="AA50" s="407"/>
      <c r="AB50" s="407"/>
      <c r="AC50" s="407"/>
      <c r="AD50" s="407"/>
      <c r="AE50" s="406"/>
      <c r="AF50" s="407"/>
      <c r="AG50" s="407"/>
      <c r="AH50" s="407"/>
      <c r="AI50" s="407"/>
      <c r="AJ50" s="407"/>
      <c r="AK50" s="407"/>
      <c r="AL50" s="406"/>
      <c r="AM50" s="407"/>
      <c r="AN50" s="407"/>
      <c r="AO50" s="406"/>
      <c r="AP50" s="407"/>
      <c r="AQ50" s="406"/>
      <c r="AR50" s="407"/>
      <c r="AT50" s="351"/>
      <c r="AU50" s="408"/>
      <c r="AV50" s="408"/>
      <c r="AW50" s="408"/>
      <c r="AX50" s="408"/>
      <c r="AY50" s="408"/>
      <c r="AZ50" s="408"/>
      <c r="BA50" s="409"/>
      <c r="BB50" s="408"/>
      <c r="BC50" s="410"/>
      <c r="BD50" s="411"/>
      <c r="BE50" s="410"/>
      <c r="BF50" s="411"/>
      <c r="BG50" s="410"/>
      <c r="BH50" s="411"/>
      <c r="BI50" s="410"/>
      <c r="BJ50" s="411"/>
      <c r="BK50" s="410"/>
      <c r="BL50" s="411"/>
      <c r="BM50" s="411"/>
      <c r="BN50" s="411"/>
      <c r="BO50" s="410"/>
      <c r="BP50" s="411"/>
      <c r="BQ50" s="411"/>
      <c r="BR50" s="351"/>
      <c r="BS50" s="408"/>
      <c r="BT50" s="409"/>
      <c r="BU50" s="408"/>
      <c r="BV50" s="408"/>
      <c r="BW50" s="410"/>
      <c r="BX50" s="411"/>
      <c r="BY50" s="411"/>
      <c r="BZ50" s="411"/>
      <c r="CA50" s="410"/>
      <c r="CB50" s="411"/>
      <c r="CC50" s="410"/>
      <c r="CD50" s="411"/>
      <c r="CE50" s="411"/>
      <c r="CF50" s="411"/>
      <c r="CG50" s="410"/>
      <c r="CH50" s="411"/>
      <c r="CI50" s="411"/>
      <c r="CJ50" s="351"/>
      <c r="CK50" s="408"/>
      <c r="CL50" s="408"/>
      <c r="CM50" s="409"/>
      <c r="CN50" s="408"/>
      <c r="CO50" s="410"/>
      <c r="CP50" s="411"/>
      <c r="CQ50" s="410"/>
      <c r="CR50" s="411"/>
      <c r="CS50" s="410"/>
      <c r="CT50" s="411"/>
      <c r="CU50" s="410"/>
      <c r="CV50" s="411"/>
      <c r="CW50" s="410"/>
      <c r="CX50" s="411"/>
      <c r="CY50" s="411"/>
      <c r="CZ50" s="351"/>
    </row>
    <row r="51" spans="1:104" s="278" customFormat="1" hidden="1" outlineLevel="2">
      <c r="C51" s="288" t="s">
        <v>1347</v>
      </c>
      <c r="D51" s="370" t="s">
        <v>1338</v>
      </c>
      <c r="E51" s="412" t="s">
        <v>1298</v>
      </c>
      <c r="F51" s="413" t="s">
        <v>1348</v>
      </c>
      <c r="G51" s="403"/>
      <c r="H51" s="344">
        <f t="shared" ref="H51:O52" si="71">$P51*H$19</f>
        <v>2808.3792589011141</v>
      </c>
      <c r="I51" s="344">
        <f t="shared" si="71"/>
        <v>1092.5275174967942</v>
      </c>
      <c r="J51" s="344">
        <f t="shared" si="71"/>
        <v>67.136824650816152</v>
      </c>
      <c r="K51" s="344">
        <f t="shared" si="71"/>
        <v>228.84082247894267</v>
      </c>
      <c r="L51" s="344">
        <f t="shared" si="71"/>
        <v>1367.4550535085968</v>
      </c>
      <c r="M51" s="344">
        <f t="shared" si="71"/>
        <v>4801.7473751557</v>
      </c>
      <c r="N51" s="344">
        <f t="shared" si="71"/>
        <v>246.47049361013248</v>
      </c>
      <c r="O51" s="344">
        <f t="shared" si="71"/>
        <v>818.927884933379</v>
      </c>
      <c r="P51" s="414">
        <v>11431.485230735481</v>
      </c>
      <c r="Q51" s="344">
        <f t="shared" ref="Q51:S52" si="72">$T51*Q$19</f>
        <v>0</v>
      </c>
      <c r="R51" s="344">
        <f t="shared" si="72"/>
        <v>0</v>
      </c>
      <c r="S51" s="415">
        <f t="shared" si="72"/>
        <v>0</v>
      </c>
      <c r="T51" s="414">
        <v>0</v>
      </c>
      <c r="U51" s="415">
        <f t="shared" ref="U51:AD52" si="73">$AE51*U$19</f>
        <v>4995.9065583347619</v>
      </c>
      <c r="V51" s="415">
        <f t="shared" si="73"/>
        <v>283.13152213590183</v>
      </c>
      <c r="W51" s="415">
        <f t="shared" si="73"/>
        <v>83.839450208568522</v>
      </c>
      <c r="X51" s="415">
        <f t="shared" si="73"/>
        <v>4588.7425864496881</v>
      </c>
      <c r="Y51" s="415">
        <f t="shared" si="73"/>
        <v>173.95674311226813</v>
      </c>
      <c r="Z51" s="415">
        <f t="shared" si="73"/>
        <v>111.29813313212252</v>
      </c>
      <c r="AA51" s="415">
        <f t="shared" si="73"/>
        <v>2220.7974677874913</v>
      </c>
      <c r="AB51" s="415">
        <f t="shared" si="73"/>
        <v>174.10346164529309</v>
      </c>
      <c r="AC51" s="415">
        <f t="shared" si="73"/>
        <v>0</v>
      </c>
      <c r="AD51" s="415">
        <f t="shared" si="73"/>
        <v>76.939499597242872</v>
      </c>
      <c r="AE51" s="414">
        <v>12708.715422403338</v>
      </c>
      <c r="AF51" s="415">
        <f t="shared" ref="AF51:AK52" si="74">$AL51*AF$19</f>
        <v>1278.155501662849</v>
      </c>
      <c r="AG51" s="415">
        <f t="shared" si="74"/>
        <v>860.90780518123893</v>
      </c>
      <c r="AH51" s="415">
        <f t="shared" si="74"/>
        <v>52.843758713372786</v>
      </c>
      <c r="AI51" s="415">
        <f t="shared" si="74"/>
        <v>118.06366917276479</v>
      </c>
      <c r="AJ51" s="415">
        <f t="shared" si="74"/>
        <v>49.225527603212299</v>
      </c>
      <c r="AK51" s="415">
        <f t="shared" si="74"/>
        <v>57.05035756153648</v>
      </c>
      <c r="AL51" s="414">
        <v>2416.2466198949742</v>
      </c>
      <c r="AM51" s="415">
        <f>$AO51*AM$19</f>
        <v>6458.8848697152453</v>
      </c>
      <c r="AN51" s="415">
        <f>$AO51*AN$19</f>
        <v>450.62406574923898</v>
      </c>
      <c r="AO51" s="414">
        <v>6909.5089354644851</v>
      </c>
      <c r="AP51" s="415">
        <f>$AQ51*AP$19</f>
        <v>0</v>
      </c>
      <c r="AQ51" s="414">
        <v>0</v>
      </c>
      <c r="AR51" s="415">
        <v>33465.956208498275</v>
      </c>
      <c r="AT51" s="351"/>
      <c r="AU51" s="416">
        <f t="shared" ref="AU51:AZ52" si="75">$BA51*AU$19</f>
        <v>2088.8595859882962</v>
      </c>
      <c r="AV51" s="416">
        <f t="shared" si="75"/>
        <v>20.827636364255333</v>
      </c>
      <c r="AW51" s="416">
        <f t="shared" si="75"/>
        <v>1063.6026473487896</v>
      </c>
      <c r="AX51" s="416">
        <f t="shared" si="75"/>
        <v>1639.9667529635606</v>
      </c>
      <c r="AY51" s="416">
        <f t="shared" si="75"/>
        <v>1861.6372992039933</v>
      </c>
      <c r="AZ51" s="416">
        <f t="shared" si="75"/>
        <v>1301.8462633627976</v>
      </c>
      <c r="BA51" s="417">
        <v>7976.7401852316916</v>
      </c>
      <c r="BB51" s="416">
        <f>$BC51*BB$19</f>
        <v>0</v>
      </c>
      <c r="BC51" s="417">
        <v>0</v>
      </c>
      <c r="BD51" s="416">
        <f>$BE51*BD$19</f>
        <v>0</v>
      </c>
      <c r="BE51" s="417">
        <v>0</v>
      </c>
      <c r="BF51" s="416">
        <f>$BG51*BF$19</f>
        <v>0</v>
      </c>
      <c r="BG51" s="417">
        <v>0</v>
      </c>
      <c r="BH51" s="416">
        <f>$BI51*BH$19</f>
        <v>6298.1254204774768</v>
      </c>
      <c r="BI51" s="417">
        <v>6298.1254204774768</v>
      </c>
      <c r="BJ51" s="416">
        <f>$BK51*BJ$19</f>
        <v>0</v>
      </c>
      <c r="BK51" s="417">
        <v>0</v>
      </c>
      <c r="BL51" s="416">
        <f t="shared" ref="BL51:BN52" si="76">$BO51*BL$19</f>
        <v>173.90618400970462</v>
      </c>
      <c r="BM51" s="416">
        <f t="shared" si="76"/>
        <v>261.46753273997723</v>
      </c>
      <c r="BN51" s="416">
        <f t="shared" si="76"/>
        <v>92.263587418003098</v>
      </c>
      <c r="BO51" s="417">
        <v>527.63730416768476</v>
      </c>
      <c r="BP51" s="416">
        <v>14802.502909876854</v>
      </c>
      <c r="BQ51" s="416"/>
      <c r="BR51" s="351"/>
      <c r="BS51" s="416">
        <f>$BT51*BS$19</f>
        <v>385.72407648294222</v>
      </c>
      <c r="BT51" s="417">
        <v>385.72407648294222</v>
      </c>
      <c r="BU51" s="416">
        <f>$BW51*BU$19</f>
        <v>2291.645059731929</v>
      </c>
      <c r="BV51" s="416">
        <f>$BW51*BV$19</f>
        <v>85.409245724592267</v>
      </c>
      <c r="BW51" s="417">
        <v>2377.054305456521</v>
      </c>
      <c r="BX51" s="416">
        <f t="shared" ref="BX51:BZ52" si="77">$CA51*BX$19</f>
        <v>1416.6326854139065</v>
      </c>
      <c r="BY51" s="416">
        <f t="shared" si="77"/>
        <v>105.53869797824258</v>
      </c>
      <c r="BZ51" s="416">
        <f t="shared" si="77"/>
        <v>897.23139506810446</v>
      </c>
      <c r="CA51" s="417">
        <v>2419.402778460254</v>
      </c>
      <c r="CB51" s="416">
        <f>$CC51*CB$19</f>
        <v>3532.272620097754</v>
      </c>
      <c r="CC51" s="417">
        <v>3532.272620097754</v>
      </c>
      <c r="CD51" s="416">
        <f t="shared" ref="CD51:CF52" si="78">$CG51*CD$19</f>
        <v>0</v>
      </c>
      <c r="CE51" s="416">
        <f t="shared" si="78"/>
        <v>0</v>
      </c>
      <c r="CF51" s="416">
        <f t="shared" si="78"/>
        <v>0</v>
      </c>
      <c r="CG51" s="417">
        <v>0</v>
      </c>
      <c r="CH51" s="416">
        <v>8714.4537804974716</v>
      </c>
      <c r="CI51" s="416"/>
      <c r="CJ51" s="351"/>
      <c r="CK51" s="416">
        <f>$CM51*CK$19</f>
        <v>1880.1795349320905</v>
      </c>
      <c r="CL51" s="416">
        <f>$CM51*CL$19</f>
        <v>2149.6983181892565</v>
      </c>
      <c r="CM51" s="417">
        <v>4029.8789546830699</v>
      </c>
      <c r="CN51" s="416">
        <f>$CO51*CN$19</f>
        <v>0</v>
      </c>
      <c r="CO51" s="417">
        <v>0</v>
      </c>
      <c r="CP51" s="416">
        <f>$CQ51*CP$19</f>
        <v>0</v>
      </c>
      <c r="CQ51" s="417">
        <v>0</v>
      </c>
      <c r="CR51" s="416">
        <f>$CS51*CR$19</f>
        <v>0</v>
      </c>
      <c r="CS51" s="417">
        <v>0</v>
      </c>
      <c r="CT51" s="416"/>
      <c r="CU51" s="417">
        <v>0</v>
      </c>
      <c r="CV51" s="416">
        <f>$CW51*CV$19</f>
        <v>0</v>
      </c>
      <c r="CW51" s="417">
        <v>0</v>
      </c>
      <c r="CX51" s="416">
        <v>4029.8789546830699</v>
      </c>
      <c r="CY51" s="416"/>
      <c r="CZ51" s="351"/>
    </row>
    <row r="52" spans="1:104" s="278" customFormat="1" hidden="1" outlineLevel="2">
      <c r="C52" s="288" t="s">
        <v>1349</v>
      </c>
      <c r="D52" s="370" t="s">
        <v>1338</v>
      </c>
      <c r="E52" s="412" t="s">
        <v>1298</v>
      </c>
      <c r="F52" s="418" t="s">
        <v>1350</v>
      </c>
      <c r="G52" s="403"/>
      <c r="H52" s="344">
        <f t="shared" si="71"/>
        <v>5554.6798285112982</v>
      </c>
      <c r="I52" s="344">
        <f t="shared" si="71"/>
        <v>2160.9049220465886</v>
      </c>
      <c r="J52" s="344">
        <f t="shared" si="71"/>
        <v>132.7896025639034</v>
      </c>
      <c r="K52" s="344">
        <f t="shared" si="71"/>
        <v>452.62316210848917</v>
      </c>
      <c r="L52" s="344">
        <f t="shared" si="71"/>
        <v>2704.6827731850499</v>
      </c>
      <c r="M52" s="344">
        <f t="shared" si="71"/>
        <v>9497.3530380013381</v>
      </c>
      <c r="N52" s="344">
        <f t="shared" si="71"/>
        <v>487.49280384413771</v>
      </c>
      <c r="O52" s="344">
        <f t="shared" si="71"/>
        <v>1619.7535247517767</v>
      </c>
      <c r="P52" s="414">
        <v>22610.279655012593</v>
      </c>
      <c r="Q52" s="344">
        <f t="shared" si="72"/>
        <v>746.46563057385356</v>
      </c>
      <c r="R52" s="344">
        <f t="shared" si="72"/>
        <v>272.63937844614571</v>
      </c>
      <c r="S52" s="415">
        <f t="shared" si="72"/>
        <v>17.058024131475975</v>
      </c>
      <c r="T52" s="414">
        <v>1036.1630331514759</v>
      </c>
      <c r="U52" s="415">
        <f t="shared" si="73"/>
        <v>13219.741790570362</v>
      </c>
      <c r="V52" s="415">
        <f t="shared" si="73"/>
        <v>749.19848313883847</v>
      </c>
      <c r="W52" s="415">
        <f t="shared" si="73"/>
        <v>221.84880174982442</v>
      </c>
      <c r="X52" s="415">
        <f t="shared" si="73"/>
        <v>12142.339218706034</v>
      </c>
      <c r="Y52" s="415">
        <f t="shared" si="73"/>
        <v>460.30949534798521</v>
      </c>
      <c r="Z52" s="415">
        <f t="shared" si="73"/>
        <v>294.50762631349318</v>
      </c>
      <c r="AA52" s="415">
        <f t="shared" si="73"/>
        <v>5876.4848282288285</v>
      </c>
      <c r="AB52" s="415">
        <f t="shared" si="73"/>
        <v>460.69772941518278</v>
      </c>
      <c r="AC52" s="415">
        <f t="shared" si="73"/>
        <v>0</v>
      </c>
      <c r="AD52" s="415">
        <f t="shared" si="73"/>
        <v>203.59074099862073</v>
      </c>
      <c r="AE52" s="414">
        <v>33628.718714469171</v>
      </c>
      <c r="AF52" s="415">
        <f t="shared" si="74"/>
        <v>2559.6375957024757</v>
      </c>
      <c r="AG52" s="415">
        <f t="shared" si="74"/>
        <v>1724.0562527084981</v>
      </c>
      <c r="AH52" s="415">
        <f t="shared" si="74"/>
        <v>105.82505127506644</v>
      </c>
      <c r="AI52" s="415">
        <f t="shared" si="74"/>
        <v>236.43461684281226</v>
      </c>
      <c r="AJ52" s="415">
        <f t="shared" si="74"/>
        <v>98.579172062827965</v>
      </c>
      <c r="AK52" s="415">
        <f t="shared" si="74"/>
        <v>114.24919727904674</v>
      </c>
      <c r="AL52" s="414">
        <v>4838.7818858707269</v>
      </c>
      <c r="AM52" s="415">
        <f>$AO52*AM$19</f>
        <v>9150.1174294315479</v>
      </c>
      <c r="AN52" s="415">
        <f>$AO52*AN$19</f>
        <v>638.38622321119078</v>
      </c>
      <c r="AO52" s="414">
        <v>9788.5036526427393</v>
      </c>
      <c r="AP52" s="415">
        <f>$AQ52*AP$19</f>
        <v>869.83429047394566</v>
      </c>
      <c r="AQ52" s="414">
        <v>869.83429047394566</v>
      </c>
      <c r="AR52" s="415">
        <v>72772.28123162064</v>
      </c>
      <c r="AT52" s="351"/>
      <c r="AU52" s="416">
        <f t="shared" si="75"/>
        <v>2705.8405698143424</v>
      </c>
      <c r="AV52" s="416">
        <f t="shared" si="75"/>
        <v>26.979440755984992</v>
      </c>
      <c r="AW52" s="416">
        <f t="shared" si="75"/>
        <v>1377.7561750263176</v>
      </c>
      <c r="AX52" s="416">
        <f t="shared" si="75"/>
        <v>2124.359436642555</v>
      </c>
      <c r="AY52" s="416">
        <f t="shared" si="75"/>
        <v>2411.5042314261091</v>
      </c>
      <c r="AZ52" s="416">
        <f t="shared" si="75"/>
        <v>1686.3691837867755</v>
      </c>
      <c r="BA52" s="417">
        <v>10332.809037452083</v>
      </c>
      <c r="BB52" s="416">
        <f>$BC52*BB$19</f>
        <v>421.4894785337724</v>
      </c>
      <c r="BC52" s="417">
        <v>421.4894785337724</v>
      </c>
      <c r="BD52" s="416">
        <f>$BE52*BD$19</f>
        <v>318.92234285650954</v>
      </c>
      <c r="BE52" s="417">
        <v>318.92234285650954</v>
      </c>
      <c r="BF52" s="416">
        <f>$BG52*BF$19</f>
        <v>460.79909484522079</v>
      </c>
      <c r="BG52" s="417">
        <v>460.79909484522079</v>
      </c>
      <c r="BH52" s="416">
        <f>$BI52*BH$19</f>
        <v>101.39632685218862</v>
      </c>
      <c r="BI52" s="417">
        <v>101.39632685218862</v>
      </c>
      <c r="BJ52" s="416">
        <f>$BK52*BJ$19</f>
        <v>902.45936133399766</v>
      </c>
      <c r="BK52" s="417">
        <v>902.45936133399766</v>
      </c>
      <c r="BL52" s="416">
        <f t="shared" si="76"/>
        <v>272.70413599435909</v>
      </c>
      <c r="BM52" s="416">
        <f t="shared" si="76"/>
        <v>410.0100178292297</v>
      </c>
      <c r="BN52" s="416">
        <f t="shared" si="76"/>
        <v>144.67951231200897</v>
      </c>
      <c r="BO52" s="417">
        <v>827.39366613559741</v>
      </c>
      <c r="BP52" s="416">
        <v>13365.26930800937</v>
      </c>
      <c r="BQ52" s="416"/>
      <c r="BR52" s="351"/>
      <c r="BS52" s="416">
        <f>$BT52*BS$19</f>
        <v>1365.0885298100166</v>
      </c>
      <c r="BT52" s="417">
        <v>1365.0885298100166</v>
      </c>
      <c r="BU52" s="416">
        <f>$BW52*BU$19</f>
        <v>3486.4726638735342</v>
      </c>
      <c r="BV52" s="416">
        <f>$BW52*BV$19</f>
        <v>129.94027988596179</v>
      </c>
      <c r="BW52" s="417">
        <v>3616.4129437594956</v>
      </c>
      <c r="BX52" s="416">
        <f t="shared" si="77"/>
        <v>1527.7654485304975</v>
      </c>
      <c r="BY52" s="416">
        <f t="shared" si="77"/>
        <v>113.81805454174201</v>
      </c>
      <c r="BZ52" s="416">
        <f t="shared" si="77"/>
        <v>967.61788629870773</v>
      </c>
      <c r="CA52" s="417">
        <v>2609.2013893709477</v>
      </c>
      <c r="CB52" s="416">
        <f>$CC52*CB$19</f>
        <v>4436.5532945315663</v>
      </c>
      <c r="CC52" s="417">
        <v>4436.5532945315663</v>
      </c>
      <c r="CD52" s="416">
        <f t="shared" si="78"/>
        <v>2372.5170652812662</v>
      </c>
      <c r="CE52" s="416">
        <f t="shared" si="78"/>
        <v>654.96882644543757</v>
      </c>
      <c r="CF52" s="416">
        <f t="shared" si="78"/>
        <v>302.02301670884327</v>
      </c>
      <c r="CG52" s="417">
        <v>3329.5089084355486</v>
      </c>
      <c r="CH52" s="416">
        <v>15356.765065907573</v>
      </c>
      <c r="CI52" s="416"/>
      <c r="CJ52" s="351"/>
      <c r="CK52" s="416">
        <f>$CM52*CK$19</f>
        <v>1954.1607037347324</v>
      </c>
      <c r="CL52" s="416">
        <f>$CM52*CL$19</f>
        <v>2234.2844926465054</v>
      </c>
      <c r="CM52" s="417">
        <v>4188.4463412871319</v>
      </c>
      <c r="CN52" s="416">
        <f>$CO52*CN$19</f>
        <v>953.2743170046349</v>
      </c>
      <c r="CO52" s="417">
        <v>953.2743170046349</v>
      </c>
      <c r="CP52" s="416">
        <f>$CQ52*CP$19</f>
        <v>502.02143666479969</v>
      </c>
      <c r="CQ52" s="417">
        <v>502.02143666479969</v>
      </c>
      <c r="CR52" s="416">
        <f>$CS52*CR$19</f>
        <v>767.88387299325188</v>
      </c>
      <c r="CS52" s="417">
        <v>767.88387299325188</v>
      </c>
      <c r="CT52" s="416"/>
      <c r="CU52" s="417">
        <v>0.13693706986963286</v>
      </c>
      <c r="CV52" s="416">
        <f>$CW52*CV$19</f>
        <v>617.51938807567285</v>
      </c>
      <c r="CW52" s="417">
        <v>617.51938807567285</v>
      </c>
      <c r="CX52" s="416">
        <v>7029.2822930953607</v>
      </c>
      <c r="CY52" s="416"/>
      <c r="CZ52" s="351"/>
    </row>
    <row r="53" spans="1:104" s="278" customFormat="1" outlineLevel="1" collapsed="1">
      <c r="C53" s="288" t="s">
        <v>1351</v>
      </c>
      <c r="D53" s="346"/>
      <c r="E53" s="289"/>
      <c r="F53" s="372" t="s">
        <v>1351</v>
      </c>
      <c r="G53" s="403"/>
      <c r="H53" s="344">
        <f t="shared" ref="H53:O53" si="79">SUM(H51:H52)</f>
        <v>8363.0590874124118</v>
      </c>
      <c r="I53" s="344">
        <f t="shared" si="79"/>
        <v>3253.4324395433828</v>
      </c>
      <c r="J53" s="344">
        <f t="shared" si="79"/>
        <v>199.92642721471955</v>
      </c>
      <c r="K53" s="344">
        <f t="shared" si="79"/>
        <v>681.46398458743181</v>
      </c>
      <c r="L53" s="344">
        <f t="shared" si="79"/>
        <v>4072.1378266936467</v>
      </c>
      <c r="M53" s="344">
        <f t="shared" si="79"/>
        <v>14299.100413157037</v>
      </c>
      <c r="N53" s="344">
        <f t="shared" si="79"/>
        <v>733.96329745427022</v>
      </c>
      <c r="O53" s="344">
        <f t="shared" si="79"/>
        <v>2438.6814096851558</v>
      </c>
      <c r="P53" s="366">
        <v>34041.764885748074</v>
      </c>
      <c r="Q53" s="344">
        <f>SUM(Q51:Q52)</f>
        <v>746.46563057385356</v>
      </c>
      <c r="R53" s="344">
        <f>SUM(R51:R52)</f>
        <v>272.63937844614571</v>
      </c>
      <c r="S53" s="344">
        <f>SUM(S51:S52)</f>
        <v>17.058024131475975</v>
      </c>
      <c r="T53" s="366">
        <v>1036.1630331514759</v>
      </c>
      <c r="U53" s="344">
        <f t="shared" ref="U53:AD53" si="80">SUM(U51:U52)</f>
        <v>18215.648348905124</v>
      </c>
      <c r="V53" s="344">
        <f t="shared" si="80"/>
        <v>1032.3300052747404</v>
      </c>
      <c r="W53" s="344">
        <f t="shared" si="80"/>
        <v>305.68825195839293</v>
      </c>
      <c r="X53" s="344">
        <f t="shared" si="80"/>
        <v>16731.081805155722</v>
      </c>
      <c r="Y53" s="344">
        <f t="shared" si="80"/>
        <v>634.26623846025336</v>
      </c>
      <c r="Z53" s="344">
        <f t="shared" si="80"/>
        <v>405.80575944561571</v>
      </c>
      <c r="AA53" s="344">
        <f t="shared" si="80"/>
        <v>8097.2822960163194</v>
      </c>
      <c r="AB53" s="344">
        <f t="shared" si="80"/>
        <v>634.80119106047584</v>
      </c>
      <c r="AC53" s="344">
        <f t="shared" si="80"/>
        <v>0</v>
      </c>
      <c r="AD53" s="344">
        <f t="shared" si="80"/>
        <v>280.53024059586357</v>
      </c>
      <c r="AE53" s="366">
        <v>46337.434136872507</v>
      </c>
      <c r="AF53" s="344">
        <f t="shared" ref="AF53:AK53" si="81">SUM(AF51:AF52)</f>
        <v>3837.7930973653247</v>
      </c>
      <c r="AG53" s="344">
        <f t="shared" si="81"/>
        <v>2584.964057889737</v>
      </c>
      <c r="AH53" s="344">
        <f t="shared" si="81"/>
        <v>158.66880998843922</v>
      </c>
      <c r="AI53" s="344">
        <f t="shared" si="81"/>
        <v>354.49828601557704</v>
      </c>
      <c r="AJ53" s="344">
        <f t="shared" si="81"/>
        <v>147.80469966604028</v>
      </c>
      <c r="AK53" s="344">
        <f t="shared" si="81"/>
        <v>171.29955484058323</v>
      </c>
      <c r="AL53" s="366">
        <v>7255.0285057657011</v>
      </c>
      <c r="AM53" s="344">
        <f>SUM(AM51:AM52)</f>
        <v>15609.002299146792</v>
      </c>
      <c r="AN53" s="344">
        <f>SUM(AN51:AN52)</f>
        <v>1089.0102889604298</v>
      </c>
      <c r="AO53" s="366">
        <v>16698.012588107224</v>
      </c>
      <c r="AP53" s="344">
        <f>SUM(AP51:AP52)</f>
        <v>869.83429047394566</v>
      </c>
      <c r="AQ53" s="366">
        <v>869.83429047394566</v>
      </c>
      <c r="AR53" s="344">
        <v>106238.23744011893</v>
      </c>
      <c r="AT53" s="351"/>
      <c r="AU53" s="367">
        <f t="shared" ref="AU53:AZ53" si="82">SUM(AU51:AU52)</f>
        <v>4794.7001558026386</v>
      </c>
      <c r="AV53" s="367">
        <f t="shared" si="82"/>
        <v>47.807077120240322</v>
      </c>
      <c r="AW53" s="367">
        <f t="shared" si="82"/>
        <v>2441.3588223751071</v>
      </c>
      <c r="AX53" s="367">
        <f t="shared" si="82"/>
        <v>3764.3261896061158</v>
      </c>
      <c r="AY53" s="367">
        <f t="shared" si="82"/>
        <v>4273.1415306301024</v>
      </c>
      <c r="AZ53" s="367">
        <f t="shared" si="82"/>
        <v>2988.2154471495733</v>
      </c>
      <c r="BA53" s="368">
        <v>18309.549222683774</v>
      </c>
      <c r="BB53" s="367">
        <f>SUM(BB51:BB52)</f>
        <v>421.4894785337724</v>
      </c>
      <c r="BC53" s="368">
        <v>421.4894785337724</v>
      </c>
      <c r="BD53" s="367">
        <f>SUM(BD51:BD52)</f>
        <v>318.92234285650954</v>
      </c>
      <c r="BE53" s="368">
        <v>318.92234285650954</v>
      </c>
      <c r="BF53" s="367">
        <f>SUM(BF51:BF52)</f>
        <v>460.79909484522079</v>
      </c>
      <c r="BG53" s="368">
        <v>460.79909484522079</v>
      </c>
      <c r="BH53" s="367">
        <f>SUM(BH51:BH52)</f>
        <v>6399.5217473296652</v>
      </c>
      <c r="BI53" s="368">
        <v>6399.5217473296652</v>
      </c>
      <c r="BJ53" s="367">
        <f>SUM(BJ51:BJ52)</f>
        <v>902.45936133399766</v>
      </c>
      <c r="BK53" s="368">
        <v>902.45936133399766</v>
      </c>
      <c r="BL53" s="367">
        <f>SUM(BL51:BL52)</f>
        <v>446.61032000406374</v>
      </c>
      <c r="BM53" s="367">
        <f>SUM(BM51:BM52)</f>
        <v>671.47755056920687</v>
      </c>
      <c r="BN53" s="367">
        <f>SUM(BN51:BN52)</f>
        <v>236.94309973001208</v>
      </c>
      <c r="BO53" s="368">
        <v>1355.0309703032822</v>
      </c>
      <c r="BP53" s="367">
        <v>28167.77221788622</v>
      </c>
      <c r="BQ53" s="367"/>
      <c r="BR53" s="351"/>
      <c r="BS53" s="367">
        <f>SUM(BS51:BS52)</f>
        <v>1750.8126062929587</v>
      </c>
      <c r="BT53" s="368">
        <v>1750.8126062929587</v>
      </c>
      <c r="BU53" s="367">
        <f>SUM(BU51:BU52)</f>
        <v>5778.1177236054627</v>
      </c>
      <c r="BV53" s="367">
        <f>SUM(BV51:BV52)</f>
        <v>215.34952561055405</v>
      </c>
      <c r="BW53" s="368">
        <v>5993.4672492160171</v>
      </c>
      <c r="BX53" s="367">
        <f>SUM(BX51:BX52)</f>
        <v>2944.398133944404</v>
      </c>
      <c r="BY53" s="367">
        <f>SUM(BY51:BY52)</f>
        <v>219.35675251998458</v>
      </c>
      <c r="BZ53" s="367">
        <f>SUM(BZ51:BZ52)</f>
        <v>1864.8492813668122</v>
      </c>
      <c r="CA53" s="368">
        <v>5028.6041678312013</v>
      </c>
      <c r="CB53" s="367">
        <f>SUM(CB51:CB52)</f>
        <v>7968.8259146293203</v>
      </c>
      <c r="CC53" s="368">
        <v>7968.8259146293203</v>
      </c>
      <c r="CD53" s="367">
        <f>SUM(CD51:CD52)</f>
        <v>2372.5170652812662</v>
      </c>
      <c r="CE53" s="367">
        <f>SUM(CE51:CE52)</f>
        <v>654.96882644543757</v>
      </c>
      <c r="CF53" s="367">
        <f>SUM(CF51:CF52)</f>
        <v>302.02301670884327</v>
      </c>
      <c r="CG53" s="368">
        <v>3329.5089084355486</v>
      </c>
      <c r="CH53" s="367">
        <v>24071.218846405049</v>
      </c>
      <c r="CI53" s="367"/>
      <c r="CJ53" s="351"/>
      <c r="CK53" s="367">
        <f>SUM(CK51:CK52)</f>
        <v>3834.3402386668231</v>
      </c>
      <c r="CL53" s="367">
        <f>SUM(CL51:CL52)</f>
        <v>4383.9828108357615</v>
      </c>
      <c r="CM53" s="368">
        <v>8218.3252959702022</v>
      </c>
      <c r="CN53" s="367">
        <f>SUM(CN51:CN52)</f>
        <v>953.2743170046349</v>
      </c>
      <c r="CO53" s="368">
        <v>953.2743170046349</v>
      </c>
      <c r="CP53" s="367">
        <f>SUM(CP51:CP52)</f>
        <v>502.02143666479969</v>
      </c>
      <c r="CQ53" s="368">
        <v>502.02143666479969</v>
      </c>
      <c r="CR53" s="367">
        <f>SUM(CR51:CR52)</f>
        <v>767.88387299325188</v>
      </c>
      <c r="CS53" s="368">
        <v>767.88387299325188</v>
      </c>
      <c r="CT53" s="367"/>
      <c r="CU53" s="368">
        <v>0.13693706986963286</v>
      </c>
      <c r="CV53" s="367">
        <f>SUM(CV51:CV52)</f>
        <v>617.51938807567285</v>
      </c>
      <c r="CW53" s="368">
        <v>617.51938807567285</v>
      </c>
      <c r="CX53" s="367">
        <v>11059.161247778431</v>
      </c>
      <c r="CY53" s="367"/>
      <c r="CZ53" s="351"/>
    </row>
    <row r="54" spans="1:104" s="278" customFormat="1" outlineLevel="1">
      <c r="A54" s="345"/>
      <c r="C54" s="288" t="s">
        <v>1472</v>
      </c>
      <c r="D54" s="419" t="s">
        <v>1352</v>
      </c>
      <c r="E54" s="420" t="s">
        <v>5</v>
      </c>
      <c r="F54" s="421" t="s">
        <v>1353</v>
      </c>
      <c r="G54" s="403"/>
      <c r="H54" s="344">
        <f t="shared" ref="H54:O54" si="83">$P54*H$21</f>
        <v>33024.392916467463</v>
      </c>
      <c r="I54" s="344">
        <f t="shared" si="83"/>
        <v>12495.716238663363</v>
      </c>
      <c r="J54" s="344">
        <f t="shared" si="83"/>
        <v>892.55115990452589</v>
      </c>
      <c r="K54" s="344">
        <f t="shared" si="83"/>
        <v>4462.7557995226298</v>
      </c>
      <c r="L54" s="344">
        <f t="shared" si="83"/>
        <v>16958.472038185995</v>
      </c>
      <c r="M54" s="344">
        <f t="shared" si="83"/>
        <v>53553.069594271554</v>
      </c>
      <c r="N54" s="344">
        <f t="shared" si="83"/>
        <v>2677.6534797135778</v>
      </c>
      <c r="O54" s="344">
        <f t="shared" si="83"/>
        <v>8925.5115990452596</v>
      </c>
      <c r="P54" s="366">
        <v>132990.12282577436</v>
      </c>
      <c r="Q54" s="344">
        <f>$T54*Q$21</f>
        <v>2163.7771071941665</v>
      </c>
      <c r="R54" s="344">
        <f>$T54*R$21</f>
        <v>540.94427679854164</v>
      </c>
      <c r="S54" s="344">
        <f>$T54*S$21</f>
        <v>540.94427679854164</v>
      </c>
      <c r="T54" s="366">
        <v>3245.66566079125</v>
      </c>
      <c r="U54" s="344">
        <f t="shared" ref="U54:AD54" si="84">$AE54*U$21</f>
        <v>38063.199549327677</v>
      </c>
      <c r="V54" s="344">
        <f t="shared" si="84"/>
        <v>1903.1599774663835</v>
      </c>
      <c r="W54" s="344">
        <f t="shared" si="84"/>
        <v>634.38665915546119</v>
      </c>
      <c r="X54" s="344">
        <f t="shared" si="84"/>
        <v>37428.812890172208</v>
      </c>
      <c r="Y54" s="344">
        <f t="shared" si="84"/>
        <v>1268.7733183109224</v>
      </c>
      <c r="Z54" s="344">
        <f t="shared" si="84"/>
        <v>634.38665915546119</v>
      </c>
      <c r="AA54" s="344">
        <f t="shared" si="84"/>
        <v>18397.213115508373</v>
      </c>
      <c r="AB54" s="344">
        <f t="shared" si="84"/>
        <v>1268.7733183109224</v>
      </c>
      <c r="AC54" s="344">
        <f t="shared" si="84"/>
        <v>634.38665915546119</v>
      </c>
      <c r="AD54" s="344">
        <f t="shared" si="84"/>
        <v>634.38665915546119</v>
      </c>
      <c r="AE54" s="366">
        <v>100867.47880571833</v>
      </c>
      <c r="AF54" s="344">
        <f t="shared" ref="AF54:AK54" si="85">$AL54*AF$21</f>
        <v>13015.529808507174</v>
      </c>
      <c r="AG54" s="344">
        <f t="shared" si="85"/>
        <v>9590.3903852158128</v>
      </c>
      <c r="AH54" s="344">
        <f t="shared" si="85"/>
        <v>685.02788465827246</v>
      </c>
      <c r="AI54" s="344">
        <f t="shared" si="85"/>
        <v>685.02788465827246</v>
      </c>
      <c r="AJ54" s="344">
        <f t="shared" si="85"/>
        <v>685.02788465827246</v>
      </c>
      <c r="AK54" s="344">
        <f t="shared" si="85"/>
        <v>685.02788465827246</v>
      </c>
      <c r="AL54" s="366">
        <v>25346.031732356078</v>
      </c>
      <c r="AM54" s="344">
        <f>$AO54*AM$21</f>
        <v>32979.936003783201</v>
      </c>
      <c r="AN54" s="344">
        <f>$AO54*AN$21</f>
        <v>2806.8030641517616</v>
      </c>
      <c r="AO54" s="366">
        <v>35786.739067934963</v>
      </c>
      <c r="AP54" s="344">
        <f>$AQ54*AP$21</f>
        <v>2386.2112970803755</v>
      </c>
      <c r="AQ54" s="366">
        <v>2386.2112970803755</v>
      </c>
      <c r="AR54" s="344">
        <v>300622.24938965536</v>
      </c>
      <c r="AT54" s="351"/>
      <c r="AU54" s="367">
        <f t="shared" ref="AU54:AZ54" si="86">$BA54*AU$21</f>
        <v>22131.785597136997</v>
      </c>
      <c r="AV54" s="367">
        <f t="shared" si="86"/>
        <v>1053.894552244619</v>
      </c>
      <c r="AW54" s="367">
        <f t="shared" si="86"/>
        <v>12646.734626935426</v>
      </c>
      <c r="AX54" s="367">
        <f t="shared" si="86"/>
        <v>27401.258358360094</v>
      </c>
      <c r="AY54" s="367">
        <f t="shared" si="86"/>
        <v>18970.101940403143</v>
      </c>
      <c r="AZ54" s="367">
        <f t="shared" si="86"/>
        <v>10538.945522446189</v>
      </c>
      <c r="BA54" s="368">
        <v>92742.720597526466</v>
      </c>
      <c r="BB54" s="367">
        <f>$BC54*BB$21</f>
        <v>2836.8939417445363</v>
      </c>
      <c r="BC54" s="368">
        <v>2836.8939417445363</v>
      </c>
      <c r="BD54" s="367">
        <f>$BE54*BD$21</f>
        <v>2977.2562854805901</v>
      </c>
      <c r="BE54" s="368">
        <v>2977.2562854805901</v>
      </c>
      <c r="BF54" s="367">
        <f>$BG54*BF$21</f>
        <v>2287.5105990285674</v>
      </c>
      <c r="BG54" s="368">
        <v>2287.5105990285674</v>
      </c>
      <c r="BH54" s="367">
        <f>$BI54*BH$21</f>
        <v>29212.852370392477</v>
      </c>
      <c r="BI54" s="368">
        <v>29212.852370392477</v>
      </c>
      <c r="BJ54" s="367">
        <f>$BK54*BJ$21</f>
        <v>3238.6464975533404</v>
      </c>
      <c r="BK54" s="368">
        <v>3238.6464975533404</v>
      </c>
      <c r="BL54" s="367">
        <f>$BO54*BL$21</f>
        <v>1212.3699808202864</v>
      </c>
      <c r="BM54" s="367">
        <f>$BO54*BM$21</f>
        <v>2424.7399616405728</v>
      </c>
      <c r="BN54" s="367">
        <f>$BO54*BN$21</f>
        <v>1212.3699808202864</v>
      </c>
      <c r="BO54" s="368">
        <v>4849.4799232811456</v>
      </c>
      <c r="BP54" s="367">
        <v>138145.36021500712</v>
      </c>
      <c r="BQ54" s="367"/>
      <c r="BR54" s="351"/>
      <c r="BS54" s="367">
        <f>$BT54*BS$21</f>
        <v>8874.7859204404813</v>
      </c>
      <c r="BT54" s="368">
        <v>8874.7859204404813</v>
      </c>
      <c r="BU54" s="367">
        <f>$BW54*BU$21</f>
        <v>27363.269944956104</v>
      </c>
      <c r="BV54" s="367">
        <f>$BW54*BV$21</f>
        <v>1303.0128545217192</v>
      </c>
      <c r="BW54" s="368">
        <v>28666.282799477824</v>
      </c>
      <c r="BX54" s="367">
        <f>$CA54*BX$21</f>
        <v>7796.8716590759477</v>
      </c>
      <c r="BY54" s="367">
        <f>$CA54*BY$21</f>
        <v>649.73930492299564</v>
      </c>
      <c r="BZ54" s="367">
        <f>$CA54*BZ$21</f>
        <v>5197.9144393839651</v>
      </c>
      <c r="CA54" s="368">
        <v>13644.52540338291</v>
      </c>
      <c r="CB54" s="367">
        <f>$CC54*CB$21</f>
        <v>19152.017921397837</v>
      </c>
      <c r="CC54" s="368">
        <v>19152.017921397837</v>
      </c>
      <c r="CD54" s="367">
        <f>$CG54*CD$21</f>
        <v>7180.6408351987448</v>
      </c>
      <c r="CE54" s="367">
        <f>$CG54*CE$21</f>
        <v>2393.5469450662481</v>
      </c>
      <c r="CF54" s="367">
        <f>$CG54*CF$21</f>
        <v>598.38673626656202</v>
      </c>
      <c r="CG54" s="368">
        <v>10172.574516531555</v>
      </c>
      <c r="CH54" s="367">
        <v>80510.186561230614</v>
      </c>
      <c r="CI54" s="367"/>
      <c r="CJ54" s="351"/>
      <c r="CK54" s="367">
        <f>$CM54*CK$21</f>
        <v>10245.771068882066</v>
      </c>
      <c r="CL54" s="367">
        <f>$CM54*CL$21</f>
        <v>7968.9330535749395</v>
      </c>
      <c r="CM54" s="368">
        <v>18214.704122457006</v>
      </c>
      <c r="CN54" s="367">
        <f>$CO54*CN$21</f>
        <v>7554.9270963214403</v>
      </c>
      <c r="CO54" s="368">
        <v>7554.9270963214403</v>
      </c>
      <c r="CP54" s="367">
        <f>$CQ54*CP$21</f>
        <v>1425.0605063910057</v>
      </c>
      <c r="CQ54" s="368">
        <v>1425.0605063910057</v>
      </c>
      <c r="CR54" s="367">
        <f>$CS54*CR$21</f>
        <v>4244.9177968143531</v>
      </c>
      <c r="CS54" s="368">
        <v>4244.9177968143531</v>
      </c>
      <c r="CT54" s="367" t="e">
        <v>#DIV/0!</v>
      </c>
      <c r="CU54" s="368">
        <v>6.2625919691739499E-3</v>
      </c>
      <c r="CV54" s="367">
        <f>$CW54*CV$21</f>
        <v>6676.7025037403037</v>
      </c>
      <c r="CW54" s="368">
        <v>6676.7025037403037</v>
      </c>
      <c r="CX54" s="367">
        <v>38116.318288316077</v>
      </c>
      <c r="CY54" s="367"/>
      <c r="CZ54" s="351"/>
    </row>
    <row r="55" spans="1:104" s="278" customFormat="1" outlineLevel="1">
      <c r="C55" s="288" t="s">
        <v>1480</v>
      </c>
      <c r="D55" s="370" t="s">
        <v>1338</v>
      </c>
      <c r="E55" s="422" t="s">
        <v>1354</v>
      </c>
      <c r="F55" s="421" t="s">
        <v>1355</v>
      </c>
      <c r="G55" s="403"/>
      <c r="H55" s="344">
        <f t="shared" ref="H55:O57" si="87">$P55*H$17</f>
        <v>0</v>
      </c>
      <c r="I55" s="344">
        <f t="shared" si="87"/>
        <v>0</v>
      </c>
      <c r="J55" s="344">
        <f t="shared" si="87"/>
        <v>0</v>
      </c>
      <c r="K55" s="344">
        <f t="shared" si="87"/>
        <v>0</v>
      </c>
      <c r="L55" s="344">
        <f t="shared" si="87"/>
        <v>0</v>
      </c>
      <c r="M55" s="344">
        <f t="shared" si="87"/>
        <v>0</v>
      </c>
      <c r="N55" s="344">
        <f t="shared" si="87"/>
        <v>0</v>
      </c>
      <c r="O55" s="344">
        <f t="shared" si="87"/>
        <v>0</v>
      </c>
      <c r="P55" s="366">
        <v>0</v>
      </c>
      <c r="Q55" s="344">
        <f t="shared" ref="Q55:S57" si="88">$T55*Q$17</f>
        <v>0</v>
      </c>
      <c r="R55" s="344">
        <f t="shared" si="88"/>
        <v>0</v>
      </c>
      <c r="S55" s="344">
        <f t="shared" si="88"/>
        <v>0</v>
      </c>
      <c r="T55" s="366">
        <v>0</v>
      </c>
      <c r="U55" s="344">
        <f t="shared" ref="U55:AD57" si="89">$AE55*U$17</f>
        <v>0</v>
      </c>
      <c r="V55" s="344">
        <f t="shared" si="89"/>
        <v>0</v>
      </c>
      <c r="W55" s="344">
        <f t="shared" si="89"/>
        <v>0</v>
      </c>
      <c r="X55" s="344">
        <f t="shared" si="89"/>
        <v>0</v>
      </c>
      <c r="Y55" s="344">
        <f t="shared" si="89"/>
        <v>0</v>
      </c>
      <c r="Z55" s="344">
        <f t="shared" si="89"/>
        <v>0</v>
      </c>
      <c r="AA55" s="344">
        <f t="shared" si="89"/>
        <v>0</v>
      </c>
      <c r="AB55" s="344">
        <f t="shared" si="89"/>
        <v>0</v>
      </c>
      <c r="AC55" s="344">
        <f t="shared" si="89"/>
        <v>0</v>
      </c>
      <c r="AD55" s="344">
        <f t="shared" si="89"/>
        <v>0</v>
      </c>
      <c r="AE55" s="366">
        <v>0</v>
      </c>
      <c r="AF55" s="344">
        <f t="shared" ref="AF55:AK57" si="90">$AL55*AF$17</f>
        <v>0</v>
      </c>
      <c r="AG55" s="344">
        <f t="shared" si="90"/>
        <v>0</v>
      </c>
      <c r="AH55" s="344">
        <f t="shared" si="90"/>
        <v>0</v>
      </c>
      <c r="AI55" s="344">
        <f t="shared" si="90"/>
        <v>0</v>
      </c>
      <c r="AJ55" s="344">
        <f t="shared" si="90"/>
        <v>0</v>
      </c>
      <c r="AK55" s="344">
        <f t="shared" si="90"/>
        <v>0</v>
      </c>
      <c r="AL55" s="366">
        <v>0</v>
      </c>
      <c r="AM55" s="344">
        <f t="shared" ref="AM55:AN57" si="91">$AO55*AM$17</f>
        <v>0</v>
      </c>
      <c r="AN55" s="344">
        <f t="shared" si="91"/>
        <v>0</v>
      </c>
      <c r="AO55" s="366">
        <v>0</v>
      </c>
      <c r="AP55" s="344">
        <f>$AQ55*AP$17</f>
        <v>0</v>
      </c>
      <c r="AQ55" s="366">
        <v>0</v>
      </c>
      <c r="AR55" s="344">
        <v>0</v>
      </c>
      <c r="AT55" s="351"/>
      <c r="AU55" s="367">
        <f t="shared" ref="AU55:AZ57" si="92">$BA55*AU$17</f>
        <v>0</v>
      </c>
      <c r="AV55" s="367">
        <f t="shared" si="92"/>
        <v>0</v>
      </c>
      <c r="AW55" s="367">
        <f t="shared" si="92"/>
        <v>0</v>
      </c>
      <c r="AX55" s="367">
        <f t="shared" si="92"/>
        <v>0</v>
      </c>
      <c r="AY55" s="367">
        <f t="shared" si="92"/>
        <v>0</v>
      </c>
      <c r="AZ55" s="367">
        <f t="shared" si="92"/>
        <v>0</v>
      </c>
      <c r="BA55" s="368">
        <v>0</v>
      </c>
      <c r="BB55" s="367">
        <f>$BC55*BB$17</f>
        <v>0</v>
      </c>
      <c r="BC55" s="368">
        <v>0</v>
      </c>
      <c r="BD55" s="367">
        <f>$BE55*BD$17</f>
        <v>0</v>
      </c>
      <c r="BE55" s="368">
        <v>0</v>
      </c>
      <c r="BF55" s="367">
        <f>$BG55*BF$17</f>
        <v>0</v>
      </c>
      <c r="BG55" s="368">
        <v>0</v>
      </c>
      <c r="BH55" s="367">
        <f>$BI55*BH$17</f>
        <v>0</v>
      </c>
      <c r="BI55" s="368">
        <v>0</v>
      </c>
      <c r="BJ55" s="367">
        <f>$BK55*BJ$17</f>
        <v>0</v>
      </c>
      <c r="BK55" s="368">
        <v>0</v>
      </c>
      <c r="BL55" s="367">
        <f t="shared" ref="BL55:BN57" si="93">$BO55*BL$17</f>
        <v>0</v>
      </c>
      <c r="BM55" s="367">
        <f t="shared" si="93"/>
        <v>0</v>
      </c>
      <c r="BN55" s="367">
        <f t="shared" si="93"/>
        <v>0</v>
      </c>
      <c r="BO55" s="368">
        <v>0</v>
      </c>
      <c r="BP55" s="367">
        <v>0</v>
      </c>
      <c r="BQ55" s="367"/>
      <c r="BR55" s="351"/>
      <c r="BS55" s="367">
        <f>$BT55*BS$17</f>
        <v>0</v>
      </c>
      <c r="BT55" s="368">
        <v>0</v>
      </c>
      <c r="BU55" s="367">
        <f t="shared" ref="BU55:BV57" si="94">$BW55*BU$17</f>
        <v>0</v>
      </c>
      <c r="BV55" s="367">
        <f t="shared" si="94"/>
        <v>0</v>
      </c>
      <c r="BW55" s="368">
        <v>0</v>
      </c>
      <c r="BX55" s="367">
        <f t="shared" ref="BX55:BZ57" si="95">$CA55*BX$17</f>
        <v>0</v>
      </c>
      <c r="BY55" s="367">
        <f t="shared" si="95"/>
        <v>0</v>
      </c>
      <c r="BZ55" s="367">
        <f t="shared" si="95"/>
        <v>0</v>
      </c>
      <c r="CA55" s="368">
        <v>0</v>
      </c>
      <c r="CB55" s="367">
        <f>$CC55*CB$17</f>
        <v>0</v>
      </c>
      <c r="CC55" s="368">
        <v>0</v>
      </c>
      <c r="CD55" s="367">
        <f t="shared" ref="CD55:CF57" si="96">$CG55*CD$17</f>
        <v>0</v>
      </c>
      <c r="CE55" s="367">
        <f t="shared" si="96"/>
        <v>0</v>
      </c>
      <c r="CF55" s="367">
        <f t="shared" si="96"/>
        <v>0</v>
      </c>
      <c r="CG55" s="368">
        <v>0</v>
      </c>
      <c r="CH55" s="367">
        <v>0</v>
      </c>
      <c r="CI55" s="367"/>
      <c r="CJ55" s="351"/>
      <c r="CK55" s="367">
        <f t="shared" ref="CK55:CL57" si="97">$CM55*CK$17</f>
        <v>0</v>
      </c>
      <c r="CL55" s="367">
        <f t="shared" si="97"/>
        <v>0</v>
      </c>
      <c r="CM55" s="368">
        <v>0</v>
      </c>
      <c r="CN55" s="367">
        <f>$CO55*CN$17</f>
        <v>0</v>
      </c>
      <c r="CO55" s="368">
        <v>0</v>
      </c>
      <c r="CP55" s="367">
        <f>$CQ55*CP$17</f>
        <v>0</v>
      </c>
      <c r="CQ55" s="368">
        <v>0</v>
      </c>
      <c r="CR55" s="367">
        <f>$CS55*CR$17</f>
        <v>0</v>
      </c>
      <c r="CS55" s="368">
        <v>0</v>
      </c>
      <c r="CT55" s="367"/>
      <c r="CU55" s="368">
        <v>0</v>
      </c>
      <c r="CV55" s="367">
        <f>$CW55*CV$17</f>
        <v>0</v>
      </c>
      <c r="CW55" s="368">
        <v>0</v>
      </c>
      <c r="CX55" s="367">
        <v>0</v>
      </c>
      <c r="CY55" s="367"/>
      <c r="CZ55" s="351"/>
    </row>
    <row r="56" spans="1:104" s="278" customFormat="1" outlineLevel="1">
      <c r="C56" s="288" t="s">
        <v>1356</v>
      </c>
      <c r="D56" s="370" t="s">
        <v>1338</v>
      </c>
      <c r="E56" s="422" t="s">
        <v>1354</v>
      </c>
      <c r="F56" s="372" t="s">
        <v>1357</v>
      </c>
      <c r="G56" s="403"/>
      <c r="H56" s="344">
        <f t="shared" si="87"/>
        <v>0</v>
      </c>
      <c r="I56" s="344">
        <f t="shared" si="87"/>
        <v>0</v>
      </c>
      <c r="J56" s="344">
        <f t="shared" si="87"/>
        <v>0</v>
      </c>
      <c r="K56" s="344">
        <f t="shared" si="87"/>
        <v>0</v>
      </c>
      <c r="L56" s="344">
        <f t="shared" si="87"/>
        <v>0</v>
      </c>
      <c r="M56" s="344">
        <f t="shared" si="87"/>
        <v>0</v>
      </c>
      <c r="N56" s="344">
        <f t="shared" si="87"/>
        <v>0</v>
      </c>
      <c r="O56" s="344">
        <f t="shared" si="87"/>
        <v>0</v>
      </c>
      <c r="P56" s="366">
        <v>0</v>
      </c>
      <c r="Q56" s="344">
        <f t="shared" si="88"/>
        <v>0</v>
      </c>
      <c r="R56" s="344">
        <f t="shared" si="88"/>
        <v>0</v>
      </c>
      <c r="S56" s="344">
        <f t="shared" si="88"/>
        <v>0</v>
      </c>
      <c r="T56" s="366">
        <v>0</v>
      </c>
      <c r="U56" s="344">
        <f t="shared" si="89"/>
        <v>0</v>
      </c>
      <c r="V56" s="344">
        <f t="shared" si="89"/>
        <v>0</v>
      </c>
      <c r="W56" s="344">
        <f t="shared" si="89"/>
        <v>0</v>
      </c>
      <c r="X56" s="344">
        <f t="shared" si="89"/>
        <v>0</v>
      </c>
      <c r="Y56" s="344">
        <f t="shared" si="89"/>
        <v>0</v>
      </c>
      <c r="Z56" s="344">
        <f t="shared" si="89"/>
        <v>0</v>
      </c>
      <c r="AA56" s="344">
        <f t="shared" si="89"/>
        <v>0</v>
      </c>
      <c r="AB56" s="344">
        <f t="shared" si="89"/>
        <v>0</v>
      </c>
      <c r="AC56" s="344">
        <f t="shared" si="89"/>
        <v>0</v>
      </c>
      <c r="AD56" s="344">
        <f t="shared" si="89"/>
        <v>0</v>
      </c>
      <c r="AE56" s="366">
        <v>0</v>
      </c>
      <c r="AF56" s="344">
        <f t="shared" si="90"/>
        <v>0</v>
      </c>
      <c r="AG56" s="344">
        <f t="shared" si="90"/>
        <v>0</v>
      </c>
      <c r="AH56" s="344">
        <f t="shared" si="90"/>
        <v>0</v>
      </c>
      <c r="AI56" s="344">
        <f t="shared" si="90"/>
        <v>0</v>
      </c>
      <c r="AJ56" s="344">
        <f t="shared" si="90"/>
        <v>0</v>
      </c>
      <c r="AK56" s="344">
        <f t="shared" si="90"/>
        <v>0</v>
      </c>
      <c r="AL56" s="366">
        <v>0</v>
      </c>
      <c r="AM56" s="344">
        <f t="shared" si="91"/>
        <v>0</v>
      </c>
      <c r="AN56" s="344">
        <f t="shared" si="91"/>
        <v>0</v>
      </c>
      <c r="AO56" s="366">
        <v>0</v>
      </c>
      <c r="AP56" s="344">
        <f>$AQ56*AP$17</f>
        <v>0</v>
      </c>
      <c r="AQ56" s="366">
        <v>0</v>
      </c>
      <c r="AR56" s="344">
        <v>0</v>
      </c>
      <c r="AT56" s="351"/>
      <c r="AU56" s="367">
        <f t="shared" si="92"/>
        <v>0</v>
      </c>
      <c r="AV56" s="367">
        <f t="shared" si="92"/>
        <v>0</v>
      </c>
      <c r="AW56" s="367">
        <f t="shared" si="92"/>
        <v>0</v>
      </c>
      <c r="AX56" s="367">
        <f t="shared" si="92"/>
        <v>0</v>
      </c>
      <c r="AY56" s="367">
        <f t="shared" si="92"/>
        <v>0</v>
      </c>
      <c r="AZ56" s="367">
        <f t="shared" si="92"/>
        <v>0</v>
      </c>
      <c r="BA56" s="368">
        <v>0</v>
      </c>
      <c r="BB56" s="367">
        <f>$BC56*BB$17</f>
        <v>0</v>
      </c>
      <c r="BC56" s="368">
        <v>0</v>
      </c>
      <c r="BD56" s="367">
        <f>$BE56*BD$17</f>
        <v>0</v>
      </c>
      <c r="BE56" s="368">
        <v>0</v>
      </c>
      <c r="BF56" s="367">
        <f>$BG56*BF$17</f>
        <v>0</v>
      </c>
      <c r="BG56" s="368">
        <v>0</v>
      </c>
      <c r="BH56" s="367">
        <f>$BI56*BH$17</f>
        <v>0</v>
      </c>
      <c r="BI56" s="368">
        <v>0</v>
      </c>
      <c r="BJ56" s="367">
        <f>$BK56*BJ$17</f>
        <v>0</v>
      </c>
      <c r="BK56" s="368">
        <v>0</v>
      </c>
      <c r="BL56" s="367">
        <f t="shared" si="93"/>
        <v>0</v>
      </c>
      <c r="BM56" s="367">
        <f t="shared" si="93"/>
        <v>0</v>
      </c>
      <c r="BN56" s="367">
        <f t="shared" si="93"/>
        <v>0</v>
      </c>
      <c r="BO56" s="368">
        <v>0</v>
      </c>
      <c r="BP56" s="367">
        <v>0</v>
      </c>
      <c r="BQ56" s="367"/>
      <c r="BR56" s="351"/>
      <c r="BS56" s="367">
        <f>$BT56*BS$17</f>
        <v>0</v>
      </c>
      <c r="BT56" s="368">
        <v>0</v>
      </c>
      <c r="BU56" s="367">
        <f t="shared" si="94"/>
        <v>0</v>
      </c>
      <c r="BV56" s="367">
        <f t="shared" si="94"/>
        <v>0</v>
      </c>
      <c r="BW56" s="368">
        <v>0</v>
      </c>
      <c r="BX56" s="367">
        <f t="shared" si="95"/>
        <v>0</v>
      </c>
      <c r="BY56" s="367">
        <f t="shared" si="95"/>
        <v>0</v>
      </c>
      <c r="BZ56" s="367">
        <f t="shared" si="95"/>
        <v>0</v>
      </c>
      <c r="CA56" s="368">
        <v>0</v>
      </c>
      <c r="CB56" s="367">
        <f>$CC56*CB$17</f>
        <v>0</v>
      </c>
      <c r="CC56" s="368">
        <v>0</v>
      </c>
      <c r="CD56" s="367">
        <f t="shared" si="96"/>
        <v>0</v>
      </c>
      <c r="CE56" s="367">
        <f t="shared" si="96"/>
        <v>0</v>
      </c>
      <c r="CF56" s="367">
        <f t="shared" si="96"/>
        <v>0</v>
      </c>
      <c r="CG56" s="368">
        <v>0</v>
      </c>
      <c r="CH56" s="367">
        <v>0</v>
      </c>
      <c r="CI56" s="367"/>
      <c r="CJ56" s="351"/>
      <c r="CK56" s="367">
        <f t="shared" si="97"/>
        <v>0</v>
      </c>
      <c r="CL56" s="367">
        <f t="shared" si="97"/>
        <v>0</v>
      </c>
      <c r="CM56" s="368">
        <v>0</v>
      </c>
      <c r="CN56" s="367">
        <f>$CO56*CN$17</f>
        <v>0</v>
      </c>
      <c r="CO56" s="368">
        <v>0</v>
      </c>
      <c r="CP56" s="367">
        <f>$CQ56*CP$17</f>
        <v>0</v>
      </c>
      <c r="CQ56" s="368">
        <v>0</v>
      </c>
      <c r="CR56" s="367">
        <f>$CS56*CR$17</f>
        <v>0</v>
      </c>
      <c r="CS56" s="368">
        <v>0</v>
      </c>
      <c r="CT56" s="367"/>
      <c r="CU56" s="368">
        <v>0</v>
      </c>
      <c r="CV56" s="367">
        <f>$CW56*CV$17</f>
        <v>0</v>
      </c>
      <c r="CW56" s="368">
        <v>0</v>
      </c>
      <c r="CX56" s="367">
        <v>0</v>
      </c>
      <c r="CY56" s="367"/>
      <c r="CZ56" s="351"/>
    </row>
    <row r="57" spans="1:104" s="278" customFormat="1" outlineLevel="1">
      <c r="C57" s="288" t="s">
        <v>1358</v>
      </c>
      <c r="D57" s="370" t="s">
        <v>1338</v>
      </c>
      <c r="E57" s="340" t="s">
        <v>1304</v>
      </c>
      <c r="F57" s="423" t="s">
        <v>1359</v>
      </c>
      <c r="G57" s="403"/>
      <c r="H57" s="344">
        <f t="shared" si="87"/>
        <v>1068.1952577857746</v>
      </c>
      <c r="I57" s="344">
        <f t="shared" si="87"/>
        <v>428.10023077391179</v>
      </c>
      <c r="J57" s="344">
        <f t="shared" si="87"/>
        <v>28.252255806147808</v>
      </c>
      <c r="K57" s="344">
        <f t="shared" si="87"/>
        <v>91.370526384174866</v>
      </c>
      <c r="L57" s="344">
        <f t="shared" si="87"/>
        <v>561.79223113873638</v>
      </c>
      <c r="M57" s="344">
        <f t="shared" si="87"/>
        <v>1912.8294384183123</v>
      </c>
      <c r="N57" s="344">
        <f t="shared" si="87"/>
        <v>87.414820007728736</v>
      </c>
      <c r="O57" s="344">
        <f t="shared" si="87"/>
        <v>296.25652479448974</v>
      </c>
      <c r="P57" s="366">
        <v>4474.2112851092761</v>
      </c>
      <c r="Q57" s="344">
        <f t="shared" si="88"/>
        <v>155.69178493813169</v>
      </c>
      <c r="R57" s="344">
        <f t="shared" si="88"/>
        <v>38.860535244762751</v>
      </c>
      <c r="S57" s="344">
        <f t="shared" si="88"/>
        <v>3.1770266023388709</v>
      </c>
      <c r="T57" s="366">
        <v>197.7293467852333</v>
      </c>
      <c r="U57" s="344">
        <f t="shared" si="89"/>
        <v>2210.2616445936028</v>
      </c>
      <c r="V57" s="344">
        <f t="shared" si="89"/>
        <v>104.44627466684408</v>
      </c>
      <c r="W57" s="344">
        <f t="shared" si="89"/>
        <v>25.869059084405759</v>
      </c>
      <c r="X57" s="344">
        <f t="shared" si="89"/>
        <v>1976.2155261910439</v>
      </c>
      <c r="Y57" s="344">
        <f t="shared" si="89"/>
        <v>42.123322442801211</v>
      </c>
      <c r="Z57" s="344">
        <f t="shared" si="89"/>
        <v>38.730662256448319</v>
      </c>
      <c r="AA57" s="344">
        <f t="shared" si="89"/>
        <v>893.4541024418304</v>
      </c>
      <c r="AB57" s="344">
        <f t="shared" si="89"/>
        <v>52.744116413814069</v>
      </c>
      <c r="AC57" s="344">
        <f t="shared" si="89"/>
        <v>0</v>
      </c>
      <c r="AD57" s="344">
        <f t="shared" si="89"/>
        <v>28.558932831836035</v>
      </c>
      <c r="AE57" s="366">
        <v>5372.4036409226264</v>
      </c>
      <c r="AF57" s="344">
        <f t="shared" si="90"/>
        <v>504.49076698857203</v>
      </c>
      <c r="AG57" s="344">
        <f t="shared" si="90"/>
        <v>360.30457384487005</v>
      </c>
      <c r="AH57" s="344">
        <f t="shared" si="90"/>
        <v>18.538101030003823</v>
      </c>
      <c r="AI57" s="344">
        <f t="shared" si="90"/>
        <v>39.293350297093284</v>
      </c>
      <c r="AJ57" s="344">
        <f t="shared" si="90"/>
        <v>15.402838585190752</v>
      </c>
      <c r="AK57" s="344">
        <f t="shared" si="90"/>
        <v>17.477309688213648</v>
      </c>
      <c r="AL57" s="366">
        <v>955.50694043394367</v>
      </c>
      <c r="AM57" s="344">
        <f t="shared" si="91"/>
        <v>1801.1272082832377</v>
      </c>
      <c r="AN57" s="344">
        <f t="shared" si="91"/>
        <v>117.58201529472348</v>
      </c>
      <c r="AO57" s="366">
        <v>1918.7092235779612</v>
      </c>
      <c r="AP57" s="344">
        <f>$AQ57*AP$17</f>
        <v>108.69238313663578</v>
      </c>
      <c r="AQ57" s="366">
        <v>108.69238313663578</v>
      </c>
      <c r="AR57" s="344">
        <v>13027.252819965677</v>
      </c>
      <c r="AT57" s="351"/>
      <c r="AU57" s="367">
        <f t="shared" si="92"/>
        <v>1419.2340747500446</v>
      </c>
      <c r="AV57" s="367">
        <f t="shared" si="92"/>
        <v>30.087779608338145</v>
      </c>
      <c r="AW57" s="367">
        <f t="shared" si="92"/>
        <v>747.46727685911696</v>
      </c>
      <c r="AX57" s="367">
        <f t="shared" si="92"/>
        <v>1143.8070821391761</v>
      </c>
      <c r="AY57" s="367">
        <f t="shared" si="92"/>
        <v>1184.3378550456057</v>
      </c>
      <c r="AZ57" s="367">
        <f t="shared" si="92"/>
        <v>590.39542874587767</v>
      </c>
      <c r="BA57" s="368">
        <v>5115.3294971481591</v>
      </c>
      <c r="BB57" s="367">
        <f>$BC57*BB$17</f>
        <v>133.79900337596084</v>
      </c>
      <c r="BC57" s="368">
        <v>133.79900337596084</v>
      </c>
      <c r="BD57" s="367">
        <f>$BE57*BD$17</f>
        <v>169.11493819704697</v>
      </c>
      <c r="BE57" s="368">
        <v>169.11493819704697</v>
      </c>
      <c r="BF57" s="367">
        <f>$BG57*BF$17</f>
        <v>200.58067255608552</v>
      </c>
      <c r="BG57" s="368">
        <v>200.58067255608552</v>
      </c>
      <c r="BH57" s="367">
        <f>$BI57*BH$17</f>
        <v>713.55447093626185</v>
      </c>
      <c r="BI57" s="368">
        <v>713.55447093626185</v>
      </c>
      <c r="BJ57" s="367">
        <f>$BK57*BJ$17</f>
        <v>90.856742046469094</v>
      </c>
      <c r="BK57" s="368">
        <v>90.856742046469094</v>
      </c>
      <c r="BL57" s="367">
        <f t="shared" si="93"/>
        <v>51.214665667685011</v>
      </c>
      <c r="BM57" s="367">
        <f t="shared" si="93"/>
        <v>68.003250145281484</v>
      </c>
      <c r="BN57" s="367">
        <f t="shared" si="93"/>
        <v>26.032294003033243</v>
      </c>
      <c r="BO57" s="368">
        <v>145.25020981599974</v>
      </c>
      <c r="BP57" s="367">
        <v>6568.4855340759823</v>
      </c>
      <c r="BQ57" s="367"/>
      <c r="BR57" s="399"/>
      <c r="BS57" s="367">
        <f>$BT57*BS$17</f>
        <v>395.03148855333609</v>
      </c>
      <c r="BT57" s="368">
        <v>395.03148855333609</v>
      </c>
      <c r="BU57" s="367">
        <f t="shared" si="94"/>
        <v>697.06658061580583</v>
      </c>
      <c r="BV57" s="367">
        <f t="shared" si="94"/>
        <v>21.047797614809198</v>
      </c>
      <c r="BW57" s="368">
        <v>718.11437823061499</v>
      </c>
      <c r="BX57" s="367">
        <f t="shared" si="95"/>
        <v>336.19793564130708</v>
      </c>
      <c r="BY57" s="367">
        <f t="shared" si="95"/>
        <v>20.008476565535616</v>
      </c>
      <c r="BZ57" s="367">
        <f t="shared" si="95"/>
        <v>214.95362813127534</v>
      </c>
      <c r="CA57" s="368">
        <v>571.16004033811805</v>
      </c>
      <c r="CB57" s="367">
        <f>$CC57*CB$17</f>
        <v>865.76928362130514</v>
      </c>
      <c r="CC57" s="368">
        <v>865.76928362130514</v>
      </c>
      <c r="CD57" s="367">
        <f t="shared" si="96"/>
        <v>301.76087002998065</v>
      </c>
      <c r="CE57" s="367">
        <f t="shared" si="96"/>
        <v>79.440206053346657</v>
      </c>
      <c r="CF57" s="367">
        <f t="shared" si="96"/>
        <v>31.563352637776582</v>
      </c>
      <c r="CG57" s="368">
        <v>412.76442872110391</v>
      </c>
      <c r="CH57" s="367">
        <v>2962.8396194644779</v>
      </c>
      <c r="CI57" s="367"/>
      <c r="CJ57" s="351"/>
      <c r="CK57" s="367">
        <f t="shared" si="97"/>
        <v>159.62816495605506</v>
      </c>
      <c r="CL57" s="367">
        <f t="shared" si="97"/>
        <v>168.26623634610891</v>
      </c>
      <c r="CM57" s="368">
        <v>327.89499834925829</v>
      </c>
      <c r="CN57" s="367">
        <f>$CO57*CN$17</f>
        <v>166.76517004700514</v>
      </c>
      <c r="CO57" s="368">
        <v>166.76517004700514</v>
      </c>
      <c r="CP57" s="367">
        <f>$CQ57*CP$17</f>
        <v>198.35587555553371</v>
      </c>
      <c r="CQ57" s="368">
        <v>198.35587555553371</v>
      </c>
      <c r="CR57" s="367">
        <f>$CS57*CR$17</f>
        <v>293.90457362125471</v>
      </c>
      <c r="CS57" s="368">
        <v>293.90457362125471</v>
      </c>
      <c r="CT57" s="367"/>
      <c r="CU57" s="368">
        <v>0</v>
      </c>
      <c r="CV57" s="367">
        <f>$CW57*CV$17</f>
        <v>284.27450892080606</v>
      </c>
      <c r="CW57" s="368">
        <v>284.27450892080606</v>
      </c>
      <c r="CX57" s="367">
        <v>1271.195126493858</v>
      </c>
      <c r="CY57" s="367"/>
      <c r="CZ57" s="351"/>
    </row>
    <row r="58" spans="1:104" s="278" customFormat="1" outlineLevel="1">
      <c r="C58" s="288" t="s">
        <v>1360</v>
      </c>
      <c r="D58" s="370" t="s">
        <v>1338</v>
      </c>
      <c r="E58" s="412" t="s">
        <v>1298</v>
      </c>
      <c r="F58" s="423" t="s">
        <v>1360</v>
      </c>
      <c r="G58" s="403"/>
      <c r="H58" s="344">
        <f t="shared" ref="H58:O58" si="98">$P58*H$19</f>
        <v>231.3736860923149</v>
      </c>
      <c r="I58" s="344">
        <f t="shared" si="98"/>
        <v>90.009965028523268</v>
      </c>
      <c r="J58" s="344">
        <f t="shared" si="98"/>
        <v>5.5311954547303124</v>
      </c>
      <c r="K58" s="344">
        <f t="shared" si="98"/>
        <v>18.853487988679944</v>
      </c>
      <c r="L58" s="344">
        <f t="shared" si="98"/>
        <v>112.66039488542893</v>
      </c>
      <c r="M58" s="344">
        <f t="shared" si="98"/>
        <v>395.60112344249137</v>
      </c>
      <c r="N58" s="344">
        <f t="shared" si="98"/>
        <v>20.305942097679004</v>
      </c>
      <c r="O58" s="344">
        <f t="shared" si="98"/>
        <v>67.468937032016001</v>
      </c>
      <c r="P58" s="366">
        <v>941.8047320218642</v>
      </c>
      <c r="Q58" s="344">
        <f>$T58*Q$19</f>
        <v>245.75818309776469</v>
      </c>
      <c r="R58" s="344">
        <f>$T58*R$19</f>
        <v>89.760808191957977</v>
      </c>
      <c r="S58" s="344">
        <f>$T58*S$19</f>
        <v>5.615997369586327</v>
      </c>
      <c r="T58" s="366">
        <v>341.13498865930922</v>
      </c>
      <c r="U58" s="344">
        <f t="shared" ref="U58:AD58" si="99">$AE58*U$19</f>
        <v>133.73403827263161</v>
      </c>
      <c r="V58" s="344">
        <f t="shared" si="99"/>
        <v>7.5790692590799944</v>
      </c>
      <c r="W58" s="344">
        <f t="shared" si="99"/>
        <v>2.2442750103569482</v>
      </c>
      <c r="X58" s="344">
        <f t="shared" si="99"/>
        <v>122.83477873614719</v>
      </c>
      <c r="Y58" s="344">
        <f t="shared" si="99"/>
        <v>4.6565998522023513</v>
      </c>
      <c r="Z58" s="344">
        <f t="shared" si="99"/>
        <v>2.979308884617125</v>
      </c>
      <c r="AA58" s="344">
        <f t="shared" si="99"/>
        <v>59.447912022568055</v>
      </c>
      <c r="AB58" s="344">
        <f t="shared" si="99"/>
        <v>4.6605273199565529</v>
      </c>
      <c r="AC58" s="344">
        <f t="shared" si="99"/>
        <v>0</v>
      </c>
      <c r="AD58" s="344">
        <f t="shared" si="99"/>
        <v>2.0595721444486905</v>
      </c>
      <c r="AE58" s="366">
        <v>340.1960815020085</v>
      </c>
      <c r="AF58" s="344">
        <f t="shared" ref="AF58:AK58" si="100">$AL58*AF$19</f>
        <v>367.68957591178179</v>
      </c>
      <c r="AG58" s="344">
        <f t="shared" si="100"/>
        <v>247.65908793915369</v>
      </c>
      <c r="AH58" s="344">
        <f t="shared" si="100"/>
        <v>15.201670849616091</v>
      </c>
      <c r="AI58" s="344">
        <f t="shared" si="100"/>
        <v>33.963614280301911</v>
      </c>
      <c r="AJ58" s="344">
        <f t="shared" si="100"/>
        <v>14.160806994854347</v>
      </c>
      <c r="AK58" s="344">
        <f t="shared" si="100"/>
        <v>16.411791640474519</v>
      </c>
      <c r="AL58" s="366">
        <v>695.08654761618232</v>
      </c>
      <c r="AM58" s="344">
        <f>$AO58*AM$19</f>
        <v>174.92617564750125</v>
      </c>
      <c r="AN58" s="344">
        <f>$AO58*AN$19</f>
        <v>12.204265297535448</v>
      </c>
      <c r="AO58" s="366">
        <v>187.13044094503672</v>
      </c>
      <c r="AP58" s="344">
        <f>$AQ58*AP$19</f>
        <v>44.01286045230465</v>
      </c>
      <c r="AQ58" s="366">
        <v>44.01286045230465</v>
      </c>
      <c r="AR58" s="344">
        <v>2549.365651196706</v>
      </c>
      <c r="AT58" s="351"/>
      <c r="AU58" s="367">
        <f t="shared" ref="AU58:AZ58" si="101">$BA58*AU$19</f>
        <v>251.91804941721983</v>
      </c>
      <c r="AV58" s="367">
        <f t="shared" si="101"/>
        <v>2.5118287327924578</v>
      </c>
      <c r="AW58" s="367">
        <f t="shared" si="101"/>
        <v>128.27128547672496</v>
      </c>
      <c r="AX58" s="367">
        <f t="shared" si="101"/>
        <v>197.78123349550341</v>
      </c>
      <c r="AY58" s="367">
        <f t="shared" si="101"/>
        <v>224.51486939746795</v>
      </c>
      <c r="AZ58" s="367">
        <f t="shared" si="101"/>
        <v>157.0036461557018</v>
      </c>
      <c r="BA58" s="368">
        <v>962.00091267541029</v>
      </c>
      <c r="BB58" s="367">
        <f>$BC58*BB$19</f>
        <v>48.600235145149917</v>
      </c>
      <c r="BC58" s="368">
        <v>48.600235145149917</v>
      </c>
      <c r="BD58" s="367">
        <f>$BE58*BD$19</f>
        <v>43.177978957476341</v>
      </c>
      <c r="BE58" s="368">
        <v>43.177978957476341</v>
      </c>
      <c r="BF58" s="367">
        <f>$BG58*BF$19</f>
        <v>20.111930816050965</v>
      </c>
      <c r="BG58" s="368">
        <v>20.111930816050965</v>
      </c>
      <c r="BH58" s="367">
        <f>$BI58*BH$19</f>
        <v>338.39861317296658</v>
      </c>
      <c r="BI58" s="368">
        <v>338.39861317296658</v>
      </c>
      <c r="BJ58" s="367">
        <f>$BK58*BJ$19</f>
        <v>0</v>
      </c>
      <c r="BK58" s="368">
        <v>0</v>
      </c>
      <c r="BL58" s="367">
        <f>$BO58*BL$19</f>
        <v>2.6626659121708545</v>
      </c>
      <c r="BM58" s="367">
        <f>$BO58*BM$19</f>
        <v>4.0033118461578319</v>
      </c>
      <c r="BN58" s="367">
        <f>$BO58*BN$19</f>
        <v>1.4126415949579081</v>
      </c>
      <c r="BO58" s="368">
        <v>8.0786193532865909</v>
      </c>
      <c r="BP58" s="367">
        <v>1420.3682901203406</v>
      </c>
      <c r="BQ58" s="367"/>
      <c r="BR58" s="351"/>
      <c r="BS58" s="367">
        <f>$BT58*BS$19</f>
        <v>0</v>
      </c>
      <c r="BT58" s="368">
        <v>0</v>
      </c>
      <c r="BU58" s="367">
        <f>$BW58*BU$19</f>
        <v>1.9994411474620664</v>
      </c>
      <c r="BV58" s="367">
        <f>$BW58*BV$19</f>
        <v>7.4518852537933902E-2</v>
      </c>
      <c r="BW58" s="368">
        <v>2.07396</v>
      </c>
      <c r="BX58" s="367">
        <f>$CA58*BX$19</f>
        <v>106.62927913485721</v>
      </c>
      <c r="BY58" s="367">
        <f>$CA58*BY$19</f>
        <v>7.9438483963564677</v>
      </c>
      <c r="BZ58" s="367">
        <f>$CA58*BZ$19</f>
        <v>67.534187131452086</v>
      </c>
      <c r="CA58" s="368">
        <v>182.1073146626658</v>
      </c>
      <c r="CB58" s="367">
        <f>$CC58*CB$19</f>
        <v>159.38009975175996</v>
      </c>
      <c r="CC58" s="368">
        <v>159.38009975175996</v>
      </c>
      <c r="CD58" s="367">
        <f>$CG58*CD$19</f>
        <v>105.76587898162997</v>
      </c>
      <c r="CE58" s="367">
        <f>$CG58*CE$19</f>
        <v>29.198253048753461</v>
      </c>
      <c r="CF58" s="367">
        <f>$CG58*CF$19</f>
        <v>13.464067467564174</v>
      </c>
      <c r="CG58" s="368">
        <v>148.42819949794767</v>
      </c>
      <c r="CH58" s="367">
        <v>491.98957391237343</v>
      </c>
      <c r="CI58" s="367"/>
      <c r="CJ58" s="351"/>
      <c r="CK58" s="367">
        <f>$CM58*CK$19</f>
        <v>22.507212615645297</v>
      </c>
      <c r="CL58" s="367">
        <f>$CM58*CL$19</f>
        <v>25.733562251930511</v>
      </c>
      <c r="CM58" s="368">
        <v>48.240788054127115</v>
      </c>
      <c r="CN58" s="367">
        <f>$CO58*CN$19</f>
        <v>0</v>
      </c>
      <c r="CO58" s="368">
        <v>0</v>
      </c>
      <c r="CP58" s="367">
        <f>$CQ58*CP$19</f>
        <v>0</v>
      </c>
      <c r="CQ58" s="368">
        <v>0</v>
      </c>
      <c r="CR58" s="367">
        <f>$CS58*CR$19</f>
        <v>0</v>
      </c>
      <c r="CS58" s="368">
        <v>0</v>
      </c>
      <c r="CT58" s="367"/>
      <c r="CU58" s="368">
        <v>0</v>
      </c>
      <c r="CV58" s="367">
        <f>$CW58*CV$19</f>
        <v>0</v>
      </c>
      <c r="CW58" s="368">
        <v>0</v>
      </c>
      <c r="CX58" s="367">
        <v>48.240788054127115</v>
      </c>
      <c r="CY58" s="367"/>
      <c r="CZ58" s="351"/>
    </row>
    <row r="59" spans="1:104" s="278" customFormat="1" outlineLevel="1">
      <c r="A59" s="345"/>
      <c r="C59" s="288" t="s">
        <v>1361</v>
      </c>
      <c r="D59" s="370" t="s">
        <v>1338</v>
      </c>
      <c r="E59" s="340" t="s">
        <v>1304</v>
      </c>
      <c r="F59" s="424" t="s">
        <v>1361</v>
      </c>
      <c r="G59" s="403"/>
      <c r="H59" s="342">
        <f t="shared" ref="H59:O59" si="102">$P59*H$17</f>
        <v>0</v>
      </c>
      <c r="I59" s="342">
        <f t="shared" si="102"/>
        <v>0</v>
      </c>
      <c r="J59" s="342">
        <f t="shared" si="102"/>
        <v>0</v>
      </c>
      <c r="K59" s="342">
        <f t="shared" si="102"/>
        <v>0</v>
      </c>
      <c r="L59" s="342">
        <f t="shared" si="102"/>
        <v>0</v>
      </c>
      <c r="M59" s="342">
        <f t="shared" si="102"/>
        <v>0</v>
      </c>
      <c r="N59" s="342">
        <f t="shared" si="102"/>
        <v>0</v>
      </c>
      <c r="O59" s="342">
        <f t="shared" si="102"/>
        <v>0</v>
      </c>
      <c r="P59" s="343">
        <v>0</v>
      </c>
      <c r="Q59" s="342">
        <f>$T59*Q$17</f>
        <v>0</v>
      </c>
      <c r="R59" s="342">
        <f>$T59*R$17</f>
        <v>0</v>
      </c>
      <c r="S59" s="342">
        <f>$T59*S$17</f>
        <v>0</v>
      </c>
      <c r="T59" s="343">
        <v>0</v>
      </c>
      <c r="U59" s="342">
        <f t="shared" ref="U59:AD59" si="103">$AE59*U$17</f>
        <v>195.63234143805229</v>
      </c>
      <c r="V59" s="342">
        <f t="shared" si="103"/>
        <v>9.2446382162658516</v>
      </c>
      <c r="W59" s="342">
        <f t="shared" si="103"/>
        <v>2.2896948023599899</v>
      </c>
      <c r="X59" s="342">
        <f t="shared" si="103"/>
        <v>174.91669889881842</v>
      </c>
      <c r="Y59" s="342">
        <f t="shared" si="103"/>
        <v>3.7283749726157231</v>
      </c>
      <c r="Z59" s="342">
        <f t="shared" si="103"/>
        <v>3.4280874217805768</v>
      </c>
      <c r="AA59" s="342">
        <f t="shared" si="103"/>
        <v>79.080464729444628</v>
      </c>
      <c r="AB59" s="342">
        <f t="shared" si="103"/>
        <v>4.668431457585597</v>
      </c>
      <c r="AC59" s="342">
        <f t="shared" si="103"/>
        <v>0</v>
      </c>
      <c r="AD59" s="342">
        <f t="shared" si="103"/>
        <v>2.5277780630769757</v>
      </c>
      <c r="AE59" s="343">
        <v>475.51651000000004</v>
      </c>
      <c r="AF59" s="342">
        <f t="shared" ref="AF59:AK59" si="104">$AL59*AF$17</f>
        <v>0</v>
      </c>
      <c r="AG59" s="342">
        <f t="shared" si="104"/>
        <v>0</v>
      </c>
      <c r="AH59" s="342">
        <f t="shared" si="104"/>
        <v>0</v>
      </c>
      <c r="AI59" s="342">
        <f t="shared" si="104"/>
        <v>0</v>
      </c>
      <c r="AJ59" s="342">
        <f t="shared" si="104"/>
        <v>0</v>
      </c>
      <c r="AK59" s="342">
        <f t="shared" si="104"/>
        <v>0</v>
      </c>
      <c r="AL59" s="343">
        <v>0</v>
      </c>
      <c r="AM59" s="342">
        <f>$AO59*AM$17</f>
        <v>0</v>
      </c>
      <c r="AN59" s="342">
        <f>$AO59*AN$17</f>
        <v>0</v>
      </c>
      <c r="AO59" s="343">
        <v>0</v>
      </c>
      <c r="AP59" s="342">
        <f>$AQ59*AP$17</f>
        <v>0</v>
      </c>
      <c r="AQ59" s="343">
        <v>0</v>
      </c>
      <c r="AR59" s="342">
        <v>475.51651000000004</v>
      </c>
      <c r="AT59" s="351"/>
      <c r="AU59" s="376">
        <f t="shared" ref="AU59:AZ59" si="105">$BA59*AU$17</f>
        <v>409.73339235745493</v>
      </c>
      <c r="AV59" s="376">
        <f t="shared" si="105"/>
        <v>8.6863528904483545</v>
      </c>
      <c r="AW59" s="376">
        <f t="shared" si="105"/>
        <v>215.79407405195929</v>
      </c>
      <c r="AX59" s="376">
        <f t="shared" si="105"/>
        <v>330.21751965045405</v>
      </c>
      <c r="AY59" s="376">
        <f t="shared" si="105"/>
        <v>341.91876849536061</v>
      </c>
      <c r="AZ59" s="376">
        <f t="shared" si="105"/>
        <v>170.44737450725793</v>
      </c>
      <c r="BA59" s="377">
        <v>1476.7974819529352</v>
      </c>
      <c r="BB59" s="376">
        <f>$BC59*BB$17</f>
        <v>0</v>
      </c>
      <c r="BC59" s="377">
        <v>0</v>
      </c>
      <c r="BD59" s="376">
        <f>$BE59*BD$17</f>
        <v>0</v>
      </c>
      <c r="BE59" s="377">
        <v>0</v>
      </c>
      <c r="BF59" s="376">
        <f>$BG59*BF$17</f>
        <v>0</v>
      </c>
      <c r="BG59" s="377">
        <v>0</v>
      </c>
      <c r="BH59" s="376">
        <f>$BI59*BH$17</f>
        <v>565.22767804706496</v>
      </c>
      <c r="BI59" s="377">
        <v>565.22767804706496</v>
      </c>
      <c r="BJ59" s="376">
        <f>$BK59*BJ$17</f>
        <v>0</v>
      </c>
      <c r="BK59" s="377">
        <v>0</v>
      </c>
      <c r="BL59" s="376">
        <f>$BO59*BL$17</f>
        <v>0</v>
      </c>
      <c r="BM59" s="376">
        <f>$BO59*BM$17</f>
        <v>0</v>
      </c>
      <c r="BN59" s="376">
        <f>$BO59*BN$17</f>
        <v>0</v>
      </c>
      <c r="BO59" s="377">
        <v>0</v>
      </c>
      <c r="BP59" s="376">
        <v>2042.0251600000001</v>
      </c>
      <c r="BQ59" s="367"/>
      <c r="BR59" s="351"/>
      <c r="BS59" s="329">
        <f>$BT59*BS$17</f>
        <v>131.27302613725493</v>
      </c>
      <c r="BT59" s="377">
        <v>131.27302613725493</v>
      </c>
      <c r="BU59" s="329">
        <f>$BW59*BU$17</f>
        <v>309.93484794654012</v>
      </c>
      <c r="BV59" s="329">
        <f>$BW59*BV$17</f>
        <v>9.3584259162051122</v>
      </c>
      <c r="BW59" s="377">
        <v>319.2932738627452</v>
      </c>
      <c r="BX59" s="329">
        <f>$CA59*BX$17</f>
        <v>0</v>
      </c>
      <c r="BY59" s="329">
        <f>$CA59*BY$17</f>
        <v>0</v>
      </c>
      <c r="BZ59" s="329">
        <f>$CA59*BZ$17</f>
        <v>0</v>
      </c>
      <c r="CA59" s="377">
        <v>0</v>
      </c>
      <c r="CB59" s="329">
        <f>$CC59*CB$17</f>
        <v>0</v>
      </c>
      <c r="CC59" s="377">
        <v>0</v>
      </c>
      <c r="CD59" s="329">
        <f>$CG59*CD$17</f>
        <v>0</v>
      </c>
      <c r="CE59" s="329">
        <f>$CG59*CE$17</f>
        <v>0</v>
      </c>
      <c r="CF59" s="329">
        <f>$CG59*CF$17</f>
        <v>0</v>
      </c>
      <c r="CG59" s="377">
        <v>0</v>
      </c>
      <c r="CH59" s="376">
        <v>450.56630000000013</v>
      </c>
      <c r="CI59" s="367"/>
      <c r="CJ59" s="351"/>
      <c r="CK59" s="329">
        <f>$CM59*CK$17</f>
        <v>0</v>
      </c>
      <c r="CL59" s="329">
        <f>$CM59*CL$17</f>
        <v>0</v>
      </c>
      <c r="CM59" s="377">
        <v>0</v>
      </c>
      <c r="CN59" s="329">
        <f>$CO59*CN$17</f>
        <v>0</v>
      </c>
      <c r="CO59" s="377">
        <v>0</v>
      </c>
      <c r="CP59" s="329">
        <f>$CQ59*CP$17</f>
        <v>35.246359861111102</v>
      </c>
      <c r="CQ59" s="377">
        <v>35.246359861111102</v>
      </c>
      <c r="CR59" s="329">
        <f>$CS59*CR$17</f>
        <v>64.05995013888888</v>
      </c>
      <c r="CS59" s="377">
        <v>64.05995013888888</v>
      </c>
      <c r="CT59" s="329">
        <v>0</v>
      </c>
      <c r="CU59" s="377">
        <v>0</v>
      </c>
      <c r="CV59" s="329">
        <f>$CW59*CV$17</f>
        <v>0</v>
      </c>
      <c r="CW59" s="377">
        <v>0</v>
      </c>
      <c r="CX59" s="376">
        <v>99.306309999999982</v>
      </c>
      <c r="CY59" s="367"/>
      <c r="CZ59" s="351"/>
    </row>
    <row r="60" spans="1:104" s="278" customFormat="1">
      <c r="C60" s="288" t="s">
        <v>1362</v>
      </c>
      <c r="D60" s="346"/>
      <c r="E60" s="289"/>
      <c r="F60" s="315" t="s">
        <v>1363</v>
      </c>
      <c r="G60" s="403"/>
      <c r="H60" s="378">
        <f t="shared" ref="H60:O60" si="106">SUM(H53:H59)</f>
        <v>42687.020947757963</v>
      </c>
      <c r="I60" s="378">
        <f t="shared" si="106"/>
        <v>16267.258874009181</v>
      </c>
      <c r="J60" s="378">
        <f t="shared" si="106"/>
        <v>1126.2610383801236</v>
      </c>
      <c r="K60" s="378">
        <f t="shared" si="106"/>
        <v>5254.4437984829165</v>
      </c>
      <c r="L60" s="378">
        <f t="shared" si="106"/>
        <v>21705.062490903809</v>
      </c>
      <c r="M60" s="378">
        <f t="shared" si="106"/>
        <v>70160.600569289396</v>
      </c>
      <c r="N60" s="378">
        <f t="shared" si="106"/>
        <v>3519.3375392732555</v>
      </c>
      <c r="O60" s="378">
        <f t="shared" si="106"/>
        <v>11727.918470556921</v>
      </c>
      <c r="P60" s="425">
        <v>172447.90372865359</v>
      </c>
      <c r="Q60" s="378">
        <f>SUM(Q53:Q59)</f>
        <v>3311.6927058039164</v>
      </c>
      <c r="R60" s="378">
        <f>SUM(R53:R59)</f>
        <v>942.20499868140814</v>
      </c>
      <c r="S60" s="378">
        <f>SUM(S53:S59)</f>
        <v>566.79532490194276</v>
      </c>
      <c r="T60" s="425">
        <v>4820.6930293872683</v>
      </c>
      <c r="U60" s="378">
        <f t="shared" ref="U60:AD60" si="107">SUM(U53:U59)</f>
        <v>58818.475922537087</v>
      </c>
      <c r="V60" s="378">
        <f t="shared" si="107"/>
        <v>3056.7599648833134</v>
      </c>
      <c r="W60" s="378">
        <f t="shared" si="107"/>
        <v>970.47794001097691</v>
      </c>
      <c r="X60" s="378">
        <f t="shared" si="107"/>
        <v>56433.861699153946</v>
      </c>
      <c r="Y60" s="378">
        <f t="shared" si="107"/>
        <v>1953.5478540387951</v>
      </c>
      <c r="Z60" s="378">
        <f t="shared" si="107"/>
        <v>1085.330477163923</v>
      </c>
      <c r="AA60" s="378">
        <f t="shared" si="107"/>
        <v>27526.477890718539</v>
      </c>
      <c r="AB60" s="378">
        <f t="shared" si="107"/>
        <v>1965.6475845627542</v>
      </c>
      <c r="AC60" s="378">
        <f t="shared" si="107"/>
        <v>634.38665915546119</v>
      </c>
      <c r="AD60" s="378">
        <f t="shared" si="107"/>
        <v>948.06318279068648</v>
      </c>
      <c r="AE60" s="425">
        <v>153393.02917501546</v>
      </c>
      <c r="AF60" s="378">
        <f t="shared" ref="AF60:AK60" si="108">SUM(AF53:AF59)</f>
        <v>17725.503248772853</v>
      </c>
      <c r="AG60" s="378">
        <f t="shared" si="108"/>
        <v>12783.318104889573</v>
      </c>
      <c r="AH60" s="378">
        <f t="shared" si="108"/>
        <v>877.43646652633163</v>
      </c>
      <c r="AI60" s="378">
        <f t="shared" si="108"/>
        <v>1112.7831352512446</v>
      </c>
      <c r="AJ60" s="378">
        <f t="shared" si="108"/>
        <v>862.39622990435794</v>
      </c>
      <c r="AK60" s="378">
        <f t="shared" si="108"/>
        <v>890.21654082754389</v>
      </c>
      <c r="AL60" s="425">
        <v>34251.653726171906</v>
      </c>
      <c r="AM60" s="378">
        <f>SUM(AM53:AM59)</f>
        <v>50564.991686860732</v>
      </c>
      <c r="AN60" s="378">
        <f>SUM(AN53:AN59)</f>
        <v>4025.5996337044503</v>
      </c>
      <c r="AO60" s="425">
        <v>54590.591320565189</v>
      </c>
      <c r="AP60" s="378">
        <f>SUM(AP53:AP59)</f>
        <v>3408.7508311432616</v>
      </c>
      <c r="AQ60" s="425">
        <v>3408.7508311432616</v>
      </c>
      <c r="AR60" s="378">
        <v>422912.62181093678</v>
      </c>
      <c r="AT60" s="351"/>
      <c r="AU60" s="379">
        <f t="shared" ref="AU60:AZ60" si="109">SUM(AU53:AU59)</f>
        <v>29007.371269464358</v>
      </c>
      <c r="AV60" s="379">
        <f t="shared" si="109"/>
        <v>1142.9875905964386</v>
      </c>
      <c r="AW60" s="379">
        <f t="shared" si="109"/>
        <v>16179.626085698334</v>
      </c>
      <c r="AX60" s="379">
        <f t="shared" si="109"/>
        <v>32837.390383251346</v>
      </c>
      <c r="AY60" s="379">
        <f t="shared" si="109"/>
        <v>24994.014963971684</v>
      </c>
      <c r="AZ60" s="379">
        <f t="shared" si="109"/>
        <v>14445.0074190046</v>
      </c>
      <c r="BA60" s="426">
        <v>118606.39771198675</v>
      </c>
      <c r="BB60" s="379">
        <f>SUM(BB53:BB59)</f>
        <v>3440.7826587994191</v>
      </c>
      <c r="BC60" s="426">
        <v>3440.7826587994191</v>
      </c>
      <c r="BD60" s="379">
        <f>SUM(BD53:BD59)</f>
        <v>3508.4715454916227</v>
      </c>
      <c r="BE60" s="426">
        <v>3508.4715454916227</v>
      </c>
      <c r="BF60" s="379">
        <f>SUM(BF53:BF59)</f>
        <v>2969.0022972459246</v>
      </c>
      <c r="BG60" s="426">
        <v>2969.0022972459246</v>
      </c>
      <c r="BH60" s="379">
        <f>SUM(BH53:BH59)</f>
        <v>37229.554879878429</v>
      </c>
      <c r="BI60" s="426">
        <v>37229.554879878429</v>
      </c>
      <c r="BJ60" s="379">
        <f>SUM(BJ53:BJ59)</f>
        <v>4231.9626009338072</v>
      </c>
      <c r="BK60" s="426">
        <v>4231.9626009338072</v>
      </c>
      <c r="BL60" s="379">
        <f>SUM(BL53:BL59)</f>
        <v>1712.8576324042062</v>
      </c>
      <c r="BM60" s="379">
        <f>SUM(BM53:BM59)</f>
        <v>3168.2240742012191</v>
      </c>
      <c r="BN60" s="379">
        <f>SUM(BN53:BN59)</f>
        <v>1476.7580161482897</v>
      </c>
      <c r="BO60" s="426">
        <v>6357.8397227537134</v>
      </c>
      <c r="BP60" s="379">
        <v>176344.01141708964</v>
      </c>
      <c r="BQ60" s="344"/>
      <c r="BR60" s="351"/>
      <c r="BS60" s="382">
        <f>SUM(BS53:BS59)</f>
        <v>11151.90304142403</v>
      </c>
      <c r="BT60" s="427">
        <v>11151.90304142403</v>
      </c>
      <c r="BU60" s="382">
        <f>SUM(BU53:BU59)</f>
        <v>34150.388538271378</v>
      </c>
      <c r="BV60" s="382">
        <f>SUM(BV53:BV59)</f>
        <v>1548.8431225158256</v>
      </c>
      <c r="BW60" s="427">
        <v>35699.231660787198</v>
      </c>
      <c r="BX60" s="382">
        <f>SUM(BX53:BX59)</f>
        <v>11184.097007796516</v>
      </c>
      <c r="BY60" s="382">
        <f>SUM(BY53:BY59)</f>
        <v>897.04838240487231</v>
      </c>
      <c r="BZ60" s="382">
        <f>SUM(BZ53:BZ59)</f>
        <v>7345.2515360135058</v>
      </c>
      <c r="CA60" s="427">
        <v>19426.396926214897</v>
      </c>
      <c r="CB60" s="382">
        <f>SUM(CB53:CB59)</f>
        <v>28145.993219400225</v>
      </c>
      <c r="CC60" s="427">
        <v>28145.993219400225</v>
      </c>
      <c r="CD60" s="382">
        <f>SUM(CD53:CD59)</f>
        <v>9960.6846494916226</v>
      </c>
      <c r="CE60" s="382">
        <f>SUM(CE53:CE59)</f>
        <v>3157.1542306137858</v>
      </c>
      <c r="CF60" s="382">
        <f>SUM(CF53:CF59)</f>
        <v>945.43717308074611</v>
      </c>
      <c r="CG60" s="427">
        <v>14063.276053186155</v>
      </c>
      <c r="CH60" s="382">
        <v>108486.80090101252</v>
      </c>
      <c r="CI60" s="344"/>
      <c r="CJ60" s="351"/>
      <c r="CK60" s="382">
        <f>SUM(CK53:CK59)</f>
        <v>14262.24668512059</v>
      </c>
      <c r="CL60" s="382">
        <f>SUM(CL53:CL59)</f>
        <v>12546.915663008742</v>
      </c>
      <c r="CM60" s="427">
        <v>26809.165204830591</v>
      </c>
      <c r="CN60" s="382">
        <f>SUM(CN53:CN59)</f>
        <v>8674.9665833730796</v>
      </c>
      <c r="CO60" s="427">
        <v>8674.9665833730796</v>
      </c>
      <c r="CP60" s="382">
        <f>SUM(CP53:CP59)</f>
        <v>2160.6841784724502</v>
      </c>
      <c r="CQ60" s="427">
        <v>2160.6841784724502</v>
      </c>
      <c r="CR60" s="382">
        <f>SUM(CR53:CR59)</f>
        <v>5370.7661935677488</v>
      </c>
      <c r="CS60" s="427">
        <v>5370.7661935677488</v>
      </c>
      <c r="CT60" s="382"/>
      <c r="CU60" s="427">
        <v>0.14319966183880681</v>
      </c>
      <c r="CV60" s="382">
        <f>SUM(CV53:CV59)</f>
        <v>7578.4964007367817</v>
      </c>
      <c r="CW60" s="427">
        <v>7578.4964007367817</v>
      </c>
      <c r="CX60" s="382">
        <v>50594.221760642489</v>
      </c>
      <c r="CY60" s="344"/>
      <c r="CZ60" s="351"/>
    </row>
    <row r="61" spans="1:104" s="278" customFormat="1" ht="13.5" thickBot="1">
      <c r="C61" s="288"/>
      <c r="D61" s="346"/>
      <c r="E61" s="289"/>
      <c r="F61" s="315"/>
      <c r="G61" s="403"/>
      <c r="H61" s="428"/>
      <c r="I61" s="428"/>
      <c r="J61" s="428"/>
      <c r="K61" s="428"/>
      <c r="L61" s="428"/>
      <c r="M61" s="428"/>
      <c r="N61" s="428"/>
      <c r="O61" s="428"/>
      <c r="P61" s="429"/>
      <c r="Q61" s="428"/>
      <c r="R61" s="428"/>
      <c r="S61" s="428"/>
      <c r="T61" s="429"/>
      <c r="U61" s="428"/>
      <c r="V61" s="428"/>
      <c r="W61" s="428"/>
      <c r="X61" s="428"/>
      <c r="Y61" s="428"/>
      <c r="Z61" s="428"/>
      <c r="AA61" s="428"/>
      <c r="AB61" s="428"/>
      <c r="AC61" s="428"/>
      <c r="AD61" s="428"/>
      <c r="AE61" s="429"/>
      <c r="AF61" s="428"/>
      <c r="AG61" s="428"/>
      <c r="AH61" s="428"/>
      <c r="AI61" s="428"/>
      <c r="AJ61" s="428"/>
      <c r="AK61" s="428"/>
      <c r="AL61" s="429"/>
      <c r="AM61" s="428"/>
      <c r="AN61" s="428"/>
      <c r="AO61" s="429"/>
      <c r="AP61" s="428"/>
      <c r="AQ61" s="429"/>
      <c r="AR61" s="428"/>
      <c r="AT61" s="351"/>
      <c r="AU61" s="430"/>
      <c r="AV61" s="430"/>
      <c r="AW61" s="430"/>
      <c r="AX61" s="430"/>
      <c r="AY61" s="430"/>
      <c r="AZ61" s="430"/>
      <c r="BA61" s="431"/>
      <c r="BB61" s="430"/>
      <c r="BC61" s="431"/>
      <c r="BD61" s="430"/>
      <c r="BE61" s="431"/>
      <c r="BF61" s="430"/>
      <c r="BG61" s="431"/>
      <c r="BH61" s="430"/>
      <c r="BI61" s="431"/>
      <c r="BJ61" s="430"/>
      <c r="BK61" s="431"/>
      <c r="BL61" s="430"/>
      <c r="BM61" s="430"/>
      <c r="BN61" s="430"/>
      <c r="BO61" s="431"/>
      <c r="BP61" s="430"/>
      <c r="BQ61" s="432"/>
      <c r="BR61" s="351"/>
      <c r="BS61" s="430"/>
      <c r="BT61" s="431"/>
      <c r="BU61" s="430"/>
      <c r="BV61" s="430"/>
      <c r="BW61" s="431"/>
      <c r="BX61" s="430"/>
      <c r="BY61" s="430"/>
      <c r="BZ61" s="430"/>
      <c r="CA61" s="431"/>
      <c r="CB61" s="430"/>
      <c r="CC61" s="431"/>
      <c r="CD61" s="430"/>
      <c r="CE61" s="430"/>
      <c r="CF61" s="430"/>
      <c r="CG61" s="431"/>
      <c r="CH61" s="430"/>
      <c r="CI61" s="432"/>
      <c r="CJ61" s="351"/>
      <c r="CK61" s="430"/>
      <c r="CL61" s="430"/>
      <c r="CM61" s="431"/>
      <c r="CN61" s="430"/>
      <c r="CO61" s="431"/>
      <c r="CP61" s="430"/>
      <c r="CQ61" s="431"/>
      <c r="CR61" s="430"/>
      <c r="CS61" s="431"/>
      <c r="CT61" s="430"/>
      <c r="CU61" s="431"/>
      <c r="CV61" s="430"/>
      <c r="CW61" s="431"/>
      <c r="CX61" s="430"/>
      <c r="CY61" s="432"/>
      <c r="CZ61" s="351"/>
    </row>
    <row r="62" spans="1:104" s="278" customFormat="1" ht="14.25" thickTop="1" thickBot="1">
      <c r="D62" s="346"/>
      <c r="E62" s="283"/>
      <c r="F62" s="386" t="s">
        <v>1364</v>
      </c>
      <c r="G62" s="236"/>
      <c r="H62" s="387">
        <f t="shared" ref="H62:O62" si="110">H48-H60</f>
        <v>19753.153264941415</v>
      </c>
      <c r="I62" s="387">
        <f t="shared" si="110"/>
        <v>9310.8976607603799</v>
      </c>
      <c r="J62" s="387">
        <f t="shared" si="110"/>
        <v>645.13170811063537</v>
      </c>
      <c r="K62" s="387">
        <f t="shared" si="110"/>
        <v>277.6646172024939</v>
      </c>
      <c r="L62" s="387">
        <f t="shared" si="110"/>
        <v>12973.830636957144</v>
      </c>
      <c r="M62" s="387">
        <f t="shared" si="110"/>
        <v>45468.637981848238</v>
      </c>
      <c r="N62" s="387">
        <f t="shared" si="110"/>
        <v>1310.7566853877438</v>
      </c>
      <c r="O62" s="387">
        <f t="shared" si="110"/>
        <v>4916.85567943141</v>
      </c>
      <c r="P62" s="388">
        <v>94656.928234639316</v>
      </c>
      <c r="Q62" s="387">
        <f>Q48-Q60</f>
        <v>4647.2168129229049</v>
      </c>
      <c r="R62" s="387">
        <f>R48-R60</f>
        <v>543.56164463570781</v>
      </c>
      <c r="S62" s="387">
        <f>S48-S60</f>
        <v>-414.97828997681461</v>
      </c>
      <c r="T62" s="388">
        <v>4775.8001675817941</v>
      </c>
      <c r="U62" s="387">
        <f t="shared" ref="U62:AD62" si="111">U48-U60</f>
        <v>67282.965330142441</v>
      </c>
      <c r="V62" s="387">
        <f t="shared" si="111"/>
        <v>2165.7428292938662</v>
      </c>
      <c r="W62" s="387">
        <f t="shared" si="111"/>
        <v>108.36269550534098</v>
      </c>
      <c r="X62" s="387">
        <f t="shared" si="111"/>
        <v>54407.248560634675</v>
      </c>
      <c r="Y62" s="387">
        <f t="shared" si="111"/>
        <v>-782.85229832898335</v>
      </c>
      <c r="Z62" s="387">
        <f t="shared" si="111"/>
        <v>752.54260031381887</v>
      </c>
      <c r="AA62" s="387">
        <f t="shared" si="111"/>
        <v>20296.609105827272</v>
      </c>
      <c r="AB62" s="387">
        <f t="shared" si="111"/>
        <v>184.45969723859889</v>
      </c>
      <c r="AC62" s="387">
        <f t="shared" si="111"/>
        <v>-634.38665915546119</v>
      </c>
      <c r="AD62" s="387">
        <f t="shared" si="111"/>
        <v>487.41180593461684</v>
      </c>
      <c r="AE62" s="388">
        <v>144268.10366740619</v>
      </c>
      <c r="AF62" s="387">
        <f t="shared" ref="AF62:AK62" si="112">AF48-AF60</f>
        <v>17076.332443877887</v>
      </c>
      <c r="AG62" s="387">
        <f t="shared" si="112"/>
        <v>12846.026514040093</v>
      </c>
      <c r="AH62" s="387">
        <f t="shared" si="112"/>
        <v>313.82747284553068</v>
      </c>
      <c r="AI62" s="387">
        <f t="shared" si="112"/>
        <v>1321.9726591336887</v>
      </c>
      <c r="AJ62" s="387">
        <f t="shared" si="112"/>
        <v>48.131920108116446</v>
      </c>
      <c r="AK62" s="387">
        <f t="shared" si="112"/>
        <v>125.1335672399847</v>
      </c>
      <c r="AL62" s="388">
        <v>31731.424577245285</v>
      </c>
      <c r="AM62" s="387">
        <f>AM48-AM60</f>
        <v>50554.565746623026</v>
      </c>
      <c r="AN62" s="387">
        <f>AN48-AN60</f>
        <v>2266.3368928737814</v>
      </c>
      <c r="AO62" s="388">
        <v>52820.902639496795</v>
      </c>
      <c r="AP62" s="387">
        <f>AP48-AP60</f>
        <v>931.26634072494517</v>
      </c>
      <c r="AQ62" s="388">
        <v>931.26634072494517</v>
      </c>
      <c r="AR62" s="389">
        <v>329184.42562709429</v>
      </c>
      <c r="AT62" s="351"/>
      <c r="AU62" s="732">
        <f t="shared" ref="AU62:AZ62" si="113">AU48-AU60</f>
        <v>15793.298164924217</v>
      </c>
      <c r="AV62" s="732">
        <f t="shared" si="113"/>
        <v>141.19930715007695</v>
      </c>
      <c r="AW62" s="732">
        <f t="shared" si="113"/>
        <v>7936.4076395157008</v>
      </c>
      <c r="AX62" s="732">
        <f t="shared" si="113"/>
        <v>3889.2967433929152</v>
      </c>
      <c r="AY62" s="732">
        <f t="shared" si="113"/>
        <v>10702.250964308136</v>
      </c>
      <c r="AZ62" s="732">
        <f t="shared" si="113"/>
        <v>-1979.7648218117793</v>
      </c>
      <c r="BA62" s="391">
        <v>36482.687997479268</v>
      </c>
      <c r="BB62" s="732">
        <f>BB48-BB60</f>
        <v>1109.1138645617225</v>
      </c>
      <c r="BC62" s="391">
        <v>1109.1138645617225</v>
      </c>
      <c r="BD62" s="732">
        <f>BD48-BD60</f>
        <v>-460.83142437429524</v>
      </c>
      <c r="BE62" s="391">
        <v>-460.83142437429524</v>
      </c>
      <c r="BF62" s="732">
        <f>BF48-BF60</f>
        <v>406.60589704386757</v>
      </c>
      <c r="BG62" s="391">
        <v>406.60589704386757</v>
      </c>
      <c r="BH62" s="732">
        <f>BH48-BH60</f>
        <v>-2002.4440527500774</v>
      </c>
      <c r="BI62" s="391">
        <v>-2002.4440527500774</v>
      </c>
      <c r="BJ62" s="732">
        <f>BJ48-BJ60</f>
        <v>1675.3720187088165</v>
      </c>
      <c r="BK62" s="391">
        <v>1675.3720187088165</v>
      </c>
      <c r="BL62" s="732">
        <f>BL48-BL60</f>
        <v>997.21813003300281</v>
      </c>
      <c r="BM62" s="732">
        <f>BM48-BM60</f>
        <v>193.43187896174777</v>
      </c>
      <c r="BN62" s="732">
        <f>BN48-BN60</f>
        <v>-129.20780647421384</v>
      </c>
      <c r="BO62" s="391">
        <v>1061.4422025205395</v>
      </c>
      <c r="BP62" s="392">
        <v>38271.9465031898</v>
      </c>
      <c r="BQ62" s="339"/>
      <c r="BR62" s="351"/>
      <c r="BS62" s="732">
        <f>BS48-BS60</f>
        <v>1164.3856300926509</v>
      </c>
      <c r="BT62" s="391">
        <v>1164.3856300926509</v>
      </c>
      <c r="BU62" s="732">
        <f>BU48-BU60</f>
        <v>1126.5486989784404</v>
      </c>
      <c r="BV62" s="732">
        <f>BV48-BV60</f>
        <v>-603.58015296891551</v>
      </c>
      <c r="BW62" s="391">
        <v>522.9685460095352</v>
      </c>
      <c r="BX62" s="732">
        <f>BX48-BX60</f>
        <v>2218.1011571203398</v>
      </c>
      <c r="BY62" s="732">
        <f>BY48-BY60</f>
        <v>-250.57544583234733</v>
      </c>
      <c r="BZ62" s="732">
        <f>BZ48-BZ60</f>
        <v>1284.2918544913755</v>
      </c>
      <c r="CA62" s="391">
        <v>3251.8175657793618</v>
      </c>
      <c r="CB62" s="732">
        <f>CB48-CB60</f>
        <v>24520.354038598562</v>
      </c>
      <c r="CC62" s="391">
        <v>24520.354038598562</v>
      </c>
      <c r="CD62" s="732">
        <f>CD48-CD60</f>
        <v>8744.0014111946311</v>
      </c>
      <c r="CE62" s="732">
        <f>CE48-CE60</f>
        <v>1569.044237550153</v>
      </c>
      <c r="CF62" s="732">
        <f>CF48-CF60</f>
        <v>660.24152611007707</v>
      </c>
      <c r="CG62" s="391">
        <v>10973.287174854855</v>
      </c>
      <c r="CH62" s="392">
        <v>40432.812955334928</v>
      </c>
      <c r="CI62" s="339"/>
      <c r="CJ62" s="351"/>
      <c r="CK62" s="732">
        <f>CK48-CK60</f>
        <v>4043.0430025943242</v>
      </c>
      <c r="CL62" s="732">
        <f>CL48-CL60</f>
        <v>5977.4311198785072</v>
      </c>
      <c r="CM62" s="391">
        <v>10020.567004290082</v>
      </c>
      <c r="CN62" s="732">
        <f>CN48-CN60</f>
        <v>-2974.1324835135301</v>
      </c>
      <c r="CO62" s="391">
        <v>-2974.1324835135301</v>
      </c>
      <c r="CP62" s="732">
        <f>CP48-CP60</f>
        <v>824.33204814492319</v>
      </c>
      <c r="CQ62" s="391">
        <v>824.33204814492319</v>
      </c>
      <c r="CR62" s="732">
        <f>CR48-CR60</f>
        <v>-989.72611344102188</v>
      </c>
      <c r="CS62" s="391">
        <v>-989.72611344102188</v>
      </c>
      <c r="CT62" s="390"/>
      <c r="CU62" s="391">
        <v>0.62972187803330215</v>
      </c>
      <c r="CV62" s="732">
        <f>CV48-CV60</f>
        <v>-4707.8686949274452</v>
      </c>
      <c r="CW62" s="391">
        <v>-4707.8686949274452</v>
      </c>
      <c r="CX62" s="392">
        <v>2173.8014824310376</v>
      </c>
      <c r="CY62" s="339"/>
      <c r="CZ62" s="351"/>
    </row>
    <row r="63" spans="1:104" s="278" customFormat="1" ht="13.5" thickTop="1">
      <c r="C63" s="288"/>
      <c r="D63" s="346"/>
      <c r="E63" s="289"/>
      <c r="F63" s="395" t="s">
        <v>1365</v>
      </c>
      <c r="G63" s="396"/>
      <c r="H63" s="433">
        <f t="shared" ref="H63:O63" si="114">IFERROR(H62/H38,0)</f>
        <v>0.17902099480216957</v>
      </c>
      <c r="I63" s="433">
        <f t="shared" si="114"/>
        <v>0.21055437485918599</v>
      </c>
      <c r="J63" s="433">
        <f t="shared" si="114"/>
        <v>0.22106166480504477</v>
      </c>
      <c r="K63" s="433">
        <f t="shared" si="114"/>
        <v>2.9419317449382372E-2</v>
      </c>
      <c r="L63" s="433">
        <f t="shared" si="114"/>
        <v>0.22356853108666763</v>
      </c>
      <c r="M63" s="433">
        <f t="shared" si="114"/>
        <v>0.23011974092058493</v>
      </c>
      <c r="N63" s="433">
        <f t="shared" si="114"/>
        <v>0.1451627517043014</v>
      </c>
      <c r="O63" s="433">
        <f t="shared" si="114"/>
        <v>0.16067108082959811</v>
      </c>
      <c r="P63" s="434">
        <v>0.204811385857601</v>
      </c>
      <c r="Q63" s="433">
        <f>IFERROR(Q62/Q38,0)</f>
        <v>0.37579656767460634</v>
      </c>
      <c r="R63" s="433">
        <f>IFERROR(R62/R38,0)</f>
        <v>0.17610253111200871</v>
      </c>
      <c r="S63" s="433">
        <f>IFERROR(S62/S38,0)</f>
        <v>-1.6444856856903403</v>
      </c>
      <c r="T63" s="434">
        <v>0.30408891355190404</v>
      </c>
      <c r="U63" s="433">
        <f t="shared" ref="U63:AD63" si="115">IFERROR(U62/U38,0)</f>
        <v>0.32720690856873247</v>
      </c>
      <c r="V63" s="433">
        <f t="shared" si="115"/>
        <v>0.22288198094154366</v>
      </c>
      <c r="W63" s="433">
        <f t="shared" si="115"/>
        <v>4.5025671146890156E-2</v>
      </c>
      <c r="X63" s="433">
        <f t="shared" si="115"/>
        <v>0.29592624605469192</v>
      </c>
      <c r="Y63" s="433">
        <f t="shared" si="115"/>
        <v>-0.19976446695532607</v>
      </c>
      <c r="Z63" s="433">
        <f t="shared" si="115"/>
        <v>0.20885130581550282</v>
      </c>
      <c r="AA63" s="433">
        <f t="shared" si="115"/>
        <v>0.24418122530034056</v>
      </c>
      <c r="AB63" s="433">
        <f t="shared" si="115"/>
        <v>3.7591399848650731E-2</v>
      </c>
      <c r="AC63" s="433">
        <f t="shared" si="115"/>
        <v>0</v>
      </c>
      <c r="AD63" s="433">
        <f t="shared" si="115"/>
        <v>0.18344889393179781</v>
      </c>
      <c r="AE63" s="434">
        <v>0.28864412128866751</v>
      </c>
      <c r="AF63" s="433">
        <f t="shared" ref="AF63:AK63" si="116">IFERROR(AF62/AF38,0)</f>
        <v>0.31482711700265165</v>
      </c>
      <c r="AG63" s="433">
        <f t="shared" si="116"/>
        <v>0.33161165982988589</v>
      </c>
      <c r="AH63" s="433">
        <f t="shared" si="116"/>
        <v>0.15745500445219549</v>
      </c>
      <c r="AI63" s="433">
        <f t="shared" si="116"/>
        <v>0.31292060906967428</v>
      </c>
      <c r="AJ63" s="433">
        <f t="shared" si="116"/>
        <v>2.9064521443261819E-2</v>
      </c>
      <c r="AK63" s="433">
        <f t="shared" si="116"/>
        <v>6.6593217281841241E-2</v>
      </c>
      <c r="AL63" s="434">
        <v>0.30887764527373784</v>
      </c>
      <c r="AM63" s="433">
        <f>IFERROR(AM62/AM38,0)</f>
        <v>0.295344843448551</v>
      </c>
      <c r="AN63" s="433">
        <f>IFERROR(AN62/AN38,0)</f>
        <v>0.20281354882643338</v>
      </c>
      <c r="AO63" s="434">
        <v>0.28967435624507065</v>
      </c>
      <c r="AP63" s="433">
        <f>IFERROR(AP62/AP38,0)</f>
        <v>0.11047057529257634</v>
      </c>
      <c r="AQ63" s="434">
        <v>0.11047057529257634</v>
      </c>
      <c r="AR63" s="433">
        <v>0.25895731285601303</v>
      </c>
      <c r="AT63" s="351"/>
      <c r="AU63" s="400">
        <f t="shared" ref="AU63:AZ63" si="117">IFERROR(AU62/AU38,0)</f>
        <v>0.21116939563823769</v>
      </c>
      <c r="AV63" s="400">
        <f t="shared" si="117"/>
        <v>8.9054239358414777E-2</v>
      </c>
      <c r="AW63" s="400">
        <f t="shared" si="117"/>
        <v>0.20148557266404976</v>
      </c>
      <c r="AX63" s="400">
        <f t="shared" si="117"/>
        <v>6.452536513749782E-2</v>
      </c>
      <c r="AY63" s="400">
        <f t="shared" si="117"/>
        <v>0.17147929607018828</v>
      </c>
      <c r="AZ63" s="400">
        <f t="shared" si="117"/>
        <v>-6.3633057181132172E-2</v>
      </c>
      <c r="BA63" s="401">
        <v>0.135339755554407</v>
      </c>
      <c r="BB63" s="400">
        <f>IFERROR(BB62/BB38,0)</f>
        <v>0.13647561267973427</v>
      </c>
      <c r="BC63" s="401">
        <v>0.13647561267973427</v>
      </c>
      <c r="BD63" s="400">
        <f>IFERROR(BD62/BD38,0)</f>
        <v>-7.8519500385232213E-2</v>
      </c>
      <c r="BE63" s="401">
        <v>-7.8519500385232213E-2</v>
      </c>
      <c r="BF63" s="400">
        <f>IFERROR(BF62/BF38,0)</f>
        <v>6.3363614101019608E-2</v>
      </c>
      <c r="BG63" s="401">
        <v>6.3363614101019608E-2</v>
      </c>
      <c r="BH63" s="400">
        <f>IFERROR(BH62/BH38,0)</f>
        <v>-3.8111703301548797E-2</v>
      </c>
      <c r="BI63" s="401">
        <v>-3.8111703301548797E-2</v>
      </c>
      <c r="BJ63" s="400">
        <f>IFERROR(BJ62/BJ38,0)</f>
        <v>0.19083646342846264</v>
      </c>
      <c r="BK63" s="401">
        <v>0.19083646342846264</v>
      </c>
      <c r="BL63" s="400">
        <f>IFERROR(BL62/BL38,0)</f>
        <v>0.24425280403284189</v>
      </c>
      <c r="BM63" s="400">
        <f>IFERROR(BM62/BM38,0)</f>
        <v>3.5681418816220063E-2</v>
      </c>
      <c r="BN63" s="400">
        <f>IFERROR(BN62/BN38,0)</f>
        <v>-6.2261567121067903E-2</v>
      </c>
      <c r="BO63" s="401">
        <v>9.16691737844407E-2</v>
      </c>
      <c r="BP63" s="400">
        <v>0.10546833563210942</v>
      </c>
      <c r="BQ63" s="400"/>
      <c r="BR63" s="351"/>
      <c r="BS63" s="400">
        <f>IFERROR(BS62/BS38,0)</f>
        <v>5.4050171630951445E-2</v>
      </c>
      <c r="BT63" s="401">
        <v>5.4050171630951445E-2</v>
      </c>
      <c r="BU63" s="400">
        <f>IFERROR(BU62/BU38,0)</f>
        <v>2.1445595172843401E-2</v>
      </c>
      <c r="BV63" s="400">
        <f>IFERROR(BV62/BV38,0)</f>
        <v>-0.38053156461677884</v>
      </c>
      <c r="BW63" s="401">
        <v>9.6637200823121074E-3</v>
      </c>
      <c r="BX63" s="400">
        <f>IFERROR(BX62/BX38,0)</f>
        <v>9.3831445640539052E-2</v>
      </c>
      <c r="BY63" s="400">
        <f>IFERROR(BY62/BY38,0)</f>
        <v>-0.178109297324308</v>
      </c>
      <c r="BZ63" s="400">
        <f>IFERROR(BZ62/BZ38,0)</f>
        <v>8.4973019234531613E-2</v>
      </c>
      <c r="CA63" s="401">
        <v>8.0971178185582859E-2</v>
      </c>
      <c r="CB63" s="400">
        <f>IFERROR(CB62/CB38,0)</f>
        <v>0.29208286547668016</v>
      </c>
      <c r="CC63" s="401">
        <v>0.29208286547668016</v>
      </c>
      <c r="CD63" s="400">
        <f>IFERROR(CD62/CD38,0)</f>
        <v>0.25424636325701133</v>
      </c>
      <c r="CE63" s="400">
        <f>IFERROR(CE62/CE38,0)</f>
        <v>0.17330148331531539</v>
      </c>
      <c r="CF63" s="400">
        <f>IFERROR(CF62/CF38,0)</f>
        <v>0.18353849328968577</v>
      </c>
      <c r="CG63" s="401">
        <v>0.23326089364565269</v>
      </c>
      <c r="CH63" s="400">
        <v>0.1638199381517525</v>
      </c>
      <c r="CI63" s="400"/>
      <c r="CJ63" s="351"/>
      <c r="CK63" s="400">
        <f>IFERROR(CK62/CK38,0)</f>
        <v>0.14874627960841569</v>
      </c>
      <c r="CL63" s="400">
        <f>IFERROR(CL62/CL38,0)</f>
        <v>0.208624290187055</v>
      </c>
      <c r="CM63" s="401">
        <v>0.17947533677939287</v>
      </c>
      <c r="CN63" s="400">
        <f>IFERROR(CN62/CN38,0)</f>
        <v>-0.24915176036113246</v>
      </c>
      <c r="CO63" s="401">
        <v>-0.24915176036113246</v>
      </c>
      <c r="CP63" s="400">
        <f>IFERROR(CP62/CP38,0)</f>
        <v>0.12554599199059027</v>
      </c>
      <c r="CQ63" s="401">
        <v>0.12554599199059027</v>
      </c>
      <c r="CR63" s="400">
        <f>IFERROR(CR62/CR38,0)</f>
        <v>-9.7640558037599953E-2</v>
      </c>
      <c r="CS63" s="401">
        <v>-9.7640558037599953E-2</v>
      </c>
      <c r="CT63" s="400"/>
      <c r="CU63" s="401">
        <v>0.2537523081644808</v>
      </c>
      <c r="CV63" s="400">
        <f>IFERROR(CV62/CV38,0)</f>
        <v>-0.62884456677238632</v>
      </c>
      <c r="CW63" s="401">
        <v>-0.62884456677238632</v>
      </c>
      <c r="CX63" s="400">
        <v>2.36382951661737E-2</v>
      </c>
      <c r="CY63" s="400"/>
      <c r="CZ63" s="351"/>
    </row>
    <row r="64" spans="1:104" s="278" customFormat="1">
      <c r="C64" s="288"/>
      <c r="D64" s="346"/>
      <c r="E64" s="289"/>
      <c r="F64" s="315"/>
      <c r="G64" s="403"/>
      <c r="H64" s="428"/>
      <c r="I64" s="428"/>
      <c r="J64" s="428"/>
      <c r="K64" s="428"/>
      <c r="L64" s="428"/>
      <c r="M64" s="428"/>
      <c r="N64" s="428"/>
      <c r="O64" s="428"/>
      <c r="P64" s="429"/>
      <c r="Q64" s="428"/>
      <c r="R64" s="428"/>
      <c r="S64" s="428"/>
      <c r="T64" s="429"/>
      <c r="U64" s="428"/>
      <c r="V64" s="428"/>
      <c r="W64" s="428"/>
      <c r="X64" s="428"/>
      <c r="Y64" s="428"/>
      <c r="Z64" s="428"/>
      <c r="AA64" s="428"/>
      <c r="AB64" s="428"/>
      <c r="AC64" s="428"/>
      <c r="AD64" s="428"/>
      <c r="AE64" s="429"/>
      <c r="AF64" s="428"/>
      <c r="AG64" s="428"/>
      <c r="AH64" s="428"/>
      <c r="AI64" s="428"/>
      <c r="AJ64" s="428"/>
      <c r="AK64" s="428"/>
      <c r="AL64" s="429"/>
      <c r="AM64" s="428"/>
      <c r="AN64" s="428"/>
      <c r="AO64" s="429"/>
      <c r="AP64" s="428"/>
      <c r="AQ64" s="429"/>
      <c r="AR64" s="428"/>
      <c r="AT64" s="351"/>
      <c r="AU64" s="430"/>
      <c r="AV64" s="430"/>
      <c r="AW64" s="430"/>
      <c r="AX64" s="430"/>
      <c r="AY64" s="430"/>
      <c r="AZ64" s="430"/>
      <c r="BA64" s="431"/>
      <c r="BB64" s="430"/>
      <c r="BC64" s="431"/>
      <c r="BD64" s="430"/>
      <c r="BE64" s="431"/>
      <c r="BF64" s="430"/>
      <c r="BG64" s="431"/>
      <c r="BH64" s="430"/>
      <c r="BI64" s="431"/>
      <c r="BJ64" s="430"/>
      <c r="BK64" s="431"/>
      <c r="BL64" s="430"/>
      <c r="BM64" s="430"/>
      <c r="BN64" s="430"/>
      <c r="BO64" s="431"/>
      <c r="BP64" s="430"/>
      <c r="BQ64" s="432"/>
      <c r="BR64" s="351"/>
      <c r="BS64" s="430"/>
      <c r="BT64" s="431"/>
      <c r="BU64" s="430"/>
      <c r="BV64" s="430"/>
      <c r="BW64" s="431"/>
      <c r="BX64" s="430"/>
      <c r="BY64" s="430"/>
      <c r="BZ64" s="430"/>
      <c r="CA64" s="431"/>
      <c r="CB64" s="430"/>
      <c r="CC64" s="431"/>
      <c r="CD64" s="430"/>
      <c r="CE64" s="430"/>
      <c r="CF64" s="430"/>
      <c r="CG64" s="431"/>
      <c r="CH64" s="430"/>
      <c r="CI64" s="432"/>
      <c r="CJ64" s="351"/>
      <c r="CK64" s="430"/>
      <c r="CL64" s="430"/>
      <c r="CM64" s="431"/>
      <c r="CN64" s="430"/>
      <c r="CO64" s="431"/>
      <c r="CP64" s="430"/>
      <c r="CQ64" s="431"/>
      <c r="CR64" s="430"/>
      <c r="CS64" s="431"/>
      <c r="CT64" s="430"/>
      <c r="CU64" s="431"/>
      <c r="CV64" s="430"/>
      <c r="CW64" s="431"/>
      <c r="CX64" s="430"/>
      <c r="CY64" s="432"/>
      <c r="CZ64" s="351"/>
    </row>
    <row r="65" spans="1:110" s="278" customFormat="1" outlineLevel="1">
      <c r="A65" s="345"/>
      <c r="C65" s="288" t="s">
        <v>1481</v>
      </c>
      <c r="D65" s="419" t="s">
        <v>1352</v>
      </c>
      <c r="E65" s="420" t="s">
        <v>5</v>
      </c>
      <c r="F65" s="435" t="s">
        <v>1353</v>
      </c>
      <c r="G65" s="403"/>
      <c r="H65" s="436">
        <f t="shared" ref="H65:O65" si="118">$P65*H$21</f>
        <v>5153.2090422080264</v>
      </c>
      <c r="I65" s="344">
        <f t="shared" si="118"/>
        <v>1949.8628808354697</v>
      </c>
      <c r="J65" s="344">
        <f t="shared" si="118"/>
        <v>139.27592005967639</v>
      </c>
      <c r="K65" s="344">
        <f t="shared" si="118"/>
        <v>696.379600298382</v>
      </c>
      <c r="L65" s="344">
        <f t="shared" si="118"/>
        <v>2646.2424811338519</v>
      </c>
      <c r="M65" s="344">
        <f t="shared" si="118"/>
        <v>8356.5552035805831</v>
      </c>
      <c r="N65" s="344">
        <f t="shared" si="118"/>
        <v>417.82776017902916</v>
      </c>
      <c r="O65" s="344">
        <f t="shared" si="118"/>
        <v>1392.759200596764</v>
      </c>
      <c r="P65" s="366">
        <v>20752.112088891783</v>
      </c>
      <c r="Q65" s="344">
        <f>$T65*Q$21</f>
        <v>564.71738923060639</v>
      </c>
      <c r="R65" s="344">
        <f>$T65*R$21</f>
        <v>141.1793473076516</v>
      </c>
      <c r="S65" s="344">
        <f>$T65*S$21</f>
        <v>141.1793473076516</v>
      </c>
      <c r="T65" s="366">
        <v>847.07608384590958</v>
      </c>
      <c r="U65" s="344">
        <f t="shared" ref="U65:AD65" si="119">$AE65*U$21</f>
        <v>8205.2627781153678</v>
      </c>
      <c r="V65" s="344">
        <f t="shared" si="119"/>
        <v>410.2631389057683</v>
      </c>
      <c r="W65" s="344">
        <f t="shared" si="119"/>
        <v>136.75437963525613</v>
      </c>
      <c r="X65" s="344">
        <f t="shared" si="119"/>
        <v>8068.5083984801095</v>
      </c>
      <c r="Y65" s="344">
        <f t="shared" si="119"/>
        <v>273.50875927051226</v>
      </c>
      <c r="Z65" s="344">
        <f t="shared" si="119"/>
        <v>136.75437963525613</v>
      </c>
      <c r="AA65" s="344">
        <f t="shared" si="119"/>
        <v>3965.8770094224269</v>
      </c>
      <c r="AB65" s="344">
        <f t="shared" si="119"/>
        <v>273.50875927051226</v>
      </c>
      <c r="AC65" s="344">
        <f t="shared" si="119"/>
        <v>136.75437963525613</v>
      </c>
      <c r="AD65" s="344">
        <f t="shared" si="119"/>
        <v>136.75437963525613</v>
      </c>
      <c r="AE65" s="366">
        <v>21743.946362005721</v>
      </c>
      <c r="AF65" s="344">
        <f t="shared" ref="AF65:AK65" si="120">$AL65*AF$21</f>
        <v>2661.4088152055015</v>
      </c>
      <c r="AG65" s="344">
        <f t="shared" si="120"/>
        <v>1961.0380743619487</v>
      </c>
      <c r="AH65" s="344">
        <f t="shared" si="120"/>
        <v>140.07414816871062</v>
      </c>
      <c r="AI65" s="344">
        <f t="shared" si="120"/>
        <v>140.07414816871062</v>
      </c>
      <c r="AJ65" s="344">
        <f t="shared" si="120"/>
        <v>140.07414816871062</v>
      </c>
      <c r="AK65" s="344">
        <f t="shared" si="120"/>
        <v>140.07414816871062</v>
      </c>
      <c r="AL65" s="366">
        <v>5182.7434822422929</v>
      </c>
      <c r="AM65" s="344">
        <f>$AO65*AM$21</f>
        <v>6632.4105285497044</v>
      </c>
      <c r="AN65" s="344">
        <f>$AO65*AN$21</f>
        <v>564.46047051486846</v>
      </c>
      <c r="AO65" s="366">
        <v>7196.870999064573</v>
      </c>
      <c r="AP65" s="344">
        <f>$AQ65*AP$21</f>
        <v>551.59205334400633</v>
      </c>
      <c r="AQ65" s="366">
        <v>551.59205334400633</v>
      </c>
      <c r="AR65" s="344">
        <v>56274.341069394286</v>
      </c>
      <c r="AT65" s="351"/>
      <c r="AU65" s="367">
        <f t="shared" ref="AU65:AZ65" si="121">$BA65*AU$21</f>
        <v>2275.8097446924344</v>
      </c>
      <c r="AV65" s="367">
        <f t="shared" si="121"/>
        <v>108.37189260440164</v>
      </c>
      <c r="AW65" s="367">
        <f t="shared" si="121"/>
        <v>1300.4627112528196</v>
      </c>
      <c r="AX65" s="367">
        <f t="shared" si="121"/>
        <v>2817.6692077144426</v>
      </c>
      <c r="AY65" s="367">
        <f t="shared" si="121"/>
        <v>1950.6940668792297</v>
      </c>
      <c r="AZ65" s="367">
        <f t="shared" si="121"/>
        <v>1083.7189260440164</v>
      </c>
      <c r="BA65" s="368">
        <v>9536.7265491873441</v>
      </c>
      <c r="BB65" s="367">
        <f>$BC65*BB$21</f>
        <v>464.31479355985056</v>
      </c>
      <c r="BC65" s="368">
        <v>464.31479355985056</v>
      </c>
      <c r="BD65" s="367">
        <f>$BE65*BD$21</f>
        <v>315.23992905544827</v>
      </c>
      <c r="BE65" s="368">
        <v>315.23992905544827</v>
      </c>
      <c r="BF65" s="367">
        <f>$BG65*BF$21</f>
        <v>435.19768763078127</v>
      </c>
      <c r="BG65" s="368">
        <v>435.19768763078127</v>
      </c>
      <c r="BH65" s="367">
        <f>$BI65*BH$21</f>
        <v>1011.1960804390053</v>
      </c>
      <c r="BI65" s="368">
        <v>1011.1960804390053</v>
      </c>
      <c r="BJ65" s="367">
        <f>$BK65*BJ$21</f>
        <v>415.65553064469452</v>
      </c>
      <c r="BK65" s="368">
        <v>415.65553064469452</v>
      </c>
      <c r="BL65" s="367">
        <f>$BO65*BL$21</f>
        <v>141.84187403893168</v>
      </c>
      <c r="BM65" s="367">
        <f>$BO65*BM$21</f>
        <v>283.68374807786336</v>
      </c>
      <c r="BN65" s="367">
        <f>$BO65*BN$21</f>
        <v>141.84187403893168</v>
      </c>
      <c r="BO65" s="368">
        <v>567.36749615572671</v>
      </c>
      <c r="BP65" s="367">
        <v>12745.69806667285</v>
      </c>
      <c r="BQ65" s="367"/>
      <c r="BR65" s="351"/>
      <c r="BS65" s="367">
        <f>$BT65*BS$21</f>
        <v>1205.739214845114</v>
      </c>
      <c r="BT65" s="368">
        <v>1205.739214845114</v>
      </c>
      <c r="BU65" s="367">
        <f>$BW65*BU$21</f>
        <v>3072.8545955521649</v>
      </c>
      <c r="BV65" s="367">
        <f>$BW65*BV$21</f>
        <v>146.32640931200785</v>
      </c>
      <c r="BW65" s="368">
        <v>3219.1810048641728</v>
      </c>
      <c r="BX65" s="367">
        <f>$CA65*BX$21</f>
        <v>1771.5728801298624</v>
      </c>
      <c r="BY65" s="367">
        <f>$CA65*BY$21</f>
        <v>147.6310733441552</v>
      </c>
      <c r="BZ65" s="367">
        <f>$CA65*BZ$21</f>
        <v>1181.0485867532416</v>
      </c>
      <c r="CA65" s="368">
        <v>3100.2525402272595</v>
      </c>
      <c r="CB65" s="367">
        <f>$CC65*CB$21</f>
        <v>3894.6408247793743</v>
      </c>
      <c r="CC65" s="368">
        <v>3894.6408247793743</v>
      </c>
      <c r="CD65" s="367">
        <f>$CG65*CD$21</f>
        <v>1673.1474260371861</v>
      </c>
      <c r="CE65" s="367">
        <f>$CG65*CE$21</f>
        <v>557.71580867906198</v>
      </c>
      <c r="CF65" s="367">
        <f>$CG65*CF$21</f>
        <v>139.42895216976549</v>
      </c>
      <c r="CG65" s="368">
        <v>2370.2921868860135</v>
      </c>
      <c r="CH65" s="367">
        <v>13790.105771601935</v>
      </c>
      <c r="CI65" s="367"/>
      <c r="CJ65" s="351"/>
      <c r="CK65" s="367">
        <f>$CM65*CK$21</f>
        <v>1217.0620533399201</v>
      </c>
      <c r="CL65" s="367">
        <f>$CM65*CL$21</f>
        <v>946.60381926438231</v>
      </c>
      <c r="CM65" s="368">
        <v>2163.6658726043024</v>
      </c>
      <c r="CN65" s="367">
        <f>$CO65*CN$21</f>
        <v>861.5661884584631</v>
      </c>
      <c r="CO65" s="368">
        <v>861.5661884584631</v>
      </c>
      <c r="CP65" s="367">
        <f>$CQ65*CP$21</f>
        <v>478.84150193975421</v>
      </c>
      <c r="CQ65" s="368">
        <v>478.84150193975421</v>
      </c>
      <c r="CR65" s="367">
        <f>$CS65*CR$21</f>
        <v>870.62091261773514</v>
      </c>
      <c r="CS65" s="368">
        <v>870.62091261773514</v>
      </c>
      <c r="CT65" s="367" t="e">
        <v>#DIV/0!</v>
      </c>
      <c r="CU65" s="368">
        <v>0</v>
      </c>
      <c r="CV65" s="367">
        <f>$CW65*CV$21</f>
        <v>1088.2761407721687</v>
      </c>
      <c r="CW65" s="368">
        <v>1088.2761407721687</v>
      </c>
      <c r="CX65" s="367">
        <v>5462.9706163924238</v>
      </c>
      <c r="CY65" s="367"/>
      <c r="CZ65" s="351"/>
    </row>
    <row r="66" spans="1:110" s="278" customFormat="1" outlineLevel="1">
      <c r="C66" s="288" t="s">
        <v>1482</v>
      </c>
      <c r="D66" s="370" t="s">
        <v>1338</v>
      </c>
      <c r="E66" s="422" t="s">
        <v>1354</v>
      </c>
      <c r="F66" s="435" t="s">
        <v>1355</v>
      </c>
      <c r="G66" s="403"/>
      <c r="H66" s="344">
        <f t="shared" ref="H66:O67" si="122">$P66*H$17</f>
        <v>546.21441865315137</v>
      </c>
      <c r="I66" s="344">
        <f t="shared" si="122"/>
        <v>218.90615687824695</v>
      </c>
      <c r="J66" s="344">
        <f t="shared" si="122"/>
        <v>14.446599877987826</v>
      </c>
      <c r="K66" s="344">
        <f t="shared" si="122"/>
        <v>46.721700538548433</v>
      </c>
      <c r="L66" s="344">
        <f t="shared" si="122"/>
        <v>287.2686568290701</v>
      </c>
      <c r="M66" s="344">
        <f t="shared" si="122"/>
        <v>978.11239291031291</v>
      </c>
      <c r="N66" s="344">
        <f t="shared" si="122"/>
        <v>44.698976843582912</v>
      </c>
      <c r="O66" s="344">
        <f t="shared" si="122"/>
        <v>151.48876975755857</v>
      </c>
      <c r="P66" s="366">
        <v>2287.8576722884591</v>
      </c>
      <c r="Q66" s="344">
        <f t="shared" ref="Q66:S67" si="123">$T66*Q$17</f>
        <v>72.867868118508383</v>
      </c>
      <c r="R66" s="344">
        <f t="shared" si="123"/>
        <v>18.18775703776063</v>
      </c>
      <c r="S66" s="344">
        <f t="shared" si="123"/>
        <v>1.4869323745001419</v>
      </c>
      <c r="T66" s="366">
        <v>92.542557530769145</v>
      </c>
      <c r="U66" s="344">
        <f t="shared" ref="U66:AD67" si="124">$AE66*U$17</f>
        <v>984.08004838941258</v>
      </c>
      <c r="V66" s="344">
        <f t="shared" si="124"/>
        <v>46.502863260399394</v>
      </c>
      <c r="W66" s="344">
        <f t="shared" si="124"/>
        <v>11.517742697042264</v>
      </c>
      <c r="X66" s="344">
        <f t="shared" si="124"/>
        <v>879.87513849274148</v>
      </c>
      <c r="Y66" s="344">
        <f t="shared" si="124"/>
        <v>18.754667027421764</v>
      </c>
      <c r="Z66" s="344">
        <f t="shared" si="124"/>
        <v>17.244144864345973</v>
      </c>
      <c r="AA66" s="344">
        <f t="shared" si="124"/>
        <v>397.79469481149971</v>
      </c>
      <c r="AB66" s="344">
        <f t="shared" si="124"/>
        <v>23.483388385136887</v>
      </c>
      <c r="AC66" s="344">
        <f t="shared" si="124"/>
        <v>0</v>
      </c>
      <c r="AD66" s="344">
        <f t="shared" si="124"/>
        <v>12.71536158257439</v>
      </c>
      <c r="AE66" s="366">
        <v>2391.9680495105745</v>
      </c>
      <c r="AF66" s="344">
        <f t="shared" ref="AF66:AK67" si="125">$AL66*AF$17</f>
        <v>304.70158866597058</v>
      </c>
      <c r="AG66" s="344">
        <f t="shared" si="125"/>
        <v>217.61622459313378</v>
      </c>
      <c r="AH66" s="344">
        <f t="shared" si="125"/>
        <v>11.196614892300664</v>
      </c>
      <c r="AI66" s="344">
        <f t="shared" si="125"/>
        <v>23.73233970366007</v>
      </c>
      <c r="AJ66" s="344">
        <f t="shared" si="125"/>
        <v>9.3029837094708352</v>
      </c>
      <c r="AK66" s="344">
        <f t="shared" si="125"/>
        <v>10.555919703732634</v>
      </c>
      <c r="AL66" s="366">
        <v>577.10567126826857</v>
      </c>
      <c r="AM66" s="344">
        <f>$AO66*AM$17</f>
        <v>739.61327792881116</v>
      </c>
      <c r="AN66" s="344">
        <f>$AO66*AN$17</f>
        <v>48.283774381764964</v>
      </c>
      <c r="AO66" s="366">
        <v>787.8970523105761</v>
      </c>
      <c r="AP66" s="344">
        <f>$AQ66*AP$17</f>
        <v>60.409725054807623</v>
      </c>
      <c r="AQ66" s="366">
        <v>60.409725054807623</v>
      </c>
      <c r="AR66" s="344">
        <v>6197.7807279634553</v>
      </c>
      <c r="AT66" s="351"/>
      <c r="AU66" s="367">
        <f t="shared" ref="AU66:AZ67" si="126">$BA66*AU$17</f>
        <v>268.16818831901338</v>
      </c>
      <c r="AV66" s="367">
        <f t="shared" si="126"/>
        <v>5.6851688468167829</v>
      </c>
      <c r="AW66" s="367">
        <f t="shared" si="126"/>
        <v>141.23600118490569</v>
      </c>
      <c r="AX66" s="367">
        <f t="shared" si="126"/>
        <v>216.12549928223896</v>
      </c>
      <c r="AY66" s="367">
        <f t="shared" si="126"/>
        <v>223.78390048247849</v>
      </c>
      <c r="AZ66" s="367">
        <f t="shared" si="126"/>
        <v>111.55684276146867</v>
      </c>
      <c r="BA66" s="368">
        <v>966.55560087692197</v>
      </c>
      <c r="BB66" s="367">
        <f>$BC66*BB$17</f>
        <v>46.271278765384565</v>
      </c>
      <c r="BC66" s="368">
        <v>46.271278765384565</v>
      </c>
      <c r="BD66" s="367">
        <f>$BE66*BD$17</f>
        <v>30.847519176923043</v>
      </c>
      <c r="BE66" s="368">
        <v>30.847519176923043</v>
      </c>
      <c r="BF66" s="367">
        <f>$BG66*BF$17</f>
        <v>46.271278765384565</v>
      </c>
      <c r="BG66" s="368">
        <v>46.271278765384565</v>
      </c>
      <c r="BH66" s="367">
        <f>$BI66*BH$17</f>
        <v>0</v>
      </c>
      <c r="BI66" s="368">
        <v>0</v>
      </c>
      <c r="BJ66" s="367">
        <f>$BK66*BJ$17</f>
        <v>46.271278765384565</v>
      </c>
      <c r="BK66" s="368">
        <v>46.271278765384565</v>
      </c>
      <c r="BL66" s="367">
        <f t="shared" ref="BL66:BN67" si="127">$BO66*BL$17</f>
        <v>21.753433379888872</v>
      </c>
      <c r="BM66" s="367">
        <f t="shared" si="127"/>
        <v>28.884385993067173</v>
      </c>
      <c r="BN66" s="367">
        <f t="shared" si="127"/>
        <v>11.057218980890044</v>
      </c>
      <c r="BO66" s="368">
        <v>61.695038353846087</v>
      </c>
      <c r="BP66" s="367">
        <v>1197.9119947038446</v>
      </c>
      <c r="BQ66" s="367"/>
      <c r="BR66" s="351"/>
      <c r="BS66" s="367">
        <f>$BT66*BS$17</f>
        <v>125.96070330576912</v>
      </c>
      <c r="BT66" s="368">
        <v>125.96070330576912</v>
      </c>
      <c r="BU66" s="367">
        <f>$BW66*BU$17</f>
        <v>339.35835404942355</v>
      </c>
      <c r="BV66" s="367">
        <f>$BW66*BV$17</f>
        <v>10.246863289037547</v>
      </c>
      <c r="BW66" s="368">
        <v>349.6052173384611</v>
      </c>
      <c r="BX66" s="367">
        <f t="shared" ref="BX66:BZ67" si="128">$CA66*BX$17</f>
        <v>199.73315162029783</v>
      </c>
      <c r="BY66" s="367">
        <f t="shared" si="128"/>
        <v>11.88691440336223</v>
      </c>
      <c r="BZ66" s="367">
        <f t="shared" si="128"/>
        <v>127.70264492249343</v>
      </c>
      <c r="CA66" s="368">
        <v>339.32271094615351</v>
      </c>
      <c r="CB66" s="367">
        <f>$CC66*CB$17</f>
        <v>433.15058177596114</v>
      </c>
      <c r="CC66" s="368">
        <v>433.15058177596114</v>
      </c>
      <c r="CD66" s="367">
        <f t="shared" ref="CD66:CF67" si="129">$CG66*CD$17</f>
        <v>191.69016370537963</v>
      </c>
      <c r="CE66" s="367">
        <f t="shared" si="129"/>
        <v>50.463488197267523</v>
      </c>
      <c r="CF66" s="367">
        <f t="shared" si="129"/>
        <v>20.050261101198767</v>
      </c>
      <c r="CG66" s="368">
        <v>262.20391300384591</v>
      </c>
      <c r="CH66" s="367">
        <v>1510.2431263701908</v>
      </c>
      <c r="CI66" s="367"/>
      <c r="CJ66" s="351"/>
      <c r="CK66" s="367">
        <f>$CM66*CK$17</f>
        <v>120.13926176242529</v>
      </c>
      <c r="CL66" s="367">
        <f>$CM66*CL$17</f>
        <v>126.64044230370315</v>
      </c>
      <c r="CM66" s="368">
        <v>246.78015341538438</v>
      </c>
      <c r="CN66" s="367">
        <f>$CO66*CN$17</f>
        <v>92.54255753076913</v>
      </c>
      <c r="CO66" s="368">
        <v>92.54255753076913</v>
      </c>
      <c r="CP66" s="367">
        <f>$CQ66*CP$17</f>
        <v>42.415338868269174</v>
      </c>
      <c r="CQ66" s="368">
        <v>42.415338868269174</v>
      </c>
      <c r="CR66" s="367">
        <f>$CS66*CR$17</f>
        <v>77.118797942307637</v>
      </c>
      <c r="CS66" s="368">
        <v>77.118797942307637</v>
      </c>
      <c r="CT66" s="367"/>
      <c r="CU66" s="368">
        <v>0</v>
      </c>
      <c r="CV66" s="367">
        <f>$CW66*CV$17</f>
        <v>96.398497427884507</v>
      </c>
      <c r="CW66" s="368">
        <v>96.398497427884507</v>
      </c>
      <c r="CX66" s="367">
        <v>555.25534518461484</v>
      </c>
      <c r="CY66" s="367"/>
      <c r="CZ66" s="351"/>
    </row>
    <row r="67" spans="1:110" s="278" customFormat="1" outlineLevel="1">
      <c r="C67" s="288" t="s">
        <v>1483</v>
      </c>
      <c r="D67" s="370" t="s">
        <v>1338</v>
      </c>
      <c r="E67" s="422" t="s">
        <v>1354</v>
      </c>
      <c r="F67" s="424" t="s">
        <v>1366</v>
      </c>
      <c r="G67" s="403"/>
      <c r="H67" s="342">
        <f t="shared" si="122"/>
        <v>1613.4177322883725</v>
      </c>
      <c r="I67" s="342">
        <f t="shared" si="122"/>
        <v>646.60884655031282</v>
      </c>
      <c r="J67" s="342">
        <f t="shared" si="122"/>
        <v>42.672620162415626</v>
      </c>
      <c r="K67" s="342">
        <f t="shared" si="122"/>
        <v>138.00737870932863</v>
      </c>
      <c r="L67" s="342">
        <f t="shared" si="122"/>
        <v>848.53919821732063</v>
      </c>
      <c r="M67" s="342">
        <f t="shared" si="122"/>
        <v>2889.1655456181097</v>
      </c>
      <c r="N67" s="342">
        <f t="shared" si="122"/>
        <v>132.03262197364171</v>
      </c>
      <c r="O67" s="342">
        <f t="shared" si="122"/>
        <v>447.47018574147154</v>
      </c>
      <c r="P67" s="343">
        <v>6757.9141292609729</v>
      </c>
      <c r="Q67" s="342">
        <f t="shared" si="123"/>
        <v>164.13100316897584</v>
      </c>
      <c r="R67" s="342">
        <f t="shared" si="123"/>
        <v>40.966956836809402</v>
      </c>
      <c r="S67" s="342">
        <f t="shared" si="123"/>
        <v>3.3492362075726305</v>
      </c>
      <c r="T67" s="343">
        <v>208.44719621335787</v>
      </c>
      <c r="U67" s="342">
        <f t="shared" si="124"/>
        <v>2958.2066382066309</v>
      </c>
      <c r="V67" s="342">
        <f t="shared" si="124"/>
        <v>139.79053738328872</v>
      </c>
      <c r="W67" s="342">
        <f t="shared" si="124"/>
        <v>34.623060348911487</v>
      </c>
      <c r="X67" s="342">
        <f t="shared" si="124"/>
        <v>2644.9601124849</v>
      </c>
      <c r="Y67" s="342">
        <f t="shared" si="124"/>
        <v>56.377710927759708</v>
      </c>
      <c r="Z67" s="342">
        <f t="shared" si="124"/>
        <v>51.83698611855106</v>
      </c>
      <c r="AA67" s="342">
        <f t="shared" si="124"/>
        <v>1195.7959200175769</v>
      </c>
      <c r="AB67" s="342">
        <f t="shared" si="124"/>
        <v>70.592545313962916</v>
      </c>
      <c r="AC67" s="342">
        <f t="shared" si="124"/>
        <v>0</v>
      </c>
      <c r="AD67" s="342">
        <f t="shared" si="124"/>
        <v>38.223178187923743</v>
      </c>
      <c r="AE67" s="343">
        <v>7190.4066889895057</v>
      </c>
      <c r="AF67" s="342">
        <f t="shared" si="125"/>
        <v>733.80852008079034</v>
      </c>
      <c r="AG67" s="342">
        <f t="shared" si="125"/>
        <v>524.08207129275991</v>
      </c>
      <c r="AH67" s="342">
        <f t="shared" si="125"/>
        <v>26.964649052226225</v>
      </c>
      <c r="AI67" s="342">
        <f t="shared" si="125"/>
        <v>57.154257554884566</v>
      </c>
      <c r="AJ67" s="342">
        <f t="shared" si="125"/>
        <v>22.40424389669386</v>
      </c>
      <c r="AK67" s="342">
        <f t="shared" si="125"/>
        <v>25.421671904636135</v>
      </c>
      <c r="AL67" s="343">
        <v>1389.8354137819911</v>
      </c>
      <c r="AM67" s="342">
        <f>$AO67*AM$17</f>
        <v>2536.414394271088</v>
      </c>
      <c r="AN67" s="342">
        <f>$AO67*AN$17</f>
        <v>165.58337175151951</v>
      </c>
      <c r="AO67" s="343">
        <v>2701.9977660226077</v>
      </c>
      <c r="AP67" s="342">
        <f>$AQ67*AP$17</f>
        <v>101.35257431190134</v>
      </c>
      <c r="AQ67" s="343">
        <v>101.35257431190134</v>
      </c>
      <c r="AR67" s="342">
        <v>18349.953768580337</v>
      </c>
      <c r="AT67" s="351"/>
      <c r="AU67" s="376">
        <f t="shared" si="126"/>
        <v>956.49313674765256</v>
      </c>
      <c r="AV67" s="376">
        <f t="shared" si="126"/>
        <v>20.277666106924556</v>
      </c>
      <c r="AW67" s="376">
        <f t="shared" si="126"/>
        <v>503.75574613026356</v>
      </c>
      <c r="AX67" s="376">
        <f t="shared" si="126"/>
        <v>770.86905063364088</v>
      </c>
      <c r="AY67" s="376">
        <f t="shared" si="126"/>
        <v>798.18477451724721</v>
      </c>
      <c r="AZ67" s="376">
        <f t="shared" si="126"/>
        <v>397.89713734295475</v>
      </c>
      <c r="BA67" s="377">
        <v>3447.4775114786835</v>
      </c>
      <c r="BB67" s="376">
        <f>$BC67*BB$17</f>
        <v>86.419437830915356</v>
      </c>
      <c r="BC67" s="377">
        <v>86.419437830915356</v>
      </c>
      <c r="BD67" s="376">
        <f>$BE67*BD$17</f>
        <v>65.519331743482851</v>
      </c>
      <c r="BE67" s="377">
        <v>65.519331743482851</v>
      </c>
      <c r="BF67" s="376">
        <f>$BG67*BF$17</f>
        <v>60.396370515325998</v>
      </c>
      <c r="BG67" s="377">
        <v>60.396370515325998</v>
      </c>
      <c r="BH67" s="376">
        <f>$BI67*BH$17</f>
        <v>864.0418518897975</v>
      </c>
      <c r="BI67" s="377">
        <v>864.0418518897975</v>
      </c>
      <c r="BJ67" s="376">
        <f>$BK67*BJ$17</f>
        <v>97.415337419488012</v>
      </c>
      <c r="BK67" s="377">
        <v>97.415337419488012</v>
      </c>
      <c r="BL67" s="376">
        <f t="shared" si="127"/>
        <v>45.23291377167007</v>
      </c>
      <c r="BM67" s="376">
        <f t="shared" si="127"/>
        <v>60.060631264760687</v>
      </c>
      <c r="BN67" s="376">
        <f t="shared" si="127"/>
        <v>22.991783594927302</v>
      </c>
      <c r="BO67" s="377">
        <v>128.28532863135806</v>
      </c>
      <c r="BP67" s="376">
        <v>4749.5551695090517</v>
      </c>
      <c r="BQ67" s="367"/>
      <c r="BR67" s="351"/>
      <c r="BS67" s="376">
        <f>$BT67*BS$17</f>
        <v>172.88020833016139</v>
      </c>
      <c r="BT67" s="377">
        <v>172.88020833016139</v>
      </c>
      <c r="BU67" s="376">
        <f>$BW67*BU$17</f>
        <v>387.11006116559241</v>
      </c>
      <c r="BV67" s="376">
        <f>$BW67*BV$17</f>
        <v>11.688717331523508</v>
      </c>
      <c r="BW67" s="377">
        <v>398.7987784971159</v>
      </c>
      <c r="BX67" s="376">
        <f t="shared" si="128"/>
        <v>127.64983130528184</v>
      </c>
      <c r="BY67" s="376">
        <f t="shared" si="128"/>
        <v>7.5969492596506552</v>
      </c>
      <c r="BZ67" s="376">
        <f t="shared" si="128"/>
        <v>81.61499955993277</v>
      </c>
      <c r="CA67" s="377">
        <v>216.86178012486528</v>
      </c>
      <c r="CB67" s="376">
        <f>$CC67*CB$17</f>
        <v>730.2245661750992</v>
      </c>
      <c r="CC67" s="377">
        <v>730.2245661750992</v>
      </c>
      <c r="CD67" s="376">
        <f t="shared" si="129"/>
        <v>285.1918612527337</v>
      </c>
      <c r="CE67" s="376">
        <f t="shared" si="129"/>
        <v>75.078323509617775</v>
      </c>
      <c r="CF67" s="376">
        <f t="shared" si="129"/>
        <v>29.830280132906406</v>
      </c>
      <c r="CG67" s="377">
        <v>390.10046489525786</v>
      </c>
      <c r="CH67" s="376">
        <v>1908.8657980224996</v>
      </c>
      <c r="CI67" s="367"/>
      <c r="CJ67" s="351"/>
      <c r="CK67" s="376">
        <f>$CM67*CK$17</f>
        <v>244.97299003454322</v>
      </c>
      <c r="CL67" s="376">
        <f>$CM67*CL$17</f>
        <v>258.22938609181728</v>
      </c>
      <c r="CM67" s="377">
        <v>503.20329238328748</v>
      </c>
      <c r="CN67" s="376">
        <f>$CO67*CN$17</f>
        <v>66.65479656453428</v>
      </c>
      <c r="CO67" s="377">
        <v>66.65479656453428</v>
      </c>
      <c r="CP67" s="376">
        <f>$CQ67*CP$17</f>
        <v>46.114257984425606</v>
      </c>
      <c r="CQ67" s="377">
        <v>46.114257984425606</v>
      </c>
      <c r="CR67" s="376">
        <f>$CS67*CR$17</f>
        <v>58.534329205963147</v>
      </c>
      <c r="CS67" s="377">
        <v>58.534329205963147</v>
      </c>
      <c r="CT67" s="376"/>
      <c r="CU67" s="377">
        <v>2.7623996670049809E-2</v>
      </c>
      <c r="CV67" s="376">
        <f>$CW67*CV$17</f>
        <v>4.4902146756789989</v>
      </c>
      <c r="CW67" s="377">
        <v>4.4902146756789989</v>
      </c>
      <c r="CX67" s="376">
        <v>679.02451481055959</v>
      </c>
      <c r="CY67" s="367"/>
      <c r="CZ67" s="351"/>
    </row>
    <row r="68" spans="1:110" s="278" customFormat="1">
      <c r="C68" s="288" t="s">
        <v>1367</v>
      </c>
      <c r="D68" s="346"/>
      <c r="E68" s="289"/>
      <c r="F68" s="315" t="s">
        <v>1367</v>
      </c>
      <c r="G68" s="403"/>
      <c r="H68" s="378">
        <f t="shared" ref="H68:O68" si="130">SUM(H65:H67)</f>
        <v>7312.8411931495502</v>
      </c>
      <c r="I68" s="378">
        <f t="shared" si="130"/>
        <v>2815.3778842640295</v>
      </c>
      <c r="J68" s="378">
        <f t="shared" si="130"/>
        <v>196.39514010007986</v>
      </c>
      <c r="K68" s="378">
        <f t="shared" si="130"/>
        <v>881.10867954625905</v>
      </c>
      <c r="L68" s="378">
        <f t="shared" si="130"/>
        <v>3782.0503361802425</v>
      </c>
      <c r="M68" s="378">
        <f t="shared" si="130"/>
        <v>12223.833142109004</v>
      </c>
      <c r="N68" s="378">
        <f t="shared" si="130"/>
        <v>594.55935899625376</v>
      </c>
      <c r="O68" s="378">
        <f t="shared" si="130"/>
        <v>1991.7181560957943</v>
      </c>
      <c r="P68" s="425">
        <v>29797.883890441211</v>
      </c>
      <c r="Q68" s="378">
        <f>SUM(Q65:Q67)</f>
        <v>801.71626051809062</v>
      </c>
      <c r="R68" s="378">
        <f>SUM(R65:R67)</f>
        <v>200.33406118222163</v>
      </c>
      <c r="S68" s="378">
        <f>SUM(S65:S67)</f>
        <v>146.01551588972436</v>
      </c>
      <c r="T68" s="425">
        <v>1148.0658375900366</v>
      </c>
      <c r="U68" s="378">
        <f t="shared" ref="U68:AD68" si="131">SUM(U65:U67)</f>
        <v>12147.549464711412</v>
      </c>
      <c r="V68" s="378">
        <f t="shared" si="131"/>
        <v>596.55653954945637</v>
      </c>
      <c r="W68" s="378">
        <f t="shared" si="131"/>
        <v>182.89518268120986</v>
      </c>
      <c r="X68" s="378">
        <f t="shared" si="131"/>
        <v>11593.343649457751</v>
      </c>
      <c r="Y68" s="378">
        <f t="shared" si="131"/>
        <v>348.64113722569374</v>
      </c>
      <c r="Z68" s="378">
        <f t="shared" si="131"/>
        <v>205.83551061815317</v>
      </c>
      <c r="AA68" s="378">
        <f t="shared" si="131"/>
        <v>5559.4676242515034</v>
      </c>
      <c r="AB68" s="378">
        <f t="shared" si="131"/>
        <v>367.58469296961209</v>
      </c>
      <c r="AC68" s="378">
        <f t="shared" si="131"/>
        <v>136.75437963525613</v>
      </c>
      <c r="AD68" s="378">
        <f t="shared" si="131"/>
        <v>187.69291940575425</v>
      </c>
      <c r="AE68" s="425">
        <v>31326.321100505804</v>
      </c>
      <c r="AF68" s="378">
        <f t="shared" ref="AF68:AK68" si="132">SUM(AF65:AF67)</f>
        <v>3699.9189239522625</v>
      </c>
      <c r="AG68" s="378">
        <f t="shared" si="132"/>
        <v>2702.7363702478424</v>
      </c>
      <c r="AH68" s="378">
        <f t="shared" si="132"/>
        <v>178.23541211323752</v>
      </c>
      <c r="AI68" s="378">
        <f t="shared" si="132"/>
        <v>220.96074542725526</v>
      </c>
      <c r="AJ68" s="378">
        <f t="shared" si="132"/>
        <v>171.7813757748753</v>
      </c>
      <c r="AK68" s="378">
        <f t="shared" si="132"/>
        <v>176.05173977707938</v>
      </c>
      <c r="AL68" s="425">
        <v>7149.6845672925519</v>
      </c>
      <c r="AM68" s="378">
        <f>SUM(AM65:AM67)</f>
        <v>9908.4382007496024</v>
      </c>
      <c r="AN68" s="378">
        <f>SUM(AN65:AN67)</f>
        <v>778.32761664815291</v>
      </c>
      <c r="AO68" s="425">
        <v>10686.765817397758</v>
      </c>
      <c r="AP68" s="378">
        <f>SUM(AP65:AP67)</f>
        <v>713.35435271071526</v>
      </c>
      <c r="AQ68" s="425">
        <v>713.35435271071526</v>
      </c>
      <c r="AR68" s="378">
        <v>80822.075565938067</v>
      </c>
      <c r="AT68" s="351"/>
      <c r="AU68" s="379">
        <f t="shared" ref="AU68:AZ68" si="133">SUM(AU65:AU67)</f>
        <v>3500.4710697591004</v>
      </c>
      <c r="AV68" s="379">
        <f t="shared" si="133"/>
        <v>134.33472755814296</v>
      </c>
      <c r="AW68" s="379">
        <f t="shared" si="133"/>
        <v>1945.4544585679889</v>
      </c>
      <c r="AX68" s="379">
        <f t="shared" si="133"/>
        <v>3804.6637576303228</v>
      </c>
      <c r="AY68" s="379">
        <f t="shared" si="133"/>
        <v>2972.6627418789553</v>
      </c>
      <c r="AZ68" s="379">
        <f t="shared" si="133"/>
        <v>1593.1729061484398</v>
      </c>
      <c r="BA68" s="426">
        <v>13950.75966154295</v>
      </c>
      <c r="BB68" s="379">
        <f>SUM(BB65:BB67)</f>
        <v>597.00551015615054</v>
      </c>
      <c r="BC68" s="426">
        <v>597.00551015615054</v>
      </c>
      <c r="BD68" s="379">
        <f>SUM(BD65:BD67)</f>
        <v>411.60677997585418</v>
      </c>
      <c r="BE68" s="426">
        <v>411.60677997585418</v>
      </c>
      <c r="BF68" s="379">
        <f>SUM(BF65:BF67)</f>
        <v>541.8653369114918</v>
      </c>
      <c r="BG68" s="426">
        <v>541.8653369114918</v>
      </c>
      <c r="BH68" s="379">
        <f>SUM(BH65:BH67)</f>
        <v>1875.2379323288028</v>
      </c>
      <c r="BI68" s="426">
        <v>1875.2379323288028</v>
      </c>
      <c r="BJ68" s="379">
        <f>SUM(BJ65:BJ67)</f>
        <v>559.34214682956713</v>
      </c>
      <c r="BK68" s="426">
        <v>559.34214682956713</v>
      </c>
      <c r="BL68" s="379">
        <f>SUM(BL65:BL67)</f>
        <v>208.82822119049061</v>
      </c>
      <c r="BM68" s="379">
        <f>SUM(BM65:BM67)</f>
        <v>372.62876533569118</v>
      </c>
      <c r="BN68" s="379">
        <f>SUM(BN65:BN67)</f>
        <v>175.89087661474903</v>
      </c>
      <c r="BO68" s="426">
        <v>757.34786314093083</v>
      </c>
      <c r="BP68" s="379">
        <v>18693.165230885748</v>
      </c>
      <c r="BQ68" s="344"/>
      <c r="BR68" s="351"/>
      <c r="BS68" s="379">
        <f>SUM(BS65:BS67)</f>
        <v>1504.5801264810445</v>
      </c>
      <c r="BT68" s="426">
        <v>1504.5801264810445</v>
      </c>
      <c r="BU68" s="379">
        <f>SUM(BU65:BU67)</f>
        <v>3799.3230107671811</v>
      </c>
      <c r="BV68" s="379">
        <f>SUM(BV65:BV67)</f>
        <v>168.26198993256892</v>
      </c>
      <c r="BW68" s="426">
        <v>3967.5850006997498</v>
      </c>
      <c r="BX68" s="379">
        <f>SUM(BX65:BX67)</f>
        <v>2098.955863055442</v>
      </c>
      <c r="BY68" s="379">
        <f>SUM(BY65:BY67)</f>
        <v>167.11493700716807</v>
      </c>
      <c r="BZ68" s="379">
        <f>SUM(BZ65:BZ67)</f>
        <v>1390.3662312356678</v>
      </c>
      <c r="CA68" s="426">
        <v>3656.4370312982783</v>
      </c>
      <c r="CB68" s="379">
        <f>SUM(CB65:CB67)</f>
        <v>5058.0159727304344</v>
      </c>
      <c r="CC68" s="426">
        <v>5058.0159727304344</v>
      </c>
      <c r="CD68" s="379">
        <f>SUM(CD65:CD67)</f>
        <v>2150.0294509952996</v>
      </c>
      <c r="CE68" s="379">
        <f>SUM(CE65:CE67)</f>
        <v>683.25762038594735</v>
      </c>
      <c r="CF68" s="379">
        <f>SUM(CF65:CF67)</f>
        <v>189.30949340387068</v>
      </c>
      <c r="CG68" s="426">
        <v>3022.5965647851176</v>
      </c>
      <c r="CH68" s="379">
        <v>17209.214695994626</v>
      </c>
      <c r="CI68" s="344"/>
      <c r="CJ68" s="351"/>
      <c r="CK68" s="379">
        <f>SUM(CK65:CK67)</f>
        <v>1582.1743051368887</v>
      </c>
      <c r="CL68" s="379">
        <f>SUM(CL65:CL67)</f>
        <v>1331.4736476599028</v>
      </c>
      <c r="CM68" s="426">
        <v>2913.6493184029746</v>
      </c>
      <c r="CN68" s="379">
        <f>SUM(CN65:CN67)</f>
        <v>1020.7635425537666</v>
      </c>
      <c r="CO68" s="426">
        <v>1020.7635425537666</v>
      </c>
      <c r="CP68" s="379">
        <f>SUM(CP65:CP67)</f>
        <v>567.37109879244906</v>
      </c>
      <c r="CQ68" s="426">
        <v>567.37109879244906</v>
      </c>
      <c r="CR68" s="379">
        <f>SUM(CR65:CR67)</f>
        <v>1006.2740397660059</v>
      </c>
      <c r="CS68" s="426">
        <v>1006.2740397660059</v>
      </c>
      <c r="CT68" s="379"/>
      <c r="CU68" s="426">
        <v>2.7623996670049809E-2</v>
      </c>
      <c r="CV68" s="379">
        <f>SUM(CV65:CV67)</f>
        <v>1189.1648528757321</v>
      </c>
      <c r="CW68" s="426">
        <v>1189.1648528757321</v>
      </c>
      <c r="CX68" s="379">
        <v>6697.2504763875986</v>
      </c>
      <c r="CY68" s="344"/>
      <c r="CZ68" s="351"/>
    </row>
    <row r="69" spans="1:110" s="278" customFormat="1" ht="5.0999999999999996" customHeight="1">
      <c r="C69" s="288"/>
      <c r="D69" s="346"/>
      <c r="E69" s="289"/>
      <c r="F69" s="315"/>
      <c r="G69" s="403"/>
      <c r="H69" s="378"/>
      <c r="I69" s="378"/>
      <c r="J69" s="378"/>
      <c r="K69" s="378"/>
      <c r="L69" s="378"/>
      <c r="M69" s="378"/>
      <c r="N69" s="378"/>
      <c r="O69" s="378"/>
      <c r="P69" s="425"/>
      <c r="Q69" s="378"/>
      <c r="R69" s="378"/>
      <c r="S69" s="378"/>
      <c r="T69" s="425"/>
      <c r="U69" s="378"/>
      <c r="V69" s="378"/>
      <c r="W69" s="378"/>
      <c r="X69" s="378"/>
      <c r="Y69" s="378"/>
      <c r="Z69" s="378"/>
      <c r="AA69" s="378"/>
      <c r="AB69" s="378"/>
      <c r="AC69" s="378"/>
      <c r="AD69" s="378"/>
      <c r="AE69" s="425"/>
      <c r="AF69" s="378"/>
      <c r="AG69" s="378"/>
      <c r="AH69" s="378"/>
      <c r="AI69" s="378"/>
      <c r="AJ69" s="378"/>
      <c r="AK69" s="378"/>
      <c r="AL69" s="425"/>
      <c r="AM69" s="378"/>
      <c r="AN69" s="378"/>
      <c r="AO69" s="425"/>
      <c r="AP69" s="378"/>
      <c r="AQ69" s="425"/>
      <c r="AR69" s="378"/>
      <c r="AT69" s="351"/>
      <c r="AU69" s="379"/>
      <c r="AV69" s="379"/>
      <c r="AW69" s="379"/>
      <c r="AX69" s="379"/>
      <c r="AY69" s="379"/>
      <c r="AZ69" s="379"/>
      <c r="BA69" s="426"/>
      <c r="BB69" s="379"/>
      <c r="BC69" s="426"/>
      <c r="BD69" s="379"/>
      <c r="BE69" s="426"/>
      <c r="BF69" s="379"/>
      <c r="BG69" s="426"/>
      <c r="BH69" s="379"/>
      <c r="BI69" s="426"/>
      <c r="BJ69" s="379"/>
      <c r="BK69" s="426"/>
      <c r="BL69" s="379"/>
      <c r="BM69" s="379"/>
      <c r="BN69" s="379"/>
      <c r="BO69" s="426"/>
      <c r="BP69" s="379"/>
      <c r="BQ69" s="344"/>
      <c r="BR69" s="351"/>
      <c r="BS69" s="379"/>
      <c r="BT69" s="426"/>
      <c r="BU69" s="379"/>
      <c r="BV69" s="379"/>
      <c r="BW69" s="426"/>
      <c r="BX69" s="379"/>
      <c r="BY69" s="379"/>
      <c r="BZ69" s="379"/>
      <c r="CA69" s="426"/>
      <c r="CB69" s="379"/>
      <c r="CC69" s="426"/>
      <c r="CD69" s="379"/>
      <c r="CE69" s="379"/>
      <c r="CF69" s="379"/>
      <c r="CG69" s="426"/>
      <c r="CH69" s="379"/>
      <c r="CI69" s="344"/>
      <c r="CJ69" s="351"/>
      <c r="CK69" s="379"/>
      <c r="CL69" s="379"/>
      <c r="CM69" s="426"/>
      <c r="CN69" s="379"/>
      <c r="CO69" s="426"/>
      <c r="CP69" s="379"/>
      <c r="CQ69" s="426"/>
      <c r="CR69" s="379"/>
      <c r="CS69" s="426"/>
      <c r="CT69" s="379"/>
      <c r="CU69" s="426"/>
      <c r="CV69" s="379"/>
      <c r="CW69" s="426"/>
      <c r="CX69" s="379"/>
      <c r="CY69" s="344"/>
      <c r="CZ69" s="351"/>
    </row>
    <row r="70" spans="1:110" s="278" customFormat="1" ht="17.850000000000001" customHeight="1" outlineLevel="1" thickBot="1">
      <c r="C70" s="288"/>
      <c r="D70" s="346"/>
      <c r="E70" s="289"/>
      <c r="F70" s="437" t="s">
        <v>1368</v>
      </c>
      <c r="G70" s="236"/>
      <c r="H70" s="438">
        <f t="shared" ref="H70:O70" si="134">H68+H60</f>
        <v>49999.862140907513</v>
      </c>
      <c r="I70" s="438">
        <f t="shared" si="134"/>
        <v>19082.636758273213</v>
      </c>
      <c r="J70" s="438">
        <f t="shared" si="134"/>
        <v>1322.6561784802034</v>
      </c>
      <c r="K70" s="438">
        <f t="shared" si="134"/>
        <v>6135.5524780291753</v>
      </c>
      <c r="L70" s="438">
        <f t="shared" si="134"/>
        <v>25487.112827084053</v>
      </c>
      <c r="M70" s="438">
        <f t="shared" si="134"/>
        <v>82384.433711398393</v>
      </c>
      <c r="N70" s="438">
        <f t="shared" si="134"/>
        <v>4113.8968982695096</v>
      </c>
      <c r="O70" s="438">
        <f t="shared" si="134"/>
        <v>13719.636626652715</v>
      </c>
      <c r="P70" s="439">
        <v>202245.7876190948</v>
      </c>
      <c r="Q70" s="438">
        <f>Q68+Q60</f>
        <v>4113.4089663220075</v>
      </c>
      <c r="R70" s="438">
        <f>R68+R60</f>
        <v>1142.5390598636297</v>
      </c>
      <c r="S70" s="438">
        <f>S68+S60</f>
        <v>712.81084079166715</v>
      </c>
      <c r="T70" s="439">
        <v>5968.7588669773049</v>
      </c>
      <c r="U70" s="438">
        <f t="shared" ref="U70:AD70" si="135">U68+U60</f>
        <v>70966.025387248505</v>
      </c>
      <c r="V70" s="438">
        <f t="shared" si="135"/>
        <v>3653.3165044327698</v>
      </c>
      <c r="W70" s="438">
        <f t="shared" si="135"/>
        <v>1153.3731226921868</v>
      </c>
      <c r="X70" s="438">
        <f t="shared" si="135"/>
        <v>68027.205348611693</v>
      </c>
      <c r="Y70" s="438">
        <f t="shared" si="135"/>
        <v>2302.1889912644888</v>
      </c>
      <c r="Z70" s="438">
        <f t="shared" si="135"/>
        <v>1291.1659877820762</v>
      </c>
      <c r="AA70" s="438">
        <f t="shared" si="135"/>
        <v>33085.945514970044</v>
      </c>
      <c r="AB70" s="438">
        <f t="shared" si="135"/>
        <v>2333.2322775323664</v>
      </c>
      <c r="AC70" s="438">
        <f t="shared" si="135"/>
        <v>771.14103879071729</v>
      </c>
      <c r="AD70" s="438">
        <f t="shared" si="135"/>
        <v>1135.7561021964407</v>
      </c>
      <c r="AE70" s="439">
        <v>184719.35027552125</v>
      </c>
      <c r="AF70" s="438">
        <f t="shared" ref="AF70:AK70" si="136">AF68+AF60</f>
        <v>21425.422172725117</v>
      </c>
      <c r="AG70" s="438">
        <f t="shared" si="136"/>
        <v>15486.054475137415</v>
      </c>
      <c r="AH70" s="438">
        <f t="shared" si="136"/>
        <v>1055.6718786395691</v>
      </c>
      <c r="AI70" s="438">
        <f t="shared" si="136"/>
        <v>1333.7438806784999</v>
      </c>
      <c r="AJ70" s="438">
        <f t="shared" si="136"/>
        <v>1034.1776056792332</v>
      </c>
      <c r="AK70" s="438">
        <f t="shared" si="136"/>
        <v>1066.2682806046232</v>
      </c>
      <c r="AL70" s="439">
        <v>41401.338293464461</v>
      </c>
      <c r="AM70" s="438">
        <f>AM68+AM60</f>
        <v>60473.429887610335</v>
      </c>
      <c r="AN70" s="438">
        <f>AN68+AN60</f>
        <v>4803.9272503526036</v>
      </c>
      <c r="AO70" s="439">
        <v>65277.357137962943</v>
      </c>
      <c r="AP70" s="438">
        <f>AP68+AP60</f>
        <v>4122.105183853977</v>
      </c>
      <c r="AQ70" s="439">
        <v>4122.105183853977</v>
      </c>
      <c r="AR70" s="438">
        <v>503734.69737687474</v>
      </c>
      <c r="AT70" s="351"/>
      <c r="AU70" s="440">
        <f t="shared" ref="AU70:AZ70" si="137">AU68+AU60</f>
        <v>32507.842339223458</v>
      </c>
      <c r="AV70" s="440">
        <f t="shared" si="137"/>
        <v>1277.3223181545816</v>
      </c>
      <c r="AW70" s="440">
        <f t="shared" si="137"/>
        <v>18125.080544266322</v>
      </c>
      <c r="AX70" s="440">
        <f t="shared" si="137"/>
        <v>36642.054140881672</v>
      </c>
      <c r="AY70" s="440">
        <f t="shared" si="137"/>
        <v>27966.677705850638</v>
      </c>
      <c r="AZ70" s="440">
        <f t="shared" si="137"/>
        <v>16038.18032515304</v>
      </c>
      <c r="BA70" s="441">
        <v>132557.15737352968</v>
      </c>
      <c r="BB70" s="440">
        <f>BB68+BB60</f>
        <v>4037.7881689555697</v>
      </c>
      <c r="BC70" s="441">
        <v>4037.7881689555697</v>
      </c>
      <c r="BD70" s="440">
        <f>BD68+BD60</f>
        <v>3920.078325467477</v>
      </c>
      <c r="BE70" s="441">
        <v>3920.078325467477</v>
      </c>
      <c r="BF70" s="440">
        <f>BF68+BF60</f>
        <v>3510.8676341574164</v>
      </c>
      <c r="BG70" s="441">
        <v>3510.8676341574164</v>
      </c>
      <c r="BH70" s="440">
        <f>BH68+BH60</f>
        <v>39104.792812207234</v>
      </c>
      <c r="BI70" s="441">
        <v>39104.792812207234</v>
      </c>
      <c r="BJ70" s="440">
        <f>BJ68+BJ60</f>
        <v>4791.3047477633745</v>
      </c>
      <c r="BK70" s="441">
        <v>4791.3047477633745</v>
      </c>
      <c r="BL70" s="440">
        <f>BL68+BL60</f>
        <v>1921.6858535946969</v>
      </c>
      <c r="BM70" s="440">
        <f>BM68+BM60</f>
        <v>3540.8528395369103</v>
      </c>
      <c r="BN70" s="440">
        <f>BN68+BN60</f>
        <v>1652.6488927630387</v>
      </c>
      <c r="BO70" s="441">
        <v>7115.1875858946441</v>
      </c>
      <c r="BP70" s="442">
        <v>195037.1766479754</v>
      </c>
      <c r="BQ70" s="344"/>
      <c r="BR70" s="351"/>
      <c r="BS70" s="440">
        <f>BS68+BS60</f>
        <v>12656.483167905075</v>
      </c>
      <c r="BT70" s="441">
        <v>12656.483167905075</v>
      </c>
      <c r="BU70" s="440">
        <f>BU68+BU60</f>
        <v>37949.711549038562</v>
      </c>
      <c r="BV70" s="440">
        <f>BV68+BV60</f>
        <v>1717.1051124483945</v>
      </c>
      <c r="BW70" s="441">
        <v>39666.816661486948</v>
      </c>
      <c r="BX70" s="440">
        <f>BX68+BX60</f>
        <v>13283.052870851958</v>
      </c>
      <c r="BY70" s="440">
        <f>BY68+BY60</f>
        <v>1064.1633194120404</v>
      </c>
      <c r="BZ70" s="440">
        <f>BZ68+BZ60</f>
        <v>8735.617767249174</v>
      </c>
      <c r="CA70" s="441">
        <v>23082.833957513176</v>
      </c>
      <c r="CB70" s="440">
        <f>CB68+CB60</f>
        <v>33204.009192130659</v>
      </c>
      <c r="CC70" s="441">
        <v>33204.009192130659</v>
      </c>
      <c r="CD70" s="440">
        <f>CD68+CD60</f>
        <v>12110.714100486923</v>
      </c>
      <c r="CE70" s="440">
        <f>CE68+CE60</f>
        <v>3840.4118509997334</v>
      </c>
      <c r="CF70" s="440">
        <f>CF68+CF60</f>
        <v>1134.7466664846168</v>
      </c>
      <c r="CG70" s="441">
        <v>17085.872617971272</v>
      </c>
      <c r="CH70" s="442">
        <v>125696.01559700714</v>
      </c>
      <c r="CI70" s="344"/>
      <c r="CJ70" s="351"/>
      <c r="CK70" s="440">
        <f>CK68+CK60</f>
        <v>15844.420990257478</v>
      </c>
      <c r="CL70" s="440">
        <f>CL68+CL60</f>
        <v>13878.389310668645</v>
      </c>
      <c r="CM70" s="441">
        <v>29722.814523233566</v>
      </c>
      <c r="CN70" s="440">
        <f>CN68+CN60</f>
        <v>9695.7301259268461</v>
      </c>
      <c r="CO70" s="441">
        <v>9695.7301259268461</v>
      </c>
      <c r="CP70" s="440">
        <f>CP68+CP60</f>
        <v>2728.0552772648994</v>
      </c>
      <c r="CQ70" s="441">
        <v>2728.0552772648994</v>
      </c>
      <c r="CR70" s="440">
        <f>CR68+CR60</f>
        <v>6377.0402333337552</v>
      </c>
      <c r="CS70" s="441">
        <v>6377.0402333337552</v>
      </c>
      <c r="CT70" s="440"/>
      <c r="CU70" s="441">
        <v>0.17082365850885661</v>
      </c>
      <c r="CV70" s="440">
        <f>CV68+CV60</f>
        <v>8767.661253612514</v>
      </c>
      <c r="CW70" s="441">
        <v>8767.661253612514</v>
      </c>
      <c r="CX70" s="442">
        <v>57291.472237030088</v>
      </c>
      <c r="CY70" s="344"/>
      <c r="CZ70" s="351"/>
    </row>
    <row r="71" spans="1:110" s="278" customFormat="1" ht="14.25" outlineLevel="1" thickTop="1" thickBot="1">
      <c r="C71" s="288"/>
      <c r="D71" s="346"/>
      <c r="E71" s="289"/>
      <c r="F71" s="386" t="s">
        <v>1369</v>
      </c>
      <c r="G71" s="236"/>
      <c r="H71" s="387">
        <f t="shared" ref="H71:O71" si="138">H48-H70</f>
        <v>12440.312071791865</v>
      </c>
      <c r="I71" s="387">
        <f t="shared" si="138"/>
        <v>6495.5197764963486</v>
      </c>
      <c r="J71" s="387">
        <f t="shared" si="138"/>
        <v>448.73656801055563</v>
      </c>
      <c r="K71" s="387">
        <f t="shared" si="138"/>
        <v>-603.44406234376493</v>
      </c>
      <c r="L71" s="387">
        <f t="shared" si="138"/>
        <v>9191.7803007768998</v>
      </c>
      <c r="M71" s="387">
        <f t="shared" si="138"/>
        <v>33244.804839739241</v>
      </c>
      <c r="N71" s="387">
        <f t="shared" si="138"/>
        <v>716.1973263914897</v>
      </c>
      <c r="O71" s="387">
        <f t="shared" si="138"/>
        <v>2925.1375233356157</v>
      </c>
      <c r="P71" s="388">
        <v>64859.044344198104</v>
      </c>
      <c r="Q71" s="387">
        <f>Q48-Q70</f>
        <v>3845.5005524048138</v>
      </c>
      <c r="R71" s="387">
        <f>R48-R70</f>
        <v>343.2275834534862</v>
      </c>
      <c r="S71" s="387">
        <f>S48-S70</f>
        <v>-560.99380586653899</v>
      </c>
      <c r="T71" s="388">
        <v>3627.7343299917575</v>
      </c>
      <c r="U71" s="387">
        <f t="shared" ref="U71:AD71" si="139">U48-U70</f>
        <v>55135.41586543103</v>
      </c>
      <c r="V71" s="387">
        <f t="shared" si="139"/>
        <v>1569.1862897444098</v>
      </c>
      <c r="W71" s="387">
        <f t="shared" si="139"/>
        <v>-74.532487175868937</v>
      </c>
      <c r="X71" s="387">
        <f t="shared" si="139"/>
        <v>42813.904911176927</v>
      </c>
      <c r="Y71" s="387">
        <f t="shared" si="139"/>
        <v>-1131.493435554677</v>
      </c>
      <c r="Z71" s="387">
        <f t="shared" si="139"/>
        <v>546.70708969566567</v>
      </c>
      <c r="AA71" s="387">
        <f t="shared" si="139"/>
        <v>14737.141481575767</v>
      </c>
      <c r="AB71" s="387">
        <f t="shared" si="139"/>
        <v>-183.12499573101331</v>
      </c>
      <c r="AC71" s="387">
        <f t="shared" si="139"/>
        <v>-771.14103879071729</v>
      </c>
      <c r="AD71" s="387">
        <f t="shared" si="139"/>
        <v>299.71888652886264</v>
      </c>
      <c r="AE71" s="388">
        <v>112941.78256690039</v>
      </c>
      <c r="AF71" s="387">
        <f t="shared" ref="AF71:AK71" si="140">AF48-AF70</f>
        <v>13376.413519925623</v>
      </c>
      <c r="AG71" s="387">
        <f t="shared" si="140"/>
        <v>10143.290143792252</v>
      </c>
      <c r="AH71" s="387">
        <f t="shared" si="140"/>
        <v>135.59206073229325</v>
      </c>
      <c r="AI71" s="387">
        <f t="shared" si="140"/>
        <v>1101.0119137064335</v>
      </c>
      <c r="AJ71" s="387">
        <f t="shared" si="140"/>
        <v>-123.64945566675885</v>
      </c>
      <c r="AK71" s="387">
        <f t="shared" si="140"/>
        <v>-50.91817253709462</v>
      </c>
      <c r="AL71" s="388">
        <v>24581.740009952729</v>
      </c>
      <c r="AM71" s="387">
        <f>AM48-AM70</f>
        <v>40646.127545873424</v>
      </c>
      <c r="AN71" s="387">
        <f>AN48-AN70</f>
        <v>1488.0092762256281</v>
      </c>
      <c r="AO71" s="388">
        <v>42134.136822099041</v>
      </c>
      <c r="AP71" s="387">
        <f>AP48-AP70</f>
        <v>217.91198801422979</v>
      </c>
      <c r="AQ71" s="388">
        <v>217.91198801422979</v>
      </c>
      <c r="AR71" s="389">
        <v>248362.35006115626</v>
      </c>
      <c r="AT71" s="351"/>
      <c r="AU71" s="732">
        <f t="shared" ref="AU71:AZ71" si="141">AU48-AU70</f>
        <v>12292.827095165117</v>
      </c>
      <c r="AV71" s="732">
        <f t="shared" si="141"/>
        <v>6.8645795919339889</v>
      </c>
      <c r="AW71" s="732">
        <f t="shared" si="141"/>
        <v>5990.9531809477121</v>
      </c>
      <c r="AX71" s="732">
        <f t="shared" si="141"/>
        <v>84.632985762589669</v>
      </c>
      <c r="AY71" s="732">
        <f t="shared" si="141"/>
        <v>7729.5882224291818</v>
      </c>
      <c r="AZ71" s="732">
        <f t="shared" si="141"/>
        <v>-3572.9377279602195</v>
      </c>
      <c r="BA71" s="391">
        <v>22531.928335936333</v>
      </c>
      <c r="BB71" s="732">
        <f>BB48-BB70</f>
        <v>512.10835440557184</v>
      </c>
      <c r="BC71" s="391">
        <v>512.10835440557184</v>
      </c>
      <c r="BD71" s="732">
        <f>BD48-BD70</f>
        <v>-872.43820435014959</v>
      </c>
      <c r="BE71" s="391">
        <v>-872.43820435014959</v>
      </c>
      <c r="BF71" s="732">
        <f>BF48-BF70</f>
        <v>-135.25943986762422</v>
      </c>
      <c r="BG71" s="391">
        <v>-135.25943986762422</v>
      </c>
      <c r="BH71" s="732">
        <f>BH48-BH70</f>
        <v>-3877.6819850788816</v>
      </c>
      <c r="BI71" s="391">
        <v>-3877.6819850788816</v>
      </c>
      <c r="BJ71" s="732">
        <f>BJ48-BJ70</f>
        <v>1116.0298718792492</v>
      </c>
      <c r="BK71" s="391">
        <v>1116.0298718792492</v>
      </c>
      <c r="BL71" s="732">
        <f>BL48-BL70</f>
        <v>788.38990884251211</v>
      </c>
      <c r="BM71" s="732">
        <f>BM48-BM70</f>
        <v>-179.19688637394347</v>
      </c>
      <c r="BN71" s="732">
        <f>BN48-BN70</f>
        <v>-305.09868308896284</v>
      </c>
      <c r="BO71" s="391">
        <v>304.09433937960875</v>
      </c>
      <c r="BP71" s="392">
        <v>19578.78127230411</v>
      </c>
      <c r="BQ71" s="339"/>
      <c r="BR71" s="351"/>
      <c r="BS71" s="732">
        <f>BS48-BS70</f>
        <v>-340.19449638839433</v>
      </c>
      <c r="BT71" s="391">
        <v>-340.19449638839433</v>
      </c>
      <c r="BU71" s="732">
        <f>BU48-BU70</f>
        <v>-2672.7743117887439</v>
      </c>
      <c r="BV71" s="732">
        <f>BV48-BV70</f>
        <v>-771.84214290148441</v>
      </c>
      <c r="BW71" s="391">
        <v>-3444.6164546902146</v>
      </c>
      <c r="BX71" s="732">
        <f>BX48-BX70</f>
        <v>119.14529406489783</v>
      </c>
      <c r="BY71" s="732">
        <f>BY48-BY70</f>
        <v>-417.69038283951545</v>
      </c>
      <c r="BZ71" s="732">
        <f>BZ48-BZ70</f>
        <v>-106.07437674429275</v>
      </c>
      <c r="CA71" s="391">
        <v>-404.61946551891742</v>
      </c>
      <c r="CB71" s="732">
        <f>CB48-CB70</f>
        <v>19462.338065868127</v>
      </c>
      <c r="CC71" s="391">
        <v>19462.338065868127</v>
      </c>
      <c r="CD71" s="732">
        <f>CD48-CD70</f>
        <v>6593.9719601993311</v>
      </c>
      <c r="CE71" s="732">
        <f>CE48-CE70</f>
        <v>885.78661716420538</v>
      </c>
      <c r="CF71" s="732">
        <f>CF48-CF70</f>
        <v>470.93203270620643</v>
      </c>
      <c r="CG71" s="391">
        <v>7950.6906100697379</v>
      </c>
      <c r="CH71" s="392">
        <v>23223.598259340339</v>
      </c>
      <c r="CI71" s="339"/>
      <c r="CJ71" s="351"/>
      <c r="CK71" s="732">
        <f>CK48-CK70</f>
        <v>2460.8686974574357</v>
      </c>
      <c r="CL71" s="732">
        <f>CL48-CL70</f>
        <v>4645.9574722186044</v>
      </c>
      <c r="CM71" s="391">
        <v>7106.9176858871069</v>
      </c>
      <c r="CN71" s="732">
        <f>CN48-CN70</f>
        <v>-3994.8960260672966</v>
      </c>
      <c r="CO71" s="391">
        <v>-3994.8960260672966</v>
      </c>
      <c r="CP71" s="732">
        <f>CP48-CP70</f>
        <v>256.96094935247402</v>
      </c>
      <c r="CQ71" s="391">
        <v>256.96094935247402</v>
      </c>
      <c r="CR71" s="732">
        <f>CR48-CR70</f>
        <v>-1996.0001532070282</v>
      </c>
      <c r="CS71" s="391">
        <v>-1996.0001532070282</v>
      </c>
      <c r="CT71" s="390"/>
      <c r="CU71" s="391">
        <v>0.60209788136325237</v>
      </c>
      <c r="CV71" s="732">
        <f>CV48-CV70</f>
        <v>-5897.0335478031775</v>
      </c>
      <c r="CW71" s="391">
        <v>-5897.0335478031775</v>
      </c>
      <c r="CX71" s="392">
        <v>-4523.4489939565583</v>
      </c>
      <c r="CY71" s="339"/>
      <c r="CZ71" s="351"/>
    </row>
    <row r="72" spans="1:110" s="393" customFormat="1" ht="13.5" outlineLevel="1" thickTop="1">
      <c r="D72" s="394"/>
      <c r="E72" s="187"/>
      <c r="F72" s="395" t="s">
        <v>1370</v>
      </c>
      <c r="G72" s="396"/>
      <c r="H72" s="433">
        <f t="shared" ref="H72:O72" si="142">IFERROR(H71/H38,0)</f>
        <v>0.1127453937541361</v>
      </c>
      <c r="I72" s="433">
        <f t="shared" si="142"/>
        <v>0.14688810421464535</v>
      </c>
      <c r="J72" s="433">
        <f t="shared" si="142"/>
        <v>0.15376465229686681</v>
      </c>
      <c r="K72" s="433">
        <f t="shared" si="142"/>
        <v>-6.3936531099637192E-2</v>
      </c>
      <c r="L72" s="433">
        <f t="shared" si="142"/>
        <v>0.15839522477364737</v>
      </c>
      <c r="M72" s="433">
        <f t="shared" si="142"/>
        <v>0.16825412451831767</v>
      </c>
      <c r="N72" s="433">
        <f t="shared" si="142"/>
        <v>7.9316913521213658E-2</v>
      </c>
      <c r="O72" s="433">
        <f t="shared" si="142"/>
        <v>9.5586496348800024E-2</v>
      </c>
      <c r="P72" s="434">
        <v>0.14033701500017232</v>
      </c>
      <c r="Q72" s="433">
        <f>IFERROR(Q71/Q38,0)</f>
        <v>0.31096588921049456</v>
      </c>
      <c r="R72" s="433">
        <f>IFERROR(R71/R38,0)</f>
        <v>0.11119851223889403</v>
      </c>
      <c r="S72" s="433">
        <f>IFERROR(S71/S38,0)</f>
        <v>-2.2231193915228986</v>
      </c>
      <c r="T72" s="434">
        <v>0.23098826423901969</v>
      </c>
      <c r="U72" s="433">
        <f t="shared" ref="U72:AD72" si="143">IFERROR(U71/U38,0)</f>
        <v>0.26813159749213655</v>
      </c>
      <c r="V72" s="433">
        <f t="shared" si="143"/>
        <v>0.16148886377177937</v>
      </c>
      <c r="W72" s="433">
        <f t="shared" si="143"/>
        <v>-3.0968916394065505E-2</v>
      </c>
      <c r="X72" s="433">
        <f t="shared" si="143"/>
        <v>0.23286893740247119</v>
      </c>
      <c r="Y72" s="433">
        <f t="shared" si="143"/>
        <v>-0.28872902781214499</v>
      </c>
      <c r="Z72" s="433">
        <f t="shared" si="143"/>
        <v>0.15172628039119437</v>
      </c>
      <c r="AA72" s="433">
        <f t="shared" si="143"/>
        <v>0.17729726407168611</v>
      </c>
      <c r="AB72" s="433">
        <f t="shared" si="143"/>
        <v>-3.7319398436952936E-2</v>
      </c>
      <c r="AC72" s="433">
        <f t="shared" si="143"/>
        <v>0</v>
      </c>
      <c r="AD72" s="433">
        <f t="shared" si="143"/>
        <v>0.11280625039182061</v>
      </c>
      <c r="AE72" s="434">
        <v>0.22596804669280388</v>
      </c>
      <c r="AF72" s="433">
        <f t="shared" ref="AF72:AK72" si="144">IFERROR(AF71/AF38,0)</f>
        <v>0.24661371041785221</v>
      </c>
      <c r="AG72" s="433">
        <f t="shared" si="144"/>
        <v>0.26184231186529006</v>
      </c>
      <c r="AH72" s="433">
        <f t="shared" si="144"/>
        <v>6.8029890221861247E-2</v>
      </c>
      <c r="AI72" s="433">
        <f t="shared" si="144"/>
        <v>0.26061758255708617</v>
      </c>
      <c r="AJ72" s="433">
        <f t="shared" si="144"/>
        <v>-7.4665881759995334E-2</v>
      </c>
      <c r="AK72" s="433">
        <f t="shared" si="144"/>
        <v>-2.7097484728890064E-2</v>
      </c>
      <c r="AL72" s="434">
        <v>0.23928172378526666</v>
      </c>
      <c r="AM72" s="433">
        <f>IFERROR(AM71/AM38,0)</f>
        <v>0.23745875371558731</v>
      </c>
      <c r="AN72" s="433">
        <f>IFERROR(AN71/AN38,0)</f>
        <v>0.13316133313935319</v>
      </c>
      <c r="AO72" s="434">
        <v>0.23106721676423705</v>
      </c>
      <c r="AP72" s="433">
        <f>IFERROR(AP71/AP38,0)</f>
        <v>2.5849600298386625E-2</v>
      </c>
      <c r="AQ72" s="434">
        <v>2.5849600298386625E-2</v>
      </c>
      <c r="AR72" s="433">
        <v>0.19537755063570009</v>
      </c>
      <c r="AT72" s="399"/>
      <c r="AU72" s="400">
        <f t="shared" ref="AU72:AZ72" si="145">IFERROR(AU71/AU38,0)</f>
        <v>0.16436521626221237</v>
      </c>
      <c r="AV72" s="400">
        <f t="shared" si="145"/>
        <v>4.3294823920433491E-3</v>
      </c>
      <c r="AW72" s="400">
        <f t="shared" si="145"/>
        <v>0.15209534178368136</v>
      </c>
      <c r="AX72" s="400">
        <f t="shared" si="145"/>
        <v>1.4041032786415132E-3</v>
      </c>
      <c r="AY72" s="400">
        <f t="shared" si="145"/>
        <v>0.12384911844386567</v>
      </c>
      <c r="AZ72" s="400">
        <f t="shared" si="145"/>
        <v>-0.11484038318240834</v>
      </c>
      <c r="BA72" s="401">
        <v>8.3586650012349398E-2</v>
      </c>
      <c r="BB72" s="400">
        <f>IFERROR(BB71/BB38,0)</f>
        <v>6.3014541300977028E-2</v>
      </c>
      <c r="BC72" s="401">
        <v>6.3014541300977028E-2</v>
      </c>
      <c r="BD72" s="400">
        <f>IFERROR(BD71/BD38,0)</f>
        <v>-0.14865178088836933</v>
      </c>
      <c r="BE72" s="401">
        <v>-0.14865178088836933</v>
      </c>
      <c r="BF72" s="400">
        <f>IFERROR(BF71/BF38,0)</f>
        <v>-2.1078216065242059E-2</v>
      </c>
      <c r="BG72" s="401">
        <v>-2.1078216065242059E-2</v>
      </c>
      <c r="BH72" s="400">
        <f>IFERROR(BH71/BH38,0)</f>
        <v>-7.3802344245336063E-2</v>
      </c>
      <c r="BI72" s="401">
        <v>-7.3802344245336063E-2</v>
      </c>
      <c r="BJ72" s="400">
        <f>IFERROR(BJ71/BJ38,0)</f>
        <v>0.12712352328415749</v>
      </c>
      <c r="BK72" s="401">
        <v>0.12712352328415749</v>
      </c>
      <c r="BL72" s="400">
        <f>IFERROR(BL71/BL38,0)</f>
        <v>0.19310363510900791</v>
      </c>
      <c r="BM72" s="400">
        <f>IFERROR(BM71/BM38,0)</f>
        <v>-3.3055560373973954E-2</v>
      </c>
      <c r="BN72" s="400">
        <f>IFERROR(BN71/BN38,0)</f>
        <v>-0.14701837802256881</v>
      </c>
      <c r="BO72" s="401">
        <v>2.6262453836166013E-2</v>
      </c>
      <c r="BP72" s="400">
        <v>5.39544408676189E-2</v>
      </c>
      <c r="BQ72" s="400"/>
      <c r="BR72" s="351"/>
      <c r="BS72" s="400">
        <f>IFERROR(BS71/BS38,0)</f>
        <v>-1.5791650500044982E-2</v>
      </c>
      <c r="BT72" s="401">
        <v>-1.5791650500044982E-2</v>
      </c>
      <c r="BU72" s="400">
        <f>IFERROR(BU71/BU38,0)</f>
        <v>-5.088038886465706E-2</v>
      </c>
      <c r="BV72" s="400">
        <f>IFERROR(BV71/BV38,0)</f>
        <v>-0.48661357871155081</v>
      </c>
      <c r="BW72" s="401">
        <v>-6.3651646859170061E-2</v>
      </c>
      <c r="BX72" s="400">
        <f>IFERROR(BX71/BX38,0)</f>
        <v>5.0401556969071849E-3</v>
      </c>
      <c r="BY72" s="400">
        <f>IFERROR(BY71/BY38,0)</f>
        <v>-0.29689477490321414</v>
      </c>
      <c r="BZ72" s="400">
        <f>IFERROR(BZ71/BZ38,0)</f>
        <v>-7.018233452047694E-3</v>
      </c>
      <c r="CA72" s="401">
        <v>-1.0075139265088318E-2</v>
      </c>
      <c r="CB72" s="400">
        <f>IFERROR(CB71/CB38,0)</f>
        <v>0.23183252012618702</v>
      </c>
      <c r="CC72" s="401">
        <v>0.23183252012618702</v>
      </c>
      <c r="CD72" s="400">
        <f>IFERROR(CD71/CD38,0)</f>
        <v>0.19173068615394229</v>
      </c>
      <c r="CE72" s="400">
        <f>IFERROR(CE71/CE38,0)</f>
        <v>9.7835440825488812E-2</v>
      </c>
      <c r="CF72" s="400">
        <f>IFERROR(CF71/CF38,0)</f>
        <v>0.13091293459529482</v>
      </c>
      <c r="CG72" s="401">
        <v>0.16900908244292781</v>
      </c>
      <c r="CH72" s="400">
        <v>9.409408231648389E-2</v>
      </c>
      <c r="CI72" s="400"/>
      <c r="CJ72" s="399"/>
      <c r="CK72" s="400">
        <f>IFERROR(CK71/CK38,0)</f>
        <v>9.0537019546099079E-2</v>
      </c>
      <c r="CL72" s="400">
        <f>IFERROR(CL71/CL38,0)</f>
        <v>0.16215319933298555</v>
      </c>
      <c r="CM72" s="401">
        <v>0.12728984742998356</v>
      </c>
      <c r="CN72" s="400">
        <f>IFERROR(CN71/CN38,0)</f>
        <v>-0.33466410217829534</v>
      </c>
      <c r="CO72" s="401">
        <v>-0.33466410217829534</v>
      </c>
      <c r="CP72" s="400">
        <f>IFERROR(CP71/CP38,0)</f>
        <v>3.9135221494662274E-2</v>
      </c>
      <c r="CQ72" s="401">
        <v>3.9135221494662274E-2</v>
      </c>
      <c r="CR72" s="400">
        <f>IFERROR(CR71/CR38,0)</f>
        <v>-0.19691363717249524</v>
      </c>
      <c r="CS72" s="401">
        <v>-0.19691363717249524</v>
      </c>
      <c r="CT72" s="400"/>
      <c r="CU72" s="401">
        <v>0.24262096088201848</v>
      </c>
      <c r="CV72" s="400">
        <f>IFERROR(CV71/CV38,0)</f>
        <v>-0.78768499015405702</v>
      </c>
      <c r="CW72" s="401">
        <v>-0.78768499015405702</v>
      </c>
      <c r="CX72" s="400">
        <v>-4.918877061795765E-2</v>
      </c>
      <c r="CY72" s="400"/>
      <c r="CZ72" s="399"/>
    </row>
    <row r="73" spans="1:110" outlineLevel="1">
      <c r="P73" s="443"/>
      <c r="T73" s="443"/>
      <c r="AE73" s="443"/>
      <c r="AL73" s="443"/>
      <c r="AO73" s="443"/>
      <c r="AQ73" s="443"/>
      <c r="AU73" s="195"/>
      <c r="AV73" s="195"/>
      <c r="AW73" s="195"/>
      <c r="AX73" s="195"/>
      <c r="AY73" s="195"/>
      <c r="AZ73" s="195"/>
      <c r="BA73" s="444"/>
      <c r="BB73" s="195"/>
      <c r="BC73" s="444"/>
      <c r="BD73" s="195"/>
      <c r="BE73" s="444"/>
      <c r="BF73" s="195"/>
      <c r="BG73" s="444"/>
      <c r="BH73" s="195"/>
      <c r="BI73" s="444"/>
      <c r="BJ73" s="195"/>
      <c r="BK73" s="444"/>
      <c r="BL73" s="195"/>
      <c r="BM73" s="195"/>
      <c r="BN73" s="195"/>
      <c r="BO73" s="444"/>
      <c r="BP73" s="195"/>
      <c r="BQ73" s="195"/>
      <c r="BR73" s="351"/>
      <c r="BS73" s="195"/>
      <c r="BT73" s="444"/>
      <c r="BU73" s="195"/>
      <c r="BV73" s="195"/>
      <c r="BW73" s="444"/>
      <c r="BX73" s="195"/>
      <c r="BY73" s="195"/>
      <c r="BZ73" s="195"/>
      <c r="CA73" s="444"/>
      <c r="CB73" s="195"/>
      <c r="CC73" s="444"/>
      <c r="CD73" s="195"/>
      <c r="CE73" s="195"/>
      <c r="CF73" s="195"/>
      <c r="CG73" s="444"/>
      <c r="CH73" s="195"/>
      <c r="CI73" s="195"/>
      <c r="CK73" s="195"/>
      <c r="CL73" s="195"/>
      <c r="CM73" s="444"/>
      <c r="CN73" s="195"/>
      <c r="CO73" s="444"/>
      <c r="CP73" s="195"/>
      <c r="CQ73" s="444"/>
      <c r="CR73" s="195"/>
      <c r="CS73" s="444"/>
      <c r="CT73" s="195"/>
      <c r="CU73" s="444"/>
      <c r="CV73" s="195"/>
      <c r="CW73" s="444"/>
      <c r="CX73" s="195"/>
      <c r="CY73" s="195"/>
    </row>
    <row r="74" spans="1:110">
      <c r="C74" s="288" t="s">
        <v>1371</v>
      </c>
      <c r="D74" s="370" t="s">
        <v>1338</v>
      </c>
      <c r="E74" s="422" t="s">
        <v>1354</v>
      </c>
      <c r="F74" s="445" t="s">
        <v>1372</v>
      </c>
      <c r="G74" s="403"/>
      <c r="H74" s="344">
        <f t="shared" ref="H74:O76" si="146">$P74*H$21</f>
        <v>-1763.091613825502</v>
      </c>
      <c r="I74" s="344">
        <f t="shared" si="146"/>
        <v>-667.11574577181159</v>
      </c>
      <c r="J74" s="344">
        <f t="shared" si="146"/>
        <v>-47.651124697986539</v>
      </c>
      <c r="K74" s="344">
        <f t="shared" si="146"/>
        <v>-238.2556234899327</v>
      </c>
      <c r="L74" s="344">
        <f t="shared" si="146"/>
        <v>-905.37136926174435</v>
      </c>
      <c r="M74" s="344">
        <f t="shared" si="146"/>
        <v>-2859.0674818791922</v>
      </c>
      <c r="N74" s="344">
        <f t="shared" si="146"/>
        <v>-142.95337409395961</v>
      </c>
      <c r="O74" s="344">
        <f t="shared" si="146"/>
        <v>-476.5112469798654</v>
      </c>
      <c r="P74" s="366">
        <v>-7100.0175799999943</v>
      </c>
      <c r="Q74" s="344">
        <f t="shared" ref="Q74:S76" si="147">$T74*Q$21</f>
        <v>0</v>
      </c>
      <c r="R74" s="344">
        <f t="shared" si="147"/>
        <v>0</v>
      </c>
      <c r="S74" s="344">
        <f t="shared" si="147"/>
        <v>0</v>
      </c>
      <c r="T74" s="366">
        <v>0</v>
      </c>
      <c r="U74" s="344">
        <f t="shared" ref="U74:AD76" si="148">$AE74*U$21</f>
        <v>0</v>
      </c>
      <c r="V74" s="344">
        <f t="shared" si="148"/>
        <v>0</v>
      </c>
      <c r="W74" s="344">
        <f t="shared" si="148"/>
        <v>0</v>
      </c>
      <c r="X74" s="344">
        <f t="shared" si="148"/>
        <v>0</v>
      </c>
      <c r="Y74" s="344">
        <f t="shared" si="148"/>
        <v>0</v>
      </c>
      <c r="Z74" s="344">
        <f t="shared" si="148"/>
        <v>0</v>
      </c>
      <c r="AA74" s="344">
        <f t="shared" si="148"/>
        <v>0</v>
      </c>
      <c r="AB74" s="344">
        <f t="shared" si="148"/>
        <v>0</v>
      </c>
      <c r="AC74" s="344">
        <f t="shared" si="148"/>
        <v>0</v>
      </c>
      <c r="AD74" s="344">
        <f t="shared" si="148"/>
        <v>0</v>
      </c>
      <c r="AE74" s="366">
        <v>0</v>
      </c>
      <c r="AF74" s="344">
        <f t="shared" ref="AF74:AK76" si="149">$AL74*AF$21</f>
        <v>-776.03505513513483</v>
      </c>
      <c r="AG74" s="344">
        <f t="shared" si="149"/>
        <v>-571.81530378378363</v>
      </c>
      <c r="AH74" s="344">
        <f t="shared" si="149"/>
        <v>-40.843950270270255</v>
      </c>
      <c r="AI74" s="344">
        <f t="shared" si="149"/>
        <v>-40.843950270270255</v>
      </c>
      <c r="AJ74" s="344">
        <f t="shared" si="149"/>
        <v>-40.843950270270255</v>
      </c>
      <c r="AK74" s="344">
        <f t="shared" si="149"/>
        <v>-40.843950270270255</v>
      </c>
      <c r="AL74" s="366">
        <v>-1511.2261599999995</v>
      </c>
      <c r="AM74" s="344">
        <f t="shared" ref="AM74:AN76" si="150">$AO74*AM$21</f>
        <v>0</v>
      </c>
      <c r="AN74" s="344">
        <f t="shared" si="150"/>
        <v>0</v>
      </c>
      <c r="AO74" s="366">
        <v>0</v>
      </c>
      <c r="AP74" s="344">
        <f>$AQ74*AP$21</f>
        <v>0</v>
      </c>
      <c r="AQ74" s="366">
        <v>0</v>
      </c>
      <c r="AR74" s="344">
        <v>-8611.2437399999944</v>
      </c>
      <c r="AU74" s="367">
        <f t="shared" ref="AU74:AZ76" si="151">$BA74*AU$21</f>
        <v>-2110.8431352272723</v>
      </c>
      <c r="AV74" s="367">
        <f t="shared" si="151"/>
        <v>-100.51633977272725</v>
      </c>
      <c r="AW74" s="367">
        <f t="shared" si="151"/>
        <v>-1206.1960772727268</v>
      </c>
      <c r="AX74" s="367">
        <f t="shared" si="151"/>
        <v>-2613.4248340909085</v>
      </c>
      <c r="AY74" s="367">
        <f t="shared" si="151"/>
        <v>-1809.2941159090904</v>
      </c>
      <c r="AZ74" s="367">
        <f t="shared" si="151"/>
        <v>-1005.1633977272724</v>
      </c>
      <c r="BA74" s="368">
        <v>-8845.4378999999972</v>
      </c>
      <c r="BB74" s="367">
        <f>$BC74*BB$21</f>
        <v>0</v>
      </c>
      <c r="BC74" s="368">
        <v>0</v>
      </c>
      <c r="BD74" s="367">
        <f>$BE74*BD$21</f>
        <v>0</v>
      </c>
      <c r="BE74" s="368">
        <v>0</v>
      </c>
      <c r="BF74" s="367">
        <f>$BG74*BF$21</f>
        <v>0</v>
      </c>
      <c r="BG74" s="368">
        <v>0</v>
      </c>
      <c r="BH74" s="367">
        <f>$BI74*BH$21</f>
        <v>0</v>
      </c>
      <c r="BI74" s="368">
        <v>0</v>
      </c>
      <c r="BJ74" s="367">
        <f>$BK74*BJ$21</f>
        <v>0</v>
      </c>
      <c r="BK74" s="368">
        <v>0</v>
      </c>
      <c r="BL74" s="367">
        <f t="shared" ref="BL74:BN76" si="152">$BO74*BL$21</f>
        <v>0</v>
      </c>
      <c r="BM74" s="367">
        <f t="shared" si="152"/>
        <v>0</v>
      </c>
      <c r="BN74" s="367">
        <f t="shared" si="152"/>
        <v>0</v>
      </c>
      <c r="BO74" s="368">
        <v>0</v>
      </c>
      <c r="BP74" s="367">
        <v>-8845.4378999999972</v>
      </c>
      <c r="BQ74" s="367"/>
      <c r="BR74" s="351"/>
      <c r="BS74" s="367">
        <f>$BT74*BS$21</f>
        <v>-2696.672239999999</v>
      </c>
      <c r="BT74" s="368">
        <v>-2696.672239999999</v>
      </c>
      <c r="BU74" s="367">
        <f t="shared" ref="BU74:BV76" si="153">$BW74*BU$21</f>
        <v>0</v>
      </c>
      <c r="BV74" s="367">
        <f t="shared" si="153"/>
        <v>0</v>
      </c>
      <c r="BW74" s="368">
        <v>0</v>
      </c>
      <c r="BX74" s="367">
        <f t="shared" ref="BX74:BZ76" si="154">$CA74*BX$21</f>
        <v>-714.87172571428562</v>
      </c>
      <c r="BY74" s="367">
        <f t="shared" si="154"/>
        <v>-59.572643809523804</v>
      </c>
      <c r="BZ74" s="367">
        <f t="shared" si="154"/>
        <v>-476.58115047619043</v>
      </c>
      <c r="CA74" s="368">
        <v>-1251.0255199999999</v>
      </c>
      <c r="CB74" s="367">
        <f>$CC74*CB$21</f>
        <v>0</v>
      </c>
      <c r="CC74" s="368">
        <v>0</v>
      </c>
      <c r="CD74" s="367">
        <f t="shared" ref="CD74:CF76" si="155">$CG74*CD$21</f>
        <v>0</v>
      </c>
      <c r="CE74" s="367">
        <f t="shared" si="155"/>
        <v>0</v>
      </c>
      <c r="CF74" s="367">
        <f t="shared" si="155"/>
        <v>0</v>
      </c>
      <c r="CG74" s="368">
        <v>0</v>
      </c>
      <c r="CH74" s="367">
        <v>-3947.6977599999991</v>
      </c>
      <c r="CI74" s="367"/>
      <c r="CK74" s="367">
        <f t="shared" ref="CK74:CL76" si="156">$CM74*CK$21</f>
        <v>0</v>
      </c>
      <c r="CL74" s="367">
        <f t="shared" si="156"/>
        <v>0</v>
      </c>
      <c r="CM74" s="368">
        <v>0</v>
      </c>
      <c r="CN74" s="367">
        <f>$CO74*CN$21</f>
        <v>0</v>
      </c>
      <c r="CO74" s="368">
        <v>0</v>
      </c>
      <c r="CP74" s="367">
        <f>$CQ74*CP$21</f>
        <v>0</v>
      </c>
      <c r="CQ74" s="368">
        <v>0</v>
      </c>
      <c r="CR74" s="367">
        <f>$CS74*CR$21</f>
        <v>0</v>
      </c>
      <c r="CS74" s="368">
        <v>0</v>
      </c>
      <c r="CT74" s="367"/>
      <c r="CU74" s="368">
        <v>0</v>
      </c>
      <c r="CV74" s="367">
        <f>$CW74*CV$21</f>
        <v>0</v>
      </c>
      <c r="CW74" s="368">
        <v>0</v>
      </c>
      <c r="CX74" s="367">
        <v>0</v>
      </c>
      <c r="CY74" s="367"/>
    </row>
    <row r="75" spans="1:110" s="446" customFormat="1">
      <c r="C75" s="447"/>
      <c r="D75" s="448"/>
      <c r="E75" s="422" t="s">
        <v>1354</v>
      </c>
      <c r="F75" s="449" t="s">
        <v>1372</v>
      </c>
      <c r="G75" s="450"/>
      <c r="H75" s="451">
        <f t="shared" si="146"/>
        <v>786.70621822222165</v>
      </c>
      <c r="I75" s="451">
        <f t="shared" si="146"/>
        <v>297.67262311111091</v>
      </c>
      <c r="J75" s="451">
        <f t="shared" si="146"/>
        <v>21.262330222222207</v>
      </c>
      <c r="K75" s="451">
        <f t="shared" si="146"/>
        <v>106.31165111111103</v>
      </c>
      <c r="L75" s="451">
        <f t="shared" si="146"/>
        <v>403.98427422222198</v>
      </c>
      <c r="M75" s="451">
        <f t="shared" si="146"/>
        <v>1275.7398133333324</v>
      </c>
      <c r="N75" s="451">
        <f t="shared" si="146"/>
        <v>63.786990666666618</v>
      </c>
      <c r="O75" s="451">
        <f t="shared" si="146"/>
        <v>212.62330222222207</v>
      </c>
      <c r="P75" s="452">
        <v>3168.0872031111089</v>
      </c>
      <c r="Q75" s="451">
        <f t="shared" si="147"/>
        <v>85.049320888888829</v>
      </c>
      <c r="R75" s="451">
        <f t="shared" si="147"/>
        <v>21.262330222222207</v>
      </c>
      <c r="S75" s="451">
        <f t="shared" si="147"/>
        <v>21.262330222222207</v>
      </c>
      <c r="T75" s="452">
        <v>127.57398133333325</v>
      </c>
      <c r="U75" s="451">
        <f t="shared" si="148"/>
        <v>1275.7398133333324</v>
      </c>
      <c r="V75" s="451">
        <f t="shared" si="148"/>
        <v>63.786990666666618</v>
      </c>
      <c r="W75" s="451">
        <f t="shared" si="148"/>
        <v>21.262330222222207</v>
      </c>
      <c r="X75" s="451">
        <f t="shared" si="148"/>
        <v>1254.4774831111101</v>
      </c>
      <c r="Y75" s="451">
        <f t="shared" si="148"/>
        <v>42.524660444444415</v>
      </c>
      <c r="Z75" s="451">
        <f t="shared" si="148"/>
        <v>21.262330222222207</v>
      </c>
      <c r="AA75" s="451">
        <f t="shared" si="148"/>
        <v>616.60757644444391</v>
      </c>
      <c r="AB75" s="451">
        <f t="shared" si="148"/>
        <v>42.524660444444415</v>
      </c>
      <c r="AC75" s="451">
        <f t="shared" si="148"/>
        <v>21.262330222222207</v>
      </c>
      <c r="AD75" s="451">
        <f t="shared" si="148"/>
        <v>21.262330222222207</v>
      </c>
      <c r="AE75" s="452">
        <v>3380.7105053333307</v>
      </c>
      <c r="AF75" s="451">
        <f t="shared" si="149"/>
        <v>403.98427422222193</v>
      </c>
      <c r="AG75" s="451">
        <f t="shared" si="149"/>
        <v>297.67262311111091</v>
      </c>
      <c r="AH75" s="451">
        <f t="shared" si="149"/>
        <v>21.262330222222207</v>
      </c>
      <c r="AI75" s="451">
        <f t="shared" si="149"/>
        <v>21.262330222222207</v>
      </c>
      <c r="AJ75" s="451">
        <f t="shared" si="149"/>
        <v>21.262330222222207</v>
      </c>
      <c r="AK75" s="451">
        <f t="shared" si="149"/>
        <v>21.262330222222207</v>
      </c>
      <c r="AL75" s="452">
        <v>786.70621822222165</v>
      </c>
      <c r="AM75" s="451">
        <f t="shared" si="150"/>
        <v>999.32952044444357</v>
      </c>
      <c r="AN75" s="451">
        <f t="shared" si="150"/>
        <v>85.049320888888829</v>
      </c>
      <c r="AO75" s="452">
        <v>1084.3788413333325</v>
      </c>
      <c r="AP75" s="451">
        <f>$AQ75*AP$21</f>
        <v>63.786990666666625</v>
      </c>
      <c r="AQ75" s="452">
        <v>63.786990666666625</v>
      </c>
      <c r="AR75" s="453">
        <v>8611.2437399999944</v>
      </c>
      <c r="AT75" s="454"/>
      <c r="AU75" s="455">
        <f t="shared" si="151"/>
        <v>1498.0177088709675</v>
      </c>
      <c r="AV75" s="455">
        <f t="shared" si="151"/>
        <v>71.334176612903207</v>
      </c>
      <c r="AW75" s="455">
        <f t="shared" si="151"/>
        <v>856.01011935483837</v>
      </c>
      <c r="AX75" s="455">
        <f t="shared" si="151"/>
        <v>1854.6885919354834</v>
      </c>
      <c r="AY75" s="455">
        <f t="shared" si="151"/>
        <v>1284.0151790322577</v>
      </c>
      <c r="AZ75" s="455">
        <f t="shared" si="151"/>
        <v>713.34176612903207</v>
      </c>
      <c r="BA75" s="456">
        <v>6277.4075419354822</v>
      </c>
      <c r="BB75" s="455">
        <f>$BC75*BB$21</f>
        <v>214.00252983870962</v>
      </c>
      <c r="BC75" s="456">
        <v>214.00252983870962</v>
      </c>
      <c r="BD75" s="455">
        <f>$BE75*BD$21</f>
        <v>142.66835322580641</v>
      </c>
      <c r="BE75" s="456">
        <v>142.66835322580641</v>
      </c>
      <c r="BF75" s="455">
        <f>$BG75*BF$21</f>
        <v>214.00252983870962</v>
      </c>
      <c r="BG75" s="456">
        <v>214.00252983870962</v>
      </c>
      <c r="BH75" s="455">
        <f>$BI75*BH$21</f>
        <v>1498.0177088709675</v>
      </c>
      <c r="BI75" s="456">
        <v>1498.0177088709675</v>
      </c>
      <c r="BJ75" s="455">
        <f>$BK75*BJ$21</f>
        <v>214.00252983870962</v>
      </c>
      <c r="BK75" s="456">
        <v>214.00252983870962</v>
      </c>
      <c r="BL75" s="455">
        <f t="shared" si="152"/>
        <v>71.334176612903207</v>
      </c>
      <c r="BM75" s="455">
        <f t="shared" si="152"/>
        <v>142.66835322580641</v>
      </c>
      <c r="BN75" s="455">
        <f t="shared" si="152"/>
        <v>71.334176612903207</v>
      </c>
      <c r="BO75" s="456">
        <v>285.33670645161283</v>
      </c>
      <c r="BP75" s="457">
        <v>8845.437899999999</v>
      </c>
      <c r="BQ75" s="457"/>
      <c r="BR75" s="351"/>
      <c r="BS75" s="455">
        <f>$BT75*BS$21</f>
        <v>328.97481333333326</v>
      </c>
      <c r="BT75" s="456">
        <v>328.97481333333326</v>
      </c>
      <c r="BU75" s="455">
        <f t="shared" si="153"/>
        <v>863.5588849999998</v>
      </c>
      <c r="BV75" s="455">
        <f t="shared" si="153"/>
        <v>41.121851666666657</v>
      </c>
      <c r="BW75" s="456">
        <v>904.68073666666646</v>
      </c>
      <c r="BX75" s="455">
        <f t="shared" si="154"/>
        <v>493.46221999999989</v>
      </c>
      <c r="BY75" s="455">
        <f t="shared" si="154"/>
        <v>41.121851666666657</v>
      </c>
      <c r="BZ75" s="455">
        <f t="shared" si="154"/>
        <v>328.97481333333326</v>
      </c>
      <c r="CA75" s="456">
        <v>863.5588849999998</v>
      </c>
      <c r="CB75" s="455">
        <f>$CC75*CB$21</f>
        <v>1151.4118466666664</v>
      </c>
      <c r="CC75" s="456">
        <v>1151.4118466666664</v>
      </c>
      <c r="CD75" s="455">
        <f t="shared" si="155"/>
        <v>493.46221999999995</v>
      </c>
      <c r="CE75" s="455">
        <f t="shared" si="155"/>
        <v>164.48740666666663</v>
      </c>
      <c r="CF75" s="455">
        <f t="shared" si="155"/>
        <v>41.121851666666657</v>
      </c>
      <c r="CG75" s="456">
        <v>699.07147833333318</v>
      </c>
      <c r="CH75" s="457">
        <v>3947.6977599999991</v>
      </c>
      <c r="CI75" s="457"/>
      <c r="CJ75" s="454"/>
      <c r="CK75" s="455">
        <f t="shared" si="156"/>
        <v>0</v>
      </c>
      <c r="CL75" s="455">
        <f t="shared" si="156"/>
        <v>0</v>
      </c>
      <c r="CM75" s="456">
        <v>0</v>
      </c>
      <c r="CN75" s="455">
        <f>$CO75*CN$21</f>
        <v>0</v>
      </c>
      <c r="CO75" s="456">
        <v>0</v>
      </c>
      <c r="CP75" s="455">
        <f>$CQ75*CP$21</f>
        <v>0</v>
      </c>
      <c r="CQ75" s="456">
        <v>0</v>
      </c>
      <c r="CR75" s="455">
        <f>$CS75*CR$21</f>
        <v>0</v>
      </c>
      <c r="CS75" s="456">
        <v>0</v>
      </c>
      <c r="CT75" s="455"/>
      <c r="CU75" s="456">
        <v>0</v>
      </c>
      <c r="CV75" s="455">
        <f>$CW75*CV$21</f>
        <v>0</v>
      </c>
      <c r="CW75" s="456">
        <v>0</v>
      </c>
      <c r="CX75" s="457">
        <v>0</v>
      </c>
      <c r="CY75" s="457"/>
      <c r="CZ75" s="454"/>
    </row>
    <row r="76" spans="1:110" s="278" customFormat="1">
      <c r="C76" s="288"/>
      <c r="D76" s="346"/>
      <c r="E76" s="422" t="s">
        <v>1354</v>
      </c>
      <c r="F76" s="449" t="s">
        <v>1357</v>
      </c>
      <c r="G76" s="450"/>
      <c r="H76" s="451">
        <f t="shared" si="146"/>
        <v>1650.8441465302712</v>
      </c>
      <c r="I76" s="451">
        <f t="shared" si="146"/>
        <v>624.64373111956206</v>
      </c>
      <c r="J76" s="451">
        <f t="shared" si="146"/>
        <v>44.617409365683002</v>
      </c>
      <c r="K76" s="451">
        <f t="shared" si="146"/>
        <v>223.08704682841503</v>
      </c>
      <c r="L76" s="451">
        <f t="shared" si="146"/>
        <v>847.73077794797712</v>
      </c>
      <c r="M76" s="451">
        <f t="shared" si="146"/>
        <v>2677.0445619409802</v>
      </c>
      <c r="N76" s="451">
        <f t="shared" si="146"/>
        <v>133.85222809704899</v>
      </c>
      <c r="O76" s="451">
        <f t="shared" si="146"/>
        <v>446.17409365683005</v>
      </c>
      <c r="P76" s="452">
        <v>6647.9939954867677</v>
      </c>
      <c r="Q76" s="451">
        <f t="shared" si="147"/>
        <v>178.46963746273201</v>
      </c>
      <c r="R76" s="451">
        <f t="shared" si="147"/>
        <v>44.617409365683002</v>
      </c>
      <c r="S76" s="451">
        <f t="shared" si="147"/>
        <v>44.617409365683002</v>
      </c>
      <c r="T76" s="452">
        <v>267.70445619409804</v>
      </c>
      <c r="U76" s="451">
        <f t="shared" si="148"/>
        <v>2677.0445619409802</v>
      </c>
      <c r="V76" s="451">
        <f t="shared" si="148"/>
        <v>133.85222809704899</v>
      </c>
      <c r="W76" s="451">
        <f t="shared" si="148"/>
        <v>44.617409365683002</v>
      </c>
      <c r="X76" s="451">
        <f t="shared" si="148"/>
        <v>2632.427152575297</v>
      </c>
      <c r="Y76" s="451">
        <f t="shared" si="148"/>
        <v>89.234818731366005</v>
      </c>
      <c r="Z76" s="451">
        <f t="shared" si="148"/>
        <v>44.617409365683002</v>
      </c>
      <c r="AA76" s="451">
        <f t="shared" si="148"/>
        <v>1293.9048716048069</v>
      </c>
      <c r="AB76" s="451">
        <f t="shared" si="148"/>
        <v>89.234818731366005</v>
      </c>
      <c r="AC76" s="451">
        <f t="shared" si="148"/>
        <v>44.617409365683002</v>
      </c>
      <c r="AD76" s="451">
        <f t="shared" si="148"/>
        <v>44.617409365683002</v>
      </c>
      <c r="AE76" s="452">
        <v>7094.1680891435972</v>
      </c>
      <c r="AF76" s="451">
        <f t="shared" si="149"/>
        <v>847.730777947977</v>
      </c>
      <c r="AG76" s="451">
        <f t="shared" si="149"/>
        <v>624.64373111956206</v>
      </c>
      <c r="AH76" s="451">
        <f t="shared" si="149"/>
        <v>44.617409365683002</v>
      </c>
      <c r="AI76" s="451">
        <f t="shared" si="149"/>
        <v>44.617409365683002</v>
      </c>
      <c r="AJ76" s="451">
        <f t="shared" si="149"/>
        <v>44.617409365683002</v>
      </c>
      <c r="AK76" s="451">
        <f t="shared" si="149"/>
        <v>44.617409365683002</v>
      </c>
      <c r="AL76" s="452">
        <v>1650.844146530271</v>
      </c>
      <c r="AM76" s="451">
        <f t="shared" si="150"/>
        <v>2097.0182401871011</v>
      </c>
      <c r="AN76" s="451">
        <f t="shared" si="150"/>
        <v>178.46963746273201</v>
      </c>
      <c r="AO76" s="452">
        <v>2275.4878776498331</v>
      </c>
      <c r="AP76" s="451">
        <f>$AQ76*AP$21</f>
        <v>133.85222809704902</v>
      </c>
      <c r="AQ76" s="452">
        <v>133.85222809704902</v>
      </c>
      <c r="AR76" s="453">
        <v>18070.050793101618</v>
      </c>
      <c r="AT76" s="351"/>
      <c r="AU76" s="455">
        <f t="shared" si="151"/>
        <v>936.96559667934309</v>
      </c>
      <c r="AV76" s="455">
        <f t="shared" si="151"/>
        <v>44.617409365683002</v>
      </c>
      <c r="AW76" s="455">
        <f t="shared" si="151"/>
        <v>535.40891238819597</v>
      </c>
      <c r="AX76" s="455">
        <f t="shared" si="151"/>
        <v>1160.0526435077581</v>
      </c>
      <c r="AY76" s="455">
        <f t="shared" si="151"/>
        <v>803.11336858229413</v>
      </c>
      <c r="AZ76" s="455">
        <f t="shared" si="151"/>
        <v>446.17409365683</v>
      </c>
      <c r="BA76" s="456">
        <v>3926.3320241801043</v>
      </c>
      <c r="BB76" s="455">
        <f>$BC76*BB$21</f>
        <v>133.85222809704902</v>
      </c>
      <c r="BC76" s="456">
        <v>133.85222809704902</v>
      </c>
      <c r="BD76" s="455">
        <f>$BE76*BD$21</f>
        <v>89.234818731366005</v>
      </c>
      <c r="BE76" s="456">
        <v>89.234818731366005</v>
      </c>
      <c r="BF76" s="455">
        <f>$BG76*BF$21</f>
        <v>133.85222809704902</v>
      </c>
      <c r="BG76" s="456">
        <v>133.85222809704902</v>
      </c>
      <c r="BH76" s="455">
        <f>$BI76*BH$21</f>
        <v>936.96559667934309</v>
      </c>
      <c r="BI76" s="456">
        <v>936.96559667934309</v>
      </c>
      <c r="BJ76" s="455">
        <f>$BK76*BJ$21</f>
        <v>133.85222809704902</v>
      </c>
      <c r="BK76" s="456">
        <v>133.85222809704902</v>
      </c>
      <c r="BL76" s="455">
        <f t="shared" si="152"/>
        <v>44.617409365683002</v>
      </c>
      <c r="BM76" s="455">
        <f t="shared" si="152"/>
        <v>89.234818731366005</v>
      </c>
      <c r="BN76" s="455">
        <f t="shared" si="152"/>
        <v>44.617409365683002</v>
      </c>
      <c r="BO76" s="456">
        <v>178.46963746273201</v>
      </c>
      <c r="BP76" s="457">
        <v>5532.5587613446933</v>
      </c>
      <c r="BQ76" s="457"/>
      <c r="BR76" s="351"/>
      <c r="BS76" s="455">
        <f>$BT76*BS$21</f>
        <v>356.93927492546402</v>
      </c>
      <c r="BT76" s="456">
        <v>356.93927492546402</v>
      </c>
      <c r="BU76" s="455">
        <f t="shared" si="153"/>
        <v>936.96559667934309</v>
      </c>
      <c r="BV76" s="455">
        <f t="shared" si="153"/>
        <v>44.617409365683002</v>
      </c>
      <c r="BW76" s="456">
        <v>981.58300604502608</v>
      </c>
      <c r="BX76" s="455">
        <f t="shared" si="154"/>
        <v>535.40891238819597</v>
      </c>
      <c r="BY76" s="455">
        <f t="shared" si="154"/>
        <v>44.617409365683002</v>
      </c>
      <c r="BZ76" s="455">
        <f t="shared" si="154"/>
        <v>356.93927492546402</v>
      </c>
      <c r="CA76" s="456">
        <v>936.96559667934309</v>
      </c>
      <c r="CB76" s="455">
        <f>$CC76*CB$21</f>
        <v>1249.2874622391241</v>
      </c>
      <c r="CC76" s="456">
        <v>1249.2874622391241</v>
      </c>
      <c r="CD76" s="455">
        <f t="shared" si="155"/>
        <v>535.40891238819609</v>
      </c>
      <c r="CE76" s="455">
        <f t="shared" si="155"/>
        <v>178.46963746273201</v>
      </c>
      <c r="CF76" s="455">
        <f t="shared" si="155"/>
        <v>44.617409365683002</v>
      </c>
      <c r="CG76" s="456">
        <v>758.49595921661103</v>
      </c>
      <c r="CH76" s="457">
        <v>4283.2712991055687</v>
      </c>
      <c r="CI76" s="457"/>
      <c r="CJ76" s="351"/>
      <c r="CK76" s="455">
        <f t="shared" si="156"/>
        <v>401.55668429114701</v>
      </c>
      <c r="CL76" s="455">
        <f t="shared" si="156"/>
        <v>312.32186555978103</v>
      </c>
      <c r="CM76" s="456">
        <v>713.87854985092804</v>
      </c>
      <c r="CN76" s="455">
        <f>$CO76*CN$21</f>
        <v>267.70445619409804</v>
      </c>
      <c r="CO76" s="456">
        <v>267.70445619409804</v>
      </c>
      <c r="CP76" s="455">
        <f>$CQ76*CP$21</f>
        <v>133.85222809704902</v>
      </c>
      <c r="CQ76" s="456">
        <v>133.85222809704902</v>
      </c>
      <c r="CR76" s="455">
        <f>$CS76*CR$21</f>
        <v>223.087046828415</v>
      </c>
      <c r="CS76" s="456">
        <v>223.087046828415</v>
      </c>
      <c r="CT76" s="455"/>
      <c r="CU76" s="456">
        <v>0</v>
      </c>
      <c r="CV76" s="455">
        <f>$CW76*CV$21</f>
        <v>267.70445619409804</v>
      </c>
      <c r="CW76" s="456">
        <v>267.70445619409804</v>
      </c>
      <c r="CX76" s="457">
        <v>1606.226737164588</v>
      </c>
      <c r="CY76" s="457"/>
      <c r="CZ76" s="351"/>
    </row>
    <row r="77" spans="1:110" s="278" customFormat="1" ht="17.850000000000001" customHeight="1" thickBot="1">
      <c r="C77" s="288" t="s">
        <v>1368</v>
      </c>
      <c r="D77" s="346"/>
      <c r="E77" s="289"/>
      <c r="F77" s="437" t="s">
        <v>1368</v>
      </c>
      <c r="G77" s="236"/>
      <c r="H77" s="438">
        <f t="shared" ref="H77:O77" si="157">H70+H74+H75+H76</f>
        <v>50674.320891834504</v>
      </c>
      <c r="I77" s="438">
        <f t="shared" si="157"/>
        <v>19337.837366732074</v>
      </c>
      <c r="J77" s="438">
        <f t="shared" si="157"/>
        <v>1340.8847933701222</v>
      </c>
      <c r="K77" s="438">
        <f t="shared" si="157"/>
        <v>6226.6955524787681</v>
      </c>
      <c r="L77" s="438">
        <f t="shared" si="157"/>
        <v>25833.456509992506</v>
      </c>
      <c r="M77" s="438">
        <f t="shared" si="157"/>
        <v>83478.150604793511</v>
      </c>
      <c r="N77" s="438">
        <f t="shared" si="157"/>
        <v>4168.5827429392657</v>
      </c>
      <c r="O77" s="438">
        <f t="shared" si="157"/>
        <v>13901.9227755519</v>
      </c>
      <c r="P77" s="439">
        <v>204961.8512376927</v>
      </c>
      <c r="Q77" s="438">
        <f>Q70+Q74+Q75+Q76</f>
        <v>4376.9279246736287</v>
      </c>
      <c r="R77" s="438">
        <f>R70+R74+R75+R76</f>
        <v>1208.4187994515351</v>
      </c>
      <c r="S77" s="438">
        <f>S70+S74+S75+S76</f>
        <v>778.69058037957234</v>
      </c>
      <c r="T77" s="439">
        <v>6364.0373045047363</v>
      </c>
      <c r="U77" s="438">
        <f t="shared" ref="U77:AD77" si="158">U70+U74+U75+U76</f>
        <v>74918.809762522811</v>
      </c>
      <c r="V77" s="438">
        <f t="shared" si="158"/>
        <v>3850.9557231964855</v>
      </c>
      <c r="W77" s="438">
        <f t="shared" si="158"/>
        <v>1219.2528622800921</v>
      </c>
      <c r="X77" s="438">
        <f t="shared" si="158"/>
        <v>71914.109984298106</v>
      </c>
      <c r="Y77" s="438">
        <f t="shared" si="158"/>
        <v>2433.9484704402994</v>
      </c>
      <c r="Z77" s="438">
        <f t="shared" si="158"/>
        <v>1357.0457273699815</v>
      </c>
      <c r="AA77" s="438">
        <f t="shared" si="158"/>
        <v>34996.457963019297</v>
      </c>
      <c r="AB77" s="438">
        <f t="shared" si="158"/>
        <v>2464.991756708177</v>
      </c>
      <c r="AC77" s="438">
        <f t="shared" si="158"/>
        <v>837.02077837862248</v>
      </c>
      <c r="AD77" s="438">
        <f t="shared" si="158"/>
        <v>1201.635841784346</v>
      </c>
      <c r="AE77" s="439">
        <v>195194.22886999819</v>
      </c>
      <c r="AF77" s="438">
        <f t="shared" ref="AF77:AK77" si="159">AF70+AF74+AF75+AF76</f>
        <v>21901.102169760183</v>
      </c>
      <c r="AG77" s="438">
        <f t="shared" si="159"/>
        <v>15836.555525584305</v>
      </c>
      <c r="AH77" s="438">
        <f t="shared" si="159"/>
        <v>1080.707667957204</v>
      </c>
      <c r="AI77" s="438">
        <f t="shared" si="159"/>
        <v>1358.779669996135</v>
      </c>
      <c r="AJ77" s="438">
        <f t="shared" si="159"/>
        <v>1059.2133949968681</v>
      </c>
      <c r="AK77" s="438">
        <f t="shared" si="159"/>
        <v>1091.3040699222583</v>
      </c>
      <c r="AL77" s="439">
        <v>42327.662498216952</v>
      </c>
      <c r="AM77" s="438">
        <f>AM70+AM74+AM75+AM76</f>
        <v>63569.777648241878</v>
      </c>
      <c r="AN77" s="438">
        <f>AN70+AN74+AN75+AN76</f>
        <v>5067.4462087042248</v>
      </c>
      <c r="AO77" s="439">
        <v>68637.223856946119</v>
      </c>
      <c r="AP77" s="438">
        <f>AP70+AP74+AP75+AP76</f>
        <v>4319.7444026176927</v>
      </c>
      <c r="AQ77" s="439">
        <v>4319.7444026176927</v>
      </c>
      <c r="AR77" s="438">
        <v>521804.7481699764</v>
      </c>
      <c r="AT77" s="351"/>
      <c r="AU77" s="440">
        <f t="shared" ref="AU77:AZ77" si="160">AU70+AU74+AU75+AU76</f>
        <v>32831.982509546498</v>
      </c>
      <c r="AV77" s="440">
        <f t="shared" si="160"/>
        <v>1292.7575643604407</v>
      </c>
      <c r="AW77" s="440">
        <f t="shared" si="160"/>
        <v>18310.303498736634</v>
      </c>
      <c r="AX77" s="440">
        <f t="shared" si="160"/>
        <v>37043.370542233999</v>
      </c>
      <c r="AY77" s="440">
        <f t="shared" si="160"/>
        <v>28244.512137556096</v>
      </c>
      <c r="AZ77" s="440">
        <f t="shared" si="160"/>
        <v>16192.532787211629</v>
      </c>
      <c r="BA77" s="441">
        <v>133915.45903964527</v>
      </c>
      <c r="BB77" s="440">
        <f>BB70+BB74+BB75+BB76</f>
        <v>4385.6429268913289</v>
      </c>
      <c r="BC77" s="441">
        <v>4385.6429268913289</v>
      </c>
      <c r="BD77" s="440">
        <f>BD70+BD74+BD75+BD76</f>
        <v>4151.9814974246501</v>
      </c>
      <c r="BE77" s="441">
        <v>4151.9814974246501</v>
      </c>
      <c r="BF77" s="440">
        <f>BF70+BF74+BF75+BF76</f>
        <v>3858.7223920931751</v>
      </c>
      <c r="BG77" s="441">
        <v>3858.7223920931751</v>
      </c>
      <c r="BH77" s="440">
        <f>BH70+BH74+BH75+BH76</f>
        <v>41539.776117757545</v>
      </c>
      <c r="BI77" s="441">
        <v>41539.776117757545</v>
      </c>
      <c r="BJ77" s="440">
        <f>BJ70+BJ74+BJ75+BJ76</f>
        <v>5139.1595056991337</v>
      </c>
      <c r="BK77" s="441">
        <v>5139.1595056991337</v>
      </c>
      <c r="BL77" s="440">
        <f>BL70+BL74+BL75+BL76</f>
        <v>2037.637439573283</v>
      </c>
      <c r="BM77" s="440">
        <f>BM70+BM74+BM75+BM76</f>
        <v>3772.7560114940829</v>
      </c>
      <c r="BN77" s="440">
        <f>BN70+BN74+BN75+BN76</f>
        <v>1768.6004787416248</v>
      </c>
      <c r="BO77" s="441">
        <v>7578.9939298089894</v>
      </c>
      <c r="BP77" s="442">
        <v>200569.7354093201</v>
      </c>
      <c r="BQ77" s="344"/>
      <c r="BR77" s="351"/>
      <c r="BS77" s="440">
        <f>BS70+BS74+BS75+BS76</f>
        <v>10645.725016163875</v>
      </c>
      <c r="BT77" s="441">
        <v>10645.725016163875</v>
      </c>
      <c r="BU77" s="440">
        <f>BU70+BU74+BU75+BU76</f>
        <v>39750.236030717904</v>
      </c>
      <c r="BV77" s="440">
        <f>BV70+BV74+BV75+BV76</f>
        <v>1802.844373480744</v>
      </c>
      <c r="BW77" s="441">
        <v>41553.080404198641</v>
      </c>
      <c r="BX77" s="440">
        <f>BX70+BX74+BX75+BX76</f>
        <v>13597.052277525869</v>
      </c>
      <c r="BY77" s="440">
        <f>BY70+BY74+BY75+BY76</f>
        <v>1090.3299366348663</v>
      </c>
      <c r="BZ77" s="440">
        <f>BZ70+BZ74+BZ75+BZ76</f>
        <v>8944.9507050317825</v>
      </c>
      <c r="CA77" s="441">
        <v>23632.332919192519</v>
      </c>
      <c r="CB77" s="440">
        <f>CB70+CB74+CB75+CB76</f>
        <v>35604.708501036454</v>
      </c>
      <c r="CC77" s="441">
        <v>35604.708501036454</v>
      </c>
      <c r="CD77" s="440">
        <f>CD70+CD74+CD75+CD76</f>
        <v>13139.585232875119</v>
      </c>
      <c r="CE77" s="440">
        <f>CE70+CE74+CE75+CE76</f>
        <v>4183.3688951291324</v>
      </c>
      <c r="CF77" s="440">
        <f>CF70+CF74+CF75+CF76</f>
        <v>1220.4859275169663</v>
      </c>
      <c r="CG77" s="441">
        <v>18543.440055521216</v>
      </c>
      <c r="CH77" s="442">
        <v>129979.28689611271</v>
      </c>
      <c r="CI77" s="344"/>
      <c r="CJ77" s="351"/>
      <c r="CK77" s="440">
        <f>CK70+CK74+CK75+CK76</f>
        <v>16245.977674548625</v>
      </c>
      <c r="CL77" s="440">
        <f>CL70+CL74+CL75+CL76</f>
        <v>14190.711176228426</v>
      </c>
      <c r="CM77" s="441">
        <v>30436.693073084494</v>
      </c>
      <c r="CN77" s="440">
        <f>CN70+CN74+CN75+CN76</f>
        <v>9963.4345821209445</v>
      </c>
      <c r="CO77" s="441">
        <v>9963.4345821209445</v>
      </c>
      <c r="CP77" s="440">
        <f>CP70+CP74+CP75+CP76</f>
        <v>2861.9075053619486</v>
      </c>
      <c r="CQ77" s="441">
        <v>2861.9075053619486</v>
      </c>
      <c r="CR77" s="440">
        <f>CR70+CR74+CR75+CR76</f>
        <v>6600.1272801621699</v>
      </c>
      <c r="CS77" s="441">
        <v>6600.1272801621699</v>
      </c>
      <c r="CT77" s="440"/>
      <c r="CU77" s="441">
        <v>0.17082365850885661</v>
      </c>
      <c r="CV77" s="440">
        <f>CV70+CV74+CV75+CV76</f>
        <v>9035.3657098066124</v>
      </c>
      <c r="CW77" s="441">
        <v>9035.3657098066124</v>
      </c>
      <c r="CX77" s="442">
        <v>58897.698974194675</v>
      </c>
      <c r="CY77" s="344"/>
      <c r="CZ77" s="351"/>
    </row>
    <row r="78" spans="1:110" s="278" customFormat="1" ht="14.25" outlineLevel="1" thickTop="1" thickBot="1">
      <c r="C78" s="288"/>
      <c r="D78" s="346"/>
      <c r="E78" s="289"/>
      <c r="F78" s="386" t="s">
        <v>1373</v>
      </c>
      <c r="G78" s="236"/>
      <c r="H78" s="387">
        <f t="shared" ref="H78:O78" si="161">H48-H77</f>
        <v>11765.853320864873</v>
      </c>
      <c r="I78" s="387">
        <f t="shared" si="161"/>
        <v>6240.3191680374875</v>
      </c>
      <c r="J78" s="387">
        <f t="shared" si="161"/>
        <v>430.50795312063678</v>
      </c>
      <c r="K78" s="387">
        <f t="shared" si="161"/>
        <v>-694.58713679335779</v>
      </c>
      <c r="L78" s="387">
        <f t="shared" si="161"/>
        <v>8845.4366178684468</v>
      </c>
      <c r="M78" s="387">
        <f t="shared" si="161"/>
        <v>32151.087946344123</v>
      </c>
      <c r="N78" s="387">
        <f t="shared" si="161"/>
        <v>661.51148172173362</v>
      </c>
      <c r="O78" s="387">
        <f t="shared" si="161"/>
        <v>2742.85137443643</v>
      </c>
      <c r="P78" s="388">
        <v>62142.98072560021</v>
      </c>
      <c r="Q78" s="387">
        <f>Q48-Q77</f>
        <v>3581.9815940531926</v>
      </c>
      <c r="R78" s="387">
        <f>R48-R77</f>
        <v>277.3478438655809</v>
      </c>
      <c r="S78" s="387">
        <f>S48-S77</f>
        <v>-626.87354545444418</v>
      </c>
      <c r="T78" s="388">
        <v>3232.4558924643261</v>
      </c>
      <c r="U78" s="387">
        <f t="shared" ref="U78:AD78" si="162">U48-U77</f>
        <v>51182.631490156724</v>
      </c>
      <c r="V78" s="387">
        <f t="shared" si="162"/>
        <v>1371.5470709806941</v>
      </c>
      <c r="W78" s="387">
        <f t="shared" si="162"/>
        <v>-140.41222676377424</v>
      </c>
      <c r="X78" s="387">
        <f t="shared" si="162"/>
        <v>38927.000275490514</v>
      </c>
      <c r="Y78" s="387">
        <f t="shared" si="162"/>
        <v>-1263.2529147304876</v>
      </c>
      <c r="Z78" s="387">
        <f t="shared" si="162"/>
        <v>480.82735010776037</v>
      </c>
      <c r="AA78" s="387">
        <f t="shared" si="162"/>
        <v>12826.629033526515</v>
      </c>
      <c r="AB78" s="387">
        <f t="shared" si="162"/>
        <v>-314.88447490682393</v>
      </c>
      <c r="AC78" s="387">
        <f t="shared" si="162"/>
        <v>-837.02077837862248</v>
      </c>
      <c r="AD78" s="387">
        <f t="shared" si="162"/>
        <v>233.83914694095733</v>
      </c>
      <c r="AE78" s="388">
        <v>102466.90397242346</v>
      </c>
      <c r="AF78" s="387">
        <f t="shared" ref="AF78:AK78" si="163">AF48-AF77</f>
        <v>12900.733522890558</v>
      </c>
      <c r="AG78" s="387">
        <f t="shared" si="163"/>
        <v>9792.7890933453618</v>
      </c>
      <c r="AH78" s="387">
        <f t="shared" si="163"/>
        <v>110.55627141465834</v>
      </c>
      <c r="AI78" s="387">
        <f t="shared" si="163"/>
        <v>1075.9761243887983</v>
      </c>
      <c r="AJ78" s="387">
        <f t="shared" si="163"/>
        <v>-148.68524498439376</v>
      </c>
      <c r="AK78" s="387">
        <f t="shared" si="163"/>
        <v>-75.953961854729755</v>
      </c>
      <c r="AL78" s="388">
        <v>23655.415805200239</v>
      </c>
      <c r="AM78" s="387">
        <f>AM48-AM77</f>
        <v>37549.779785241881</v>
      </c>
      <c r="AN78" s="387">
        <f>AN48-AN77</f>
        <v>1224.4903178740069</v>
      </c>
      <c r="AO78" s="388">
        <v>38774.270103115865</v>
      </c>
      <c r="AP78" s="387">
        <f>AP48-AP77</f>
        <v>20.272769250514102</v>
      </c>
      <c r="AQ78" s="388">
        <v>20.272769250514102</v>
      </c>
      <c r="AR78" s="389">
        <v>230292.29926805466</v>
      </c>
      <c r="AT78" s="351"/>
      <c r="AU78" s="732">
        <f t="shared" ref="AU78:AZ78" si="164">AU48-AU77</f>
        <v>11968.686924842077</v>
      </c>
      <c r="AV78" s="732">
        <f t="shared" si="164"/>
        <v>-8.5706666139251411</v>
      </c>
      <c r="AW78" s="732">
        <f t="shared" si="164"/>
        <v>5805.7302264774007</v>
      </c>
      <c r="AX78" s="732">
        <f t="shared" si="164"/>
        <v>-316.68341558973771</v>
      </c>
      <c r="AY78" s="732">
        <f t="shared" si="164"/>
        <v>7451.7537907237238</v>
      </c>
      <c r="AZ78" s="732">
        <f t="shared" si="164"/>
        <v>-3727.2901900188081</v>
      </c>
      <c r="BA78" s="391">
        <v>21173.626669820747</v>
      </c>
      <c r="BB78" s="732">
        <f>BB48-BB77</f>
        <v>164.25359646981269</v>
      </c>
      <c r="BC78" s="391">
        <v>164.25359646981269</v>
      </c>
      <c r="BD78" s="732">
        <f>BD48-BD77</f>
        <v>-1104.3413763073227</v>
      </c>
      <c r="BE78" s="391">
        <v>-1104.3413763073227</v>
      </c>
      <c r="BF78" s="732">
        <f>BF48-BF77</f>
        <v>-483.11419780338292</v>
      </c>
      <c r="BG78" s="391">
        <v>-483.11419780338292</v>
      </c>
      <c r="BH78" s="732">
        <f>BH48-BH77</f>
        <v>-6312.6652906291929</v>
      </c>
      <c r="BI78" s="391">
        <v>-6312.6652906291929</v>
      </c>
      <c r="BJ78" s="732">
        <f>BJ48-BJ77</f>
        <v>768.17511394349003</v>
      </c>
      <c r="BK78" s="391">
        <v>768.17511394349003</v>
      </c>
      <c r="BL78" s="732">
        <f>BL48-BL77</f>
        <v>672.43832286392603</v>
      </c>
      <c r="BM78" s="732">
        <f>BM48-BM77</f>
        <v>-411.10005833111609</v>
      </c>
      <c r="BN78" s="732">
        <f>BN48-BN77</f>
        <v>-421.05026906754892</v>
      </c>
      <c r="BO78" s="391">
        <v>-159.71200453473648</v>
      </c>
      <c r="BP78" s="392">
        <v>14046.222510959342</v>
      </c>
      <c r="BQ78" s="339"/>
      <c r="BR78" s="351"/>
      <c r="BS78" s="732">
        <f>BS48-BS77</f>
        <v>1670.5636553528057</v>
      </c>
      <c r="BT78" s="391">
        <v>1670.5636553528057</v>
      </c>
      <c r="BU78" s="732">
        <f>BU48-BU77</f>
        <v>-4473.2987934680859</v>
      </c>
      <c r="BV78" s="732">
        <f>BV48-BV77</f>
        <v>-857.58140393383394</v>
      </c>
      <c r="BW78" s="391">
        <v>-5330.8801974019079</v>
      </c>
      <c r="BX78" s="732">
        <f>BX48-BX77</f>
        <v>-194.8541126090131</v>
      </c>
      <c r="BY78" s="732">
        <f>BY48-BY77</f>
        <v>-443.85700006234129</v>
      </c>
      <c r="BZ78" s="732">
        <f>BZ48-BZ77</f>
        <v>-315.40731452690125</v>
      </c>
      <c r="CA78" s="391">
        <v>-954.11842719826018</v>
      </c>
      <c r="CB78" s="732">
        <f>CB48-CB77</f>
        <v>17061.638756962333</v>
      </c>
      <c r="CC78" s="391">
        <v>17061.638756962333</v>
      </c>
      <c r="CD78" s="732">
        <f>CD48-CD77</f>
        <v>5565.1008278111349</v>
      </c>
      <c r="CE78" s="732">
        <f>CE48-CE77</f>
        <v>542.82957303480634</v>
      </c>
      <c r="CF78" s="732">
        <f>CF48-CF77</f>
        <v>385.1927716738569</v>
      </c>
      <c r="CG78" s="391">
        <v>6493.123172519794</v>
      </c>
      <c r="CH78" s="392">
        <v>18940.326960234743</v>
      </c>
      <c r="CI78" s="339"/>
      <c r="CJ78" s="351"/>
      <c r="CK78" s="732">
        <f>CK48-CK77</f>
        <v>2059.312013166289</v>
      </c>
      <c r="CL78" s="732">
        <f>CL48-CL77</f>
        <v>4333.6356066588232</v>
      </c>
      <c r="CM78" s="391">
        <v>6393.0391360361791</v>
      </c>
      <c r="CN78" s="732">
        <f>CN48-CN77</f>
        <v>-4262.600482261395</v>
      </c>
      <c r="CO78" s="458">
        <v>-4262.6004822613904</v>
      </c>
      <c r="CP78" s="732">
        <f>CP48-CP77</f>
        <v>123.10872125542483</v>
      </c>
      <c r="CQ78" s="391">
        <v>123.10872125542483</v>
      </c>
      <c r="CR78" s="732">
        <f>CR48-CR77</f>
        <v>-2219.0872000354429</v>
      </c>
      <c r="CS78" s="391">
        <v>-2219.0872000354429</v>
      </c>
      <c r="CT78" s="390"/>
      <c r="CU78" s="391">
        <v>0.60209788136325237</v>
      </c>
      <c r="CV78" s="732">
        <f>CV48-CV77</f>
        <v>-6164.7380039972759</v>
      </c>
      <c r="CW78" s="391">
        <v>-6164.7380039972759</v>
      </c>
      <c r="CX78" s="392">
        <v>-6129.6757311211477</v>
      </c>
      <c r="CY78" s="339"/>
      <c r="CZ78" s="351"/>
      <c r="DB78" s="355">
        <v>257149.1730081276</v>
      </c>
      <c r="DF78" s="355">
        <v>257149.1730081276</v>
      </c>
    </row>
    <row r="79" spans="1:110" s="393" customFormat="1" ht="13.5" thickTop="1">
      <c r="D79" s="394"/>
      <c r="E79" s="187"/>
      <c r="F79" s="395" t="s">
        <v>1374</v>
      </c>
      <c r="G79" s="396"/>
      <c r="H79" s="433">
        <f t="shared" ref="H79:O79" si="165">IFERROR(H78/H36,0)</f>
        <v>0.10589998567533718</v>
      </c>
      <c r="I79" s="433">
        <f t="shared" si="165"/>
        <v>0.14014721044768208</v>
      </c>
      <c r="J79" s="433">
        <f t="shared" si="165"/>
        <v>0.14650456797635794</v>
      </c>
      <c r="K79" s="433">
        <f t="shared" si="165"/>
        <v>-7.3087604263592468E-2</v>
      </c>
      <c r="L79" s="433">
        <f t="shared" si="165"/>
        <v>0.1513793592825593</v>
      </c>
      <c r="M79" s="433">
        <f t="shared" si="165"/>
        <v>0.16160044169524307</v>
      </c>
      <c r="N79" s="433">
        <f t="shared" si="165"/>
        <v>7.2757109307238971E-2</v>
      </c>
      <c r="O79" s="433">
        <f t="shared" si="165"/>
        <v>8.901382598921885E-2</v>
      </c>
      <c r="P79" s="434">
        <v>0.13446020530248684</v>
      </c>
      <c r="Q79" s="433">
        <f>IFERROR(Q78/Q36,0)</f>
        <v>0.28128263292408301</v>
      </c>
      <c r="R79" s="433">
        <f>IFERROR(R78/R36,0)</f>
        <v>8.725720190777414E-2</v>
      </c>
      <c r="S79" s="433">
        <f>IFERROR(S78/S36,0)</f>
        <v>-2.412372436791971</v>
      </c>
      <c r="T79" s="434">
        <v>0.20581975081709539</v>
      </c>
      <c r="U79" s="433">
        <f t="shared" ref="U79:AD79" si="166">IFERROR(U78/U36,0)</f>
        <v>0.24739175365439148</v>
      </c>
      <c r="V79" s="433">
        <f t="shared" si="166"/>
        <v>0.14028914170866844</v>
      </c>
      <c r="W79" s="433">
        <f t="shared" si="166"/>
        <v>-5.7986993170308851E-2</v>
      </c>
      <c r="X79" s="433">
        <f t="shared" si="166"/>
        <v>0.21043739970578626</v>
      </c>
      <c r="Y79" s="433">
        <f t="shared" si="166"/>
        <v>-0.3203863362118366</v>
      </c>
      <c r="Z79" s="433">
        <f t="shared" si="166"/>
        <v>0.1326296231067973</v>
      </c>
      <c r="AA79" s="433">
        <f t="shared" si="166"/>
        <v>0.15337217722366844</v>
      </c>
      <c r="AB79" s="433">
        <f t="shared" si="166"/>
        <v>-6.3779854327493377E-2</v>
      </c>
      <c r="AC79" s="433">
        <f t="shared" si="166"/>
        <v>0</v>
      </c>
      <c r="AD79" s="433">
        <f t="shared" si="166"/>
        <v>8.7474514066972611E-2</v>
      </c>
      <c r="AE79" s="434">
        <v>0.20501045419211755</v>
      </c>
      <c r="AF79" s="433">
        <f t="shared" ref="AF79:AK79" si="167">IFERROR(AF78/AF36,0)</f>
        <v>0.23548676367871049</v>
      </c>
      <c r="AG79" s="433">
        <f t="shared" si="167"/>
        <v>0.25028910477694705</v>
      </c>
      <c r="AH79" s="433">
        <f t="shared" si="167"/>
        <v>5.4919105839202204E-2</v>
      </c>
      <c r="AI79" s="433">
        <f t="shared" si="167"/>
        <v>0.25216737268300338</v>
      </c>
      <c r="AJ79" s="433">
        <f t="shared" si="167"/>
        <v>-8.8893995645440663E-2</v>
      </c>
      <c r="AK79" s="433">
        <f t="shared" si="167"/>
        <v>-4.0020376436275672E-2</v>
      </c>
      <c r="AL79" s="434">
        <v>0.23026476841890736</v>
      </c>
      <c r="AM79" s="433">
        <f>IFERROR(AM78/AM36,0)</f>
        <v>0.21732882579350821</v>
      </c>
      <c r="AN79" s="433">
        <f>IFERROR(AN78/AN36,0)</f>
        <v>0.10855973686903998</v>
      </c>
      <c r="AO79" s="434">
        <v>0.21264141977373033</v>
      </c>
      <c r="AP79" s="433">
        <f>IFERROR(AP78/AP36,0)</f>
        <v>2.3302865514034524E-3</v>
      </c>
      <c r="AQ79" s="434">
        <v>2.4048377826418263E-3</v>
      </c>
      <c r="AR79" s="433">
        <v>0.1811625045027031</v>
      </c>
      <c r="AT79" s="399"/>
      <c r="AU79" s="400">
        <f t="shared" ref="AU79:AZ79" si="168">IFERROR(AU78/AU36,0)</f>
        <v>0.15759389212388158</v>
      </c>
      <c r="AV79" s="400">
        <f t="shared" si="168"/>
        <v>-5.3231826384143562E-3</v>
      </c>
      <c r="AW79" s="400">
        <f t="shared" si="168"/>
        <v>0.14514817224548954</v>
      </c>
      <c r="AX79" s="400">
        <f t="shared" si="168"/>
        <v>-5.1739168323565524E-3</v>
      </c>
      <c r="AY79" s="400">
        <f t="shared" si="168"/>
        <v>0.11757900767717466</v>
      </c>
      <c r="AZ79" s="400">
        <f t="shared" si="168"/>
        <v>-0.11797693912648753</v>
      </c>
      <c r="BA79" s="401">
        <v>7.8547761006311015E-2</v>
      </c>
      <c r="BB79" s="400">
        <f>IFERROR(BB78/BB36,0)</f>
        <v>2.0200056918002165E-2</v>
      </c>
      <c r="BC79" s="401">
        <v>2.0211279409013315E-2</v>
      </c>
      <c r="BD79" s="400">
        <f>IFERROR(BD78/BD36,0)</f>
        <v>-0.18733477344842472</v>
      </c>
      <c r="BE79" s="401">
        <v>-0.18816497429646084</v>
      </c>
      <c r="BF79" s="400">
        <f>IFERROR(BF78/BF36,0)</f>
        <v>-7.5127491626937701E-2</v>
      </c>
      <c r="BG79" s="401">
        <v>-7.528631979736039E-2</v>
      </c>
      <c r="BH79" s="400">
        <f>IFERROR(BH78/BH36,0)</f>
        <v>-0.11928563083708463</v>
      </c>
      <c r="BI79" s="401">
        <v>-0.12014639124026123</v>
      </c>
      <c r="BJ79" s="400">
        <f>IFERROR(BJ78/BJ36,0)</f>
        <v>8.6893744773971798E-2</v>
      </c>
      <c r="BK79" s="401">
        <v>8.7500459839189096E-2</v>
      </c>
      <c r="BL79" s="400">
        <f>IFERROR(BL78/BL36,0)</f>
        <v>0.16375434695668681</v>
      </c>
      <c r="BM79" s="400">
        <f>IFERROR(BM78/BM36,0)</f>
        <v>-7.5396744053302683E-2</v>
      </c>
      <c r="BN79" s="400">
        <f>IFERROR(BN78/BN36,0)</f>
        <v>-0.20172337787879754</v>
      </c>
      <c r="BO79" s="401">
        <v>-1.3793183900536342E-2</v>
      </c>
      <c r="BP79" s="400">
        <v>3.8708031482686138E-2</v>
      </c>
      <c r="BQ79" s="400"/>
      <c r="BR79" s="351"/>
      <c r="BS79" s="400">
        <f>IFERROR(BS78/BS36,0)</f>
        <v>7.4549501604127252E-2</v>
      </c>
      <c r="BT79" s="401">
        <v>7.7546690682762875E-2</v>
      </c>
      <c r="BU79" s="400">
        <f>IFERROR(BU78/BU36,0)</f>
        <v>-8.4613678744752757E-2</v>
      </c>
      <c r="BV79" s="400">
        <f>IFERROR(BV78/BV36,0)</f>
        <v>-0.53722427357986102</v>
      </c>
      <c r="BW79" s="401">
        <v>-9.8507136639711917E-2</v>
      </c>
      <c r="BX79" s="400">
        <f>IFERROR(BX78/BX36,0)</f>
        <v>-8.1596887447479265E-3</v>
      </c>
      <c r="BY79" s="400">
        <f>IFERROR(BY78/BY36,0)</f>
        <v>-0.3123115956339173</v>
      </c>
      <c r="BZ79" s="400">
        <f>IFERROR(BZ78/BZ36,0)</f>
        <v>-2.0657893756185885E-2</v>
      </c>
      <c r="CA79" s="401">
        <v>-2.3757819009229214E-2</v>
      </c>
      <c r="CB79" s="400">
        <f>IFERROR(CB78/CB36,0)</f>
        <v>0.20059653236793068</v>
      </c>
      <c r="CC79" s="401">
        <v>0.2032357416217129</v>
      </c>
      <c r="CD79" s="400">
        <f>IFERROR(CD78/CD36,0)</f>
        <v>0.15941860304338429</v>
      </c>
      <c r="CE79" s="400">
        <f>IFERROR(CE78/CE36,0)</f>
        <v>5.9067966908885994E-2</v>
      </c>
      <c r="CF79" s="400">
        <f>IFERROR(CF78/CF36,0)</f>
        <v>0.10549305915788786</v>
      </c>
      <c r="CG79" s="401">
        <v>0.13802534187239079</v>
      </c>
      <c r="CH79" s="400">
        <v>7.6739731035463984E-2</v>
      </c>
      <c r="CI79" s="400"/>
      <c r="CJ79" s="399"/>
      <c r="CK79" s="400">
        <f>IFERROR(CK78/CK36,0)</f>
        <v>7.548677749731951E-2</v>
      </c>
      <c r="CL79" s="400">
        <f>IFERROR(CL78/CL36,0)</f>
        <v>0.15070014288372444</v>
      </c>
      <c r="CM79" s="401">
        <v>0.11450378521422006</v>
      </c>
      <c r="CN79" s="400">
        <f>IFERROR(CN78/CN36,0)</f>
        <v>-0.35359398250156793</v>
      </c>
      <c r="CO79" s="401">
        <v>-0.35709048596819415</v>
      </c>
      <c r="CP79" s="400">
        <f>IFERROR(CP78/CP36,0)</f>
        <v>1.8672619883408383E-2</v>
      </c>
      <c r="CQ79" s="401">
        <v>1.8749491260817923E-2</v>
      </c>
      <c r="CR79" s="400">
        <f>IFERROR(CR78/CR36,0)</f>
        <v>-0.21764179856746305</v>
      </c>
      <c r="CS79" s="401">
        <v>-0.21892209329734683</v>
      </c>
      <c r="CT79" s="400"/>
      <c r="CU79" s="401">
        <v>0.24262096088201848</v>
      </c>
      <c r="CV79" s="400">
        <f>IFERROR(CV78/CV36,0)</f>
        <v>-0.81893235105699036</v>
      </c>
      <c r="CW79" s="401">
        <v>-0.8234431014539324</v>
      </c>
      <c r="CX79" s="400">
        <v>-6.6655159349294432E-2</v>
      </c>
      <c r="CY79" s="400"/>
      <c r="CZ79" s="399"/>
      <c r="DB79" s="459">
        <v>0.13034456372186606</v>
      </c>
      <c r="DF79" s="459">
        <v>0.11727697181998835</v>
      </c>
    </row>
    <row r="80" spans="1:110">
      <c r="F80" s="460"/>
      <c r="G80" s="236"/>
      <c r="H80" s="461"/>
      <c r="I80" s="461"/>
      <c r="J80" s="461"/>
      <c r="K80" s="461"/>
      <c r="L80" s="461"/>
      <c r="M80" s="461"/>
      <c r="N80" s="461"/>
      <c r="O80" s="461"/>
      <c r="P80" s="462">
        <v>2.9307929932449381</v>
      </c>
      <c r="Q80" s="461"/>
      <c r="R80" s="461"/>
      <c r="S80" s="461"/>
      <c r="T80" s="282"/>
      <c r="U80" s="281"/>
      <c r="V80" s="281"/>
      <c r="W80" s="281"/>
      <c r="X80" s="281"/>
      <c r="Y80" s="281"/>
      <c r="Z80" s="281"/>
      <c r="AA80" s="281"/>
      <c r="AB80" s="281"/>
      <c r="AC80" s="281"/>
      <c r="AD80" s="281"/>
      <c r="AE80" s="282"/>
      <c r="AF80" s="281"/>
      <c r="AG80" s="281"/>
      <c r="AH80" s="281"/>
      <c r="AI80" s="281"/>
      <c r="AJ80" s="281"/>
      <c r="AK80" s="281"/>
      <c r="AL80" s="282"/>
      <c r="AM80" s="281"/>
      <c r="AN80" s="281"/>
      <c r="AO80" s="282"/>
      <c r="AP80" s="281"/>
      <c r="AQ80" s="282"/>
      <c r="AR80" s="281"/>
      <c r="AU80" s="463"/>
      <c r="AV80" s="463"/>
      <c r="AW80" s="463"/>
      <c r="AX80" s="463"/>
      <c r="AY80" s="463"/>
      <c r="AZ80" s="463"/>
      <c r="BA80" s="464">
        <v>4.5009520991739027</v>
      </c>
      <c r="BB80" s="463"/>
      <c r="BC80" s="282"/>
      <c r="BD80" s="281"/>
      <c r="BE80" s="282"/>
      <c r="BF80" s="281"/>
      <c r="BG80" s="282"/>
      <c r="BH80" s="281"/>
      <c r="BI80" s="282"/>
      <c r="BJ80" s="281"/>
      <c r="BK80" s="282"/>
      <c r="BL80" s="281"/>
      <c r="BM80" s="281"/>
      <c r="BN80" s="281"/>
      <c r="BO80" s="282"/>
      <c r="BP80" s="281"/>
      <c r="BQ80" s="281"/>
      <c r="BR80" s="399"/>
      <c r="BS80" s="463"/>
      <c r="BT80" s="464">
        <v>3.0486573016242269</v>
      </c>
      <c r="BU80" s="463"/>
      <c r="BV80" s="463"/>
      <c r="BW80" s="282"/>
      <c r="BX80" s="281"/>
      <c r="BY80" s="281"/>
      <c r="BZ80" s="281"/>
      <c r="CA80" s="282"/>
      <c r="CB80" s="281"/>
      <c r="CC80" s="282"/>
      <c r="CD80" s="281"/>
      <c r="CE80" s="281"/>
      <c r="CF80" s="281"/>
      <c r="CG80" s="282"/>
      <c r="CH80" s="281"/>
      <c r="CI80" s="281"/>
      <c r="CK80" s="463"/>
      <c r="CL80" s="463"/>
      <c r="CM80" s="464">
        <v>2.1146779997045586</v>
      </c>
      <c r="CN80" s="463"/>
      <c r="CO80" s="282"/>
      <c r="CP80" s="281"/>
      <c r="CQ80" s="282"/>
      <c r="CR80" s="281"/>
      <c r="CS80" s="282"/>
      <c r="CT80" s="281"/>
      <c r="CU80" s="282"/>
      <c r="CV80" s="281"/>
      <c r="CW80" s="282"/>
      <c r="CX80" s="281"/>
      <c r="CY80" s="281"/>
    </row>
    <row r="81" spans="3:104" s="278" customFormat="1" hidden="1">
      <c r="C81" s="288"/>
      <c r="D81" s="346"/>
      <c r="E81" s="289"/>
      <c r="F81" s="465" t="s">
        <v>1375</v>
      </c>
      <c r="G81" s="466"/>
      <c r="H81" s="467">
        <v>49999.862140907513</v>
      </c>
      <c r="I81" s="467">
        <v>19082.636758273213</v>
      </c>
      <c r="J81" s="467">
        <v>1322.6561784802034</v>
      </c>
      <c r="K81" s="467">
        <v>6135.5524780291753</v>
      </c>
      <c r="L81" s="467">
        <v>25487.112827084053</v>
      </c>
      <c r="M81" s="467">
        <v>82384.433711398393</v>
      </c>
      <c r="N81" s="467">
        <v>4113.8968982695096</v>
      </c>
      <c r="O81" s="467">
        <v>13719.636626652715</v>
      </c>
      <c r="P81" s="468">
        <v>202245.7876190948</v>
      </c>
      <c r="Q81" s="467">
        <v>4113.4089663220075</v>
      </c>
      <c r="R81" s="467">
        <v>1142.5390598636297</v>
      </c>
      <c r="S81" s="467">
        <v>712.81084079166715</v>
      </c>
      <c r="T81" s="468">
        <v>5968.7588669773049</v>
      </c>
      <c r="U81" s="467">
        <v>70966.025387248505</v>
      </c>
      <c r="V81" s="467">
        <v>3653.3165044327698</v>
      </c>
      <c r="W81" s="467">
        <v>1153.3731226921868</v>
      </c>
      <c r="X81" s="467">
        <v>68027.205348611693</v>
      </c>
      <c r="Y81" s="467">
        <v>2302.1889912644888</v>
      </c>
      <c r="Z81" s="467">
        <v>1291.1659877820762</v>
      </c>
      <c r="AA81" s="467">
        <v>33085.945514970044</v>
      </c>
      <c r="AB81" s="467">
        <v>2333.2322775323664</v>
      </c>
      <c r="AC81" s="467">
        <v>771.14103879071729</v>
      </c>
      <c r="AD81" s="467">
        <v>1135.7561021964407</v>
      </c>
      <c r="AE81" s="468">
        <v>184719.35027552125</v>
      </c>
      <c r="AF81" s="467">
        <v>21425.422172725117</v>
      </c>
      <c r="AG81" s="467">
        <v>15486.054475137415</v>
      </c>
      <c r="AH81" s="467">
        <v>1055.6718786395691</v>
      </c>
      <c r="AI81" s="467">
        <v>1333.7438806784999</v>
      </c>
      <c r="AJ81" s="467">
        <v>1034.1776056792332</v>
      </c>
      <c r="AK81" s="467">
        <v>1066.2682806046232</v>
      </c>
      <c r="AL81" s="468">
        <v>41401.338293464461</v>
      </c>
      <c r="AM81" s="467">
        <v>60473.429887610335</v>
      </c>
      <c r="AN81" s="467">
        <v>4803.9272503526036</v>
      </c>
      <c r="AO81" s="468">
        <v>65277.357137962943</v>
      </c>
      <c r="AP81" s="467">
        <v>4122.105183853977</v>
      </c>
      <c r="AQ81" s="468">
        <v>4122.105183853977</v>
      </c>
      <c r="AR81" s="469">
        <v>503734.69737687474</v>
      </c>
      <c r="AT81" s="351"/>
      <c r="AU81" s="470"/>
      <c r="AV81" s="470"/>
      <c r="AW81" s="470"/>
      <c r="AX81" s="470"/>
      <c r="AY81" s="470"/>
      <c r="AZ81" s="470"/>
      <c r="BA81" s="471">
        <v>132557.15737352968</v>
      </c>
      <c r="BB81" s="470"/>
      <c r="BC81" s="471">
        <v>4037.7881689555697</v>
      </c>
      <c r="BD81" s="470"/>
      <c r="BE81" s="471">
        <v>3920.078325467477</v>
      </c>
      <c r="BF81" s="470"/>
      <c r="BG81" s="471">
        <v>3510.8676341574164</v>
      </c>
      <c r="BH81" s="470"/>
      <c r="BI81" s="471">
        <v>39104.792812207234</v>
      </c>
      <c r="BJ81" s="470"/>
      <c r="BK81" s="471">
        <v>4791.3047477633745</v>
      </c>
      <c r="BL81" s="470"/>
      <c r="BM81" s="470"/>
      <c r="BN81" s="470"/>
      <c r="BO81" s="471">
        <v>7115.1875858946441</v>
      </c>
      <c r="BP81" s="472">
        <v>195037.1766479754</v>
      </c>
      <c r="BQ81" s="473"/>
      <c r="BR81" s="189"/>
      <c r="BS81" s="470"/>
      <c r="BT81" s="471">
        <v>12656.483167905075</v>
      </c>
      <c r="BU81" s="470"/>
      <c r="BV81" s="470"/>
      <c r="BW81" s="471">
        <v>39666.816661486948</v>
      </c>
      <c r="BX81" s="470"/>
      <c r="BY81" s="470"/>
      <c r="BZ81" s="470"/>
      <c r="CA81" s="471">
        <v>23082.833957513176</v>
      </c>
      <c r="CB81" s="470"/>
      <c r="CC81" s="471">
        <v>33204.009192130659</v>
      </c>
      <c r="CD81" s="470"/>
      <c r="CE81" s="470"/>
      <c r="CF81" s="470"/>
      <c r="CG81" s="471">
        <v>17085.872617971272</v>
      </c>
      <c r="CH81" s="472">
        <v>125696.01559700714</v>
      </c>
      <c r="CI81" s="473"/>
      <c r="CJ81" s="351"/>
      <c r="CK81" s="470"/>
      <c r="CL81" s="470"/>
      <c r="CM81" s="471">
        <v>29722.814523233566</v>
      </c>
      <c r="CN81" s="470"/>
      <c r="CO81" s="471">
        <v>9695.7301259268461</v>
      </c>
      <c r="CP81" s="470"/>
      <c r="CQ81" s="471">
        <v>2728.0552772648994</v>
      </c>
      <c r="CR81" s="470"/>
      <c r="CS81" s="471">
        <v>6377.0402333337552</v>
      </c>
      <c r="CT81" s="470"/>
      <c r="CU81" s="471">
        <v>0.17082365850885661</v>
      </c>
      <c r="CV81" s="470"/>
      <c r="CW81" s="471">
        <v>8767.661253612514</v>
      </c>
      <c r="CX81" s="472">
        <v>57291.472237030088</v>
      </c>
      <c r="CY81" s="473"/>
      <c r="CZ81" s="351"/>
    </row>
    <row r="82" spans="3:104" s="278" customFormat="1" hidden="1">
      <c r="C82" s="288"/>
      <c r="D82" s="346"/>
      <c r="E82" s="289"/>
      <c r="F82" s="474" t="s">
        <v>1373</v>
      </c>
      <c r="G82" s="236"/>
      <c r="H82" s="475">
        <v>12440.312071791865</v>
      </c>
      <c r="I82" s="475">
        <v>6495.5197764963486</v>
      </c>
      <c r="J82" s="475">
        <v>448.73656801055563</v>
      </c>
      <c r="K82" s="475">
        <v>-603.44406234376493</v>
      </c>
      <c r="L82" s="475">
        <v>9191.7803007768998</v>
      </c>
      <c r="M82" s="475">
        <v>33244.804839739241</v>
      </c>
      <c r="N82" s="475">
        <v>716.1973263914897</v>
      </c>
      <c r="O82" s="475">
        <v>2925.1375233356157</v>
      </c>
      <c r="P82" s="476">
        <v>64859.044344198104</v>
      </c>
      <c r="Q82" s="475">
        <v>-66542.883602795104</v>
      </c>
      <c r="R82" s="475">
        <v>-25365.451449965934</v>
      </c>
      <c r="S82" s="475">
        <v>-560.99380586653899</v>
      </c>
      <c r="T82" s="476">
        <v>3627.7343299917575</v>
      </c>
      <c r="U82" s="475">
        <v>55135.41586543103</v>
      </c>
      <c r="V82" s="475">
        <v>1569.1862897444098</v>
      </c>
      <c r="W82" s="475">
        <v>-74.532487175868937</v>
      </c>
      <c r="X82" s="475">
        <v>42813.904911176927</v>
      </c>
      <c r="Y82" s="475">
        <v>-1131.493435554677</v>
      </c>
      <c r="Z82" s="475">
        <v>546.70708969566567</v>
      </c>
      <c r="AA82" s="475">
        <v>14737.141481575767</v>
      </c>
      <c r="AB82" s="475">
        <v>-183.12499573101331</v>
      </c>
      <c r="AC82" s="475">
        <v>-771.14103879071729</v>
      </c>
      <c r="AD82" s="475">
        <v>299.71888652886264</v>
      </c>
      <c r="AE82" s="476">
        <v>112941.78256690039</v>
      </c>
      <c r="AF82" s="475">
        <v>13376.413519925623</v>
      </c>
      <c r="AG82" s="475">
        <v>10143.290143792252</v>
      </c>
      <c r="AH82" s="475">
        <v>135.59206073229325</v>
      </c>
      <c r="AI82" s="475">
        <v>1101.0119137064335</v>
      </c>
      <c r="AJ82" s="475">
        <v>-123.64945566675885</v>
      </c>
      <c r="AK82" s="475">
        <v>-50.91817253709462</v>
      </c>
      <c r="AL82" s="476">
        <v>24581.740009952729</v>
      </c>
      <c r="AM82" s="475">
        <v>40646.127545873424</v>
      </c>
      <c r="AN82" s="475">
        <v>1488.0092762256281</v>
      </c>
      <c r="AO82" s="476">
        <v>42134.136822099041</v>
      </c>
      <c r="AP82" s="475">
        <v>217.91198801422979</v>
      </c>
      <c r="AQ82" s="476">
        <v>217.91198801422979</v>
      </c>
      <c r="AR82" s="477">
        <v>248362.35006115626</v>
      </c>
      <c r="AT82" s="351"/>
      <c r="AU82" s="478"/>
      <c r="AV82" s="478"/>
      <c r="AW82" s="478"/>
      <c r="AX82" s="478"/>
      <c r="AY82" s="478"/>
      <c r="AZ82" s="478"/>
      <c r="BA82" s="479">
        <v>22531.928335936333</v>
      </c>
      <c r="BB82" s="478"/>
      <c r="BC82" s="479">
        <v>512.10835440557184</v>
      </c>
      <c r="BD82" s="478"/>
      <c r="BE82" s="479">
        <v>-872.43820435014959</v>
      </c>
      <c r="BF82" s="478"/>
      <c r="BG82" s="479">
        <v>-135.25943986762422</v>
      </c>
      <c r="BH82" s="478"/>
      <c r="BI82" s="479">
        <v>-3877.6819850788816</v>
      </c>
      <c r="BJ82" s="478"/>
      <c r="BK82" s="479">
        <v>1116.0298718792492</v>
      </c>
      <c r="BL82" s="478"/>
      <c r="BM82" s="478"/>
      <c r="BN82" s="478"/>
      <c r="BO82" s="479">
        <v>304.09433937960875</v>
      </c>
      <c r="BP82" s="480">
        <v>19578.78127230411</v>
      </c>
      <c r="BQ82" s="473"/>
      <c r="BR82" s="189"/>
      <c r="BS82" s="478"/>
      <c r="BT82" s="479">
        <v>-340.19449638839433</v>
      </c>
      <c r="BU82" s="478"/>
      <c r="BV82" s="478"/>
      <c r="BW82" s="479">
        <v>-3444.6164546902146</v>
      </c>
      <c r="BX82" s="478"/>
      <c r="BY82" s="478"/>
      <c r="BZ82" s="478"/>
      <c r="CA82" s="479">
        <v>-404.61946551891742</v>
      </c>
      <c r="CB82" s="478"/>
      <c r="CC82" s="479">
        <v>19462.338065868127</v>
      </c>
      <c r="CD82" s="478"/>
      <c r="CE82" s="478"/>
      <c r="CF82" s="478"/>
      <c r="CG82" s="479">
        <v>7950.6906100697379</v>
      </c>
      <c r="CH82" s="480">
        <v>23223.598259340339</v>
      </c>
      <c r="CI82" s="473"/>
      <c r="CJ82" s="351"/>
      <c r="CK82" s="478"/>
      <c r="CL82" s="478"/>
      <c r="CM82" s="479">
        <v>7106.9176858871069</v>
      </c>
      <c r="CN82" s="478"/>
      <c r="CO82" s="479">
        <v>-3994.8960260672966</v>
      </c>
      <c r="CP82" s="478"/>
      <c r="CQ82" s="479">
        <v>256.96094935247402</v>
      </c>
      <c r="CR82" s="478"/>
      <c r="CS82" s="479">
        <v>-1996.0001532070282</v>
      </c>
      <c r="CT82" s="478"/>
      <c r="CU82" s="479">
        <v>0.60209788136325237</v>
      </c>
      <c r="CV82" s="478"/>
      <c r="CW82" s="479">
        <v>-5897.0335478031775</v>
      </c>
      <c r="CX82" s="480">
        <v>-4523.4489939565583</v>
      </c>
      <c r="CY82" s="473"/>
      <c r="CZ82" s="351"/>
    </row>
    <row r="83" spans="3:104" s="278" customFormat="1" hidden="1">
      <c r="C83" s="288" t="s">
        <v>1376</v>
      </c>
      <c r="D83" s="370" t="s">
        <v>1338</v>
      </c>
      <c r="E83" s="340" t="s">
        <v>1304</v>
      </c>
      <c r="F83" s="474" t="s">
        <v>1376</v>
      </c>
      <c r="G83" s="236"/>
      <c r="H83" s="475">
        <v>0</v>
      </c>
      <c r="I83" s="475">
        <v>0</v>
      </c>
      <c r="J83" s="475">
        <v>0</v>
      </c>
      <c r="K83" s="475">
        <v>0</v>
      </c>
      <c r="L83" s="475">
        <v>0</v>
      </c>
      <c r="M83" s="475">
        <v>0</v>
      </c>
      <c r="N83" s="475">
        <v>0</v>
      </c>
      <c r="O83" s="475">
        <v>0</v>
      </c>
      <c r="P83" s="476">
        <v>0</v>
      </c>
      <c r="Q83" s="475">
        <v>0</v>
      </c>
      <c r="R83" s="475">
        <v>0</v>
      </c>
      <c r="S83" s="475">
        <v>0</v>
      </c>
      <c r="T83" s="476">
        <v>0</v>
      </c>
      <c r="U83" s="475">
        <v>0</v>
      </c>
      <c r="V83" s="475">
        <v>0</v>
      </c>
      <c r="W83" s="475">
        <v>0</v>
      </c>
      <c r="X83" s="475">
        <v>0</v>
      </c>
      <c r="Y83" s="475">
        <v>0</v>
      </c>
      <c r="Z83" s="475">
        <v>0</v>
      </c>
      <c r="AA83" s="475">
        <v>0</v>
      </c>
      <c r="AB83" s="475">
        <v>0</v>
      </c>
      <c r="AC83" s="475">
        <v>0</v>
      </c>
      <c r="AD83" s="475">
        <v>0</v>
      </c>
      <c r="AE83" s="476">
        <v>0</v>
      </c>
      <c r="AF83" s="475">
        <v>0</v>
      </c>
      <c r="AG83" s="475">
        <v>0</v>
      </c>
      <c r="AH83" s="475">
        <v>0</v>
      </c>
      <c r="AI83" s="475">
        <v>0</v>
      </c>
      <c r="AJ83" s="475">
        <v>0</v>
      </c>
      <c r="AK83" s="475">
        <v>0</v>
      </c>
      <c r="AL83" s="476">
        <v>0</v>
      </c>
      <c r="AM83" s="475">
        <v>0</v>
      </c>
      <c r="AN83" s="475">
        <v>0</v>
      </c>
      <c r="AO83" s="476">
        <v>0</v>
      </c>
      <c r="AP83" s="475">
        <v>0</v>
      </c>
      <c r="AQ83" s="476">
        <v>0</v>
      </c>
      <c r="AR83" s="477">
        <v>0</v>
      </c>
      <c r="AT83" s="351"/>
      <c r="AU83" s="478"/>
      <c r="AV83" s="478"/>
      <c r="AW83" s="478"/>
      <c r="AX83" s="478"/>
      <c r="AY83" s="478"/>
      <c r="AZ83" s="478"/>
      <c r="BA83" s="479">
        <v>0</v>
      </c>
      <c r="BB83" s="478"/>
      <c r="BC83" s="479">
        <v>0</v>
      </c>
      <c r="BD83" s="478"/>
      <c r="BE83" s="479">
        <v>0</v>
      </c>
      <c r="BF83" s="478"/>
      <c r="BG83" s="479">
        <v>0</v>
      </c>
      <c r="BH83" s="478"/>
      <c r="BI83" s="479">
        <v>0</v>
      </c>
      <c r="BJ83" s="478"/>
      <c r="BK83" s="479">
        <v>0</v>
      </c>
      <c r="BL83" s="478"/>
      <c r="BM83" s="478"/>
      <c r="BN83" s="478"/>
      <c r="BO83" s="479">
        <v>0</v>
      </c>
      <c r="BP83" s="480">
        <v>0</v>
      </c>
      <c r="BQ83" s="473"/>
      <c r="BR83" s="454"/>
      <c r="BS83" s="478"/>
      <c r="BT83" s="479">
        <v>0</v>
      </c>
      <c r="BU83" s="478"/>
      <c r="BV83" s="478"/>
      <c r="BW83" s="479">
        <v>0</v>
      </c>
      <c r="BX83" s="478"/>
      <c r="BY83" s="478"/>
      <c r="BZ83" s="478"/>
      <c r="CA83" s="479">
        <v>0</v>
      </c>
      <c r="CB83" s="478"/>
      <c r="CC83" s="479">
        <v>0</v>
      </c>
      <c r="CD83" s="478"/>
      <c r="CE83" s="478"/>
      <c r="CF83" s="478"/>
      <c r="CG83" s="479">
        <v>0</v>
      </c>
      <c r="CH83" s="480">
        <v>0</v>
      </c>
      <c r="CI83" s="473"/>
      <c r="CJ83" s="351"/>
      <c r="CK83" s="478"/>
      <c r="CL83" s="478"/>
      <c r="CM83" s="479">
        <v>0</v>
      </c>
      <c r="CN83" s="478"/>
      <c r="CO83" s="479">
        <v>0</v>
      </c>
      <c r="CP83" s="478"/>
      <c r="CQ83" s="479">
        <v>0</v>
      </c>
      <c r="CR83" s="478"/>
      <c r="CS83" s="479">
        <v>0</v>
      </c>
      <c r="CT83" s="478"/>
      <c r="CU83" s="479">
        <v>0</v>
      </c>
      <c r="CV83" s="478"/>
      <c r="CW83" s="479">
        <v>0</v>
      </c>
      <c r="CX83" s="480">
        <v>0</v>
      </c>
      <c r="CY83" s="473"/>
      <c r="CZ83" s="351"/>
    </row>
    <row r="84" spans="3:104" s="278" customFormat="1" hidden="1">
      <c r="C84" s="288" t="s">
        <v>1377</v>
      </c>
      <c r="D84" s="370" t="s">
        <v>1338</v>
      </c>
      <c r="E84" s="340" t="s">
        <v>1304</v>
      </c>
      <c r="F84" s="474" t="s">
        <v>1377</v>
      </c>
      <c r="G84" s="236"/>
      <c r="H84" s="475">
        <v>397.47715606582494</v>
      </c>
      <c r="I84" s="475">
        <v>159.29677743735428</v>
      </c>
      <c r="J84" s="475">
        <v>10.512709365092418</v>
      </c>
      <c r="K84" s="475">
        <v>33.999118336006248</v>
      </c>
      <c r="L84" s="475">
        <v>209.04378362039313</v>
      </c>
      <c r="M84" s="475">
        <v>711.76687939760393</v>
      </c>
      <c r="N84" s="475">
        <v>32.527193695561358</v>
      </c>
      <c r="O84" s="475">
        <v>110.23752453774141</v>
      </c>
      <c r="P84" s="476">
        <v>1664.8611424555777</v>
      </c>
      <c r="Q84" s="475">
        <v>42.164709974687014</v>
      </c>
      <c r="R84" s="475">
        <v>10.524275244886192</v>
      </c>
      <c r="S84" s="475">
        <v>0.86040766584258599</v>
      </c>
      <c r="T84" s="476">
        <v>53.549392885415791</v>
      </c>
      <c r="U84" s="475">
        <v>797.61145086150179</v>
      </c>
      <c r="V84" s="475">
        <v>37.691259257868566</v>
      </c>
      <c r="W84" s="475">
        <v>9.3353010034830657</v>
      </c>
      <c r="X84" s="475">
        <v>713.1518283891171</v>
      </c>
      <c r="Y84" s="475">
        <v>15.200935333104942</v>
      </c>
      <c r="Z84" s="475">
        <v>13.976634753064548</v>
      </c>
      <c r="AA84" s="475">
        <v>322.41849043976833</v>
      </c>
      <c r="AB84" s="475">
        <v>19.033634013481429</v>
      </c>
      <c r="AC84" s="475">
        <v>0</v>
      </c>
      <c r="AD84" s="475">
        <v>10.305988843798284</v>
      </c>
      <c r="AE84" s="476">
        <v>1938.7255228951881</v>
      </c>
      <c r="AF84" s="475">
        <v>260.92336181225545</v>
      </c>
      <c r="AG84" s="475">
        <v>186.35005204379718</v>
      </c>
      <c r="AH84" s="475">
        <v>9.5879329392630961</v>
      </c>
      <c r="AI84" s="475">
        <v>20.322578186285046</v>
      </c>
      <c r="AJ84" s="475">
        <v>7.9663706217849075</v>
      </c>
      <c r="AK84" s="475">
        <v>9.0392901073369067</v>
      </c>
      <c r="AL84" s="476">
        <v>494.18958571072261</v>
      </c>
      <c r="AM84" s="475">
        <v>708.94804697085203</v>
      </c>
      <c r="AN84" s="475">
        <v>46.281872662145858</v>
      </c>
      <c r="AO84" s="476">
        <v>755.22991963299796</v>
      </c>
      <c r="AP84" s="475">
        <v>48.901065886923888</v>
      </c>
      <c r="AQ84" s="476">
        <v>48.901065886923888</v>
      </c>
      <c r="AR84" s="477">
        <v>4955.4566294668257</v>
      </c>
      <c r="AT84" s="351"/>
      <c r="AU84" s="478"/>
      <c r="AV84" s="478"/>
      <c r="AW84" s="478"/>
      <c r="AX84" s="478"/>
      <c r="AY84" s="478"/>
      <c r="AZ84" s="478"/>
      <c r="BA84" s="479">
        <v>128.47198725582868</v>
      </c>
      <c r="BB84" s="478"/>
      <c r="BC84" s="479">
        <v>2.4024351894550966</v>
      </c>
      <c r="BD84" s="478"/>
      <c r="BE84" s="479">
        <v>1.697363847369004</v>
      </c>
      <c r="BF84" s="478"/>
      <c r="BG84" s="479">
        <v>5.2752179832667778</v>
      </c>
      <c r="BH84" s="478"/>
      <c r="BI84" s="479">
        <v>68.999601398957111</v>
      </c>
      <c r="BJ84" s="478"/>
      <c r="BK84" s="479">
        <v>13.124550748795453</v>
      </c>
      <c r="BL84" s="478"/>
      <c r="BM84" s="478"/>
      <c r="BN84" s="478"/>
      <c r="BO84" s="479">
        <v>7.2236740799400696</v>
      </c>
      <c r="BP84" s="480">
        <v>227.1948305036122</v>
      </c>
      <c r="BQ84" s="473"/>
      <c r="BR84" s="351"/>
      <c r="BS84" s="478"/>
      <c r="BT84" s="479">
        <v>11.562731794778891</v>
      </c>
      <c r="BU84" s="478"/>
      <c r="BV84" s="478"/>
      <c r="BW84" s="479">
        <v>24.225459436799323</v>
      </c>
      <c r="BX84" s="478"/>
      <c r="BY84" s="478"/>
      <c r="BZ84" s="478"/>
      <c r="CA84" s="479">
        <v>83.091615869072612</v>
      </c>
      <c r="CB84" s="478"/>
      <c r="CC84" s="479">
        <v>84.990514454740747</v>
      </c>
      <c r="CD84" s="478"/>
      <c r="CE84" s="478"/>
      <c r="CF84" s="478"/>
      <c r="CG84" s="479">
        <v>234.77458915126425</v>
      </c>
      <c r="CH84" s="480">
        <v>438.64491070665582</v>
      </c>
      <c r="CI84" s="473"/>
      <c r="CJ84" s="351"/>
      <c r="CK84" s="478"/>
      <c r="CL84" s="478"/>
      <c r="CM84" s="479">
        <v>97.522615454383001</v>
      </c>
      <c r="CN84" s="478"/>
      <c r="CO84" s="479">
        <v>9.9433906594384407</v>
      </c>
      <c r="CP84" s="478"/>
      <c r="CQ84" s="479">
        <v>0</v>
      </c>
      <c r="CR84" s="478"/>
      <c r="CS84" s="479">
        <v>0</v>
      </c>
      <c r="CT84" s="478"/>
      <c r="CU84" s="479">
        <v>0</v>
      </c>
      <c r="CV84" s="478"/>
      <c r="CW84" s="479">
        <v>0</v>
      </c>
      <c r="CX84" s="480">
        <v>107.46600611382144</v>
      </c>
      <c r="CY84" s="473"/>
      <c r="CZ84" s="351"/>
    </row>
    <row r="85" spans="3:104" s="278" customFormat="1" hidden="1">
      <c r="C85" s="288"/>
      <c r="D85" s="346"/>
      <c r="E85" s="289"/>
      <c r="F85" s="474" t="s">
        <v>1378</v>
      </c>
      <c r="G85" s="236"/>
      <c r="H85" s="475">
        <v>12837.789227857689</v>
      </c>
      <c r="I85" s="475">
        <v>6654.8165539337033</v>
      </c>
      <c r="J85" s="475">
        <v>459.24927737564803</v>
      </c>
      <c r="K85" s="475">
        <v>-569.44494400775864</v>
      </c>
      <c r="L85" s="475">
        <v>9400.8240843972926</v>
      </c>
      <c r="M85" s="475">
        <v>33956.571719136846</v>
      </c>
      <c r="N85" s="475">
        <v>748.72452008705102</v>
      </c>
      <c r="O85" s="475">
        <v>3035.3750478733573</v>
      </c>
      <c r="P85" s="476">
        <v>66523.905486653675</v>
      </c>
      <c r="Q85" s="475">
        <v>-66500.718892820412</v>
      </c>
      <c r="R85" s="475">
        <v>-25354.927174721048</v>
      </c>
      <c r="S85" s="475">
        <v>-560.13339820069643</v>
      </c>
      <c r="T85" s="476">
        <v>3681.2837228771732</v>
      </c>
      <c r="U85" s="475">
        <v>55933.02731629253</v>
      </c>
      <c r="V85" s="475">
        <v>1606.8775490022783</v>
      </c>
      <c r="W85" s="475">
        <v>-65.197186172385869</v>
      </c>
      <c r="X85" s="475">
        <v>43527.056739566047</v>
      </c>
      <c r="Y85" s="475">
        <v>-1116.292500221572</v>
      </c>
      <c r="Z85" s="475">
        <v>560.68372444873023</v>
      </c>
      <c r="AA85" s="475">
        <v>15059.559972015535</v>
      </c>
      <c r="AB85" s="475">
        <v>-164.0913617175319</v>
      </c>
      <c r="AC85" s="475">
        <v>-771.14103879071729</v>
      </c>
      <c r="AD85" s="475">
        <v>310.02487537266092</v>
      </c>
      <c r="AE85" s="476">
        <v>114880.50808979558</v>
      </c>
      <c r="AF85" s="475">
        <v>13637.33688173788</v>
      </c>
      <c r="AG85" s="475">
        <v>10329.640195836049</v>
      </c>
      <c r="AH85" s="475">
        <v>145.17999367155633</v>
      </c>
      <c r="AI85" s="475">
        <v>1121.3344918927185</v>
      </c>
      <c r="AJ85" s="475">
        <v>-115.68308504497395</v>
      </c>
      <c r="AK85" s="475">
        <v>-41.878882429757709</v>
      </c>
      <c r="AL85" s="476">
        <v>25075.929595663452</v>
      </c>
      <c r="AM85" s="475">
        <v>41355.075592844274</v>
      </c>
      <c r="AN85" s="475">
        <v>1534.2911488877739</v>
      </c>
      <c r="AO85" s="476">
        <v>42889.366741732039</v>
      </c>
      <c r="AP85" s="475">
        <v>266.81305390115369</v>
      </c>
      <c r="AQ85" s="476">
        <v>266.81305390115369</v>
      </c>
      <c r="AR85" s="477">
        <v>253317.80669062308</v>
      </c>
      <c r="AT85" s="351"/>
      <c r="AU85" s="478"/>
      <c r="AV85" s="478"/>
      <c r="AW85" s="478"/>
      <c r="AX85" s="478"/>
      <c r="AY85" s="478"/>
      <c r="AZ85" s="478"/>
      <c r="BA85" s="479">
        <v>22660.40032319216</v>
      </c>
      <c r="BB85" s="478"/>
      <c r="BC85" s="479">
        <v>514.51078959502695</v>
      </c>
      <c r="BD85" s="478"/>
      <c r="BE85" s="479">
        <v>-870.74084050278054</v>
      </c>
      <c r="BF85" s="478"/>
      <c r="BG85" s="479">
        <v>-129.98422188435745</v>
      </c>
      <c r="BH85" s="478"/>
      <c r="BI85" s="479">
        <v>-3808.6823836799244</v>
      </c>
      <c r="BJ85" s="478"/>
      <c r="BK85" s="479">
        <v>1129.1544226280446</v>
      </c>
      <c r="BL85" s="478"/>
      <c r="BM85" s="478"/>
      <c r="BN85" s="478"/>
      <c r="BO85" s="479">
        <v>311.31801345954881</v>
      </c>
      <c r="BP85" s="480">
        <v>19805.976102807719</v>
      </c>
      <c r="BQ85" s="473"/>
      <c r="BR85" s="351"/>
      <c r="BS85" s="478"/>
      <c r="BT85" s="479">
        <v>-328.63176459361546</v>
      </c>
      <c r="BU85" s="478"/>
      <c r="BV85" s="478"/>
      <c r="BW85" s="479">
        <v>-3420.3909952534154</v>
      </c>
      <c r="BX85" s="478"/>
      <c r="BY85" s="478"/>
      <c r="BZ85" s="478"/>
      <c r="CA85" s="479">
        <v>-321.52784964984482</v>
      </c>
      <c r="CB85" s="478"/>
      <c r="CC85" s="479">
        <v>19547.328580322868</v>
      </c>
      <c r="CD85" s="478"/>
      <c r="CE85" s="478"/>
      <c r="CF85" s="478"/>
      <c r="CG85" s="479">
        <v>8185.465199221002</v>
      </c>
      <c r="CH85" s="480">
        <v>23662.243170046993</v>
      </c>
      <c r="CI85" s="473"/>
      <c r="CJ85" s="351"/>
      <c r="CK85" s="478"/>
      <c r="CL85" s="478"/>
      <c r="CM85" s="479">
        <v>7204.4403013414903</v>
      </c>
      <c r="CN85" s="478"/>
      <c r="CO85" s="479">
        <v>-3984.952635407858</v>
      </c>
      <c r="CP85" s="478"/>
      <c r="CQ85" s="479">
        <v>256.96094935247402</v>
      </c>
      <c r="CR85" s="478"/>
      <c r="CS85" s="479">
        <v>-1996.0001532070282</v>
      </c>
      <c r="CT85" s="478"/>
      <c r="CU85" s="479">
        <v>0.60209788136325237</v>
      </c>
      <c r="CV85" s="478"/>
      <c r="CW85" s="479">
        <v>-5897.0335478031775</v>
      </c>
      <c r="CX85" s="480">
        <v>-4415.9829878427363</v>
      </c>
      <c r="CY85" s="473"/>
      <c r="CZ85" s="351"/>
    </row>
    <row r="86" spans="3:104" s="278" customFormat="1" hidden="1" outlineLevel="1">
      <c r="C86" s="288" t="s">
        <v>1379</v>
      </c>
      <c r="D86" s="419" t="s">
        <v>1352</v>
      </c>
      <c r="E86" s="420" t="s">
        <v>5</v>
      </c>
      <c r="F86" s="481" t="s">
        <v>1379</v>
      </c>
      <c r="G86" s="236"/>
      <c r="H86" s="436">
        <v>0</v>
      </c>
      <c r="I86" s="475">
        <v>0</v>
      </c>
      <c r="J86" s="475">
        <v>0</v>
      </c>
      <c r="K86" s="475">
        <v>0</v>
      </c>
      <c r="L86" s="475">
        <v>0</v>
      </c>
      <c r="M86" s="475">
        <v>0</v>
      </c>
      <c r="N86" s="475">
        <v>0</v>
      </c>
      <c r="O86" s="475">
        <v>0</v>
      </c>
      <c r="P86" s="476">
        <v>0</v>
      </c>
      <c r="Q86" s="475">
        <v>0</v>
      </c>
      <c r="R86" s="475">
        <v>0</v>
      </c>
      <c r="S86" s="475">
        <v>0</v>
      </c>
      <c r="T86" s="476">
        <v>0</v>
      </c>
      <c r="U86" s="475">
        <v>0</v>
      </c>
      <c r="V86" s="475">
        <v>0</v>
      </c>
      <c r="W86" s="475">
        <v>0</v>
      </c>
      <c r="X86" s="475">
        <v>0</v>
      </c>
      <c r="Y86" s="475">
        <v>0</v>
      </c>
      <c r="Z86" s="475">
        <v>0</v>
      </c>
      <c r="AA86" s="475">
        <v>0</v>
      </c>
      <c r="AB86" s="475">
        <v>0</v>
      </c>
      <c r="AC86" s="475">
        <v>0</v>
      </c>
      <c r="AD86" s="475">
        <v>0</v>
      </c>
      <c r="AE86" s="476">
        <v>0</v>
      </c>
      <c r="AF86" s="475">
        <v>0</v>
      </c>
      <c r="AG86" s="475">
        <v>0</v>
      </c>
      <c r="AH86" s="475">
        <v>0</v>
      </c>
      <c r="AI86" s="475">
        <v>0</v>
      </c>
      <c r="AJ86" s="475">
        <v>0</v>
      </c>
      <c r="AK86" s="475">
        <v>0</v>
      </c>
      <c r="AL86" s="476">
        <v>0</v>
      </c>
      <c r="AM86" s="475">
        <v>0</v>
      </c>
      <c r="AN86" s="475">
        <v>0</v>
      </c>
      <c r="AO86" s="476">
        <v>0</v>
      </c>
      <c r="AP86" s="475">
        <v>0</v>
      </c>
      <c r="AQ86" s="476">
        <v>0</v>
      </c>
      <c r="AR86" s="477">
        <v>0</v>
      </c>
      <c r="AT86" s="351"/>
      <c r="AU86" s="478"/>
      <c r="AV86" s="478"/>
      <c r="AW86" s="478"/>
      <c r="AX86" s="478"/>
      <c r="AY86" s="478"/>
      <c r="AZ86" s="478"/>
      <c r="BA86" s="479">
        <v>0</v>
      </c>
      <c r="BB86" s="478"/>
      <c r="BC86" s="479">
        <v>0</v>
      </c>
      <c r="BD86" s="478"/>
      <c r="BE86" s="479">
        <v>0</v>
      </c>
      <c r="BF86" s="478"/>
      <c r="BG86" s="479">
        <v>0</v>
      </c>
      <c r="BH86" s="478"/>
      <c r="BI86" s="479">
        <v>0</v>
      </c>
      <c r="BJ86" s="478"/>
      <c r="BK86" s="479">
        <v>0</v>
      </c>
      <c r="BL86" s="478"/>
      <c r="BM86" s="478"/>
      <c r="BN86" s="478"/>
      <c r="BO86" s="479">
        <v>0</v>
      </c>
      <c r="BP86" s="480">
        <v>0</v>
      </c>
      <c r="BQ86" s="473"/>
      <c r="BR86" s="351"/>
      <c r="BS86" s="478"/>
      <c r="BT86" s="479">
        <v>0</v>
      </c>
      <c r="BU86" s="478"/>
      <c r="BV86" s="478"/>
      <c r="BW86" s="479">
        <v>0</v>
      </c>
      <c r="BX86" s="478"/>
      <c r="BY86" s="478"/>
      <c r="BZ86" s="478"/>
      <c r="CA86" s="479">
        <v>0</v>
      </c>
      <c r="CB86" s="478"/>
      <c r="CC86" s="479">
        <v>0</v>
      </c>
      <c r="CD86" s="478"/>
      <c r="CE86" s="478"/>
      <c r="CF86" s="478"/>
      <c r="CG86" s="479">
        <v>0</v>
      </c>
      <c r="CH86" s="480">
        <v>0</v>
      </c>
      <c r="CI86" s="473"/>
      <c r="CJ86" s="351"/>
      <c r="CK86" s="478"/>
      <c r="CL86" s="478"/>
      <c r="CM86" s="479">
        <v>0</v>
      </c>
      <c r="CN86" s="478"/>
      <c r="CO86" s="479">
        <v>0</v>
      </c>
      <c r="CP86" s="478"/>
      <c r="CQ86" s="479">
        <v>0</v>
      </c>
      <c r="CR86" s="478"/>
      <c r="CS86" s="479">
        <v>0</v>
      </c>
      <c r="CT86" s="478"/>
      <c r="CU86" s="479">
        <v>0</v>
      </c>
      <c r="CV86" s="478"/>
      <c r="CW86" s="479">
        <v>0</v>
      </c>
      <c r="CX86" s="480">
        <v>0</v>
      </c>
      <c r="CY86" s="473"/>
      <c r="CZ86" s="351"/>
    </row>
    <row r="87" spans="3:104" s="278" customFormat="1" hidden="1" outlineLevel="1">
      <c r="C87" s="288" t="s">
        <v>1380</v>
      </c>
      <c r="D87" s="370" t="s">
        <v>1338</v>
      </c>
      <c r="E87" s="412" t="s">
        <v>1298</v>
      </c>
      <c r="F87" s="481" t="s">
        <v>1380</v>
      </c>
      <c r="G87" s="236"/>
      <c r="H87" s="475">
        <v>0</v>
      </c>
      <c r="I87" s="475">
        <v>0</v>
      </c>
      <c r="J87" s="475">
        <v>0</v>
      </c>
      <c r="K87" s="475">
        <v>0</v>
      </c>
      <c r="L87" s="475">
        <v>0</v>
      </c>
      <c r="M87" s="475">
        <v>0</v>
      </c>
      <c r="N87" s="475">
        <v>0</v>
      </c>
      <c r="O87" s="475">
        <v>0</v>
      </c>
      <c r="P87" s="476">
        <v>0</v>
      </c>
      <c r="Q87" s="475">
        <v>0</v>
      </c>
      <c r="R87" s="475">
        <v>0</v>
      </c>
      <c r="S87" s="475">
        <v>0</v>
      </c>
      <c r="T87" s="476">
        <v>0</v>
      </c>
      <c r="U87" s="475">
        <v>0</v>
      </c>
      <c r="V87" s="475">
        <v>0</v>
      </c>
      <c r="W87" s="475">
        <v>0</v>
      </c>
      <c r="X87" s="475">
        <v>0</v>
      </c>
      <c r="Y87" s="475">
        <v>0</v>
      </c>
      <c r="Z87" s="475">
        <v>0</v>
      </c>
      <c r="AA87" s="475">
        <v>0</v>
      </c>
      <c r="AB87" s="475">
        <v>0</v>
      </c>
      <c r="AC87" s="475">
        <v>0</v>
      </c>
      <c r="AD87" s="475">
        <v>0</v>
      </c>
      <c r="AE87" s="476">
        <v>0</v>
      </c>
      <c r="AF87" s="475">
        <v>0</v>
      </c>
      <c r="AG87" s="475">
        <v>0</v>
      </c>
      <c r="AH87" s="475">
        <v>0</v>
      </c>
      <c r="AI87" s="475">
        <v>0</v>
      </c>
      <c r="AJ87" s="475">
        <v>0</v>
      </c>
      <c r="AK87" s="475">
        <v>0</v>
      </c>
      <c r="AL87" s="476">
        <v>0</v>
      </c>
      <c r="AM87" s="475">
        <v>0</v>
      </c>
      <c r="AN87" s="475">
        <v>0</v>
      </c>
      <c r="AO87" s="476">
        <v>0</v>
      </c>
      <c r="AP87" s="475">
        <v>0</v>
      </c>
      <c r="AQ87" s="476">
        <v>0</v>
      </c>
      <c r="AR87" s="477">
        <v>0</v>
      </c>
      <c r="AT87" s="351"/>
      <c r="AU87" s="478"/>
      <c r="AV87" s="478"/>
      <c r="AW87" s="478"/>
      <c r="AX87" s="478"/>
      <c r="AY87" s="478"/>
      <c r="AZ87" s="478"/>
      <c r="BA87" s="479">
        <v>0</v>
      </c>
      <c r="BB87" s="478"/>
      <c r="BC87" s="479">
        <v>0</v>
      </c>
      <c r="BD87" s="478"/>
      <c r="BE87" s="479">
        <v>0</v>
      </c>
      <c r="BF87" s="478"/>
      <c r="BG87" s="479">
        <v>0</v>
      </c>
      <c r="BH87" s="478"/>
      <c r="BI87" s="479">
        <v>0</v>
      </c>
      <c r="BJ87" s="478"/>
      <c r="BK87" s="479">
        <v>0</v>
      </c>
      <c r="BL87" s="478"/>
      <c r="BM87" s="478"/>
      <c r="BN87" s="478"/>
      <c r="BO87" s="479">
        <v>0</v>
      </c>
      <c r="BP87" s="480">
        <v>0</v>
      </c>
      <c r="BQ87" s="473"/>
      <c r="BR87" s="399"/>
      <c r="BS87" s="478"/>
      <c r="BT87" s="479">
        <v>0</v>
      </c>
      <c r="BU87" s="478"/>
      <c r="BV87" s="478"/>
      <c r="BW87" s="479">
        <v>0</v>
      </c>
      <c r="BX87" s="478"/>
      <c r="BY87" s="478"/>
      <c r="BZ87" s="478"/>
      <c r="CA87" s="479">
        <v>0</v>
      </c>
      <c r="CB87" s="478"/>
      <c r="CC87" s="479">
        <v>0</v>
      </c>
      <c r="CD87" s="478"/>
      <c r="CE87" s="478"/>
      <c r="CF87" s="478"/>
      <c r="CG87" s="479">
        <v>0</v>
      </c>
      <c r="CH87" s="480">
        <v>0</v>
      </c>
      <c r="CI87" s="473"/>
      <c r="CJ87" s="351"/>
      <c r="CK87" s="478"/>
      <c r="CL87" s="478"/>
      <c r="CM87" s="479">
        <v>0</v>
      </c>
      <c r="CN87" s="478"/>
      <c r="CO87" s="479">
        <v>0</v>
      </c>
      <c r="CP87" s="478"/>
      <c r="CQ87" s="479">
        <v>0</v>
      </c>
      <c r="CR87" s="478"/>
      <c r="CS87" s="479">
        <v>0</v>
      </c>
      <c r="CT87" s="478"/>
      <c r="CU87" s="479">
        <v>0</v>
      </c>
      <c r="CV87" s="478"/>
      <c r="CW87" s="479">
        <v>0</v>
      </c>
      <c r="CX87" s="480">
        <v>0</v>
      </c>
      <c r="CY87" s="473"/>
      <c r="CZ87" s="351"/>
    </row>
    <row r="88" spans="3:104" s="278" customFormat="1" hidden="1" outlineLevel="1">
      <c r="C88" s="288" t="s">
        <v>1381</v>
      </c>
      <c r="D88" s="370" t="s">
        <v>1338</v>
      </c>
      <c r="E88" s="422" t="s">
        <v>1354</v>
      </c>
      <c r="F88" s="481" t="s">
        <v>1381</v>
      </c>
      <c r="G88" s="236"/>
      <c r="H88" s="475">
        <v>0</v>
      </c>
      <c r="I88" s="475">
        <v>0</v>
      </c>
      <c r="J88" s="475">
        <v>0</v>
      </c>
      <c r="K88" s="475">
        <v>0</v>
      </c>
      <c r="L88" s="475">
        <v>0</v>
      </c>
      <c r="M88" s="475">
        <v>0</v>
      </c>
      <c r="N88" s="475">
        <v>0</v>
      </c>
      <c r="O88" s="475">
        <v>0</v>
      </c>
      <c r="P88" s="476">
        <v>0</v>
      </c>
      <c r="Q88" s="475">
        <v>0</v>
      </c>
      <c r="R88" s="475">
        <v>0</v>
      </c>
      <c r="S88" s="475">
        <v>0</v>
      </c>
      <c r="T88" s="476">
        <v>0</v>
      </c>
      <c r="U88" s="475">
        <v>0</v>
      </c>
      <c r="V88" s="475">
        <v>0</v>
      </c>
      <c r="W88" s="475">
        <v>0</v>
      </c>
      <c r="X88" s="475">
        <v>0</v>
      </c>
      <c r="Y88" s="475">
        <v>0</v>
      </c>
      <c r="Z88" s="475">
        <v>0</v>
      </c>
      <c r="AA88" s="475">
        <v>0</v>
      </c>
      <c r="AB88" s="475">
        <v>0</v>
      </c>
      <c r="AC88" s="475">
        <v>0</v>
      </c>
      <c r="AD88" s="475">
        <v>0</v>
      </c>
      <c r="AE88" s="476">
        <v>0</v>
      </c>
      <c r="AF88" s="475">
        <v>0</v>
      </c>
      <c r="AG88" s="475">
        <v>0</v>
      </c>
      <c r="AH88" s="475">
        <v>0</v>
      </c>
      <c r="AI88" s="475">
        <v>0</v>
      </c>
      <c r="AJ88" s="475">
        <v>0</v>
      </c>
      <c r="AK88" s="475">
        <v>0</v>
      </c>
      <c r="AL88" s="476">
        <v>0</v>
      </c>
      <c r="AM88" s="475">
        <v>0</v>
      </c>
      <c r="AN88" s="475">
        <v>0</v>
      </c>
      <c r="AO88" s="476">
        <v>0</v>
      </c>
      <c r="AP88" s="475">
        <v>0</v>
      </c>
      <c r="AQ88" s="476">
        <v>0</v>
      </c>
      <c r="AR88" s="477">
        <v>0</v>
      </c>
      <c r="AT88" s="351"/>
      <c r="AU88" s="478"/>
      <c r="AV88" s="478"/>
      <c r="AW88" s="478"/>
      <c r="AX88" s="478"/>
      <c r="AY88" s="478"/>
      <c r="AZ88" s="478"/>
      <c r="BA88" s="479">
        <v>0</v>
      </c>
      <c r="BB88" s="478"/>
      <c r="BC88" s="479">
        <v>0</v>
      </c>
      <c r="BD88" s="478"/>
      <c r="BE88" s="479">
        <v>0</v>
      </c>
      <c r="BF88" s="478"/>
      <c r="BG88" s="479">
        <v>0</v>
      </c>
      <c r="BH88" s="478"/>
      <c r="BI88" s="479">
        <v>0</v>
      </c>
      <c r="BJ88" s="478"/>
      <c r="BK88" s="479">
        <v>0</v>
      </c>
      <c r="BL88" s="478"/>
      <c r="BM88" s="478"/>
      <c r="BN88" s="478"/>
      <c r="BO88" s="479">
        <v>0</v>
      </c>
      <c r="BP88" s="480">
        <v>0</v>
      </c>
      <c r="BQ88" s="473"/>
      <c r="BR88" s="189"/>
      <c r="BS88" s="478"/>
      <c r="BT88" s="479">
        <v>0</v>
      </c>
      <c r="BU88" s="478"/>
      <c r="BV88" s="478"/>
      <c r="BW88" s="479">
        <v>0</v>
      </c>
      <c r="BX88" s="478"/>
      <c r="BY88" s="478"/>
      <c r="BZ88" s="478"/>
      <c r="CA88" s="479">
        <v>0</v>
      </c>
      <c r="CB88" s="478"/>
      <c r="CC88" s="479">
        <v>0</v>
      </c>
      <c r="CD88" s="478"/>
      <c r="CE88" s="478"/>
      <c r="CF88" s="478"/>
      <c r="CG88" s="479">
        <v>0</v>
      </c>
      <c r="CH88" s="480">
        <v>0</v>
      </c>
      <c r="CI88" s="473"/>
      <c r="CJ88" s="351"/>
      <c r="CK88" s="478"/>
      <c r="CL88" s="478"/>
      <c r="CM88" s="479">
        <v>0</v>
      </c>
      <c r="CN88" s="478"/>
      <c r="CO88" s="479">
        <v>0</v>
      </c>
      <c r="CP88" s="478"/>
      <c r="CQ88" s="479">
        <v>0</v>
      </c>
      <c r="CR88" s="478"/>
      <c r="CS88" s="479">
        <v>0</v>
      </c>
      <c r="CT88" s="478"/>
      <c r="CU88" s="479">
        <v>0</v>
      </c>
      <c r="CV88" s="478"/>
      <c r="CW88" s="479">
        <v>0</v>
      </c>
      <c r="CX88" s="480">
        <v>0</v>
      </c>
      <c r="CY88" s="473"/>
      <c r="CZ88" s="351"/>
    </row>
    <row r="89" spans="3:104" s="278" customFormat="1" hidden="1" outlineLevel="1">
      <c r="C89" s="288" t="s">
        <v>1382</v>
      </c>
      <c r="D89" s="370" t="s">
        <v>1338</v>
      </c>
      <c r="E89" s="412" t="s">
        <v>1298</v>
      </c>
      <c r="F89" s="481" t="s">
        <v>1382</v>
      </c>
      <c r="G89" s="236"/>
      <c r="H89" s="475">
        <v>0</v>
      </c>
      <c r="I89" s="475">
        <v>0</v>
      </c>
      <c r="J89" s="475">
        <v>0</v>
      </c>
      <c r="K89" s="475">
        <v>0</v>
      </c>
      <c r="L89" s="475">
        <v>0</v>
      </c>
      <c r="M89" s="475">
        <v>0</v>
      </c>
      <c r="N89" s="475">
        <v>0</v>
      </c>
      <c r="O89" s="475">
        <v>0</v>
      </c>
      <c r="P89" s="476">
        <v>0</v>
      </c>
      <c r="Q89" s="475">
        <v>0</v>
      </c>
      <c r="R89" s="475">
        <v>0</v>
      </c>
      <c r="S89" s="475">
        <v>0</v>
      </c>
      <c r="T89" s="476">
        <v>0</v>
      </c>
      <c r="U89" s="475">
        <v>0</v>
      </c>
      <c r="V89" s="475">
        <v>0</v>
      </c>
      <c r="W89" s="475">
        <v>0</v>
      </c>
      <c r="X89" s="475">
        <v>0</v>
      </c>
      <c r="Y89" s="475">
        <v>0</v>
      </c>
      <c r="Z89" s="475">
        <v>0</v>
      </c>
      <c r="AA89" s="475">
        <v>0</v>
      </c>
      <c r="AB89" s="475">
        <v>0</v>
      </c>
      <c r="AC89" s="475">
        <v>0</v>
      </c>
      <c r="AD89" s="475">
        <v>0</v>
      </c>
      <c r="AE89" s="476">
        <v>0</v>
      </c>
      <c r="AF89" s="475">
        <v>0</v>
      </c>
      <c r="AG89" s="475">
        <v>0</v>
      </c>
      <c r="AH89" s="475">
        <v>0</v>
      </c>
      <c r="AI89" s="475">
        <v>0</v>
      </c>
      <c r="AJ89" s="475">
        <v>0</v>
      </c>
      <c r="AK89" s="475">
        <v>0</v>
      </c>
      <c r="AL89" s="476">
        <v>0</v>
      </c>
      <c r="AM89" s="475">
        <v>0</v>
      </c>
      <c r="AN89" s="475">
        <v>0</v>
      </c>
      <c r="AO89" s="476">
        <v>0</v>
      </c>
      <c r="AP89" s="475">
        <v>0</v>
      </c>
      <c r="AQ89" s="476">
        <v>0</v>
      </c>
      <c r="AR89" s="477">
        <v>0</v>
      </c>
      <c r="AT89" s="351"/>
      <c r="AU89" s="478"/>
      <c r="AV89" s="478"/>
      <c r="AW89" s="478"/>
      <c r="AX89" s="478"/>
      <c r="AY89" s="478"/>
      <c r="AZ89" s="478"/>
      <c r="BA89" s="479">
        <v>0</v>
      </c>
      <c r="BB89" s="478"/>
      <c r="BC89" s="479">
        <v>0</v>
      </c>
      <c r="BD89" s="478"/>
      <c r="BE89" s="479">
        <v>0</v>
      </c>
      <c r="BF89" s="478"/>
      <c r="BG89" s="479">
        <v>0</v>
      </c>
      <c r="BH89" s="478"/>
      <c r="BI89" s="479">
        <v>0</v>
      </c>
      <c r="BJ89" s="478"/>
      <c r="BK89" s="479">
        <v>0</v>
      </c>
      <c r="BL89" s="478"/>
      <c r="BM89" s="478"/>
      <c r="BN89" s="478"/>
      <c r="BO89" s="479">
        <v>0</v>
      </c>
      <c r="BP89" s="480">
        <v>0</v>
      </c>
      <c r="BQ89" s="473"/>
      <c r="BR89" s="351"/>
      <c r="BS89" s="478"/>
      <c r="BT89" s="479">
        <v>0</v>
      </c>
      <c r="BU89" s="478"/>
      <c r="BV89" s="478"/>
      <c r="BW89" s="479">
        <v>0</v>
      </c>
      <c r="BX89" s="478"/>
      <c r="BY89" s="478"/>
      <c r="BZ89" s="478"/>
      <c r="CA89" s="479">
        <v>0</v>
      </c>
      <c r="CB89" s="478"/>
      <c r="CC89" s="479">
        <v>0</v>
      </c>
      <c r="CD89" s="478"/>
      <c r="CE89" s="478"/>
      <c r="CF89" s="478"/>
      <c r="CG89" s="479">
        <v>0</v>
      </c>
      <c r="CH89" s="480">
        <v>0</v>
      </c>
      <c r="CI89" s="473"/>
      <c r="CJ89" s="351"/>
      <c r="CK89" s="478"/>
      <c r="CL89" s="478"/>
      <c r="CM89" s="479">
        <v>0</v>
      </c>
      <c r="CN89" s="478"/>
      <c r="CO89" s="479">
        <v>0</v>
      </c>
      <c r="CP89" s="478"/>
      <c r="CQ89" s="479">
        <v>0</v>
      </c>
      <c r="CR89" s="478"/>
      <c r="CS89" s="479">
        <v>0</v>
      </c>
      <c r="CT89" s="478"/>
      <c r="CU89" s="479">
        <v>0</v>
      </c>
      <c r="CV89" s="478"/>
      <c r="CW89" s="479">
        <v>0</v>
      </c>
      <c r="CX89" s="480">
        <v>0</v>
      </c>
      <c r="CY89" s="473"/>
      <c r="CZ89" s="351"/>
    </row>
    <row r="90" spans="3:104" s="278" customFormat="1" hidden="1" outlineLevel="1">
      <c r="C90" s="288" t="s">
        <v>1383</v>
      </c>
      <c r="D90" s="370" t="s">
        <v>1338</v>
      </c>
      <c r="E90" s="412" t="s">
        <v>1298</v>
      </c>
      <c r="F90" s="481" t="s">
        <v>1383</v>
      </c>
      <c r="G90" s="236"/>
      <c r="H90" s="475">
        <v>0</v>
      </c>
      <c r="I90" s="475">
        <v>0</v>
      </c>
      <c r="J90" s="475">
        <v>0</v>
      </c>
      <c r="K90" s="475">
        <v>0</v>
      </c>
      <c r="L90" s="475">
        <v>0</v>
      </c>
      <c r="M90" s="475">
        <v>0</v>
      </c>
      <c r="N90" s="475">
        <v>0</v>
      </c>
      <c r="O90" s="475">
        <v>0</v>
      </c>
      <c r="P90" s="476">
        <v>0</v>
      </c>
      <c r="Q90" s="475">
        <v>0</v>
      </c>
      <c r="R90" s="475">
        <v>0</v>
      </c>
      <c r="S90" s="475">
        <v>0</v>
      </c>
      <c r="T90" s="476">
        <v>0</v>
      </c>
      <c r="U90" s="475">
        <v>0</v>
      </c>
      <c r="V90" s="475">
        <v>0</v>
      </c>
      <c r="W90" s="475">
        <v>0</v>
      </c>
      <c r="X90" s="475">
        <v>0</v>
      </c>
      <c r="Y90" s="475">
        <v>0</v>
      </c>
      <c r="Z90" s="475">
        <v>0</v>
      </c>
      <c r="AA90" s="475">
        <v>0</v>
      </c>
      <c r="AB90" s="475">
        <v>0</v>
      </c>
      <c r="AC90" s="475">
        <v>0</v>
      </c>
      <c r="AD90" s="475">
        <v>0</v>
      </c>
      <c r="AE90" s="476">
        <v>0</v>
      </c>
      <c r="AF90" s="475">
        <v>0</v>
      </c>
      <c r="AG90" s="475">
        <v>0</v>
      </c>
      <c r="AH90" s="475">
        <v>0</v>
      </c>
      <c r="AI90" s="475">
        <v>0</v>
      </c>
      <c r="AJ90" s="475">
        <v>0</v>
      </c>
      <c r="AK90" s="475">
        <v>0</v>
      </c>
      <c r="AL90" s="476">
        <v>0</v>
      </c>
      <c r="AM90" s="475">
        <v>0</v>
      </c>
      <c r="AN90" s="475">
        <v>0</v>
      </c>
      <c r="AO90" s="476">
        <v>0</v>
      </c>
      <c r="AP90" s="475">
        <v>0</v>
      </c>
      <c r="AQ90" s="476">
        <v>0</v>
      </c>
      <c r="AR90" s="477">
        <v>0</v>
      </c>
      <c r="AT90" s="351"/>
      <c r="AU90" s="478"/>
      <c r="AV90" s="478"/>
      <c r="AW90" s="478"/>
      <c r="AX90" s="478"/>
      <c r="AY90" s="478"/>
      <c r="AZ90" s="478"/>
      <c r="BA90" s="479">
        <v>0</v>
      </c>
      <c r="BB90" s="478"/>
      <c r="BC90" s="479">
        <v>0</v>
      </c>
      <c r="BD90" s="478"/>
      <c r="BE90" s="479">
        <v>0</v>
      </c>
      <c r="BF90" s="478"/>
      <c r="BG90" s="479">
        <v>0</v>
      </c>
      <c r="BH90" s="478"/>
      <c r="BI90" s="479">
        <v>0</v>
      </c>
      <c r="BJ90" s="478"/>
      <c r="BK90" s="479">
        <v>0</v>
      </c>
      <c r="BL90" s="478"/>
      <c r="BM90" s="478"/>
      <c r="BN90" s="478"/>
      <c r="BO90" s="479">
        <v>0</v>
      </c>
      <c r="BP90" s="480">
        <v>0</v>
      </c>
      <c r="BQ90" s="473"/>
      <c r="BR90" s="351"/>
      <c r="BS90" s="478"/>
      <c r="BT90" s="479">
        <v>0</v>
      </c>
      <c r="BU90" s="478"/>
      <c r="BV90" s="478"/>
      <c r="BW90" s="479">
        <v>0</v>
      </c>
      <c r="BX90" s="478"/>
      <c r="BY90" s="478"/>
      <c r="BZ90" s="478"/>
      <c r="CA90" s="479">
        <v>0</v>
      </c>
      <c r="CB90" s="478"/>
      <c r="CC90" s="479">
        <v>0</v>
      </c>
      <c r="CD90" s="478"/>
      <c r="CE90" s="478"/>
      <c r="CF90" s="478"/>
      <c r="CG90" s="479">
        <v>0</v>
      </c>
      <c r="CH90" s="480">
        <v>0</v>
      </c>
      <c r="CI90" s="473"/>
      <c r="CJ90" s="351"/>
      <c r="CK90" s="478"/>
      <c r="CL90" s="478"/>
      <c r="CM90" s="479">
        <v>0</v>
      </c>
      <c r="CN90" s="478"/>
      <c r="CO90" s="479">
        <v>0</v>
      </c>
      <c r="CP90" s="478"/>
      <c r="CQ90" s="479">
        <v>0</v>
      </c>
      <c r="CR90" s="478"/>
      <c r="CS90" s="479">
        <v>0</v>
      </c>
      <c r="CT90" s="478"/>
      <c r="CU90" s="479">
        <v>0</v>
      </c>
      <c r="CV90" s="478"/>
      <c r="CW90" s="479">
        <v>0</v>
      </c>
      <c r="CX90" s="480">
        <v>0</v>
      </c>
      <c r="CY90" s="473"/>
      <c r="CZ90" s="351"/>
    </row>
    <row r="91" spans="3:104" s="278" customFormat="1" hidden="1" outlineLevel="1">
      <c r="C91" s="288" t="s">
        <v>1384</v>
      </c>
      <c r="D91" s="370" t="s">
        <v>1338</v>
      </c>
      <c r="E91" s="412" t="s">
        <v>1298</v>
      </c>
      <c r="F91" s="481" t="s">
        <v>1384</v>
      </c>
      <c r="G91" s="236"/>
      <c r="H91" s="475">
        <v>0</v>
      </c>
      <c r="I91" s="475">
        <v>0</v>
      </c>
      <c r="J91" s="475">
        <v>0</v>
      </c>
      <c r="K91" s="475">
        <v>0</v>
      </c>
      <c r="L91" s="475">
        <v>0</v>
      </c>
      <c r="M91" s="475">
        <v>0</v>
      </c>
      <c r="N91" s="475">
        <v>0</v>
      </c>
      <c r="O91" s="475">
        <v>0</v>
      </c>
      <c r="P91" s="476">
        <v>0</v>
      </c>
      <c r="Q91" s="475">
        <v>0</v>
      </c>
      <c r="R91" s="475">
        <v>0</v>
      </c>
      <c r="S91" s="475">
        <v>0</v>
      </c>
      <c r="T91" s="476">
        <v>0</v>
      </c>
      <c r="U91" s="475">
        <v>0</v>
      </c>
      <c r="V91" s="475">
        <v>0</v>
      </c>
      <c r="W91" s="475">
        <v>0</v>
      </c>
      <c r="X91" s="475">
        <v>0</v>
      </c>
      <c r="Y91" s="475">
        <v>0</v>
      </c>
      <c r="Z91" s="475">
        <v>0</v>
      </c>
      <c r="AA91" s="475">
        <v>0</v>
      </c>
      <c r="AB91" s="475">
        <v>0</v>
      </c>
      <c r="AC91" s="475">
        <v>0</v>
      </c>
      <c r="AD91" s="475">
        <v>0</v>
      </c>
      <c r="AE91" s="476">
        <v>0</v>
      </c>
      <c r="AF91" s="475">
        <v>0</v>
      </c>
      <c r="AG91" s="475">
        <v>0</v>
      </c>
      <c r="AH91" s="475">
        <v>0</v>
      </c>
      <c r="AI91" s="475">
        <v>0</v>
      </c>
      <c r="AJ91" s="475">
        <v>0</v>
      </c>
      <c r="AK91" s="475">
        <v>0</v>
      </c>
      <c r="AL91" s="476">
        <v>0</v>
      </c>
      <c r="AM91" s="475">
        <v>0</v>
      </c>
      <c r="AN91" s="475">
        <v>0</v>
      </c>
      <c r="AO91" s="476">
        <v>0</v>
      </c>
      <c r="AP91" s="475">
        <v>0</v>
      </c>
      <c r="AQ91" s="476">
        <v>0</v>
      </c>
      <c r="AR91" s="477">
        <v>0</v>
      </c>
      <c r="AT91" s="351"/>
      <c r="AU91" s="478"/>
      <c r="AV91" s="478"/>
      <c r="AW91" s="478"/>
      <c r="AX91" s="478"/>
      <c r="AY91" s="478"/>
      <c r="AZ91" s="478"/>
      <c r="BA91" s="479">
        <v>0</v>
      </c>
      <c r="BB91" s="478"/>
      <c r="BC91" s="479">
        <v>0</v>
      </c>
      <c r="BD91" s="478"/>
      <c r="BE91" s="479">
        <v>0</v>
      </c>
      <c r="BF91" s="478"/>
      <c r="BG91" s="479">
        <v>0</v>
      </c>
      <c r="BH91" s="478"/>
      <c r="BI91" s="479">
        <v>0</v>
      </c>
      <c r="BJ91" s="478"/>
      <c r="BK91" s="479">
        <v>0</v>
      </c>
      <c r="BL91" s="478"/>
      <c r="BM91" s="478"/>
      <c r="BN91" s="478"/>
      <c r="BO91" s="479">
        <v>0</v>
      </c>
      <c r="BP91" s="480">
        <v>0</v>
      </c>
      <c r="BQ91" s="473"/>
      <c r="BR91" s="351"/>
      <c r="BS91" s="478"/>
      <c r="BT91" s="479">
        <v>0</v>
      </c>
      <c r="BU91" s="478"/>
      <c r="BV91" s="478"/>
      <c r="BW91" s="479">
        <v>0</v>
      </c>
      <c r="BX91" s="478"/>
      <c r="BY91" s="478"/>
      <c r="BZ91" s="478"/>
      <c r="CA91" s="479">
        <v>0</v>
      </c>
      <c r="CB91" s="478"/>
      <c r="CC91" s="479">
        <v>0</v>
      </c>
      <c r="CD91" s="478"/>
      <c r="CE91" s="478"/>
      <c r="CF91" s="478"/>
      <c r="CG91" s="479">
        <v>0</v>
      </c>
      <c r="CH91" s="480">
        <v>0</v>
      </c>
      <c r="CI91" s="473"/>
      <c r="CJ91" s="351"/>
      <c r="CK91" s="478"/>
      <c r="CL91" s="478"/>
      <c r="CM91" s="479">
        <v>0</v>
      </c>
      <c r="CN91" s="478"/>
      <c r="CO91" s="479">
        <v>0</v>
      </c>
      <c r="CP91" s="478"/>
      <c r="CQ91" s="479">
        <v>0</v>
      </c>
      <c r="CR91" s="478"/>
      <c r="CS91" s="479">
        <v>0</v>
      </c>
      <c r="CT91" s="478"/>
      <c r="CU91" s="479">
        <v>0</v>
      </c>
      <c r="CV91" s="478"/>
      <c r="CW91" s="479">
        <v>0</v>
      </c>
      <c r="CX91" s="480">
        <v>0</v>
      </c>
      <c r="CY91" s="473"/>
      <c r="CZ91" s="351"/>
    </row>
    <row r="92" spans="3:104" s="278" customFormat="1" hidden="1" collapsed="1">
      <c r="C92" s="288" t="s">
        <v>1385</v>
      </c>
      <c r="D92" s="419" t="s">
        <v>1352</v>
      </c>
      <c r="E92" s="420" t="s">
        <v>5</v>
      </c>
      <c r="F92" s="474" t="s">
        <v>1386</v>
      </c>
      <c r="G92" s="236"/>
      <c r="H92" s="482">
        <v>0</v>
      </c>
      <c r="I92" s="475">
        <v>0</v>
      </c>
      <c r="J92" s="475">
        <v>0</v>
      </c>
      <c r="K92" s="475">
        <v>0</v>
      </c>
      <c r="L92" s="475">
        <v>0</v>
      </c>
      <c r="M92" s="475">
        <v>0</v>
      </c>
      <c r="N92" s="475">
        <v>0</v>
      </c>
      <c r="O92" s="475">
        <v>0</v>
      </c>
      <c r="P92" s="476">
        <v>0</v>
      </c>
      <c r="Q92" s="475">
        <v>0</v>
      </c>
      <c r="R92" s="475">
        <v>0</v>
      </c>
      <c r="S92" s="475">
        <v>0</v>
      </c>
      <c r="T92" s="476">
        <v>0</v>
      </c>
      <c r="U92" s="475">
        <v>0</v>
      </c>
      <c r="V92" s="475">
        <v>0</v>
      </c>
      <c r="W92" s="475">
        <v>0</v>
      </c>
      <c r="X92" s="475">
        <v>0</v>
      </c>
      <c r="Y92" s="475">
        <v>0</v>
      </c>
      <c r="Z92" s="475">
        <v>0</v>
      </c>
      <c r="AA92" s="475">
        <v>0</v>
      </c>
      <c r="AB92" s="475">
        <v>0</v>
      </c>
      <c r="AC92" s="475">
        <v>0</v>
      </c>
      <c r="AD92" s="475">
        <v>0</v>
      </c>
      <c r="AE92" s="476">
        <v>0</v>
      </c>
      <c r="AF92" s="475">
        <v>0</v>
      </c>
      <c r="AG92" s="475">
        <v>0</v>
      </c>
      <c r="AH92" s="475">
        <v>0</v>
      </c>
      <c r="AI92" s="475">
        <v>0</v>
      </c>
      <c r="AJ92" s="475">
        <v>0</v>
      </c>
      <c r="AK92" s="475">
        <v>0</v>
      </c>
      <c r="AL92" s="476">
        <v>0</v>
      </c>
      <c r="AM92" s="475">
        <v>0</v>
      </c>
      <c r="AN92" s="475">
        <v>0</v>
      </c>
      <c r="AO92" s="476">
        <v>0</v>
      </c>
      <c r="AP92" s="475">
        <v>0</v>
      </c>
      <c r="AQ92" s="476">
        <v>0</v>
      </c>
      <c r="AR92" s="477">
        <v>0</v>
      </c>
      <c r="AT92" s="351"/>
      <c r="AU92" s="478"/>
      <c r="AV92" s="478"/>
      <c r="AW92" s="478"/>
      <c r="AX92" s="478"/>
      <c r="AY92" s="478"/>
      <c r="AZ92" s="478"/>
      <c r="BA92" s="479">
        <v>0</v>
      </c>
      <c r="BB92" s="478"/>
      <c r="BC92" s="479">
        <v>0</v>
      </c>
      <c r="BD92" s="478"/>
      <c r="BE92" s="479">
        <v>0</v>
      </c>
      <c r="BF92" s="478"/>
      <c r="BG92" s="479">
        <v>0</v>
      </c>
      <c r="BH92" s="478"/>
      <c r="BI92" s="479">
        <v>0</v>
      </c>
      <c r="BJ92" s="478"/>
      <c r="BK92" s="479">
        <v>0</v>
      </c>
      <c r="BL92" s="478"/>
      <c r="BM92" s="478"/>
      <c r="BN92" s="478"/>
      <c r="BO92" s="479">
        <v>0</v>
      </c>
      <c r="BP92" s="480">
        <v>0</v>
      </c>
      <c r="BQ92" s="473"/>
      <c r="BR92" s="351"/>
      <c r="BS92" s="478"/>
      <c r="BT92" s="479">
        <v>0</v>
      </c>
      <c r="BU92" s="478"/>
      <c r="BV92" s="478"/>
      <c r="BW92" s="479">
        <v>0</v>
      </c>
      <c r="BX92" s="478"/>
      <c r="BY92" s="478"/>
      <c r="BZ92" s="478"/>
      <c r="CA92" s="479">
        <v>0</v>
      </c>
      <c r="CB92" s="478"/>
      <c r="CC92" s="479">
        <v>0</v>
      </c>
      <c r="CD92" s="478"/>
      <c r="CE92" s="478"/>
      <c r="CF92" s="478"/>
      <c r="CG92" s="479">
        <v>0</v>
      </c>
      <c r="CH92" s="480">
        <v>0</v>
      </c>
      <c r="CI92" s="473"/>
      <c r="CJ92" s="351"/>
      <c r="CK92" s="478"/>
      <c r="CL92" s="478"/>
      <c r="CM92" s="479">
        <v>0</v>
      </c>
      <c r="CN92" s="478"/>
      <c r="CO92" s="479">
        <v>0</v>
      </c>
      <c r="CP92" s="478"/>
      <c r="CQ92" s="479">
        <v>0</v>
      </c>
      <c r="CR92" s="478"/>
      <c r="CS92" s="479">
        <v>0</v>
      </c>
      <c r="CT92" s="478"/>
      <c r="CU92" s="479">
        <v>0</v>
      </c>
      <c r="CV92" s="478"/>
      <c r="CW92" s="479">
        <v>0</v>
      </c>
      <c r="CX92" s="480">
        <v>0</v>
      </c>
      <c r="CY92" s="473"/>
      <c r="CZ92" s="351"/>
    </row>
    <row r="93" spans="3:104" s="278" customFormat="1" hidden="1">
      <c r="C93" s="288"/>
      <c r="D93" s="346"/>
      <c r="E93" s="289"/>
      <c r="F93" s="474" t="s">
        <v>1387</v>
      </c>
      <c r="G93" s="236"/>
      <c r="H93" s="475">
        <v>12440.312071791865</v>
      </c>
      <c r="I93" s="475">
        <v>6495.5197764963486</v>
      </c>
      <c r="J93" s="475">
        <v>448.73656801055563</v>
      </c>
      <c r="K93" s="475">
        <v>-603.44406234376493</v>
      </c>
      <c r="L93" s="475">
        <v>9191.7803007768998</v>
      </c>
      <c r="M93" s="475">
        <v>33244.804839739241</v>
      </c>
      <c r="N93" s="475">
        <v>716.1973263914897</v>
      </c>
      <c r="O93" s="475">
        <v>2925.1375233356157</v>
      </c>
      <c r="P93" s="476">
        <v>64859.044344198104</v>
      </c>
      <c r="Q93" s="475">
        <v>-66542.883602795104</v>
      </c>
      <c r="R93" s="475">
        <v>-25365.451449965934</v>
      </c>
      <c r="S93" s="475">
        <v>-560.99380586653899</v>
      </c>
      <c r="T93" s="476">
        <v>3627.7343299917575</v>
      </c>
      <c r="U93" s="475">
        <v>55135.41586543103</v>
      </c>
      <c r="V93" s="475">
        <v>1569.1862897444098</v>
      </c>
      <c r="W93" s="475">
        <v>-74.532487175868937</v>
      </c>
      <c r="X93" s="475">
        <v>42813.904911176927</v>
      </c>
      <c r="Y93" s="475">
        <v>-1131.493435554677</v>
      </c>
      <c r="Z93" s="475">
        <v>546.70708969566567</v>
      </c>
      <c r="AA93" s="475">
        <v>14737.141481575767</v>
      </c>
      <c r="AB93" s="475">
        <v>-183.12499573101331</v>
      </c>
      <c r="AC93" s="475">
        <v>-771.14103879071729</v>
      </c>
      <c r="AD93" s="475">
        <v>299.71888652886264</v>
      </c>
      <c r="AE93" s="476">
        <v>112941.78256690039</v>
      </c>
      <c r="AF93" s="475">
        <v>13376.413519925623</v>
      </c>
      <c r="AG93" s="475">
        <v>10143.290143792252</v>
      </c>
      <c r="AH93" s="475">
        <v>135.59206073229325</v>
      </c>
      <c r="AI93" s="475">
        <v>1101.0119137064335</v>
      </c>
      <c r="AJ93" s="475">
        <v>-123.64945566675885</v>
      </c>
      <c r="AK93" s="475">
        <v>-50.91817253709462</v>
      </c>
      <c r="AL93" s="476">
        <v>24581.740009952729</v>
      </c>
      <c r="AM93" s="475">
        <v>40646.127545873424</v>
      </c>
      <c r="AN93" s="475">
        <v>1488.0092762256281</v>
      </c>
      <c r="AO93" s="476">
        <v>42134.136822099041</v>
      </c>
      <c r="AP93" s="475">
        <v>217.91198801422979</v>
      </c>
      <c r="AQ93" s="476">
        <v>217.91198801422979</v>
      </c>
      <c r="AR93" s="477">
        <v>248362.35006115626</v>
      </c>
      <c r="AT93" s="351"/>
      <c r="AU93" s="478"/>
      <c r="AV93" s="478"/>
      <c r="AW93" s="478"/>
      <c r="AX93" s="478"/>
      <c r="AY93" s="478"/>
      <c r="AZ93" s="478"/>
      <c r="BA93" s="479">
        <v>22531.928335936333</v>
      </c>
      <c r="BB93" s="478"/>
      <c r="BC93" s="479">
        <v>512.10835440557184</v>
      </c>
      <c r="BD93" s="478"/>
      <c r="BE93" s="479">
        <v>-872.43820435014959</v>
      </c>
      <c r="BF93" s="478"/>
      <c r="BG93" s="479">
        <v>-135.25943986762422</v>
      </c>
      <c r="BH93" s="478"/>
      <c r="BI93" s="479">
        <v>-3877.6819850788816</v>
      </c>
      <c r="BJ93" s="478"/>
      <c r="BK93" s="479">
        <v>1116.0298718792492</v>
      </c>
      <c r="BL93" s="478"/>
      <c r="BM93" s="478"/>
      <c r="BN93" s="478"/>
      <c r="BO93" s="479">
        <v>304.09433937960875</v>
      </c>
      <c r="BP93" s="480">
        <v>19578.78127230411</v>
      </c>
      <c r="BQ93" s="473"/>
      <c r="BR93" s="351"/>
      <c r="BS93" s="478"/>
      <c r="BT93" s="479">
        <v>-340.19449638839433</v>
      </c>
      <c r="BU93" s="478"/>
      <c r="BV93" s="478"/>
      <c r="BW93" s="479">
        <v>-3444.6164546902146</v>
      </c>
      <c r="BX93" s="478"/>
      <c r="BY93" s="478"/>
      <c r="BZ93" s="478"/>
      <c r="CA93" s="479">
        <v>-404.61946551891742</v>
      </c>
      <c r="CB93" s="478"/>
      <c r="CC93" s="479">
        <v>19462.338065868127</v>
      </c>
      <c r="CD93" s="478"/>
      <c r="CE93" s="478"/>
      <c r="CF93" s="478"/>
      <c r="CG93" s="479">
        <v>7950.6906100697379</v>
      </c>
      <c r="CH93" s="480">
        <v>23223.598259340339</v>
      </c>
      <c r="CI93" s="473"/>
      <c r="CJ93" s="351"/>
      <c r="CK93" s="478"/>
      <c r="CL93" s="478"/>
      <c r="CM93" s="479">
        <v>7106.9176858871069</v>
      </c>
      <c r="CN93" s="478"/>
      <c r="CO93" s="479">
        <v>-3994.8960260672966</v>
      </c>
      <c r="CP93" s="478"/>
      <c r="CQ93" s="479">
        <v>256.96094935247402</v>
      </c>
      <c r="CR93" s="478"/>
      <c r="CS93" s="479">
        <v>-1996.0001532070282</v>
      </c>
      <c r="CT93" s="478"/>
      <c r="CU93" s="479">
        <v>0.60209788136325237</v>
      </c>
      <c r="CV93" s="478"/>
      <c r="CW93" s="479">
        <v>-5897.0335478031775</v>
      </c>
      <c r="CX93" s="480">
        <v>-4523.4489939565583</v>
      </c>
      <c r="CY93" s="473"/>
      <c r="CZ93" s="351"/>
    </row>
    <row r="94" spans="3:104" s="278" customFormat="1" hidden="1">
      <c r="C94" s="288"/>
      <c r="D94" s="346"/>
      <c r="E94" s="289"/>
      <c r="F94" s="483" t="s">
        <v>1388</v>
      </c>
      <c r="G94" s="484"/>
      <c r="H94" s="485">
        <v>0.1127453937541361</v>
      </c>
      <c r="I94" s="485">
        <v>0.14688810421464535</v>
      </c>
      <c r="J94" s="485">
        <v>0.15376465229686681</v>
      </c>
      <c r="K94" s="485">
        <v>-6.3936531099637192E-2</v>
      </c>
      <c r="L94" s="485">
        <v>0.15839522477364737</v>
      </c>
      <c r="M94" s="485">
        <v>0.16825412451831767</v>
      </c>
      <c r="N94" s="485">
        <v>7.9316913521213658E-2</v>
      </c>
      <c r="O94" s="485">
        <v>9.5586496348800024E-2</v>
      </c>
      <c r="P94" s="486">
        <v>0.14033701500017232</v>
      </c>
      <c r="Q94" s="485">
        <v>-5.3809814062393935</v>
      </c>
      <c r="R94" s="485">
        <v>-8.2178723374263818</v>
      </c>
      <c r="S94" s="485">
        <v>-2.2231193915228986</v>
      </c>
      <c r="T94" s="486">
        <v>0.23098826423901969</v>
      </c>
      <c r="U94" s="485">
        <v>0.26813159749213655</v>
      </c>
      <c r="V94" s="485">
        <v>0.16148886377177937</v>
      </c>
      <c r="W94" s="485">
        <v>-3.0968916394065505E-2</v>
      </c>
      <c r="X94" s="485">
        <v>0.23286893740247119</v>
      </c>
      <c r="Y94" s="485">
        <v>-0.28872902781214499</v>
      </c>
      <c r="Z94" s="485">
        <v>0.15172628039119437</v>
      </c>
      <c r="AA94" s="485">
        <v>0.17729726407168611</v>
      </c>
      <c r="AB94" s="485">
        <v>-3.7319398436952936E-2</v>
      </c>
      <c r="AC94" s="485">
        <v>0</v>
      </c>
      <c r="AD94" s="485">
        <v>0.11280625039182061</v>
      </c>
      <c r="AE94" s="486">
        <v>0.22596804669280388</v>
      </c>
      <c r="AF94" s="485">
        <v>0.24661371041785221</v>
      </c>
      <c r="AG94" s="485">
        <v>0.26184231186529006</v>
      </c>
      <c r="AH94" s="485">
        <v>6.8029890221861247E-2</v>
      </c>
      <c r="AI94" s="485">
        <v>0.26061758255708617</v>
      </c>
      <c r="AJ94" s="485">
        <v>-7.4665881759995334E-2</v>
      </c>
      <c r="AK94" s="485">
        <v>-2.7097484728890064E-2</v>
      </c>
      <c r="AL94" s="486">
        <v>0.23928172378526666</v>
      </c>
      <c r="AM94" s="485">
        <v>0.23745875371558731</v>
      </c>
      <c r="AN94" s="485">
        <v>0.13316133313935319</v>
      </c>
      <c r="AO94" s="486">
        <v>0.23106721676423705</v>
      </c>
      <c r="AP94" s="485">
        <v>2.5849600298386625E-2</v>
      </c>
      <c r="AQ94" s="486">
        <v>2.5849600298386625E-2</v>
      </c>
      <c r="AR94" s="487">
        <v>0.19537755063570009</v>
      </c>
      <c r="AT94" s="351"/>
      <c r="AU94" s="488"/>
      <c r="AV94" s="488"/>
      <c r="AW94" s="488"/>
      <c r="AX94" s="488"/>
      <c r="AY94" s="488"/>
      <c r="AZ94" s="488"/>
      <c r="BA94" s="489">
        <v>8.3586650012349398E-2</v>
      </c>
      <c r="BB94" s="488"/>
      <c r="BC94" s="489">
        <v>6.3014541300977028E-2</v>
      </c>
      <c r="BD94" s="488"/>
      <c r="BE94" s="489">
        <v>-0.14865178088836933</v>
      </c>
      <c r="BF94" s="488"/>
      <c r="BG94" s="489">
        <v>-2.1078216065242059E-2</v>
      </c>
      <c r="BH94" s="488"/>
      <c r="BI94" s="489">
        <v>-7.3802344245336063E-2</v>
      </c>
      <c r="BJ94" s="488"/>
      <c r="BK94" s="489">
        <v>0.12712352328415749</v>
      </c>
      <c r="BL94" s="488"/>
      <c r="BM94" s="488"/>
      <c r="BN94" s="488"/>
      <c r="BO94" s="489">
        <v>2.6262453836166013E-2</v>
      </c>
      <c r="BP94" s="490">
        <v>5.39544408676189E-2</v>
      </c>
      <c r="BQ94" s="491"/>
      <c r="BR94" s="351"/>
      <c r="BS94" s="488"/>
      <c r="BT94" s="489">
        <v>-1.5791650500044982E-2</v>
      </c>
      <c r="BU94" s="488"/>
      <c r="BV94" s="488"/>
      <c r="BW94" s="489">
        <v>-6.3651646859170061E-2</v>
      </c>
      <c r="BX94" s="488"/>
      <c r="BY94" s="488"/>
      <c r="BZ94" s="488"/>
      <c r="CA94" s="489">
        <v>-1.0075139265088318E-2</v>
      </c>
      <c r="CB94" s="488"/>
      <c r="CC94" s="489">
        <v>0.23183252012618702</v>
      </c>
      <c r="CD94" s="488"/>
      <c r="CE94" s="488"/>
      <c r="CF94" s="488"/>
      <c r="CG94" s="489">
        <v>0.16900908244292781</v>
      </c>
      <c r="CH94" s="490">
        <v>9.409408231648389E-2</v>
      </c>
      <c r="CI94" s="491"/>
      <c r="CJ94" s="351"/>
      <c r="CK94" s="488"/>
      <c r="CL94" s="488"/>
      <c r="CM94" s="489">
        <v>0.12728984742998356</v>
      </c>
      <c r="CN94" s="488"/>
      <c r="CO94" s="489">
        <v>-0.33466410217829534</v>
      </c>
      <c r="CP94" s="488"/>
      <c r="CQ94" s="489">
        <v>3.9135221494662274E-2</v>
      </c>
      <c r="CR94" s="488"/>
      <c r="CS94" s="489">
        <v>-0.19691363717249524</v>
      </c>
      <c r="CT94" s="488"/>
      <c r="CU94" s="489">
        <v>0.24262096088201848</v>
      </c>
      <c r="CV94" s="488"/>
      <c r="CW94" s="489">
        <v>-0.78768499015405702</v>
      </c>
      <c r="CX94" s="490">
        <v>-4.918877061795765E-2</v>
      </c>
      <c r="CY94" s="491"/>
      <c r="CZ94" s="351"/>
    </row>
    <row r="95" spans="3:104" s="278" customFormat="1" hidden="1">
      <c r="C95" s="288"/>
      <c r="D95" s="492" t="s">
        <v>1389</v>
      </c>
      <c r="E95" s="289"/>
      <c r="F95" s="493"/>
      <c r="G95" s="236"/>
      <c r="H95" s="494"/>
      <c r="I95" s="494"/>
      <c r="J95" s="494"/>
      <c r="K95" s="494"/>
      <c r="L95" s="494"/>
      <c r="M95" s="494"/>
      <c r="N95" s="494"/>
      <c r="O95" s="494"/>
      <c r="P95" s="495"/>
      <c r="Q95" s="494"/>
      <c r="R95" s="494"/>
      <c r="S95" s="494"/>
      <c r="T95" s="495"/>
      <c r="U95" s="494"/>
      <c r="V95" s="494"/>
      <c r="W95" s="494"/>
      <c r="X95" s="494"/>
      <c r="Y95" s="494"/>
      <c r="Z95" s="494"/>
      <c r="AA95" s="494"/>
      <c r="AB95" s="494"/>
      <c r="AC95" s="494"/>
      <c r="AD95" s="494"/>
      <c r="AE95" s="495"/>
      <c r="AF95" s="494"/>
      <c r="AG95" s="494"/>
      <c r="AH95" s="494"/>
      <c r="AI95" s="494"/>
      <c r="AJ95" s="494"/>
      <c r="AK95" s="494"/>
      <c r="AL95" s="495"/>
      <c r="AM95" s="494"/>
      <c r="AN95" s="494"/>
      <c r="AO95" s="495"/>
      <c r="AP95" s="494"/>
      <c r="AQ95" s="495"/>
      <c r="AR95" s="494"/>
      <c r="AT95" s="351"/>
      <c r="AU95" s="496"/>
      <c r="AV95" s="496"/>
      <c r="AW95" s="496"/>
      <c r="AX95" s="496"/>
      <c r="AY95" s="496"/>
      <c r="AZ95" s="496"/>
      <c r="BA95" s="497"/>
      <c r="BB95" s="496"/>
      <c r="BC95" s="497"/>
      <c r="BD95" s="496"/>
      <c r="BE95" s="497"/>
      <c r="BF95" s="496"/>
      <c r="BG95" s="497"/>
      <c r="BH95" s="496"/>
      <c r="BI95" s="497"/>
      <c r="BJ95" s="496"/>
      <c r="BK95" s="497"/>
      <c r="BL95" s="496"/>
      <c r="BM95" s="496"/>
      <c r="BN95" s="496"/>
      <c r="BO95" s="497"/>
      <c r="BP95" s="496"/>
      <c r="BQ95" s="491"/>
      <c r="BR95" s="351"/>
      <c r="BS95" s="496"/>
      <c r="BT95" s="497"/>
      <c r="BU95" s="496"/>
      <c r="BV95" s="496"/>
      <c r="BW95" s="497"/>
      <c r="BX95" s="496"/>
      <c r="BY95" s="496"/>
      <c r="BZ95" s="496"/>
      <c r="CA95" s="497"/>
      <c r="CB95" s="496"/>
      <c r="CC95" s="497"/>
      <c r="CD95" s="496"/>
      <c r="CE95" s="496"/>
      <c r="CF95" s="496"/>
      <c r="CG95" s="497"/>
      <c r="CH95" s="496"/>
      <c r="CI95" s="491"/>
      <c r="CJ95" s="351"/>
      <c r="CK95" s="496"/>
      <c r="CL95" s="496"/>
      <c r="CM95" s="497"/>
      <c r="CN95" s="496"/>
      <c r="CO95" s="497"/>
      <c r="CP95" s="496"/>
      <c r="CQ95" s="497"/>
      <c r="CR95" s="496"/>
      <c r="CS95" s="497"/>
      <c r="CT95" s="496"/>
      <c r="CU95" s="497"/>
      <c r="CV95" s="496"/>
      <c r="CW95" s="497"/>
      <c r="CX95" s="496"/>
      <c r="CY95" s="491"/>
      <c r="CZ95" s="351"/>
    </row>
    <row r="96" spans="3:104" s="278" customFormat="1" hidden="1">
      <c r="C96" s="288"/>
      <c r="D96" s="498" t="s">
        <v>1390</v>
      </c>
      <c r="E96" s="289"/>
      <c r="F96" s="493"/>
      <c r="G96" s="236"/>
      <c r="H96" s="499"/>
      <c r="I96" s="499"/>
      <c r="J96" s="499"/>
      <c r="K96" s="499"/>
      <c r="L96" s="499"/>
      <c r="M96" s="499"/>
      <c r="N96" s="499"/>
      <c r="O96" s="499"/>
      <c r="P96" s="495"/>
      <c r="Q96" s="499"/>
      <c r="R96" s="499"/>
      <c r="S96" s="499"/>
      <c r="T96" s="495"/>
      <c r="U96" s="499"/>
      <c r="V96" s="499"/>
      <c r="W96" s="499"/>
      <c r="X96" s="499"/>
      <c r="Y96" s="499"/>
      <c r="Z96" s="499"/>
      <c r="AA96" s="499"/>
      <c r="AB96" s="499"/>
      <c r="AC96" s="499"/>
      <c r="AD96" s="499"/>
      <c r="AE96" s="495"/>
      <c r="AF96" s="499"/>
      <c r="AG96" s="499"/>
      <c r="AH96" s="499"/>
      <c r="AI96" s="499"/>
      <c r="AJ96" s="499"/>
      <c r="AK96" s="499"/>
      <c r="AL96" s="495"/>
      <c r="AM96" s="499"/>
      <c r="AN96" s="499"/>
      <c r="AO96" s="495"/>
      <c r="AP96" s="499"/>
      <c r="AQ96" s="495"/>
      <c r="AR96" s="499"/>
      <c r="AT96" s="351"/>
      <c r="BA96" s="500"/>
      <c r="BC96" s="500"/>
      <c r="BE96" s="500"/>
      <c r="BG96" s="500"/>
      <c r="BI96" s="500"/>
      <c r="BK96" s="500"/>
      <c r="BO96" s="500"/>
      <c r="BR96" s="351"/>
      <c r="BT96" s="500"/>
      <c r="BW96" s="500"/>
      <c r="CA96" s="500"/>
      <c r="CC96" s="500"/>
      <c r="CG96" s="500"/>
      <c r="CJ96" s="351"/>
      <c r="CM96" s="500"/>
      <c r="CO96" s="500"/>
      <c r="CQ96" s="500"/>
      <c r="CS96" s="500"/>
      <c r="CU96" s="500"/>
      <c r="CW96" s="500"/>
      <c r="CZ96" s="351"/>
    </row>
    <row r="97" spans="2:104" s="278" customFormat="1" hidden="1" outlineLevel="2">
      <c r="B97" s="288" t="s">
        <v>1391</v>
      </c>
      <c r="C97" s="288" t="s">
        <v>1392</v>
      </c>
      <c r="D97" s="346"/>
      <c r="E97" s="412" t="s">
        <v>1298</v>
      </c>
      <c r="F97" s="501" t="s">
        <v>1392</v>
      </c>
      <c r="G97" s="403"/>
      <c r="H97" s="475">
        <v>4.2511309619753499</v>
      </c>
      <c r="I97" s="475">
        <v>1.6537928564028841</v>
      </c>
      <c r="J97" s="475">
        <v>0.1016270979274612</v>
      </c>
      <c r="K97" s="475">
        <v>0.34640346481721124</v>
      </c>
      <c r="L97" s="475">
        <v>2.0699592117607022</v>
      </c>
      <c r="M97" s="475">
        <v>7.2685542287103964</v>
      </c>
      <c r="N97" s="475">
        <v>0.37309004589692246</v>
      </c>
      <c r="O97" s="475">
        <v>1.2396365897629842</v>
      </c>
      <c r="P97" s="502">
        <v>17.304194457253921</v>
      </c>
      <c r="Q97" s="475">
        <v>0</v>
      </c>
      <c r="R97" s="475">
        <v>0</v>
      </c>
      <c r="S97" s="503">
        <v>0</v>
      </c>
      <c r="T97" s="502">
        <v>0</v>
      </c>
      <c r="U97" s="503">
        <v>8.478095635407259</v>
      </c>
      <c r="V97" s="503">
        <v>0.48047658498775253</v>
      </c>
      <c r="W97" s="503">
        <v>0.14227625528791571</v>
      </c>
      <c r="X97" s="503">
        <v>7.7871349353567467</v>
      </c>
      <c r="Y97" s="503">
        <v>0.29520606266530541</v>
      </c>
      <c r="Z97" s="503">
        <v>0.18887387218285839</v>
      </c>
      <c r="AA97" s="503">
        <v>3.7687120643522247</v>
      </c>
      <c r="AB97" s="503">
        <v>0.2954550452553415</v>
      </c>
      <c r="AC97" s="503">
        <v>0</v>
      </c>
      <c r="AD97" s="503">
        <v>0.13056698080903026</v>
      </c>
      <c r="AE97" s="502">
        <v>21.566797436304434</v>
      </c>
      <c r="AF97" s="503">
        <v>7.9595310042068297</v>
      </c>
      <c r="AG97" s="503">
        <v>5.3611805122216278</v>
      </c>
      <c r="AH97" s="503">
        <v>0.32907696701278538</v>
      </c>
      <c r="AI97" s="503">
        <v>0.7352246530476706</v>
      </c>
      <c r="AJ97" s="503">
        <v>0.30654494906642382</v>
      </c>
      <c r="AK97" s="503">
        <v>0.35527296109226919</v>
      </c>
      <c r="AL97" s="502">
        <v>15.046831046647606</v>
      </c>
      <c r="AM97" s="503">
        <v>38.107377116165488</v>
      </c>
      <c r="AN97" s="503">
        <v>2.6586789449744557</v>
      </c>
      <c r="AO97" s="502">
        <v>40.766056061139949</v>
      </c>
      <c r="AP97" s="503">
        <v>0</v>
      </c>
      <c r="AQ97" s="502">
        <v>0</v>
      </c>
      <c r="AR97" s="503">
        <v>94.6838790013459</v>
      </c>
      <c r="AT97" s="351"/>
      <c r="BA97" s="500"/>
      <c r="BC97" s="500"/>
      <c r="BE97" s="500"/>
      <c r="BG97" s="500"/>
      <c r="BI97" s="500"/>
      <c r="BK97" s="500"/>
      <c r="BO97" s="500"/>
      <c r="BR97" s="351"/>
      <c r="BT97" s="500"/>
      <c r="BW97" s="500"/>
      <c r="CA97" s="500"/>
      <c r="CC97" s="500"/>
      <c r="CG97" s="500"/>
      <c r="CJ97" s="351"/>
      <c r="CM97" s="500"/>
      <c r="CO97" s="500"/>
      <c r="CQ97" s="500"/>
      <c r="CS97" s="500"/>
      <c r="CU97" s="500"/>
      <c r="CW97" s="500"/>
      <c r="CZ97" s="351"/>
    </row>
    <row r="98" spans="2:104" s="278" customFormat="1" hidden="1" outlineLevel="2">
      <c r="B98" s="288" t="s">
        <v>1391</v>
      </c>
      <c r="C98" s="288" t="s">
        <v>1393</v>
      </c>
      <c r="D98" s="346"/>
      <c r="E98" s="412" t="s">
        <v>1298</v>
      </c>
      <c r="F98" s="504" t="s">
        <v>1393</v>
      </c>
      <c r="G98" s="403"/>
      <c r="H98" s="475">
        <v>6.8669727462408003</v>
      </c>
      <c r="I98" s="475">
        <v>2.6714186352822553</v>
      </c>
      <c r="J98" s="475">
        <v>0.16416114158551945</v>
      </c>
      <c r="K98" s="475">
        <v>0.55955536853135568</v>
      </c>
      <c r="L98" s="475">
        <v>3.3436639849801106</v>
      </c>
      <c r="M98" s="475">
        <v>11.741102365365574</v>
      </c>
      <c r="N98" s="475">
        <v>0.60266296192329616</v>
      </c>
      <c r="O98" s="475">
        <v>2.0024202390579422</v>
      </c>
      <c r="P98" s="502">
        <v>27.951957442966869</v>
      </c>
      <c r="Q98" s="475">
        <v>0</v>
      </c>
      <c r="R98" s="475">
        <v>0</v>
      </c>
      <c r="S98" s="503">
        <v>0</v>
      </c>
      <c r="T98" s="502">
        <v>0</v>
      </c>
      <c r="U98" s="503">
        <v>13.373965776347415</v>
      </c>
      <c r="V98" s="503">
        <v>0.75793877308082591</v>
      </c>
      <c r="W98" s="503">
        <v>0.22443693145672433</v>
      </c>
      <c r="X98" s="503">
        <v>12.283994024119982</v>
      </c>
      <c r="Y98" s="503">
        <v>0.46567955220599644</v>
      </c>
      <c r="Z98" s="503">
        <v>0.2979434074876916</v>
      </c>
      <c r="AA98" s="503">
        <v>5.9450410017854329</v>
      </c>
      <c r="AB98" s="503">
        <v>0.46607231548459671</v>
      </c>
      <c r="AC98" s="503">
        <v>0</v>
      </c>
      <c r="AD98" s="503">
        <v>0.20596586874631301</v>
      </c>
      <c r="AE98" s="502">
        <v>34.02103765071498</v>
      </c>
      <c r="AF98" s="503">
        <v>8.5377865264959727</v>
      </c>
      <c r="AG98" s="503">
        <v>5.75066730931339</v>
      </c>
      <c r="AH98" s="503">
        <v>0.3529842265401032</v>
      </c>
      <c r="AI98" s="503">
        <v>0.78863831718482036</v>
      </c>
      <c r="AJ98" s="503">
        <v>0.32881526996018201</v>
      </c>
      <c r="AK98" s="503">
        <v>0.3810833450914069</v>
      </c>
      <c r="AL98" s="502">
        <v>16.139974994585874</v>
      </c>
      <c r="AM98" s="503">
        <v>46.396398348603462</v>
      </c>
      <c r="AN98" s="503">
        <v>3.2369881305672998</v>
      </c>
      <c r="AO98" s="502">
        <v>49.633386479170767</v>
      </c>
      <c r="AP98" s="503">
        <v>0</v>
      </c>
      <c r="AQ98" s="502">
        <v>0</v>
      </c>
      <c r="AR98" s="503">
        <v>127.74635656743848</v>
      </c>
      <c r="AT98" s="351"/>
      <c r="BA98" s="500"/>
      <c r="BC98" s="500"/>
      <c r="BE98" s="500"/>
      <c r="BG98" s="500"/>
      <c r="BI98" s="500"/>
      <c r="BK98" s="500"/>
      <c r="BO98" s="500"/>
      <c r="BR98" s="351"/>
      <c r="BT98" s="500"/>
      <c r="BW98" s="500"/>
      <c r="CA98" s="500"/>
      <c r="CC98" s="500"/>
      <c r="CG98" s="500"/>
      <c r="CJ98" s="351"/>
      <c r="CM98" s="500"/>
      <c r="CO98" s="500"/>
      <c r="CQ98" s="500"/>
      <c r="CS98" s="500"/>
      <c r="CU98" s="500"/>
      <c r="CW98" s="500"/>
      <c r="CZ98" s="351"/>
    </row>
    <row r="99" spans="2:104" s="278" customFormat="1" hidden="1" outlineLevel="2">
      <c r="B99" s="288" t="s">
        <v>1391</v>
      </c>
      <c r="C99" s="288" t="s">
        <v>1394</v>
      </c>
      <c r="D99" s="346"/>
      <c r="E99" s="412" t="s">
        <v>1298</v>
      </c>
      <c r="F99" s="501" t="s">
        <v>1394</v>
      </c>
      <c r="G99" s="403"/>
      <c r="H99" s="475">
        <v>3.8507462812064436E-2</v>
      </c>
      <c r="I99" s="475">
        <v>1.4980335229945603E-2</v>
      </c>
      <c r="J99" s="475">
        <v>9.2055543081206884E-4</v>
      </c>
      <c r="K99" s="475">
        <v>3.1377811360628646E-3</v>
      </c>
      <c r="L99" s="475">
        <v>1.8750040420379702E-2</v>
      </c>
      <c r="M99" s="475">
        <v>6.5839792789983267E-2</v>
      </c>
      <c r="N99" s="475">
        <v>3.3795126982518169E-3</v>
      </c>
      <c r="O99" s="475">
        <v>1.1228837762878896E-2</v>
      </c>
      <c r="P99" s="502">
        <v>0.15674431828037874</v>
      </c>
      <c r="Q99" s="475">
        <v>0</v>
      </c>
      <c r="R99" s="475">
        <v>0</v>
      </c>
      <c r="S99" s="503">
        <v>0</v>
      </c>
      <c r="T99" s="502">
        <v>0</v>
      </c>
      <c r="U99" s="503">
        <v>5.7159062350521893E-3</v>
      </c>
      <c r="V99" s="503">
        <v>3.2393584904355142E-4</v>
      </c>
      <c r="W99" s="503">
        <v>9.5922217638561613E-5</v>
      </c>
      <c r="X99" s="503">
        <v>5.2500626372163142E-3</v>
      </c>
      <c r="Y99" s="503">
        <v>1.9902702762243269E-4</v>
      </c>
      <c r="Z99" s="503">
        <v>1.2733818891352846E-4</v>
      </c>
      <c r="AA99" s="503">
        <v>2.5408541862611939E-3</v>
      </c>
      <c r="AB99" s="503">
        <v>1.9919489092570366E-4</v>
      </c>
      <c r="AC99" s="503">
        <v>0</v>
      </c>
      <c r="AD99" s="503">
        <v>8.8027860476290267E-5</v>
      </c>
      <c r="AE99" s="502">
        <v>1.4540269093149765E-2</v>
      </c>
      <c r="AF99" s="503">
        <v>0</v>
      </c>
      <c r="AG99" s="503">
        <v>0</v>
      </c>
      <c r="AH99" s="503">
        <v>0</v>
      </c>
      <c r="AI99" s="503">
        <v>0</v>
      </c>
      <c r="AJ99" s="503">
        <v>0</v>
      </c>
      <c r="AK99" s="503">
        <v>0</v>
      </c>
      <c r="AL99" s="502">
        <v>0</v>
      </c>
      <c r="AM99" s="503">
        <v>1.530178195794242</v>
      </c>
      <c r="AN99" s="503">
        <v>0.10675761123143165</v>
      </c>
      <c r="AO99" s="502">
        <v>1.6369358070256737</v>
      </c>
      <c r="AP99" s="503">
        <v>0</v>
      </c>
      <c r="AQ99" s="502">
        <v>0</v>
      </c>
      <c r="AR99" s="503">
        <v>1.8082203943992021</v>
      </c>
      <c r="AT99" s="351"/>
      <c r="BA99" s="500"/>
      <c r="BC99" s="500"/>
      <c r="BE99" s="500"/>
      <c r="BG99" s="500"/>
      <c r="BI99" s="500"/>
      <c r="BK99" s="500"/>
      <c r="BO99" s="500"/>
      <c r="BR99" s="351"/>
      <c r="BT99" s="500"/>
      <c r="BW99" s="500"/>
      <c r="CA99" s="500"/>
      <c r="CC99" s="500"/>
      <c r="CG99" s="500"/>
      <c r="CJ99" s="351"/>
      <c r="CM99" s="500"/>
      <c r="CO99" s="500"/>
      <c r="CQ99" s="500"/>
      <c r="CS99" s="500"/>
      <c r="CU99" s="500"/>
      <c r="CW99" s="500"/>
      <c r="CZ99" s="351"/>
    </row>
    <row r="100" spans="2:104" s="278" customFormat="1" hidden="1" outlineLevel="2">
      <c r="B100" s="288" t="s">
        <v>1391</v>
      </c>
      <c r="C100" s="288" t="s">
        <v>1395</v>
      </c>
      <c r="D100" s="346"/>
      <c r="E100" s="412" t="s">
        <v>1298</v>
      </c>
      <c r="F100" s="504" t="s">
        <v>1395</v>
      </c>
      <c r="G100" s="403"/>
      <c r="H100" s="475">
        <v>0</v>
      </c>
      <c r="I100" s="475">
        <v>0</v>
      </c>
      <c r="J100" s="475">
        <v>0</v>
      </c>
      <c r="K100" s="475">
        <v>0</v>
      </c>
      <c r="L100" s="475">
        <v>0</v>
      </c>
      <c r="M100" s="475">
        <v>0</v>
      </c>
      <c r="N100" s="475">
        <v>0</v>
      </c>
      <c r="O100" s="475">
        <v>0</v>
      </c>
      <c r="P100" s="502">
        <v>0</v>
      </c>
      <c r="Q100" s="475">
        <v>0</v>
      </c>
      <c r="R100" s="475">
        <v>0</v>
      </c>
      <c r="S100" s="503">
        <v>0</v>
      </c>
      <c r="T100" s="502">
        <v>0</v>
      </c>
      <c r="U100" s="503">
        <v>0</v>
      </c>
      <c r="V100" s="503">
        <v>0</v>
      </c>
      <c r="W100" s="503">
        <v>0</v>
      </c>
      <c r="X100" s="503">
        <v>0</v>
      </c>
      <c r="Y100" s="503">
        <v>0</v>
      </c>
      <c r="Z100" s="503">
        <v>0</v>
      </c>
      <c r="AA100" s="503">
        <v>0</v>
      </c>
      <c r="AB100" s="503">
        <v>0</v>
      </c>
      <c r="AC100" s="503">
        <v>0</v>
      </c>
      <c r="AD100" s="503">
        <v>0</v>
      </c>
      <c r="AE100" s="502">
        <v>0</v>
      </c>
      <c r="AF100" s="503">
        <v>0</v>
      </c>
      <c r="AG100" s="503">
        <v>0</v>
      </c>
      <c r="AH100" s="503">
        <v>0</v>
      </c>
      <c r="AI100" s="503">
        <v>0</v>
      </c>
      <c r="AJ100" s="503">
        <v>0</v>
      </c>
      <c r="AK100" s="503">
        <v>0</v>
      </c>
      <c r="AL100" s="502">
        <v>0</v>
      </c>
      <c r="AM100" s="503">
        <v>0</v>
      </c>
      <c r="AN100" s="503">
        <v>0</v>
      </c>
      <c r="AO100" s="502">
        <v>0</v>
      </c>
      <c r="AP100" s="503">
        <v>0</v>
      </c>
      <c r="AQ100" s="502">
        <v>0</v>
      </c>
      <c r="AR100" s="503">
        <v>0</v>
      </c>
      <c r="AT100" s="351"/>
      <c r="BA100" s="500"/>
      <c r="BC100" s="500"/>
      <c r="BE100" s="500"/>
      <c r="BG100" s="500"/>
      <c r="BI100" s="500"/>
      <c r="BK100" s="500"/>
      <c r="BO100" s="500"/>
      <c r="BR100" s="351"/>
      <c r="BT100" s="500"/>
      <c r="BW100" s="500"/>
      <c r="CA100" s="500"/>
      <c r="CC100" s="500"/>
      <c r="CG100" s="500"/>
      <c r="CJ100" s="351"/>
      <c r="CM100" s="500"/>
      <c r="CO100" s="500"/>
      <c r="CQ100" s="500"/>
      <c r="CS100" s="500"/>
      <c r="CU100" s="500"/>
      <c r="CW100" s="500"/>
      <c r="CZ100" s="351"/>
    </row>
    <row r="101" spans="2:104" s="278" customFormat="1" hidden="1" outlineLevel="2">
      <c r="B101" s="288" t="s">
        <v>1391</v>
      </c>
      <c r="C101" s="288" t="s">
        <v>1396</v>
      </c>
      <c r="D101" s="346"/>
      <c r="E101" s="412" t="s">
        <v>1298</v>
      </c>
      <c r="F101" s="501" t="s">
        <v>1396</v>
      </c>
      <c r="G101" s="403"/>
      <c r="H101" s="475">
        <v>6.2110216171669821</v>
      </c>
      <c r="I101" s="475">
        <v>2.4162377666816757</v>
      </c>
      <c r="J101" s="475">
        <v>0.14848004160852935</v>
      </c>
      <c r="K101" s="475">
        <v>0.50610518177061903</v>
      </c>
      <c r="L101" s="475">
        <v>3.0242684889965514</v>
      </c>
      <c r="M101" s="475">
        <v>10.619561675204992</v>
      </c>
      <c r="N101" s="475">
        <v>0.54509502552206801</v>
      </c>
      <c r="O101" s="475">
        <v>1.8111438403843974</v>
      </c>
      <c r="P101" s="502">
        <v>25.281913637335826</v>
      </c>
      <c r="Q101" s="475">
        <v>0</v>
      </c>
      <c r="R101" s="475">
        <v>0</v>
      </c>
      <c r="S101" s="503">
        <v>0</v>
      </c>
      <c r="T101" s="502">
        <v>0</v>
      </c>
      <c r="U101" s="503">
        <v>7.4188681928620746</v>
      </c>
      <c r="V101" s="503">
        <v>0.42044730409665848</v>
      </c>
      <c r="W101" s="503">
        <v>0.12450069335698621</v>
      </c>
      <c r="X101" s="503">
        <v>6.8142340178577232</v>
      </c>
      <c r="Y101" s="503">
        <v>0.25832391645844865</v>
      </c>
      <c r="Z101" s="503">
        <v>0.16527654594365696</v>
      </c>
      <c r="AA101" s="503">
        <v>3.2978606593572835</v>
      </c>
      <c r="AB101" s="503">
        <v>0.25854179192214127</v>
      </c>
      <c r="AC101" s="503">
        <v>0</v>
      </c>
      <c r="AD101" s="503">
        <v>0.11425433996246924</v>
      </c>
      <c r="AE101" s="502">
        <v>18.872307461817442</v>
      </c>
      <c r="AF101" s="503">
        <v>13.33153051486171</v>
      </c>
      <c r="AG101" s="503">
        <v>8.9795167022515852</v>
      </c>
      <c r="AH101" s="503">
        <v>0.55117564403611041</v>
      </c>
      <c r="AI101" s="503">
        <v>1.2314381201861244</v>
      </c>
      <c r="AJ101" s="503">
        <v>0.51343645002397975</v>
      </c>
      <c r="AK101" s="503">
        <v>0.59505168324661117</v>
      </c>
      <c r="AL101" s="502">
        <v>25.202149114606119</v>
      </c>
      <c r="AM101" s="503">
        <v>34.558202782092934</v>
      </c>
      <c r="AN101" s="503">
        <v>2.4110598279389892</v>
      </c>
      <c r="AO101" s="502">
        <v>36.969262610031926</v>
      </c>
      <c r="AP101" s="503">
        <v>0</v>
      </c>
      <c r="AQ101" s="502">
        <v>0</v>
      </c>
      <c r="AR101" s="503">
        <v>106.32563282379132</v>
      </c>
      <c r="AT101" s="351"/>
      <c r="BA101" s="500"/>
      <c r="BC101" s="500"/>
      <c r="BE101" s="500"/>
      <c r="BG101" s="500"/>
      <c r="BI101" s="500"/>
      <c r="BK101" s="500"/>
      <c r="BO101" s="500"/>
      <c r="BR101" s="351"/>
      <c r="BT101" s="500"/>
      <c r="BW101" s="500"/>
      <c r="CA101" s="500"/>
      <c r="CC101" s="500"/>
      <c r="CG101" s="500"/>
      <c r="CJ101" s="351"/>
      <c r="CM101" s="500"/>
      <c r="CO101" s="500"/>
      <c r="CQ101" s="500"/>
      <c r="CS101" s="500"/>
      <c r="CU101" s="500"/>
      <c r="CW101" s="500"/>
      <c r="CZ101" s="351"/>
    </row>
    <row r="102" spans="2:104" s="278" customFormat="1" hidden="1" outlineLevel="2">
      <c r="B102" s="288" t="s">
        <v>1391</v>
      </c>
      <c r="C102" s="288" t="s">
        <v>1397</v>
      </c>
      <c r="D102" s="346"/>
      <c r="E102" s="412" t="s">
        <v>1298</v>
      </c>
      <c r="F102" s="504" t="s">
        <v>1397</v>
      </c>
      <c r="G102" s="403"/>
      <c r="H102" s="475">
        <v>0</v>
      </c>
      <c r="I102" s="475">
        <v>0</v>
      </c>
      <c r="J102" s="475">
        <v>0</v>
      </c>
      <c r="K102" s="475">
        <v>0</v>
      </c>
      <c r="L102" s="475">
        <v>0</v>
      </c>
      <c r="M102" s="475">
        <v>0</v>
      </c>
      <c r="N102" s="475">
        <v>0</v>
      </c>
      <c r="O102" s="475">
        <v>0</v>
      </c>
      <c r="P102" s="502">
        <v>0</v>
      </c>
      <c r="Q102" s="475">
        <v>0</v>
      </c>
      <c r="R102" s="475">
        <v>0</v>
      </c>
      <c r="S102" s="503">
        <v>0</v>
      </c>
      <c r="T102" s="502">
        <v>0</v>
      </c>
      <c r="U102" s="503">
        <v>0</v>
      </c>
      <c r="V102" s="503">
        <v>0</v>
      </c>
      <c r="W102" s="503">
        <v>0</v>
      </c>
      <c r="X102" s="503">
        <v>0</v>
      </c>
      <c r="Y102" s="503">
        <v>0</v>
      </c>
      <c r="Z102" s="503">
        <v>0</v>
      </c>
      <c r="AA102" s="503">
        <v>0</v>
      </c>
      <c r="AB102" s="503">
        <v>0</v>
      </c>
      <c r="AC102" s="503">
        <v>0</v>
      </c>
      <c r="AD102" s="503">
        <v>0</v>
      </c>
      <c r="AE102" s="502">
        <v>0</v>
      </c>
      <c r="AF102" s="503">
        <v>0</v>
      </c>
      <c r="AG102" s="503">
        <v>0</v>
      </c>
      <c r="AH102" s="503">
        <v>0</v>
      </c>
      <c r="AI102" s="503">
        <v>0</v>
      </c>
      <c r="AJ102" s="503">
        <v>0</v>
      </c>
      <c r="AK102" s="503">
        <v>0</v>
      </c>
      <c r="AL102" s="502">
        <v>0</v>
      </c>
      <c r="AM102" s="503">
        <v>0</v>
      </c>
      <c r="AN102" s="503">
        <v>0</v>
      </c>
      <c r="AO102" s="502">
        <v>0</v>
      </c>
      <c r="AP102" s="503">
        <v>0</v>
      </c>
      <c r="AQ102" s="502">
        <v>0</v>
      </c>
      <c r="AR102" s="503">
        <v>0</v>
      </c>
      <c r="AT102" s="351"/>
      <c r="BA102" s="500"/>
      <c r="BC102" s="500"/>
      <c r="BE102" s="500"/>
      <c r="BG102" s="500"/>
      <c r="BI102" s="500"/>
      <c r="BK102" s="500"/>
      <c r="BO102" s="500"/>
      <c r="BR102" s="351"/>
      <c r="BT102" s="500"/>
      <c r="BW102" s="500"/>
      <c r="CA102" s="500"/>
      <c r="CC102" s="500"/>
      <c r="CG102" s="500"/>
      <c r="CJ102" s="351"/>
      <c r="CM102" s="500"/>
      <c r="CO102" s="500"/>
      <c r="CQ102" s="500"/>
      <c r="CS102" s="500"/>
      <c r="CU102" s="500"/>
      <c r="CW102" s="500"/>
      <c r="CZ102" s="351"/>
    </row>
    <row r="103" spans="2:104" s="278" customFormat="1" hidden="1" outlineLevel="2">
      <c r="B103" s="288" t="s">
        <v>1391</v>
      </c>
      <c r="C103" s="288" t="s">
        <v>1398</v>
      </c>
      <c r="D103" s="346"/>
      <c r="E103" s="412" t="s">
        <v>1298</v>
      </c>
      <c r="F103" s="501" t="s">
        <v>1398</v>
      </c>
      <c r="G103" s="403"/>
      <c r="H103" s="475">
        <v>8.986072449083159E-4</v>
      </c>
      <c r="I103" s="475">
        <v>3.4957997192603703E-4</v>
      </c>
      <c r="J103" s="475">
        <v>2.1482012032437843E-5</v>
      </c>
      <c r="K103" s="475">
        <v>7.3223023691899584E-5</v>
      </c>
      <c r="L103" s="475">
        <v>4.3754952764112455E-4</v>
      </c>
      <c r="M103" s="475">
        <v>1.5364324337100983E-3</v>
      </c>
      <c r="N103" s="475">
        <v>7.8864053176655498E-5</v>
      </c>
      <c r="O103" s="475">
        <v>2.6203531026878645E-4</v>
      </c>
      <c r="P103" s="502">
        <v>3.6577735773553571E-3</v>
      </c>
      <c r="Q103" s="475">
        <v>0</v>
      </c>
      <c r="R103" s="475">
        <v>0</v>
      </c>
      <c r="S103" s="503">
        <v>0</v>
      </c>
      <c r="T103" s="502">
        <v>0</v>
      </c>
      <c r="U103" s="503">
        <v>0</v>
      </c>
      <c r="V103" s="503">
        <v>0</v>
      </c>
      <c r="W103" s="503">
        <v>0</v>
      </c>
      <c r="X103" s="503">
        <v>0</v>
      </c>
      <c r="Y103" s="503">
        <v>0</v>
      </c>
      <c r="Z103" s="503">
        <v>0</v>
      </c>
      <c r="AA103" s="503">
        <v>0</v>
      </c>
      <c r="AB103" s="503">
        <v>0</v>
      </c>
      <c r="AC103" s="503">
        <v>0</v>
      </c>
      <c r="AD103" s="503">
        <v>0</v>
      </c>
      <c r="AE103" s="502">
        <v>0</v>
      </c>
      <c r="AF103" s="503">
        <v>0</v>
      </c>
      <c r="AG103" s="503">
        <v>0</v>
      </c>
      <c r="AH103" s="503">
        <v>0</v>
      </c>
      <c r="AI103" s="503">
        <v>0</v>
      </c>
      <c r="AJ103" s="503">
        <v>0</v>
      </c>
      <c r="AK103" s="503">
        <v>0</v>
      </c>
      <c r="AL103" s="502">
        <v>0</v>
      </c>
      <c r="AM103" s="503">
        <v>0</v>
      </c>
      <c r="AN103" s="503">
        <v>0</v>
      </c>
      <c r="AO103" s="502">
        <v>0</v>
      </c>
      <c r="AP103" s="503">
        <v>0</v>
      </c>
      <c r="AQ103" s="502">
        <v>0</v>
      </c>
      <c r="AR103" s="503">
        <v>3.6577735773553571E-3</v>
      </c>
      <c r="AT103" s="351"/>
      <c r="BA103" s="500"/>
      <c r="BC103" s="500"/>
      <c r="BE103" s="500"/>
      <c r="BG103" s="500"/>
      <c r="BI103" s="500"/>
      <c r="BK103" s="500"/>
      <c r="BO103" s="500"/>
      <c r="BR103" s="351"/>
      <c r="BT103" s="500"/>
      <c r="BW103" s="500"/>
      <c r="CA103" s="500"/>
      <c r="CC103" s="500"/>
      <c r="CG103" s="500"/>
      <c r="CJ103" s="351"/>
      <c r="CM103" s="500"/>
      <c r="CO103" s="500"/>
      <c r="CQ103" s="500"/>
      <c r="CS103" s="500"/>
      <c r="CU103" s="500"/>
      <c r="CW103" s="500"/>
      <c r="CZ103" s="351"/>
    </row>
    <row r="104" spans="2:104" s="278" customFormat="1" hidden="1" outlineLevel="2">
      <c r="B104" s="288" t="s">
        <v>1391</v>
      </c>
      <c r="C104" s="288" t="s">
        <v>1399</v>
      </c>
      <c r="D104" s="346"/>
      <c r="E104" s="412" t="s">
        <v>1298</v>
      </c>
      <c r="F104" s="504" t="s">
        <v>1399</v>
      </c>
      <c r="G104" s="403"/>
      <c r="H104" s="475">
        <v>0</v>
      </c>
      <c r="I104" s="475">
        <v>0</v>
      </c>
      <c r="J104" s="475">
        <v>0</v>
      </c>
      <c r="K104" s="475">
        <v>0</v>
      </c>
      <c r="L104" s="475">
        <v>0</v>
      </c>
      <c r="M104" s="475">
        <v>0</v>
      </c>
      <c r="N104" s="475">
        <v>0</v>
      </c>
      <c r="O104" s="475">
        <v>0</v>
      </c>
      <c r="P104" s="502">
        <v>0</v>
      </c>
      <c r="Q104" s="475">
        <v>0</v>
      </c>
      <c r="R104" s="475">
        <v>0</v>
      </c>
      <c r="S104" s="503">
        <v>0</v>
      </c>
      <c r="T104" s="502">
        <v>0</v>
      </c>
      <c r="U104" s="503">
        <v>0</v>
      </c>
      <c r="V104" s="503">
        <v>0</v>
      </c>
      <c r="W104" s="503">
        <v>0</v>
      </c>
      <c r="X104" s="503">
        <v>0</v>
      </c>
      <c r="Y104" s="503">
        <v>0</v>
      </c>
      <c r="Z104" s="503">
        <v>0</v>
      </c>
      <c r="AA104" s="503">
        <v>0</v>
      </c>
      <c r="AB104" s="503">
        <v>0</v>
      </c>
      <c r="AC104" s="503">
        <v>0</v>
      </c>
      <c r="AD104" s="503">
        <v>0</v>
      </c>
      <c r="AE104" s="502">
        <v>0</v>
      </c>
      <c r="AF104" s="503">
        <v>0</v>
      </c>
      <c r="AG104" s="503">
        <v>0</v>
      </c>
      <c r="AH104" s="503">
        <v>0</v>
      </c>
      <c r="AI104" s="503">
        <v>0</v>
      </c>
      <c r="AJ104" s="503">
        <v>0</v>
      </c>
      <c r="AK104" s="503">
        <v>0</v>
      </c>
      <c r="AL104" s="502">
        <v>0</v>
      </c>
      <c r="AM104" s="503">
        <v>0</v>
      </c>
      <c r="AN104" s="503">
        <v>0</v>
      </c>
      <c r="AO104" s="502">
        <v>0</v>
      </c>
      <c r="AP104" s="503">
        <v>0</v>
      </c>
      <c r="AQ104" s="502">
        <v>0</v>
      </c>
      <c r="AR104" s="503">
        <v>0</v>
      </c>
      <c r="AT104" s="351"/>
      <c r="BA104" s="500"/>
      <c r="BC104" s="500"/>
      <c r="BE104" s="500"/>
      <c r="BG104" s="500"/>
      <c r="BI104" s="500"/>
      <c r="BK104" s="500"/>
      <c r="BO104" s="500"/>
      <c r="BR104" s="351"/>
      <c r="BT104" s="500"/>
      <c r="BW104" s="500"/>
      <c r="CA104" s="500"/>
      <c r="CC104" s="500"/>
      <c r="CG104" s="500"/>
      <c r="CJ104" s="351"/>
      <c r="CM104" s="500"/>
      <c r="CO104" s="500"/>
      <c r="CQ104" s="500"/>
      <c r="CS104" s="500"/>
      <c r="CU104" s="500"/>
      <c r="CW104" s="500"/>
      <c r="CZ104" s="351"/>
    </row>
    <row r="105" spans="2:104" s="278" customFormat="1" hidden="1" outlineLevel="2">
      <c r="B105" s="288" t="s">
        <v>1391</v>
      </c>
      <c r="C105" s="288" t="s">
        <v>1400</v>
      </c>
      <c r="D105" s="346"/>
      <c r="E105" s="412" t="s">
        <v>1298</v>
      </c>
      <c r="F105" s="501" t="s">
        <v>1400</v>
      </c>
      <c r="G105" s="403"/>
      <c r="H105" s="475">
        <v>0</v>
      </c>
      <c r="I105" s="475">
        <v>0</v>
      </c>
      <c r="J105" s="475">
        <v>0</v>
      </c>
      <c r="K105" s="475">
        <v>0</v>
      </c>
      <c r="L105" s="475">
        <v>0</v>
      </c>
      <c r="M105" s="475">
        <v>0</v>
      </c>
      <c r="N105" s="475">
        <v>0</v>
      </c>
      <c r="O105" s="475">
        <v>0</v>
      </c>
      <c r="P105" s="502">
        <v>0</v>
      </c>
      <c r="Q105" s="475">
        <v>0</v>
      </c>
      <c r="R105" s="475">
        <v>0</v>
      </c>
      <c r="S105" s="503">
        <v>0</v>
      </c>
      <c r="T105" s="502">
        <v>0</v>
      </c>
      <c r="U105" s="503">
        <v>0</v>
      </c>
      <c r="V105" s="503">
        <v>0</v>
      </c>
      <c r="W105" s="503">
        <v>0</v>
      </c>
      <c r="X105" s="503">
        <v>0</v>
      </c>
      <c r="Y105" s="503">
        <v>0</v>
      </c>
      <c r="Z105" s="503">
        <v>0</v>
      </c>
      <c r="AA105" s="503">
        <v>0</v>
      </c>
      <c r="AB105" s="503">
        <v>0</v>
      </c>
      <c r="AC105" s="503">
        <v>0</v>
      </c>
      <c r="AD105" s="503">
        <v>0</v>
      </c>
      <c r="AE105" s="502">
        <v>0</v>
      </c>
      <c r="AF105" s="503">
        <v>0</v>
      </c>
      <c r="AG105" s="503">
        <v>0</v>
      </c>
      <c r="AH105" s="503">
        <v>0</v>
      </c>
      <c r="AI105" s="503">
        <v>0</v>
      </c>
      <c r="AJ105" s="503">
        <v>0</v>
      </c>
      <c r="AK105" s="503">
        <v>0</v>
      </c>
      <c r="AL105" s="502">
        <v>0</v>
      </c>
      <c r="AM105" s="503">
        <v>0</v>
      </c>
      <c r="AN105" s="503">
        <v>0</v>
      </c>
      <c r="AO105" s="502">
        <v>0</v>
      </c>
      <c r="AP105" s="503">
        <v>0</v>
      </c>
      <c r="AQ105" s="502">
        <v>0</v>
      </c>
      <c r="AR105" s="503">
        <v>0</v>
      </c>
      <c r="AT105" s="351"/>
      <c r="BA105" s="500"/>
      <c r="BC105" s="500"/>
      <c r="BE105" s="500"/>
      <c r="BG105" s="500"/>
      <c r="BI105" s="500"/>
      <c r="BK105" s="500"/>
      <c r="BO105" s="500"/>
      <c r="BR105" s="351"/>
      <c r="BT105" s="500"/>
      <c r="BW105" s="500"/>
      <c r="CA105" s="500"/>
      <c r="CC105" s="500"/>
      <c r="CG105" s="500"/>
      <c r="CJ105" s="351"/>
      <c r="CM105" s="500"/>
      <c r="CO105" s="500"/>
      <c r="CQ105" s="500"/>
      <c r="CS105" s="500"/>
      <c r="CU105" s="500"/>
      <c r="CW105" s="500"/>
      <c r="CZ105" s="351"/>
    </row>
    <row r="106" spans="2:104" s="278" customFormat="1" hidden="1" outlineLevel="2">
      <c r="B106" s="288" t="s">
        <v>1391</v>
      </c>
      <c r="C106" s="288" t="s">
        <v>1401</v>
      </c>
      <c r="D106" s="346"/>
      <c r="E106" s="412" t="s">
        <v>1298</v>
      </c>
      <c r="F106" s="504" t="s">
        <v>1401</v>
      </c>
      <c r="G106" s="403"/>
      <c r="H106" s="475">
        <v>0</v>
      </c>
      <c r="I106" s="475">
        <v>0</v>
      </c>
      <c r="J106" s="475">
        <v>0</v>
      </c>
      <c r="K106" s="475">
        <v>0</v>
      </c>
      <c r="L106" s="475">
        <v>0</v>
      </c>
      <c r="M106" s="475">
        <v>0</v>
      </c>
      <c r="N106" s="475">
        <v>0</v>
      </c>
      <c r="O106" s="475">
        <v>0</v>
      </c>
      <c r="P106" s="502">
        <v>0</v>
      </c>
      <c r="Q106" s="475">
        <v>0</v>
      </c>
      <c r="R106" s="475">
        <v>0</v>
      </c>
      <c r="S106" s="503">
        <v>0</v>
      </c>
      <c r="T106" s="502">
        <v>0</v>
      </c>
      <c r="U106" s="503">
        <v>0</v>
      </c>
      <c r="V106" s="503">
        <v>0</v>
      </c>
      <c r="W106" s="503">
        <v>0</v>
      </c>
      <c r="X106" s="503">
        <v>0</v>
      </c>
      <c r="Y106" s="503">
        <v>0</v>
      </c>
      <c r="Z106" s="503">
        <v>0</v>
      </c>
      <c r="AA106" s="503">
        <v>0</v>
      </c>
      <c r="AB106" s="503">
        <v>0</v>
      </c>
      <c r="AC106" s="503">
        <v>0</v>
      </c>
      <c r="AD106" s="503">
        <v>0</v>
      </c>
      <c r="AE106" s="502">
        <v>0</v>
      </c>
      <c r="AF106" s="503">
        <v>0</v>
      </c>
      <c r="AG106" s="503">
        <v>0</v>
      </c>
      <c r="AH106" s="503">
        <v>0</v>
      </c>
      <c r="AI106" s="503">
        <v>0</v>
      </c>
      <c r="AJ106" s="503">
        <v>0</v>
      </c>
      <c r="AK106" s="503">
        <v>0</v>
      </c>
      <c r="AL106" s="502">
        <v>0</v>
      </c>
      <c r="AM106" s="503">
        <v>0</v>
      </c>
      <c r="AN106" s="503">
        <v>0</v>
      </c>
      <c r="AO106" s="502">
        <v>0</v>
      </c>
      <c r="AP106" s="503">
        <v>0</v>
      </c>
      <c r="AQ106" s="502">
        <v>0</v>
      </c>
      <c r="AR106" s="503">
        <v>0</v>
      </c>
      <c r="AT106" s="351"/>
      <c r="BA106" s="500"/>
      <c r="BC106" s="500"/>
      <c r="BE106" s="500"/>
      <c r="BG106" s="500"/>
      <c r="BI106" s="500"/>
      <c r="BK106" s="500"/>
      <c r="BO106" s="500"/>
      <c r="BR106" s="351"/>
      <c r="BT106" s="500"/>
      <c r="BW106" s="500"/>
      <c r="CA106" s="500"/>
      <c r="CC106" s="500"/>
      <c r="CG106" s="500"/>
      <c r="CJ106" s="351"/>
      <c r="CM106" s="500"/>
      <c r="CO106" s="500"/>
      <c r="CQ106" s="500"/>
      <c r="CS106" s="500"/>
      <c r="CU106" s="500"/>
      <c r="CW106" s="500"/>
      <c r="CZ106" s="351"/>
    </row>
    <row r="107" spans="2:104" s="278" customFormat="1" hidden="1" outlineLevel="2">
      <c r="B107" s="288" t="s">
        <v>1391</v>
      </c>
      <c r="C107" s="288" t="s">
        <v>1402</v>
      </c>
      <c r="D107" s="346"/>
      <c r="E107" s="412" t="s">
        <v>1298</v>
      </c>
      <c r="F107" s="501" t="s">
        <v>1402</v>
      </c>
      <c r="G107" s="403"/>
      <c r="H107" s="475">
        <v>0</v>
      </c>
      <c r="I107" s="475">
        <v>0</v>
      </c>
      <c r="J107" s="475">
        <v>0</v>
      </c>
      <c r="K107" s="475">
        <v>0</v>
      </c>
      <c r="L107" s="475">
        <v>0</v>
      </c>
      <c r="M107" s="475">
        <v>0</v>
      </c>
      <c r="N107" s="475">
        <v>0</v>
      </c>
      <c r="O107" s="475">
        <v>0</v>
      </c>
      <c r="P107" s="502">
        <v>0</v>
      </c>
      <c r="Q107" s="475">
        <v>0</v>
      </c>
      <c r="R107" s="475">
        <v>0</v>
      </c>
      <c r="S107" s="503">
        <v>0</v>
      </c>
      <c r="T107" s="502">
        <v>0</v>
      </c>
      <c r="U107" s="503">
        <v>0</v>
      </c>
      <c r="V107" s="503">
        <v>0</v>
      </c>
      <c r="W107" s="503">
        <v>0</v>
      </c>
      <c r="X107" s="503">
        <v>0</v>
      </c>
      <c r="Y107" s="503">
        <v>0</v>
      </c>
      <c r="Z107" s="503">
        <v>0</v>
      </c>
      <c r="AA107" s="503">
        <v>0</v>
      </c>
      <c r="AB107" s="503">
        <v>0</v>
      </c>
      <c r="AC107" s="503">
        <v>0</v>
      </c>
      <c r="AD107" s="503">
        <v>0</v>
      </c>
      <c r="AE107" s="502">
        <v>0</v>
      </c>
      <c r="AF107" s="503">
        <v>0</v>
      </c>
      <c r="AG107" s="503">
        <v>0</v>
      </c>
      <c r="AH107" s="503">
        <v>0</v>
      </c>
      <c r="AI107" s="503">
        <v>0</v>
      </c>
      <c r="AJ107" s="503">
        <v>0</v>
      </c>
      <c r="AK107" s="503">
        <v>0</v>
      </c>
      <c r="AL107" s="502">
        <v>0</v>
      </c>
      <c r="AM107" s="503">
        <v>0</v>
      </c>
      <c r="AN107" s="503">
        <v>0</v>
      </c>
      <c r="AO107" s="502">
        <v>0</v>
      </c>
      <c r="AP107" s="503">
        <v>0</v>
      </c>
      <c r="AQ107" s="502">
        <v>0</v>
      </c>
      <c r="AR107" s="503">
        <v>0</v>
      </c>
      <c r="AT107" s="351"/>
      <c r="BA107" s="500"/>
      <c r="BC107" s="500"/>
      <c r="BE107" s="500"/>
      <c r="BG107" s="500"/>
      <c r="BI107" s="500"/>
      <c r="BK107" s="500"/>
      <c r="BO107" s="500"/>
      <c r="BR107" s="351"/>
      <c r="BT107" s="500"/>
      <c r="BW107" s="500"/>
      <c r="CA107" s="500"/>
      <c r="CC107" s="500"/>
      <c r="CG107" s="500"/>
      <c r="CJ107" s="351"/>
      <c r="CM107" s="500"/>
      <c r="CO107" s="500"/>
      <c r="CQ107" s="500"/>
      <c r="CS107" s="500"/>
      <c r="CU107" s="500"/>
      <c r="CW107" s="500"/>
      <c r="CZ107" s="351"/>
    </row>
    <row r="108" spans="2:104" s="278" customFormat="1" hidden="1" outlineLevel="2">
      <c r="B108" s="288" t="s">
        <v>1391</v>
      </c>
      <c r="C108" s="288" t="s">
        <v>1403</v>
      </c>
      <c r="D108" s="346"/>
      <c r="E108" s="412" t="s">
        <v>1298</v>
      </c>
      <c r="F108" s="504" t="s">
        <v>1403</v>
      </c>
      <c r="G108" s="403"/>
      <c r="H108" s="475">
        <v>6.2449722944182537E-2</v>
      </c>
      <c r="I108" s="475">
        <v>2.4294454020169335E-2</v>
      </c>
      <c r="J108" s="475">
        <v>1.4929166299412773E-3</v>
      </c>
      <c r="K108" s="475">
        <v>5.088716531726825E-3</v>
      </c>
      <c r="L108" s="475">
        <v>3.0407997409740557E-2</v>
      </c>
      <c r="M108" s="475">
        <v>0.1067761030765353</v>
      </c>
      <c r="N108" s="475">
        <v>5.4807462315084182E-3</v>
      </c>
      <c r="O108" s="475">
        <v>1.8210439121874911E-2</v>
      </c>
      <c r="P108" s="502">
        <v>0.2542010959656793</v>
      </c>
      <c r="Q108" s="475">
        <v>0</v>
      </c>
      <c r="R108" s="475">
        <v>0</v>
      </c>
      <c r="S108" s="503">
        <v>0</v>
      </c>
      <c r="T108" s="502">
        <v>0</v>
      </c>
      <c r="U108" s="503">
        <v>4.6831223800833849E-2</v>
      </c>
      <c r="V108" s="503">
        <v>2.6540519770323302E-3</v>
      </c>
      <c r="W108" s="503">
        <v>7.8590422182857149E-4</v>
      </c>
      <c r="X108" s="503">
        <v>4.3014501676763121E-2</v>
      </c>
      <c r="Y108" s="503">
        <v>1.6306564330679197E-3</v>
      </c>
      <c r="Z108" s="503">
        <v>1.0432996935520692E-3</v>
      </c>
      <c r="AA108" s="503">
        <v>2.0817575752447082E-2</v>
      </c>
      <c r="AB108" s="503">
        <v>1.6320317607237903E-3</v>
      </c>
      <c r="AC108" s="503">
        <v>0</v>
      </c>
      <c r="AD108" s="503">
        <v>7.2122464315338539E-4</v>
      </c>
      <c r="AE108" s="502">
        <v>0.11913046995940212</v>
      </c>
      <c r="AF108" s="503">
        <v>1.8234901234963744E-2</v>
      </c>
      <c r="AG108" s="503">
        <v>1.2282205709294249E-2</v>
      </c>
      <c r="AH108" s="503">
        <v>7.5389944319684623E-4</v>
      </c>
      <c r="AI108" s="503">
        <v>1.684364182606855E-3</v>
      </c>
      <c r="AJ108" s="503">
        <v>7.0227967795449982E-4</v>
      </c>
      <c r="AK108" s="503">
        <v>8.1391320085902688E-4</v>
      </c>
      <c r="AL108" s="502">
        <v>3.4471563448875218E-2</v>
      </c>
      <c r="AM108" s="503">
        <v>0.83340668250860861</v>
      </c>
      <c r="AN108" s="503">
        <v>5.8145193058871086E-2</v>
      </c>
      <c r="AO108" s="502">
        <v>0.89155187556747972</v>
      </c>
      <c r="AP108" s="503">
        <v>0</v>
      </c>
      <c r="AQ108" s="502">
        <v>0</v>
      </c>
      <c r="AR108" s="503">
        <v>1.2993550049414364</v>
      </c>
      <c r="AT108" s="351"/>
      <c r="BA108" s="500"/>
      <c r="BC108" s="500"/>
      <c r="BE108" s="500"/>
      <c r="BG108" s="500"/>
      <c r="BI108" s="500"/>
      <c r="BK108" s="500"/>
      <c r="BO108" s="500"/>
      <c r="BR108" s="351"/>
      <c r="BT108" s="500"/>
      <c r="BW108" s="500"/>
      <c r="CA108" s="500"/>
      <c r="CC108" s="500"/>
      <c r="CG108" s="500"/>
      <c r="CJ108" s="351"/>
      <c r="CM108" s="500"/>
      <c r="CO108" s="500"/>
      <c r="CQ108" s="500"/>
      <c r="CS108" s="500"/>
      <c r="CU108" s="500"/>
      <c r="CW108" s="500"/>
      <c r="CZ108" s="351"/>
    </row>
    <row r="109" spans="2:104" s="278" customFormat="1" hidden="1" outlineLevel="2">
      <c r="B109" s="288" t="s">
        <v>1391</v>
      </c>
      <c r="C109" s="288" t="s">
        <v>1404</v>
      </c>
      <c r="D109" s="346"/>
      <c r="E109" s="412" t="s">
        <v>1298</v>
      </c>
      <c r="F109" s="501" t="s">
        <v>1386</v>
      </c>
      <c r="G109" s="403"/>
      <c r="H109" s="475">
        <v>1.4172018272607714</v>
      </c>
      <c r="I109" s="475">
        <v>0.55132581869835318</v>
      </c>
      <c r="J109" s="475">
        <v>3.387948058299374E-2</v>
      </c>
      <c r="K109" s="475">
        <v>0.11548071035673275</v>
      </c>
      <c r="L109" s="475">
        <v>0.69006342159344258</v>
      </c>
      <c r="M109" s="475">
        <v>2.4231218531282006</v>
      </c>
      <c r="N109" s="475">
        <v>0.12437723031996055</v>
      </c>
      <c r="O109" s="475">
        <v>0.41325832016595476</v>
      </c>
      <c r="P109" s="502">
        <v>5.7687086621064125</v>
      </c>
      <c r="Q109" s="475">
        <v>0</v>
      </c>
      <c r="R109" s="475">
        <v>0</v>
      </c>
      <c r="S109" s="503">
        <v>0</v>
      </c>
      <c r="T109" s="502">
        <v>0</v>
      </c>
      <c r="U109" s="503">
        <v>2.0973192297169376</v>
      </c>
      <c r="V109" s="503">
        <v>0.11886074708983048</v>
      </c>
      <c r="W109" s="503">
        <v>3.5196433135438167E-2</v>
      </c>
      <c r="X109" s="503">
        <v>1.9263887253307359</v>
      </c>
      <c r="Y109" s="503">
        <v>7.3028351953383794E-2</v>
      </c>
      <c r="Z109" s="503">
        <v>4.6723795195921874E-2</v>
      </c>
      <c r="AA109" s="503">
        <v>0.93230751618579111</v>
      </c>
      <c r="AB109" s="503">
        <v>7.3089945499435163E-2</v>
      </c>
      <c r="AC109" s="503">
        <v>0</v>
      </c>
      <c r="AD109" s="503">
        <v>3.2299781860588454E-2</v>
      </c>
      <c r="AE109" s="502">
        <v>5.3352145259680626</v>
      </c>
      <c r="AF109" s="503">
        <v>4.697660341385629</v>
      </c>
      <c r="AG109" s="503">
        <v>3.1641317889159639</v>
      </c>
      <c r="AH109" s="503">
        <v>0.19421895792382526</v>
      </c>
      <c r="AI109" s="503">
        <v>0.43392452304106915</v>
      </c>
      <c r="AJ109" s="503">
        <v>0.18092071622314357</v>
      </c>
      <c r="AK109" s="503">
        <v>0.20967965308605571</v>
      </c>
      <c r="AL109" s="502">
        <v>8.8805359805756865</v>
      </c>
      <c r="AM109" s="503">
        <v>5.2192382418008574</v>
      </c>
      <c r="AN109" s="503">
        <v>0.36413628731206993</v>
      </c>
      <c r="AO109" s="502">
        <v>5.5833745291129278</v>
      </c>
      <c r="AP109" s="503">
        <v>0</v>
      </c>
      <c r="AQ109" s="502">
        <v>0</v>
      </c>
      <c r="AR109" s="503">
        <v>25.567833697763088</v>
      </c>
      <c r="AT109" s="351"/>
      <c r="BA109" s="500"/>
      <c r="BC109" s="500"/>
      <c r="BE109" s="500"/>
      <c r="BG109" s="500"/>
      <c r="BI109" s="500"/>
      <c r="BK109" s="500"/>
      <c r="BO109" s="500"/>
      <c r="BR109" s="351"/>
      <c r="BT109" s="500"/>
      <c r="BW109" s="500"/>
      <c r="CA109" s="500"/>
      <c r="CC109" s="500"/>
      <c r="CG109" s="500"/>
      <c r="CJ109" s="351"/>
      <c r="CM109" s="500"/>
      <c r="CO109" s="500"/>
      <c r="CQ109" s="500"/>
      <c r="CS109" s="500"/>
      <c r="CU109" s="500"/>
      <c r="CW109" s="500"/>
      <c r="CZ109" s="351"/>
    </row>
    <row r="110" spans="2:104" s="278" customFormat="1" ht="15" hidden="1" outlineLevel="1" collapsed="1">
      <c r="C110" s="505"/>
      <c r="D110" s="346"/>
      <c r="E110" s="506"/>
      <c r="F110" s="507" t="s">
        <v>1405</v>
      </c>
      <c r="G110" s="403"/>
      <c r="H110" s="508">
        <v>18.848182945645064</v>
      </c>
      <c r="I110" s="508">
        <v>7.3323994462872086</v>
      </c>
      <c r="J110" s="508">
        <v>0.45058271577728948</v>
      </c>
      <c r="K110" s="508">
        <v>1.5358444461674003</v>
      </c>
      <c r="L110" s="508">
        <v>9.1775506946885699</v>
      </c>
      <c r="M110" s="508">
        <v>32.226492450709387</v>
      </c>
      <c r="N110" s="508">
        <v>1.6541643866451841</v>
      </c>
      <c r="O110" s="508">
        <v>5.4961603015663014</v>
      </c>
      <c r="P110" s="509">
        <v>76.721377387486456</v>
      </c>
      <c r="Q110" s="508">
        <v>0</v>
      </c>
      <c r="R110" s="508">
        <v>0</v>
      </c>
      <c r="S110" s="508">
        <v>0</v>
      </c>
      <c r="T110" s="509">
        <v>0</v>
      </c>
      <c r="U110" s="508">
        <v>31.420795964369574</v>
      </c>
      <c r="V110" s="508">
        <v>1.7807013970811432</v>
      </c>
      <c r="W110" s="508">
        <v>0.52729213967653155</v>
      </c>
      <c r="X110" s="508">
        <v>28.860016266979166</v>
      </c>
      <c r="Y110" s="508">
        <v>1.0940675667438249</v>
      </c>
      <c r="Z110" s="508">
        <v>0.6999882586925944</v>
      </c>
      <c r="AA110" s="508">
        <v>13.967279671619441</v>
      </c>
      <c r="AB110" s="508">
        <v>1.0949903248131641</v>
      </c>
      <c r="AC110" s="508">
        <v>0</v>
      </c>
      <c r="AD110" s="508">
        <v>0.48389622388203063</v>
      </c>
      <c r="AE110" s="509">
        <v>79.929027813857488</v>
      </c>
      <c r="AF110" s="508">
        <v>34.54474328818511</v>
      </c>
      <c r="AG110" s="508">
        <v>23.267778518411859</v>
      </c>
      <c r="AH110" s="508">
        <v>1.428209694956021</v>
      </c>
      <c r="AI110" s="508">
        <v>3.1909099776422916</v>
      </c>
      <c r="AJ110" s="508">
        <v>1.3304196649516837</v>
      </c>
      <c r="AK110" s="508">
        <v>1.541901555717202</v>
      </c>
      <c r="AL110" s="509">
        <v>65.303962699864158</v>
      </c>
      <c r="AM110" s="508">
        <v>126.64480136696558</v>
      </c>
      <c r="AN110" s="508">
        <v>8.8357659950831184</v>
      </c>
      <c r="AO110" s="509">
        <v>135.4805673620487</v>
      </c>
      <c r="AP110" s="508">
        <v>0</v>
      </c>
      <c r="AQ110" s="509">
        <v>0</v>
      </c>
      <c r="AR110" s="508">
        <v>357.43493526325682</v>
      </c>
      <c r="AT110" s="351"/>
      <c r="BA110" s="500"/>
      <c r="BC110" s="500"/>
      <c r="BE110" s="500"/>
      <c r="BG110" s="500"/>
      <c r="BI110" s="500"/>
      <c r="BK110" s="500"/>
      <c r="BO110" s="500"/>
      <c r="BR110" s="351"/>
      <c r="BT110" s="500"/>
      <c r="BW110" s="500"/>
      <c r="CA110" s="500"/>
      <c r="CC110" s="500"/>
      <c r="CG110" s="500"/>
      <c r="CJ110" s="351"/>
      <c r="CM110" s="500"/>
      <c r="CO110" s="500"/>
      <c r="CQ110" s="500"/>
      <c r="CS110" s="500"/>
      <c r="CU110" s="500"/>
      <c r="CW110" s="500"/>
      <c r="CZ110" s="351"/>
    </row>
    <row r="111" spans="2:104" s="278" customFormat="1" hidden="1" outlineLevel="1">
      <c r="B111" s="185"/>
      <c r="C111" s="185"/>
      <c r="D111" s="346"/>
      <c r="E111" s="187"/>
      <c r="F111" s="185"/>
      <c r="G111" s="403"/>
      <c r="H111" s="510"/>
      <c r="I111" s="510"/>
      <c r="J111" s="510"/>
      <c r="K111" s="510"/>
      <c r="L111" s="510"/>
      <c r="M111" s="510"/>
      <c r="N111" s="510"/>
      <c r="O111" s="510"/>
      <c r="P111" s="511"/>
      <c r="Q111" s="510"/>
      <c r="R111" s="510"/>
      <c r="S111" s="510"/>
      <c r="T111" s="511"/>
      <c r="U111" s="510"/>
      <c r="V111" s="510"/>
      <c r="W111" s="510"/>
      <c r="X111" s="510"/>
      <c r="Y111" s="510"/>
      <c r="Z111" s="510"/>
      <c r="AA111" s="510"/>
      <c r="AB111" s="510"/>
      <c r="AC111" s="510"/>
      <c r="AD111" s="510"/>
      <c r="AE111" s="511"/>
      <c r="AF111" s="510"/>
      <c r="AG111" s="510"/>
      <c r="AH111" s="510"/>
      <c r="AI111" s="510"/>
      <c r="AJ111" s="510"/>
      <c r="AK111" s="510"/>
      <c r="AL111" s="511"/>
      <c r="AM111" s="510"/>
      <c r="AN111" s="510"/>
      <c r="AO111" s="511"/>
      <c r="AP111" s="510"/>
      <c r="AQ111" s="511"/>
      <c r="AR111" s="510"/>
      <c r="AT111" s="351"/>
      <c r="BA111" s="500"/>
      <c r="BC111" s="500"/>
      <c r="BE111" s="500"/>
      <c r="BG111" s="500"/>
      <c r="BI111" s="500"/>
      <c r="BK111" s="500"/>
      <c r="BO111" s="500"/>
      <c r="BR111" s="351"/>
      <c r="BT111" s="500"/>
      <c r="BW111" s="500"/>
      <c r="CA111" s="500"/>
      <c r="CC111" s="500"/>
      <c r="CG111" s="500"/>
      <c r="CJ111" s="351"/>
      <c r="CM111" s="500"/>
      <c r="CO111" s="500"/>
      <c r="CQ111" s="500"/>
      <c r="CS111" s="500"/>
      <c r="CU111" s="500"/>
      <c r="CW111" s="500"/>
      <c r="CZ111" s="351"/>
    </row>
    <row r="112" spans="2:104" s="278" customFormat="1" hidden="1" outlineLevel="2">
      <c r="B112" s="288" t="s">
        <v>1406</v>
      </c>
      <c r="C112" s="512" t="s">
        <v>1392</v>
      </c>
      <c r="D112" s="346"/>
      <c r="E112" s="420" t="s">
        <v>5</v>
      </c>
      <c r="F112" s="501" t="s">
        <v>1392</v>
      </c>
      <c r="G112" s="403"/>
      <c r="H112" s="503">
        <v>95.585078708170755</v>
      </c>
      <c r="I112" s="503">
        <v>95.585078708170755</v>
      </c>
      <c r="J112" s="503">
        <v>95.585078708170755</v>
      </c>
      <c r="K112" s="503">
        <v>95.585078708170755</v>
      </c>
      <c r="L112" s="503">
        <v>95.585078708170755</v>
      </c>
      <c r="M112" s="503">
        <v>95.585078708170755</v>
      </c>
      <c r="N112" s="503">
        <v>95.585078708170755</v>
      </c>
      <c r="O112" s="503">
        <v>95.585078708170755</v>
      </c>
      <c r="P112" s="502">
        <v>95.585078708170755</v>
      </c>
      <c r="Q112" s="503">
        <v>82.423321942376575</v>
      </c>
      <c r="R112" s="503">
        <v>82.423321942376575</v>
      </c>
      <c r="S112" s="503">
        <v>82.423321942376575</v>
      </c>
      <c r="T112" s="502">
        <v>82.423321942376575</v>
      </c>
      <c r="U112" s="503">
        <v>77.31411015230124</v>
      </c>
      <c r="V112" s="503">
        <v>77.31411015230124</v>
      </c>
      <c r="W112" s="503">
        <v>77.31411015230124</v>
      </c>
      <c r="X112" s="503">
        <v>77.31411015230124</v>
      </c>
      <c r="Y112" s="503">
        <v>77.31411015230124</v>
      </c>
      <c r="Z112" s="503">
        <v>77.31411015230124</v>
      </c>
      <c r="AA112" s="503">
        <v>77.31411015230124</v>
      </c>
      <c r="AB112" s="503">
        <v>77.31411015230124</v>
      </c>
      <c r="AC112" s="503">
        <v>77.31411015230124</v>
      </c>
      <c r="AD112" s="503">
        <v>77.31411015230124</v>
      </c>
      <c r="AE112" s="502">
        <v>77.31411015230124</v>
      </c>
      <c r="AF112" s="503">
        <v>90.190666199672918</v>
      </c>
      <c r="AG112" s="503">
        <v>90.190666199672918</v>
      </c>
      <c r="AH112" s="503">
        <v>90.190666199672918</v>
      </c>
      <c r="AI112" s="503">
        <v>90.190666199672918</v>
      </c>
      <c r="AJ112" s="503">
        <v>90.190666199672918</v>
      </c>
      <c r="AK112" s="503">
        <v>90.190666199672918</v>
      </c>
      <c r="AL112" s="502">
        <v>90.190666199672918</v>
      </c>
      <c r="AM112" s="503">
        <v>79.042721440229954</v>
      </c>
      <c r="AN112" s="503">
        <v>79.042721440229954</v>
      </c>
      <c r="AO112" s="502">
        <v>79.042721440229954</v>
      </c>
      <c r="AP112" s="503">
        <v>95.517057162494666</v>
      </c>
      <c r="AQ112" s="502">
        <v>95.517057162494666</v>
      </c>
      <c r="AR112" s="503">
        <v>520.07295560524608</v>
      </c>
      <c r="AT112" s="351"/>
      <c r="BA112" s="500"/>
      <c r="BC112" s="500"/>
      <c r="BE112" s="500"/>
      <c r="BG112" s="500"/>
      <c r="BI112" s="500"/>
      <c r="BK112" s="500"/>
      <c r="BO112" s="500"/>
      <c r="BR112" s="351"/>
      <c r="BT112" s="500"/>
      <c r="BW112" s="500"/>
      <c r="CA112" s="500"/>
      <c r="CC112" s="500"/>
      <c r="CG112" s="500"/>
      <c r="CJ112" s="351"/>
      <c r="CM112" s="500"/>
      <c r="CO112" s="500"/>
      <c r="CQ112" s="500"/>
      <c r="CS112" s="500"/>
      <c r="CU112" s="500"/>
      <c r="CW112" s="500"/>
      <c r="CZ112" s="351"/>
    </row>
    <row r="113" spans="2:104" s="278" customFormat="1" hidden="1" outlineLevel="2">
      <c r="B113" s="288" t="s">
        <v>1406</v>
      </c>
      <c r="C113" s="512" t="s">
        <v>1393</v>
      </c>
      <c r="D113" s="346"/>
      <c r="E113" s="420" t="s">
        <v>5</v>
      </c>
      <c r="F113" s="504" t="s">
        <v>1393</v>
      </c>
      <c r="G113" s="403"/>
      <c r="H113" s="503">
        <v>412.22187786217813</v>
      </c>
      <c r="I113" s="503">
        <v>412.22187786217813</v>
      </c>
      <c r="J113" s="503">
        <v>412.22187786217813</v>
      </c>
      <c r="K113" s="503">
        <v>412.22187786217813</v>
      </c>
      <c r="L113" s="503">
        <v>412.22187786217813</v>
      </c>
      <c r="M113" s="503">
        <v>412.22187786217813</v>
      </c>
      <c r="N113" s="503">
        <v>412.22187786217813</v>
      </c>
      <c r="O113" s="503">
        <v>412.22187786217813</v>
      </c>
      <c r="P113" s="502">
        <v>412.22187786217813</v>
      </c>
      <c r="Q113" s="503">
        <v>271.38165064013947</v>
      </c>
      <c r="R113" s="503">
        <v>271.38165064013947</v>
      </c>
      <c r="S113" s="503">
        <v>271.38165064013947</v>
      </c>
      <c r="T113" s="502">
        <v>271.38165064013947</v>
      </c>
      <c r="U113" s="503">
        <v>350.71393811187693</v>
      </c>
      <c r="V113" s="503">
        <v>350.71393811187693</v>
      </c>
      <c r="W113" s="503">
        <v>350.71393811187693</v>
      </c>
      <c r="X113" s="503">
        <v>350.71393811187693</v>
      </c>
      <c r="Y113" s="503">
        <v>350.71393811187693</v>
      </c>
      <c r="Z113" s="503">
        <v>350.71393811187693</v>
      </c>
      <c r="AA113" s="503">
        <v>350.71393811187693</v>
      </c>
      <c r="AB113" s="503">
        <v>350.71393811187693</v>
      </c>
      <c r="AC113" s="503">
        <v>350.71393811187693</v>
      </c>
      <c r="AD113" s="503">
        <v>350.71393811187693</v>
      </c>
      <c r="AE113" s="502">
        <v>350.71393811187693</v>
      </c>
      <c r="AF113" s="503">
        <v>324.26645582046501</v>
      </c>
      <c r="AG113" s="503">
        <v>324.26645582046501</v>
      </c>
      <c r="AH113" s="503">
        <v>324.26645582046501</v>
      </c>
      <c r="AI113" s="503">
        <v>324.26645582046501</v>
      </c>
      <c r="AJ113" s="503">
        <v>324.26645582046501</v>
      </c>
      <c r="AK113" s="503">
        <v>324.26645582046501</v>
      </c>
      <c r="AL113" s="502">
        <v>324.26645582046501</v>
      </c>
      <c r="AM113" s="503">
        <v>394.80502030760402</v>
      </c>
      <c r="AN113" s="503">
        <v>394.80502030760402</v>
      </c>
      <c r="AO113" s="502">
        <v>394.80502030760402</v>
      </c>
      <c r="AP113" s="503">
        <v>397.43782672764922</v>
      </c>
      <c r="AQ113" s="502">
        <v>397.43782672764922</v>
      </c>
      <c r="AR113" s="503">
        <v>2150.826769469913</v>
      </c>
      <c r="AT113" s="351"/>
      <c r="BA113" s="500"/>
      <c r="BC113" s="500"/>
      <c r="BE113" s="500"/>
      <c r="BG113" s="500"/>
      <c r="BI113" s="500"/>
      <c r="BK113" s="500"/>
      <c r="BO113" s="500"/>
      <c r="BR113" s="351"/>
      <c r="BT113" s="500"/>
      <c r="BW113" s="500"/>
      <c r="CA113" s="500"/>
      <c r="CC113" s="500"/>
      <c r="CG113" s="500"/>
      <c r="CJ113" s="351"/>
      <c r="CM113" s="500"/>
      <c r="CO113" s="500"/>
      <c r="CQ113" s="500"/>
      <c r="CS113" s="500"/>
      <c r="CU113" s="500"/>
      <c r="CW113" s="500"/>
      <c r="CZ113" s="351"/>
    </row>
    <row r="114" spans="2:104" s="278" customFormat="1" hidden="1" outlineLevel="2">
      <c r="B114" s="288" t="s">
        <v>1406</v>
      </c>
      <c r="C114" s="512" t="s">
        <v>1394</v>
      </c>
      <c r="D114" s="346"/>
      <c r="E114" s="420" t="s">
        <v>5</v>
      </c>
      <c r="F114" s="501" t="s">
        <v>1394</v>
      </c>
      <c r="G114" s="403"/>
      <c r="H114" s="503">
        <v>3.906513884997544</v>
      </c>
      <c r="I114" s="503">
        <v>3.906513884997544</v>
      </c>
      <c r="J114" s="503">
        <v>3.906513884997544</v>
      </c>
      <c r="K114" s="503">
        <v>3.906513884997544</v>
      </c>
      <c r="L114" s="503">
        <v>3.906513884997544</v>
      </c>
      <c r="M114" s="503">
        <v>3.906513884997544</v>
      </c>
      <c r="N114" s="503">
        <v>3.906513884997544</v>
      </c>
      <c r="O114" s="503">
        <v>3.906513884997544</v>
      </c>
      <c r="P114" s="502">
        <v>3.906513884997544</v>
      </c>
      <c r="Q114" s="503">
        <v>1.2599935897435896E-2</v>
      </c>
      <c r="R114" s="503">
        <v>1.2599935897435896E-2</v>
      </c>
      <c r="S114" s="503">
        <v>1.2599935897435896E-2</v>
      </c>
      <c r="T114" s="502">
        <v>1.2599935897435896E-2</v>
      </c>
      <c r="U114" s="503">
        <v>6.0860001622167148E-2</v>
      </c>
      <c r="V114" s="503">
        <v>6.0860001622167148E-2</v>
      </c>
      <c r="W114" s="503">
        <v>6.0860001622167148E-2</v>
      </c>
      <c r="X114" s="503">
        <v>6.0860001622167148E-2</v>
      </c>
      <c r="Y114" s="503">
        <v>6.0860001622167148E-2</v>
      </c>
      <c r="Z114" s="503">
        <v>6.0860001622167148E-2</v>
      </c>
      <c r="AA114" s="503">
        <v>6.0860001622167148E-2</v>
      </c>
      <c r="AB114" s="503">
        <v>6.0860001622167148E-2</v>
      </c>
      <c r="AC114" s="503">
        <v>6.0860001622167148E-2</v>
      </c>
      <c r="AD114" s="503">
        <v>6.0860001622167148E-2</v>
      </c>
      <c r="AE114" s="502">
        <v>6.0860001622167148E-2</v>
      </c>
      <c r="AF114" s="503">
        <v>3.1801859395932282E-2</v>
      </c>
      <c r="AG114" s="503">
        <v>3.1801859395932282E-2</v>
      </c>
      <c r="AH114" s="503">
        <v>3.1801859395932282E-2</v>
      </c>
      <c r="AI114" s="503">
        <v>3.1801859395932282E-2</v>
      </c>
      <c r="AJ114" s="503">
        <v>3.1801859395932282E-2</v>
      </c>
      <c r="AK114" s="503">
        <v>3.1801859395932282E-2</v>
      </c>
      <c r="AL114" s="502">
        <v>3.1801859395932282E-2</v>
      </c>
      <c r="AM114" s="503">
        <v>9.512189454160043E-2</v>
      </c>
      <c r="AN114" s="503">
        <v>9.512189454160043E-2</v>
      </c>
      <c r="AO114" s="502">
        <v>9.512189454160043E-2</v>
      </c>
      <c r="AP114" s="503">
        <v>1.4316363636363636E-2</v>
      </c>
      <c r="AQ114" s="502">
        <v>1.4316363636363636E-2</v>
      </c>
      <c r="AR114" s="503">
        <v>4.1212139400910432</v>
      </c>
      <c r="AT114" s="351"/>
      <c r="BA114" s="500"/>
      <c r="BC114" s="500"/>
      <c r="BE114" s="500"/>
      <c r="BG114" s="500"/>
      <c r="BI114" s="500"/>
      <c r="BK114" s="500"/>
      <c r="BO114" s="500"/>
      <c r="BR114" s="351"/>
      <c r="BT114" s="500"/>
      <c r="BW114" s="500"/>
      <c r="CA114" s="500"/>
      <c r="CC114" s="500"/>
      <c r="CG114" s="500"/>
      <c r="CJ114" s="351"/>
      <c r="CM114" s="500"/>
      <c r="CO114" s="500"/>
      <c r="CQ114" s="500"/>
      <c r="CS114" s="500"/>
      <c r="CU114" s="500"/>
      <c r="CW114" s="500"/>
      <c r="CZ114" s="351"/>
    </row>
    <row r="115" spans="2:104" s="278" customFormat="1" hidden="1" outlineLevel="2">
      <c r="B115" s="288" t="s">
        <v>1406</v>
      </c>
      <c r="C115" s="512" t="s">
        <v>1395</v>
      </c>
      <c r="D115" s="346"/>
      <c r="E115" s="420" t="s">
        <v>5</v>
      </c>
      <c r="F115" s="504" t="s">
        <v>1395</v>
      </c>
      <c r="G115" s="403"/>
      <c r="H115" s="503">
        <v>5.7785141911210793E-2</v>
      </c>
      <c r="I115" s="503">
        <v>5.7785141911210793E-2</v>
      </c>
      <c r="J115" s="503">
        <v>5.7785141911210793E-2</v>
      </c>
      <c r="K115" s="503">
        <v>5.7785141911210793E-2</v>
      </c>
      <c r="L115" s="503">
        <v>5.7785141911210793E-2</v>
      </c>
      <c r="M115" s="503">
        <v>5.7785141911210793E-2</v>
      </c>
      <c r="N115" s="503">
        <v>5.7785141911210793E-2</v>
      </c>
      <c r="O115" s="503">
        <v>5.7785141911210793E-2</v>
      </c>
      <c r="P115" s="502">
        <v>5.7785141911210793E-2</v>
      </c>
      <c r="Q115" s="503">
        <v>0</v>
      </c>
      <c r="R115" s="503">
        <v>0</v>
      </c>
      <c r="S115" s="503">
        <v>0</v>
      </c>
      <c r="T115" s="502">
        <v>0</v>
      </c>
      <c r="U115" s="503">
        <v>4.09092609984269E-2</v>
      </c>
      <c r="V115" s="503">
        <v>4.09092609984269E-2</v>
      </c>
      <c r="W115" s="503">
        <v>4.09092609984269E-2</v>
      </c>
      <c r="X115" s="503">
        <v>4.09092609984269E-2</v>
      </c>
      <c r="Y115" s="503">
        <v>4.09092609984269E-2</v>
      </c>
      <c r="Z115" s="503">
        <v>4.09092609984269E-2</v>
      </c>
      <c r="AA115" s="503">
        <v>4.09092609984269E-2</v>
      </c>
      <c r="AB115" s="503">
        <v>4.09092609984269E-2</v>
      </c>
      <c r="AC115" s="503">
        <v>4.09092609984269E-2</v>
      </c>
      <c r="AD115" s="503">
        <v>4.09092609984269E-2</v>
      </c>
      <c r="AE115" s="502">
        <v>4.09092609984269E-2</v>
      </c>
      <c r="AF115" s="503">
        <v>0</v>
      </c>
      <c r="AG115" s="503">
        <v>0</v>
      </c>
      <c r="AH115" s="503">
        <v>0</v>
      </c>
      <c r="AI115" s="503">
        <v>0</v>
      </c>
      <c r="AJ115" s="503">
        <v>0</v>
      </c>
      <c r="AK115" s="503">
        <v>0</v>
      </c>
      <c r="AL115" s="502">
        <v>0</v>
      </c>
      <c r="AM115" s="503">
        <v>0</v>
      </c>
      <c r="AN115" s="503">
        <v>0</v>
      </c>
      <c r="AO115" s="502">
        <v>0</v>
      </c>
      <c r="AP115" s="503">
        <v>0</v>
      </c>
      <c r="AQ115" s="502">
        <v>0</v>
      </c>
      <c r="AR115" s="503">
        <v>9.8694402909637685E-2</v>
      </c>
      <c r="AT115" s="351"/>
      <c r="BA115" s="500"/>
      <c r="BC115" s="500"/>
      <c r="BE115" s="500"/>
      <c r="BG115" s="500"/>
      <c r="BI115" s="500"/>
      <c r="BK115" s="500"/>
      <c r="BO115" s="500"/>
      <c r="BR115" s="351"/>
      <c r="BT115" s="500"/>
      <c r="BW115" s="500"/>
      <c r="CA115" s="500"/>
      <c r="CC115" s="500"/>
      <c r="CG115" s="500"/>
      <c r="CJ115" s="351"/>
      <c r="CM115" s="500"/>
      <c r="CO115" s="500"/>
      <c r="CQ115" s="500"/>
      <c r="CS115" s="500"/>
      <c r="CU115" s="500"/>
      <c r="CW115" s="500"/>
      <c r="CZ115" s="351"/>
    </row>
    <row r="116" spans="2:104" s="278" customFormat="1" hidden="1" outlineLevel="2">
      <c r="B116" s="288" t="s">
        <v>1406</v>
      </c>
      <c r="C116" s="512" t="s">
        <v>1396</v>
      </c>
      <c r="D116" s="346"/>
      <c r="E116" s="420" t="s">
        <v>5</v>
      </c>
      <c r="F116" s="501" t="s">
        <v>1396</v>
      </c>
      <c r="G116" s="403"/>
      <c r="H116" s="503">
        <v>0</v>
      </c>
      <c r="I116" s="503">
        <v>0</v>
      </c>
      <c r="J116" s="503">
        <v>0</v>
      </c>
      <c r="K116" s="503">
        <v>0</v>
      </c>
      <c r="L116" s="503">
        <v>0</v>
      </c>
      <c r="M116" s="503">
        <v>0</v>
      </c>
      <c r="N116" s="503">
        <v>0</v>
      </c>
      <c r="O116" s="503">
        <v>0</v>
      </c>
      <c r="P116" s="502">
        <v>0</v>
      </c>
      <c r="Q116" s="503">
        <v>0</v>
      </c>
      <c r="R116" s="503">
        <v>0</v>
      </c>
      <c r="S116" s="503">
        <v>0</v>
      </c>
      <c r="T116" s="502">
        <v>0</v>
      </c>
      <c r="U116" s="503">
        <v>0</v>
      </c>
      <c r="V116" s="503">
        <v>0</v>
      </c>
      <c r="W116" s="503">
        <v>0</v>
      </c>
      <c r="X116" s="503">
        <v>0</v>
      </c>
      <c r="Y116" s="503">
        <v>0</v>
      </c>
      <c r="Z116" s="503">
        <v>0</v>
      </c>
      <c r="AA116" s="503">
        <v>0</v>
      </c>
      <c r="AB116" s="503">
        <v>0</v>
      </c>
      <c r="AC116" s="503">
        <v>0</v>
      </c>
      <c r="AD116" s="503">
        <v>0</v>
      </c>
      <c r="AE116" s="502">
        <v>0</v>
      </c>
      <c r="AF116" s="503">
        <v>0</v>
      </c>
      <c r="AG116" s="503">
        <v>0</v>
      </c>
      <c r="AH116" s="503">
        <v>0</v>
      </c>
      <c r="AI116" s="503">
        <v>0</v>
      </c>
      <c r="AJ116" s="503">
        <v>0</v>
      </c>
      <c r="AK116" s="503">
        <v>0</v>
      </c>
      <c r="AL116" s="502">
        <v>0</v>
      </c>
      <c r="AM116" s="503">
        <v>0</v>
      </c>
      <c r="AN116" s="503">
        <v>0</v>
      </c>
      <c r="AO116" s="502">
        <v>0</v>
      </c>
      <c r="AP116" s="503">
        <v>0</v>
      </c>
      <c r="AQ116" s="502">
        <v>0</v>
      </c>
      <c r="AR116" s="503">
        <v>0</v>
      </c>
      <c r="AT116" s="351"/>
      <c r="BA116" s="500"/>
      <c r="BC116" s="500"/>
      <c r="BE116" s="500"/>
      <c r="BG116" s="500"/>
      <c r="BI116" s="500"/>
      <c r="BK116" s="500"/>
      <c r="BO116" s="500"/>
      <c r="BR116" s="351"/>
      <c r="BT116" s="500"/>
      <c r="BW116" s="500"/>
      <c r="CA116" s="500"/>
      <c r="CC116" s="500"/>
      <c r="CG116" s="500"/>
      <c r="CJ116" s="351"/>
      <c r="CM116" s="500"/>
      <c r="CO116" s="500"/>
      <c r="CQ116" s="500"/>
      <c r="CS116" s="500"/>
      <c r="CU116" s="500"/>
      <c r="CW116" s="500"/>
      <c r="CZ116" s="351"/>
    </row>
    <row r="117" spans="2:104" s="278" customFormat="1" hidden="1" outlineLevel="2">
      <c r="B117" s="288" t="s">
        <v>1406</v>
      </c>
      <c r="C117" s="513" t="s">
        <v>1397</v>
      </c>
      <c r="D117" s="514"/>
      <c r="E117" s="420" t="s">
        <v>5</v>
      </c>
      <c r="F117" s="504" t="s">
        <v>1397</v>
      </c>
      <c r="G117" s="403"/>
      <c r="H117" s="503">
        <v>88.543520575909113</v>
      </c>
      <c r="I117" s="503">
        <v>88.543520575909113</v>
      </c>
      <c r="J117" s="503">
        <v>88.543520575909113</v>
      </c>
      <c r="K117" s="503">
        <v>88.543520575909113</v>
      </c>
      <c r="L117" s="503">
        <v>88.543520575909113</v>
      </c>
      <c r="M117" s="503">
        <v>88.543520575909113</v>
      </c>
      <c r="N117" s="503">
        <v>88.543520575909113</v>
      </c>
      <c r="O117" s="503">
        <v>88.543520575909113</v>
      </c>
      <c r="P117" s="502">
        <v>88.543520575909113</v>
      </c>
      <c r="Q117" s="503">
        <v>49.184793846153845</v>
      </c>
      <c r="R117" s="503">
        <v>49.184793846153845</v>
      </c>
      <c r="S117" s="503">
        <v>49.184793846153845</v>
      </c>
      <c r="T117" s="502">
        <v>49.184793846153845</v>
      </c>
      <c r="U117" s="503">
        <v>61.808516193009446</v>
      </c>
      <c r="V117" s="503">
        <v>61.808516193009446</v>
      </c>
      <c r="W117" s="503">
        <v>61.808516193009446</v>
      </c>
      <c r="X117" s="503">
        <v>61.808516193009446</v>
      </c>
      <c r="Y117" s="503">
        <v>61.808516193009446</v>
      </c>
      <c r="Z117" s="503">
        <v>61.808516193009446</v>
      </c>
      <c r="AA117" s="503">
        <v>61.808516193009446</v>
      </c>
      <c r="AB117" s="503">
        <v>61.808516193009446</v>
      </c>
      <c r="AC117" s="503">
        <v>61.808516193009446</v>
      </c>
      <c r="AD117" s="503">
        <v>61.808516193009446</v>
      </c>
      <c r="AE117" s="502">
        <v>61.808516193009446</v>
      </c>
      <c r="AF117" s="503">
        <v>102.37340405584796</v>
      </c>
      <c r="AG117" s="503">
        <v>102.37340405584796</v>
      </c>
      <c r="AH117" s="503">
        <v>102.37340405584796</v>
      </c>
      <c r="AI117" s="503">
        <v>102.37340405584796</v>
      </c>
      <c r="AJ117" s="503">
        <v>102.37340405584796</v>
      </c>
      <c r="AK117" s="503">
        <v>102.37340405584796</v>
      </c>
      <c r="AL117" s="502">
        <v>102.37340405584796</v>
      </c>
      <c r="AM117" s="503">
        <v>90.01870533651298</v>
      </c>
      <c r="AN117" s="503">
        <v>90.01870533651298</v>
      </c>
      <c r="AO117" s="502">
        <v>90.01870533651298</v>
      </c>
      <c r="AP117" s="503">
        <v>161.10810969696973</v>
      </c>
      <c r="AQ117" s="502">
        <v>161.10810969696973</v>
      </c>
      <c r="AR117" s="503">
        <v>553.0370497044031</v>
      </c>
      <c r="AT117" s="351"/>
      <c r="BA117" s="500"/>
      <c r="BC117" s="500"/>
      <c r="BE117" s="500"/>
      <c r="BG117" s="500"/>
      <c r="BI117" s="500"/>
      <c r="BK117" s="500"/>
      <c r="BO117" s="500"/>
      <c r="BR117" s="351"/>
      <c r="BT117" s="500"/>
      <c r="BW117" s="500"/>
      <c r="CA117" s="500"/>
      <c r="CC117" s="500"/>
      <c r="CG117" s="500"/>
      <c r="CJ117" s="351"/>
      <c r="CM117" s="500"/>
      <c r="CO117" s="500"/>
      <c r="CQ117" s="500"/>
      <c r="CS117" s="500"/>
      <c r="CU117" s="500"/>
      <c r="CW117" s="500"/>
      <c r="CZ117" s="351"/>
    </row>
    <row r="118" spans="2:104" s="278" customFormat="1" hidden="1" outlineLevel="2">
      <c r="B118" s="288" t="s">
        <v>1406</v>
      </c>
      <c r="C118" s="513" t="s">
        <v>1398</v>
      </c>
      <c r="D118" s="514"/>
      <c r="E118" s="420" t="s">
        <v>5</v>
      </c>
      <c r="F118" s="501" t="s">
        <v>1398</v>
      </c>
      <c r="G118" s="403"/>
      <c r="H118" s="503">
        <v>78.375818437070379</v>
      </c>
      <c r="I118" s="503">
        <v>78.375818437070379</v>
      </c>
      <c r="J118" s="503">
        <v>78.375818437070379</v>
      </c>
      <c r="K118" s="503">
        <v>78.375818437070379</v>
      </c>
      <c r="L118" s="503">
        <v>78.375818437070379</v>
      </c>
      <c r="M118" s="503">
        <v>78.375818437070379</v>
      </c>
      <c r="N118" s="503">
        <v>78.375818437070379</v>
      </c>
      <c r="O118" s="503">
        <v>78.375818437070379</v>
      </c>
      <c r="P118" s="502">
        <v>78.375818437070379</v>
      </c>
      <c r="Q118" s="503">
        <v>39.637051794871795</v>
      </c>
      <c r="R118" s="503">
        <v>39.637051794871795</v>
      </c>
      <c r="S118" s="503">
        <v>39.637051794871795</v>
      </c>
      <c r="T118" s="502">
        <v>39.637051794871795</v>
      </c>
      <c r="U118" s="503">
        <v>79.117773000464965</v>
      </c>
      <c r="V118" s="503">
        <v>79.117773000464965</v>
      </c>
      <c r="W118" s="503">
        <v>79.117773000464965</v>
      </c>
      <c r="X118" s="503">
        <v>79.117773000464965</v>
      </c>
      <c r="Y118" s="503">
        <v>79.117773000464965</v>
      </c>
      <c r="Z118" s="503">
        <v>79.117773000464965</v>
      </c>
      <c r="AA118" s="503">
        <v>79.117773000464965</v>
      </c>
      <c r="AB118" s="503">
        <v>79.117773000464965</v>
      </c>
      <c r="AC118" s="503">
        <v>79.117773000464965</v>
      </c>
      <c r="AD118" s="503">
        <v>79.117773000464965</v>
      </c>
      <c r="AE118" s="502">
        <v>79.117773000464965</v>
      </c>
      <c r="AF118" s="503">
        <v>85.440460915321225</v>
      </c>
      <c r="AG118" s="503">
        <v>85.440460915321225</v>
      </c>
      <c r="AH118" s="503">
        <v>85.440460915321225</v>
      </c>
      <c r="AI118" s="503">
        <v>85.440460915321225</v>
      </c>
      <c r="AJ118" s="503">
        <v>85.440460915321225</v>
      </c>
      <c r="AK118" s="503">
        <v>85.440460915321225</v>
      </c>
      <c r="AL118" s="502">
        <v>85.440460915321225</v>
      </c>
      <c r="AM118" s="503">
        <v>51.186635296767363</v>
      </c>
      <c r="AN118" s="503">
        <v>51.186635296767363</v>
      </c>
      <c r="AO118" s="502">
        <v>51.186635296767363</v>
      </c>
      <c r="AP118" s="503">
        <v>69.180066545454551</v>
      </c>
      <c r="AQ118" s="502">
        <v>69.180066545454551</v>
      </c>
      <c r="AR118" s="503">
        <v>402.93780598995028</v>
      </c>
      <c r="AT118" s="351"/>
      <c r="BA118" s="500"/>
      <c r="BC118" s="500"/>
      <c r="BE118" s="500"/>
      <c r="BG118" s="500"/>
      <c r="BI118" s="500"/>
      <c r="BK118" s="500"/>
      <c r="BO118" s="500"/>
      <c r="BR118" s="351"/>
      <c r="BT118" s="500"/>
      <c r="BW118" s="500"/>
      <c r="CA118" s="500"/>
      <c r="CC118" s="500"/>
      <c r="CG118" s="500"/>
      <c r="CJ118" s="351"/>
      <c r="CM118" s="500"/>
      <c r="CO118" s="500"/>
      <c r="CQ118" s="500"/>
      <c r="CS118" s="500"/>
      <c r="CU118" s="500"/>
      <c r="CW118" s="500"/>
      <c r="CZ118" s="351"/>
    </row>
    <row r="119" spans="2:104" s="278" customFormat="1" hidden="1" outlineLevel="2">
      <c r="B119" s="288" t="s">
        <v>1406</v>
      </c>
      <c r="C119" s="512" t="s">
        <v>1399</v>
      </c>
      <c r="D119" s="346"/>
      <c r="E119" s="420" t="s">
        <v>5</v>
      </c>
      <c r="F119" s="504" t="s">
        <v>1399</v>
      </c>
      <c r="G119" s="403"/>
      <c r="H119" s="503">
        <v>1.4557784109943332E-3</v>
      </c>
      <c r="I119" s="503">
        <v>1.4557784109943332E-3</v>
      </c>
      <c r="J119" s="503">
        <v>1.4557784109943332E-3</v>
      </c>
      <c r="K119" s="503">
        <v>1.4557784109943332E-3</v>
      </c>
      <c r="L119" s="503">
        <v>1.4557784109943332E-3</v>
      </c>
      <c r="M119" s="503">
        <v>1.4557784109943332E-3</v>
      </c>
      <c r="N119" s="503">
        <v>1.4557784109943332E-3</v>
      </c>
      <c r="O119" s="503">
        <v>1.4557784109943332E-3</v>
      </c>
      <c r="P119" s="502">
        <v>1.4557784109943332E-3</v>
      </c>
      <c r="Q119" s="503">
        <v>0</v>
      </c>
      <c r="R119" s="503">
        <v>0</v>
      </c>
      <c r="S119" s="503">
        <v>0</v>
      </c>
      <c r="T119" s="502">
        <v>0</v>
      </c>
      <c r="U119" s="503">
        <v>0</v>
      </c>
      <c r="V119" s="503">
        <v>0</v>
      </c>
      <c r="W119" s="503">
        <v>0</v>
      </c>
      <c r="X119" s="503">
        <v>0</v>
      </c>
      <c r="Y119" s="503">
        <v>0</v>
      </c>
      <c r="Z119" s="503">
        <v>0</v>
      </c>
      <c r="AA119" s="503">
        <v>0</v>
      </c>
      <c r="AB119" s="503">
        <v>0</v>
      </c>
      <c r="AC119" s="503">
        <v>0</v>
      </c>
      <c r="AD119" s="503">
        <v>0</v>
      </c>
      <c r="AE119" s="502">
        <v>0</v>
      </c>
      <c r="AF119" s="503">
        <v>4.7211428571428578E-2</v>
      </c>
      <c r="AG119" s="503">
        <v>4.7211428571428578E-2</v>
      </c>
      <c r="AH119" s="503">
        <v>4.7211428571428578E-2</v>
      </c>
      <c r="AI119" s="503">
        <v>4.7211428571428578E-2</v>
      </c>
      <c r="AJ119" s="503">
        <v>4.7211428571428578E-2</v>
      </c>
      <c r="AK119" s="503">
        <v>4.7211428571428578E-2</v>
      </c>
      <c r="AL119" s="502">
        <v>4.7211428571428578E-2</v>
      </c>
      <c r="AM119" s="503">
        <v>0</v>
      </c>
      <c r="AN119" s="503">
        <v>0</v>
      </c>
      <c r="AO119" s="502">
        <v>0</v>
      </c>
      <c r="AP119" s="503">
        <v>0</v>
      </c>
      <c r="AQ119" s="502">
        <v>0</v>
      </c>
      <c r="AR119" s="503">
        <v>4.8667206982422911E-2</v>
      </c>
      <c r="AT119" s="351"/>
      <c r="BA119" s="500"/>
      <c r="BC119" s="500"/>
      <c r="BE119" s="500"/>
      <c r="BG119" s="500"/>
      <c r="BI119" s="500"/>
      <c r="BK119" s="500"/>
      <c r="BO119" s="500"/>
      <c r="BR119" s="351"/>
      <c r="BT119" s="500"/>
      <c r="BW119" s="500"/>
      <c r="CA119" s="500"/>
      <c r="CC119" s="500"/>
      <c r="CG119" s="500"/>
      <c r="CJ119" s="351"/>
      <c r="CM119" s="500"/>
      <c r="CO119" s="500"/>
      <c r="CQ119" s="500"/>
      <c r="CS119" s="500"/>
      <c r="CU119" s="500"/>
      <c r="CW119" s="500"/>
      <c r="CZ119" s="351"/>
    </row>
    <row r="120" spans="2:104" s="278" customFormat="1" hidden="1" outlineLevel="2">
      <c r="B120" s="288" t="s">
        <v>1406</v>
      </c>
      <c r="C120" s="512" t="s">
        <v>1400</v>
      </c>
      <c r="D120" s="346"/>
      <c r="E120" s="420" t="s">
        <v>5</v>
      </c>
      <c r="F120" s="501" t="s">
        <v>1400</v>
      </c>
      <c r="G120" s="403"/>
      <c r="H120" s="515">
        <v>36.349100786115038</v>
      </c>
      <c r="I120" s="515">
        <v>36.349100786115038</v>
      </c>
      <c r="J120" s="515">
        <v>36.349100786115038</v>
      </c>
      <c r="K120" s="515">
        <v>36.349100786115038</v>
      </c>
      <c r="L120" s="515">
        <v>36.349100786115038</v>
      </c>
      <c r="M120" s="515">
        <v>36.349100786115038</v>
      </c>
      <c r="N120" s="515">
        <v>36.349100786115038</v>
      </c>
      <c r="O120" s="515">
        <v>36.349100786115038</v>
      </c>
      <c r="P120" s="516">
        <v>36.349100786115038</v>
      </c>
      <c r="Q120" s="515">
        <v>89.810722574090406</v>
      </c>
      <c r="R120" s="515">
        <v>89.810722574090406</v>
      </c>
      <c r="S120" s="515">
        <v>89.810722574090406</v>
      </c>
      <c r="T120" s="516">
        <v>89.810722574090406</v>
      </c>
      <c r="U120" s="515">
        <v>35.928300141035436</v>
      </c>
      <c r="V120" s="515">
        <v>35.928300141035436</v>
      </c>
      <c r="W120" s="515">
        <v>35.928300141035436</v>
      </c>
      <c r="X120" s="515">
        <v>35.928300141035436</v>
      </c>
      <c r="Y120" s="515">
        <v>35.928300141035436</v>
      </c>
      <c r="Z120" s="515">
        <v>35.928300141035436</v>
      </c>
      <c r="AA120" s="515">
        <v>35.928300141035436</v>
      </c>
      <c r="AB120" s="515">
        <v>35.928300141035436</v>
      </c>
      <c r="AC120" s="515">
        <v>35.928300141035436</v>
      </c>
      <c r="AD120" s="515">
        <v>35.928300141035436</v>
      </c>
      <c r="AE120" s="516">
        <v>35.928300141035436</v>
      </c>
      <c r="AF120" s="515">
        <v>44.610634812165564</v>
      </c>
      <c r="AG120" s="515">
        <v>44.610634812165564</v>
      </c>
      <c r="AH120" s="515">
        <v>44.610634812165564</v>
      </c>
      <c r="AI120" s="515">
        <v>44.610634812165564</v>
      </c>
      <c r="AJ120" s="515">
        <v>44.610634812165564</v>
      </c>
      <c r="AK120" s="515">
        <v>44.610634812165564</v>
      </c>
      <c r="AL120" s="516">
        <v>44.610634812165564</v>
      </c>
      <c r="AM120" s="515">
        <v>41.290973814176432</v>
      </c>
      <c r="AN120" s="515">
        <v>41.290973814176432</v>
      </c>
      <c r="AO120" s="516">
        <v>41.290973814176432</v>
      </c>
      <c r="AP120" s="515">
        <v>50.901747862980137</v>
      </c>
      <c r="AQ120" s="516">
        <v>50.901747862980137</v>
      </c>
      <c r="AR120" s="515">
        <v>298.89147999056303</v>
      </c>
      <c r="AT120" s="351"/>
      <c r="BA120" s="500"/>
      <c r="BC120" s="500"/>
      <c r="BE120" s="500"/>
      <c r="BG120" s="500"/>
      <c r="BI120" s="500"/>
      <c r="BK120" s="500"/>
      <c r="BO120" s="500"/>
      <c r="BR120" s="351"/>
      <c r="BT120" s="500"/>
      <c r="BW120" s="500"/>
      <c r="CA120" s="500"/>
      <c r="CC120" s="500"/>
      <c r="CG120" s="500"/>
      <c r="CJ120" s="351"/>
      <c r="CM120" s="500"/>
      <c r="CO120" s="500"/>
      <c r="CQ120" s="500"/>
      <c r="CS120" s="500"/>
      <c r="CU120" s="500"/>
      <c r="CW120" s="500"/>
      <c r="CZ120" s="351"/>
    </row>
    <row r="121" spans="2:104" s="278" customFormat="1" hidden="1" outlineLevel="2">
      <c r="B121" s="288" t="s">
        <v>1406</v>
      </c>
      <c r="C121" s="512" t="s">
        <v>1401</v>
      </c>
      <c r="D121" s="346"/>
      <c r="E121" s="420" t="s">
        <v>5</v>
      </c>
      <c r="F121" s="504" t="s">
        <v>1401</v>
      </c>
      <c r="G121" s="403"/>
      <c r="H121" s="503">
        <v>20.71693154451431</v>
      </c>
      <c r="I121" s="503">
        <v>20.71693154451431</v>
      </c>
      <c r="J121" s="503">
        <v>20.71693154451431</v>
      </c>
      <c r="K121" s="503">
        <v>20.71693154451431</v>
      </c>
      <c r="L121" s="503">
        <v>20.71693154451431</v>
      </c>
      <c r="M121" s="503">
        <v>20.71693154451431</v>
      </c>
      <c r="N121" s="503">
        <v>20.71693154451431</v>
      </c>
      <c r="O121" s="503">
        <v>20.71693154451431</v>
      </c>
      <c r="P121" s="502">
        <v>20.71693154451431</v>
      </c>
      <c r="Q121" s="503">
        <v>4.2586580621796033</v>
      </c>
      <c r="R121" s="503">
        <v>4.2586580621796033</v>
      </c>
      <c r="S121" s="503">
        <v>4.2586580621796033</v>
      </c>
      <c r="T121" s="502">
        <v>4.2586580621796033</v>
      </c>
      <c r="U121" s="503">
        <v>6.1195070908874136</v>
      </c>
      <c r="V121" s="503">
        <v>6.1195070908874136</v>
      </c>
      <c r="W121" s="503">
        <v>6.1195070908874136</v>
      </c>
      <c r="X121" s="503">
        <v>6.1195070908874136</v>
      </c>
      <c r="Y121" s="503">
        <v>6.1195070908874136</v>
      </c>
      <c r="Z121" s="503">
        <v>6.1195070908874136</v>
      </c>
      <c r="AA121" s="503">
        <v>6.1195070908874136</v>
      </c>
      <c r="AB121" s="503">
        <v>6.1195070908874136</v>
      </c>
      <c r="AC121" s="503">
        <v>6.1195070908874136</v>
      </c>
      <c r="AD121" s="503">
        <v>6.1195070908874136</v>
      </c>
      <c r="AE121" s="502">
        <v>6.1195070908874136</v>
      </c>
      <c r="AF121" s="503">
        <v>13.307519213932739</v>
      </c>
      <c r="AG121" s="503">
        <v>13.307519213932739</v>
      </c>
      <c r="AH121" s="503">
        <v>13.307519213932739</v>
      </c>
      <c r="AI121" s="503">
        <v>13.307519213932739</v>
      </c>
      <c r="AJ121" s="503">
        <v>13.307519213932739</v>
      </c>
      <c r="AK121" s="503">
        <v>13.307519213932739</v>
      </c>
      <c r="AL121" s="502">
        <v>13.307519213932739</v>
      </c>
      <c r="AM121" s="503">
        <v>7.6483868603235265</v>
      </c>
      <c r="AN121" s="503">
        <v>7.6483868603235265</v>
      </c>
      <c r="AO121" s="502">
        <v>7.6483868603235265</v>
      </c>
      <c r="AP121" s="503">
        <v>5.046939318466082</v>
      </c>
      <c r="AQ121" s="502">
        <v>5.046939318466082</v>
      </c>
      <c r="AR121" s="503">
        <v>57.097942090303668</v>
      </c>
      <c r="AT121" s="351"/>
      <c r="BA121" s="500"/>
      <c r="BC121" s="500"/>
      <c r="BE121" s="500"/>
      <c r="BG121" s="500"/>
      <c r="BI121" s="500"/>
      <c r="BK121" s="500"/>
      <c r="BO121" s="500"/>
      <c r="BR121" s="351"/>
      <c r="BT121" s="500"/>
      <c r="BW121" s="500"/>
      <c r="CA121" s="500"/>
      <c r="CC121" s="500"/>
      <c r="CG121" s="500"/>
      <c r="CJ121" s="351"/>
      <c r="CM121" s="500"/>
      <c r="CO121" s="500"/>
      <c r="CQ121" s="500"/>
      <c r="CS121" s="500"/>
      <c r="CU121" s="500"/>
      <c r="CW121" s="500"/>
      <c r="CZ121" s="351"/>
    </row>
    <row r="122" spans="2:104" s="278" customFormat="1" hidden="1" outlineLevel="2">
      <c r="B122" s="288" t="s">
        <v>1406</v>
      </c>
      <c r="C122" s="512" t="s">
        <v>1402</v>
      </c>
      <c r="D122" s="346"/>
      <c r="E122" s="420" t="s">
        <v>5</v>
      </c>
      <c r="F122" s="501" t="s">
        <v>1402</v>
      </c>
      <c r="G122" s="403"/>
      <c r="H122" s="503">
        <v>65.06935833567654</v>
      </c>
      <c r="I122" s="503">
        <v>65.06935833567654</v>
      </c>
      <c r="J122" s="503">
        <v>65.06935833567654</v>
      </c>
      <c r="K122" s="503">
        <v>65.06935833567654</v>
      </c>
      <c r="L122" s="503">
        <v>65.06935833567654</v>
      </c>
      <c r="M122" s="503">
        <v>65.06935833567654</v>
      </c>
      <c r="N122" s="503">
        <v>65.06935833567654</v>
      </c>
      <c r="O122" s="503">
        <v>65.06935833567654</v>
      </c>
      <c r="P122" s="502">
        <v>65.06935833567654</v>
      </c>
      <c r="Q122" s="503">
        <v>6.1345769230769204E-2</v>
      </c>
      <c r="R122" s="503">
        <v>6.1345769230769204E-2</v>
      </c>
      <c r="S122" s="503">
        <v>6.1345769230769204E-2</v>
      </c>
      <c r="T122" s="502">
        <v>6.1345769230769204E-2</v>
      </c>
      <c r="U122" s="503">
        <v>1.5916219047092287E-2</v>
      </c>
      <c r="V122" s="503">
        <v>1.5916219047092287E-2</v>
      </c>
      <c r="W122" s="503">
        <v>1.5916219047092287E-2</v>
      </c>
      <c r="X122" s="503">
        <v>1.5916219047092287E-2</v>
      </c>
      <c r="Y122" s="503">
        <v>1.5916219047092287E-2</v>
      </c>
      <c r="Z122" s="503">
        <v>1.5916219047092287E-2</v>
      </c>
      <c r="AA122" s="503">
        <v>1.5916219047092287E-2</v>
      </c>
      <c r="AB122" s="503">
        <v>1.5916219047092287E-2</v>
      </c>
      <c r="AC122" s="503">
        <v>1.5916219047092287E-2</v>
      </c>
      <c r="AD122" s="503">
        <v>1.5916219047092287E-2</v>
      </c>
      <c r="AE122" s="502">
        <v>1.5916219047092287E-2</v>
      </c>
      <c r="AF122" s="503">
        <v>0</v>
      </c>
      <c r="AG122" s="503">
        <v>0</v>
      </c>
      <c r="AH122" s="503">
        <v>0</v>
      </c>
      <c r="AI122" s="503">
        <v>0</v>
      </c>
      <c r="AJ122" s="503">
        <v>0</v>
      </c>
      <c r="AK122" s="503">
        <v>0</v>
      </c>
      <c r="AL122" s="502">
        <v>0</v>
      </c>
      <c r="AM122" s="503">
        <v>0</v>
      </c>
      <c r="AN122" s="503">
        <v>0</v>
      </c>
      <c r="AO122" s="502">
        <v>0</v>
      </c>
      <c r="AP122" s="503">
        <v>1.4185454545454543E-2</v>
      </c>
      <c r="AQ122" s="502">
        <v>1.4185454545454543E-2</v>
      </c>
      <c r="AR122" s="503">
        <v>65.160805778499864</v>
      </c>
      <c r="AT122" s="351"/>
      <c r="BA122" s="500"/>
      <c r="BC122" s="500"/>
      <c r="BE122" s="500"/>
      <c r="BG122" s="500"/>
      <c r="BI122" s="500"/>
      <c r="BK122" s="500"/>
      <c r="BO122" s="500"/>
      <c r="BR122" s="351"/>
      <c r="BT122" s="500"/>
      <c r="BW122" s="500"/>
      <c r="CA122" s="500"/>
      <c r="CC122" s="500"/>
      <c r="CG122" s="500"/>
      <c r="CJ122" s="351"/>
      <c r="CM122" s="500"/>
      <c r="CO122" s="500"/>
      <c r="CQ122" s="500"/>
      <c r="CS122" s="500"/>
      <c r="CU122" s="500"/>
      <c r="CW122" s="500"/>
      <c r="CZ122" s="351"/>
    </row>
    <row r="123" spans="2:104" s="278" customFormat="1" hidden="1" outlineLevel="2">
      <c r="B123" s="288" t="s">
        <v>1406</v>
      </c>
      <c r="C123" s="512" t="s">
        <v>1403</v>
      </c>
      <c r="D123" s="346"/>
      <c r="E123" s="420" t="s">
        <v>5</v>
      </c>
      <c r="F123" s="504" t="s">
        <v>1403</v>
      </c>
      <c r="G123" s="403"/>
      <c r="H123" s="503">
        <v>43.759408571997682</v>
      </c>
      <c r="I123" s="503">
        <v>43.759408571997682</v>
      </c>
      <c r="J123" s="503">
        <v>43.759408571997682</v>
      </c>
      <c r="K123" s="503">
        <v>43.759408571997682</v>
      </c>
      <c r="L123" s="503">
        <v>43.759408571997682</v>
      </c>
      <c r="M123" s="503">
        <v>43.759408571997682</v>
      </c>
      <c r="N123" s="503">
        <v>43.759408571997682</v>
      </c>
      <c r="O123" s="503">
        <v>43.759408571997682</v>
      </c>
      <c r="P123" s="502">
        <v>43.759408571997682</v>
      </c>
      <c r="Q123" s="503">
        <v>8.6243716666666668</v>
      </c>
      <c r="R123" s="503">
        <v>8.6243716666666668</v>
      </c>
      <c r="S123" s="503">
        <v>8.6243716666666668</v>
      </c>
      <c r="T123" s="502">
        <v>8.6243716666666668</v>
      </c>
      <c r="U123" s="503">
        <v>12.318784137550777</v>
      </c>
      <c r="V123" s="503">
        <v>12.318784137550777</v>
      </c>
      <c r="W123" s="503">
        <v>12.318784137550777</v>
      </c>
      <c r="X123" s="503">
        <v>12.318784137550777</v>
      </c>
      <c r="Y123" s="503">
        <v>12.318784137550777</v>
      </c>
      <c r="Z123" s="503">
        <v>12.318784137550777</v>
      </c>
      <c r="AA123" s="503">
        <v>12.318784137550777</v>
      </c>
      <c r="AB123" s="503">
        <v>12.318784137550777</v>
      </c>
      <c r="AC123" s="503">
        <v>12.318784137550777</v>
      </c>
      <c r="AD123" s="503">
        <v>12.318784137550777</v>
      </c>
      <c r="AE123" s="502">
        <v>12.318784137550777</v>
      </c>
      <c r="AF123" s="503">
        <v>12.662671115502604</v>
      </c>
      <c r="AG123" s="503">
        <v>12.662671115502604</v>
      </c>
      <c r="AH123" s="503">
        <v>12.662671115502604</v>
      </c>
      <c r="AI123" s="503">
        <v>12.662671115502604</v>
      </c>
      <c r="AJ123" s="503">
        <v>12.662671115502604</v>
      </c>
      <c r="AK123" s="503">
        <v>12.662671115502604</v>
      </c>
      <c r="AL123" s="502">
        <v>12.662671115502604</v>
      </c>
      <c r="AM123" s="503">
        <v>16.484517299947004</v>
      </c>
      <c r="AN123" s="503">
        <v>16.484517299947004</v>
      </c>
      <c r="AO123" s="502">
        <v>16.484517299947004</v>
      </c>
      <c r="AP123" s="503">
        <v>16.693176696969697</v>
      </c>
      <c r="AQ123" s="502">
        <v>16.693176696969697</v>
      </c>
      <c r="AR123" s="503">
        <v>110.54292948863443</v>
      </c>
      <c r="AT123" s="351"/>
      <c r="BA123" s="500"/>
      <c r="BC123" s="500"/>
      <c r="BE123" s="500"/>
      <c r="BG123" s="500"/>
      <c r="BI123" s="500"/>
      <c r="BK123" s="500"/>
      <c r="BO123" s="500"/>
      <c r="BR123" s="351"/>
      <c r="BT123" s="500"/>
      <c r="BW123" s="500"/>
      <c r="CA123" s="500"/>
      <c r="CC123" s="500"/>
      <c r="CG123" s="500"/>
      <c r="CJ123" s="351"/>
      <c r="CM123" s="500"/>
      <c r="CO123" s="500"/>
      <c r="CQ123" s="500"/>
      <c r="CS123" s="500"/>
      <c r="CU123" s="500"/>
      <c r="CW123" s="500"/>
      <c r="CZ123" s="351"/>
    </row>
    <row r="124" spans="2:104" s="278" customFormat="1" hidden="1" outlineLevel="2">
      <c r="B124" s="288" t="s">
        <v>1406</v>
      </c>
      <c r="C124" s="512" t="s">
        <v>1404</v>
      </c>
      <c r="D124" s="346"/>
      <c r="E124" s="420" t="s">
        <v>5</v>
      </c>
      <c r="F124" s="501" t="s">
        <v>1386</v>
      </c>
      <c r="G124" s="403"/>
      <c r="H124" s="503">
        <v>84.313411063689713</v>
      </c>
      <c r="I124" s="503">
        <v>84.313411063689713</v>
      </c>
      <c r="J124" s="503">
        <v>84.313411063689713</v>
      </c>
      <c r="K124" s="503">
        <v>84.313411063689713</v>
      </c>
      <c r="L124" s="503">
        <v>84.313411063689713</v>
      </c>
      <c r="M124" s="503">
        <v>84.313411063689713</v>
      </c>
      <c r="N124" s="503">
        <v>84.313411063689713</v>
      </c>
      <c r="O124" s="503">
        <v>84.313411063689713</v>
      </c>
      <c r="P124" s="502">
        <v>84.313411063689713</v>
      </c>
      <c r="Q124" s="503">
        <v>85.360483141025654</v>
      </c>
      <c r="R124" s="503">
        <v>85.360483141025654</v>
      </c>
      <c r="S124" s="503">
        <v>85.360483141025654</v>
      </c>
      <c r="T124" s="502">
        <v>85.360483141025654</v>
      </c>
      <c r="U124" s="503">
        <v>46.876344987703085</v>
      </c>
      <c r="V124" s="503">
        <v>46.876344987703085</v>
      </c>
      <c r="W124" s="503">
        <v>46.876344987703085</v>
      </c>
      <c r="X124" s="503">
        <v>46.876344987703085</v>
      </c>
      <c r="Y124" s="503">
        <v>46.876344987703085</v>
      </c>
      <c r="Z124" s="503">
        <v>46.876344987703085</v>
      </c>
      <c r="AA124" s="503">
        <v>46.876344987703085</v>
      </c>
      <c r="AB124" s="503">
        <v>46.876344987703085</v>
      </c>
      <c r="AC124" s="503">
        <v>46.876344987703085</v>
      </c>
      <c r="AD124" s="503">
        <v>46.876344987703085</v>
      </c>
      <c r="AE124" s="502">
        <v>46.876344987703085</v>
      </c>
      <c r="AF124" s="503">
        <v>56.707694049562718</v>
      </c>
      <c r="AG124" s="503">
        <v>56.707694049562718</v>
      </c>
      <c r="AH124" s="503">
        <v>56.707694049562718</v>
      </c>
      <c r="AI124" s="503">
        <v>56.707694049562718</v>
      </c>
      <c r="AJ124" s="503">
        <v>56.707694049562718</v>
      </c>
      <c r="AK124" s="503">
        <v>56.707694049562718</v>
      </c>
      <c r="AL124" s="502">
        <v>56.707694049562718</v>
      </c>
      <c r="AM124" s="503">
        <v>62.419657602013771</v>
      </c>
      <c r="AN124" s="503">
        <v>62.419657602013771</v>
      </c>
      <c r="AO124" s="502">
        <v>62.419657602013771</v>
      </c>
      <c r="AP124" s="503">
        <v>50.392087727272724</v>
      </c>
      <c r="AQ124" s="502">
        <v>50.392087727272724</v>
      </c>
      <c r="AR124" s="503">
        <v>386.06967857126767</v>
      </c>
      <c r="AT124" s="351"/>
      <c r="BA124" s="500"/>
      <c r="BC124" s="500"/>
      <c r="BE124" s="500"/>
      <c r="BG124" s="500"/>
      <c r="BI124" s="500"/>
      <c r="BK124" s="500"/>
      <c r="BO124" s="500"/>
      <c r="BR124" s="351"/>
      <c r="BT124" s="500"/>
      <c r="BW124" s="500"/>
      <c r="CA124" s="500"/>
      <c r="CC124" s="500"/>
      <c r="CG124" s="500"/>
      <c r="CJ124" s="351"/>
      <c r="CM124" s="500"/>
      <c r="CO124" s="500"/>
      <c r="CQ124" s="500"/>
      <c r="CS124" s="500"/>
      <c r="CU124" s="500"/>
      <c r="CW124" s="500"/>
      <c r="CZ124" s="351"/>
    </row>
    <row r="125" spans="2:104" s="278" customFormat="1" ht="15" hidden="1" outlineLevel="1" collapsed="1">
      <c r="C125" s="505"/>
      <c r="D125" s="346"/>
      <c r="E125" s="506"/>
      <c r="F125" s="517" t="s">
        <v>1407</v>
      </c>
      <c r="G125" s="403"/>
      <c r="H125" s="518">
        <v>928.90026069064152</v>
      </c>
      <c r="I125" s="518">
        <v>928.90026069064152</v>
      </c>
      <c r="J125" s="518">
        <v>928.90026069064152</v>
      </c>
      <c r="K125" s="518">
        <v>928.90026069064152</v>
      </c>
      <c r="L125" s="518">
        <v>928.90026069064152</v>
      </c>
      <c r="M125" s="518">
        <v>928.90026069064152</v>
      </c>
      <c r="N125" s="518">
        <v>928.90026069064152</v>
      </c>
      <c r="O125" s="518">
        <v>928.90026069064152</v>
      </c>
      <c r="P125" s="519">
        <v>928.90026069064152</v>
      </c>
      <c r="Q125" s="518">
        <v>630.75499937263226</v>
      </c>
      <c r="R125" s="518">
        <v>630.75499937263226</v>
      </c>
      <c r="S125" s="518">
        <v>630.75499937263226</v>
      </c>
      <c r="T125" s="519">
        <v>630.75499937263226</v>
      </c>
      <c r="U125" s="518">
        <v>670.31495929649691</v>
      </c>
      <c r="V125" s="518">
        <v>670.31495929649691</v>
      </c>
      <c r="W125" s="518">
        <v>670.31495929649691</v>
      </c>
      <c r="X125" s="518">
        <v>670.31495929649691</v>
      </c>
      <c r="Y125" s="518">
        <v>670.31495929649691</v>
      </c>
      <c r="Z125" s="518">
        <v>670.31495929649691</v>
      </c>
      <c r="AA125" s="518">
        <v>670.31495929649691</v>
      </c>
      <c r="AB125" s="518">
        <v>670.31495929649691</v>
      </c>
      <c r="AC125" s="518">
        <v>670.31495929649691</v>
      </c>
      <c r="AD125" s="518">
        <v>670.31495929649691</v>
      </c>
      <c r="AE125" s="519">
        <v>670.31495929649691</v>
      </c>
      <c r="AF125" s="518">
        <v>729.63851947043815</v>
      </c>
      <c r="AG125" s="518">
        <v>729.63851947043815</v>
      </c>
      <c r="AH125" s="518">
        <v>729.63851947043815</v>
      </c>
      <c r="AI125" s="518">
        <v>729.63851947043815</v>
      </c>
      <c r="AJ125" s="518">
        <v>729.63851947043815</v>
      </c>
      <c r="AK125" s="518">
        <v>729.63851947043815</v>
      </c>
      <c r="AL125" s="519">
        <v>729.63851947043815</v>
      </c>
      <c r="AM125" s="518">
        <v>742.99173985211667</v>
      </c>
      <c r="AN125" s="518">
        <v>742.99173985211667</v>
      </c>
      <c r="AO125" s="519">
        <v>742.99173985211667</v>
      </c>
      <c r="AP125" s="518">
        <v>846.30551355643865</v>
      </c>
      <c r="AQ125" s="519">
        <v>846.30551355643865</v>
      </c>
      <c r="AR125" s="518">
        <v>4548.9059922387642</v>
      </c>
      <c r="AT125" s="351"/>
      <c r="BA125" s="500"/>
      <c r="BC125" s="500"/>
      <c r="BE125" s="500"/>
      <c r="BG125" s="500"/>
      <c r="BI125" s="500"/>
      <c r="BK125" s="500"/>
      <c r="BO125" s="500"/>
      <c r="BR125" s="351"/>
      <c r="BT125" s="500"/>
      <c r="BW125" s="500"/>
      <c r="CA125" s="500"/>
      <c r="CC125" s="500"/>
      <c r="CG125" s="500"/>
      <c r="CJ125" s="351"/>
      <c r="CM125" s="500"/>
      <c r="CO125" s="500"/>
      <c r="CQ125" s="500"/>
      <c r="CS125" s="500"/>
      <c r="CU125" s="500"/>
      <c r="CW125" s="500"/>
      <c r="CZ125" s="351"/>
    </row>
    <row r="126" spans="2:104" s="278" customFormat="1" hidden="1" outlineLevel="1">
      <c r="C126" s="288"/>
      <c r="D126" s="346"/>
      <c r="E126" s="289"/>
      <c r="F126" s="372"/>
      <c r="G126" s="403"/>
      <c r="H126" s="503"/>
      <c r="I126" s="503"/>
      <c r="J126" s="503"/>
      <c r="K126" s="503"/>
      <c r="L126" s="503"/>
      <c r="M126" s="503"/>
      <c r="N126" s="503"/>
      <c r="O126" s="503"/>
      <c r="P126" s="502">
        <v>892.55115990452646</v>
      </c>
      <c r="Q126" s="503"/>
      <c r="R126" s="503"/>
      <c r="S126" s="503"/>
      <c r="T126" s="502">
        <v>540.94427679854186</v>
      </c>
      <c r="U126" s="503"/>
      <c r="V126" s="503"/>
      <c r="W126" s="503"/>
      <c r="X126" s="503"/>
      <c r="Y126" s="503"/>
      <c r="Z126" s="503"/>
      <c r="AA126" s="503"/>
      <c r="AB126" s="503"/>
      <c r="AC126" s="503"/>
      <c r="AD126" s="503"/>
      <c r="AE126" s="502">
        <v>634.38665915546153</v>
      </c>
      <c r="AF126" s="503"/>
      <c r="AG126" s="503"/>
      <c r="AH126" s="503"/>
      <c r="AI126" s="503"/>
      <c r="AJ126" s="503"/>
      <c r="AK126" s="503"/>
      <c r="AL126" s="502">
        <v>685.02788465827257</v>
      </c>
      <c r="AM126" s="503"/>
      <c r="AN126" s="503"/>
      <c r="AO126" s="502">
        <v>701.70076603794018</v>
      </c>
      <c r="AP126" s="503"/>
      <c r="AQ126" s="502">
        <v>795.40376569345847</v>
      </c>
      <c r="AR126" s="503">
        <v>4250.0145122482008</v>
      </c>
      <c r="AT126" s="351"/>
      <c r="BA126" s="500"/>
      <c r="BC126" s="500"/>
      <c r="BE126" s="500"/>
      <c r="BG126" s="500"/>
      <c r="BI126" s="500"/>
      <c r="BK126" s="500"/>
      <c r="BO126" s="500"/>
      <c r="BR126" s="351"/>
      <c r="BT126" s="500"/>
      <c r="BW126" s="500"/>
      <c r="CA126" s="500"/>
      <c r="CC126" s="500"/>
      <c r="CG126" s="500"/>
      <c r="CJ126" s="351"/>
      <c r="CM126" s="500"/>
      <c r="CO126" s="500"/>
      <c r="CQ126" s="500"/>
      <c r="CS126" s="500"/>
      <c r="CU126" s="500"/>
      <c r="CW126" s="500"/>
      <c r="CZ126" s="351"/>
    </row>
    <row r="127" spans="2:104" s="278" customFormat="1" hidden="1" outlineLevel="1">
      <c r="C127" s="288"/>
      <c r="D127" s="346"/>
      <c r="E127" s="289"/>
      <c r="F127" s="372"/>
      <c r="G127" s="403"/>
      <c r="H127" s="503"/>
      <c r="I127" s="503"/>
      <c r="J127" s="503"/>
      <c r="K127" s="503"/>
      <c r="L127" s="503"/>
      <c r="M127" s="503"/>
      <c r="N127" s="503"/>
      <c r="O127" s="503"/>
      <c r="P127" s="502"/>
      <c r="Q127" s="503"/>
      <c r="R127" s="503"/>
      <c r="S127" s="503"/>
      <c r="T127" s="502"/>
      <c r="U127" s="503"/>
      <c r="V127" s="503"/>
      <c r="W127" s="503"/>
      <c r="X127" s="503"/>
      <c r="Y127" s="503"/>
      <c r="Z127" s="503"/>
      <c r="AA127" s="503"/>
      <c r="AB127" s="503"/>
      <c r="AC127" s="503"/>
      <c r="AD127" s="503"/>
      <c r="AE127" s="502"/>
      <c r="AF127" s="503"/>
      <c r="AG127" s="503"/>
      <c r="AH127" s="503"/>
      <c r="AI127" s="503"/>
      <c r="AJ127" s="503"/>
      <c r="AK127" s="503"/>
      <c r="AL127" s="502"/>
      <c r="AM127" s="503"/>
      <c r="AN127" s="503"/>
      <c r="AO127" s="502"/>
      <c r="AP127" s="503"/>
      <c r="AQ127" s="502"/>
      <c r="AR127" s="503"/>
      <c r="AT127" s="351"/>
      <c r="BA127" s="500"/>
      <c r="BC127" s="500"/>
      <c r="BE127" s="500"/>
      <c r="BG127" s="500"/>
      <c r="BI127" s="500"/>
      <c r="BK127" s="500"/>
      <c r="BO127" s="500"/>
      <c r="BR127" s="351"/>
      <c r="BT127" s="500"/>
      <c r="BW127" s="500"/>
      <c r="CA127" s="500"/>
      <c r="CC127" s="500"/>
      <c r="CG127" s="500"/>
      <c r="CJ127" s="351"/>
      <c r="CM127" s="500"/>
      <c r="CO127" s="500"/>
      <c r="CQ127" s="500"/>
      <c r="CS127" s="500"/>
      <c r="CU127" s="500"/>
      <c r="CW127" s="500"/>
      <c r="CZ127" s="351"/>
    </row>
    <row r="128" spans="2:104" s="278" customFormat="1" hidden="1" outlineLevel="2">
      <c r="B128" s="288" t="s">
        <v>1406</v>
      </c>
      <c r="C128" s="512" t="s">
        <v>1392</v>
      </c>
      <c r="D128" s="346"/>
      <c r="E128" s="420" t="s">
        <v>5</v>
      </c>
      <c r="F128" s="501" t="s">
        <v>1392</v>
      </c>
      <c r="G128" s="403"/>
      <c r="H128" s="503">
        <v>3536.6479122023179</v>
      </c>
      <c r="I128" s="503">
        <v>1338.1911019143906</v>
      </c>
      <c r="J128" s="503">
        <v>95.585078708170755</v>
      </c>
      <c r="K128" s="503">
        <v>477.92539354085375</v>
      </c>
      <c r="L128" s="503">
        <v>1816.1164954552444</v>
      </c>
      <c r="M128" s="503">
        <v>5735.104722490245</v>
      </c>
      <c r="N128" s="503">
        <v>286.75523612451229</v>
      </c>
      <c r="O128" s="503">
        <v>955.85078708170749</v>
      </c>
      <c r="P128" s="502"/>
      <c r="Q128" s="503">
        <v>329.6932877695063</v>
      </c>
      <c r="R128" s="503">
        <v>82.423321942376575</v>
      </c>
      <c r="S128" s="503">
        <v>82.423321942376575</v>
      </c>
      <c r="T128" s="502"/>
      <c r="U128" s="503">
        <v>4638.8466091380742</v>
      </c>
      <c r="V128" s="503">
        <v>231.94233045690373</v>
      </c>
      <c r="W128" s="503">
        <v>77.31411015230124</v>
      </c>
      <c r="X128" s="503">
        <v>4561.5324989857727</v>
      </c>
      <c r="Y128" s="503">
        <v>154.62822030460248</v>
      </c>
      <c r="Z128" s="503">
        <v>77.31411015230124</v>
      </c>
      <c r="AA128" s="503">
        <v>2242.109194416736</v>
      </c>
      <c r="AB128" s="503">
        <v>154.62822030460248</v>
      </c>
      <c r="AC128" s="503">
        <v>77.31411015230124</v>
      </c>
      <c r="AD128" s="503">
        <v>77.31411015230124</v>
      </c>
      <c r="AE128" s="502"/>
      <c r="AF128" s="503">
        <v>1713.6226577937855</v>
      </c>
      <c r="AG128" s="503">
        <v>1262.6693267954208</v>
      </c>
      <c r="AH128" s="503">
        <v>90.190666199672918</v>
      </c>
      <c r="AI128" s="503">
        <v>90.190666199672918</v>
      </c>
      <c r="AJ128" s="503">
        <v>90.190666199672918</v>
      </c>
      <c r="AK128" s="503">
        <v>90.190666199672918</v>
      </c>
      <c r="AL128" s="502"/>
      <c r="AM128" s="503">
        <v>3715.0079076908078</v>
      </c>
      <c r="AN128" s="503">
        <v>316.17088576091982</v>
      </c>
      <c r="AO128" s="502"/>
      <c r="AP128" s="503">
        <v>286.551171487484</v>
      </c>
      <c r="AQ128" s="502"/>
      <c r="AR128" s="503">
        <v>520.07295560524608</v>
      </c>
      <c r="AT128" s="351"/>
      <c r="BA128" s="500"/>
      <c r="BC128" s="500"/>
      <c r="BE128" s="500"/>
      <c r="BG128" s="500"/>
      <c r="BI128" s="500"/>
      <c r="BK128" s="500"/>
      <c r="BO128" s="500"/>
      <c r="BR128" s="351"/>
      <c r="BT128" s="500"/>
      <c r="BW128" s="500"/>
      <c r="CA128" s="500"/>
      <c r="CC128" s="500"/>
      <c r="CG128" s="500"/>
      <c r="CJ128" s="351"/>
      <c r="CM128" s="500"/>
      <c r="CO128" s="500"/>
      <c r="CQ128" s="500"/>
      <c r="CS128" s="500"/>
      <c r="CU128" s="500"/>
      <c r="CW128" s="500"/>
      <c r="CZ128" s="351"/>
    </row>
    <row r="129" spans="2:104" s="278" customFormat="1" hidden="1" outlineLevel="2">
      <c r="B129" s="288" t="s">
        <v>1406</v>
      </c>
      <c r="C129" s="512" t="s">
        <v>1393</v>
      </c>
      <c r="D129" s="346"/>
      <c r="E129" s="420" t="s">
        <v>5</v>
      </c>
      <c r="F129" s="504" t="s">
        <v>1393</v>
      </c>
      <c r="G129" s="403"/>
      <c r="H129" s="503">
        <v>15252.20948090059</v>
      </c>
      <c r="I129" s="503">
        <v>5771.1062900704937</v>
      </c>
      <c r="J129" s="503">
        <v>412.22187786217813</v>
      </c>
      <c r="K129" s="503">
        <v>2061.1093893108905</v>
      </c>
      <c r="L129" s="503">
        <v>7832.2156793813847</v>
      </c>
      <c r="M129" s="503">
        <v>24733.312671730688</v>
      </c>
      <c r="N129" s="503">
        <v>1236.6656335865343</v>
      </c>
      <c r="O129" s="503">
        <v>4122.218778621781</v>
      </c>
      <c r="P129" s="502"/>
      <c r="Q129" s="503">
        <v>1085.5266025605579</v>
      </c>
      <c r="R129" s="503">
        <v>271.38165064013947</v>
      </c>
      <c r="S129" s="503">
        <v>271.38165064013947</v>
      </c>
      <c r="T129" s="502"/>
      <c r="U129" s="503">
        <v>21042.836286712616</v>
      </c>
      <c r="V129" s="503">
        <v>1052.1418143356309</v>
      </c>
      <c r="W129" s="503">
        <v>350.71393811187693</v>
      </c>
      <c r="X129" s="503">
        <v>20692.12234860074</v>
      </c>
      <c r="Y129" s="503">
        <v>701.42787622375386</v>
      </c>
      <c r="Z129" s="503">
        <v>350.71393811187693</v>
      </c>
      <c r="AA129" s="503">
        <v>10170.70420524443</v>
      </c>
      <c r="AB129" s="503">
        <v>701.42787622375386</v>
      </c>
      <c r="AC129" s="503">
        <v>350.71393811187693</v>
      </c>
      <c r="AD129" s="503">
        <v>350.71393811187693</v>
      </c>
      <c r="AE129" s="502"/>
      <c r="AF129" s="503">
        <v>6161.0626605888356</v>
      </c>
      <c r="AG129" s="503">
        <v>4539.7303814865099</v>
      </c>
      <c r="AH129" s="503">
        <v>324.26645582046501</v>
      </c>
      <c r="AI129" s="503">
        <v>324.26645582046501</v>
      </c>
      <c r="AJ129" s="503">
        <v>324.26645582046501</v>
      </c>
      <c r="AK129" s="503">
        <v>324.26645582046501</v>
      </c>
      <c r="AL129" s="502"/>
      <c r="AM129" s="503">
        <v>18555.83595445739</v>
      </c>
      <c r="AN129" s="503">
        <v>1579.2200812304161</v>
      </c>
      <c r="AO129" s="502"/>
      <c r="AP129" s="503">
        <v>1192.3134801829476</v>
      </c>
      <c r="AQ129" s="502"/>
      <c r="AR129" s="503">
        <v>2150.826769469913</v>
      </c>
      <c r="AT129" s="351"/>
      <c r="BA129" s="500"/>
      <c r="BC129" s="500"/>
      <c r="BE129" s="500"/>
      <c r="BG129" s="500"/>
      <c r="BI129" s="500"/>
      <c r="BK129" s="500"/>
      <c r="BO129" s="500"/>
      <c r="BR129" s="351"/>
      <c r="BT129" s="500"/>
      <c r="BW129" s="500"/>
      <c r="CA129" s="500"/>
      <c r="CC129" s="500"/>
      <c r="CG129" s="500"/>
      <c r="CJ129" s="351"/>
      <c r="CM129" s="500"/>
      <c r="CO129" s="500"/>
      <c r="CQ129" s="500"/>
      <c r="CS129" s="500"/>
      <c r="CU129" s="500"/>
      <c r="CW129" s="500"/>
      <c r="CZ129" s="351"/>
    </row>
    <row r="130" spans="2:104" s="278" customFormat="1" hidden="1" outlineLevel="2">
      <c r="B130" s="288" t="s">
        <v>1406</v>
      </c>
      <c r="C130" s="512" t="s">
        <v>1394</v>
      </c>
      <c r="D130" s="346"/>
      <c r="E130" s="420" t="s">
        <v>5</v>
      </c>
      <c r="F130" s="501" t="s">
        <v>1394</v>
      </c>
      <c r="G130" s="403"/>
      <c r="H130" s="503">
        <v>144.54101374490912</v>
      </c>
      <c r="I130" s="503">
        <v>54.691194389965617</v>
      </c>
      <c r="J130" s="503">
        <v>3.906513884997544</v>
      </c>
      <c r="K130" s="503">
        <v>19.53256942498772</v>
      </c>
      <c r="L130" s="503">
        <v>74.223763814953344</v>
      </c>
      <c r="M130" s="503">
        <v>234.39083309985264</v>
      </c>
      <c r="N130" s="503">
        <v>11.719541654992632</v>
      </c>
      <c r="O130" s="503">
        <v>39.06513884997544</v>
      </c>
      <c r="P130" s="502"/>
      <c r="Q130" s="503">
        <v>5.0399743589743584E-2</v>
      </c>
      <c r="R130" s="503">
        <v>1.2599935897435896E-2</v>
      </c>
      <c r="S130" s="503">
        <v>1.2599935897435896E-2</v>
      </c>
      <c r="T130" s="502"/>
      <c r="U130" s="503">
        <v>3.6516000973300287</v>
      </c>
      <c r="V130" s="503">
        <v>0.18258000486650144</v>
      </c>
      <c r="W130" s="503">
        <v>6.0860001622167148E-2</v>
      </c>
      <c r="X130" s="503">
        <v>3.5907400957078619</v>
      </c>
      <c r="Y130" s="503">
        <v>0.1217200032443343</v>
      </c>
      <c r="Z130" s="503">
        <v>6.0860001622167148E-2</v>
      </c>
      <c r="AA130" s="503">
        <v>1.7649400470428473</v>
      </c>
      <c r="AB130" s="503">
        <v>0.1217200032443343</v>
      </c>
      <c r="AC130" s="503">
        <v>6.0860001622167148E-2</v>
      </c>
      <c r="AD130" s="503">
        <v>6.0860001622167148E-2</v>
      </c>
      <c r="AE130" s="502"/>
      <c r="AF130" s="503">
        <v>0.60423532852271333</v>
      </c>
      <c r="AG130" s="503">
        <v>0.44522603154305196</v>
      </c>
      <c r="AH130" s="503">
        <v>3.1801859395932282E-2</v>
      </c>
      <c r="AI130" s="503">
        <v>3.1801859395932282E-2</v>
      </c>
      <c r="AJ130" s="503">
        <v>3.1801859395932282E-2</v>
      </c>
      <c r="AK130" s="503">
        <v>3.1801859395932282E-2</v>
      </c>
      <c r="AL130" s="502"/>
      <c r="AM130" s="503">
        <v>4.4707290434552203</v>
      </c>
      <c r="AN130" s="503">
        <v>0.38048757816640172</v>
      </c>
      <c r="AO130" s="502"/>
      <c r="AP130" s="503">
        <v>4.2949090909090909E-2</v>
      </c>
      <c r="AQ130" s="502"/>
      <c r="AR130" s="503">
        <v>4.1212139400910432</v>
      </c>
      <c r="AT130" s="351"/>
      <c r="BA130" s="500"/>
      <c r="BC130" s="500"/>
      <c r="BE130" s="500"/>
      <c r="BG130" s="500"/>
      <c r="BI130" s="500"/>
      <c r="BK130" s="500"/>
      <c r="BO130" s="500"/>
      <c r="BR130" s="351"/>
      <c r="BT130" s="500"/>
      <c r="BW130" s="500"/>
      <c r="CA130" s="500"/>
      <c r="CC130" s="500"/>
      <c r="CG130" s="500"/>
      <c r="CJ130" s="351"/>
      <c r="CM130" s="500"/>
      <c r="CO130" s="500"/>
      <c r="CQ130" s="500"/>
      <c r="CS130" s="500"/>
      <c r="CU130" s="500"/>
      <c r="CW130" s="500"/>
      <c r="CZ130" s="351"/>
    </row>
    <row r="131" spans="2:104" s="278" customFormat="1" hidden="1" outlineLevel="2">
      <c r="B131" s="288" t="s">
        <v>1406</v>
      </c>
      <c r="C131" s="512" t="s">
        <v>1395</v>
      </c>
      <c r="D131" s="346"/>
      <c r="E131" s="420" t="s">
        <v>5</v>
      </c>
      <c r="F131" s="504" t="s">
        <v>1395</v>
      </c>
      <c r="G131" s="403"/>
      <c r="H131" s="503">
        <v>2.1380502507147994</v>
      </c>
      <c r="I131" s="503">
        <v>0.80899198675695105</v>
      </c>
      <c r="J131" s="503">
        <v>5.7785141911210793E-2</v>
      </c>
      <c r="K131" s="503">
        <v>0.28892570955605396</v>
      </c>
      <c r="L131" s="503">
        <v>1.0979176963130051</v>
      </c>
      <c r="M131" s="503">
        <v>3.4671085146726477</v>
      </c>
      <c r="N131" s="503">
        <v>0.17335542573363238</v>
      </c>
      <c r="O131" s="503">
        <v>0.57785141911210791</v>
      </c>
      <c r="P131" s="502"/>
      <c r="Q131" s="503">
        <v>0</v>
      </c>
      <c r="R131" s="503">
        <v>0</v>
      </c>
      <c r="S131" s="503">
        <v>0</v>
      </c>
      <c r="T131" s="502"/>
      <c r="U131" s="503">
        <v>2.4545556599056138</v>
      </c>
      <c r="V131" s="503">
        <v>0.1227277829952807</v>
      </c>
      <c r="W131" s="503">
        <v>4.09092609984269E-2</v>
      </c>
      <c r="X131" s="503">
        <v>2.4136463989071872</v>
      </c>
      <c r="Y131" s="503">
        <v>8.1818521996853799E-2</v>
      </c>
      <c r="Z131" s="503">
        <v>4.09092609984269E-2</v>
      </c>
      <c r="AA131" s="503">
        <v>1.1863685689543801</v>
      </c>
      <c r="AB131" s="503">
        <v>8.1818521996853799E-2</v>
      </c>
      <c r="AC131" s="503">
        <v>4.09092609984269E-2</v>
      </c>
      <c r="AD131" s="503">
        <v>4.09092609984269E-2</v>
      </c>
      <c r="AE131" s="502"/>
      <c r="AF131" s="503">
        <v>0</v>
      </c>
      <c r="AG131" s="503">
        <v>0</v>
      </c>
      <c r="AH131" s="503">
        <v>0</v>
      </c>
      <c r="AI131" s="503">
        <v>0</v>
      </c>
      <c r="AJ131" s="503">
        <v>0</v>
      </c>
      <c r="AK131" s="503">
        <v>0</v>
      </c>
      <c r="AL131" s="502"/>
      <c r="AM131" s="503">
        <v>0</v>
      </c>
      <c r="AN131" s="503">
        <v>0</v>
      </c>
      <c r="AO131" s="502"/>
      <c r="AP131" s="503">
        <v>0</v>
      </c>
      <c r="AQ131" s="502"/>
      <c r="AR131" s="503">
        <v>9.8694402909637685E-2</v>
      </c>
      <c r="AT131" s="351"/>
      <c r="BA131" s="500"/>
      <c r="BC131" s="500"/>
      <c r="BE131" s="500"/>
      <c r="BG131" s="500"/>
      <c r="BI131" s="500"/>
      <c r="BK131" s="500"/>
      <c r="BO131" s="500"/>
      <c r="BR131" s="351"/>
      <c r="BT131" s="500"/>
      <c r="BW131" s="500"/>
      <c r="CA131" s="500"/>
      <c r="CC131" s="500"/>
      <c r="CG131" s="500"/>
      <c r="CJ131" s="351"/>
      <c r="CM131" s="500"/>
      <c r="CO131" s="500"/>
      <c r="CQ131" s="500"/>
      <c r="CS131" s="500"/>
      <c r="CU131" s="500"/>
      <c r="CW131" s="500"/>
      <c r="CZ131" s="351"/>
    </row>
    <row r="132" spans="2:104" s="278" customFormat="1" hidden="1" outlineLevel="2">
      <c r="B132" s="288" t="s">
        <v>1406</v>
      </c>
      <c r="C132" s="512" t="s">
        <v>1396</v>
      </c>
      <c r="D132" s="346"/>
      <c r="E132" s="420" t="s">
        <v>5</v>
      </c>
      <c r="F132" s="501" t="s">
        <v>1396</v>
      </c>
      <c r="G132" s="403"/>
      <c r="H132" s="503">
        <v>0</v>
      </c>
      <c r="I132" s="503">
        <v>0</v>
      </c>
      <c r="J132" s="503">
        <v>0</v>
      </c>
      <c r="K132" s="503">
        <v>0</v>
      </c>
      <c r="L132" s="503">
        <v>0</v>
      </c>
      <c r="M132" s="503">
        <v>0</v>
      </c>
      <c r="N132" s="503">
        <v>0</v>
      </c>
      <c r="O132" s="503">
        <v>0</v>
      </c>
      <c r="P132" s="502"/>
      <c r="Q132" s="503">
        <v>0</v>
      </c>
      <c r="R132" s="503">
        <v>0</v>
      </c>
      <c r="S132" s="503">
        <v>0</v>
      </c>
      <c r="T132" s="502"/>
      <c r="U132" s="503">
        <v>0</v>
      </c>
      <c r="V132" s="503">
        <v>0</v>
      </c>
      <c r="W132" s="503">
        <v>0</v>
      </c>
      <c r="X132" s="503">
        <v>0</v>
      </c>
      <c r="Y132" s="503">
        <v>0</v>
      </c>
      <c r="Z132" s="503">
        <v>0</v>
      </c>
      <c r="AA132" s="503">
        <v>0</v>
      </c>
      <c r="AB132" s="503">
        <v>0</v>
      </c>
      <c r="AC132" s="503">
        <v>0</v>
      </c>
      <c r="AD132" s="503">
        <v>0</v>
      </c>
      <c r="AE132" s="502"/>
      <c r="AF132" s="503">
        <v>0</v>
      </c>
      <c r="AG132" s="503">
        <v>0</v>
      </c>
      <c r="AH132" s="503">
        <v>0</v>
      </c>
      <c r="AI132" s="503">
        <v>0</v>
      </c>
      <c r="AJ132" s="503">
        <v>0</v>
      </c>
      <c r="AK132" s="503">
        <v>0</v>
      </c>
      <c r="AL132" s="502"/>
      <c r="AM132" s="503">
        <v>0</v>
      </c>
      <c r="AN132" s="503">
        <v>0</v>
      </c>
      <c r="AO132" s="502"/>
      <c r="AP132" s="503">
        <v>0</v>
      </c>
      <c r="AQ132" s="502"/>
      <c r="AR132" s="503">
        <v>0</v>
      </c>
      <c r="AT132" s="351"/>
      <c r="BA132" s="500"/>
      <c r="BC132" s="500"/>
      <c r="BE132" s="500"/>
      <c r="BG132" s="500"/>
      <c r="BI132" s="500"/>
      <c r="BK132" s="500"/>
      <c r="BO132" s="500"/>
      <c r="BR132" s="351"/>
      <c r="BT132" s="500"/>
      <c r="BW132" s="500"/>
      <c r="CA132" s="500"/>
      <c r="CC132" s="500"/>
      <c r="CG132" s="500"/>
      <c r="CJ132" s="351"/>
      <c r="CM132" s="500"/>
      <c r="CO132" s="500"/>
      <c r="CQ132" s="500"/>
      <c r="CS132" s="500"/>
      <c r="CU132" s="500"/>
      <c r="CW132" s="500"/>
      <c r="CZ132" s="351"/>
    </row>
    <row r="133" spans="2:104" s="278" customFormat="1" hidden="1" outlineLevel="2">
      <c r="B133" s="288" t="s">
        <v>1406</v>
      </c>
      <c r="C133" s="513" t="s">
        <v>1397</v>
      </c>
      <c r="D133" s="514"/>
      <c r="E133" s="420" t="s">
        <v>5</v>
      </c>
      <c r="F133" s="504" t="s">
        <v>1397</v>
      </c>
      <c r="G133" s="403"/>
      <c r="H133" s="503">
        <v>3276.1102613086373</v>
      </c>
      <c r="I133" s="503">
        <v>1239.6092880627275</v>
      </c>
      <c r="J133" s="503">
        <v>88.543520575909113</v>
      </c>
      <c r="K133" s="503">
        <v>442.71760287954555</v>
      </c>
      <c r="L133" s="503">
        <v>1682.3268909422732</v>
      </c>
      <c r="M133" s="503">
        <v>5312.6112345545471</v>
      </c>
      <c r="N133" s="503">
        <v>265.63056172772735</v>
      </c>
      <c r="O133" s="503">
        <v>885.4352057590911</v>
      </c>
      <c r="P133" s="502"/>
      <c r="Q133" s="503">
        <v>196.73917538461538</v>
      </c>
      <c r="R133" s="503">
        <v>49.184793846153845</v>
      </c>
      <c r="S133" s="503">
        <v>49.184793846153845</v>
      </c>
      <c r="T133" s="502"/>
      <c r="U133" s="503">
        <v>3708.5109715805665</v>
      </c>
      <c r="V133" s="503">
        <v>185.42554857902834</v>
      </c>
      <c r="W133" s="503">
        <v>61.808516193009446</v>
      </c>
      <c r="X133" s="503">
        <v>3646.7024553875572</v>
      </c>
      <c r="Y133" s="503">
        <v>123.61703238601889</v>
      </c>
      <c r="Z133" s="503">
        <v>61.808516193009446</v>
      </c>
      <c r="AA133" s="503">
        <v>1792.4469695972739</v>
      </c>
      <c r="AB133" s="503">
        <v>123.61703238601889</v>
      </c>
      <c r="AC133" s="503">
        <v>61.808516193009446</v>
      </c>
      <c r="AD133" s="503">
        <v>61.808516193009446</v>
      </c>
      <c r="AE133" s="502"/>
      <c r="AF133" s="503">
        <v>1945.0946770611113</v>
      </c>
      <c r="AG133" s="503">
        <v>1433.2276567818715</v>
      </c>
      <c r="AH133" s="503">
        <v>102.37340405584796</v>
      </c>
      <c r="AI133" s="503">
        <v>102.37340405584796</v>
      </c>
      <c r="AJ133" s="503">
        <v>102.37340405584796</v>
      </c>
      <c r="AK133" s="503">
        <v>102.37340405584796</v>
      </c>
      <c r="AL133" s="502"/>
      <c r="AM133" s="503">
        <v>4230.8791508161103</v>
      </c>
      <c r="AN133" s="503">
        <v>360.07482134605192</v>
      </c>
      <c r="AO133" s="502"/>
      <c r="AP133" s="503">
        <v>483.3243290909092</v>
      </c>
      <c r="AQ133" s="502"/>
      <c r="AR133" s="503">
        <v>553.0370497044031</v>
      </c>
      <c r="AT133" s="351"/>
      <c r="BA133" s="500"/>
      <c r="BC133" s="500"/>
      <c r="BE133" s="500"/>
      <c r="BG133" s="500"/>
      <c r="BI133" s="500"/>
      <c r="BK133" s="500"/>
      <c r="BO133" s="500"/>
      <c r="BR133" s="351"/>
      <c r="BT133" s="500"/>
      <c r="BW133" s="500"/>
      <c r="CA133" s="500"/>
      <c r="CC133" s="500"/>
      <c r="CG133" s="500"/>
      <c r="CJ133" s="351"/>
      <c r="CM133" s="500"/>
      <c r="CO133" s="500"/>
      <c r="CQ133" s="500"/>
      <c r="CS133" s="500"/>
      <c r="CU133" s="500"/>
      <c r="CW133" s="500"/>
      <c r="CZ133" s="351"/>
    </row>
    <row r="134" spans="2:104" s="278" customFormat="1" hidden="1" outlineLevel="2">
      <c r="B134" s="288" t="s">
        <v>1406</v>
      </c>
      <c r="C134" s="513" t="s">
        <v>1398</v>
      </c>
      <c r="D134" s="514"/>
      <c r="E134" s="420" t="s">
        <v>5</v>
      </c>
      <c r="F134" s="501" t="s">
        <v>1398</v>
      </c>
      <c r="G134" s="403"/>
      <c r="H134" s="503">
        <v>2899.9052821716041</v>
      </c>
      <c r="I134" s="503">
        <v>1097.2614581189853</v>
      </c>
      <c r="J134" s="503">
        <v>78.375818437070379</v>
      </c>
      <c r="K134" s="503">
        <v>391.87909218535191</v>
      </c>
      <c r="L134" s="503">
        <v>1489.1405503043372</v>
      </c>
      <c r="M134" s="503">
        <v>4702.5491062242227</v>
      </c>
      <c r="N134" s="503">
        <v>235.12745531121112</v>
      </c>
      <c r="O134" s="503">
        <v>783.75818437070382</v>
      </c>
      <c r="P134" s="502"/>
      <c r="Q134" s="503">
        <v>158.54820717948718</v>
      </c>
      <c r="R134" s="503">
        <v>39.637051794871795</v>
      </c>
      <c r="S134" s="503">
        <v>39.637051794871795</v>
      </c>
      <c r="T134" s="502"/>
      <c r="U134" s="503">
        <v>4747.066380027898</v>
      </c>
      <c r="V134" s="503">
        <v>237.35331900139488</v>
      </c>
      <c r="W134" s="503">
        <v>79.117773000464965</v>
      </c>
      <c r="X134" s="503">
        <v>4667.9486070274334</v>
      </c>
      <c r="Y134" s="503">
        <v>158.23554600092993</v>
      </c>
      <c r="Z134" s="503">
        <v>79.117773000464965</v>
      </c>
      <c r="AA134" s="503">
        <v>2294.4154170134839</v>
      </c>
      <c r="AB134" s="503">
        <v>158.23554600092993</v>
      </c>
      <c r="AC134" s="503">
        <v>79.117773000464965</v>
      </c>
      <c r="AD134" s="503">
        <v>79.117773000464965</v>
      </c>
      <c r="AE134" s="502"/>
      <c r="AF134" s="503">
        <v>1623.3687573911034</v>
      </c>
      <c r="AG134" s="503">
        <v>1196.1664528144972</v>
      </c>
      <c r="AH134" s="503">
        <v>85.440460915321225</v>
      </c>
      <c r="AI134" s="503">
        <v>85.440460915321225</v>
      </c>
      <c r="AJ134" s="503">
        <v>85.440460915321225</v>
      </c>
      <c r="AK134" s="503">
        <v>85.440460915321225</v>
      </c>
      <c r="AL134" s="502"/>
      <c r="AM134" s="503">
        <v>2405.771858948066</v>
      </c>
      <c r="AN134" s="503">
        <v>204.74654118706945</v>
      </c>
      <c r="AO134" s="502"/>
      <c r="AP134" s="503">
        <v>207.54019963636364</v>
      </c>
      <c r="AQ134" s="502"/>
      <c r="AR134" s="503">
        <v>402.93780598995028</v>
      </c>
      <c r="AT134" s="351"/>
      <c r="BA134" s="500"/>
      <c r="BC134" s="500"/>
      <c r="BE134" s="500"/>
      <c r="BG134" s="500"/>
      <c r="BI134" s="500"/>
      <c r="BK134" s="500"/>
      <c r="BO134" s="500"/>
      <c r="BR134" s="351"/>
      <c r="BT134" s="500"/>
      <c r="BW134" s="500"/>
      <c r="CA134" s="500"/>
      <c r="CC134" s="500"/>
      <c r="CG134" s="500"/>
      <c r="CJ134" s="351"/>
      <c r="CM134" s="500"/>
      <c r="CO134" s="500"/>
      <c r="CQ134" s="500"/>
      <c r="CS134" s="500"/>
      <c r="CU134" s="500"/>
      <c r="CW134" s="500"/>
      <c r="CZ134" s="351"/>
    </row>
    <row r="135" spans="2:104" s="278" customFormat="1" hidden="1" outlineLevel="2">
      <c r="B135" s="288" t="s">
        <v>1406</v>
      </c>
      <c r="C135" s="512" t="s">
        <v>1399</v>
      </c>
      <c r="D135" s="346"/>
      <c r="E135" s="420" t="s">
        <v>5</v>
      </c>
      <c r="F135" s="504" t="s">
        <v>1399</v>
      </c>
      <c r="G135" s="403"/>
      <c r="H135" s="503">
        <v>5.3863801206790331E-2</v>
      </c>
      <c r="I135" s="503">
        <v>2.0380897753920664E-2</v>
      </c>
      <c r="J135" s="503">
        <v>1.4557784109943332E-3</v>
      </c>
      <c r="K135" s="503">
        <v>7.2788920549716665E-3</v>
      </c>
      <c r="L135" s="503">
        <v>2.7659789808892332E-2</v>
      </c>
      <c r="M135" s="503">
        <v>8.7346704659659991E-2</v>
      </c>
      <c r="N135" s="503">
        <v>4.3673352329829992E-3</v>
      </c>
      <c r="O135" s="503">
        <v>1.4557784109943333E-2</v>
      </c>
      <c r="P135" s="502"/>
      <c r="Q135" s="503">
        <v>0</v>
      </c>
      <c r="R135" s="503">
        <v>0</v>
      </c>
      <c r="S135" s="503">
        <v>0</v>
      </c>
      <c r="T135" s="502"/>
      <c r="U135" s="503">
        <v>0</v>
      </c>
      <c r="V135" s="503">
        <v>0</v>
      </c>
      <c r="W135" s="503">
        <v>0</v>
      </c>
      <c r="X135" s="503">
        <v>0</v>
      </c>
      <c r="Y135" s="503">
        <v>0</v>
      </c>
      <c r="Z135" s="503">
        <v>0</v>
      </c>
      <c r="AA135" s="503">
        <v>0</v>
      </c>
      <c r="AB135" s="503">
        <v>0</v>
      </c>
      <c r="AC135" s="503">
        <v>0</v>
      </c>
      <c r="AD135" s="503">
        <v>0</v>
      </c>
      <c r="AE135" s="502"/>
      <c r="AF135" s="503">
        <v>0.89701714285714296</v>
      </c>
      <c r="AG135" s="503">
        <v>0.6609600000000001</v>
      </c>
      <c r="AH135" s="503">
        <v>4.7211428571428578E-2</v>
      </c>
      <c r="AI135" s="503">
        <v>4.7211428571428578E-2</v>
      </c>
      <c r="AJ135" s="503">
        <v>4.7211428571428578E-2</v>
      </c>
      <c r="AK135" s="503">
        <v>4.7211428571428578E-2</v>
      </c>
      <c r="AL135" s="502"/>
      <c r="AM135" s="503">
        <v>0</v>
      </c>
      <c r="AN135" s="503">
        <v>0</v>
      </c>
      <c r="AO135" s="502"/>
      <c r="AP135" s="503">
        <v>0</v>
      </c>
      <c r="AQ135" s="502"/>
      <c r="AR135" s="503">
        <v>4.8667206982422911E-2</v>
      </c>
      <c r="AT135" s="351"/>
      <c r="BA135" s="500"/>
      <c r="BC135" s="500"/>
      <c r="BE135" s="500"/>
      <c r="BG135" s="500"/>
      <c r="BI135" s="500"/>
      <c r="BK135" s="500"/>
      <c r="BO135" s="500"/>
      <c r="BR135" s="351"/>
      <c r="BT135" s="500"/>
      <c r="BW135" s="500"/>
      <c r="CA135" s="500"/>
      <c r="CC135" s="500"/>
      <c r="CG135" s="500"/>
      <c r="CJ135" s="351"/>
      <c r="CM135" s="500"/>
      <c r="CO135" s="500"/>
      <c r="CQ135" s="500"/>
      <c r="CS135" s="500"/>
      <c r="CU135" s="500"/>
      <c r="CW135" s="500"/>
      <c r="CZ135" s="351"/>
    </row>
    <row r="136" spans="2:104" s="278" customFormat="1" hidden="1" outlineLevel="2">
      <c r="B136" s="288" t="s">
        <v>1406</v>
      </c>
      <c r="C136" s="512" t="s">
        <v>1400</v>
      </c>
      <c r="D136" s="346"/>
      <c r="E136" s="420" t="s">
        <v>5</v>
      </c>
      <c r="F136" s="501" t="s">
        <v>1400</v>
      </c>
      <c r="G136" s="403"/>
      <c r="H136" s="515">
        <v>1344.9167290862565</v>
      </c>
      <c r="I136" s="515">
        <v>508.88741100561055</v>
      </c>
      <c r="J136" s="515">
        <v>36.349100786115038</v>
      </c>
      <c r="K136" s="515">
        <v>181.74550393057518</v>
      </c>
      <c r="L136" s="515">
        <v>690.63291493618567</v>
      </c>
      <c r="M136" s="515">
        <v>2180.9460471669022</v>
      </c>
      <c r="N136" s="515">
        <v>109.04730235834512</v>
      </c>
      <c r="O136" s="515">
        <v>363.49100786115036</v>
      </c>
      <c r="P136" s="516"/>
      <c r="Q136" s="515">
        <v>359.24289029636162</v>
      </c>
      <c r="R136" s="515">
        <v>89.810722574090406</v>
      </c>
      <c r="S136" s="515">
        <v>89.810722574090406</v>
      </c>
      <c r="T136" s="516"/>
      <c r="U136" s="515">
        <v>2155.6980084621264</v>
      </c>
      <c r="V136" s="515">
        <v>107.78490042310631</v>
      </c>
      <c r="W136" s="515">
        <v>35.928300141035436</v>
      </c>
      <c r="X136" s="515">
        <v>2119.7697083210905</v>
      </c>
      <c r="Y136" s="515">
        <v>71.856600282070872</v>
      </c>
      <c r="Z136" s="515">
        <v>35.928300141035436</v>
      </c>
      <c r="AA136" s="515">
        <v>1041.9207040900276</v>
      </c>
      <c r="AB136" s="515">
        <v>71.856600282070872</v>
      </c>
      <c r="AC136" s="515">
        <v>35.928300141035436</v>
      </c>
      <c r="AD136" s="515">
        <v>35.928300141035436</v>
      </c>
      <c r="AE136" s="516"/>
      <c r="AF136" s="515">
        <v>847.60206143114567</v>
      </c>
      <c r="AG136" s="515">
        <v>624.54888737031786</v>
      </c>
      <c r="AH136" s="515">
        <v>44.610634812165564</v>
      </c>
      <c r="AI136" s="515">
        <v>44.610634812165564</v>
      </c>
      <c r="AJ136" s="515">
        <v>44.610634812165564</v>
      </c>
      <c r="AK136" s="515">
        <v>44.610634812165564</v>
      </c>
      <c r="AL136" s="516"/>
      <c r="AM136" s="515">
        <v>1940.6757692662923</v>
      </c>
      <c r="AN136" s="515">
        <v>165.16389525670573</v>
      </c>
      <c r="AO136" s="516"/>
      <c r="AP136" s="515">
        <v>152.70524358894042</v>
      </c>
      <c r="AQ136" s="516"/>
      <c r="AR136" s="515">
        <v>298.89147999056303</v>
      </c>
      <c r="AT136" s="351"/>
      <c r="BA136" s="500"/>
      <c r="BC136" s="500"/>
      <c r="BE136" s="500"/>
      <c r="BG136" s="500"/>
      <c r="BI136" s="500"/>
      <c r="BK136" s="500"/>
      <c r="BO136" s="500"/>
      <c r="BR136" s="351"/>
      <c r="BT136" s="500"/>
      <c r="BW136" s="500"/>
      <c r="CA136" s="500"/>
      <c r="CC136" s="500"/>
      <c r="CG136" s="500"/>
      <c r="CJ136" s="351"/>
      <c r="CM136" s="500"/>
      <c r="CO136" s="500"/>
      <c r="CQ136" s="500"/>
      <c r="CS136" s="500"/>
      <c r="CU136" s="500"/>
      <c r="CW136" s="500"/>
      <c r="CZ136" s="351"/>
    </row>
    <row r="137" spans="2:104" s="278" customFormat="1" hidden="1" outlineLevel="2">
      <c r="B137" s="288" t="s">
        <v>1406</v>
      </c>
      <c r="C137" s="512" t="s">
        <v>1401</v>
      </c>
      <c r="D137" s="346"/>
      <c r="E137" s="420" t="s">
        <v>5</v>
      </c>
      <c r="F137" s="504" t="s">
        <v>1401</v>
      </c>
      <c r="G137" s="403"/>
      <c r="H137" s="503">
        <v>766.52646714702951</v>
      </c>
      <c r="I137" s="503">
        <v>290.03704162320037</v>
      </c>
      <c r="J137" s="503">
        <v>20.71693154451431</v>
      </c>
      <c r="K137" s="503">
        <v>103.58465772257155</v>
      </c>
      <c r="L137" s="503">
        <v>393.6216993457719</v>
      </c>
      <c r="M137" s="503">
        <v>1243.0158926708586</v>
      </c>
      <c r="N137" s="503">
        <v>62.15079463354293</v>
      </c>
      <c r="O137" s="503">
        <v>207.1693154451431</v>
      </c>
      <c r="P137" s="502"/>
      <c r="Q137" s="503">
        <v>17.034632248718413</v>
      </c>
      <c r="R137" s="503">
        <v>4.2586580621796033</v>
      </c>
      <c r="S137" s="503">
        <v>4.2586580621796033</v>
      </c>
      <c r="T137" s="502"/>
      <c r="U137" s="503">
        <v>367.17042545324483</v>
      </c>
      <c r="V137" s="503">
        <v>18.358521272662241</v>
      </c>
      <c r="W137" s="503">
        <v>6.1195070908874136</v>
      </c>
      <c r="X137" s="503">
        <v>361.05091836235738</v>
      </c>
      <c r="Y137" s="503">
        <v>12.239014181774827</v>
      </c>
      <c r="Z137" s="503">
        <v>6.1195070908874136</v>
      </c>
      <c r="AA137" s="503">
        <v>177.46570563573499</v>
      </c>
      <c r="AB137" s="503">
        <v>12.239014181774827</v>
      </c>
      <c r="AC137" s="503">
        <v>6.1195070908874136</v>
      </c>
      <c r="AD137" s="503">
        <v>6.1195070908874136</v>
      </c>
      <c r="AE137" s="502"/>
      <c r="AF137" s="503">
        <v>252.84286506472205</v>
      </c>
      <c r="AG137" s="503">
        <v>186.30526899505836</v>
      </c>
      <c r="AH137" s="503">
        <v>13.307519213932739</v>
      </c>
      <c r="AI137" s="503">
        <v>13.307519213932739</v>
      </c>
      <c r="AJ137" s="503">
        <v>13.307519213932739</v>
      </c>
      <c r="AK137" s="503">
        <v>13.307519213932739</v>
      </c>
      <c r="AL137" s="502"/>
      <c r="AM137" s="503">
        <v>359.47418243520576</v>
      </c>
      <c r="AN137" s="503">
        <v>30.593547441294106</v>
      </c>
      <c r="AO137" s="502"/>
      <c r="AP137" s="503">
        <v>15.140817955398246</v>
      </c>
      <c r="AQ137" s="502"/>
      <c r="AR137" s="503">
        <v>57.097942090303668</v>
      </c>
      <c r="AT137" s="351"/>
      <c r="BA137" s="500"/>
      <c r="BC137" s="500"/>
      <c r="BE137" s="500"/>
      <c r="BG137" s="500"/>
      <c r="BI137" s="500"/>
      <c r="BK137" s="500"/>
      <c r="BO137" s="500"/>
      <c r="BR137" s="351"/>
      <c r="BT137" s="500"/>
      <c r="BW137" s="500"/>
      <c r="CA137" s="500"/>
      <c r="CC137" s="500"/>
      <c r="CG137" s="500"/>
      <c r="CJ137" s="351"/>
      <c r="CM137" s="500"/>
      <c r="CO137" s="500"/>
      <c r="CQ137" s="500"/>
      <c r="CS137" s="500"/>
      <c r="CU137" s="500"/>
      <c r="CW137" s="500"/>
      <c r="CZ137" s="351"/>
    </row>
    <row r="138" spans="2:104" s="278" customFormat="1" hidden="1" outlineLevel="2">
      <c r="B138" s="288" t="s">
        <v>1406</v>
      </c>
      <c r="C138" s="512" t="s">
        <v>1402</v>
      </c>
      <c r="D138" s="346"/>
      <c r="E138" s="420" t="s">
        <v>5</v>
      </c>
      <c r="F138" s="501" t="s">
        <v>1402</v>
      </c>
      <c r="G138" s="403"/>
      <c r="H138" s="503">
        <v>2407.5662584200318</v>
      </c>
      <c r="I138" s="503">
        <v>910.97101669947153</v>
      </c>
      <c r="J138" s="503">
        <v>65.06935833567654</v>
      </c>
      <c r="K138" s="503">
        <v>325.34679167838271</v>
      </c>
      <c r="L138" s="503">
        <v>1236.3178083778544</v>
      </c>
      <c r="M138" s="503">
        <v>3904.1615001405926</v>
      </c>
      <c r="N138" s="503">
        <v>195.20807500702961</v>
      </c>
      <c r="O138" s="503">
        <v>650.69358335676543</v>
      </c>
      <c r="P138" s="502"/>
      <c r="Q138" s="503">
        <v>0.24538307692307681</v>
      </c>
      <c r="R138" s="503">
        <v>6.1345769230769204E-2</v>
      </c>
      <c r="S138" s="503">
        <v>6.1345769230769204E-2</v>
      </c>
      <c r="T138" s="502"/>
      <c r="U138" s="503">
        <v>0.95497314282553725</v>
      </c>
      <c r="V138" s="503">
        <v>4.7748657141276865E-2</v>
      </c>
      <c r="W138" s="503">
        <v>1.5916219047092287E-2</v>
      </c>
      <c r="X138" s="503">
        <v>0.93905692377844496</v>
      </c>
      <c r="Y138" s="503">
        <v>3.1832438094184574E-2</v>
      </c>
      <c r="Z138" s="503">
        <v>1.5916219047092287E-2</v>
      </c>
      <c r="AA138" s="503">
        <v>0.46157035236567634</v>
      </c>
      <c r="AB138" s="503">
        <v>3.1832438094184574E-2</v>
      </c>
      <c r="AC138" s="503">
        <v>1.5916219047092287E-2</v>
      </c>
      <c r="AD138" s="503">
        <v>1.5916219047092287E-2</v>
      </c>
      <c r="AE138" s="502"/>
      <c r="AF138" s="503">
        <v>0</v>
      </c>
      <c r="AG138" s="503">
        <v>0</v>
      </c>
      <c r="AH138" s="503">
        <v>0</v>
      </c>
      <c r="AI138" s="503">
        <v>0</v>
      </c>
      <c r="AJ138" s="503">
        <v>0</v>
      </c>
      <c r="AK138" s="503">
        <v>0</v>
      </c>
      <c r="AL138" s="502"/>
      <c r="AM138" s="503">
        <v>0</v>
      </c>
      <c r="AN138" s="503">
        <v>0</v>
      </c>
      <c r="AO138" s="502"/>
      <c r="AP138" s="503">
        <v>4.2556363636363628E-2</v>
      </c>
      <c r="AQ138" s="502"/>
      <c r="AR138" s="503">
        <v>65.160805778499864</v>
      </c>
      <c r="AT138" s="351"/>
      <c r="BA138" s="500"/>
      <c r="BC138" s="500"/>
      <c r="BE138" s="500"/>
      <c r="BG138" s="500"/>
      <c r="BI138" s="500"/>
      <c r="BK138" s="500"/>
      <c r="BO138" s="500"/>
      <c r="BR138" s="351"/>
      <c r="BT138" s="500"/>
      <c r="BW138" s="500"/>
      <c r="CA138" s="500"/>
      <c r="CC138" s="500"/>
      <c r="CG138" s="500"/>
      <c r="CJ138" s="351"/>
      <c r="CM138" s="500"/>
      <c r="CO138" s="500"/>
      <c r="CQ138" s="500"/>
      <c r="CS138" s="500"/>
      <c r="CU138" s="500"/>
      <c r="CW138" s="500"/>
      <c r="CZ138" s="351"/>
    </row>
    <row r="139" spans="2:104" s="278" customFormat="1" hidden="1" outlineLevel="2">
      <c r="B139" s="288" t="s">
        <v>1406</v>
      </c>
      <c r="C139" s="512" t="s">
        <v>1403</v>
      </c>
      <c r="D139" s="346"/>
      <c r="E139" s="420" t="s">
        <v>5</v>
      </c>
      <c r="F139" s="504" t="s">
        <v>1403</v>
      </c>
      <c r="G139" s="403"/>
      <c r="H139" s="503">
        <v>1619.0981171639141</v>
      </c>
      <c r="I139" s="503">
        <v>612.63172000796749</v>
      </c>
      <c r="J139" s="503">
        <v>43.759408571997682</v>
      </c>
      <c r="K139" s="503">
        <v>218.79704285998841</v>
      </c>
      <c r="L139" s="503">
        <v>831.42876286795592</v>
      </c>
      <c r="M139" s="503">
        <v>2625.5645143198608</v>
      </c>
      <c r="N139" s="503">
        <v>131.27822571599305</v>
      </c>
      <c r="O139" s="503">
        <v>437.59408571997682</v>
      </c>
      <c r="P139" s="502"/>
      <c r="Q139" s="503">
        <v>34.497486666666667</v>
      </c>
      <c r="R139" s="503">
        <v>8.6243716666666668</v>
      </c>
      <c r="S139" s="503">
        <v>8.6243716666666668</v>
      </c>
      <c r="T139" s="502"/>
      <c r="U139" s="503">
        <v>739.12704825304661</v>
      </c>
      <c r="V139" s="503">
        <v>36.956352412652329</v>
      </c>
      <c r="W139" s="503">
        <v>12.318784137550777</v>
      </c>
      <c r="X139" s="503">
        <v>726.80826411549583</v>
      </c>
      <c r="Y139" s="503">
        <v>24.637568275101554</v>
      </c>
      <c r="Z139" s="503">
        <v>12.318784137550777</v>
      </c>
      <c r="AA139" s="503">
        <v>357.24473998897253</v>
      </c>
      <c r="AB139" s="503">
        <v>24.637568275101554</v>
      </c>
      <c r="AC139" s="503">
        <v>12.318784137550777</v>
      </c>
      <c r="AD139" s="503">
        <v>12.318784137550777</v>
      </c>
      <c r="AE139" s="502"/>
      <c r="AF139" s="503">
        <v>240.59075119454948</v>
      </c>
      <c r="AG139" s="503">
        <v>177.27739561703646</v>
      </c>
      <c r="AH139" s="503">
        <v>12.662671115502604</v>
      </c>
      <c r="AI139" s="503">
        <v>12.662671115502604</v>
      </c>
      <c r="AJ139" s="503">
        <v>12.662671115502604</v>
      </c>
      <c r="AK139" s="503">
        <v>12.662671115502604</v>
      </c>
      <c r="AL139" s="502"/>
      <c r="AM139" s="503">
        <v>774.77231309750925</v>
      </c>
      <c r="AN139" s="503">
        <v>65.938069199788018</v>
      </c>
      <c r="AO139" s="502"/>
      <c r="AP139" s="503">
        <v>50.079530090909088</v>
      </c>
      <c r="AQ139" s="502"/>
      <c r="AR139" s="503">
        <v>110.54292948863443</v>
      </c>
      <c r="AT139" s="351"/>
      <c r="BA139" s="500"/>
      <c r="BC139" s="500"/>
      <c r="BE139" s="500"/>
      <c r="BG139" s="500"/>
      <c r="BI139" s="500"/>
      <c r="BK139" s="500"/>
      <c r="BO139" s="500"/>
      <c r="BR139" s="351"/>
      <c r="BT139" s="500"/>
      <c r="BW139" s="500"/>
      <c r="CA139" s="500"/>
      <c r="CC139" s="500"/>
      <c r="CG139" s="500"/>
      <c r="CJ139" s="351"/>
      <c r="CM139" s="500"/>
      <c r="CO139" s="500"/>
      <c r="CQ139" s="500"/>
      <c r="CS139" s="500"/>
      <c r="CU139" s="500"/>
      <c r="CW139" s="500"/>
      <c r="CZ139" s="351"/>
    </row>
    <row r="140" spans="2:104" s="278" customFormat="1" hidden="1" outlineLevel="2">
      <c r="B140" s="288" t="s">
        <v>1406</v>
      </c>
      <c r="C140" s="512" t="s">
        <v>1404</v>
      </c>
      <c r="D140" s="346"/>
      <c r="E140" s="420" t="s">
        <v>5</v>
      </c>
      <c r="F140" s="501" t="s">
        <v>1386</v>
      </c>
      <c r="G140" s="403"/>
      <c r="H140" s="503">
        <v>3119.5962093565195</v>
      </c>
      <c r="I140" s="503">
        <v>1180.387754891656</v>
      </c>
      <c r="J140" s="503">
        <v>84.313411063689713</v>
      </c>
      <c r="K140" s="503">
        <v>421.56705531844858</v>
      </c>
      <c r="L140" s="503">
        <v>1601.9548102101046</v>
      </c>
      <c r="M140" s="503">
        <v>5058.8046638213827</v>
      </c>
      <c r="N140" s="503">
        <v>252.94023319106913</v>
      </c>
      <c r="O140" s="503">
        <v>843.13411063689716</v>
      </c>
      <c r="P140" s="502"/>
      <c r="Q140" s="503">
        <v>341.44193256410261</v>
      </c>
      <c r="R140" s="503">
        <v>85.360483141025654</v>
      </c>
      <c r="S140" s="503">
        <v>85.360483141025654</v>
      </c>
      <c r="T140" s="502"/>
      <c r="U140" s="503">
        <v>2812.5806992621851</v>
      </c>
      <c r="V140" s="503">
        <v>140.62903496310926</v>
      </c>
      <c r="W140" s="503">
        <v>46.876344987703085</v>
      </c>
      <c r="X140" s="503">
        <v>2765.7043542744818</v>
      </c>
      <c r="Y140" s="503">
        <v>93.75268997540617</v>
      </c>
      <c r="Z140" s="503">
        <v>46.876344987703085</v>
      </c>
      <c r="AA140" s="503">
        <v>1359.4140046433895</v>
      </c>
      <c r="AB140" s="503">
        <v>93.75268997540617</v>
      </c>
      <c r="AC140" s="503">
        <v>46.876344987703085</v>
      </c>
      <c r="AD140" s="503">
        <v>46.876344987703085</v>
      </c>
      <c r="AE140" s="502"/>
      <c r="AF140" s="503">
        <v>1077.4461869416916</v>
      </c>
      <c r="AG140" s="503">
        <v>793.907716693878</v>
      </c>
      <c r="AH140" s="503">
        <v>56.707694049562718</v>
      </c>
      <c r="AI140" s="503">
        <v>56.707694049562718</v>
      </c>
      <c r="AJ140" s="503">
        <v>56.707694049562718</v>
      </c>
      <c r="AK140" s="503">
        <v>56.707694049562718</v>
      </c>
      <c r="AL140" s="502"/>
      <c r="AM140" s="503">
        <v>2933.7239072946472</v>
      </c>
      <c r="AN140" s="503">
        <v>249.67863040805508</v>
      </c>
      <c r="AO140" s="502"/>
      <c r="AP140" s="503">
        <v>151.17626318181817</v>
      </c>
      <c r="AQ140" s="502"/>
      <c r="AR140" s="503">
        <v>386.06967857126767</v>
      </c>
      <c r="AT140" s="351"/>
      <c r="BA140" s="500"/>
      <c r="BC140" s="500"/>
      <c r="BE140" s="500"/>
      <c r="BG140" s="500"/>
      <c r="BI140" s="500"/>
      <c r="BK140" s="500"/>
      <c r="BO140" s="500"/>
      <c r="BR140" s="351"/>
      <c r="BT140" s="500"/>
      <c r="BW140" s="500"/>
      <c r="CA140" s="500"/>
      <c r="CC140" s="500"/>
      <c r="CG140" s="500"/>
      <c r="CJ140" s="351"/>
      <c r="CM140" s="500"/>
      <c r="CO140" s="500"/>
      <c r="CQ140" s="500"/>
      <c r="CS140" s="500"/>
      <c r="CU140" s="500"/>
      <c r="CW140" s="500"/>
      <c r="CZ140" s="351"/>
    </row>
    <row r="141" spans="2:104" s="278" customFormat="1" ht="15" hidden="1" outlineLevel="1" collapsed="1">
      <c r="C141" s="505"/>
      <c r="D141" s="346"/>
      <c r="E141" s="506"/>
      <c r="F141" s="517" t="s">
        <v>1408</v>
      </c>
      <c r="G141" s="403"/>
      <c r="H141" s="518">
        <v>34369.309645553738</v>
      </c>
      <c r="I141" s="518">
        <v>13004.603649668979</v>
      </c>
      <c r="J141" s="518">
        <v>928.90026069064152</v>
      </c>
      <c r="K141" s="518">
        <v>4644.5013034532067</v>
      </c>
      <c r="L141" s="518">
        <v>17649.104953122187</v>
      </c>
      <c r="M141" s="518">
        <v>55734.015641438491</v>
      </c>
      <c r="N141" s="518">
        <v>2786.7007820719236</v>
      </c>
      <c r="O141" s="518">
        <v>9289.0026069064133</v>
      </c>
      <c r="P141" s="519"/>
      <c r="Q141" s="518">
        <v>2523.019997490529</v>
      </c>
      <c r="R141" s="518">
        <v>630.75499937263226</v>
      </c>
      <c r="S141" s="518">
        <v>630.75499937263226</v>
      </c>
      <c r="T141" s="519"/>
      <c r="U141" s="518">
        <v>40218.897557789816</v>
      </c>
      <c r="V141" s="518">
        <v>2010.9448778894907</v>
      </c>
      <c r="W141" s="518">
        <v>670.31495929649691</v>
      </c>
      <c r="X141" s="518">
        <v>39548.582598493325</v>
      </c>
      <c r="Y141" s="518">
        <v>1340.6299185929938</v>
      </c>
      <c r="Z141" s="518">
        <v>670.31495929649691</v>
      </c>
      <c r="AA141" s="518">
        <v>19439.133819598414</v>
      </c>
      <c r="AB141" s="518">
        <v>1340.6299185929938</v>
      </c>
      <c r="AC141" s="518">
        <v>670.31495929649691</v>
      </c>
      <c r="AD141" s="518">
        <v>670.31495929649691</v>
      </c>
      <c r="AE141" s="519"/>
      <c r="AF141" s="518">
        <v>13863.131869938325</v>
      </c>
      <c r="AG141" s="518">
        <v>10214.939272586133</v>
      </c>
      <c r="AH141" s="518">
        <v>729.63851947043815</v>
      </c>
      <c r="AI141" s="518">
        <v>729.63851947043815</v>
      </c>
      <c r="AJ141" s="518">
        <v>729.63851947043815</v>
      </c>
      <c r="AK141" s="518">
        <v>729.63851947043815</v>
      </c>
      <c r="AL141" s="519"/>
      <c r="AM141" s="518">
        <v>34920.611773049488</v>
      </c>
      <c r="AN141" s="518">
        <v>2971.9669594084667</v>
      </c>
      <c r="AO141" s="519"/>
      <c r="AP141" s="518">
        <v>2538.916540669316</v>
      </c>
      <c r="AQ141" s="519"/>
      <c r="AR141" s="518">
        <v>4548.9059922387642</v>
      </c>
      <c r="AT141" s="351"/>
      <c r="BA141" s="500"/>
      <c r="BC141" s="500"/>
      <c r="BE141" s="500"/>
      <c r="BG141" s="500"/>
      <c r="BI141" s="500"/>
      <c r="BK141" s="500"/>
      <c r="BO141" s="500"/>
      <c r="BR141" s="351"/>
      <c r="BT141" s="500"/>
      <c r="BW141" s="500"/>
      <c r="CA141" s="500"/>
      <c r="CC141" s="500"/>
      <c r="CG141" s="500"/>
      <c r="CJ141" s="351"/>
      <c r="CM141" s="500"/>
      <c r="CO141" s="500"/>
      <c r="CQ141" s="500"/>
      <c r="CS141" s="500"/>
      <c r="CU141" s="500"/>
      <c r="CW141" s="500"/>
      <c r="CZ141" s="351"/>
    </row>
    <row r="142" spans="2:104" s="278" customFormat="1" hidden="1" outlineLevel="1">
      <c r="C142" s="288"/>
      <c r="D142" s="346"/>
      <c r="E142" s="289"/>
      <c r="F142" s="372"/>
      <c r="G142" s="403"/>
      <c r="H142" s="503"/>
      <c r="I142" s="503"/>
      <c r="J142" s="503"/>
      <c r="K142" s="503"/>
      <c r="L142" s="503"/>
      <c r="M142" s="503"/>
      <c r="N142" s="503"/>
      <c r="O142" s="503"/>
      <c r="P142" s="502"/>
      <c r="Q142" s="503"/>
      <c r="R142" s="503"/>
      <c r="S142" s="503"/>
      <c r="T142" s="502"/>
      <c r="U142" s="503"/>
      <c r="V142" s="503"/>
      <c r="W142" s="503"/>
      <c r="X142" s="503"/>
      <c r="Y142" s="503"/>
      <c r="Z142" s="503"/>
      <c r="AA142" s="503"/>
      <c r="AB142" s="503"/>
      <c r="AC142" s="503"/>
      <c r="AD142" s="503"/>
      <c r="AE142" s="502"/>
      <c r="AF142" s="503"/>
      <c r="AG142" s="503"/>
      <c r="AH142" s="503"/>
      <c r="AI142" s="503"/>
      <c r="AJ142" s="503"/>
      <c r="AK142" s="503"/>
      <c r="AL142" s="502"/>
      <c r="AM142" s="503"/>
      <c r="AN142" s="503"/>
      <c r="AO142" s="502"/>
      <c r="AP142" s="503"/>
      <c r="AQ142" s="502"/>
      <c r="AR142" s="503"/>
      <c r="AT142" s="351"/>
      <c r="BA142" s="500"/>
      <c r="BC142" s="500"/>
      <c r="BE142" s="500"/>
      <c r="BG142" s="500"/>
      <c r="BI142" s="500"/>
      <c r="BK142" s="500"/>
      <c r="BO142" s="500"/>
      <c r="BR142" s="351"/>
      <c r="BT142" s="500"/>
      <c r="BW142" s="500"/>
      <c r="CA142" s="500"/>
      <c r="CC142" s="500"/>
      <c r="CG142" s="500"/>
      <c r="CJ142" s="351"/>
      <c r="CM142" s="500"/>
      <c r="CO142" s="500"/>
      <c r="CQ142" s="500"/>
      <c r="CS142" s="500"/>
      <c r="CU142" s="500"/>
      <c r="CW142" s="500"/>
      <c r="CZ142" s="351"/>
    </row>
    <row r="143" spans="2:104" s="278" customFormat="1" hidden="1" outlineLevel="1">
      <c r="C143" s="288"/>
      <c r="D143" s="346"/>
      <c r="E143" s="289"/>
      <c r="F143" s="372"/>
      <c r="G143" s="403"/>
      <c r="H143" s="503"/>
      <c r="I143" s="503"/>
      <c r="J143" s="503"/>
      <c r="K143" s="503"/>
      <c r="L143" s="503"/>
      <c r="M143" s="503"/>
      <c r="N143" s="503"/>
      <c r="O143" s="503"/>
      <c r="P143" s="502"/>
      <c r="Q143" s="503"/>
      <c r="R143" s="503"/>
      <c r="S143" s="503"/>
      <c r="T143" s="502"/>
      <c r="U143" s="503"/>
      <c r="V143" s="503"/>
      <c r="W143" s="503"/>
      <c r="X143" s="503"/>
      <c r="Y143" s="503"/>
      <c r="Z143" s="503"/>
      <c r="AA143" s="503"/>
      <c r="AB143" s="503"/>
      <c r="AC143" s="503"/>
      <c r="AD143" s="503"/>
      <c r="AE143" s="502"/>
      <c r="AF143" s="503"/>
      <c r="AG143" s="503"/>
      <c r="AH143" s="503"/>
      <c r="AI143" s="503"/>
      <c r="AJ143" s="503"/>
      <c r="AK143" s="503"/>
      <c r="AL143" s="502"/>
      <c r="AM143" s="503"/>
      <c r="AN143" s="503"/>
      <c r="AO143" s="502"/>
      <c r="AP143" s="503"/>
      <c r="AQ143" s="502"/>
      <c r="AR143" s="503"/>
      <c r="AT143" s="351"/>
      <c r="BA143" s="500"/>
      <c r="BC143" s="500"/>
      <c r="BE143" s="500"/>
      <c r="BG143" s="500"/>
      <c r="BI143" s="500"/>
      <c r="BK143" s="500"/>
      <c r="BO143" s="500"/>
      <c r="BR143" s="351"/>
      <c r="BT143" s="500"/>
      <c r="BW143" s="500"/>
      <c r="CA143" s="500"/>
      <c r="CC143" s="500"/>
      <c r="CG143" s="500"/>
      <c r="CJ143" s="351"/>
      <c r="CM143" s="500"/>
      <c r="CO143" s="500"/>
      <c r="CQ143" s="500"/>
      <c r="CS143" s="500"/>
      <c r="CU143" s="500"/>
      <c r="CW143" s="500"/>
      <c r="CZ143" s="351"/>
    </row>
    <row r="144" spans="2:104" s="278" customFormat="1" hidden="1" outlineLevel="2">
      <c r="B144" s="288" t="s">
        <v>1406</v>
      </c>
      <c r="C144" s="512" t="s">
        <v>1392</v>
      </c>
      <c r="D144" s="346"/>
      <c r="E144" s="420" t="s">
        <v>5</v>
      </c>
      <c r="F144" s="501" t="s">
        <v>1392</v>
      </c>
      <c r="G144" s="403"/>
      <c r="H144" s="503"/>
      <c r="I144" s="503"/>
      <c r="J144" s="503"/>
      <c r="K144" s="503"/>
      <c r="L144" s="503"/>
      <c r="M144" s="503"/>
      <c r="N144" s="503"/>
      <c r="O144" s="503"/>
      <c r="P144" s="502">
        <v>14242.176727517442</v>
      </c>
      <c r="Q144" s="503"/>
      <c r="R144" s="503"/>
      <c r="S144" s="503"/>
      <c r="T144" s="502">
        <v>494.53993165425948</v>
      </c>
      <c r="U144" s="503"/>
      <c r="V144" s="503"/>
      <c r="W144" s="503"/>
      <c r="X144" s="503"/>
      <c r="Y144" s="503"/>
      <c r="Z144" s="503"/>
      <c r="AA144" s="503"/>
      <c r="AB144" s="503"/>
      <c r="AC144" s="503"/>
      <c r="AD144" s="503"/>
      <c r="AE144" s="502">
        <v>12292.943514215896</v>
      </c>
      <c r="AF144" s="503"/>
      <c r="AG144" s="503"/>
      <c r="AH144" s="503"/>
      <c r="AI144" s="503"/>
      <c r="AJ144" s="503"/>
      <c r="AK144" s="503"/>
      <c r="AL144" s="502">
        <v>3337.0546493878978</v>
      </c>
      <c r="AM144" s="503"/>
      <c r="AN144" s="503"/>
      <c r="AO144" s="502">
        <v>4031.1787934517279</v>
      </c>
      <c r="AP144" s="503"/>
      <c r="AQ144" s="502">
        <v>286.551171487484</v>
      </c>
      <c r="AR144" s="503">
        <v>520.07295560524608</v>
      </c>
      <c r="AT144" s="351"/>
      <c r="BA144" s="500"/>
      <c r="BC144" s="500"/>
      <c r="BE144" s="500"/>
      <c r="BG144" s="500"/>
      <c r="BI144" s="500"/>
      <c r="BK144" s="500"/>
      <c r="BO144" s="500"/>
      <c r="BR144" s="351"/>
      <c r="BT144" s="500"/>
      <c r="BW144" s="500"/>
      <c r="CA144" s="500"/>
      <c r="CC144" s="500"/>
      <c r="CG144" s="500"/>
      <c r="CJ144" s="351"/>
      <c r="CM144" s="500"/>
      <c r="CO144" s="500"/>
      <c r="CQ144" s="500"/>
      <c r="CS144" s="500"/>
      <c r="CU144" s="500"/>
      <c r="CW144" s="500"/>
      <c r="CZ144" s="351"/>
    </row>
    <row r="145" spans="2:104" s="278" customFormat="1" hidden="1" outlineLevel="2">
      <c r="B145" s="288" t="s">
        <v>1406</v>
      </c>
      <c r="C145" s="512" t="s">
        <v>1393</v>
      </c>
      <c r="D145" s="346"/>
      <c r="E145" s="420" t="s">
        <v>5</v>
      </c>
      <c r="F145" s="504" t="s">
        <v>1393</v>
      </c>
      <c r="G145" s="403"/>
      <c r="H145" s="503"/>
      <c r="I145" s="503"/>
      <c r="J145" s="503"/>
      <c r="K145" s="503"/>
      <c r="L145" s="503"/>
      <c r="M145" s="503"/>
      <c r="N145" s="503"/>
      <c r="O145" s="503"/>
      <c r="P145" s="502">
        <v>61421.059801464544</v>
      </c>
      <c r="Q145" s="503"/>
      <c r="R145" s="503"/>
      <c r="S145" s="503"/>
      <c r="T145" s="502">
        <v>1628.2899038408368</v>
      </c>
      <c r="U145" s="503"/>
      <c r="V145" s="503"/>
      <c r="W145" s="503"/>
      <c r="X145" s="503"/>
      <c r="Y145" s="503"/>
      <c r="Z145" s="503"/>
      <c r="AA145" s="503"/>
      <c r="AB145" s="503"/>
      <c r="AC145" s="503"/>
      <c r="AD145" s="503"/>
      <c r="AE145" s="502">
        <v>55763.516159788429</v>
      </c>
      <c r="AF145" s="503"/>
      <c r="AG145" s="503"/>
      <c r="AH145" s="503"/>
      <c r="AI145" s="503"/>
      <c r="AJ145" s="503"/>
      <c r="AK145" s="503"/>
      <c r="AL145" s="502">
        <v>11997.858865357206</v>
      </c>
      <c r="AM145" s="503"/>
      <c r="AN145" s="503"/>
      <c r="AO145" s="502">
        <v>20135.056035687805</v>
      </c>
      <c r="AP145" s="503"/>
      <c r="AQ145" s="502">
        <v>1192.3134801829476</v>
      </c>
      <c r="AR145" s="503">
        <v>2150.826769469913</v>
      </c>
      <c r="AT145" s="351"/>
      <c r="BA145" s="500"/>
      <c r="BC145" s="500"/>
      <c r="BE145" s="500"/>
      <c r="BG145" s="500"/>
      <c r="BI145" s="500"/>
      <c r="BK145" s="500"/>
      <c r="BO145" s="500"/>
      <c r="BR145" s="351"/>
      <c r="BT145" s="500"/>
      <c r="BW145" s="500"/>
      <c r="CA145" s="500"/>
      <c r="CC145" s="500"/>
      <c r="CG145" s="500"/>
      <c r="CJ145" s="351"/>
      <c r="CM145" s="500"/>
      <c r="CO145" s="500"/>
      <c r="CQ145" s="500"/>
      <c r="CS145" s="500"/>
      <c r="CU145" s="500"/>
      <c r="CW145" s="500"/>
      <c r="CZ145" s="351"/>
    </row>
    <row r="146" spans="2:104" s="278" customFormat="1" hidden="1" outlineLevel="2">
      <c r="B146" s="288" t="s">
        <v>1406</v>
      </c>
      <c r="C146" s="512" t="s">
        <v>1394</v>
      </c>
      <c r="D146" s="346"/>
      <c r="E146" s="420" t="s">
        <v>5</v>
      </c>
      <c r="F146" s="501" t="s">
        <v>1394</v>
      </c>
      <c r="G146" s="403"/>
      <c r="H146" s="503"/>
      <c r="I146" s="503"/>
      <c r="J146" s="503"/>
      <c r="K146" s="503"/>
      <c r="L146" s="503"/>
      <c r="M146" s="503"/>
      <c r="N146" s="503"/>
      <c r="O146" s="503"/>
      <c r="P146" s="502">
        <v>582.07056886463408</v>
      </c>
      <c r="Q146" s="503"/>
      <c r="R146" s="503"/>
      <c r="S146" s="503"/>
      <c r="T146" s="502">
        <v>7.5599615384615376E-2</v>
      </c>
      <c r="U146" s="503"/>
      <c r="V146" s="503"/>
      <c r="W146" s="503"/>
      <c r="X146" s="503"/>
      <c r="Y146" s="503"/>
      <c r="Z146" s="503"/>
      <c r="AA146" s="503"/>
      <c r="AB146" s="503"/>
      <c r="AC146" s="503"/>
      <c r="AD146" s="503"/>
      <c r="AE146" s="502">
        <v>9.6767402579245765</v>
      </c>
      <c r="AF146" s="503"/>
      <c r="AG146" s="503"/>
      <c r="AH146" s="503"/>
      <c r="AI146" s="503"/>
      <c r="AJ146" s="503"/>
      <c r="AK146" s="503"/>
      <c r="AL146" s="502">
        <v>1.1766687976494945</v>
      </c>
      <c r="AM146" s="503"/>
      <c r="AN146" s="503"/>
      <c r="AO146" s="502">
        <v>4.8512166216216217</v>
      </c>
      <c r="AP146" s="503"/>
      <c r="AQ146" s="502">
        <v>4.2949090909090909E-2</v>
      </c>
      <c r="AR146" s="503">
        <v>4.1212139400910432</v>
      </c>
      <c r="AT146" s="351"/>
      <c r="BA146" s="500"/>
      <c r="BC146" s="500"/>
      <c r="BE146" s="500"/>
      <c r="BG146" s="500"/>
      <c r="BI146" s="500"/>
      <c r="BK146" s="500"/>
      <c r="BO146" s="500"/>
      <c r="BR146" s="351"/>
      <c r="BT146" s="500"/>
      <c r="BW146" s="500"/>
      <c r="CA146" s="500"/>
      <c r="CC146" s="500"/>
      <c r="CG146" s="500"/>
      <c r="CJ146" s="351"/>
      <c r="CM146" s="500"/>
      <c r="CO146" s="500"/>
      <c r="CQ146" s="500"/>
      <c r="CS146" s="500"/>
      <c r="CU146" s="500"/>
      <c r="CW146" s="500"/>
      <c r="CZ146" s="351"/>
    </row>
    <row r="147" spans="2:104" s="278" customFormat="1" hidden="1" outlineLevel="2">
      <c r="B147" s="288" t="s">
        <v>1406</v>
      </c>
      <c r="C147" s="512" t="s">
        <v>1395</v>
      </c>
      <c r="D147" s="346"/>
      <c r="E147" s="420" t="s">
        <v>5</v>
      </c>
      <c r="F147" s="504" t="s">
        <v>1395</v>
      </c>
      <c r="G147" s="403"/>
      <c r="H147" s="503"/>
      <c r="I147" s="503"/>
      <c r="J147" s="503"/>
      <c r="K147" s="503"/>
      <c r="L147" s="503"/>
      <c r="M147" s="503"/>
      <c r="N147" s="503"/>
      <c r="O147" s="503"/>
      <c r="P147" s="502">
        <v>8.6099861447704082</v>
      </c>
      <c r="Q147" s="503"/>
      <c r="R147" s="503"/>
      <c r="S147" s="503"/>
      <c r="T147" s="502">
        <v>0</v>
      </c>
      <c r="U147" s="503"/>
      <c r="V147" s="503"/>
      <c r="W147" s="503"/>
      <c r="X147" s="503"/>
      <c r="Y147" s="503"/>
      <c r="Z147" s="503"/>
      <c r="AA147" s="503"/>
      <c r="AB147" s="503"/>
      <c r="AC147" s="503"/>
      <c r="AD147" s="503"/>
      <c r="AE147" s="502">
        <v>6.5045724987498774</v>
      </c>
      <c r="AF147" s="503"/>
      <c r="AG147" s="503"/>
      <c r="AH147" s="503"/>
      <c r="AI147" s="503"/>
      <c r="AJ147" s="503"/>
      <c r="AK147" s="503"/>
      <c r="AL147" s="502">
        <v>0</v>
      </c>
      <c r="AM147" s="503"/>
      <c r="AN147" s="503"/>
      <c r="AO147" s="502">
        <v>0</v>
      </c>
      <c r="AP147" s="503"/>
      <c r="AQ147" s="502">
        <v>0</v>
      </c>
      <c r="AR147" s="503">
        <v>9.8694402909637685E-2</v>
      </c>
      <c r="AT147" s="351"/>
      <c r="BA147" s="500"/>
      <c r="BC147" s="500"/>
      <c r="BE147" s="500"/>
      <c r="BG147" s="500"/>
      <c r="BI147" s="500"/>
      <c r="BK147" s="500"/>
      <c r="BO147" s="500"/>
      <c r="BR147" s="351"/>
      <c r="BT147" s="500"/>
      <c r="BW147" s="500"/>
      <c r="CA147" s="500"/>
      <c r="CC147" s="500"/>
      <c r="CG147" s="500"/>
      <c r="CJ147" s="351"/>
      <c r="CM147" s="500"/>
      <c r="CO147" s="500"/>
      <c r="CQ147" s="500"/>
      <c r="CS147" s="500"/>
      <c r="CU147" s="500"/>
      <c r="CW147" s="500"/>
      <c r="CZ147" s="351"/>
    </row>
    <row r="148" spans="2:104" s="278" customFormat="1" hidden="1" outlineLevel="2">
      <c r="B148" s="288" t="s">
        <v>1406</v>
      </c>
      <c r="C148" s="512" t="s">
        <v>1396</v>
      </c>
      <c r="D148" s="346"/>
      <c r="E148" s="420" t="s">
        <v>5</v>
      </c>
      <c r="F148" s="501" t="s">
        <v>1396</v>
      </c>
      <c r="G148" s="403"/>
      <c r="H148" s="503"/>
      <c r="I148" s="503"/>
      <c r="J148" s="503"/>
      <c r="K148" s="503"/>
      <c r="L148" s="503"/>
      <c r="M148" s="503"/>
      <c r="N148" s="503"/>
      <c r="O148" s="503"/>
      <c r="P148" s="502">
        <v>0</v>
      </c>
      <c r="Q148" s="503"/>
      <c r="R148" s="503"/>
      <c r="S148" s="503"/>
      <c r="T148" s="502">
        <v>0</v>
      </c>
      <c r="U148" s="503"/>
      <c r="V148" s="503"/>
      <c r="W148" s="503"/>
      <c r="X148" s="503"/>
      <c r="Y148" s="503"/>
      <c r="Z148" s="503"/>
      <c r="AA148" s="503"/>
      <c r="AB148" s="503"/>
      <c r="AC148" s="503"/>
      <c r="AD148" s="503"/>
      <c r="AE148" s="502">
        <v>0</v>
      </c>
      <c r="AF148" s="503"/>
      <c r="AG148" s="503"/>
      <c r="AH148" s="503"/>
      <c r="AI148" s="503"/>
      <c r="AJ148" s="503"/>
      <c r="AK148" s="503"/>
      <c r="AL148" s="502">
        <v>0</v>
      </c>
      <c r="AM148" s="503"/>
      <c r="AN148" s="503"/>
      <c r="AO148" s="502">
        <v>0</v>
      </c>
      <c r="AP148" s="503"/>
      <c r="AQ148" s="502">
        <v>0</v>
      </c>
      <c r="AR148" s="503">
        <v>0</v>
      </c>
      <c r="AT148" s="351"/>
      <c r="BA148" s="500"/>
      <c r="BC148" s="500"/>
      <c r="BE148" s="500"/>
      <c r="BG148" s="500"/>
      <c r="BI148" s="500"/>
      <c r="BK148" s="500"/>
      <c r="BO148" s="500"/>
      <c r="BR148" s="351"/>
      <c r="BT148" s="500"/>
      <c r="BW148" s="500"/>
      <c r="CA148" s="500"/>
      <c r="CC148" s="500"/>
      <c r="CG148" s="500"/>
      <c r="CJ148" s="351"/>
      <c r="CM148" s="500"/>
      <c r="CO148" s="500"/>
      <c r="CQ148" s="500"/>
      <c r="CS148" s="500"/>
      <c r="CU148" s="500"/>
      <c r="CW148" s="500"/>
      <c r="CZ148" s="351"/>
    </row>
    <row r="149" spans="2:104" s="278" customFormat="1" hidden="1" outlineLevel="2">
      <c r="B149" s="288" t="s">
        <v>1406</v>
      </c>
      <c r="C149" s="513" t="s">
        <v>1397</v>
      </c>
      <c r="D149" s="514"/>
      <c r="E149" s="420" t="s">
        <v>5</v>
      </c>
      <c r="F149" s="504" t="s">
        <v>1397</v>
      </c>
      <c r="G149" s="403"/>
      <c r="H149" s="503"/>
      <c r="I149" s="503"/>
      <c r="J149" s="503"/>
      <c r="K149" s="503"/>
      <c r="L149" s="503"/>
      <c r="M149" s="503"/>
      <c r="N149" s="503"/>
      <c r="O149" s="503"/>
      <c r="P149" s="502">
        <v>13192.984565810459</v>
      </c>
      <c r="Q149" s="503"/>
      <c r="R149" s="503"/>
      <c r="S149" s="503"/>
      <c r="T149" s="502">
        <v>295.10876307692308</v>
      </c>
      <c r="U149" s="503"/>
      <c r="V149" s="503"/>
      <c r="W149" s="503"/>
      <c r="X149" s="503"/>
      <c r="Y149" s="503"/>
      <c r="Z149" s="503"/>
      <c r="AA149" s="503"/>
      <c r="AB149" s="503"/>
      <c r="AC149" s="503"/>
      <c r="AD149" s="503"/>
      <c r="AE149" s="502">
        <v>9827.5540746885017</v>
      </c>
      <c r="AF149" s="503"/>
      <c r="AG149" s="503"/>
      <c r="AH149" s="503"/>
      <c r="AI149" s="503"/>
      <c r="AJ149" s="503"/>
      <c r="AK149" s="503"/>
      <c r="AL149" s="502">
        <v>3787.8159500663742</v>
      </c>
      <c r="AM149" s="503"/>
      <c r="AN149" s="503"/>
      <c r="AO149" s="502">
        <v>4590.9539721621622</v>
      </c>
      <c r="AP149" s="503"/>
      <c r="AQ149" s="502">
        <v>483.3243290909092</v>
      </c>
      <c r="AR149" s="503">
        <v>553.0370497044031</v>
      </c>
      <c r="AT149" s="351"/>
      <c r="BA149" s="500"/>
      <c r="BC149" s="500"/>
      <c r="BE149" s="500"/>
      <c r="BG149" s="500"/>
      <c r="BI149" s="500"/>
      <c r="BK149" s="500"/>
      <c r="BO149" s="500"/>
      <c r="BR149" s="351"/>
      <c r="BT149" s="500"/>
      <c r="BW149" s="500"/>
      <c r="CA149" s="500"/>
      <c r="CC149" s="500"/>
      <c r="CG149" s="500"/>
      <c r="CJ149" s="351"/>
      <c r="CM149" s="500"/>
      <c r="CO149" s="500"/>
      <c r="CQ149" s="500"/>
      <c r="CS149" s="500"/>
      <c r="CU149" s="500"/>
      <c r="CW149" s="500"/>
      <c r="CZ149" s="351"/>
    </row>
    <row r="150" spans="2:104" s="278" customFormat="1" hidden="1" outlineLevel="2">
      <c r="B150" s="288" t="s">
        <v>1406</v>
      </c>
      <c r="C150" s="513" t="s">
        <v>1398</v>
      </c>
      <c r="D150" s="514"/>
      <c r="E150" s="420" t="s">
        <v>5</v>
      </c>
      <c r="F150" s="501" t="s">
        <v>1398</v>
      </c>
      <c r="G150" s="403"/>
      <c r="H150" s="503"/>
      <c r="I150" s="503"/>
      <c r="J150" s="503"/>
      <c r="K150" s="503"/>
      <c r="L150" s="503"/>
      <c r="M150" s="503"/>
      <c r="N150" s="503"/>
      <c r="O150" s="503"/>
      <c r="P150" s="502">
        <v>11677.996947123487</v>
      </c>
      <c r="Q150" s="503"/>
      <c r="R150" s="503"/>
      <c r="S150" s="503"/>
      <c r="T150" s="502">
        <v>237.82231076923077</v>
      </c>
      <c r="U150" s="503"/>
      <c r="V150" s="503"/>
      <c r="W150" s="503"/>
      <c r="X150" s="503"/>
      <c r="Y150" s="503"/>
      <c r="Z150" s="503"/>
      <c r="AA150" s="503"/>
      <c r="AB150" s="503"/>
      <c r="AC150" s="503"/>
      <c r="AD150" s="503"/>
      <c r="AE150" s="502">
        <v>12579.725907073929</v>
      </c>
      <c r="AF150" s="503"/>
      <c r="AG150" s="503"/>
      <c r="AH150" s="503"/>
      <c r="AI150" s="503"/>
      <c r="AJ150" s="503"/>
      <c r="AK150" s="503"/>
      <c r="AL150" s="502">
        <v>3161.2970538668851</v>
      </c>
      <c r="AM150" s="503"/>
      <c r="AN150" s="503"/>
      <c r="AO150" s="502">
        <v>2610.5184001351354</v>
      </c>
      <c r="AP150" s="503"/>
      <c r="AQ150" s="502">
        <v>207.54019963636364</v>
      </c>
      <c r="AR150" s="503">
        <v>402.93780598995028</v>
      </c>
      <c r="AT150" s="351"/>
      <c r="BA150" s="500"/>
      <c r="BC150" s="500"/>
      <c r="BE150" s="500"/>
      <c r="BG150" s="500"/>
      <c r="BI150" s="500"/>
      <c r="BK150" s="500"/>
      <c r="BO150" s="500"/>
      <c r="BR150" s="351"/>
      <c r="BT150" s="500"/>
      <c r="BW150" s="500"/>
      <c r="CA150" s="500"/>
      <c r="CC150" s="500"/>
      <c r="CG150" s="500"/>
      <c r="CJ150" s="351"/>
      <c r="CM150" s="500"/>
      <c r="CO150" s="500"/>
      <c r="CQ150" s="500"/>
      <c r="CS150" s="500"/>
      <c r="CU150" s="500"/>
      <c r="CW150" s="500"/>
      <c r="CZ150" s="351"/>
    </row>
    <row r="151" spans="2:104" s="278" customFormat="1" hidden="1" outlineLevel="2">
      <c r="B151" s="288" t="s">
        <v>1406</v>
      </c>
      <c r="C151" s="512" t="s">
        <v>1399</v>
      </c>
      <c r="D151" s="346"/>
      <c r="E151" s="420" t="s">
        <v>5</v>
      </c>
      <c r="F151" s="504" t="s">
        <v>1399</v>
      </c>
      <c r="G151" s="403"/>
      <c r="H151" s="503"/>
      <c r="I151" s="503"/>
      <c r="J151" s="503"/>
      <c r="K151" s="503"/>
      <c r="L151" s="503"/>
      <c r="M151" s="503"/>
      <c r="N151" s="503"/>
      <c r="O151" s="503"/>
      <c r="P151" s="502">
        <v>0.21691098323815564</v>
      </c>
      <c r="Q151" s="503"/>
      <c r="R151" s="503"/>
      <c r="S151" s="503"/>
      <c r="T151" s="502">
        <v>0</v>
      </c>
      <c r="U151" s="503"/>
      <c r="V151" s="503"/>
      <c r="W151" s="503"/>
      <c r="X151" s="503"/>
      <c r="Y151" s="503"/>
      <c r="Z151" s="503"/>
      <c r="AA151" s="503"/>
      <c r="AB151" s="503"/>
      <c r="AC151" s="503"/>
      <c r="AD151" s="503"/>
      <c r="AE151" s="502">
        <v>0</v>
      </c>
      <c r="AF151" s="503"/>
      <c r="AG151" s="503"/>
      <c r="AH151" s="503"/>
      <c r="AI151" s="503"/>
      <c r="AJ151" s="503"/>
      <c r="AK151" s="503"/>
      <c r="AL151" s="502">
        <v>1.7468228571428575</v>
      </c>
      <c r="AM151" s="503"/>
      <c r="AN151" s="503"/>
      <c r="AO151" s="502">
        <v>0</v>
      </c>
      <c r="AP151" s="503"/>
      <c r="AQ151" s="502">
        <v>0</v>
      </c>
      <c r="AR151" s="503">
        <v>4.8667206982422911E-2</v>
      </c>
      <c r="AT151" s="351"/>
      <c r="BA151" s="500"/>
      <c r="BC151" s="500"/>
      <c r="BE151" s="500"/>
      <c r="BG151" s="500"/>
      <c r="BI151" s="500"/>
      <c r="BK151" s="500"/>
      <c r="BO151" s="500"/>
      <c r="BR151" s="351"/>
      <c r="BT151" s="500"/>
      <c r="BW151" s="500"/>
      <c r="CA151" s="500"/>
      <c r="CC151" s="500"/>
      <c r="CG151" s="500"/>
      <c r="CJ151" s="351"/>
      <c r="CM151" s="500"/>
      <c r="CO151" s="500"/>
      <c r="CQ151" s="500"/>
      <c r="CS151" s="500"/>
      <c r="CU151" s="500"/>
      <c r="CW151" s="500"/>
      <c r="CZ151" s="351"/>
    </row>
    <row r="152" spans="2:104" s="278" customFormat="1" hidden="1" outlineLevel="2">
      <c r="B152" s="288" t="s">
        <v>1406</v>
      </c>
      <c r="C152" s="512" t="s">
        <v>1400</v>
      </c>
      <c r="D152" s="346"/>
      <c r="E152" s="420" t="s">
        <v>5</v>
      </c>
      <c r="F152" s="501" t="s">
        <v>1400</v>
      </c>
      <c r="G152" s="403"/>
      <c r="H152" s="515"/>
      <c r="I152" s="515"/>
      <c r="J152" s="515"/>
      <c r="K152" s="515"/>
      <c r="L152" s="515"/>
      <c r="M152" s="515"/>
      <c r="N152" s="515"/>
      <c r="O152" s="515"/>
      <c r="P152" s="516">
        <v>5416.0160171311409</v>
      </c>
      <c r="Q152" s="515"/>
      <c r="R152" s="515"/>
      <c r="S152" s="515"/>
      <c r="T152" s="516">
        <v>538.86433544454246</v>
      </c>
      <c r="U152" s="515"/>
      <c r="V152" s="515"/>
      <c r="W152" s="515"/>
      <c r="X152" s="515"/>
      <c r="Y152" s="515"/>
      <c r="Z152" s="515"/>
      <c r="AA152" s="515"/>
      <c r="AB152" s="515"/>
      <c r="AC152" s="515"/>
      <c r="AD152" s="515"/>
      <c r="AE152" s="516">
        <v>5712.5997224246339</v>
      </c>
      <c r="AF152" s="515"/>
      <c r="AG152" s="515"/>
      <c r="AH152" s="515"/>
      <c r="AI152" s="515"/>
      <c r="AJ152" s="515"/>
      <c r="AK152" s="515"/>
      <c r="AL152" s="516">
        <v>1650.5934880501259</v>
      </c>
      <c r="AM152" s="515"/>
      <c r="AN152" s="515"/>
      <c r="AO152" s="516">
        <v>2105.8396645229982</v>
      </c>
      <c r="AP152" s="515"/>
      <c r="AQ152" s="516">
        <v>152.70524358894042</v>
      </c>
      <c r="AR152" s="515">
        <v>298.89147999056303</v>
      </c>
      <c r="AT152" s="351"/>
      <c r="BA152" s="500"/>
      <c r="BC152" s="500"/>
      <c r="BE152" s="500"/>
      <c r="BG152" s="500"/>
      <c r="BI152" s="500"/>
      <c r="BK152" s="500"/>
      <c r="BO152" s="500"/>
      <c r="BR152" s="351"/>
      <c r="BT152" s="500"/>
      <c r="BW152" s="500"/>
      <c r="CA152" s="500"/>
      <c r="CC152" s="500"/>
      <c r="CG152" s="500"/>
      <c r="CJ152" s="351"/>
      <c r="CM152" s="500"/>
      <c r="CO152" s="500"/>
      <c r="CQ152" s="500"/>
      <c r="CS152" s="500"/>
      <c r="CU152" s="500"/>
      <c r="CW152" s="500"/>
      <c r="CZ152" s="351"/>
    </row>
    <row r="153" spans="2:104" s="278" customFormat="1" hidden="1" outlineLevel="2">
      <c r="B153" s="288" t="s">
        <v>1406</v>
      </c>
      <c r="C153" s="512" t="s">
        <v>1401</v>
      </c>
      <c r="D153" s="346"/>
      <c r="E153" s="420" t="s">
        <v>5</v>
      </c>
      <c r="F153" s="504" t="s">
        <v>1401</v>
      </c>
      <c r="G153" s="403"/>
      <c r="H153" s="503"/>
      <c r="I153" s="503"/>
      <c r="J153" s="503"/>
      <c r="K153" s="503"/>
      <c r="L153" s="503"/>
      <c r="M153" s="503"/>
      <c r="N153" s="503"/>
      <c r="O153" s="503"/>
      <c r="P153" s="502">
        <v>3086.822800132632</v>
      </c>
      <c r="Q153" s="503"/>
      <c r="R153" s="503"/>
      <c r="S153" s="503"/>
      <c r="T153" s="502">
        <v>25.551948373077622</v>
      </c>
      <c r="U153" s="503"/>
      <c r="V153" s="503"/>
      <c r="W153" s="503"/>
      <c r="X153" s="503"/>
      <c r="Y153" s="503"/>
      <c r="Z153" s="503"/>
      <c r="AA153" s="503"/>
      <c r="AB153" s="503"/>
      <c r="AC153" s="503"/>
      <c r="AD153" s="503"/>
      <c r="AE153" s="502">
        <v>973.00162745109878</v>
      </c>
      <c r="AF153" s="503"/>
      <c r="AG153" s="503"/>
      <c r="AH153" s="503"/>
      <c r="AI153" s="503"/>
      <c r="AJ153" s="503"/>
      <c r="AK153" s="503"/>
      <c r="AL153" s="502">
        <v>492.37821091551137</v>
      </c>
      <c r="AM153" s="503"/>
      <c r="AN153" s="503"/>
      <c r="AO153" s="502">
        <v>390.06772987649987</v>
      </c>
      <c r="AP153" s="503"/>
      <c r="AQ153" s="502">
        <v>15.140817955398246</v>
      </c>
      <c r="AR153" s="503">
        <v>57.097942090303668</v>
      </c>
      <c r="AT153" s="351"/>
      <c r="BA153" s="500"/>
      <c r="BC153" s="500"/>
      <c r="BE153" s="500"/>
      <c r="BG153" s="500"/>
      <c r="BI153" s="500"/>
      <c r="BK153" s="500"/>
      <c r="BO153" s="500"/>
      <c r="BR153" s="351"/>
      <c r="BT153" s="500"/>
      <c r="BW153" s="500"/>
      <c r="CA153" s="500"/>
      <c r="CC153" s="500"/>
      <c r="CG153" s="500"/>
      <c r="CJ153" s="351"/>
      <c r="CM153" s="500"/>
      <c r="CO153" s="500"/>
      <c r="CQ153" s="500"/>
      <c r="CS153" s="500"/>
      <c r="CU153" s="500"/>
      <c r="CW153" s="500"/>
      <c r="CZ153" s="351"/>
    </row>
    <row r="154" spans="2:104" s="278" customFormat="1" hidden="1" outlineLevel="2">
      <c r="B154" s="288" t="s">
        <v>1406</v>
      </c>
      <c r="C154" s="512" t="s">
        <v>1402</v>
      </c>
      <c r="D154" s="346"/>
      <c r="E154" s="420" t="s">
        <v>5</v>
      </c>
      <c r="F154" s="501" t="s">
        <v>1402</v>
      </c>
      <c r="G154" s="403"/>
      <c r="H154" s="503"/>
      <c r="I154" s="503"/>
      <c r="J154" s="503"/>
      <c r="K154" s="503"/>
      <c r="L154" s="503"/>
      <c r="M154" s="503"/>
      <c r="N154" s="503"/>
      <c r="O154" s="503"/>
      <c r="P154" s="502">
        <v>9695.334392015804</v>
      </c>
      <c r="Q154" s="503"/>
      <c r="R154" s="503"/>
      <c r="S154" s="503"/>
      <c r="T154" s="502">
        <v>0.36807461538461522</v>
      </c>
      <c r="U154" s="503"/>
      <c r="V154" s="503"/>
      <c r="W154" s="503"/>
      <c r="X154" s="503"/>
      <c r="Y154" s="503"/>
      <c r="Z154" s="503"/>
      <c r="AA154" s="503"/>
      <c r="AB154" s="503"/>
      <c r="AC154" s="503"/>
      <c r="AD154" s="503"/>
      <c r="AE154" s="502">
        <v>2.5306788284876736</v>
      </c>
      <c r="AF154" s="503"/>
      <c r="AG154" s="503"/>
      <c r="AH154" s="503"/>
      <c r="AI154" s="503"/>
      <c r="AJ154" s="503"/>
      <c r="AK154" s="503"/>
      <c r="AL154" s="502">
        <v>0</v>
      </c>
      <c r="AM154" s="503"/>
      <c r="AN154" s="503"/>
      <c r="AO154" s="502">
        <v>0</v>
      </c>
      <c r="AP154" s="503"/>
      <c r="AQ154" s="502">
        <v>4.2556363636363628E-2</v>
      </c>
      <c r="AR154" s="503">
        <v>65.160805778499864</v>
      </c>
      <c r="AT154" s="351"/>
      <c r="BA154" s="500"/>
      <c r="BC154" s="500"/>
      <c r="BE154" s="500"/>
      <c r="BG154" s="500"/>
      <c r="BI154" s="500"/>
      <c r="BK154" s="500"/>
      <c r="BO154" s="500"/>
      <c r="BR154" s="351"/>
      <c r="BT154" s="500"/>
      <c r="BW154" s="500"/>
      <c r="CA154" s="500"/>
      <c r="CC154" s="500"/>
      <c r="CG154" s="500"/>
      <c r="CJ154" s="351"/>
      <c r="CM154" s="500"/>
      <c r="CO154" s="500"/>
      <c r="CQ154" s="500"/>
      <c r="CS154" s="500"/>
      <c r="CU154" s="500"/>
      <c r="CW154" s="500"/>
      <c r="CZ154" s="351"/>
    </row>
    <row r="155" spans="2:104" s="278" customFormat="1" hidden="1" outlineLevel="2">
      <c r="B155" s="288" t="s">
        <v>1406</v>
      </c>
      <c r="C155" s="512" t="s">
        <v>1403</v>
      </c>
      <c r="D155" s="346"/>
      <c r="E155" s="420" t="s">
        <v>5</v>
      </c>
      <c r="F155" s="504" t="s">
        <v>1403</v>
      </c>
      <c r="G155" s="403"/>
      <c r="H155" s="503"/>
      <c r="I155" s="503"/>
      <c r="J155" s="503"/>
      <c r="K155" s="503"/>
      <c r="L155" s="503"/>
      <c r="M155" s="503"/>
      <c r="N155" s="503"/>
      <c r="O155" s="503"/>
      <c r="P155" s="502">
        <v>6520.1518772276549</v>
      </c>
      <c r="Q155" s="503"/>
      <c r="R155" s="503"/>
      <c r="S155" s="503"/>
      <c r="T155" s="502">
        <v>51.746229999999997</v>
      </c>
      <c r="U155" s="503"/>
      <c r="V155" s="503"/>
      <c r="W155" s="503"/>
      <c r="X155" s="503"/>
      <c r="Y155" s="503"/>
      <c r="Z155" s="503"/>
      <c r="AA155" s="503"/>
      <c r="AB155" s="503"/>
      <c r="AC155" s="503"/>
      <c r="AD155" s="503"/>
      <c r="AE155" s="502">
        <v>1958.6866778705735</v>
      </c>
      <c r="AF155" s="503"/>
      <c r="AG155" s="503"/>
      <c r="AH155" s="503"/>
      <c r="AI155" s="503"/>
      <c r="AJ155" s="503"/>
      <c r="AK155" s="503"/>
      <c r="AL155" s="502">
        <v>468.51883127359633</v>
      </c>
      <c r="AM155" s="503"/>
      <c r="AN155" s="503"/>
      <c r="AO155" s="502">
        <v>840.7103822972972</v>
      </c>
      <c r="AP155" s="503"/>
      <c r="AQ155" s="502">
        <v>50.079530090909088</v>
      </c>
      <c r="AR155" s="503">
        <v>110.54292948863443</v>
      </c>
      <c r="AT155" s="351"/>
      <c r="BA155" s="500"/>
      <c r="BC155" s="500"/>
      <c r="BE155" s="500"/>
      <c r="BG155" s="500"/>
      <c r="BI155" s="500"/>
      <c r="BK155" s="500"/>
      <c r="BO155" s="500"/>
      <c r="BR155" s="351"/>
      <c r="BT155" s="500"/>
      <c r="BW155" s="500"/>
      <c r="CA155" s="500"/>
      <c r="CC155" s="500"/>
      <c r="CG155" s="500"/>
      <c r="CJ155" s="351"/>
      <c r="CM155" s="500"/>
      <c r="CO155" s="500"/>
      <c r="CQ155" s="500"/>
      <c r="CS155" s="500"/>
      <c r="CU155" s="500"/>
      <c r="CW155" s="500"/>
      <c r="CZ155" s="351"/>
    </row>
    <row r="156" spans="2:104" s="278" customFormat="1" hidden="1" outlineLevel="2">
      <c r="B156" s="288" t="s">
        <v>1406</v>
      </c>
      <c r="C156" s="512" t="s">
        <v>1404</v>
      </c>
      <c r="D156" s="346"/>
      <c r="E156" s="420" t="s">
        <v>5</v>
      </c>
      <c r="F156" s="501" t="s">
        <v>1386</v>
      </c>
      <c r="G156" s="403"/>
      <c r="H156" s="503"/>
      <c r="I156" s="503"/>
      <c r="J156" s="503"/>
      <c r="K156" s="503"/>
      <c r="L156" s="503"/>
      <c r="M156" s="503"/>
      <c r="N156" s="503"/>
      <c r="O156" s="503"/>
      <c r="P156" s="502">
        <v>12562.698248489767</v>
      </c>
      <c r="Q156" s="503"/>
      <c r="R156" s="503"/>
      <c r="S156" s="503"/>
      <c r="T156" s="502">
        <v>512.16289884615389</v>
      </c>
      <c r="U156" s="503"/>
      <c r="V156" s="503"/>
      <c r="W156" s="503"/>
      <c r="X156" s="503"/>
      <c r="Y156" s="503"/>
      <c r="Z156" s="503"/>
      <c r="AA156" s="503"/>
      <c r="AB156" s="503"/>
      <c r="AC156" s="503"/>
      <c r="AD156" s="503"/>
      <c r="AE156" s="502">
        <v>7453.3388530447901</v>
      </c>
      <c r="AF156" s="503"/>
      <c r="AG156" s="503"/>
      <c r="AH156" s="503"/>
      <c r="AI156" s="503"/>
      <c r="AJ156" s="503"/>
      <c r="AK156" s="503"/>
      <c r="AL156" s="502">
        <v>2098.1846798338206</v>
      </c>
      <c r="AM156" s="503"/>
      <c r="AN156" s="503"/>
      <c r="AO156" s="502">
        <v>3183.4025377027024</v>
      </c>
      <c r="AP156" s="503"/>
      <c r="AQ156" s="502">
        <v>151.17626318181817</v>
      </c>
      <c r="AR156" s="503">
        <v>386.06967857126767</v>
      </c>
      <c r="AT156" s="351"/>
      <c r="BA156" s="500"/>
      <c r="BC156" s="500"/>
      <c r="BE156" s="500"/>
      <c r="BG156" s="500"/>
      <c r="BI156" s="500"/>
      <c r="BK156" s="500"/>
      <c r="BO156" s="500"/>
      <c r="BR156" s="351"/>
      <c r="BT156" s="500"/>
      <c r="BW156" s="500"/>
      <c r="CA156" s="500"/>
      <c r="CC156" s="500"/>
      <c r="CG156" s="500"/>
      <c r="CJ156" s="351"/>
      <c r="CM156" s="500"/>
      <c r="CO156" s="500"/>
      <c r="CQ156" s="500"/>
      <c r="CS156" s="500"/>
      <c r="CU156" s="500"/>
      <c r="CW156" s="500"/>
      <c r="CZ156" s="351"/>
    </row>
    <row r="157" spans="2:104" s="278" customFormat="1" ht="15" hidden="1" outlineLevel="1" collapsed="1">
      <c r="C157" s="505"/>
      <c r="D157" s="346"/>
      <c r="E157" s="506"/>
      <c r="F157" s="517" t="s">
        <v>1409</v>
      </c>
      <c r="G157" s="403"/>
      <c r="H157" s="518"/>
      <c r="I157" s="518"/>
      <c r="J157" s="518"/>
      <c r="K157" s="518"/>
      <c r="L157" s="518"/>
      <c r="M157" s="518"/>
      <c r="N157" s="518"/>
      <c r="O157" s="518"/>
      <c r="P157" s="519">
        <v>138406.13884290558</v>
      </c>
      <c r="Q157" s="518"/>
      <c r="R157" s="518"/>
      <c r="S157" s="518"/>
      <c r="T157" s="519">
        <v>3784.5299962357935</v>
      </c>
      <c r="U157" s="518"/>
      <c r="V157" s="518"/>
      <c r="W157" s="518"/>
      <c r="X157" s="518"/>
      <c r="Y157" s="518"/>
      <c r="Z157" s="518"/>
      <c r="AA157" s="518"/>
      <c r="AB157" s="518"/>
      <c r="AC157" s="518"/>
      <c r="AD157" s="518"/>
      <c r="AE157" s="519">
        <v>106580.078528143</v>
      </c>
      <c r="AF157" s="518"/>
      <c r="AG157" s="518"/>
      <c r="AH157" s="518"/>
      <c r="AI157" s="518"/>
      <c r="AJ157" s="518"/>
      <c r="AK157" s="518"/>
      <c r="AL157" s="519">
        <v>26996.625220406204</v>
      </c>
      <c r="AM157" s="518"/>
      <c r="AN157" s="518"/>
      <c r="AO157" s="519">
        <v>37892.578732457943</v>
      </c>
      <c r="AP157" s="518"/>
      <c r="AQ157" s="519">
        <v>2538.916540669316</v>
      </c>
      <c r="AR157" s="518">
        <v>4548.9059922387642</v>
      </c>
      <c r="AT157" s="351"/>
      <c r="BA157" s="500"/>
      <c r="BC157" s="500"/>
      <c r="BE157" s="500"/>
      <c r="BG157" s="500"/>
      <c r="BI157" s="500"/>
      <c r="BK157" s="500"/>
      <c r="BO157" s="500"/>
      <c r="BR157" s="351"/>
      <c r="BT157" s="500"/>
      <c r="BW157" s="500"/>
      <c r="CA157" s="500"/>
      <c r="CC157" s="500"/>
      <c r="CG157" s="500"/>
      <c r="CJ157" s="351"/>
      <c r="CM157" s="500"/>
      <c r="CO157" s="500"/>
      <c r="CQ157" s="500"/>
      <c r="CS157" s="500"/>
      <c r="CU157" s="500"/>
      <c r="CW157" s="500"/>
      <c r="CZ157" s="351"/>
    </row>
    <row r="158" spans="2:104" s="278" customFormat="1" hidden="1" outlineLevel="1">
      <c r="C158" s="288"/>
      <c r="D158" s="346"/>
      <c r="E158" s="289"/>
      <c r="F158" s="372"/>
      <c r="G158" s="403"/>
      <c r="H158" s="503"/>
      <c r="I158" s="503"/>
      <c r="J158" s="503"/>
      <c r="K158" s="503"/>
      <c r="L158" s="503"/>
      <c r="M158" s="503"/>
      <c r="N158" s="503"/>
      <c r="O158" s="503"/>
      <c r="P158" s="502"/>
      <c r="Q158" s="503"/>
      <c r="R158" s="503"/>
      <c r="S158" s="503"/>
      <c r="T158" s="502"/>
      <c r="U158" s="503"/>
      <c r="V158" s="503"/>
      <c r="W158" s="503"/>
      <c r="X158" s="503"/>
      <c r="Y158" s="503"/>
      <c r="Z158" s="503"/>
      <c r="AA158" s="503"/>
      <c r="AB158" s="503"/>
      <c r="AC158" s="503"/>
      <c r="AD158" s="503"/>
      <c r="AE158" s="502"/>
      <c r="AF158" s="503"/>
      <c r="AG158" s="503"/>
      <c r="AH158" s="503"/>
      <c r="AI158" s="503"/>
      <c r="AJ158" s="503"/>
      <c r="AK158" s="503"/>
      <c r="AL158" s="502"/>
      <c r="AM158" s="503"/>
      <c r="AN158" s="503"/>
      <c r="AO158" s="502"/>
      <c r="AP158" s="503"/>
      <c r="AQ158" s="502"/>
      <c r="AR158" s="503"/>
      <c r="AT158" s="351"/>
      <c r="BA158" s="500"/>
      <c r="BC158" s="500"/>
      <c r="BE158" s="500"/>
      <c r="BG158" s="500"/>
      <c r="BI158" s="500"/>
      <c r="BK158" s="500"/>
      <c r="BO158" s="500"/>
      <c r="BR158" s="351"/>
      <c r="BT158" s="500"/>
      <c r="BW158" s="500"/>
      <c r="CA158" s="500"/>
      <c r="CC158" s="500"/>
      <c r="CG158" s="500"/>
      <c r="CJ158" s="351"/>
      <c r="CM158" s="500"/>
      <c r="CO158" s="500"/>
      <c r="CQ158" s="500"/>
      <c r="CS158" s="500"/>
      <c r="CU158" s="500"/>
      <c r="CW158" s="500"/>
      <c r="CZ158" s="351"/>
    </row>
    <row r="159" spans="2:104" s="278" customFormat="1" hidden="1" outlineLevel="1">
      <c r="C159" s="288"/>
      <c r="D159" s="346"/>
      <c r="E159" s="289"/>
      <c r="F159" s="372"/>
      <c r="G159" s="403"/>
      <c r="H159" s="503"/>
      <c r="I159" s="503"/>
      <c r="J159" s="503"/>
      <c r="K159" s="503"/>
      <c r="L159" s="503"/>
      <c r="M159" s="503"/>
      <c r="N159" s="503"/>
      <c r="O159" s="503"/>
      <c r="P159" s="502"/>
      <c r="Q159" s="503"/>
      <c r="R159" s="503"/>
      <c r="S159" s="503"/>
      <c r="T159" s="502"/>
      <c r="U159" s="503"/>
      <c r="V159" s="503"/>
      <c r="W159" s="503"/>
      <c r="X159" s="503"/>
      <c r="Y159" s="503"/>
      <c r="Z159" s="503"/>
      <c r="AA159" s="503"/>
      <c r="AB159" s="503"/>
      <c r="AC159" s="503"/>
      <c r="AD159" s="503"/>
      <c r="AE159" s="502"/>
      <c r="AF159" s="503"/>
      <c r="AG159" s="503"/>
      <c r="AH159" s="503"/>
      <c r="AI159" s="503"/>
      <c r="AJ159" s="503"/>
      <c r="AK159" s="503"/>
      <c r="AL159" s="502"/>
      <c r="AM159" s="503"/>
      <c r="AN159" s="503"/>
      <c r="AO159" s="502"/>
      <c r="AP159" s="503"/>
      <c r="AQ159" s="502"/>
      <c r="AR159" s="503"/>
      <c r="AT159" s="351"/>
      <c r="BA159" s="500"/>
      <c r="BC159" s="500"/>
      <c r="BE159" s="500"/>
      <c r="BG159" s="500"/>
      <c r="BI159" s="500"/>
      <c r="BK159" s="500"/>
      <c r="BO159" s="500"/>
      <c r="BR159" s="351"/>
      <c r="BT159" s="500"/>
      <c r="BW159" s="500"/>
      <c r="CA159" s="500"/>
      <c r="CC159" s="500"/>
      <c r="CG159" s="500"/>
      <c r="CJ159" s="351"/>
      <c r="CM159" s="500"/>
      <c r="CO159" s="500"/>
      <c r="CQ159" s="500"/>
      <c r="CS159" s="500"/>
      <c r="CU159" s="500"/>
      <c r="CW159" s="500"/>
      <c r="CZ159" s="351"/>
    </row>
    <row r="160" spans="2:104" s="278" customFormat="1" hidden="1" outlineLevel="2">
      <c r="B160" s="288" t="s">
        <v>1410</v>
      </c>
      <c r="C160" s="288" t="s">
        <v>1392</v>
      </c>
      <c r="D160" s="346"/>
      <c r="E160" s="422" t="s">
        <v>1354</v>
      </c>
      <c r="F160" s="501" t="s">
        <v>1392</v>
      </c>
      <c r="G160" s="403"/>
      <c r="H160" s="475">
        <v>0</v>
      </c>
      <c r="I160" s="475">
        <v>0</v>
      </c>
      <c r="J160" s="475">
        <v>0</v>
      </c>
      <c r="K160" s="475">
        <v>0</v>
      </c>
      <c r="L160" s="475">
        <v>0</v>
      </c>
      <c r="M160" s="475">
        <v>0</v>
      </c>
      <c r="N160" s="475">
        <v>0</v>
      </c>
      <c r="O160" s="475">
        <v>0</v>
      </c>
      <c r="P160" s="502">
        <v>0</v>
      </c>
      <c r="Q160" s="475">
        <v>0</v>
      </c>
      <c r="R160" s="475">
        <v>0</v>
      </c>
      <c r="S160" s="503">
        <v>0</v>
      </c>
      <c r="T160" s="502">
        <v>0</v>
      </c>
      <c r="U160" s="503">
        <v>0</v>
      </c>
      <c r="V160" s="503">
        <v>0</v>
      </c>
      <c r="W160" s="503">
        <v>0</v>
      </c>
      <c r="X160" s="503">
        <v>0</v>
      </c>
      <c r="Y160" s="503">
        <v>0</v>
      </c>
      <c r="Z160" s="503">
        <v>0</v>
      </c>
      <c r="AA160" s="503">
        <v>0</v>
      </c>
      <c r="AB160" s="503">
        <v>0</v>
      </c>
      <c r="AC160" s="503">
        <v>0</v>
      </c>
      <c r="AD160" s="503">
        <v>0</v>
      </c>
      <c r="AE160" s="502">
        <v>0</v>
      </c>
      <c r="AF160" s="503">
        <v>0</v>
      </c>
      <c r="AG160" s="503">
        <v>0</v>
      </c>
      <c r="AH160" s="503">
        <v>0</v>
      </c>
      <c r="AI160" s="503">
        <v>0</v>
      </c>
      <c r="AJ160" s="503">
        <v>0</v>
      </c>
      <c r="AK160" s="503">
        <v>0</v>
      </c>
      <c r="AL160" s="502">
        <v>0</v>
      </c>
      <c r="AM160" s="503">
        <v>0</v>
      </c>
      <c r="AN160" s="503">
        <v>0</v>
      </c>
      <c r="AO160" s="502">
        <v>0</v>
      </c>
      <c r="AP160" s="503">
        <v>0</v>
      </c>
      <c r="AQ160" s="502">
        <v>0</v>
      </c>
      <c r="AR160" s="503">
        <v>0</v>
      </c>
      <c r="AT160" s="351"/>
      <c r="BA160" s="500"/>
      <c r="BC160" s="500"/>
      <c r="BE160" s="500"/>
      <c r="BG160" s="500"/>
      <c r="BI160" s="500"/>
      <c r="BK160" s="500"/>
      <c r="BO160" s="500"/>
      <c r="BR160" s="351"/>
      <c r="BT160" s="500"/>
      <c r="BW160" s="500"/>
      <c r="CA160" s="500"/>
      <c r="CC160" s="500"/>
      <c r="CG160" s="500"/>
      <c r="CJ160" s="351"/>
      <c r="CM160" s="500"/>
      <c r="CO160" s="500"/>
      <c r="CQ160" s="500"/>
      <c r="CS160" s="500"/>
      <c r="CU160" s="500"/>
      <c r="CW160" s="500"/>
      <c r="CZ160" s="351"/>
    </row>
    <row r="161" spans="2:104" s="278" customFormat="1" hidden="1" outlineLevel="2">
      <c r="B161" s="288" t="s">
        <v>1410</v>
      </c>
      <c r="C161" s="288" t="s">
        <v>1393</v>
      </c>
      <c r="D161" s="346"/>
      <c r="E161" s="422" t="s">
        <v>1354</v>
      </c>
      <c r="F161" s="504" t="s">
        <v>1393</v>
      </c>
      <c r="G161" s="403"/>
      <c r="H161" s="475">
        <v>0</v>
      </c>
      <c r="I161" s="475">
        <v>0</v>
      </c>
      <c r="J161" s="475">
        <v>0</v>
      </c>
      <c r="K161" s="475">
        <v>0</v>
      </c>
      <c r="L161" s="475">
        <v>0</v>
      </c>
      <c r="M161" s="475">
        <v>0</v>
      </c>
      <c r="N161" s="475">
        <v>0</v>
      </c>
      <c r="O161" s="475">
        <v>0</v>
      </c>
      <c r="P161" s="502">
        <v>0</v>
      </c>
      <c r="Q161" s="475">
        <v>0</v>
      </c>
      <c r="R161" s="475">
        <v>0</v>
      </c>
      <c r="S161" s="503">
        <v>0</v>
      </c>
      <c r="T161" s="502">
        <v>0</v>
      </c>
      <c r="U161" s="503">
        <v>0</v>
      </c>
      <c r="V161" s="503">
        <v>0</v>
      </c>
      <c r="W161" s="503">
        <v>0</v>
      </c>
      <c r="X161" s="503">
        <v>0</v>
      </c>
      <c r="Y161" s="503">
        <v>0</v>
      </c>
      <c r="Z161" s="503">
        <v>0</v>
      </c>
      <c r="AA161" s="503">
        <v>0</v>
      </c>
      <c r="AB161" s="503">
        <v>0</v>
      </c>
      <c r="AC161" s="503">
        <v>0</v>
      </c>
      <c r="AD161" s="503">
        <v>0</v>
      </c>
      <c r="AE161" s="502">
        <v>0</v>
      </c>
      <c r="AF161" s="503">
        <v>0</v>
      </c>
      <c r="AG161" s="503">
        <v>0</v>
      </c>
      <c r="AH161" s="503">
        <v>0</v>
      </c>
      <c r="AI161" s="503">
        <v>0</v>
      </c>
      <c r="AJ161" s="503">
        <v>0</v>
      </c>
      <c r="AK161" s="503">
        <v>0</v>
      </c>
      <c r="AL161" s="502">
        <v>0</v>
      </c>
      <c r="AM161" s="503">
        <v>0</v>
      </c>
      <c r="AN161" s="503">
        <v>0</v>
      </c>
      <c r="AO161" s="502">
        <v>0</v>
      </c>
      <c r="AP161" s="503">
        <v>0</v>
      </c>
      <c r="AQ161" s="502">
        <v>0</v>
      </c>
      <c r="AR161" s="503">
        <v>0</v>
      </c>
      <c r="AT161" s="351"/>
      <c r="BA161" s="500"/>
      <c r="BC161" s="500"/>
      <c r="BE161" s="500"/>
      <c r="BG161" s="500"/>
      <c r="BI161" s="500"/>
      <c r="BK161" s="500"/>
      <c r="BO161" s="500"/>
      <c r="BR161" s="351"/>
      <c r="BT161" s="500"/>
      <c r="BW161" s="500"/>
      <c r="CA161" s="500"/>
      <c r="CC161" s="500"/>
      <c r="CG161" s="500"/>
      <c r="CJ161" s="351"/>
      <c r="CM161" s="500"/>
      <c r="CO161" s="500"/>
      <c r="CQ161" s="500"/>
      <c r="CS161" s="500"/>
      <c r="CU161" s="500"/>
      <c r="CW161" s="500"/>
      <c r="CZ161" s="351"/>
    </row>
    <row r="162" spans="2:104" s="278" customFormat="1" hidden="1" outlineLevel="2">
      <c r="B162" s="288" t="s">
        <v>1410</v>
      </c>
      <c r="C162" s="288" t="s">
        <v>1394</v>
      </c>
      <c r="D162" s="346"/>
      <c r="E162" s="422" t="s">
        <v>1354</v>
      </c>
      <c r="F162" s="501" t="s">
        <v>1394</v>
      </c>
      <c r="G162" s="403"/>
      <c r="H162" s="475">
        <v>0</v>
      </c>
      <c r="I162" s="475">
        <v>0</v>
      </c>
      <c r="J162" s="475">
        <v>0</v>
      </c>
      <c r="K162" s="475">
        <v>0</v>
      </c>
      <c r="L162" s="475">
        <v>0</v>
      </c>
      <c r="M162" s="475">
        <v>0</v>
      </c>
      <c r="N162" s="475">
        <v>0</v>
      </c>
      <c r="O162" s="475">
        <v>0</v>
      </c>
      <c r="P162" s="502">
        <v>0</v>
      </c>
      <c r="Q162" s="475">
        <v>0</v>
      </c>
      <c r="R162" s="475">
        <v>0</v>
      </c>
      <c r="S162" s="503">
        <v>0</v>
      </c>
      <c r="T162" s="502">
        <v>0</v>
      </c>
      <c r="U162" s="503">
        <v>0</v>
      </c>
      <c r="V162" s="503">
        <v>0</v>
      </c>
      <c r="W162" s="503">
        <v>0</v>
      </c>
      <c r="X162" s="503">
        <v>0</v>
      </c>
      <c r="Y162" s="503">
        <v>0</v>
      </c>
      <c r="Z162" s="503">
        <v>0</v>
      </c>
      <c r="AA162" s="503">
        <v>0</v>
      </c>
      <c r="AB162" s="503">
        <v>0</v>
      </c>
      <c r="AC162" s="503">
        <v>0</v>
      </c>
      <c r="AD162" s="503">
        <v>0</v>
      </c>
      <c r="AE162" s="502">
        <v>0</v>
      </c>
      <c r="AF162" s="503">
        <v>0</v>
      </c>
      <c r="AG162" s="503">
        <v>0</v>
      </c>
      <c r="AH162" s="503">
        <v>0</v>
      </c>
      <c r="AI162" s="503">
        <v>0</v>
      </c>
      <c r="AJ162" s="503">
        <v>0</v>
      </c>
      <c r="AK162" s="503">
        <v>0</v>
      </c>
      <c r="AL162" s="502">
        <v>0</v>
      </c>
      <c r="AM162" s="503">
        <v>0</v>
      </c>
      <c r="AN162" s="503">
        <v>0</v>
      </c>
      <c r="AO162" s="502">
        <v>0</v>
      </c>
      <c r="AP162" s="503">
        <v>0</v>
      </c>
      <c r="AQ162" s="502">
        <v>0</v>
      </c>
      <c r="AR162" s="503">
        <v>0</v>
      </c>
      <c r="AT162" s="351"/>
      <c r="BA162" s="500"/>
      <c r="BC162" s="500"/>
      <c r="BE162" s="500"/>
      <c r="BG162" s="500"/>
      <c r="BI162" s="500"/>
      <c r="BK162" s="500"/>
      <c r="BO162" s="500"/>
      <c r="BR162" s="351"/>
      <c r="BT162" s="500"/>
      <c r="BW162" s="500"/>
      <c r="CA162" s="500"/>
      <c r="CC162" s="500"/>
      <c r="CG162" s="500"/>
      <c r="CJ162" s="351"/>
      <c r="CM162" s="500"/>
      <c r="CO162" s="500"/>
      <c r="CQ162" s="500"/>
      <c r="CS162" s="500"/>
      <c r="CU162" s="500"/>
      <c r="CW162" s="500"/>
      <c r="CZ162" s="351"/>
    </row>
    <row r="163" spans="2:104" s="278" customFormat="1" hidden="1" outlineLevel="2">
      <c r="B163" s="288" t="s">
        <v>1410</v>
      </c>
      <c r="C163" s="288" t="s">
        <v>1395</v>
      </c>
      <c r="D163" s="346"/>
      <c r="E163" s="422" t="s">
        <v>1354</v>
      </c>
      <c r="F163" s="504" t="s">
        <v>1395</v>
      </c>
      <c r="G163" s="403"/>
      <c r="H163" s="475">
        <v>0</v>
      </c>
      <c r="I163" s="475">
        <v>0</v>
      </c>
      <c r="J163" s="475">
        <v>0</v>
      </c>
      <c r="K163" s="475">
        <v>0</v>
      </c>
      <c r="L163" s="475">
        <v>0</v>
      </c>
      <c r="M163" s="475">
        <v>0</v>
      </c>
      <c r="N163" s="475">
        <v>0</v>
      </c>
      <c r="O163" s="475">
        <v>0</v>
      </c>
      <c r="P163" s="502">
        <v>0</v>
      </c>
      <c r="Q163" s="475">
        <v>0</v>
      </c>
      <c r="R163" s="475">
        <v>0</v>
      </c>
      <c r="S163" s="503">
        <v>0</v>
      </c>
      <c r="T163" s="502">
        <v>0</v>
      </c>
      <c r="U163" s="503">
        <v>0</v>
      </c>
      <c r="V163" s="503">
        <v>0</v>
      </c>
      <c r="W163" s="503">
        <v>0</v>
      </c>
      <c r="X163" s="503">
        <v>0</v>
      </c>
      <c r="Y163" s="503">
        <v>0</v>
      </c>
      <c r="Z163" s="503">
        <v>0</v>
      </c>
      <c r="AA163" s="503">
        <v>0</v>
      </c>
      <c r="AB163" s="503">
        <v>0</v>
      </c>
      <c r="AC163" s="503">
        <v>0</v>
      </c>
      <c r="AD163" s="503">
        <v>0</v>
      </c>
      <c r="AE163" s="502">
        <v>0</v>
      </c>
      <c r="AF163" s="503">
        <v>0</v>
      </c>
      <c r="AG163" s="503">
        <v>0</v>
      </c>
      <c r="AH163" s="503">
        <v>0</v>
      </c>
      <c r="AI163" s="503">
        <v>0</v>
      </c>
      <c r="AJ163" s="503">
        <v>0</v>
      </c>
      <c r="AK163" s="503">
        <v>0</v>
      </c>
      <c r="AL163" s="502">
        <v>0</v>
      </c>
      <c r="AM163" s="503">
        <v>0</v>
      </c>
      <c r="AN163" s="503">
        <v>0</v>
      </c>
      <c r="AO163" s="502">
        <v>0</v>
      </c>
      <c r="AP163" s="503">
        <v>0</v>
      </c>
      <c r="AQ163" s="502">
        <v>0</v>
      </c>
      <c r="AR163" s="503">
        <v>0</v>
      </c>
      <c r="AT163" s="351"/>
      <c r="BA163" s="500"/>
      <c r="BC163" s="500"/>
      <c r="BE163" s="500"/>
      <c r="BG163" s="500"/>
      <c r="BI163" s="500"/>
      <c r="BK163" s="500"/>
      <c r="BO163" s="500"/>
      <c r="BR163" s="351"/>
      <c r="BT163" s="500"/>
      <c r="BW163" s="500"/>
      <c r="CA163" s="500"/>
      <c r="CC163" s="500"/>
      <c r="CG163" s="500"/>
      <c r="CJ163" s="351"/>
      <c r="CM163" s="500"/>
      <c r="CO163" s="500"/>
      <c r="CQ163" s="500"/>
      <c r="CS163" s="500"/>
      <c r="CU163" s="500"/>
      <c r="CW163" s="500"/>
      <c r="CZ163" s="351"/>
    </row>
    <row r="164" spans="2:104" s="278" customFormat="1" hidden="1" outlineLevel="2">
      <c r="B164" s="288" t="s">
        <v>1410</v>
      </c>
      <c r="C164" s="288" t="s">
        <v>1396</v>
      </c>
      <c r="D164" s="346"/>
      <c r="E164" s="422" t="s">
        <v>1354</v>
      </c>
      <c r="F164" s="501" t="s">
        <v>1396</v>
      </c>
      <c r="G164" s="403"/>
      <c r="H164" s="475">
        <v>0</v>
      </c>
      <c r="I164" s="475">
        <v>0</v>
      </c>
      <c r="J164" s="475">
        <v>0</v>
      </c>
      <c r="K164" s="475">
        <v>0</v>
      </c>
      <c r="L164" s="475">
        <v>0</v>
      </c>
      <c r="M164" s="475">
        <v>0</v>
      </c>
      <c r="N164" s="475">
        <v>0</v>
      </c>
      <c r="O164" s="475">
        <v>0</v>
      </c>
      <c r="P164" s="502">
        <v>0</v>
      </c>
      <c r="Q164" s="475">
        <v>0</v>
      </c>
      <c r="R164" s="475">
        <v>0</v>
      </c>
      <c r="S164" s="503">
        <v>0</v>
      </c>
      <c r="T164" s="502">
        <v>0</v>
      </c>
      <c r="U164" s="503">
        <v>0</v>
      </c>
      <c r="V164" s="503">
        <v>0</v>
      </c>
      <c r="W164" s="503">
        <v>0</v>
      </c>
      <c r="X164" s="503">
        <v>0</v>
      </c>
      <c r="Y164" s="503">
        <v>0</v>
      </c>
      <c r="Z164" s="503">
        <v>0</v>
      </c>
      <c r="AA164" s="503">
        <v>0</v>
      </c>
      <c r="AB164" s="503">
        <v>0</v>
      </c>
      <c r="AC164" s="503">
        <v>0</v>
      </c>
      <c r="AD164" s="503">
        <v>0</v>
      </c>
      <c r="AE164" s="502">
        <v>0</v>
      </c>
      <c r="AF164" s="503">
        <v>0</v>
      </c>
      <c r="AG164" s="503">
        <v>0</v>
      </c>
      <c r="AH164" s="503">
        <v>0</v>
      </c>
      <c r="AI164" s="503">
        <v>0</v>
      </c>
      <c r="AJ164" s="503">
        <v>0</v>
      </c>
      <c r="AK164" s="503">
        <v>0</v>
      </c>
      <c r="AL164" s="502">
        <v>0</v>
      </c>
      <c r="AM164" s="503">
        <v>0</v>
      </c>
      <c r="AN164" s="503">
        <v>0</v>
      </c>
      <c r="AO164" s="502">
        <v>0</v>
      </c>
      <c r="AP164" s="503">
        <v>0</v>
      </c>
      <c r="AQ164" s="502">
        <v>0</v>
      </c>
      <c r="AR164" s="503">
        <v>0</v>
      </c>
      <c r="AT164" s="351"/>
      <c r="BA164" s="500"/>
      <c r="BC164" s="500"/>
      <c r="BE164" s="500"/>
      <c r="BG164" s="500"/>
      <c r="BI164" s="500"/>
      <c r="BK164" s="500"/>
      <c r="BO164" s="500"/>
      <c r="BR164" s="351"/>
      <c r="BT164" s="500"/>
      <c r="BW164" s="500"/>
      <c r="CA164" s="500"/>
      <c r="CC164" s="500"/>
      <c r="CG164" s="500"/>
      <c r="CJ164" s="351"/>
      <c r="CM164" s="500"/>
      <c r="CO164" s="500"/>
      <c r="CQ164" s="500"/>
      <c r="CS164" s="500"/>
      <c r="CU164" s="500"/>
      <c r="CW164" s="500"/>
      <c r="CZ164" s="351"/>
    </row>
    <row r="165" spans="2:104" s="278" customFormat="1" hidden="1" outlineLevel="2">
      <c r="B165" s="288" t="s">
        <v>1410</v>
      </c>
      <c r="C165" s="288" t="s">
        <v>1397</v>
      </c>
      <c r="D165" s="346"/>
      <c r="E165" s="422" t="s">
        <v>1354</v>
      </c>
      <c r="F165" s="504" t="s">
        <v>1397</v>
      </c>
      <c r="G165" s="403"/>
      <c r="H165" s="475">
        <v>0</v>
      </c>
      <c r="I165" s="475">
        <v>0</v>
      </c>
      <c r="J165" s="475">
        <v>0</v>
      </c>
      <c r="K165" s="475">
        <v>0</v>
      </c>
      <c r="L165" s="475">
        <v>0</v>
      </c>
      <c r="M165" s="475">
        <v>0</v>
      </c>
      <c r="N165" s="475">
        <v>0</v>
      </c>
      <c r="O165" s="475">
        <v>0</v>
      </c>
      <c r="P165" s="502">
        <v>0</v>
      </c>
      <c r="Q165" s="475">
        <v>0</v>
      </c>
      <c r="R165" s="475">
        <v>0</v>
      </c>
      <c r="S165" s="503">
        <v>0</v>
      </c>
      <c r="T165" s="502">
        <v>0</v>
      </c>
      <c r="U165" s="503">
        <v>0</v>
      </c>
      <c r="V165" s="503">
        <v>0</v>
      </c>
      <c r="W165" s="503">
        <v>0</v>
      </c>
      <c r="X165" s="503">
        <v>0</v>
      </c>
      <c r="Y165" s="503">
        <v>0</v>
      </c>
      <c r="Z165" s="503">
        <v>0</v>
      </c>
      <c r="AA165" s="503">
        <v>0</v>
      </c>
      <c r="AB165" s="503">
        <v>0</v>
      </c>
      <c r="AC165" s="503">
        <v>0</v>
      </c>
      <c r="AD165" s="503">
        <v>0</v>
      </c>
      <c r="AE165" s="502">
        <v>0</v>
      </c>
      <c r="AF165" s="503">
        <v>0</v>
      </c>
      <c r="AG165" s="503">
        <v>0</v>
      </c>
      <c r="AH165" s="503">
        <v>0</v>
      </c>
      <c r="AI165" s="503">
        <v>0</v>
      </c>
      <c r="AJ165" s="503">
        <v>0</v>
      </c>
      <c r="AK165" s="503">
        <v>0</v>
      </c>
      <c r="AL165" s="502">
        <v>0</v>
      </c>
      <c r="AM165" s="503">
        <v>0</v>
      </c>
      <c r="AN165" s="503">
        <v>0</v>
      </c>
      <c r="AO165" s="502">
        <v>0</v>
      </c>
      <c r="AP165" s="503">
        <v>0</v>
      </c>
      <c r="AQ165" s="502">
        <v>0</v>
      </c>
      <c r="AR165" s="503">
        <v>0</v>
      </c>
      <c r="AT165" s="351"/>
      <c r="BA165" s="500"/>
      <c r="BC165" s="500"/>
      <c r="BE165" s="500"/>
      <c r="BG165" s="500"/>
      <c r="BI165" s="500"/>
      <c r="BK165" s="500"/>
      <c r="BO165" s="500"/>
      <c r="BR165" s="351"/>
      <c r="BT165" s="500"/>
      <c r="BW165" s="500"/>
      <c r="CA165" s="500"/>
      <c r="CC165" s="500"/>
      <c r="CG165" s="500"/>
      <c r="CJ165" s="351"/>
      <c r="CM165" s="500"/>
      <c r="CO165" s="500"/>
      <c r="CQ165" s="500"/>
      <c r="CS165" s="500"/>
      <c r="CU165" s="500"/>
      <c r="CW165" s="500"/>
      <c r="CZ165" s="351"/>
    </row>
    <row r="166" spans="2:104" s="278" customFormat="1" hidden="1" outlineLevel="2">
      <c r="B166" s="288" t="s">
        <v>1410</v>
      </c>
      <c r="C166" s="288" t="s">
        <v>1398</v>
      </c>
      <c r="D166" s="186"/>
      <c r="E166" s="422" t="s">
        <v>1354</v>
      </c>
      <c r="F166" s="501" t="s">
        <v>1398</v>
      </c>
      <c r="G166" s="403"/>
      <c r="H166" s="475">
        <v>0</v>
      </c>
      <c r="I166" s="475">
        <v>0</v>
      </c>
      <c r="J166" s="475">
        <v>0</v>
      </c>
      <c r="K166" s="475">
        <v>0</v>
      </c>
      <c r="L166" s="475">
        <v>0</v>
      </c>
      <c r="M166" s="475">
        <v>0</v>
      </c>
      <c r="N166" s="475">
        <v>0</v>
      </c>
      <c r="O166" s="475">
        <v>0</v>
      </c>
      <c r="P166" s="502">
        <v>0</v>
      </c>
      <c r="Q166" s="475">
        <v>0</v>
      </c>
      <c r="R166" s="475">
        <v>0</v>
      </c>
      <c r="S166" s="503">
        <v>0</v>
      </c>
      <c r="T166" s="502">
        <v>0</v>
      </c>
      <c r="U166" s="503">
        <v>0</v>
      </c>
      <c r="V166" s="503">
        <v>0</v>
      </c>
      <c r="W166" s="503">
        <v>0</v>
      </c>
      <c r="X166" s="503">
        <v>0</v>
      </c>
      <c r="Y166" s="503">
        <v>0</v>
      </c>
      <c r="Z166" s="503">
        <v>0</v>
      </c>
      <c r="AA166" s="503">
        <v>0</v>
      </c>
      <c r="AB166" s="503">
        <v>0</v>
      </c>
      <c r="AC166" s="503">
        <v>0</v>
      </c>
      <c r="AD166" s="503">
        <v>0</v>
      </c>
      <c r="AE166" s="502">
        <v>0</v>
      </c>
      <c r="AF166" s="503">
        <v>0</v>
      </c>
      <c r="AG166" s="503">
        <v>0</v>
      </c>
      <c r="AH166" s="503">
        <v>0</v>
      </c>
      <c r="AI166" s="503">
        <v>0</v>
      </c>
      <c r="AJ166" s="503">
        <v>0</v>
      </c>
      <c r="AK166" s="503">
        <v>0</v>
      </c>
      <c r="AL166" s="502">
        <v>0</v>
      </c>
      <c r="AM166" s="503">
        <v>0</v>
      </c>
      <c r="AN166" s="503">
        <v>0</v>
      </c>
      <c r="AO166" s="502">
        <v>0</v>
      </c>
      <c r="AP166" s="503">
        <v>0</v>
      </c>
      <c r="AQ166" s="502">
        <v>0</v>
      </c>
      <c r="AR166" s="503">
        <v>0</v>
      </c>
      <c r="AT166" s="351"/>
      <c r="BA166" s="500"/>
      <c r="BC166" s="500"/>
      <c r="BE166" s="500"/>
      <c r="BG166" s="500"/>
      <c r="BI166" s="500"/>
      <c r="BK166" s="500"/>
      <c r="BO166" s="500"/>
      <c r="BR166" s="351"/>
      <c r="BT166" s="500"/>
      <c r="BW166" s="500"/>
      <c r="CA166" s="500"/>
      <c r="CC166" s="500"/>
      <c r="CG166" s="500"/>
      <c r="CJ166" s="351"/>
      <c r="CM166" s="500"/>
      <c r="CO166" s="500"/>
      <c r="CQ166" s="500"/>
      <c r="CS166" s="500"/>
      <c r="CU166" s="500"/>
      <c r="CW166" s="500"/>
      <c r="CZ166" s="351"/>
    </row>
    <row r="167" spans="2:104" s="278" customFormat="1" hidden="1" outlineLevel="2">
      <c r="B167" s="288" t="s">
        <v>1410</v>
      </c>
      <c r="C167" s="288" t="s">
        <v>1399</v>
      </c>
      <c r="D167" s="186"/>
      <c r="E167" s="422" t="s">
        <v>1354</v>
      </c>
      <c r="F167" s="504" t="s">
        <v>1399</v>
      </c>
      <c r="G167" s="403"/>
      <c r="H167" s="475">
        <v>0</v>
      </c>
      <c r="I167" s="475">
        <v>0</v>
      </c>
      <c r="J167" s="475">
        <v>0</v>
      </c>
      <c r="K167" s="475">
        <v>0</v>
      </c>
      <c r="L167" s="475">
        <v>0</v>
      </c>
      <c r="M167" s="475">
        <v>0</v>
      </c>
      <c r="N167" s="475">
        <v>0</v>
      </c>
      <c r="O167" s="475">
        <v>0</v>
      </c>
      <c r="P167" s="502">
        <v>0</v>
      </c>
      <c r="Q167" s="475">
        <v>0</v>
      </c>
      <c r="R167" s="475">
        <v>0</v>
      </c>
      <c r="S167" s="503">
        <v>0</v>
      </c>
      <c r="T167" s="502">
        <v>0</v>
      </c>
      <c r="U167" s="503">
        <v>0</v>
      </c>
      <c r="V167" s="503">
        <v>0</v>
      </c>
      <c r="W167" s="503">
        <v>0</v>
      </c>
      <c r="X167" s="503">
        <v>0</v>
      </c>
      <c r="Y167" s="503">
        <v>0</v>
      </c>
      <c r="Z167" s="503">
        <v>0</v>
      </c>
      <c r="AA167" s="503">
        <v>0</v>
      </c>
      <c r="AB167" s="503">
        <v>0</v>
      </c>
      <c r="AC167" s="503">
        <v>0</v>
      </c>
      <c r="AD167" s="503">
        <v>0</v>
      </c>
      <c r="AE167" s="502">
        <v>0</v>
      </c>
      <c r="AF167" s="503">
        <v>0</v>
      </c>
      <c r="AG167" s="503">
        <v>0</v>
      </c>
      <c r="AH167" s="503">
        <v>0</v>
      </c>
      <c r="AI167" s="503">
        <v>0</v>
      </c>
      <c r="AJ167" s="503">
        <v>0</v>
      </c>
      <c r="AK167" s="503">
        <v>0</v>
      </c>
      <c r="AL167" s="502">
        <v>0</v>
      </c>
      <c r="AM167" s="503">
        <v>0</v>
      </c>
      <c r="AN167" s="503">
        <v>0</v>
      </c>
      <c r="AO167" s="502">
        <v>0</v>
      </c>
      <c r="AP167" s="503">
        <v>0</v>
      </c>
      <c r="AQ167" s="502">
        <v>0</v>
      </c>
      <c r="AR167" s="503">
        <v>0</v>
      </c>
      <c r="AT167" s="351"/>
      <c r="BA167" s="500"/>
      <c r="BC167" s="500"/>
      <c r="BE167" s="500"/>
      <c r="BG167" s="500"/>
      <c r="BI167" s="500"/>
      <c r="BK167" s="500"/>
      <c r="BO167" s="500"/>
      <c r="BR167" s="351"/>
      <c r="BT167" s="500"/>
      <c r="BW167" s="500"/>
      <c r="CA167" s="500"/>
      <c r="CC167" s="500"/>
      <c r="CG167" s="500"/>
      <c r="CJ167" s="351"/>
      <c r="CM167" s="500"/>
      <c r="CO167" s="500"/>
      <c r="CQ167" s="500"/>
      <c r="CS167" s="500"/>
      <c r="CU167" s="500"/>
      <c r="CW167" s="500"/>
      <c r="CZ167" s="351"/>
    </row>
    <row r="168" spans="2:104" s="278" customFormat="1" hidden="1" outlineLevel="2">
      <c r="B168" s="288" t="s">
        <v>1410</v>
      </c>
      <c r="C168" s="288" t="s">
        <v>1400</v>
      </c>
      <c r="D168" s="186"/>
      <c r="E168" s="422" t="s">
        <v>1354</v>
      </c>
      <c r="F168" s="501" t="s">
        <v>1400</v>
      </c>
      <c r="G168" s="403"/>
      <c r="H168" s="475">
        <v>0</v>
      </c>
      <c r="I168" s="475">
        <v>0</v>
      </c>
      <c r="J168" s="475">
        <v>0</v>
      </c>
      <c r="K168" s="475">
        <v>0</v>
      </c>
      <c r="L168" s="475">
        <v>0</v>
      </c>
      <c r="M168" s="475">
        <v>0</v>
      </c>
      <c r="N168" s="475">
        <v>0</v>
      </c>
      <c r="O168" s="475">
        <v>0</v>
      </c>
      <c r="P168" s="502">
        <v>0</v>
      </c>
      <c r="Q168" s="475">
        <v>0</v>
      </c>
      <c r="R168" s="475">
        <v>0</v>
      </c>
      <c r="S168" s="503">
        <v>0</v>
      </c>
      <c r="T168" s="502">
        <v>0</v>
      </c>
      <c r="U168" s="503">
        <v>0</v>
      </c>
      <c r="V168" s="503">
        <v>0</v>
      </c>
      <c r="W168" s="503">
        <v>0</v>
      </c>
      <c r="X168" s="503">
        <v>0</v>
      </c>
      <c r="Y168" s="503">
        <v>0</v>
      </c>
      <c r="Z168" s="503">
        <v>0</v>
      </c>
      <c r="AA168" s="503">
        <v>0</v>
      </c>
      <c r="AB168" s="503">
        <v>0</v>
      </c>
      <c r="AC168" s="503">
        <v>0</v>
      </c>
      <c r="AD168" s="503">
        <v>0</v>
      </c>
      <c r="AE168" s="502">
        <v>0</v>
      </c>
      <c r="AF168" s="503">
        <v>0</v>
      </c>
      <c r="AG168" s="503">
        <v>0</v>
      </c>
      <c r="AH168" s="503">
        <v>0</v>
      </c>
      <c r="AI168" s="503">
        <v>0</v>
      </c>
      <c r="AJ168" s="503">
        <v>0</v>
      </c>
      <c r="AK168" s="503">
        <v>0</v>
      </c>
      <c r="AL168" s="502">
        <v>0</v>
      </c>
      <c r="AM168" s="503">
        <v>0</v>
      </c>
      <c r="AN168" s="503">
        <v>0</v>
      </c>
      <c r="AO168" s="502">
        <v>0</v>
      </c>
      <c r="AP168" s="503">
        <v>0</v>
      </c>
      <c r="AQ168" s="502">
        <v>0</v>
      </c>
      <c r="AR168" s="503">
        <v>0</v>
      </c>
      <c r="AT168" s="351"/>
      <c r="BA168" s="500"/>
      <c r="BC168" s="500"/>
      <c r="BE168" s="500"/>
      <c r="BG168" s="500"/>
      <c r="BI168" s="500"/>
      <c r="BK168" s="500"/>
      <c r="BO168" s="500"/>
      <c r="BR168" s="351"/>
      <c r="BT168" s="500"/>
      <c r="BW168" s="500"/>
      <c r="CA168" s="500"/>
      <c r="CC168" s="500"/>
      <c r="CG168" s="500"/>
      <c r="CJ168" s="351"/>
      <c r="CM168" s="500"/>
      <c r="CO168" s="500"/>
      <c r="CQ168" s="500"/>
      <c r="CS168" s="500"/>
      <c r="CU168" s="500"/>
      <c r="CW168" s="500"/>
      <c r="CZ168" s="351"/>
    </row>
    <row r="169" spans="2:104" s="278" customFormat="1" hidden="1" outlineLevel="2">
      <c r="B169" s="288" t="s">
        <v>1410</v>
      </c>
      <c r="C169" s="288" t="s">
        <v>1401</v>
      </c>
      <c r="D169" s="186"/>
      <c r="E169" s="422" t="s">
        <v>1354</v>
      </c>
      <c r="F169" s="504" t="s">
        <v>1401</v>
      </c>
      <c r="G169" s="403"/>
      <c r="H169" s="475">
        <v>0</v>
      </c>
      <c r="I169" s="475">
        <v>0</v>
      </c>
      <c r="J169" s="475">
        <v>0</v>
      </c>
      <c r="K169" s="475">
        <v>0</v>
      </c>
      <c r="L169" s="475">
        <v>0</v>
      </c>
      <c r="M169" s="475">
        <v>0</v>
      </c>
      <c r="N169" s="475">
        <v>0</v>
      </c>
      <c r="O169" s="475">
        <v>0</v>
      </c>
      <c r="P169" s="502">
        <v>0</v>
      </c>
      <c r="Q169" s="475">
        <v>0</v>
      </c>
      <c r="R169" s="475">
        <v>0</v>
      </c>
      <c r="S169" s="503">
        <v>0</v>
      </c>
      <c r="T169" s="502">
        <v>0</v>
      </c>
      <c r="U169" s="503">
        <v>0</v>
      </c>
      <c r="V169" s="503">
        <v>0</v>
      </c>
      <c r="W169" s="503">
        <v>0</v>
      </c>
      <c r="X169" s="503">
        <v>0</v>
      </c>
      <c r="Y169" s="503">
        <v>0</v>
      </c>
      <c r="Z169" s="503">
        <v>0</v>
      </c>
      <c r="AA169" s="503">
        <v>0</v>
      </c>
      <c r="AB169" s="503">
        <v>0</v>
      </c>
      <c r="AC169" s="503">
        <v>0</v>
      </c>
      <c r="AD169" s="503">
        <v>0</v>
      </c>
      <c r="AE169" s="502">
        <v>0</v>
      </c>
      <c r="AF169" s="503">
        <v>0</v>
      </c>
      <c r="AG169" s="503">
        <v>0</v>
      </c>
      <c r="AH169" s="503">
        <v>0</v>
      </c>
      <c r="AI169" s="503">
        <v>0</v>
      </c>
      <c r="AJ169" s="503">
        <v>0</v>
      </c>
      <c r="AK169" s="503">
        <v>0</v>
      </c>
      <c r="AL169" s="502">
        <v>0</v>
      </c>
      <c r="AM169" s="503">
        <v>0</v>
      </c>
      <c r="AN169" s="503">
        <v>0</v>
      </c>
      <c r="AO169" s="502">
        <v>0</v>
      </c>
      <c r="AP169" s="503">
        <v>0</v>
      </c>
      <c r="AQ169" s="502">
        <v>0</v>
      </c>
      <c r="AR169" s="503">
        <v>0</v>
      </c>
      <c r="AT169" s="351"/>
      <c r="BA169" s="500"/>
      <c r="BC169" s="500"/>
      <c r="BE169" s="500"/>
      <c r="BG169" s="500"/>
      <c r="BI169" s="500"/>
      <c r="BK169" s="500"/>
      <c r="BO169" s="500"/>
      <c r="BR169" s="351"/>
      <c r="BT169" s="500"/>
      <c r="BW169" s="500"/>
      <c r="CA169" s="500"/>
      <c r="CC169" s="500"/>
      <c r="CG169" s="500"/>
      <c r="CJ169" s="351"/>
      <c r="CM169" s="500"/>
      <c r="CO169" s="500"/>
      <c r="CQ169" s="500"/>
      <c r="CS169" s="500"/>
      <c r="CU169" s="500"/>
      <c r="CW169" s="500"/>
      <c r="CZ169" s="351"/>
    </row>
    <row r="170" spans="2:104" s="278" customFormat="1" hidden="1" outlineLevel="2">
      <c r="B170" s="288" t="s">
        <v>1410</v>
      </c>
      <c r="C170" s="288" t="s">
        <v>1402</v>
      </c>
      <c r="D170" s="186"/>
      <c r="E170" s="422" t="s">
        <v>1354</v>
      </c>
      <c r="F170" s="501" t="s">
        <v>1402</v>
      </c>
      <c r="G170" s="403"/>
      <c r="H170" s="475">
        <v>0</v>
      </c>
      <c r="I170" s="475">
        <v>0</v>
      </c>
      <c r="J170" s="475">
        <v>0</v>
      </c>
      <c r="K170" s="475">
        <v>0</v>
      </c>
      <c r="L170" s="475">
        <v>0</v>
      </c>
      <c r="M170" s="475">
        <v>0</v>
      </c>
      <c r="N170" s="475">
        <v>0</v>
      </c>
      <c r="O170" s="475">
        <v>0</v>
      </c>
      <c r="P170" s="502">
        <v>0</v>
      </c>
      <c r="Q170" s="475">
        <v>0</v>
      </c>
      <c r="R170" s="475">
        <v>0</v>
      </c>
      <c r="S170" s="503">
        <v>0</v>
      </c>
      <c r="T170" s="502">
        <v>0</v>
      </c>
      <c r="U170" s="503">
        <v>0</v>
      </c>
      <c r="V170" s="503">
        <v>0</v>
      </c>
      <c r="W170" s="503">
        <v>0</v>
      </c>
      <c r="X170" s="503">
        <v>0</v>
      </c>
      <c r="Y170" s="503">
        <v>0</v>
      </c>
      <c r="Z170" s="503">
        <v>0</v>
      </c>
      <c r="AA170" s="503">
        <v>0</v>
      </c>
      <c r="AB170" s="503">
        <v>0</v>
      </c>
      <c r="AC170" s="503">
        <v>0</v>
      </c>
      <c r="AD170" s="503">
        <v>0</v>
      </c>
      <c r="AE170" s="502">
        <v>0</v>
      </c>
      <c r="AF170" s="503">
        <v>0</v>
      </c>
      <c r="AG170" s="503">
        <v>0</v>
      </c>
      <c r="AH170" s="503">
        <v>0</v>
      </c>
      <c r="AI170" s="503">
        <v>0</v>
      </c>
      <c r="AJ170" s="503">
        <v>0</v>
      </c>
      <c r="AK170" s="503">
        <v>0</v>
      </c>
      <c r="AL170" s="502">
        <v>0</v>
      </c>
      <c r="AM170" s="503">
        <v>0</v>
      </c>
      <c r="AN170" s="503">
        <v>0</v>
      </c>
      <c r="AO170" s="502">
        <v>0</v>
      </c>
      <c r="AP170" s="503">
        <v>0</v>
      </c>
      <c r="AQ170" s="502">
        <v>0</v>
      </c>
      <c r="AR170" s="503">
        <v>0</v>
      </c>
      <c r="AT170" s="351"/>
      <c r="BA170" s="500"/>
      <c r="BC170" s="500"/>
      <c r="BE170" s="500"/>
      <c r="BG170" s="500"/>
      <c r="BI170" s="500"/>
      <c r="BK170" s="500"/>
      <c r="BO170" s="500"/>
      <c r="BR170" s="351"/>
      <c r="BT170" s="500"/>
      <c r="BW170" s="500"/>
      <c r="CA170" s="500"/>
      <c r="CC170" s="500"/>
      <c r="CG170" s="500"/>
      <c r="CJ170" s="351"/>
      <c r="CM170" s="500"/>
      <c r="CO170" s="500"/>
      <c r="CQ170" s="500"/>
      <c r="CS170" s="500"/>
      <c r="CU170" s="500"/>
      <c r="CW170" s="500"/>
      <c r="CZ170" s="351"/>
    </row>
    <row r="171" spans="2:104" s="278" customFormat="1" hidden="1" outlineLevel="2">
      <c r="B171" s="288" t="s">
        <v>1410</v>
      </c>
      <c r="C171" s="288" t="s">
        <v>1403</v>
      </c>
      <c r="D171" s="186"/>
      <c r="E171" s="422" t="s">
        <v>1354</v>
      </c>
      <c r="F171" s="504" t="s">
        <v>1403</v>
      </c>
      <c r="G171" s="403"/>
      <c r="H171" s="475">
        <v>0</v>
      </c>
      <c r="I171" s="475">
        <v>0</v>
      </c>
      <c r="J171" s="475">
        <v>0</v>
      </c>
      <c r="K171" s="475">
        <v>0</v>
      </c>
      <c r="L171" s="475">
        <v>0</v>
      </c>
      <c r="M171" s="475">
        <v>0</v>
      </c>
      <c r="N171" s="475">
        <v>0</v>
      </c>
      <c r="O171" s="475">
        <v>0</v>
      </c>
      <c r="P171" s="502">
        <v>0</v>
      </c>
      <c r="Q171" s="475">
        <v>0</v>
      </c>
      <c r="R171" s="475">
        <v>0</v>
      </c>
      <c r="S171" s="503">
        <v>0</v>
      </c>
      <c r="T171" s="502">
        <v>0</v>
      </c>
      <c r="U171" s="503">
        <v>0</v>
      </c>
      <c r="V171" s="503">
        <v>0</v>
      </c>
      <c r="W171" s="503">
        <v>0</v>
      </c>
      <c r="X171" s="503">
        <v>0</v>
      </c>
      <c r="Y171" s="503">
        <v>0</v>
      </c>
      <c r="Z171" s="503">
        <v>0</v>
      </c>
      <c r="AA171" s="503">
        <v>0</v>
      </c>
      <c r="AB171" s="503">
        <v>0</v>
      </c>
      <c r="AC171" s="503">
        <v>0</v>
      </c>
      <c r="AD171" s="503">
        <v>0</v>
      </c>
      <c r="AE171" s="502">
        <v>0</v>
      </c>
      <c r="AF171" s="503">
        <v>0</v>
      </c>
      <c r="AG171" s="503">
        <v>0</v>
      </c>
      <c r="AH171" s="503">
        <v>0</v>
      </c>
      <c r="AI171" s="503">
        <v>0</v>
      </c>
      <c r="AJ171" s="503">
        <v>0</v>
      </c>
      <c r="AK171" s="503">
        <v>0</v>
      </c>
      <c r="AL171" s="502">
        <v>0</v>
      </c>
      <c r="AM171" s="503">
        <v>0</v>
      </c>
      <c r="AN171" s="503">
        <v>0</v>
      </c>
      <c r="AO171" s="502">
        <v>0</v>
      </c>
      <c r="AP171" s="503">
        <v>0</v>
      </c>
      <c r="AQ171" s="502">
        <v>0</v>
      </c>
      <c r="AR171" s="503">
        <v>0</v>
      </c>
      <c r="AT171" s="351"/>
      <c r="BA171" s="500"/>
      <c r="BC171" s="500"/>
      <c r="BE171" s="500"/>
      <c r="BG171" s="500"/>
      <c r="BI171" s="500"/>
      <c r="BK171" s="500"/>
      <c r="BO171" s="500"/>
      <c r="BR171" s="351"/>
      <c r="BT171" s="500"/>
      <c r="BW171" s="500"/>
      <c r="CA171" s="500"/>
      <c r="CC171" s="500"/>
      <c r="CG171" s="500"/>
      <c r="CJ171" s="351"/>
      <c r="CM171" s="500"/>
      <c r="CO171" s="500"/>
      <c r="CQ171" s="500"/>
      <c r="CS171" s="500"/>
      <c r="CU171" s="500"/>
      <c r="CW171" s="500"/>
      <c r="CZ171" s="351"/>
    </row>
    <row r="172" spans="2:104" s="278" customFormat="1" hidden="1" outlineLevel="2">
      <c r="B172" s="288" t="s">
        <v>1410</v>
      </c>
      <c r="C172" s="288" t="s">
        <v>1404</v>
      </c>
      <c r="D172" s="186"/>
      <c r="E172" s="422" t="s">
        <v>1354</v>
      </c>
      <c r="F172" s="501" t="s">
        <v>1386</v>
      </c>
      <c r="G172" s="403"/>
      <c r="H172" s="475">
        <v>0</v>
      </c>
      <c r="I172" s="475">
        <v>0</v>
      </c>
      <c r="J172" s="475">
        <v>0</v>
      </c>
      <c r="K172" s="475">
        <v>0</v>
      </c>
      <c r="L172" s="475">
        <v>0</v>
      </c>
      <c r="M172" s="475">
        <v>0</v>
      </c>
      <c r="N172" s="475">
        <v>0</v>
      </c>
      <c r="O172" s="475">
        <v>0</v>
      </c>
      <c r="P172" s="502">
        <v>0</v>
      </c>
      <c r="Q172" s="475">
        <v>0</v>
      </c>
      <c r="R172" s="475">
        <v>0</v>
      </c>
      <c r="S172" s="503">
        <v>0</v>
      </c>
      <c r="T172" s="502">
        <v>0</v>
      </c>
      <c r="U172" s="503">
        <v>0</v>
      </c>
      <c r="V172" s="503">
        <v>0</v>
      </c>
      <c r="W172" s="503">
        <v>0</v>
      </c>
      <c r="X172" s="503">
        <v>0</v>
      </c>
      <c r="Y172" s="503">
        <v>0</v>
      </c>
      <c r="Z172" s="503">
        <v>0</v>
      </c>
      <c r="AA172" s="503">
        <v>0</v>
      </c>
      <c r="AB172" s="503">
        <v>0</v>
      </c>
      <c r="AC172" s="503">
        <v>0</v>
      </c>
      <c r="AD172" s="503">
        <v>0</v>
      </c>
      <c r="AE172" s="502">
        <v>0</v>
      </c>
      <c r="AF172" s="503">
        <v>0</v>
      </c>
      <c r="AG172" s="503">
        <v>0</v>
      </c>
      <c r="AH172" s="503">
        <v>0</v>
      </c>
      <c r="AI172" s="503">
        <v>0</v>
      </c>
      <c r="AJ172" s="503">
        <v>0</v>
      </c>
      <c r="AK172" s="503">
        <v>0</v>
      </c>
      <c r="AL172" s="502">
        <v>0</v>
      </c>
      <c r="AM172" s="503">
        <v>0</v>
      </c>
      <c r="AN172" s="503">
        <v>0</v>
      </c>
      <c r="AO172" s="502">
        <v>0</v>
      </c>
      <c r="AP172" s="503">
        <v>0</v>
      </c>
      <c r="AQ172" s="502">
        <v>0</v>
      </c>
      <c r="AR172" s="503">
        <v>0</v>
      </c>
      <c r="AT172" s="351"/>
      <c r="BA172" s="500"/>
      <c r="BC172" s="500"/>
      <c r="BE172" s="500"/>
      <c r="BG172" s="500"/>
      <c r="BI172" s="500"/>
      <c r="BK172" s="500"/>
      <c r="BO172" s="500"/>
      <c r="BR172" s="351"/>
      <c r="BT172" s="500"/>
      <c r="BW172" s="500"/>
      <c r="CA172" s="500"/>
      <c r="CC172" s="500"/>
      <c r="CG172" s="500"/>
      <c r="CJ172" s="351"/>
      <c r="CM172" s="500"/>
      <c r="CO172" s="500"/>
      <c r="CQ172" s="500"/>
      <c r="CS172" s="500"/>
      <c r="CU172" s="500"/>
      <c r="CW172" s="500"/>
      <c r="CZ172" s="351"/>
    </row>
    <row r="173" spans="2:104" s="278" customFormat="1" ht="15" hidden="1" outlineLevel="1" collapsed="1">
      <c r="C173" s="505"/>
      <c r="D173" s="186"/>
      <c r="E173" s="506"/>
      <c r="F173" s="520" t="s">
        <v>1411</v>
      </c>
      <c r="G173" s="403"/>
      <c r="H173" s="521">
        <v>0</v>
      </c>
      <c r="I173" s="521">
        <v>0</v>
      </c>
      <c r="J173" s="521">
        <v>0</v>
      </c>
      <c r="K173" s="521">
        <v>0</v>
      </c>
      <c r="L173" s="521">
        <v>0</v>
      </c>
      <c r="M173" s="521">
        <v>0</v>
      </c>
      <c r="N173" s="521">
        <v>0</v>
      </c>
      <c r="O173" s="521">
        <v>0</v>
      </c>
      <c r="P173" s="522">
        <v>0</v>
      </c>
      <c r="Q173" s="521">
        <v>0</v>
      </c>
      <c r="R173" s="521">
        <v>0</v>
      </c>
      <c r="S173" s="521">
        <v>0</v>
      </c>
      <c r="T173" s="522">
        <v>0</v>
      </c>
      <c r="U173" s="521">
        <v>0</v>
      </c>
      <c r="V173" s="521">
        <v>0</v>
      </c>
      <c r="W173" s="521">
        <v>0</v>
      </c>
      <c r="X173" s="521">
        <v>0</v>
      </c>
      <c r="Y173" s="521">
        <v>0</v>
      </c>
      <c r="Z173" s="521">
        <v>0</v>
      </c>
      <c r="AA173" s="521">
        <v>0</v>
      </c>
      <c r="AB173" s="521">
        <v>0</v>
      </c>
      <c r="AC173" s="521">
        <v>0</v>
      </c>
      <c r="AD173" s="521">
        <v>0</v>
      </c>
      <c r="AE173" s="522">
        <v>0</v>
      </c>
      <c r="AF173" s="521">
        <v>0</v>
      </c>
      <c r="AG173" s="521">
        <v>0</v>
      </c>
      <c r="AH173" s="521">
        <v>0</v>
      </c>
      <c r="AI173" s="521">
        <v>0</v>
      </c>
      <c r="AJ173" s="521">
        <v>0</v>
      </c>
      <c r="AK173" s="521">
        <v>0</v>
      </c>
      <c r="AL173" s="522">
        <v>0</v>
      </c>
      <c r="AM173" s="521">
        <v>0</v>
      </c>
      <c r="AN173" s="521">
        <v>0</v>
      </c>
      <c r="AO173" s="522">
        <v>0</v>
      </c>
      <c r="AP173" s="521">
        <v>0</v>
      </c>
      <c r="AQ173" s="522">
        <v>0</v>
      </c>
      <c r="AR173" s="521">
        <v>0</v>
      </c>
      <c r="AT173" s="351"/>
      <c r="BA173" s="500"/>
      <c r="BC173" s="500"/>
      <c r="BE173" s="500"/>
      <c r="BG173" s="500"/>
      <c r="BI173" s="500"/>
      <c r="BK173" s="500"/>
      <c r="BO173" s="500"/>
      <c r="BR173" s="351"/>
      <c r="BT173" s="500"/>
      <c r="BW173" s="500"/>
      <c r="CA173" s="500"/>
      <c r="CC173" s="500"/>
      <c r="CG173" s="500"/>
      <c r="CJ173" s="351"/>
      <c r="CM173" s="500"/>
      <c r="CO173" s="500"/>
      <c r="CQ173" s="500"/>
      <c r="CS173" s="500"/>
      <c r="CU173" s="500"/>
      <c r="CW173" s="500"/>
      <c r="CZ173" s="351"/>
    </row>
    <row r="174" spans="2:104" s="278" customFormat="1" hidden="1" outlineLevel="1">
      <c r="C174" s="288"/>
      <c r="D174" s="186"/>
      <c r="E174" s="289"/>
      <c r="F174" s="372"/>
      <c r="G174" s="403"/>
      <c r="H174" s="344"/>
      <c r="I174" s="344"/>
      <c r="J174" s="344"/>
      <c r="K174" s="344"/>
      <c r="L174" s="344"/>
      <c r="M174" s="344"/>
      <c r="N174" s="344"/>
      <c r="O174" s="344"/>
      <c r="P174" s="366">
        <v>0</v>
      </c>
      <c r="Q174" s="344"/>
      <c r="R174" s="344"/>
      <c r="S174" s="344"/>
      <c r="T174" s="366">
        <v>0</v>
      </c>
      <c r="U174" s="344"/>
      <c r="V174" s="344"/>
      <c r="W174" s="344"/>
      <c r="X174" s="344"/>
      <c r="Y174" s="344"/>
      <c r="Z174" s="344"/>
      <c r="AA174" s="344"/>
      <c r="AB174" s="344"/>
      <c r="AC174" s="344"/>
      <c r="AD174" s="344"/>
      <c r="AE174" s="366">
        <v>0</v>
      </c>
      <c r="AF174" s="344"/>
      <c r="AG174" s="344"/>
      <c r="AH174" s="344"/>
      <c r="AI174" s="344"/>
      <c r="AJ174" s="344"/>
      <c r="AK174" s="344"/>
      <c r="AL174" s="366">
        <v>0</v>
      </c>
      <c r="AM174" s="344"/>
      <c r="AN174" s="344"/>
      <c r="AO174" s="366">
        <v>0</v>
      </c>
      <c r="AP174" s="344"/>
      <c r="AQ174" s="366">
        <v>0</v>
      </c>
      <c r="AR174" s="344"/>
      <c r="AT174" s="351"/>
      <c r="BA174" s="500"/>
      <c r="BC174" s="500"/>
      <c r="BE174" s="500"/>
      <c r="BG174" s="500"/>
      <c r="BI174" s="500"/>
      <c r="BK174" s="500"/>
      <c r="BO174" s="500"/>
      <c r="BR174" s="351"/>
      <c r="BT174" s="500"/>
      <c r="BW174" s="500"/>
      <c r="CA174" s="500"/>
      <c r="CC174" s="500"/>
      <c r="CG174" s="500"/>
      <c r="CJ174" s="351"/>
      <c r="CM174" s="500"/>
      <c r="CO174" s="500"/>
      <c r="CQ174" s="500"/>
      <c r="CS174" s="500"/>
      <c r="CU174" s="500"/>
      <c r="CW174" s="500"/>
      <c r="CZ174" s="351"/>
    </row>
    <row r="175" spans="2:104" hidden="1" outlineLevel="1">
      <c r="F175" s="460"/>
      <c r="G175" s="236"/>
      <c r="H175" s="523"/>
      <c r="I175" s="523"/>
      <c r="J175" s="523"/>
      <c r="K175" s="523"/>
      <c r="L175" s="523"/>
      <c r="M175" s="523"/>
      <c r="N175" s="523"/>
      <c r="O175" s="523"/>
      <c r="P175" s="524">
        <v>12</v>
      </c>
      <c r="Q175" s="523"/>
      <c r="R175" s="523"/>
      <c r="S175" s="523"/>
      <c r="T175" s="524">
        <v>12</v>
      </c>
      <c r="U175" s="523"/>
      <c r="V175" s="523"/>
      <c r="W175" s="523"/>
      <c r="X175" s="523"/>
      <c r="Y175" s="523"/>
      <c r="Z175" s="523"/>
      <c r="AA175" s="523"/>
      <c r="AB175" s="523"/>
      <c r="AC175" s="523"/>
      <c r="AD175" s="523"/>
      <c r="AE175" s="524">
        <v>12</v>
      </c>
      <c r="AF175" s="523"/>
      <c r="AG175" s="523"/>
      <c r="AH175" s="523"/>
      <c r="AI175" s="523"/>
      <c r="AJ175" s="523"/>
      <c r="AK175" s="523"/>
      <c r="AL175" s="524">
        <v>12</v>
      </c>
      <c r="AM175" s="523"/>
      <c r="AN175" s="523"/>
      <c r="AO175" s="524">
        <v>12</v>
      </c>
      <c r="AP175" s="523"/>
      <c r="AQ175" s="524">
        <v>12</v>
      </c>
      <c r="AR175" s="523">
        <v>12</v>
      </c>
      <c r="BA175" s="443"/>
      <c r="BC175" s="443"/>
      <c r="BE175" s="443"/>
      <c r="BG175" s="443"/>
      <c r="BI175" s="443"/>
      <c r="BK175" s="443"/>
      <c r="BO175" s="443"/>
      <c r="BT175" s="443"/>
      <c r="BW175" s="443"/>
      <c r="CA175" s="443"/>
      <c r="CC175" s="443"/>
      <c r="CG175" s="443"/>
      <c r="CM175" s="443"/>
      <c r="CO175" s="443"/>
      <c r="CQ175" s="443"/>
      <c r="CS175" s="443"/>
      <c r="CU175" s="443"/>
      <c r="CW175" s="443"/>
    </row>
    <row r="176" spans="2:104" hidden="1" outlineLevel="1">
      <c r="F176" s="525" t="s">
        <v>1412</v>
      </c>
      <c r="G176" s="310"/>
      <c r="H176" s="378"/>
      <c r="I176" s="378"/>
      <c r="J176" s="378"/>
      <c r="K176" s="378"/>
      <c r="L176" s="378"/>
      <c r="M176" s="378"/>
      <c r="N176" s="378"/>
      <c r="O176" s="378"/>
      <c r="P176" s="425">
        <v>7628.6684187803803</v>
      </c>
      <c r="Q176" s="378"/>
      <c r="R176" s="378"/>
      <c r="S176" s="378"/>
      <c r="T176" s="425">
        <v>5563.6509044149188</v>
      </c>
      <c r="U176" s="378"/>
      <c r="V176" s="378"/>
      <c r="W176" s="378"/>
      <c r="X176" s="378"/>
      <c r="Y176" s="378"/>
      <c r="Z176" s="378"/>
      <c r="AA176" s="378"/>
      <c r="AB176" s="378"/>
      <c r="AC176" s="378"/>
      <c r="AD176" s="378"/>
      <c r="AE176" s="425">
        <v>6606.945600304487</v>
      </c>
      <c r="AF176" s="378"/>
      <c r="AG176" s="378"/>
      <c r="AH176" s="378"/>
      <c r="AI176" s="378"/>
      <c r="AJ176" s="378"/>
      <c r="AK176" s="378"/>
      <c r="AL176" s="425">
        <v>5708.7166451010207</v>
      </c>
      <c r="AM176" s="378"/>
      <c r="AN176" s="378"/>
      <c r="AO176" s="425">
        <v>7322.8468295399916</v>
      </c>
      <c r="AP176" s="378"/>
      <c r="AQ176" s="425">
        <v>8964.3343126037089</v>
      </c>
      <c r="AR176" s="378">
        <v>6979.6818274488242</v>
      </c>
      <c r="BA176" s="443"/>
      <c r="BC176" s="443"/>
      <c r="BE176" s="443"/>
      <c r="BG176" s="443"/>
      <c r="BI176" s="443"/>
      <c r="BK176" s="443"/>
      <c r="BO176" s="443"/>
      <c r="BT176" s="443"/>
      <c r="BW176" s="443"/>
      <c r="CA176" s="443"/>
      <c r="CC176" s="443"/>
      <c r="CG176" s="443"/>
      <c r="CM176" s="443"/>
      <c r="CO176" s="443"/>
      <c r="CQ176" s="443"/>
      <c r="CS176" s="443"/>
      <c r="CU176" s="443"/>
      <c r="CW176" s="443"/>
    </row>
    <row r="177" spans="3:101" hidden="1" outlineLevel="1">
      <c r="F177" s="525" t="s">
        <v>1413</v>
      </c>
      <c r="G177" s="526">
        <v>0.1</v>
      </c>
      <c r="H177" s="378"/>
      <c r="I177" s="378"/>
      <c r="J177" s="378"/>
      <c r="K177" s="378"/>
      <c r="L177" s="378"/>
      <c r="M177" s="378"/>
      <c r="N177" s="378"/>
      <c r="O177" s="378"/>
      <c r="P177" s="425">
        <v>8391.5352606584183</v>
      </c>
      <c r="Q177" s="378"/>
      <c r="R177" s="378"/>
      <c r="S177" s="378"/>
      <c r="T177" s="425">
        <v>6120.0159948564115</v>
      </c>
      <c r="U177" s="378"/>
      <c r="V177" s="378"/>
      <c r="W177" s="378"/>
      <c r="X177" s="378"/>
      <c r="Y177" s="378"/>
      <c r="Z177" s="378"/>
      <c r="AA177" s="378"/>
      <c r="AB177" s="378"/>
      <c r="AC177" s="378"/>
      <c r="AD177" s="378"/>
      <c r="AE177" s="425">
        <v>7267.6401603349359</v>
      </c>
      <c r="AF177" s="378"/>
      <c r="AG177" s="378"/>
      <c r="AH177" s="378"/>
      <c r="AI177" s="378"/>
      <c r="AJ177" s="378"/>
      <c r="AK177" s="378"/>
      <c r="AL177" s="425">
        <v>6279.5883096111229</v>
      </c>
      <c r="AM177" s="378"/>
      <c r="AN177" s="378"/>
      <c r="AO177" s="425">
        <v>8055.1315124939911</v>
      </c>
      <c r="AP177" s="378"/>
      <c r="AQ177" s="425">
        <v>9860.7677438640803</v>
      </c>
      <c r="AR177" s="378">
        <v>7677.6500101937072</v>
      </c>
      <c r="BA177" s="443"/>
      <c r="BC177" s="443"/>
      <c r="BE177" s="443"/>
      <c r="BG177" s="443"/>
      <c r="BI177" s="443"/>
      <c r="BK177" s="443"/>
      <c r="BO177" s="443"/>
      <c r="BT177" s="443"/>
      <c r="BW177" s="443"/>
      <c r="CA177" s="443"/>
      <c r="CC177" s="443"/>
      <c r="CG177" s="443"/>
      <c r="CM177" s="443"/>
      <c r="CO177" s="443"/>
      <c r="CQ177" s="443"/>
      <c r="CS177" s="443"/>
      <c r="CU177" s="443"/>
      <c r="CW177" s="443"/>
    </row>
    <row r="178" spans="3:101" hidden="1" outlineLevel="1">
      <c r="F178" s="525" t="s">
        <v>1414</v>
      </c>
      <c r="G178" s="526">
        <v>0.2</v>
      </c>
      <c r="H178" s="378"/>
      <c r="I178" s="378"/>
      <c r="J178" s="378"/>
      <c r="K178" s="378"/>
      <c r="L178" s="378"/>
      <c r="M178" s="378"/>
      <c r="N178" s="378"/>
      <c r="O178" s="378"/>
      <c r="P178" s="425">
        <v>9154.4021025364564</v>
      </c>
      <c r="Q178" s="378"/>
      <c r="R178" s="378"/>
      <c r="S178" s="378"/>
      <c r="T178" s="425">
        <v>6676.3810852979022</v>
      </c>
      <c r="U178" s="378"/>
      <c r="V178" s="378"/>
      <c r="W178" s="378"/>
      <c r="X178" s="378"/>
      <c r="Y178" s="378"/>
      <c r="Z178" s="378"/>
      <c r="AA178" s="378"/>
      <c r="AB178" s="378"/>
      <c r="AC178" s="378"/>
      <c r="AD178" s="378"/>
      <c r="AE178" s="425">
        <v>7928.3347203653839</v>
      </c>
      <c r="AF178" s="378"/>
      <c r="AG178" s="378"/>
      <c r="AH178" s="378"/>
      <c r="AI178" s="378"/>
      <c r="AJ178" s="378"/>
      <c r="AK178" s="378"/>
      <c r="AL178" s="425">
        <v>6850.4599741212251</v>
      </c>
      <c r="AM178" s="378"/>
      <c r="AN178" s="378"/>
      <c r="AO178" s="425">
        <v>8787.4161954479896</v>
      </c>
      <c r="AP178" s="378"/>
      <c r="AQ178" s="425">
        <v>10757.20117512445</v>
      </c>
      <c r="AR178" s="378">
        <v>8375.6181929385893</v>
      </c>
      <c r="BA178" s="443"/>
      <c r="BC178" s="443"/>
      <c r="BE178" s="443"/>
      <c r="BG178" s="443"/>
      <c r="BI178" s="443"/>
      <c r="BK178" s="443"/>
      <c r="BO178" s="443"/>
      <c r="BT178" s="443"/>
      <c r="BW178" s="443"/>
      <c r="CA178" s="443"/>
      <c r="CC178" s="443"/>
      <c r="CG178" s="443"/>
      <c r="CM178" s="443"/>
      <c r="CO178" s="443"/>
      <c r="CQ178" s="443"/>
      <c r="CS178" s="443"/>
      <c r="CU178" s="443"/>
      <c r="CW178" s="443"/>
    </row>
    <row r="179" spans="3:101" hidden="1" outlineLevel="1">
      <c r="F179" s="525" t="s">
        <v>1415</v>
      </c>
      <c r="G179" s="526">
        <v>0.3</v>
      </c>
      <c r="H179" s="378"/>
      <c r="I179" s="378"/>
      <c r="J179" s="378"/>
      <c r="K179" s="378"/>
      <c r="L179" s="378"/>
      <c r="M179" s="378"/>
      <c r="N179" s="378"/>
      <c r="O179" s="378"/>
      <c r="P179" s="425">
        <v>9917.2689444144944</v>
      </c>
      <c r="Q179" s="378"/>
      <c r="R179" s="378"/>
      <c r="S179" s="378"/>
      <c r="T179" s="425">
        <v>7232.7461757393949</v>
      </c>
      <c r="U179" s="378"/>
      <c r="V179" s="378"/>
      <c r="W179" s="378"/>
      <c r="X179" s="378"/>
      <c r="Y179" s="378"/>
      <c r="Z179" s="378"/>
      <c r="AA179" s="378"/>
      <c r="AB179" s="378"/>
      <c r="AC179" s="378"/>
      <c r="AD179" s="378"/>
      <c r="AE179" s="425">
        <v>8589.0292803958328</v>
      </c>
      <c r="AF179" s="378"/>
      <c r="AG179" s="378"/>
      <c r="AH179" s="378"/>
      <c r="AI179" s="378"/>
      <c r="AJ179" s="378"/>
      <c r="AK179" s="378"/>
      <c r="AL179" s="425">
        <v>7421.3316386313272</v>
      </c>
      <c r="AM179" s="378"/>
      <c r="AN179" s="378"/>
      <c r="AO179" s="425">
        <v>9519.700878401989</v>
      </c>
      <c r="AP179" s="378"/>
      <c r="AQ179" s="425">
        <v>11653.634606384821</v>
      </c>
      <c r="AR179" s="378">
        <v>9073.5863756834715</v>
      </c>
      <c r="BA179" s="443"/>
      <c r="BC179" s="443"/>
      <c r="BE179" s="443"/>
      <c r="BG179" s="443"/>
      <c r="BI179" s="443"/>
      <c r="BK179" s="443"/>
      <c r="BO179" s="443"/>
      <c r="BT179" s="443"/>
      <c r="BW179" s="443"/>
      <c r="CA179" s="443"/>
      <c r="CC179" s="443"/>
      <c r="CG179" s="443"/>
      <c r="CM179" s="443"/>
      <c r="CO179" s="443"/>
      <c r="CQ179" s="443"/>
      <c r="CS179" s="443"/>
      <c r="CU179" s="443"/>
      <c r="CW179" s="443"/>
    </row>
    <row r="180" spans="3:101" hidden="1" outlineLevel="1">
      <c r="F180" s="525"/>
      <c r="G180" s="526"/>
      <c r="H180" s="378"/>
      <c r="I180" s="378"/>
      <c r="J180" s="378"/>
      <c r="K180" s="378"/>
      <c r="L180" s="378"/>
      <c r="M180" s="378"/>
      <c r="N180" s="378"/>
      <c r="O180" s="378"/>
      <c r="P180" s="425"/>
      <c r="Q180" s="378"/>
      <c r="R180" s="378"/>
      <c r="S180" s="378"/>
      <c r="T180" s="425"/>
      <c r="U180" s="378"/>
      <c r="V180" s="378"/>
      <c r="W180" s="378"/>
      <c r="X180" s="378"/>
      <c r="Y180" s="378"/>
      <c r="Z180" s="378"/>
      <c r="AA180" s="378"/>
      <c r="AB180" s="378"/>
      <c r="AC180" s="378"/>
      <c r="AD180" s="378"/>
      <c r="AE180" s="425"/>
      <c r="AF180" s="378"/>
      <c r="AG180" s="378"/>
      <c r="AH180" s="378"/>
      <c r="AI180" s="378"/>
      <c r="AJ180" s="378"/>
      <c r="AK180" s="378"/>
      <c r="AL180" s="425"/>
      <c r="AM180" s="378"/>
      <c r="AN180" s="378"/>
      <c r="AO180" s="425"/>
      <c r="AP180" s="378"/>
      <c r="AQ180" s="425"/>
      <c r="AR180" s="378"/>
      <c r="BA180" s="443"/>
      <c r="BC180" s="443"/>
      <c r="BE180" s="443"/>
      <c r="BG180" s="443"/>
      <c r="BI180" s="443"/>
      <c r="BK180" s="443"/>
      <c r="BO180" s="443"/>
      <c r="BT180" s="443"/>
      <c r="BW180" s="443"/>
      <c r="CA180" s="443"/>
      <c r="CC180" s="443"/>
      <c r="CG180" s="443"/>
      <c r="CM180" s="443"/>
      <c r="CO180" s="443"/>
      <c r="CQ180" s="443"/>
      <c r="CS180" s="443"/>
      <c r="CU180" s="443"/>
      <c r="CW180" s="443"/>
    </row>
    <row r="181" spans="3:101" hidden="1" collapsed="1">
      <c r="C181" s="527" t="s">
        <v>1416</v>
      </c>
      <c r="E181" s="527"/>
      <c r="F181" s="527" t="s">
        <v>1417</v>
      </c>
      <c r="G181" s="310"/>
      <c r="H181" s="528"/>
      <c r="I181" s="528"/>
      <c r="J181" s="528"/>
      <c r="K181" s="528"/>
      <c r="L181" s="528"/>
      <c r="M181" s="528"/>
      <c r="N181" s="528"/>
      <c r="O181" s="528"/>
      <c r="P181" s="529">
        <v>7700</v>
      </c>
      <c r="Q181" s="528"/>
      <c r="R181" s="528"/>
      <c r="S181" s="528"/>
      <c r="T181" s="529">
        <v>5600</v>
      </c>
      <c r="U181" s="528"/>
      <c r="V181" s="528"/>
      <c r="W181" s="528"/>
      <c r="X181" s="528"/>
      <c r="Y181" s="528"/>
      <c r="Z181" s="528"/>
      <c r="AA181" s="528"/>
      <c r="AB181" s="528"/>
      <c r="AC181" s="528"/>
      <c r="AD181" s="528"/>
      <c r="AE181" s="529">
        <v>6700</v>
      </c>
      <c r="AF181" s="528"/>
      <c r="AG181" s="528"/>
      <c r="AH181" s="528"/>
      <c r="AI181" s="528"/>
      <c r="AJ181" s="528"/>
      <c r="AK181" s="528"/>
      <c r="AL181" s="529">
        <v>5800</v>
      </c>
      <c r="AM181" s="528"/>
      <c r="AN181" s="528"/>
      <c r="AO181" s="529">
        <v>7400</v>
      </c>
      <c r="AP181" s="528"/>
      <c r="AQ181" s="529">
        <v>9000</v>
      </c>
      <c r="AR181" s="528">
        <v>7000</v>
      </c>
      <c r="BA181" s="443"/>
      <c r="BC181" s="443"/>
      <c r="BE181" s="443"/>
      <c r="BG181" s="443"/>
      <c r="BI181" s="443"/>
      <c r="BK181" s="443"/>
      <c r="BO181" s="443"/>
      <c r="BT181" s="443"/>
      <c r="BW181" s="443"/>
      <c r="CA181" s="443"/>
      <c r="CC181" s="443"/>
      <c r="CG181" s="443"/>
      <c r="CM181" s="443"/>
      <c r="CO181" s="443"/>
      <c r="CQ181" s="443"/>
      <c r="CS181" s="443"/>
      <c r="CU181" s="443"/>
      <c r="CW181" s="443"/>
    </row>
    <row r="182" spans="3:101" hidden="1">
      <c r="C182" s="530" t="s">
        <v>1418</v>
      </c>
      <c r="E182" s="530"/>
      <c r="F182" s="530" t="s">
        <v>1418</v>
      </c>
      <c r="G182" s="310"/>
      <c r="H182" s="531"/>
      <c r="I182" s="531"/>
      <c r="J182" s="531"/>
      <c r="K182" s="531"/>
      <c r="L182" s="531"/>
      <c r="M182" s="531"/>
      <c r="N182" s="531"/>
      <c r="O182" s="531"/>
      <c r="P182" s="532">
        <v>8400</v>
      </c>
      <c r="Q182" s="531"/>
      <c r="R182" s="531"/>
      <c r="S182" s="531"/>
      <c r="T182" s="532">
        <v>6200</v>
      </c>
      <c r="U182" s="531"/>
      <c r="V182" s="531"/>
      <c r="W182" s="531"/>
      <c r="X182" s="531"/>
      <c r="Y182" s="531"/>
      <c r="Z182" s="531"/>
      <c r="AA182" s="531"/>
      <c r="AB182" s="531"/>
      <c r="AC182" s="531"/>
      <c r="AD182" s="531"/>
      <c r="AE182" s="532">
        <v>7300</v>
      </c>
      <c r="AF182" s="531"/>
      <c r="AG182" s="531"/>
      <c r="AH182" s="531"/>
      <c r="AI182" s="531"/>
      <c r="AJ182" s="531"/>
      <c r="AK182" s="531"/>
      <c r="AL182" s="532">
        <v>6300</v>
      </c>
      <c r="AM182" s="531"/>
      <c r="AN182" s="531"/>
      <c r="AO182" s="532">
        <v>8100</v>
      </c>
      <c r="AP182" s="531"/>
      <c r="AQ182" s="532">
        <v>9900</v>
      </c>
      <c r="AR182" s="531">
        <v>7700</v>
      </c>
      <c r="BA182" s="443"/>
      <c r="BC182" s="443"/>
      <c r="BE182" s="443"/>
      <c r="BG182" s="443"/>
      <c r="BI182" s="443"/>
      <c r="BK182" s="443"/>
      <c r="BO182" s="443"/>
      <c r="BT182" s="443"/>
      <c r="BW182" s="443"/>
      <c r="CA182" s="443"/>
      <c r="CC182" s="443"/>
      <c r="CG182" s="443"/>
      <c r="CM182" s="443"/>
      <c r="CO182" s="443"/>
      <c r="CQ182" s="443"/>
      <c r="CS182" s="443"/>
      <c r="CU182" s="443"/>
      <c r="CW182" s="443"/>
    </row>
    <row r="183" spans="3:101" hidden="1">
      <c r="C183" s="533" t="s">
        <v>1419</v>
      </c>
      <c r="E183" s="533"/>
      <c r="F183" s="533" t="s">
        <v>1419</v>
      </c>
      <c r="G183" s="310"/>
      <c r="H183" s="534"/>
      <c r="I183" s="534"/>
      <c r="J183" s="534"/>
      <c r="K183" s="534"/>
      <c r="L183" s="534"/>
      <c r="M183" s="534"/>
      <c r="N183" s="534"/>
      <c r="O183" s="534"/>
      <c r="P183" s="535">
        <v>9200</v>
      </c>
      <c r="Q183" s="534"/>
      <c r="R183" s="534"/>
      <c r="S183" s="534"/>
      <c r="T183" s="535">
        <v>6700</v>
      </c>
      <c r="U183" s="534"/>
      <c r="V183" s="534"/>
      <c r="W183" s="534"/>
      <c r="X183" s="534"/>
      <c r="Y183" s="534"/>
      <c r="Z183" s="534"/>
      <c r="AA183" s="534"/>
      <c r="AB183" s="534"/>
      <c r="AC183" s="534"/>
      <c r="AD183" s="534"/>
      <c r="AE183" s="535">
        <v>8000</v>
      </c>
      <c r="AF183" s="534"/>
      <c r="AG183" s="534"/>
      <c r="AH183" s="534"/>
      <c r="AI183" s="534"/>
      <c r="AJ183" s="534"/>
      <c r="AK183" s="534"/>
      <c r="AL183" s="535">
        <v>6900</v>
      </c>
      <c r="AM183" s="534"/>
      <c r="AN183" s="534"/>
      <c r="AO183" s="535">
        <v>8800</v>
      </c>
      <c r="AP183" s="534"/>
      <c r="AQ183" s="535">
        <v>10800</v>
      </c>
      <c r="AR183" s="534">
        <v>8400</v>
      </c>
      <c r="BA183" s="443"/>
      <c r="BC183" s="443"/>
      <c r="BE183" s="443"/>
      <c r="BG183" s="443"/>
      <c r="BI183" s="443"/>
      <c r="BK183" s="443"/>
      <c r="BO183" s="443"/>
      <c r="BT183" s="443"/>
      <c r="BW183" s="443"/>
      <c r="CA183" s="443"/>
      <c r="CC183" s="443"/>
      <c r="CG183" s="443"/>
      <c r="CM183" s="443"/>
      <c r="CO183" s="443"/>
      <c r="CQ183" s="443"/>
      <c r="CS183" s="443"/>
      <c r="CU183" s="443"/>
      <c r="CW183" s="443"/>
    </row>
    <row r="184" spans="3:101" hidden="1">
      <c r="C184" s="536" t="s">
        <v>1420</v>
      </c>
      <c r="E184" s="536"/>
      <c r="F184" s="536" t="s">
        <v>1420</v>
      </c>
      <c r="G184" s="310"/>
      <c r="H184" s="537"/>
      <c r="I184" s="537"/>
      <c r="J184" s="537"/>
      <c r="K184" s="537"/>
      <c r="L184" s="537"/>
      <c r="M184" s="537"/>
      <c r="N184" s="537"/>
      <c r="O184" s="537"/>
      <c r="P184" s="538">
        <v>10000</v>
      </c>
      <c r="Q184" s="537"/>
      <c r="R184" s="537"/>
      <c r="S184" s="537"/>
      <c r="T184" s="538">
        <v>7300</v>
      </c>
      <c r="U184" s="537"/>
      <c r="V184" s="537"/>
      <c r="W184" s="537"/>
      <c r="X184" s="537"/>
      <c r="Y184" s="537"/>
      <c r="Z184" s="537"/>
      <c r="AA184" s="537"/>
      <c r="AB184" s="537"/>
      <c r="AC184" s="537"/>
      <c r="AD184" s="537"/>
      <c r="AE184" s="538">
        <v>8600</v>
      </c>
      <c r="AF184" s="537"/>
      <c r="AG184" s="537"/>
      <c r="AH184" s="537"/>
      <c r="AI184" s="537"/>
      <c r="AJ184" s="537"/>
      <c r="AK184" s="537"/>
      <c r="AL184" s="538">
        <v>7500</v>
      </c>
      <c r="AM184" s="537"/>
      <c r="AN184" s="537"/>
      <c r="AO184" s="538">
        <v>9600</v>
      </c>
      <c r="AP184" s="537"/>
      <c r="AQ184" s="538">
        <v>11700</v>
      </c>
      <c r="AR184" s="537">
        <v>9100</v>
      </c>
      <c r="BA184" s="443"/>
      <c r="BC184" s="443"/>
      <c r="BE184" s="443"/>
      <c r="BG184" s="443"/>
      <c r="BI184" s="443"/>
      <c r="BK184" s="443"/>
      <c r="BO184" s="443"/>
      <c r="BT184" s="443"/>
      <c r="BW184" s="443"/>
      <c r="CA184" s="443"/>
      <c r="CC184" s="443"/>
      <c r="CG184" s="443"/>
      <c r="CM184" s="443"/>
      <c r="CO184" s="443"/>
      <c r="CQ184" s="443"/>
      <c r="CS184" s="443"/>
      <c r="CU184" s="443"/>
      <c r="CW184" s="443"/>
    </row>
    <row r="185" spans="3:101" hidden="1">
      <c r="G185" s="310"/>
      <c r="P185" s="443"/>
      <c r="T185" s="443"/>
      <c r="AE185" s="443"/>
      <c r="AL185" s="443"/>
      <c r="AO185" s="443"/>
      <c r="AQ185" s="443"/>
      <c r="BA185" s="443"/>
      <c r="BC185" s="443"/>
      <c r="BE185" s="443"/>
      <c r="BG185" s="443"/>
      <c r="BI185" s="443"/>
      <c r="BK185" s="443"/>
      <c r="BO185" s="443"/>
      <c r="BT185" s="443"/>
      <c r="BW185" s="443"/>
      <c r="CA185" s="443"/>
      <c r="CC185" s="443"/>
      <c r="CG185" s="443"/>
      <c r="CM185" s="443"/>
      <c r="CO185" s="443"/>
      <c r="CQ185" s="443"/>
      <c r="CS185" s="443"/>
      <c r="CU185" s="443"/>
      <c r="CW185" s="443"/>
    </row>
    <row r="186" spans="3:101" hidden="1" outlineLevel="1">
      <c r="C186" s="539"/>
      <c r="E186" s="540"/>
      <c r="F186" s="527" t="s">
        <v>1421</v>
      </c>
      <c r="G186" s="310"/>
      <c r="H186" s="541"/>
      <c r="I186" s="541"/>
      <c r="J186" s="541"/>
      <c r="K186" s="541"/>
      <c r="L186" s="541"/>
      <c r="M186" s="541"/>
      <c r="N186" s="541"/>
      <c r="O186" s="541"/>
      <c r="P186" s="542">
        <v>67.106568852437775</v>
      </c>
      <c r="Q186" s="541"/>
      <c r="R186" s="541"/>
      <c r="S186" s="541"/>
      <c r="T186" s="542">
        <v>56.568300442928262</v>
      </c>
      <c r="U186" s="541"/>
      <c r="V186" s="541"/>
      <c r="W186" s="541"/>
      <c r="X186" s="541"/>
      <c r="Y186" s="541"/>
      <c r="Z186" s="541"/>
      <c r="AA186" s="541"/>
      <c r="AB186" s="541"/>
      <c r="AC186" s="541"/>
      <c r="AD186" s="541"/>
      <c r="AE186" s="542">
        <v>56.129983726701738</v>
      </c>
      <c r="AF186" s="541"/>
      <c r="AG186" s="541"/>
      <c r="AH186" s="541"/>
      <c r="AI186" s="541"/>
      <c r="AJ186" s="541"/>
      <c r="AK186" s="541"/>
      <c r="AL186" s="542">
        <v>49.585114576339166</v>
      </c>
      <c r="AM186" s="541"/>
      <c r="AN186" s="541"/>
      <c r="AO186" s="542">
        <v>60.66989267538743</v>
      </c>
      <c r="AP186" s="541"/>
      <c r="AQ186" s="542">
        <v>58.448979156302876</v>
      </c>
      <c r="AR186" s="541">
        <v>57.997456995925539</v>
      </c>
      <c r="BA186" s="443"/>
      <c r="BC186" s="443"/>
      <c r="BE186" s="443"/>
      <c r="BG186" s="443"/>
      <c r="BI186" s="443"/>
      <c r="BK186" s="443"/>
      <c r="BO186" s="443"/>
      <c r="BT186" s="443"/>
      <c r="BW186" s="443"/>
      <c r="CA186" s="443"/>
      <c r="CC186" s="443"/>
      <c r="CG186" s="443"/>
      <c r="CM186" s="443"/>
      <c r="CO186" s="443"/>
      <c r="CQ186" s="443"/>
      <c r="CS186" s="443"/>
      <c r="CU186" s="443"/>
      <c r="CW186" s="443"/>
    </row>
    <row r="187" spans="3:101" hidden="1" outlineLevel="1">
      <c r="C187" s="543">
        <v>0.1</v>
      </c>
      <c r="E187" s="544"/>
      <c r="F187" s="530" t="s">
        <v>1422</v>
      </c>
      <c r="G187" s="310"/>
      <c r="H187" s="545"/>
      <c r="I187" s="545"/>
      <c r="J187" s="545"/>
      <c r="K187" s="545"/>
      <c r="L187" s="545"/>
      <c r="M187" s="545"/>
      <c r="N187" s="545"/>
      <c r="O187" s="545"/>
      <c r="P187" s="546">
        <v>73.817225737681554</v>
      </c>
      <c r="Q187" s="545"/>
      <c r="R187" s="545"/>
      <c r="S187" s="545"/>
      <c r="T187" s="546">
        <v>62.225130487221094</v>
      </c>
      <c r="U187" s="545"/>
      <c r="V187" s="545"/>
      <c r="W187" s="545"/>
      <c r="X187" s="545"/>
      <c r="Y187" s="545"/>
      <c r="Z187" s="545"/>
      <c r="AA187" s="545"/>
      <c r="AB187" s="545"/>
      <c r="AC187" s="545"/>
      <c r="AD187" s="545"/>
      <c r="AE187" s="546">
        <v>61.742982099371915</v>
      </c>
      <c r="AF187" s="545"/>
      <c r="AG187" s="545"/>
      <c r="AH187" s="545"/>
      <c r="AI187" s="545"/>
      <c r="AJ187" s="545"/>
      <c r="AK187" s="545"/>
      <c r="AL187" s="546">
        <v>54.543626033973084</v>
      </c>
      <c r="AM187" s="545"/>
      <c r="AN187" s="545"/>
      <c r="AO187" s="546">
        <v>66.736881942926175</v>
      </c>
      <c r="AP187" s="545"/>
      <c r="AQ187" s="546">
        <v>64.293877071933167</v>
      </c>
      <c r="AR187" s="545">
        <v>63.797202695518095</v>
      </c>
      <c r="BA187" s="443"/>
      <c r="BC187" s="443"/>
      <c r="BE187" s="443"/>
      <c r="BG187" s="443"/>
      <c r="BI187" s="443"/>
      <c r="BK187" s="443"/>
      <c r="BO187" s="443"/>
      <c r="BT187" s="443"/>
      <c r="BW187" s="443"/>
      <c r="CA187" s="443"/>
      <c r="CC187" s="443"/>
      <c r="CG187" s="443"/>
      <c r="CM187" s="443"/>
      <c r="CO187" s="443"/>
      <c r="CQ187" s="443"/>
      <c r="CS187" s="443"/>
      <c r="CU187" s="443"/>
      <c r="CW187" s="443"/>
    </row>
    <row r="188" spans="3:101" hidden="1" outlineLevel="1">
      <c r="C188" s="547">
        <v>0.2</v>
      </c>
      <c r="E188" s="548"/>
      <c r="F188" s="533" t="s">
        <v>1423</v>
      </c>
      <c r="G188" s="310"/>
      <c r="H188" s="549"/>
      <c r="I188" s="549"/>
      <c r="J188" s="549"/>
      <c r="K188" s="549"/>
      <c r="L188" s="549"/>
      <c r="M188" s="549"/>
      <c r="N188" s="549"/>
      <c r="O188" s="549"/>
      <c r="P188" s="550">
        <v>88.580670885217856</v>
      </c>
      <c r="Q188" s="549"/>
      <c r="R188" s="549"/>
      <c r="S188" s="549"/>
      <c r="T188" s="550">
        <v>74.670156584665307</v>
      </c>
      <c r="U188" s="549"/>
      <c r="V188" s="549"/>
      <c r="W188" s="549"/>
      <c r="X188" s="549"/>
      <c r="Y188" s="549"/>
      <c r="Z188" s="549"/>
      <c r="AA188" s="549"/>
      <c r="AB188" s="549"/>
      <c r="AC188" s="549"/>
      <c r="AD188" s="549"/>
      <c r="AE188" s="550">
        <v>74.091578519246298</v>
      </c>
      <c r="AF188" s="549"/>
      <c r="AG188" s="549"/>
      <c r="AH188" s="549"/>
      <c r="AI188" s="549"/>
      <c r="AJ188" s="549"/>
      <c r="AK188" s="549"/>
      <c r="AL188" s="550">
        <v>65.452351240767698</v>
      </c>
      <c r="AM188" s="549"/>
      <c r="AN188" s="549"/>
      <c r="AO188" s="550">
        <v>80.084258331511407</v>
      </c>
      <c r="AP188" s="549"/>
      <c r="AQ188" s="550">
        <v>77.152652486319795</v>
      </c>
      <c r="AR188" s="549">
        <v>76.556643234621717</v>
      </c>
      <c r="BA188" s="443"/>
      <c r="BC188" s="443"/>
      <c r="BE188" s="443"/>
      <c r="BG188" s="443"/>
      <c r="BI188" s="443"/>
      <c r="BK188" s="443"/>
      <c r="BO188" s="443"/>
      <c r="BT188" s="443"/>
      <c r="BW188" s="443"/>
      <c r="CA188" s="443"/>
      <c r="CC188" s="443"/>
      <c r="CG188" s="443"/>
      <c r="CM188" s="443"/>
      <c r="CO188" s="443"/>
      <c r="CQ188" s="443"/>
      <c r="CS188" s="443"/>
      <c r="CU188" s="443"/>
      <c r="CW188" s="443"/>
    </row>
    <row r="189" spans="3:101" hidden="1" outlineLevel="1">
      <c r="C189" s="551">
        <v>0.3</v>
      </c>
      <c r="E189" s="552"/>
      <c r="F189" s="536" t="s">
        <v>1424</v>
      </c>
      <c r="G189" s="310"/>
      <c r="H189" s="553"/>
      <c r="I189" s="553"/>
      <c r="J189" s="553"/>
      <c r="K189" s="553"/>
      <c r="L189" s="553"/>
      <c r="M189" s="553"/>
      <c r="N189" s="553"/>
      <c r="O189" s="553"/>
      <c r="P189" s="554">
        <v>115.15487215078322</v>
      </c>
      <c r="Q189" s="553"/>
      <c r="R189" s="553"/>
      <c r="S189" s="553"/>
      <c r="T189" s="554">
        <v>97.071203560064902</v>
      </c>
      <c r="U189" s="553"/>
      <c r="V189" s="553"/>
      <c r="W189" s="553"/>
      <c r="X189" s="553"/>
      <c r="Y189" s="553"/>
      <c r="Z189" s="553"/>
      <c r="AA189" s="553"/>
      <c r="AB189" s="553"/>
      <c r="AC189" s="553"/>
      <c r="AD189" s="553"/>
      <c r="AE189" s="554">
        <v>96.319052075020196</v>
      </c>
      <c r="AF189" s="553"/>
      <c r="AG189" s="553"/>
      <c r="AH189" s="553"/>
      <c r="AI189" s="553"/>
      <c r="AJ189" s="553"/>
      <c r="AK189" s="553"/>
      <c r="AL189" s="554">
        <v>85.088056612998017</v>
      </c>
      <c r="AM189" s="553"/>
      <c r="AN189" s="553"/>
      <c r="AO189" s="554">
        <v>104.10953583096483</v>
      </c>
      <c r="AP189" s="553"/>
      <c r="AQ189" s="554">
        <v>100.29844823221573</v>
      </c>
      <c r="AR189" s="553">
        <v>99.523636205008231</v>
      </c>
      <c r="BA189" s="443"/>
      <c r="BC189" s="443"/>
      <c r="BE189" s="443"/>
      <c r="BG189" s="443"/>
      <c r="BI189" s="443"/>
      <c r="BK189" s="443"/>
      <c r="BO189" s="443"/>
      <c r="BT189" s="443"/>
      <c r="BW189" s="443"/>
      <c r="CA189" s="443"/>
      <c r="CC189" s="443"/>
      <c r="CG189" s="443"/>
      <c r="CM189" s="443"/>
      <c r="CO189" s="443"/>
      <c r="CQ189" s="443"/>
      <c r="CS189" s="443"/>
      <c r="CU189" s="443"/>
      <c r="CW189" s="443"/>
    </row>
    <row r="190" spans="3:101" hidden="1" outlineLevel="1">
      <c r="G190" s="310"/>
      <c r="P190" s="443"/>
      <c r="T190" s="443"/>
      <c r="AE190" s="443"/>
      <c r="AL190" s="443"/>
      <c r="AO190" s="443"/>
      <c r="AQ190" s="443"/>
      <c r="BA190" s="443"/>
      <c r="BC190" s="443"/>
      <c r="BE190" s="443"/>
      <c r="BG190" s="443"/>
      <c r="BI190" s="443"/>
      <c r="BK190" s="443"/>
      <c r="BO190" s="443"/>
      <c r="BT190" s="443"/>
      <c r="BW190" s="443"/>
      <c r="CA190" s="443"/>
      <c r="CC190" s="443"/>
      <c r="CG190" s="443"/>
      <c r="CM190" s="443"/>
      <c r="CO190" s="443"/>
      <c r="CQ190" s="443"/>
      <c r="CS190" s="443"/>
      <c r="CU190" s="443"/>
      <c r="CW190" s="443"/>
    </row>
    <row r="191" spans="3:101" hidden="1" collapsed="1">
      <c r="F191" s="185" t="s">
        <v>1425</v>
      </c>
      <c r="G191" s="310"/>
      <c r="P191" s="443"/>
      <c r="T191" s="443"/>
      <c r="AE191" s="443"/>
      <c r="AL191" s="443"/>
      <c r="AO191" s="443"/>
      <c r="AQ191" s="443"/>
      <c r="BA191" s="443"/>
      <c r="BC191" s="443"/>
      <c r="BE191" s="443"/>
      <c r="BG191" s="443"/>
      <c r="BI191" s="443"/>
      <c r="BK191" s="443"/>
      <c r="BO191" s="443"/>
      <c r="BT191" s="443"/>
      <c r="BW191" s="443"/>
      <c r="CA191" s="443"/>
      <c r="CC191" s="443"/>
      <c r="CG191" s="443"/>
      <c r="CM191" s="443"/>
      <c r="CO191" s="443"/>
      <c r="CQ191" s="443"/>
      <c r="CS191" s="443"/>
      <c r="CU191" s="443"/>
      <c r="CW191" s="443"/>
    </row>
    <row r="192" spans="3:101" hidden="1">
      <c r="F192" s="185" t="s">
        <v>1426</v>
      </c>
      <c r="G192" s="310"/>
      <c r="P192" s="443"/>
      <c r="T192" s="443"/>
      <c r="AE192" s="443"/>
      <c r="AL192" s="443"/>
      <c r="AO192" s="443"/>
      <c r="AQ192" s="443"/>
      <c r="BA192" s="443"/>
      <c r="BC192" s="443"/>
      <c r="BE192" s="443"/>
      <c r="BG192" s="443"/>
      <c r="BI192" s="443"/>
      <c r="BK192" s="443"/>
      <c r="BO192" s="443"/>
      <c r="BT192" s="443"/>
      <c r="BW192" s="443"/>
      <c r="CA192" s="443"/>
      <c r="CC192" s="443"/>
      <c r="CG192" s="443"/>
      <c r="CM192" s="443"/>
      <c r="CO192" s="443"/>
      <c r="CQ192" s="443"/>
      <c r="CS192" s="443"/>
      <c r="CU192" s="443"/>
      <c r="CW192" s="443"/>
    </row>
    <row r="193" spans="4:104" hidden="1">
      <c r="F193" s="185" t="s">
        <v>1427</v>
      </c>
      <c r="G193" s="310"/>
      <c r="P193" s="443"/>
      <c r="T193" s="443"/>
      <c r="AE193" s="443"/>
      <c r="AL193" s="443"/>
      <c r="AO193" s="443"/>
      <c r="AQ193" s="443"/>
      <c r="BA193" s="443"/>
      <c r="BC193" s="443"/>
      <c r="BE193" s="443"/>
      <c r="BG193" s="443"/>
      <c r="BI193" s="443"/>
      <c r="BK193" s="443"/>
      <c r="BO193" s="443"/>
      <c r="BT193" s="443"/>
      <c r="BW193" s="443"/>
      <c r="CA193" s="443"/>
      <c r="CC193" s="443"/>
      <c r="CG193" s="443"/>
      <c r="CM193" s="443"/>
      <c r="CO193" s="443"/>
      <c r="CQ193" s="443"/>
      <c r="CS193" s="443"/>
      <c r="CU193" s="443"/>
      <c r="CW193" s="443"/>
    </row>
    <row r="194" spans="4:104" ht="15" hidden="1">
      <c r="F194" s="280" t="s">
        <v>1428</v>
      </c>
      <c r="G194" s="555"/>
      <c r="H194" s="344"/>
      <c r="I194" s="344"/>
      <c r="J194" s="344"/>
      <c r="K194" s="344"/>
      <c r="L194" s="344"/>
      <c r="M194" s="344"/>
      <c r="N194" s="344"/>
      <c r="O194" s="344"/>
      <c r="P194" s="366">
        <v>7491.0211643356488</v>
      </c>
      <c r="Q194" s="344"/>
      <c r="R194" s="344"/>
      <c r="S194" s="344"/>
      <c r="T194" s="366">
        <v>0</v>
      </c>
      <c r="U194" s="344"/>
      <c r="V194" s="344"/>
      <c r="W194" s="344"/>
      <c r="X194" s="344"/>
      <c r="Y194" s="344"/>
      <c r="Z194" s="344"/>
      <c r="AA194" s="344"/>
      <c r="AB194" s="344"/>
      <c r="AC194" s="344"/>
      <c r="AD194" s="344"/>
      <c r="AE194" s="366">
        <v>8709.3757707277164</v>
      </c>
      <c r="AF194" s="344"/>
      <c r="AG194" s="344"/>
      <c r="AH194" s="344"/>
      <c r="AI194" s="344"/>
      <c r="AJ194" s="344"/>
      <c r="AK194" s="344"/>
      <c r="AL194" s="366">
        <v>7612.6400384843291</v>
      </c>
      <c r="AM194" s="344"/>
      <c r="AN194" s="344"/>
      <c r="AO194" s="366">
        <v>9411.4912012559416</v>
      </c>
      <c r="AP194" s="344"/>
      <c r="AQ194" s="366">
        <v>0</v>
      </c>
      <c r="AR194" s="344">
        <v>8631.8611325587663</v>
      </c>
      <c r="BA194" s="443"/>
      <c r="BC194" s="443"/>
      <c r="BE194" s="443"/>
      <c r="BG194" s="443"/>
      <c r="BI194" s="443"/>
      <c r="BK194" s="443"/>
      <c r="BO194" s="443"/>
      <c r="BT194" s="443"/>
      <c r="BW194" s="443"/>
      <c r="CA194" s="443"/>
      <c r="CC194" s="443"/>
      <c r="CG194" s="443"/>
      <c r="CM194" s="443"/>
      <c r="CO194" s="443"/>
      <c r="CQ194" s="443"/>
      <c r="CS194" s="443"/>
      <c r="CU194" s="443"/>
      <c r="CW194" s="443"/>
    </row>
    <row r="195" spans="4:104" ht="15.75" hidden="1" thickBot="1">
      <c r="F195" s="556" t="s">
        <v>1418</v>
      </c>
      <c r="G195" s="557"/>
      <c r="H195" s="558"/>
      <c r="I195" s="558"/>
      <c r="J195" s="558"/>
      <c r="K195" s="558"/>
      <c r="L195" s="558"/>
      <c r="M195" s="558"/>
      <c r="N195" s="558"/>
      <c r="O195" s="558"/>
      <c r="P195" s="559">
        <v>8400</v>
      </c>
      <c r="Q195" s="558"/>
      <c r="R195" s="558"/>
      <c r="S195" s="558"/>
      <c r="T195" s="559">
        <v>6200</v>
      </c>
      <c r="U195" s="558"/>
      <c r="V195" s="558"/>
      <c r="W195" s="558"/>
      <c r="X195" s="558"/>
      <c r="Y195" s="558"/>
      <c r="Z195" s="558"/>
      <c r="AA195" s="558"/>
      <c r="AB195" s="558"/>
      <c r="AC195" s="558"/>
      <c r="AD195" s="558"/>
      <c r="AE195" s="559">
        <v>7300</v>
      </c>
      <c r="AF195" s="558"/>
      <c r="AG195" s="558"/>
      <c r="AH195" s="558"/>
      <c r="AI195" s="558"/>
      <c r="AJ195" s="558"/>
      <c r="AK195" s="558"/>
      <c r="AL195" s="559">
        <v>6300</v>
      </c>
      <c r="AM195" s="558"/>
      <c r="AN195" s="558"/>
      <c r="AO195" s="559">
        <v>8100</v>
      </c>
      <c r="AP195" s="558"/>
      <c r="AQ195" s="559">
        <v>9900</v>
      </c>
      <c r="AR195" s="558">
        <v>7700</v>
      </c>
      <c r="BA195" s="443"/>
      <c r="BC195" s="443"/>
      <c r="BE195" s="443"/>
      <c r="BG195" s="443"/>
      <c r="BI195" s="443"/>
      <c r="BK195" s="443"/>
      <c r="BO195" s="443"/>
      <c r="BT195" s="443"/>
      <c r="BW195" s="443"/>
      <c r="CA195" s="443"/>
      <c r="CC195" s="443"/>
      <c r="CG195" s="443"/>
      <c r="CM195" s="443"/>
      <c r="CO195" s="443"/>
      <c r="CQ195" s="443"/>
      <c r="CS195" s="443"/>
      <c r="CU195" s="443"/>
      <c r="CW195" s="443"/>
    </row>
    <row r="196" spans="4:104" ht="15" hidden="1">
      <c r="F196" s="280" t="s">
        <v>1429</v>
      </c>
      <c r="G196" s="555"/>
      <c r="H196" s="344"/>
      <c r="I196" s="344"/>
      <c r="J196" s="344"/>
      <c r="K196" s="344"/>
      <c r="L196" s="344"/>
      <c r="M196" s="344"/>
      <c r="N196" s="344"/>
      <c r="O196" s="344"/>
      <c r="P196" s="366">
        <v>-908.97883566435121</v>
      </c>
      <c r="Q196" s="344"/>
      <c r="R196" s="344"/>
      <c r="S196" s="344"/>
      <c r="T196" s="366">
        <v>-6200</v>
      </c>
      <c r="U196" s="344"/>
      <c r="V196" s="344"/>
      <c r="W196" s="344"/>
      <c r="X196" s="344"/>
      <c r="Y196" s="344"/>
      <c r="Z196" s="344"/>
      <c r="AA196" s="344"/>
      <c r="AB196" s="344"/>
      <c r="AC196" s="344"/>
      <c r="AD196" s="344"/>
      <c r="AE196" s="366">
        <v>0</v>
      </c>
      <c r="AF196" s="344"/>
      <c r="AG196" s="344"/>
      <c r="AH196" s="344"/>
      <c r="AI196" s="344"/>
      <c r="AJ196" s="344"/>
      <c r="AK196" s="344"/>
      <c r="AL196" s="366">
        <v>0</v>
      </c>
      <c r="AM196" s="344"/>
      <c r="AN196" s="344"/>
      <c r="AO196" s="366">
        <v>0</v>
      </c>
      <c r="AP196" s="344"/>
      <c r="AQ196" s="366">
        <v>-9900</v>
      </c>
      <c r="AR196" s="344">
        <v>0</v>
      </c>
      <c r="BA196" s="443"/>
      <c r="BC196" s="443"/>
      <c r="BE196" s="443"/>
      <c r="BG196" s="443"/>
      <c r="BI196" s="443"/>
      <c r="BK196" s="443"/>
      <c r="BO196" s="443"/>
      <c r="BT196" s="443"/>
      <c r="BW196" s="443"/>
      <c r="CA196" s="443"/>
      <c r="CC196" s="443"/>
      <c r="CG196" s="443"/>
      <c r="CM196" s="443"/>
      <c r="CO196" s="443"/>
      <c r="CQ196" s="443"/>
      <c r="CS196" s="443"/>
      <c r="CU196" s="443"/>
      <c r="CW196" s="443"/>
    </row>
    <row r="197" spans="4:104" ht="15" hidden="1">
      <c r="F197" s="280"/>
      <c r="G197" s="555"/>
      <c r="H197" s="344"/>
      <c r="I197" s="344"/>
      <c r="J197" s="344"/>
      <c r="K197" s="344"/>
      <c r="L197" s="344"/>
      <c r="M197" s="344"/>
      <c r="N197" s="344"/>
      <c r="O197" s="344"/>
      <c r="P197" s="366"/>
      <c r="Q197" s="344"/>
      <c r="R197" s="344"/>
      <c r="S197" s="344"/>
      <c r="T197" s="366"/>
      <c r="U197" s="344"/>
      <c r="V197" s="344"/>
      <c r="W197" s="344"/>
      <c r="X197" s="344"/>
      <c r="Y197" s="344"/>
      <c r="Z197" s="344"/>
      <c r="AA197" s="344"/>
      <c r="AB197" s="344"/>
      <c r="AC197" s="344"/>
      <c r="AD197" s="344"/>
      <c r="AE197" s="366"/>
      <c r="AF197" s="344"/>
      <c r="AG197" s="344"/>
      <c r="AH197" s="344"/>
      <c r="AI197" s="344"/>
      <c r="AJ197" s="344"/>
      <c r="AK197" s="344"/>
      <c r="AL197" s="366"/>
      <c r="AM197" s="344"/>
      <c r="AN197" s="344"/>
      <c r="AO197" s="366"/>
      <c r="AP197" s="344"/>
      <c r="AQ197" s="366"/>
      <c r="AR197" s="344"/>
      <c r="BA197" s="443"/>
      <c r="BC197" s="443"/>
      <c r="BE197" s="443"/>
      <c r="BG197" s="443"/>
      <c r="BI197" s="443"/>
      <c r="BK197" s="443"/>
      <c r="BO197" s="443"/>
      <c r="BT197" s="443"/>
      <c r="BW197" s="443"/>
      <c r="CA197" s="443"/>
      <c r="CC197" s="443"/>
      <c r="CG197" s="443"/>
      <c r="CM197" s="443"/>
      <c r="CO197" s="443"/>
      <c r="CQ197" s="443"/>
      <c r="CS197" s="443"/>
      <c r="CU197" s="443"/>
      <c r="CW197" s="443"/>
    </row>
    <row r="198" spans="4:104" ht="15" hidden="1">
      <c r="F198" s="280"/>
      <c r="G198" s="555"/>
      <c r="H198" s="344"/>
      <c r="I198" s="344"/>
      <c r="J198" s="344"/>
      <c r="K198" s="344"/>
      <c r="L198" s="344"/>
      <c r="M198" s="344"/>
      <c r="N198" s="344"/>
      <c r="O198" s="344"/>
      <c r="P198" s="366"/>
      <c r="Q198" s="344"/>
      <c r="R198" s="344"/>
      <c r="S198" s="344"/>
      <c r="T198" s="366"/>
      <c r="U198" s="344"/>
      <c r="V198" s="344"/>
      <c r="W198" s="344"/>
      <c r="X198" s="344"/>
      <c r="Y198" s="344"/>
      <c r="Z198" s="344"/>
      <c r="AA198" s="344"/>
      <c r="AB198" s="344"/>
      <c r="AC198" s="344"/>
      <c r="AD198" s="344"/>
      <c r="AE198" s="366"/>
      <c r="AF198" s="344"/>
      <c r="AG198" s="344"/>
      <c r="AH198" s="344"/>
      <c r="AI198" s="344"/>
      <c r="AJ198" s="344"/>
      <c r="AK198" s="344"/>
      <c r="AL198" s="366"/>
      <c r="AM198" s="344"/>
      <c r="AN198" s="344"/>
      <c r="AO198" s="366"/>
      <c r="AP198" s="344"/>
      <c r="AQ198" s="366"/>
      <c r="AR198" s="344"/>
      <c r="BA198" s="443"/>
      <c r="BC198" s="443"/>
      <c r="BE198" s="443"/>
      <c r="BG198" s="443"/>
      <c r="BI198" s="443"/>
      <c r="BK198" s="443"/>
      <c r="BO198" s="443"/>
      <c r="BT198" s="443"/>
      <c r="BW198" s="443"/>
      <c r="CA198" s="443"/>
      <c r="CC198" s="443"/>
      <c r="CG198" s="443"/>
      <c r="CM198" s="443"/>
      <c r="CO198" s="443"/>
      <c r="CQ198" s="443"/>
      <c r="CS198" s="443"/>
      <c r="CU198" s="443"/>
      <c r="CW198" s="443"/>
    </row>
    <row r="199" spans="4:104" hidden="1">
      <c r="D199" s="560"/>
      <c r="F199" s="525"/>
      <c r="G199" s="236"/>
      <c r="H199" s="561"/>
      <c r="I199" s="561"/>
      <c r="J199" s="561"/>
      <c r="K199" s="561"/>
      <c r="L199" s="561"/>
      <c r="M199" s="561"/>
      <c r="N199" s="561"/>
      <c r="O199" s="561"/>
      <c r="P199" s="562"/>
      <c r="Q199" s="561"/>
      <c r="R199" s="561"/>
      <c r="S199" s="561"/>
      <c r="T199" s="562"/>
      <c r="U199" s="561"/>
      <c r="V199" s="561"/>
      <c r="W199" s="561"/>
      <c r="X199" s="561"/>
      <c r="Y199" s="561"/>
      <c r="Z199" s="561"/>
      <c r="AA199" s="561"/>
      <c r="AB199" s="561"/>
      <c r="AC199" s="561"/>
      <c r="AD199" s="561"/>
      <c r="AE199" s="562"/>
      <c r="AF199" s="561"/>
      <c r="AG199" s="561"/>
      <c r="AH199" s="561"/>
      <c r="AI199" s="561"/>
      <c r="AJ199" s="561"/>
      <c r="AK199" s="561"/>
      <c r="AL199" s="562"/>
      <c r="AM199" s="561"/>
      <c r="AN199" s="561"/>
      <c r="AO199" s="562"/>
      <c r="AP199" s="561"/>
      <c r="AQ199" s="562"/>
      <c r="AR199" s="561"/>
      <c r="BA199" s="443"/>
      <c r="BC199" s="443"/>
      <c r="BE199" s="443"/>
      <c r="BG199" s="443"/>
      <c r="BI199" s="443"/>
      <c r="BK199" s="443"/>
      <c r="BO199" s="443"/>
      <c r="BT199" s="443"/>
      <c r="BW199" s="443"/>
      <c r="CA199" s="443"/>
      <c r="CC199" s="443"/>
      <c r="CG199" s="443"/>
      <c r="CM199" s="443"/>
      <c r="CO199" s="443"/>
      <c r="CQ199" s="443"/>
      <c r="CS199" s="443"/>
      <c r="CU199" s="443"/>
      <c r="CW199" s="443"/>
    </row>
    <row r="200" spans="4:104" hidden="1">
      <c r="F200" s="525"/>
      <c r="G200" s="236"/>
      <c r="H200" s="561"/>
      <c r="I200" s="561"/>
      <c r="J200" s="561"/>
      <c r="K200" s="561"/>
      <c r="L200" s="561"/>
      <c r="M200" s="561"/>
      <c r="N200" s="561"/>
      <c r="O200" s="561"/>
      <c r="P200" s="562"/>
      <c r="Q200" s="561"/>
      <c r="R200" s="561"/>
      <c r="S200" s="561"/>
      <c r="T200" s="562"/>
      <c r="U200" s="561"/>
      <c r="V200" s="561"/>
      <c r="W200" s="561"/>
      <c r="X200" s="561"/>
      <c r="Y200" s="561"/>
      <c r="Z200" s="561"/>
      <c r="AA200" s="561"/>
      <c r="AB200" s="561"/>
      <c r="AC200" s="561"/>
      <c r="AD200" s="561"/>
      <c r="AE200" s="562"/>
      <c r="AF200" s="561"/>
      <c r="AG200" s="561"/>
      <c r="AH200" s="561"/>
      <c r="AI200" s="561"/>
      <c r="AJ200" s="561"/>
      <c r="AK200" s="561"/>
      <c r="AL200" s="562"/>
      <c r="AM200" s="561"/>
      <c r="AN200" s="561"/>
      <c r="AO200" s="562"/>
      <c r="AP200" s="561"/>
      <c r="AQ200" s="562"/>
      <c r="AR200" s="561"/>
      <c r="BA200" s="443"/>
      <c r="BC200" s="443"/>
      <c r="BE200" s="443"/>
      <c r="BG200" s="443"/>
      <c r="BI200" s="443"/>
      <c r="BK200" s="443"/>
      <c r="BO200" s="443"/>
      <c r="BT200" s="443"/>
      <c r="BW200" s="443"/>
      <c r="CA200" s="443"/>
      <c r="CC200" s="443"/>
      <c r="CG200" s="443"/>
      <c r="CM200" s="443"/>
      <c r="CO200" s="443"/>
      <c r="CQ200" s="443"/>
      <c r="CS200" s="443"/>
      <c r="CU200" s="443"/>
      <c r="CW200" s="443"/>
    </row>
    <row r="201" spans="4:104" ht="14.25" hidden="1" thickTop="1" thickBot="1">
      <c r="F201" s="217" t="s">
        <v>1309</v>
      </c>
      <c r="G201" s="236"/>
      <c r="H201" s="221"/>
      <c r="I201" s="221"/>
      <c r="J201" s="221"/>
      <c r="K201" s="221"/>
      <c r="L201" s="221"/>
      <c r="M201" s="221"/>
      <c r="N201" s="221"/>
      <c r="O201" s="221"/>
      <c r="P201" s="563" t="s">
        <v>510</v>
      </c>
      <c r="Q201" s="221"/>
      <c r="R201" s="221"/>
      <c r="S201" s="221"/>
      <c r="T201" s="563" t="s">
        <v>882</v>
      </c>
      <c r="U201" s="221"/>
      <c r="V201" s="221"/>
      <c r="W201" s="221"/>
      <c r="X201" s="221"/>
      <c r="Y201" s="221"/>
      <c r="Z201" s="221"/>
      <c r="AA201" s="221"/>
      <c r="AB201" s="221"/>
      <c r="AC201" s="221"/>
      <c r="AD201" s="221"/>
      <c r="AE201" s="563" t="s">
        <v>549</v>
      </c>
      <c r="AF201" s="221"/>
      <c r="AG201" s="221"/>
      <c r="AH201" s="221"/>
      <c r="AI201" s="221"/>
      <c r="AJ201" s="221"/>
      <c r="AK201" s="221"/>
      <c r="AL201" s="563" t="s">
        <v>446</v>
      </c>
      <c r="AM201" s="221"/>
      <c r="AN201" s="221"/>
      <c r="AO201" s="563" t="s">
        <v>502</v>
      </c>
      <c r="AP201" s="221"/>
      <c r="AQ201" s="563" t="s">
        <v>493</v>
      </c>
      <c r="AR201" s="222" t="s">
        <v>94</v>
      </c>
      <c r="BA201" s="443"/>
      <c r="BC201" s="443"/>
      <c r="BE201" s="443"/>
      <c r="BG201" s="443"/>
      <c r="BI201" s="443"/>
      <c r="BK201" s="443"/>
      <c r="BO201" s="443"/>
      <c r="BT201" s="443"/>
      <c r="BW201" s="443"/>
      <c r="CA201" s="443"/>
      <c r="CC201" s="443"/>
      <c r="CG201" s="443"/>
      <c r="CM201" s="443"/>
      <c r="CO201" s="443"/>
      <c r="CQ201" s="443"/>
      <c r="CS201" s="443"/>
      <c r="CU201" s="443"/>
      <c r="CW201" s="443"/>
    </row>
    <row r="202" spans="4:104" ht="6.6" hidden="1" customHeight="1">
      <c r="D202" s="564"/>
      <c r="F202" s="280"/>
      <c r="G202" s="236"/>
      <c r="H202" s="281"/>
      <c r="I202" s="281"/>
      <c r="J202" s="281"/>
      <c r="K202" s="281"/>
      <c r="L202" s="281"/>
      <c r="M202" s="281"/>
      <c r="N202" s="281"/>
      <c r="O202" s="281"/>
      <c r="P202" s="282"/>
      <c r="Q202" s="281"/>
      <c r="R202" s="281"/>
      <c r="S202" s="281"/>
      <c r="T202" s="282"/>
      <c r="U202" s="281"/>
      <c r="V202" s="281"/>
      <c r="W202" s="281"/>
      <c r="X202" s="281"/>
      <c r="Y202" s="281"/>
      <c r="Z202" s="281"/>
      <c r="AA202" s="281"/>
      <c r="AB202" s="281"/>
      <c r="AC202" s="281"/>
      <c r="AD202" s="281"/>
      <c r="AE202" s="282"/>
      <c r="AF202" s="281"/>
      <c r="AG202" s="281"/>
      <c r="AH202" s="281"/>
      <c r="AI202" s="281"/>
      <c r="AJ202" s="281"/>
      <c r="AK202" s="281"/>
      <c r="AL202" s="282"/>
      <c r="AM202" s="281"/>
      <c r="AN202" s="281"/>
      <c r="AO202" s="282"/>
      <c r="AP202" s="281"/>
      <c r="AQ202" s="282"/>
      <c r="AR202" s="281"/>
      <c r="BA202" s="443"/>
      <c r="BC202" s="443"/>
      <c r="BE202" s="443"/>
      <c r="BG202" s="443"/>
      <c r="BI202" s="443"/>
      <c r="BK202" s="443"/>
      <c r="BO202" s="443"/>
      <c r="BT202" s="443"/>
      <c r="BW202" s="443"/>
      <c r="CA202" s="443"/>
      <c r="CC202" s="443"/>
      <c r="CG202" s="443"/>
      <c r="CM202" s="443"/>
      <c r="CO202" s="443"/>
      <c r="CQ202" s="443"/>
      <c r="CS202" s="443"/>
      <c r="CU202" s="443"/>
      <c r="CW202" s="443"/>
    </row>
    <row r="203" spans="4:104" ht="15.75" hidden="1">
      <c r="F203" s="270" t="s">
        <v>26</v>
      </c>
      <c r="G203" s="236"/>
      <c r="H203" s="271"/>
      <c r="I203" s="271"/>
      <c r="J203" s="271"/>
      <c r="K203" s="271"/>
      <c r="L203" s="271"/>
      <c r="M203" s="271"/>
      <c r="N203" s="271"/>
      <c r="O203" s="271"/>
      <c r="P203" s="272">
        <v>149</v>
      </c>
      <c r="Q203" s="271"/>
      <c r="R203" s="271"/>
      <c r="S203" s="271"/>
      <c r="T203" s="272">
        <v>6</v>
      </c>
      <c r="U203" s="271"/>
      <c r="V203" s="271"/>
      <c r="W203" s="271"/>
      <c r="X203" s="271"/>
      <c r="Y203" s="271"/>
      <c r="Z203" s="271"/>
      <c r="AA203" s="271"/>
      <c r="AB203" s="271"/>
      <c r="AC203" s="271"/>
      <c r="AD203" s="271"/>
      <c r="AE203" s="272">
        <v>159</v>
      </c>
      <c r="AF203" s="271"/>
      <c r="AG203" s="271"/>
      <c r="AH203" s="271"/>
      <c r="AI203" s="271"/>
      <c r="AJ203" s="271"/>
      <c r="AK203" s="271"/>
      <c r="AL203" s="272">
        <v>37</v>
      </c>
      <c r="AM203" s="271"/>
      <c r="AN203" s="271"/>
      <c r="AO203" s="272">
        <v>51</v>
      </c>
      <c r="AP203" s="271"/>
      <c r="AQ203" s="272">
        <v>3</v>
      </c>
      <c r="AR203" s="565">
        <v>405</v>
      </c>
      <c r="BA203" s="443"/>
      <c r="BC203" s="443"/>
      <c r="BE203" s="443"/>
      <c r="BG203" s="443"/>
      <c r="BI203" s="443"/>
      <c r="BK203" s="443"/>
      <c r="BO203" s="443"/>
      <c r="BT203" s="443"/>
      <c r="BW203" s="443"/>
      <c r="CA203" s="443"/>
      <c r="CC203" s="443"/>
      <c r="CG203" s="443"/>
      <c r="CM203" s="443"/>
      <c r="CO203" s="443"/>
      <c r="CQ203" s="443"/>
      <c r="CS203" s="443"/>
      <c r="CU203" s="443"/>
      <c r="CW203" s="443"/>
    </row>
    <row r="204" spans="4:104" ht="16.350000000000001" hidden="1" customHeight="1">
      <c r="F204" s="280"/>
      <c r="G204" s="236"/>
      <c r="H204" s="281"/>
      <c r="I204" s="281"/>
      <c r="J204" s="281"/>
      <c r="K204" s="281"/>
      <c r="L204" s="281"/>
      <c r="M204" s="281"/>
      <c r="N204" s="281"/>
      <c r="O204" s="281"/>
      <c r="P204" s="282"/>
      <c r="Q204" s="281"/>
      <c r="R204" s="281"/>
      <c r="S204" s="281"/>
      <c r="T204" s="282"/>
      <c r="U204" s="281"/>
      <c r="V204" s="281"/>
      <c r="W204" s="281"/>
      <c r="X204" s="281"/>
      <c r="Y204" s="281"/>
      <c r="Z204" s="281"/>
      <c r="AA204" s="281"/>
      <c r="AB204" s="281"/>
      <c r="AC204" s="281"/>
      <c r="AD204" s="281"/>
      <c r="AE204" s="282"/>
      <c r="AF204" s="281"/>
      <c r="AG204" s="281"/>
      <c r="AH204" s="281"/>
      <c r="AI204" s="281"/>
      <c r="AJ204" s="281"/>
      <c r="AK204" s="281"/>
      <c r="AL204" s="282"/>
      <c r="AM204" s="281"/>
      <c r="AN204" s="281"/>
      <c r="AO204" s="282"/>
      <c r="AP204" s="281"/>
      <c r="AQ204" s="282"/>
      <c r="AR204" s="281"/>
      <c r="BA204" s="443"/>
      <c r="BC204" s="443"/>
      <c r="BE204" s="443"/>
      <c r="BG204" s="443"/>
      <c r="BI204" s="443"/>
      <c r="BK204" s="443"/>
      <c r="BO204" s="443"/>
      <c r="BT204" s="443"/>
      <c r="BW204" s="443"/>
      <c r="CA204" s="443"/>
      <c r="CC204" s="443"/>
      <c r="CG204" s="443"/>
      <c r="CM204" s="443"/>
      <c r="CO204" s="443"/>
      <c r="CQ204" s="443"/>
      <c r="CS204" s="443"/>
      <c r="CU204" s="443"/>
      <c r="CW204" s="443"/>
    </row>
    <row r="205" spans="4:104" ht="20.85" hidden="1" customHeight="1">
      <c r="F205" s="566" t="s">
        <v>1430</v>
      </c>
      <c r="G205" s="557"/>
      <c r="H205" s="567"/>
      <c r="I205" s="567"/>
      <c r="J205" s="567"/>
      <c r="K205" s="567"/>
      <c r="L205" s="567"/>
      <c r="M205" s="567"/>
      <c r="N205" s="567"/>
      <c r="O205" s="567"/>
      <c r="P205" s="568"/>
      <c r="Q205" s="567"/>
      <c r="R205" s="567"/>
      <c r="S205" s="567"/>
      <c r="T205" s="569"/>
      <c r="U205" s="570"/>
      <c r="V205" s="570"/>
      <c r="W205" s="570"/>
      <c r="X205" s="570"/>
      <c r="Y205" s="570"/>
      <c r="Z205" s="570"/>
      <c r="AA205" s="570"/>
      <c r="AB205" s="570"/>
      <c r="AC205" s="570"/>
      <c r="AD205" s="570"/>
      <c r="AE205" s="569"/>
      <c r="AF205" s="570"/>
      <c r="AG205" s="570"/>
      <c r="AH205" s="570"/>
      <c r="AI205" s="570"/>
      <c r="AJ205" s="570"/>
      <c r="AK205" s="570"/>
      <c r="AL205" s="569"/>
      <c r="AM205" s="570"/>
      <c r="AN205" s="570"/>
      <c r="AO205" s="569"/>
      <c r="AP205" s="570"/>
      <c r="AQ205" s="569"/>
      <c r="AR205" s="571"/>
      <c r="BA205" s="443"/>
      <c r="BC205" s="443"/>
      <c r="BE205" s="443"/>
      <c r="BG205" s="443"/>
      <c r="BI205" s="443"/>
      <c r="BK205" s="443"/>
      <c r="BO205" s="443"/>
      <c r="BT205" s="443"/>
      <c r="BW205" s="443"/>
      <c r="CA205" s="443"/>
      <c r="CC205" s="443"/>
      <c r="CG205" s="443"/>
      <c r="CM205" s="443"/>
      <c r="CO205" s="443"/>
      <c r="CQ205" s="443"/>
      <c r="CS205" s="443"/>
      <c r="CU205" s="443"/>
      <c r="CW205" s="443"/>
    </row>
    <row r="206" spans="4:104" hidden="1" outlineLevel="1">
      <c r="F206" s="572" t="s">
        <v>1431</v>
      </c>
      <c r="G206" s="557"/>
      <c r="H206" s="573"/>
      <c r="I206" s="573"/>
      <c r="J206" s="573"/>
      <c r="K206" s="573"/>
      <c r="L206" s="573"/>
      <c r="M206" s="573"/>
      <c r="N206" s="573"/>
      <c r="O206" s="573"/>
      <c r="P206" s="574">
        <v>40</v>
      </c>
      <c r="Q206" s="573"/>
      <c r="R206" s="573"/>
      <c r="S206" s="573"/>
      <c r="T206" s="574">
        <v>40</v>
      </c>
      <c r="U206" s="573"/>
      <c r="V206" s="573"/>
      <c r="W206" s="573"/>
      <c r="X206" s="573"/>
      <c r="Y206" s="573"/>
      <c r="Z206" s="573"/>
      <c r="AA206" s="573"/>
      <c r="AB206" s="573"/>
      <c r="AC206" s="573"/>
      <c r="AD206" s="573"/>
      <c r="AE206" s="574">
        <v>40</v>
      </c>
      <c r="AF206" s="573"/>
      <c r="AG206" s="573"/>
      <c r="AH206" s="573"/>
      <c r="AI206" s="573"/>
      <c r="AJ206" s="573"/>
      <c r="AK206" s="573"/>
      <c r="AL206" s="574">
        <v>40</v>
      </c>
      <c r="AM206" s="573"/>
      <c r="AN206" s="573"/>
      <c r="AO206" s="574">
        <v>40</v>
      </c>
      <c r="AP206" s="573"/>
      <c r="AQ206" s="574">
        <v>40</v>
      </c>
      <c r="AR206" s="575">
        <v>40</v>
      </c>
      <c r="BA206" s="443"/>
      <c r="BC206" s="443"/>
      <c r="BE206" s="443"/>
      <c r="BG206" s="443"/>
      <c r="BI206" s="443"/>
      <c r="BK206" s="443"/>
      <c r="BO206" s="443"/>
      <c r="BT206" s="443"/>
      <c r="BW206" s="443"/>
      <c r="CA206" s="443"/>
      <c r="CC206" s="443"/>
      <c r="CG206" s="443"/>
      <c r="CM206" s="443"/>
      <c r="CO206" s="443"/>
      <c r="CQ206" s="443"/>
      <c r="CS206" s="443"/>
      <c r="CU206" s="443"/>
      <c r="CW206" s="443"/>
    </row>
    <row r="207" spans="4:104" hidden="1" outlineLevel="1">
      <c r="F207" s="572" t="s">
        <v>1432</v>
      </c>
      <c r="G207" s="557"/>
      <c r="H207" s="573"/>
      <c r="I207" s="573"/>
      <c r="J207" s="573"/>
      <c r="K207" s="573"/>
      <c r="L207" s="573"/>
      <c r="M207" s="573"/>
      <c r="N207" s="573"/>
      <c r="O207" s="573"/>
      <c r="P207" s="574">
        <v>3</v>
      </c>
      <c r="Q207" s="573"/>
      <c r="R207" s="573"/>
      <c r="S207" s="573"/>
      <c r="T207" s="574">
        <v>3</v>
      </c>
      <c r="U207" s="573"/>
      <c r="V207" s="573"/>
      <c r="W207" s="573"/>
      <c r="X207" s="573"/>
      <c r="Y207" s="573"/>
      <c r="Z207" s="573"/>
      <c r="AA207" s="573"/>
      <c r="AB207" s="573"/>
      <c r="AC207" s="573"/>
      <c r="AD207" s="573"/>
      <c r="AE207" s="574">
        <v>3</v>
      </c>
      <c r="AF207" s="573"/>
      <c r="AG207" s="573"/>
      <c r="AH207" s="573"/>
      <c r="AI207" s="573"/>
      <c r="AJ207" s="573"/>
      <c r="AK207" s="573"/>
      <c r="AL207" s="574">
        <v>3</v>
      </c>
      <c r="AM207" s="573"/>
      <c r="AN207" s="573"/>
      <c r="AO207" s="574">
        <v>3</v>
      </c>
      <c r="AP207" s="573"/>
      <c r="AQ207" s="574">
        <v>3</v>
      </c>
      <c r="AR207" s="575">
        <v>3</v>
      </c>
      <c r="BA207" s="443"/>
      <c r="BC207" s="443"/>
      <c r="BE207" s="443"/>
      <c r="BG207" s="443"/>
      <c r="BI207" s="443"/>
      <c r="BK207" s="443"/>
      <c r="BO207" s="443"/>
      <c r="BT207" s="443"/>
      <c r="BW207" s="443"/>
      <c r="CA207" s="443"/>
      <c r="CC207" s="443"/>
      <c r="CG207" s="443"/>
      <c r="CM207" s="443"/>
      <c r="CO207" s="443"/>
      <c r="CQ207" s="443"/>
      <c r="CS207" s="443"/>
      <c r="CU207" s="443"/>
      <c r="CW207" s="443"/>
    </row>
    <row r="208" spans="4:104" s="560" customFormat="1" hidden="1" collapsed="1">
      <c r="D208" s="186"/>
      <c r="E208" s="187"/>
      <c r="F208" s="576" t="s">
        <v>1433</v>
      </c>
      <c r="G208" s="577"/>
      <c r="H208" s="578"/>
      <c r="I208" s="578"/>
      <c r="J208" s="578"/>
      <c r="K208" s="578"/>
      <c r="L208" s="578"/>
      <c r="M208" s="578"/>
      <c r="N208" s="578"/>
      <c r="O208" s="578"/>
      <c r="P208" s="579">
        <v>120</v>
      </c>
      <c r="Q208" s="578"/>
      <c r="R208" s="578"/>
      <c r="S208" s="578"/>
      <c r="T208" s="579">
        <v>120</v>
      </c>
      <c r="U208" s="578"/>
      <c r="V208" s="578"/>
      <c r="W208" s="578"/>
      <c r="X208" s="578"/>
      <c r="Y208" s="578"/>
      <c r="Z208" s="578"/>
      <c r="AA208" s="578"/>
      <c r="AB208" s="578"/>
      <c r="AC208" s="578"/>
      <c r="AD208" s="578"/>
      <c r="AE208" s="579">
        <v>120</v>
      </c>
      <c r="AF208" s="578"/>
      <c r="AG208" s="578"/>
      <c r="AH208" s="578"/>
      <c r="AI208" s="578"/>
      <c r="AJ208" s="578"/>
      <c r="AK208" s="578"/>
      <c r="AL208" s="579">
        <v>120</v>
      </c>
      <c r="AM208" s="578"/>
      <c r="AN208" s="578"/>
      <c r="AO208" s="579">
        <v>120</v>
      </c>
      <c r="AP208" s="578"/>
      <c r="AQ208" s="579">
        <v>120</v>
      </c>
      <c r="AR208" s="580">
        <v>120</v>
      </c>
      <c r="AT208" s="581"/>
      <c r="BA208" s="582"/>
      <c r="BC208" s="582"/>
      <c r="BE208" s="582"/>
      <c r="BG208" s="582"/>
      <c r="BI208" s="582"/>
      <c r="BK208" s="582"/>
      <c r="BO208" s="582"/>
      <c r="BR208" s="581"/>
      <c r="BT208" s="582"/>
      <c r="BW208" s="582"/>
      <c r="CA208" s="582"/>
      <c r="CC208" s="582"/>
      <c r="CG208" s="582"/>
      <c r="CJ208" s="581"/>
      <c r="CM208" s="582"/>
      <c r="CO208" s="582"/>
      <c r="CQ208" s="582"/>
      <c r="CS208" s="582"/>
      <c r="CU208" s="582"/>
      <c r="CW208" s="582"/>
      <c r="CZ208" s="581"/>
    </row>
    <row r="209" spans="4:104" ht="15.6" hidden="1" customHeight="1">
      <c r="F209" s="583" t="s">
        <v>1434</v>
      </c>
      <c r="G209" s="584"/>
      <c r="H209" s="585"/>
      <c r="I209" s="585"/>
      <c r="J209" s="585"/>
      <c r="K209" s="585"/>
      <c r="L209" s="585"/>
      <c r="M209" s="585"/>
      <c r="N209" s="585"/>
      <c r="O209" s="585"/>
      <c r="P209" s="586">
        <v>422.68799999999601</v>
      </c>
      <c r="Q209" s="585"/>
      <c r="R209" s="585"/>
      <c r="S209" s="585"/>
      <c r="T209" s="586">
        <v>422.6880000000001</v>
      </c>
      <c r="U209" s="585"/>
      <c r="V209" s="585"/>
      <c r="W209" s="585"/>
      <c r="X209" s="585"/>
      <c r="Y209" s="585"/>
      <c r="Z209" s="585"/>
      <c r="AA209" s="585"/>
      <c r="AB209" s="585"/>
      <c r="AC209" s="585"/>
      <c r="AD209" s="585"/>
      <c r="AE209" s="586">
        <v>422.68799999999618</v>
      </c>
      <c r="AF209" s="585"/>
      <c r="AG209" s="585"/>
      <c r="AH209" s="585"/>
      <c r="AI209" s="585"/>
      <c r="AJ209" s="585"/>
      <c r="AK209" s="585"/>
      <c r="AL209" s="586">
        <v>422.68797046678816</v>
      </c>
      <c r="AM209" s="585"/>
      <c r="AN209" s="585"/>
      <c r="AO209" s="586">
        <v>422.68799999998879</v>
      </c>
      <c r="AP209" s="585"/>
      <c r="AQ209" s="586">
        <v>422.6880000000001</v>
      </c>
      <c r="AR209" s="585">
        <v>422.68799739640906</v>
      </c>
      <c r="BA209" s="443"/>
      <c r="BC209" s="443"/>
      <c r="BE209" s="443"/>
      <c r="BG209" s="443"/>
      <c r="BI209" s="443"/>
      <c r="BK209" s="443"/>
      <c r="BO209" s="443"/>
      <c r="BT209" s="443"/>
      <c r="BW209" s="443"/>
      <c r="CA209" s="443"/>
      <c r="CC209" s="443"/>
      <c r="CG209" s="443"/>
      <c r="CM209" s="443"/>
      <c r="CO209" s="443"/>
      <c r="CQ209" s="443"/>
      <c r="CS209" s="443"/>
      <c r="CU209" s="443"/>
      <c r="CW209" s="443"/>
    </row>
    <row r="210" spans="4:104" hidden="1">
      <c r="F210" s="583" t="s">
        <v>1435</v>
      </c>
      <c r="G210" s="584"/>
      <c r="H210" s="585"/>
      <c r="I210" s="585"/>
      <c r="J210" s="585"/>
      <c r="K210" s="585"/>
      <c r="L210" s="585"/>
      <c r="M210" s="585"/>
      <c r="N210" s="585"/>
      <c r="O210" s="585"/>
      <c r="P210" s="586"/>
      <c r="Q210" s="585"/>
      <c r="R210" s="585"/>
      <c r="S210" s="585"/>
      <c r="T210" s="586"/>
      <c r="U210" s="585"/>
      <c r="V210" s="585"/>
      <c r="W210" s="585"/>
      <c r="X210" s="585"/>
      <c r="Y210" s="585"/>
      <c r="Z210" s="585"/>
      <c r="AA210" s="585"/>
      <c r="AB210" s="585"/>
      <c r="AC210" s="585"/>
      <c r="AD210" s="585"/>
      <c r="AE210" s="586"/>
      <c r="AF210" s="585"/>
      <c r="AG210" s="585"/>
      <c r="AH210" s="585"/>
      <c r="AI210" s="585"/>
      <c r="AJ210" s="585"/>
      <c r="AK210" s="585"/>
      <c r="AL210" s="586"/>
      <c r="AM210" s="585"/>
      <c r="AN210" s="585"/>
      <c r="AO210" s="586"/>
      <c r="AP210" s="585"/>
      <c r="AQ210" s="586"/>
      <c r="AR210" s="587">
        <v>0</v>
      </c>
      <c r="BA210" s="443"/>
      <c r="BC210" s="443"/>
      <c r="BE210" s="443"/>
      <c r="BG210" s="443"/>
      <c r="BI210" s="443"/>
      <c r="BK210" s="443"/>
      <c r="BO210" s="443"/>
      <c r="BT210" s="443"/>
      <c r="BW210" s="443"/>
      <c r="CA210" s="443"/>
      <c r="CC210" s="443"/>
      <c r="CG210" s="443"/>
      <c r="CM210" s="443"/>
      <c r="CO210" s="443"/>
      <c r="CQ210" s="443"/>
      <c r="CS210" s="443"/>
      <c r="CU210" s="443"/>
      <c r="CW210" s="443"/>
    </row>
    <row r="211" spans="4:104" s="594" customFormat="1" ht="19.350000000000001" hidden="1" customHeight="1">
      <c r="D211" s="588"/>
      <c r="E211" s="589"/>
      <c r="F211" s="590" t="s">
        <v>1436</v>
      </c>
      <c r="G211" s="591"/>
      <c r="H211" s="592"/>
      <c r="I211" s="592"/>
      <c r="J211" s="592"/>
      <c r="K211" s="592"/>
      <c r="L211" s="592"/>
      <c r="M211" s="592"/>
      <c r="N211" s="592"/>
      <c r="O211" s="592"/>
      <c r="P211" s="593">
        <v>422.68799999999601</v>
      </c>
      <c r="Q211" s="592"/>
      <c r="R211" s="592"/>
      <c r="S211" s="592"/>
      <c r="T211" s="593">
        <v>422.6880000000001</v>
      </c>
      <c r="U211" s="592"/>
      <c r="V211" s="592"/>
      <c r="W211" s="592"/>
      <c r="X211" s="592"/>
      <c r="Y211" s="592"/>
      <c r="Z211" s="592"/>
      <c r="AA211" s="592"/>
      <c r="AB211" s="592"/>
      <c r="AC211" s="592"/>
      <c r="AD211" s="592"/>
      <c r="AE211" s="593">
        <v>422.68799999999618</v>
      </c>
      <c r="AF211" s="592"/>
      <c r="AG211" s="592"/>
      <c r="AH211" s="592"/>
      <c r="AI211" s="592"/>
      <c r="AJ211" s="592"/>
      <c r="AK211" s="592"/>
      <c r="AL211" s="593">
        <v>422.68797046678816</v>
      </c>
      <c r="AM211" s="592"/>
      <c r="AN211" s="592"/>
      <c r="AO211" s="593">
        <v>422.68799999998879</v>
      </c>
      <c r="AP211" s="592"/>
      <c r="AQ211" s="593">
        <v>422.6880000000001</v>
      </c>
      <c r="AR211" s="592">
        <v>422.68799739640906</v>
      </c>
      <c r="AT211" s="595"/>
      <c r="BA211" s="596"/>
      <c r="BC211" s="596"/>
      <c r="BE211" s="596"/>
      <c r="BG211" s="596"/>
      <c r="BI211" s="596"/>
      <c r="BK211" s="596"/>
      <c r="BO211" s="596"/>
      <c r="BR211" s="595"/>
      <c r="BT211" s="596"/>
      <c r="BW211" s="596"/>
      <c r="CA211" s="596"/>
      <c r="CC211" s="596"/>
      <c r="CG211" s="596"/>
      <c r="CJ211" s="595"/>
      <c r="CM211" s="596"/>
      <c r="CO211" s="596"/>
      <c r="CQ211" s="596"/>
      <c r="CS211" s="596"/>
      <c r="CU211" s="596"/>
      <c r="CW211" s="596"/>
      <c r="CZ211" s="595"/>
    </row>
    <row r="212" spans="4:104" hidden="1">
      <c r="F212" s="597"/>
      <c r="G212" s="557"/>
      <c r="H212" s="598"/>
      <c r="I212" s="598"/>
      <c r="J212" s="598"/>
      <c r="K212" s="598"/>
      <c r="L212" s="598"/>
      <c r="M212" s="598"/>
      <c r="N212" s="598"/>
      <c r="O212" s="598"/>
      <c r="P212" s="599"/>
      <c r="Q212" s="598"/>
      <c r="R212" s="598"/>
      <c r="S212" s="598"/>
      <c r="T212" s="599"/>
      <c r="U212" s="598"/>
      <c r="V212" s="598"/>
      <c r="W212" s="598"/>
      <c r="X212" s="598"/>
      <c r="Y212" s="598"/>
      <c r="Z212" s="598"/>
      <c r="AA212" s="598"/>
      <c r="AB212" s="598"/>
      <c r="AC212" s="598"/>
      <c r="AD212" s="598"/>
      <c r="AE212" s="599"/>
      <c r="AF212" s="598"/>
      <c r="AG212" s="598"/>
      <c r="AH212" s="598"/>
      <c r="AI212" s="598"/>
      <c r="AJ212" s="598"/>
      <c r="AK212" s="598"/>
      <c r="AL212" s="599"/>
      <c r="AM212" s="598"/>
      <c r="AN212" s="598"/>
      <c r="AO212" s="599"/>
      <c r="AP212" s="598"/>
      <c r="AQ212" s="599"/>
      <c r="AR212" s="600"/>
      <c r="BA212" s="443"/>
      <c r="BC212" s="443"/>
      <c r="BE212" s="443"/>
      <c r="BG212" s="443"/>
      <c r="BI212" s="443"/>
      <c r="BK212" s="443"/>
      <c r="BO212" s="443"/>
      <c r="BT212" s="443"/>
      <c r="BW212" s="443"/>
      <c r="CA212" s="443"/>
      <c r="CC212" s="443"/>
      <c r="CG212" s="443"/>
      <c r="CM212" s="443"/>
      <c r="CO212" s="443"/>
      <c r="CQ212" s="443"/>
      <c r="CS212" s="443"/>
      <c r="CU212" s="443"/>
      <c r="CW212" s="443"/>
    </row>
    <row r="213" spans="4:104" ht="15" hidden="1">
      <c r="D213" s="601"/>
      <c r="F213" s="602" t="s">
        <v>1437</v>
      </c>
      <c r="G213" s="557"/>
      <c r="H213" s="603"/>
      <c r="I213" s="603"/>
      <c r="J213" s="603"/>
      <c r="K213" s="603"/>
      <c r="L213" s="603"/>
      <c r="M213" s="603"/>
      <c r="N213" s="603"/>
      <c r="O213" s="603"/>
      <c r="P213" s="604">
        <v>0</v>
      </c>
      <c r="Q213" s="603"/>
      <c r="R213" s="603"/>
      <c r="S213" s="603"/>
      <c r="T213" s="604">
        <v>0</v>
      </c>
      <c r="U213" s="603"/>
      <c r="V213" s="603"/>
      <c r="W213" s="603"/>
      <c r="X213" s="603"/>
      <c r="Y213" s="603"/>
      <c r="Z213" s="603"/>
      <c r="AA213" s="603"/>
      <c r="AB213" s="603"/>
      <c r="AC213" s="603"/>
      <c r="AD213" s="603"/>
      <c r="AE213" s="604">
        <v>0</v>
      </c>
      <c r="AF213" s="603"/>
      <c r="AG213" s="603"/>
      <c r="AH213" s="603"/>
      <c r="AI213" s="603"/>
      <c r="AJ213" s="603"/>
      <c r="AK213" s="603"/>
      <c r="AL213" s="604">
        <v>0</v>
      </c>
      <c r="AM213" s="603"/>
      <c r="AN213" s="603"/>
      <c r="AO213" s="604">
        <v>0</v>
      </c>
      <c r="AP213" s="603"/>
      <c r="AQ213" s="604">
        <v>0</v>
      </c>
      <c r="AR213" s="605">
        <v>0</v>
      </c>
      <c r="BA213" s="443"/>
      <c r="BC213" s="443"/>
      <c r="BE213" s="443"/>
      <c r="BG213" s="443"/>
      <c r="BI213" s="443"/>
      <c r="BK213" s="443"/>
      <c r="BO213" s="443"/>
      <c r="BT213" s="443"/>
      <c r="BW213" s="443"/>
      <c r="CA213" s="443"/>
      <c r="CC213" s="443"/>
      <c r="CG213" s="443"/>
      <c r="CM213" s="443"/>
      <c r="CO213" s="443"/>
      <c r="CQ213" s="443"/>
      <c r="CS213" s="443"/>
      <c r="CU213" s="443"/>
      <c r="CW213" s="443"/>
    </row>
    <row r="214" spans="4:104" ht="15" hidden="1">
      <c r="D214" s="560"/>
      <c r="F214" s="602" t="s">
        <v>1438</v>
      </c>
      <c r="G214" s="557"/>
      <c r="H214" s="603"/>
      <c r="I214" s="603"/>
      <c r="J214" s="603"/>
      <c r="K214" s="603"/>
      <c r="L214" s="603"/>
      <c r="M214" s="603"/>
      <c r="N214" s="603"/>
      <c r="O214" s="603"/>
      <c r="P214" s="604">
        <v>0</v>
      </c>
      <c r="Q214" s="603"/>
      <c r="R214" s="603"/>
      <c r="S214" s="603"/>
      <c r="T214" s="604">
        <v>0</v>
      </c>
      <c r="U214" s="603"/>
      <c r="V214" s="603"/>
      <c r="W214" s="603"/>
      <c r="X214" s="603"/>
      <c r="Y214" s="603"/>
      <c r="Z214" s="603"/>
      <c r="AA214" s="603"/>
      <c r="AB214" s="603"/>
      <c r="AC214" s="603"/>
      <c r="AD214" s="603"/>
      <c r="AE214" s="604">
        <v>0</v>
      </c>
      <c r="AF214" s="603"/>
      <c r="AG214" s="603"/>
      <c r="AH214" s="603"/>
      <c r="AI214" s="603"/>
      <c r="AJ214" s="603"/>
      <c r="AK214" s="603"/>
      <c r="AL214" s="604">
        <v>0</v>
      </c>
      <c r="AM214" s="603"/>
      <c r="AN214" s="603"/>
      <c r="AO214" s="604">
        <v>0</v>
      </c>
      <c r="AP214" s="603"/>
      <c r="AQ214" s="604">
        <v>0</v>
      </c>
      <c r="AR214" s="605">
        <v>0</v>
      </c>
      <c r="BA214" s="443"/>
      <c r="BC214" s="443"/>
      <c r="BE214" s="443"/>
      <c r="BG214" s="443"/>
      <c r="BI214" s="443"/>
      <c r="BK214" s="443"/>
      <c r="BO214" s="443"/>
      <c r="BT214" s="443"/>
      <c r="BW214" s="443"/>
      <c r="CA214" s="443"/>
      <c r="CC214" s="443"/>
      <c r="CG214" s="443"/>
      <c r="CM214" s="443"/>
      <c r="CO214" s="443"/>
      <c r="CQ214" s="443"/>
      <c r="CS214" s="443"/>
      <c r="CU214" s="443"/>
      <c r="CW214" s="443"/>
    </row>
    <row r="215" spans="4:104" ht="17.850000000000001" hidden="1" customHeight="1">
      <c r="D215" s="606"/>
      <c r="F215" s="607" t="s">
        <v>1439</v>
      </c>
      <c r="G215" s="557"/>
      <c r="H215" s="608"/>
      <c r="I215" s="608"/>
      <c r="J215" s="608"/>
      <c r="K215" s="608"/>
      <c r="L215" s="608"/>
      <c r="M215" s="608"/>
      <c r="N215" s="608"/>
      <c r="O215" s="608"/>
      <c r="P215" s="609">
        <v>0</v>
      </c>
      <c r="Q215" s="608"/>
      <c r="R215" s="608"/>
      <c r="S215" s="608"/>
      <c r="T215" s="609">
        <v>0</v>
      </c>
      <c r="U215" s="608"/>
      <c r="V215" s="608"/>
      <c r="W215" s="608"/>
      <c r="X215" s="608"/>
      <c r="Y215" s="608"/>
      <c r="Z215" s="608"/>
      <c r="AA215" s="608"/>
      <c r="AB215" s="608"/>
      <c r="AC215" s="608"/>
      <c r="AD215" s="608"/>
      <c r="AE215" s="609">
        <v>0</v>
      </c>
      <c r="AF215" s="608"/>
      <c r="AG215" s="608"/>
      <c r="AH215" s="608"/>
      <c r="AI215" s="608"/>
      <c r="AJ215" s="608"/>
      <c r="AK215" s="608"/>
      <c r="AL215" s="609">
        <v>0</v>
      </c>
      <c r="AM215" s="608"/>
      <c r="AN215" s="608"/>
      <c r="AO215" s="609">
        <v>0</v>
      </c>
      <c r="AP215" s="608"/>
      <c r="AQ215" s="609">
        <v>0</v>
      </c>
      <c r="AR215" s="610">
        <v>0</v>
      </c>
      <c r="BA215" s="443"/>
      <c r="BC215" s="443"/>
      <c r="BE215" s="443"/>
      <c r="BG215" s="443"/>
      <c r="BI215" s="443"/>
      <c r="BK215" s="443"/>
      <c r="BO215" s="443"/>
      <c r="BT215" s="443"/>
      <c r="BW215" s="443"/>
      <c r="CA215" s="443"/>
      <c r="CC215" s="443"/>
      <c r="CG215" s="443"/>
      <c r="CM215" s="443"/>
      <c r="CO215" s="443"/>
      <c r="CQ215" s="443"/>
      <c r="CS215" s="443"/>
      <c r="CU215" s="443"/>
      <c r="CW215" s="443"/>
    </row>
    <row r="216" spans="4:104" ht="15.75" hidden="1" thickBot="1">
      <c r="F216" s="611" t="s">
        <v>1418</v>
      </c>
      <c r="G216" s="557"/>
      <c r="H216" s="603"/>
      <c r="I216" s="603"/>
      <c r="J216" s="603"/>
      <c r="K216" s="603"/>
      <c r="L216" s="603"/>
      <c r="M216" s="603"/>
      <c r="N216" s="603"/>
      <c r="O216" s="603"/>
      <c r="P216" s="604">
        <v>8400</v>
      </c>
      <c r="Q216" s="603"/>
      <c r="R216" s="603"/>
      <c r="S216" s="603"/>
      <c r="T216" s="604">
        <v>6200</v>
      </c>
      <c r="U216" s="603"/>
      <c r="V216" s="603"/>
      <c r="W216" s="603"/>
      <c r="X216" s="603"/>
      <c r="Y216" s="603"/>
      <c r="Z216" s="603"/>
      <c r="AA216" s="603"/>
      <c r="AB216" s="603"/>
      <c r="AC216" s="603"/>
      <c r="AD216" s="603"/>
      <c r="AE216" s="604">
        <v>7300</v>
      </c>
      <c r="AF216" s="603"/>
      <c r="AG216" s="603"/>
      <c r="AH216" s="603"/>
      <c r="AI216" s="603"/>
      <c r="AJ216" s="603"/>
      <c r="AK216" s="603"/>
      <c r="AL216" s="604">
        <v>6300</v>
      </c>
      <c r="AM216" s="603"/>
      <c r="AN216" s="603"/>
      <c r="AO216" s="604">
        <v>8100</v>
      </c>
      <c r="AP216" s="603"/>
      <c r="AQ216" s="604">
        <v>9900</v>
      </c>
      <c r="AR216" s="605">
        <v>7700</v>
      </c>
      <c r="BA216" s="443"/>
      <c r="BC216" s="443"/>
      <c r="BE216" s="443"/>
      <c r="BG216" s="443"/>
      <c r="BI216" s="443"/>
      <c r="BK216" s="443"/>
      <c r="BO216" s="443"/>
      <c r="BT216" s="443"/>
      <c r="BW216" s="443"/>
      <c r="CA216" s="443"/>
      <c r="CC216" s="443"/>
      <c r="CG216" s="443"/>
      <c r="CM216" s="443"/>
      <c r="CO216" s="443"/>
      <c r="CQ216" s="443"/>
      <c r="CS216" s="443"/>
      <c r="CU216" s="443"/>
      <c r="CW216" s="443"/>
    </row>
    <row r="217" spans="4:104" hidden="1">
      <c r="F217" s="612" t="s">
        <v>1440</v>
      </c>
      <c r="G217" s="557"/>
      <c r="H217" s="613"/>
      <c r="I217" s="613"/>
      <c r="J217" s="613"/>
      <c r="K217" s="613"/>
      <c r="L217" s="613"/>
      <c r="M217" s="613"/>
      <c r="N217" s="613"/>
      <c r="O217" s="613"/>
      <c r="P217" s="614">
        <v>-8400</v>
      </c>
      <c r="Q217" s="613"/>
      <c r="R217" s="613"/>
      <c r="S217" s="613"/>
      <c r="T217" s="614">
        <v>-6200</v>
      </c>
      <c r="U217" s="613"/>
      <c r="V217" s="613"/>
      <c r="W217" s="613"/>
      <c r="X217" s="613"/>
      <c r="Y217" s="613"/>
      <c r="Z217" s="613"/>
      <c r="AA217" s="613"/>
      <c r="AB217" s="613"/>
      <c r="AC217" s="613"/>
      <c r="AD217" s="613"/>
      <c r="AE217" s="614">
        <v>-7300</v>
      </c>
      <c r="AF217" s="613"/>
      <c r="AG217" s="613"/>
      <c r="AH217" s="613"/>
      <c r="AI217" s="613"/>
      <c r="AJ217" s="613"/>
      <c r="AK217" s="613"/>
      <c r="AL217" s="614">
        <v>-6300</v>
      </c>
      <c r="AM217" s="613"/>
      <c r="AN217" s="613"/>
      <c r="AO217" s="614">
        <v>-8100</v>
      </c>
      <c r="AP217" s="613"/>
      <c r="AQ217" s="614">
        <v>-9900</v>
      </c>
      <c r="AR217" s="615">
        <v>-7700</v>
      </c>
      <c r="BA217" s="443"/>
      <c r="BC217" s="443"/>
      <c r="BE217" s="443"/>
      <c r="BG217" s="443"/>
      <c r="BI217" s="443"/>
      <c r="BK217" s="443"/>
      <c r="BO217" s="443"/>
      <c r="BT217" s="443"/>
      <c r="BW217" s="443"/>
      <c r="CA217" s="443"/>
      <c r="CC217" s="443"/>
      <c r="CG217" s="443"/>
      <c r="CM217" s="443"/>
      <c r="CO217" s="443"/>
      <c r="CQ217" s="443"/>
      <c r="CS217" s="443"/>
      <c r="CU217" s="443"/>
      <c r="CW217" s="443"/>
    </row>
    <row r="218" spans="4:104" hidden="1">
      <c r="D218" s="564"/>
      <c r="G218" s="557"/>
      <c r="H218" s="616"/>
      <c r="I218" s="616"/>
      <c r="J218" s="616"/>
      <c r="K218" s="616"/>
      <c r="L218" s="616"/>
      <c r="M218" s="616"/>
      <c r="N218" s="616"/>
      <c r="O218" s="616"/>
      <c r="P218" s="617"/>
      <c r="Q218" s="616"/>
      <c r="R218" s="616"/>
      <c r="S218" s="616"/>
      <c r="T218" s="617"/>
      <c r="U218" s="616"/>
      <c r="V218" s="616"/>
      <c r="W218" s="616"/>
      <c r="X218" s="616"/>
      <c r="Y218" s="616"/>
      <c r="Z218" s="616"/>
      <c r="AA218" s="616"/>
      <c r="AB218" s="616"/>
      <c r="AC218" s="616"/>
      <c r="AD218" s="616"/>
      <c r="AE218" s="617"/>
      <c r="AF218" s="616"/>
      <c r="AG218" s="616"/>
      <c r="AH218" s="616"/>
      <c r="AI218" s="616"/>
      <c r="AJ218" s="616"/>
      <c r="AK218" s="616"/>
      <c r="AL218" s="617"/>
      <c r="AM218" s="616"/>
      <c r="AN218" s="616"/>
      <c r="AO218" s="617"/>
      <c r="AP218" s="616"/>
      <c r="AQ218" s="617"/>
      <c r="AR218" s="616"/>
      <c r="BA218" s="443"/>
      <c r="BC218" s="443"/>
      <c r="BE218" s="443"/>
      <c r="BG218" s="443"/>
      <c r="BI218" s="443"/>
      <c r="BK218" s="443"/>
      <c r="BO218" s="443"/>
      <c r="BT218" s="443"/>
      <c r="BW218" s="443"/>
      <c r="CA218" s="443"/>
      <c r="CC218" s="443"/>
      <c r="CG218" s="443"/>
      <c r="CM218" s="443"/>
      <c r="CO218" s="443"/>
      <c r="CQ218" s="443"/>
      <c r="CS218" s="443"/>
      <c r="CU218" s="443"/>
      <c r="CW218" s="443"/>
    </row>
    <row r="219" spans="4:104" hidden="1">
      <c r="G219" s="557"/>
      <c r="H219" s="616"/>
      <c r="I219" s="616"/>
      <c r="J219" s="616"/>
      <c r="K219" s="616"/>
      <c r="L219" s="616"/>
      <c r="M219" s="616"/>
      <c r="N219" s="616"/>
      <c r="O219" s="616"/>
      <c r="P219" s="617"/>
      <c r="Q219" s="616"/>
      <c r="R219" s="616"/>
      <c r="S219" s="616"/>
      <c r="T219" s="617"/>
      <c r="U219" s="616"/>
      <c r="V219" s="616"/>
      <c r="W219" s="616"/>
      <c r="X219" s="616"/>
      <c r="Y219" s="616"/>
      <c r="Z219" s="616"/>
      <c r="AA219" s="616"/>
      <c r="AB219" s="616"/>
      <c r="AC219" s="616"/>
      <c r="AD219" s="616"/>
      <c r="AE219" s="617"/>
      <c r="AF219" s="616"/>
      <c r="AG219" s="616"/>
      <c r="AH219" s="616"/>
      <c r="AI219" s="616"/>
      <c r="AJ219" s="616"/>
      <c r="AK219" s="616"/>
      <c r="AL219" s="617"/>
      <c r="AM219" s="616"/>
      <c r="AN219" s="616"/>
      <c r="AO219" s="617"/>
      <c r="AP219" s="616"/>
      <c r="AQ219" s="617"/>
      <c r="AR219" s="616"/>
      <c r="BA219" s="443"/>
      <c r="BC219" s="443"/>
      <c r="BE219" s="443"/>
      <c r="BG219" s="443"/>
      <c r="BI219" s="443"/>
      <c r="BK219" s="443"/>
      <c r="BO219" s="443"/>
      <c r="BT219" s="443"/>
      <c r="BW219" s="443"/>
      <c r="CA219" s="443"/>
      <c r="CC219" s="443"/>
      <c r="CG219" s="443"/>
      <c r="CM219" s="443"/>
      <c r="CO219" s="443"/>
      <c r="CQ219" s="443"/>
      <c r="CS219" s="443"/>
      <c r="CU219" s="443"/>
      <c r="CW219" s="443"/>
    </row>
    <row r="220" spans="4:104" s="623" customFormat="1" ht="15.75" hidden="1">
      <c r="D220" s="186"/>
      <c r="E220" s="618"/>
      <c r="F220" s="566" t="s">
        <v>1441</v>
      </c>
      <c r="G220" s="619"/>
      <c r="H220" s="620"/>
      <c r="I220" s="620"/>
      <c r="J220" s="620"/>
      <c r="K220" s="620"/>
      <c r="L220" s="620"/>
      <c r="M220" s="620"/>
      <c r="N220" s="620"/>
      <c r="O220" s="620"/>
      <c r="P220" s="621" t="s">
        <v>1442</v>
      </c>
      <c r="Q220" s="620"/>
      <c r="R220" s="620"/>
      <c r="S220" s="620"/>
      <c r="T220" s="621"/>
      <c r="U220" s="620"/>
      <c r="V220" s="620"/>
      <c r="W220" s="620"/>
      <c r="X220" s="620"/>
      <c r="Y220" s="620"/>
      <c r="Z220" s="620"/>
      <c r="AA220" s="620"/>
      <c r="AB220" s="620"/>
      <c r="AC220" s="620"/>
      <c r="AD220" s="620"/>
      <c r="AE220" s="621"/>
      <c r="AF220" s="620"/>
      <c r="AG220" s="620"/>
      <c r="AH220" s="620"/>
      <c r="AI220" s="620"/>
      <c r="AJ220" s="620"/>
      <c r="AK220" s="620"/>
      <c r="AL220" s="621"/>
      <c r="AM220" s="620"/>
      <c r="AN220" s="620"/>
      <c r="AO220" s="621"/>
      <c r="AP220" s="620"/>
      <c r="AQ220" s="621"/>
      <c r="AR220" s="622"/>
      <c r="AT220" s="624"/>
      <c r="BA220" s="625"/>
      <c r="BC220" s="625"/>
      <c r="BE220" s="625"/>
      <c r="BG220" s="625"/>
      <c r="BI220" s="625"/>
      <c r="BK220" s="625"/>
      <c r="BO220" s="625"/>
      <c r="BR220" s="624"/>
      <c r="BT220" s="625"/>
      <c r="BW220" s="625"/>
      <c r="CA220" s="625"/>
      <c r="CC220" s="625"/>
      <c r="CG220" s="625"/>
      <c r="CJ220" s="624"/>
      <c r="CM220" s="625"/>
      <c r="CO220" s="625"/>
      <c r="CQ220" s="625"/>
      <c r="CS220" s="625"/>
      <c r="CU220" s="625"/>
      <c r="CW220" s="625"/>
      <c r="CZ220" s="624"/>
    </row>
    <row r="221" spans="4:104" hidden="1">
      <c r="F221" s="572" t="s">
        <v>1431</v>
      </c>
      <c r="G221" s="557"/>
      <c r="H221" s="573"/>
      <c r="I221" s="573"/>
      <c r="J221" s="573"/>
      <c r="K221" s="573"/>
      <c r="L221" s="573"/>
      <c r="M221" s="573"/>
      <c r="N221" s="573"/>
      <c r="O221" s="573"/>
      <c r="P221" s="574">
        <v>40</v>
      </c>
      <c r="Q221" s="573"/>
      <c r="R221" s="573"/>
      <c r="S221" s="573"/>
      <c r="T221" s="574">
        <v>40</v>
      </c>
      <c r="U221" s="573"/>
      <c r="V221" s="573"/>
      <c r="W221" s="573"/>
      <c r="X221" s="573"/>
      <c r="Y221" s="573"/>
      <c r="Z221" s="573"/>
      <c r="AA221" s="573"/>
      <c r="AB221" s="573"/>
      <c r="AC221" s="573"/>
      <c r="AD221" s="573"/>
      <c r="AE221" s="574">
        <v>40</v>
      </c>
      <c r="AF221" s="573"/>
      <c r="AG221" s="573"/>
      <c r="AH221" s="573"/>
      <c r="AI221" s="573"/>
      <c r="AJ221" s="573"/>
      <c r="AK221" s="573"/>
      <c r="AL221" s="574">
        <v>40</v>
      </c>
      <c r="AM221" s="573"/>
      <c r="AN221" s="573"/>
      <c r="AO221" s="574">
        <v>40</v>
      </c>
      <c r="AP221" s="573"/>
      <c r="AQ221" s="574">
        <v>40</v>
      </c>
      <c r="AR221" s="575">
        <v>40</v>
      </c>
      <c r="BA221" s="443"/>
      <c r="BC221" s="443"/>
      <c r="BE221" s="443"/>
      <c r="BG221" s="443"/>
      <c r="BI221" s="443"/>
      <c r="BK221" s="443"/>
      <c r="BO221" s="443"/>
      <c r="BT221" s="443"/>
      <c r="BW221" s="443"/>
      <c r="CA221" s="443"/>
      <c r="CC221" s="443"/>
      <c r="CG221" s="443"/>
      <c r="CM221" s="443"/>
      <c r="CO221" s="443"/>
      <c r="CQ221" s="443"/>
      <c r="CS221" s="443"/>
      <c r="CU221" s="443"/>
      <c r="CW221" s="443"/>
    </row>
    <row r="222" spans="4:104" s="601" customFormat="1" hidden="1">
      <c r="D222" s="626"/>
      <c r="E222" s="187"/>
      <c r="F222" s="627" t="s">
        <v>1432</v>
      </c>
      <c r="G222" s="628"/>
      <c r="H222" s="629"/>
      <c r="I222" s="629"/>
      <c r="J222" s="629"/>
      <c r="K222" s="629"/>
      <c r="L222" s="629"/>
      <c r="M222" s="629"/>
      <c r="N222" s="629"/>
      <c r="O222" s="629"/>
      <c r="P222" s="630">
        <v>3</v>
      </c>
      <c r="Q222" s="629"/>
      <c r="R222" s="629"/>
      <c r="S222" s="629"/>
      <c r="T222" s="630">
        <v>2</v>
      </c>
      <c r="U222" s="629"/>
      <c r="V222" s="629"/>
      <c r="W222" s="629"/>
      <c r="X222" s="629"/>
      <c r="Y222" s="629"/>
      <c r="Z222" s="629"/>
      <c r="AA222" s="629"/>
      <c r="AB222" s="629"/>
      <c r="AC222" s="629"/>
      <c r="AD222" s="629"/>
      <c r="AE222" s="630">
        <v>3</v>
      </c>
      <c r="AF222" s="629"/>
      <c r="AG222" s="629"/>
      <c r="AH222" s="629"/>
      <c r="AI222" s="629"/>
      <c r="AJ222" s="629"/>
      <c r="AK222" s="629"/>
      <c r="AL222" s="630">
        <v>3</v>
      </c>
      <c r="AM222" s="629"/>
      <c r="AN222" s="629"/>
      <c r="AO222" s="630">
        <v>3</v>
      </c>
      <c r="AP222" s="629"/>
      <c r="AQ222" s="630">
        <v>3</v>
      </c>
      <c r="AR222" s="631">
        <v>2.8333333333333335</v>
      </c>
      <c r="AT222" s="632"/>
      <c r="BA222" s="633"/>
      <c r="BC222" s="633"/>
      <c r="BE222" s="633"/>
      <c r="BG222" s="633"/>
      <c r="BI222" s="633"/>
      <c r="BK222" s="633"/>
      <c r="BO222" s="633"/>
      <c r="BR222" s="632"/>
      <c r="BT222" s="633"/>
      <c r="BW222" s="633"/>
      <c r="CA222" s="633"/>
      <c r="CC222" s="633"/>
      <c r="CG222" s="633"/>
      <c r="CJ222" s="632"/>
      <c r="CM222" s="633"/>
      <c r="CO222" s="633"/>
      <c r="CQ222" s="633"/>
      <c r="CS222" s="633"/>
      <c r="CU222" s="633"/>
      <c r="CW222" s="633"/>
      <c r="CZ222" s="632"/>
    </row>
    <row r="223" spans="4:104" s="560" customFormat="1" hidden="1">
      <c r="D223" s="186"/>
      <c r="E223" s="187"/>
      <c r="F223" s="576" t="s">
        <v>1433</v>
      </c>
      <c r="G223" s="577"/>
      <c r="H223" s="634"/>
      <c r="I223" s="634"/>
      <c r="J223" s="634"/>
      <c r="K223" s="634"/>
      <c r="L223" s="634"/>
      <c r="M223" s="634"/>
      <c r="N223" s="634"/>
      <c r="O223" s="634"/>
      <c r="P223" s="635">
        <v>120</v>
      </c>
      <c r="Q223" s="634"/>
      <c r="R223" s="634"/>
      <c r="S223" s="634"/>
      <c r="T223" s="635">
        <v>80</v>
      </c>
      <c r="U223" s="634"/>
      <c r="V223" s="634"/>
      <c r="W223" s="634"/>
      <c r="X223" s="634"/>
      <c r="Y223" s="634"/>
      <c r="Z223" s="634"/>
      <c r="AA223" s="634"/>
      <c r="AB223" s="634"/>
      <c r="AC223" s="634"/>
      <c r="AD223" s="634"/>
      <c r="AE223" s="635">
        <v>120</v>
      </c>
      <c r="AF223" s="634"/>
      <c r="AG223" s="634"/>
      <c r="AH223" s="634"/>
      <c r="AI223" s="634"/>
      <c r="AJ223" s="634"/>
      <c r="AK223" s="634"/>
      <c r="AL223" s="635">
        <v>120</v>
      </c>
      <c r="AM223" s="634"/>
      <c r="AN223" s="634"/>
      <c r="AO223" s="635">
        <v>120</v>
      </c>
      <c r="AP223" s="634"/>
      <c r="AQ223" s="635">
        <v>120</v>
      </c>
      <c r="AR223" s="636">
        <v>113.33333333333333</v>
      </c>
      <c r="AT223" s="581"/>
      <c r="BA223" s="582"/>
      <c r="BC223" s="582"/>
      <c r="BE223" s="582"/>
      <c r="BG223" s="582"/>
      <c r="BI223" s="582"/>
      <c r="BK223" s="582"/>
      <c r="BO223" s="582"/>
      <c r="BR223" s="581"/>
      <c r="BT223" s="582"/>
      <c r="BW223" s="582"/>
      <c r="CA223" s="582"/>
      <c r="CC223" s="582"/>
      <c r="CG223" s="582"/>
      <c r="CJ223" s="581"/>
      <c r="CM223" s="582"/>
      <c r="CO223" s="582"/>
      <c r="CQ223" s="582"/>
      <c r="CS223" s="582"/>
      <c r="CU223" s="582"/>
      <c r="CW223" s="582"/>
      <c r="CZ223" s="581"/>
    </row>
    <row r="224" spans="4:104" s="560" customFormat="1" hidden="1">
      <c r="D224" s="186"/>
      <c r="E224" s="187"/>
      <c r="F224" s="583" t="s">
        <v>1434</v>
      </c>
      <c r="G224" s="584"/>
      <c r="H224" s="585"/>
      <c r="I224" s="585"/>
      <c r="J224" s="585"/>
      <c r="K224" s="585"/>
      <c r="L224" s="585"/>
      <c r="M224" s="585"/>
      <c r="N224" s="585"/>
      <c r="O224" s="585"/>
      <c r="P224" s="586">
        <v>422.68799999999601</v>
      </c>
      <c r="Q224" s="585"/>
      <c r="R224" s="585"/>
      <c r="S224" s="585"/>
      <c r="T224" s="586">
        <v>281.79200000000003</v>
      </c>
      <c r="U224" s="585"/>
      <c r="V224" s="585"/>
      <c r="W224" s="585"/>
      <c r="X224" s="585"/>
      <c r="Y224" s="585"/>
      <c r="Z224" s="585"/>
      <c r="AA224" s="585"/>
      <c r="AB224" s="585"/>
      <c r="AC224" s="585"/>
      <c r="AD224" s="585"/>
      <c r="AE224" s="586">
        <v>422.68799999999618</v>
      </c>
      <c r="AF224" s="585"/>
      <c r="AG224" s="585"/>
      <c r="AH224" s="585"/>
      <c r="AI224" s="585"/>
      <c r="AJ224" s="585"/>
      <c r="AK224" s="585"/>
      <c r="AL224" s="586">
        <v>422.68797046678816</v>
      </c>
      <c r="AM224" s="585"/>
      <c r="AN224" s="585"/>
      <c r="AO224" s="586">
        <v>422.68799999998879</v>
      </c>
      <c r="AP224" s="585"/>
      <c r="AQ224" s="586">
        <v>422.6880000000001</v>
      </c>
      <c r="AR224" s="585">
        <v>399.20533087438633</v>
      </c>
      <c r="AT224" s="581"/>
      <c r="BA224" s="582"/>
      <c r="BC224" s="582"/>
      <c r="BE224" s="582"/>
      <c r="BG224" s="582"/>
      <c r="BI224" s="582"/>
      <c r="BK224" s="582"/>
      <c r="BO224" s="582"/>
      <c r="BR224" s="581"/>
      <c r="BT224" s="582"/>
      <c r="BW224" s="582"/>
      <c r="CA224" s="582"/>
      <c r="CC224" s="582"/>
      <c r="CG224" s="582"/>
      <c r="CJ224" s="581"/>
      <c r="CM224" s="582"/>
      <c r="CO224" s="582"/>
      <c r="CQ224" s="582"/>
      <c r="CS224" s="582"/>
      <c r="CU224" s="582"/>
      <c r="CW224" s="582"/>
      <c r="CZ224" s="581"/>
    </row>
    <row r="225" spans="4:104" hidden="1">
      <c r="F225" s="602" t="s">
        <v>1435</v>
      </c>
      <c r="G225" s="557"/>
      <c r="H225" s="637"/>
      <c r="I225" s="637"/>
      <c r="J225" s="637"/>
      <c r="K225" s="637"/>
      <c r="L225" s="637"/>
      <c r="M225" s="637"/>
      <c r="N225" s="637"/>
      <c r="O225" s="637"/>
      <c r="P225" s="638">
        <v>60</v>
      </c>
      <c r="Q225" s="637"/>
      <c r="R225" s="637"/>
      <c r="S225" s="637"/>
      <c r="T225" s="638">
        <v>50</v>
      </c>
      <c r="U225" s="637"/>
      <c r="V225" s="637"/>
      <c r="W225" s="637"/>
      <c r="X225" s="637"/>
      <c r="Y225" s="637"/>
      <c r="Z225" s="637"/>
      <c r="AA225" s="637"/>
      <c r="AB225" s="637"/>
      <c r="AC225" s="637"/>
      <c r="AD225" s="637"/>
      <c r="AE225" s="638">
        <v>60</v>
      </c>
      <c r="AF225" s="637"/>
      <c r="AG225" s="637"/>
      <c r="AH225" s="637"/>
      <c r="AI225" s="637"/>
      <c r="AJ225" s="637"/>
      <c r="AK225" s="637"/>
      <c r="AL225" s="638">
        <v>22.401353363843015</v>
      </c>
      <c r="AM225" s="637"/>
      <c r="AN225" s="637"/>
      <c r="AO225" s="638">
        <v>50</v>
      </c>
      <c r="AP225" s="637"/>
      <c r="AQ225" s="638">
        <v>22.401353363843015</v>
      </c>
      <c r="AR225" s="637">
        <v>44.133784454614336</v>
      </c>
      <c r="BA225" s="443"/>
      <c r="BC225" s="443"/>
      <c r="BE225" s="443"/>
      <c r="BG225" s="443"/>
      <c r="BI225" s="443"/>
      <c r="BK225" s="443"/>
      <c r="BO225" s="443"/>
      <c r="BT225" s="443"/>
      <c r="BW225" s="443"/>
      <c r="CA225" s="443"/>
      <c r="CC225" s="443"/>
      <c r="CG225" s="443"/>
      <c r="CM225" s="443"/>
      <c r="CO225" s="443"/>
      <c r="CQ225" s="443"/>
      <c r="CS225" s="443"/>
      <c r="CU225" s="443"/>
      <c r="CW225" s="443"/>
    </row>
    <row r="226" spans="4:104" ht="6.6" hidden="1" customHeight="1">
      <c r="F226" s="597"/>
      <c r="G226" s="557"/>
      <c r="H226" s="598"/>
      <c r="I226" s="598"/>
      <c r="J226" s="598"/>
      <c r="K226" s="598"/>
      <c r="L226" s="598"/>
      <c r="M226" s="598"/>
      <c r="N226" s="598"/>
      <c r="O226" s="598"/>
      <c r="P226" s="599"/>
      <c r="Q226" s="598"/>
      <c r="R226" s="598"/>
      <c r="S226" s="598"/>
      <c r="T226" s="599"/>
      <c r="U226" s="598"/>
      <c r="V226" s="598"/>
      <c r="W226" s="598"/>
      <c r="X226" s="598"/>
      <c r="Y226" s="598"/>
      <c r="Z226" s="598"/>
      <c r="AA226" s="598"/>
      <c r="AB226" s="598"/>
      <c r="AC226" s="598"/>
      <c r="AD226" s="598"/>
      <c r="AE226" s="599"/>
      <c r="AF226" s="598"/>
      <c r="AG226" s="598"/>
      <c r="AH226" s="598"/>
      <c r="AI226" s="598"/>
      <c r="AJ226" s="598"/>
      <c r="AK226" s="598"/>
      <c r="AL226" s="599"/>
      <c r="AM226" s="598"/>
      <c r="AN226" s="598"/>
      <c r="AO226" s="599"/>
      <c r="AP226" s="598"/>
      <c r="AQ226" s="599"/>
      <c r="AR226" s="600"/>
      <c r="BA226" s="443"/>
      <c r="BC226" s="443"/>
      <c r="BE226" s="443"/>
      <c r="BG226" s="443"/>
      <c r="BI226" s="443"/>
      <c r="BK226" s="443"/>
      <c r="BO226" s="443"/>
      <c r="BT226" s="443"/>
      <c r="BW226" s="443"/>
      <c r="CA226" s="443"/>
      <c r="CC226" s="443"/>
      <c r="CG226" s="443"/>
      <c r="CM226" s="443"/>
      <c r="CO226" s="443"/>
      <c r="CQ226" s="443"/>
      <c r="CS226" s="443"/>
      <c r="CU226" s="443"/>
      <c r="CW226" s="443"/>
    </row>
    <row r="227" spans="4:104" s="594" customFormat="1" hidden="1">
      <c r="D227" s="606"/>
      <c r="E227" s="589"/>
      <c r="F227" s="590" t="s">
        <v>1436</v>
      </c>
      <c r="G227" s="591"/>
      <c r="H227" s="592"/>
      <c r="I227" s="592"/>
      <c r="J227" s="592"/>
      <c r="K227" s="592"/>
      <c r="L227" s="592"/>
      <c r="M227" s="592"/>
      <c r="N227" s="592"/>
      <c r="O227" s="592"/>
      <c r="P227" s="593">
        <v>482.68799999999601</v>
      </c>
      <c r="Q227" s="592"/>
      <c r="R227" s="592"/>
      <c r="S227" s="592"/>
      <c r="T227" s="593">
        <v>331.79200000000003</v>
      </c>
      <c r="U227" s="592"/>
      <c r="V227" s="592"/>
      <c r="W227" s="592"/>
      <c r="X227" s="592"/>
      <c r="Y227" s="592"/>
      <c r="Z227" s="592"/>
      <c r="AA227" s="592"/>
      <c r="AB227" s="592"/>
      <c r="AC227" s="592"/>
      <c r="AD227" s="592"/>
      <c r="AE227" s="593">
        <v>482.68799999999618</v>
      </c>
      <c r="AF227" s="592"/>
      <c r="AG227" s="592"/>
      <c r="AH227" s="592"/>
      <c r="AI227" s="592"/>
      <c r="AJ227" s="592"/>
      <c r="AK227" s="592"/>
      <c r="AL227" s="593">
        <v>445.0893238306312</v>
      </c>
      <c r="AM227" s="592"/>
      <c r="AN227" s="592"/>
      <c r="AO227" s="593">
        <v>472.68799999998879</v>
      </c>
      <c r="AP227" s="592"/>
      <c r="AQ227" s="593">
        <v>445.08935336384309</v>
      </c>
      <c r="AR227" s="592">
        <v>443.33911532900066</v>
      </c>
      <c r="AT227" s="595"/>
      <c r="BA227" s="596"/>
      <c r="BC227" s="596"/>
      <c r="BE227" s="596"/>
      <c r="BG227" s="596"/>
      <c r="BI227" s="596"/>
      <c r="BK227" s="596"/>
      <c r="BO227" s="596"/>
      <c r="BR227" s="595"/>
      <c r="BT227" s="596"/>
      <c r="BW227" s="596"/>
      <c r="CA227" s="596"/>
      <c r="CC227" s="596"/>
      <c r="CG227" s="596"/>
      <c r="CJ227" s="595"/>
      <c r="CM227" s="596"/>
      <c r="CO227" s="596"/>
      <c r="CQ227" s="596"/>
      <c r="CS227" s="596"/>
      <c r="CU227" s="596"/>
      <c r="CW227" s="596"/>
      <c r="CZ227" s="595"/>
    </row>
    <row r="228" spans="4:104" ht="7.35" hidden="1" customHeight="1">
      <c r="F228" s="597"/>
      <c r="G228" s="557"/>
      <c r="H228" s="598"/>
      <c r="I228" s="598"/>
      <c r="J228" s="598"/>
      <c r="K228" s="598"/>
      <c r="L228" s="598"/>
      <c r="M228" s="598"/>
      <c r="N228" s="598"/>
      <c r="O228" s="598"/>
      <c r="P228" s="599"/>
      <c r="Q228" s="598"/>
      <c r="R228" s="598"/>
      <c r="S228" s="598"/>
      <c r="T228" s="599"/>
      <c r="U228" s="598"/>
      <c r="V228" s="598"/>
      <c r="W228" s="598"/>
      <c r="X228" s="598"/>
      <c r="Y228" s="598"/>
      <c r="Z228" s="598"/>
      <c r="AA228" s="598"/>
      <c r="AB228" s="598"/>
      <c r="AC228" s="598"/>
      <c r="AD228" s="598"/>
      <c r="AE228" s="599"/>
      <c r="AF228" s="598"/>
      <c r="AG228" s="598"/>
      <c r="AH228" s="598"/>
      <c r="AI228" s="598"/>
      <c r="AJ228" s="598"/>
      <c r="AK228" s="598"/>
      <c r="AL228" s="599"/>
      <c r="AM228" s="598"/>
      <c r="AN228" s="598"/>
      <c r="AO228" s="599"/>
      <c r="AP228" s="598"/>
      <c r="AQ228" s="599"/>
      <c r="AR228" s="600"/>
      <c r="BA228" s="443"/>
      <c r="BC228" s="443"/>
      <c r="BE228" s="443"/>
      <c r="BG228" s="443"/>
      <c r="BI228" s="443"/>
      <c r="BK228" s="443"/>
      <c r="BO228" s="443"/>
      <c r="BT228" s="443"/>
      <c r="BW228" s="443"/>
      <c r="CA228" s="443"/>
      <c r="CC228" s="443"/>
      <c r="CG228" s="443"/>
      <c r="CM228" s="443"/>
      <c r="CO228" s="443"/>
      <c r="CQ228" s="443"/>
      <c r="CS228" s="443"/>
      <c r="CU228" s="443"/>
      <c r="CW228" s="443"/>
    </row>
    <row r="229" spans="4:104" ht="15" hidden="1">
      <c r="F229" s="602" t="s">
        <v>1443</v>
      </c>
      <c r="G229" s="557"/>
      <c r="H229" s="603"/>
      <c r="I229" s="603"/>
      <c r="J229" s="603"/>
      <c r="K229" s="603"/>
      <c r="L229" s="603"/>
      <c r="M229" s="603"/>
      <c r="N229" s="603"/>
      <c r="O229" s="603"/>
      <c r="P229" s="604">
        <v>0</v>
      </c>
      <c r="Q229" s="603"/>
      <c r="R229" s="603"/>
      <c r="S229" s="603"/>
      <c r="T229" s="604">
        <v>0</v>
      </c>
      <c r="U229" s="603"/>
      <c r="V229" s="603"/>
      <c r="W229" s="603"/>
      <c r="X229" s="603"/>
      <c r="Y229" s="603"/>
      <c r="Z229" s="603"/>
      <c r="AA229" s="603"/>
      <c r="AB229" s="603"/>
      <c r="AC229" s="603"/>
      <c r="AD229" s="603"/>
      <c r="AE229" s="604">
        <v>6360</v>
      </c>
      <c r="AF229" s="603"/>
      <c r="AG229" s="603"/>
      <c r="AH229" s="603"/>
      <c r="AI229" s="603"/>
      <c r="AJ229" s="603"/>
      <c r="AK229" s="603"/>
      <c r="AL229" s="604">
        <v>0</v>
      </c>
      <c r="AM229" s="603"/>
      <c r="AN229" s="603"/>
      <c r="AO229" s="604">
        <v>0</v>
      </c>
      <c r="AP229" s="603"/>
      <c r="AQ229" s="604">
        <v>0</v>
      </c>
      <c r="AR229" s="605">
        <v>0</v>
      </c>
      <c r="BA229" s="443"/>
      <c r="BC229" s="443"/>
      <c r="BE229" s="443"/>
      <c r="BG229" s="443"/>
      <c r="BI229" s="443"/>
      <c r="BK229" s="443"/>
      <c r="BO229" s="443"/>
      <c r="BT229" s="443"/>
      <c r="BW229" s="443"/>
      <c r="CA229" s="443"/>
      <c r="CC229" s="443"/>
      <c r="CG229" s="443"/>
      <c r="CM229" s="443"/>
      <c r="CO229" s="443"/>
      <c r="CQ229" s="443"/>
      <c r="CS229" s="443"/>
      <c r="CU229" s="443"/>
      <c r="CW229" s="443"/>
    </row>
    <row r="230" spans="4:104" ht="15" hidden="1">
      <c r="F230" s="602" t="s">
        <v>1444</v>
      </c>
      <c r="G230" s="557"/>
      <c r="H230" s="603"/>
      <c r="I230" s="603"/>
      <c r="J230" s="603"/>
      <c r="K230" s="603"/>
      <c r="L230" s="603"/>
      <c r="M230" s="603"/>
      <c r="N230" s="603"/>
      <c r="O230" s="603"/>
      <c r="P230" s="604">
        <v>7849.2606246169244</v>
      </c>
      <c r="Q230" s="603"/>
      <c r="R230" s="603"/>
      <c r="S230" s="603"/>
      <c r="T230" s="604">
        <v>7052.688826941534</v>
      </c>
      <c r="U230" s="603"/>
      <c r="V230" s="603"/>
      <c r="W230" s="603"/>
      <c r="X230" s="603"/>
      <c r="Y230" s="603"/>
      <c r="Z230" s="603"/>
      <c r="AA230" s="603"/>
      <c r="AB230" s="603"/>
      <c r="AC230" s="603"/>
      <c r="AD230" s="603"/>
      <c r="AE230" s="604">
        <v>8527.8047716651763</v>
      </c>
      <c r="AF230" s="603"/>
      <c r="AG230" s="603"/>
      <c r="AH230" s="603"/>
      <c r="AI230" s="603"/>
      <c r="AJ230" s="603"/>
      <c r="AK230" s="603"/>
      <c r="AL230" s="604">
        <v>2649.538614533551</v>
      </c>
      <c r="AM230" s="603"/>
      <c r="AN230" s="603"/>
      <c r="AO230" s="604">
        <v>6468.2890032571477</v>
      </c>
      <c r="AP230" s="603"/>
      <c r="AQ230" s="604">
        <v>2503.3735359380598</v>
      </c>
      <c r="AR230" s="605">
        <v>5909.5474774342956</v>
      </c>
      <c r="BA230" s="443"/>
      <c r="BC230" s="443"/>
      <c r="BE230" s="443"/>
      <c r="BG230" s="443"/>
      <c r="BI230" s="443"/>
      <c r="BK230" s="443"/>
      <c r="BO230" s="443"/>
      <c r="BT230" s="443"/>
      <c r="BW230" s="443"/>
      <c r="CA230" s="443"/>
      <c r="CC230" s="443"/>
      <c r="CG230" s="443"/>
      <c r="CM230" s="443"/>
      <c r="CO230" s="443"/>
      <c r="CQ230" s="443"/>
      <c r="CS230" s="443"/>
      <c r="CU230" s="443"/>
      <c r="CW230" s="443"/>
    </row>
    <row r="231" spans="4:104" s="640" customFormat="1" ht="17.100000000000001" hidden="1" customHeight="1">
      <c r="D231" s="186"/>
      <c r="E231" s="639"/>
      <c r="F231" s="607" t="s">
        <v>1439</v>
      </c>
      <c r="G231" s="557"/>
      <c r="H231" s="608"/>
      <c r="I231" s="608"/>
      <c r="J231" s="608"/>
      <c r="K231" s="608"/>
      <c r="L231" s="608"/>
      <c r="M231" s="608"/>
      <c r="N231" s="608"/>
      <c r="O231" s="608"/>
      <c r="P231" s="609">
        <v>7849.2606246169244</v>
      </c>
      <c r="Q231" s="608"/>
      <c r="R231" s="608"/>
      <c r="S231" s="608"/>
      <c r="T231" s="609">
        <v>7052.688826941534</v>
      </c>
      <c r="U231" s="608"/>
      <c r="V231" s="608"/>
      <c r="W231" s="608"/>
      <c r="X231" s="608"/>
      <c r="Y231" s="608"/>
      <c r="Z231" s="608"/>
      <c r="AA231" s="608"/>
      <c r="AB231" s="608"/>
      <c r="AC231" s="608"/>
      <c r="AD231" s="608"/>
      <c r="AE231" s="609">
        <v>14887.804771665176</v>
      </c>
      <c r="AF231" s="608"/>
      <c r="AG231" s="608"/>
      <c r="AH231" s="608"/>
      <c r="AI231" s="608"/>
      <c r="AJ231" s="608"/>
      <c r="AK231" s="608"/>
      <c r="AL231" s="609">
        <v>2649.538614533551</v>
      </c>
      <c r="AM231" s="608"/>
      <c r="AN231" s="608"/>
      <c r="AO231" s="609">
        <v>6468.2890032571477</v>
      </c>
      <c r="AP231" s="608"/>
      <c r="AQ231" s="609">
        <v>2503.3735359380598</v>
      </c>
      <c r="AR231" s="610">
        <v>5909.5474774342956</v>
      </c>
      <c r="AT231" s="641"/>
      <c r="BA231" s="642"/>
      <c r="BC231" s="642"/>
      <c r="BE231" s="642"/>
      <c r="BG231" s="642"/>
      <c r="BI231" s="642"/>
      <c r="BK231" s="642"/>
      <c r="BO231" s="642"/>
      <c r="BR231" s="641"/>
      <c r="BT231" s="642"/>
      <c r="BW231" s="642"/>
      <c r="CA231" s="642"/>
      <c r="CC231" s="642"/>
      <c r="CG231" s="642"/>
      <c r="CJ231" s="641"/>
      <c r="CM231" s="642"/>
      <c r="CO231" s="642"/>
      <c r="CQ231" s="642"/>
      <c r="CS231" s="642"/>
      <c r="CU231" s="642"/>
      <c r="CW231" s="642"/>
      <c r="CZ231" s="641"/>
    </row>
    <row r="232" spans="4:104" ht="15.75" hidden="1" thickBot="1">
      <c r="F232" s="611" t="s">
        <v>1445</v>
      </c>
      <c r="G232" s="557"/>
      <c r="H232" s="643"/>
      <c r="I232" s="643"/>
      <c r="J232" s="643"/>
      <c r="K232" s="643"/>
      <c r="L232" s="643"/>
      <c r="M232" s="643"/>
      <c r="N232" s="643"/>
      <c r="O232" s="643"/>
      <c r="P232" s="644">
        <v>0</v>
      </c>
      <c r="Q232" s="643"/>
      <c r="R232" s="643"/>
      <c r="S232" s="643"/>
      <c r="T232" s="644">
        <v>0</v>
      </c>
      <c r="U232" s="643"/>
      <c r="V232" s="643"/>
      <c r="W232" s="643"/>
      <c r="X232" s="643"/>
      <c r="Y232" s="643"/>
      <c r="Z232" s="643"/>
      <c r="AA232" s="643"/>
      <c r="AB232" s="643"/>
      <c r="AC232" s="643"/>
      <c r="AD232" s="643"/>
      <c r="AE232" s="644">
        <v>0</v>
      </c>
      <c r="AF232" s="643"/>
      <c r="AG232" s="643"/>
      <c r="AH232" s="643"/>
      <c r="AI232" s="643"/>
      <c r="AJ232" s="643"/>
      <c r="AK232" s="643"/>
      <c r="AL232" s="644">
        <v>0</v>
      </c>
      <c r="AM232" s="643"/>
      <c r="AN232" s="643"/>
      <c r="AO232" s="644">
        <v>0</v>
      </c>
      <c r="AP232" s="643"/>
      <c r="AQ232" s="644">
        <v>0</v>
      </c>
      <c r="AR232" s="645">
        <v>0</v>
      </c>
      <c r="BA232" s="443"/>
      <c r="BC232" s="443"/>
      <c r="BE232" s="443"/>
      <c r="BG232" s="443"/>
      <c r="BI232" s="443"/>
      <c r="BK232" s="443"/>
      <c r="BO232" s="443"/>
      <c r="BT232" s="443"/>
      <c r="BW232" s="443"/>
      <c r="CA232" s="443"/>
      <c r="CC232" s="443"/>
      <c r="CG232" s="443"/>
      <c r="CM232" s="443"/>
      <c r="CO232" s="443"/>
      <c r="CQ232" s="443"/>
      <c r="CS232" s="443"/>
      <c r="CU232" s="443"/>
      <c r="CW232" s="443"/>
    </row>
    <row r="233" spans="4:104" hidden="1">
      <c r="F233" s="612" t="s">
        <v>1440</v>
      </c>
      <c r="G233" s="557"/>
      <c r="H233" s="613"/>
      <c r="I233" s="613"/>
      <c r="J233" s="613"/>
      <c r="K233" s="613"/>
      <c r="L233" s="613"/>
      <c r="M233" s="613"/>
      <c r="N233" s="613"/>
      <c r="O233" s="613"/>
      <c r="P233" s="614">
        <v>7849.2606246169244</v>
      </c>
      <c r="Q233" s="613"/>
      <c r="R233" s="613"/>
      <c r="S233" s="613"/>
      <c r="T233" s="614">
        <v>7052.688826941534</v>
      </c>
      <c r="U233" s="613"/>
      <c r="V233" s="613"/>
      <c r="W233" s="613"/>
      <c r="X233" s="613"/>
      <c r="Y233" s="613"/>
      <c r="Z233" s="613"/>
      <c r="AA233" s="613"/>
      <c r="AB233" s="613"/>
      <c r="AC233" s="613"/>
      <c r="AD233" s="613"/>
      <c r="AE233" s="614">
        <v>14887.804771665176</v>
      </c>
      <c r="AF233" s="613"/>
      <c r="AG233" s="613"/>
      <c r="AH233" s="613"/>
      <c r="AI233" s="613"/>
      <c r="AJ233" s="613"/>
      <c r="AK233" s="613"/>
      <c r="AL233" s="614">
        <v>2649.538614533551</v>
      </c>
      <c r="AM233" s="613"/>
      <c r="AN233" s="613"/>
      <c r="AO233" s="614">
        <v>6468.2890032571477</v>
      </c>
      <c r="AP233" s="613"/>
      <c r="AQ233" s="614">
        <v>2503.3735359380598</v>
      </c>
      <c r="AR233" s="615">
        <v>5909.5474774342956</v>
      </c>
      <c r="BA233" s="443"/>
      <c r="BC233" s="443"/>
      <c r="BE233" s="443"/>
      <c r="BG233" s="443"/>
      <c r="BI233" s="443"/>
      <c r="BK233" s="443"/>
      <c r="BO233" s="443"/>
      <c r="BT233" s="443"/>
      <c r="BW233" s="443"/>
      <c r="CA233" s="443"/>
      <c r="CC233" s="443"/>
      <c r="CG233" s="443"/>
      <c r="CM233" s="443"/>
      <c r="CO233" s="443"/>
      <c r="CQ233" s="443"/>
      <c r="CS233" s="443"/>
      <c r="CU233" s="443"/>
      <c r="CW233" s="443"/>
    </row>
    <row r="234" spans="4:104" hidden="1">
      <c r="G234" s="557"/>
      <c r="H234" s="598"/>
      <c r="I234" s="598"/>
      <c r="J234" s="598"/>
      <c r="K234" s="598"/>
      <c r="L234" s="598"/>
      <c r="M234" s="598"/>
      <c r="N234" s="598"/>
      <c r="O234" s="598"/>
      <c r="P234" s="599"/>
      <c r="Q234" s="598"/>
      <c r="R234" s="598"/>
      <c r="S234" s="598"/>
      <c r="T234" s="599"/>
      <c r="U234" s="598"/>
      <c r="V234" s="598"/>
      <c r="W234" s="598"/>
      <c r="X234" s="598"/>
      <c r="Y234" s="598"/>
      <c r="Z234" s="598"/>
      <c r="AA234" s="598"/>
      <c r="AB234" s="598"/>
      <c r="AC234" s="598"/>
      <c r="AD234" s="598"/>
      <c r="AE234" s="599"/>
      <c r="AF234" s="598"/>
      <c r="AG234" s="598"/>
      <c r="AH234" s="598"/>
      <c r="AI234" s="598"/>
      <c r="AJ234" s="598"/>
      <c r="AK234" s="598"/>
      <c r="AL234" s="599"/>
      <c r="AM234" s="598"/>
      <c r="AN234" s="598"/>
      <c r="AO234" s="599"/>
      <c r="AP234" s="598"/>
      <c r="AQ234" s="599"/>
      <c r="AR234" s="598"/>
      <c r="BA234" s="443"/>
      <c r="BC234" s="443"/>
      <c r="BE234" s="443"/>
      <c r="BG234" s="443"/>
      <c r="BI234" s="443"/>
      <c r="BK234" s="443"/>
      <c r="BO234" s="443"/>
      <c r="BT234" s="443"/>
      <c r="BW234" s="443"/>
      <c r="CA234" s="443"/>
      <c r="CC234" s="443"/>
      <c r="CG234" s="443"/>
      <c r="CM234" s="443"/>
      <c r="CO234" s="443"/>
      <c r="CQ234" s="443"/>
      <c r="CS234" s="443"/>
      <c r="CU234" s="443"/>
      <c r="CW234" s="443"/>
    </row>
    <row r="235" spans="4:104" hidden="1">
      <c r="F235" s="646" t="s">
        <v>1446</v>
      </c>
      <c r="G235" s="310"/>
      <c r="P235" s="443"/>
      <c r="T235" s="443"/>
      <c r="AE235" s="443"/>
      <c r="AL235" s="443"/>
      <c r="AO235" s="443"/>
      <c r="AQ235" s="443"/>
      <c r="BA235" s="443"/>
      <c r="BC235" s="443"/>
      <c r="BE235" s="443"/>
      <c r="BG235" s="443"/>
      <c r="BI235" s="443"/>
      <c r="BK235" s="443"/>
      <c r="BO235" s="443"/>
      <c r="BT235" s="443"/>
      <c r="BW235" s="443"/>
      <c r="CA235" s="443"/>
      <c r="CC235" s="443"/>
      <c r="CG235" s="443"/>
      <c r="CM235" s="443"/>
      <c r="CO235" s="443"/>
      <c r="CQ235" s="443"/>
      <c r="CS235" s="443"/>
      <c r="CU235" s="443"/>
      <c r="CW235" s="443"/>
    </row>
    <row r="236" spans="4:104" s="560" customFormat="1" hidden="1" outlineLevel="1">
      <c r="D236" s="186"/>
      <c r="E236" s="187"/>
      <c r="F236" s="647" t="s">
        <v>1447</v>
      </c>
      <c r="G236" s="648"/>
      <c r="H236" s="649"/>
      <c r="I236" s="649"/>
      <c r="J236" s="649"/>
      <c r="K236" s="649"/>
      <c r="L236" s="649"/>
      <c r="M236" s="649"/>
      <c r="N236" s="649"/>
      <c r="O236" s="649"/>
      <c r="P236" s="650">
        <v>7491.0211643356488</v>
      </c>
      <c r="Q236" s="649"/>
      <c r="R236" s="649"/>
      <c r="S236" s="649"/>
      <c r="T236" s="650">
        <v>0</v>
      </c>
      <c r="U236" s="649"/>
      <c r="V236" s="649"/>
      <c r="W236" s="649"/>
      <c r="X236" s="649"/>
      <c r="Y236" s="649"/>
      <c r="Z236" s="649"/>
      <c r="AA236" s="649"/>
      <c r="AB236" s="649"/>
      <c r="AC236" s="649"/>
      <c r="AD236" s="649"/>
      <c r="AE236" s="650">
        <v>0</v>
      </c>
      <c r="AF236" s="649"/>
      <c r="AG236" s="649"/>
      <c r="AH236" s="649"/>
      <c r="AI236" s="649"/>
      <c r="AJ236" s="649"/>
      <c r="AK236" s="649"/>
      <c r="AL236" s="650">
        <v>0</v>
      </c>
      <c r="AM236" s="649"/>
      <c r="AN236" s="649"/>
      <c r="AO236" s="650">
        <v>0</v>
      </c>
      <c r="AP236" s="649"/>
      <c r="AQ236" s="650">
        <v>0</v>
      </c>
      <c r="AR236" s="649">
        <v>0</v>
      </c>
      <c r="AT236" s="581"/>
      <c r="BA236" s="582"/>
      <c r="BC236" s="582"/>
      <c r="BE236" s="582"/>
      <c r="BG236" s="582"/>
      <c r="BI236" s="582"/>
      <c r="BK236" s="582"/>
      <c r="BO236" s="582"/>
      <c r="BR236" s="581"/>
      <c r="BT236" s="582"/>
      <c r="BW236" s="582"/>
      <c r="CA236" s="582"/>
      <c r="CC236" s="582"/>
      <c r="CG236" s="582"/>
      <c r="CJ236" s="581"/>
      <c r="CM236" s="582"/>
      <c r="CO236" s="582"/>
      <c r="CQ236" s="582"/>
      <c r="CS236" s="582"/>
      <c r="CU236" s="582"/>
      <c r="CW236" s="582"/>
      <c r="CZ236" s="581"/>
    </row>
    <row r="237" spans="4:104" hidden="1" outlineLevel="1">
      <c r="F237" s="525" t="s">
        <v>1448</v>
      </c>
      <c r="G237" s="651"/>
      <c r="H237" s="281"/>
      <c r="I237" s="281"/>
      <c r="J237" s="281"/>
      <c r="K237" s="281"/>
      <c r="L237" s="281"/>
      <c r="M237" s="281"/>
      <c r="N237" s="281"/>
      <c r="O237" s="281"/>
      <c r="P237" s="282">
        <v>0</v>
      </c>
      <c r="Q237" s="281"/>
      <c r="R237" s="281"/>
      <c r="S237" s="281"/>
      <c r="T237" s="282">
        <v>0</v>
      </c>
      <c r="U237" s="281"/>
      <c r="V237" s="281"/>
      <c r="W237" s="281"/>
      <c r="X237" s="281"/>
      <c r="Y237" s="281"/>
      <c r="Z237" s="281"/>
      <c r="AA237" s="281"/>
      <c r="AB237" s="281"/>
      <c r="AC237" s="281"/>
      <c r="AD237" s="281"/>
      <c r="AE237" s="282">
        <v>0</v>
      </c>
      <c r="AF237" s="281"/>
      <c r="AG237" s="281"/>
      <c r="AH237" s="281"/>
      <c r="AI237" s="281"/>
      <c r="AJ237" s="281"/>
      <c r="AK237" s="281"/>
      <c r="AL237" s="282">
        <v>0</v>
      </c>
      <c r="AM237" s="281"/>
      <c r="AN237" s="281"/>
      <c r="AO237" s="282">
        <v>0</v>
      </c>
      <c r="AP237" s="281"/>
      <c r="AQ237" s="282">
        <v>0</v>
      </c>
      <c r="AR237" s="281">
        <v>0</v>
      </c>
      <c r="BA237" s="443"/>
      <c r="BC237" s="443"/>
      <c r="BE237" s="443"/>
      <c r="BG237" s="443"/>
      <c r="BI237" s="443"/>
      <c r="BK237" s="443"/>
      <c r="BO237" s="443"/>
      <c r="BT237" s="443"/>
      <c r="BW237" s="443"/>
      <c r="CA237" s="443"/>
      <c r="CC237" s="443"/>
      <c r="CG237" s="443"/>
      <c r="CM237" s="443"/>
      <c r="CO237" s="443"/>
      <c r="CQ237" s="443"/>
      <c r="CS237" s="443"/>
      <c r="CU237" s="443"/>
      <c r="CW237" s="443"/>
    </row>
    <row r="238" spans="4:104" hidden="1" outlineLevel="1">
      <c r="F238" s="185" t="s">
        <v>1449</v>
      </c>
      <c r="G238" s="652"/>
      <c r="H238" s="281"/>
      <c r="I238" s="281"/>
      <c r="J238" s="281"/>
      <c r="K238" s="281"/>
      <c r="L238" s="281"/>
      <c r="M238" s="281"/>
      <c r="N238" s="281"/>
      <c r="O238" s="281"/>
      <c r="P238" s="282">
        <v>0</v>
      </c>
      <c r="Q238" s="281"/>
      <c r="R238" s="281"/>
      <c r="S238" s="281"/>
      <c r="T238" s="282">
        <v>0</v>
      </c>
      <c r="U238" s="281"/>
      <c r="V238" s="281"/>
      <c r="W238" s="281"/>
      <c r="X238" s="281"/>
      <c r="Y238" s="281"/>
      <c r="Z238" s="281"/>
      <c r="AA238" s="281"/>
      <c r="AB238" s="281"/>
      <c r="AC238" s="281"/>
      <c r="AD238" s="281"/>
      <c r="AE238" s="282">
        <v>0</v>
      </c>
      <c r="AF238" s="281"/>
      <c r="AG238" s="281"/>
      <c r="AH238" s="281"/>
      <c r="AI238" s="281"/>
      <c r="AJ238" s="281"/>
      <c r="AK238" s="281"/>
      <c r="AL238" s="282">
        <v>0</v>
      </c>
      <c r="AM238" s="281"/>
      <c r="AN238" s="281"/>
      <c r="AO238" s="282">
        <v>0</v>
      </c>
      <c r="AP238" s="281"/>
      <c r="AQ238" s="282">
        <v>0</v>
      </c>
      <c r="AR238" s="281">
        <v>0</v>
      </c>
      <c r="BA238" s="443"/>
      <c r="BC238" s="443"/>
      <c r="BE238" s="443"/>
      <c r="BG238" s="443"/>
      <c r="BI238" s="443"/>
      <c r="BK238" s="443"/>
      <c r="BO238" s="443"/>
      <c r="BT238" s="443"/>
      <c r="BW238" s="443"/>
      <c r="CA238" s="443"/>
      <c r="CC238" s="443"/>
      <c r="CG238" s="443"/>
      <c r="CM238" s="443"/>
      <c r="CO238" s="443"/>
      <c r="CQ238" s="443"/>
      <c r="CS238" s="443"/>
      <c r="CU238" s="443"/>
      <c r="CW238" s="443"/>
    </row>
    <row r="239" spans="4:104" ht="15" hidden="1" outlineLevel="1">
      <c r="F239" s="653" t="s">
        <v>1450</v>
      </c>
      <c r="G239" s="236"/>
      <c r="H239" s="654"/>
      <c r="I239" s="654"/>
      <c r="J239" s="654"/>
      <c r="K239" s="654"/>
      <c r="L239" s="654"/>
      <c r="M239" s="654"/>
      <c r="N239" s="654"/>
      <c r="O239" s="654"/>
      <c r="P239" s="655">
        <v>0</v>
      </c>
      <c r="Q239" s="654"/>
      <c r="R239" s="654"/>
      <c r="S239" s="654"/>
      <c r="T239" s="655">
        <v>0</v>
      </c>
      <c r="U239" s="654"/>
      <c r="V239" s="654"/>
      <c r="W239" s="654"/>
      <c r="X239" s="654"/>
      <c r="Y239" s="654"/>
      <c r="Z239" s="654"/>
      <c r="AA239" s="654"/>
      <c r="AB239" s="654"/>
      <c r="AC239" s="654"/>
      <c r="AD239" s="654"/>
      <c r="AE239" s="655">
        <v>0</v>
      </c>
      <c r="AF239" s="654"/>
      <c r="AG239" s="654"/>
      <c r="AH239" s="654"/>
      <c r="AI239" s="654"/>
      <c r="AJ239" s="654"/>
      <c r="AK239" s="654"/>
      <c r="AL239" s="655">
        <v>0</v>
      </c>
      <c r="AM239" s="654"/>
      <c r="AN239" s="654"/>
      <c r="AO239" s="655">
        <v>0</v>
      </c>
      <c r="AP239" s="654"/>
      <c r="AQ239" s="655">
        <v>0</v>
      </c>
      <c r="AR239" s="654">
        <v>0</v>
      </c>
      <c r="BA239" s="443"/>
      <c r="BC239" s="443"/>
      <c r="BE239" s="443"/>
      <c r="BG239" s="443"/>
      <c r="BI239" s="443"/>
      <c r="BK239" s="443"/>
      <c r="BO239" s="443"/>
      <c r="BT239" s="443"/>
      <c r="BW239" s="443"/>
      <c r="CA239" s="443"/>
      <c r="CC239" s="443"/>
      <c r="CG239" s="443"/>
      <c r="CM239" s="443"/>
      <c r="CO239" s="443"/>
      <c r="CQ239" s="443"/>
      <c r="CS239" s="443"/>
      <c r="CU239" s="443"/>
      <c r="CW239" s="443"/>
    </row>
    <row r="240" spans="4:104" hidden="1" collapsed="1">
      <c r="F240" s="656"/>
      <c r="G240" s="555"/>
      <c r="P240" s="443"/>
      <c r="T240" s="443"/>
      <c r="AE240" s="443"/>
      <c r="AL240" s="443"/>
      <c r="AO240" s="443"/>
      <c r="AQ240" s="443"/>
      <c r="BA240" s="443"/>
      <c r="BC240" s="443"/>
      <c r="BE240" s="443"/>
      <c r="BG240" s="443"/>
      <c r="BI240" s="443"/>
      <c r="BK240" s="443"/>
      <c r="BO240" s="443"/>
      <c r="BT240" s="443"/>
      <c r="BW240" s="443"/>
      <c r="CA240" s="443"/>
      <c r="CC240" s="443"/>
      <c r="CG240" s="443"/>
      <c r="CM240" s="443"/>
      <c r="CO240" s="443"/>
      <c r="CQ240" s="443"/>
      <c r="CS240" s="443"/>
      <c r="CU240" s="443"/>
      <c r="CW240" s="443"/>
    </row>
    <row r="241" spans="2:101" hidden="1">
      <c r="F241" s="646" t="s">
        <v>1484</v>
      </c>
      <c r="G241" s="555"/>
      <c r="P241" s="443"/>
      <c r="T241" s="443"/>
      <c r="AE241" s="443"/>
      <c r="AL241" s="443"/>
      <c r="AO241" s="443"/>
      <c r="AQ241" s="443"/>
      <c r="BA241" s="443"/>
      <c r="BC241" s="443"/>
      <c r="BE241" s="443"/>
      <c r="BG241" s="443"/>
      <c r="BI241" s="443"/>
      <c r="BK241" s="443"/>
      <c r="BO241" s="443"/>
      <c r="BT241" s="443"/>
      <c r="BW241" s="443"/>
      <c r="CA241" s="443"/>
      <c r="CC241" s="443"/>
      <c r="CG241" s="443"/>
      <c r="CM241" s="443"/>
      <c r="CO241" s="443"/>
      <c r="CQ241" s="443"/>
      <c r="CS241" s="443"/>
      <c r="CU241" s="443"/>
      <c r="CW241" s="443"/>
    </row>
    <row r="242" spans="2:101" ht="15" hidden="1" outlineLevel="1">
      <c r="B242" s="288" t="s">
        <v>1451</v>
      </c>
      <c r="C242" s="288" t="s">
        <v>1452</v>
      </c>
      <c r="D242" s="185"/>
      <c r="E242" s="289"/>
      <c r="F242" s="657" t="s">
        <v>1453</v>
      </c>
      <c r="G242" s="310"/>
      <c r="H242" s="299"/>
      <c r="I242" s="299"/>
      <c r="J242" s="299"/>
      <c r="K242" s="299"/>
      <c r="L242" s="299"/>
      <c r="M242" s="299"/>
      <c r="N242" s="299"/>
      <c r="O242" s="299"/>
      <c r="P242" s="300">
        <v>0</v>
      </c>
      <c r="Q242" s="299"/>
      <c r="R242" s="299"/>
      <c r="S242" s="299"/>
      <c r="T242" s="300">
        <v>0</v>
      </c>
      <c r="U242" s="299"/>
      <c r="V242" s="299"/>
      <c r="W242" s="299"/>
      <c r="X242" s="299"/>
      <c r="Y242" s="299"/>
      <c r="Z242" s="299"/>
      <c r="AA242" s="299"/>
      <c r="AB242" s="299"/>
      <c r="AC242" s="299"/>
      <c r="AD242" s="299"/>
      <c r="AE242" s="300">
        <v>0</v>
      </c>
      <c r="AF242" s="299"/>
      <c r="AG242" s="299"/>
      <c r="AH242" s="299"/>
      <c r="AI242" s="299"/>
      <c r="AJ242" s="299"/>
      <c r="AK242" s="299"/>
      <c r="AL242" s="300">
        <v>0</v>
      </c>
      <c r="AM242" s="299"/>
      <c r="AN242" s="299"/>
      <c r="AO242" s="300">
        <v>0</v>
      </c>
      <c r="AP242" s="299"/>
      <c r="AQ242" s="300">
        <v>0</v>
      </c>
      <c r="AR242" s="299">
        <v>0</v>
      </c>
      <c r="BA242" s="443"/>
      <c r="BC242" s="443"/>
      <c r="BE242" s="443"/>
      <c r="BG242" s="443"/>
      <c r="BI242" s="443"/>
      <c r="BK242" s="443"/>
      <c r="BO242" s="443"/>
      <c r="BT242" s="443"/>
      <c r="BW242" s="443"/>
      <c r="CA242" s="443"/>
      <c r="CC242" s="443"/>
      <c r="CG242" s="443"/>
      <c r="CM242" s="443"/>
      <c r="CO242" s="443"/>
      <c r="CQ242" s="443"/>
      <c r="CS242" s="443"/>
      <c r="CU242" s="443"/>
      <c r="CW242" s="443"/>
    </row>
    <row r="243" spans="2:101" ht="15" hidden="1" outlineLevel="1">
      <c r="B243" s="288" t="s">
        <v>1454</v>
      </c>
      <c r="C243" s="288" t="s">
        <v>1327</v>
      </c>
      <c r="E243" s="289"/>
      <c r="F243" s="658" t="s">
        <v>1327</v>
      </c>
      <c r="G243" s="310"/>
      <c r="H243" s="305"/>
      <c r="I243" s="305"/>
      <c r="J243" s="305"/>
      <c r="K243" s="305"/>
      <c r="L243" s="305"/>
      <c r="M243" s="305"/>
      <c r="N243" s="305"/>
      <c r="O243" s="305"/>
      <c r="P243" s="306">
        <v>6019.608733</v>
      </c>
      <c r="Q243" s="305"/>
      <c r="R243" s="305"/>
      <c r="S243" s="305"/>
      <c r="T243" s="306">
        <v>193.20848000000001</v>
      </c>
      <c r="U243" s="305"/>
      <c r="V243" s="305"/>
      <c r="W243" s="305"/>
      <c r="X243" s="305"/>
      <c r="Y243" s="305"/>
      <c r="Z243" s="305"/>
      <c r="AA243" s="305"/>
      <c r="AB243" s="305"/>
      <c r="AC243" s="305"/>
      <c r="AD243" s="305"/>
      <c r="AE243" s="306">
        <v>6334.3143929999997</v>
      </c>
      <c r="AF243" s="305"/>
      <c r="AG243" s="305"/>
      <c r="AH243" s="305"/>
      <c r="AI243" s="305"/>
      <c r="AJ243" s="305"/>
      <c r="AK243" s="305"/>
      <c r="AL243" s="306">
        <v>1431.8802929999999</v>
      </c>
      <c r="AM243" s="305"/>
      <c r="AN243" s="305"/>
      <c r="AO243" s="306">
        <v>2134.9122779999998</v>
      </c>
      <c r="AP243" s="305"/>
      <c r="AQ243" s="306">
        <v>128.29527999999999</v>
      </c>
      <c r="AR243" s="305">
        <v>16242.219456999999</v>
      </c>
      <c r="BA243" s="443"/>
      <c r="BC243" s="443"/>
      <c r="BE243" s="443"/>
      <c r="BG243" s="443"/>
      <c r="BI243" s="443"/>
      <c r="BK243" s="443"/>
      <c r="BO243" s="443"/>
      <c r="BT243" s="443"/>
      <c r="BW243" s="443"/>
      <c r="CA243" s="443"/>
      <c r="CC243" s="443"/>
      <c r="CG243" s="443"/>
      <c r="CM243" s="443"/>
      <c r="CO243" s="443"/>
      <c r="CQ243" s="443"/>
      <c r="CS243" s="443"/>
      <c r="CU243" s="443"/>
      <c r="CW243" s="443"/>
    </row>
    <row r="244" spans="2:101" ht="15" hidden="1" outlineLevel="1">
      <c r="B244" s="288" t="s">
        <v>1454</v>
      </c>
      <c r="C244" s="288" t="s">
        <v>1331</v>
      </c>
      <c r="E244" s="289"/>
      <c r="F244" s="525" t="s">
        <v>1455</v>
      </c>
      <c r="G244" s="310"/>
      <c r="H244" s="659"/>
      <c r="I244" s="659"/>
      <c r="J244" s="659"/>
      <c r="K244" s="659"/>
      <c r="L244" s="659"/>
      <c r="M244" s="659"/>
      <c r="N244" s="659"/>
      <c r="O244" s="659"/>
      <c r="P244" s="660">
        <v>21203.469801119001</v>
      </c>
      <c r="Q244" s="659"/>
      <c r="R244" s="659"/>
      <c r="S244" s="659"/>
      <c r="T244" s="660">
        <v>680.55754995200016</v>
      </c>
      <c r="U244" s="659"/>
      <c r="V244" s="659"/>
      <c r="W244" s="659"/>
      <c r="X244" s="659"/>
      <c r="Y244" s="659"/>
      <c r="Z244" s="659"/>
      <c r="AA244" s="659"/>
      <c r="AB244" s="659"/>
      <c r="AC244" s="659"/>
      <c r="AD244" s="659"/>
      <c r="AE244" s="660">
        <v>22311.989017902997</v>
      </c>
      <c r="AF244" s="659"/>
      <c r="AG244" s="659"/>
      <c r="AH244" s="659"/>
      <c r="AI244" s="659"/>
      <c r="AJ244" s="659"/>
      <c r="AK244" s="659"/>
      <c r="AL244" s="660">
        <v>5043.6547916629997</v>
      </c>
      <c r="AM244" s="659"/>
      <c r="AN244" s="659"/>
      <c r="AO244" s="660">
        <v>7520.0150080269996</v>
      </c>
      <c r="AP244" s="659"/>
      <c r="AQ244" s="660">
        <v>451.90729427200006</v>
      </c>
      <c r="AR244" s="659">
        <v>57211.593462936005</v>
      </c>
      <c r="BA244" s="443"/>
      <c r="BC244" s="443"/>
      <c r="BE244" s="443"/>
      <c r="BG244" s="443"/>
      <c r="BI244" s="443"/>
      <c r="BK244" s="443"/>
      <c r="BO244" s="443"/>
      <c r="BT244" s="443"/>
      <c r="BW244" s="443"/>
      <c r="CA244" s="443"/>
      <c r="CC244" s="443"/>
      <c r="CG244" s="443"/>
      <c r="CM244" s="443"/>
      <c r="CO244" s="443"/>
      <c r="CQ244" s="443"/>
      <c r="CS244" s="443"/>
      <c r="CU244" s="443"/>
      <c r="CW244" s="443"/>
    </row>
    <row r="245" spans="2:101" ht="15" hidden="1" outlineLevel="1">
      <c r="B245" s="288" t="s">
        <v>1456</v>
      </c>
      <c r="C245" s="288" t="s">
        <v>1331</v>
      </c>
      <c r="E245" s="289"/>
      <c r="F245" s="525" t="s">
        <v>1457</v>
      </c>
      <c r="G245" s="310"/>
      <c r="H245" s="659"/>
      <c r="I245" s="659"/>
      <c r="J245" s="659"/>
      <c r="K245" s="659"/>
      <c r="L245" s="659"/>
      <c r="M245" s="659"/>
      <c r="N245" s="659"/>
      <c r="O245" s="659"/>
      <c r="P245" s="660">
        <v>1220.4593431839905</v>
      </c>
      <c r="Q245" s="659"/>
      <c r="R245" s="659"/>
      <c r="S245" s="659"/>
      <c r="T245" s="660">
        <v>45.309237206000034</v>
      </c>
      <c r="U245" s="659"/>
      <c r="V245" s="659"/>
      <c r="W245" s="659"/>
      <c r="X245" s="659"/>
      <c r="Y245" s="659"/>
      <c r="Z245" s="659"/>
      <c r="AA245" s="659"/>
      <c r="AB245" s="659"/>
      <c r="AC245" s="659"/>
      <c r="AD245" s="659"/>
      <c r="AE245" s="660">
        <v>1267.3429504049918</v>
      </c>
      <c r="AF245" s="659"/>
      <c r="AG245" s="659"/>
      <c r="AH245" s="659"/>
      <c r="AI245" s="659"/>
      <c r="AJ245" s="659"/>
      <c r="AK245" s="659"/>
      <c r="AL245" s="660">
        <v>250.18529662999791</v>
      </c>
      <c r="AM245" s="659"/>
      <c r="AN245" s="659"/>
      <c r="AO245" s="660">
        <v>536.20665924999491</v>
      </c>
      <c r="AP245" s="659"/>
      <c r="AQ245" s="660">
        <v>29.523065895000009</v>
      </c>
      <c r="AR245" s="659">
        <v>3349.0265525699751</v>
      </c>
      <c r="BA245" s="443"/>
      <c r="BC245" s="443"/>
      <c r="BE245" s="443"/>
      <c r="BG245" s="443"/>
      <c r="BI245" s="443"/>
      <c r="BK245" s="443"/>
      <c r="BO245" s="443"/>
      <c r="BT245" s="443"/>
      <c r="BW245" s="443"/>
      <c r="CA245" s="443"/>
      <c r="CC245" s="443"/>
      <c r="CG245" s="443"/>
      <c r="CM245" s="443"/>
      <c r="CO245" s="443"/>
      <c r="CQ245" s="443"/>
      <c r="CS245" s="443"/>
      <c r="CU245" s="443"/>
      <c r="CW245" s="443"/>
    </row>
    <row r="246" spans="2:101" ht="15" hidden="1" outlineLevel="1">
      <c r="F246" s="661" t="s">
        <v>1458</v>
      </c>
      <c r="G246" s="310"/>
      <c r="H246" s="662"/>
      <c r="I246" s="662"/>
      <c r="J246" s="662"/>
      <c r="K246" s="662"/>
      <c r="L246" s="662"/>
      <c r="M246" s="662"/>
      <c r="N246" s="662"/>
      <c r="O246" s="662"/>
      <c r="P246" s="663">
        <v>22423.929144302991</v>
      </c>
      <c r="Q246" s="662"/>
      <c r="R246" s="662"/>
      <c r="S246" s="662"/>
      <c r="T246" s="663">
        <v>725.86678715800019</v>
      </c>
      <c r="U246" s="662"/>
      <c r="V246" s="662"/>
      <c r="W246" s="662"/>
      <c r="X246" s="662"/>
      <c r="Y246" s="662"/>
      <c r="Z246" s="662"/>
      <c r="AA246" s="662"/>
      <c r="AB246" s="662"/>
      <c r="AC246" s="662"/>
      <c r="AD246" s="662"/>
      <c r="AE246" s="663">
        <v>23579.33196830799</v>
      </c>
      <c r="AF246" s="662"/>
      <c r="AG246" s="662"/>
      <c r="AH246" s="662"/>
      <c r="AI246" s="662"/>
      <c r="AJ246" s="662"/>
      <c r="AK246" s="662"/>
      <c r="AL246" s="663">
        <v>5293.8400882929973</v>
      </c>
      <c r="AM246" s="662"/>
      <c r="AN246" s="662"/>
      <c r="AO246" s="663">
        <v>8056.2216672769946</v>
      </c>
      <c r="AP246" s="662"/>
      <c r="AQ246" s="663">
        <v>481.43036016700006</v>
      </c>
      <c r="AR246" s="662">
        <v>60560.620015505978</v>
      </c>
      <c r="BA246" s="443"/>
      <c r="BC246" s="443"/>
      <c r="BE246" s="443"/>
      <c r="BG246" s="443"/>
      <c r="BI246" s="443"/>
      <c r="BK246" s="443"/>
      <c r="BO246" s="443"/>
      <c r="BT246" s="443"/>
      <c r="BW246" s="443"/>
      <c r="CA246" s="443"/>
      <c r="CC246" s="443"/>
      <c r="CG246" s="443"/>
      <c r="CM246" s="443"/>
      <c r="CO246" s="443"/>
      <c r="CQ246" s="443"/>
      <c r="CS246" s="443"/>
      <c r="CU246" s="443"/>
      <c r="CW246" s="443"/>
    </row>
    <row r="247" spans="2:101" ht="15" hidden="1" outlineLevel="1">
      <c r="F247" s="664" t="s">
        <v>1459</v>
      </c>
      <c r="G247" s="665"/>
      <c r="H247" s="666"/>
      <c r="I247" s="666"/>
      <c r="J247" s="666"/>
      <c r="K247" s="666"/>
      <c r="L247" s="666"/>
      <c r="M247" s="666"/>
      <c r="N247" s="666"/>
      <c r="O247" s="666"/>
      <c r="P247" s="667">
        <v>19.671923964052286</v>
      </c>
      <c r="Q247" s="666"/>
      <c r="R247" s="666"/>
      <c r="S247" s="666"/>
      <c r="T247" s="667">
        <v>0.63140026143790851</v>
      </c>
      <c r="U247" s="666"/>
      <c r="V247" s="666"/>
      <c r="W247" s="666"/>
      <c r="X247" s="666"/>
      <c r="Y247" s="666"/>
      <c r="Z247" s="666"/>
      <c r="AA247" s="666"/>
      <c r="AB247" s="666"/>
      <c r="AC247" s="666"/>
      <c r="AD247" s="666"/>
      <c r="AE247" s="667">
        <v>20.700373833333334</v>
      </c>
      <c r="AF247" s="666"/>
      <c r="AG247" s="666"/>
      <c r="AH247" s="666"/>
      <c r="AI247" s="666"/>
      <c r="AJ247" s="666"/>
      <c r="AK247" s="666"/>
      <c r="AL247" s="667">
        <v>4.6793473627450979</v>
      </c>
      <c r="AM247" s="666"/>
      <c r="AN247" s="666"/>
      <c r="AO247" s="667">
        <v>6.9768375098039206</v>
      </c>
      <c r="AP247" s="666"/>
      <c r="AQ247" s="667">
        <v>0.41926562091503267</v>
      </c>
      <c r="AR247" s="666">
        <v>53.079148552287577</v>
      </c>
      <c r="BA247" s="443"/>
      <c r="BC247" s="443"/>
      <c r="BE247" s="443"/>
      <c r="BG247" s="443"/>
      <c r="BI247" s="443"/>
      <c r="BK247" s="443"/>
      <c r="BO247" s="443"/>
      <c r="BT247" s="443"/>
      <c r="BW247" s="443"/>
      <c r="CA247" s="443"/>
      <c r="CC247" s="443"/>
      <c r="CG247" s="443"/>
      <c r="CM247" s="443"/>
      <c r="CO247" s="443"/>
      <c r="CQ247" s="443"/>
      <c r="CS247" s="443"/>
      <c r="CU247" s="443"/>
      <c r="CW247" s="443"/>
    </row>
    <row r="248" spans="2:101" ht="15" hidden="1" outlineLevel="1">
      <c r="F248" s="664" t="s">
        <v>1460</v>
      </c>
      <c r="G248" s="665"/>
      <c r="H248" s="666"/>
      <c r="I248" s="666"/>
      <c r="J248" s="666"/>
      <c r="K248" s="666"/>
      <c r="L248" s="666"/>
      <c r="M248" s="666"/>
      <c r="N248" s="666"/>
      <c r="O248" s="666"/>
      <c r="P248" s="667">
        <v>3.9884292260914722</v>
      </c>
      <c r="Q248" s="666"/>
      <c r="R248" s="666"/>
      <c r="S248" s="666"/>
      <c r="T248" s="667">
        <v>0.14806940263398705</v>
      </c>
      <c r="U248" s="666"/>
      <c r="V248" s="666"/>
      <c r="W248" s="666"/>
      <c r="X248" s="666"/>
      <c r="Y248" s="666"/>
      <c r="Z248" s="666"/>
      <c r="AA248" s="666"/>
      <c r="AB248" s="666"/>
      <c r="AC248" s="666"/>
      <c r="AD248" s="666"/>
      <c r="AE248" s="667">
        <v>4.1416436287744833</v>
      </c>
      <c r="AF248" s="666"/>
      <c r="AG248" s="666"/>
      <c r="AH248" s="666"/>
      <c r="AI248" s="666"/>
      <c r="AJ248" s="666"/>
      <c r="AK248" s="666"/>
      <c r="AL248" s="667">
        <v>0.81759900859476442</v>
      </c>
      <c r="AM248" s="666"/>
      <c r="AN248" s="666"/>
      <c r="AO248" s="667">
        <v>1.7523093439542317</v>
      </c>
      <c r="AP248" s="666"/>
      <c r="AQ248" s="667">
        <v>9.6480607500000024E-2</v>
      </c>
      <c r="AR248" s="666">
        <v>10.944531217548938</v>
      </c>
      <c r="BA248" s="443"/>
      <c r="BC248" s="443"/>
      <c r="BE248" s="443"/>
      <c r="BG248" s="443"/>
      <c r="BI248" s="443"/>
      <c r="BK248" s="443"/>
      <c r="BO248" s="443"/>
      <c r="BT248" s="443"/>
      <c r="BW248" s="443"/>
      <c r="CA248" s="443"/>
      <c r="CC248" s="443"/>
      <c r="CG248" s="443"/>
      <c r="CM248" s="443"/>
      <c r="CO248" s="443"/>
      <c r="CQ248" s="443"/>
      <c r="CS248" s="443"/>
      <c r="CU248" s="443"/>
      <c r="CW248" s="443"/>
    </row>
    <row r="249" spans="2:101" hidden="1" collapsed="1">
      <c r="F249" s="646"/>
      <c r="G249" s="665"/>
      <c r="P249" s="443"/>
      <c r="T249" s="443"/>
      <c r="AE249" s="443"/>
      <c r="AL249" s="443"/>
      <c r="AO249" s="443"/>
      <c r="AQ249" s="443"/>
      <c r="BA249" s="443"/>
      <c r="BC249" s="443"/>
      <c r="BE249" s="443"/>
      <c r="BG249" s="443"/>
      <c r="BI249" s="443"/>
      <c r="BK249" s="443"/>
      <c r="BO249" s="443"/>
      <c r="BT249" s="443"/>
      <c r="BW249" s="443"/>
      <c r="CA249" s="443"/>
      <c r="CC249" s="443"/>
      <c r="CG249" s="443"/>
      <c r="CM249" s="443"/>
      <c r="CO249" s="443"/>
      <c r="CQ249" s="443"/>
      <c r="CS249" s="443"/>
      <c r="CU249" s="443"/>
      <c r="CW249" s="443"/>
    </row>
    <row r="250" spans="2:101" hidden="1">
      <c r="F250" s="646" t="s">
        <v>1461</v>
      </c>
      <c r="G250" s="557"/>
      <c r="H250" s="668"/>
      <c r="I250" s="668"/>
      <c r="J250" s="668"/>
      <c r="K250" s="668"/>
      <c r="L250" s="668"/>
      <c r="M250" s="668"/>
      <c r="N250" s="668"/>
      <c r="O250" s="668"/>
      <c r="P250" s="669"/>
      <c r="Q250" s="668"/>
      <c r="R250" s="668"/>
      <c r="S250" s="668"/>
      <c r="T250" s="669"/>
      <c r="U250" s="668"/>
      <c r="V250" s="668"/>
      <c r="W250" s="668"/>
      <c r="X250" s="668"/>
      <c r="Y250" s="668"/>
      <c r="Z250" s="668"/>
      <c r="AA250" s="668"/>
      <c r="AB250" s="668"/>
      <c r="AC250" s="668"/>
      <c r="AD250" s="668"/>
      <c r="AE250" s="669"/>
      <c r="AF250" s="668"/>
      <c r="AG250" s="668"/>
      <c r="AH250" s="668"/>
      <c r="AI250" s="668"/>
      <c r="AJ250" s="668"/>
      <c r="AK250" s="668"/>
      <c r="AL250" s="669"/>
      <c r="AM250" s="668"/>
      <c r="AN250" s="668"/>
      <c r="AO250" s="669"/>
      <c r="AP250" s="668"/>
      <c r="AQ250" s="669"/>
      <c r="AR250" s="668"/>
      <c r="BA250" s="443"/>
      <c r="BC250" s="443"/>
      <c r="BE250" s="443"/>
      <c r="BG250" s="443"/>
      <c r="BI250" s="443"/>
      <c r="BK250" s="443"/>
      <c r="BO250" s="443"/>
      <c r="BT250" s="443"/>
      <c r="BW250" s="443"/>
      <c r="CA250" s="443"/>
      <c r="CC250" s="443"/>
      <c r="CG250" s="443"/>
      <c r="CM250" s="443"/>
      <c r="CO250" s="443"/>
      <c r="CQ250" s="443"/>
      <c r="CS250" s="443"/>
      <c r="CU250" s="443"/>
      <c r="CW250" s="443"/>
    </row>
    <row r="251" spans="2:101" hidden="1">
      <c r="F251" s="670" t="s">
        <v>1462</v>
      </c>
      <c r="G251" s="671"/>
      <c r="H251" s="672"/>
      <c r="I251" s="672"/>
      <c r="J251" s="672"/>
      <c r="K251" s="672"/>
      <c r="L251" s="672"/>
      <c r="M251" s="672"/>
      <c r="N251" s="672"/>
      <c r="O251" s="672"/>
      <c r="P251" s="673">
        <v>53.333333333333336</v>
      </c>
      <c r="Q251" s="672"/>
      <c r="R251" s="672"/>
      <c r="S251" s="672"/>
      <c r="T251" s="673">
        <v>53</v>
      </c>
      <c r="U251" s="672"/>
      <c r="V251" s="672"/>
      <c r="W251" s="672"/>
      <c r="X251" s="672"/>
      <c r="Y251" s="672"/>
      <c r="Z251" s="672"/>
      <c r="AA251" s="672"/>
      <c r="AB251" s="672"/>
      <c r="AC251" s="672"/>
      <c r="AD251" s="672"/>
      <c r="AE251" s="673">
        <v>53</v>
      </c>
      <c r="AF251" s="672"/>
      <c r="AG251" s="672"/>
      <c r="AH251" s="672"/>
      <c r="AI251" s="672"/>
      <c r="AJ251" s="672"/>
      <c r="AK251" s="672"/>
      <c r="AL251" s="673">
        <v>54</v>
      </c>
      <c r="AM251" s="672"/>
      <c r="AN251" s="672"/>
      <c r="AO251" s="673">
        <v>54</v>
      </c>
      <c r="AP251" s="672"/>
      <c r="AQ251" s="673">
        <v>54</v>
      </c>
      <c r="AR251" s="672">
        <v>53.414634146341463</v>
      </c>
      <c r="BA251" s="443"/>
      <c r="BC251" s="443"/>
      <c r="BE251" s="443"/>
      <c r="BG251" s="443"/>
      <c r="BI251" s="443"/>
      <c r="BK251" s="443"/>
      <c r="BO251" s="443"/>
      <c r="BT251" s="443"/>
      <c r="BW251" s="443"/>
      <c r="CA251" s="443"/>
      <c r="CC251" s="443"/>
      <c r="CG251" s="443"/>
      <c r="CM251" s="443"/>
      <c r="CO251" s="443"/>
      <c r="CQ251" s="443"/>
      <c r="CS251" s="443"/>
      <c r="CU251" s="443"/>
      <c r="CW251" s="443"/>
    </row>
    <row r="252" spans="2:101" ht="15" hidden="1">
      <c r="F252" s="304" t="s">
        <v>1463</v>
      </c>
      <c r="G252" s="298"/>
      <c r="H252" s="674"/>
      <c r="I252" s="674"/>
      <c r="J252" s="674"/>
      <c r="K252" s="674"/>
      <c r="L252" s="674"/>
      <c r="M252" s="674"/>
      <c r="N252" s="674"/>
      <c r="O252" s="674"/>
      <c r="P252" s="675">
        <v>0</v>
      </c>
      <c r="Q252" s="674"/>
      <c r="R252" s="674"/>
      <c r="S252" s="674"/>
      <c r="T252" s="675">
        <v>0</v>
      </c>
      <c r="U252" s="674"/>
      <c r="V252" s="674"/>
      <c r="W252" s="674"/>
      <c r="X252" s="674"/>
      <c r="Y252" s="674"/>
      <c r="Z252" s="674"/>
      <c r="AA252" s="674"/>
      <c r="AB252" s="674"/>
      <c r="AC252" s="674"/>
      <c r="AD252" s="674"/>
      <c r="AE252" s="675">
        <v>0</v>
      </c>
      <c r="AF252" s="674"/>
      <c r="AG252" s="674"/>
      <c r="AH252" s="674"/>
      <c r="AI252" s="674"/>
      <c r="AJ252" s="674"/>
      <c r="AK252" s="674"/>
      <c r="AL252" s="675">
        <v>0</v>
      </c>
      <c r="AM252" s="674"/>
      <c r="AN252" s="674"/>
      <c r="AO252" s="675">
        <v>0</v>
      </c>
      <c r="AP252" s="674"/>
      <c r="AQ252" s="675">
        <v>0</v>
      </c>
      <c r="AR252" s="674">
        <v>0</v>
      </c>
      <c r="BA252" s="443"/>
      <c r="BC252" s="443"/>
      <c r="BE252" s="443"/>
      <c r="BG252" s="443"/>
      <c r="BI252" s="443"/>
      <c r="BK252" s="443"/>
      <c r="BO252" s="443"/>
      <c r="BT252" s="443"/>
      <c r="BW252" s="443"/>
      <c r="CA252" s="443"/>
      <c r="CC252" s="443"/>
      <c r="CG252" s="443"/>
      <c r="CM252" s="443"/>
      <c r="CO252" s="443"/>
      <c r="CQ252" s="443"/>
      <c r="CS252" s="443"/>
      <c r="CU252" s="443"/>
      <c r="CW252" s="443"/>
    </row>
    <row r="253" spans="2:101" hidden="1">
      <c r="F253" s="661" t="s">
        <v>1464</v>
      </c>
      <c r="G253" s="310"/>
      <c r="H253" s="676"/>
      <c r="I253" s="676"/>
      <c r="J253" s="676"/>
      <c r="K253" s="676"/>
      <c r="L253" s="676"/>
      <c r="M253" s="676"/>
      <c r="N253" s="676"/>
      <c r="O253" s="676"/>
      <c r="P253" s="677">
        <v>-53.333333333333336</v>
      </c>
      <c r="Q253" s="676"/>
      <c r="R253" s="676"/>
      <c r="S253" s="676"/>
      <c r="T253" s="677">
        <v>-53</v>
      </c>
      <c r="U253" s="676"/>
      <c r="V253" s="676"/>
      <c r="W253" s="676"/>
      <c r="X253" s="676"/>
      <c r="Y253" s="676"/>
      <c r="Z253" s="676"/>
      <c r="AA253" s="676"/>
      <c r="AB253" s="676"/>
      <c r="AC253" s="676"/>
      <c r="AD253" s="676"/>
      <c r="AE253" s="677">
        <v>-53</v>
      </c>
      <c r="AF253" s="676"/>
      <c r="AG253" s="676"/>
      <c r="AH253" s="676"/>
      <c r="AI253" s="676"/>
      <c r="AJ253" s="676"/>
      <c r="AK253" s="676"/>
      <c r="AL253" s="677">
        <v>-54</v>
      </c>
      <c r="AM253" s="676"/>
      <c r="AN253" s="676"/>
      <c r="AO253" s="677">
        <v>-54</v>
      </c>
      <c r="AP253" s="676"/>
      <c r="AQ253" s="677">
        <v>-54</v>
      </c>
      <c r="AR253" s="676">
        <v>-53.414634146341463</v>
      </c>
      <c r="BA253" s="443"/>
      <c r="BC253" s="443"/>
      <c r="BE253" s="443"/>
      <c r="BG253" s="443"/>
      <c r="BI253" s="443"/>
      <c r="BK253" s="443"/>
      <c r="BO253" s="443"/>
      <c r="BT253" s="443"/>
      <c r="BW253" s="443"/>
      <c r="CA253" s="443"/>
      <c r="CC253" s="443"/>
      <c r="CG253" s="443"/>
      <c r="CM253" s="443"/>
      <c r="CO253" s="443"/>
      <c r="CQ253" s="443"/>
      <c r="CS253" s="443"/>
      <c r="CU253" s="443"/>
      <c r="CW253" s="443"/>
    </row>
    <row r="254" spans="2:101" hidden="1">
      <c r="P254" s="443"/>
      <c r="T254" s="443"/>
      <c r="AE254" s="443"/>
      <c r="AL254" s="443"/>
      <c r="AO254" s="443"/>
      <c r="AQ254" s="443"/>
      <c r="BA254" s="443"/>
      <c r="BC254" s="443"/>
      <c r="BE254" s="443"/>
      <c r="BG254" s="443"/>
      <c r="BI254" s="443"/>
      <c r="BK254" s="443"/>
      <c r="BO254" s="443"/>
      <c r="BT254" s="443"/>
      <c r="BW254" s="443"/>
      <c r="CA254" s="443"/>
      <c r="CC254" s="443"/>
      <c r="CG254" s="443"/>
      <c r="CM254" s="443"/>
      <c r="CO254" s="443"/>
      <c r="CQ254" s="443"/>
      <c r="CS254" s="443"/>
      <c r="CU254" s="443"/>
      <c r="CW254" s="443"/>
    </row>
    <row r="255" spans="2:101" hidden="1">
      <c r="F255" s="646" t="s">
        <v>1465</v>
      </c>
      <c r="G255" s="310"/>
      <c r="H255" s="668"/>
      <c r="I255" s="668"/>
      <c r="J255" s="668"/>
      <c r="K255" s="668"/>
      <c r="L255" s="668"/>
      <c r="M255" s="668"/>
      <c r="N255" s="668"/>
      <c r="O255" s="668"/>
      <c r="P255" s="669"/>
      <c r="Q255" s="668"/>
      <c r="R255" s="668"/>
      <c r="S255" s="668"/>
      <c r="T255" s="669"/>
      <c r="U255" s="668"/>
      <c r="V255" s="668"/>
      <c r="W255" s="668"/>
      <c r="X255" s="668"/>
      <c r="Y255" s="668"/>
      <c r="Z255" s="668"/>
      <c r="AA255" s="668"/>
      <c r="AB255" s="668"/>
      <c r="AC255" s="668"/>
      <c r="AD255" s="668"/>
      <c r="AE255" s="669"/>
      <c r="AF255" s="668"/>
      <c r="AG255" s="668"/>
      <c r="AH255" s="668"/>
      <c r="AI255" s="668"/>
      <c r="AJ255" s="668"/>
      <c r="AK255" s="668"/>
      <c r="AL255" s="669"/>
      <c r="AM255" s="668"/>
      <c r="AN255" s="668"/>
      <c r="AO255" s="669"/>
      <c r="AP255" s="668"/>
      <c r="AQ255" s="669"/>
      <c r="AR255" s="668"/>
      <c r="BA255" s="443"/>
      <c r="BC255" s="443"/>
      <c r="BE255" s="443"/>
      <c r="BG255" s="443"/>
      <c r="BI255" s="443"/>
      <c r="BK255" s="443"/>
      <c r="BO255" s="443"/>
      <c r="BT255" s="443"/>
      <c r="BW255" s="443"/>
      <c r="CA255" s="443"/>
      <c r="CC255" s="443"/>
      <c r="CG255" s="443"/>
      <c r="CM255" s="443"/>
      <c r="CO255" s="443"/>
      <c r="CQ255" s="443"/>
      <c r="CS255" s="443"/>
      <c r="CU255" s="443"/>
      <c r="CW255" s="443"/>
    </row>
    <row r="256" spans="2:101" ht="15" hidden="1" outlineLevel="1">
      <c r="F256" s="297" t="s">
        <v>1466</v>
      </c>
      <c r="G256" s="298"/>
      <c r="H256" s="678"/>
      <c r="I256" s="678"/>
      <c r="J256" s="678"/>
      <c r="K256" s="678"/>
      <c r="L256" s="678"/>
      <c r="M256" s="678"/>
      <c r="N256" s="678"/>
      <c r="O256" s="678"/>
      <c r="P256" s="679">
        <v>0</v>
      </c>
      <c r="Q256" s="678"/>
      <c r="R256" s="678"/>
      <c r="S256" s="678"/>
      <c r="T256" s="679">
        <v>0</v>
      </c>
      <c r="U256" s="678"/>
      <c r="V256" s="678"/>
      <c r="W256" s="678"/>
      <c r="X256" s="678"/>
      <c r="Y256" s="678"/>
      <c r="Z256" s="678"/>
      <c r="AA256" s="678"/>
      <c r="AB256" s="678"/>
      <c r="AC256" s="678"/>
      <c r="AD256" s="678"/>
      <c r="AE256" s="679">
        <v>0</v>
      </c>
      <c r="AF256" s="678"/>
      <c r="AG256" s="678"/>
      <c r="AH256" s="678"/>
      <c r="AI256" s="678"/>
      <c r="AJ256" s="678"/>
      <c r="AK256" s="678"/>
      <c r="AL256" s="679">
        <v>0</v>
      </c>
      <c r="AM256" s="678"/>
      <c r="AN256" s="678"/>
      <c r="AO256" s="679">
        <v>0</v>
      </c>
      <c r="AP256" s="678"/>
      <c r="AQ256" s="679">
        <v>0</v>
      </c>
      <c r="AR256" s="678">
        <v>0</v>
      </c>
      <c r="BA256" s="443"/>
      <c r="BC256" s="443"/>
      <c r="BE256" s="443"/>
      <c r="BG256" s="443"/>
      <c r="BI256" s="443"/>
      <c r="BK256" s="443"/>
      <c r="BO256" s="443"/>
      <c r="BT256" s="443"/>
      <c r="BW256" s="443"/>
      <c r="CA256" s="443"/>
      <c r="CC256" s="443"/>
      <c r="CG256" s="443"/>
      <c r="CM256" s="443"/>
      <c r="CO256" s="443"/>
      <c r="CQ256" s="443"/>
      <c r="CS256" s="443"/>
      <c r="CU256" s="443"/>
      <c r="CW256" s="443"/>
    </row>
    <row r="257" spans="2:102" ht="15" hidden="1" outlineLevel="1">
      <c r="F257" s="304" t="s">
        <v>1467</v>
      </c>
      <c r="G257" s="298"/>
      <c r="H257" s="674"/>
      <c r="I257" s="674"/>
      <c r="J257" s="674"/>
      <c r="K257" s="674"/>
      <c r="L257" s="674"/>
      <c r="M257" s="674"/>
      <c r="N257" s="674"/>
      <c r="O257" s="674"/>
      <c r="P257" s="675">
        <v>50.784514293864945</v>
      </c>
      <c r="Q257" s="674"/>
      <c r="R257" s="674"/>
      <c r="S257" s="674"/>
      <c r="T257" s="675">
        <v>50.628135795816462</v>
      </c>
      <c r="U257" s="674"/>
      <c r="V257" s="674"/>
      <c r="W257" s="674"/>
      <c r="X257" s="674"/>
      <c r="Y257" s="674"/>
      <c r="Z257" s="674"/>
      <c r="AA257" s="674"/>
      <c r="AB257" s="674"/>
      <c r="AC257" s="674"/>
      <c r="AD257" s="674"/>
      <c r="AE257" s="675">
        <v>50.952649554777196</v>
      </c>
      <c r="AF257" s="674"/>
      <c r="AG257" s="674"/>
      <c r="AH257" s="674"/>
      <c r="AI257" s="674"/>
      <c r="AJ257" s="674"/>
      <c r="AK257" s="674"/>
      <c r="AL257" s="675">
        <v>51.798173477098317</v>
      </c>
      <c r="AM257" s="674"/>
      <c r="AN257" s="674"/>
      <c r="AO257" s="675">
        <v>53.721769835230575</v>
      </c>
      <c r="AP257" s="674"/>
      <c r="AQ257" s="675">
        <v>42.093968050087163</v>
      </c>
      <c r="AR257" s="674">
        <v>51.255021014634437</v>
      </c>
      <c r="BA257" s="443"/>
      <c r="BC257" s="443"/>
      <c r="BE257" s="443"/>
      <c r="BG257" s="443"/>
      <c r="BI257" s="443"/>
      <c r="BK257" s="443"/>
      <c r="BO257" s="443"/>
      <c r="BT257" s="443"/>
      <c r="BW257" s="443"/>
      <c r="CA257" s="443"/>
      <c r="CC257" s="443"/>
      <c r="CG257" s="443"/>
      <c r="CM257" s="443"/>
      <c r="CO257" s="443"/>
      <c r="CQ257" s="443"/>
      <c r="CS257" s="443"/>
      <c r="CU257" s="443"/>
      <c r="CW257" s="443"/>
    </row>
    <row r="258" spans="2:102" ht="15" hidden="1" outlineLevel="1">
      <c r="F258" s="525" t="s">
        <v>1468</v>
      </c>
      <c r="G258" s="310"/>
      <c r="H258" s="680"/>
      <c r="I258" s="680"/>
      <c r="J258" s="680"/>
      <c r="K258" s="680"/>
      <c r="L258" s="680"/>
      <c r="M258" s="680"/>
      <c r="N258" s="680"/>
      <c r="O258" s="680"/>
      <c r="P258" s="681">
        <v>14.417588659398541</v>
      </c>
      <c r="Q258" s="680"/>
      <c r="R258" s="680"/>
      <c r="S258" s="680"/>
      <c r="T258" s="681">
        <v>14.373193219343756</v>
      </c>
      <c r="U258" s="680"/>
      <c r="V258" s="680"/>
      <c r="W258" s="680"/>
      <c r="X258" s="680"/>
      <c r="Y258" s="680"/>
      <c r="Z258" s="680"/>
      <c r="AA258" s="680"/>
      <c r="AB258" s="680"/>
      <c r="AC258" s="680"/>
      <c r="AD258" s="680"/>
      <c r="AE258" s="681">
        <v>14.465321813189204</v>
      </c>
      <c r="AF258" s="680"/>
      <c r="AG258" s="680"/>
      <c r="AH258" s="680"/>
      <c r="AI258" s="680"/>
      <c r="AJ258" s="680"/>
      <c r="AK258" s="680"/>
      <c r="AL258" s="681">
        <v>14.705364835406854</v>
      </c>
      <c r="AM258" s="680"/>
      <c r="AN258" s="680"/>
      <c r="AO258" s="681">
        <v>15.251467702484669</v>
      </c>
      <c r="AP258" s="680"/>
      <c r="AQ258" s="681">
        <v>11.950365673997034</v>
      </c>
      <c r="AR258" s="680">
        <v>14.551164356786595</v>
      </c>
      <c r="BA258" s="443"/>
      <c r="BC258" s="443"/>
      <c r="BE258" s="443"/>
      <c r="BG258" s="443"/>
      <c r="BI258" s="443"/>
      <c r="BK258" s="443"/>
      <c r="BO258" s="443"/>
      <c r="BT258" s="443"/>
      <c r="BW258" s="443"/>
      <c r="CA258" s="443"/>
      <c r="CC258" s="443"/>
      <c r="CG258" s="443"/>
      <c r="CM258" s="443"/>
      <c r="CO258" s="443"/>
      <c r="CQ258" s="443"/>
      <c r="CS258" s="443"/>
      <c r="CU258" s="443"/>
      <c r="CW258" s="443"/>
    </row>
    <row r="259" spans="2:102" ht="15" hidden="1" outlineLevel="1">
      <c r="F259" s="525" t="s">
        <v>1469</v>
      </c>
      <c r="G259" s="310"/>
      <c r="H259" s="680"/>
      <c r="I259" s="680"/>
      <c r="J259" s="680"/>
      <c r="K259" s="680"/>
      <c r="L259" s="680"/>
      <c r="M259" s="680"/>
      <c r="N259" s="680"/>
      <c r="O259" s="680"/>
      <c r="P259" s="681">
        <v>130.82101041028207</v>
      </c>
      <c r="Q259" s="680"/>
      <c r="R259" s="680"/>
      <c r="S259" s="680"/>
      <c r="T259" s="681">
        <v>141.05377653883068</v>
      </c>
      <c r="U259" s="680"/>
      <c r="V259" s="680"/>
      <c r="W259" s="680"/>
      <c r="X259" s="680"/>
      <c r="Y259" s="680"/>
      <c r="Z259" s="680"/>
      <c r="AA259" s="680"/>
      <c r="AB259" s="680"/>
      <c r="AC259" s="680"/>
      <c r="AD259" s="680"/>
      <c r="AE259" s="681">
        <v>142.13007952775294</v>
      </c>
      <c r="AF259" s="680"/>
      <c r="AG259" s="680"/>
      <c r="AH259" s="680"/>
      <c r="AI259" s="680"/>
      <c r="AJ259" s="680"/>
      <c r="AK259" s="680"/>
      <c r="AL259" s="681">
        <v>118.27582787074144</v>
      </c>
      <c r="AM259" s="680"/>
      <c r="AN259" s="680"/>
      <c r="AO259" s="681">
        <v>129.36578006514296</v>
      </c>
      <c r="AP259" s="680"/>
      <c r="AQ259" s="681">
        <v>111.75099536524606</v>
      </c>
      <c r="AR259" s="680">
        <v>133.90076447016392</v>
      </c>
      <c r="BA259" s="443"/>
      <c r="BC259" s="443"/>
      <c r="BE259" s="443"/>
      <c r="BG259" s="443"/>
      <c r="BI259" s="443"/>
      <c r="BK259" s="443"/>
      <c r="BO259" s="443"/>
      <c r="BT259" s="443"/>
      <c r="BW259" s="443"/>
      <c r="CA259" s="443"/>
      <c r="CC259" s="443"/>
      <c r="CG259" s="443"/>
      <c r="CM259" s="443"/>
      <c r="CO259" s="443"/>
      <c r="CQ259" s="443"/>
      <c r="CS259" s="443"/>
      <c r="CU259" s="443"/>
      <c r="CW259" s="443"/>
    </row>
    <row r="260" spans="2:102" ht="15" hidden="1" collapsed="1">
      <c r="F260" s="525" t="s">
        <v>1470</v>
      </c>
      <c r="G260" s="310"/>
      <c r="H260" s="682"/>
      <c r="I260" s="682"/>
      <c r="J260" s="682"/>
      <c r="K260" s="682"/>
      <c r="L260" s="682"/>
      <c r="M260" s="682"/>
      <c r="N260" s="682"/>
      <c r="O260" s="682"/>
      <c r="P260" s="683">
        <v>20.753036953951572</v>
      </c>
      <c r="Q260" s="682"/>
      <c r="R260" s="682"/>
      <c r="S260" s="682"/>
      <c r="T260" s="683">
        <v>22.280705590160768</v>
      </c>
      <c r="U260" s="682"/>
      <c r="V260" s="682"/>
      <c r="W260" s="682"/>
      <c r="X260" s="682"/>
      <c r="Y260" s="682"/>
      <c r="Z260" s="682"/>
      <c r="AA260" s="682"/>
      <c r="AB260" s="682"/>
      <c r="AC260" s="682"/>
      <c r="AD260" s="682"/>
      <c r="AE260" s="683">
        <v>21.327052710492644</v>
      </c>
      <c r="AF260" s="682"/>
      <c r="AG260" s="682"/>
      <c r="AH260" s="682"/>
      <c r="AI260" s="682"/>
      <c r="AJ260" s="682"/>
      <c r="AK260" s="682"/>
      <c r="AL260" s="683">
        <v>19.600073890541292</v>
      </c>
      <c r="AM260" s="682"/>
      <c r="AN260" s="682"/>
      <c r="AO260" s="683">
        <v>22.846697418311649</v>
      </c>
      <c r="AP260" s="682"/>
      <c r="AQ260" s="683">
        <v>18.070504349329383</v>
      </c>
      <c r="AR260" s="682">
        <v>21.151245064612382</v>
      </c>
      <c r="BA260" s="443"/>
      <c r="BC260" s="443"/>
      <c r="BE260" s="443"/>
      <c r="BG260" s="443"/>
      <c r="BI260" s="443"/>
      <c r="BK260" s="443"/>
      <c r="BO260" s="443"/>
      <c r="BT260" s="443"/>
      <c r="BW260" s="443"/>
      <c r="CA260" s="443"/>
      <c r="CC260" s="443"/>
      <c r="CG260" s="443"/>
      <c r="CM260" s="443"/>
      <c r="CO260" s="443"/>
      <c r="CQ260" s="443"/>
      <c r="CS260" s="443"/>
      <c r="CU260" s="443"/>
      <c r="CW260" s="443"/>
    </row>
    <row r="261" spans="2:102" hidden="1">
      <c r="P261" s="443"/>
      <c r="T261" s="443"/>
      <c r="AE261" s="443"/>
      <c r="AL261" s="443"/>
      <c r="AO261" s="443"/>
      <c r="AQ261" s="443"/>
      <c r="BA261" s="443"/>
      <c r="BC261" s="443"/>
      <c r="BE261" s="443"/>
      <c r="BG261" s="443"/>
      <c r="BI261" s="443"/>
      <c r="BK261" s="443"/>
      <c r="BO261" s="443"/>
      <c r="BT261" s="443"/>
      <c r="BW261" s="443"/>
      <c r="CA261" s="443"/>
      <c r="CC261" s="443"/>
      <c r="CG261" s="443"/>
      <c r="CM261" s="443"/>
      <c r="CO261" s="443"/>
      <c r="CQ261" s="443"/>
      <c r="CS261" s="443"/>
      <c r="CU261" s="443"/>
      <c r="CW261" s="443"/>
    </row>
    <row r="262" spans="2:102" ht="16.5" hidden="1" customHeight="1">
      <c r="P262" s="443"/>
      <c r="T262" s="443"/>
      <c r="AE262" s="443"/>
      <c r="AL262" s="443"/>
      <c r="AO262" s="443"/>
      <c r="AQ262" s="443"/>
      <c r="BA262" s="443"/>
      <c r="BC262" s="443"/>
      <c r="BE262" s="443"/>
      <c r="BG262" s="443"/>
      <c r="BI262" s="443"/>
      <c r="BK262" s="443"/>
      <c r="BO262" s="443"/>
      <c r="BT262" s="443"/>
      <c r="BW262" s="443"/>
      <c r="CA262" s="443"/>
      <c r="CC262" s="443"/>
      <c r="CG262" s="443"/>
      <c r="CM262" s="443"/>
      <c r="CO262" s="443"/>
      <c r="CQ262" s="443"/>
      <c r="CS262" s="443"/>
      <c r="CU262" s="443"/>
      <c r="CW262" s="443"/>
    </row>
    <row r="263" spans="2:102" hidden="1">
      <c r="P263" s="443"/>
      <c r="T263" s="443"/>
      <c r="AE263" s="443"/>
      <c r="AL263" s="443"/>
      <c r="AO263" s="443"/>
      <c r="AQ263" s="443"/>
      <c r="BA263" s="443"/>
      <c r="BC263" s="443"/>
      <c r="BE263" s="443"/>
      <c r="BG263" s="443"/>
      <c r="BI263" s="443"/>
      <c r="BK263" s="443"/>
      <c r="BO263" s="443"/>
      <c r="BT263" s="443"/>
      <c r="BW263" s="443"/>
      <c r="CA263" s="443"/>
      <c r="CC263" s="443"/>
      <c r="CG263" s="443"/>
      <c r="CM263" s="443"/>
      <c r="CO263" s="443"/>
      <c r="CQ263" s="443"/>
      <c r="CS263" s="443"/>
      <c r="CU263" s="443"/>
      <c r="CW263" s="443"/>
    </row>
    <row r="264" spans="2:102" hidden="1"/>
    <row r="265" spans="2:102">
      <c r="B265" s="684"/>
      <c r="C265" s="684"/>
      <c r="D265" s="685"/>
      <c r="E265" s="686"/>
      <c r="F265" s="684"/>
      <c r="G265" s="687"/>
      <c r="H265" s="684"/>
      <c r="I265" s="684"/>
      <c r="J265" s="684"/>
      <c r="K265" s="684"/>
      <c r="L265" s="684"/>
      <c r="M265" s="684"/>
      <c r="N265" s="684"/>
      <c r="O265" s="684"/>
      <c r="P265" s="688"/>
      <c r="Q265" s="684"/>
      <c r="R265" s="684"/>
      <c r="S265" s="684"/>
      <c r="T265" s="688"/>
      <c r="U265" s="684"/>
      <c r="V265" s="684"/>
      <c r="W265" s="684"/>
      <c r="X265" s="684"/>
      <c r="Y265" s="684"/>
      <c r="Z265" s="684"/>
      <c r="AA265" s="684"/>
      <c r="AB265" s="684"/>
      <c r="AC265" s="684"/>
      <c r="AD265" s="684"/>
      <c r="AE265" s="688"/>
      <c r="AF265" s="684"/>
      <c r="AG265" s="684"/>
      <c r="AH265" s="684"/>
      <c r="AI265" s="684"/>
      <c r="AJ265" s="684"/>
      <c r="AK265" s="684"/>
      <c r="AL265" s="688"/>
      <c r="AM265" s="684"/>
      <c r="AN265" s="684"/>
      <c r="AO265" s="688"/>
      <c r="AP265" s="684"/>
      <c r="AQ265" s="688"/>
      <c r="AR265" s="688"/>
      <c r="AU265" s="684"/>
      <c r="AV265" s="684"/>
      <c r="AW265" s="684"/>
      <c r="AX265" s="684"/>
      <c r="AY265" s="684"/>
      <c r="AZ265" s="684"/>
      <c r="BA265" s="688"/>
      <c r="BB265" s="684"/>
      <c r="BC265" s="688"/>
      <c r="BD265" s="684"/>
      <c r="BE265" s="688"/>
      <c r="BF265" s="684"/>
      <c r="BG265" s="688"/>
      <c r="BH265" s="684"/>
      <c r="BI265" s="688"/>
      <c r="BJ265" s="684"/>
      <c r="BK265" s="688"/>
      <c r="BL265" s="684"/>
      <c r="BM265" s="684"/>
      <c r="BN265" s="684"/>
      <c r="BO265" s="688"/>
      <c r="BP265" s="688"/>
      <c r="BS265" s="684"/>
      <c r="BT265" s="688"/>
      <c r="BU265" s="684"/>
      <c r="BV265" s="684"/>
      <c r="BW265" s="688"/>
      <c r="BX265" s="684"/>
      <c r="BY265" s="684"/>
      <c r="BZ265" s="684"/>
      <c r="CA265" s="688"/>
      <c r="CB265" s="684"/>
      <c r="CC265" s="688"/>
      <c r="CD265" s="684"/>
      <c r="CE265" s="684"/>
      <c r="CF265" s="684"/>
      <c r="CG265" s="688"/>
      <c r="CH265" s="688"/>
      <c r="CK265" s="684"/>
      <c r="CL265" s="684"/>
      <c r="CM265" s="688"/>
      <c r="CN265" s="684"/>
      <c r="CO265" s="688"/>
      <c r="CP265" s="684"/>
      <c r="CQ265" s="688"/>
      <c r="CR265" s="684"/>
      <c r="CS265" s="688"/>
      <c r="CT265" s="684"/>
      <c r="CU265" s="688"/>
      <c r="CV265" s="684"/>
      <c r="CW265" s="688"/>
      <c r="CX265" s="688"/>
    </row>
    <row r="266" spans="2:102">
      <c r="C266" s="369" t="s">
        <v>1342</v>
      </c>
      <c r="D266" s="370" t="s">
        <v>1338</v>
      </c>
      <c r="E266" s="371" t="s">
        <v>1298</v>
      </c>
      <c r="F266" s="372" t="s">
        <v>1342</v>
      </c>
      <c r="H266" s="689">
        <v>17429.421930438068</v>
      </c>
      <c r="I266" s="689">
        <v>6780.4670657326551</v>
      </c>
      <c r="J266" s="689">
        <v>416.66596140821031</v>
      </c>
      <c r="K266" s="689">
        <v>1420.2366853594574</v>
      </c>
      <c r="L266" s="689">
        <v>8486.728073841794</v>
      </c>
      <c r="M266" s="689">
        <v>29800.704708846821</v>
      </c>
      <c r="N266" s="689">
        <v>1529.6503180326326</v>
      </c>
      <c r="O266" s="689">
        <v>5082.4473197007328</v>
      </c>
      <c r="P266" s="690">
        <v>70946.322063360407</v>
      </c>
      <c r="Q266" s="689">
        <v>780.50101788944141</v>
      </c>
      <c r="R266" s="689">
        <v>285.07047569004976</v>
      </c>
      <c r="S266" s="689">
        <v>17.835791297671026</v>
      </c>
      <c r="T266" s="690">
        <v>1083.407284877163</v>
      </c>
      <c r="U266" s="689">
        <v>22517.826629018746</v>
      </c>
      <c r="V266" s="689">
        <v>1276.1460716333947</v>
      </c>
      <c r="W266" s="689">
        <v>377.88581159893937</v>
      </c>
      <c r="X266" s="689">
        <v>20682.634633044589</v>
      </c>
      <c r="Y266" s="689">
        <v>784.06746335473167</v>
      </c>
      <c r="Z266" s="689">
        <v>501.64910747208756</v>
      </c>
      <c r="AA266" s="689">
        <v>10009.701297229847</v>
      </c>
      <c r="AB266" s="689">
        <v>784.72876124958691</v>
      </c>
      <c r="AC266" s="689">
        <v>0</v>
      </c>
      <c r="AD266" s="689">
        <v>346.78597220033953</v>
      </c>
      <c r="AE266" s="690">
        <v>57281.425746802262</v>
      </c>
      <c r="AF266" s="689">
        <v>4603.3728918341476</v>
      </c>
      <c r="AG266" s="689">
        <v>3100.6240223383456</v>
      </c>
      <c r="AH266" s="689">
        <v>190.32075991324228</v>
      </c>
      <c r="AI266" s="689">
        <v>425.2151584633574</v>
      </c>
      <c r="AJ266" s="689">
        <v>177.28942922833374</v>
      </c>
      <c r="AK266" s="689">
        <v>205.47114112997585</v>
      </c>
      <c r="AL266" s="690">
        <v>8702.2934029074022</v>
      </c>
      <c r="AM266" s="689">
        <v>19692.378884888272</v>
      </c>
      <c r="AN266" s="689">
        <v>1373.8996771704403</v>
      </c>
      <c r="AO266" s="690">
        <v>21066.278562058713</v>
      </c>
      <c r="AP266" s="689">
        <v>776.78994621513618</v>
      </c>
      <c r="AQ266" s="690">
        <v>776.78994621513618</v>
      </c>
      <c r="AR266" s="690">
        <v>159856.51700622111</v>
      </c>
      <c r="AU266" s="689">
        <v>5059.7149059863623</v>
      </c>
      <c r="AV266" s="689">
        <v>50.44949065775873</v>
      </c>
      <c r="AW266" s="689">
        <v>2576.2986679121759</v>
      </c>
      <c r="AX266" s="689">
        <v>3972.3896622596026</v>
      </c>
      <c r="AY266" s="689">
        <v>4509.3284658796665</v>
      </c>
      <c r="AZ266" s="689">
        <v>3153.3813896461211</v>
      </c>
      <c r="BA266" s="690">
        <v>19321.562582341685</v>
      </c>
      <c r="BB266" s="689">
        <v>352.53454999999997</v>
      </c>
      <c r="BC266" s="690">
        <v>352.53454999999997</v>
      </c>
      <c r="BD266" s="689">
        <v>399.63022999999998</v>
      </c>
      <c r="BE266" s="690">
        <v>399.63022999999998</v>
      </c>
      <c r="BF266" s="689">
        <v>524.21684999999991</v>
      </c>
      <c r="BG266" s="690">
        <v>524.21684999999991</v>
      </c>
      <c r="BH266" s="689">
        <v>3397.0437629079015</v>
      </c>
      <c r="BI266" s="690">
        <v>3397.0437629079015</v>
      </c>
      <c r="BJ266" s="689">
        <v>384.43845590216756</v>
      </c>
      <c r="BK266" s="690">
        <v>384.43845590216756</v>
      </c>
      <c r="BL266" s="689">
        <v>244.50410626596528</v>
      </c>
      <c r="BM266" s="689">
        <v>367.61134041436742</v>
      </c>
      <c r="BN266" s="689">
        <v>129.71836574409417</v>
      </c>
      <c r="BO266" s="690">
        <v>741.83381242442658</v>
      </c>
      <c r="BP266" s="690">
        <v>25121.26024357618</v>
      </c>
      <c r="BS266" s="689">
        <v>922.3125323250614</v>
      </c>
      <c r="BT266" s="690">
        <v>922.3125323250614</v>
      </c>
      <c r="BU266" s="689">
        <v>2178.0380846917283</v>
      </c>
      <c r="BV266" s="689">
        <v>81.175131891810864</v>
      </c>
      <c r="BW266" s="690">
        <v>2259.2132165835387</v>
      </c>
      <c r="BX266" s="689">
        <v>2402.3426514285579</v>
      </c>
      <c r="BY266" s="689">
        <v>178.97378631729833</v>
      </c>
      <c r="BZ266" s="689">
        <v>1521.5357310092561</v>
      </c>
      <c r="CA266" s="690">
        <v>4102.8521687551129</v>
      </c>
      <c r="CB266" s="689">
        <v>7592.8442857400332</v>
      </c>
      <c r="CC266" s="690">
        <v>7592.8442857400332</v>
      </c>
      <c r="CD266" s="689">
        <v>3547.0440436026502</v>
      </c>
      <c r="CE266" s="689">
        <v>979.21456860555281</v>
      </c>
      <c r="CF266" s="689">
        <v>451.54109031498285</v>
      </c>
      <c r="CG266" s="690">
        <v>4977.799702523188</v>
      </c>
      <c r="CH266" s="690">
        <v>19855.021905926933</v>
      </c>
      <c r="CK266" s="689">
        <v>2344.8973331687143</v>
      </c>
      <c r="CL266" s="689">
        <v>2681.0321885677395</v>
      </c>
      <c r="CM266" s="690">
        <v>5025.9308955675688</v>
      </c>
      <c r="CN266" s="689">
        <v>893.75009728170562</v>
      </c>
      <c r="CO266" s="690">
        <v>893.75009728170562</v>
      </c>
      <c r="CP266" s="689">
        <v>77.938870000000009</v>
      </c>
      <c r="CQ266" s="690">
        <v>77.938870000000009</v>
      </c>
      <c r="CR266" s="689">
        <v>800.02527000000021</v>
      </c>
      <c r="CS266" s="690">
        <v>800.02527000000021</v>
      </c>
      <c r="CT266" s="689">
        <v>0</v>
      </c>
      <c r="CU266" s="690">
        <v>0</v>
      </c>
      <c r="CV266" s="689">
        <v>849.6774999999999</v>
      </c>
      <c r="CW266" s="690">
        <v>849.6774999999999</v>
      </c>
      <c r="CX266" s="690">
        <v>7647.3226328492747</v>
      </c>
    </row>
    <row r="267" spans="2:102">
      <c r="C267" s="369" t="s">
        <v>1343</v>
      </c>
      <c r="D267" s="370" t="s">
        <v>1338</v>
      </c>
      <c r="E267" s="371" t="s">
        <v>1298</v>
      </c>
      <c r="F267" s="375" t="s">
        <v>1343</v>
      </c>
      <c r="H267" s="689">
        <v>1590.1738955336175</v>
      </c>
      <c r="I267" s="689">
        <v>618.61614059752685</v>
      </c>
      <c r="J267" s="689">
        <v>38.014532991003271</v>
      </c>
      <c r="K267" s="689">
        <v>129.57534171536568</v>
      </c>
      <c r="L267" s="689">
        <v>774.28692101071488</v>
      </c>
      <c r="M267" s="689">
        <v>2718.8682955547065</v>
      </c>
      <c r="N267" s="689">
        <v>139.55769816911265</v>
      </c>
      <c r="O267" s="689">
        <v>463.69725200689874</v>
      </c>
      <c r="P267" s="690">
        <v>6472.7900775789494</v>
      </c>
      <c r="Q267" s="689">
        <v>524.67701894231607</v>
      </c>
      <c r="R267" s="689">
        <v>191.63322525571638</v>
      </c>
      <c r="S267" s="689">
        <v>11.989772715280314</v>
      </c>
      <c r="T267" s="690">
        <v>728.30001691331324</v>
      </c>
      <c r="U267" s="689">
        <v>2657.6874867298238</v>
      </c>
      <c r="V267" s="689">
        <v>150.61833016552049</v>
      </c>
      <c r="W267" s="689">
        <v>44.600325308704498</v>
      </c>
      <c r="X267" s="689">
        <v>2441.0872400096637</v>
      </c>
      <c r="Y267" s="689">
        <v>92.540293539007081</v>
      </c>
      <c r="Z267" s="689">
        <v>59.20760371871863</v>
      </c>
      <c r="AA267" s="689">
        <v>1181.4043300816686</v>
      </c>
      <c r="AB267" s="689">
        <v>92.618343839736042</v>
      </c>
      <c r="AC267" s="689">
        <v>0</v>
      </c>
      <c r="AD267" s="689">
        <v>40.929737761749585</v>
      </c>
      <c r="AE267" s="690">
        <v>6760.6936911545927</v>
      </c>
      <c r="AF267" s="689">
        <v>1143.4410082417833</v>
      </c>
      <c r="AG267" s="689">
        <v>770.17020814680211</v>
      </c>
      <c r="AH267" s="689">
        <v>47.274154564053219</v>
      </c>
      <c r="AI267" s="689">
        <v>105.62004446250894</v>
      </c>
      <c r="AJ267" s="689">
        <v>44.037276247392015</v>
      </c>
      <c r="AK267" s="689">
        <v>51.037388084509317</v>
      </c>
      <c r="AL267" s="690">
        <v>2161.5800797470488</v>
      </c>
      <c r="AM267" s="689">
        <v>1768.7313046255047</v>
      </c>
      <c r="AN267" s="689">
        <v>123.40100617762515</v>
      </c>
      <c r="AO267" s="690">
        <v>1892.1323108031299</v>
      </c>
      <c r="AP267" s="689">
        <v>804.15046091944009</v>
      </c>
      <c r="AQ267" s="690">
        <v>804.15046091944009</v>
      </c>
      <c r="AR267" s="690">
        <v>18819.646637116475</v>
      </c>
      <c r="AU267" s="689">
        <v>1334.8578385817336</v>
      </c>
      <c r="AV267" s="689">
        <v>13.309623033758079</v>
      </c>
      <c r="AW267" s="689">
        <v>679.68107596762616</v>
      </c>
      <c r="AX267" s="689">
        <v>1047.9988649745019</v>
      </c>
      <c r="AY267" s="689">
        <v>1189.6544689301593</v>
      </c>
      <c r="AZ267" s="689">
        <v>831.92747896263188</v>
      </c>
      <c r="BA267" s="690">
        <v>5097.4293504504103</v>
      </c>
      <c r="BB267" s="689">
        <v>335.81998644154805</v>
      </c>
      <c r="BC267" s="690">
        <v>335.81998644154805</v>
      </c>
      <c r="BD267" s="689">
        <v>288.71112645909005</v>
      </c>
      <c r="BE267" s="690">
        <v>288.71112645909005</v>
      </c>
      <c r="BF267" s="689">
        <v>681.60270418842219</v>
      </c>
      <c r="BG267" s="690">
        <v>681.60270418842219</v>
      </c>
      <c r="BH267" s="689">
        <v>352.69398101731412</v>
      </c>
      <c r="BI267" s="690">
        <v>352.69398101731412</v>
      </c>
      <c r="BJ267" s="689">
        <v>981.3709486556013</v>
      </c>
      <c r="BK267" s="690">
        <v>981.3709486556013</v>
      </c>
      <c r="BL267" s="689">
        <v>96.951888595225199</v>
      </c>
      <c r="BM267" s="689">
        <v>145.76693318772413</v>
      </c>
      <c r="BN267" s="689">
        <v>51.43652078667246</v>
      </c>
      <c r="BO267" s="690">
        <v>294.15534256962167</v>
      </c>
      <c r="BP267" s="690">
        <v>8031.7834397820079</v>
      </c>
      <c r="BS267" s="689">
        <v>341.64396496617184</v>
      </c>
      <c r="BT267" s="690">
        <v>341.64396496617184</v>
      </c>
      <c r="BU267" s="689">
        <v>439.68189557191221</v>
      </c>
      <c r="BV267" s="689">
        <v>16.386874092949114</v>
      </c>
      <c r="BW267" s="690">
        <v>456.06876966486129</v>
      </c>
      <c r="BX267" s="689">
        <v>802.04037753989951</v>
      </c>
      <c r="BY267" s="689">
        <v>59.75176066674436</v>
      </c>
      <c r="BZ267" s="689">
        <v>507.97628365522178</v>
      </c>
      <c r="CA267" s="690">
        <v>1369.7684218618658</v>
      </c>
      <c r="CB267" s="689">
        <v>1095.7382812076467</v>
      </c>
      <c r="CC267" s="690">
        <v>1095.7382812076467</v>
      </c>
      <c r="CD267" s="689">
        <v>3825.7512363230326</v>
      </c>
      <c r="CE267" s="689">
        <v>1056.1558583476901</v>
      </c>
      <c r="CF267" s="689">
        <v>487.02070323565266</v>
      </c>
      <c r="CG267" s="690">
        <v>5368.9277979063781</v>
      </c>
      <c r="CH267" s="690">
        <v>8632.1472356069244</v>
      </c>
      <c r="CK267" s="689">
        <v>1627.3280677820485</v>
      </c>
      <c r="CL267" s="689">
        <v>1860.6012593257988</v>
      </c>
      <c r="CM267" s="690">
        <v>3487.9302805286652</v>
      </c>
      <c r="CN267" s="689">
        <v>1687.6175351036445</v>
      </c>
      <c r="CO267" s="690">
        <v>1687.6175351036445</v>
      </c>
      <c r="CP267" s="689">
        <v>86.338705516453004</v>
      </c>
      <c r="CQ267" s="690">
        <v>86.338705516453004</v>
      </c>
      <c r="CR267" s="689">
        <v>126.12311741306684</v>
      </c>
      <c r="CS267" s="690">
        <v>126.12311741306684</v>
      </c>
      <c r="CT267" s="689">
        <v>3.4682374663314419E-2</v>
      </c>
      <c r="CU267" s="690">
        <v>3.4682374663314419E-2</v>
      </c>
      <c r="CV267" s="689">
        <v>97.391235493200455</v>
      </c>
      <c r="CW267" s="690">
        <v>97.391235493200455</v>
      </c>
      <c r="CX267" s="690">
        <v>5485.4355564296939</v>
      </c>
    </row>
    <row r="268" spans="2:102">
      <c r="C268" s="369"/>
      <c r="D268" s="370"/>
      <c r="F268" s="691" t="s">
        <v>1471</v>
      </c>
      <c r="H268" s="692">
        <v>19019.595825971686</v>
      </c>
      <c r="I268" s="692">
        <v>7399.0832063301823</v>
      </c>
      <c r="J268" s="692">
        <v>454.68049439921356</v>
      </c>
      <c r="K268" s="692">
        <v>1549.8120270748232</v>
      </c>
      <c r="L268" s="692">
        <v>9261.0149948525086</v>
      </c>
      <c r="M268" s="692">
        <v>32519.573004401529</v>
      </c>
      <c r="N268" s="692">
        <v>1669.2080162017453</v>
      </c>
      <c r="O268" s="692">
        <v>5546.1445717076313</v>
      </c>
      <c r="P268" s="693">
        <v>77419.112140939353</v>
      </c>
      <c r="Q268" s="692">
        <v>1305.1780368317575</v>
      </c>
      <c r="R268" s="692">
        <v>476.70370094576617</v>
      </c>
      <c r="S268" s="692">
        <v>29.82556401295134</v>
      </c>
      <c r="T268" s="693">
        <v>1811.7073017904763</v>
      </c>
      <c r="U268" s="692">
        <v>25175.51411574857</v>
      </c>
      <c r="V268" s="692">
        <v>1426.7644017989153</v>
      </c>
      <c r="W268" s="692">
        <v>422.48613690764387</v>
      </c>
      <c r="X268" s="692">
        <v>23123.721873054252</v>
      </c>
      <c r="Y268" s="692">
        <v>876.60775689373872</v>
      </c>
      <c r="Z268" s="692">
        <v>560.85671119080621</v>
      </c>
      <c r="AA268" s="692">
        <v>11191.105627311515</v>
      </c>
      <c r="AB268" s="692">
        <v>877.34710508932289</v>
      </c>
      <c r="AC268" s="692">
        <v>0</v>
      </c>
      <c r="AD268" s="692">
        <v>387.71570996208914</v>
      </c>
      <c r="AE268" s="693">
        <v>64042.119437956855</v>
      </c>
      <c r="AF268" s="692">
        <v>5746.8139000759311</v>
      </c>
      <c r="AG268" s="692">
        <v>3870.7942304851476</v>
      </c>
      <c r="AH268" s="692">
        <v>237.5949144772955</v>
      </c>
      <c r="AI268" s="692">
        <v>530.83520292586638</v>
      </c>
      <c r="AJ268" s="692">
        <v>221.32670547572576</v>
      </c>
      <c r="AK268" s="692">
        <v>256.50852921448518</v>
      </c>
      <c r="AL268" s="693">
        <v>10863.873482654451</v>
      </c>
      <c r="AM268" s="692">
        <v>21461.110189513776</v>
      </c>
      <c r="AN268" s="692">
        <v>1497.3006833480654</v>
      </c>
      <c r="AO268" s="693">
        <v>22958.410872861841</v>
      </c>
      <c r="AP268" s="692">
        <v>1580.9404071345762</v>
      </c>
      <c r="AQ268" s="693">
        <v>1580.9404071345762</v>
      </c>
      <c r="AR268" s="693">
        <v>178676.16364333758</v>
      </c>
      <c r="AU268" s="692">
        <v>6394.5727445680959</v>
      </c>
      <c r="AV268" s="692">
        <v>63.759113691516809</v>
      </c>
      <c r="AW268" s="692">
        <v>3255.9797438798023</v>
      </c>
      <c r="AX268" s="692">
        <v>5020.3885272341049</v>
      </c>
      <c r="AY268" s="692">
        <v>5698.9829348098256</v>
      </c>
      <c r="AZ268" s="692">
        <v>3985.3088686087531</v>
      </c>
      <c r="BA268" s="693">
        <v>24418.991932792094</v>
      </c>
      <c r="BB268" s="692">
        <v>688.35453644154802</v>
      </c>
      <c r="BC268" s="693">
        <v>688.35453644154802</v>
      </c>
      <c r="BD268" s="692">
        <v>688.34135645909009</v>
      </c>
      <c r="BE268" s="693">
        <v>688.34135645909009</v>
      </c>
      <c r="BF268" s="692">
        <v>1205.819554188422</v>
      </c>
      <c r="BG268" s="693">
        <v>1205.819554188422</v>
      </c>
      <c r="BH268" s="692">
        <v>3749.7377439252155</v>
      </c>
      <c r="BI268" s="693">
        <v>3749.7377439252155</v>
      </c>
      <c r="BJ268" s="692">
        <v>1365.8094045577689</v>
      </c>
      <c r="BK268" s="693">
        <v>1365.8094045577689</v>
      </c>
      <c r="BL268" s="692">
        <v>341.45599486119045</v>
      </c>
      <c r="BM268" s="692">
        <v>513.37827360209155</v>
      </c>
      <c r="BN268" s="692">
        <v>181.15488653076665</v>
      </c>
      <c r="BO268" s="693">
        <v>1035.9891549940482</v>
      </c>
      <c r="BP268" s="693">
        <v>33153.043683358192</v>
      </c>
      <c r="BS268" s="692">
        <v>1263.9564972912333</v>
      </c>
      <c r="BT268" s="693">
        <v>1263.9564972912333</v>
      </c>
      <c r="BU268" s="692">
        <v>2617.7199802636405</v>
      </c>
      <c r="BV268" s="692">
        <v>97.562005984759978</v>
      </c>
      <c r="BW268" s="693">
        <v>2715.2819862484002</v>
      </c>
      <c r="BX268" s="692">
        <v>3204.3830289684574</v>
      </c>
      <c r="BY268" s="692">
        <v>238.72554698404269</v>
      </c>
      <c r="BZ268" s="692">
        <v>2029.5120146644779</v>
      </c>
      <c r="CA268" s="693">
        <v>5472.6205906169789</v>
      </c>
      <c r="CB268" s="692">
        <v>8688.5825669476799</v>
      </c>
      <c r="CC268" s="693">
        <v>8688.5825669476799</v>
      </c>
      <c r="CD268" s="692">
        <v>7372.7952799256827</v>
      </c>
      <c r="CE268" s="692">
        <v>2035.3704269532429</v>
      </c>
      <c r="CF268" s="692">
        <v>938.56179355063546</v>
      </c>
      <c r="CG268" s="693">
        <v>10346.727500429566</v>
      </c>
      <c r="CH268" s="693">
        <v>28487.169141533857</v>
      </c>
      <c r="CK268" s="692">
        <v>3972.2254009507628</v>
      </c>
      <c r="CL268" s="692">
        <v>4541.6334478935387</v>
      </c>
      <c r="CM268" s="693">
        <v>8513.861176096234</v>
      </c>
      <c r="CN268" s="692">
        <v>2581.3676323853501</v>
      </c>
      <c r="CO268" s="693">
        <v>2581.3676323853501</v>
      </c>
      <c r="CP268" s="692">
        <v>164.277575516453</v>
      </c>
      <c r="CQ268" s="693">
        <v>164.277575516453</v>
      </c>
      <c r="CR268" s="692">
        <v>926.14838741306698</v>
      </c>
      <c r="CS268" s="693">
        <v>926.14838741306698</v>
      </c>
      <c r="CT268" s="692">
        <v>3.4682374663314419E-2</v>
      </c>
      <c r="CU268" s="693">
        <v>3.4682374663314419E-2</v>
      </c>
      <c r="CV268" s="692">
        <v>947.06873549320039</v>
      </c>
      <c r="CW268" s="693">
        <v>947.06873549320039</v>
      </c>
      <c r="CX268" s="693">
        <v>13132.758189278968</v>
      </c>
    </row>
    <row r="269" spans="2:102">
      <c r="P269" s="443"/>
      <c r="T269" s="443"/>
      <c r="AE269" s="443"/>
      <c r="AL269" s="443"/>
      <c r="AO269" s="443"/>
      <c r="AQ269" s="443"/>
      <c r="AR269" s="443"/>
      <c r="BA269" s="443"/>
      <c r="BC269" s="443"/>
      <c r="BE269" s="443"/>
      <c r="BG269" s="443"/>
      <c r="BI269" s="443"/>
      <c r="BK269" s="443"/>
      <c r="BO269" s="443"/>
      <c r="BP269" s="443"/>
      <c r="BT269" s="443"/>
      <c r="BW269" s="443"/>
      <c r="CA269" s="443"/>
      <c r="CC269" s="443"/>
      <c r="CG269" s="443"/>
      <c r="CH269" s="443"/>
      <c r="CM269" s="443"/>
      <c r="CO269" s="443"/>
      <c r="CQ269" s="443"/>
      <c r="CS269" s="443"/>
      <c r="CU269" s="443"/>
      <c r="CW269" s="443"/>
      <c r="CX269" s="443"/>
    </row>
    <row r="270" spans="2:102">
      <c r="C270" s="288" t="s">
        <v>1472</v>
      </c>
      <c r="D270" s="419" t="s">
        <v>1352</v>
      </c>
      <c r="E270" s="420" t="s">
        <v>5</v>
      </c>
      <c r="F270" s="421" t="s">
        <v>1353</v>
      </c>
      <c r="H270" s="689">
        <v>33024.392916467463</v>
      </c>
      <c r="I270" s="689">
        <v>12495.716238663363</v>
      </c>
      <c r="J270" s="689">
        <v>892.55115990452589</v>
      </c>
      <c r="K270" s="689">
        <v>4462.7557995226298</v>
      </c>
      <c r="L270" s="689">
        <v>16958.472038185995</v>
      </c>
      <c r="M270" s="689">
        <v>53553.069594271554</v>
      </c>
      <c r="N270" s="689">
        <v>2677.6534797135778</v>
      </c>
      <c r="O270" s="689">
        <v>8925.5115990452596</v>
      </c>
      <c r="P270" s="690">
        <v>132990.12282577436</v>
      </c>
      <c r="Q270" s="689">
        <v>2163.7771071941665</v>
      </c>
      <c r="R270" s="689">
        <v>540.94427679854164</v>
      </c>
      <c r="S270" s="689">
        <v>540.94427679854164</v>
      </c>
      <c r="T270" s="690">
        <v>3245.66566079125</v>
      </c>
      <c r="U270" s="689">
        <v>38063.199549327677</v>
      </c>
      <c r="V270" s="689">
        <v>1903.1599774663835</v>
      </c>
      <c r="W270" s="689">
        <v>634.38665915546119</v>
      </c>
      <c r="X270" s="689">
        <v>37428.812890172208</v>
      </c>
      <c r="Y270" s="689">
        <v>1268.7733183109224</v>
      </c>
      <c r="Z270" s="689">
        <v>634.38665915546119</v>
      </c>
      <c r="AA270" s="689">
        <v>18397.213115508373</v>
      </c>
      <c r="AB270" s="689">
        <v>1268.7733183109224</v>
      </c>
      <c r="AC270" s="689">
        <v>634.38665915546119</v>
      </c>
      <c r="AD270" s="689">
        <v>634.38665915546119</v>
      </c>
      <c r="AE270" s="690">
        <v>100867.47880571833</v>
      </c>
      <c r="AF270" s="689">
        <v>13015.529808507174</v>
      </c>
      <c r="AG270" s="689">
        <v>9590.3903852158128</v>
      </c>
      <c r="AH270" s="689">
        <v>685.02788465827246</v>
      </c>
      <c r="AI270" s="689">
        <v>685.02788465827246</v>
      </c>
      <c r="AJ270" s="689">
        <v>685.02788465827246</v>
      </c>
      <c r="AK270" s="689">
        <v>685.02788465827246</v>
      </c>
      <c r="AL270" s="690">
        <v>25346.031732356078</v>
      </c>
      <c r="AM270" s="689">
        <v>32979.936003783201</v>
      </c>
      <c r="AN270" s="689">
        <v>2806.8030641517616</v>
      </c>
      <c r="AO270" s="690">
        <v>35786.739067934963</v>
      </c>
      <c r="AP270" s="689">
        <v>2386.2112970803755</v>
      </c>
      <c r="AQ270" s="690">
        <v>2386.2112970803755</v>
      </c>
      <c r="AR270" s="690">
        <v>300622.24938965536</v>
      </c>
      <c r="AU270" s="689">
        <v>22131.785597136997</v>
      </c>
      <c r="AV270" s="689">
        <v>1053.894552244619</v>
      </c>
      <c r="AW270" s="689">
        <v>12646.734626935426</v>
      </c>
      <c r="AX270" s="689">
        <v>27401.258358360094</v>
      </c>
      <c r="AY270" s="689">
        <v>18970.101940403143</v>
      </c>
      <c r="AZ270" s="689">
        <v>10538.945522446189</v>
      </c>
      <c r="BA270" s="690">
        <v>92742.720597526466</v>
      </c>
      <c r="BB270" s="689">
        <v>2836.8939417445363</v>
      </c>
      <c r="BC270" s="690">
        <v>2836.8939417445363</v>
      </c>
      <c r="BD270" s="689">
        <v>2977.2562854805901</v>
      </c>
      <c r="BE270" s="690">
        <v>2977.2562854805901</v>
      </c>
      <c r="BF270" s="689">
        <v>2287.5105990285674</v>
      </c>
      <c r="BG270" s="690">
        <v>2287.5105990285674</v>
      </c>
      <c r="BH270" s="689">
        <v>29212.852370392477</v>
      </c>
      <c r="BI270" s="690">
        <v>29212.852370392477</v>
      </c>
      <c r="BJ270" s="689">
        <v>3238.6464975533404</v>
      </c>
      <c r="BK270" s="690">
        <v>3238.6464975533404</v>
      </c>
      <c r="BL270" s="689">
        <v>1212.3699808202864</v>
      </c>
      <c r="BM270" s="689">
        <v>2424.7399616405728</v>
      </c>
      <c r="BN270" s="689">
        <v>1212.3699808202864</v>
      </c>
      <c r="BO270" s="690">
        <v>4849.4799232811456</v>
      </c>
      <c r="BP270" s="690">
        <v>138145.36021500712</v>
      </c>
      <c r="BS270" s="689">
        <v>8874.7859204404813</v>
      </c>
      <c r="BT270" s="690">
        <v>8874.7859204404813</v>
      </c>
      <c r="BU270" s="689">
        <v>27363.269944956104</v>
      </c>
      <c r="BV270" s="689">
        <v>1303.0128545217192</v>
      </c>
      <c r="BW270" s="690">
        <v>28666.282799477824</v>
      </c>
      <c r="BX270" s="689">
        <v>7796.8716590759477</v>
      </c>
      <c r="BY270" s="689">
        <v>649.73930492299564</v>
      </c>
      <c r="BZ270" s="689">
        <v>5197.9144393839651</v>
      </c>
      <c r="CA270" s="690">
        <v>13644.52540338291</v>
      </c>
      <c r="CB270" s="689">
        <v>19152.017921397837</v>
      </c>
      <c r="CC270" s="690">
        <v>19152.017921397837</v>
      </c>
      <c r="CD270" s="689">
        <v>7180.6408351987448</v>
      </c>
      <c r="CE270" s="689">
        <v>2393.5469450662481</v>
      </c>
      <c r="CF270" s="689">
        <v>598.38673626656202</v>
      </c>
      <c r="CG270" s="690">
        <v>10172.574516531555</v>
      </c>
      <c r="CH270" s="690">
        <v>80510.186561230614</v>
      </c>
      <c r="CK270" s="689">
        <v>10245.771068882066</v>
      </c>
      <c r="CL270" s="689">
        <v>7968.9330535749395</v>
      </c>
      <c r="CM270" s="690">
        <v>18214.704122457006</v>
      </c>
      <c r="CN270" s="689">
        <v>7554.9270963214403</v>
      </c>
      <c r="CO270" s="690">
        <v>7554.9270963214403</v>
      </c>
      <c r="CP270" s="689">
        <v>1425.0605063910057</v>
      </c>
      <c r="CQ270" s="690">
        <v>1425.0605063910057</v>
      </c>
      <c r="CR270" s="689">
        <v>4244.9177968143531</v>
      </c>
      <c r="CS270" s="690">
        <v>4244.9177968143531</v>
      </c>
      <c r="CT270" s="689" t="e">
        <v>#DIV/0!</v>
      </c>
      <c r="CU270" s="690">
        <v>6.2625919691739499E-3</v>
      </c>
      <c r="CV270" s="689">
        <v>6676.7025037403037</v>
      </c>
      <c r="CW270" s="690">
        <v>6676.7025037403037</v>
      </c>
      <c r="CX270" s="690">
        <v>38116.318288316077</v>
      </c>
    </row>
    <row r="271" spans="2:102">
      <c r="C271" s="288" t="s">
        <v>1361</v>
      </c>
      <c r="D271" s="370" t="s">
        <v>1338</v>
      </c>
      <c r="E271" s="340" t="s">
        <v>1304</v>
      </c>
      <c r="F271" s="424" t="s">
        <v>1361</v>
      </c>
      <c r="H271" s="689">
        <v>0</v>
      </c>
      <c r="I271" s="689">
        <v>0</v>
      </c>
      <c r="J271" s="689">
        <v>0</v>
      </c>
      <c r="K271" s="689">
        <v>0</v>
      </c>
      <c r="L271" s="689">
        <v>0</v>
      </c>
      <c r="M271" s="689">
        <v>0</v>
      </c>
      <c r="N271" s="689">
        <v>0</v>
      </c>
      <c r="O271" s="689">
        <v>0</v>
      </c>
      <c r="P271" s="690">
        <v>0</v>
      </c>
      <c r="Q271" s="689">
        <v>0</v>
      </c>
      <c r="R271" s="689">
        <v>0</v>
      </c>
      <c r="S271" s="689">
        <v>0</v>
      </c>
      <c r="T271" s="690">
        <v>0</v>
      </c>
      <c r="U271" s="689">
        <v>195.63234143805229</v>
      </c>
      <c r="V271" s="689">
        <v>9.2446382162658516</v>
      </c>
      <c r="W271" s="689">
        <v>2.2896948023599899</v>
      </c>
      <c r="X271" s="689">
        <v>174.91669889881842</v>
      </c>
      <c r="Y271" s="689">
        <v>3.7283749726157231</v>
      </c>
      <c r="Z271" s="689">
        <v>3.4280874217805768</v>
      </c>
      <c r="AA271" s="689">
        <v>79.080464729444628</v>
      </c>
      <c r="AB271" s="689">
        <v>4.668431457585597</v>
      </c>
      <c r="AC271" s="689">
        <v>0</v>
      </c>
      <c r="AD271" s="689">
        <v>2.5277780630769757</v>
      </c>
      <c r="AE271" s="690">
        <v>475.51651000000004</v>
      </c>
      <c r="AF271" s="689">
        <v>0</v>
      </c>
      <c r="AG271" s="689">
        <v>0</v>
      </c>
      <c r="AH271" s="689">
        <v>0</v>
      </c>
      <c r="AI271" s="689">
        <v>0</v>
      </c>
      <c r="AJ271" s="689">
        <v>0</v>
      </c>
      <c r="AK271" s="689">
        <v>0</v>
      </c>
      <c r="AL271" s="690">
        <v>0</v>
      </c>
      <c r="AM271" s="689">
        <v>0</v>
      </c>
      <c r="AN271" s="689">
        <v>0</v>
      </c>
      <c r="AO271" s="690">
        <v>0</v>
      </c>
      <c r="AP271" s="689">
        <v>0</v>
      </c>
      <c r="AQ271" s="690">
        <v>0</v>
      </c>
      <c r="AR271" s="690">
        <v>475.51651000000004</v>
      </c>
      <c r="AU271" s="689">
        <v>409.73339235745493</v>
      </c>
      <c r="AV271" s="689">
        <v>8.6863528904483545</v>
      </c>
      <c r="AW271" s="689">
        <v>215.79407405195929</v>
      </c>
      <c r="AX271" s="689">
        <v>330.21751965045405</v>
      </c>
      <c r="AY271" s="689">
        <v>341.91876849536061</v>
      </c>
      <c r="AZ271" s="689">
        <v>170.44737450725793</v>
      </c>
      <c r="BA271" s="690">
        <v>1476.7974819529352</v>
      </c>
      <c r="BB271" s="689">
        <v>0</v>
      </c>
      <c r="BC271" s="690">
        <v>0</v>
      </c>
      <c r="BD271" s="689">
        <v>0</v>
      </c>
      <c r="BE271" s="690">
        <v>0</v>
      </c>
      <c r="BF271" s="689">
        <v>0</v>
      </c>
      <c r="BG271" s="690">
        <v>0</v>
      </c>
      <c r="BH271" s="689">
        <v>565.22767804706496</v>
      </c>
      <c r="BI271" s="690">
        <v>565.22767804706496</v>
      </c>
      <c r="BJ271" s="689">
        <v>0</v>
      </c>
      <c r="BK271" s="690">
        <v>0</v>
      </c>
      <c r="BL271" s="689">
        <v>0</v>
      </c>
      <c r="BM271" s="689">
        <v>0</v>
      </c>
      <c r="BN271" s="689">
        <v>0</v>
      </c>
      <c r="BO271" s="690">
        <v>0</v>
      </c>
      <c r="BP271" s="690">
        <v>2042.0251600000001</v>
      </c>
      <c r="BS271" s="689">
        <v>131.27302613725493</v>
      </c>
      <c r="BT271" s="690">
        <v>131.27302613725493</v>
      </c>
      <c r="BU271" s="689">
        <v>309.93484794654012</v>
      </c>
      <c r="BV271" s="689">
        <v>9.3584259162051122</v>
      </c>
      <c r="BW271" s="690">
        <v>319.2932738627452</v>
      </c>
      <c r="BX271" s="689">
        <v>0</v>
      </c>
      <c r="BY271" s="689">
        <v>0</v>
      </c>
      <c r="BZ271" s="689">
        <v>0</v>
      </c>
      <c r="CA271" s="690">
        <v>0</v>
      </c>
      <c r="CB271" s="689">
        <v>0</v>
      </c>
      <c r="CC271" s="690">
        <v>0</v>
      </c>
      <c r="CD271" s="689">
        <v>0</v>
      </c>
      <c r="CE271" s="689">
        <v>0</v>
      </c>
      <c r="CF271" s="689">
        <v>0</v>
      </c>
      <c r="CG271" s="690">
        <v>0</v>
      </c>
      <c r="CH271" s="690">
        <v>450.56630000000013</v>
      </c>
      <c r="CK271" s="689">
        <v>0</v>
      </c>
      <c r="CL271" s="689">
        <v>0</v>
      </c>
      <c r="CM271" s="690">
        <v>0</v>
      </c>
      <c r="CN271" s="689">
        <v>0</v>
      </c>
      <c r="CO271" s="690">
        <v>0</v>
      </c>
      <c r="CP271" s="689">
        <v>35.246359861111102</v>
      </c>
      <c r="CQ271" s="690">
        <v>35.246359861111102</v>
      </c>
      <c r="CR271" s="689">
        <v>64.05995013888888</v>
      </c>
      <c r="CS271" s="690">
        <v>64.05995013888888</v>
      </c>
      <c r="CT271" s="689">
        <v>0</v>
      </c>
      <c r="CU271" s="690">
        <v>0</v>
      </c>
      <c r="CV271" s="689">
        <v>0</v>
      </c>
      <c r="CW271" s="690">
        <v>0</v>
      </c>
      <c r="CX271" s="690">
        <v>99.306309999999982</v>
      </c>
    </row>
    <row r="272" spans="2:102">
      <c r="F272" s="694" t="s">
        <v>1471</v>
      </c>
      <c r="H272" s="692">
        <v>33024.392916467463</v>
      </c>
      <c r="I272" s="692">
        <v>12495.716238663363</v>
      </c>
      <c r="J272" s="692">
        <v>892.55115990452589</v>
      </c>
      <c r="K272" s="692">
        <v>4462.7557995226298</v>
      </c>
      <c r="L272" s="692">
        <v>16958.472038185995</v>
      </c>
      <c r="M272" s="692">
        <v>53553.069594271554</v>
      </c>
      <c r="N272" s="692">
        <v>2677.6534797135778</v>
      </c>
      <c r="O272" s="692">
        <v>8925.5115990452596</v>
      </c>
      <c r="P272" s="693">
        <v>132990.12282577436</v>
      </c>
      <c r="Q272" s="692">
        <v>2163.7771071941665</v>
      </c>
      <c r="R272" s="692">
        <v>540.94427679854164</v>
      </c>
      <c r="S272" s="692">
        <v>540.94427679854164</v>
      </c>
      <c r="T272" s="693">
        <v>3245.66566079125</v>
      </c>
      <c r="U272" s="692">
        <v>38258.83189076573</v>
      </c>
      <c r="V272" s="692">
        <v>1912.4046156826494</v>
      </c>
      <c r="W272" s="692">
        <v>636.67635395782122</v>
      </c>
      <c r="X272" s="692">
        <v>37603.72958907103</v>
      </c>
      <c r="Y272" s="692">
        <v>1272.5016932835381</v>
      </c>
      <c r="Z272" s="692">
        <v>637.81474657724175</v>
      </c>
      <c r="AA272" s="692">
        <v>18476.29358023782</v>
      </c>
      <c r="AB272" s="692">
        <v>1273.4417497685079</v>
      </c>
      <c r="AC272" s="692">
        <v>634.38665915546119</v>
      </c>
      <c r="AD272" s="692">
        <v>636.91443721853818</v>
      </c>
      <c r="AE272" s="693">
        <v>101342.99531571833</v>
      </c>
      <c r="AF272" s="692">
        <v>13015.529808507174</v>
      </c>
      <c r="AG272" s="692">
        <v>9590.3903852158128</v>
      </c>
      <c r="AH272" s="692">
        <v>685.02788465827246</v>
      </c>
      <c r="AI272" s="692">
        <v>685.02788465827246</v>
      </c>
      <c r="AJ272" s="692">
        <v>685.02788465827246</v>
      </c>
      <c r="AK272" s="692">
        <v>685.02788465827246</v>
      </c>
      <c r="AL272" s="693">
        <v>25346.031732356078</v>
      </c>
      <c r="AM272" s="692">
        <v>32979.936003783201</v>
      </c>
      <c r="AN272" s="692">
        <v>2806.8030641517616</v>
      </c>
      <c r="AO272" s="693">
        <v>35786.739067934963</v>
      </c>
      <c r="AP272" s="692">
        <v>2386.2112970803755</v>
      </c>
      <c r="AQ272" s="693">
        <v>2386.2112970803755</v>
      </c>
      <c r="AR272" s="693">
        <v>301097.76589965535</v>
      </c>
      <c r="AU272" s="692">
        <v>22541.518989494452</v>
      </c>
      <c r="AV272" s="692">
        <v>1062.5809051350675</v>
      </c>
      <c r="AW272" s="692">
        <v>12862.528700987385</v>
      </c>
      <c r="AX272" s="692">
        <v>27731.475878010548</v>
      </c>
      <c r="AY272" s="692">
        <v>19312.020708898504</v>
      </c>
      <c r="AZ272" s="692">
        <v>10709.392896953446</v>
      </c>
      <c r="BA272" s="693">
        <v>94219.5180794794</v>
      </c>
      <c r="BB272" s="692">
        <v>2836.8939417445363</v>
      </c>
      <c r="BC272" s="693">
        <v>2836.8939417445363</v>
      </c>
      <c r="BD272" s="692">
        <v>2977.2562854805901</v>
      </c>
      <c r="BE272" s="693">
        <v>2977.2562854805901</v>
      </c>
      <c r="BF272" s="692">
        <v>2287.5105990285674</v>
      </c>
      <c r="BG272" s="693">
        <v>2287.5105990285674</v>
      </c>
      <c r="BH272" s="692">
        <v>29778.08004843954</v>
      </c>
      <c r="BI272" s="693">
        <v>29778.08004843954</v>
      </c>
      <c r="BJ272" s="692">
        <v>3238.6464975533404</v>
      </c>
      <c r="BK272" s="693">
        <v>3238.6464975533404</v>
      </c>
      <c r="BL272" s="692">
        <v>1212.3699808202864</v>
      </c>
      <c r="BM272" s="692">
        <v>2424.7399616405728</v>
      </c>
      <c r="BN272" s="692">
        <v>1212.3699808202864</v>
      </c>
      <c r="BO272" s="693">
        <v>4849.4799232811456</v>
      </c>
      <c r="BP272" s="693">
        <v>140187.38537500711</v>
      </c>
      <c r="BS272" s="692">
        <v>9006.0589465777357</v>
      </c>
      <c r="BT272" s="693">
        <v>9006.0589465777357</v>
      </c>
      <c r="BU272" s="692">
        <v>27673.204792902645</v>
      </c>
      <c r="BV272" s="692">
        <v>1312.3712804379243</v>
      </c>
      <c r="BW272" s="693">
        <v>28985.57607334057</v>
      </c>
      <c r="BX272" s="692">
        <v>7796.8716590759477</v>
      </c>
      <c r="BY272" s="692">
        <v>649.73930492299564</v>
      </c>
      <c r="BZ272" s="692">
        <v>5197.9144393839651</v>
      </c>
      <c r="CA272" s="693">
        <v>13644.52540338291</v>
      </c>
      <c r="CB272" s="692">
        <v>19152.017921397837</v>
      </c>
      <c r="CC272" s="693">
        <v>19152.017921397837</v>
      </c>
      <c r="CD272" s="692">
        <v>7180.6408351987448</v>
      </c>
      <c r="CE272" s="692">
        <v>2393.5469450662481</v>
      </c>
      <c r="CF272" s="692">
        <v>598.38673626656202</v>
      </c>
      <c r="CG272" s="693">
        <v>10172.574516531555</v>
      </c>
      <c r="CH272" s="693">
        <v>80960.75286123062</v>
      </c>
      <c r="CK272" s="692">
        <v>10245.771068882066</v>
      </c>
      <c r="CL272" s="692">
        <v>7968.9330535749395</v>
      </c>
      <c r="CM272" s="693">
        <v>18214.704122457006</v>
      </c>
      <c r="CN272" s="692">
        <v>7554.9270963214403</v>
      </c>
      <c r="CO272" s="693">
        <v>7554.9270963214403</v>
      </c>
      <c r="CP272" s="692">
        <v>1460.3068662521168</v>
      </c>
      <c r="CQ272" s="693">
        <v>1460.3068662521168</v>
      </c>
      <c r="CR272" s="692">
        <v>4308.9777469532419</v>
      </c>
      <c r="CS272" s="693">
        <v>4308.9777469532419</v>
      </c>
      <c r="CT272" s="692" t="e">
        <v>#DIV/0!</v>
      </c>
      <c r="CU272" s="693">
        <v>6.2625919691739499E-3</v>
      </c>
      <c r="CV272" s="692">
        <v>6676.7025037403037</v>
      </c>
      <c r="CW272" s="693">
        <v>6676.7025037403037</v>
      </c>
      <c r="CX272" s="693">
        <v>38215.624598316077</v>
      </c>
    </row>
    <row r="273" spans="2:102">
      <c r="P273" s="443"/>
      <c r="T273" s="443"/>
      <c r="AE273" s="443"/>
      <c r="AL273" s="443"/>
      <c r="AO273" s="443"/>
      <c r="AQ273" s="443"/>
      <c r="AR273" s="443"/>
      <c r="BA273" s="443"/>
      <c r="BC273" s="443"/>
      <c r="BE273" s="443"/>
      <c r="BG273" s="443"/>
      <c r="BI273" s="443"/>
      <c r="BK273" s="443"/>
      <c r="BO273" s="443"/>
      <c r="BP273" s="443"/>
      <c r="BT273" s="443"/>
      <c r="BW273" s="443"/>
      <c r="CA273" s="443"/>
      <c r="CC273" s="443"/>
      <c r="CG273" s="443"/>
      <c r="CH273" s="443"/>
      <c r="CM273" s="443"/>
      <c r="CO273" s="443"/>
      <c r="CQ273" s="443"/>
      <c r="CS273" s="443"/>
      <c r="CU273" s="443"/>
      <c r="CW273" s="443"/>
      <c r="CX273" s="443"/>
    </row>
    <row r="274" spans="2:102">
      <c r="C274" s="288" t="s">
        <v>1481</v>
      </c>
      <c r="D274" s="419" t="s">
        <v>1352</v>
      </c>
      <c r="E274" s="420" t="s">
        <v>5</v>
      </c>
      <c r="F274" s="435" t="s">
        <v>1353</v>
      </c>
      <c r="H274" s="692">
        <v>5153.2090422080264</v>
      </c>
      <c r="I274" s="692">
        <v>1949.8628808354697</v>
      </c>
      <c r="J274" s="692">
        <v>139.27592005967639</v>
      </c>
      <c r="K274" s="692">
        <v>696.379600298382</v>
      </c>
      <c r="L274" s="692">
        <v>2646.2424811338519</v>
      </c>
      <c r="M274" s="692">
        <v>8356.5552035805831</v>
      </c>
      <c r="N274" s="692">
        <v>417.82776017902916</v>
      </c>
      <c r="O274" s="692">
        <v>1392.759200596764</v>
      </c>
      <c r="P274" s="693">
        <v>20752.112088891783</v>
      </c>
      <c r="Q274" s="692">
        <v>564.71738923060639</v>
      </c>
      <c r="R274" s="692">
        <v>141.1793473076516</v>
      </c>
      <c r="S274" s="692">
        <v>141.1793473076516</v>
      </c>
      <c r="T274" s="693">
        <v>847.07608384590958</v>
      </c>
      <c r="U274" s="692">
        <v>8205.2627781153678</v>
      </c>
      <c r="V274" s="692">
        <v>410.2631389057683</v>
      </c>
      <c r="W274" s="692">
        <v>136.75437963525613</v>
      </c>
      <c r="X274" s="692">
        <v>8068.5083984801095</v>
      </c>
      <c r="Y274" s="692">
        <v>273.50875927051226</v>
      </c>
      <c r="Z274" s="692">
        <v>136.75437963525613</v>
      </c>
      <c r="AA274" s="692">
        <v>3965.8770094224269</v>
      </c>
      <c r="AB274" s="692">
        <v>273.50875927051226</v>
      </c>
      <c r="AC274" s="692">
        <v>136.75437963525613</v>
      </c>
      <c r="AD274" s="692">
        <v>136.75437963525613</v>
      </c>
      <c r="AE274" s="693">
        <v>21743.946362005721</v>
      </c>
      <c r="AF274" s="692">
        <v>2661.4088152055015</v>
      </c>
      <c r="AG274" s="692">
        <v>1961.0380743619487</v>
      </c>
      <c r="AH274" s="692">
        <v>140.07414816871062</v>
      </c>
      <c r="AI274" s="692">
        <v>140.07414816871062</v>
      </c>
      <c r="AJ274" s="692">
        <v>140.07414816871062</v>
      </c>
      <c r="AK274" s="692">
        <v>140.07414816871062</v>
      </c>
      <c r="AL274" s="693">
        <v>5182.7434822422929</v>
      </c>
      <c r="AM274" s="692">
        <v>6632.4105285497044</v>
      </c>
      <c r="AN274" s="692">
        <v>564.46047051486846</v>
      </c>
      <c r="AO274" s="693">
        <v>7196.870999064573</v>
      </c>
      <c r="AP274" s="692">
        <v>551.59205334400633</v>
      </c>
      <c r="AQ274" s="693">
        <v>551.59205334400633</v>
      </c>
      <c r="AR274" s="693">
        <v>56274.341069394286</v>
      </c>
      <c r="AU274" s="692">
        <v>2275.8097446924344</v>
      </c>
      <c r="AV274" s="692">
        <v>108.37189260440164</v>
      </c>
      <c r="AW274" s="692">
        <v>1300.4627112528196</v>
      </c>
      <c r="AX274" s="692">
        <v>2817.6692077144426</v>
      </c>
      <c r="AY274" s="692">
        <v>1950.6940668792297</v>
      </c>
      <c r="AZ274" s="692">
        <v>1083.7189260440164</v>
      </c>
      <c r="BA274" s="693">
        <v>9536.7265491873441</v>
      </c>
      <c r="BB274" s="692">
        <v>464.31479355985056</v>
      </c>
      <c r="BC274" s="693">
        <v>464.31479355985056</v>
      </c>
      <c r="BD274" s="692">
        <v>315.23992905544827</v>
      </c>
      <c r="BE274" s="693">
        <v>315.23992905544827</v>
      </c>
      <c r="BF274" s="692">
        <v>435.19768763078127</v>
      </c>
      <c r="BG274" s="693">
        <v>435.19768763078127</v>
      </c>
      <c r="BH274" s="692">
        <v>1011.1960804390053</v>
      </c>
      <c r="BI274" s="693">
        <v>1011.1960804390053</v>
      </c>
      <c r="BJ274" s="692">
        <v>415.65553064469452</v>
      </c>
      <c r="BK274" s="693">
        <v>415.65553064469452</v>
      </c>
      <c r="BL274" s="692">
        <v>141.84187403893168</v>
      </c>
      <c r="BM274" s="692">
        <v>283.68374807786336</v>
      </c>
      <c r="BN274" s="692">
        <v>141.84187403893168</v>
      </c>
      <c r="BO274" s="693">
        <v>567.36749615572671</v>
      </c>
      <c r="BP274" s="693">
        <v>12745.69806667285</v>
      </c>
      <c r="BS274" s="692">
        <v>1205.739214845114</v>
      </c>
      <c r="BT274" s="693">
        <v>1205.739214845114</v>
      </c>
      <c r="BU274" s="692">
        <v>3072.8545955521649</v>
      </c>
      <c r="BV274" s="692">
        <v>146.32640931200785</v>
      </c>
      <c r="BW274" s="693">
        <v>3219.1810048641728</v>
      </c>
      <c r="BX274" s="692">
        <v>1771.5728801298624</v>
      </c>
      <c r="BY274" s="692">
        <v>147.6310733441552</v>
      </c>
      <c r="BZ274" s="692">
        <v>1181.0485867532416</v>
      </c>
      <c r="CA274" s="693">
        <v>3100.2525402272595</v>
      </c>
      <c r="CB274" s="692">
        <v>3894.6408247793743</v>
      </c>
      <c r="CC274" s="693">
        <v>3894.6408247793743</v>
      </c>
      <c r="CD274" s="692">
        <v>1673.1474260371861</v>
      </c>
      <c r="CE274" s="692">
        <v>557.71580867906198</v>
      </c>
      <c r="CF274" s="692">
        <v>139.42895216976549</v>
      </c>
      <c r="CG274" s="693">
        <v>2370.2921868860135</v>
      </c>
      <c r="CH274" s="693">
        <v>13790.105771601935</v>
      </c>
      <c r="CK274" s="692">
        <v>1217.0620533399201</v>
      </c>
      <c r="CL274" s="692">
        <v>946.60381926438231</v>
      </c>
      <c r="CM274" s="693">
        <v>2163.6658726043024</v>
      </c>
      <c r="CN274" s="692">
        <v>861.5661884584631</v>
      </c>
      <c r="CO274" s="693">
        <v>861.5661884584631</v>
      </c>
      <c r="CP274" s="692">
        <v>478.84150193975421</v>
      </c>
      <c r="CQ274" s="693">
        <v>478.84150193975421</v>
      </c>
      <c r="CR274" s="692">
        <v>870.62091261773514</v>
      </c>
      <c r="CS274" s="693">
        <v>870.62091261773514</v>
      </c>
      <c r="CT274" s="692" t="e">
        <v>#DIV/0!</v>
      </c>
      <c r="CU274" s="693">
        <v>0</v>
      </c>
      <c r="CV274" s="692">
        <v>1088.2761407721687</v>
      </c>
      <c r="CW274" s="693">
        <v>1088.2761407721687</v>
      </c>
      <c r="CX274" s="693">
        <v>5462.9706163924238</v>
      </c>
    </row>
    <row r="275" spans="2:102">
      <c r="C275" s="288"/>
      <c r="D275" s="419"/>
      <c r="E275" s="435"/>
      <c r="F275" s="435"/>
      <c r="H275" s="692"/>
      <c r="I275" s="692"/>
      <c r="J275" s="692"/>
      <c r="K275" s="692"/>
      <c r="L275" s="692"/>
      <c r="M275" s="692"/>
      <c r="N275" s="692"/>
      <c r="O275" s="692"/>
      <c r="P275" s="695"/>
      <c r="Q275" s="692"/>
      <c r="R275" s="692"/>
      <c r="S275" s="692"/>
      <c r="T275" s="695"/>
      <c r="U275" s="692"/>
      <c r="V275" s="692"/>
      <c r="W275" s="692"/>
      <c r="X275" s="692"/>
      <c r="Y275" s="692"/>
      <c r="Z275" s="692"/>
      <c r="AA275" s="692"/>
      <c r="AB275" s="692"/>
      <c r="AC275" s="692"/>
      <c r="AD275" s="692"/>
      <c r="AE275" s="695"/>
      <c r="AF275" s="692"/>
      <c r="AG275" s="692"/>
      <c r="AH275" s="692"/>
      <c r="AI275" s="692"/>
      <c r="AJ275" s="692"/>
      <c r="AK275" s="692"/>
      <c r="AL275" s="695"/>
      <c r="AM275" s="692"/>
      <c r="AN275" s="692"/>
      <c r="AO275" s="695"/>
      <c r="AP275" s="692"/>
      <c r="AQ275" s="695"/>
      <c r="AR275" s="695"/>
      <c r="AU275" s="692"/>
      <c r="AV275" s="692"/>
      <c r="AW275" s="692"/>
      <c r="AX275" s="692"/>
      <c r="AY275" s="692"/>
      <c r="AZ275" s="692"/>
      <c r="BA275" s="695"/>
      <c r="BB275" s="692"/>
      <c r="BC275" s="695"/>
      <c r="BD275" s="692"/>
      <c r="BE275" s="695"/>
      <c r="BF275" s="692"/>
      <c r="BG275" s="695"/>
      <c r="BH275" s="692"/>
      <c r="BI275" s="695"/>
      <c r="BJ275" s="692"/>
      <c r="BK275" s="695"/>
      <c r="BL275" s="692"/>
      <c r="BM275" s="692"/>
      <c r="BN275" s="692"/>
      <c r="BO275" s="695"/>
      <c r="BP275" s="695"/>
      <c r="BS275" s="692"/>
      <c r="BT275" s="695"/>
      <c r="BU275" s="692"/>
      <c r="BV275" s="692"/>
      <c r="BW275" s="695"/>
      <c r="BX275" s="692"/>
      <c r="BY275" s="692"/>
      <c r="BZ275" s="692"/>
      <c r="CA275" s="695"/>
      <c r="CB275" s="692"/>
      <c r="CC275" s="695"/>
      <c r="CD275" s="692"/>
      <c r="CE275" s="692"/>
      <c r="CF275" s="692"/>
      <c r="CG275" s="695"/>
      <c r="CH275" s="695"/>
      <c r="CK275" s="692"/>
      <c r="CL275" s="692"/>
      <c r="CM275" s="695"/>
      <c r="CN275" s="692"/>
      <c r="CO275" s="695"/>
      <c r="CP275" s="692"/>
      <c r="CQ275" s="695"/>
      <c r="CR275" s="692"/>
      <c r="CS275" s="695"/>
      <c r="CT275" s="692"/>
      <c r="CU275" s="695"/>
      <c r="CV275" s="692"/>
      <c r="CW275" s="695"/>
      <c r="CX275" s="695"/>
    </row>
    <row r="276" spans="2:102" ht="15">
      <c r="C276" s="288"/>
      <c r="D276" s="419"/>
      <c r="E276" s="696"/>
      <c r="F276" s="696" t="s">
        <v>1473</v>
      </c>
      <c r="H276" s="697">
        <f t="shared" ref="H276:AR276" si="169">H44+H45+H54+H59+H65</f>
        <v>57197.197784647178</v>
      </c>
      <c r="I276" s="697">
        <f t="shared" si="169"/>
        <v>21844.662325829013</v>
      </c>
      <c r="J276" s="697">
        <f t="shared" si="169"/>
        <v>1486.5075743634159</v>
      </c>
      <c r="K276" s="697">
        <f t="shared" si="169"/>
        <v>6708.9474268958347</v>
      </c>
      <c r="L276" s="697">
        <f t="shared" si="169"/>
        <v>28865.729514172355</v>
      </c>
      <c r="M276" s="697">
        <f t="shared" si="169"/>
        <v>94429.197802253679</v>
      </c>
      <c r="N276" s="697">
        <f t="shared" si="169"/>
        <v>4764.6892560943525</v>
      </c>
      <c r="O276" s="697">
        <f t="shared" si="169"/>
        <v>15864.415371349654</v>
      </c>
      <c r="P276" s="698">
        <f t="shared" si="169"/>
        <v>231161.3470556055</v>
      </c>
      <c r="Q276" s="697">
        <f t="shared" si="169"/>
        <v>4033.6725332565302</v>
      </c>
      <c r="R276" s="697">
        <f t="shared" si="169"/>
        <v>1158.8273250519594</v>
      </c>
      <c r="S276" s="697">
        <f t="shared" si="169"/>
        <v>711.94918811914454</v>
      </c>
      <c r="T276" s="698">
        <f t="shared" si="169"/>
        <v>5904.4490464276369</v>
      </c>
      <c r="U276" s="697">
        <f t="shared" si="169"/>
        <v>71639.608784629672</v>
      </c>
      <c r="V276" s="697">
        <f t="shared" si="169"/>
        <v>3749.4321563873327</v>
      </c>
      <c r="W276" s="697">
        <f t="shared" si="169"/>
        <v>1195.916870500721</v>
      </c>
      <c r="X276" s="697">
        <f t="shared" si="169"/>
        <v>68795.959860605391</v>
      </c>
      <c r="Y276" s="697">
        <f t="shared" si="169"/>
        <v>2422.618209447789</v>
      </c>
      <c r="Z276" s="697">
        <f t="shared" si="169"/>
        <v>1335.4258374033043</v>
      </c>
      <c r="AA276" s="697">
        <f t="shared" si="169"/>
        <v>33633.276216971761</v>
      </c>
      <c r="AB276" s="697">
        <f t="shared" si="169"/>
        <v>2424.297614128343</v>
      </c>
      <c r="AC276" s="697">
        <f t="shared" si="169"/>
        <v>771.14103879071729</v>
      </c>
      <c r="AD276" s="697">
        <f t="shared" si="169"/>
        <v>1161.3845268158834</v>
      </c>
      <c r="AE276" s="698">
        <f t="shared" si="169"/>
        <v>187129.0611156809</v>
      </c>
      <c r="AF276" s="697">
        <f t="shared" si="169"/>
        <v>21423.752523788604</v>
      </c>
      <c r="AG276" s="697">
        <f t="shared" si="169"/>
        <v>15422.222690062908</v>
      </c>
      <c r="AH276" s="697">
        <f t="shared" si="169"/>
        <v>1062.6969473042786</v>
      </c>
      <c r="AI276" s="697">
        <f t="shared" si="169"/>
        <v>1355.9372357528496</v>
      </c>
      <c r="AJ276" s="697">
        <f t="shared" si="169"/>
        <v>1046.428738302709</v>
      </c>
      <c r="AK276" s="697">
        <f t="shared" si="169"/>
        <v>1081.6105620414683</v>
      </c>
      <c r="AL276" s="698">
        <f t="shared" si="169"/>
        <v>41392.648697252822</v>
      </c>
      <c r="AM276" s="697">
        <f t="shared" si="169"/>
        <v>61073.456721846684</v>
      </c>
      <c r="AN276" s="697">
        <f t="shared" si="169"/>
        <v>4868.5642180146951</v>
      </c>
      <c r="AO276" s="698">
        <f t="shared" si="169"/>
        <v>65942.020939861381</v>
      </c>
      <c r="AP276" s="697">
        <f t="shared" si="169"/>
        <v>4518.7437575589584</v>
      </c>
      <c r="AQ276" s="698">
        <f t="shared" si="169"/>
        <v>4518.7437575589584</v>
      </c>
      <c r="AR276" s="699">
        <f t="shared" si="169"/>
        <v>536048.27061238722</v>
      </c>
      <c r="AU276" s="697">
        <f t="shared" ref="AU276:BP276" si="170">AU44+AU45+AU54+AU59+AU65</f>
        <v>31211.901478754982</v>
      </c>
      <c r="AV276" s="697">
        <f t="shared" si="170"/>
        <v>1234.711911430986</v>
      </c>
      <c r="AW276" s="697">
        <f t="shared" si="170"/>
        <v>17418.971156120009</v>
      </c>
      <c r="AX276" s="697">
        <f t="shared" si="170"/>
        <v>35569.533612959094</v>
      </c>
      <c r="AY276" s="697">
        <f t="shared" si="170"/>
        <v>26961.697710587559</v>
      </c>
      <c r="AZ276" s="697">
        <f t="shared" si="170"/>
        <v>15778.420691606218</v>
      </c>
      <c r="BA276" s="698">
        <f t="shared" si="170"/>
        <v>128175.23656145883</v>
      </c>
      <c r="BB276" s="697">
        <f t="shared" si="170"/>
        <v>3989.5632717459348</v>
      </c>
      <c r="BC276" s="698">
        <f t="shared" si="170"/>
        <v>3989.5632717459348</v>
      </c>
      <c r="BD276" s="697">
        <f t="shared" si="170"/>
        <v>3980.8375709951283</v>
      </c>
      <c r="BE276" s="698">
        <f t="shared" si="170"/>
        <v>3980.8375709951283</v>
      </c>
      <c r="BF276" s="697">
        <f t="shared" si="170"/>
        <v>3928.5278408477707</v>
      </c>
      <c r="BG276" s="698">
        <f t="shared" si="170"/>
        <v>3928.5278408477707</v>
      </c>
      <c r="BH276" s="697">
        <f t="shared" si="170"/>
        <v>34539.013872803756</v>
      </c>
      <c r="BI276" s="698">
        <f t="shared" si="170"/>
        <v>34539.013872803756</v>
      </c>
      <c r="BJ276" s="697">
        <f t="shared" si="170"/>
        <v>5020.1114327558034</v>
      </c>
      <c r="BK276" s="698">
        <f t="shared" si="170"/>
        <v>5020.1114327558034</v>
      </c>
      <c r="BL276" s="697">
        <f t="shared" si="170"/>
        <v>1695.6678497204084</v>
      </c>
      <c r="BM276" s="697">
        <f t="shared" si="170"/>
        <v>3221.8019833205281</v>
      </c>
      <c r="BN276" s="697">
        <f t="shared" si="170"/>
        <v>1535.3667413899848</v>
      </c>
      <c r="BO276" s="698">
        <f t="shared" si="170"/>
        <v>6452.8365744309212</v>
      </c>
      <c r="BP276" s="699">
        <f t="shared" si="170"/>
        <v>186086.12712503818</v>
      </c>
      <c r="BS276" s="697">
        <f t="shared" ref="BS276:CH276" si="171">BS44+BS45+BS54+BS59+BS65</f>
        <v>11475.754658714084</v>
      </c>
      <c r="BT276" s="698">
        <f t="shared" si="171"/>
        <v>11475.754658714084</v>
      </c>
      <c r="BU276" s="697">
        <f t="shared" si="171"/>
        <v>33363.779368718446</v>
      </c>
      <c r="BV276" s="697">
        <f t="shared" si="171"/>
        <v>1556.2596957346921</v>
      </c>
      <c r="BW276" s="698">
        <f t="shared" si="171"/>
        <v>34920.039064453144</v>
      </c>
      <c r="BX276" s="697">
        <f t="shared" si="171"/>
        <v>12772.827568174269</v>
      </c>
      <c r="BY276" s="697">
        <f t="shared" si="171"/>
        <v>1036.0959252511934</v>
      </c>
      <c r="BZ276" s="697">
        <f t="shared" si="171"/>
        <v>8408.4750408016844</v>
      </c>
      <c r="CA276" s="698">
        <f t="shared" si="171"/>
        <v>22217.398534227148</v>
      </c>
      <c r="CB276" s="697">
        <f t="shared" si="171"/>
        <v>31735.24131312489</v>
      </c>
      <c r="CC276" s="698">
        <f t="shared" si="171"/>
        <v>31735.24131312489</v>
      </c>
      <c r="CD276" s="697">
        <f t="shared" si="171"/>
        <v>16226.583541161614</v>
      </c>
      <c r="CE276" s="697">
        <f t="shared" si="171"/>
        <v>4986.6331806985536</v>
      </c>
      <c r="CF276" s="697">
        <f t="shared" si="171"/>
        <v>1676.3774819869632</v>
      </c>
      <c r="CG276" s="698">
        <f t="shared" si="171"/>
        <v>22889.594203847133</v>
      </c>
      <c r="CH276" s="699">
        <f t="shared" si="171"/>
        <v>123238.0277743664</v>
      </c>
      <c r="CK276" s="697">
        <f t="shared" ref="CK276:CX276" si="172">CK44+CK45+CK54+CK59+CK65</f>
        <v>15435.058523172749</v>
      </c>
      <c r="CL276" s="697">
        <f t="shared" si="172"/>
        <v>13457.170320732861</v>
      </c>
      <c r="CM276" s="698">
        <f t="shared" si="172"/>
        <v>28892.231171157542</v>
      </c>
      <c r="CN276" s="697">
        <f t="shared" si="172"/>
        <v>10997.860917165253</v>
      </c>
      <c r="CO276" s="698">
        <f t="shared" si="172"/>
        <v>10997.860917165253</v>
      </c>
      <c r="CP276" s="697">
        <f t="shared" si="172"/>
        <v>2103.4259437083242</v>
      </c>
      <c r="CQ276" s="698">
        <f t="shared" si="172"/>
        <v>2103.4259437083242</v>
      </c>
      <c r="CR276" s="697">
        <f t="shared" si="172"/>
        <v>6105.7470469840446</v>
      </c>
      <c r="CS276" s="698">
        <f t="shared" si="172"/>
        <v>6105.7470469840446</v>
      </c>
      <c r="CT276" s="697" t="e">
        <f t="shared" si="172"/>
        <v>#DIV/0!</v>
      </c>
      <c r="CU276" s="698">
        <f t="shared" si="172"/>
        <v>4.0944966632488367E-2</v>
      </c>
      <c r="CV276" s="697">
        <f t="shared" si="172"/>
        <v>8712.0473800056734</v>
      </c>
      <c r="CW276" s="698">
        <f t="shared" si="172"/>
        <v>8712.0473800056734</v>
      </c>
      <c r="CX276" s="699">
        <f t="shared" si="172"/>
        <v>56811.353403987465</v>
      </c>
    </row>
    <row r="277" spans="2:102">
      <c r="B277" s="700"/>
      <c r="C277" s="700"/>
      <c r="D277" s="701"/>
      <c r="E277" s="702"/>
      <c r="F277" s="700"/>
      <c r="G277" s="703"/>
      <c r="H277" s="700"/>
      <c r="I277" s="700"/>
      <c r="J277" s="700"/>
      <c r="K277" s="700"/>
      <c r="L277" s="700"/>
      <c r="M277" s="700"/>
      <c r="N277" s="700"/>
      <c r="O277" s="700"/>
      <c r="P277" s="704"/>
      <c r="Q277" s="700"/>
      <c r="R277" s="700"/>
      <c r="S277" s="700"/>
      <c r="T277" s="704"/>
      <c r="U277" s="700"/>
      <c r="V277" s="700"/>
      <c r="W277" s="700"/>
      <c r="X277" s="700"/>
      <c r="Y277" s="700"/>
      <c r="Z277" s="700"/>
      <c r="AA277" s="700"/>
      <c r="AB277" s="700"/>
      <c r="AC277" s="700"/>
      <c r="AD277" s="700"/>
      <c r="AE277" s="704"/>
      <c r="AF277" s="700"/>
      <c r="AG277" s="700"/>
      <c r="AH277" s="700"/>
      <c r="AI277" s="700"/>
      <c r="AJ277" s="700"/>
      <c r="AK277" s="700"/>
      <c r="AL277" s="704"/>
      <c r="AM277" s="700"/>
      <c r="AN277" s="700"/>
      <c r="AO277" s="704"/>
      <c r="AP277" s="700"/>
      <c r="AQ277" s="704"/>
      <c r="AR277" s="719">
        <f>AR44+AR45+AR54+AR59+AR65</f>
        <v>536048.27061238722</v>
      </c>
      <c r="AU277" s="700"/>
      <c r="AV277" s="700"/>
      <c r="AW277" s="700"/>
      <c r="AX277" s="700"/>
      <c r="AY277" s="700"/>
      <c r="AZ277" s="700"/>
      <c r="BA277" s="704"/>
      <c r="BB277" s="700"/>
      <c r="BC277" s="704"/>
      <c r="BD277" s="700"/>
      <c r="BE277" s="704"/>
      <c r="BF277" s="700"/>
      <c r="BG277" s="704"/>
      <c r="BH277" s="700"/>
      <c r="BI277" s="704"/>
      <c r="BJ277" s="700"/>
      <c r="BK277" s="704"/>
      <c r="BL277" s="700"/>
      <c r="BM277" s="700"/>
      <c r="BN277" s="700"/>
      <c r="BO277" s="704"/>
      <c r="BP277" s="704"/>
      <c r="BS277" s="700"/>
      <c r="BT277" s="704"/>
      <c r="BU277" s="700"/>
      <c r="BV277" s="700"/>
      <c r="BW277" s="704"/>
      <c r="BX277" s="700"/>
      <c r="BY277" s="700"/>
      <c r="BZ277" s="700"/>
      <c r="CA277" s="704"/>
      <c r="CB277" s="700"/>
      <c r="CC277" s="704"/>
      <c r="CD277" s="700"/>
      <c r="CE277" s="700"/>
      <c r="CF277" s="700"/>
      <c r="CG277" s="704"/>
      <c r="CH277" s="704"/>
      <c r="CK277" s="700"/>
      <c r="CL277" s="700"/>
      <c r="CM277" s="704"/>
      <c r="CN277" s="700"/>
      <c r="CO277" s="704"/>
      <c r="CP277" s="700"/>
      <c r="CQ277" s="704"/>
      <c r="CR277" s="700"/>
      <c r="CS277" s="704"/>
      <c r="CT277" s="700"/>
      <c r="CU277" s="704"/>
      <c r="CV277" s="700"/>
      <c r="CW277" s="704"/>
      <c r="CX277" s="704"/>
    </row>
    <row r="280" spans="2:102">
      <c r="F280" s="684"/>
      <c r="G280" s="687"/>
      <c r="H280" s="684"/>
      <c r="I280" s="684"/>
      <c r="J280" s="684"/>
      <c r="K280" s="684"/>
      <c r="L280" s="684"/>
      <c r="M280" s="684"/>
      <c r="N280" s="684"/>
      <c r="O280" s="684"/>
      <c r="P280" s="688"/>
      <c r="Q280" s="684"/>
      <c r="R280" s="684"/>
      <c r="S280" s="684"/>
      <c r="T280" s="688"/>
      <c r="U280" s="684"/>
      <c r="V280" s="684"/>
      <c r="W280" s="684"/>
      <c r="X280" s="684"/>
      <c r="Y280" s="684"/>
      <c r="Z280" s="684"/>
      <c r="AA280" s="684"/>
      <c r="AB280" s="684"/>
      <c r="AC280" s="684"/>
      <c r="AD280" s="684"/>
      <c r="AE280" s="688"/>
      <c r="AF280" s="684"/>
      <c r="AG280" s="684"/>
      <c r="AH280" s="684"/>
      <c r="AI280" s="684"/>
      <c r="AJ280" s="684"/>
      <c r="AK280" s="684"/>
      <c r="AL280" s="688"/>
      <c r="AM280" s="684"/>
      <c r="AN280" s="684"/>
      <c r="AO280" s="688"/>
      <c r="AP280" s="684"/>
      <c r="AQ280" s="688"/>
      <c r="AU280" s="684"/>
      <c r="AV280" s="684"/>
      <c r="AW280" s="684"/>
      <c r="AX280" s="684"/>
      <c r="AY280" s="684"/>
      <c r="AZ280" s="684"/>
      <c r="BA280" s="688"/>
      <c r="BB280" s="684"/>
      <c r="BC280" s="688"/>
      <c r="BD280" s="684"/>
      <c r="BE280" s="688"/>
      <c r="BF280" s="684"/>
      <c r="BG280" s="688"/>
      <c r="BH280" s="684"/>
      <c r="BI280" s="688"/>
      <c r="BJ280" s="684"/>
      <c r="BK280" s="688"/>
      <c r="BL280" s="684"/>
      <c r="BM280" s="684"/>
      <c r="BN280" s="684"/>
      <c r="BO280" s="688"/>
      <c r="BS280" s="684"/>
      <c r="BT280" s="688"/>
      <c r="BU280" s="684"/>
      <c r="BV280" s="684"/>
      <c r="BW280" s="688"/>
      <c r="BX280" s="684"/>
      <c r="BY280" s="684"/>
      <c r="BZ280" s="684"/>
      <c r="CA280" s="688"/>
      <c r="CB280" s="684"/>
      <c r="CC280" s="688"/>
      <c r="CD280" s="684"/>
      <c r="CE280" s="684"/>
      <c r="CF280" s="684"/>
      <c r="CG280" s="688"/>
      <c r="CK280" s="684"/>
      <c r="CL280" s="684"/>
      <c r="CM280" s="688"/>
      <c r="CN280" s="684"/>
      <c r="CO280" s="688"/>
      <c r="CP280" s="684"/>
      <c r="CQ280" s="688"/>
      <c r="CR280" s="684"/>
      <c r="CS280" s="688"/>
      <c r="CT280" s="684"/>
      <c r="CU280" s="688"/>
      <c r="CV280" s="684"/>
      <c r="CW280" s="688"/>
    </row>
    <row r="281" spans="2:102" ht="15.75">
      <c r="F281" s="705" t="s">
        <v>34</v>
      </c>
      <c r="H281" s="692">
        <v>110339.86983912137</v>
      </c>
      <c r="I281" s="692">
        <v>44220.870105345937</v>
      </c>
      <c r="J281" s="692">
        <v>2918.3337087395039</v>
      </c>
      <c r="K281" s="692">
        <v>9438.1733254087849</v>
      </c>
      <c r="L281" s="692">
        <v>58030.66546931761</v>
      </c>
      <c r="M281" s="692">
        <v>197586.86412540163</v>
      </c>
      <c r="N281" s="692">
        <v>9029.5662626854428</v>
      </c>
      <c r="O281" s="692">
        <v>30601.995418491322</v>
      </c>
      <c r="P281" s="706">
        <v>462166.33825451159</v>
      </c>
      <c r="Q281" s="692">
        <v>12366.309893886055</v>
      </c>
      <c r="R281" s="692">
        <v>3086.6202842364569</v>
      </c>
      <c r="S281" s="692">
        <v>252.34533422077826</v>
      </c>
      <c r="T281" s="706">
        <v>15705.275512343291</v>
      </c>
      <c r="U281" s="692">
        <v>205628.19295121671</v>
      </c>
      <c r="V281" s="692">
        <v>9716.9938105579113</v>
      </c>
      <c r="W281" s="692">
        <v>2406.6869575763203</v>
      </c>
      <c r="X281" s="692">
        <v>183854.08285339901</v>
      </c>
      <c r="Y281" s="692">
        <v>3918.8766163506693</v>
      </c>
      <c r="Z281" s="692">
        <v>3603.2458469692669</v>
      </c>
      <c r="AA281" s="692">
        <v>83121.087957776603</v>
      </c>
      <c r="AB281" s="692">
        <v>4906.9653692404254</v>
      </c>
      <c r="AC281" s="692">
        <v>0</v>
      </c>
      <c r="AD281" s="692">
        <v>2656.9351032218578</v>
      </c>
      <c r="AE281" s="706">
        <v>499813.06746630877</v>
      </c>
      <c r="AF281" s="692">
        <v>54240.348183647919</v>
      </c>
      <c r="AG281" s="692">
        <v>38738.162948281133</v>
      </c>
      <c r="AH281" s="692">
        <v>1993.1247910307675</v>
      </c>
      <c r="AI281" s="692">
        <v>4224.6263774826693</v>
      </c>
      <c r="AJ281" s="692">
        <v>1656.0369040335643</v>
      </c>
      <c r="AK281" s="692">
        <v>1879.0737607763299</v>
      </c>
      <c r="AL281" s="706">
        <v>102731.37296525238</v>
      </c>
      <c r="AM281" s="692">
        <v>171171.31674394585</v>
      </c>
      <c r="AN281" s="692">
        <v>11174.484673177822</v>
      </c>
      <c r="AO281" s="706">
        <v>182345.80141712367</v>
      </c>
      <c r="AP281" s="692">
        <v>8429.9944872969863</v>
      </c>
      <c r="AQ281" s="706">
        <v>8429.9944872969863</v>
      </c>
      <c r="AU281" s="692">
        <v>74789.711440858198</v>
      </c>
      <c r="AV281" s="692">
        <v>1585.5427901842493</v>
      </c>
      <c r="AW281" s="692">
        <v>39389.458682228324</v>
      </c>
      <c r="AX281" s="692">
        <v>60275.470508460814</v>
      </c>
      <c r="AY281" s="692">
        <v>62411.330169722605</v>
      </c>
      <c r="AZ281" s="692">
        <v>31112.206603186733</v>
      </c>
      <c r="BA281" s="706">
        <v>269563.72019464092</v>
      </c>
      <c r="BB281" s="692">
        <v>8126.8282499999996</v>
      </c>
      <c r="BC281" s="706">
        <v>8126.8282499999996</v>
      </c>
      <c r="BD281" s="692">
        <v>5869.0060700000004</v>
      </c>
      <c r="BE281" s="706">
        <v>5869.0060700000004</v>
      </c>
      <c r="BF281" s="692">
        <v>6417.0250199999991</v>
      </c>
      <c r="BG281" s="706">
        <v>6417.0250199999991</v>
      </c>
      <c r="BH281" s="692">
        <v>52541.447358210869</v>
      </c>
      <c r="BI281" s="706">
        <v>52541.447358210869</v>
      </c>
      <c r="BJ281" s="692">
        <v>8779.0980225162784</v>
      </c>
      <c r="BK281" s="706">
        <v>8779.0980225162784</v>
      </c>
      <c r="BL281" s="692">
        <v>4082.7295063475231</v>
      </c>
      <c r="BM281" s="692">
        <v>5421.0814866424953</v>
      </c>
      <c r="BN281" s="692">
        <v>2075.2417976079637</v>
      </c>
      <c r="BO281" s="706">
        <v>11579.052790597982</v>
      </c>
      <c r="BS281" s="692">
        <v>21542.681456091323</v>
      </c>
      <c r="BT281" s="706">
        <v>21542.681456091323</v>
      </c>
      <c r="BU281" s="692">
        <v>52530.540183141718</v>
      </c>
      <c r="BV281" s="692">
        <v>1586.1500308831457</v>
      </c>
      <c r="BW281" s="706">
        <v>54116.690214024864</v>
      </c>
      <c r="BX281" s="692">
        <v>23639.209030389582</v>
      </c>
      <c r="BY281" s="692">
        <v>1406.8633675876576</v>
      </c>
      <c r="BZ281" s="692">
        <v>15114.113468731033</v>
      </c>
      <c r="CA281" s="706">
        <v>40160.185866708271</v>
      </c>
      <c r="CB281" s="692">
        <v>83949.991378581093</v>
      </c>
      <c r="CC281" s="706">
        <v>83949.991378581093</v>
      </c>
      <c r="CD281" s="692">
        <v>34391.844584048333</v>
      </c>
      <c r="CE281" s="692">
        <v>9053.8419379558181</v>
      </c>
      <c r="CF281" s="692">
        <v>3597.2918502060097</v>
      </c>
      <c r="CG281" s="706">
        <v>47042.978372210164</v>
      </c>
      <c r="CK281" s="692">
        <v>27180.800845828879</v>
      </c>
      <c r="CL281" s="692">
        <v>28651.654677981514</v>
      </c>
      <c r="CM281" s="706">
        <v>55832.557186434715</v>
      </c>
      <c r="CN281" s="692">
        <v>11937.031788186769</v>
      </c>
      <c r="CO281" s="706">
        <v>11937.031788186769</v>
      </c>
      <c r="CP281" s="692">
        <v>6565.9766200000013</v>
      </c>
      <c r="CQ281" s="706">
        <v>6565.9766200000013</v>
      </c>
      <c r="CR281" s="692">
        <v>10136.424180000004</v>
      </c>
      <c r="CS281" s="706">
        <v>10136.424180000004</v>
      </c>
      <c r="CT281" s="692">
        <v>2.4816400000000001</v>
      </c>
      <c r="CU281" s="706">
        <v>2.4816400000000001</v>
      </c>
      <c r="CV281" s="692">
        <v>7486.5379200000043</v>
      </c>
      <c r="CW281" s="706">
        <v>7486.5379200000043</v>
      </c>
    </row>
    <row r="282" spans="2:102" ht="15.75">
      <c r="F282" s="705" t="s">
        <v>35</v>
      </c>
      <c r="H282" s="707">
        <v>0.51837289520136554</v>
      </c>
      <c r="I282" s="707">
        <v>0.49398988020337875</v>
      </c>
      <c r="J282" s="707">
        <v>0.50936860644544757</v>
      </c>
      <c r="K282" s="707">
        <v>0.71083113178632562</v>
      </c>
      <c r="L282" s="707">
        <v>0.49742199715828611</v>
      </c>
      <c r="M282" s="707">
        <v>0.47791232590402716</v>
      </c>
      <c r="N282" s="707">
        <v>0.52767642625143185</v>
      </c>
      <c r="O282" s="707">
        <v>0.51841114131281607</v>
      </c>
      <c r="P282" s="708">
        <v>0.50016915539250428</v>
      </c>
      <c r="Q282" s="707">
        <v>0.32618239134139693</v>
      </c>
      <c r="R282" s="707">
        <v>0.37543566047633253</v>
      </c>
      <c r="S282" s="707">
        <v>2.8213289154625558</v>
      </c>
      <c r="T282" s="708">
        <v>0.37595322933285297</v>
      </c>
      <c r="U282" s="707">
        <v>0.34839390336725601</v>
      </c>
      <c r="V282" s="707">
        <v>0.38586338835715034</v>
      </c>
      <c r="W282" s="707">
        <v>0.49691417769807589</v>
      </c>
      <c r="X282" s="707">
        <v>0.37418782761251868</v>
      </c>
      <c r="Y282" s="707">
        <v>0.61819200924569451</v>
      </c>
      <c r="Z282" s="707">
        <v>0.37061746384209299</v>
      </c>
      <c r="AA282" s="707">
        <v>0.40462988446513848</v>
      </c>
      <c r="AB282" s="707">
        <v>0.49405231781849984</v>
      </c>
      <c r="AC282" s="707" t="e">
        <v>#DIV/0!</v>
      </c>
      <c r="AD282" s="707">
        <v>0.43711437490797689</v>
      </c>
      <c r="AE282" s="708">
        <v>0.37439809660097539</v>
      </c>
      <c r="AF282" s="707">
        <v>0.39497815263374947</v>
      </c>
      <c r="AG282" s="707">
        <v>0.39811445655419792</v>
      </c>
      <c r="AH282" s="707">
        <v>0.5331813402183877</v>
      </c>
      <c r="AI282" s="707">
        <v>0.32096027307409197</v>
      </c>
      <c r="AJ282" s="707">
        <v>0.63188733038131628</v>
      </c>
      <c r="AK282" s="707">
        <v>0.57560835802135102</v>
      </c>
      <c r="AL282" s="708">
        <v>0.40292120607843307</v>
      </c>
      <c r="AM282" s="707">
        <v>0.35679725951519148</v>
      </c>
      <c r="AN282" s="707">
        <v>0.43568579316241196</v>
      </c>
      <c r="AO282" s="708">
        <v>0.36163169333971251</v>
      </c>
      <c r="AP282" s="707">
        <v>0.53603163849848012</v>
      </c>
      <c r="AQ282" s="708">
        <v>0.53603163849848012</v>
      </c>
      <c r="AU282" s="707">
        <v>0.41732881271291655</v>
      </c>
      <c r="AV282" s="707">
        <v>0.77873137141098869</v>
      </c>
      <c r="AW282" s="707">
        <v>0.44222418227796245</v>
      </c>
      <c r="AX282" s="707">
        <v>0.59011623323564488</v>
      </c>
      <c r="AY282" s="707">
        <v>0.43200004930622993</v>
      </c>
      <c r="AZ282" s="707">
        <v>0.50714566449266507</v>
      </c>
      <c r="BA282" s="708">
        <v>0.47549142172733316</v>
      </c>
      <c r="BB282" s="707">
        <v>0.49091270899516487</v>
      </c>
      <c r="BC282" s="708">
        <v>0.49091270899516487</v>
      </c>
      <c r="BD282" s="707">
        <v>0.67828138589659492</v>
      </c>
      <c r="BE282" s="708">
        <v>0.67828138589659492</v>
      </c>
      <c r="BF282" s="707">
        <v>0.61220391514817118</v>
      </c>
      <c r="BG282" s="708">
        <v>0.61220391514817118</v>
      </c>
      <c r="BH282" s="707">
        <v>0.6573670047063559</v>
      </c>
      <c r="BI282" s="708">
        <v>0.6573670047063559</v>
      </c>
      <c r="BJ282" s="707">
        <v>0.5718254221425052</v>
      </c>
      <c r="BK282" s="708">
        <v>0.5718254221425052</v>
      </c>
      <c r="BL282" s="707">
        <v>0.41532701274578948</v>
      </c>
      <c r="BM282" s="707">
        <v>0.59430982383478725</v>
      </c>
      <c r="BN282" s="707">
        <v>0.73984956507705835</v>
      </c>
      <c r="BO282" s="708">
        <v>0.55728535754414454</v>
      </c>
      <c r="BS282" s="707">
        <v>0.53269852604487389</v>
      </c>
      <c r="BT282" s="708">
        <v>0.53269852604487389</v>
      </c>
      <c r="BU282" s="707">
        <v>0.63513109235883447</v>
      </c>
      <c r="BV282" s="707">
        <v>0.98115541747850221</v>
      </c>
      <c r="BW282" s="708">
        <v>0.64527300036917778</v>
      </c>
      <c r="BX282" s="707">
        <v>0.5403238133625391</v>
      </c>
      <c r="BY282" s="707">
        <v>0.73645810184665084</v>
      </c>
      <c r="BZ282" s="707">
        <v>0.556332666034143</v>
      </c>
      <c r="CA282" s="708">
        <v>0.55321951466974617</v>
      </c>
      <c r="CB282" s="707">
        <v>0.3780255458277722</v>
      </c>
      <c r="CC282" s="708">
        <v>0.3780255458277722</v>
      </c>
      <c r="CD282" s="707">
        <v>0.47181486591992355</v>
      </c>
      <c r="CE282" s="707">
        <v>0.55077537413077904</v>
      </c>
      <c r="CF282" s="707">
        <v>0.46601097486459442</v>
      </c>
      <c r="CG282" s="708">
        <v>0.48656770884576411</v>
      </c>
      <c r="CK282" s="707">
        <v>0.56786621596329412</v>
      </c>
      <c r="CL282" s="707">
        <v>0.46968213431228284</v>
      </c>
      <c r="CM282" s="708">
        <v>0.51747999065637107</v>
      </c>
      <c r="CN282" s="707">
        <v>0.92132291446597758</v>
      </c>
      <c r="CO282" s="708">
        <v>0.92132291446597758</v>
      </c>
      <c r="CP282" s="707">
        <v>0.32035233529484053</v>
      </c>
      <c r="CQ282" s="708">
        <v>0.32035233529484053</v>
      </c>
      <c r="CR282" s="707">
        <v>0.60235709739053589</v>
      </c>
      <c r="CS282" s="708">
        <v>0.60235709739053589</v>
      </c>
      <c r="CT282" s="707" t="e">
        <v>#DIV/0!</v>
      </c>
      <c r="CU282" s="708">
        <v>1.6499156458023068E-2</v>
      </c>
      <c r="CV282" s="707">
        <v>1.1636950848444603</v>
      </c>
      <c r="CW282" s="708">
        <v>1.1636950848444603</v>
      </c>
    </row>
    <row r="283" spans="2:102">
      <c r="F283" s="700"/>
      <c r="G283" s="703"/>
      <c r="H283" s="700"/>
      <c r="I283" s="700"/>
      <c r="J283" s="700"/>
      <c r="K283" s="700"/>
      <c r="L283" s="700"/>
      <c r="M283" s="700"/>
      <c r="N283" s="700"/>
      <c r="O283" s="700"/>
      <c r="P283" s="704"/>
      <c r="Q283" s="700"/>
      <c r="R283" s="700"/>
      <c r="S283" s="700"/>
      <c r="T283" s="704"/>
      <c r="U283" s="700"/>
      <c r="V283" s="700"/>
      <c r="W283" s="700"/>
      <c r="X283" s="700"/>
      <c r="Y283" s="700"/>
      <c r="Z283" s="700"/>
      <c r="AA283" s="700"/>
      <c r="AB283" s="700"/>
      <c r="AC283" s="700"/>
      <c r="AD283" s="700"/>
      <c r="AE283" s="704"/>
      <c r="AF283" s="700"/>
      <c r="AG283" s="700"/>
      <c r="AH283" s="700"/>
      <c r="AI283" s="700"/>
      <c r="AJ283" s="700"/>
      <c r="AK283" s="700"/>
      <c r="AL283" s="704"/>
      <c r="AM283" s="700"/>
      <c r="AN283" s="700"/>
      <c r="AO283" s="704"/>
      <c r="AP283" s="700"/>
      <c r="AQ283" s="704"/>
      <c r="AU283" s="700"/>
      <c r="AV283" s="700"/>
      <c r="AW283" s="700"/>
      <c r="AX283" s="700"/>
      <c r="AY283" s="700"/>
      <c r="AZ283" s="700"/>
      <c r="BA283" s="704"/>
      <c r="BB283" s="700"/>
      <c r="BC283" s="704"/>
      <c r="BD283" s="700"/>
      <c r="BE283" s="704"/>
      <c r="BF283" s="700"/>
      <c r="BG283" s="704"/>
      <c r="BH283" s="700"/>
      <c r="BI283" s="704"/>
      <c r="BJ283" s="700"/>
      <c r="BK283" s="704"/>
      <c r="BL283" s="700"/>
      <c r="BM283" s="700"/>
      <c r="BN283" s="700"/>
      <c r="BO283" s="704"/>
      <c r="BS283" s="700"/>
      <c r="BT283" s="704"/>
      <c r="BU283" s="700"/>
      <c r="BV283" s="700"/>
      <c r="BW283" s="704"/>
      <c r="BX283" s="700"/>
      <c r="BY283" s="700"/>
      <c r="BZ283" s="700"/>
      <c r="CA283" s="704"/>
      <c r="CB283" s="700"/>
      <c r="CC283" s="704"/>
      <c r="CD283" s="700"/>
      <c r="CE283" s="700"/>
      <c r="CF283" s="700"/>
      <c r="CG283" s="704"/>
      <c r="CK283" s="700"/>
      <c r="CL283" s="700"/>
      <c r="CM283" s="704"/>
      <c r="CN283" s="700"/>
      <c r="CO283" s="704"/>
      <c r="CP283" s="700"/>
      <c r="CQ283" s="704"/>
      <c r="CR283" s="700"/>
      <c r="CS283" s="704"/>
      <c r="CT283" s="700"/>
      <c r="CU283" s="704"/>
      <c r="CV283" s="700"/>
      <c r="CW283" s="704"/>
    </row>
    <row r="286" spans="2:102">
      <c r="F286" s="185" t="s">
        <v>1474</v>
      </c>
      <c r="H286" s="692">
        <v>52043.988742439149</v>
      </c>
      <c r="I286" s="692">
        <v>19894.799444993543</v>
      </c>
      <c r="J286" s="692">
        <v>1347.2316543037396</v>
      </c>
      <c r="K286" s="692">
        <v>6012.5678265974529</v>
      </c>
      <c r="L286" s="692">
        <v>26219.487033038502</v>
      </c>
      <c r="M286" s="692">
        <v>86072.64259867309</v>
      </c>
      <c r="N286" s="692">
        <v>4346.8614959153228</v>
      </c>
      <c r="O286" s="692">
        <v>14471.656170752891</v>
      </c>
      <c r="P286" s="692">
        <v>210409.2349667137</v>
      </c>
      <c r="Q286" s="692">
        <v>3468.9551440259238</v>
      </c>
      <c r="R286" s="692">
        <v>1017.6479777443078</v>
      </c>
      <c r="S286" s="692">
        <v>570.76984081149294</v>
      </c>
      <c r="T286" s="692">
        <v>5057.3729625817268</v>
      </c>
      <c r="U286" s="692">
        <v>63434.346006514301</v>
      </c>
      <c r="V286" s="692">
        <v>3339.1690174815644</v>
      </c>
      <c r="W286" s="692">
        <v>1059.1624908654649</v>
      </c>
      <c r="X286" s="692">
        <v>60727.451462125282</v>
      </c>
      <c r="Y286" s="692">
        <v>2149.1094501772768</v>
      </c>
      <c r="Z286" s="692">
        <v>1198.6714577680482</v>
      </c>
      <c r="AA286" s="692">
        <v>29667.399207549333</v>
      </c>
      <c r="AB286" s="692">
        <v>2150.7888548578308</v>
      </c>
      <c r="AC286" s="692">
        <v>634.38665915546119</v>
      </c>
      <c r="AD286" s="692">
        <v>1024.6301471806273</v>
      </c>
      <c r="AE286" s="692">
        <v>165385.11475367518</v>
      </c>
      <c r="AF286" s="692">
        <v>18762.343708583103</v>
      </c>
      <c r="AG286" s="692">
        <v>13461.18461570096</v>
      </c>
      <c r="AH286" s="692">
        <v>922.6227991355679</v>
      </c>
      <c r="AI286" s="692">
        <v>1215.8630875841388</v>
      </c>
      <c r="AJ286" s="692">
        <v>906.35459013399827</v>
      </c>
      <c r="AK286" s="692">
        <v>941.53641387275763</v>
      </c>
      <c r="AL286" s="692">
        <v>36209.905215010527</v>
      </c>
      <c r="AM286" s="692">
        <v>54441.046193296977</v>
      </c>
      <c r="AN286" s="692">
        <v>4304.1037474998266</v>
      </c>
      <c r="AO286" s="692">
        <v>58745.149940796808</v>
      </c>
      <c r="AP286" s="692">
        <v>3967.1517042149517</v>
      </c>
      <c r="AQ286" s="692">
        <v>3967.1517042149517</v>
      </c>
      <c r="AR286" s="692">
        <v>479773.92954299296</v>
      </c>
      <c r="AS286" s="692">
        <v>0</v>
      </c>
      <c r="AT286" s="692">
        <v>0</v>
      </c>
      <c r="AU286" s="692">
        <v>28936.091734062549</v>
      </c>
      <c r="AV286" s="692">
        <v>1126.3400188265844</v>
      </c>
      <c r="AW286" s="692">
        <v>16118.508444867188</v>
      </c>
      <c r="AX286" s="692">
        <v>32751.864405244654</v>
      </c>
      <c r="AY286" s="692">
        <v>25011.003643708329</v>
      </c>
      <c r="AZ286" s="692">
        <v>14694.7017655622</v>
      </c>
      <c r="BA286" s="692">
        <v>118638.51001227149</v>
      </c>
      <c r="BB286" s="692">
        <v>3525.2484781860844</v>
      </c>
      <c r="BC286" s="692">
        <v>3525.2484781860844</v>
      </c>
      <c r="BD286" s="692">
        <v>3665.5976419396802</v>
      </c>
      <c r="BE286" s="692">
        <v>3665.5976419396802</v>
      </c>
      <c r="BF286" s="692">
        <v>3493.3301532169894</v>
      </c>
      <c r="BG286" s="692">
        <v>3493.3301532169894</v>
      </c>
      <c r="BH286" s="692">
        <v>33527.817792364753</v>
      </c>
      <c r="BI286" s="692">
        <v>33527.817792364753</v>
      </c>
      <c r="BJ286" s="692">
        <v>4604.455902111109</v>
      </c>
      <c r="BK286" s="692">
        <v>4604.455902111109</v>
      </c>
      <c r="BL286" s="692">
        <v>1553.8259756814768</v>
      </c>
      <c r="BM286" s="692">
        <v>2938.1182352426645</v>
      </c>
      <c r="BN286" s="692">
        <v>1393.524867351053</v>
      </c>
      <c r="BO286" s="692">
        <v>5885.4690782751941</v>
      </c>
      <c r="BP286" s="692">
        <v>173340.42905836532</v>
      </c>
      <c r="BQ286" s="692">
        <v>0</v>
      </c>
      <c r="BR286" s="692">
        <v>0</v>
      </c>
      <c r="BS286" s="692">
        <v>10270.01544386897</v>
      </c>
      <c r="BT286" s="692">
        <v>10270.01544386897</v>
      </c>
      <c r="BU286" s="692">
        <v>30290.924773166284</v>
      </c>
      <c r="BV286" s="692">
        <v>1409.9332864226842</v>
      </c>
      <c r="BW286" s="692">
        <v>31700.858059588969</v>
      </c>
      <c r="BX286" s="692">
        <v>11001.254688044406</v>
      </c>
      <c r="BY286" s="692">
        <v>888.46485190703834</v>
      </c>
      <c r="BZ286" s="692">
        <v>7227.4264540484428</v>
      </c>
      <c r="CA286" s="692">
        <v>19117.145993999889</v>
      </c>
      <c r="CB286" s="692">
        <v>27840.600488345517</v>
      </c>
      <c r="CC286" s="692">
        <v>27840.600488345517</v>
      </c>
      <c r="CD286" s="692">
        <v>14553.436115124427</v>
      </c>
      <c r="CE286" s="692">
        <v>4428.9173720194913</v>
      </c>
      <c r="CF286" s="692">
        <v>1536.9485298171976</v>
      </c>
      <c r="CG286" s="692">
        <v>20519.302016961119</v>
      </c>
      <c r="CH286" s="692">
        <v>109447.92200276448</v>
      </c>
      <c r="CI286" s="692">
        <v>0</v>
      </c>
      <c r="CJ286" s="692">
        <v>0</v>
      </c>
      <c r="CK286" s="692">
        <v>14217.996469832829</v>
      </c>
      <c r="CL286" s="692">
        <v>12510.566501468478</v>
      </c>
      <c r="CM286" s="692">
        <v>26728.56529855324</v>
      </c>
      <c r="CN286" s="692">
        <v>10136.294728706791</v>
      </c>
      <c r="CO286" s="692">
        <v>10136.294728706791</v>
      </c>
      <c r="CP286" s="692">
        <v>1624.5844417685698</v>
      </c>
      <c r="CQ286" s="692">
        <v>1624.5844417685698</v>
      </c>
      <c r="CR286" s="692">
        <v>5235.1261343663091</v>
      </c>
      <c r="CS286" s="692">
        <v>5235.1261343663091</v>
      </c>
      <c r="CT286" s="692" t="e">
        <v>#DIV/0!</v>
      </c>
      <c r="CU286" s="692">
        <v>4.0944966632488367E-2</v>
      </c>
      <c r="CV286" s="692">
        <v>7623.7712392335043</v>
      </c>
      <c r="CW286" s="692">
        <v>7623.7712392335043</v>
      </c>
      <c r="CX286" s="692">
        <v>51348.382787595045</v>
      </c>
    </row>
    <row r="287" spans="2:102">
      <c r="F287" s="185" t="s">
        <v>1475</v>
      </c>
      <c r="H287" s="692">
        <v>57197.197784647178</v>
      </c>
      <c r="I287" s="692">
        <v>21844.662325829013</v>
      </c>
      <c r="J287" s="692">
        <v>1486.5075743634159</v>
      </c>
      <c r="K287" s="692">
        <v>6708.9474268958347</v>
      </c>
      <c r="L287" s="692">
        <v>28865.729514172355</v>
      </c>
      <c r="M287" s="692">
        <v>94429.197802253679</v>
      </c>
      <c r="N287" s="692">
        <v>4764.6892560943525</v>
      </c>
      <c r="O287" s="692">
        <v>15864.415371349654</v>
      </c>
      <c r="P287" s="692">
        <v>231161.3470556055</v>
      </c>
      <c r="Q287" s="692">
        <v>4033.6725332565302</v>
      </c>
      <c r="R287" s="692">
        <v>1158.8273250519594</v>
      </c>
      <c r="S287" s="692">
        <v>711.94918811914454</v>
      </c>
      <c r="T287" s="692">
        <v>5904.4490464276369</v>
      </c>
      <c r="U287" s="692">
        <v>71639.608784629672</v>
      </c>
      <c r="V287" s="692">
        <v>3749.4321563873327</v>
      </c>
      <c r="W287" s="692">
        <v>1195.916870500721</v>
      </c>
      <c r="X287" s="692">
        <v>68795.959860605391</v>
      </c>
      <c r="Y287" s="692">
        <v>2422.618209447789</v>
      </c>
      <c r="Z287" s="692">
        <v>1335.4258374033043</v>
      </c>
      <c r="AA287" s="692">
        <v>33633.276216971761</v>
      </c>
      <c r="AB287" s="692">
        <v>2424.297614128343</v>
      </c>
      <c r="AC287" s="692">
        <v>771.14103879071729</v>
      </c>
      <c r="AD287" s="692">
        <v>1161.3845268158834</v>
      </c>
      <c r="AE287" s="692">
        <v>187129.0611156809</v>
      </c>
      <c r="AF287" s="692">
        <v>21423.752523788604</v>
      </c>
      <c r="AG287" s="692">
        <v>15422.222690062908</v>
      </c>
      <c r="AH287" s="692">
        <v>1062.6969473042786</v>
      </c>
      <c r="AI287" s="692">
        <v>1355.9372357528496</v>
      </c>
      <c r="AJ287" s="692">
        <v>1046.428738302709</v>
      </c>
      <c r="AK287" s="692">
        <v>1081.6105620414683</v>
      </c>
      <c r="AL287" s="692">
        <v>41392.648697252822</v>
      </c>
      <c r="AM287" s="692">
        <v>61073.456721846684</v>
      </c>
      <c r="AN287" s="692">
        <v>4868.5642180146951</v>
      </c>
      <c r="AO287" s="692">
        <v>65942.020939861381</v>
      </c>
      <c r="AP287" s="692">
        <v>4518.7437575589584</v>
      </c>
      <c r="AQ287" s="692">
        <v>4518.7437575589584</v>
      </c>
      <c r="AR287" s="692">
        <v>536048.27061238722</v>
      </c>
      <c r="AS287" s="692">
        <v>0</v>
      </c>
      <c r="AT287" s="692">
        <v>0</v>
      </c>
      <c r="AU287" s="692">
        <v>31211.901478754982</v>
      </c>
      <c r="AV287" s="692">
        <v>1234.711911430986</v>
      </c>
      <c r="AW287" s="692">
        <v>17418.971156120009</v>
      </c>
      <c r="AX287" s="692">
        <v>35569.533612959094</v>
      </c>
      <c r="AY287" s="692">
        <v>26961.697710587559</v>
      </c>
      <c r="AZ287" s="692">
        <v>15778.420691606218</v>
      </c>
      <c r="BA287" s="692">
        <v>128175.23656145883</v>
      </c>
      <c r="BB287" s="692">
        <v>3989.5632717459348</v>
      </c>
      <c r="BC287" s="692">
        <v>3989.5632717459348</v>
      </c>
      <c r="BD287" s="692">
        <v>3980.8375709951283</v>
      </c>
      <c r="BE287" s="692">
        <v>3980.8375709951283</v>
      </c>
      <c r="BF287" s="692">
        <v>3928.5278408477707</v>
      </c>
      <c r="BG287" s="692">
        <v>3928.5278408477707</v>
      </c>
      <c r="BH287" s="692">
        <v>34539.013872803756</v>
      </c>
      <c r="BI287" s="692">
        <v>34539.013872803756</v>
      </c>
      <c r="BJ287" s="692">
        <v>5020.1114327558034</v>
      </c>
      <c r="BK287" s="692">
        <v>5020.1114327558034</v>
      </c>
      <c r="BL287" s="692">
        <v>1695.6678497204084</v>
      </c>
      <c r="BM287" s="692">
        <v>3221.8019833205281</v>
      </c>
      <c r="BN287" s="692">
        <v>1535.3667413899848</v>
      </c>
      <c r="BO287" s="692">
        <v>6452.8365744309212</v>
      </c>
      <c r="BP287" s="692">
        <v>186086.12712503818</v>
      </c>
      <c r="BQ287" s="692">
        <v>0</v>
      </c>
      <c r="BR287" s="692">
        <v>0</v>
      </c>
      <c r="BS287" s="692">
        <v>11475.754658714084</v>
      </c>
      <c r="BT287" s="692">
        <v>11475.754658714084</v>
      </c>
      <c r="BU287" s="692">
        <v>33363.779368718446</v>
      </c>
      <c r="BV287" s="692">
        <v>1556.2596957346921</v>
      </c>
      <c r="BW287" s="692">
        <v>34920.039064453144</v>
      </c>
      <c r="BX287" s="692">
        <v>12772.827568174269</v>
      </c>
      <c r="BY287" s="692">
        <v>1036.0959252511934</v>
      </c>
      <c r="BZ287" s="692">
        <v>8408.4750408016844</v>
      </c>
      <c r="CA287" s="692">
        <v>22217.398534227148</v>
      </c>
      <c r="CB287" s="692">
        <v>31735.24131312489</v>
      </c>
      <c r="CC287" s="692">
        <v>31735.24131312489</v>
      </c>
      <c r="CD287" s="692">
        <v>16226.583541161614</v>
      </c>
      <c r="CE287" s="692">
        <v>4986.6331806985536</v>
      </c>
      <c r="CF287" s="692">
        <v>1676.3774819869632</v>
      </c>
      <c r="CG287" s="692">
        <v>22889.594203847133</v>
      </c>
      <c r="CH287" s="692">
        <v>123238.0277743664</v>
      </c>
      <c r="CI287" s="692">
        <v>0</v>
      </c>
      <c r="CJ287" s="692">
        <v>0</v>
      </c>
      <c r="CK287" s="692">
        <v>15435.058523172749</v>
      </c>
      <c r="CL287" s="692">
        <v>13457.170320732861</v>
      </c>
      <c r="CM287" s="692">
        <v>28892.231171157542</v>
      </c>
      <c r="CN287" s="692">
        <v>10997.860917165253</v>
      </c>
      <c r="CO287" s="692">
        <v>10997.860917165253</v>
      </c>
      <c r="CP287" s="692">
        <v>2103.4259437083242</v>
      </c>
      <c r="CQ287" s="692">
        <v>2103.4259437083242</v>
      </c>
      <c r="CR287" s="692">
        <v>6105.7470469840446</v>
      </c>
      <c r="CS287" s="692">
        <v>6105.7470469840446</v>
      </c>
      <c r="CT287" s="692" t="e">
        <v>#DIV/0!</v>
      </c>
      <c r="CU287" s="692">
        <v>4.0944966632488367E-2</v>
      </c>
      <c r="CV287" s="692">
        <v>8712.0473800056734</v>
      </c>
      <c r="CW287" s="692">
        <v>8712.0473800056734</v>
      </c>
      <c r="CX287" s="692">
        <v>56811.353403987465</v>
      </c>
    </row>
    <row r="288" spans="2:102">
      <c r="F288" s="185" t="s">
        <v>1476</v>
      </c>
      <c r="G288" s="709">
        <v>0.1</v>
      </c>
    </row>
    <row r="290" spans="6:45">
      <c r="F290" s="185" t="s">
        <v>1477</v>
      </c>
    </row>
    <row r="291" spans="6:45">
      <c r="F291" s="185" t="s">
        <v>1478</v>
      </c>
      <c r="H291" s="214">
        <v>8122.9874997962788</v>
      </c>
      <c r="I291" s="214">
        <v>8028.7539024652333</v>
      </c>
      <c r="J291" s="214">
        <v>7253.3885344313221</v>
      </c>
      <c r="K291" s="214">
        <v>6704.4911795463495</v>
      </c>
      <c r="L291" s="214">
        <v>7546.4289392628616</v>
      </c>
      <c r="M291" s="214">
        <v>8010.9286364966774</v>
      </c>
      <c r="N291" s="214">
        <v>8852.0611971249273</v>
      </c>
      <c r="O291" s="214">
        <v>8694.9812196225284</v>
      </c>
      <c r="P291" s="214">
        <v>7984.9769802551291</v>
      </c>
      <c r="Q291" s="214">
        <v>-561.39392878912577</v>
      </c>
      <c r="R291" s="214">
        <v>-423.77271899300388</v>
      </c>
      <c r="S291" s="214">
        <v>3100.3759882032423</v>
      </c>
      <c r="T291" s="214">
        <v>4508.014510371916</v>
      </c>
      <c r="U291" s="214">
        <v>5633.9682936899017</v>
      </c>
      <c r="V291" s="214">
        <v>6767.8225950518445</v>
      </c>
      <c r="W291" s="214">
        <v>7721.5319720344005</v>
      </c>
      <c r="X291" s="214">
        <v>5579.3554300793367</v>
      </c>
      <c r="Y291" s="214">
        <v>11755.056807701161</v>
      </c>
      <c r="Z291" s="214">
        <v>7679.9274348825456</v>
      </c>
      <c r="AA291" s="214">
        <v>5810.7697050523529</v>
      </c>
      <c r="AB291" s="214">
        <v>8020.4589089349711</v>
      </c>
      <c r="AC291" s="214" t="e">
        <v>#DIV/0!</v>
      </c>
      <c r="AD291" s="214">
        <v>6197.7067035063556</v>
      </c>
      <c r="AE291" s="214">
        <v>5707.7289927661204</v>
      </c>
      <c r="AF291" s="214">
        <v>5029.5875993410173</v>
      </c>
      <c r="AG291" s="214">
        <v>4749.3627230583597</v>
      </c>
      <c r="AH291" s="214">
        <v>5044.6292235039764</v>
      </c>
      <c r="AI291" s="214">
        <v>6894.3947445177992</v>
      </c>
      <c r="AJ291" s="214">
        <v>5387.0790150553839</v>
      </c>
      <c r="AK291" s="214">
        <v>5694.3440470457981</v>
      </c>
      <c r="AL291" s="214">
        <v>4979.3741110921128</v>
      </c>
      <c r="AM291" s="214">
        <v>6407.7123773604326</v>
      </c>
      <c r="AN291" s="214">
        <v>6245.1731624758067</v>
      </c>
      <c r="AO291" s="214">
        <v>6390.3614733788154</v>
      </c>
      <c r="AP291" s="214">
        <v>8394.0580792646469</v>
      </c>
      <c r="AQ291" s="214">
        <v>8394.0580792646469</v>
      </c>
      <c r="AR291" s="214">
        <v>6543.3087244956478</v>
      </c>
      <c r="AS291" s="214" t="e">
        <v>#DIV/0!</v>
      </c>
    </row>
    <row r="294" spans="6:45">
      <c r="F294" s="185" t="s">
        <v>1479</v>
      </c>
      <c r="P294" s="710">
        <v>0.25488955853809503</v>
      </c>
      <c r="Q294" s="710">
        <v>0.82534008023633709</v>
      </c>
      <c r="R294" s="710">
        <v>0.55426370860613972</v>
      </c>
      <c r="S294" s="710">
        <v>-1.6759363210766303</v>
      </c>
      <c r="T294" s="710">
        <v>0.46781638147005022</v>
      </c>
      <c r="U294" s="710">
        <v>0.74468045612331157</v>
      </c>
      <c r="V294" s="710">
        <v>0.52326812069714523</v>
      </c>
      <c r="W294" s="710">
        <v>-2.6096938517216617E-2</v>
      </c>
      <c r="X294" s="710">
        <v>0.55657871443506912</v>
      </c>
      <c r="Y294" s="710">
        <v>-0.38990978488474426</v>
      </c>
      <c r="Z294" s="710">
        <v>0.65521328743470342</v>
      </c>
      <c r="AA294" s="710">
        <v>0.3751285928881869</v>
      </c>
      <c r="AB294" s="710">
        <v>-9.3380207513017455E-3</v>
      </c>
      <c r="AC294" s="710">
        <v>-2</v>
      </c>
      <c r="AD294" s="710">
        <v>0.21109841337330049</v>
      </c>
      <c r="AE294" s="710">
        <v>0.5605934681562259</v>
      </c>
      <c r="AF294" s="710">
        <v>0.47907865023536678</v>
      </c>
      <c r="AG294" s="710">
        <v>0.44582047129261548</v>
      </c>
      <c r="AH294" s="710">
        <v>-0.17518155003598257</v>
      </c>
      <c r="AI294" s="710">
        <v>1.1586525185158312</v>
      </c>
      <c r="AJ294" s="710">
        <v>-0.46049768512025724</v>
      </c>
      <c r="AK294" s="710">
        <v>-0.29872014627538912</v>
      </c>
      <c r="AL294" s="710">
        <v>0.42705046539198621</v>
      </c>
      <c r="AM294" s="710">
        <v>0.69265243762701556</v>
      </c>
      <c r="AN294" s="710">
        <v>0.20515111812804054</v>
      </c>
      <c r="AO294" s="710">
        <v>0.6566604995150922</v>
      </c>
      <c r="AP294" s="710">
        <v>-4.8496924450309842E-2</v>
      </c>
      <c r="AQ294" s="710">
        <v>-4.8496924450309842E-2</v>
      </c>
      <c r="AR294" s="710">
        <v>0.4361446586314881</v>
      </c>
    </row>
  </sheetData>
  <conditionalFormatting sqref="A210:C210 E210:XFD210">
    <cfRule type="cellIs" dxfId="156" priority="121" operator="greaterThan">
      <formula>40</formula>
    </cfRule>
  </conditionalFormatting>
  <conditionalFormatting sqref="B181:C181 A182:C184 C186:C189 A187:A189">
    <cfRule type="cellIs" dxfId="155" priority="122" operator="lessThan">
      <formula>1</formula>
    </cfRule>
  </conditionalFormatting>
  <conditionalFormatting sqref="B26:D30">
    <cfRule type="cellIs" dxfId="154" priority="104" operator="equal">
      <formula>0</formula>
    </cfRule>
  </conditionalFormatting>
  <conditionalFormatting sqref="B33:G35">
    <cfRule type="cellIs" dxfId="153" priority="105" operator="equal">
      <formula>0</formula>
    </cfRule>
  </conditionalFormatting>
  <conditionalFormatting sqref="D17:D21">
    <cfRule type="cellIs" dxfId="152" priority="108" operator="equal">
      <formula>0</formula>
    </cfRule>
  </conditionalFormatting>
  <conditionalFormatting sqref="D172:D175 E181:XFD184 E186:XFD189">
    <cfRule type="cellIs" dxfId="151" priority="110" operator="lessThan">
      <formula>1</formula>
    </cfRule>
  </conditionalFormatting>
  <conditionalFormatting sqref="D177:D180">
    <cfRule type="cellIs" dxfId="150" priority="106" operator="lessThan">
      <formula>1</formula>
    </cfRule>
  </conditionalFormatting>
  <conditionalFormatting sqref="D190:D191">
    <cfRule type="cellIs" dxfId="149" priority="111" operator="equal">
      <formula>0</formula>
    </cfRule>
  </conditionalFormatting>
  <conditionalFormatting sqref="D196:D263">
    <cfRule type="cellIs" dxfId="148" priority="107" operator="equal">
      <formula>0</formula>
    </cfRule>
  </conditionalFormatting>
  <conditionalFormatting sqref="D201">
    <cfRule type="cellIs" dxfId="147" priority="109" operator="greaterThan">
      <formula>40</formula>
    </cfRule>
  </conditionalFormatting>
  <conditionalFormatting sqref="E218:F225">
    <cfRule type="cellIs" dxfId="146" priority="123" operator="equal">
      <formula>0</formula>
    </cfRule>
  </conditionalFormatting>
  <conditionalFormatting sqref="E276:F276">
    <cfRule type="cellIs" dxfId="145" priority="103" operator="equal">
      <formula>0</formula>
    </cfRule>
  </conditionalFormatting>
  <conditionalFormatting sqref="E28:G30 G36 G38 H62:S63 G199:I201 J199:K217 L201:O201 H202:I210 E211:I217">
    <cfRule type="cellIs" dxfId="144" priority="112" operator="equal">
      <formula>0</formula>
    </cfRule>
  </conditionalFormatting>
  <conditionalFormatting sqref="H50:AR50 BS50:CI50 CK50:CY50 H61:AR61 BS61:CI61 CK61:CY61 H64:AR64 BS64:CI64 CK64:CY64">
    <cfRule type="cellIs" dxfId="143" priority="120" operator="lessThan">
      <formula>0</formula>
    </cfRule>
  </conditionalFormatting>
  <conditionalFormatting sqref="H194:AR194">
    <cfRule type="expression" dxfId="142" priority="114">
      <formula>H$194&lt;H$181</formula>
    </cfRule>
    <cfRule type="expression" dxfId="141" priority="115">
      <formula>AND(H$194&gt;=H$181,H$194&lt;H$182)</formula>
    </cfRule>
    <cfRule type="expression" dxfId="140" priority="116">
      <formula>AND(H$194&gt;=H$182,H$194&lt;H$183)</formula>
    </cfRule>
    <cfRule type="expression" dxfId="139" priority="117">
      <formula>AND(H$194&gt;=H$183,H$194&lt;=H$184)</formula>
    </cfRule>
    <cfRule type="expression" dxfId="138" priority="118">
      <formula>H$194&gt;H$184</formula>
    </cfRule>
  </conditionalFormatting>
  <conditionalFormatting sqref="H217:AR217">
    <cfRule type="iconSet" priority="126">
      <iconSet iconSet="3Symbols">
        <cfvo type="percent" val="0"/>
        <cfvo type="num" val="1"/>
        <cfvo type="num" val="1000"/>
      </iconSet>
    </cfRule>
    <cfRule type="iconSet" priority="127">
      <iconSet iconSet="3Symbols">
        <cfvo type="percent" val="0"/>
        <cfvo type="num" val="1"/>
        <cfvo type="num" val="1000"/>
      </iconSet>
    </cfRule>
  </conditionalFormatting>
  <conditionalFormatting sqref="H276:AR276">
    <cfRule type="cellIs" dxfId="137" priority="101" operator="equal">
      <formula>0</formula>
    </cfRule>
  </conditionalFormatting>
  <conditionalFormatting sqref="H23:AS49 H51:AR60 T62:AS62 T63:AR63 H65:AR109 H111:AR124 H126:AR140 H142:AR156 H158:AR172 H174:AR180 L199:AR200 AT199:XFD200 L202:AR217 A205:C264 AT205:XFD264 H224:AR264 E226:G264 AS235:AS264 A280:C283 E280:XFD283">
    <cfRule type="cellIs" dxfId="136" priority="100" operator="equal">
      <formula>0</formula>
    </cfRule>
  </conditionalFormatting>
  <conditionalFormatting sqref="H233:AS233">
    <cfRule type="iconSet" priority="128">
      <iconSet iconSet="3Symbols">
        <cfvo type="percent" val="0"/>
        <cfvo type="num" val="1"/>
        <cfvo type="num" val="1000"/>
      </iconSet>
    </cfRule>
  </conditionalFormatting>
  <conditionalFormatting sqref="P266:P268">
    <cfRule type="cellIs" dxfId="135" priority="102" operator="equal">
      <formula>0</formula>
    </cfRule>
  </conditionalFormatting>
  <conditionalFormatting sqref="T266:T268">
    <cfRule type="cellIs" dxfId="134" priority="99" operator="equal">
      <formula>0</formula>
    </cfRule>
  </conditionalFormatting>
  <conditionalFormatting sqref="AE266:AE268">
    <cfRule type="cellIs" dxfId="133" priority="98" operator="equal">
      <formula>0</formula>
    </cfRule>
  </conditionalFormatting>
  <conditionalFormatting sqref="AL266:AL268">
    <cfRule type="cellIs" dxfId="132" priority="97" operator="equal">
      <formula>0</formula>
    </cfRule>
  </conditionalFormatting>
  <conditionalFormatting sqref="AO266:AO268">
    <cfRule type="cellIs" dxfId="131" priority="96" operator="equal">
      <formula>0</formula>
    </cfRule>
  </conditionalFormatting>
  <conditionalFormatting sqref="AQ266:AR268">
    <cfRule type="cellIs" dxfId="130" priority="7" operator="equal">
      <formula>0</formula>
    </cfRule>
  </conditionalFormatting>
  <conditionalFormatting sqref="AR223">
    <cfRule type="cellIs" dxfId="129" priority="119" operator="equal">
      <formula>0</formula>
    </cfRule>
  </conditionalFormatting>
  <conditionalFormatting sqref="AS50:AS61 A199:C200 E199:F200">
    <cfRule type="cellIs" dxfId="128" priority="125" operator="equal">
      <formula>0</formula>
    </cfRule>
  </conditionalFormatting>
  <conditionalFormatting sqref="AS63:AS200 E26:E27">
    <cfRule type="cellIs" dxfId="127" priority="113" operator="equal">
      <formula>0</formula>
    </cfRule>
  </conditionalFormatting>
  <conditionalFormatting sqref="AT28:AT30 CJ28:CJ30 CZ28:XFD30 AT33:AT35 CJ33:CJ35 CZ33:XFD35 BR36:BR38 BR41:BR43 E205:F210">
    <cfRule type="cellIs" dxfId="126" priority="124" operator="equal">
      <formula>0</formula>
    </cfRule>
  </conditionalFormatting>
  <conditionalFormatting sqref="AU36:AZ36">
    <cfRule type="cellIs" dxfId="125" priority="87" operator="equal">
      <formula>0</formula>
    </cfRule>
  </conditionalFormatting>
  <conditionalFormatting sqref="AU37:AZ38 AU40:BQ49">
    <cfRule type="cellIs" dxfId="124" priority="91" operator="equal">
      <formula>0</formula>
    </cfRule>
  </conditionalFormatting>
  <conditionalFormatting sqref="AU39:AZ39">
    <cfRule type="cellIs" dxfId="123" priority="58" operator="equal">
      <formula>0</formula>
    </cfRule>
  </conditionalFormatting>
  <conditionalFormatting sqref="AU276:BP276">
    <cfRule type="cellIs" dxfId="122" priority="6" operator="equal">
      <formula>0</formula>
    </cfRule>
  </conditionalFormatting>
  <conditionalFormatting sqref="AU23:BQ35">
    <cfRule type="cellIs" dxfId="121" priority="9" operator="equal">
      <formula>0</formula>
    </cfRule>
  </conditionalFormatting>
  <conditionalFormatting sqref="AU50:BQ50 AU61:BQ61 AU64:BQ64">
    <cfRule type="cellIs" dxfId="120" priority="93" operator="lessThan">
      <formula>0</formula>
    </cfRule>
  </conditionalFormatting>
  <conditionalFormatting sqref="AU51:BQ60">
    <cfRule type="cellIs" dxfId="119" priority="89" operator="equal">
      <formula>0</formula>
    </cfRule>
  </conditionalFormatting>
  <conditionalFormatting sqref="AU62:BQ63">
    <cfRule type="cellIs" dxfId="118" priority="92" operator="equal">
      <formula>0</formula>
    </cfRule>
  </conditionalFormatting>
  <conditionalFormatting sqref="AU65:BQ95">
    <cfRule type="cellIs" dxfId="117" priority="88" operator="equal">
      <formula>0</formula>
    </cfRule>
  </conditionalFormatting>
  <conditionalFormatting sqref="BA36 BC36 BE36 BG36 BI36 BK36 BO36:BQ36 BA37:BQ37 BA38:BA39 BC38:BC39 BE38:BE39 BG38:BG39 BI38:BI39 BK38:BK39 BO38:BQ39">
    <cfRule type="cellIs" dxfId="116" priority="94" operator="equal">
      <formula>0</formula>
    </cfRule>
  </conditionalFormatting>
  <conditionalFormatting sqref="BA266:BA268">
    <cfRule type="cellIs" dxfId="115" priority="90" operator="equal">
      <formula>0</formula>
    </cfRule>
  </conditionalFormatting>
  <conditionalFormatting sqref="BB36">
    <cfRule type="cellIs" dxfId="114" priority="80" operator="equal">
      <formula>0</formula>
    </cfRule>
  </conditionalFormatting>
  <conditionalFormatting sqref="BB38">
    <cfRule type="cellIs" dxfId="113" priority="78" operator="equal">
      <formula>0</formula>
    </cfRule>
  </conditionalFormatting>
  <conditionalFormatting sqref="BB39">
    <cfRule type="cellIs" dxfId="112" priority="57" operator="equal">
      <formula>0</formula>
    </cfRule>
  </conditionalFormatting>
  <conditionalFormatting sqref="BC266:BC268">
    <cfRule type="cellIs" dxfId="111" priority="86" operator="equal">
      <formula>0</formula>
    </cfRule>
  </conditionalFormatting>
  <conditionalFormatting sqref="BD36">
    <cfRule type="cellIs" dxfId="110" priority="72" operator="equal">
      <formula>0</formula>
    </cfRule>
  </conditionalFormatting>
  <conditionalFormatting sqref="BD38">
    <cfRule type="cellIs" dxfId="109" priority="77" operator="equal">
      <formula>0</formula>
    </cfRule>
  </conditionalFormatting>
  <conditionalFormatting sqref="BD39 BF39 BH39 BJ39">
    <cfRule type="cellIs" dxfId="108" priority="56" operator="equal">
      <formula>0</formula>
    </cfRule>
  </conditionalFormatting>
  <conditionalFormatting sqref="BE266:BE268">
    <cfRule type="cellIs" dxfId="107" priority="85" operator="equal">
      <formula>0</formula>
    </cfRule>
  </conditionalFormatting>
  <conditionalFormatting sqref="BF36">
    <cfRule type="cellIs" dxfId="106" priority="71" operator="equal">
      <formula>0</formula>
    </cfRule>
  </conditionalFormatting>
  <conditionalFormatting sqref="BF38">
    <cfRule type="cellIs" dxfId="105" priority="76" operator="equal">
      <formula>0</formula>
    </cfRule>
  </conditionalFormatting>
  <conditionalFormatting sqref="BG266:BG268">
    <cfRule type="cellIs" dxfId="104" priority="84" operator="equal">
      <formula>0</formula>
    </cfRule>
  </conditionalFormatting>
  <conditionalFormatting sqref="BH36">
    <cfRule type="cellIs" dxfId="103" priority="70" operator="equal">
      <formula>0</formula>
    </cfRule>
  </conditionalFormatting>
  <conditionalFormatting sqref="BH38">
    <cfRule type="cellIs" dxfId="102" priority="75" operator="equal">
      <formula>0</formula>
    </cfRule>
  </conditionalFormatting>
  <conditionalFormatting sqref="BI266:BI268">
    <cfRule type="cellIs" dxfId="101" priority="83" operator="equal">
      <formula>0</formula>
    </cfRule>
  </conditionalFormatting>
  <conditionalFormatting sqref="BJ36">
    <cfRule type="cellIs" dxfId="100" priority="69" operator="equal">
      <formula>0</formula>
    </cfRule>
  </conditionalFormatting>
  <conditionalFormatting sqref="BJ38">
    <cfRule type="cellIs" dxfId="99" priority="74" operator="equal">
      <formula>0</formula>
    </cfRule>
  </conditionalFormatting>
  <conditionalFormatting sqref="BK266:BK268">
    <cfRule type="cellIs" dxfId="98" priority="82" operator="equal">
      <formula>0</formula>
    </cfRule>
  </conditionalFormatting>
  <conditionalFormatting sqref="BL33:BN33">
    <cfRule type="cellIs" dxfId="97" priority="81" operator="equal">
      <formula>0</formula>
    </cfRule>
  </conditionalFormatting>
  <conditionalFormatting sqref="BL36:BN36">
    <cfRule type="cellIs" dxfId="96" priority="79" operator="equal">
      <formula>0</formula>
    </cfRule>
  </conditionalFormatting>
  <conditionalFormatting sqref="BL38:BN38">
    <cfRule type="cellIs" dxfId="95" priority="73" operator="equal">
      <formula>0</formula>
    </cfRule>
  </conditionalFormatting>
  <conditionalFormatting sqref="BL39:BN39">
    <cfRule type="cellIs" dxfId="94" priority="54" operator="equal">
      <formula>0</formula>
    </cfRule>
  </conditionalFormatting>
  <conditionalFormatting sqref="BO266:BP268">
    <cfRule type="cellIs" dxfId="93" priority="5" operator="equal">
      <formula>0</formula>
    </cfRule>
  </conditionalFormatting>
  <conditionalFormatting sqref="BS29:BS35">
    <cfRule type="cellIs" dxfId="92" priority="11" operator="equal">
      <formula>0</formula>
    </cfRule>
  </conditionalFormatting>
  <conditionalFormatting sqref="BS36">
    <cfRule type="cellIs" dxfId="91" priority="50" operator="equal">
      <formula>0</formula>
    </cfRule>
  </conditionalFormatting>
  <conditionalFormatting sqref="BS37:BS38">
    <cfRule type="cellIs" dxfId="90" priority="51" operator="equal">
      <formula>0</formula>
    </cfRule>
  </conditionalFormatting>
  <conditionalFormatting sqref="BS39 BU39:BV39">
    <cfRule type="cellIs" dxfId="89" priority="55" operator="equal">
      <formula>0</formula>
    </cfRule>
  </conditionalFormatting>
  <conditionalFormatting sqref="BS51:BS59">
    <cfRule type="cellIs" dxfId="88" priority="26" operator="equal">
      <formula>0</formula>
    </cfRule>
  </conditionalFormatting>
  <conditionalFormatting sqref="BS276:CH276">
    <cfRule type="cellIs" dxfId="87" priority="4" operator="equal">
      <formula>0</formula>
    </cfRule>
  </conditionalFormatting>
  <conditionalFormatting sqref="BS23:CI28 BS60:CA60">
    <cfRule type="cellIs" dxfId="86" priority="68" operator="equal">
      <formula>0</formula>
    </cfRule>
  </conditionalFormatting>
  <conditionalFormatting sqref="BS40:CI49">
    <cfRule type="cellIs" dxfId="85" priority="28" operator="equal">
      <formula>0</formula>
    </cfRule>
  </conditionalFormatting>
  <conditionalFormatting sqref="BS62:CI63 BS65:CI95">
    <cfRule type="cellIs" dxfId="84" priority="24" operator="equal">
      <formula>0</formula>
    </cfRule>
  </conditionalFormatting>
  <conditionalFormatting sqref="BT33:BT39 BW33:BW39 CA33:CA39 CC33:CC39 CG33:CI39 CM33:CM39 CO33:CO39 CQ33:CQ39 CS33:CS39 CU33:CU39 CW33:CY39 BT51:CI53">
    <cfRule type="cellIs" dxfId="83" priority="95" operator="equal">
      <formula>0</formula>
    </cfRule>
  </conditionalFormatting>
  <conditionalFormatting sqref="BT266:BT268">
    <cfRule type="cellIs" dxfId="82" priority="20" operator="equal">
      <formula>0</formula>
    </cfRule>
  </conditionalFormatting>
  <conditionalFormatting sqref="BT54:CA59">
    <cfRule type="cellIs" dxfId="81" priority="25" operator="equal">
      <formula>0</formula>
    </cfRule>
  </conditionalFormatting>
  <conditionalFormatting sqref="BT29:CI32">
    <cfRule type="cellIs" dxfId="80" priority="8" operator="equal">
      <formula>0</formula>
    </cfRule>
  </conditionalFormatting>
  <conditionalFormatting sqref="BU33:BV35">
    <cfRule type="cellIs" dxfId="79" priority="64" operator="equal">
      <formula>0</formula>
    </cfRule>
  </conditionalFormatting>
  <conditionalFormatting sqref="BU36:BV36">
    <cfRule type="cellIs" dxfId="78" priority="63" operator="equal">
      <formula>0</formula>
    </cfRule>
  </conditionalFormatting>
  <conditionalFormatting sqref="BU37:BV38">
    <cfRule type="cellIs" dxfId="77" priority="62" operator="equal">
      <formula>0</formula>
    </cfRule>
  </conditionalFormatting>
  <conditionalFormatting sqref="BW266:BW268">
    <cfRule type="cellIs" dxfId="76" priority="19" operator="equal">
      <formula>0</formula>
    </cfRule>
  </conditionalFormatting>
  <conditionalFormatting sqref="BX33:BZ35">
    <cfRule type="cellIs" dxfId="75" priority="67" operator="equal">
      <formula>0</formula>
    </cfRule>
  </conditionalFormatting>
  <conditionalFormatting sqref="BX36:BZ36">
    <cfRule type="cellIs" dxfId="74" priority="66" operator="equal">
      <formula>0</formula>
    </cfRule>
  </conditionalFormatting>
  <conditionalFormatting sqref="BX37:BZ38">
    <cfRule type="cellIs" dxfId="73" priority="65" operator="equal">
      <formula>0</formula>
    </cfRule>
  </conditionalFormatting>
  <conditionalFormatting sqref="BX39:BZ39 CB39 CD39:CF39">
    <cfRule type="cellIs" dxfId="72" priority="53" operator="equal">
      <formula>0</formula>
    </cfRule>
  </conditionalFormatting>
  <conditionalFormatting sqref="CA266:CA268">
    <cfRule type="cellIs" dxfId="71" priority="18" operator="equal">
      <formula>0</formula>
    </cfRule>
  </conditionalFormatting>
  <conditionalFormatting sqref="CB33:CB35">
    <cfRule type="cellIs" dxfId="70" priority="49" operator="equal">
      <formula>0</formula>
    </cfRule>
  </conditionalFormatting>
  <conditionalFormatting sqref="CB36">
    <cfRule type="cellIs" dxfId="69" priority="47" operator="equal">
      <formula>0</formula>
    </cfRule>
  </conditionalFormatting>
  <conditionalFormatting sqref="CB37:CB38">
    <cfRule type="cellIs" dxfId="68" priority="48" operator="equal">
      <formula>0</formula>
    </cfRule>
  </conditionalFormatting>
  <conditionalFormatting sqref="CB54:CI60">
    <cfRule type="cellIs" dxfId="67" priority="23" operator="equal">
      <formula>0</formula>
    </cfRule>
  </conditionalFormatting>
  <conditionalFormatting sqref="CC266:CC268">
    <cfRule type="cellIs" dxfId="66" priority="17" operator="equal">
      <formula>0</formula>
    </cfRule>
  </conditionalFormatting>
  <conditionalFormatting sqref="CD33:CF35">
    <cfRule type="cellIs" dxfId="65" priority="61" operator="equal">
      <formula>0</formula>
    </cfRule>
  </conditionalFormatting>
  <conditionalFormatting sqref="CD36:CF36">
    <cfRule type="cellIs" dxfId="64" priority="60" operator="equal">
      <formula>0</formula>
    </cfRule>
  </conditionalFormatting>
  <conditionalFormatting sqref="CD37:CF38">
    <cfRule type="cellIs" dxfId="63" priority="59" operator="equal">
      <formula>0</formula>
    </cfRule>
  </conditionalFormatting>
  <conditionalFormatting sqref="CG266:CH268">
    <cfRule type="cellIs" dxfId="62" priority="3" operator="equal">
      <formula>0</formula>
    </cfRule>
  </conditionalFormatting>
  <conditionalFormatting sqref="CK33:CL35">
    <cfRule type="cellIs" dxfId="61" priority="46" operator="equal">
      <formula>0</formula>
    </cfRule>
  </conditionalFormatting>
  <conditionalFormatting sqref="CK36:CL36">
    <cfRule type="cellIs" dxfId="60" priority="45" operator="equal">
      <formula>0</formula>
    </cfRule>
  </conditionalFormatting>
  <conditionalFormatting sqref="CK37:CL38">
    <cfRule type="cellIs" dxfId="59" priority="44" operator="equal">
      <formula>0</formula>
    </cfRule>
  </conditionalFormatting>
  <conditionalFormatting sqref="CK39:CL39 CN39 CP39 CR39 CT39 CV39">
    <cfRule type="cellIs" dxfId="58" priority="52" operator="equal">
      <formula>0</formula>
    </cfRule>
  </conditionalFormatting>
  <conditionalFormatting sqref="CK276:CX276">
    <cfRule type="cellIs" dxfId="57" priority="2" operator="equal">
      <formula>0</formula>
    </cfRule>
  </conditionalFormatting>
  <conditionalFormatting sqref="CK23:CY32">
    <cfRule type="cellIs" dxfId="56" priority="10" operator="equal">
      <formula>0</formula>
    </cfRule>
  </conditionalFormatting>
  <conditionalFormatting sqref="CK40:CY49">
    <cfRule type="cellIs" dxfId="55" priority="27" operator="equal">
      <formula>0</formula>
    </cfRule>
  </conditionalFormatting>
  <conditionalFormatting sqref="CK51:CY60">
    <cfRule type="cellIs" dxfId="54" priority="21" operator="equal">
      <formula>0</formula>
    </cfRule>
  </conditionalFormatting>
  <conditionalFormatting sqref="CK62:CY63 CK65:CY95">
    <cfRule type="cellIs" dxfId="53" priority="22" operator="equal">
      <formula>0</formula>
    </cfRule>
  </conditionalFormatting>
  <conditionalFormatting sqref="CM266:CM268">
    <cfRule type="cellIs" dxfId="52" priority="16" operator="equal">
      <formula>0</formula>
    </cfRule>
  </conditionalFormatting>
  <conditionalFormatting sqref="CN33:CN35">
    <cfRule type="cellIs" dxfId="51" priority="43" operator="equal">
      <formula>0</formula>
    </cfRule>
  </conditionalFormatting>
  <conditionalFormatting sqref="CN36">
    <cfRule type="cellIs" dxfId="50" priority="41" operator="equal">
      <formula>0</formula>
    </cfRule>
  </conditionalFormatting>
  <conditionalFormatting sqref="CN37:CN38">
    <cfRule type="cellIs" dxfId="49" priority="42" operator="equal">
      <formula>0</formula>
    </cfRule>
  </conditionalFormatting>
  <conditionalFormatting sqref="CO266:CO268">
    <cfRule type="cellIs" dxfId="48" priority="15" operator="equal">
      <formula>0</formula>
    </cfRule>
  </conditionalFormatting>
  <conditionalFormatting sqref="CP33:CP35">
    <cfRule type="cellIs" dxfId="47" priority="40" operator="equal">
      <formula>0</formula>
    </cfRule>
  </conditionalFormatting>
  <conditionalFormatting sqref="CP36">
    <cfRule type="cellIs" dxfId="46" priority="38" operator="equal">
      <formula>0</formula>
    </cfRule>
  </conditionalFormatting>
  <conditionalFormatting sqref="CP37:CP38">
    <cfRule type="cellIs" dxfId="45" priority="39" operator="equal">
      <formula>0</formula>
    </cfRule>
  </conditionalFormatting>
  <conditionalFormatting sqref="CQ266:CQ268">
    <cfRule type="cellIs" dxfId="44" priority="14" operator="equal">
      <formula>0</formula>
    </cfRule>
  </conditionalFormatting>
  <conditionalFormatting sqref="CR33:CR35">
    <cfRule type="cellIs" dxfId="43" priority="37" operator="equal">
      <formula>0</formula>
    </cfRule>
  </conditionalFormatting>
  <conditionalFormatting sqref="CR36">
    <cfRule type="cellIs" dxfId="42" priority="35" operator="equal">
      <formula>0</formula>
    </cfRule>
  </conditionalFormatting>
  <conditionalFormatting sqref="CR37:CR38">
    <cfRule type="cellIs" dxfId="41" priority="36" operator="equal">
      <formula>0</formula>
    </cfRule>
  </conditionalFormatting>
  <conditionalFormatting sqref="CS266:CS268">
    <cfRule type="cellIs" dxfId="40" priority="13" operator="equal">
      <formula>0</formula>
    </cfRule>
  </conditionalFormatting>
  <conditionalFormatting sqref="CT33:CT35">
    <cfRule type="cellIs" dxfId="39" priority="34" operator="equal">
      <formula>0</formula>
    </cfRule>
  </conditionalFormatting>
  <conditionalFormatting sqref="CT36">
    <cfRule type="cellIs" dxfId="38" priority="32" operator="equal">
      <formula>0</formula>
    </cfRule>
  </conditionalFormatting>
  <conditionalFormatting sqref="CT37:CT38">
    <cfRule type="cellIs" dxfId="37" priority="33" operator="equal">
      <formula>0</formula>
    </cfRule>
  </conditionalFormatting>
  <conditionalFormatting sqref="CU266:CU268">
    <cfRule type="cellIs" dxfId="36" priority="12" operator="equal">
      <formula>0</formula>
    </cfRule>
  </conditionalFormatting>
  <conditionalFormatting sqref="CV33:CV35">
    <cfRule type="cellIs" dxfId="35" priority="31" operator="equal">
      <formula>0</formula>
    </cfRule>
  </conditionalFormatting>
  <conditionalFormatting sqref="CV36">
    <cfRule type="cellIs" dxfId="34" priority="29" operator="equal">
      <formula>0</formula>
    </cfRule>
  </conditionalFormatting>
  <conditionalFormatting sqref="CV37:CV38">
    <cfRule type="cellIs" dxfId="33" priority="30" operator="equal">
      <formula>0</formula>
    </cfRule>
  </conditionalFormatting>
  <conditionalFormatting sqref="CW266:CX268">
    <cfRule type="cellIs" dxfId="32" priority="1" operator="equal">
      <formula>0</formula>
    </cfRule>
  </conditionalFormatting>
  <dataValidations count="1">
    <dataValidation type="list" allowBlank="1" showInputMessage="1" showErrorMessage="1" sqref="F216 F232 F195" xr:uid="{50DBC328-9340-43D8-96CB-F6286E90D033}">
      <formula1>$F$181:$F$194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B133C-3CFF-467B-9C82-39D13C20ACFA}">
  <sheetPr>
    <tabColor theme="6"/>
  </sheetPr>
  <dimension ref="A1:S65"/>
  <sheetViews>
    <sheetView showGridLines="0" workbookViewId="0">
      <pane ySplit="1" topLeftCell="A2" activePane="bottomLeft" state="frozen"/>
      <selection activeCell="CH9" sqref="CH9"/>
      <selection pane="bottomLeft" activeCell="CH9" sqref="CH9"/>
    </sheetView>
  </sheetViews>
  <sheetFormatPr defaultRowHeight="15"/>
  <cols>
    <col min="1" max="1" width="8.85546875" bestFit="1" customWidth="1"/>
    <col min="2" max="2" width="15.5703125" bestFit="1" customWidth="1"/>
    <col min="3" max="3" width="20.140625" bestFit="1" customWidth="1"/>
    <col min="4" max="4" width="12.42578125" bestFit="1" customWidth="1"/>
    <col min="5" max="5" width="20.5703125" bestFit="1" customWidth="1"/>
    <col min="6" max="6" width="27.42578125" bestFit="1" customWidth="1"/>
    <col min="7" max="7" width="19.140625" bestFit="1" customWidth="1"/>
    <col min="8" max="8" width="16.85546875" bestFit="1" customWidth="1"/>
    <col min="9" max="9" width="15.42578125" bestFit="1" customWidth="1"/>
    <col min="10" max="10" width="14.140625" bestFit="1" customWidth="1"/>
    <col min="11" max="11" width="13.140625" bestFit="1" customWidth="1"/>
    <col min="12" max="12" width="10.140625" bestFit="1" customWidth="1"/>
    <col min="13" max="13" width="10.140625" customWidth="1"/>
    <col min="14" max="14" width="24.5703125" bestFit="1" customWidth="1"/>
    <col min="15" max="15" width="13" bestFit="1" customWidth="1"/>
    <col min="16" max="16" width="19.85546875" bestFit="1" customWidth="1"/>
    <col min="17" max="19" width="13" customWidth="1"/>
  </cols>
  <sheetData>
    <row r="1" spans="1:19" ht="17.25" thickTop="1" thickBot="1">
      <c r="A1" s="723" t="s">
        <v>23</v>
      </c>
      <c r="B1" s="723" t="s">
        <v>24</v>
      </c>
      <c r="C1" s="723" t="s">
        <v>25</v>
      </c>
      <c r="D1" s="723" t="s">
        <v>26</v>
      </c>
      <c r="E1" s="724" t="s">
        <v>27</v>
      </c>
      <c r="F1" s="725" t="s">
        <v>28</v>
      </c>
      <c r="G1" s="726" t="s">
        <v>1332</v>
      </c>
      <c r="H1" s="724" t="s">
        <v>1330</v>
      </c>
      <c r="I1" s="724" t="s">
        <v>1333</v>
      </c>
      <c r="J1" s="725" t="s">
        <v>1334</v>
      </c>
      <c r="K1" s="720" t="s">
        <v>1329</v>
      </c>
      <c r="L1" s="721" t="s">
        <v>34</v>
      </c>
      <c r="M1" s="721" t="s">
        <v>1492</v>
      </c>
      <c r="N1" s="722" t="s">
        <v>1496</v>
      </c>
      <c r="O1" s="722" t="s">
        <v>1493</v>
      </c>
      <c r="P1" s="705" t="s">
        <v>35</v>
      </c>
      <c r="Q1" s="722" t="s">
        <v>1498</v>
      </c>
      <c r="R1" s="722" t="s">
        <v>1499</v>
      </c>
      <c r="S1" s="722" t="s">
        <v>1497</v>
      </c>
    </row>
    <row r="2" spans="1:19" ht="15.75" thickTop="1">
      <c r="A2" s="715" t="str">
        <f>'Rentabilidad x Cedi'!$AR$13</f>
        <v>Occidente</v>
      </c>
      <c r="B2" s="715" t="str">
        <f>'Rentabilidad x Cedi'!$P$13</f>
        <v>Favorita</v>
      </c>
      <c r="C2" s="715" t="str">
        <f>'Rentabilidad x Cedi'!H$14</f>
        <v>Cedi Tonalá</v>
      </c>
      <c r="D2" s="716">
        <f>IF('Rentabilidad x Cedi'!H20="","",'Rentabilidad x Cedi'!H20)</f>
        <v>37</v>
      </c>
      <c r="E2" s="716">
        <f>IF('Rentabilidad x Cedi'!H29="","",'Rentabilidad x Cedi'!H29)</f>
        <v>5209.0680785813829</v>
      </c>
      <c r="F2" s="716">
        <f>IF('Rentabilidad x Cedi'!H30="","",'Rentabilidad x Cedi'!H30)</f>
        <v>299.83091755343816</v>
      </c>
      <c r="G2" s="716">
        <f>IF('Rentabilidad x Cedi'!H31="","",'Rentabilidad x Cedi'!H31)</f>
        <v>5508.8989961348207</v>
      </c>
      <c r="H2" s="717">
        <f>IF('Rentabilidad x Cedi'!H33="","",'Rentabilidad x Cedi'!H33)</f>
        <v>0</v>
      </c>
      <c r="I2" s="717">
        <f>IF('Rentabilidad x Cedi'!H34="","",'Rentabilidad x Cedi'!H34)</f>
        <v>72985.018676793363</v>
      </c>
      <c r="J2" s="717">
        <f>IF('Rentabilidad x Cedi'!H35="","",'Rentabilidad x Cedi'!H35)</f>
        <v>38118.427143643581</v>
      </c>
      <c r="K2" s="717">
        <f>IF('Rentabilidad x Cedi'!H36="","",'Rentabilidad x Cedi'!H36)</f>
        <v>111103.44582043694</v>
      </c>
      <c r="L2" s="717">
        <f>IF('Rentabilidad x Cedi'!H38="","",'Rentabilidad x Cedi'!H38)</f>
        <v>110339.86983912137</v>
      </c>
      <c r="M2" s="717">
        <f>L2/D2</f>
        <v>2982.1586443005776</v>
      </c>
      <c r="N2" s="717">
        <f>IF('Rentabilidad x Cedi'!H276="","",'Rentabilidad x Cedi'!H276)</f>
        <v>57197.197784647178</v>
      </c>
      <c r="O2" s="717">
        <f t="shared" ref="O2:O33" si="0">N2/D2</f>
        <v>1545.8702103958697</v>
      </c>
      <c r="P2" s="718">
        <f t="shared" ref="P2:P33" si="1">IFERROR(IF(N2="","",N2/L2),"")</f>
        <v>0.51837289520136554</v>
      </c>
      <c r="Q2" s="717">
        <f>IFERROR('Rentabilidad x Cedi'!H78,"")</f>
        <v>11765.853320864873</v>
      </c>
      <c r="R2" s="718">
        <f>IFERROR('Rentabilidad x Cedi'!H79,"")</f>
        <v>0.10589998567533718</v>
      </c>
      <c r="S2" s="733">
        <f>IFERROR('Rentabilidad x Cedi'!H79,"")</f>
        <v>0.10589998567533718</v>
      </c>
    </row>
    <row r="3" spans="1:19">
      <c r="A3" s="715" t="str">
        <f>'Rentabilidad x Cedi'!$AR$13</f>
        <v>Occidente</v>
      </c>
      <c r="B3" s="715" t="str">
        <f>'Rentabilidad x Cedi'!$P$13</f>
        <v>Favorita</v>
      </c>
      <c r="C3" s="715" t="str">
        <f>'Rentabilidad x Cedi'!I$14</f>
        <v>Suc. Alamo</v>
      </c>
      <c r="D3" s="716">
        <f>IF('Rentabilidad x Cedi'!I20="","",'Rentabilidad x Cedi'!I20)</f>
        <v>14</v>
      </c>
      <c r="E3" s="716">
        <f>IF('Rentabilidad x Cedi'!I29="","",'Rentabilidad x Cedi'!I29)</f>
        <v>2026.4535846882575</v>
      </c>
      <c r="F3" s="716">
        <f>IF('Rentabilidad x Cedi'!I30="","",'Rentabilidad x Cedi'!I30)</f>
        <v>116.64148529270204</v>
      </c>
      <c r="G3" s="716">
        <f>IF('Rentabilidad x Cedi'!I31="","",'Rentabilidad x Cedi'!I31)</f>
        <v>2143.0950699809596</v>
      </c>
      <c r="H3" s="717">
        <f>IF('Rentabilidad x Cedi'!I33="","",'Rentabilidad x Cedi'!I33)</f>
        <v>0</v>
      </c>
      <c r="I3" s="717">
        <f>IF('Rentabilidad x Cedi'!I34="","",'Rentabilidad x Cedi'!I34)</f>
        <v>29250.179787672896</v>
      </c>
      <c r="J3" s="717">
        <f>IF('Rentabilidad x Cedi'!I35="","",'Rentabilidad x Cedi'!I35)</f>
        <v>15276.708390148107</v>
      </c>
      <c r="K3" s="717">
        <f>IF('Rentabilidad x Cedi'!I36="","",'Rentabilidad x Cedi'!I36)</f>
        <v>44526.888177821005</v>
      </c>
      <c r="L3" s="717">
        <f>IF('Rentabilidad x Cedi'!I38="","",'Rentabilidad x Cedi'!I38)</f>
        <v>44220.870105345937</v>
      </c>
      <c r="M3" s="717">
        <f t="shared" ref="M3:M61" si="2">L3/D3</f>
        <v>3158.6335789532814</v>
      </c>
      <c r="N3" s="717">
        <f>IF('Rentabilidad x Cedi'!I276="","",'Rentabilidad x Cedi'!I276)</f>
        <v>21844.662325829013</v>
      </c>
      <c r="O3" s="717">
        <f t="shared" si="0"/>
        <v>1560.3330232735009</v>
      </c>
      <c r="P3" s="718">
        <f t="shared" si="1"/>
        <v>0.49398988020337875</v>
      </c>
      <c r="Q3" s="717">
        <f>IFERROR('Rentabilidad x Cedi'!I78,"")</f>
        <v>6240.3191680374875</v>
      </c>
      <c r="R3" s="718">
        <f>IFERROR('Rentabilidad x Cedi'!I79,"")</f>
        <v>0.14014721044768208</v>
      </c>
      <c r="S3" s="733">
        <f>IFERROR('Rentabilidad x Cedi'!I79,"")</f>
        <v>0.14014721044768208</v>
      </c>
    </row>
    <row r="4" spans="1:19">
      <c r="A4" s="715" t="str">
        <f>'Rentabilidad x Cedi'!$AR$13</f>
        <v>Occidente</v>
      </c>
      <c r="B4" s="715" t="str">
        <f>'Rentabilidad x Cedi'!$P$13</f>
        <v>Favorita</v>
      </c>
      <c r="C4" s="715" t="str">
        <f>'Rentabilidad x Cedi'!J$14</f>
        <v>Suc. Cihuatlán</v>
      </c>
      <c r="D4" s="716">
        <f>IF('Rentabilidad x Cedi'!J20="","",'Rentabilidad x Cedi'!J20)</f>
        <v>1</v>
      </c>
      <c r="E4" s="716">
        <f>IF('Rentabilidad x Cedi'!J29="","",'Rentabilidad x Cedi'!J29)</f>
        <v>124.52744374800844</v>
      </c>
      <c r="F4" s="716">
        <f>IF('Rentabilidad x Cedi'!J30="","",'Rentabilidad x Cedi'!J30)</f>
        <v>7.1677269631150189</v>
      </c>
      <c r="G4" s="716">
        <f>IF('Rentabilidad x Cedi'!J31="","",'Rentabilidad x Cedi'!J31)</f>
        <v>131.69517071112347</v>
      </c>
      <c r="H4" s="717">
        <f>IF('Rentabilidad x Cedi'!J33="","",'Rentabilidad x Cedi'!J33)</f>
        <v>0</v>
      </c>
      <c r="I4" s="717">
        <f>IF('Rentabilidad x Cedi'!J34="","",'Rentabilidad x Cedi'!J34)</f>
        <v>1930.3506570020475</v>
      </c>
      <c r="J4" s="717">
        <f>IF('Rentabilidad x Cedi'!J35="","",'Rentabilidad x Cedi'!J35)</f>
        <v>1008.1785579375827</v>
      </c>
      <c r="K4" s="717">
        <f>IF('Rentabilidad x Cedi'!J36="","",'Rentabilidad x Cedi'!J36)</f>
        <v>2938.52921493963</v>
      </c>
      <c r="L4" s="717">
        <f>IF('Rentabilidad x Cedi'!J38="","",'Rentabilidad x Cedi'!J38)</f>
        <v>2918.3337087395039</v>
      </c>
      <c r="M4" s="717">
        <f t="shared" si="2"/>
        <v>2918.3337087395039</v>
      </c>
      <c r="N4" s="717">
        <f>IF('Rentabilidad x Cedi'!J276="","",'Rentabilidad x Cedi'!J276)</f>
        <v>1486.5075743634159</v>
      </c>
      <c r="O4" s="717">
        <f t="shared" si="0"/>
        <v>1486.5075743634159</v>
      </c>
      <c r="P4" s="718">
        <f t="shared" si="1"/>
        <v>0.50936860644544757</v>
      </c>
      <c r="Q4" s="717">
        <f>IFERROR('Rentabilidad x Cedi'!J78,"")</f>
        <v>430.50795312063678</v>
      </c>
      <c r="R4" s="718">
        <f>IFERROR('Rentabilidad x Cedi'!J79,"")</f>
        <v>0.14650456797635794</v>
      </c>
      <c r="S4" s="733">
        <f>IFERROR('Rentabilidad x Cedi'!J79,"")</f>
        <v>0.14650456797635794</v>
      </c>
    </row>
    <row r="5" spans="1:19">
      <c r="A5" s="715" t="str">
        <f>'Rentabilidad x Cedi'!$AR$13</f>
        <v>Occidente</v>
      </c>
      <c r="B5" s="715" t="str">
        <f>'Rentabilidad x Cedi'!$P$13</f>
        <v>Favorita</v>
      </c>
      <c r="C5" s="715" t="str">
        <f>'Rentabilidad x Cedi'!K$14</f>
        <v>Suc. Manzanillo</v>
      </c>
      <c r="D5" s="716">
        <f>IF('Rentabilidad x Cedi'!K20="","",'Rentabilidad x Cedi'!K20)</f>
        <v>5</v>
      </c>
      <c r="E5" s="716">
        <f>IF('Rentabilidad x Cedi'!K29="","",'Rentabilidad x Cedi'!K29)</f>
        <v>424.46098391917462</v>
      </c>
      <c r="F5" s="716">
        <f>IF('Rentabilidad x Cedi'!K30="","",'Rentabilidad x Cedi'!K30)</f>
        <v>24.43172643441061</v>
      </c>
      <c r="G5" s="716">
        <f>IF('Rentabilidad x Cedi'!K31="","",'Rentabilidad x Cedi'!K31)</f>
        <v>448.89271035358524</v>
      </c>
      <c r="H5" s="717">
        <f>IF('Rentabilidad x Cedi'!K33="","",'Rentabilidad x Cedi'!K33)</f>
        <v>0</v>
      </c>
      <c r="I5" s="717">
        <f>IF('Rentabilidad x Cedi'!K34="","",'Rentabilidad x Cedi'!K34)</f>
        <v>6242.9406291137448</v>
      </c>
      <c r="J5" s="717">
        <f>IF('Rentabilidad x Cedi'!K35="","",'Rentabilidad x Cedi'!K35)</f>
        <v>3260.5469156183294</v>
      </c>
      <c r="K5" s="717">
        <f>IF('Rentabilidad x Cedi'!K36="","",'Rentabilidad x Cedi'!K36)</f>
        <v>9503.4875447320737</v>
      </c>
      <c r="L5" s="717">
        <f>IF('Rentabilidad x Cedi'!K38="","",'Rentabilidad x Cedi'!K38)</f>
        <v>9438.1733254087849</v>
      </c>
      <c r="M5" s="717">
        <f t="shared" si="2"/>
        <v>1887.634665081757</v>
      </c>
      <c r="N5" s="717">
        <f>IF('Rentabilidad x Cedi'!K276="","",'Rentabilidad x Cedi'!K276)</f>
        <v>6708.9474268958347</v>
      </c>
      <c r="O5" s="717">
        <f t="shared" si="0"/>
        <v>1341.789485379167</v>
      </c>
      <c r="P5" s="718">
        <f t="shared" si="1"/>
        <v>0.71083113178632562</v>
      </c>
      <c r="Q5" s="717">
        <f>IFERROR('Rentabilidad x Cedi'!K78,"")</f>
        <v>-694.58713679335779</v>
      </c>
      <c r="R5" s="718">
        <f>IFERROR('Rentabilidad x Cedi'!K79,"")</f>
        <v>-7.3087604263592468E-2</v>
      </c>
      <c r="S5" s="733">
        <f>IFERROR('Rentabilidad x Cedi'!K79,"")</f>
        <v>-7.3087604263592468E-2</v>
      </c>
    </row>
    <row r="6" spans="1:19">
      <c r="A6" s="715" t="str">
        <f>'Rentabilidad x Cedi'!$AR$13</f>
        <v>Occidente</v>
      </c>
      <c r="B6" s="715" t="str">
        <f>'Rentabilidad x Cedi'!$P$13</f>
        <v>Favorita</v>
      </c>
      <c r="C6" s="715" t="str">
        <f>'Rentabilidad x Cedi'!L$14</f>
        <v>Suc. San Rafael</v>
      </c>
      <c r="D6" s="716">
        <f>IF('Rentabilidad x Cedi'!L20="","",'Rentabilidad x Cedi'!L20)</f>
        <v>19</v>
      </c>
      <c r="E6" s="716">
        <f>IF('Rentabilidad x Cedi'!L29="","",'Rentabilidad x Cedi'!L29)</f>
        <v>2536.3976199260355</v>
      </c>
      <c r="F6" s="716">
        <f>IF('Rentabilidad x Cedi'!L30="","",'Rentabilidad x Cedi'!L30)</f>
        <v>145.99356625607564</v>
      </c>
      <c r="G6" s="716">
        <f>IF('Rentabilidad x Cedi'!L31="","",'Rentabilidad x Cedi'!L31)</f>
        <v>2682.3911861821111</v>
      </c>
      <c r="H6" s="717">
        <f>IF('Rentabilidad x Cedi'!L33="","",'Rentabilidad x Cedi'!L33)</f>
        <v>0</v>
      </c>
      <c r="I6" s="717">
        <f>IF('Rentabilidad x Cedi'!L34="","",'Rentabilidad x Cedi'!L34)</f>
        <v>38384.758014307794</v>
      </c>
      <c r="J6" s="717">
        <f>IF('Rentabilidad x Cedi'!L35="","",'Rentabilidad x Cedi'!L35)</f>
        <v>20047.492325435491</v>
      </c>
      <c r="K6" s="717">
        <f>IF('Rentabilidad x Cedi'!L36="","",'Rentabilidad x Cedi'!L36)</f>
        <v>58432.250339743288</v>
      </c>
      <c r="L6" s="717">
        <f>IF('Rentabilidad x Cedi'!L38="","",'Rentabilidad x Cedi'!L38)</f>
        <v>58030.66546931761</v>
      </c>
      <c r="M6" s="717">
        <f t="shared" si="2"/>
        <v>3054.2455510167165</v>
      </c>
      <c r="N6" s="717">
        <f>IF('Rentabilidad x Cedi'!L276="","",'Rentabilidad x Cedi'!L276)</f>
        <v>28865.729514172355</v>
      </c>
      <c r="O6" s="717">
        <f t="shared" si="0"/>
        <v>1519.2489217985451</v>
      </c>
      <c r="P6" s="718">
        <f t="shared" si="1"/>
        <v>0.49742199715828611</v>
      </c>
      <c r="Q6" s="717">
        <f>IFERROR('Rentabilidad x Cedi'!L78,"")</f>
        <v>8845.4366178684468</v>
      </c>
      <c r="R6" s="718">
        <f>IFERROR('Rentabilidad x Cedi'!L79,"")</f>
        <v>0.1513793592825593</v>
      </c>
      <c r="S6" s="733">
        <f>IFERROR('Rentabilidad x Cedi'!L79,"")</f>
        <v>0.1513793592825593</v>
      </c>
    </row>
    <row r="7" spans="1:19">
      <c r="A7" s="715" t="str">
        <f>'Rentabilidad x Cedi'!$AR$13</f>
        <v>Occidente</v>
      </c>
      <c r="B7" s="715" t="str">
        <f>'Rentabilidad x Cedi'!$P$13</f>
        <v>Favorita</v>
      </c>
      <c r="C7" s="715" t="str">
        <f>'Rentabilidad x Cedi'!M$14</f>
        <v>Suc. Santa Maria</v>
      </c>
      <c r="D7" s="716">
        <f>IF('Rentabilidad x Cedi'!M20="","",'Rentabilidad x Cedi'!M20)</f>
        <v>60</v>
      </c>
      <c r="E7" s="716">
        <f>IF('Rentabilidad x Cedi'!M29="","",'Rentabilidad x Cedi'!M29)</f>
        <v>8906.4284654782168</v>
      </c>
      <c r="F7" s="716">
        <f>IF('Rentabilidad x Cedi'!M30="","",'Rentabilidad x Cedi'!M30)</f>
        <v>512.64882290723415</v>
      </c>
      <c r="G7" s="716">
        <f>IF('Rentabilidad x Cedi'!M31="","",'Rentabilidad x Cedi'!M31)</f>
        <v>9419.0772883854515</v>
      </c>
      <c r="H7" s="717">
        <f>IF('Rentabilidad x Cedi'!M33="","",'Rentabilidad x Cedi'!M33)</f>
        <v>0</v>
      </c>
      <c r="I7" s="717">
        <f>IF('Rentabilidad x Cedi'!M34="","",'Rentabilidad x Cedi'!M34)</f>
        <v>130695.10585346457</v>
      </c>
      <c r="J7" s="717">
        <f>IF('Rentabilidad x Cedi'!M35="","",'Rentabilidad x Cedi'!M35)</f>
        <v>68259.102495648738</v>
      </c>
      <c r="K7" s="717">
        <f>IF('Rentabilidad x Cedi'!M36="","",'Rentabilidad x Cedi'!M36)</f>
        <v>198954.20834911329</v>
      </c>
      <c r="L7" s="717">
        <f>IF('Rentabilidad x Cedi'!M38="","",'Rentabilidad x Cedi'!M38)</f>
        <v>197586.86412540163</v>
      </c>
      <c r="M7" s="717">
        <f t="shared" si="2"/>
        <v>3293.1144020900269</v>
      </c>
      <c r="N7" s="717">
        <f>IF('Rentabilidad x Cedi'!M276="","",'Rentabilidad x Cedi'!M276)</f>
        <v>94429.197802253679</v>
      </c>
      <c r="O7" s="717">
        <f t="shared" si="0"/>
        <v>1573.8199633708946</v>
      </c>
      <c r="P7" s="718">
        <f t="shared" si="1"/>
        <v>0.47791232590402716</v>
      </c>
      <c r="Q7" s="717">
        <f>IFERROR('Rentabilidad x Cedi'!M78,"")</f>
        <v>32151.087946344123</v>
      </c>
      <c r="R7" s="718">
        <f>IFERROR('Rentabilidad x Cedi'!M79,"")</f>
        <v>0.16160044169524307</v>
      </c>
      <c r="S7" s="733">
        <f>IFERROR('Rentabilidad x Cedi'!M79,"")</f>
        <v>0.16160044169524307</v>
      </c>
    </row>
    <row r="8" spans="1:19">
      <c r="A8" s="715" t="str">
        <f>'Rentabilidad x Cedi'!$AR$13</f>
        <v>Occidente</v>
      </c>
      <c r="B8" s="715" t="str">
        <f>'Rentabilidad x Cedi'!$P$13</f>
        <v>Favorita</v>
      </c>
      <c r="C8" s="715" t="str">
        <f>'Rentabilidad x Cedi'!N$14</f>
        <v>Suc. Tecomán</v>
      </c>
      <c r="D8" s="716">
        <f>IF('Rentabilidad x Cedi'!N20="","",'Rentabilidad x Cedi'!N20)</f>
        <v>3</v>
      </c>
      <c r="E8" s="716">
        <f>IF('Rentabilidad x Cedi'!N29="","",'Rentabilidad x Cedi'!N29)</f>
        <v>457.16103923908969</v>
      </c>
      <c r="F8" s="716">
        <f>IF('Rentabilidad x Cedi'!N30="","",'Rentabilidad x Cedi'!N30)</f>
        <v>26.313922528359232</v>
      </c>
      <c r="G8" s="716">
        <f>IF('Rentabilidad x Cedi'!N31="","",'Rentabilidad x Cedi'!N31)</f>
        <v>483.47496176744892</v>
      </c>
      <c r="H8" s="717">
        <f>IF('Rentabilidad x Cedi'!N33="","",'Rentabilidad x Cedi'!N33)</f>
        <v>0</v>
      </c>
      <c r="I8" s="717">
        <f>IF('Rentabilidad x Cedi'!N34="","",'Rentabilidad x Cedi'!N34)</f>
        <v>5972.6648516652631</v>
      </c>
      <c r="J8" s="717">
        <f>IF('Rentabilidad x Cedi'!N35="","",'Rentabilidad x Cedi'!N35)</f>
        <v>3119.3879802896272</v>
      </c>
      <c r="K8" s="717">
        <f>IF('Rentabilidad x Cedi'!N36="","",'Rentabilidad x Cedi'!N36)</f>
        <v>9092.0528319548903</v>
      </c>
      <c r="L8" s="717">
        <f>IF('Rentabilidad x Cedi'!N38="","",'Rentabilidad x Cedi'!N38)</f>
        <v>9029.5662626854428</v>
      </c>
      <c r="M8" s="717">
        <f t="shared" si="2"/>
        <v>3009.8554208951477</v>
      </c>
      <c r="N8" s="717">
        <f>IF('Rentabilidad x Cedi'!N276="","",'Rentabilidad x Cedi'!N276)</f>
        <v>4764.6892560943525</v>
      </c>
      <c r="O8" s="717">
        <f t="shared" si="0"/>
        <v>1588.2297520314507</v>
      </c>
      <c r="P8" s="718">
        <f t="shared" si="1"/>
        <v>0.52767642625143185</v>
      </c>
      <c r="Q8" s="717">
        <f>IFERROR('Rentabilidad x Cedi'!N78,"")</f>
        <v>661.51148172173362</v>
      </c>
      <c r="R8" s="718">
        <f>IFERROR('Rentabilidad x Cedi'!N79,"")</f>
        <v>7.2757109307238971E-2</v>
      </c>
      <c r="S8" s="733">
        <f>IFERROR('Rentabilidad x Cedi'!N79,"")</f>
        <v>7.2757109307238971E-2</v>
      </c>
    </row>
    <row r="9" spans="1:19">
      <c r="A9" s="715" t="str">
        <f>'Rentabilidad x Cedi'!$AR$13</f>
        <v>Occidente</v>
      </c>
      <c r="B9" s="715" t="str">
        <f>'Rentabilidad x Cedi'!$P$13</f>
        <v>Favorita</v>
      </c>
      <c r="C9" s="715" t="str">
        <f>'Rentabilidad x Cedi'!O$14</f>
        <v>Suc. Toluquilla</v>
      </c>
      <c r="D9" s="716">
        <f>IF('Rentabilidad x Cedi'!O20="","",'Rentabilidad x Cedi'!O20)</f>
        <v>10</v>
      </c>
      <c r="E9" s="716">
        <f>IF('Rentabilidad x Cedi'!O29="","",'Rentabilidad x Cedi'!O29)</f>
        <v>1518.9725855388244</v>
      </c>
      <c r="F9" s="716">
        <f>IF('Rentabilidad x Cedi'!O30="","",'Rentabilidad x Cedi'!O30)</f>
        <v>87.431175248655094</v>
      </c>
      <c r="G9" s="716">
        <f>IF('Rentabilidad x Cedi'!O31="","",'Rentabilidad x Cedi'!O31)</f>
        <v>1606.4037607874795</v>
      </c>
      <c r="H9" s="717">
        <f>IF('Rentabilidad x Cedi'!O33="","",'Rentabilidad x Cedi'!O33)</f>
        <v>0</v>
      </c>
      <c r="I9" s="717">
        <f>IF('Rentabilidad x Cedi'!O34="","",'Rentabilidad x Cedi'!O34)</f>
        <v>20241.887274493081</v>
      </c>
      <c r="J9" s="717">
        <f>IF('Rentabilidad x Cedi'!O35="","",'Rentabilidad x Cedi'!O35)</f>
        <v>10571.880631277396</v>
      </c>
      <c r="K9" s="717">
        <f>IF('Rentabilidad x Cedi'!O36="","",'Rentabilidad x Cedi'!O36)</f>
        <v>30813.767905770477</v>
      </c>
      <c r="L9" s="717">
        <f>IF('Rentabilidad x Cedi'!O38="","",'Rentabilidad x Cedi'!O38)</f>
        <v>30601.995418491322</v>
      </c>
      <c r="M9" s="717">
        <f t="shared" si="2"/>
        <v>3060.1995418491324</v>
      </c>
      <c r="N9" s="717">
        <f>IF('Rentabilidad x Cedi'!O276="","",'Rentabilidad x Cedi'!O276)</f>
        <v>15864.415371349654</v>
      </c>
      <c r="O9" s="717">
        <f t="shared" si="0"/>
        <v>1586.4415371349655</v>
      </c>
      <c r="P9" s="718">
        <f t="shared" si="1"/>
        <v>0.51841114131281607</v>
      </c>
      <c r="Q9" s="717">
        <f>IFERROR('Rentabilidad x Cedi'!O78,"")</f>
        <v>2742.85137443643</v>
      </c>
      <c r="R9" s="718">
        <f>IFERROR('Rentabilidad x Cedi'!O79,"")</f>
        <v>8.901382598921885E-2</v>
      </c>
      <c r="S9" s="733">
        <f>IFERROR('Rentabilidad x Cedi'!O79,"")</f>
        <v>8.901382598921885E-2</v>
      </c>
    </row>
    <row r="10" spans="1:19">
      <c r="A10" s="715" t="str">
        <f>'Rentabilidad x Cedi'!$AR$13</f>
        <v>Occidente</v>
      </c>
      <c r="B10" s="715" t="str">
        <f>'Rentabilidad x Cedi'!$T$13</f>
        <v>Los Altos</v>
      </c>
      <c r="C10" s="715" t="str">
        <f>'Rentabilidad x Cedi'!Q$14</f>
        <v>Planta Los Altos</v>
      </c>
      <c r="D10" s="716">
        <f>IF('Rentabilidad x Cedi'!Q20="","",'Rentabilidad x Cedi'!Q20)</f>
        <v>4</v>
      </c>
      <c r="E10" s="716">
        <f>IF('Rentabilidad x Cedi'!Q29="","",'Rentabilidad x Cedi'!Q29)</f>
        <v>490.28271074446889</v>
      </c>
      <c r="F10" s="716">
        <f>IF('Rentabilidad x Cedi'!Q30="","",'Rentabilidad x Cedi'!Q30)</f>
        <v>32.641377118935239</v>
      </c>
      <c r="G10" s="716">
        <f>IF('Rentabilidad x Cedi'!Q31="","",'Rentabilidad x Cedi'!Q31)</f>
        <v>522.92408786340411</v>
      </c>
      <c r="H10" s="717">
        <f>IF('Rentabilidad x Cedi'!Q33="","",'Rentabilidad x Cedi'!Q33)</f>
        <v>0</v>
      </c>
      <c r="I10" s="717">
        <f>IF('Rentabilidad x Cedi'!Q34="","",'Rentabilidad x Cedi'!Q34)</f>
        <v>7702.1626610678431</v>
      </c>
      <c r="J10" s="717">
        <f>IF('Rentabilidad x Cedi'!Q35="","",'Rentabilidad x Cedi'!Q35)</f>
        <v>5032.2943397664549</v>
      </c>
      <c r="K10" s="717">
        <f>IF('Rentabilidad x Cedi'!Q36="","",'Rentabilidad x Cedi'!Q36)</f>
        <v>12734.457000834298</v>
      </c>
      <c r="L10" s="717">
        <f>IF('Rentabilidad x Cedi'!Q38="","",'Rentabilidad x Cedi'!Q38)</f>
        <v>12366.309893886055</v>
      </c>
      <c r="M10" s="717">
        <f t="shared" si="2"/>
        <v>3091.5774734715137</v>
      </c>
      <c r="N10" s="717">
        <f>IF('Rentabilidad x Cedi'!Q276="","",'Rentabilidad x Cedi'!Q276)</f>
        <v>4033.6725332565302</v>
      </c>
      <c r="O10" s="717">
        <f t="shared" si="0"/>
        <v>1008.4181333141325</v>
      </c>
      <c r="P10" s="718">
        <f t="shared" si="1"/>
        <v>0.32618239134139693</v>
      </c>
      <c r="Q10" s="717">
        <f>IFERROR('Rentabilidad x Cedi'!Q78,"")</f>
        <v>3581.9815940531926</v>
      </c>
      <c r="R10" s="718">
        <f>IFERROR('Rentabilidad x Cedi'!Q79,"")</f>
        <v>0.28128263292408301</v>
      </c>
      <c r="S10" s="733">
        <f>IFERROR('Rentabilidad x Cedi'!Q79,"")</f>
        <v>0.28128263292408301</v>
      </c>
    </row>
    <row r="11" spans="1:19">
      <c r="A11" s="715" t="str">
        <f>'Rentabilidad x Cedi'!$AR$13</f>
        <v>Occidente</v>
      </c>
      <c r="B11" s="715" t="str">
        <f>'Rentabilidad x Cedi'!$T$13</f>
        <v>Los Altos</v>
      </c>
      <c r="C11" s="715" t="str">
        <f>'Rentabilidad x Cedi'!R$14</f>
        <v>Suc. Ocotlan</v>
      </c>
      <c r="D11" s="716">
        <f>IF('Rentabilidad x Cedi'!R20="","",'Rentabilidad x Cedi'!R20)</f>
        <v>1</v>
      </c>
      <c r="E11" s="716">
        <f>IF('Rentabilidad x Cedi'!R29="","",'Rentabilidad x Cedi'!R29)</f>
        <v>179.07103561821447</v>
      </c>
      <c r="F11" s="716">
        <f>IF('Rentabilidad x Cedi'!R30="","",'Rentabilidad x Cedi'!R30)</f>
        <v>11.921948452591572</v>
      </c>
      <c r="G11" s="716">
        <f>IF('Rentabilidad x Cedi'!R31="","",'Rentabilidad x Cedi'!R31)</f>
        <v>190.99298407080605</v>
      </c>
      <c r="H11" s="717">
        <f>IF('Rentabilidad x Cedi'!R33="","",'Rentabilidad x Cedi'!R33)</f>
        <v>0</v>
      </c>
      <c r="I11" s="717">
        <f>IF('Rentabilidad x Cedi'!R34="","",'Rentabilidad x Cedi'!R34)</f>
        <v>1922.453157501287</v>
      </c>
      <c r="J11" s="717">
        <f>IF('Rentabilidad x Cedi'!R35="","",'Rentabilidad x Cedi'!R35)</f>
        <v>1256.0563271223623</v>
      </c>
      <c r="K11" s="717">
        <f>IF('Rentabilidad x Cedi'!R36="","",'Rentabilidad x Cedi'!R36)</f>
        <v>3178.5094846236493</v>
      </c>
      <c r="L11" s="717">
        <f>IF('Rentabilidad x Cedi'!R38="","",'Rentabilidad x Cedi'!R38)</f>
        <v>3086.6202842364569</v>
      </c>
      <c r="M11" s="717">
        <f t="shared" si="2"/>
        <v>3086.6202842364569</v>
      </c>
      <c r="N11" s="717">
        <f>IF('Rentabilidad x Cedi'!R276="","",'Rentabilidad x Cedi'!R276)</f>
        <v>1158.8273250519594</v>
      </c>
      <c r="O11" s="717">
        <f t="shared" si="0"/>
        <v>1158.8273250519594</v>
      </c>
      <c r="P11" s="718">
        <f t="shared" si="1"/>
        <v>0.37543566047633253</v>
      </c>
      <c r="Q11" s="717">
        <f>IFERROR('Rentabilidad x Cedi'!R78,"")</f>
        <v>277.3478438655809</v>
      </c>
      <c r="R11" s="718">
        <f>IFERROR('Rentabilidad x Cedi'!R79,"")</f>
        <v>8.725720190777414E-2</v>
      </c>
      <c r="S11" s="733">
        <f>IFERROR('Rentabilidad x Cedi'!R79,"")</f>
        <v>8.725720190777414E-2</v>
      </c>
    </row>
    <row r="12" spans="1:19">
      <c r="A12" s="715" t="str">
        <f>'Rentabilidad x Cedi'!$AR$13</f>
        <v>Occidente</v>
      </c>
      <c r="B12" s="715" t="str">
        <f>'Rentabilidad x Cedi'!$T$13</f>
        <v>Los Altos</v>
      </c>
      <c r="C12" s="715" t="str">
        <f>'Rentabilidad x Cedi'!S$14</f>
        <v>Suc. Zapotlanejo</v>
      </c>
      <c r="D12" s="716">
        <f>IF('Rentabilidad x Cedi'!S20="","",'Rentabilidad x Cedi'!S20)</f>
        <v>1</v>
      </c>
      <c r="E12" s="716">
        <f>IF('Rentabilidad x Cedi'!S29="","",'Rentabilidad x Cedi'!S29)</f>
        <v>11.203803589316314</v>
      </c>
      <c r="F12" s="716">
        <f>IF('Rentabilidad x Cedi'!S30="","",'Rentabilidad x Cedi'!S30)</f>
        <v>0.74591163447319198</v>
      </c>
      <c r="G12" s="716">
        <f>IF('Rentabilidad x Cedi'!S31="","",'Rentabilidad x Cedi'!S31)</f>
        <v>11.949715223789505</v>
      </c>
      <c r="H12" s="717">
        <f>IF('Rentabilidad x Cedi'!S33="","",'Rentabilidad x Cedi'!S33)</f>
        <v>0</v>
      </c>
      <c r="I12" s="717">
        <f>IF('Rentabilidad x Cedi'!S34="","",'Rentabilidad x Cedi'!S34)</f>
        <v>157.16934377415922</v>
      </c>
      <c r="J12" s="717">
        <f>IF('Rentabilidad x Cedi'!S35="","",'Rentabilidad x Cedi'!S35)</f>
        <v>102.68835311118379</v>
      </c>
      <c r="K12" s="717">
        <f>IF('Rentabilidad x Cedi'!S36="","",'Rentabilidad x Cedi'!S36)</f>
        <v>259.85769688534299</v>
      </c>
      <c r="L12" s="717">
        <f>IF('Rentabilidad x Cedi'!S38="","",'Rentabilidad x Cedi'!S38)</f>
        <v>252.34533422077826</v>
      </c>
      <c r="M12" s="717">
        <f t="shared" si="2"/>
        <v>252.34533422077826</v>
      </c>
      <c r="N12" s="717">
        <f>IF('Rentabilidad x Cedi'!S276="","",'Rentabilidad x Cedi'!S276)</f>
        <v>711.94918811914454</v>
      </c>
      <c r="O12" s="717">
        <f t="shared" si="0"/>
        <v>711.94918811914454</v>
      </c>
      <c r="P12" s="718">
        <f t="shared" si="1"/>
        <v>2.8213289154625558</v>
      </c>
      <c r="Q12" s="717">
        <f>IFERROR('Rentabilidad x Cedi'!S78,"")</f>
        <v>-626.87354545444418</v>
      </c>
      <c r="R12" s="718">
        <f>IFERROR('Rentabilidad x Cedi'!S79,"")</f>
        <v>-2.412372436791971</v>
      </c>
      <c r="S12" s="733">
        <f>IFERROR('Rentabilidad x Cedi'!S79,"")</f>
        <v>-2.412372436791971</v>
      </c>
    </row>
    <row r="13" spans="1:19">
      <c r="A13" s="715" t="str">
        <f>'Rentabilidad x Cedi'!$AR$13</f>
        <v>Occidente</v>
      </c>
      <c r="B13" s="715" t="str">
        <f>'Rentabilidad x Cedi'!$AE$13</f>
        <v>Zapopan</v>
      </c>
      <c r="C13" s="715" t="str">
        <f>'Rentabilidad x Cedi'!U$14</f>
        <v>Planta Zapopan</v>
      </c>
      <c r="D13" s="716">
        <f>IF('Rentabilidad x Cedi'!U20="","",'Rentabilidad x Cedi'!U20)</f>
        <v>60</v>
      </c>
      <c r="E13" s="716">
        <f>IF('Rentabilidad x Cedi'!U29="","",'Rentabilidad x Cedi'!U29)</f>
        <v>8771.0369269528419</v>
      </c>
      <c r="F13" s="716">
        <f>IF('Rentabilidad x Cedi'!U30="","",'Rentabilidad x Cedi'!U30)</f>
        <v>498.20353569537036</v>
      </c>
      <c r="G13" s="716">
        <f>IF('Rentabilidad x Cedi'!U31="","",'Rentabilidad x Cedi'!U31)</f>
        <v>9269.240462648213</v>
      </c>
      <c r="H13" s="717">
        <f>IF('Rentabilidad x Cedi'!U33="","",'Rentabilidad x Cedi'!U33)</f>
        <v>0</v>
      </c>
      <c r="I13" s="717">
        <f>IF('Rentabilidad x Cedi'!U34="","",'Rentabilidad x Cedi'!U34)</f>
        <v>132782.68307309508</v>
      </c>
      <c r="J13" s="717">
        <f>IF('Rentabilidad x Cedi'!U35="","",'Rentabilidad x Cedi'!U35)</f>
        <v>74106.312756811705</v>
      </c>
      <c r="K13" s="717">
        <f>IF('Rentabilidad x Cedi'!U36="","",'Rentabilidad x Cedi'!U36)</f>
        <v>206888.99582990678</v>
      </c>
      <c r="L13" s="717">
        <f>IF('Rentabilidad x Cedi'!U38="","",'Rentabilidad x Cedi'!U38)</f>
        <v>205628.19295121671</v>
      </c>
      <c r="M13" s="717">
        <f t="shared" si="2"/>
        <v>3427.1365491869451</v>
      </c>
      <c r="N13" s="717">
        <f>IF('Rentabilidad x Cedi'!U276="","",'Rentabilidad x Cedi'!U276)</f>
        <v>71639.608784629672</v>
      </c>
      <c r="O13" s="717">
        <f t="shared" si="0"/>
        <v>1193.9934797438279</v>
      </c>
      <c r="P13" s="718">
        <f t="shared" si="1"/>
        <v>0.34839390336725601</v>
      </c>
      <c r="Q13" s="717">
        <f>IFERROR('Rentabilidad x Cedi'!U78,"")</f>
        <v>51182.631490156724</v>
      </c>
      <c r="R13" s="718">
        <f>IFERROR('Rentabilidad x Cedi'!U79,"")</f>
        <v>0.24739175365439148</v>
      </c>
      <c r="S13" s="733">
        <f>IFERROR('Rentabilidad x Cedi'!U79,"")</f>
        <v>0.24739175365439148</v>
      </c>
    </row>
    <row r="14" spans="1:19">
      <c r="A14" s="715" t="str">
        <f>'Rentabilidad x Cedi'!$AR$13</f>
        <v>Occidente</v>
      </c>
      <c r="B14" s="715" t="str">
        <f>'Rentabilidad x Cedi'!$AE$13</f>
        <v>Zapopan</v>
      </c>
      <c r="C14" s="715" t="str">
        <f>'Rentabilidad x Cedi'!V$14</f>
        <v>Suc. Ameca</v>
      </c>
      <c r="D14" s="716">
        <f>IF('Rentabilidad x Cedi'!V20="","",'Rentabilidad x Cedi'!V20)</f>
        <v>3</v>
      </c>
      <c r="E14" s="716">
        <f>IF('Rentabilidad x Cedi'!V29="","",'Rentabilidad x Cedi'!V29)</f>
        <v>497.0783594211407</v>
      </c>
      <c r="F14" s="716">
        <f>IF('Rentabilidad x Cedi'!V30="","",'Rentabilidad x Cedi'!V30)</f>
        <v>28.234540367771718</v>
      </c>
      <c r="G14" s="716">
        <f>IF('Rentabilidad x Cedi'!V31="","",'Rentabilidad x Cedi'!V31)</f>
        <v>525.31289978891243</v>
      </c>
      <c r="H14" s="717">
        <f>IF('Rentabilidad x Cedi'!V33="","",'Rentabilidad x Cedi'!V33)</f>
        <v>0</v>
      </c>
      <c r="I14" s="717">
        <f>IF('Rentabilidad x Cedi'!V34="","",'Rentabilidad x Cedi'!V34)</f>
        <v>6274.6673549605948</v>
      </c>
      <c r="J14" s="717">
        <f>IF('Rentabilidad x Cedi'!V35="","",'Rentabilidad x Cedi'!V35)</f>
        <v>3501.9059013568376</v>
      </c>
      <c r="K14" s="717">
        <f>IF('Rentabilidad x Cedi'!V36="","",'Rentabilidad x Cedi'!V36)</f>
        <v>9776.5732563174315</v>
      </c>
      <c r="L14" s="717">
        <f>IF('Rentabilidad x Cedi'!V38="","",'Rentabilidad x Cedi'!V38)</f>
        <v>9716.9938105579113</v>
      </c>
      <c r="M14" s="717">
        <f t="shared" si="2"/>
        <v>3238.9979368526369</v>
      </c>
      <c r="N14" s="717">
        <f>IF('Rentabilidad x Cedi'!V276="","",'Rentabilidad x Cedi'!V276)</f>
        <v>3749.4321563873327</v>
      </c>
      <c r="O14" s="717">
        <f t="shared" si="0"/>
        <v>1249.8107187957776</v>
      </c>
      <c r="P14" s="718">
        <f t="shared" si="1"/>
        <v>0.38586338835715028</v>
      </c>
      <c r="Q14" s="717">
        <f>IFERROR('Rentabilidad x Cedi'!V78,"")</f>
        <v>1371.5470709806941</v>
      </c>
      <c r="R14" s="718">
        <f>IFERROR('Rentabilidad x Cedi'!V79,"")</f>
        <v>0.14028914170866844</v>
      </c>
      <c r="S14" s="733">
        <f>IFERROR('Rentabilidad x Cedi'!V79,"")</f>
        <v>0.14028914170866844</v>
      </c>
    </row>
    <row r="15" spans="1:19">
      <c r="A15" s="715" t="str">
        <f>'Rentabilidad x Cedi'!$AR$13</f>
        <v>Occidente</v>
      </c>
      <c r="B15" s="715" t="str">
        <f>'Rentabilidad x Cedi'!$AE$13</f>
        <v>Zapopan</v>
      </c>
      <c r="C15" s="715" t="str">
        <f>'Rentabilidad x Cedi'!W$14</f>
        <v>Suc. Autlán</v>
      </c>
      <c r="D15" s="716">
        <f>IF('Rentabilidad x Cedi'!W20="","",'Rentabilidad x Cedi'!W20)</f>
        <v>1</v>
      </c>
      <c r="E15" s="716">
        <f>IF('Rentabilidad x Cedi'!W29="","",'Rentabilidad x Cedi'!W29)</f>
        <v>147.19228735132486</v>
      </c>
      <c r="F15" s="716">
        <f>IF('Rentabilidad x Cedi'!W30="","",'Rentabilidad x Cedi'!W30)</f>
        <v>8.3606668853685076</v>
      </c>
      <c r="G15" s="716">
        <f>IF('Rentabilidad x Cedi'!W31="","",'Rentabilidad x Cedi'!W31)</f>
        <v>155.55295423669338</v>
      </c>
      <c r="H15" s="717">
        <f>IF('Rentabilidad x Cedi'!W33="","",'Rentabilidad x Cedi'!W33)</f>
        <v>0</v>
      </c>
      <c r="I15" s="717">
        <f>IF('Rentabilidad x Cedi'!W34="","",'Rentabilidad x Cedi'!W34)</f>
        <v>1554.097942298321</v>
      </c>
      <c r="J15" s="717">
        <f>IF('Rentabilidad x Cedi'!W35="","",'Rentabilidad x Cedi'!W35)</f>
        <v>867.34554161161361</v>
      </c>
      <c r="K15" s="717">
        <f>IF('Rentabilidad x Cedi'!W36="","",'Rentabilidad x Cedi'!W36)</f>
        <v>2421.4434839099345</v>
      </c>
      <c r="L15" s="717">
        <f>IF('Rentabilidad x Cedi'!W38="","",'Rentabilidad x Cedi'!W38)</f>
        <v>2406.6869575763203</v>
      </c>
      <c r="M15" s="717">
        <f t="shared" si="2"/>
        <v>2406.6869575763203</v>
      </c>
      <c r="N15" s="717">
        <f>IF('Rentabilidad x Cedi'!W276="","",'Rentabilidad x Cedi'!W276)</f>
        <v>1195.916870500721</v>
      </c>
      <c r="O15" s="717">
        <f t="shared" si="0"/>
        <v>1195.916870500721</v>
      </c>
      <c r="P15" s="718">
        <f t="shared" si="1"/>
        <v>0.49691417769807578</v>
      </c>
      <c r="Q15" s="717">
        <f>IFERROR('Rentabilidad x Cedi'!W78,"")</f>
        <v>-140.41222676377424</v>
      </c>
      <c r="R15" s="718">
        <f>IFERROR('Rentabilidad x Cedi'!W79,"")</f>
        <v>-5.7986993170308851E-2</v>
      </c>
      <c r="S15" s="733">
        <f>IFERROR('Rentabilidad x Cedi'!W79,"")</f>
        <v>-5.7986993170308851E-2</v>
      </c>
    </row>
    <row r="16" spans="1:19">
      <c r="A16" s="715" t="str">
        <f>'Rentabilidad x Cedi'!$AR$13</f>
        <v>Occidente</v>
      </c>
      <c r="B16" s="715" t="str">
        <f>'Rentabilidad x Cedi'!$AE$13</f>
        <v>Zapopan</v>
      </c>
      <c r="C16" s="715" t="str">
        <f>'Rentabilidad x Cedi'!X$14</f>
        <v>Suc. Belenes</v>
      </c>
      <c r="D16" s="716">
        <f>IF('Rentabilidad x Cedi'!X20="","",'Rentabilidad x Cedi'!X20)</f>
        <v>59</v>
      </c>
      <c r="E16" s="716">
        <f>IF('Rentabilidad x Cedi'!X29="","",'Rentabilidad x Cedi'!X29)</f>
        <v>8056.20165310834</v>
      </c>
      <c r="F16" s="716">
        <f>IF('Rentabilidad x Cedi'!X30="","",'Rentabilidad x Cedi'!X30)</f>
        <v>457.60018812825166</v>
      </c>
      <c r="G16" s="716">
        <f>IF('Rentabilidad x Cedi'!X31="","",'Rentabilidad x Cedi'!X31)</f>
        <v>8513.8018412365909</v>
      </c>
      <c r="H16" s="717">
        <f>IF('Rentabilidad x Cedi'!X33="","",'Rentabilidad x Cedi'!X33)</f>
        <v>0</v>
      </c>
      <c r="I16" s="717">
        <f>IF('Rentabilidad x Cedi'!X34="","",'Rentabilidad x Cedi'!X34)</f>
        <v>118722.23387679677</v>
      </c>
      <c r="J16" s="717">
        <f>IF('Rentabilidad x Cedi'!X35="","",'Rentabilidad x Cedi'!X35)</f>
        <v>66259.144575486789</v>
      </c>
      <c r="K16" s="717">
        <f>IF('Rentabilidad x Cedi'!X36="","",'Rentabilidad x Cedi'!X36)</f>
        <v>184981.37845228356</v>
      </c>
      <c r="L16" s="717">
        <f>IF('Rentabilidad x Cedi'!X38="","",'Rentabilidad x Cedi'!X38)</f>
        <v>183854.08285339901</v>
      </c>
      <c r="M16" s="717">
        <f t="shared" si="2"/>
        <v>3116.1708958203221</v>
      </c>
      <c r="N16" s="717">
        <f>IF('Rentabilidad x Cedi'!X276="","",'Rentabilidad x Cedi'!X276)</f>
        <v>68795.959860605391</v>
      </c>
      <c r="O16" s="717">
        <f t="shared" si="0"/>
        <v>1166.0332179763625</v>
      </c>
      <c r="P16" s="718">
        <f t="shared" si="1"/>
        <v>0.37418782761251868</v>
      </c>
      <c r="Q16" s="717">
        <f>IFERROR('Rentabilidad x Cedi'!X78,"")</f>
        <v>38927.000275490514</v>
      </c>
      <c r="R16" s="718">
        <f>IFERROR('Rentabilidad x Cedi'!X79,"")</f>
        <v>0.21043739970578626</v>
      </c>
      <c r="S16" s="733">
        <f>IFERROR('Rentabilidad x Cedi'!X79,"")</f>
        <v>0.21043739970578626</v>
      </c>
    </row>
    <row r="17" spans="1:19">
      <c r="A17" s="715" t="str">
        <f>'Rentabilidad x Cedi'!$AR$13</f>
        <v>Occidente</v>
      </c>
      <c r="B17" s="715" t="str">
        <f>'Rentabilidad x Cedi'!$AE$13</f>
        <v>Zapopan</v>
      </c>
      <c r="C17" s="715" t="str">
        <f>'Rentabilidad x Cedi'!Y$14</f>
        <v>Suc. Chapala</v>
      </c>
      <c r="D17" s="716">
        <f>IF('Rentabilidad x Cedi'!Y20="","",'Rentabilidad x Cedi'!Y20)</f>
        <v>2</v>
      </c>
      <c r="E17" s="716">
        <f>IF('Rentabilidad x Cedi'!Y29="","",'Rentabilidad x Cedi'!Y29)</f>
        <v>305.40623602830698</v>
      </c>
      <c r="F17" s="716">
        <f>IF('Rentabilidad x Cedi'!Y30="","",'Rentabilidad x Cedi'!Y30)</f>
        <v>17.347374988829007</v>
      </c>
      <c r="G17" s="716">
        <f>IF('Rentabilidad x Cedi'!Y31="","",'Rentabilidad x Cedi'!Y31)</f>
        <v>322.753611017136</v>
      </c>
      <c r="H17" s="717">
        <f>IF('Rentabilidad x Cedi'!Y33="","",'Rentabilidad x Cedi'!Y33)</f>
        <v>0</v>
      </c>
      <c r="I17" s="717">
        <f>IF('Rentabilidad x Cedi'!Y34="","",'Rentabilidad x Cedi'!Y34)</f>
        <v>2530.5817470024854</v>
      </c>
      <c r="J17" s="717">
        <f>IF('Rentabilidad x Cedi'!Y35="","",'Rentabilidad x Cedi'!Y35)</f>
        <v>1412.3233396090609</v>
      </c>
      <c r="K17" s="717">
        <f>IF('Rentabilidad x Cedi'!Y36="","",'Rentabilidad x Cedi'!Y36)</f>
        <v>3942.9050866115463</v>
      </c>
      <c r="L17" s="717">
        <f>IF('Rentabilidad x Cedi'!Y38="","",'Rentabilidad x Cedi'!Y38)</f>
        <v>3918.8766163506693</v>
      </c>
      <c r="M17" s="717">
        <f t="shared" si="2"/>
        <v>1959.4383081753347</v>
      </c>
      <c r="N17" s="717">
        <f>IF('Rentabilidad x Cedi'!Y276="","",'Rentabilidad x Cedi'!Y276)</f>
        <v>2422.618209447789</v>
      </c>
      <c r="O17" s="717">
        <f t="shared" si="0"/>
        <v>1211.3091047238945</v>
      </c>
      <c r="P17" s="718">
        <f t="shared" si="1"/>
        <v>0.61819200924569451</v>
      </c>
      <c r="Q17" s="717">
        <f>IFERROR('Rentabilidad x Cedi'!Y78,"")</f>
        <v>-1263.2529147304876</v>
      </c>
      <c r="R17" s="718">
        <f>IFERROR('Rentabilidad x Cedi'!Y79,"")</f>
        <v>-0.3203863362118366</v>
      </c>
      <c r="S17" s="733">
        <f>IFERROR('Rentabilidad x Cedi'!Y79,"")</f>
        <v>-0.3203863362118366</v>
      </c>
    </row>
    <row r="18" spans="1:19">
      <c r="A18" s="715" t="str">
        <f>'Rentabilidad x Cedi'!$AR$13</f>
        <v>Occidente</v>
      </c>
      <c r="B18" s="715" t="str">
        <f>'Rentabilidad x Cedi'!$AE$13</f>
        <v>Zapopan</v>
      </c>
      <c r="C18" s="715" t="str">
        <f>'Rentabilidad x Cedi'!Z$14</f>
        <v>Suc. Cocula</v>
      </c>
      <c r="D18" s="716">
        <f>IF('Rentabilidad x Cedi'!Z20="","",'Rentabilidad x Cedi'!Z20)</f>
        <v>1</v>
      </c>
      <c r="E18" s="716">
        <f>IF('Rentabilidad x Cedi'!Z29="","",'Rentabilidad x Cedi'!Z29)</f>
        <v>195.39997880347619</v>
      </c>
      <c r="F18" s="716">
        <f>IF('Rentabilidad x Cedi'!Z30="","",'Rentabilidad x Cedi'!Z30)</f>
        <v>11.098911237683319</v>
      </c>
      <c r="G18" s="716">
        <f>IF('Rentabilidad x Cedi'!Z31="","",'Rentabilidad x Cedi'!Z31)</f>
        <v>206.49889004115951</v>
      </c>
      <c r="H18" s="717">
        <f>IF('Rentabilidad x Cedi'!Z33="","",'Rentabilidad x Cedi'!Z33)</f>
        <v>0</v>
      </c>
      <c r="I18" s="717">
        <f>IF('Rentabilidad x Cedi'!Z34="","",'Rentabilidad x Cedi'!Z34)</f>
        <v>2326.7658216792943</v>
      </c>
      <c r="J18" s="717">
        <f>IF('Rentabilidad x Cedi'!Z35="","",'Rentabilidad x Cedi'!Z35)</f>
        <v>1298.5732152912324</v>
      </c>
      <c r="K18" s="717">
        <f>IF('Rentabilidad x Cedi'!Z36="","",'Rentabilidad x Cedi'!Z36)</f>
        <v>3625.3390369705266</v>
      </c>
      <c r="L18" s="717">
        <f>IF('Rentabilidad x Cedi'!Z38="","",'Rentabilidad x Cedi'!Z38)</f>
        <v>3603.2458469692669</v>
      </c>
      <c r="M18" s="717">
        <f t="shared" si="2"/>
        <v>3603.2458469692669</v>
      </c>
      <c r="N18" s="717">
        <f>IF('Rentabilidad x Cedi'!Z276="","",'Rentabilidad x Cedi'!Z276)</f>
        <v>1335.4258374033043</v>
      </c>
      <c r="O18" s="717">
        <f t="shared" si="0"/>
        <v>1335.4258374033043</v>
      </c>
      <c r="P18" s="718">
        <f t="shared" si="1"/>
        <v>0.37061746384209304</v>
      </c>
      <c r="Q18" s="717">
        <f>IFERROR('Rentabilidad x Cedi'!Z78,"")</f>
        <v>480.82735010776037</v>
      </c>
      <c r="R18" s="718">
        <f>IFERROR('Rentabilidad x Cedi'!Z79,"")</f>
        <v>0.1326296231067973</v>
      </c>
      <c r="S18" s="733">
        <f>IFERROR('Rentabilidad x Cedi'!Z79,"")</f>
        <v>0.1326296231067973</v>
      </c>
    </row>
    <row r="19" spans="1:19">
      <c r="A19" s="715" t="str">
        <f>'Rentabilidad x Cedi'!$AR$13</f>
        <v>Occidente</v>
      </c>
      <c r="B19" s="715" t="str">
        <f>'Rentabilidad x Cedi'!$AE$13</f>
        <v>Zapopan</v>
      </c>
      <c r="C19" s="715" t="str">
        <f>'Rentabilidad x Cedi'!AA$14</f>
        <v>Suc. Huentitán</v>
      </c>
      <c r="D19" s="716">
        <f>IF('Rentabilidad x Cedi'!AA20="","",'Rentabilidad x Cedi'!AA20)</f>
        <v>29</v>
      </c>
      <c r="E19" s="716">
        <f>IF('Rentabilidad x Cedi'!AA29="","",'Rentabilidad x Cedi'!AA29)</f>
        <v>3898.9313290399286</v>
      </c>
      <c r="F19" s="716">
        <f>IF('Rentabilidad x Cedi'!AA30="","",'Rentabilidad x Cedi'!AA30)</f>
        <v>221.46313939143056</v>
      </c>
      <c r="G19" s="716">
        <f>IF('Rentabilidad x Cedi'!AA31="","",'Rentabilidad x Cedi'!AA31)</f>
        <v>4120.3944684313592</v>
      </c>
      <c r="H19" s="717">
        <f>IF('Rentabilidad x Cedi'!AA33="","",'Rentabilidad x Cedi'!AA33)</f>
        <v>0</v>
      </c>
      <c r="I19" s="717">
        <f>IF('Rentabilidad x Cedi'!AA34="","",'Rentabilidad x Cedi'!AA34)</f>
        <v>53674.7462523621</v>
      </c>
      <c r="J19" s="717">
        <f>IF('Rentabilidad x Cedi'!AA35="","",'Rentabilidad x Cedi'!AA35)</f>
        <v>29955.996074656945</v>
      </c>
      <c r="K19" s="717">
        <f>IF('Rentabilidad x Cedi'!AA36="","",'Rentabilidad x Cedi'!AA36)</f>
        <v>83630.742327019048</v>
      </c>
      <c r="L19" s="717">
        <f>IF('Rentabilidad x Cedi'!AA38="","",'Rentabilidad x Cedi'!AA38)</f>
        <v>83121.087957776603</v>
      </c>
      <c r="M19" s="717">
        <f t="shared" si="2"/>
        <v>2866.2444123371242</v>
      </c>
      <c r="N19" s="717">
        <f>IF('Rentabilidad x Cedi'!AA276="","",'Rentabilidad x Cedi'!AA276)</f>
        <v>33633.276216971761</v>
      </c>
      <c r="O19" s="717">
        <f t="shared" si="0"/>
        <v>1159.7681454128194</v>
      </c>
      <c r="P19" s="718">
        <f t="shared" si="1"/>
        <v>0.40462988446513848</v>
      </c>
      <c r="Q19" s="717">
        <f>IFERROR('Rentabilidad x Cedi'!AA78,"")</f>
        <v>12826.629033526515</v>
      </c>
      <c r="R19" s="718">
        <f>IFERROR('Rentabilidad x Cedi'!AA79,"")</f>
        <v>0.15337217722366844</v>
      </c>
      <c r="S19" s="733">
        <f>IFERROR('Rentabilidad x Cedi'!AA79,"")</f>
        <v>0.15337217722366844</v>
      </c>
    </row>
    <row r="20" spans="1:19">
      <c r="A20" s="715" t="str">
        <f>'Rentabilidad x Cedi'!$AR$13</f>
        <v>Occidente</v>
      </c>
      <c r="B20" s="715" t="str">
        <f>'Rentabilidad x Cedi'!$AE$13</f>
        <v>Zapopan</v>
      </c>
      <c r="C20" s="715" t="str">
        <f>'Rentabilidad x Cedi'!AB$14</f>
        <v>Suc. Tala</v>
      </c>
      <c r="D20" s="716">
        <f>IF('Rentabilidad x Cedi'!AB20="","",'Rentabilidad x Cedi'!AB20)</f>
        <v>2</v>
      </c>
      <c r="E20" s="716">
        <f>IF('Rentabilidad x Cedi'!AB29="","",'Rentabilidad x Cedi'!AB29)</f>
        <v>305.66382164485213</v>
      </c>
      <c r="F20" s="716">
        <f>IF('Rentabilidad x Cedi'!AB30="","",'Rentabilidad x Cedi'!AB30)</f>
        <v>17.362006105534569</v>
      </c>
      <c r="G20" s="716">
        <f>IF('Rentabilidad x Cedi'!AB31="","",'Rentabilidad x Cedi'!AB31)</f>
        <v>323.02582775038672</v>
      </c>
      <c r="H20" s="717">
        <f>IF('Rentabilidad x Cedi'!AB33="","",'Rentabilidad x Cedi'!AB33)</f>
        <v>0</v>
      </c>
      <c r="I20" s="717">
        <f>IF('Rentabilidad x Cedi'!AB34="","",'Rentabilidad x Cedi'!AB34)</f>
        <v>3168.6317820683303</v>
      </c>
      <c r="J20" s="717">
        <f>IF('Rentabilidad x Cedi'!AB35="","",'Rentabilidad x Cedi'!AB35)</f>
        <v>1768.4204929333027</v>
      </c>
      <c r="K20" s="717">
        <f>IF('Rentabilidad x Cedi'!AB36="","",'Rentabilidad x Cedi'!AB36)</f>
        <v>4937.0522750016335</v>
      </c>
      <c r="L20" s="717">
        <f>IF('Rentabilidad x Cedi'!AB38="","",'Rentabilidad x Cedi'!AB38)</f>
        <v>4906.9653692404254</v>
      </c>
      <c r="M20" s="717">
        <f t="shared" si="2"/>
        <v>2453.4826846202127</v>
      </c>
      <c r="N20" s="717">
        <f>IF('Rentabilidad x Cedi'!AB276="","",'Rentabilidad x Cedi'!AB276)</f>
        <v>2424.297614128343</v>
      </c>
      <c r="O20" s="717">
        <f t="shared" si="0"/>
        <v>1212.1488070641715</v>
      </c>
      <c r="P20" s="718">
        <f t="shared" si="1"/>
        <v>0.49405231781849984</v>
      </c>
      <c r="Q20" s="717">
        <f>IFERROR('Rentabilidad x Cedi'!AB78,"")</f>
        <v>-314.88447490682393</v>
      </c>
      <c r="R20" s="718">
        <f>IFERROR('Rentabilidad x Cedi'!AB79,"")</f>
        <v>-6.3779854327493377E-2</v>
      </c>
      <c r="S20" s="733">
        <f>IFERROR('Rentabilidad x Cedi'!AB79,"")</f>
        <v>-6.3779854327493377E-2</v>
      </c>
    </row>
    <row r="21" spans="1:19">
      <c r="A21" s="715" t="str">
        <f>'Rentabilidad x Cedi'!$AR$13</f>
        <v>Occidente</v>
      </c>
      <c r="B21" s="715" t="str">
        <f>'Rentabilidad x Cedi'!$AE$13</f>
        <v>Zapopan</v>
      </c>
      <c r="C21" s="715" t="str">
        <f>'Rentabilidad x Cedi'!AC$14</f>
        <v>Suc. Tequila</v>
      </c>
      <c r="D21" s="716">
        <f>IF('Rentabilidad x Cedi'!AC20="","",'Rentabilidad x Cedi'!AC20)</f>
        <v>1</v>
      </c>
      <c r="E21" s="716">
        <f>IF('Rentabilidad x Cedi'!AC29="","",'Rentabilidad x Cedi'!AC29)</f>
        <v>0</v>
      </c>
      <c r="F21" s="716">
        <f>IF('Rentabilidad x Cedi'!AC30="","",'Rentabilidad x Cedi'!AC30)</f>
        <v>0</v>
      </c>
      <c r="G21" s="716">
        <f>IF('Rentabilidad x Cedi'!AC31="","",'Rentabilidad x Cedi'!AC31)</f>
        <v>0</v>
      </c>
      <c r="H21" s="717">
        <f>IF('Rentabilidad x Cedi'!AC33="","",'Rentabilidad x Cedi'!AC33)</f>
        <v>0</v>
      </c>
      <c r="I21" s="717">
        <f>IF('Rentabilidad x Cedi'!AC34="","",'Rentabilidad x Cedi'!AC34)</f>
        <v>0</v>
      </c>
      <c r="J21" s="717">
        <f>IF('Rentabilidad x Cedi'!AC35="","",'Rentabilidad x Cedi'!AC35)</f>
        <v>0</v>
      </c>
      <c r="K21" s="717">
        <f>IF('Rentabilidad x Cedi'!AC36="","",'Rentabilidad x Cedi'!AC36)</f>
        <v>0</v>
      </c>
      <c r="L21" s="717">
        <f>IF('Rentabilidad x Cedi'!AC38="","",'Rentabilidad x Cedi'!AC38)</f>
        <v>0</v>
      </c>
      <c r="M21" s="717">
        <f t="shared" si="2"/>
        <v>0</v>
      </c>
      <c r="N21" s="717">
        <f>IF('Rentabilidad x Cedi'!AC276="","",'Rentabilidad x Cedi'!AC276)</f>
        <v>771.14103879071729</v>
      </c>
      <c r="O21" s="717">
        <f t="shared" si="0"/>
        <v>771.14103879071729</v>
      </c>
      <c r="P21" s="718" t="str">
        <f t="shared" si="1"/>
        <v/>
      </c>
      <c r="Q21" s="717">
        <f>IFERROR('Rentabilidad x Cedi'!AC78,"")</f>
        <v>-837.02077837862248</v>
      </c>
      <c r="R21" s="718">
        <f>IFERROR('Rentabilidad x Cedi'!AC79,"")</f>
        <v>0</v>
      </c>
      <c r="S21" s="733">
        <f>IFERROR('Rentabilidad x Cedi'!AC79,"")</f>
        <v>0</v>
      </c>
    </row>
    <row r="22" spans="1:19">
      <c r="A22" s="715" t="str">
        <f>'Rentabilidad x Cedi'!$AR$13</f>
        <v>Occidente</v>
      </c>
      <c r="B22" s="715" t="str">
        <f>'Rentabilidad x Cedi'!$AE$13</f>
        <v>Zapopan</v>
      </c>
      <c r="C22" s="715" t="str">
        <f>'Rentabilidad x Cedi'!AD$14</f>
        <v>Suc. Zacoalco</v>
      </c>
      <c r="D22" s="716">
        <f>IF('Rentabilidad x Cedi'!AD20="","",'Rentabilidad x Cedi'!AD20)</f>
        <v>1</v>
      </c>
      <c r="E22" s="716">
        <f>IF('Rentabilidad x Cedi'!AD29="","",'Rentabilidad x Cedi'!AD29)</f>
        <v>135.07842555278464</v>
      </c>
      <c r="F22" s="716">
        <f>IF('Rentabilidad x Cedi'!AD30="","",'Rentabilidad x Cedi'!AD30)</f>
        <v>7.6725876047520813</v>
      </c>
      <c r="G22" s="716">
        <f>IF('Rentabilidad x Cedi'!AD31="","",'Rentabilidad x Cedi'!AD31)</f>
        <v>142.7510131575367</v>
      </c>
      <c r="H22" s="717">
        <f>IF('Rentabilidad x Cedi'!AD33="","",'Rentabilidad x Cedi'!AD33)</f>
        <v>0</v>
      </c>
      <c r="I22" s="717">
        <f>IF('Rentabilidad x Cedi'!AD34="","",'Rentabilidad x Cedi'!AD34)</f>
        <v>1715.6935860472513</v>
      </c>
      <c r="J22" s="717">
        <f>IF('Rentabilidad x Cedi'!AD35="","",'Rentabilidad x Cedi'!AD35)</f>
        <v>957.53243224105165</v>
      </c>
      <c r="K22" s="717">
        <f>IF('Rentabilidad x Cedi'!AD36="","",'Rentabilidad x Cedi'!AD36)</f>
        <v>2673.2260182883028</v>
      </c>
      <c r="L22" s="717">
        <f>IF('Rentabilidad x Cedi'!AD38="","",'Rentabilidad x Cedi'!AD38)</f>
        <v>2656.9351032218578</v>
      </c>
      <c r="M22" s="717">
        <f t="shared" si="2"/>
        <v>2656.9351032218578</v>
      </c>
      <c r="N22" s="717">
        <f>IF('Rentabilidad x Cedi'!AD276="","",'Rentabilidad x Cedi'!AD276)</f>
        <v>1161.3845268158834</v>
      </c>
      <c r="O22" s="717">
        <f t="shared" si="0"/>
        <v>1161.3845268158834</v>
      </c>
      <c r="P22" s="718">
        <f t="shared" si="1"/>
        <v>0.43711437490797689</v>
      </c>
      <c r="Q22" s="717">
        <f>IFERROR('Rentabilidad x Cedi'!AD78,"")</f>
        <v>233.83914694095733</v>
      </c>
      <c r="R22" s="718">
        <f>IFERROR('Rentabilidad x Cedi'!AD79,"")</f>
        <v>8.7474514066972611E-2</v>
      </c>
      <c r="S22" s="733">
        <f>IFERROR('Rentabilidad x Cedi'!AD79,"")</f>
        <v>8.7474514066972611E-2</v>
      </c>
    </row>
    <row r="23" spans="1:19">
      <c r="A23" s="715" t="str">
        <f>'Rentabilidad x Cedi'!$AR$13</f>
        <v>Occidente</v>
      </c>
      <c r="B23" s="715" t="str">
        <f>'Rentabilidad x Cedi'!$AL$13</f>
        <v>Aguascalientes</v>
      </c>
      <c r="C23" s="715" t="str">
        <f>'Rentabilidad x Cedi'!AF$14</f>
        <v>Planta Aguascalientes</v>
      </c>
      <c r="D23" s="716">
        <f>IF('Rentabilidad x Cedi'!AF20="","",'Rentabilidad x Cedi'!AF20)</f>
        <v>19</v>
      </c>
      <c r="E23" s="716">
        <f>IF('Rentabilidad x Cedi'!AF29="","",'Rentabilidad x Cedi'!AF29)</f>
        <v>2668.0120594364098</v>
      </c>
      <c r="F23" s="716">
        <f>IF('Rentabilidad x Cedi'!AF30="","",'Rentabilidad x Cedi'!AF30)</f>
        <v>132.34398785695279</v>
      </c>
      <c r="G23" s="716">
        <f>IF('Rentabilidad x Cedi'!AF31="","",'Rentabilidad x Cedi'!AF31)</f>
        <v>2800.3560472933627</v>
      </c>
      <c r="H23" s="717">
        <f>IF('Rentabilidad x Cedi'!AF33="","",'Rentabilidad x Cedi'!AF33)</f>
        <v>0</v>
      </c>
      <c r="I23" s="717">
        <f>IF('Rentabilidad x Cedi'!AF34="","",'Rentabilidad x Cedi'!AF34)</f>
        <v>39159.806224508538</v>
      </c>
      <c r="J23" s="717">
        <f>IF('Rentabilidad x Cedi'!AF35="","",'Rentabilidad x Cedi'!AF35)</f>
        <v>15623.457689601919</v>
      </c>
      <c r="K23" s="717">
        <f>IF('Rentabilidad x Cedi'!AF36="","",'Rentabilidad x Cedi'!AF36)</f>
        <v>54783.263914110459</v>
      </c>
      <c r="L23" s="717">
        <f>IF('Rentabilidad x Cedi'!AF38="","",'Rentabilidad x Cedi'!AF38)</f>
        <v>54240.348183647919</v>
      </c>
      <c r="M23" s="717">
        <f t="shared" si="2"/>
        <v>2854.7551675604168</v>
      </c>
      <c r="N23" s="717">
        <f>IF('Rentabilidad x Cedi'!AF276="","",'Rentabilidad x Cedi'!AF276)</f>
        <v>21423.752523788604</v>
      </c>
      <c r="O23" s="717">
        <f t="shared" si="0"/>
        <v>1127.5659223046634</v>
      </c>
      <c r="P23" s="718">
        <f t="shared" si="1"/>
        <v>0.39497815263374947</v>
      </c>
      <c r="Q23" s="717">
        <f>IFERROR('Rentabilidad x Cedi'!AF78,"")</f>
        <v>12900.733522890558</v>
      </c>
      <c r="R23" s="718">
        <f>IFERROR('Rentabilidad x Cedi'!AF79,"")</f>
        <v>0.23548676367871049</v>
      </c>
      <c r="S23" s="733">
        <f>IFERROR('Rentabilidad x Cedi'!AF79,"")</f>
        <v>0.23548676367871049</v>
      </c>
    </row>
    <row r="24" spans="1:19">
      <c r="A24" s="715" t="str">
        <f>'Rentabilidad x Cedi'!$AR$13</f>
        <v>Occidente</v>
      </c>
      <c r="B24" s="715" t="str">
        <f>'Rentabilidad x Cedi'!$AL$13</f>
        <v>Aguascalientes</v>
      </c>
      <c r="C24" s="715" t="str">
        <f>'Rentabilidad x Cedi'!AG$14</f>
        <v>Planta Trojes</v>
      </c>
      <c r="D24" s="716">
        <f>IF('Rentabilidad x Cedi'!AG20="","",'Rentabilidad x Cedi'!AG20)</f>
        <v>14</v>
      </c>
      <c r="E24" s="716">
        <f>IF('Rentabilidad x Cedi'!AG29="","",'Rentabilidad x Cedi'!AG29)</f>
        <v>1797.0523956578443</v>
      </c>
      <c r="F24" s="716">
        <f>IF('Rentabilidad x Cedi'!AG30="","",'Rentabilidad x Cedi'!AG30)</f>
        <v>89.140931574158117</v>
      </c>
      <c r="G24" s="716">
        <f>IF('Rentabilidad x Cedi'!AG31="","",'Rentabilidad x Cedi'!AG31)</f>
        <v>1886.1933272320025</v>
      </c>
      <c r="H24" s="717">
        <f>IF('Rentabilidad x Cedi'!AG33="","",'Rentabilidad x Cedi'!AG33)</f>
        <v>0</v>
      </c>
      <c r="I24" s="717">
        <f>IF('Rentabilidad x Cedi'!AG34="","",'Rentabilidad x Cedi'!AG34)</f>
        <v>27967.721545811466</v>
      </c>
      <c r="J24" s="717">
        <f>IF('Rentabilidad x Cedi'!AG35="","",'Rentabilidad x Cedi'!AG35)</f>
        <v>11158.188877147266</v>
      </c>
      <c r="K24" s="717">
        <f>IF('Rentabilidad x Cedi'!AG36="","",'Rentabilidad x Cedi'!AG36)</f>
        <v>39125.910422958732</v>
      </c>
      <c r="L24" s="717">
        <f>IF('Rentabilidad x Cedi'!AG38="","",'Rentabilidad x Cedi'!AG38)</f>
        <v>38738.162948281133</v>
      </c>
      <c r="M24" s="717">
        <f t="shared" si="2"/>
        <v>2767.0116391629381</v>
      </c>
      <c r="N24" s="717">
        <f>IF('Rentabilidad x Cedi'!AG276="","",'Rentabilidad x Cedi'!AG276)</f>
        <v>15422.222690062908</v>
      </c>
      <c r="O24" s="717">
        <f t="shared" si="0"/>
        <v>1101.5873350044935</v>
      </c>
      <c r="P24" s="718">
        <f t="shared" si="1"/>
        <v>0.39811445655419792</v>
      </c>
      <c r="Q24" s="717">
        <f>IFERROR('Rentabilidad x Cedi'!AG78,"")</f>
        <v>9792.7890933453618</v>
      </c>
      <c r="R24" s="718">
        <f>IFERROR('Rentabilidad x Cedi'!AG79,"")</f>
        <v>0.25028910477694705</v>
      </c>
      <c r="S24" s="733">
        <f>IFERROR('Rentabilidad x Cedi'!AG79,"")</f>
        <v>0.25028910477694705</v>
      </c>
    </row>
    <row r="25" spans="1:19">
      <c r="A25" s="715" t="str">
        <f>'Rentabilidad x Cedi'!$AR$13</f>
        <v>Occidente</v>
      </c>
      <c r="B25" s="715" t="str">
        <f>'Rentabilidad x Cedi'!$AL$13</f>
        <v>Aguascalientes</v>
      </c>
      <c r="C25" s="715" t="str">
        <f>'Rentabilidad x Cedi'!AH$14</f>
        <v>Suc. Loreto</v>
      </c>
      <c r="D25" s="716">
        <f>IF('Rentabilidad x Cedi'!AH20="","",'Rentabilidad x Cedi'!AH20)</f>
        <v>1</v>
      </c>
      <c r="E25" s="716">
        <f>IF('Rentabilidad x Cedi'!AH29="","",'Rentabilidad x Cedi'!AH29)</f>
        <v>110.30565946772892</v>
      </c>
      <c r="F25" s="716">
        <f>IF('Rentabilidad x Cedi'!AH30="","",'Rentabilidad x Cedi'!AH30)</f>
        <v>5.4715985280194062</v>
      </c>
      <c r="G25" s="716">
        <f>IF('Rentabilidad x Cedi'!AH31="","",'Rentabilidad x Cedi'!AH31)</f>
        <v>115.77725799574833</v>
      </c>
      <c r="H25" s="717">
        <f>IF('Rentabilidad x Cedi'!AH33="","",'Rentabilidad x Cedi'!AH33)</f>
        <v>0</v>
      </c>
      <c r="I25" s="717">
        <f>IF('Rentabilidad x Cedi'!AH34="","",'Rentabilidad x Cedi'!AH34)</f>
        <v>1438.9727059598622</v>
      </c>
      <c r="J25" s="717">
        <f>IF('Rentabilidad x Cedi'!AH35="","",'Rentabilidad x Cedi'!AH35)</f>
        <v>574.10215615381378</v>
      </c>
      <c r="K25" s="717">
        <f>IF('Rentabilidad x Cedi'!AH36="","",'Rentabilidad x Cedi'!AH36)</f>
        <v>2013.0748621136759</v>
      </c>
      <c r="L25" s="717">
        <f>IF('Rentabilidad x Cedi'!AH38="","",'Rentabilidad x Cedi'!AH38)</f>
        <v>1993.1247910307675</v>
      </c>
      <c r="M25" s="717">
        <f t="shared" si="2"/>
        <v>1993.1247910307675</v>
      </c>
      <c r="N25" s="717">
        <f>IF('Rentabilidad x Cedi'!AH276="","",'Rentabilidad x Cedi'!AH276)</f>
        <v>1062.6969473042786</v>
      </c>
      <c r="O25" s="717">
        <f t="shared" si="0"/>
        <v>1062.6969473042786</v>
      </c>
      <c r="P25" s="718">
        <f t="shared" si="1"/>
        <v>0.5331813402183877</v>
      </c>
      <c r="Q25" s="717">
        <f>IFERROR('Rentabilidad x Cedi'!AH78,"")</f>
        <v>110.55627141465834</v>
      </c>
      <c r="R25" s="718">
        <f>IFERROR('Rentabilidad x Cedi'!AH79,"")</f>
        <v>5.4919105839202204E-2</v>
      </c>
      <c r="S25" s="733">
        <f>IFERROR('Rentabilidad x Cedi'!AH79,"")</f>
        <v>5.4919105839202204E-2</v>
      </c>
    </row>
    <row r="26" spans="1:19">
      <c r="A26" s="715" t="str">
        <f>'Rentabilidad x Cedi'!$AR$13</f>
        <v>Occidente</v>
      </c>
      <c r="B26" s="715" t="str">
        <f>'Rentabilidad x Cedi'!$AL$13</f>
        <v>Aguascalientes</v>
      </c>
      <c r="C26" s="715" t="str">
        <f>'Rentabilidad x Cedi'!AI$14</f>
        <v>Sucursal Jalpa</v>
      </c>
      <c r="D26" s="716">
        <f>IF('Rentabilidad x Cedi'!AI20="","",'Rentabilidad x Cedi'!AI20)</f>
        <v>1</v>
      </c>
      <c r="E26" s="716">
        <f>IF('Rentabilidad x Cedi'!AI29="","",'Rentabilidad x Cedi'!AI29)</f>
        <v>246.44520383039932</v>
      </c>
      <c r="F26" s="716">
        <f>IF('Rentabilidad x Cedi'!AI30="","",'Rentabilidad x Cedi'!AI30)</f>
        <v>12.224660285090437</v>
      </c>
      <c r="G26" s="716">
        <f>IF('Rentabilidad x Cedi'!AI31="","",'Rentabilidad x Cedi'!AI31)</f>
        <v>258.66986411548976</v>
      </c>
      <c r="H26" s="717">
        <f>IF('Rentabilidad x Cedi'!AI33="","",'Rentabilidad x Cedi'!AI33)</f>
        <v>0</v>
      </c>
      <c r="I26" s="717">
        <f>IF('Rentabilidad x Cedi'!AI34="","",'Rentabilidad x Cedi'!AI34)</f>
        <v>3050.0458764208929</v>
      </c>
      <c r="J26" s="717">
        <f>IF('Rentabilidad x Cedi'!AI35="","",'Rentabilidad x Cedi'!AI35)</f>
        <v>1216.8666624244684</v>
      </c>
      <c r="K26" s="717">
        <f>IF('Rentabilidad x Cedi'!AI36="","",'Rentabilidad x Cedi'!AI36)</f>
        <v>4266.9125388453613</v>
      </c>
      <c r="L26" s="717">
        <f>IF('Rentabilidad x Cedi'!AI38="","",'Rentabilidad x Cedi'!AI38)</f>
        <v>4224.6263774826693</v>
      </c>
      <c r="M26" s="717">
        <f t="shared" si="2"/>
        <v>4224.6263774826693</v>
      </c>
      <c r="N26" s="717">
        <f>IF('Rentabilidad x Cedi'!AI276="","",'Rentabilidad x Cedi'!AI276)</f>
        <v>1355.9372357528496</v>
      </c>
      <c r="O26" s="717">
        <f t="shared" si="0"/>
        <v>1355.9372357528496</v>
      </c>
      <c r="P26" s="718">
        <f t="shared" si="1"/>
        <v>0.32096027307409197</v>
      </c>
      <c r="Q26" s="717">
        <f>IFERROR('Rentabilidad x Cedi'!AI78,"")</f>
        <v>1075.9761243887983</v>
      </c>
      <c r="R26" s="718">
        <f>IFERROR('Rentabilidad x Cedi'!AI79,"")</f>
        <v>0.25216737268300338</v>
      </c>
      <c r="S26" s="733">
        <f>IFERROR('Rentabilidad x Cedi'!AI79,"")</f>
        <v>0.25216737268300338</v>
      </c>
    </row>
    <row r="27" spans="1:19">
      <c r="A27" s="715" t="str">
        <f>'Rentabilidad x Cedi'!$AR$13</f>
        <v>Occidente</v>
      </c>
      <c r="B27" s="715" t="str">
        <f>'Rentabilidad x Cedi'!$AL$13</f>
        <v>Aguascalientes</v>
      </c>
      <c r="C27" s="715" t="str">
        <f>'Rentabilidad x Cedi'!AJ$14</f>
        <v>Sucursal Juchipila</v>
      </c>
      <c r="D27" s="716">
        <f>IF('Rentabilidad x Cedi'!AJ20="","",'Rentabilidad x Cedi'!AJ20)</f>
        <v>1</v>
      </c>
      <c r="E27" s="716">
        <f>IF('Rentabilidad x Cedi'!AJ29="","",'Rentabilidad x Cedi'!AJ29)</f>
        <v>102.75299140568387</v>
      </c>
      <c r="F27" s="716">
        <f>IF('Rentabilidad x Cedi'!AJ30="","",'Rentabilidad x Cedi'!AJ30)</f>
        <v>5.0969562145577392</v>
      </c>
      <c r="G27" s="716">
        <f>IF('Rentabilidad x Cedi'!AJ31="","",'Rentabilidad x Cedi'!AJ31)</f>
        <v>107.84994762024161</v>
      </c>
      <c r="H27" s="717">
        <f>IF('Rentabilidad x Cedi'!AJ33="","",'Rentabilidad x Cedi'!AJ33)</f>
        <v>0</v>
      </c>
      <c r="I27" s="717">
        <f>IF('Rentabilidad x Cedi'!AJ34="","",'Rentabilidad x Cedi'!AJ34)</f>
        <v>1195.6059729376898</v>
      </c>
      <c r="J27" s="717">
        <f>IF('Rentabilidad x Cedi'!AJ35="","",'Rentabilidad x Cedi'!AJ35)</f>
        <v>477.00693983354267</v>
      </c>
      <c r="K27" s="717">
        <f>IF('Rentabilidad x Cedi'!AJ36="","",'Rentabilidad x Cedi'!AJ36)</f>
        <v>1672.6129127712325</v>
      </c>
      <c r="L27" s="717">
        <f>IF('Rentabilidad x Cedi'!AJ38="","",'Rentabilidad x Cedi'!AJ38)</f>
        <v>1656.0369040335643</v>
      </c>
      <c r="M27" s="717">
        <f t="shared" si="2"/>
        <v>1656.0369040335643</v>
      </c>
      <c r="N27" s="717">
        <f>IF('Rentabilidad x Cedi'!AJ276="","",'Rentabilidad x Cedi'!AJ276)</f>
        <v>1046.428738302709</v>
      </c>
      <c r="O27" s="717">
        <f t="shared" si="0"/>
        <v>1046.428738302709</v>
      </c>
      <c r="P27" s="718">
        <f t="shared" si="1"/>
        <v>0.63188733038131628</v>
      </c>
      <c r="Q27" s="717">
        <f>IFERROR('Rentabilidad x Cedi'!AJ78,"")</f>
        <v>-148.68524498439376</v>
      </c>
      <c r="R27" s="718">
        <f>IFERROR('Rentabilidad x Cedi'!AJ79,"")</f>
        <v>-8.8893995645440663E-2</v>
      </c>
      <c r="S27" s="733">
        <f>IFERROR('Rentabilidad x Cedi'!AJ79,"")</f>
        <v>-8.8893995645440663E-2</v>
      </c>
    </row>
    <row r="28" spans="1:19">
      <c r="A28" s="715" t="str">
        <f>'Rentabilidad x Cedi'!$AR$13</f>
        <v>Occidente</v>
      </c>
      <c r="B28" s="715" t="str">
        <f>'Rentabilidad x Cedi'!$AL$13</f>
        <v>Aguascalientes</v>
      </c>
      <c r="C28" s="715" t="str">
        <f>'Rentabilidad x Cedi'!AK$14</f>
        <v>Sucursal Teocaltiche</v>
      </c>
      <c r="D28" s="716">
        <f>IF('Rentabilidad x Cedi'!AK20="","",'Rentabilidad x Cedi'!AK20)</f>
        <v>1</v>
      </c>
      <c r="E28" s="716">
        <f>IF('Rentabilidad x Cedi'!AK29="","",'Rentabilidad x Cedi'!AK29)</f>
        <v>119.086481864934</v>
      </c>
      <c r="F28" s="716">
        <f>IF('Rentabilidad x Cedi'!AK30="","",'Rentabilidad x Cedi'!AK30)</f>
        <v>5.907162171219448</v>
      </c>
      <c r="G28" s="716">
        <f>IF('Rentabilidad x Cedi'!AK31="","",'Rentabilidad x Cedi'!AK31)</f>
        <v>124.99364403615346</v>
      </c>
      <c r="H28" s="717">
        <f>IF('Rentabilidad x Cedi'!AK33="","",'Rentabilidad x Cedi'!AK33)</f>
        <v>0</v>
      </c>
      <c r="I28" s="717">
        <f>IF('Rentabilidad x Cedi'!AK34="","",'Rentabilidad x Cedi'!AK34)</f>
        <v>1356.6314896139133</v>
      </c>
      <c r="J28" s="717">
        <f>IF('Rentabilidad x Cedi'!AK35="","",'Rentabilidad x Cedi'!AK35)</f>
        <v>541.2507548390098</v>
      </c>
      <c r="K28" s="717">
        <f>IF('Rentabilidad x Cedi'!AK36="","",'Rentabilidad x Cedi'!AK36)</f>
        <v>1897.8822444529233</v>
      </c>
      <c r="L28" s="717">
        <f>IF('Rentabilidad x Cedi'!AK38="","",'Rentabilidad x Cedi'!AK38)</f>
        <v>1879.0737607763299</v>
      </c>
      <c r="M28" s="717">
        <f t="shared" si="2"/>
        <v>1879.0737607763299</v>
      </c>
      <c r="N28" s="717">
        <f>IF('Rentabilidad x Cedi'!AK276="","",'Rentabilidad x Cedi'!AK276)</f>
        <v>1081.6105620414683</v>
      </c>
      <c r="O28" s="717">
        <f t="shared" si="0"/>
        <v>1081.6105620414683</v>
      </c>
      <c r="P28" s="718">
        <f t="shared" si="1"/>
        <v>0.57560835802135102</v>
      </c>
      <c r="Q28" s="717">
        <f>IFERROR('Rentabilidad x Cedi'!AK78,"")</f>
        <v>-75.953961854729755</v>
      </c>
      <c r="R28" s="718">
        <f>IFERROR('Rentabilidad x Cedi'!AK79,"")</f>
        <v>-4.0020376436275672E-2</v>
      </c>
      <c r="S28" s="733">
        <f>IFERROR('Rentabilidad x Cedi'!AK79,"")</f>
        <v>-4.0020376436275672E-2</v>
      </c>
    </row>
    <row r="29" spans="1:19">
      <c r="A29" s="715" t="str">
        <f>'Rentabilidad x Cedi'!$AR$13</f>
        <v>Occidente</v>
      </c>
      <c r="B29" s="715" t="str">
        <f>'Rentabilidad x Cedi'!$AO$13</f>
        <v>San Luis</v>
      </c>
      <c r="C29" s="715" t="str">
        <f>'Rentabilidad x Cedi'!AM$14</f>
        <v>Planta San Luis</v>
      </c>
      <c r="D29" s="716">
        <f>IF('Rentabilidad x Cedi'!AM20="","",'Rentabilidad x Cedi'!AM20)</f>
        <v>47</v>
      </c>
      <c r="E29" s="716">
        <f>IF('Rentabilidad x Cedi'!AM29="","",'Rentabilidad x Cedi'!AM29)</f>
        <v>7029.574982684645</v>
      </c>
      <c r="F29" s="716">
        <f>IF('Rentabilidad x Cedi'!AM30="","",'Rentabilidad x Cedi'!AM30)</f>
        <v>501.23635569732915</v>
      </c>
      <c r="G29" s="716">
        <f>IF('Rentabilidad x Cedi'!AM31="","",'Rentabilidad x Cedi'!AM31)</f>
        <v>7530.8113383819746</v>
      </c>
      <c r="H29" s="717">
        <f>IF('Rentabilidad x Cedi'!AM33="","",'Rentabilidad x Cedi'!AM33)</f>
        <v>0</v>
      </c>
      <c r="I29" s="717">
        <f>IF('Rentabilidad x Cedi'!AM34="","",'Rentabilidad x Cedi'!AM34)</f>
        <v>107662.77518105588</v>
      </c>
      <c r="J29" s="717">
        <f>IF('Rentabilidad x Cedi'!AM35="","",'Rentabilidad x Cedi'!AM35)</f>
        <v>65115.868646520175</v>
      </c>
      <c r="K29" s="717">
        <f>IF('Rentabilidad x Cedi'!AM36="","",'Rentabilidad x Cedi'!AM36)</f>
        <v>172778.64382757607</v>
      </c>
      <c r="L29" s="717">
        <f>IF('Rentabilidad x Cedi'!AM38="","",'Rentabilidad x Cedi'!AM38)</f>
        <v>171171.31674394585</v>
      </c>
      <c r="M29" s="717">
        <f t="shared" si="2"/>
        <v>3641.9429094456564</v>
      </c>
      <c r="N29" s="717">
        <f>IF('Rentabilidad x Cedi'!AM276="","",'Rentabilidad x Cedi'!AM276)</f>
        <v>61073.456721846684</v>
      </c>
      <c r="O29" s="717">
        <f t="shared" si="0"/>
        <v>1299.4352494009934</v>
      </c>
      <c r="P29" s="718">
        <f t="shared" si="1"/>
        <v>0.35679725951519148</v>
      </c>
      <c r="Q29" s="717">
        <f>IFERROR('Rentabilidad x Cedi'!AM78,"")</f>
        <v>37549.779785241881</v>
      </c>
      <c r="R29" s="718">
        <f>IFERROR('Rentabilidad x Cedi'!AM79,"")</f>
        <v>0.21732882579350821</v>
      </c>
      <c r="S29" s="733">
        <f>IFERROR('Rentabilidad x Cedi'!AM79,"")</f>
        <v>0.21732882579350821</v>
      </c>
    </row>
    <row r="30" spans="1:19">
      <c r="A30" s="715" t="str">
        <f>'Rentabilidad x Cedi'!$AR$13</f>
        <v>Occidente</v>
      </c>
      <c r="B30" s="715" t="str">
        <f>'Rentabilidad x Cedi'!$AO$13</f>
        <v>San Luis</v>
      </c>
      <c r="C30" s="715" t="str">
        <f>'Rentabilidad x Cedi'!AN$14</f>
        <v>Suc. Río Verde</v>
      </c>
      <c r="D30" s="716">
        <f>IF('Rentabilidad x Cedi'!AN20="","",'Rentabilidad x Cedi'!AN20)</f>
        <v>4</v>
      </c>
      <c r="E30" s="716">
        <f>IF('Rentabilidad x Cedi'!AN29="","",'Rentabilidad x Cedi'!AN29)</f>
        <v>490.44002534235386</v>
      </c>
      <c r="F30" s="716">
        <f>IF('Rentabilidad x Cedi'!AN30="","",'Rentabilidad x Cedi'!AN30)</f>
        <v>34.970303552665762</v>
      </c>
      <c r="G30" s="716">
        <f>IF('Rentabilidad x Cedi'!AN31="","",'Rentabilidad x Cedi'!AN31)</f>
        <v>525.41032889501957</v>
      </c>
      <c r="H30" s="717">
        <f>IF('Rentabilidad x Cedi'!AN33="","",'Rentabilidad x Cedi'!AN33)</f>
        <v>0</v>
      </c>
      <c r="I30" s="717">
        <f>IF('Rentabilidad x Cedi'!AN34="","",'Rentabilidad x Cedi'!AN34)</f>
        <v>7028.4908360678955</v>
      </c>
      <c r="J30" s="717">
        <f>IF('Rentabilidad x Cedi'!AN35="","",'Rentabilidad x Cedi'!AN35)</f>
        <v>4250.9241034797133</v>
      </c>
      <c r="K30" s="717">
        <f>IF('Rentabilidad x Cedi'!AN36="","",'Rentabilidad x Cedi'!AN36)</f>
        <v>11279.414939547609</v>
      </c>
      <c r="L30" s="717">
        <f>IF('Rentabilidad x Cedi'!AN38="","",'Rentabilidad x Cedi'!AN38)</f>
        <v>11174.484673177822</v>
      </c>
      <c r="M30" s="717">
        <f t="shared" si="2"/>
        <v>2793.6211682944554</v>
      </c>
      <c r="N30" s="717">
        <f>IF('Rentabilidad x Cedi'!AN276="","",'Rentabilidad x Cedi'!AN276)</f>
        <v>4868.5642180146951</v>
      </c>
      <c r="O30" s="717">
        <f t="shared" si="0"/>
        <v>1217.1410545036738</v>
      </c>
      <c r="P30" s="718">
        <f t="shared" si="1"/>
        <v>0.43568579316241196</v>
      </c>
      <c r="Q30" s="717">
        <f>IFERROR('Rentabilidad x Cedi'!AN78,"")</f>
        <v>1224.4903178740069</v>
      </c>
      <c r="R30" s="718">
        <f>IFERROR('Rentabilidad x Cedi'!AN79,"")</f>
        <v>0.10855973686903998</v>
      </c>
      <c r="S30" s="733">
        <f>IFERROR('Rentabilidad x Cedi'!AN79,"")</f>
        <v>0.10855973686903998</v>
      </c>
    </row>
    <row r="31" spans="1:19">
      <c r="A31" s="715" t="str">
        <f>'Rentabilidad x Cedi'!$AR$13</f>
        <v>Occidente</v>
      </c>
      <c r="B31" s="715" t="str">
        <f>'Rentabilidad x Cedi'!$AQ$13</f>
        <v>Matehuala</v>
      </c>
      <c r="C31" s="715" t="str">
        <f>'Rentabilidad x Cedi'!AP$14</f>
        <v>Planta Matehuala</v>
      </c>
      <c r="D31" s="716">
        <f>IF('Rentabilidad x Cedi'!AP20="","",'Rentabilidad x Cedi'!AP20)</f>
        <v>3</v>
      </c>
      <c r="E31" s="716">
        <f>IF('Rentabilidad x Cedi'!AP29="","",'Rentabilidad x Cedi'!AP29)</f>
        <v>451.90729427200006</v>
      </c>
      <c r="F31" s="716">
        <f>IF('Rentabilidad x Cedi'!AP30="","",'Rentabilidad x Cedi'!AP30)</f>
        <v>29.523065895000009</v>
      </c>
      <c r="G31" s="716">
        <f>IF('Rentabilidad x Cedi'!AP31="","",'Rentabilidad x Cedi'!AP31)</f>
        <v>481.43036016700006</v>
      </c>
      <c r="H31" s="717">
        <f>IF('Rentabilidad x Cedi'!AP33="","",'Rentabilidad x Cedi'!AP33)</f>
        <v>0</v>
      </c>
      <c r="I31" s="717">
        <f>IF('Rentabilidad x Cedi'!AP34="","",'Rentabilidad x Cedi'!AP34)</f>
        <v>5400.457417296986</v>
      </c>
      <c r="J31" s="717">
        <f>IF('Rentabilidad x Cedi'!AP35="","",'Rentabilidad x Cedi'!AP35)</f>
        <v>3299.232</v>
      </c>
      <c r="K31" s="717">
        <f>IF('Rentabilidad x Cedi'!AP36="","",'Rentabilidad x Cedi'!AP36)</f>
        <v>8699.689417296986</v>
      </c>
      <c r="L31" s="717">
        <f>IF('Rentabilidad x Cedi'!AP38="","",'Rentabilidad x Cedi'!AP38)</f>
        <v>8429.9944872969863</v>
      </c>
      <c r="M31" s="717">
        <f t="shared" si="2"/>
        <v>2809.9981624323286</v>
      </c>
      <c r="N31" s="717">
        <f>IF('Rentabilidad x Cedi'!AP276="","",'Rentabilidad x Cedi'!AP276)</f>
        <v>4518.7437575589584</v>
      </c>
      <c r="O31" s="717">
        <f t="shared" si="0"/>
        <v>1506.2479191863195</v>
      </c>
      <c r="P31" s="718">
        <f t="shared" si="1"/>
        <v>0.53603163849848012</v>
      </c>
      <c r="Q31" s="717">
        <f>IFERROR('Rentabilidad x Cedi'!AP78,"")</f>
        <v>20.272769250514102</v>
      </c>
      <c r="R31" s="718">
        <f>IFERROR('Rentabilidad x Cedi'!AP79,"")</f>
        <v>2.3302865514034524E-3</v>
      </c>
      <c r="S31" s="733">
        <f>IFERROR('Rentabilidad x Cedi'!AP79,"")</f>
        <v>2.3302865514034524E-3</v>
      </c>
    </row>
    <row r="32" spans="1:19">
      <c r="A32" s="715" t="str">
        <f>'Rentabilidad x Cedi'!$BP$13</f>
        <v>Noreste</v>
      </c>
      <c r="B32" s="715" t="str">
        <f>'Rentabilidad x Cedi'!$BA$13</f>
        <v>Monterrey</v>
      </c>
      <c r="C32" s="715" t="str">
        <f>'Rentabilidad x Cedi'!AU$14</f>
        <v>Planta Guadalupe</v>
      </c>
      <c r="D32" s="716">
        <f>IF('Rentabilidad x Cedi'!AU20="","",'Rentabilidad x Cedi'!AU20)</f>
        <v>21</v>
      </c>
      <c r="E32" s="716">
        <f>IF('Rentabilidad x Cedi'!AU29="","",'Rentabilidad x Cedi'!AU29)</f>
        <v>1231.8977477879746</v>
      </c>
      <c r="F32" s="716">
        <f>IF('Rentabilidad x Cedi'!AU30="","",'Rentabilidad x Cedi'!AU30)</f>
        <v>399.36114767987073</v>
      </c>
      <c r="G32" s="716">
        <f>IF('Rentabilidad x Cedi'!AU31="","",'Rentabilidad x Cedi'!AU31)</f>
        <v>1631.2588954678454</v>
      </c>
      <c r="H32" s="717">
        <f>IF('Rentabilidad x Cedi'!AU33="","",'Rentabilidad x Cedi'!AU33)</f>
        <v>0</v>
      </c>
      <c r="I32" s="717">
        <f>IF('Rentabilidad x Cedi'!AU34="","",'Rentabilidad x Cedi'!AU34)</f>
        <v>20844.298499532695</v>
      </c>
      <c r="J32" s="717">
        <f>IF('Rentabilidad x Cedi'!AU35="","",'Rentabilidad x Cedi'!AU35)</f>
        <v>55102.089799791225</v>
      </c>
      <c r="K32" s="717">
        <f>IF('Rentabilidad x Cedi'!AU36="","",'Rentabilidad x Cedi'!AU36)</f>
        <v>75946.388299323924</v>
      </c>
      <c r="L32" s="717">
        <f>IF('Rentabilidad x Cedi'!AU38="","",'Rentabilidad x Cedi'!AU38)</f>
        <v>74789.711440858198</v>
      </c>
      <c r="M32" s="717">
        <f t="shared" si="2"/>
        <v>3561.414830517057</v>
      </c>
      <c r="N32" s="717">
        <f>IF('Rentabilidad x Cedi'!AU276="","",'Rentabilidad x Cedi'!AU276)</f>
        <v>31211.901478754982</v>
      </c>
      <c r="O32" s="717">
        <f t="shared" si="0"/>
        <v>1486.2810227978564</v>
      </c>
      <c r="P32" s="718">
        <f t="shared" si="1"/>
        <v>0.41732881271291655</v>
      </c>
      <c r="Q32" s="717">
        <f>IFERROR('Rentabilidad x Cedi'!AU78,"")</f>
        <v>11968.686924842077</v>
      </c>
      <c r="R32" s="718">
        <f>IFERROR('Rentabilidad x Cedi'!AU79,"")</f>
        <v>0.15759389212388158</v>
      </c>
      <c r="S32" s="733">
        <f>IFERROR('Rentabilidad x Cedi'!AU79,"")</f>
        <v>0.15759389212388158</v>
      </c>
    </row>
    <row r="33" spans="1:19">
      <c r="A33" s="715" t="str">
        <f>'Rentabilidad x Cedi'!$BP$13</f>
        <v>Noreste</v>
      </c>
      <c r="B33" s="715" t="str">
        <f>'Rentabilidad x Cedi'!$BA$13</f>
        <v>Monterrey</v>
      </c>
      <c r="C33" s="715" t="str">
        <f>'Rentabilidad x Cedi'!AV$14</f>
        <v>Suc Montemorelos</v>
      </c>
      <c r="D33" s="716">
        <f>IF('Rentabilidad x Cedi'!AV20="","",'Rentabilidad x Cedi'!AV20)</f>
        <v>1</v>
      </c>
      <c r="E33" s="716">
        <f>IF('Rentabilidad x Cedi'!AV29="","",'Rentabilidad x Cedi'!AV29)</f>
        <v>12.283026825249145</v>
      </c>
      <c r="F33" s="716">
        <f>IF('Rentabilidad x Cedi'!AV30="","",'Rentabilidad x Cedi'!AV30)</f>
        <v>3.9819568618599455</v>
      </c>
      <c r="G33" s="716">
        <f>IF('Rentabilidad x Cedi'!AV31="","",'Rentabilidad x Cedi'!AV31)</f>
        <v>16.26498368710909</v>
      </c>
      <c r="H33" s="717">
        <f>IF('Rentabilidad x Cedi'!AV33="","",'Rentabilidad x Cedi'!AV33)</f>
        <v>0</v>
      </c>
      <c r="I33" s="717">
        <f>IF('Rentabilidad x Cedi'!AV34="","",'Rentabilidad x Cedi'!AV34)</f>
        <v>441.89938115374554</v>
      </c>
      <c r="J33" s="717">
        <f>IF('Rentabilidad x Cedi'!AV35="","",'Rentabilidad x Cedi'!AV35)</f>
        <v>1168.1649724672548</v>
      </c>
      <c r="K33" s="717">
        <f>IF('Rentabilidad x Cedi'!AV36="","",'Rentabilidad x Cedi'!AV36)</f>
        <v>1610.0643536210002</v>
      </c>
      <c r="L33" s="717">
        <f>IF('Rentabilidad x Cedi'!AV38="","",'Rentabilidad x Cedi'!AV38)</f>
        <v>1585.5427901842493</v>
      </c>
      <c r="M33" s="717">
        <f t="shared" si="2"/>
        <v>1585.5427901842493</v>
      </c>
      <c r="N33" s="717">
        <f>IF('Rentabilidad x Cedi'!AV276="","",'Rentabilidad x Cedi'!AV276)</f>
        <v>1234.711911430986</v>
      </c>
      <c r="O33" s="717">
        <f t="shared" si="0"/>
        <v>1234.711911430986</v>
      </c>
      <c r="P33" s="718">
        <f t="shared" si="1"/>
        <v>0.77873137141098869</v>
      </c>
      <c r="Q33" s="717">
        <f>IFERROR('Rentabilidad x Cedi'!AV78,"")</f>
        <v>-8.5706666139251411</v>
      </c>
      <c r="R33" s="718">
        <f>IFERROR('Rentabilidad x Cedi'!AV79,"")</f>
        <v>-5.3231826384143562E-3</v>
      </c>
      <c r="S33" s="733">
        <f>IFERROR('Rentabilidad x Cedi'!AV79,"")</f>
        <v>-5.3231826384143562E-3</v>
      </c>
    </row>
    <row r="34" spans="1:19">
      <c r="A34" s="715" t="str">
        <f>'Rentabilidad x Cedi'!$BP$13</f>
        <v>Noreste</v>
      </c>
      <c r="B34" s="715" t="str">
        <f>'Rentabilidad x Cedi'!$BA$13</f>
        <v>Monterrey</v>
      </c>
      <c r="C34" s="715" t="str">
        <f>'Rentabilidad x Cedi'!AW$14</f>
        <v>Sucursal Juventud</v>
      </c>
      <c r="D34" s="716">
        <f>IF('Rentabilidad x Cedi'!AW20="","",'Rentabilidad x Cedi'!AW20)</f>
        <v>12</v>
      </c>
      <c r="E34" s="716">
        <f>IF('Rentabilidad x Cedi'!AW29="","",'Rentabilidad x Cedi'!AW29)</f>
        <v>627.25599872735654</v>
      </c>
      <c r="F34" s="716">
        <f>IF('Rentabilidad x Cedi'!AW30="","",'Rentabilidad x Cedi'!AW30)</f>
        <v>203.34615920083266</v>
      </c>
      <c r="G34" s="716">
        <f>IF('Rentabilidad x Cedi'!AW31="","",'Rentabilidad x Cedi'!AW31)</f>
        <v>830.60215792818917</v>
      </c>
      <c r="H34" s="717">
        <f>IF('Rentabilidad x Cedi'!AW33="","",'Rentabilidad x Cedi'!AW33)</f>
        <v>0</v>
      </c>
      <c r="I34" s="717">
        <f>IF('Rentabilidad x Cedi'!AW34="","",'Rentabilidad x Cedi'!AW34)</f>
        <v>10978.055920922212</v>
      </c>
      <c r="J34" s="717">
        <f>IF('Rentabilidad x Cedi'!AW35="","",'Rentabilidad x Cedi'!AW35)</f>
        <v>29020.589164722762</v>
      </c>
      <c r="K34" s="717">
        <f>IF('Rentabilidad x Cedi'!AW36="","",'Rentabilidad x Cedi'!AW36)</f>
        <v>39998.645085644974</v>
      </c>
      <c r="L34" s="717">
        <f>IF('Rentabilidad x Cedi'!AW38="","",'Rentabilidad x Cedi'!AW38)</f>
        <v>39389.458682228324</v>
      </c>
      <c r="M34" s="717">
        <f t="shared" si="2"/>
        <v>3282.4548901856938</v>
      </c>
      <c r="N34" s="717">
        <f>IF('Rentabilidad x Cedi'!AW276="","",'Rentabilidad x Cedi'!AW276)</f>
        <v>17418.971156120009</v>
      </c>
      <c r="O34" s="717">
        <f t="shared" ref="O34:O61" si="3">N34/D34</f>
        <v>1451.5809296766674</v>
      </c>
      <c r="P34" s="718">
        <f t="shared" ref="P34:P61" si="4">IFERROR(IF(N34="","",N34/L34),"")</f>
        <v>0.44222418227796245</v>
      </c>
      <c r="Q34" s="717">
        <f>IFERROR('Rentabilidad x Cedi'!AW78,"")</f>
        <v>5805.7302264774007</v>
      </c>
      <c r="R34" s="718">
        <f>IFERROR('Rentabilidad x Cedi'!AW79,"")</f>
        <v>0.14514817224548954</v>
      </c>
      <c r="S34" s="733">
        <f>IFERROR('Rentabilidad x Cedi'!AW79,"")</f>
        <v>0.14514817224548954</v>
      </c>
    </row>
    <row r="35" spans="1:19">
      <c r="A35" s="715" t="str">
        <f>'Rentabilidad x Cedi'!$BP$13</f>
        <v>Noreste</v>
      </c>
      <c r="B35" s="715" t="str">
        <f>'Rentabilidad x Cedi'!$BA$13</f>
        <v>Monterrey</v>
      </c>
      <c r="C35" s="715" t="str">
        <f>'Rentabilidad x Cedi'!AX$14</f>
        <v>Sucursal Lincoln</v>
      </c>
      <c r="D35" s="716">
        <f>IF('Rentabilidad x Cedi'!AX20="","",'Rentabilidad x Cedi'!AX20)</f>
        <v>26</v>
      </c>
      <c r="E35" s="716">
        <f>IF('Rentabilidad x Cedi'!AX29="","",'Rentabilidad x Cedi'!AX29)</f>
        <v>967.16474528713843</v>
      </c>
      <c r="F35" s="716">
        <f>IF('Rentabilidad x Cedi'!AX30="","",'Rentabilidad x Cedi'!AX30)</f>
        <v>313.53902819202142</v>
      </c>
      <c r="G35" s="716">
        <f>IF('Rentabilidad x Cedi'!AX31="","",'Rentabilidad x Cedi'!AX31)</f>
        <v>1280.7037734791597</v>
      </c>
      <c r="H35" s="717">
        <f>IF('Rentabilidad x Cedi'!AX33="","",'Rentabilidad x Cedi'!AX33)</f>
        <v>0</v>
      </c>
      <c r="I35" s="717">
        <f>IF('Rentabilidad x Cedi'!AX34="","",'Rentabilidad x Cedi'!AX34)</f>
        <v>16799.100775668405</v>
      </c>
      <c r="J35" s="717">
        <f>IF('Rentabilidad x Cedi'!AX35="","",'Rentabilidad x Cedi'!AX35)</f>
        <v>44408.57338122341</v>
      </c>
      <c r="K35" s="717">
        <f>IF('Rentabilidad x Cedi'!AX36="","",'Rentabilidad x Cedi'!AX36)</f>
        <v>61207.674156891815</v>
      </c>
      <c r="L35" s="717">
        <f>IF('Rentabilidad x Cedi'!AX38="","",'Rentabilidad x Cedi'!AX38)</f>
        <v>60275.470508460814</v>
      </c>
      <c r="M35" s="717">
        <f t="shared" si="2"/>
        <v>2318.2873272484931</v>
      </c>
      <c r="N35" s="717">
        <f>IF('Rentabilidad x Cedi'!AX276="","",'Rentabilidad x Cedi'!AX276)</f>
        <v>35569.533612959094</v>
      </c>
      <c r="O35" s="717">
        <f t="shared" si="3"/>
        <v>1368.0589851138113</v>
      </c>
      <c r="P35" s="718">
        <f t="shared" si="4"/>
        <v>0.59011623323564488</v>
      </c>
      <c r="Q35" s="717">
        <f>IFERROR('Rentabilidad x Cedi'!AX78,"")</f>
        <v>-316.68341558973771</v>
      </c>
      <c r="R35" s="718">
        <f>IFERROR('Rentabilidad x Cedi'!AX79,"")</f>
        <v>-5.1739168323565524E-3</v>
      </c>
      <c r="S35" s="733">
        <f>IFERROR('Rentabilidad x Cedi'!AX79,"")</f>
        <v>-5.1739168323565524E-3</v>
      </c>
    </row>
    <row r="36" spans="1:19">
      <c r="A36" s="715" t="str">
        <f>'Rentabilidad x Cedi'!$BP$13</f>
        <v>Noreste</v>
      </c>
      <c r="B36" s="715" t="str">
        <f>'Rentabilidad x Cedi'!$BA$13</f>
        <v>Monterrey</v>
      </c>
      <c r="C36" s="715" t="str">
        <f>'Rentabilidad x Cedi'!AY$14</f>
        <v>Sucursal Santa Catarina</v>
      </c>
      <c r="D36" s="716">
        <f>IF('Rentabilidad x Cedi'!AY20="","",'Rentabilidad x Cedi'!AY20)</f>
        <v>18</v>
      </c>
      <c r="E36" s="716">
        <f>IF('Rentabilidad x Cedi'!AY29="","",'Rentabilidad x Cedi'!AY29)</f>
        <v>1097.8941866034727</v>
      </c>
      <c r="F36" s="716">
        <f>IF('Rentabilidad x Cedi'!AY30="","",'Rentabilidad x Cedi'!AY30)</f>
        <v>355.91937981892067</v>
      </c>
      <c r="G36" s="716">
        <f>IF('Rentabilidad x Cedi'!AY31="","",'Rentabilidad x Cedi'!AY31)</f>
        <v>1453.8135664223933</v>
      </c>
      <c r="H36" s="717">
        <f>IF('Rentabilidad x Cedi'!AY33="","",'Rentabilidad x Cedi'!AY33)</f>
        <v>0</v>
      </c>
      <c r="I36" s="717">
        <f>IF('Rentabilidad x Cedi'!AY34="","",'Rentabilidad x Cedi'!AY34)</f>
        <v>17394.376455634858</v>
      </c>
      <c r="J36" s="717">
        <f>IF('Rentabilidad x Cedi'!AY35="","",'Rentabilidad x Cedi'!AY35)</f>
        <v>45982.189973495806</v>
      </c>
      <c r="K36" s="717">
        <f>IF('Rentabilidad x Cedi'!AY36="","",'Rentabilidad x Cedi'!AY36)</f>
        <v>63376.56642913066</v>
      </c>
      <c r="L36" s="717">
        <f>IF('Rentabilidad x Cedi'!AY38="","",'Rentabilidad x Cedi'!AY38)</f>
        <v>62411.330169722605</v>
      </c>
      <c r="M36" s="717">
        <f t="shared" si="2"/>
        <v>3467.2961205401448</v>
      </c>
      <c r="N36" s="717">
        <f>IF('Rentabilidad x Cedi'!AY276="","",'Rentabilidad x Cedi'!AY276)</f>
        <v>26961.697710587559</v>
      </c>
      <c r="O36" s="717">
        <f t="shared" si="3"/>
        <v>1497.8720950326422</v>
      </c>
      <c r="P36" s="718">
        <f t="shared" si="4"/>
        <v>0.43200004930622993</v>
      </c>
      <c r="Q36" s="717">
        <f>IFERROR('Rentabilidad x Cedi'!AY78,"")</f>
        <v>7451.7537907237238</v>
      </c>
      <c r="R36" s="718">
        <f>IFERROR('Rentabilidad x Cedi'!AY79,"")</f>
        <v>0.11757900767717466</v>
      </c>
      <c r="S36" s="733">
        <f>IFERROR('Rentabilidad x Cedi'!AY79,"")</f>
        <v>0.11757900767717466</v>
      </c>
    </row>
    <row r="37" spans="1:19">
      <c r="A37" s="715" t="str">
        <f>'Rentabilidad x Cedi'!$BP$13</f>
        <v>Noreste</v>
      </c>
      <c r="B37" s="715" t="str">
        <f>'Rentabilidad x Cedi'!$BA$13</f>
        <v>Monterrey</v>
      </c>
      <c r="C37" s="715" t="str">
        <f>'Rentabilidad x Cedi'!AZ$14</f>
        <v>Sucursal Universidad</v>
      </c>
      <c r="D37" s="716">
        <f>IF('Rentabilidad x Cedi'!AZ20="","",'Rentabilidad x Cedi'!AZ20)</f>
        <v>10</v>
      </c>
      <c r="E37" s="716">
        <f>IF('Rentabilidad x Cedi'!AZ29="","",'Rentabilidad x Cedi'!AZ29)</f>
        <v>767.75935087280993</v>
      </c>
      <c r="F37" s="716">
        <f>IF('Rentabilidad x Cedi'!AZ30="","",'Rentabilidad x Cedi'!AZ30)</f>
        <v>248.89505322749403</v>
      </c>
      <c r="G37" s="716">
        <f>IF('Rentabilidad x Cedi'!AZ31="","",'Rentabilidad x Cedi'!AZ31)</f>
        <v>1016.654404100304</v>
      </c>
      <c r="H37" s="717">
        <f>IF('Rentabilidad x Cedi'!AZ33="","",'Rentabilidad x Cedi'!AZ33)</f>
        <v>0</v>
      </c>
      <c r="I37" s="717">
        <f>IF('Rentabilidad x Cedi'!AZ34="","",'Rentabilidad x Cedi'!AZ34)</f>
        <v>8671.1408417290586</v>
      </c>
      <c r="J37" s="717">
        <f>IF('Rentabilidad x Cedi'!AZ35="","",'Rentabilidad x Cedi'!AZ35)</f>
        <v>22922.238488299496</v>
      </c>
      <c r="K37" s="717">
        <f>IF('Rentabilidad x Cedi'!AZ36="","",'Rentabilidad x Cedi'!AZ36)</f>
        <v>31593.379330028554</v>
      </c>
      <c r="L37" s="717">
        <f>IF('Rentabilidad x Cedi'!AZ38="","",'Rentabilidad x Cedi'!AZ38)</f>
        <v>31112.206603186733</v>
      </c>
      <c r="M37" s="717">
        <f t="shared" si="2"/>
        <v>3111.2206603186733</v>
      </c>
      <c r="N37" s="717">
        <f>IF('Rentabilidad x Cedi'!AZ276="","",'Rentabilidad x Cedi'!AZ276)</f>
        <v>15778.420691606218</v>
      </c>
      <c r="O37" s="717">
        <f t="shared" si="3"/>
        <v>1577.8420691606218</v>
      </c>
      <c r="P37" s="718">
        <f t="shared" si="4"/>
        <v>0.50714566449266507</v>
      </c>
      <c r="Q37" s="717">
        <f>IFERROR('Rentabilidad x Cedi'!AZ78,"")</f>
        <v>-3727.2901900188081</v>
      </c>
      <c r="R37" s="718">
        <f>IFERROR('Rentabilidad x Cedi'!AZ79,"")</f>
        <v>-0.11797693912648753</v>
      </c>
      <c r="S37" s="733">
        <f>IFERROR('Rentabilidad x Cedi'!AZ79,"")</f>
        <v>-0.11797693912648753</v>
      </c>
    </row>
    <row r="38" spans="1:19">
      <c r="A38" s="715" t="str">
        <f>'Rentabilidad x Cedi'!$BP$13</f>
        <v>Noreste</v>
      </c>
      <c r="B38" s="715" t="str">
        <f>'Rentabilidad x Cedi'!$BC$13</f>
        <v>Laredo</v>
      </c>
      <c r="C38" s="715" t="str">
        <f>'Rentabilidad x Cedi'!BB$14</f>
        <v>Suc. Nuevo Laredo</v>
      </c>
      <c r="D38" s="716">
        <f>IF('Rentabilidad x Cedi'!BB20="","",'Rentabilidad x Cedi'!BB20)</f>
        <v>3</v>
      </c>
      <c r="E38" s="716">
        <f>IF('Rentabilidad x Cedi'!BB29="","",'Rentabilidad x Cedi'!BB29)</f>
        <v>91.328787199999994</v>
      </c>
      <c r="F38" s="716">
        <f>IF('Rentabilidad x Cedi'!BB30="","",'Rentabilidad x Cedi'!BB30)</f>
        <v>47.805990778000023</v>
      </c>
      <c r="G38" s="716">
        <f>IF('Rentabilidad x Cedi'!BB31="","",'Rentabilidad x Cedi'!BB31)</f>
        <v>139.13477797800002</v>
      </c>
      <c r="H38" s="717">
        <f>IF('Rentabilidad x Cedi'!BB33="","",'Rentabilidad x Cedi'!BB33)</f>
        <v>0</v>
      </c>
      <c r="I38" s="717">
        <f>IF('Rentabilidad x Cedi'!BB34="","",'Rentabilidad x Cedi'!BB34)</f>
        <v>1384.0248199999999</v>
      </c>
      <c r="J38" s="717">
        <f>IF('Rentabilidad x Cedi'!BB35="","",'Rentabilidad x Cedi'!BB35)</f>
        <v>6747.3184300000003</v>
      </c>
      <c r="K38" s="717">
        <f>IF('Rentabilidad x Cedi'!BB36="","",'Rentabilidad x Cedi'!BB36)</f>
        <v>8131.3432499999999</v>
      </c>
      <c r="L38" s="717">
        <f>IF('Rentabilidad x Cedi'!BB38="","",'Rentabilidad x Cedi'!BB38)</f>
        <v>8126.8282499999996</v>
      </c>
      <c r="M38" s="717">
        <f t="shared" si="2"/>
        <v>2708.9427499999997</v>
      </c>
      <c r="N38" s="717">
        <f>IF('Rentabilidad x Cedi'!BB276="","",'Rentabilidad x Cedi'!BB276)</f>
        <v>3989.5632717459348</v>
      </c>
      <c r="O38" s="717">
        <f t="shared" si="3"/>
        <v>1329.8544239153116</v>
      </c>
      <c r="P38" s="718">
        <f t="shared" si="4"/>
        <v>0.49091270899516487</v>
      </c>
      <c r="Q38" s="717">
        <f>IFERROR('Rentabilidad x Cedi'!BB78,"")</f>
        <v>164.25359646981269</v>
      </c>
      <c r="R38" s="718">
        <f>IFERROR('Rentabilidad x Cedi'!BB79,"")</f>
        <v>2.0200056918002165E-2</v>
      </c>
      <c r="S38" s="733">
        <f>IFERROR('Rentabilidad x Cedi'!BB79,"")</f>
        <v>2.0200056918002165E-2</v>
      </c>
    </row>
    <row r="39" spans="1:19">
      <c r="A39" s="715" t="str">
        <f>'Rentabilidad x Cedi'!$BP$13</f>
        <v>Noreste</v>
      </c>
      <c r="B39" s="715" t="str">
        <f>'Rentabilidad x Cedi'!$BE$13</f>
        <v>Matamoros</v>
      </c>
      <c r="C39" s="715" t="str">
        <f>'Rentabilidad x Cedi'!BD$14</f>
        <v>Planta Matamoros</v>
      </c>
      <c r="D39" s="716">
        <f>IF('Rentabilidad x Cedi'!BD20="","",'Rentabilidad x Cedi'!BD20)</f>
        <v>2</v>
      </c>
      <c r="E39" s="716">
        <f>IF('Rentabilidad x Cedi'!BD29="","",'Rentabilidad x Cedi'!BD29)</f>
        <v>61.863911199999997</v>
      </c>
      <c r="F39" s="716">
        <f>IF('Rentabilidad x Cedi'!BD30="","",'Rentabilidad x Cedi'!BD30)</f>
        <v>38.376400634000014</v>
      </c>
      <c r="G39" s="716">
        <f>IF('Rentabilidad x Cedi'!BD31="","",'Rentabilidad x Cedi'!BD31)</f>
        <v>100.24031183400001</v>
      </c>
      <c r="H39" s="717">
        <f>IF('Rentabilidad x Cedi'!BD33="","",'Rentabilidad x Cedi'!BD33)</f>
        <v>0</v>
      </c>
      <c r="I39" s="717">
        <f>IF('Rentabilidad x Cedi'!BD34="","",'Rentabilidad x Cedi'!BD34)</f>
        <v>927.22299999999996</v>
      </c>
      <c r="J39" s="717">
        <f>IF('Rentabilidad x Cedi'!BD35="","",'Rentabilidad x Cedi'!BD35)</f>
        <v>4967.79241</v>
      </c>
      <c r="K39" s="717">
        <f>IF('Rentabilidad x Cedi'!BD36="","",'Rentabilidad x Cedi'!BD36)</f>
        <v>5895.01541</v>
      </c>
      <c r="L39" s="717">
        <f>IF('Rentabilidad x Cedi'!BD38="","",'Rentabilidad x Cedi'!BD38)</f>
        <v>5869.0060700000004</v>
      </c>
      <c r="M39" s="717">
        <f t="shared" si="2"/>
        <v>2934.5030350000002</v>
      </c>
      <c r="N39" s="717">
        <f>IF('Rentabilidad x Cedi'!BD276="","",'Rentabilidad x Cedi'!BD276)</f>
        <v>3980.8375709951283</v>
      </c>
      <c r="O39" s="717">
        <f t="shared" si="3"/>
        <v>1990.4187854975642</v>
      </c>
      <c r="P39" s="718">
        <f t="shared" si="4"/>
        <v>0.67828138589659492</v>
      </c>
      <c r="Q39" s="717">
        <f>IFERROR('Rentabilidad x Cedi'!BD78,"")</f>
        <v>-1104.3413763073227</v>
      </c>
      <c r="R39" s="718">
        <f>IFERROR('Rentabilidad x Cedi'!BD79,"")</f>
        <v>-0.18733477344842472</v>
      </c>
      <c r="S39" s="733">
        <f>IFERROR('Rentabilidad x Cedi'!BD79,"")</f>
        <v>-0.18733477344842472</v>
      </c>
    </row>
    <row r="40" spans="1:19">
      <c r="A40" s="715" t="str">
        <f>'Rentabilidad x Cedi'!$BP$13</f>
        <v>Noreste</v>
      </c>
      <c r="B40" s="715" t="str">
        <f>'Rentabilidad x Cedi'!$BG$13</f>
        <v>Reynosa</v>
      </c>
      <c r="C40" s="715" t="str">
        <f>'Rentabilidad x Cedi'!BF$14</f>
        <v>Sucursal Reynosa</v>
      </c>
      <c r="D40" s="716">
        <f>IF('Rentabilidad x Cedi'!BF20="","",'Rentabilidad x Cedi'!BF20)</f>
        <v>3</v>
      </c>
      <c r="E40" s="716">
        <f>IF('Rentabilidad x Cedi'!BF29="","",'Rentabilidad x Cedi'!BF29)</f>
        <v>195.73272320000004</v>
      </c>
      <c r="F40" s="716">
        <f>IF('Rentabilidad x Cedi'!BF30="","",'Rentabilidad x Cedi'!BF30)</f>
        <v>23.797411273000009</v>
      </c>
      <c r="G40" s="716">
        <f>IF('Rentabilidad x Cedi'!BF31="","",'Rentabilidad x Cedi'!BF31)</f>
        <v>219.53013447300003</v>
      </c>
      <c r="H40" s="717">
        <f>IF('Rentabilidad x Cedi'!BF33="","",'Rentabilidad x Cedi'!BF33)</f>
        <v>0</v>
      </c>
      <c r="I40" s="717">
        <f>IF('Rentabilidad x Cedi'!BF34="","",'Rentabilidad x Cedi'!BF34)</f>
        <v>2952.922</v>
      </c>
      <c r="J40" s="717">
        <f>IF('Rentabilidad x Cedi'!BF35="","",'Rentabilidad x Cedi'!BF35)</f>
        <v>3477.6693499999988</v>
      </c>
      <c r="K40" s="717">
        <f>IF('Rentabilidad x Cedi'!BF36="","",'Rentabilidad x Cedi'!BF36)</f>
        <v>6430.5913499999988</v>
      </c>
      <c r="L40" s="717">
        <f>IF('Rentabilidad x Cedi'!BF38="","",'Rentabilidad x Cedi'!BF38)</f>
        <v>6417.0250199999991</v>
      </c>
      <c r="M40" s="717">
        <f t="shared" si="2"/>
        <v>2139.0083399999999</v>
      </c>
      <c r="N40" s="717">
        <f>IF('Rentabilidad x Cedi'!BF276="","",'Rentabilidad x Cedi'!BF276)</f>
        <v>3928.5278408477707</v>
      </c>
      <c r="O40" s="717">
        <f t="shared" si="3"/>
        <v>1309.5092802825902</v>
      </c>
      <c r="P40" s="718">
        <f t="shared" si="4"/>
        <v>0.61220391514817118</v>
      </c>
      <c r="Q40" s="717">
        <f>IFERROR('Rentabilidad x Cedi'!BF78,"")</f>
        <v>-483.11419780338292</v>
      </c>
      <c r="R40" s="718">
        <f>IFERROR('Rentabilidad x Cedi'!BF79,"")</f>
        <v>-7.5127491626937701E-2</v>
      </c>
      <c r="S40" s="733">
        <f>IFERROR('Rentabilidad x Cedi'!BF79,"")</f>
        <v>-7.5127491626937701E-2</v>
      </c>
    </row>
    <row r="41" spans="1:19">
      <c r="A41" s="715" t="str">
        <f>'Rentabilidad x Cedi'!$BP$13</f>
        <v>Noreste</v>
      </c>
      <c r="B41" s="715" t="str">
        <f>'Rentabilidad x Cedi'!$BI$13</f>
        <v>Saltillo</v>
      </c>
      <c r="C41" s="715" t="str">
        <f>'Rentabilidad x Cedi'!BH$14</f>
        <v>Planta Agua y Hielo</v>
      </c>
      <c r="D41" s="716">
        <f>IF('Rentabilidad x Cedi'!BH20="","",'Rentabilidad x Cedi'!BH20)</f>
        <v>21</v>
      </c>
      <c r="E41" s="716">
        <f>IF('Rentabilidad x Cedi'!BH29="","",'Rentabilidad x Cedi'!BH29)</f>
        <v>2083.3234799999996</v>
      </c>
      <c r="F41" s="716">
        <f>IF('Rentabilidad x Cedi'!BH30="","",'Rentabilidad x Cedi'!BH30)</f>
        <v>170.24885091499971</v>
      </c>
      <c r="G41" s="716">
        <f>IF('Rentabilidad x Cedi'!BH31="","",'Rentabilidad x Cedi'!BH31)</f>
        <v>2253.5723309149994</v>
      </c>
      <c r="H41" s="717">
        <f>IF('Rentabilidad x Cedi'!BH33="","",'Rentabilidad x Cedi'!BH33)</f>
        <v>0</v>
      </c>
      <c r="I41" s="717">
        <f>IF('Rentabilidad x Cedi'!BH34="","",'Rentabilidad x Cedi'!BH34)</f>
        <v>32107.404938210853</v>
      </c>
      <c r="J41" s="717">
        <f>IF('Rentabilidad x Cedi'!BH35="","",'Rentabilidad x Cedi'!BH35)</f>
        <v>20813.179430000018</v>
      </c>
      <c r="K41" s="717">
        <f>IF('Rentabilidad x Cedi'!BH36="","",'Rentabilidad x Cedi'!BH36)</f>
        <v>52920.584368210868</v>
      </c>
      <c r="L41" s="717">
        <f>IF('Rentabilidad x Cedi'!BH38="","",'Rentabilidad x Cedi'!BH38)</f>
        <v>52541.447358210869</v>
      </c>
      <c r="M41" s="717">
        <f t="shared" si="2"/>
        <v>2501.9736837243272</v>
      </c>
      <c r="N41" s="717">
        <f>IF('Rentabilidad x Cedi'!BH276="","",'Rentabilidad x Cedi'!BH276)</f>
        <v>34539.013872803756</v>
      </c>
      <c r="O41" s="717">
        <f t="shared" si="3"/>
        <v>1644.7149463239884</v>
      </c>
      <c r="P41" s="718">
        <f t="shared" si="4"/>
        <v>0.6573670047063559</v>
      </c>
      <c r="Q41" s="717">
        <f>IFERROR('Rentabilidad x Cedi'!BH78,"")</f>
        <v>-6312.6652906291929</v>
      </c>
      <c r="R41" s="718">
        <f>IFERROR('Rentabilidad x Cedi'!BH79,"")</f>
        <v>-0.11928563083708463</v>
      </c>
      <c r="S41" s="733">
        <f>IFERROR('Rentabilidad x Cedi'!BH79,"")</f>
        <v>-0.11928563083708463</v>
      </c>
    </row>
    <row r="42" spans="1:19">
      <c r="A42" s="715" t="str">
        <f>'Rentabilidad x Cedi'!$BP$13</f>
        <v>Noreste</v>
      </c>
      <c r="B42" s="715" t="str">
        <f>'Rentabilidad x Cedi'!$BK$13</f>
        <v>Monclova</v>
      </c>
      <c r="C42" s="715" t="str">
        <f>'Rentabilidad x Cedi'!BJ$14</f>
        <v>Sucursal Monclova</v>
      </c>
      <c r="D42" s="716">
        <f>IF('Rentabilidad x Cedi'!BJ20="","",'Rentabilidad x Cedi'!BJ20)</f>
        <v>3</v>
      </c>
      <c r="E42" s="716">
        <f>IF('Rentabilidad x Cedi'!BJ29="","",'Rentabilidad x Cedi'!BJ29)</f>
        <v>392.51822131200004</v>
      </c>
      <c r="F42" s="716">
        <f>IF('Rentabilidad x Cedi'!BJ30="","",'Rentabilidad x Cedi'!BJ30)</f>
        <v>21.317992926000002</v>
      </c>
      <c r="G42" s="716">
        <f>IF('Rentabilidad x Cedi'!BJ31="","",'Rentabilidad x Cedi'!BJ31)</f>
        <v>413.83621423800003</v>
      </c>
      <c r="H42" s="717">
        <f>IF('Rentabilidad x Cedi'!BJ33="","",'Rentabilidad x Cedi'!BJ33)</f>
        <v>0</v>
      </c>
      <c r="I42" s="717">
        <f>IF('Rentabilidad x Cedi'!BJ34="","",'Rentabilidad x Cedi'!BJ34)</f>
        <v>6339.5065325162777</v>
      </c>
      <c r="J42" s="717">
        <f>IF('Rentabilidad x Cedi'!BJ35="","",'Rentabilidad x Cedi'!BJ35)</f>
        <v>2500.8894700000001</v>
      </c>
      <c r="K42" s="717">
        <f>IF('Rentabilidad x Cedi'!BJ36="","",'Rentabilidad x Cedi'!BJ36)</f>
        <v>8840.3960025162778</v>
      </c>
      <c r="L42" s="717">
        <f>IF('Rentabilidad x Cedi'!BJ38="","",'Rentabilidad x Cedi'!BJ38)</f>
        <v>8779.0980225162784</v>
      </c>
      <c r="M42" s="717">
        <f t="shared" si="2"/>
        <v>2926.3660075054263</v>
      </c>
      <c r="N42" s="717">
        <f>IF('Rentabilidad x Cedi'!BJ276="","",'Rentabilidad x Cedi'!BJ276)</f>
        <v>5020.1114327558034</v>
      </c>
      <c r="O42" s="717">
        <f t="shared" si="3"/>
        <v>1673.3704775852677</v>
      </c>
      <c r="P42" s="718">
        <f t="shared" si="4"/>
        <v>0.5718254221425052</v>
      </c>
      <c r="Q42" s="717">
        <f>IFERROR('Rentabilidad x Cedi'!BJ78,"")</f>
        <v>768.17511394349003</v>
      </c>
      <c r="R42" s="718">
        <f>IFERROR('Rentabilidad x Cedi'!BJ79,"")</f>
        <v>8.6893744773971798E-2</v>
      </c>
      <c r="S42" s="733">
        <f>IFERROR('Rentabilidad x Cedi'!BJ79,"")</f>
        <v>8.6893744773971798E-2</v>
      </c>
    </row>
    <row r="43" spans="1:19">
      <c r="A43" s="715" t="str">
        <f>'Rentabilidad x Cedi'!$BP$13</f>
        <v>Noreste</v>
      </c>
      <c r="B43" s="715" t="str">
        <f>'Rentabilidad x Cedi'!$BO$13</f>
        <v>Piedras Negras</v>
      </c>
      <c r="C43" s="715" t="str">
        <f>'Rentabilidad x Cedi'!BL$14</f>
        <v>Suc. Acuña</v>
      </c>
      <c r="D43" s="716">
        <f>IF('Rentabilidad x Cedi'!BL20="","",'Rentabilidad x Cedi'!BL20)</f>
        <v>1</v>
      </c>
      <c r="E43" s="716">
        <f>IF('Rentabilidad x Cedi'!BL29="","",'Rentabilidad x Cedi'!BL29)</f>
        <v>147.58640426307232</v>
      </c>
      <c r="F43" s="716">
        <f>IF('Rentabilidad x Cedi'!BL30="","",'Rentabilidad x Cedi'!BL30)</f>
        <v>14.93048208855398</v>
      </c>
      <c r="G43" s="716">
        <f>IF('Rentabilidad x Cedi'!BL31="","",'Rentabilidad x Cedi'!BL31)</f>
        <v>162.51688635162631</v>
      </c>
      <c r="H43" s="717">
        <f>IF('Rentabilidad x Cedi'!BL33="","",'Rentabilidad x Cedi'!BL33)</f>
        <v>0</v>
      </c>
      <c r="I43" s="717">
        <f>IF('Rentabilidad x Cedi'!BL34="","",'Rentabilidad x Cedi'!BL34)</f>
        <v>2479.4289007896045</v>
      </c>
      <c r="J43" s="717">
        <f>IF('Rentabilidad x Cedi'!BL35="","",'Rentabilidad x Cedi'!BL35)</f>
        <v>1626.9556646337892</v>
      </c>
      <c r="K43" s="717">
        <f>IF('Rentabilidad x Cedi'!BL36="","",'Rentabilidad x Cedi'!BL36)</f>
        <v>4106.3845654233937</v>
      </c>
      <c r="L43" s="717">
        <f>IF('Rentabilidad x Cedi'!BL38="","",'Rentabilidad x Cedi'!BL38)</f>
        <v>4082.7295063475231</v>
      </c>
      <c r="M43" s="717">
        <f t="shared" si="2"/>
        <v>4082.7295063475231</v>
      </c>
      <c r="N43" s="717">
        <f>IF('Rentabilidad x Cedi'!BL276="","",'Rentabilidad x Cedi'!BL276)</f>
        <v>1695.6678497204084</v>
      </c>
      <c r="O43" s="717">
        <f t="shared" si="3"/>
        <v>1695.6678497204084</v>
      </c>
      <c r="P43" s="718">
        <f t="shared" si="4"/>
        <v>0.41532701274578948</v>
      </c>
      <c r="Q43" s="717">
        <f>IFERROR('Rentabilidad x Cedi'!BL78,"")</f>
        <v>672.43832286392603</v>
      </c>
      <c r="R43" s="718">
        <f>IFERROR('Rentabilidad x Cedi'!BL79,"")</f>
        <v>0.16375434695668681</v>
      </c>
      <c r="S43" s="733">
        <f>IFERROR('Rentabilidad x Cedi'!BL79,"")</f>
        <v>0.16375434695668681</v>
      </c>
    </row>
    <row r="44" spans="1:19">
      <c r="A44" s="715" t="str">
        <f>'Rentabilidad x Cedi'!$BP$13</f>
        <v>Noreste</v>
      </c>
      <c r="B44" s="715" t="str">
        <f>'Rentabilidad x Cedi'!$BO$13</f>
        <v>Piedras Negras</v>
      </c>
      <c r="C44" s="715" t="str">
        <f>'Rentabilidad x Cedi'!BM$14</f>
        <v>Suc. Piedras Negras</v>
      </c>
      <c r="D44" s="716">
        <f>IF('Rentabilidad x Cedi'!BM20="","",'Rentabilidad x Cedi'!BM20)</f>
        <v>2</v>
      </c>
      <c r="E44" s="716">
        <f>IF('Rentabilidad x Cedi'!BM29="","",'Rentabilidad x Cedi'!BM29)</f>
        <v>221.89580668664988</v>
      </c>
      <c r="F44" s="716">
        <f>IF('Rentabilidad x Cedi'!BM30="","",'Rentabilidad x Cedi'!BM30)</f>
        <v>22.447944197860053</v>
      </c>
      <c r="G44" s="716">
        <f>IF('Rentabilidad x Cedi'!BM31="","",'Rentabilidad x Cedi'!BM31)</f>
        <v>244.34375088450992</v>
      </c>
      <c r="H44" s="717">
        <f>IF('Rentabilidad x Cedi'!BM33="","",'Rentabilidad x Cedi'!BM33)</f>
        <v>0</v>
      </c>
      <c r="I44" s="717">
        <f>IF('Rentabilidad x Cedi'!BM34="","",'Rentabilidad x Cedi'!BM34)</f>
        <v>3292.2058859445683</v>
      </c>
      <c r="J44" s="717">
        <f>IF('Rentabilidad x Cedi'!BM35="","",'Rentabilidad x Cedi'!BM35)</f>
        <v>2160.2849807761972</v>
      </c>
      <c r="K44" s="717">
        <f>IF('Rentabilidad x Cedi'!BM36="","",'Rentabilidad x Cedi'!BM36)</f>
        <v>5452.4908667207656</v>
      </c>
      <c r="L44" s="717">
        <f>IF('Rentabilidad x Cedi'!BM38="","",'Rentabilidad x Cedi'!BM38)</f>
        <v>5421.0814866424953</v>
      </c>
      <c r="M44" s="717">
        <f t="shared" si="2"/>
        <v>2710.5407433212476</v>
      </c>
      <c r="N44" s="717">
        <f>IF('Rentabilidad x Cedi'!BM276="","",'Rentabilidad x Cedi'!BM276)</f>
        <v>3221.8019833205281</v>
      </c>
      <c r="O44" s="717">
        <f t="shared" si="3"/>
        <v>1610.900991660264</v>
      </c>
      <c r="P44" s="718">
        <f t="shared" si="4"/>
        <v>0.59430982383478725</v>
      </c>
      <c r="Q44" s="717">
        <f>IFERROR('Rentabilidad x Cedi'!BM78,"")</f>
        <v>-411.10005833111609</v>
      </c>
      <c r="R44" s="718">
        <f>IFERROR('Rentabilidad x Cedi'!BM79,"")</f>
        <v>-7.5396744053302683E-2</v>
      </c>
      <c r="S44" s="733">
        <f>IFERROR('Rentabilidad x Cedi'!BM79,"")</f>
        <v>-7.5396744053302683E-2</v>
      </c>
    </row>
    <row r="45" spans="1:19">
      <c r="A45" s="715" t="str">
        <f>'Rentabilidad x Cedi'!$BP$13</f>
        <v>Noreste</v>
      </c>
      <c r="B45" s="715" t="str">
        <f>'Rentabilidad x Cedi'!$BO$13</f>
        <v>Piedras Negras</v>
      </c>
      <c r="C45" s="715" t="str">
        <f>'Rentabilidad x Cedi'!BN$14</f>
        <v>Suc. Sabinas Coah.</v>
      </c>
      <c r="D45" s="716">
        <f>IF('Rentabilidad x Cedi'!BN20="","",'Rentabilidad x Cedi'!BN20)</f>
        <v>1</v>
      </c>
      <c r="E45" s="716">
        <f>IF('Rentabilidad x Cedi'!BN29="","",'Rentabilidad x Cedi'!BN29)</f>
        <v>78.299982194278073</v>
      </c>
      <c r="F45" s="716">
        <f>IF('Rentabilidad x Cedi'!BN30="","",'Rentabilidad x Cedi'!BN30)</f>
        <v>7.9211665025860016</v>
      </c>
      <c r="G45" s="716">
        <f>IF('Rentabilidad x Cedi'!BN31="","",'Rentabilidad x Cedi'!BN31)</f>
        <v>86.221148696864077</v>
      </c>
      <c r="H45" s="717">
        <f>IF('Rentabilidad x Cedi'!BN33="","",'Rentabilidad x Cedi'!BN33)</f>
        <v>0</v>
      </c>
      <c r="I45" s="717">
        <f>IF('Rentabilidad x Cedi'!BN34="","",'Rentabilidad x Cedi'!BN34)</f>
        <v>1260.2878738638085</v>
      </c>
      <c r="J45" s="717">
        <f>IF('Rentabilidad x Cedi'!BN35="","",'Rentabilidad x Cedi'!BN35)</f>
        <v>826.97773459001485</v>
      </c>
      <c r="K45" s="717">
        <f>IF('Rentabilidad x Cedi'!BN36="","",'Rentabilidad x Cedi'!BN36)</f>
        <v>2087.2656084538235</v>
      </c>
      <c r="L45" s="717">
        <f>IF('Rentabilidad x Cedi'!BN38="","",'Rentabilidad x Cedi'!BN38)</f>
        <v>2075.2417976079637</v>
      </c>
      <c r="M45" s="717">
        <f t="shared" si="2"/>
        <v>2075.2417976079637</v>
      </c>
      <c r="N45" s="717">
        <f>IF('Rentabilidad x Cedi'!BN276="","",'Rentabilidad x Cedi'!BN276)</f>
        <v>1535.3667413899848</v>
      </c>
      <c r="O45" s="717">
        <f t="shared" si="3"/>
        <v>1535.3667413899848</v>
      </c>
      <c r="P45" s="718">
        <f t="shared" si="4"/>
        <v>0.73984956507705835</v>
      </c>
      <c r="Q45" s="717">
        <f>IFERROR('Rentabilidad x Cedi'!BN78,"")</f>
        <v>-421.05026906754892</v>
      </c>
      <c r="R45" s="718">
        <f>IFERROR('Rentabilidad x Cedi'!BN79,"")</f>
        <v>-0.20172337787879754</v>
      </c>
      <c r="S45" s="733">
        <f>IFERROR('Rentabilidad x Cedi'!BN79,"")</f>
        <v>-0.20172337787879754</v>
      </c>
    </row>
    <row r="46" spans="1:19">
      <c r="A46" s="715" t="str">
        <f>'Rentabilidad x Cedi'!$CH$13</f>
        <v>Norte</v>
      </c>
      <c r="B46" s="715" t="str">
        <f>'Rentabilidad x Cedi'!$BT$13</f>
        <v>Chihuahua</v>
      </c>
      <c r="C46" s="715" t="str">
        <f>'Rentabilidad x Cedi'!BS$14</f>
        <v>Planta Chihuahua</v>
      </c>
      <c r="D46" s="716">
        <f>IF('Rentabilidad x Cedi'!BS20="","",'Rentabilidad x Cedi'!BS20)</f>
        <v>8</v>
      </c>
      <c r="E46" s="716">
        <f>IF('Rentabilidad x Cedi'!BS29="","",'Rentabilidad x Cedi'!BS29)</f>
        <v>547.96701959999996</v>
      </c>
      <c r="F46" s="716">
        <f>IF('Rentabilidad x Cedi'!BS30="","",'Rentabilidad x Cedi'!BS30)</f>
        <v>91.264650916999983</v>
      </c>
      <c r="G46" s="716">
        <f>IF('Rentabilidad x Cedi'!BS31="","",'Rentabilidad x Cedi'!BS31)</f>
        <v>639.23167051699988</v>
      </c>
      <c r="H46" s="717">
        <f>IF('Rentabilidad x Cedi'!BS33="","",'Rentabilidad x Cedi'!BS33)</f>
        <v>0</v>
      </c>
      <c r="I46" s="717">
        <f>IF('Rentabilidad x Cedi'!BS34="","",'Rentabilidad x Cedi'!BS34)</f>
        <v>8562.9786960913152</v>
      </c>
      <c r="J46" s="717">
        <f>IF('Rentabilidad x Cedi'!BS35="","",'Rentabilidad x Cedi'!BS35)</f>
        <v>13845.80499000001</v>
      </c>
      <c r="K46" s="717">
        <f>IF('Rentabilidad x Cedi'!BS36="","",'Rentabilidad x Cedi'!BS36)</f>
        <v>22408.783686091323</v>
      </c>
      <c r="L46" s="717">
        <f>IF('Rentabilidad x Cedi'!BS38="","",'Rentabilidad x Cedi'!BS38)</f>
        <v>21542.681456091323</v>
      </c>
      <c r="M46" s="717">
        <f t="shared" si="2"/>
        <v>2692.8351820114153</v>
      </c>
      <c r="N46" s="717">
        <f>IF('Rentabilidad x Cedi'!BS276="","",'Rentabilidad x Cedi'!BS276)</f>
        <v>11475.754658714084</v>
      </c>
      <c r="O46" s="717">
        <f t="shared" si="3"/>
        <v>1434.4693323392605</v>
      </c>
      <c r="P46" s="718">
        <f t="shared" si="4"/>
        <v>0.53269852604487389</v>
      </c>
      <c r="Q46" s="717">
        <f>IFERROR('Rentabilidad x Cedi'!BS78,"")</f>
        <v>1670.5636553528057</v>
      </c>
      <c r="R46" s="718">
        <f>IFERROR('Rentabilidad x Cedi'!BS79,"")</f>
        <v>7.4549501604127252E-2</v>
      </c>
      <c r="S46" s="733">
        <f>IFERROR('Rentabilidad x Cedi'!BS79,"")</f>
        <v>7.4549501604127252E-2</v>
      </c>
    </row>
    <row r="47" spans="1:19">
      <c r="A47" s="715" t="str">
        <f>'Rentabilidad x Cedi'!$CH$13</f>
        <v>Norte</v>
      </c>
      <c r="B47" s="715" t="str">
        <f>'Rentabilidad x Cedi'!$BW$13</f>
        <v>Juárez</v>
      </c>
      <c r="C47" s="715" t="str">
        <f>'Rentabilidad x Cedi'!BU$14</f>
        <v>Planta Cd. Juárez</v>
      </c>
      <c r="D47" s="716">
        <f>IF('Rentabilidad x Cedi'!BU20="","",'Rentabilidad x Cedi'!BU20)</f>
        <v>21</v>
      </c>
      <c r="E47" s="716">
        <f>IF('Rentabilidad x Cedi'!BU29="","",'Rentabilidad x Cedi'!BU29)</f>
        <v>1947.4205025958888</v>
      </c>
      <c r="F47" s="716">
        <f>IF('Rentabilidad x Cedi'!BU30="","",'Rentabilidad x Cedi'!BU30)</f>
        <v>146.3968138082339</v>
      </c>
      <c r="G47" s="716">
        <f>IF('Rentabilidad x Cedi'!BU31="","",'Rentabilidad x Cedi'!BU31)</f>
        <v>2093.8173164041227</v>
      </c>
      <c r="H47" s="717">
        <f>IF('Rentabilidad x Cedi'!BU33="","",'Rentabilidad x Cedi'!BU33)</f>
        <v>0</v>
      </c>
      <c r="I47" s="717">
        <f>IF('Rentabilidad x Cedi'!BU34="","",'Rentabilidad x Cedi'!BU34)</f>
        <v>30416.399565118369</v>
      </c>
      <c r="J47" s="717">
        <f>IF('Rentabilidad x Cedi'!BU35="","",'Rentabilidad x Cedi'!BU35)</f>
        <v>22450.924723692253</v>
      </c>
      <c r="K47" s="717">
        <f>IF('Rentabilidad x Cedi'!BU36="","",'Rentabilidad x Cedi'!BU36)</f>
        <v>52867.324288810618</v>
      </c>
      <c r="L47" s="717">
        <f>IF('Rentabilidad x Cedi'!BU38="","",'Rentabilidad x Cedi'!BU38)</f>
        <v>52530.540183141718</v>
      </c>
      <c r="M47" s="717">
        <f t="shared" si="2"/>
        <v>2501.4542944353198</v>
      </c>
      <c r="N47" s="717">
        <f>IF('Rentabilidad x Cedi'!BU276="","",'Rentabilidad x Cedi'!BU276)</f>
        <v>33363.779368718446</v>
      </c>
      <c r="O47" s="717">
        <f t="shared" si="3"/>
        <v>1588.7513985104022</v>
      </c>
      <c r="P47" s="718">
        <f t="shared" si="4"/>
        <v>0.63513109235883447</v>
      </c>
      <c r="Q47" s="717">
        <f>IFERROR('Rentabilidad x Cedi'!BU78,"")</f>
        <v>-4473.2987934680859</v>
      </c>
      <c r="R47" s="718">
        <f>IFERROR('Rentabilidad x Cedi'!BU79,"")</f>
        <v>-8.4613678744752757E-2</v>
      </c>
      <c r="S47" s="733">
        <f>IFERROR('Rentabilidad x Cedi'!BU79,"")</f>
        <v>-8.4613678744752757E-2</v>
      </c>
    </row>
    <row r="48" spans="1:19">
      <c r="A48" s="715" t="str">
        <f>'Rentabilidad x Cedi'!$CH$13</f>
        <v>Norte</v>
      </c>
      <c r="B48" s="715" t="str">
        <f>'Rentabilidad x Cedi'!$BW$13</f>
        <v>Juárez</v>
      </c>
      <c r="C48" s="715" t="str">
        <f>'Rentabilidad x Cedi'!BV$14</f>
        <v>Suc. Casas Grandes</v>
      </c>
      <c r="D48" s="716">
        <f>IF('Rentabilidad x Cedi'!BV20="","",'Rentabilidad x Cedi'!BV20)</f>
        <v>1</v>
      </c>
      <c r="E48" s="716">
        <f>IF('Rentabilidad x Cedi'!BV29="","",'Rentabilidad x Cedi'!BV29)</f>
        <v>72.580051404111359</v>
      </c>
      <c r="F48" s="716">
        <f>IF('Rentabilidad x Cedi'!BV30="","",'Rentabilidad x Cedi'!BV30)</f>
        <v>5.4561858917661006</v>
      </c>
      <c r="G48" s="716">
        <f>IF('Rentabilidad x Cedi'!BV31="","",'Rentabilidad x Cedi'!BV31)</f>
        <v>78.036237295877456</v>
      </c>
      <c r="H48" s="717">
        <f>IF('Rentabilidad x Cedi'!BV33="","",'Rentabilidad x Cedi'!BV33)</f>
        <v>0</v>
      </c>
      <c r="I48" s="717">
        <f>IF('Rentabilidad x Cedi'!BV34="","",'Rentabilidad x Cedi'!BV34)</f>
        <v>918.41760890647629</v>
      </c>
      <c r="J48" s="717">
        <f>IF('Rentabilidad x Cedi'!BV35="","",'Rentabilidad x Cedi'!BV35)</f>
        <v>677.90155630777042</v>
      </c>
      <c r="K48" s="717">
        <f>IF('Rentabilidad x Cedi'!BV36="","",'Rentabilidad x Cedi'!BV36)</f>
        <v>1596.3191652142468</v>
      </c>
      <c r="L48" s="717">
        <f>IF('Rentabilidad x Cedi'!BV38="","",'Rentabilidad x Cedi'!BV38)</f>
        <v>1586.1500308831457</v>
      </c>
      <c r="M48" s="717">
        <f t="shared" si="2"/>
        <v>1586.1500308831457</v>
      </c>
      <c r="N48" s="717">
        <f>IF('Rentabilidad x Cedi'!BV276="","",'Rentabilidad x Cedi'!BV276)</f>
        <v>1556.2596957346921</v>
      </c>
      <c r="O48" s="717">
        <f t="shared" si="3"/>
        <v>1556.2596957346921</v>
      </c>
      <c r="P48" s="718">
        <f t="shared" si="4"/>
        <v>0.98115541747850221</v>
      </c>
      <c r="Q48" s="717">
        <f>IFERROR('Rentabilidad x Cedi'!BV78,"")</f>
        <v>-857.58140393383394</v>
      </c>
      <c r="R48" s="718">
        <f>IFERROR('Rentabilidad x Cedi'!BV79,"")</f>
        <v>-0.53722427357986102</v>
      </c>
      <c r="S48" s="733">
        <f>IFERROR('Rentabilidad x Cedi'!BV79,"")</f>
        <v>-0.53722427357986102</v>
      </c>
    </row>
    <row r="49" spans="1:19">
      <c r="A49" s="715" t="str">
        <f>'Rentabilidad x Cedi'!$CH$13</f>
        <v>Norte</v>
      </c>
      <c r="B49" s="715" t="str">
        <f>'Rentabilidad x Cedi'!$CA$13</f>
        <v>Comarca</v>
      </c>
      <c r="C49" s="715" t="str">
        <f>'Rentabilidad x Cedi'!BX$14</f>
        <v>Suc. Estadio</v>
      </c>
      <c r="D49" s="716">
        <f>IF('Rentabilidad x Cedi'!BX20="","",'Rentabilidad x Cedi'!BX20)</f>
        <v>12</v>
      </c>
      <c r="E49" s="716">
        <f>IF('Rentabilidad x Cedi'!BX29="","",'Rentabilidad x Cedi'!BX29)</f>
        <v>1025.1262355749639</v>
      </c>
      <c r="F49" s="716">
        <f>IF('Rentabilidad x Cedi'!BX30="","",'Rentabilidad x Cedi'!BX30)</f>
        <v>85.427444080187925</v>
      </c>
      <c r="G49" s="716">
        <f>IF('Rentabilidad x Cedi'!BX31="","",'Rentabilidad x Cedi'!BX31)</f>
        <v>1110.5536796551519</v>
      </c>
      <c r="H49" s="717">
        <f>IF('Rentabilidad x Cedi'!BX33="","",'Rentabilidad x Cedi'!BX33)</f>
        <v>0</v>
      </c>
      <c r="I49" s="717">
        <f>IF('Rentabilidad x Cedi'!BX34="","",'Rentabilidad x Cedi'!BX34)</f>
        <v>15105.853785062178</v>
      </c>
      <c r="J49" s="717">
        <f>IF('Rentabilidad x Cedi'!BX35="","",'Rentabilidad x Cedi'!BX35)</f>
        <v>8774.2375645537104</v>
      </c>
      <c r="K49" s="717">
        <f>IF('Rentabilidad x Cedi'!BX36="","",'Rentabilidad x Cedi'!BX36)</f>
        <v>23880.09134961589</v>
      </c>
      <c r="L49" s="717">
        <f>IF('Rentabilidad x Cedi'!BX38="","",'Rentabilidad x Cedi'!BX38)</f>
        <v>23639.209030389582</v>
      </c>
      <c r="M49" s="717">
        <f t="shared" si="2"/>
        <v>1969.9340858657986</v>
      </c>
      <c r="N49" s="717">
        <f>IF('Rentabilidad x Cedi'!BX276="","",'Rentabilidad x Cedi'!BX276)</f>
        <v>12772.827568174269</v>
      </c>
      <c r="O49" s="717">
        <f t="shared" si="3"/>
        <v>1064.4022973478557</v>
      </c>
      <c r="P49" s="718">
        <f t="shared" si="4"/>
        <v>0.5403238133625391</v>
      </c>
      <c r="Q49" s="717">
        <f>IFERROR('Rentabilidad x Cedi'!BX78,"")</f>
        <v>-194.8541126090131</v>
      </c>
      <c r="R49" s="718">
        <f>IFERROR('Rentabilidad x Cedi'!BX79,"")</f>
        <v>-8.1596887447479265E-3</v>
      </c>
      <c r="S49" s="733">
        <f>IFERROR('Rentabilidad x Cedi'!BX79,"")</f>
        <v>-8.1596887447479265E-3</v>
      </c>
    </row>
    <row r="50" spans="1:19">
      <c r="A50" s="715" t="str">
        <f>'Rentabilidad x Cedi'!$CH$13</f>
        <v>Norte</v>
      </c>
      <c r="B50" s="715" t="str">
        <f>'Rentabilidad x Cedi'!$CA$13</f>
        <v>Comarca</v>
      </c>
      <c r="C50" s="715" t="str">
        <f>'Rentabilidad x Cedi'!BY$14</f>
        <v>Suc. San Pedro</v>
      </c>
      <c r="D50" s="716">
        <f>IF('Rentabilidad x Cedi'!BY20="","",'Rentabilidad x Cedi'!BY20)</f>
        <v>1</v>
      </c>
      <c r="E50" s="716">
        <f>IF('Rentabilidad x Cedi'!BY29="","",'Rentabilidad x Cedi'!BY29)</f>
        <v>76.371588259879914</v>
      </c>
      <c r="F50" s="716">
        <f>IF('Rentabilidad x Cedi'!BY30="","",'Rentabilidad x Cedi'!BY30)</f>
        <v>6.3643182263565574</v>
      </c>
      <c r="G50" s="716">
        <f>IF('Rentabilidad x Cedi'!BY31="","",'Rentabilidad x Cedi'!BY31)</f>
        <v>82.735906486236473</v>
      </c>
      <c r="H50" s="717">
        <f>IF('Rentabilidad x Cedi'!BY33="","",'Rentabilidad x Cedi'!BY33)</f>
        <v>0</v>
      </c>
      <c r="I50" s="717">
        <f>IF('Rentabilidad x Cedi'!BY34="","",'Rentabilidad x Cedi'!BY34)</f>
        <v>899.00945074003198</v>
      </c>
      <c r="J50" s="717">
        <f>IF('Rentabilidad x Cedi'!BY35="","",'Rentabilidad x Cedi'!BY35)</f>
        <v>522.18978190907455</v>
      </c>
      <c r="K50" s="717">
        <f>IF('Rentabilidad x Cedi'!BY36="","",'Rentabilidad x Cedi'!BY36)</f>
        <v>1421.1992326491065</v>
      </c>
      <c r="L50" s="717">
        <f>IF('Rentabilidad x Cedi'!BY38="","",'Rentabilidad x Cedi'!BY38)</f>
        <v>1406.8633675876576</v>
      </c>
      <c r="M50" s="717">
        <f t="shared" si="2"/>
        <v>1406.8633675876576</v>
      </c>
      <c r="N50" s="717">
        <f>IF('Rentabilidad x Cedi'!BY276="","",'Rentabilidad x Cedi'!BY276)</f>
        <v>1036.0959252511934</v>
      </c>
      <c r="O50" s="717">
        <f t="shared" si="3"/>
        <v>1036.0959252511934</v>
      </c>
      <c r="P50" s="718">
        <f t="shared" si="4"/>
        <v>0.73645810184665084</v>
      </c>
      <c r="Q50" s="717">
        <f>IFERROR('Rentabilidad x Cedi'!BY78,"")</f>
        <v>-443.85700006234129</v>
      </c>
      <c r="R50" s="718">
        <f>IFERROR('Rentabilidad x Cedi'!BY79,"")</f>
        <v>-0.3123115956339173</v>
      </c>
      <c r="S50" s="733">
        <f>IFERROR('Rentabilidad x Cedi'!BY79,"")</f>
        <v>-0.3123115956339173</v>
      </c>
    </row>
    <row r="51" spans="1:19">
      <c r="A51" s="715" t="str">
        <f>'Rentabilidad x Cedi'!$CH$13</f>
        <v>Norte</v>
      </c>
      <c r="B51" s="715" t="str">
        <f>'Rentabilidad x Cedi'!$CA$13</f>
        <v>Comarca</v>
      </c>
      <c r="C51" s="715" t="str">
        <f>'Rentabilidad x Cedi'!BZ$14</f>
        <v>Suc. Santa Rita</v>
      </c>
      <c r="D51" s="716">
        <f>IF('Rentabilidad x Cedi'!BZ20="","",'Rentabilidad x Cedi'!BZ20)</f>
        <v>8</v>
      </c>
      <c r="E51" s="716">
        <f>IF('Rentabilidad x Cedi'!BZ29="","",'Rentabilidad x Cedi'!BZ29)</f>
        <v>649.26882736515597</v>
      </c>
      <c r="F51" s="716">
        <f>IF('Rentabilidad x Cedi'!BZ30="","",'Rentabilidad x Cedi'!BZ30)</f>
        <v>54.105898881455431</v>
      </c>
      <c r="G51" s="716">
        <f>IF('Rentabilidad x Cedi'!BZ31="","",'Rentabilidad x Cedi'!BZ31)</f>
        <v>703.37472624661143</v>
      </c>
      <c r="H51" s="717">
        <f>IF('Rentabilidad x Cedi'!BZ33="","",'Rentabilidad x Cedi'!BZ33)</f>
        <v>0</v>
      </c>
      <c r="I51" s="717">
        <f>IF('Rentabilidad x Cedi'!BZ34="","",'Rentabilidad x Cedi'!BZ34)</f>
        <v>9658.1737509060513</v>
      </c>
      <c r="J51" s="717">
        <f>IF('Rentabilidad x Cedi'!BZ35="","",'Rentabilidad x Cedi'!BZ35)</f>
        <v>5609.9517535372242</v>
      </c>
      <c r="K51" s="717">
        <f>IF('Rentabilidad x Cedi'!BZ36="","",'Rentabilidad x Cedi'!BZ36)</f>
        <v>15268.125504443276</v>
      </c>
      <c r="L51" s="717">
        <f>IF('Rentabilidad x Cedi'!BZ38="","",'Rentabilidad x Cedi'!BZ38)</f>
        <v>15114.113468731033</v>
      </c>
      <c r="M51" s="717">
        <f t="shared" si="2"/>
        <v>1889.2641835913792</v>
      </c>
      <c r="N51" s="717">
        <f>IF('Rentabilidad x Cedi'!BZ276="","",'Rentabilidad x Cedi'!BZ276)</f>
        <v>8408.4750408016844</v>
      </c>
      <c r="O51" s="717">
        <f t="shared" si="3"/>
        <v>1051.0593801002105</v>
      </c>
      <c r="P51" s="718">
        <f t="shared" si="4"/>
        <v>0.556332666034143</v>
      </c>
      <c r="Q51" s="717">
        <f>IFERROR('Rentabilidad x Cedi'!BZ78,"")</f>
        <v>-315.40731452690125</v>
      </c>
      <c r="R51" s="718">
        <f>IFERROR('Rentabilidad x Cedi'!BZ79,"")</f>
        <v>-2.0657893756185885E-2</v>
      </c>
      <c r="S51" s="733">
        <f>IFERROR('Rentabilidad x Cedi'!BZ79,"")</f>
        <v>-2.0657893756185885E-2</v>
      </c>
    </row>
    <row r="52" spans="1:19">
      <c r="A52" s="715" t="str">
        <f>'Rentabilidad x Cedi'!$CH$13</f>
        <v>Norte</v>
      </c>
      <c r="B52" s="715" t="str">
        <f>'Rentabilidad x Cedi'!$CC$13</f>
        <v>Guadiana</v>
      </c>
      <c r="C52" s="715" t="str">
        <f>'Rentabilidad x Cedi'!CB$14</f>
        <v>Planta Guadiana</v>
      </c>
      <c r="D52" s="716">
        <f>IF('Rentabilidad x Cedi'!CB20="","",'Rentabilidad x Cedi'!CB20)</f>
        <v>28</v>
      </c>
      <c r="E52" s="716">
        <f>IF('Rentabilidad x Cedi'!CB29="","",'Rentabilidad x Cedi'!CB29)</f>
        <v>4137.1045912000009</v>
      </c>
      <c r="F52" s="716">
        <f>IF('Rentabilidad x Cedi'!CB30="","",'Rentabilidad x Cedi'!CB30)</f>
        <v>204.39342242199945</v>
      </c>
      <c r="G52" s="716">
        <f>IF('Rentabilidad x Cedi'!CB31="","",'Rentabilidad x Cedi'!CB31)</f>
        <v>4341.4980136220001</v>
      </c>
      <c r="H52" s="717">
        <f>IF('Rentabilidad x Cedi'!CB33="","",'Rentabilidad x Cedi'!CB33)</f>
        <v>0</v>
      </c>
      <c r="I52" s="717">
        <f>IF('Rentabilidad x Cedi'!CB34="","",'Rentabilidad x Cedi'!CB34)</f>
        <v>60071.780448581078</v>
      </c>
      <c r="J52" s="717">
        <f>IF('Rentabilidad x Cedi'!CB35="","",'Rentabilidad x Cedi'!CB35)</f>
        <v>24982.724510000018</v>
      </c>
      <c r="K52" s="717">
        <f>IF('Rentabilidad x Cedi'!CB36="","",'Rentabilidad x Cedi'!CB36)</f>
        <v>85054.504958581092</v>
      </c>
      <c r="L52" s="717">
        <f>IF('Rentabilidad x Cedi'!CB38="","",'Rentabilidad x Cedi'!CB38)</f>
        <v>83949.991378581093</v>
      </c>
      <c r="M52" s="717">
        <f t="shared" si="2"/>
        <v>2998.2139778064675</v>
      </c>
      <c r="N52" s="717">
        <f>IF('Rentabilidad x Cedi'!CB276="","",'Rentabilidad x Cedi'!CB276)</f>
        <v>31735.24131312489</v>
      </c>
      <c r="O52" s="717">
        <f t="shared" si="3"/>
        <v>1133.4014754687462</v>
      </c>
      <c r="P52" s="718">
        <f t="shared" si="4"/>
        <v>0.3780255458277722</v>
      </c>
      <c r="Q52" s="717">
        <f>IFERROR('Rentabilidad x Cedi'!CB78,"")</f>
        <v>17061.638756962333</v>
      </c>
      <c r="R52" s="718">
        <f>IFERROR('Rentabilidad x Cedi'!CB79,"")</f>
        <v>0.20059653236793068</v>
      </c>
      <c r="S52" s="733">
        <f>IFERROR('Rentabilidad x Cedi'!CB79,"")</f>
        <v>0.20059653236793068</v>
      </c>
    </row>
    <row r="53" spans="1:19">
      <c r="A53" s="715" t="str">
        <f>'Rentabilidad x Cedi'!$CH$13</f>
        <v>Norte</v>
      </c>
      <c r="B53" s="715" t="str">
        <f>'Rentabilidad x Cedi'!$CG$13</f>
        <v>Zacatecas</v>
      </c>
      <c r="C53" s="715" t="str">
        <f>'Rentabilidad x Cedi'!CD$14</f>
        <v>Planta Zacatecas</v>
      </c>
      <c r="D53" s="716">
        <f>IF('Rentabilidad x Cedi'!CD20="","",'Rentabilidad x Cedi'!CD20)</f>
        <v>12</v>
      </c>
      <c r="E53" s="716">
        <f>IF('Rentabilidad x Cedi'!CD29="","",'Rentabilidad x Cedi'!CD29)</f>
        <v>1608.192936542079</v>
      </c>
      <c r="F53" s="716">
        <f>IF('Rentabilidad x Cedi'!CD30="","",'Rentabilidad x Cedi'!CD30)</f>
        <v>90.767737870266416</v>
      </c>
      <c r="G53" s="716">
        <f>IF('Rentabilidad x Cedi'!CD31="","",'Rentabilidad x Cedi'!CD31)</f>
        <v>1698.9606744123455</v>
      </c>
      <c r="H53" s="717">
        <f>IF('Rentabilidad x Cedi'!CD33="","",'Rentabilidad x Cedi'!CD33)</f>
        <v>0</v>
      </c>
      <c r="I53" s="717">
        <f>IF('Rentabilidad x Cedi'!CD34="","",'Rentabilidad x Cedi'!CD34)</f>
        <v>23664.569228085718</v>
      </c>
      <c r="J53" s="717">
        <f>IF('Rentabilidad x Cedi'!CD35="","",'Rentabilidad x Cedi'!CD35)</f>
        <v>11244.15987611202</v>
      </c>
      <c r="K53" s="717">
        <f>IF('Rentabilidad x Cedi'!CD36="","",'Rentabilidad x Cedi'!CD36)</f>
        <v>34908.729104197737</v>
      </c>
      <c r="L53" s="717">
        <f>IF('Rentabilidad x Cedi'!CD38="","",'Rentabilidad x Cedi'!CD38)</f>
        <v>34391.844584048333</v>
      </c>
      <c r="M53" s="717">
        <f t="shared" si="2"/>
        <v>2865.9870486706945</v>
      </c>
      <c r="N53" s="717">
        <f>IF('Rentabilidad x Cedi'!CD276="","",'Rentabilidad x Cedi'!CD276)</f>
        <v>16226.583541161614</v>
      </c>
      <c r="O53" s="717">
        <f t="shared" si="3"/>
        <v>1352.2152950968011</v>
      </c>
      <c r="P53" s="718">
        <f t="shared" si="4"/>
        <v>0.47181486591992355</v>
      </c>
      <c r="Q53" s="717">
        <f>IFERROR('Rentabilidad x Cedi'!CD78,"")</f>
        <v>5565.1008278111349</v>
      </c>
      <c r="R53" s="718">
        <f>IFERROR('Rentabilidad x Cedi'!CD79,"")</f>
        <v>0.15941860304338429</v>
      </c>
      <c r="S53" s="733">
        <f>IFERROR('Rentabilidad x Cedi'!CD79,"")</f>
        <v>0.15941860304338429</v>
      </c>
    </row>
    <row r="54" spans="1:19">
      <c r="A54" s="715" t="str">
        <f>'Rentabilidad x Cedi'!$CH$13</f>
        <v>Norte</v>
      </c>
      <c r="B54" s="715" t="str">
        <f>'Rentabilidad x Cedi'!$CG$13</f>
        <v>Zacatecas</v>
      </c>
      <c r="C54" s="715" t="str">
        <f>'Rentabilidad x Cedi'!CE$14</f>
        <v>Suc. Fresnillo</v>
      </c>
      <c r="D54" s="716">
        <f>IF('Rentabilidad x Cedi'!CE20="","",'Rentabilidad x Cedi'!CE20)</f>
        <v>4</v>
      </c>
      <c r="E54" s="716">
        <f>IF('Rentabilidad x Cedi'!CE29="","",'Rentabilidad x Cedi'!CE29)</f>
        <v>443.96571715278054</v>
      </c>
      <c r="F54" s="716">
        <f>IF('Rentabilidad x Cedi'!CE30="","",'Rentabilidad x Cedi'!CE30)</f>
        <v>25.057791837188571</v>
      </c>
      <c r="G54" s="716">
        <f>IF('Rentabilidad x Cedi'!CE31="","",'Rentabilidad x Cedi'!CE31)</f>
        <v>469.02350898996912</v>
      </c>
      <c r="H54" s="717">
        <f>IF('Rentabilidad x Cedi'!CE33="","",'Rentabilidad x Cedi'!CE33)</f>
        <v>0</v>
      </c>
      <c r="I54" s="717">
        <f>IF('Rentabilidad x Cedi'!CE34="","",'Rentabilidad x Cedi'!CE34)</f>
        <v>6229.8277952871804</v>
      </c>
      <c r="J54" s="717">
        <f>IF('Rentabilidad x Cedi'!CE35="","",'Rentabilidad x Cedi'!CE35)</f>
        <v>2960.0868308948284</v>
      </c>
      <c r="K54" s="717">
        <f>IF('Rentabilidad x Cedi'!CE36="","",'Rentabilidad x Cedi'!CE36)</f>
        <v>9189.9146261820097</v>
      </c>
      <c r="L54" s="717">
        <f>IF('Rentabilidad x Cedi'!CE38="","",'Rentabilidad x Cedi'!CE38)</f>
        <v>9053.8419379558181</v>
      </c>
      <c r="M54" s="717">
        <f t="shared" si="2"/>
        <v>2263.4604844889545</v>
      </c>
      <c r="N54" s="717">
        <f>IF('Rentabilidad x Cedi'!CE276="","",'Rentabilidad x Cedi'!CE276)</f>
        <v>4986.6331806985536</v>
      </c>
      <c r="O54" s="717">
        <f t="shared" si="3"/>
        <v>1246.6582951746384</v>
      </c>
      <c r="P54" s="718">
        <f t="shared" si="4"/>
        <v>0.55077537413077904</v>
      </c>
      <c r="Q54" s="717">
        <f>IFERROR('Rentabilidad x Cedi'!CE78,"")</f>
        <v>542.82957303480634</v>
      </c>
      <c r="R54" s="718">
        <f>IFERROR('Rentabilidad x Cedi'!CE79,"")</f>
        <v>5.9067966908885994E-2</v>
      </c>
      <c r="S54" s="733">
        <f>IFERROR('Rentabilidad x Cedi'!CE79,"")</f>
        <v>5.9067966908885994E-2</v>
      </c>
    </row>
    <row r="55" spans="1:19">
      <c r="A55" s="715" t="str">
        <f>'Rentabilidad x Cedi'!$CH$13</f>
        <v>Norte</v>
      </c>
      <c r="B55" s="715" t="str">
        <f>'Rentabilidad x Cedi'!$CG$13</f>
        <v>Zacatecas</v>
      </c>
      <c r="C55" s="715" t="str">
        <f>'Rentabilidad x Cedi'!CF$14</f>
        <v>Suc. Ojocaliente</v>
      </c>
      <c r="D55" s="716">
        <f>IF('Rentabilidad x Cedi'!CF20="","",'Rentabilidad x Cedi'!CF20)</f>
        <v>1</v>
      </c>
      <c r="E55" s="716">
        <f>IF('Rentabilidad x Cedi'!CF29="","",'Rentabilidad x Cedi'!CF29)</f>
        <v>204.72404150513881</v>
      </c>
      <c r="F55" s="716">
        <f>IF('Rentabilidad x Cedi'!CF30="","",'Rentabilidad x Cedi'!CF30)</f>
        <v>11.554794025544936</v>
      </c>
      <c r="G55" s="716">
        <f>IF('Rentabilidad x Cedi'!CF31="","",'Rentabilidad x Cedi'!CF31)</f>
        <v>216.27883553068375</v>
      </c>
      <c r="H55" s="717">
        <f>IF('Rentabilidad x Cedi'!CF33="","",'Rentabilidad x Cedi'!CF33)</f>
        <v>0</v>
      </c>
      <c r="I55" s="717">
        <f>IF('Rentabilidad x Cedi'!CF34="","",'Rentabilidad x Cedi'!CF34)</f>
        <v>2475.2485088372669</v>
      </c>
      <c r="J55" s="717">
        <f>IF('Rentabilidad x Cedi'!CF35="","",'Rentabilidad x Cedi'!CF35)</f>
        <v>1176.1080329931494</v>
      </c>
      <c r="K55" s="717">
        <f>IF('Rentabilidad x Cedi'!CF36="","",'Rentabilidad x Cedi'!CF36)</f>
        <v>3651.3565418304161</v>
      </c>
      <c r="L55" s="717">
        <f>IF('Rentabilidad x Cedi'!CF38="","",'Rentabilidad x Cedi'!CF38)</f>
        <v>3597.2918502060097</v>
      </c>
      <c r="M55" s="717">
        <f t="shared" si="2"/>
        <v>3597.2918502060097</v>
      </c>
      <c r="N55" s="717">
        <f>IF('Rentabilidad x Cedi'!CF276="","",'Rentabilidad x Cedi'!CF276)</f>
        <v>1676.3774819869632</v>
      </c>
      <c r="O55" s="717">
        <f t="shared" si="3"/>
        <v>1676.3774819869632</v>
      </c>
      <c r="P55" s="718">
        <f t="shared" si="4"/>
        <v>0.46601097486459442</v>
      </c>
      <c r="Q55" s="717">
        <f>IFERROR('Rentabilidad x Cedi'!CF78,"")</f>
        <v>385.1927716738569</v>
      </c>
      <c r="R55" s="718">
        <f>IFERROR('Rentabilidad x Cedi'!CF79,"")</f>
        <v>0.10549305915788786</v>
      </c>
      <c r="S55" s="733">
        <f>IFERROR('Rentabilidad x Cedi'!CF79,"")</f>
        <v>0.10549305915788786</v>
      </c>
    </row>
    <row r="56" spans="1:19">
      <c r="A56" s="715" t="str">
        <f>'Rentabilidad x Cedi'!$CX$13</f>
        <v>Pacífico</v>
      </c>
      <c r="B56" s="715" t="str">
        <f>'Rentabilidad x Cedi'!$CM$13</f>
        <v>La Paz</v>
      </c>
      <c r="C56" s="715" t="str">
        <f>'Rentabilidad x Cedi'!CK$14</f>
        <v>Planta La Paz</v>
      </c>
      <c r="D56" s="716">
        <f>IF('Rentabilidad x Cedi'!CK20="","",'Rentabilidad x Cedi'!CK20)</f>
        <v>9</v>
      </c>
      <c r="E56" s="716">
        <f>IF('Rentabilidad x Cedi'!CK29="","",'Rentabilidad x Cedi'!CK29)</f>
        <v>1410.4913779783835</v>
      </c>
      <c r="F56" s="716">
        <f>IF('Rentabilidad x Cedi'!CK30="","",'Rentabilidad x Cedi'!CK30)</f>
        <v>29.322390877544596</v>
      </c>
      <c r="G56" s="716">
        <f>IF('Rentabilidad x Cedi'!CK31="","",'Rentabilidad x Cedi'!CK31)</f>
        <v>1439.8137688559282</v>
      </c>
      <c r="H56" s="717">
        <f>IF('Rentabilidad x Cedi'!CK33="","",'Rentabilidad x Cedi'!CK33)</f>
        <v>0</v>
      </c>
      <c r="I56" s="717">
        <f>IF('Rentabilidad x Cedi'!CK34="","",'Rentabilidad x Cedi'!CK34)</f>
        <v>22955.918222329103</v>
      </c>
      <c r="J56" s="717">
        <f>IF('Rentabilidad x Cedi'!CK35="","",'Rentabilidad x Cedi'!CK35)</f>
        <v>4324.5152713302896</v>
      </c>
      <c r="K56" s="717">
        <f>IF('Rentabilidad x Cedi'!CK36="","",'Rentabilidad x Cedi'!CK36)</f>
        <v>27280.433493659391</v>
      </c>
      <c r="L56" s="717">
        <f>IF('Rentabilidad x Cedi'!CK38="","",'Rentabilidad x Cedi'!CK38)</f>
        <v>27180.800845828879</v>
      </c>
      <c r="M56" s="717">
        <f t="shared" si="2"/>
        <v>3020.0889828698755</v>
      </c>
      <c r="N56" s="717">
        <f>IF('Rentabilidad x Cedi'!CK276="","",'Rentabilidad x Cedi'!CK276)</f>
        <v>15435.058523172749</v>
      </c>
      <c r="O56" s="717">
        <f t="shared" si="3"/>
        <v>1715.0065025747499</v>
      </c>
      <c r="P56" s="718">
        <f t="shared" si="4"/>
        <v>0.56786621596329412</v>
      </c>
      <c r="Q56" s="717">
        <f>IFERROR('Rentabilidad x Cedi'!CK78,"")</f>
        <v>2059.312013166289</v>
      </c>
      <c r="R56" s="718">
        <f>IFERROR('Rentabilidad x Cedi'!CK79,"")</f>
        <v>7.548677749731951E-2</v>
      </c>
      <c r="S56" s="733">
        <f>IFERROR('Rentabilidad x Cedi'!CK79,"")</f>
        <v>7.548677749731951E-2</v>
      </c>
    </row>
    <row r="57" spans="1:19">
      <c r="A57" s="715" t="str">
        <f>'Rentabilidad x Cedi'!$CX$13</f>
        <v>Pacífico</v>
      </c>
      <c r="B57" s="715" t="str">
        <f>'Rentabilidad x Cedi'!$CM$13</f>
        <v>La Paz</v>
      </c>
      <c r="C57" s="715" t="str">
        <f>'Rentabilidad x Cedi'!CL$14</f>
        <v>Suc. Cabo San Lucas</v>
      </c>
      <c r="D57" s="716">
        <f>IF('Rentabilidad x Cedi'!CL20="","",'Rentabilidad x Cedi'!CL20)</f>
        <v>7</v>
      </c>
      <c r="E57" s="716">
        <f>IF('Rentabilidad x Cedi'!CL29="","",'Rentabilidad x Cedi'!CL29)</f>
        <v>1612.6816012653248</v>
      </c>
      <c r="F57" s="716">
        <f>IF('Rentabilidad x Cedi'!CL30="","",'Rentabilidad x Cedi'!CL30)</f>
        <v>33.525678364019804</v>
      </c>
      <c r="G57" s="716">
        <f>IF('Rentabilidad x Cedi'!CL31="","",'Rentabilidad x Cedi'!CL31)</f>
        <v>1646.2072796293446</v>
      </c>
      <c r="H57" s="717">
        <f>IF('Rentabilidad x Cedi'!CL33="","",'Rentabilidad x Cedi'!CL33)</f>
        <v>0</v>
      </c>
      <c r="I57" s="717">
        <f>IF('Rentabilidad x Cedi'!CL34="","",'Rentabilidad x Cedi'!CL34)</f>
        <v>24198.148003541628</v>
      </c>
      <c r="J57" s="717">
        <f>IF('Rentabilidad x Cedi'!CL35="","",'Rentabilidad x Cedi'!CL35)</f>
        <v>4558.5308139597064</v>
      </c>
      <c r="K57" s="717">
        <f>IF('Rentabilidad x Cedi'!CL36="","",'Rentabilidad x Cedi'!CL36)</f>
        <v>28756.678817501335</v>
      </c>
      <c r="L57" s="717">
        <f>IF('Rentabilidad x Cedi'!CL38="","",'Rentabilidad x Cedi'!CL38)</f>
        <v>28651.654677981514</v>
      </c>
      <c r="M57" s="717">
        <f t="shared" si="2"/>
        <v>4093.0935254259307</v>
      </c>
      <c r="N57" s="717">
        <f>IF('Rentabilidad x Cedi'!CL276="","",'Rentabilidad x Cedi'!CL276)</f>
        <v>13457.170320732861</v>
      </c>
      <c r="O57" s="717">
        <f t="shared" si="3"/>
        <v>1922.4529029618373</v>
      </c>
      <c r="P57" s="718">
        <f t="shared" si="4"/>
        <v>0.46968213431228284</v>
      </c>
      <c r="Q57" s="717">
        <f>IFERROR('Rentabilidad x Cedi'!CL78,"")</f>
        <v>4333.6356066588232</v>
      </c>
      <c r="R57" s="718">
        <f>IFERROR('Rentabilidad x Cedi'!CL79,"")</f>
        <v>0.15070014288372444</v>
      </c>
      <c r="S57" s="733">
        <f>IFERROR('Rentabilidad x Cedi'!CL79,"")</f>
        <v>0.15070014288372444</v>
      </c>
    </row>
    <row r="58" spans="1:19">
      <c r="A58" s="715" t="str">
        <f>'Rentabilidad x Cedi'!$CX$13</f>
        <v>Pacífico</v>
      </c>
      <c r="B58" s="715" t="str">
        <f>'Rentabilidad x Cedi'!$CO$13</f>
        <v>Mazatlán</v>
      </c>
      <c r="C58" s="715" t="str">
        <f>'Rentabilidad x Cedi'!CN$14</f>
        <v>Sucursal Venadillo</v>
      </c>
      <c r="D58" s="716">
        <f>IF('Rentabilidad x Cedi'!CN20="","",'Rentabilidad x Cedi'!CN20)</f>
        <v>6</v>
      </c>
      <c r="E58" s="716">
        <f>IF('Rentabilidad x Cedi'!CN29="","",'Rentabilidad x Cedi'!CN29)</f>
        <v>412.32580367999998</v>
      </c>
      <c r="F58" s="716">
        <f>IF('Rentabilidad x Cedi'!CN30="","",'Rentabilidad x Cedi'!CN30)</f>
        <v>46.383501267000049</v>
      </c>
      <c r="G58" s="716">
        <f>IF('Rentabilidad x Cedi'!CN31="","",'Rentabilidad x Cedi'!CN31)</f>
        <v>458.70930494700002</v>
      </c>
      <c r="H58" s="717">
        <f>IF('Rentabilidad x Cedi'!CN33="","",'Rentabilidad x Cedi'!CN33)</f>
        <v>0</v>
      </c>
      <c r="I58" s="717">
        <f>IF('Rentabilidad x Cedi'!CN34="","",'Rentabilidad x Cedi'!CN34)</f>
        <v>6370.4113681867675</v>
      </c>
      <c r="J58" s="717">
        <f>IF('Rentabilidad x Cedi'!CN35="","",'Rentabilidad x Cedi'!CN35)</f>
        <v>5684.6594000000005</v>
      </c>
      <c r="K58" s="717">
        <f>IF('Rentabilidad x Cedi'!CN36="","",'Rentabilidad x Cedi'!CN36)</f>
        <v>12055.070768186768</v>
      </c>
      <c r="L58" s="717">
        <f>IF('Rentabilidad x Cedi'!CN38="","",'Rentabilidad x Cedi'!CN38)</f>
        <v>11937.031788186769</v>
      </c>
      <c r="M58" s="717">
        <f t="shared" si="2"/>
        <v>1989.5052980311282</v>
      </c>
      <c r="N58" s="717">
        <f>IF('Rentabilidad x Cedi'!CN276="","",'Rentabilidad x Cedi'!CN276)</f>
        <v>10997.860917165253</v>
      </c>
      <c r="O58" s="717">
        <f t="shared" si="3"/>
        <v>1832.9768195275421</v>
      </c>
      <c r="P58" s="718">
        <f t="shared" si="4"/>
        <v>0.92132291446597758</v>
      </c>
      <c r="Q58" s="717">
        <f>IFERROR('Rentabilidad x Cedi'!CN78,"")</f>
        <v>-4262.600482261395</v>
      </c>
      <c r="R58" s="718">
        <f>IFERROR('Rentabilidad x Cedi'!CN79,"")</f>
        <v>-0.35359398250156793</v>
      </c>
      <c r="S58" s="733">
        <f>IFERROR('Rentabilidad x Cedi'!CN79,"")</f>
        <v>-0.35359398250156793</v>
      </c>
    </row>
    <row r="59" spans="1:19">
      <c r="A59" s="715" t="str">
        <f>'Rentabilidad x Cedi'!$CX$13</f>
        <v>Pacífico</v>
      </c>
      <c r="B59" s="715" t="str">
        <f>'Rentabilidad x Cedi'!$CQ$13</f>
        <v>Hermosillo</v>
      </c>
      <c r="C59" s="715" t="str">
        <f>'Rentabilidad x Cedi'!CP$14</f>
        <v>Planta Hermosillo</v>
      </c>
      <c r="D59" s="716">
        <f>IF('Rentabilidad x Cedi'!CP20="","",'Rentabilidad x Cedi'!CP20)</f>
        <v>3</v>
      </c>
      <c r="E59" s="716">
        <f>IF('Rentabilidad x Cedi'!CP29="","",'Rentabilidad x Cedi'!CP29)</f>
        <v>0</v>
      </c>
      <c r="F59" s="716">
        <f>IF('Rentabilidad x Cedi'!CP30="","",'Rentabilidad x Cedi'!CP30)</f>
        <v>56.549858271000048</v>
      </c>
      <c r="G59" s="716">
        <f>IF('Rentabilidad x Cedi'!CP31="","",'Rentabilidad x Cedi'!CP31)</f>
        <v>56.549858271000048</v>
      </c>
      <c r="H59" s="717">
        <f>IF('Rentabilidad x Cedi'!CP33="","",'Rentabilidad x Cedi'!CP33)</f>
        <v>0</v>
      </c>
      <c r="I59" s="717">
        <f>IF('Rentabilidad x Cedi'!CP34="","",'Rentabilidad x Cedi'!CP34)</f>
        <v>0</v>
      </c>
      <c r="J59" s="717">
        <f>IF('Rentabilidad x Cedi'!CP35="","",'Rentabilidad x Cedi'!CP35)</f>
        <v>6593.0074100000011</v>
      </c>
      <c r="K59" s="717">
        <f>IF('Rentabilidad x Cedi'!CP36="","",'Rentabilidad x Cedi'!CP36)</f>
        <v>6593.0074100000011</v>
      </c>
      <c r="L59" s="717">
        <f>IF('Rentabilidad x Cedi'!CP38="","",'Rentabilidad x Cedi'!CP38)</f>
        <v>6565.9766200000013</v>
      </c>
      <c r="M59" s="717">
        <f t="shared" si="2"/>
        <v>2188.6588733333338</v>
      </c>
      <c r="N59" s="717">
        <f>IF('Rentabilidad x Cedi'!CP276="","",'Rentabilidad x Cedi'!CP276)</f>
        <v>2103.4259437083242</v>
      </c>
      <c r="O59" s="717">
        <f t="shared" si="3"/>
        <v>701.14198123610811</v>
      </c>
      <c r="P59" s="718">
        <f t="shared" si="4"/>
        <v>0.32035233529484053</v>
      </c>
      <c r="Q59" s="717">
        <f>IFERROR('Rentabilidad x Cedi'!CP78,"")</f>
        <v>123.10872125542483</v>
      </c>
      <c r="R59" s="718">
        <f>IFERROR('Rentabilidad x Cedi'!CP79,"")</f>
        <v>1.8672619883408383E-2</v>
      </c>
      <c r="S59" s="733">
        <f>IFERROR('Rentabilidad x Cedi'!CP79,"")</f>
        <v>1.8672619883408383E-2</v>
      </c>
    </row>
    <row r="60" spans="1:19">
      <c r="A60" s="715" t="str">
        <f>'Rentabilidad x Cedi'!$CX$13</f>
        <v>Pacífico</v>
      </c>
      <c r="B60" s="715" t="str">
        <f>'Rentabilidad x Cedi'!$CS$13</f>
        <v>Mexicali</v>
      </c>
      <c r="C60" s="715" t="str">
        <f>'Rentabilidad x Cedi'!CR$14</f>
        <v>Planta Mexicali</v>
      </c>
      <c r="D60" s="716">
        <f>IF('Rentabilidad x Cedi'!CR20="","",'Rentabilidad x Cedi'!CR20)</f>
        <v>5</v>
      </c>
      <c r="E60" s="716">
        <f>IF('Rentabilidad x Cedi'!CR29="","",'Rentabilidad x Cedi'!CR29)</f>
        <v>0</v>
      </c>
      <c r="F60" s="716">
        <f>IF('Rentabilidad x Cedi'!CR30="","",'Rentabilidad x Cedi'!CR30)</f>
        <v>83.183201455000059</v>
      </c>
      <c r="G60" s="716">
        <f>IF('Rentabilidad x Cedi'!CR31="","",'Rentabilidad x Cedi'!CR31)</f>
        <v>83.183201455000059</v>
      </c>
      <c r="H60" s="717">
        <f>IF('Rentabilidad x Cedi'!CR33="","",'Rentabilidad x Cedi'!CR33)</f>
        <v>0</v>
      </c>
      <c r="I60" s="717">
        <f>IF('Rentabilidad x Cedi'!CR34="","",'Rentabilidad x Cedi'!CR34)</f>
        <v>0</v>
      </c>
      <c r="J60" s="717">
        <f>IF('Rentabilidad x Cedi'!CR35="","",'Rentabilidad x Cedi'!CR35)</f>
        <v>10196.052480000004</v>
      </c>
      <c r="K60" s="717">
        <f>IF('Rentabilidad x Cedi'!CR36="","",'Rentabilidad x Cedi'!CR36)</f>
        <v>10196.052480000004</v>
      </c>
      <c r="L60" s="717">
        <f>IF('Rentabilidad x Cedi'!CR38="","",'Rentabilidad x Cedi'!CR38)</f>
        <v>10136.424180000004</v>
      </c>
      <c r="M60" s="717">
        <f t="shared" si="2"/>
        <v>2027.2848360000007</v>
      </c>
      <c r="N60" s="717">
        <f>IF('Rentabilidad x Cedi'!CR276="","",'Rentabilidad x Cedi'!CR276)</f>
        <v>6105.7470469840446</v>
      </c>
      <c r="O60" s="717">
        <f t="shared" si="3"/>
        <v>1221.149409396809</v>
      </c>
      <c r="P60" s="718">
        <f t="shared" si="4"/>
        <v>0.60235709739053589</v>
      </c>
      <c r="Q60" s="717">
        <f>IFERROR('Rentabilidad x Cedi'!CR78,"")</f>
        <v>-2219.0872000354429</v>
      </c>
      <c r="R60" s="718">
        <f>IFERROR('Rentabilidad x Cedi'!CR79,"")</f>
        <v>-0.21764179856746305</v>
      </c>
      <c r="S60" s="733">
        <f>IFERROR('Rentabilidad x Cedi'!CR79,"")</f>
        <v>-0.21764179856746305</v>
      </c>
    </row>
    <row r="61" spans="1:19">
      <c r="A61" s="715" t="str">
        <f>'Rentabilidad x Cedi'!$CX$13</f>
        <v>Pacífico</v>
      </c>
      <c r="B61" s="715" t="str">
        <f>'Rentabilidad x Cedi'!$CW$13</f>
        <v>Culiacán</v>
      </c>
      <c r="C61" s="715" t="str">
        <f>'Rentabilidad x Cedi'!CV$14</f>
        <v>Planta Aeropuerto</v>
      </c>
      <c r="D61" s="716">
        <f>IF('Rentabilidad x Cedi'!CV20="","",'Rentabilidad x Cedi'!CV20)</f>
        <v>6</v>
      </c>
      <c r="E61" s="716">
        <f>IF('Rentabilidad x Cedi'!CV29="","",'Rentabilidad x Cedi'!CV29)</f>
        <v>0</v>
      </c>
      <c r="F61" s="716">
        <f>IF('Rentabilidad x Cedi'!CV30="","",'Rentabilidad x Cedi'!CV30)</f>
        <v>63.802829418000044</v>
      </c>
      <c r="G61" s="716">
        <f>IF('Rentabilidad x Cedi'!CV31="","",'Rentabilidad x Cedi'!CV31)</f>
        <v>63.802829418000044</v>
      </c>
      <c r="H61" s="717">
        <f>IF('Rentabilidad x Cedi'!CV33="","",'Rentabilidad x Cedi'!CV33)</f>
        <v>0</v>
      </c>
      <c r="I61" s="717">
        <f>IF('Rentabilidad x Cedi'!CV34="","",'Rentabilidad x Cedi'!CV34)</f>
        <v>0</v>
      </c>
      <c r="J61" s="717">
        <f>IF('Rentabilidad x Cedi'!CV35="","",'Rentabilidad x Cedi'!CV35)</f>
        <v>7527.7744200000043</v>
      </c>
      <c r="K61" s="717">
        <f>IF('Rentabilidad x Cedi'!CV36="","",'Rentabilidad x Cedi'!CV36)</f>
        <v>7527.7744200000043</v>
      </c>
      <c r="L61" s="717">
        <f>IF('Rentabilidad x Cedi'!CV38="","",'Rentabilidad x Cedi'!CV38)</f>
        <v>7486.5379200000043</v>
      </c>
      <c r="M61" s="717">
        <f t="shared" si="2"/>
        <v>1247.7563200000006</v>
      </c>
      <c r="N61" s="717">
        <f>IF('Rentabilidad x Cedi'!CV276="","",'Rentabilidad x Cedi'!CV276)</f>
        <v>8712.0473800056734</v>
      </c>
      <c r="O61" s="717">
        <f t="shared" si="3"/>
        <v>1452.0078966676122</v>
      </c>
      <c r="P61" s="718">
        <f t="shared" si="4"/>
        <v>1.1636950848444603</v>
      </c>
      <c r="Q61" s="717">
        <f>IFERROR('Rentabilidad x Cedi'!CV78,"")</f>
        <v>-6164.7380039972759</v>
      </c>
      <c r="R61" s="718">
        <f>IFERROR('Rentabilidad x Cedi'!CV79,"")</f>
        <v>-0.81893235105699036</v>
      </c>
      <c r="S61" s="733">
        <f>IFERROR('Rentabilidad x Cedi'!CV79,"")</f>
        <v>-0.81893235105699036</v>
      </c>
    </row>
    <row r="64" spans="1:19">
      <c r="L64" s="734">
        <f>SUM(L2:L61)</f>
        <v>1972838.981128416</v>
      </c>
      <c r="N64" s="734">
        <f>SUM(N2:N61)</f>
        <v>902183.73564356053</v>
      </c>
    </row>
    <row r="65" spans="14:14">
      <c r="N65">
        <f>N64/L64</f>
        <v>0.45730226555414744</v>
      </c>
    </row>
  </sheetData>
  <conditionalFormatting sqref="E1:F1">
    <cfRule type="cellIs" dxfId="31" priority="4" operator="equal">
      <formula>0</formula>
    </cfRule>
  </conditionalFormatting>
  <conditionalFormatting sqref="H1:J1">
    <cfRule type="cellIs" dxfId="30" priority="3" operator="equal">
      <formula>0</formula>
    </cfRule>
  </conditionalFormatting>
  <conditionalFormatting sqref="N1:S1">
    <cfRule type="cellIs" dxfId="29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E9A3-0EA2-46EC-86B3-DD4CA9091BBC}">
  <sheetPr>
    <tabColor rgb="FF00B050"/>
  </sheetPr>
  <dimension ref="A1:AA800"/>
  <sheetViews>
    <sheetView topLeftCell="A16" zoomScale="85" zoomScaleNormal="85" workbookViewId="0">
      <selection activeCell="K44" sqref="K44"/>
    </sheetView>
  </sheetViews>
  <sheetFormatPr defaultRowHeight="15"/>
  <cols>
    <col min="1" max="1" width="28.5703125" style="859" customWidth="1"/>
    <col min="2" max="2" width="15.28515625" style="859" customWidth="1"/>
    <col min="3" max="3" width="17.140625" style="859" customWidth="1"/>
    <col min="4" max="14" width="13.7109375" style="859" customWidth="1"/>
    <col min="15" max="15" width="62.85546875" style="859" customWidth="1"/>
    <col min="16" max="26" width="13.7109375" style="859" customWidth="1"/>
  </cols>
  <sheetData>
    <row r="1" spans="1:24" ht="18">
      <c r="A1" s="860" t="s">
        <v>1603</v>
      </c>
    </row>
    <row r="2" spans="1:24">
      <c r="A2" s="861" t="s">
        <v>1604</v>
      </c>
    </row>
    <row r="4" spans="1:24">
      <c r="A4" s="862" t="s">
        <v>1605</v>
      </c>
      <c r="B4" s="863">
        <f>ROWS(_xlfn.ANCHORARRAY(P8))</f>
        <v>691</v>
      </c>
    </row>
    <row r="6" spans="1:24">
      <c r="A6" s="864" t="s">
        <v>1606</v>
      </c>
      <c r="P6" s="864" t="s">
        <v>1602</v>
      </c>
    </row>
    <row r="7" spans="1:24" ht="39.950000000000003" customHeight="1">
      <c r="A7" s="865" t="s">
        <v>1607</v>
      </c>
      <c r="B7" s="865" t="s">
        <v>1608</v>
      </c>
      <c r="C7" s="865" t="s">
        <v>1609</v>
      </c>
      <c r="D7" s="865" t="s">
        <v>1610</v>
      </c>
      <c r="E7" s="865" t="s">
        <v>1611</v>
      </c>
      <c r="F7" s="865" t="s">
        <v>1612</v>
      </c>
      <c r="G7" s="865" t="s">
        <v>1613</v>
      </c>
      <c r="H7" s="865" t="s">
        <v>1614</v>
      </c>
      <c r="I7" s="865" t="s">
        <v>1615</v>
      </c>
      <c r="J7" s="865" t="s">
        <v>1616</v>
      </c>
      <c r="P7" s="865" t="s">
        <v>87</v>
      </c>
      <c r="Q7" s="865" t="s">
        <v>78</v>
      </c>
      <c r="R7" s="865" t="s">
        <v>1579</v>
      </c>
      <c r="S7" s="865" t="s">
        <v>1580</v>
      </c>
      <c r="T7" s="865" t="s">
        <v>1581</v>
      </c>
      <c r="U7" s="865" t="s">
        <v>1582</v>
      </c>
      <c r="V7" s="865" t="s">
        <v>85</v>
      </c>
      <c r="W7" s="865" t="s">
        <v>1055</v>
      </c>
      <c r="X7" s="865" t="s">
        <v>1058</v>
      </c>
    </row>
    <row r="8" spans="1:24">
      <c r="A8" s="859" t="s">
        <v>87</v>
      </c>
      <c r="B8" s="859" t="s">
        <v>114</v>
      </c>
      <c r="C8" s="866">
        <v>1</v>
      </c>
      <c r="D8" s="863">
        <f>COUNT(INDEX(_xlfn.ANCHORARRAY($P$8),0,$C8))</f>
        <v>691</v>
      </c>
      <c r="E8" s="867">
        <f>AVERAGE(INDEX(_xlfn.ANCHORARRAY($P$8),0,$C8))</f>
        <v>67.706866405446391</v>
      </c>
      <c r="F8" s="867">
        <f>MEDIAN(INDEX(_xlfn.ANCHORARRAY($P$8),0,$C8))</f>
        <v>65.8827586206897</v>
      </c>
      <c r="G8" s="867">
        <f>_xlfn.STDEV.S(INDEX(_xlfn.ANCHORARRAY($P$8),0,$C8))</f>
        <v>28.612097293829944</v>
      </c>
      <c r="H8" s="869">
        <f>IFERROR(G8/E8,"")</f>
        <v>0.42258782325699784</v>
      </c>
      <c r="I8" s="870">
        <f>CORREL(INDEX(_xlfn.ANCHORARRAY($P$8),0,$C8),_xlfn.ANCHORARRAY($X$8))</f>
        <v>0.27850989521216085</v>
      </c>
      <c r="J8" s="870">
        <f>CORREL(INDEX(_xlfn.ANCHORARRAY($P$8),0,$C8),_xlfn.ANCHORARRAY($W$8))</f>
        <v>0.1969619361866268</v>
      </c>
      <c r="P8" s="867" cm="1">
        <f t="array" ref="P8:V698">_xlfn._xlws.FILTER('Analisis recomendación Rutas v2'!$G$8:$M$796,('Analisis recomendación Rutas v2'!$E$8:$E$796="Activa")*('Analisis recomendación Rutas v2'!$F$8:$F$796="Sí"))</f>
        <v>36</v>
      </c>
      <c r="Q8" s="868">
        <v>0.384600158353128</v>
      </c>
      <c r="R8" s="867">
        <v>9837.5914489311344</v>
      </c>
      <c r="S8" s="867">
        <v>1239.8123515439452</v>
      </c>
      <c r="T8" s="867">
        <v>83.215654156769745</v>
      </c>
      <c r="U8" s="867">
        <v>73.129256817102259</v>
      </c>
      <c r="V8" s="877">
        <v>800.06608337622197</v>
      </c>
      <c r="W8" s="867" cm="1">
        <f t="array" ref="W8:W698">_xlfn._xlws.FILTER('Analisis recomendación Rutas v2'!$AM$8:$AM$796,('Analisis recomendación Rutas v2'!$E$8:$E$796="Activa")*('Analisis recomendación Rutas v2'!$F$8:$F$796="Sí"))</f>
        <v>2708.9427499999997</v>
      </c>
      <c r="X8" s="868" cm="1">
        <f t="array" ref="X8:X698">_xlfn._xlws.FILTER('Analisis recomendación Rutas v2'!$AP$8:$AP$796,('Analisis recomendación Rutas v2'!$E$8:$E$796="Activa")*('Analisis recomendación Rutas v2'!$F$8:$F$796="Sí"))</f>
        <v>0.50908729100483507</v>
      </c>
    </row>
    <row r="9" spans="1:24">
      <c r="A9" s="859" t="s">
        <v>78</v>
      </c>
      <c r="B9" s="859" t="s">
        <v>114</v>
      </c>
      <c r="C9" s="866">
        <v>2</v>
      </c>
      <c r="D9" s="863">
        <f t="shared" ref="D9:D14" si="0">COUNT(INDEX(_xlfn.ANCHORARRAY($P$8),0,$C9))</f>
        <v>691</v>
      </c>
      <c r="E9" s="868">
        <f t="shared" ref="E9:E14" si="1">AVERAGE(INDEX(_xlfn.ANCHORARRAY($P$8),0,$C9))</f>
        <v>0.50237521373453509</v>
      </c>
      <c r="F9" s="868">
        <f t="shared" ref="F9:F14" si="2">MEDIAN(INDEX(_xlfn.ANCHORARRAY($P$8),0,$C9))</f>
        <v>0.49900403917445901</v>
      </c>
      <c r="G9" s="868">
        <f t="shared" ref="G9:G14" si="3">_xlfn.STDEV.S(INDEX(_xlfn.ANCHORARRAY($P$8),0,$C9))</f>
        <v>0.18891722976819286</v>
      </c>
      <c r="H9" s="869">
        <f t="shared" ref="H9:H14" si="4">IFERROR(G9/E9,"")</f>
        <v>0.37604807045281585</v>
      </c>
      <c r="I9" s="870">
        <f t="shared" ref="I9:I14" si="5">CORREL(INDEX(_xlfn.ANCHORARRAY($P$8),0,$C9),_xlfn.ANCHORARRAY($X$8))</f>
        <v>-2.628900546744407E-2</v>
      </c>
      <c r="J9" s="870">
        <f t="shared" ref="J9:J14" si="6">CORREL(INDEX(_xlfn.ANCHORARRAY($P$8),0,$C9),_xlfn.ANCHORARRAY($W$8))</f>
        <v>2.4066921160829063E-2</v>
      </c>
      <c r="P9" s="867">
        <v>25.1111111111111</v>
      </c>
      <c r="Q9" s="868">
        <v>0.64877089478859395</v>
      </c>
      <c r="R9" s="867">
        <v>5322.4172839506036</v>
      </c>
      <c r="S9" s="867">
        <v>1542.5037037036998</v>
      </c>
      <c r="T9" s="867">
        <v>100.1579219753084</v>
      </c>
      <c r="U9" s="867">
        <v>34.171817612345592</v>
      </c>
      <c r="V9" s="877">
        <v>421.38400575932098</v>
      </c>
      <c r="W9" s="867">
        <v>2708.9427499999997</v>
      </c>
      <c r="X9" s="868">
        <v>0.50908729100483507</v>
      </c>
    </row>
    <row r="10" spans="1:24">
      <c r="A10" s="859" t="s">
        <v>1579</v>
      </c>
      <c r="B10" s="859" t="s">
        <v>1599</v>
      </c>
      <c r="C10" s="866">
        <v>3</v>
      </c>
      <c r="D10" s="863">
        <f t="shared" si="0"/>
        <v>691</v>
      </c>
      <c r="E10" s="867">
        <f t="shared" si="1"/>
        <v>3867.3268296831325</v>
      </c>
      <c r="F10" s="867">
        <f t="shared" si="2"/>
        <v>3305.1845102505654</v>
      </c>
      <c r="G10" s="867">
        <f t="shared" si="3"/>
        <v>2505.9817374857876</v>
      </c>
      <c r="H10" s="869">
        <f t="shared" si="4"/>
        <v>0.6479880930288775</v>
      </c>
      <c r="I10" s="870">
        <f t="shared" si="5"/>
        <v>6.2357718838530786E-2</v>
      </c>
      <c r="J10" s="870">
        <f t="shared" si="6"/>
        <v>0.19575995596604945</v>
      </c>
      <c r="P10" s="867">
        <v>41.992822966507198</v>
      </c>
      <c r="Q10" s="868">
        <v>0.21022047513245601</v>
      </c>
      <c r="R10" s="867">
        <v>5269.6770334928478</v>
      </c>
      <c r="S10" s="867">
        <v>991.06220095694255</v>
      </c>
      <c r="T10" s="867">
        <v>66.858185645933332</v>
      </c>
      <c r="U10" s="867">
        <v>35.503366822966676</v>
      </c>
      <c r="V10" s="877">
        <v>709.21020867208699</v>
      </c>
      <c r="W10" s="867">
        <v>2708.9427499999997</v>
      </c>
      <c r="X10" s="868">
        <v>0.50908729100483507</v>
      </c>
    </row>
    <row r="11" spans="1:24">
      <c r="A11" s="859" t="s">
        <v>1580</v>
      </c>
      <c r="B11" s="859" t="s">
        <v>1599</v>
      </c>
      <c r="C11" s="866">
        <v>4</v>
      </c>
      <c r="D11" s="863">
        <f t="shared" si="0"/>
        <v>691</v>
      </c>
      <c r="E11" s="867">
        <f t="shared" si="1"/>
        <v>5589.1176726193025</v>
      </c>
      <c r="F11" s="867">
        <f t="shared" si="2"/>
        <v>6001.6981566820341</v>
      </c>
      <c r="G11" s="867">
        <f t="shared" si="3"/>
        <v>2623.9996580718102</v>
      </c>
      <c r="H11" s="869">
        <f t="shared" si="4"/>
        <v>0.4694837023966415</v>
      </c>
      <c r="I11" s="870">
        <f t="shared" si="5"/>
        <v>0.38338788661225576</v>
      </c>
      <c r="J11" s="870">
        <f t="shared" si="6"/>
        <v>0.40900524187230264</v>
      </c>
      <c r="P11" s="867">
        <v>30.244897959183699</v>
      </c>
      <c r="Q11" s="868">
        <v>0.55638026690658304</v>
      </c>
      <c r="R11" s="867">
        <v>3681.3015873015752</v>
      </c>
      <c r="S11" s="867">
        <v>1219.9614512471614</v>
      </c>
      <c r="T11" s="867">
        <v>80.224457142856878</v>
      </c>
      <c r="U11" s="867">
        <v>25.155335344671119</v>
      </c>
      <c r="V11" s="877">
        <v>291.25447379059398</v>
      </c>
      <c r="W11" s="867">
        <v>2934.5030350000002</v>
      </c>
      <c r="X11" s="868">
        <v>0.32171861410340508</v>
      </c>
    </row>
    <row r="12" spans="1:24">
      <c r="A12" s="859" t="s">
        <v>1581</v>
      </c>
      <c r="B12" s="859" t="s">
        <v>1598</v>
      </c>
      <c r="C12" s="866">
        <v>5</v>
      </c>
      <c r="D12" s="863">
        <f t="shared" si="0"/>
        <v>691</v>
      </c>
      <c r="E12" s="867">
        <f t="shared" si="1"/>
        <v>383.77812567096345</v>
      </c>
      <c r="F12" s="867">
        <f t="shared" si="2"/>
        <v>414.23423999999909</v>
      </c>
      <c r="G12" s="867">
        <f t="shared" si="3"/>
        <v>177.97923481156357</v>
      </c>
      <c r="H12" s="869">
        <f t="shared" si="4"/>
        <v>0.46375554755863313</v>
      </c>
      <c r="I12" s="870">
        <f t="shared" si="5"/>
        <v>0.39517867954748848</v>
      </c>
      <c r="J12" s="870">
        <f t="shared" si="6"/>
        <v>0.37851155709589807</v>
      </c>
      <c r="P12" s="867">
        <v>25.4444444444444</v>
      </c>
      <c r="Q12" s="868">
        <v>0.34970145263345498</v>
      </c>
      <c r="R12" s="867">
        <v>10877.086167800455</v>
      </c>
      <c r="S12" s="867">
        <v>1265.278911564626</v>
      </c>
      <c r="T12" s="867">
        <v>85.887453968253979</v>
      </c>
      <c r="U12" s="867">
        <v>88.336068569161014</v>
      </c>
      <c r="V12" s="877">
        <v>1364.6376095820599</v>
      </c>
      <c r="W12" s="867">
        <v>2934.5030350000002</v>
      </c>
      <c r="X12" s="868">
        <v>0.32171861410340508</v>
      </c>
    </row>
    <row r="13" spans="1:24">
      <c r="A13" s="859" t="s">
        <v>1582</v>
      </c>
      <c r="B13" s="859" t="s">
        <v>1598</v>
      </c>
      <c r="C13" s="866">
        <v>6</v>
      </c>
      <c r="D13" s="863">
        <f t="shared" si="0"/>
        <v>691</v>
      </c>
      <c r="E13" s="867">
        <f t="shared" si="1"/>
        <v>29.503710486635612</v>
      </c>
      <c r="F13" s="867">
        <f t="shared" si="2"/>
        <v>25.011795916473307</v>
      </c>
      <c r="G13" s="867">
        <f t="shared" si="3"/>
        <v>19.050709795466656</v>
      </c>
      <c r="H13" s="869">
        <f t="shared" si="4"/>
        <v>0.64570555639420724</v>
      </c>
      <c r="I13" s="870">
        <f t="shared" si="5"/>
        <v>2.2667046247494889E-2</v>
      </c>
      <c r="J13" s="870">
        <f t="shared" si="6"/>
        <v>0.14380146365099034</v>
      </c>
      <c r="P13" s="867">
        <v>26.476082004555799</v>
      </c>
      <c r="Q13" s="868">
        <v>0.65508044394734599</v>
      </c>
      <c r="R13" s="867">
        <v>1942.4669703872453</v>
      </c>
      <c r="S13" s="867">
        <v>7132.6127562642423</v>
      </c>
      <c r="T13" s="867">
        <v>458.61808473804132</v>
      </c>
      <c r="U13" s="867">
        <v>13.306659485193633</v>
      </c>
      <c r="V13" s="877">
        <v>523.24145127396901</v>
      </c>
      <c r="W13" s="867">
        <v>2926.3660075054263</v>
      </c>
      <c r="X13" s="868">
        <v>0.4281745778574948</v>
      </c>
    </row>
    <row r="14" spans="1:24">
      <c r="A14" s="859" t="s">
        <v>85</v>
      </c>
      <c r="B14" s="859" t="s">
        <v>1600</v>
      </c>
      <c r="C14" s="866">
        <v>7</v>
      </c>
      <c r="D14" s="863">
        <f t="shared" si="0"/>
        <v>691</v>
      </c>
      <c r="E14" s="867">
        <f t="shared" si="1"/>
        <v>360.37001096646816</v>
      </c>
      <c r="F14" s="867">
        <f t="shared" si="2"/>
        <v>296.61060562646497</v>
      </c>
      <c r="G14" s="867">
        <f t="shared" si="3"/>
        <v>389.7183570864276</v>
      </c>
      <c r="H14" s="869">
        <f t="shared" si="4"/>
        <v>1.0814394794984488</v>
      </c>
      <c r="I14" s="870">
        <f t="shared" si="5"/>
        <v>3.0961061937128682E-2</v>
      </c>
      <c r="J14" s="870">
        <f t="shared" si="6"/>
        <v>3.2355157145894473E-2</v>
      </c>
      <c r="P14" s="867">
        <v>39.218468468468501</v>
      </c>
      <c r="Q14" s="868">
        <v>0.61482800206742105</v>
      </c>
      <c r="R14" s="867">
        <v>2082.9617117117159</v>
      </c>
      <c r="S14" s="867">
        <v>6190.1351351351468</v>
      </c>
      <c r="T14" s="867">
        <v>407.32811466666743</v>
      </c>
      <c r="U14" s="867">
        <v>23.04366898648653</v>
      </c>
      <c r="V14" s="877">
        <v>343.10217261348799</v>
      </c>
      <c r="W14" s="867">
        <v>2926.3660075054263</v>
      </c>
      <c r="X14" s="868">
        <v>0.4281745778574948</v>
      </c>
    </row>
    <row r="15" spans="1:24">
      <c r="P15" s="867">
        <v>35.429545454545497</v>
      </c>
      <c r="Q15" s="868">
        <v>0.755789338636218</v>
      </c>
      <c r="R15" s="867">
        <v>3506.9113636363613</v>
      </c>
      <c r="S15" s="867">
        <v>5696.6249999999964</v>
      </c>
      <c r="T15" s="867">
        <v>367.57845090909069</v>
      </c>
      <c r="U15" s="867">
        <v>25.698174213636346</v>
      </c>
      <c r="V15" s="877">
        <v>343.70682991003201</v>
      </c>
      <c r="W15" s="867">
        <v>2926.3660075054263</v>
      </c>
      <c r="X15" s="868">
        <v>0.4281745778574948</v>
      </c>
    </row>
    <row r="16" spans="1:24">
      <c r="P16" s="867">
        <v>74.595505617977494</v>
      </c>
      <c r="Q16" s="868">
        <v>0.82027413767133595</v>
      </c>
      <c r="R16" s="867">
        <v>15635.582022471908</v>
      </c>
      <c r="S16" s="867">
        <v>4162.3797752808987</v>
      </c>
      <c r="T16" s="867">
        <v>272.7208305617977</v>
      </c>
      <c r="U16" s="867">
        <v>124.20880402696628</v>
      </c>
      <c r="V16" s="877">
        <v>323.55536229755103</v>
      </c>
      <c r="W16" s="867">
        <v>3561.414830517057</v>
      </c>
      <c r="X16" s="868">
        <v>0.58267118728708334</v>
      </c>
    </row>
    <row r="17" spans="1:24">
      <c r="A17" s="864" t="s">
        <v>1617</v>
      </c>
      <c r="P17" s="867">
        <v>83.913439635535298</v>
      </c>
      <c r="Q17" s="868">
        <v>0.58420652587002597</v>
      </c>
      <c r="R17" s="867">
        <v>12011.995444191332</v>
      </c>
      <c r="S17" s="867">
        <v>2797.1799544419105</v>
      </c>
      <c r="T17" s="867">
        <v>184.69732482915697</v>
      </c>
      <c r="U17" s="867">
        <v>91.440262307516988</v>
      </c>
      <c r="V17" s="877">
        <v>302.087722224804</v>
      </c>
      <c r="W17" s="867">
        <v>3561.414830517057</v>
      </c>
      <c r="X17" s="868">
        <v>0.58267118728708334</v>
      </c>
    </row>
    <row r="18" spans="1:24" ht="39.950000000000003" customHeight="1">
      <c r="A18" s="865" t="s">
        <v>1607</v>
      </c>
      <c r="B18" s="865" t="s">
        <v>87</v>
      </c>
      <c r="C18" s="865" t="s">
        <v>78</v>
      </c>
      <c r="D18" s="865" t="s">
        <v>1579</v>
      </c>
      <c r="E18" s="865" t="s">
        <v>1580</v>
      </c>
      <c r="F18" s="865" t="s">
        <v>1581</v>
      </c>
      <c r="G18" s="865" t="s">
        <v>1582</v>
      </c>
      <c r="H18" s="865" t="s">
        <v>85</v>
      </c>
      <c r="I18" s="865" t="s">
        <v>1618</v>
      </c>
      <c r="P18" s="867">
        <v>75.371364653243802</v>
      </c>
      <c r="Q18" s="868">
        <v>0.48630197975720502</v>
      </c>
      <c r="R18" s="867">
        <v>8886.9843400447626</v>
      </c>
      <c r="S18" s="867">
        <v>1820.736017897096</v>
      </c>
      <c r="T18" s="867">
        <v>125.89230961968708</v>
      </c>
      <c r="U18" s="867">
        <v>71.303298290827911</v>
      </c>
      <c r="V18" s="877">
        <v>292.09171386718702</v>
      </c>
      <c r="W18" s="867">
        <v>3561.414830517057</v>
      </c>
      <c r="X18" s="868">
        <v>0.58267118728708334</v>
      </c>
    </row>
    <row r="19" spans="1:24">
      <c r="A19" s="859" t="str">
        <f t="shared" ref="A19:A25" si="7">A8</f>
        <v>Clientes/día</v>
      </c>
      <c r="B19" s="870">
        <f>CORREL(INDEX(_xlfn.ANCHORARRAY($P$8),0,MATCH($A19,$A$8:$A$14,0)),INDEX(_xlfn.ANCHORARRAY($P$8),0,MATCH(B$18,$A$8:$A$14,0)))</f>
        <v>1.0000000000000002</v>
      </c>
      <c r="C19" s="870">
        <f t="shared" ref="C19:H25" si="8">CORREL(INDEX(_xlfn.ANCHORARRAY($P$8),0,MATCH($A19,$A$8:$A$14,0)),INDEX(_xlfn.ANCHORARRAY($P$8),0,MATCH(C$18,$A$8:$A$14,0)))</f>
        <v>-0.33444066969189734</v>
      </c>
      <c r="D19" s="870">
        <f t="shared" si="8"/>
        <v>3.7803209556514401E-2</v>
      </c>
      <c r="E19" s="870">
        <f t="shared" si="8"/>
        <v>0.22881331316111356</v>
      </c>
      <c r="F19" s="870">
        <f t="shared" si="8"/>
        <v>0.21861172940921428</v>
      </c>
      <c r="G19" s="870">
        <f t="shared" si="8"/>
        <v>4.9682915406072461E-2</v>
      </c>
      <c r="H19" s="870">
        <f t="shared" si="8"/>
        <v>-0.19550551100854016</v>
      </c>
      <c r="I19" s="870" cm="1">
        <f t="array" ref="I19">(SUMPRODUCT(ABS(B19:H19))-1)/6</f>
        <v>0.17747622470555871</v>
      </c>
      <c r="P19" s="867">
        <v>92.468181818181804</v>
      </c>
      <c r="Q19" s="868">
        <v>0.79132871257926596</v>
      </c>
      <c r="R19" s="867">
        <v>13689.281818181802</v>
      </c>
      <c r="S19" s="867">
        <v>3112.0772727272692</v>
      </c>
      <c r="T19" s="867">
        <v>218.50888181818155</v>
      </c>
      <c r="U19" s="867">
        <v>112.22943124545441</v>
      </c>
      <c r="V19" s="877">
        <v>230.30886849298099</v>
      </c>
      <c r="W19" s="867">
        <v>3561.414830517057</v>
      </c>
      <c r="X19" s="868">
        <v>0.58267118728708334</v>
      </c>
    </row>
    <row r="20" spans="1:24">
      <c r="A20" s="859" t="str">
        <f t="shared" si="7"/>
        <v>Efectividad de compra</v>
      </c>
      <c r="B20" s="870">
        <f t="shared" ref="B20:B25" si="9">CORREL(INDEX(_xlfn.ANCHORARRAY($P$8),0,MATCH($A20,$A$8:$A$14,0)),INDEX(_xlfn.ANCHORARRAY($P$8),0,MATCH(B$18,$A$8:$A$14,0)))</f>
        <v>-0.33444066969189734</v>
      </c>
      <c r="C20" s="870">
        <f t="shared" si="8"/>
        <v>0.99999999999999978</v>
      </c>
      <c r="D20" s="870">
        <f t="shared" si="8"/>
        <v>0.3737495334625342</v>
      </c>
      <c r="E20" s="870">
        <f t="shared" si="8"/>
        <v>0.27065739183594434</v>
      </c>
      <c r="F20" s="870">
        <f t="shared" si="8"/>
        <v>0.25190679443683744</v>
      </c>
      <c r="G20" s="870">
        <f t="shared" si="8"/>
        <v>0.3510770849240672</v>
      </c>
      <c r="H20" s="870">
        <f t="shared" si="8"/>
        <v>-0.24344420923516305</v>
      </c>
      <c r="I20" s="870" cm="1">
        <f t="array" ref="I20">(SUMPRODUCT(ABS(B20:H20))-1)/6</f>
        <v>0.30421261393107391</v>
      </c>
      <c r="P20" s="867">
        <v>56.299319727891202</v>
      </c>
      <c r="Q20" s="868">
        <v>0.60790236829386202</v>
      </c>
      <c r="R20" s="867">
        <v>9264.6009070294676</v>
      </c>
      <c r="S20" s="867">
        <v>2892.5079365079332</v>
      </c>
      <c r="T20" s="867">
        <v>202.84551111111088</v>
      </c>
      <c r="U20" s="867">
        <v>75.844429344671113</v>
      </c>
      <c r="V20" s="877">
        <v>355.50825150732101</v>
      </c>
      <c r="W20" s="867">
        <v>3561.414830517057</v>
      </c>
      <c r="X20" s="868">
        <v>0.58267118728708334</v>
      </c>
    </row>
    <row r="21" spans="1:24">
      <c r="A21" s="859" t="str">
        <f t="shared" si="7"/>
        <v>Ingreso OP/día</v>
      </c>
      <c r="B21" s="870">
        <f t="shared" si="9"/>
        <v>3.7803209556514401E-2</v>
      </c>
      <c r="C21" s="870">
        <f t="shared" si="8"/>
        <v>0.3737495334625342</v>
      </c>
      <c r="D21" s="870">
        <f t="shared" si="8"/>
        <v>0.99999999999999989</v>
      </c>
      <c r="E21" s="870">
        <f t="shared" si="8"/>
        <v>-4.0555843476194862E-2</v>
      </c>
      <c r="F21" s="870">
        <f t="shared" si="8"/>
        <v>-6.4529734237162115E-2</v>
      </c>
      <c r="G21" s="870">
        <f t="shared" si="8"/>
        <v>0.96028218784796027</v>
      </c>
      <c r="H21" s="870">
        <f t="shared" si="8"/>
        <v>1.1589539177413323E-2</v>
      </c>
      <c r="I21" s="870" cm="1">
        <f t="array" ref="I21">(SUMPRODUCT(ABS(B21:H21))-1)/6</f>
        <v>0.24808500795962982</v>
      </c>
      <c r="P21" s="867">
        <v>69.360544217687107</v>
      </c>
      <c r="Q21" s="868">
        <v>0.62965868968222805</v>
      </c>
      <c r="R21" s="867">
        <v>10049.931972789111</v>
      </c>
      <c r="S21" s="867">
        <v>3187.714285714284</v>
      </c>
      <c r="T21" s="867">
        <v>208.16505396825386</v>
      </c>
      <c r="U21" s="867">
        <v>73.757332312925129</v>
      </c>
      <c r="V21" s="877">
        <v>303.09031100726901</v>
      </c>
      <c r="W21" s="867">
        <v>3561.414830517057</v>
      </c>
      <c r="X21" s="868">
        <v>0.58267118728708334</v>
      </c>
    </row>
    <row r="22" spans="1:24">
      <c r="A22" s="859" t="str">
        <f t="shared" si="7"/>
        <v>Ingreso GFN/día</v>
      </c>
      <c r="B22" s="870">
        <f t="shared" si="9"/>
        <v>0.22881331316111356</v>
      </c>
      <c r="C22" s="870">
        <f t="shared" si="8"/>
        <v>0.27065739183594434</v>
      </c>
      <c r="D22" s="870">
        <f t="shared" si="8"/>
        <v>-4.0555843476194862E-2</v>
      </c>
      <c r="E22" s="870">
        <f t="shared" si="8"/>
        <v>1.0000000000000002</v>
      </c>
      <c r="F22" s="870">
        <f t="shared" si="8"/>
        <v>0.97957888127200732</v>
      </c>
      <c r="G22" s="870">
        <f t="shared" si="8"/>
        <v>-9.2855033717773067E-2</v>
      </c>
      <c r="H22" s="870">
        <f t="shared" si="8"/>
        <v>-5.9928669678303084E-2</v>
      </c>
      <c r="I22" s="870" cm="1">
        <f t="array" ref="I22">(SUMPRODUCT(ABS(B22:H22))-1)/6</f>
        <v>0.27873152219022285</v>
      </c>
      <c r="P22" s="867">
        <v>54.061503416856503</v>
      </c>
      <c r="Q22" s="868">
        <v>0.58201660135676103</v>
      </c>
      <c r="R22" s="867">
        <v>10956.849658314348</v>
      </c>
      <c r="S22" s="867">
        <v>3798.7175398633249</v>
      </c>
      <c r="T22" s="867">
        <v>249.68921548974936</v>
      </c>
      <c r="U22" s="867">
        <v>86.871267102505669</v>
      </c>
      <c r="V22" s="877">
        <v>468.95623470643602</v>
      </c>
      <c r="W22" s="867">
        <v>3561.414830517057</v>
      </c>
      <c r="X22" s="868">
        <v>0.58267118728708334</v>
      </c>
    </row>
    <row r="23" spans="1:24">
      <c r="A23" s="859" t="str">
        <f t="shared" si="7"/>
        <v>#CU GFN/día</v>
      </c>
      <c r="B23" s="870">
        <f t="shared" si="9"/>
        <v>0.21861172940921428</v>
      </c>
      <c r="C23" s="870">
        <f t="shared" si="8"/>
        <v>0.25190679443683744</v>
      </c>
      <c r="D23" s="870">
        <f t="shared" si="8"/>
        <v>-6.4529734237162115E-2</v>
      </c>
      <c r="E23" s="870">
        <f t="shared" si="8"/>
        <v>0.97957888127200732</v>
      </c>
      <c r="F23" s="870">
        <f t="shared" si="8"/>
        <v>1</v>
      </c>
      <c r="G23" s="870">
        <f t="shared" si="8"/>
        <v>-0.10662592836431838</v>
      </c>
      <c r="H23" s="870">
        <f t="shared" si="8"/>
        <v>-2.2069431374143914E-2</v>
      </c>
      <c r="I23" s="870" cm="1">
        <f t="array" ref="I23">(SUMPRODUCT(ABS(B23:H23))-1)/6</f>
        <v>0.27388708318228061</v>
      </c>
      <c r="P23" s="867">
        <v>42.514672686230298</v>
      </c>
      <c r="Q23" s="868">
        <v>0.54762663268556899</v>
      </c>
      <c r="R23" s="867">
        <v>7080.6343115124173</v>
      </c>
      <c r="S23" s="867">
        <v>3080.3566591422132</v>
      </c>
      <c r="T23" s="867">
        <v>202.7884641083522</v>
      </c>
      <c r="U23" s="867">
        <v>53.336427823927778</v>
      </c>
      <c r="V23" s="877">
        <v>436.55824316463099</v>
      </c>
      <c r="W23" s="867">
        <v>3561.414830517057</v>
      </c>
      <c r="X23" s="868">
        <v>0.58267118728708334</v>
      </c>
    </row>
    <row r="24" spans="1:24">
      <c r="A24" s="859" t="str">
        <f t="shared" si="7"/>
        <v>#CU OP/día</v>
      </c>
      <c r="B24" s="870">
        <f t="shared" si="9"/>
        <v>4.9682915406072461E-2</v>
      </c>
      <c r="C24" s="870">
        <f t="shared" si="8"/>
        <v>0.3510770849240672</v>
      </c>
      <c r="D24" s="870">
        <f t="shared" si="8"/>
        <v>0.96028218784796027</v>
      </c>
      <c r="E24" s="870">
        <f t="shared" si="8"/>
        <v>-9.2855033717773067E-2</v>
      </c>
      <c r="F24" s="870">
        <f t="shared" si="8"/>
        <v>-0.10662592836431838</v>
      </c>
      <c r="G24" s="870">
        <f t="shared" si="8"/>
        <v>1</v>
      </c>
      <c r="H24" s="870">
        <f t="shared" si="8"/>
        <v>3.1159890194005734E-2</v>
      </c>
      <c r="I24" s="870" cm="1">
        <f t="array" ref="I24">(SUMPRODUCT(ABS(B24:H24))-1)/6</f>
        <v>0.2652805067423662</v>
      </c>
      <c r="P24" s="867">
        <v>37.887133182844302</v>
      </c>
      <c r="Q24" s="868">
        <v>0.71979265967588202</v>
      </c>
      <c r="R24" s="867">
        <v>7540.7313769751963</v>
      </c>
      <c r="S24" s="867">
        <v>4588.7404063205586</v>
      </c>
      <c r="T24" s="867">
        <v>298.18746004514782</v>
      </c>
      <c r="U24" s="867">
        <v>54.109633758465208</v>
      </c>
      <c r="V24" s="877">
        <v>444.77270259084497</v>
      </c>
      <c r="W24" s="867">
        <v>3561.414830517057</v>
      </c>
      <c r="X24" s="868">
        <v>0.58267118728708334</v>
      </c>
    </row>
    <row r="25" spans="1:24">
      <c r="A25" s="859" t="str">
        <f t="shared" si="7"/>
        <v>Ticket x cliente</v>
      </c>
      <c r="B25" s="870">
        <f t="shared" si="9"/>
        <v>-0.19550551100854016</v>
      </c>
      <c r="C25" s="870">
        <f t="shared" si="8"/>
        <v>-0.24344420923516305</v>
      </c>
      <c r="D25" s="870">
        <f t="shared" si="8"/>
        <v>1.1589539177413323E-2</v>
      </c>
      <c r="E25" s="870">
        <f t="shared" si="8"/>
        <v>-5.9928669678303084E-2</v>
      </c>
      <c r="F25" s="870">
        <f t="shared" si="8"/>
        <v>-2.2069431374143914E-2</v>
      </c>
      <c r="G25" s="870">
        <f t="shared" si="8"/>
        <v>3.1159890194005734E-2</v>
      </c>
      <c r="H25" s="870">
        <f t="shared" si="8"/>
        <v>0.99999999999999978</v>
      </c>
      <c r="I25" s="870" cm="1">
        <f t="array" ref="I25">(SUMPRODUCT(ABS(B25:H25))-1)/6</f>
        <v>9.3949541777928205E-2</v>
      </c>
      <c r="P25" s="867">
        <v>43.406818181818203</v>
      </c>
      <c r="Q25" s="868">
        <v>0.65500811560814698</v>
      </c>
      <c r="R25" s="867">
        <v>10039.361363636359</v>
      </c>
      <c r="S25" s="867">
        <v>4563.8318181818167</v>
      </c>
      <c r="T25" s="867">
        <v>297.6187836363635</v>
      </c>
      <c r="U25" s="867">
        <v>68.533283170454524</v>
      </c>
      <c r="V25" s="877">
        <v>514.05124780175902</v>
      </c>
      <c r="W25" s="867">
        <v>3561.414830517057</v>
      </c>
      <c r="X25" s="868">
        <v>0.58267118728708334</v>
      </c>
    </row>
    <row r="26" spans="1:24">
      <c r="P26" s="867">
        <v>34.929951690821298</v>
      </c>
      <c r="Q26" s="868">
        <v>0.86757485651061494</v>
      </c>
      <c r="R26" s="867">
        <v>6850.3958810068552</v>
      </c>
      <c r="S26" s="867">
        <v>2009.8237986269994</v>
      </c>
      <c r="T26" s="867">
        <v>133.47236064073184</v>
      </c>
      <c r="U26" s="867">
        <v>49.725351006864919</v>
      </c>
      <c r="V26" s="877">
        <v>300.21134543761599</v>
      </c>
      <c r="W26" s="867">
        <v>3561.414830517057</v>
      </c>
      <c r="X26" s="868">
        <v>0.58267118728708334</v>
      </c>
    </row>
    <row r="27" spans="1:24">
      <c r="P27" s="867">
        <v>71.004535147392303</v>
      </c>
      <c r="Q27" s="868">
        <v>0.76556062977038297</v>
      </c>
      <c r="R27" s="867">
        <v>13092.496598639465</v>
      </c>
      <c r="S27" s="867">
        <v>2668.2108843537435</v>
      </c>
      <c r="T27" s="867">
        <v>174.97781587301577</v>
      </c>
      <c r="U27" s="867">
        <v>100.62028561224498</v>
      </c>
      <c r="V27" s="877">
        <v>289.941277323544</v>
      </c>
      <c r="W27" s="867">
        <v>3561.414830517057</v>
      </c>
      <c r="X27" s="868">
        <v>0.58267118728708334</v>
      </c>
    </row>
    <row r="28" spans="1:24">
      <c r="A28" s="864" t="s">
        <v>1619</v>
      </c>
      <c r="P28" s="867">
        <v>55.694214876033101</v>
      </c>
      <c r="Q28" s="868">
        <v>0.75448879655735301</v>
      </c>
      <c r="R28" s="867">
        <v>7234.1192893401103</v>
      </c>
      <c r="S28" s="867">
        <v>2177.9796954314747</v>
      </c>
      <c r="T28" s="867">
        <v>148.03020101522833</v>
      </c>
      <c r="U28" s="867">
        <v>60.467679725888395</v>
      </c>
      <c r="V28" s="877">
        <v>227.926510512726</v>
      </c>
      <c r="W28" s="867">
        <v>3561.414830517057</v>
      </c>
      <c r="X28" s="868">
        <v>0.58267118728708334</v>
      </c>
    </row>
    <row r="29" spans="1:24" ht="20.100000000000001" customHeight="1">
      <c r="A29" s="865" t="s">
        <v>98</v>
      </c>
      <c r="B29" s="865" t="s">
        <v>1620</v>
      </c>
      <c r="C29" s="865" t="s">
        <v>1621</v>
      </c>
      <c r="P29" s="867">
        <v>30.527196652719699</v>
      </c>
      <c r="Q29" s="868">
        <v>0.81154057017543901</v>
      </c>
      <c r="R29" s="867">
        <v>4944.0913580246806</v>
      </c>
      <c r="S29" s="867">
        <v>2645.3876543209817</v>
      </c>
      <c r="T29" s="867">
        <v>172.06706567901199</v>
      </c>
      <c r="U29" s="867">
        <v>33.725269419753012</v>
      </c>
      <c r="V29" s="877">
        <v>387.25890569843699</v>
      </c>
      <c r="W29" s="867">
        <v>3561.414830517057</v>
      </c>
      <c r="X29" s="868">
        <v>0.58267118728708334</v>
      </c>
    </row>
    <row r="30" spans="1:24" ht="30" customHeight="1">
      <c r="A30" s="859" t="s">
        <v>1622</v>
      </c>
      <c r="B30" s="872">
        <v>0.4</v>
      </c>
      <c r="C30" s="966" t="s">
        <v>1623</v>
      </c>
      <c r="D30" s="966"/>
      <c r="E30" s="966"/>
      <c r="F30" s="966"/>
      <c r="G30" s="966"/>
      <c r="H30" s="966"/>
      <c r="I30" s="966"/>
      <c r="J30" s="966"/>
      <c r="P30" s="867">
        <v>85.111617312072894</v>
      </c>
      <c r="Q30" s="868">
        <v>0.20361845626806599</v>
      </c>
      <c r="R30" s="867">
        <v>8180.7676537585494</v>
      </c>
      <c r="S30" s="867">
        <v>2678.2072892938522</v>
      </c>
      <c r="T30" s="867">
        <v>186.87976856492043</v>
      </c>
      <c r="U30" s="867">
        <v>72.663563321184569</v>
      </c>
      <c r="V30" s="877">
        <v>628.70360935857002</v>
      </c>
      <c r="W30" s="867">
        <v>3561.414830517057</v>
      </c>
      <c r="X30" s="868">
        <v>0.58267118728708334</v>
      </c>
    </row>
    <row r="31" spans="1:24" ht="30" customHeight="1">
      <c r="A31" s="859" t="s">
        <v>1624</v>
      </c>
      <c r="B31" s="872">
        <v>0.2</v>
      </c>
      <c r="C31" s="966" t="s">
        <v>1625</v>
      </c>
      <c r="D31" s="966"/>
      <c r="E31" s="966"/>
      <c r="F31" s="966"/>
      <c r="G31" s="966"/>
      <c r="H31" s="966"/>
      <c r="I31" s="966"/>
      <c r="J31" s="966"/>
      <c r="P31" s="867">
        <v>97.181208053691293</v>
      </c>
      <c r="Q31" s="868">
        <v>0.29074585635359101</v>
      </c>
      <c r="R31" s="867">
        <v>7280.7136465324538</v>
      </c>
      <c r="S31" s="867">
        <v>2095.6957494407202</v>
      </c>
      <c r="T31" s="867">
        <v>143.01542886800902</v>
      </c>
      <c r="U31" s="867">
        <v>58.969742928411762</v>
      </c>
      <c r="V31" s="877">
        <v>332.33543626286598</v>
      </c>
      <c r="W31" s="867">
        <v>3561.414830517057</v>
      </c>
      <c r="X31" s="868">
        <v>0.58267118728708334</v>
      </c>
    </row>
    <row r="32" spans="1:24" ht="30" customHeight="1">
      <c r="A32" s="859" t="s">
        <v>1626</v>
      </c>
      <c r="B32" s="872">
        <v>0.4</v>
      </c>
      <c r="C32" s="966" t="s">
        <v>1627</v>
      </c>
      <c r="D32" s="966"/>
      <c r="E32" s="966"/>
      <c r="F32" s="966"/>
      <c r="G32" s="966"/>
      <c r="H32" s="966"/>
      <c r="I32" s="966"/>
      <c r="J32" s="966"/>
      <c r="P32" s="867">
        <v>85.639593908629394</v>
      </c>
      <c r="Q32" s="868">
        <v>0.200580878430443</v>
      </c>
      <c r="R32" s="867">
        <v>2168.1746478873329</v>
      </c>
      <c r="S32" s="867">
        <v>1679.2478873239506</v>
      </c>
      <c r="T32" s="867">
        <v>112.83586704225398</v>
      </c>
      <c r="U32" s="867">
        <v>20.913444030986003</v>
      </c>
      <c r="V32" s="877">
        <v>340.51944653142999</v>
      </c>
      <c r="W32" s="867">
        <v>3561.414830517057</v>
      </c>
      <c r="X32" s="868">
        <v>0.58267118728708334</v>
      </c>
    </row>
    <row r="33" spans="1:27">
      <c r="A33" s="862" t="s">
        <v>84</v>
      </c>
      <c r="B33" s="876">
        <f>SUM(B30:B32)</f>
        <v>1</v>
      </c>
      <c r="P33" s="867">
        <v>73.654627539503394</v>
      </c>
      <c r="Q33" s="868">
        <v>0.18523399429955001</v>
      </c>
      <c r="R33" s="867">
        <v>8431.7178329571325</v>
      </c>
      <c r="S33" s="867">
        <v>1671.9367945823972</v>
      </c>
      <c r="T33" s="867">
        <v>114.37860948081294</v>
      </c>
      <c r="U33" s="867">
        <v>67.785816677201069</v>
      </c>
      <c r="V33" s="877">
        <v>741.71906353408303</v>
      </c>
      <c r="W33" s="867">
        <v>3561.414830517057</v>
      </c>
      <c r="X33" s="868">
        <v>0.58267118728708334</v>
      </c>
    </row>
    <row r="34" spans="1:27">
      <c r="A34" s="862" t="s">
        <v>1649</v>
      </c>
      <c r="B34" s="886">
        <v>3</v>
      </c>
      <c r="C34" s="887">
        <v>2</v>
      </c>
      <c r="D34" s="861" t="s">
        <v>1650</v>
      </c>
      <c r="P34" s="867">
        <v>63.612318840579697</v>
      </c>
      <c r="Q34" s="868">
        <v>0.51882440052400802</v>
      </c>
      <c r="R34" s="867">
        <v>6277.7092198581449</v>
      </c>
      <c r="S34" s="867">
        <v>1958.5673758865214</v>
      </c>
      <c r="T34" s="867">
        <v>132.34397919621702</v>
      </c>
      <c r="U34" s="867">
        <v>44.411945957446733</v>
      </c>
      <c r="V34" s="877">
        <v>249.19333903012199</v>
      </c>
      <c r="W34" s="867">
        <v>3561.414830517057</v>
      </c>
      <c r="X34" s="868">
        <v>0.58267118728708334</v>
      </c>
    </row>
    <row r="35" spans="1:27">
      <c r="P35" s="867">
        <v>29.2730158730159</v>
      </c>
      <c r="Q35" s="868">
        <v>1.05660991215703</v>
      </c>
      <c r="R35" s="867">
        <v>6575.7605985037535</v>
      </c>
      <c r="S35" s="867">
        <v>3262.6334164588593</v>
      </c>
      <c r="T35" s="867">
        <v>216.78132069825477</v>
      </c>
      <c r="U35" s="867">
        <v>45.810462179551209</v>
      </c>
      <c r="V35" s="877">
        <v>292.57413138577903</v>
      </c>
      <c r="W35" s="867">
        <v>3561.414830517057</v>
      </c>
      <c r="X35" s="868">
        <v>0.58267118728708334</v>
      </c>
    </row>
    <row r="36" spans="1:27">
      <c r="A36" s="864" t="s">
        <v>1628</v>
      </c>
      <c r="P36" s="867">
        <v>37.962499999999999</v>
      </c>
      <c r="Q36" s="868">
        <v>0.76950938426078397</v>
      </c>
      <c r="R36" s="867">
        <v>6044.676549865223</v>
      </c>
      <c r="S36" s="867">
        <v>2438.2587601078139</v>
      </c>
      <c r="T36" s="867">
        <v>162.61904905660361</v>
      </c>
      <c r="U36" s="867">
        <v>45.659718641509379</v>
      </c>
      <c r="V36" s="877">
        <v>264.04652068126501</v>
      </c>
      <c r="W36" s="867">
        <v>3561.414830517057</v>
      </c>
      <c r="X36" s="868">
        <v>0.58267118728708334</v>
      </c>
    </row>
    <row r="37" spans="1:27" ht="39.950000000000003" customHeight="1">
      <c r="A37" s="865" t="s">
        <v>1607</v>
      </c>
      <c r="B37" s="865" t="s">
        <v>1608</v>
      </c>
      <c r="C37" s="865" t="s">
        <v>1629</v>
      </c>
      <c r="D37" s="865" t="s">
        <v>1631</v>
      </c>
      <c r="E37" s="865" t="s">
        <v>1632</v>
      </c>
      <c r="F37" s="865" t="s">
        <v>1633</v>
      </c>
      <c r="G37" s="865" t="s">
        <v>1634</v>
      </c>
      <c r="H37" s="865" t="s">
        <v>1635</v>
      </c>
      <c r="I37" s="865" t="s">
        <v>1651</v>
      </c>
      <c r="J37" s="865" t="s">
        <v>1652</v>
      </c>
      <c r="K37" s="865" t="s">
        <v>1636</v>
      </c>
      <c r="L37" s="865" t="s">
        <v>1637</v>
      </c>
      <c r="M37" s="865" t="s">
        <v>1638</v>
      </c>
      <c r="N37" s="865" t="s">
        <v>1639</v>
      </c>
      <c r="O37" s="865" t="s">
        <v>1630</v>
      </c>
      <c r="P37" s="859">
        <v>55.710407239818998</v>
      </c>
      <c r="Q37" s="867">
        <v>0.73964424951267105</v>
      </c>
      <c r="R37" s="868">
        <v>11496.497737556556</v>
      </c>
      <c r="S37" s="867">
        <v>2106.3529411764694</v>
      </c>
      <c r="T37" s="867">
        <v>146.8251076923074</v>
      </c>
      <c r="U37" s="867">
        <v>91.605852481900413</v>
      </c>
      <c r="V37" s="867">
        <v>330.13656618898602</v>
      </c>
      <c r="W37" s="877">
        <v>3282.4548901856938</v>
      </c>
      <c r="X37" s="867">
        <v>0.55777581772203777</v>
      </c>
      <c r="Y37" s="868"/>
      <c r="AA37" s="859"/>
    </row>
    <row r="38" spans="1:27" ht="26.1" customHeight="1">
      <c r="A38" s="878" t="str">
        <f t="shared" ref="A38:B44" si="10">A8</f>
        <v>Clientes/día</v>
      </c>
      <c r="B38" s="878" t="str">
        <f t="shared" si="10"/>
        <v>Ruta</v>
      </c>
      <c r="C38" s="879">
        <v>5</v>
      </c>
      <c r="D38" s="880">
        <f t="shared" ref="D38:D44" si="11">AVERAGE(ABS(I8),ABS(J8))</f>
        <v>0.23773591569939384</v>
      </c>
      <c r="E38" s="880">
        <f>1-I19</f>
        <v>0.82252377529444132</v>
      </c>
      <c r="F38" s="881">
        <f>D38/SUM($D$38:$D$44)</f>
        <v>0.18430472839738865</v>
      </c>
      <c r="G38" s="881">
        <f>E38/SUM($E$38:$E$44)</f>
        <v>0.15350239421718856</v>
      </c>
      <c r="H38" s="881">
        <f t="shared" ref="H38:H44" si="12">C38/SUM($C$38:$C$44)</f>
        <v>0.19230769230769232</v>
      </c>
      <c r="I38" s="881">
        <f>F38*$B$30+G38*$B$31+H38*$B$32</f>
        <v>0.1813454471254701</v>
      </c>
      <c r="J38" s="888" t="str">
        <f>IF(ISNUMBER(SEARCH("OP",A38)),$B$34,IF(ISNUMBER(SEARCH("GFN",A38)),$C$34,""))</f>
        <v/>
      </c>
      <c r="K38" s="882">
        <f>IF(J38="",I38,SUMIF($B$38:$B$44,B38,$I$38:$I$44)*J38/SUMIF($B$38:$B$44,B38,$J$38:$J$44))</f>
        <v>0.1813454471254701</v>
      </c>
      <c r="L38" s="883">
        <v>0.27272727272727298</v>
      </c>
      <c r="M38" s="884">
        <f>(K38-L38)*100</f>
        <v>-9.1381825601802884</v>
      </c>
      <c r="N38" s="881">
        <f t="shared" ref="N38:N44" si="13">SUMIF($B$38:$B$44,B38,$K$38:$K$44)</f>
        <v>0.27666167056108931</v>
      </c>
      <c r="O38" s="885" t="s">
        <v>1640</v>
      </c>
      <c r="P38" s="859">
        <v>59.873303167420801</v>
      </c>
      <c r="Q38" s="867">
        <v>0.62889207980652995</v>
      </c>
      <c r="R38" s="868">
        <v>8846.0904977375521</v>
      </c>
      <c r="S38" s="867">
        <v>2828.3846153846139</v>
      </c>
      <c r="T38" s="867">
        <v>186.4321846153845</v>
      </c>
      <c r="U38" s="867">
        <v>67.554501920814445</v>
      </c>
      <c r="V38" s="867">
        <v>310.04734843477701</v>
      </c>
      <c r="W38" s="877">
        <v>3282.4548901856938</v>
      </c>
      <c r="X38" s="867">
        <v>0.55777581772203777</v>
      </c>
      <c r="Y38" s="868"/>
      <c r="AA38" s="859"/>
    </row>
    <row r="39" spans="1:27" ht="26.1" customHeight="1">
      <c r="A39" s="878" t="str">
        <f t="shared" si="10"/>
        <v>Efectividad de compra</v>
      </c>
      <c r="B39" s="878" t="str">
        <f t="shared" si="10"/>
        <v>Ruta</v>
      </c>
      <c r="C39" s="879">
        <v>4</v>
      </c>
      <c r="D39" s="880">
        <f t="shared" si="11"/>
        <v>2.5177963314136569E-2</v>
      </c>
      <c r="E39" s="880">
        <f t="shared" ref="E39:E44" si="14">1-I20</f>
        <v>0.69578738606892609</v>
      </c>
      <c r="F39" s="881">
        <f t="shared" ref="F39:F44" si="15">D39/SUM($D$38:$D$44)</f>
        <v>1.9519211796668327E-2</v>
      </c>
      <c r="G39" s="881">
        <f t="shared" ref="G39:G44" si="16">E39/SUM($E$38:$E$44)</f>
        <v>0.12985038589245174</v>
      </c>
      <c r="H39" s="881">
        <f t="shared" si="12"/>
        <v>0.15384615384615385</v>
      </c>
      <c r="I39" s="881">
        <f t="shared" ref="I39:I44" si="17">F39*$B$30+G39*$B$31+H39*$B$32</f>
        <v>9.5316223435619213E-2</v>
      </c>
      <c r="J39" s="888" t="str">
        <f t="shared" ref="J39:J44" si="18">IF(ISNUMBER(SEARCH("OP",A39)),$B$34,IF(ISNUMBER(SEARCH("GFN",A39)),$C$34,""))</f>
        <v/>
      </c>
      <c r="K39" s="882">
        <f t="shared" ref="K39:K44" si="19">IF(J39="",I39,SUMIF($B$38:$B$44,B39,$I$38:$I$44)*J39/SUMIF($B$38:$B$44,B39,$J$38:$J$44))</f>
        <v>9.5316223435619213E-2</v>
      </c>
      <c r="L39" s="883">
        <v>0.27272727272727298</v>
      </c>
      <c r="M39" s="884">
        <f t="shared" ref="M39:M44" si="20">(K39-L39)*100</f>
        <v>-17.741104929165378</v>
      </c>
      <c r="N39" s="881">
        <f t="shared" si="13"/>
        <v>0.27666167056108931</v>
      </c>
      <c r="O39" s="885" t="s">
        <v>1641</v>
      </c>
      <c r="P39" s="859">
        <v>77.002283105022798</v>
      </c>
      <c r="Q39" s="867">
        <v>0.419841669878732</v>
      </c>
      <c r="R39" s="868">
        <v>5623.5981735159985</v>
      </c>
      <c r="S39" s="867">
        <v>1908.4223744292294</v>
      </c>
      <c r="T39" s="867">
        <v>132.3203231415529</v>
      </c>
      <c r="U39" s="867">
        <v>43.04996193379008</v>
      </c>
      <c r="V39" s="867">
        <v>233.01688700565001</v>
      </c>
      <c r="W39" s="877">
        <v>3282.4548901856938</v>
      </c>
      <c r="X39" s="867">
        <v>0.55777581772203777</v>
      </c>
      <c r="Y39" s="868"/>
      <c r="AA39" s="859"/>
    </row>
    <row r="40" spans="1:27" ht="26.1" customHeight="1">
      <c r="A40" s="878" t="str">
        <f t="shared" si="10"/>
        <v>Ingreso OP/día</v>
      </c>
      <c r="B40" s="878" t="str">
        <f t="shared" si="10"/>
        <v>Ingreso</v>
      </c>
      <c r="C40" s="879">
        <v>4</v>
      </c>
      <c r="D40" s="880">
        <f t="shared" si="11"/>
        <v>0.12905883740229013</v>
      </c>
      <c r="E40" s="880">
        <f t="shared" si="14"/>
        <v>0.75191499204037016</v>
      </c>
      <c r="F40" s="881">
        <f t="shared" si="15"/>
        <v>0.10005284184653161</v>
      </c>
      <c r="G40" s="881">
        <f t="shared" si="16"/>
        <v>0.14032512492988738</v>
      </c>
      <c r="H40" s="881">
        <f t="shared" si="12"/>
        <v>0.15384615384615385</v>
      </c>
      <c r="I40" s="881">
        <f t="shared" si="17"/>
        <v>0.12962462326305169</v>
      </c>
      <c r="J40" s="888">
        <f t="shared" si="18"/>
        <v>3</v>
      </c>
      <c r="K40" s="882">
        <f t="shared" si="19"/>
        <v>0.20456685877312139</v>
      </c>
      <c r="L40" s="883">
        <v>6.3636363636363602E-2</v>
      </c>
      <c r="M40" s="884">
        <f t="shared" si="20"/>
        <v>14.093049513675778</v>
      </c>
      <c r="N40" s="881">
        <f t="shared" si="13"/>
        <v>0.34094476462186896</v>
      </c>
      <c r="O40" s="885" t="s">
        <v>1654</v>
      </c>
      <c r="P40" s="859">
        <v>48.897321428571402</v>
      </c>
      <c r="Q40" s="867">
        <v>0.88304574089290599</v>
      </c>
      <c r="R40" s="868">
        <v>12320.078124999982</v>
      </c>
      <c r="S40" s="867">
        <v>2910.9955357142812</v>
      </c>
      <c r="T40" s="867">
        <v>193.71627499999971</v>
      </c>
      <c r="U40" s="867">
        <v>91.599962897321291</v>
      </c>
      <c r="V40" s="867">
        <v>352.74621794871803</v>
      </c>
      <c r="W40" s="877">
        <v>3282.4548901856938</v>
      </c>
      <c r="X40" s="867">
        <v>0.55777581772203777</v>
      </c>
      <c r="Y40" s="868"/>
      <c r="AA40" s="859"/>
    </row>
    <row r="41" spans="1:27" ht="26.1" customHeight="1">
      <c r="A41" s="878" t="str">
        <f t="shared" si="10"/>
        <v>Ingreso GFN/día</v>
      </c>
      <c r="B41" s="878" t="str">
        <f t="shared" si="10"/>
        <v>Ingreso</v>
      </c>
      <c r="C41" s="879">
        <v>4</v>
      </c>
      <c r="D41" s="880">
        <f t="shared" si="11"/>
        <v>0.39619656424227923</v>
      </c>
      <c r="E41" s="880">
        <f t="shared" si="14"/>
        <v>0.7212684778097771</v>
      </c>
      <c r="F41" s="881">
        <f t="shared" si="15"/>
        <v>0.30715131935295548</v>
      </c>
      <c r="G41" s="881">
        <f t="shared" si="16"/>
        <v>0.1346057603958675</v>
      </c>
      <c r="H41" s="881">
        <f t="shared" si="12"/>
        <v>0.15384615384615385</v>
      </c>
      <c r="I41" s="881">
        <f t="shared" si="17"/>
        <v>0.21132014135881724</v>
      </c>
      <c r="J41" s="888">
        <f t="shared" si="18"/>
        <v>2</v>
      </c>
      <c r="K41" s="882">
        <f t="shared" si="19"/>
        <v>0.13637790584874759</v>
      </c>
      <c r="L41" s="883">
        <v>6.3636363636363602E-2</v>
      </c>
      <c r="M41" s="884">
        <f t="shared" si="20"/>
        <v>7.2741542212383994</v>
      </c>
      <c r="N41" s="881">
        <f t="shared" si="13"/>
        <v>0.34094476462186896</v>
      </c>
      <c r="O41" s="885" t="s">
        <v>1655</v>
      </c>
      <c r="P41" s="859">
        <v>60.437641723356002</v>
      </c>
      <c r="Q41" s="867">
        <v>0.44610362810940601</v>
      </c>
      <c r="R41" s="868">
        <v>7161.9092970521469</v>
      </c>
      <c r="S41" s="867">
        <v>2956.877551020405</v>
      </c>
      <c r="T41" s="867">
        <v>205.49729523809501</v>
      </c>
      <c r="U41" s="867">
        <v>63.931083600906959</v>
      </c>
      <c r="V41" s="867">
        <v>375.30573927670298</v>
      </c>
      <c r="W41" s="877">
        <v>3282.4548901856938</v>
      </c>
      <c r="X41" s="867">
        <v>0.55777581772203777</v>
      </c>
      <c r="Y41" s="868"/>
      <c r="AA41" s="859"/>
    </row>
    <row r="42" spans="1:27" ht="26.1" customHeight="1">
      <c r="A42" s="878" t="str">
        <f t="shared" si="10"/>
        <v>#CU GFN/día</v>
      </c>
      <c r="B42" s="878" t="str">
        <f t="shared" si="10"/>
        <v>Volumen</v>
      </c>
      <c r="C42" s="879">
        <v>3</v>
      </c>
      <c r="D42" s="880">
        <f t="shared" si="11"/>
        <v>0.38684511832169327</v>
      </c>
      <c r="E42" s="880">
        <f t="shared" si="14"/>
        <v>0.72611291681771939</v>
      </c>
      <c r="F42" s="881">
        <f t="shared" si="15"/>
        <v>0.29990161248621611</v>
      </c>
      <c r="G42" s="881">
        <f t="shared" si="16"/>
        <v>0.13550984731553384</v>
      </c>
      <c r="H42" s="881">
        <f t="shared" si="12"/>
        <v>0.11538461538461539</v>
      </c>
      <c r="I42" s="881">
        <f t="shared" si="17"/>
        <v>0.19321646061143938</v>
      </c>
      <c r="J42" s="888">
        <f t="shared" si="18"/>
        <v>2</v>
      </c>
      <c r="K42" s="882">
        <f t="shared" si="19"/>
        <v>0.11704178048159175</v>
      </c>
      <c r="L42" s="883">
        <v>9.0909090909090898E-2</v>
      </c>
      <c r="M42" s="884">
        <f t="shared" si="20"/>
        <v>2.6132689572500851</v>
      </c>
      <c r="N42" s="881">
        <f t="shared" si="13"/>
        <v>0.29260445120397938</v>
      </c>
      <c r="O42" s="885" t="s">
        <v>1656</v>
      </c>
      <c r="P42" s="859">
        <v>47.243735763098002</v>
      </c>
      <c r="Q42" s="867">
        <v>0.86022179363548701</v>
      </c>
      <c r="R42" s="868">
        <v>11409.10706150342</v>
      </c>
      <c r="S42" s="867">
        <v>3341.5512528473814</v>
      </c>
      <c r="T42" s="867">
        <v>225.41755261959005</v>
      </c>
      <c r="U42" s="867">
        <v>95.552305382687948</v>
      </c>
      <c r="V42" s="867">
        <v>362.95824449302199</v>
      </c>
      <c r="W42" s="877">
        <v>3282.4548901856938</v>
      </c>
      <c r="X42" s="867">
        <v>0.55777581772203777</v>
      </c>
      <c r="Y42" s="868"/>
      <c r="AA42" s="859"/>
    </row>
    <row r="43" spans="1:27" ht="26.1" customHeight="1">
      <c r="A43" s="878" t="str">
        <f t="shared" si="10"/>
        <v>#CU OP/día</v>
      </c>
      <c r="B43" s="878" t="str">
        <f t="shared" si="10"/>
        <v>Volumen</v>
      </c>
      <c r="C43" s="879">
        <v>3</v>
      </c>
      <c r="D43" s="880">
        <f t="shared" si="11"/>
        <v>8.3234254949242609E-2</v>
      </c>
      <c r="E43" s="880">
        <f t="shared" si="14"/>
        <v>0.73471949325763375</v>
      </c>
      <c r="F43" s="881">
        <f t="shared" si="15"/>
        <v>6.4527342057884421E-2</v>
      </c>
      <c r="G43" s="881">
        <f t="shared" si="16"/>
        <v>0.13711603807770018</v>
      </c>
      <c r="H43" s="881">
        <f t="shared" si="12"/>
        <v>0.11538461538461539</v>
      </c>
      <c r="I43" s="881">
        <f t="shared" si="17"/>
        <v>9.9387990592539971E-2</v>
      </c>
      <c r="J43" s="888">
        <f t="shared" si="18"/>
        <v>3</v>
      </c>
      <c r="K43" s="882">
        <f t="shared" si="19"/>
        <v>0.17556267072238763</v>
      </c>
      <c r="L43" s="883">
        <v>9.0909090909090898E-2</v>
      </c>
      <c r="M43" s="884">
        <f t="shared" si="20"/>
        <v>8.4653579813296727</v>
      </c>
      <c r="N43" s="881">
        <f t="shared" si="13"/>
        <v>0.29260445120397938</v>
      </c>
      <c r="O43" s="885" t="s">
        <v>1657</v>
      </c>
      <c r="P43" s="859">
        <v>42.527027027027003</v>
      </c>
      <c r="Q43" s="867">
        <v>0.72841859972460499</v>
      </c>
      <c r="R43" s="868">
        <v>10859.639639639652</v>
      </c>
      <c r="S43" s="867">
        <v>3147.7364864864903</v>
      </c>
      <c r="T43" s="867">
        <v>217.91280000000026</v>
      </c>
      <c r="U43" s="867">
        <v>87.257802103603709</v>
      </c>
      <c r="V43" s="867">
        <v>452.179327468373</v>
      </c>
      <c r="W43" s="877">
        <v>3282.4548901856938</v>
      </c>
      <c r="X43" s="867">
        <v>0.55777581772203777</v>
      </c>
      <c r="Y43" s="868"/>
      <c r="AA43" s="859"/>
    </row>
    <row r="44" spans="1:27" ht="26.1" customHeight="1">
      <c r="A44" s="878" t="str">
        <f t="shared" si="10"/>
        <v>Ticket x cliente</v>
      </c>
      <c r="B44" s="878" t="str">
        <f t="shared" si="10"/>
        <v>Consumo</v>
      </c>
      <c r="C44" s="879">
        <v>3</v>
      </c>
      <c r="D44" s="880">
        <f t="shared" si="11"/>
        <v>3.1658109541511575E-2</v>
      </c>
      <c r="E44" s="880">
        <f t="shared" si="14"/>
        <v>0.90605045822207175</v>
      </c>
      <c r="F44" s="881">
        <f t="shared" si="15"/>
        <v>2.454294406235543E-2</v>
      </c>
      <c r="G44" s="881">
        <f t="shared" si="16"/>
        <v>0.16909044917137087</v>
      </c>
      <c r="H44" s="881">
        <f t="shared" si="12"/>
        <v>0.11538461538461539</v>
      </c>
      <c r="I44" s="881">
        <f t="shared" si="17"/>
        <v>8.9789113613062493E-2</v>
      </c>
      <c r="J44" s="888" t="str">
        <f t="shared" si="18"/>
        <v/>
      </c>
      <c r="K44" s="882">
        <f t="shared" si="19"/>
        <v>8.9789113613062493E-2</v>
      </c>
      <c r="L44" s="883">
        <v>0.145454545454545</v>
      </c>
      <c r="M44" s="884">
        <f t="shared" si="20"/>
        <v>-5.5665431841482507</v>
      </c>
      <c r="N44" s="881">
        <f t="shared" si="13"/>
        <v>8.9789113613062493E-2</v>
      </c>
      <c r="O44" s="885" t="s">
        <v>1642</v>
      </c>
      <c r="P44" s="859">
        <v>48.994764397905797</v>
      </c>
      <c r="Q44" s="867">
        <v>0.61973712331694797</v>
      </c>
      <c r="R44" s="868">
        <v>8117.5522041763479</v>
      </c>
      <c r="S44" s="867">
        <v>2396.3457076566165</v>
      </c>
      <c r="T44" s="867">
        <v>162.73324547563834</v>
      </c>
      <c r="U44" s="867">
        <v>59.132289619489661</v>
      </c>
      <c r="V44" s="867">
        <v>337.66673248882302</v>
      </c>
      <c r="W44" s="877">
        <v>3282.4548901856938</v>
      </c>
      <c r="X44" s="867">
        <v>0.55777581772203777</v>
      </c>
      <c r="Y44" s="868"/>
      <c r="AA44" s="859"/>
    </row>
    <row r="45" spans="1:27">
      <c r="A45" s="873" t="s">
        <v>84</v>
      </c>
      <c r="B45" s="873"/>
      <c r="C45" s="873"/>
      <c r="D45" s="873"/>
      <c r="E45" s="873"/>
      <c r="F45" s="874">
        <f>SUM(F38:F44)</f>
        <v>1.0000000000000002</v>
      </c>
      <c r="G45" s="874">
        <f>SUM(G38:G44)</f>
        <v>0.99999999999999989</v>
      </c>
      <c r="H45" s="874">
        <f>SUM(H38:H44)</f>
        <v>1</v>
      </c>
      <c r="I45" s="874">
        <f>SUM(I38:I44)</f>
        <v>1</v>
      </c>
      <c r="J45" s="874"/>
      <c r="K45" s="875">
        <f>SUM(K38:K44)</f>
        <v>1</v>
      </c>
      <c r="L45" s="874">
        <f>SUM(L38:L44)</f>
        <v>1</v>
      </c>
      <c r="M45" s="873"/>
      <c r="N45" s="873"/>
      <c r="P45" s="859">
        <v>45.925925925925903</v>
      </c>
      <c r="Q45" s="867">
        <v>0.54565756823821299</v>
      </c>
      <c r="R45" s="868">
        <v>6355.843457943929</v>
      </c>
      <c r="S45" s="867">
        <v>2244.6869158878521</v>
      </c>
      <c r="T45" s="867">
        <v>154.81277196261692</v>
      </c>
      <c r="U45" s="867">
        <v>47.847513771028069</v>
      </c>
      <c r="V45" s="867">
        <v>332.96877467849998</v>
      </c>
      <c r="W45" s="877">
        <v>3282.4548901856938</v>
      </c>
      <c r="X45" s="867">
        <v>0.55777581772203777</v>
      </c>
      <c r="Y45" s="868"/>
      <c r="AA45" s="859"/>
    </row>
    <row r="46" spans="1:27">
      <c r="P46" s="867">
        <v>38.703225806451599</v>
      </c>
      <c r="Q46" s="868">
        <v>0.69786631105184205</v>
      </c>
      <c r="R46" s="867">
        <v>9844.2511415525223</v>
      </c>
      <c r="S46" s="867">
        <v>2163.0547945205503</v>
      </c>
      <c r="T46" s="867">
        <v>143.99217351598168</v>
      </c>
      <c r="U46" s="867">
        <v>73.003207326484102</v>
      </c>
      <c r="V46" s="877">
        <v>475.90245769613603</v>
      </c>
      <c r="W46" s="867">
        <v>3282.4548901856938</v>
      </c>
      <c r="X46" s="868">
        <v>0.55777581772203777</v>
      </c>
    </row>
    <row r="47" spans="1:27">
      <c r="P47" s="867">
        <v>43.225000000000001</v>
      </c>
      <c r="Q47" s="868">
        <v>0.75782863752788598</v>
      </c>
      <c r="R47" s="867">
        <v>4939.8906605922466</v>
      </c>
      <c r="S47" s="867">
        <v>2381.8268792710664</v>
      </c>
      <c r="T47" s="867">
        <v>158.5558211936216</v>
      </c>
      <c r="U47" s="867">
        <v>41.36020598861041</v>
      </c>
      <c r="V47" s="877">
        <v>242.69352083962599</v>
      </c>
      <c r="W47" s="867">
        <v>3282.4548901856938</v>
      </c>
      <c r="X47" s="868">
        <v>0.55777581772203777</v>
      </c>
    </row>
    <row r="48" spans="1:27">
      <c r="A48" s="864" t="s">
        <v>1643</v>
      </c>
      <c r="P48" s="867">
        <v>45.931372549019599</v>
      </c>
      <c r="Q48" s="868">
        <v>0.41344717182497298</v>
      </c>
      <c r="R48" s="867">
        <v>3661.5254237288113</v>
      </c>
      <c r="S48" s="867">
        <v>1004.7152542372876</v>
      </c>
      <c r="T48" s="867">
        <v>63.868873220338941</v>
      </c>
      <c r="U48" s="867">
        <v>29.627481318644051</v>
      </c>
      <c r="V48" s="877">
        <v>330.62098270062501</v>
      </c>
      <c r="W48" s="867">
        <v>3282.4548901856938</v>
      </c>
      <c r="X48" s="868">
        <v>0.55777581772203777</v>
      </c>
    </row>
    <row r="49" spans="1:24">
      <c r="A49" s="859" t="s">
        <v>1653</v>
      </c>
      <c r="P49" s="867">
        <v>85.376175548589302</v>
      </c>
      <c r="Q49" s="868">
        <v>0.29058197172755701</v>
      </c>
      <c r="R49" s="867">
        <v>2853.7524509803948</v>
      </c>
      <c r="S49" s="867">
        <v>1211.1813725490206</v>
      </c>
      <c r="T49" s="867">
        <v>86.134766666666735</v>
      </c>
      <c r="U49" s="867">
        <v>23.511643720588253</v>
      </c>
      <c r="V49" s="877">
        <v>176.623034078807</v>
      </c>
      <c r="W49" s="867">
        <v>2318.2873272484931</v>
      </c>
      <c r="X49" s="868">
        <v>0.40988376676435501</v>
      </c>
    </row>
    <row r="50" spans="1:24">
      <c r="A50" s="859" t="s">
        <v>1644</v>
      </c>
      <c r="P50" s="867">
        <v>59.369020501138998</v>
      </c>
      <c r="Q50" s="868">
        <v>0.65027049840770501</v>
      </c>
      <c r="R50" s="867">
        <v>8636.740318906599</v>
      </c>
      <c r="S50" s="867">
        <v>2506.8838268792692</v>
      </c>
      <c r="T50" s="867">
        <v>166.52398746241445</v>
      </c>
      <c r="U50" s="867">
        <v>71.860867366742539</v>
      </c>
      <c r="V50" s="877">
        <v>288.65062839273099</v>
      </c>
      <c r="W50" s="867">
        <v>2318.2873272484931</v>
      </c>
      <c r="X50" s="868">
        <v>0.40988376676435501</v>
      </c>
    </row>
    <row r="51" spans="1:24">
      <c r="A51" s="859" t="s">
        <v>1645</v>
      </c>
      <c r="P51" s="867">
        <v>51.376666666666701</v>
      </c>
      <c r="Q51" s="868">
        <v>0.118406539933822</v>
      </c>
      <c r="R51" s="867">
        <v>1213.4066496163678</v>
      </c>
      <c r="S51" s="867">
        <v>677.96419437340126</v>
      </c>
      <c r="T51" s="867">
        <v>47.719060869565197</v>
      </c>
      <c r="U51" s="867">
        <v>10.6890232173913</v>
      </c>
      <c r="V51" s="877">
        <v>338.25825091575098</v>
      </c>
      <c r="W51" s="867">
        <v>2318.2873272484931</v>
      </c>
      <c r="X51" s="868">
        <v>0.40988376676435501</v>
      </c>
    </row>
    <row r="52" spans="1:24">
      <c r="A52" s="859" t="s">
        <v>1646</v>
      </c>
      <c r="P52" s="867">
        <v>73.688787185354698</v>
      </c>
      <c r="Q52" s="868">
        <v>0.55170486305198396</v>
      </c>
      <c r="R52" s="867">
        <v>8639.7482837528441</v>
      </c>
      <c r="S52" s="867">
        <v>1819.9839816933602</v>
      </c>
      <c r="T52" s="867">
        <v>131.5136805491986</v>
      </c>
      <c r="U52" s="867">
        <v>63.746823231121162</v>
      </c>
      <c r="V52" s="877">
        <v>257.28379432624098</v>
      </c>
      <c r="W52" s="867">
        <v>2318.2873272484931</v>
      </c>
      <c r="X52" s="868">
        <v>0.40988376676435501</v>
      </c>
    </row>
    <row r="53" spans="1:24">
      <c r="A53" s="859" t="s">
        <v>1648</v>
      </c>
      <c r="P53" s="867">
        <v>45.867313915857601</v>
      </c>
      <c r="Q53" s="868">
        <v>0.49721301065406098</v>
      </c>
      <c r="R53" s="867">
        <v>7011.8568129330242</v>
      </c>
      <c r="S53" s="867">
        <v>2704.9976905311773</v>
      </c>
      <c r="T53" s="867">
        <v>182.18048036951498</v>
      </c>
      <c r="U53" s="867">
        <v>52.131643443418007</v>
      </c>
      <c r="V53" s="877">
        <v>406.09772578155099</v>
      </c>
      <c r="W53" s="867">
        <v>2318.2873272484931</v>
      </c>
      <c r="X53" s="868">
        <v>0.40988376676435501</v>
      </c>
    </row>
    <row r="54" spans="1:24">
      <c r="A54" s="859" t="s">
        <v>1647</v>
      </c>
      <c r="P54" s="867">
        <v>69.974943052391794</v>
      </c>
      <c r="Q54" s="868">
        <v>0.23841921937563099</v>
      </c>
      <c r="R54" s="867">
        <v>5483.2915717539872</v>
      </c>
      <c r="S54" s="867">
        <v>1794.3621867881552</v>
      </c>
      <c r="T54" s="867">
        <v>124.1826533029613</v>
      </c>
      <c r="U54" s="867">
        <v>40.888521268792715</v>
      </c>
      <c r="V54" s="877">
        <v>434.35242080830199</v>
      </c>
      <c r="W54" s="867">
        <v>2318.2873272484931</v>
      </c>
      <c r="X54" s="868">
        <v>0.40988376676435501</v>
      </c>
    </row>
    <row r="55" spans="1:24">
      <c r="P55" s="867">
        <v>54.586757990867603</v>
      </c>
      <c r="Q55" s="868">
        <v>0.46927935087205702</v>
      </c>
      <c r="R55" s="867">
        <v>7885.2785388127868</v>
      </c>
      <c r="S55" s="867">
        <v>1442.3538812785389</v>
      </c>
      <c r="T55" s="867">
        <v>103.00205296803654</v>
      </c>
      <c r="U55" s="867">
        <v>60.495881792237448</v>
      </c>
      <c r="V55" s="877">
        <v>364.22771033868099</v>
      </c>
      <c r="W55" s="867">
        <v>2318.2873272484931</v>
      </c>
      <c r="X55" s="868">
        <v>0.40988376676435501</v>
      </c>
    </row>
    <row r="56" spans="1:24">
      <c r="P56" s="867">
        <v>41.9967845659164</v>
      </c>
      <c r="Q56" s="868">
        <v>0.84411607074496597</v>
      </c>
      <c r="R56" s="867">
        <v>11548.427272727262</v>
      </c>
      <c r="S56" s="867">
        <v>2938.1568181818157</v>
      </c>
      <c r="T56" s="867">
        <v>198.73540909090892</v>
      </c>
      <c r="U56" s="867">
        <v>86.568787931818093</v>
      </c>
      <c r="V56" s="877">
        <v>389.900436138977</v>
      </c>
      <c r="W56" s="867">
        <v>2318.2873272484931</v>
      </c>
      <c r="X56" s="868">
        <v>0.40988376676435501</v>
      </c>
    </row>
    <row r="57" spans="1:24">
      <c r="P57" s="867">
        <v>49.227586206896603</v>
      </c>
      <c r="Q57" s="868">
        <v>0.59012795367516602</v>
      </c>
      <c r="R57" s="867">
        <v>7307.0344827586096</v>
      </c>
      <c r="S57" s="867">
        <v>1582.9287356321813</v>
      </c>
      <c r="T57" s="867">
        <v>102.69213057471249</v>
      </c>
      <c r="U57" s="867">
        <v>53.076562344827501</v>
      </c>
      <c r="V57" s="877">
        <v>306.04462847194702</v>
      </c>
      <c r="W57" s="867">
        <v>2318.2873272484931</v>
      </c>
      <c r="X57" s="868">
        <v>0.40988376676435501</v>
      </c>
    </row>
    <row r="58" spans="1:24">
      <c r="P58" s="867">
        <v>41.89453125</v>
      </c>
      <c r="Q58" s="868">
        <v>0.66965034965034997</v>
      </c>
      <c r="R58" s="867">
        <v>4959.8802816901525</v>
      </c>
      <c r="S58" s="867">
        <v>1756.4600938967178</v>
      </c>
      <c r="T58" s="867">
        <v>117.02471173708948</v>
      </c>
      <c r="U58" s="867">
        <v>35.368799715962531</v>
      </c>
      <c r="V58" s="877">
        <v>277.89049728049702</v>
      </c>
      <c r="W58" s="867">
        <v>2318.2873272484931</v>
      </c>
      <c r="X58" s="868">
        <v>0.40988376676435501</v>
      </c>
    </row>
    <row r="59" spans="1:24">
      <c r="P59" s="867">
        <v>37.054187192118199</v>
      </c>
      <c r="Q59" s="868">
        <v>0.52698750332358402</v>
      </c>
      <c r="R59" s="867">
        <v>7756.4625668448989</v>
      </c>
      <c r="S59" s="867">
        <v>1061.1684491978581</v>
      </c>
      <c r="T59" s="867">
        <v>75.175927272727066</v>
      </c>
      <c r="U59" s="867">
        <v>60.540668762031913</v>
      </c>
      <c r="V59" s="877">
        <v>415.03434314339398</v>
      </c>
      <c r="W59" s="867">
        <v>2318.2873272484931</v>
      </c>
      <c r="X59" s="868">
        <v>0.40988376676435501</v>
      </c>
    </row>
    <row r="60" spans="1:24">
      <c r="P60" s="867">
        <v>73.533180778032005</v>
      </c>
      <c r="Q60" s="868">
        <v>0.447687807306902</v>
      </c>
      <c r="R60" s="867">
        <v>4663.3478260869533</v>
      </c>
      <c r="S60" s="867">
        <v>1328.3340961098388</v>
      </c>
      <c r="T60" s="867">
        <v>95.588424713958744</v>
      </c>
      <c r="U60" s="867">
        <v>34.252419425629263</v>
      </c>
      <c r="V60" s="877">
        <v>181.92921242874999</v>
      </c>
      <c r="W60" s="867">
        <v>2318.2873272484931</v>
      </c>
      <c r="X60" s="868">
        <v>0.40988376676435501</v>
      </c>
    </row>
    <row r="61" spans="1:24">
      <c r="P61" s="867">
        <v>90.282460136674302</v>
      </c>
      <c r="Q61" s="868">
        <v>0.38800020184689898</v>
      </c>
      <c r="R61" s="867">
        <v>7255.1366742596647</v>
      </c>
      <c r="S61" s="867">
        <v>1999.6674259681049</v>
      </c>
      <c r="T61" s="867">
        <v>139.58813849658262</v>
      </c>
      <c r="U61" s="867">
        <v>55.034659041002158</v>
      </c>
      <c r="V61" s="877">
        <v>264.199269735987</v>
      </c>
      <c r="W61" s="867">
        <v>2318.2873272484931</v>
      </c>
      <c r="X61" s="868">
        <v>0.40988376676435501</v>
      </c>
    </row>
    <row r="62" spans="1:24">
      <c r="P62" s="867">
        <v>44.464566929133902</v>
      </c>
      <c r="Q62" s="868">
        <v>0.55905790685319601</v>
      </c>
      <c r="R62" s="867">
        <v>7808.7236842105267</v>
      </c>
      <c r="S62" s="867">
        <v>1146.7842105263157</v>
      </c>
      <c r="T62" s="867">
        <v>79.281808421052631</v>
      </c>
      <c r="U62" s="867">
        <v>59.947014978947365</v>
      </c>
      <c r="V62" s="877">
        <v>312.813084842357</v>
      </c>
      <c r="W62" s="867">
        <v>2318.2873272484931</v>
      </c>
      <c r="X62" s="868">
        <v>0.40988376676435501</v>
      </c>
    </row>
    <row r="63" spans="1:24">
      <c r="P63" s="867">
        <v>61.238532110091803</v>
      </c>
      <c r="Q63" s="868">
        <v>0.34599250936329601</v>
      </c>
      <c r="R63" s="867">
        <v>7293.8784403669897</v>
      </c>
      <c r="S63" s="867">
        <v>1634.1972477064257</v>
      </c>
      <c r="T63" s="867">
        <v>112.03817247706448</v>
      </c>
      <c r="U63" s="867">
        <v>51.999172644495538</v>
      </c>
      <c r="V63" s="877">
        <v>421.07761961463501</v>
      </c>
      <c r="W63" s="867">
        <v>2318.2873272484931</v>
      </c>
      <c r="X63" s="868">
        <v>0.40988376676435501</v>
      </c>
    </row>
    <row r="64" spans="1:24">
      <c r="P64" s="867">
        <v>27.789215686274499</v>
      </c>
      <c r="Q64" s="868">
        <v>0.51596401481742804</v>
      </c>
      <c r="R64" s="867">
        <v>6918.4177215189875</v>
      </c>
      <c r="S64" s="867">
        <v>1307.4607594936708</v>
      </c>
      <c r="T64" s="867">
        <v>86.526195443037963</v>
      </c>
      <c r="U64" s="867">
        <v>50.725524556962029</v>
      </c>
      <c r="V64" s="877">
        <v>407.05285642758798</v>
      </c>
      <c r="W64" s="867">
        <v>2318.2873272484931</v>
      </c>
      <c r="X64" s="868">
        <v>0.40988376676435501</v>
      </c>
    </row>
    <row r="65" spans="1:24">
      <c r="P65" s="867">
        <v>66.887096774193594</v>
      </c>
      <c r="Q65" s="868">
        <v>0.229242022345471</v>
      </c>
      <c r="R65" s="867">
        <v>3572.5629453681631</v>
      </c>
      <c r="S65" s="867">
        <v>2285.3087885985697</v>
      </c>
      <c r="T65" s="867">
        <v>156.45814726840823</v>
      </c>
      <c r="U65" s="867">
        <v>25.981484638954814</v>
      </c>
      <c r="V65" s="877">
        <v>305.86110065618402</v>
      </c>
      <c r="W65" s="867">
        <v>2318.2873272484931</v>
      </c>
      <c r="X65" s="868">
        <v>0.40988376676435501</v>
      </c>
    </row>
    <row r="66" spans="1:24">
      <c r="A66" s="865" t="s">
        <v>1607</v>
      </c>
      <c r="B66" s="865" t="s">
        <v>1636</v>
      </c>
      <c r="P66" s="867">
        <v>33.264285714285698</v>
      </c>
      <c r="Q66" s="868">
        <v>0.59909813184453498</v>
      </c>
      <c r="R66" s="867">
        <v>8434.3527272727424</v>
      </c>
      <c r="S66" s="867">
        <v>1308.0145454545479</v>
      </c>
      <c r="T66" s="867">
        <v>90.070970181818353</v>
      </c>
      <c r="U66" s="867">
        <v>62.043422425454665</v>
      </c>
      <c r="V66" s="877">
        <v>336.15431242158098</v>
      </c>
      <c r="W66" s="867">
        <v>2318.2873272484931</v>
      </c>
      <c r="X66" s="868">
        <v>0.40988376676435501</v>
      </c>
    </row>
    <row r="67" spans="1:24">
      <c r="A67" s="859" t="s">
        <v>87</v>
      </c>
      <c r="B67" s="871">
        <v>0.1813454471254701</v>
      </c>
      <c r="P67" s="867">
        <v>57.141876430205997</v>
      </c>
      <c r="Q67" s="868">
        <v>0.64538865083496899</v>
      </c>
      <c r="R67" s="867">
        <v>8907.6064073226498</v>
      </c>
      <c r="S67" s="867">
        <v>2010.3180778032026</v>
      </c>
      <c r="T67" s="867">
        <v>137.9458892448512</v>
      </c>
      <c r="U67" s="867">
        <v>73.887659082379827</v>
      </c>
      <c r="V67" s="877">
        <v>296.04944092826997</v>
      </c>
      <c r="W67" s="867">
        <v>2318.2873272484931</v>
      </c>
      <c r="X67" s="868">
        <v>0.40988376676435501</v>
      </c>
    </row>
    <row r="68" spans="1:24">
      <c r="A68" s="859" t="s">
        <v>78</v>
      </c>
      <c r="B68" s="871">
        <v>9.5316223435619213E-2</v>
      </c>
      <c r="P68" s="867">
        <v>5.7966101694915304</v>
      </c>
      <c r="Q68" s="868">
        <v>0.10233918128654999</v>
      </c>
      <c r="R68" s="867">
        <v>1329.84375</v>
      </c>
      <c r="S68" s="867">
        <v>363.734375</v>
      </c>
      <c r="T68" s="867">
        <v>23.170787499999999</v>
      </c>
      <c r="U68" s="867">
        <v>11.117068359375001</v>
      </c>
      <c r="V68" s="877">
        <v>2779.21769230769</v>
      </c>
      <c r="W68" s="867">
        <v>2318.2873272484931</v>
      </c>
      <c r="X68" s="868">
        <v>0.40988376676435501</v>
      </c>
    </row>
    <row r="69" spans="1:24">
      <c r="A69" s="859" t="s">
        <v>1579</v>
      </c>
      <c r="B69" s="871">
        <v>0.20456685877312139</v>
      </c>
      <c r="P69" s="867">
        <v>56.144522144522099</v>
      </c>
      <c r="Q69" s="868">
        <v>0.59914473137922397</v>
      </c>
      <c r="R69" s="867">
        <v>5494.4382284382255</v>
      </c>
      <c r="S69" s="867">
        <v>3430.3916083916065</v>
      </c>
      <c r="T69" s="867">
        <v>222.98680466200454</v>
      </c>
      <c r="U69" s="867">
        <v>39.287958475524455</v>
      </c>
      <c r="V69" s="877">
        <v>265.31425265054401</v>
      </c>
      <c r="W69" s="867">
        <v>2318.2873272484931</v>
      </c>
      <c r="X69" s="868">
        <v>0.40988376676435501</v>
      </c>
    </row>
    <row r="70" spans="1:24">
      <c r="A70" s="859" t="s">
        <v>1580</v>
      </c>
      <c r="B70" s="871">
        <v>0.13637790584874759</v>
      </c>
      <c r="P70" s="867">
        <v>90.048275862069005</v>
      </c>
      <c r="Q70" s="868">
        <v>0.25215082586607401</v>
      </c>
      <c r="R70" s="867">
        <v>3446.167816091951</v>
      </c>
      <c r="S70" s="867">
        <v>2137.9632183908025</v>
      </c>
      <c r="T70" s="867">
        <v>142.96085517241366</v>
      </c>
      <c r="U70" s="867">
        <v>24.139138379310324</v>
      </c>
      <c r="V70" s="877">
        <v>245.93468563328901</v>
      </c>
      <c r="W70" s="867">
        <v>2318.2873272484931</v>
      </c>
      <c r="X70" s="868">
        <v>0.40988376676435501</v>
      </c>
    </row>
    <row r="71" spans="1:24">
      <c r="A71" s="859" t="s">
        <v>1581</v>
      </c>
      <c r="B71" s="871">
        <v>0.11704178048159175</v>
      </c>
      <c r="P71" s="867">
        <v>41.676470588235297</v>
      </c>
      <c r="Q71" s="868">
        <v>0.82575864502469998</v>
      </c>
      <c r="R71" s="867">
        <v>6306.2637889688312</v>
      </c>
      <c r="S71" s="867">
        <v>1439.5563549160686</v>
      </c>
      <c r="T71" s="867">
        <v>101.828613908873</v>
      </c>
      <c r="U71" s="867">
        <v>46.356561616307005</v>
      </c>
      <c r="V71" s="877">
        <v>253.55263521469499</v>
      </c>
      <c r="W71" s="867">
        <v>2318.2873272484931</v>
      </c>
      <c r="X71" s="868">
        <v>0.40988376676435501</v>
      </c>
    </row>
    <row r="72" spans="1:24">
      <c r="A72" s="859" t="s">
        <v>1582</v>
      </c>
      <c r="B72" s="871">
        <v>0.17556267072238763</v>
      </c>
      <c r="P72" s="867">
        <v>60.553398058252398</v>
      </c>
      <c r="Q72" s="868">
        <v>0.51198492865159495</v>
      </c>
      <c r="R72" s="867">
        <v>4484.5103926096954</v>
      </c>
      <c r="S72" s="867">
        <v>1746.0877598152406</v>
      </c>
      <c r="T72" s="867">
        <v>122.43797321016153</v>
      </c>
      <c r="U72" s="867">
        <v>34.466628332563474</v>
      </c>
      <c r="V72" s="877">
        <v>205.23760973754301</v>
      </c>
      <c r="W72" s="867">
        <v>2318.2873272484931</v>
      </c>
      <c r="X72" s="868">
        <v>0.40988376676435501</v>
      </c>
    </row>
    <row r="73" spans="1:24">
      <c r="A73" s="859" t="s">
        <v>85</v>
      </c>
      <c r="B73" s="871">
        <v>8.9789113613062493E-2</v>
      </c>
      <c r="P73" s="867">
        <v>64.991044776119395</v>
      </c>
      <c r="Q73" s="868">
        <v>0.318344662869741</v>
      </c>
      <c r="R73" s="867">
        <v>4545.8275058275012</v>
      </c>
      <c r="S73" s="867">
        <v>2398.4289044289021</v>
      </c>
      <c r="T73" s="867">
        <v>165.577432167832</v>
      </c>
      <c r="U73" s="867">
        <v>31.961277013985985</v>
      </c>
      <c r="V73" s="877">
        <v>338.64769239513498</v>
      </c>
      <c r="W73" s="867">
        <v>2318.2873272484931</v>
      </c>
      <c r="X73" s="868">
        <v>0.40988376676435501</v>
      </c>
    </row>
    <row r="74" spans="1:24">
      <c r="P74" s="867">
        <v>87.199084668192199</v>
      </c>
      <c r="Q74" s="868">
        <v>0.26848790216763802</v>
      </c>
      <c r="R74" s="867">
        <v>3419.377574370707</v>
      </c>
      <c r="S74" s="867">
        <v>2159.8947368421041</v>
      </c>
      <c r="T74" s="867">
        <v>146.2183705812356</v>
      </c>
      <c r="U74" s="867">
        <v>30.085035155606391</v>
      </c>
      <c r="V74" s="877">
        <v>237.411301925521</v>
      </c>
      <c r="W74" s="867">
        <v>2318.2873272484931</v>
      </c>
      <c r="X74" s="868">
        <v>0.40988376676435501</v>
      </c>
    </row>
    <row r="75" spans="1:24">
      <c r="P75" s="867">
        <v>66.173684210526304</v>
      </c>
      <c r="Q75" s="868">
        <v>0.43708740952835401</v>
      </c>
      <c r="R75" s="867">
        <v>2182.0785714285712</v>
      </c>
      <c r="S75" s="867">
        <v>1107.7547619047618</v>
      </c>
      <c r="T75" s="867">
        <v>74.339413333333326</v>
      </c>
      <c r="U75" s="867">
        <v>17.401043126190473</v>
      </c>
      <c r="V75" s="877">
        <v>120.93925006578399</v>
      </c>
      <c r="W75" s="867">
        <v>2318.2873272484931</v>
      </c>
      <c r="X75" s="868">
        <v>0.40988376676435501</v>
      </c>
    </row>
    <row r="76" spans="1:24">
      <c r="P76" s="867">
        <v>80.632653061224502</v>
      </c>
      <c r="Q76" s="868">
        <v>0.44900025310048097</v>
      </c>
      <c r="R76" s="867">
        <v>2276.1611253196934</v>
      </c>
      <c r="S76" s="867">
        <v>1120.2710997442457</v>
      </c>
      <c r="T76" s="867">
        <v>74.510921739130453</v>
      </c>
      <c r="U76" s="867">
        <v>17.473891150895142</v>
      </c>
      <c r="V76" s="877">
        <v>145.751352722354</v>
      </c>
      <c r="W76" s="867">
        <v>3467.2961205401448</v>
      </c>
      <c r="X76" s="868">
        <v>0.56799995069377007</v>
      </c>
    </row>
    <row r="77" spans="1:24">
      <c r="P77" s="867">
        <v>39.502392344497601</v>
      </c>
      <c r="Q77" s="868">
        <v>0.73946220930232598</v>
      </c>
      <c r="R77" s="867">
        <v>3718.0760368663582</v>
      </c>
      <c r="S77" s="867">
        <v>2548.041474654377</v>
      </c>
      <c r="T77" s="867">
        <v>166.22643870967735</v>
      </c>
      <c r="U77" s="867">
        <v>26.922974244239619</v>
      </c>
      <c r="V77" s="877">
        <v>294.636326110509</v>
      </c>
      <c r="W77" s="867">
        <v>3467.2961205401448</v>
      </c>
      <c r="X77" s="868">
        <v>0.56799995069377007</v>
      </c>
    </row>
    <row r="78" spans="1:24">
      <c r="P78" s="867">
        <v>47</v>
      </c>
      <c r="Q78" s="868">
        <v>0.68949897048730302</v>
      </c>
      <c r="R78" s="867">
        <v>4849.1284403669779</v>
      </c>
      <c r="S78" s="867">
        <v>1897.2316513761489</v>
      </c>
      <c r="T78" s="867">
        <v>129.52091009174327</v>
      </c>
      <c r="U78" s="867">
        <v>37.086139300458754</v>
      </c>
      <c r="V78" s="877">
        <v>238.61883775811199</v>
      </c>
      <c r="W78" s="867">
        <v>3467.2961205401448</v>
      </c>
      <c r="X78" s="868">
        <v>0.56799995069377007</v>
      </c>
    </row>
    <row r="79" spans="1:24">
      <c r="P79" s="867">
        <v>63.970370370370397</v>
      </c>
      <c r="Q79" s="868">
        <v>0.33117183881426598</v>
      </c>
      <c r="R79" s="867">
        <v>1786.3940217391296</v>
      </c>
      <c r="S79" s="867">
        <v>679.67119565217365</v>
      </c>
      <c r="T79" s="867">
        <v>50.519639130434761</v>
      </c>
      <c r="U79" s="867">
        <v>16.958836483695645</v>
      </c>
      <c r="V79" s="877">
        <v>216.03527157249201</v>
      </c>
      <c r="W79" s="867">
        <v>3467.2961205401448</v>
      </c>
      <c r="X79" s="868">
        <v>0.56799995069377007</v>
      </c>
    </row>
    <row r="80" spans="1:24">
      <c r="P80" s="867">
        <v>96.313043478260894</v>
      </c>
      <c r="Q80" s="868">
        <v>0.42704947634525098</v>
      </c>
      <c r="R80" s="867">
        <v>7446.9055299539232</v>
      </c>
      <c r="S80" s="867">
        <v>4320.0714285714321</v>
      </c>
      <c r="T80" s="867">
        <v>289.98117419354861</v>
      </c>
      <c r="U80" s="867">
        <v>52.788760255760415</v>
      </c>
      <c r="V80" s="877">
        <v>329.982157695323</v>
      </c>
      <c r="W80" s="867">
        <v>3467.2961205401448</v>
      </c>
      <c r="X80" s="868">
        <v>0.56799995069377007</v>
      </c>
    </row>
    <row r="81" spans="16:24">
      <c r="P81" s="867">
        <v>52.970967741935503</v>
      </c>
      <c r="Q81" s="868">
        <v>0.83661165580658903</v>
      </c>
      <c r="R81" s="867">
        <v>8901.4782608695568</v>
      </c>
      <c r="S81" s="867">
        <v>3886.8672768878678</v>
      </c>
      <c r="T81" s="867">
        <v>257.54628100686472</v>
      </c>
      <c r="U81" s="867">
        <v>63.027782391304285</v>
      </c>
      <c r="V81" s="877">
        <v>308.53285745722599</v>
      </c>
      <c r="W81" s="867">
        <v>3467.2961205401448</v>
      </c>
      <c r="X81" s="868">
        <v>0.56799995069377007</v>
      </c>
    </row>
    <row r="82" spans="16:24">
      <c r="P82" s="867">
        <v>46.6064516129032</v>
      </c>
      <c r="Q82" s="868">
        <v>0.97702104097452902</v>
      </c>
      <c r="R82" s="867">
        <v>13451.678082191796</v>
      </c>
      <c r="S82" s="867">
        <v>3841.9885844748906</v>
      </c>
      <c r="T82" s="867">
        <v>252.48691872146148</v>
      </c>
      <c r="U82" s="867">
        <v>99.181032182648508</v>
      </c>
      <c r="V82" s="877">
        <v>386.79878182929298</v>
      </c>
      <c r="W82" s="867">
        <v>3467.2961205401448</v>
      </c>
      <c r="X82" s="868">
        <v>0.56799995069377007</v>
      </c>
    </row>
    <row r="83" spans="16:24">
      <c r="P83" s="867">
        <v>45.221864951768502</v>
      </c>
      <c r="Q83" s="868">
        <v>0.75910125142207097</v>
      </c>
      <c r="R83" s="867">
        <v>21510.778538812792</v>
      </c>
      <c r="S83" s="867">
        <v>4253.520547945207</v>
      </c>
      <c r="T83" s="867">
        <v>289.33379616438367</v>
      </c>
      <c r="U83" s="867">
        <v>154.3870992442923</v>
      </c>
      <c r="V83" s="877">
        <v>748.07848458733895</v>
      </c>
      <c r="W83" s="867">
        <v>3467.2961205401448</v>
      </c>
      <c r="X83" s="868">
        <v>0.56799995069377007</v>
      </c>
    </row>
    <row r="84" spans="16:24">
      <c r="P84" s="867">
        <v>41.277419354838699</v>
      </c>
      <c r="Q84" s="868">
        <v>0.87753985620506403</v>
      </c>
      <c r="R84" s="867">
        <v>12507.18949771689</v>
      </c>
      <c r="S84" s="867">
        <v>3553.0273972602727</v>
      </c>
      <c r="T84" s="867">
        <v>237.75395799086749</v>
      </c>
      <c r="U84" s="867">
        <v>88.79318118493147</v>
      </c>
      <c r="V84" s="877">
        <v>453.50856295532202</v>
      </c>
      <c r="W84" s="867">
        <v>3467.2961205401448</v>
      </c>
      <c r="X84" s="868">
        <v>0.56799995069377007</v>
      </c>
    </row>
    <row r="85" spans="16:24">
      <c r="P85" s="867">
        <v>54.5048231511254</v>
      </c>
      <c r="Q85" s="868">
        <v>0.81240044835113001</v>
      </c>
      <c r="R85" s="867">
        <v>7813.8812785388227</v>
      </c>
      <c r="S85" s="867">
        <v>3860.9908675799138</v>
      </c>
      <c r="T85" s="867">
        <v>248.93235068493183</v>
      </c>
      <c r="U85" s="867">
        <v>62.429137068493233</v>
      </c>
      <c r="V85" s="877">
        <v>274.18735871313697</v>
      </c>
      <c r="W85" s="867">
        <v>3467.2961205401448</v>
      </c>
      <c r="X85" s="868">
        <v>0.56799995069377007</v>
      </c>
    </row>
    <row r="86" spans="16:24">
      <c r="P86" s="867">
        <v>48.938511326860798</v>
      </c>
      <c r="Q86" s="868">
        <v>0.79215712207379996</v>
      </c>
      <c r="R86" s="867">
        <v>9755.2906178489575</v>
      </c>
      <c r="S86" s="867">
        <v>3340.7368421052588</v>
      </c>
      <c r="T86" s="867">
        <v>222.17719359267707</v>
      </c>
      <c r="U86" s="867">
        <v>68.973968180777945</v>
      </c>
      <c r="V86" s="877">
        <v>359.91201308093798</v>
      </c>
      <c r="W86" s="867">
        <v>3467.2961205401448</v>
      </c>
      <c r="X86" s="868">
        <v>0.56799995069377007</v>
      </c>
    </row>
    <row r="87" spans="16:24">
      <c r="P87" s="867">
        <v>54.251612903225798</v>
      </c>
      <c r="Q87" s="868">
        <v>0.79432750624331105</v>
      </c>
      <c r="R87" s="867">
        <v>10059.436073059371</v>
      </c>
      <c r="S87" s="867">
        <v>3848.4543378995468</v>
      </c>
      <c r="T87" s="867">
        <v>248.77955251141574</v>
      </c>
      <c r="U87" s="867">
        <v>71.962695308219239</v>
      </c>
      <c r="V87" s="877">
        <v>321.12048919346398</v>
      </c>
      <c r="W87" s="867">
        <v>3467.2961205401448</v>
      </c>
      <c r="X87" s="868">
        <v>0.56799995069377007</v>
      </c>
    </row>
    <row r="88" spans="16:24">
      <c r="P88" s="867">
        <v>44.009677419354801</v>
      </c>
      <c r="Q88" s="868">
        <v>0.81594957120867795</v>
      </c>
      <c r="R88" s="867">
        <v>12304.424657534246</v>
      </c>
      <c r="S88" s="867">
        <v>4135.0821917808216</v>
      </c>
      <c r="T88" s="867">
        <v>281.00388310502285</v>
      </c>
      <c r="U88" s="867">
        <v>83.497688178082186</v>
      </c>
      <c r="V88" s="877">
        <v>498.81840074932398</v>
      </c>
      <c r="W88" s="867">
        <v>3467.2961205401448</v>
      </c>
      <c r="X88" s="868">
        <v>0.56799995069377007</v>
      </c>
    </row>
    <row r="89" spans="16:24">
      <c r="P89" s="867">
        <v>51.935275080906202</v>
      </c>
      <c r="Q89" s="868">
        <v>0.72021435692921199</v>
      </c>
      <c r="R89" s="867">
        <v>7873.3043478260934</v>
      </c>
      <c r="S89" s="867">
        <v>3286.5423340961124</v>
      </c>
      <c r="T89" s="867">
        <v>215.29360183066379</v>
      </c>
      <c r="U89" s="867">
        <v>50.898520688787222</v>
      </c>
      <c r="V89" s="877">
        <v>320.08740548700501</v>
      </c>
      <c r="W89" s="867">
        <v>3467.2961205401448</v>
      </c>
      <c r="X89" s="868">
        <v>0.56799995069377007</v>
      </c>
    </row>
    <row r="90" spans="16:24">
      <c r="P90" s="867">
        <v>43.7870967741936</v>
      </c>
      <c r="Q90" s="868">
        <v>0.843156033593635</v>
      </c>
      <c r="R90" s="867">
        <v>8505.9287356321856</v>
      </c>
      <c r="S90" s="867">
        <v>5015.6827586206909</v>
      </c>
      <c r="T90" s="867">
        <v>324.75718252873571</v>
      </c>
      <c r="U90" s="867">
        <v>58.911457195402313</v>
      </c>
      <c r="V90" s="877">
        <v>383.83572892195298</v>
      </c>
      <c r="W90" s="867">
        <v>3467.2961205401448</v>
      </c>
      <c r="X90" s="868">
        <v>0.56799995069377007</v>
      </c>
    </row>
    <row r="91" spans="16:24">
      <c r="P91" s="867">
        <v>75.780645161290295</v>
      </c>
      <c r="Q91" s="868">
        <v>0.397667290992678</v>
      </c>
      <c r="R91" s="867">
        <v>4381.5000000000027</v>
      </c>
      <c r="S91" s="867">
        <v>2321.4457547169827</v>
      </c>
      <c r="T91" s="867">
        <v>160.77596037735859</v>
      </c>
      <c r="U91" s="867">
        <v>33.6085400306604</v>
      </c>
      <c r="V91" s="877">
        <v>265.840063509853</v>
      </c>
      <c r="W91" s="867">
        <v>3467.2961205401448</v>
      </c>
      <c r="X91" s="868">
        <v>0.56799995069377007</v>
      </c>
    </row>
    <row r="92" spans="16:24">
      <c r="P92" s="867">
        <v>56.654838709677399</v>
      </c>
      <c r="Q92" s="868">
        <v>0.61185446677674704</v>
      </c>
      <c r="R92" s="867">
        <v>4431.5970149253671</v>
      </c>
      <c r="S92" s="867">
        <v>3106.7587064676577</v>
      </c>
      <c r="T92" s="867">
        <v>205.9464915422883</v>
      </c>
      <c r="U92" s="867">
        <v>33.530924950248711</v>
      </c>
      <c r="V92" s="877">
        <v>254.47677440471301</v>
      </c>
      <c r="W92" s="867">
        <v>3467.2961205401448</v>
      </c>
      <c r="X92" s="868">
        <v>0.56799995069377007</v>
      </c>
    </row>
    <row r="93" spans="16:24">
      <c r="P93" s="867">
        <v>50.173410404624299</v>
      </c>
      <c r="Q93" s="868">
        <v>0.92384792626728096</v>
      </c>
      <c r="R93" s="867">
        <v>7419.3914141414143</v>
      </c>
      <c r="S93" s="867">
        <v>2125.4166666666665</v>
      </c>
      <c r="T93" s="867">
        <v>144.43618989898991</v>
      </c>
      <c r="U93" s="867">
        <v>54.125817111111111</v>
      </c>
      <c r="V93" s="877">
        <v>282.55519099947702</v>
      </c>
      <c r="W93" s="867">
        <v>3467.2961205401448</v>
      </c>
      <c r="X93" s="868">
        <v>0.56799995069377007</v>
      </c>
    </row>
    <row r="94" spans="16:24">
      <c r="P94" s="867">
        <v>42.339449541284402</v>
      </c>
      <c r="Q94" s="868">
        <v>0.63261105092090997</v>
      </c>
      <c r="R94" s="867">
        <v>7121.2500000000082</v>
      </c>
      <c r="S94" s="867">
        <v>4345.3394495412895</v>
      </c>
      <c r="T94" s="867">
        <v>309.98735779816553</v>
      </c>
      <c r="U94" s="867">
        <v>63.742338291284476</v>
      </c>
      <c r="V94" s="877">
        <v>428.10692841239899</v>
      </c>
      <c r="W94" s="867">
        <v>3111.2206603186733</v>
      </c>
      <c r="X94" s="868">
        <v>0.49285433550733493</v>
      </c>
    </row>
    <row r="95" spans="16:24">
      <c r="P95" s="867">
        <v>41.758064516128997</v>
      </c>
      <c r="Q95" s="868">
        <v>0.75600066214202899</v>
      </c>
      <c r="R95" s="867">
        <v>9014.2419354838712</v>
      </c>
      <c r="S95" s="867">
        <v>5051.3870967741932</v>
      </c>
      <c r="T95" s="867">
        <v>377.65160000000003</v>
      </c>
      <c r="U95" s="867">
        <v>87.308898140552998</v>
      </c>
      <c r="V95" s="877">
        <v>493.56498503758797</v>
      </c>
      <c r="W95" s="867">
        <v>3111.2206603186733</v>
      </c>
      <c r="X95" s="868">
        <v>0.49285433550733493</v>
      </c>
    </row>
    <row r="96" spans="16:24">
      <c r="P96" s="867">
        <v>50.116704805491999</v>
      </c>
      <c r="Q96" s="868">
        <v>0.93826765901100395</v>
      </c>
      <c r="R96" s="867">
        <v>10486.929061784889</v>
      </c>
      <c r="S96" s="867">
        <v>6694.7276887871803</v>
      </c>
      <c r="T96" s="867">
        <v>476.74918260869526</v>
      </c>
      <c r="U96" s="867">
        <v>87.938465775743637</v>
      </c>
      <c r="V96" s="877">
        <v>370.27200204389499</v>
      </c>
      <c r="W96" s="867">
        <v>3111.2206603186733</v>
      </c>
      <c r="X96" s="868">
        <v>0.49285433550733493</v>
      </c>
    </row>
    <row r="97" spans="16:24">
      <c r="P97" s="867">
        <v>40.960784313725497</v>
      </c>
      <c r="Q97" s="868">
        <v>0.44848013403542403</v>
      </c>
      <c r="R97" s="867">
        <v>3574.7214611872209</v>
      </c>
      <c r="S97" s="867">
        <v>2839.9566210045714</v>
      </c>
      <c r="T97" s="867">
        <v>229.6717388127858</v>
      </c>
      <c r="U97" s="867">
        <v>46.289882328767206</v>
      </c>
      <c r="V97" s="877">
        <v>450.94133349409202</v>
      </c>
      <c r="W97" s="867">
        <v>3111.2206603186733</v>
      </c>
      <c r="X97" s="868">
        <v>0.49285433550733493</v>
      </c>
    </row>
    <row r="98" spans="16:24">
      <c r="P98" s="867">
        <v>41.931662870159499</v>
      </c>
      <c r="Q98" s="868">
        <v>0.552314211212516</v>
      </c>
      <c r="R98" s="867">
        <v>4371.4988610478449</v>
      </c>
      <c r="S98" s="867">
        <v>2910.1571753986391</v>
      </c>
      <c r="T98" s="867">
        <v>265.6082168564925</v>
      </c>
      <c r="U98" s="867">
        <v>58.009819182232462</v>
      </c>
      <c r="V98" s="877">
        <v>451.968628897413</v>
      </c>
      <c r="W98" s="867">
        <v>3111.2206603186733</v>
      </c>
      <c r="X98" s="868">
        <v>0.49285433550733493</v>
      </c>
    </row>
    <row r="99" spans="16:24">
      <c r="P99" s="867">
        <v>39.208722741433</v>
      </c>
      <c r="Q99" s="868">
        <v>0.29032258064516098</v>
      </c>
      <c r="R99" s="867">
        <v>10199.912643678143</v>
      </c>
      <c r="S99" s="867">
        <v>4101.5609195402221</v>
      </c>
      <c r="T99" s="867">
        <v>128.45018666666644</v>
      </c>
      <c r="U99" s="867">
        <v>20.40055883678157</v>
      </c>
      <c r="V99" s="877">
        <v>369.30375051716999</v>
      </c>
      <c r="W99" s="867">
        <v>3111.2206603186733</v>
      </c>
      <c r="X99" s="868">
        <v>0.49285433550733493</v>
      </c>
    </row>
    <row r="100" spans="16:24">
      <c r="P100" s="867">
        <v>41.397701149425302</v>
      </c>
      <c r="Q100" s="868">
        <v>0.440859617947579</v>
      </c>
      <c r="R100" s="867">
        <v>3330.1287356321886</v>
      </c>
      <c r="S100" s="867">
        <v>3004.1793103448317</v>
      </c>
      <c r="T100" s="867">
        <v>216.1781903448279</v>
      </c>
      <c r="U100" s="867">
        <v>29.217967583908088</v>
      </c>
      <c r="V100" s="877">
        <v>366.69480413150302</v>
      </c>
      <c r="W100" s="867">
        <v>3111.2206603186733</v>
      </c>
      <c r="X100" s="868">
        <v>0.49285433550733493</v>
      </c>
    </row>
    <row r="101" spans="16:24">
      <c r="P101" s="867">
        <v>40.940092165898598</v>
      </c>
      <c r="Q101" s="868">
        <v>0.29046600630346697</v>
      </c>
      <c r="R101" s="867">
        <v>2241.9032258064544</v>
      </c>
      <c r="S101" s="867">
        <v>2420.847926267284</v>
      </c>
      <c r="T101" s="867">
        <v>167.49255483870988</v>
      </c>
      <c r="U101" s="867">
        <v>18.022511251152096</v>
      </c>
      <c r="V101" s="877">
        <v>397.54407866692497</v>
      </c>
      <c r="W101" s="867">
        <v>3111.2206603186733</v>
      </c>
      <c r="X101" s="868">
        <v>0.49285433550733493</v>
      </c>
    </row>
    <row r="102" spans="16:24">
      <c r="P102" s="867">
        <v>41.855450236966803</v>
      </c>
      <c r="Q102" s="868">
        <v>0.686859536885014</v>
      </c>
      <c r="R102" s="867">
        <v>7318.9315068493261</v>
      </c>
      <c r="S102" s="867">
        <v>4846.5730593607377</v>
      </c>
      <c r="T102" s="867">
        <v>341.29160730593657</v>
      </c>
      <c r="U102" s="867">
        <v>58.902909159817447</v>
      </c>
      <c r="V102" s="877">
        <v>426.58305817922098</v>
      </c>
      <c r="W102" s="867">
        <v>3111.2206603186733</v>
      </c>
      <c r="X102" s="868">
        <v>0.49285433550733493</v>
      </c>
    </row>
    <row r="103" spans="16:24">
      <c r="P103" s="867">
        <v>32.204678362573098</v>
      </c>
      <c r="Q103" s="868">
        <v>0.71036862175413096</v>
      </c>
      <c r="R103" s="867">
        <v>2179.6880733944972</v>
      </c>
      <c r="S103" s="867">
        <v>3705.206422018352</v>
      </c>
      <c r="T103" s="867">
        <v>260.25365504587177</v>
      </c>
      <c r="U103" s="867">
        <v>20.090969711009194</v>
      </c>
      <c r="V103" s="877">
        <v>312.95711687397301</v>
      </c>
      <c r="W103" s="867">
        <v>3111.2206603186733</v>
      </c>
      <c r="X103" s="868">
        <v>0.49285433550733493</v>
      </c>
    </row>
    <row r="104" spans="16:24">
      <c r="P104" s="867">
        <v>24.7222222222222</v>
      </c>
      <c r="Q104" s="868">
        <v>0.30327715355805301</v>
      </c>
      <c r="R104" s="867">
        <v>4530.4004629629626</v>
      </c>
      <c r="S104" s="867">
        <v>239.41203703703701</v>
      </c>
      <c r="T104" s="867">
        <v>15.361577777777777</v>
      </c>
      <c r="U104" s="867">
        <v>35.249003474537034</v>
      </c>
      <c r="V104" s="877">
        <v>636.17148811361506</v>
      </c>
      <c r="W104" s="867">
        <v>1585.5427901842493</v>
      </c>
      <c r="X104" s="868">
        <v>0.22126862858901131</v>
      </c>
    </row>
    <row r="105" spans="16:24">
      <c r="P105" s="867">
        <v>58.890109890109898</v>
      </c>
      <c r="Q105" s="868">
        <v>0.42075013995148403</v>
      </c>
      <c r="R105" s="867">
        <v>5493.1890109890128</v>
      </c>
      <c r="S105" s="867">
        <v>6452.9120879120892</v>
      </c>
      <c r="T105" s="867">
        <v>419.95177714285506</v>
      </c>
      <c r="U105" s="867">
        <v>53.515144323076939</v>
      </c>
      <c r="V105" s="877">
        <v>482.12485985453299</v>
      </c>
      <c r="W105" s="867">
        <v>4082.7295063475231</v>
      </c>
      <c r="X105" s="868">
        <v>0.58467298725421046</v>
      </c>
    </row>
    <row r="106" spans="16:24">
      <c r="P106" s="867">
        <v>55.093394077448799</v>
      </c>
      <c r="Q106" s="868">
        <v>0.440668155131068</v>
      </c>
      <c r="R106" s="867">
        <v>2479.7107061503471</v>
      </c>
      <c r="S106" s="867">
        <v>5641.5603644647053</v>
      </c>
      <c r="T106" s="867">
        <v>369.43115125284589</v>
      </c>
      <c r="U106" s="867">
        <v>25.957095617312131</v>
      </c>
      <c r="V106" s="877">
        <v>334.51296115593902</v>
      </c>
      <c r="W106" s="867">
        <v>2710.5407433212476</v>
      </c>
      <c r="X106" s="868">
        <v>0.40569017616521275</v>
      </c>
    </row>
    <row r="107" spans="16:24">
      <c r="P107" s="867">
        <v>42.084090909090897</v>
      </c>
      <c r="Q107" s="868">
        <v>0.77685370200356396</v>
      </c>
      <c r="R107" s="867">
        <v>3430.4545454545396</v>
      </c>
      <c r="S107" s="867">
        <v>4425.6136363636288</v>
      </c>
      <c r="T107" s="867">
        <v>287.82643499999949</v>
      </c>
      <c r="U107" s="867">
        <v>33.794384970454487</v>
      </c>
      <c r="V107" s="877">
        <v>240.29670976711901</v>
      </c>
      <c r="W107" s="867">
        <v>2710.5407433212476</v>
      </c>
      <c r="X107" s="868">
        <v>0.40569017616521275</v>
      </c>
    </row>
    <row r="108" spans="16:24">
      <c r="P108" s="867">
        <v>47.377574370709397</v>
      </c>
      <c r="Q108" s="868">
        <v>0.33297913446677002</v>
      </c>
      <c r="R108" s="867">
        <v>2823.3340961098411</v>
      </c>
      <c r="S108" s="867">
        <v>3481.8672768878732</v>
      </c>
      <c r="T108" s="867">
        <v>237.30545936842117</v>
      </c>
      <c r="U108" s="867">
        <v>28.17517949199086</v>
      </c>
      <c r="V108" s="877">
        <v>399.67663765593301</v>
      </c>
      <c r="W108" s="867">
        <v>2075.2417976079637</v>
      </c>
      <c r="X108" s="868">
        <v>0.26015043492294165</v>
      </c>
    </row>
    <row r="109" spans="16:24">
      <c r="P109" s="867">
        <v>37.102505694760801</v>
      </c>
      <c r="Q109" s="868">
        <v>0.88187622789783904</v>
      </c>
      <c r="R109" s="867">
        <v>3861.1594533029652</v>
      </c>
      <c r="S109" s="867">
        <v>3467.4738041002315</v>
      </c>
      <c r="T109" s="867">
        <v>229.29299498861073</v>
      </c>
      <c r="U109" s="867">
        <v>26.109490612756289</v>
      </c>
      <c r="V109" s="877">
        <v>223.98131787802799</v>
      </c>
      <c r="W109" s="867">
        <v>2139.0083399999999</v>
      </c>
      <c r="X109" s="868">
        <v>0.38779608485182882</v>
      </c>
    </row>
    <row r="110" spans="16:24">
      <c r="P110" s="867">
        <v>30.667431192660601</v>
      </c>
      <c r="Q110" s="868">
        <v>0.66412385012340103</v>
      </c>
      <c r="R110" s="867">
        <v>3505.7339449541273</v>
      </c>
      <c r="S110" s="867">
        <v>2159.678899082568</v>
      </c>
      <c r="T110" s="867">
        <v>142.70567339449539</v>
      </c>
      <c r="U110" s="867">
        <v>24.272258268348619</v>
      </c>
      <c r="V110" s="877">
        <v>277.45800112612602</v>
      </c>
      <c r="W110" s="867">
        <v>2139.0083399999999</v>
      </c>
      <c r="X110" s="868">
        <v>0.38779608485182882</v>
      </c>
    </row>
    <row r="111" spans="16:24">
      <c r="P111" s="867">
        <v>45.701149425287397</v>
      </c>
      <c r="Q111" s="868">
        <v>0.84215291750502996</v>
      </c>
      <c r="R111" s="867">
        <v>2637.1655172413825</v>
      </c>
      <c r="S111" s="867">
        <v>3605.4252873563264</v>
      </c>
      <c r="T111" s="867">
        <v>237.18303080459802</v>
      </c>
      <c r="U111" s="867">
        <v>17.106081400000022</v>
      </c>
      <c r="V111" s="877">
        <v>162.574290407359</v>
      </c>
      <c r="W111" s="867">
        <v>2139.0083399999999</v>
      </c>
      <c r="X111" s="868">
        <v>0.38779608485182882</v>
      </c>
    </row>
    <row r="112" spans="16:24">
      <c r="P112" s="867">
        <v>41.387096774193601</v>
      </c>
      <c r="Q112" s="868">
        <v>3.8815276695245503E-2</v>
      </c>
      <c r="R112" s="867">
        <v>151.43016759776575</v>
      </c>
      <c r="S112" s="867">
        <v>235.03910614525199</v>
      </c>
      <c r="T112" s="867">
        <v>17.631678212290549</v>
      </c>
      <c r="U112" s="867">
        <v>1.1492641061452544</v>
      </c>
      <c r="V112" s="877">
        <v>277.54776556776602</v>
      </c>
      <c r="W112" s="867">
        <v>2501.9736837243272</v>
      </c>
      <c r="X112" s="868">
        <v>0.34263299529364444</v>
      </c>
    </row>
    <row r="113" spans="16:24">
      <c r="P113" s="867">
        <v>49.055045871559599</v>
      </c>
      <c r="Q113" s="868">
        <v>0.74691415747147905</v>
      </c>
      <c r="R113" s="867">
        <v>2054.9610091743089</v>
      </c>
      <c r="S113" s="867">
        <v>5393.7866972476986</v>
      </c>
      <c r="T113" s="867">
        <v>349.51741100917383</v>
      </c>
      <c r="U113" s="867">
        <v>15.065631623853189</v>
      </c>
      <c r="V113" s="877">
        <v>203.21312425665101</v>
      </c>
      <c r="W113" s="867">
        <v>2501.9736837243272</v>
      </c>
      <c r="X113" s="868">
        <v>0.34263299529364444</v>
      </c>
    </row>
    <row r="114" spans="16:24">
      <c r="P114" s="867">
        <v>55.5161290322581</v>
      </c>
      <c r="Q114" s="868">
        <v>0.51427741346393296</v>
      </c>
      <c r="R114" s="867">
        <v>1969.0161290322601</v>
      </c>
      <c r="S114" s="867">
        <v>4527.3479262672854</v>
      </c>
      <c r="T114" s="867">
        <v>304.91485161290359</v>
      </c>
      <c r="U114" s="867">
        <v>19.151650350230437</v>
      </c>
      <c r="V114" s="877">
        <v>224.22245258655499</v>
      </c>
      <c r="W114" s="867">
        <v>2501.9736837243272</v>
      </c>
      <c r="X114" s="868">
        <v>0.34263299529364444</v>
      </c>
    </row>
    <row r="115" spans="16:24">
      <c r="P115" s="867">
        <v>46.721198156682</v>
      </c>
      <c r="Q115" s="868">
        <v>0.493613453666716</v>
      </c>
      <c r="R115" s="867">
        <v>1897.5506912442379</v>
      </c>
      <c r="S115" s="867">
        <v>4090.8755760368626</v>
      </c>
      <c r="T115" s="867">
        <v>271.84974193548362</v>
      </c>
      <c r="U115" s="867">
        <v>14.608734490783396</v>
      </c>
      <c r="V115" s="877">
        <v>258.198973923469</v>
      </c>
      <c r="W115" s="867">
        <v>2501.9736837243272</v>
      </c>
      <c r="X115" s="868">
        <v>0.34263299529364444</v>
      </c>
    </row>
    <row r="116" spans="16:24">
      <c r="P116" s="867">
        <v>53.3720930232558</v>
      </c>
      <c r="Q116" s="868">
        <v>0.67411764705882404</v>
      </c>
      <c r="R116" s="867">
        <v>2469.6906976744194</v>
      </c>
      <c r="S116" s="867">
        <v>4714.3418604651179</v>
      </c>
      <c r="T116" s="867">
        <v>309.55342697674428</v>
      </c>
      <c r="U116" s="867">
        <v>23.65253811860466</v>
      </c>
      <c r="V116" s="877">
        <v>199.518832654644</v>
      </c>
      <c r="W116" s="867">
        <v>2501.9736837243272</v>
      </c>
      <c r="X116" s="868">
        <v>0.34263299529364444</v>
      </c>
    </row>
    <row r="117" spans="16:24">
      <c r="P117" s="867">
        <v>52.135514018691602</v>
      </c>
      <c r="Q117" s="868">
        <v>0.16747333512592999</v>
      </c>
      <c r="R117" s="867">
        <v>699.12850467289559</v>
      </c>
      <c r="S117" s="867">
        <v>1632.210280373828</v>
      </c>
      <c r="T117" s="867">
        <v>108.57715700934556</v>
      </c>
      <c r="U117" s="867">
        <v>6.5468303878504521</v>
      </c>
      <c r="V117" s="877">
        <v>267.22607706716599</v>
      </c>
      <c r="W117" s="867">
        <v>2501.9736837243272</v>
      </c>
      <c r="X117" s="868">
        <v>0.34263299529364444</v>
      </c>
    </row>
    <row r="118" spans="16:24">
      <c r="P118" s="867">
        <v>56.3264840182648</v>
      </c>
      <c r="Q118" s="868">
        <v>0.84017672571034796</v>
      </c>
      <c r="R118" s="867">
        <v>2315.0068493150652</v>
      </c>
      <c r="S118" s="867">
        <v>7349.534246575332</v>
      </c>
      <c r="T118" s="867">
        <v>483.17195068493083</v>
      </c>
      <c r="U118" s="867">
        <v>17.636390984018238</v>
      </c>
      <c r="V118" s="877">
        <v>204.21984754920899</v>
      </c>
      <c r="W118" s="867">
        <v>2501.9736837243272</v>
      </c>
      <c r="X118" s="868">
        <v>0.34263299529364444</v>
      </c>
    </row>
    <row r="119" spans="16:24">
      <c r="P119" s="867">
        <v>73.493119266055103</v>
      </c>
      <c r="Q119" s="868">
        <v>0.43382329994070501</v>
      </c>
      <c r="R119" s="867">
        <v>2719.7568807339444</v>
      </c>
      <c r="S119" s="867">
        <v>5783.6261467889899</v>
      </c>
      <c r="T119" s="867">
        <v>372.54227339449534</v>
      </c>
      <c r="U119" s="867">
        <v>24.545274637614675</v>
      </c>
      <c r="V119" s="877">
        <v>266.70580605711802</v>
      </c>
      <c r="W119" s="867">
        <v>2501.9736837243272</v>
      </c>
      <c r="X119" s="868">
        <v>0.34263299529364444</v>
      </c>
    </row>
    <row r="120" spans="16:24">
      <c r="P120" s="867">
        <v>64.842824601366701</v>
      </c>
      <c r="Q120" s="868">
        <v>0.46258694583011301</v>
      </c>
      <c r="R120" s="867">
        <v>3238.5398633257405</v>
      </c>
      <c r="S120" s="867">
        <v>5931.3758542141231</v>
      </c>
      <c r="T120" s="867">
        <v>385.91542779043283</v>
      </c>
      <c r="U120" s="867">
        <v>24.011972448747152</v>
      </c>
      <c r="V120" s="877">
        <v>305.25185069866302</v>
      </c>
      <c r="W120" s="867">
        <v>2501.9736837243272</v>
      </c>
      <c r="X120" s="868">
        <v>0.34263299529364444</v>
      </c>
    </row>
    <row r="121" spans="16:24">
      <c r="P121" s="867">
        <v>40.651551312649197</v>
      </c>
      <c r="Q121" s="868">
        <v>0.46016556096988198</v>
      </c>
      <c r="R121" s="867">
        <v>2310.7374701670637</v>
      </c>
      <c r="S121" s="867">
        <v>3721.4534606205239</v>
      </c>
      <c r="T121" s="867">
        <v>246.36623961813837</v>
      </c>
      <c r="U121" s="867">
        <v>19.585442152744626</v>
      </c>
      <c r="V121" s="877">
        <v>322.41537126818099</v>
      </c>
      <c r="W121" s="867">
        <v>2501.9736837243272</v>
      </c>
      <c r="X121" s="868">
        <v>0.34263299529364444</v>
      </c>
    </row>
    <row r="122" spans="16:24">
      <c r="P122" s="867">
        <v>51.432870370370402</v>
      </c>
      <c r="Q122" s="868">
        <v>0.60457266303613999</v>
      </c>
      <c r="R122" s="867">
        <v>2184.9606481481492</v>
      </c>
      <c r="S122" s="867">
        <v>4610.1111111111131</v>
      </c>
      <c r="T122" s="867">
        <v>300.39059814814829</v>
      </c>
      <c r="U122" s="867">
        <v>14.168028129629638</v>
      </c>
      <c r="V122" s="877">
        <v>217.55822824387701</v>
      </c>
      <c r="W122" s="867">
        <v>2501.9736837243272</v>
      </c>
      <c r="X122" s="868">
        <v>0.34263299529364444</v>
      </c>
    </row>
    <row r="123" spans="16:24">
      <c r="P123" s="867">
        <v>36.767281105990797</v>
      </c>
      <c r="Q123" s="868">
        <v>0.63909256125838199</v>
      </c>
      <c r="R123" s="867">
        <v>2409.8986175115238</v>
      </c>
      <c r="S123" s="867">
        <v>4278.6981566820323</v>
      </c>
      <c r="T123" s="867">
        <v>283.42334193548419</v>
      </c>
      <c r="U123" s="867">
        <v>24.059180308755789</v>
      </c>
      <c r="V123" s="877">
        <v>283.223958619337</v>
      </c>
      <c r="W123" s="867">
        <v>2501.9736837243272</v>
      </c>
      <c r="X123" s="868">
        <v>0.34263299529364444</v>
      </c>
    </row>
    <row r="124" spans="16:24">
      <c r="P124" s="867">
        <v>76.370709382151006</v>
      </c>
      <c r="Q124" s="868">
        <v>0.34065440163001098</v>
      </c>
      <c r="R124" s="867">
        <v>1870.9427917620137</v>
      </c>
      <c r="S124" s="867">
        <v>6847.7643020594969</v>
      </c>
      <c r="T124" s="867">
        <v>441.251128604119</v>
      </c>
      <c r="U124" s="867">
        <v>15.670214235697941</v>
      </c>
      <c r="V124" s="877">
        <v>335.12818805523801</v>
      </c>
      <c r="W124" s="867">
        <v>2501.9736837243272</v>
      </c>
      <c r="X124" s="868">
        <v>0.34263299529364444</v>
      </c>
    </row>
    <row r="125" spans="16:24">
      <c r="P125" s="867">
        <v>67.792710706150302</v>
      </c>
      <c r="Q125" s="868">
        <v>0.36618393199153298</v>
      </c>
      <c r="R125" s="867">
        <v>2090.4897494305264</v>
      </c>
      <c r="S125" s="867">
        <v>4471.9681093394138</v>
      </c>
      <c r="T125" s="867">
        <v>302.97454214123047</v>
      </c>
      <c r="U125" s="867">
        <v>22.638234464692513</v>
      </c>
      <c r="V125" s="877">
        <v>263.19720866213999</v>
      </c>
      <c r="W125" s="867">
        <v>2501.9736837243272</v>
      </c>
      <c r="X125" s="868">
        <v>0.34263299529364444</v>
      </c>
    </row>
    <row r="126" spans="16:24">
      <c r="P126" s="867">
        <v>76.470319634703202</v>
      </c>
      <c r="Q126" s="868">
        <v>0.56266794052666202</v>
      </c>
      <c r="R126" s="867">
        <v>3373.66210045662</v>
      </c>
      <c r="S126" s="867">
        <v>6836.6757990867563</v>
      </c>
      <c r="T126" s="867">
        <v>448.10879086757984</v>
      </c>
      <c r="U126" s="867">
        <v>24.205198417808212</v>
      </c>
      <c r="V126" s="877">
        <v>235.684831794545</v>
      </c>
      <c r="W126" s="867">
        <v>2501.9736837243272</v>
      </c>
      <c r="X126" s="868">
        <v>0.34263299529364444</v>
      </c>
    </row>
    <row r="127" spans="16:24">
      <c r="P127" s="867">
        <v>61.364678899082598</v>
      </c>
      <c r="Q127" s="868">
        <v>0.65449448701177404</v>
      </c>
      <c r="R127" s="867">
        <v>4073.8922018348649</v>
      </c>
      <c r="S127" s="867">
        <v>5627.5688073394531</v>
      </c>
      <c r="T127" s="867">
        <v>390.47742935779843</v>
      </c>
      <c r="U127" s="867">
        <v>42.992814589449566</v>
      </c>
      <c r="V127" s="877">
        <v>240.31004568556901</v>
      </c>
      <c r="W127" s="867">
        <v>2501.9736837243272</v>
      </c>
      <c r="X127" s="868">
        <v>0.34263299529364444</v>
      </c>
    </row>
    <row r="128" spans="16:24">
      <c r="P128" s="867">
        <v>42.3872437357631</v>
      </c>
      <c r="Q128" s="868">
        <v>0.707115219260533</v>
      </c>
      <c r="R128" s="867">
        <v>2445.9453302961274</v>
      </c>
      <c r="S128" s="867">
        <v>5458.4328018223232</v>
      </c>
      <c r="T128" s="867">
        <v>362.6707972665148</v>
      </c>
      <c r="U128" s="867">
        <v>19.967834066059226</v>
      </c>
      <c r="V128" s="877">
        <v>264.26050767593898</v>
      </c>
      <c r="W128" s="867">
        <v>2501.9736837243272</v>
      </c>
      <c r="X128" s="868">
        <v>0.34263299529364444</v>
      </c>
    </row>
    <row r="129" spans="16:24">
      <c r="P129" s="867">
        <v>58.348519362186799</v>
      </c>
      <c r="Q129" s="868">
        <v>0.84563732188171004</v>
      </c>
      <c r="R129" s="867">
        <v>1589.7972665148041</v>
      </c>
      <c r="S129" s="867">
        <v>7625.152619589966</v>
      </c>
      <c r="T129" s="867">
        <v>494.90923553530683</v>
      </c>
      <c r="U129" s="867">
        <v>13.96170694760818</v>
      </c>
      <c r="V129" s="877">
        <v>186.757961312959</v>
      </c>
      <c r="W129" s="867">
        <v>2501.9736837243272</v>
      </c>
      <c r="X129" s="868">
        <v>0.34263299529364444</v>
      </c>
    </row>
    <row r="130" spans="16:24">
      <c r="P130" s="867">
        <v>73.450800915331797</v>
      </c>
      <c r="Q130" s="868">
        <v>0.63493052526637195</v>
      </c>
      <c r="R130" s="867">
        <v>3692.5606407322612</v>
      </c>
      <c r="S130" s="867">
        <v>5486.6750572082319</v>
      </c>
      <c r="T130" s="867">
        <v>354.59364027459912</v>
      </c>
      <c r="U130" s="867">
        <v>26.989688867276854</v>
      </c>
      <c r="V130" s="877">
        <v>196.82661334641799</v>
      </c>
      <c r="W130" s="867">
        <v>2501.9736837243272</v>
      </c>
      <c r="X130" s="868">
        <v>0.34263299529364444</v>
      </c>
    </row>
    <row r="131" spans="16:24">
      <c r="P131" s="867">
        <v>39.218181818181797</v>
      </c>
      <c r="Q131" s="868">
        <v>0.85176170607324997</v>
      </c>
      <c r="R131" s="867">
        <v>8034.4613636363629</v>
      </c>
      <c r="S131" s="867">
        <v>2115.6977272727272</v>
      </c>
      <c r="T131" s="867">
        <v>137.44564909090883</v>
      </c>
      <c r="U131" s="867">
        <v>54.188901234090899</v>
      </c>
      <c r="V131" s="877">
        <v>303.83979248877398</v>
      </c>
      <c r="W131" s="867">
        <v>2501.9736837243272</v>
      </c>
      <c r="X131" s="868">
        <v>0.34263299529364444</v>
      </c>
    </row>
    <row r="132" spans="16:24">
      <c r="P132" s="867">
        <v>50.842105263157897</v>
      </c>
      <c r="Q132" s="868">
        <v>0.92470069313169501</v>
      </c>
      <c r="R132" s="867">
        <v>6190.3958810068743</v>
      </c>
      <c r="S132" s="867">
        <v>3902.7345537757496</v>
      </c>
      <c r="T132" s="867">
        <v>251.12213272311251</v>
      </c>
      <c r="U132" s="867">
        <v>41.728093558352469</v>
      </c>
      <c r="V132" s="877">
        <v>213.710275979557</v>
      </c>
      <c r="W132" s="867">
        <v>2501.9736837243272</v>
      </c>
      <c r="X132" s="868">
        <v>0.34263299529364444</v>
      </c>
    </row>
    <row r="133" spans="16:24">
      <c r="P133" s="867">
        <v>40.719540229885098</v>
      </c>
      <c r="Q133" s="868">
        <v>0.86693389036301005</v>
      </c>
      <c r="R133" s="867">
        <v>8380.427586206908</v>
      </c>
      <c r="S133" s="867">
        <v>2117.5264367816121</v>
      </c>
      <c r="T133" s="867">
        <v>137.76227862068961</v>
      </c>
      <c r="U133" s="867">
        <v>69.166432383908145</v>
      </c>
      <c r="V133" s="877">
        <v>296.61060562646497</v>
      </c>
      <c r="W133" s="867">
        <v>2501.9736837243272</v>
      </c>
      <c r="X133" s="868">
        <v>0.34263299529364444</v>
      </c>
    </row>
    <row r="134" spans="16:24">
      <c r="P134" s="867">
        <v>68.3638443935927</v>
      </c>
      <c r="Q134" s="868">
        <v>0.76706276150627595</v>
      </c>
      <c r="R134" s="867">
        <v>6824.6453089244715</v>
      </c>
      <c r="S134" s="867">
        <v>4641.7116704805403</v>
      </c>
      <c r="T134" s="867">
        <v>314.27479771166986</v>
      </c>
      <c r="U134" s="867">
        <v>46.694101654462152</v>
      </c>
      <c r="V134" s="877">
        <v>219.809954616862</v>
      </c>
      <c r="W134" s="867">
        <v>2692.8351820114153</v>
      </c>
      <c r="X134" s="868">
        <v>0.46730147395512611</v>
      </c>
    </row>
    <row r="135" spans="16:24">
      <c r="P135" s="867">
        <v>59.133027522935798</v>
      </c>
      <c r="Q135" s="868">
        <v>0.83511752385385196</v>
      </c>
      <c r="R135" s="867">
        <v>5868.8532110091674</v>
      </c>
      <c r="S135" s="867">
        <v>3620.2591743119224</v>
      </c>
      <c r="T135" s="867">
        <v>242.84509266055016</v>
      </c>
      <c r="U135" s="867">
        <v>52.413547114678835</v>
      </c>
      <c r="V135" s="877">
        <v>192.15310575449399</v>
      </c>
      <c r="W135" s="867">
        <v>2692.8351820114153</v>
      </c>
      <c r="X135" s="868">
        <v>0.46730147395512611</v>
      </c>
    </row>
    <row r="136" spans="16:24">
      <c r="P136" s="867">
        <v>44.711009174311897</v>
      </c>
      <c r="Q136" s="868">
        <v>0.68831435313429801</v>
      </c>
      <c r="R136" s="867">
        <v>5182.1788990825698</v>
      </c>
      <c r="S136" s="867">
        <v>3074.1169724770652</v>
      </c>
      <c r="T136" s="867">
        <v>201.88484174311932</v>
      </c>
      <c r="U136" s="867">
        <v>34.81932693119267</v>
      </c>
      <c r="V136" s="877">
        <v>265.84366820688598</v>
      </c>
      <c r="W136" s="867">
        <v>2692.8351820114153</v>
      </c>
      <c r="X136" s="868">
        <v>0.46730147395512611</v>
      </c>
    </row>
    <row r="137" spans="16:24">
      <c r="P137" s="867">
        <v>54.800915331807801</v>
      </c>
      <c r="Q137" s="868">
        <v>0.59896442291631902</v>
      </c>
      <c r="R137" s="867">
        <v>4118.0068649885661</v>
      </c>
      <c r="S137" s="867">
        <v>3787.9267734553846</v>
      </c>
      <c r="T137" s="867">
        <v>247.6647432494284</v>
      </c>
      <c r="U137" s="867">
        <v>27.263556045766641</v>
      </c>
      <c r="V137" s="877">
        <v>243.606244422755</v>
      </c>
      <c r="W137" s="867">
        <v>2692.8351820114153</v>
      </c>
      <c r="X137" s="868">
        <v>0.46730147395512611</v>
      </c>
    </row>
    <row r="138" spans="16:24">
      <c r="P138" s="867">
        <v>43.711670480549202</v>
      </c>
      <c r="Q138" s="868">
        <v>0.68820018846194098</v>
      </c>
      <c r="R138" s="867">
        <v>5827.8604118993117</v>
      </c>
      <c r="S138" s="867">
        <v>3653.0617848970242</v>
      </c>
      <c r="T138" s="867">
        <v>242.013723569794</v>
      </c>
      <c r="U138" s="867">
        <v>37.249334979405027</v>
      </c>
      <c r="V138" s="877">
        <v>312.28158299102398</v>
      </c>
      <c r="W138" s="867">
        <v>2692.8351820114153</v>
      </c>
      <c r="X138" s="868">
        <v>0.46730147395512611</v>
      </c>
    </row>
    <row r="139" spans="16:24">
      <c r="P139" s="867">
        <v>37.089655172413799</v>
      </c>
      <c r="Q139" s="868">
        <v>0.47725300607412902</v>
      </c>
      <c r="R139" s="867">
        <v>3000.8183908045903</v>
      </c>
      <c r="S139" s="867">
        <v>2156.7172413793051</v>
      </c>
      <c r="T139" s="867">
        <v>138.23267586206862</v>
      </c>
      <c r="U139" s="867">
        <v>21.04392785517236</v>
      </c>
      <c r="V139" s="877">
        <v>284.10815844155798</v>
      </c>
      <c r="W139" s="867">
        <v>2692.8351820114153</v>
      </c>
      <c r="X139" s="868">
        <v>0.46730147395512611</v>
      </c>
    </row>
    <row r="140" spans="16:24">
      <c r="P140" s="867">
        <v>49.7734553775744</v>
      </c>
      <c r="Q140" s="868">
        <v>0.57689301641303903</v>
      </c>
      <c r="R140" s="867">
        <v>5307.9176201373102</v>
      </c>
      <c r="S140" s="867">
        <v>3197.3157894736905</v>
      </c>
      <c r="T140" s="867">
        <v>220.1180897574375</v>
      </c>
      <c r="U140" s="867">
        <v>36.249183530892516</v>
      </c>
      <c r="V140" s="877">
        <v>291.260722027415</v>
      </c>
      <c r="W140" s="867">
        <v>2692.8351820114153</v>
      </c>
      <c r="X140" s="868">
        <v>0.46730147395512611</v>
      </c>
    </row>
    <row r="141" spans="16:24">
      <c r="P141" s="867">
        <v>16.250574712643701</v>
      </c>
      <c r="Q141" s="868">
        <v>0.69826000848776404</v>
      </c>
      <c r="R141" s="867">
        <v>6337.5563218390762</v>
      </c>
      <c r="S141" s="867">
        <v>3491.8758620689632</v>
      </c>
      <c r="T141" s="867">
        <v>220.87227724137918</v>
      </c>
      <c r="U141" s="867">
        <v>33.167812448275839</v>
      </c>
      <c r="V141" s="877">
        <v>843.23465356563997</v>
      </c>
      <c r="W141" s="867">
        <v>2692.8351820114153</v>
      </c>
      <c r="X141" s="868">
        <v>0.46730147395512611</v>
      </c>
    </row>
    <row r="142" spans="16:24">
      <c r="P142" s="867">
        <v>1.6956521739130399</v>
      </c>
      <c r="Q142" s="868">
        <v>1.05128205128205</v>
      </c>
      <c r="R142" s="867">
        <v>498.91891891891828</v>
      </c>
      <c r="S142" s="867">
        <v>142.42162162162145</v>
      </c>
      <c r="T142" s="867">
        <v>11.992057297297283</v>
      </c>
      <c r="U142" s="867">
        <v>4.2275364216216165</v>
      </c>
      <c r="V142" s="877">
        <v>464.53713793103498</v>
      </c>
      <c r="W142" s="867">
        <v>2692.8351820114153</v>
      </c>
      <c r="X142" s="868">
        <v>0.46730147395512611</v>
      </c>
    </row>
    <row r="143" spans="16:24">
      <c r="P143" s="867">
        <v>59.731034482758602</v>
      </c>
      <c r="Q143" s="868">
        <v>0.68225378131855396</v>
      </c>
      <c r="R143" s="867">
        <v>3339.2000000000021</v>
      </c>
      <c r="S143" s="867">
        <v>8252.4413793103504</v>
      </c>
      <c r="T143" s="867">
        <v>564.89579034482801</v>
      </c>
      <c r="U143" s="867">
        <v>30.039797108045995</v>
      </c>
      <c r="V143" s="877">
        <v>284.445327466577</v>
      </c>
      <c r="W143" s="867">
        <v>2998.2139778064675</v>
      </c>
      <c r="X143" s="868">
        <v>0.62197445417222763</v>
      </c>
    </row>
    <row r="144" spans="16:24">
      <c r="P144" s="867">
        <v>103.69954128440401</v>
      </c>
      <c r="Q144" s="868">
        <v>0.58133722601906501</v>
      </c>
      <c r="R144" s="867">
        <v>2697.2431192660561</v>
      </c>
      <c r="S144" s="867">
        <v>7110.0275229357821</v>
      </c>
      <c r="T144" s="867">
        <v>505.52095229357587</v>
      </c>
      <c r="U144" s="867">
        <v>21.595840857798176</v>
      </c>
      <c r="V144" s="877">
        <v>162.68334652259901</v>
      </c>
      <c r="W144" s="867">
        <v>2998.2139778064675</v>
      </c>
      <c r="X144" s="868">
        <v>0.62197445417222763</v>
      </c>
    </row>
    <row r="145" spans="16:24">
      <c r="P145" s="867">
        <v>65.8827586206897</v>
      </c>
      <c r="Q145" s="868">
        <v>0.716633518266513</v>
      </c>
      <c r="R145" s="867">
        <v>2678.2229885057463</v>
      </c>
      <c r="S145" s="867">
        <v>7606.8689655172393</v>
      </c>
      <c r="T145" s="867">
        <v>527.18586666666658</v>
      </c>
      <c r="U145" s="867">
        <v>23.62017426896551</v>
      </c>
      <c r="V145" s="877">
        <v>217.84068847989101</v>
      </c>
      <c r="W145" s="867">
        <v>2998.2139778064675</v>
      </c>
      <c r="X145" s="868">
        <v>0.62197445417222763</v>
      </c>
    </row>
    <row r="146" spans="16:24">
      <c r="P146" s="867">
        <v>48.573394495412799</v>
      </c>
      <c r="Q146" s="868">
        <v>0.70969874397960098</v>
      </c>
      <c r="R146" s="867">
        <v>2009.949541284401</v>
      </c>
      <c r="S146" s="867">
        <v>6902.4701834862299</v>
      </c>
      <c r="T146" s="867">
        <v>486.11543669724711</v>
      </c>
      <c r="U146" s="867">
        <v>14.332981190366953</v>
      </c>
      <c r="V146" s="877">
        <v>258.53725815036597</v>
      </c>
      <c r="W146" s="867">
        <v>2998.2139778064675</v>
      </c>
      <c r="X146" s="868">
        <v>0.62197445417222763</v>
      </c>
    </row>
    <row r="147" spans="16:24">
      <c r="P147" s="867">
        <v>63.318807339449499</v>
      </c>
      <c r="Q147" s="868">
        <v>0.71691962183504199</v>
      </c>
      <c r="R147" s="867">
        <v>2577.9999999999955</v>
      </c>
      <c r="S147" s="867">
        <v>7461.0275229357676</v>
      </c>
      <c r="T147" s="867">
        <v>511.98407155963218</v>
      </c>
      <c r="U147" s="867">
        <v>22.147814392201798</v>
      </c>
      <c r="V147" s="877">
        <v>221.15083063864199</v>
      </c>
      <c r="W147" s="867">
        <v>2998.2139778064675</v>
      </c>
      <c r="X147" s="868">
        <v>0.62197445417222763</v>
      </c>
    </row>
    <row r="148" spans="16:24">
      <c r="P148" s="867">
        <v>91.993119266055103</v>
      </c>
      <c r="Q148" s="868">
        <v>0.63893390510857895</v>
      </c>
      <c r="R148" s="867">
        <v>2831.1559633027491</v>
      </c>
      <c r="S148" s="867">
        <v>5544.9128440366912</v>
      </c>
      <c r="T148" s="867">
        <v>385.28269724770598</v>
      </c>
      <c r="U148" s="867">
        <v>25.236357646788964</v>
      </c>
      <c r="V148" s="877">
        <v>142.50454091387999</v>
      </c>
      <c r="W148" s="867">
        <v>2998.2139778064675</v>
      </c>
      <c r="X148" s="868">
        <v>0.62197445417222763</v>
      </c>
    </row>
    <row r="149" spans="16:24">
      <c r="P149" s="867">
        <v>72.305045871559599</v>
      </c>
      <c r="Q149" s="868">
        <v>0.66398096748612201</v>
      </c>
      <c r="R149" s="867">
        <v>2756.3532110091778</v>
      </c>
      <c r="S149" s="867">
        <v>7912.6972477064319</v>
      </c>
      <c r="T149" s="867">
        <v>558.09842752293423</v>
      </c>
      <c r="U149" s="867">
        <v>23.136596979357829</v>
      </c>
      <c r="V149" s="877">
        <v>222.22925855150001</v>
      </c>
      <c r="W149" s="867">
        <v>2998.2139778064675</v>
      </c>
      <c r="X149" s="868">
        <v>0.62197445417222763</v>
      </c>
    </row>
    <row r="150" spans="16:24">
      <c r="P150" s="867">
        <v>70.752293577981703</v>
      </c>
      <c r="Q150" s="868">
        <v>0.747082468879668</v>
      </c>
      <c r="R150" s="867">
        <v>3442.3050458715552</v>
      </c>
      <c r="S150" s="867">
        <v>5537.7706422018273</v>
      </c>
      <c r="T150" s="867">
        <v>383.06907889908206</v>
      </c>
      <c r="U150" s="867">
        <v>26.724222233944918</v>
      </c>
      <c r="V150" s="877">
        <v>169.89114944024999</v>
      </c>
      <c r="W150" s="867">
        <v>2998.2139778064675</v>
      </c>
      <c r="X150" s="868">
        <v>0.62197445417222763</v>
      </c>
    </row>
    <row r="151" spans="16:24">
      <c r="P151" s="867">
        <v>83.866972477064195</v>
      </c>
      <c r="Q151" s="868">
        <v>0.77593939725427996</v>
      </c>
      <c r="R151" s="867">
        <v>3089.2683486238602</v>
      </c>
      <c r="S151" s="867">
        <v>6450.3577981651515</v>
      </c>
      <c r="T151" s="867">
        <v>441.24523119265922</v>
      </c>
      <c r="U151" s="867">
        <v>26.251485594036758</v>
      </c>
      <c r="V151" s="877">
        <v>146.59279843513201</v>
      </c>
      <c r="W151" s="867">
        <v>2998.2139778064675</v>
      </c>
      <c r="X151" s="868">
        <v>0.62197445417222763</v>
      </c>
    </row>
    <row r="152" spans="16:24">
      <c r="P152" s="867">
        <v>75.022935779816507</v>
      </c>
      <c r="Q152" s="868">
        <v>0.75368388871904601</v>
      </c>
      <c r="R152" s="867">
        <v>3329.2660550458677</v>
      </c>
      <c r="S152" s="867">
        <v>5618.7522935779753</v>
      </c>
      <c r="T152" s="867">
        <v>396.38310458715551</v>
      </c>
      <c r="U152" s="867">
        <v>29.898601942660513</v>
      </c>
      <c r="V152" s="877">
        <v>158.24986817020201</v>
      </c>
      <c r="W152" s="867">
        <v>2998.2139778064675</v>
      </c>
      <c r="X152" s="868">
        <v>0.62197445417222763</v>
      </c>
    </row>
    <row r="153" spans="16:24">
      <c r="P153" s="867">
        <v>77.960919540229895</v>
      </c>
      <c r="Q153" s="868">
        <v>0.49565063544953297</v>
      </c>
      <c r="R153" s="867">
        <v>2515.7977011494218</v>
      </c>
      <c r="S153" s="867">
        <v>5854.6114942528648</v>
      </c>
      <c r="T153" s="867">
        <v>408.89800643678103</v>
      </c>
      <c r="U153" s="867">
        <v>23.482598845976977</v>
      </c>
      <c r="V153" s="877">
        <v>216.500918555536</v>
      </c>
      <c r="W153" s="867">
        <v>2998.2139778064675</v>
      </c>
      <c r="X153" s="868">
        <v>0.62197445417222763</v>
      </c>
    </row>
    <row r="154" spans="16:24">
      <c r="P154" s="867">
        <v>79.738532110091697</v>
      </c>
      <c r="Q154" s="868">
        <v>0.68279353391244302</v>
      </c>
      <c r="R154" s="867">
        <v>3382.3600917431268</v>
      </c>
      <c r="S154" s="867">
        <v>7484.1972477064382</v>
      </c>
      <c r="T154" s="867">
        <v>529.82228073394378</v>
      </c>
      <c r="U154" s="867">
        <v>26.127366048165193</v>
      </c>
      <c r="V154" s="877">
        <v>199.587859128823</v>
      </c>
      <c r="W154" s="867">
        <v>2998.2139778064675</v>
      </c>
      <c r="X154" s="868">
        <v>0.62197445417222763</v>
      </c>
    </row>
    <row r="155" spans="16:24">
      <c r="P155" s="867">
        <v>84.935779816513801</v>
      </c>
      <c r="Q155" s="868">
        <v>0.74894685677252104</v>
      </c>
      <c r="R155" s="867">
        <v>4703.0000000000082</v>
      </c>
      <c r="S155" s="867">
        <v>7484.1353211009309</v>
      </c>
      <c r="T155" s="867">
        <v>524.67602201834734</v>
      </c>
      <c r="U155" s="867">
        <v>34.28064384403676</v>
      </c>
      <c r="V155" s="877">
        <v>191.58420767982699</v>
      </c>
      <c r="W155" s="867">
        <v>2998.2139778064675</v>
      </c>
      <c r="X155" s="868">
        <v>0.62197445417222763</v>
      </c>
    </row>
    <row r="156" spans="16:24">
      <c r="P156" s="867">
        <v>93.433486238532097</v>
      </c>
      <c r="Q156" s="868">
        <v>0.51486363747944097</v>
      </c>
      <c r="R156" s="867">
        <v>2761.1857798165074</v>
      </c>
      <c r="S156" s="867">
        <v>6900.0183486238375</v>
      </c>
      <c r="T156" s="867">
        <v>475.4028165137604</v>
      </c>
      <c r="U156" s="867">
        <v>20.792545518348579</v>
      </c>
      <c r="V156" s="877">
        <v>200.83353771335899</v>
      </c>
      <c r="W156" s="867">
        <v>2998.2139778064675</v>
      </c>
      <c r="X156" s="868">
        <v>0.62197445417222763</v>
      </c>
    </row>
    <row r="157" spans="16:24">
      <c r="P157" s="867">
        <v>94.233944954128503</v>
      </c>
      <c r="Q157" s="868">
        <v>0.62909506887990996</v>
      </c>
      <c r="R157" s="867">
        <v>2408.2477064220157</v>
      </c>
      <c r="S157" s="867">
        <v>7170.0894495412758</v>
      </c>
      <c r="T157" s="867">
        <v>485.13788990825628</v>
      </c>
      <c r="U157" s="867">
        <v>21.021749344036671</v>
      </c>
      <c r="V157" s="877">
        <v>155.15704840020101</v>
      </c>
      <c r="W157" s="867">
        <v>2998.2139778064675</v>
      </c>
      <c r="X157" s="868">
        <v>0.62197445417222763</v>
      </c>
    </row>
    <row r="158" spans="16:24">
      <c r="P158" s="867">
        <v>86.181192660550494</v>
      </c>
      <c r="Q158" s="868">
        <v>0.56263473053892199</v>
      </c>
      <c r="R158" s="867">
        <v>2020.65596330275</v>
      </c>
      <c r="S158" s="867">
        <v>7341.7064220183402</v>
      </c>
      <c r="T158" s="867">
        <v>512.75964587155897</v>
      </c>
      <c r="U158" s="867">
        <v>18.877447587155942</v>
      </c>
      <c r="V158" s="877">
        <v>193.08398656638801</v>
      </c>
      <c r="W158" s="867">
        <v>2998.2139778064675</v>
      </c>
      <c r="X158" s="868">
        <v>0.62197445417222763</v>
      </c>
    </row>
    <row r="159" spans="16:24">
      <c r="P159" s="867">
        <v>89.497706422018396</v>
      </c>
      <c r="Q159" s="868">
        <v>0.40729350862356201</v>
      </c>
      <c r="R159" s="867">
        <v>2678.7981651376235</v>
      </c>
      <c r="S159" s="867">
        <v>6315.3188073394704</v>
      </c>
      <c r="T159" s="867">
        <v>448.11229541284553</v>
      </c>
      <c r="U159" s="867">
        <v>18.265444756880793</v>
      </c>
      <c r="V159" s="877">
        <v>246.739892405462</v>
      </c>
      <c r="W159" s="867">
        <v>2998.2139778064675</v>
      </c>
      <c r="X159" s="868">
        <v>0.62197445417222763</v>
      </c>
    </row>
    <row r="160" spans="16:24">
      <c r="P160" s="867">
        <v>69.162844036697294</v>
      </c>
      <c r="Q160" s="868">
        <v>0.70601890233792097</v>
      </c>
      <c r="R160" s="867">
        <v>2975.4885321100869</v>
      </c>
      <c r="S160" s="867">
        <v>6185.309633027513</v>
      </c>
      <c r="T160" s="867">
        <v>436.22015596330209</v>
      </c>
      <c r="U160" s="867">
        <v>23.0140847775229</v>
      </c>
      <c r="V160" s="877">
        <v>187.60468388915001</v>
      </c>
      <c r="W160" s="867">
        <v>2998.2139778064675</v>
      </c>
      <c r="X160" s="868">
        <v>0.62197445417222763</v>
      </c>
    </row>
    <row r="161" spans="16:24">
      <c r="P161" s="867">
        <v>79.834862385321102</v>
      </c>
      <c r="Q161" s="868">
        <v>0.50525741208917496</v>
      </c>
      <c r="R161" s="867">
        <v>2498.7110091743066</v>
      </c>
      <c r="S161" s="867">
        <v>6542.1857798164992</v>
      </c>
      <c r="T161" s="867">
        <v>464.01964770642104</v>
      </c>
      <c r="U161" s="867">
        <v>19.508259662843994</v>
      </c>
      <c r="V161" s="877">
        <v>224.133173935293</v>
      </c>
      <c r="W161" s="867">
        <v>2998.2139778064675</v>
      </c>
      <c r="X161" s="868">
        <v>0.62197445417222763</v>
      </c>
    </row>
    <row r="162" spans="16:24">
      <c r="P162" s="867">
        <v>80.577981651376206</v>
      </c>
      <c r="Q162" s="868">
        <v>0.45662074462028901</v>
      </c>
      <c r="R162" s="867">
        <v>3088.4036697247666</v>
      </c>
      <c r="S162" s="867">
        <v>6260.3096330275148</v>
      </c>
      <c r="T162" s="867">
        <v>440.49389357798105</v>
      </c>
      <c r="U162" s="867">
        <v>27.551817087155925</v>
      </c>
      <c r="V162" s="877">
        <v>254.06526181274199</v>
      </c>
      <c r="W162" s="867">
        <v>2998.2139778064675</v>
      </c>
      <c r="X162" s="868">
        <v>0.62197445417222763</v>
      </c>
    </row>
    <row r="163" spans="16:24">
      <c r="P163" s="867">
        <v>95.174311926605498</v>
      </c>
      <c r="Q163" s="868">
        <v>0.58911702332755</v>
      </c>
      <c r="R163" s="867">
        <v>2875.1353211009105</v>
      </c>
      <c r="S163" s="867">
        <v>6336.8830275229211</v>
      </c>
      <c r="T163" s="867">
        <v>440.91399633027419</v>
      </c>
      <c r="U163" s="867">
        <v>27.378690158256816</v>
      </c>
      <c r="V163" s="877">
        <v>164.29837355804599</v>
      </c>
      <c r="W163" s="867">
        <v>2998.2139778064675</v>
      </c>
      <c r="X163" s="868">
        <v>0.62197445417222763</v>
      </c>
    </row>
    <row r="164" spans="16:24">
      <c r="P164" s="867">
        <v>55.4724770642202</v>
      </c>
      <c r="Q164" s="868">
        <v>0.75535433721987899</v>
      </c>
      <c r="R164" s="867">
        <v>2447.4426605504623</v>
      </c>
      <c r="S164" s="867">
        <v>5057.7201834862453</v>
      </c>
      <c r="T164" s="867">
        <v>353.44375596330326</v>
      </c>
      <c r="U164" s="867">
        <v>19.711967550458745</v>
      </c>
      <c r="V164" s="877">
        <v>179.11504187421301</v>
      </c>
      <c r="W164" s="867">
        <v>2998.2139778064675</v>
      </c>
      <c r="X164" s="868">
        <v>0.62197445417222763</v>
      </c>
    </row>
    <row r="165" spans="16:24">
      <c r="P165" s="867">
        <v>76.704805491990896</v>
      </c>
      <c r="Q165" s="868">
        <v>0.62326968973746999</v>
      </c>
      <c r="R165" s="867">
        <v>2352.1418764302039</v>
      </c>
      <c r="S165" s="867">
        <v>6822.7917620137241</v>
      </c>
      <c r="T165" s="867">
        <v>468.56270586727652</v>
      </c>
      <c r="U165" s="867">
        <v>21.737891684210506</v>
      </c>
      <c r="V165" s="877">
        <v>191.912826919395</v>
      </c>
      <c r="W165" s="867">
        <v>2998.2139778064675</v>
      </c>
      <c r="X165" s="868">
        <v>0.62197445417222763</v>
      </c>
    </row>
    <row r="166" spans="16:24">
      <c r="P166" s="867">
        <v>71.293577981651396</v>
      </c>
      <c r="Q166" s="868">
        <v>0.45245142195341698</v>
      </c>
      <c r="R166" s="867">
        <v>2037.3876146788982</v>
      </c>
      <c r="S166" s="867">
        <v>5672.3256880733925</v>
      </c>
      <c r="T166" s="867">
        <v>392.64257431192647</v>
      </c>
      <c r="U166" s="867">
        <v>16.860153589449535</v>
      </c>
      <c r="V166" s="877">
        <v>239.00981797497201</v>
      </c>
      <c r="W166" s="867">
        <v>2998.2139778064675</v>
      </c>
      <c r="X166" s="868">
        <v>0.62197445417222763</v>
      </c>
    </row>
    <row r="167" spans="16:24">
      <c r="P167" s="867">
        <v>74.4908256880734</v>
      </c>
      <c r="Q167" s="868">
        <v>0.64240408892173195</v>
      </c>
      <c r="R167" s="867">
        <v>3749.8440366972409</v>
      </c>
      <c r="S167" s="867">
        <v>8043.56192660549</v>
      </c>
      <c r="T167" s="867">
        <v>569.16651926605402</v>
      </c>
      <c r="U167" s="867">
        <v>31.63199316284398</v>
      </c>
      <c r="V167" s="877">
        <v>246.44946702454001</v>
      </c>
      <c r="W167" s="867">
        <v>2998.2139778064675</v>
      </c>
      <c r="X167" s="868">
        <v>0.62197445417222763</v>
      </c>
    </row>
    <row r="168" spans="16:24">
      <c r="P168" s="867">
        <v>78.385321100917395</v>
      </c>
      <c r="Q168" s="868">
        <v>0.723314606741573</v>
      </c>
      <c r="R168" s="867">
        <v>4185.6422018348676</v>
      </c>
      <c r="S168" s="867">
        <v>8070.6811926605606</v>
      </c>
      <c r="T168" s="867">
        <v>545.81042201834703</v>
      </c>
      <c r="U168" s="867">
        <v>27.990245908256917</v>
      </c>
      <c r="V168" s="877">
        <v>216.17132969255701</v>
      </c>
      <c r="W168" s="867">
        <v>2998.2139778064675</v>
      </c>
      <c r="X168" s="868">
        <v>0.62197445417222763</v>
      </c>
    </row>
    <row r="169" spans="16:24">
      <c r="P169" s="867">
        <v>75.178899082568805</v>
      </c>
      <c r="Q169" s="868">
        <v>0.89004820306303001</v>
      </c>
      <c r="R169" s="867">
        <v>3654.4403669724857</v>
      </c>
      <c r="S169" s="867">
        <v>8017.8577981651561</v>
      </c>
      <c r="T169" s="867">
        <v>548.21793394495307</v>
      </c>
      <c r="U169" s="867">
        <v>29.006138963302821</v>
      </c>
      <c r="V169" s="877">
        <v>174.44024336738201</v>
      </c>
      <c r="W169" s="867">
        <v>2998.2139778064675</v>
      </c>
      <c r="X169" s="868">
        <v>0.62197445417222763</v>
      </c>
    </row>
    <row r="170" spans="16:24">
      <c r="P170" s="867">
        <v>76.380733944954102</v>
      </c>
      <c r="Q170" s="868">
        <v>0.71818509398834895</v>
      </c>
      <c r="R170" s="867">
        <v>2654.3233944954068</v>
      </c>
      <c r="S170" s="867">
        <v>6231.1536697247557</v>
      </c>
      <c r="T170" s="867">
        <v>455.50448807339347</v>
      </c>
      <c r="U170" s="867">
        <v>19.657237045871511</v>
      </c>
      <c r="V170" s="877">
        <v>161.979525442154</v>
      </c>
      <c r="W170" s="867">
        <v>2998.2139778064675</v>
      </c>
      <c r="X170" s="868">
        <v>0.62197445417222763</v>
      </c>
    </row>
    <row r="171" spans="16:24">
      <c r="P171" s="867">
        <v>56.376146788990802</v>
      </c>
      <c r="Q171" s="868">
        <v>0.73039056143205905</v>
      </c>
      <c r="R171" s="867">
        <v>5228.1743119265939</v>
      </c>
      <c r="S171" s="867">
        <v>4451.2568807339348</v>
      </c>
      <c r="T171" s="867">
        <v>295.12563027522873</v>
      </c>
      <c r="U171" s="867">
        <v>33.208618128440293</v>
      </c>
      <c r="V171" s="877">
        <v>242.29331588035399</v>
      </c>
      <c r="W171" s="867">
        <v>2501.4542944353198</v>
      </c>
      <c r="X171" s="868">
        <v>0.36486890764116575</v>
      </c>
    </row>
    <row r="172" spans="16:24">
      <c r="P172" s="867">
        <v>54.218894009216598</v>
      </c>
      <c r="Q172" s="868">
        <v>0.83332625047809294</v>
      </c>
      <c r="R172" s="867">
        <v>5220.6589861751172</v>
      </c>
      <c r="S172" s="867">
        <v>4989.8847926267299</v>
      </c>
      <c r="T172" s="867">
        <v>316.61682718894025</v>
      </c>
      <c r="U172" s="867">
        <v>33.53078318433181</v>
      </c>
      <c r="V172" s="877">
        <v>219.37454230200399</v>
      </c>
      <c r="W172" s="867">
        <v>2501.4542944353198</v>
      </c>
      <c r="X172" s="868">
        <v>0.36486890764116575</v>
      </c>
    </row>
    <row r="173" spans="16:24">
      <c r="P173" s="867">
        <v>50.150115473441097</v>
      </c>
      <c r="Q173" s="868">
        <v>0.64600506562284099</v>
      </c>
      <c r="R173" s="867">
        <v>3372.0808314087726</v>
      </c>
      <c r="S173" s="867">
        <v>2791.4110854503433</v>
      </c>
      <c r="T173" s="867">
        <v>182.44131547344094</v>
      </c>
      <c r="U173" s="867">
        <v>21.303936399538085</v>
      </c>
      <c r="V173" s="877">
        <v>190.24763615625901</v>
      </c>
      <c r="W173" s="867">
        <v>2501.4542944353198</v>
      </c>
      <c r="X173" s="868">
        <v>0.36486890764116575</v>
      </c>
    </row>
    <row r="174" spans="16:24">
      <c r="P174" s="867">
        <v>55.1264367816092</v>
      </c>
      <c r="Q174" s="868">
        <v>0.30954962468723901</v>
      </c>
      <c r="R174" s="867">
        <v>4838.963218390817</v>
      </c>
      <c r="S174" s="867">
        <v>2506.4321839080526</v>
      </c>
      <c r="T174" s="867">
        <v>173.75624275862114</v>
      </c>
      <c r="U174" s="867">
        <v>46.156183788505864</v>
      </c>
      <c r="V174" s="877">
        <v>426.40370066011099</v>
      </c>
      <c r="W174" s="867">
        <v>2501.4542944353198</v>
      </c>
      <c r="X174" s="868">
        <v>0.36486890764116575</v>
      </c>
    </row>
    <row r="175" spans="16:24">
      <c r="P175" s="867">
        <v>56.565517241379297</v>
      </c>
      <c r="Q175" s="868">
        <v>0.64012842396163505</v>
      </c>
      <c r="R175" s="867">
        <v>3952.3770114942536</v>
      </c>
      <c r="S175" s="867">
        <v>4779.3356321839083</v>
      </c>
      <c r="T175" s="867">
        <v>311.32737103448284</v>
      </c>
      <c r="U175" s="867">
        <v>24.296794027586209</v>
      </c>
      <c r="V175" s="877">
        <v>240.98537489683201</v>
      </c>
      <c r="W175" s="867">
        <v>2501.4542944353198</v>
      </c>
      <c r="X175" s="868">
        <v>0.36486890764116575</v>
      </c>
    </row>
    <row r="176" spans="16:24">
      <c r="P176" s="867">
        <v>52.038901601830702</v>
      </c>
      <c r="Q176" s="868">
        <v>0.82014863022734297</v>
      </c>
      <c r="R176" s="867">
        <v>3306.2906178489625</v>
      </c>
      <c r="S176" s="867">
        <v>5853.0297482837395</v>
      </c>
      <c r="T176" s="867">
        <v>379.47592585812265</v>
      </c>
      <c r="U176" s="867">
        <v>19.507992794050299</v>
      </c>
      <c r="V176" s="877">
        <v>214.55023537611899</v>
      </c>
      <c r="W176" s="867">
        <v>2501.4542944353198</v>
      </c>
      <c r="X176" s="868">
        <v>0.36486890764116575</v>
      </c>
    </row>
    <row r="177" spans="16:24">
      <c r="P177" s="867">
        <v>50.559633027522899</v>
      </c>
      <c r="Q177" s="868">
        <v>0.76333696243875904</v>
      </c>
      <c r="R177" s="867">
        <v>2884.692660550455</v>
      </c>
      <c r="S177" s="867">
        <v>4219.22935779816</v>
      </c>
      <c r="T177" s="867">
        <v>284.74934036697209</v>
      </c>
      <c r="U177" s="867">
        <v>17.779560380733923</v>
      </c>
      <c r="V177" s="877">
        <v>184.067891483925</v>
      </c>
      <c r="W177" s="867">
        <v>2501.4542944353198</v>
      </c>
      <c r="X177" s="868">
        <v>0.36486890764116575</v>
      </c>
    </row>
    <row r="178" spans="16:24">
      <c r="P178" s="867">
        <v>47.009216589861801</v>
      </c>
      <c r="Q178" s="868">
        <v>0.84202529163807505</v>
      </c>
      <c r="R178" s="867">
        <v>3735.8986175115188</v>
      </c>
      <c r="S178" s="867">
        <v>2894.1036866359432</v>
      </c>
      <c r="T178" s="867">
        <v>189.83131382488446</v>
      </c>
      <c r="U178" s="867">
        <v>27.087997442396301</v>
      </c>
      <c r="V178" s="877">
        <v>167.49654229000501</v>
      </c>
      <c r="W178" s="867">
        <v>2501.4542944353198</v>
      </c>
      <c r="X178" s="868">
        <v>0.36486890764116575</v>
      </c>
    </row>
    <row r="179" spans="16:24">
      <c r="P179" s="867">
        <v>40.310344827586199</v>
      </c>
      <c r="Q179" s="868">
        <v>0.14435414884516701</v>
      </c>
      <c r="R179" s="867">
        <v>360.68644067796623</v>
      </c>
      <c r="S179" s="867">
        <v>683.31355932203417</v>
      </c>
      <c r="T179" s="867">
        <v>52.036245762711886</v>
      </c>
      <c r="U179" s="867">
        <v>3.0573739576271199</v>
      </c>
      <c r="V179" s="877">
        <v>223.184711964549</v>
      </c>
      <c r="W179" s="867">
        <v>2501.4542944353198</v>
      </c>
      <c r="X179" s="868">
        <v>0.36486890764116575</v>
      </c>
    </row>
    <row r="180" spans="16:24">
      <c r="P180" s="867">
        <v>53.172413793103402</v>
      </c>
      <c r="Q180" s="868">
        <v>0.65369649805447505</v>
      </c>
      <c r="R180" s="867">
        <v>2133.7563218390806</v>
      </c>
      <c r="S180" s="867">
        <v>3244.1977011494255</v>
      </c>
      <c r="T180" s="867">
        <v>216.95683862068964</v>
      </c>
      <c r="U180" s="867">
        <v>16.111854225287356</v>
      </c>
      <c r="V180" s="877">
        <v>154.72309060846601</v>
      </c>
      <c r="W180" s="867">
        <v>2501.4542944353198</v>
      </c>
      <c r="X180" s="868">
        <v>0.36486890764116575</v>
      </c>
    </row>
    <row r="181" spans="16:24">
      <c r="P181" s="867">
        <v>45.697459584295601</v>
      </c>
      <c r="Q181" s="868">
        <v>0.75453580633749395</v>
      </c>
      <c r="R181" s="867">
        <v>3575.6859122401852</v>
      </c>
      <c r="S181" s="867">
        <v>3892.8498845265594</v>
      </c>
      <c r="T181" s="867">
        <v>254.55849422632795</v>
      </c>
      <c r="U181" s="867">
        <v>22.730417704387996</v>
      </c>
      <c r="V181" s="877">
        <v>216.52596718017401</v>
      </c>
      <c r="W181" s="867">
        <v>2501.4542944353198</v>
      </c>
      <c r="X181" s="868">
        <v>0.36486890764116575</v>
      </c>
    </row>
    <row r="182" spans="16:24">
      <c r="P182" s="867">
        <v>62.188505747126399</v>
      </c>
      <c r="Q182" s="868">
        <v>0.61237616442407194</v>
      </c>
      <c r="R182" s="867">
        <v>3131.5034482758656</v>
      </c>
      <c r="S182" s="867">
        <v>4228.1793103448326</v>
      </c>
      <c r="T182" s="867">
        <v>274.94225379310376</v>
      </c>
      <c r="U182" s="867">
        <v>18.492479581609217</v>
      </c>
      <c r="V182" s="877">
        <v>193.25487745985799</v>
      </c>
      <c r="W182" s="867">
        <v>2501.4542944353198</v>
      </c>
      <c r="X182" s="868">
        <v>0.36486890764116575</v>
      </c>
    </row>
    <row r="183" spans="16:24">
      <c r="P183" s="867">
        <v>57.139908256880702</v>
      </c>
      <c r="Q183" s="868">
        <v>0.75908160398185698</v>
      </c>
      <c r="R183" s="867">
        <v>3773.529816513756</v>
      </c>
      <c r="S183" s="867">
        <v>3732.2683486238479</v>
      </c>
      <c r="T183" s="867">
        <v>248.52565089908219</v>
      </c>
      <c r="U183" s="867">
        <v>27.742922201834823</v>
      </c>
      <c r="V183" s="877">
        <v>173.104131457882</v>
      </c>
      <c r="W183" s="867">
        <v>2501.4542944353198</v>
      </c>
      <c r="X183" s="868">
        <v>0.36486890764116575</v>
      </c>
    </row>
    <row r="184" spans="16:24">
      <c r="P184" s="867">
        <v>29.6773455377574</v>
      </c>
      <c r="Q184" s="868">
        <v>0.75811550620710899</v>
      </c>
      <c r="R184" s="867">
        <v>3550.3340961098424</v>
      </c>
      <c r="S184" s="867">
        <v>3435.0549199084694</v>
      </c>
      <c r="T184" s="867">
        <v>221.56132036613292</v>
      </c>
      <c r="U184" s="867">
        <v>23.828208729977135</v>
      </c>
      <c r="V184" s="877">
        <v>310.43461045565499</v>
      </c>
      <c r="W184" s="867">
        <v>2501.4542944353198</v>
      </c>
      <c r="X184" s="868">
        <v>0.36486890764116575</v>
      </c>
    </row>
    <row r="185" spans="16:24">
      <c r="P185" s="867">
        <v>42.444700460829502</v>
      </c>
      <c r="Q185" s="868">
        <v>0.85559958742739295</v>
      </c>
      <c r="R185" s="867">
        <v>2768.2534562211936</v>
      </c>
      <c r="S185" s="867">
        <v>4218.4631336405455</v>
      </c>
      <c r="T185" s="867">
        <v>271.5048082949304</v>
      </c>
      <c r="U185" s="867">
        <v>16.315612947004581</v>
      </c>
      <c r="V185" s="877">
        <v>192.388512150244</v>
      </c>
      <c r="W185" s="867">
        <v>2501.4542944353198</v>
      </c>
      <c r="X185" s="868">
        <v>0.36486890764116575</v>
      </c>
    </row>
    <row r="186" spans="16:24">
      <c r="P186" s="867">
        <v>48.839816933638502</v>
      </c>
      <c r="Q186" s="868">
        <v>0.82589139296256397</v>
      </c>
      <c r="R186" s="867">
        <v>3061.9633867276839</v>
      </c>
      <c r="S186" s="867">
        <v>3987.8695652173851</v>
      </c>
      <c r="T186" s="867">
        <v>261.98372265446181</v>
      </c>
      <c r="U186" s="867">
        <v>19.239549084668162</v>
      </c>
      <c r="V186" s="877">
        <v>174.775919895615</v>
      </c>
      <c r="W186" s="867">
        <v>2501.4542944353198</v>
      </c>
      <c r="X186" s="868">
        <v>0.36486890764116575</v>
      </c>
    </row>
    <row r="187" spans="16:24">
      <c r="P187" s="867">
        <v>61.997668997669003</v>
      </c>
      <c r="Q187" s="868">
        <v>0.65093807572282603</v>
      </c>
      <c r="R187" s="867">
        <v>4033.2983682983599</v>
      </c>
      <c r="S187" s="867">
        <v>4218.4778554778468</v>
      </c>
      <c r="T187" s="867">
        <v>280.16039999999941</v>
      </c>
      <c r="U187" s="867">
        <v>24.30519367132862</v>
      </c>
      <c r="V187" s="877">
        <v>204.471271876625</v>
      </c>
      <c r="W187" s="867">
        <v>2501.4542944353198</v>
      </c>
      <c r="X187" s="868">
        <v>0.36486890764116575</v>
      </c>
    </row>
    <row r="188" spans="16:24">
      <c r="P188" s="867">
        <v>24.755760368663601</v>
      </c>
      <c r="Q188" s="868">
        <v>0.599683544303797</v>
      </c>
      <c r="R188" s="867">
        <v>4060.8410138248878</v>
      </c>
      <c r="S188" s="867">
        <v>7379.1958525345681</v>
      </c>
      <c r="T188" s="867">
        <v>367.91237695852561</v>
      </c>
      <c r="U188" s="867">
        <v>19.192428380184346</v>
      </c>
      <c r="V188" s="877">
        <v>657.42929691137704</v>
      </c>
      <c r="W188" s="867">
        <v>2501.4542944353198</v>
      </c>
      <c r="X188" s="868">
        <v>0.36486890764116575</v>
      </c>
    </row>
    <row r="189" spans="16:24">
      <c r="P189" s="867">
        <v>25.0394431554524</v>
      </c>
      <c r="Q189" s="868">
        <v>0.57181245366938505</v>
      </c>
      <c r="R189" s="867">
        <v>2021.6218097447793</v>
      </c>
      <c r="S189" s="867">
        <v>6831.0185614849179</v>
      </c>
      <c r="T189" s="867">
        <v>438.50747610208811</v>
      </c>
      <c r="U189" s="867">
        <v>12.952750048723896</v>
      </c>
      <c r="V189" s="877">
        <v>618.29331550802101</v>
      </c>
      <c r="W189" s="867">
        <v>2501.4542944353198</v>
      </c>
      <c r="X189" s="868">
        <v>0.36486890764116575</v>
      </c>
    </row>
    <row r="190" spans="16:24">
      <c r="P190" s="867">
        <v>19.3348837209302</v>
      </c>
      <c r="Q190" s="868">
        <v>0.66117392350252602</v>
      </c>
      <c r="R190" s="867">
        <v>2697.988452655889</v>
      </c>
      <c r="S190" s="867">
        <v>5069.9191685912238</v>
      </c>
      <c r="T190" s="867">
        <v>327.39437182448034</v>
      </c>
      <c r="U190" s="867">
        <v>14.448714540415702</v>
      </c>
      <c r="V190" s="877">
        <v>610.18759333091703</v>
      </c>
      <c r="W190" s="867">
        <v>2501.4542944353198</v>
      </c>
      <c r="X190" s="868">
        <v>0.36486890764116575</v>
      </c>
    </row>
    <row r="191" spans="16:24">
      <c r="P191" s="867">
        <v>22.3680781758958</v>
      </c>
      <c r="Q191" s="868">
        <v>0.52978010776175899</v>
      </c>
      <c r="R191" s="867">
        <v>2135.6574712643674</v>
      </c>
      <c r="S191" s="867">
        <v>7547.8229885057463</v>
      </c>
      <c r="T191" s="867">
        <v>465.12949241379306</v>
      </c>
      <c r="U191" s="867">
        <v>13.085280878160919</v>
      </c>
      <c r="V191" s="877">
        <v>808.10320650019798</v>
      </c>
      <c r="W191" s="867">
        <v>2501.4542944353198</v>
      </c>
      <c r="X191" s="868">
        <v>0.36486890764116575</v>
      </c>
    </row>
    <row r="192" spans="16:24">
      <c r="P192" s="867">
        <v>25.950331125827802</v>
      </c>
      <c r="Q192" s="868">
        <v>0.50082939900472101</v>
      </c>
      <c r="R192" s="867">
        <v>2097.8883720930253</v>
      </c>
      <c r="S192" s="867">
        <v>6061.9069767441924</v>
      </c>
      <c r="T192" s="867">
        <v>391.19412558139572</v>
      </c>
      <c r="U192" s="867">
        <v>10.679191093023267</v>
      </c>
      <c r="V192" s="877">
        <v>609.36272664119497</v>
      </c>
      <c r="W192" s="867">
        <v>2501.4542944353198</v>
      </c>
      <c r="X192" s="868">
        <v>0.36486890764116575</v>
      </c>
    </row>
    <row r="193" spans="16:24">
      <c r="P193" s="867">
        <v>25.883990719257501</v>
      </c>
      <c r="Q193" s="868">
        <v>0.38858013624955201</v>
      </c>
      <c r="R193" s="867">
        <v>1733.2088167053389</v>
      </c>
      <c r="S193" s="867">
        <v>3196.4501160092855</v>
      </c>
      <c r="T193" s="867">
        <v>231.26046264501193</v>
      </c>
      <c r="U193" s="867">
        <v>14.277804538283082</v>
      </c>
      <c r="V193" s="877">
        <v>490.12290196078402</v>
      </c>
      <c r="W193" s="867">
        <v>1586.1500308831457</v>
      </c>
      <c r="X193" s="868">
        <v>1.8844582521497788E-2</v>
      </c>
    </row>
    <row r="194" spans="16:24">
      <c r="P194" s="867">
        <v>54.589449541284402</v>
      </c>
      <c r="Q194" s="868">
        <v>0.58392504516617005</v>
      </c>
      <c r="R194" s="867">
        <v>2570.6513761467904</v>
      </c>
      <c r="S194" s="867">
        <v>4683.6330275229384</v>
      </c>
      <c r="T194" s="867">
        <v>322.55812477064234</v>
      </c>
      <c r="U194" s="867">
        <v>23.990667165137626</v>
      </c>
      <c r="V194" s="877">
        <v>224.472522665132</v>
      </c>
      <c r="W194" s="867">
        <v>1969.9340858657986</v>
      </c>
      <c r="X194" s="868">
        <v>0.4596761866374609</v>
      </c>
    </row>
    <row r="195" spans="16:24">
      <c r="P195" s="867">
        <v>66.0750670241287</v>
      </c>
      <c r="Q195" s="868">
        <v>0.107644242473424</v>
      </c>
      <c r="R195" s="867">
        <v>513.759791122715</v>
      </c>
      <c r="S195" s="867">
        <v>673.27154046997339</v>
      </c>
      <c r="T195" s="867">
        <v>51.327713838120069</v>
      </c>
      <c r="U195" s="867">
        <v>5.8665185274151392</v>
      </c>
      <c r="V195" s="877">
        <v>185.04960966542799</v>
      </c>
      <c r="W195" s="867">
        <v>1969.9340858657986</v>
      </c>
      <c r="X195" s="868">
        <v>0.4596761866374609</v>
      </c>
    </row>
    <row r="196" spans="16:24">
      <c r="P196" s="867">
        <v>59.155963302752298</v>
      </c>
      <c r="Q196" s="868">
        <v>0.50763802729528495</v>
      </c>
      <c r="R196" s="867">
        <v>2960.5940366972468</v>
      </c>
      <c r="S196" s="867">
        <v>4158.1720183486232</v>
      </c>
      <c r="T196" s="867">
        <v>293.99404601834857</v>
      </c>
      <c r="U196" s="867">
        <v>27.363820791284397</v>
      </c>
      <c r="V196" s="877">
        <v>235.45583441533699</v>
      </c>
      <c r="W196" s="867">
        <v>1969.9340858657986</v>
      </c>
      <c r="X196" s="868">
        <v>0.4596761866374609</v>
      </c>
    </row>
    <row r="197" spans="16:24">
      <c r="P197" s="867">
        <v>73.889908256880702</v>
      </c>
      <c r="Q197" s="868">
        <v>0.32800471815247101</v>
      </c>
      <c r="R197" s="867">
        <v>2569.2087155963313</v>
      </c>
      <c r="S197" s="867">
        <v>3955.3165137614697</v>
      </c>
      <c r="T197" s="867">
        <v>285.69410825688084</v>
      </c>
      <c r="U197" s="867">
        <v>27.742768151376158</v>
      </c>
      <c r="V197" s="877">
        <v>272.18554745907102</v>
      </c>
      <c r="W197" s="867">
        <v>1969.9340858657986</v>
      </c>
      <c r="X197" s="868">
        <v>0.4596761866374609</v>
      </c>
    </row>
    <row r="198" spans="16:24">
      <c r="P198" s="867">
        <v>58.5704387990762</v>
      </c>
      <c r="Q198" s="868">
        <v>0.36587673987618802</v>
      </c>
      <c r="R198" s="867">
        <v>2017.8545034642057</v>
      </c>
      <c r="S198" s="867">
        <v>4825.3833718244859</v>
      </c>
      <c r="T198" s="867">
        <v>338.32936720554312</v>
      </c>
      <c r="U198" s="867">
        <v>16.976048048498868</v>
      </c>
      <c r="V198" s="877">
        <v>316.44608255199898</v>
      </c>
      <c r="W198" s="867">
        <v>1969.9340858657986</v>
      </c>
      <c r="X198" s="868">
        <v>0.4596761866374609</v>
      </c>
    </row>
    <row r="199" spans="16:24">
      <c r="P199" s="867">
        <v>63.529816513761503</v>
      </c>
      <c r="Q199" s="868">
        <v>0.44788620527816903</v>
      </c>
      <c r="R199" s="867">
        <v>2099.8784403669733</v>
      </c>
      <c r="S199" s="867">
        <v>4176.6032110091755</v>
      </c>
      <c r="T199" s="867">
        <v>296.22091376146801</v>
      </c>
      <c r="U199" s="867">
        <v>19.620528456422026</v>
      </c>
      <c r="V199" s="877">
        <v>223.26947041753999</v>
      </c>
      <c r="W199" s="867">
        <v>1969.9340858657986</v>
      </c>
      <c r="X199" s="868">
        <v>0.4596761866374609</v>
      </c>
    </row>
    <row r="200" spans="16:24">
      <c r="P200" s="867">
        <v>46.889908256880702</v>
      </c>
      <c r="Q200" s="868">
        <v>0.51428291919389602</v>
      </c>
      <c r="R200" s="867">
        <v>2447.5252293578005</v>
      </c>
      <c r="S200" s="867">
        <v>3703.3532110091783</v>
      </c>
      <c r="T200" s="867">
        <v>257.03017431192688</v>
      </c>
      <c r="U200" s="867">
        <v>22.914641988532136</v>
      </c>
      <c r="V200" s="877">
        <v>255.15685466996399</v>
      </c>
      <c r="W200" s="867">
        <v>1969.9340858657986</v>
      </c>
      <c r="X200" s="868">
        <v>0.4596761866374609</v>
      </c>
    </row>
    <row r="201" spans="16:24">
      <c r="P201" s="867">
        <v>44.435897435897402</v>
      </c>
      <c r="Q201" s="868">
        <v>0.80249698368567401</v>
      </c>
      <c r="R201" s="867">
        <v>4048.4620689655167</v>
      </c>
      <c r="S201" s="867">
        <v>5371.0735632183905</v>
      </c>
      <c r="T201" s="867">
        <v>381.28562942528731</v>
      </c>
      <c r="U201" s="867">
        <v>39.601939080459765</v>
      </c>
      <c r="V201" s="877">
        <v>265.02091257220798</v>
      </c>
      <c r="W201" s="867">
        <v>1969.9340858657986</v>
      </c>
      <c r="X201" s="868">
        <v>0.4596761866374609</v>
      </c>
    </row>
    <row r="202" spans="16:24">
      <c r="P202" s="867">
        <v>51.406896551724103</v>
      </c>
      <c r="Q202" s="868">
        <v>0.425275020123424</v>
      </c>
      <c r="R202" s="867">
        <v>2757.3333333333371</v>
      </c>
      <c r="S202" s="867">
        <v>3058.5793103448318</v>
      </c>
      <c r="T202" s="867">
        <v>211.01200367816122</v>
      </c>
      <c r="U202" s="867">
        <v>29.821177388505792</v>
      </c>
      <c r="V202" s="877">
        <v>258.12895162986302</v>
      </c>
      <c r="W202" s="867">
        <v>1969.9340858657986</v>
      </c>
      <c r="X202" s="868">
        <v>0.4596761866374609</v>
      </c>
    </row>
    <row r="203" spans="16:24">
      <c r="P203" s="867">
        <v>90.303448275862095</v>
      </c>
      <c r="Q203" s="868">
        <v>0.37793391375184598</v>
      </c>
      <c r="R203" s="867">
        <v>1972.4068965517245</v>
      </c>
      <c r="S203" s="867">
        <v>3676.3609195402305</v>
      </c>
      <c r="T203" s="867">
        <v>257.59675586206902</v>
      </c>
      <c r="U203" s="867">
        <v>23.398106800000004</v>
      </c>
      <c r="V203" s="877">
        <v>166.77797319143201</v>
      </c>
      <c r="W203" s="867">
        <v>1969.9340858657986</v>
      </c>
      <c r="X203" s="868">
        <v>0.4596761866374609</v>
      </c>
    </row>
    <row r="204" spans="16:24">
      <c r="P204" s="867">
        <v>71.766949152542395</v>
      </c>
      <c r="Q204" s="868">
        <v>1.50557950050186E-2</v>
      </c>
      <c r="R204" s="867">
        <v>53.755186721991713</v>
      </c>
      <c r="S204" s="867">
        <v>86.639004149377612</v>
      </c>
      <c r="T204" s="867">
        <v>6.7671004149377607</v>
      </c>
      <c r="U204" s="867">
        <v>1.4611042240663905</v>
      </c>
      <c r="V204" s="877">
        <v>198.016283524904</v>
      </c>
      <c r="W204" s="867">
        <v>1969.9340858657986</v>
      </c>
      <c r="X204" s="868">
        <v>0.4596761866374609</v>
      </c>
    </row>
    <row r="205" spans="16:24">
      <c r="P205" s="867">
        <v>71.508045977011506</v>
      </c>
      <c r="Q205" s="868">
        <v>0.37021796437986199</v>
      </c>
      <c r="R205" s="867">
        <v>2462.3977011494248</v>
      </c>
      <c r="S205" s="867">
        <v>4267.572413793102</v>
      </c>
      <c r="T205" s="867">
        <v>302.48913655172407</v>
      </c>
      <c r="U205" s="867">
        <v>26.564736432183899</v>
      </c>
      <c r="V205" s="877">
        <v>254.21468304966999</v>
      </c>
      <c r="W205" s="867">
        <v>1969.9340858657986</v>
      </c>
      <c r="X205" s="868">
        <v>0.4596761866374609</v>
      </c>
    </row>
    <row r="206" spans="16:24">
      <c r="P206" s="867">
        <v>96.025229357798196</v>
      </c>
      <c r="Q206" s="868">
        <v>0.26245013972818698</v>
      </c>
      <c r="R206" s="867">
        <v>3139.0137614678906</v>
      </c>
      <c r="S206" s="867">
        <v>4231.8233944954136</v>
      </c>
      <c r="T206" s="867">
        <v>300.04223302752303</v>
      </c>
      <c r="U206" s="867">
        <v>27.47224304357799</v>
      </c>
      <c r="V206" s="877">
        <v>292.472086821988</v>
      </c>
      <c r="W206" s="867">
        <v>1969.9340858657986</v>
      </c>
      <c r="X206" s="868">
        <v>0.4596761866374609</v>
      </c>
    </row>
    <row r="207" spans="16:24">
      <c r="P207" s="867">
        <v>27.2229885057471</v>
      </c>
      <c r="Q207" s="868">
        <v>0.42011484546529299</v>
      </c>
      <c r="R207" s="867">
        <v>708.30114942528621</v>
      </c>
      <c r="S207" s="867">
        <v>3823.7816091953964</v>
      </c>
      <c r="T207" s="867">
        <v>260.58472275862027</v>
      </c>
      <c r="U207" s="867">
        <v>7.0142888505747019</v>
      </c>
      <c r="V207" s="877">
        <v>396.27157788944697</v>
      </c>
      <c r="W207" s="867">
        <v>1406.8633675876576</v>
      </c>
      <c r="X207" s="868">
        <v>0.26354189815334916</v>
      </c>
    </row>
    <row r="208" spans="16:24">
      <c r="P208" s="867">
        <v>63.802752293578003</v>
      </c>
      <c r="Q208" s="868">
        <v>0.61769357969659899</v>
      </c>
      <c r="R208" s="867">
        <v>2448.4541284403654</v>
      </c>
      <c r="S208" s="867">
        <v>4166.394495412841</v>
      </c>
      <c r="T208" s="867">
        <v>286.60702385321082</v>
      </c>
      <c r="U208" s="867">
        <v>21.543497373853196</v>
      </c>
      <c r="V208" s="877">
        <v>167.844564977012</v>
      </c>
      <c r="W208" s="867">
        <v>1889.2641835913792</v>
      </c>
      <c r="X208" s="868">
        <v>0.44366733396585711</v>
      </c>
    </row>
    <row r="209" spans="16:24">
      <c r="P209" s="867">
        <v>41.990762124711303</v>
      </c>
      <c r="Q209" s="868">
        <v>0.53376966230337697</v>
      </c>
      <c r="R209" s="867">
        <v>2082.9168591224043</v>
      </c>
      <c r="S209" s="867">
        <v>4315.1593533487348</v>
      </c>
      <c r="T209" s="867">
        <v>291.95245635103959</v>
      </c>
      <c r="U209" s="867">
        <v>16.126436420323344</v>
      </c>
      <c r="V209" s="877">
        <v>279.58850798557501</v>
      </c>
      <c r="W209" s="867">
        <v>1889.2641835913792</v>
      </c>
      <c r="X209" s="868">
        <v>0.44366733396585711</v>
      </c>
    </row>
    <row r="210" spans="16:24">
      <c r="P210" s="867">
        <v>52.894736842105303</v>
      </c>
      <c r="Q210" s="868">
        <v>0.50945273631840804</v>
      </c>
      <c r="R210" s="867">
        <v>1859.5057208237974</v>
      </c>
      <c r="S210" s="867">
        <v>3492.2951945080067</v>
      </c>
      <c r="T210" s="867">
        <v>244.41587002288313</v>
      </c>
      <c r="U210" s="867">
        <v>16.258649068649873</v>
      </c>
      <c r="V210" s="877">
        <v>198.572721637228</v>
      </c>
      <c r="W210" s="867">
        <v>1889.2641835913792</v>
      </c>
      <c r="X210" s="868">
        <v>0.44366733396585711</v>
      </c>
    </row>
    <row r="211" spans="16:24">
      <c r="P211" s="867">
        <v>51.811926605504603</v>
      </c>
      <c r="Q211" s="868">
        <v>0.68782647189021695</v>
      </c>
      <c r="R211" s="867">
        <v>2521.9334862385335</v>
      </c>
      <c r="S211" s="867">
        <v>4297.3142201834889</v>
      </c>
      <c r="T211" s="867">
        <v>297.69935229357816</v>
      </c>
      <c r="U211" s="867">
        <v>28.04977795183488</v>
      </c>
      <c r="V211" s="877">
        <v>191.3497702407</v>
      </c>
      <c r="W211" s="867">
        <v>1889.2641835913792</v>
      </c>
      <c r="X211" s="868">
        <v>0.44366733396585711</v>
      </c>
    </row>
    <row r="212" spans="16:24">
      <c r="P212" s="867">
        <v>48.839816933638502</v>
      </c>
      <c r="Q212" s="868">
        <v>0.51501663308813195</v>
      </c>
      <c r="R212" s="867">
        <v>2482.7482837528569</v>
      </c>
      <c r="S212" s="867">
        <v>4038.7414187642962</v>
      </c>
      <c r="T212" s="867">
        <v>280.65483708924444</v>
      </c>
      <c r="U212" s="867">
        <v>28.609651254004536</v>
      </c>
      <c r="V212" s="877">
        <v>259.26925127365399</v>
      </c>
      <c r="W212" s="867">
        <v>1889.2641835913792</v>
      </c>
      <c r="X212" s="868">
        <v>0.44366733396585711</v>
      </c>
    </row>
    <row r="213" spans="16:24">
      <c r="P213" s="867">
        <v>46.139588100686503</v>
      </c>
      <c r="Q213" s="868">
        <v>0.61062341913405704</v>
      </c>
      <c r="R213" s="867">
        <v>2981.265446224259</v>
      </c>
      <c r="S213" s="867">
        <v>4118.4622425629332</v>
      </c>
      <c r="T213" s="867">
        <v>288.64335011441676</v>
      </c>
      <c r="U213" s="867">
        <v>34.035685869565249</v>
      </c>
      <c r="V213" s="877">
        <v>251.17618745938901</v>
      </c>
      <c r="W213" s="867">
        <v>1889.2641835913792</v>
      </c>
      <c r="X213" s="868">
        <v>0.44366733396585711</v>
      </c>
    </row>
    <row r="214" spans="16:24">
      <c r="P214" s="867">
        <v>48.2997711670481</v>
      </c>
      <c r="Q214" s="868">
        <v>0.32297342113990601</v>
      </c>
      <c r="R214" s="867">
        <v>2440.6384439359254</v>
      </c>
      <c r="S214" s="867">
        <v>2884.4691075514861</v>
      </c>
      <c r="T214" s="867">
        <v>195.8277070938214</v>
      </c>
      <c r="U214" s="867">
        <v>16.366125780320356</v>
      </c>
      <c r="V214" s="877">
        <v>290.35269913451702</v>
      </c>
      <c r="W214" s="867">
        <v>1889.2641835913792</v>
      </c>
      <c r="X214" s="868">
        <v>0.44366733396585711</v>
      </c>
    </row>
    <row r="215" spans="16:24">
      <c r="P215" s="867">
        <v>38.855504587155998</v>
      </c>
      <c r="Q215" s="868">
        <v>0.62971489286346705</v>
      </c>
      <c r="R215" s="867">
        <v>2324.0642201834876</v>
      </c>
      <c r="S215" s="867">
        <v>3269.9610091743139</v>
      </c>
      <c r="T215" s="867">
        <v>220.78823302752303</v>
      </c>
      <c r="U215" s="867">
        <v>18.407644130733953</v>
      </c>
      <c r="V215" s="877">
        <v>227.68897262842199</v>
      </c>
      <c r="W215" s="867">
        <v>1889.2641835913792</v>
      </c>
      <c r="X215" s="868">
        <v>0.44366733396585711</v>
      </c>
    </row>
    <row r="216" spans="16:24">
      <c r="P216" s="867">
        <v>67.505720823798598</v>
      </c>
      <c r="Q216" s="868">
        <v>0.51891525423728802</v>
      </c>
      <c r="R216" s="867">
        <v>2300.990846681917</v>
      </c>
      <c r="S216" s="867">
        <v>5499.324942791749</v>
      </c>
      <c r="T216" s="867">
        <v>373.40664164759642</v>
      </c>
      <c r="U216" s="867">
        <v>17.207668574370668</v>
      </c>
      <c r="V216" s="877">
        <v>222.67701201985901</v>
      </c>
      <c r="W216" s="867">
        <v>2865.9870486706945</v>
      </c>
      <c r="X216" s="868">
        <v>0.52818513408007661</v>
      </c>
    </row>
    <row r="217" spans="16:24">
      <c r="P217" s="867">
        <v>74.958810068649896</v>
      </c>
      <c r="Q217" s="868">
        <v>0.40837072992032197</v>
      </c>
      <c r="R217" s="867">
        <v>1872.4027459954223</v>
      </c>
      <c r="S217" s="867">
        <v>4863.7231121281438</v>
      </c>
      <c r="T217" s="867">
        <v>339.58515331807763</v>
      </c>
      <c r="U217" s="867">
        <v>15.338337183066354</v>
      </c>
      <c r="V217" s="877">
        <v>220.05611347835799</v>
      </c>
      <c r="W217" s="867">
        <v>2865.9870486706945</v>
      </c>
      <c r="X217" s="868">
        <v>0.52818513408007661</v>
      </c>
    </row>
    <row r="218" spans="16:24">
      <c r="P218" s="867">
        <v>69.526436781609206</v>
      </c>
      <c r="Q218" s="868">
        <v>0.42663007538685399</v>
      </c>
      <c r="R218" s="867">
        <v>1996.3356321839083</v>
      </c>
      <c r="S218" s="867">
        <v>5656.264367816093</v>
      </c>
      <c r="T218" s="867">
        <v>389.57744000000008</v>
      </c>
      <c r="U218" s="867">
        <v>15.246323570114944</v>
      </c>
      <c r="V218" s="877">
        <v>257.99294040145702</v>
      </c>
      <c r="W218" s="867">
        <v>2865.9870486706945</v>
      </c>
      <c r="X218" s="868">
        <v>0.52818513408007661</v>
      </c>
    </row>
    <row r="219" spans="16:24">
      <c r="P219" s="867">
        <v>51.7133027522936</v>
      </c>
      <c r="Q219" s="868">
        <v>0.63751275114205896</v>
      </c>
      <c r="R219" s="867">
        <v>2244.0917431192629</v>
      </c>
      <c r="S219" s="867">
        <v>5811.7660550458631</v>
      </c>
      <c r="T219" s="867">
        <v>400.64876330275172</v>
      </c>
      <c r="U219" s="867">
        <v>17.142255096330249</v>
      </c>
      <c r="V219" s="877">
        <v>244.35436065117599</v>
      </c>
      <c r="W219" s="867">
        <v>2865.9870486706945</v>
      </c>
      <c r="X219" s="868">
        <v>0.52818513408007661</v>
      </c>
    </row>
    <row r="220" spans="16:24">
      <c r="P220" s="867">
        <v>71.525229357798196</v>
      </c>
      <c r="Q220" s="868">
        <v>0.56947250280583595</v>
      </c>
      <c r="R220" s="867">
        <v>3884.6743119266021</v>
      </c>
      <c r="S220" s="867">
        <v>6579.8761467889844</v>
      </c>
      <c r="T220" s="867">
        <v>463.22791559632986</v>
      </c>
      <c r="U220" s="867">
        <v>29.924904064220154</v>
      </c>
      <c r="V220" s="877">
        <v>256.914124106087</v>
      </c>
      <c r="W220" s="867">
        <v>2865.9870486706945</v>
      </c>
      <c r="X220" s="868">
        <v>0.52818513408007661</v>
      </c>
    </row>
    <row r="221" spans="16:24">
      <c r="P221" s="867">
        <v>64.396788990825698</v>
      </c>
      <c r="Q221" s="868">
        <v>0.52836841542899904</v>
      </c>
      <c r="R221" s="867">
        <v>2020.4678899082548</v>
      </c>
      <c r="S221" s="867">
        <v>5582.2408256880672</v>
      </c>
      <c r="T221" s="867">
        <v>379.3851009174308</v>
      </c>
      <c r="U221" s="867">
        <v>15.489292286697232</v>
      </c>
      <c r="V221" s="877">
        <v>223.44306909336001</v>
      </c>
      <c r="W221" s="867">
        <v>2865.9870486706945</v>
      </c>
      <c r="X221" s="868">
        <v>0.52818513408007661</v>
      </c>
    </row>
    <row r="222" spans="16:24">
      <c r="P222" s="867">
        <v>73.203661327231103</v>
      </c>
      <c r="Q222" s="868">
        <v>0.629853079087215</v>
      </c>
      <c r="R222" s="867">
        <v>2819.114416475968</v>
      </c>
      <c r="S222" s="867">
        <v>8089.1212814645187</v>
      </c>
      <c r="T222" s="867">
        <v>562.57644851258488</v>
      </c>
      <c r="U222" s="867">
        <v>19.259746556064041</v>
      </c>
      <c r="V222" s="877">
        <v>236.58238374112901</v>
      </c>
      <c r="W222" s="867">
        <v>2865.9870486706945</v>
      </c>
      <c r="X222" s="868">
        <v>0.52818513408007661</v>
      </c>
    </row>
    <row r="223" spans="16:24">
      <c r="P223" s="867">
        <v>54.430205949656802</v>
      </c>
      <c r="Q223" s="868">
        <v>0.63772807533843401</v>
      </c>
      <c r="R223" s="867">
        <v>3720.3524027459989</v>
      </c>
      <c r="S223" s="867">
        <v>5630.6247139588149</v>
      </c>
      <c r="T223" s="867">
        <v>392.42115331807815</v>
      </c>
      <c r="U223" s="867">
        <v>28.669280505720852</v>
      </c>
      <c r="V223" s="877">
        <v>269.38969740918998</v>
      </c>
      <c r="W223" s="867">
        <v>2865.9870486706945</v>
      </c>
      <c r="X223" s="868">
        <v>0.52818513408007661</v>
      </c>
    </row>
    <row r="224" spans="16:24">
      <c r="P224" s="867">
        <v>84.885583524027496</v>
      </c>
      <c r="Q224" s="868">
        <v>0.51546030462326498</v>
      </c>
      <c r="R224" s="867">
        <v>2908.1830663615519</v>
      </c>
      <c r="S224" s="867">
        <v>6858.2631578947266</v>
      </c>
      <c r="T224" s="867">
        <v>477.32953226544555</v>
      </c>
      <c r="U224" s="867">
        <v>23.656503510297451</v>
      </c>
      <c r="V224" s="877">
        <v>223.20667172219001</v>
      </c>
      <c r="W224" s="867">
        <v>2865.9870486706945</v>
      </c>
      <c r="X224" s="868">
        <v>0.52818513408007661</v>
      </c>
    </row>
    <row r="225" spans="16:24">
      <c r="P225" s="867">
        <v>81.029816513761503</v>
      </c>
      <c r="Q225" s="868">
        <v>0.70024625661637796</v>
      </c>
      <c r="R225" s="867">
        <v>2763.5642201834939</v>
      </c>
      <c r="S225" s="867">
        <v>7071.9288990825889</v>
      </c>
      <c r="T225" s="867">
        <v>483.24742752293486</v>
      </c>
      <c r="U225" s="867">
        <v>23.416723412844107</v>
      </c>
      <c r="V225" s="877">
        <v>173.34080116415399</v>
      </c>
      <c r="W225" s="867">
        <v>2865.9870486706945</v>
      </c>
      <c r="X225" s="868">
        <v>0.52818513408007661</v>
      </c>
    </row>
    <row r="226" spans="16:24">
      <c r="P226" s="867">
        <v>72.681922196796293</v>
      </c>
      <c r="Q226" s="868">
        <v>0.63072224670990495</v>
      </c>
      <c r="R226" s="867">
        <v>3882.5148741418839</v>
      </c>
      <c r="S226" s="867">
        <v>6637.3295194508137</v>
      </c>
      <c r="T226" s="867">
        <v>466.35931167047914</v>
      </c>
      <c r="U226" s="867">
        <v>35.213267137299837</v>
      </c>
      <c r="V226" s="877">
        <v>229.479869215794</v>
      </c>
      <c r="W226" s="867">
        <v>2865.9870486706945</v>
      </c>
      <c r="X226" s="868">
        <v>0.52818513408007661</v>
      </c>
    </row>
    <row r="227" spans="16:24">
      <c r="P227" s="867">
        <v>76.116704805492006</v>
      </c>
      <c r="Q227" s="868">
        <v>0.56477166821994396</v>
      </c>
      <c r="R227" s="867">
        <v>6398.9290617848901</v>
      </c>
      <c r="S227" s="867">
        <v>6190.7711670480485</v>
      </c>
      <c r="T227" s="867">
        <v>419.52025812356936</v>
      </c>
      <c r="U227" s="867">
        <v>43.151566977116659</v>
      </c>
      <c r="V227" s="877">
        <v>292.86155009049298</v>
      </c>
      <c r="W227" s="867">
        <v>2865.9870486706945</v>
      </c>
      <c r="X227" s="868">
        <v>0.52818513408007661</v>
      </c>
    </row>
    <row r="228" spans="16:24">
      <c r="P228" s="867">
        <v>64.988558352402805</v>
      </c>
      <c r="Q228" s="868">
        <v>0.70028169014084496</v>
      </c>
      <c r="R228" s="867">
        <v>2384.1647597253968</v>
      </c>
      <c r="S228" s="867">
        <v>4769.4118993134944</v>
      </c>
      <c r="T228" s="867">
        <v>329.54994050343203</v>
      </c>
      <c r="U228" s="867">
        <v>21.879235819221936</v>
      </c>
      <c r="V228" s="877">
        <v>154.83105390185</v>
      </c>
      <c r="W228" s="867">
        <v>2263.4604844889545</v>
      </c>
      <c r="X228" s="868">
        <v>0.44922462586922096</v>
      </c>
    </row>
    <row r="229" spans="16:24">
      <c r="P229" s="867">
        <v>63.482837528604101</v>
      </c>
      <c r="Q229" s="868">
        <v>0.71162857760795895</v>
      </c>
      <c r="R229" s="867">
        <v>2812.9016018306602</v>
      </c>
      <c r="S229" s="867">
        <v>5376.2356979404967</v>
      </c>
      <c r="T229" s="867">
        <v>375.14769061784847</v>
      </c>
      <c r="U229" s="867">
        <v>22.959661267734525</v>
      </c>
      <c r="V229" s="877">
        <v>181.27096900010099</v>
      </c>
      <c r="W229" s="867">
        <v>2263.4604844889545</v>
      </c>
      <c r="X229" s="868">
        <v>0.44922462586922096</v>
      </c>
    </row>
    <row r="230" spans="16:24">
      <c r="P230" s="867">
        <v>52.292906178489702</v>
      </c>
      <c r="Q230" s="868">
        <v>0.59268335375459502</v>
      </c>
      <c r="R230" s="867">
        <v>1770.7826086956522</v>
      </c>
      <c r="S230" s="867">
        <v>5146.894736842105</v>
      </c>
      <c r="T230" s="867">
        <v>355.84485801372995</v>
      </c>
      <c r="U230" s="867">
        <v>17.110729389016019</v>
      </c>
      <c r="V230" s="877">
        <v>223.21656600708801</v>
      </c>
      <c r="W230" s="867">
        <v>2263.4604844889545</v>
      </c>
      <c r="X230" s="868">
        <v>0.44922462586922096</v>
      </c>
    </row>
    <row r="231" spans="16:24">
      <c r="P231" s="867">
        <v>60.713958810068704</v>
      </c>
      <c r="Q231" s="868">
        <v>0.78041610131162398</v>
      </c>
      <c r="R231" s="867">
        <v>2224.9588100686478</v>
      </c>
      <c r="S231" s="867">
        <v>5248.7620137299728</v>
      </c>
      <c r="T231" s="867">
        <v>375.13156979405005</v>
      </c>
      <c r="U231" s="867">
        <v>22.133473771167026</v>
      </c>
      <c r="V231" s="877">
        <v>159.994454747416</v>
      </c>
      <c r="W231" s="867">
        <v>2263.4604844889545</v>
      </c>
      <c r="X231" s="868">
        <v>0.44922462586922096</v>
      </c>
    </row>
    <row r="232" spans="16:24">
      <c r="P232" s="867">
        <v>61.216704288939098</v>
      </c>
      <c r="Q232" s="868">
        <v>0.75489509200191796</v>
      </c>
      <c r="R232" s="867">
        <v>2639.6884875846522</v>
      </c>
      <c r="S232" s="867">
        <v>8958.7562076749509</v>
      </c>
      <c r="T232" s="867">
        <v>667.11711602708635</v>
      </c>
      <c r="U232" s="867">
        <v>25.760236602708826</v>
      </c>
      <c r="V232" s="877">
        <v>250.98245408362601</v>
      </c>
      <c r="W232" s="867">
        <v>3597.2918502060097</v>
      </c>
      <c r="X232" s="868">
        <v>0.53398902513540558</v>
      </c>
    </row>
    <row r="233" spans="16:24">
      <c r="P233" s="867">
        <v>91.883295194507994</v>
      </c>
      <c r="Q233" s="868">
        <v>0.38355789106666999</v>
      </c>
      <c r="R233" s="867">
        <v>2538.2425629290569</v>
      </c>
      <c r="S233" s="867">
        <v>6082.8878718535352</v>
      </c>
      <c r="T233" s="867">
        <v>415.07897116704726</v>
      </c>
      <c r="U233" s="867">
        <v>19.575526942791722</v>
      </c>
      <c r="V233" s="877">
        <v>245.74284137393701</v>
      </c>
      <c r="W233" s="867">
        <v>2854.7551675604168</v>
      </c>
      <c r="X233" s="868">
        <v>0.60502184736625053</v>
      </c>
    </row>
    <row r="234" spans="16:24">
      <c r="P234" s="867">
        <v>62.3196347031964</v>
      </c>
      <c r="Q234" s="868">
        <v>0.63866500586166497</v>
      </c>
      <c r="R234" s="867">
        <v>3748.8219178082163</v>
      </c>
      <c r="S234" s="867">
        <v>9176.196347031957</v>
      </c>
      <c r="T234" s="867">
        <v>617.43329315068456</v>
      </c>
      <c r="U234" s="867">
        <v>27.095747317351577</v>
      </c>
      <c r="V234" s="877">
        <v>324.73776056903603</v>
      </c>
      <c r="W234" s="867">
        <v>2854.7551675604168</v>
      </c>
      <c r="X234" s="868">
        <v>0.60502184736625053</v>
      </c>
    </row>
    <row r="235" spans="16:24">
      <c r="P235" s="867">
        <v>48.601830663615601</v>
      </c>
      <c r="Q235" s="868">
        <v>0.86727247045529499</v>
      </c>
      <c r="R235" s="867">
        <v>4401.3363844393607</v>
      </c>
      <c r="S235" s="867">
        <v>7989.5537757437096</v>
      </c>
      <c r="T235" s="867">
        <v>527.89249610983995</v>
      </c>
      <c r="U235" s="867">
        <v>31.845431750572093</v>
      </c>
      <c r="V235" s="877">
        <v>287.11550597177001</v>
      </c>
      <c r="W235" s="867">
        <v>2854.7551675604168</v>
      </c>
      <c r="X235" s="868">
        <v>0.60502184736625053</v>
      </c>
    </row>
    <row r="236" spans="16:24">
      <c r="P236" s="867">
        <v>41.676404494381998</v>
      </c>
      <c r="Q236" s="868">
        <v>0.82308853661166803</v>
      </c>
      <c r="R236" s="867">
        <v>5322.3033707865161</v>
      </c>
      <c r="S236" s="867">
        <v>9109.9146067415713</v>
      </c>
      <c r="T236" s="867">
        <v>613.12904938426959</v>
      </c>
      <c r="U236" s="867">
        <v>43.474514157303368</v>
      </c>
      <c r="V236" s="877">
        <v>423.83486668850298</v>
      </c>
      <c r="W236" s="867">
        <v>2854.7551675604168</v>
      </c>
      <c r="X236" s="868">
        <v>0.60502184736625053</v>
      </c>
    </row>
    <row r="237" spans="16:24">
      <c r="P237" s="867">
        <v>58.0091743119266</v>
      </c>
      <c r="Q237" s="868">
        <v>0.64099319943065003</v>
      </c>
      <c r="R237" s="867">
        <v>4941.6192660550432</v>
      </c>
      <c r="S237" s="867">
        <v>8476.151376146785</v>
      </c>
      <c r="T237" s="867">
        <v>568.06778899082542</v>
      </c>
      <c r="U237" s="867">
        <v>39.837161121559618</v>
      </c>
      <c r="V237" s="877">
        <v>359.87488280286198</v>
      </c>
      <c r="W237" s="867">
        <v>2854.7551675604168</v>
      </c>
      <c r="X237" s="868">
        <v>0.60502184736625053</v>
      </c>
    </row>
    <row r="238" spans="16:24">
      <c r="P238" s="867">
        <v>50.218181818181797</v>
      </c>
      <c r="Q238" s="868">
        <v>0.57811368573497501</v>
      </c>
      <c r="R238" s="867">
        <v>2478.347727272725</v>
      </c>
      <c r="S238" s="867">
        <v>7498.3590909090844</v>
      </c>
      <c r="T238" s="867">
        <v>516.28625350909044</v>
      </c>
      <c r="U238" s="867">
        <v>24.005901136363615</v>
      </c>
      <c r="V238" s="877">
        <v>349.66341866290901</v>
      </c>
      <c r="W238" s="867">
        <v>2854.7551675604168</v>
      </c>
      <c r="X238" s="868">
        <v>0.60502184736625053</v>
      </c>
    </row>
    <row r="239" spans="16:24">
      <c r="P239" s="867">
        <v>43.535714285714299</v>
      </c>
      <c r="Q239" s="868">
        <v>0.36303401274689201</v>
      </c>
      <c r="R239" s="867">
        <v>1399.6832917705738</v>
      </c>
      <c r="S239" s="867">
        <v>4548.6309226932672</v>
      </c>
      <c r="T239" s="867">
        <v>301.03783142144641</v>
      </c>
      <c r="U239" s="867">
        <v>11.361269014962595</v>
      </c>
      <c r="V239" s="877">
        <v>398.479202527322</v>
      </c>
      <c r="W239" s="867">
        <v>2854.7551675604168</v>
      </c>
      <c r="X239" s="868">
        <v>0.60502184736625053</v>
      </c>
    </row>
    <row r="240" spans="16:24">
      <c r="P240" s="867">
        <v>47.323877068557898</v>
      </c>
      <c r="Q240" s="868">
        <v>0.41232890398641198</v>
      </c>
      <c r="R240" s="867">
        <v>1789.5579196217475</v>
      </c>
      <c r="S240" s="867">
        <v>5762.8723404255261</v>
      </c>
      <c r="T240" s="867">
        <v>398.79397030732815</v>
      </c>
      <c r="U240" s="867">
        <v>16.57243738534277</v>
      </c>
      <c r="V240" s="877">
        <v>389.21779016234501</v>
      </c>
      <c r="W240" s="867">
        <v>2854.7551675604168</v>
      </c>
      <c r="X240" s="868">
        <v>0.60502184736625053</v>
      </c>
    </row>
    <row r="241" spans="16:24">
      <c r="P241" s="867">
        <v>65.941860465116307</v>
      </c>
      <c r="Q241" s="868">
        <v>0.37319696702521599</v>
      </c>
      <c r="R241" s="867">
        <v>3060.2627906976732</v>
      </c>
      <c r="S241" s="867">
        <v>7232.8651162790666</v>
      </c>
      <c r="T241" s="867">
        <v>484.27265860465099</v>
      </c>
      <c r="U241" s="867">
        <v>31.052696627906965</v>
      </c>
      <c r="V241" s="877">
        <v>416.78505386505401</v>
      </c>
      <c r="W241" s="867">
        <v>2854.7551675604168</v>
      </c>
      <c r="X241" s="868">
        <v>0.60502184736625053</v>
      </c>
    </row>
    <row r="242" spans="16:24">
      <c r="P242" s="867">
        <v>60.117782909930703</v>
      </c>
      <c r="Q242" s="868">
        <v>0.427298221351466</v>
      </c>
      <c r="R242" s="867">
        <v>1900.006928406468</v>
      </c>
      <c r="S242" s="867">
        <v>6188.8406466512752</v>
      </c>
      <c r="T242" s="867">
        <v>409.98132840646679</v>
      </c>
      <c r="U242" s="867">
        <v>14.68306117782911</v>
      </c>
      <c r="V242" s="877">
        <v>305.36579969432699</v>
      </c>
      <c r="W242" s="867">
        <v>2854.7551675604168</v>
      </c>
      <c r="X242" s="868">
        <v>0.60502184736625053</v>
      </c>
    </row>
    <row r="243" spans="16:24">
      <c r="P243" s="867">
        <v>50.034188034187999</v>
      </c>
      <c r="Q243" s="868">
        <v>0.20476027787268</v>
      </c>
      <c r="R243" s="867">
        <v>975.92328767123047</v>
      </c>
      <c r="S243" s="867">
        <v>2581.5506849315002</v>
      </c>
      <c r="T243" s="867">
        <v>184.93082520547898</v>
      </c>
      <c r="U243" s="867">
        <v>9.4108077397260033</v>
      </c>
      <c r="V243" s="877">
        <v>368.442908301682</v>
      </c>
      <c r="W243" s="867">
        <v>2854.7551675604168</v>
      </c>
      <c r="X243" s="868">
        <v>0.60502184736625053</v>
      </c>
    </row>
    <row r="244" spans="16:24">
      <c r="P244" s="867">
        <v>83.440639269406404</v>
      </c>
      <c r="Q244" s="868">
        <v>0.44457821435411898</v>
      </c>
      <c r="R244" s="867">
        <v>3394.3767123287653</v>
      </c>
      <c r="S244" s="867">
        <v>11206.146118721455</v>
      </c>
      <c r="T244" s="867">
        <v>746.70858995433753</v>
      </c>
      <c r="U244" s="867">
        <v>27.958395248858434</v>
      </c>
      <c r="V244" s="877">
        <v>392.537841580502</v>
      </c>
      <c r="W244" s="867">
        <v>2854.7551675604168</v>
      </c>
      <c r="X244" s="868">
        <v>0.60502184736625053</v>
      </c>
    </row>
    <row r="245" spans="16:24">
      <c r="P245" s="867">
        <v>54.610849056603797</v>
      </c>
      <c r="Q245" s="868">
        <v>0.43761606564456901</v>
      </c>
      <c r="R245" s="867">
        <v>1704.4697674418589</v>
      </c>
      <c r="S245" s="867">
        <v>6349.534883720924</v>
      </c>
      <c r="T245" s="867">
        <v>420.45987720930196</v>
      </c>
      <c r="U245" s="867">
        <v>16.182753372093007</v>
      </c>
      <c r="V245" s="877">
        <v>339.09125024650001</v>
      </c>
      <c r="W245" s="867">
        <v>2854.7551675604168</v>
      </c>
      <c r="X245" s="868">
        <v>0.60502184736625053</v>
      </c>
    </row>
    <row r="246" spans="16:24">
      <c r="P246" s="867">
        <v>71.371824480369497</v>
      </c>
      <c r="Q246" s="868">
        <v>0.44191690396065197</v>
      </c>
      <c r="R246" s="867">
        <v>2134.2517321016121</v>
      </c>
      <c r="S246" s="867">
        <v>6958.027713625851</v>
      </c>
      <c r="T246" s="867">
        <v>476.51645450346319</v>
      </c>
      <c r="U246" s="867">
        <v>21.731502309468777</v>
      </c>
      <c r="V246" s="877">
        <v>297.32079666105301</v>
      </c>
      <c r="W246" s="867">
        <v>2854.7551675604168</v>
      </c>
      <c r="X246" s="868">
        <v>0.60502184736625053</v>
      </c>
    </row>
    <row r="247" spans="16:24">
      <c r="P247" s="867">
        <v>97.9930715935335</v>
      </c>
      <c r="Q247" s="868">
        <v>0.40682519855765797</v>
      </c>
      <c r="R247" s="867">
        <v>2663.9561200923727</v>
      </c>
      <c r="S247" s="867">
        <v>7007.1247113163818</v>
      </c>
      <c r="T247" s="867">
        <v>471.42402401847471</v>
      </c>
      <c r="U247" s="867">
        <v>22.788770785219349</v>
      </c>
      <c r="V247" s="877">
        <v>236.93397057119699</v>
      </c>
      <c r="W247" s="867">
        <v>2854.7551675604168</v>
      </c>
      <c r="X247" s="868">
        <v>0.60502184736625053</v>
      </c>
    </row>
    <row r="248" spans="16:24">
      <c r="P248" s="867">
        <v>110.947126436782</v>
      </c>
      <c r="Q248" s="868">
        <v>0.33028055198707101</v>
      </c>
      <c r="R248" s="867">
        <v>2309.0781609195365</v>
      </c>
      <c r="S248" s="867">
        <v>6694.905747126425</v>
      </c>
      <c r="T248" s="867">
        <v>453.74180229884985</v>
      </c>
      <c r="U248" s="867">
        <v>21.186641703448242</v>
      </c>
      <c r="V248" s="877">
        <v>242.03493538268501</v>
      </c>
      <c r="W248" s="867">
        <v>2854.7551675604168</v>
      </c>
      <c r="X248" s="868">
        <v>0.60502184736625053</v>
      </c>
    </row>
    <row r="249" spans="16:24">
      <c r="P249" s="867">
        <v>50.369047619047599</v>
      </c>
      <c r="Q249" s="868">
        <v>0.46055306074214097</v>
      </c>
      <c r="R249" s="867">
        <v>1157.3571428571431</v>
      </c>
      <c r="S249" s="867">
        <v>6697.5119047619055</v>
      </c>
      <c r="T249" s="867">
        <v>444.1914133333334</v>
      </c>
      <c r="U249" s="867">
        <v>9.7195963690476201</v>
      </c>
      <c r="V249" s="877">
        <v>337.05005234527403</v>
      </c>
      <c r="W249" s="867">
        <v>2854.7551675604168</v>
      </c>
      <c r="X249" s="868">
        <v>0.60502184736625053</v>
      </c>
    </row>
    <row r="250" spans="16:24">
      <c r="P250" s="867">
        <v>27.345238095238098</v>
      </c>
      <c r="Q250" s="868">
        <v>0.57187636047017898</v>
      </c>
      <c r="R250" s="867">
        <v>1488.974178403754</v>
      </c>
      <c r="S250" s="867">
        <v>4353.0727699530462</v>
      </c>
      <c r="T250" s="867">
        <v>291.34216901408411</v>
      </c>
      <c r="U250" s="867">
        <v>11.11156420187792</v>
      </c>
      <c r="V250" s="877">
        <v>369.85142965318801</v>
      </c>
      <c r="W250" s="867">
        <v>2854.7551675604168</v>
      </c>
      <c r="X250" s="868">
        <v>0.60502184736625053</v>
      </c>
    </row>
    <row r="251" spans="16:24">
      <c r="P251" s="867">
        <v>139.37931034482801</v>
      </c>
      <c r="Q251" s="868">
        <v>1.7812963879267701E-2</v>
      </c>
      <c r="R251" s="867">
        <v>11.793103448275861</v>
      </c>
      <c r="S251" s="867">
        <v>14561.741379310344</v>
      </c>
      <c r="T251" s="867">
        <v>987.42588965517245</v>
      </c>
      <c r="U251" s="867">
        <v>0.36438620689655171</v>
      </c>
      <c r="V251" s="877">
        <v>5869.8936111111097</v>
      </c>
      <c r="W251" s="867">
        <v>2854.7551675604168</v>
      </c>
      <c r="X251" s="868">
        <v>0.60502184736625053</v>
      </c>
    </row>
    <row r="252" spans="16:24">
      <c r="P252" s="867">
        <v>35.5343137254902</v>
      </c>
      <c r="Q252" s="868">
        <v>0.392812801765761</v>
      </c>
      <c r="R252" s="867">
        <v>1618.6328502415445</v>
      </c>
      <c r="S252" s="867">
        <v>6734.5966183574819</v>
      </c>
      <c r="T252" s="867">
        <v>450.42477294685955</v>
      </c>
      <c r="U252" s="867">
        <v>13.453692028985495</v>
      </c>
      <c r="V252" s="877">
        <v>606.92572704975498</v>
      </c>
      <c r="W252" s="867">
        <v>2854.7551675604168</v>
      </c>
      <c r="X252" s="868">
        <v>0.60502184736625053</v>
      </c>
    </row>
    <row r="253" spans="16:24">
      <c r="P253" s="867">
        <v>62.158333333333303</v>
      </c>
      <c r="Q253" s="868">
        <v>6.2005630781606098E-2</v>
      </c>
      <c r="R253" s="867">
        <v>1221.5843621399179</v>
      </c>
      <c r="S253" s="867">
        <v>1782.8641975308644</v>
      </c>
      <c r="T253" s="867">
        <v>125.15391604938273</v>
      </c>
      <c r="U253" s="867">
        <v>13.397350823045269</v>
      </c>
      <c r="V253" s="877">
        <v>787.57297734627798</v>
      </c>
      <c r="W253" s="867">
        <v>2854.7551675604168</v>
      </c>
      <c r="X253" s="868">
        <v>0.60502184736625053</v>
      </c>
    </row>
    <row r="254" spans="16:24">
      <c r="P254" s="867">
        <v>50.587973273942097</v>
      </c>
      <c r="Q254" s="868">
        <v>0.80126794047723904</v>
      </c>
      <c r="R254" s="867">
        <v>4784.6570155901991</v>
      </c>
      <c r="S254" s="867">
        <v>6207.7928730512231</v>
      </c>
      <c r="T254" s="867">
        <v>423.33913407572368</v>
      </c>
      <c r="U254" s="867">
        <v>29.623745899777276</v>
      </c>
      <c r="V254" s="877">
        <v>270.69210934065899</v>
      </c>
      <c r="W254" s="867">
        <v>2767.0116391629381</v>
      </c>
      <c r="X254" s="868">
        <v>0.60188554344580192</v>
      </c>
    </row>
    <row r="255" spans="16:24">
      <c r="P255" s="867">
        <v>39.440366972477101</v>
      </c>
      <c r="Q255" s="868">
        <v>0.85240753663642699</v>
      </c>
      <c r="R255" s="867">
        <v>4212.6215596330267</v>
      </c>
      <c r="S255" s="867">
        <v>6572.9449541284384</v>
      </c>
      <c r="T255" s="867">
        <v>445.43817981651364</v>
      </c>
      <c r="U255" s="867">
        <v>30.696851541284396</v>
      </c>
      <c r="V255" s="877">
        <v>320.71506003547501</v>
      </c>
      <c r="W255" s="867">
        <v>2767.0116391629381</v>
      </c>
      <c r="X255" s="868">
        <v>0.60188554344580192</v>
      </c>
    </row>
    <row r="256" spans="16:24">
      <c r="P256" s="867">
        <v>55.354838709677402</v>
      </c>
      <c r="Q256" s="868">
        <v>0.73522311022311004</v>
      </c>
      <c r="R256" s="867">
        <v>2894.8202764976968</v>
      </c>
      <c r="S256" s="867">
        <v>6419.6958525345644</v>
      </c>
      <c r="T256" s="867">
        <v>431.43718709677438</v>
      </c>
      <c r="U256" s="867">
        <v>20.766024682027659</v>
      </c>
      <c r="V256" s="877">
        <v>228.839742965521</v>
      </c>
      <c r="W256" s="867">
        <v>2767.0116391629381</v>
      </c>
      <c r="X256" s="868">
        <v>0.60188554344580192</v>
      </c>
    </row>
    <row r="257" spans="16:24">
      <c r="P257" s="867">
        <v>44.160550458715598</v>
      </c>
      <c r="Q257" s="868">
        <v>0.630622208372286</v>
      </c>
      <c r="R257" s="867">
        <v>2444.4793577981645</v>
      </c>
      <c r="S257" s="867">
        <v>5760.286697247705</v>
      </c>
      <c r="T257" s="867">
        <v>392.68296880733931</v>
      </c>
      <c r="U257" s="867">
        <v>19.834364327981646</v>
      </c>
      <c r="V257" s="877">
        <v>293.62272525119403</v>
      </c>
      <c r="W257" s="867">
        <v>2767.0116391629381</v>
      </c>
      <c r="X257" s="868">
        <v>0.60188554344580192</v>
      </c>
    </row>
    <row r="258" spans="16:24">
      <c r="P258" s="867">
        <v>44.396788990825698</v>
      </c>
      <c r="Q258" s="868">
        <v>0.78230097639096996</v>
      </c>
      <c r="R258" s="867">
        <v>2864.3096330275253</v>
      </c>
      <c r="S258" s="867">
        <v>7074.1055045871617</v>
      </c>
      <c r="T258" s="867">
        <v>477.63614737614722</v>
      </c>
      <c r="U258" s="867">
        <v>24.363755305045892</v>
      </c>
      <c r="V258" s="877">
        <v>285.90908736710003</v>
      </c>
      <c r="W258" s="867">
        <v>2767.0116391629381</v>
      </c>
      <c r="X258" s="868">
        <v>0.60188554344580192</v>
      </c>
    </row>
    <row r="259" spans="16:24">
      <c r="P259" s="867">
        <v>54.037383177570099</v>
      </c>
      <c r="Q259" s="868">
        <v>0.55966793497059797</v>
      </c>
      <c r="R259" s="867">
        <v>2630.3457943925218</v>
      </c>
      <c r="S259" s="867">
        <v>8092.7873831775651</v>
      </c>
      <c r="T259" s="867">
        <v>542.53189906542025</v>
      </c>
      <c r="U259" s="867">
        <v>23.704506348130824</v>
      </c>
      <c r="V259" s="877">
        <v>352.70532447466002</v>
      </c>
      <c r="W259" s="867">
        <v>2767.0116391629381</v>
      </c>
      <c r="X259" s="868">
        <v>0.60188554344580192</v>
      </c>
    </row>
    <row r="260" spans="16:24">
      <c r="P260" s="867">
        <v>43.043378995433798</v>
      </c>
      <c r="Q260" s="868">
        <v>0.67978571049700298</v>
      </c>
      <c r="R260" s="867">
        <v>3233.5182648401819</v>
      </c>
      <c r="S260" s="867">
        <v>6804.1004566210031</v>
      </c>
      <c r="T260" s="867">
        <v>458.08088219178069</v>
      </c>
      <c r="U260" s="867">
        <v>20.490508723744288</v>
      </c>
      <c r="V260" s="877">
        <v>343.48666588639202</v>
      </c>
      <c r="W260" s="867">
        <v>2767.0116391629381</v>
      </c>
      <c r="X260" s="868">
        <v>0.60188554344580192</v>
      </c>
    </row>
    <row r="261" spans="16:24">
      <c r="P261" s="867">
        <v>58.586206896551701</v>
      </c>
      <c r="Q261" s="868">
        <v>0.704414361389052</v>
      </c>
      <c r="R261" s="867">
        <v>2837.0482758620706</v>
      </c>
      <c r="S261" s="867">
        <v>5661.6091954023022</v>
      </c>
      <c r="T261" s="867">
        <v>389.337268634483</v>
      </c>
      <c r="U261" s="867">
        <v>24.888212891954034</v>
      </c>
      <c r="V261" s="877">
        <v>205.88720978164</v>
      </c>
      <c r="W261" s="867">
        <v>2767.0116391629381</v>
      </c>
      <c r="X261" s="868">
        <v>0.60188554344580192</v>
      </c>
    </row>
    <row r="262" spans="16:24">
      <c r="P262" s="867">
        <v>36.695852534562199</v>
      </c>
      <c r="Q262" s="868">
        <v>0.55682531709154803</v>
      </c>
      <c r="R262" s="867">
        <v>2566.2073732718882</v>
      </c>
      <c r="S262" s="867">
        <v>5077.3294930875545</v>
      </c>
      <c r="T262" s="867">
        <v>341.41308387096757</v>
      </c>
      <c r="U262" s="867">
        <v>20.79340892857142</v>
      </c>
      <c r="V262" s="877">
        <v>374.13078822733399</v>
      </c>
      <c r="W262" s="867">
        <v>2767.0116391629381</v>
      </c>
      <c r="X262" s="868">
        <v>0.60188554344580192</v>
      </c>
    </row>
    <row r="263" spans="16:24">
      <c r="P263" s="867">
        <v>46.674311926605498</v>
      </c>
      <c r="Q263" s="868">
        <v>0.51140049140049104</v>
      </c>
      <c r="R263" s="867">
        <v>1525.5206422018341</v>
      </c>
      <c r="S263" s="867">
        <v>4787.4885321100892</v>
      </c>
      <c r="T263" s="867">
        <v>326.41983853210991</v>
      </c>
      <c r="U263" s="867">
        <v>15.344935369266047</v>
      </c>
      <c r="V263" s="877">
        <v>265.81565965215702</v>
      </c>
      <c r="W263" s="867">
        <v>2767.0116391629381</v>
      </c>
      <c r="X263" s="868">
        <v>0.60188554344580192</v>
      </c>
    </row>
    <row r="264" spans="16:24">
      <c r="P264" s="867">
        <v>45.834482758620702</v>
      </c>
      <c r="Q264" s="868">
        <v>0.639833483799779</v>
      </c>
      <c r="R264" s="867">
        <v>3180.0896551724163</v>
      </c>
      <c r="S264" s="867">
        <v>6761.0298850574763</v>
      </c>
      <c r="T264" s="867">
        <v>457.66486517701185</v>
      </c>
      <c r="U264" s="867">
        <v>25.961480321839101</v>
      </c>
      <c r="V264" s="877">
        <v>340.04622403386401</v>
      </c>
      <c r="W264" s="867">
        <v>2767.0116391629381</v>
      </c>
      <c r="X264" s="868">
        <v>0.60188554344580192</v>
      </c>
    </row>
    <row r="265" spans="16:24">
      <c r="P265" s="867">
        <v>57.534403669724803</v>
      </c>
      <c r="Q265" s="868">
        <v>0.626350408610724</v>
      </c>
      <c r="R265" s="867">
        <v>1814.5022935779818</v>
      </c>
      <c r="S265" s="867">
        <v>6024.7362385321112</v>
      </c>
      <c r="T265" s="867">
        <v>409.85870825688073</v>
      </c>
      <c r="U265" s="867">
        <v>21.214575036697251</v>
      </c>
      <c r="V265" s="877">
        <v>218.38858706721001</v>
      </c>
      <c r="W265" s="867">
        <v>2767.0116391629381</v>
      </c>
      <c r="X265" s="868">
        <v>0.60188554344580192</v>
      </c>
    </row>
    <row r="266" spans="16:24">
      <c r="P266" s="867">
        <v>43.169336384439397</v>
      </c>
      <c r="Q266" s="868">
        <v>0.76591571693612504</v>
      </c>
      <c r="R266" s="867">
        <v>2613.102974828374</v>
      </c>
      <c r="S266" s="867">
        <v>7950.7505720823756</v>
      </c>
      <c r="T266" s="867">
        <v>541.20184823798593</v>
      </c>
      <c r="U266" s="867">
        <v>26.013872013729962</v>
      </c>
      <c r="V266" s="877">
        <v>320.78694304104101</v>
      </c>
      <c r="W266" s="867">
        <v>2767.0116391629381</v>
      </c>
      <c r="X266" s="868">
        <v>0.60188554344580192</v>
      </c>
    </row>
    <row r="267" spans="16:24">
      <c r="P267" s="867">
        <v>31.7775280898876</v>
      </c>
      <c r="Q267" s="868">
        <v>0.86146665723781901</v>
      </c>
      <c r="R267" s="867">
        <v>3927.3752808988802</v>
      </c>
      <c r="S267" s="867">
        <v>5832.6337078651741</v>
      </c>
      <c r="T267" s="867">
        <v>397.71457977528132</v>
      </c>
      <c r="U267" s="867">
        <v>43.018787137078697</v>
      </c>
      <c r="V267" s="877">
        <v>356.52625266787101</v>
      </c>
      <c r="W267" s="867">
        <v>2767.0116391629381</v>
      </c>
      <c r="X267" s="868">
        <v>0.60188554344580192</v>
      </c>
    </row>
    <row r="268" spans="16:24">
      <c r="P268" s="867">
        <v>35.710610932475902</v>
      </c>
      <c r="Q268" s="868">
        <v>0.69241851251575703</v>
      </c>
      <c r="R268" s="867">
        <v>1327.6734693877538</v>
      </c>
      <c r="S268" s="867">
        <v>5462.8140589569111</v>
      </c>
      <c r="T268" s="867">
        <v>387.89531428571394</v>
      </c>
      <c r="U268" s="867">
        <v>13.330539249433095</v>
      </c>
      <c r="V268" s="877">
        <v>357.991757322176</v>
      </c>
      <c r="W268" s="867">
        <v>1993.1247910307675</v>
      </c>
      <c r="X268" s="868">
        <v>0.4668186597816123</v>
      </c>
    </row>
    <row r="269" spans="16:24">
      <c r="P269" s="867">
        <v>57.643990929705197</v>
      </c>
      <c r="Q269" s="868">
        <v>0.58915856968647995</v>
      </c>
      <c r="R269" s="867">
        <v>2093.7619047619032</v>
      </c>
      <c r="S269" s="867">
        <v>11140.9365079365</v>
      </c>
      <c r="T269" s="867">
        <v>774.21779310430782</v>
      </c>
      <c r="U269" s="867">
        <v>16.517717743764159</v>
      </c>
      <c r="V269" s="877">
        <v>389.69769112639398</v>
      </c>
      <c r="W269" s="867">
        <v>4224.6263774826693</v>
      </c>
      <c r="X269" s="868">
        <v>0.67903972692590808</v>
      </c>
    </row>
    <row r="270" spans="16:24">
      <c r="P270" s="867">
        <v>28.677108433734901</v>
      </c>
      <c r="Q270" s="868">
        <v>0.71699857154860902</v>
      </c>
      <c r="R270" s="867">
        <v>545.23766816143416</v>
      </c>
      <c r="S270" s="867">
        <v>4805.9977578475264</v>
      </c>
      <c r="T270" s="867">
        <v>341.93342600896807</v>
      </c>
      <c r="U270" s="867">
        <v>5.0683805134529072</v>
      </c>
      <c r="V270" s="877">
        <v>274.70657113259699</v>
      </c>
      <c r="W270" s="867">
        <v>1656.0369040335643</v>
      </c>
      <c r="X270" s="868">
        <v>0.36811266961868372</v>
      </c>
    </row>
    <row r="271" spans="16:24">
      <c r="P271" s="867">
        <v>63.686363636363602</v>
      </c>
      <c r="Q271" s="868">
        <v>0.37973734922560898</v>
      </c>
      <c r="R271" s="867">
        <v>240.46818181818171</v>
      </c>
      <c r="S271" s="867">
        <v>6019.2749999999969</v>
      </c>
      <c r="T271" s="867">
        <v>406.84520545454524</v>
      </c>
      <c r="U271" s="867">
        <v>2.402383352272726</v>
      </c>
      <c r="V271" s="877">
        <v>258.83682830561003</v>
      </c>
      <c r="W271" s="867">
        <v>1879.0737607763299</v>
      </c>
      <c r="X271" s="868">
        <v>0.42439164197864898</v>
      </c>
    </row>
    <row r="272" spans="16:24">
      <c r="P272" s="867">
        <v>70.328859060402706</v>
      </c>
      <c r="Q272" s="868">
        <v>0.56687979132868904</v>
      </c>
      <c r="R272" s="867">
        <v>2888.4205816554754</v>
      </c>
      <c r="S272" s="867">
        <v>5511.7539149888034</v>
      </c>
      <c r="T272" s="867">
        <v>376.82650960178898</v>
      </c>
      <c r="U272" s="867">
        <v>25.785655033556996</v>
      </c>
      <c r="V272" s="877">
        <v>210.699693619887</v>
      </c>
      <c r="W272" s="867">
        <v>2809.9981624323286</v>
      </c>
      <c r="X272" s="868">
        <v>0.46396836150151988</v>
      </c>
    </row>
    <row r="273" spans="16:24">
      <c r="P273" s="867">
        <v>69.375838926174495</v>
      </c>
      <c r="Q273" s="868">
        <v>0.63751572022830605</v>
      </c>
      <c r="R273" s="867">
        <v>2219.4630872483217</v>
      </c>
      <c r="S273" s="867">
        <v>5911.192393736017</v>
      </c>
      <c r="T273" s="867">
        <v>401.42405132885898</v>
      </c>
      <c r="U273" s="867">
        <v>19.045499999999997</v>
      </c>
      <c r="V273" s="877">
        <v>183.858487101669</v>
      </c>
      <c r="W273" s="867">
        <v>2809.9981624323286</v>
      </c>
      <c r="X273" s="868">
        <v>0.46396836150151988</v>
      </c>
    </row>
    <row r="274" spans="16:24">
      <c r="P274" s="867">
        <v>70.316143497757906</v>
      </c>
      <c r="Q274" s="868">
        <v>0.54921718057459901</v>
      </c>
      <c r="R274" s="867">
        <v>2049.800448430492</v>
      </c>
      <c r="S274" s="867">
        <v>6396.1098654708476</v>
      </c>
      <c r="T274" s="867">
        <v>435.59799088789214</v>
      </c>
      <c r="U274" s="867">
        <v>19.835477439461872</v>
      </c>
      <c r="V274" s="877">
        <v>218.67153564793301</v>
      </c>
      <c r="W274" s="867">
        <v>2809.9981624323286</v>
      </c>
      <c r="X274" s="868">
        <v>0.46396836150151988</v>
      </c>
    </row>
    <row r="275" spans="16:24">
      <c r="P275" s="867">
        <v>268.09210526315798</v>
      </c>
      <c r="Q275" s="868">
        <v>0.119558282208589</v>
      </c>
      <c r="R275" s="867">
        <v>8750.1265822784535</v>
      </c>
      <c r="S275" s="867">
        <v>611.5822784810108</v>
      </c>
      <c r="T275" s="867">
        <v>51.007918987341611</v>
      </c>
      <c r="U275" s="867">
        <v>79.238806645569369</v>
      </c>
      <c r="V275" s="877">
        <v>291.17046456692901</v>
      </c>
      <c r="W275" s="867">
        <v>2809.9981624323286</v>
      </c>
      <c r="X275" s="868">
        <v>0.46396836150151988</v>
      </c>
    </row>
    <row r="276" spans="16:24">
      <c r="P276" s="867">
        <v>252.51282051282101</v>
      </c>
      <c r="Q276" s="868">
        <v>0.12494922826969899</v>
      </c>
      <c r="R276" s="867">
        <v>8407.2374999999993</v>
      </c>
      <c r="S276" s="867">
        <v>8.0749999999999993</v>
      </c>
      <c r="T276" s="867">
        <v>0.66044999999999998</v>
      </c>
      <c r="U276" s="867">
        <v>71.731038900000001</v>
      </c>
      <c r="V276" s="877">
        <v>261.73384163073302</v>
      </c>
      <c r="W276" s="867">
        <v>2793.6211682944554</v>
      </c>
      <c r="X276" s="868">
        <v>0.56431420683758804</v>
      </c>
    </row>
    <row r="277" spans="16:24">
      <c r="P277" s="867">
        <v>55.266365688487603</v>
      </c>
      <c r="Q277" s="868">
        <v>0.52117796021729401</v>
      </c>
      <c r="R277" s="867">
        <v>2842.6478555304716</v>
      </c>
      <c r="S277" s="867">
        <v>5989.7516930022521</v>
      </c>
      <c r="T277" s="867">
        <v>407.66810474040591</v>
      </c>
      <c r="U277" s="867">
        <v>27.510524799097038</v>
      </c>
      <c r="V277" s="877">
        <v>306.64179937304101</v>
      </c>
      <c r="W277" s="867">
        <v>2793.6211682944554</v>
      </c>
      <c r="X277" s="868">
        <v>0.56431420683758804</v>
      </c>
    </row>
    <row r="278" spans="16:24">
      <c r="P278" s="867">
        <v>67.002257336343106</v>
      </c>
      <c r="Q278" s="868">
        <v>0.485277272420996</v>
      </c>
      <c r="R278" s="867">
        <v>2123.5823927765177</v>
      </c>
      <c r="S278" s="867">
        <v>5681.8893905191717</v>
      </c>
      <c r="T278" s="867">
        <v>386.16794762979578</v>
      </c>
      <c r="U278" s="867">
        <v>18.547729505643289</v>
      </c>
      <c r="V278" s="877">
        <v>240.05990697028599</v>
      </c>
      <c r="W278" s="867">
        <v>2793.6211682944554</v>
      </c>
      <c r="X278" s="868">
        <v>0.56431420683758804</v>
      </c>
    </row>
    <row r="279" spans="16:24">
      <c r="P279" s="867">
        <v>51.203196347031998</v>
      </c>
      <c r="Q279" s="868">
        <v>0.57069603602800201</v>
      </c>
      <c r="R279" s="867">
        <v>2892.0547945205526</v>
      </c>
      <c r="S279" s="867">
        <v>4976.0981735159894</v>
      </c>
      <c r="T279" s="867">
        <v>343.14770447488638</v>
      </c>
      <c r="U279" s="867">
        <v>24.738788881278577</v>
      </c>
      <c r="V279" s="877">
        <v>269.438682709587</v>
      </c>
      <c r="W279" s="867">
        <v>2793.6211682944554</v>
      </c>
      <c r="X279" s="868">
        <v>0.56431420683758804</v>
      </c>
    </row>
    <row r="280" spans="16:24">
      <c r="P280" s="867">
        <v>70.182232346241506</v>
      </c>
      <c r="Q280" s="868">
        <v>0.54654333008763401</v>
      </c>
      <c r="R280" s="867">
        <v>2786.0478359908861</v>
      </c>
      <c r="S280" s="867">
        <v>6210.3257403189018</v>
      </c>
      <c r="T280" s="867">
        <v>418.8125576309792</v>
      </c>
      <c r="U280" s="867">
        <v>23.170849432801806</v>
      </c>
      <c r="V280" s="877">
        <v>234.40266345982499</v>
      </c>
      <c r="W280" s="867">
        <v>2793.6211682944554</v>
      </c>
      <c r="X280" s="868">
        <v>0.56431420683758804</v>
      </c>
    </row>
    <row r="281" spans="16:24">
      <c r="P281" s="867">
        <v>99.038929440389296</v>
      </c>
      <c r="Q281" s="868">
        <v>0.34460140031937098</v>
      </c>
      <c r="R281" s="867">
        <v>3411.4334085778787</v>
      </c>
      <c r="S281" s="867">
        <v>5354.8510158013551</v>
      </c>
      <c r="T281" s="867">
        <v>366.36140496614001</v>
      </c>
      <c r="U281" s="867">
        <v>29.274264758465016</v>
      </c>
      <c r="V281" s="877">
        <v>259.29507978901</v>
      </c>
      <c r="W281" s="867">
        <v>2982.1586443005776</v>
      </c>
      <c r="X281" s="868">
        <v>0.48162710479863424</v>
      </c>
    </row>
    <row r="282" spans="16:24">
      <c r="P282" s="867">
        <v>93.179104477611901</v>
      </c>
      <c r="Q282" s="868">
        <v>0.50563297559933795</v>
      </c>
      <c r="R282" s="867">
        <v>3796.1501154734501</v>
      </c>
      <c r="S282" s="867">
        <v>6434.9099307159504</v>
      </c>
      <c r="T282" s="867">
        <v>446.97059584295482</v>
      </c>
      <c r="U282" s="867">
        <v>32.880319034642113</v>
      </c>
      <c r="V282" s="877">
        <v>218.49824956843401</v>
      </c>
      <c r="W282" s="867">
        <v>2982.1586443005776</v>
      </c>
      <c r="X282" s="868">
        <v>0.48162710479863424</v>
      </c>
    </row>
    <row r="283" spans="16:24">
      <c r="P283" s="867">
        <v>81.886977886977903</v>
      </c>
      <c r="Q283" s="868">
        <v>0.57693230916946703</v>
      </c>
      <c r="R283" s="867">
        <v>3503.3630136986208</v>
      </c>
      <c r="S283" s="867">
        <v>7106.0707762556885</v>
      </c>
      <c r="T283" s="867">
        <v>489.32408767122928</v>
      </c>
      <c r="U283" s="867">
        <v>27.282238271689423</v>
      </c>
      <c r="V283" s="877">
        <v>223.45331169455699</v>
      </c>
      <c r="W283" s="867">
        <v>2982.1586443005776</v>
      </c>
      <c r="X283" s="868">
        <v>0.48162710479863424</v>
      </c>
    </row>
    <row r="284" spans="16:24">
      <c r="P284" s="867">
        <v>86.858560794044706</v>
      </c>
      <c r="Q284" s="868">
        <v>0.42952234030396502</v>
      </c>
      <c r="R284" s="867">
        <v>2781.039170506911</v>
      </c>
      <c r="S284" s="867">
        <v>7530.9470046082906</v>
      </c>
      <c r="T284" s="867">
        <v>519.9841548387094</v>
      </c>
      <c r="U284" s="867">
        <v>19.470000087557594</v>
      </c>
      <c r="V284" s="877">
        <v>271.18735805611101</v>
      </c>
      <c r="W284" s="867">
        <v>2982.1586443005776</v>
      </c>
      <c r="X284" s="868">
        <v>0.48162710479863424</v>
      </c>
    </row>
    <row r="285" spans="16:24">
      <c r="P285" s="867">
        <v>63.879310344827601</v>
      </c>
      <c r="Q285" s="868">
        <v>0.61943319838056699</v>
      </c>
      <c r="R285" s="867">
        <v>3357.2283105022807</v>
      </c>
      <c r="S285" s="867">
        <v>5595.3013698630093</v>
      </c>
      <c r="T285" s="867">
        <v>388.20161307762521</v>
      </c>
      <c r="U285" s="867">
        <v>26.342632929223722</v>
      </c>
      <c r="V285" s="877">
        <v>226.071169789565</v>
      </c>
      <c r="W285" s="867">
        <v>2982.1586443005776</v>
      </c>
      <c r="X285" s="868">
        <v>0.48162710479863424</v>
      </c>
    </row>
    <row r="286" spans="16:24">
      <c r="P286" s="867">
        <v>101.40648379052401</v>
      </c>
      <c r="Q286" s="868">
        <v>0.44272575250836099</v>
      </c>
      <c r="R286" s="867">
        <v>2202.9422632794408</v>
      </c>
      <c r="S286" s="867">
        <v>5909.0831408775848</v>
      </c>
      <c r="T286" s="867">
        <v>410.33926281755106</v>
      </c>
      <c r="U286" s="867">
        <v>18.003189856812892</v>
      </c>
      <c r="V286" s="877">
        <v>180.49887307297001</v>
      </c>
      <c r="W286" s="867">
        <v>2982.1586443005776</v>
      </c>
      <c r="X286" s="868">
        <v>0.48162710479863424</v>
      </c>
    </row>
    <row r="287" spans="16:24">
      <c r="P287" s="867">
        <v>91.496277915632803</v>
      </c>
      <c r="Q287" s="868">
        <v>0.55053833428253696</v>
      </c>
      <c r="R287" s="867">
        <v>4003.5080459770033</v>
      </c>
      <c r="S287" s="867">
        <v>8023.8597701149256</v>
      </c>
      <c r="T287" s="867">
        <v>554.56341701149313</v>
      </c>
      <c r="U287" s="867">
        <v>33.174227875862002</v>
      </c>
      <c r="V287" s="877">
        <v>235.554731889604</v>
      </c>
      <c r="W287" s="867">
        <v>2982.1586443005776</v>
      </c>
      <c r="X287" s="868">
        <v>0.48162710479863424</v>
      </c>
    </row>
    <row r="288" spans="16:24">
      <c r="P288" s="867">
        <v>57.114143920595502</v>
      </c>
      <c r="Q288" s="868">
        <v>0.81496285354303299</v>
      </c>
      <c r="R288" s="867">
        <v>6430.6528735632219</v>
      </c>
      <c r="S288" s="867">
        <v>8694.6252873563262</v>
      </c>
      <c r="T288" s="867">
        <v>601.86074666666696</v>
      </c>
      <c r="U288" s="867">
        <v>48.582671954023013</v>
      </c>
      <c r="V288" s="877">
        <v>318.18813763420098</v>
      </c>
      <c r="W288" s="867">
        <v>2982.1586443005776</v>
      </c>
      <c r="X288" s="868">
        <v>0.48162710479863424</v>
      </c>
    </row>
    <row r="289" spans="16:24">
      <c r="P289" s="867">
        <v>52.3449131513648</v>
      </c>
      <c r="Q289" s="868">
        <v>0.69637354823417896</v>
      </c>
      <c r="R289" s="867">
        <v>3227.1356321839094</v>
      </c>
      <c r="S289" s="867">
        <v>6902.3195402298879</v>
      </c>
      <c r="T289" s="867">
        <v>477.1839816091956</v>
      </c>
      <c r="U289" s="867">
        <v>23.833116825287366</v>
      </c>
      <c r="V289" s="877">
        <v>280.28193689968799</v>
      </c>
      <c r="W289" s="867">
        <v>2982.1586443005776</v>
      </c>
      <c r="X289" s="868">
        <v>0.48162710479863424</v>
      </c>
    </row>
    <row r="290" spans="16:24">
      <c r="P290" s="867">
        <v>70.307881773399004</v>
      </c>
      <c r="Q290" s="868">
        <v>0.49238045191802399</v>
      </c>
      <c r="R290" s="867">
        <v>4104.67808219178</v>
      </c>
      <c r="S290" s="867">
        <v>8211.6141552511399</v>
      </c>
      <c r="T290" s="867">
        <v>560.91405296803634</v>
      </c>
      <c r="U290" s="867">
        <v>32.701765646118716</v>
      </c>
      <c r="V290" s="877">
        <v>354.46054142847697</v>
      </c>
      <c r="W290" s="867">
        <v>2982.1586443005776</v>
      </c>
      <c r="X290" s="868">
        <v>0.48162710479863424</v>
      </c>
    </row>
    <row r="291" spans="16:24">
      <c r="P291" s="867">
        <v>57.860240963855397</v>
      </c>
      <c r="Q291" s="868">
        <v>0.61894052973513303</v>
      </c>
      <c r="R291" s="867">
        <v>3065.6286353467544</v>
      </c>
      <c r="S291" s="867">
        <v>5182.447427293062</v>
      </c>
      <c r="T291" s="867">
        <v>366.58964295301996</v>
      </c>
      <c r="U291" s="867">
        <v>22.561932328859051</v>
      </c>
      <c r="V291" s="877">
        <v>232.39136779073399</v>
      </c>
      <c r="W291" s="867">
        <v>2982.1586443005776</v>
      </c>
      <c r="X291" s="868">
        <v>0.48162710479863424</v>
      </c>
    </row>
    <row r="292" spans="16:24">
      <c r="P292" s="867">
        <v>102.669154228856</v>
      </c>
      <c r="Q292" s="868">
        <v>0.50434909020425001</v>
      </c>
      <c r="R292" s="867">
        <v>2598.4838709677424</v>
      </c>
      <c r="S292" s="867">
        <v>5697.7880184331807</v>
      </c>
      <c r="T292" s="867">
        <v>394.63054193548396</v>
      </c>
      <c r="U292" s="867">
        <v>22.049559656682028</v>
      </c>
      <c r="V292" s="877">
        <v>158.62993743942201</v>
      </c>
      <c r="W292" s="867">
        <v>2982.1586443005776</v>
      </c>
      <c r="X292" s="868">
        <v>0.48162710479863424</v>
      </c>
    </row>
    <row r="293" spans="16:24">
      <c r="P293" s="867">
        <v>40.18</v>
      </c>
      <c r="Q293" s="868">
        <v>0.41065206570433099</v>
      </c>
      <c r="R293" s="867">
        <v>1588.081018518518</v>
      </c>
      <c r="S293" s="867">
        <v>5230.3287037037026</v>
      </c>
      <c r="T293" s="867">
        <v>363.89979629629619</v>
      </c>
      <c r="U293" s="867">
        <v>13.671911689814811</v>
      </c>
      <c r="V293" s="877">
        <v>418.04603604882197</v>
      </c>
      <c r="W293" s="867">
        <v>2982.1586443005776</v>
      </c>
      <c r="X293" s="868">
        <v>0.48162710479863424</v>
      </c>
    </row>
    <row r="294" spans="16:24">
      <c r="P294" s="867">
        <v>73.397530864197506</v>
      </c>
      <c r="Q294" s="868">
        <v>0.46884881921550198</v>
      </c>
      <c r="R294" s="867">
        <v>3109.8463302752261</v>
      </c>
      <c r="S294" s="867">
        <v>7210.8463302752216</v>
      </c>
      <c r="T294" s="867">
        <v>495.00222568807288</v>
      </c>
      <c r="U294" s="867">
        <v>26.498230135321073</v>
      </c>
      <c r="V294" s="877">
        <v>308.86258699979402</v>
      </c>
      <c r="W294" s="867">
        <v>2982.1586443005776</v>
      </c>
      <c r="X294" s="868">
        <v>0.48162710479863424</v>
      </c>
    </row>
    <row r="295" spans="16:24">
      <c r="P295" s="867">
        <v>45.148780487804899</v>
      </c>
      <c r="Q295" s="868">
        <v>0.59299875749554298</v>
      </c>
      <c r="R295" s="867">
        <v>2197.6068181818196</v>
      </c>
      <c r="S295" s="867">
        <v>6457.6090909090954</v>
      </c>
      <c r="T295" s="867">
        <v>443.6863072727275</v>
      </c>
      <c r="U295" s="867">
        <v>17.032852838636373</v>
      </c>
      <c r="V295" s="877">
        <v>326.02439089119099</v>
      </c>
      <c r="W295" s="867">
        <v>2982.1586443005776</v>
      </c>
      <c r="X295" s="868">
        <v>0.48162710479863424</v>
      </c>
    </row>
    <row r="296" spans="16:24">
      <c r="P296" s="867">
        <v>59.328358208955201</v>
      </c>
      <c r="Q296" s="868">
        <v>0.55094339622641497</v>
      </c>
      <c r="R296" s="867">
        <v>2152.3502304147419</v>
      </c>
      <c r="S296" s="867">
        <v>5869.7926267280973</v>
      </c>
      <c r="T296" s="867">
        <v>410.66801290322485</v>
      </c>
      <c r="U296" s="867">
        <v>17.918253502304108</v>
      </c>
      <c r="V296" s="877">
        <v>252.109616805505</v>
      </c>
      <c r="W296" s="867">
        <v>2982.1586443005776</v>
      </c>
      <c r="X296" s="868">
        <v>0.48162710479863424</v>
      </c>
    </row>
    <row r="297" spans="16:24">
      <c r="P297" s="867">
        <v>67.8333333333333</v>
      </c>
      <c r="Q297" s="868">
        <v>0.46675712347354098</v>
      </c>
      <c r="R297" s="867">
        <v>2993.400921658987</v>
      </c>
      <c r="S297" s="867">
        <v>6490.8271889400939</v>
      </c>
      <c r="T297" s="867">
        <v>451.85128064516141</v>
      </c>
      <c r="U297" s="867">
        <v>30.674444633640562</v>
      </c>
      <c r="V297" s="877">
        <v>309.53877190343701</v>
      </c>
      <c r="W297" s="867">
        <v>2982.1586443005776</v>
      </c>
      <c r="X297" s="868">
        <v>0.48162710479863424</v>
      </c>
    </row>
    <row r="298" spans="16:24">
      <c r="P298" s="867">
        <v>101.451127819549</v>
      </c>
      <c r="Q298" s="868">
        <v>0.36863558882383501</v>
      </c>
      <c r="R298" s="867">
        <v>2201.1744186046485</v>
      </c>
      <c r="S298" s="867">
        <v>5674.2744186046448</v>
      </c>
      <c r="T298" s="867">
        <v>393.9353860465111</v>
      </c>
      <c r="U298" s="867">
        <v>18.162441895348817</v>
      </c>
      <c r="V298" s="877">
        <v>212.569662942506</v>
      </c>
      <c r="W298" s="867">
        <v>2982.1586443005776</v>
      </c>
      <c r="X298" s="868">
        <v>0.48162710479863424</v>
      </c>
    </row>
    <row r="299" spans="16:24">
      <c r="P299" s="867">
        <v>72.650990099009903</v>
      </c>
      <c r="Q299" s="868">
        <v>0.43933767162958698</v>
      </c>
      <c r="R299" s="867">
        <v>2693.8832951945064</v>
      </c>
      <c r="S299" s="867">
        <v>7212.7711670480512</v>
      </c>
      <c r="T299" s="867">
        <v>499.60045034324912</v>
      </c>
      <c r="U299" s="867">
        <v>22.824487693363835</v>
      </c>
      <c r="V299" s="877">
        <v>310.31512723102298</v>
      </c>
      <c r="W299" s="867">
        <v>2982.1586443005776</v>
      </c>
      <c r="X299" s="868">
        <v>0.48162710479863424</v>
      </c>
    </row>
    <row r="300" spans="16:24">
      <c r="P300" s="867">
        <v>102.31172069825401</v>
      </c>
      <c r="Q300" s="868">
        <v>0.45701611134131198</v>
      </c>
      <c r="R300" s="867">
        <v>2371.0069284064657</v>
      </c>
      <c r="S300" s="867">
        <v>5577.7690531177814</v>
      </c>
      <c r="T300" s="867">
        <v>385.60924896073897</v>
      </c>
      <c r="U300" s="867">
        <v>17.831868286374128</v>
      </c>
      <c r="V300" s="877">
        <v>165.38463600980299</v>
      </c>
      <c r="W300" s="867">
        <v>2982.1586443005776</v>
      </c>
      <c r="X300" s="868">
        <v>0.48162710479863424</v>
      </c>
    </row>
    <row r="301" spans="16:24">
      <c r="P301" s="867">
        <v>105.99754299754299</v>
      </c>
      <c r="Q301" s="868">
        <v>0.54229155559676401</v>
      </c>
      <c r="R301" s="867">
        <v>3604.2596810933906</v>
      </c>
      <c r="S301" s="867">
        <v>6717.4054669703801</v>
      </c>
      <c r="T301" s="867">
        <v>463.06320911161458</v>
      </c>
      <c r="U301" s="867">
        <v>31.968683250569445</v>
      </c>
      <c r="V301" s="877">
        <v>180.23905887032601</v>
      </c>
      <c r="W301" s="867">
        <v>2982.1586443005776</v>
      </c>
      <c r="X301" s="868">
        <v>0.48162710479863424</v>
      </c>
    </row>
    <row r="302" spans="16:24">
      <c r="P302" s="867">
        <v>53.425790754257903</v>
      </c>
      <c r="Q302" s="868">
        <v>0.502686947809454</v>
      </c>
      <c r="R302" s="867">
        <v>4897.1399548532681</v>
      </c>
      <c r="S302" s="867">
        <v>8406.4808126410753</v>
      </c>
      <c r="T302" s="867">
        <v>576.95003702031545</v>
      </c>
      <c r="U302" s="867">
        <v>42.076175957110564</v>
      </c>
      <c r="V302" s="877">
        <v>500.50997282377898</v>
      </c>
      <c r="W302" s="867">
        <v>2982.1586443005776</v>
      </c>
      <c r="X302" s="868">
        <v>0.48162710479863424</v>
      </c>
    </row>
    <row r="303" spans="16:24">
      <c r="P303" s="867">
        <v>94.755555555555603</v>
      </c>
      <c r="Q303" s="868">
        <v>0.45458098811757403</v>
      </c>
      <c r="R303" s="867">
        <v>3335.8096330275152</v>
      </c>
      <c r="S303" s="867">
        <v>6103.2912844036555</v>
      </c>
      <c r="T303" s="867">
        <v>426.66281834862281</v>
      </c>
      <c r="U303" s="867">
        <v>32.994539064220106</v>
      </c>
      <c r="V303" s="877">
        <v>216.011423472601</v>
      </c>
      <c r="W303" s="867">
        <v>2982.1586443005776</v>
      </c>
      <c r="X303" s="868">
        <v>0.48162710479863424</v>
      </c>
    </row>
    <row r="304" spans="16:24">
      <c r="P304" s="867">
        <v>44.905707196029802</v>
      </c>
      <c r="Q304" s="868">
        <v>0.83129800519423103</v>
      </c>
      <c r="R304" s="867">
        <v>4841.519540229885</v>
      </c>
      <c r="S304" s="867">
        <v>7222.9080459770112</v>
      </c>
      <c r="T304" s="867">
        <v>491.45982344827587</v>
      </c>
      <c r="U304" s="867">
        <v>41.085312105747128</v>
      </c>
      <c r="V304" s="877">
        <v>315.56882557926298</v>
      </c>
      <c r="W304" s="867">
        <v>2982.1586443005776</v>
      </c>
      <c r="X304" s="868">
        <v>0.48162710479863424</v>
      </c>
    </row>
    <row r="305" spans="16:24">
      <c r="P305" s="867">
        <v>104.753731343284</v>
      </c>
      <c r="Q305" s="868">
        <v>0.51354752914915403</v>
      </c>
      <c r="R305" s="867">
        <v>4507.5276497695831</v>
      </c>
      <c r="S305" s="867">
        <v>9235.9377880184275</v>
      </c>
      <c r="T305" s="867">
        <v>635.25753548386831</v>
      </c>
      <c r="U305" s="867">
        <v>40.650275541474628</v>
      </c>
      <c r="V305" s="877">
        <v>249.64785553235899</v>
      </c>
      <c r="W305" s="867">
        <v>2982.1586443005776</v>
      </c>
      <c r="X305" s="868">
        <v>0.48162710479863424</v>
      </c>
    </row>
    <row r="306" spans="16:24">
      <c r="P306" s="867">
        <v>74.565756823821403</v>
      </c>
      <c r="Q306" s="868">
        <v>0.73663893510815304</v>
      </c>
      <c r="R306" s="867">
        <v>3092.6827586206846</v>
      </c>
      <c r="S306" s="867">
        <v>7861.9885057471129</v>
      </c>
      <c r="T306" s="867">
        <v>538.16603770114853</v>
      </c>
      <c r="U306" s="867">
        <v>27.194947160919494</v>
      </c>
      <c r="V306" s="877">
        <v>199.902693178958</v>
      </c>
      <c r="W306" s="867">
        <v>2982.1586443005776</v>
      </c>
      <c r="X306" s="868">
        <v>0.48162710479863424</v>
      </c>
    </row>
    <row r="307" spans="16:24">
      <c r="P307" s="867">
        <v>79.421182266009893</v>
      </c>
      <c r="Q307" s="868">
        <v>0.48078771902620598</v>
      </c>
      <c r="R307" s="867">
        <v>2039.8219178082149</v>
      </c>
      <c r="S307" s="867">
        <v>5955.7762557077504</v>
      </c>
      <c r="T307" s="867">
        <v>411.42114520547864</v>
      </c>
      <c r="U307" s="867">
        <v>18.329337812785351</v>
      </c>
      <c r="V307" s="877">
        <v>210.57329446414599</v>
      </c>
      <c r="W307" s="867">
        <v>2982.1586443005776</v>
      </c>
      <c r="X307" s="868">
        <v>0.48162710479863424</v>
      </c>
    </row>
    <row r="308" spans="16:24">
      <c r="P308" s="867">
        <v>115.946078431373</v>
      </c>
      <c r="Q308" s="868">
        <v>0.56185261911808204</v>
      </c>
      <c r="R308" s="867">
        <v>4690.1020408163231</v>
      </c>
      <c r="S308" s="867">
        <v>9380.3537414965922</v>
      </c>
      <c r="T308" s="867">
        <v>648.64077460317185</v>
      </c>
      <c r="U308" s="867">
        <v>36.988338770975034</v>
      </c>
      <c r="V308" s="877">
        <v>213.982763983723</v>
      </c>
      <c r="W308" s="867">
        <v>2982.1586443005776</v>
      </c>
      <c r="X308" s="868">
        <v>0.48162710479863424</v>
      </c>
    </row>
    <row r="309" spans="16:24">
      <c r="P309" s="867">
        <v>37.6965174129353</v>
      </c>
      <c r="Q309" s="868">
        <v>0.75386036689982805</v>
      </c>
      <c r="R309" s="867">
        <v>2856.1682027649731</v>
      </c>
      <c r="S309" s="867">
        <v>6257.12211981566</v>
      </c>
      <c r="T309" s="867">
        <v>430.5525290322575</v>
      </c>
      <c r="U309" s="867">
        <v>20.189671493087531</v>
      </c>
      <c r="V309" s="877">
        <v>323.84896749365402</v>
      </c>
      <c r="W309" s="867">
        <v>2982.1586443005776</v>
      </c>
      <c r="X309" s="868">
        <v>0.48162710479863424</v>
      </c>
    </row>
    <row r="310" spans="16:24">
      <c r="P310" s="867">
        <v>36.685785536159599</v>
      </c>
      <c r="Q310" s="868">
        <v>0.44164230847664998</v>
      </c>
      <c r="R310" s="867">
        <v>2541.3810623556569</v>
      </c>
      <c r="S310" s="867">
        <v>5032.3718244803667</v>
      </c>
      <c r="T310" s="867">
        <v>346.24459861431853</v>
      </c>
      <c r="U310" s="867">
        <v>21.246188672055418</v>
      </c>
      <c r="V310" s="877">
        <v>483.62085238165503</v>
      </c>
      <c r="W310" s="867">
        <v>2982.1586443005776</v>
      </c>
      <c r="X310" s="868">
        <v>0.48162710479863424</v>
      </c>
    </row>
    <row r="311" spans="16:24">
      <c r="P311" s="867">
        <v>39.3349753694581</v>
      </c>
      <c r="Q311" s="868">
        <v>0.81865998747651902</v>
      </c>
      <c r="R311" s="867">
        <v>3281.1484018264855</v>
      </c>
      <c r="S311" s="867">
        <v>5413.3995433789978</v>
      </c>
      <c r="T311" s="867">
        <v>376.5384480730595</v>
      </c>
      <c r="U311" s="867">
        <v>24.845148707762565</v>
      </c>
      <c r="V311" s="877">
        <v>279.481116248349</v>
      </c>
      <c r="W311" s="867">
        <v>2982.1586443005776</v>
      </c>
      <c r="X311" s="868">
        <v>0.48162710479863424</v>
      </c>
    </row>
    <row r="312" spans="16:24">
      <c r="P312" s="867">
        <v>40.287841191067002</v>
      </c>
      <c r="Q312" s="868">
        <v>0.61437546193643799</v>
      </c>
      <c r="R312" s="867">
        <v>4169.2919540229932</v>
      </c>
      <c r="S312" s="867">
        <v>5314.5057471264427</v>
      </c>
      <c r="T312" s="867">
        <v>369.05035034482802</v>
      </c>
      <c r="U312" s="867">
        <v>35.985895170114986</v>
      </c>
      <c r="V312" s="877">
        <v>401.11319105493402</v>
      </c>
      <c r="W312" s="867">
        <v>2982.1586443005776</v>
      </c>
      <c r="X312" s="868">
        <v>0.48162710479863424</v>
      </c>
    </row>
    <row r="313" spans="16:24">
      <c r="P313" s="867">
        <v>69.471177944862205</v>
      </c>
      <c r="Q313" s="868">
        <v>0.33753021393268201</v>
      </c>
      <c r="R313" s="867">
        <v>2926.9162790697656</v>
      </c>
      <c r="S313" s="867">
        <v>6736.913953488368</v>
      </c>
      <c r="T313" s="867">
        <v>471.54779200465083</v>
      </c>
      <c r="U313" s="867">
        <v>23.13317100465115</v>
      </c>
      <c r="V313" s="877">
        <v>438.47717526643498</v>
      </c>
      <c r="W313" s="867">
        <v>2982.1586443005776</v>
      </c>
      <c r="X313" s="868">
        <v>0.48162710479863424</v>
      </c>
    </row>
    <row r="314" spans="16:24">
      <c r="P314" s="867">
        <v>63.8982630272953</v>
      </c>
      <c r="Q314" s="868">
        <v>0.53679468758494797</v>
      </c>
      <c r="R314" s="867">
        <v>2694.6689655172408</v>
      </c>
      <c r="S314" s="867">
        <v>7601.9632183908034</v>
      </c>
      <c r="T314" s="867">
        <v>519.80907034482755</v>
      </c>
      <c r="U314" s="867">
        <v>23.337743039080458</v>
      </c>
      <c r="V314" s="877">
        <v>305.63187171613799</v>
      </c>
      <c r="W314" s="867">
        <v>2982.1586443005776</v>
      </c>
      <c r="X314" s="868">
        <v>0.48162710479863424</v>
      </c>
    </row>
    <row r="315" spans="16:24">
      <c r="P315" s="867">
        <v>82.306172839506203</v>
      </c>
      <c r="Q315" s="868">
        <v>0.46889062218755601</v>
      </c>
      <c r="R315" s="867">
        <v>3240.9130434782564</v>
      </c>
      <c r="S315" s="867">
        <v>8083.3935926773347</v>
      </c>
      <c r="T315" s="867">
        <v>567.09833958809998</v>
      </c>
      <c r="U315" s="867">
        <v>28.320766528604079</v>
      </c>
      <c r="V315" s="877">
        <v>304.63046598953503</v>
      </c>
      <c r="W315" s="867">
        <v>2982.1586443005776</v>
      </c>
      <c r="X315" s="868">
        <v>0.48162710479863424</v>
      </c>
    </row>
    <row r="316" spans="16:24">
      <c r="P316" s="867">
        <v>75.436090225563902</v>
      </c>
      <c r="Q316" s="868">
        <v>0.39682381474467598</v>
      </c>
      <c r="R316" s="867">
        <v>3186.3069767441862</v>
      </c>
      <c r="S316" s="867">
        <v>7312.7558139534885</v>
      </c>
      <c r="T316" s="867">
        <v>498.16565953488373</v>
      </c>
      <c r="U316" s="867">
        <v>23.101432848837209</v>
      </c>
      <c r="V316" s="877">
        <v>359.12788004136502</v>
      </c>
      <c r="W316" s="867">
        <v>2982.1586443005776</v>
      </c>
      <c r="X316" s="868">
        <v>0.48162710479863424</v>
      </c>
    </row>
    <row r="317" spans="16:24">
      <c r="P317" s="867">
        <v>77.405000000000001</v>
      </c>
      <c r="Q317" s="868">
        <v>0.33877010529035601</v>
      </c>
      <c r="R317" s="867">
        <v>2734.7169373549882</v>
      </c>
      <c r="S317" s="867">
        <v>6034.445475638051</v>
      </c>
      <c r="T317" s="867">
        <v>423.62785150812061</v>
      </c>
      <c r="U317" s="867">
        <v>22.183588429234341</v>
      </c>
      <c r="V317" s="877">
        <v>348.98525484764502</v>
      </c>
      <c r="W317" s="867">
        <v>2982.1586443005776</v>
      </c>
      <c r="X317" s="868">
        <v>0.48162710479863424</v>
      </c>
    </row>
    <row r="318" spans="16:24">
      <c r="P318" s="867">
        <v>81.526195899772205</v>
      </c>
      <c r="Q318" s="868">
        <v>0.29773679798826502</v>
      </c>
      <c r="R318" s="867">
        <v>4087.0820045558021</v>
      </c>
      <c r="S318" s="867">
        <v>6138.2892938496489</v>
      </c>
      <c r="T318" s="867">
        <v>439.37727562642306</v>
      </c>
      <c r="U318" s="867">
        <v>28.470075619589934</v>
      </c>
      <c r="V318" s="877">
        <v>437.41795795795798</v>
      </c>
      <c r="W318" s="867">
        <v>3427.1365491869451</v>
      </c>
      <c r="X318" s="868">
        <v>0.6516060966327436</v>
      </c>
    </row>
    <row r="319" spans="16:24">
      <c r="P319" s="867">
        <v>3</v>
      </c>
      <c r="Q319" s="868">
        <v>0.22222222222222199</v>
      </c>
      <c r="R319" s="867">
        <v>4344.9565217391255</v>
      </c>
      <c r="S319" s="867">
        <v>13.565217391304332</v>
      </c>
      <c r="T319" s="867">
        <v>0.91888695652173802</v>
      </c>
      <c r="U319" s="867">
        <v>46.044420652173855</v>
      </c>
      <c r="V319" s="877">
        <v>6265.3718749999998</v>
      </c>
      <c r="W319" s="867">
        <v>3427.1365491869451</v>
      </c>
      <c r="X319" s="868">
        <v>0.6516060966327436</v>
      </c>
    </row>
    <row r="320" spans="16:24">
      <c r="P320" s="867">
        <v>76.855504587156005</v>
      </c>
      <c r="Q320" s="868">
        <v>0.37971888149452399</v>
      </c>
      <c r="R320" s="867">
        <v>5092.7935779816453</v>
      </c>
      <c r="S320" s="867">
        <v>9173.3623853210902</v>
      </c>
      <c r="T320" s="867">
        <v>623.98992844036616</v>
      </c>
      <c r="U320" s="867">
        <v>31.551506729357762</v>
      </c>
      <c r="V320" s="877">
        <v>488.69646966362802</v>
      </c>
      <c r="W320" s="867">
        <v>3427.1365491869451</v>
      </c>
      <c r="X320" s="868">
        <v>0.6516060966327436</v>
      </c>
    </row>
    <row r="321" spans="16:24">
      <c r="P321" s="867">
        <v>77.126146788990795</v>
      </c>
      <c r="Q321" s="868">
        <v>0.58351919588426004</v>
      </c>
      <c r="R321" s="867">
        <v>6430.3738532110247</v>
      </c>
      <c r="S321" s="867">
        <v>7356.3738532110265</v>
      </c>
      <c r="T321" s="867">
        <v>501.90968440366862</v>
      </c>
      <c r="U321" s="867">
        <v>38.090807818807427</v>
      </c>
      <c r="V321" s="877">
        <v>306.09200795025998</v>
      </c>
      <c r="W321" s="867">
        <v>3427.1365491869451</v>
      </c>
      <c r="X321" s="868">
        <v>0.6516060966327436</v>
      </c>
    </row>
    <row r="322" spans="16:24">
      <c r="P322" s="867">
        <v>48.4</v>
      </c>
      <c r="Q322" s="868">
        <v>0.56117602355846896</v>
      </c>
      <c r="R322" s="867">
        <v>3179.659770114939</v>
      </c>
      <c r="S322" s="867">
        <v>6738.3839080459693</v>
      </c>
      <c r="T322" s="867">
        <v>459.52339678160865</v>
      </c>
      <c r="U322" s="867">
        <v>19.732733333333311</v>
      </c>
      <c r="V322" s="877">
        <v>365.15847482014402</v>
      </c>
      <c r="W322" s="867">
        <v>3427.1365491869451</v>
      </c>
      <c r="X322" s="868">
        <v>0.6516060966327436</v>
      </c>
    </row>
    <row r="323" spans="16:24">
      <c r="P323" s="867">
        <v>75.782110091743107</v>
      </c>
      <c r="Q323" s="868">
        <v>0.49033019581731802</v>
      </c>
      <c r="R323" s="867">
        <v>3594.2477064220211</v>
      </c>
      <c r="S323" s="867">
        <v>9126.5344036697315</v>
      </c>
      <c r="T323" s="867">
        <v>623.40016880733765</v>
      </c>
      <c r="U323" s="867">
        <v>26.316448699541304</v>
      </c>
      <c r="V323" s="877">
        <v>336.14181532004199</v>
      </c>
      <c r="W323" s="867">
        <v>3427.1365491869451</v>
      </c>
      <c r="X323" s="868">
        <v>0.6516060966327436</v>
      </c>
    </row>
    <row r="324" spans="16:24">
      <c r="P324" s="867">
        <v>98.163218390804602</v>
      </c>
      <c r="Q324" s="868">
        <v>0.47303341842111402</v>
      </c>
      <c r="R324" s="867">
        <v>4854.9448275862078</v>
      </c>
      <c r="S324" s="867">
        <v>7983.7379310344841</v>
      </c>
      <c r="T324" s="867">
        <v>544.88693885057251</v>
      </c>
      <c r="U324" s="867">
        <v>35.644372085057476</v>
      </c>
      <c r="V324" s="877">
        <v>276.49024753700701</v>
      </c>
      <c r="W324" s="867">
        <v>3427.1365491869451</v>
      </c>
      <c r="X324" s="868">
        <v>0.6516060966327436</v>
      </c>
    </row>
    <row r="325" spans="16:24">
      <c r="P325" s="867">
        <v>44.828859060402699</v>
      </c>
      <c r="Q325" s="868">
        <v>0.46500486563365501</v>
      </c>
      <c r="R325" s="867">
        <v>3990.0305164319234</v>
      </c>
      <c r="S325" s="867">
        <v>6737.5281690140819</v>
      </c>
      <c r="T325" s="867">
        <v>458.17659342722988</v>
      </c>
      <c r="U325" s="867">
        <v>23.364010180751166</v>
      </c>
      <c r="V325" s="877">
        <v>540.87304778761097</v>
      </c>
      <c r="W325" s="867">
        <v>3427.1365491869451</v>
      </c>
      <c r="X325" s="868">
        <v>0.6516060966327436</v>
      </c>
    </row>
    <row r="326" spans="16:24">
      <c r="P326" s="867">
        <v>84.304651162790705</v>
      </c>
      <c r="Q326" s="868">
        <v>0.485669360845218</v>
      </c>
      <c r="R326" s="867">
        <v>3106.6534883720888</v>
      </c>
      <c r="S326" s="867">
        <v>7126.5953488371997</v>
      </c>
      <c r="T326" s="867">
        <v>488.6633711627901</v>
      </c>
      <c r="U326" s="867">
        <v>23.7145982837209</v>
      </c>
      <c r="V326" s="877">
        <v>249.931682381006</v>
      </c>
      <c r="W326" s="867">
        <v>3427.1365491869451</v>
      </c>
      <c r="X326" s="868">
        <v>0.6516060966327436</v>
      </c>
    </row>
    <row r="327" spans="16:24">
      <c r="P327" s="867">
        <v>68.7638888888889</v>
      </c>
      <c r="Q327" s="868">
        <v>0.47424762674207199</v>
      </c>
      <c r="R327" s="867">
        <v>3716.2337962962952</v>
      </c>
      <c r="S327" s="867">
        <v>7202.8055555555538</v>
      </c>
      <c r="T327" s="867">
        <v>494.65258888888877</v>
      </c>
      <c r="U327" s="867">
        <v>21.542226708333327</v>
      </c>
      <c r="V327" s="877">
        <v>334.825635292448</v>
      </c>
      <c r="W327" s="867">
        <v>3427.1365491869451</v>
      </c>
      <c r="X327" s="868">
        <v>0.6516060966327436</v>
      </c>
    </row>
    <row r="328" spans="16:24">
      <c r="P328" s="867">
        <v>44.55</v>
      </c>
      <c r="Q328" s="868">
        <v>0.68385241301907995</v>
      </c>
      <c r="R328" s="867">
        <v>5216.0207373271824</v>
      </c>
      <c r="S328" s="867">
        <v>8312.0645161290213</v>
      </c>
      <c r="T328" s="867">
        <v>567.07393548387017</v>
      </c>
      <c r="U328" s="867">
        <v>29.609869184331757</v>
      </c>
      <c r="V328" s="877">
        <v>446.54389495225098</v>
      </c>
      <c r="W328" s="867">
        <v>3427.1365491869451</v>
      </c>
      <c r="X328" s="868">
        <v>0.6516060966327436</v>
      </c>
    </row>
    <row r="329" spans="16:24">
      <c r="P329" s="867">
        <v>84.673563218390797</v>
      </c>
      <c r="Q329" s="868">
        <v>0.21252681019737699</v>
      </c>
      <c r="R329" s="867">
        <v>1342.6137931034473</v>
      </c>
      <c r="S329" s="867">
        <v>3694.5977011494224</v>
      </c>
      <c r="T329" s="867">
        <v>251.55604229885037</v>
      </c>
      <c r="U329" s="867">
        <v>9.2230905747126375</v>
      </c>
      <c r="V329" s="877">
        <v>279.16163898824698</v>
      </c>
      <c r="W329" s="867">
        <v>3427.1365491869451</v>
      </c>
      <c r="X329" s="868">
        <v>0.6516060966327436</v>
      </c>
    </row>
    <row r="330" spans="16:24">
      <c r="P330" s="867">
        <v>66.180778032036599</v>
      </c>
      <c r="Q330" s="868">
        <v>0.54818298122471598</v>
      </c>
      <c r="R330" s="867">
        <v>4938.4691075514938</v>
      </c>
      <c r="S330" s="867">
        <v>12706.418764302076</v>
      </c>
      <c r="T330" s="867">
        <v>897.22056933638339</v>
      </c>
      <c r="U330" s="867">
        <v>29.059949185354728</v>
      </c>
      <c r="V330" s="877">
        <v>486.41645767629598</v>
      </c>
      <c r="W330" s="867">
        <v>3427.1365491869451</v>
      </c>
      <c r="X330" s="868">
        <v>0.6516060966327436</v>
      </c>
    </row>
    <row r="331" spans="16:24">
      <c r="P331" s="867">
        <v>68.173553719008297</v>
      </c>
      <c r="Q331" s="868">
        <v>0.34573887743969001</v>
      </c>
      <c r="R331" s="867">
        <v>2085.0446009389648</v>
      </c>
      <c r="S331" s="867">
        <v>4348.6619718309812</v>
      </c>
      <c r="T331" s="867">
        <v>300.33007699530486</v>
      </c>
      <c r="U331" s="867">
        <v>16.822317366197165</v>
      </c>
      <c r="V331" s="877">
        <v>226.054941176471</v>
      </c>
      <c r="W331" s="867">
        <v>3427.1365491869451</v>
      </c>
      <c r="X331" s="868">
        <v>0.6516060966327436</v>
      </c>
    </row>
    <row r="332" spans="16:24">
      <c r="P332" s="867">
        <v>52.694954128440401</v>
      </c>
      <c r="Q332" s="868">
        <v>0.440130576713819</v>
      </c>
      <c r="R332" s="867">
        <v>4091.5389908256893</v>
      </c>
      <c r="S332" s="867">
        <v>7422.7339449541305</v>
      </c>
      <c r="T332" s="867">
        <v>505.60174128440383</v>
      </c>
      <c r="U332" s="867">
        <v>28.498860564220191</v>
      </c>
      <c r="V332" s="877">
        <v>496.46211234177201</v>
      </c>
      <c r="W332" s="867">
        <v>3427.1365491869451</v>
      </c>
      <c r="X332" s="868">
        <v>0.6516060966327436</v>
      </c>
    </row>
    <row r="333" spans="16:24">
      <c r="P333" s="867">
        <v>118.55936073059399</v>
      </c>
      <c r="Q333" s="868">
        <v>0.37591711760288099</v>
      </c>
      <c r="R333" s="867">
        <v>2024.7739726027364</v>
      </c>
      <c r="S333" s="867">
        <v>6384.2283105022725</v>
      </c>
      <c r="T333" s="867">
        <v>439.02936255707687</v>
      </c>
      <c r="U333" s="867">
        <v>15.995000589041069</v>
      </c>
      <c r="V333" s="877">
        <v>188.40890169561001</v>
      </c>
      <c r="W333" s="867">
        <v>3427.1365491869451</v>
      </c>
      <c r="X333" s="868">
        <v>0.6516060966327436</v>
      </c>
    </row>
    <row r="334" spans="16:24">
      <c r="P334" s="867">
        <v>87.611494252873598</v>
      </c>
      <c r="Q334" s="868">
        <v>0.27215239694576399</v>
      </c>
      <c r="R334" s="867">
        <v>2301.3724137931044</v>
      </c>
      <c r="S334" s="867">
        <v>5733.9770114942548</v>
      </c>
      <c r="T334" s="867">
        <v>361.56828689655185</v>
      </c>
      <c r="U334" s="867">
        <v>18.347293013793109</v>
      </c>
      <c r="V334" s="877">
        <v>311.53182896259199</v>
      </c>
      <c r="W334" s="867">
        <v>3427.1365491869451</v>
      </c>
      <c r="X334" s="868">
        <v>0.6516060966327436</v>
      </c>
    </row>
    <row r="335" spans="16:24">
      <c r="P335" s="867">
        <v>82.350348027842202</v>
      </c>
      <c r="Q335" s="868">
        <v>0.44298875834671603</v>
      </c>
      <c r="R335" s="867">
        <v>2434.7006960556791</v>
      </c>
      <c r="S335" s="867">
        <v>6560.3503480278287</v>
      </c>
      <c r="T335" s="867">
        <v>450.46674153132159</v>
      </c>
      <c r="U335" s="867">
        <v>18.438511468677458</v>
      </c>
      <c r="V335" s="877">
        <v>246.57295681485701</v>
      </c>
      <c r="W335" s="867">
        <v>3427.1365491869451</v>
      </c>
      <c r="X335" s="868">
        <v>0.6516060966327436</v>
      </c>
    </row>
    <row r="336" spans="16:24">
      <c r="P336" s="867">
        <v>101.190804597701</v>
      </c>
      <c r="Q336" s="868">
        <v>0.493320914171475</v>
      </c>
      <c r="R336" s="867">
        <v>3632.282758620689</v>
      </c>
      <c r="S336" s="867">
        <v>7756.4574712643671</v>
      </c>
      <c r="T336" s="867">
        <v>532.18200643677926</v>
      </c>
      <c r="U336" s="867">
        <v>25.772139342528732</v>
      </c>
      <c r="V336" s="877">
        <v>228.14190237163299</v>
      </c>
      <c r="W336" s="867">
        <v>3427.1365491869451</v>
      </c>
      <c r="X336" s="868">
        <v>0.6516060966327436</v>
      </c>
    </row>
    <row r="337" spans="16:24">
      <c r="P337" s="867">
        <v>59.668192219679597</v>
      </c>
      <c r="Q337" s="868">
        <v>0.44046021093000998</v>
      </c>
      <c r="R337" s="867">
        <v>4351.6910755148692</v>
      </c>
      <c r="S337" s="867">
        <v>5383.5263157894669</v>
      </c>
      <c r="T337" s="867">
        <v>367.65150755148699</v>
      </c>
      <c r="U337" s="867">
        <v>26.094113389015988</v>
      </c>
      <c r="V337" s="877">
        <v>370.42109534175</v>
      </c>
      <c r="W337" s="867">
        <v>3427.1365491869451</v>
      </c>
      <c r="X337" s="868">
        <v>0.6516060966327436</v>
      </c>
    </row>
    <row r="338" spans="16:24">
      <c r="P338" s="867">
        <v>78.995423340961096</v>
      </c>
      <c r="Q338" s="868">
        <v>0.41734016975174498</v>
      </c>
      <c r="R338" s="867">
        <v>7355.9107551487277</v>
      </c>
      <c r="S338" s="867">
        <v>8365.7139588100526</v>
      </c>
      <c r="T338" s="867">
        <v>569.08120091533078</v>
      </c>
      <c r="U338" s="867">
        <v>45.476978446224173</v>
      </c>
      <c r="V338" s="877">
        <v>476.87586589852202</v>
      </c>
      <c r="W338" s="867">
        <v>3427.1365491869451</v>
      </c>
      <c r="X338" s="868">
        <v>0.6516060966327436</v>
      </c>
    </row>
    <row r="339" spans="16:24">
      <c r="P339" s="867">
        <v>83.986175115207402</v>
      </c>
      <c r="Q339" s="868">
        <v>0.49626886145404697</v>
      </c>
      <c r="R339" s="867">
        <v>6187.5253456221226</v>
      </c>
      <c r="S339" s="867">
        <v>9674.1152073732756</v>
      </c>
      <c r="T339" s="867">
        <v>658.69691612903023</v>
      </c>
      <c r="U339" s="867">
        <v>34.588670841013837</v>
      </c>
      <c r="V339" s="877">
        <v>380.60104980927599</v>
      </c>
      <c r="W339" s="867">
        <v>3427.1365491869451</v>
      </c>
      <c r="X339" s="868">
        <v>0.6516060966327436</v>
      </c>
    </row>
    <row r="340" spans="16:24">
      <c r="P340" s="867">
        <v>98.041189931350104</v>
      </c>
      <c r="Q340" s="868">
        <v>0.51678181308934801</v>
      </c>
      <c r="R340" s="867">
        <v>9088.6727688787087</v>
      </c>
      <c r="S340" s="867">
        <v>8686.6361556063966</v>
      </c>
      <c r="T340" s="867">
        <v>589.73197620137</v>
      </c>
      <c r="U340" s="867">
        <v>50.99998871395875</v>
      </c>
      <c r="V340" s="877">
        <v>350.20345151528898</v>
      </c>
      <c r="W340" s="867">
        <v>3427.1365491869451</v>
      </c>
      <c r="X340" s="868">
        <v>0.6516060966327436</v>
      </c>
    </row>
    <row r="341" spans="16:24">
      <c r="P341" s="867">
        <v>46.607888631090503</v>
      </c>
      <c r="Q341" s="868">
        <v>0.57591596973317405</v>
      </c>
      <c r="R341" s="867">
        <v>3961.6867749419939</v>
      </c>
      <c r="S341" s="867">
        <v>7095.7076566125261</v>
      </c>
      <c r="T341" s="867">
        <v>485.45373549883971</v>
      </c>
      <c r="U341" s="867">
        <v>25.011795916473307</v>
      </c>
      <c r="V341" s="877">
        <v>414.27308756158698</v>
      </c>
      <c r="W341" s="867">
        <v>3427.1365491869451</v>
      </c>
      <c r="X341" s="868">
        <v>0.6516060966327436</v>
      </c>
    </row>
    <row r="342" spans="16:24">
      <c r="P342" s="867">
        <v>96.912240184757493</v>
      </c>
      <c r="Q342" s="868">
        <v>0.315516049853442</v>
      </c>
      <c r="R342" s="867">
        <v>4355.2725173210101</v>
      </c>
      <c r="S342" s="867">
        <v>6540.1824480369432</v>
      </c>
      <c r="T342" s="867">
        <v>455.08919907621186</v>
      </c>
      <c r="U342" s="867">
        <v>27.126289764434144</v>
      </c>
      <c r="V342" s="877">
        <v>362.67599546827802</v>
      </c>
      <c r="W342" s="867">
        <v>3427.1365491869451</v>
      </c>
      <c r="X342" s="868">
        <v>0.6516060966327436</v>
      </c>
    </row>
    <row r="343" spans="16:24">
      <c r="P343" s="867">
        <v>129.03899082568799</v>
      </c>
      <c r="Q343" s="868">
        <v>0.44293560370416502</v>
      </c>
      <c r="R343" s="867">
        <v>5894.7591743119156</v>
      </c>
      <c r="S343" s="867">
        <v>8437.6490825687924</v>
      </c>
      <c r="T343" s="867">
        <v>580.17805871559301</v>
      </c>
      <c r="U343" s="867">
        <v>38.891583119265988</v>
      </c>
      <c r="V343" s="877">
        <v>254.394584269663</v>
      </c>
      <c r="W343" s="867">
        <v>3427.1365491869451</v>
      </c>
      <c r="X343" s="868">
        <v>0.6516060966327436</v>
      </c>
    </row>
    <row r="344" spans="16:24">
      <c r="P344" s="867">
        <v>68.983908045977003</v>
      </c>
      <c r="Q344" s="868">
        <v>0.60473873633697695</v>
      </c>
      <c r="R344" s="867">
        <v>3021.1816091954001</v>
      </c>
      <c r="S344" s="867">
        <v>8766.9678160919484</v>
      </c>
      <c r="T344" s="867">
        <v>598.32215172413521</v>
      </c>
      <c r="U344" s="867">
        <v>24.61142058850573</v>
      </c>
      <c r="V344" s="877">
        <v>282.57253485424599</v>
      </c>
      <c r="W344" s="867">
        <v>3427.1365491869451</v>
      </c>
      <c r="X344" s="868">
        <v>0.6516060966327436</v>
      </c>
    </row>
    <row r="345" spans="16:24">
      <c r="P345" s="867">
        <v>50.501154734411102</v>
      </c>
      <c r="Q345" s="868">
        <v>0.61114922028627605</v>
      </c>
      <c r="R345" s="867">
        <v>2598.9769053117752</v>
      </c>
      <c r="S345" s="867">
        <v>6889.0161662817472</v>
      </c>
      <c r="T345" s="867">
        <v>485.84715381062301</v>
      </c>
      <c r="U345" s="867">
        <v>20.540010734411062</v>
      </c>
      <c r="V345" s="877">
        <v>307.41566372343601</v>
      </c>
      <c r="W345" s="867">
        <v>3427.1365491869451</v>
      </c>
      <c r="X345" s="868">
        <v>0.6516060966327436</v>
      </c>
    </row>
    <row r="346" spans="16:24">
      <c r="P346" s="867">
        <v>55.904872389791201</v>
      </c>
      <c r="Q346" s="868">
        <v>0.40568582693504901</v>
      </c>
      <c r="R346" s="867">
        <v>4007.0765661252976</v>
      </c>
      <c r="S346" s="867">
        <v>4121.7772621809818</v>
      </c>
      <c r="T346" s="867">
        <v>281.105499767982</v>
      </c>
      <c r="U346" s="867">
        <v>22.402863837587049</v>
      </c>
      <c r="V346" s="877">
        <v>358.41807058823503</v>
      </c>
      <c r="W346" s="867">
        <v>3427.1365491869451</v>
      </c>
      <c r="X346" s="868">
        <v>0.6516060966327436</v>
      </c>
    </row>
    <row r="347" spans="16:24">
      <c r="P347" s="867">
        <v>84.056306306306297</v>
      </c>
      <c r="Q347" s="868">
        <v>0.776184989684092</v>
      </c>
      <c r="R347" s="867">
        <v>9060.8063063062982</v>
      </c>
      <c r="S347" s="867">
        <v>8632.3063063062982</v>
      </c>
      <c r="T347" s="867">
        <v>588.40739999999948</v>
      </c>
      <c r="U347" s="867">
        <v>51.299320022522473</v>
      </c>
      <c r="V347" s="877">
        <v>271.18689208782098</v>
      </c>
      <c r="W347" s="867">
        <v>3427.1365491869451</v>
      </c>
      <c r="X347" s="868">
        <v>0.6516060966327436</v>
      </c>
    </row>
    <row r="348" spans="16:24">
      <c r="P348" s="867">
        <v>58.963553530751703</v>
      </c>
      <c r="Q348" s="868">
        <v>0.45559204172300599</v>
      </c>
      <c r="R348" s="867">
        <v>5016.0068337129815</v>
      </c>
      <c r="S348" s="867">
        <v>8162.9134396355312</v>
      </c>
      <c r="T348" s="867">
        <v>555.97754168564893</v>
      </c>
      <c r="U348" s="867">
        <v>34.155472448747133</v>
      </c>
      <c r="V348" s="877">
        <v>490.59142372593902</v>
      </c>
      <c r="W348" s="867">
        <v>3427.1365491869451</v>
      </c>
      <c r="X348" s="868">
        <v>0.6516060966327436</v>
      </c>
    </row>
    <row r="349" spans="16:24">
      <c r="P349" s="867">
        <v>99.398617511520698</v>
      </c>
      <c r="Q349" s="868">
        <v>0.37610978464962103</v>
      </c>
      <c r="R349" s="867">
        <v>4811.4516129032218</v>
      </c>
      <c r="S349" s="867">
        <v>6763.7027649769534</v>
      </c>
      <c r="T349" s="867">
        <v>461.83209032258026</v>
      </c>
      <c r="U349" s="867">
        <v>35.83671694930873</v>
      </c>
      <c r="V349" s="877">
        <v>309.62192850539299</v>
      </c>
      <c r="W349" s="867">
        <v>3427.1365491869451</v>
      </c>
      <c r="X349" s="868">
        <v>0.6516060966327436</v>
      </c>
    </row>
    <row r="350" spans="16:24">
      <c r="P350" s="867">
        <v>60.372685185185198</v>
      </c>
      <c r="Q350" s="868">
        <v>0.431195122886392</v>
      </c>
      <c r="R350" s="867">
        <v>3346.0972222222199</v>
      </c>
      <c r="S350" s="867">
        <v>5897.9421296296259</v>
      </c>
      <c r="T350" s="867">
        <v>405.65491296296273</v>
      </c>
      <c r="U350" s="867">
        <v>22.720266145833317</v>
      </c>
      <c r="V350" s="877">
        <v>355.07300017784098</v>
      </c>
      <c r="W350" s="867">
        <v>3427.1365491869451</v>
      </c>
      <c r="X350" s="868">
        <v>0.6516060966327436</v>
      </c>
    </row>
    <row r="351" spans="16:24">
      <c r="P351" s="867">
        <v>79.754587155963307</v>
      </c>
      <c r="Q351" s="868">
        <v>0.56656026227245304</v>
      </c>
      <c r="R351" s="867">
        <v>7445.9013761467868</v>
      </c>
      <c r="S351" s="867">
        <v>8694.2912844036673</v>
      </c>
      <c r="T351" s="867">
        <v>591.92477798164896</v>
      </c>
      <c r="U351" s="867">
        <v>46.078767298165126</v>
      </c>
      <c r="V351" s="877">
        <v>357.196206283945</v>
      </c>
      <c r="W351" s="867">
        <v>3427.1365491869451</v>
      </c>
      <c r="X351" s="868">
        <v>0.6516060966327436</v>
      </c>
    </row>
    <row r="352" spans="16:24">
      <c r="P352" s="867">
        <v>58.853828306264496</v>
      </c>
      <c r="Q352" s="868">
        <v>0.49885673736497699</v>
      </c>
      <c r="R352" s="867">
        <v>2989.1368909512776</v>
      </c>
      <c r="S352" s="867">
        <v>5491.3874709976826</v>
      </c>
      <c r="T352" s="867">
        <v>376.44869514617187</v>
      </c>
      <c r="U352" s="867">
        <v>18.573362925754072</v>
      </c>
      <c r="V352" s="877">
        <v>288.84971313418703</v>
      </c>
      <c r="W352" s="867">
        <v>3427.1365491869451</v>
      </c>
      <c r="X352" s="868">
        <v>0.6516060966327436</v>
      </c>
    </row>
    <row r="353" spans="16:24">
      <c r="P353" s="867">
        <v>59.188235294117703</v>
      </c>
      <c r="Q353" s="868">
        <v>0.61991651759093602</v>
      </c>
      <c r="R353" s="867">
        <v>4126.0352941176561</v>
      </c>
      <c r="S353" s="867">
        <v>7234.7082352941334</v>
      </c>
      <c r="T353" s="867">
        <v>494.2631679999987</v>
      </c>
      <c r="U353" s="867">
        <v>27.406041432941233</v>
      </c>
      <c r="V353" s="877">
        <v>309.17771578812398</v>
      </c>
      <c r="W353" s="867">
        <v>3427.1365491869451</v>
      </c>
      <c r="X353" s="868">
        <v>0.6516060966327436</v>
      </c>
    </row>
    <row r="354" spans="16:24">
      <c r="P354" s="867">
        <v>71.002293577981703</v>
      </c>
      <c r="Q354" s="868">
        <v>0.46438608392286101</v>
      </c>
      <c r="R354" s="867">
        <v>3947.8669724770584</v>
      </c>
      <c r="S354" s="867">
        <v>6706.8600917431095</v>
      </c>
      <c r="T354" s="867">
        <v>456.62745504587087</v>
      </c>
      <c r="U354" s="867">
        <v>28.052501075688031</v>
      </c>
      <c r="V354" s="877">
        <v>323.13988870339398</v>
      </c>
      <c r="W354" s="867">
        <v>3427.1365491869451</v>
      </c>
      <c r="X354" s="868">
        <v>0.6516060966327436</v>
      </c>
    </row>
    <row r="355" spans="16:24">
      <c r="P355" s="867">
        <v>67.022364217252402</v>
      </c>
      <c r="Q355" s="868">
        <v>1.22032605586805E-2</v>
      </c>
      <c r="R355" s="867">
        <v>249.40303030303031</v>
      </c>
      <c r="S355" s="867">
        <v>260.15151515151513</v>
      </c>
      <c r="T355" s="867">
        <v>18.006935757575757</v>
      </c>
      <c r="U355" s="867">
        <v>1.6912767424242423</v>
      </c>
      <c r="V355" s="877">
        <v>598.39822064057</v>
      </c>
      <c r="W355" s="867">
        <v>3427.1365491869451</v>
      </c>
      <c r="X355" s="868">
        <v>0.6516060966327436</v>
      </c>
    </row>
    <row r="356" spans="16:24">
      <c r="P356" s="867">
        <v>75.795871559632999</v>
      </c>
      <c r="Q356" s="868">
        <v>0.57294156806971897</v>
      </c>
      <c r="R356" s="867">
        <v>8708.1513761467759</v>
      </c>
      <c r="S356" s="867">
        <v>8417.9266055045737</v>
      </c>
      <c r="T356" s="867">
        <v>574.45011926605412</v>
      </c>
      <c r="U356" s="867">
        <v>53.098266467889829</v>
      </c>
      <c r="V356" s="877">
        <v>394.36835005809701</v>
      </c>
      <c r="W356" s="867">
        <v>3427.1365491869451</v>
      </c>
      <c r="X356" s="868">
        <v>0.6516060966327436</v>
      </c>
    </row>
    <row r="357" spans="16:24">
      <c r="P357" s="867">
        <v>97.600917431192698</v>
      </c>
      <c r="Q357" s="868">
        <v>0.38851811815575499</v>
      </c>
      <c r="R357" s="867">
        <v>5270.3188073394376</v>
      </c>
      <c r="S357" s="867">
        <v>8798.8715596330076</v>
      </c>
      <c r="T357" s="867">
        <v>598.96149908256507</v>
      </c>
      <c r="U357" s="867">
        <v>35.160698094036611</v>
      </c>
      <c r="V357" s="877">
        <v>370.84496098711702</v>
      </c>
      <c r="W357" s="867">
        <v>3427.1365491869451</v>
      </c>
      <c r="X357" s="868">
        <v>0.6516060966327436</v>
      </c>
    </row>
    <row r="358" spans="16:24">
      <c r="P358" s="867">
        <v>72.087155963302806</v>
      </c>
      <c r="Q358" s="868">
        <v>0.654088450524976</v>
      </c>
      <c r="R358" s="867">
        <v>9116.8967889908163</v>
      </c>
      <c r="S358" s="867">
        <v>8576.0733944954045</v>
      </c>
      <c r="T358" s="867">
        <v>583.39346055045803</v>
      </c>
      <c r="U358" s="867">
        <v>52.284540821100862</v>
      </c>
      <c r="V358" s="877">
        <v>374.50060219865799</v>
      </c>
      <c r="W358" s="867">
        <v>3427.1365491869451</v>
      </c>
      <c r="X358" s="868">
        <v>0.6516060966327436</v>
      </c>
    </row>
    <row r="359" spans="16:24">
      <c r="P359" s="867">
        <v>83.464367816091993</v>
      </c>
      <c r="Q359" s="868">
        <v>0.650866224144104</v>
      </c>
      <c r="R359" s="867">
        <v>4740.9011494252863</v>
      </c>
      <c r="S359" s="867">
        <v>9529.6781609195386</v>
      </c>
      <c r="T359" s="867">
        <v>650.38889195402294</v>
      </c>
      <c r="U359" s="867">
        <v>30.603325289655171</v>
      </c>
      <c r="V359" s="877">
        <v>262.30458846430503</v>
      </c>
      <c r="W359" s="867">
        <v>3427.1365491869451</v>
      </c>
      <c r="X359" s="868">
        <v>0.6516060966327436</v>
      </c>
    </row>
    <row r="360" spans="16:24">
      <c r="P360" s="867">
        <v>111.59633027522899</v>
      </c>
      <c r="Q360" s="868">
        <v>0.42765537652088098</v>
      </c>
      <c r="R360" s="867">
        <v>7814.1422018348721</v>
      </c>
      <c r="S360" s="867">
        <v>10918.089449541299</v>
      </c>
      <c r="T360" s="867">
        <v>749.28557431192519</v>
      </c>
      <c r="U360" s="867">
        <v>46.033359800458776</v>
      </c>
      <c r="V360" s="877">
        <v>394.12149173394897</v>
      </c>
      <c r="W360" s="867">
        <v>3427.1365491869451</v>
      </c>
      <c r="X360" s="868">
        <v>0.6516060966327436</v>
      </c>
    </row>
    <row r="361" spans="16:24">
      <c r="P361" s="867">
        <v>75.831018518518505</v>
      </c>
      <c r="Q361" s="868">
        <v>0.56445556946182696</v>
      </c>
      <c r="R361" s="867">
        <v>4200.1157407407291</v>
      </c>
      <c r="S361" s="867">
        <v>7736.7523148147939</v>
      </c>
      <c r="T361" s="867">
        <v>527.02279259259114</v>
      </c>
      <c r="U361" s="867">
        <v>24.768560826388818</v>
      </c>
      <c r="V361" s="877">
        <v>278.87771240062699</v>
      </c>
      <c r="W361" s="867">
        <v>3427.1365491869451</v>
      </c>
      <c r="X361" s="868">
        <v>0.6516060966327436</v>
      </c>
    </row>
    <row r="362" spans="16:24">
      <c r="P362" s="867">
        <v>70.529953917050705</v>
      </c>
      <c r="Q362" s="868">
        <v>0.480594576935642</v>
      </c>
      <c r="R362" s="867">
        <v>4568.1497695852531</v>
      </c>
      <c r="S362" s="867">
        <v>5944.8847926267281</v>
      </c>
      <c r="T362" s="867">
        <v>407.8598322580645</v>
      </c>
      <c r="U362" s="867">
        <v>29.738946976958523</v>
      </c>
      <c r="V362" s="877">
        <v>310.15270885731798</v>
      </c>
      <c r="W362" s="867">
        <v>3427.1365491869451</v>
      </c>
      <c r="X362" s="868">
        <v>0.6516060966327436</v>
      </c>
    </row>
    <row r="363" spans="16:24">
      <c r="P363" s="867">
        <v>81.229357798165097</v>
      </c>
      <c r="Q363" s="868">
        <v>0.53235825615540999</v>
      </c>
      <c r="R363" s="867">
        <v>4083.5206422018355</v>
      </c>
      <c r="S363" s="867">
        <v>9877.3073394495423</v>
      </c>
      <c r="T363" s="867">
        <v>686.36710825687862</v>
      </c>
      <c r="U363" s="867">
        <v>29.261868688073395</v>
      </c>
      <c r="V363" s="877">
        <v>326.83863795481102</v>
      </c>
      <c r="W363" s="867">
        <v>3427.1365491869451</v>
      </c>
      <c r="X363" s="868">
        <v>0.6516060966327436</v>
      </c>
    </row>
    <row r="364" spans="16:24">
      <c r="P364" s="867">
        <v>62.654377880184299</v>
      </c>
      <c r="Q364" s="868">
        <v>0.577375698734922</v>
      </c>
      <c r="R364" s="867">
        <v>6227.0806451612934</v>
      </c>
      <c r="S364" s="867">
        <v>10118.500000000005</v>
      </c>
      <c r="T364" s="867">
        <v>694.55397419354642</v>
      </c>
      <c r="U364" s="867">
        <v>41.592610460829519</v>
      </c>
      <c r="V364" s="877">
        <v>453.22010509554099</v>
      </c>
      <c r="W364" s="867">
        <v>3427.1365491869451</v>
      </c>
      <c r="X364" s="868">
        <v>0.6516060966327436</v>
      </c>
    </row>
    <row r="365" spans="16:24">
      <c r="P365" s="867">
        <v>64.281464530892507</v>
      </c>
      <c r="Q365" s="868">
        <v>0.55359367769036405</v>
      </c>
      <c r="R365" s="867">
        <v>3141.0251716247121</v>
      </c>
      <c r="S365" s="867">
        <v>6211.5308924485098</v>
      </c>
      <c r="T365" s="867">
        <v>425.34793592677323</v>
      </c>
      <c r="U365" s="867">
        <v>17.895932096109831</v>
      </c>
      <c r="V365" s="877">
        <v>262.816881229503</v>
      </c>
      <c r="W365" s="867">
        <v>3427.1365491869451</v>
      </c>
      <c r="X365" s="868">
        <v>0.6516060966327436</v>
      </c>
    </row>
    <row r="366" spans="16:24">
      <c r="P366" s="867">
        <v>82.990846681922207</v>
      </c>
      <c r="Q366" s="868">
        <v>0.402183803457689</v>
      </c>
      <c r="R366" s="867">
        <v>3832.7391304347752</v>
      </c>
      <c r="S366" s="867">
        <v>9036.7345537757265</v>
      </c>
      <c r="T366" s="867">
        <v>617.16155789473567</v>
      </c>
      <c r="U366" s="867">
        <v>26.475620565217337</v>
      </c>
      <c r="V366" s="877">
        <v>383.88769984917002</v>
      </c>
      <c r="W366" s="867">
        <v>3427.1365491869451</v>
      </c>
      <c r="X366" s="868">
        <v>0.6516060966327436</v>
      </c>
    </row>
    <row r="367" spans="16:24">
      <c r="P367" s="867">
        <v>45.259090909090901</v>
      </c>
      <c r="Q367" s="868">
        <v>0.51847946168524695</v>
      </c>
      <c r="R367" s="867">
        <v>7520.972727272725</v>
      </c>
      <c r="S367" s="867">
        <v>8283.9613636363611</v>
      </c>
      <c r="T367" s="867">
        <v>565.22511818181806</v>
      </c>
      <c r="U367" s="867">
        <v>47.0479121340909</v>
      </c>
      <c r="V367" s="877">
        <v>673.52760871670705</v>
      </c>
      <c r="W367" s="867">
        <v>3427.1365491869451</v>
      </c>
      <c r="X367" s="868">
        <v>0.6516060966327436</v>
      </c>
    </row>
    <row r="368" spans="16:24">
      <c r="P368" s="867">
        <v>51.084862385321102</v>
      </c>
      <c r="Q368" s="868">
        <v>0.66421227495173496</v>
      </c>
      <c r="R368" s="867">
        <v>3499.8440366972445</v>
      </c>
      <c r="S368" s="867">
        <v>8397.0573394495332</v>
      </c>
      <c r="T368" s="867">
        <v>574.59553944954075</v>
      </c>
      <c r="U368" s="867">
        <v>27.045790449541261</v>
      </c>
      <c r="V368" s="877">
        <v>350.618374340949</v>
      </c>
      <c r="W368" s="867">
        <v>3427.1365491869451</v>
      </c>
      <c r="X368" s="868">
        <v>0.6516060966327436</v>
      </c>
    </row>
    <row r="369" spans="16:24">
      <c r="P369" s="867">
        <v>70.016129032258107</v>
      </c>
      <c r="Q369" s="868">
        <v>1.26698917300161E-2</v>
      </c>
      <c r="R369" s="867">
        <v>201.63235294117618</v>
      </c>
      <c r="S369" s="867">
        <v>208.08823529411734</v>
      </c>
      <c r="T369" s="867">
        <v>14.659399999999978</v>
      </c>
      <c r="U369" s="867">
        <v>1.2866926470588216</v>
      </c>
      <c r="V369" s="877">
        <v>456.73721311475401</v>
      </c>
      <c r="W369" s="867">
        <v>3427.1365491869451</v>
      </c>
      <c r="X369" s="868">
        <v>0.6516060966327436</v>
      </c>
    </row>
    <row r="370" spans="16:24">
      <c r="P370" s="867">
        <v>78.403263403263395</v>
      </c>
      <c r="Q370" s="868">
        <v>0.41780883008770597</v>
      </c>
      <c r="R370" s="867">
        <v>3873.5687645687599</v>
      </c>
      <c r="S370" s="867">
        <v>6494.7272727272648</v>
      </c>
      <c r="T370" s="867">
        <v>441.87645874125826</v>
      </c>
      <c r="U370" s="867">
        <v>27.314162799533769</v>
      </c>
      <c r="V370" s="877">
        <v>316.51590123105399</v>
      </c>
      <c r="W370" s="867">
        <v>3427.1365491869451</v>
      </c>
      <c r="X370" s="868">
        <v>0.6516060966327436</v>
      </c>
    </row>
    <row r="371" spans="16:24">
      <c r="P371" s="867">
        <v>35.629032258064498</v>
      </c>
      <c r="Q371" s="868">
        <v>2.35400633770937E-2</v>
      </c>
      <c r="R371" s="867">
        <v>166.7640449438201</v>
      </c>
      <c r="S371" s="867">
        <v>108.06741573033699</v>
      </c>
      <c r="T371" s="867">
        <v>7.717617977528084</v>
      </c>
      <c r="U371" s="867">
        <v>0.87655730337078575</v>
      </c>
      <c r="V371" s="877">
        <v>309.605189873418</v>
      </c>
      <c r="W371" s="867">
        <v>3427.1365491869451</v>
      </c>
      <c r="X371" s="868">
        <v>0.6516060966327436</v>
      </c>
    </row>
    <row r="372" spans="16:24">
      <c r="P372" s="867">
        <v>58.306451612903203</v>
      </c>
      <c r="Q372" s="868">
        <v>0.49298557597312798</v>
      </c>
      <c r="R372" s="867">
        <v>4747.504608294922</v>
      </c>
      <c r="S372" s="867">
        <v>5420.8663594469945</v>
      </c>
      <c r="T372" s="867">
        <v>373.93441290322517</v>
      </c>
      <c r="U372" s="867">
        <v>29.910375513824828</v>
      </c>
      <c r="V372" s="877">
        <v>353.75290901803601</v>
      </c>
      <c r="W372" s="867">
        <v>3427.1365491869451</v>
      </c>
      <c r="X372" s="868">
        <v>0.6516060966327436</v>
      </c>
    </row>
    <row r="373" spans="16:24">
      <c r="P373" s="867">
        <v>48.013986013985999</v>
      </c>
      <c r="Q373" s="868">
        <v>0.39513545004369399</v>
      </c>
      <c r="R373" s="867">
        <v>2119.9487179487201</v>
      </c>
      <c r="S373" s="867">
        <v>5946.0815850815916</v>
      </c>
      <c r="T373" s="867">
        <v>404.39451002331043</v>
      </c>
      <c r="U373" s="867">
        <v>14.482099578088594</v>
      </c>
      <c r="V373" s="877">
        <v>423.26232706720702</v>
      </c>
      <c r="W373" s="867">
        <v>3427.1365491869451</v>
      </c>
      <c r="X373" s="868">
        <v>0.6516060966327436</v>
      </c>
    </row>
    <row r="374" spans="16:24">
      <c r="P374" s="867">
        <v>91.847727272727298</v>
      </c>
      <c r="Q374" s="868">
        <v>0.34649741419840202</v>
      </c>
      <c r="R374" s="867">
        <v>2885.7227272727214</v>
      </c>
      <c r="S374" s="867">
        <v>7116.8090909090761</v>
      </c>
      <c r="T374" s="867">
        <v>488.30871090908988</v>
      </c>
      <c r="U374" s="867">
        <v>20.311300106818138</v>
      </c>
      <c r="V374" s="877">
        <v>314.48753481396898</v>
      </c>
      <c r="W374" s="867">
        <v>3427.1365491869451</v>
      </c>
      <c r="X374" s="868">
        <v>0.6516060966327436</v>
      </c>
    </row>
    <row r="375" spans="16:24">
      <c r="P375" s="867">
        <v>89.919724770642205</v>
      </c>
      <c r="Q375" s="868">
        <v>0.484147430174723</v>
      </c>
      <c r="R375" s="867">
        <v>3171.5022935779753</v>
      </c>
      <c r="S375" s="867">
        <v>6798.9288990825553</v>
      </c>
      <c r="T375" s="867">
        <v>452.93539816513675</v>
      </c>
      <c r="U375" s="867">
        <v>24.85653477522931</v>
      </c>
      <c r="V375" s="877">
        <v>224.701250197566</v>
      </c>
      <c r="W375" s="867">
        <v>3427.1365491869451</v>
      </c>
      <c r="X375" s="868">
        <v>0.6516060966327436</v>
      </c>
    </row>
    <row r="376" spans="16:24">
      <c r="P376" s="867">
        <v>76.027842227378201</v>
      </c>
      <c r="Q376" s="868">
        <v>0.344207763671875</v>
      </c>
      <c r="R376" s="867">
        <v>2809.4199535962889</v>
      </c>
      <c r="S376" s="867">
        <v>6203.6426914153153</v>
      </c>
      <c r="T376" s="867">
        <v>423.94658375870091</v>
      </c>
      <c r="U376" s="867">
        <v>18.856522651972163</v>
      </c>
      <c r="V376" s="877">
        <v>344.41262700594001</v>
      </c>
      <c r="W376" s="867">
        <v>3427.1365491869451</v>
      </c>
      <c r="X376" s="868">
        <v>0.6516060966327436</v>
      </c>
    </row>
    <row r="377" spans="16:24">
      <c r="P377" s="867">
        <v>44.997690531177803</v>
      </c>
      <c r="Q377" s="868">
        <v>0.44277355779100802</v>
      </c>
      <c r="R377" s="867">
        <v>2103.8290993071569</v>
      </c>
      <c r="S377" s="867">
        <v>5828.3556581986077</v>
      </c>
      <c r="T377" s="867">
        <v>397.86036766743604</v>
      </c>
      <c r="U377" s="867">
        <v>15.00801963048497</v>
      </c>
      <c r="V377" s="877">
        <v>398.12645415555801</v>
      </c>
      <c r="W377" s="867">
        <v>3427.1365491869451</v>
      </c>
      <c r="X377" s="868">
        <v>0.6516060966327436</v>
      </c>
    </row>
    <row r="378" spans="16:24">
      <c r="P378" s="867">
        <v>76.356321839080493</v>
      </c>
      <c r="Q378" s="868">
        <v>0.43341863615836201</v>
      </c>
      <c r="R378" s="867">
        <v>2557.4919540229903</v>
      </c>
      <c r="S378" s="867">
        <v>7312.0367816092012</v>
      </c>
      <c r="T378" s="867">
        <v>503.89753931034295</v>
      </c>
      <c r="U378" s="867">
        <v>19.083598045977027</v>
      </c>
      <c r="V378" s="877">
        <v>298.22485829397101</v>
      </c>
      <c r="W378" s="867">
        <v>3427.1365491869451</v>
      </c>
      <c r="X378" s="868">
        <v>0.6516060966327436</v>
      </c>
    </row>
    <row r="379" spans="16:24">
      <c r="P379" s="867">
        <v>91.312785388127907</v>
      </c>
      <c r="Q379" s="868">
        <v>0.43565445680710102</v>
      </c>
      <c r="R379" s="867">
        <v>2718.7009132420026</v>
      </c>
      <c r="S379" s="867">
        <v>8587.7511415524896</v>
      </c>
      <c r="T379" s="867">
        <v>585.48239086757849</v>
      </c>
      <c r="U379" s="867">
        <v>20.499168618721413</v>
      </c>
      <c r="V379" s="877">
        <v>284.21873737373699</v>
      </c>
      <c r="W379" s="867">
        <v>3427.1365491869451</v>
      </c>
      <c r="X379" s="868">
        <v>0.6516060966327436</v>
      </c>
    </row>
    <row r="380" spans="16:24">
      <c r="P380" s="867">
        <v>111.966367713005</v>
      </c>
      <c r="Q380" s="868">
        <v>0.34080941986903501</v>
      </c>
      <c r="R380" s="867">
        <v>3525.874439461877</v>
      </c>
      <c r="S380" s="867">
        <v>7163.6255605381039</v>
      </c>
      <c r="T380" s="867">
        <v>489.85053273542513</v>
      </c>
      <c r="U380" s="867">
        <v>24.451839733183814</v>
      </c>
      <c r="V380" s="877">
        <v>280.12884952112398</v>
      </c>
      <c r="W380" s="867">
        <v>3158.6335789532814</v>
      </c>
      <c r="X380" s="868">
        <v>0.50601011979662114</v>
      </c>
    </row>
    <row r="381" spans="16:24">
      <c r="P381" s="867">
        <v>70.240384615384599</v>
      </c>
      <c r="Q381" s="868">
        <v>0.43507871321012997</v>
      </c>
      <c r="R381" s="867">
        <v>2838.2193995381031</v>
      </c>
      <c r="S381" s="867">
        <v>6298.7274826789762</v>
      </c>
      <c r="T381" s="867">
        <v>439.64921016166232</v>
      </c>
      <c r="U381" s="867">
        <v>20.28725461893762</v>
      </c>
      <c r="V381" s="877">
        <v>299.67431298288102</v>
      </c>
      <c r="W381" s="867">
        <v>3158.6335789532814</v>
      </c>
      <c r="X381" s="868">
        <v>0.50601011979662114</v>
      </c>
    </row>
    <row r="382" spans="16:24">
      <c r="P382" s="867">
        <v>115.827188940092</v>
      </c>
      <c r="Q382" s="868">
        <v>0.39288627185740699</v>
      </c>
      <c r="R382" s="867">
        <v>2734.403225806444</v>
      </c>
      <c r="S382" s="867">
        <v>7008.2534562211786</v>
      </c>
      <c r="T382" s="867">
        <v>481.49747096773831</v>
      </c>
      <c r="U382" s="867">
        <v>21.323470679723446</v>
      </c>
      <c r="V382" s="877">
        <v>214.09174278481001</v>
      </c>
      <c r="W382" s="867">
        <v>3158.6335789532814</v>
      </c>
      <c r="X382" s="868">
        <v>0.50601011979662114</v>
      </c>
    </row>
    <row r="383" spans="16:24">
      <c r="P383" s="867">
        <v>96.165394402035602</v>
      </c>
      <c r="Q383" s="868">
        <v>0.41044637895906699</v>
      </c>
      <c r="R383" s="867">
        <v>3330.1843317972302</v>
      </c>
      <c r="S383" s="867">
        <v>6241.8179723502217</v>
      </c>
      <c r="T383" s="867">
        <v>427.29796129031962</v>
      </c>
      <c r="U383" s="867">
        <v>24.423585251152041</v>
      </c>
      <c r="V383" s="877">
        <v>249.36943393961201</v>
      </c>
      <c r="W383" s="867">
        <v>3158.6335789532814</v>
      </c>
      <c r="X383" s="868">
        <v>0.50601011979662114</v>
      </c>
    </row>
    <row r="384" spans="16:24">
      <c r="P384" s="867">
        <v>84.195061728395103</v>
      </c>
      <c r="Q384" s="868">
        <v>0.60726121000615896</v>
      </c>
      <c r="R384" s="867">
        <v>5167.8094170403565</v>
      </c>
      <c r="S384" s="867">
        <v>9488.4798206277974</v>
      </c>
      <c r="T384" s="867">
        <v>651.05166816143458</v>
      </c>
      <c r="U384" s="867">
        <v>42.102119506726439</v>
      </c>
      <c r="V384" s="877">
        <v>286.24962072439001</v>
      </c>
      <c r="W384" s="867">
        <v>3158.6335789532814</v>
      </c>
      <c r="X384" s="868">
        <v>0.50601011979662114</v>
      </c>
    </row>
    <row r="385" spans="16:24">
      <c r="P385" s="867">
        <v>93.672018348623894</v>
      </c>
      <c r="Q385" s="868">
        <v>0.41450992874807202</v>
      </c>
      <c r="R385" s="867">
        <v>3281.832568807336</v>
      </c>
      <c r="S385" s="867">
        <v>6917.4977064220111</v>
      </c>
      <c r="T385" s="867">
        <v>479.61224609174263</v>
      </c>
      <c r="U385" s="867">
        <v>24.318364644495386</v>
      </c>
      <c r="V385" s="877">
        <v>262.68002185598698</v>
      </c>
      <c r="W385" s="867">
        <v>3158.6335789532814</v>
      </c>
      <c r="X385" s="868">
        <v>0.50601011979662114</v>
      </c>
    </row>
    <row r="386" spans="16:24">
      <c r="P386" s="867">
        <v>174.49770642201801</v>
      </c>
      <c r="Q386" s="868">
        <v>0.473508497522377</v>
      </c>
      <c r="R386" s="867">
        <v>5767.236238532103</v>
      </c>
      <c r="S386" s="867">
        <v>10730.651376146776</v>
      </c>
      <c r="T386" s="867">
        <v>736.94101651375831</v>
      </c>
      <c r="U386" s="867">
        <v>43.571780376146741</v>
      </c>
      <c r="V386" s="877">
        <v>199.669066759195</v>
      </c>
      <c r="W386" s="867">
        <v>3158.6335789532814</v>
      </c>
      <c r="X386" s="868">
        <v>0.50601011979662114</v>
      </c>
    </row>
    <row r="387" spans="16:24">
      <c r="P387" s="867">
        <v>70.329326923076906</v>
      </c>
      <c r="Q387" s="868">
        <v>0.354684349044673</v>
      </c>
      <c r="R387" s="867">
        <v>2925.1589861751131</v>
      </c>
      <c r="S387" s="867">
        <v>6369.5576036866314</v>
      </c>
      <c r="T387" s="867">
        <v>436.56658064516103</v>
      </c>
      <c r="U387" s="867">
        <v>22.108242281105976</v>
      </c>
      <c r="V387" s="877">
        <v>380.66515711993998</v>
      </c>
      <c r="W387" s="867">
        <v>3158.6335789532814</v>
      </c>
      <c r="X387" s="868">
        <v>0.50601011979662114</v>
      </c>
    </row>
    <row r="388" spans="16:24">
      <c r="P388" s="867">
        <v>86.354838709677395</v>
      </c>
      <c r="Q388" s="868">
        <v>0.29190458402262698</v>
      </c>
      <c r="R388" s="867">
        <v>2836.2304147465429</v>
      </c>
      <c r="S388" s="867">
        <v>5529.0345622119803</v>
      </c>
      <c r="T388" s="867">
        <v>382.67548387096764</v>
      </c>
      <c r="U388" s="867">
        <v>21.647435599078335</v>
      </c>
      <c r="V388" s="877">
        <v>330.76724405850098</v>
      </c>
      <c r="W388" s="867">
        <v>3158.6335789532814</v>
      </c>
      <c r="X388" s="868">
        <v>0.50601011979662114</v>
      </c>
    </row>
    <row r="389" spans="16:24">
      <c r="P389" s="867">
        <v>54.936842105263203</v>
      </c>
      <c r="Q389" s="868">
        <v>0.29914734623491102</v>
      </c>
      <c r="R389" s="867">
        <v>3227.5785876993145</v>
      </c>
      <c r="S389" s="867">
        <v>6552.3029612756218</v>
      </c>
      <c r="T389" s="867">
        <v>452.20715626423657</v>
      </c>
      <c r="U389" s="867">
        <v>26.30856637129839</v>
      </c>
      <c r="V389" s="877">
        <v>613.59396884378998</v>
      </c>
      <c r="W389" s="867">
        <v>3158.6335789532814</v>
      </c>
      <c r="X389" s="868">
        <v>0.50601011979662114</v>
      </c>
    </row>
    <row r="390" spans="16:24">
      <c r="P390" s="867">
        <v>76.014423076923094</v>
      </c>
      <c r="Q390" s="868">
        <v>0.40715324773891598</v>
      </c>
      <c r="R390" s="867">
        <v>4620.7367205542723</v>
      </c>
      <c r="S390" s="867">
        <v>6778.2217090069271</v>
      </c>
      <c r="T390" s="867">
        <v>461.90622263279437</v>
      </c>
      <c r="U390" s="867">
        <v>29.067850288683598</v>
      </c>
      <c r="V390" s="877">
        <v>372.84738177972503</v>
      </c>
      <c r="W390" s="867">
        <v>3158.6335789532814</v>
      </c>
      <c r="X390" s="868">
        <v>0.50601011979662114</v>
      </c>
    </row>
    <row r="391" spans="16:24">
      <c r="P391" s="867">
        <v>82.174712643678205</v>
      </c>
      <c r="Q391" s="868">
        <v>0.39288311978962698</v>
      </c>
      <c r="R391" s="867">
        <v>3323.7356321839038</v>
      </c>
      <c r="S391" s="867">
        <v>5992.234482758613</v>
      </c>
      <c r="T391" s="867">
        <v>414.78648754022936</v>
      </c>
      <c r="U391" s="867">
        <v>25.261600712643645</v>
      </c>
      <c r="V391" s="877">
        <v>288.55370549700899</v>
      </c>
      <c r="W391" s="867">
        <v>3158.6335789532814</v>
      </c>
      <c r="X391" s="868">
        <v>0.50601011979662114</v>
      </c>
    </row>
    <row r="392" spans="16:24">
      <c r="P392" s="867">
        <v>101.056947608201</v>
      </c>
      <c r="Q392" s="868">
        <v>0.45379136236588202</v>
      </c>
      <c r="R392" s="867">
        <v>3305.1845102505654</v>
      </c>
      <c r="S392" s="867">
        <v>6440.3644646924749</v>
      </c>
      <c r="T392" s="867">
        <v>447.72191343963499</v>
      </c>
      <c r="U392" s="867">
        <v>24.599785307517053</v>
      </c>
      <c r="V392" s="877">
        <v>212.512232267038</v>
      </c>
      <c r="W392" s="867">
        <v>3158.6335789532814</v>
      </c>
      <c r="X392" s="868">
        <v>0.50601011979662114</v>
      </c>
    </row>
    <row r="393" spans="16:24">
      <c r="P393" s="867">
        <v>41.261421319797002</v>
      </c>
      <c r="Q393" s="868">
        <v>0.577166758934613</v>
      </c>
      <c r="R393" s="867">
        <v>2259.8341013824906</v>
      </c>
      <c r="S393" s="867">
        <v>6001.6981566820341</v>
      </c>
      <c r="T393" s="867">
        <v>414.79912258064559</v>
      </c>
      <c r="U393" s="867">
        <v>17.156440552995409</v>
      </c>
      <c r="V393" s="877">
        <v>350.48922287390002</v>
      </c>
      <c r="W393" s="867">
        <v>3158.6335789532814</v>
      </c>
      <c r="X393" s="868">
        <v>0.50601011979662114</v>
      </c>
    </row>
    <row r="394" spans="16:24">
      <c r="P394" s="867">
        <v>98.866666666666703</v>
      </c>
      <c r="Q394" s="868">
        <v>3.8210833895257401E-3</v>
      </c>
      <c r="R394" s="867">
        <v>12.35</v>
      </c>
      <c r="S394" s="867">
        <v>70.099999999999994</v>
      </c>
      <c r="T394" s="867">
        <v>5.7532533333333333</v>
      </c>
      <c r="U394" s="867">
        <v>0.15263666666666667</v>
      </c>
      <c r="V394" s="877">
        <v>154.6171875</v>
      </c>
      <c r="W394" s="867">
        <v>3158.6335789532814</v>
      </c>
      <c r="X394" s="868">
        <v>0.50601011979662114</v>
      </c>
    </row>
    <row r="395" spans="16:24">
      <c r="P395" s="867">
        <v>104.301843317972</v>
      </c>
      <c r="Q395" s="868">
        <v>0.299710605960192</v>
      </c>
      <c r="R395" s="867">
        <v>2605.633640552991</v>
      </c>
      <c r="S395" s="867">
        <v>4738.8317972350151</v>
      </c>
      <c r="T395" s="867">
        <v>335.65063225806392</v>
      </c>
      <c r="U395" s="867">
        <v>18.356300610599046</v>
      </c>
      <c r="V395" s="877">
        <v>238.431502911476</v>
      </c>
      <c r="W395" s="867">
        <v>3116.1708958203221</v>
      </c>
      <c r="X395" s="868">
        <v>0.62581217238748177</v>
      </c>
    </row>
    <row r="396" spans="16:24">
      <c r="P396" s="867">
        <v>174.08715596330299</v>
      </c>
      <c r="Q396" s="868">
        <v>0.45245184580116499</v>
      </c>
      <c r="R396" s="867">
        <v>4529.9954128440359</v>
      </c>
      <c r="S396" s="867">
        <v>10958.651376146787</v>
      </c>
      <c r="T396" s="867">
        <v>747.99295045870872</v>
      </c>
      <c r="U396" s="867">
        <v>30.553875807339448</v>
      </c>
      <c r="V396" s="877">
        <v>196.473752547901</v>
      </c>
      <c r="W396" s="867">
        <v>3116.1708958203221</v>
      </c>
      <c r="X396" s="868">
        <v>0.62581217238748177</v>
      </c>
    </row>
    <row r="397" spans="16:24">
      <c r="P397" s="867">
        <v>110.818390804598</v>
      </c>
      <c r="Q397" s="868">
        <v>0.496473468033025</v>
      </c>
      <c r="R397" s="867">
        <v>3982.9402298850587</v>
      </c>
      <c r="S397" s="867">
        <v>8865.5724137931065</v>
      </c>
      <c r="T397" s="867">
        <v>608.64642758620482</v>
      </c>
      <c r="U397" s="867">
        <v>27.599486349425291</v>
      </c>
      <c r="V397" s="877">
        <v>232.998996782685</v>
      </c>
      <c r="W397" s="867">
        <v>3116.1708958203221</v>
      </c>
      <c r="X397" s="868">
        <v>0.62581217238748177</v>
      </c>
    </row>
    <row r="398" spans="16:24">
      <c r="P398" s="867">
        <v>101.066513761468</v>
      </c>
      <c r="Q398" s="868">
        <v>0.45582661976625399</v>
      </c>
      <c r="R398" s="867">
        <v>3304.3302752293562</v>
      </c>
      <c r="S398" s="867">
        <v>5990.3692660550423</v>
      </c>
      <c r="T398" s="867">
        <v>414.43136513761442</v>
      </c>
      <c r="U398" s="867">
        <v>22.417184089449528</v>
      </c>
      <c r="V398" s="877">
        <v>201.75714427959801</v>
      </c>
      <c r="W398" s="867">
        <v>3116.1708958203221</v>
      </c>
      <c r="X398" s="868">
        <v>0.62581217238748177</v>
      </c>
    </row>
    <row r="399" spans="16:24">
      <c r="P399" s="867">
        <v>92.599537037036995</v>
      </c>
      <c r="Q399" s="868">
        <v>0.48876334274929401</v>
      </c>
      <c r="R399" s="867">
        <v>6213.7430555555411</v>
      </c>
      <c r="S399" s="867">
        <v>7615.6041666666488</v>
      </c>
      <c r="T399" s="867">
        <v>522.03272592592236</v>
      </c>
      <c r="U399" s="867">
        <v>35.931464958333251</v>
      </c>
      <c r="V399" s="877">
        <v>305.55827434533597</v>
      </c>
      <c r="W399" s="867">
        <v>3116.1708958203221</v>
      </c>
      <c r="X399" s="868">
        <v>0.62581217238748177</v>
      </c>
    </row>
    <row r="400" spans="16:24">
      <c r="P400" s="867">
        <v>63.155963302752298</v>
      </c>
      <c r="Q400" s="868">
        <v>0.48540092969204002</v>
      </c>
      <c r="R400" s="867">
        <v>3383.2110091743102</v>
      </c>
      <c r="S400" s="867">
        <v>5789.584862385318</v>
      </c>
      <c r="T400" s="867">
        <v>395.81758165137592</v>
      </c>
      <c r="U400" s="867">
        <v>19.845826282110078</v>
      </c>
      <c r="V400" s="877">
        <v>299.20946431243499</v>
      </c>
      <c r="W400" s="867">
        <v>3116.1708958203221</v>
      </c>
      <c r="X400" s="868">
        <v>0.62581217238748177</v>
      </c>
    </row>
    <row r="401" spans="16:24">
      <c r="P401" s="867">
        <v>77.839285714285694</v>
      </c>
      <c r="Q401" s="868">
        <v>1.58293186510668E-2</v>
      </c>
      <c r="R401" s="867">
        <v>240.03846153846254</v>
      </c>
      <c r="S401" s="867">
        <v>142.92307692307753</v>
      </c>
      <c r="T401" s="867">
        <v>10.070451282051323</v>
      </c>
      <c r="U401" s="867">
        <v>1.5116682692307755</v>
      </c>
      <c r="V401" s="877">
        <v>324.68641304347801</v>
      </c>
      <c r="W401" s="867">
        <v>3116.1708958203221</v>
      </c>
      <c r="X401" s="868">
        <v>0.62581217238748177</v>
      </c>
    </row>
    <row r="402" spans="16:24">
      <c r="P402" s="867">
        <v>83.628504672897193</v>
      </c>
      <c r="Q402" s="868">
        <v>0.45103791244098002</v>
      </c>
      <c r="R402" s="867">
        <v>9780.6635514018635</v>
      </c>
      <c r="S402" s="867">
        <v>8858.4976635513958</v>
      </c>
      <c r="T402" s="867">
        <v>608.18186355140142</v>
      </c>
      <c r="U402" s="867">
        <v>51.512124768691557</v>
      </c>
      <c r="V402" s="877">
        <v>494.14993743805798</v>
      </c>
      <c r="W402" s="867">
        <v>3116.1708958203221</v>
      </c>
      <c r="X402" s="868">
        <v>0.62581217238748177</v>
      </c>
    </row>
    <row r="403" spans="16:24">
      <c r="P403" s="867">
        <v>105.185779816514</v>
      </c>
      <c r="Q403" s="868">
        <v>0.50417566123721702</v>
      </c>
      <c r="R403" s="867">
        <v>4499.1261467889844</v>
      </c>
      <c r="S403" s="867">
        <v>6010.4564220183402</v>
      </c>
      <c r="T403" s="867">
        <v>413.13066238532053</v>
      </c>
      <c r="U403" s="867">
        <v>32.530561442660506</v>
      </c>
      <c r="V403" s="877">
        <v>198.173989274284</v>
      </c>
      <c r="W403" s="867">
        <v>3116.1708958203221</v>
      </c>
      <c r="X403" s="868">
        <v>0.62581217238748177</v>
      </c>
    </row>
    <row r="404" spans="16:24">
      <c r="P404" s="867">
        <v>86.211981566820299</v>
      </c>
      <c r="Q404" s="868">
        <v>0.50791105409450499</v>
      </c>
      <c r="R404" s="867">
        <v>4338.5806451612907</v>
      </c>
      <c r="S404" s="867">
        <v>5616.322580645161</v>
      </c>
      <c r="T404" s="867">
        <v>385.15901935483868</v>
      </c>
      <c r="U404" s="867">
        <v>32.728182582949309</v>
      </c>
      <c r="V404" s="877">
        <v>227.34324826352301</v>
      </c>
      <c r="W404" s="867">
        <v>3116.1708958203221</v>
      </c>
      <c r="X404" s="868">
        <v>0.62581217238748177</v>
      </c>
    </row>
    <row r="405" spans="16:24">
      <c r="P405" s="867">
        <v>64.755980861243998</v>
      </c>
      <c r="Q405" s="868">
        <v>0.28417319343874697</v>
      </c>
      <c r="R405" s="867">
        <v>1714.1615925058575</v>
      </c>
      <c r="S405" s="867">
        <v>2976.3138173302154</v>
      </c>
      <c r="T405" s="867">
        <v>202.9380852459017</v>
      </c>
      <c r="U405" s="867">
        <v>12.626853463700254</v>
      </c>
      <c r="V405" s="877">
        <v>285.58868815057798</v>
      </c>
      <c r="W405" s="867">
        <v>3116.1708958203221</v>
      </c>
      <c r="X405" s="868">
        <v>0.62581217238748177</v>
      </c>
    </row>
    <row r="406" spans="16:24">
      <c r="P406" s="867">
        <v>73.354022988505804</v>
      </c>
      <c r="Q406" s="868">
        <v>0.57037199536181005</v>
      </c>
      <c r="R406" s="867">
        <v>3565.9448275861987</v>
      </c>
      <c r="S406" s="867">
        <v>6236.1402298850426</v>
      </c>
      <c r="T406" s="867">
        <v>433.16612781609098</v>
      </c>
      <c r="U406" s="867">
        <v>26.636256705747066</v>
      </c>
      <c r="V406" s="877">
        <v>234.280819230769</v>
      </c>
      <c r="W406" s="867">
        <v>3116.1708958203221</v>
      </c>
      <c r="X406" s="868">
        <v>0.62581217238748177</v>
      </c>
    </row>
    <row r="407" spans="16:24">
      <c r="P407" s="867">
        <v>82.949425287356306</v>
      </c>
      <c r="Q407" s="868">
        <v>0.41565280048776398</v>
      </c>
      <c r="R407" s="867">
        <v>3354.7747126436698</v>
      </c>
      <c r="S407" s="867">
        <v>6335.2712643678005</v>
      </c>
      <c r="T407" s="867">
        <v>437.73310160919436</v>
      </c>
      <c r="U407" s="867">
        <v>23.226906096551666</v>
      </c>
      <c r="V407" s="877">
        <v>281.04866315508701</v>
      </c>
      <c r="W407" s="867">
        <v>3116.1708958203221</v>
      </c>
      <c r="X407" s="868">
        <v>0.62581217238748177</v>
      </c>
    </row>
    <row r="408" spans="16:24">
      <c r="P408" s="867">
        <v>76.066820276497694</v>
      </c>
      <c r="Q408" s="868">
        <v>0.53009420531305895</v>
      </c>
      <c r="R408" s="867">
        <v>3781.6682027649686</v>
      </c>
      <c r="S408" s="867">
        <v>5611.228110599066</v>
      </c>
      <c r="T408" s="867">
        <v>387.46399999999909</v>
      </c>
      <c r="U408" s="867">
        <v>36.130054562211903</v>
      </c>
      <c r="V408" s="877">
        <v>232.943901714286</v>
      </c>
      <c r="W408" s="867">
        <v>3116.1708958203221</v>
      </c>
      <c r="X408" s="868">
        <v>0.62581217238748177</v>
      </c>
    </row>
    <row r="409" spans="16:24">
      <c r="P409" s="867">
        <v>39.490654205607498</v>
      </c>
      <c r="Q409" s="868">
        <v>0.32215122470713498</v>
      </c>
      <c r="R409" s="867">
        <v>2887.163551401869</v>
      </c>
      <c r="S409" s="867">
        <v>4148.4719626168217</v>
      </c>
      <c r="T409" s="867">
        <v>288.21955700934575</v>
      </c>
      <c r="U409" s="867">
        <v>20.245886011682241</v>
      </c>
      <c r="V409" s="877">
        <v>552.27015794306703</v>
      </c>
      <c r="W409" s="867">
        <v>3116.1708958203221</v>
      </c>
      <c r="X409" s="868">
        <v>0.62581217238748177</v>
      </c>
    </row>
    <row r="410" spans="16:24">
      <c r="P410" s="867">
        <v>98.349425287356297</v>
      </c>
      <c r="Q410" s="868">
        <v>0.44450937310083699</v>
      </c>
      <c r="R410" s="867">
        <v>2592.7241379310312</v>
      </c>
      <c r="S410" s="867">
        <v>5923.9954022988441</v>
      </c>
      <c r="T410" s="867">
        <v>412.69572045976963</v>
      </c>
      <c r="U410" s="867">
        <v>19.01392480919538</v>
      </c>
      <c r="V410" s="877">
        <v>194.814003786086</v>
      </c>
      <c r="W410" s="867">
        <v>3116.1708958203221</v>
      </c>
      <c r="X410" s="868">
        <v>0.62581217238748177</v>
      </c>
    </row>
    <row r="411" spans="16:24">
      <c r="P411" s="867">
        <v>139.780320366133</v>
      </c>
      <c r="Q411" s="868">
        <v>0.54649335341496996</v>
      </c>
      <c r="R411" s="867">
        <v>4096.5583524027379</v>
      </c>
      <c r="S411" s="867">
        <v>7858.2791762013567</v>
      </c>
      <c r="T411" s="867">
        <v>543.84405125857779</v>
      </c>
      <c r="U411" s="867">
        <v>27.598850661327173</v>
      </c>
      <c r="V411" s="877">
        <v>156.62388173266999</v>
      </c>
      <c r="W411" s="867">
        <v>3116.1708958203221</v>
      </c>
      <c r="X411" s="868">
        <v>0.62581217238748177</v>
      </c>
    </row>
    <row r="412" spans="16:24">
      <c r="P412" s="867">
        <v>126.122119815668</v>
      </c>
      <c r="Q412" s="868">
        <v>0.33956921278111701</v>
      </c>
      <c r="R412" s="867">
        <v>4779.6290322580644</v>
      </c>
      <c r="S412" s="867">
        <v>6679.3202764976959</v>
      </c>
      <c r="T412" s="867">
        <v>460.46046451612671</v>
      </c>
      <c r="U412" s="867">
        <v>33.977325410138249</v>
      </c>
      <c r="V412" s="877">
        <v>268.55731478990702</v>
      </c>
      <c r="W412" s="867">
        <v>3116.1708958203221</v>
      </c>
      <c r="X412" s="868">
        <v>0.62581217238748177</v>
      </c>
    </row>
    <row r="413" spans="16:24">
      <c r="P413" s="867">
        <v>116.06349206349201</v>
      </c>
      <c r="Q413" s="868">
        <v>0.52821194123163495</v>
      </c>
      <c r="R413" s="867">
        <v>3226.1156462584954</v>
      </c>
      <c r="S413" s="867">
        <v>7417.4126984126806</v>
      </c>
      <c r="T413" s="867">
        <v>514.02279365079016</v>
      </c>
      <c r="U413" s="867">
        <v>24.69734904308384</v>
      </c>
      <c r="V413" s="877">
        <v>173.459142254771</v>
      </c>
      <c r="W413" s="867">
        <v>3116.1708958203221</v>
      </c>
      <c r="X413" s="868">
        <v>0.62581217238748177</v>
      </c>
    </row>
    <row r="414" spans="16:24">
      <c r="P414" s="867">
        <v>97.166281755196295</v>
      </c>
      <c r="Q414" s="868">
        <v>0.406174981579635</v>
      </c>
      <c r="R414" s="867">
        <v>2853.5080831408832</v>
      </c>
      <c r="S414" s="867">
        <v>6859.7806004619069</v>
      </c>
      <c r="T414" s="867">
        <v>472.74187344110715</v>
      </c>
      <c r="U414" s="867">
        <v>22.565856496535844</v>
      </c>
      <c r="V414" s="877">
        <v>246.11471999531901</v>
      </c>
      <c r="W414" s="867">
        <v>3116.1708958203221</v>
      </c>
      <c r="X414" s="868">
        <v>0.62581217238748177</v>
      </c>
    </row>
    <row r="415" spans="16:24">
      <c r="P415" s="867">
        <v>112.95161290322601</v>
      </c>
      <c r="Q415" s="868">
        <v>0.49750107096958501</v>
      </c>
      <c r="R415" s="867">
        <v>3701.7004608294851</v>
      </c>
      <c r="S415" s="867">
        <v>7719.6497695852377</v>
      </c>
      <c r="T415" s="867">
        <v>530.91658064515786</v>
      </c>
      <c r="U415" s="867">
        <v>28.685969080645101</v>
      </c>
      <c r="V415" s="877">
        <v>202.831234623585</v>
      </c>
      <c r="W415" s="867">
        <v>3116.1708958203221</v>
      </c>
      <c r="X415" s="868">
        <v>0.62581217238748177</v>
      </c>
    </row>
    <row r="416" spans="16:24">
      <c r="P416" s="867">
        <v>77.451834862385297</v>
      </c>
      <c r="Q416" s="868">
        <v>0.40421688530901101</v>
      </c>
      <c r="R416" s="867">
        <v>2276.9243119266066</v>
      </c>
      <c r="S416" s="867">
        <v>6158.4426605504614</v>
      </c>
      <c r="T416" s="867">
        <v>434.72862961467905</v>
      </c>
      <c r="U416" s="867">
        <v>17.158322277522942</v>
      </c>
      <c r="V416" s="877">
        <v>269.437157509158</v>
      </c>
      <c r="W416" s="867">
        <v>3116.1708958203221</v>
      </c>
      <c r="X416" s="868">
        <v>0.62581217238748177</v>
      </c>
    </row>
    <row r="417" spans="16:24">
      <c r="P417" s="867">
        <v>104.289351851852</v>
      </c>
      <c r="Q417" s="868">
        <v>0.33529398708188102</v>
      </c>
      <c r="R417" s="867">
        <v>2803.8055555555534</v>
      </c>
      <c r="S417" s="867">
        <v>6614.712962962958</v>
      </c>
      <c r="T417" s="867">
        <v>451.14442592592553</v>
      </c>
      <c r="U417" s="867">
        <v>21.749674256944427</v>
      </c>
      <c r="V417" s="877">
        <v>269.34998676022798</v>
      </c>
      <c r="W417" s="867">
        <v>3116.1708958203221</v>
      </c>
      <c r="X417" s="868">
        <v>0.62581217238748177</v>
      </c>
    </row>
    <row r="418" spans="16:24">
      <c r="P418" s="867">
        <v>83.942528735632195</v>
      </c>
      <c r="Q418" s="868">
        <v>0.45737368204847301</v>
      </c>
      <c r="R418" s="867">
        <v>2961.3057471264324</v>
      </c>
      <c r="S418" s="867">
        <v>5937.9678160919457</v>
      </c>
      <c r="T418" s="867">
        <v>409.4243420689649</v>
      </c>
      <c r="U418" s="867">
        <v>22.67453056781606</v>
      </c>
      <c r="V418" s="877">
        <v>231.793203999761</v>
      </c>
      <c r="W418" s="867">
        <v>3116.1708958203221</v>
      </c>
      <c r="X418" s="868">
        <v>0.62581217238748177</v>
      </c>
    </row>
    <row r="419" spans="16:24">
      <c r="P419" s="867">
        <v>90.162844036697294</v>
      </c>
      <c r="Q419" s="868">
        <v>0.50146269491999695</v>
      </c>
      <c r="R419" s="867">
        <v>2706.2316513761407</v>
      </c>
      <c r="S419" s="867">
        <v>6153.6376146788853</v>
      </c>
      <c r="T419" s="867">
        <v>420.19162018348527</v>
      </c>
      <c r="U419" s="867">
        <v>21.160565110091696</v>
      </c>
      <c r="V419" s="877">
        <v>195.957223659514</v>
      </c>
      <c r="W419" s="867">
        <v>3116.1708958203221</v>
      </c>
      <c r="X419" s="868">
        <v>0.62581217238748177</v>
      </c>
    </row>
    <row r="420" spans="16:24">
      <c r="P420" s="867">
        <v>44.149425287356301</v>
      </c>
      <c r="Q420" s="868">
        <v>0.53194480604009398</v>
      </c>
      <c r="R420" s="867">
        <v>3656.7195402298807</v>
      </c>
      <c r="S420" s="867">
        <v>6254.3333333333258</v>
      </c>
      <c r="T420" s="867">
        <v>429.04451494252822</v>
      </c>
      <c r="U420" s="867">
        <v>28.667577110344794</v>
      </c>
      <c r="V420" s="877">
        <v>422.015491386061</v>
      </c>
      <c r="W420" s="867">
        <v>3116.1708958203221</v>
      </c>
      <c r="X420" s="868">
        <v>0.62581217238748177</v>
      </c>
    </row>
    <row r="421" spans="16:24">
      <c r="P421" s="867">
        <v>92.864678899082605</v>
      </c>
      <c r="Q421" s="868">
        <v>0.52582182815085599</v>
      </c>
      <c r="R421" s="867">
        <v>3441.1192660550441</v>
      </c>
      <c r="S421" s="867">
        <v>5574.0779816513732</v>
      </c>
      <c r="T421" s="867">
        <v>381.67142935779793</v>
      </c>
      <c r="U421" s="867">
        <v>24.085873635321086</v>
      </c>
      <c r="V421" s="877">
        <v>184.623028651949</v>
      </c>
      <c r="W421" s="867">
        <v>3116.1708958203221</v>
      </c>
      <c r="X421" s="868">
        <v>0.62581217238748177</v>
      </c>
    </row>
    <row r="422" spans="16:24">
      <c r="P422" s="867">
        <v>127.432183908046</v>
      </c>
      <c r="Q422" s="868">
        <v>0.52625692277163405</v>
      </c>
      <c r="R422" s="867">
        <v>5129.1770114942474</v>
      </c>
      <c r="S422" s="867">
        <v>8988.728735632174</v>
      </c>
      <c r="T422" s="867">
        <v>619.4646491953971</v>
      </c>
      <c r="U422" s="867">
        <v>38.104242370114903</v>
      </c>
      <c r="V422" s="877">
        <v>210.52007267242601</v>
      </c>
      <c r="W422" s="867">
        <v>3116.1708958203221</v>
      </c>
      <c r="X422" s="868">
        <v>0.62581217238748177</v>
      </c>
    </row>
    <row r="423" spans="16:24">
      <c r="P423" s="867">
        <v>100.367816091954</v>
      </c>
      <c r="Q423" s="868">
        <v>0.53124141090242805</v>
      </c>
      <c r="R423" s="867">
        <v>4006.119540229884</v>
      </c>
      <c r="S423" s="867">
        <v>8124.9402298850555</v>
      </c>
      <c r="T423" s="867">
        <v>558.62025011494006</v>
      </c>
      <c r="U423" s="867">
        <v>29.029772124137924</v>
      </c>
      <c r="V423" s="877">
        <v>227.516149435199</v>
      </c>
      <c r="W423" s="867">
        <v>3116.1708958203221</v>
      </c>
      <c r="X423" s="868">
        <v>0.62581217238748177</v>
      </c>
    </row>
    <row r="424" spans="16:24">
      <c r="P424" s="867">
        <v>145.894252873563</v>
      </c>
      <c r="Q424" s="868">
        <v>0.48370729862599299</v>
      </c>
      <c r="R424" s="867">
        <v>8054.5977011494197</v>
      </c>
      <c r="S424" s="867">
        <v>11426.379310344821</v>
      </c>
      <c r="T424" s="867">
        <v>783.19551816091212</v>
      </c>
      <c r="U424" s="867">
        <v>52.002704262068931</v>
      </c>
      <c r="V424" s="877">
        <v>276.05143950745997</v>
      </c>
      <c r="W424" s="867">
        <v>3116.1708958203221</v>
      </c>
      <c r="X424" s="868">
        <v>0.62581217238748177</v>
      </c>
    </row>
    <row r="425" spans="16:24">
      <c r="P425" s="867">
        <v>85.383908045976995</v>
      </c>
      <c r="Q425" s="868">
        <v>0.321442033277691</v>
      </c>
      <c r="R425" s="867">
        <v>3307.4160919540172</v>
      </c>
      <c r="S425" s="867">
        <v>5715.1885057471163</v>
      </c>
      <c r="T425" s="867">
        <v>391.01878988505683</v>
      </c>
      <c r="U425" s="867">
        <v>24.289631119540186</v>
      </c>
      <c r="V425" s="877">
        <v>328.74037189044299</v>
      </c>
      <c r="W425" s="867">
        <v>3116.1708958203221</v>
      </c>
      <c r="X425" s="868">
        <v>0.62581217238748177</v>
      </c>
    </row>
    <row r="426" spans="16:24">
      <c r="P426" s="867">
        <v>129.44724770642199</v>
      </c>
      <c r="Q426" s="868">
        <v>0.41831003384184701</v>
      </c>
      <c r="R426" s="867">
        <v>3418.346330275228</v>
      </c>
      <c r="S426" s="867">
        <v>7554.9403669724743</v>
      </c>
      <c r="T426" s="867">
        <v>519.52976330274987</v>
      </c>
      <c r="U426" s="867">
        <v>22.675207743119255</v>
      </c>
      <c r="V426" s="877">
        <v>202.64942818416699</v>
      </c>
      <c r="W426" s="867">
        <v>3116.1708958203221</v>
      </c>
      <c r="X426" s="868">
        <v>0.62581217238748177</v>
      </c>
    </row>
    <row r="427" spans="16:24">
      <c r="P427" s="867">
        <v>116.942922374429</v>
      </c>
      <c r="Q427" s="868">
        <v>0.49409421916791901</v>
      </c>
      <c r="R427" s="867">
        <v>4192.8470319634735</v>
      </c>
      <c r="S427" s="867">
        <v>8990.0844748858526</v>
      </c>
      <c r="T427" s="867">
        <v>615.62384109588629</v>
      </c>
      <c r="U427" s="867">
        <v>31.47894375342468</v>
      </c>
      <c r="V427" s="877">
        <v>227.671865813182</v>
      </c>
      <c r="W427" s="867">
        <v>3116.1708958203221</v>
      </c>
      <c r="X427" s="868">
        <v>0.62581217238748177</v>
      </c>
    </row>
    <row r="428" spans="16:24">
      <c r="P428" s="867">
        <v>166.030023094688</v>
      </c>
      <c r="Q428" s="868">
        <v>0.47150547356414602</v>
      </c>
      <c r="R428" s="867">
        <v>4910.5080831408732</v>
      </c>
      <c r="S428" s="867">
        <v>10942.508083140867</v>
      </c>
      <c r="T428" s="867">
        <v>754.92434734410551</v>
      </c>
      <c r="U428" s="867">
        <v>38.234507332563474</v>
      </c>
      <c r="V428" s="877">
        <v>202.50626987639001</v>
      </c>
      <c r="W428" s="867">
        <v>3116.1708958203221</v>
      </c>
      <c r="X428" s="868">
        <v>0.62581217238748177</v>
      </c>
    </row>
    <row r="429" spans="16:24">
      <c r="P429" s="867">
        <v>74.7747126436782</v>
      </c>
      <c r="Q429" s="868">
        <v>0.57376948381344695</v>
      </c>
      <c r="R429" s="867">
        <v>2241.1770114942501</v>
      </c>
      <c r="S429" s="867">
        <v>6994.8091954022902</v>
      </c>
      <c r="T429" s="867">
        <v>482.22060873563157</v>
      </c>
      <c r="U429" s="867">
        <v>16.582244347126416</v>
      </c>
      <c r="V429" s="877">
        <v>215.27360070728199</v>
      </c>
      <c r="W429" s="867">
        <v>3116.1708958203221</v>
      </c>
      <c r="X429" s="868">
        <v>0.62581217238748177</v>
      </c>
    </row>
    <row r="430" spans="16:24">
      <c r="P430" s="867">
        <v>119.31105990783399</v>
      </c>
      <c r="Q430" s="868">
        <v>0.47980919642339898</v>
      </c>
      <c r="R430" s="867">
        <v>3227.4746543778783</v>
      </c>
      <c r="S430" s="867">
        <v>9119.6359447004561</v>
      </c>
      <c r="T430" s="867">
        <v>623.2131999999973</v>
      </c>
      <c r="U430" s="867">
        <v>24.552925914746531</v>
      </c>
      <c r="V430" s="877">
        <v>215.56131455021099</v>
      </c>
      <c r="W430" s="867">
        <v>3116.1708958203221</v>
      </c>
      <c r="X430" s="868">
        <v>0.62581217238748177</v>
      </c>
    </row>
    <row r="431" spans="16:24">
      <c r="P431" s="867">
        <v>157.67126436781601</v>
      </c>
      <c r="Q431" s="868">
        <v>0.54243515535013898</v>
      </c>
      <c r="R431" s="867">
        <v>4891.8712643678246</v>
      </c>
      <c r="S431" s="867">
        <v>10109.685057471281</v>
      </c>
      <c r="T431" s="867">
        <v>690.08269609194599</v>
      </c>
      <c r="U431" s="867">
        <v>36.403919140229945</v>
      </c>
      <c r="V431" s="877">
        <v>175.40247688420601</v>
      </c>
      <c r="W431" s="867">
        <v>3116.1708958203221</v>
      </c>
      <c r="X431" s="868">
        <v>0.62581217238748177</v>
      </c>
    </row>
    <row r="432" spans="16:24">
      <c r="P432" s="867">
        <v>90.852534562212</v>
      </c>
      <c r="Q432" s="868">
        <v>0.43804209992391602</v>
      </c>
      <c r="R432" s="867">
        <v>3151.059907834092</v>
      </c>
      <c r="S432" s="867">
        <v>7026.9723502303932</v>
      </c>
      <c r="T432" s="867">
        <v>485.35263225806307</v>
      </c>
      <c r="U432" s="867">
        <v>22.618598640552925</v>
      </c>
      <c r="V432" s="877">
        <v>255.49892774432601</v>
      </c>
      <c r="W432" s="867">
        <v>3116.1708958203221</v>
      </c>
      <c r="X432" s="868">
        <v>0.62581217238748177</v>
      </c>
    </row>
    <row r="433" spans="16:24">
      <c r="P433" s="867">
        <v>64.519540229885095</v>
      </c>
      <c r="Q433" s="868">
        <v>0.36581629017316297</v>
      </c>
      <c r="R433" s="867">
        <v>3613.9011494252868</v>
      </c>
      <c r="S433" s="867">
        <v>5096.7172413793096</v>
      </c>
      <c r="T433" s="867">
        <v>352.20761011494244</v>
      </c>
      <c r="U433" s="867">
        <v>26.422913160919538</v>
      </c>
      <c r="V433" s="877">
        <v>369.05818252654097</v>
      </c>
      <c r="W433" s="867">
        <v>3116.1708958203221</v>
      </c>
      <c r="X433" s="868">
        <v>0.62581217238748177</v>
      </c>
    </row>
    <row r="434" spans="16:24">
      <c r="P434" s="867">
        <v>86.553488372093</v>
      </c>
      <c r="Q434" s="868">
        <v>0.60594336073942701</v>
      </c>
      <c r="R434" s="867">
        <v>3390.8744186046524</v>
      </c>
      <c r="S434" s="867">
        <v>7252.6046511627937</v>
      </c>
      <c r="T434" s="867">
        <v>497.86256930232344</v>
      </c>
      <c r="U434" s="867">
        <v>28.001916358139546</v>
      </c>
      <c r="V434" s="877">
        <v>202.93969093650199</v>
      </c>
      <c r="W434" s="867">
        <v>3116.1708958203221</v>
      </c>
      <c r="X434" s="868">
        <v>0.62581217238748177</v>
      </c>
    </row>
    <row r="435" spans="16:24">
      <c r="P435" s="867">
        <v>69.2013888888889</v>
      </c>
      <c r="Q435" s="868">
        <v>0.42997156715169799</v>
      </c>
      <c r="R435" s="867">
        <v>2064.8888888888901</v>
      </c>
      <c r="S435" s="867">
        <v>5008.9722222222244</v>
      </c>
      <c r="T435" s="867">
        <v>349.52481666666688</v>
      </c>
      <c r="U435" s="867">
        <v>18.644683023148158</v>
      </c>
      <c r="V435" s="877">
        <v>237.739782946943</v>
      </c>
      <c r="W435" s="867">
        <v>3116.1708958203221</v>
      </c>
      <c r="X435" s="868">
        <v>0.62581217238748177</v>
      </c>
    </row>
    <row r="436" spans="16:24">
      <c r="P436" s="867">
        <v>89.311778290993104</v>
      </c>
      <c r="Q436" s="868">
        <v>0.46690111708729798</v>
      </c>
      <c r="R436" s="867">
        <v>2608.6766743648959</v>
      </c>
      <c r="S436" s="867">
        <v>8151.9699769053104</v>
      </c>
      <c r="T436" s="867">
        <v>558.18244434179894</v>
      </c>
      <c r="U436" s="867">
        <v>18.450485595842956</v>
      </c>
      <c r="V436" s="877">
        <v>258.05043143553399</v>
      </c>
      <c r="W436" s="867">
        <v>3116.1708958203221</v>
      </c>
      <c r="X436" s="868">
        <v>0.62581217238748177</v>
      </c>
    </row>
    <row r="437" spans="16:24">
      <c r="P437" s="867">
        <v>87.803695150115502</v>
      </c>
      <c r="Q437" s="868">
        <v>0.54096635892580003</v>
      </c>
      <c r="R437" s="867">
        <v>3226.9099307159263</v>
      </c>
      <c r="S437" s="867">
        <v>6701.2378752886652</v>
      </c>
      <c r="T437" s="867">
        <v>457.74116766743293</v>
      </c>
      <c r="U437" s="867">
        <v>25.358386309468752</v>
      </c>
      <c r="V437" s="877">
        <v>209.01864054067201</v>
      </c>
      <c r="W437" s="867">
        <v>3116.1708958203221</v>
      </c>
      <c r="X437" s="868">
        <v>0.62581217238748177</v>
      </c>
    </row>
    <row r="438" spans="16:24">
      <c r="P438" s="867">
        <v>69.091428571428594</v>
      </c>
      <c r="Q438" s="868">
        <v>0.34720039698949601</v>
      </c>
      <c r="R438" s="867">
        <v>2766.4870588235271</v>
      </c>
      <c r="S438" s="867">
        <v>3924.7035294117613</v>
      </c>
      <c r="T438" s="867">
        <v>268.14166399999982</v>
      </c>
      <c r="U438" s="867">
        <v>17.966671950588221</v>
      </c>
      <c r="V438" s="877">
        <v>315.88566514017703</v>
      </c>
      <c r="W438" s="867">
        <v>3116.1708958203221</v>
      </c>
      <c r="X438" s="868">
        <v>0.62581217238748177</v>
      </c>
    </row>
    <row r="439" spans="16:24">
      <c r="P439" s="867">
        <v>94.351039260969998</v>
      </c>
      <c r="Q439" s="868">
        <v>0.485117736329368</v>
      </c>
      <c r="R439" s="867">
        <v>2822.7066974595814</v>
      </c>
      <c r="S439" s="867">
        <v>6503.3210161662746</v>
      </c>
      <c r="T439" s="867">
        <v>446.47436859122359</v>
      </c>
      <c r="U439" s="867">
        <v>19.498391558891434</v>
      </c>
      <c r="V439" s="877">
        <v>203.75252636358999</v>
      </c>
      <c r="W439" s="867">
        <v>3116.1708958203221</v>
      </c>
      <c r="X439" s="868">
        <v>0.62581217238748177</v>
      </c>
    </row>
    <row r="440" spans="16:24">
      <c r="P440" s="867">
        <v>82.525114155251202</v>
      </c>
      <c r="Q440" s="868">
        <v>0.49900403917445901</v>
      </c>
      <c r="R440" s="867">
        <v>3586.5114155251035</v>
      </c>
      <c r="S440" s="867">
        <v>6352.5388127853694</v>
      </c>
      <c r="T440" s="867">
        <v>433.31953607305809</v>
      </c>
      <c r="U440" s="867">
        <v>26.507086652967956</v>
      </c>
      <c r="V440" s="877">
        <v>241.35395021344999</v>
      </c>
      <c r="W440" s="867">
        <v>3116.1708958203221</v>
      </c>
      <c r="X440" s="868">
        <v>0.62581217238748177</v>
      </c>
    </row>
    <row r="441" spans="16:24">
      <c r="P441" s="867">
        <v>51.891203703703702</v>
      </c>
      <c r="Q441" s="868">
        <v>0.330731141544364</v>
      </c>
      <c r="R441" s="867">
        <v>5207.3101851851816</v>
      </c>
      <c r="S441" s="867">
        <v>7430.379629629625</v>
      </c>
      <c r="T441" s="867">
        <v>509.76955555555526</v>
      </c>
      <c r="U441" s="867">
        <v>32.652924664351829</v>
      </c>
      <c r="V441" s="877">
        <v>735.77300647423795</v>
      </c>
      <c r="W441" s="867">
        <v>3116.1708958203221</v>
      </c>
      <c r="X441" s="868">
        <v>0.62581217238748177</v>
      </c>
    </row>
    <row r="442" spans="16:24">
      <c r="P442" s="867">
        <v>140.08101851851899</v>
      </c>
      <c r="Q442" s="868">
        <v>0.40546971825167299</v>
      </c>
      <c r="R442" s="867">
        <v>4198.212962962968</v>
      </c>
      <c r="S442" s="867">
        <v>7469.7916666666752</v>
      </c>
      <c r="T442" s="867">
        <v>514.18886296296125</v>
      </c>
      <c r="U442" s="867">
        <v>31.310038490740776</v>
      </c>
      <c r="V442" s="877">
        <v>205.427544117048</v>
      </c>
      <c r="W442" s="867">
        <v>3116.1708958203221</v>
      </c>
      <c r="X442" s="868">
        <v>0.62581217238748177</v>
      </c>
    </row>
    <row r="443" spans="16:24">
      <c r="P443" s="867">
        <v>59.593967517401403</v>
      </c>
      <c r="Q443" s="868">
        <v>0.31753941989487999</v>
      </c>
      <c r="R443" s="867">
        <v>2836.5475638051016</v>
      </c>
      <c r="S443" s="867">
        <v>5172.8190255220361</v>
      </c>
      <c r="T443" s="867">
        <v>353.89086960556801</v>
      </c>
      <c r="U443" s="867">
        <v>14.613900624129915</v>
      </c>
      <c r="V443" s="877">
        <v>423.25147743992102</v>
      </c>
      <c r="W443" s="867">
        <v>3116.1708958203221</v>
      </c>
      <c r="X443" s="868">
        <v>0.62581217238748177</v>
      </c>
    </row>
    <row r="444" spans="16:24">
      <c r="P444" s="867">
        <v>94.558746736292406</v>
      </c>
      <c r="Q444" s="868">
        <v>0.33949083278109099</v>
      </c>
      <c r="R444" s="867">
        <v>3595.2950819672105</v>
      </c>
      <c r="S444" s="867">
        <v>5390.3653395784504</v>
      </c>
      <c r="T444" s="867">
        <v>380.22946885245875</v>
      </c>
      <c r="U444" s="867">
        <v>29.032437639344245</v>
      </c>
      <c r="V444" s="877">
        <v>291.42298192313501</v>
      </c>
      <c r="W444" s="867">
        <v>3116.1708958203221</v>
      </c>
      <c r="X444" s="868">
        <v>0.62581217238748177</v>
      </c>
    </row>
    <row r="445" spans="16:24">
      <c r="P445" s="867">
        <v>79.944999999999993</v>
      </c>
      <c r="Q445" s="868">
        <v>0.42920132591156401</v>
      </c>
      <c r="R445" s="867">
        <v>4477.2359550561887</v>
      </c>
      <c r="S445" s="867">
        <v>6868.6112359550698</v>
      </c>
      <c r="T445" s="867">
        <v>477.18625617977398</v>
      </c>
      <c r="U445" s="867">
        <v>36.625045858427036</v>
      </c>
      <c r="V445" s="877">
        <v>344.42338085817602</v>
      </c>
      <c r="W445" s="867">
        <v>3116.1708958203221</v>
      </c>
      <c r="X445" s="868">
        <v>0.62581217238748177</v>
      </c>
    </row>
    <row r="446" spans="16:24">
      <c r="P446" s="867">
        <v>69.319559228650107</v>
      </c>
      <c r="Q446" s="868">
        <v>0.37976393911695699</v>
      </c>
      <c r="R446" s="867">
        <v>2654.8964705882345</v>
      </c>
      <c r="S446" s="867">
        <v>4377.2870588235282</v>
      </c>
      <c r="T446" s="867">
        <v>299.54489599999994</v>
      </c>
      <c r="U446" s="867">
        <v>16.917384277647056</v>
      </c>
      <c r="V446" s="877">
        <v>283.769679657795</v>
      </c>
      <c r="W446" s="867">
        <v>3116.1708958203221</v>
      </c>
      <c r="X446" s="868">
        <v>0.62581217238748177</v>
      </c>
    </row>
    <row r="447" spans="16:24">
      <c r="P447" s="867">
        <v>85.767379679144398</v>
      </c>
      <c r="Q447" s="868">
        <v>0.40253140879758098</v>
      </c>
      <c r="R447" s="867">
        <v>3270.3967889908204</v>
      </c>
      <c r="S447" s="867">
        <v>6546.667431192649</v>
      </c>
      <c r="T447" s="867">
        <v>442.89332660550389</v>
      </c>
      <c r="U447" s="867">
        <v>22.009559873853174</v>
      </c>
      <c r="V447" s="877">
        <v>278.84598071372301</v>
      </c>
      <c r="W447" s="867">
        <v>3116.1708958203221</v>
      </c>
      <c r="X447" s="868">
        <v>0.62581217238748177</v>
      </c>
    </row>
    <row r="448" spans="16:24">
      <c r="P448" s="867">
        <v>58.9677419354839</v>
      </c>
      <c r="Q448" s="868">
        <v>0.46270970094821301</v>
      </c>
      <c r="R448" s="867">
        <v>3954.4516129032236</v>
      </c>
      <c r="S448" s="867">
        <v>6083.4493087557576</v>
      </c>
      <c r="T448" s="867">
        <v>418.51630967741914</v>
      </c>
      <c r="U448" s="867">
        <v>25.131242778801827</v>
      </c>
      <c r="V448" s="877">
        <v>403.15850629653499</v>
      </c>
      <c r="W448" s="867">
        <v>3116.1708958203221</v>
      </c>
      <c r="X448" s="868">
        <v>0.62581217238748177</v>
      </c>
    </row>
    <row r="449" spans="16:24">
      <c r="P449" s="867">
        <v>71.555256064689999</v>
      </c>
      <c r="Q449" s="868">
        <v>0.34934267525520801</v>
      </c>
      <c r="R449" s="867">
        <v>3279.6004618937627</v>
      </c>
      <c r="S449" s="867">
        <v>5557.7043879907596</v>
      </c>
      <c r="T449" s="867">
        <v>381.91601662817527</v>
      </c>
      <c r="U449" s="867">
        <v>20.01886731408775</v>
      </c>
      <c r="V449" s="877">
        <v>366.95012658227898</v>
      </c>
      <c r="W449" s="867">
        <v>3116.1708958203221</v>
      </c>
      <c r="X449" s="868">
        <v>0.62581217238748177</v>
      </c>
    </row>
    <row r="450" spans="16:24">
      <c r="P450" s="867">
        <v>87.890374331550802</v>
      </c>
      <c r="Q450" s="868">
        <v>0.42703294697453698</v>
      </c>
      <c r="R450" s="867">
        <v>3890.405034324941</v>
      </c>
      <c r="S450" s="867">
        <v>5986.8649885583491</v>
      </c>
      <c r="T450" s="867">
        <v>414.38577574370686</v>
      </c>
      <c r="U450" s="867">
        <v>23.467442112128136</v>
      </c>
      <c r="V450" s="877">
        <v>274.05512825396801</v>
      </c>
      <c r="W450" s="867">
        <v>3116.1708958203221</v>
      </c>
      <c r="X450" s="868">
        <v>0.62581217238748177</v>
      </c>
    </row>
    <row r="451" spans="16:24">
      <c r="P451" s="867">
        <v>80.785907859078605</v>
      </c>
      <c r="Q451" s="868">
        <v>0.39996645420999699</v>
      </c>
      <c r="R451" s="867">
        <v>3106.8078703703695</v>
      </c>
      <c r="S451" s="867">
        <v>5823.1550925925912</v>
      </c>
      <c r="T451" s="867">
        <v>404.21986111111102</v>
      </c>
      <c r="U451" s="867">
        <v>19.665359224537031</v>
      </c>
      <c r="V451" s="877">
        <v>279.02067481556497</v>
      </c>
      <c r="W451" s="867">
        <v>3116.1708958203221</v>
      </c>
      <c r="X451" s="868">
        <v>0.62581217238748177</v>
      </c>
    </row>
    <row r="452" spans="16:24">
      <c r="P452" s="867">
        <v>43.399463806970502</v>
      </c>
      <c r="Q452" s="868">
        <v>0.54898690387941695</v>
      </c>
      <c r="R452" s="867">
        <v>6742.7862068965478</v>
      </c>
      <c r="S452" s="867">
        <v>7110.3632183908012</v>
      </c>
      <c r="T452" s="867">
        <v>490.77153839080432</v>
      </c>
      <c r="U452" s="867">
        <v>38.713956404597681</v>
      </c>
      <c r="V452" s="877">
        <v>599.73366540605105</v>
      </c>
      <c r="W452" s="867">
        <v>3116.1708958203221</v>
      </c>
      <c r="X452" s="868">
        <v>0.62581217238748177</v>
      </c>
    </row>
    <row r="453" spans="16:24">
      <c r="P453" s="867">
        <v>37.113513513513503</v>
      </c>
      <c r="Q453" s="868">
        <v>0.411957471599184</v>
      </c>
      <c r="R453" s="867">
        <v>3384.9373549883953</v>
      </c>
      <c r="S453" s="867">
        <v>5870.0533642691353</v>
      </c>
      <c r="T453" s="867">
        <v>405.29666078886265</v>
      </c>
      <c r="U453" s="867">
        <v>23.781339491879322</v>
      </c>
      <c r="V453" s="877">
        <v>647.82803774812896</v>
      </c>
      <c r="W453" s="867">
        <v>3116.1708958203221</v>
      </c>
      <c r="X453" s="868">
        <v>0.62581217238748177</v>
      </c>
    </row>
    <row r="454" spans="16:24">
      <c r="P454" s="867">
        <v>28.948087431693999</v>
      </c>
      <c r="Q454" s="868">
        <v>0.38395469561113699</v>
      </c>
      <c r="R454" s="867">
        <v>3661.3981264636973</v>
      </c>
      <c r="S454" s="867">
        <v>4441.8290398126428</v>
      </c>
      <c r="T454" s="867">
        <v>304.13078032786859</v>
      </c>
      <c r="U454" s="867">
        <v>19.93227398829038</v>
      </c>
      <c r="V454" s="877">
        <v>723.86626569037696</v>
      </c>
      <c r="W454" s="867">
        <v>3116.1708958203221</v>
      </c>
      <c r="X454" s="868">
        <v>0.62581217238748177</v>
      </c>
    </row>
    <row r="455" spans="16:24">
      <c r="P455" s="867">
        <v>77.887096774193594</v>
      </c>
      <c r="Q455" s="868">
        <v>0.49823980120107703</v>
      </c>
      <c r="R455" s="867">
        <v>3397.4354838709737</v>
      </c>
      <c r="S455" s="867">
        <v>7361.2580645161415</v>
      </c>
      <c r="T455" s="867">
        <v>506.80356129032117</v>
      </c>
      <c r="U455" s="867">
        <v>26.019727919354885</v>
      </c>
      <c r="V455" s="877">
        <v>276.04605806911297</v>
      </c>
      <c r="W455" s="867">
        <v>2866.2444123371242</v>
      </c>
      <c r="X455" s="868">
        <v>0.59537011553486141</v>
      </c>
    </row>
    <row r="456" spans="16:24">
      <c r="P456" s="867">
        <v>61.049411764705901</v>
      </c>
      <c r="Q456" s="868">
        <v>0.55376551298851495</v>
      </c>
      <c r="R456" s="867">
        <v>2504.6823529411745</v>
      </c>
      <c r="S456" s="867">
        <v>6294.1152941176424</v>
      </c>
      <c r="T456" s="867">
        <v>429.66649599999965</v>
      </c>
      <c r="U456" s="867">
        <v>16.968787705882338</v>
      </c>
      <c r="V456" s="877">
        <v>260.20385648663699</v>
      </c>
      <c r="W456" s="867">
        <v>2866.2444123371242</v>
      </c>
      <c r="X456" s="868">
        <v>0.59537011553486141</v>
      </c>
    </row>
    <row r="457" spans="16:24">
      <c r="P457" s="867">
        <v>67.862385321100902</v>
      </c>
      <c r="Q457" s="868">
        <v>0.45322428011355997</v>
      </c>
      <c r="R457" s="867">
        <v>3056.2155963302739</v>
      </c>
      <c r="S457" s="867">
        <v>6191.334862385319</v>
      </c>
      <c r="T457" s="867">
        <v>428.09278348623837</v>
      </c>
      <c r="U457" s="867">
        <v>24.587633887614668</v>
      </c>
      <c r="V457" s="877">
        <v>300.66569276659197</v>
      </c>
      <c r="W457" s="867">
        <v>2866.2444123371242</v>
      </c>
      <c r="X457" s="868">
        <v>0.59537011553486141</v>
      </c>
    </row>
    <row r="458" spans="16:24">
      <c r="P458" s="867">
        <v>86.156682027649794</v>
      </c>
      <c r="Q458" s="868">
        <v>0.47117030380830099</v>
      </c>
      <c r="R458" s="867">
        <v>2514.7281105990714</v>
      </c>
      <c r="S458" s="867">
        <v>6543.1036866359264</v>
      </c>
      <c r="T458" s="867">
        <v>449.7309419354803</v>
      </c>
      <c r="U458" s="867">
        <v>18.744171601382437</v>
      </c>
      <c r="V458" s="877">
        <v>223.832768759224</v>
      </c>
      <c r="W458" s="867">
        <v>2866.2444123371242</v>
      </c>
      <c r="X458" s="868">
        <v>0.59537011553486141</v>
      </c>
    </row>
    <row r="459" spans="16:24">
      <c r="P459" s="867">
        <v>100.87703016241301</v>
      </c>
      <c r="Q459" s="868">
        <v>0.216845301071806</v>
      </c>
      <c r="R459" s="867">
        <v>3730.6032482598575</v>
      </c>
      <c r="S459" s="867">
        <v>6683.9628770301561</v>
      </c>
      <c r="T459" s="867">
        <v>464.9649726218093</v>
      </c>
      <c r="U459" s="867">
        <v>29.149967245939649</v>
      </c>
      <c r="V459" s="877">
        <v>475.96153691132798</v>
      </c>
      <c r="W459" s="867">
        <v>2866.2444123371242</v>
      </c>
      <c r="X459" s="868">
        <v>0.59537011553486141</v>
      </c>
    </row>
    <row r="460" spans="16:24">
      <c r="P460" s="867">
        <v>77.825688073394502</v>
      </c>
      <c r="Q460" s="868">
        <v>0.51187669456560203</v>
      </c>
      <c r="R460" s="867">
        <v>4754.9288990825735</v>
      </c>
      <c r="S460" s="867">
        <v>8823.1353211009264</v>
      </c>
      <c r="T460" s="867">
        <v>608.46228440366804</v>
      </c>
      <c r="U460" s="867">
        <v>36.085705940367014</v>
      </c>
      <c r="V460" s="877">
        <v>336.67204041683499</v>
      </c>
      <c r="W460" s="867">
        <v>2866.2444123371242</v>
      </c>
      <c r="X460" s="868">
        <v>0.59537011553486141</v>
      </c>
    </row>
    <row r="461" spans="16:24">
      <c r="P461" s="867">
        <v>69.108545034642006</v>
      </c>
      <c r="Q461" s="868">
        <v>0.46831974334982002</v>
      </c>
      <c r="R461" s="867">
        <v>3319.1224018475727</v>
      </c>
      <c r="S461" s="867">
        <v>6268.7413394919131</v>
      </c>
      <c r="T461" s="867">
        <v>427.48757505773642</v>
      </c>
      <c r="U461" s="867">
        <v>24.71129740184756</v>
      </c>
      <c r="V461" s="877">
        <v>295.59696874553998</v>
      </c>
      <c r="W461" s="867">
        <v>2866.2444123371242</v>
      </c>
      <c r="X461" s="868">
        <v>0.59537011553486141</v>
      </c>
    </row>
    <row r="462" spans="16:24">
      <c r="P462" s="867">
        <v>70.220183486238497</v>
      </c>
      <c r="Q462" s="868">
        <v>0.38721583485759098</v>
      </c>
      <c r="R462" s="867">
        <v>3754.8623853211025</v>
      </c>
      <c r="S462" s="867">
        <v>6106.5252293578005</v>
      </c>
      <c r="T462" s="867">
        <v>420.77330091743136</v>
      </c>
      <c r="U462" s="867">
        <v>26.953453371559643</v>
      </c>
      <c r="V462" s="877">
        <v>362.67914972585402</v>
      </c>
      <c r="W462" s="867">
        <v>2866.2444123371242</v>
      </c>
      <c r="X462" s="868">
        <v>0.59537011553486141</v>
      </c>
    </row>
    <row r="463" spans="16:24">
      <c r="P463" s="867">
        <v>77.743648960738994</v>
      </c>
      <c r="Q463" s="868">
        <v>0.28918991177256897</v>
      </c>
      <c r="R463" s="867">
        <v>3295.0207852194012</v>
      </c>
      <c r="S463" s="867">
        <v>5531.1454965357998</v>
      </c>
      <c r="T463" s="867">
        <v>384.77949191685929</v>
      </c>
      <c r="U463" s="867">
        <v>23.935738510392621</v>
      </c>
      <c r="V463" s="877">
        <v>392.55293888032901</v>
      </c>
      <c r="W463" s="867">
        <v>2866.2444123371242</v>
      </c>
      <c r="X463" s="868">
        <v>0.59537011553486141</v>
      </c>
    </row>
    <row r="464" spans="16:24">
      <c r="P464" s="867">
        <v>64.207459207459195</v>
      </c>
      <c r="Q464" s="868">
        <v>0.38359048829188602</v>
      </c>
      <c r="R464" s="867">
        <v>2559.9160839160836</v>
      </c>
      <c r="S464" s="867">
        <v>4968.4032634032628</v>
      </c>
      <c r="T464" s="867">
        <v>346.45948706759901</v>
      </c>
      <c r="U464" s="867">
        <v>19.479461986013984</v>
      </c>
      <c r="V464" s="877">
        <v>305.66462332008302</v>
      </c>
      <c r="W464" s="867">
        <v>2866.2444123371242</v>
      </c>
      <c r="X464" s="868">
        <v>0.59537011553486141</v>
      </c>
    </row>
    <row r="465" spans="16:24">
      <c r="P465" s="867">
        <v>84.022883295194504</v>
      </c>
      <c r="Q465" s="868">
        <v>0.40827387112587799</v>
      </c>
      <c r="R465" s="867">
        <v>4641.6521739130339</v>
      </c>
      <c r="S465" s="867">
        <v>7295.0983981693216</v>
      </c>
      <c r="T465" s="867">
        <v>500.0840750572072</v>
      </c>
      <c r="U465" s="867">
        <v>35.373950290617778</v>
      </c>
      <c r="V465" s="877">
        <v>347.91847908745302</v>
      </c>
      <c r="W465" s="867">
        <v>2866.2444123371242</v>
      </c>
      <c r="X465" s="868">
        <v>0.59537011553486141</v>
      </c>
    </row>
    <row r="466" spans="16:24">
      <c r="P466" s="867">
        <v>63.112107623318401</v>
      </c>
      <c r="Q466" s="868">
        <v>0.82972147221827497</v>
      </c>
      <c r="R466" s="867">
        <v>5403.6143497757785</v>
      </c>
      <c r="S466" s="867">
        <v>8339.8744394618734</v>
      </c>
      <c r="T466" s="867">
        <v>580.02934321076168</v>
      </c>
      <c r="U466" s="867">
        <v>42.269049607623273</v>
      </c>
      <c r="V466" s="877">
        <v>262.453168058232</v>
      </c>
      <c r="W466" s="867">
        <v>2866.2444123371242</v>
      </c>
      <c r="X466" s="868">
        <v>0.59537011553486141</v>
      </c>
    </row>
    <row r="467" spans="16:24">
      <c r="P467" s="867">
        <v>57.175925925925903</v>
      </c>
      <c r="Q467" s="868">
        <v>0.62805668016194305</v>
      </c>
      <c r="R467" s="867">
        <v>2407.0578703703686</v>
      </c>
      <c r="S467" s="867">
        <v>6191.0949074074033</v>
      </c>
      <c r="T467" s="867">
        <v>429.43111296296269</v>
      </c>
      <c r="U467" s="867">
        <v>17.94278505787036</v>
      </c>
      <c r="V467" s="877">
        <v>238.62390704570399</v>
      </c>
      <c r="W467" s="867">
        <v>2866.2444123371242</v>
      </c>
      <c r="X467" s="868">
        <v>0.59537011553486141</v>
      </c>
    </row>
    <row r="468" spans="16:24">
      <c r="P468" s="867">
        <v>85.658256880733902</v>
      </c>
      <c r="Q468" s="868">
        <v>0.47521889308378201</v>
      </c>
      <c r="R468" s="867">
        <v>4645.9013761467995</v>
      </c>
      <c r="S468" s="867">
        <v>7597.4862385321276</v>
      </c>
      <c r="T468" s="867">
        <v>525.45159633027413</v>
      </c>
      <c r="U468" s="867">
        <v>34.736000860091828</v>
      </c>
      <c r="V468" s="877">
        <v>300.77274284426397</v>
      </c>
      <c r="W468" s="867">
        <v>2866.2444123371242</v>
      </c>
      <c r="X468" s="868">
        <v>0.59537011553486141</v>
      </c>
    </row>
    <row r="469" spans="16:24">
      <c r="P469" s="867">
        <v>53.054794520547901</v>
      </c>
      <c r="Q469" s="868">
        <v>0.54397968844134603</v>
      </c>
      <c r="R469" s="867">
        <v>2691.8630136986289</v>
      </c>
      <c r="S469" s="867">
        <v>7564.9794520547903</v>
      </c>
      <c r="T469" s="867">
        <v>520.21344474885814</v>
      </c>
      <c r="U469" s="867">
        <v>21.873128018264826</v>
      </c>
      <c r="V469" s="877">
        <v>354.34066845977401</v>
      </c>
      <c r="W469" s="867">
        <v>2866.2444123371242</v>
      </c>
      <c r="X469" s="868">
        <v>0.59537011553486141</v>
      </c>
    </row>
    <row r="470" spans="16:24">
      <c r="P470" s="867">
        <v>69.981609195402299</v>
      </c>
      <c r="Q470" s="868">
        <v>0.45269693187044202</v>
      </c>
      <c r="R470" s="867">
        <v>2215.3080459770081</v>
      </c>
      <c r="S470" s="867">
        <v>6035.3356321838983</v>
      </c>
      <c r="T470" s="867">
        <v>415.57032275862002</v>
      </c>
      <c r="U470" s="867">
        <v>17.457442954022962</v>
      </c>
      <c r="V470" s="877">
        <v>256.51925041724098</v>
      </c>
      <c r="W470" s="867">
        <v>2866.2444123371242</v>
      </c>
      <c r="X470" s="868">
        <v>0.59537011553486141</v>
      </c>
    </row>
    <row r="471" spans="16:24">
      <c r="P471" s="867">
        <v>82.094036697247702</v>
      </c>
      <c r="Q471" s="868">
        <v>0.52057664906545997</v>
      </c>
      <c r="R471" s="867">
        <v>3724.4357798165183</v>
      </c>
      <c r="S471" s="867">
        <v>7701.0688073394585</v>
      </c>
      <c r="T471" s="867">
        <v>531.51884954128275</v>
      </c>
      <c r="U471" s="867">
        <v>32.575688814220221</v>
      </c>
      <c r="V471" s="877">
        <v>267.34920141684103</v>
      </c>
      <c r="W471" s="867">
        <v>2866.2444123371242</v>
      </c>
      <c r="X471" s="868">
        <v>0.59537011553486141</v>
      </c>
    </row>
    <row r="472" spans="16:24">
      <c r="P472" s="867">
        <v>65.281464530892507</v>
      </c>
      <c r="Q472" s="868">
        <v>0.47279865395401</v>
      </c>
      <c r="R472" s="867">
        <v>2988.5319634703133</v>
      </c>
      <c r="S472" s="867">
        <v>7755.662100456605</v>
      </c>
      <c r="T472" s="867">
        <v>533.79639817351483</v>
      </c>
      <c r="U472" s="867">
        <v>24.100555394977118</v>
      </c>
      <c r="V472" s="877">
        <v>348.84780800593001</v>
      </c>
      <c r="W472" s="867">
        <v>2866.2444123371242</v>
      </c>
      <c r="X472" s="868">
        <v>0.59537011553486141</v>
      </c>
    </row>
    <row r="473" spans="16:24">
      <c r="P473" s="867">
        <v>88.047619047619094</v>
      </c>
      <c r="Q473" s="868">
        <v>6.4899945916711702E-3</v>
      </c>
      <c r="R473" s="867">
        <v>406.07692307692264</v>
      </c>
      <c r="S473" s="867">
        <v>73.846153846153769</v>
      </c>
      <c r="T473" s="867">
        <v>6.0513025641025573</v>
      </c>
      <c r="U473" s="867">
        <v>5.5677179487179425</v>
      </c>
      <c r="V473" s="877">
        <v>603.73741935483895</v>
      </c>
      <c r="W473" s="867">
        <v>2866.2444123371242</v>
      </c>
      <c r="X473" s="868">
        <v>0.59537011553486141</v>
      </c>
    </row>
    <row r="474" spans="16:24">
      <c r="P474" s="867">
        <v>84.488038277512004</v>
      </c>
      <c r="Q474" s="868">
        <v>0.42017782308302198</v>
      </c>
      <c r="R474" s="867">
        <v>1354.7583732057426</v>
      </c>
      <c r="S474" s="867">
        <v>4945.9856459330176</v>
      </c>
      <c r="T474" s="867">
        <v>338.54645933014382</v>
      </c>
      <c r="U474" s="867">
        <v>10.098613411483262</v>
      </c>
      <c r="V474" s="877">
        <v>176.29198396118301</v>
      </c>
      <c r="W474" s="867">
        <v>2866.2444123371242</v>
      </c>
      <c r="X474" s="868">
        <v>0.59537011553486141</v>
      </c>
    </row>
    <row r="475" spans="16:24">
      <c r="P475" s="867">
        <v>111.571428571429</v>
      </c>
      <c r="Q475" s="868">
        <v>4.2253521126760597E-2</v>
      </c>
      <c r="R475" s="867">
        <v>560.85714285714346</v>
      </c>
      <c r="S475" s="867">
        <v>686.60714285714357</v>
      </c>
      <c r="T475" s="867">
        <v>49.942600000000056</v>
      </c>
      <c r="U475" s="867">
        <v>5.594844642857149</v>
      </c>
      <c r="V475" s="877">
        <v>329.52141509434</v>
      </c>
      <c r="W475" s="867">
        <v>2866.2444123371242</v>
      </c>
      <c r="X475" s="868">
        <v>0.59537011553486141</v>
      </c>
    </row>
    <row r="476" spans="16:24">
      <c r="P476" s="867">
        <v>136.833333333333</v>
      </c>
      <c r="Q476" s="868">
        <v>1.62403572878603E-3</v>
      </c>
      <c r="R476" s="867">
        <v>251.37037037037032</v>
      </c>
      <c r="S476" s="867">
        <v>49.481481481481474</v>
      </c>
      <c r="T476" s="867">
        <v>4.2399259259259248</v>
      </c>
      <c r="U476" s="867">
        <v>2.7985851851851851</v>
      </c>
      <c r="V476" s="877">
        <v>427.569210526316</v>
      </c>
      <c r="W476" s="867">
        <v>2866.2444123371242</v>
      </c>
      <c r="X476" s="868">
        <v>0.59537011553486141</v>
      </c>
    </row>
    <row r="477" spans="16:24">
      <c r="P477" s="867">
        <v>93.6450116009281</v>
      </c>
      <c r="Q477" s="868">
        <v>0.44389385793216202</v>
      </c>
      <c r="R477" s="867">
        <v>2737.5406032482551</v>
      </c>
      <c r="S477" s="867">
        <v>6127.1693735498739</v>
      </c>
      <c r="T477" s="867">
        <v>425.2133401392104</v>
      </c>
      <c r="U477" s="867">
        <v>21.269246120649612</v>
      </c>
      <c r="V477" s="877">
        <v>212.908301518196</v>
      </c>
      <c r="W477" s="867">
        <v>2866.2444123371242</v>
      </c>
      <c r="X477" s="868">
        <v>0.59537011553486141</v>
      </c>
    </row>
    <row r="478" spans="16:24">
      <c r="P478" s="867">
        <v>88.157043879907604</v>
      </c>
      <c r="Q478" s="868">
        <v>0.37844493345907998</v>
      </c>
      <c r="R478" s="867">
        <v>1719.5311778290948</v>
      </c>
      <c r="S478" s="867">
        <v>6143.4757505773514</v>
      </c>
      <c r="T478" s="867">
        <v>421.66300600461784</v>
      </c>
      <c r="U478" s="867">
        <v>14.025530429561163</v>
      </c>
      <c r="V478" s="877">
        <v>235.332090544095</v>
      </c>
      <c r="W478" s="867">
        <v>2866.2444123371242</v>
      </c>
      <c r="X478" s="868">
        <v>0.59537011553486141</v>
      </c>
    </row>
    <row r="479" spans="16:24">
      <c r="P479" s="867">
        <v>156.59016393442599</v>
      </c>
      <c r="Q479" s="868">
        <v>2.8266331658291502E-3</v>
      </c>
      <c r="R479" s="867">
        <v>197.81308411214951</v>
      </c>
      <c r="S479" s="867">
        <v>91.028037383177562</v>
      </c>
      <c r="T479" s="867">
        <v>7.604433644859812</v>
      </c>
      <c r="U479" s="867">
        <v>1.8458025700934577</v>
      </c>
      <c r="V479" s="877">
        <v>417.67283783783802</v>
      </c>
      <c r="W479" s="867">
        <v>2866.2444123371242</v>
      </c>
      <c r="X479" s="868">
        <v>0.59537011553486141</v>
      </c>
    </row>
    <row r="480" spans="16:24">
      <c r="P480" s="867">
        <v>95.9097222222222</v>
      </c>
      <c r="Q480" s="868">
        <v>0.34009123162696397</v>
      </c>
      <c r="R480" s="867">
        <v>1416.3726851851839</v>
      </c>
      <c r="S480" s="867">
        <v>5240.2523148148102</v>
      </c>
      <c r="T480" s="867">
        <v>365.70991851851818</v>
      </c>
      <c r="U480" s="867">
        <v>10.979795601851842</v>
      </c>
      <c r="V480" s="877">
        <v>204.078009367682</v>
      </c>
      <c r="W480" s="867">
        <v>2866.2444123371242</v>
      </c>
      <c r="X480" s="868">
        <v>0.59537011553486141</v>
      </c>
    </row>
    <row r="481" spans="16:24">
      <c r="P481" s="867">
        <v>81.451834862385297</v>
      </c>
      <c r="Q481" s="868">
        <v>0.508292737870639</v>
      </c>
      <c r="R481" s="867">
        <v>2811.1284403669661</v>
      </c>
      <c r="S481" s="867">
        <v>6947.1123853210856</v>
      </c>
      <c r="T481" s="867">
        <v>486.72943302752185</v>
      </c>
      <c r="U481" s="867">
        <v>22.83833058027518</v>
      </c>
      <c r="V481" s="877">
        <v>236.10004210293101</v>
      </c>
      <c r="W481" s="867">
        <v>2866.2444123371242</v>
      </c>
      <c r="X481" s="868">
        <v>0.59537011553486141</v>
      </c>
    </row>
    <row r="482" spans="16:24">
      <c r="P482" s="867">
        <v>66.416091954023003</v>
      </c>
      <c r="Q482" s="868">
        <v>0.58443806029559398</v>
      </c>
      <c r="R482" s="867">
        <v>2547.7310344827652</v>
      </c>
      <c r="S482" s="867">
        <v>7108.2850574712829</v>
      </c>
      <c r="T482" s="867">
        <v>489.52452781609321</v>
      </c>
      <c r="U482" s="867">
        <v>19.208964137931087</v>
      </c>
      <c r="V482" s="877">
        <v>248.763090316849</v>
      </c>
      <c r="W482" s="867">
        <v>2866.2444123371242</v>
      </c>
      <c r="X482" s="868">
        <v>0.59537011553486141</v>
      </c>
    </row>
    <row r="483" spans="16:24">
      <c r="P483" s="867">
        <v>92.709302325581405</v>
      </c>
      <c r="Q483" s="868">
        <v>0.40431456164555402</v>
      </c>
      <c r="R483" s="867">
        <v>1780.7883720930217</v>
      </c>
      <c r="S483" s="867">
        <v>6440.0767441860417</v>
      </c>
      <c r="T483" s="867">
        <v>440.10340093023217</v>
      </c>
      <c r="U483" s="867">
        <v>12.927667495348828</v>
      </c>
      <c r="V483" s="877">
        <v>219.19970529842399</v>
      </c>
      <c r="W483" s="867">
        <v>2866.2444123371242</v>
      </c>
      <c r="X483" s="868">
        <v>0.59537011553486141</v>
      </c>
    </row>
    <row r="484" spans="16:24">
      <c r="P484" s="867">
        <v>71.479357798165097</v>
      </c>
      <c r="Q484" s="868">
        <v>0.42900689876463999</v>
      </c>
      <c r="R484" s="867">
        <v>2741.7591743119228</v>
      </c>
      <c r="S484" s="867">
        <v>5280.0596330275157</v>
      </c>
      <c r="T484" s="867">
        <v>369.35918715596279</v>
      </c>
      <c r="U484" s="867">
        <v>21.976195699541254</v>
      </c>
      <c r="V484" s="877">
        <v>261.59399775617101</v>
      </c>
      <c r="W484" s="867">
        <v>2866.2444123371242</v>
      </c>
      <c r="X484" s="868">
        <v>0.59537011553486141</v>
      </c>
    </row>
    <row r="485" spans="16:24">
      <c r="P485" s="867">
        <v>142.508196721312</v>
      </c>
      <c r="Q485" s="868">
        <v>5.4066490279535296E-3</v>
      </c>
      <c r="R485" s="867">
        <v>209.38571428571436</v>
      </c>
      <c r="S485" s="867">
        <v>111.10000000000005</v>
      </c>
      <c r="T485" s="867">
        <v>7.8499200000000036</v>
      </c>
      <c r="U485" s="867">
        <v>1.9362542857142866</v>
      </c>
      <c r="V485" s="877">
        <v>400.61</v>
      </c>
      <c r="W485" s="867">
        <v>2866.2444123371242</v>
      </c>
      <c r="X485" s="868">
        <v>0.59537011553486141</v>
      </c>
    </row>
    <row r="486" spans="16:24">
      <c r="P486" s="867">
        <v>73.963048498845296</v>
      </c>
      <c r="Q486" s="868">
        <v>0.50359083244863601</v>
      </c>
      <c r="R486" s="867">
        <v>1614.7459584295586</v>
      </c>
      <c r="S486" s="867">
        <v>5172.0115473441028</v>
      </c>
      <c r="T486" s="867">
        <v>359.81375384526501</v>
      </c>
      <c r="U486" s="867">
        <v>14.236868595842934</v>
      </c>
      <c r="V486" s="877">
        <v>182.18079799107099</v>
      </c>
      <c r="W486" s="867">
        <v>2866.2444123371242</v>
      </c>
      <c r="X486" s="868">
        <v>0.59537011553486141</v>
      </c>
    </row>
    <row r="487" spans="16:24">
      <c r="P487" s="867">
        <v>84.705069124424</v>
      </c>
      <c r="Q487" s="868">
        <v>0.593683695119961</v>
      </c>
      <c r="R487" s="867">
        <v>5037.4032258064599</v>
      </c>
      <c r="S487" s="867">
        <v>8120.4447004608419</v>
      </c>
      <c r="T487" s="867">
        <v>560.01809754838564</v>
      </c>
      <c r="U487" s="867">
        <v>46.143261191244314</v>
      </c>
      <c r="V487" s="877">
        <v>261.649750286369</v>
      </c>
      <c r="W487" s="867">
        <v>2866.2444123371242</v>
      </c>
      <c r="X487" s="868">
        <v>0.59537011553486141</v>
      </c>
    </row>
    <row r="488" spans="16:24">
      <c r="P488" s="867">
        <v>67.096774193548399</v>
      </c>
      <c r="Q488" s="868">
        <v>2.5961538461538501E-2</v>
      </c>
      <c r="R488" s="867">
        <v>395.93939393939354</v>
      </c>
      <c r="S488" s="867">
        <v>298.16161616161588</v>
      </c>
      <c r="T488" s="867">
        <v>23.553826262626238</v>
      </c>
      <c r="U488" s="867">
        <v>2.9832911616161586</v>
      </c>
      <c r="V488" s="877">
        <v>479.14824324324297</v>
      </c>
      <c r="W488" s="867">
        <v>2866.2444123371242</v>
      </c>
      <c r="X488" s="868">
        <v>0.59537011553486141</v>
      </c>
    </row>
    <row r="489" spans="16:24">
      <c r="P489" s="867">
        <v>106.111111111111</v>
      </c>
      <c r="Q489" s="868">
        <v>1.61256544502618E-2</v>
      </c>
      <c r="R489" s="867">
        <v>276.01063829787307</v>
      </c>
      <c r="S489" s="867">
        <v>245.84042553191557</v>
      </c>
      <c r="T489" s="867">
        <v>17.649472340425582</v>
      </c>
      <c r="U489" s="867">
        <v>2.1842779255319207</v>
      </c>
      <c r="V489" s="877">
        <v>377.33923076923099</v>
      </c>
      <c r="W489" s="867">
        <v>2866.2444123371242</v>
      </c>
      <c r="X489" s="868">
        <v>0.59537011553486141</v>
      </c>
    </row>
    <row r="490" spans="16:24">
      <c r="P490" s="867">
        <v>67.512585812357003</v>
      </c>
      <c r="Q490" s="868">
        <v>0.26180388435074398</v>
      </c>
      <c r="R490" s="867">
        <v>2968.7505720823779</v>
      </c>
      <c r="S490" s="867">
        <v>6550.070938215099</v>
      </c>
      <c r="T490" s="867">
        <v>462.78048878718505</v>
      </c>
      <c r="U490" s="867">
        <v>28.143548993134992</v>
      </c>
      <c r="V490" s="877">
        <v>537.64780424650405</v>
      </c>
      <c r="W490" s="867">
        <v>2866.2444123371242</v>
      </c>
      <c r="X490" s="868">
        <v>0.59537011553486141</v>
      </c>
    </row>
    <row r="491" spans="16:24">
      <c r="P491" s="867">
        <v>64.266666666666694</v>
      </c>
      <c r="Q491" s="868">
        <v>5.1867219917012498E-3</v>
      </c>
      <c r="R491" s="867">
        <v>310.92957746478857</v>
      </c>
      <c r="S491" s="867">
        <v>77.014084507042213</v>
      </c>
      <c r="T491" s="867">
        <v>6.5486873239436578</v>
      </c>
      <c r="U491" s="867">
        <v>3.2140387042253504</v>
      </c>
      <c r="V491" s="877">
        <v>688.54224999999997</v>
      </c>
      <c r="W491" s="867">
        <v>2866.2444123371242</v>
      </c>
      <c r="X491" s="868">
        <v>0.59537011553486141</v>
      </c>
    </row>
    <row r="492" spans="16:24">
      <c r="P492" s="867">
        <v>76.786885245901601</v>
      </c>
      <c r="Q492" s="868">
        <v>2.8181041844577301E-2</v>
      </c>
      <c r="R492" s="867">
        <v>332.296875</v>
      </c>
      <c r="S492" s="867">
        <v>1224.90625</v>
      </c>
      <c r="T492" s="867">
        <v>96.976074999999994</v>
      </c>
      <c r="U492" s="867">
        <v>3.381731640625</v>
      </c>
      <c r="V492" s="877">
        <v>738.22962962963004</v>
      </c>
      <c r="W492" s="867">
        <v>2866.2444123371242</v>
      </c>
      <c r="X492" s="868">
        <v>0.59537011553486141</v>
      </c>
    </row>
    <row r="493" spans="16:24">
      <c r="P493" s="867">
        <v>74.596330275229406</v>
      </c>
      <c r="Q493" s="868">
        <v>0.62024966178821805</v>
      </c>
      <c r="R493" s="867">
        <v>3385.4220183486277</v>
      </c>
      <c r="S493" s="867">
        <v>7624.3532110091828</v>
      </c>
      <c r="T493" s="867">
        <v>536.65702935779655</v>
      </c>
      <c r="U493" s="867">
        <v>28.232179192660581</v>
      </c>
      <c r="V493" s="877">
        <v>237.954884746939</v>
      </c>
      <c r="W493" s="867">
        <v>3054.2455510167165</v>
      </c>
      <c r="X493" s="868">
        <v>0.5025780028417135</v>
      </c>
    </row>
    <row r="494" spans="16:24">
      <c r="P494" s="867">
        <v>134.83413461538501</v>
      </c>
      <c r="Q494" s="868">
        <v>0.40828296874721398</v>
      </c>
      <c r="R494" s="867">
        <v>5449.4396355353156</v>
      </c>
      <c r="S494" s="867">
        <v>7860.3940774487583</v>
      </c>
      <c r="T494" s="867">
        <v>537.10325474259537</v>
      </c>
      <c r="U494" s="867">
        <v>44.760708200455646</v>
      </c>
      <c r="V494" s="877">
        <v>241.17777273290099</v>
      </c>
      <c r="W494" s="867">
        <v>3054.2455510167165</v>
      </c>
      <c r="X494" s="868">
        <v>0.5025780028417135</v>
      </c>
    </row>
    <row r="495" spans="16:24">
      <c r="P495" s="867">
        <v>87.206310679611704</v>
      </c>
      <c r="Q495" s="868">
        <v>0.40799910935456002</v>
      </c>
      <c r="R495" s="867">
        <v>3789.4068965517249</v>
      </c>
      <c r="S495" s="867">
        <v>5875.7241379310362</v>
      </c>
      <c r="T495" s="867">
        <v>410.96622205977025</v>
      </c>
      <c r="U495" s="867">
        <v>30.665607988505755</v>
      </c>
      <c r="V495" s="877">
        <v>275.26092313735802</v>
      </c>
      <c r="W495" s="867">
        <v>3054.2455510167165</v>
      </c>
      <c r="X495" s="868">
        <v>0.5025780028417135</v>
      </c>
    </row>
    <row r="496" spans="16:24">
      <c r="P496" s="867">
        <v>91.858513189448402</v>
      </c>
      <c r="Q496" s="868">
        <v>0.23623547839707601</v>
      </c>
      <c r="R496" s="867">
        <v>3526.1366742596806</v>
      </c>
      <c r="S496" s="867">
        <v>5689.2186788154886</v>
      </c>
      <c r="T496" s="867">
        <v>393.6261940774487</v>
      </c>
      <c r="U496" s="867">
        <v>26.984767922551249</v>
      </c>
      <c r="V496" s="877">
        <v>438.39831166016501</v>
      </c>
      <c r="W496" s="867">
        <v>3054.2455510167165</v>
      </c>
      <c r="X496" s="868">
        <v>0.5025780028417135</v>
      </c>
    </row>
    <row r="497" spans="16:24">
      <c r="P497" s="867">
        <v>97.792682926829301</v>
      </c>
      <c r="Q497" s="868">
        <v>0.45127821424117698</v>
      </c>
      <c r="R497" s="867">
        <v>5013.9168591223988</v>
      </c>
      <c r="S497" s="867">
        <v>5724.9099307159322</v>
      </c>
      <c r="T497" s="867">
        <v>401.7813764434178</v>
      </c>
      <c r="U497" s="867">
        <v>47.432456833718227</v>
      </c>
      <c r="V497" s="877">
        <v>244.14113304630899</v>
      </c>
      <c r="W497" s="867">
        <v>3054.2455510167165</v>
      </c>
      <c r="X497" s="868">
        <v>0.5025780028417135</v>
      </c>
    </row>
    <row r="498" spans="16:24">
      <c r="P498" s="867">
        <v>83.0260416666667</v>
      </c>
      <c r="Q498" s="868">
        <v>0.43331660498086699</v>
      </c>
      <c r="R498" s="867">
        <v>2550.4669811320737</v>
      </c>
      <c r="S498" s="867">
        <v>7261.1485849056553</v>
      </c>
      <c r="T498" s="867">
        <v>498.5774433962261</v>
      </c>
      <c r="U498" s="867">
        <v>19.755630778301875</v>
      </c>
      <c r="V498" s="877">
        <v>281.35565061544702</v>
      </c>
      <c r="W498" s="867">
        <v>3054.2455510167165</v>
      </c>
      <c r="X498" s="868">
        <v>0.5025780028417135</v>
      </c>
    </row>
    <row r="499" spans="16:24">
      <c r="P499" s="867">
        <v>101.24358974358999</v>
      </c>
      <c r="Q499" s="868">
        <v>0.32792199569456798</v>
      </c>
      <c r="R499" s="867">
        <v>3139.8069767441875</v>
      </c>
      <c r="S499" s="867">
        <v>5507.7418604651193</v>
      </c>
      <c r="T499" s="867">
        <v>376.87222511627925</v>
      </c>
      <c r="U499" s="867">
        <v>23.190419418604662</v>
      </c>
      <c r="V499" s="877">
        <v>273.13401131188499</v>
      </c>
      <c r="W499" s="867">
        <v>3054.2455510167165</v>
      </c>
      <c r="X499" s="868">
        <v>0.5025780028417135</v>
      </c>
    </row>
    <row r="500" spans="16:24">
      <c r="P500" s="867">
        <v>67.468193384223895</v>
      </c>
      <c r="Q500" s="868">
        <v>0.32607957759758599</v>
      </c>
      <c r="R500" s="867">
        <v>3134.6027713625886</v>
      </c>
      <c r="S500" s="867">
        <v>4291.7020785219429</v>
      </c>
      <c r="T500" s="867">
        <v>296.01989284064683</v>
      </c>
      <c r="U500" s="867">
        <v>17.549041916859135</v>
      </c>
      <c r="V500" s="877">
        <v>353.478158733648</v>
      </c>
      <c r="W500" s="867">
        <v>3054.2455510167165</v>
      </c>
      <c r="X500" s="868">
        <v>0.5025780028417135</v>
      </c>
    </row>
    <row r="501" spans="16:24">
      <c r="P501" s="867">
        <v>72.709183673469397</v>
      </c>
      <c r="Q501" s="868">
        <v>0.31043435548382597</v>
      </c>
      <c r="R501" s="867">
        <v>3214.3856812932991</v>
      </c>
      <c r="S501" s="867">
        <v>5998.4526558891394</v>
      </c>
      <c r="T501" s="867">
        <v>412.59262263279402</v>
      </c>
      <c r="U501" s="867">
        <v>23.475101739029999</v>
      </c>
      <c r="V501" s="877">
        <v>425.23846391642701</v>
      </c>
      <c r="W501" s="867">
        <v>3054.2455510167165</v>
      </c>
      <c r="X501" s="868">
        <v>0.5025780028417135</v>
      </c>
    </row>
    <row r="502" spans="16:24">
      <c r="P502" s="867">
        <v>51.684210526315802</v>
      </c>
      <c r="Q502" s="868">
        <v>5.0916496945010202E-3</v>
      </c>
      <c r="R502" s="867">
        <v>67.533333333333331</v>
      </c>
      <c r="S502" s="867">
        <v>122.3</v>
      </c>
      <c r="T502" s="867">
        <v>9.3343600000000002</v>
      </c>
      <c r="U502" s="867">
        <v>0.58393499999999998</v>
      </c>
      <c r="V502" s="877">
        <v>237.266875</v>
      </c>
      <c r="W502" s="867">
        <v>3054.2455510167165</v>
      </c>
      <c r="X502" s="868">
        <v>0.5025780028417135</v>
      </c>
    </row>
    <row r="503" spans="16:24">
      <c r="P503" s="867">
        <v>75.073903002309507</v>
      </c>
      <c r="Q503" s="868">
        <v>0.48506475528347698</v>
      </c>
      <c r="R503" s="867">
        <v>4170.0808314087717</v>
      </c>
      <c r="S503" s="867">
        <v>5780.4157043879859</v>
      </c>
      <c r="T503" s="867">
        <v>402.94466327944536</v>
      </c>
      <c r="U503" s="867">
        <v>34.604399357967637</v>
      </c>
      <c r="V503" s="877">
        <v>273.247330669711</v>
      </c>
      <c r="W503" s="867">
        <v>3054.2455510167165</v>
      </c>
      <c r="X503" s="868">
        <v>0.5025780028417135</v>
      </c>
    </row>
    <row r="504" spans="16:24">
      <c r="P504" s="867">
        <v>71.771889400921694</v>
      </c>
      <c r="Q504" s="868">
        <v>0.60502744871424397</v>
      </c>
      <c r="R504" s="867">
        <v>5612.8387096774095</v>
      </c>
      <c r="S504" s="867">
        <v>5954.5184331797127</v>
      </c>
      <c r="T504" s="867">
        <v>407.06445161290247</v>
      </c>
      <c r="U504" s="867">
        <v>43.849630852534482</v>
      </c>
      <c r="V504" s="877">
        <v>266.38186352541697</v>
      </c>
      <c r="W504" s="867">
        <v>3054.2455510167165</v>
      </c>
      <c r="X504" s="868">
        <v>0.5025780028417135</v>
      </c>
    </row>
    <row r="505" spans="16:24">
      <c r="P505" s="867">
        <v>113.25</v>
      </c>
      <c r="Q505" s="868">
        <v>0.316869880959749</v>
      </c>
      <c r="R505" s="867">
        <v>2764.2546728971979</v>
      </c>
      <c r="S505" s="867">
        <v>5240.1915887850491</v>
      </c>
      <c r="T505" s="867">
        <v>359.33417943925252</v>
      </c>
      <c r="U505" s="867">
        <v>22.663292481308424</v>
      </c>
      <c r="V505" s="877">
        <v>222.985323263233</v>
      </c>
      <c r="W505" s="867">
        <v>3054.2455510167165</v>
      </c>
      <c r="X505" s="868">
        <v>0.5025780028417135</v>
      </c>
    </row>
    <row r="506" spans="16:24">
      <c r="P506" s="867">
        <v>93.1666666666667</v>
      </c>
      <c r="Q506" s="868">
        <v>1.78890876565295E-3</v>
      </c>
      <c r="R506" s="867">
        <v>12.863636363636372</v>
      </c>
      <c r="S506" s="867">
        <v>92.318181818181884</v>
      </c>
      <c r="T506" s="867">
        <v>7.6852363636363688</v>
      </c>
      <c r="U506" s="867">
        <v>0.16010909090909103</v>
      </c>
      <c r="V506" s="877">
        <v>136.10352941176501</v>
      </c>
      <c r="W506" s="867">
        <v>3054.2455510167165</v>
      </c>
      <c r="X506" s="868">
        <v>0.5025780028417135</v>
      </c>
    </row>
    <row r="507" spans="16:24">
      <c r="P507" s="867">
        <v>101.82352941176499</v>
      </c>
      <c r="Q507" s="868">
        <v>0.15366839976891999</v>
      </c>
      <c r="R507" s="867">
        <v>647.86440677966129</v>
      </c>
      <c r="S507" s="867">
        <v>1066.0169491525428</v>
      </c>
      <c r="T507" s="867">
        <v>76.477871186440723</v>
      </c>
      <c r="U507" s="867">
        <v>5.1460461864406799</v>
      </c>
      <c r="V507" s="877">
        <v>326.18935483871002</v>
      </c>
      <c r="W507" s="867">
        <v>3054.2455510167165</v>
      </c>
      <c r="X507" s="868">
        <v>0.5025780028417135</v>
      </c>
    </row>
    <row r="508" spans="16:24">
      <c r="P508" s="867">
        <v>132.916666666667</v>
      </c>
      <c r="Q508" s="868">
        <v>2.5078369905956101E-3</v>
      </c>
      <c r="R508" s="867">
        <v>153.97916666666617</v>
      </c>
      <c r="S508" s="867">
        <v>94.437499999999687</v>
      </c>
      <c r="T508" s="867">
        <v>8.3656999999999737</v>
      </c>
      <c r="U508" s="867">
        <v>1.653602083333328</v>
      </c>
      <c r="V508" s="877">
        <v>298.11324999999999</v>
      </c>
      <c r="W508" s="867">
        <v>3054.2455510167165</v>
      </c>
      <c r="X508" s="868">
        <v>0.5025780028417135</v>
      </c>
    </row>
    <row r="509" spans="16:24">
      <c r="P509" s="867">
        <v>52.1666666666667</v>
      </c>
      <c r="Q509" s="868">
        <v>3.1948881789137401E-3</v>
      </c>
      <c r="R509" s="867">
        <v>28.625</v>
      </c>
      <c r="S509" s="867">
        <v>98.0625</v>
      </c>
      <c r="T509" s="867">
        <v>8.8059999999999992</v>
      </c>
      <c r="U509" s="867">
        <v>0.14606328125000001</v>
      </c>
      <c r="V509" s="877">
        <v>150.16814814814799</v>
      </c>
      <c r="W509" s="867">
        <v>3054.2455510167165</v>
      </c>
      <c r="X509" s="868">
        <v>0.5025780028417135</v>
      </c>
    </row>
    <row r="510" spans="16:24">
      <c r="P510" s="867">
        <v>129.42857142857099</v>
      </c>
      <c r="Q510" s="868">
        <v>1.83958793230316E-3</v>
      </c>
      <c r="R510" s="867">
        <v>185.93617021276637</v>
      </c>
      <c r="S510" s="867">
        <v>94.723404255319366</v>
      </c>
      <c r="T510" s="867">
        <v>8.2439148936170401</v>
      </c>
      <c r="U510" s="867">
        <v>1.9085287234042596</v>
      </c>
      <c r="V510" s="877">
        <v>425.45161290322602</v>
      </c>
      <c r="W510" s="867">
        <v>3054.2455510167165</v>
      </c>
      <c r="X510" s="868">
        <v>0.5025780028417135</v>
      </c>
    </row>
    <row r="511" spans="16:24">
      <c r="P511" s="867">
        <v>77.004597701149393</v>
      </c>
      <c r="Q511" s="868">
        <v>0.49231274442487399</v>
      </c>
      <c r="R511" s="867">
        <v>2414.7425287356295</v>
      </c>
      <c r="S511" s="867">
        <v>5822.0597701149354</v>
      </c>
      <c r="T511" s="867">
        <v>405.17576084597653</v>
      </c>
      <c r="U511" s="867">
        <v>18.669544085057449</v>
      </c>
      <c r="V511" s="877">
        <v>217.27042326117299</v>
      </c>
      <c r="W511" s="867">
        <v>3054.2455510167165</v>
      </c>
      <c r="X511" s="868">
        <v>0.5025780028417135</v>
      </c>
    </row>
    <row r="512" spans="16:24">
      <c r="P512" s="867">
        <v>101.13103448275901</v>
      </c>
      <c r="Q512" s="868">
        <v>0.52780050918348798</v>
      </c>
      <c r="R512" s="867">
        <v>3373.3264367815996</v>
      </c>
      <c r="S512" s="867">
        <v>6760.6919540229692</v>
      </c>
      <c r="T512" s="867">
        <v>460.30885149425154</v>
      </c>
      <c r="U512" s="867">
        <v>30.939879252873475</v>
      </c>
      <c r="V512" s="877">
        <v>189.85732503553101</v>
      </c>
      <c r="W512" s="867">
        <v>3054.2455510167165</v>
      </c>
      <c r="X512" s="868">
        <v>0.5025780028417135</v>
      </c>
    </row>
    <row r="513" spans="16:24">
      <c r="P513" s="867">
        <v>105.241379310345</v>
      </c>
      <c r="Q513" s="868">
        <v>0.50430318916557504</v>
      </c>
      <c r="R513" s="867">
        <v>4085.675862068957</v>
      </c>
      <c r="S513" s="867">
        <v>6003.3977011494126</v>
      </c>
      <c r="T513" s="867">
        <v>414.23423999999909</v>
      </c>
      <c r="U513" s="867">
        <v>37.349846724137855</v>
      </c>
      <c r="V513" s="877">
        <v>190.096019838004</v>
      </c>
      <c r="W513" s="867">
        <v>3054.2455510167165</v>
      </c>
      <c r="X513" s="868">
        <v>0.5025780028417135</v>
      </c>
    </row>
    <row r="514" spans="16:24">
      <c r="P514" s="867">
        <v>95.834090909090904</v>
      </c>
      <c r="Q514" s="868">
        <v>0.51929233760997895</v>
      </c>
      <c r="R514" s="867">
        <v>6024.6954545454546</v>
      </c>
      <c r="S514" s="867">
        <v>8713.3363636363629</v>
      </c>
      <c r="T514" s="867">
        <v>596.81464181817955</v>
      </c>
      <c r="U514" s="867">
        <v>47.575058238636359</v>
      </c>
      <c r="V514" s="877">
        <v>296.147074028406</v>
      </c>
      <c r="W514" s="867">
        <v>3054.2455510167165</v>
      </c>
      <c r="X514" s="868">
        <v>0.5025780028417135</v>
      </c>
    </row>
    <row r="515" spans="16:24">
      <c r="P515" s="867">
        <v>76.339366515837099</v>
      </c>
      <c r="Q515" s="868">
        <v>0.46434710449884398</v>
      </c>
      <c r="R515" s="867">
        <v>3152.0090497737538</v>
      </c>
      <c r="S515" s="867">
        <v>5641.8800904977343</v>
      </c>
      <c r="T515" s="867">
        <v>393.55249230769203</v>
      </c>
      <c r="U515" s="867">
        <v>24.457279382352926</v>
      </c>
      <c r="V515" s="877">
        <v>247.569157518509</v>
      </c>
      <c r="W515" s="867">
        <v>3054.2455510167165</v>
      </c>
      <c r="X515" s="868">
        <v>0.5025780028417135</v>
      </c>
    </row>
    <row r="516" spans="16:24">
      <c r="P516" s="867">
        <v>83.915137614678898</v>
      </c>
      <c r="Q516" s="868">
        <v>0.57613359936589503</v>
      </c>
      <c r="R516" s="867">
        <v>4402.0160550458804</v>
      </c>
      <c r="S516" s="867">
        <v>7294.4403669724916</v>
      </c>
      <c r="T516" s="867">
        <v>504.24521333944818</v>
      </c>
      <c r="U516" s="867">
        <v>36.447282669724842</v>
      </c>
      <c r="V516" s="877">
        <v>241.24732482565599</v>
      </c>
      <c r="W516" s="867">
        <v>3054.2455510167165</v>
      </c>
      <c r="X516" s="868">
        <v>0.5025780028417135</v>
      </c>
    </row>
    <row r="517" spans="16:24">
      <c r="P517" s="867">
        <v>90.706818181818207</v>
      </c>
      <c r="Q517" s="868">
        <v>0.53083109919571103</v>
      </c>
      <c r="R517" s="867">
        <v>4271.4068181818075</v>
      </c>
      <c r="S517" s="867">
        <v>6371.9227272727112</v>
      </c>
      <c r="T517" s="867">
        <v>436.90568727272387</v>
      </c>
      <c r="U517" s="867">
        <v>36.409923134090818</v>
      </c>
      <c r="V517" s="877">
        <v>221.045295950156</v>
      </c>
      <c r="W517" s="867">
        <v>3054.2455510167165</v>
      </c>
      <c r="X517" s="868">
        <v>0.5025780028417135</v>
      </c>
    </row>
    <row r="518" spans="16:24">
      <c r="P518" s="867">
        <v>86.022624434389101</v>
      </c>
      <c r="Q518" s="868">
        <v>0.45315869759612898</v>
      </c>
      <c r="R518" s="867">
        <v>8028.2330316742054</v>
      </c>
      <c r="S518" s="867">
        <v>7665.8009049773727</v>
      </c>
      <c r="T518" s="867">
        <v>525.77796923076903</v>
      </c>
      <c r="U518" s="867">
        <v>53.242693316742056</v>
      </c>
      <c r="V518" s="877">
        <v>402.59801683110902</v>
      </c>
      <c r="W518" s="867">
        <v>3293.1144020900269</v>
      </c>
      <c r="X518" s="868">
        <v>0.52208767409597301</v>
      </c>
    </row>
    <row r="519" spans="16:24">
      <c r="P519" s="867">
        <v>79.662844036697294</v>
      </c>
      <c r="Q519" s="868">
        <v>0.50643480263726104</v>
      </c>
      <c r="R519" s="867">
        <v>5730.9977064220056</v>
      </c>
      <c r="S519" s="867">
        <v>7923.8073394495241</v>
      </c>
      <c r="T519" s="867">
        <v>539.03222568807223</v>
      </c>
      <c r="U519" s="867">
        <v>35.485754245412764</v>
      </c>
      <c r="V519" s="877">
        <v>338.45897782831202</v>
      </c>
      <c r="W519" s="867">
        <v>3293.1144020900269</v>
      </c>
      <c r="X519" s="868">
        <v>0.52208767409597301</v>
      </c>
    </row>
    <row r="520" spans="16:24">
      <c r="P520" s="867">
        <v>99.270642201834903</v>
      </c>
      <c r="Q520" s="868">
        <v>0.44558939050875701</v>
      </c>
      <c r="R520" s="867">
        <v>5227.6422018348712</v>
      </c>
      <c r="S520" s="867">
        <v>6911.7568807339567</v>
      </c>
      <c r="T520" s="867">
        <v>470.7170550458701</v>
      </c>
      <c r="U520" s="867">
        <v>33.836108027522997</v>
      </c>
      <c r="V520" s="877">
        <v>274.43638649797799</v>
      </c>
      <c r="W520" s="867">
        <v>3293.1144020900269</v>
      </c>
      <c r="X520" s="868">
        <v>0.52208767409597301</v>
      </c>
    </row>
    <row r="521" spans="16:24">
      <c r="P521" s="867">
        <v>60.066513761467903</v>
      </c>
      <c r="Q521" s="868">
        <v>0.61312001221887102</v>
      </c>
      <c r="R521" s="867">
        <v>4250.3577981651433</v>
      </c>
      <c r="S521" s="867">
        <v>9474.5458715596469</v>
      </c>
      <c r="T521" s="867">
        <v>646.10995412843909</v>
      </c>
      <c r="U521" s="867">
        <v>25.71501989678903</v>
      </c>
      <c r="V521" s="877">
        <v>372.67590023042902</v>
      </c>
      <c r="W521" s="867">
        <v>3293.1144020900269</v>
      </c>
      <c r="X521" s="868">
        <v>0.52208767409597301</v>
      </c>
    </row>
    <row r="522" spans="16:24">
      <c r="P522" s="867">
        <v>45.649651972157798</v>
      </c>
      <c r="Q522" s="868">
        <v>0.64081321473951702</v>
      </c>
      <c r="R522" s="867">
        <v>7307.3062645011642</v>
      </c>
      <c r="S522" s="867">
        <v>6291.5916473317902</v>
      </c>
      <c r="T522" s="867">
        <v>430.22315730858492</v>
      </c>
      <c r="U522" s="867">
        <v>40.943640150812087</v>
      </c>
      <c r="V522" s="877">
        <v>464.73362388959401</v>
      </c>
      <c r="W522" s="867">
        <v>3293.1144020900269</v>
      </c>
      <c r="X522" s="868">
        <v>0.52208767409597301</v>
      </c>
    </row>
    <row r="523" spans="16:24">
      <c r="P523" s="867">
        <v>74.408775981524201</v>
      </c>
      <c r="Q523" s="868">
        <v>0.36816785126788498</v>
      </c>
      <c r="R523" s="867">
        <v>5318.949191685916</v>
      </c>
      <c r="S523" s="867">
        <v>8178.5196304849942</v>
      </c>
      <c r="T523" s="867">
        <v>561.07032424942076</v>
      </c>
      <c r="U523" s="867">
        <v>36.736230311778314</v>
      </c>
      <c r="V523" s="877">
        <v>492.69979345810202</v>
      </c>
      <c r="W523" s="867">
        <v>3293.1144020900269</v>
      </c>
      <c r="X523" s="868">
        <v>0.52208767409597301</v>
      </c>
    </row>
    <row r="524" spans="16:24">
      <c r="P524" s="867">
        <v>61.321100917431203</v>
      </c>
      <c r="Q524" s="868">
        <v>0.49308049072411703</v>
      </c>
      <c r="R524" s="867">
        <v>4302.8073394495359</v>
      </c>
      <c r="S524" s="867">
        <v>8967.4426605504468</v>
      </c>
      <c r="T524" s="867">
        <v>611.53226605504517</v>
      </c>
      <c r="U524" s="867">
        <v>30.402597190366933</v>
      </c>
      <c r="V524" s="877">
        <v>438.885874990518</v>
      </c>
      <c r="W524" s="867">
        <v>3293.1144020900269</v>
      </c>
      <c r="X524" s="868">
        <v>0.52208767409597301</v>
      </c>
    </row>
    <row r="525" spans="16:24">
      <c r="P525" s="867">
        <v>70.147126436781605</v>
      </c>
      <c r="Q525" s="868">
        <v>0.52808546896506503</v>
      </c>
      <c r="R525" s="867">
        <v>5823.2827586206831</v>
      </c>
      <c r="S525" s="867">
        <v>8109.4390804597606</v>
      </c>
      <c r="T525" s="867">
        <v>553.68889011494184</v>
      </c>
      <c r="U525" s="867">
        <v>39.751496797701108</v>
      </c>
      <c r="V525" s="877">
        <v>376.11603698647099</v>
      </c>
      <c r="W525" s="867">
        <v>3293.1144020900269</v>
      </c>
      <c r="X525" s="868">
        <v>0.52208767409597301</v>
      </c>
    </row>
    <row r="526" spans="16:24">
      <c r="P526" s="867">
        <v>65.504587155963307</v>
      </c>
      <c r="Q526" s="868">
        <v>0.50409663865546195</v>
      </c>
      <c r="R526" s="867">
        <v>4707.95871559634</v>
      </c>
      <c r="S526" s="867">
        <v>6798.6628440367112</v>
      </c>
      <c r="T526" s="867">
        <v>475.55631559632894</v>
      </c>
      <c r="U526" s="867">
        <v>36.872923967889982</v>
      </c>
      <c r="V526" s="877">
        <v>348.467471000903</v>
      </c>
      <c r="W526" s="867">
        <v>3293.1144020900269</v>
      </c>
      <c r="X526" s="868">
        <v>0.52208767409597301</v>
      </c>
    </row>
    <row r="527" spans="16:24">
      <c r="P527" s="867">
        <v>52.447247706421997</v>
      </c>
      <c r="Q527" s="868">
        <v>0.41400271133073901</v>
      </c>
      <c r="R527" s="867">
        <v>3791.4655963302698</v>
      </c>
      <c r="S527" s="867">
        <v>5045.2637614678824</v>
      </c>
      <c r="T527" s="867">
        <v>344.04799633027471</v>
      </c>
      <c r="U527" s="867">
        <v>23.393922286697212</v>
      </c>
      <c r="V527" s="877">
        <v>406.68549910214398</v>
      </c>
      <c r="W527" s="867">
        <v>3293.1144020900269</v>
      </c>
      <c r="X527" s="868">
        <v>0.52208767409597301</v>
      </c>
    </row>
    <row r="528" spans="16:24">
      <c r="P528" s="867">
        <v>98.203196347032005</v>
      </c>
      <c r="Q528" s="868">
        <v>0.23964847836700501</v>
      </c>
      <c r="R528" s="867">
        <v>3463.83789954337</v>
      </c>
      <c r="S528" s="867">
        <v>6553.7648401826318</v>
      </c>
      <c r="T528" s="867">
        <v>452.49972785388013</v>
      </c>
      <c r="U528" s="867">
        <v>24.263402410958843</v>
      </c>
      <c r="V528" s="877">
        <v>425.66062281722901</v>
      </c>
      <c r="W528" s="867">
        <v>3293.1144020900269</v>
      </c>
      <c r="X528" s="868">
        <v>0.52208767409597301</v>
      </c>
    </row>
    <row r="529" spans="16:24">
      <c r="P529" s="867">
        <v>64.575688073394502</v>
      </c>
      <c r="Q529" s="868">
        <v>0.34686556561889498</v>
      </c>
      <c r="R529" s="867">
        <v>3386.2729357798089</v>
      </c>
      <c r="S529" s="867">
        <v>7495.6857798164974</v>
      </c>
      <c r="T529" s="867">
        <v>514.52084587155844</v>
      </c>
      <c r="U529" s="867">
        <v>25.291687442660493</v>
      </c>
      <c r="V529" s="877">
        <v>485.82144992832298</v>
      </c>
      <c r="W529" s="867">
        <v>3293.1144020900269</v>
      </c>
      <c r="X529" s="868">
        <v>0.52208767409597301</v>
      </c>
    </row>
    <row r="530" spans="16:24">
      <c r="P530" s="867">
        <v>59.0022471910112</v>
      </c>
      <c r="Q530" s="868">
        <v>0.470025898842169</v>
      </c>
      <c r="R530" s="867">
        <v>4518.98651685393</v>
      </c>
      <c r="S530" s="867">
        <v>5345.9033707865137</v>
      </c>
      <c r="T530" s="867">
        <v>364.09742741573007</v>
      </c>
      <c r="U530" s="867">
        <v>30.226184869662902</v>
      </c>
      <c r="V530" s="877">
        <v>355.714764605786</v>
      </c>
      <c r="W530" s="867">
        <v>3293.1144020900269</v>
      </c>
      <c r="X530" s="868">
        <v>0.52208767409597301</v>
      </c>
    </row>
    <row r="531" spans="16:24">
      <c r="P531" s="867">
        <v>46.406896551724103</v>
      </c>
      <c r="Q531" s="868">
        <v>0.20750978352405</v>
      </c>
      <c r="R531" s="867">
        <v>2019.4091954023015</v>
      </c>
      <c r="S531" s="867">
        <v>4572.9494252873619</v>
      </c>
      <c r="T531" s="867">
        <v>319.58289839080504</v>
      </c>
      <c r="U531" s="867">
        <v>13.466221954023007</v>
      </c>
      <c r="V531" s="877">
        <v>694.40317975650498</v>
      </c>
      <c r="W531" s="867">
        <v>3293.1144020900269</v>
      </c>
      <c r="X531" s="868">
        <v>0.52208767409597301</v>
      </c>
    </row>
    <row r="532" spans="16:24">
      <c r="P532" s="867">
        <v>65.680995475113093</v>
      </c>
      <c r="Q532" s="868">
        <v>0.47724845854431502</v>
      </c>
      <c r="R532" s="867">
        <v>4971.1787330316674</v>
      </c>
      <c r="S532" s="867">
        <v>7734.4027149321164</v>
      </c>
      <c r="T532" s="867">
        <v>527.08492307692234</v>
      </c>
      <c r="U532" s="867">
        <v>33.087489196832536</v>
      </c>
      <c r="V532" s="877">
        <v>405.15592277156298</v>
      </c>
      <c r="W532" s="867">
        <v>3293.1144020900269</v>
      </c>
      <c r="X532" s="868">
        <v>0.52208767409597301</v>
      </c>
    </row>
    <row r="533" spans="16:24">
      <c r="P533" s="867">
        <v>59.029816513761503</v>
      </c>
      <c r="Q533" s="868">
        <v>0.43085829739285902</v>
      </c>
      <c r="R533" s="867">
        <v>4043.2247706421972</v>
      </c>
      <c r="S533" s="867">
        <v>6332.2568807339376</v>
      </c>
      <c r="T533" s="867">
        <v>430.94463486238482</v>
      </c>
      <c r="U533" s="867">
        <v>27.118936123853178</v>
      </c>
      <c r="V533" s="877">
        <v>407.74490215528903</v>
      </c>
      <c r="W533" s="867">
        <v>3293.1144020900269</v>
      </c>
      <c r="X533" s="868">
        <v>0.52208767409597301</v>
      </c>
    </row>
    <row r="534" spans="16:24">
      <c r="P534" s="867">
        <v>69.6797235023041</v>
      </c>
      <c r="Q534" s="868">
        <v>0.475777917396912</v>
      </c>
      <c r="R534" s="867">
        <v>3398.069124423967</v>
      </c>
      <c r="S534" s="867">
        <v>4986.8133640553051</v>
      </c>
      <c r="T534" s="867">
        <v>339.22172903225845</v>
      </c>
      <c r="U534" s="867">
        <v>22.128979398617538</v>
      </c>
      <c r="V534" s="877">
        <v>252.921752849597</v>
      </c>
      <c r="W534" s="867">
        <v>3293.1144020900269</v>
      </c>
      <c r="X534" s="868">
        <v>0.52208767409597301</v>
      </c>
    </row>
    <row r="535" spans="16:24">
      <c r="P535" s="867">
        <v>38.064516129032299</v>
      </c>
      <c r="Q535" s="868">
        <v>0.50538740920096903</v>
      </c>
      <c r="R535" s="867">
        <v>3457.4101382488502</v>
      </c>
      <c r="S535" s="867">
        <v>5228.6682027649804</v>
      </c>
      <c r="T535" s="867">
        <v>359.22798709677437</v>
      </c>
      <c r="U535" s="867">
        <v>22.522966836405544</v>
      </c>
      <c r="V535" s="877">
        <v>451.52223140495897</v>
      </c>
      <c r="W535" s="867">
        <v>3293.1144020900269</v>
      </c>
      <c r="X535" s="868">
        <v>0.52208767409597301</v>
      </c>
    </row>
    <row r="536" spans="16:24">
      <c r="P536" s="867">
        <v>83.696145124716594</v>
      </c>
      <c r="Q536" s="868">
        <v>0.494310484963425</v>
      </c>
      <c r="R536" s="867">
        <v>2775.2448979591763</v>
      </c>
      <c r="S536" s="867">
        <v>5996.2312925169917</v>
      </c>
      <c r="T536" s="867">
        <v>413.23103492063382</v>
      </c>
      <c r="U536" s="867">
        <v>22.014191897959126</v>
      </c>
      <c r="V536" s="877">
        <v>212.01542285557699</v>
      </c>
      <c r="W536" s="867">
        <v>3293.1144020900269</v>
      </c>
      <c r="X536" s="868">
        <v>0.52208767409597301</v>
      </c>
    </row>
    <row r="537" spans="16:24">
      <c r="P537" s="867">
        <v>67.380733944954102</v>
      </c>
      <c r="Q537" s="868">
        <v>0.71461637960378499</v>
      </c>
      <c r="R537" s="867">
        <v>4399.075688073397</v>
      </c>
      <c r="S537" s="867">
        <v>6003.4013761467932</v>
      </c>
      <c r="T537" s="867">
        <v>415.30388623853236</v>
      </c>
      <c r="U537" s="867">
        <v>28.590979752293595</v>
      </c>
      <c r="V537" s="877">
        <v>216.03685243402899</v>
      </c>
      <c r="W537" s="867">
        <v>3293.1144020900269</v>
      </c>
      <c r="X537" s="868">
        <v>0.52208767409597301</v>
      </c>
    </row>
    <row r="538" spans="16:24">
      <c r="P538" s="867">
        <v>98.700460829493096</v>
      </c>
      <c r="Q538" s="868">
        <v>0.470025212438136</v>
      </c>
      <c r="R538" s="867">
        <v>5622.288018433188</v>
      </c>
      <c r="S538" s="867">
        <v>6366.8709677419447</v>
      </c>
      <c r="T538" s="867">
        <v>433.90449032257897</v>
      </c>
      <c r="U538" s="867">
        <v>44.394853608294994</v>
      </c>
      <c r="V538" s="877">
        <v>258.433180689381</v>
      </c>
      <c r="W538" s="867">
        <v>3293.1144020900269</v>
      </c>
      <c r="X538" s="868">
        <v>0.52208767409597301</v>
      </c>
    </row>
    <row r="539" spans="16:24">
      <c r="P539" s="867">
        <v>56.119266055045898</v>
      </c>
      <c r="Q539" s="868">
        <v>0.38625960438123302</v>
      </c>
      <c r="R539" s="867">
        <v>4096.9380733944945</v>
      </c>
      <c r="S539" s="867">
        <v>6222.6697247706416</v>
      </c>
      <c r="T539" s="867">
        <v>423.59283669724766</v>
      </c>
      <c r="U539" s="867">
        <v>28.264121215596326</v>
      </c>
      <c r="V539" s="877">
        <v>476.07109618029801</v>
      </c>
      <c r="W539" s="867">
        <v>3293.1144020900269</v>
      </c>
      <c r="X539" s="868">
        <v>0.52208767409597301</v>
      </c>
    </row>
    <row r="540" spans="16:24">
      <c r="P540" s="867">
        <v>92.325688073394502</v>
      </c>
      <c r="Q540" s="868">
        <v>0.32061410046206601</v>
      </c>
      <c r="R540" s="867">
        <v>3026.9701834862412</v>
      </c>
      <c r="S540" s="867">
        <v>7006.7270642201902</v>
      </c>
      <c r="T540" s="867">
        <v>478.51319266055089</v>
      </c>
      <c r="U540" s="867">
        <v>21.097164885321121</v>
      </c>
      <c r="V540" s="877">
        <v>338.93018905935202</v>
      </c>
      <c r="W540" s="867">
        <v>3293.1144020900269</v>
      </c>
      <c r="X540" s="868">
        <v>0.52208767409597301</v>
      </c>
    </row>
    <row r="541" spans="16:24">
      <c r="P541" s="867">
        <v>80.651376146789005</v>
      </c>
      <c r="Q541" s="868">
        <v>0.25961210328745299</v>
      </c>
      <c r="R541" s="867">
        <v>2058.9311926605492</v>
      </c>
      <c r="S541" s="867">
        <v>5552.9174311926572</v>
      </c>
      <c r="T541" s="867">
        <v>382.15616330275213</v>
      </c>
      <c r="U541" s="867">
        <v>13.451821158256873</v>
      </c>
      <c r="V541" s="877">
        <v>363.54131449227702</v>
      </c>
      <c r="W541" s="867">
        <v>3293.1144020900269</v>
      </c>
      <c r="X541" s="868">
        <v>0.52208767409597301</v>
      </c>
    </row>
    <row r="542" spans="16:24">
      <c r="P542" s="867">
        <v>69.891454965357994</v>
      </c>
      <c r="Q542" s="868">
        <v>0.55324984304265901</v>
      </c>
      <c r="R542" s="867">
        <v>4268.5381062355609</v>
      </c>
      <c r="S542" s="867">
        <v>7618.2309468822095</v>
      </c>
      <c r="T542" s="867">
        <v>526.35068637413337</v>
      </c>
      <c r="U542" s="867">
        <v>30.821613914549623</v>
      </c>
      <c r="V542" s="877">
        <v>307.25818551036298</v>
      </c>
      <c r="W542" s="867">
        <v>3293.1144020900269</v>
      </c>
      <c r="X542" s="868">
        <v>0.52208767409597301</v>
      </c>
    </row>
    <row r="543" spans="16:24">
      <c r="P543" s="867">
        <v>94.160997732426296</v>
      </c>
      <c r="Q543" s="868">
        <v>0.37066827212522602</v>
      </c>
      <c r="R543" s="867">
        <v>4324.0748299319694</v>
      </c>
      <c r="S543" s="867">
        <v>9800.1836734693807</v>
      </c>
      <c r="T543" s="867">
        <v>667.98601904761847</v>
      </c>
      <c r="U543" s="867">
        <v>29.47988787981857</v>
      </c>
      <c r="V543" s="877">
        <v>401.64901442307701</v>
      </c>
      <c r="W543" s="867">
        <v>3293.1144020900269</v>
      </c>
      <c r="X543" s="868">
        <v>0.52208767409597301</v>
      </c>
    </row>
    <row r="544" spans="16:24">
      <c r="P544" s="867">
        <v>76.537931034482796</v>
      </c>
      <c r="Q544" s="868">
        <v>0.57253559199855797</v>
      </c>
      <c r="R544" s="867">
        <v>4044.5517241379225</v>
      </c>
      <c r="S544" s="867">
        <v>7329.4620689655021</v>
      </c>
      <c r="T544" s="867">
        <v>501.92175632183807</v>
      </c>
      <c r="U544" s="867">
        <v>27.374706321839025</v>
      </c>
      <c r="V544" s="877">
        <v>259.55809883537898</v>
      </c>
      <c r="W544" s="867">
        <v>3293.1144020900269</v>
      </c>
      <c r="X544" s="868">
        <v>0.52208767409597301</v>
      </c>
    </row>
    <row r="545" spans="16:24">
      <c r="P545" s="867">
        <v>52.6620689655172</v>
      </c>
      <c r="Q545" s="868">
        <v>0.33298411035446102</v>
      </c>
      <c r="R545" s="867">
        <v>4569.1195402298799</v>
      </c>
      <c r="S545" s="867">
        <v>8417.039080459761</v>
      </c>
      <c r="T545" s="867">
        <v>580.81541885057402</v>
      </c>
      <c r="U545" s="867">
        <v>32.558369367816056</v>
      </c>
      <c r="V545" s="877">
        <v>740.55840456214003</v>
      </c>
      <c r="W545" s="867">
        <v>3293.1144020900269</v>
      </c>
      <c r="X545" s="868">
        <v>0.52208767409597301</v>
      </c>
    </row>
    <row r="546" spans="16:24">
      <c r="P546" s="867">
        <v>99.196759259259295</v>
      </c>
      <c r="Q546" s="868">
        <v>0.400578722609852</v>
      </c>
      <c r="R546" s="867">
        <v>3768.2569444444362</v>
      </c>
      <c r="S546" s="867">
        <v>6754.6180555555402</v>
      </c>
      <c r="T546" s="867">
        <v>460.553799999999</v>
      </c>
      <c r="U546" s="867">
        <v>25.200606361111056</v>
      </c>
      <c r="V546" s="877">
        <v>264.81894442502602</v>
      </c>
      <c r="W546" s="867">
        <v>3293.1144020900269</v>
      </c>
      <c r="X546" s="868">
        <v>0.52208767409597301</v>
      </c>
    </row>
    <row r="547" spans="16:24">
      <c r="P547" s="867">
        <v>41.307870370370402</v>
      </c>
      <c r="Q547" s="868">
        <v>0.50736901092743103</v>
      </c>
      <c r="R547" s="867">
        <v>2608.9351851851811</v>
      </c>
      <c r="S547" s="867">
        <v>6685.67824074073</v>
      </c>
      <c r="T547" s="867">
        <v>457.61846666666594</v>
      </c>
      <c r="U547" s="867">
        <v>18.746906324074043</v>
      </c>
      <c r="V547" s="877">
        <v>443.48077645239698</v>
      </c>
      <c r="W547" s="867">
        <v>3293.1144020900269</v>
      </c>
      <c r="X547" s="868">
        <v>0.52208767409597301</v>
      </c>
    </row>
    <row r="548" spans="16:24">
      <c r="P548" s="867">
        <v>66.435779816513801</v>
      </c>
      <c r="Q548" s="868">
        <v>0.46312918594213898</v>
      </c>
      <c r="R548" s="867">
        <v>3375.5481651376081</v>
      </c>
      <c r="S548" s="867">
        <v>6469.0252293577851</v>
      </c>
      <c r="T548" s="867">
        <v>456.15079999999909</v>
      </c>
      <c r="U548" s="867">
        <v>22.292060321100873</v>
      </c>
      <c r="V548" s="877">
        <v>319.95787700335399</v>
      </c>
      <c r="W548" s="867">
        <v>3293.1144020900269</v>
      </c>
      <c r="X548" s="868">
        <v>0.52208767409597301</v>
      </c>
    </row>
    <row r="549" spans="16:24">
      <c r="P549" s="867">
        <v>111.73333333333299</v>
      </c>
      <c r="Q549" s="868">
        <v>0.43809151510163802</v>
      </c>
      <c r="R549" s="867">
        <v>3817.7816091953964</v>
      </c>
      <c r="S549" s="867">
        <v>8670.9678160919411</v>
      </c>
      <c r="T549" s="867">
        <v>592.36241287356233</v>
      </c>
      <c r="U549" s="867">
        <v>25.749216588505707</v>
      </c>
      <c r="V549" s="877">
        <v>255.13561874794499</v>
      </c>
      <c r="W549" s="867">
        <v>3293.1144020900269</v>
      </c>
      <c r="X549" s="868">
        <v>0.52208767409597301</v>
      </c>
    </row>
    <row r="550" spans="16:24">
      <c r="P550" s="867">
        <v>81.603644646924806</v>
      </c>
      <c r="Q550" s="868">
        <v>0.51429209468512704</v>
      </c>
      <c r="R550" s="867">
        <v>4264.0911161731165</v>
      </c>
      <c r="S550" s="867">
        <v>6365.6628701594473</v>
      </c>
      <c r="T550" s="867">
        <v>434.10571116173077</v>
      </c>
      <c r="U550" s="867">
        <v>32.482812136674234</v>
      </c>
      <c r="V550" s="877">
        <v>253.281781914894</v>
      </c>
      <c r="W550" s="867">
        <v>3293.1144020900269</v>
      </c>
      <c r="X550" s="868">
        <v>0.52208767409597301</v>
      </c>
    </row>
    <row r="551" spans="16:24">
      <c r="P551" s="867">
        <v>75.344671201814094</v>
      </c>
      <c r="Q551" s="868">
        <v>0.49366479068227698</v>
      </c>
      <c r="R551" s="867">
        <v>4548.2018140589626</v>
      </c>
      <c r="S551" s="867">
        <v>9725.8412698412831</v>
      </c>
      <c r="T551" s="867">
        <v>664.67927619047475</v>
      </c>
      <c r="U551" s="867">
        <v>32.066388637188254</v>
      </c>
      <c r="V551" s="877">
        <v>383.76234225446598</v>
      </c>
      <c r="W551" s="867">
        <v>3293.1144020900269</v>
      </c>
      <c r="X551" s="868">
        <v>0.52208767409597301</v>
      </c>
    </row>
    <row r="552" spans="16:24">
      <c r="P552" s="867">
        <v>89.757505773672094</v>
      </c>
      <c r="Q552" s="868">
        <v>0.36068442042969301</v>
      </c>
      <c r="R552" s="867">
        <v>3016.7598152424871</v>
      </c>
      <c r="S552" s="867">
        <v>6617.4018475750418</v>
      </c>
      <c r="T552" s="867">
        <v>451.58306882216982</v>
      </c>
      <c r="U552" s="867">
        <v>24.312339203233197</v>
      </c>
      <c r="V552" s="877">
        <v>297.58816521615103</v>
      </c>
      <c r="W552" s="867">
        <v>3293.1144020900269</v>
      </c>
      <c r="X552" s="868">
        <v>0.52208767409597301</v>
      </c>
    </row>
    <row r="553" spans="16:24">
      <c r="P553" s="867">
        <v>50.371824480369497</v>
      </c>
      <c r="Q553" s="868">
        <v>0.47361423135115299</v>
      </c>
      <c r="R553" s="867">
        <v>1339.7413394919211</v>
      </c>
      <c r="S553" s="867">
        <v>6704.9053117783124</v>
      </c>
      <c r="T553" s="867">
        <v>457.48898660507996</v>
      </c>
      <c r="U553" s="867">
        <v>9.9688741478060372</v>
      </c>
      <c r="V553" s="877">
        <v>337.20499515972898</v>
      </c>
      <c r="W553" s="867">
        <v>3293.1144020900269</v>
      </c>
      <c r="X553" s="868">
        <v>0.52208767409597301</v>
      </c>
    </row>
    <row r="554" spans="16:24">
      <c r="P554" s="867">
        <v>63.944954128440401</v>
      </c>
      <c r="Q554" s="868">
        <v>0.31811334289813498</v>
      </c>
      <c r="R554" s="867">
        <v>2652.6009174311926</v>
      </c>
      <c r="S554" s="867">
        <v>5530.4678899082564</v>
      </c>
      <c r="T554" s="867">
        <v>377.4704018348624</v>
      </c>
      <c r="U554" s="867">
        <v>19.516525974770644</v>
      </c>
      <c r="V554" s="877">
        <v>402.27944187619801</v>
      </c>
      <c r="W554" s="867">
        <v>3293.1144020900269</v>
      </c>
      <c r="X554" s="868">
        <v>0.52208767409597301</v>
      </c>
    </row>
    <row r="555" spans="16:24">
      <c r="P555" s="867">
        <v>36.938073394495397</v>
      </c>
      <c r="Q555" s="868">
        <v>0.39559143123253698</v>
      </c>
      <c r="R555" s="867">
        <v>2292.110091743119</v>
      </c>
      <c r="S555" s="867">
        <v>4588.6536697247702</v>
      </c>
      <c r="T555" s="867">
        <v>313.52591559633026</v>
      </c>
      <c r="U555" s="867">
        <v>16.488880332568804</v>
      </c>
      <c r="V555" s="877">
        <v>470.66749175953498</v>
      </c>
      <c r="W555" s="867">
        <v>3293.1144020900269</v>
      </c>
      <c r="X555" s="868">
        <v>0.52208767409597301</v>
      </c>
    </row>
    <row r="556" spans="16:24">
      <c r="P556" s="867">
        <v>57.190366972477101</v>
      </c>
      <c r="Q556" s="868">
        <v>0.53218367756165996</v>
      </c>
      <c r="R556" s="867">
        <v>3872.6788990825789</v>
      </c>
      <c r="S556" s="867">
        <v>7176.8256880734134</v>
      </c>
      <c r="T556" s="867">
        <v>499.72030275229258</v>
      </c>
      <c r="U556" s="867">
        <v>27.255200802752366</v>
      </c>
      <c r="V556" s="877">
        <v>363.04340919367002</v>
      </c>
      <c r="W556" s="867">
        <v>3293.1144020900269</v>
      </c>
      <c r="X556" s="868">
        <v>0.52208767409597301</v>
      </c>
    </row>
    <row r="557" spans="16:24">
      <c r="P557" s="867">
        <v>66.204128440367001</v>
      </c>
      <c r="Q557" s="868">
        <v>0.46783301576303499</v>
      </c>
      <c r="R557" s="867">
        <v>3318.1467889908208</v>
      </c>
      <c r="S557" s="867">
        <v>6631.1697247706325</v>
      </c>
      <c r="T557" s="867">
        <v>449.80886422018284</v>
      </c>
      <c r="U557" s="867">
        <v>22.291668020642167</v>
      </c>
      <c r="V557" s="877">
        <v>318.001189277251</v>
      </c>
      <c r="W557" s="867">
        <v>3293.1144020900269</v>
      </c>
      <c r="X557" s="868">
        <v>0.52208767409597301</v>
      </c>
    </row>
    <row r="558" spans="16:24">
      <c r="P558" s="867">
        <v>66.634482758620706</v>
      </c>
      <c r="Q558" s="868">
        <v>0.43586559028496502</v>
      </c>
      <c r="R558" s="867">
        <v>2723.7379310344877</v>
      </c>
      <c r="S558" s="867">
        <v>8579.919540229901</v>
      </c>
      <c r="T558" s="867">
        <v>593.94141977011373</v>
      </c>
      <c r="U558" s="867">
        <v>19.695913843678198</v>
      </c>
      <c r="V558" s="877">
        <v>392.64702390375197</v>
      </c>
      <c r="W558" s="867">
        <v>3293.1144020900269</v>
      </c>
      <c r="X558" s="868">
        <v>0.52208767409597301</v>
      </c>
    </row>
    <row r="559" spans="16:24">
      <c r="P559" s="867">
        <v>77.295871559632999</v>
      </c>
      <c r="Q559" s="868">
        <v>0.44930417495029801</v>
      </c>
      <c r="R559" s="867">
        <v>4161.509174311921</v>
      </c>
      <c r="S559" s="867">
        <v>7658.1055045871462</v>
      </c>
      <c r="T559" s="867">
        <v>522.10693211009107</v>
      </c>
      <c r="U559" s="867">
        <v>29.643842043577944</v>
      </c>
      <c r="V559" s="877">
        <v>340.33487782327302</v>
      </c>
      <c r="W559" s="867">
        <v>3293.1144020900269</v>
      </c>
      <c r="X559" s="868">
        <v>0.52208767409597301</v>
      </c>
    </row>
    <row r="560" spans="16:24">
      <c r="P560" s="867">
        <v>55.302272727272701</v>
      </c>
      <c r="Q560" s="868">
        <v>0.38593679365470801</v>
      </c>
      <c r="R560" s="867">
        <v>4245.215909090899</v>
      </c>
      <c r="S560" s="867">
        <v>6894.3295454545287</v>
      </c>
      <c r="T560" s="867">
        <v>478.39795818181699</v>
      </c>
      <c r="U560" s="867">
        <v>27.601687490909026</v>
      </c>
      <c r="V560" s="877">
        <v>521.92511660100104</v>
      </c>
      <c r="W560" s="867">
        <v>3293.1144020900269</v>
      </c>
      <c r="X560" s="868">
        <v>0.52208767409597301</v>
      </c>
    </row>
    <row r="561" spans="16:24">
      <c r="P561" s="867">
        <v>80.705069124424</v>
      </c>
      <c r="Q561" s="868">
        <v>0.468166504882088</v>
      </c>
      <c r="R561" s="867">
        <v>4620.3087557603712</v>
      </c>
      <c r="S561" s="867">
        <v>7620.6105990783462</v>
      </c>
      <c r="T561" s="867">
        <v>519.00210322580449</v>
      </c>
      <c r="U561" s="867">
        <v>30.422011225806472</v>
      </c>
      <c r="V561" s="877">
        <v>323.97583912672297</v>
      </c>
      <c r="W561" s="867">
        <v>3293.1144020900269</v>
      </c>
      <c r="X561" s="868">
        <v>0.52208767409597301</v>
      </c>
    </row>
    <row r="562" spans="16:24">
      <c r="P562" s="867">
        <v>34.091954022988503</v>
      </c>
      <c r="Q562" s="868">
        <v>0.468374915711396</v>
      </c>
      <c r="R562" s="867">
        <v>2073.0827586206865</v>
      </c>
      <c r="S562" s="867">
        <v>7716.5609195402176</v>
      </c>
      <c r="T562" s="867">
        <v>536.06069517241292</v>
      </c>
      <c r="U562" s="867">
        <v>15.42337413793101</v>
      </c>
      <c r="V562" s="877">
        <v>613.08608839619899</v>
      </c>
      <c r="W562" s="867">
        <v>3293.1144020900269</v>
      </c>
      <c r="X562" s="868">
        <v>0.52208767409597301</v>
      </c>
    </row>
    <row r="563" spans="16:24">
      <c r="P563" s="867">
        <v>67.052154195011298</v>
      </c>
      <c r="Q563" s="868">
        <v>0.51826175177544798</v>
      </c>
      <c r="R563" s="867">
        <v>3939.6893424036225</v>
      </c>
      <c r="S563" s="867">
        <v>8964.5147392290128</v>
      </c>
      <c r="T563" s="867">
        <v>613.99186031745944</v>
      </c>
      <c r="U563" s="867">
        <v>27.563757369614475</v>
      </c>
      <c r="V563" s="877">
        <v>371.33789168026101</v>
      </c>
      <c r="W563" s="867">
        <v>3293.1144020900269</v>
      </c>
      <c r="X563" s="868">
        <v>0.52208767409597301</v>
      </c>
    </row>
    <row r="564" spans="16:24">
      <c r="P564" s="867">
        <v>72.380090497737598</v>
      </c>
      <c r="Q564" s="868">
        <v>0.43032633158289602</v>
      </c>
      <c r="R564" s="867">
        <v>2268.7873303167407</v>
      </c>
      <c r="S564" s="867">
        <v>6303.0904977375531</v>
      </c>
      <c r="T564" s="867">
        <v>430.71301538461518</v>
      </c>
      <c r="U564" s="867">
        <v>15.715582126696825</v>
      </c>
      <c r="V564" s="877">
        <v>274.99304714171598</v>
      </c>
      <c r="W564" s="867">
        <v>3293.1144020900269</v>
      </c>
      <c r="X564" s="868">
        <v>0.52208767409597301</v>
      </c>
    </row>
    <row r="565" spans="16:24">
      <c r="P565" s="867">
        <v>62.1856148491879</v>
      </c>
      <c r="Q565" s="868">
        <v>0.290314155660025</v>
      </c>
      <c r="R565" s="867">
        <v>1754.8375870069588</v>
      </c>
      <c r="S565" s="867">
        <v>6581.5846867749351</v>
      </c>
      <c r="T565" s="867">
        <v>457.76489280742413</v>
      </c>
      <c r="U565" s="867">
        <v>12.937429823665878</v>
      </c>
      <c r="V565" s="877">
        <v>461.31250996015899</v>
      </c>
      <c r="W565" s="867">
        <v>3293.1144020900269</v>
      </c>
      <c r="X565" s="868">
        <v>0.52208767409597301</v>
      </c>
    </row>
    <row r="566" spans="16:24">
      <c r="P566" s="867">
        <v>39.397228637413399</v>
      </c>
      <c r="Q566" s="868">
        <v>0.32170701682396402</v>
      </c>
      <c r="R566" s="867">
        <v>4306.7136258660521</v>
      </c>
      <c r="S566" s="867">
        <v>7099.5103926097017</v>
      </c>
      <c r="T566" s="867">
        <v>488.52352702078531</v>
      </c>
      <c r="U566" s="867">
        <v>32.401843840646663</v>
      </c>
      <c r="V566" s="877">
        <v>899.39345298833803</v>
      </c>
      <c r="W566" s="867">
        <v>3293.1144020900269</v>
      </c>
      <c r="X566" s="868">
        <v>0.52208767409597301</v>
      </c>
    </row>
    <row r="567" spans="16:24">
      <c r="P567" s="867">
        <v>45.426940639269397</v>
      </c>
      <c r="Q567" s="868">
        <v>0.53405035935065603</v>
      </c>
      <c r="R567" s="867">
        <v>1917.95433789954</v>
      </c>
      <c r="S567" s="867">
        <v>5822.9611872146015</v>
      </c>
      <c r="T567" s="867">
        <v>399.65568584474812</v>
      </c>
      <c r="U567" s="867">
        <v>16.545123041095859</v>
      </c>
      <c r="V567" s="877">
        <v>319.07804724261302</v>
      </c>
      <c r="W567" s="867">
        <v>3293.1144020900269</v>
      </c>
      <c r="X567" s="868">
        <v>0.52208767409597301</v>
      </c>
    </row>
    <row r="568" spans="16:24">
      <c r="P568" s="867">
        <v>46.622171945701403</v>
      </c>
      <c r="Q568" s="868">
        <v>0.54369874314553301</v>
      </c>
      <c r="R568" s="867">
        <v>2088.7443438914038</v>
      </c>
      <c r="S568" s="867">
        <v>6792.6447963800938</v>
      </c>
      <c r="T568" s="867">
        <v>464.85320000000024</v>
      </c>
      <c r="U568" s="867">
        <v>16.047697850678741</v>
      </c>
      <c r="V568" s="877">
        <v>350.372641021064</v>
      </c>
      <c r="W568" s="867">
        <v>3293.1144020900269</v>
      </c>
      <c r="X568" s="868">
        <v>0.52208767409597301</v>
      </c>
    </row>
    <row r="569" spans="16:24">
      <c r="P569" s="867">
        <v>70.493119266055103</v>
      </c>
      <c r="Q569" s="868">
        <v>0.54758418740849202</v>
      </c>
      <c r="R569" s="867">
        <v>2678.9403669724757</v>
      </c>
      <c r="S569" s="867">
        <v>10100.692660550454</v>
      </c>
      <c r="T569" s="867">
        <v>689.08161834862119</v>
      </c>
      <c r="U569" s="867">
        <v>19.672444055045862</v>
      </c>
      <c r="V569" s="877">
        <v>330.98264171122997</v>
      </c>
      <c r="W569" s="867">
        <v>3293.1144020900269</v>
      </c>
      <c r="X569" s="868">
        <v>0.52208767409597301</v>
      </c>
    </row>
    <row r="570" spans="16:24">
      <c r="P570" s="867">
        <v>44.6666666666667</v>
      </c>
      <c r="Q570" s="868">
        <v>7.4626865671641798E-3</v>
      </c>
      <c r="R570" s="867">
        <v>0</v>
      </c>
      <c r="S570" s="867">
        <v>67.428571428571431</v>
      </c>
      <c r="T570" s="867">
        <v>4.5288000000000004</v>
      </c>
      <c r="U570" s="867">
        <v>0</v>
      </c>
      <c r="V570" s="877">
        <v>94.4</v>
      </c>
      <c r="W570" s="867">
        <v>3293.1144020900269</v>
      </c>
      <c r="X570" s="868">
        <v>0.52208767409597301</v>
      </c>
    </row>
    <row r="571" spans="16:24">
      <c r="P571" s="867">
        <v>70.597727272727298</v>
      </c>
      <c r="Q571" s="868">
        <v>0.50008048160190599</v>
      </c>
      <c r="R571" s="867">
        <v>2685.1886363636313</v>
      </c>
      <c r="S571" s="867">
        <v>8351.3863636363476</v>
      </c>
      <c r="T571" s="867">
        <v>576.15256363636252</v>
      </c>
      <c r="U571" s="867">
        <v>21.361118920454505</v>
      </c>
      <c r="V571" s="877">
        <v>312.61066048667402</v>
      </c>
      <c r="W571" s="867">
        <v>3293.1144020900269</v>
      </c>
      <c r="X571" s="868">
        <v>0.52208767409597301</v>
      </c>
    </row>
    <row r="572" spans="16:24">
      <c r="P572" s="867">
        <v>65.974770642201804</v>
      </c>
      <c r="Q572" s="868">
        <v>0.305440639666261</v>
      </c>
      <c r="R572" s="867">
        <v>2185.0229357798144</v>
      </c>
      <c r="S572" s="867">
        <v>10071.043577981642</v>
      </c>
      <c r="T572" s="867">
        <v>687.61125871559568</v>
      </c>
      <c r="U572" s="867">
        <v>17.074296215596313</v>
      </c>
      <c r="V572" s="877">
        <v>608.07282381060804</v>
      </c>
      <c r="W572" s="867">
        <v>3293.1144020900269</v>
      </c>
      <c r="X572" s="868">
        <v>0.52208767409597301</v>
      </c>
    </row>
    <row r="573" spans="16:24">
      <c r="P573" s="867">
        <v>73.080091533180806</v>
      </c>
      <c r="Q573" s="868">
        <v>0.25444639278557102</v>
      </c>
      <c r="R573" s="867">
        <v>3722.0022883295205</v>
      </c>
      <c r="S573" s="867">
        <v>9427.9542334096132</v>
      </c>
      <c r="T573" s="867">
        <v>643.09190297482849</v>
      </c>
      <c r="U573" s="867">
        <v>27.960223169336391</v>
      </c>
      <c r="V573" s="877">
        <v>707.060967265567</v>
      </c>
      <c r="W573" s="867">
        <v>3293.1144020900269</v>
      </c>
      <c r="X573" s="868">
        <v>0.52208767409597301</v>
      </c>
    </row>
    <row r="574" spans="16:24">
      <c r="P574" s="867">
        <v>80.102040816326493</v>
      </c>
      <c r="Q574" s="868">
        <v>0.496475583864119</v>
      </c>
      <c r="R574" s="867">
        <v>3159.1859410430911</v>
      </c>
      <c r="S574" s="867">
        <v>7187.49206349208</v>
      </c>
      <c r="T574" s="867">
        <v>492.48104126984009</v>
      </c>
      <c r="U574" s="867">
        <v>23.946227607709805</v>
      </c>
      <c r="V574" s="877">
        <v>260.17149846048602</v>
      </c>
      <c r="W574" s="867">
        <v>3293.1144020900269</v>
      </c>
      <c r="X574" s="868">
        <v>0.52208767409597301</v>
      </c>
    </row>
    <row r="575" spans="16:24">
      <c r="P575" s="867">
        <v>95.004535147392303</v>
      </c>
      <c r="Q575" s="868">
        <v>0.63758741676014996</v>
      </c>
      <c r="R575" s="867">
        <v>5074.1337868480678</v>
      </c>
      <c r="S575" s="867">
        <v>10711.746031746023</v>
      </c>
      <c r="T575" s="867">
        <v>730.75023492062974</v>
      </c>
      <c r="U575" s="867">
        <v>41.21314345578228</v>
      </c>
      <c r="V575" s="877">
        <v>260.60613371766601</v>
      </c>
      <c r="W575" s="867">
        <v>3293.1144020900269</v>
      </c>
      <c r="X575" s="868">
        <v>0.52208767409597301</v>
      </c>
    </row>
    <row r="576" spans="16:24">
      <c r="P576" s="867">
        <v>66.392694063926896</v>
      </c>
      <c r="Q576" s="868">
        <v>0.45130674002750998</v>
      </c>
      <c r="R576" s="867">
        <v>1682.5296803652989</v>
      </c>
      <c r="S576" s="867">
        <v>6102.0570776255781</v>
      </c>
      <c r="T576" s="867">
        <v>419.19776803653014</v>
      </c>
      <c r="U576" s="867">
        <v>12.141952908675814</v>
      </c>
      <c r="V576" s="877">
        <v>259.74137686680899</v>
      </c>
      <c r="W576" s="867">
        <v>3293.1144020900269</v>
      </c>
      <c r="X576" s="868">
        <v>0.52208767409597301</v>
      </c>
    </row>
    <row r="577" spans="16:24">
      <c r="P577" s="867">
        <v>63.549883990719302</v>
      </c>
      <c r="Q577" s="868">
        <v>0.47783862723621801</v>
      </c>
      <c r="R577" s="867">
        <v>1889.0556844547539</v>
      </c>
      <c r="S577" s="867">
        <v>6615.4454756380419</v>
      </c>
      <c r="T577" s="867">
        <v>454.50401670533586</v>
      </c>
      <c r="U577" s="867">
        <v>14.337453190255202</v>
      </c>
      <c r="V577" s="877">
        <v>280.06122172982901</v>
      </c>
      <c r="W577" s="867">
        <v>3293.1144020900269</v>
      </c>
      <c r="X577" s="868">
        <v>0.52208767409597301</v>
      </c>
    </row>
    <row r="578" spans="16:24">
      <c r="P578" s="867">
        <v>39.424242424242401</v>
      </c>
      <c r="Q578" s="868">
        <v>0.40501389463726101</v>
      </c>
      <c r="R578" s="867">
        <v>2338.009324009322</v>
      </c>
      <c r="S578" s="867">
        <v>5635.9230769230726</v>
      </c>
      <c r="T578" s="867">
        <v>366.25584307925379</v>
      </c>
      <c r="U578" s="867">
        <v>14.37329219114218</v>
      </c>
      <c r="V578" s="877">
        <v>473.17989489051098</v>
      </c>
      <c r="W578" s="867">
        <v>3293.1144020900269</v>
      </c>
      <c r="X578" s="868">
        <v>0.52208767409597301</v>
      </c>
    </row>
    <row r="579" spans="16:24">
      <c r="P579" s="867">
        <v>128.25925925925901</v>
      </c>
      <c r="Q579" s="868">
        <v>3.8406006352873202E-2</v>
      </c>
      <c r="R579" s="867">
        <v>2098.6666666666647</v>
      </c>
      <c r="S579" s="867">
        <v>3168.0909090909063</v>
      </c>
      <c r="T579" s="867">
        <v>223.51229090909072</v>
      </c>
      <c r="U579" s="867">
        <v>14.81093030303029</v>
      </c>
      <c r="V579" s="877">
        <v>1250.3830935251799</v>
      </c>
      <c r="W579" s="867">
        <v>3293.1144020900269</v>
      </c>
      <c r="X579" s="868">
        <v>0.52208767409597301</v>
      </c>
    </row>
    <row r="580" spans="16:24">
      <c r="P580" s="867">
        <v>50.807692307692299</v>
      </c>
      <c r="Q580" s="868">
        <v>0.14231642694928101</v>
      </c>
      <c r="R580" s="867">
        <v>662.52941176470574</v>
      </c>
      <c r="S580" s="867">
        <v>1197.8823529411761</v>
      </c>
      <c r="T580" s="867">
        <v>84.951999999999984</v>
      </c>
      <c r="U580" s="867">
        <v>5.0962301470588223</v>
      </c>
      <c r="V580" s="877">
        <v>336.81413265306099</v>
      </c>
      <c r="W580" s="867">
        <v>3293.1144020900269</v>
      </c>
      <c r="X580" s="868">
        <v>0.52208767409597301</v>
      </c>
    </row>
    <row r="581" spans="16:24">
      <c r="P581" s="867">
        <v>89.520642201834903</v>
      </c>
      <c r="Q581" s="868">
        <v>0.39092003791857799</v>
      </c>
      <c r="R581" s="867">
        <v>4109.0986238532114</v>
      </c>
      <c r="S581" s="867">
        <v>7165.6077981651388</v>
      </c>
      <c r="T581" s="867">
        <v>492.99057981651384</v>
      </c>
      <c r="U581" s="867">
        <v>40.824707727064222</v>
      </c>
      <c r="V581" s="877">
        <v>322.10965853978303</v>
      </c>
      <c r="W581" s="867">
        <v>3060.1995418491324</v>
      </c>
      <c r="X581" s="868">
        <v>0.48158885868718382</v>
      </c>
    </row>
    <row r="582" spans="16:24">
      <c r="P582" s="867">
        <v>90.018390804597701</v>
      </c>
      <c r="Q582" s="868">
        <v>0.41713059911129302</v>
      </c>
      <c r="R582" s="867">
        <v>3407.9655172413754</v>
      </c>
      <c r="S582" s="867">
        <v>7015.110344827578</v>
      </c>
      <c r="T582" s="867">
        <v>482.95747862068913</v>
      </c>
      <c r="U582" s="867">
        <v>24.739644770114914</v>
      </c>
      <c r="V582" s="877">
        <v>277.582751316273</v>
      </c>
      <c r="W582" s="867">
        <v>3060.1995418491324</v>
      </c>
      <c r="X582" s="868">
        <v>0.48158885868718382</v>
      </c>
    </row>
    <row r="583" spans="16:24">
      <c r="P583" s="867">
        <v>63.590804597701201</v>
      </c>
      <c r="Q583" s="868">
        <v>0.373508784614272</v>
      </c>
      <c r="R583" s="867">
        <v>2707.5655172413772</v>
      </c>
      <c r="S583" s="867">
        <v>6493.3034482758567</v>
      </c>
      <c r="T583" s="867">
        <v>450.15462252873527</v>
      </c>
      <c r="U583" s="867">
        <v>19.953315388505729</v>
      </c>
      <c r="V583" s="877">
        <v>387.27662698412701</v>
      </c>
      <c r="W583" s="867">
        <v>3060.1995418491324</v>
      </c>
      <c r="X583" s="868">
        <v>0.48158885868718382</v>
      </c>
    </row>
    <row r="584" spans="16:24">
      <c r="P584" s="867">
        <v>52.142201834862398</v>
      </c>
      <c r="Q584" s="868">
        <v>0.56061405823876098</v>
      </c>
      <c r="R584" s="867">
        <v>1680.298165137614</v>
      </c>
      <c r="S584" s="867">
        <v>6706.1490825688052</v>
      </c>
      <c r="T584" s="867">
        <v>461.23242752293561</v>
      </c>
      <c r="U584" s="867">
        <v>15.213097247706415</v>
      </c>
      <c r="V584" s="877">
        <v>286.765677520596</v>
      </c>
      <c r="W584" s="867">
        <v>3060.1995418491324</v>
      </c>
      <c r="X584" s="868">
        <v>0.48158885868718382</v>
      </c>
    </row>
    <row r="585" spans="16:24">
      <c r="P585" s="867">
        <v>66.913486005089098</v>
      </c>
      <c r="Q585" s="868">
        <v>0.53854051792980195</v>
      </c>
      <c r="R585" s="867">
        <v>1949.7660550458688</v>
      </c>
      <c r="S585" s="867">
        <v>8078.4334862385203</v>
      </c>
      <c r="T585" s="867">
        <v>434.81442752293515</v>
      </c>
      <c r="U585" s="867">
        <v>17.702202892201811</v>
      </c>
      <c r="V585" s="877">
        <v>235.07036872765801</v>
      </c>
      <c r="W585" s="867">
        <v>3060.1995418491324</v>
      </c>
      <c r="X585" s="868">
        <v>0.48158885868718382</v>
      </c>
    </row>
    <row r="586" spans="16:24">
      <c r="P586" s="867">
        <v>80.988479262672797</v>
      </c>
      <c r="Q586" s="868">
        <v>0.52212011721528395</v>
      </c>
      <c r="R586" s="867">
        <v>3646.6129032258104</v>
      </c>
      <c r="S586" s="867">
        <v>7473.4078341013901</v>
      </c>
      <c r="T586" s="867">
        <v>516.09652903225629</v>
      </c>
      <c r="U586" s="867">
        <v>29.802029868663627</v>
      </c>
      <c r="V586" s="877">
        <v>263.395995531822</v>
      </c>
      <c r="W586" s="867">
        <v>3060.1995418491324</v>
      </c>
      <c r="X586" s="868">
        <v>0.48158885868718382</v>
      </c>
    </row>
    <row r="587" spans="16:24">
      <c r="P587" s="867">
        <v>76.030303030303003</v>
      </c>
      <c r="Q587" s="868">
        <v>0.52454497143616297</v>
      </c>
      <c r="R587" s="867">
        <v>2682.2687927107136</v>
      </c>
      <c r="S587" s="867">
        <v>7262.5854214123201</v>
      </c>
      <c r="T587" s="867">
        <v>499.7629262141221</v>
      </c>
      <c r="U587" s="867">
        <v>22.589732289293913</v>
      </c>
      <c r="V587" s="877">
        <v>257.80267036730902</v>
      </c>
      <c r="W587" s="867">
        <v>3060.1995418491324</v>
      </c>
      <c r="X587" s="868">
        <v>0.48158885868718382</v>
      </c>
    </row>
    <row r="588" spans="16:24">
      <c r="P588" s="867">
        <v>56.872062663185403</v>
      </c>
      <c r="Q588" s="868">
        <v>0.502662749058856</v>
      </c>
      <c r="R588" s="867">
        <v>2787.8477751756427</v>
      </c>
      <c r="S588" s="867">
        <v>6077.6229508196693</v>
      </c>
      <c r="T588" s="867">
        <v>420.28748852458995</v>
      </c>
      <c r="U588" s="867">
        <v>22.799725468384064</v>
      </c>
      <c r="V588" s="877">
        <v>321.16357003478402</v>
      </c>
      <c r="W588" s="867">
        <v>3060.1995418491324</v>
      </c>
      <c r="X588" s="868">
        <v>0.48158885868718382</v>
      </c>
    </row>
    <row r="589" spans="16:24">
      <c r="P589" s="867">
        <v>89.2224770642202</v>
      </c>
      <c r="Q589" s="868">
        <v>0.51736459216986697</v>
      </c>
      <c r="R589" s="867">
        <v>2678.511467889909</v>
      </c>
      <c r="S589" s="867">
        <v>7448.6926605504605</v>
      </c>
      <c r="T589" s="867">
        <v>514.05226972476851</v>
      </c>
      <c r="U589" s="867">
        <v>24.470524823394502</v>
      </c>
      <c r="V589" s="877">
        <v>219.39090976845901</v>
      </c>
      <c r="W589" s="867">
        <v>3060.1995418491324</v>
      </c>
      <c r="X589" s="868">
        <v>0.48158885868718382</v>
      </c>
    </row>
    <row r="590" spans="16:24">
      <c r="P590" s="867">
        <v>70.174603174603206</v>
      </c>
      <c r="Q590" s="868">
        <v>0.48489352764403698</v>
      </c>
      <c r="R590" s="867">
        <v>3226.1655328798147</v>
      </c>
      <c r="S590" s="867">
        <v>9043.2426303854772</v>
      </c>
      <c r="T590" s="867">
        <v>621.64369523809444</v>
      </c>
      <c r="U590" s="867">
        <v>24.563482539682514</v>
      </c>
      <c r="V590" s="877">
        <v>360.57622151139498</v>
      </c>
      <c r="W590" s="867">
        <v>3060.1995418491324</v>
      </c>
      <c r="X590" s="868">
        <v>0.48158885868718382</v>
      </c>
    </row>
    <row r="591" spans="16:24">
      <c r="P591" s="867">
        <v>98.634146341463406</v>
      </c>
      <c r="Q591" s="868">
        <v>0.210187932739862</v>
      </c>
      <c r="R591" s="867">
        <v>14343.188235294123</v>
      </c>
      <c r="S591" s="867">
        <v>1421.1058823529418</v>
      </c>
      <c r="T591" s="867">
        <v>119.84448000000005</v>
      </c>
      <c r="U591" s="867">
        <v>131.97708176470593</v>
      </c>
      <c r="V591" s="877">
        <v>751.94229517396195</v>
      </c>
      <c r="W591" s="867">
        <v>3091.5774734715137</v>
      </c>
      <c r="X591" s="868">
        <v>0.67381760865860307</v>
      </c>
    </row>
    <row r="592" spans="16:24">
      <c r="P592" s="867">
        <v>57.448598130841098</v>
      </c>
      <c r="Q592" s="868">
        <v>0.71518626972506905</v>
      </c>
      <c r="R592" s="867">
        <v>3782.2429906542056</v>
      </c>
      <c r="S592" s="867">
        <v>7502.5186915887853</v>
      </c>
      <c r="T592" s="867">
        <v>523.70187289719627</v>
      </c>
      <c r="U592" s="867">
        <v>29.908086623831775</v>
      </c>
      <c r="V592" s="877">
        <v>274.65478817173698</v>
      </c>
      <c r="W592" s="867">
        <v>3091.5774734715137</v>
      </c>
      <c r="X592" s="868">
        <v>0.67381760865860307</v>
      </c>
    </row>
    <row r="593" spans="16:24">
      <c r="P593" s="867">
        <v>40.414634146341498</v>
      </c>
      <c r="Q593" s="868">
        <v>0.65406021591899699</v>
      </c>
      <c r="R593" s="867">
        <v>2760.0119904076755</v>
      </c>
      <c r="S593" s="867">
        <v>4624.2925659472448</v>
      </c>
      <c r="T593" s="867">
        <v>318.12255731414882</v>
      </c>
      <c r="U593" s="867">
        <v>19.25301432853718</v>
      </c>
      <c r="V593" s="877">
        <v>281.26158750456699</v>
      </c>
      <c r="W593" s="867">
        <v>3091.5774734715137</v>
      </c>
      <c r="X593" s="868">
        <v>0.67381760865860307</v>
      </c>
    </row>
    <row r="594" spans="16:24">
      <c r="P594" s="867">
        <v>54.163218390804602</v>
      </c>
      <c r="Q594" s="868">
        <v>0.751029243240949</v>
      </c>
      <c r="R594" s="867">
        <v>6096.7379310344841</v>
      </c>
      <c r="S594" s="867">
        <v>8374.6827586206909</v>
      </c>
      <c r="T594" s="867">
        <v>580.3214731034484</v>
      </c>
      <c r="U594" s="867">
        <v>39.569454082758632</v>
      </c>
      <c r="V594" s="877">
        <v>355.75402260525601</v>
      </c>
      <c r="W594" s="867">
        <v>3091.5774734715137</v>
      </c>
      <c r="X594" s="868">
        <v>0.67381760865860307</v>
      </c>
    </row>
    <row r="595" spans="16:24">
      <c r="P595" s="867">
        <v>50.761020881670497</v>
      </c>
      <c r="Q595" s="868">
        <v>0.56746503336685294</v>
      </c>
      <c r="R595" s="867">
        <v>3216.8445475638032</v>
      </c>
      <c r="S595" s="867">
        <v>5839.2389791183268</v>
      </c>
      <c r="T595" s="867">
        <v>410.06816430626429</v>
      </c>
      <c r="U595" s="867">
        <v>23.839837470997669</v>
      </c>
      <c r="V595" s="877">
        <v>314.280340716875</v>
      </c>
      <c r="W595" s="867">
        <v>3091.5774734715137</v>
      </c>
      <c r="X595" s="868">
        <v>0.67381760865860307</v>
      </c>
    </row>
    <row r="596" spans="16:24">
      <c r="P596" s="867">
        <v>59.714285714285701</v>
      </c>
      <c r="Q596" s="868">
        <v>0.71691836124401898</v>
      </c>
      <c r="R596" s="867">
        <v>4527.6674107142817</v>
      </c>
      <c r="S596" s="867">
        <v>10144.261160714277</v>
      </c>
      <c r="T596" s="867">
        <v>696.5432779999993</v>
      </c>
      <c r="U596" s="867">
        <v>44.494589790178537</v>
      </c>
      <c r="V596" s="877">
        <v>342.71983940768598</v>
      </c>
      <c r="W596" s="867">
        <v>3238.9979368526369</v>
      </c>
      <c r="X596" s="868">
        <v>0.61413661164284972</v>
      </c>
    </row>
    <row r="597" spans="16:24">
      <c r="P597" s="867">
        <v>54.557046979865802</v>
      </c>
      <c r="Q597" s="868">
        <v>0.46504285069914297</v>
      </c>
      <c r="R597" s="867">
        <v>2931.5436241610701</v>
      </c>
      <c r="S597" s="867">
        <v>7676.6845637583792</v>
      </c>
      <c r="T597" s="867">
        <v>539.9122111856816</v>
      </c>
      <c r="U597" s="867">
        <v>32.256817727069311</v>
      </c>
      <c r="V597" s="877">
        <v>418.11806278106002</v>
      </c>
      <c r="W597" s="867">
        <v>3238.9979368526369</v>
      </c>
      <c r="X597" s="868">
        <v>0.61413661164284972</v>
      </c>
    </row>
    <row r="598" spans="16:24">
      <c r="P598" s="867">
        <v>21.330708661417301</v>
      </c>
      <c r="Q598" s="868">
        <v>0.37689184200812098</v>
      </c>
      <c r="R598" s="867">
        <v>1185.0538641686167</v>
      </c>
      <c r="S598" s="867">
        <v>4387.1873536299709</v>
      </c>
      <c r="T598" s="867">
        <v>368.40839344262241</v>
      </c>
      <c r="U598" s="867">
        <v>11.597028777517549</v>
      </c>
      <c r="V598" s="877">
        <v>741.22965732087198</v>
      </c>
      <c r="W598" s="867">
        <v>3238.9979368526369</v>
      </c>
      <c r="X598" s="868">
        <v>0.61413661164284972</v>
      </c>
    </row>
    <row r="599" spans="16:24">
      <c r="P599" s="867">
        <v>13.6407766990291</v>
      </c>
      <c r="Q599" s="868">
        <v>0.34234875444839902</v>
      </c>
      <c r="R599" s="867">
        <v>0</v>
      </c>
      <c r="S599" s="867">
        <v>0</v>
      </c>
      <c r="T599" s="867">
        <v>641.17555887850426</v>
      </c>
      <c r="U599" s="867">
        <v>2.9813526285046716</v>
      </c>
      <c r="V599" s="877">
        <v>1376.6454807692301</v>
      </c>
      <c r="W599" s="867" t="str">
        <v/>
      </c>
      <c r="X599" s="868" t="str">
        <v/>
      </c>
    </row>
    <row r="600" spans="16:24">
      <c r="P600" s="867">
        <v>45.721973094170401</v>
      </c>
      <c r="Q600" s="868">
        <v>0.50740486465280499</v>
      </c>
      <c r="R600" s="867">
        <v>1978.186098654711</v>
      </c>
      <c r="S600" s="867">
        <v>5953.7130044843125</v>
      </c>
      <c r="T600" s="867">
        <v>483.71397488789074</v>
      </c>
      <c r="U600" s="867">
        <v>18.062954766816166</v>
      </c>
      <c r="V600" s="877">
        <v>341.89885280757699</v>
      </c>
      <c r="W600" s="867">
        <v>2406.6869575763203</v>
      </c>
      <c r="X600" s="868">
        <v>0.50308582230192422</v>
      </c>
    </row>
    <row r="601" spans="16:24">
      <c r="P601" s="867">
        <v>46.380952380952401</v>
      </c>
      <c r="Q601" s="868">
        <v>0.47100811577197599</v>
      </c>
      <c r="R601" s="867">
        <v>4821.25170068027</v>
      </c>
      <c r="S601" s="867">
        <v>4548.6689342403606</v>
      </c>
      <c r="T601" s="867">
        <v>358.86147301587289</v>
      </c>
      <c r="U601" s="867">
        <v>44.72499732879816</v>
      </c>
      <c r="V601" s="877">
        <v>428.91137533734701</v>
      </c>
      <c r="W601" s="867">
        <v>2918.3337087395039</v>
      </c>
      <c r="X601" s="868">
        <v>0.49063139355455243</v>
      </c>
    </row>
    <row r="602" spans="16:24">
      <c r="P602" s="867">
        <v>61.751677852348998</v>
      </c>
      <c r="Q602" s="868">
        <v>0.48194036880049301</v>
      </c>
      <c r="R602" s="867">
        <v>3003.3064876957542</v>
      </c>
      <c r="S602" s="867">
        <v>8873.1565995525871</v>
      </c>
      <c r="T602" s="867">
        <v>646.22533526621805</v>
      </c>
      <c r="U602" s="867">
        <v>34.5531790335571</v>
      </c>
      <c r="V602" s="877">
        <v>399.066165526573</v>
      </c>
      <c r="W602" s="867">
        <v>3603.2458469692669</v>
      </c>
      <c r="X602" s="868">
        <v>0.62938253615790696</v>
      </c>
    </row>
    <row r="603" spans="16:24">
      <c r="P603" s="867">
        <v>32.6666666666667</v>
      </c>
      <c r="Q603" s="868">
        <v>0.32301196340605198</v>
      </c>
      <c r="R603" s="867">
        <v>16693.868131868123</v>
      </c>
      <c r="S603" s="867">
        <v>656.461538461538</v>
      </c>
      <c r="T603" s="867">
        <v>55.274584615384576</v>
      </c>
      <c r="U603" s="867">
        <v>161.18768351648342</v>
      </c>
      <c r="V603" s="877">
        <v>1616.0443091095201</v>
      </c>
      <c r="W603" s="867">
        <v>1887.634665081757</v>
      </c>
      <c r="X603" s="868">
        <v>0.28916886821367427</v>
      </c>
    </row>
    <row r="604" spans="16:24">
      <c r="P604" s="867">
        <v>25.046511627907002</v>
      </c>
      <c r="Q604" s="868">
        <v>0.308263695450325</v>
      </c>
      <c r="R604" s="867">
        <v>564.53703703703911</v>
      </c>
      <c r="S604" s="867">
        <v>1668.5370370370431</v>
      </c>
      <c r="T604" s="867">
        <v>108.99871111111152</v>
      </c>
      <c r="U604" s="867">
        <v>4.4335314814814977</v>
      </c>
      <c r="V604" s="877">
        <v>351.11356725146197</v>
      </c>
      <c r="W604" s="867">
        <v>1887.634665081757</v>
      </c>
      <c r="X604" s="868">
        <v>0.28916886821367427</v>
      </c>
    </row>
    <row r="605" spans="16:24">
      <c r="P605" s="867">
        <v>77.146572104018901</v>
      </c>
      <c r="Q605" s="868">
        <v>0.27953298807955101</v>
      </c>
      <c r="R605" s="867">
        <v>2632.1867612293163</v>
      </c>
      <c r="S605" s="867">
        <v>6470.4539007092244</v>
      </c>
      <c r="T605" s="867">
        <v>444.71340898345181</v>
      </c>
      <c r="U605" s="867">
        <v>20.491613865248244</v>
      </c>
      <c r="V605" s="877">
        <v>422.10224292918201</v>
      </c>
      <c r="W605" s="867">
        <v>1887.634665081757</v>
      </c>
      <c r="X605" s="868">
        <v>0.28916886821367427</v>
      </c>
    </row>
    <row r="606" spans="16:24">
      <c r="P606" s="867">
        <v>111.62383177570101</v>
      </c>
      <c r="Q606" s="868">
        <v>0.32766091051805302</v>
      </c>
      <c r="R606" s="867">
        <v>1895.7172897196228</v>
      </c>
      <c r="S606" s="867">
        <v>6740.5911214953157</v>
      </c>
      <c r="T606" s="867">
        <v>466.96489719626089</v>
      </c>
      <c r="U606" s="867">
        <v>14.762885016355115</v>
      </c>
      <c r="V606" s="877">
        <v>236.15965567905999</v>
      </c>
      <c r="W606" s="867">
        <v>1887.634665081757</v>
      </c>
      <c r="X606" s="868">
        <v>0.28916886821367427</v>
      </c>
    </row>
    <row r="607" spans="16:24">
      <c r="P607" s="867">
        <v>65.313539192399105</v>
      </c>
      <c r="Q607" s="868">
        <v>0.288758773684402</v>
      </c>
      <c r="R607" s="867">
        <v>3079.057007125888</v>
      </c>
      <c r="S607" s="867">
        <v>6442.3895486935817</v>
      </c>
      <c r="T607" s="867">
        <v>441.92314869358631</v>
      </c>
      <c r="U607" s="867">
        <v>20.256765261282641</v>
      </c>
      <c r="V607" s="877">
        <v>504.852137279597</v>
      </c>
      <c r="W607" s="867">
        <v>1887.634665081757</v>
      </c>
      <c r="X607" s="868">
        <v>0.28916886821367427</v>
      </c>
    </row>
    <row r="608" spans="16:24">
      <c r="P608" s="867">
        <v>27.675675675675699</v>
      </c>
      <c r="Q608" s="868">
        <v>0.41634114583333298</v>
      </c>
      <c r="R608" s="867">
        <v>523.04838709677449</v>
      </c>
      <c r="S608" s="867">
        <v>4652.8824884792657</v>
      </c>
      <c r="T608" s="867">
        <v>353.27886451612932</v>
      </c>
      <c r="U608" s="867">
        <v>3.9884338709677443</v>
      </c>
      <c r="V608" s="877">
        <v>434.07782608695697</v>
      </c>
      <c r="W608" s="867">
        <v>3086.6202842364569</v>
      </c>
      <c r="X608" s="868">
        <v>0.62456433952366752</v>
      </c>
    </row>
    <row r="609" spans="16:24">
      <c r="P609" s="867">
        <v>40.2912844036697</v>
      </c>
      <c r="Q609" s="868">
        <v>0.31553480958615598</v>
      </c>
      <c r="R609" s="867">
        <v>1001.4426605504581</v>
      </c>
      <c r="S609" s="867">
        <v>4774.1834862385294</v>
      </c>
      <c r="T609" s="867">
        <v>341.17707875229337</v>
      </c>
      <c r="U609" s="867">
        <v>7.0827197247706373</v>
      </c>
      <c r="V609" s="877">
        <v>454.29808948223001</v>
      </c>
      <c r="W609" s="867">
        <v>3086.6202842364569</v>
      </c>
      <c r="X609" s="868">
        <v>0.62456433952366752</v>
      </c>
    </row>
    <row r="610" spans="16:24">
      <c r="P610" s="867">
        <v>39.761904761904802</v>
      </c>
      <c r="Q610" s="868">
        <v>0.68173652694610798</v>
      </c>
      <c r="R610" s="867">
        <v>2326.1946308724823</v>
      </c>
      <c r="S610" s="867">
        <v>5365.8366890380294</v>
      </c>
      <c r="T610" s="867">
        <v>384.44592572706915</v>
      </c>
      <c r="U610" s="867">
        <v>19.550236357941827</v>
      </c>
      <c r="V610" s="877">
        <v>335.57855553386702</v>
      </c>
      <c r="W610" s="867">
        <v>2453.4826846202127</v>
      </c>
      <c r="X610" s="868">
        <v>0.5059476821815001</v>
      </c>
    </row>
    <row r="611" spans="16:24">
      <c r="P611" s="867">
        <v>25.75</v>
      </c>
      <c r="Q611" s="868">
        <v>0.45792880258899699</v>
      </c>
      <c r="R611" s="867">
        <v>428.37782805429828</v>
      </c>
      <c r="S611" s="867">
        <v>7581.3914027149249</v>
      </c>
      <c r="T611" s="867">
        <v>614.54723076923017</v>
      </c>
      <c r="U611" s="867">
        <v>3.7677515497737524</v>
      </c>
      <c r="V611" s="877">
        <v>538.28768435456902</v>
      </c>
      <c r="W611" s="867">
        <v>2453.4826846202127</v>
      </c>
      <c r="X611" s="868">
        <v>0.5059476821815001</v>
      </c>
    </row>
    <row r="612" spans="16:24">
      <c r="P612" s="867">
        <v>267.57600000000002</v>
      </c>
      <c r="Q612" s="868">
        <v>5.1873112685741601E-2</v>
      </c>
      <c r="R612" s="867">
        <v>6405.48062015506</v>
      </c>
      <c r="S612" s="867">
        <v>1003.3875968992281</v>
      </c>
      <c r="T612" s="867">
        <v>81.970889922480893</v>
      </c>
      <c r="U612" s="867">
        <v>61.101924759690121</v>
      </c>
      <c r="V612" s="877">
        <v>510.00077908217702</v>
      </c>
      <c r="W612" s="867">
        <v>3009.8554208951477</v>
      </c>
      <c r="X612" s="868">
        <v>0.47232357374856815</v>
      </c>
    </row>
    <row r="613" spans="16:24">
      <c r="P613" s="867">
        <v>31.768018018018001</v>
      </c>
      <c r="Q613" s="868">
        <v>0.44686281460475002</v>
      </c>
      <c r="R613" s="867">
        <v>2323.3716216216194</v>
      </c>
      <c r="S613" s="867">
        <v>5721.3108108108054</v>
      </c>
      <c r="T613" s="867">
        <v>413.34253333333299</v>
      </c>
      <c r="U613" s="867">
        <v>21.96093806306304</v>
      </c>
      <c r="V613" s="877">
        <v>566.68869268602202</v>
      </c>
      <c r="W613" s="867">
        <v>3009.8554208951477</v>
      </c>
      <c r="X613" s="868">
        <v>0.47232357374856815</v>
      </c>
    </row>
    <row r="614" spans="16:24">
      <c r="P614" s="867">
        <v>67.526077097505706</v>
      </c>
      <c r="Q614" s="868">
        <v>0.62510493972262304</v>
      </c>
      <c r="R614" s="867">
        <v>2894.4943310657527</v>
      </c>
      <c r="S614" s="867">
        <v>7450.7845804988483</v>
      </c>
      <c r="T614" s="867">
        <v>535.39713219047258</v>
      </c>
      <c r="U614" s="867">
        <v>25.640932965986334</v>
      </c>
      <c r="V614" s="877">
        <v>245.08542250872901</v>
      </c>
      <c r="W614" s="867">
        <v>3009.8554208951477</v>
      </c>
      <c r="X614" s="868">
        <v>0.47232357374856815</v>
      </c>
    </row>
    <row r="615" spans="16:24">
      <c r="P615" s="867">
        <v>79.394977168949794</v>
      </c>
      <c r="Q615" s="868">
        <v>0.47140186915887899</v>
      </c>
      <c r="R615" s="867">
        <v>2056.4063926940621</v>
      </c>
      <c r="S615" s="867">
        <v>6839.5456621004505</v>
      </c>
      <c r="T615" s="867">
        <v>479.94710502283061</v>
      </c>
      <c r="U615" s="867">
        <v>20.25369872602738</v>
      </c>
      <c r="V615" s="877">
        <v>237.68845360824699</v>
      </c>
      <c r="W615" s="867">
        <v>3009.8554208951477</v>
      </c>
      <c r="X615" s="868">
        <v>0.47232357374856815</v>
      </c>
    </row>
    <row r="616" spans="16:24">
      <c r="P616" s="867">
        <v>5.88</v>
      </c>
      <c r="Q616" s="868">
        <v>0.29251700680272102</v>
      </c>
      <c r="R616" s="867">
        <v>0</v>
      </c>
      <c r="S616" s="867">
        <v>0</v>
      </c>
      <c r="T616" s="867">
        <v>561.20677488789249</v>
      </c>
      <c r="U616" s="867">
        <v>3.5854409192825121</v>
      </c>
      <c r="V616" s="877">
        <v>2459.5149794576801</v>
      </c>
      <c r="W616" s="867">
        <v>0</v>
      </c>
      <c r="X616" s="868" t="str">
        <v/>
      </c>
    </row>
    <row r="617" spans="16:24">
      <c r="P617" s="867">
        <v>29.636771300448402</v>
      </c>
      <c r="Q617" s="868">
        <v>0.509381146920865</v>
      </c>
      <c r="R617" s="867">
        <v>2481.7488789237691</v>
      </c>
      <c r="S617" s="867">
        <v>6045.0582959641306</v>
      </c>
      <c r="T617" s="867">
        <v>429.48007174887931</v>
      </c>
      <c r="U617" s="867">
        <v>23.961256334080741</v>
      </c>
      <c r="V617" s="877">
        <v>564.82317243427894</v>
      </c>
      <c r="W617" s="867">
        <v>2656.9351032218578</v>
      </c>
      <c r="X617" s="868">
        <v>0.56288562509202311</v>
      </c>
    </row>
    <row r="618" spans="16:24">
      <c r="P618" s="867">
        <v>18.651376146789001</v>
      </c>
      <c r="Q618" s="868">
        <v>0.41416625676340402</v>
      </c>
      <c r="R618" s="867">
        <v>397.74031890660586</v>
      </c>
      <c r="S618" s="867">
        <v>5922.2232346241453</v>
      </c>
      <c r="T618" s="867">
        <v>521.62010022779032</v>
      </c>
      <c r="U618" s="867">
        <v>3.6451084851936213</v>
      </c>
      <c r="V618" s="877">
        <v>788.648382603752</v>
      </c>
      <c r="W618" s="867" t="str">
        <v/>
      </c>
      <c r="X618" s="868" t="str">
        <v/>
      </c>
    </row>
    <row r="619" spans="16:24">
      <c r="P619" s="867">
        <v>14.4495192307692</v>
      </c>
      <c r="Q619" s="868">
        <v>0.35301946431542203</v>
      </c>
      <c r="R619" s="867">
        <v>1171.7345537757424</v>
      </c>
      <c r="S619" s="867">
        <v>5153.0549199084608</v>
      </c>
      <c r="T619" s="867">
        <v>458.19411441647543</v>
      </c>
      <c r="U619" s="867">
        <v>11.834913100686485</v>
      </c>
      <c r="V619" s="877">
        <v>1279.59819907407</v>
      </c>
      <c r="W619" s="867" t="str">
        <v/>
      </c>
      <c r="X619" s="868" t="str">
        <v/>
      </c>
    </row>
    <row r="620" spans="16:24">
      <c r="P620" s="867">
        <v>75.199541284403693</v>
      </c>
      <c r="Q620" s="868">
        <v>0.74544789093238195</v>
      </c>
      <c r="R620" s="867">
        <v>7199.1628440366885</v>
      </c>
      <c r="S620" s="867">
        <v>7697.5596330275139</v>
      </c>
      <c r="T620" s="867">
        <v>514.48853027522875</v>
      </c>
      <c r="U620" s="867">
        <v>48.209185552752238</v>
      </c>
      <c r="V620" s="877">
        <v>265.74074055889702</v>
      </c>
      <c r="W620" s="867">
        <v>3641.9429094456564</v>
      </c>
      <c r="X620" s="868">
        <v>0.64320274048480885</v>
      </c>
    </row>
    <row r="621" spans="16:24">
      <c r="P621" s="867">
        <v>78.905963302752298</v>
      </c>
      <c r="Q621" s="868">
        <v>0.63846176205563498</v>
      </c>
      <c r="R621" s="867">
        <v>7759.56192660549</v>
      </c>
      <c r="S621" s="867">
        <v>10030.577981651359</v>
      </c>
      <c r="T621" s="867">
        <v>676.26040550458595</v>
      </c>
      <c r="U621" s="867">
        <v>48.400438639908167</v>
      </c>
      <c r="V621" s="877">
        <v>353.13001502390199</v>
      </c>
      <c r="W621" s="867">
        <v>3641.9429094456564</v>
      </c>
      <c r="X621" s="868">
        <v>0.64320274048480885</v>
      </c>
    </row>
    <row r="622" spans="16:24">
      <c r="P622" s="867">
        <v>85.935779816513801</v>
      </c>
      <c r="Q622" s="868">
        <v>0.38318031386783402</v>
      </c>
      <c r="R622" s="867">
        <v>4396.8738532110101</v>
      </c>
      <c r="S622" s="867">
        <v>5799.3394495412849</v>
      </c>
      <c r="T622" s="867">
        <v>388.7647027522936</v>
      </c>
      <c r="U622" s="867">
        <v>31.603985084862391</v>
      </c>
      <c r="V622" s="877">
        <v>309.64331058020502</v>
      </c>
      <c r="W622" s="867">
        <v>3641.9429094456564</v>
      </c>
      <c r="X622" s="868">
        <v>0.64320274048480885</v>
      </c>
    </row>
    <row r="623" spans="16:24">
      <c r="P623" s="867">
        <v>71.247139588100694</v>
      </c>
      <c r="Q623" s="868">
        <v>0.66282318933675899</v>
      </c>
      <c r="R623" s="867">
        <v>9114.7597254004504</v>
      </c>
      <c r="S623" s="867">
        <v>11379.425629290608</v>
      </c>
      <c r="T623" s="867">
        <v>761.65250160183007</v>
      </c>
      <c r="U623" s="867">
        <v>52.770815034324905</v>
      </c>
      <c r="V623" s="877">
        <v>433.975838057857</v>
      </c>
      <c r="W623" s="867">
        <v>3641.9429094456564</v>
      </c>
      <c r="X623" s="868">
        <v>0.64320274048480885</v>
      </c>
    </row>
    <row r="624" spans="16:24">
      <c r="P624" s="867">
        <v>50.414746543778797</v>
      </c>
      <c r="Q624" s="868">
        <v>0.73852833638025595</v>
      </c>
      <c r="R624" s="867">
        <v>4150.5599078341002</v>
      </c>
      <c r="S624" s="867">
        <v>6327.87788018433</v>
      </c>
      <c r="T624" s="867">
        <v>436.86687741935469</v>
      </c>
      <c r="U624" s="867">
        <v>30.711095050691235</v>
      </c>
      <c r="V624" s="877">
        <v>281.43097902097901</v>
      </c>
      <c r="W624" s="867">
        <v>3641.9429094456564</v>
      </c>
      <c r="X624" s="868">
        <v>0.64320274048480885</v>
      </c>
    </row>
    <row r="625" spans="16:24">
      <c r="P625" s="867">
        <v>61.2637614678899</v>
      </c>
      <c r="Q625" s="868">
        <v>0.76402980045674096</v>
      </c>
      <c r="R625" s="867">
        <v>4703.2912844036637</v>
      </c>
      <c r="S625" s="867">
        <v>6412.4655963302666</v>
      </c>
      <c r="T625" s="867">
        <v>435.92931559632973</v>
      </c>
      <c r="U625" s="867">
        <v>32.81516146559629</v>
      </c>
      <c r="V625" s="877">
        <v>237.478735299883</v>
      </c>
      <c r="W625" s="867">
        <v>3641.9429094456564</v>
      </c>
      <c r="X625" s="868">
        <v>0.64320274048480885</v>
      </c>
    </row>
    <row r="626" spans="16:24">
      <c r="P626" s="867">
        <v>68.348729792147793</v>
      </c>
      <c r="Q626" s="868">
        <v>0.68650109815847304</v>
      </c>
      <c r="R626" s="867">
        <v>3805.8960739029994</v>
      </c>
      <c r="S626" s="867">
        <v>6161.327944572743</v>
      </c>
      <c r="T626" s="867">
        <v>419.37059879907588</v>
      </c>
      <c r="U626" s="867">
        <v>29.774040064665101</v>
      </c>
      <c r="V626" s="877">
        <v>212.423465570704</v>
      </c>
      <c r="W626" s="867">
        <v>3641.9429094456564</v>
      </c>
      <c r="X626" s="868">
        <v>0.64320274048480885</v>
      </c>
    </row>
    <row r="627" spans="16:24">
      <c r="P627" s="867">
        <v>97.379862700228799</v>
      </c>
      <c r="Q627" s="868">
        <v>0.37823992480319601</v>
      </c>
      <c r="R627" s="867">
        <v>4433.1395881006811</v>
      </c>
      <c r="S627" s="867">
        <v>8439.8123569793952</v>
      </c>
      <c r="T627" s="867">
        <v>564.43840366132429</v>
      </c>
      <c r="U627" s="867">
        <v>33.953673176201335</v>
      </c>
      <c r="V627" s="877">
        <v>349.49863692842899</v>
      </c>
      <c r="W627" s="867">
        <v>3641.9429094456564</v>
      </c>
      <c r="X627" s="868">
        <v>0.64320274048480885</v>
      </c>
    </row>
    <row r="628" spans="16:24">
      <c r="P628" s="867">
        <v>121.726436781609</v>
      </c>
      <c r="Q628" s="868">
        <v>0.494211629619837</v>
      </c>
      <c r="R628" s="867">
        <v>6169.268965517248</v>
      </c>
      <c r="S628" s="867">
        <v>7328.1356321839157</v>
      </c>
      <c r="T628" s="867">
        <v>491.04685241379133</v>
      </c>
      <c r="U628" s="867">
        <v>45.952398036781659</v>
      </c>
      <c r="V628" s="877">
        <v>224.36373075012401</v>
      </c>
      <c r="W628" s="867">
        <v>3641.9429094456564</v>
      </c>
      <c r="X628" s="868">
        <v>0.64320274048480885</v>
      </c>
    </row>
    <row r="629" spans="16:24">
      <c r="P629" s="867">
        <v>83.036446469248304</v>
      </c>
      <c r="Q629" s="868">
        <v>0.38372699091981499</v>
      </c>
      <c r="R629" s="867">
        <v>4158.3101123595461</v>
      </c>
      <c r="S629" s="867">
        <v>5519.1280898876339</v>
      </c>
      <c r="T629" s="867">
        <v>385.85715235955013</v>
      </c>
      <c r="U629" s="867">
        <v>34.470671764044909</v>
      </c>
      <c r="V629" s="877">
        <v>307.51647243644697</v>
      </c>
      <c r="W629" s="867">
        <v>3641.9429094456564</v>
      </c>
      <c r="X629" s="868">
        <v>0.64320274048480885</v>
      </c>
    </row>
    <row r="630" spans="16:24">
      <c r="P630" s="867">
        <v>50.512702078521897</v>
      </c>
      <c r="Q630" s="868">
        <v>0.80705925384052701</v>
      </c>
      <c r="R630" s="867">
        <v>4064.5658198614269</v>
      </c>
      <c r="S630" s="867">
        <v>5541.0946882217022</v>
      </c>
      <c r="T630" s="867">
        <v>374.01705496535754</v>
      </c>
      <c r="U630" s="867">
        <v>35.280945554272478</v>
      </c>
      <c r="V630" s="877">
        <v>235.62485100838401</v>
      </c>
      <c r="W630" s="867">
        <v>3641.9429094456564</v>
      </c>
      <c r="X630" s="868">
        <v>0.64320274048480885</v>
      </c>
    </row>
    <row r="631" spans="16:24">
      <c r="P631" s="867">
        <v>65.942791762013698</v>
      </c>
      <c r="Q631" s="868">
        <v>0.71166325432904198</v>
      </c>
      <c r="R631" s="867">
        <v>6850.336384439358</v>
      </c>
      <c r="S631" s="867">
        <v>9504.6384439359263</v>
      </c>
      <c r="T631" s="867">
        <v>635.36196796338663</v>
      </c>
      <c r="U631" s="867">
        <v>45.276928967963386</v>
      </c>
      <c r="V631" s="877">
        <v>348.504193973084</v>
      </c>
      <c r="W631" s="867">
        <v>3641.9429094456564</v>
      </c>
      <c r="X631" s="868">
        <v>0.64320274048480885</v>
      </c>
    </row>
    <row r="632" spans="16:24">
      <c r="P632" s="867">
        <v>64.899082568807302</v>
      </c>
      <c r="Q632" s="868">
        <v>0.71508340401470205</v>
      </c>
      <c r="R632" s="867">
        <v>6067.2729357798207</v>
      </c>
      <c r="S632" s="867">
        <v>7167.7362385321148</v>
      </c>
      <c r="T632" s="867">
        <v>485.46912477064251</v>
      </c>
      <c r="U632" s="867">
        <v>43.520377557339472</v>
      </c>
      <c r="V632" s="877">
        <v>285.18648117030801</v>
      </c>
      <c r="W632" s="867">
        <v>3641.9429094456564</v>
      </c>
      <c r="X632" s="868">
        <v>0.64320274048480885</v>
      </c>
    </row>
    <row r="633" spans="16:24">
      <c r="P633" s="867">
        <v>88.4</v>
      </c>
      <c r="Q633" s="868">
        <v>0.45451708534872798</v>
      </c>
      <c r="R633" s="867">
        <v>4026.1287356321914</v>
      </c>
      <c r="S633" s="867">
        <v>7481.7172413793242</v>
      </c>
      <c r="T633" s="867">
        <v>505.21742712643544</v>
      </c>
      <c r="U633" s="867">
        <v>36.162052068965586</v>
      </c>
      <c r="V633" s="877">
        <v>286.412167296029</v>
      </c>
      <c r="W633" s="867">
        <v>3641.9429094456564</v>
      </c>
      <c r="X633" s="868">
        <v>0.64320274048480885</v>
      </c>
    </row>
    <row r="634" spans="16:24">
      <c r="P634" s="867">
        <v>59.133484162895897</v>
      </c>
      <c r="Q634" s="868">
        <v>0.33607529555802101</v>
      </c>
      <c r="R634" s="867">
        <v>3045.2013574660668</v>
      </c>
      <c r="S634" s="867">
        <v>5233.9660633484227</v>
      </c>
      <c r="T634" s="867">
        <v>357.77861538461576</v>
      </c>
      <c r="U634" s="867">
        <v>24.660831052036229</v>
      </c>
      <c r="V634" s="877">
        <v>416.597328096539</v>
      </c>
      <c r="W634" s="867">
        <v>3641.9429094456564</v>
      </c>
      <c r="X634" s="868">
        <v>0.64320274048480885</v>
      </c>
    </row>
    <row r="635" spans="16:24">
      <c r="P635" s="867">
        <v>71.221967963386703</v>
      </c>
      <c r="Q635" s="868">
        <v>0.54270016707364099</v>
      </c>
      <c r="R635" s="867">
        <v>5047.6086956521722</v>
      </c>
      <c r="S635" s="867">
        <v>9103.0251716247112</v>
      </c>
      <c r="T635" s="867">
        <v>609.6170123569791</v>
      </c>
      <c r="U635" s="867">
        <v>41.230657693363831</v>
      </c>
      <c r="V635" s="877">
        <v>366.102118287846</v>
      </c>
      <c r="W635" s="867">
        <v>3641.9429094456564</v>
      </c>
      <c r="X635" s="868">
        <v>0.64320274048480885</v>
      </c>
    </row>
    <row r="636" spans="16:24">
      <c r="P636" s="867">
        <v>115.22018348623899</v>
      </c>
      <c r="Q636" s="868">
        <v>0.60669639302492195</v>
      </c>
      <c r="R636" s="867">
        <v>5779.9977064220238</v>
      </c>
      <c r="S636" s="867">
        <v>6864.9059633027582</v>
      </c>
      <c r="T636" s="867">
        <v>467.41278532109902</v>
      </c>
      <c r="U636" s="867">
        <v>42.072490940367004</v>
      </c>
      <c r="V636" s="877">
        <v>180.89046558173101</v>
      </c>
      <c r="W636" s="867">
        <v>3641.9429094456564</v>
      </c>
      <c r="X636" s="868">
        <v>0.64320274048480885</v>
      </c>
    </row>
    <row r="637" spans="16:24">
      <c r="P637" s="867">
        <v>49.435185185185198</v>
      </c>
      <c r="Q637" s="868">
        <v>0.75505712680277204</v>
      </c>
      <c r="R637" s="867">
        <v>4396.5879629629644</v>
      </c>
      <c r="S637" s="867">
        <v>6722.1504629629653</v>
      </c>
      <c r="T637" s="867">
        <v>452.70993703703721</v>
      </c>
      <c r="U637" s="867">
        <v>39.905320527777796</v>
      </c>
      <c r="V637" s="877">
        <v>297.87887255814002</v>
      </c>
      <c r="W637" s="867">
        <v>3641.9429094456564</v>
      </c>
      <c r="X637" s="868">
        <v>0.64320274048480885</v>
      </c>
    </row>
    <row r="638" spans="16:24">
      <c r="P638" s="867">
        <v>86.871910112359501</v>
      </c>
      <c r="Q638" s="868">
        <v>0.524600341455844</v>
      </c>
      <c r="R638" s="867">
        <v>2654.4988764045002</v>
      </c>
      <c r="S638" s="867">
        <v>6450.1213483146212</v>
      </c>
      <c r="T638" s="867">
        <v>430.21564584269532</v>
      </c>
      <c r="U638" s="867">
        <v>22.880335395505664</v>
      </c>
      <c r="V638" s="877">
        <v>199.780848126233</v>
      </c>
      <c r="W638" s="867">
        <v>3641.9429094456564</v>
      </c>
      <c r="X638" s="868">
        <v>0.64320274048480885</v>
      </c>
    </row>
    <row r="639" spans="16:24">
      <c r="P639" s="867">
        <v>69.032407407407405</v>
      </c>
      <c r="Q639" s="868">
        <v>0.65099590906042504</v>
      </c>
      <c r="R639" s="867">
        <v>3677.2916666666638</v>
      </c>
      <c r="S639" s="867">
        <v>6561.9143518518467</v>
      </c>
      <c r="T639" s="867">
        <v>446.14620555555524</v>
      </c>
      <c r="U639" s="867">
        <v>27.937994439814794</v>
      </c>
      <c r="V639" s="877">
        <v>227.842511589575</v>
      </c>
      <c r="W639" s="867">
        <v>3641.9429094456564</v>
      </c>
      <c r="X639" s="868">
        <v>0.64320274048480885</v>
      </c>
    </row>
    <row r="640" spans="16:24">
      <c r="P640" s="867">
        <v>64.566513761467903</v>
      </c>
      <c r="Q640" s="868">
        <v>0.60274945827856896</v>
      </c>
      <c r="R640" s="867">
        <v>3272.5114678899122</v>
      </c>
      <c r="S640" s="867">
        <v>8026.3463302752389</v>
      </c>
      <c r="T640" s="867">
        <v>538.46670275229189</v>
      </c>
      <c r="U640" s="867">
        <v>24.946367532110123</v>
      </c>
      <c r="V640" s="877">
        <v>290.328906176332</v>
      </c>
      <c r="W640" s="867">
        <v>3641.9429094456564</v>
      </c>
      <c r="X640" s="868">
        <v>0.64320274048480885</v>
      </c>
    </row>
    <row r="641" spans="16:24">
      <c r="P641" s="867">
        <v>80.069605568445496</v>
      </c>
      <c r="Q641" s="868">
        <v>0.43981454650825902</v>
      </c>
      <c r="R641" s="867">
        <v>2575.095127610211</v>
      </c>
      <c r="S641" s="867">
        <v>5420.3735498839951</v>
      </c>
      <c r="T641" s="867">
        <v>366.051730858469</v>
      </c>
      <c r="U641" s="867">
        <v>21.315403675174032</v>
      </c>
      <c r="V641" s="877">
        <v>227.04232837000899</v>
      </c>
      <c r="W641" s="867">
        <v>3641.9429094456564</v>
      </c>
      <c r="X641" s="868">
        <v>0.64320274048480885</v>
      </c>
    </row>
    <row r="642" spans="16:24">
      <c r="P642" s="867">
        <v>114.831050228311</v>
      </c>
      <c r="Q642" s="868">
        <v>0.42999443295689499</v>
      </c>
      <c r="R642" s="867">
        <v>2815.8630136986267</v>
      </c>
      <c r="S642" s="867">
        <v>8075.6164383561536</v>
      </c>
      <c r="T642" s="867">
        <v>545.77899178082123</v>
      </c>
      <c r="U642" s="867">
        <v>24.651703691780792</v>
      </c>
      <c r="V642" s="877">
        <v>220.579327692237</v>
      </c>
      <c r="W642" s="867">
        <v>3641.9429094456564</v>
      </c>
      <c r="X642" s="868">
        <v>0.64320274048480885</v>
      </c>
    </row>
    <row r="643" spans="16:24">
      <c r="P643" s="867">
        <v>81.979638009049793</v>
      </c>
      <c r="Q643" s="868">
        <v>0.56255002069822002</v>
      </c>
      <c r="R643" s="867">
        <v>4876.6764705882242</v>
      </c>
      <c r="S643" s="867">
        <v>6760.6018099547355</v>
      </c>
      <c r="T643" s="867">
        <v>453.69213292307359</v>
      </c>
      <c r="U643" s="867">
        <v>39.324590409502171</v>
      </c>
      <c r="V643" s="877">
        <v>252.33876520800601</v>
      </c>
      <c r="W643" s="867">
        <v>3641.9429094456564</v>
      </c>
      <c r="X643" s="868">
        <v>0.64320274048480885</v>
      </c>
    </row>
    <row r="644" spans="16:24">
      <c r="P644" s="867">
        <v>72.009153318077793</v>
      </c>
      <c r="Q644" s="868">
        <v>0.50746790390237695</v>
      </c>
      <c r="R644" s="867">
        <v>5188.6086956521667</v>
      </c>
      <c r="S644" s="867">
        <v>6504.8421052631493</v>
      </c>
      <c r="T644" s="867">
        <v>439.04257574370655</v>
      </c>
      <c r="U644" s="867">
        <v>39.464819302059446</v>
      </c>
      <c r="V644" s="877">
        <v>319.99734297701798</v>
      </c>
      <c r="W644" s="867">
        <v>3641.9429094456564</v>
      </c>
      <c r="X644" s="868">
        <v>0.64320274048480885</v>
      </c>
    </row>
    <row r="645" spans="16:24">
      <c r="P645" s="867">
        <v>76.002293577981703</v>
      </c>
      <c r="Q645" s="868">
        <v>0.55017050427015102</v>
      </c>
      <c r="R645" s="867">
        <v>1904.3096330275232</v>
      </c>
      <c r="S645" s="867">
        <v>5516.9724770642206</v>
      </c>
      <c r="T645" s="867">
        <v>374.75589174311932</v>
      </c>
      <c r="U645" s="867">
        <v>16.529265240825691</v>
      </c>
      <c r="V645" s="877">
        <v>177.48222478196499</v>
      </c>
      <c r="W645" s="867">
        <v>3641.9429094456564</v>
      </c>
      <c r="X645" s="868">
        <v>0.64320274048480885</v>
      </c>
    </row>
    <row r="646" spans="16:24">
      <c r="P646" s="867">
        <v>72.655963302752298</v>
      </c>
      <c r="Q646" s="868">
        <v>0.62544983900498796</v>
      </c>
      <c r="R646" s="867">
        <v>4207.3165137614606</v>
      </c>
      <c r="S646" s="867">
        <v>7414.4013761467759</v>
      </c>
      <c r="T646" s="867">
        <v>496.21406055045782</v>
      </c>
      <c r="U646" s="867">
        <v>30.522901889908201</v>
      </c>
      <c r="V646" s="877">
        <v>255.74464644425399</v>
      </c>
      <c r="W646" s="867">
        <v>3641.9429094456564</v>
      </c>
      <c r="X646" s="868">
        <v>0.64320274048480885</v>
      </c>
    </row>
    <row r="647" spans="16:24">
      <c r="P647" s="867">
        <v>75.881927710843399</v>
      </c>
      <c r="Q647" s="868">
        <v>0.50782763329205205</v>
      </c>
      <c r="R647" s="867">
        <v>4761.2824601366729</v>
      </c>
      <c r="S647" s="867">
        <v>7186.0911161731192</v>
      </c>
      <c r="T647" s="867">
        <v>484.90369384965817</v>
      </c>
      <c r="U647" s="867">
        <v>41.777328621867873</v>
      </c>
      <c r="V647" s="877">
        <v>313.02709065983203</v>
      </c>
      <c r="W647" s="867">
        <v>3641.9429094456564</v>
      </c>
      <c r="X647" s="868">
        <v>0.64320274048480885</v>
      </c>
    </row>
    <row r="648" spans="16:24">
      <c r="P648" s="867">
        <v>93.904109589041099</v>
      </c>
      <c r="Q648" s="868">
        <v>0.55611475808412403</v>
      </c>
      <c r="R648" s="867">
        <v>6704.6940639269442</v>
      </c>
      <c r="S648" s="867">
        <v>8019.4748858447529</v>
      </c>
      <c r="T648" s="867">
        <v>536.28137899543174</v>
      </c>
      <c r="U648" s="867">
        <v>51.214769134703218</v>
      </c>
      <c r="V648" s="877">
        <v>282.18524854632102</v>
      </c>
      <c r="W648" s="867">
        <v>3641.9429094456564</v>
      </c>
      <c r="X648" s="868">
        <v>0.64320274048480885</v>
      </c>
    </row>
    <row r="649" spans="16:24">
      <c r="P649" s="867">
        <v>57.066513761467903</v>
      </c>
      <c r="Q649" s="868">
        <v>0.61436437442225</v>
      </c>
      <c r="R649" s="867">
        <v>3938.0688073394454</v>
      </c>
      <c r="S649" s="867">
        <v>8508.9954128440277</v>
      </c>
      <c r="T649" s="867">
        <v>571.11353394495359</v>
      </c>
      <c r="U649" s="867">
        <v>31.758624688073361</v>
      </c>
      <c r="V649" s="877">
        <v>355.02551942954301</v>
      </c>
      <c r="W649" s="867">
        <v>3641.9429094456564</v>
      </c>
      <c r="X649" s="868">
        <v>0.64320274048480885</v>
      </c>
    </row>
    <row r="650" spans="16:24">
      <c r="P650" s="867">
        <v>72.479357798165097</v>
      </c>
      <c r="Q650" s="868">
        <v>0.50469921837916498</v>
      </c>
      <c r="R650" s="867">
        <v>3504.9541284403658</v>
      </c>
      <c r="S650" s="867">
        <v>6427.5481651376122</v>
      </c>
      <c r="T650" s="867">
        <v>433.4490935779815</v>
      </c>
      <c r="U650" s="867">
        <v>29.390773133027512</v>
      </c>
      <c r="V650" s="877">
        <v>271.52615022885402</v>
      </c>
      <c r="W650" s="867">
        <v>3641.9429094456564</v>
      </c>
      <c r="X650" s="868">
        <v>0.64320274048480885</v>
      </c>
    </row>
    <row r="651" spans="16:24">
      <c r="P651" s="867">
        <v>94.516355140186903</v>
      </c>
      <c r="Q651" s="868">
        <v>0.34672335797097897</v>
      </c>
      <c r="R651" s="867">
        <v>2180.2710280373803</v>
      </c>
      <c r="S651" s="867">
        <v>6467.5560747663476</v>
      </c>
      <c r="T651" s="867">
        <v>437.30431401869106</v>
      </c>
      <c r="U651" s="867">
        <v>17.921582593457924</v>
      </c>
      <c r="V651" s="877">
        <v>264.10597889633499</v>
      </c>
      <c r="W651" s="867">
        <v>3641.9429094456564</v>
      </c>
      <c r="X651" s="868">
        <v>0.64320274048480885</v>
      </c>
    </row>
    <row r="652" spans="16:24">
      <c r="P652" s="867">
        <v>83.758620689655203</v>
      </c>
      <c r="Q652" s="868">
        <v>0.41229586935638801</v>
      </c>
      <c r="R652" s="867">
        <v>4279.0229885057379</v>
      </c>
      <c r="S652" s="867">
        <v>6974.7287356321685</v>
      </c>
      <c r="T652" s="867">
        <v>459.88128881609089</v>
      </c>
      <c r="U652" s="867">
        <v>38.936236551724058</v>
      </c>
      <c r="V652" s="877">
        <v>315.17475902010398</v>
      </c>
      <c r="W652" s="867">
        <v>3641.9429094456564</v>
      </c>
      <c r="X652" s="868">
        <v>0.64320274048480885</v>
      </c>
    </row>
    <row r="653" spans="16:24">
      <c r="P653" s="867">
        <v>44.815242494226297</v>
      </c>
      <c r="Q653" s="868">
        <v>0.51151765009018302</v>
      </c>
      <c r="R653" s="867">
        <v>5086.4203233256421</v>
      </c>
      <c r="S653" s="867">
        <v>7712.3995381062459</v>
      </c>
      <c r="T653" s="867">
        <v>515.75094688221782</v>
      </c>
      <c r="U653" s="867">
        <v>38.018345503464253</v>
      </c>
      <c r="V653" s="877">
        <v>555.69536872859203</v>
      </c>
      <c r="W653" s="867">
        <v>3641.9429094456564</v>
      </c>
      <c r="X653" s="868">
        <v>0.64320274048480885</v>
      </c>
    </row>
    <row r="654" spans="16:24">
      <c r="P654" s="867">
        <v>92.954128440367001</v>
      </c>
      <c r="Q654" s="868">
        <v>0.440658310303987</v>
      </c>
      <c r="R654" s="867">
        <v>2736.740825688069</v>
      </c>
      <c r="S654" s="867">
        <v>7764.2110091742989</v>
      </c>
      <c r="T654" s="867">
        <v>519.4974477064211</v>
      </c>
      <c r="U654" s="867">
        <v>20.573193038990791</v>
      </c>
      <c r="V654" s="877">
        <v>256.36452264964402</v>
      </c>
      <c r="W654" s="867">
        <v>3641.9429094456564</v>
      </c>
      <c r="X654" s="868">
        <v>0.64320274048480885</v>
      </c>
    </row>
    <row r="655" spans="16:24">
      <c r="P655" s="867">
        <v>70.4915662650602</v>
      </c>
      <c r="Q655" s="868">
        <v>0.59906337594858805</v>
      </c>
      <c r="R655" s="867">
        <v>4119.9816513761425</v>
      </c>
      <c r="S655" s="867">
        <v>7236.2958715596251</v>
      </c>
      <c r="T655" s="867">
        <v>488.65221100917381</v>
      </c>
      <c r="U655" s="867">
        <v>34.367642243119228</v>
      </c>
      <c r="V655" s="877">
        <v>281.95080860998797</v>
      </c>
      <c r="W655" s="867">
        <v>3641.9429094456564</v>
      </c>
      <c r="X655" s="868">
        <v>0.64320274048480885</v>
      </c>
    </row>
    <row r="656" spans="16:24">
      <c r="P656" s="867">
        <v>86.603211009174302</v>
      </c>
      <c r="Q656" s="868">
        <v>0.36820360708705202</v>
      </c>
      <c r="R656" s="867">
        <v>4499.036697247705</v>
      </c>
      <c r="S656" s="867">
        <v>7328.376146788989</v>
      </c>
      <c r="T656" s="867">
        <v>491.1566697247705</v>
      </c>
      <c r="U656" s="867">
        <v>34.897378247706413</v>
      </c>
      <c r="V656" s="877">
        <v>370.20633604258097</v>
      </c>
      <c r="W656" s="867">
        <v>3641.9429094456564</v>
      </c>
      <c r="X656" s="868">
        <v>0.64320274048480885</v>
      </c>
    </row>
    <row r="657" spans="16:24">
      <c r="P657" s="867">
        <v>68.922018348623894</v>
      </c>
      <c r="Q657" s="868">
        <v>0.40559068219633898</v>
      </c>
      <c r="R657" s="867">
        <v>3027.6743119266043</v>
      </c>
      <c r="S657" s="867">
        <v>6280.8004587155938</v>
      </c>
      <c r="T657" s="867">
        <v>426.1942422018347</v>
      </c>
      <c r="U657" s="867">
        <v>24.991624905963295</v>
      </c>
      <c r="V657" s="877">
        <v>332.85537906137199</v>
      </c>
      <c r="W657" s="867">
        <v>3641.9429094456564</v>
      </c>
      <c r="X657" s="868">
        <v>0.64320274048480885</v>
      </c>
    </row>
    <row r="658" spans="16:24">
      <c r="P658" s="867">
        <v>7.81666666666667</v>
      </c>
      <c r="Q658" s="868">
        <v>0.10660980810234499</v>
      </c>
      <c r="R658" s="867">
        <v>422.72413793103505</v>
      </c>
      <c r="S658" s="867">
        <v>556.06034482758696</v>
      </c>
      <c r="T658" s="867">
        <v>37.956896551724192</v>
      </c>
      <c r="U658" s="867">
        <v>3.357747413793108</v>
      </c>
      <c r="V658" s="877">
        <v>1102.3145631068001</v>
      </c>
      <c r="W658" s="867">
        <v>3641.9429094456564</v>
      </c>
      <c r="X658" s="868">
        <v>0.64320274048480885</v>
      </c>
    </row>
    <row r="659" spans="16:24">
      <c r="P659" s="867">
        <v>86.041284403669707</v>
      </c>
      <c r="Q659" s="868">
        <v>0.62536652982886398</v>
      </c>
      <c r="R659" s="867">
        <v>5112.2844036697252</v>
      </c>
      <c r="S659" s="867">
        <v>9492.5688073394504</v>
      </c>
      <c r="T659" s="867">
        <v>639.00052293577983</v>
      </c>
      <c r="U659" s="867">
        <v>41.835995770642207</v>
      </c>
      <c r="V659" s="877">
        <v>272.40578857629998</v>
      </c>
      <c r="W659" s="867">
        <v>3641.9429094456564</v>
      </c>
      <c r="X659" s="868">
        <v>0.64320274048480885</v>
      </c>
    </row>
    <row r="660" spans="16:24">
      <c r="P660" s="867">
        <v>57.926773455377599</v>
      </c>
      <c r="Q660" s="868">
        <v>0.56233704669352902</v>
      </c>
      <c r="R660" s="867">
        <v>6004.8466819221876</v>
      </c>
      <c r="S660" s="867">
        <v>6981.5583524027352</v>
      </c>
      <c r="T660" s="867">
        <v>471.03435057208168</v>
      </c>
      <c r="U660" s="867">
        <v>41.492199780320306</v>
      </c>
      <c r="V660" s="877">
        <v>398.66951527924101</v>
      </c>
      <c r="W660" s="867">
        <v>3641.9429094456564</v>
      </c>
      <c r="X660" s="868">
        <v>0.64320274048480885</v>
      </c>
    </row>
    <row r="661" spans="16:24">
      <c r="P661" s="867">
        <v>87.0416666666667</v>
      </c>
      <c r="Q661" s="868">
        <v>0.442556247008138</v>
      </c>
      <c r="R661" s="867">
        <v>4198.3263888888832</v>
      </c>
      <c r="S661" s="867">
        <v>6914.9351851851752</v>
      </c>
      <c r="T661" s="867">
        <v>470.09363333333266</v>
      </c>
      <c r="U661" s="867">
        <v>39.213181594907354</v>
      </c>
      <c r="V661" s="877">
        <v>288.50015083228197</v>
      </c>
      <c r="W661" s="867">
        <v>3641.9429094456564</v>
      </c>
      <c r="X661" s="868">
        <v>0.64320274048480885</v>
      </c>
    </row>
    <row r="662" spans="16:24">
      <c r="P662" s="867">
        <v>59.901376146788998</v>
      </c>
      <c r="Q662" s="868">
        <v>0.60795650342688701</v>
      </c>
      <c r="R662" s="867">
        <v>5288.038990825683</v>
      </c>
      <c r="S662" s="867">
        <v>6066.0756880733879</v>
      </c>
      <c r="T662" s="867">
        <v>409.32550091743076</v>
      </c>
      <c r="U662" s="867">
        <v>42.20581805275225</v>
      </c>
      <c r="V662" s="877">
        <v>311.776953646555</v>
      </c>
      <c r="W662" s="867">
        <v>3641.9429094456564</v>
      </c>
      <c r="X662" s="868">
        <v>0.64320274048480885</v>
      </c>
    </row>
    <row r="663" spans="16:24">
      <c r="P663" s="867">
        <v>66.979357798165097</v>
      </c>
      <c r="Q663" s="868">
        <v>0.43403075026538401</v>
      </c>
      <c r="R663" s="867">
        <v>3117.3440366972482</v>
      </c>
      <c r="S663" s="867">
        <v>6003.6353211009182</v>
      </c>
      <c r="T663" s="867">
        <v>418.8182073394496</v>
      </c>
      <c r="U663" s="867">
        <v>28.125646644495415</v>
      </c>
      <c r="V663" s="877">
        <v>325.48962840236698</v>
      </c>
      <c r="W663" s="867">
        <v>3641.9429094456564</v>
      </c>
      <c r="X663" s="868">
        <v>0.64320274048480885</v>
      </c>
    </row>
    <row r="664" spans="16:24">
      <c r="P664" s="867">
        <v>89.006864988558405</v>
      </c>
      <c r="Q664" s="868">
        <v>0.30676676264911601</v>
      </c>
      <c r="R664" s="867">
        <v>3150.1967963386696</v>
      </c>
      <c r="S664" s="867">
        <v>5421.4096109839757</v>
      </c>
      <c r="T664" s="867">
        <v>367.80465537757402</v>
      </c>
      <c r="U664" s="867">
        <v>29.320292160183033</v>
      </c>
      <c r="V664" s="877">
        <v>313.92831713040601</v>
      </c>
      <c r="W664" s="867">
        <v>3641.9429094456564</v>
      </c>
      <c r="X664" s="868">
        <v>0.64320274048480885</v>
      </c>
    </row>
    <row r="665" spans="16:24">
      <c r="P665" s="867">
        <v>102.035971223022</v>
      </c>
      <c r="Q665" s="868">
        <v>0.48668593856494902</v>
      </c>
      <c r="R665" s="867">
        <v>3103.3504672897257</v>
      </c>
      <c r="S665" s="867">
        <v>9265.8060747663731</v>
      </c>
      <c r="T665" s="867">
        <v>621.44024299065313</v>
      </c>
      <c r="U665" s="867">
        <v>26.16574723831781</v>
      </c>
      <c r="V665" s="877">
        <v>255.36646905600301</v>
      </c>
      <c r="W665" s="867">
        <v>3641.9429094456564</v>
      </c>
      <c r="X665" s="868">
        <v>0.64320274048480885</v>
      </c>
    </row>
    <row r="666" spans="16:24">
      <c r="P666" s="867">
        <v>74.3720930232558</v>
      </c>
      <c r="Q666" s="868">
        <v>0.36616635397123198</v>
      </c>
      <c r="R666" s="867">
        <v>2482.6418604651171</v>
      </c>
      <c r="S666" s="867">
        <v>5677.3558139534898</v>
      </c>
      <c r="T666" s="867">
        <v>384.42490604651175</v>
      </c>
      <c r="U666" s="867">
        <v>18.887246393023261</v>
      </c>
      <c r="V666" s="877">
        <v>299.64124338172502</v>
      </c>
      <c r="W666" s="867">
        <v>3641.9429094456564</v>
      </c>
      <c r="X666" s="868">
        <v>0.64320274048480885</v>
      </c>
    </row>
    <row r="667" spans="16:24">
      <c r="P667" s="867">
        <v>109.66361556064101</v>
      </c>
      <c r="Q667" s="868">
        <v>0.55651774721949798</v>
      </c>
      <c r="R667" s="867">
        <v>6011.8718535468997</v>
      </c>
      <c r="S667" s="867">
        <v>10168.983981693345</v>
      </c>
      <c r="T667" s="867">
        <v>680.01664988558002</v>
      </c>
      <c r="U667" s="867">
        <v>42.543738574370629</v>
      </c>
      <c r="V667" s="877">
        <v>265.04636557930297</v>
      </c>
      <c r="W667" s="867">
        <v>3641.9429094456564</v>
      </c>
      <c r="X667" s="868">
        <v>0.64320274048480885</v>
      </c>
    </row>
    <row r="668" spans="16:24">
      <c r="P668" s="867">
        <v>39.180778032036599</v>
      </c>
      <c r="Q668" s="868">
        <v>0.33547482770704401</v>
      </c>
      <c r="R668" s="867">
        <v>3920.9130434782651</v>
      </c>
      <c r="S668" s="867">
        <v>0</v>
      </c>
      <c r="T668" s="867">
        <v>0</v>
      </c>
      <c r="U668" s="867">
        <v>31.297424997711701</v>
      </c>
      <c r="V668" s="877">
        <v>298.30048572423402</v>
      </c>
      <c r="W668" s="867">
        <v>1247.7563200000006</v>
      </c>
      <c r="X668" s="868">
        <v>-0.16369508484446027</v>
      </c>
    </row>
    <row r="669" spans="16:24">
      <c r="P669" s="867">
        <v>48.988532110091803</v>
      </c>
      <c r="Q669" s="868">
        <v>0.46547122992649498</v>
      </c>
      <c r="R669" s="867">
        <v>5669.6857798165147</v>
      </c>
      <c r="S669" s="867">
        <v>0</v>
      </c>
      <c r="T669" s="867">
        <v>0</v>
      </c>
      <c r="U669" s="867">
        <v>47.269211876146798</v>
      </c>
      <c r="V669" s="877">
        <v>245.40082277207799</v>
      </c>
      <c r="W669" s="867">
        <v>1247.7563200000006</v>
      </c>
      <c r="X669" s="868">
        <v>-0.16369508484446027</v>
      </c>
    </row>
    <row r="670" spans="16:24">
      <c r="P670" s="867">
        <v>48.029748283752902</v>
      </c>
      <c r="Q670" s="868">
        <v>0.194054028300538</v>
      </c>
      <c r="R670" s="867">
        <v>3497.2768878718512</v>
      </c>
      <c r="S670" s="867">
        <v>0</v>
      </c>
      <c r="T670" s="867">
        <v>0</v>
      </c>
      <c r="U670" s="867">
        <v>28.3990651098398</v>
      </c>
      <c r="V670" s="877">
        <v>375.229165234471</v>
      </c>
      <c r="W670" s="867">
        <v>1247.7563200000006</v>
      </c>
      <c r="X670" s="868">
        <v>-0.16369508484446027</v>
      </c>
    </row>
    <row r="671" spans="16:24">
      <c r="P671" s="867">
        <v>46.127610208816698</v>
      </c>
      <c r="Q671" s="868">
        <v>0.25245208993511398</v>
      </c>
      <c r="R671" s="867">
        <v>2911.3642691415289</v>
      </c>
      <c r="S671" s="867">
        <v>0.12064965197215767</v>
      </c>
      <c r="T671" s="867">
        <v>1.6345243619489549E-2</v>
      </c>
      <c r="U671" s="867">
        <v>22.193540076566109</v>
      </c>
      <c r="V671" s="877">
        <v>249.63326359832601</v>
      </c>
      <c r="W671" s="867">
        <v>1247.7563200000006</v>
      </c>
      <c r="X671" s="868">
        <v>-0.16369508484446027</v>
      </c>
    </row>
    <row r="672" spans="16:24">
      <c r="P672" s="867">
        <v>35.790804597701197</v>
      </c>
      <c r="Q672" s="868">
        <v>0.43907765431305801</v>
      </c>
      <c r="R672" s="867">
        <v>4464.9195402298892</v>
      </c>
      <c r="S672" s="867">
        <v>0</v>
      </c>
      <c r="T672" s="867">
        <v>0</v>
      </c>
      <c r="U672" s="867">
        <v>41.804832057471302</v>
      </c>
      <c r="V672" s="877">
        <v>283.42939438268002</v>
      </c>
      <c r="W672" s="867">
        <v>1247.7563200000006</v>
      </c>
      <c r="X672" s="868">
        <v>-0.16369508484446027</v>
      </c>
    </row>
    <row r="673" spans="16:24">
      <c r="P673" s="867">
        <v>46.6453089244851</v>
      </c>
      <c r="Q673" s="868">
        <v>0.26530612244898</v>
      </c>
      <c r="R673" s="867">
        <v>3933.9405034324964</v>
      </c>
      <c r="S673" s="867">
        <v>0.41647597254004598</v>
      </c>
      <c r="T673" s="867">
        <v>5.6422883295194536E-2</v>
      </c>
      <c r="U673" s="867">
        <v>35.44767176659041</v>
      </c>
      <c r="V673" s="877">
        <v>317.92027181952699</v>
      </c>
      <c r="W673" s="867">
        <v>1247.7563200000006</v>
      </c>
      <c r="X673" s="868">
        <v>-0.16369508484446027</v>
      </c>
    </row>
    <row r="674" spans="16:24">
      <c r="P674" s="867">
        <v>39.647597254004602</v>
      </c>
      <c r="Q674" s="868">
        <v>0.665589287775597</v>
      </c>
      <c r="R674" s="867">
        <v>2911.6979405034285</v>
      </c>
      <c r="S674" s="867">
        <v>9851.0434782608554</v>
      </c>
      <c r="T674" s="867">
        <v>646.01041691533078</v>
      </c>
      <c r="U674" s="867">
        <v>17.959669924485098</v>
      </c>
      <c r="V674" s="877">
        <v>483.63832986472403</v>
      </c>
      <c r="W674" s="867">
        <v>3020.0889828698755</v>
      </c>
      <c r="X674" s="868">
        <v>0.43213378403670599</v>
      </c>
    </row>
    <row r="675" spans="16:24">
      <c r="P675" s="867">
        <v>34.927107061503399</v>
      </c>
      <c r="Q675" s="868">
        <v>0.776886454053349</v>
      </c>
      <c r="R675" s="867">
        <v>2399.6970387243728</v>
      </c>
      <c r="S675" s="867">
        <v>7234.9339407744847</v>
      </c>
      <c r="T675" s="867">
        <v>473.17305876993146</v>
      </c>
      <c r="U675" s="867">
        <v>14.939529321184505</v>
      </c>
      <c r="V675" s="877">
        <v>355.07079835460098</v>
      </c>
      <c r="W675" s="867">
        <v>3020.0889828698755</v>
      </c>
      <c r="X675" s="868">
        <v>0.43213378403670599</v>
      </c>
    </row>
    <row r="676" spans="16:24">
      <c r="P676" s="867">
        <v>53.440639269406397</v>
      </c>
      <c r="Q676" s="868">
        <v>0.52988422266843305</v>
      </c>
      <c r="R676" s="867">
        <v>2444.1872146118767</v>
      </c>
      <c r="S676" s="867">
        <v>10400.324200913261</v>
      </c>
      <c r="T676" s="867">
        <v>675.19904474885743</v>
      </c>
      <c r="U676" s="867">
        <v>14.633522447488611</v>
      </c>
      <c r="V676" s="877">
        <v>453.59129565427702</v>
      </c>
      <c r="W676" s="867">
        <v>3020.0889828698755</v>
      </c>
      <c r="X676" s="868">
        <v>0.43213378403670599</v>
      </c>
    </row>
    <row r="677" spans="16:24">
      <c r="P677" s="867">
        <v>32.325740318906597</v>
      </c>
      <c r="Q677" s="868">
        <v>0.73243605101825104</v>
      </c>
      <c r="R677" s="867">
        <v>1526.8906605922539</v>
      </c>
      <c r="S677" s="867">
        <v>6476.2710706150292</v>
      </c>
      <c r="T677" s="867">
        <v>426.29866059225481</v>
      </c>
      <c r="U677" s="867">
        <v>10.416601113895208</v>
      </c>
      <c r="V677" s="877">
        <v>338.02094477583199</v>
      </c>
      <c r="W677" s="867">
        <v>3020.0889828698755</v>
      </c>
      <c r="X677" s="868">
        <v>0.43213378403670599</v>
      </c>
    </row>
    <row r="678" spans="16:24">
      <c r="P678" s="867">
        <v>38.810933940774497</v>
      </c>
      <c r="Q678" s="868">
        <v>0.67443361896936305</v>
      </c>
      <c r="R678" s="867">
        <v>1516.9589977220937</v>
      </c>
      <c r="S678" s="867">
        <v>7706.608200455571</v>
      </c>
      <c r="T678" s="867">
        <v>506.33416801822256</v>
      </c>
      <c r="U678" s="867">
        <v>11.692858824601352</v>
      </c>
      <c r="V678" s="877">
        <v>351.939832912714</v>
      </c>
      <c r="W678" s="867">
        <v>3020.0889828698755</v>
      </c>
      <c r="X678" s="868">
        <v>0.43213378403670599</v>
      </c>
    </row>
    <row r="679" spans="16:24">
      <c r="P679" s="867">
        <v>35.070938215102998</v>
      </c>
      <c r="Q679" s="868">
        <v>0.714080647266084</v>
      </c>
      <c r="R679" s="867">
        <v>1613.1098398169322</v>
      </c>
      <c r="S679" s="867">
        <v>5915.5354691075463</v>
      </c>
      <c r="T679" s="867">
        <v>393.08234890617808</v>
      </c>
      <c r="U679" s="867">
        <v>11.439980867276876</v>
      </c>
      <c r="V679" s="877">
        <v>300.68419225146198</v>
      </c>
      <c r="W679" s="867">
        <v>3020.0889828698755</v>
      </c>
      <c r="X679" s="868">
        <v>0.43213378403670599</v>
      </c>
    </row>
    <row r="680" spans="16:24">
      <c r="P680" s="867">
        <v>40.3872437357631</v>
      </c>
      <c r="Q680" s="868">
        <v>0.64991539763113404</v>
      </c>
      <c r="R680" s="867">
        <v>1293.6127562642357</v>
      </c>
      <c r="S680" s="867">
        <v>8200.8223234624074</v>
      </c>
      <c r="T680" s="867">
        <v>537.08977494305191</v>
      </c>
      <c r="U680" s="867">
        <v>8.2442859248291498</v>
      </c>
      <c r="V680" s="877">
        <v>361.71615377939798</v>
      </c>
      <c r="W680" s="867">
        <v>3020.0889828698755</v>
      </c>
      <c r="X680" s="868">
        <v>0.43213378403670599</v>
      </c>
    </row>
    <row r="681" spans="16:24">
      <c r="P681" s="867">
        <v>29.175799086758001</v>
      </c>
      <c r="Q681" s="868">
        <v>0.81899992174661596</v>
      </c>
      <c r="R681" s="867">
        <v>2085.0913242009137</v>
      </c>
      <c r="S681" s="867">
        <v>6421.3698630137005</v>
      </c>
      <c r="T681" s="867">
        <v>417.65370228310513</v>
      </c>
      <c r="U681" s="867">
        <v>11.785702714611876</v>
      </c>
      <c r="V681" s="877">
        <v>355.993717752723</v>
      </c>
      <c r="W681" s="867">
        <v>3020.0889828698755</v>
      </c>
      <c r="X681" s="868">
        <v>0.43213378403670599</v>
      </c>
    </row>
    <row r="682" spans="16:24">
      <c r="P682" s="867">
        <v>33.552511415525103</v>
      </c>
      <c r="Q682" s="868">
        <v>0.77293140990745801</v>
      </c>
      <c r="R682" s="867">
        <v>1246.4566210045657</v>
      </c>
      <c r="S682" s="867">
        <v>6831.0821917808189</v>
      </c>
      <c r="T682" s="867">
        <v>448.10879086757978</v>
      </c>
      <c r="U682" s="867">
        <v>9.1175800502283071</v>
      </c>
      <c r="V682" s="877">
        <v>311.46760718373099</v>
      </c>
      <c r="W682" s="867">
        <v>3020.0889828698755</v>
      </c>
      <c r="X682" s="868">
        <v>0.43213378403670599</v>
      </c>
    </row>
    <row r="683" spans="16:24">
      <c r="P683" s="867">
        <v>10.695652173913</v>
      </c>
      <c r="Q683" s="868">
        <v>0.37804878048780499</v>
      </c>
      <c r="R683" s="867">
        <v>3803.6808510638275</v>
      </c>
      <c r="S683" s="867">
        <v>397.95744680851038</v>
      </c>
      <c r="T683" s="867">
        <v>26.30558297872339</v>
      </c>
      <c r="U683" s="867">
        <v>34.488057829787216</v>
      </c>
      <c r="V683" s="877">
        <v>944.87583732057396</v>
      </c>
      <c r="W683" s="867">
        <v>3020.0889828698755</v>
      </c>
      <c r="X683" s="868">
        <v>0.43213378403670599</v>
      </c>
    </row>
    <row r="684" spans="16:24">
      <c r="P684" s="867">
        <v>34.094470046083003</v>
      </c>
      <c r="Q684" s="868">
        <v>0.48847739406636498</v>
      </c>
      <c r="R684" s="867">
        <v>1411.1728110599072</v>
      </c>
      <c r="S684" s="867">
        <v>9970.3410138248801</v>
      </c>
      <c r="T684" s="867">
        <v>647.00969032258035</v>
      </c>
      <c r="U684" s="867">
        <v>11.720858792626725</v>
      </c>
      <c r="V684" s="877">
        <v>678.05433176535701</v>
      </c>
      <c r="W684" s="867">
        <v>4093.0935254259307</v>
      </c>
      <c r="X684" s="868">
        <v>0.53031786568771722</v>
      </c>
    </row>
    <row r="685" spans="16:24">
      <c r="P685" s="867">
        <v>29.704128440367001</v>
      </c>
      <c r="Q685" s="868">
        <v>0.57956914523975001</v>
      </c>
      <c r="R685" s="867">
        <v>1425.7499999999995</v>
      </c>
      <c r="S685" s="867">
        <v>15086.594036697243</v>
      </c>
      <c r="T685" s="867">
        <v>980.12395779816484</v>
      </c>
      <c r="U685" s="867">
        <v>10.762112449541281</v>
      </c>
      <c r="V685" s="877">
        <v>959.15005462296801</v>
      </c>
      <c r="W685" s="867">
        <v>4093.0935254259307</v>
      </c>
      <c r="X685" s="868">
        <v>0.53031786568771722</v>
      </c>
    </row>
    <row r="686" spans="16:24">
      <c r="P686" s="867">
        <v>37.405034324942797</v>
      </c>
      <c r="Q686" s="868">
        <v>0.55389697785390901</v>
      </c>
      <c r="R686" s="867">
        <v>1374.5240274599541</v>
      </c>
      <c r="S686" s="867">
        <v>14516.908466819223</v>
      </c>
      <c r="T686" s="867">
        <v>942.56038627002295</v>
      </c>
      <c r="U686" s="867">
        <v>10.035332146453088</v>
      </c>
      <c r="V686" s="877">
        <v>767.01502871659</v>
      </c>
      <c r="W686" s="867">
        <v>4093.0935254259307</v>
      </c>
      <c r="X686" s="868">
        <v>0.53031786568771722</v>
      </c>
    </row>
    <row r="687" spans="16:24">
      <c r="P687" s="867">
        <v>46.785388127853899</v>
      </c>
      <c r="Q687" s="868">
        <v>0.54577396056997896</v>
      </c>
      <c r="R687" s="867">
        <v>1457.2077625570762</v>
      </c>
      <c r="S687" s="867">
        <v>11356.027397260263</v>
      </c>
      <c r="T687" s="867">
        <v>739.35015159817272</v>
      </c>
      <c r="U687" s="867">
        <v>12.273556157534234</v>
      </c>
      <c r="V687" s="877">
        <v>501.80628129470699</v>
      </c>
      <c r="W687" s="867">
        <v>4093.0935254259307</v>
      </c>
      <c r="X687" s="868">
        <v>0.53031786568771722</v>
      </c>
    </row>
    <row r="688" spans="16:24">
      <c r="P688" s="867">
        <v>42.665898617511502</v>
      </c>
      <c r="Q688" s="868">
        <v>0.46103580493600499</v>
      </c>
      <c r="R688" s="867">
        <v>1437.4216589861751</v>
      </c>
      <c r="S688" s="867">
        <v>6819.7235023041476</v>
      </c>
      <c r="T688" s="867">
        <v>449.03295483870966</v>
      </c>
      <c r="U688" s="867">
        <v>10.231919458525345</v>
      </c>
      <c r="V688" s="877">
        <v>419.772550076139</v>
      </c>
      <c r="W688" s="867">
        <v>4093.0935254259307</v>
      </c>
      <c r="X688" s="868">
        <v>0.53031786568771722</v>
      </c>
    </row>
    <row r="689" spans="16:24">
      <c r="P689" s="867">
        <v>38.399538106235603</v>
      </c>
      <c r="Q689" s="868">
        <v>0.558429061165574</v>
      </c>
      <c r="R689" s="867">
        <v>1419.122401847575</v>
      </c>
      <c r="S689" s="867">
        <v>6595.5866050808318</v>
      </c>
      <c r="T689" s="867">
        <v>435.15876027713625</v>
      </c>
      <c r="U689" s="867">
        <v>11.746106648960739</v>
      </c>
      <c r="V689" s="877">
        <v>373.76098222940198</v>
      </c>
      <c r="W689" s="867">
        <v>4093.0935254259307</v>
      </c>
      <c r="X689" s="868">
        <v>0.53031786568771722</v>
      </c>
    </row>
    <row r="690" spans="16:24">
      <c r="P690" s="867">
        <v>52.075514874141902</v>
      </c>
      <c r="Q690" s="868">
        <v>0.50235092499011302</v>
      </c>
      <c r="R690" s="867">
        <v>2138.0091533180744</v>
      </c>
      <c r="S690" s="867">
        <v>16429.935926773429</v>
      </c>
      <c r="T690" s="867">
        <v>1066.2715881006848</v>
      </c>
      <c r="U690" s="867">
        <v>16.478725828375257</v>
      </c>
      <c r="V690" s="877">
        <v>709.77863715885201</v>
      </c>
      <c r="W690" s="867">
        <v>4093.0935254259307</v>
      </c>
      <c r="X690" s="868">
        <v>0.53031786568771722</v>
      </c>
    </row>
    <row r="691" spans="16:24">
      <c r="P691" s="867">
        <v>4.6315789473684204</v>
      </c>
      <c r="Q691" s="868">
        <v>0.13636363636363599</v>
      </c>
      <c r="R691" s="867">
        <v>2507.1379310344805</v>
      </c>
      <c r="S691" s="867">
        <v>172.89655172413777</v>
      </c>
      <c r="T691" s="867">
        <v>11.295972413793091</v>
      </c>
      <c r="U691" s="867">
        <v>23.310330724137909</v>
      </c>
      <c r="V691" s="877">
        <v>3700.9876190476198</v>
      </c>
      <c r="W691" s="867">
        <v>4093.0935254259307</v>
      </c>
      <c r="X691" s="868">
        <v>0.53031786568771722</v>
      </c>
    </row>
    <row r="692" spans="16:24">
      <c r="P692" s="867">
        <v>55.428571428571402</v>
      </c>
      <c r="Q692" s="868">
        <v>3.09278350515464E-2</v>
      </c>
      <c r="R692" s="867">
        <v>908.25000000000011</v>
      </c>
      <c r="S692" s="867">
        <v>165.55000000000004</v>
      </c>
      <c r="T692" s="867">
        <v>12.328400000000002</v>
      </c>
      <c r="U692" s="867">
        <v>12.470731500000001</v>
      </c>
      <c r="V692" s="877">
        <v>596.49777777777797</v>
      </c>
      <c r="W692" s="867" t="str">
        <v/>
      </c>
      <c r="X692" s="868" t="str">
        <v/>
      </c>
    </row>
    <row r="693" spans="16:24">
      <c r="P693" s="867">
        <v>58.620137299771201</v>
      </c>
      <c r="Q693" s="868">
        <v>0.54955693484795298</v>
      </c>
      <c r="R693" s="867">
        <v>3270.9244851258536</v>
      </c>
      <c r="S693" s="867">
        <v>3910.9839816933581</v>
      </c>
      <c r="T693" s="867">
        <v>256.90950846681886</v>
      </c>
      <c r="U693" s="867">
        <v>29.829159702517121</v>
      </c>
      <c r="V693" s="877">
        <v>221.523575792016</v>
      </c>
      <c r="W693" s="867">
        <v>1989.5052980311282</v>
      </c>
      <c r="X693" s="868">
        <v>7.8677085534022417E-2</v>
      </c>
    </row>
    <row r="694" spans="16:24">
      <c r="P694" s="867">
        <v>49.583524027460001</v>
      </c>
      <c r="Q694" s="868">
        <v>0.67371238693003499</v>
      </c>
      <c r="R694" s="867">
        <v>3204.3135011441682</v>
      </c>
      <c r="S694" s="867">
        <v>3994.6292906178533</v>
      </c>
      <c r="T694" s="867">
        <v>264.70553885583553</v>
      </c>
      <c r="U694" s="867">
        <v>24.716737322654488</v>
      </c>
      <c r="V694" s="877">
        <v>215.68606589943801</v>
      </c>
      <c r="W694" s="867">
        <v>1989.5052980311282</v>
      </c>
      <c r="X694" s="868">
        <v>7.8677085534022417E-2</v>
      </c>
    </row>
    <row r="695" spans="16:24">
      <c r="P695" s="867">
        <v>40.5812356979405</v>
      </c>
      <c r="Q695" s="868">
        <v>0.66279463178076004</v>
      </c>
      <c r="R695" s="867">
        <v>3047.5034324942822</v>
      </c>
      <c r="S695" s="867">
        <v>3399.1350114416505</v>
      </c>
      <c r="T695" s="867">
        <v>222.98323478260889</v>
      </c>
      <c r="U695" s="867">
        <v>22.088193729977139</v>
      </c>
      <c r="V695" s="877">
        <v>239.47317764165399</v>
      </c>
      <c r="W695" s="867">
        <v>1989.5052980311282</v>
      </c>
      <c r="X695" s="868">
        <v>7.8677085534022417E-2</v>
      </c>
    </row>
    <row r="696" spans="16:24">
      <c r="P696" s="867">
        <v>47.240274599542303</v>
      </c>
      <c r="Q696" s="868">
        <v>0.68281340825421399</v>
      </c>
      <c r="R696" s="867">
        <v>3305.0411899313472</v>
      </c>
      <c r="S696" s="867">
        <v>3308.1052631578918</v>
      </c>
      <c r="T696" s="867">
        <v>227.40840091533161</v>
      </c>
      <c r="U696" s="867">
        <v>26.878268544622401</v>
      </c>
      <c r="V696" s="877">
        <v>209.65710839954599</v>
      </c>
      <c r="W696" s="867">
        <v>1989.5052980311282</v>
      </c>
      <c r="X696" s="868">
        <v>7.8677085534022417E-2</v>
      </c>
    </row>
    <row r="697" spans="16:24">
      <c r="P697" s="867">
        <v>53.752860411899299</v>
      </c>
      <c r="Q697" s="868">
        <v>0.639165602383993</v>
      </c>
      <c r="R697" s="867">
        <v>3324.5194508009113</v>
      </c>
      <c r="S697" s="867">
        <v>3217.4164759725363</v>
      </c>
      <c r="T697" s="867">
        <v>212.94802196796314</v>
      </c>
      <c r="U697" s="867">
        <v>31.612297054919875</v>
      </c>
      <c r="V697" s="877">
        <v>190.02206540562099</v>
      </c>
      <c r="W697" s="867">
        <v>1989.5052980311282</v>
      </c>
      <c r="X697" s="868">
        <v>7.8677085534022417E-2</v>
      </c>
    </row>
    <row r="698" spans="16:24">
      <c r="P698" s="867">
        <v>51.153318077803199</v>
      </c>
      <c r="Q698" s="868">
        <v>0.54299006889147405</v>
      </c>
      <c r="R698" s="867">
        <v>2404.3409610984036</v>
      </c>
      <c r="S698" s="867">
        <v>2819.6842105263222</v>
      </c>
      <c r="T698" s="867">
        <v>182.81014187643063</v>
      </c>
      <c r="U698" s="867">
        <v>16.459445844393631</v>
      </c>
      <c r="V698" s="877">
        <v>184.792091777888</v>
      </c>
      <c r="W698" s="867">
        <v>1989.5052980311282</v>
      </c>
      <c r="X698" s="868">
        <v>7.8677085534022417E-2</v>
      </c>
    </row>
    <row r="699" spans="16:24">
      <c r="P699" s="867"/>
      <c r="Q699" s="868"/>
      <c r="R699" s="867"/>
      <c r="S699" s="867"/>
      <c r="T699" s="867"/>
      <c r="U699" s="867"/>
      <c r="V699" s="877"/>
      <c r="W699" s="867"/>
      <c r="X699" s="868"/>
    </row>
    <row r="700" spans="16:24">
      <c r="P700" s="867"/>
      <c r="Q700" s="868"/>
      <c r="R700" s="867"/>
      <c r="S700" s="867"/>
      <c r="T700" s="867"/>
      <c r="U700" s="867"/>
      <c r="V700" s="877"/>
      <c r="W700" s="867"/>
      <c r="X700" s="868"/>
    </row>
    <row r="701" spans="16:24">
      <c r="P701" s="867"/>
      <c r="Q701" s="868"/>
      <c r="R701" s="867"/>
      <c r="S701" s="867"/>
      <c r="T701" s="867"/>
      <c r="U701" s="867"/>
      <c r="V701" s="877"/>
      <c r="W701" s="867"/>
      <c r="X701" s="868"/>
    </row>
    <row r="702" spans="16:24">
      <c r="P702" s="867"/>
      <c r="Q702" s="868"/>
      <c r="R702" s="867"/>
      <c r="S702" s="867"/>
      <c r="T702" s="867"/>
      <c r="U702" s="867"/>
      <c r="V702" s="877"/>
      <c r="W702" s="867"/>
      <c r="X702" s="868"/>
    </row>
    <row r="703" spans="16:24">
      <c r="P703" s="867"/>
      <c r="Q703" s="868"/>
      <c r="R703" s="867"/>
      <c r="S703" s="867"/>
      <c r="T703" s="867"/>
      <c r="U703" s="867"/>
      <c r="V703" s="877"/>
      <c r="W703" s="867"/>
      <c r="X703" s="868"/>
    </row>
    <row r="704" spans="16:24">
      <c r="P704" s="867"/>
      <c r="Q704" s="868"/>
      <c r="R704" s="867"/>
      <c r="S704" s="867"/>
      <c r="T704" s="867"/>
      <c r="U704" s="867"/>
      <c r="V704" s="877"/>
      <c r="W704" s="867"/>
      <c r="X704" s="868"/>
    </row>
    <row r="705" spans="16:24">
      <c r="P705" s="867"/>
      <c r="Q705" s="868"/>
      <c r="R705" s="867"/>
      <c r="S705" s="867"/>
      <c r="T705" s="867"/>
      <c r="U705" s="867"/>
      <c r="V705" s="877"/>
      <c r="W705" s="867"/>
      <c r="X705" s="868"/>
    </row>
    <row r="706" spans="16:24">
      <c r="P706" s="867"/>
      <c r="Q706" s="868"/>
      <c r="R706" s="867"/>
      <c r="S706" s="867"/>
      <c r="T706" s="867"/>
      <c r="U706" s="867"/>
      <c r="V706" s="877"/>
      <c r="W706" s="867"/>
      <c r="X706" s="868"/>
    </row>
    <row r="707" spans="16:24">
      <c r="P707" s="867"/>
      <c r="Q707" s="868"/>
      <c r="R707" s="867"/>
      <c r="S707" s="867"/>
      <c r="T707" s="867"/>
      <c r="U707" s="867"/>
      <c r="V707" s="877"/>
      <c r="W707" s="867"/>
      <c r="X707" s="868"/>
    </row>
    <row r="708" spans="16:24">
      <c r="P708" s="867"/>
      <c r="Q708" s="868"/>
      <c r="R708" s="867"/>
      <c r="S708" s="867"/>
      <c r="T708" s="867"/>
      <c r="U708" s="867"/>
      <c r="V708" s="877"/>
      <c r="W708" s="867"/>
      <c r="X708" s="868"/>
    </row>
    <row r="709" spans="16:24">
      <c r="P709" s="867"/>
      <c r="Q709" s="868"/>
      <c r="R709" s="867"/>
      <c r="S709" s="867"/>
      <c r="T709" s="867"/>
      <c r="U709" s="867"/>
      <c r="V709" s="877"/>
      <c r="W709" s="867"/>
      <c r="X709" s="868"/>
    </row>
    <row r="710" spans="16:24">
      <c r="P710" s="867"/>
      <c r="Q710" s="868"/>
      <c r="R710" s="867"/>
      <c r="S710" s="867"/>
      <c r="T710" s="867"/>
      <c r="U710" s="867"/>
      <c r="V710" s="877"/>
      <c r="W710" s="867"/>
      <c r="X710" s="868"/>
    </row>
    <row r="711" spans="16:24">
      <c r="P711" s="867"/>
      <c r="Q711" s="868"/>
      <c r="R711" s="867"/>
      <c r="S711" s="867"/>
      <c r="T711" s="867"/>
      <c r="U711" s="867"/>
      <c r="V711" s="877"/>
      <c r="W711" s="867"/>
      <c r="X711" s="868"/>
    </row>
    <row r="712" spans="16:24">
      <c r="P712" s="867"/>
      <c r="Q712" s="868"/>
      <c r="R712" s="867"/>
      <c r="S712" s="867"/>
      <c r="T712" s="867"/>
      <c r="U712" s="867"/>
      <c r="V712" s="877"/>
      <c r="W712" s="867"/>
      <c r="X712" s="868"/>
    </row>
    <row r="713" spans="16:24">
      <c r="P713" s="867"/>
      <c r="Q713" s="868"/>
      <c r="R713" s="867"/>
      <c r="S713" s="867"/>
      <c r="T713" s="867"/>
      <c r="U713" s="867"/>
      <c r="V713" s="877"/>
      <c r="W713" s="867"/>
      <c r="X713" s="868"/>
    </row>
    <row r="714" spans="16:24">
      <c r="P714" s="867"/>
      <c r="Q714" s="868"/>
      <c r="R714" s="867"/>
      <c r="S714" s="867"/>
      <c r="T714" s="867"/>
      <c r="U714" s="867"/>
      <c r="V714" s="877"/>
      <c r="W714" s="867"/>
      <c r="X714" s="868"/>
    </row>
    <row r="715" spans="16:24">
      <c r="P715" s="867"/>
      <c r="Q715" s="868"/>
      <c r="R715" s="867"/>
      <c r="S715" s="867"/>
      <c r="T715" s="867"/>
      <c r="U715" s="867"/>
      <c r="V715" s="877"/>
      <c r="W715" s="867"/>
      <c r="X715" s="868"/>
    </row>
    <row r="716" spans="16:24">
      <c r="P716" s="867"/>
      <c r="Q716" s="868"/>
      <c r="R716" s="867"/>
      <c r="S716" s="867"/>
      <c r="T716" s="867"/>
      <c r="U716" s="867"/>
      <c r="V716" s="877"/>
      <c r="W716" s="867"/>
      <c r="X716" s="868"/>
    </row>
    <row r="717" spans="16:24">
      <c r="P717" s="867"/>
      <c r="Q717" s="868"/>
      <c r="R717" s="867"/>
      <c r="S717" s="867"/>
      <c r="T717" s="867"/>
      <c r="U717" s="867"/>
      <c r="V717" s="877"/>
      <c r="W717" s="867"/>
      <c r="X717" s="868"/>
    </row>
    <row r="718" spans="16:24">
      <c r="P718" s="867"/>
      <c r="Q718" s="868"/>
      <c r="R718" s="867"/>
      <c r="S718" s="867"/>
      <c r="T718" s="867"/>
      <c r="U718" s="867"/>
      <c r="V718" s="877"/>
      <c r="W718" s="867"/>
      <c r="X718" s="868"/>
    </row>
    <row r="719" spans="16:24">
      <c r="P719" s="867"/>
      <c r="Q719" s="868"/>
      <c r="R719" s="867"/>
      <c r="S719" s="867"/>
      <c r="T719" s="867"/>
      <c r="U719" s="867"/>
      <c r="V719" s="877"/>
      <c r="W719" s="867"/>
      <c r="X719" s="868"/>
    </row>
    <row r="720" spans="16:24">
      <c r="P720" s="867"/>
      <c r="Q720" s="868"/>
      <c r="R720" s="867"/>
      <c r="S720" s="867"/>
      <c r="T720" s="867"/>
      <c r="U720" s="867"/>
      <c r="V720" s="877"/>
      <c r="W720" s="867"/>
      <c r="X720" s="868"/>
    </row>
    <row r="721" spans="16:24">
      <c r="P721" s="867"/>
      <c r="Q721" s="868"/>
      <c r="R721" s="867"/>
      <c r="S721" s="867"/>
      <c r="T721" s="867"/>
      <c r="U721" s="867"/>
      <c r="V721" s="877"/>
      <c r="W721" s="867"/>
      <c r="X721" s="868"/>
    </row>
    <row r="722" spans="16:24">
      <c r="P722" s="867"/>
      <c r="Q722" s="868"/>
      <c r="R722" s="867"/>
      <c r="S722" s="867"/>
      <c r="T722" s="867"/>
      <c r="U722" s="867"/>
      <c r="V722" s="877"/>
      <c r="W722" s="867"/>
      <c r="X722" s="868"/>
    </row>
    <row r="723" spans="16:24">
      <c r="P723" s="867"/>
      <c r="Q723" s="868"/>
      <c r="R723" s="867"/>
      <c r="S723" s="867"/>
      <c r="T723" s="867"/>
      <c r="U723" s="867"/>
      <c r="V723" s="877"/>
      <c r="W723" s="867"/>
      <c r="X723" s="868"/>
    </row>
    <row r="724" spans="16:24">
      <c r="P724" s="867"/>
      <c r="Q724" s="868"/>
      <c r="R724" s="867"/>
      <c r="S724" s="867"/>
      <c r="T724" s="867"/>
      <c r="U724" s="867"/>
      <c r="V724" s="877"/>
      <c r="W724" s="867"/>
      <c r="X724" s="868"/>
    </row>
    <row r="725" spans="16:24">
      <c r="P725" s="867"/>
      <c r="Q725" s="868"/>
      <c r="R725" s="867"/>
      <c r="S725" s="867"/>
      <c r="T725" s="867"/>
      <c r="U725" s="867"/>
      <c r="V725" s="877"/>
      <c r="W725" s="867"/>
      <c r="X725" s="868"/>
    </row>
    <row r="726" spans="16:24">
      <c r="P726" s="867"/>
      <c r="Q726" s="868"/>
      <c r="R726" s="867"/>
      <c r="S726" s="867"/>
      <c r="T726" s="867"/>
      <c r="U726" s="867"/>
      <c r="V726" s="877"/>
      <c r="W726" s="867"/>
      <c r="X726" s="868"/>
    </row>
    <row r="727" spans="16:24">
      <c r="P727" s="867"/>
      <c r="Q727" s="868"/>
      <c r="R727" s="867"/>
      <c r="S727" s="867"/>
      <c r="T727" s="867"/>
      <c r="U727" s="867"/>
      <c r="V727" s="877"/>
      <c r="W727" s="867"/>
      <c r="X727" s="868"/>
    </row>
    <row r="728" spans="16:24">
      <c r="P728" s="867"/>
      <c r="Q728" s="868"/>
      <c r="R728" s="867"/>
      <c r="S728" s="867"/>
      <c r="T728" s="867"/>
      <c r="U728" s="867"/>
      <c r="V728" s="877"/>
      <c r="W728" s="867"/>
      <c r="X728" s="868"/>
    </row>
    <row r="729" spans="16:24">
      <c r="P729" s="867"/>
      <c r="Q729" s="868"/>
      <c r="R729" s="867"/>
      <c r="S729" s="867"/>
      <c r="T729" s="867"/>
      <c r="U729" s="867"/>
      <c r="V729" s="877"/>
      <c r="W729" s="867"/>
      <c r="X729" s="868"/>
    </row>
    <row r="730" spans="16:24">
      <c r="P730" s="867"/>
      <c r="Q730" s="868"/>
      <c r="R730" s="867"/>
      <c r="S730" s="867"/>
      <c r="T730" s="867"/>
      <c r="U730" s="867"/>
      <c r="V730" s="877"/>
      <c r="W730" s="867"/>
      <c r="X730" s="868"/>
    </row>
    <row r="731" spans="16:24">
      <c r="P731" s="867"/>
      <c r="Q731" s="868"/>
      <c r="R731" s="867"/>
      <c r="S731" s="867"/>
      <c r="T731" s="867"/>
      <c r="U731" s="867"/>
      <c r="V731" s="877"/>
      <c r="W731" s="867"/>
      <c r="X731" s="868"/>
    </row>
    <row r="732" spans="16:24">
      <c r="P732" s="867"/>
      <c r="Q732" s="868"/>
      <c r="R732" s="867"/>
      <c r="S732" s="867"/>
      <c r="T732" s="867"/>
      <c r="U732" s="867"/>
      <c r="V732" s="877"/>
      <c r="W732" s="867"/>
      <c r="X732" s="868"/>
    </row>
    <row r="733" spans="16:24">
      <c r="P733" s="867"/>
      <c r="Q733" s="868"/>
      <c r="R733" s="867"/>
      <c r="S733" s="867"/>
      <c r="T733" s="867"/>
      <c r="U733" s="867"/>
      <c r="V733" s="877"/>
      <c r="W733" s="867"/>
      <c r="X733" s="868"/>
    </row>
    <row r="734" spans="16:24">
      <c r="P734" s="867"/>
      <c r="Q734" s="868"/>
      <c r="R734" s="867"/>
      <c r="S734" s="867"/>
      <c r="T734" s="867"/>
      <c r="U734" s="867"/>
      <c r="V734" s="877"/>
      <c r="W734" s="867"/>
      <c r="X734" s="868"/>
    </row>
    <row r="735" spans="16:24">
      <c r="P735" s="867"/>
      <c r="Q735" s="868"/>
      <c r="R735" s="867"/>
      <c r="S735" s="867"/>
      <c r="T735" s="867"/>
      <c r="U735" s="867"/>
      <c r="V735" s="877"/>
      <c r="W735" s="867"/>
      <c r="X735" s="868"/>
    </row>
    <row r="736" spans="16:24">
      <c r="P736" s="867"/>
      <c r="Q736" s="868"/>
      <c r="R736" s="867"/>
      <c r="S736" s="867"/>
      <c r="T736" s="867"/>
      <c r="U736" s="867"/>
      <c r="V736" s="877"/>
      <c r="W736" s="867"/>
      <c r="X736" s="868"/>
    </row>
    <row r="737" spans="16:24">
      <c r="P737" s="867"/>
      <c r="Q737" s="868"/>
      <c r="R737" s="867"/>
      <c r="S737" s="867"/>
      <c r="T737" s="867"/>
      <c r="U737" s="867"/>
      <c r="V737" s="877"/>
      <c r="W737" s="867"/>
      <c r="X737" s="868"/>
    </row>
    <row r="738" spans="16:24">
      <c r="P738" s="867"/>
      <c r="Q738" s="868"/>
      <c r="R738" s="867"/>
      <c r="S738" s="867"/>
      <c r="T738" s="867"/>
      <c r="U738" s="867"/>
      <c r="V738" s="877"/>
      <c r="W738" s="867"/>
      <c r="X738" s="868"/>
    </row>
    <row r="739" spans="16:24">
      <c r="P739" s="867"/>
      <c r="Q739" s="868"/>
      <c r="R739" s="867"/>
      <c r="S739" s="867"/>
      <c r="T739" s="867"/>
      <c r="U739" s="867"/>
      <c r="V739" s="877"/>
      <c r="W739" s="867"/>
      <c r="X739" s="868"/>
    </row>
    <row r="740" spans="16:24">
      <c r="P740" s="867"/>
      <c r="Q740" s="868"/>
      <c r="R740" s="867"/>
      <c r="S740" s="867"/>
      <c r="T740" s="867"/>
      <c r="U740" s="867"/>
      <c r="V740" s="877"/>
      <c r="W740" s="867"/>
      <c r="X740" s="868"/>
    </row>
    <row r="741" spans="16:24">
      <c r="P741" s="867"/>
      <c r="Q741" s="868"/>
      <c r="R741" s="867"/>
      <c r="S741" s="867"/>
      <c r="T741" s="867"/>
      <c r="U741" s="867"/>
      <c r="V741" s="877"/>
      <c r="W741" s="867"/>
      <c r="X741" s="868"/>
    </row>
    <row r="742" spans="16:24">
      <c r="P742" s="867"/>
      <c r="Q742" s="868"/>
      <c r="R742" s="867"/>
      <c r="S742" s="867"/>
      <c r="T742" s="867"/>
      <c r="U742" s="867"/>
      <c r="V742" s="877"/>
      <c r="W742" s="867"/>
      <c r="X742" s="868"/>
    </row>
    <row r="743" spans="16:24">
      <c r="P743" s="867"/>
      <c r="Q743" s="868"/>
      <c r="R743" s="867"/>
      <c r="S743" s="867"/>
      <c r="T743" s="867"/>
      <c r="U743" s="867"/>
      <c r="V743" s="877"/>
      <c r="W743" s="867"/>
      <c r="X743" s="868"/>
    </row>
    <row r="744" spans="16:24">
      <c r="P744" s="867"/>
      <c r="Q744" s="868"/>
      <c r="R744" s="867"/>
      <c r="S744" s="867"/>
      <c r="T744" s="867"/>
      <c r="U744" s="867"/>
      <c r="V744" s="877"/>
      <c r="W744" s="867"/>
      <c r="X744" s="868"/>
    </row>
    <row r="745" spans="16:24">
      <c r="P745" s="867"/>
      <c r="Q745" s="868"/>
      <c r="R745" s="867"/>
      <c r="S745" s="867"/>
      <c r="T745" s="867"/>
      <c r="U745" s="867"/>
      <c r="V745" s="877"/>
      <c r="W745" s="867"/>
      <c r="X745" s="868"/>
    </row>
    <row r="746" spans="16:24">
      <c r="P746" s="867"/>
      <c r="Q746" s="868"/>
      <c r="R746" s="867"/>
      <c r="S746" s="867"/>
      <c r="T746" s="867"/>
      <c r="U746" s="867"/>
      <c r="V746" s="877"/>
      <c r="W746" s="867"/>
      <c r="X746" s="868"/>
    </row>
    <row r="747" spans="16:24">
      <c r="P747" s="867"/>
      <c r="Q747" s="868"/>
      <c r="R747" s="867"/>
      <c r="S747" s="867"/>
      <c r="T747" s="867"/>
      <c r="U747" s="867"/>
      <c r="V747" s="877"/>
      <c r="W747" s="867"/>
      <c r="X747" s="868"/>
    </row>
    <row r="748" spans="16:24">
      <c r="P748" s="867"/>
      <c r="Q748" s="868"/>
      <c r="R748" s="867"/>
      <c r="S748" s="867"/>
      <c r="T748" s="867"/>
      <c r="U748" s="867"/>
      <c r="V748" s="877"/>
      <c r="W748" s="867"/>
      <c r="X748" s="868"/>
    </row>
    <row r="749" spans="16:24">
      <c r="P749" s="867"/>
      <c r="Q749" s="868"/>
      <c r="R749" s="867"/>
      <c r="S749" s="867"/>
      <c r="T749" s="867"/>
      <c r="U749" s="867"/>
      <c r="V749" s="877"/>
      <c r="W749" s="867"/>
      <c r="X749" s="868"/>
    </row>
    <row r="750" spans="16:24">
      <c r="P750" s="867"/>
      <c r="Q750" s="868"/>
      <c r="R750" s="867"/>
      <c r="S750" s="867"/>
      <c r="T750" s="867"/>
      <c r="U750" s="867"/>
      <c r="V750" s="877"/>
      <c r="W750" s="867"/>
      <c r="X750" s="868"/>
    </row>
    <row r="751" spans="16:24">
      <c r="P751" s="867"/>
      <c r="Q751" s="868"/>
      <c r="R751" s="867"/>
      <c r="S751" s="867"/>
      <c r="T751" s="867"/>
      <c r="U751" s="867"/>
      <c r="V751" s="877"/>
      <c r="W751" s="867"/>
      <c r="X751" s="868"/>
    </row>
    <row r="752" spans="16:24">
      <c r="P752" s="867"/>
      <c r="Q752" s="868"/>
      <c r="R752" s="867"/>
      <c r="S752" s="867"/>
      <c r="T752" s="867"/>
      <c r="U752" s="867"/>
      <c r="V752" s="877"/>
      <c r="W752" s="867"/>
      <c r="X752" s="868"/>
    </row>
    <row r="753" spans="16:24">
      <c r="P753" s="867"/>
      <c r="Q753" s="868"/>
      <c r="R753" s="867"/>
      <c r="S753" s="867"/>
      <c r="T753" s="867"/>
      <c r="U753" s="867"/>
      <c r="V753" s="877"/>
      <c r="W753" s="867"/>
      <c r="X753" s="868"/>
    </row>
    <row r="754" spans="16:24">
      <c r="P754" s="867"/>
      <c r="Q754" s="868"/>
      <c r="R754" s="867"/>
      <c r="S754" s="867"/>
      <c r="T754" s="867"/>
      <c r="U754" s="867"/>
      <c r="V754" s="877"/>
      <c r="W754" s="867"/>
      <c r="X754" s="868"/>
    </row>
    <row r="755" spans="16:24">
      <c r="P755" s="867"/>
      <c r="Q755" s="868"/>
      <c r="R755" s="867"/>
      <c r="S755" s="867"/>
      <c r="T755" s="867"/>
      <c r="U755" s="867"/>
      <c r="V755" s="877"/>
      <c r="W755" s="867"/>
      <c r="X755" s="868"/>
    </row>
    <row r="756" spans="16:24">
      <c r="P756" s="867"/>
      <c r="Q756" s="868"/>
      <c r="R756" s="867"/>
      <c r="S756" s="867"/>
      <c r="T756" s="867"/>
      <c r="U756" s="867"/>
      <c r="V756" s="877"/>
      <c r="W756" s="867"/>
      <c r="X756" s="868"/>
    </row>
    <row r="757" spans="16:24">
      <c r="P757" s="867"/>
      <c r="Q757" s="868"/>
      <c r="R757" s="867"/>
      <c r="S757" s="867"/>
      <c r="T757" s="867"/>
      <c r="U757" s="867"/>
      <c r="V757" s="877"/>
      <c r="W757" s="867"/>
      <c r="X757" s="868"/>
    </row>
    <row r="758" spans="16:24">
      <c r="P758" s="867"/>
      <c r="Q758" s="868"/>
      <c r="R758" s="867"/>
      <c r="S758" s="867"/>
      <c r="T758" s="867"/>
      <c r="U758" s="867"/>
      <c r="V758" s="877"/>
      <c r="W758" s="867"/>
      <c r="X758" s="868"/>
    </row>
    <row r="759" spans="16:24">
      <c r="P759" s="867"/>
      <c r="Q759" s="868"/>
      <c r="R759" s="867"/>
      <c r="S759" s="867"/>
      <c r="T759" s="867"/>
      <c r="U759" s="867"/>
      <c r="V759" s="877"/>
      <c r="W759" s="867"/>
      <c r="X759" s="868"/>
    </row>
    <row r="760" spans="16:24">
      <c r="P760" s="867"/>
      <c r="Q760" s="868"/>
      <c r="R760" s="867"/>
      <c r="S760" s="867"/>
      <c r="T760" s="867"/>
      <c r="U760" s="867"/>
      <c r="V760" s="877"/>
      <c r="W760" s="867"/>
      <c r="X760" s="868"/>
    </row>
    <row r="761" spans="16:24">
      <c r="P761" s="867"/>
      <c r="Q761" s="868"/>
      <c r="R761" s="867"/>
      <c r="S761" s="867"/>
      <c r="T761" s="867"/>
      <c r="U761" s="867"/>
      <c r="V761" s="877"/>
      <c r="W761" s="867"/>
      <c r="X761" s="868"/>
    </row>
    <row r="762" spans="16:24">
      <c r="P762" s="867"/>
      <c r="Q762" s="868"/>
      <c r="R762" s="867"/>
      <c r="S762" s="867"/>
      <c r="T762" s="867"/>
      <c r="U762" s="867"/>
      <c r="V762" s="877"/>
      <c r="W762" s="867"/>
      <c r="X762" s="868"/>
    </row>
    <row r="763" spans="16:24">
      <c r="P763" s="867"/>
      <c r="Q763" s="868"/>
      <c r="R763" s="867"/>
      <c r="S763" s="867"/>
      <c r="T763" s="867"/>
      <c r="U763" s="867"/>
      <c r="V763" s="877"/>
      <c r="W763" s="867"/>
      <c r="X763" s="868"/>
    </row>
    <row r="764" spans="16:24">
      <c r="P764" s="867"/>
      <c r="Q764" s="868"/>
      <c r="R764" s="867"/>
      <c r="S764" s="867"/>
      <c r="T764" s="867"/>
      <c r="U764" s="867"/>
      <c r="V764" s="877"/>
      <c r="W764" s="867"/>
      <c r="X764" s="868"/>
    </row>
    <row r="765" spans="16:24">
      <c r="P765" s="867"/>
      <c r="Q765" s="868"/>
      <c r="R765" s="867"/>
      <c r="S765" s="867"/>
      <c r="T765" s="867"/>
      <c r="U765" s="867"/>
      <c r="V765" s="877"/>
      <c r="W765" s="867"/>
      <c r="X765" s="868"/>
    </row>
    <row r="766" spans="16:24">
      <c r="P766" s="867"/>
      <c r="Q766" s="868"/>
      <c r="R766" s="867"/>
      <c r="S766" s="867"/>
      <c r="T766" s="867"/>
      <c r="U766" s="867"/>
      <c r="V766" s="877"/>
      <c r="W766" s="867"/>
      <c r="X766" s="868"/>
    </row>
    <row r="767" spans="16:24">
      <c r="P767" s="867"/>
      <c r="Q767" s="868"/>
      <c r="R767" s="867"/>
      <c r="S767" s="867"/>
      <c r="T767" s="867"/>
      <c r="U767" s="867"/>
      <c r="V767" s="877"/>
      <c r="W767" s="867"/>
      <c r="X767" s="868"/>
    </row>
    <row r="768" spans="16:24">
      <c r="P768" s="867"/>
      <c r="Q768" s="868"/>
      <c r="R768" s="867"/>
      <c r="S768" s="867"/>
      <c r="T768" s="867"/>
      <c r="U768" s="867"/>
      <c r="V768" s="877"/>
      <c r="W768" s="867"/>
      <c r="X768" s="868"/>
    </row>
    <row r="769" spans="16:24">
      <c r="P769" s="867"/>
      <c r="Q769" s="868"/>
      <c r="R769" s="867"/>
      <c r="S769" s="867"/>
      <c r="T769" s="867"/>
      <c r="U769" s="867"/>
      <c r="V769" s="877"/>
      <c r="W769" s="867"/>
      <c r="X769" s="868"/>
    </row>
    <row r="770" spans="16:24">
      <c r="P770" s="867"/>
      <c r="Q770" s="868"/>
      <c r="R770" s="867"/>
      <c r="S770" s="867"/>
      <c r="T770" s="867"/>
      <c r="U770" s="867"/>
      <c r="V770" s="877"/>
      <c r="W770" s="867"/>
      <c r="X770" s="868"/>
    </row>
    <row r="771" spans="16:24">
      <c r="P771" s="867"/>
      <c r="Q771" s="868"/>
      <c r="R771" s="867"/>
      <c r="S771" s="867"/>
      <c r="T771" s="867"/>
      <c r="U771" s="867"/>
      <c r="V771" s="877"/>
      <c r="W771" s="867"/>
      <c r="X771" s="868"/>
    </row>
    <row r="772" spans="16:24">
      <c r="P772" s="867"/>
      <c r="Q772" s="868"/>
      <c r="R772" s="867"/>
      <c r="S772" s="867"/>
      <c r="T772" s="867"/>
      <c r="U772" s="867"/>
      <c r="V772" s="877"/>
      <c r="W772" s="867"/>
      <c r="X772" s="868"/>
    </row>
    <row r="773" spans="16:24">
      <c r="P773" s="867"/>
      <c r="Q773" s="868"/>
      <c r="R773" s="867"/>
      <c r="S773" s="867"/>
      <c r="T773" s="867"/>
      <c r="U773" s="867"/>
      <c r="V773" s="877"/>
      <c r="W773" s="867"/>
      <c r="X773" s="868"/>
    </row>
    <row r="774" spans="16:24">
      <c r="P774" s="867"/>
      <c r="Q774" s="868"/>
      <c r="R774" s="867"/>
      <c r="S774" s="867"/>
      <c r="T774" s="867"/>
      <c r="U774" s="867"/>
      <c r="V774" s="877"/>
      <c r="W774" s="867"/>
      <c r="X774" s="868"/>
    </row>
    <row r="775" spans="16:24">
      <c r="P775" s="867"/>
      <c r="Q775" s="868"/>
      <c r="R775" s="867"/>
      <c r="S775" s="867"/>
      <c r="T775" s="867"/>
      <c r="U775" s="867"/>
      <c r="V775" s="877"/>
      <c r="W775" s="867"/>
      <c r="X775" s="868"/>
    </row>
    <row r="776" spans="16:24">
      <c r="P776" s="867"/>
      <c r="Q776" s="868"/>
      <c r="R776" s="867"/>
      <c r="S776" s="867"/>
      <c r="T776" s="867"/>
      <c r="U776" s="867"/>
      <c r="V776" s="877"/>
      <c r="W776" s="867"/>
      <c r="X776" s="868"/>
    </row>
    <row r="777" spans="16:24">
      <c r="P777" s="867"/>
      <c r="Q777" s="868"/>
      <c r="R777" s="867"/>
      <c r="S777" s="867"/>
      <c r="T777" s="867"/>
      <c r="U777" s="867"/>
      <c r="V777" s="877"/>
      <c r="W777" s="867"/>
      <c r="X777" s="868"/>
    </row>
    <row r="778" spans="16:24">
      <c r="P778" s="867"/>
      <c r="Q778" s="868"/>
      <c r="R778" s="867"/>
      <c r="S778" s="867"/>
      <c r="T778" s="867"/>
      <c r="U778" s="867"/>
      <c r="V778" s="877"/>
      <c r="W778" s="867"/>
      <c r="X778" s="868"/>
    </row>
    <row r="779" spans="16:24">
      <c r="P779" s="867"/>
      <c r="Q779" s="868"/>
      <c r="R779" s="867"/>
      <c r="S779" s="867"/>
      <c r="T779" s="867"/>
      <c r="U779" s="867"/>
      <c r="V779" s="877"/>
      <c r="W779" s="867"/>
      <c r="X779" s="868"/>
    </row>
    <row r="780" spans="16:24">
      <c r="P780" s="867"/>
      <c r="Q780" s="868"/>
      <c r="R780" s="867"/>
      <c r="S780" s="867"/>
      <c r="T780" s="867"/>
      <c r="U780" s="867"/>
      <c r="V780" s="877"/>
      <c r="W780" s="867"/>
      <c r="X780" s="868"/>
    </row>
    <row r="781" spans="16:24">
      <c r="P781" s="867"/>
      <c r="Q781" s="868"/>
      <c r="R781" s="867"/>
      <c r="S781" s="867"/>
      <c r="T781" s="867"/>
      <c r="U781" s="867"/>
      <c r="V781" s="877"/>
      <c r="W781" s="867"/>
      <c r="X781" s="868"/>
    </row>
    <row r="782" spans="16:24">
      <c r="P782" s="867"/>
      <c r="Q782" s="868"/>
      <c r="R782" s="867"/>
      <c r="S782" s="867"/>
      <c r="T782" s="867"/>
      <c r="U782" s="867"/>
      <c r="V782" s="877"/>
      <c r="W782" s="867"/>
      <c r="X782" s="868"/>
    </row>
    <row r="783" spans="16:24">
      <c r="P783" s="867"/>
      <c r="Q783" s="868"/>
      <c r="R783" s="867"/>
      <c r="S783" s="867"/>
      <c r="T783" s="867"/>
      <c r="U783" s="867"/>
      <c r="V783" s="877"/>
      <c r="W783" s="867"/>
      <c r="X783" s="868"/>
    </row>
    <row r="784" spans="16:24">
      <c r="P784" s="867"/>
      <c r="Q784" s="868"/>
      <c r="R784" s="867"/>
      <c r="S784" s="867"/>
      <c r="T784" s="867"/>
      <c r="U784" s="867"/>
      <c r="V784" s="877"/>
      <c r="W784" s="867"/>
      <c r="X784" s="868"/>
    </row>
    <row r="785" spans="16:24">
      <c r="P785" s="867"/>
      <c r="Q785" s="868"/>
      <c r="R785" s="867"/>
      <c r="S785" s="867"/>
      <c r="T785" s="867"/>
      <c r="U785" s="867"/>
      <c r="V785" s="877"/>
      <c r="W785" s="867"/>
      <c r="X785" s="868"/>
    </row>
    <row r="786" spans="16:24">
      <c r="P786" s="867"/>
      <c r="Q786" s="868"/>
      <c r="R786" s="867"/>
      <c r="S786" s="867"/>
      <c r="T786" s="867"/>
      <c r="U786" s="867"/>
      <c r="V786" s="877"/>
      <c r="W786" s="867"/>
      <c r="X786" s="868"/>
    </row>
    <row r="787" spans="16:24">
      <c r="P787" s="867"/>
      <c r="Q787" s="868"/>
      <c r="R787" s="867"/>
      <c r="S787" s="867"/>
      <c r="T787" s="867"/>
      <c r="U787" s="867"/>
      <c r="V787" s="877"/>
      <c r="W787" s="867"/>
      <c r="X787" s="868"/>
    </row>
    <row r="788" spans="16:24">
      <c r="P788" s="867"/>
      <c r="Q788" s="868"/>
      <c r="R788" s="867"/>
      <c r="S788" s="867"/>
      <c r="T788" s="867"/>
      <c r="U788" s="867"/>
      <c r="V788" s="877"/>
      <c r="W788" s="867"/>
      <c r="X788" s="868"/>
    </row>
    <row r="789" spans="16:24">
      <c r="P789" s="867"/>
      <c r="Q789" s="868"/>
      <c r="R789" s="867"/>
      <c r="S789" s="867"/>
      <c r="T789" s="867"/>
      <c r="U789" s="867"/>
      <c r="V789" s="877"/>
      <c r="W789" s="867"/>
      <c r="X789" s="868"/>
    </row>
    <row r="790" spans="16:24">
      <c r="P790" s="867"/>
      <c r="Q790" s="868"/>
      <c r="R790" s="867"/>
      <c r="S790" s="867"/>
      <c r="T790" s="867"/>
      <c r="U790" s="867"/>
      <c r="V790" s="877"/>
      <c r="W790" s="867"/>
      <c r="X790" s="868"/>
    </row>
    <row r="791" spans="16:24">
      <c r="P791" s="867"/>
      <c r="Q791" s="868"/>
      <c r="R791" s="867"/>
      <c r="S791" s="867"/>
      <c r="T791" s="867"/>
      <c r="U791" s="867"/>
      <c r="V791" s="877"/>
      <c r="W791" s="867"/>
      <c r="X791" s="868"/>
    </row>
    <row r="792" spans="16:24">
      <c r="P792" s="867"/>
      <c r="Q792" s="868"/>
      <c r="R792" s="867"/>
      <c r="S792" s="867"/>
      <c r="T792" s="867"/>
      <c r="U792" s="867"/>
      <c r="V792" s="877"/>
      <c r="W792" s="867"/>
      <c r="X792" s="868"/>
    </row>
    <row r="793" spans="16:24">
      <c r="P793" s="867"/>
      <c r="Q793" s="868"/>
      <c r="R793" s="867"/>
      <c r="S793" s="867"/>
      <c r="T793" s="867"/>
      <c r="U793" s="867"/>
      <c r="V793" s="877"/>
      <c r="W793" s="867"/>
      <c r="X793" s="868"/>
    </row>
    <row r="794" spans="16:24">
      <c r="P794" s="867"/>
      <c r="Q794" s="868"/>
      <c r="R794" s="867"/>
      <c r="S794" s="867"/>
      <c r="T794" s="867"/>
      <c r="U794" s="867"/>
      <c r="V794" s="877"/>
      <c r="W794" s="867"/>
      <c r="X794" s="868"/>
    </row>
    <row r="795" spans="16:24">
      <c r="P795" s="867"/>
      <c r="Q795" s="868"/>
      <c r="R795" s="867"/>
      <c r="S795" s="867"/>
      <c r="T795" s="867"/>
      <c r="U795" s="867"/>
      <c r="V795" s="877"/>
      <c r="W795" s="867"/>
      <c r="X795" s="868"/>
    </row>
    <row r="796" spans="16:24">
      <c r="P796" s="867"/>
      <c r="Q796" s="868"/>
      <c r="R796" s="867"/>
      <c r="S796" s="867"/>
      <c r="T796" s="867"/>
      <c r="U796" s="867"/>
      <c r="V796" s="877"/>
      <c r="W796" s="867"/>
      <c r="X796" s="868"/>
    </row>
    <row r="797" spans="16:24">
      <c r="P797" s="867"/>
      <c r="Q797" s="868"/>
      <c r="R797" s="867"/>
      <c r="S797" s="867"/>
      <c r="T797" s="867"/>
      <c r="U797" s="867"/>
      <c r="V797" s="877"/>
      <c r="W797" s="867"/>
      <c r="X797" s="868"/>
    </row>
    <row r="798" spans="16:24">
      <c r="P798" s="867"/>
      <c r="Q798" s="868"/>
      <c r="R798" s="867"/>
      <c r="S798" s="867"/>
      <c r="T798" s="867"/>
      <c r="U798" s="867"/>
      <c r="V798" s="877"/>
      <c r="W798" s="867"/>
      <c r="X798" s="868"/>
    </row>
    <row r="799" spans="16:24">
      <c r="P799" s="867"/>
      <c r="Q799" s="868"/>
      <c r="R799" s="867"/>
      <c r="S799" s="867"/>
      <c r="T799" s="867"/>
      <c r="U799" s="867"/>
      <c r="V799" s="877"/>
      <c r="W799" s="867"/>
      <c r="X799" s="868"/>
    </row>
    <row r="800" spans="16:24">
      <c r="P800" s="867"/>
      <c r="Q800" s="868"/>
      <c r="R800" s="867"/>
      <c r="S800" s="867"/>
      <c r="T800" s="867"/>
      <c r="U800" s="867"/>
      <c r="V800" s="877"/>
      <c r="W800" s="867"/>
      <c r="X800" s="868"/>
    </row>
  </sheetData>
  <mergeCells count="3">
    <mergeCell ref="C30:J30"/>
    <mergeCell ref="C31:J31"/>
    <mergeCell ref="C32:J32"/>
  </mergeCells>
  <conditionalFormatting sqref="B19:H25">
    <cfRule type="colorScale" priority="1">
      <colorScale>
        <cfvo type="num" val="-1"/>
        <cfvo type="num" val="0"/>
        <cfvo type="num" val="1"/>
        <color rgb="FF5B9BD5"/>
        <color rgb="FFFFFFFF"/>
        <color rgb="FFF8696B"/>
      </colorScale>
    </cfRule>
  </conditionalFormatting>
  <conditionalFormatting sqref="I8:J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{E13B9FC2-06C8-4514-B3C0-5D607FF20BBF}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3B9FC2-06C8-4514-B3C0-5D607FF20BBF}">
            <x14:dataBar minLength="0" maxLength="100" negativeBarColorSameAsPositive="1" axisPosition="none">
              <x14:cfvo type="min"/>
              <x14:cfvo type="max"/>
            </x14:dataBar>
          </x14:cfRule>
          <xm:sqref>I8:J14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10B39-212A-457C-AC83-D6C759DD8197}">
  <sheetPr>
    <tabColor rgb="FF00B050"/>
  </sheetPr>
  <dimension ref="A1:M141"/>
  <sheetViews>
    <sheetView zoomScale="70" zoomScaleNormal="70" workbookViewId="0">
      <selection activeCell="D10" sqref="D10"/>
    </sheetView>
  </sheetViews>
  <sheetFormatPr defaultRowHeight="15"/>
  <cols>
    <col min="1" max="1" width="21" customWidth="1"/>
    <col min="2" max="2" width="32.5703125" customWidth="1"/>
    <col min="3" max="3" width="49.85546875" customWidth="1"/>
    <col min="4" max="4" width="44.85546875" customWidth="1"/>
    <col min="5" max="5" width="28.85546875" bestFit="1" customWidth="1"/>
    <col min="6" max="8" width="20" customWidth="1"/>
    <col min="9" max="9" width="20.28515625" bestFit="1" customWidth="1"/>
    <col min="10" max="10" width="24.85546875" bestFit="1" customWidth="1"/>
    <col min="11" max="11" width="16.42578125" bestFit="1" customWidth="1"/>
    <col min="12" max="12" width="17.7109375" bestFit="1" customWidth="1"/>
    <col min="13" max="14" width="14.85546875" bestFit="1" customWidth="1"/>
    <col min="15" max="15" width="16.42578125" bestFit="1" customWidth="1"/>
  </cols>
  <sheetData>
    <row r="1" spans="1:11" ht="18.75">
      <c r="A1" s="8" t="s">
        <v>1197</v>
      </c>
    </row>
    <row r="2" spans="1:11" ht="27.95" customHeight="1">
      <c r="A2" s="967" t="s">
        <v>1198</v>
      </c>
      <c r="B2" s="968"/>
      <c r="C2" s="968"/>
      <c r="D2" s="968"/>
      <c r="E2" s="968"/>
      <c r="F2" s="968"/>
      <c r="G2" s="968"/>
      <c r="H2" s="968"/>
      <c r="I2" s="968"/>
    </row>
    <row r="3" spans="1:11">
      <c r="I3" s="848" t="s">
        <v>1595</v>
      </c>
      <c r="J3" s="849" t="s">
        <v>1596</v>
      </c>
    </row>
    <row r="4" spans="1:11" ht="15.75">
      <c r="A4" s="11" t="s">
        <v>1199</v>
      </c>
      <c r="J4" s="856" t="s">
        <v>1601</v>
      </c>
      <c r="K4" s="855">
        <v>3.52</v>
      </c>
    </row>
    <row r="5" spans="1:11" ht="15.75">
      <c r="A5" s="11"/>
      <c r="J5" s="856"/>
      <c r="K5" s="855"/>
    </row>
    <row r="6" spans="1:11" ht="15.75">
      <c r="A6" s="11"/>
      <c r="J6" s="856"/>
      <c r="K6" s="855"/>
    </row>
    <row r="7" spans="1:11" ht="15.75">
      <c r="A7" s="11"/>
      <c r="J7" s="856"/>
      <c r="K7" s="855"/>
    </row>
    <row r="8" spans="1:11" ht="15.75">
      <c r="A8" s="11" t="s">
        <v>1687</v>
      </c>
      <c r="J8" s="856"/>
      <c r="K8" s="855"/>
    </row>
    <row r="9" spans="1:11">
      <c r="A9" s="850" t="s">
        <v>23</v>
      </c>
      <c r="B9" s="851" t="s">
        <v>87</v>
      </c>
      <c r="C9" s="851" t="s">
        <v>78</v>
      </c>
      <c r="D9" s="849" t="s">
        <v>1579</v>
      </c>
      <c r="E9" s="849" t="s">
        <v>1580</v>
      </c>
      <c r="F9" s="849" t="s">
        <v>1581</v>
      </c>
      <c r="G9" s="849" t="s">
        <v>1582</v>
      </c>
      <c r="H9" s="851" t="s">
        <v>85</v>
      </c>
      <c r="I9" s="851" t="s">
        <v>1200</v>
      </c>
      <c r="J9" s="851" t="s">
        <v>1251</v>
      </c>
      <c r="K9" s="851" t="s">
        <v>1597</v>
      </c>
    </row>
    <row r="10" spans="1:11">
      <c r="A10" s="730" t="s">
        <v>92</v>
      </c>
      <c r="B10" s="18" cm="1">
        <f t="array" ref="B10">IFERROR(_xlfn.AGGREGATE(16,6,1/(('Analisis recomendación Rutas v2'!$A$8:$A$796=$A10)*('Analisis recomendación Rutas v2'!$F$8:$F$796="Sí"))*'Analisis recomendación Rutas v2'!G$8:G$796,0.75),"")</f>
        <v>63.050408855205418</v>
      </c>
      <c r="C10" s="27" cm="1">
        <f t="array" ref="C10">IFERROR(_xlfn.AGGREGATE(16,6,1/(('Analisis recomendación Rutas v2'!$A$8:$A$796=$A10)*('Analisis recomendación Rutas v2'!$F$8:$F$796="Sí"))*'Analisis recomendación Rutas v2'!H$8:H$796,0.75),"")</f>
        <v>0.7559478312655763</v>
      </c>
      <c r="D10" s="28">
        <f>'Estandares mix'!G21</f>
        <v>8669.9017789381578</v>
      </c>
      <c r="E10" s="28">
        <f>'Estandares mix'!H21</f>
        <v>5044.6852146972496</v>
      </c>
      <c r="F10" s="18">
        <f>'Estandares mix'!F21</f>
        <v>289.67016183701008</v>
      </c>
      <c r="G10" s="18">
        <f>'Estandares mix'!E21</f>
        <v>62.008805464858781</v>
      </c>
      <c r="H10" s="28" cm="1">
        <f t="array" ref="H10">IFERROR(_xlfn.AGGREGATE(16,6,1/(('Analisis recomendación Rutas v2'!$A$8:$A$796=$A10)*('Analisis recomendación Rutas v2'!$F$8:$F$796="Sí"))*'Analisis recomendación Rutas v2'!M$8:M$796,0.75),"")</f>
        <v>389.240053528842</v>
      </c>
      <c r="I10" s="157">
        <f>COUNTIFS('Analisis recomendación Rutas v2'!$A$8:$A$796,$A10,'Analisis recomendación Rutas v2'!$F$8:$F$796,"Sí")</f>
        <v>126</v>
      </c>
      <c r="J10" s="853" cm="1">
        <f t="array" ref="J10">IFERROR(_xlfn.AGGREGATE(16,6,1/(('Analisis recomendación Rutas v2'!$A$8:$A$796=$A10)*('Analisis recomendación Rutas v2'!$F$8:$F$796="Sí"))*'Analisis recomendación Rutas v2'!$AP$8:$AP$796,0.75),"")</f>
        <v>0.56799995069377007</v>
      </c>
      <c r="K10" s="711">
        <f>IFERROR(F10/$K$4,"")</f>
        <v>82.292659612786949</v>
      </c>
    </row>
    <row r="11" spans="1:11">
      <c r="A11" s="730" t="s">
        <v>93</v>
      </c>
      <c r="B11" s="18" cm="1">
        <f t="array" ref="B11">IFERROR(_xlfn.AGGREGATE(16,6,1/(('Analisis recomendación Rutas v2'!$A$8:$A$796=$A11)*('Analisis recomendación Rutas v2'!$F$8:$F$796="Sí"))*'Analisis recomendación Rutas v2'!G$8:G$796,0.75),"")</f>
        <v>74.190366972477051</v>
      </c>
      <c r="C11" s="27" cm="1">
        <f t="array" ref="C11">IFERROR(_xlfn.AGGREGATE(16,6,1/(('Analisis recomendación Rutas v2'!$A$8:$A$796=$A11)*('Analisis recomendación Rutas v2'!$F$8:$F$796="Sí"))*'Analisis recomendación Rutas v2'!H$8:H$796,0.75),"")</f>
        <v>0.71677657005077755</v>
      </c>
      <c r="D11" s="28">
        <f>'Estandares mix'!G22</f>
        <v>8078.0649031870889</v>
      </c>
      <c r="E11" s="28">
        <f>'Estandares mix'!H22</f>
        <v>6135.5196253845252</v>
      </c>
      <c r="F11" s="18">
        <f>'Estandares mix'!F22</f>
        <v>391.46975988267326</v>
      </c>
      <c r="G11" s="18">
        <f>'Estandares mix'!E22</f>
        <v>62.012604350205265</v>
      </c>
      <c r="H11" s="28" cm="1">
        <f t="array" ref="H11">IFERROR(_xlfn.AGGREGATE(16,6,1/(('Analisis recomendación Rutas v2'!$A$8:$A$796=$A11)*('Analisis recomendación Rutas v2'!$F$8:$F$796="Sí"))*'Analisis recomendación Rutas v2'!M$8:M$796,0.75),"")</f>
        <v>258.90325471200998</v>
      </c>
      <c r="I11" s="157">
        <f>COUNTIFS('Analisis recomendación Rutas v2'!$A$8:$A$796,$A11,'Analisis recomendación Rutas v2'!$F$8:$F$796,"Sí")</f>
        <v>99</v>
      </c>
      <c r="J11" s="853" cm="1">
        <f t="array" ref="J11">IFERROR(_xlfn.AGGREGATE(16,6,1/(('Analisis recomendación Rutas v2'!$A$8:$A$796=$A11)*('Analisis recomendación Rutas v2'!$F$8:$F$796="Sí"))*'Analisis recomendación Rutas v2'!$AP$8:$AP$796,0.75),"")</f>
        <v>0.62197445417222763</v>
      </c>
      <c r="K11" s="711">
        <f>IFERROR(F11/$K$4,"")</f>
        <v>111.21299996666853</v>
      </c>
    </row>
    <row r="12" spans="1:11">
      <c r="A12" s="730" t="s">
        <v>94</v>
      </c>
      <c r="B12" s="18" cm="1">
        <f t="array" ref="B12">IFERROR(_xlfn.AGGREGATE(16,6,1/(('Analisis recomendación Rutas v2'!$A$8:$A$796=$A12)*('Analisis recomendación Rutas v2'!$F$8:$F$796="Sí"))*'Analisis recomendación Rutas v2'!G$8:G$796,0.75),"")</f>
        <v>89.41621024641401</v>
      </c>
      <c r="C12" s="27" cm="1">
        <f t="array" ref="C12">IFERROR(_xlfn.AGGREGATE(16,6,1/(('Analisis recomendación Rutas v2'!$A$8:$A$796=$A12)*('Analisis recomendación Rutas v2'!$F$8:$F$796="Sí"))*'Analisis recomendación Rutas v2'!H$8:H$796,0.75),"")</f>
        <v>0.54706375874806301</v>
      </c>
      <c r="D12" s="28">
        <f>'Estandares mix'!G23</f>
        <v>9718.1998036526566</v>
      </c>
      <c r="E12" s="28">
        <f>'Estandares mix'!H23</f>
        <v>6989.6417694114152</v>
      </c>
      <c r="F12" s="18">
        <f>'Estandares mix'!F23</f>
        <v>448.56500130127716</v>
      </c>
      <c r="G12" s="18">
        <f>'Estandares mix'!E23</f>
        <v>72.678686103965873</v>
      </c>
      <c r="H12" s="28" cm="1">
        <f t="array" ref="H12">IFERROR(_xlfn.AGGREGATE(16,6,1/(('Analisis recomendación Rutas v2'!$A$8:$A$796=$A12)*('Analisis recomendación Rutas v2'!$F$8:$F$796="Sí"))*'Analisis recomendación Rutas v2'!M$8:M$796,0.75),"")</f>
        <v>378.97014028925349</v>
      </c>
      <c r="I12" s="157">
        <f>COUNTIFS('Analisis recomendación Rutas v2'!$A$8:$A$796,$A12,'Analisis recomendación Rutas v2'!$F$8:$F$796,"Sí")</f>
        <v>435</v>
      </c>
      <c r="J12" s="853" cm="1">
        <f t="array" ref="J12">IFERROR(_xlfn.AGGREGATE(16,6,1/(('Analisis recomendación Rutas v2'!$A$8:$A$796=$A12)*('Analisis recomendación Rutas v2'!$F$8:$F$796="Sí"))*'Analisis recomendación Rutas v2'!$AP$8:$AP$796,0.75),"")</f>
        <v>0.64320274048480885</v>
      </c>
      <c r="K12" s="711">
        <f>IFERROR(F12/$K$4,"")</f>
        <v>127.43323900604464</v>
      </c>
    </row>
    <row r="13" spans="1:11">
      <c r="A13" s="33" t="s">
        <v>95</v>
      </c>
      <c r="B13" s="22" cm="1">
        <f t="array" ref="B13">IFERROR(_xlfn.AGGREGATE(16,6,1/(('Analisis recomendación Rutas v2'!$A$8:$A$796=$A13)*('Analisis recomendación Rutas v2'!$F$8:$F$796="Sí"))*'Analisis recomendación Rutas v2'!G$8:G$796,0.75),"")</f>
        <v>48.509140196922353</v>
      </c>
      <c r="C13" s="30" cm="1">
        <f t="array" ref="C13">IFERROR(_xlfn.AGGREGATE(16,6,1/(('Analisis recomendación Rutas v2'!$A$8:$A$796=$A13)*('Analisis recomendación Rutas v2'!$F$8:$F$796="Sí"))*'Analisis recomendación Rutas v2'!H$8:H$796,0.75),"")</f>
        <v>0.66965083735281605</v>
      </c>
      <c r="D13" s="28">
        <f>'Estandares mix'!G24</f>
        <v>5635.5826179897513</v>
      </c>
      <c r="E13" s="28">
        <f>'Estandares mix'!H24</f>
        <v>4165.1619029603735</v>
      </c>
      <c r="F13" s="18">
        <f>'Estandares mix'!F24</f>
        <v>261.39735723916948</v>
      </c>
      <c r="G13" s="18">
        <f>'Estandares mix'!E24</f>
        <v>44.501113484795987</v>
      </c>
      <c r="H13" s="31" cm="1">
        <f t="array" ref="H13">IFERROR(_xlfn.AGGREGATE(16,6,1/(('Analisis recomendación Rutas v2'!$A$8:$A$796=$A13)*('Analisis recomendación Rutas v2'!$F$8:$F$796="Sí"))*'Analisis recomendación Rutas v2'!M$8:M$796,0.75),"")</f>
        <v>492.72230557971551</v>
      </c>
      <c r="I13" s="158">
        <f>COUNTIFS('Analisis recomendación Rutas v2'!$A$8:$A$796,$A13,'Analisis recomendación Rutas v2'!$F$8:$F$796,"Sí")</f>
        <v>31</v>
      </c>
      <c r="J13" s="853" cm="1">
        <f t="array" ref="J13">IFERROR(_xlfn.AGGREGATE(16,6,1/(('Analisis recomendación Rutas v2'!$A$8:$A$796=$A13)*('Analisis recomendación Rutas v2'!$F$8:$F$796="Sí"))*'Analisis recomendación Rutas v2'!$AP$8:$AP$796,0.75),"")</f>
        <v>0.50577184527496444</v>
      </c>
      <c r="K13" s="711">
        <f>IFERROR(F13/$K$4,"")</f>
        <v>74.260612852036786</v>
      </c>
    </row>
    <row r="14" spans="1:11" ht="15.75">
      <c r="A14" s="11"/>
      <c r="J14" s="856"/>
      <c r="K14" s="855"/>
    </row>
    <row r="15" spans="1:11" ht="15.75">
      <c r="A15" s="11" t="s">
        <v>1180</v>
      </c>
      <c r="J15" s="856"/>
      <c r="K15" s="855"/>
    </row>
    <row r="16" spans="1:11" ht="18" customHeight="1">
      <c r="A16" s="850" t="s">
        <v>23</v>
      </c>
      <c r="B16" s="851" t="s">
        <v>87</v>
      </c>
      <c r="C16" s="851" t="s">
        <v>78</v>
      </c>
      <c r="D16" s="849" t="s">
        <v>1579</v>
      </c>
      <c r="E16" s="849" t="s">
        <v>1580</v>
      </c>
      <c r="F16" s="849" t="s">
        <v>1581</v>
      </c>
      <c r="G16" s="849" t="s">
        <v>1582</v>
      </c>
      <c r="H16" s="851" t="s">
        <v>85</v>
      </c>
      <c r="I16" s="851" t="s">
        <v>1200</v>
      </c>
      <c r="J16" s="851" t="s">
        <v>1251</v>
      </c>
      <c r="K16" s="851" t="s">
        <v>1597</v>
      </c>
    </row>
    <row r="17" spans="1:13">
      <c r="A17" s="730" t="s">
        <v>92</v>
      </c>
      <c r="B17" s="18" cm="1">
        <f t="array" ref="B17">IFERROR(_xlfn.AGGREGATE(16,6,1/(('Analisis recomendación Rutas v2'!$A$8:$A$796=$A17)*('Analisis recomendación Rutas v2'!$F$8:$F$796="Sí"))*'Analisis recomendación Rutas v2'!G$8:G$796,0.75),"")</f>
        <v>63.050408855205418</v>
      </c>
      <c r="C17" s="27" cm="1">
        <f t="array" ref="C17">IFERROR(_xlfn.AGGREGATE(16,6,1/(('Analisis recomendación Rutas v2'!$A$8:$A$796=$A17)*('Analisis recomendación Rutas v2'!$F$8:$F$796="Sí"))*'Analisis recomendación Rutas v2'!H$8:H$796,0.75),"")</f>
        <v>0.7559478312655763</v>
      </c>
      <c r="D17" s="28">
        <f>'Estandares mix'!N21</f>
        <v>9054.9839880720647</v>
      </c>
      <c r="E17" s="28">
        <f>'Estandares mix'!O21</f>
        <v>4535.7799207004691</v>
      </c>
      <c r="F17" s="18">
        <f>'Estandares mix'!M21</f>
        <v>260.44838236060593</v>
      </c>
      <c r="G17" s="18">
        <f>'Estandares mix'!L21</f>
        <v>64.772152317133859</v>
      </c>
      <c r="H17" s="28" cm="1">
        <f t="array" ref="H17">IFERROR(_xlfn.AGGREGATE(16,6,1/(('Analisis recomendación Rutas v2'!$A$8:$A$796=$A17)*('Analisis recomendación Rutas v2'!$F$8:$F$796="Sí"))*'Analisis recomendación Rutas v2'!M$8:M$796,0.75),"")</f>
        <v>389.240053528842</v>
      </c>
      <c r="I17" s="157">
        <f>COUNTIFS('Analisis recomendación Rutas v2'!$A$8:$A$796,$A17,'Analisis recomendación Rutas v2'!$F$8:$F$796,"Sí")</f>
        <v>126</v>
      </c>
      <c r="J17" s="853" cm="1">
        <f t="array" ref="J17">IFERROR(_xlfn.AGGREGATE(16,6,1/(('Analisis recomendación Rutas v2'!$A$8:$A$796=$A17)*('Analisis recomendación Rutas v2'!$F$8:$F$796="Sí"))*'Analisis recomendación Rutas v2'!$AP$8:$AP$796,0.75),"")</f>
        <v>0.56799995069377007</v>
      </c>
      <c r="K17" s="711">
        <f>IFERROR(F17/$K$4,"")</f>
        <v>73.991017716081231</v>
      </c>
    </row>
    <row r="18" spans="1:13">
      <c r="A18" s="730" t="s">
        <v>93</v>
      </c>
      <c r="B18" s="18" cm="1">
        <f t="array" ref="B18">IFERROR(_xlfn.AGGREGATE(16,6,1/(('Analisis recomendación Rutas v2'!$A$8:$A$796=$A18)*('Analisis recomendación Rutas v2'!$F$8:$F$796="Sí"))*'Analisis recomendación Rutas v2'!G$8:G$796,0.75),"")</f>
        <v>74.190366972477051</v>
      </c>
      <c r="C18" s="27" cm="1">
        <f t="array" ref="C18">IFERROR(_xlfn.AGGREGATE(16,6,1/(('Analisis recomendación Rutas v2'!$A$8:$A$796=$A18)*('Analisis recomendación Rutas v2'!$F$8:$F$796="Sí"))*'Analisis recomendación Rutas v2'!H$8:H$796,0.75),"")</f>
        <v>0.71677657005077755</v>
      </c>
      <c r="D18" s="28">
        <f>'Estandares mix'!N22</f>
        <v>8755.1153350385739</v>
      </c>
      <c r="E18" s="28">
        <f>'Estandares mix'!O22</f>
        <v>6098.2042779326393</v>
      </c>
      <c r="F18" s="18">
        <f>'Estandares mix'!M22</f>
        <v>389.08889713610301</v>
      </c>
      <c r="G18" s="18">
        <f>'Estandares mix'!L22</f>
        <v>67.90575167807188</v>
      </c>
      <c r="H18" s="28" cm="1">
        <f t="array" ref="H18">IFERROR(_xlfn.AGGREGATE(16,6,1/(('Analisis recomendación Rutas v2'!$A$8:$A$796=$A18)*('Analisis recomendación Rutas v2'!$F$8:$F$796="Sí"))*'Analisis recomendación Rutas v2'!M$8:M$796,0.75),"")</f>
        <v>258.90325471200998</v>
      </c>
      <c r="I18" s="157">
        <f>COUNTIFS('Analisis recomendación Rutas v2'!$A$8:$A$796,$A18,'Analisis recomendación Rutas v2'!$F$8:$F$796,"Sí")</f>
        <v>99</v>
      </c>
      <c r="J18" s="853" cm="1">
        <f t="array" ref="J18">IFERROR(_xlfn.AGGREGATE(16,6,1/(('Analisis recomendación Rutas v2'!$A$8:$A$796=$A18)*('Analisis recomendación Rutas v2'!$F$8:$F$796="Sí"))*'Analisis recomendación Rutas v2'!$AP$8:$AP$796,0.75),"")</f>
        <v>0.62197445417222763</v>
      </c>
      <c r="K18" s="711">
        <f>IFERROR(F18/$K$4,"")</f>
        <v>110.53661850457472</v>
      </c>
    </row>
    <row r="19" spans="1:13">
      <c r="A19" s="730" t="s">
        <v>94</v>
      </c>
      <c r="B19" s="18" cm="1">
        <f t="array" ref="B19">IFERROR(_xlfn.AGGREGATE(16,6,1/(('Analisis recomendación Rutas v2'!$A$8:$A$796=$A19)*('Analisis recomendación Rutas v2'!$F$8:$F$796="Sí"))*'Analisis recomendación Rutas v2'!G$8:G$796,0.75),"")</f>
        <v>89.41621024641401</v>
      </c>
      <c r="C19" s="27" cm="1">
        <f t="array" ref="C19">IFERROR(_xlfn.AGGREGATE(16,6,1/(('Analisis recomendación Rutas v2'!$A$8:$A$796=$A19)*('Analisis recomendación Rutas v2'!$F$8:$F$796="Sí"))*'Analisis recomendación Rutas v2'!H$8:H$796,0.75),"")</f>
        <v>0.54706375874806301</v>
      </c>
      <c r="D19" s="28">
        <f>'Estandares mix'!N23</f>
        <v>11095.153935793827</v>
      </c>
      <c r="E19" s="28">
        <f>'Estandares mix'!O23</f>
        <v>6982.3202019701848</v>
      </c>
      <c r="F19" s="18">
        <f>'Estandares mix'!M23</f>
        <v>448.09513474485743</v>
      </c>
      <c r="G19" s="18">
        <f>'Estandares mix'!L23</f>
        <v>83.406300904207839</v>
      </c>
      <c r="H19" s="28" cm="1">
        <f t="array" ref="H19">IFERROR(_xlfn.AGGREGATE(16,6,1/(('Analisis recomendación Rutas v2'!$A$8:$A$796=$A19)*('Analisis recomendación Rutas v2'!$F$8:$F$796="Sí"))*'Analisis recomendación Rutas v2'!M$8:M$796,0.75),"")</f>
        <v>378.97014028925349</v>
      </c>
      <c r="I19" s="157">
        <f>COUNTIFS('Analisis recomendación Rutas v2'!$A$8:$A$796,$A19,'Analisis recomendación Rutas v2'!$F$8:$F$796,"Sí")</f>
        <v>435</v>
      </c>
      <c r="J19" s="853" cm="1">
        <f t="array" ref="J19">IFERROR(_xlfn.AGGREGATE(16,6,1/(('Analisis recomendación Rutas v2'!$A$8:$A$796=$A19)*('Analisis recomendación Rutas v2'!$F$8:$F$796="Sí"))*'Analisis recomendación Rutas v2'!$AP$8:$AP$796,0.75),"")</f>
        <v>0.64320274048480885</v>
      </c>
      <c r="K19" s="711">
        <f>IFERROR(F19/$K$4,"")</f>
        <v>127.29975418887996</v>
      </c>
    </row>
    <row r="20" spans="1:13">
      <c r="A20" s="33" t="s">
        <v>95</v>
      </c>
      <c r="B20" s="22" cm="1">
        <f t="array" ref="B20">IFERROR(_xlfn.AGGREGATE(16,6,1/(('Analisis recomendación Rutas v2'!$A$8:$A$796=$A20)*('Analisis recomendación Rutas v2'!$F$8:$F$796="Sí"))*'Analisis recomendación Rutas v2'!G$8:G$796,0.75),"")</f>
        <v>48.509140196922353</v>
      </c>
      <c r="C20" s="30" cm="1">
        <f t="array" ref="C20">IFERROR(_xlfn.AGGREGATE(16,6,1/(('Analisis recomendación Rutas v2'!$A$8:$A$796=$A20)*('Analisis recomendación Rutas v2'!$F$8:$F$796="Sí"))*'Analisis recomendación Rutas v2'!H$8:H$796,0.75),"")</f>
        <v>0.66965083735281605</v>
      </c>
      <c r="D20" s="28">
        <f>'Estandares mix'!N24</f>
        <v>5938.874134119359</v>
      </c>
      <c r="E20" s="28">
        <f>'Estandares mix'!O24</f>
        <v>4160.5938481536259</v>
      </c>
      <c r="F20" s="18">
        <f>'Estandares mix'!M24</f>
        <v>261.11067511683507</v>
      </c>
      <c r="G20" s="18">
        <f>'Estandares mix'!L24</f>
        <v>47.352224855431231</v>
      </c>
      <c r="H20" s="31" cm="1">
        <f t="array" ref="H20">IFERROR(_xlfn.AGGREGATE(16,6,1/(('Analisis recomendación Rutas v2'!$A$8:$A$796=$A20)*('Analisis recomendación Rutas v2'!$F$8:$F$796="Sí"))*'Analisis recomendación Rutas v2'!M$8:M$796,0.75),"")</f>
        <v>492.72230557971551</v>
      </c>
      <c r="I20" s="158">
        <f>COUNTIFS('Analisis recomendación Rutas v2'!$A$8:$A$796,$A20,'Analisis recomendación Rutas v2'!$F$8:$F$796,"Sí")</f>
        <v>31</v>
      </c>
      <c r="J20" s="853" cm="1">
        <f t="array" ref="J20">IFERROR(_xlfn.AGGREGATE(16,6,1/(('Analisis recomendación Rutas v2'!$A$8:$A$796=$A20)*('Analisis recomendación Rutas v2'!$F$8:$F$796="Sí"))*'Analisis recomendación Rutas v2'!$AP$8:$AP$796,0.75),"")</f>
        <v>0.50577184527496444</v>
      </c>
      <c r="K20" s="711">
        <f>IFERROR(F20/$K$4,"")</f>
        <v>74.179169067282686</v>
      </c>
    </row>
    <row r="21" spans="1:13">
      <c r="B21" s="727"/>
      <c r="C21" s="16"/>
      <c r="D21" s="728"/>
      <c r="E21" s="729"/>
      <c r="F21" s="12"/>
      <c r="G21" s="729"/>
      <c r="H21" s="16"/>
      <c r="I21" s="728"/>
    </row>
    <row r="22" spans="1:13">
      <c r="A22" s="10" t="s">
        <v>1688</v>
      </c>
      <c r="B22" s="727"/>
      <c r="C22" s="16"/>
      <c r="D22" s="728"/>
      <c r="E22" s="729"/>
      <c r="F22" s="12"/>
      <c r="G22" s="729"/>
      <c r="H22" s="16"/>
      <c r="I22" s="728"/>
    </row>
    <row r="23" spans="1:13">
      <c r="A23" s="850" t="s">
        <v>23</v>
      </c>
      <c r="B23" s="851" t="s">
        <v>87</v>
      </c>
      <c r="C23" s="851" t="s">
        <v>78</v>
      </c>
      <c r="D23" s="849" t="s">
        <v>1579</v>
      </c>
      <c r="E23" s="849" t="s">
        <v>1580</v>
      </c>
      <c r="F23" s="849" t="s">
        <v>1581</v>
      </c>
      <c r="G23" s="849" t="s">
        <v>1582</v>
      </c>
      <c r="H23" s="851" t="s">
        <v>85</v>
      </c>
      <c r="I23" s="851" t="s">
        <v>1200</v>
      </c>
      <c r="J23" s="851" t="s">
        <v>1251</v>
      </c>
      <c r="K23" s="851" t="s">
        <v>1597</v>
      </c>
    </row>
    <row r="24" spans="1:13">
      <c r="A24" s="730" t="s">
        <v>92</v>
      </c>
      <c r="B24" s="18" cm="1">
        <f t="array" ref="B24">IFERROR(_xlfn.AGGREGATE(16,6,1/(('Analisis recomendación Rutas v2'!$A$8:$A$796=$A24)*('Analisis recomendación Rutas v2'!$F$8:$F$796="Sí"))*'Analisis recomendación Rutas v2'!G$8:G$796,0.75),"")</f>
        <v>63.050408855205418</v>
      </c>
      <c r="C24" s="27" cm="1">
        <f t="array" ref="C24">IFERROR(_xlfn.AGGREGATE(16,6,1/(('Analisis recomendación Rutas v2'!$A$8:$A$796=$A24)*('Analisis recomendación Rutas v2'!$F$8:$F$796="Sí"))*'Analisis recomendación Rutas v2'!H$8:H$796,0.75),"")</f>
        <v>0.7559478312655763</v>
      </c>
      <c r="D24" s="28">
        <f>'Estandares mix'!U21</f>
        <v>9464.1045072902398</v>
      </c>
      <c r="E24" s="28">
        <f>'Estandares mix'!V21</f>
        <v>4391.0775631102524</v>
      </c>
      <c r="F24" s="18">
        <f>'Estandares mix'!T21</f>
        <v>252.13944859022209</v>
      </c>
      <c r="G24" s="18">
        <f>'Estandares mix'!S21</f>
        <v>67.57733941659464</v>
      </c>
      <c r="H24" s="28" cm="1">
        <f t="array" ref="H24">IFERROR(_xlfn.AGGREGATE(16,6,1/(('Analisis recomendación Rutas v2'!$A$8:$A$796=$A24)*('Analisis recomendación Rutas v2'!$F$8:$F$796="Sí"))*'Analisis recomendación Rutas v2'!M$8:M$796,0.75),"")</f>
        <v>389.240053528842</v>
      </c>
      <c r="I24" s="157">
        <f>COUNTIFS('Analisis recomendación Rutas v2'!$A$8:$A$796,$A24,'Analisis recomendación Rutas v2'!$F$8:$F$796,"Sí")</f>
        <v>126</v>
      </c>
      <c r="J24" s="853" cm="1">
        <f t="array" ref="J24">IFERROR(_xlfn.AGGREGATE(16,6,1/(('Analisis recomendación Rutas v2'!$A$8:$A$796=$A24)*('Analisis recomendación Rutas v2'!$F$8:$F$796="Sí"))*'Analisis recomendación Rutas v2'!$AP$8:$AP$796,0.75),"")</f>
        <v>0.56799995069377007</v>
      </c>
      <c r="K24" s="711">
        <f>IFERROR(F24/$K$4,"")</f>
        <v>71.630525167676723</v>
      </c>
    </row>
    <row r="25" spans="1:13">
      <c r="A25" s="730" t="s">
        <v>93</v>
      </c>
      <c r="B25" s="18" cm="1">
        <f t="array" ref="B25">IFERROR(_xlfn.AGGREGATE(16,6,1/(('Analisis recomendación Rutas v2'!$A$8:$A$796=$A25)*('Analisis recomendación Rutas v2'!$F$8:$F$796="Sí"))*'Analisis recomendación Rutas v2'!G$8:G$796,0.75),"")</f>
        <v>74.190366972477051</v>
      </c>
      <c r="C25" s="27" cm="1">
        <f t="array" ref="C25">IFERROR(_xlfn.AGGREGATE(16,6,1/(('Analisis recomendación Rutas v2'!$A$8:$A$796=$A25)*('Analisis recomendación Rutas v2'!$F$8:$F$796="Sí"))*'Analisis recomendación Rutas v2'!H$8:H$796,0.75),"")</f>
        <v>0.71677657005077755</v>
      </c>
      <c r="D25" s="28">
        <f>'Estandares mix'!U22</f>
        <v>8908.1809132412254</v>
      </c>
      <c r="E25" s="28">
        <f>'Estandares mix'!V22</f>
        <v>6097.8909632861232</v>
      </c>
      <c r="F25" s="18">
        <f>'Estandares mix'!T22</f>
        <v>389.06890645610719</v>
      </c>
      <c r="G25" s="18">
        <f>'Estandares mix'!S22</f>
        <v>69.086079880054598</v>
      </c>
      <c r="H25" s="28" cm="1">
        <f t="array" ref="H25">IFERROR(_xlfn.AGGREGATE(16,6,1/(('Analisis recomendación Rutas v2'!$A$8:$A$796=$A25)*('Analisis recomendación Rutas v2'!$F$8:$F$796="Sí"))*'Analisis recomendación Rutas v2'!M$8:M$796,0.75),"")</f>
        <v>258.90325471200998</v>
      </c>
      <c r="I25" s="157">
        <f>COUNTIFS('Analisis recomendación Rutas v2'!$A$8:$A$796,$A25,'Analisis recomendación Rutas v2'!$F$8:$F$796,"Sí")</f>
        <v>99</v>
      </c>
      <c r="J25" s="853" cm="1">
        <f t="array" ref="J25">IFERROR(_xlfn.AGGREGATE(16,6,1/(('Analisis recomendación Rutas v2'!$A$8:$A$796=$A25)*('Analisis recomendación Rutas v2'!$F$8:$F$796="Sí"))*'Analisis recomendación Rutas v2'!$AP$8:$AP$796,0.75),"")</f>
        <v>0.62197445417222763</v>
      </c>
      <c r="K25" s="711">
        <f>IFERROR(F25/$K$4,"")</f>
        <v>110.53093933412136</v>
      </c>
    </row>
    <row r="26" spans="1:13">
      <c r="A26" s="730" t="s">
        <v>94</v>
      </c>
      <c r="B26" s="18" cm="1">
        <f t="array" ref="B26">IFERROR(_xlfn.AGGREGATE(16,6,1/(('Analisis recomendación Rutas v2'!$A$8:$A$796=$A26)*('Analisis recomendación Rutas v2'!$F$8:$F$796="Sí"))*'Analisis recomendación Rutas v2'!G$8:G$796,0.75),"")</f>
        <v>89.41621024641401</v>
      </c>
      <c r="C26" s="27" cm="1">
        <f t="array" ref="C26">IFERROR(_xlfn.AGGREGATE(16,6,1/(('Analisis recomendación Rutas v2'!$A$8:$A$796=$A26)*('Analisis recomendación Rutas v2'!$F$8:$F$796="Sí"))*'Analisis recomendación Rutas v2'!H$8:H$796,0.75),"")</f>
        <v>0.54706375874806301</v>
      </c>
      <c r="D26" s="28">
        <f>'Estandares mix'!U23</f>
        <v>11248.237178715359</v>
      </c>
      <c r="E26" s="28">
        <f>'Estandares mix'!V23</f>
        <v>6981.929291210824</v>
      </c>
      <c r="F26" s="18">
        <f>'Estandares mix'!T23</f>
        <v>448.07004778173877</v>
      </c>
      <c r="G26" s="18">
        <f>'Estandares mix'!S23</f>
        <v>84.522343976444105</v>
      </c>
      <c r="H26" s="28" cm="1">
        <f t="array" ref="H26">IFERROR(_xlfn.AGGREGATE(16,6,1/(('Analisis recomendación Rutas v2'!$A$8:$A$796=$A26)*('Analisis recomendación Rutas v2'!$F$8:$F$796="Sí"))*'Analisis recomendación Rutas v2'!M$8:M$796,0.75),"")</f>
        <v>378.97014028925349</v>
      </c>
      <c r="I26" s="157">
        <f>COUNTIFS('Analisis recomendación Rutas v2'!$A$8:$A$796,$A26,'Analisis recomendación Rutas v2'!$F$8:$F$796,"Sí")</f>
        <v>435</v>
      </c>
      <c r="J26" s="853" cm="1">
        <f t="array" ref="J26">IFERROR(_xlfn.AGGREGATE(16,6,1/(('Analisis recomendación Rutas v2'!$A$8:$A$796=$A26)*('Analisis recomendación Rutas v2'!$F$8:$F$796="Sí"))*'Analisis recomendación Rutas v2'!$AP$8:$AP$796,0.75),"")</f>
        <v>0.64320274048480885</v>
      </c>
      <c r="K26" s="711">
        <f>IFERROR(F26/$K$4,"")</f>
        <v>127.29262721072124</v>
      </c>
    </row>
    <row r="27" spans="1:13">
      <c r="A27" s="33" t="s">
        <v>95</v>
      </c>
      <c r="B27" s="22" cm="1">
        <f t="array" ref="B27">IFERROR(_xlfn.AGGREGATE(16,6,1/(('Analisis recomendación Rutas v2'!$A$8:$A$796=$A27)*('Analisis recomendación Rutas v2'!$F$8:$F$796="Sí"))*'Analisis recomendación Rutas v2'!G$8:G$796,0.75),"")</f>
        <v>48.509140196922353</v>
      </c>
      <c r="C27" s="30" cm="1">
        <f t="array" ref="C27">IFERROR(_xlfn.AGGREGATE(16,6,1/(('Analisis recomendación Rutas v2'!$A$8:$A$796=$A27)*('Analisis recomendación Rutas v2'!$F$8:$F$796="Sí"))*'Analisis recomendación Rutas v2'!H$8:H$796,0.75),"")</f>
        <v>0.66965083735281605</v>
      </c>
      <c r="D27" s="28">
        <f>'Estandares mix'!U24</f>
        <v>6035.2310405249491</v>
      </c>
      <c r="E27" s="28">
        <f>'Estandares mix'!V24</f>
        <v>4157.8530152695776</v>
      </c>
      <c r="F27" s="18">
        <f>'Estandares mix'!T24</f>
        <v>260.93866584343442</v>
      </c>
      <c r="G27" s="18">
        <f>'Estandares mix'!S24</f>
        <v>48.081129833440414</v>
      </c>
      <c r="H27" s="31" cm="1">
        <f t="array" ref="H27">IFERROR(_xlfn.AGGREGATE(16,6,1/(('Analisis recomendación Rutas v2'!$A$8:$A$796=$A27)*('Analisis recomendación Rutas v2'!$F$8:$F$796="Sí"))*'Analisis recomendación Rutas v2'!M$8:M$796,0.75),"")</f>
        <v>492.72230557971551</v>
      </c>
      <c r="I27" s="158">
        <f>COUNTIFS('Analisis recomendación Rutas v2'!$A$8:$A$796,$A27,'Analisis recomendación Rutas v2'!$F$8:$F$796,"Sí")</f>
        <v>31</v>
      </c>
      <c r="J27" s="853" cm="1">
        <f t="array" ref="J27">IFERROR(_xlfn.AGGREGATE(16,6,1/(('Analisis recomendación Rutas v2'!$A$8:$A$796=$A27)*('Analisis recomendación Rutas v2'!$F$8:$F$796="Sí"))*'Analisis recomendación Rutas v2'!$AP$8:$AP$796,0.75),"")</f>
        <v>0.50577184527496444</v>
      </c>
      <c r="K27" s="711">
        <f>IFERROR(F27/$K$4,"")</f>
        <v>74.130302796430229</v>
      </c>
    </row>
    <row r="28" spans="1:13">
      <c r="B28" s="727"/>
      <c r="C28" s="16"/>
      <c r="D28" s="728"/>
      <c r="E28" s="729"/>
      <c r="F28" s="12"/>
      <c r="G28" s="729"/>
      <c r="H28" s="16"/>
      <c r="I28" s="728"/>
    </row>
    <row r="29" spans="1:13">
      <c r="B29" s="727"/>
      <c r="C29" s="16"/>
      <c r="D29" s="728"/>
      <c r="E29" s="729"/>
      <c r="F29" s="12"/>
      <c r="G29" s="729"/>
      <c r="H29" s="16"/>
      <c r="I29" s="728"/>
    </row>
    <row r="30" spans="1:13">
      <c r="D30" s="848" t="s">
        <v>1595</v>
      </c>
      <c r="E30" s="849" t="s">
        <v>1596</v>
      </c>
      <c r="M30" s="852"/>
    </row>
    <row r="31" spans="1:13" ht="15.75">
      <c r="A31" s="11" t="s">
        <v>1225</v>
      </c>
      <c r="M31" s="852"/>
    </row>
    <row r="32" spans="1:13">
      <c r="A32" s="37" t="s">
        <v>23</v>
      </c>
      <c r="B32" s="38" t="s">
        <v>1513</v>
      </c>
      <c r="C32" s="38" t="s">
        <v>1526</v>
      </c>
      <c r="D32" s="38" t="s">
        <v>1515</v>
      </c>
      <c r="E32" s="39" t="s">
        <v>1516</v>
      </c>
      <c r="M32" s="852"/>
    </row>
    <row r="33" spans="1:13">
      <c r="A33" s="24" t="s">
        <v>92</v>
      </c>
      <c r="B33" s="19" cm="1">
        <f t="array" ref="B33">IFERROR(_xlfn.AGGREGATE(16,6,1/('Analisis recomendación Rutas v2'!$A$8:$A$796=$A33)*'Analisis recomendación Rutas v2'!BF$8:BF$796,0.75),"")</f>
        <v>0.81068382520668858</v>
      </c>
      <c r="C33" s="18" cm="1">
        <f t="array" ref="C33">IFERROR(_xlfn.AGGREGATE(16,6,1/('Analisis recomendación Rutas v2'!$A$8:$A$796=$A33)*'Analisis recomendación Rutas v2'!BG$8:BG$796,0.75),"")</f>
        <v>0.96566015873879196</v>
      </c>
      <c r="D33" s="28" cm="1">
        <f t="array" ref="D33">IFERROR(_xlfn.AGGREGATE(16,6,1/('Analisis recomendación Rutas v2'!$A$8:$A$796=$A33)*'Analisis recomendación Rutas v2'!BH$8:BH$796,0.75),"")</f>
        <v>631.83489935714977</v>
      </c>
      <c r="E33" s="157" cm="1">
        <f t="array" ref="E33">IFERROR(_xlfn.AGGREGATE(16,6,1/('Analisis recomendación Rutas v2'!$A$8:$A$796=$A33)*'Analisis recomendación Rutas v2'!BI$8:BI$796,0.75),"")</f>
        <v>17.057105892455038</v>
      </c>
      <c r="M33" s="852"/>
    </row>
    <row r="34" spans="1:13">
      <c r="A34" s="24" t="s">
        <v>93</v>
      </c>
      <c r="B34" s="19" cm="1">
        <f t="array" ref="B34">IFERROR(_xlfn.AGGREGATE(16,6,1/('Analisis recomendación Rutas v2'!$A$8:$A$796=$A34)*'Analisis recomendación Rutas v2'!BF$8:BF$796,0.75),"")</f>
        <v>0.67519222041104232</v>
      </c>
      <c r="C34" s="18" cm="1">
        <f t="array" ref="C34">IFERROR(_xlfn.AGGREGATE(16,6,1/('Analisis recomendación Rutas v2'!$A$8:$A$796=$A34)*'Analisis recomendación Rutas v2'!BG$8:BG$796,0.75),"")</f>
        <v>0.71587090856649471</v>
      </c>
      <c r="D34" s="28" cm="1">
        <f t="array" ref="D34">IFERROR(_xlfn.AGGREGATE(16,6,1/('Analisis recomendación Rutas v2'!$A$8:$A$796=$A34)*'Analisis recomendación Rutas v2'!BH$8:BH$796,0.75),"")</f>
        <v>491.68671249035026</v>
      </c>
      <c r="E34" s="157" cm="1">
        <f t="array" ref="E34">IFERROR(_xlfn.AGGREGATE(16,6,1/('Analisis recomendación Rutas v2'!$A$8:$A$796=$A34)*'Analisis recomendación Rutas v2'!BI$8:BI$796,0.75),"")</f>
        <v>23.311013215206675</v>
      </c>
    </row>
    <row r="35" spans="1:13">
      <c r="A35" s="24" t="s">
        <v>94</v>
      </c>
      <c r="B35" s="19" cm="1">
        <f t="array" ref="B35">IFERROR(_xlfn.AGGREGATE(16,6,1/('Analisis recomendación Rutas v2'!$A$8:$A$796=$A35)*'Analisis recomendación Rutas v2'!BF$8:BF$796,0.75),"")</f>
        <v>0.92139275391543984</v>
      </c>
      <c r="C35" s="18" cm="1">
        <f t="array" ref="C35">IFERROR(_xlfn.AGGREGATE(16,6,1/('Analisis recomendación Rutas v2'!$A$8:$A$796=$A35)*'Analisis recomendación Rutas v2'!BG$8:BG$796,0.75),"")</f>
        <v>1</v>
      </c>
      <c r="D35" s="28" cm="1">
        <f t="array" ref="D35">IFERROR(_xlfn.AGGREGATE(16,6,1/('Analisis recomendación Rutas v2'!$A$8:$A$796=$A35)*'Analisis recomendación Rutas v2'!BH$8:BH$796,0.75),"")</f>
        <v>736.27173504576876</v>
      </c>
      <c r="E35" s="157" cm="1">
        <f t="array" ref="E35">IFERROR(_xlfn.AGGREGATE(16,6,1/('Analisis recomendación Rutas v2'!$A$8:$A$796=$A35)*'Analisis recomendación Rutas v2'!BI$8:BI$796,0.75),"")</f>
        <v>34.421202000857235</v>
      </c>
    </row>
    <row r="36" spans="1:13" ht="18" customHeight="1">
      <c r="A36" s="25" t="s">
        <v>95</v>
      </c>
      <c r="B36" s="23" cm="1">
        <f t="array" ref="B36">IFERROR(_xlfn.AGGREGATE(16,6,1/('Analisis recomendación Rutas v2'!$A$8:$A$796=$A36)*'Analisis recomendación Rutas v2'!BF$8:BF$796,0.75),"")</f>
        <v>0.47948931932197053</v>
      </c>
      <c r="C36" s="22" cm="1">
        <f t="array" ref="C36">IFERROR(_xlfn.AGGREGATE(16,6,1/('Analisis recomendación Rutas v2'!$A$8:$A$796=$A36)*'Analisis recomendación Rutas v2'!BG$8:BG$796,0.75),"")</f>
        <v>0.49245536409808993</v>
      </c>
      <c r="D36" s="31" cm="1">
        <f t="array" ref="D36">IFERROR(_xlfn.AGGREGATE(16,6,1/('Analisis recomendación Rutas v2'!$A$8:$A$796=$A36)*'Analisis recomendación Rutas v2'!BH$8:BH$796,0.75),"")</f>
        <v>113.1493523798184</v>
      </c>
      <c r="E36" s="158" cm="1">
        <f t="array" ref="E36">IFERROR(_xlfn.AGGREGATE(16,6,1/('Analisis recomendación Rutas v2'!$A$8:$A$796=$A36)*'Analisis recomendación Rutas v2'!BI$8:BI$796,0.75),"")</f>
        <v>5.6406076397620373</v>
      </c>
    </row>
    <row r="39" spans="1:13" ht="15.75">
      <c r="A39" s="11" t="s">
        <v>1226</v>
      </c>
    </row>
    <row r="40" spans="1:13">
      <c r="A40" s="37" t="s">
        <v>99</v>
      </c>
      <c r="B40" s="38" t="s">
        <v>1060</v>
      </c>
      <c r="C40" s="38" t="s">
        <v>81</v>
      </c>
      <c r="D40" s="39" t="s">
        <v>86</v>
      </c>
    </row>
    <row r="41" spans="1:13">
      <c r="A41" s="171">
        <v>1</v>
      </c>
      <c r="B41" s="172" t="s">
        <v>1067</v>
      </c>
      <c r="C41" s="172" t="s">
        <v>1227</v>
      </c>
      <c r="D41" s="173" t="s">
        <v>1228</v>
      </c>
    </row>
    <row r="42" spans="1:13">
      <c r="A42" s="171">
        <v>2</v>
      </c>
      <c r="B42" s="172" t="s">
        <v>1068</v>
      </c>
      <c r="C42" s="172" t="s">
        <v>1229</v>
      </c>
      <c r="D42" s="173" t="s">
        <v>1230</v>
      </c>
    </row>
    <row r="43" spans="1:13">
      <c r="A43" s="171">
        <v>3</v>
      </c>
      <c r="B43" s="172" t="s">
        <v>1069</v>
      </c>
      <c r="C43" s="172" t="s">
        <v>97</v>
      </c>
      <c r="D43" s="173" t="s">
        <v>1231</v>
      </c>
    </row>
    <row r="44" spans="1:13">
      <c r="A44" s="167">
        <v>4</v>
      </c>
      <c r="B44" s="166" t="s">
        <v>103</v>
      </c>
      <c r="C44" s="166" t="s">
        <v>1232</v>
      </c>
      <c r="D44" s="168" t="s">
        <v>1233</v>
      </c>
    </row>
    <row r="45" spans="1:13">
      <c r="A45" s="167">
        <v>5</v>
      </c>
      <c r="B45" s="166" t="s">
        <v>100</v>
      </c>
      <c r="C45" s="166" t="s">
        <v>1234</v>
      </c>
      <c r="D45" s="168" t="s">
        <v>1235</v>
      </c>
    </row>
    <row r="46" spans="1:13">
      <c r="A46" s="167">
        <v>6</v>
      </c>
      <c r="B46" s="166" t="s">
        <v>101</v>
      </c>
      <c r="C46" s="166" t="s">
        <v>1236</v>
      </c>
      <c r="D46" s="168" t="s">
        <v>1237</v>
      </c>
    </row>
    <row r="47" spans="1:13">
      <c r="A47" s="169">
        <v>7</v>
      </c>
      <c r="B47" s="26" t="s">
        <v>102</v>
      </c>
      <c r="C47" s="26" t="s">
        <v>1238</v>
      </c>
      <c r="D47" s="170" t="s">
        <v>1239</v>
      </c>
    </row>
    <row r="49" spans="1:6" ht="15.75">
      <c r="A49" s="11" t="s">
        <v>1240</v>
      </c>
    </row>
    <row r="50" spans="1:6" ht="15.75">
      <c r="A50" s="11"/>
      <c r="C50" s="969" t="s">
        <v>1283</v>
      </c>
      <c r="D50" s="969"/>
      <c r="E50" s="969"/>
    </row>
    <row r="51" spans="1:6">
      <c r="B51" s="37" t="s">
        <v>1060</v>
      </c>
      <c r="C51" s="38" t="s">
        <v>1179</v>
      </c>
      <c r="D51" s="38" t="s">
        <v>1180</v>
      </c>
      <c r="E51" s="39" t="s">
        <v>1181</v>
      </c>
    </row>
    <row r="52" spans="1:6">
      <c r="A52" s="970" t="s">
        <v>1284</v>
      </c>
      <c r="B52" s="24" t="s">
        <v>100</v>
      </c>
      <c r="C52" s="17" t="s">
        <v>1182</v>
      </c>
      <c r="D52" s="17" t="s">
        <v>1183</v>
      </c>
      <c r="E52" s="13" t="s">
        <v>1184</v>
      </c>
    </row>
    <row r="53" spans="1:6">
      <c r="A53" s="970"/>
      <c r="B53" s="24" t="s">
        <v>101</v>
      </c>
      <c r="C53" s="17" t="s">
        <v>1183</v>
      </c>
      <c r="D53" s="17" t="s">
        <v>1184</v>
      </c>
      <c r="E53" s="13" t="s">
        <v>1185</v>
      </c>
    </row>
    <row r="54" spans="1:6">
      <c r="A54" s="970"/>
      <c r="B54" s="24" t="s">
        <v>102</v>
      </c>
      <c r="C54" s="17" t="s">
        <v>1184</v>
      </c>
      <c r="D54" s="17" t="s">
        <v>1184</v>
      </c>
      <c r="E54" s="13" t="s">
        <v>1185</v>
      </c>
    </row>
    <row r="55" spans="1:6">
      <c r="A55" s="970"/>
      <c r="B55" s="25" t="s">
        <v>103</v>
      </c>
      <c r="C55" s="21" t="s">
        <v>1186</v>
      </c>
      <c r="D55" s="21" t="s">
        <v>1186</v>
      </c>
      <c r="E55" s="15" t="s">
        <v>1186</v>
      </c>
    </row>
    <row r="57" spans="1:6" ht="15.75">
      <c r="A57" s="11" t="s">
        <v>1241</v>
      </c>
    </row>
    <row r="58" spans="1:6" ht="30">
      <c r="A58" s="37" t="s">
        <v>98</v>
      </c>
      <c r="B58" s="38" t="s">
        <v>1065</v>
      </c>
      <c r="C58" s="38" t="s">
        <v>5</v>
      </c>
      <c r="D58" s="38" t="s">
        <v>83</v>
      </c>
      <c r="E58" s="38" t="s">
        <v>1066</v>
      </c>
      <c r="F58" s="39" t="s">
        <v>1192</v>
      </c>
    </row>
    <row r="59" spans="1:6">
      <c r="A59" s="40" t="s">
        <v>100</v>
      </c>
      <c r="B59" s="17" t="str">
        <f t="shared" ref="B59:B65" si="0">A59</f>
        <v>Ampliar cobertura</v>
      </c>
      <c r="C59" s="19" t="e">
        <f>COUNTIF('Analisis recomendación Rutas v2'!#REF!,$A59)</f>
        <v>#REF!</v>
      </c>
      <c r="D59" s="27" t="e">
        <f t="shared" ref="D59:D65" si="1">C59/$C$66</f>
        <v>#REF!</v>
      </c>
      <c r="E59" s="27" t="str">
        <f t="shared" ref="E59:E65" si="2">IF(ROW()-39&gt;4,"",IFERROR(C59/SUM($C$59:$C$62),""))</f>
        <v/>
      </c>
      <c r="F59" s="32" t="str">
        <f>IFERROR(AVERAGEIF('Analisis recomendación Rutas v2'!#REF!,$A59,'Analisis recomendación Rutas v2'!$AJ$8:$AJ$796),"n/a")</f>
        <v>n/a</v>
      </c>
    </row>
    <row r="60" spans="1:6">
      <c r="A60" s="40" t="s">
        <v>101</v>
      </c>
      <c r="B60" s="17" t="str">
        <f t="shared" si="0"/>
        <v>Mantener</v>
      </c>
      <c r="C60" s="19" t="e">
        <f>COUNTIF('Analisis recomendación Rutas v2'!#REF!,$A60)</f>
        <v>#REF!</v>
      </c>
      <c r="D60" s="27" t="e">
        <f t="shared" si="1"/>
        <v>#REF!</v>
      </c>
      <c r="E60" s="27" t="str">
        <f t="shared" si="2"/>
        <v/>
      </c>
      <c r="F60" s="32" t="str">
        <f>IFERROR(AVERAGEIF('Analisis recomendación Rutas v2'!#REF!,$A60,'Analisis recomendación Rutas v2'!$AJ$8:$AJ$796),"n/a")</f>
        <v>n/a</v>
      </c>
    </row>
    <row r="61" spans="1:6">
      <c r="A61" s="40" t="s">
        <v>102</v>
      </c>
      <c r="B61" s="17" t="str">
        <f t="shared" si="0"/>
        <v>Desarrollar</v>
      </c>
      <c r="C61" s="19" t="e">
        <f>COUNTIF('Analisis recomendación Rutas v2'!#REF!,$A61)</f>
        <v>#REF!</v>
      </c>
      <c r="D61" s="27" t="e">
        <f t="shared" si="1"/>
        <v>#REF!</v>
      </c>
      <c r="E61" s="27" t="str">
        <f t="shared" si="2"/>
        <v/>
      </c>
      <c r="F61" s="32" t="str">
        <f>IFERROR(AVERAGEIF('Analisis recomendación Rutas v2'!#REF!,$A61,'Analisis recomendación Rutas v2'!$AJ$8:$AJ$796),"n/a")</f>
        <v>n/a</v>
      </c>
    </row>
    <row r="62" spans="1:6">
      <c r="A62" s="40" t="s">
        <v>103</v>
      </c>
      <c r="B62" s="17" t="str">
        <f t="shared" si="0"/>
        <v>Desestimar</v>
      </c>
      <c r="C62" s="19" t="e">
        <f>COUNTIF('Analisis recomendación Rutas v2'!#REF!,$A62)</f>
        <v>#REF!</v>
      </c>
      <c r="D62" s="27" t="e">
        <f t="shared" si="1"/>
        <v>#REF!</v>
      </c>
      <c r="E62" s="27" t="str">
        <f t="shared" si="2"/>
        <v/>
      </c>
      <c r="F62" s="32" t="str">
        <f>IFERROR(AVERAGEIF('Analisis recomendación Rutas v2'!#REF!,$A62,'Analisis recomendación Rutas v2'!$AJ$8:$AJ$796),"n/a")</f>
        <v>n/a</v>
      </c>
    </row>
    <row r="63" spans="1:6">
      <c r="A63" s="40" t="s">
        <v>1067</v>
      </c>
      <c r="B63" s="17" t="str">
        <f t="shared" si="0"/>
        <v>Ruta inactiva</v>
      </c>
      <c r="C63" s="19" t="e">
        <f>COUNTIF('Analisis recomendación Rutas v2'!#REF!,$A63)</f>
        <v>#REF!</v>
      </c>
      <c r="D63" s="27" t="e">
        <f t="shared" si="1"/>
        <v>#REF!</v>
      </c>
      <c r="E63" s="27" t="str">
        <f t="shared" si="2"/>
        <v/>
      </c>
      <c r="F63" s="32" t="str">
        <f>IFERROR(AVERAGEIF('Analisis recomendación Rutas v2'!#REF!,$A63,'Analisis recomendación Rutas v2'!$AJ$8:$AJ$796),"n/a")</f>
        <v>n/a</v>
      </c>
    </row>
    <row r="64" spans="1:6">
      <c r="A64" s="40" t="s">
        <v>1068</v>
      </c>
      <c r="B64" s="17" t="str">
        <f t="shared" si="0"/>
        <v>No elegible</v>
      </c>
      <c r="C64" s="19" t="e">
        <f>COUNTIF('Analisis recomendación Rutas v2'!#REF!,$A64)</f>
        <v>#REF!</v>
      </c>
      <c r="D64" s="27" t="e">
        <f t="shared" si="1"/>
        <v>#REF!</v>
      </c>
      <c r="E64" s="27" t="str">
        <f t="shared" si="2"/>
        <v/>
      </c>
      <c r="F64" s="32" t="str">
        <f>IFERROR(AVERAGEIF('Analisis recomendación Rutas v2'!#REF!,$A64,'Analisis recomendación Rutas v2'!$AJ$8:$AJ$796),"n/a")</f>
        <v>n/a</v>
      </c>
    </row>
    <row r="65" spans="1:6">
      <c r="A65" s="40" t="s">
        <v>1069</v>
      </c>
      <c r="B65" s="17" t="str">
        <f t="shared" si="0"/>
        <v>Sin datos</v>
      </c>
      <c r="C65" s="19" t="e">
        <f>COUNTIF('Analisis recomendación Rutas v2'!#REF!,$A65)</f>
        <v>#REF!</v>
      </c>
      <c r="D65" s="27" t="e">
        <f t="shared" si="1"/>
        <v>#REF!</v>
      </c>
      <c r="E65" s="27" t="str">
        <f t="shared" si="2"/>
        <v/>
      </c>
      <c r="F65" s="32" t="str">
        <f>IFERROR(AVERAGEIF('Analisis recomendación Rutas v2'!#REF!,$A65,'Analisis recomendación Rutas v2'!$AJ$8:$AJ$796),"n/a")</f>
        <v>n/a</v>
      </c>
    </row>
    <row r="66" spans="1:6">
      <c r="A66" s="25"/>
      <c r="B66" s="26" t="s">
        <v>84</v>
      </c>
      <c r="C66" s="34" t="e">
        <f>SUM(C59:C65)</f>
        <v>#REF!</v>
      </c>
      <c r="D66" s="35" t="e">
        <f>SUM(D59:D65)</f>
        <v>#REF!</v>
      </c>
      <c r="E66" s="35">
        <f>SUM(E59:E62)</f>
        <v>0</v>
      </c>
      <c r="F66" s="36">
        <f>AVERAGE('Analisis recomendación Rutas v2'!$AJ$8:$AJ$796)</f>
        <v>34.039160405306326</v>
      </c>
    </row>
    <row r="68" spans="1:6" ht="15.75">
      <c r="A68" s="11" t="s">
        <v>1242</v>
      </c>
    </row>
    <row r="69" spans="1:6" ht="30">
      <c r="B69" s="37" t="s">
        <v>1191</v>
      </c>
      <c r="C69" s="38" t="s">
        <v>5</v>
      </c>
      <c r="D69" s="38" t="s">
        <v>83</v>
      </c>
      <c r="E69" s="38" t="s">
        <v>1192</v>
      </c>
      <c r="F69" s="39" t="s">
        <v>1190</v>
      </c>
    </row>
    <row r="70" spans="1:6">
      <c r="B70" s="24" t="str">
        <f>C52</f>
        <v>P1 - Expansión inmediata</v>
      </c>
      <c r="C70" s="19" t="e">
        <f>COUNTIF('Analisis recomendación Rutas v2'!#REF!,$B70)</f>
        <v>#REF!</v>
      </c>
      <c r="D70" s="27" t="e">
        <f t="shared" ref="D70:D76" si="3">C70/$C$77</f>
        <v>#REF!</v>
      </c>
      <c r="E70" s="20" t="str">
        <f>IFERROR(AVERAGEIF('Analisis recomendación Rutas v2'!#REF!,$B70,'Analisis recomendación Rutas v2'!$AJ$8:$AJ$796),"n/a")</f>
        <v>n/a</v>
      </c>
      <c r="F70" s="32" t="str">
        <f>IFERROR(AVERAGEIF('Analisis recomendación Rutas v2'!#REF!,$B70,'Analisis recomendación Rutas v2'!#REF!),"n/a")</f>
        <v>n/a</v>
      </c>
    </row>
    <row r="71" spans="1:6">
      <c r="B71" s="24" t="str">
        <f>D52</f>
        <v>P2 - Expansión en siguiente ola</v>
      </c>
      <c r="C71" s="19" t="e">
        <f>COUNTIF('Analisis recomendación Rutas v2'!#REF!,$B71)</f>
        <v>#REF!</v>
      </c>
      <c r="D71" s="27" t="e">
        <f t="shared" si="3"/>
        <v>#REF!</v>
      </c>
      <c r="E71" s="20" t="str">
        <f>IFERROR(AVERAGEIF('Analisis recomendación Rutas v2'!#REF!,$B71,'Analisis recomendación Rutas v2'!$AJ$8:$AJ$796),"n/a")</f>
        <v>n/a</v>
      </c>
      <c r="F71" s="32" t="str">
        <f>IFERROR(AVERAGEIF('Analisis recomendación Rutas v2'!#REF!,$B71,'Analisis recomendación Rutas v2'!#REF!),"n/a")</f>
        <v>n/a</v>
      </c>
    </row>
    <row r="72" spans="1:6">
      <c r="B72" s="24" t="str">
        <f>E52</f>
        <v>P3 - Primero productividad</v>
      </c>
      <c r="C72" s="19" t="e">
        <f>COUNTIF('Analisis recomendación Rutas v2'!#REF!,$B72)</f>
        <v>#REF!</v>
      </c>
      <c r="D72" s="27" t="e">
        <f t="shared" si="3"/>
        <v>#REF!</v>
      </c>
      <c r="E72" s="20" t="str">
        <f>IFERROR(AVERAGEIF('Analisis recomendación Rutas v2'!#REF!,$B72,'Analisis recomendación Rutas v2'!$AJ$8:$AJ$796),"n/a")</f>
        <v>n/a</v>
      </c>
      <c r="F72" s="32" t="str">
        <f>IFERROR(AVERAGEIF('Analisis recomendación Rutas v2'!#REF!,$B72,'Analisis recomendación Rutas v2'!#REF!),"n/a")</f>
        <v>n/a</v>
      </c>
    </row>
    <row r="73" spans="1:6">
      <c r="B73" s="24" t="str">
        <f>E53</f>
        <v>P4 - Sin prioridad de expansión</v>
      </c>
      <c r="C73" s="19" t="e">
        <f>COUNTIF('Analisis recomendación Rutas v2'!#REF!,$B73)</f>
        <v>#REF!</v>
      </c>
      <c r="D73" s="27" t="e">
        <f t="shared" si="3"/>
        <v>#REF!</v>
      </c>
      <c r="E73" s="20" t="str">
        <f>IFERROR(AVERAGEIF('Analisis recomendación Rutas v2'!#REF!,$B73,'Analisis recomendación Rutas v2'!$AJ$8:$AJ$796),"n/a")</f>
        <v>n/a</v>
      </c>
      <c r="F73" s="32" t="str">
        <f>IFERROR(AVERAGEIF('Analisis recomendación Rutas v2'!#REF!,$B73,'Analisis recomendación Rutas v2'!$BP$8:$BP$796),"n/a")</f>
        <v>n/a</v>
      </c>
    </row>
    <row r="74" spans="1:6">
      <c r="B74" s="24" t="str">
        <f>C55</f>
        <v>No aplica - ruta en riesgo</v>
      </c>
      <c r="C74" s="19" t="e">
        <f>COUNTIF('Analisis recomendación Rutas v2'!#REF!,$B74)</f>
        <v>#REF!</v>
      </c>
      <c r="D74" s="27" t="e">
        <f t="shared" si="3"/>
        <v>#REF!</v>
      </c>
      <c r="E74" s="20" t="str">
        <f>IFERROR(AVERAGEIF('Analisis recomendación Rutas v2'!#REF!,$B74,'Analisis recomendación Rutas v2'!$AJ$8:$AJ$796),"n/a")</f>
        <v>n/a</v>
      </c>
      <c r="F74" s="32" t="str">
        <f>IFERROR(AVERAGEIF('Analisis recomendación Rutas v2'!#REF!,$B74,'Analisis recomendación Rutas v2'!$BP$8:$BP$796),"n/a")</f>
        <v>n/a</v>
      </c>
    </row>
    <row r="75" spans="1:6">
      <c r="B75" s="24" t="s">
        <v>1193</v>
      </c>
      <c r="C75" s="19" t="e">
        <f>COUNTIF('Analisis recomendación Rutas v2'!#REF!,$B75)</f>
        <v>#REF!</v>
      </c>
      <c r="D75" s="27" t="e">
        <f t="shared" si="3"/>
        <v>#REF!</v>
      </c>
      <c r="E75" s="20" t="str">
        <f>IFERROR(AVERAGEIF('Analisis recomendación Rutas v2'!#REF!,$B75,'Analisis recomendación Rutas v2'!$AJ$8:$AJ$796),"n/a")</f>
        <v>n/a</v>
      </c>
      <c r="F75" s="32" t="str">
        <f>IFERROR(AVERAGEIF('Analisis recomendación Rutas v2'!#REF!,$B75,'Analisis recomendación Rutas v2'!$BP$8:$BP$796),"n/a")</f>
        <v>n/a</v>
      </c>
    </row>
    <row r="76" spans="1:6">
      <c r="B76" s="24" t="s">
        <v>1194</v>
      </c>
      <c r="C76" s="19" t="e">
        <f>COUNTIF('Analisis recomendación Rutas v2'!#REF!,$B76)</f>
        <v>#REF!</v>
      </c>
      <c r="D76" s="27" t="e">
        <f t="shared" si="3"/>
        <v>#REF!</v>
      </c>
      <c r="E76" s="20" t="str">
        <f>IFERROR(AVERAGEIF('Analisis recomendación Rutas v2'!#REF!,$B76,'Analisis recomendación Rutas v2'!$AJ$8:$AJ$796),"n/a")</f>
        <v>n/a</v>
      </c>
      <c r="F76" s="32" t="str">
        <f>IFERROR(AVERAGEIF('Analisis recomendación Rutas v2'!#REF!,$B76,'Analisis recomendación Rutas v2'!$BP$8:$BP$796),"n/a")</f>
        <v>n/a</v>
      </c>
    </row>
    <row r="77" spans="1:6">
      <c r="B77" s="33" t="s">
        <v>84</v>
      </c>
      <c r="C77" s="34" t="e">
        <f>SUM(C70:C76)</f>
        <v>#REF!</v>
      </c>
      <c r="D77" s="35" t="e">
        <f>SUM(D70:D76)</f>
        <v>#REF!</v>
      </c>
      <c r="E77" s="14">
        <f>AVERAGE('Analisis recomendación Rutas v2'!$AJ$8:$AJ$796)</f>
        <v>34.039160405306326</v>
      </c>
      <c r="F77" s="36">
        <f>IFERROR(AVERAGE('Analisis recomendación Rutas v2'!$BP$8:$BP$796),"n/a")</f>
        <v>43.973561430793154</v>
      </c>
    </row>
    <row r="79" spans="1:6" ht="15.75">
      <c r="A79" s="11" t="s">
        <v>1243</v>
      </c>
    </row>
    <row r="80" spans="1:6">
      <c r="B80" s="159" t="s">
        <v>1244</v>
      </c>
      <c r="C80" s="160">
        <v>0.6</v>
      </c>
      <c r="D80" s="138" t="s">
        <v>1245</v>
      </c>
    </row>
    <row r="82" spans="1:5">
      <c r="B82" s="37" t="s">
        <v>1246</v>
      </c>
      <c r="C82" s="38" t="s">
        <v>1070</v>
      </c>
      <c r="D82" s="38" t="s">
        <v>82</v>
      </c>
      <c r="E82" s="39" t="s">
        <v>83</v>
      </c>
    </row>
    <row r="83" spans="1:5" ht="18" customHeight="1">
      <c r="B83" s="24" t="str">
        <f>B52</f>
        <v>Ampliar cobertura</v>
      </c>
      <c r="C83" s="17" t="s">
        <v>1061</v>
      </c>
      <c r="D83" s="19" t="e">
        <f>COUNTIF(#REF!,$C83)</f>
        <v>#REF!</v>
      </c>
      <c r="E83" s="29" t="e">
        <f t="shared" ref="E83:E88" si="4">D83/$D$89</f>
        <v>#REF!</v>
      </c>
    </row>
    <row r="84" spans="1:5">
      <c r="B84" s="24" t="str">
        <f>B53</f>
        <v>Mantener</v>
      </c>
      <c r="C84" s="17" t="s">
        <v>1062</v>
      </c>
      <c r="D84" s="19" t="e">
        <f>COUNTIF(#REF!,$C84)</f>
        <v>#REF!</v>
      </c>
      <c r="E84" s="29" t="e">
        <f t="shared" si="4"/>
        <v>#REF!</v>
      </c>
    </row>
    <row r="85" spans="1:5">
      <c r="B85" s="24" t="str">
        <f>B54</f>
        <v>Desarrollar</v>
      </c>
      <c r="C85" s="17" t="s">
        <v>1063</v>
      </c>
      <c r="D85" s="19" t="e">
        <f>COUNTIF(#REF!,$C85)</f>
        <v>#REF!</v>
      </c>
      <c r="E85" s="29" t="e">
        <f t="shared" si="4"/>
        <v>#REF!</v>
      </c>
    </row>
    <row r="86" spans="1:5">
      <c r="B86" s="24" t="str">
        <f>B55</f>
        <v>Desestimar</v>
      </c>
      <c r="C86" s="17" t="s">
        <v>1064</v>
      </c>
      <c r="D86" s="19" t="e">
        <f>COUNTIF(#REF!,$C86)</f>
        <v>#REF!</v>
      </c>
      <c r="E86" s="29" t="e">
        <f t="shared" si="4"/>
        <v>#REF!</v>
      </c>
    </row>
    <row r="87" spans="1:5">
      <c r="B87" s="24"/>
      <c r="C87" s="17" t="s">
        <v>1071</v>
      </c>
      <c r="D87" s="19" t="e">
        <f>COUNTIF(#REF!,$C87)</f>
        <v>#REF!</v>
      </c>
      <c r="E87" s="29" t="e">
        <f t="shared" si="4"/>
        <v>#REF!</v>
      </c>
    </row>
    <row r="88" spans="1:5">
      <c r="B88" s="24"/>
      <c r="C88" s="17" t="s">
        <v>1072</v>
      </c>
      <c r="D88" s="19" t="e">
        <f>COUNTIF(#REF!,$C88)</f>
        <v>#REF!</v>
      </c>
      <c r="E88" s="29" t="e">
        <f t="shared" si="4"/>
        <v>#REF!</v>
      </c>
    </row>
    <row r="89" spans="1:5">
      <c r="B89" s="25"/>
      <c r="C89" s="26" t="s">
        <v>84</v>
      </c>
      <c r="D89" s="34" t="e">
        <f>SUM(D83:D88)</f>
        <v>#REF!</v>
      </c>
      <c r="E89" s="58" t="e">
        <f>SUM(E83:E88)</f>
        <v>#REF!</v>
      </c>
    </row>
    <row r="90" spans="1:5" ht="18" customHeight="1"/>
    <row r="94" spans="1:5" ht="15.75">
      <c r="A94" s="11" t="s">
        <v>1254</v>
      </c>
    </row>
    <row r="95" spans="1:5" ht="18" customHeight="1">
      <c r="A95" s="37" t="s">
        <v>1255</v>
      </c>
      <c r="B95" s="38" t="s">
        <v>1256</v>
      </c>
      <c r="C95" s="38" t="s">
        <v>1257</v>
      </c>
      <c r="D95" s="39" t="s">
        <v>1258</v>
      </c>
    </row>
    <row r="96" spans="1:5">
      <c r="A96" s="179" t="s">
        <v>1259</v>
      </c>
      <c r="B96" s="17" t="s">
        <v>1260</v>
      </c>
      <c r="C96" s="17" t="s">
        <v>1261</v>
      </c>
      <c r="D96" s="13" t="s">
        <v>1262</v>
      </c>
    </row>
    <row r="97" spans="1:10">
      <c r="A97" s="179" t="s">
        <v>1259</v>
      </c>
      <c r="B97" s="17" t="s">
        <v>1263</v>
      </c>
      <c r="C97" s="17" t="s">
        <v>1264</v>
      </c>
      <c r="D97" s="13" t="s">
        <v>1265</v>
      </c>
    </row>
    <row r="98" spans="1:10">
      <c r="A98" s="179" t="s">
        <v>1259</v>
      </c>
      <c r="B98" s="17" t="s">
        <v>1266</v>
      </c>
      <c r="C98" s="17" t="s">
        <v>1267</v>
      </c>
      <c r="D98" s="13" t="s">
        <v>1268</v>
      </c>
    </row>
    <row r="99" spans="1:10">
      <c r="A99" s="179" t="s">
        <v>1259</v>
      </c>
      <c r="B99" s="17" t="s">
        <v>1269</v>
      </c>
      <c r="C99" s="17" t="s">
        <v>1270</v>
      </c>
      <c r="D99" s="13" t="s">
        <v>1271</v>
      </c>
    </row>
    <row r="100" spans="1:10">
      <c r="A100" s="180" t="s">
        <v>1272</v>
      </c>
      <c r="B100" s="17" t="s">
        <v>1273</v>
      </c>
      <c r="C100" s="17" t="s">
        <v>1274</v>
      </c>
      <c r="D100" s="13" t="s">
        <v>1275</v>
      </c>
    </row>
    <row r="101" spans="1:10">
      <c r="A101" s="180" t="s">
        <v>1272</v>
      </c>
      <c r="B101" s="17" t="s">
        <v>1276</v>
      </c>
      <c r="C101" s="17" t="s">
        <v>1277</v>
      </c>
      <c r="D101" s="13" t="s">
        <v>1275</v>
      </c>
    </row>
    <row r="102" spans="1:10">
      <c r="A102" s="180" t="s">
        <v>1272</v>
      </c>
      <c r="B102" s="17" t="s">
        <v>1278</v>
      </c>
      <c r="C102" s="17" t="s">
        <v>1279</v>
      </c>
      <c r="D102" s="13" t="s">
        <v>1280</v>
      </c>
    </row>
    <row r="103" spans="1:10" ht="18" customHeight="1">
      <c r="A103" s="181" t="s">
        <v>1272</v>
      </c>
      <c r="B103" s="21" t="s">
        <v>1281</v>
      </c>
      <c r="C103" s="21" t="s">
        <v>1279</v>
      </c>
      <c r="D103" s="15" t="s">
        <v>1280</v>
      </c>
    </row>
    <row r="105" spans="1:10" ht="30" customHeight="1">
      <c r="B105" s="971" t="s">
        <v>1282</v>
      </c>
      <c r="C105" s="972"/>
      <c r="D105" s="972"/>
      <c r="E105" s="972"/>
      <c r="F105" s="972"/>
      <c r="G105" s="972"/>
      <c r="H105" s="972"/>
    </row>
    <row r="108" spans="1:10" ht="15.75">
      <c r="A108" s="744" t="s">
        <v>1528</v>
      </c>
    </row>
    <row r="109" spans="1:10">
      <c r="A109" s="745" t="s">
        <v>1529</v>
      </c>
    </row>
    <row r="110" spans="1:10">
      <c r="A110" s="746" t="s">
        <v>23</v>
      </c>
      <c r="B110" s="747" t="s">
        <v>1530</v>
      </c>
      <c r="C110" s="747" t="s">
        <v>1531</v>
      </c>
      <c r="D110" s="747" t="s">
        <v>1532</v>
      </c>
      <c r="E110" s="747" t="s">
        <v>1533</v>
      </c>
      <c r="F110" s="747" t="s">
        <v>1534</v>
      </c>
      <c r="G110" s="747" t="s">
        <v>1535</v>
      </c>
      <c r="H110" s="747" t="s">
        <v>1536</v>
      </c>
      <c r="I110" s="747" t="s">
        <v>1537</v>
      </c>
      <c r="J110" s="747" t="s">
        <v>1538</v>
      </c>
    </row>
    <row r="111" spans="1:10">
      <c r="A111" s="748" t="s">
        <v>92</v>
      </c>
      <c r="B111" s="727" t="str" cm="1">
        <f t="array" ref="B111">IFERROR(_xlfn.AGGREGATE(16,6,1/((#REF!=$A111)*(#REF!="Sí"))*#REF!,0.3333),"")</f>
        <v/>
      </c>
      <c r="C111" s="727" t="str" cm="1">
        <f t="array" ref="C111">IFERROR(_xlfn.AGGREGATE(16,6,1/((#REF!=$A111)*(#REF!="Sí"))*#REF!,0.6667),"")</f>
        <v/>
      </c>
      <c r="D111" s="727" t="str" cm="1">
        <f t="array" ref="D111">IFERROR(_xlfn.AGGREGATE(16,6,1/((#REF!=$A111)*(#REF!="Sí"))*#REF!,0.3333),"")</f>
        <v/>
      </c>
      <c r="E111" s="727" t="str" cm="1">
        <f t="array" ref="E111">IFERROR(_xlfn.AGGREGATE(16,6,1/((#REF!=$A111)*(#REF!="Sí"))*#REF!,0.6667),"")</f>
        <v/>
      </c>
      <c r="F111" s="16" t="str" cm="1">
        <f t="array" ref="F111">IFERROR(_xlfn.AGGREGATE(16,6,1/((#REF!=$A111)*(#REF!="Sí"))*#REF!,0.75),"")</f>
        <v/>
      </c>
      <c r="G111" s="16" t="str" cm="1">
        <f t="array" ref="G111">IFERROR(_xlfn.AGGREGATE(16,6,1/((#REF!=$A111)*(#REF!="Sí"))*#REF!,0.75),"")</f>
        <v/>
      </c>
      <c r="H111" s="16" t="str" cm="1">
        <f t="array" ref="H111">IFERROR(_xlfn.AGGREGATE(16,6,1/((#REF!=$A111)*(#REF!="Sí"))*#REF!,0.75),"")</f>
        <v/>
      </c>
      <c r="I111" s="729" t="str" cm="1">
        <f t="array" ref="I111">IFERROR(_xlfn.AGGREGATE(16,6,1/((#REF!=$A111)*(#REF!="Sí"))*#REF!,0.75),"")</f>
        <v/>
      </c>
      <c r="J111" s="728" t="e">
        <f>COUNTIFS(#REF!,$A111,#REF!,"Sí")</f>
        <v>#REF!</v>
      </c>
    </row>
    <row r="112" spans="1:10">
      <c r="A112" s="748" t="s">
        <v>93</v>
      </c>
      <c r="B112" s="727" t="str" cm="1">
        <f t="array" ref="B112">IFERROR(_xlfn.AGGREGATE(16,6,1/((#REF!=$A112)*(#REF!="Sí"))*#REF!,0.3333),"")</f>
        <v/>
      </c>
      <c r="C112" s="727" t="str" cm="1">
        <f t="array" ref="C112">IFERROR(_xlfn.AGGREGATE(16,6,1/((#REF!=$A112)*(#REF!="Sí"))*#REF!,0.6667),"")</f>
        <v/>
      </c>
      <c r="D112" s="727" t="str" cm="1">
        <f t="array" ref="D112">IFERROR(_xlfn.AGGREGATE(16,6,1/((#REF!=$A112)*(#REF!="Sí"))*#REF!,0.3333),"")</f>
        <v/>
      </c>
      <c r="E112" s="727" t="str" cm="1">
        <f t="array" ref="E112">IFERROR(_xlfn.AGGREGATE(16,6,1/((#REF!=$A112)*(#REF!="Sí"))*#REF!,0.6667),"")</f>
        <v/>
      </c>
      <c r="F112" s="16" t="str" cm="1">
        <f t="array" ref="F112">IFERROR(_xlfn.AGGREGATE(16,6,1/((#REF!=$A112)*(#REF!="Sí"))*#REF!,0.75),"")</f>
        <v/>
      </c>
      <c r="G112" s="16" t="str" cm="1">
        <f t="array" ref="G112">IFERROR(_xlfn.AGGREGATE(16,6,1/((#REF!=$A112)*(#REF!="Sí"))*#REF!,0.75),"")</f>
        <v/>
      </c>
      <c r="H112" s="16" t="str" cm="1">
        <f t="array" ref="H112">IFERROR(_xlfn.AGGREGATE(16,6,1/((#REF!=$A112)*(#REF!="Sí"))*#REF!,0.75),"")</f>
        <v/>
      </c>
      <c r="I112" s="729" t="str" cm="1">
        <f t="array" ref="I112">IFERROR(_xlfn.AGGREGATE(16,6,1/((#REF!=$A112)*(#REF!="Sí"))*#REF!,0.75),"")</f>
        <v/>
      </c>
      <c r="J112" s="728" t="e">
        <f>COUNTIFS(#REF!,$A112,#REF!,"Sí")</f>
        <v>#REF!</v>
      </c>
    </row>
    <row r="113" spans="1:10">
      <c r="A113" s="748" t="s">
        <v>94</v>
      </c>
      <c r="B113" s="727" t="str" cm="1">
        <f t="array" ref="B113">IFERROR(_xlfn.AGGREGATE(16,6,1/((#REF!=$A113)*(#REF!="Sí"))*#REF!,0.3333),"")</f>
        <v/>
      </c>
      <c r="C113" s="727" t="str" cm="1">
        <f t="array" ref="C113">IFERROR(_xlfn.AGGREGATE(16,6,1/((#REF!=$A113)*(#REF!="Sí"))*#REF!,0.6667),"")</f>
        <v/>
      </c>
      <c r="D113" s="727" t="str" cm="1">
        <f t="array" ref="D113">IFERROR(_xlfn.AGGREGATE(16,6,1/((#REF!=$A113)*(#REF!="Sí"))*#REF!,0.3333),"")</f>
        <v/>
      </c>
      <c r="E113" s="727" t="str" cm="1">
        <f t="array" ref="E113">IFERROR(_xlfn.AGGREGATE(16,6,1/((#REF!=$A113)*(#REF!="Sí"))*#REF!,0.6667),"")</f>
        <v/>
      </c>
      <c r="F113" s="16" t="str" cm="1">
        <f t="array" ref="F113">IFERROR(_xlfn.AGGREGATE(16,6,1/((#REF!=$A113)*(#REF!="Sí"))*#REF!,0.75),"")</f>
        <v/>
      </c>
      <c r="G113" s="16" t="str" cm="1">
        <f t="array" ref="G113">IFERROR(_xlfn.AGGREGATE(16,6,1/((#REF!=$A113)*(#REF!="Sí"))*#REF!,0.75),"")</f>
        <v/>
      </c>
      <c r="H113" s="16" t="str" cm="1">
        <f t="array" ref="H113">IFERROR(_xlfn.AGGREGATE(16,6,1/((#REF!=$A113)*(#REF!="Sí"))*#REF!,0.75),"")</f>
        <v/>
      </c>
      <c r="I113" s="729" t="str" cm="1">
        <f t="array" ref="I113">IFERROR(_xlfn.AGGREGATE(16,6,1/((#REF!=$A113)*(#REF!="Sí"))*#REF!,0.75),"")</f>
        <v/>
      </c>
      <c r="J113" s="728" t="e">
        <f>COUNTIFS(#REF!,$A113,#REF!,"Sí")</f>
        <v>#REF!</v>
      </c>
    </row>
    <row r="114" spans="1:10">
      <c r="A114" s="748" t="s">
        <v>95</v>
      </c>
      <c r="B114" s="727" t="str" cm="1">
        <f t="array" ref="B114">IFERROR(_xlfn.AGGREGATE(16,6,1/((#REF!=$A114)*(#REF!="Sí"))*#REF!,0.3333),"")</f>
        <v/>
      </c>
      <c r="C114" s="727" t="str" cm="1">
        <f t="array" ref="C114">IFERROR(_xlfn.AGGREGATE(16,6,1/((#REF!=$A114)*(#REF!="Sí"))*#REF!,0.6667),"")</f>
        <v/>
      </c>
      <c r="D114" s="727" t="str" cm="1">
        <f t="array" ref="D114">IFERROR(_xlfn.AGGREGATE(16,6,1/((#REF!=$A114)*(#REF!="Sí"))*#REF!,0.3333),"")</f>
        <v/>
      </c>
      <c r="E114" s="727" t="str" cm="1">
        <f t="array" ref="E114">IFERROR(_xlfn.AGGREGATE(16,6,1/((#REF!=$A114)*(#REF!="Sí"))*#REF!,0.6667),"")</f>
        <v/>
      </c>
      <c r="F114" s="16" t="str" cm="1">
        <f t="array" ref="F114">IFERROR(_xlfn.AGGREGATE(16,6,1/((#REF!=$A114)*(#REF!="Sí"))*#REF!,0.75),"")</f>
        <v/>
      </c>
      <c r="G114" s="16" t="str" cm="1">
        <f t="array" ref="G114">IFERROR(_xlfn.AGGREGATE(16,6,1/((#REF!=$A114)*(#REF!="Sí"))*#REF!,0.75),"")</f>
        <v/>
      </c>
      <c r="H114" s="16" t="str" cm="1">
        <f t="array" ref="H114">IFERROR(_xlfn.AGGREGATE(16,6,1/((#REF!=$A114)*(#REF!="Sí"))*#REF!,0.75),"")</f>
        <v/>
      </c>
      <c r="I114" s="729" t="str" cm="1">
        <f t="array" ref="I114">IFERROR(_xlfn.AGGREGATE(16,6,1/((#REF!=$A114)*(#REF!="Sí"))*#REF!,0.75),"")</f>
        <v/>
      </c>
      <c r="J114" s="728" t="e">
        <f>COUNTIFS(#REF!,$A114,#REF!,"Sí")</f>
        <v>#REF!</v>
      </c>
    </row>
    <row r="116" spans="1:10" ht="15.75">
      <c r="A116" s="744" t="s">
        <v>1541</v>
      </c>
    </row>
    <row r="117" spans="1:10">
      <c r="A117" s="746" t="s">
        <v>99</v>
      </c>
      <c r="B117" s="746" t="s">
        <v>1539</v>
      </c>
      <c r="C117" s="746" t="s">
        <v>81</v>
      </c>
      <c r="D117" s="746" t="s">
        <v>1542</v>
      </c>
    </row>
    <row r="118" spans="1:10">
      <c r="A118">
        <v>1</v>
      </c>
      <c r="B118" t="s">
        <v>1067</v>
      </c>
      <c r="C118" t="s">
        <v>1227</v>
      </c>
      <c r="D118" t="s">
        <v>1543</v>
      </c>
    </row>
    <row r="119" spans="1:10">
      <c r="A119">
        <v>2</v>
      </c>
      <c r="B119" t="s">
        <v>1068</v>
      </c>
      <c r="C119" t="s">
        <v>1229</v>
      </c>
      <c r="D119" t="s">
        <v>1230</v>
      </c>
    </row>
    <row r="120" spans="1:10">
      <c r="A120">
        <v>3</v>
      </c>
      <c r="B120" t="s">
        <v>1069</v>
      </c>
      <c r="C120" t="s">
        <v>1544</v>
      </c>
      <c r="D120" t="s">
        <v>1545</v>
      </c>
    </row>
    <row r="121" spans="1:10">
      <c r="A121">
        <v>4</v>
      </c>
      <c r="B121" t="s">
        <v>1546</v>
      </c>
      <c r="C121" t="s">
        <v>1547</v>
      </c>
      <c r="D121" t="s">
        <v>1548</v>
      </c>
    </row>
    <row r="122" spans="1:10">
      <c r="A122">
        <v>5</v>
      </c>
      <c r="B122" t="s">
        <v>1549</v>
      </c>
      <c r="C122" t="s">
        <v>1550</v>
      </c>
      <c r="D122" t="s">
        <v>1551</v>
      </c>
    </row>
    <row r="123" spans="1:10">
      <c r="A123">
        <v>6</v>
      </c>
      <c r="B123" t="s">
        <v>1552</v>
      </c>
      <c r="C123" t="s">
        <v>1553</v>
      </c>
      <c r="D123" t="s">
        <v>1554</v>
      </c>
    </row>
    <row r="126" spans="1:10" ht="15.75">
      <c r="A126" s="744" t="s">
        <v>1555</v>
      </c>
    </row>
    <row r="127" spans="1:10">
      <c r="A127" s="746" t="s">
        <v>1556</v>
      </c>
      <c r="B127" s="747" t="s">
        <v>5</v>
      </c>
      <c r="C127" s="747" t="s">
        <v>1066</v>
      </c>
      <c r="D127" s="747" t="s">
        <v>1557</v>
      </c>
      <c r="E127" s="747" t="s">
        <v>1540</v>
      </c>
      <c r="F127" s="747" t="s">
        <v>1558</v>
      </c>
      <c r="G127" s="747" t="s">
        <v>1559</v>
      </c>
      <c r="H127" s="747" t="s">
        <v>1560</v>
      </c>
    </row>
    <row r="128" spans="1:10">
      <c r="A128" s="10" t="s">
        <v>1546</v>
      </c>
      <c r="B128" s="728" t="e">
        <f>COUNTIF(#REF!,$A128)</f>
        <v>#REF!</v>
      </c>
      <c r="C128" s="16" t="str">
        <f>IFERROR(B128/SUM($B$128:$B$130),"")</f>
        <v/>
      </c>
      <c r="D128" s="742" t="str">
        <f>IFERROR(SUMIF(#REF!,$A128,#REF!),"")</f>
        <v/>
      </c>
      <c r="E128" s="742" t="str">
        <f>IFERROR(SUMIF(#REF!,$A128,#REF!),"")</f>
        <v/>
      </c>
      <c r="F128" s="742" t="str">
        <f>IFERROR(D128-E128,"")</f>
        <v/>
      </c>
      <c r="G128" s="727" t="str">
        <f>IFERROR(AVERAGEIF(#REF!,$A128,#REF!),"n/a")</f>
        <v>n/a</v>
      </c>
      <c r="H128" s="727" t="str">
        <f>IFERROR(AVERAGEIF(#REF!,$A128,#REF!),"n/a")</f>
        <v>n/a</v>
      </c>
    </row>
    <row r="129" spans="1:8">
      <c r="A129" s="10" t="s">
        <v>1549</v>
      </c>
      <c r="B129" s="728" t="e">
        <f>COUNTIF(#REF!,$A129)</f>
        <v>#REF!</v>
      </c>
      <c r="C129" s="16" t="str">
        <f t="shared" ref="C129:C133" si="5">IFERROR(B129/SUM($B$128:$B$130),"")</f>
        <v/>
      </c>
      <c r="D129" s="742" t="str">
        <f>IFERROR(SUMIF(#REF!,$A129,#REF!),"")</f>
        <v/>
      </c>
      <c r="E129" s="742" t="str">
        <f>IFERROR(SUMIF(#REF!,$A129,#REF!),"")</f>
        <v/>
      </c>
      <c r="F129" s="742" t="str">
        <f t="shared" ref="F129:F133" si="6">IFERROR(D129-E129,"")</f>
        <v/>
      </c>
      <c r="G129" s="727" t="str">
        <f>IFERROR(AVERAGEIF(#REF!,$A129,#REF!),"n/a")</f>
        <v>n/a</v>
      </c>
      <c r="H129" s="727" t="str">
        <f>IFERROR(AVERAGEIF(#REF!,$A129,#REF!),"n/a")</f>
        <v>n/a</v>
      </c>
    </row>
    <row r="130" spans="1:8">
      <c r="A130" s="10" t="s">
        <v>1552</v>
      </c>
      <c r="B130" s="728" t="e">
        <f>COUNTIF(#REF!,$A130)</f>
        <v>#REF!</v>
      </c>
      <c r="C130" s="16" t="str">
        <f t="shared" si="5"/>
        <v/>
      </c>
      <c r="D130" s="742" t="str">
        <f>IFERROR(SUMIF(#REF!,$A130,#REF!),"")</f>
        <v/>
      </c>
      <c r="E130" s="742" t="str">
        <f>IFERROR(SUMIF(#REF!,$A130,#REF!),"")</f>
        <v/>
      </c>
      <c r="F130" s="742" t="str">
        <f t="shared" si="6"/>
        <v/>
      </c>
      <c r="G130" s="727" t="str">
        <f>IFERROR(AVERAGEIF(#REF!,$A130,#REF!),"n/a")</f>
        <v>n/a</v>
      </c>
      <c r="H130" s="727" t="str">
        <f>IFERROR(AVERAGEIF(#REF!,$A130,#REF!),"n/a")</f>
        <v>n/a</v>
      </c>
    </row>
    <row r="131" spans="1:8">
      <c r="A131" s="10" t="s">
        <v>1067</v>
      </c>
      <c r="B131" s="728" t="e">
        <f>COUNTIF(#REF!,$A131)</f>
        <v>#REF!</v>
      </c>
      <c r="C131" s="16" t="str">
        <f t="shared" si="5"/>
        <v/>
      </c>
      <c r="D131" s="742" t="str">
        <f>IFERROR(SUMIF(#REF!,$A131,#REF!),"")</f>
        <v/>
      </c>
      <c r="E131" s="742" t="str">
        <f>IFERROR(SUMIF(#REF!,$A131,#REF!),"")</f>
        <v/>
      </c>
      <c r="F131" s="742" t="str">
        <f t="shared" si="6"/>
        <v/>
      </c>
      <c r="G131" s="727" t="str">
        <f>IFERROR(AVERAGEIF(#REF!,$A131,#REF!),"n/a")</f>
        <v>n/a</v>
      </c>
      <c r="H131" s="727" t="str">
        <f>IFERROR(AVERAGEIF(#REF!,$A131,#REF!),"n/a")</f>
        <v>n/a</v>
      </c>
    </row>
    <row r="132" spans="1:8">
      <c r="A132" s="10" t="s">
        <v>1068</v>
      </c>
      <c r="B132" s="728" t="e">
        <f>COUNTIF(#REF!,$A132)</f>
        <v>#REF!</v>
      </c>
      <c r="C132" s="16" t="str">
        <f t="shared" si="5"/>
        <v/>
      </c>
      <c r="D132" s="742" t="str">
        <f>IFERROR(SUMIF(#REF!,$A132,#REF!),"")</f>
        <v/>
      </c>
      <c r="E132" s="742" t="str">
        <f>IFERROR(SUMIF(#REF!,$A132,#REF!),"")</f>
        <v/>
      </c>
      <c r="F132" s="742" t="str">
        <f t="shared" si="6"/>
        <v/>
      </c>
      <c r="G132" s="727" t="str">
        <f>IFERROR(AVERAGEIF(#REF!,$A132,#REF!),"n/a")</f>
        <v>n/a</v>
      </c>
      <c r="H132" s="727" t="str">
        <f>IFERROR(AVERAGEIF(#REF!,$A132,#REF!),"n/a")</f>
        <v>n/a</v>
      </c>
    </row>
    <row r="133" spans="1:8">
      <c r="A133" s="10" t="s">
        <v>1069</v>
      </c>
      <c r="B133" s="728" t="e">
        <f>COUNTIF(#REF!,$A133)</f>
        <v>#REF!</v>
      </c>
      <c r="C133" s="16" t="str">
        <f t="shared" si="5"/>
        <v/>
      </c>
      <c r="D133" s="742" t="str">
        <f>IFERROR(SUMIF(#REF!,$A133,#REF!),"")</f>
        <v/>
      </c>
      <c r="E133" s="742" t="str">
        <f>IFERROR(SUMIF(#REF!,$A133,#REF!),"")</f>
        <v/>
      </c>
      <c r="F133" s="742" t="str">
        <f t="shared" si="6"/>
        <v/>
      </c>
      <c r="G133" s="727" t="str">
        <f>IFERROR(AVERAGEIF(#REF!,$A133,#REF!),"n/a")</f>
        <v>n/a</v>
      </c>
      <c r="H133" s="727" t="str">
        <f>IFERROR(AVERAGEIF(#REF!,$A133,#REF!),"n/a")</f>
        <v>n/a</v>
      </c>
    </row>
    <row r="134" spans="1:8">
      <c r="A134" s="10" t="s">
        <v>84</v>
      </c>
      <c r="B134" s="749" t="e">
        <f>SUM(B128:B133)</f>
        <v>#REF!</v>
      </c>
      <c r="C134" s="750">
        <f>IFERROR(SUM(C128:C130),"")</f>
        <v>0</v>
      </c>
      <c r="D134" s="743">
        <f>SUM(D128:D133)</f>
        <v>0</v>
      </c>
      <c r="E134" s="743">
        <f>SUM(E128:E133)</f>
        <v>0</v>
      </c>
      <c r="F134" s="743">
        <f>SUM(F128:F133)</f>
        <v>0</v>
      </c>
      <c r="G134" s="751" t="str">
        <f>IFERROR(AVERAGE(#REF!),"n/a")</f>
        <v>n/a</v>
      </c>
      <c r="H134" s="751" t="str">
        <f>IFERROR(AVERAGE(#REF!),"n/a")</f>
        <v>n/a</v>
      </c>
    </row>
    <row r="136" spans="1:8" ht="15.75">
      <c r="A136" s="744" t="s">
        <v>1561</v>
      </c>
    </row>
    <row r="137" spans="1:8">
      <c r="A137" s="746" t="s">
        <v>23</v>
      </c>
      <c r="B137" s="747" t="s">
        <v>1546</v>
      </c>
      <c r="C137" s="747" t="s">
        <v>1549</v>
      </c>
      <c r="D137" s="747" t="s">
        <v>1552</v>
      </c>
      <c r="E137" s="747" t="s">
        <v>1562</v>
      </c>
      <c r="F137" s="747" t="s">
        <v>1563</v>
      </c>
      <c r="G137" s="747" t="s">
        <v>1558</v>
      </c>
    </row>
    <row r="138" spans="1:8" ht="30" customHeight="1">
      <c r="A138" s="10" t="s">
        <v>92</v>
      </c>
      <c r="B138" s="728" t="e">
        <f>COUNTIFS(#REF!,$A138,#REF!,B$137)</f>
        <v>#REF!</v>
      </c>
      <c r="C138" s="728" t="e">
        <f>COUNTIFS(#REF!,$A138,#REF!,C$137)</f>
        <v>#REF!</v>
      </c>
      <c r="D138" s="728" t="e">
        <f>COUNTIFS(#REF!,$A138,#REF!,D$137)</f>
        <v>#REF!</v>
      </c>
      <c r="E138" s="728" t="e">
        <f>SUM(B138:D138)</f>
        <v>#REF!</v>
      </c>
      <c r="F138" s="16" t="str">
        <f>IFERROR((C138+D138)/E138,"")</f>
        <v/>
      </c>
      <c r="G138" s="742" t="str">
        <f>IFERROR(SUMIF(#REF!,$A138,#REF!)-SUMIF(#REF!,$A138,#REF!),"")</f>
        <v/>
      </c>
    </row>
    <row r="139" spans="1:8">
      <c r="A139" s="10" t="s">
        <v>93</v>
      </c>
      <c r="B139" s="728" t="e">
        <f>COUNTIFS(#REF!,$A139,#REF!,B$137)</f>
        <v>#REF!</v>
      </c>
      <c r="C139" s="728" t="e">
        <f>COUNTIFS(#REF!,$A139,#REF!,C$137)</f>
        <v>#REF!</v>
      </c>
      <c r="D139" s="728" t="e">
        <f>COUNTIFS(#REF!,$A139,#REF!,D$137)</f>
        <v>#REF!</v>
      </c>
      <c r="E139" s="728" t="e">
        <f t="shared" ref="E139:E141" si="7">SUM(B139:D139)</f>
        <v>#REF!</v>
      </c>
      <c r="F139" s="16" t="str">
        <f t="shared" ref="F139:F141" si="8">IFERROR((C139+D139)/E139,"")</f>
        <v/>
      </c>
      <c r="G139" s="742" t="str">
        <f>IFERROR(SUMIF(#REF!,$A139,#REF!)-SUMIF(#REF!,$A139,#REF!),"")</f>
        <v/>
      </c>
    </row>
    <row r="140" spans="1:8">
      <c r="A140" s="10" t="s">
        <v>94</v>
      </c>
      <c r="B140" s="728" t="e">
        <f>COUNTIFS(#REF!,$A140,#REF!,B$137)</f>
        <v>#REF!</v>
      </c>
      <c r="C140" s="728" t="e">
        <f>COUNTIFS(#REF!,$A140,#REF!,C$137)</f>
        <v>#REF!</v>
      </c>
      <c r="D140" s="728" t="e">
        <f>COUNTIFS(#REF!,$A140,#REF!,D$137)</f>
        <v>#REF!</v>
      </c>
      <c r="E140" s="728" t="e">
        <f t="shared" si="7"/>
        <v>#REF!</v>
      </c>
      <c r="F140" s="16" t="str">
        <f t="shared" si="8"/>
        <v/>
      </c>
      <c r="G140" s="742" t="str">
        <f>IFERROR(SUMIF(#REF!,$A140,#REF!)-SUMIF(#REF!,$A140,#REF!),"")</f>
        <v/>
      </c>
    </row>
    <row r="141" spans="1:8">
      <c r="A141" s="10" t="s">
        <v>95</v>
      </c>
      <c r="B141" s="728" t="e">
        <f>COUNTIFS(#REF!,$A141,#REF!,B$137)</f>
        <v>#REF!</v>
      </c>
      <c r="C141" s="728" t="e">
        <f>COUNTIFS(#REF!,$A141,#REF!,C$137)</f>
        <v>#REF!</v>
      </c>
      <c r="D141" s="728" t="e">
        <f>COUNTIFS(#REF!,$A141,#REF!,D$137)</f>
        <v>#REF!</v>
      </c>
      <c r="E141" s="728" t="e">
        <f t="shared" si="7"/>
        <v>#REF!</v>
      </c>
      <c r="F141" s="16" t="str">
        <f t="shared" si="8"/>
        <v/>
      </c>
      <c r="G141" s="742" t="str">
        <f>IFERROR(SUMIF(#REF!,$A141,#REF!)-SUMIF(#REF!,$A141,#REF!),"")</f>
        <v/>
      </c>
    </row>
  </sheetData>
  <autoFilter ref="A16:J20" xr:uid="{9AE1F8C4-438A-4984-A3E3-7008BCC7223C}"/>
  <mergeCells count="4">
    <mergeCell ref="A2:I2"/>
    <mergeCell ref="C50:E50"/>
    <mergeCell ref="A52:A55"/>
    <mergeCell ref="B105:H105"/>
  </mergeCells>
  <conditionalFormatting sqref="C52:E55">
    <cfRule type="containsText" dxfId="28" priority="1" operator="containsText" text="P1">
      <formula>NOT(ISERROR(SEARCH("P1",C52)))</formula>
    </cfRule>
    <cfRule type="containsText" dxfId="27" priority="2" operator="containsText" text="P2">
      <formula>NOT(ISERROR(SEARCH("P2",C52)))</formula>
    </cfRule>
    <cfRule type="containsText" dxfId="26" priority="3" operator="containsText" text="P3">
      <formula>NOT(ISERROR(SEARCH("P3",C52)))</formula>
    </cfRule>
    <cfRule type="containsText" dxfId="25" priority="4" operator="containsText" text="P4">
      <formula>NOT(ISERROR(SEARCH("P4",C52)))</formula>
    </cfRule>
    <cfRule type="containsText" dxfId="24" priority="5" operator="containsText" text="No aplica">
      <formula>NOT(ISERROR(SEARCH("No aplica",C52)))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947B1-3E25-4A70-B81A-48FDD80D0B7C}">
  <sheetPr>
    <tabColor rgb="FF00B050"/>
  </sheetPr>
  <dimension ref="A1:V25"/>
  <sheetViews>
    <sheetView showGridLines="0" zoomScale="55" zoomScaleNormal="55" workbookViewId="0">
      <selection activeCell="L8" sqref="L8"/>
    </sheetView>
  </sheetViews>
  <sheetFormatPr defaultRowHeight="15" outlineLevelCol="1"/>
  <cols>
    <col min="1" max="2" width="17.28515625" customWidth="1"/>
    <col min="3" max="4" width="14.140625" customWidth="1"/>
    <col min="5" max="8" width="14.140625" customWidth="1" outlineLevel="1"/>
    <col min="9" max="9" width="2.140625" customWidth="1"/>
    <col min="10" max="11" width="14.140625" customWidth="1"/>
    <col min="12" max="15" width="14.140625" customWidth="1" outlineLevel="1"/>
    <col min="16" max="16" width="2.140625" customWidth="1"/>
    <col min="17" max="18" width="14.140625" customWidth="1"/>
    <col min="19" max="22" width="14.140625" customWidth="1" outlineLevel="1"/>
  </cols>
  <sheetData>
    <row r="1" spans="1:22" ht="18.75">
      <c r="A1" s="8" t="s">
        <v>1670</v>
      </c>
    </row>
    <row r="2" spans="1:22">
      <c r="A2" s="183"/>
    </row>
    <row r="4" spans="1:22">
      <c r="C4" s="973" t="s">
        <v>1671</v>
      </c>
      <c r="D4" s="973"/>
      <c r="E4" s="973"/>
      <c r="F4" s="973"/>
      <c r="G4" s="973"/>
      <c r="H4" s="973"/>
      <c r="J4" s="973" t="s">
        <v>1672</v>
      </c>
      <c r="K4" s="973"/>
      <c r="L4" s="973"/>
      <c r="M4" s="973"/>
      <c r="N4" s="973"/>
      <c r="O4" s="973"/>
      <c r="Q4" s="973" t="s">
        <v>1673</v>
      </c>
      <c r="R4" s="973"/>
      <c r="S4" s="973"/>
      <c r="T4" s="973"/>
      <c r="U4" s="973"/>
      <c r="V4" s="973"/>
    </row>
    <row r="5" spans="1:22" ht="45">
      <c r="A5" s="894" t="s">
        <v>1674</v>
      </c>
      <c r="B5" s="894" t="s">
        <v>23</v>
      </c>
      <c r="C5" s="894" t="s">
        <v>1675</v>
      </c>
      <c r="D5" s="894" t="s">
        <v>1676</v>
      </c>
      <c r="E5" s="894" t="s">
        <v>1677</v>
      </c>
      <c r="F5" s="894" t="s">
        <v>1678</v>
      </c>
      <c r="G5" s="894" t="s">
        <v>1679</v>
      </c>
      <c r="H5" s="894" t="s">
        <v>1680</v>
      </c>
      <c r="I5" s="895"/>
      <c r="J5" s="894" t="s">
        <v>1675</v>
      </c>
      <c r="K5" s="894" t="s">
        <v>1676</v>
      </c>
      <c r="L5" s="894" t="s">
        <v>1677</v>
      </c>
      <c r="M5" s="894" t="s">
        <v>1678</v>
      </c>
      <c r="N5" s="894" t="s">
        <v>1679</v>
      </c>
      <c r="O5" s="894" t="s">
        <v>1680</v>
      </c>
      <c r="P5" s="895"/>
      <c r="Q5" s="894" t="s">
        <v>1675</v>
      </c>
      <c r="R5" s="894" t="s">
        <v>1676</v>
      </c>
      <c r="S5" s="894" t="s">
        <v>1677</v>
      </c>
      <c r="T5" s="894" t="s">
        <v>1678</v>
      </c>
      <c r="U5" s="894" t="s">
        <v>1679</v>
      </c>
      <c r="V5" s="894" t="s">
        <v>1680</v>
      </c>
    </row>
    <row r="6" spans="1:22" s="896" customFormat="1">
      <c r="A6" s="896" t="s">
        <v>1681</v>
      </c>
      <c r="B6" s="896" t="s">
        <v>92</v>
      </c>
      <c r="C6" s="897">
        <v>290.05756278848469</v>
      </c>
      <c r="D6" s="898">
        <v>10789.200152727282</v>
      </c>
      <c r="E6" s="897">
        <v>47.020627395515142</v>
      </c>
      <c r="F6" s="897">
        <v>243.03693539296958</v>
      </c>
      <c r="G6" s="898">
        <v>6556.6453503030361</v>
      </c>
      <c r="H6" s="898">
        <v>4232.5548024242416</v>
      </c>
      <c r="J6" s="897">
        <v>290.05756278848474</v>
      </c>
      <c r="K6" s="898">
        <v>10789.200152727277</v>
      </c>
      <c r="L6" s="897">
        <v>47.020627395515163</v>
      </c>
      <c r="M6" s="897">
        <v>243.03693539296955</v>
      </c>
      <c r="N6" s="898">
        <v>6556.6453503030334</v>
      </c>
      <c r="O6" s="898">
        <v>4232.5548024242426</v>
      </c>
      <c r="Q6" s="897">
        <v>290.05756278848474</v>
      </c>
      <c r="R6" s="898">
        <v>10789.200152727277</v>
      </c>
      <c r="S6" s="897">
        <v>47.020627395515163</v>
      </c>
      <c r="T6" s="897">
        <v>243.03693539296955</v>
      </c>
      <c r="U6" s="898">
        <v>6556.6453503030334</v>
      </c>
      <c r="V6" s="898">
        <v>4232.5548024242426</v>
      </c>
    </row>
    <row r="7" spans="1:22" s="896" customFormat="1">
      <c r="A7" s="896" t="s">
        <v>1681</v>
      </c>
      <c r="B7" s="896" t="s">
        <v>93</v>
      </c>
      <c r="C7" s="897">
        <v>413.90369348922195</v>
      </c>
      <c r="D7" s="898">
        <v>9307.7219993751933</v>
      </c>
      <c r="E7" s="897">
        <v>24.882104402686686</v>
      </c>
      <c r="F7" s="897">
        <v>389.0215890865353</v>
      </c>
      <c r="G7" s="898">
        <v>3210.5726429240863</v>
      </c>
      <c r="H7" s="898">
        <v>6097.1493564511102</v>
      </c>
      <c r="J7" s="897">
        <v>413.90369348922195</v>
      </c>
      <c r="K7" s="898">
        <v>9307.7219993751987</v>
      </c>
      <c r="L7" s="897">
        <v>24.882104402686675</v>
      </c>
      <c r="M7" s="897">
        <v>389.02158908653519</v>
      </c>
      <c r="N7" s="898">
        <v>3210.5726429240854</v>
      </c>
      <c r="O7" s="898">
        <v>6097.1493564511075</v>
      </c>
      <c r="Q7" s="897">
        <v>413.90369348922195</v>
      </c>
      <c r="R7" s="898">
        <v>9307.7219993751987</v>
      </c>
      <c r="S7" s="897">
        <v>24.882104402686675</v>
      </c>
      <c r="T7" s="897">
        <v>389.02158908653519</v>
      </c>
      <c r="U7" s="898">
        <v>3210.5726429240854</v>
      </c>
      <c r="V7" s="898">
        <v>6097.1493564511075</v>
      </c>
    </row>
    <row r="8" spans="1:22" s="896" customFormat="1">
      <c r="A8" s="896" t="s">
        <v>1681</v>
      </c>
      <c r="B8" s="896" t="s">
        <v>94</v>
      </c>
      <c r="C8" s="897">
        <v>471.93861849180161</v>
      </c>
      <c r="D8" s="898">
        <v>10292.402110488449</v>
      </c>
      <c r="E8" s="897">
        <v>24.813361702712026</v>
      </c>
      <c r="F8" s="897">
        <v>447.12525678909009</v>
      </c>
      <c r="G8" s="898">
        <v>3325.1947671924736</v>
      </c>
      <c r="H8" s="898">
        <v>6967.207343295976</v>
      </c>
      <c r="J8" s="897">
        <v>471.93861849180161</v>
      </c>
      <c r="K8" s="898">
        <v>10292.402110488449</v>
      </c>
      <c r="L8" s="897">
        <v>24.81336170271204</v>
      </c>
      <c r="M8" s="897">
        <v>447.12525678908969</v>
      </c>
      <c r="N8" s="898">
        <v>3325.1947671924772</v>
      </c>
      <c r="O8" s="898">
        <v>6967.2073432959696</v>
      </c>
      <c r="Q8" s="897">
        <v>471.93861849180161</v>
      </c>
      <c r="R8" s="898">
        <v>10292.402110488449</v>
      </c>
      <c r="S8" s="897">
        <v>24.81336170271204</v>
      </c>
      <c r="T8" s="897">
        <v>447.12525678908969</v>
      </c>
      <c r="U8" s="898">
        <v>3325.1947671924772</v>
      </c>
      <c r="V8" s="898">
        <v>6967.2073432959696</v>
      </c>
    </row>
    <row r="9" spans="1:22" s="896" customFormat="1">
      <c r="A9" s="896" t="s">
        <v>1681</v>
      </c>
      <c r="B9" s="896" t="s">
        <v>95</v>
      </c>
      <c r="C9" s="897">
        <v>283.80378161346812</v>
      </c>
      <c r="D9" s="898">
        <v>7059.6743602693587</v>
      </c>
      <c r="E9" s="897">
        <v>23.263540627272743</v>
      </c>
      <c r="F9" s="897">
        <v>260.54024098619527</v>
      </c>
      <c r="G9" s="898">
        <v>2908.169932659931</v>
      </c>
      <c r="H9" s="898">
        <v>4151.5044276094277</v>
      </c>
      <c r="J9" s="897">
        <v>283.80378161346812</v>
      </c>
      <c r="K9" s="898">
        <v>7059.6743602693596</v>
      </c>
      <c r="L9" s="897">
        <v>23.263540627272743</v>
      </c>
      <c r="M9" s="897">
        <v>260.54024098619539</v>
      </c>
      <c r="N9" s="898">
        <v>2908.169932659931</v>
      </c>
      <c r="O9" s="898">
        <v>4151.5044276094277</v>
      </c>
      <c r="Q9" s="897">
        <v>283.80378161346812</v>
      </c>
      <c r="R9" s="898">
        <v>7059.6743602693596</v>
      </c>
      <c r="S9" s="897">
        <v>23.263540627272743</v>
      </c>
      <c r="T9" s="897">
        <v>260.54024098619539</v>
      </c>
      <c r="U9" s="898">
        <v>2908.169932659931</v>
      </c>
      <c r="V9" s="898">
        <v>4151.5044276094277</v>
      </c>
    </row>
    <row r="10" spans="1:22" s="896" customFormat="1">
      <c r="A10" s="899" t="s">
        <v>1681</v>
      </c>
      <c r="B10" s="899" t="s">
        <v>1471</v>
      </c>
      <c r="C10" s="900">
        <v>413.79087151536339</v>
      </c>
      <c r="D10" s="901">
        <v>9900.4801189266836</v>
      </c>
      <c r="E10" s="900">
        <v>28.305800832021283</v>
      </c>
      <c r="F10" s="900">
        <v>385.48507068334197</v>
      </c>
      <c r="G10" s="901">
        <v>3805.1746713644839</v>
      </c>
      <c r="H10" s="901">
        <v>6095.3054475622175</v>
      </c>
      <c r="I10" s="899"/>
      <c r="J10" s="900">
        <v>413.79087151536299</v>
      </c>
      <c r="K10" s="901">
        <v>9900.4801189266946</v>
      </c>
      <c r="L10" s="900">
        <v>28.305800832021355</v>
      </c>
      <c r="M10" s="900">
        <v>385.4850706833418</v>
      </c>
      <c r="N10" s="901">
        <v>3805.1746713644784</v>
      </c>
      <c r="O10" s="901">
        <v>6095.3054475622166</v>
      </c>
      <c r="P10" s="899"/>
      <c r="Q10" s="900">
        <v>413.79087151536299</v>
      </c>
      <c r="R10" s="901">
        <v>9900.4801189266946</v>
      </c>
      <c r="S10" s="900">
        <v>28.305800832021355</v>
      </c>
      <c r="T10" s="900">
        <v>385.4850706833418</v>
      </c>
      <c r="U10" s="901">
        <v>3805.1746713644784</v>
      </c>
      <c r="V10" s="901">
        <v>6095.3054475622166</v>
      </c>
    </row>
    <row r="11" spans="1:22" s="896" customFormat="1">
      <c r="A11" s="896" t="s">
        <v>1682</v>
      </c>
      <c r="B11" s="896" t="s">
        <v>92</v>
      </c>
      <c r="C11" s="897">
        <v>370.36930127124066</v>
      </c>
      <c r="D11" s="898">
        <v>15576.313050007924</v>
      </c>
      <c r="E11" s="897">
        <v>74.451832292978011</v>
      </c>
      <c r="F11" s="897">
        <v>295.91746897826255</v>
      </c>
      <c r="G11" s="898">
        <v>10422.829270186507</v>
      </c>
      <c r="H11" s="898">
        <v>5153.4837798214057</v>
      </c>
      <c r="J11" s="897">
        <v>353.07677893885517</v>
      </c>
      <c r="K11" s="898">
        <v>17014.604903704669</v>
      </c>
      <c r="L11" s="897">
        <v>88.622343841885495</v>
      </c>
      <c r="M11" s="897">
        <v>264.45443509696952</v>
      </c>
      <c r="N11" s="898">
        <v>12409.058477264472</v>
      </c>
      <c r="O11" s="898">
        <v>4605.5464264402026</v>
      </c>
      <c r="Q11" s="897">
        <v>365.7489962015822</v>
      </c>
      <c r="R11" s="898">
        <v>20003.180216569352</v>
      </c>
      <c r="S11" s="897">
        <v>110.71330983641057</v>
      </c>
      <c r="T11" s="897">
        <v>255.03568636517159</v>
      </c>
      <c r="U11" s="898">
        <v>15561.663879272344</v>
      </c>
      <c r="V11" s="898">
        <v>4441.5163372970001</v>
      </c>
    </row>
    <row r="12" spans="1:22" s="896" customFormat="1">
      <c r="A12" s="896" t="s">
        <v>1682</v>
      </c>
      <c r="B12" s="896" t="s">
        <v>93</v>
      </c>
      <c r="C12" s="897">
        <v>460.69939883723538</v>
      </c>
      <c r="D12" s="898">
        <v>15158.510307051518</v>
      </c>
      <c r="E12" s="897">
        <v>69.22963895456212</v>
      </c>
      <c r="F12" s="897">
        <v>391.46975988267326</v>
      </c>
      <c r="G12" s="898">
        <v>9022.9906816669845</v>
      </c>
      <c r="H12" s="898">
        <v>6135.5196253845252</v>
      </c>
      <c r="J12" s="897">
        <v>486.38364633387846</v>
      </c>
      <c r="K12" s="898">
        <v>18641.400622383549</v>
      </c>
      <c r="L12" s="897">
        <v>97.294749197775545</v>
      </c>
      <c r="M12" s="897">
        <v>389.08889713610301</v>
      </c>
      <c r="N12" s="898">
        <v>12543.196344450913</v>
      </c>
      <c r="O12" s="898">
        <v>6098.2042779326393</v>
      </c>
      <c r="Q12" s="897">
        <v>518.75854194147644</v>
      </c>
      <c r="R12" s="898">
        <v>22817.628073442578</v>
      </c>
      <c r="S12" s="897">
        <v>129.68963548536911</v>
      </c>
      <c r="T12" s="897">
        <v>389.06890645610719</v>
      </c>
      <c r="U12" s="898">
        <v>16719.737110156446</v>
      </c>
      <c r="V12" s="898">
        <v>6097.8909632861232</v>
      </c>
    </row>
    <row r="13" spans="1:22" s="896" customFormat="1">
      <c r="A13" s="896" t="s">
        <v>1682</v>
      </c>
      <c r="B13" s="896" t="s">
        <v>94</v>
      </c>
      <c r="C13" s="897">
        <v>527.74157371492356</v>
      </c>
      <c r="D13" s="898">
        <v>17575.722407594156</v>
      </c>
      <c r="E13" s="897">
        <v>79.17657241364617</v>
      </c>
      <c r="F13" s="897">
        <v>448.56500130127716</v>
      </c>
      <c r="G13" s="898">
        <v>10586.080638182735</v>
      </c>
      <c r="H13" s="898">
        <v>6989.6417694114152</v>
      </c>
      <c r="J13" s="897">
        <v>560.11899207103625</v>
      </c>
      <c r="K13" s="898">
        <v>21872.227098345473</v>
      </c>
      <c r="L13" s="897">
        <v>112.02385732617874</v>
      </c>
      <c r="M13" s="897">
        <v>448.09513474485743</v>
      </c>
      <c r="N13" s="898">
        <v>14889.906896375282</v>
      </c>
      <c r="O13" s="898">
        <v>6982.3202019701848</v>
      </c>
      <c r="Q13" s="897">
        <v>597.42674633025558</v>
      </c>
      <c r="R13" s="898">
        <v>26833.336733541029</v>
      </c>
      <c r="S13" s="897">
        <v>149.35669854851673</v>
      </c>
      <c r="T13" s="897">
        <v>448.07004778173877</v>
      </c>
      <c r="U13" s="898">
        <v>19851.407442330226</v>
      </c>
      <c r="V13" s="898">
        <v>6981.929291210824</v>
      </c>
    </row>
    <row r="14" spans="1:22" s="896" customFormat="1">
      <c r="A14" s="896" t="s">
        <v>1682</v>
      </c>
      <c r="B14" s="896" t="s">
        <v>95</v>
      </c>
      <c r="C14" s="897">
        <v>413.05720745401743</v>
      </c>
      <c r="D14" s="898">
        <v>13475.741221165978</v>
      </c>
      <c r="E14" s="897">
        <v>61.958581118102629</v>
      </c>
      <c r="F14" s="897">
        <v>351.09862633591473</v>
      </c>
      <c r="G14" s="898">
        <v>7881.2599377992101</v>
      </c>
      <c r="H14" s="898">
        <v>5594.4812833667738</v>
      </c>
      <c r="J14" s="897">
        <v>405.40109997306411</v>
      </c>
      <c r="K14" s="898">
        <v>15358.474263875447</v>
      </c>
      <c r="L14" s="897">
        <v>81.080219994612833</v>
      </c>
      <c r="M14" s="897">
        <v>324.32087997845133</v>
      </c>
      <c r="N14" s="898">
        <v>10190.675369930053</v>
      </c>
      <c r="O14" s="898">
        <v>5167.7988939453935</v>
      </c>
      <c r="Q14" s="897">
        <v>411.04169642065108</v>
      </c>
      <c r="R14" s="898">
        <v>17846.355577234444</v>
      </c>
      <c r="S14" s="897">
        <v>102.76042410516277</v>
      </c>
      <c r="T14" s="897">
        <v>308.28127231548837</v>
      </c>
      <c r="U14" s="898">
        <v>12934.135253332048</v>
      </c>
      <c r="V14" s="898">
        <v>4912.2203239023993</v>
      </c>
    </row>
    <row r="15" spans="1:22" s="896" customFormat="1">
      <c r="A15" s="899" t="s">
        <v>1682</v>
      </c>
      <c r="B15" s="899" t="s">
        <v>1471</v>
      </c>
      <c r="C15" s="900">
        <v>476.41133140314759</v>
      </c>
      <c r="D15" s="901">
        <v>16387.537209537506</v>
      </c>
      <c r="E15" s="900">
        <v>74.790402196813631</v>
      </c>
      <c r="F15" s="900">
        <v>401.6209292063341</v>
      </c>
      <c r="G15" s="901">
        <v>10021.843109169658</v>
      </c>
      <c r="H15" s="901">
        <v>6365.694100367843</v>
      </c>
      <c r="I15" s="899"/>
      <c r="J15" s="900">
        <v>496.19707318940578</v>
      </c>
      <c r="K15" s="901">
        <v>19857.11665614408</v>
      </c>
      <c r="L15" s="900">
        <v>102.36193037884894</v>
      </c>
      <c r="M15" s="900">
        <v>393.83514281055699</v>
      </c>
      <c r="N15" s="901">
        <v>13623.432767981114</v>
      </c>
      <c r="O15" s="901">
        <v>6233.6838881629546</v>
      </c>
      <c r="P15" s="899"/>
      <c r="Q15" s="900">
        <v>525.97223413557481</v>
      </c>
      <c r="R15" s="901">
        <v>24135.868969241325</v>
      </c>
      <c r="S15" s="900">
        <v>134.80755657936703</v>
      </c>
      <c r="T15" s="900">
        <v>391.16467755620823</v>
      </c>
      <c r="U15" s="901">
        <v>17947.166096760116</v>
      </c>
      <c r="V15" s="901">
        <v>6188.7028724811844</v>
      </c>
    </row>
    <row r="16" spans="1:22" s="896" customFormat="1">
      <c r="A16" s="896" t="s">
        <v>1683</v>
      </c>
      <c r="B16" s="896" t="s">
        <v>92</v>
      </c>
      <c r="C16" s="897">
        <v>360.13002959009725</v>
      </c>
      <c r="D16" s="898">
        <v>14906.08613778329</v>
      </c>
      <c r="E16" s="897">
        <v>70.459867753087252</v>
      </c>
      <c r="F16" s="897">
        <v>289.67016183701008</v>
      </c>
      <c r="G16" s="898">
        <v>9861.400923086032</v>
      </c>
      <c r="H16" s="898">
        <v>5044.6852146972496</v>
      </c>
      <c r="J16" s="897">
        <v>342.07670920891576</v>
      </c>
      <c r="K16" s="898">
        <v>15962.982654291587</v>
      </c>
      <c r="L16" s="897">
        <v>81.628326848309754</v>
      </c>
      <c r="M16" s="897">
        <v>260.44838236060593</v>
      </c>
      <c r="N16" s="898">
        <v>11427.202733591123</v>
      </c>
      <c r="O16" s="898">
        <v>4535.7799207004691</v>
      </c>
      <c r="Q16" s="897">
        <v>351.0935314484118</v>
      </c>
      <c r="R16" s="898">
        <v>18294.197148426494</v>
      </c>
      <c r="S16" s="897">
        <v>98.954082858189636</v>
      </c>
      <c r="T16" s="897">
        <v>252.13944859022209</v>
      </c>
      <c r="U16" s="898">
        <v>13903.119585316239</v>
      </c>
      <c r="V16" s="898">
        <v>4391.0775631102524</v>
      </c>
    </row>
    <row r="17" spans="1:22" s="896" customFormat="1">
      <c r="A17" s="896" t="s">
        <v>1683</v>
      </c>
      <c r="B17" s="896" t="s">
        <v>93</v>
      </c>
      <c r="C17" s="897">
        <v>459.06648580872115</v>
      </c>
      <c r="D17" s="898">
        <v>14944.172440293769</v>
      </c>
      <c r="E17" s="897">
        <v>67.596725926047881</v>
      </c>
      <c r="F17" s="897">
        <v>391.46975988267326</v>
      </c>
      <c r="G17" s="898">
        <v>8808.6528149092373</v>
      </c>
      <c r="H17" s="898">
        <v>6135.5196253845252</v>
      </c>
      <c r="J17" s="897">
        <v>482.26518991817886</v>
      </c>
      <c r="K17" s="898">
        <v>18109.361167150095</v>
      </c>
      <c r="L17" s="897">
        <v>93.176292782075834</v>
      </c>
      <c r="M17" s="897">
        <v>389.08889713610301</v>
      </c>
      <c r="N17" s="898">
        <v>12011.156889217455</v>
      </c>
      <c r="O17" s="898">
        <v>6098.2042779326393</v>
      </c>
      <c r="Q17" s="897">
        <v>510.88152122149506</v>
      </c>
      <c r="R17" s="898">
        <v>21801.077732083311</v>
      </c>
      <c r="S17" s="897">
        <v>121.81261476538779</v>
      </c>
      <c r="T17" s="897">
        <v>389.06890645610719</v>
      </c>
      <c r="U17" s="898">
        <v>15703.186768797173</v>
      </c>
      <c r="V17" s="898">
        <v>6097.8909632861232</v>
      </c>
    </row>
    <row r="18" spans="1:22" s="896" customFormat="1">
      <c r="A18" s="896" t="s">
        <v>1683</v>
      </c>
      <c r="B18" s="896" t="s">
        <v>94</v>
      </c>
      <c r="C18" s="897">
        <v>523.42699016336326</v>
      </c>
      <c r="D18" s="898">
        <v>16999.363321955752</v>
      </c>
      <c r="E18" s="897">
        <v>74.861988862085695</v>
      </c>
      <c r="F18" s="897">
        <v>448.56500130127716</v>
      </c>
      <c r="G18" s="898">
        <v>10009.721552544326</v>
      </c>
      <c r="H18" s="898">
        <v>6989.6417694114152</v>
      </c>
      <c r="J18" s="897">
        <v>548.69903168004021</v>
      </c>
      <c r="K18" s="898">
        <v>20357.665073964174</v>
      </c>
      <c r="L18" s="897">
        <v>100.603896935183</v>
      </c>
      <c r="M18" s="897">
        <v>448.09513474485743</v>
      </c>
      <c r="N18" s="898">
        <v>13375.344871993992</v>
      </c>
      <c r="O18" s="898">
        <v>6982.3202019701848</v>
      </c>
      <c r="Q18" s="897">
        <v>572.73776660734825</v>
      </c>
      <c r="R18" s="898">
        <v>23556.929661951246</v>
      </c>
      <c r="S18" s="897">
        <v>124.66771882560924</v>
      </c>
      <c r="T18" s="897">
        <v>448.07004778173877</v>
      </c>
      <c r="U18" s="898">
        <v>16575.000370740428</v>
      </c>
      <c r="V18" s="898">
        <v>6981.929291210824</v>
      </c>
    </row>
    <row r="19" spans="1:22" s="896" customFormat="1">
      <c r="A19" s="896" t="s">
        <v>1683</v>
      </c>
      <c r="B19" s="896" t="s">
        <v>95</v>
      </c>
      <c r="C19" s="897">
        <v>387.16192185936137</v>
      </c>
      <c r="D19" s="898">
        <v>12266.381836759534</v>
      </c>
      <c r="E19" s="897">
        <v>54.874103962391587</v>
      </c>
      <c r="F19" s="897">
        <v>332.28781789696967</v>
      </c>
      <c r="G19" s="898">
        <v>6971.6360346589026</v>
      </c>
      <c r="H19" s="898">
        <v>5294.745802100635</v>
      </c>
      <c r="J19" s="897">
        <v>385.13299590579027</v>
      </c>
      <c r="K19" s="898">
        <v>13387.334452419775</v>
      </c>
      <c r="L19" s="897">
        <v>66.110246526665591</v>
      </c>
      <c r="M19" s="897">
        <v>319.02274937912466</v>
      </c>
      <c r="N19" s="898">
        <v>8303.9571148447176</v>
      </c>
      <c r="O19" s="898">
        <v>5083.3773375750561</v>
      </c>
      <c r="Q19" s="897">
        <v>383.21198479948481</v>
      </c>
      <c r="R19" s="898">
        <v>14464.873315737055</v>
      </c>
      <c r="S19" s="897">
        <v>76.107339802178416</v>
      </c>
      <c r="T19" s="897">
        <v>307.10464499730654</v>
      </c>
      <c r="U19" s="898">
        <v>9571.4016254529724</v>
      </c>
      <c r="V19" s="898">
        <v>4893.4716902840828</v>
      </c>
    </row>
    <row r="20" spans="1:22" s="896" customFormat="1">
      <c r="A20" s="899" t="s">
        <v>1683</v>
      </c>
      <c r="B20" s="899" t="s">
        <v>1471</v>
      </c>
      <c r="C20" s="900">
        <v>470.13566524218152</v>
      </c>
      <c r="D20" s="901">
        <v>15812.906498767259</v>
      </c>
      <c r="E20" s="900">
        <v>70.787640745915994</v>
      </c>
      <c r="F20" s="900">
        <v>399.34802449626534</v>
      </c>
      <c r="G20" s="901">
        <v>9485.0446851277666</v>
      </c>
      <c r="H20" s="901">
        <v>6327.8618136394971</v>
      </c>
      <c r="I20" s="899"/>
      <c r="J20" s="900">
        <v>485.45893586699145</v>
      </c>
      <c r="K20" s="901">
        <v>18551.055110712798</v>
      </c>
      <c r="L20" s="900">
        <v>92.656156839975296</v>
      </c>
      <c r="M20" s="900">
        <v>392.80277902701624</v>
      </c>
      <c r="N20" s="901">
        <v>12334.856953351684</v>
      </c>
      <c r="O20" s="901">
        <v>6216.1981573610938</v>
      </c>
      <c r="P20" s="899"/>
      <c r="Q20" s="900">
        <v>505.49442094343772</v>
      </c>
      <c r="R20" s="901">
        <v>21482.990106457208</v>
      </c>
      <c r="S20" s="900">
        <v>114.90932153134526</v>
      </c>
      <c r="T20" s="900">
        <v>390.58509941209246</v>
      </c>
      <c r="U20" s="901">
        <v>15304.271221805871</v>
      </c>
      <c r="V20" s="901">
        <v>6178.7188846513409</v>
      </c>
    </row>
    <row r="21" spans="1:22" s="896" customFormat="1">
      <c r="A21" s="896" t="s">
        <v>1684</v>
      </c>
      <c r="B21" s="896" t="s">
        <v>92</v>
      </c>
      <c r="C21" s="897">
        <v>351.67896730186891</v>
      </c>
      <c r="D21" s="898">
        <v>13714.586993635416</v>
      </c>
      <c r="E21" s="897">
        <v>62.008805464858781</v>
      </c>
      <c r="F21" s="897">
        <v>289.67016183701008</v>
      </c>
      <c r="G21" s="898">
        <v>8669.9017789381578</v>
      </c>
      <c r="H21" s="898">
        <v>5044.6852146972496</v>
      </c>
      <c r="J21" s="897">
        <v>325.22053467773986</v>
      </c>
      <c r="K21" s="898">
        <v>13590.763908772531</v>
      </c>
      <c r="L21" s="897">
        <v>64.772152317133859</v>
      </c>
      <c r="M21" s="897">
        <v>260.44838236060593</v>
      </c>
      <c r="N21" s="898">
        <v>9054.9839880720647</v>
      </c>
      <c r="O21" s="898">
        <v>4535.7799207004691</v>
      </c>
      <c r="Q21" s="897">
        <v>319.71678800681661</v>
      </c>
      <c r="R21" s="898">
        <v>13855.182070400495</v>
      </c>
      <c r="S21" s="897">
        <v>67.57733941659464</v>
      </c>
      <c r="T21" s="897">
        <v>252.13944859022209</v>
      </c>
      <c r="U21" s="898">
        <v>9464.1045072902398</v>
      </c>
      <c r="V21" s="898">
        <v>4391.0775631102524</v>
      </c>
    </row>
    <row r="22" spans="1:22" s="896" customFormat="1">
      <c r="A22" s="896" t="s">
        <v>1684</v>
      </c>
      <c r="B22" s="896" t="s">
        <v>93</v>
      </c>
      <c r="C22" s="897">
        <v>453.48236423287841</v>
      </c>
      <c r="D22" s="898">
        <v>14213.58452857162</v>
      </c>
      <c r="E22" s="897">
        <v>62.012604350205265</v>
      </c>
      <c r="F22" s="897">
        <v>391.46975988267326</v>
      </c>
      <c r="G22" s="898">
        <v>8078.0649031870889</v>
      </c>
      <c r="H22" s="898">
        <v>6135.5196253845252</v>
      </c>
      <c r="J22" s="897">
        <v>456.99464881417504</v>
      </c>
      <c r="K22" s="898">
        <v>14853.319612971212</v>
      </c>
      <c r="L22" s="897">
        <v>67.90575167807188</v>
      </c>
      <c r="M22" s="897">
        <v>389.08889713610301</v>
      </c>
      <c r="N22" s="898">
        <v>8755.1153350385739</v>
      </c>
      <c r="O22" s="898">
        <v>6098.2042779326393</v>
      </c>
      <c r="Q22" s="897">
        <v>458.15498633616204</v>
      </c>
      <c r="R22" s="898">
        <v>15006.071876527349</v>
      </c>
      <c r="S22" s="897">
        <v>69.086079880054598</v>
      </c>
      <c r="T22" s="897">
        <v>389.06890645610719</v>
      </c>
      <c r="U22" s="898">
        <v>8908.1809132412254</v>
      </c>
      <c r="V22" s="898">
        <v>6097.8909632861232</v>
      </c>
    </row>
    <row r="23" spans="1:22" s="896" customFormat="1">
      <c r="A23" s="896" t="s">
        <v>1684</v>
      </c>
      <c r="B23" s="896" t="s">
        <v>94</v>
      </c>
      <c r="C23" s="897">
        <v>521.24368740524324</v>
      </c>
      <c r="D23" s="898">
        <v>16707.841573064081</v>
      </c>
      <c r="E23" s="897">
        <v>72.678686103965873</v>
      </c>
      <c r="F23" s="897">
        <v>448.56500130127716</v>
      </c>
      <c r="G23" s="898">
        <v>9718.1998036526566</v>
      </c>
      <c r="H23" s="898">
        <v>6989.6417694114152</v>
      </c>
      <c r="J23" s="897">
        <v>531.50143564906546</v>
      </c>
      <c r="K23" s="898">
        <v>18077.474137763998</v>
      </c>
      <c r="L23" s="897">
        <v>83.406300904207839</v>
      </c>
      <c r="M23" s="897">
        <v>448.09513474485743</v>
      </c>
      <c r="N23" s="898">
        <v>11095.153935793827</v>
      </c>
      <c r="O23" s="898">
        <v>6982.3202019701848</v>
      </c>
      <c r="Q23" s="897">
        <v>532.59239175818266</v>
      </c>
      <c r="R23" s="898">
        <v>18230.166469926175</v>
      </c>
      <c r="S23" s="897">
        <v>84.522343976444105</v>
      </c>
      <c r="T23" s="897">
        <v>448.07004778173877</v>
      </c>
      <c r="U23" s="898">
        <v>11248.237178715359</v>
      </c>
      <c r="V23" s="898">
        <v>6981.929291210824</v>
      </c>
    </row>
    <row r="24" spans="1:22" s="896" customFormat="1">
      <c r="A24" s="896" t="s">
        <v>1684</v>
      </c>
      <c r="B24" s="896" t="s">
        <v>95</v>
      </c>
      <c r="C24" s="897">
        <v>305.89847072396543</v>
      </c>
      <c r="D24" s="898">
        <v>9800.7445209501293</v>
      </c>
      <c r="E24" s="897">
        <v>44.501113484795987</v>
      </c>
      <c r="F24" s="897">
        <v>261.39735723916948</v>
      </c>
      <c r="G24" s="898">
        <v>5635.5826179897513</v>
      </c>
      <c r="H24" s="898">
        <v>4165.1619029603735</v>
      </c>
      <c r="J24" s="897">
        <v>308.46289997226631</v>
      </c>
      <c r="K24" s="898">
        <v>10099.467982272987</v>
      </c>
      <c r="L24" s="897">
        <v>47.352224855431231</v>
      </c>
      <c r="M24" s="897">
        <v>261.11067511683507</v>
      </c>
      <c r="N24" s="898">
        <v>5938.874134119359</v>
      </c>
      <c r="O24" s="898">
        <v>4160.5938481536259</v>
      </c>
      <c r="Q24" s="897">
        <v>309.01979567687482</v>
      </c>
      <c r="R24" s="898">
        <v>10193.08405579453</v>
      </c>
      <c r="S24" s="897">
        <v>48.081129833440414</v>
      </c>
      <c r="T24" s="897">
        <v>260.93866584343442</v>
      </c>
      <c r="U24" s="898">
        <v>6035.2310405249491</v>
      </c>
      <c r="V24" s="898">
        <v>4157.8530152695776</v>
      </c>
    </row>
    <row r="25" spans="1:22" s="896" customFormat="1">
      <c r="A25" s="899" t="s">
        <v>1684</v>
      </c>
      <c r="B25" s="899" t="s">
        <v>1471</v>
      </c>
      <c r="C25" s="900">
        <v>461.46082657174236</v>
      </c>
      <c r="D25" s="901">
        <v>15172.620708709288</v>
      </c>
      <c r="E25" s="900">
        <v>66.568208122405466</v>
      </c>
      <c r="F25" s="900">
        <v>394.89261844933679</v>
      </c>
      <c r="G25" s="901">
        <v>8915.7522965520693</v>
      </c>
      <c r="H25" s="901">
        <v>6256.8684121572187</v>
      </c>
      <c r="I25" s="899"/>
      <c r="J25" s="900">
        <v>463.75367653450417</v>
      </c>
      <c r="K25" s="901">
        <v>16094.293944291674</v>
      </c>
      <c r="L25" s="900">
        <v>74.590622845201395</v>
      </c>
      <c r="M25" s="900">
        <v>389.16305368930244</v>
      </c>
      <c r="N25" s="901">
        <v>9936.09195595848</v>
      </c>
      <c r="O25" s="901">
        <v>6158.2019883332123</v>
      </c>
      <c r="P25" s="899"/>
      <c r="Q25" s="900">
        <v>463.65239649018639</v>
      </c>
      <c r="R25" s="901">
        <v>16260.440878040214</v>
      </c>
      <c r="S25" s="900">
        <v>75.968790181339372</v>
      </c>
      <c r="T25" s="900">
        <v>387.68360630884621</v>
      </c>
      <c r="U25" s="901">
        <v>10127.955010673297</v>
      </c>
      <c r="V25" s="901">
        <v>6132.4858673669114</v>
      </c>
    </row>
  </sheetData>
  <mergeCells count="3">
    <mergeCell ref="C4:H4"/>
    <mergeCell ref="J4:O4"/>
    <mergeCell ref="Q4:V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A05BC-93CF-4CD0-85F9-7DA77892BF11}">
  <sheetPr>
    <tabColor theme="6" tint="0.39997558519241921"/>
  </sheetPr>
  <dimension ref="A1:CB796"/>
  <sheetViews>
    <sheetView tabSelected="1" zoomScale="70" zoomScaleNormal="70" workbookViewId="0">
      <pane ySplit="7" topLeftCell="A8" activePane="bottomLeft" state="frozen"/>
      <selection activeCell="F32" sqref="F32"/>
      <selection pane="bottomLeft" activeCell="D13" sqref="D13"/>
    </sheetView>
  </sheetViews>
  <sheetFormatPr defaultRowHeight="15"/>
  <cols>
    <col min="1" max="1" width="34.5703125" customWidth="1"/>
    <col min="2" max="2" width="18.140625" bestFit="1" customWidth="1"/>
    <col min="3" max="3" width="25" bestFit="1" customWidth="1"/>
    <col min="4" max="4" width="13.5703125" bestFit="1" customWidth="1"/>
    <col min="5" max="5" width="11.7109375" bestFit="1" customWidth="1"/>
    <col min="6" max="6" width="15.85546875" bestFit="1" customWidth="1"/>
    <col min="7" max="7" width="12.5703125" customWidth="1"/>
    <col min="8" max="8" width="18.140625" bestFit="1" customWidth="1"/>
    <col min="9" max="12" width="16" customWidth="1"/>
    <col min="13" max="13" width="12" bestFit="1" customWidth="1"/>
    <col min="14" max="14" width="13" bestFit="1" customWidth="1"/>
    <col min="15" max="15" width="12.85546875" bestFit="1" customWidth="1"/>
    <col min="16" max="19" width="12.42578125" customWidth="1"/>
    <col min="20" max="20" width="8.7109375" bestFit="1" customWidth="1"/>
    <col min="21" max="27" width="12.140625" customWidth="1"/>
    <col min="28" max="34" width="10.28515625" customWidth="1"/>
    <col min="35" max="35" width="15.85546875" bestFit="1" customWidth="1"/>
    <col min="36" max="36" width="21.5703125" bestFit="1" customWidth="1"/>
    <col min="37" max="37" width="20" bestFit="1" customWidth="1"/>
    <col min="38" max="38" width="17.85546875" bestFit="1" customWidth="1"/>
    <col min="39" max="39" width="16.7109375" bestFit="1" customWidth="1"/>
    <col min="40" max="40" width="23.42578125" bestFit="1" customWidth="1"/>
    <col min="41" max="41" width="20" bestFit="1" customWidth="1"/>
    <col min="42" max="42" width="14" bestFit="1" customWidth="1"/>
    <col min="43" max="43" width="19.140625" bestFit="1" customWidth="1"/>
    <col min="44" max="44" width="18.28515625" bestFit="1" customWidth="1"/>
    <col min="45" max="45" width="10.140625" bestFit="1" customWidth="1"/>
    <col min="46" max="46" width="13.5703125" style="176" bestFit="1" customWidth="1"/>
    <col min="47" max="47" width="14.42578125" bestFit="1" customWidth="1"/>
    <col min="48" max="48" width="11" bestFit="1" customWidth="1"/>
    <col min="49" max="49" width="12" bestFit="1" customWidth="1"/>
    <col min="50" max="50" width="14.42578125" bestFit="1" customWidth="1"/>
    <col min="51" max="51" width="9.5703125" bestFit="1" customWidth="1"/>
    <col min="52" max="52" width="8.85546875" bestFit="1" customWidth="1"/>
    <col min="53" max="53" width="15" bestFit="1" customWidth="1"/>
    <col min="54" max="54" width="12.85546875" bestFit="1" customWidth="1"/>
    <col min="55" max="55" width="19.7109375" bestFit="1" customWidth="1"/>
    <col min="56" max="56" width="16.42578125" bestFit="1" customWidth="1"/>
    <col min="57" max="57" width="21.5703125" bestFit="1" customWidth="1"/>
    <col min="58" max="58" width="17.85546875" bestFit="1" customWidth="1"/>
    <col min="59" max="59" width="23.42578125" bestFit="1" customWidth="1"/>
    <col min="60" max="60" width="16.42578125" bestFit="1" customWidth="1"/>
    <col min="61" max="61" width="10.7109375" bestFit="1" customWidth="1"/>
    <col min="62" max="62" width="19.28515625" bestFit="1" customWidth="1"/>
    <col min="63" max="63" width="32" bestFit="1" customWidth="1"/>
    <col min="64" max="64" width="22.85546875" bestFit="1" customWidth="1"/>
    <col min="65" max="65" width="16.85546875" bestFit="1" customWidth="1"/>
    <col min="66" max="66" width="13.42578125" bestFit="1" customWidth="1"/>
    <col min="67" max="67" width="18.140625" bestFit="1" customWidth="1"/>
    <col min="68" max="68" width="19.7109375" bestFit="1" customWidth="1"/>
    <col min="69" max="69" width="14.28515625" bestFit="1" customWidth="1"/>
    <col min="70" max="70" width="17.7109375" customWidth="1"/>
    <col min="71" max="71" width="17.42578125" bestFit="1" customWidth="1"/>
    <col min="72" max="72" width="16" bestFit="1" customWidth="1"/>
    <col min="73" max="73" width="17.140625" bestFit="1" customWidth="1"/>
    <col min="74" max="75" width="24.28515625" bestFit="1" customWidth="1"/>
    <col min="76" max="76" width="21" bestFit="1" customWidth="1"/>
    <col min="77" max="77" width="7.42578125" bestFit="1" customWidth="1"/>
    <col min="78" max="78" width="7.28515625" bestFit="1" customWidth="1"/>
    <col min="79" max="79" width="5.7109375" bestFit="1" customWidth="1"/>
    <col min="80" max="80" width="6.85546875" bestFit="1" customWidth="1"/>
  </cols>
  <sheetData>
    <row r="1" spans="1:80" ht="19.5" thickBot="1">
      <c r="A1" s="8" t="s">
        <v>1527</v>
      </c>
      <c r="AP1" s="712"/>
      <c r="AQ1" s="713"/>
      <c r="AR1" s="713"/>
      <c r="BC1" s="178"/>
      <c r="BK1" s="714" t="s">
        <v>1668</v>
      </c>
      <c r="BY1" t="s">
        <v>1485</v>
      </c>
      <c r="BZ1" t="s">
        <v>1577</v>
      </c>
      <c r="CA1" t="s">
        <v>1578</v>
      </c>
    </row>
    <row r="2" spans="1:80" ht="15.75" thickBot="1">
      <c r="A2" s="9"/>
      <c r="I2" s="845"/>
      <c r="J2" s="845"/>
      <c r="K2" s="845"/>
      <c r="L2" s="845"/>
      <c r="AB2" s="977">
        <f>SUM(AB3:AH3)</f>
        <v>1</v>
      </c>
      <c r="AC2" s="977"/>
      <c r="AD2" s="977"/>
      <c r="AE2" s="977"/>
      <c r="AF2" s="977"/>
      <c r="AG2" s="977"/>
      <c r="AH2" s="977"/>
      <c r="BK2" s="994">
        <f>SUM(BK3:BN3)</f>
        <v>1</v>
      </c>
      <c r="BL2" s="994"/>
      <c r="BM2" s="994"/>
      <c r="BN2" s="994"/>
      <c r="BQ2" s="853"/>
      <c r="BR2" s="818" t="s">
        <v>1495</v>
      </c>
      <c r="BS2" s="776"/>
      <c r="BT2" s="776"/>
      <c r="BU2" s="776"/>
      <c r="BV2" s="777"/>
      <c r="BX2" t="s">
        <v>1285</v>
      </c>
      <c r="BY2">
        <f>COUNTIF($BW:$BW,BX2)</f>
        <v>155</v>
      </c>
      <c r="BZ2" s="838">
        <f>BY2/SUM($BY$2:$BY$5)</f>
        <v>0.26632302405498282</v>
      </c>
      <c r="CA2" s="838">
        <f>BY2/$BY$6</f>
        <v>0.1964512040557668</v>
      </c>
    </row>
    <row r="3" spans="1:80" ht="17.100000000000001" customHeight="1" thickBot="1">
      <c r="A3" s="823" t="s">
        <v>1201</v>
      </c>
      <c r="B3" s="142"/>
      <c r="C3" s="142"/>
      <c r="D3" s="142"/>
      <c r="E3" s="142"/>
      <c r="F3" s="142"/>
      <c r="G3" s="150"/>
      <c r="H3" s="142"/>
      <c r="I3" s="142"/>
      <c r="J3" s="142"/>
      <c r="K3" s="142"/>
      <c r="M3" s="142"/>
      <c r="N3" s="150"/>
      <c r="O3" s="142"/>
      <c r="P3" s="142"/>
      <c r="Q3" s="142"/>
      <c r="R3" s="142"/>
      <c r="S3" s="142"/>
      <c r="T3" s="142"/>
      <c r="U3" s="153">
        <v>0.5</v>
      </c>
      <c r="V3" s="143">
        <v>0.75</v>
      </c>
      <c r="W3" s="143">
        <v>1</v>
      </c>
      <c r="X3" s="143">
        <v>1.25</v>
      </c>
      <c r="Y3" s="144" t="s">
        <v>1202</v>
      </c>
      <c r="Z3" s="142"/>
      <c r="AA3" s="142"/>
      <c r="AB3" s="857">
        <f>'Análisis de KPIs'!K38</f>
        <v>0.1813454471254701</v>
      </c>
      <c r="AC3" s="858">
        <f>'Análisis de KPIs'!K39</f>
        <v>9.5316223435619213E-2</v>
      </c>
      <c r="AD3" s="858">
        <f>'Análisis de KPIs'!K40</f>
        <v>0.20456685877312139</v>
      </c>
      <c r="AE3" s="858">
        <f>'Análisis de KPIs'!K41</f>
        <v>0.13637790584874759</v>
      </c>
      <c r="AF3" s="858">
        <f>'Análisis de KPIs'!K42</f>
        <v>0.11704178048159175</v>
      </c>
      <c r="AG3" s="858">
        <f>'Análisis de KPIs'!K43</f>
        <v>0.17556267072238763</v>
      </c>
      <c r="AH3" s="858">
        <f>'Análisis de KPIs'!K44</f>
        <v>8.9789113613062493E-2</v>
      </c>
      <c r="AJ3" s="142"/>
      <c r="AK3" s="142"/>
      <c r="AL3" s="143">
        <v>0.9</v>
      </c>
      <c r="AM3" s="150"/>
      <c r="AN3" s="142"/>
      <c r="AO3" s="142"/>
      <c r="AP3" s="142"/>
      <c r="AQ3" s="142"/>
      <c r="AR3" s="142"/>
      <c r="AS3" s="142"/>
      <c r="AT3" s="174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50"/>
      <c r="BG3" s="142"/>
      <c r="BH3" s="142"/>
      <c r="BI3" s="142"/>
      <c r="BJ3" s="142"/>
      <c r="BK3" s="736">
        <v>0.25</v>
      </c>
      <c r="BL3" s="139">
        <v>0.25</v>
      </c>
      <c r="BM3" s="139">
        <v>0.25</v>
      </c>
      <c r="BN3" s="139">
        <v>0.25</v>
      </c>
      <c r="BP3" s="779"/>
      <c r="BQ3" s="145"/>
      <c r="BR3" s="819" t="s">
        <v>1575</v>
      </c>
      <c r="BS3" s="820">
        <v>0.75</v>
      </c>
      <c r="BT3" s="819" t="s">
        <v>1574</v>
      </c>
      <c r="BU3" s="820">
        <v>0.25</v>
      </c>
      <c r="BV3" s="822">
        <f>BS3+BU3</f>
        <v>1</v>
      </c>
      <c r="BX3" t="s">
        <v>1286</v>
      </c>
      <c r="BY3">
        <f>COUNTIF($BW:$BW,BX3)</f>
        <v>136</v>
      </c>
      <c r="BZ3" s="838">
        <f t="shared" ref="BZ3:BZ5" si="0">BY3/SUM($BY$2:$BY$5)</f>
        <v>0.23367697594501718</v>
      </c>
      <c r="CA3" s="838">
        <f t="shared" ref="CA3:CA5" si="1">BY3/$BY$6</f>
        <v>0.17237008871989862</v>
      </c>
    </row>
    <row r="4" spans="1:80" ht="17.100000000000001" customHeight="1" thickBot="1">
      <c r="A4" s="824" t="s">
        <v>1203</v>
      </c>
      <c r="B4" s="146"/>
      <c r="C4" s="146"/>
      <c r="D4" s="146"/>
      <c r="E4" s="146"/>
      <c r="F4" s="146"/>
      <c r="G4" s="151"/>
      <c r="H4" s="146"/>
      <c r="I4" s="146"/>
      <c r="J4" s="146"/>
      <c r="K4" s="146"/>
      <c r="L4" s="146"/>
      <c r="M4" s="146"/>
      <c r="N4" s="151"/>
      <c r="O4" s="146"/>
      <c r="P4" s="146"/>
      <c r="Q4" s="146"/>
      <c r="R4" s="146"/>
      <c r="S4" s="146"/>
      <c r="T4" s="146"/>
      <c r="U4" s="151"/>
      <c r="V4" s="146"/>
      <c r="W4" s="146"/>
      <c r="X4" s="146"/>
      <c r="Y4" s="146"/>
      <c r="Z4" s="146"/>
      <c r="AA4" s="146"/>
      <c r="AB4" s="151"/>
      <c r="AC4" s="146"/>
      <c r="AD4" s="146"/>
      <c r="AE4" s="146"/>
      <c r="AF4" s="146"/>
      <c r="AG4" s="146"/>
      <c r="AH4" s="146"/>
      <c r="AI4" s="155">
        <v>0.3</v>
      </c>
      <c r="AJ4" s="148">
        <v>65</v>
      </c>
      <c r="AK4" s="148">
        <v>45</v>
      </c>
      <c r="AL4" s="147">
        <v>0.6</v>
      </c>
      <c r="AM4" s="151"/>
      <c r="AN4" s="146"/>
      <c r="AO4" s="147">
        <v>0.6</v>
      </c>
      <c r="AP4" s="146"/>
      <c r="AQ4" s="146"/>
      <c r="AR4" s="146"/>
      <c r="AS4" s="146"/>
      <c r="AT4" s="175"/>
      <c r="AU4" s="146"/>
      <c r="AV4" s="146"/>
      <c r="AW4" s="146"/>
      <c r="AX4" s="146"/>
      <c r="AY4" s="146"/>
      <c r="AZ4" s="146"/>
      <c r="BA4" s="146"/>
      <c r="BB4" s="146"/>
      <c r="BC4" s="148">
        <v>0</v>
      </c>
      <c r="BD4" s="148">
        <v>2</v>
      </c>
      <c r="BE4" s="161">
        <v>0</v>
      </c>
      <c r="BF4" s="151"/>
      <c r="BG4" s="146"/>
      <c r="BH4" s="146"/>
      <c r="BI4" s="146"/>
      <c r="BJ4" s="146"/>
      <c r="BK4" s="146"/>
      <c r="BL4" s="146"/>
      <c r="BM4" s="146"/>
      <c r="BN4" s="146"/>
      <c r="BO4" s="739">
        <v>0.3</v>
      </c>
      <c r="BP4" s="738">
        <v>50</v>
      </c>
      <c r="BQ4" s="148">
        <v>25</v>
      </c>
      <c r="BR4" s="819" t="s">
        <v>1572</v>
      </c>
      <c r="BS4" s="821">
        <f>ROUND(MEDIAN($BR$8:$BR$796),1)</f>
        <v>29</v>
      </c>
      <c r="BT4" s="819" t="s">
        <v>1573</v>
      </c>
      <c r="BU4" s="821">
        <f>IFERROR(ROUND(MEDIAN($BS$8:$BS$796),1),"")</f>
        <v>50</v>
      </c>
      <c r="BV4" s="778"/>
      <c r="BX4" t="s">
        <v>1287</v>
      </c>
      <c r="BY4">
        <f>COUNTIF($BW:$BW,BX4)</f>
        <v>170</v>
      </c>
      <c r="BZ4" s="838">
        <f t="shared" si="0"/>
        <v>0.29209621993127149</v>
      </c>
      <c r="CA4" s="838">
        <f t="shared" si="1"/>
        <v>0.21546261089987326</v>
      </c>
      <c r="CB4" s="775"/>
    </row>
    <row r="5" spans="1:80" ht="12.95" customHeight="1">
      <c r="G5" s="987" t="s">
        <v>114</v>
      </c>
      <c r="H5" s="988"/>
      <c r="I5" s="986" t="s">
        <v>1599</v>
      </c>
      <c r="J5" s="986"/>
      <c r="K5" s="985" t="s">
        <v>1598</v>
      </c>
      <c r="L5" s="985"/>
      <c r="M5" s="854" t="s">
        <v>1600</v>
      </c>
      <c r="N5" s="152"/>
      <c r="U5" s="152"/>
      <c r="AB5" s="154" t="s">
        <v>1211</v>
      </c>
      <c r="AI5" s="156" t="s">
        <v>1204</v>
      </c>
      <c r="AJ5" s="735" t="s">
        <v>1205</v>
      </c>
      <c r="AK5" s="141" t="s">
        <v>1206</v>
      </c>
      <c r="AL5" s="141" t="s">
        <v>1223</v>
      </c>
      <c r="AM5" s="152"/>
      <c r="AO5" s="735" t="s">
        <v>1207</v>
      </c>
      <c r="BC5" s="735" t="s">
        <v>1524</v>
      </c>
      <c r="BD5" s="735" t="s">
        <v>1208</v>
      </c>
      <c r="BE5" s="141" t="s">
        <v>1247</v>
      </c>
      <c r="BF5" s="152"/>
      <c r="BK5" s="737" t="s">
        <v>1212</v>
      </c>
      <c r="BL5" s="140" t="s">
        <v>1212</v>
      </c>
      <c r="BO5" s="737" t="s">
        <v>1204</v>
      </c>
      <c r="BP5" s="740" t="s">
        <v>1209</v>
      </c>
      <c r="BQ5" s="741" t="s">
        <v>1210</v>
      </c>
      <c r="BR5" s="741"/>
      <c r="BS5" s="741"/>
      <c r="BT5" s="741"/>
      <c r="BU5" s="176"/>
      <c r="BX5" t="s">
        <v>1576</v>
      </c>
      <c r="BY5">
        <f>COUNTIF($BW:$BW,BX5)</f>
        <v>121</v>
      </c>
      <c r="BZ5" s="838">
        <f t="shared" si="0"/>
        <v>0.20790378006872853</v>
      </c>
      <c r="CA5" s="838">
        <f t="shared" si="1"/>
        <v>0.15335868187579213</v>
      </c>
    </row>
    <row r="6" spans="1:80" ht="15.75" thickBot="1">
      <c r="A6" s="978" t="s">
        <v>1195</v>
      </c>
      <c r="B6" s="978"/>
      <c r="C6" s="978"/>
      <c r="D6" s="978"/>
      <c r="E6" s="978"/>
      <c r="F6" s="978"/>
      <c r="G6" s="974" t="s">
        <v>1196</v>
      </c>
      <c r="H6" s="974"/>
      <c r="I6" s="974"/>
      <c r="J6" s="974"/>
      <c r="K6" s="974"/>
      <c r="L6" s="974"/>
      <c r="M6" s="974"/>
      <c r="N6" s="979" t="s">
        <v>1213</v>
      </c>
      <c r="O6" s="979"/>
      <c r="P6" s="979"/>
      <c r="Q6" s="979"/>
      <c r="R6" s="979"/>
      <c r="S6" s="979"/>
      <c r="T6" s="979"/>
      <c r="U6" s="974" t="s">
        <v>1214</v>
      </c>
      <c r="V6" s="980"/>
      <c r="W6" s="980"/>
      <c r="X6" s="980"/>
      <c r="Y6" s="980"/>
      <c r="Z6" s="980"/>
      <c r="AA6" s="981"/>
      <c r="AB6" s="979" t="s">
        <v>1215</v>
      </c>
      <c r="AC6" s="982"/>
      <c r="AD6" s="982"/>
      <c r="AE6" s="983"/>
      <c r="AF6" s="983"/>
      <c r="AG6" s="983"/>
      <c r="AH6" s="984"/>
      <c r="AI6" s="974" t="s">
        <v>1221</v>
      </c>
      <c r="AJ6" s="975"/>
      <c r="AK6" s="974"/>
      <c r="AL6" s="974"/>
      <c r="AM6" s="976" t="s">
        <v>1222</v>
      </c>
      <c r="AN6" s="976"/>
      <c r="AO6" s="976"/>
      <c r="AP6" s="976"/>
      <c r="AQ6" s="976"/>
      <c r="AR6" s="976"/>
      <c r="AS6" s="976"/>
      <c r="AT6" s="976" t="s">
        <v>1518</v>
      </c>
      <c r="AU6" s="976"/>
      <c r="AV6" s="976"/>
      <c r="AW6" s="976"/>
      <c r="AX6" s="976"/>
      <c r="AY6" s="976"/>
      <c r="AZ6" s="976"/>
      <c r="BA6" s="976"/>
      <c r="BB6" s="976"/>
      <c r="BC6" s="976"/>
      <c r="BD6" s="976"/>
      <c r="BE6" s="976"/>
      <c r="BF6" s="976" t="s">
        <v>1525</v>
      </c>
      <c r="BG6" s="990"/>
      <c r="BH6" s="990"/>
      <c r="BI6" s="990"/>
      <c r="BJ6" s="990"/>
      <c r="BK6" s="990"/>
      <c r="BL6" s="990"/>
      <c r="BM6" s="990"/>
      <c r="BN6" s="990"/>
      <c r="BO6" s="990"/>
      <c r="BP6" s="991"/>
      <c r="BQ6" s="992"/>
      <c r="BR6" s="993" t="s">
        <v>1571</v>
      </c>
      <c r="BS6" s="991"/>
      <c r="BT6" s="991"/>
      <c r="BU6" s="989" t="s">
        <v>1248</v>
      </c>
      <c r="BV6" s="989"/>
      <c r="BY6" s="10">
        <v>789</v>
      </c>
      <c r="BZ6" s="839"/>
      <c r="CA6" s="839">
        <f>SUM(CA2:CA5)</f>
        <v>0.73764258555133089</v>
      </c>
    </row>
    <row r="7" spans="1:80" ht="48" customHeight="1" thickBot="1">
      <c r="A7" s="162" t="s">
        <v>23</v>
      </c>
      <c r="B7" s="163" t="s">
        <v>24</v>
      </c>
      <c r="C7" s="163" t="s">
        <v>25</v>
      </c>
      <c r="D7" s="163" t="s">
        <v>114</v>
      </c>
      <c r="E7" s="163" t="s">
        <v>1053</v>
      </c>
      <c r="F7" s="164" t="s">
        <v>1054</v>
      </c>
      <c r="G7" s="165" t="s">
        <v>87</v>
      </c>
      <c r="H7" s="162" t="s">
        <v>78</v>
      </c>
      <c r="I7" s="163" t="s">
        <v>1579</v>
      </c>
      <c r="J7" s="163" t="s">
        <v>1580</v>
      </c>
      <c r="K7" s="163" t="s">
        <v>1581</v>
      </c>
      <c r="L7" s="149" t="s">
        <v>1582</v>
      </c>
      <c r="M7" s="163" t="s">
        <v>85</v>
      </c>
      <c r="N7" s="165" t="s">
        <v>1216</v>
      </c>
      <c r="O7" s="163" t="s">
        <v>1217</v>
      </c>
      <c r="P7" s="163" t="s">
        <v>1583</v>
      </c>
      <c r="Q7" s="163" t="s">
        <v>1584</v>
      </c>
      <c r="R7" s="163" t="s">
        <v>1585</v>
      </c>
      <c r="S7" s="149" t="s">
        <v>1586</v>
      </c>
      <c r="T7" s="163" t="s">
        <v>1218</v>
      </c>
      <c r="U7" s="165" t="s">
        <v>1219</v>
      </c>
      <c r="V7" s="163" t="s">
        <v>88</v>
      </c>
      <c r="W7" s="163" t="s">
        <v>1587</v>
      </c>
      <c r="X7" s="177" t="s">
        <v>1588</v>
      </c>
      <c r="Y7" s="177" t="s">
        <v>1589</v>
      </c>
      <c r="Z7" s="177" t="s">
        <v>1590</v>
      </c>
      <c r="AA7" s="177" t="s">
        <v>89</v>
      </c>
      <c r="AB7" s="165" t="s">
        <v>1220</v>
      </c>
      <c r="AC7" s="163" t="s">
        <v>79</v>
      </c>
      <c r="AD7" s="164" t="s">
        <v>1591</v>
      </c>
      <c r="AE7" s="847" t="s">
        <v>1592</v>
      </c>
      <c r="AF7" s="847" t="s">
        <v>1593</v>
      </c>
      <c r="AG7" s="847" t="s">
        <v>1594</v>
      </c>
      <c r="AH7" s="177" t="s">
        <v>90</v>
      </c>
      <c r="AI7" s="825" t="s">
        <v>91</v>
      </c>
      <c r="AJ7" s="830" t="s">
        <v>1288</v>
      </c>
      <c r="AK7" s="162" t="s">
        <v>80</v>
      </c>
      <c r="AL7" s="164" t="s">
        <v>96</v>
      </c>
      <c r="AM7" s="165" t="s">
        <v>1055</v>
      </c>
      <c r="AN7" s="163" t="s">
        <v>1056</v>
      </c>
      <c r="AO7" s="163" t="s">
        <v>1057</v>
      </c>
      <c r="AP7" s="163" t="s">
        <v>1058</v>
      </c>
      <c r="AQ7" s="164" t="s">
        <v>1252</v>
      </c>
      <c r="AR7" s="164" t="s">
        <v>1253</v>
      </c>
      <c r="AS7" s="164" t="s">
        <v>1059</v>
      </c>
      <c r="AT7" s="165" t="s">
        <v>1501</v>
      </c>
      <c r="AU7" s="165" t="s">
        <v>1502</v>
      </c>
      <c r="AV7" s="165" t="s">
        <v>1505</v>
      </c>
      <c r="AW7" s="165" t="s">
        <v>1503</v>
      </c>
      <c r="AX7" s="165" t="s">
        <v>1504</v>
      </c>
      <c r="AY7" s="165" t="s">
        <v>1519</v>
      </c>
      <c r="AZ7" s="165" t="s">
        <v>1509</v>
      </c>
      <c r="BA7" s="165" t="s">
        <v>1520</v>
      </c>
      <c r="BB7" s="165" t="s">
        <v>1521</v>
      </c>
      <c r="BC7" s="165" t="s">
        <v>1522</v>
      </c>
      <c r="BD7" s="165" t="s">
        <v>1486</v>
      </c>
      <c r="BE7" s="165" t="s">
        <v>1523</v>
      </c>
      <c r="BF7" s="165" t="s">
        <v>1568</v>
      </c>
      <c r="BG7" s="165" t="s">
        <v>1661</v>
      </c>
      <c r="BH7" s="165" t="s">
        <v>1662</v>
      </c>
      <c r="BI7" s="165" t="s">
        <v>1663</v>
      </c>
      <c r="BJ7" s="165" t="s">
        <v>1187</v>
      </c>
      <c r="BK7" s="165" t="s">
        <v>1664</v>
      </c>
      <c r="BL7" s="165" t="s">
        <v>1665</v>
      </c>
      <c r="BM7" s="165" t="s">
        <v>1666</v>
      </c>
      <c r="BN7" s="165" t="s">
        <v>1667</v>
      </c>
      <c r="BO7" s="825" t="s">
        <v>1224</v>
      </c>
      <c r="BP7" s="830" t="s">
        <v>1188</v>
      </c>
      <c r="BQ7" s="177" t="s">
        <v>1189</v>
      </c>
      <c r="BR7" s="830" t="s">
        <v>1289</v>
      </c>
      <c r="BS7" s="830" t="s">
        <v>1290</v>
      </c>
      <c r="BT7" s="830" t="s">
        <v>1291</v>
      </c>
      <c r="BU7" s="835" t="s">
        <v>1249</v>
      </c>
      <c r="BV7" s="149" t="s">
        <v>1250</v>
      </c>
      <c r="BW7" s="182" t="s">
        <v>112</v>
      </c>
    </row>
    <row r="8" spans="1:80">
      <c r="A8" s="780" t="str">
        <f>'Base de datos Rutas'!A6</f>
        <v>Noreste</v>
      </c>
      <c r="B8" s="781" t="str">
        <f>'Base de datos Rutas'!B6</f>
        <v>Laredo</v>
      </c>
      <c r="C8" s="781" t="str">
        <f>'Base de datos Rutas'!C6</f>
        <v>Suc. Nuevo Laredo</v>
      </c>
      <c r="D8" s="782">
        <f>IF(ISNUMBER('Base de datos Rutas'!D6),'Base de datos Rutas'!D6,"Sin código")</f>
        <v>105300</v>
      </c>
      <c r="E8" s="783" t="str">
        <f>'Base de datos Rutas'!F6</f>
        <v>Activa</v>
      </c>
      <c r="F8" s="784" t="str">
        <f>'Base de datos Rutas'!H6</f>
        <v>Sí</v>
      </c>
      <c r="G8" s="785">
        <f>IF(ISNUMBER('Base de datos Rutas'!BE6),'Base de datos Rutas'!BE6,"")</f>
        <v>36</v>
      </c>
      <c r="H8" s="786">
        <f>IF(ISNUMBER('Base de datos Rutas'!BH6),'Base de datos Rutas'!BH6,"")</f>
        <v>0.384600158353128</v>
      </c>
      <c r="I8" s="788">
        <f>IFERROR(IF(OR(NOT(ISNUMBER('Base de datos Rutas'!O6)),N('Base de datos Rutas'!BK6)=0),"",'Base de datos Rutas'!O6/('Base de datos Rutas'!L6/'Base de datos Rutas'!BK6)),"")</f>
        <v>9837.5914489311344</v>
      </c>
      <c r="J8" s="788">
        <f>IFERROR(IF(OR(NOT(ISNUMBER('Base de datos Rutas'!N6)),N('Base de datos Rutas'!BK6)=0),"",'Base de datos Rutas'!N6/('Base de datos Rutas'!L6/'Base de datos Rutas'!BK6)),"")</f>
        <v>1239.8123515439452</v>
      </c>
      <c r="K8" s="788">
        <f>IFERROR(IF(OR(NOT(ISNUMBER('Base de datos Rutas'!J6)),N('Base de datos Rutas'!BK6)=0),"",'Base de datos Rutas'!J6/('Base de datos Rutas'!L6/'Base de datos Rutas'!BK6)),"")</f>
        <v>83.215654156769745</v>
      </c>
      <c r="L8" s="788">
        <f>IFERROR(IF(OR(NOT(ISNUMBER('Base de datos Rutas'!K6)),N('Base de datos Rutas'!BK6)=0),"",'Base de datos Rutas'!K6/('Base de datos Rutas'!L6/'Base de datos Rutas'!BK6)),"")</f>
        <v>73.129256817102259</v>
      </c>
      <c r="M8" s="787">
        <f>IF(ISNUMBER('Base de datos Rutas'!AX6),'Base de datos Rutas'!AX6,"")</f>
        <v>800.06608337622197</v>
      </c>
      <c r="N8" s="790">
        <f>IFERROR(INDEX('Hoja de apoyo v2'!B$17:B$20,MATCH($A8,'Hoja de apoyo v2'!$A$17:$A$20,0)),"")</f>
        <v>63.050408855205418</v>
      </c>
      <c r="O8" s="791">
        <f>IFERROR(INDEX('Hoja de apoyo v2'!C$17:C$20,MATCH($A8,'Hoja de apoyo v2'!$A$17:$A$20,0)),"")</f>
        <v>0.7559478312655763</v>
      </c>
      <c r="P8" s="793">
        <f>IFERROR(INDEX('Hoja de apoyo v2'!D$17:D$20,MATCH($A8,'Hoja de apoyo v2'!$A$17:$A$20,0)),"")</f>
        <v>9054.9839880720647</v>
      </c>
      <c r="Q8" s="793">
        <f>IFERROR(INDEX('Hoja de apoyo v2'!E$17:E$20,MATCH($A8,'Hoja de apoyo v2'!$A$17:$A$20,0)),"")</f>
        <v>4535.7799207004691</v>
      </c>
      <c r="R8" s="793">
        <f>IFERROR(INDEX('Hoja de apoyo v2'!F$17:F$20,MATCH($A8,'Hoja de apoyo v2'!$A$17:$A$20,0)),"")</f>
        <v>260.44838236060593</v>
      </c>
      <c r="S8" s="793">
        <f>IFERROR(INDEX('Hoja de apoyo v2'!G$17:G$20,MATCH($A8,'Hoja de apoyo v2'!$A$17:$A$20,0)),"")</f>
        <v>64.772152317133859</v>
      </c>
      <c r="T8" s="792">
        <f>IFERROR(INDEX('Hoja de apoyo v2'!H$17:H$20,MATCH($A8,'Hoja de apoyo v2'!$A$17:$A$20,0)),"")</f>
        <v>389.240053528842</v>
      </c>
      <c r="U8" s="794">
        <f t="shared" ref="U8:U71" si="2">IFERROR(G8/N8,"")</f>
        <v>0.57097171380242129</v>
      </c>
      <c r="V8" s="795">
        <f t="shared" ref="V8:V71" si="3">IFERROR(H8/O8,"")</f>
        <v>0.50876547619595192</v>
      </c>
      <c r="W8" s="795">
        <f t="shared" ref="W8:W71" si="4">IFERROR(IF(N(P8)=0,"",I8/P8),"")</f>
        <v>1.0864283649634259</v>
      </c>
      <c r="X8" s="843">
        <f t="shared" ref="X8:X71" si="5">IFERROR(IF(N(Q8)=0,"",J8/Q8),"")</f>
        <v>0.27334050002859894</v>
      </c>
      <c r="Y8" s="843">
        <f t="shared" ref="Y8:Y71" si="6">IFERROR(IF(N(R8)=0,"",K8/R8),"")</f>
        <v>0.31950919949102558</v>
      </c>
      <c r="Z8" s="843">
        <f t="shared" ref="Z8:Z71" si="7">IFERROR(IF(N(S8)=0,"",L8/S8),"")</f>
        <v>1.1290231094846255</v>
      </c>
      <c r="AA8" s="843">
        <f t="shared" ref="AA8:AA71" si="8">IFERROR(IF(N(T8)=0,"",M8/T8),"")</f>
        <v>2.0554567191193196</v>
      </c>
      <c r="AB8" s="796">
        <f t="shared" ref="AB8:AB71" si="9">IF(NOT(ISNUMBER(U8)),0,IFERROR(MATCH(U8,$U$3:$X$3,1)+1,1))</f>
        <v>2</v>
      </c>
      <c r="AC8" s="797">
        <f t="shared" ref="AC8:AC71" si="10">IF(NOT(ISNUMBER(V8)),0,IFERROR(MATCH(V8,$U$3:$X$3,1)+1,1))</f>
        <v>2</v>
      </c>
      <c r="AD8" s="797">
        <f t="shared" ref="AD8:AD71" si="11">IF(NOT(ISNUMBER(W8)),0,IFERROR(MATCH(W8,$U$3:$X$3,1)+1,1))</f>
        <v>4</v>
      </c>
      <c r="AE8" s="846">
        <f t="shared" ref="AE8:AE71" si="12">IF(NOT(ISNUMBER(X8)),0,IFERROR(MATCH(X8,$U$3:$X$3,1)+1,1))</f>
        <v>1</v>
      </c>
      <c r="AF8" s="846">
        <f t="shared" ref="AF8:AF71" si="13">IF(NOT(ISNUMBER(Y8)),0,IFERROR(MATCH(Y8,$U$3:$X$3,1)+1,1))</f>
        <v>1</v>
      </c>
      <c r="AG8" s="846">
        <f t="shared" ref="AG8:AG71" si="14">IF(NOT(ISNUMBER(Z8)),0,IFERROR(MATCH(Z8,$U$3:$X$3,1)+1,1))</f>
        <v>4</v>
      </c>
      <c r="AH8" s="842">
        <f t="shared" ref="AH8:AH71" si="15">IF(NOT(ISNUMBER(AA8)),0,IFERROR(MATCH(AA8,$U$3:$X$3,1)+1,1))</f>
        <v>5</v>
      </c>
      <c r="AI8" s="826" cm="1">
        <f t="array" ref="AI8">SUMPRODUCT(--ISNUMBER($U8:$AA8),$AB$3:$AH$3)</f>
        <v>1</v>
      </c>
      <c r="AJ8" s="828">
        <f t="shared" ref="AJ8:AJ71" si="16">IF(OR($E8&lt;&gt;"Activa",$F8&lt;&gt;"Sí",AI8&lt;$AI$4),"",(SUMPRODUCT($AB8:$AH8,$AB$3:$AH$3)/AI8-1)/4*100)</f>
        <v>44.405167837496663</v>
      </c>
      <c r="AK8" s="827" t="str">
        <f t="shared" ref="AK8:AK71" si="17">IF($E8&lt;&gt;"Activa","Ruta inactiva",IF($F8&lt;&gt;"Sí","No elegible",IF(AJ8="","Sin datos",IF(AJ8&gt;=$AJ$4,"Madura",IF(AJ8&lt;$AK$4,"Inmadura","En desarrollo")))))</f>
        <v>Inmadura</v>
      </c>
      <c r="AL8" s="784" t="str">
        <f t="shared" ref="AL8:AL71" si="18">IF(AJ8="","n/a",IF(AI8&gt;=$AL$3,"Alta",IF(AI8&gt;=$AL$4,"Media","Baja")))</f>
        <v>Alta</v>
      </c>
      <c r="AM8" s="799">
        <f>IF(ISNUMBER('Base de datos Rutas'!W6),'Base de datos Rutas'!W6,"")</f>
        <v>2708.9427499999997</v>
      </c>
      <c r="AN8" s="787">
        <f>IFERROR(SUMIFS('Base de datos Rutas'!$W$6:$W$794,'Base de datos Rutas'!$C$6:$C$794,$C8)/'Base de datos Rutas'!I6,"")</f>
        <v>2708.9427499999997</v>
      </c>
      <c r="AO8" s="800">
        <f>IFERROR('Base de datos Rutas'!X6*AN8/AM8,"")</f>
        <v>0.49091270899516493</v>
      </c>
      <c r="AP8" s="800">
        <f t="shared" ref="AP8:AP71" si="19">IF(ISNUMBER(AO8),1-AO8,"")</f>
        <v>0.50908729100483507</v>
      </c>
      <c r="AQ8" s="789">
        <f>IFERROR(INDEX('Hoja de apoyo v2'!$J$17:$J$20,MATCH($A8,'Hoja de apoyo v2'!$A$17:$A$20,0)),"")</f>
        <v>0.56799995069377007</v>
      </c>
      <c r="AR8" s="789">
        <f t="shared" ref="AR8:AR71" si="20">IF(AND(ISNUMBER($AP8),ISNUMBER($AQ8)),$AP8-$AQ8,"")</f>
        <v>-5.8912659688934998E-2</v>
      </c>
      <c r="AS8" s="784" t="str">
        <f t="shared" ref="AS8:AS71" si="21">IF(NOT(ISNUMBER(AO8)),"n/d",IF(AO8&gt;=$AO$4,"Sí","No"))</f>
        <v>No</v>
      </c>
      <c r="AT8" s="801" t="str">
        <f>IF(ISNUMBER('Base de datos Rutas'!CK6),'Base de datos Rutas'!CK6,"")</f>
        <v/>
      </c>
      <c r="AU8" s="802" t="str">
        <f>IF(ISNUMBER('Base de datos Rutas'!CL6),'Base de datos Rutas'!CL6,"")</f>
        <v/>
      </c>
      <c r="AV8" s="802">
        <f>IF(ISNUMBER('Base de datos Rutas'!CM6),'Base de datos Rutas'!CM6,"")</f>
        <v>0</v>
      </c>
      <c r="AW8" s="802" t="str">
        <f>IF(ISNUMBER('Base de datos Rutas'!CN6),'Base de datos Rutas'!CN6,"")</f>
        <v/>
      </c>
      <c r="AX8" s="802" t="str">
        <f>IF(ISNUMBER('Base de datos Rutas'!CO6),'Base de datos Rutas'!CO6,"")</f>
        <v/>
      </c>
      <c r="AY8" s="802">
        <f>IF(ISNUMBER('Base de datos Rutas'!CP6),'Base de datos Rutas'!CP6,"")</f>
        <v>0</v>
      </c>
      <c r="AZ8" s="802" t="str">
        <f>IF(ISNUMBER('Base de datos Rutas'!CQ6),'Base de datos Rutas'!CQ6,"")</f>
        <v/>
      </c>
      <c r="BA8" s="802" t="str">
        <f>IF(ISNUMBER('Base de datos Rutas'!CR6),'Base de datos Rutas'!CR6,"")</f>
        <v/>
      </c>
      <c r="BB8" s="803">
        <f>IF(ISNUMBER('Base de datos Rutas'!CS6),'Base de datos Rutas'!CS6,"")</f>
        <v>0</v>
      </c>
      <c r="BC8" s="804" t="str">
        <f>IF(OR(COUNT($AV8,$AY8,$BB8)&lt;3,NOT(ISNUMBER($AT8)),N($AT8)&lt;=0,N($AZ8)&lt;=0),"",COUNTIF($AV8,"&lt;="&amp;$BC$4)+COUNTIF($AY8,"&lt;="&amp;$BC$4)+COUNTIF($BB8,"&lt;="&amp;$BC$4))</f>
        <v/>
      </c>
      <c r="BD8" s="805" t="str">
        <f>IF(NOT(ISNUMBER($BC8)),"N/D",IF($BC8&gt;=1,"Saturada","No saturada"))</f>
        <v>N/D</v>
      </c>
      <c r="BE8" s="806" t="str">
        <f>IF(AND(ISNUMBER($AZ8),ISNUMBER($BA8),$AZ8&lt;&gt;0),$BA8/$AZ8,"")</f>
        <v/>
      </c>
      <c r="BF8" s="890" t="str">
        <f>IF(ISNUMBER('Base de datos Rutas'!CX6),'Base de datos Rutas'!CX6/100,"")</f>
        <v/>
      </c>
      <c r="BG8" s="891" t="str">
        <f>IF(ISNUMBER('Base de datos Rutas'!CZ6),'Base de datos Rutas'!CZ6/100,"")</f>
        <v/>
      </c>
      <c r="BH8" s="892" t="str">
        <f>IF(ISNUMBER('Base de datos Rutas'!DA6),'Base de datos Rutas'!DA6,"")</f>
        <v/>
      </c>
      <c r="BI8" s="893" t="str">
        <f>IF(ISNUMBER('Base de datos Rutas'!DC6),'Base de datos Rutas'!DC6,"")</f>
        <v/>
      </c>
      <c r="BJ8" s="805" t="str">
        <f>IF(COUNT($BF8:$BI8)=4,"Ruta (completo)",IF(COUNT($BF8:$BI8)=0,"Sin dato","Ruta (parcial)"))</f>
        <v>Sin dato</v>
      </c>
      <c r="BK8" s="783">
        <f t="shared" ref="BK8:BK71" si="22">IF(NOT(ISNUMBER($BF8)),0,MIN(5,1+INT(5*COUNTIFS($C$8:$C$796,$C8,$BF$8:$BF$796,"&lt;"&amp;$BF8)/COUNTIFS($C$8:$C$796,$C8,$BF$8:$BF$796,"&gt;=-1E+300"))))</f>
        <v>0</v>
      </c>
      <c r="BL8" s="797">
        <f t="shared" ref="BL8:BL71" si="23">IF(NOT(ISNUMBER($BG8)),0,MIN(5,1+INT(5*COUNTIFS($C$8:$C$796,$C8,$BG$8:$BG$796,"&lt;"&amp;$BG8)/COUNTIFS($C$8:$C$796,$C8,$BG$8:$BG$796,"&gt;=-1E+300"))))</f>
        <v>0</v>
      </c>
      <c r="BM8" s="797">
        <f t="shared" ref="BM8:BM71" si="24">IF(NOT(ISNUMBER($BH8)),0,MIN(5,1+INT(5*COUNTIFS($C$8:$C$796,$C8,$BH$8:$BH$796,"&lt;"&amp;$BH8)/COUNTIFS($C$8:$C$796,$C8,$BH$8:$BH$796,"&gt;=-1E+300"))))</f>
        <v>0</v>
      </c>
      <c r="BN8" s="797">
        <f t="shared" ref="BN8:BN71" si="25">IF(NOT(ISNUMBER($BI8)),0,MIN(5,1+INT(5*COUNTIFS($C$8:$C$796,$C8,$BI$8:$BI$796,"&lt;"&amp;$BI8)/COUNTIFS($C$8:$C$796,$C8,$BI$8:$BI$796,"&gt;=-1E+300"))))</f>
        <v>0</v>
      </c>
      <c r="BO8" s="798" cm="1">
        <f t="array" ref="BO8">SUMPRODUCT(--ISNUMBER($BF8:$BI8),$BK$3:$BN$3)</f>
        <v>0</v>
      </c>
      <c r="BP8" s="833" t="str">
        <f t="shared" ref="BP8:BP39" si="26">IF(BO8&lt;$BO$4,"",(SUMPRODUCT($BK8:$BN8,$BK$3:$BN$3)/BO8-1)/4*100)</f>
        <v/>
      </c>
      <c r="BQ8" s="834" t="str">
        <f>IF(BP8="","Sin datos",IF(BP8&gt;=$BP$4,"Alto",IF(BP8&lt;$BQ$4,"Bajo","Medio")))</f>
        <v>Sin datos</v>
      </c>
      <c r="BR8" s="836" t="str">
        <f t="shared" ref="BR8:BR71" si="27">IF(OR(NOT(ISNUMBER($AJ8)),$BD8="N/D"),"",$AJ8*$BS$3+IF($BD8="Saturada",100,0)*$BU$3)</f>
        <v/>
      </c>
      <c r="BS8" s="836" t="str">
        <f t="shared" ref="BS8:BS71" si="28">IF(ISNUMBER($BP8),$BP8,"")</f>
        <v/>
      </c>
      <c r="BT8" s="837" t="str">
        <f t="shared" ref="BT8:BT71" si="29">IF(OR(NOT(ISNUMBER($BR8)),NOT(ISNUMBER($BS8))),"Sin datos",IF($BR8&gt;=$BS$4,IF($BS8&gt;=$BU$4,"P1","P2"),IF($BS8&gt;=$BU$4,"P3","P4")))</f>
        <v>Sin datos</v>
      </c>
      <c r="BU8" s="807" t="str">
        <f>IF(OR($AK8="Ruta inactiva",$AK8="No elegible",$AK8="Sin datos"),"No evaluable",IF($BD8="Saturada","Al tope","Con espacio"))</f>
        <v>Con espacio</v>
      </c>
      <c r="BV8" s="807" t="str">
        <f t="shared" ref="BV8:BV71" si="30">IF($BU8="No evaluable","No evaluable",IF($BQ8="Sin datos","Sin datos de zona",IF($BQ8="Alto","Zona atractiva","Zona de bajo potencial")))</f>
        <v>Sin datos de zona</v>
      </c>
      <c r="BW8" s="808" t="str">
        <f t="shared" ref="BW8:BW71" si="31">IFERROR(IF($BT8="P1","P1 - Ampliar cobertura",IF($BT8="P2","P2 - Mantener",IF($BT8="P3","P3 - Desarrollar",IF($BT8="P4","P4 - Evaluar","Sin datos")))),"Sin datos")</f>
        <v>Sin datos</v>
      </c>
    </row>
    <row r="9" spans="1:80">
      <c r="A9" s="780" t="str">
        <f>'Base de datos Rutas'!A7</f>
        <v>Noreste</v>
      </c>
      <c r="B9" s="781" t="str">
        <f>'Base de datos Rutas'!B7</f>
        <v>Laredo</v>
      </c>
      <c r="C9" s="781" t="str">
        <f>'Base de datos Rutas'!C7</f>
        <v>Suc. Nuevo Laredo</v>
      </c>
      <c r="D9" s="782">
        <f>IF(ISNUMBER('Base de datos Rutas'!D7),'Base de datos Rutas'!D7,"Sin código")</f>
        <v>105301</v>
      </c>
      <c r="E9" s="783" t="str">
        <f>'Base de datos Rutas'!F7</f>
        <v>Activa</v>
      </c>
      <c r="F9" s="784" t="str">
        <f>'Base de datos Rutas'!H7</f>
        <v>Sí</v>
      </c>
      <c r="G9" s="785">
        <f>IF(ISNUMBER('Base de datos Rutas'!BE7),'Base de datos Rutas'!BE7,"")</f>
        <v>25.1111111111111</v>
      </c>
      <c r="H9" s="786">
        <f>IF(ISNUMBER('Base de datos Rutas'!BH7),'Base de datos Rutas'!BH7,"")</f>
        <v>0.64877089478859395</v>
      </c>
      <c r="I9" s="788">
        <f>IFERROR(IF(OR(NOT(ISNUMBER('Base de datos Rutas'!O7)),N('Base de datos Rutas'!BK7)=0),"",'Base de datos Rutas'!O7/('Base de datos Rutas'!L7/'Base de datos Rutas'!BK7)),"")</f>
        <v>5322.4172839506036</v>
      </c>
      <c r="J9" s="788">
        <f>IFERROR(IF(OR(NOT(ISNUMBER('Base de datos Rutas'!N7)),N('Base de datos Rutas'!BK7)=0),"",'Base de datos Rutas'!N7/('Base de datos Rutas'!L7/'Base de datos Rutas'!BK7)),"")</f>
        <v>1542.5037037036998</v>
      </c>
      <c r="K9" s="788">
        <f>IFERROR(IF(OR(NOT(ISNUMBER('Base de datos Rutas'!J7)),N('Base de datos Rutas'!BK7)=0),"",'Base de datos Rutas'!J7/('Base de datos Rutas'!L7/'Base de datos Rutas'!BK7)),"")</f>
        <v>100.1579219753084</v>
      </c>
      <c r="L9" s="788">
        <f>IFERROR(IF(OR(NOT(ISNUMBER('Base de datos Rutas'!K7)),N('Base de datos Rutas'!BK7)=0),"",'Base de datos Rutas'!K7/('Base de datos Rutas'!L7/'Base de datos Rutas'!BK7)),"")</f>
        <v>34.171817612345592</v>
      </c>
      <c r="M9" s="787">
        <f>IF(ISNUMBER('Base de datos Rutas'!AX7),'Base de datos Rutas'!AX7,"")</f>
        <v>421.38400575932098</v>
      </c>
      <c r="N9" s="790">
        <f>IFERROR(INDEX('Hoja de apoyo v2'!B$17:B$20,MATCH($A9,'Hoja de apoyo v2'!$A$17:$A$20,0)),"")</f>
        <v>63.050408855205418</v>
      </c>
      <c r="O9" s="791">
        <f>IFERROR(INDEX('Hoja de apoyo v2'!C$17:C$20,MATCH($A9,'Hoja de apoyo v2'!$A$17:$A$20,0)),"")</f>
        <v>0.7559478312655763</v>
      </c>
      <c r="P9" s="793">
        <f>IFERROR(INDEX('Hoja de apoyo v2'!D$17:D$20,MATCH($A9,'Hoja de apoyo v2'!$A$17:$A$20,0)),"")</f>
        <v>9054.9839880720647</v>
      </c>
      <c r="Q9" s="793">
        <f>IFERROR(INDEX('Hoja de apoyo v2'!E$17:E$20,MATCH($A9,'Hoja de apoyo v2'!$A$17:$A$20,0)),"")</f>
        <v>4535.7799207004691</v>
      </c>
      <c r="R9" s="793">
        <f>IFERROR(INDEX('Hoja de apoyo v2'!F$17:F$20,MATCH($A9,'Hoja de apoyo v2'!$A$17:$A$20,0)),"")</f>
        <v>260.44838236060593</v>
      </c>
      <c r="S9" s="793">
        <f>IFERROR(INDEX('Hoja de apoyo v2'!G$17:G$20,MATCH($A9,'Hoja de apoyo v2'!$A$17:$A$20,0)),"")</f>
        <v>64.772152317133859</v>
      </c>
      <c r="T9" s="792">
        <f>IFERROR(INDEX('Hoja de apoyo v2'!H$17:H$20,MATCH($A9,'Hoja de apoyo v2'!$A$17:$A$20,0)),"")</f>
        <v>389.240053528842</v>
      </c>
      <c r="U9" s="794">
        <f t="shared" si="2"/>
        <v>0.39827039296094802</v>
      </c>
      <c r="V9" s="795">
        <f t="shared" si="3"/>
        <v>0.8582217819217085</v>
      </c>
      <c r="W9" s="795">
        <f t="shared" si="4"/>
        <v>0.58778870188635446</v>
      </c>
      <c r="X9" s="843">
        <f t="shared" si="5"/>
        <v>0.34007463560213652</v>
      </c>
      <c r="Y9" s="843">
        <f t="shared" si="6"/>
        <v>0.38455958554057723</v>
      </c>
      <c r="Z9" s="843">
        <f t="shared" si="7"/>
        <v>0.52756958646418628</v>
      </c>
      <c r="AA9" s="843">
        <f t="shared" si="8"/>
        <v>1.0825813066745382</v>
      </c>
      <c r="AB9" s="796">
        <f t="shared" si="9"/>
        <v>1</v>
      </c>
      <c r="AC9" s="797">
        <f t="shared" si="10"/>
        <v>3</v>
      </c>
      <c r="AD9" s="797">
        <f t="shared" si="11"/>
        <v>2</v>
      </c>
      <c r="AE9" s="842">
        <f t="shared" si="12"/>
        <v>1</v>
      </c>
      <c r="AF9" s="842">
        <f t="shared" si="13"/>
        <v>1</v>
      </c>
      <c r="AG9" s="842">
        <f t="shared" si="14"/>
        <v>2</v>
      </c>
      <c r="AH9" s="842">
        <f t="shared" si="15"/>
        <v>4</v>
      </c>
      <c r="AI9" s="826" cm="1">
        <f t="array" ref="AI9">SUMPRODUCT(--ISNUMBER($U9:$AA9),$AB$3:$AH$3)</f>
        <v>1</v>
      </c>
      <c r="AJ9" s="829">
        <f t="shared" si="16"/>
        <v>21.003232930148375</v>
      </c>
      <c r="AK9" s="827" t="str">
        <f t="shared" si="17"/>
        <v>Inmadura</v>
      </c>
      <c r="AL9" s="784" t="str">
        <f t="shared" si="18"/>
        <v>Alta</v>
      </c>
      <c r="AM9" s="799">
        <f>IF(ISNUMBER('Base de datos Rutas'!W7),'Base de datos Rutas'!W7,"")</f>
        <v>2708.9427499999997</v>
      </c>
      <c r="AN9" s="787">
        <f>IFERROR(SUMIFS('Base de datos Rutas'!$W$6:$W$794,'Base de datos Rutas'!$C$6:$C$794,$C9)/'Base de datos Rutas'!I7,"")</f>
        <v>2708.9427499999997</v>
      </c>
      <c r="AO9" s="800">
        <f>IFERROR('Base de datos Rutas'!X7*AN9/AM9,"")</f>
        <v>0.49091270899516493</v>
      </c>
      <c r="AP9" s="800">
        <f t="shared" si="19"/>
        <v>0.50908729100483507</v>
      </c>
      <c r="AQ9" s="789">
        <f>IFERROR(INDEX('Hoja de apoyo v2'!$J$17:$J$20,MATCH($A9,'Hoja de apoyo v2'!$A$17:$A$20,0)),"")</f>
        <v>0.56799995069377007</v>
      </c>
      <c r="AR9" s="789">
        <f t="shared" si="20"/>
        <v>-5.8912659688934998E-2</v>
      </c>
      <c r="AS9" s="784" t="str">
        <f t="shared" si="21"/>
        <v>No</v>
      </c>
      <c r="AT9" s="801" t="str">
        <f>IF(ISNUMBER('Base de datos Rutas'!CK7),'Base de datos Rutas'!CK7,"")</f>
        <v/>
      </c>
      <c r="AU9" s="802" t="str">
        <f>IF(ISNUMBER('Base de datos Rutas'!CL7),'Base de datos Rutas'!CL7,"")</f>
        <v/>
      </c>
      <c r="AV9" s="802">
        <f>IF(ISNUMBER('Base de datos Rutas'!CM7),'Base de datos Rutas'!CM7,"")</f>
        <v>0</v>
      </c>
      <c r="AW9" s="802" t="str">
        <f>IF(ISNUMBER('Base de datos Rutas'!CN7),'Base de datos Rutas'!CN7,"")</f>
        <v/>
      </c>
      <c r="AX9" s="802" t="str">
        <f>IF(ISNUMBER('Base de datos Rutas'!CO7),'Base de datos Rutas'!CO7,"")</f>
        <v/>
      </c>
      <c r="AY9" s="802">
        <f>IF(ISNUMBER('Base de datos Rutas'!CP7),'Base de datos Rutas'!CP7,"")</f>
        <v>0</v>
      </c>
      <c r="AZ9" s="802" t="str">
        <f>IF(ISNUMBER('Base de datos Rutas'!CQ7),'Base de datos Rutas'!CQ7,"")</f>
        <v/>
      </c>
      <c r="BA9" s="802" t="str">
        <f>IF(ISNUMBER('Base de datos Rutas'!CR7),'Base de datos Rutas'!CR7,"")</f>
        <v/>
      </c>
      <c r="BB9" s="803">
        <f>IF(ISNUMBER('Base de datos Rutas'!CS7),'Base de datos Rutas'!CS7,"")</f>
        <v>0</v>
      </c>
      <c r="BC9" s="804" t="str">
        <f t="shared" ref="BC9:BC72" si="32">IF(OR(COUNT($AV9,$AY9,$BB9)&lt;3,NOT(ISNUMBER($AT9)),N($AT9)&lt;=0,N($AZ9)&lt;=0),"",COUNTIF($AV9,"&lt;="&amp;$BC$4)+COUNTIF($AY9,"&lt;="&amp;$BC$4)+COUNTIF($BB9,"&lt;="&amp;$BC$4))</f>
        <v/>
      </c>
      <c r="BD9" s="805" t="str">
        <f t="shared" ref="BD9:BD72" si="33">IF(NOT(ISNUMBER($BC9)),"N/D",IF($BC9&gt;=1,"Saturada","No saturada"))</f>
        <v>N/D</v>
      </c>
      <c r="BE9" s="806" t="str">
        <f t="shared" ref="BE9:BE72" si="34">IF(AND(ISNUMBER($AZ9),ISNUMBER($BA9),$AZ9&lt;&gt;0),$BA9/$AZ9,"")</f>
        <v/>
      </c>
      <c r="BF9" s="890" t="str">
        <f>IF(ISNUMBER('Base de datos Rutas'!CX7),'Base de datos Rutas'!CX7/100,"")</f>
        <v/>
      </c>
      <c r="BG9" s="891" t="str">
        <f>IF(ISNUMBER('Base de datos Rutas'!CZ7),'Base de datos Rutas'!CZ7/100,"")</f>
        <v/>
      </c>
      <c r="BH9" s="892" t="str">
        <f>IF(ISNUMBER('Base de datos Rutas'!DA7),'Base de datos Rutas'!DA7,"")</f>
        <v/>
      </c>
      <c r="BI9" s="893" t="str">
        <f>IF(ISNUMBER('Base de datos Rutas'!DC7),'Base de datos Rutas'!DC7,"")</f>
        <v/>
      </c>
      <c r="BJ9" s="805" t="str">
        <f t="shared" ref="BJ9:BJ72" si="35">IF(COUNT($BF9:$BI9)=4,"Ruta (completo)",IF(COUNT($BF9:$BI9)=0,"Sin dato","Ruta (parcial)"))</f>
        <v>Sin dato</v>
      </c>
      <c r="BK9" s="783">
        <f t="shared" si="22"/>
        <v>0</v>
      </c>
      <c r="BL9" s="797">
        <f t="shared" si="23"/>
        <v>0</v>
      </c>
      <c r="BM9" s="797">
        <f t="shared" si="24"/>
        <v>0</v>
      </c>
      <c r="BN9" s="797">
        <f t="shared" si="25"/>
        <v>0</v>
      </c>
      <c r="BO9" s="798" cm="1">
        <f t="array" ref="BO9">SUMPRODUCT(--ISNUMBER($BF9:$BI9),$BK$3:$BN$3)</f>
        <v>0</v>
      </c>
      <c r="BP9" s="831" t="str">
        <f t="shared" si="26"/>
        <v/>
      </c>
      <c r="BQ9" s="834" t="str">
        <f t="shared" ref="BQ9:BQ72" si="36">IF(BP9="","Sin datos",IF(BP9&gt;=$BP$4,"Alto",IF(BP9&lt;$BQ$4,"Bajo","Medio")))</f>
        <v>Sin datos</v>
      </c>
      <c r="BR9" s="836" t="str">
        <f t="shared" si="27"/>
        <v/>
      </c>
      <c r="BS9" s="836" t="str">
        <f t="shared" si="28"/>
        <v/>
      </c>
      <c r="BT9" s="837" t="str">
        <f t="shared" si="29"/>
        <v>Sin datos</v>
      </c>
      <c r="BU9" s="807" t="str">
        <f t="shared" ref="BU9:BU72" si="37">IF(OR($AK9="Ruta inactiva",$AK9="No elegible",$AK9="Sin datos"),"No evaluable",IF($BD9="Saturada","Al tope","Con espacio"))</f>
        <v>Con espacio</v>
      </c>
      <c r="BV9" s="807" t="str">
        <f t="shared" si="30"/>
        <v>Sin datos de zona</v>
      </c>
      <c r="BW9" s="808" t="str">
        <f t="shared" si="31"/>
        <v>Sin datos</v>
      </c>
    </row>
    <row r="10" spans="1:80">
      <c r="A10" s="780" t="str">
        <f>'Base de datos Rutas'!A8</f>
        <v>Noreste</v>
      </c>
      <c r="B10" s="781" t="str">
        <f>'Base de datos Rutas'!B8</f>
        <v>Laredo</v>
      </c>
      <c r="C10" s="781" t="str">
        <f>'Base de datos Rutas'!C8</f>
        <v>Suc. Nuevo Laredo</v>
      </c>
      <c r="D10" s="782">
        <f>IF(ISNUMBER('Base de datos Rutas'!D8),'Base de datos Rutas'!D8,"Sin código")</f>
        <v>105302</v>
      </c>
      <c r="E10" s="783" t="str">
        <f>'Base de datos Rutas'!F8</f>
        <v>Activa</v>
      </c>
      <c r="F10" s="784" t="str">
        <f>'Base de datos Rutas'!H8</f>
        <v>Sí</v>
      </c>
      <c r="G10" s="785">
        <f>IF(ISNUMBER('Base de datos Rutas'!BE8),'Base de datos Rutas'!BE8,"")</f>
        <v>41.992822966507198</v>
      </c>
      <c r="H10" s="786">
        <f>IF(ISNUMBER('Base de datos Rutas'!BH8),'Base de datos Rutas'!BH8,"")</f>
        <v>0.21022047513245601</v>
      </c>
      <c r="I10" s="788">
        <f>IFERROR(IF(OR(NOT(ISNUMBER('Base de datos Rutas'!O8)),N('Base de datos Rutas'!BK8)=0),"",'Base de datos Rutas'!O8/('Base de datos Rutas'!L8/'Base de datos Rutas'!BK8)),"")</f>
        <v>5269.6770334928478</v>
      </c>
      <c r="J10" s="788">
        <f>IFERROR(IF(OR(NOT(ISNUMBER('Base de datos Rutas'!N8)),N('Base de datos Rutas'!BK8)=0),"",'Base de datos Rutas'!N8/('Base de datos Rutas'!L8/'Base de datos Rutas'!BK8)),"")</f>
        <v>991.06220095694255</v>
      </c>
      <c r="K10" s="788">
        <f>IFERROR(IF(OR(NOT(ISNUMBER('Base de datos Rutas'!J8)),N('Base de datos Rutas'!BK8)=0),"",'Base de datos Rutas'!J8/('Base de datos Rutas'!L8/'Base de datos Rutas'!BK8)),"")</f>
        <v>66.858185645933332</v>
      </c>
      <c r="L10" s="788">
        <f>IFERROR(IF(OR(NOT(ISNUMBER('Base de datos Rutas'!K8)),N('Base de datos Rutas'!BK8)=0),"",'Base de datos Rutas'!K8/('Base de datos Rutas'!L8/'Base de datos Rutas'!BK8)),"")</f>
        <v>35.503366822966676</v>
      </c>
      <c r="M10" s="787">
        <f>IF(ISNUMBER('Base de datos Rutas'!AX8),'Base de datos Rutas'!AX8,"")</f>
        <v>709.21020867208699</v>
      </c>
      <c r="N10" s="790">
        <f>IFERROR(INDEX('Hoja de apoyo v2'!B$17:B$20,MATCH($A10,'Hoja de apoyo v2'!$A$17:$A$20,0)),"")</f>
        <v>63.050408855205418</v>
      </c>
      <c r="O10" s="791">
        <f>IFERROR(INDEX('Hoja de apoyo v2'!C$17:C$20,MATCH($A10,'Hoja de apoyo v2'!$A$17:$A$20,0)),"")</f>
        <v>0.7559478312655763</v>
      </c>
      <c r="P10" s="793">
        <f>IFERROR(INDEX('Hoja de apoyo v2'!D$17:D$20,MATCH($A10,'Hoja de apoyo v2'!$A$17:$A$20,0)),"")</f>
        <v>9054.9839880720647</v>
      </c>
      <c r="Q10" s="793">
        <f>IFERROR(INDEX('Hoja de apoyo v2'!E$17:E$20,MATCH($A10,'Hoja de apoyo v2'!$A$17:$A$20,0)),"")</f>
        <v>4535.7799207004691</v>
      </c>
      <c r="R10" s="793">
        <f>IFERROR(INDEX('Hoja de apoyo v2'!F$17:F$20,MATCH($A10,'Hoja de apoyo v2'!$A$17:$A$20,0)),"")</f>
        <v>260.44838236060593</v>
      </c>
      <c r="S10" s="793">
        <f>IFERROR(INDEX('Hoja de apoyo v2'!G$17:G$20,MATCH($A10,'Hoja de apoyo v2'!$A$17:$A$20,0)),"")</f>
        <v>64.772152317133859</v>
      </c>
      <c r="T10" s="792">
        <f>IFERROR(INDEX('Hoja de apoyo v2'!H$17:H$20,MATCH($A10,'Hoja de apoyo v2'!$A$17:$A$20,0)),"")</f>
        <v>389.240053528842</v>
      </c>
      <c r="U10" s="794">
        <f t="shared" si="2"/>
        <v>0.66601983601634152</v>
      </c>
      <c r="V10" s="795">
        <f t="shared" si="3"/>
        <v>0.27808860140588493</v>
      </c>
      <c r="W10" s="795">
        <f t="shared" si="4"/>
        <v>0.58196425752209835</v>
      </c>
      <c r="X10" s="843">
        <f t="shared" si="5"/>
        <v>0.21849874074222961</v>
      </c>
      <c r="Y10" s="843">
        <f t="shared" si="6"/>
        <v>0.25670416932505374</v>
      </c>
      <c r="Z10" s="843">
        <f t="shared" si="7"/>
        <v>0.54812701991338864</v>
      </c>
      <c r="AA10" s="843">
        <f t="shared" si="8"/>
        <v>1.8220381028170209</v>
      </c>
      <c r="AB10" s="796">
        <f t="shared" si="9"/>
        <v>2</v>
      </c>
      <c r="AC10" s="797">
        <f t="shared" si="10"/>
        <v>1</v>
      </c>
      <c r="AD10" s="797">
        <f t="shared" si="11"/>
        <v>2</v>
      </c>
      <c r="AE10" s="842">
        <f t="shared" si="12"/>
        <v>1</v>
      </c>
      <c r="AF10" s="842">
        <f t="shared" si="13"/>
        <v>1</v>
      </c>
      <c r="AG10" s="842">
        <f t="shared" si="14"/>
        <v>2</v>
      </c>
      <c r="AH10" s="842">
        <f t="shared" si="15"/>
        <v>5</v>
      </c>
      <c r="AI10" s="826" cm="1">
        <f t="array" ref="AI10">SUMPRODUCT(--ISNUMBER($U10:$AA10),$AB$3:$AH$3)</f>
        <v>1</v>
      </c>
      <c r="AJ10" s="829">
        <f t="shared" si="16"/>
        <v>23.015785776830732</v>
      </c>
      <c r="AK10" s="827" t="str">
        <f t="shared" si="17"/>
        <v>Inmadura</v>
      </c>
      <c r="AL10" s="784" t="str">
        <f t="shared" si="18"/>
        <v>Alta</v>
      </c>
      <c r="AM10" s="799">
        <f>IF(ISNUMBER('Base de datos Rutas'!W8),'Base de datos Rutas'!W8,"")</f>
        <v>2708.9427499999997</v>
      </c>
      <c r="AN10" s="787">
        <f>IFERROR(SUMIFS('Base de datos Rutas'!$W$6:$W$794,'Base de datos Rutas'!$C$6:$C$794,$C10)/'Base de datos Rutas'!I8,"")</f>
        <v>2708.9427499999997</v>
      </c>
      <c r="AO10" s="800">
        <f>IFERROR('Base de datos Rutas'!X8*AN10/AM10,"")</f>
        <v>0.49091270899516493</v>
      </c>
      <c r="AP10" s="800">
        <f t="shared" si="19"/>
        <v>0.50908729100483507</v>
      </c>
      <c r="AQ10" s="789">
        <f>IFERROR(INDEX('Hoja de apoyo v2'!$J$17:$J$20,MATCH($A10,'Hoja de apoyo v2'!$A$17:$A$20,0)),"")</f>
        <v>0.56799995069377007</v>
      </c>
      <c r="AR10" s="789">
        <f t="shared" si="20"/>
        <v>-5.8912659688934998E-2</v>
      </c>
      <c r="AS10" s="784" t="str">
        <f t="shared" si="21"/>
        <v>No</v>
      </c>
      <c r="AT10" s="801" t="str">
        <f>IF(ISNUMBER('Base de datos Rutas'!CK8),'Base de datos Rutas'!CK8,"")</f>
        <v/>
      </c>
      <c r="AU10" s="802" t="str">
        <f>IF(ISNUMBER('Base de datos Rutas'!CL8),'Base de datos Rutas'!CL8,"")</f>
        <v/>
      </c>
      <c r="AV10" s="802">
        <f>IF(ISNUMBER('Base de datos Rutas'!CM8),'Base de datos Rutas'!CM8,"")</f>
        <v>0</v>
      </c>
      <c r="AW10" s="802" t="str">
        <f>IF(ISNUMBER('Base de datos Rutas'!CN8),'Base de datos Rutas'!CN8,"")</f>
        <v/>
      </c>
      <c r="AX10" s="802" t="str">
        <f>IF(ISNUMBER('Base de datos Rutas'!CO8),'Base de datos Rutas'!CO8,"")</f>
        <v/>
      </c>
      <c r="AY10" s="802">
        <f>IF(ISNUMBER('Base de datos Rutas'!CP8),'Base de datos Rutas'!CP8,"")</f>
        <v>0</v>
      </c>
      <c r="AZ10" s="802" t="str">
        <f>IF(ISNUMBER('Base de datos Rutas'!CQ8),'Base de datos Rutas'!CQ8,"")</f>
        <v/>
      </c>
      <c r="BA10" s="802" t="str">
        <f>IF(ISNUMBER('Base de datos Rutas'!CR8),'Base de datos Rutas'!CR8,"")</f>
        <v/>
      </c>
      <c r="BB10" s="803">
        <f>IF(ISNUMBER('Base de datos Rutas'!CS8),'Base de datos Rutas'!CS8,"")</f>
        <v>0</v>
      </c>
      <c r="BC10" s="804" t="str">
        <f t="shared" si="32"/>
        <v/>
      </c>
      <c r="BD10" s="805" t="str">
        <f t="shared" si="33"/>
        <v>N/D</v>
      </c>
      <c r="BE10" s="806" t="str">
        <f t="shared" si="34"/>
        <v/>
      </c>
      <c r="BF10" s="890" t="str">
        <f>IF(ISNUMBER('Base de datos Rutas'!CX8),'Base de datos Rutas'!CX8/100,"")</f>
        <v/>
      </c>
      <c r="BG10" s="891" t="str">
        <f>IF(ISNUMBER('Base de datos Rutas'!CZ8),'Base de datos Rutas'!CZ8/100,"")</f>
        <v/>
      </c>
      <c r="BH10" s="892" t="str">
        <f>IF(ISNUMBER('Base de datos Rutas'!DA8),'Base de datos Rutas'!DA8,"")</f>
        <v/>
      </c>
      <c r="BI10" s="893" t="str">
        <f>IF(ISNUMBER('Base de datos Rutas'!DC8),'Base de datos Rutas'!DC8,"")</f>
        <v/>
      </c>
      <c r="BJ10" s="805" t="str">
        <f t="shared" si="35"/>
        <v>Sin dato</v>
      </c>
      <c r="BK10" s="783">
        <f t="shared" si="22"/>
        <v>0</v>
      </c>
      <c r="BL10" s="797">
        <f t="shared" si="23"/>
        <v>0</v>
      </c>
      <c r="BM10" s="797">
        <f t="shared" si="24"/>
        <v>0</v>
      </c>
      <c r="BN10" s="797">
        <f t="shared" si="25"/>
        <v>0</v>
      </c>
      <c r="BO10" s="798" cm="1">
        <f t="array" ref="BO10">SUMPRODUCT(--ISNUMBER($BF10:$BI10),$BK$3:$BN$3)</f>
        <v>0</v>
      </c>
      <c r="BP10" s="831" t="str">
        <f t="shared" si="26"/>
        <v/>
      </c>
      <c r="BQ10" s="834" t="str">
        <f t="shared" si="36"/>
        <v>Sin datos</v>
      </c>
      <c r="BR10" s="836" t="str">
        <f t="shared" si="27"/>
        <v/>
      </c>
      <c r="BS10" s="836" t="str">
        <f t="shared" si="28"/>
        <v/>
      </c>
      <c r="BT10" s="837" t="str">
        <f t="shared" si="29"/>
        <v>Sin datos</v>
      </c>
      <c r="BU10" s="807" t="str">
        <f t="shared" si="37"/>
        <v>Con espacio</v>
      </c>
      <c r="BV10" s="807" t="str">
        <f t="shared" si="30"/>
        <v>Sin datos de zona</v>
      </c>
      <c r="BW10" s="808" t="str">
        <f t="shared" si="31"/>
        <v>Sin datos</v>
      </c>
    </row>
    <row r="11" spans="1:80">
      <c r="A11" s="780" t="str">
        <f>'Base de datos Rutas'!A9</f>
        <v>Noreste</v>
      </c>
      <c r="B11" s="781" t="str">
        <f>'Base de datos Rutas'!B9</f>
        <v>Matamoros</v>
      </c>
      <c r="C11" s="781" t="str">
        <f>'Base de datos Rutas'!C9</f>
        <v>Planta Matamoros</v>
      </c>
      <c r="D11" s="782">
        <f>IF(ISNUMBER('Base de datos Rutas'!D9),'Base de datos Rutas'!D9,"Sin código")</f>
        <v>101340</v>
      </c>
      <c r="E11" s="783" t="str">
        <f>'Base de datos Rutas'!F9</f>
        <v>Activa</v>
      </c>
      <c r="F11" s="784" t="str">
        <f>'Base de datos Rutas'!H9</f>
        <v>Sí</v>
      </c>
      <c r="G11" s="785">
        <f>IF(ISNUMBER('Base de datos Rutas'!BE9),'Base de datos Rutas'!BE9,"")</f>
        <v>30.244897959183699</v>
      </c>
      <c r="H11" s="786">
        <f>IF(ISNUMBER('Base de datos Rutas'!BH9),'Base de datos Rutas'!BH9,"")</f>
        <v>0.55638026690658304</v>
      </c>
      <c r="I11" s="788">
        <f>IFERROR(IF(OR(NOT(ISNUMBER('Base de datos Rutas'!O9)),N('Base de datos Rutas'!BK9)=0),"",'Base de datos Rutas'!O9/('Base de datos Rutas'!L9/'Base de datos Rutas'!BK9)),"")</f>
        <v>3681.3015873015752</v>
      </c>
      <c r="J11" s="788">
        <f>IFERROR(IF(OR(NOT(ISNUMBER('Base de datos Rutas'!N9)),N('Base de datos Rutas'!BK9)=0),"",'Base de datos Rutas'!N9/('Base de datos Rutas'!L9/'Base de datos Rutas'!BK9)),"")</f>
        <v>1219.9614512471614</v>
      </c>
      <c r="K11" s="788">
        <f>IFERROR(IF(OR(NOT(ISNUMBER('Base de datos Rutas'!J9)),N('Base de datos Rutas'!BK9)=0),"",'Base de datos Rutas'!J9/('Base de datos Rutas'!L9/'Base de datos Rutas'!BK9)),"")</f>
        <v>80.224457142856878</v>
      </c>
      <c r="L11" s="788">
        <f>IFERROR(IF(OR(NOT(ISNUMBER('Base de datos Rutas'!K9)),N('Base de datos Rutas'!BK9)=0),"",'Base de datos Rutas'!K9/('Base de datos Rutas'!L9/'Base de datos Rutas'!BK9)),"")</f>
        <v>25.155335344671119</v>
      </c>
      <c r="M11" s="787">
        <f>IF(ISNUMBER('Base de datos Rutas'!AX9),'Base de datos Rutas'!AX9,"")</f>
        <v>291.25447379059398</v>
      </c>
      <c r="N11" s="790">
        <f>IFERROR(INDEX('Hoja de apoyo v2'!B$17:B$20,MATCH($A11,'Hoja de apoyo v2'!$A$17:$A$20,0)),"")</f>
        <v>63.050408855205418</v>
      </c>
      <c r="O11" s="791">
        <f>IFERROR(INDEX('Hoja de apoyo v2'!C$17:C$20,MATCH($A11,'Hoja de apoyo v2'!$A$17:$A$20,0)),"")</f>
        <v>0.7559478312655763</v>
      </c>
      <c r="P11" s="793">
        <f>IFERROR(INDEX('Hoja de apoyo v2'!D$17:D$20,MATCH($A11,'Hoja de apoyo v2'!$A$17:$A$20,0)),"")</f>
        <v>9054.9839880720647</v>
      </c>
      <c r="Q11" s="793">
        <f>IFERROR(INDEX('Hoja de apoyo v2'!E$17:E$20,MATCH($A11,'Hoja de apoyo v2'!$A$17:$A$20,0)),"")</f>
        <v>4535.7799207004691</v>
      </c>
      <c r="R11" s="793">
        <f>IFERROR(INDEX('Hoja de apoyo v2'!F$17:F$20,MATCH($A11,'Hoja de apoyo v2'!$A$17:$A$20,0)),"")</f>
        <v>260.44838236060593</v>
      </c>
      <c r="S11" s="793">
        <f>IFERROR(INDEX('Hoja de apoyo v2'!G$17:G$20,MATCH($A11,'Hoja de apoyo v2'!$A$17:$A$20,0)),"")</f>
        <v>64.772152317133859</v>
      </c>
      <c r="T11" s="792">
        <f>IFERROR(INDEX('Hoja de apoyo v2'!H$17:H$20,MATCH($A11,'Hoja de apoyo v2'!$A$17:$A$20,0)),"")</f>
        <v>389.240053528842</v>
      </c>
      <c r="U11" s="794">
        <f t="shared" si="2"/>
        <v>0.47969392282040202</v>
      </c>
      <c r="V11" s="795">
        <f t="shared" si="3"/>
        <v>0.73600352285569026</v>
      </c>
      <c r="W11" s="795">
        <f t="shared" si="4"/>
        <v>0.4065497622249663</v>
      </c>
      <c r="X11" s="843">
        <f t="shared" si="5"/>
        <v>0.26896398691644646</v>
      </c>
      <c r="Y11" s="843">
        <f t="shared" si="6"/>
        <v>0.30802440167119738</v>
      </c>
      <c r="Z11" s="843">
        <f t="shared" si="7"/>
        <v>0.38836651932619048</v>
      </c>
      <c r="AA11" s="843">
        <f t="shared" si="8"/>
        <v>0.7482643966110043</v>
      </c>
      <c r="AB11" s="796">
        <f t="shared" si="9"/>
        <v>1</v>
      </c>
      <c r="AC11" s="797">
        <f t="shared" si="10"/>
        <v>2</v>
      </c>
      <c r="AD11" s="797">
        <f t="shared" si="11"/>
        <v>1</v>
      </c>
      <c r="AE11" s="842">
        <f t="shared" si="12"/>
        <v>1</v>
      </c>
      <c r="AF11" s="842">
        <f t="shared" si="13"/>
        <v>1</v>
      </c>
      <c r="AG11" s="842">
        <f t="shared" si="14"/>
        <v>1</v>
      </c>
      <c r="AH11" s="842">
        <f t="shared" si="15"/>
        <v>2</v>
      </c>
      <c r="AI11" s="826" cm="1">
        <f t="array" ref="AI11">SUMPRODUCT(--ISNUMBER($U11:$AA11),$AB$3:$AH$3)</f>
        <v>1</v>
      </c>
      <c r="AJ11" s="829">
        <f t="shared" si="16"/>
        <v>4.6276334262170487</v>
      </c>
      <c r="AK11" s="827" t="str">
        <f t="shared" si="17"/>
        <v>Inmadura</v>
      </c>
      <c r="AL11" s="784" t="str">
        <f t="shared" si="18"/>
        <v>Alta</v>
      </c>
      <c r="AM11" s="799">
        <f>IF(ISNUMBER('Base de datos Rutas'!W9),'Base de datos Rutas'!W9,"")</f>
        <v>2934.5030350000002</v>
      </c>
      <c r="AN11" s="787">
        <f>IFERROR(SUMIFS('Base de datos Rutas'!$W$6:$W$794,'Base de datos Rutas'!$C$6:$C$794,$C11)/'Base de datos Rutas'!I9,"")</f>
        <v>2934.5030350000002</v>
      </c>
      <c r="AO11" s="800">
        <f>IFERROR('Base de datos Rutas'!X9*AN11/AM11,"")</f>
        <v>0.67828138589659492</v>
      </c>
      <c r="AP11" s="800">
        <f t="shared" si="19"/>
        <v>0.32171861410340508</v>
      </c>
      <c r="AQ11" s="789">
        <f>IFERROR(INDEX('Hoja de apoyo v2'!$J$17:$J$20,MATCH($A11,'Hoja de apoyo v2'!$A$17:$A$20,0)),"")</f>
        <v>0.56799995069377007</v>
      </c>
      <c r="AR11" s="789">
        <f t="shared" si="20"/>
        <v>-0.246281336590365</v>
      </c>
      <c r="AS11" s="784" t="str">
        <f t="shared" si="21"/>
        <v>Sí</v>
      </c>
      <c r="AT11" s="801">
        <f>IF(ISNUMBER('Base de datos Rutas'!CK9),'Base de datos Rutas'!CK9,"")</f>
        <v>168</v>
      </c>
      <c r="AU11" s="802">
        <f>IF(ISNUMBER('Base de datos Rutas'!CL9),'Base de datos Rutas'!CL9,"")</f>
        <v>370.78</v>
      </c>
      <c r="AV11" s="802">
        <f>IF(ISNUMBER('Base de datos Rutas'!CM9),'Base de datos Rutas'!CM9,"")</f>
        <v>202.77999999999997</v>
      </c>
      <c r="AW11" s="802">
        <f>IF(ISNUMBER('Base de datos Rutas'!CN9),'Base de datos Rutas'!CN9,"")</f>
        <v>3.89</v>
      </c>
      <c r="AX11" s="802">
        <f>IF(ISNUMBER('Base de datos Rutas'!CO9),'Base de datos Rutas'!CO9,"")</f>
        <v>9.4499999999999993</v>
      </c>
      <c r="AY11" s="802">
        <f>IF(ISNUMBER('Base de datos Rutas'!CP9),'Base de datos Rutas'!CP9,"")</f>
        <v>5.5599999999999987</v>
      </c>
      <c r="AZ11" s="802">
        <f>IF(ISNUMBER('Base de datos Rutas'!CQ9),'Base de datos Rutas'!CQ9,"")</f>
        <v>677.25</v>
      </c>
      <c r="BA11" s="802">
        <f>IF(ISNUMBER('Base de datos Rutas'!CR9),'Base de datos Rutas'!CR9,"")</f>
        <v>105.38</v>
      </c>
      <c r="BB11" s="803">
        <f>IF(ISNUMBER('Base de datos Rutas'!CS9),'Base de datos Rutas'!CS9,"")</f>
        <v>571.87</v>
      </c>
      <c r="BC11" s="804">
        <f t="shared" si="32"/>
        <v>0</v>
      </c>
      <c r="BD11" s="805" t="str">
        <f t="shared" si="33"/>
        <v>No saturada</v>
      </c>
      <c r="BE11" s="806">
        <f t="shared" si="34"/>
        <v>0.15559985234403839</v>
      </c>
      <c r="BF11" s="890">
        <f>IF(ISNUMBER('Base de datos Rutas'!CX9),'Base de datos Rutas'!CX9/100,"")</f>
        <v>0.17699168333508786</v>
      </c>
      <c r="BG11" s="891">
        <f>IF(ISNUMBER('Base de datos Rutas'!CZ9),'Base de datos Rutas'!CZ9/100,"")</f>
        <v>0.18126118538793556</v>
      </c>
      <c r="BH11" s="892">
        <f>IF(ISNUMBER('Base de datos Rutas'!DA9),'Base de datos Rutas'!DA9,"")</f>
        <v>58.952015586469642</v>
      </c>
      <c r="BI11" s="893">
        <f>IF(ISNUMBER('Base de datos Rutas'!DC9),'Base de datos Rutas'!DC9,"")</f>
        <v>1.0568638624271403</v>
      </c>
      <c r="BJ11" s="805" t="str">
        <f t="shared" si="35"/>
        <v>Ruta (completo)</v>
      </c>
      <c r="BK11" s="783">
        <f t="shared" si="22"/>
        <v>3</v>
      </c>
      <c r="BL11" s="797">
        <f t="shared" si="23"/>
        <v>3</v>
      </c>
      <c r="BM11" s="797">
        <f t="shared" si="24"/>
        <v>3</v>
      </c>
      <c r="BN11" s="797">
        <f t="shared" si="25"/>
        <v>3</v>
      </c>
      <c r="BO11" s="798" cm="1">
        <f t="array" ref="BO11">SUMPRODUCT(--ISNUMBER($BF11:$BI11),$BK$3:$BN$3)</f>
        <v>1</v>
      </c>
      <c r="BP11" s="831">
        <f t="shared" si="26"/>
        <v>50</v>
      </c>
      <c r="BQ11" s="834" t="str">
        <f t="shared" si="36"/>
        <v>Alto</v>
      </c>
      <c r="BR11" s="836">
        <f t="shared" si="27"/>
        <v>3.4707250696627865</v>
      </c>
      <c r="BS11" s="836">
        <f t="shared" si="28"/>
        <v>50</v>
      </c>
      <c r="BT11" s="837" t="str">
        <f t="shared" si="29"/>
        <v>P3</v>
      </c>
      <c r="BU11" s="807" t="str">
        <f t="shared" si="37"/>
        <v>Con espacio</v>
      </c>
      <c r="BV11" s="807" t="str">
        <f t="shared" si="30"/>
        <v>Zona atractiva</v>
      </c>
      <c r="BW11" s="808" t="str">
        <f t="shared" si="31"/>
        <v>P3 - Desarrollar</v>
      </c>
    </row>
    <row r="12" spans="1:80">
      <c r="A12" s="780" t="str">
        <f>'Base de datos Rutas'!A10</f>
        <v>Noreste</v>
      </c>
      <c r="B12" s="781" t="str">
        <f>'Base de datos Rutas'!B10</f>
        <v>Matamoros</v>
      </c>
      <c r="C12" s="781" t="str">
        <f>'Base de datos Rutas'!C10</f>
        <v>Planta Matamoros</v>
      </c>
      <c r="D12" s="782">
        <f>IF(ISNUMBER('Base de datos Rutas'!D10),'Base de datos Rutas'!D10,"Sin código")</f>
        <v>101341</v>
      </c>
      <c r="E12" s="783" t="str">
        <f>'Base de datos Rutas'!F10</f>
        <v>Activa</v>
      </c>
      <c r="F12" s="784" t="str">
        <f>'Base de datos Rutas'!H10</f>
        <v>Sí</v>
      </c>
      <c r="G12" s="785">
        <f>IF(ISNUMBER('Base de datos Rutas'!BE10),'Base de datos Rutas'!BE10,"")</f>
        <v>25.4444444444444</v>
      </c>
      <c r="H12" s="786">
        <f>IF(ISNUMBER('Base de datos Rutas'!BH10),'Base de datos Rutas'!BH10,"")</f>
        <v>0.34970145263345498</v>
      </c>
      <c r="I12" s="788">
        <f>IFERROR(IF(OR(NOT(ISNUMBER('Base de datos Rutas'!O10)),N('Base de datos Rutas'!BK10)=0),"",'Base de datos Rutas'!O10/('Base de datos Rutas'!L10/'Base de datos Rutas'!BK10)),"")</f>
        <v>10877.086167800455</v>
      </c>
      <c r="J12" s="788">
        <f>IFERROR(IF(OR(NOT(ISNUMBER('Base de datos Rutas'!N10)),N('Base de datos Rutas'!BK10)=0),"",'Base de datos Rutas'!N10/('Base de datos Rutas'!L10/'Base de datos Rutas'!BK10)),"")</f>
        <v>1265.278911564626</v>
      </c>
      <c r="K12" s="788">
        <f>IFERROR(IF(OR(NOT(ISNUMBER('Base de datos Rutas'!J10)),N('Base de datos Rutas'!BK10)=0),"",'Base de datos Rutas'!J10/('Base de datos Rutas'!L10/'Base de datos Rutas'!BK10)),"")</f>
        <v>85.887453968253979</v>
      </c>
      <c r="L12" s="788">
        <f>IFERROR(IF(OR(NOT(ISNUMBER('Base de datos Rutas'!K10)),N('Base de datos Rutas'!BK10)=0),"",'Base de datos Rutas'!K10/('Base de datos Rutas'!L10/'Base de datos Rutas'!BK10)),"")</f>
        <v>88.336068569161014</v>
      </c>
      <c r="M12" s="787">
        <f>IF(ISNUMBER('Base de datos Rutas'!AX10),'Base de datos Rutas'!AX10,"")</f>
        <v>1364.6376095820599</v>
      </c>
      <c r="N12" s="790">
        <f>IFERROR(INDEX('Hoja de apoyo v2'!B$17:B$20,MATCH($A12,'Hoja de apoyo v2'!$A$17:$A$20,0)),"")</f>
        <v>63.050408855205418</v>
      </c>
      <c r="O12" s="791">
        <f>IFERROR(INDEX('Hoja de apoyo v2'!C$17:C$20,MATCH($A12,'Hoja de apoyo v2'!$A$17:$A$20,0)),"")</f>
        <v>0.7559478312655763</v>
      </c>
      <c r="P12" s="793">
        <f>IFERROR(INDEX('Hoja de apoyo v2'!D$17:D$20,MATCH($A12,'Hoja de apoyo v2'!$A$17:$A$20,0)),"")</f>
        <v>9054.9839880720647</v>
      </c>
      <c r="Q12" s="793">
        <f>IFERROR(INDEX('Hoja de apoyo v2'!E$17:E$20,MATCH($A12,'Hoja de apoyo v2'!$A$17:$A$20,0)),"")</f>
        <v>4535.7799207004691</v>
      </c>
      <c r="R12" s="793">
        <f>IFERROR(INDEX('Hoja de apoyo v2'!F$17:F$20,MATCH($A12,'Hoja de apoyo v2'!$A$17:$A$20,0)),"")</f>
        <v>260.44838236060593</v>
      </c>
      <c r="S12" s="793">
        <f>IFERROR(INDEX('Hoja de apoyo v2'!G$17:G$20,MATCH($A12,'Hoja de apoyo v2'!$A$17:$A$20,0)),"")</f>
        <v>64.772152317133859</v>
      </c>
      <c r="T12" s="792">
        <f>IFERROR(INDEX('Hoja de apoyo v2'!H$17:H$20,MATCH($A12,'Hoja de apoyo v2'!$A$17:$A$20,0)),"")</f>
        <v>389.240053528842</v>
      </c>
      <c r="U12" s="794">
        <f t="shared" si="2"/>
        <v>0.4035571680887477</v>
      </c>
      <c r="V12" s="795">
        <f t="shared" si="3"/>
        <v>0.46259998133468999</v>
      </c>
      <c r="W12" s="795">
        <f t="shared" si="4"/>
        <v>1.2012264386252485</v>
      </c>
      <c r="X12" s="843">
        <f t="shared" si="5"/>
        <v>0.2789550934316995</v>
      </c>
      <c r="Y12" s="843">
        <f t="shared" si="6"/>
        <v>0.32976766140684954</v>
      </c>
      <c r="Z12" s="843">
        <f t="shared" si="7"/>
        <v>1.3637970240151169</v>
      </c>
      <c r="AA12" s="843">
        <f t="shared" si="8"/>
        <v>3.5059023273948418</v>
      </c>
      <c r="AB12" s="796">
        <f t="shared" si="9"/>
        <v>1</v>
      </c>
      <c r="AC12" s="797">
        <f t="shared" si="10"/>
        <v>1</v>
      </c>
      <c r="AD12" s="797">
        <f t="shared" si="11"/>
        <v>4</v>
      </c>
      <c r="AE12" s="842">
        <f t="shared" si="12"/>
        <v>1</v>
      </c>
      <c r="AF12" s="842">
        <f t="shared" si="13"/>
        <v>1</v>
      </c>
      <c r="AG12" s="842">
        <f t="shared" si="14"/>
        <v>5</v>
      </c>
      <c r="AH12" s="842">
        <f t="shared" si="15"/>
        <v>5</v>
      </c>
      <c r="AI12" s="826" cm="1">
        <f t="array" ref="AI12">SUMPRODUCT(--ISNUMBER($U12:$AA12),$AB$3:$AH$3)</f>
        <v>1</v>
      </c>
      <c r="AJ12" s="829">
        <f t="shared" si="16"/>
        <v>41.877692841529111</v>
      </c>
      <c r="AK12" s="827" t="str">
        <f t="shared" si="17"/>
        <v>Inmadura</v>
      </c>
      <c r="AL12" s="784" t="str">
        <f t="shared" si="18"/>
        <v>Alta</v>
      </c>
      <c r="AM12" s="799">
        <f>IF(ISNUMBER('Base de datos Rutas'!W10),'Base de datos Rutas'!W10,"")</f>
        <v>2934.5030350000002</v>
      </c>
      <c r="AN12" s="787">
        <f>IFERROR(SUMIFS('Base de datos Rutas'!$W$6:$W$794,'Base de datos Rutas'!$C$6:$C$794,$C12)/'Base de datos Rutas'!I10,"")</f>
        <v>2934.5030350000002</v>
      </c>
      <c r="AO12" s="800">
        <f>IFERROR('Base de datos Rutas'!X10*AN12/AM12,"")</f>
        <v>0.67828138589659492</v>
      </c>
      <c r="AP12" s="800">
        <f t="shared" si="19"/>
        <v>0.32171861410340508</v>
      </c>
      <c r="AQ12" s="789">
        <f>IFERROR(INDEX('Hoja de apoyo v2'!$J$17:$J$20,MATCH($A12,'Hoja de apoyo v2'!$A$17:$A$20,0)),"")</f>
        <v>0.56799995069377007</v>
      </c>
      <c r="AR12" s="789">
        <f t="shared" si="20"/>
        <v>-0.246281336590365</v>
      </c>
      <c r="AS12" s="784" t="str">
        <f t="shared" si="21"/>
        <v>Sí</v>
      </c>
      <c r="AT12" s="801">
        <f>IF(ISNUMBER('Base de datos Rutas'!CK10),'Base de datos Rutas'!CK10,"")</f>
        <v>149</v>
      </c>
      <c r="AU12" s="802">
        <f>IF(ISNUMBER('Base de datos Rutas'!CL10),'Base de datos Rutas'!CL10,"")</f>
        <v>347.64</v>
      </c>
      <c r="AV12" s="802">
        <f>IF(ISNUMBER('Base de datos Rutas'!CM10),'Base de datos Rutas'!CM10,"")</f>
        <v>198.64</v>
      </c>
      <c r="AW12" s="802">
        <f>IF(ISNUMBER('Base de datos Rutas'!CN10),'Base de datos Rutas'!CN10,"")</f>
        <v>3.55</v>
      </c>
      <c r="AX12" s="802">
        <f>IF(ISNUMBER('Base de datos Rutas'!CO10),'Base de datos Rutas'!CO10,"")</f>
        <v>9.4499999999999993</v>
      </c>
      <c r="AY12" s="802">
        <f>IF(ISNUMBER('Base de datos Rutas'!CP10),'Base de datos Rutas'!CP10,"")</f>
        <v>5.8999999999999995</v>
      </c>
      <c r="AZ12" s="802">
        <f>IF(ISNUMBER('Base de datos Rutas'!CQ10),'Base de datos Rutas'!CQ10,"")</f>
        <v>677.25</v>
      </c>
      <c r="BA12" s="802">
        <f>IF(ISNUMBER('Base de datos Rutas'!CR10),'Base de datos Rutas'!CR10,"")</f>
        <v>174.22</v>
      </c>
      <c r="BB12" s="803">
        <f>IF(ISNUMBER('Base de datos Rutas'!CS10),'Base de datos Rutas'!CS10,"")</f>
        <v>503.03</v>
      </c>
      <c r="BC12" s="804">
        <f t="shared" si="32"/>
        <v>0</v>
      </c>
      <c r="BD12" s="805" t="str">
        <f t="shared" si="33"/>
        <v>No saturada</v>
      </c>
      <c r="BE12" s="806">
        <f t="shared" si="34"/>
        <v>0.25724621631598377</v>
      </c>
      <c r="BF12" s="890">
        <f>IF(ISNUMBER('Base de datos Rutas'!CX10),'Base de datos Rutas'!CX10/100,"")</f>
        <v>7.8096536806714786E-2</v>
      </c>
      <c r="BG12" s="891">
        <f>IF(ISNUMBER('Base de datos Rutas'!CZ10),'Base de datos Rutas'!CZ10/100,"")</f>
        <v>8.0431664824959448E-2</v>
      </c>
      <c r="BH12" s="892">
        <f>IF(ISNUMBER('Base de datos Rutas'!DA10),'Base de datos Rutas'!DA10,"")</f>
        <v>14.962769678028312</v>
      </c>
      <c r="BI12" s="893">
        <f>IF(ISNUMBER('Base de datos Rutas'!DC10),'Base de datos Rutas'!DC10,"")</f>
        <v>0.44938335516340655</v>
      </c>
      <c r="BJ12" s="805" t="str">
        <f t="shared" si="35"/>
        <v>Ruta (completo)</v>
      </c>
      <c r="BK12" s="783">
        <f t="shared" si="22"/>
        <v>1</v>
      </c>
      <c r="BL12" s="797">
        <f t="shared" si="23"/>
        <v>1</v>
      </c>
      <c r="BM12" s="797">
        <f t="shared" si="24"/>
        <v>1</v>
      </c>
      <c r="BN12" s="797">
        <f t="shared" si="25"/>
        <v>1</v>
      </c>
      <c r="BO12" s="798" cm="1">
        <f t="array" ref="BO12">SUMPRODUCT(--ISNUMBER($BF12:$BI12),$BK$3:$BN$3)</f>
        <v>1</v>
      </c>
      <c r="BP12" s="831">
        <f t="shared" si="26"/>
        <v>0</v>
      </c>
      <c r="BQ12" s="834" t="str">
        <f t="shared" si="36"/>
        <v>Bajo</v>
      </c>
      <c r="BR12" s="836">
        <f t="shared" si="27"/>
        <v>31.408269631146833</v>
      </c>
      <c r="BS12" s="836">
        <f t="shared" si="28"/>
        <v>0</v>
      </c>
      <c r="BT12" s="837" t="str">
        <f t="shared" si="29"/>
        <v>P2</v>
      </c>
      <c r="BU12" s="807" t="str">
        <f t="shared" si="37"/>
        <v>Con espacio</v>
      </c>
      <c r="BV12" s="807" t="str">
        <f t="shared" si="30"/>
        <v>Zona de bajo potencial</v>
      </c>
      <c r="BW12" s="808" t="str">
        <f t="shared" si="31"/>
        <v>P2 - Mantener</v>
      </c>
    </row>
    <row r="13" spans="1:80">
      <c r="A13" s="780" t="str">
        <f>'Base de datos Rutas'!A11</f>
        <v>Noreste</v>
      </c>
      <c r="B13" s="781" t="str">
        <f>'Base de datos Rutas'!B11</f>
        <v>Monclova</v>
      </c>
      <c r="C13" s="781" t="str">
        <f>'Base de datos Rutas'!C11</f>
        <v>Sucursal Monclova</v>
      </c>
      <c r="D13" s="782">
        <f>IF(ISNUMBER('Base de datos Rutas'!D11),'Base de datos Rutas'!D11,"Sin código")</f>
        <v>206300</v>
      </c>
      <c r="E13" s="783" t="str">
        <f>'Base de datos Rutas'!F11</f>
        <v>Activa</v>
      </c>
      <c r="F13" s="784" t="str">
        <f>'Base de datos Rutas'!H11</f>
        <v>Sí</v>
      </c>
      <c r="G13" s="785">
        <f>IF(ISNUMBER('Base de datos Rutas'!BE11),'Base de datos Rutas'!BE11,"")</f>
        <v>26.476082004555799</v>
      </c>
      <c r="H13" s="786">
        <f>IF(ISNUMBER('Base de datos Rutas'!BH11),'Base de datos Rutas'!BH11,"")</f>
        <v>0.65508044394734599</v>
      </c>
      <c r="I13" s="788">
        <f>IFERROR(IF(OR(NOT(ISNUMBER('Base de datos Rutas'!O11)),N('Base de datos Rutas'!BK11)=0),"",'Base de datos Rutas'!O11/('Base de datos Rutas'!L11/'Base de datos Rutas'!BK11)),"")</f>
        <v>1942.4669703872453</v>
      </c>
      <c r="J13" s="788">
        <f>IFERROR(IF(OR(NOT(ISNUMBER('Base de datos Rutas'!N11)),N('Base de datos Rutas'!BK11)=0),"",'Base de datos Rutas'!N11/('Base de datos Rutas'!L11/'Base de datos Rutas'!BK11)),"")</f>
        <v>7132.6127562642423</v>
      </c>
      <c r="K13" s="788">
        <f>IFERROR(IF(OR(NOT(ISNUMBER('Base de datos Rutas'!J11)),N('Base de datos Rutas'!BK11)=0),"",'Base de datos Rutas'!J11/('Base de datos Rutas'!L11/'Base de datos Rutas'!BK11)),"")</f>
        <v>458.61808473804132</v>
      </c>
      <c r="L13" s="788">
        <f>IFERROR(IF(OR(NOT(ISNUMBER('Base de datos Rutas'!K11)),N('Base de datos Rutas'!BK11)=0),"",'Base de datos Rutas'!K11/('Base de datos Rutas'!L11/'Base de datos Rutas'!BK11)),"")</f>
        <v>13.306659485193633</v>
      </c>
      <c r="M13" s="787">
        <f>IF(ISNUMBER('Base de datos Rutas'!AX11),'Base de datos Rutas'!AX11,"")</f>
        <v>523.24145127396901</v>
      </c>
      <c r="N13" s="790">
        <f>IFERROR(INDEX('Hoja de apoyo v2'!B$17:B$20,MATCH($A13,'Hoja de apoyo v2'!$A$17:$A$20,0)),"")</f>
        <v>63.050408855205418</v>
      </c>
      <c r="O13" s="791">
        <f>IFERROR(INDEX('Hoja de apoyo v2'!C$17:C$20,MATCH($A13,'Hoja de apoyo v2'!$A$17:$A$20,0)),"")</f>
        <v>0.7559478312655763</v>
      </c>
      <c r="P13" s="793">
        <f>IFERROR(INDEX('Hoja de apoyo v2'!D$17:D$20,MATCH($A13,'Hoja de apoyo v2'!$A$17:$A$20,0)),"")</f>
        <v>9054.9839880720647</v>
      </c>
      <c r="Q13" s="793">
        <f>IFERROR(INDEX('Hoja de apoyo v2'!E$17:E$20,MATCH($A13,'Hoja de apoyo v2'!$A$17:$A$20,0)),"")</f>
        <v>4535.7799207004691</v>
      </c>
      <c r="R13" s="793">
        <f>IFERROR(INDEX('Hoja de apoyo v2'!F$17:F$20,MATCH($A13,'Hoja de apoyo v2'!$A$17:$A$20,0)),"")</f>
        <v>260.44838236060593</v>
      </c>
      <c r="S13" s="793">
        <f>IFERROR(INDEX('Hoja de apoyo v2'!G$17:G$20,MATCH($A13,'Hoja de apoyo v2'!$A$17:$A$20,0)),"")</f>
        <v>64.772152317133859</v>
      </c>
      <c r="T13" s="792">
        <f>IFERROR(INDEX('Hoja de apoyo v2'!H$17:H$20,MATCH($A13,'Hoja de apoyo v2'!$A$17:$A$20,0)),"")</f>
        <v>389.240053528842</v>
      </c>
      <c r="U13" s="794">
        <f t="shared" si="2"/>
        <v>0.41991927546985197</v>
      </c>
      <c r="V13" s="795">
        <f t="shared" si="3"/>
        <v>0.86656832238097392</v>
      </c>
      <c r="W13" s="795">
        <f t="shared" si="4"/>
        <v>0.21451909500293045</v>
      </c>
      <c r="X13" s="843">
        <f t="shared" si="5"/>
        <v>1.5725217891882945</v>
      </c>
      <c r="Y13" s="843">
        <f t="shared" si="6"/>
        <v>1.7608789909973712</v>
      </c>
      <c r="Z13" s="843">
        <f t="shared" si="7"/>
        <v>0.20543797000973962</v>
      </c>
      <c r="AA13" s="843">
        <f t="shared" si="8"/>
        <v>1.3442641540362386</v>
      </c>
      <c r="AB13" s="796">
        <f t="shared" si="9"/>
        <v>1</v>
      </c>
      <c r="AC13" s="797">
        <f t="shared" si="10"/>
        <v>3</v>
      </c>
      <c r="AD13" s="797">
        <f t="shared" si="11"/>
        <v>1</v>
      </c>
      <c r="AE13" s="842">
        <f t="shared" si="12"/>
        <v>5</v>
      </c>
      <c r="AF13" s="842">
        <f t="shared" si="13"/>
        <v>5</v>
      </c>
      <c r="AG13" s="842">
        <f t="shared" si="14"/>
        <v>1</v>
      </c>
      <c r="AH13" s="842">
        <f t="shared" si="15"/>
        <v>5</v>
      </c>
      <c r="AI13" s="826" cm="1">
        <f t="array" ref="AI13">SUMPRODUCT(--ISNUMBER($U13:$AA13),$AB$3:$AH$3)</f>
        <v>1</v>
      </c>
      <c r="AJ13" s="829">
        <f t="shared" si="16"/>
        <v>39.086691166121156</v>
      </c>
      <c r="AK13" s="827" t="str">
        <f t="shared" si="17"/>
        <v>Inmadura</v>
      </c>
      <c r="AL13" s="784" t="str">
        <f t="shared" si="18"/>
        <v>Alta</v>
      </c>
      <c r="AM13" s="799">
        <f>IF(ISNUMBER('Base de datos Rutas'!W11),'Base de datos Rutas'!W11,"")</f>
        <v>2926.3660075054263</v>
      </c>
      <c r="AN13" s="787">
        <f>IFERROR(SUMIFS('Base de datos Rutas'!$W$6:$W$794,'Base de datos Rutas'!$C$6:$C$794,$C13)/'Base de datos Rutas'!I11,"")</f>
        <v>2926.3660075054263</v>
      </c>
      <c r="AO13" s="800">
        <f>IFERROR('Base de datos Rutas'!X11*AN13/AM13,"")</f>
        <v>0.5718254221425052</v>
      </c>
      <c r="AP13" s="800">
        <f t="shared" si="19"/>
        <v>0.4281745778574948</v>
      </c>
      <c r="AQ13" s="789">
        <f>IFERROR(INDEX('Hoja de apoyo v2'!$J$17:$J$20,MATCH($A13,'Hoja de apoyo v2'!$A$17:$A$20,0)),"")</f>
        <v>0.56799995069377007</v>
      </c>
      <c r="AR13" s="789">
        <f t="shared" si="20"/>
        <v>-0.13982537283627527</v>
      </c>
      <c r="AS13" s="784" t="str">
        <f t="shared" si="21"/>
        <v>No</v>
      </c>
      <c r="AT13" s="801">
        <f>IF(ISNUMBER('Base de datos Rutas'!CK11),'Base de datos Rutas'!CK11,"")</f>
        <v>116</v>
      </c>
      <c r="AU13" s="802">
        <f>IF(ISNUMBER('Base de datos Rutas'!CL11),'Base de datos Rutas'!CL11,"")</f>
        <v>183.91</v>
      </c>
      <c r="AV13" s="802">
        <f>IF(ISNUMBER('Base de datos Rutas'!CM11),'Base de datos Rutas'!CM11,"")</f>
        <v>67.91</v>
      </c>
      <c r="AW13" s="802">
        <f>IF(ISNUMBER('Base de datos Rutas'!CN11),'Base de datos Rutas'!CN11,"")</f>
        <v>2.33</v>
      </c>
      <c r="AX13" s="802">
        <f>IF(ISNUMBER('Base de datos Rutas'!CO11),'Base de datos Rutas'!CO11,"")</f>
        <v>9.4499999999999993</v>
      </c>
      <c r="AY13" s="802">
        <f>IF(ISNUMBER('Base de datos Rutas'!CP11),'Base de datos Rutas'!CP11,"")</f>
        <v>7.1199999999999992</v>
      </c>
      <c r="AZ13" s="802">
        <f>IF(ISNUMBER('Base de datos Rutas'!CQ11),'Base de datos Rutas'!CQ11,"")</f>
        <v>846.56</v>
      </c>
      <c r="BA13" s="802">
        <f>IF(ISNUMBER('Base de datos Rutas'!CR11),'Base de datos Rutas'!CR11,"")</f>
        <v>471.92</v>
      </c>
      <c r="BB13" s="803">
        <f>IF(ISNUMBER('Base de datos Rutas'!CS11),'Base de datos Rutas'!CS11,"")</f>
        <v>374.63999999999993</v>
      </c>
      <c r="BC13" s="804">
        <f t="shared" si="32"/>
        <v>0</v>
      </c>
      <c r="BD13" s="805" t="str">
        <f t="shared" si="33"/>
        <v>No saturada</v>
      </c>
      <c r="BE13" s="806">
        <f t="shared" si="34"/>
        <v>0.55745605745605753</v>
      </c>
      <c r="BF13" s="890">
        <f>IF(ISNUMBER('Base de datos Rutas'!CX11),'Base de datos Rutas'!CX11/100,"")</f>
        <v>0.47840619782971622</v>
      </c>
      <c r="BG13" s="891">
        <f>IF(ISNUMBER('Base de datos Rutas'!CZ11),'Base de datos Rutas'!CZ11/100,"")</f>
        <v>0.481949081803005</v>
      </c>
      <c r="BH13" s="892">
        <f>IF(ISNUMBER('Base de datos Rutas'!DA11),'Base de datos Rutas'!DA11,"")</f>
        <v>74.46613703224854</v>
      </c>
      <c r="BI13" s="893">
        <f>IF(ISNUMBER('Base de datos Rutas'!DC11),'Base de datos Rutas'!DC11,"")</f>
        <v>3.682514110328027</v>
      </c>
      <c r="BJ13" s="805" t="str">
        <f t="shared" si="35"/>
        <v>Ruta (completo)</v>
      </c>
      <c r="BK13" s="783">
        <f t="shared" si="22"/>
        <v>4</v>
      </c>
      <c r="BL13" s="797">
        <f t="shared" si="23"/>
        <v>4</v>
      </c>
      <c r="BM13" s="797">
        <f t="shared" si="24"/>
        <v>2</v>
      </c>
      <c r="BN13" s="797">
        <f t="shared" si="25"/>
        <v>4</v>
      </c>
      <c r="BO13" s="798" cm="1">
        <f t="array" ref="BO13">SUMPRODUCT(--ISNUMBER($BF13:$BI13),$BK$3:$BN$3)</f>
        <v>1</v>
      </c>
      <c r="BP13" s="831">
        <f t="shared" si="26"/>
        <v>62.5</v>
      </c>
      <c r="BQ13" s="834" t="str">
        <f t="shared" si="36"/>
        <v>Alto</v>
      </c>
      <c r="BR13" s="836">
        <f t="shared" si="27"/>
        <v>29.315018374590867</v>
      </c>
      <c r="BS13" s="836">
        <f t="shared" si="28"/>
        <v>62.5</v>
      </c>
      <c r="BT13" s="837" t="str">
        <f t="shared" si="29"/>
        <v>P1</v>
      </c>
      <c r="BU13" s="807" t="str">
        <f t="shared" si="37"/>
        <v>Con espacio</v>
      </c>
      <c r="BV13" s="807" t="str">
        <f t="shared" si="30"/>
        <v>Zona atractiva</v>
      </c>
      <c r="BW13" s="808" t="str">
        <f t="shared" si="31"/>
        <v>P1 - Ampliar cobertura</v>
      </c>
    </row>
    <row r="14" spans="1:80">
      <c r="A14" s="780" t="str">
        <f>'Base de datos Rutas'!A12</f>
        <v>Noreste</v>
      </c>
      <c r="B14" s="781" t="str">
        <f>'Base de datos Rutas'!B12</f>
        <v>Monclova</v>
      </c>
      <c r="C14" s="781" t="str">
        <f>'Base de datos Rutas'!C12</f>
        <v>Sucursal Monclova</v>
      </c>
      <c r="D14" s="782">
        <f>IF(ISNUMBER('Base de datos Rutas'!D12),'Base de datos Rutas'!D12,"Sin código")</f>
        <v>206301</v>
      </c>
      <c r="E14" s="783" t="str">
        <f>'Base de datos Rutas'!F12</f>
        <v>Activa</v>
      </c>
      <c r="F14" s="784" t="str">
        <f>'Base de datos Rutas'!H12</f>
        <v>Sí</v>
      </c>
      <c r="G14" s="785">
        <f>IF(ISNUMBER('Base de datos Rutas'!BE12),'Base de datos Rutas'!BE12,"")</f>
        <v>39.218468468468501</v>
      </c>
      <c r="H14" s="786">
        <f>IF(ISNUMBER('Base de datos Rutas'!BH12),'Base de datos Rutas'!BH12,"")</f>
        <v>0.61482800206742105</v>
      </c>
      <c r="I14" s="788">
        <f>IFERROR(IF(OR(NOT(ISNUMBER('Base de datos Rutas'!O12)),N('Base de datos Rutas'!BK12)=0),"",'Base de datos Rutas'!O12/('Base de datos Rutas'!L12/'Base de datos Rutas'!BK12)),"")</f>
        <v>2082.9617117117159</v>
      </c>
      <c r="J14" s="788">
        <f>IFERROR(IF(OR(NOT(ISNUMBER('Base de datos Rutas'!N12)),N('Base de datos Rutas'!BK12)=0),"",'Base de datos Rutas'!N12/('Base de datos Rutas'!L12/'Base de datos Rutas'!BK12)),"")</f>
        <v>6190.1351351351468</v>
      </c>
      <c r="K14" s="788">
        <f>IFERROR(IF(OR(NOT(ISNUMBER('Base de datos Rutas'!J12)),N('Base de datos Rutas'!BK12)=0),"",'Base de datos Rutas'!J12/('Base de datos Rutas'!L12/'Base de datos Rutas'!BK12)),"")</f>
        <v>407.32811466666743</v>
      </c>
      <c r="L14" s="788">
        <f>IFERROR(IF(OR(NOT(ISNUMBER('Base de datos Rutas'!K12)),N('Base de datos Rutas'!BK12)=0),"",'Base de datos Rutas'!K12/('Base de datos Rutas'!L12/'Base de datos Rutas'!BK12)),"")</f>
        <v>23.04366898648653</v>
      </c>
      <c r="M14" s="787">
        <f>IF(ISNUMBER('Base de datos Rutas'!AX12),'Base de datos Rutas'!AX12,"")</f>
        <v>343.10217261348799</v>
      </c>
      <c r="N14" s="790">
        <f>IFERROR(INDEX('Hoja de apoyo v2'!B$17:B$20,MATCH($A14,'Hoja de apoyo v2'!$A$17:$A$20,0)),"")</f>
        <v>63.050408855205418</v>
      </c>
      <c r="O14" s="791">
        <f>IFERROR(INDEX('Hoja de apoyo v2'!C$17:C$20,MATCH($A14,'Hoja de apoyo v2'!$A$17:$A$20,0)),"")</f>
        <v>0.7559478312655763</v>
      </c>
      <c r="P14" s="793">
        <f>IFERROR(INDEX('Hoja de apoyo v2'!D$17:D$20,MATCH($A14,'Hoja de apoyo v2'!$A$17:$A$20,0)),"")</f>
        <v>9054.9839880720647</v>
      </c>
      <c r="Q14" s="793">
        <f>IFERROR(INDEX('Hoja de apoyo v2'!E$17:E$20,MATCH($A14,'Hoja de apoyo v2'!$A$17:$A$20,0)),"")</f>
        <v>4535.7799207004691</v>
      </c>
      <c r="R14" s="793">
        <f>IFERROR(INDEX('Hoja de apoyo v2'!F$17:F$20,MATCH($A14,'Hoja de apoyo v2'!$A$17:$A$20,0)),"")</f>
        <v>260.44838236060593</v>
      </c>
      <c r="S14" s="793">
        <f>IFERROR(INDEX('Hoja de apoyo v2'!G$17:G$20,MATCH($A14,'Hoja de apoyo v2'!$A$17:$A$20,0)),"")</f>
        <v>64.772152317133859</v>
      </c>
      <c r="T14" s="792">
        <f>IFERROR(INDEX('Hoja de apoyo v2'!H$17:H$20,MATCH($A14,'Hoja de apoyo v2'!$A$17:$A$20,0)),"")</f>
        <v>389.240053528842</v>
      </c>
      <c r="U14" s="794">
        <f t="shared" si="2"/>
        <v>0.62201767094854676</v>
      </c>
      <c r="V14" s="795">
        <f t="shared" si="3"/>
        <v>0.81332067721935475</v>
      </c>
      <c r="W14" s="795">
        <f t="shared" si="4"/>
        <v>0.23003483103399813</v>
      </c>
      <c r="X14" s="843">
        <f t="shared" si="5"/>
        <v>1.3647344543513902</v>
      </c>
      <c r="Y14" s="843">
        <f t="shared" si="6"/>
        <v>1.563949489625541</v>
      </c>
      <c r="Z14" s="843">
        <f t="shared" si="7"/>
        <v>0.35576506511102768</v>
      </c>
      <c r="AA14" s="843">
        <f t="shared" si="8"/>
        <v>0.88146676967832838</v>
      </c>
      <c r="AB14" s="796">
        <f t="shared" si="9"/>
        <v>2</v>
      </c>
      <c r="AC14" s="797">
        <f t="shared" si="10"/>
        <v>3</v>
      </c>
      <c r="AD14" s="797">
        <f t="shared" si="11"/>
        <v>1</v>
      </c>
      <c r="AE14" s="842">
        <f t="shared" si="12"/>
        <v>5</v>
      </c>
      <c r="AF14" s="842">
        <f t="shared" si="13"/>
        <v>5</v>
      </c>
      <c r="AG14" s="842">
        <f t="shared" si="14"/>
        <v>1</v>
      </c>
      <c r="AH14" s="842">
        <f t="shared" si="15"/>
        <v>3</v>
      </c>
      <c r="AI14" s="826" cm="1">
        <f t="array" ref="AI14">SUMPRODUCT(--ISNUMBER($U14:$AA14),$AB$3:$AH$3)</f>
        <v>1</v>
      </c>
      <c r="AJ14" s="829">
        <f t="shared" si="16"/>
        <v>39.130871663604772</v>
      </c>
      <c r="AK14" s="827" t="str">
        <f t="shared" si="17"/>
        <v>Inmadura</v>
      </c>
      <c r="AL14" s="784" t="str">
        <f t="shared" si="18"/>
        <v>Alta</v>
      </c>
      <c r="AM14" s="799">
        <f>IF(ISNUMBER('Base de datos Rutas'!W12),'Base de datos Rutas'!W12,"")</f>
        <v>2926.3660075054263</v>
      </c>
      <c r="AN14" s="787">
        <f>IFERROR(SUMIFS('Base de datos Rutas'!$W$6:$W$794,'Base de datos Rutas'!$C$6:$C$794,$C14)/'Base de datos Rutas'!I12,"")</f>
        <v>2926.3660075054263</v>
      </c>
      <c r="AO14" s="800">
        <f>IFERROR('Base de datos Rutas'!X12*AN14/AM14,"")</f>
        <v>0.5718254221425052</v>
      </c>
      <c r="AP14" s="800">
        <f t="shared" si="19"/>
        <v>0.4281745778574948</v>
      </c>
      <c r="AQ14" s="789">
        <f>IFERROR(INDEX('Hoja de apoyo v2'!$J$17:$J$20,MATCH($A14,'Hoja de apoyo v2'!$A$17:$A$20,0)),"")</f>
        <v>0.56799995069377007</v>
      </c>
      <c r="AR14" s="789">
        <f t="shared" si="20"/>
        <v>-0.13982537283627527</v>
      </c>
      <c r="AS14" s="784" t="str">
        <f t="shared" si="21"/>
        <v>No</v>
      </c>
      <c r="AT14" s="801">
        <f>IF(ISNUMBER('Base de datos Rutas'!CK12),'Base de datos Rutas'!CK12,"")</f>
        <v>161</v>
      </c>
      <c r="AU14" s="802">
        <f>IF(ISNUMBER('Base de datos Rutas'!CL12),'Base de datos Rutas'!CL12,"")</f>
        <v>229.27</v>
      </c>
      <c r="AV14" s="802">
        <f>IF(ISNUMBER('Base de datos Rutas'!CM12),'Base de datos Rutas'!CM12,"")</f>
        <v>68.27000000000001</v>
      </c>
      <c r="AW14" s="802">
        <f>IF(ISNUMBER('Base de datos Rutas'!CN12),'Base de datos Rutas'!CN12,"")</f>
        <v>3.62</v>
      </c>
      <c r="AX14" s="802">
        <f>IF(ISNUMBER('Base de datos Rutas'!CO12),'Base de datos Rutas'!CO12,"")</f>
        <v>9.4499999999999993</v>
      </c>
      <c r="AY14" s="802">
        <f>IF(ISNUMBER('Base de datos Rutas'!CP12),'Base de datos Rutas'!CP12,"")</f>
        <v>5.8299999999999992</v>
      </c>
      <c r="AZ14" s="802">
        <f>IF(ISNUMBER('Base de datos Rutas'!CQ12),'Base de datos Rutas'!CQ12,"")</f>
        <v>846.56</v>
      </c>
      <c r="BA14" s="802">
        <f>IF(ISNUMBER('Base de datos Rutas'!CR12),'Base de datos Rutas'!CR12,"")</f>
        <v>430.37</v>
      </c>
      <c r="BB14" s="803">
        <f>IF(ISNUMBER('Base de datos Rutas'!CS12),'Base de datos Rutas'!CS12,"")</f>
        <v>416.18999999999994</v>
      </c>
      <c r="BC14" s="804">
        <f t="shared" si="32"/>
        <v>0</v>
      </c>
      <c r="BD14" s="805" t="str">
        <f t="shared" si="33"/>
        <v>No saturada</v>
      </c>
      <c r="BE14" s="806">
        <f t="shared" si="34"/>
        <v>0.50837507087507094</v>
      </c>
      <c r="BF14" s="890">
        <f>IF(ISNUMBER('Base de datos Rutas'!CX12),'Base de datos Rutas'!CX12/100,"")</f>
        <v>0.12827826470773693</v>
      </c>
      <c r="BG14" s="891">
        <f>IF(ISNUMBER('Base de datos Rutas'!CZ12),'Base de datos Rutas'!CZ12/100,"")</f>
        <v>0.13043067028185887</v>
      </c>
      <c r="BH14" s="892">
        <f>IF(ISNUMBER('Base de datos Rutas'!DA12),'Base de datos Rutas'!DA12,"")</f>
        <v>37.752934207127794</v>
      </c>
      <c r="BI14" s="893">
        <f>IF(ISNUMBER('Base de datos Rutas'!DC12),'Base de datos Rutas'!DC12,"")</f>
        <v>1.6840837254575638</v>
      </c>
      <c r="BJ14" s="805" t="str">
        <f t="shared" si="35"/>
        <v>Ruta (completo)</v>
      </c>
      <c r="BK14" s="783">
        <f t="shared" si="22"/>
        <v>1</v>
      </c>
      <c r="BL14" s="797">
        <f t="shared" si="23"/>
        <v>1</v>
      </c>
      <c r="BM14" s="797">
        <f t="shared" si="24"/>
        <v>1</v>
      </c>
      <c r="BN14" s="797">
        <f t="shared" si="25"/>
        <v>1</v>
      </c>
      <c r="BO14" s="798" cm="1">
        <f t="array" ref="BO14">SUMPRODUCT(--ISNUMBER($BF14:$BI14),$BK$3:$BN$3)</f>
        <v>1</v>
      </c>
      <c r="BP14" s="831">
        <f t="shared" si="26"/>
        <v>0</v>
      </c>
      <c r="BQ14" s="834" t="str">
        <f t="shared" si="36"/>
        <v>Bajo</v>
      </c>
      <c r="BR14" s="836">
        <f t="shared" si="27"/>
        <v>29.348153747703577</v>
      </c>
      <c r="BS14" s="836">
        <f t="shared" si="28"/>
        <v>0</v>
      </c>
      <c r="BT14" s="837" t="str">
        <f t="shared" si="29"/>
        <v>P2</v>
      </c>
      <c r="BU14" s="807" t="str">
        <f t="shared" si="37"/>
        <v>Con espacio</v>
      </c>
      <c r="BV14" s="807" t="str">
        <f t="shared" si="30"/>
        <v>Zona de bajo potencial</v>
      </c>
      <c r="BW14" s="808" t="str">
        <f t="shared" si="31"/>
        <v>P2 - Mantener</v>
      </c>
    </row>
    <row r="15" spans="1:80">
      <c r="A15" s="780" t="str">
        <f>'Base de datos Rutas'!A13</f>
        <v>Noreste</v>
      </c>
      <c r="B15" s="781" t="str">
        <f>'Base de datos Rutas'!B13</f>
        <v>Monclova</v>
      </c>
      <c r="C15" s="781" t="str">
        <f>'Base de datos Rutas'!C13</f>
        <v>Sucursal Monclova</v>
      </c>
      <c r="D15" s="782">
        <f>IF(ISNUMBER('Base de datos Rutas'!D13),'Base de datos Rutas'!D13,"Sin código")</f>
        <v>206302</v>
      </c>
      <c r="E15" s="783" t="str">
        <f>'Base de datos Rutas'!F13</f>
        <v>Activa</v>
      </c>
      <c r="F15" s="784" t="str">
        <f>'Base de datos Rutas'!H13</f>
        <v>Sí</v>
      </c>
      <c r="G15" s="785">
        <f>IF(ISNUMBER('Base de datos Rutas'!BE13),'Base de datos Rutas'!BE13,"")</f>
        <v>35.429545454545497</v>
      </c>
      <c r="H15" s="786">
        <f>IF(ISNUMBER('Base de datos Rutas'!BH13),'Base de datos Rutas'!BH13,"")</f>
        <v>0.755789338636218</v>
      </c>
      <c r="I15" s="788">
        <f>IFERROR(IF(OR(NOT(ISNUMBER('Base de datos Rutas'!O13)),N('Base de datos Rutas'!BK13)=0),"",'Base de datos Rutas'!O13/('Base de datos Rutas'!L13/'Base de datos Rutas'!BK13)),"")</f>
        <v>3506.9113636363613</v>
      </c>
      <c r="J15" s="788">
        <f>IFERROR(IF(OR(NOT(ISNUMBER('Base de datos Rutas'!N13)),N('Base de datos Rutas'!BK13)=0),"",'Base de datos Rutas'!N13/('Base de datos Rutas'!L13/'Base de datos Rutas'!BK13)),"")</f>
        <v>5696.6249999999964</v>
      </c>
      <c r="K15" s="788">
        <f>IFERROR(IF(OR(NOT(ISNUMBER('Base de datos Rutas'!J13)),N('Base de datos Rutas'!BK13)=0),"",'Base de datos Rutas'!J13/('Base de datos Rutas'!L13/'Base de datos Rutas'!BK13)),"")</f>
        <v>367.57845090909069</v>
      </c>
      <c r="L15" s="788">
        <f>IFERROR(IF(OR(NOT(ISNUMBER('Base de datos Rutas'!K13)),N('Base de datos Rutas'!BK13)=0),"",'Base de datos Rutas'!K13/('Base de datos Rutas'!L13/'Base de datos Rutas'!BK13)),"")</f>
        <v>25.698174213636346</v>
      </c>
      <c r="M15" s="787">
        <f>IF(ISNUMBER('Base de datos Rutas'!AX13),'Base de datos Rutas'!AX13,"")</f>
        <v>343.70682991003201</v>
      </c>
      <c r="N15" s="790">
        <f>IFERROR(INDEX('Hoja de apoyo v2'!B$17:B$20,MATCH($A15,'Hoja de apoyo v2'!$A$17:$A$20,0)),"")</f>
        <v>63.050408855205418</v>
      </c>
      <c r="O15" s="791">
        <f>IFERROR(INDEX('Hoja de apoyo v2'!C$17:C$20,MATCH($A15,'Hoja de apoyo v2'!$A$17:$A$20,0)),"")</f>
        <v>0.7559478312655763</v>
      </c>
      <c r="P15" s="793">
        <f>IFERROR(INDEX('Hoja de apoyo v2'!D$17:D$20,MATCH($A15,'Hoja de apoyo v2'!$A$17:$A$20,0)),"")</f>
        <v>9054.9839880720647</v>
      </c>
      <c r="Q15" s="793">
        <f>IFERROR(INDEX('Hoja de apoyo v2'!E$17:E$20,MATCH($A15,'Hoja de apoyo v2'!$A$17:$A$20,0)),"")</f>
        <v>4535.7799207004691</v>
      </c>
      <c r="R15" s="793">
        <f>IFERROR(INDEX('Hoja de apoyo v2'!F$17:F$20,MATCH($A15,'Hoja de apoyo v2'!$A$17:$A$20,0)),"")</f>
        <v>260.44838236060593</v>
      </c>
      <c r="S15" s="793">
        <f>IFERROR(INDEX('Hoja de apoyo v2'!G$17:G$20,MATCH($A15,'Hoja de apoyo v2'!$A$17:$A$20,0)),"")</f>
        <v>64.772152317133859</v>
      </c>
      <c r="T15" s="792">
        <f>IFERROR(INDEX('Hoja de apoyo v2'!H$17:H$20,MATCH($A15,'Hoja de apoyo v2'!$A$17:$A$20,0)),"")</f>
        <v>389.240053528842</v>
      </c>
      <c r="U15" s="794">
        <f t="shared" si="2"/>
        <v>0.561924119095073</v>
      </c>
      <c r="V15" s="795">
        <f t="shared" si="3"/>
        <v>0.99979033919696159</v>
      </c>
      <c r="W15" s="795">
        <f t="shared" si="4"/>
        <v>0.38729073052541452</v>
      </c>
      <c r="X15" s="843">
        <f t="shared" si="5"/>
        <v>1.2559306446950045</v>
      </c>
      <c r="Y15" s="843">
        <f t="shared" si="6"/>
        <v>1.4113293681362049</v>
      </c>
      <c r="Z15" s="843">
        <f t="shared" si="7"/>
        <v>0.3967472639756412</v>
      </c>
      <c r="AA15" s="843">
        <f t="shared" si="8"/>
        <v>0.88302019998711145</v>
      </c>
      <c r="AB15" s="796">
        <f t="shared" si="9"/>
        <v>2</v>
      </c>
      <c r="AC15" s="797">
        <f t="shared" si="10"/>
        <v>3</v>
      </c>
      <c r="AD15" s="797">
        <f t="shared" si="11"/>
        <v>1</v>
      </c>
      <c r="AE15" s="842">
        <f t="shared" si="12"/>
        <v>5</v>
      </c>
      <c r="AF15" s="842">
        <f t="shared" si="13"/>
        <v>5</v>
      </c>
      <c r="AG15" s="842">
        <f t="shared" si="14"/>
        <v>1</v>
      </c>
      <c r="AH15" s="842">
        <f t="shared" si="15"/>
        <v>3</v>
      </c>
      <c r="AI15" s="826" cm="1">
        <f t="array" ref="AI15">SUMPRODUCT(--ISNUMBER($U15:$AA15),$AB$3:$AH$3)</f>
        <v>1</v>
      </c>
      <c r="AJ15" s="829">
        <f t="shared" si="16"/>
        <v>39.130871663604772</v>
      </c>
      <c r="AK15" s="827" t="str">
        <f t="shared" si="17"/>
        <v>Inmadura</v>
      </c>
      <c r="AL15" s="784" t="str">
        <f t="shared" si="18"/>
        <v>Alta</v>
      </c>
      <c r="AM15" s="799">
        <f>IF(ISNUMBER('Base de datos Rutas'!W13),'Base de datos Rutas'!W13,"")</f>
        <v>2926.3660075054263</v>
      </c>
      <c r="AN15" s="787">
        <f>IFERROR(SUMIFS('Base de datos Rutas'!$W$6:$W$794,'Base de datos Rutas'!$C$6:$C$794,$C15)/'Base de datos Rutas'!I13,"")</f>
        <v>2926.3660075054263</v>
      </c>
      <c r="AO15" s="800">
        <f>IFERROR('Base de datos Rutas'!X13*AN15/AM15,"")</f>
        <v>0.5718254221425052</v>
      </c>
      <c r="AP15" s="800">
        <f t="shared" si="19"/>
        <v>0.4281745778574948</v>
      </c>
      <c r="AQ15" s="789">
        <f>IFERROR(INDEX('Hoja de apoyo v2'!$J$17:$J$20,MATCH($A15,'Hoja de apoyo v2'!$A$17:$A$20,0)),"")</f>
        <v>0.56799995069377007</v>
      </c>
      <c r="AR15" s="789">
        <f t="shared" si="20"/>
        <v>-0.13982537283627527</v>
      </c>
      <c r="AS15" s="784" t="str">
        <f t="shared" si="21"/>
        <v>No</v>
      </c>
      <c r="AT15" s="801">
        <f>IF(ISNUMBER('Base de datos Rutas'!CK13),'Base de datos Rutas'!CK13,"")</f>
        <v>165</v>
      </c>
      <c r="AU15" s="802">
        <f>IF(ISNUMBER('Base de datos Rutas'!CL13),'Base de datos Rutas'!CL13,"")</f>
        <v>313.52</v>
      </c>
      <c r="AV15" s="802">
        <f>IF(ISNUMBER('Base de datos Rutas'!CM13),'Base de datos Rutas'!CM13,"")</f>
        <v>148.51999999999998</v>
      </c>
      <c r="AW15" s="802">
        <f>IF(ISNUMBER('Base de datos Rutas'!CN13),'Base de datos Rutas'!CN13,"")</f>
        <v>3.54</v>
      </c>
      <c r="AX15" s="802">
        <f>IF(ISNUMBER('Base de datos Rutas'!CO13),'Base de datos Rutas'!CO13,"")</f>
        <v>9.4499999999999993</v>
      </c>
      <c r="AY15" s="802">
        <f>IF(ISNUMBER('Base de datos Rutas'!CP13),'Base de datos Rutas'!CP13,"")</f>
        <v>5.9099999999999993</v>
      </c>
      <c r="AZ15" s="802">
        <f>IF(ISNUMBER('Base de datos Rutas'!CQ13),'Base de datos Rutas'!CQ13,"")</f>
        <v>846.56</v>
      </c>
      <c r="BA15" s="802">
        <f>IF(ISNUMBER('Base de datos Rutas'!CR13),'Base de datos Rutas'!CR13,"")</f>
        <v>393.28</v>
      </c>
      <c r="BB15" s="803">
        <f>IF(ISNUMBER('Base de datos Rutas'!CS13),'Base de datos Rutas'!CS13,"")</f>
        <v>453.28</v>
      </c>
      <c r="BC15" s="804">
        <f t="shared" si="32"/>
        <v>0</v>
      </c>
      <c r="BD15" s="805" t="str">
        <f t="shared" si="33"/>
        <v>No saturada</v>
      </c>
      <c r="BE15" s="806">
        <f t="shared" si="34"/>
        <v>0.46456246456246458</v>
      </c>
      <c r="BF15" s="890">
        <f>IF(ISNUMBER('Base de datos Rutas'!CX13),'Base de datos Rutas'!CX13/100,"")</f>
        <v>0.14643417984210863</v>
      </c>
      <c r="BG15" s="891">
        <f>IF(ISNUMBER('Base de datos Rutas'!CZ13),'Base de datos Rutas'!CZ13/100,"")</f>
        <v>0.1496116899510066</v>
      </c>
      <c r="BH15" s="892">
        <f>IF(ISNUMBER('Base de datos Rutas'!DA13),'Base de datos Rutas'!DA13,"")</f>
        <v>81.489118037463385</v>
      </c>
      <c r="BI15" s="893">
        <f>IF(ISNUMBER('Base de datos Rutas'!DC13),'Base de datos Rutas'!DC13,"")</f>
        <v>3.6734310779892825</v>
      </c>
      <c r="BJ15" s="805" t="str">
        <f t="shared" si="35"/>
        <v>Ruta (completo)</v>
      </c>
      <c r="BK15" s="783">
        <f t="shared" si="22"/>
        <v>2</v>
      </c>
      <c r="BL15" s="797">
        <f t="shared" si="23"/>
        <v>2</v>
      </c>
      <c r="BM15" s="797">
        <f t="shared" si="24"/>
        <v>4</v>
      </c>
      <c r="BN15" s="797">
        <f t="shared" si="25"/>
        <v>2</v>
      </c>
      <c r="BO15" s="798" cm="1">
        <f t="array" ref="BO15">SUMPRODUCT(--ISNUMBER($BF15:$BI15),$BK$3:$BN$3)</f>
        <v>1</v>
      </c>
      <c r="BP15" s="831">
        <f t="shared" si="26"/>
        <v>37.5</v>
      </c>
      <c r="BQ15" s="834" t="str">
        <f t="shared" si="36"/>
        <v>Medio</v>
      </c>
      <c r="BR15" s="836">
        <f t="shared" si="27"/>
        <v>29.348153747703577</v>
      </c>
      <c r="BS15" s="836">
        <f t="shared" si="28"/>
        <v>37.5</v>
      </c>
      <c r="BT15" s="837" t="str">
        <f t="shared" si="29"/>
        <v>P2</v>
      </c>
      <c r="BU15" s="807" t="str">
        <f t="shared" si="37"/>
        <v>Con espacio</v>
      </c>
      <c r="BV15" s="807" t="str">
        <f t="shared" si="30"/>
        <v>Zona de bajo potencial</v>
      </c>
      <c r="BW15" s="808" t="str">
        <f t="shared" si="31"/>
        <v>P2 - Mantener</v>
      </c>
    </row>
    <row r="16" spans="1:80">
      <c r="A16" s="780" t="str">
        <f>'Base de datos Rutas'!A14</f>
        <v>Noreste</v>
      </c>
      <c r="B16" s="781" t="str">
        <f>'Base de datos Rutas'!B14</f>
        <v>Monterrey</v>
      </c>
      <c r="C16" s="781" t="str">
        <f>'Base de datos Rutas'!C14</f>
        <v>Planta Guadalupe</v>
      </c>
      <c r="D16" s="782">
        <f>IF(ISNUMBER('Base de datos Rutas'!D14),'Base de datos Rutas'!D14,"Sin código")</f>
        <v>701300</v>
      </c>
      <c r="E16" s="783" t="str">
        <f>'Base de datos Rutas'!F14</f>
        <v>Activa</v>
      </c>
      <c r="F16" s="784" t="str">
        <f>'Base de datos Rutas'!H14</f>
        <v>Sí</v>
      </c>
      <c r="G16" s="785">
        <f>IF(ISNUMBER('Base de datos Rutas'!BE14),'Base de datos Rutas'!BE14,"")</f>
        <v>74.595505617977494</v>
      </c>
      <c r="H16" s="786">
        <f>IF(ISNUMBER('Base de datos Rutas'!BH14),'Base de datos Rutas'!BH14,"")</f>
        <v>0.82027413767133595</v>
      </c>
      <c r="I16" s="788">
        <f>IFERROR(IF(OR(NOT(ISNUMBER('Base de datos Rutas'!O14)),N('Base de datos Rutas'!BK14)=0),"",'Base de datos Rutas'!O14/('Base de datos Rutas'!L14/'Base de datos Rutas'!BK14)),"")</f>
        <v>15635.582022471908</v>
      </c>
      <c r="J16" s="788">
        <f>IFERROR(IF(OR(NOT(ISNUMBER('Base de datos Rutas'!N14)),N('Base de datos Rutas'!BK14)=0),"",'Base de datos Rutas'!N14/('Base de datos Rutas'!L14/'Base de datos Rutas'!BK14)),"")</f>
        <v>4162.3797752808987</v>
      </c>
      <c r="K16" s="788">
        <f>IFERROR(IF(OR(NOT(ISNUMBER('Base de datos Rutas'!J14)),N('Base de datos Rutas'!BK14)=0),"",'Base de datos Rutas'!J14/('Base de datos Rutas'!L14/'Base de datos Rutas'!BK14)),"")</f>
        <v>272.7208305617977</v>
      </c>
      <c r="L16" s="788">
        <f>IFERROR(IF(OR(NOT(ISNUMBER('Base de datos Rutas'!K14)),N('Base de datos Rutas'!BK14)=0),"",'Base de datos Rutas'!K14/('Base de datos Rutas'!L14/'Base de datos Rutas'!BK14)),"")</f>
        <v>124.20880402696628</v>
      </c>
      <c r="M16" s="787">
        <f>IF(ISNUMBER('Base de datos Rutas'!AX14),'Base de datos Rutas'!AX14,"")</f>
        <v>323.55536229755103</v>
      </c>
      <c r="N16" s="790">
        <f>IFERROR(INDEX('Hoja de apoyo v2'!B$17:B$20,MATCH($A16,'Hoja de apoyo v2'!$A$17:$A$20,0)),"")</f>
        <v>63.050408855205418</v>
      </c>
      <c r="O16" s="791">
        <f>IFERROR(INDEX('Hoja de apoyo v2'!C$17:C$20,MATCH($A16,'Hoja de apoyo v2'!$A$17:$A$20,0)),"")</f>
        <v>0.7559478312655763</v>
      </c>
      <c r="P16" s="793">
        <f>IFERROR(INDEX('Hoja de apoyo v2'!D$17:D$20,MATCH($A16,'Hoja de apoyo v2'!$A$17:$A$20,0)),"")</f>
        <v>9054.9839880720647</v>
      </c>
      <c r="Q16" s="793">
        <f>IFERROR(INDEX('Hoja de apoyo v2'!E$17:E$20,MATCH($A16,'Hoja de apoyo v2'!$A$17:$A$20,0)),"")</f>
        <v>4535.7799207004691</v>
      </c>
      <c r="R16" s="793">
        <f>IFERROR(INDEX('Hoja de apoyo v2'!F$17:F$20,MATCH($A16,'Hoja de apoyo v2'!$A$17:$A$20,0)),"")</f>
        <v>260.44838236060593</v>
      </c>
      <c r="S16" s="793">
        <f>IFERROR(INDEX('Hoja de apoyo v2'!G$17:G$20,MATCH($A16,'Hoja de apoyo v2'!$A$17:$A$20,0)),"")</f>
        <v>64.772152317133859</v>
      </c>
      <c r="T16" s="792">
        <f>IFERROR(INDEX('Hoja de apoyo v2'!H$17:H$20,MATCH($A16,'Hoja de apoyo v2'!$A$17:$A$20,0)),"")</f>
        <v>389.240053528842</v>
      </c>
      <c r="U16" s="794">
        <f t="shared" si="2"/>
        <v>1.18310899124041</v>
      </c>
      <c r="V16" s="795">
        <f t="shared" si="3"/>
        <v>1.0850935788757634</v>
      </c>
      <c r="W16" s="795">
        <f t="shared" si="4"/>
        <v>1.7267376776224368</v>
      </c>
      <c r="X16" s="843">
        <f t="shared" si="5"/>
        <v>0.91767674976569291</v>
      </c>
      <c r="Y16" s="843">
        <f t="shared" si="6"/>
        <v>1.0471204623732309</v>
      </c>
      <c r="Z16" s="843">
        <f t="shared" si="7"/>
        <v>1.9176266278573229</v>
      </c>
      <c r="AA16" s="843">
        <f t="shared" si="8"/>
        <v>0.83124888963559895</v>
      </c>
      <c r="AB16" s="796">
        <f t="shared" si="9"/>
        <v>4</v>
      </c>
      <c r="AC16" s="797">
        <f t="shared" si="10"/>
        <v>4</v>
      </c>
      <c r="AD16" s="797">
        <f t="shared" si="11"/>
        <v>5</v>
      </c>
      <c r="AE16" s="842">
        <f t="shared" si="12"/>
        <v>3</v>
      </c>
      <c r="AF16" s="842">
        <f t="shared" si="13"/>
        <v>4</v>
      </c>
      <c r="AG16" s="842">
        <f t="shared" si="14"/>
        <v>5</v>
      </c>
      <c r="AH16" s="842">
        <f t="shared" si="15"/>
        <v>3</v>
      </c>
      <c r="AI16" s="826" cm="1">
        <f t="array" ref="AI16">SUMPRODUCT(--ISNUMBER($U16:$AA16),$AB$3:$AH$3)</f>
        <v>1</v>
      </c>
      <c r="AJ16" s="829">
        <f t="shared" si="16"/>
        <v>78.849062750842492</v>
      </c>
      <c r="AK16" s="827" t="str">
        <f t="shared" si="17"/>
        <v>Madura</v>
      </c>
      <c r="AL16" s="784" t="str">
        <f t="shared" si="18"/>
        <v>Alta</v>
      </c>
      <c r="AM16" s="799">
        <f>IF(ISNUMBER('Base de datos Rutas'!W14),'Base de datos Rutas'!W14,"")</f>
        <v>3561.414830517057</v>
      </c>
      <c r="AN16" s="787">
        <f>IFERROR(SUMIFS('Base de datos Rutas'!$W$6:$W$794,'Base de datos Rutas'!$C$6:$C$794,$C16)/'Base de datos Rutas'!I14,"")</f>
        <v>3561.4148305170575</v>
      </c>
      <c r="AO16" s="800">
        <f>IFERROR('Base de datos Rutas'!X14*AN16/AM16,"")</f>
        <v>0.41732881271291661</v>
      </c>
      <c r="AP16" s="800">
        <f t="shared" si="19"/>
        <v>0.58267118728708334</v>
      </c>
      <c r="AQ16" s="789">
        <f>IFERROR(INDEX('Hoja de apoyo v2'!$J$17:$J$20,MATCH($A16,'Hoja de apoyo v2'!$A$17:$A$20,0)),"")</f>
        <v>0.56799995069377007</v>
      </c>
      <c r="AR16" s="789">
        <f t="shared" si="20"/>
        <v>1.4671236593313264E-2</v>
      </c>
      <c r="AS16" s="784" t="str">
        <f t="shared" si="21"/>
        <v>No</v>
      </c>
      <c r="AT16" s="801">
        <f>IF(ISNUMBER('Base de datos Rutas'!CK14),'Base de datos Rutas'!CK14,"")</f>
        <v>417</v>
      </c>
      <c r="AU16" s="802">
        <f>IF(ISNUMBER('Base de datos Rutas'!CL14),'Base de datos Rutas'!CL14,"")</f>
        <v>739.88</v>
      </c>
      <c r="AV16" s="802">
        <f>IF(ISNUMBER('Base de datos Rutas'!CM14),'Base de datos Rutas'!CM14,"")</f>
        <v>322.88</v>
      </c>
      <c r="AW16" s="802">
        <f>IF(ISNUMBER('Base de datos Rutas'!CN14),'Base de datos Rutas'!CN14,"")</f>
        <v>6.46</v>
      </c>
      <c r="AX16" s="802">
        <f>IF(ISNUMBER('Base de datos Rutas'!CO14),'Base de datos Rutas'!CO14,"")</f>
        <v>9.4499999999999993</v>
      </c>
      <c r="AY16" s="802">
        <f>IF(ISNUMBER('Base de datos Rutas'!CP14),'Base de datos Rutas'!CP14,"")</f>
        <v>2.9899999999999993</v>
      </c>
      <c r="AZ16" s="802">
        <f>IF(ISNUMBER('Base de datos Rutas'!CQ14),'Base de datos Rutas'!CQ14,"")</f>
        <v>1269.8399999999999</v>
      </c>
      <c r="BA16" s="802">
        <f>IF(ISNUMBER('Base de datos Rutas'!CR14),'Base de datos Rutas'!CR14,"")</f>
        <v>396.93</v>
      </c>
      <c r="BB16" s="803">
        <f>IF(ISNUMBER('Base de datos Rutas'!CS14),'Base de datos Rutas'!CS14,"")</f>
        <v>872.90999999999985</v>
      </c>
      <c r="BC16" s="804">
        <f t="shared" si="32"/>
        <v>0</v>
      </c>
      <c r="BD16" s="805" t="str">
        <f t="shared" si="33"/>
        <v>No saturada</v>
      </c>
      <c r="BE16" s="806">
        <f t="shared" si="34"/>
        <v>0.31258268758268759</v>
      </c>
      <c r="BF16" s="890">
        <f>IF(ISNUMBER('Base de datos Rutas'!CX14),'Base de datos Rutas'!CX14/100,"")</f>
        <v>0.88562522139567834</v>
      </c>
      <c r="BG16" s="891">
        <f>IF(ISNUMBER('Base de datos Rutas'!CZ14),'Base de datos Rutas'!CZ14/100,"")</f>
        <v>1</v>
      </c>
      <c r="BH16" s="892">
        <f>IF(ISNUMBER('Base de datos Rutas'!DA14),'Base de datos Rutas'!DA14,"")</f>
        <v>1051.2865557491068</v>
      </c>
      <c r="BI16" s="893">
        <f>IF(ISNUMBER('Base de datos Rutas'!DC14),'Base de datos Rutas'!DC14,"")</f>
        <v>22.084663114931274</v>
      </c>
      <c r="BJ16" s="805" t="str">
        <f t="shared" si="35"/>
        <v>Ruta (completo)</v>
      </c>
      <c r="BK16" s="783">
        <f t="shared" si="22"/>
        <v>4</v>
      </c>
      <c r="BL16" s="797">
        <f t="shared" si="23"/>
        <v>4</v>
      </c>
      <c r="BM16" s="797">
        <f t="shared" si="24"/>
        <v>5</v>
      </c>
      <c r="BN16" s="797">
        <f t="shared" si="25"/>
        <v>5</v>
      </c>
      <c r="BO16" s="798" cm="1">
        <f t="array" ref="BO16">SUMPRODUCT(--ISNUMBER($BF16:$BI16),$BK$3:$BN$3)</f>
        <v>1</v>
      </c>
      <c r="BP16" s="831">
        <f t="shared" si="26"/>
        <v>87.5</v>
      </c>
      <c r="BQ16" s="834" t="str">
        <f t="shared" si="36"/>
        <v>Alto</v>
      </c>
      <c r="BR16" s="836">
        <f t="shared" si="27"/>
        <v>59.136797063131866</v>
      </c>
      <c r="BS16" s="836">
        <f t="shared" si="28"/>
        <v>87.5</v>
      </c>
      <c r="BT16" s="837" t="str">
        <f t="shared" si="29"/>
        <v>P1</v>
      </c>
      <c r="BU16" s="807" t="str">
        <f t="shared" si="37"/>
        <v>Con espacio</v>
      </c>
      <c r="BV16" s="807" t="str">
        <f t="shared" si="30"/>
        <v>Zona atractiva</v>
      </c>
      <c r="BW16" s="808" t="str">
        <f t="shared" si="31"/>
        <v>P1 - Ampliar cobertura</v>
      </c>
    </row>
    <row r="17" spans="1:75">
      <c r="A17" s="780" t="str">
        <f>'Base de datos Rutas'!A15</f>
        <v>Noreste</v>
      </c>
      <c r="B17" s="781" t="str">
        <f>'Base de datos Rutas'!B15</f>
        <v>Monterrey</v>
      </c>
      <c r="C17" s="781" t="str">
        <f>'Base de datos Rutas'!C15</f>
        <v>Planta Guadalupe</v>
      </c>
      <c r="D17" s="782">
        <f>IF(ISNUMBER('Base de datos Rutas'!D15),'Base de datos Rutas'!D15,"Sin código")</f>
        <v>701301</v>
      </c>
      <c r="E17" s="783" t="str">
        <f>'Base de datos Rutas'!F15</f>
        <v>Activa</v>
      </c>
      <c r="F17" s="784" t="str">
        <f>'Base de datos Rutas'!H15</f>
        <v>Sí</v>
      </c>
      <c r="G17" s="785">
        <f>IF(ISNUMBER('Base de datos Rutas'!BE15),'Base de datos Rutas'!BE15,"")</f>
        <v>83.913439635535298</v>
      </c>
      <c r="H17" s="786">
        <f>IF(ISNUMBER('Base de datos Rutas'!BH15),'Base de datos Rutas'!BH15,"")</f>
        <v>0.58420652587002597</v>
      </c>
      <c r="I17" s="788">
        <f>IFERROR(IF(OR(NOT(ISNUMBER('Base de datos Rutas'!O15)),N('Base de datos Rutas'!BK15)=0),"",'Base de datos Rutas'!O15/('Base de datos Rutas'!L15/'Base de datos Rutas'!BK15)),"")</f>
        <v>12011.995444191332</v>
      </c>
      <c r="J17" s="788">
        <f>IFERROR(IF(OR(NOT(ISNUMBER('Base de datos Rutas'!N15)),N('Base de datos Rutas'!BK15)=0),"",'Base de datos Rutas'!N15/('Base de datos Rutas'!L15/'Base de datos Rutas'!BK15)),"")</f>
        <v>2797.1799544419105</v>
      </c>
      <c r="K17" s="788">
        <f>IFERROR(IF(OR(NOT(ISNUMBER('Base de datos Rutas'!J15)),N('Base de datos Rutas'!BK15)=0),"",'Base de datos Rutas'!J15/('Base de datos Rutas'!L15/'Base de datos Rutas'!BK15)),"")</f>
        <v>184.69732482915697</v>
      </c>
      <c r="L17" s="788">
        <f>IFERROR(IF(OR(NOT(ISNUMBER('Base de datos Rutas'!K15)),N('Base de datos Rutas'!BK15)=0),"",'Base de datos Rutas'!K15/('Base de datos Rutas'!L15/'Base de datos Rutas'!BK15)),"")</f>
        <v>91.440262307516988</v>
      </c>
      <c r="M17" s="787">
        <f>IF(ISNUMBER('Base de datos Rutas'!AX15),'Base de datos Rutas'!AX15,"")</f>
        <v>302.087722224804</v>
      </c>
      <c r="N17" s="790">
        <f>IFERROR(INDEX('Hoja de apoyo v2'!B$17:B$20,MATCH($A17,'Hoja de apoyo v2'!$A$17:$A$20,0)),"")</f>
        <v>63.050408855205418</v>
      </c>
      <c r="O17" s="791">
        <f>IFERROR(INDEX('Hoja de apoyo v2'!C$17:C$20,MATCH($A17,'Hoja de apoyo v2'!$A$17:$A$20,0)),"")</f>
        <v>0.7559478312655763</v>
      </c>
      <c r="P17" s="793">
        <f>IFERROR(INDEX('Hoja de apoyo v2'!D$17:D$20,MATCH($A17,'Hoja de apoyo v2'!$A$17:$A$20,0)),"")</f>
        <v>9054.9839880720647</v>
      </c>
      <c r="Q17" s="793">
        <f>IFERROR(INDEX('Hoja de apoyo v2'!E$17:E$20,MATCH($A17,'Hoja de apoyo v2'!$A$17:$A$20,0)),"")</f>
        <v>4535.7799207004691</v>
      </c>
      <c r="R17" s="793">
        <f>IFERROR(INDEX('Hoja de apoyo v2'!F$17:F$20,MATCH($A17,'Hoja de apoyo v2'!$A$17:$A$20,0)),"")</f>
        <v>260.44838236060593</v>
      </c>
      <c r="S17" s="793">
        <f>IFERROR(INDEX('Hoja de apoyo v2'!G$17:G$20,MATCH($A17,'Hoja de apoyo v2'!$A$17:$A$20,0)),"")</f>
        <v>64.772152317133859</v>
      </c>
      <c r="T17" s="792">
        <f>IFERROR(INDEX('Hoja de apoyo v2'!H$17:H$20,MATCH($A17,'Hoja de apoyo v2'!$A$17:$A$20,0)),"")</f>
        <v>389.240053528842</v>
      </c>
      <c r="U17" s="794">
        <f t="shared" si="2"/>
        <v>1.3308944566599339</v>
      </c>
      <c r="V17" s="795">
        <f t="shared" si="3"/>
        <v>0.77281328381083092</v>
      </c>
      <c r="W17" s="795">
        <f t="shared" si="4"/>
        <v>1.3265617542796846</v>
      </c>
      <c r="X17" s="843">
        <f t="shared" si="5"/>
        <v>0.61669216834707818</v>
      </c>
      <c r="Y17" s="843">
        <f t="shared" si="6"/>
        <v>0.70915136103027421</v>
      </c>
      <c r="Z17" s="843">
        <f t="shared" si="7"/>
        <v>1.411721843977211</v>
      </c>
      <c r="AA17" s="843">
        <f t="shared" si="8"/>
        <v>0.77609618919246148</v>
      </c>
      <c r="AB17" s="796">
        <f t="shared" si="9"/>
        <v>5</v>
      </c>
      <c r="AC17" s="797">
        <f t="shared" si="10"/>
        <v>3</v>
      </c>
      <c r="AD17" s="797">
        <f t="shared" si="11"/>
        <v>5</v>
      </c>
      <c r="AE17" s="842">
        <f t="shared" si="12"/>
        <v>2</v>
      </c>
      <c r="AF17" s="842">
        <f t="shared" si="13"/>
        <v>2</v>
      </c>
      <c r="AG17" s="842">
        <f t="shared" si="14"/>
        <v>5</v>
      </c>
      <c r="AH17" s="842">
        <f t="shared" si="15"/>
        <v>3</v>
      </c>
      <c r="AI17" s="826" cm="1">
        <f t="array" ref="AI17">SUMPRODUCT(--ISNUMBER($U17:$AA17),$AB$3:$AH$3)</f>
        <v>1</v>
      </c>
      <c r="AJ17" s="829">
        <f t="shared" si="16"/>
        <v>71.738256672790484</v>
      </c>
      <c r="AK17" s="827" t="str">
        <f t="shared" si="17"/>
        <v>Madura</v>
      </c>
      <c r="AL17" s="784" t="str">
        <f t="shared" si="18"/>
        <v>Alta</v>
      </c>
      <c r="AM17" s="799">
        <f>IF(ISNUMBER('Base de datos Rutas'!W15),'Base de datos Rutas'!W15,"")</f>
        <v>3561.414830517057</v>
      </c>
      <c r="AN17" s="787">
        <f>IFERROR(SUMIFS('Base de datos Rutas'!$W$6:$W$794,'Base de datos Rutas'!$C$6:$C$794,$C17)/'Base de datos Rutas'!I15,"")</f>
        <v>3561.4148305170575</v>
      </c>
      <c r="AO17" s="800">
        <f>IFERROR('Base de datos Rutas'!X15*AN17/AM17,"")</f>
        <v>0.41732881271291661</v>
      </c>
      <c r="AP17" s="800">
        <f t="shared" si="19"/>
        <v>0.58267118728708334</v>
      </c>
      <c r="AQ17" s="789">
        <f>IFERROR(INDEX('Hoja de apoyo v2'!$J$17:$J$20,MATCH($A17,'Hoja de apoyo v2'!$A$17:$A$20,0)),"")</f>
        <v>0.56799995069377007</v>
      </c>
      <c r="AR17" s="789">
        <f t="shared" si="20"/>
        <v>1.4671236593313264E-2</v>
      </c>
      <c r="AS17" s="784" t="str">
        <f t="shared" si="21"/>
        <v>No</v>
      </c>
      <c r="AT17" s="801">
        <f>IF(ISNUMBER('Base de datos Rutas'!CK15),'Base de datos Rutas'!CK15,"")</f>
        <v>375</v>
      </c>
      <c r="AU17" s="802">
        <f>IF(ISNUMBER('Base de datos Rutas'!CL15),'Base de datos Rutas'!CL15,"")</f>
        <v>515.32000000000005</v>
      </c>
      <c r="AV17" s="802">
        <f>IF(ISNUMBER('Base de datos Rutas'!CM15),'Base de datos Rutas'!CM15,"")</f>
        <v>140.32000000000005</v>
      </c>
      <c r="AW17" s="802">
        <f>IF(ISNUMBER('Base de datos Rutas'!CN15),'Base de datos Rutas'!CN15,"")</f>
        <v>6.98</v>
      </c>
      <c r="AX17" s="802">
        <f>IF(ISNUMBER('Base de datos Rutas'!CO15),'Base de datos Rutas'!CO15,"")</f>
        <v>9.4499999999999993</v>
      </c>
      <c r="AY17" s="802">
        <f>IF(ISNUMBER('Base de datos Rutas'!CP15),'Base de datos Rutas'!CP15,"")</f>
        <v>2.4699999999999989</v>
      </c>
      <c r="AZ17" s="802">
        <f>IF(ISNUMBER('Base de datos Rutas'!CQ15),'Base de datos Rutas'!CQ15,"")</f>
        <v>1269.8399999999999</v>
      </c>
      <c r="BA17" s="802">
        <f>IF(ISNUMBER('Base de datos Rutas'!CR15),'Base de datos Rutas'!CR15,"")</f>
        <v>276.14</v>
      </c>
      <c r="BB17" s="803">
        <f>IF(ISNUMBER('Base de datos Rutas'!CS15),'Base de datos Rutas'!CS15,"")</f>
        <v>993.69999999999993</v>
      </c>
      <c r="BC17" s="804">
        <f t="shared" si="32"/>
        <v>0</v>
      </c>
      <c r="BD17" s="805" t="str">
        <f t="shared" si="33"/>
        <v>No saturada</v>
      </c>
      <c r="BE17" s="806">
        <f t="shared" si="34"/>
        <v>0.21746046746046746</v>
      </c>
      <c r="BF17" s="890">
        <f>IF(ISNUMBER('Base de datos Rutas'!CX15),'Base de datos Rutas'!CX15/100,"")</f>
        <v>0.92840816326530617</v>
      </c>
      <c r="BG17" s="891">
        <f>IF(ISNUMBER('Base de datos Rutas'!CZ15),'Base de datos Rutas'!CZ15/100,"")</f>
        <v>1</v>
      </c>
      <c r="BH17" s="892">
        <f>IF(ISNUMBER('Base de datos Rutas'!DA15),'Base de datos Rutas'!DA15,"")</f>
        <v>1238.9229450750361</v>
      </c>
      <c r="BI17" s="893">
        <f>IF(ISNUMBER('Base de datos Rutas'!DC15),'Base de datos Rutas'!DC15,"")</f>
        <v>23.434014816789819</v>
      </c>
      <c r="BJ17" s="805" t="str">
        <f t="shared" si="35"/>
        <v>Ruta (completo)</v>
      </c>
      <c r="BK17" s="783">
        <f t="shared" si="22"/>
        <v>5</v>
      </c>
      <c r="BL17" s="797">
        <f t="shared" si="23"/>
        <v>4</v>
      </c>
      <c r="BM17" s="797">
        <f t="shared" si="24"/>
        <v>5</v>
      </c>
      <c r="BN17" s="797">
        <f t="shared" si="25"/>
        <v>5</v>
      </c>
      <c r="BO17" s="798" cm="1">
        <f t="array" ref="BO17">SUMPRODUCT(--ISNUMBER($BF17:$BI17),$BK$3:$BN$3)</f>
        <v>1</v>
      </c>
      <c r="BP17" s="831">
        <f t="shared" si="26"/>
        <v>93.75</v>
      </c>
      <c r="BQ17" s="834" t="str">
        <f t="shared" si="36"/>
        <v>Alto</v>
      </c>
      <c r="BR17" s="836">
        <f t="shared" si="27"/>
        <v>53.80369250459286</v>
      </c>
      <c r="BS17" s="836">
        <f t="shared" si="28"/>
        <v>93.75</v>
      </c>
      <c r="BT17" s="837" t="str">
        <f t="shared" si="29"/>
        <v>P1</v>
      </c>
      <c r="BU17" s="807" t="str">
        <f t="shared" si="37"/>
        <v>Con espacio</v>
      </c>
      <c r="BV17" s="807" t="str">
        <f t="shared" si="30"/>
        <v>Zona atractiva</v>
      </c>
      <c r="BW17" s="808" t="str">
        <f t="shared" si="31"/>
        <v>P1 - Ampliar cobertura</v>
      </c>
    </row>
    <row r="18" spans="1:75">
      <c r="A18" s="780" t="str">
        <f>'Base de datos Rutas'!A16</f>
        <v>Noreste</v>
      </c>
      <c r="B18" s="781" t="str">
        <f>'Base de datos Rutas'!B16</f>
        <v>Monterrey</v>
      </c>
      <c r="C18" s="781" t="str">
        <f>'Base de datos Rutas'!C16</f>
        <v>Planta Guadalupe</v>
      </c>
      <c r="D18" s="782">
        <f>IF(ISNUMBER('Base de datos Rutas'!D16),'Base de datos Rutas'!D16,"Sin código")</f>
        <v>701302</v>
      </c>
      <c r="E18" s="783" t="str">
        <f>'Base de datos Rutas'!F16</f>
        <v>Activa</v>
      </c>
      <c r="F18" s="784" t="str">
        <f>'Base de datos Rutas'!H16</f>
        <v>Sí</v>
      </c>
      <c r="G18" s="785">
        <f>IF(ISNUMBER('Base de datos Rutas'!BE16),'Base de datos Rutas'!BE16,"")</f>
        <v>75.371364653243802</v>
      </c>
      <c r="H18" s="786">
        <f>IF(ISNUMBER('Base de datos Rutas'!BH16),'Base de datos Rutas'!BH16,"")</f>
        <v>0.48630197975720502</v>
      </c>
      <c r="I18" s="788">
        <f>IFERROR(IF(OR(NOT(ISNUMBER('Base de datos Rutas'!O16)),N('Base de datos Rutas'!BK16)=0),"",'Base de datos Rutas'!O16/('Base de datos Rutas'!L16/'Base de datos Rutas'!BK16)),"")</f>
        <v>8886.9843400447626</v>
      </c>
      <c r="J18" s="788">
        <f>IFERROR(IF(OR(NOT(ISNUMBER('Base de datos Rutas'!N16)),N('Base de datos Rutas'!BK16)=0),"",'Base de datos Rutas'!N16/('Base de datos Rutas'!L16/'Base de datos Rutas'!BK16)),"")</f>
        <v>1820.736017897096</v>
      </c>
      <c r="K18" s="788">
        <f>IFERROR(IF(OR(NOT(ISNUMBER('Base de datos Rutas'!J16)),N('Base de datos Rutas'!BK16)=0),"",'Base de datos Rutas'!J16/('Base de datos Rutas'!L16/'Base de datos Rutas'!BK16)),"")</f>
        <v>125.89230961968708</v>
      </c>
      <c r="L18" s="788">
        <f>IFERROR(IF(OR(NOT(ISNUMBER('Base de datos Rutas'!K16)),N('Base de datos Rutas'!BK16)=0),"",'Base de datos Rutas'!K16/('Base de datos Rutas'!L16/'Base de datos Rutas'!BK16)),"")</f>
        <v>71.303298290827911</v>
      </c>
      <c r="M18" s="787">
        <f>IF(ISNUMBER('Base de datos Rutas'!AX16),'Base de datos Rutas'!AX16,"")</f>
        <v>292.09171386718702</v>
      </c>
      <c r="N18" s="790">
        <f>IFERROR(INDEX('Hoja de apoyo v2'!B$17:B$20,MATCH($A18,'Hoja de apoyo v2'!$A$17:$A$20,0)),"")</f>
        <v>63.050408855205418</v>
      </c>
      <c r="O18" s="791">
        <f>IFERROR(INDEX('Hoja de apoyo v2'!C$17:C$20,MATCH($A18,'Hoja de apoyo v2'!$A$17:$A$20,0)),"")</f>
        <v>0.7559478312655763</v>
      </c>
      <c r="P18" s="793">
        <f>IFERROR(INDEX('Hoja de apoyo v2'!D$17:D$20,MATCH($A18,'Hoja de apoyo v2'!$A$17:$A$20,0)),"")</f>
        <v>9054.9839880720647</v>
      </c>
      <c r="Q18" s="793">
        <f>IFERROR(INDEX('Hoja de apoyo v2'!E$17:E$20,MATCH($A18,'Hoja de apoyo v2'!$A$17:$A$20,0)),"")</f>
        <v>4535.7799207004691</v>
      </c>
      <c r="R18" s="793">
        <f>IFERROR(INDEX('Hoja de apoyo v2'!F$17:F$20,MATCH($A18,'Hoja de apoyo v2'!$A$17:$A$20,0)),"")</f>
        <v>260.44838236060593</v>
      </c>
      <c r="S18" s="793">
        <f>IFERROR(INDEX('Hoja de apoyo v2'!G$17:G$20,MATCH($A18,'Hoja de apoyo v2'!$A$17:$A$20,0)),"")</f>
        <v>64.772152317133859</v>
      </c>
      <c r="T18" s="792">
        <f>IFERROR(INDEX('Hoja de apoyo v2'!H$17:H$20,MATCH($A18,'Hoja de apoyo v2'!$A$17:$A$20,0)),"")</f>
        <v>389.240053528842</v>
      </c>
      <c r="U18" s="794">
        <f t="shared" si="2"/>
        <v>1.1954143679913849</v>
      </c>
      <c r="V18" s="795">
        <f t="shared" si="3"/>
        <v>0.64330097877661552</v>
      </c>
      <c r="W18" s="795">
        <f t="shared" si="4"/>
        <v>0.98144672058519322</v>
      </c>
      <c r="X18" s="843">
        <f t="shared" si="5"/>
        <v>0.40141630540485224</v>
      </c>
      <c r="Y18" s="843">
        <f t="shared" si="6"/>
        <v>0.48336760043831589</v>
      </c>
      <c r="Z18" s="843">
        <f t="shared" si="7"/>
        <v>1.1008326223546905</v>
      </c>
      <c r="AA18" s="843">
        <f t="shared" si="8"/>
        <v>0.75041535735875531</v>
      </c>
      <c r="AB18" s="796">
        <f t="shared" si="9"/>
        <v>4</v>
      </c>
      <c r="AC18" s="797">
        <f t="shared" si="10"/>
        <v>2</v>
      </c>
      <c r="AD18" s="797">
        <f t="shared" si="11"/>
        <v>3</v>
      </c>
      <c r="AE18" s="842">
        <f t="shared" si="12"/>
        <v>1</v>
      </c>
      <c r="AF18" s="842">
        <f t="shared" si="13"/>
        <v>1</v>
      </c>
      <c r="AG18" s="842">
        <f t="shared" si="14"/>
        <v>4</v>
      </c>
      <c r="AH18" s="842">
        <f t="shared" si="15"/>
        <v>3</v>
      </c>
      <c r="AI18" s="826" cm="1">
        <f t="array" ref="AI18">SUMPRODUCT(--ISNUMBER($U18:$AA18),$AB$3:$AH$3)</f>
        <v>1</v>
      </c>
      <c r="AJ18" s="829">
        <f t="shared" si="16"/>
        <v>43.868813043789011</v>
      </c>
      <c r="AK18" s="827" t="str">
        <f t="shared" si="17"/>
        <v>Inmadura</v>
      </c>
      <c r="AL18" s="784" t="str">
        <f t="shared" si="18"/>
        <v>Alta</v>
      </c>
      <c r="AM18" s="799">
        <f>IF(ISNUMBER('Base de datos Rutas'!W16),'Base de datos Rutas'!W16,"")</f>
        <v>3561.414830517057</v>
      </c>
      <c r="AN18" s="787">
        <f>IFERROR(SUMIFS('Base de datos Rutas'!$W$6:$W$794,'Base de datos Rutas'!$C$6:$C$794,$C18)/'Base de datos Rutas'!I16,"")</f>
        <v>3561.4148305170575</v>
      </c>
      <c r="AO18" s="800">
        <f>IFERROR('Base de datos Rutas'!X16*AN18/AM18,"")</f>
        <v>0.41732881271291661</v>
      </c>
      <c r="AP18" s="800">
        <f t="shared" si="19"/>
        <v>0.58267118728708334</v>
      </c>
      <c r="AQ18" s="789">
        <f>IFERROR(INDEX('Hoja de apoyo v2'!$J$17:$J$20,MATCH($A18,'Hoja de apoyo v2'!$A$17:$A$20,0)),"")</f>
        <v>0.56799995069377007</v>
      </c>
      <c r="AR18" s="789">
        <f t="shared" si="20"/>
        <v>1.4671236593313264E-2</v>
      </c>
      <c r="AS18" s="784" t="str">
        <f t="shared" si="21"/>
        <v>No</v>
      </c>
      <c r="AT18" s="801">
        <f>IF(ISNUMBER('Base de datos Rutas'!CK16),'Base de datos Rutas'!CK16,"")</f>
        <v>701</v>
      </c>
      <c r="AU18" s="802">
        <f>IF(ISNUMBER('Base de datos Rutas'!CL16),'Base de datos Rutas'!CL16,"")</f>
        <v>910.77</v>
      </c>
      <c r="AV18" s="802">
        <f>IF(ISNUMBER('Base de datos Rutas'!CM16),'Base de datos Rutas'!CM16,"")</f>
        <v>209.76999999999998</v>
      </c>
      <c r="AW18" s="802">
        <f>IF(ISNUMBER('Base de datos Rutas'!CN16),'Base de datos Rutas'!CN16,"")</f>
        <v>8.7200000000000006</v>
      </c>
      <c r="AX18" s="802">
        <f>IF(ISNUMBER('Base de datos Rutas'!CO16),'Base de datos Rutas'!CO16,"")</f>
        <v>9.4499999999999993</v>
      </c>
      <c r="AY18" s="802">
        <f>IF(ISNUMBER('Base de datos Rutas'!CP16),'Base de datos Rutas'!CP16,"")</f>
        <v>0.72999999999999865</v>
      </c>
      <c r="AZ18" s="802">
        <f>IF(ISNUMBER('Base de datos Rutas'!CQ16),'Base de datos Rutas'!CQ16,"")</f>
        <v>634.91999999999996</v>
      </c>
      <c r="BA18" s="802">
        <f>IF(ISNUMBER('Base de datos Rutas'!CR16),'Base de datos Rutas'!CR16,"")</f>
        <v>197.2</v>
      </c>
      <c r="BB18" s="803">
        <f>IF(ISNUMBER('Base de datos Rutas'!CS16),'Base de datos Rutas'!CS16,"")</f>
        <v>437.71999999999997</v>
      </c>
      <c r="BC18" s="804">
        <f t="shared" si="32"/>
        <v>0</v>
      </c>
      <c r="BD18" s="805" t="str">
        <f t="shared" si="33"/>
        <v>No saturada</v>
      </c>
      <c r="BE18" s="806">
        <f t="shared" si="34"/>
        <v>0.31059031059031061</v>
      </c>
      <c r="BF18" s="890">
        <f>IF(ISNUMBER('Base de datos Rutas'!CX16),'Base de datos Rutas'!CX16/100,"")</f>
        <v>0.74425899158234843</v>
      </c>
      <c r="BG18" s="891">
        <f>IF(ISNUMBER('Base de datos Rutas'!CZ16),'Base de datos Rutas'!CZ16/100,"")</f>
        <v>0.76209505994388227</v>
      </c>
      <c r="BH18" s="892">
        <f>IF(ISNUMBER('Base de datos Rutas'!DA16),'Base de datos Rutas'!DA16,"")</f>
        <v>286.79557455368365</v>
      </c>
      <c r="BI18" s="893">
        <f>IF(ISNUMBER('Base de datos Rutas'!DC16),'Base de datos Rutas'!DC16,"")</f>
        <v>6.3716895404389184</v>
      </c>
      <c r="BJ18" s="805" t="str">
        <f t="shared" si="35"/>
        <v>Ruta (completo)</v>
      </c>
      <c r="BK18" s="783">
        <f t="shared" si="22"/>
        <v>4</v>
      </c>
      <c r="BL18" s="797">
        <f t="shared" si="23"/>
        <v>4</v>
      </c>
      <c r="BM18" s="797">
        <f t="shared" si="24"/>
        <v>3</v>
      </c>
      <c r="BN18" s="797">
        <f t="shared" si="25"/>
        <v>2</v>
      </c>
      <c r="BO18" s="798" cm="1">
        <f t="array" ref="BO18">SUMPRODUCT(--ISNUMBER($BF18:$BI18),$BK$3:$BN$3)</f>
        <v>1</v>
      </c>
      <c r="BP18" s="831">
        <f t="shared" si="26"/>
        <v>56.25</v>
      </c>
      <c r="BQ18" s="834" t="str">
        <f t="shared" si="36"/>
        <v>Alto</v>
      </c>
      <c r="BR18" s="836">
        <f t="shared" si="27"/>
        <v>32.90160978284176</v>
      </c>
      <c r="BS18" s="836">
        <f t="shared" si="28"/>
        <v>56.25</v>
      </c>
      <c r="BT18" s="837" t="str">
        <f t="shared" si="29"/>
        <v>P1</v>
      </c>
      <c r="BU18" s="807" t="str">
        <f t="shared" si="37"/>
        <v>Con espacio</v>
      </c>
      <c r="BV18" s="807" t="str">
        <f t="shared" si="30"/>
        <v>Zona atractiva</v>
      </c>
      <c r="BW18" s="808" t="str">
        <f t="shared" si="31"/>
        <v>P1 - Ampliar cobertura</v>
      </c>
    </row>
    <row r="19" spans="1:75">
      <c r="A19" s="780" t="str">
        <f>'Base de datos Rutas'!A17</f>
        <v>Noreste</v>
      </c>
      <c r="B19" s="781" t="str">
        <f>'Base de datos Rutas'!B17</f>
        <v>Monterrey</v>
      </c>
      <c r="C19" s="781" t="str">
        <f>'Base de datos Rutas'!C17</f>
        <v>Planta Guadalupe</v>
      </c>
      <c r="D19" s="782">
        <f>IF(ISNUMBER('Base de datos Rutas'!D17),'Base de datos Rutas'!D17,"Sin código")</f>
        <v>701303</v>
      </c>
      <c r="E19" s="783" t="str">
        <f>'Base de datos Rutas'!F17</f>
        <v>Activa</v>
      </c>
      <c r="F19" s="784" t="str">
        <f>'Base de datos Rutas'!H17</f>
        <v>Sí</v>
      </c>
      <c r="G19" s="785">
        <f>IF(ISNUMBER('Base de datos Rutas'!BE17),'Base de datos Rutas'!BE17,"")</f>
        <v>92.468181818181804</v>
      </c>
      <c r="H19" s="786">
        <f>IF(ISNUMBER('Base de datos Rutas'!BH17),'Base de datos Rutas'!BH17,"")</f>
        <v>0.79132871257926596</v>
      </c>
      <c r="I19" s="788">
        <f>IFERROR(IF(OR(NOT(ISNUMBER('Base de datos Rutas'!O17)),N('Base de datos Rutas'!BK17)=0),"",'Base de datos Rutas'!O17/('Base de datos Rutas'!L17/'Base de datos Rutas'!BK17)),"")</f>
        <v>13689.281818181802</v>
      </c>
      <c r="J19" s="788">
        <f>IFERROR(IF(OR(NOT(ISNUMBER('Base de datos Rutas'!N17)),N('Base de datos Rutas'!BK17)=0),"",'Base de datos Rutas'!N17/('Base de datos Rutas'!L17/'Base de datos Rutas'!BK17)),"")</f>
        <v>3112.0772727272692</v>
      </c>
      <c r="K19" s="788">
        <f>IFERROR(IF(OR(NOT(ISNUMBER('Base de datos Rutas'!J17)),N('Base de datos Rutas'!BK17)=0),"",'Base de datos Rutas'!J17/('Base de datos Rutas'!L17/'Base de datos Rutas'!BK17)),"")</f>
        <v>218.50888181818155</v>
      </c>
      <c r="L19" s="788">
        <f>IFERROR(IF(OR(NOT(ISNUMBER('Base de datos Rutas'!K17)),N('Base de datos Rutas'!BK17)=0),"",'Base de datos Rutas'!K17/('Base de datos Rutas'!L17/'Base de datos Rutas'!BK17)),"")</f>
        <v>112.22943124545441</v>
      </c>
      <c r="M19" s="787">
        <f>IF(ISNUMBER('Base de datos Rutas'!AX17),'Base de datos Rutas'!AX17,"")</f>
        <v>230.30886849298099</v>
      </c>
      <c r="N19" s="790">
        <f>IFERROR(INDEX('Hoja de apoyo v2'!B$17:B$20,MATCH($A19,'Hoja de apoyo v2'!$A$17:$A$20,0)),"")</f>
        <v>63.050408855205418</v>
      </c>
      <c r="O19" s="791">
        <f>IFERROR(INDEX('Hoja de apoyo v2'!C$17:C$20,MATCH($A19,'Hoja de apoyo v2'!$A$17:$A$20,0)),"")</f>
        <v>0.7559478312655763</v>
      </c>
      <c r="P19" s="793">
        <f>IFERROR(INDEX('Hoja de apoyo v2'!D$17:D$20,MATCH($A19,'Hoja de apoyo v2'!$A$17:$A$20,0)),"")</f>
        <v>9054.9839880720647</v>
      </c>
      <c r="Q19" s="793">
        <f>IFERROR(INDEX('Hoja de apoyo v2'!E$17:E$20,MATCH($A19,'Hoja de apoyo v2'!$A$17:$A$20,0)),"")</f>
        <v>4535.7799207004691</v>
      </c>
      <c r="R19" s="793">
        <f>IFERROR(INDEX('Hoja de apoyo v2'!F$17:F$20,MATCH($A19,'Hoja de apoyo v2'!$A$17:$A$20,0)),"")</f>
        <v>260.44838236060593</v>
      </c>
      <c r="S19" s="793">
        <f>IFERROR(INDEX('Hoja de apoyo v2'!G$17:G$20,MATCH($A19,'Hoja de apoyo v2'!$A$17:$A$20,0)),"")</f>
        <v>64.772152317133859</v>
      </c>
      <c r="T19" s="792">
        <f>IFERROR(INDEX('Hoja de apoyo v2'!H$17:H$20,MATCH($A19,'Hoja de apoyo v2'!$A$17:$A$20,0)),"")</f>
        <v>389.240053528842</v>
      </c>
      <c r="U19" s="794">
        <f t="shared" si="2"/>
        <v>1.46657545124781</v>
      </c>
      <c r="V19" s="795">
        <f t="shared" si="3"/>
        <v>1.0468033372811671</v>
      </c>
      <c r="W19" s="795">
        <f t="shared" si="4"/>
        <v>1.5117952539965172</v>
      </c>
      <c r="X19" s="843">
        <f t="shared" si="5"/>
        <v>0.68611734412516756</v>
      </c>
      <c r="Y19" s="843">
        <f t="shared" si="6"/>
        <v>0.83897192924639974</v>
      </c>
      <c r="Z19" s="843">
        <f t="shared" si="7"/>
        <v>1.7326802835879658</v>
      </c>
      <c r="AA19" s="843">
        <f t="shared" si="8"/>
        <v>0.59168851305256409</v>
      </c>
      <c r="AB19" s="796">
        <f t="shared" si="9"/>
        <v>5</v>
      </c>
      <c r="AC19" s="797">
        <f t="shared" si="10"/>
        <v>4</v>
      </c>
      <c r="AD19" s="797">
        <f t="shared" si="11"/>
        <v>5</v>
      </c>
      <c r="AE19" s="842">
        <f t="shared" si="12"/>
        <v>2</v>
      </c>
      <c r="AF19" s="842">
        <f t="shared" si="13"/>
        <v>3</v>
      </c>
      <c r="AG19" s="842">
        <f t="shared" si="14"/>
        <v>5</v>
      </c>
      <c r="AH19" s="842">
        <f t="shared" si="15"/>
        <v>2</v>
      </c>
      <c r="AI19" s="826" cm="1">
        <f t="array" ref="AI19">SUMPRODUCT(--ISNUMBER($U19:$AA19),$AB$3:$AH$3)</f>
        <v>1</v>
      </c>
      <c r="AJ19" s="829">
        <f t="shared" si="16"/>
        <v>74.802478930394187</v>
      </c>
      <c r="AK19" s="827" t="str">
        <f t="shared" si="17"/>
        <v>Madura</v>
      </c>
      <c r="AL19" s="784" t="str">
        <f t="shared" si="18"/>
        <v>Alta</v>
      </c>
      <c r="AM19" s="799">
        <f>IF(ISNUMBER('Base de datos Rutas'!W17),'Base de datos Rutas'!W17,"")</f>
        <v>3561.414830517057</v>
      </c>
      <c r="AN19" s="787">
        <f>IFERROR(SUMIFS('Base de datos Rutas'!$W$6:$W$794,'Base de datos Rutas'!$C$6:$C$794,$C19)/'Base de datos Rutas'!I17,"")</f>
        <v>3561.4148305170575</v>
      </c>
      <c r="AO19" s="800">
        <f>IFERROR('Base de datos Rutas'!X17*AN19/AM19,"")</f>
        <v>0.41732881271291661</v>
      </c>
      <c r="AP19" s="800">
        <f t="shared" si="19"/>
        <v>0.58267118728708334</v>
      </c>
      <c r="AQ19" s="789">
        <f>IFERROR(INDEX('Hoja de apoyo v2'!$J$17:$J$20,MATCH($A19,'Hoja de apoyo v2'!$A$17:$A$20,0)),"")</f>
        <v>0.56799995069377007</v>
      </c>
      <c r="AR19" s="789">
        <f t="shared" si="20"/>
        <v>1.4671236593313264E-2</v>
      </c>
      <c r="AS19" s="784" t="str">
        <f t="shared" si="21"/>
        <v>No</v>
      </c>
      <c r="AT19" s="801">
        <f>IF(ISNUMBER('Base de datos Rutas'!CK17),'Base de datos Rutas'!CK17,"")</f>
        <v>568</v>
      </c>
      <c r="AU19" s="802">
        <f>IF(ISNUMBER('Base de datos Rutas'!CL17),'Base de datos Rutas'!CL17,"")</f>
        <v>1158.6199999999999</v>
      </c>
      <c r="AV19" s="802">
        <f>IF(ISNUMBER('Base de datos Rutas'!CM17),'Base de datos Rutas'!CM17,"")</f>
        <v>590.61999999999989</v>
      </c>
      <c r="AW19" s="802">
        <f>IF(ISNUMBER('Base de datos Rutas'!CN17),'Base de datos Rutas'!CN17,"")</f>
        <v>7.1</v>
      </c>
      <c r="AX19" s="802">
        <f>IF(ISNUMBER('Base de datos Rutas'!CO17),'Base de datos Rutas'!CO17,"")</f>
        <v>9.4499999999999993</v>
      </c>
      <c r="AY19" s="802">
        <f>IF(ISNUMBER('Base de datos Rutas'!CP17),'Base de datos Rutas'!CP17,"")</f>
        <v>2.3499999999999996</v>
      </c>
      <c r="AZ19" s="802">
        <f>IF(ISNUMBER('Base de datos Rutas'!CQ17),'Base de datos Rutas'!CQ17,"")</f>
        <v>1269.8399999999999</v>
      </c>
      <c r="BA19" s="802">
        <f>IF(ISNUMBER('Base de datos Rutas'!CR17),'Base de datos Rutas'!CR17,"")</f>
        <v>330.74</v>
      </c>
      <c r="BB19" s="803">
        <f>IF(ISNUMBER('Base de datos Rutas'!CS17),'Base de datos Rutas'!CS17,"")</f>
        <v>939.09999999999991</v>
      </c>
      <c r="BC19" s="804">
        <f t="shared" si="32"/>
        <v>0</v>
      </c>
      <c r="BD19" s="805" t="str">
        <f t="shared" si="33"/>
        <v>No saturada</v>
      </c>
      <c r="BE19" s="806">
        <f t="shared" si="34"/>
        <v>0.26045801045801048</v>
      </c>
      <c r="BF19" s="890">
        <f>IF(ISNUMBER('Base de datos Rutas'!CX17),'Base de datos Rutas'!CX17/100,"")</f>
        <v>0.78397316219369895</v>
      </c>
      <c r="BG19" s="891">
        <f>IF(ISNUMBER('Base de datos Rutas'!CZ17),'Base de datos Rutas'!CZ17/100,"")</f>
        <v>0.84140412290937372</v>
      </c>
      <c r="BH19" s="892">
        <f>IF(ISNUMBER('Base de datos Rutas'!DA17),'Base de datos Rutas'!DA17,"")</f>
        <v>622.22470394367804</v>
      </c>
      <c r="BI19" s="893">
        <f>IF(ISNUMBER('Base de datos Rutas'!DC17),'Base de datos Rutas'!DC17,"")</f>
        <v>13.256236999545731</v>
      </c>
      <c r="BJ19" s="805" t="str">
        <f t="shared" si="35"/>
        <v>Ruta (completo)</v>
      </c>
      <c r="BK19" s="783">
        <f t="shared" si="22"/>
        <v>4</v>
      </c>
      <c r="BL19" s="797">
        <f t="shared" si="23"/>
        <v>4</v>
      </c>
      <c r="BM19" s="797">
        <f t="shared" si="24"/>
        <v>4</v>
      </c>
      <c r="BN19" s="797">
        <f t="shared" si="25"/>
        <v>4</v>
      </c>
      <c r="BO19" s="798" cm="1">
        <f t="array" ref="BO19">SUMPRODUCT(--ISNUMBER($BF19:$BI19),$BK$3:$BN$3)</f>
        <v>1</v>
      </c>
      <c r="BP19" s="831">
        <f t="shared" si="26"/>
        <v>75</v>
      </c>
      <c r="BQ19" s="834" t="str">
        <f t="shared" si="36"/>
        <v>Alto</v>
      </c>
      <c r="BR19" s="836">
        <f t="shared" si="27"/>
        <v>56.10185919779564</v>
      </c>
      <c r="BS19" s="836">
        <f t="shared" si="28"/>
        <v>75</v>
      </c>
      <c r="BT19" s="837" t="str">
        <f t="shared" si="29"/>
        <v>P1</v>
      </c>
      <c r="BU19" s="807" t="str">
        <f t="shared" si="37"/>
        <v>Con espacio</v>
      </c>
      <c r="BV19" s="807" t="str">
        <f t="shared" si="30"/>
        <v>Zona atractiva</v>
      </c>
      <c r="BW19" s="808" t="str">
        <f t="shared" si="31"/>
        <v>P1 - Ampliar cobertura</v>
      </c>
    </row>
    <row r="20" spans="1:75">
      <c r="A20" s="780" t="str">
        <f>'Base de datos Rutas'!A18</f>
        <v>Noreste</v>
      </c>
      <c r="B20" s="781" t="str">
        <f>'Base de datos Rutas'!B18</f>
        <v>Monterrey</v>
      </c>
      <c r="C20" s="781" t="str">
        <f>'Base de datos Rutas'!C18</f>
        <v>Planta Guadalupe</v>
      </c>
      <c r="D20" s="782">
        <f>IF(ISNUMBER('Base de datos Rutas'!D18),'Base de datos Rutas'!D18,"Sin código")</f>
        <v>701304</v>
      </c>
      <c r="E20" s="783" t="str">
        <f>'Base de datos Rutas'!F18</f>
        <v>Activa</v>
      </c>
      <c r="F20" s="784" t="str">
        <f>'Base de datos Rutas'!H18</f>
        <v>Sí</v>
      </c>
      <c r="G20" s="785">
        <f>IF(ISNUMBER('Base de datos Rutas'!BE18),'Base de datos Rutas'!BE18,"")</f>
        <v>56.299319727891202</v>
      </c>
      <c r="H20" s="786">
        <f>IF(ISNUMBER('Base de datos Rutas'!BH18),'Base de datos Rutas'!BH18,"")</f>
        <v>0.60790236829386202</v>
      </c>
      <c r="I20" s="788">
        <f>IFERROR(IF(OR(NOT(ISNUMBER('Base de datos Rutas'!O18)),N('Base de datos Rutas'!BK18)=0),"",'Base de datos Rutas'!O18/('Base de datos Rutas'!L18/'Base de datos Rutas'!BK18)),"")</f>
        <v>9264.6009070294676</v>
      </c>
      <c r="J20" s="788">
        <f>IFERROR(IF(OR(NOT(ISNUMBER('Base de datos Rutas'!N18)),N('Base de datos Rutas'!BK18)=0),"",'Base de datos Rutas'!N18/('Base de datos Rutas'!L18/'Base de datos Rutas'!BK18)),"")</f>
        <v>2892.5079365079332</v>
      </c>
      <c r="K20" s="788">
        <f>IFERROR(IF(OR(NOT(ISNUMBER('Base de datos Rutas'!J18)),N('Base de datos Rutas'!BK18)=0),"",'Base de datos Rutas'!J18/('Base de datos Rutas'!L18/'Base de datos Rutas'!BK18)),"")</f>
        <v>202.84551111111088</v>
      </c>
      <c r="L20" s="788">
        <f>IFERROR(IF(OR(NOT(ISNUMBER('Base de datos Rutas'!K18)),N('Base de datos Rutas'!BK18)=0),"",'Base de datos Rutas'!K18/('Base de datos Rutas'!L18/'Base de datos Rutas'!BK18)),"")</f>
        <v>75.844429344671113</v>
      </c>
      <c r="M20" s="787">
        <f>IF(ISNUMBER('Base de datos Rutas'!AX18),'Base de datos Rutas'!AX18,"")</f>
        <v>355.50825150732101</v>
      </c>
      <c r="N20" s="790">
        <f>IFERROR(INDEX('Hoja de apoyo v2'!B$17:B$20,MATCH($A20,'Hoja de apoyo v2'!$A$17:$A$20,0)),"")</f>
        <v>63.050408855205418</v>
      </c>
      <c r="O20" s="791">
        <f>IFERROR(INDEX('Hoja de apoyo v2'!C$17:C$20,MATCH($A20,'Hoja de apoyo v2'!$A$17:$A$20,0)),"")</f>
        <v>0.7559478312655763</v>
      </c>
      <c r="P20" s="793">
        <f>IFERROR(INDEX('Hoja de apoyo v2'!D$17:D$20,MATCH($A20,'Hoja de apoyo v2'!$A$17:$A$20,0)),"")</f>
        <v>9054.9839880720647</v>
      </c>
      <c r="Q20" s="793">
        <f>IFERROR(INDEX('Hoja de apoyo v2'!E$17:E$20,MATCH($A20,'Hoja de apoyo v2'!$A$17:$A$20,0)),"")</f>
        <v>4535.7799207004691</v>
      </c>
      <c r="R20" s="793">
        <f>IFERROR(INDEX('Hoja de apoyo v2'!F$17:F$20,MATCH($A20,'Hoja de apoyo v2'!$A$17:$A$20,0)),"")</f>
        <v>260.44838236060593</v>
      </c>
      <c r="S20" s="793">
        <f>IFERROR(INDEX('Hoja de apoyo v2'!G$17:G$20,MATCH($A20,'Hoja de apoyo v2'!$A$17:$A$20,0)),"")</f>
        <v>64.772152317133859</v>
      </c>
      <c r="T20" s="792">
        <f>IFERROR(INDEX('Hoja de apoyo v2'!H$17:H$20,MATCH($A20,'Hoja de apoyo v2'!$A$17:$A$20,0)),"")</f>
        <v>389.240053528842</v>
      </c>
      <c r="U20" s="794">
        <f t="shared" si="2"/>
        <v>0.89292552974845862</v>
      </c>
      <c r="V20" s="795">
        <f t="shared" si="3"/>
        <v>0.80415915378199743</v>
      </c>
      <c r="W20" s="795">
        <f t="shared" si="4"/>
        <v>1.0231493417584754</v>
      </c>
      <c r="X20" s="843">
        <f t="shared" si="5"/>
        <v>0.6377090571143138</v>
      </c>
      <c r="Y20" s="843">
        <f t="shared" si="6"/>
        <v>0.77883191007982333</v>
      </c>
      <c r="Z20" s="843">
        <f t="shared" si="7"/>
        <v>1.1709419346345908</v>
      </c>
      <c r="AA20" s="843">
        <f t="shared" si="8"/>
        <v>0.91333933464526784</v>
      </c>
      <c r="AB20" s="796">
        <f t="shared" si="9"/>
        <v>3</v>
      </c>
      <c r="AC20" s="797">
        <f t="shared" si="10"/>
        <v>3</v>
      </c>
      <c r="AD20" s="797">
        <f t="shared" si="11"/>
        <v>4</v>
      </c>
      <c r="AE20" s="842">
        <f t="shared" si="12"/>
        <v>2</v>
      </c>
      <c r="AF20" s="842">
        <f t="shared" si="13"/>
        <v>3</v>
      </c>
      <c r="AG20" s="842">
        <f t="shared" si="14"/>
        <v>4</v>
      </c>
      <c r="AH20" s="842">
        <f t="shared" si="15"/>
        <v>3</v>
      </c>
      <c r="AI20" s="826" cm="1">
        <f t="array" ref="AI20">SUMPRODUCT(--ISNUMBER($U20:$AA20),$AB$3:$AH$3)</f>
        <v>1</v>
      </c>
      <c r="AJ20" s="829">
        <f t="shared" si="16"/>
        <v>56.093790591169046</v>
      </c>
      <c r="AK20" s="827" t="str">
        <f t="shared" si="17"/>
        <v>En desarrollo</v>
      </c>
      <c r="AL20" s="784" t="str">
        <f t="shared" si="18"/>
        <v>Alta</v>
      </c>
      <c r="AM20" s="799">
        <f>IF(ISNUMBER('Base de datos Rutas'!W18),'Base de datos Rutas'!W18,"")</f>
        <v>3561.414830517057</v>
      </c>
      <c r="AN20" s="787">
        <f>IFERROR(SUMIFS('Base de datos Rutas'!$W$6:$W$794,'Base de datos Rutas'!$C$6:$C$794,$C20)/'Base de datos Rutas'!I18,"")</f>
        <v>3561.4148305170575</v>
      </c>
      <c r="AO20" s="800">
        <f>IFERROR('Base de datos Rutas'!X18*AN20/AM20,"")</f>
        <v>0.41732881271291661</v>
      </c>
      <c r="AP20" s="800">
        <f t="shared" si="19"/>
        <v>0.58267118728708334</v>
      </c>
      <c r="AQ20" s="789">
        <f>IFERROR(INDEX('Hoja de apoyo v2'!$J$17:$J$20,MATCH($A20,'Hoja de apoyo v2'!$A$17:$A$20,0)),"")</f>
        <v>0.56799995069377007</v>
      </c>
      <c r="AR20" s="789">
        <f t="shared" si="20"/>
        <v>1.4671236593313264E-2</v>
      </c>
      <c r="AS20" s="784" t="str">
        <f t="shared" si="21"/>
        <v>No</v>
      </c>
      <c r="AT20" s="801">
        <f>IF(ISNUMBER('Base de datos Rutas'!CK18),'Base de datos Rutas'!CK18,"")</f>
        <v>315</v>
      </c>
      <c r="AU20" s="802">
        <f>IF(ISNUMBER('Base de datos Rutas'!CL18),'Base de datos Rutas'!CL18,"")</f>
        <v>857.81</v>
      </c>
      <c r="AV20" s="802">
        <f>IF(ISNUMBER('Base de datos Rutas'!CM18),'Base de datos Rutas'!CM18,"")</f>
        <v>542.80999999999995</v>
      </c>
      <c r="AW20" s="802">
        <f>IF(ISNUMBER('Base de datos Rutas'!CN18),'Base de datos Rutas'!CN18,"")</f>
        <v>6.28</v>
      </c>
      <c r="AX20" s="802">
        <f>IF(ISNUMBER('Base de datos Rutas'!CO18),'Base de datos Rutas'!CO18,"")</f>
        <v>9.4499999999999993</v>
      </c>
      <c r="AY20" s="802">
        <f>IF(ISNUMBER('Base de datos Rutas'!CP18),'Base de datos Rutas'!CP18,"")</f>
        <v>3.169999999999999</v>
      </c>
      <c r="AZ20" s="802">
        <f>IF(ISNUMBER('Base de datos Rutas'!CQ18),'Base de datos Rutas'!CQ18,"")</f>
        <v>634.91999999999996</v>
      </c>
      <c r="BA20" s="802">
        <f>IF(ISNUMBER('Base de datos Rutas'!CR18),'Base de datos Rutas'!CR18,"")</f>
        <v>278.69</v>
      </c>
      <c r="BB20" s="803">
        <f>IF(ISNUMBER('Base de datos Rutas'!CS18),'Base de datos Rutas'!CS18,"")</f>
        <v>356.22999999999996</v>
      </c>
      <c r="BC20" s="804">
        <f t="shared" si="32"/>
        <v>0</v>
      </c>
      <c r="BD20" s="805" t="str">
        <f t="shared" si="33"/>
        <v>No saturada</v>
      </c>
      <c r="BE20" s="806">
        <f t="shared" si="34"/>
        <v>0.43893718893718897</v>
      </c>
      <c r="BF20" s="890">
        <f>IF(ISNUMBER('Base de datos Rutas'!CX18),'Base de datos Rutas'!CX18/100,"")</f>
        <v>0.58606501496508157</v>
      </c>
      <c r="BG20" s="891">
        <f>IF(ISNUMBER('Base de datos Rutas'!CZ18),'Base de datos Rutas'!CZ18/100,"")</f>
        <v>0.63119388094446294</v>
      </c>
      <c r="BH20" s="892">
        <f>IF(ISNUMBER('Base de datos Rutas'!DA18),'Base de datos Rutas'!DA18,"")</f>
        <v>303.11466246009604</v>
      </c>
      <c r="BI20" s="893">
        <f>IF(ISNUMBER('Base de datos Rutas'!DC18),'Base de datos Rutas'!DC18,"")</f>
        <v>7.3932252575609692</v>
      </c>
      <c r="BJ20" s="805" t="str">
        <f t="shared" si="35"/>
        <v>Ruta (completo)</v>
      </c>
      <c r="BK20" s="783">
        <f t="shared" si="22"/>
        <v>3</v>
      </c>
      <c r="BL20" s="797">
        <f t="shared" si="23"/>
        <v>3</v>
      </c>
      <c r="BM20" s="797">
        <f t="shared" si="24"/>
        <v>3</v>
      </c>
      <c r="BN20" s="797">
        <f t="shared" si="25"/>
        <v>3</v>
      </c>
      <c r="BO20" s="798" cm="1">
        <f t="array" ref="BO20">SUMPRODUCT(--ISNUMBER($BF20:$BI20),$BK$3:$BN$3)</f>
        <v>1</v>
      </c>
      <c r="BP20" s="831">
        <f t="shared" si="26"/>
        <v>50</v>
      </c>
      <c r="BQ20" s="834" t="str">
        <f t="shared" si="36"/>
        <v>Alto</v>
      </c>
      <c r="BR20" s="836">
        <f t="shared" si="27"/>
        <v>42.070342943376787</v>
      </c>
      <c r="BS20" s="836">
        <f t="shared" si="28"/>
        <v>50</v>
      </c>
      <c r="BT20" s="837" t="str">
        <f t="shared" si="29"/>
        <v>P1</v>
      </c>
      <c r="BU20" s="807" t="str">
        <f t="shared" si="37"/>
        <v>Con espacio</v>
      </c>
      <c r="BV20" s="807" t="str">
        <f t="shared" si="30"/>
        <v>Zona atractiva</v>
      </c>
      <c r="BW20" s="808" t="str">
        <f t="shared" si="31"/>
        <v>P1 - Ampliar cobertura</v>
      </c>
    </row>
    <row r="21" spans="1:75">
      <c r="A21" s="780" t="str">
        <f>'Base de datos Rutas'!A19</f>
        <v>Noreste</v>
      </c>
      <c r="B21" s="781" t="str">
        <f>'Base de datos Rutas'!B19</f>
        <v>Monterrey</v>
      </c>
      <c r="C21" s="781" t="str">
        <f>'Base de datos Rutas'!C19</f>
        <v>Planta Guadalupe</v>
      </c>
      <c r="D21" s="782">
        <f>IF(ISNUMBER('Base de datos Rutas'!D19),'Base de datos Rutas'!D19,"Sin código")</f>
        <v>701305</v>
      </c>
      <c r="E21" s="783" t="str">
        <f>'Base de datos Rutas'!F19</f>
        <v>Activa</v>
      </c>
      <c r="F21" s="784" t="str">
        <f>'Base de datos Rutas'!H19</f>
        <v>Sí</v>
      </c>
      <c r="G21" s="785">
        <f>IF(ISNUMBER('Base de datos Rutas'!BE19),'Base de datos Rutas'!BE19,"")</f>
        <v>69.360544217687107</v>
      </c>
      <c r="H21" s="786">
        <f>IF(ISNUMBER('Base de datos Rutas'!BH19),'Base de datos Rutas'!BH19,"")</f>
        <v>0.62965868968222805</v>
      </c>
      <c r="I21" s="788">
        <f>IFERROR(IF(OR(NOT(ISNUMBER('Base de datos Rutas'!O19)),N('Base de datos Rutas'!BK19)=0),"",'Base de datos Rutas'!O19/('Base de datos Rutas'!L19/'Base de datos Rutas'!BK19)),"")</f>
        <v>10049.931972789111</v>
      </c>
      <c r="J21" s="788">
        <f>IFERROR(IF(OR(NOT(ISNUMBER('Base de datos Rutas'!N19)),N('Base de datos Rutas'!BK19)=0),"",'Base de datos Rutas'!N19/('Base de datos Rutas'!L19/'Base de datos Rutas'!BK19)),"")</f>
        <v>3187.714285714284</v>
      </c>
      <c r="K21" s="788">
        <f>IFERROR(IF(OR(NOT(ISNUMBER('Base de datos Rutas'!J19)),N('Base de datos Rutas'!BK19)=0),"",'Base de datos Rutas'!J19/('Base de datos Rutas'!L19/'Base de datos Rutas'!BK19)),"")</f>
        <v>208.16505396825386</v>
      </c>
      <c r="L21" s="788">
        <f>IFERROR(IF(OR(NOT(ISNUMBER('Base de datos Rutas'!K19)),N('Base de datos Rutas'!BK19)=0),"",'Base de datos Rutas'!K19/('Base de datos Rutas'!L19/'Base de datos Rutas'!BK19)),"")</f>
        <v>73.757332312925129</v>
      </c>
      <c r="M21" s="787">
        <f>IF(ISNUMBER('Base de datos Rutas'!AX19),'Base de datos Rutas'!AX19,"")</f>
        <v>303.09031100726901</v>
      </c>
      <c r="N21" s="790">
        <f>IFERROR(INDEX('Hoja de apoyo v2'!B$17:B$20,MATCH($A21,'Hoja de apoyo v2'!$A$17:$A$20,0)),"")</f>
        <v>63.050408855205418</v>
      </c>
      <c r="O21" s="791">
        <f>IFERROR(INDEX('Hoja de apoyo v2'!C$17:C$20,MATCH($A21,'Hoja de apoyo v2'!$A$17:$A$20,0)),"")</f>
        <v>0.7559478312655763</v>
      </c>
      <c r="P21" s="793">
        <f>IFERROR(INDEX('Hoja de apoyo v2'!D$17:D$20,MATCH($A21,'Hoja de apoyo v2'!$A$17:$A$20,0)),"")</f>
        <v>9054.9839880720647</v>
      </c>
      <c r="Q21" s="793">
        <f>IFERROR(INDEX('Hoja de apoyo v2'!E$17:E$20,MATCH($A21,'Hoja de apoyo v2'!$A$17:$A$20,0)),"")</f>
        <v>4535.7799207004691</v>
      </c>
      <c r="R21" s="793">
        <f>IFERROR(INDEX('Hoja de apoyo v2'!F$17:F$20,MATCH($A21,'Hoja de apoyo v2'!$A$17:$A$20,0)),"")</f>
        <v>260.44838236060593</v>
      </c>
      <c r="S21" s="793">
        <f>IFERROR(INDEX('Hoja de apoyo v2'!G$17:G$20,MATCH($A21,'Hoja de apoyo v2'!$A$17:$A$20,0)),"")</f>
        <v>64.772152317133859</v>
      </c>
      <c r="T21" s="792">
        <f>IFERROR(INDEX('Hoja de apoyo v2'!H$17:H$20,MATCH($A21,'Hoja de apoyo v2'!$A$17:$A$20,0)),"")</f>
        <v>389.240053528842</v>
      </c>
      <c r="U21" s="794">
        <f t="shared" si="2"/>
        <v>1.1000808000622619</v>
      </c>
      <c r="V21" s="795">
        <f t="shared" si="3"/>
        <v>0.83293934268993108</v>
      </c>
      <c r="W21" s="795">
        <f t="shared" si="4"/>
        <v>1.1098784918921634</v>
      </c>
      <c r="X21" s="843">
        <f t="shared" si="5"/>
        <v>0.7027929796959812</v>
      </c>
      <c r="Y21" s="843">
        <f t="shared" si="6"/>
        <v>0.7992564671798853</v>
      </c>
      <c r="Z21" s="843">
        <f t="shared" si="7"/>
        <v>1.1387197997034053</v>
      </c>
      <c r="AA21" s="843">
        <f t="shared" si="8"/>
        <v>0.77867194873564205</v>
      </c>
      <c r="AB21" s="796">
        <f t="shared" si="9"/>
        <v>4</v>
      </c>
      <c r="AC21" s="797">
        <f t="shared" si="10"/>
        <v>3</v>
      </c>
      <c r="AD21" s="797">
        <f t="shared" si="11"/>
        <v>4</v>
      </c>
      <c r="AE21" s="842">
        <f t="shared" si="12"/>
        <v>2</v>
      </c>
      <c r="AF21" s="842">
        <f t="shared" si="13"/>
        <v>3</v>
      </c>
      <c r="AG21" s="842">
        <f t="shared" si="14"/>
        <v>4</v>
      </c>
      <c r="AH21" s="842">
        <f t="shared" si="15"/>
        <v>3</v>
      </c>
      <c r="AI21" s="826" cm="1">
        <f t="array" ref="AI21">SUMPRODUCT(--ISNUMBER($U21:$AA21),$AB$3:$AH$3)</f>
        <v>1</v>
      </c>
      <c r="AJ21" s="829">
        <f t="shared" si="16"/>
        <v>60.627426769305806</v>
      </c>
      <c r="AK21" s="827" t="str">
        <f t="shared" si="17"/>
        <v>En desarrollo</v>
      </c>
      <c r="AL21" s="784" t="str">
        <f t="shared" si="18"/>
        <v>Alta</v>
      </c>
      <c r="AM21" s="799">
        <f>IF(ISNUMBER('Base de datos Rutas'!W19),'Base de datos Rutas'!W19,"")</f>
        <v>3561.414830517057</v>
      </c>
      <c r="AN21" s="787">
        <f>IFERROR(SUMIFS('Base de datos Rutas'!$W$6:$W$794,'Base de datos Rutas'!$C$6:$C$794,$C21)/'Base de datos Rutas'!I19,"")</f>
        <v>3561.4148305170575</v>
      </c>
      <c r="AO21" s="800">
        <f>IFERROR('Base de datos Rutas'!X19*AN21/AM21,"")</f>
        <v>0.41732881271291661</v>
      </c>
      <c r="AP21" s="800">
        <f t="shared" si="19"/>
        <v>0.58267118728708334</v>
      </c>
      <c r="AQ21" s="789">
        <f>IFERROR(INDEX('Hoja de apoyo v2'!$J$17:$J$20,MATCH($A21,'Hoja de apoyo v2'!$A$17:$A$20,0)),"")</f>
        <v>0.56799995069377007</v>
      </c>
      <c r="AR21" s="789">
        <f t="shared" si="20"/>
        <v>1.4671236593313264E-2</v>
      </c>
      <c r="AS21" s="784" t="str">
        <f t="shared" si="21"/>
        <v>No</v>
      </c>
      <c r="AT21" s="801">
        <f>IF(ISNUMBER('Base de datos Rutas'!CK19),'Base de datos Rutas'!CK19,"")</f>
        <v>335</v>
      </c>
      <c r="AU21" s="802">
        <f>IF(ISNUMBER('Base de datos Rutas'!CL19),'Base de datos Rutas'!CL19,"")</f>
        <v>519.13</v>
      </c>
      <c r="AV21" s="802">
        <f>IF(ISNUMBER('Base de datos Rutas'!CM19),'Base de datos Rutas'!CM19,"")</f>
        <v>184.13</v>
      </c>
      <c r="AW21" s="802">
        <f>IF(ISNUMBER('Base de datos Rutas'!CN19),'Base de datos Rutas'!CN19,"")</f>
        <v>12.17</v>
      </c>
      <c r="AX21" s="802">
        <f>IF(ISNUMBER('Base de datos Rutas'!CO19),'Base de datos Rutas'!CO19,"")</f>
        <v>9.4499999999999993</v>
      </c>
      <c r="AY21" s="802">
        <f>IF(ISNUMBER('Base de datos Rutas'!CP19),'Base de datos Rutas'!CP19,"")</f>
        <v>-2.7200000000000006</v>
      </c>
      <c r="AZ21" s="802">
        <f>IF(ISNUMBER('Base de datos Rutas'!CQ19),'Base de datos Rutas'!CQ19,"")</f>
        <v>1269.8399999999999</v>
      </c>
      <c r="BA21" s="802">
        <f>IF(ISNUMBER('Base de datos Rutas'!CR19),'Base de datos Rutas'!CR19,"")</f>
        <v>281.92</v>
      </c>
      <c r="BB21" s="803">
        <f>IF(ISNUMBER('Base de datos Rutas'!CS19),'Base de datos Rutas'!CS19,"")</f>
        <v>987.91999999999985</v>
      </c>
      <c r="BC21" s="804">
        <f t="shared" si="32"/>
        <v>1</v>
      </c>
      <c r="BD21" s="805" t="str">
        <f t="shared" si="33"/>
        <v>Saturada</v>
      </c>
      <c r="BE21" s="806">
        <f t="shared" si="34"/>
        <v>0.22201222201222204</v>
      </c>
      <c r="BF21" s="890">
        <f>IF(ISNUMBER('Base de datos Rutas'!CX19),'Base de datos Rutas'!CX19/100,"")</f>
        <v>0.94306431663574519</v>
      </c>
      <c r="BG21" s="891">
        <f>IF(ISNUMBER('Base de datos Rutas'!CZ19),'Base de datos Rutas'!CZ19/100,"")</f>
        <v>1</v>
      </c>
      <c r="BH21" s="892">
        <f>IF(ISNUMBER('Base de datos Rutas'!DA19),'Base de datos Rutas'!DA19,"")</f>
        <v>678.87110203532347</v>
      </c>
      <c r="BI21" s="893">
        <f>IF(ISNUMBER('Base de datos Rutas'!DC19),'Base de datos Rutas'!DC19,"")</f>
        <v>16.622270071647364</v>
      </c>
      <c r="BJ21" s="805" t="str">
        <f t="shared" si="35"/>
        <v>Ruta (completo)</v>
      </c>
      <c r="BK21" s="783">
        <f t="shared" si="22"/>
        <v>5</v>
      </c>
      <c r="BL21" s="797">
        <f t="shared" si="23"/>
        <v>4</v>
      </c>
      <c r="BM21" s="797">
        <f t="shared" si="24"/>
        <v>4</v>
      </c>
      <c r="BN21" s="797">
        <f t="shared" si="25"/>
        <v>4</v>
      </c>
      <c r="BO21" s="798" cm="1">
        <f t="array" ref="BO21">SUMPRODUCT(--ISNUMBER($BF21:$BI21),$BK$3:$BN$3)</f>
        <v>1</v>
      </c>
      <c r="BP21" s="831">
        <f t="shared" si="26"/>
        <v>81.25</v>
      </c>
      <c r="BQ21" s="834" t="str">
        <f t="shared" si="36"/>
        <v>Alto</v>
      </c>
      <c r="BR21" s="836">
        <f t="shared" si="27"/>
        <v>70.470570076979357</v>
      </c>
      <c r="BS21" s="836">
        <f t="shared" si="28"/>
        <v>81.25</v>
      </c>
      <c r="BT21" s="837" t="str">
        <f t="shared" si="29"/>
        <v>P1</v>
      </c>
      <c r="BU21" s="807" t="str">
        <f t="shared" si="37"/>
        <v>Al tope</v>
      </c>
      <c r="BV21" s="807" t="str">
        <f t="shared" si="30"/>
        <v>Zona atractiva</v>
      </c>
      <c r="BW21" s="808" t="str">
        <f t="shared" si="31"/>
        <v>P1 - Ampliar cobertura</v>
      </c>
    </row>
    <row r="22" spans="1:75">
      <c r="A22" s="780" t="str">
        <f>'Base de datos Rutas'!A20</f>
        <v>Noreste</v>
      </c>
      <c r="B22" s="781" t="str">
        <f>'Base de datos Rutas'!B20</f>
        <v>Monterrey</v>
      </c>
      <c r="C22" s="781" t="str">
        <f>'Base de datos Rutas'!C20</f>
        <v>Planta Guadalupe</v>
      </c>
      <c r="D22" s="782">
        <f>IF(ISNUMBER('Base de datos Rutas'!D20),'Base de datos Rutas'!D20,"Sin código")</f>
        <v>701306</v>
      </c>
      <c r="E22" s="783" t="str">
        <f>'Base de datos Rutas'!F20</f>
        <v>Activa</v>
      </c>
      <c r="F22" s="784" t="str">
        <f>'Base de datos Rutas'!H20</f>
        <v>Sí</v>
      </c>
      <c r="G22" s="785">
        <f>IF(ISNUMBER('Base de datos Rutas'!BE20),'Base de datos Rutas'!BE20,"")</f>
        <v>54.061503416856503</v>
      </c>
      <c r="H22" s="786">
        <f>IF(ISNUMBER('Base de datos Rutas'!BH20),'Base de datos Rutas'!BH20,"")</f>
        <v>0.58201660135676103</v>
      </c>
      <c r="I22" s="788">
        <f>IFERROR(IF(OR(NOT(ISNUMBER('Base de datos Rutas'!O20)),N('Base de datos Rutas'!BK20)=0),"",'Base de datos Rutas'!O20/('Base de datos Rutas'!L20/'Base de datos Rutas'!BK20)),"")</f>
        <v>10956.849658314348</v>
      </c>
      <c r="J22" s="788">
        <f>IFERROR(IF(OR(NOT(ISNUMBER('Base de datos Rutas'!N20)),N('Base de datos Rutas'!BK20)=0),"",'Base de datos Rutas'!N20/('Base de datos Rutas'!L20/'Base de datos Rutas'!BK20)),"")</f>
        <v>3798.7175398633249</v>
      </c>
      <c r="K22" s="788">
        <f>IFERROR(IF(OR(NOT(ISNUMBER('Base de datos Rutas'!J20)),N('Base de datos Rutas'!BK20)=0),"",'Base de datos Rutas'!J20/('Base de datos Rutas'!L20/'Base de datos Rutas'!BK20)),"")</f>
        <v>249.68921548974936</v>
      </c>
      <c r="L22" s="788">
        <f>IFERROR(IF(OR(NOT(ISNUMBER('Base de datos Rutas'!K20)),N('Base de datos Rutas'!BK20)=0),"",'Base de datos Rutas'!K20/('Base de datos Rutas'!L20/'Base de datos Rutas'!BK20)),"")</f>
        <v>86.871267102505669</v>
      </c>
      <c r="M22" s="787">
        <f>IF(ISNUMBER('Base de datos Rutas'!AX20),'Base de datos Rutas'!AX20,"")</f>
        <v>468.95623470643602</v>
      </c>
      <c r="N22" s="790">
        <f>IFERROR(INDEX('Hoja de apoyo v2'!B$17:B$20,MATCH($A22,'Hoja de apoyo v2'!$A$17:$A$20,0)),"")</f>
        <v>63.050408855205418</v>
      </c>
      <c r="O22" s="791">
        <f>IFERROR(INDEX('Hoja de apoyo v2'!C$17:C$20,MATCH($A22,'Hoja de apoyo v2'!$A$17:$A$20,0)),"")</f>
        <v>0.7559478312655763</v>
      </c>
      <c r="P22" s="793">
        <f>IFERROR(INDEX('Hoja de apoyo v2'!D$17:D$20,MATCH($A22,'Hoja de apoyo v2'!$A$17:$A$20,0)),"")</f>
        <v>9054.9839880720647</v>
      </c>
      <c r="Q22" s="793">
        <f>IFERROR(INDEX('Hoja de apoyo v2'!E$17:E$20,MATCH($A22,'Hoja de apoyo v2'!$A$17:$A$20,0)),"")</f>
        <v>4535.7799207004691</v>
      </c>
      <c r="R22" s="793">
        <f>IFERROR(INDEX('Hoja de apoyo v2'!F$17:F$20,MATCH($A22,'Hoja de apoyo v2'!$A$17:$A$20,0)),"")</f>
        <v>260.44838236060593</v>
      </c>
      <c r="S22" s="793">
        <f>IFERROR(INDEX('Hoja de apoyo v2'!G$17:G$20,MATCH($A22,'Hoja de apoyo v2'!$A$17:$A$20,0)),"")</f>
        <v>64.772152317133859</v>
      </c>
      <c r="T22" s="792">
        <f>IFERROR(INDEX('Hoja de apoyo v2'!H$17:H$20,MATCH($A22,'Hoja de apoyo v2'!$A$17:$A$20,0)),"")</f>
        <v>389.240053528842</v>
      </c>
      <c r="U22" s="794">
        <f t="shared" si="2"/>
        <v>0.85743303490716705</v>
      </c>
      <c r="V22" s="795">
        <f t="shared" si="3"/>
        <v>0.76991635835818606</v>
      </c>
      <c r="W22" s="795">
        <f t="shared" si="4"/>
        <v>1.2100352328339365</v>
      </c>
      <c r="X22" s="843">
        <f t="shared" si="5"/>
        <v>0.83750040925192903</v>
      </c>
      <c r="Y22" s="843">
        <f t="shared" si="6"/>
        <v>0.95868983030979293</v>
      </c>
      <c r="Z22" s="843">
        <f t="shared" si="7"/>
        <v>1.3411823444922957</v>
      </c>
      <c r="AA22" s="843">
        <f t="shared" si="8"/>
        <v>1.2047995329742889</v>
      </c>
      <c r="AB22" s="796">
        <f t="shared" si="9"/>
        <v>3</v>
      </c>
      <c r="AC22" s="797">
        <f t="shared" si="10"/>
        <v>3</v>
      </c>
      <c r="AD22" s="797">
        <f t="shared" si="11"/>
        <v>4</v>
      </c>
      <c r="AE22" s="842">
        <f t="shared" si="12"/>
        <v>3</v>
      </c>
      <c r="AF22" s="842">
        <f t="shared" si="13"/>
        <v>3</v>
      </c>
      <c r="AG22" s="842">
        <f t="shared" si="14"/>
        <v>5</v>
      </c>
      <c r="AH22" s="842">
        <f t="shared" si="15"/>
        <v>4</v>
      </c>
      <c r="AI22" s="826" cm="1">
        <f t="array" ref="AI22">SUMPRODUCT(--ISNUMBER($U22:$AA22),$AB$3:$AH$3)</f>
        <v>1</v>
      </c>
      <c r="AJ22" s="829">
        <f t="shared" si="16"/>
        <v>66.137032845773987</v>
      </c>
      <c r="AK22" s="827" t="str">
        <f t="shared" si="17"/>
        <v>Madura</v>
      </c>
      <c r="AL22" s="784" t="str">
        <f t="shared" si="18"/>
        <v>Alta</v>
      </c>
      <c r="AM22" s="799">
        <f>IF(ISNUMBER('Base de datos Rutas'!W20),'Base de datos Rutas'!W20,"")</f>
        <v>3561.414830517057</v>
      </c>
      <c r="AN22" s="787">
        <f>IFERROR(SUMIFS('Base de datos Rutas'!$W$6:$W$794,'Base de datos Rutas'!$C$6:$C$794,$C22)/'Base de datos Rutas'!I20,"")</f>
        <v>3561.4148305170575</v>
      </c>
      <c r="AO22" s="800">
        <f>IFERROR('Base de datos Rutas'!X20*AN22/AM22,"")</f>
        <v>0.41732881271291661</v>
      </c>
      <c r="AP22" s="800">
        <f t="shared" si="19"/>
        <v>0.58267118728708334</v>
      </c>
      <c r="AQ22" s="789">
        <f>IFERROR(INDEX('Hoja de apoyo v2'!$J$17:$J$20,MATCH($A22,'Hoja de apoyo v2'!$A$17:$A$20,0)),"")</f>
        <v>0.56799995069377007</v>
      </c>
      <c r="AR22" s="789">
        <f t="shared" si="20"/>
        <v>1.4671236593313264E-2</v>
      </c>
      <c r="AS22" s="784" t="str">
        <f t="shared" si="21"/>
        <v>No</v>
      </c>
      <c r="AT22" s="801">
        <f>IF(ISNUMBER('Base de datos Rutas'!CK20),'Base de datos Rutas'!CK20,"")</f>
        <v>244</v>
      </c>
      <c r="AU22" s="802">
        <f>IF(ISNUMBER('Base de datos Rutas'!CL20),'Base de datos Rutas'!CL20,"")</f>
        <v>588.63</v>
      </c>
      <c r="AV22" s="802">
        <f>IF(ISNUMBER('Base de datos Rutas'!CM20),'Base de datos Rutas'!CM20,"")</f>
        <v>344.63</v>
      </c>
      <c r="AW22" s="802">
        <f>IF(ISNUMBER('Base de datos Rutas'!CN20),'Base de datos Rutas'!CN20,"")</f>
        <v>6.4</v>
      </c>
      <c r="AX22" s="802">
        <f>IF(ISNUMBER('Base de datos Rutas'!CO20),'Base de datos Rutas'!CO20,"")</f>
        <v>9.4499999999999993</v>
      </c>
      <c r="AY22" s="802">
        <f>IF(ISNUMBER('Base de datos Rutas'!CP20),'Base de datos Rutas'!CP20,"")</f>
        <v>3.0499999999999989</v>
      </c>
      <c r="AZ22" s="802">
        <f>IF(ISNUMBER('Base de datos Rutas'!CQ20),'Base de datos Rutas'!CQ20,"")</f>
        <v>1269.8399999999999</v>
      </c>
      <c r="BA22" s="802">
        <f>IF(ISNUMBER('Base de datos Rutas'!CR20),'Base de datos Rutas'!CR20,"")</f>
        <v>336.56</v>
      </c>
      <c r="BB22" s="803">
        <f>IF(ISNUMBER('Base de datos Rutas'!CS20),'Base de datos Rutas'!CS20,"")</f>
        <v>933.28</v>
      </c>
      <c r="BC22" s="804">
        <f t="shared" si="32"/>
        <v>0</v>
      </c>
      <c r="BD22" s="805" t="str">
        <f t="shared" si="33"/>
        <v>No saturada</v>
      </c>
      <c r="BE22" s="806">
        <f t="shared" si="34"/>
        <v>0.26504126504126507</v>
      </c>
      <c r="BF22" s="890">
        <f>IF(ISNUMBER('Base de datos Rutas'!CX20),'Base de datos Rutas'!CX20/100,"")</f>
        <v>0.9250641443792128</v>
      </c>
      <c r="BG22" s="891">
        <f>IF(ISNUMBER('Base de datos Rutas'!CZ20),'Base de datos Rutas'!CZ20/100,"")</f>
        <v>1</v>
      </c>
      <c r="BH22" s="892">
        <f>IF(ISNUMBER('Base de datos Rutas'!DA20),'Base de datos Rutas'!DA20,"")</f>
        <v>506.93574761865267</v>
      </c>
      <c r="BI22" s="893">
        <f>IF(ISNUMBER('Base de datos Rutas'!DC20),'Base de datos Rutas'!DC20,"")</f>
        <v>14.008526123516525</v>
      </c>
      <c r="BJ22" s="805" t="str">
        <f t="shared" si="35"/>
        <v>Ruta (completo)</v>
      </c>
      <c r="BK22" s="783">
        <f t="shared" si="22"/>
        <v>5</v>
      </c>
      <c r="BL22" s="797">
        <f t="shared" si="23"/>
        <v>4</v>
      </c>
      <c r="BM22" s="797">
        <f t="shared" si="24"/>
        <v>4</v>
      </c>
      <c r="BN22" s="797">
        <f t="shared" si="25"/>
        <v>4</v>
      </c>
      <c r="BO22" s="798" cm="1">
        <f t="array" ref="BO22">SUMPRODUCT(--ISNUMBER($BF22:$BI22),$BK$3:$BN$3)</f>
        <v>1</v>
      </c>
      <c r="BP22" s="831">
        <f t="shared" si="26"/>
        <v>81.25</v>
      </c>
      <c r="BQ22" s="834" t="str">
        <f t="shared" si="36"/>
        <v>Alto</v>
      </c>
      <c r="BR22" s="836">
        <f t="shared" si="27"/>
        <v>49.602774634330487</v>
      </c>
      <c r="BS22" s="836">
        <f t="shared" si="28"/>
        <v>81.25</v>
      </c>
      <c r="BT22" s="837" t="str">
        <f t="shared" si="29"/>
        <v>P1</v>
      </c>
      <c r="BU22" s="807" t="str">
        <f t="shared" si="37"/>
        <v>Con espacio</v>
      </c>
      <c r="BV22" s="807" t="str">
        <f t="shared" si="30"/>
        <v>Zona atractiva</v>
      </c>
      <c r="BW22" s="808" t="str">
        <f t="shared" si="31"/>
        <v>P1 - Ampliar cobertura</v>
      </c>
    </row>
    <row r="23" spans="1:75">
      <c r="A23" s="780" t="str">
        <f>'Base de datos Rutas'!A21</f>
        <v>Noreste</v>
      </c>
      <c r="B23" s="781" t="str">
        <f>'Base de datos Rutas'!B21</f>
        <v>Monterrey</v>
      </c>
      <c r="C23" s="781" t="str">
        <f>'Base de datos Rutas'!C21</f>
        <v>Planta Guadalupe</v>
      </c>
      <c r="D23" s="782">
        <f>IF(ISNUMBER('Base de datos Rutas'!D21),'Base de datos Rutas'!D21,"Sin código")</f>
        <v>701307</v>
      </c>
      <c r="E23" s="783" t="str">
        <f>'Base de datos Rutas'!F21</f>
        <v>Activa</v>
      </c>
      <c r="F23" s="784" t="str">
        <f>'Base de datos Rutas'!H21</f>
        <v>Sí</v>
      </c>
      <c r="G23" s="785">
        <f>IF(ISNUMBER('Base de datos Rutas'!BE21),'Base de datos Rutas'!BE21,"")</f>
        <v>42.514672686230298</v>
      </c>
      <c r="H23" s="786">
        <f>IF(ISNUMBER('Base de datos Rutas'!BH21),'Base de datos Rutas'!BH21,"")</f>
        <v>0.54762663268556899</v>
      </c>
      <c r="I23" s="788">
        <f>IFERROR(IF(OR(NOT(ISNUMBER('Base de datos Rutas'!O21)),N('Base de datos Rutas'!BK21)=0),"",'Base de datos Rutas'!O21/('Base de datos Rutas'!L21/'Base de datos Rutas'!BK21)),"")</f>
        <v>7080.6343115124173</v>
      </c>
      <c r="J23" s="788">
        <f>IFERROR(IF(OR(NOT(ISNUMBER('Base de datos Rutas'!N21)),N('Base de datos Rutas'!BK21)=0),"",'Base de datos Rutas'!N21/('Base de datos Rutas'!L21/'Base de datos Rutas'!BK21)),"")</f>
        <v>3080.3566591422132</v>
      </c>
      <c r="K23" s="788">
        <f>IFERROR(IF(OR(NOT(ISNUMBER('Base de datos Rutas'!J21)),N('Base de datos Rutas'!BK21)=0),"",'Base de datos Rutas'!J21/('Base de datos Rutas'!L21/'Base de datos Rutas'!BK21)),"")</f>
        <v>202.7884641083522</v>
      </c>
      <c r="L23" s="788">
        <f>IFERROR(IF(OR(NOT(ISNUMBER('Base de datos Rutas'!K21)),N('Base de datos Rutas'!BK21)=0),"",'Base de datos Rutas'!K21/('Base de datos Rutas'!L21/'Base de datos Rutas'!BK21)),"")</f>
        <v>53.336427823927778</v>
      </c>
      <c r="M23" s="787">
        <f>IF(ISNUMBER('Base de datos Rutas'!AX21),'Base de datos Rutas'!AX21,"")</f>
        <v>436.55824316463099</v>
      </c>
      <c r="N23" s="790">
        <f>IFERROR(INDEX('Hoja de apoyo v2'!B$17:B$20,MATCH($A23,'Hoja de apoyo v2'!$A$17:$A$20,0)),"")</f>
        <v>63.050408855205418</v>
      </c>
      <c r="O23" s="791">
        <f>IFERROR(INDEX('Hoja de apoyo v2'!C$17:C$20,MATCH($A23,'Hoja de apoyo v2'!$A$17:$A$20,0)),"")</f>
        <v>0.7559478312655763</v>
      </c>
      <c r="P23" s="793">
        <f>IFERROR(INDEX('Hoja de apoyo v2'!D$17:D$20,MATCH($A23,'Hoja de apoyo v2'!$A$17:$A$20,0)),"")</f>
        <v>9054.9839880720647</v>
      </c>
      <c r="Q23" s="793">
        <f>IFERROR(INDEX('Hoja de apoyo v2'!E$17:E$20,MATCH($A23,'Hoja de apoyo v2'!$A$17:$A$20,0)),"")</f>
        <v>4535.7799207004691</v>
      </c>
      <c r="R23" s="793">
        <f>IFERROR(INDEX('Hoja de apoyo v2'!F$17:F$20,MATCH($A23,'Hoja de apoyo v2'!$A$17:$A$20,0)),"")</f>
        <v>260.44838236060593</v>
      </c>
      <c r="S23" s="793">
        <f>IFERROR(INDEX('Hoja de apoyo v2'!G$17:G$20,MATCH($A23,'Hoja de apoyo v2'!$A$17:$A$20,0)),"")</f>
        <v>64.772152317133859</v>
      </c>
      <c r="T23" s="792">
        <f>IFERROR(INDEX('Hoja de apoyo v2'!H$17:H$20,MATCH($A23,'Hoja de apoyo v2'!$A$17:$A$20,0)),"")</f>
        <v>389.240053528842</v>
      </c>
      <c r="U23" s="794">
        <f t="shared" si="2"/>
        <v>0.67429654237238623</v>
      </c>
      <c r="V23" s="795">
        <f t="shared" si="3"/>
        <v>0.72442384254050352</v>
      </c>
      <c r="W23" s="795">
        <f t="shared" si="4"/>
        <v>0.78195989311958858</v>
      </c>
      <c r="X23" s="843">
        <f t="shared" si="5"/>
        <v>0.67912392421952161</v>
      </c>
      <c r="Y23" s="843">
        <f t="shared" si="6"/>
        <v>0.77861287626497822</v>
      </c>
      <c r="Z23" s="843">
        <f t="shared" si="7"/>
        <v>0.82344689678960936</v>
      </c>
      <c r="AA23" s="843">
        <f t="shared" si="8"/>
        <v>1.121565571700043</v>
      </c>
      <c r="AB23" s="796">
        <f t="shared" si="9"/>
        <v>2</v>
      </c>
      <c r="AC23" s="797">
        <f t="shared" si="10"/>
        <v>2</v>
      </c>
      <c r="AD23" s="797">
        <f t="shared" si="11"/>
        <v>3</v>
      </c>
      <c r="AE23" s="842">
        <f t="shared" si="12"/>
        <v>2</v>
      </c>
      <c r="AF23" s="842">
        <f t="shared" si="13"/>
        <v>3</v>
      </c>
      <c r="AG23" s="842">
        <f t="shared" si="14"/>
        <v>3</v>
      </c>
      <c r="AH23" s="842">
        <f t="shared" si="15"/>
        <v>4</v>
      </c>
      <c r="AI23" s="826" cm="1">
        <f t="array" ref="AI23">SUMPRODUCT(--ISNUMBER($U23:$AA23),$AB$3:$AH$3)</f>
        <v>1</v>
      </c>
      <c r="AJ23" s="829">
        <f t="shared" si="16"/>
        <v>41.918738430080651</v>
      </c>
      <c r="AK23" s="827" t="str">
        <f t="shared" si="17"/>
        <v>Inmadura</v>
      </c>
      <c r="AL23" s="784" t="str">
        <f t="shared" si="18"/>
        <v>Alta</v>
      </c>
      <c r="AM23" s="799">
        <f>IF(ISNUMBER('Base de datos Rutas'!W21),'Base de datos Rutas'!W21,"")</f>
        <v>3561.414830517057</v>
      </c>
      <c r="AN23" s="787">
        <f>IFERROR(SUMIFS('Base de datos Rutas'!$W$6:$W$794,'Base de datos Rutas'!$C$6:$C$794,$C23)/'Base de datos Rutas'!I21,"")</f>
        <v>3561.4148305170575</v>
      </c>
      <c r="AO23" s="800">
        <f>IFERROR('Base de datos Rutas'!X21*AN23/AM23,"")</f>
        <v>0.41732881271291661</v>
      </c>
      <c r="AP23" s="800">
        <f t="shared" si="19"/>
        <v>0.58267118728708334</v>
      </c>
      <c r="AQ23" s="789">
        <f>IFERROR(INDEX('Hoja de apoyo v2'!$J$17:$J$20,MATCH($A23,'Hoja de apoyo v2'!$A$17:$A$20,0)),"")</f>
        <v>0.56799995069377007</v>
      </c>
      <c r="AR23" s="789">
        <f t="shared" si="20"/>
        <v>1.4671236593313264E-2</v>
      </c>
      <c r="AS23" s="784" t="str">
        <f t="shared" si="21"/>
        <v>No</v>
      </c>
      <c r="AT23" s="801">
        <f>IF(ISNUMBER('Base de datos Rutas'!CK21),'Base de datos Rutas'!CK21,"")</f>
        <v>372</v>
      </c>
      <c r="AU23" s="802">
        <f>IF(ISNUMBER('Base de datos Rutas'!CL21),'Base de datos Rutas'!CL21,"")</f>
        <v>1022.44</v>
      </c>
      <c r="AV23" s="802">
        <f>IF(ISNUMBER('Base de datos Rutas'!CM21),'Base de datos Rutas'!CM21,"")</f>
        <v>650.44000000000005</v>
      </c>
      <c r="AW23" s="802">
        <f>IF(ISNUMBER('Base de datos Rutas'!CN21),'Base de datos Rutas'!CN21,"")</f>
        <v>6.44</v>
      </c>
      <c r="AX23" s="802">
        <f>IF(ISNUMBER('Base de datos Rutas'!CO21),'Base de datos Rutas'!CO21,"")</f>
        <v>9.4499999999999993</v>
      </c>
      <c r="AY23" s="802">
        <f>IF(ISNUMBER('Base de datos Rutas'!CP21),'Base de datos Rutas'!CP21,"")</f>
        <v>3.0099999999999989</v>
      </c>
      <c r="AZ23" s="802">
        <f>IF(ISNUMBER('Base de datos Rutas'!CQ21),'Base de datos Rutas'!CQ21,"")</f>
        <v>1269.8399999999999</v>
      </c>
      <c r="BA23" s="802">
        <f>IF(ISNUMBER('Base de datos Rutas'!CR21),'Base de datos Rutas'!CR21,"")</f>
        <v>256.12</v>
      </c>
      <c r="BB23" s="803">
        <f>IF(ISNUMBER('Base de datos Rutas'!CS21),'Base de datos Rutas'!CS21,"")</f>
        <v>1013.7199999999999</v>
      </c>
      <c r="BC23" s="804">
        <f t="shared" si="32"/>
        <v>0</v>
      </c>
      <c r="BD23" s="805" t="str">
        <f t="shared" si="33"/>
        <v>No saturada</v>
      </c>
      <c r="BE23" s="806">
        <f t="shared" si="34"/>
        <v>0.20169470169470172</v>
      </c>
      <c r="BF23" s="890">
        <f>IF(ISNUMBER('Base de datos Rutas'!CX21),'Base de datos Rutas'!CX21/100,"")</f>
        <v>0.65095754570808795</v>
      </c>
      <c r="BG23" s="891">
        <f>IF(ISNUMBER('Base de datos Rutas'!CZ21),'Base de datos Rutas'!CZ21/100,"")</f>
        <v>0.70134800123954133</v>
      </c>
      <c r="BH23" s="892">
        <f>IF(ISNUMBER('Base de datos Rutas'!DA21),'Base de datos Rutas'!DA21,"")</f>
        <v>377.83535421479166</v>
      </c>
      <c r="BI23" s="893">
        <f>IF(ISNUMBER('Base de datos Rutas'!DC21),'Base de datos Rutas'!DC21,"")</f>
        <v>10.684062473263886</v>
      </c>
      <c r="BJ23" s="805" t="str">
        <f t="shared" si="35"/>
        <v>Ruta (completo)</v>
      </c>
      <c r="BK23" s="783">
        <f t="shared" si="22"/>
        <v>3</v>
      </c>
      <c r="BL23" s="797">
        <f t="shared" si="23"/>
        <v>3</v>
      </c>
      <c r="BM23" s="797">
        <f t="shared" si="24"/>
        <v>3</v>
      </c>
      <c r="BN23" s="797">
        <f t="shared" si="25"/>
        <v>3</v>
      </c>
      <c r="BO23" s="798" cm="1">
        <f t="array" ref="BO23">SUMPRODUCT(--ISNUMBER($BF23:$BI23),$BK$3:$BN$3)</f>
        <v>1</v>
      </c>
      <c r="BP23" s="831">
        <f t="shared" si="26"/>
        <v>50</v>
      </c>
      <c r="BQ23" s="834" t="str">
        <f t="shared" si="36"/>
        <v>Alto</v>
      </c>
      <c r="BR23" s="836">
        <f t="shared" si="27"/>
        <v>31.439053822560489</v>
      </c>
      <c r="BS23" s="836">
        <f t="shared" si="28"/>
        <v>50</v>
      </c>
      <c r="BT23" s="837" t="str">
        <f t="shared" si="29"/>
        <v>P1</v>
      </c>
      <c r="BU23" s="807" t="str">
        <f t="shared" si="37"/>
        <v>Con espacio</v>
      </c>
      <c r="BV23" s="807" t="str">
        <f t="shared" si="30"/>
        <v>Zona atractiva</v>
      </c>
      <c r="BW23" s="808" t="str">
        <f t="shared" si="31"/>
        <v>P1 - Ampliar cobertura</v>
      </c>
    </row>
    <row r="24" spans="1:75">
      <c r="A24" s="780" t="str">
        <f>'Base de datos Rutas'!A22</f>
        <v>Noreste</v>
      </c>
      <c r="B24" s="781" t="str">
        <f>'Base de datos Rutas'!B22</f>
        <v>Monterrey</v>
      </c>
      <c r="C24" s="781" t="str">
        <f>'Base de datos Rutas'!C22</f>
        <v>Planta Guadalupe</v>
      </c>
      <c r="D24" s="782">
        <f>IF(ISNUMBER('Base de datos Rutas'!D22),'Base de datos Rutas'!D22,"Sin código")</f>
        <v>701308</v>
      </c>
      <c r="E24" s="783" t="str">
        <f>'Base de datos Rutas'!F22</f>
        <v>Activa</v>
      </c>
      <c r="F24" s="784" t="str">
        <f>'Base de datos Rutas'!H22</f>
        <v>Sí</v>
      </c>
      <c r="G24" s="785">
        <f>IF(ISNUMBER('Base de datos Rutas'!BE22),'Base de datos Rutas'!BE22,"")</f>
        <v>37.887133182844302</v>
      </c>
      <c r="H24" s="786">
        <f>IF(ISNUMBER('Base de datos Rutas'!BH22),'Base de datos Rutas'!BH22,"")</f>
        <v>0.71979265967588202</v>
      </c>
      <c r="I24" s="788">
        <f>IFERROR(IF(OR(NOT(ISNUMBER('Base de datos Rutas'!O22)),N('Base de datos Rutas'!BK22)=0),"",'Base de datos Rutas'!O22/('Base de datos Rutas'!L22/'Base de datos Rutas'!BK22)),"")</f>
        <v>7540.7313769751963</v>
      </c>
      <c r="J24" s="788">
        <f>IFERROR(IF(OR(NOT(ISNUMBER('Base de datos Rutas'!N22)),N('Base de datos Rutas'!BK22)=0),"",'Base de datos Rutas'!N22/('Base de datos Rutas'!L22/'Base de datos Rutas'!BK22)),"")</f>
        <v>4588.7404063205586</v>
      </c>
      <c r="K24" s="788">
        <f>IFERROR(IF(OR(NOT(ISNUMBER('Base de datos Rutas'!J22)),N('Base de datos Rutas'!BK22)=0),"",'Base de datos Rutas'!J22/('Base de datos Rutas'!L22/'Base de datos Rutas'!BK22)),"")</f>
        <v>298.18746004514782</v>
      </c>
      <c r="L24" s="788">
        <f>IFERROR(IF(OR(NOT(ISNUMBER('Base de datos Rutas'!K22)),N('Base de datos Rutas'!BK22)=0),"",'Base de datos Rutas'!K22/('Base de datos Rutas'!L22/'Base de datos Rutas'!BK22)),"")</f>
        <v>54.109633758465208</v>
      </c>
      <c r="M24" s="787">
        <f>IF(ISNUMBER('Base de datos Rutas'!AX22),'Base de datos Rutas'!AX22,"")</f>
        <v>444.77270259084497</v>
      </c>
      <c r="N24" s="790">
        <f>IFERROR(INDEX('Hoja de apoyo v2'!B$17:B$20,MATCH($A24,'Hoja de apoyo v2'!$A$17:$A$20,0)),"")</f>
        <v>63.050408855205418</v>
      </c>
      <c r="O24" s="791">
        <f>IFERROR(INDEX('Hoja de apoyo v2'!C$17:C$20,MATCH($A24,'Hoja de apoyo v2'!$A$17:$A$20,0)),"")</f>
        <v>0.7559478312655763</v>
      </c>
      <c r="P24" s="793">
        <f>IFERROR(INDEX('Hoja de apoyo v2'!D$17:D$20,MATCH($A24,'Hoja de apoyo v2'!$A$17:$A$20,0)),"")</f>
        <v>9054.9839880720647</v>
      </c>
      <c r="Q24" s="793">
        <f>IFERROR(INDEX('Hoja de apoyo v2'!E$17:E$20,MATCH($A24,'Hoja de apoyo v2'!$A$17:$A$20,0)),"")</f>
        <v>4535.7799207004691</v>
      </c>
      <c r="R24" s="793">
        <f>IFERROR(INDEX('Hoja de apoyo v2'!F$17:F$20,MATCH($A24,'Hoja de apoyo v2'!$A$17:$A$20,0)),"")</f>
        <v>260.44838236060593</v>
      </c>
      <c r="S24" s="793">
        <f>IFERROR(INDEX('Hoja de apoyo v2'!G$17:G$20,MATCH($A24,'Hoja de apoyo v2'!$A$17:$A$20,0)),"")</f>
        <v>64.772152317133859</v>
      </c>
      <c r="T24" s="792">
        <f>IFERROR(INDEX('Hoja de apoyo v2'!H$17:H$20,MATCH($A24,'Hoja de apoyo v2'!$A$17:$A$20,0)),"")</f>
        <v>389.240053528842</v>
      </c>
      <c r="U24" s="794">
        <f t="shared" si="2"/>
        <v>0.60090226012414438</v>
      </c>
      <c r="V24" s="795">
        <f t="shared" si="3"/>
        <v>0.95217239855141222</v>
      </c>
      <c r="W24" s="795">
        <f t="shared" si="4"/>
        <v>0.83277136512979366</v>
      </c>
      <c r="X24" s="843">
        <f t="shared" si="5"/>
        <v>1.0116761585760339</v>
      </c>
      <c r="Y24" s="843">
        <f t="shared" si="6"/>
        <v>1.14490041113901</v>
      </c>
      <c r="Z24" s="843">
        <f t="shared" si="7"/>
        <v>0.83538421717926847</v>
      </c>
      <c r="AA24" s="843">
        <f t="shared" si="8"/>
        <v>1.1426694107108073</v>
      </c>
      <c r="AB24" s="796">
        <f t="shared" si="9"/>
        <v>2</v>
      </c>
      <c r="AC24" s="797">
        <f t="shared" si="10"/>
        <v>3</v>
      </c>
      <c r="AD24" s="797">
        <f t="shared" si="11"/>
        <v>3</v>
      </c>
      <c r="AE24" s="842">
        <f t="shared" si="12"/>
        <v>4</v>
      </c>
      <c r="AF24" s="842">
        <f t="shared" si="13"/>
        <v>4</v>
      </c>
      <c r="AG24" s="842">
        <f t="shared" si="14"/>
        <v>3</v>
      </c>
      <c r="AH24" s="842">
        <f t="shared" si="15"/>
        <v>4</v>
      </c>
      <c r="AI24" s="826" cm="1">
        <f t="array" ref="AI24">SUMPRODUCT(--ISNUMBER($U24:$AA24),$AB$3:$AH$3)</f>
        <v>1</v>
      </c>
      <c r="AJ24" s="829">
        <f t="shared" si="16"/>
        <v>54.046583820448312</v>
      </c>
      <c r="AK24" s="827" t="str">
        <f t="shared" si="17"/>
        <v>En desarrollo</v>
      </c>
      <c r="AL24" s="784" t="str">
        <f t="shared" si="18"/>
        <v>Alta</v>
      </c>
      <c r="AM24" s="799">
        <f>IF(ISNUMBER('Base de datos Rutas'!W22),'Base de datos Rutas'!W22,"")</f>
        <v>3561.414830517057</v>
      </c>
      <c r="AN24" s="787">
        <f>IFERROR(SUMIFS('Base de datos Rutas'!$W$6:$W$794,'Base de datos Rutas'!$C$6:$C$794,$C24)/'Base de datos Rutas'!I22,"")</f>
        <v>3561.4148305170575</v>
      </c>
      <c r="AO24" s="800">
        <f>IFERROR('Base de datos Rutas'!X22*AN24/AM24,"")</f>
        <v>0.41732881271291661</v>
      </c>
      <c r="AP24" s="800">
        <f t="shared" si="19"/>
        <v>0.58267118728708334</v>
      </c>
      <c r="AQ24" s="789">
        <f>IFERROR(INDEX('Hoja de apoyo v2'!$J$17:$J$20,MATCH($A24,'Hoja de apoyo v2'!$A$17:$A$20,0)),"")</f>
        <v>0.56799995069377007</v>
      </c>
      <c r="AR24" s="789">
        <f t="shared" si="20"/>
        <v>1.4671236593313264E-2</v>
      </c>
      <c r="AS24" s="784" t="str">
        <f t="shared" si="21"/>
        <v>No</v>
      </c>
      <c r="AT24" s="801">
        <f>IF(ISNUMBER('Base de datos Rutas'!CK22),'Base de datos Rutas'!CK22,"")</f>
        <v>222</v>
      </c>
      <c r="AU24" s="802">
        <f>IF(ISNUMBER('Base de datos Rutas'!CL22),'Base de datos Rutas'!CL22,"")</f>
        <v>636.73</v>
      </c>
      <c r="AV24" s="802">
        <f>IF(ISNUMBER('Base de datos Rutas'!CM22),'Base de datos Rutas'!CM22,"")</f>
        <v>414.73</v>
      </c>
      <c r="AW24" s="802">
        <f>IF(ISNUMBER('Base de datos Rutas'!CN22),'Base de datos Rutas'!CN22,"")</f>
        <v>4.3899999999999997</v>
      </c>
      <c r="AX24" s="802">
        <f>IF(ISNUMBER('Base de datos Rutas'!CO22),'Base de datos Rutas'!CO22,"")</f>
        <v>9.4499999999999993</v>
      </c>
      <c r="AY24" s="802">
        <f>IF(ISNUMBER('Base de datos Rutas'!CP22),'Base de datos Rutas'!CP22,"")</f>
        <v>5.0599999999999996</v>
      </c>
      <c r="AZ24" s="802">
        <f>IF(ISNUMBER('Base de datos Rutas'!CQ22),'Base de datos Rutas'!CQ22,"")</f>
        <v>1269.8399999999999</v>
      </c>
      <c r="BA24" s="802">
        <f>IF(ISNUMBER('Base de datos Rutas'!CR22),'Base de datos Rutas'!CR22,"")</f>
        <v>352.3</v>
      </c>
      <c r="BB24" s="803">
        <f>IF(ISNUMBER('Base de datos Rutas'!CS22),'Base de datos Rutas'!CS22,"")</f>
        <v>917.54</v>
      </c>
      <c r="BC24" s="804">
        <f t="shared" si="32"/>
        <v>0</v>
      </c>
      <c r="BD24" s="805" t="str">
        <f t="shared" si="33"/>
        <v>No saturada</v>
      </c>
      <c r="BE24" s="806">
        <f t="shared" si="34"/>
        <v>0.27743652743652747</v>
      </c>
      <c r="BF24" s="890">
        <f>IF(ISNUMBER('Base de datos Rutas'!CX22),'Base de datos Rutas'!CX22/100,"")</f>
        <v>0.52466379000359586</v>
      </c>
      <c r="BG24" s="891">
        <f>IF(ISNUMBER('Base de datos Rutas'!CZ22),'Base de datos Rutas'!CZ22/100,"")</f>
        <v>0.57437372647728635</v>
      </c>
      <c r="BH24" s="892">
        <f>IF(ISNUMBER('Base de datos Rutas'!DA22),'Base de datos Rutas'!DA22,"")</f>
        <v>376.41488262369364</v>
      </c>
      <c r="BI24" s="893">
        <f>IF(ISNUMBER('Base de datos Rutas'!DC22),'Base de datos Rutas'!DC22,"")</f>
        <v>10.340775520597234</v>
      </c>
      <c r="BJ24" s="805" t="str">
        <f t="shared" si="35"/>
        <v>Ruta (completo)</v>
      </c>
      <c r="BK24" s="783">
        <f t="shared" si="22"/>
        <v>3</v>
      </c>
      <c r="BL24" s="797">
        <f t="shared" si="23"/>
        <v>2</v>
      </c>
      <c r="BM24" s="797">
        <f t="shared" si="24"/>
        <v>3</v>
      </c>
      <c r="BN24" s="797">
        <f t="shared" si="25"/>
        <v>3</v>
      </c>
      <c r="BO24" s="798" cm="1">
        <f t="array" ref="BO24">SUMPRODUCT(--ISNUMBER($BF24:$BI24),$BK$3:$BN$3)</f>
        <v>1</v>
      </c>
      <c r="BP24" s="831">
        <f t="shared" si="26"/>
        <v>43.75</v>
      </c>
      <c r="BQ24" s="834" t="str">
        <f t="shared" si="36"/>
        <v>Medio</v>
      </c>
      <c r="BR24" s="836">
        <f t="shared" si="27"/>
        <v>40.534937865336232</v>
      </c>
      <c r="BS24" s="836">
        <f t="shared" si="28"/>
        <v>43.75</v>
      </c>
      <c r="BT24" s="837" t="str">
        <f t="shared" si="29"/>
        <v>P2</v>
      </c>
      <c r="BU24" s="807" t="str">
        <f t="shared" si="37"/>
        <v>Con espacio</v>
      </c>
      <c r="BV24" s="807" t="str">
        <f t="shared" si="30"/>
        <v>Zona de bajo potencial</v>
      </c>
      <c r="BW24" s="808" t="str">
        <f t="shared" si="31"/>
        <v>P2 - Mantener</v>
      </c>
    </row>
    <row r="25" spans="1:75">
      <c r="A25" s="780" t="str">
        <f>'Base de datos Rutas'!A23</f>
        <v>Noreste</v>
      </c>
      <c r="B25" s="781" t="str">
        <f>'Base de datos Rutas'!B23</f>
        <v>Monterrey</v>
      </c>
      <c r="C25" s="781" t="str">
        <f>'Base de datos Rutas'!C23</f>
        <v>Planta Guadalupe</v>
      </c>
      <c r="D25" s="782">
        <f>IF(ISNUMBER('Base de datos Rutas'!D23),'Base de datos Rutas'!D23,"Sin código")</f>
        <v>701309</v>
      </c>
      <c r="E25" s="783" t="str">
        <f>'Base de datos Rutas'!F23</f>
        <v>Activa</v>
      </c>
      <c r="F25" s="784" t="str">
        <f>'Base de datos Rutas'!H23</f>
        <v>Sí</v>
      </c>
      <c r="G25" s="785">
        <f>IF(ISNUMBER('Base de datos Rutas'!BE23),'Base de datos Rutas'!BE23,"")</f>
        <v>43.406818181818203</v>
      </c>
      <c r="H25" s="786">
        <f>IF(ISNUMBER('Base de datos Rutas'!BH23),'Base de datos Rutas'!BH23,"")</f>
        <v>0.65500811560814698</v>
      </c>
      <c r="I25" s="788">
        <f>IFERROR(IF(OR(NOT(ISNUMBER('Base de datos Rutas'!O23)),N('Base de datos Rutas'!BK23)=0),"",'Base de datos Rutas'!O23/('Base de datos Rutas'!L23/'Base de datos Rutas'!BK23)),"")</f>
        <v>10039.361363636359</v>
      </c>
      <c r="J25" s="788">
        <f>IFERROR(IF(OR(NOT(ISNUMBER('Base de datos Rutas'!N23)),N('Base de datos Rutas'!BK23)=0),"",'Base de datos Rutas'!N23/('Base de datos Rutas'!L23/'Base de datos Rutas'!BK23)),"")</f>
        <v>4563.8318181818167</v>
      </c>
      <c r="K25" s="788">
        <f>IFERROR(IF(OR(NOT(ISNUMBER('Base de datos Rutas'!J23)),N('Base de datos Rutas'!BK23)=0),"",'Base de datos Rutas'!J23/('Base de datos Rutas'!L23/'Base de datos Rutas'!BK23)),"")</f>
        <v>297.6187836363635</v>
      </c>
      <c r="L25" s="788">
        <f>IFERROR(IF(OR(NOT(ISNUMBER('Base de datos Rutas'!K23)),N('Base de datos Rutas'!BK23)=0),"",'Base de datos Rutas'!K23/('Base de datos Rutas'!L23/'Base de datos Rutas'!BK23)),"")</f>
        <v>68.533283170454524</v>
      </c>
      <c r="M25" s="787">
        <f>IF(ISNUMBER('Base de datos Rutas'!AX23),'Base de datos Rutas'!AX23,"")</f>
        <v>514.05124780175902</v>
      </c>
      <c r="N25" s="790">
        <f>IFERROR(INDEX('Hoja de apoyo v2'!B$17:B$20,MATCH($A25,'Hoja de apoyo v2'!$A$17:$A$20,0)),"")</f>
        <v>63.050408855205418</v>
      </c>
      <c r="O25" s="791">
        <f>IFERROR(INDEX('Hoja de apoyo v2'!C$17:C$20,MATCH($A25,'Hoja de apoyo v2'!$A$17:$A$20,0)),"")</f>
        <v>0.7559478312655763</v>
      </c>
      <c r="P25" s="793">
        <f>IFERROR(INDEX('Hoja de apoyo v2'!D$17:D$20,MATCH($A25,'Hoja de apoyo v2'!$A$17:$A$20,0)),"")</f>
        <v>9054.9839880720647</v>
      </c>
      <c r="Q25" s="793">
        <f>IFERROR(INDEX('Hoja de apoyo v2'!E$17:E$20,MATCH($A25,'Hoja de apoyo v2'!$A$17:$A$20,0)),"")</f>
        <v>4535.7799207004691</v>
      </c>
      <c r="R25" s="793">
        <f>IFERROR(INDEX('Hoja de apoyo v2'!F$17:F$20,MATCH($A25,'Hoja de apoyo v2'!$A$17:$A$20,0)),"")</f>
        <v>260.44838236060593</v>
      </c>
      <c r="S25" s="793">
        <f>IFERROR(INDEX('Hoja de apoyo v2'!G$17:G$20,MATCH($A25,'Hoja de apoyo v2'!$A$17:$A$20,0)),"")</f>
        <v>64.772152317133859</v>
      </c>
      <c r="T25" s="792">
        <f>IFERROR(INDEX('Hoja de apoyo v2'!H$17:H$20,MATCH($A25,'Hoja de apoyo v2'!$A$17:$A$20,0)),"")</f>
        <v>389.240053528842</v>
      </c>
      <c r="U25" s="794">
        <f t="shared" si="2"/>
        <v>0.6884462602217456</v>
      </c>
      <c r="V25" s="795">
        <f t="shared" si="3"/>
        <v>0.86647264337217522</v>
      </c>
      <c r="W25" s="795">
        <f t="shared" si="4"/>
        <v>1.1087111116773916</v>
      </c>
      <c r="X25" s="843">
        <f t="shared" si="5"/>
        <v>1.0061845808156</v>
      </c>
      <c r="Y25" s="843">
        <f t="shared" si="6"/>
        <v>1.1427169596480464</v>
      </c>
      <c r="Z25" s="843">
        <f t="shared" si="7"/>
        <v>1.0580670970281429</v>
      </c>
      <c r="AA25" s="843">
        <f t="shared" si="8"/>
        <v>1.32065352252776</v>
      </c>
      <c r="AB25" s="796">
        <f t="shared" si="9"/>
        <v>2</v>
      </c>
      <c r="AC25" s="797">
        <f t="shared" si="10"/>
        <v>3</v>
      </c>
      <c r="AD25" s="797">
        <f t="shared" si="11"/>
        <v>4</v>
      </c>
      <c r="AE25" s="842">
        <f t="shared" si="12"/>
        <v>4</v>
      </c>
      <c r="AF25" s="842">
        <f t="shared" si="13"/>
        <v>4</v>
      </c>
      <c r="AG25" s="842">
        <f t="shared" si="14"/>
        <v>4</v>
      </c>
      <c r="AH25" s="842">
        <f t="shared" si="15"/>
        <v>5</v>
      </c>
      <c r="AI25" s="826" cm="1">
        <f t="array" ref="AI25">SUMPRODUCT(--ISNUMBER($U25:$AA25),$AB$3:$AH$3)</f>
        <v>1</v>
      </c>
      <c r="AJ25" s="829">
        <f t="shared" si="16"/>
        <v>65.794549898162586</v>
      </c>
      <c r="AK25" s="827" t="str">
        <f t="shared" si="17"/>
        <v>Madura</v>
      </c>
      <c r="AL25" s="784" t="str">
        <f t="shared" si="18"/>
        <v>Alta</v>
      </c>
      <c r="AM25" s="799">
        <f>IF(ISNUMBER('Base de datos Rutas'!W23),'Base de datos Rutas'!W23,"")</f>
        <v>3561.414830517057</v>
      </c>
      <c r="AN25" s="787">
        <f>IFERROR(SUMIFS('Base de datos Rutas'!$W$6:$W$794,'Base de datos Rutas'!$C$6:$C$794,$C25)/'Base de datos Rutas'!I23,"")</f>
        <v>3561.4148305170575</v>
      </c>
      <c r="AO25" s="800">
        <f>IFERROR('Base de datos Rutas'!X23*AN25/AM25,"")</f>
        <v>0.41732881271291661</v>
      </c>
      <c r="AP25" s="800">
        <f t="shared" si="19"/>
        <v>0.58267118728708334</v>
      </c>
      <c r="AQ25" s="789">
        <f>IFERROR(INDEX('Hoja de apoyo v2'!$J$17:$J$20,MATCH($A25,'Hoja de apoyo v2'!$A$17:$A$20,0)),"")</f>
        <v>0.56799995069377007</v>
      </c>
      <c r="AR25" s="789">
        <f t="shared" si="20"/>
        <v>1.4671236593313264E-2</v>
      </c>
      <c r="AS25" s="784" t="str">
        <f t="shared" si="21"/>
        <v>No</v>
      </c>
      <c r="AT25" s="801">
        <f>IF(ISNUMBER('Base de datos Rutas'!CK23),'Base de datos Rutas'!CK23,"")</f>
        <v>413</v>
      </c>
      <c r="AU25" s="802">
        <f>IF(ISNUMBER('Base de datos Rutas'!CL23),'Base de datos Rutas'!CL23,"")</f>
        <v>482.13</v>
      </c>
      <c r="AV25" s="802">
        <f>IF(ISNUMBER('Base de datos Rutas'!CM23),'Base de datos Rutas'!CM23,"")</f>
        <v>69.13</v>
      </c>
      <c r="AW25" s="802">
        <f>IF(ISNUMBER('Base de datos Rutas'!CN23),'Base de datos Rutas'!CN23,"")</f>
        <v>11.46</v>
      </c>
      <c r="AX25" s="802">
        <f>IF(ISNUMBER('Base de datos Rutas'!CO23),'Base de datos Rutas'!CO23,"")</f>
        <v>9.4499999999999993</v>
      </c>
      <c r="AY25" s="802">
        <f>IF(ISNUMBER('Base de datos Rutas'!CP23),'Base de datos Rutas'!CP23,"")</f>
        <v>-2.0100000000000016</v>
      </c>
      <c r="AZ25" s="802">
        <f>IF(ISNUMBER('Base de datos Rutas'!CQ23),'Base de datos Rutas'!CQ23,"")</f>
        <v>1269.8399999999999</v>
      </c>
      <c r="BA25" s="802">
        <f>IF(ISNUMBER('Base de datos Rutas'!CR23),'Base de datos Rutas'!CR23,"")</f>
        <v>366.15</v>
      </c>
      <c r="BB25" s="803">
        <f>IF(ISNUMBER('Base de datos Rutas'!CS23),'Base de datos Rutas'!CS23,"")</f>
        <v>903.68999999999994</v>
      </c>
      <c r="BC25" s="804">
        <f t="shared" si="32"/>
        <v>1</v>
      </c>
      <c r="BD25" s="805" t="str">
        <f t="shared" si="33"/>
        <v>Saturada</v>
      </c>
      <c r="BE25" s="806">
        <f t="shared" si="34"/>
        <v>0.28834341334341335</v>
      </c>
      <c r="BF25" s="890">
        <f>IF(ISNUMBER('Base de datos Rutas'!CX23),'Base de datos Rutas'!CX23/100,"")</f>
        <v>0.97762783171521017</v>
      </c>
      <c r="BG25" s="891">
        <f>IF(ISNUMBER('Base de datos Rutas'!CZ23),'Base de datos Rutas'!CZ23/100,"")</f>
        <v>1</v>
      </c>
      <c r="BH25" s="892">
        <f>IF(ISNUMBER('Base de datos Rutas'!DA23),'Base de datos Rutas'!DA23,"")</f>
        <v>162.22655921092198</v>
      </c>
      <c r="BI25" s="893">
        <f>IF(ISNUMBER('Base de datos Rutas'!DC23),'Base de datos Rutas'!DC23,"")</f>
        <v>4.3812188798814864</v>
      </c>
      <c r="BJ25" s="805" t="str">
        <f t="shared" si="35"/>
        <v>Ruta (completo)</v>
      </c>
      <c r="BK25" s="783">
        <f t="shared" si="22"/>
        <v>5</v>
      </c>
      <c r="BL25" s="797">
        <f t="shared" si="23"/>
        <v>4</v>
      </c>
      <c r="BM25" s="797">
        <f t="shared" si="24"/>
        <v>2</v>
      </c>
      <c r="BN25" s="797">
        <f t="shared" si="25"/>
        <v>2</v>
      </c>
      <c r="BO25" s="798" cm="1">
        <f t="array" ref="BO25">SUMPRODUCT(--ISNUMBER($BF25:$BI25),$BK$3:$BN$3)</f>
        <v>1</v>
      </c>
      <c r="BP25" s="831">
        <f t="shared" si="26"/>
        <v>56.25</v>
      </c>
      <c r="BQ25" s="834" t="str">
        <f t="shared" si="36"/>
        <v>Alto</v>
      </c>
      <c r="BR25" s="836">
        <f t="shared" si="27"/>
        <v>74.34591242362194</v>
      </c>
      <c r="BS25" s="836">
        <f t="shared" si="28"/>
        <v>56.25</v>
      </c>
      <c r="BT25" s="837" t="str">
        <f t="shared" si="29"/>
        <v>P1</v>
      </c>
      <c r="BU25" s="807" t="str">
        <f t="shared" si="37"/>
        <v>Al tope</v>
      </c>
      <c r="BV25" s="807" t="str">
        <f t="shared" si="30"/>
        <v>Zona atractiva</v>
      </c>
      <c r="BW25" s="808" t="str">
        <f t="shared" si="31"/>
        <v>P1 - Ampliar cobertura</v>
      </c>
    </row>
    <row r="26" spans="1:75">
      <c r="A26" s="780" t="str">
        <f>'Base de datos Rutas'!A24</f>
        <v>Noreste</v>
      </c>
      <c r="B26" s="781" t="str">
        <f>'Base de datos Rutas'!B24</f>
        <v>Monterrey</v>
      </c>
      <c r="C26" s="781" t="str">
        <f>'Base de datos Rutas'!C24</f>
        <v>Planta Guadalupe</v>
      </c>
      <c r="D26" s="782">
        <f>IF(ISNUMBER('Base de datos Rutas'!D24),'Base de datos Rutas'!D24,"Sin código")</f>
        <v>701310</v>
      </c>
      <c r="E26" s="783" t="str">
        <f>'Base de datos Rutas'!F24</f>
        <v>Activa</v>
      </c>
      <c r="F26" s="784" t="str">
        <f>'Base de datos Rutas'!H24</f>
        <v>Sí</v>
      </c>
      <c r="G26" s="785">
        <f>IF(ISNUMBER('Base de datos Rutas'!BE24),'Base de datos Rutas'!BE24,"")</f>
        <v>34.929951690821298</v>
      </c>
      <c r="H26" s="786">
        <f>IF(ISNUMBER('Base de datos Rutas'!BH24),'Base de datos Rutas'!BH24,"")</f>
        <v>0.86757485651061494</v>
      </c>
      <c r="I26" s="788">
        <f>IFERROR(IF(OR(NOT(ISNUMBER('Base de datos Rutas'!O24)),N('Base de datos Rutas'!BK24)=0),"",'Base de datos Rutas'!O24/('Base de datos Rutas'!L24/'Base de datos Rutas'!BK24)),"")</f>
        <v>6850.3958810068552</v>
      </c>
      <c r="J26" s="788">
        <f>IFERROR(IF(OR(NOT(ISNUMBER('Base de datos Rutas'!N24)),N('Base de datos Rutas'!BK24)=0),"",'Base de datos Rutas'!N24/('Base de datos Rutas'!L24/'Base de datos Rutas'!BK24)),"")</f>
        <v>2009.8237986269994</v>
      </c>
      <c r="K26" s="788">
        <f>IFERROR(IF(OR(NOT(ISNUMBER('Base de datos Rutas'!J24)),N('Base de datos Rutas'!BK24)=0),"",'Base de datos Rutas'!J24/('Base de datos Rutas'!L24/'Base de datos Rutas'!BK24)),"")</f>
        <v>133.47236064073184</v>
      </c>
      <c r="L26" s="788">
        <f>IFERROR(IF(OR(NOT(ISNUMBER('Base de datos Rutas'!K24)),N('Base de datos Rutas'!BK24)=0),"",'Base de datos Rutas'!K24/('Base de datos Rutas'!L24/'Base de datos Rutas'!BK24)),"")</f>
        <v>49.725351006864919</v>
      </c>
      <c r="M26" s="787">
        <f>IF(ISNUMBER('Base de datos Rutas'!AX24),'Base de datos Rutas'!AX24,"")</f>
        <v>300.21134543761599</v>
      </c>
      <c r="N26" s="790">
        <f>IFERROR(INDEX('Hoja de apoyo v2'!B$17:B$20,MATCH($A26,'Hoja de apoyo v2'!$A$17:$A$20,0)),"")</f>
        <v>63.050408855205418</v>
      </c>
      <c r="O26" s="791">
        <f>IFERROR(INDEX('Hoja de apoyo v2'!C$17:C$20,MATCH($A26,'Hoja de apoyo v2'!$A$17:$A$20,0)),"")</f>
        <v>0.7559478312655763</v>
      </c>
      <c r="P26" s="793">
        <f>IFERROR(INDEX('Hoja de apoyo v2'!D$17:D$20,MATCH($A26,'Hoja de apoyo v2'!$A$17:$A$20,0)),"")</f>
        <v>9054.9839880720647</v>
      </c>
      <c r="Q26" s="793">
        <f>IFERROR(INDEX('Hoja de apoyo v2'!E$17:E$20,MATCH($A26,'Hoja de apoyo v2'!$A$17:$A$20,0)),"")</f>
        <v>4535.7799207004691</v>
      </c>
      <c r="R26" s="793">
        <f>IFERROR(INDEX('Hoja de apoyo v2'!F$17:F$20,MATCH($A26,'Hoja de apoyo v2'!$A$17:$A$20,0)),"")</f>
        <v>260.44838236060593</v>
      </c>
      <c r="S26" s="793">
        <f>IFERROR(INDEX('Hoja de apoyo v2'!G$17:G$20,MATCH($A26,'Hoja de apoyo v2'!$A$17:$A$20,0)),"")</f>
        <v>64.772152317133859</v>
      </c>
      <c r="T26" s="792">
        <f>IFERROR(INDEX('Hoja de apoyo v2'!H$17:H$20,MATCH($A26,'Hoja de apoyo v2'!$A$17:$A$20,0)),"")</f>
        <v>389.240053528842</v>
      </c>
      <c r="U26" s="794">
        <f t="shared" si="2"/>
        <v>0.55400039944288948</v>
      </c>
      <c r="V26" s="795">
        <f t="shared" si="3"/>
        <v>1.1476649851063894</v>
      </c>
      <c r="W26" s="795">
        <f t="shared" si="4"/>
        <v>0.75653318548445081</v>
      </c>
      <c r="X26" s="843">
        <f t="shared" si="5"/>
        <v>0.44310434671985111</v>
      </c>
      <c r="Y26" s="843">
        <f t="shared" si="6"/>
        <v>0.51247145185156728</v>
      </c>
      <c r="Z26" s="843">
        <f t="shared" si="7"/>
        <v>0.76769644404284088</v>
      </c>
      <c r="AA26" s="843">
        <f t="shared" si="8"/>
        <v>0.77127557330214702</v>
      </c>
      <c r="AB26" s="796">
        <f t="shared" si="9"/>
        <v>2</v>
      </c>
      <c r="AC26" s="797">
        <f t="shared" si="10"/>
        <v>4</v>
      </c>
      <c r="AD26" s="797">
        <f t="shared" si="11"/>
        <v>3</v>
      </c>
      <c r="AE26" s="842">
        <f t="shared" si="12"/>
        <v>1</v>
      </c>
      <c r="AF26" s="842">
        <f t="shared" si="13"/>
        <v>2</v>
      </c>
      <c r="AG26" s="842">
        <f t="shared" si="14"/>
        <v>3</v>
      </c>
      <c r="AH26" s="842">
        <f t="shared" si="15"/>
        <v>3</v>
      </c>
      <c r="AI26" s="826" cm="1">
        <f t="array" ref="AI26">SUMPRODUCT(--ISNUMBER($U26:$AA26),$AB$3:$AH$3)</f>
        <v>1</v>
      </c>
      <c r="AJ26" s="829">
        <f t="shared" si="16"/>
        <v>38.104329603276568</v>
      </c>
      <c r="AK26" s="827" t="str">
        <f t="shared" si="17"/>
        <v>Inmadura</v>
      </c>
      <c r="AL26" s="784" t="str">
        <f t="shared" si="18"/>
        <v>Alta</v>
      </c>
      <c r="AM26" s="799">
        <f>IF(ISNUMBER('Base de datos Rutas'!W24),'Base de datos Rutas'!W24,"")</f>
        <v>3561.414830517057</v>
      </c>
      <c r="AN26" s="787">
        <f>IFERROR(SUMIFS('Base de datos Rutas'!$W$6:$W$794,'Base de datos Rutas'!$C$6:$C$794,$C26)/'Base de datos Rutas'!I24,"")</f>
        <v>3561.4148305170575</v>
      </c>
      <c r="AO26" s="800">
        <f>IFERROR('Base de datos Rutas'!X24*AN26/AM26,"")</f>
        <v>0.41732881271291661</v>
      </c>
      <c r="AP26" s="800">
        <f t="shared" si="19"/>
        <v>0.58267118728708334</v>
      </c>
      <c r="AQ26" s="789">
        <f>IFERROR(INDEX('Hoja de apoyo v2'!$J$17:$J$20,MATCH($A26,'Hoja de apoyo v2'!$A$17:$A$20,0)),"")</f>
        <v>0.56799995069377007</v>
      </c>
      <c r="AR26" s="789">
        <f t="shared" si="20"/>
        <v>1.4671236593313264E-2</v>
      </c>
      <c r="AS26" s="784" t="str">
        <f t="shared" si="21"/>
        <v>No</v>
      </c>
      <c r="AT26" s="801">
        <f>IF(ISNUMBER('Base de datos Rutas'!CK24),'Base de datos Rutas'!CK24,"")</f>
        <v>313</v>
      </c>
      <c r="AU26" s="802">
        <f>IF(ISNUMBER('Base de datos Rutas'!CL24),'Base de datos Rutas'!CL24,"")</f>
        <v>574.85</v>
      </c>
      <c r="AV26" s="802">
        <f>IF(ISNUMBER('Base de datos Rutas'!CM24),'Base de datos Rutas'!CM24,"")</f>
        <v>261.85000000000002</v>
      </c>
      <c r="AW26" s="802">
        <f>IF(ISNUMBER('Base de datos Rutas'!CN24),'Base de datos Rutas'!CN24,"")</f>
        <v>5.81</v>
      </c>
      <c r="AX26" s="802">
        <f>IF(ISNUMBER('Base de datos Rutas'!CO24),'Base de datos Rutas'!CO24,"")</f>
        <v>9.4499999999999993</v>
      </c>
      <c r="AY26" s="802">
        <f>IF(ISNUMBER('Base de datos Rutas'!CP24),'Base de datos Rutas'!CP24,"")</f>
        <v>3.6399999999999997</v>
      </c>
      <c r="AZ26" s="802">
        <f>IF(ISNUMBER('Base de datos Rutas'!CQ24),'Base de datos Rutas'!CQ24,"")</f>
        <v>634.91999999999996</v>
      </c>
      <c r="BA26" s="802">
        <f>IF(ISNUMBER('Base de datos Rutas'!CR24),'Base de datos Rutas'!CR24,"")</f>
        <v>183.2</v>
      </c>
      <c r="BB26" s="803">
        <f>IF(ISNUMBER('Base de datos Rutas'!CS24),'Base de datos Rutas'!CS24,"")</f>
        <v>451.71999999999997</v>
      </c>
      <c r="BC26" s="804">
        <f t="shared" si="32"/>
        <v>0</v>
      </c>
      <c r="BD26" s="805" t="str">
        <f t="shared" si="33"/>
        <v>No saturada</v>
      </c>
      <c r="BE26" s="806">
        <f t="shared" si="34"/>
        <v>0.28854028854028851</v>
      </c>
      <c r="BF26" s="890">
        <f>IF(ISNUMBER('Base de datos Rutas'!CX24),'Base de datos Rutas'!CX24/100,"")</f>
        <v>0.10495687814874904</v>
      </c>
      <c r="BG26" s="891">
        <f>IF(ISNUMBER('Base de datos Rutas'!CZ24),'Base de datos Rutas'!CZ24/100,"")</f>
        <v>0.12731619844590555</v>
      </c>
      <c r="BH26" s="892">
        <f>IF(ISNUMBER('Base de datos Rutas'!DA24),'Base de datos Rutas'!DA24,"")</f>
        <v>176.05171533928845</v>
      </c>
      <c r="BI26" s="893">
        <f>IF(ISNUMBER('Base de datos Rutas'!DC24),'Base de datos Rutas'!DC24,"")</f>
        <v>3.9501513841733589</v>
      </c>
      <c r="BJ26" s="805" t="str">
        <f t="shared" si="35"/>
        <v>Ruta (completo)</v>
      </c>
      <c r="BK26" s="783">
        <f t="shared" si="22"/>
        <v>1</v>
      </c>
      <c r="BL26" s="797">
        <f t="shared" si="23"/>
        <v>1</v>
      </c>
      <c r="BM26" s="797">
        <f t="shared" si="24"/>
        <v>2</v>
      </c>
      <c r="BN26" s="797">
        <f t="shared" si="25"/>
        <v>2</v>
      </c>
      <c r="BO26" s="798" cm="1">
        <f t="array" ref="BO26">SUMPRODUCT(--ISNUMBER($BF26:$BI26),$BK$3:$BN$3)</f>
        <v>1</v>
      </c>
      <c r="BP26" s="831">
        <f t="shared" si="26"/>
        <v>12.5</v>
      </c>
      <c r="BQ26" s="834" t="str">
        <f t="shared" si="36"/>
        <v>Bajo</v>
      </c>
      <c r="BR26" s="836">
        <f t="shared" si="27"/>
        <v>28.578247202457426</v>
      </c>
      <c r="BS26" s="836">
        <f t="shared" si="28"/>
        <v>12.5</v>
      </c>
      <c r="BT26" s="837" t="str">
        <f t="shared" si="29"/>
        <v>P4</v>
      </c>
      <c r="BU26" s="807" t="str">
        <f t="shared" si="37"/>
        <v>Con espacio</v>
      </c>
      <c r="BV26" s="807" t="str">
        <f t="shared" si="30"/>
        <v>Zona de bajo potencial</v>
      </c>
      <c r="BW26" s="808" t="str">
        <f t="shared" si="31"/>
        <v>P4 - Evaluar</v>
      </c>
    </row>
    <row r="27" spans="1:75">
      <c r="A27" s="780" t="str">
        <f>'Base de datos Rutas'!A25</f>
        <v>Noreste</v>
      </c>
      <c r="B27" s="781" t="str">
        <f>'Base de datos Rutas'!B25</f>
        <v>Monterrey</v>
      </c>
      <c r="C27" s="781" t="str">
        <f>'Base de datos Rutas'!C25</f>
        <v>Planta Guadalupe</v>
      </c>
      <c r="D27" s="782">
        <f>IF(ISNUMBER('Base de datos Rutas'!D25),'Base de datos Rutas'!D25,"Sin código")</f>
        <v>701311</v>
      </c>
      <c r="E27" s="783" t="str">
        <f>'Base de datos Rutas'!F25</f>
        <v>Activa</v>
      </c>
      <c r="F27" s="784" t="str">
        <f>'Base de datos Rutas'!H25</f>
        <v>Sí</v>
      </c>
      <c r="G27" s="785">
        <f>IF(ISNUMBER('Base de datos Rutas'!BE25),'Base de datos Rutas'!BE25,"")</f>
        <v>71.004535147392303</v>
      </c>
      <c r="H27" s="786">
        <f>IF(ISNUMBER('Base de datos Rutas'!BH25),'Base de datos Rutas'!BH25,"")</f>
        <v>0.76556062977038297</v>
      </c>
      <c r="I27" s="788">
        <f>IFERROR(IF(OR(NOT(ISNUMBER('Base de datos Rutas'!O25)),N('Base de datos Rutas'!BK25)=0),"",'Base de datos Rutas'!O25/('Base de datos Rutas'!L25/'Base de datos Rutas'!BK25)),"")</f>
        <v>13092.496598639465</v>
      </c>
      <c r="J27" s="788">
        <f>IFERROR(IF(OR(NOT(ISNUMBER('Base de datos Rutas'!N25)),N('Base de datos Rutas'!BK25)=0),"",'Base de datos Rutas'!N25/('Base de datos Rutas'!L25/'Base de datos Rutas'!BK25)),"")</f>
        <v>2668.2108843537435</v>
      </c>
      <c r="K27" s="788">
        <f>IFERROR(IF(OR(NOT(ISNUMBER('Base de datos Rutas'!J25)),N('Base de datos Rutas'!BK25)=0),"",'Base de datos Rutas'!J25/('Base de datos Rutas'!L25/'Base de datos Rutas'!BK25)),"")</f>
        <v>174.97781587301577</v>
      </c>
      <c r="L27" s="788">
        <f>IFERROR(IF(OR(NOT(ISNUMBER('Base de datos Rutas'!K25)),N('Base de datos Rutas'!BK25)=0),"",'Base de datos Rutas'!K25/('Base de datos Rutas'!L25/'Base de datos Rutas'!BK25)),"")</f>
        <v>100.62028561224498</v>
      </c>
      <c r="M27" s="787">
        <f>IF(ISNUMBER('Base de datos Rutas'!AX25),'Base de datos Rutas'!AX25,"")</f>
        <v>289.941277323544</v>
      </c>
      <c r="N27" s="790">
        <f>IFERROR(INDEX('Hoja de apoyo v2'!B$17:B$20,MATCH($A27,'Hoja de apoyo v2'!$A$17:$A$20,0)),"")</f>
        <v>63.050408855205418</v>
      </c>
      <c r="O27" s="791">
        <f>IFERROR(INDEX('Hoja de apoyo v2'!C$17:C$20,MATCH($A27,'Hoja de apoyo v2'!$A$17:$A$20,0)),"")</f>
        <v>0.7559478312655763</v>
      </c>
      <c r="P27" s="793">
        <f>IFERROR(INDEX('Hoja de apoyo v2'!D$17:D$20,MATCH($A27,'Hoja de apoyo v2'!$A$17:$A$20,0)),"")</f>
        <v>9054.9839880720647</v>
      </c>
      <c r="Q27" s="793">
        <f>IFERROR(INDEX('Hoja de apoyo v2'!E$17:E$20,MATCH($A27,'Hoja de apoyo v2'!$A$17:$A$20,0)),"")</f>
        <v>4535.7799207004691</v>
      </c>
      <c r="R27" s="793">
        <f>IFERROR(INDEX('Hoja de apoyo v2'!F$17:F$20,MATCH($A27,'Hoja de apoyo v2'!$A$17:$A$20,0)),"")</f>
        <v>260.44838236060593</v>
      </c>
      <c r="S27" s="793">
        <f>IFERROR(INDEX('Hoja de apoyo v2'!G$17:G$20,MATCH($A27,'Hoja de apoyo v2'!$A$17:$A$20,0)),"")</f>
        <v>64.772152317133859</v>
      </c>
      <c r="T27" s="792">
        <f>IFERROR(INDEX('Hoja de apoyo v2'!H$17:H$20,MATCH($A27,'Hoja de apoyo v2'!$A$17:$A$20,0)),"")</f>
        <v>389.240053528842</v>
      </c>
      <c r="U27" s="794">
        <f t="shared" si="2"/>
        <v>1.1261550311347457</v>
      </c>
      <c r="V27" s="795">
        <f t="shared" si="3"/>
        <v>1.012716219436351</v>
      </c>
      <c r="W27" s="795">
        <f t="shared" si="4"/>
        <v>1.4458884318167684</v>
      </c>
      <c r="X27" s="843">
        <f t="shared" si="5"/>
        <v>0.58825845411425659</v>
      </c>
      <c r="Y27" s="843">
        <f t="shared" si="6"/>
        <v>0.67183299157815002</v>
      </c>
      <c r="Z27" s="843">
        <f t="shared" si="7"/>
        <v>1.5534497776080292</v>
      </c>
      <c r="AA27" s="843">
        <f t="shared" si="8"/>
        <v>0.74489065216938133</v>
      </c>
      <c r="AB27" s="796">
        <f t="shared" si="9"/>
        <v>4</v>
      </c>
      <c r="AC27" s="797">
        <f t="shared" si="10"/>
        <v>4</v>
      </c>
      <c r="AD27" s="797">
        <f t="shared" si="11"/>
        <v>5</v>
      </c>
      <c r="AE27" s="842">
        <f t="shared" si="12"/>
        <v>2</v>
      </c>
      <c r="AF27" s="842">
        <f t="shared" si="13"/>
        <v>2</v>
      </c>
      <c r="AG27" s="842">
        <f t="shared" si="14"/>
        <v>5</v>
      </c>
      <c r="AH27" s="842">
        <f t="shared" si="15"/>
        <v>2</v>
      </c>
      <c r="AI27" s="826" cm="1">
        <f t="array" ref="AI27">SUMPRODUCT(--ISNUMBER($U27:$AA27),$AB$3:$AH$3)</f>
        <v>1</v>
      </c>
      <c r="AJ27" s="829">
        <f t="shared" si="16"/>
        <v>67.342798240217647</v>
      </c>
      <c r="AK27" s="827" t="str">
        <f t="shared" si="17"/>
        <v>Madura</v>
      </c>
      <c r="AL27" s="784" t="str">
        <f t="shared" si="18"/>
        <v>Alta</v>
      </c>
      <c r="AM27" s="799">
        <f>IF(ISNUMBER('Base de datos Rutas'!W25),'Base de datos Rutas'!W25,"")</f>
        <v>3561.414830517057</v>
      </c>
      <c r="AN27" s="787">
        <f>IFERROR(SUMIFS('Base de datos Rutas'!$W$6:$W$794,'Base de datos Rutas'!$C$6:$C$794,$C27)/'Base de datos Rutas'!I25,"")</f>
        <v>3561.4148305170575</v>
      </c>
      <c r="AO27" s="800">
        <f>IFERROR('Base de datos Rutas'!X25*AN27/AM27,"")</f>
        <v>0.41732881271291661</v>
      </c>
      <c r="AP27" s="800">
        <f t="shared" si="19"/>
        <v>0.58267118728708334</v>
      </c>
      <c r="AQ27" s="789">
        <f>IFERROR(INDEX('Hoja de apoyo v2'!$J$17:$J$20,MATCH($A27,'Hoja de apoyo v2'!$A$17:$A$20,0)),"")</f>
        <v>0.56799995069377007</v>
      </c>
      <c r="AR27" s="789">
        <f t="shared" si="20"/>
        <v>1.4671236593313264E-2</v>
      </c>
      <c r="AS27" s="784" t="str">
        <f t="shared" si="21"/>
        <v>No</v>
      </c>
      <c r="AT27" s="801">
        <f>IF(ISNUMBER('Base de datos Rutas'!CK25),'Base de datos Rutas'!CK25,"")</f>
        <v>359</v>
      </c>
      <c r="AU27" s="802">
        <f>IF(ISNUMBER('Base de datos Rutas'!CL25),'Base de datos Rutas'!CL25,"")</f>
        <v>638.44000000000005</v>
      </c>
      <c r="AV27" s="802">
        <f>IF(ISNUMBER('Base de datos Rutas'!CM25),'Base de datos Rutas'!CM25,"")</f>
        <v>279.44000000000005</v>
      </c>
      <c r="AW27" s="802">
        <f>IF(ISNUMBER('Base de datos Rutas'!CN25),'Base de datos Rutas'!CN25,"")</f>
        <v>5.62</v>
      </c>
      <c r="AX27" s="802">
        <f>IF(ISNUMBER('Base de datos Rutas'!CO25),'Base de datos Rutas'!CO25,"")</f>
        <v>9.4499999999999993</v>
      </c>
      <c r="AY27" s="802">
        <f>IF(ISNUMBER('Base de datos Rutas'!CP25),'Base de datos Rutas'!CP25,"")</f>
        <v>3.8299999999999992</v>
      </c>
      <c r="AZ27" s="802">
        <f>IF(ISNUMBER('Base de datos Rutas'!CQ25),'Base de datos Rutas'!CQ25,"")</f>
        <v>1269.8399999999999</v>
      </c>
      <c r="BA27" s="802">
        <f>IF(ISNUMBER('Base de datos Rutas'!CR25),'Base de datos Rutas'!CR25,"")</f>
        <v>275.60000000000002</v>
      </c>
      <c r="BB27" s="803">
        <f>IF(ISNUMBER('Base de datos Rutas'!CS25),'Base de datos Rutas'!CS25,"")</f>
        <v>994.2399999999999</v>
      </c>
      <c r="BC27" s="804">
        <f t="shared" si="32"/>
        <v>0</v>
      </c>
      <c r="BD27" s="805" t="str">
        <f t="shared" si="33"/>
        <v>No saturada</v>
      </c>
      <c r="BE27" s="806">
        <f t="shared" si="34"/>
        <v>0.21703521703521705</v>
      </c>
      <c r="BF27" s="890">
        <f>IF(ISNUMBER('Base de datos Rutas'!CX25),'Base de datos Rutas'!CX25/100,"")</f>
        <v>0.56976147567051838</v>
      </c>
      <c r="BG27" s="891">
        <f>IF(ISNUMBER('Base de datos Rutas'!CZ25),'Base de datos Rutas'!CZ25/100,"")</f>
        <v>0.599385137284003</v>
      </c>
      <c r="BH27" s="892">
        <f>IF(ISNUMBER('Base de datos Rutas'!DA25),'Base de datos Rutas'!DA25,"")</f>
        <v>275.02457878761669</v>
      </c>
      <c r="BI27" s="893">
        <f>IF(ISNUMBER('Base de datos Rutas'!DC25),'Base de datos Rutas'!DC25,"")</f>
        <v>6.1511484240829288</v>
      </c>
      <c r="BJ27" s="805" t="str">
        <f t="shared" si="35"/>
        <v>Ruta (completo)</v>
      </c>
      <c r="BK27" s="783">
        <f t="shared" si="22"/>
        <v>3</v>
      </c>
      <c r="BL27" s="797">
        <f t="shared" si="23"/>
        <v>3</v>
      </c>
      <c r="BM27" s="797">
        <f t="shared" si="24"/>
        <v>2</v>
      </c>
      <c r="BN27" s="797">
        <f t="shared" si="25"/>
        <v>2</v>
      </c>
      <c r="BO27" s="798" cm="1">
        <f t="array" ref="BO27">SUMPRODUCT(--ISNUMBER($BF27:$BI27),$BK$3:$BN$3)</f>
        <v>1</v>
      </c>
      <c r="BP27" s="831">
        <f t="shared" si="26"/>
        <v>37.5</v>
      </c>
      <c r="BQ27" s="834" t="str">
        <f t="shared" si="36"/>
        <v>Medio</v>
      </c>
      <c r="BR27" s="836">
        <f t="shared" si="27"/>
        <v>50.507098680163239</v>
      </c>
      <c r="BS27" s="836">
        <f t="shared" si="28"/>
        <v>37.5</v>
      </c>
      <c r="BT27" s="837" t="str">
        <f t="shared" si="29"/>
        <v>P2</v>
      </c>
      <c r="BU27" s="807" t="str">
        <f t="shared" si="37"/>
        <v>Con espacio</v>
      </c>
      <c r="BV27" s="807" t="str">
        <f t="shared" si="30"/>
        <v>Zona de bajo potencial</v>
      </c>
      <c r="BW27" s="808" t="str">
        <f t="shared" si="31"/>
        <v>P2 - Mantener</v>
      </c>
    </row>
    <row r="28" spans="1:75">
      <c r="A28" s="780" t="str">
        <f>'Base de datos Rutas'!A26</f>
        <v>Noreste</v>
      </c>
      <c r="B28" s="781" t="str">
        <f>'Base de datos Rutas'!B26</f>
        <v>Monterrey</v>
      </c>
      <c r="C28" s="781" t="str">
        <f>'Base de datos Rutas'!C26</f>
        <v>Planta Guadalupe</v>
      </c>
      <c r="D28" s="782">
        <f>IF(ISNUMBER('Base de datos Rutas'!D26),'Base de datos Rutas'!D26,"Sin código")</f>
        <v>701312</v>
      </c>
      <c r="E28" s="783" t="str">
        <f>'Base de datos Rutas'!F26</f>
        <v>Activa</v>
      </c>
      <c r="F28" s="784" t="str">
        <f>'Base de datos Rutas'!H26</f>
        <v>Sí</v>
      </c>
      <c r="G28" s="785">
        <f>IF(ISNUMBER('Base de datos Rutas'!BE26),'Base de datos Rutas'!BE26,"")</f>
        <v>55.694214876033101</v>
      </c>
      <c r="H28" s="786">
        <f>IF(ISNUMBER('Base de datos Rutas'!BH26),'Base de datos Rutas'!BH26,"")</f>
        <v>0.75448879655735301</v>
      </c>
      <c r="I28" s="788">
        <f>IFERROR(IF(OR(NOT(ISNUMBER('Base de datos Rutas'!O26)),N('Base de datos Rutas'!BK26)=0),"",'Base de datos Rutas'!O26/('Base de datos Rutas'!L26/'Base de datos Rutas'!BK26)),"")</f>
        <v>7234.1192893401103</v>
      </c>
      <c r="J28" s="788">
        <f>IFERROR(IF(OR(NOT(ISNUMBER('Base de datos Rutas'!N26)),N('Base de datos Rutas'!BK26)=0),"",'Base de datos Rutas'!N26/('Base de datos Rutas'!L26/'Base de datos Rutas'!BK26)),"")</f>
        <v>2177.9796954314747</v>
      </c>
      <c r="K28" s="788">
        <f>IFERROR(IF(OR(NOT(ISNUMBER('Base de datos Rutas'!J26)),N('Base de datos Rutas'!BK26)=0),"",'Base de datos Rutas'!J26/('Base de datos Rutas'!L26/'Base de datos Rutas'!BK26)),"")</f>
        <v>148.03020101522833</v>
      </c>
      <c r="L28" s="788">
        <f>IFERROR(IF(OR(NOT(ISNUMBER('Base de datos Rutas'!K26)),N('Base de datos Rutas'!BK26)=0),"",'Base de datos Rutas'!K26/('Base de datos Rutas'!L26/'Base de datos Rutas'!BK26)),"")</f>
        <v>60.467679725888395</v>
      </c>
      <c r="M28" s="787">
        <f>IF(ISNUMBER('Base de datos Rutas'!AX26),'Base de datos Rutas'!AX26,"")</f>
        <v>227.926510512726</v>
      </c>
      <c r="N28" s="790">
        <f>IFERROR(INDEX('Hoja de apoyo v2'!B$17:B$20,MATCH($A28,'Hoja de apoyo v2'!$A$17:$A$20,0)),"")</f>
        <v>63.050408855205418</v>
      </c>
      <c r="O28" s="791">
        <f>IFERROR(INDEX('Hoja de apoyo v2'!C$17:C$20,MATCH($A28,'Hoja de apoyo v2'!$A$17:$A$20,0)),"")</f>
        <v>0.7559478312655763</v>
      </c>
      <c r="P28" s="793">
        <f>IFERROR(INDEX('Hoja de apoyo v2'!D$17:D$20,MATCH($A28,'Hoja de apoyo v2'!$A$17:$A$20,0)),"")</f>
        <v>9054.9839880720647</v>
      </c>
      <c r="Q28" s="793">
        <f>IFERROR(INDEX('Hoja de apoyo v2'!E$17:E$20,MATCH($A28,'Hoja de apoyo v2'!$A$17:$A$20,0)),"")</f>
        <v>4535.7799207004691</v>
      </c>
      <c r="R28" s="793">
        <f>IFERROR(INDEX('Hoja de apoyo v2'!F$17:F$20,MATCH($A28,'Hoja de apoyo v2'!$A$17:$A$20,0)),"")</f>
        <v>260.44838236060593</v>
      </c>
      <c r="S28" s="793">
        <f>IFERROR(INDEX('Hoja de apoyo v2'!G$17:G$20,MATCH($A28,'Hoja de apoyo v2'!$A$17:$A$20,0)),"")</f>
        <v>64.772152317133859</v>
      </c>
      <c r="T28" s="792">
        <f>IFERROR(INDEX('Hoja de apoyo v2'!H$17:H$20,MATCH($A28,'Hoja de apoyo v2'!$A$17:$A$20,0)),"")</f>
        <v>389.240053528842</v>
      </c>
      <c r="U28" s="794">
        <f t="shared" si="2"/>
        <v>0.88332836990691466</v>
      </c>
      <c r="V28" s="795">
        <f t="shared" si="3"/>
        <v>0.99806992672261441</v>
      </c>
      <c r="W28" s="795">
        <f t="shared" si="4"/>
        <v>0.79891022434379344</v>
      </c>
      <c r="X28" s="843">
        <f t="shared" si="5"/>
        <v>0.48017755127218015</v>
      </c>
      <c r="Y28" s="843">
        <f t="shared" si="6"/>
        <v>0.56836675149808347</v>
      </c>
      <c r="Z28" s="843">
        <f t="shared" si="7"/>
        <v>0.93354439466253736</v>
      </c>
      <c r="AA28" s="843">
        <f t="shared" si="8"/>
        <v>0.58556797648738645</v>
      </c>
      <c r="AB28" s="796">
        <f t="shared" si="9"/>
        <v>3</v>
      </c>
      <c r="AC28" s="797">
        <f t="shared" si="10"/>
        <v>3</v>
      </c>
      <c r="AD28" s="797">
        <f t="shared" si="11"/>
        <v>3</v>
      </c>
      <c r="AE28" s="842">
        <f t="shared" si="12"/>
        <v>1</v>
      </c>
      <c r="AF28" s="842">
        <f t="shared" si="13"/>
        <v>2</v>
      </c>
      <c r="AG28" s="842">
        <f t="shared" si="14"/>
        <v>3</v>
      </c>
      <c r="AH28" s="842">
        <f t="shared" si="15"/>
        <v>2</v>
      </c>
      <c r="AI28" s="826" cm="1">
        <f t="array" ref="AI28">SUMPRODUCT(--ISNUMBER($U28:$AA28),$AB$3:$AH$3)</f>
        <v>1</v>
      </c>
      <c r="AJ28" s="829">
        <f t="shared" si="16"/>
        <v>38.010332355196276</v>
      </c>
      <c r="AK28" s="827" t="str">
        <f t="shared" si="17"/>
        <v>Inmadura</v>
      </c>
      <c r="AL28" s="784" t="str">
        <f t="shared" si="18"/>
        <v>Alta</v>
      </c>
      <c r="AM28" s="799">
        <f>IF(ISNUMBER('Base de datos Rutas'!W26),'Base de datos Rutas'!W26,"")</f>
        <v>3561.414830517057</v>
      </c>
      <c r="AN28" s="787">
        <f>IFERROR(SUMIFS('Base de datos Rutas'!$W$6:$W$794,'Base de datos Rutas'!$C$6:$C$794,$C28)/'Base de datos Rutas'!I26,"")</f>
        <v>3561.4148305170575</v>
      </c>
      <c r="AO28" s="800">
        <f>IFERROR('Base de datos Rutas'!X26*AN28/AM28,"")</f>
        <v>0.41732881271291661</v>
      </c>
      <c r="AP28" s="800">
        <f t="shared" si="19"/>
        <v>0.58267118728708334</v>
      </c>
      <c r="AQ28" s="789">
        <f>IFERROR(INDEX('Hoja de apoyo v2'!$J$17:$J$20,MATCH($A28,'Hoja de apoyo v2'!$A$17:$A$20,0)),"")</f>
        <v>0.56799995069377007</v>
      </c>
      <c r="AR28" s="789">
        <f t="shared" si="20"/>
        <v>1.4671236593313264E-2</v>
      </c>
      <c r="AS28" s="784" t="str">
        <f t="shared" si="21"/>
        <v>No</v>
      </c>
      <c r="AT28" s="801" t="str">
        <f>IF(ISNUMBER('Base de datos Rutas'!CK26),'Base de datos Rutas'!CK26,"")</f>
        <v/>
      </c>
      <c r="AU28" s="802" t="str">
        <f>IF(ISNUMBER('Base de datos Rutas'!CL26),'Base de datos Rutas'!CL26,"")</f>
        <v/>
      </c>
      <c r="AV28" s="802">
        <f>IF(ISNUMBER('Base de datos Rutas'!CM26),'Base de datos Rutas'!CM26,"")</f>
        <v>0</v>
      </c>
      <c r="AW28" s="802" t="str">
        <f>IF(ISNUMBER('Base de datos Rutas'!CN26),'Base de datos Rutas'!CN26,"")</f>
        <v/>
      </c>
      <c r="AX28" s="802" t="str">
        <f>IF(ISNUMBER('Base de datos Rutas'!CO26),'Base de datos Rutas'!CO26,"")</f>
        <v/>
      </c>
      <c r="AY28" s="802">
        <f>IF(ISNUMBER('Base de datos Rutas'!CP26),'Base de datos Rutas'!CP26,"")</f>
        <v>0</v>
      </c>
      <c r="AZ28" s="802" t="str">
        <f>IF(ISNUMBER('Base de datos Rutas'!CQ26),'Base de datos Rutas'!CQ26,"")</f>
        <v/>
      </c>
      <c r="BA28" s="802" t="str">
        <f>IF(ISNUMBER('Base de datos Rutas'!CR26),'Base de datos Rutas'!CR26,"")</f>
        <v/>
      </c>
      <c r="BB28" s="803">
        <f>IF(ISNUMBER('Base de datos Rutas'!CS26),'Base de datos Rutas'!CS26,"")</f>
        <v>0</v>
      </c>
      <c r="BC28" s="804" t="str">
        <f t="shared" si="32"/>
        <v/>
      </c>
      <c r="BD28" s="805" t="str">
        <f t="shared" si="33"/>
        <v>N/D</v>
      </c>
      <c r="BE28" s="806" t="str">
        <f t="shared" si="34"/>
        <v/>
      </c>
      <c r="BF28" s="890" t="str">
        <f>IF(ISNUMBER('Base de datos Rutas'!CX26),'Base de datos Rutas'!CX26/100,"")</f>
        <v/>
      </c>
      <c r="BG28" s="891" t="str">
        <f>IF(ISNUMBER('Base de datos Rutas'!CZ26),'Base de datos Rutas'!CZ26/100,"")</f>
        <v/>
      </c>
      <c r="BH28" s="892" t="str">
        <f>IF(ISNUMBER('Base de datos Rutas'!DA26),'Base de datos Rutas'!DA26,"")</f>
        <v/>
      </c>
      <c r="BI28" s="893" t="str">
        <f>IF(ISNUMBER('Base de datos Rutas'!DC26),'Base de datos Rutas'!DC26,"")</f>
        <v/>
      </c>
      <c r="BJ28" s="805" t="str">
        <f t="shared" si="35"/>
        <v>Sin dato</v>
      </c>
      <c r="BK28" s="783">
        <f t="shared" si="22"/>
        <v>0</v>
      </c>
      <c r="BL28" s="797">
        <f t="shared" si="23"/>
        <v>0</v>
      </c>
      <c r="BM28" s="797">
        <f t="shared" si="24"/>
        <v>0</v>
      </c>
      <c r="BN28" s="797">
        <f t="shared" si="25"/>
        <v>0</v>
      </c>
      <c r="BO28" s="798" cm="1">
        <f t="array" ref="BO28">SUMPRODUCT(--ISNUMBER($BF28:$BI28),$BK$3:$BN$3)</f>
        <v>0</v>
      </c>
      <c r="BP28" s="831" t="str">
        <f t="shared" si="26"/>
        <v/>
      </c>
      <c r="BQ28" s="834" t="str">
        <f t="shared" si="36"/>
        <v>Sin datos</v>
      </c>
      <c r="BR28" s="836" t="str">
        <f t="shared" si="27"/>
        <v/>
      </c>
      <c r="BS28" s="836" t="str">
        <f t="shared" si="28"/>
        <v/>
      </c>
      <c r="BT28" s="837" t="str">
        <f t="shared" si="29"/>
        <v>Sin datos</v>
      </c>
      <c r="BU28" s="807" t="str">
        <f t="shared" si="37"/>
        <v>Con espacio</v>
      </c>
      <c r="BV28" s="807" t="str">
        <f t="shared" si="30"/>
        <v>Sin datos de zona</v>
      </c>
      <c r="BW28" s="808" t="str">
        <f t="shared" si="31"/>
        <v>Sin datos</v>
      </c>
    </row>
    <row r="29" spans="1:75">
      <c r="A29" s="780" t="str">
        <f>'Base de datos Rutas'!A27</f>
        <v>Noreste</v>
      </c>
      <c r="B29" s="781" t="str">
        <f>'Base de datos Rutas'!B27</f>
        <v>Monterrey</v>
      </c>
      <c r="C29" s="781" t="str">
        <f>'Base de datos Rutas'!C27</f>
        <v>Planta Guadalupe</v>
      </c>
      <c r="D29" s="782">
        <f>IF(ISNUMBER('Base de datos Rutas'!D27),'Base de datos Rutas'!D27,"Sin código")</f>
        <v>701313</v>
      </c>
      <c r="E29" s="783" t="str">
        <f>'Base de datos Rutas'!F27</f>
        <v>Activa</v>
      </c>
      <c r="F29" s="784" t="str">
        <f>'Base de datos Rutas'!H27</f>
        <v>Sí</v>
      </c>
      <c r="G29" s="785">
        <f>IF(ISNUMBER('Base de datos Rutas'!BE27),'Base de datos Rutas'!BE27,"")</f>
        <v>30.527196652719699</v>
      </c>
      <c r="H29" s="786">
        <f>IF(ISNUMBER('Base de datos Rutas'!BH27),'Base de datos Rutas'!BH27,"")</f>
        <v>0.81154057017543901</v>
      </c>
      <c r="I29" s="788">
        <f>IFERROR(IF(OR(NOT(ISNUMBER('Base de datos Rutas'!O27)),N('Base de datos Rutas'!BK27)=0),"",'Base de datos Rutas'!O27/('Base de datos Rutas'!L27/'Base de datos Rutas'!BK27)),"")</f>
        <v>4944.0913580246806</v>
      </c>
      <c r="J29" s="788">
        <f>IFERROR(IF(OR(NOT(ISNUMBER('Base de datos Rutas'!N27)),N('Base de datos Rutas'!BK27)=0),"",'Base de datos Rutas'!N27/('Base de datos Rutas'!L27/'Base de datos Rutas'!BK27)),"")</f>
        <v>2645.3876543209817</v>
      </c>
      <c r="K29" s="788">
        <f>IFERROR(IF(OR(NOT(ISNUMBER('Base de datos Rutas'!J27)),N('Base de datos Rutas'!BK27)=0),"",'Base de datos Rutas'!J27/('Base de datos Rutas'!L27/'Base de datos Rutas'!BK27)),"")</f>
        <v>172.06706567901199</v>
      </c>
      <c r="L29" s="788">
        <f>IFERROR(IF(OR(NOT(ISNUMBER('Base de datos Rutas'!K27)),N('Base de datos Rutas'!BK27)=0),"",'Base de datos Rutas'!K27/('Base de datos Rutas'!L27/'Base de datos Rutas'!BK27)),"")</f>
        <v>33.725269419753012</v>
      </c>
      <c r="M29" s="787">
        <f>IF(ISNUMBER('Base de datos Rutas'!AX27),'Base de datos Rutas'!AX27,"")</f>
        <v>387.25890569843699</v>
      </c>
      <c r="N29" s="790">
        <f>IFERROR(INDEX('Hoja de apoyo v2'!B$17:B$20,MATCH($A29,'Hoja de apoyo v2'!$A$17:$A$20,0)),"")</f>
        <v>63.050408855205418</v>
      </c>
      <c r="O29" s="791">
        <f>IFERROR(INDEX('Hoja de apoyo v2'!C$17:C$20,MATCH($A29,'Hoja de apoyo v2'!$A$17:$A$20,0)),"")</f>
        <v>0.7559478312655763</v>
      </c>
      <c r="P29" s="793">
        <f>IFERROR(INDEX('Hoja de apoyo v2'!D$17:D$20,MATCH($A29,'Hoja de apoyo v2'!$A$17:$A$20,0)),"")</f>
        <v>9054.9839880720647</v>
      </c>
      <c r="Q29" s="793">
        <f>IFERROR(INDEX('Hoja de apoyo v2'!E$17:E$20,MATCH($A29,'Hoja de apoyo v2'!$A$17:$A$20,0)),"")</f>
        <v>4535.7799207004691</v>
      </c>
      <c r="R29" s="793">
        <f>IFERROR(INDEX('Hoja de apoyo v2'!F$17:F$20,MATCH($A29,'Hoja de apoyo v2'!$A$17:$A$20,0)),"")</f>
        <v>260.44838236060593</v>
      </c>
      <c r="S29" s="793">
        <f>IFERROR(INDEX('Hoja de apoyo v2'!G$17:G$20,MATCH($A29,'Hoja de apoyo v2'!$A$17:$A$20,0)),"")</f>
        <v>64.772152317133859</v>
      </c>
      <c r="T29" s="792">
        <f>IFERROR(INDEX('Hoja de apoyo v2'!H$17:H$20,MATCH($A29,'Hoja de apoyo v2'!$A$17:$A$20,0)),"")</f>
        <v>389.240053528842</v>
      </c>
      <c r="U29" s="794">
        <f t="shared" si="2"/>
        <v>0.48417127195519183</v>
      </c>
      <c r="V29" s="795">
        <f t="shared" si="3"/>
        <v>1.0735404436795482</v>
      </c>
      <c r="W29" s="795">
        <f t="shared" si="4"/>
        <v>0.54600774165226862</v>
      </c>
      <c r="X29" s="843">
        <f t="shared" si="5"/>
        <v>0.58322663369267913</v>
      </c>
      <c r="Y29" s="843">
        <f t="shared" si="6"/>
        <v>0.66065707192903633</v>
      </c>
      <c r="Z29" s="843">
        <f t="shared" si="7"/>
        <v>0.52067544790899023</v>
      </c>
      <c r="AA29" s="843">
        <f t="shared" si="8"/>
        <v>0.99491021591317763</v>
      </c>
      <c r="AB29" s="796">
        <f t="shared" si="9"/>
        <v>1</v>
      </c>
      <c r="AC29" s="797">
        <f t="shared" si="10"/>
        <v>4</v>
      </c>
      <c r="AD29" s="797">
        <f t="shared" si="11"/>
        <v>2</v>
      </c>
      <c r="AE29" s="842">
        <f t="shared" si="12"/>
        <v>2</v>
      </c>
      <c r="AF29" s="842">
        <f t="shared" si="13"/>
        <v>2</v>
      </c>
      <c r="AG29" s="842">
        <f t="shared" si="14"/>
        <v>2</v>
      </c>
      <c r="AH29" s="842">
        <f t="shared" si="15"/>
        <v>3</v>
      </c>
      <c r="AI29" s="826" cm="1">
        <f t="array" ref="AI29">SUMPRODUCT(--ISNUMBER($U29:$AA29),$AB$3:$AH$3)</f>
        <v>1</v>
      </c>
      <c r="AJ29" s="829">
        <f t="shared" si="16"/>
        <v>27.476902833970772</v>
      </c>
      <c r="AK29" s="827" t="str">
        <f t="shared" si="17"/>
        <v>Inmadura</v>
      </c>
      <c r="AL29" s="784" t="str">
        <f t="shared" si="18"/>
        <v>Alta</v>
      </c>
      <c r="AM29" s="799">
        <f>IF(ISNUMBER('Base de datos Rutas'!W27),'Base de datos Rutas'!W27,"")</f>
        <v>3561.414830517057</v>
      </c>
      <c r="AN29" s="787">
        <f>IFERROR(SUMIFS('Base de datos Rutas'!$W$6:$W$794,'Base de datos Rutas'!$C$6:$C$794,$C29)/'Base de datos Rutas'!I27,"")</f>
        <v>3561.4148305170575</v>
      </c>
      <c r="AO29" s="800">
        <f>IFERROR('Base de datos Rutas'!X27*AN29/AM29,"")</f>
        <v>0.41732881271291661</v>
      </c>
      <c r="AP29" s="800">
        <f t="shared" si="19"/>
        <v>0.58267118728708334</v>
      </c>
      <c r="AQ29" s="789">
        <f>IFERROR(INDEX('Hoja de apoyo v2'!$J$17:$J$20,MATCH($A29,'Hoja de apoyo v2'!$A$17:$A$20,0)),"")</f>
        <v>0.56799995069377007</v>
      </c>
      <c r="AR29" s="789">
        <f t="shared" si="20"/>
        <v>1.4671236593313264E-2</v>
      </c>
      <c r="AS29" s="784" t="str">
        <f t="shared" si="21"/>
        <v>No</v>
      </c>
      <c r="AT29" s="801">
        <f>IF(ISNUMBER('Base de datos Rutas'!CK27),'Base de datos Rutas'!CK27,"")</f>
        <v>65</v>
      </c>
      <c r="AU29" s="802">
        <f>IF(ISNUMBER('Base de datos Rutas'!CL27),'Base de datos Rutas'!CL27,"")</f>
        <v>182.27</v>
      </c>
      <c r="AV29" s="802">
        <f>IF(ISNUMBER('Base de datos Rutas'!CM27),'Base de datos Rutas'!CM27,"")</f>
        <v>117.27000000000001</v>
      </c>
      <c r="AW29" s="802">
        <f>IF(ISNUMBER('Base de datos Rutas'!CN27),'Base de datos Rutas'!CN27,"")</f>
        <v>3.36</v>
      </c>
      <c r="AX29" s="802">
        <f>IF(ISNUMBER('Base de datos Rutas'!CO27),'Base de datos Rutas'!CO27,"")</f>
        <v>9.4499999999999993</v>
      </c>
      <c r="AY29" s="802">
        <f>IF(ISNUMBER('Base de datos Rutas'!CP27),'Base de datos Rutas'!CP27,"")</f>
        <v>6.09</v>
      </c>
      <c r="AZ29" s="802">
        <f>IF(ISNUMBER('Base de datos Rutas'!CQ27),'Base de datos Rutas'!CQ27,"")</f>
        <v>634.91999999999996</v>
      </c>
      <c r="BA29" s="802">
        <f>IF(ISNUMBER('Base de datos Rutas'!CR27),'Base de datos Rutas'!CR27,"")</f>
        <v>205.79</v>
      </c>
      <c r="BB29" s="803">
        <f>IF(ISNUMBER('Base de datos Rutas'!CS27),'Base de datos Rutas'!CS27,"")</f>
        <v>429.13</v>
      </c>
      <c r="BC29" s="804">
        <f t="shared" si="32"/>
        <v>0</v>
      </c>
      <c r="BD29" s="805" t="str">
        <f t="shared" si="33"/>
        <v>No saturada</v>
      </c>
      <c r="BE29" s="806">
        <f t="shared" si="34"/>
        <v>0.32411957411957415</v>
      </c>
      <c r="BF29" s="890">
        <f>IF(ISNUMBER('Base de datos Rutas'!CX27),'Base de datos Rutas'!CX27/100,"")</f>
        <v>0.44117033603708</v>
      </c>
      <c r="BG29" s="891">
        <f>IF(ISNUMBER('Base de datos Rutas'!CZ27),'Base de datos Rutas'!CZ27/100,"")</f>
        <v>0.57705677867902661</v>
      </c>
      <c r="BH29" s="892">
        <f>IF(ISNUMBER('Base de datos Rutas'!DA27),'Base de datos Rutas'!DA27,"")</f>
        <v>748.09391290154758</v>
      </c>
      <c r="BI29" s="893">
        <f>IF(ISNUMBER('Base de datos Rutas'!DC27),'Base de datos Rutas'!DC27,"")</f>
        <v>20.7628918563253</v>
      </c>
      <c r="BJ29" s="805" t="str">
        <f t="shared" si="35"/>
        <v>Ruta (completo)</v>
      </c>
      <c r="BK29" s="783">
        <f t="shared" si="22"/>
        <v>2</v>
      </c>
      <c r="BL29" s="797">
        <f t="shared" si="23"/>
        <v>3</v>
      </c>
      <c r="BM29" s="797">
        <f t="shared" si="24"/>
        <v>5</v>
      </c>
      <c r="BN29" s="797">
        <f t="shared" si="25"/>
        <v>5</v>
      </c>
      <c r="BO29" s="798" cm="1">
        <f t="array" ref="BO29">SUMPRODUCT(--ISNUMBER($BF29:$BI29),$BK$3:$BN$3)</f>
        <v>1</v>
      </c>
      <c r="BP29" s="831">
        <f t="shared" si="26"/>
        <v>68.75</v>
      </c>
      <c r="BQ29" s="834" t="str">
        <f t="shared" si="36"/>
        <v>Alto</v>
      </c>
      <c r="BR29" s="836">
        <f t="shared" si="27"/>
        <v>20.60767712547808</v>
      </c>
      <c r="BS29" s="836">
        <f t="shared" si="28"/>
        <v>68.75</v>
      </c>
      <c r="BT29" s="837" t="str">
        <f t="shared" si="29"/>
        <v>P3</v>
      </c>
      <c r="BU29" s="807" t="str">
        <f t="shared" si="37"/>
        <v>Con espacio</v>
      </c>
      <c r="BV29" s="807" t="str">
        <f t="shared" si="30"/>
        <v>Zona atractiva</v>
      </c>
      <c r="BW29" s="808" t="str">
        <f t="shared" si="31"/>
        <v>P3 - Desarrollar</v>
      </c>
    </row>
    <row r="30" spans="1:75">
      <c r="A30" s="780" t="str">
        <f>'Base de datos Rutas'!A28</f>
        <v>Noreste</v>
      </c>
      <c r="B30" s="781" t="str">
        <f>'Base de datos Rutas'!B28</f>
        <v>Monterrey</v>
      </c>
      <c r="C30" s="781" t="str">
        <f>'Base de datos Rutas'!C28</f>
        <v>Planta Guadalupe</v>
      </c>
      <c r="D30" s="782">
        <f>IF(ISNUMBER('Base de datos Rutas'!D28),'Base de datos Rutas'!D28,"Sin código")</f>
        <v>701314</v>
      </c>
      <c r="E30" s="783" t="str">
        <f>'Base de datos Rutas'!F28</f>
        <v>Activa</v>
      </c>
      <c r="F30" s="784" t="str">
        <f>'Base de datos Rutas'!H28</f>
        <v>Sí</v>
      </c>
      <c r="G30" s="785">
        <f>IF(ISNUMBER('Base de datos Rutas'!BE28),'Base de datos Rutas'!BE28,"")</f>
        <v>85.111617312072894</v>
      </c>
      <c r="H30" s="786">
        <f>IF(ISNUMBER('Base de datos Rutas'!BH28),'Base de datos Rutas'!BH28,"")</f>
        <v>0.20361845626806599</v>
      </c>
      <c r="I30" s="788">
        <f>IFERROR(IF(OR(NOT(ISNUMBER('Base de datos Rutas'!O28)),N('Base de datos Rutas'!BK28)=0),"",'Base de datos Rutas'!O28/('Base de datos Rutas'!L28/'Base de datos Rutas'!BK28)),"")</f>
        <v>8180.7676537585494</v>
      </c>
      <c r="J30" s="788">
        <f>IFERROR(IF(OR(NOT(ISNUMBER('Base de datos Rutas'!N28)),N('Base de datos Rutas'!BK28)=0),"",'Base de datos Rutas'!N28/('Base de datos Rutas'!L28/'Base de datos Rutas'!BK28)),"")</f>
        <v>2678.2072892938522</v>
      </c>
      <c r="K30" s="788">
        <f>IFERROR(IF(OR(NOT(ISNUMBER('Base de datos Rutas'!J28)),N('Base de datos Rutas'!BK28)=0),"",'Base de datos Rutas'!J28/('Base de datos Rutas'!L28/'Base de datos Rutas'!BK28)),"")</f>
        <v>186.87976856492043</v>
      </c>
      <c r="L30" s="788">
        <f>IFERROR(IF(OR(NOT(ISNUMBER('Base de datos Rutas'!K28)),N('Base de datos Rutas'!BK28)=0),"",'Base de datos Rutas'!K28/('Base de datos Rutas'!L28/'Base de datos Rutas'!BK28)),"")</f>
        <v>72.663563321184569</v>
      </c>
      <c r="M30" s="787">
        <f>IF(ISNUMBER('Base de datos Rutas'!AX28),'Base de datos Rutas'!AX28,"")</f>
        <v>628.70360935857002</v>
      </c>
      <c r="N30" s="790">
        <f>IFERROR(INDEX('Hoja de apoyo v2'!B$17:B$20,MATCH($A30,'Hoja de apoyo v2'!$A$17:$A$20,0)),"")</f>
        <v>63.050408855205418</v>
      </c>
      <c r="O30" s="791">
        <f>IFERROR(INDEX('Hoja de apoyo v2'!C$17:C$20,MATCH($A30,'Hoja de apoyo v2'!$A$17:$A$20,0)),"")</f>
        <v>0.7559478312655763</v>
      </c>
      <c r="P30" s="793">
        <f>IFERROR(INDEX('Hoja de apoyo v2'!D$17:D$20,MATCH($A30,'Hoja de apoyo v2'!$A$17:$A$20,0)),"")</f>
        <v>9054.9839880720647</v>
      </c>
      <c r="Q30" s="793">
        <f>IFERROR(INDEX('Hoja de apoyo v2'!E$17:E$20,MATCH($A30,'Hoja de apoyo v2'!$A$17:$A$20,0)),"")</f>
        <v>4535.7799207004691</v>
      </c>
      <c r="R30" s="793">
        <f>IFERROR(INDEX('Hoja de apoyo v2'!F$17:F$20,MATCH($A30,'Hoja de apoyo v2'!$A$17:$A$20,0)),"")</f>
        <v>260.44838236060593</v>
      </c>
      <c r="S30" s="793">
        <f>IFERROR(INDEX('Hoja de apoyo v2'!G$17:G$20,MATCH($A30,'Hoja de apoyo v2'!$A$17:$A$20,0)),"")</f>
        <v>64.772152317133859</v>
      </c>
      <c r="T30" s="792">
        <f>IFERROR(INDEX('Hoja de apoyo v2'!H$17:H$20,MATCH($A30,'Hoja de apoyo v2'!$A$17:$A$20,0)),"")</f>
        <v>389.240053528842</v>
      </c>
      <c r="U30" s="794">
        <f t="shared" si="2"/>
        <v>1.349897944476947</v>
      </c>
      <c r="V30" s="795">
        <f t="shared" si="3"/>
        <v>0.2693551695586936</v>
      </c>
      <c r="W30" s="795">
        <f t="shared" si="4"/>
        <v>0.90345467916176314</v>
      </c>
      <c r="X30" s="843">
        <f t="shared" si="5"/>
        <v>0.59046235402008918</v>
      </c>
      <c r="Y30" s="843">
        <f t="shared" si="6"/>
        <v>0.71753092444311872</v>
      </c>
      <c r="Z30" s="843">
        <f t="shared" si="7"/>
        <v>1.1218333916929797</v>
      </c>
      <c r="AA30" s="843">
        <f t="shared" si="8"/>
        <v>1.6152078997491561</v>
      </c>
      <c r="AB30" s="796">
        <f t="shared" si="9"/>
        <v>5</v>
      </c>
      <c r="AC30" s="797">
        <f t="shared" si="10"/>
        <v>1</v>
      </c>
      <c r="AD30" s="797">
        <f t="shared" si="11"/>
        <v>3</v>
      </c>
      <c r="AE30" s="842">
        <f t="shared" si="12"/>
        <v>2</v>
      </c>
      <c r="AF30" s="842">
        <f t="shared" si="13"/>
        <v>2</v>
      </c>
      <c r="AG30" s="842">
        <f t="shared" si="14"/>
        <v>4</v>
      </c>
      <c r="AH30" s="842">
        <f t="shared" si="15"/>
        <v>5</v>
      </c>
      <c r="AI30" s="826" cm="1">
        <f t="array" ref="AI30">SUMPRODUCT(--ISNUMBER($U30:$AA30),$AB$3:$AH$3)</f>
        <v>1</v>
      </c>
      <c r="AJ30" s="829">
        <f t="shared" si="16"/>
        <v>56.844491474946878</v>
      </c>
      <c r="AK30" s="827" t="str">
        <f t="shared" si="17"/>
        <v>En desarrollo</v>
      </c>
      <c r="AL30" s="784" t="str">
        <f t="shared" si="18"/>
        <v>Alta</v>
      </c>
      <c r="AM30" s="799">
        <f>IF(ISNUMBER('Base de datos Rutas'!W28),'Base de datos Rutas'!W28,"")</f>
        <v>3561.414830517057</v>
      </c>
      <c r="AN30" s="787">
        <f>IFERROR(SUMIFS('Base de datos Rutas'!$W$6:$W$794,'Base de datos Rutas'!$C$6:$C$794,$C30)/'Base de datos Rutas'!I28,"")</f>
        <v>3561.4148305170575</v>
      </c>
      <c r="AO30" s="800">
        <f>IFERROR('Base de datos Rutas'!X28*AN30/AM30,"")</f>
        <v>0.41732881271291661</v>
      </c>
      <c r="AP30" s="800">
        <f t="shared" si="19"/>
        <v>0.58267118728708334</v>
      </c>
      <c r="AQ30" s="789">
        <f>IFERROR(INDEX('Hoja de apoyo v2'!$J$17:$J$20,MATCH($A30,'Hoja de apoyo v2'!$A$17:$A$20,0)),"")</f>
        <v>0.56799995069377007</v>
      </c>
      <c r="AR30" s="789">
        <f t="shared" si="20"/>
        <v>1.4671236593313264E-2</v>
      </c>
      <c r="AS30" s="784" t="str">
        <f t="shared" si="21"/>
        <v>No</v>
      </c>
      <c r="AT30" s="801">
        <f>IF(ISNUMBER('Base de datos Rutas'!CK28),'Base de datos Rutas'!CK28,"")</f>
        <v>418</v>
      </c>
      <c r="AU30" s="802">
        <f>IF(ISNUMBER('Base de datos Rutas'!CL28),'Base de datos Rutas'!CL28,"")</f>
        <v>1298.53</v>
      </c>
      <c r="AV30" s="802">
        <f>IF(ISNUMBER('Base de datos Rutas'!CM28),'Base de datos Rutas'!CM28,"")</f>
        <v>880.53</v>
      </c>
      <c r="AW30" s="802">
        <f>IF(ISNUMBER('Base de datos Rutas'!CN28),'Base de datos Rutas'!CN28,"")</f>
        <v>8.11</v>
      </c>
      <c r="AX30" s="802">
        <f>IF(ISNUMBER('Base de datos Rutas'!CO28),'Base de datos Rutas'!CO28,"")</f>
        <v>9.4499999999999993</v>
      </c>
      <c r="AY30" s="802">
        <f>IF(ISNUMBER('Base de datos Rutas'!CP28),'Base de datos Rutas'!CP28,"")</f>
        <v>1.3399999999999999</v>
      </c>
      <c r="AZ30" s="802">
        <f>IF(ISNUMBER('Base de datos Rutas'!CQ28),'Base de datos Rutas'!CQ28,"")</f>
        <v>1269.8399999999999</v>
      </c>
      <c r="BA30" s="802">
        <f>IF(ISNUMBER('Base de datos Rutas'!CR28),'Base de datos Rutas'!CR28,"")</f>
        <v>259.54000000000002</v>
      </c>
      <c r="BB30" s="803">
        <f>IF(ISNUMBER('Base de datos Rutas'!CS28),'Base de datos Rutas'!CS28,"")</f>
        <v>1010.3</v>
      </c>
      <c r="BC30" s="804">
        <f t="shared" si="32"/>
        <v>0</v>
      </c>
      <c r="BD30" s="805" t="str">
        <f t="shared" si="33"/>
        <v>No saturada</v>
      </c>
      <c r="BE30" s="806">
        <f t="shared" si="34"/>
        <v>0.20438795438795443</v>
      </c>
      <c r="BF30" s="890">
        <f>IF(ISNUMBER('Base de datos Rutas'!CX28),'Base de datos Rutas'!CX28/100,"")</f>
        <v>0.14899954116349223</v>
      </c>
      <c r="BG30" s="891">
        <f>IF(ISNUMBER('Base de datos Rutas'!CZ28),'Base de datos Rutas'!CZ28/100,"")</f>
        <v>0.1575956966993059</v>
      </c>
      <c r="BH30" s="892">
        <f>IF(ISNUMBER('Base de datos Rutas'!DA28),'Base de datos Rutas'!DA28,"")</f>
        <v>48.516435940190988</v>
      </c>
      <c r="BI30" s="893">
        <f>IF(ISNUMBER('Base de datos Rutas'!DC28),'Base de datos Rutas'!DC28,"")</f>
        <v>1.3985578655573963</v>
      </c>
      <c r="BJ30" s="805" t="str">
        <f t="shared" si="35"/>
        <v>Ruta (completo)</v>
      </c>
      <c r="BK30" s="783">
        <f t="shared" si="22"/>
        <v>1</v>
      </c>
      <c r="BL30" s="797">
        <f t="shared" si="23"/>
        <v>1</v>
      </c>
      <c r="BM30" s="797">
        <f t="shared" si="24"/>
        <v>1</v>
      </c>
      <c r="BN30" s="797">
        <f t="shared" si="25"/>
        <v>1</v>
      </c>
      <c r="BO30" s="798" cm="1">
        <f t="array" ref="BO30">SUMPRODUCT(--ISNUMBER($BF30:$BI30),$BK$3:$BN$3)</f>
        <v>1</v>
      </c>
      <c r="BP30" s="831">
        <f t="shared" si="26"/>
        <v>0</v>
      </c>
      <c r="BQ30" s="834" t="str">
        <f t="shared" si="36"/>
        <v>Bajo</v>
      </c>
      <c r="BR30" s="836">
        <f t="shared" si="27"/>
        <v>42.633368606210155</v>
      </c>
      <c r="BS30" s="836">
        <f t="shared" si="28"/>
        <v>0</v>
      </c>
      <c r="BT30" s="837" t="str">
        <f t="shared" si="29"/>
        <v>P2</v>
      </c>
      <c r="BU30" s="807" t="str">
        <f t="shared" si="37"/>
        <v>Con espacio</v>
      </c>
      <c r="BV30" s="807" t="str">
        <f t="shared" si="30"/>
        <v>Zona de bajo potencial</v>
      </c>
      <c r="BW30" s="808" t="str">
        <f t="shared" si="31"/>
        <v>P2 - Mantener</v>
      </c>
    </row>
    <row r="31" spans="1:75">
      <c r="A31" s="780" t="str">
        <f>'Base de datos Rutas'!A29</f>
        <v>Noreste</v>
      </c>
      <c r="B31" s="781" t="str">
        <f>'Base de datos Rutas'!B29</f>
        <v>Monterrey</v>
      </c>
      <c r="C31" s="781" t="str">
        <f>'Base de datos Rutas'!C29</f>
        <v>Planta Guadalupe</v>
      </c>
      <c r="D31" s="782">
        <f>IF(ISNUMBER('Base de datos Rutas'!D29),'Base de datos Rutas'!D29,"Sin código")</f>
        <v>701315</v>
      </c>
      <c r="E31" s="783" t="str">
        <f>'Base de datos Rutas'!F29</f>
        <v>Activa</v>
      </c>
      <c r="F31" s="784" t="str">
        <f>'Base de datos Rutas'!H29</f>
        <v>Sí</v>
      </c>
      <c r="G31" s="785">
        <f>IF(ISNUMBER('Base de datos Rutas'!BE29),'Base de datos Rutas'!BE29,"")</f>
        <v>97.181208053691293</v>
      </c>
      <c r="H31" s="786">
        <f>IF(ISNUMBER('Base de datos Rutas'!BH29),'Base de datos Rutas'!BH29,"")</f>
        <v>0.29074585635359101</v>
      </c>
      <c r="I31" s="788">
        <f>IFERROR(IF(OR(NOT(ISNUMBER('Base de datos Rutas'!O29)),N('Base de datos Rutas'!BK29)=0),"",'Base de datos Rutas'!O29/('Base de datos Rutas'!L29/'Base de datos Rutas'!BK29)),"")</f>
        <v>7280.7136465324538</v>
      </c>
      <c r="J31" s="788">
        <f>IFERROR(IF(OR(NOT(ISNUMBER('Base de datos Rutas'!N29)),N('Base de datos Rutas'!BK29)=0),"",'Base de datos Rutas'!N29/('Base de datos Rutas'!L29/'Base de datos Rutas'!BK29)),"")</f>
        <v>2095.6957494407202</v>
      </c>
      <c r="K31" s="788">
        <f>IFERROR(IF(OR(NOT(ISNUMBER('Base de datos Rutas'!J29)),N('Base de datos Rutas'!BK29)=0),"",'Base de datos Rutas'!J29/('Base de datos Rutas'!L29/'Base de datos Rutas'!BK29)),"")</f>
        <v>143.01542886800902</v>
      </c>
      <c r="L31" s="788">
        <f>IFERROR(IF(OR(NOT(ISNUMBER('Base de datos Rutas'!K29)),N('Base de datos Rutas'!BK29)=0),"",'Base de datos Rutas'!K29/('Base de datos Rutas'!L29/'Base de datos Rutas'!BK29)),"")</f>
        <v>58.969742928411762</v>
      </c>
      <c r="M31" s="787">
        <f>IF(ISNUMBER('Base de datos Rutas'!AX29),'Base de datos Rutas'!AX29,"")</f>
        <v>332.33543626286598</v>
      </c>
      <c r="N31" s="790">
        <f>IFERROR(INDEX('Hoja de apoyo v2'!B$17:B$20,MATCH($A31,'Hoja de apoyo v2'!$A$17:$A$20,0)),"")</f>
        <v>63.050408855205418</v>
      </c>
      <c r="O31" s="791">
        <f>IFERROR(INDEX('Hoja de apoyo v2'!C$17:C$20,MATCH($A31,'Hoja de apoyo v2'!$A$17:$A$20,0)),"")</f>
        <v>0.7559478312655763</v>
      </c>
      <c r="P31" s="793">
        <f>IFERROR(INDEX('Hoja de apoyo v2'!D$17:D$20,MATCH($A31,'Hoja de apoyo v2'!$A$17:$A$20,0)),"")</f>
        <v>9054.9839880720647</v>
      </c>
      <c r="Q31" s="793">
        <f>IFERROR(INDEX('Hoja de apoyo v2'!E$17:E$20,MATCH($A31,'Hoja de apoyo v2'!$A$17:$A$20,0)),"")</f>
        <v>4535.7799207004691</v>
      </c>
      <c r="R31" s="793">
        <f>IFERROR(INDEX('Hoja de apoyo v2'!F$17:F$20,MATCH($A31,'Hoja de apoyo v2'!$A$17:$A$20,0)),"")</f>
        <v>260.44838236060593</v>
      </c>
      <c r="S31" s="793">
        <f>IFERROR(INDEX('Hoja de apoyo v2'!G$17:G$20,MATCH($A31,'Hoja de apoyo v2'!$A$17:$A$20,0)),"")</f>
        <v>64.772152317133859</v>
      </c>
      <c r="T31" s="792">
        <f>IFERROR(INDEX('Hoja de apoyo v2'!H$17:H$20,MATCH($A31,'Hoja de apoyo v2'!$A$17:$A$20,0)),"")</f>
        <v>389.240053528842</v>
      </c>
      <c r="U31" s="794">
        <f t="shared" si="2"/>
        <v>1.541325580883494</v>
      </c>
      <c r="V31" s="795">
        <f t="shared" si="3"/>
        <v>0.38461100664425008</v>
      </c>
      <c r="W31" s="795">
        <f t="shared" si="4"/>
        <v>0.80405593826816046</v>
      </c>
      <c r="X31" s="843">
        <f t="shared" si="5"/>
        <v>0.4620364713632486</v>
      </c>
      <c r="Y31" s="843">
        <f t="shared" si="6"/>
        <v>0.54911237141030056</v>
      </c>
      <c r="Z31" s="843">
        <f t="shared" si="7"/>
        <v>0.91041814759662987</v>
      </c>
      <c r="AA31" s="843">
        <f t="shared" si="8"/>
        <v>0.8538058538681208</v>
      </c>
      <c r="AB31" s="796">
        <f t="shared" si="9"/>
        <v>5</v>
      </c>
      <c r="AC31" s="797">
        <f t="shared" si="10"/>
        <v>1</v>
      </c>
      <c r="AD31" s="797">
        <f t="shared" si="11"/>
        <v>3</v>
      </c>
      <c r="AE31" s="842">
        <f t="shared" si="12"/>
        <v>1</v>
      </c>
      <c r="AF31" s="842">
        <f t="shared" si="13"/>
        <v>2</v>
      </c>
      <c r="AG31" s="842">
        <f t="shared" si="14"/>
        <v>3</v>
      </c>
      <c r="AH31" s="842">
        <f t="shared" si="15"/>
        <v>3</v>
      </c>
      <c r="AI31" s="826" cm="1">
        <f t="array" ref="AI31">SUMPRODUCT(--ISNUMBER($U31:$AA31),$AB$3:$AH$3)</f>
        <v>1</v>
      </c>
      <c r="AJ31" s="829">
        <f t="shared" si="16"/>
        <v>44.556521380015383</v>
      </c>
      <c r="AK31" s="827" t="str">
        <f t="shared" si="17"/>
        <v>Inmadura</v>
      </c>
      <c r="AL31" s="784" t="str">
        <f t="shared" si="18"/>
        <v>Alta</v>
      </c>
      <c r="AM31" s="799">
        <f>IF(ISNUMBER('Base de datos Rutas'!W29),'Base de datos Rutas'!W29,"")</f>
        <v>3561.414830517057</v>
      </c>
      <c r="AN31" s="787">
        <f>IFERROR(SUMIFS('Base de datos Rutas'!$W$6:$W$794,'Base de datos Rutas'!$C$6:$C$794,$C31)/'Base de datos Rutas'!I29,"")</f>
        <v>3561.4148305170575</v>
      </c>
      <c r="AO31" s="800">
        <f>IFERROR('Base de datos Rutas'!X29*AN31/AM31,"")</f>
        <v>0.41732881271291661</v>
      </c>
      <c r="AP31" s="800">
        <f t="shared" si="19"/>
        <v>0.58267118728708334</v>
      </c>
      <c r="AQ31" s="789">
        <f>IFERROR(INDEX('Hoja de apoyo v2'!$J$17:$J$20,MATCH($A31,'Hoja de apoyo v2'!$A$17:$A$20,0)),"")</f>
        <v>0.56799995069377007</v>
      </c>
      <c r="AR31" s="789">
        <f t="shared" si="20"/>
        <v>1.4671236593313264E-2</v>
      </c>
      <c r="AS31" s="784" t="str">
        <f t="shared" si="21"/>
        <v>No</v>
      </c>
      <c r="AT31" s="801">
        <f>IF(ISNUMBER('Base de datos Rutas'!CK29),'Base de datos Rutas'!CK29,"")</f>
        <v>556</v>
      </c>
      <c r="AU31" s="802">
        <f>IF(ISNUMBER('Base de datos Rutas'!CL29),'Base de datos Rutas'!CL29,"")</f>
        <v>1651.65</v>
      </c>
      <c r="AV31" s="802">
        <f>IF(ISNUMBER('Base de datos Rutas'!CM29),'Base de datos Rutas'!CM29,"")</f>
        <v>1095.6500000000001</v>
      </c>
      <c r="AW31" s="802">
        <f>IF(ISNUMBER('Base de datos Rutas'!CN29),'Base de datos Rutas'!CN29,"")</f>
        <v>9.3000000000000007</v>
      </c>
      <c r="AX31" s="802">
        <f>IF(ISNUMBER('Base de datos Rutas'!CO29),'Base de datos Rutas'!CO29,"")</f>
        <v>9.4499999999999993</v>
      </c>
      <c r="AY31" s="802">
        <f>IF(ISNUMBER('Base de datos Rutas'!CP29),'Base de datos Rutas'!CP29,"")</f>
        <v>0.14999999999999858</v>
      </c>
      <c r="AZ31" s="802">
        <f>IF(ISNUMBER('Base de datos Rutas'!CQ29),'Base de datos Rutas'!CQ29,"")</f>
        <v>1269.8399999999999</v>
      </c>
      <c r="BA31" s="802">
        <f>IF(ISNUMBER('Base de datos Rutas'!CR29),'Base de datos Rutas'!CR29,"")</f>
        <v>201.99</v>
      </c>
      <c r="BB31" s="803">
        <f>IF(ISNUMBER('Base de datos Rutas'!CS29),'Base de datos Rutas'!CS29,"")</f>
        <v>1067.8499999999999</v>
      </c>
      <c r="BC31" s="804">
        <f t="shared" si="32"/>
        <v>0</v>
      </c>
      <c r="BD31" s="805" t="str">
        <f t="shared" si="33"/>
        <v>No saturada</v>
      </c>
      <c r="BE31" s="806">
        <f t="shared" si="34"/>
        <v>0.1590672840672841</v>
      </c>
      <c r="BF31" s="890">
        <f>IF(ISNUMBER('Base de datos Rutas'!CX29),'Base de datos Rutas'!CX29/100,"")</f>
        <v>0.29460717764070476</v>
      </c>
      <c r="BG31" s="891">
        <f>IF(ISNUMBER('Base de datos Rutas'!CZ29),'Base de datos Rutas'!CZ29/100,"")</f>
        <v>0.3107753150547472</v>
      </c>
      <c r="BH31" s="892">
        <f>IF(ISNUMBER('Base de datos Rutas'!DA29),'Base de datos Rutas'!DA29,"")</f>
        <v>105.39475295756057</v>
      </c>
      <c r="BI31" s="893">
        <f>IF(ISNUMBER('Base de datos Rutas'!DC29),'Base de datos Rutas'!DC29,"")</f>
        <v>2.9512467389323378</v>
      </c>
      <c r="BJ31" s="805" t="str">
        <f t="shared" si="35"/>
        <v>Ruta (completo)</v>
      </c>
      <c r="BK31" s="783">
        <f t="shared" si="22"/>
        <v>2</v>
      </c>
      <c r="BL31" s="797">
        <f t="shared" si="23"/>
        <v>2</v>
      </c>
      <c r="BM31" s="797">
        <f t="shared" si="24"/>
        <v>1</v>
      </c>
      <c r="BN31" s="797">
        <f t="shared" si="25"/>
        <v>1</v>
      </c>
      <c r="BO31" s="798" cm="1">
        <f t="array" ref="BO31">SUMPRODUCT(--ISNUMBER($BF31:$BI31),$BK$3:$BN$3)</f>
        <v>1</v>
      </c>
      <c r="BP31" s="831">
        <f t="shared" si="26"/>
        <v>12.5</v>
      </c>
      <c r="BQ31" s="834" t="str">
        <f t="shared" si="36"/>
        <v>Bajo</v>
      </c>
      <c r="BR31" s="836">
        <f t="shared" si="27"/>
        <v>33.417391035011534</v>
      </c>
      <c r="BS31" s="836">
        <f t="shared" si="28"/>
        <v>12.5</v>
      </c>
      <c r="BT31" s="837" t="str">
        <f t="shared" si="29"/>
        <v>P2</v>
      </c>
      <c r="BU31" s="807" t="str">
        <f t="shared" si="37"/>
        <v>Con espacio</v>
      </c>
      <c r="BV31" s="807" t="str">
        <f t="shared" si="30"/>
        <v>Zona de bajo potencial</v>
      </c>
      <c r="BW31" s="808" t="str">
        <f t="shared" si="31"/>
        <v>P2 - Mantener</v>
      </c>
    </row>
    <row r="32" spans="1:75">
      <c r="A32" s="780" t="str">
        <f>'Base de datos Rutas'!A30</f>
        <v>Noreste</v>
      </c>
      <c r="B32" s="781" t="str">
        <f>'Base de datos Rutas'!B30</f>
        <v>Monterrey</v>
      </c>
      <c r="C32" s="781" t="str">
        <f>'Base de datos Rutas'!C30</f>
        <v>Planta Guadalupe</v>
      </c>
      <c r="D32" s="782">
        <f>IF(ISNUMBER('Base de datos Rutas'!D30),'Base de datos Rutas'!D30,"Sin código")</f>
        <v>701316</v>
      </c>
      <c r="E32" s="783" t="str">
        <f>'Base de datos Rutas'!F30</f>
        <v>Activa</v>
      </c>
      <c r="F32" s="784" t="str">
        <f>'Base de datos Rutas'!H30</f>
        <v>Sí</v>
      </c>
      <c r="G32" s="785">
        <f>IF(ISNUMBER('Base de datos Rutas'!BE30),'Base de datos Rutas'!BE30,"")</f>
        <v>85.639593908629394</v>
      </c>
      <c r="H32" s="786">
        <f>IF(ISNUMBER('Base de datos Rutas'!BH30),'Base de datos Rutas'!BH30,"")</f>
        <v>0.200580878430443</v>
      </c>
      <c r="I32" s="788">
        <f>IFERROR(IF(OR(NOT(ISNUMBER('Base de datos Rutas'!O30)),N('Base de datos Rutas'!BK30)=0),"",'Base de datos Rutas'!O30/('Base de datos Rutas'!L30/'Base de datos Rutas'!BK30)),"")</f>
        <v>2168.1746478873329</v>
      </c>
      <c r="J32" s="788">
        <f>IFERROR(IF(OR(NOT(ISNUMBER('Base de datos Rutas'!N30)),N('Base de datos Rutas'!BK30)=0),"",'Base de datos Rutas'!N30/('Base de datos Rutas'!L30/'Base de datos Rutas'!BK30)),"")</f>
        <v>1679.2478873239506</v>
      </c>
      <c r="K32" s="788">
        <f>IFERROR(IF(OR(NOT(ISNUMBER('Base de datos Rutas'!J30)),N('Base de datos Rutas'!BK30)=0),"",'Base de datos Rutas'!J30/('Base de datos Rutas'!L30/'Base de datos Rutas'!BK30)),"")</f>
        <v>112.83586704225398</v>
      </c>
      <c r="L32" s="788">
        <f>IFERROR(IF(OR(NOT(ISNUMBER('Base de datos Rutas'!K30)),N('Base de datos Rutas'!BK30)=0),"",'Base de datos Rutas'!K30/('Base de datos Rutas'!L30/'Base de datos Rutas'!BK30)),"")</f>
        <v>20.913444030986003</v>
      </c>
      <c r="M32" s="787">
        <f>IF(ISNUMBER('Base de datos Rutas'!AX30),'Base de datos Rutas'!AX30,"")</f>
        <v>340.51944653142999</v>
      </c>
      <c r="N32" s="790">
        <f>IFERROR(INDEX('Hoja de apoyo v2'!B$17:B$20,MATCH($A32,'Hoja de apoyo v2'!$A$17:$A$20,0)),"")</f>
        <v>63.050408855205418</v>
      </c>
      <c r="O32" s="791">
        <f>IFERROR(INDEX('Hoja de apoyo v2'!C$17:C$20,MATCH($A32,'Hoja de apoyo v2'!$A$17:$A$20,0)),"")</f>
        <v>0.7559478312655763</v>
      </c>
      <c r="P32" s="793">
        <f>IFERROR(INDEX('Hoja de apoyo v2'!D$17:D$20,MATCH($A32,'Hoja de apoyo v2'!$A$17:$A$20,0)),"")</f>
        <v>9054.9839880720647</v>
      </c>
      <c r="Q32" s="793">
        <f>IFERROR(INDEX('Hoja de apoyo v2'!E$17:E$20,MATCH($A32,'Hoja de apoyo v2'!$A$17:$A$20,0)),"")</f>
        <v>4535.7799207004691</v>
      </c>
      <c r="R32" s="793">
        <f>IFERROR(INDEX('Hoja de apoyo v2'!F$17:F$20,MATCH($A32,'Hoja de apoyo v2'!$A$17:$A$20,0)),"")</f>
        <v>260.44838236060593</v>
      </c>
      <c r="S32" s="793">
        <f>IFERROR(INDEX('Hoja de apoyo v2'!G$17:G$20,MATCH($A32,'Hoja de apoyo v2'!$A$17:$A$20,0)),"")</f>
        <v>64.772152317133859</v>
      </c>
      <c r="T32" s="792">
        <f>IFERROR(INDEX('Hoja de apoyo v2'!H$17:H$20,MATCH($A32,'Hoja de apoyo v2'!$A$17:$A$20,0)),"")</f>
        <v>389.240053528842</v>
      </c>
      <c r="U32" s="794">
        <f t="shared" si="2"/>
        <v>1.3582718250931536</v>
      </c>
      <c r="V32" s="795">
        <f t="shared" si="3"/>
        <v>0.26533693217247395</v>
      </c>
      <c r="W32" s="795">
        <f t="shared" si="4"/>
        <v>0.23944544250364469</v>
      </c>
      <c r="X32" s="843">
        <f t="shared" si="5"/>
        <v>0.37022252328870076</v>
      </c>
      <c r="Y32" s="843">
        <f t="shared" si="6"/>
        <v>0.4332369662639185</v>
      </c>
      <c r="Z32" s="843">
        <f t="shared" si="7"/>
        <v>0.32287708965715306</v>
      </c>
      <c r="AA32" s="843">
        <f t="shared" si="8"/>
        <v>0.87483146568367764</v>
      </c>
      <c r="AB32" s="796">
        <f t="shared" si="9"/>
        <v>5</v>
      </c>
      <c r="AC32" s="797">
        <f t="shared" si="10"/>
        <v>1</v>
      </c>
      <c r="AD32" s="797">
        <f t="shared" si="11"/>
        <v>1</v>
      </c>
      <c r="AE32" s="842">
        <f t="shared" si="12"/>
        <v>1</v>
      </c>
      <c r="AF32" s="842">
        <f t="shared" si="13"/>
        <v>1</v>
      </c>
      <c r="AG32" s="842">
        <f t="shared" si="14"/>
        <v>1</v>
      </c>
      <c r="AH32" s="842">
        <f t="shared" si="15"/>
        <v>3</v>
      </c>
      <c r="AI32" s="826" cm="1">
        <f t="array" ref="AI32">SUMPRODUCT(--ISNUMBER($U32:$AA32),$AB$3:$AH$3)</f>
        <v>1</v>
      </c>
      <c r="AJ32" s="829">
        <f t="shared" si="16"/>
        <v>22.624000393200134</v>
      </c>
      <c r="AK32" s="827" t="str">
        <f t="shared" si="17"/>
        <v>Inmadura</v>
      </c>
      <c r="AL32" s="784" t="str">
        <f t="shared" si="18"/>
        <v>Alta</v>
      </c>
      <c r="AM32" s="799">
        <f>IF(ISNUMBER('Base de datos Rutas'!W30),'Base de datos Rutas'!W30,"")</f>
        <v>3561.414830517057</v>
      </c>
      <c r="AN32" s="787">
        <f>IFERROR(SUMIFS('Base de datos Rutas'!$W$6:$W$794,'Base de datos Rutas'!$C$6:$C$794,$C32)/'Base de datos Rutas'!I30,"")</f>
        <v>3561.4148305170575</v>
      </c>
      <c r="AO32" s="800">
        <f>IFERROR('Base de datos Rutas'!X30*AN32/AM32,"")</f>
        <v>0.41732881271291661</v>
      </c>
      <c r="AP32" s="800">
        <f t="shared" si="19"/>
        <v>0.58267118728708334</v>
      </c>
      <c r="AQ32" s="789">
        <f>IFERROR(INDEX('Hoja de apoyo v2'!$J$17:$J$20,MATCH($A32,'Hoja de apoyo v2'!$A$17:$A$20,0)),"")</f>
        <v>0.56799995069377007</v>
      </c>
      <c r="AR32" s="789">
        <f t="shared" si="20"/>
        <v>1.4671236593313264E-2</v>
      </c>
      <c r="AS32" s="784" t="str">
        <f t="shared" si="21"/>
        <v>No</v>
      </c>
      <c r="AT32" s="801">
        <f>IF(ISNUMBER('Base de datos Rutas'!CK30),'Base de datos Rutas'!CK30,"")</f>
        <v>497</v>
      </c>
      <c r="AU32" s="802">
        <f>IF(ISNUMBER('Base de datos Rutas'!CL30),'Base de datos Rutas'!CL30,"")</f>
        <v>650.52</v>
      </c>
      <c r="AV32" s="802">
        <f>IF(ISNUMBER('Base de datos Rutas'!CM30),'Base de datos Rutas'!CM30,"")</f>
        <v>153.51999999999998</v>
      </c>
      <c r="AW32" s="802">
        <f>IF(ISNUMBER('Base de datos Rutas'!CN30),'Base de datos Rutas'!CN30,"")</f>
        <v>14.63</v>
      </c>
      <c r="AX32" s="802">
        <f>IF(ISNUMBER('Base de datos Rutas'!CO30),'Base de datos Rutas'!CO30,"")</f>
        <v>9.4499999999999993</v>
      </c>
      <c r="AY32" s="802">
        <f>IF(ISNUMBER('Base de datos Rutas'!CP30),'Base de datos Rutas'!CP30,"")</f>
        <v>-5.1800000000000015</v>
      </c>
      <c r="AZ32" s="802">
        <f>IF(ISNUMBER('Base de datos Rutas'!CQ30),'Base de datos Rutas'!CQ30,"")</f>
        <v>846.56</v>
      </c>
      <c r="BA32" s="802">
        <f>IF(ISNUMBER('Base de datos Rutas'!CR30),'Base de datos Rutas'!CR30,"")</f>
        <v>133.75</v>
      </c>
      <c r="BB32" s="803">
        <f>IF(ISNUMBER('Base de datos Rutas'!CS30),'Base de datos Rutas'!CS30,"")</f>
        <v>712.81</v>
      </c>
      <c r="BC32" s="804">
        <f t="shared" si="32"/>
        <v>1</v>
      </c>
      <c r="BD32" s="805" t="str">
        <f t="shared" si="33"/>
        <v>Saturada</v>
      </c>
      <c r="BE32" s="806">
        <f t="shared" si="34"/>
        <v>0.1579923454923455</v>
      </c>
      <c r="BF32" s="890">
        <f>IF(ISNUMBER('Base de datos Rutas'!CX30),'Base de datos Rutas'!CX30/100,"")</f>
        <v>3.7634499301473494E-2</v>
      </c>
      <c r="BG32" s="891">
        <f>IF(ISNUMBER('Base de datos Rutas'!CZ30),'Base de datos Rutas'!CZ30/100,"")</f>
        <v>3.9657853810264383E-2</v>
      </c>
      <c r="BH32" s="892">
        <f>IF(ISNUMBER('Base de datos Rutas'!DA30),'Base de datos Rutas'!DA30,"")</f>
        <v>22.872083029934423</v>
      </c>
      <c r="BI32" s="893">
        <f>IF(ISNUMBER('Base de datos Rutas'!DC30),'Base de datos Rutas'!DC30,"")</f>
        <v>0.82730621753807043</v>
      </c>
      <c r="BJ32" s="805" t="str">
        <f t="shared" si="35"/>
        <v>Ruta (completo)</v>
      </c>
      <c r="BK32" s="783">
        <f t="shared" si="22"/>
        <v>1</v>
      </c>
      <c r="BL32" s="797">
        <f t="shared" si="23"/>
        <v>1</v>
      </c>
      <c r="BM32" s="797">
        <f t="shared" si="24"/>
        <v>1</v>
      </c>
      <c r="BN32" s="797">
        <f t="shared" si="25"/>
        <v>1</v>
      </c>
      <c r="BO32" s="798" cm="1">
        <f t="array" ref="BO32">SUMPRODUCT(--ISNUMBER($BF32:$BI32),$BK$3:$BN$3)</f>
        <v>1</v>
      </c>
      <c r="BP32" s="831">
        <f t="shared" si="26"/>
        <v>0</v>
      </c>
      <c r="BQ32" s="834" t="str">
        <f t="shared" si="36"/>
        <v>Bajo</v>
      </c>
      <c r="BR32" s="836">
        <f t="shared" si="27"/>
        <v>41.968000294900101</v>
      </c>
      <c r="BS32" s="836">
        <f t="shared" si="28"/>
        <v>0</v>
      </c>
      <c r="BT32" s="837" t="str">
        <f t="shared" si="29"/>
        <v>P2</v>
      </c>
      <c r="BU32" s="807" t="str">
        <f t="shared" si="37"/>
        <v>Al tope</v>
      </c>
      <c r="BV32" s="807" t="str">
        <f t="shared" si="30"/>
        <v>Zona de bajo potencial</v>
      </c>
      <c r="BW32" s="808" t="str">
        <f t="shared" si="31"/>
        <v>P2 - Mantener</v>
      </c>
    </row>
    <row r="33" spans="1:75">
      <c r="A33" s="780" t="str">
        <f>'Base de datos Rutas'!A31</f>
        <v>Noreste</v>
      </c>
      <c r="B33" s="781" t="str">
        <f>'Base de datos Rutas'!B31</f>
        <v>Monterrey</v>
      </c>
      <c r="C33" s="781" t="str">
        <f>'Base de datos Rutas'!C31</f>
        <v>Planta Guadalupe</v>
      </c>
      <c r="D33" s="782">
        <f>IF(ISNUMBER('Base de datos Rutas'!D31),'Base de datos Rutas'!D31,"Sin código")</f>
        <v>701317</v>
      </c>
      <c r="E33" s="783" t="str">
        <f>'Base de datos Rutas'!F31</f>
        <v>Activa</v>
      </c>
      <c r="F33" s="784" t="str">
        <f>'Base de datos Rutas'!H31</f>
        <v>Sí</v>
      </c>
      <c r="G33" s="785">
        <f>IF(ISNUMBER('Base de datos Rutas'!BE31),'Base de datos Rutas'!BE31,"")</f>
        <v>73.654627539503394</v>
      </c>
      <c r="H33" s="786">
        <f>IF(ISNUMBER('Base de datos Rutas'!BH31),'Base de datos Rutas'!BH31,"")</f>
        <v>0.18523399429955001</v>
      </c>
      <c r="I33" s="788">
        <f>IFERROR(IF(OR(NOT(ISNUMBER('Base de datos Rutas'!O31)),N('Base de datos Rutas'!BK31)=0),"",'Base de datos Rutas'!O31/('Base de datos Rutas'!L31/'Base de datos Rutas'!BK31)),"")</f>
        <v>8431.7178329571325</v>
      </c>
      <c r="J33" s="788">
        <f>IFERROR(IF(OR(NOT(ISNUMBER('Base de datos Rutas'!N31)),N('Base de datos Rutas'!BK31)=0),"",'Base de datos Rutas'!N31/('Base de datos Rutas'!L31/'Base de datos Rutas'!BK31)),"")</f>
        <v>1671.9367945823972</v>
      </c>
      <c r="K33" s="788">
        <f>IFERROR(IF(OR(NOT(ISNUMBER('Base de datos Rutas'!J31)),N('Base de datos Rutas'!BK31)=0),"",'Base de datos Rutas'!J31/('Base de datos Rutas'!L31/'Base de datos Rutas'!BK31)),"")</f>
        <v>114.37860948081294</v>
      </c>
      <c r="L33" s="788">
        <f>IFERROR(IF(OR(NOT(ISNUMBER('Base de datos Rutas'!K31)),N('Base de datos Rutas'!BK31)=0),"",'Base de datos Rutas'!K31/('Base de datos Rutas'!L31/'Base de datos Rutas'!BK31)),"")</f>
        <v>67.785816677201069</v>
      </c>
      <c r="M33" s="787">
        <f>IF(ISNUMBER('Base de datos Rutas'!AX31),'Base de datos Rutas'!AX31,"")</f>
        <v>741.71906353408303</v>
      </c>
      <c r="N33" s="790">
        <f>IFERROR(INDEX('Hoja de apoyo v2'!B$17:B$20,MATCH($A33,'Hoja de apoyo v2'!$A$17:$A$20,0)),"")</f>
        <v>63.050408855205418</v>
      </c>
      <c r="O33" s="791">
        <f>IFERROR(INDEX('Hoja de apoyo v2'!C$17:C$20,MATCH($A33,'Hoja de apoyo v2'!$A$17:$A$20,0)),"")</f>
        <v>0.7559478312655763</v>
      </c>
      <c r="P33" s="793">
        <f>IFERROR(INDEX('Hoja de apoyo v2'!D$17:D$20,MATCH($A33,'Hoja de apoyo v2'!$A$17:$A$20,0)),"")</f>
        <v>9054.9839880720647</v>
      </c>
      <c r="Q33" s="793">
        <f>IFERROR(INDEX('Hoja de apoyo v2'!E$17:E$20,MATCH($A33,'Hoja de apoyo v2'!$A$17:$A$20,0)),"")</f>
        <v>4535.7799207004691</v>
      </c>
      <c r="R33" s="793">
        <f>IFERROR(INDEX('Hoja de apoyo v2'!F$17:F$20,MATCH($A33,'Hoja de apoyo v2'!$A$17:$A$20,0)),"")</f>
        <v>260.44838236060593</v>
      </c>
      <c r="S33" s="793">
        <f>IFERROR(INDEX('Hoja de apoyo v2'!G$17:G$20,MATCH($A33,'Hoja de apoyo v2'!$A$17:$A$20,0)),"")</f>
        <v>64.772152317133859</v>
      </c>
      <c r="T33" s="792">
        <f>IFERROR(INDEX('Hoja de apoyo v2'!H$17:H$20,MATCH($A33,'Hoja de apoyo v2'!$A$17:$A$20,0)),"")</f>
        <v>389.240053528842</v>
      </c>
      <c r="U33" s="794">
        <f t="shared" si="2"/>
        <v>1.1681863587697021</v>
      </c>
      <c r="V33" s="795">
        <f t="shared" si="3"/>
        <v>0.24503541995674355</v>
      </c>
      <c r="W33" s="795">
        <f t="shared" si="4"/>
        <v>0.93116871814064528</v>
      </c>
      <c r="X33" s="843">
        <f t="shared" si="5"/>
        <v>0.36861065215090877</v>
      </c>
      <c r="Y33" s="843">
        <f t="shared" si="6"/>
        <v>0.43916037582621303</v>
      </c>
      <c r="Z33" s="843">
        <f t="shared" si="7"/>
        <v>1.0465271610137621</v>
      </c>
      <c r="AA33" s="843">
        <f t="shared" si="8"/>
        <v>1.9055568840094277</v>
      </c>
      <c r="AB33" s="796">
        <f t="shared" si="9"/>
        <v>4</v>
      </c>
      <c r="AC33" s="797">
        <f t="shared" si="10"/>
        <v>1</v>
      </c>
      <c r="AD33" s="797">
        <f t="shared" si="11"/>
        <v>3</v>
      </c>
      <c r="AE33" s="842">
        <f t="shared" si="12"/>
        <v>1</v>
      </c>
      <c r="AF33" s="842">
        <f t="shared" si="13"/>
        <v>1</v>
      </c>
      <c r="AG33" s="842">
        <f t="shared" si="14"/>
        <v>4</v>
      </c>
      <c r="AH33" s="842">
        <f t="shared" si="15"/>
        <v>5</v>
      </c>
      <c r="AI33" s="826" cm="1">
        <f t="array" ref="AI33">SUMPRODUCT(--ISNUMBER($U33:$AA33),$AB$3:$AH$3)</f>
        <v>1</v>
      </c>
      <c r="AJ33" s="829">
        <f t="shared" si="16"/>
        <v>45.975363138551643</v>
      </c>
      <c r="AK33" s="827" t="str">
        <f t="shared" si="17"/>
        <v>En desarrollo</v>
      </c>
      <c r="AL33" s="784" t="str">
        <f t="shared" si="18"/>
        <v>Alta</v>
      </c>
      <c r="AM33" s="799">
        <f>IF(ISNUMBER('Base de datos Rutas'!W31),'Base de datos Rutas'!W31,"")</f>
        <v>3561.414830517057</v>
      </c>
      <c r="AN33" s="787">
        <f>IFERROR(SUMIFS('Base de datos Rutas'!$W$6:$W$794,'Base de datos Rutas'!$C$6:$C$794,$C33)/'Base de datos Rutas'!I31,"")</f>
        <v>3561.4148305170575</v>
      </c>
      <c r="AO33" s="800">
        <f>IFERROR('Base de datos Rutas'!X31*AN33/AM33,"")</f>
        <v>0.41732881271291661</v>
      </c>
      <c r="AP33" s="800">
        <f t="shared" si="19"/>
        <v>0.58267118728708334</v>
      </c>
      <c r="AQ33" s="789">
        <f>IFERROR(INDEX('Hoja de apoyo v2'!$J$17:$J$20,MATCH($A33,'Hoja de apoyo v2'!$A$17:$A$20,0)),"")</f>
        <v>0.56799995069377007</v>
      </c>
      <c r="AR33" s="789">
        <f t="shared" si="20"/>
        <v>1.4671236593313264E-2</v>
      </c>
      <c r="AS33" s="784" t="str">
        <f t="shared" si="21"/>
        <v>No</v>
      </c>
      <c r="AT33" s="801">
        <f>IF(ISNUMBER('Base de datos Rutas'!CK31),'Base de datos Rutas'!CK31,"")</f>
        <v>524</v>
      </c>
      <c r="AU33" s="802">
        <f>IF(ISNUMBER('Base de datos Rutas'!CL31),'Base de datos Rutas'!CL31,"")</f>
        <v>905.22</v>
      </c>
      <c r="AV33" s="802">
        <f>IF(ISNUMBER('Base de datos Rutas'!CM31),'Base de datos Rutas'!CM31,"")</f>
        <v>381.22</v>
      </c>
      <c r="AW33" s="802">
        <f>IF(ISNUMBER('Base de datos Rutas'!CN31),'Base de datos Rutas'!CN31,"")</f>
        <v>13.56</v>
      </c>
      <c r="AX33" s="802">
        <f>IF(ISNUMBER('Base de datos Rutas'!CO31),'Base de datos Rutas'!CO31,"")</f>
        <v>9.4499999999999993</v>
      </c>
      <c r="AY33" s="802">
        <f>IF(ISNUMBER('Base de datos Rutas'!CP31),'Base de datos Rutas'!CP31,"")</f>
        <v>-4.1100000000000012</v>
      </c>
      <c r="AZ33" s="802">
        <f>IF(ISNUMBER('Base de datos Rutas'!CQ31),'Base de datos Rutas'!CQ31,"")</f>
        <v>1269.8399999999999</v>
      </c>
      <c r="BA33" s="802">
        <f>IF(ISNUMBER('Base de datos Rutas'!CR31),'Base de datos Rutas'!CR31,"")</f>
        <v>182.16</v>
      </c>
      <c r="BB33" s="803">
        <f>IF(ISNUMBER('Base de datos Rutas'!CS31),'Base de datos Rutas'!CS31,"")</f>
        <v>1087.6799999999998</v>
      </c>
      <c r="BC33" s="804">
        <f t="shared" si="32"/>
        <v>1</v>
      </c>
      <c r="BD33" s="805" t="str">
        <f t="shared" si="33"/>
        <v>Saturada</v>
      </c>
      <c r="BE33" s="806">
        <f t="shared" si="34"/>
        <v>0.14345114345114346</v>
      </c>
      <c r="BF33" s="890">
        <f>IF(ISNUMBER('Base de datos Rutas'!CX31),'Base de datos Rutas'!CX31/100,"")</f>
        <v>3.7429093293875976E-2</v>
      </c>
      <c r="BG33" s="891">
        <f>IF(ISNUMBER('Base de datos Rutas'!CZ31),'Base de datos Rutas'!CZ31/100,"")</f>
        <v>3.9495292759467324E-2</v>
      </c>
      <c r="BH33" s="892">
        <f>IF(ISNUMBER('Base de datos Rutas'!DA31),'Base de datos Rutas'!DA31,"")</f>
        <v>13.180684538680479</v>
      </c>
      <c r="BI33" s="893">
        <f>IF(ISNUMBER('Base de datos Rutas'!DC31),'Base de datos Rutas'!DC31,"")</f>
        <v>0.49638622484925971</v>
      </c>
      <c r="BJ33" s="805" t="str">
        <f t="shared" si="35"/>
        <v>Ruta (completo)</v>
      </c>
      <c r="BK33" s="783">
        <f t="shared" si="22"/>
        <v>1</v>
      </c>
      <c r="BL33" s="797">
        <f t="shared" si="23"/>
        <v>1</v>
      </c>
      <c r="BM33" s="797">
        <f t="shared" si="24"/>
        <v>1</v>
      </c>
      <c r="BN33" s="797">
        <f t="shared" si="25"/>
        <v>1</v>
      </c>
      <c r="BO33" s="798" cm="1">
        <f t="array" ref="BO33">SUMPRODUCT(--ISNUMBER($BF33:$BI33),$BK$3:$BN$3)</f>
        <v>1</v>
      </c>
      <c r="BP33" s="831">
        <f t="shared" si="26"/>
        <v>0</v>
      </c>
      <c r="BQ33" s="834" t="str">
        <f t="shared" si="36"/>
        <v>Bajo</v>
      </c>
      <c r="BR33" s="836">
        <f t="shared" si="27"/>
        <v>59.481522353913732</v>
      </c>
      <c r="BS33" s="844">
        <f t="shared" si="28"/>
        <v>0</v>
      </c>
      <c r="BT33" s="837" t="str">
        <f t="shared" si="29"/>
        <v>P2</v>
      </c>
      <c r="BU33" s="807" t="str">
        <f t="shared" si="37"/>
        <v>Al tope</v>
      </c>
      <c r="BV33" s="807" t="str">
        <f t="shared" si="30"/>
        <v>Zona de bajo potencial</v>
      </c>
      <c r="BW33" s="808" t="str">
        <f t="shared" si="31"/>
        <v>P2 - Mantener</v>
      </c>
    </row>
    <row r="34" spans="1:75">
      <c r="A34" s="780" t="str">
        <f>'Base de datos Rutas'!A32</f>
        <v>Noreste</v>
      </c>
      <c r="B34" s="781" t="str">
        <f>'Base de datos Rutas'!B32</f>
        <v>Monterrey</v>
      </c>
      <c r="C34" s="781" t="str">
        <f>'Base de datos Rutas'!C32</f>
        <v>Planta Guadalupe</v>
      </c>
      <c r="D34" s="782">
        <f>IF(ISNUMBER('Base de datos Rutas'!D32),'Base de datos Rutas'!D32,"Sin código")</f>
        <v>701318</v>
      </c>
      <c r="E34" s="783" t="str">
        <f>'Base de datos Rutas'!F32</f>
        <v>Activa</v>
      </c>
      <c r="F34" s="784" t="str">
        <f>'Base de datos Rutas'!H32</f>
        <v>Sí</v>
      </c>
      <c r="G34" s="785">
        <f>IF(ISNUMBER('Base de datos Rutas'!BE32),'Base de datos Rutas'!BE32,"")</f>
        <v>63.612318840579697</v>
      </c>
      <c r="H34" s="786">
        <f>IF(ISNUMBER('Base de datos Rutas'!BH32),'Base de datos Rutas'!BH32,"")</f>
        <v>0.51882440052400802</v>
      </c>
      <c r="I34" s="788">
        <f>IFERROR(IF(OR(NOT(ISNUMBER('Base de datos Rutas'!O32)),N('Base de datos Rutas'!BK32)=0),"",'Base de datos Rutas'!O32/('Base de datos Rutas'!L32/'Base de datos Rutas'!BK32)),"")</f>
        <v>6277.7092198581449</v>
      </c>
      <c r="J34" s="788">
        <f>IFERROR(IF(OR(NOT(ISNUMBER('Base de datos Rutas'!N32)),N('Base de datos Rutas'!BK32)=0),"",'Base de datos Rutas'!N32/('Base de datos Rutas'!L32/'Base de datos Rutas'!BK32)),"")</f>
        <v>1958.5673758865214</v>
      </c>
      <c r="K34" s="788">
        <f>IFERROR(IF(OR(NOT(ISNUMBER('Base de datos Rutas'!J32)),N('Base de datos Rutas'!BK32)=0),"",'Base de datos Rutas'!J32/('Base de datos Rutas'!L32/'Base de datos Rutas'!BK32)),"")</f>
        <v>132.34397919621702</v>
      </c>
      <c r="L34" s="788">
        <f>IFERROR(IF(OR(NOT(ISNUMBER('Base de datos Rutas'!K32)),N('Base de datos Rutas'!BK32)=0),"",'Base de datos Rutas'!K32/('Base de datos Rutas'!L32/'Base de datos Rutas'!BK32)),"")</f>
        <v>44.411945957446733</v>
      </c>
      <c r="M34" s="787">
        <f>IF(ISNUMBER('Base de datos Rutas'!AX32),'Base de datos Rutas'!AX32,"")</f>
        <v>249.19333903012199</v>
      </c>
      <c r="N34" s="790">
        <f>IFERROR(INDEX('Hoja de apoyo v2'!B$17:B$20,MATCH($A34,'Hoja de apoyo v2'!$A$17:$A$20,0)),"")</f>
        <v>63.050408855205418</v>
      </c>
      <c r="O34" s="791">
        <f>IFERROR(INDEX('Hoja de apoyo v2'!C$17:C$20,MATCH($A34,'Hoja de apoyo v2'!$A$17:$A$20,0)),"")</f>
        <v>0.7559478312655763</v>
      </c>
      <c r="P34" s="793">
        <f>IFERROR(INDEX('Hoja de apoyo v2'!D$17:D$20,MATCH($A34,'Hoja de apoyo v2'!$A$17:$A$20,0)),"")</f>
        <v>9054.9839880720647</v>
      </c>
      <c r="Q34" s="793">
        <f>IFERROR(INDEX('Hoja de apoyo v2'!E$17:E$20,MATCH($A34,'Hoja de apoyo v2'!$A$17:$A$20,0)),"")</f>
        <v>4535.7799207004691</v>
      </c>
      <c r="R34" s="793">
        <f>IFERROR(INDEX('Hoja de apoyo v2'!F$17:F$20,MATCH($A34,'Hoja de apoyo v2'!$A$17:$A$20,0)),"")</f>
        <v>260.44838236060593</v>
      </c>
      <c r="S34" s="793">
        <f>IFERROR(INDEX('Hoja de apoyo v2'!G$17:G$20,MATCH($A34,'Hoja de apoyo v2'!$A$17:$A$20,0)),"")</f>
        <v>64.772152317133859</v>
      </c>
      <c r="T34" s="792">
        <f>IFERROR(INDEX('Hoja de apoyo v2'!H$17:H$20,MATCH($A34,'Hoja de apoyo v2'!$A$17:$A$20,0)),"")</f>
        <v>389.240053528842</v>
      </c>
      <c r="U34" s="794">
        <f t="shared" si="2"/>
        <v>1.008912075204218</v>
      </c>
      <c r="V34" s="795">
        <f t="shared" si="3"/>
        <v>0.68632302265543099</v>
      </c>
      <c r="W34" s="795">
        <f t="shared" si="4"/>
        <v>0.69328772178146714</v>
      </c>
      <c r="X34" s="843">
        <f t="shared" si="5"/>
        <v>0.43180388160985911</v>
      </c>
      <c r="Y34" s="843">
        <f t="shared" si="6"/>
        <v>0.50813899474706314</v>
      </c>
      <c r="Z34" s="843">
        <f t="shared" si="7"/>
        <v>0.68566419933059197</v>
      </c>
      <c r="AA34" s="843">
        <f t="shared" si="8"/>
        <v>0.64020477022069155</v>
      </c>
      <c r="AB34" s="796">
        <f t="shared" si="9"/>
        <v>4</v>
      </c>
      <c r="AC34" s="797">
        <f t="shared" si="10"/>
        <v>2</v>
      </c>
      <c r="AD34" s="797">
        <f t="shared" si="11"/>
        <v>2</v>
      </c>
      <c r="AE34" s="842">
        <f t="shared" si="12"/>
        <v>1</v>
      </c>
      <c r="AF34" s="842">
        <f t="shared" si="13"/>
        <v>2</v>
      </c>
      <c r="AG34" s="842">
        <f t="shared" si="14"/>
        <v>2</v>
      </c>
      <c r="AH34" s="842">
        <f t="shared" si="15"/>
        <v>2</v>
      </c>
      <c r="AI34" s="826" cm="1">
        <f t="array" ref="AI34">SUMPRODUCT(--ISNUMBER($U34:$AA34),$AB$3:$AH$3)</f>
        <v>1</v>
      </c>
      <c r="AJ34" s="829">
        <f t="shared" si="16"/>
        <v>30.657824710054815</v>
      </c>
      <c r="AK34" s="827" t="str">
        <f t="shared" si="17"/>
        <v>Inmadura</v>
      </c>
      <c r="AL34" s="784" t="str">
        <f t="shared" si="18"/>
        <v>Alta</v>
      </c>
      <c r="AM34" s="799">
        <f>IF(ISNUMBER('Base de datos Rutas'!W32),'Base de datos Rutas'!W32,"")</f>
        <v>3561.414830517057</v>
      </c>
      <c r="AN34" s="787">
        <f>IFERROR(SUMIFS('Base de datos Rutas'!$W$6:$W$794,'Base de datos Rutas'!$C$6:$C$794,$C34)/'Base de datos Rutas'!I32,"")</f>
        <v>3561.4148305170575</v>
      </c>
      <c r="AO34" s="800">
        <f>IFERROR('Base de datos Rutas'!X32*AN34/AM34,"")</f>
        <v>0.41732881271291661</v>
      </c>
      <c r="AP34" s="800">
        <f t="shared" si="19"/>
        <v>0.58267118728708334</v>
      </c>
      <c r="AQ34" s="789">
        <f>IFERROR(INDEX('Hoja de apoyo v2'!$J$17:$J$20,MATCH($A34,'Hoja de apoyo v2'!$A$17:$A$20,0)),"")</f>
        <v>0.56799995069377007</v>
      </c>
      <c r="AR34" s="789">
        <f t="shared" si="20"/>
        <v>1.4671236593313264E-2</v>
      </c>
      <c r="AS34" s="784" t="str">
        <f t="shared" si="21"/>
        <v>No</v>
      </c>
      <c r="AT34" s="801">
        <f>IF(ISNUMBER('Base de datos Rutas'!CK32),'Base de datos Rutas'!CK32,"")</f>
        <v>241</v>
      </c>
      <c r="AU34" s="802">
        <f>IF(ISNUMBER('Base de datos Rutas'!CL32),'Base de datos Rutas'!CL32,"")</f>
        <v>706.15</v>
      </c>
      <c r="AV34" s="802">
        <f>IF(ISNUMBER('Base de datos Rutas'!CM32),'Base de datos Rutas'!CM32,"")</f>
        <v>465.15</v>
      </c>
      <c r="AW34" s="802">
        <f>IF(ISNUMBER('Base de datos Rutas'!CN32),'Base de datos Rutas'!CN32,"")</f>
        <v>3.21</v>
      </c>
      <c r="AX34" s="802">
        <f>IF(ISNUMBER('Base de datos Rutas'!CO32),'Base de datos Rutas'!CO32,"")</f>
        <v>9.4499999999999993</v>
      </c>
      <c r="AY34" s="802">
        <f>IF(ISNUMBER('Base de datos Rutas'!CP32),'Base de datos Rutas'!CP32,"")</f>
        <v>6.2399999999999993</v>
      </c>
      <c r="AZ34" s="802">
        <f>IF(ISNUMBER('Base de datos Rutas'!CQ32),'Base de datos Rutas'!CQ32,"")</f>
        <v>634.91999999999996</v>
      </c>
      <c r="BA34" s="802">
        <f>IF(ISNUMBER('Base de datos Rutas'!CR32),'Base de datos Rutas'!CR32,"")</f>
        <v>176.76</v>
      </c>
      <c r="BB34" s="803">
        <f>IF(ISNUMBER('Base de datos Rutas'!CS32),'Base de datos Rutas'!CS32,"")</f>
        <v>458.15999999999997</v>
      </c>
      <c r="BC34" s="804">
        <f t="shared" si="32"/>
        <v>0</v>
      </c>
      <c r="BD34" s="805" t="str">
        <f t="shared" si="33"/>
        <v>No saturada</v>
      </c>
      <c r="BE34" s="806">
        <f t="shared" si="34"/>
        <v>0.2783972783972784</v>
      </c>
      <c r="BF34" s="890">
        <f>IF(ISNUMBER('Base de datos Rutas'!CX32),'Base de datos Rutas'!CX32/100,"")</f>
        <v>0.24669001355625844</v>
      </c>
      <c r="BG34" s="891">
        <f>IF(ISNUMBER('Base de datos Rutas'!CZ32),'Base de datos Rutas'!CZ32/100,"")</f>
        <v>0.35178490736556711</v>
      </c>
      <c r="BH34" s="892">
        <f>IF(ISNUMBER('Base de datos Rutas'!DA32),'Base de datos Rutas'!DA32,"")</f>
        <v>991.35933062776667</v>
      </c>
      <c r="BI34" s="893">
        <f>IF(ISNUMBER('Base de datos Rutas'!DC32),'Base de datos Rutas'!DC32,"")</f>
        <v>20.865583758420822</v>
      </c>
      <c r="BJ34" s="805" t="str">
        <f t="shared" si="35"/>
        <v>Ruta (completo)</v>
      </c>
      <c r="BK34" s="783">
        <f t="shared" si="22"/>
        <v>2</v>
      </c>
      <c r="BL34" s="797">
        <f t="shared" si="23"/>
        <v>2</v>
      </c>
      <c r="BM34" s="797">
        <f t="shared" si="24"/>
        <v>5</v>
      </c>
      <c r="BN34" s="797">
        <f t="shared" si="25"/>
        <v>5</v>
      </c>
      <c r="BO34" s="798" cm="1">
        <f t="array" ref="BO34">SUMPRODUCT(--ISNUMBER($BF34:$BI34),$BK$3:$BN$3)</f>
        <v>1</v>
      </c>
      <c r="BP34" s="831">
        <f t="shared" si="26"/>
        <v>62.5</v>
      </c>
      <c r="BQ34" s="834" t="str">
        <f t="shared" si="36"/>
        <v>Alto</v>
      </c>
      <c r="BR34" s="836">
        <f t="shared" si="27"/>
        <v>22.993368532541112</v>
      </c>
      <c r="BS34" s="836">
        <f t="shared" si="28"/>
        <v>62.5</v>
      </c>
      <c r="BT34" s="837" t="str">
        <f t="shared" si="29"/>
        <v>P3</v>
      </c>
      <c r="BU34" s="807" t="str">
        <f t="shared" si="37"/>
        <v>Con espacio</v>
      </c>
      <c r="BV34" s="807" t="str">
        <f t="shared" si="30"/>
        <v>Zona atractiva</v>
      </c>
      <c r="BW34" s="808" t="str">
        <f t="shared" si="31"/>
        <v>P3 - Desarrollar</v>
      </c>
    </row>
    <row r="35" spans="1:75">
      <c r="A35" s="780" t="str">
        <f>'Base de datos Rutas'!A33</f>
        <v>Noreste</v>
      </c>
      <c r="B35" s="781" t="str">
        <f>'Base de datos Rutas'!B33</f>
        <v>Monterrey</v>
      </c>
      <c r="C35" s="781" t="str">
        <f>'Base de datos Rutas'!C33</f>
        <v>Planta Guadalupe</v>
      </c>
      <c r="D35" s="782">
        <f>IF(ISNUMBER('Base de datos Rutas'!D33),'Base de datos Rutas'!D33,"Sin código")</f>
        <v>701319</v>
      </c>
      <c r="E35" s="783" t="str">
        <f>'Base de datos Rutas'!F33</f>
        <v>Activa</v>
      </c>
      <c r="F35" s="784" t="str">
        <f>'Base de datos Rutas'!H33</f>
        <v>Sí</v>
      </c>
      <c r="G35" s="785">
        <f>IF(ISNUMBER('Base de datos Rutas'!BE33),'Base de datos Rutas'!BE33,"")</f>
        <v>29.2730158730159</v>
      </c>
      <c r="H35" s="786">
        <f>IF(ISNUMBER('Base de datos Rutas'!BH33),'Base de datos Rutas'!BH33,"")</f>
        <v>1.05660991215703</v>
      </c>
      <c r="I35" s="788">
        <f>IFERROR(IF(OR(NOT(ISNUMBER('Base de datos Rutas'!O33)),N('Base de datos Rutas'!BK33)=0),"",'Base de datos Rutas'!O33/('Base de datos Rutas'!L33/'Base de datos Rutas'!BK33)),"")</f>
        <v>6575.7605985037535</v>
      </c>
      <c r="J35" s="788">
        <f>IFERROR(IF(OR(NOT(ISNUMBER('Base de datos Rutas'!N33)),N('Base de datos Rutas'!BK33)=0),"",'Base de datos Rutas'!N33/('Base de datos Rutas'!L33/'Base de datos Rutas'!BK33)),"")</f>
        <v>3262.6334164588593</v>
      </c>
      <c r="K35" s="788">
        <f>IFERROR(IF(OR(NOT(ISNUMBER('Base de datos Rutas'!J33)),N('Base de datos Rutas'!BK33)=0),"",'Base de datos Rutas'!J33/('Base de datos Rutas'!L33/'Base de datos Rutas'!BK33)),"")</f>
        <v>216.78132069825477</v>
      </c>
      <c r="L35" s="788">
        <f>IFERROR(IF(OR(NOT(ISNUMBER('Base de datos Rutas'!K33)),N('Base de datos Rutas'!BK33)=0),"",'Base de datos Rutas'!K33/('Base de datos Rutas'!L33/'Base de datos Rutas'!BK33)),"")</f>
        <v>45.810462179551209</v>
      </c>
      <c r="M35" s="787">
        <f>IF(ISNUMBER('Base de datos Rutas'!AX33),'Base de datos Rutas'!AX33,"")</f>
        <v>292.57413138577903</v>
      </c>
      <c r="N35" s="790">
        <f>IFERROR(INDEX('Hoja de apoyo v2'!B$17:B$20,MATCH($A35,'Hoja de apoyo v2'!$A$17:$A$20,0)),"")</f>
        <v>63.050408855205418</v>
      </c>
      <c r="O35" s="791">
        <f>IFERROR(INDEX('Hoja de apoyo v2'!C$17:C$20,MATCH($A35,'Hoja de apoyo v2'!$A$17:$A$20,0)),"")</f>
        <v>0.7559478312655763</v>
      </c>
      <c r="P35" s="793">
        <f>IFERROR(INDEX('Hoja de apoyo v2'!D$17:D$20,MATCH($A35,'Hoja de apoyo v2'!$A$17:$A$20,0)),"")</f>
        <v>9054.9839880720647</v>
      </c>
      <c r="Q35" s="793">
        <f>IFERROR(INDEX('Hoja de apoyo v2'!E$17:E$20,MATCH($A35,'Hoja de apoyo v2'!$A$17:$A$20,0)),"")</f>
        <v>4535.7799207004691</v>
      </c>
      <c r="R35" s="793">
        <f>IFERROR(INDEX('Hoja de apoyo v2'!F$17:F$20,MATCH($A35,'Hoja de apoyo v2'!$A$17:$A$20,0)),"")</f>
        <v>260.44838236060593</v>
      </c>
      <c r="S35" s="793">
        <f>IFERROR(INDEX('Hoja de apoyo v2'!G$17:G$20,MATCH($A35,'Hoja de apoyo v2'!$A$17:$A$20,0)),"")</f>
        <v>64.772152317133859</v>
      </c>
      <c r="T35" s="792">
        <f>IFERROR(INDEX('Hoja de apoyo v2'!H$17:H$20,MATCH($A35,'Hoja de apoyo v2'!$A$17:$A$20,0)),"")</f>
        <v>389.240053528842</v>
      </c>
      <c r="U35" s="794">
        <f t="shared" si="2"/>
        <v>0.46427955669948257</v>
      </c>
      <c r="V35" s="795">
        <f t="shared" si="3"/>
        <v>1.3977286109652538</v>
      </c>
      <c r="W35" s="795">
        <f t="shared" si="4"/>
        <v>0.72620344852799978</v>
      </c>
      <c r="X35" s="843">
        <f t="shared" si="5"/>
        <v>0.71931034430678564</v>
      </c>
      <c r="Y35" s="843">
        <f t="shared" si="6"/>
        <v>0.83233890237071406</v>
      </c>
      <c r="Z35" s="843">
        <f t="shared" si="7"/>
        <v>0.70725551862560532</v>
      </c>
      <c r="AA35" s="843">
        <f t="shared" si="8"/>
        <v>0.75165474039299962</v>
      </c>
      <c r="AB35" s="796">
        <f t="shared" si="9"/>
        <v>1</v>
      </c>
      <c r="AC35" s="797">
        <f t="shared" si="10"/>
        <v>5</v>
      </c>
      <c r="AD35" s="797">
        <f t="shared" si="11"/>
        <v>2</v>
      </c>
      <c r="AE35" s="842">
        <f t="shared" si="12"/>
        <v>2</v>
      </c>
      <c r="AF35" s="842">
        <f t="shared" si="13"/>
        <v>3</v>
      </c>
      <c r="AG35" s="842">
        <f t="shared" si="14"/>
        <v>2</v>
      </c>
      <c r="AH35" s="842">
        <f t="shared" si="15"/>
        <v>3</v>
      </c>
      <c r="AI35" s="826" cm="1">
        <f t="array" ref="AI35">SUMPRODUCT(--ISNUMBER($U35:$AA35),$AB$3:$AH$3)</f>
        <v>1</v>
      </c>
      <c r="AJ35" s="829">
        <f t="shared" si="16"/>
        <v>32.785852931901047</v>
      </c>
      <c r="AK35" s="827" t="str">
        <f t="shared" si="17"/>
        <v>Inmadura</v>
      </c>
      <c r="AL35" s="784" t="str">
        <f t="shared" si="18"/>
        <v>Alta</v>
      </c>
      <c r="AM35" s="799">
        <f>IF(ISNUMBER('Base de datos Rutas'!W33),'Base de datos Rutas'!W33,"")</f>
        <v>3561.414830517057</v>
      </c>
      <c r="AN35" s="787">
        <f>IFERROR(SUMIFS('Base de datos Rutas'!$W$6:$W$794,'Base de datos Rutas'!$C$6:$C$794,$C35)/'Base de datos Rutas'!I33,"")</f>
        <v>3561.4148305170575</v>
      </c>
      <c r="AO35" s="800">
        <f>IFERROR('Base de datos Rutas'!X33*AN35/AM35,"")</f>
        <v>0.41732881271291661</v>
      </c>
      <c r="AP35" s="800">
        <f t="shared" si="19"/>
        <v>0.58267118728708334</v>
      </c>
      <c r="AQ35" s="789">
        <f>IFERROR(INDEX('Hoja de apoyo v2'!$J$17:$J$20,MATCH($A35,'Hoja de apoyo v2'!$A$17:$A$20,0)),"")</f>
        <v>0.56799995069377007</v>
      </c>
      <c r="AR35" s="789">
        <f t="shared" si="20"/>
        <v>1.4671236593313264E-2</v>
      </c>
      <c r="AS35" s="784" t="str">
        <f t="shared" si="21"/>
        <v>No</v>
      </c>
      <c r="AT35" s="801">
        <f>IF(ISNUMBER('Base de datos Rutas'!CK33),'Base de datos Rutas'!CK33,"")</f>
        <v>250</v>
      </c>
      <c r="AU35" s="802">
        <f>IF(ISNUMBER('Base de datos Rutas'!CL33),'Base de datos Rutas'!CL33,"")</f>
        <v>509.62</v>
      </c>
      <c r="AV35" s="802">
        <f>IF(ISNUMBER('Base de datos Rutas'!CM33),'Base de datos Rutas'!CM33,"")</f>
        <v>259.62</v>
      </c>
      <c r="AW35" s="802">
        <f>IF(ISNUMBER('Base de datos Rutas'!CN33),'Base de datos Rutas'!CN33,"")</f>
        <v>5.28</v>
      </c>
      <c r="AX35" s="802">
        <f>IF(ISNUMBER('Base de datos Rutas'!CO33),'Base de datos Rutas'!CO33,"")</f>
        <v>9.4499999999999993</v>
      </c>
      <c r="AY35" s="802">
        <f>IF(ISNUMBER('Base de datos Rutas'!CP33),'Base de datos Rutas'!CP33,"")</f>
        <v>4.169999999999999</v>
      </c>
      <c r="AZ35" s="802">
        <f>IF(ISNUMBER('Base de datos Rutas'!CQ33),'Base de datos Rutas'!CQ33,"")</f>
        <v>634.91999999999996</v>
      </c>
      <c r="BA35" s="802">
        <f>IF(ISNUMBER('Base de datos Rutas'!CR33),'Base de datos Rutas'!CR33,"")</f>
        <v>262.58999999999997</v>
      </c>
      <c r="BB35" s="803">
        <f>IF(ISNUMBER('Base de datos Rutas'!CS33),'Base de datos Rutas'!CS33,"")</f>
        <v>372.33</v>
      </c>
      <c r="BC35" s="804">
        <f t="shared" si="32"/>
        <v>0</v>
      </c>
      <c r="BD35" s="805" t="str">
        <f t="shared" si="33"/>
        <v>No saturada</v>
      </c>
      <c r="BE35" s="806">
        <f t="shared" si="34"/>
        <v>0.41357966357966358</v>
      </c>
      <c r="BF35" s="890">
        <f>IF(ISNUMBER('Base de datos Rutas'!CX33),'Base de datos Rutas'!CX33/100,"")</f>
        <v>0.87992775041050908</v>
      </c>
      <c r="BG35" s="891">
        <f>IF(ISNUMBER('Base de datos Rutas'!CZ33),'Base de datos Rutas'!CZ33/100,"")</f>
        <v>0.96518883415435142</v>
      </c>
      <c r="BH35" s="892">
        <f>IF(ISNUMBER('Base de datos Rutas'!DA33),'Base de datos Rutas'!DA33,"")</f>
        <v>630.33865921043878</v>
      </c>
      <c r="BI35" s="893">
        <f>IF(ISNUMBER('Base de datos Rutas'!DC33),'Base de datos Rutas'!DC33,"")</f>
        <v>16.955792193958761</v>
      </c>
      <c r="BJ35" s="805" t="str">
        <f t="shared" si="35"/>
        <v>Ruta (completo)</v>
      </c>
      <c r="BK35" s="783">
        <f t="shared" si="22"/>
        <v>4</v>
      </c>
      <c r="BL35" s="797">
        <f t="shared" si="23"/>
        <v>4</v>
      </c>
      <c r="BM35" s="797">
        <f t="shared" si="24"/>
        <v>4</v>
      </c>
      <c r="BN35" s="797">
        <f t="shared" si="25"/>
        <v>4</v>
      </c>
      <c r="BO35" s="798" cm="1">
        <f t="array" ref="BO35">SUMPRODUCT(--ISNUMBER($BF35:$BI35),$BK$3:$BN$3)</f>
        <v>1</v>
      </c>
      <c r="BP35" s="831">
        <f t="shared" si="26"/>
        <v>75</v>
      </c>
      <c r="BQ35" s="834" t="str">
        <f t="shared" si="36"/>
        <v>Alto</v>
      </c>
      <c r="BR35" s="836">
        <f t="shared" si="27"/>
        <v>24.589389698925785</v>
      </c>
      <c r="BS35" s="836">
        <f t="shared" si="28"/>
        <v>75</v>
      </c>
      <c r="BT35" s="837" t="str">
        <f t="shared" si="29"/>
        <v>P3</v>
      </c>
      <c r="BU35" s="807" t="str">
        <f t="shared" si="37"/>
        <v>Con espacio</v>
      </c>
      <c r="BV35" s="807" t="str">
        <f t="shared" si="30"/>
        <v>Zona atractiva</v>
      </c>
      <c r="BW35" s="808" t="str">
        <f t="shared" si="31"/>
        <v>P3 - Desarrollar</v>
      </c>
    </row>
    <row r="36" spans="1:75">
      <c r="A36" s="780" t="str">
        <f>'Base de datos Rutas'!A34</f>
        <v>Noreste</v>
      </c>
      <c r="B36" s="781" t="str">
        <f>'Base de datos Rutas'!B34</f>
        <v>Monterrey</v>
      </c>
      <c r="C36" s="781" t="str">
        <f>'Base de datos Rutas'!C34</f>
        <v>Planta Guadalupe</v>
      </c>
      <c r="D36" s="782">
        <f>IF(ISNUMBER('Base de datos Rutas'!D34),'Base de datos Rutas'!D34,"Sin código")</f>
        <v>701320</v>
      </c>
      <c r="E36" s="783" t="str">
        <f>'Base de datos Rutas'!F34</f>
        <v>Activa</v>
      </c>
      <c r="F36" s="784" t="str">
        <f>'Base de datos Rutas'!H34</f>
        <v>Sí</v>
      </c>
      <c r="G36" s="785">
        <f>IF(ISNUMBER('Base de datos Rutas'!BE34),'Base de datos Rutas'!BE34,"")</f>
        <v>37.962499999999999</v>
      </c>
      <c r="H36" s="786">
        <f>IF(ISNUMBER('Base de datos Rutas'!BH34),'Base de datos Rutas'!BH34,"")</f>
        <v>0.76950938426078397</v>
      </c>
      <c r="I36" s="788">
        <f>IFERROR(IF(OR(NOT(ISNUMBER('Base de datos Rutas'!O34)),N('Base de datos Rutas'!BK34)=0),"",'Base de datos Rutas'!O34/('Base de datos Rutas'!L34/'Base de datos Rutas'!BK34)),"")</f>
        <v>6044.676549865223</v>
      </c>
      <c r="J36" s="788">
        <f>IFERROR(IF(OR(NOT(ISNUMBER('Base de datos Rutas'!N34)),N('Base de datos Rutas'!BK34)=0),"",'Base de datos Rutas'!N34/('Base de datos Rutas'!L34/'Base de datos Rutas'!BK34)),"")</f>
        <v>2438.2587601078139</v>
      </c>
      <c r="K36" s="788">
        <f>IFERROR(IF(OR(NOT(ISNUMBER('Base de datos Rutas'!J34)),N('Base de datos Rutas'!BK34)=0),"",'Base de datos Rutas'!J34/('Base de datos Rutas'!L34/'Base de datos Rutas'!BK34)),"")</f>
        <v>162.61904905660361</v>
      </c>
      <c r="L36" s="788">
        <f>IFERROR(IF(OR(NOT(ISNUMBER('Base de datos Rutas'!K34)),N('Base de datos Rutas'!BK34)=0),"",'Base de datos Rutas'!K34/('Base de datos Rutas'!L34/'Base de datos Rutas'!BK34)),"")</f>
        <v>45.659718641509379</v>
      </c>
      <c r="M36" s="787">
        <f>IF(ISNUMBER('Base de datos Rutas'!AX34),'Base de datos Rutas'!AX34,"")</f>
        <v>264.04652068126501</v>
      </c>
      <c r="N36" s="790">
        <f>IFERROR(INDEX('Hoja de apoyo v2'!B$17:B$20,MATCH($A36,'Hoja de apoyo v2'!$A$17:$A$20,0)),"")</f>
        <v>63.050408855205418</v>
      </c>
      <c r="O36" s="791">
        <f>IFERROR(INDEX('Hoja de apoyo v2'!C$17:C$20,MATCH($A36,'Hoja de apoyo v2'!$A$17:$A$20,0)),"")</f>
        <v>0.7559478312655763</v>
      </c>
      <c r="P36" s="793">
        <f>IFERROR(INDEX('Hoja de apoyo v2'!D$17:D$20,MATCH($A36,'Hoja de apoyo v2'!$A$17:$A$20,0)),"")</f>
        <v>9054.9839880720647</v>
      </c>
      <c r="Q36" s="793">
        <f>IFERROR(INDEX('Hoja de apoyo v2'!E$17:E$20,MATCH($A36,'Hoja de apoyo v2'!$A$17:$A$20,0)),"")</f>
        <v>4535.7799207004691</v>
      </c>
      <c r="R36" s="793">
        <f>IFERROR(INDEX('Hoja de apoyo v2'!F$17:F$20,MATCH($A36,'Hoja de apoyo v2'!$A$17:$A$20,0)),"")</f>
        <v>260.44838236060593</v>
      </c>
      <c r="S36" s="793">
        <f>IFERROR(INDEX('Hoja de apoyo v2'!G$17:G$20,MATCH($A36,'Hoja de apoyo v2'!$A$17:$A$20,0)),"")</f>
        <v>64.772152317133859</v>
      </c>
      <c r="T36" s="792">
        <f>IFERROR(INDEX('Hoja de apoyo v2'!H$17:H$20,MATCH($A36,'Hoja de apoyo v2'!$A$17:$A$20,0)),"")</f>
        <v>389.240053528842</v>
      </c>
      <c r="U36" s="794">
        <f t="shared" si="2"/>
        <v>0.602097602367345</v>
      </c>
      <c r="V36" s="795">
        <f t="shared" si="3"/>
        <v>1.017939800121529</v>
      </c>
      <c r="W36" s="795">
        <f t="shared" si="4"/>
        <v>0.66755242834528972</v>
      </c>
      <c r="X36" s="843">
        <f t="shared" si="5"/>
        <v>0.53756108160804883</v>
      </c>
      <c r="Y36" s="843">
        <f t="shared" si="6"/>
        <v>0.62438110608591946</v>
      </c>
      <c r="Z36" s="843">
        <f t="shared" si="7"/>
        <v>0.7049282293099165</v>
      </c>
      <c r="AA36" s="843">
        <f t="shared" si="8"/>
        <v>0.67836420812150466</v>
      </c>
      <c r="AB36" s="796">
        <f t="shared" si="9"/>
        <v>2</v>
      </c>
      <c r="AC36" s="797">
        <f t="shared" si="10"/>
        <v>4</v>
      </c>
      <c r="AD36" s="797">
        <f t="shared" si="11"/>
        <v>2</v>
      </c>
      <c r="AE36" s="842">
        <f t="shared" si="12"/>
        <v>2</v>
      </c>
      <c r="AF36" s="842">
        <f t="shared" si="13"/>
        <v>2</v>
      </c>
      <c r="AG36" s="842">
        <f t="shared" si="14"/>
        <v>2</v>
      </c>
      <c r="AH36" s="842">
        <f t="shared" si="15"/>
        <v>2</v>
      </c>
      <c r="AI36" s="826" cm="1">
        <f t="array" ref="AI36">SUMPRODUCT(--ISNUMBER($U36:$AA36),$AB$3:$AH$3)</f>
        <v>1</v>
      </c>
      <c r="AJ36" s="829">
        <f t="shared" si="16"/>
        <v>29.765811171780964</v>
      </c>
      <c r="AK36" s="827" t="str">
        <f t="shared" si="17"/>
        <v>Inmadura</v>
      </c>
      <c r="AL36" s="784" t="str">
        <f t="shared" si="18"/>
        <v>Alta</v>
      </c>
      <c r="AM36" s="799">
        <f>IF(ISNUMBER('Base de datos Rutas'!W34),'Base de datos Rutas'!W34,"")</f>
        <v>3561.414830517057</v>
      </c>
      <c r="AN36" s="787">
        <f>IFERROR(SUMIFS('Base de datos Rutas'!$W$6:$W$794,'Base de datos Rutas'!$C$6:$C$794,$C36)/'Base de datos Rutas'!I34,"")</f>
        <v>3561.4148305170575</v>
      </c>
      <c r="AO36" s="800">
        <f>IFERROR('Base de datos Rutas'!X34*AN36/AM36,"")</f>
        <v>0.41732881271291661</v>
      </c>
      <c r="AP36" s="800">
        <f t="shared" si="19"/>
        <v>0.58267118728708334</v>
      </c>
      <c r="AQ36" s="789">
        <f>IFERROR(INDEX('Hoja de apoyo v2'!$J$17:$J$20,MATCH($A36,'Hoja de apoyo v2'!$A$17:$A$20,0)),"")</f>
        <v>0.56799995069377007</v>
      </c>
      <c r="AR36" s="789">
        <f t="shared" si="20"/>
        <v>1.4671236593313264E-2</v>
      </c>
      <c r="AS36" s="784" t="str">
        <f t="shared" si="21"/>
        <v>No</v>
      </c>
      <c r="AT36" s="801">
        <f>IF(ISNUMBER('Base de datos Rutas'!CK34),'Base de datos Rutas'!CK34,"")</f>
        <v>247</v>
      </c>
      <c r="AU36" s="802">
        <f>IF(ISNUMBER('Base de datos Rutas'!CL34),'Base de datos Rutas'!CL34,"")</f>
        <v>641.42999999999995</v>
      </c>
      <c r="AV36" s="802">
        <f>IF(ISNUMBER('Base de datos Rutas'!CM34),'Base de datos Rutas'!CM34,"")</f>
        <v>394.42999999999995</v>
      </c>
      <c r="AW36" s="802">
        <f>IF(ISNUMBER('Base de datos Rutas'!CN34),'Base de datos Rutas'!CN34,"")</f>
        <v>4.13</v>
      </c>
      <c r="AX36" s="802">
        <f>IF(ISNUMBER('Base de datos Rutas'!CO34),'Base de datos Rutas'!CO34,"")</f>
        <v>9.4499999999999993</v>
      </c>
      <c r="AY36" s="802">
        <f>IF(ISNUMBER('Base de datos Rutas'!CP34),'Base de datos Rutas'!CP34,"")</f>
        <v>5.3199999999999994</v>
      </c>
      <c r="AZ36" s="802">
        <f>IF(ISNUMBER('Base de datos Rutas'!CQ34),'Base de datos Rutas'!CQ34,"")</f>
        <v>634.91999999999996</v>
      </c>
      <c r="BA36" s="802">
        <f>IF(ISNUMBER('Base de datos Rutas'!CR34),'Base de datos Rutas'!CR34,"")</f>
        <v>208.28</v>
      </c>
      <c r="BB36" s="803">
        <f>IF(ISNUMBER('Base de datos Rutas'!CS34),'Base de datos Rutas'!CS34,"")</f>
        <v>426.64</v>
      </c>
      <c r="BC36" s="804">
        <f t="shared" si="32"/>
        <v>0</v>
      </c>
      <c r="BD36" s="805" t="str">
        <f t="shared" si="33"/>
        <v>No saturada</v>
      </c>
      <c r="BE36" s="806">
        <f t="shared" si="34"/>
        <v>0.32804132804132807</v>
      </c>
      <c r="BF36" s="890">
        <f>IF(ISNUMBER('Base de datos Rutas'!CX34),'Base de datos Rutas'!CX34/100,"")</f>
        <v>0.37247073741708936</v>
      </c>
      <c r="BG36" s="891">
        <f>IF(ISNUMBER('Base de datos Rutas'!CZ34),'Base de datos Rutas'!CZ34/100,"")</f>
        <v>0.41094420600858361</v>
      </c>
      <c r="BH36" s="892">
        <f>IF(ISNUMBER('Base de datos Rutas'!DA34),'Base de datos Rutas'!DA34,"")</f>
        <v>222.26276131999177</v>
      </c>
      <c r="BI36" s="893">
        <f>IF(ISNUMBER('Base de datos Rutas'!DC34),'Base de datos Rutas'!DC34,"")</f>
        <v>6.9662168445197121</v>
      </c>
      <c r="BJ36" s="805" t="str">
        <f t="shared" si="35"/>
        <v>Ruta (completo)</v>
      </c>
      <c r="BK36" s="783">
        <f t="shared" si="22"/>
        <v>2</v>
      </c>
      <c r="BL36" s="797">
        <f t="shared" si="23"/>
        <v>2</v>
      </c>
      <c r="BM36" s="797">
        <f t="shared" si="24"/>
        <v>2</v>
      </c>
      <c r="BN36" s="797">
        <f t="shared" si="25"/>
        <v>3</v>
      </c>
      <c r="BO36" s="798" cm="1">
        <f t="array" ref="BO36">SUMPRODUCT(--ISNUMBER($BF36:$BI36),$BK$3:$BN$3)</f>
        <v>1</v>
      </c>
      <c r="BP36" s="831">
        <f t="shared" si="26"/>
        <v>31.25</v>
      </c>
      <c r="BQ36" s="834" t="str">
        <f t="shared" si="36"/>
        <v>Medio</v>
      </c>
      <c r="BR36" s="836">
        <f t="shared" si="27"/>
        <v>22.324358378835722</v>
      </c>
      <c r="BS36" s="836">
        <f t="shared" si="28"/>
        <v>31.25</v>
      </c>
      <c r="BT36" s="837" t="str">
        <f t="shared" si="29"/>
        <v>P4</v>
      </c>
      <c r="BU36" s="807" t="str">
        <f t="shared" si="37"/>
        <v>Con espacio</v>
      </c>
      <c r="BV36" s="807" t="str">
        <f t="shared" si="30"/>
        <v>Zona de bajo potencial</v>
      </c>
      <c r="BW36" s="808" t="str">
        <f t="shared" si="31"/>
        <v>P4 - Evaluar</v>
      </c>
    </row>
    <row r="37" spans="1:75">
      <c r="A37" s="780" t="str">
        <f>'Base de datos Rutas'!A35</f>
        <v>Noreste</v>
      </c>
      <c r="B37" s="781" t="str">
        <f>'Base de datos Rutas'!B35</f>
        <v>Monterrey</v>
      </c>
      <c r="C37" s="781" t="str">
        <f>'Base de datos Rutas'!C35</f>
        <v>Planta Guadalupe</v>
      </c>
      <c r="D37" s="782">
        <f>IF(ISNUMBER('Base de datos Rutas'!D35),'Base de datos Rutas'!D35,"Sin código")</f>
        <v>701321</v>
      </c>
      <c r="E37" s="783" t="str">
        <f>'Base de datos Rutas'!F35</f>
        <v>Inactiva</v>
      </c>
      <c r="F37" s="784" t="str">
        <f>'Base de datos Rutas'!H35</f>
        <v>No</v>
      </c>
      <c r="G37" s="785" t="str">
        <f>IF(ISNUMBER('Base de datos Rutas'!BE35),'Base de datos Rutas'!BE35,"")</f>
        <v/>
      </c>
      <c r="H37" s="786" t="str">
        <f>IF(ISNUMBER('Base de datos Rutas'!BH35),'Base de datos Rutas'!BH35,"")</f>
        <v/>
      </c>
      <c r="I37" s="788" t="str">
        <f>IFERROR(IF(OR(NOT(ISNUMBER('Base de datos Rutas'!O35)),N('Base de datos Rutas'!BK35)=0),"",'Base de datos Rutas'!O35/('Base de datos Rutas'!L35/'Base de datos Rutas'!BK35)),"")</f>
        <v/>
      </c>
      <c r="J37" s="788" t="str">
        <f>IFERROR(IF(OR(NOT(ISNUMBER('Base de datos Rutas'!N35)),N('Base de datos Rutas'!BK35)=0),"",'Base de datos Rutas'!N35/('Base de datos Rutas'!L35/'Base de datos Rutas'!BK35)),"")</f>
        <v/>
      </c>
      <c r="K37" s="788" t="str">
        <f>IFERROR(IF(OR(NOT(ISNUMBER('Base de datos Rutas'!J35)),N('Base de datos Rutas'!BK35)=0),"",'Base de datos Rutas'!J35/('Base de datos Rutas'!L35/'Base de datos Rutas'!BK35)),"")</f>
        <v/>
      </c>
      <c r="L37" s="788" t="str">
        <f>IFERROR(IF(OR(NOT(ISNUMBER('Base de datos Rutas'!K35)),N('Base de datos Rutas'!BK35)=0),"",'Base de datos Rutas'!K35/('Base de datos Rutas'!L35/'Base de datos Rutas'!BK35)),"")</f>
        <v/>
      </c>
      <c r="M37" s="787">
        <f>IF(ISNUMBER('Base de datos Rutas'!AX35),'Base de datos Rutas'!AX35,"")</f>
        <v>45.095999999999997</v>
      </c>
      <c r="N37" s="790">
        <f>IFERROR(INDEX('Hoja de apoyo v2'!B$17:B$20,MATCH($A37,'Hoja de apoyo v2'!$A$17:$A$20,0)),"")</f>
        <v>63.050408855205418</v>
      </c>
      <c r="O37" s="791">
        <f>IFERROR(INDEX('Hoja de apoyo v2'!C$17:C$20,MATCH($A37,'Hoja de apoyo v2'!$A$17:$A$20,0)),"")</f>
        <v>0.7559478312655763</v>
      </c>
      <c r="P37" s="793">
        <f>IFERROR(INDEX('Hoja de apoyo v2'!D$17:D$20,MATCH($A37,'Hoja de apoyo v2'!$A$17:$A$20,0)),"")</f>
        <v>9054.9839880720647</v>
      </c>
      <c r="Q37" s="793">
        <f>IFERROR(INDEX('Hoja de apoyo v2'!E$17:E$20,MATCH($A37,'Hoja de apoyo v2'!$A$17:$A$20,0)),"")</f>
        <v>4535.7799207004691</v>
      </c>
      <c r="R37" s="793">
        <f>IFERROR(INDEX('Hoja de apoyo v2'!F$17:F$20,MATCH($A37,'Hoja de apoyo v2'!$A$17:$A$20,0)),"")</f>
        <v>260.44838236060593</v>
      </c>
      <c r="S37" s="793">
        <f>IFERROR(INDEX('Hoja de apoyo v2'!G$17:G$20,MATCH($A37,'Hoja de apoyo v2'!$A$17:$A$20,0)),"")</f>
        <v>64.772152317133859</v>
      </c>
      <c r="T37" s="792">
        <f>IFERROR(INDEX('Hoja de apoyo v2'!H$17:H$20,MATCH($A37,'Hoja de apoyo v2'!$A$17:$A$20,0)),"")</f>
        <v>389.240053528842</v>
      </c>
      <c r="U37" s="794" t="str">
        <f t="shared" si="2"/>
        <v/>
      </c>
      <c r="V37" s="795" t="str">
        <f t="shared" si="3"/>
        <v/>
      </c>
      <c r="W37" s="795" t="str">
        <f t="shared" si="4"/>
        <v/>
      </c>
      <c r="X37" s="843" t="str">
        <f t="shared" si="5"/>
        <v/>
      </c>
      <c r="Y37" s="843" t="str">
        <f t="shared" si="6"/>
        <v/>
      </c>
      <c r="Z37" s="843" t="str">
        <f t="shared" si="7"/>
        <v/>
      </c>
      <c r="AA37" s="843">
        <f t="shared" si="8"/>
        <v>0.1158565250188428</v>
      </c>
      <c r="AB37" s="796">
        <f t="shared" si="9"/>
        <v>0</v>
      </c>
      <c r="AC37" s="797">
        <f t="shared" si="10"/>
        <v>0</v>
      </c>
      <c r="AD37" s="797">
        <f t="shared" si="11"/>
        <v>0</v>
      </c>
      <c r="AE37" s="842">
        <f t="shared" si="12"/>
        <v>0</v>
      </c>
      <c r="AF37" s="842">
        <f t="shared" si="13"/>
        <v>0</v>
      </c>
      <c r="AG37" s="842">
        <f t="shared" si="14"/>
        <v>0</v>
      </c>
      <c r="AH37" s="842">
        <f t="shared" si="15"/>
        <v>1</v>
      </c>
      <c r="AI37" s="826" cm="1">
        <f t="array" ref="AI37">SUMPRODUCT(--ISNUMBER($U37:$AA37),$AB$3:$AH$3)</f>
        <v>8.9789113613062493E-2</v>
      </c>
      <c r="AJ37" s="829" t="str">
        <f t="shared" si="16"/>
        <v/>
      </c>
      <c r="AK37" s="827" t="str">
        <f t="shared" si="17"/>
        <v>Ruta inactiva</v>
      </c>
      <c r="AL37" s="784" t="str">
        <f t="shared" si="18"/>
        <v>n/a</v>
      </c>
      <c r="AM37" s="799">
        <f>IF(ISNUMBER('Base de datos Rutas'!W35),'Base de datos Rutas'!W35,"")</f>
        <v>3561.414830517057</v>
      </c>
      <c r="AN37" s="787">
        <f>IFERROR(SUMIFS('Base de datos Rutas'!$W$6:$W$794,'Base de datos Rutas'!$C$6:$C$794,$C37)/'Base de datos Rutas'!I35,"")</f>
        <v>3561.4148305170575</v>
      </c>
      <c r="AO37" s="800">
        <f>IFERROR('Base de datos Rutas'!X35*AN37/AM37,"")</f>
        <v>0.41732881271291661</v>
      </c>
      <c r="AP37" s="800">
        <f t="shared" si="19"/>
        <v>0.58267118728708334</v>
      </c>
      <c r="AQ37" s="789">
        <f>IFERROR(INDEX('Hoja de apoyo v2'!$J$17:$J$20,MATCH($A37,'Hoja de apoyo v2'!$A$17:$A$20,0)),"")</f>
        <v>0.56799995069377007</v>
      </c>
      <c r="AR37" s="789">
        <f t="shared" si="20"/>
        <v>1.4671236593313264E-2</v>
      </c>
      <c r="AS37" s="784" t="str">
        <f t="shared" si="21"/>
        <v>No</v>
      </c>
      <c r="AT37" s="801" t="str">
        <f>IF(ISNUMBER('Base de datos Rutas'!CK35),'Base de datos Rutas'!CK35,"")</f>
        <v/>
      </c>
      <c r="AU37" s="802" t="str">
        <f>IF(ISNUMBER('Base de datos Rutas'!CL35),'Base de datos Rutas'!CL35,"")</f>
        <v/>
      </c>
      <c r="AV37" s="802">
        <f>IF(ISNUMBER('Base de datos Rutas'!CM35),'Base de datos Rutas'!CM35,"")</f>
        <v>0</v>
      </c>
      <c r="AW37" s="802" t="str">
        <f>IF(ISNUMBER('Base de datos Rutas'!CN35),'Base de datos Rutas'!CN35,"")</f>
        <v/>
      </c>
      <c r="AX37" s="802" t="str">
        <f>IF(ISNUMBER('Base de datos Rutas'!CO35),'Base de datos Rutas'!CO35,"")</f>
        <v/>
      </c>
      <c r="AY37" s="802">
        <f>IF(ISNUMBER('Base de datos Rutas'!CP35),'Base de datos Rutas'!CP35,"")</f>
        <v>0</v>
      </c>
      <c r="AZ37" s="802" t="str">
        <f>IF(ISNUMBER('Base de datos Rutas'!CQ35),'Base de datos Rutas'!CQ35,"")</f>
        <v/>
      </c>
      <c r="BA37" s="802" t="str">
        <f>IF(ISNUMBER('Base de datos Rutas'!CR35),'Base de datos Rutas'!CR35,"")</f>
        <v/>
      </c>
      <c r="BB37" s="803">
        <f>IF(ISNUMBER('Base de datos Rutas'!CS35),'Base de datos Rutas'!CS35,"")</f>
        <v>0</v>
      </c>
      <c r="BC37" s="804" t="str">
        <f t="shared" si="32"/>
        <v/>
      </c>
      <c r="BD37" s="805" t="str">
        <f t="shared" si="33"/>
        <v>N/D</v>
      </c>
      <c r="BE37" s="806" t="str">
        <f t="shared" si="34"/>
        <v/>
      </c>
      <c r="BF37" s="890" t="str">
        <f>IF(ISNUMBER('Base de datos Rutas'!CX35),'Base de datos Rutas'!CX35/100,"")</f>
        <v/>
      </c>
      <c r="BG37" s="891" t="str">
        <f>IF(ISNUMBER('Base de datos Rutas'!CZ35),'Base de datos Rutas'!CZ35/100,"")</f>
        <v/>
      </c>
      <c r="BH37" s="892" t="str">
        <f>IF(ISNUMBER('Base de datos Rutas'!DA35),'Base de datos Rutas'!DA35,"")</f>
        <v/>
      </c>
      <c r="BI37" s="893" t="str">
        <f>IF(ISNUMBER('Base de datos Rutas'!DC35),'Base de datos Rutas'!DC35,"")</f>
        <v/>
      </c>
      <c r="BJ37" s="805" t="str">
        <f t="shared" si="35"/>
        <v>Sin dato</v>
      </c>
      <c r="BK37" s="783">
        <f t="shared" si="22"/>
        <v>0</v>
      </c>
      <c r="BL37" s="797">
        <f t="shared" si="23"/>
        <v>0</v>
      </c>
      <c r="BM37" s="797">
        <f t="shared" si="24"/>
        <v>0</v>
      </c>
      <c r="BN37" s="797">
        <f t="shared" si="25"/>
        <v>0</v>
      </c>
      <c r="BO37" s="798" cm="1">
        <f t="array" ref="BO37">SUMPRODUCT(--ISNUMBER($BF37:$BI37),$BK$3:$BN$3)</f>
        <v>0</v>
      </c>
      <c r="BP37" s="831" t="str">
        <f t="shared" si="26"/>
        <v/>
      </c>
      <c r="BQ37" s="834" t="str">
        <f t="shared" si="36"/>
        <v>Sin datos</v>
      </c>
      <c r="BR37" s="836" t="str">
        <f t="shared" si="27"/>
        <v/>
      </c>
      <c r="BS37" s="836" t="str">
        <f t="shared" si="28"/>
        <v/>
      </c>
      <c r="BT37" s="837" t="str">
        <f t="shared" si="29"/>
        <v>Sin datos</v>
      </c>
      <c r="BU37" s="807" t="str">
        <f t="shared" si="37"/>
        <v>No evaluable</v>
      </c>
      <c r="BV37" s="807" t="str">
        <f t="shared" si="30"/>
        <v>No evaluable</v>
      </c>
      <c r="BW37" s="808" t="str">
        <f t="shared" si="31"/>
        <v>Sin datos</v>
      </c>
    </row>
    <row r="38" spans="1:75">
      <c r="A38" s="780" t="str">
        <f>'Base de datos Rutas'!A36</f>
        <v>Noreste</v>
      </c>
      <c r="B38" s="781" t="str">
        <f>'Base de datos Rutas'!B36</f>
        <v>Monterrey</v>
      </c>
      <c r="C38" s="781" t="str">
        <f>'Base de datos Rutas'!C36</f>
        <v>Sucursal Juventud</v>
      </c>
      <c r="D38" s="782">
        <f>IF(ISNUMBER('Base de datos Rutas'!D36),'Base de datos Rutas'!D36,"Sin código")</f>
        <v>704300</v>
      </c>
      <c r="E38" s="783" t="str">
        <f>'Base de datos Rutas'!F36</f>
        <v>Activa</v>
      </c>
      <c r="F38" s="784" t="str">
        <f>'Base de datos Rutas'!H36</f>
        <v>Sí</v>
      </c>
      <c r="G38" s="785">
        <f>IF(ISNUMBER('Base de datos Rutas'!BE36),'Base de datos Rutas'!BE36,"")</f>
        <v>55.710407239818998</v>
      </c>
      <c r="H38" s="786">
        <f>IF(ISNUMBER('Base de datos Rutas'!BH36),'Base de datos Rutas'!BH36,"")</f>
        <v>0.73964424951267105</v>
      </c>
      <c r="I38" s="788">
        <f>IFERROR(IF(OR(NOT(ISNUMBER('Base de datos Rutas'!O36)),N('Base de datos Rutas'!BK36)=0),"",'Base de datos Rutas'!O36/('Base de datos Rutas'!L36/'Base de datos Rutas'!BK36)),"")</f>
        <v>11496.497737556556</v>
      </c>
      <c r="J38" s="788">
        <f>IFERROR(IF(OR(NOT(ISNUMBER('Base de datos Rutas'!N36)),N('Base de datos Rutas'!BK36)=0),"",'Base de datos Rutas'!N36/('Base de datos Rutas'!L36/'Base de datos Rutas'!BK36)),"")</f>
        <v>2106.3529411764694</v>
      </c>
      <c r="K38" s="788">
        <f>IFERROR(IF(OR(NOT(ISNUMBER('Base de datos Rutas'!J36)),N('Base de datos Rutas'!BK36)=0),"",'Base de datos Rutas'!J36/('Base de datos Rutas'!L36/'Base de datos Rutas'!BK36)),"")</f>
        <v>146.8251076923074</v>
      </c>
      <c r="L38" s="788">
        <f>IFERROR(IF(OR(NOT(ISNUMBER('Base de datos Rutas'!K36)),N('Base de datos Rutas'!BK36)=0),"",'Base de datos Rutas'!K36/('Base de datos Rutas'!L36/'Base de datos Rutas'!BK36)),"")</f>
        <v>91.605852481900413</v>
      </c>
      <c r="M38" s="787">
        <f>IF(ISNUMBER('Base de datos Rutas'!AX36),'Base de datos Rutas'!AX36,"")</f>
        <v>330.13656618898602</v>
      </c>
      <c r="N38" s="790">
        <f>IFERROR(INDEX('Hoja de apoyo v2'!B$17:B$20,MATCH($A38,'Hoja de apoyo v2'!$A$17:$A$20,0)),"")</f>
        <v>63.050408855205418</v>
      </c>
      <c r="O38" s="791">
        <f>IFERROR(INDEX('Hoja de apoyo v2'!C$17:C$20,MATCH($A38,'Hoja de apoyo v2'!$A$17:$A$20,0)),"")</f>
        <v>0.7559478312655763</v>
      </c>
      <c r="P38" s="793">
        <f>IFERROR(INDEX('Hoja de apoyo v2'!D$17:D$20,MATCH($A38,'Hoja de apoyo v2'!$A$17:$A$20,0)),"")</f>
        <v>9054.9839880720647</v>
      </c>
      <c r="Q38" s="793">
        <f>IFERROR(INDEX('Hoja de apoyo v2'!E$17:E$20,MATCH($A38,'Hoja de apoyo v2'!$A$17:$A$20,0)),"")</f>
        <v>4535.7799207004691</v>
      </c>
      <c r="R38" s="793">
        <f>IFERROR(INDEX('Hoja de apoyo v2'!F$17:F$20,MATCH($A38,'Hoja de apoyo v2'!$A$17:$A$20,0)),"")</f>
        <v>260.44838236060593</v>
      </c>
      <c r="S38" s="793">
        <f>IFERROR(INDEX('Hoja de apoyo v2'!G$17:G$20,MATCH($A38,'Hoja de apoyo v2'!$A$17:$A$20,0)),"")</f>
        <v>64.772152317133859</v>
      </c>
      <c r="T38" s="792">
        <f>IFERROR(INDEX('Hoja de apoyo v2'!H$17:H$20,MATCH($A38,'Hoja de apoyo v2'!$A$17:$A$20,0)),"")</f>
        <v>389.240053528842</v>
      </c>
      <c r="U38" s="794">
        <f t="shared" si="2"/>
        <v>0.88358518606528536</v>
      </c>
      <c r="V38" s="795">
        <f t="shared" si="3"/>
        <v>0.97843292740768839</v>
      </c>
      <c r="W38" s="795">
        <f t="shared" si="4"/>
        <v>1.2696320338832896</v>
      </c>
      <c r="X38" s="843">
        <f t="shared" si="5"/>
        <v>0.46438605443872183</v>
      </c>
      <c r="Y38" s="843">
        <f t="shared" si="6"/>
        <v>0.56373975665174025</v>
      </c>
      <c r="Z38" s="843">
        <f t="shared" si="7"/>
        <v>1.4142783465552429</v>
      </c>
      <c r="AA38" s="843">
        <f t="shared" si="8"/>
        <v>0.84815671767582745</v>
      </c>
      <c r="AB38" s="796">
        <f t="shared" si="9"/>
        <v>3</v>
      </c>
      <c r="AC38" s="797">
        <f t="shared" si="10"/>
        <v>3</v>
      </c>
      <c r="AD38" s="797">
        <f t="shared" si="11"/>
        <v>5</v>
      </c>
      <c r="AE38" s="842">
        <f t="shared" si="12"/>
        <v>1</v>
      </c>
      <c r="AF38" s="842">
        <f t="shared" si="13"/>
        <v>2</v>
      </c>
      <c r="AG38" s="842">
        <f t="shared" si="14"/>
        <v>5</v>
      </c>
      <c r="AH38" s="842">
        <f t="shared" si="15"/>
        <v>3</v>
      </c>
      <c r="AI38" s="826" cm="1">
        <f t="array" ref="AI38">SUMPRODUCT(--ISNUMBER($U38:$AA38),$AB$3:$AH$3)</f>
        <v>1</v>
      </c>
      <c r="AJ38" s="829">
        <f t="shared" si="16"/>
        <v>59.261536670298284</v>
      </c>
      <c r="AK38" s="827" t="str">
        <f t="shared" si="17"/>
        <v>En desarrollo</v>
      </c>
      <c r="AL38" s="784" t="str">
        <f t="shared" si="18"/>
        <v>Alta</v>
      </c>
      <c r="AM38" s="799">
        <f>IF(ISNUMBER('Base de datos Rutas'!W36),'Base de datos Rutas'!W36,"")</f>
        <v>3282.4548901856938</v>
      </c>
      <c r="AN38" s="787">
        <f>IFERROR(SUMIFS('Base de datos Rutas'!$W$6:$W$794,'Base de datos Rutas'!$C$6:$C$794,$C38)/'Base de datos Rutas'!I36,"")</f>
        <v>3282.4548901856929</v>
      </c>
      <c r="AO38" s="800">
        <f>IFERROR('Base de datos Rutas'!X36*AN38/AM38,"")</f>
        <v>0.44222418227796229</v>
      </c>
      <c r="AP38" s="800">
        <f t="shared" si="19"/>
        <v>0.55777581772203777</v>
      </c>
      <c r="AQ38" s="789">
        <f>IFERROR(INDEX('Hoja de apoyo v2'!$J$17:$J$20,MATCH($A38,'Hoja de apoyo v2'!$A$17:$A$20,0)),"")</f>
        <v>0.56799995069377007</v>
      </c>
      <c r="AR38" s="789">
        <f t="shared" si="20"/>
        <v>-1.0224132971732303E-2</v>
      </c>
      <c r="AS38" s="784" t="str">
        <f t="shared" si="21"/>
        <v>No</v>
      </c>
      <c r="AT38" s="801">
        <f>IF(ISNUMBER('Base de datos Rutas'!CK36),'Base de datos Rutas'!CK36,"")</f>
        <v>281</v>
      </c>
      <c r="AU38" s="802">
        <f>IF(ISNUMBER('Base de datos Rutas'!CL36),'Base de datos Rutas'!CL36,"")</f>
        <v>1040.31</v>
      </c>
      <c r="AV38" s="802">
        <f>IF(ISNUMBER('Base de datos Rutas'!CM36),'Base de datos Rutas'!CM36,"")</f>
        <v>759.31</v>
      </c>
      <c r="AW38" s="802">
        <f>IF(ISNUMBER('Base de datos Rutas'!CN36),'Base de datos Rutas'!CN36,"")</f>
        <v>5.09</v>
      </c>
      <c r="AX38" s="802">
        <f>IF(ISNUMBER('Base de datos Rutas'!CO36),'Base de datos Rutas'!CO36,"")</f>
        <v>9.4499999999999993</v>
      </c>
      <c r="AY38" s="802">
        <f>IF(ISNUMBER('Base de datos Rutas'!CP36),'Base de datos Rutas'!CP36,"")</f>
        <v>4.3599999999999994</v>
      </c>
      <c r="AZ38" s="802">
        <f>IF(ISNUMBER('Base de datos Rutas'!CQ36),'Base de datos Rutas'!CQ36,"")</f>
        <v>1481.48</v>
      </c>
      <c r="BA38" s="802">
        <f>IF(ISNUMBER('Base de datos Rutas'!CR36),'Base de datos Rutas'!CR36,"")</f>
        <v>238.43</v>
      </c>
      <c r="BB38" s="803">
        <f>IF(ISNUMBER('Base de datos Rutas'!CS36),'Base de datos Rutas'!CS36,"")</f>
        <v>1243.05</v>
      </c>
      <c r="BC38" s="804">
        <f t="shared" si="32"/>
        <v>0</v>
      </c>
      <c r="BD38" s="805" t="str">
        <f t="shared" si="33"/>
        <v>No saturada</v>
      </c>
      <c r="BE38" s="806">
        <f t="shared" si="34"/>
        <v>0.16094041094041095</v>
      </c>
      <c r="BF38" s="890">
        <f>IF(ISNUMBER('Base de datos Rutas'!CX36),'Base de datos Rutas'!CX36/100,"")</f>
        <v>0.83571622579121396</v>
      </c>
      <c r="BG38" s="891">
        <f>IF(ISNUMBER('Base de datos Rutas'!CZ36),'Base de datos Rutas'!CZ36/100,"")</f>
        <v>0.88055030703826165</v>
      </c>
      <c r="BH38" s="892">
        <f>IF(ISNUMBER('Base de datos Rutas'!DA36),'Base de datos Rutas'!DA36,"")</f>
        <v>667.2215999606675</v>
      </c>
      <c r="BI38" s="893">
        <f>IF(ISNUMBER('Base de datos Rutas'!DC36),'Base de datos Rutas'!DC36,"")</f>
        <v>11.777224021506264</v>
      </c>
      <c r="BJ38" s="805" t="str">
        <f t="shared" si="35"/>
        <v>Ruta (completo)</v>
      </c>
      <c r="BK38" s="783">
        <f t="shared" si="22"/>
        <v>5</v>
      </c>
      <c r="BL38" s="797">
        <f t="shared" si="23"/>
        <v>5</v>
      </c>
      <c r="BM38" s="797">
        <f t="shared" si="24"/>
        <v>5</v>
      </c>
      <c r="BN38" s="797">
        <f t="shared" si="25"/>
        <v>4</v>
      </c>
      <c r="BO38" s="798" cm="1">
        <f t="array" ref="BO38">SUMPRODUCT(--ISNUMBER($BF38:$BI38),$BK$3:$BN$3)</f>
        <v>1</v>
      </c>
      <c r="BP38" s="831">
        <f t="shared" si="26"/>
        <v>93.75</v>
      </c>
      <c r="BQ38" s="834" t="str">
        <f t="shared" si="36"/>
        <v>Alto</v>
      </c>
      <c r="BR38" s="836">
        <f t="shared" si="27"/>
        <v>44.446152502723713</v>
      </c>
      <c r="BS38" s="836">
        <f t="shared" si="28"/>
        <v>93.75</v>
      </c>
      <c r="BT38" s="837" t="str">
        <f t="shared" si="29"/>
        <v>P1</v>
      </c>
      <c r="BU38" s="807" t="str">
        <f t="shared" si="37"/>
        <v>Con espacio</v>
      </c>
      <c r="BV38" s="807" t="str">
        <f t="shared" si="30"/>
        <v>Zona atractiva</v>
      </c>
      <c r="BW38" s="808" t="str">
        <f t="shared" si="31"/>
        <v>P1 - Ampliar cobertura</v>
      </c>
    </row>
    <row r="39" spans="1:75">
      <c r="A39" s="780" t="str">
        <f>'Base de datos Rutas'!A37</f>
        <v>Noreste</v>
      </c>
      <c r="B39" s="781" t="str">
        <f>'Base de datos Rutas'!B37</f>
        <v>Monterrey</v>
      </c>
      <c r="C39" s="781" t="str">
        <f>'Base de datos Rutas'!C37</f>
        <v>Sucursal Juventud</v>
      </c>
      <c r="D39" s="782">
        <f>IF(ISNUMBER('Base de datos Rutas'!D37),'Base de datos Rutas'!D37,"Sin código")</f>
        <v>704301</v>
      </c>
      <c r="E39" s="783" t="str">
        <f>'Base de datos Rutas'!F37</f>
        <v>Activa</v>
      </c>
      <c r="F39" s="784" t="str">
        <f>'Base de datos Rutas'!H37</f>
        <v>Sí</v>
      </c>
      <c r="G39" s="785">
        <f>IF(ISNUMBER('Base de datos Rutas'!BE37),'Base de datos Rutas'!BE37,"")</f>
        <v>59.873303167420801</v>
      </c>
      <c r="H39" s="786">
        <f>IF(ISNUMBER('Base de datos Rutas'!BH37),'Base de datos Rutas'!BH37,"")</f>
        <v>0.62889207980652995</v>
      </c>
      <c r="I39" s="788">
        <f>IFERROR(IF(OR(NOT(ISNUMBER('Base de datos Rutas'!O37)),N('Base de datos Rutas'!BK37)=0),"",'Base de datos Rutas'!O37/('Base de datos Rutas'!L37/'Base de datos Rutas'!BK37)),"")</f>
        <v>8846.0904977375521</v>
      </c>
      <c r="J39" s="788">
        <f>IFERROR(IF(OR(NOT(ISNUMBER('Base de datos Rutas'!N37)),N('Base de datos Rutas'!BK37)=0),"",'Base de datos Rutas'!N37/('Base de datos Rutas'!L37/'Base de datos Rutas'!BK37)),"")</f>
        <v>2828.3846153846139</v>
      </c>
      <c r="K39" s="788">
        <f>IFERROR(IF(OR(NOT(ISNUMBER('Base de datos Rutas'!J37)),N('Base de datos Rutas'!BK37)=0),"",'Base de datos Rutas'!J37/('Base de datos Rutas'!L37/'Base de datos Rutas'!BK37)),"")</f>
        <v>186.4321846153845</v>
      </c>
      <c r="L39" s="788">
        <f>IFERROR(IF(OR(NOT(ISNUMBER('Base de datos Rutas'!K37)),N('Base de datos Rutas'!BK37)=0),"",'Base de datos Rutas'!K37/('Base de datos Rutas'!L37/'Base de datos Rutas'!BK37)),"")</f>
        <v>67.554501920814445</v>
      </c>
      <c r="M39" s="787">
        <f>IF(ISNUMBER('Base de datos Rutas'!AX37),'Base de datos Rutas'!AX37,"")</f>
        <v>310.04734843477701</v>
      </c>
      <c r="N39" s="790">
        <f>IFERROR(INDEX('Hoja de apoyo v2'!B$17:B$20,MATCH($A39,'Hoja de apoyo v2'!$A$17:$A$20,0)),"")</f>
        <v>63.050408855205418</v>
      </c>
      <c r="O39" s="791">
        <f>IFERROR(INDEX('Hoja de apoyo v2'!C$17:C$20,MATCH($A39,'Hoja de apoyo v2'!$A$17:$A$20,0)),"")</f>
        <v>0.7559478312655763</v>
      </c>
      <c r="P39" s="793">
        <f>IFERROR(INDEX('Hoja de apoyo v2'!D$17:D$20,MATCH($A39,'Hoja de apoyo v2'!$A$17:$A$20,0)),"")</f>
        <v>9054.9839880720647</v>
      </c>
      <c r="Q39" s="793">
        <f>IFERROR(INDEX('Hoja de apoyo v2'!E$17:E$20,MATCH($A39,'Hoja de apoyo v2'!$A$17:$A$20,0)),"")</f>
        <v>4535.7799207004691</v>
      </c>
      <c r="R39" s="793">
        <f>IFERROR(INDEX('Hoja de apoyo v2'!F$17:F$20,MATCH($A39,'Hoja de apoyo v2'!$A$17:$A$20,0)),"")</f>
        <v>260.44838236060593</v>
      </c>
      <c r="S39" s="793">
        <f>IFERROR(INDEX('Hoja de apoyo v2'!G$17:G$20,MATCH($A39,'Hoja de apoyo v2'!$A$17:$A$20,0)),"")</f>
        <v>64.772152317133859</v>
      </c>
      <c r="T39" s="792">
        <f>IFERROR(INDEX('Hoja de apoyo v2'!H$17:H$20,MATCH($A39,'Hoja de apoyo v2'!$A$17:$A$20,0)),"")</f>
        <v>389.240053528842</v>
      </c>
      <c r="U39" s="794">
        <f t="shared" si="2"/>
        <v>0.94961007001428321</v>
      </c>
      <c r="V39" s="795">
        <f t="shared" si="3"/>
        <v>0.83192523848327615</v>
      </c>
      <c r="W39" s="795">
        <f t="shared" si="4"/>
        <v>0.97693055110757976</v>
      </c>
      <c r="X39" s="843">
        <f t="shared" si="5"/>
        <v>0.62357183656031989</v>
      </c>
      <c r="Y39" s="843">
        <f t="shared" si="6"/>
        <v>0.71581241137162566</v>
      </c>
      <c r="Z39" s="843">
        <f t="shared" si="7"/>
        <v>1.0429559541275979</v>
      </c>
      <c r="AA39" s="843">
        <f t="shared" si="8"/>
        <v>0.79654533397551042</v>
      </c>
      <c r="AB39" s="796">
        <f t="shared" si="9"/>
        <v>3</v>
      </c>
      <c r="AC39" s="797">
        <f t="shared" si="10"/>
        <v>3</v>
      </c>
      <c r="AD39" s="797">
        <f t="shared" si="11"/>
        <v>3</v>
      </c>
      <c r="AE39" s="842">
        <f t="shared" si="12"/>
        <v>2</v>
      </c>
      <c r="AF39" s="842">
        <f t="shared" si="13"/>
        <v>2</v>
      </c>
      <c r="AG39" s="842">
        <f t="shared" si="14"/>
        <v>4</v>
      </c>
      <c r="AH39" s="842">
        <f t="shared" si="15"/>
        <v>3</v>
      </c>
      <c r="AI39" s="826" cm="1">
        <f t="array" ref="AI39">SUMPRODUCT(--ISNUMBER($U39:$AA39),$AB$3:$AH$3)</f>
        <v>1</v>
      </c>
      <c r="AJ39" s="829">
        <f t="shared" si="16"/>
        <v>48.053574609801217</v>
      </c>
      <c r="AK39" s="827" t="str">
        <f t="shared" si="17"/>
        <v>En desarrollo</v>
      </c>
      <c r="AL39" s="784" t="str">
        <f t="shared" si="18"/>
        <v>Alta</v>
      </c>
      <c r="AM39" s="799">
        <f>IF(ISNUMBER('Base de datos Rutas'!W37),'Base de datos Rutas'!W37,"")</f>
        <v>3282.4548901856938</v>
      </c>
      <c r="AN39" s="787">
        <f>IFERROR(SUMIFS('Base de datos Rutas'!$W$6:$W$794,'Base de datos Rutas'!$C$6:$C$794,$C39)/'Base de datos Rutas'!I37,"")</f>
        <v>3282.4548901856929</v>
      </c>
      <c r="AO39" s="800">
        <f>IFERROR('Base de datos Rutas'!X37*AN39/AM39,"")</f>
        <v>0.44222418227796229</v>
      </c>
      <c r="AP39" s="800">
        <f t="shared" si="19"/>
        <v>0.55777581772203777</v>
      </c>
      <c r="AQ39" s="789">
        <f>IFERROR(INDEX('Hoja de apoyo v2'!$J$17:$J$20,MATCH($A39,'Hoja de apoyo v2'!$A$17:$A$20,0)),"")</f>
        <v>0.56799995069377007</v>
      </c>
      <c r="AR39" s="789">
        <f t="shared" si="20"/>
        <v>-1.0224132971732303E-2</v>
      </c>
      <c r="AS39" s="784" t="str">
        <f t="shared" si="21"/>
        <v>No</v>
      </c>
      <c r="AT39" s="801">
        <f>IF(ISNUMBER('Base de datos Rutas'!CK37),'Base de datos Rutas'!CK37,"")</f>
        <v>311</v>
      </c>
      <c r="AU39" s="802">
        <f>IF(ISNUMBER('Base de datos Rutas'!CL37),'Base de datos Rutas'!CL37,"")</f>
        <v>815.96</v>
      </c>
      <c r="AV39" s="802">
        <f>IF(ISNUMBER('Base de datos Rutas'!CM37),'Base de datos Rutas'!CM37,"")</f>
        <v>504.96000000000004</v>
      </c>
      <c r="AW39" s="802">
        <f>IF(ISNUMBER('Base de datos Rutas'!CN37),'Base de datos Rutas'!CN37,"")</f>
        <v>5.04</v>
      </c>
      <c r="AX39" s="802">
        <f>IF(ISNUMBER('Base de datos Rutas'!CO37),'Base de datos Rutas'!CO37,"")</f>
        <v>9.4499999999999993</v>
      </c>
      <c r="AY39" s="802">
        <f>IF(ISNUMBER('Base de datos Rutas'!CP37),'Base de datos Rutas'!CP37,"")</f>
        <v>4.4099999999999993</v>
      </c>
      <c r="AZ39" s="802">
        <f>IF(ISNUMBER('Base de datos Rutas'!CQ37),'Base de datos Rutas'!CQ37,"")</f>
        <v>1269.8399999999999</v>
      </c>
      <c r="BA39" s="802">
        <f>IF(ISNUMBER('Base de datos Rutas'!CR37),'Base de datos Rutas'!CR37,"")</f>
        <v>253.99</v>
      </c>
      <c r="BB39" s="803">
        <f>IF(ISNUMBER('Base de datos Rutas'!CS37),'Base de datos Rutas'!CS37,"")</f>
        <v>1015.8499999999999</v>
      </c>
      <c r="BC39" s="804">
        <f t="shared" si="32"/>
        <v>0</v>
      </c>
      <c r="BD39" s="805" t="str">
        <f t="shared" si="33"/>
        <v>No saturada</v>
      </c>
      <c r="BE39" s="806">
        <f t="shared" si="34"/>
        <v>0.20001732501732503</v>
      </c>
      <c r="BF39" s="890">
        <f>IF(ISNUMBER('Base de datos Rutas'!CX37),'Base de datos Rutas'!CX37/100,"")</f>
        <v>0.72072510042228866</v>
      </c>
      <c r="BG39" s="891">
        <f>IF(ISNUMBER('Base de datos Rutas'!CZ37),'Base de datos Rutas'!CZ37/100,"")</f>
        <v>0.74672983829436601</v>
      </c>
      <c r="BH39" s="892">
        <f>IF(ISNUMBER('Base de datos Rutas'!DA37),'Base de datos Rutas'!DA37,"")</f>
        <v>286.02959550187325</v>
      </c>
      <c r="BI39" s="893">
        <f>IF(ISNUMBER('Base de datos Rutas'!DC37),'Base de datos Rutas'!DC37,"")</f>
        <v>6.3654020286142217</v>
      </c>
      <c r="BJ39" s="805" t="str">
        <f t="shared" si="35"/>
        <v>Ruta (completo)</v>
      </c>
      <c r="BK39" s="783">
        <f t="shared" si="22"/>
        <v>4</v>
      </c>
      <c r="BL39" s="797">
        <f t="shared" si="23"/>
        <v>4</v>
      </c>
      <c r="BM39" s="797">
        <f t="shared" si="24"/>
        <v>3</v>
      </c>
      <c r="BN39" s="797">
        <f t="shared" si="25"/>
        <v>3</v>
      </c>
      <c r="BO39" s="798" cm="1">
        <f t="array" ref="BO39">SUMPRODUCT(--ISNUMBER($BF39:$BI39),$BK$3:$BN$3)</f>
        <v>1</v>
      </c>
      <c r="BP39" s="831">
        <f t="shared" si="26"/>
        <v>62.5</v>
      </c>
      <c r="BQ39" s="834" t="str">
        <f t="shared" si="36"/>
        <v>Alto</v>
      </c>
      <c r="BR39" s="836">
        <f t="shared" si="27"/>
        <v>36.040180957350913</v>
      </c>
      <c r="BS39" s="836">
        <f t="shared" si="28"/>
        <v>62.5</v>
      </c>
      <c r="BT39" s="837" t="str">
        <f t="shared" si="29"/>
        <v>P1</v>
      </c>
      <c r="BU39" s="807" t="str">
        <f t="shared" si="37"/>
        <v>Con espacio</v>
      </c>
      <c r="BV39" s="807" t="str">
        <f t="shared" si="30"/>
        <v>Zona atractiva</v>
      </c>
      <c r="BW39" s="808" t="str">
        <f t="shared" si="31"/>
        <v>P1 - Ampliar cobertura</v>
      </c>
    </row>
    <row r="40" spans="1:75">
      <c r="A40" s="780" t="str">
        <f>'Base de datos Rutas'!A38</f>
        <v>Noreste</v>
      </c>
      <c r="B40" s="781" t="str">
        <f>'Base de datos Rutas'!B38</f>
        <v>Monterrey</v>
      </c>
      <c r="C40" s="781" t="str">
        <f>'Base de datos Rutas'!C38</f>
        <v>Sucursal Juventud</v>
      </c>
      <c r="D40" s="782">
        <f>IF(ISNUMBER('Base de datos Rutas'!D38),'Base de datos Rutas'!D38,"Sin código")</f>
        <v>704302</v>
      </c>
      <c r="E40" s="783" t="str">
        <f>'Base de datos Rutas'!F38</f>
        <v>Activa</v>
      </c>
      <c r="F40" s="784" t="str">
        <f>'Base de datos Rutas'!H38</f>
        <v>Sí</v>
      </c>
      <c r="G40" s="785">
        <f>IF(ISNUMBER('Base de datos Rutas'!BE38),'Base de datos Rutas'!BE38,"")</f>
        <v>77.002283105022798</v>
      </c>
      <c r="H40" s="786">
        <f>IF(ISNUMBER('Base de datos Rutas'!BH38),'Base de datos Rutas'!BH38,"")</f>
        <v>0.419841669878732</v>
      </c>
      <c r="I40" s="788">
        <f>IFERROR(IF(OR(NOT(ISNUMBER('Base de datos Rutas'!O38)),N('Base de datos Rutas'!BK38)=0),"",'Base de datos Rutas'!O38/('Base de datos Rutas'!L38/'Base de datos Rutas'!BK38)),"")</f>
        <v>5623.5981735159985</v>
      </c>
      <c r="J40" s="788">
        <f>IFERROR(IF(OR(NOT(ISNUMBER('Base de datos Rutas'!N38)),N('Base de datos Rutas'!BK38)=0),"",'Base de datos Rutas'!N38/('Base de datos Rutas'!L38/'Base de datos Rutas'!BK38)),"")</f>
        <v>1908.4223744292294</v>
      </c>
      <c r="K40" s="788">
        <f>IFERROR(IF(OR(NOT(ISNUMBER('Base de datos Rutas'!J38)),N('Base de datos Rutas'!BK38)=0),"",'Base de datos Rutas'!J38/('Base de datos Rutas'!L38/'Base de datos Rutas'!BK38)),"")</f>
        <v>132.3203231415529</v>
      </c>
      <c r="L40" s="788">
        <f>IFERROR(IF(OR(NOT(ISNUMBER('Base de datos Rutas'!K38)),N('Base de datos Rutas'!BK38)=0),"",'Base de datos Rutas'!K38/('Base de datos Rutas'!L38/'Base de datos Rutas'!BK38)),"")</f>
        <v>43.04996193379008</v>
      </c>
      <c r="M40" s="787">
        <f>IF(ISNUMBER('Base de datos Rutas'!AX38),'Base de datos Rutas'!AX38,"")</f>
        <v>233.01688700565001</v>
      </c>
      <c r="N40" s="790">
        <f>IFERROR(INDEX('Hoja de apoyo v2'!B$17:B$20,MATCH($A40,'Hoja de apoyo v2'!$A$17:$A$20,0)),"")</f>
        <v>63.050408855205418</v>
      </c>
      <c r="O40" s="791">
        <f>IFERROR(INDEX('Hoja de apoyo v2'!C$17:C$20,MATCH($A40,'Hoja de apoyo v2'!$A$17:$A$20,0)),"")</f>
        <v>0.7559478312655763</v>
      </c>
      <c r="P40" s="793">
        <f>IFERROR(INDEX('Hoja de apoyo v2'!D$17:D$20,MATCH($A40,'Hoja de apoyo v2'!$A$17:$A$20,0)),"")</f>
        <v>9054.9839880720647</v>
      </c>
      <c r="Q40" s="793">
        <f>IFERROR(INDEX('Hoja de apoyo v2'!E$17:E$20,MATCH($A40,'Hoja de apoyo v2'!$A$17:$A$20,0)),"")</f>
        <v>4535.7799207004691</v>
      </c>
      <c r="R40" s="793">
        <f>IFERROR(INDEX('Hoja de apoyo v2'!F$17:F$20,MATCH($A40,'Hoja de apoyo v2'!$A$17:$A$20,0)),"")</f>
        <v>260.44838236060593</v>
      </c>
      <c r="S40" s="793">
        <f>IFERROR(INDEX('Hoja de apoyo v2'!G$17:G$20,MATCH($A40,'Hoja de apoyo v2'!$A$17:$A$20,0)),"")</f>
        <v>64.772152317133859</v>
      </c>
      <c r="T40" s="792">
        <f>IFERROR(INDEX('Hoja de apoyo v2'!H$17:H$20,MATCH($A40,'Hoja de apoyo v2'!$A$17:$A$20,0)),"")</f>
        <v>389.240053528842</v>
      </c>
      <c r="U40" s="794">
        <f t="shared" si="2"/>
        <v>1.2212812653103917</v>
      </c>
      <c r="V40" s="795">
        <f t="shared" si="3"/>
        <v>0.55538444918328633</v>
      </c>
      <c r="W40" s="795">
        <f t="shared" si="4"/>
        <v>0.62105004061010416</v>
      </c>
      <c r="X40" s="843">
        <f t="shared" si="5"/>
        <v>0.42074845071727118</v>
      </c>
      <c r="Y40" s="843">
        <f t="shared" si="6"/>
        <v>0.50804816655896035</v>
      </c>
      <c r="Z40" s="843">
        <f t="shared" si="7"/>
        <v>0.66463689091279876</v>
      </c>
      <c r="AA40" s="843">
        <f t="shared" si="8"/>
        <v>0.59864570691819585</v>
      </c>
      <c r="AB40" s="796">
        <f t="shared" si="9"/>
        <v>4</v>
      </c>
      <c r="AC40" s="797">
        <f t="shared" si="10"/>
        <v>2</v>
      </c>
      <c r="AD40" s="797">
        <f t="shared" si="11"/>
        <v>2</v>
      </c>
      <c r="AE40" s="842">
        <f t="shared" si="12"/>
        <v>1</v>
      </c>
      <c r="AF40" s="842">
        <f t="shared" si="13"/>
        <v>2</v>
      </c>
      <c r="AG40" s="842">
        <f t="shared" si="14"/>
        <v>2</v>
      </c>
      <c r="AH40" s="842">
        <f t="shared" si="15"/>
        <v>2</v>
      </c>
      <c r="AI40" s="826" cm="1">
        <f t="array" ref="AI40">SUMPRODUCT(--ISNUMBER($U40:$AA40),$AB$3:$AH$3)</f>
        <v>1</v>
      </c>
      <c r="AJ40" s="829">
        <f t="shared" si="16"/>
        <v>30.657824710054815</v>
      </c>
      <c r="AK40" s="827" t="str">
        <f t="shared" si="17"/>
        <v>Inmadura</v>
      </c>
      <c r="AL40" s="784" t="str">
        <f t="shared" si="18"/>
        <v>Alta</v>
      </c>
      <c r="AM40" s="799">
        <f>IF(ISNUMBER('Base de datos Rutas'!W38),'Base de datos Rutas'!W38,"")</f>
        <v>3282.4548901856938</v>
      </c>
      <c r="AN40" s="787">
        <f>IFERROR(SUMIFS('Base de datos Rutas'!$W$6:$W$794,'Base de datos Rutas'!$C$6:$C$794,$C40)/'Base de datos Rutas'!I38,"")</f>
        <v>3282.4548901856929</v>
      </c>
      <c r="AO40" s="800">
        <f>IFERROR('Base de datos Rutas'!X38*AN40/AM40,"")</f>
        <v>0.44222418227796229</v>
      </c>
      <c r="AP40" s="800">
        <f t="shared" si="19"/>
        <v>0.55777581772203777</v>
      </c>
      <c r="AQ40" s="789">
        <f>IFERROR(INDEX('Hoja de apoyo v2'!$J$17:$J$20,MATCH($A40,'Hoja de apoyo v2'!$A$17:$A$20,0)),"")</f>
        <v>0.56799995069377007</v>
      </c>
      <c r="AR40" s="789">
        <f t="shared" si="20"/>
        <v>-1.0224132971732303E-2</v>
      </c>
      <c r="AS40" s="784" t="str">
        <f t="shared" si="21"/>
        <v>No</v>
      </c>
      <c r="AT40" s="801">
        <f>IF(ISNUMBER('Base de datos Rutas'!CK38),'Base de datos Rutas'!CK38,"")</f>
        <v>852</v>
      </c>
      <c r="AU40" s="802">
        <f>IF(ISNUMBER('Base de datos Rutas'!CL38),'Base de datos Rutas'!CL38,"")</f>
        <v>1050.58</v>
      </c>
      <c r="AV40" s="802">
        <f>IF(ISNUMBER('Base de datos Rutas'!CM38),'Base de datos Rutas'!CM38,"")</f>
        <v>198.57999999999993</v>
      </c>
      <c r="AW40" s="802">
        <f>IF(ISNUMBER('Base de datos Rutas'!CN38),'Base de datos Rutas'!CN38,"")</f>
        <v>13.08</v>
      </c>
      <c r="AX40" s="802">
        <f>IF(ISNUMBER('Base de datos Rutas'!CO38),'Base de datos Rutas'!CO38,"")</f>
        <v>9.4499999999999993</v>
      </c>
      <c r="AY40" s="802">
        <f>IF(ISNUMBER('Base de datos Rutas'!CP38),'Base de datos Rutas'!CP38,"")</f>
        <v>-3.6300000000000008</v>
      </c>
      <c r="AZ40" s="802">
        <f>IF(ISNUMBER('Base de datos Rutas'!CQ38),'Base de datos Rutas'!CQ38,"")</f>
        <v>846.56</v>
      </c>
      <c r="BA40" s="802">
        <f>IF(ISNUMBER('Base de datos Rutas'!CR38),'Base de datos Rutas'!CR38,"")</f>
        <v>175.37</v>
      </c>
      <c r="BB40" s="803">
        <f>IF(ISNUMBER('Base de datos Rutas'!CS38),'Base de datos Rutas'!CS38,"")</f>
        <v>671.18999999999994</v>
      </c>
      <c r="BC40" s="804">
        <f t="shared" si="32"/>
        <v>1</v>
      </c>
      <c r="BD40" s="805" t="str">
        <f t="shared" si="33"/>
        <v>Saturada</v>
      </c>
      <c r="BE40" s="806">
        <f t="shared" si="34"/>
        <v>0.20715601965601968</v>
      </c>
      <c r="BF40" s="890">
        <f>IF(ISNUMBER('Base de datos Rutas'!CX38),'Base de datos Rutas'!CX38/100,"")</f>
        <v>0.37632192036458639</v>
      </c>
      <c r="BG40" s="891">
        <f>IF(ISNUMBER('Base de datos Rutas'!CZ38),'Base de datos Rutas'!CZ38/100,"")</f>
        <v>0.38022275914903647</v>
      </c>
      <c r="BH40" s="892">
        <f>IF(ISNUMBER('Base de datos Rutas'!DA38),'Base de datos Rutas'!DA38,"")</f>
        <v>142.69133116188095</v>
      </c>
      <c r="BI40" s="893">
        <f>IF(ISNUMBER('Base de datos Rutas'!DC38),'Base de datos Rutas'!DC38,"")</f>
        <v>3.7239297548330339</v>
      </c>
      <c r="BJ40" s="805" t="str">
        <f t="shared" si="35"/>
        <v>Ruta (completo)</v>
      </c>
      <c r="BK40" s="783">
        <f t="shared" si="22"/>
        <v>1</v>
      </c>
      <c r="BL40" s="797">
        <f t="shared" si="23"/>
        <v>1</v>
      </c>
      <c r="BM40" s="797">
        <f t="shared" si="24"/>
        <v>1</v>
      </c>
      <c r="BN40" s="797">
        <f t="shared" si="25"/>
        <v>1</v>
      </c>
      <c r="BO40" s="798" cm="1">
        <f t="array" ref="BO40">SUMPRODUCT(--ISNUMBER($BF40:$BI40),$BK$3:$BN$3)</f>
        <v>1</v>
      </c>
      <c r="BP40" s="831">
        <f t="shared" ref="BP40:BP71" si="38">IF(BO40&lt;$BO$4,"",(SUMPRODUCT($BK40:$BN40,$BK$3:$BN$3)/BO40-1)/4*100)</f>
        <v>0</v>
      </c>
      <c r="BQ40" s="834" t="str">
        <f t="shared" si="36"/>
        <v>Bajo</v>
      </c>
      <c r="BR40" s="836">
        <f t="shared" si="27"/>
        <v>47.993368532541112</v>
      </c>
      <c r="BS40" s="836">
        <f t="shared" si="28"/>
        <v>0</v>
      </c>
      <c r="BT40" s="837" t="str">
        <f t="shared" si="29"/>
        <v>P2</v>
      </c>
      <c r="BU40" s="807" t="str">
        <f t="shared" si="37"/>
        <v>Al tope</v>
      </c>
      <c r="BV40" s="807" t="str">
        <f t="shared" si="30"/>
        <v>Zona de bajo potencial</v>
      </c>
      <c r="BW40" s="808" t="str">
        <f t="shared" si="31"/>
        <v>P2 - Mantener</v>
      </c>
    </row>
    <row r="41" spans="1:75">
      <c r="A41" s="780" t="str">
        <f>'Base de datos Rutas'!A39</f>
        <v>Noreste</v>
      </c>
      <c r="B41" s="781" t="str">
        <f>'Base de datos Rutas'!B39</f>
        <v>Monterrey</v>
      </c>
      <c r="C41" s="781" t="str">
        <f>'Base de datos Rutas'!C39</f>
        <v>Sucursal Juventud</v>
      </c>
      <c r="D41" s="782">
        <f>IF(ISNUMBER('Base de datos Rutas'!D39),'Base de datos Rutas'!D39,"Sin código")</f>
        <v>704303</v>
      </c>
      <c r="E41" s="783" t="str">
        <f>'Base de datos Rutas'!F39</f>
        <v>Activa</v>
      </c>
      <c r="F41" s="784" t="str">
        <f>'Base de datos Rutas'!H39</f>
        <v>Sí</v>
      </c>
      <c r="G41" s="785">
        <f>IF(ISNUMBER('Base de datos Rutas'!BE39),'Base de datos Rutas'!BE39,"")</f>
        <v>48.897321428571402</v>
      </c>
      <c r="H41" s="786">
        <f>IF(ISNUMBER('Base de datos Rutas'!BH39),'Base de datos Rutas'!BH39,"")</f>
        <v>0.88304574089290599</v>
      </c>
      <c r="I41" s="788">
        <f>IFERROR(IF(OR(NOT(ISNUMBER('Base de datos Rutas'!O39)),N('Base de datos Rutas'!BK39)=0),"",'Base de datos Rutas'!O39/('Base de datos Rutas'!L39/'Base de datos Rutas'!BK39)),"")</f>
        <v>12320.078124999982</v>
      </c>
      <c r="J41" s="788">
        <f>IFERROR(IF(OR(NOT(ISNUMBER('Base de datos Rutas'!N39)),N('Base de datos Rutas'!BK39)=0),"",'Base de datos Rutas'!N39/('Base de datos Rutas'!L39/'Base de datos Rutas'!BK39)),"")</f>
        <v>2910.9955357142812</v>
      </c>
      <c r="K41" s="788">
        <f>IFERROR(IF(OR(NOT(ISNUMBER('Base de datos Rutas'!J39)),N('Base de datos Rutas'!BK39)=0),"",'Base de datos Rutas'!J39/('Base de datos Rutas'!L39/'Base de datos Rutas'!BK39)),"")</f>
        <v>193.71627499999971</v>
      </c>
      <c r="L41" s="788">
        <f>IFERROR(IF(OR(NOT(ISNUMBER('Base de datos Rutas'!K39)),N('Base de datos Rutas'!BK39)=0),"",'Base de datos Rutas'!K39/('Base de datos Rutas'!L39/'Base de datos Rutas'!BK39)),"")</f>
        <v>91.599962897321291</v>
      </c>
      <c r="M41" s="787">
        <f>IF(ISNUMBER('Base de datos Rutas'!AX39),'Base de datos Rutas'!AX39,"")</f>
        <v>352.74621794871803</v>
      </c>
      <c r="N41" s="790">
        <f>IFERROR(INDEX('Hoja de apoyo v2'!B$17:B$20,MATCH($A41,'Hoja de apoyo v2'!$A$17:$A$20,0)),"")</f>
        <v>63.050408855205418</v>
      </c>
      <c r="O41" s="791">
        <f>IFERROR(INDEX('Hoja de apoyo v2'!C$17:C$20,MATCH($A41,'Hoja de apoyo v2'!$A$17:$A$20,0)),"")</f>
        <v>0.7559478312655763</v>
      </c>
      <c r="P41" s="793">
        <f>IFERROR(INDEX('Hoja de apoyo v2'!D$17:D$20,MATCH($A41,'Hoja de apoyo v2'!$A$17:$A$20,0)),"")</f>
        <v>9054.9839880720647</v>
      </c>
      <c r="Q41" s="793">
        <f>IFERROR(INDEX('Hoja de apoyo v2'!E$17:E$20,MATCH($A41,'Hoja de apoyo v2'!$A$17:$A$20,0)),"")</f>
        <v>4535.7799207004691</v>
      </c>
      <c r="R41" s="793">
        <f>IFERROR(INDEX('Hoja de apoyo v2'!F$17:F$20,MATCH($A41,'Hoja de apoyo v2'!$A$17:$A$20,0)),"")</f>
        <v>260.44838236060593</v>
      </c>
      <c r="S41" s="793">
        <f>IFERROR(INDEX('Hoja de apoyo v2'!G$17:G$20,MATCH($A41,'Hoja de apoyo v2'!$A$17:$A$20,0)),"")</f>
        <v>64.772152317133859</v>
      </c>
      <c r="T41" s="792">
        <f>IFERROR(INDEX('Hoja de apoyo v2'!H$17:H$20,MATCH($A41,'Hoja de apoyo v2'!$A$17:$A$20,0)),"")</f>
        <v>389.240053528842</v>
      </c>
      <c r="U41" s="794">
        <f t="shared" si="2"/>
        <v>0.77552742823386878</v>
      </c>
      <c r="V41" s="795">
        <f t="shared" si="3"/>
        <v>1.1681305301379696</v>
      </c>
      <c r="W41" s="795">
        <f t="shared" si="4"/>
        <v>1.360585302108646</v>
      </c>
      <c r="X41" s="843">
        <f t="shared" si="5"/>
        <v>0.64178500425671681</v>
      </c>
      <c r="Y41" s="843">
        <f t="shared" si="6"/>
        <v>0.74377991233513696</v>
      </c>
      <c r="Z41" s="843">
        <f t="shared" si="7"/>
        <v>1.4141874188283041</v>
      </c>
      <c r="AA41" s="843">
        <f t="shared" si="8"/>
        <v>0.90624337025629398</v>
      </c>
      <c r="AB41" s="796">
        <f t="shared" si="9"/>
        <v>3</v>
      </c>
      <c r="AC41" s="797">
        <f t="shared" si="10"/>
        <v>4</v>
      </c>
      <c r="AD41" s="797">
        <f t="shared" si="11"/>
        <v>5</v>
      </c>
      <c r="AE41" s="842">
        <f t="shared" si="12"/>
        <v>2</v>
      </c>
      <c r="AF41" s="842">
        <f t="shared" si="13"/>
        <v>2</v>
      </c>
      <c r="AG41" s="842">
        <f t="shared" si="14"/>
        <v>5</v>
      </c>
      <c r="AH41" s="842">
        <f t="shared" si="15"/>
        <v>3</v>
      </c>
      <c r="AI41" s="826" cm="1">
        <f t="array" ref="AI41">SUMPRODUCT(--ISNUMBER($U41:$AA41),$AB$3:$AH$3)</f>
        <v>1</v>
      </c>
      <c r="AJ41" s="829">
        <f t="shared" si="16"/>
        <v>65.053889902407462</v>
      </c>
      <c r="AK41" s="827" t="str">
        <f t="shared" si="17"/>
        <v>Madura</v>
      </c>
      <c r="AL41" s="784" t="str">
        <f t="shared" si="18"/>
        <v>Alta</v>
      </c>
      <c r="AM41" s="799">
        <f>IF(ISNUMBER('Base de datos Rutas'!W39),'Base de datos Rutas'!W39,"")</f>
        <v>3282.4548901856938</v>
      </c>
      <c r="AN41" s="787">
        <f>IFERROR(SUMIFS('Base de datos Rutas'!$W$6:$W$794,'Base de datos Rutas'!$C$6:$C$794,$C41)/'Base de datos Rutas'!I39,"")</f>
        <v>3282.4548901856929</v>
      </c>
      <c r="AO41" s="800">
        <f>IFERROR('Base de datos Rutas'!X39*AN41/AM41,"")</f>
        <v>0.44222418227796229</v>
      </c>
      <c r="AP41" s="800">
        <f t="shared" si="19"/>
        <v>0.55777581772203777</v>
      </c>
      <c r="AQ41" s="789">
        <f>IFERROR(INDEX('Hoja de apoyo v2'!$J$17:$J$20,MATCH($A41,'Hoja de apoyo v2'!$A$17:$A$20,0)),"")</f>
        <v>0.56799995069377007</v>
      </c>
      <c r="AR41" s="789">
        <f t="shared" si="20"/>
        <v>-1.0224132971732303E-2</v>
      </c>
      <c r="AS41" s="784" t="str">
        <f t="shared" si="21"/>
        <v>No</v>
      </c>
      <c r="AT41" s="801">
        <f>IF(ISNUMBER('Base de datos Rutas'!CK39),'Base de datos Rutas'!CK39,"")</f>
        <v>298</v>
      </c>
      <c r="AU41" s="802">
        <f>IF(ISNUMBER('Base de datos Rutas'!CL39),'Base de datos Rutas'!CL39,"")</f>
        <v>741.53</v>
      </c>
      <c r="AV41" s="802">
        <f>IF(ISNUMBER('Base de datos Rutas'!CM39),'Base de datos Rutas'!CM39,"")</f>
        <v>443.53</v>
      </c>
      <c r="AW41" s="802">
        <f>IF(ISNUMBER('Base de datos Rutas'!CN39),'Base de datos Rutas'!CN39,"")</f>
        <v>4.26</v>
      </c>
      <c r="AX41" s="802">
        <f>IF(ISNUMBER('Base de datos Rutas'!CO39),'Base de datos Rutas'!CO39,"")</f>
        <v>9.4499999999999993</v>
      </c>
      <c r="AY41" s="802">
        <f>IF(ISNUMBER('Base de datos Rutas'!CP39),'Base de datos Rutas'!CP39,"")</f>
        <v>5.1899999999999995</v>
      </c>
      <c r="AZ41" s="802">
        <f>IF(ISNUMBER('Base de datos Rutas'!CQ39),'Base de datos Rutas'!CQ39,"")</f>
        <v>846.56</v>
      </c>
      <c r="BA41" s="802">
        <f>IF(ISNUMBER('Base de datos Rutas'!CR39),'Base de datos Rutas'!CR39,"")</f>
        <v>285.32</v>
      </c>
      <c r="BB41" s="803">
        <f>IF(ISNUMBER('Base de datos Rutas'!CS39),'Base de datos Rutas'!CS39,"")</f>
        <v>561.24</v>
      </c>
      <c r="BC41" s="804">
        <f t="shared" si="32"/>
        <v>0</v>
      </c>
      <c r="BD41" s="805" t="str">
        <f t="shared" si="33"/>
        <v>No saturada</v>
      </c>
      <c r="BE41" s="806">
        <f t="shared" si="34"/>
        <v>0.33703458703458705</v>
      </c>
      <c r="BF41" s="890">
        <f>IF(ISNUMBER('Base de datos Rutas'!CX39),'Base de datos Rutas'!CX39/100,"")</f>
        <v>0.52133205350507794</v>
      </c>
      <c r="BG41" s="891">
        <f>IF(ISNUMBER('Base de datos Rutas'!CZ39),'Base de datos Rutas'!CZ39/100,"")</f>
        <v>0.54879861283131037</v>
      </c>
      <c r="BH41" s="892">
        <f>IF(ISNUMBER('Base de datos Rutas'!DA39),'Base de datos Rutas'!DA39,"")</f>
        <v>301.13062809758958</v>
      </c>
      <c r="BI41" s="893">
        <f>IF(ISNUMBER('Base de datos Rutas'!DC39),'Base de datos Rutas'!DC39,"")</f>
        <v>6.2331846430076077</v>
      </c>
      <c r="BJ41" s="805" t="str">
        <f t="shared" si="35"/>
        <v>Ruta (completo)</v>
      </c>
      <c r="BK41" s="783">
        <f t="shared" si="22"/>
        <v>2</v>
      </c>
      <c r="BL41" s="797">
        <f t="shared" si="23"/>
        <v>2</v>
      </c>
      <c r="BM41" s="797">
        <f t="shared" si="24"/>
        <v>3</v>
      </c>
      <c r="BN41" s="797">
        <f t="shared" si="25"/>
        <v>3</v>
      </c>
      <c r="BO41" s="798" cm="1">
        <f t="array" ref="BO41">SUMPRODUCT(--ISNUMBER($BF41:$BI41),$BK$3:$BN$3)</f>
        <v>1</v>
      </c>
      <c r="BP41" s="831">
        <f t="shared" si="38"/>
        <v>37.5</v>
      </c>
      <c r="BQ41" s="834" t="str">
        <f t="shared" si="36"/>
        <v>Medio</v>
      </c>
      <c r="BR41" s="836">
        <f t="shared" si="27"/>
        <v>48.790417426805597</v>
      </c>
      <c r="BS41" s="836">
        <f t="shared" si="28"/>
        <v>37.5</v>
      </c>
      <c r="BT41" s="837" t="str">
        <f t="shared" si="29"/>
        <v>P2</v>
      </c>
      <c r="BU41" s="807" t="str">
        <f t="shared" si="37"/>
        <v>Con espacio</v>
      </c>
      <c r="BV41" s="807" t="str">
        <f t="shared" si="30"/>
        <v>Zona de bajo potencial</v>
      </c>
      <c r="BW41" s="808" t="str">
        <f t="shared" si="31"/>
        <v>P2 - Mantener</v>
      </c>
    </row>
    <row r="42" spans="1:75">
      <c r="A42" s="780" t="str">
        <f>'Base de datos Rutas'!A40</f>
        <v>Noreste</v>
      </c>
      <c r="B42" s="781" t="str">
        <f>'Base de datos Rutas'!B40</f>
        <v>Monterrey</v>
      </c>
      <c r="C42" s="781" t="str">
        <f>'Base de datos Rutas'!C40</f>
        <v>Sucursal Juventud</v>
      </c>
      <c r="D42" s="782">
        <f>IF(ISNUMBER('Base de datos Rutas'!D40),'Base de datos Rutas'!D40,"Sin código")</f>
        <v>704304</v>
      </c>
      <c r="E42" s="783" t="str">
        <f>'Base de datos Rutas'!F40</f>
        <v>Activa</v>
      </c>
      <c r="F42" s="784" t="str">
        <f>'Base de datos Rutas'!H40</f>
        <v>Sí</v>
      </c>
      <c r="G42" s="785">
        <f>IF(ISNUMBER('Base de datos Rutas'!BE40),'Base de datos Rutas'!BE40,"")</f>
        <v>60.437641723356002</v>
      </c>
      <c r="H42" s="786">
        <f>IF(ISNUMBER('Base de datos Rutas'!BH40),'Base de datos Rutas'!BH40,"")</f>
        <v>0.44610362810940601</v>
      </c>
      <c r="I42" s="788">
        <f>IFERROR(IF(OR(NOT(ISNUMBER('Base de datos Rutas'!O40)),N('Base de datos Rutas'!BK40)=0),"",'Base de datos Rutas'!O40/('Base de datos Rutas'!L40/'Base de datos Rutas'!BK40)),"")</f>
        <v>7161.9092970521469</v>
      </c>
      <c r="J42" s="788">
        <f>IFERROR(IF(OR(NOT(ISNUMBER('Base de datos Rutas'!N40)),N('Base de datos Rutas'!BK40)=0),"",'Base de datos Rutas'!N40/('Base de datos Rutas'!L40/'Base de datos Rutas'!BK40)),"")</f>
        <v>2956.877551020405</v>
      </c>
      <c r="K42" s="788">
        <f>IFERROR(IF(OR(NOT(ISNUMBER('Base de datos Rutas'!J40)),N('Base de datos Rutas'!BK40)=0),"",'Base de datos Rutas'!J40/('Base de datos Rutas'!L40/'Base de datos Rutas'!BK40)),"")</f>
        <v>205.49729523809501</v>
      </c>
      <c r="L42" s="788">
        <f>IFERROR(IF(OR(NOT(ISNUMBER('Base de datos Rutas'!K40)),N('Base de datos Rutas'!BK40)=0),"",'Base de datos Rutas'!K40/('Base de datos Rutas'!L40/'Base de datos Rutas'!BK40)),"")</f>
        <v>63.931083600906959</v>
      </c>
      <c r="M42" s="787">
        <f>IF(ISNUMBER('Base de datos Rutas'!AX40),'Base de datos Rutas'!AX40,"")</f>
        <v>375.30573927670298</v>
      </c>
      <c r="N42" s="790">
        <f>IFERROR(INDEX('Hoja de apoyo v2'!B$17:B$20,MATCH($A42,'Hoja de apoyo v2'!$A$17:$A$20,0)),"")</f>
        <v>63.050408855205418</v>
      </c>
      <c r="O42" s="791">
        <f>IFERROR(INDEX('Hoja de apoyo v2'!C$17:C$20,MATCH($A42,'Hoja de apoyo v2'!$A$17:$A$20,0)),"")</f>
        <v>0.7559478312655763</v>
      </c>
      <c r="P42" s="793">
        <f>IFERROR(INDEX('Hoja de apoyo v2'!D$17:D$20,MATCH($A42,'Hoja de apoyo v2'!$A$17:$A$20,0)),"")</f>
        <v>9054.9839880720647</v>
      </c>
      <c r="Q42" s="793">
        <f>IFERROR(INDEX('Hoja de apoyo v2'!E$17:E$20,MATCH($A42,'Hoja de apoyo v2'!$A$17:$A$20,0)),"")</f>
        <v>4535.7799207004691</v>
      </c>
      <c r="R42" s="793">
        <f>IFERROR(INDEX('Hoja de apoyo v2'!F$17:F$20,MATCH($A42,'Hoja de apoyo v2'!$A$17:$A$20,0)),"")</f>
        <v>260.44838236060593</v>
      </c>
      <c r="S42" s="793">
        <f>IFERROR(INDEX('Hoja de apoyo v2'!G$17:G$20,MATCH($A42,'Hoja de apoyo v2'!$A$17:$A$20,0)),"")</f>
        <v>64.772152317133859</v>
      </c>
      <c r="T42" s="792">
        <f>IFERROR(INDEX('Hoja de apoyo v2'!H$17:H$20,MATCH($A42,'Hoja de apoyo v2'!$A$17:$A$20,0)),"")</f>
        <v>389.240053528842</v>
      </c>
      <c r="U42" s="794">
        <f t="shared" si="2"/>
        <v>0.95856066313781396</v>
      </c>
      <c r="V42" s="795">
        <f t="shared" si="3"/>
        <v>0.59012488647868455</v>
      </c>
      <c r="W42" s="795">
        <f t="shared" si="4"/>
        <v>0.79093561142530744</v>
      </c>
      <c r="X42" s="843">
        <f t="shared" si="5"/>
        <v>0.65190057778724164</v>
      </c>
      <c r="Y42" s="843">
        <f t="shared" si="6"/>
        <v>0.78901352112670087</v>
      </c>
      <c r="Z42" s="843">
        <f t="shared" si="7"/>
        <v>0.98701496420701129</v>
      </c>
      <c r="AA42" s="843">
        <f t="shared" si="8"/>
        <v>0.96420123230944288</v>
      </c>
      <c r="AB42" s="796">
        <f t="shared" si="9"/>
        <v>3</v>
      </c>
      <c r="AC42" s="797">
        <f t="shared" si="10"/>
        <v>2</v>
      </c>
      <c r="AD42" s="797">
        <f t="shared" si="11"/>
        <v>3</v>
      </c>
      <c r="AE42" s="842">
        <f t="shared" si="12"/>
        <v>2</v>
      </c>
      <c r="AF42" s="842">
        <f t="shared" si="13"/>
        <v>3</v>
      </c>
      <c r="AG42" s="842">
        <f t="shared" si="14"/>
        <v>3</v>
      </c>
      <c r="AH42" s="842">
        <f t="shared" si="15"/>
        <v>3</v>
      </c>
      <c r="AI42" s="826" cm="1">
        <f t="array" ref="AI42">SUMPRODUCT(--ISNUMBER($U42:$AA42),$AB$3:$AH$3)</f>
        <v>1</v>
      </c>
      <c r="AJ42" s="829">
        <f t="shared" si="16"/>
        <v>44.207646767890843</v>
      </c>
      <c r="AK42" s="827" t="str">
        <f t="shared" si="17"/>
        <v>Inmadura</v>
      </c>
      <c r="AL42" s="784" t="str">
        <f t="shared" si="18"/>
        <v>Alta</v>
      </c>
      <c r="AM42" s="799">
        <f>IF(ISNUMBER('Base de datos Rutas'!W40),'Base de datos Rutas'!W40,"")</f>
        <v>3282.4548901856938</v>
      </c>
      <c r="AN42" s="787">
        <f>IFERROR(SUMIFS('Base de datos Rutas'!$W$6:$W$794,'Base de datos Rutas'!$C$6:$C$794,$C42)/'Base de datos Rutas'!I40,"")</f>
        <v>3282.4548901856929</v>
      </c>
      <c r="AO42" s="800">
        <f>IFERROR('Base de datos Rutas'!X40*AN42/AM42,"")</f>
        <v>0.44222418227796229</v>
      </c>
      <c r="AP42" s="800">
        <f t="shared" si="19"/>
        <v>0.55777581772203777</v>
      </c>
      <c r="AQ42" s="789">
        <f>IFERROR(INDEX('Hoja de apoyo v2'!$J$17:$J$20,MATCH($A42,'Hoja de apoyo v2'!$A$17:$A$20,0)),"")</f>
        <v>0.56799995069377007</v>
      </c>
      <c r="AR42" s="789">
        <f t="shared" si="20"/>
        <v>-1.0224132971732303E-2</v>
      </c>
      <c r="AS42" s="784" t="str">
        <f t="shared" si="21"/>
        <v>No</v>
      </c>
      <c r="AT42" s="801">
        <f>IF(ISNUMBER('Base de datos Rutas'!CK40),'Base de datos Rutas'!CK40,"")</f>
        <v>551</v>
      </c>
      <c r="AU42" s="802">
        <f>IF(ISNUMBER('Base de datos Rutas'!CL40),'Base de datos Rutas'!CL40,"")</f>
        <v>967.99</v>
      </c>
      <c r="AV42" s="802">
        <f>IF(ISNUMBER('Base de datos Rutas'!CM40),'Base de datos Rutas'!CM40,"")</f>
        <v>416.99</v>
      </c>
      <c r="AW42" s="802">
        <f>IF(ISNUMBER('Base de datos Rutas'!CN40),'Base de datos Rutas'!CN40,"")</f>
        <v>7.05</v>
      </c>
      <c r="AX42" s="802">
        <f>IF(ISNUMBER('Base de datos Rutas'!CO40),'Base de datos Rutas'!CO40,"")</f>
        <v>9.4499999999999993</v>
      </c>
      <c r="AY42" s="802">
        <f>IF(ISNUMBER('Base de datos Rutas'!CP40),'Base de datos Rutas'!CP40,"")</f>
        <v>2.3999999999999995</v>
      </c>
      <c r="AZ42" s="802">
        <f>IF(ISNUMBER('Base de datos Rutas'!CQ40),'Base de datos Rutas'!CQ40,"")</f>
        <v>846.56</v>
      </c>
      <c r="BA42" s="802">
        <f>IF(ISNUMBER('Base de datos Rutas'!CR40),'Base de datos Rutas'!CR40,"")</f>
        <v>269.43</v>
      </c>
      <c r="BB42" s="803">
        <f>IF(ISNUMBER('Base de datos Rutas'!CS40),'Base de datos Rutas'!CS40,"")</f>
        <v>577.12999999999988</v>
      </c>
      <c r="BC42" s="804">
        <f t="shared" si="32"/>
        <v>0</v>
      </c>
      <c r="BD42" s="805" t="str">
        <f t="shared" si="33"/>
        <v>No saturada</v>
      </c>
      <c r="BE42" s="806">
        <f t="shared" si="34"/>
        <v>0.31826450576450577</v>
      </c>
      <c r="BF42" s="890">
        <f>IF(ISNUMBER('Base de datos Rutas'!CX40),'Base de datos Rutas'!CX40/100,"")</f>
        <v>0.5269009227625403</v>
      </c>
      <c r="BG42" s="891">
        <f>IF(ISNUMBER('Base de datos Rutas'!CZ40),'Base de datos Rutas'!CZ40/100,"")</f>
        <v>0.54021520482774033</v>
      </c>
      <c r="BH42" s="892">
        <f>IF(ISNUMBER('Base de datos Rutas'!DA40),'Base de datos Rutas'!DA40,"")</f>
        <v>172.23941241473796</v>
      </c>
      <c r="BI42" s="893">
        <f>IF(ISNUMBER('Base de datos Rutas'!DC40),'Base de datos Rutas'!DC40,"")</f>
        <v>4.4309882880603375</v>
      </c>
      <c r="BJ42" s="805" t="str">
        <f t="shared" si="35"/>
        <v>Ruta (completo)</v>
      </c>
      <c r="BK42" s="783">
        <f t="shared" si="22"/>
        <v>2</v>
      </c>
      <c r="BL42" s="797">
        <f t="shared" si="23"/>
        <v>2</v>
      </c>
      <c r="BM42" s="797">
        <f t="shared" si="24"/>
        <v>2</v>
      </c>
      <c r="BN42" s="797">
        <f t="shared" si="25"/>
        <v>2</v>
      </c>
      <c r="BO42" s="798" cm="1">
        <f t="array" ref="BO42">SUMPRODUCT(--ISNUMBER($BF42:$BI42),$BK$3:$BN$3)</f>
        <v>1</v>
      </c>
      <c r="BP42" s="831">
        <f t="shared" si="38"/>
        <v>25</v>
      </c>
      <c r="BQ42" s="834" t="str">
        <f t="shared" si="36"/>
        <v>Medio</v>
      </c>
      <c r="BR42" s="836">
        <f t="shared" si="27"/>
        <v>33.15573507591813</v>
      </c>
      <c r="BS42" s="836">
        <f t="shared" si="28"/>
        <v>25</v>
      </c>
      <c r="BT42" s="837" t="str">
        <f t="shared" si="29"/>
        <v>P2</v>
      </c>
      <c r="BU42" s="807" t="str">
        <f t="shared" si="37"/>
        <v>Con espacio</v>
      </c>
      <c r="BV42" s="807" t="str">
        <f t="shared" si="30"/>
        <v>Zona de bajo potencial</v>
      </c>
      <c r="BW42" s="808" t="str">
        <f t="shared" si="31"/>
        <v>P2 - Mantener</v>
      </c>
    </row>
    <row r="43" spans="1:75">
      <c r="A43" s="780" t="str">
        <f>'Base de datos Rutas'!A41</f>
        <v>Noreste</v>
      </c>
      <c r="B43" s="781" t="str">
        <f>'Base de datos Rutas'!B41</f>
        <v>Monterrey</v>
      </c>
      <c r="C43" s="781" t="str">
        <f>'Base de datos Rutas'!C41</f>
        <v>Sucursal Juventud</v>
      </c>
      <c r="D43" s="782">
        <f>IF(ISNUMBER('Base de datos Rutas'!D41),'Base de datos Rutas'!D41,"Sin código")</f>
        <v>704305</v>
      </c>
      <c r="E43" s="783" t="str">
        <f>'Base de datos Rutas'!F41</f>
        <v>Activa</v>
      </c>
      <c r="F43" s="784" t="str">
        <f>'Base de datos Rutas'!H41</f>
        <v>Sí</v>
      </c>
      <c r="G43" s="785">
        <f>IF(ISNUMBER('Base de datos Rutas'!BE41),'Base de datos Rutas'!BE41,"")</f>
        <v>47.243735763098002</v>
      </c>
      <c r="H43" s="786">
        <f>IF(ISNUMBER('Base de datos Rutas'!BH41),'Base de datos Rutas'!BH41,"")</f>
        <v>0.86022179363548701</v>
      </c>
      <c r="I43" s="788">
        <f>IFERROR(IF(OR(NOT(ISNUMBER('Base de datos Rutas'!O41)),N('Base de datos Rutas'!BK41)=0),"",'Base de datos Rutas'!O41/('Base de datos Rutas'!L41/'Base de datos Rutas'!BK41)),"")</f>
        <v>11409.10706150342</v>
      </c>
      <c r="J43" s="788">
        <f>IFERROR(IF(OR(NOT(ISNUMBER('Base de datos Rutas'!N41)),N('Base de datos Rutas'!BK41)=0),"",'Base de datos Rutas'!N41/('Base de datos Rutas'!L41/'Base de datos Rutas'!BK41)),"")</f>
        <v>3341.5512528473814</v>
      </c>
      <c r="K43" s="788">
        <f>IFERROR(IF(OR(NOT(ISNUMBER('Base de datos Rutas'!J41)),N('Base de datos Rutas'!BK41)=0),"",'Base de datos Rutas'!J41/('Base de datos Rutas'!L41/'Base de datos Rutas'!BK41)),"")</f>
        <v>225.41755261959005</v>
      </c>
      <c r="L43" s="788">
        <f>IFERROR(IF(OR(NOT(ISNUMBER('Base de datos Rutas'!K41)),N('Base de datos Rutas'!BK41)=0),"",'Base de datos Rutas'!K41/('Base de datos Rutas'!L41/'Base de datos Rutas'!BK41)),"")</f>
        <v>95.552305382687948</v>
      </c>
      <c r="M43" s="787">
        <f>IF(ISNUMBER('Base de datos Rutas'!AX41),'Base de datos Rutas'!AX41,"")</f>
        <v>362.95824449302199</v>
      </c>
      <c r="N43" s="790">
        <f>IFERROR(INDEX('Hoja de apoyo v2'!B$17:B$20,MATCH($A43,'Hoja de apoyo v2'!$A$17:$A$20,0)),"")</f>
        <v>63.050408855205418</v>
      </c>
      <c r="O43" s="791">
        <f>IFERROR(INDEX('Hoja de apoyo v2'!C$17:C$20,MATCH($A43,'Hoja de apoyo v2'!$A$17:$A$20,0)),"")</f>
        <v>0.7559478312655763</v>
      </c>
      <c r="P43" s="793">
        <f>IFERROR(INDEX('Hoja de apoyo v2'!D$17:D$20,MATCH($A43,'Hoja de apoyo v2'!$A$17:$A$20,0)),"")</f>
        <v>9054.9839880720647</v>
      </c>
      <c r="Q43" s="793">
        <f>IFERROR(INDEX('Hoja de apoyo v2'!E$17:E$20,MATCH($A43,'Hoja de apoyo v2'!$A$17:$A$20,0)),"")</f>
        <v>4535.7799207004691</v>
      </c>
      <c r="R43" s="793">
        <f>IFERROR(INDEX('Hoja de apoyo v2'!F$17:F$20,MATCH($A43,'Hoja de apoyo v2'!$A$17:$A$20,0)),"")</f>
        <v>260.44838236060593</v>
      </c>
      <c r="S43" s="793">
        <f>IFERROR(INDEX('Hoja de apoyo v2'!G$17:G$20,MATCH($A43,'Hoja de apoyo v2'!$A$17:$A$20,0)),"")</f>
        <v>64.772152317133859</v>
      </c>
      <c r="T43" s="792">
        <f>IFERROR(INDEX('Hoja de apoyo v2'!H$17:H$20,MATCH($A43,'Hoja de apoyo v2'!$A$17:$A$20,0)),"")</f>
        <v>389.240053528842</v>
      </c>
      <c r="U43" s="794">
        <f t="shared" si="2"/>
        <v>0.74930102153013356</v>
      </c>
      <c r="V43" s="795">
        <f t="shared" si="3"/>
        <v>1.1379380402419299</v>
      </c>
      <c r="W43" s="795">
        <f t="shared" si="4"/>
        <v>1.2599809206214381</v>
      </c>
      <c r="X43" s="843">
        <f t="shared" si="5"/>
        <v>0.73670930055427808</v>
      </c>
      <c r="Y43" s="843">
        <f t="shared" si="6"/>
        <v>0.86549799456034382</v>
      </c>
      <c r="Z43" s="843">
        <f t="shared" si="7"/>
        <v>1.4752065812920649</v>
      </c>
      <c r="AA43" s="843">
        <f t="shared" si="8"/>
        <v>0.93247917628838639</v>
      </c>
      <c r="AB43" s="796">
        <f t="shared" si="9"/>
        <v>2</v>
      </c>
      <c r="AC43" s="797">
        <f t="shared" si="10"/>
        <v>4</v>
      </c>
      <c r="AD43" s="797">
        <f t="shared" si="11"/>
        <v>5</v>
      </c>
      <c r="AE43" s="842">
        <f t="shared" si="12"/>
        <v>2</v>
      </c>
      <c r="AF43" s="842">
        <f t="shared" si="13"/>
        <v>3</v>
      </c>
      <c r="AG43" s="842">
        <f t="shared" si="14"/>
        <v>5</v>
      </c>
      <c r="AH43" s="842">
        <f t="shared" si="15"/>
        <v>3</v>
      </c>
      <c r="AI43" s="826" cm="1">
        <f t="array" ref="AI43">SUMPRODUCT(--ISNUMBER($U43:$AA43),$AB$3:$AH$3)</f>
        <v>1</v>
      </c>
      <c r="AJ43" s="829">
        <f t="shared" si="16"/>
        <v>63.446298236310504</v>
      </c>
      <c r="AK43" s="827" t="str">
        <f t="shared" si="17"/>
        <v>En desarrollo</v>
      </c>
      <c r="AL43" s="784" t="str">
        <f t="shared" si="18"/>
        <v>Alta</v>
      </c>
      <c r="AM43" s="799">
        <f>IF(ISNUMBER('Base de datos Rutas'!W41),'Base de datos Rutas'!W41,"")</f>
        <v>3282.4548901856938</v>
      </c>
      <c r="AN43" s="787">
        <f>IFERROR(SUMIFS('Base de datos Rutas'!$W$6:$W$794,'Base de datos Rutas'!$C$6:$C$794,$C43)/'Base de datos Rutas'!I41,"")</f>
        <v>3282.4548901856929</v>
      </c>
      <c r="AO43" s="800">
        <f>IFERROR('Base de datos Rutas'!X41*AN43/AM43,"")</f>
        <v>0.44222418227796229</v>
      </c>
      <c r="AP43" s="800">
        <f t="shared" si="19"/>
        <v>0.55777581772203777</v>
      </c>
      <c r="AQ43" s="789">
        <f>IFERROR(INDEX('Hoja de apoyo v2'!$J$17:$J$20,MATCH($A43,'Hoja de apoyo v2'!$A$17:$A$20,0)),"")</f>
        <v>0.56799995069377007</v>
      </c>
      <c r="AR43" s="789">
        <f t="shared" si="20"/>
        <v>-1.0224132971732303E-2</v>
      </c>
      <c r="AS43" s="784" t="str">
        <f t="shared" si="21"/>
        <v>No</v>
      </c>
      <c r="AT43" s="801">
        <f>IF(ISNUMBER('Base de datos Rutas'!CK41),'Base de datos Rutas'!CK41,"")</f>
        <v>276</v>
      </c>
      <c r="AU43" s="802">
        <f>IF(ISNUMBER('Base de datos Rutas'!CL41),'Base de datos Rutas'!CL41,"")</f>
        <v>728.88</v>
      </c>
      <c r="AV43" s="802">
        <f>IF(ISNUMBER('Base de datos Rutas'!CM41),'Base de datos Rutas'!CM41,"")</f>
        <v>452.88</v>
      </c>
      <c r="AW43" s="802">
        <f>IF(ISNUMBER('Base de datos Rutas'!CN41),'Base de datos Rutas'!CN41,"")</f>
        <v>4.54</v>
      </c>
      <c r="AX43" s="802">
        <f>IF(ISNUMBER('Base de datos Rutas'!CO41),'Base de datos Rutas'!CO41,"")</f>
        <v>9.4499999999999993</v>
      </c>
      <c r="AY43" s="802">
        <f>IF(ISNUMBER('Base de datos Rutas'!CP41),'Base de datos Rutas'!CP41,"")</f>
        <v>4.9099999999999993</v>
      </c>
      <c r="AZ43" s="802">
        <f>IF(ISNUMBER('Base de datos Rutas'!CQ41),'Base de datos Rutas'!CQ41,"")</f>
        <v>1269.8399999999999</v>
      </c>
      <c r="BA43" s="802">
        <f>IF(ISNUMBER('Base de datos Rutas'!CR41),'Base de datos Rutas'!CR41,"")</f>
        <v>320.97000000000003</v>
      </c>
      <c r="BB43" s="803">
        <f>IF(ISNUMBER('Base de datos Rutas'!CS41),'Base de datos Rutas'!CS41,"")</f>
        <v>948.86999999999989</v>
      </c>
      <c r="BC43" s="804">
        <f t="shared" si="32"/>
        <v>0</v>
      </c>
      <c r="BD43" s="805" t="str">
        <f t="shared" si="33"/>
        <v>No saturada</v>
      </c>
      <c r="BE43" s="806">
        <f t="shared" si="34"/>
        <v>0.25276412776412782</v>
      </c>
      <c r="BF43" s="890">
        <f>IF(ISNUMBER('Base de datos Rutas'!CX41),'Base de datos Rutas'!CX41/100,"")</f>
        <v>0.79537821297429612</v>
      </c>
      <c r="BG43" s="891">
        <f>IF(ISNUMBER('Base de datos Rutas'!CZ41),'Base de datos Rutas'!CZ41/100,"")</f>
        <v>0.90624235006119946</v>
      </c>
      <c r="BH43" s="892">
        <f>IF(ISNUMBER('Base de datos Rutas'!DA41),'Base de datos Rutas'!DA41,"")</f>
        <v>1094.7750381235289</v>
      </c>
      <c r="BI43" s="893">
        <f>IF(ISNUMBER('Base de datos Rutas'!DC41),'Base de datos Rutas'!DC41,"")</f>
        <v>23.785031776953112</v>
      </c>
      <c r="BJ43" s="805" t="str">
        <f t="shared" si="35"/>
        <v>Ruta (completo)</v>
      </c>
      <c r="BK43" s="783">
        <f t="shared" si="22"/>
        <v>5</v>
      </c>
      <c r="BL43" s="797">
        <f t="shared" si="23"/>
        <v>5</v>
      </c>
      <c r="BM43" s="797">
        <f t="shared" si="24"/>
        <v>5</v>
      </c>
      <c r="BN43" s="797">
        <f t="shared" si="25"/>
        <v>5</v>
      </c>
      <c r="BO43" s="798" cm="1">
        <f t="array" ref="BO43">SUMPRODUCT(--ISNUMBER($BF43:$BI43),$BK$3:$BN$3)</f>
        <v>1</v>
      </c>
      <c r="BP43" s="831">
        <f t="shared" si="38"/>
        <v>100</v>
      </c>
      <c r="BQ43" s="834" t="str">
        <f t="shared" si="36"/>
        <v>Alto</v>
      </c>
      <c r="BR43" s="836">
        <f t="shared" si="27"/>
        <v>47.58472367723288</v>
      </c>
      <c r="BS43" s="836">
        <f t="shared" si="28"/>
        <v>100</v>
      </c>
      <c r="BT43" s="837" t="str">
        <f t="shared" si="29"/>
        <v>P1</v>
      </c>
      <c r="BU43" s="807" t="str">
        <f t="shared" si="37"/>
        <v>Con espacio</v>
      </c>
      <c r="BV43" s="807" t="str">
        <f t="shared" si="30"/>
        <v>Zona atractiva</v>
      </c>
      <c r="BW43" s="808" t="str">
        <f t="shared" si="31"/>
        <v>P1 - Ampliar cobertura</v>
      </c>
    </row>
    <row r="44" spans="1:75">
      <c r="A44" s="780" t="str">
        <f>'Base de datos Rutas'!A42</f>
        <v>Noreste</v>
      </c>
      <c r="B44" s="781" t="str">
        <f>'Base de datos Rutas'!B42</f>
        <v>Monterrey</v>
      </c>
      <c r="C44" s="781" t="str">
        <f>'Base de datos Rutas'!C42</f>
        <v>Sucursal Juventud</v>
      </c>
      <c r="D44" s="782">
        <f>IF(ISNUMBER('Base de datos Rutas'!D42),'Base de datos Rutas'!D42,"Sin código")</f>
        <v>704306</v>
      </c>
      <c r="E44" s="783" t="str">
        <f>'Base de datos Rutas'!F42</f>
        <v>Activa</v>
      </c>
      <c r="F44" s="784" t="str">
        <f>'Base de datos Rutas'!H42</f>
        <v>Sí</v>
      </c>
      <c r="G44" s="785">
        <f>IF(ISNUMBER('Base de datos Rutas'!BE42),'Base de datos Rutas'!BE42,"")</f>
        <v>42.527027027027003</v>
      </c>
      <c r="H44" s="786">
        <f>IF(ISNUMBER('Base de datos Rutas'!BH42),'Base de datos Rutas'!BH42,"")</f>
        <v>0.72841859972460499</v>
      </c>
      <c r="I44" s="788">
        <f>IFERROR(IF(OR(NOT(ISNUMBER('Base de datos Rutas'!O42)),N('Base de datos Rutas'!BK42)=0),"",'Base de datos Rutas'!O42/('Base de datos Rutas'!L42/'Base de datos Rutas'!BK42)),"")</f>
        <v>10859.639639639652</v>
      </c>
      <c r="J44" s="788">
        <f>IFERROR(IF(OR(NOT(ISNUMBER('Base de datos Rutas'!N42)),N('Base de datos Rutas'!BK42)=0),"",'Base de datos Rutas'!N42/('Base de datos Rutas'!L42/'Base de datos Rutas'!BK42)),"")</f>
        <v>3147.7364864864903</v>
      </c>
      <c r="K44" s="788">
        <f>IFERROR(IF(OR(NOT(ISNUMBER('Base de datos Rutas'!J42)),N('Base de datos Rutas'!BK42)=0),"",'Base de datos Rutas'!J42/('Base de datos Rutas'!L42/'Base de datos Rutas'!BK42)),"")</f>
        <v>217.91280000000026</v>
      </c>
      <c r="L44" s="788">
        <f>IFERROR(IF(OR(NOT(ISNUMBER('Base de datos Rutas'!K42)),N('Base de datos Rutas'!BK42)=0),"",'Base de datos Rutas'!K42/('Base de datos Rutas'!L42/'Base de datos Rutas'!BK42)),"")</f>
        <v>87.257802103603709</v>
      </c>
      <c r="M44" s="787">
        <f>IF(ISNUMBER('Base de datos Rutas'!AX42),'Base de datos Rutas'!AX42,"")</f>
        <v>452.179327468373</v>
      </c>
      <c r="N44" s="790">
        <f>IFERROR(INDEX('Hoja de apoyo v2'!B$17:B$20,MATCH($A44,'Hoja de apoyo v2'!$A$17:$A$20,0)),"")</f>
        <v>63.050408855205418</v>
      </c>
      <c r="O44" s="791">
        <f>IFERROR(INDEX('Hoja de apoyo v2'!C$17:C$20,MATCH($A44,'Hoja de apoyo v2'!$A$17:$A$20,0)),"")</f>
        <v>0.7559478312655763</v>
      </c>
      <c r="P44" s="793">
        <f>IFERROR(INDEX('Hoja de apoyo v2'!D$17:D$20,MATCH($A44,'Hoja de apoyo v2'!$A$17:$A$20,0)),"")</f>
        <v>9054.9839880720647</v>
      </c>
      <c r="Q44" s="793">
        <f>IFERROR(INDEX('Hoja de apoyo v2'!E$17:E$20,MATCH($A44,'Hoja de apoyo v2'!$A$17:$A$20,0)),"")</f>
        <v>4535.7799207004691</v>
      </c>
      <c r="R44" s="793">
        <f>IFERROR(INDEX('Hoja de apoyo v2'!F$17:F$20,MATCH($A44,'Hoja de apoyo v2'!$A$17:$A$20,0)),"")</f>
        <v>260.44838236060593</v>
      </c>
      <c r="S44" s="793">
        <f>IFERROR(INDEX('Hoja de apoyo v2'!G$17:G$20,MATCH($A44,'Hoja de apoyo v2'!$A$17:$A$20,0)),"")</f>
        <v>64.772152317133859</v>
      </c>
      <c r="T44" s="792">
        <f>IFERROR(INDEX('Hoja de apoyo v2'!H$17:H$20,MATCH($A44,'Hoja de apoyo v2'!$A$17:$A$20,0)),"")</f>
        <v>389.240053528842</v>
      </c>
      <c r="U44" s="794">
        <f t="shared" si="2"/>
        <v>0.67449248623731939</v>
      </c>
      <c r="V44" s="795">
        <f t="shared" si="3"/>
        <v>0.96358315957480423</v>
      </c>
      <c r="W44" s="795">
        <f t="shared" si="4"/>
        <v>1.1992997065422557</v>
      </c>
      <c r="X44" s="843">
        <f t="shared" si="5"/>
        <v>0.69397910425962184</v>
      </c>
      <c r="Y44" s="843">
        <f t="shared" si="6"/>
        <v>0.83668325379839492</v>
      </c>
      <c r="Z44" s="843">
        <f t="shared" si="7"/>
        <v>1.3471499553755268</v>
      </c>
      <c r="AA44" s="843">
        <f t="shared" si="8"/>
        <v>1.1616978349707974</v>
      </c>
      <c r="AB44" s="796">
        <f t="shared" si="9"/>
        <v>2</v>
      </c>
      <c r="AC44" s="797">
        <f t="shared" si="10"/>
        <v>3</v>
      </c>
      <c r="AD44" s="797">
        <f t="shared" si="11"/>
        <v>4</v>
      </c>
      <c r="AE44" s="842">
        <f t="shared" si="12"/>
        <v>2</v>
      </c>
      <c r="AF44" s="842">
        <f t="shared" si="13"/>
        <v>3</v>
      </c>
      <c r="AG44" s="842">
        <f t="shared" si="14"/>
        <v>5</v>
      </c>
      <c r="AH44" s="842">
        <f t="shared" si="15"/>
        <v>4</v>
      </c>
      <c r="AI44" s="826" cm="1">
        <f t="array" ref="AI44">SUMPRODUCT(--ISNUMBER($U44:$AA44),$AB$3:$AH$3)</f>
        <v>1</v>
      </c>
      <c r="AJ44" s="829">
        <f t="shared" si="16"/>
        <v>58.193949021418547</v>
      </c>
      <c r="AK44" s="827" t="str">
        <f t="shared" si="17"/>
        <v>En desarrollo</v>
      </c>
      <c r="AL44" s="784" t="str">
        <f t="shared" si="18"/>
        <v>Alta</v>
      </c>
      <c r="AM44" s="799">
        <f>IF(ISNUMBER('Base de datos Rutas'!W42),'Base de datos Rutas'!W42,"")</f>
        <v>3282.4548901856938</v>
      </c>
      <c r="AN44" s="787">
        <f>IFERROR(SUMIFS('Base de datos Rutas'!$W$6:$W$794,'Base de datos Rutas'!$C$6:$C$794,$C44)/'Base de datos Rutas'!I42,"")</f>
        <v>3282.4548901856929</v>
      </c>
      <c r="AO44" s="800">
        <f>IFERROR('Base de datos Rutas'!X42*AN44/AM44,"")</f>
        <v>0.44222418227796229</v>
      </c>
      <c r="AP44" s="800">
        <f t="shared" si="19"/>
        <v>0.55777581772203777</v>
      </c>
      <c r="AQ44" s="789">
        <f>IFERROR(INDEX('Hoja de apoyo v2'!$J$17:$J$20,MATCH($A44,'Hoja de apoyo v2'!$A$17:$A$20,0)),"")</f>
        <v>0.56799995069377007</v>
      </c>
      <c r="AR44" s="789">
        <f t="shared" si="20"/>
        <v>-1.0224132971732303E-2</v>
      </c>
      <c r="AS44" s="784" t="str">
        <f t="shared" si="21"/>
        <v>No</v>
      </c>
      <c r="AT44" s="801">
        <f>IF(ISNUMBER('Base de datos Rutas'!CK42),'Base de datos Rutas'!CK42,"")</f>
        <v>243</v>
      </c>
      <c r="AU44" s="802">
        <f>IF(ISNUMBER('Base de datos Rutas'!CL42),'Base de datos Rutas'!CL42,"")</f>
        <v>653.58000000000004</v>
      </c>
      <c r="AV44" s="802">
        <f>IF(ISNUMBER('Base de datos Rutas'!CM42),'Base de datos Rutas'!CM42,"")</f>
        <v>410.58000000000004</v>
      </c>
      <c r="AW44" s="802">
        <f>IF(ISNUMBER('Base de datos Rutas'!CN42),'Base de datos Rutas'!CN42,"")</f>
        <v>3.37</v>
      </c>
      <c r="AX44" s="802">
        <f>IF(ISNUMBER('Base de datos Rutas'!CO42),'Base de datos Rutas'!CO42,"")</f>
        <v>9.4499999999999993</v>
      </c>
      <c r="AY44" s="802">
        <f>IF(ISNUMBER('Base de datos Rutas'!CP42),'Base de datos Rutas'!CP42,"")</f>
        <v>6.0799999999999992</v>
      </c>
      <c r="AZ44" s="802">
        <f>IF(ISNUMBER('Base de datos Rutas'!CQ42),'Base de datos Rutas'!CQ42,"")</f>
        <v>846.56</v>
      </c>
      <c r="BA44" s="802">
        <f>IF(ISNUMBER('Base de datos Rutas'!CR42),'Base de datos Rutas'!CR42,"")</f>
        <v>305.17</v>
      </c>
      <c r="BB44" s="803">
        <f>IF(ISNUMBER('Base de datos Rutas'!CS42),'Base de datos Rutas'!CS42,"")</f>
        <v>541.38999999999987</v>
      </c>
      <c r="BC44" s="804">
        <f t="shared" si="32"/>
        <v>0</v>
      </c>
      <c r="BD44" s="805" t="str">
        <f t="shared" si="33"/>
        <v>No saturada</v>
      </c>
      <c r="BE44" s="806">
        <f t="shared" si="34"/>
        <v>0.360482422982423</v>
      </c>
      <c r="BF44" s="890">
        <f>IF(ISNUMBER('Base de datos Rutas'!CX42),'Base de datos Rutas'!CX42/100,"")</f>
        <v>0.37456436467371923</v>
      </c>
      <c r="BG44" s="891">
        <f>IF(ISNUMBER('Base de datos Rutas'!CZ42),'Base de datos Rutas'!CZ42/100,"")</f>
        <v>0.3989658861286105</v>
      </c>
      <c r="BH44" s="892">
        <f>IF(ISNUMBER('Base de datos Rutas'!DA42),'Base de datos Rutas'!DA42,"")</f>
        <v>230.12620891151258</v>
      </c>
      <c r="BI44" s="893">
        <f>IF(ISNUMBER('Base de datos Rutas'!DC42),'Base de datos Rutas'!DC42,"")</f>
        <v>5.2879944861451627</v>
      </c>
      <c r="BJ44" s="805" t="str">
        <f t="shared" si="35"/>
        <v>Ruta (completo)</v>
      </c>
      <c r="BK44" s="783">
        <f t="shared" si="22"/>
        <v>1</v>
      </c>
      <c r="BL44" s="797">
        <f t="shared" si="23"/>
        <v>1</v>
      </c>
      <c r="BM44" s="797">
        <f t="shared" si="24"/>
        <v>2</v>
      </c>
      <c r="BN44" s="797">
        <f t="shared" si="25"/>
        <v>2</v>
      </c>
      <c r="BO44" s="798" cm="1">
        <f t="array" ref="BO44">SUMPRODUCT(--ISNUMBER($BF44:$BI44),$BK$3:$BN$3)</f>
        <v>1</v>
      </c>
      <c r="BP44" s="831">
        <f t="shared" si="38"/>
        <v>12.5</v>
      </c>
      <c r="BQ44" s="834" t="str">
        <f t="shared" si="36"/>
        <v>Bajo</v>
      </c>
      <c r="BR44" s="836">
        <f t="shared" si="27"/>
        <v>43.64546176606391</v>
      </c>
      <c r="BS44" s="836">
        <f t="shared" si="28"/>
        <v>12.5</v>
      </c>
      <c r="BT44" s="837" t="str">
        <f t="shared" si="29"/>
        <v>P2</v>
      </c>
      <c r="BU44" s="807" t="str">
        <f t="shared" si="37"/>
        <v>Con espacio</v>
      </c>
      <c r="BV44" s="807" t="str">
        <f t="shared" si="30"/>
        <v>Zona de bajo potencial</v>
      </c>
      <c r="BW44" s="808" t="str">
        <f t="shared" si="31"/>
        <v>P2 - Mantener</v>
      </c>
    </row>
    <row r="45" spans="1:75">
      <c r="A45" s="780" t="str">
        <f>'Base de datos Rutas'!A43</f>
        <v>Noreste</v>
      </c>
      <c r="B45" s="781" t="str">
        <f>'Base de datos Rutas'!B43</f>
        <v>Monterrey</v>
      </c>
      <c r="C45" s="781" t="str">
        <f>'Base de datos Rutas'!C43</f>
        <v>Sucursal Juventud</v>
      </c>
      <c r="D45" s="782">
        <f>IF(ISNUMBER('Base de datos Rutas'!D43),'Base de datos Rutas'!D43,"Sin código")</f>
        <v>704307</v>
      </c>
      <c r="E45" s="783" t="str">
        <f>'Base de datos Rutas'!F43</f>
        <v>Activa</v>
      </c>
      <c r="F45" s="784" t="str">
        <f>'Base de datos Rutas'!H43</f>
        <v>Sí</v>
      </c>
      <c r="G45" s="785">
        <f>IF(ISNUMBER('Base de datos Rutas'!BE43),'Base de datos Rutas'!BE43,"")</f>
        <v>48.994764397905797</v>
      </c>
      <c r="H45" s="786">
        <f>IF(ISNUMBER('Base de datos Rutas'!BH43),'Base de datos Rutas'!BH43,"")</f>
        <v>0.61973712331694797</v>
      </c>
      <c r="I45" s="788">
        <f>IFERROR(IF(OR(NOT(ISNUMBER('Base de datos Rutas'!O43)),N('Base de datos Rutas'!BK43)=0),"",'Base de datos Rutas'!O43/('Base de datos Rutas'!L43/'Base de datos Rutas'!BK43)),"")</f>
        <v>8117.5522041763479</v>
      </c>
      <c r="J45" s="788">
        <f>IFERROR(IF(OR(NOT(ISNUMBER('Base de datos Rutas'!N43)),N('Base de datos Rutas'!BK43)=0),"",'Base de datos Rutas'!N43/('Base de datos Rutas'!L43/'Base de datos Rutas'!BK43)),"")</f>
        <v>2396.3457076566165</v>
      </c>
      <c r="K45" s="788">
        <f>IFERROR(IF(OR(NOT(ISNUMBER('Base de datos Rutas'!J43)),N('Base de datos Rutas'!BK43)=0),"",'Base de datos Rutas'!J43/('Base de datos Rutas'!L43/'Base de datos Rutas'!BK43)),"")</f>
        <v>162.73324547563834</v>
      </c>
      <c r="L45" s="788">
        <f>IFERROR(IF(OR(NOT(ISNUMBER('Base de datos Rutas'!K43)),N('Base de datos Rutas'!BK43)=0),"",'Base de datos Rutas'!K43/('Base de datos Rutas'!L43/'Base de datos Rutas'!BK43)),"")</f>
        <v>59.132289619489661</v>
      </c>
      <c r="M45" s="787">
        <f>IF(ISNUMBER('Base de datos Rutas'!AX43),'Base de datos Rutas'!AX43,"")</f>
        <v>337.66673248882302</v>
      </c>
      <c r="N45" s="790">
        <f>IFERROR(INDEX('Hoja de apoyo v2'!B$17:B$20,MATCH($A45,'Hoja de apoyo v2'!$A$17:$A$20,0)),"")</f>
        <v>63.050408855205418</v>
      </c>
      <c r="O45" s="791">
        <f>IFERROR(INDEX('Hoja de apoyo v2'!C$17:C$20,MATCH($A45,'Hoja de apoyo v2'!$A$17:$A$20,0)),"")</f>
        <v>0.7559478312655763</v>
      </c>
      <c r="P45" s="793">
        <f>IFERROR(INDEX('Hoja de apoyo v2'!D$17:D$20,MATCH($A45,'Hoja de apoyo v2'!$A$17:$A$20,0)),"")</f>
        <v>9054.9839880720647</v>
      </c>
      <c r="Q45" s="793">
        <f>IFERROR(INDEX('Hoja de apoyo v2'!E$17:E$20,MATCH($A45,'Hoja de apoyo v2'!$A$17:$A$20,0)),"")</f>
        <v>4535.7799207004691</v>
      </c>
      <c r="R45" s="793">
        <f>IFERROR(INDEX('Hoja de apoyo v2'!F$17:F$20,MATCH($A45,'Hoja de apoyo v2'!$A$17:$A$20,0)),"")</f>
        <v>260.44838236060593</v>
      </c>
      <c r="S45" s="793">
        <f>IFERROR(INDEX('Hoja de apoyo v2'!G$17:G$20,MATCH($A45,'Hoja de apoyo v2'!$A$17:$A$20,0)),"")</f>
        <v>64.772152317133859</v>
      </c>
      <c r="T45" s="792">
        <f>IFERROR(INDEX('Hoja de apoyo v2'!H$17:H$20,MATCH($A45,'Hoja de apoyo v2'!$A$17:$A$20,0)),"")</f>
        <v>389.240053528842</v>
      </c>
      <c r="U45" s="794">
        <f t="shared" si="2"/>
        <v>0.777072905433837</v>
      </c>
      <c r="V45" s="795">
        <f t="shared" si="3"/>
        <v>0.81981467197201952</v>
      </c>
      <c r="W45" s="795">
        <f t="shared" si="4"/>
        <v>0.89647339132453741</v>
      </c>
      <c r="X45" s="843">
        <f t="shared" si="5"/>
        <v>0.52832054234380588</v>
      </c>
      <c r="Y45" s="843">
        <f t="shared" si="6"/>
        <v>0.62481956693562679</v>
      </c>
      <c r="Z45" s="843">
        <f t="shared" si="7"/>
        <v>0.91292766264689473</v>
      </c>
      <c r="AA45" s="843">
        <f t="shared" si="8"/>
        <v>0.86750253327617144</v>
      </c>
      <c r="AB45" s="796">
        <f t="shared" si="9"/>
        <v>3</v>
      </c>
      <c r="AC45" s="797">
        <f t="shared" si="10"/>
        <v>3</v>
      </c>
      <c r="AD45" s="797">
        <f t="shared" si="11"/>
        <v>3</v>
      </c>
      <c r="AE45" s="842">
        <f t="shared" si="12"/>
        <v>2</v>
      </c>
      <c r="AF45" s="842">
        <f t="shared" si="13"/>
        <v>2</v>
      </c>
      <c r="AG45" s="842">
        <f t="shared" si="14"/>
        <v>3</v>
      </c>
      <c r="AH45" s="842">
        <f t="shared" si="15"/>
        <v>3</v>
      </c>
      <c r="AI45" s="826" cm="1">
        <f t="array" ref="AI45">SUMPRODUCT(--ISNUMBER($U45:$AA45),$AB$3:$AH$3)</f>
        <v>1</v>
      </c>
      <c r="AJ45" s="829">
        <f t="shared" si="16"/>
        <v>43.664507841741532</v>
      </c>
      <c r="AK45" s="827" t="str">
        <f t="shared" si="17"/>
        <v>Inmadura</v>
      </c>
      <c r="AL45" s="784" t="str">
        <f t="shared" si="18"/>
        <v>Alta</v>
      </c>
      <c r="AM45" s="799">
        <f>IF(ISNUMBER('Base de datos Rutas'!W43),'Base de datos Rutas'!W43,"")</f>
        <v>3282.4548901856938</v>
      </c>
      <c r="AN45" s="787">
        <f>IFERROR(SUMIFS('Base de datos Rutas'!$W$6:$W$794,'Base de datos Rutas'!$C$6:$C$794,$C45)/'Base de datos Rutas'!I43,"")</f>
        <v>3282.4548901856929</v>
      </c>
      <c r="AO45" s="800">
        <f>IFERROR('Base de datos Rutas'!X43*AN45/AM45,"")</f>
        <v>0.44222418227796229</v>
      </c>
      <c r="AP45" s="800">
        <f t="shared" si="19"/>
        <v>0.55777581772203777</v>
      </c>
      <c r="AQ45" s="789">
        <f>IFERROR(INDEX('Hoja de apoyo v2'!$J$17:$J$20,MATCH($A45,'Hoja de apoyo v2'!$A$17:$A$20,0)),"")</f>
        <v>0.56799995069377007</v>
      </c>
      <c r="AR45" s="789">
        <f t="shared" si="20"/>
        <v>-1.0224132971732303E-2</v>
      </c>
      <c r="AS45" s="784" t="str">
        <f t="shared" si="21"/>
        <v>No</v>
      </c>
      <c r="AT45" s="801">
        <f>IF(ISNUMBER('Base de datos Rutas'!CK43),'Base de datos Rutas'!CK43,"")</f>
        <v>321</v>
      </c>
      <c r="AU45" s="802">
        <f>IF(ISNUMBER('Base de datos Rutas'!CL43),'Base de datos Rutas'!CL43,"")</f>
        <v>808.48</v>
      </c>
      <c r="AV45" s="802">
        <f>IF(ISNUMBER('Base de datos Rutas'!CM43),'Base de datos Rutas'!CM43,"")</f>
        <v>487.48</v>
      </c>
      <c r="AW45" s="802">
        <f>IF(ISNUMBER('Base de datos Rutas'!CN43),'Base de datos Rutas'!CN43,"")</f>
        <v>4.7300000000000004</v>
      </c>
      <c r="AX45" s="802">
        <f>IF(ISNUMBER('Base de datos Rutas'!CO43),'Base de datos Rutas'!CO43,"")</f>
        <v>9.4499999999999993</v>
      </c>
      <c r="AY45" s="802">
        <f>IF(ISNUMBER('Base de datos Rutas'!CP43),'Base de datos Rutas'!CP43,"")</f>
        <v>4.7199999999999989</v>
      </c>
      <c r="AZ45" s="802">
        <f>IF(ISNUMBER('Base de datos Rutas'!CQ43),'Base de datos Rutas'!CQ43,"")</f>
        <v>634.91999999999996</v>
      </c>
      <c r="BA45" s="802">
        <f>IF(ISNUMBER('Base de datos Rutas'!CR43),'Base de datos Rutas'!CR43,"")</f>
        <v>221.87</v>
      </c>
      <c r="BB45" s="803">
        <f>IF(ISNUMBER('Base de datos Rutas'!CS43),'Base de datos Rutas'!CS43,"")</f>
        <v>413.04999999999995</v>
      </c>
      <c r="BC45" s="804">
        <f t="shared" si="32"/>
        <v>0</v>
      </c>
      <c r="BD45" s="805" t="str">
        <f t="shared" si="33"/>
        <v>No saturada</v>
      </c>
      <c r="BE45" s="806">
        <f t="shared" si="34"/>
        <v>0.3494455994455995</v>
      </c>
      <c r="BF45" s="890">
        <f>IF(ISNUMBER('Base de datos Rutas'!CX43),'Base de datos Rutas'!CX43/100,"")</f>
        <v>0.55834837609267285</v>
      </c>
      <c r="BG45" s="891">
        <f>IF(ISNUMBER('Base de datos Rutas'!CZ43),'Base de datos Rutas'!CZ43/100,"")</f>
        <v>0.59299267998010097</v>
      </c>
      <c r="BH45" s="892">
        <f>IF(ISNUMBER('Base de datos Rutas'!DA43),'Base de datos Rutas'!DA43,"")</f>
        <v>414.39116377533918</v>
      </c>
      <c r="BI45" s="893">
        <f>IF(ISNUMBER('Base de datos Rutas'!DC43),'Base de datos Rutas'!DC43,"")</f>
        <v>9.3693029766843789</v>
      </c>
      <c r="BJ45" s="805" t="str">
        <f t="shared" si="35"/>
        <v>Ruta (completo)</v>
      </c>
      <c r="BK45" s="783">
        <f t="shared" si="22"/>
        <v>3</v>
      </c>
      <c r="BL45" s="797">
        <f t="shared" si="23"/>
        <v>3</v>
      </c>
      <c r="BM45" s="797">
        <f t="shared" si="24"/>
        <v>4</v>
      </c>
      <c r="BN45" s="797">
        <f t="shared" si="25"/>
        <v>4</v>
      </c>
      <c r="BO45" s="798" cm="1">
        <f t="array" ref="BO45">SUMPRODUCT(--ISNUMBER($BF45:$BI45),$BK$3:$BN$3)</f>
        <v>1</v>
      </c>
      <c r="BP45" s="831">
        <f t="shared" si="38"/>
        <v>62.5</v>
      </c>
      <c r="BQ45" s="834" t="str">
        <f t="shared" si="36"/>
        <v>Alto</v>
      </c>
      <c r="BR45" s="836">
        <f t="shared" si="27"/>
        <v>32.748380881306147</v>
      </c>
      <c r="BS45" s="836">
        <f t="shared" si="28"/>
        <v>62.5</v>
      </c>
      <c r="BT45" s="837" t="str">
        <f t="shared" si="29"/>
        <v>P1</v>
      </c>
      <c r="BU45" s="807" t="str">
        <f t="shared" si="37"/>
        <v>Con espacio</v>
      </c>
      <c r="BV45" s="807" t="str">
        <f t="shared" si="30"/>
        <v>Zona atractiva</v>
      </c>
      <c r="BW45" s="808" t="str">
        <f t="shared" si="31"/>
        <v>P1 - Ampliar cobertura</v>
      </c>
    </row>
    <row r="46" spans="1:75">
      <c r="A46" s="780" t="str">
        <f>'Base de datos Rutas'!A44</f>
        <v>Noreste</v>
      </c>
      <c r="B46" s="781" t="str">
        <f>'Base de datos Rutas'!B44</f>
        <v>Monterrey</v>
      </c>
      <c r="C46" s="781" t="str">
        <f>'Base de datos Rutas'!C44</f>
        <v>Sucursal Juventud</v>
      </c>
      <c r="D46" s="782">
        <f>IF(ISNUMBER('Base de datos Rutas'!D44),'Base de datos Rutas'!D44,"Sin código")</f>
        <v>704308</v>
      </c>
      <c r="E46" s="783" t="str">
        <f>'Base de datos Rutas'!F44</f>
        <v>Activa</v>
      </c>
      <c r="F46" s="784" t="str">
        <f>'Base de datos Rutas'!H44</f>
        <v>Sí</v>
      </c>
      <c r="G46" s="785">
        <f>IF(ISNUMBER('Base de datos Rutas'!BE44),'Base de datos Rutas'!BE44,"")</f>
        <v>45.925925925925903</v>
      </c>
      <c r="H46" s="786">
        <f>IF(ISNUMBER('Base de datos Rutas'!BH44),'Base de datos Rutas'!BH44,"")</f>
        <v>0.54565756823821299</v>
      </c>
      <c r="I46" s="788">
        <f>IFERROR(IF(OR(NOT(ISNUMBER('Base de datos Rutas'!O44)),N('Base de datos Rutas'!BK44)=0),"",'Base de datos Rutas'!O44/('Base de datos Rutas'!L44/'Base de datos Rutas'!BK44)),"")</f>
        <v>6355.843457943929</v>
      </c>
      <c r="J46" s="788">
        <f>IFERROR(IF(OR(NOT(ISNUMBER('Base de datos Rutas'!N44)),N('Base de datos Rutas'!BK44)=0),"",'Base de datos Rutas'!N44/('Base de datos Rutas'!L44/'Base de datos Rutas'!BK44)),"")</f>
        <v>2244.6869158878521</v>
      </c>
      <c r="K46" s="788">
        <f>IFERROR(IF(OR(NOT(ISNUMBER('Base de datos Rutas'!J44)),N('Base de datos Rutas'!BK44)=0),"",'Base de datos Rutas'!J44/('Base de datos Rutas'!L44/'Base de datos Rutas'!BK44)),"")</f>
        <v>154.81277196261692</v>
      </c>
      <c r="L46" s="788">
        <f>IFERROR(IF(OR(NOT(ISNUMBER('Base de datos Rutas'!K44)),N('Base de datos Rutas'!BK44)=0),"",'Base de datos Rutas'!K44/('Base de datos Rutas'!L44/'Base de datos Rutas'!BK44)),"")</f>
        <v>47.847513771028069</v>
      </c>
      <c r="M46" s="787">
        <f>IF(ISNUMBER('Base de datos Rutas'!AX44),'Base de datos Rutas'!AX44,"")</f>
        <v>332.96877467849998</v>
      </c>
      <c r="N46" s="790">
        <f>IFERROR(INDEX('Hoja de apoyo v2'!B$17:B$20,MATCH($A46,'Hoja de apoyo v2'!$A$17:$A$20,0)),"")</f>
        <v>63.050408855205418</v>
      </c>
      <c r="O46" s="791">
        <f>IFERROR(INDEX('Hoja de apoyo v2'!C$17:C$20,MATCH($A46,'Hoja de apoyo v2'!$A$17:$A$20,0)),"")</f>
        <v>0.7559478312655763</v>
      </c>
      <c r="P46" s="793">
        <f>IFERROR(INDEX('Hoja de apoyo v2'!D$17:D$20,MATCH($A46,'Hoja de apoyo v2'!$A$17:$A$20,0)),"")</f>
        <v>9054.9839880720647</v>
      </c>
      <c r="Q46" s="793">
        <f>IFERROR(INDEX('Hoja de apoyo v2'!E$17:E$20,MATCH($A46,'Hoja de apoyo v2'!$A$17:$A$20,0)),"")</f>
        <v>4535.7799207004691</v>
      </c>
      <c r="R46" s="793">
        <f>IFERROR(INDEX('Hoja de apoyo v2'!F$17:F$20,MATCH($A46,'Hoja de apoyo v2'!$A$17:$A$20,0)),"")</f>
        <v>260.44838236060593</v>
      </c>
      <c r="S46" s="793">
        <f>IFERROR(INDEX('Hoja de apoyo v2'!G$17:G$20,MATCH($A46,'Hoja de apoyo v2'!$A$17:$A$20,0)),"")</f>
        <v>64.772152317133859</v>
      </c>
      <c r="T46" s="792">
        <f>IFERROR(INDEX('Hoja de apoyo v2'!H$17:H$20,MATCH($A46,'Hoja de apoyo v2'!$A$17:$A$20,0)),"")</f>
        <v>389.240053528842</v>
      </c>
      <c r="U46" s="794">
        <f t="shared" si="2"/>
        <v>0.72840012871913795</v>
      </c>
      <c r="V46" s="795">
        <f t="shared" si="3"/>
        <v>0.72181908019326657</v>
      </c>
      <c r="W46" s="795">
        <f t="shared" si="4"/>
        <v>0.70191658718738148</v>
      </c>
      <c r="X46" s="843">
        <f t="shared" si="5"/>
        <v>0.49488444217575728</v>
      </c>
      <c r="Y46" s="843">
        <f t="shared" si="6"/>
        <v>0.59440865233814211</v>
      </c>
      <c r="Z46" s="843">
        <f t="shared" si="7"/>
        <v>0.73870501533992106</v>
      </c>
      <c r="AA46" s="843">
        <f t="shared" si="8"/>
        <v>0.85543296908890076</v>
      </c>
      <c r="AB46" s="796">
        <f t="shared" si="9"/>
        <v>2</v>
      </c>
      <c r="AC46" s="797">
        <f t="shared" si="10"/>
        <v>2</v>
      </c>
      <c r="AD46" s="797">
        <f t="shared" si="11"/>
        <v>2</v>
      </c>
      <c r="AE46" s="842">
        <f t="shared" si="12"/>
        <v>1</v>
      </c>
      <c r="AF46" s="842">
        <f t="shared" si="13"/>
        <v>2</v>
      </c>
      <c r="AG46" s="842">
        <f t="shared" si="14"/>
        <v>2</v>
      </c>
      <c r="AH46" s="842">
        <f t="shared" si="15"/>
        <v>3</v>
      </c>
      <c r="AI46" s="826" cm="1">
        <f t="array" ref="AI46">SUMPRODUCT(--ISNUMBER($U46:$AA46),$AB$3:$AH$3)</f>
        <v>1</v>
      </c>
      <c r="AJ46" s="829">
        <f t="shared" si="16"/>
        <v>23.835280194107877</v>
      </c>
      <c r="AK46" s="827" t="str">
        <f t="shared" si="17"/>
        <v>Inmadura</v>
      </c>
      <c r="AL46" s="784" t="str">
        <f t="shared" si="18"/>
        <v>Alta</v>
      </c>
      <c r="AM46" s="799">
        <f>IF(ISNUMBER('Base de datos Rutas'!W44),'Base de datos Rutas'!W44,"")</f>
        <v>3282.4548901856938</v>
      </c>
      <c r="AN46" s="787">
        <f>IFERROR(SUMIFS('Base de datos Rutas'!$W$6:$W$794,'Base de datos Rutas'!$C$6:$C$794,$C46)/'Base de datos Rutas'!I44,"")</f>
        <v>3282.4548901856929</v>
      </c>
      <c r="AO46" s="800">
        <f>IFERROR('Base de datos Rutas'!X44*AN46/AM46,"")</f>
        <v>0.44222418227796229</v>
      </c>
      <c r="AP46" s="800">
        <f t="shared" si="19"/>
        <v>0.55777581772203777</v>
      </c>
      <c r="AQ46" s="789">
        <f>IFERROR(INDEX('Hoja de apoyo v2'!$J$17:$J$20,MATCH($A46,'Hoja de apoyo v2'!$A$17:$A$20,0)),"")</f>
        <v>0.56799995069377007</v>
      </c>
      <c r="AR46" s="789">
        <f t="shared" si="20"/>
        <v>-1.0224132971732303E-2</v>
      </c>
      <c r="AS46" s="784" t="str">
        <f t="shared" si="21"/>
        <v>No</v>
      </c>
      <c r="AT46" s="801">
        <f>IF(ISNUMBER('Base de datos Rutas'!CK44),'Base de datos Rutas'!CK44,"")</f>
        <v>319</v>
      </c>
      <c r="AU46" s="802">
        <f>IF(ISNUMBER('Base de datos Rutas'!CL44),'Base de datos Rutas'!CL44,"")</f>
        <v>824.33</v>
      </c>
      <c r="AV46" s="802">
        <f>IF(ISNUMBER('Base de datos Rutas'!CM44),'Base de datos Rutas'!CM44,"")</f>
        <v>505.33000000000004</v>
      </c>
      <c r="AW46" s="802">
        <f>IF(ISNUMBER('Base de datos Rutas'!CN44),'Base de datos Rutas'!CN44,"")</f>
        <v>3.99</v>
      </c>
      <c r="AX46" s="802">
        <f>IF(ISNUMBER('Base de datos Rutas'!CO44),'Base de datos Rutas'!CO44,"")</f>
        <v>9.4499999999999993</v>
      </c>
      <c r="AY46" s="802">
        <f>IF(ISNUMBER('Base de datos Rutas'!CP44),'Base de datos Rutas'!CP44,"")</f>
        <v>5.4599999999999991</v>
      </c>
      <c r="AZ46" s="802">
        <f>IF(ISNUMBER('Base de datos Rutas'!CQ44),'Base de datos Rutas'!CQ44,"")</f>
        <v>634.91999999999996</v>
      </c>
      <c r="BA46" s="802">
        <f>IF(ISNUMBER('Base de datos Rutas'!CR44),'Base de datos Rutas'!CR44,"")</f>
        <v>202.66</v>
      </c>
      <c r="BB46" s="803">
        <f>IF(ISNUMBER('Base de datos Rutas'!CS44),'Base de datos Rutas'!CS44,"")</f>
        <v>432.26</v>
      </c>
      <c r="BC46" s="804">
        <f t="shared" si="32"/>
        <v>0</v>
      </c>
      <c r="BD46" s="805" t="str">
        <f t="shared" si="33"/>
        <v>No saturada</v>
      </c>
      <c r="BE46" s="806">
        <f t="shared" si="34"/>
        <v>0.3191898191898192</v>
      </c>
      <c r="BF46" s="890">
        <f>IF(ISNUMBER('Base de datos Rutas'!CX44),'Base de datos Rutas'!CX44/100,"")</f>
        <v>0.54083911977061527</v>
      </c>
      <c r="BG46" s="891">
        <f>IF(ISNUMBER('Base de datos Rutas'!CZ44),'Base de datos Rutas'!CZ44/100,"")</f>
        <v>0.55829619649704632</v>
      </c>
      <c r="BH46" s="892">
        <f>IF(ISNUMBER('Base de datos Rutas'!DA44),'Base de datos Rutas'!DA44,"")</f>
        <v>158.67060331050206</v>
      </c>
      <c r="BI46" s="893">
        <f>IF(ISNUMBER('Base de datos Rutas'!DC44),'Base de datos Rutas'!DC44,"")</f>
        <v>4.0576850795845347</v>
      </c>
      <c r="BJ46" s="805" t="str">
        <f t="shared" si="35"/>
        <v>Ruta (completo)</v>
      </c>
      <c r="BK46" s="783">
        <f t="shared" si="22"/>
        <v>3</v>
      </c>
      <c r="BL46" s="797">
        <f t="shared" si="23"/>
        <v>3</v>
      </c>
      <c r="BM46" s="797">
        <f t="shared" si="24"/>
        <v>1</v>
      </c>
      <c r="BN46" s="797">
        <f t="shared" si="25"/>
        <v>1</v>
      </c>
      <c r="BO46" s="798" cm="1">
        <f t="array" ref="BO46">SUMPRODUCT(--ISNUMBER($BF46:$BI46),$BK$3:$BN$3)</f>
        <v>1</v>
      </c>
      <c r="BP46" s="831">
        <f t="shared" si="38"/>
        <v>25</v>
      </c>
      <c r="BQ46" s="834" t="str">
        <f t="shared" si="36"/>
        <v>Medio</v>
      </c>
      <c r="BR46" s="836">
        <f t="shared" si="27"/>
        <v>17.876460145580907</v>
      </c>
      <c r="BS46" s="836">
        <f t="shared" si="28"/>
        <v>25</v>
      </c>
      <c r="BT46" s="837" t="str">
        <f t="shared" si="29"/>
        <v>P4</v>
      </c>
      <c r="BU46" s="807" t="str">
        <f t="shared" si="37"/>
        <v>Con espacio</v>
      </c>
      <c r="BV46" s="807" t="str">
        <f t="shared" si="30"/>
        <v>Zona de bajo potencial</v>
      </c>
      <c r="BW46" s="808" t="str">
        <f t="shared" si="31"/>
        <v>P4 - Evaluar</v>
      </c>
    </row>
    <row r="47" spans="1:75">
      <c r="A47" s="780" t="str">
        <f>'Base de datos Rutas'!A45</f>
        <v>Noreste</v>
      </c>
      <c r="B47" s="781" t="str">
        <f>'Base de datos Rutas'!B45</f>
        <v>Monterrey</v>
      </c>
      <c r="C47" s="781" t="str">
        <f>'Base de datos Rutas'!C45</f>
        <v>Sucursal Juventud</v>
      </c>
      <c r="D47" s="782">
        <f>IF(ISNUMBER('Base de datos Rutas'!D45),'Base de datos Rutas'!D45,"Sin código")</f>
        <v>704309</v>
      </c>
      <c r="E47" s="783" t="str">
        <f>'Base de datos Rutas'!F45</f>
        <v>Activa</v>
      </c>
      <c r="F47" s="784" t="str">
        <f>'Base de datos Rutas'!H45</f>
        <v>Sí</v>
      </c>
      <c r="G47" s="785">
        <f>IF(ISNUMBER('Base de datos Rutas'!BE45),'Base de datos Rutas'!BE45,"")</f>
        <v>38.703225806451599</v>
      </c>
      <c r="H47" s="786">
        <f>IF(ISNUMBER('Base de datos Rutas'!BH45),'Base de datos Rutas'!BH45,"")</f>
        <v>0.69786631105184205</v>
      </c>
      <c r="I47" s="788">
        <f>IFERROR(IF(OR(NOT(ISNUMBER('Base de datos Rutas'!O45)),N('Base de datos Rutas'!BK45)=0),"",'Base de datos Rutas'!O45/('Base de datos Rutas'!L45/'Base de datos Rutas'!BK45)),"")</f>
        <v>9844.2511415525223</v>
      </c>
      <c r="J47" s="788">
        <f>IFERROR(IF(OR(NOT(ISNUMBER('Base de datos Rutas'!N45)),N('Base de datos Rutas'!BK45)=0),"",'Base de datos Rutas'!N45/('Base de datos Rutas'!L45/'Base de datos Rutas'!BK45)),"")</f>
        <v>2163.0547945205503</v>
      </c>
      <c r="K47" s="788">
        <f>IFERROR(IF(OR(NOT(ISNUMBER('Base de datos Rutas'!J45)),N('Base de datos Rutas'!BK45)=0),"",'Base de datos Rutas'!J45/('Base de datos Rutas'!L45/'Base de datos Rutas'!BK45)),"")</f>
        <v>143.99217351598168</v>
      </c>
      <c r="L47" s="788">
        <f>IFERROR(IF(OR(NOT(ISNUMBER('Base de datos Rutas'!K45)),N('Base de datos Rutas'!BK45)=0),"",'Base de datos Rutas'!K45/('Base de datos Rutas'!L45/'Base de datos Rutas'!BK45)),"")</f>
        <v>73.003207326484102</v>
      </c>
      <c r="M47" s="787">
        <f>IF(ISNUMBER('Base de datos Rutas'!AX45),'Base de datos Rutas'!AX45,"")</f>
        <v>475.90245769613603</v>
      </c>
      <c r="N47" s="790">
        <f>IFERROR(INDEX('Hoja de apoyo v2'!B$17:B$20,MATCH($A47,'Hoja de apoyo v2'!$A$17:$A$20,0)),"")</f>
        <v>63.050408855205418</v>
      </c>
      <c r="O47" s="791">
        <f>IFERROR(INDEX('Hoja de apoyo v2'!C$17:C$20,MATCH($A47,'Hoja de apoyo v2'!$A$17:$A$20,0)),"")</f>
        <v>0.7559478312655763</v>
      </c>
      <c r="P47" s="793">
        <f>IFERROR(INDEX('Hoja de apoyo v2'!D$17:D$20,MATCH($A47,'Hoja de apoyo v2'!$A$17:$A$20,0)),"")</f>
        <v>9054.9839880720647</v>
      </c>
      <c r="Q47" s="793">
        <f>IFERROR(INDEX('Hoja de apoyo v2'!E$17:E$20,MATCH($A47,'Hoja de apoyo v2'!$A$17:$A$20,0)),"")</f>
        <v>4535.7799207004691</v>
      </c>
      <c r="R47" s="793">
        <f>IFERROR(INDEX('Hoja de apoyo v2'!F$17:F$20,MATCH($A47,'Hoja de apoyo v2'!$A$17:$A$20,0)),"")</f>
        <v>260.44838236060593</v>
      </c>
      <c r="S47" s="793">
        <f>IFERROR(INDEX('Hoja de apoyo v2'!G$17:G$20,MATCH($A47,'Hoja de apoyo v2'!$A$17:$A$20,0)),"")</f>
        <v>64.772152317133859</v>
      </c>
      <c r="T47" s="792">
        <f>IFERROR(INDEX('Hoja de apoyo v2'!H$17:H$20,MATCH($A47,'Hoja de apoyo v2'!$A$17:$A$20,0)),"")</f>
        <v>389.240053528842</v>
      </c>
      <c r="U47" s="794">
        <f t="shared" si="2"/>
        <v>0.6138457546775492</v>
      </c>
      <c r="V47" s="795">
        <f t="shared" si="3"/>
        <v>0.92316729037174883</v>
      </c>
      <c r="W47" s="795">
        <f t="shared" si="4"/>
        <v>1.0871638375639474</v>
      </c>
      <c r="X47" s="843">
        <f t="shared" si="5"/>
        <v>0.47688706955308047</v>
      </c>
      <c r="Y47" s="843">
        <f t="shared" si="6"/>
        <v>0.55286261412296334</v>
      </c>
      <c r="Z47" s="843">
        <f t="shared" si="7"/>
        <v>1.1270770649869686</v>
      </c>
      <c r="AA47" s="843">
        <f t="shared" si="8"/>
        <v>1.2226451347481189</v>
      </c>
      <c r="AB47" s="796">
        <f t="shared" si="9"/>
        <v>2</v>
      </c>
      <c r="AC47" s="797">
        <f t="shared" si="10"/>
        <v>3</v>
      </c>
      <c r="AD47" s="797">
        <f t="shared" si="11"/>
        <v>4</v>
      </c>
      <c r="AE47" s="842">
        <f t="shared" si="12"/>
        <v>1</v>
      </c>
      <c r="AF47" s="842">
        <f t="shared" si="13"/>
        <v>2</v>
      </c>
      <c r="AG47" s="842">
        <f t="shared" si="14"/>
        <v>4</v>
      </c>
      <c r="AH47" s="842">
        <f t="shared" si="15"/>
        <v>4</v>
      </c>
      <c r="AI47" s="826" cm="1">
        <f t="array" ref="AI47">SUMPRODUCT(--ISNUMBER($U47:$AA47),$AB$3:$AH$3)</f>
        <v>1</v>
      </c>
      <c r="AJ47" s="829">
        <f t="shared" si="16"/>
        <v>47.469390095100373</v>
      </c>
      <c r="AK47" s="827" t="str">
        <f t="shared" si="17"/>
        <v>En desarrollo</v>
      </c>
      <c r="AL47" s="784" t="str">
        <f t="shared" si="18"/>
        <v>Alta</v>
      </c>
      <c r="AM47" s="799">
        <f>IF(ISNUMBER('Base de datos Rutas'!W45),'Base de datos Rutas'!W45,"")</f>
        <v>3282.4548901856938</v>
      </c>
      <c r="AN47" s="787">
        <f>IFERROR(SUMIFS('Base de datos Rutas'!$W$6:$W$794,'Base de datos Rutas'!$C$6:$C$794,$C47)/'Base de datos Rutas'!I45,"")</f>
        <v>3282.4548901856929</v>
      </c>
      <c r="AO47" s="800">
        <f>IFERROR('Base de datos Rutas'!X45*AN47/AM47,"")</f>
        <v>0.44222418227796229</v>
      </c>
      <c r="AP47" s="800">
        <f t="shared" si="19"/>
        <v>0.55777581772203777</v>
      </c>
      <c r="AQ47" s="789">
        <f>IFERROR(INDEX('Hoja de apoyo v2'!$J$17:$J$20,MATCH($A47,'Hoja de apoyo v2'!$A$17:$A$20,0)),"")</f>
        <v>0.56799995069377007</v>
      </c>
      <c r="AR47" s="789">
        <f t="shared" si="20"/>
        <v>-1.0224132971732303E-2</v>
      </c>
      <c r="AS47" s="784" t="str">
        <f t="shared" si="21"/>
        <v>No</v>
      </c>
      <c r="AT47" s="801">
        <f>IF(ISNUMBER('Base de datos Rutas'!CK45),'Base de datos Rutas'!CK45,"")</f>
        <v>229</v>
      </c>
      <c r="AU47" s="802">
        <f>IF(ISNUMBER('Base de datos Rutas'!CL45),'Base de datos Rutas'!CL45,"")</f>
        <v>702.82</v>
      </c>
      <c r="AV47" s="802">
        <f>IF(ISNUMBER('Base de datos Rutas'!CM45),'Base de datos Rutas'!CM45,"")</f>
        <v>473.82000000000005</v>
      </c>
      <c r="AW47" s="802">
        <f>IF(ISNUMBER('Base de datos Rutas'!CN45),'Base de datos Rutas'!CN45,"")</f>
        <v>3.55</v>
      </c>
      <c r="AX47" s="802">
        <f>IF(ISNUMBER('Base de datos Rutas'!CO45),'Base de datos Rutas'!CO45,"")</f>
        <v>9.4499999999999993</v>
      </c>
      <c r="AY47" s="802">
        <f>IF(ISNUMBER('Base de datos Rutas'!CP45),'Base de datos Rutas'!CP45,"")</f>
        <v>5.8999999999999995</v>
      </c>
      <c r="AZ47" s="802">
        <f>IF(ISNUMBER('Base de datos Rutas'!CQ45),'Base de datos Rutas'!CQ45,"")</f>
        <v>1481.48</v>
      </c>
      <c r="BA47" s="802">
        <f>IF(ISNUMBER('Base de datos Rutas'!CR45),'Base de datos Rutas'!CR45,"")</f>
        <v>217</v>
      </c>
      <c r="BB47" s="803">
        <f>IF(ISNUMBER('Base de datos Rutas'!CS45),'Base de datos Rutas'!CS45,"")</f>
        <v>1264.48</v>
      </c>
      <c r="BC47" s="804">
        <f t="shared" si="32"/>
        <v>0</v>
      </c>
      <c r="BD47" s="805" t="str">
        <f t="shared" si="33"/>
        <v>No saturada</v>
      </c>
      <c r="BE47" s="806">
        <f t="shared" si="34"/>
        <v>0.14647514647514648</v>
      </c>
      <c r="BF47" s="890">
        <f>IF(ISNUMBER('Base de datos Rutas'!CX45),'Base de datos Rutas'!CX45/100,"")</f>
        <v>0.76918584253431022</v>
      </c>
      <c r="BG47" s="891">
        <f>IF(ISNUMBER('Base de datos Rutas'!CZ45),'Base de datos Rutas'!CZ45/100,"")</f>
        <v>0.81807862965638223</v>
      </c>
      <c r="BH47" s="892">
        <f>IF(ISNUMBER('Base de datos Rutas'!DA45),'Base de datos Rutas'!DA45,"")</f>
        <v>501.37558264681519</v>
      </c>
      <c r="BI47" s="893">
        <f>IF(ISNUMBER('Base de datos Rutas'!DC45),'Base de datos Rutas'!DC45,"")</f>
        <v>12.390780161380134</v>
      </c>
      <c r="BJ47" s="805" t="str">
        <f t="shared" si="35"/>
        <v>Ruta (completo)</v>
      </c>
      <c r="BK47" s="783">
        <f t="shared" si="22"/>
        <v>4</v>
      </c>
      <c r="BL47" s="797">
        <f t="shared" si="23"/>
        <v>4</v>
      </c>
      <c r="BM47" s="797">
        <f t="shared" si="24"/>
        <v>4</v>
      </c>
      <c r="BN47" s="797">
        <f t="shared" si="25"/>
        <v>5</v>
      </c>
      <c r="BO47" s="798" cm="1">
        <f t="array" ref="BO47">SUMPRODUCT(--ISNUMBER($BF47:$BI47),$BK$3:$BN$3)</f>
        <v>1</v>
      </c>
      <c r="BP47" s="831">
        <f t="shared" si="38"/>
        <v>81.25</v>
      </c>
      <c r="BQ47" s="834" t="str">
        <f t="shared" si="36"/>
        <v>Alto</v>
      </c>
      <c r="BR47" s="836">
        <f t="shared" si="27"/>
        <v>35.602042571325278</v>
      </c>
      <c r="BS47" s="836">
        <f t="shared" si="28"/>
        <v>81.25</v>
      </c>
      <c r="BT47" s="837" t="str">
        <f t="shared" si="29"/>
        <v>P1</v>
      </c>
      <c r="BU47" s="807" t="str">
        <f t="shared" si="37"/>
        <v>Con espacio</v>
      </c>
      <c r="BV47" s="807" t="str">
        <f t="shared" si="30"/>
        <v>Zona atractiva</v>
      </c>
      <c r="BW47" s="808" t="str">
        <f t="shared" si="31"/>
        <v>P1 - Ampliar cobertura</v>
      </c>
    </row>
    <row r="48" spans="1:75">
      <c r="A48" s="780" t="str">
        <f>'Base de datos Rutas'!A46</f>
        <v>Noreste</v>
      </c>
      <c r="B48" s="781" t="str">
        <f>'Base de datos Rutas'!B46</f>
        <v>Monterrey</v>
      </c>
      <c r="C48" s="781" t="str">
        <f>'Base de datos Rutas'!C46</f>
        <v>Sucursal Juventud</v>
      </c>
      <c r="D48" s="782">
        <f>IF(ISNUMBER('Base de datos Rutas'!D46),'Base de datos Rutas'!D46,"Sin código")</f>
        <v>704310</v>
      </c>
      <c r="E48" s="783" t="str">
        <f>'Base de datos Rutas'!F46</f>
        <v>Activa</v>
      </c>
      <c r="F48" s="784" t="str">
        <f>'Base de datos Rutas'!H46</f>
        <v>Sí</v>
      </c>
      <c r="G48" s="785">
        <f>IF(ISNUMBER('Base de datos Rutas'!BE46),'Base de datos Rutas'!BE46,"")</f>
        <v>43.225000000000001</v>
      </c>
      <c r="H48" s="786">
        <f>IF(ISNUMBER('Base de datos Rutas'!BH46),'Base de datos Rutas'!BH46,"")</f>
        <v>0.75782863752788598</v>
      </c>
      <c r="I48" s="788">
        <f>IFERROR(IF(OR(NOT(ISNUMBER('Base de datos Rutas'!O46)),N('Base de datos Rutas'!BK46)=0),"",'Base de datos Rutas'!O46/('Base de datos Rutas'!L46/'Base de datos Rutas'!BK46)),"")</f>
        <v>4939.8906605922466</v>
      </c>
      <c r="J48" s="788">
        <f>IFERROR(IF(OR(NOT(ISNUMBER('Base de datos Rutas'!N46)),N('Base de datos Rutas'!BK46)=0),"",'Base de datos Rutas'!N46/('Base de datos Rutas'!L46/'Base de datos Rutas'!BK46)),"")</f>
        <v>2381.8268792710664</v>
      </c>
      <c r="K48" s="788">
        <f>IFERROR(IF(OR(NOT(ISNUMBER('Base de datos Rutas'!J46)),N('Base de datos Rutas'!BK46)=0),"",'Base de datos Rutas'!J46/('Base de datos Rutas'!L46/'Base de datos Rutas'!BK46)),"")</f>
        <v>158.5558211936216</v>
      </c>
      <c r="L48" s="788">
        <f>IFERROR(IF(OR(NOT(ISNUMBER('Base de datos Rutas'!K46)),N('Base de datos Rutas'!BK46)=0),"",'Base de datos Rutas'!K46/('Base de datos Rutas'!L46/'Base de datos Rutas'!BK46)),"")</f>
        <v>41.36020598861041</v>
      </c>
      <c r="M48" s="787">
        <f>IF(ISNUMBER('Base de datos Rutas'!AX46),'Base de datos Rutas'!AX46,"")</f>
        <v>242.69352083962599</v>
      </c>
      <c r="N48" s="790">
        <f>IFERROR(INDEX('Hoja de apoyo v2'!B$17:B$20,MATCH($A48,'Hoja de apoyo v2'!$A$17:$A$20,0)),"")</f>
        <v>63.050408855205418</v>
      </c>
      <c r="O48" s="791">
        <f>IFERROR(INDEX('Hoja de apoyo v2'!C$17:C$20,MATCH($A48,'Hoja de apoyo v2'!$A$17:$A$20,0)),"")</f>
        <v>0.7559478312655763</v>
      </c>
      <c r="P48" s="793">
        <f>IFERROR(INDEX('Hoja de apoyo v2'!D$17:D$20,MATCH($A48,'Hoja de apoyo v2'!$A$17:$A$20,0)),"")</f>
        <v>9054.9839880720647</v>
      </c>
      <c r="Q48" s="793">
        <f>IFERROR(INDEX('Hoja de apoyo v2'!E$17:E$20,MATCH($A48,'Hoja de apoyo v2'!$A$17:$A$20,0)),"")</f>
        <v>4535.7799207004691</v>
      </c>
      <c r="R48" s="793">
        <f>IFERROR(INDEX('Hoja de apoyo v2'!F$17:F$20,MATCH($A48,'Hoja de apoyo v2'!$A$17:$A$20,0)),"")</f>
        <v>260.44838236060593</v>
      </c>
      <c r="S48" s="793">
        <f>IFERROR(INDEX('Hoja de apoyo v2'!G$17:G$20,MATCH($A48,'Hoja de apoyo v2'!$A$17:$A$20,0)),"")</f>
        <v>64.772152317133859</v>
      </c>
      <c r="T48" s="792">
        <f>IFERROR(INDEX('Hoja de apoyo v2'!H$17:H$20,MATCH($A48,'Hoja de apoyo v2'!$A$17:$A$20,0)),"")</f>
        <v>389.240053528842</v>
      </c>
      <c r="U48" s="794">
        <f t="shared" si="2"/>
        <v>0.68556256469749066</v>
      </c>
      <c r="V48" s="795">
        <f t="shared" si="3"/>
        <v>1.0024880106596257</v>
      </c>
      <c r="W48" s="795">
        <f t="shared" si="4"/>
        <v>0.5455438316731932</v>
      </c>
      <c r="X48" s="843">
        <f t="shared" si="5"/>
        <v>0.52511958713006435</v>
      </c>
      <c r="Y48" s="843">
        <f t="shared" si="6"/>
        <v>0.60878021109799729</v>
      </c>
      <c r="Z48" s="843">
        <f t="shared" si="7"/>
        <v>0.63854919913892683</v>
      </c>
      <c r="AA48" s="843">
        <f t="shared" si="8"/>
        <v>0.62350603089114731</v>
      </c>
      <c r="AB48" s="796">
        <f t="shared" si="9"/>
        <v>2</v>
      </c>
      <c r="AC48" s="797">
        <f t="shared" si="10"/>
        <v>4</v>
      </c>
      <c r="AD48" s="797">
        <f t="shared" si="11"/>
        <v>2</v>
      </c>
      <c r="AE48" s="842">
        <f t="shared" si="12"/>
        <v>2</v>
      </c>
      <c r="AF48" s="842">
        <f t="shared" si="13"/>
        <v>2</v>
      </c>
      <c r="AG48" s="842">
        <f t="shared" si="14"/>
        <v>2</v>
      </c>
      <c r="AH48" s="842">
        <f t="shared" si="15"/>
        <v>2</v>
      </c>
      <c r="AI48" s="826" cm="1">
        <f t="array" ref="AI48">SUMPRODUCT(--ISNUMBER($U48:$AA48),$AB$3:$AH$3)</f>
        <v>1</v>
      </c>
      <c r="AJ48" s="829">
        <f t="shared" si="16"/>
        <v>29.765811171780964</v>
      </c>
      <c r="AK48" s="827" t="str">
        <f t="shared" si="17"/>
        <v>Inmadura</v>
      </c>
      <c r="AL48" s="784" t="str">
        <f t="shared" si="18"/>
        <v>Alta</v>
      </c>
      <c r="AM48" s="799">
        <f>IF(ISNUMBER('Base de datos Rutas'!W46),'Base de datos Rutas'!W46,"")</f>
        <v>3282.4548901856938</v>
      </c>
      <c r="AN48" s="787">
        <f>IFERROR(SUMIFS('Base de datos Rutas'!$W$6:$W$794,'Base de datos Rutas'!$C$6:$C$794,$C48)/'Base de datos Rutas'!I46,"")</f>
        <v>3282.4548901856929</v>
      </c>
      <c r="AO48" s="800">
        <f>IFERROR('Base de datos Rutas'!X46*AN48/AM48,"")</f>
        <v>0.44222418227796229</v>
      </c>
      <c r="AP48" s="800">
        <f t="shared" si="19"/>
        <v>0.55777581772203777</v>
      </c>
      <c r="AQ48" s="789">
        <f>IFERROR(INDEX('Hoja de apoyo v2'!$J$17:$J$20,MATCH($A48,'Hoja de apoyo v2'!$A$17:$A$20,0)),"")</f>
        <v>0.56799995069377007</v>
      </c>
      <c r="AR48" s="789">
        <f t="shared" si="20"/>
        <v>-1.0224132971732303E-2</v>
      </c>
      <c r="AS48" s="784" t="str">
        <f t="shared" si="21"/>
        <v>No</v>
      </c>
      <c r="AT48" s="801">
        <f>IF(ISNUMBER('Base de datos Rutas'!CK46),'Base de datos Rutas'!CK46,"")</f>
        <v>227</v>
      </c>
      <c r="AU48" s="802">
        <f>IF(ISNUMBER('Base de datos Rutas'!CL46),'Base de datos Rutas'!CL46,"")</f>
        <v>434.73</v>
      </c>
      <c r="AV48" s="802">
        <f>IF(ISNUMBER('Base de datos Rutas'!CM46),'Base de datos Rutas'!CM46,"")</f>
        <v>207.73000000000002</v>
      </c>
      <c r="AW48" s="802">
        <f>IF(ISNUMBER('Base de datos Rutas'!CN46),'Base de datos Rutas'!CN46,"")</f>
        <v>4.7699999999999996</v>
      </c>
      <c r="AX48" s="802">
        <f>IF(ISNUMBER('Base de datos Rutas'!CO46),'Base de datos Rutas'!CO46,"")</f>
        <v>9.4499999999999993</v>
      </c>
      <c r="AY48" s="802">
        <f>IF(ISNUMBER('Base de datos Rutas'!CP46),'Base de datos Rutas'!CP46,"")</f>
        <v>4.68</v>
      </c>
      <c r="AZ48" s="802">
        <f>IF(ISNUMBER('Base de datos Rutas'!CQ46),'Base de datos Rutas'!CQ46,"")</f>
        <v>634.91999999999996</v>
      </c>
      <c r="BA48" s="802">
        <f>IF(ISNUMBER('Base de datos Rutas'!CR46),'Base de datos Rutas'!CR46,"")</f>
        <v>199.92</v>
      </c>
      <c r="BB48" s="803">
        <f>IF(ISNUMBER('Base de datos Rutas'!CS46),'Base de datos Rutas'!CS46,"")</f>
        <v>435</v>
      </c>
      <c r="BC48" s="804">
        <f t="shared" si="32"/>
        <v>0</v>
      </c>
      <c r="BD48" s="805" t="str">
        <f t="shared" si="33"/>
        <v>No saturada</v>
      </c>
      <c r="BE48" s="806">
        <f t="shared" si="34"/>
        <v>0.31487431487431489</v>
      </c>
      <c r="BF48" s="890">
        <f>IF(ISNUMBER('Base de datos Rutas'!CX46),'Base de datos Rutas'!CX46/100,"")</f>
        <v>0.21928045325779036</v>
      </c>
      <c r="BG48" s="891">
        <f>IF(ISNUMBER('Base de datos Rutas'!CZ46),'Base de datos Rutas'!CZ46/100,"")</f>
        <v>0.2323575700346239</v>
      </c>
      <c r="BH48" s="892">
        <f>IF(ISNUMBER('Base de datos Rutas'!DA46),'Base de datos Rutas'!DA46,"")</f>
        <v>163.44554280100394</v>
      </c>
      <c r="BI48" s="893">
        <f>IF(ISNUMBER('Base de datos Rutas'!DC46),'Base de datos Rutas'!DC46,"")</f>
        <v>3.6779844066233633</v>
      </c>
      <c r="BJ48" s="805" t="str">
        <f t="shared" si="35"/>
        <v>Ruta (completo)</v>
      </c>
      <c r="BK48" s="783">
        <f t="shared" si="22"/>
        <v>1</v>
      </c>
      <c r="BL48" s="797">
        <f t="shared" si="23"/>
        <v>1</v>
      </c>
      <c r="BM48" s="797">
        <f t="shared" si="24"/>
        <v>1</v>
      </c>
      <c r="BN48" s="797">
        <f t="shared" si="25"/>
        <v>1</v>
      </c>
      <c r="BO48" s="798" cm="1">
        <f t="array" ref="BO48">SUMPRODUCT(--ISNUMBER($BF48:$BI48),$BK$3:$BN$3)</f>
        <v>1</v>
      </c>
      <c r="BP48" s="831">
        <f t="shared" si="38"/>
        <v>0</v>
      </c>
      <c r="BQ48" s="834" t="str">
        <f t="shared" si="36"/>
        <v>Bajo</v>
      </c>
      <c r="BR48" s="836">
        <f t="shared" si="27"/>
        <v>22.324358378835722</v>
      </c>
      <c r="BS48" s="836">
        <f t="shared" si="28"/>
        <v>0</v>
      </c>
      <c r="BT48" s="837" t="str">
        <f t="shared" si="29"/>
        <v>P4</v>
      </c>
      <c r="BU48" s="807" t="str">
        <f t="shared" si="37"/>
        <v>Con espacio</v>
      </c>
      <c r="BV48" s="807" t="str">
        <f t="shared" si="30"/>
        <v>Zona de bajo potencial</v>
      </c>
      <c r="BW48" s="808" t="str">
        <f t="shared" si="31"/>
        <v>P4 - Evaluar</v>
      </c>
    </row>
    <row r="49" spans="1:75">
      <c r="A49" s="780" t="str">
        <f>'Base de datos Rutas'!A47</f>
        <v>Noreste</v>
      </c>
      <c r="B49" s="781" t="str">
        <f>'Base de datos Rutas'!B47</f>
        <v>Monterrey</v>
      </c>
      <c r="C49" s="781" t="str">
        <f>'Base de datos Rutas'!C47</f>
        <v>Sucursal Juventud</v>
      </c>
      <c r="D49" s="782">
        <f>IF(ISNUMBER('Base de datos Rutas'!D47),'Base de datos Rutas'!D47,"Sin código")</f>
        <v>704311</v>
      </c>
      <c r="E49" s="783" t="str">
        <f>'Base de datos Rutas'!F47</f>
        <v>Activa</v>
      </c>
      <c r="F49" s="784" t="str">
        <f>'Base de datos Rutas'!H47</f>
        <v>Sí</v>
      </c>
      <c r="G49" s="785">
        <f>IF(ISNUMBER('Base de datos Rutas'!BE47),'Base de datos Rutas'!BE47,"")</f>
        <v>45.931372549019599</v>
      </c>
      <c r="H49" s="786">
        <f>IF(ISNUMBER('Base de datos Rutas'!BH47),'Base de datos Rutas'!BH47,"")</f>
        <v>0.41344717182497298</v>
      </c>
      <c r="I49" s="788">
        <f>IFERROR(IF(OR(NOT(ISNUMBER('Base de datos Rutas'!O47)),N('Base de datos Rutas'!BK47)=0),"",'Base de datos Rutas'!O47/('Base de datos Rutas'!L47/'Base de datos Rutas'!BK47)),"")</f>
        <v>3661.5254237288113</v>
      </c>
      <c r="J49" s="788">
        <f>IFERROR(IF(OR(NOT(ISNUMBER('Base de datos Rutas'!N47)),N('Base de datos Rutas'!BK47)=0),"",'Base de datos Rutas'!N47/('Base de datos Rutas'!L47/'Base de datos Rutas'!BK47)),"")</f>
        <v>1004.7152542372876</v>
      </c>
      <c r="K49" s="788">
        <f>IFERROR(IF(OR(NOT(ISNUMBER('Base de datos Rutas'!J47)),N('Base de datos Rutas'!BK47)=0),"",'Base de datos Rutas'!J47/('Base de datos Rutas'!L47/'Base de datos Rutas'!BK47)),"")</f>
        <v>63.868873220338941</v>
      </c>
      <c r="L49" s="788">
        <f>IFERROR(IF(OR(NOT(ISNUMBER('Base de datos Rutas'!K47)),N('Base de datos Rutas'!BK47)=0),"",'Base de datos Rutas'!K47/('Base de datos Rutas'!L47/'Base de datos Rutas'!BK47)),"")</f>
        <v>29.627481318644051</v>
      </c>
      <c r="M49" s="787">
        <f>IF(ISNUMBER('Base de datos Rutas'!AX47),'Base de datos Rutas'!AX47,"")</f>
        <v>330.62098270062501</v>
      </c>
      <c r="N49" s="790">
        <f>IFERROR(INDEX('Hoja de apoyo v2'!B$17:B$20,MATCH($A49,'Hoja de apoyo v2'!$A$17:$A$20,0)),"")</f>
        <v>63.050408855205418</v>
      </c>
      <c r="O49" s="791">
        <f>IFERROR(INDEX('Hoja de apoyo v2'!C$17:C$20,MATCH($A49,'Hoja de apoyo v2'!$A$17:$A$20,0)),"")</f>
        <v>0.7559478312655763</v>
      </c>
      <c r="P49" s="793">
        <f>IFERROR(INDEX('Hoja de apoyo v2'!D$17:D$20,MATCH($A49,'Hoja de apoyo v2'!$A$17:$A$20,0)),"")</f>
        <v>9054.9839880720647</v>
      </c>
      <c r="Q49" s="793">
        <f>IFERROR(INDEX('Hoja de apoyo v2'!E$17:E$20,MATCH($A49,'Hoja de apoyo v2'!$A$17:$A$20,0)),"")</f>
        <v>4535.7799207004691</v>
      </c>
      <c r="R49" s="793">
        <f>IFERROR(INDEX('Hoja de apoyo v2'!F$17:F$20,MATCH($A49,'Hoja de apoyo v2'!$A$17:$A$20,0)),"")</f>
        <v>260.44838236060593</v>
      </c>
      <c r="S49" s="793">
        <f>IFERROR(INDEX('Hoja de apoyo v2'!G$17:G$20,MATCH($A49,'Hoja de apoyo v2'!$A$17:$A$20,0)),"")</f>
        <v>64.772152317133859</v>
      </c>
      <c r="T49" s="792">
        <f>IFERROR(INDEX('Hoja de apoyo v2'!H$17:H$20,MATCH($A49,'Hoja de apoyo v2'!$A$17:$A$20,0)),"")</f>
        <v>389.240053528842</v>
      </c>
      <c r="U49" s="794">
        <f t="shared" si="2"/>
        <v>0.72848651393364472</v>
      </c>
      <c r="V49" s="795">
        <f t="shared" si="3"/>
        <v>0.54692553470627325</v>
      </c>
      <c r="W49" s="795">
        <f t="shared" si="4"/>
        <v>0.4043657535509792</v>
      </c>
      <c r="X49" s="843">
        <f t="shared" si="5"/>
        <v>0.22150881916733903</v>
      </c>
      <c r="Y49" s="843">
        <f t="shared" si="6"/>
        <v>0.2452266074431162</v>
      </c>
      <c r="Z49" s="843">
        <f t="shared" si="7"/>
        <v>0.45741078934020291</v>
      </c>
      <c r="AA49" s="843">
        <f t="shared" si="8"/>
        <v>0.8494012363404595</v>
      </c>
      <c r="AB49" s="796">
        <f t="shared" si="9"/>
        <v>2</v>
      </c>
      <c r="AC49" s="797">
        <f t="shared" si="10"/>
        <v>2</v>
      </c>
      <c r="AD49" s="797">
        <f t="shared" si="11"/>
        <v>1</v>
      </c>
      <c r="AE49" s="842">
        <f t="shared" si="12"/>
        <v>1</v>
      </c>
      <c r="AF49" s="842">
        <f t="shared" si="13"/>
        <v>1</v>
      </c>
      <c r="AG49" s="842">
        <f t="shared" si="14"/>
        <v>1</v>
      </c>
      <c r="AH49" s="842">
        <f t="shared" si="15"/>
        <v>3</v>
      </c>
      <c r="AI49" s="826" cm="1">
        <f t="array" ref="AI49">SUMPRODUCT(--ISNUMBER($U49:$AA49),$AB$3:$AH$3)</f>
        <v>1</v>
      </c>
      <c r="AJ49" s="829">
        <f t="shared" si="16"/>
        <v>11.405997444680359</v>
      </c>
      <c r="AK49" s="827" t="str">
        <f t="shared" si="17"/>
        <v>Inmadura</v>
      </c>
      <c r="AL49" s="784" t="str">
        <f t="shared" si="18"/>
        <v>Alta</v>
      </c>
      <c r="AM49" s="799">
        <f>IF(ISNUMBER('Base de datos Rutas'!W47),'Base de datos Rutas'!W47,"")</f>
        <v>3282.4548901856938</v>
      </c>
      <c r="AN49" s="787">
        <f>IFERROR(SUMIFS('Base de datos Rutas'!$W$6:$W$794,'Base de datos Rutas'!$C$6:$C$794,$C49)/'Base de datos Rutas'!I47,"")</f>
        <v>3282.4548901856929</v>
      </c>
      <c r="AO49" s="800">
        <f>IFERROR('Base de datos Rutas'!X47*AN49/AM49,"")</f>
        <v>0.44222418227796229</v>
      </c>
      <c r="AP49" s="800">
        <f t="shared" si="19"/>
        <v>0.55777581772203777</v>
      </c>
      <c r="AQ49" s="789">
        <f>IFERROR(INDEX('Hoja de apoyo v2'!$J$17:$J$20,MATCH($A49,'Hoja de apoyo v2'!$A$17:$A$20,0)),"")</f>
        <v>0.56799995069377007</v>
      </c>
      <c r="AR49" s="789">
        <f t="shared" si="20"/>
        <v>-1.0224132971732303E-2</v>
      </c>
      <c r="AS49" s="784" t="str">
        <f t="shared" si="21"/>
        <v>No</v>
      </c>
      <c r="AT49" s="801" t="str">
        <f>IF(ISNUMBER('Base de datos Rutas'!CK47),'Base de datos Rutas'!CK47,"")</f>
        <v/>
      </c>
      <c r="AU49" s="802" t="str">
        <f>IF(ISNUMBER('Base de datos Rutas'!CL47),'Base de datos Rutas'!CL47,"")</f>
        <v/>
      </c>
      <c r="AV49" s="802">
        <f>IF(ISNUMBER('Base de datos Rutas'!CM47),'Base de datos Rutas'!CM47,"")</f>
        <v>0</v>
      </c>
      <c r="AW49" s="802" t="str">
        <f>IF(ISNUMBER('Base de datos Rutas'!CN47),'Base de datos Rutas'!CN47,"")</f>
        <v/>
      </c>
      <c r="AX49" s="802" t="str">
        <f>IF(ISNUMBER('Base de datos Rutas'!CO47),'Base de datos Rutas'!CO47,"")</f>
        <v/>
      </c>
      <c r="AY49" s="802">
        <f>IF(ISNUMBER('Base de datos Rutas'!CP47),'Base de datos Rutas'!CP47,"")</f>
        <v>0</v>
      </c>
      <c r="AZ49" s="802" t="str">
        <f>IF(ISNUMBER('Base de datos Rutas'!CQ47),'Base de datos Rutas'!CQ47,"")</f>
        <v/>
      </c>
      <c r="BA49" s="802" t="str">
        <f>IF(ISNUMBER('Base de datos Rutas'!CR47),'Base de datos Rutas'!CR47,"")</f>
        <v/>
      </c>
      <c r="BB49" s="803">
        <f>IF(ISNUMBER('Base de datos Rutas'!CS47),'Base de datos Rutas'!CS47,"")</f>
        <v>0</v>
      </c>
      <c r="BC49" s="804" t="str">
        <f t="shared" si="32"/>
        <v/>
      </c>
      <c r="BD49" s="805" t="str">
        <f t="shared" si="33"/>
        <v>N/D</v>
      </c>
      <c r="BE49" s="806" t="str">
        <f t="shared" si="34"/>
        <v/>
      </c>
      <c r="BF49" s="890" t="str">
        <f>IF(ISNUMBER('Base de datos Rutas'!CX47),'Base de datos Rutas'!CX47/100,"")</f>
        <v/>
      </c>
      <c r="BG49" s="891" t="str">
        <f>IF(ISNUMBER('Base de datos Rutas'!CZ47),'Base de datos Rutas'!CZ47/100,"")</f>
        <v/>
      </c>
      <c r="BH49" s="892" t="str">
        <f>IF(ISNUMBER('Base de datos Rutas'!DA47),'Base de datos Rutas'!DA47,"")</f>
        <v/>
      </c>
      <c r="BI49" s="893" t="str">
        <f>IF(ISNUMBER('Base de datos Rutas'!DC47),'Base de datos Rutas'!DC47,"")</f>
        <v/>
      </c>
      <c r="BJ49" s="805" t="str">
        <f t="shared" si="35"/>
        <v>Sin dato</v>
      </c>
      <c r="BK49" s="783">
        <f t="shared" si="22"/>
        <v>0</v>
      </c>
      <c r="BL49" s="797">
        <f t="shared" si="23"/>
        <v>0</v>
      </c>
      <c r="BM49" s="797">
        <f t="shared" si="24"/>
        <v>0</v>
      </c>
      <c r="BN49" s="797">
        <f t="shared" si="25"/>
        <v>0</v>
      </c>
      <c r="BO49" s="798" cm="1">
        <f t="array" ref="BO49">SUMPRODUCT(--ISNUMBER($BF49:$BI49),$BK$3:$BN$3)</f>
        <v>0</v>
      </c>
      <c r="BP49" s="831" t="str">
        <f t="shared" si="38"/>
        <v/>
      </c>
      <c r="BQ49" s="834" t="str">
        <f t="shared" si="36"/>
        <v>Sin datos</v>
      </c>
      <c r="BR49" s="836" t="str">
        <f t="shared" si="27"/>
        <v/>
      </c>
      <c r="BS49" s="836" t="str">
        <f t="shared" si="28"/>
        <v/>
      </c>
      <c r="BT49" s="837" t="str">
        <f t="shared" si="29"/>
        <v>Sin datos</v>
      </c>
      <c r="BU49" s="807" t="str">
        <f t="shared" si="37"/>
        <v>Con espacio</v>
      </c>
      <c r="BV49" s="807" t="str">
        <f t="shared" si="30"/>
        <v>Sin datos de zona</v>
      </c>
      <c r="BW49" s="808" t="str">
        <f t="shared" si="31"/>
        <v>Sin datos</v>
      </c>
    </row>
    <row r="50" spans="1:75">
      <c r="A50" s="780" t="str">
        <f>'Base de datos Rutas'!A48</f>
        <v>Noreste</v>
      </c>
      <c r="B50" s="781" t="str">
        <f>'Base de datos Rutas'!B48</f>
        <v>Monterrey</v>
      </c>
      <c r="C50" s="781" t="str">
        <f>'Base de datos Rutas'!C48</f>
        <v>Sucursal Lincoln</v>
      </c>
      <c r="D50" s="782">
        <f>IF(ISNUMBER('Base de datos Rutas'!D48),'Base de datos Rutas'!D48,"Sin código")</f>
        <v>705300</v>
      </c>
      <c r="E50" s="783" t="str">
        <f>'Base de datos Rutas'!F48</f>
        <v>Activa</v>
      </c>
      <c r="F50" s="784" t="str">
        <f>'Base de datos Rutas'!H48</f>
        <v>Sí</v>
      </c>
      <c r="G50" s="785">
        <f>IF(ISNUMBER('Base de datos Rutas'!BE48),'Base de datos Rutas'!BE48,"")</f>
        <v>85.376175548589302</v>
      </c>
      <c r="H50" s="786">
        <f>IF(ISNUMBER('Base de datos Rutas'!BH48),'Base de datos Rutas'!BH48,"")</f>
        <v>0.29058197172755701</v>
      </c>
      <c r="I50" s="788">
        <f>IFERROR(IF(OR(NOT(ISNUMBER('Base de datos Rutas'!O48)),N('Base de datos Rutas'!BK48)=0),"",'Base de datos Rutas'!O48/('Base de datos Rutas'!L48/'Base de datos Rutas'!BK48)),"")</f>
        <v>2853.7524509803948</v>
      </c>
      <c r="J50" s="788">
        <f>IFERROR(IF(OR(NOT(ISNUMBER('Base de datos Rutas'!N48)),N('Base de datos Rutas'!BK48)=0),"",'Base de datos Rutas'!N48/('Base de datos Rutas'!L48/'Base de datos Rutas'!BK48)),"")</f>
        <v>1211.1813725490206</v>
      </c>
      <c r="K50" s="788">
        <f>IFERROR(IF(OR(NOT(ISNUMBER('Base de datos Rutas'!J48)),N('Base de datos Rutas'!BK48)=0),"",'Base de datos Rutas'!J48/('Base de datos Rutas'!L48/'Base de datos Rutas'!BK48)),"")</f>
        <v>86.134766666666735</v>
      </c>
      <c r="L50" s="788">
        <f>IFERROR(IF(OR(NOT(ISNUMBER('Base de datos Rutas'!K48)),N('Base de datos Rutas'!BK48)=0),"",'Base de datos Rutas'!K48/('Base de datos Rutas'!L48/'Base de datos Rutas'!BK48)),"")</f>
        <v>23.511643720588253</v>
      </c>
      <c r="M50" s="787">
        <f>IF(ISNUMBER('Base de datos Rutas'!AX48),'Base de datos Rutas'!AX48,"")</f>
        <v>176.623034078807</v>
      </c>
      <c r="N50" s="790">
        <f>IFERROR(INDEX('Hoja de apoyo v2'!B$17:B$20,MATCH($A50,'Hoja de apoyo v2'!$A$17:$A$20,0)),"")</f>
        <v>63.050408855205418</v>
      </c>
      <c r="O50" s="791">
        <f>IFERROR(INDEX('Hoja de apoyo v2'!C$17:C$20,MATCH($A50,'Hoja de apoyo v2'!$A$17:$A$20,0)),"")</f>
        <v>0.7559478312655763</v>
      </c>
      <c r="P50" s="793">
        <f>IFERROR(INDEX('Hoja de apoyo v2'!D$17:D$20,MATCH($A50,'Hoja de apoyo v2'!$A$17:$A$20,0)),"")</f>
        <v>9054.9839880720647</v>
      </c>
      <c r="Q50" s="793">
        <f>IFERROR(INDEX('Hoja de apoyo v2'!E$17:E$20,MATCH($A50,'Hoja de apoyo v2'!$A$17:$A$20,0)),"")</f>
        <v>4535.7799207004691</v>
      </c>
      <c r="R50" s="793">
        <f>IFERROR(INDEX('Hoja de apoyo v2'!F$17:F$20,MATCH($A50,'Hoja de apoyo v2'!$A$17:$A$20,0)),"")</f>
        <v>260.44838236060593</v>
      </c>
      <c r="S50" s="793">
        <f>IFERROR(INDEX('Hoja de apoyo v2'!G$17:G$20,MATCH($A50,'Hoja de apoyo v2'!$A$17:$A$20,0)),"")</f>
        <v>64.772152317133859</v>
      </c>
      <c r="T50" s="792">
        <f>IFERROR(INDEX('Hoja de apoyo v2'!H$17:H$20,MATCH($A50,'Hoja de apoyo v2'!$A$17:$A$20,0)),"")</f>
        <v>389.240053528842</v>
      </c>
      <c r="U50" s="794">
        <f t="shared" si="2"/>
        <v>1.354093924190956</v>
      </c>
      <c r="V50" s="795">
        <f t="shared" si="3"/>
        <v>0.38439421307827132</v>
      </c>
      <c r="W50" s="795">
        <f t="shared" si="4"/>
        <v>0.31515819958815844</v>
      </c>
      <c r="X50" s="843">
        <f t="shared" si="5"/>
        <v>0.26702824954566479</v>
      </c>
      <c r="Y50" s="843">
        <f t="shared" si="6"/>
        <v>0.33071722652286678</v>
      </c>
      <c r="Z50" s="843">
        <f t="shared" si="7"/>
        <v>0.36299000233112266</v>
      </c>
      <c r="AA50" s="843">
        <f t="shared" si="8"/>
        <v>0.45376376988325418</v>
      </c>
      <c r="AB50" s="796">
        <f t="shared" si="9"/>
        <v>5</v>
      </c>
      <c r="AC50" s="797">
        <f t="shared" si="10"/>
        <v>1</v>
      </c>
      <c r="AD50" s="797">
        <f t="shared" si="11"/>
        <v>1</v>
      </c>
      <c r="AE50" s="842">
        <f t="shared" si="12"/>
        <v>1</v>
      </c>
      <c r="AF50" s="842">
        <f t="shared" si="13"/>
        <v>1</v>
      </c>
      <c r="AG50" s="842">
        <f t="shared" si="14"/>
        <v>1</v>
      </c>
      <c r="AH50" s="842">
        <f t="shared" si="15"/>
        <v>1</v>
      </c>
      <c r="AI50" s="826" cm="1">
        <f t="array" ref="AI50">SUMPRODUCT(--ISNUMBER($U50:$AA50),$AB$3:$AH$3)</f>
        <v>1</v>
      </c>
      <c r="AJ50" s="829">
        <f t="shared" si="16"/>
        <v>18.134544712547008</v>
      </c>
      <c r="AK50" s="827" t="str">
        <f t="shared" si="17"/>
        <v>Inmadura</v>
      </c>
      <c r="AL50" s="784" t="str">
        <f t="shared" si="18"/>
        <v>Alta</v>
      </c>
      <c r="AM50" s="799">
        <f>IF(ISNUMBER('Base de datos Rutas'!W48),'Base de datos Rutas'!W48,"")</f>
        <v>2318.2873272484931</v>
      </c>
      <c r="AN50" s="787">
        <f>IFERROR(SUMIFS('Base de datos Rutas'!$W$6:$W$794,'Base de datos Rutas'!$C$6:$C$794,$C50)/'Base de datos Rutas'!I48,"")</f>
        <v>2318.2873272484935</v>
      </c>
      <c r="AO50" s="800">
        <f>IFERROR('Base de datos Rutas'!X48*AN50/AM50,"")</f>
        <v>0.59011623323564499</v>
      </c>
      <c r="AP50" s="800">
        <f t="shared" si="19"/>
        <v>0.40988376676435501</v>
      </c>
      <c r="AQ50" s="789">
        <f>IFERROR(INDEX('Hoja de apoyo v2'!$J$17:$J$20,MATCH($A50,'Hoja de apoyo v2'!$A$17:$A$20,0)),"")</f>
        <v>0.56799995069377007</v>
      </c>
      <c r="AR50" s="789">
        <f t="shared" si="20"/>
        <v>-0.15811618392941507</v>
      </c>
      <c r="AS50" s="784" t="str">
        <f t="shared" si="21"/>
        <v>No</v>
      </c>
      <c r="AT50" s="801">
        <f>IF(ISNUMBER('Base de datos Rutas'!CK48),'Base de datos Rutas'!CK48,"")</f>
        <v>491</v>
      </c>
      <c r="AU50" s="802">
        <f>IF(ISNUMBER('Base de datos Rutas'!CL48),'Base de datos Rutas'!CL48,"")</f>
        <v>1144.06</v>
      </c>
      <c r="AV50" s="802">
        <f>IF(ISNUMBER('Base de datos Rutas'!CM48),'Base de datos Rutas'!CM48,"")</f>
        <v>653.05999999999995</v>
      </c>
      <c r="AW50" s="802">
        <f>IF(ISNUMBER('Base de datos Rutas'!CN48),'Base de datos Rutas'!CN48,"")</f>
        <v>13.65</v>
      </c>
      <c r="AX50" s="802">
        <f>IF(ISNUMBER('Base de datos Rutas'!CO48),'Base de datos Rutas'!CO48,"")</f>
        <v>9.4499999999999993</v>
      </c>
      <c r="AY50" s="802">
        <f>IF(ISNUMBER('Base de datos Rutas'!CP48),'Base de datos Rutas'!CP48,"")</f>
        <v>-4.2000000000000011</v>
      </c>
      <c r="AZ50" s="802">
        <f>IF(ISNUMBER('Base de datos Rutas'!CQ48),'Base de datos Rutas'!CQ48,"")</f>
        <v>634.91999999999996</v>
      </c>
      <c r="BA50" s="802">
        <f>IF(ISNUMBER('Base de datos Rutas'!CR48),'Base de datos Rutas'!CR48,"")</f>
        <v>109.65</v>
      </c>
      <c r="BB50" s="803">
        <f>IF(ISNUMBER('Base de datos Rutas'!CS48),'Base de datos Rutas'!CS48,"")</f>
        <v>525.27</v>
      </c>
      <c r="BC50" s="804">
        <f t="shared" si="32"/>
        <v>1</v>
      </c>
      <c r="BD50" s="805" t="str">
        <f t="shared" si="33"/>
        <v>Saturada</v>
      </c>
      <c r="BE50" s="806">
        <f t="shared" si="34"/>
        <v>0.17269892269892273</v>
      </c>
      <c r="BF50" s="890">
        <f>IF(ISNUMBER('Base de datos Rutas'!CX48),'Base de datos Rutas'!CX48/100,"")</f>
        <v>0.33091672774426345</v>
      </c>
      <c r="BG50" s="891">
        <f>IF(ISNUMBER('Base de datos Rutas'!CZ48),'Base de datos Rutas'!CZ48/100,"")</f>
        <v>0.34932626712521847</v>
      </c>
      <c r="BH50" s="892">
        <f>IF(ISNUMBER('Base de datos Rutas'!DA48),'Base de datos Rutas'!DA48,"")</f>
        <v>176.38037277320657</v>
      </c>
      <c r="BI50" s="893">
        <f>IF(ISNUMBER('Base de datos Rutas'!DC48),'Base de datos Rutas'!DC48,"")</f>
        <v>5.2336384416556454</v>
      </c>
      <c r="BJ50" s="805" t="str">
        <f t="shared" si="35"/>
        <v>Ruta (completo)</v>
      </c>
      <c r="BK50" s="783">
        <f t="shared" si="22"/>
        <v>2</v>
      </c>
      <c r="BL50" s="797">
        <f t="shared" si="23"/>
        <v>2</v>
      </c>
      <c r="BM50" s="797">
        <f t="shared" si="24"/>
        <v>2</v>
      </c>
      <c r="BN50" s="797">
        <f t="shared" si="25"/>
        <v>2</v>
      </c>
      <c r="BO50" s="798" cm="1">
        <f t="array" ref="BO50">SUMPRODUCT(--ISNUMBER($BF50:$BI50),$BK$3:$BN$3)</f>
        <v>1</v>
      </c>
      <c r="BP50" s="831">
        <f t="shared" si="38"/>
        <v>25</v>
      </c>
      <c r="BQ50" s="834" t="str">
        <f t="shared" si="36"/>
        <v>Medio</v>
      </c>
      <c r="BR50" s="836">
        <f t="shared" si="27"/>
        <v>38.600908534410252</v>
      </c>
      <c r="BS50" s="836">
        <f t="shared" si="28"/>
        <v>25</v>
      </c>
      <c r="BT50" s="837" t="str">
        <f t="shared" si="29"/>
        <v>P2</v>
      </c>
      <c r="BU50" s="807" t="str">
        <f t="shared" si="37"/>
        <v>Al tope</v>
      </c>
      <c r="BV50" s="807" t="str">
        <f t="shared" si="30"/>
        <v>Zona de bajo potencial</v>
      </c>
      <c r="BW50" s="808" t="str">
        <f t="shared" si="31"/>
        <v>P2 - Mantener</v>
      </c>
    </row>
    <row r="51" spans="1:75">
      <c r="A51" s="780" t="str">
        <f>'Base de datos Rutas'!A49</f>
        <v>Noreste</v>
      </c>
      <c r="B51" s="781" t="str">
        <f>'Base de datos Rutas'!B49</f>
        <v>Monterrey</v>
      </c>
      <c r="C51" s="781" t="str">
        <f>'Base de datos Rutas'!C49</f>
        <v>Sucursal Lincoln</v>
      </c>
      <c r="D51" s="782">
        <f>IF(ISNUMBER('Base de datos Rutas'!D49),'Base de datos Rutas'!D49,"Sin código")</f>
        <v>705301</v>
      </c>
      <c r="E51" s="783" t="str">
        <f>'Base de datos Rutas'!F49</f>
        <v>Activa</v>
      </c>
      <c r="F51" s="784" t="str">
        <f>'Base de datos Rutas'!H49</f>
        <v>Sí</v>
      </c>
      <c r="G51" s="785">
        <f>IF(ISNUMBER('Base de datos Rutas'!BE49),'Base de datos Rutas'!BE49,"")</f>
        <v>59.369020501138998</v>
      </c>
      <c r="H51" s="786">
        <f>IF(ISNUMBER('Base de datos Rutas'!BH49),'Base de datos Rutas'!BH49,"")</f>
        <v>0.65027049840770501</v>
      </c>
      <c r="I51" s="788">
        <f>IFERROR(IF(OR(NOT(ISNUMBER('Base de datos Rutas'!O49)),N('Base de datos Rutas'!BK49)=0),"",'Base de datos Rutas'!O49/('Base de datos Rutas'!L49/'Base de datos Rutas'!BK49)),"")</f>
        <v>8636.740318906599</v>
      </c>
      <c r="J51" s="788">
        <f>IFERROR(IF(OR(NOT(ISNUMBER('Base de datos Rutas'!N49)),N('Base de datos Rutas'!BK49)=0),"",'Base de datos Rutas'!N49/('Base de datos Rutas'!L49/'Base de datos Rutas'!BK49)),"")</f>
        <v>2506.8838268792692</v>
      </c>
      <c r="K51" s="788">
        <f>IFERROR(IF(OR(NOT(ISNUMBER('Base de datos Rutas'!J49)),N('Base de datos Rutas'!BK49)=0),"",'Base de datos Rutas'!J49/('Base de datos Rutas'!L49/'Base de datos Rutas'!BK49)),"")</f>
        <v>166.52398746241445</v>
      </c>
      <c r="L51" s="788">
        <f>IFERROR(IF(OR(NOT(ISNUMBER('Base de datos Rutas'!K49)),N('Base de datos Rutas'!BK49)=0),"",'Base de datos Rutas'!K49/('Base de datos Rutas'!L49/'Base de datos Rutas'!BK49)),"")</f>
        <v>71.860867366742539</v>
      </c>
      <c r="M51" s="787">
        <f>IF(ISNUMBER('Base de datos Rutas'!AX49),'Base de datos Rutas'!AX49,"")</f>
        <v>288.65062839273099</v>
      </c>
      <c r="N51" s="790">
        <f>IFERROR(INDEX('Hoja de apoyo v2'!B$17:B$20,MATCH($A51,'Hoja de apoyo v2'!$A$17:$A$20,0)),"")</f>
        <v>63.050408855205418</v>
      </c>
      <c r="O51" s="791">
        <f>IFERROR(INDEX('Hoja de apoyo v2'!C$17:C$20,MATCH($A51,'Hoja de apoyo v2'!$A$17:$A$20,0)),"")</f>
        <v>0.7559478312655763</v>
      </c>
      <c r="P51" s="793">
        <f>IFERROR(INDEX('Hoja de apoyo v2'!D$17:D$20,MATCH($A51,'Hoja de apoyo v2'!$A$17:$A$20,0)),"")</f>
        <v>9054.9839880720647</v>
      </c>
      <c r="Q51" s="793">
        <f>IFERROR(INDEX('Hoja de apoyo v2'!E$17:E$20,MATCH($A51,'Hoja de apoyo v2'!$A$17:$A$20,0)),"")</f>
        <v>4535.7799207004691</v>
      </c>
      <c r="R51" s="793">
        <f>IFERROR(INDEX('Hoja de apoyo v2'!F$17:F$20,MATCH($A51,'Hoja de apoyo v2'!$A$17:$A$20,0)),"")</f>
        <v>260.44838236060593</v>
      </c>
      <c r="S51" s="793">
        <f>IFERROR(INDEX('Hoja de apoyo v2'!G$17:G$20,MATCH($A51,'Hoja de apoyo v2'!$A$17:$A$20,0)),"")</f>
        <v>64.772152317133859</v>
      </c>
      <c r="T51" s="792">
        <f>IFERROR(INDEX('Hoja de apoyo v2'!H$17:H$20,MATCH($A51,'Hoja de apoyo v2'!$A$17:$A$20,0)),"")</f>
        <v>389.240053528842</v>
      </c>
      <c r="U51" s="794">
        <f t="shared" si="2"/>
        <v>0.941611982841845</v>
      </c>
      <c r="V51" s="795">
        <f t="shared" si="3"/>
        <v>0.86020552148294316</v>
      </c>
      <c r="W51" s="795">
        <f t="shared" si="4"/>
        <v>0.95381066717330376</v>
      </c>
      <c r="X51" s="843">
        <f t="shared" si="5"/>
        <v>0.55269079865147563</v>
      </c>
      <c r="Y51" s="843">
        <f t="shared" si="6"/>
        <v>0.63937424357603534</v>
      </c>
      <c r="Z51" s="843">
        <f t="shared" si="7"/>
        <v>1.1094407827441228</v>
      </c>
      <c r="AA51" s="843">
        <f t="shared" si="8"/>
        <v>0.74157483479881003</v>
      </c>
      <c r="AB51" s="796">
        <f t="shared" si="9"/>
        <v>3</v>
      </c>
      <c r="AC51" s="797">
        <f t="shared" si="10"/>
        <v>3</v>
      </c>
      <c r="AD51" s="797">
        <f t="shared" si="11"/>
        <v>3</v>
      </c>
      <c r="AE51" s="842">
        <f t="shared" si="12"/>
        <v>2</v>
      </c>
      <c r="AF51" s="842">
        <f t="shared" si="13"/>
        <v>2</v>
      </c>
      <c r="AG51" s="842">
        <f t="shared" si="14"/>
        <v>4</v>
      </c>
      <c r="AH51" s="842">
        <f t="shared" si="15"/>
        <v>2</v>
      </c>
      <c r="AI51" s="826" cm="1">
        <f t="array" ref="AI51">SUMPRODUCT(--ISNUMBER($U51:$AA51),$AB$3:$AH$3)</f>
        <v>1</v>
      </c>
      <c r="AJ51" s="829">
        <f t="shared" si="16"/>
        <v>45.808846769474656</v>
      </c>
      <c r="AK51" s="827" t="str">
        <f t="shared" si="17"/>
        <v>En desarrollo</v>
      </c>
      <c r="AL51" s="784" t="str">
        <f t="shared" si="18"/>
        <v>Alta</v>
      </c>
      <c r="AM51" s="799">
        <f>IF(ISNUMBER('Base de datos Rutas'!W49),'Base de datos Rutas'!W49,"")</f>
        <v>2318.2873272484931</v>
      </c>
      <c r="AN51" s="787">
        <f>IFERROR(SUMIFS('Base de datos Rutas'!$W$6:$W$794,'Base de datos Rutas'!$C$6:$C$794,$C51)/'Base de datos Rutas'!I49,"")</f>
        <v>2318.2873272484935</v>
      </c>
      <c r="AO51" s="800">
        <f>IFERROR('Base de datos Rutas'!X49*AN51/AM51,"")</f>
        <v>0.59011623323564499</v>
      </c>
      <c r="AP51" s="800">
        <f t="shared" si="19"/>
        <v>0.40988376676435501</v>
      </c>
      <c r="AQ51" s="789">
        <f>IFERROR(INDEX('Hoja de apoyo v2'!$J$17:$J$20,MATCH($A51,'Hoja de apoyo v2'!$A$17:$A$20,0)),"")</f>
        <v>0.56799995069377007</v>
      </c>
      <c r="AR51" s="789">
        <f t="shared" si="20"/>
        <v>-0.15811618392941507</v>
      </c>
      <c r="AS51" s="784" t="str">
        <f t="shared" si="21"/>
        <v>No</v>
      </c>
      <c r="AT51" s="801">
        <f>IF(ISNUMBER('Base de datos Rutas'!CK49),'Base de datos Rutas'!CK49,"")</f>
        <v>292</v>
      </c>
      <c r="AU51" s="802">
        <f>IF(ISNUMBER('Base de datos Rutas'!CL49),'Base de datos Rutas'!CL49,"")</f>
        <v>728.75</v>
      </c>
      <c r="AV51" s="802">
        <f>IF(ISNUMBER('Base de datos Rutas'!CM49),'Base de datos Rutas'!CM49,"")</f>
        <v>436.75</v>
      </c>
      <c r="AW51" s="802">
        <f>IF(ISNUMBER('Base de datos Rutas'!CN49),'Base de datos Rutas'!CN49,"")</f>
        <v>4.13</v>
      </c>
      <c r="AX51" s="802">
        <f>IF(ISNUMBER('Base de datos Rutas'!CO49),'Base de datos Rutas'!CO49,"")</f>
        <v>9.4499999999999993</v>
      </c>
      <c r="AY51" s="802">
        <f>IF(ISNUMBER('Base de datos Rutas'!CP49),'Base de datos Rutas'!CP49,"")</f>
        <v>5.3199999999999994</v>
      </c>
      <c r="AZ51" s="802">
        <f>IF(ISNUMBER('Base de datos Rutas'!CQ49),'Base de datos Rutas'!CQ49,"")</f>
        <v>634.91999999999996</v>
      </c>
      <c r="BA51" s="802">
        <f>IF(ISNUMBER('Base de datos Rutas'!CR49),'Base de datos Rutas'!CR49,"")</f>
        <v>238.38</v>
      </c>
      <c r="BB51" s="803">
        <f>IF(ISNUMBER('Base de datos Rutas'!CS49),'Base de datos Rutas'!CS49,"")</f>
        <v>396.53999999999996</v>
      </c>
      <c r="BC51" s="804">
        <f t="shared" si="32"/>
        <v>0</v>
      </c>
      <c r="BD51" s="805" t="str">
        <f t="shared" si="33"/>
        <v>No saturada</v>
      </c>
      <c r="BE51" s="806">
        <f t="shared" si="34"/>
        <v>0.37544887544887545</v>
      </c>
      <c r="BF51" s="890">
        <f>IF(ISNUMBER('Base de datos Rutas'!CX49),'Base de datos Rutas'!CX49/100,"")</f>
        <v>0.80741679523914489</v>
      </c>
      <c r="BG51" s="891">
        <f>IF(ISNUMBER('Base de datos Rutas'!CZ49),'Base de datos Rutas'!CZ49/100,"")</f>
        <v>0.90368084637425605</v>
      </c>
      <c r="BH51" s="892">
        <f>IF(ISNUMBER('Base de datos Rutas'!DA49),'Base de datos Rutas'!DA49,"")</f>
        <v>739.96447750691129</v>
      </c>
      <c r="BI51" s="893">
        <f>IF(ISNUMBER('Base de datos Rutas'!DC49),'Base de datos Rutas'!DC49,"")</f>
        <v>16.321879869313896</v>
      </c>
      <c r="BJ51" s="805" t="str">
        <f t="shared" si="35"/>
        <v>Ruta (completo)</v>
      </c>
      <c r="BK51" s="783">
        <f t="shared" si="22"/>
        <v>4</v>
      </c>
      <c r="BL51" s="797">
        <f t="shared" si="23"/>
        <v>4</v>
      </c>
      <c r="BM51" s="797">
        <f t="shared" si="24"/>
        <v>4</v>
      </c>
      <c r="BN51" s="797">
        <f t="shared" si="25"/>
        <v>4</v>
      </c>
      <c r="BO51" s="798" cm="1">
        <f t="array" ref="BO51">SUMPRODUCT(--ISNUMBER($BF51:$BI51),$BK$3:$BN$3)</f>
        <v>1</v>
      </c>
      <c r="BP51" s="831">
        <f t="shared" si="38"/>
        <v>75</v>
      </c>
      <c r="BQ51" s="834" t="str">
        <f t="shared" si="36"/>
        <v>Alto</v>
      </c>
      <c r="BR51" s="836">
        <f t="shared" si="27"/>
        <v>34.356635077105992</v>
      </c>
      <c r="BS51" s="836">
        <f t="shared" si="28"/>
        <v>75</v>
      </c>
      <c r="BT51" s="837" t="str">
        <f t="shared" si="29"/>
        <v>P1</v>
      </c>
      <c r="BU51" s="807" t="str">
        <f t="shared" si="37"/>
        <v>Con espacio</v>
      </c>
      <c r="BV51" s="807" t="str">
        <f t="shared" si="30"/>
        <v>Zona atractiva</v>
      </c>
      <c r="BW51" s="808" t="str">
        <f t="shared" si="31"/>
        <v>P1 - Ampliar cobertura</v>
      </c>
    </row>
    <row r="52" spans="1:75">
      <c r="A52" s="780" t="str">
        <f>'Base de datos Rutas'!A50</f>
        <v>Noreste</v>
      </c>
      <c r="B52" s="781" t="str">
        <f>'Base de datos Rutas'!B50</f>
        <v>Monterrey</v>
      </c>
      <c r="C52" s="781" t="str">
        <f>'Base de datos Rutas'!C50</f>
        <v>Sucursal Lincoln</v>
      </c>
      <c r="D52" s="782">
        <f>IF(ISNUMBER('Base de datos Rutas'!D50),'Base de datos Rutas'!D50,"Sin código")</f>
        <v>705302</v>
      </c>
      <c r="E52" s="783" t="str">
        <f>'Base de datos Rutas'!F50</f>
        <v>Activa</v>
      </c>
      <c r="F52" s="784" t="str">
        <f>'Base de datos Rutas'!H50</f>
        <v>Sí</v>
      </c>
      <c r="G52" s="785">
        <f>IF(ISNUMBER('Base de datos Rutas'!BE50),'Base de datos Rutas'!BE50,"")</f>
        <v>51.376666666666701</v>
      </c>
      <c r="H52" s="786">
        <f>IF(ISNUMBER('Base de datos Rutas'!BH50),'Base de datos Rutas'!BH50,"")</f>
        <v>0.118406539933822</v>
      </c>
      <c r="I52" s="788">
        <f>IFERROR(IF(OR(NOT(ISNUMBER('Base de datos Rutas'!O50)),N('Base de datos Rutas'!BK50)=0),"",'Base de datos Rutas'!O50/('Base de datos Rutas'!L50/'Base de datos Rutas'!BK50)),"")</f>
        <v>1213.4066496163678</v>
      </c>
      <c r="J52" s="788">
        <f>IFERROR(IF(OR(NOT(ISNUMBER('Base de datos Rutas'!N50)),N('Base de datos Rutas'!BK50)=0),"",'Base de datos Rutas'!N50/('Base de datos Rutas'!L50/'Base de datos Rutas'!BK50)),"")</f>
        <v>677.96419437340126</v>
      </c>
      <c r="K52" s="788">
        <f>IFERROR(IF(OR(NOT(ISNUMBER('Base de datos Rutas'!J50)),N('Base de datos Rutas'!BK50)=0),"",'Base de datos Rutas'!J50/('Base de datos Rutas'!L50/'Base de datos Rutas'!BK50)),"")</f>
        <v>47.719060869565197</v>
      </c>
      <c r="L52" s="788">
        <f>IFERROR(IF(OR(NOT(ISNUMBER('Base de datos Rutas'!K50)),N('Base de datos Rutas'!BK50)=0),"",'Base de datos Rutas'!K50/('Base de datos Rutas'!L50/'Base de datos Rutas'!BK50)),"")</f>
        <v>10.6890232173913</v>
      </c>
      <c r="M52" s="787">
        <f>IF(ISNUMBER('Base de datos Rutas'!AX50),'Base de datos Rutas'!AX50,"")</f>
        <v>338.25825091575098</v>
      </c>
      <c r="N52" s="790">
        <f>IFERROR(INDEX('Hoja de apoyo v2'!B$17:B$20,MATCH($A52,'Hoja de apoyo v2'!$A$17:$A$20,0)),"")</f>
        <v>63.050408855205418</v>
      </c>
      <c r="O52" s="791">
        <f>IFERROR(INDEX('Hoja de apoyo v2'!C$17:C$20,MATCH($A52,'Hoja de apoyo v2'!$A$17:$A$20,0)),"")</f>
        <v>0.7559478312655763</v>
      </c>
      <c r="P52" s="793">
        <f>IFERROR(INDEX('Hoja de apoyo v2'!D$17:D$20,MATCH($A52,'Hoja de apoyo v2'!$A$17:$A$20,0)),"")</f>
        <v>9054.9839880720647</v>
      </c>
      <c r="Q52" s="793">
        <f>IFERROR(INDEX('Hoja de apoyo v2'!E$17:E$20,MATCH($A52,'Hoja de apoyo v2'!$A$17:$A$20,0)),"")</f>
        <v>4535.7799207004691</v>
      </c>
      <c r="R52" s="793">
        <f>IFERROR(INDEX('Hoja de apoyo v2'!F$17:F$20,MATCH($A52,'Hoja de apoyo v2'!$A$17:$A$20,0)),"")</f>
        <v>260.44838236060593</v>
      </c>
      <c r="S52" s="793">
        <f>IFERROR(INDEX('Hoja de apoyo v2'!G$17:G$20,MATCH($A52,'Hoja de apoyo v2'!$A$17:$A$20,0)),"")</f>
        <v>64.772152317133859</v>
      </c>
      <c r="T52" s="792">
        <f>IFERROR(INDEX('Hoja de apoyo v2'!H$17:H$20,MATCH($A52,'Hoja de apoyo v2'!$A$17:$A$20,0)),"")</f>
        <v>389.240053528842</v>
      </c>
      <c r="U52" s="794">
        <f t="shared" si="2"/>
        <v>0.81485065044784499</v>
      </c>
      <c r="V52" s="795">
        <f t="shared" si="3"/>
        <v>0.15663321599268393</v>
      </c>
      <c r="W52" s="795">
        <f t="shared" si="4"/>
        <v>0.13400428440456241</v>
      </c>
      <c r="X52" s="843">
        <f t="shared" si="5"/>
        <v>0.14947025786663432</v>
      </c>
      <c r="Y52" s="843">
        <f t="shared" si="6"/>
        <v>0.18321887982969071</v>
      </c>
      <c r="Z52" s="843">
        <f t="shared" si="7"/>
        <v>0.16502498118414055</v>
      </c>
      <c r="AA52" s="843">
        <f t="shared" si="8"/>
        <v>0.86902220840098265</v>
      </c>
      <c r="AB52" s="796">
        <f t="shared" si="9"/>
        <v>3</v>
      </c>
      <c r="AC52" s="797">
        <f t="shared" si="10"/>
        <v>1</v>
      </c>
      <c r="AD52" s="797">
        <f t="shared" si="11"/>
        <v>1</v>
      </c>
      <c r="AE52" s="842">
        <f t="shared" si="12"/>
        <v>1</v>
      </c>
      <c r="AF52" s="842">
        <f t="shared" si="13"/>
        <v>1</v>
      </c>
      <c r="AG52" s="842">
        <f t="shared" si="14"/>
        <v>1</v>
      </c>
      <c r="AH52" s="842">
        <f t="shared" si="15"/>
        <v>3</v>
      </c>
      <c r="AI52" s="826" cm="1">
        <f t="array" ref="AI52">SUMPRODUCT(--ISNUMBER($U52:$AA52),$AB$3:$AH$3)</f>
        <v>1</v>
      </c>
      <c r="AJ52" s="829">
        <f t="shared" si="16"/>
        <v>13.556728036926636</v>
      </c>
      <c r="AK52" s="827" t="str">
        <f t="shared" si="17"/>
        <v>Inmadura</v>
      </c>
      <c r="AL52" s="784" t="str">
        <f t="shared" si="18"/>
        <v>Alta</v>
      </c>
      <c r="AM52" s="799">
        <f>IF(ISNUMBER('Base de datos Rutas'!W50),'Base de datos Rutas'!W50,"")</f>
        <v>2318.2873272484931</v>
      </c>
      <c r="AN52" s="787">
        <f>IFERROR(SUMIFS('Base de datos Rutas'!$W$6:$W$794,'Base de datos Rutas'!$C$6:$C$794,$C52)/'Base de datos Rutas'!I50,"")</f>
        <v>2318.2873272484935</v>
      </c>
      <c r="AO52" s="800">
        <f>IFERROR('Base de datos Rutas'!X50*AN52/AM52,"")</f>
        <v>0.59011623323564499</v>
      </c>
      <c r="AP52" s="800">
        <f t="shared" si="19"/>
        <v>0.40988376676435501</v>
      </c>
      <c r="AQ52" s="789">
        <f>IFERROR(INDEX('Hoja de apoyo v2'!$J$17:$J$20,MATCH($A52,'Hoja de apoyo v2'!$A$17:$A$20,0)),"")</f>
        <v>0.56799995069377007</v>
      </c>
      <c r="AR52" s="789">
        <f t="shared" si="20"/>
        <v>-0.15811618392941507</v>
      </c>
      <c r="AS52" s="784" t="str">
        <f t="shared" si="21"/>
        <v>No</v>
      </c>
      <c r="AT52" s="801">
        <f>IF(ISNUMBER('Base de datos Rutas'!CK50),'Base de datos Rutas'!CK50,"")</f>
        <v>325</v>
      </c>
      <c r="AU52" s="802">
        <f>IF(ISNUMBER('Base de datos Rutas'!CL50),'Base de datos Rutas'!CL50,"")</f>
        <v>372.73</v>
      </c>
      <c r="AV52" s="802">
        <f>IF(ISNUMBER('Base de datos Rutas'!CM50),'Base de datos Rutas'!CM50,"")</f>
        <v>47.730000000000018</v>
      </c>
      <c r="AW52" s="802">
        <f>IF(ISNUMBER('Base de datos Rutas'!CN50),'Base de datos Rutas'!CN50,"")</f>
        <v>5.48</v>
      </c>
      <c r="AX52" s="802">
        <f>IF(ISNUMBER('Base de datos Rutas'!CO50),'Base de datos Rutas'!CO50,"")</f>
        <v>9.4499999999999993</v>
      </c>
      <c r="AY52" s="802">
        <f>IF(ISNUMBER('Base de datos Rutas'!CP50),'Base de datos Rutas'!CP50,"")</f>
        <v>3.9699999999999989</v>
      </c>
      <c r="AZ52" s="802">
        <f>IF(ISNUMBER('Base de datos Rutas'!CQ50),'Base de datos Rutas'!CQ50,"")</f>
        <v>662.01</v>
      </c>
      <c r="BA52" s="802">
        <f>IF(ISNUMBER('Base de datos Rutas'!CR50),'Base de datos Rutas'!CR50,"")</f>
        <v>58.41</v>
      </c>
      <c r="BB52" s="803">
        <f>IF(ISNUMBER('Base de datos Rutas'!CS50),'Base de datos Rutas'!CS50,"")</f>
        <v>603.6</v>
      </c>
      <c r="BC52" s="804">
        <f t="shared" si="32"/>
        <v>0</v>
      </c>
      <c r="BD52" s="805" t="str">
        <f t="shared" si="33"/>
        <v>No saturada</v>
      </c>
      <c r="BE52" s="806">
        <f t="shared" si="34"/>
        <v>8.8231295599764351E-2</v>
      </c>
      <c r="BF52" s="890">
        <f>IF(ISNUMBER('Base de datos Rutas'!CX50),'Base de datos Rutas'!CX50/100,"")</f>
        <v>-6.1415280688792049E-4</v>
      </c>
      <c r="BG52" s="891">
        <f>IF(ISNUMBER('Base de datos Rutas'!CZ50),'Base de datos Rutas'!CZ50/100,"")</f>
        <v>1.0555044557366669E-4</v>
      </c>
      <c r="BH52" s="892">
        <f>IF(ISNUMBER('Base de datos Rutas'!DA50),'Base de datos Rutas'!DA50,"")</f>
        <v>4.7009168599989781</v>
      </c>
      <c r="BI52" s="893">
        <f>IF(ISNUMBER('Base de datos Rutas'!DC50),'Base de datos Rutas'!DC50,"")</f>
        <v>0.1627230993601764</v>
      </c>
      <c r="BJ52" s="805" t="str">
        <f t="shared" si="35"/>
        <v>Ruta (completo)</v>
      </c>
      <c r="BK52" s="783">
        <f t="shared" si="22"/>
        <v>1</v>
      </c>
      <c r="BL52" s="797">
        <f t="shared" si="23"/>
        <v>1</v>
      </c>
      <c r="BM52" s="797">
        <f t="shared" si="24"/>
        <v>1</v>
      </c>
      <c r="BN52" s="797">
        <f t="shared" si="25"/>
        <v>1</v>
      </c>
      <c r="BO52" s="798" cm="1">
        <f t="array" ref="BO52">SUMPRODUCT(--ISNUMBER($BF52:$BI52),$BK$3:$BN$3)</f>
        <v>1</v>
      </c>
      <c r="BP52" s="831">
        <f t="shared" si="38"/>
        <v>0</v>
      </c>
      <c r="BQ52" s="834" t="str">
        <f t="shared" si="36"/>
        <v>Bajo</v>
      </c>
      <c r="BR52" s="836">
        <f t="shared" si="27"/>
        <v>10.167546027694977</v>
      </c>
      <c r="BS52" s="836">
        <f t="shared" si="28"/>
        <v>0</v>
      </c>
      <c r="BT52" s="837" t="str">
        <f t="shared" si="29"/>
        <v>P4</v>
      </c>
      <c r="BU52" s="807" t="str">
        <f t="shared" si="37"/>
        <v>Con espacio</v>
      </c>
      <c r="BV52" s="807" t="str">
        <f t="shared" si="30"/>
        <v>Zona de bajo potencial</v>
      </c>
      <c r="BW52" s="808" t="str">
        <f t="shared" si="31"/>
        <v>P4 - Evaluar</v>
      </c>
    </row>
    <row r="53" spans="1:75">
      <c r="A53" s="780" t="str">
        <f>'Base de datos Rutas'!A51</f>
        <v>Noreste</v>
      </c>
      <c r="B53" s="781" t="str">
        <f>'Base de datos Rutas'!B51</f>
        <v>Monterrey</v>
      </c>
      <c r="C53" s="781" t="str">
        <f>'Base de datos Rutas'!C51</f>
        <v>Sucursal Lincoln</v>
      </c>
      <c r="D53" s="782">
        <f>IF(ISNUMBER('Base de datos Rutas'!D51),'Base de datos Rutas'!D51,"Sin código")</f>
        <v>705303</v>
      </c>
      <c r="E53" s="783" t="str">
        <f>'Base de datos Rutas'!F51</f>
        <v>Activa</v>
      </c>
      <c r="F53" s="784" t="str">
        <f>'Base de datos Rutas'!H51</f>
        <v>Sí</v>
      </c>
      <c r="G53" s="785">
        <f>IF(ISNUMBER('Base de datos Rutas'!BE51),'Base de datos Rutas'!BE51,"")</f>
        <v>73.688787185354698</v>
      </c>
      <c r="H53" s="786">
        <f>IF(ISNUMBER('Base de datos Rutas'!BH51),'Base de datos Rutas'!BH51,"")</f>
        <v>0.55170486305198396</v>
      </c>
      <c r="I53" s="788">
        <f>IFERROR(IF(OR(NOT(ISNUMBER('Base de datos Rutas'!O51)),N('Base de datos Rutas'!BK51)=0),"",'Base de datos Rutas'!O51/('Base de datos Rutas'!L51/'Base de datos Rutas'!BK51)),"")</f>
        <v>8639.7482837528441</v>
      </c>
      <c r="J53" s="788">
        <f>IFERROR(IF(OR(NOT(ISNUMBER('Base de datos Rutas'!N51)),N('Base de datos Rutas'!BK51)=0),"",'Base de datos Rutas'!N51/('Base de datos Rutas'!L51/'Base de datos Rutas'!BK51)),"")</f>
        <v>1819.9839816933602</v>
      </c>
      <c r="K53" s="788">
        <f>IFERROR(IF(OR(NOT(ISNUMBER('Base de datos Rutas'!J51)),N('Base de datos Rutas'!BK51)=0),"",'Base de datos Rutas'!J51/('Base de datos Rutas'!L51/'Base de datos Rutas'!BK51)),"")</f>
        <v>131.5136805491986</v>
      </c>
      <c r="L53" s="788">
        <f>IFERROR(IF(OR(NOT(ISNUMBER('Base de datos Rutas'!K51)),N('Base de datos Rutas'!BK51)=0),"",'Base de datos Rutas'!K51/('Base de datos Rutas'!L51/'Base de datos Rutas'!BK51)),"")</f>
        <v>63.746823231121162</v>
      </c>
      <c r="M53" s="787">
        <f>IF(ISNUMBER('Base de datos Rutas'!AX51),'Base de datos Rutas'!AX51,"")</f>
        <v>257.28379432624098</v>
      </c>
      <c r="N53" s="790">
        <f>IFERROR(INDEX('Hoja de apoyo v2'!B$17:B$20,MATCH($A53,'Hoja de apoyo v2'!$A$17:$A$20,0)),"")</f>
        <v>63.050408855205418</v>
      </c>
      <c r="O53" s="791">
        <f>IFERROR(INDEX('Hoja de apoyo v2'!C$17:C$20,MATCH($A53,'Hoja de apoyo v2'!$A$17:$A$20,0)),"")</f>
        <v>0.7559478312655763</v>
      </c>
      <c r="P53" s="793">
        <f>IFERROR(INDEX('Hoja de apoyo v2'!D$17:D$20,MATCH($A53,'Hoja de apoyo v2'!$A$17:$A$20,0)),"")</f>
        <v>9054.9839880720647</v>
      </c>
      <c r="Q53" s="793">
        <f>IFERROR(INDEX('Hoja de apoyo v2'!E$17:E$20,MATCH($A53,'Hoja de apoyo v2'!$A$17:$A$20,0)),"")</f>
        <v>4535.7799207004691</v>
      </c>
      <c r="R53" s="793">
        <f>IFERROR(INDEX('Hoja de apoyo v2'!F$17:F$20,MATCH($A53,'Hoja de apoyo v2'!$A$17:$A$20,0)),"")</f>
        <v>260.44838236060593</v>
      </c>
      <c r="S53" s="793">
        <f>IFERROR(INDEX('Hoja de apoyo v2'!G$17:G$20,MATCH($A53,'Hoja de apoyo v2'!$A$17:$A$20,0)),"")</f>
        <v>64.772152317133859</v>
      </c>
      <c r="T53" s="792">
        <f>IFERROR(INDEX('Hoja de apoyo v2'!H$17:H$20,MATCH($A53,'Hoja de apoyo v2'!$A$17:$A$20,0)),"")</f>
        <v>389.240053528842</v>
      </c>
      <c r="U53" s="794">
        <f t="shared" si="2"/>
        <v>1.1687281418678854</v>
      </c>
      <c r="V53" s="795">
        <f t="shared" si="3"/>
        <v>0.72981869943107414</v>
      </c>
      <c r="W53" s="795">
        <f t="shared" si="4"/>
        <v>0.95414285603749249</v>
      </c>
      <c r="X53" s="843">
        <f t="shared" si="5"/>
        <v>0.40125050454659111</v>
      </c>
      <c r="Y53" s="843">
        <f t="shared" si="6"/>
        <v>0.50495103619845205</v>
      </c>
      <c r="Z53" s="843">
        <f t="shared" si="7"/>
        <v>0.98417021745714828</v>
      </c>
      <c r="AA53" s="843">
        <f t="shared" si="8"/>
        <v>0.66099002914451277</v>
      </c>
      <c r="AB53" s="796">
        <f t="shared" si="9"/>
        <v>4</v>
      </c>
      <c r="AC53" s="797">
        <f t="shared" si="10"/>
        <v>2</v>
      </c>
      <c r="AD53" s="797">
        <f t="shared" si="11"/>
        <v>3</v>
      </c>
      <c r="AE53" s="842">
        <f t="shared" si="12"/>
        <v>1</v>
      </c>
      <c r="AF53" s="842">
        <f t="shared" si="13"/>
        <v>2</v>
      </c>
      <c r="AG53" s="842">
        <f t="shared" si="14"/>
        <v>3</v>
      </c>
      <c r="AH53" s="842">
        <f t="shared" si="15"/>
        <v>2</v>
      </c>
      <c r="AI53" s="826" cm="1">
        <f t="array" ref="AI53">SUMPRODUCT(--ISNUMBER($U53:$AA53),$AB$3:$AH$3)</f>
        <v>1</v>
      </c>
      <c r="AJ53" s="829">
        <f t="shared" si="16"/>
        <v>40.161062947442538</v>
      </c>
      <c r="AK53" s="827" t="str">
        <f t="shared" si="17"/>
        <v>Inmadura</v>
      </c>
      <c r="AL53" s="784" t="str">
        <f t="shared" si="18"/>
        <v>Alta</v>
      </c>
      <c r="AM53" s="799">
        <f>IF(ISNUMBER('Base de datos Rutas'!W51),'Base de datos Rutas'!W51,"")</f>
        <v>2318.2873272484931</v>
      </c>
      <c r="AN53" s="787">
        <f>IFERROR(SUMIFS('Base de datos Rutas'!$W$6:$W$794,'Base de datos Rutas'!$C$6:$C$794,$C53)/'Base de datos Rutas'!I51,"")</f>
        <v>2318.2873272484935</v>
      </c>
      <c r="AO53" s="800">
        <f>IFERROR('Base de datos Rutas'!X51*AN53/AM53,"")</f>
        <v>0.59011623323564499</v>
      </c>
      <c r="AP53" s="800">
        <f t="shared" si="19"/>
        <v>0.40988376676435501</v>
      </c>
      <c r="AQ53" s="789">
        <f>IFERROR(INDEX('Hoja de apoyo v2'!$J$17:$J$20,MATCH($A53,'Hoja de apoyo v2'!$A$17:$A$20,0)),"")</f>
        <v>0.56799995069377007</v>
      </c>
      <c r="AR53" s="789">
        <f t="shared" si="20"/>
        <v>-0.15811618392941507</v>
      </c>
      <c r="AS53" s="784" t="str">
        <f t="shared" si="21"/>
        <v>No</v>
      </c>
      <c r="AT53" s="801">
        <f>IF(ISNUMBER('Base de datos Rutas'!CK51),'Base de datos Rutas'!CK51,"")</f>
        <v>338</v>
      </c>
      <c r="AU53" s="802">
        <f>IF(ISNUMBER('Base de datos Rutas'!CL51),'Base de datos Rutas'!CL51,"")</f>
        <v>765.66</v>
      </c>
      <c r="AV53" s="802">
        <f>IF(ISNUMBER('Base de datos Rutas'!CM51),'Base de datos Rutas'!CM51,"")</f>
        <v>427.65999999999997</v>
      </c>
      <c r="AW53" s="802">
        <f>IF(ISNUMBER('Base de datos Rutas'!CN51),'Base de datos Rutas'!CN51,"")</f>
        <v>4.75</v>
      </c>
      <c r="AX53" s="802">
        <f>IF(ISNUMBER('Base de datos Rutas'!CO51),'Base de datos Rutas'!CO51,"")</f>
        <v>9.4499999999999993</v>
      </c>
      <c r="AY53" s="802">
        <f>IF(ISNUMBER('Base de datos Rutas'!CP51),'Base de datos Rutas'!CP51,"")</f>
        <v>4.6999999999999993</v>
      </c>
      <c r="AZ53" s="802">
        <f>IF(ISNUMBER('Base de datos Rutas'!CQ51),'Base de datos Rutas'!CQ51,"")</f>
        <v>634.91999999999996</v>
      </c>
      <c r="BA53" s="802">
        <f>IF(ISNUMBER('Base de datos Rutas'!CR51),'Base de datos Rutas'!CR51,"")</f>
        <v>195.26</v>
      </c>
      <c r="BB53" s="803">
        <f>IF(ISNUMBER('Base de datos Rutas'!CS51),'Base de datos Rutas'!CS51,"")</f>
        <v>439.65999999999997</v>
      </c>
      <c r="BC53" s="804">
        <f t="shared" si="32"/>
        <v>0</v>
      </c>
      <c r="BD53" s="805" t="str">
        <f t="shared" si="33"/>
        <v>No saturada</v>
      </c>
      <c r="BE53" s="806">
        <f t="shared" si="34"/>
        <v>0.30753480753480755</v>
      </c>
      <c r="BF53" s="890">
        <f>IF(ISNUMBER('Base de datos Rutas'!CX51),'Base de datos Rutas'!CX51/100,"")</f>
        <v>0.53421488690163077</v>
      </c>
      <c r="BG53" s="891">
        <f>IF(ISNUMBER('Base de datos Rutas'!CZ51),'Base de datos Rutas'!CZ51/100,"")</f>
        <v>0.56233561283534983</v>
      </c>
      <c r="BH53" s="892">
        <f>IF(ISNUMBER('Base de datos Rutas'!DA51),'Base de datos Rutas'!DA51,"")</f>
        <v>285.61837172207635</v>
      </c>
      <c r="BI53" s="893">
        <f>IF(ISNUMBER('Base de datos Rutas'!DC51),'Base de datos Rutas'!DC51,"")</f>
        <v>6.1032972065138278</v>
      </c>
      <c r="BJ53" s="805" t="str">
        <f t="shared" si="35"/>
        <v>Ruta (completo)</v>
      </c>
      <c r="BK53" s="783">
        <f t="shared" si="22"/>
        <v>3</v>
      </c>
      <c r="BL53" s="797">
        <f t="shared" si="23"/>
        <v>3</v>
      </c>
      <c r="BM53" s="797">
        <f t="shared" si="24"/>
        <v>3</v>
      </c>
      <c r="BN53" s="797">
        <f t="shared" si="25"/>
        <v>2</v>
      </c>
      <c r="BO53" s="798" cm="1">
        <f t="array" ref="BO53">SUMPRODUCT(--ISNUMBER($BF53:$BI53),$BK$3:$BN$3)</f>
        <v>1</v>
      </c>
      <c r="BP53" s="831">
        <f t="shared" si="38"/>
        <v>43.75</v>
      </c>
      <c r="BQ53" s="834" t="str">
        <f t="shared" si="36"/>
        <v>Medio</v>
      </c>
      <c r="BR53" s="836">
        <f t="shared" si="27"/>
        <v>30.120797210581905</v>
      </c>
      <c r="BS53" s="836">
        <f t="shared" si="28"/>
        <v>43.75</v>
      </c>
      <c r="BT53" s="837" t="str">
        <f t="shared" si="29"/>
        <v>P2</v>
      </c>
      <c r="BU53" s="807" t="str">
        <f t="shared" si="37"/>
        <v>Con espacio</v>
      </c>
      <c r="BV53" s="807" t="str">
        <f t="shared" si="30"/>
        <v>Zona de bajo potencial</v>
      </c>
      <c r="BW53" s="808" t="str">
        <f t="shared" si="31"/>
        <v>P2 - Mantener</v>
      </c>
    </row>
    <row r="54" spans="1:75">
      <c r="A54" s="780" t="str">
        <f>'Base de datos Rutas'!A52</f>
        <v>Noreste</v>
      </c>
      <c r="B54" s="781" t="str">
        <f>'Base de datos Rutas'!B52</f>
        <v>Monterrey</v>
      </c>
      <c r="C54" s="781" t="str">
        <f>'Base de datos Rutas'!C52</f>
        <v>Sucursal Lincoln</v>
      </c>
      <c r="D54" s="782">
        <f>IF(ISNUMBER('Base de datos Rutas'!D52),'Base de datos Rutas'!D52,"Sin código")</f>
        <v>705304</v>
      </c>
      <c r="E54" s="783" t="str">
        <f>'Base de datos Rutas'!F52</f>
        <v>Activa</v>
      </c>
      <c r="F54" s="784" t="str">
        <f>'Base de datos Rutas'!H52</f>
        <v>Sí</v>
      </c>
      <c r="G54" s="785">
        <f>IF(ISNUMBER('Base de datos Rutas'!BE52),'Base de datos Rutas'!BE52,"")</f>
        <v>45.867313915857601</v>
      </c>
      <c r="H54" s="786">
        <f>IF(ISNUMBER('Base de datos Rutas'!BH52),'Base de datos Rutas'!BH52,"")</f>
        <v>0.49721301065406098</v>
      </c>
      <c r="I54" s="788">
        <f>IFERROR(IF(OR(NOT(ISNUMBER('Base de datos Rutas'!O52)),N('Base de datos Rutas'!BK52)=0),"",'Base de datos Rutas'!O52/('Base de datos Rutas'!L52/'Base de datos Rutas'!BK52)),"")</f>
        <v>7011.8568129330242</v>
      </c>
      <c r="J54" s="788">
        <f>IFERROR(IF(OR(NOT(ISNUMBER('Base de datos Rutas'!N52)),N('Base de datos Rutas'!BK52)=0),"",'Base de datos Rutas'!N52/('Base de datos Rutas'!L52/'Base de datos Rutas'!BK52)),"")</f>
        <v>2704.9976905311773</v>
      </c>
      <c r="K54" s="788">
        <f>IFERROR(IF(OR(NOT(ISNUMBER('Base de datos Rutas'!J52)),N('Base de datos Rutas'!BK52)=0),"",'Base de datos Rutas'!J52/('Base de datos Rutas'!L52/'Base de datos Rutas'!BK52)),"")</f>
        <v>182.18048036951498</v>
      </c>
      <c r="L54" s="788">
        <f>IFERROR(IF(OR(NOT(ISNUMBER('Base de datos Rutas'!K52)),N('Base de datos Rutas'!BK52)=0),"",'Base de datos Rutas'!K52/('Base de datos Rutas'!L52/'Base de datos Rutas'!BK52)),"")</f>
        <v>52.131643443418007</v>
      </c>
      <c r="M54" s="787">
        <f>IF(ISNUMBER('Base de datos Rutas'!AX52),'Base de datos Rutas'!AX52,"")</f>
        <v>406.09772578155099</v>
      </c>
      <c r="N54" s="790">
        <f>IFERROR(INDEX('Hoja de apoyo v2'!B$17:B$20,MATCH($A54,'Hoja de apoyo v2'!$A$17:$A$20,0)),"")</f>
        <v>63.050408855205418</v>
      </c>
      <c r="O54" s="791">
        <f>IFERROR(INDEX('Hoja de apoyo v2'!C$17:C$20,MATCH($A54,'Hoja de apoyo v2'!$A$17:$A$20,0)),"")</f>
        <v>0.7559478312655763</v>
      </c>
      <c r="P54" s="793">
        <f>IFERROR(INDEX('Hoja de apoyo v2'!D$17:D$20,MATCH($A54,'Hoja de apoyo v2'!$A$17:$A$20,0)),"")</f>
        <v>9054.9839880720647</v>
      </c>
      <c r="Q54" s="793">
        <f>IFERROR(INDEX('Hoja de apoyo v2'!E$17:E$20,MATCH($A54,'Hoja de apoyo v2'!$A$17:$A$20,0)),"")</f>
        <v>4535.7799207004691</v>
      </c>
      <c r="R54" s="793">
        <f>IFERROR(INDEX('Hoja de apoyo v2'!F$17:F$20,MATCH($A54,'Hoja de apoyo v2'!$A$17:$A$20,0)),"")</f>
        <v>260.44838236060593</v>
      </c>
      <c r="S54" s="793">
        <f>IFERROR(INDEX('Hoja de apoyo v2'!G$17:G$20,MATCH($A54,'Hoja de apoyo v2'!$A$17:$A$20,0)),"")</f>
        <v>64.772152317133859</v>
      </c>
      <c r="T54" s="792">
        <f>IFERROR(INDEX('Hoja de apoyo v2'!H$17:H$20,MATCH($A54,'Hoja de apoyo v2'!$A$17:$A$20,0)),"")</f>
        <v>389.240053528842</v>
      </c>
      <c r="U54" s="794">
        <f t="shared" si="2"/>
        <v>0.72747052316807959</v>
      </c>
      <c r="V54" s="795">
        <f t="shared" si="3"/>
        <v>0.65773455533518455</v>
      </c>
      <c r="W54" s="795">
        <f t="shared" si="4"/>
        <v>0.77436435251233926</v>
      </c>
      <c r="X54" s="843">
        <f t="shared" si="5"/>
        <v>0.59636881370413564</v>
      </c>
      <c r="Y54" s="843">
        <f t="shared" si="6"/>
        <v>0.69948785520685441</v>
      </c>
      <c r="Z54" s="843">
        <f t="shared" si="7"/>
        <v>0.80484655177388442</v>
      </c>
      <c r="AA54" s="843">
        <f t="shared" si="8"/>
        <v>1.043309192103633</v>
      </c>
      <c r="AB54" s="796">
        <f t="shared" si="9"/>
        <v>2</v>
      </c>
      <c r="AC54" s="797">
        <f t="shared" si="10"/>
        <v>2</v>
      </c>
      <c r="AD54" s="797">
        <f t="shared" si="11"/>
        <v>3</v>
      </c>
      <c r="AE54" s="842">
        <f t="shared" si="12"/>
        <v>2</v>
      </c>
      <c r="AF54" s="842">
        <f t="shared" si="13"/>
        <v>2</v>
      </c>
      <c r="AG54" s="842">
        <f t="shared" si="14"/>
        <v>3</v>
      </c>
      <c r="AH54" s="842">
        <f t="shared" si="15"/>
        <v>4</v>
      </c>
      <c r="AI54" s="826" cm="1">
        <f t="array" ref="AI54">SUMPRODUCT(--ISNUMBER($U54:$AA54),$AB$3:$AH$3)</f>
        <v>1</v>
      </c>
      <c r="AJ54" s="829">
        <f t="shared" si="16"/>
        <v>38.992693918040857</v>
      </c>
      <c r="AK54" s="827" t="str">
        <f t="shared" si="17"/>
        <v>Inmadura</v>
      </c>
      <c r="AL54" s="784" t="str">
        <f t="shared" si="18"/>
        <v>Alta</v>
      </c>
      <c r="AM54" s="799">
        <f>IF(ISNUMBER('Base de datos Rutas'!W52),'Base de datos Rutas'!W52,"")</f>
        <v>2318.2873272484931</v>
      </c>
      <c r="AN54" s="787">
        <f>IFERROR(SUMIFS('Base de datos Rutas'!$W$6:$W$794,'Base de datos Rutas'!$C$6:$C$794,$C54)/'Base de datos Rutas'!I52,"")</f>
        <v>2318.2873272484935</v>
      </c>
      <c r="AO54" s="800">
        <f>IFERROR('Base de datos Rutas'!X52*AN54/AM54,"")</f>
        <v>0.59011623323564499</v>
      </c>
      <c r="AP54" s="800">
        <f t="shared" si="19"/>
        <v>0.40988376676435501</v>
      </c>
      <c r="AQ54" s="789">
        <f>IFERROR(INDEX('Hoja de apoyo v2'!$J$17:$J$20,MATCH($A54,'Hoja de apoyo v2'!$A$17:$A$20,0)),"")</f>
        <v>0.56799995069377007</v>
      </c>
      <c r="AR54" s="789">
        <f t="shared" si="20"/>
        <v>-0.15811618392941507</v>
      </c>
      <c r="AS54" s="784" t="str">
        <f t="shared" si="21"/>
        <v>No</v>
      </c>
      <c r="AT54" s="801">
        <f>IF(ISNUMBER('Base de datos Rutas'!CK52),'Base de datos Rutas'!CK52,"")</f>
        <v>261</v>
      </c>
      <c r="AU54" s="802">
        <f>IF(ISNUMBER('Base de datos Rutas'!CL52),'Base de datos Rutas'!CL52,"")</f>
        <v>564.75</v>
      </c>
      <c r="AV54" s="802">
        <f>IF(ISNUMBER('Base de datos Rutas'!CM52),'Base de datos Rutas'!CM52,"")</f>
        <v>303.75</v>
      </c>
      <c r="AW54" s="802">
        <f>IF(ISNUMBER('Base de datos Rutas'!CN52),'Base de datos Rutas'!CN52,"")</f>
        <v>4.68</v>
      </c>
      <c r="AX54" s="802">
        <f>IF(ISNUMBER('Base de datos Rutas'!CO52),'Base de datos Rutas'!CO52,"")</f>
        <v>9.4499999999999993</v>
      </c>
      <c r="AY54" s="802">
        <f>IF(ISNUMBER('Base de datos Rutas'!CP52),'Base de datos Rutas'!CP52,"")</f>
        <v>4.7699999999999996</v>
      </c>
      <c r="AZ54" s="802">
        <f>IF(ISNUMBER('Base de datos Rutas'!CQ52),'Base de datos Rutas'!CQ52,"")</f>
        <v>634.91999999999996</v>
      </c>
      <c r="BA54" s="802">
        <f>IF(ISNUMBER('Base de datos Rutas'!CR52),'Base de datos Rutas'!CR52,"")</f>
        <v>234.31</v>
      </c>
      <c r="BB54" s="803">
        <f>IF(ISNUMBER('Base de datos Rutas'!CS52),'Base de datos Rutas'!CS52,"")</f>
        <v>400.60999999999996</v>
      </c>
      <c r="BC54" s="804">
        <f t="shared" si="32"/>
        <v>0</v>
      </c>
      <c r="BD54" s="805" t="str">
        <f t="shared" si="33"/>
        <v>No saturada</v>
      </c>
      <c r="BE54" s="806">
        <f t="shared" si="34"/>
        <v>0.36903861903861906</v>
      </c>
      <c r="BF54" s="890">
        <f>IF(ISNUMBER('Base de datos Rutas'!CX52),'Base de datos Rutas'!CX52/100,"")</f>
        <v>0.9071865141955836</v>
      </c>
      <c r="BG54" s="891">
        <f>IF(ISNUMBER('Base de datos Rutas'!CZ52),'Base de datos Rutas'!CZ52/100,"")</f>
        <v>0.9670741324921136</v>
      </c>
      <c r="BH54" s="892">
        <f>IF(ISNUMBER('Base de datos Rutas'!DA52),'Base de datos Rutas'!DA52,"")</f>
        <v>485.49426591638371</v>
      </c>
      <c r="BI54" s="893">
        <f>IF(ISNUMBER('Base de datos Rutas'!DC52),'Base de datos Rutas'!DC52,"")</f>
        <v>12.371832767520813</v>
      </c>
      <c r="BJ54" s="805" t="str">
        <f t="shared" si="35"/>
        <v>Ruta (completo)</v>
      </c>
      <c r="BK54" s="783">
        <f t="shared" si="22"/>
        <v>5</v>
      </c>
      <c r="BL54" s="797">
        <f t="shared" si="23"/>
        <v>4</v>
      </c>
      <c r="BM54" s="797">
        <f t="shared" si="24"/>
        <v>3</v>
      </c>
      <c r="BN54" s="797">
        <f t="shared" si="25"/>
        <v>3</v>
      </c>
      <c r="BO54" s="798" cm="1">
        <f t="array" ref="BO54">SUMPRODUCT(--ISNUMBER($BF54:$BI54),$BK$3:$BN$3)</f>
        <v>1</v>
      </c>
      <c r="BP54" s="831">
        <f t="shared" si="38"/>
        <v>68.75</v>
      </c>
      <c r="BQ54" s="834" t="str">
        <f t="shared" si="36"/>
        <v>Alto</v>
      </c>
      <c r="BR54" s="836">
        <f t="shared" si="27"/>
        <v>29.244520438530643</v>
      </c>
      <c r="BS54" s="836">
        <f t="shared" si="28"/>
        <v>68.75</v>
      </c>
      <c r="BT54" s="837" t="str">
        <f t="shared" si="29"/>
        <v>P1</v>
      </c>
      <c r="BU54" s="807" t="str">
        <f t="shared" si="37"/>
        <v>Con espacio</v>
      </c>
      <c r="BV54" s="807" t="str">
        <f t="shared" si="30"/>
        <v>Zona atractiva</v>
      </c>
      <c r="BW54" s="808" t="str">
        <f t="shared" si="31"/>
        <v>P1 - Ampliar cobertura</v>
      </c>
    </row>
    <row r="55" spans="1:75">
      <c r="A55" s="780" t="str">
        <f>'Base de datos Rutas'!A53</f>
        <v>Noreste</v>
      </c>
      <c r="B55" s="781" t="str">
        <f>'Base de datos Rutas'!B53</f>
        <v>Monterrey</v>
      </c>
      <c r="C55" s="781" t="str">
        <f>'Base de datos Rutas'!C53</f>
        <v>Sucursal Lincoln</v>
      </c>
      <c r="D55" s="782">
        <f>IF(ISNUMBER('Base de datos Rutas'!D53),'Base de datos Rutas'!D53,"Sin código")</f>
        <v>705305</v>
      </c>
      <c r="E55" s="783" t="str">
        <f>'Base de datos Rutas'!F53</f>
        <v>Activa</v>
      </c>
      <c r="F55" s="784" t="str">
        <f>'Base de datos Rutas'!H53</f>
        <v>Sí</v>
      </c>
      <c r="G55" s="785">
        <f>IF(ISNUMBER('Base de datos Rutas'!BE53),'Base de datos Rutas'!BE53,"")</f>
        <v>69.974943052391794</v>
      </c>
      <c r="H55" s="786">
        <f>IF(ISNUMBER('Base de datos Rutas'!BH53),'Base de datos Rutas'!BH53,"")</f>
        <v>0.23841921937563099</v>
      </c>
      <c r="I55" s="788">
        <f>IFERROR(IF(OR(NOT(ISNUMBER('Base de datos Rutas'!O53)),N('Base de datos Rutas'!BK53)=0),"",'Base de datos Rutas'!O53/('Base de datos Rutas'!L53/'Base de datos Rutas'!BK53)),"")</f>
        <v>5483.2915717539872</v>
      </c>
      <c r="J55" s="788">
        <f>IFERROR(IF(OR(NOT(ISNUMBER('Base de datos Rutas'!N53)),N('Base de datos Rutas'!BK53)=0),"",'Base de datos Rutas'!N53/('Base de datos Rutas'!L53/'Base de datos Rutas'!BK53)),"")</f>
        <v>1794.3621867881552</v>
      </c>
      <c r="K55" s="788">
        <f>IFERROR(IF(OR(NOT(ISNUMBER('Base de datos Rutas'!J53)),N('Base de datos Rutas'!BK53)=0),"",'Base de datos Rutas'!J53/('Base de datos Rutas'!L53/'Base de datos Rutas'!BK53)),"")</f>
        <v>124.1826533029613</v>
      </c>
      <c r="L55" s="788">
        <f>IFERROR(IF(OR(NOT(ISNUMBER('Base de datos Rutas'!K53)),N('Base de datos Rutas'!BK53)=0),"",'Base de datos Rutas'!K53/('Base de datos Rutas'!L53/'Base de datos Rutas'!BK53)),"")</f>
        <v>40.888521268792715</v>
      </c>
      <c r="M55" s="787">
        <f>IF(ISNUMBER('Base de datos Rutas'!AX53),'Base de datos Rutas'!AX53,"")</f>
        <v>434.35242080830199</v>
      </c>
      <c r="N55" s="790">
        <f>IFERROR(INDEX('Hoja de apoyo v2'!B$17:B$20,MATCH($A55,'Hoja de apoyo v2'!$A$17:$A$20,0)),"")</f>
        <v>63.050408855205418</v>
      </c>
      <c r="O55" s="791">
        <f>IFERROR(INDEX('Hoja de apoyo v2'!C$17:C$20,MATCH($A55,'Hoja de apoyo v2'!$A$17:$A$20,0)),"")</f>
        <v>0.7559478312655763</v>
      </c>
      <c r="P55" s="793">
        <f>IFERROR(INDEX('Hoja de apoyo v2'!D$17:D$20,MATCH($A55,'Hoja de apoyo v2'!$A$17:$A$20,0)),"")</f>
        <v>9054.9839880720647</v>
      </c>
      <c r="Q55" s="793">
        <f>IFERROR(INDEX('Hoja de apoyo v2'!E$17:E$20,MATCH($A55,'Hoja de apoyo v2'!$A$17:$A$20,0)),"")</f>
        <v>4535.7799207004691</v>
      </c>
      <c r="R55" s="793">
        <f>IFERROR(INDEX('Hoja de apoyo v2'!F$17:F$20,MATCH($A55,'Hoja de apoyo v2'!$A$17:$A$20,0)),"")</f>
        <v>260.44838236060593</v>
      </c>
      <c r="S55" s="793">
        <f>IFERROR(INDEX('Hoja de apoyo v2'!G$17:G$20,MATCH($A55,'Hoja de apoyo v2'!$A$17:$A$20,0)),"")</f>
        <v>64.772152317133859</v>
      </c>
      <c r="T55" s="792">
        <f>IFERROR(INDEX('Hoja de apoyo v2'!H$17:H$20,MATCH($A55,'Hoja de apoyo v2'!$A$17:$A$20,0)),"")</f>
        <v>389.240053528842</v>
      </c>
      <c r="U55" s="794">
        <f t="shared" si="2"/>
        <v>1.1098253654958605</v>
      </c>
      <c r="V55" s="795">
        <f t="shared" si="3"/>
        <v>0.31539110175960089</v>
      </c>
      <c r="W55" s="795">
        <f t="shared" si="4"/>
        <v>0.60555508203846731</v>
      </c>
      <c r="X55" s="843">
        <f t="shared" si="5"/>
        <v>0.39560168662483264</v>
      </c>
      <c r="Y55" s="843">
        <f t="shared" si="6"/>
        <v>0.47680331963445716</v>
      </c>
      <c r="Z55" s="843">
        <f t="shared" si="7"/>
        <v>0.63126698443795071</v>
      </c>
      <c r="AA55" s="843">
        <f t="shared" si="8"/>
        <v>1.1158985743385663</v>
      </c>
      <c r="AB55" s="796">
        <f t="shared" si="9"/>
        <v>4</v>
      </c>
      <c r="AC55" s="797">
        <f t="shared" si="10"/>
        <v>1</v>
      </c>
      <c r="AD55" s="797">
        <f t="shared" si="11"/>
        <v>2</v>
      </c>
      <c r="AE55" s="842">
        <f t="shared" si="12"/>
        <v>1</v>
      </c>
      <c r="AF55" s="842">
        <f t="shared" si="13"/>
        <v>1</v>
      </c>
      <c r="AG55" s="842">
        <f t="shared" si="14"/>
        <v>2</v>
      </c>
      <c r="AH55" s="842">
        <f t="shared" si="15"/>
        <v>4</v>
      </c>
      <c r="AI55" s="826" cm="1">
        <f t="array" ref="AI55">SUMPRODUCT(--ISNUMBER($U55:$AA55),$AB$3:$AH$3)</f>
        <v>1</v>
      </c>
      <c r="AJ55" s="829">
        <f t="shared" si="16"/>
        <v>29.83833029277767</v>
      </c>
      <c r="AK55" s="827" t="str">
        <f t="shared" si="17"/>
        <v>Inmadura</v>
      </c>
      <c r="AL55" s="784" t="str">
        <f t="shared" si="18"/>
        <v>Alta</v>
      </c>
      <c r="AM55" s="799">
        <f>IF(ISNUMBER('Base de datos Rutas'!W53),'Base de datos Rutas'!W53,"")</f>
        <v>2318.2873272484931</v>
      </c>
      <c r="AN55" s="787">
        <f>IFERROR(SUMIFS('Base de datos Rutas'!$W$6:$W$794,'Base de datos Rutas'!$C$6:$C$794,$C55)/'Base de datos Rutas'!I53,"")</f>
        <v>2318.2873272484935</v>
      </c>
      <c r="AO55" s="800">
        <f>IFERROR('Base de datos Rutas'!X53*AN55/AM55,"")</f>
        <v>0.59011623323564499</v>
      </c>
      <c r="AP55" s="800">
        <f t="shared" si="19"/>
        <v>0.40988376676435501</v>
      </c>
      <c r="AQ55" s="789">
        <f>IFERROR(INDEX('Hoja de apoyo v2'!$J$17:$J$20,MATCH($A55,'Hoja de apoyo v2'!$A$17:$A$20,0)),"")</f>
        <v>0.56799995069377007</v>
      </c>
      <c r="AR55" s="789">
        <f t="shared" si="20"/>
        <v>-0.15811618392941507</v>
      </c>
      <c r="AS55" s="784" t="str">
        <f t="shared" si="21"/>
        <v>No</v>
      </c>
      <c r="AT55" s="801">
        <f>IF(ISNUMBER('Base de datos Rutas'!CK53),'Base de datos Rutas'!CK53,"")</f>
        <v>206</v>
      </c>
      <c r="AU55" s="802">
        <f>IF(ISNUMBER('Base de datos Rutas'!CL53),'Base de datos Rutas'!CL53,"")</f>
        <v>298.27999999999997</v>
      </c>
      <c r="AV55" s="802">
        <f>IF(ISNUMBER('Base de datos Rutas'!CM53),'Base de datos Rutas'!CM53,"")</f>
        <v>92.279999999999973</v>
      </c>
      <c r="AW55" s="802">
        <f>IF(ISNUMBER('Base de datos Rutas'!CN53),'Base de datos Rutas'!CN53,"")</f>
        <v>8.43</v>
      </c>
      <c r="AX55" s="802">
        <f>IF(ISNUMBER('Base de datos Rutas'!CO53),'Base de datos Rutas'!CO53,"")</f>
        <v>9.4499999999999993</v>
      </c>
      <c r="AY55" s="802">
        <f>IF(ISNUMBER('Base de datos Rutas'!CP53),'Base de datos Rutas'!CP53,"")</f>
        <v>1.0199999999999996</v>
      </c>
      <c r="AZ55" s="802">
        <f>IF(ISNUMBER('Base de datos Rutas'!CQ53),'Base de datos Rutas'!CQ53,"")</f>
        <v>846.56</v>
      </c>
      <c r="BA55" s="802">
        <f>IF(ISNUMBER('Base de datos Rutas'!CR53),'Base de datos Rutas'!CR53,"")</f>
        <v>165.07</v>
      </c>
      <c r="BB55" s="803">
        <f>IF(ISNUMBER('Base de datos Rutas'!CS53),'Base de datos Rutas'!CS53,"")</f>
        <v>681.49</v>
      </c>
      <c r="BC55" s="804">
        <f t="shared" si="32"/>
        <v>0</v>
      </c>
      <c r="BD55" s="805" t="str">
        <f t="shared" si="33"/>
        <v>No saturada</v>
      </c>
      <c r="BE55" s="806">
        <f t="shared" si="34"/>
        <v>0.19498913248913249</v>
      </c>
      <c r="BF55" s="890">
        <f>IF(ISNUMBER('Base de datos Rutas'!CX53),'Base de datos Rutas'!CX53/100,"")</f>
        <v>0.14714710252600297</v>
      </c>
      <c r="BG55" s="891">
        <f>IF(ISNUMBER('Base de datos Rutas'!CZ53),'Base de datos Rutas'!CZ53/100,"")</f>
        <v>0.15286032689450224</v>
      </c>
      <c r="BH55" s="892">
        <f>IF(ISNUMBER('Base de datos Rutas'!DA53),'Base de datos Rutas'!DA53,"")</f>
        <v>83.585789582548443</v>
      </c>
      <c r="BI55" s="893">
        <f>IF(ISNUMBER('Base de datos Rutas'!DC53),'Base de datos Rutas'!DC53,"")</f>
        <v>2.6191010004752444</v>
      </c>
      <c r="BJ55" s="805" t="str">
        <f t="shared" si="35"/>
        <v>Ruta (completo)</v>
      </c>
      <c r="BK55" s="783">
        <f t="shared" si="22"/>
        <v>1</v>
      </c>
      <c r="BL55" s="797">
        <f t="shared" si="23"/>
        <v>1</v>
      </c>
      <c r="BM55" s="797">
        <f t="shared" si="24"/>
        <v>1</v>
      </c>
      <c r="BN55" s="797">
        <f t="shared" si="25"/>
        <v>1</v>
      </c>
      <c r="BO55" s="798" cm="1">
        <f t="array" ref="BO55">SUMPRODUCT(--ISNUMBER($BF55:$BI55),$BK$3:$BN$3)</f>
        <v>1</v>
      </c>
      <c r="BP55" s="831">
        <f t="shared" si="38"/>
        <v>0</v>
      </c>
      <c r="BQ55" s="834" t="str">
        <f t="shared" si="36"/>
        <v>Bajo</v>
      </c>
      <c r="BR55" s="836">
        <f t="shared" si="27"/>
        <v>22.378747719583252</v>
      </c>
      <c r="BS55" s="836">
        <f t="shared" si="28"/>
        <v>0</v>
      </c>
      <c r="BT55" s="837" t="str">
        <f t="shared" si="29"/>
        <v>P4</v>
      </c>
      <c r="BU55" s="807" t="str">
        <f t="shared" si="37"/>
        <v>Con espacio</v>
      </c>
      <c r="BV55" s="807" t="str">
        <f t="shared" si="30"/>
        <v>Zona de bajo potencial</v>
      </c>
      <c r="BW55" s="808" t="str">
        <f t="shared" si="31"/>
        <v>P4 - Evaluar</v>
      </c>
    </row>
    <row r="56" spans="1:75">
      <c r="A56" s="780" t="str">
        <f>'Base de datos Rutas'!A54</f>
        <v>Noreste</v>
      </c>
      <c r="B56" s="781" t="str">
        <f>'Base de datos Rutas'!B54</f>
        <v>Monterrey</v>
      </c>
      <c r="C56" s="781" t="str">
        <f>'Base de datos Rutas'!C54</f>
        <v>Sucursal Lincoln</v>
      </c>
      <c r="D56" s="782">
        <f>IF(ISNUMBER('Base de datos Rutas'!D54),'Base de datos Rutas'!D54,"Sin código")</f>
        <v>705306</v>
      </c>
      <c r="E56" s="783" t="str">
        <f>'Base de datos Rutas'!F54</f>
        <v>Activa</v>
      </c>
      <c r="F56" s="784" t="str">
        <f>'Base de datos Rutas'!H54</f>
        <v>Sí</v>
      </c>
      <c r="G56" s="785">
        <f>IF(ISNUMBER('Base de datos Rutas'!BE54),'Base de datos Rutas'!BE54,"")</f>
        <v>54.586757990867603</v>
      </c>
      <c r="H56" s="786">
        <f>IF(ISNUMBER('Base de datos Rutas'!BH54),'Base de datos Rutas'!BH54,"")</f>
        <v>0.46927935087205702</v>
      </c>
      <c r="I56" s="788">
        <f>IFERROR(IF(OR(NOT(ISNUMBER('Base de datos Rutas'!O54)),N('Base de datos Rutas'!BK54)=0),"",'Base de datos Rutas'!O54/('Base de datos Rutas'!L54/'Base de datos Rutas'!BK54)),"")</f>
        <v>7885.2785388127868</v>
      </c>
      <c r="J56" s="788">
        <f>IFERROR(IF(OR(NOT(ISNUMBER('Base de datos Rutas'!N54)),N('Base de datos Rutas'!BK54)=0),"",'Base de datos Rutas'!N54/('Base de datos Rutas'!L54/'Base de datos Rutas'!BK54)),"")</f>
        <v>1442.3538812785389</v>
      </c>
      <c r="K56" s="788">
        <f>IFERROR(IF(OR(NOT(ISNUMBER('Base de datos Rutas'!J54)),N('Base de datos Rutas'!BK54)=0),"",'Base de datos Rutas'!J54/('Base de datos Rutas'!L54/'Base de datos Rutas'!BK54)),"")</f>
        <v>103.00205296803654</v>
      </c>
      <c r="L56" s="788">
        <f>IFERROR(IF(OR(NOT(ISNUMBER('Base de datos Rutas'!K54)),N('Base de datos Rutas'!BK54)=0),"",'Base de datos Rutas'!K54/('Base de datos Rutas'!L54/'Base de datos Rutas'!BK54)),"")</f>
        <v>60.495881792237448</v>
      </c>
      <c r="M56" s="787">
        <f>IF(ISNUMBER('Base de datos Rutas'!AX54),'Base de datos Rutas'!AX54,"")</f>
        <v>364.22771033868099</v>
      </c>
      <c r="N56" s="790">
        <f>IFERROR(INDEX('Hoja de apoyo v2'!B$17:B$20,MATCH($A56,'Hoja de apoyo v2'!$A$17:$A$20,0)),"")</f>
        <v>63.050408855205418</v>
      </c>
      <c r="O56" s="791">
        <f>IFERROR(INDEX('Hoja de apoyo v2'!C$17:C$20,MATCH($A56,'Hoja de apoyo v2'!$A$17:$A$20,0)),"")</f>
        <v>0.7559478312655763</v>
      </c>
      <c r="P56" s="793">
        <f>IFERROR(INDEX('Hoja de apoyo v2'!D$17:D$20,MATCH($A56,'Hoja de apoyo v2'!$A$17:$A$20,0)),"")</f>
        <v>9054.9839880720647</v>
      </c>
      <c r="Q56" s="793">
        <f>IFERROR(INDEX('Hoja de apoyo v2'!E$17:E$20,MATCH($A56,'Hoja de apoyo v2'!$A$17:$A$20,0)),"")</f>
        <v>4535.7799207004691</v>
      </c>
      <c r="R56" s="793">
        <f>IFERROR(INDEX('Hoja de apoyo v2'!F$17:F$20,MATCH($A56,'Hoja de apoyo v2'!$A$17:$A$20,0)),"")</f>
        <v>260.44838236060593</v>
      </c>
      <c r="S56" s="793">
        <f>IFERROR(INDEX('Hoja de apoyo v2'!G$17:G$20,MATCH($A56,'Hoja de apoyo v2'!$A$17:$A$20,0)),"")</f>
        <v>64.772152317133859</v>
      </c>
      <c r="T56" s="792">
        <f>IFERROR(INDEX('Hoja de apoyo v2'!H$17:H$20,MATCH($A56,'Hoja de apoyo v2'!$A$17:$A$20,0)),"")</f>
        <v>389.240053528842</v>
      </c>
      <c r="U56" s="794">
        <f t="shared" si="2"/>
        <v>0.86576374336010253</v>
      </c>
      <c r="V56" s="795">
        <f t="shared" si="3"/>
        <v>0.62078272000120582</v>
      </c>
      <c r="W56" s="795">
        <f t="shared" si="4"/>
        <v>0.87082191964114952</v>
      </c>
      <c r="X56" s="843">
        <f t="shared" si="5"/>
        <v>0.31799467930441244</v>
      </c>
      <c r="Y56" s="843">
        <f t="shared" si="6"/>
        <v>0.39547971860859632</v>
      </c>
      <c r="Z56" s="843">
        <f t="shared" si="7"/>
        <v>0.93397979884998772</v>
      </c>
      <c r="AA56" s="843">
        <f t="shared" si="8"/>
        <v>0.93574057201102601</v>
      </c>
      <c r="AB56" s="796">
        <f t="shared" si="9"/>
        <v>3</v>
      </c>
      <c r="AC56" s="797">
        <f t="shared" si="10"/>
        <v>2</v>
      </c>
      <c r="AD56" s="797">
        <f t="shared" si="11"/>
        <v>3</v>
      </c>
      <c r="AE56" s="842">
        <f t="shared" si="12"/>
        <v>1</v>
      </c>
      <c r="AF56" s="842">
        <f t="shared" si="13"/>
        <v>1</v>
      </c>
      <c r="AG56" s="842">
        <f t="shared" si="14"/>
        <v>3</v>
      </c>
      <c r="AH56" s="842">
        <f t="shared" si="15"/>
        <v>3</v>
      </c>
      <c r="AI56" s="826" cm="1">
        <f t="array" ref="AI56">SUMPRODUCT(--ISNUMBER($U56:$AA56),$AB$3:$AH$3)</f>
        <v>1</v>
      </c>
      <c r="AJ56" s="829">
        <f t="shared" si="16"/>
        <v>34.946110097592566</v>
      </c>
      <c r="AK56" s="827" t="str">
        <f t="shared" si="17"/>
        <v>Inmadura</v>
      </c>
      <c r="AL56" s="784" t="str">
        <f t="shared" si="18"/>
        <v>Alta</v>
      </c>
      <c r="AM56" s="799">
        <f>IF(ISNUMBER('Base de datos Rutas'!W54),'Base de datos Rutas'!W54,"")</f>
        <v>2318.2873272484931</v>
      </c>
      <c r="AN56" s="787">
        <f>IFERROR(SUMIFS('Base de datos Rutas'!$W$6:$W$794,'Base de datos Rutas'!$C$6:$C$794,$C56)/'Base de datos Rutas'!I54,"")</f>
        <v>2318.2873272484935</v>
      </c>
      <c r="AO56" s="800">
        <f>IFERROR('Base de datos Rutas'!X54*AN56/AM56,"")</f>
        <v>0.59011623323564499</v>
      </c>
      <c r="AP56" s="800">
        <f t="shared" si="19"/>
        <v>0.40988376676435501</v>
      </c>
      <c r="AQ56" s="789">
        <f>IFERROR(INDEX('Hoja de apoyo v2'!$J$17:$J$20,MATCH($A56,'Hoja de apoyo v2'!$A$17:$A$20,0)),"")</f>
        <v>0.56799995069377007</v>
      </c>
      <c r="AR56" s="789">
        <f t="shared" si="20"/>
        <v>-0.15811618392941507</v>
      </c>
      <c r="AS56" s="784" t="str">
        <f t="shared" si="21"/>
        <v>No</v>
      </c>
      <c r="AT56" s="801">
        <f>IF(ISNUMBER('Base de datos Rutas'!CK54),'Base de datos Rutas'!CK54,"")</f>
        <v>179</v>
      </c>
      <c r="AU56" s="802">
        <f>IF(ISNUMBER('Base de datos Rutas'!CL54),'Base de datos Rutas'!CL54,"")</f>
        <v>500.65</v>
      </c>
      <c r="AV56" s="802">
        <f>IF(ISNUMBER('Base de datos Rutas'!CM54),'Base de datos Rutas'!CM54,"")</f>
        <v>321.64999999999998</v>
      </c>
      <c r="AW56" s="802">
        <f>IF(ISNUMBER('Base de datos Rutas'!CN54),'Base de datos Rutas'!CN54,"")</f>
        <v>3.37</v>
      </c>
      <c r="AX56" s="802">
        <f>IF(ISNUMBER('Base de datos Rutas'!CO54),'Base de datos Rutas'!CO54,"")</f>
        <v>9.4499999999999993</v>
      </c>
      <c r="AY56" s="802">
        <f>IF(ISNUMBER('Base de datos Rutas'!CP54),'Base de datos Rutas'!CP54,"")</f>
        <v>6.0799999999999992</v>
      </c>
      <c r="AZ56" s="802">
        <f>IF(ISNUMBER('Base de datos Rutas'!CQ54),'Base de datos Rutas'!CQ54,"")</f>
        <v>634.91999999999996</v>
      </c>
      <c r="BA56" s="802">
        <f>IF(ISNUMBER('Base de datos Rutas'!CR54),'Base de datos Rutas'!CR54,"")</f>
        <v>163.5</v>
      </c>
      <c r="BB56" s="803">
        <f>IF(ISNUMBER('Base de datos Rutas'!CS54),'Base de datos Rutas'!CS54,"")</f>
        <v>471.41999999999996</v>
      </c>
      <c r="BC56" s="804">
        <f t="shared" si="32"/>
        <v>0</v>
      </c>
      <c r="BD56" s="805" t="str">
        <f t="shared" si="33"/>
        <v>No saturada</v>
      </c>
      <c r="BE56" s="806">
        <f t="shared" si="34"/>
        <v>0.25751275751275754</v>
      </c>
      <c r="BF56" s="890">
        <f>IF(ISNUMBER('Base de datos Rutas'!CX54),'Base de datos Rutas'!CX54/100,"")</f>
        <v>0.40008339917478714</v>
      </c>
      <c r="BG56" s="891">
        <f>IF(ISNUMBER('Base de datos Rutas'!CZ54),'Base de datos Rutas'!CZ54/100,"")</f>
        <v>0.42832060398560268</v>
      </c>
      <c r="BH56" s="892">
        <f>IF(ISNUMBER('Base de datos Rutas'!DA54),'Base de datos Rutas'!DA54,"")</f>
        <v>258.08173385186103</v>
      </c>
      <c r="BI56" s="893">
        <f>IF(ISNUMBER('Base de datos Rutas'!DC54),'Base de datos Rutas'!DC54,"")</f>
        <v>4.9720643919181402</v>
      </c>
      <c r="BJ56" s="805" t="str">
        <f t="shared" si="35"/>
        <v>Ruta (completo)</v>
      </c>
      <c r="BK56" s="783">
        <f t="shared" si="22"/>
        <v>2</v>
      </c>
      <c r="BL56" s="797">
        <f t="shared" si="23"/>
        <v>2</v>
      </c>
      <c r="BM56" s="797">
        <f t="shared" si="24"/>
        <v>2</v>
      </c>
      <c r="BN56" s="797">
        <f t="shared" si="25"/>
        <v>2</v>
      </c>
      <c r="BO56" s="798" cm="1">
        <f t="array" ref="BO56">SUMPRODUCT(--ISNUMBER($BF56:$BI56),$BK$3:$BN$3)</f>
        <v>1</v>
      </c>
      <c r="BP56" s="831">
        <f t="shared" si="38"/>
        <v>25</v>
      </c>
      <c r="BQ56" s="834" t="str">
        <f t="shared" si="36"/>
        <v>Medio</v>
      </c>
      <c r="BR56" s="836">
        <f t="shared" si="27"/>
        <v>26.209582573194425</v>
      </c>
      <c r="BS56" s="836">
        <f t="shared" si="28"/>
        <v>25</v>
      </c>
      <c r="BT56" s="837" t="str">
        <f t="shared" si="29"/>
        <v>P4</v>
      </c>
      <c r="BU56" s="807" t="str">
        <f t="shared" si="37"/>
        <v>Con espacio</v>
      </c>
      <c r="BV56" s="807" t="str">
        <f t="shared" si="30"/>
        <v>Zona de bajo potencial</v>
      </c>
      <c r="BW56" s="808" t="str">
        <f t="shared" si="31"/>
        <v>P4 - Evaluar</v>
      </c>
    </row>
    <row r="57" spans="1:75">
      <c r="A57" s="780" t="str">
        <f>'Base de datos Rutas'!A55</f>
        <v>Noreste</v>
      </c>
      <c r="B57" s="781" t="str">
        <f>'Base de datos Rutas'!B55</f>
        <v>Monterrey</v>
      </c>
      <c r="C57" s="781" t="str">
        <f>'Base de datos Rutas'!C55</f>
        <v>Sucursal Lincoln</v>
      </c>
      <c r="D57" s="782">
        <f>IF(ISNUMBER('Base de datos Rutas'!D55),'Base de datos Rutas'!D55,"Sin código")</f>
        <v>705307</v>
      </c>
      <c r="E57" s="783" t="str">
        <f>'Base de datos Rutas'!F55</f>
        <v>Activa</v>
      </c>
      <c r="F57" s="784" t="str">
        <f>'Base de datos Rutas'!H55</f>
        <v>Sí</v>
      </c>
      <c r="G57" s="785">
        <f>IF(ISNUMBER('Base de datos Rutas'!BE55),'Base de datos Rutas'!BE55,"")</f>
        <v>41.9967845659164</v>
      </c>
      <c r="H57" s="786">
        <f>IF(ISNUMBER('Base de datos Rutas'!BH55),'Base de datos Rutas'!BH55,"")</f>
        <v>0.84411607074496597</v>
      </c>
      <c r="I57" s="788">
        <f>IFERROR(IF(OR(NOT(ISNUMBER('Base de datos Rutas'!O55)),N('Base de datos Rutas'!BK55)=0),"",'Base de datos Rutas'!O55/('Base de datos Rutas'!L55/'Base de datos Rutas'!BK55)),"")</f>
        <v>11548.427272727262</v>
      </c>
      <c r="J57" s="788">
        <f>IFERROR(IF(OR(NOT(ISNUMBER('Base de datos Rutas'!N55)),N('Base de datos Rutas'!BK55)=0),"",'Base de datos Rutas'!N55/('Base de datos Rutas'!L55/'Base de datos Rutas'!BK55)),"")</f>
        <v>2938.1568181818157</v>
      </c>
      <c r="K57" s="788">
        <f>IFERROR(IF(OR(NOT(ISNUMBER('Base de datos Rutas'!J55)),N('Base de datos Rutas'!BK55)=0),"",'Base de datos Rutas'!J55/('Base de datos Rutas'!L55/'Base de datos Rutas'!BK55)),"")</f>
        <v>198.73540909090892</v>
      </c>
      <c r="L57" s="788">
        <f>IFERROR(IF(OR(NOT(ISNUMBER('Base de datos Rutas'!K55)),N('Base de datos Rutas'!BK55)=0),"",'Base de datos Rutas'!K55/('Base de datos Rutas'!L55/'Base de datos Rutas'!BK55)),"")</f>
        <v>86.568787931818093</v>
      </c>
      <c r="M57" s="787">
        <f>IF(ISNUMBER('Base de datos Rutas'!AX55),'Base de datos Rutas'!AX55,"")</f>
        <v>389.900436138977</v>
      </c>
      <c r="N57" s="790">
        <f>IFERROR(INDEX('Hoja de apoyo v2'!B$17:B$20,MATCH($A57,'Hoja de apoyo v2'!$A$17:$A$20,0)),"")</f>
        <v>63.050408855205418</v>
      </c>
      <c r="O57" s="791">
        <f>IFERROR(INDEX('Hoja de apoyo v2'!C$17:C$20,MATCH($A57,'Hoja de apoyo v2'!$A$17:$A$20,0)),"")</f>
        <v>0.7559478312655763</v>
      </c>
      <c r="P57" s="793">
        <f>IFERROR(INDEX('Hoja de apoyo v2'!D$17:D$20,MATCH($A57,'Hoja de apoyo v2'!$A$17:$A$20,0)),"")</f>
        <v>9054.9839880720647</v>
      </c>
      <c r="Q57" s="793">
        <f>IFERROR(INDEX('Hoja de apoyo v2'!E$17:E$20,MATCH($A57,'Hoja de apoyo v2'!$A$17:$A$20,0)),"")</f>
        <v>4535.7799207004691</v>
      </c>
      <c r="R57" s="793">
        <f>IFERROR(INDEX('Hoja de apoyo v2'!F$17:F$20,MATCH($A57,'Hoja de apoyo v2'!$A$17:$A$20,0)),"")</f>
        <v>260.44838236060593</v>
      </c>
      <c r="S57" s="793">
        <f>IFERROR(INDEX('Hoja de apoyo v2'!G$17:G$20,MATCH($A57,'Hoja de apoyo v2'!$A$17:$A$20,0)),"")</f>
        <v>64.772152317133859</v>
      </c>
      <c r="T57" s="792">
        <f>IFERROR(INDEX('Hoja de apoyo v2'!H$17:H$20,MATCH($A57,'Hoja de apoyo v2'!$A$17:$A$20,0)),"")</f>
        <v>389.240053528842</v>
      </c>
      <c r="U57" s="794">
        <f t="shared" si="2"/>
        <v>0.66608266827201013</v>
      </c>
      <c r="V57" s="795">
        <f t="shared" si="3"/>
        <v>1.1166327037829873</v>
      </c>
      <c r="W57" s="795">
        <f t="shared" si="4"/>
        <v>1.2753669457549297</v>
      </c>
      <c r="X57" s="843">
        <f t="shared" si="5"/>
        <v>0.6477732318476489</v>
      </c>
      <c r="Y57" s="843">
        <f t="shared" si="6"/>
        <v>0.76305104024700054</v>
      </c>
      <c r="Z57" s="843">
        <f t="shared" si="7"/>
        <v>1.3365124491766884</v>
      </c>
      <c r="AA57" s="843">
        <f t="shared" si="8"/>
        <v>1.0016965946956076</v>
      </c>
      <c r="AB57" s="796">
        <f t="shared" si="9"/>
        <v>2</v>
      </c>
      <c r="AC57" s="797">
        <f t="shared" si="10"/>
        <v>4</v>
      </c>
      <c r="AD57" s="797">
        <f t="shared" si="11"/>
        <v>5</v>
      </c>
      <c r="AE57" s="842">
        <f t="shared" si="12"/>
        <v>2</v>
      </c>
      <c r="AF57" s="842">
        <f t="shared" si="13"/>
        <v>3</v>
      </c>
      <c r="AG57" s="842">
        <f t="shared" si="14"/>
        <v>5</v>
      </c>
      <c r="AH57" s="842">
        <f t="shared" si="15"/>
        <v>4</v>
      </c>
      <c r="AI57" s="826" cm="1">
        <f t="array" ref="AI57">SUMPRODUCT(--ISNUMBER($U57:$AA57),$AB$3:$AH$3)</f>
        <v>1</v>
      </c>
      <c r="AJ57" s="829">
        <f t="shared" si="16"/>
        <v>65.691026076637073</v>
      </c>
      <c r="AK57" s="827" t="str">
        <f t="shared" si="17"/>
        <v>Madura</v>
      </c>
      <c r="AL57" s="784" t="str">
        <f t="shared" si="18"/>
        <v>Alta</v>
      </c>
      <c r="AM57" s="799">
        <f>IF(ISNUMBER('Base de datos Rutas'!W55),'Base de datos Rutas'!W55,"")</f>
        <v>2318.2873272484931</v>
      </c>
      <c r="AN57" s="787">
        <f>IFERROR(SUMIFS('Base de datos Rutas'!$W$6:$W$794,'Base de datos Rutas'!$C$6:$C$794,$C57)/'Base de datos Rutas'!I55,"")</f>
        <v>2318.2873272484935</v>
      </c>
      <c r="AO57" s="800">
        <f>IFERROR('Base de datos Rutas'!X55*AN57/AM57,"")</f>
        <v>0.59011623323564499</v>
      </c>
      <c r="AP57" s="800">
        <f t="shared" si="19"/>
        <v>0.40988376676435501</v>
      </c>
      <c r="AQ57" s="789">
        <f>IFERROR(INDEX('Hoja de apoyo v2'!$J$17:$J$20,MATCH($A57,'Hoja de apoyo v2'!$A$17:$A$20,0)),"")</f>
        <v>0.56799995069377007</v>
      </c>
      <c r="AR57" s="789">
        <f t="shared" si="20"/>
        <v>-0.15811618392941507</v>
      </c>
      <c r="AS57" s="784" t="str">
        <f t="shared" si="21"/>
        <v>No</v>
      </c>
      <c r="AT57" s="801">
        <f>IF(ISNUMBER('Base de datos Rutas'!CK55),'Base de datos Rutas'!CK55,"")</f>
        <v>228</v>
      </c>
      <c r="AU57" s="802">
        <f>IF(ISNUMBER('Base de datos Rutas'!CL55),'Base de datos Rutas'!CL55,"")</f>
        <v>702.54</v>
      </c>
      <c r="AV57" s="802">
        <f>IF(ISNUMBER('Base de datos Rutas'!CM55),'Base de datos Rutas'!CM55,"")</f>
        <v>474.53999999999996</v>
      </c>
      <c r="AW57" s="802">
        <f>IF(ISNUMBER('Base de datos Rutas'!CN55),'Base de datos Rutas'!CN55,"")</f>
        <v>3.49</v>
      </c>
      <c r="AX57" s="802">
        <f>IF(ISNUMBER('Base de datos Rutas'!CO55),'Base de datos Rutas'!CO55,"")</f>
        <v>9.4499999999999993</v>
      </c>
      <c r="AY57" s="802">
        <f>IF(ISNUMBER('Base de datos Rutas'!CP55),'Base de datos Rutas'!CP55,"")</f>
        <v>5.9599999999999991</v>
      </c>
      <c r="AZ57" s="802">
        <f>IF(ISNUMBER('Base de datos Rutas'!CQ55),'Base de datos Rutas'!CQ55,"")</f>
        <v>1481.48</v>
      </c>
      <c r="BA57" s="802">
        <f>IF(ISNUMBER('Base de datos Rutas'!CR55),'Base de datos Rutas'!CR55,"")</f>
        <v>285.3</v>
      </c>
      <c r="BB57" s="803">
        <f>IF(ISNUMBER('Base de datos Rutas'!CS55),'Base de datos Rutas'!CS55,"")</f>
        <v>1196.18</v>
      </c>
      <c r="BC57" s="804">
        <f t="shared" si="32"/>
        <v>0</v>
      </c>
      <c r="BD57" s="805" t="str">
        <f t="shared" si="33"/>
        <v>No saturada</v>
      </c>
      <c r="BE57" s="806">
        <f t="shared" si="34"/>
        <v>0.19257769257769258</v>
      </c>
      <c r="BF57" s="890">
        <f>IF(ISNUMBER('Base de datos Rutas'!CX55),'Base de datos Rutas'!CX55/100,"")</f>
        <v>0.89025439407955598</v>
      </c>
      <c r="BG57" s="891">
        <f>IF(ISNUMBER('Base de datos Rutas'!CZ55),'Base de datos Rutas'!CZ55/100,"")</f>
        <v>1</v>
      </c>
      <c r="BH57" s="892">
        <f>IF(ISNUMBER('Base de datos Rutas'!DA55),'Base de datos Rutas'!DA55,"")</f>
        <v>811.49792020072778</v>
      </c>
      <c r="BI57" s="893">
        <f>IF(ISNUMBER('Base de datos Rutas'!DC55),'Base de datos Rutas'!DC55,"")</f>
        <v>17.981015058747033</v>
      </c>
      <c r="BJ57" s="805" t="str">
        <f t="shared" si="35"/>
        <v>Ruta (completo)</v>
      </c>
      <c r="BK57" s="783">
        <f t="shared" si="22"/>
        <v>4</v>
      </c>
      <c r="BL57" s="797">
        <f t="shared" si="23"/>
        <v>5</v>
      </c>
      <c r="BM57" s="797">
        <f t="shared" si="24"/>
        <v>4</v>
      </c>
      <c r="BN57" s="797">
        <f t="shared" si="25"/>
        <v>4</v>
      </c>
      <c r="BO57" s="798" cm="1">
        <f t="array" ref="BO57">SUMPRODUCT(--ISNUMBER($BF57:$BI57),$BK$3:$BN$3)</f>
        <v>1</v>
      </c>
      <c r="BP57" s="831">
        <f t="shared" si="38"/>
        <v>81.25</v>
      </c>
      <c r="BQ57" s="834" t="str">
        <f t="shared" si="36"/>
        <v>Alto</v>
      </c>
      <c r="BR57" s="836">
        <f t="shared" si="27"/>
        <v>49.268269557477808</v>
      </c>
      <c r="BS57" s="836">
        <f t="shared" si="28"/>
        <v>81.25</v>
      </c>
      <c r="BT57" s="837" t="str">
        <f t="shared" si="29"/>
        <v>P1</v>
      </c>
      <c r="BU57" s="807" t="str">
        <f t="shared" si="37"/>
        <v>Con espacio</v>
      </c>
      <c r="BV57" s="807" t="str">
        <f t="shared" si="30"/>
        <v>Zona atractiva</v>
      </c>
      <c r="BW57" s="808" t="str">
        <f t="shared" si="31"/>
        <v>P1 - Ampliar cobertura</v>
      </c>
    </row>
    <row r="58" spans="1:75">
      <c r="A58" s="780" t="str">
        <f>'Base de datos Rutas'!A56</f>
        <v>Noreste</v>
      </c>
      <c r="B58" s="781" t="str">
        <f>'Base de datos Rutas'!B56</f>
        <v>Monterrey</v>
      </c>
      <c r="C58" s="781" t="str">
        <f>'Base de datos Rutas'!C56</f>
        <v>Sucursal Lincoln</v>
      </c>
      <c r="D58" s="782">
        <f>IF(ISNUMBER('Base de datos Rutas'!D56),'Base de datos Rutas'!D56,"Sin código")</f>
        <v>705308</v>
      </c>
      <c r="E58" s="783" t="str">
        <f>'Base de datos Rutas'!F56</f>
        <v>Activa</v>
      </c>
      <c r="F58" s="784" t="str">
        <f>'Base de datos Rutas'!H56</f>
        <v>Sí</v>
      </c>
      <c r="G58" s="785">
        <f>IF(ISNUMBER('Base de datos Rutas'!BE56),'Base de datos Rutas'!BE56,"")</f>
        <v>49.227586206896603</v>
      </c>
      <c r="H58" s="786">
        <f>IF(ISNUMBER('Base de datos Rutas'!BH56),'Base de datos Rutas'!BH56,"")</f>
        <v>0.59012795367516602</v>
      </c>
      <c r="I58" s="788">
        <f>IFERROR(IF(OR(NOT(ISNUMBER('Base de datos Rutas'!O56)),N('Base de datos Rutas'!BK56)=0),"",'Base de datos Rutas'!O56/('Base de datos Rutas'!L56/'Base de datos Rutas'!BK56)),"")</f>
        <v>7307.0344827586096</v>
      </c>
      <c r="J58" s="788">
        <f>IFERROR(IF(OR(NOT(ISNUMBER('Base de datos Rutas'!N56)),N('Base de datos Rutas'!BK56)=0),"",'Base de datos Rutas'!N56/('Base de datos Rutas'!L56/'Base de datos Rutas'!BK56)),"")</f>
        <v>1582.9287356321813</v>
      </c>
      <c r="K58" s="788">
        <f>IFERROR(IF(OR(NOT(ISNUMBER('Base de datos Rutas'!J56)),N('Base de datos Rutas'!BK56)=0),"",'Base de datos Rutas'!J56/('Base de datos Rutas'!L56/'Base de datos Rutas'!BK56)),"")</f>
        <v>102.69213057471249</v>
      </c>
      <c r="L58" s="788">
        <f>IFERROR(IF(OR(NOT(ISNUMBER('Base de datos Rutas'!K56)),N('Base de datos Rutas'!BK56)=0),"",'Base de datos Rutas'!K56/('Base de datos Rutas'!L56/'Base de datos Rutas'!BK56)),"")</f>
        <v>53.076562344827501</v>
      </c>
      <c r="M58" s="787">
        <f>IF(ISNUMBER('Base de datos Rutas'!AX56),'Base de datos Rutas'!AX56,"")</f>
        <v>306.04462847194702</v>
      </c>
      <c r="N58" s="790">
        <f>IFERROR(INDEX('Hoja de apoyo v2'!B$17:B$20,MATCH($A58,'Hoja de apoyo v2'!$A$17:$A$20,0)),"")</f>
        <v>63.050408855205418</v>
      </c>
      <c r="O58" s="791">
        <f>IFERROR(INDEX('Hoja de apoyo v2'!C$17:C$20,MATCH($A58,'Hoja de apoyo v2'!$A$17:$A$20,0)),"")</f>
        <v>0.7559478312655763</v>
      </c>
      <c r="P58" s="793">
        <f>IFERROR(INDEX('Hoja de apoyo v2'!D$17:D$20,MATCH($A58,'Hoja de apoyo v2'!$A$17:$A$20,0)),"")</f>
        <v>9054.9839880720647</v>
      </c>
      <c r="Q58" s="793">
        <f>IFERROR(INDEX('Hoja de apoyo v2'!E$17:E$20,MATCH($A58,'Hoja de apoyo v2'!$A$17:$A$20,0)),"")</f>
        <v>4535.7799207004691</v>
      </c>
      <c r="R58" s="793">
        <f>IFERROR(INDEX('Hoja de apoyo v2'!F$17:F$20,MATCH($A58,'Hoja de apoyo v2'!$A$17:$A$20,0)),"")</f>
        <v>260.44838236060593</v>
      </c>
      <c r="S58" s="793">
        <f>IFERROR(INDEX('Hoja de apoyo v2'!G$17:G$20,MATCH($A58,'Hoja de apoyo v2'!$A$17:$A$20,0)),"")</f>
        <v>64.772152317133859</v>
      </c>
      <c r="T58" s="792">
        <f>IFERROR(INDEX('Hoja de apoyo v2'!H$17:H$20,MATCH($A58,'Hoja de apoyo v2'!$A$17:$A$20,0)),"")</f>
        <v>389.240053528842</v>
      </c>
      <c r="U58" s="794">
        <f t="shared" si="2"/>
        <v>0.78076553508078306</v>
      </c>
      <c r="V58" s="795">
        <f t="shared" si="3"/>
        <v>0.78064640080678371</v>
      </c>
      <c r="W58" s="795">
        <f t="shared" si="4"/>
        <v>0.80696271714936307</v>
      </c>
      <c r="X58" s="843">
        <f t="shared" si="5"/>
        <v>0.34898711209686001</v>
      </c>
      <c r="Y58" s="843">
        <f t="shared" si="6"/>
        <v>0.39428976154103834</v>
      </c>
      <c r="Z58" s="843">
        <f t="shared" si="7"/>
        <v>0.81943490290328702</v>
      </c>
      <c r="AA58" s="843">
        <f t="shared" si="8"/>
        <v>0.78626191137667611</v>
      </c>
      <c r="AB58" s="796">
        <f t="shared" si="9"/>
        <v>3</v>
      </c>
      <c r="AC58" s="797">
        <f t="shared" si="10"/>
        <v>3</v>
      </c>
      <c r="AD58" s="797">
        <f t="shared" si="11"/>
        <v>3</v>
      </c>
      <c r="AE58" s="842">
        <f t="shared" si="12"/>
        <v>1</v>
      </c>
      <c r="AF58" s="842">
        <f t="shared" si="13"/>
        <v>1</v>
      </c>
      <c r="AG58" s="842">
        <f t="shared" si="14"/>
        <v>3</v>
      </c>
      <c r="AH58" s="842">
        <f t="shared" si="15"/>
        <v>3</v>
      </c>
      <c r="AI58" s="826" cm="1">
        <f t="array" ref="AI58">SUMPRODUCT(--ISNUMBER($U58:$AA58),$AB$3:$AH$3)</f>
        <v>1</v>
      </c>
      <c r="AJ58" s="829">
        <f t="shared" si="16"/>
        <v>37.32901568348305</v>
      </c>
      <c r="AK58" s="827" t="str">
        <f t="shared" si="17"/>
        <v>Inmadura</v>
      </c>
      <c r="AL58" s="784" t="str">
        <f t="shared" si="18"/>
        <v>Alta</v>
      </c>
      <c r="AM58" s="799">
        <f>IF(ISNUMBER('Base de datos Rutas'!W56),'Base de datos Rutas'!W56,"")</f>
        <v>2318.2873272484931</v>
      </c>
      <c r="AN58" s="787">
        <f>IFERROR(SUMIFS('Base de datos Rutas'!$W$6:$W$794,'Base de datos Rutas'!$C$6:$C$794,$C58)/'Base de datos Rutas'!I56,"")</f>
        <v>2318.2873272484935</v>
      </c>
      <c r="AO58" s="800">
        <f>IFERROR('Base de datos Rutas'!X56*AN58/AM58,"")</f>
        <v>0.59011623323564499</v>
      </c>
      <c r="AP58" s="800">
        <f t="shared" si="19"/>
        <v>0.40988376676435501</v>
      </c>
      <c r="AQ58" s="789">
        <f>IFERROR(INDEX('Hoja de apoyo v2'!$J$17:$J$20,MATCH($A58,'Hoja de apoyo v2'!$A$17:$A$20,0)),"")</f>
        <v>0.56799995069377007</v>
      </c>
      <c r="AR58" s="789">
        <f t="shared" si="20"/>
        <v>-0.15811618392941507</v>
      </c>
      <c r="AS58" s="784" t="str">
        <f t="shared" si="21"/>
        <v>No</v>
      </c>
      <c r="AT58" s="801">
        <f>IF(ISNUMBER('Base de datos Rutas'!CK56),'Base de datos Rutas'!CK56,"")</f>
        <v>222</v>
      </c>
      <c r="AU58" s="802">
        <f>IF(ISNUMBER('Base de datos Rutas'!CL56),'Base de datos Rutas'!CL56,"")</f>
        <v>608.22</v>
      </c>
      <c r="AV58" s="802">
        <f>IF(ISNUMBER('Base de datos Rutas'!CM56),'Base de datos Rutas'!CM56,"")</f>
        <v>386.22</v>
      </c>
      <c r="AW58" s="802">
        <f>IF(ISNUMBER('Base de datos Rutas'!CN56),'Base de datos Rutas'!CN56,"")</f>
        <v>3.83</v>
      </c>
      <c r="AX58" s="802">
        <f>IF(ISNUMBER('Base de datos Rutas'!CO56),'Base de datos Rutas'!CO56,"")</f>
        <v>9.4499999999999993</v>
      </c>
      <c r="AY58" s="802">
        <f>IF(ISNUMBER('Base de datos Rutas'!CP56),'Base de datos Rutas'!CP56,"")</f>
        <v>5.6199999999999992</v>
      </c>
      <c r="AZ58" s="802">
        <f>IF(ISNUMBER('Base de datos Rutas'!CQ56),'Base de datos Rutas'!CQ56,"")</f>
        <v>634.91999999999996</v>
      </c>
      <c r="BA58" s="802">
        <f>IF(ISNUMBER('Base de datos Rutas'!CR56),'Base de datos Rutas'!CR56,"")</f>
        <v>155.77000000000001</v>
      </c>
      <c r="BB58" s="803">
        <f>IF(ISNUMBER('Base de datos Rutas'!CS56),'Base de datos Rutas'!CS56,"")</f>
        <v>479.15</v>
      </c>
      <c r="BC58" s="804">
        <f t="shared" si="32"/>
        <v>0</v>
      </c>
      <c r="BD58" s="805" t="str">
        <f t="shared" si="33"/>
        <v>No saturada</v>
      </c>
      <c r="BE58" s="806">
        <f t="shared" si="34"/>
        <v>0.24533799533799536</v>
      </c>
      <c r="BF58" s="890">
        <f>IF(ISNUMBER('Base de datos Rutas'!CX56),'Base de datos Rutas'!CX56/100,"")</f>
        <v>0.43509231604670107</v>
      </c>
      <c r="BG58" s="891">
        <f>IF(ISNUMBER('Base de datos Rutas'!CZ56),'Base de datos Rutas'!CZ56/100,"")</f>
        <v>0.46130871572087967</v>
      </c>
      <c r="BH58" s="892">
        <f>IF(ISNUMBER('Base de datos Rutas'!DA56),'Base de datos Rutas'!DA56,"")</f>
        <v>247.29367676882597</v>
      </c>
      <c r="BI58" s="893">
        <f>IF(ISNUMBER('Base de datos Rutas'!DC56),'Base de datos Rutas'!DC56,"")</f>
        <v>5.5297376278424313</v>
      </c>
      <c r="BJ58" s="805" t="str">
        <f t="shared" si="35"/>
        <v>Ruta (completo)</v>
      </c>
      <c r="BK58" s="783">
        <f t="shared" si="22"/>
        <v>2</v>
      </c>
      <c r="BL58" s="797">
        <f t="shared" si="23"/>
        <v>2</v>
      </c>
      <c r="BM58" s="797">
        <f t="shared" si="24"/>
        <v>2</v>
      </c>
      <c r="BN58" s="797">
        <f t="shared" si="25"/>
        <v>2</v>
      </c>
      <c r="BO58" s="798" cm="1">
        <f t="array" ref="BO58">SUMPRODUCT(--ISNUMBER($BF58:$BI58),$BK$3:$BN$3)</f>
        <v>1</v>
      </c>
      <c r="BP58" s="831">
        <f t="shared" si="38"/>
        <v>25</v>
      </c>
      <c r="BQ58" s="834" t="str">
        <f t="shared" si="36"/>
        <v>Medio</v>
      </c>
      <c r="BR58" s="836">
        <f t="shared" si="27"/>
        <v>27.996761762612287</v>
      </c>
      <c r="BS58" s="836">
        <f t="shared" si="28"/>
        <v>25</v>
      </c>
      <c r="BT58" s="837" t="str">
        <f t="shared" si="29"/>
        <v>P4</v>
      </c>
      <c r="BU58" s="807" t="str">
        <f t="shared" si="37"/>
        <v>Con espacio</v>
      </c>
      <c r="BV58" s="807" t="str">
        <f t="shared" si="30"/>
        <v>Zona de bajo potencial</v>
      </c>
      <c r="BW58" s="808" t="str">
        <f t="shared" si="31"/>
        <v>P4 - Evaluar</v>
      </c>
    </row>
    <row r="59" spans="1:75">
      <c r="A59" s="780" t="str">
        <f>'Base de datos Rutas'!A57</f>
        <v>Noreste</v>
      </c>
      <c r="B59" s="781" t="str">
        <f>'Base de datos Rutas'!B57</f>
        <v>Monterrey</v>
      </c>
      <c r="C59" s="781" t="str">
        <f>'Base de datos Rutas'!C57</f>
        <v>Sucursal Lincoln</v>
      </c>
      <c r="D59" s="782">
        <f>IF(ISNUMBER('Base de datos Rutas'!D57),'Base de datos Rutas'!D57,"Sin código")</f>
        <v>705309</v>
      </c>
      <c r="E59" s="783" t="str">
        <f>'Base de datos Rutas'!F57</f>
        <v>Activa</v>
      </c>
      <c r="F59" s="784" t="str">
        <f>'Base de datos Rutas'!H57</f>
        <v>Sí</v>
      </c>
      <c r="G59" s="785">
        <f>IF(ISNUMBER('Base de datos Rutas'!BE57),'Base de datos Rutas'!BE57,"")</f>
        <v>41.89453125</v>
      </c>
      <c r="H59" s="786">
        <f>IF(ISNUMBER('Base de datos Rutas'!BH57),'Base de datos Rutas'!BH57,"")</f>
        <v>0.66965034965034997</v>
      </c>
      <c r="I59" s="788">
        <f>IFERROR(IF(OR(NOT(ISNUMBER('Base de datos Rutas'!O57)),N('Base de datos Rutas'!BK57)=0),"",'Base de datos Rutas'!O57/('Base de datos Rutas'!L57/'Base de datos Rutas'!BK57)),"")</f>
        <v>4959.8802816901525</v>
      </c>
      <c r="J59" s="788">
        <f>IFERROR(IF(OR(NOT(ISNUMBER('Base de datos Rutas'!N57)),N('Base de datos Rutas'!BK57)=0),"",'Base de datos Rutas'!N57/('Base de datos Rutas'!L57/'Base de datos Rutas'!BK57)),"")</f>
        <v>1756.4600938967178</v>
      </c>
      <c r="K59" s="788">
        <f>IFERROR(IF(OR(NOT(ISNUMBER('Base de datos Rutas'!J57)),N('Base de datos Rutas'!BK57)=0),"",'Base de datos Rutas'!J57/('Base de datos Rutas'!L57/'Base de datos Rutas'!BK57)),"")</f>
        <v>117.02471173708948</v>
      </c>
      <c r="L59" s="788">
        <f>IFERROR(IF(OR(NOT(ISNUMBER('Base de datos Rutas'!K57)),N('Base de datos Rutas'!BK57)=0),"",'Base de datos Rutas'!K57/('Base de datos Rutas'!L57/'Base de datos Rutas'!BK57)),"")</f>
        <v>35.368799715962531</v>
      </c>
      <c r="M59" s="787">
        <f>IF(ISNUMBER('Base de datos Rutas'!AX57),'Base de datos Rutas'!AX57,"")</f>
        <v>277.89049728049702</v>
      </c>
      <c r="N59" s="790">
        <f>IFERROR(INDEX('Hoja de apoyo v2'!B$17:B$20,MATCH($A59,'Hoja de apoyo v2'!$A$17:$A$20,0)),"")</f>
        <v>63.050408855205418</v>
      </c>
      <c r="O59" s="791">
        <f>IFERROR(INDEX('Hoja de apoyo v2'!C$17:C$20,MATCH($A59,'Hoja de apoyo v2'!$A$17:$A$20,0)),"")</f>
        <v>0.7559478312655763</v>
      </c>
      <c r="P59" s="793">
        <f>IFERROR(INDEX('Hoja de apoyo v2'!D$17:D$20,MATCH($A59,'Hoja de apoyo v2'!$A$17:$A$20,0)),"")</f>
        <v>9054.9839880720647</v>
      </c>
      <c r="Q59" s="793">
        <f>IFERROR(INDEX('Hoja de apoyo v2'!E$17:E$20,MATCH($A59,'Hoja de apoyo v2'!$A$17:$A$20,0)),"")</f>
        <v>4535.7799207004691</v>
      </c>
      <c r="R59" s="793">
        <f>IFERROR(INDEX('Hoja de apoyo v2'!F$17:F$20,MATCH($A59,'Hoja de apoyo v2'!$A$17:$A$20,0)),"")</f>
        <v>260.44838236060593</v>
      </c>
      <c r="S59" s="793">
        <f>IFERROR(INDEX('Hoja de apoyo v2'!G$17:G$20,MATCH($A59,'Hoja de apoyo v2'!$A$17:$A$20,0)),"")</f>
        <v>64.772152317133859</v>
      </c>
      <c r="T59" s="792">
        <f>IFERROR(INDEX('Hoja de apoyo v2'!H$17:H$20,MATCH($A59,'Hoja de apoyo v2'!$A$17:$A$20,0)),"")</f>
        <v>389.240053528842</v>
      </c>
      <c r="U59" s="794">
        <f t="shared" si="2"/>
        <v>0.66446089741004433</v>
      </c>
      <c r="V59" s="795">
        <f t="shared" si="3"/>
        <v>0.88584201442743649</v>
      </c>
      <c r="W59" s="795">
        <f t="shared" si="4"/>
        <v>0.54775141383173021</v>
      </c>
      <c r="X59" s="843">
        <f t="shared" si="5"/>
        <v>0.38724544060891392</v>
      </c>
      <c r="Y59" s="843">
        <f t="shared" si="6"/>
        <v>0.44932017114647294</v>
      </c>
      <c r="Z59" s="843">
        <f t="shared" si="7"/>
        <v>0.54604947420600991</v>
      </c>
      <c r="AA59" s="843">
        <f t="shared" si="8"/>
        <v>0.71393088856387654</v>
      </c>
      <c r="AB59" s="796">
        <f t="shared" si="9"/>
        <v>2</v>
      </c>
      <c r="AC59" s="797">
        <f t="shared" si="10"/>
        <v>3</v>
      </c>
      <c r="AD59" s="797">
        <f t="shared" si="11"/>
        <v>2</v>
      </c>
      <c r="AE59" s="842">
        <f t="shared" si="12"/>
        <v>1</v>
      </c>
      <c r="AF59" s="842">
        <f t="shared" si="13"/>
        <v>1</v>
      </c>
      <c r="AG59" s="842">
        <f t="shared" si="14"/>
        <v>2</v>
      </c>
      <c r="AH59" s="842">
        <f t="shared" si="15"/>
        <v>2</v>
      </c>
      <c r="AI59" s="826" cm="1">
        <f t="array" ref="AI59">SUMPRODUCT(--ISNUMBER($U59:$AA59),$AB$3:$AH$3)</f>
        <v>1</v>
      </c>
      <c r="AJ59" s="829">
        <f t="shared" si="16"/>
        <v>21.047413427632005</v>
      </c>
      <c r="AK59" s="827" t="str">
        <f t="shared" si="17"/>
        <v>Inmadura</v>
      </c>
      <c r="AL59" s="784" t="str">
        <f t="shared" si="18"/>
        <v>Alta</v>
      </c>
      <c r="AM59" s="799">
        <f>IF(ISNUMBER('Base de datos Rutas'!W57),'Base de datos Rutas'!W57,"")</f>
        <v>2318.2873272484931</v>
      </c>
      <c r="AN59" s="787">
        <f>IFERROR(SUMIFS('Base de datos Rutas'!$W$6:$W$794,'Base de datos Rutas'!$C$6:$C$794,$C59)/'Base de datos Rutas'!I57,"")</f>
        <v>2318.2873272484935</v>
      </c>
      <c r="AO59" s="800">
        <f>IFERROR('Base de datos Rutas'!X57*AN59/AM59,"")</f>
        <v>0.59011623323564499</v>
      </c>
      <c r="AP59" s="800">
        <f t="shared" si="19"/>
        <v>0.40988376676435501</v>
      </c>
      <c r="AQ59" s="789">
        <f>IFERROR(INDEX('Hoja de apoyo v2'!$J$17:$J$20,MATCH($A59,'Hoja de apoyo v2'!$A$17:$A$20,0)),"")</f>
        <v>0.56799995069377007</v>
      </c>
      <c r="AR59" s="789">
        <f t="shared" si="20"/>
        <v>-0.15811618392941507</v>
      </c>
      <c r="AS59" s="784" t="str">
        <f t="shared" si="21"/>
        <v>No</v>
      </c>
      <c r="AT59" s="801">
        <f>IF(ISNUMBER('Base de datos Rutas'!CK57),'Base de datos Rutas'!CK57,"")</f>
        <v>217</v>
      </c>
      <c r="AU59" s="802">
        <f>IF(ISNUMBER('Base de datos Rutas'!CL57),'Base de datos Rutas'!CL57,"")</f>
        <v>703.83</v>
      </c>
      <c r="AV59" s="802">
        <f>IF(ISNUMBER('Base de datos Rutas'!CM57),'Base de datos Rutas'!CM57,"")</f>
        <v>486.83000000000004</v>
      </c>
      <c r="AW59" s="802">
        <f>IF(ISNUMBER('Base de datos Rutas'!CN57),'Base de datos Rutas'!CN57,"")</f>
        <v>3.28</v>
      </c>
      <c r="AX59" s="802">
        <f>IF(ISNUMBER('Base de datos Rutas'!CO57),'Base de datos Rutas'!CO57,"")</f>
        <v>9.4499999999999993</v>
      </c>
      <c r="AY59" s="802">
        <f>IF(ISNUMBER('Base de datos Rutas'!CP57),'Base de datos Rutas'!CP57,"")</f>
        <v>6.17</v>
      </c>
      <c r="AZ59" s="802">
        <f>IF(ISNUMBER('Base de datos Rutas'!CQ57),'Base de datos Rutas'!CQ57,"")</f>
        <v>846.56</v>
      </c>
      <c r="BA59" s="802">
        <f>IF(ISNUMBER('Base de datos Rutas'!CR57),'Base de datos Rutas'!CR57,"")</f>
        <v>152.38999999999999</v>
      </c>
      <c r="BB59" s="803">
        <f>IF(ISNUMBER('Base de datos Rutas'!CS57),'Base de datos Rutas'!CS57,"")</f>
        <v>694.17</v>
      </c>
      <c r="BC59" s="804">
        <f t="shared" si="32"/>
        <v>0</v>
      </c>
      <c r="BD59" s="805" t="str">
        <f t="shared" si="33"/>
        <v>No saturada</v>
      </c>
      <c r="BE59" s="806">
        <f t="shared" si="34"/>
        <v>0.18001086751086751</v>
      </c>
      <c r="BF59" s="890">
        <f>IF(ISNUMBER('Base de datos Rutas'!CX57),'Base de datos Rutas'!CX57/100,"")</f>
        <v>0.86271009588268466</v>
      </c>
      <c r="BG59" s="891">
        <f>IF(ISNUMBER('Base de datos Rutas'!CZ57),'Base de datos Rutas'!CZ57/100,"")</f>
        <v>1</v>
      </c>
      <c r="BH59" s="892">
        <f>IF(ISNUMBER('Base de datos Rutas'!DA57),'Base de datos Rutas'!DA57,"")</f>
        <v>1054.6817991336111</v>
      </c>
      <c r="BI59" s="893">
        <f>IF(ISNUMBER('Base de datos Rutas'!DC57),'Base de datos Rutas'!DC57,"")</f>
        <v>23.596122326009279</v>
      </c>
      <c r="BJ59" s="805" t="str">
        <f t="shared" si="35"/>
        <v>Ruta (completo)</v>
      </c>
      <c r="BK59" s="783">
        <f t="shared" si="22"/>
        <v>4</v>
      </c>
      <c r="BL59" s="797">
        <f t="shared" si="23"/>
        <v>5</v>
      </c>
      <c r="BM59" s="797">
        <f t="shared" si="24"/>
        <v>4</v>
      </c>
      <c r="BN59" s="797">
        <f t="shared" si="25"/>
        <v>5</v>
      </c>
      <c r="BO59" s="798" cm="1">
        <f t="array" ref="BO59">SUMPRODUCT(--ISNUMBER($BF59:$BI59),$BK$3:$BN$3)</f>
        <v>1</v>
      </c>
      <c r="BP59" s="831">
        <f t="shared" si="38"/>
        <v>87.5</v>
      </c>
      <c r="BQ59" s="834" t="str">
        <f t="shared" si="36"/>
        <v>Alto</v>
      </c>
      <c r="BR59" s="836">
        <f t="shared" si="27"/>
        <v>15.785560070724003</v>
      </c>
      <c r="BS59" s="836">
        <f t="shared" si="28"/>
        <v>87.5</v>
      </c>
      <c r="BT59" s="837" t="str">
        <f t="shared" si="29"/>
        <v>P3</v>
      </c>
      <c r="BU59" s="807" t="str">
        <f t="shared" si="37"/>
        <v>Con espacio</v>
      </c>
      <c r="BV59" s="807" t="str">
        <f t="shared" si="30"/>
        <v>Zona atractiva</v>
      </c>
      <c r="BW59" s="808" t="str">
        <f t="shared" si="31"/>
        <v>P3 - Desarrollar</v>
      </c>
    </row>
    <row r="60" spans="1:75">
      <c r="A60" s="780" t="str">
        <f>'Base de datos Rutas'!A58</f>
        <v>Noreste</v>
      </c>
      <c r="B60" s="781" t="str">
        <f>'Base de datos Rutas'!B58</f>
        <v>Monterrey</v>
      </c>
      <c r="C60" s="781" t="str">
        <f>'Base de datos Rutas'!C58</f>
        <v>Sucursal Lincoln</v>
      </c>
      <c r="D60" s="782">
        <f>IF(ISNUMBER('Base de datos Rutas'!D58),'Base de datos Rutas'!D58,"Sin código")</f>
        <v>705310</v>
      </c>
      <c r="E60" s="783" t="str">
        <f>'Base de datos Rutas'!F58</f>
        <v>Activa</v>
      </c>
      <c r="F60" s="784" t="str">
        <f>'Base de datos Rutas'!H58</f>
        <v>Sí</v>
      </c>
      <c r="G60" s="785">
        <f>IF(ISNUMBER('Base de datos Rutas'!BE58),'Base de datos Rutas'!BE58,"")</f>
        <v>37.054187192118199</v>
      </c>
      <c r="H60" s="786">
        <f>IF(ISNUMBER('Base de datos Rutas'!BH58),'Base de datos Rutas'!BH58,"")</f>
        <v>0.52698750332358402</v>
      </c>
      <c r="I60" s="788">
        <f>IFERROR(IF(OR(NOT(ISNUMBER('Base de datos Rutas'!O58)),N('Base de datos Rutas'!BK58)=0),"",'Base de datos Rutas'!O58/('Base de datos Rutas'!L58/'Base de datos Rutas'!BK58)),"")</f>
        <v>7756.4625668448989</v>
      </c>
      <c r="J60" s="788">
        <f>IFERROR(IF(OR(NOT(ISNUMBER('Base de datos Rutas'!N58)),N('Base de datos Rutas'!BK58)=0),"",'Base de datos Rutas'!N58/('Base de datos Rutas'!L58/'Base de datos Rutas'!BK58)),"")</f>
        <v>1061.1684491978581</v>
      </c>
      <c r="K60" s="788">
        <f>IFERROR(IF(OR(NOT(ISNUMBER('Base de datos Rutas'!J58)),N('Base de datos Rutas'!BK58)=0),"",'Base de datos Rutas'!J58/('Base de datos Rutas'!L58/'Base de datos Rutas'!BK58)),"")</f>
        <v>75.175927272727066</v>
      </c>
      <c r="L60" s="788">
        <f>IFERROR(IF(OR(NOT(ISNUMBER('Base de datos Rutas'!K58)),N('Base de datos Rutas'!BK58)=0),"",'Base de datos Rutas'!K58/('Base de datos Rutas'!L58/'Base de datos Rutas'!BK58)),"")</f>
        <v>60.540668762031913</v>
      </c>
      <c r="M60" s="787">
        <f>IF(ISNUMBER('Base de datos Rutas'!AX58),'Base de datos Rutas'!AX58,"")</f>
        <v>415.03434314339398</v>
      </c>
      <c r="N60" s="790">
        <f>IFERROR(INDEX('Hoja de apoyo v2'!B$17:B$20,MATCH($A60,'Hoja de apoyo v2'!$A$17:$A$20,0)),"")</f>
        <v>63.050408855205418</v>
      </c>
      <c r="O60" s="791">
        <f>IFERROR(INDEX('Hoja de apoyo v2'!C$17:C$20,MATCH($A60,'Hoja de apoyo v2'!$A$17:$A$20,0)),"")</f>
        <v>0.7559478312655763</v>
      </c>
      <c r="P60" s="793">
        <f>IFERROR(INDEX('Hoja de apoyo v2'!D$17:D$20,MATCH($A60,'Hoja de apoyo v2'!$A$17:$A$20,0)),"")</f>
        <v>9054.9839880720647</v>
      </c>
      <c r="Q60" s="793">
        <f>IFERROR(INDEX('Hoja de apoyo v2'!E$17:E$20,MATCH($A60,'Hoja de apoyo v2'!$A$17:$A$20,0)),"")</f>
        <v>4535.7799207004691</v>
      </c>
      <c r="R60" s="793">
        <f>IFERROR(INDEX('Hoja de apoyo v2'!F$17:F$20,MATCH($A60,'Hoja de apoyo v2'!$A$17:$A$20,0)),"")</f>
        <v>260.44838236060593</v>
      </c>
      <c r="S60" s="793">
        <f>IFERROR(INDEX('Hoja de apoyo v2'!G$17:G$20,MATCH($A60,'Hoja de apoyo v2'!$A$17:$A$20,0)),"")</f>
        <v>64.772152317133859</v>
      </c>
      <c r="T60" s="792">
        <f>IFERROR(INDEX('Hoja de apoyo v2'!H$17:H$20,MATCH($A60,'Hoja de apoyo v2'!$A$17:$A$20,0)),"")</f>
        <v>389.240053528842</v>
      </c>
      <c r="U60" s="794">
        <f t="shared" si="2"/>
        <v>0.58769146568442943</v>
      </c>
      <c r="V60" s="795">
        <f t="shared" si="3"/>
        <v>0.69712152284546347</v>
      </c>
      <c r="W60" s="795">
        <f t="shared" si="4"/>
        <v>0.85659594506874004</v>
      </c>
      <c r="X60" s="843">
        <f t="shared" si="5"/>
        <v>0.23395501275422989</v>
      </c>
      <c r="Y60" s="843">
        <f t="shared" si="6"/>
        <v>0.28864040771288657</v>
      </c>
      <c r="Z60" s="843">
        <f t="shared" si="7"/>
        <v>0.93467125294240672</v>
      </c>
      <c r="AA60" s="843">
        <f t="shared" si="8"/>
        <v>1.0662683333349214</v>
      </c>
      <c r="AB60" s="796">
        <f t="shared" si="9"/>
        <v>2</v>
      </c>
      <c r="AC60" s="797">
        <f t="shared" si="10"/>
        <v>2</v>
      </c>
      <c r="AD60" s="797">
        <f t="shared" si="11"/>
        <v>3</v>
      </c>
      <c r="AE60" s="842">
        <f t="shared" si="12"/>
        <v>1</v>
      </c>
      <c r="AF60" s="842">
        <f t="shared" si="13"/>
        <v>1</v>
      </c>
      <c r="AG60" s="842">
        <f t="shared" si="14"/>
        <v>3</v>
      </c>
      <c r="AH60" s="842">
        <f t="shared" si="15"/>
        <v>4</v>
      </c>
      <c r="AI60" s="826" cm="1">
        <f t="array" ref="AI60">SUMPRODUCT(--ISNUMBER($U60:$AA60),$AB$3:$AH$3)</f>
        <v>1</v>
      </c>
      <c r="AJ60" s="829">
        <f t="shared" si="16"/>
        <v>32.657201759782374</v>
      </c>
      <c r="AK60" s="827" t="str">
        <f t="shared" si="17"/>
        <v>Inmadura</v>
      </c>
      <c r="AL60" s="784" t="str">
        <f t="shared" si="18"/>
        <v>Alta</v>
      </c>
      <c r="AM60" s="799">
        <f>IF(ISNUMBER('Base de datos Rutas'!W58),'Base de datos Rutas'!W58,"")</f>
        <v>2318.2873272484931</v>
      </c>
      <c r="AN60" s="787">
        <f>IFERROR(SUMIFS('Base de datos Rutas'!$W$6:$W$794,'Base de datos Rutas'!$C$6:$C$794,$C60)/'Base de datos Rutas'!I58,"")</f>
        <v>2318.2873272484935</v>
      </c>
      <c r="AO60" s="800">
        <f>IFERROR('Base de datos Rutas'!X58*AN60/AM60,"")</f>
        <v>0.59011623323564499</v>
      </c>
      <c r="AP60" s="800">
        <f t="shared" si="19"/>
        <v>0.40988376676435501</v>
      </c>
      <c r="AQ60" s="789">
        <f>IFERROR(INDEX('Hoja de apoyo v2'!$J$17:$J$20,MATCH($A60,'Hoja de apoyo v2'!$A$17:$A$20,0)),"")</f>
        <v>0.56799995069377007</v>
      </c>
      <c r="AR60" s="789">
        <f t="shared" si="20"/>
        <v>-0.15811618392941507</v>
      </c>
      <c r="AS60" s="784" t="str">
        <f t="shared" si="21"/>
        <v>No</v>
      </c>
      <c r="AT60" s="801">
        <f>IF(ISNUMBER('Base de datos Rutas'!CK58),'Base de datos Rutas'!CK58,"")</f>
        <v>173</v>
      </c>
      <c r="AU60" s="802">
        <f>IF(ISNUMBER('Base de datos Rutas'!CL58),'Base de datos Rutas'!CL58,"")</f>
        <v>577.5</v>
      </c>
      <c r="AV60" s="802">
        <f>IF(ISNUMBER('Base de datos Rutas'!CM58),'Base de datos Rutas'!CM58,"")</f>
        <v>404.5</v>
      </c>
      <c r="AW60" s="802">
        <f>IF(ISNUMBER('Base de datos Rutas'!CN58),'Base de datos Rutas'!CN58,"")</f>
        <v>3.24</v>
      </c>
      <c r="AX60" s="802">
        <f>IF(ISNUMBER('Base de datos Rutas'!CO58),'Base de datos Rutas'!CO58,"")</f>
        <v>9.4499999999999993</v>
      </c>
      <c r="AY60" s="802">
        <f>IF(ISNUMBER('Base de datos Rutas'!CP58),'Base de datos Rutas'!CP58,"")</f>
        <v>6.2099999999999991</v>
      </c>
      <c r="AZ60" s="802">
        <f>IF(ISNUMBER('Base de datos Rutas'!CQ58),'Base de datos Rutas'!CQ58,"")</f>
        <v>634.91999999999996</v>
      </c>
      <c r="BA60" s="802">
        <f>IF(ISNUMBER('Base de datos Rutas'!CR58),'Base de datos Rutas'!CR58,"")</f>
        <v>135.72</v>
      </c>
      <c r="BB60" s="803">
        <f>IF(ISNUMBER('Base de datos Rutas'!CS58),'Base de datos Rutas'!CS58,"")</f>
        <v>499.19999999999993</v>
      </c>
      <c r="BC60" s="804">
        <f t="shared" si="32"/>
        <v>0</v>
      </c>
      <c r="BD60" s="805" t="str">
        <f t="shared" si="33"/>
        <v>No saturada</v>
      </c>
      <c r="BE60" s="806">
        <f t="shared" si="34"/>
        <v>0.21375921375921378</v>
      </c>
      <c r="BF60" s="890">
        <f>IF(ISNUMBER('Base de datos Rutas'!CX58),'Base de datos Rutas'!CX58/100,"")</f>
        <v>0.4230898123324397</v>
      </c>
      <c r="BG60" s="891">
        <f>IF(ISNUMBER('Base de datos Rutas'!CZ58),'Base de datos Rutas'!CZ58/100,"")</f>
        <v>0.5586461126005362</v>
      </c>
      <c r="BH60" s="892">
        <f>IF(ISNUMBER('Base de datos Rutas'!DA58),'Base de datos Rutas'!DA58,"")</f>
        <v>1388.3744577246568</v>
      </c>
      <c r="BI60" s="893">
        <f>IF(ISNUMBER('Base de datos Rutas'!DC58),'Base de datos Rutas'!DC58,"")</f>
        <v>22.219967537258373</v>
      </c>
      <c r="BJ60" s="805" t="str">
        <f t="shared" si="35"/>
        <v>Ruta (completo)</v>
      </c>
      <c r="BK60" s="783">
        <f t="shared" si="22"/>
        <v>2</v>
      </c>
      <c r="BL60" s="797">
        <f t="shared" si="23"/>
        <v>3</v>
      </c>
      <c r="BM60" s="797">
        <f t="shared" si="24"/>
        <v>5</v>
      </c>
      <c r="BN60" s="797">
        <f t="shared" si="25"/>
        <v>4</v>
      </c>
      <c r="BO60" s="798" cm="1">
        <f t="array" ref="BO60">SUMPRODUCT(--ISNUMBER($BF60:$BI60),$BK$3:$BN$3)</f>
        <v>1</v>
      </c>
      <c r="BP60" s="831">
        <f t="shared" si="38"/>
        <v>62.5</v>
      </c>
      <c r="BQ60" s="834" t="str">
        <f t="shared" si="36"/>
        <v>Alto</v>
      </c>
      <c r="BR60" s="836">
        <f t="shared" si="27"/>
        <v>24.492901319836783</v>
      </c>
      <c r="BS60" s="836">
        <f t="shared" si="28"/>
        <v>62.5</v>
      </c>
      <c r="BT60" s="837" t="str">
        <f t="shared" si="29"/>
        <v>P3</v>
      </c>
      <c r="BU60" s="807" t="str">
        <f t="shared" si="37"/>
        <v>Con espacio</v>
      </c>
      <c r="BV60" s="807" t="str">
        <f t="shared" si="30"/>
        <v>Zona atractiva</v>
      </c>
      <c r="BW60" s="808" t="str">
        <f t="shared" si="31"/>
        <v>P3 - Desarrollar</v>
      </c>
    </row>
    <row r="61" spans="1:75">
      <c r="A61" s="780" t="str">
        <f>'Base de datos Rutas'!A59</f>
        <v>Noreste</v>
      </c>
      <c r="B61" s="781" t="str">
        <f>'Base de datos Rutas'!B59</f>
        <v>Monterrey</v>
      </c>
      <c r="C61" s="781" t="str">
        <f>'Base de datos Rutas'!C59</f>
        <v>Sucursal Lincoln</v>
      </c>
      <c r="D61" s="782">
        <f>IF(ISNUMBER('Base de datos Rutas'!D59),'Base de datos Rutas'!D59,"Sin código")</f>
        <v>705311</v>
      </c>
      <c r="E61" s="783" t="str">
        <f>'Base de datos Rutas'!F59</f>
        <v>Activa</v>
      </c>
      <c r="F61" s="784" t="str">
        <f>'Base de datos Rutas'!H59</f>
        <v>Sí</v>
      </c>
      <c r="G61" s="785">
        <f>IF(ISNUMBER('Base de datos Rutas'!BE59),'Base de datos Rutas'!BE59,"")</f>
        <v>73.533180778032005</v>
      </c>
      <c r="H61" s="786">
        <f>IF(ISNUMBER('Base de datos Rutas'!BH59),'Base de datos Rutas'!BH59,"")</f>
        <v>0.447687807306902</v>
      </c>
      <c r="I61" s="788">
        <f>IFERROR(IF(OR(NOT(ISNUMBER('Base de datos Rutas'!O59)),N('Base de datos Rutas'!BK59)=0),"",'Base de datos Rutas'!O59/('Base de datos Rutas'!L59/'Base de datos Rutas'!BK59)),"")</f>
        <v>4663.3478260869533</v>
      </c>
      <c r="J61" s="788">
        <f>IFERROR(IF(OR(NOT(ISNUMBER('Base de datos Rutas'!N59)),N('Base de datos Rutas'!BK59)=0),"",'Base de datos Rutas'!N59/('Base de datos Rutas'!L59/'Base de datos Rutas'!BK59)),"")</f>
        <v>1328.3340961098388</v>
      </c>
      <c r="K61" s="788">
        <f>IFERROR(IF(OR(NOT(ISNUMBER('Base de datos Rutas'!J59)),N('Base de datos Rutas'!BK59)=0),"",'Base de datos Rutas'!J59/('Base de datos Rutas'!L59/'Base de datos Rutas'!BK59)),"")</f>
        <v>95.588424713958744</v>
      </c>
      <c r="L61" s="788">
        <f>IFERROR(IF(OR(NOT(ISNUMBER('Base de datos Rutas'!K59)),N('Base de datos Rutas'!BK59)=0),"",'Base de datos Rutas'!K59/('Base de datos Rutas'!L59/'Base de datos Rutas'!BK59)),"")</f>
        <v>34.252419425629263</v>
      </c>
      <c r="M61" s="787">
        <f>IF(ISNUMBER('Base de datos Rutas'!AX59),'Base de datos Rutas'!AX59,"")</f>
        <v>181.92921242874999</v>
      </c>
      <c r="N61" s="790">
        <f>IFERROR(INDEX('Hoja de apoyo v2'!B$17:B$20,MATCH($A61,'Hoja de apoyo v2'!$A$17:$A$20,0)),"")</f>
        <v>63.050408855205418</v>
      </c>
      <c r="O61" s="791">
        <f>IFERROR(INDEX('Hoja de apoyo v2'!C$17:C$20,MATCH($A61,'Hoja de apoyo v2'!$A$17:$A$20,0)),"")</f>
        <v>0.7559478312655763</v>
      </c>
      <c r="P61" s="793">
        <f>IFERROR(INDEX('Hoja de apoyo v2'!D$17:D$20,MATCH($A61,'Hoja de apoyo v2'!$A$17:$A$20,0)),"")</f>
        <v>9054.9839880720647</v>
      </c>
      <c r="Q61" s="793">
        <f>IFERROR(INDEX('Hoja de apoyo v2'!E$17:E$20,MATCH($A61,'Hoja de apoyo v2'!$A$17:$A$20,0)),"")</f>
        <v>4535.7799207004691</v>
      </c>
      <c r="R61" s="793">
        <f>IFERROR(INDEX('Hoja de apoyo v2'!F$17:F$20,MATCH($A61,'Hoja de apoyo v2'!$A$17:$A$20,0)),"")</f>
        <v>260.44838236060593</v>
      </c>
      <c r="S61" s="793">
        <f>IFERROR(INDEX('Hoja de apoyo v2'!G$17:G$20,MATCH($A61,'Hoja de apoyo v2'!$A$17:$A$20,0)),"")</f>
        <v>64.772152317133859</v>
      </c>
      <c r="T61" s="792">
        <f>IFERROR(INDEX('Hoja de apoyo v2'!H$17:H$20,MATCH($A61,'Hoja de apoyo v2'!$A$17:$A$20,0)),"")</f>
        <v>389.240053528842</v>
      </c>
      <c r="U61" s="794">
        <f t="shared" si="2"/>
        <v>1.1662601736160056</v>
      </c>
      <c r="V61" s="795">
        <f t="shared" si="3"/>
        <v>0.59222050621853328</v>
      </c>
      <c r="W61" s="795">
        <f t="shared" si="4"/>
        <v>0.51500343150577421</v>
      </c>
      <c r="X61" s="843">
        <f t="shared" si="5"/>
        <v>0.29285682271478058</v>
      </c>
      <c r="Y61" s="843">
        <f t="shared" si="6"/>
        <v>0.36701485279955015</v>
      </c>
      <c r="Z61" s="843">
        <f t="shared" si="7"/>
        <v>0.52881397638177041</v>
      </c>
      <c r="AA61" s="843">
        <f t="shared" si="8"/>
        <v>0.46739591873802205</v>
      </c>
      <c r="AB61" s="796">
        <f t="shared" si="9"/>
        <v>4</v>
      </c>
      <c r="AC61" s="797">
        <f t="shared" si="10"/>
        <v>2</v>
      </c>
      <c r="AD61" s="797">
        <f t="shared" si="11"/>
        <v>2</v>
      </c>
      <c r="AE61" s="842">
        <f t="shared" si="12"/>
        <v>1</v>
      </c>
      <c r="AF61" s="842">
        <f t="shared" si="13"/>
        <v>1</v>
      </c>
      <c r="AG61" s="842">
        <f t="shared" si="14"/>
        <v>2</v>
      </c>
      <c r="AH61" s="842">
        <f t="shared" si="15"/>
        <v>1</v>
      </c>
      <c r="AI61" s="826" cm="1">
        <f t="array" ref="AI61">SUMPRODUCT(--ISNUMBER($U61:$AA61),$AB$3:$AH$3)</f>
        <v>1</v>
      </c>
      <c r="AJ61" s="829">
        <f t="shared" si="16"/>
        <v>25.487052357688466</v>
      </c>
      <c r="AK61" s="827" t="str">
        <f t="shared" si="17"/>
        <v>Inmadura</v>
      </c>
      <c r="AL61" s="784" t="str">
        <f t="shared" si="18"/>
        <v>Alta</v>
      </c>
      <c r="AM61" s="799">
        <f>IF(ISNUMBER('Base de datos Rutas'!W59),'Base de datos Rutas'!W59,"")</f>
        <v>2318.2873272484931</v>
      </c>
      <c r="AN61" s="787">
        <f>IFERROR(SUMIFS('Base de datos Rutas'!$W$6:$W$794,'Base de datos Rutas'!$C$6:$C$794,$C61)/'Base de datos Rutas'!I59,"")</f>
        <v>2318.2873272484935</v>
      </c>
      <c r="AO61" s="800">
        <f>IFERROR('Base de datos Rutas'!X59*AN61/AM61,"")</f>
        <v>0.59011623323564499</v>
      </c>
      <c r="AP61" s="800">
        <f t="shared" si="19"/>
        <v>0.40988376676435501</v>
      </c>
      <c r="AQ61" s="789">
        <f>IFERROR(INDEX('Hoja de apoyo v2'!$J$17:$J$20,MATCH($A61,'Hoja de apoyo v2'!$A$17:$A$20,0)),"")</f>
        <v>0.56799995069377007</v>
      </c>
      <c r="AR61" s="789">
        <f t="shared" si="20"/>
        <v>-0.15811618392941507</v>
      </c>
      <c r="AS61" s="784" t="str">
        <f t="shared" si="21"/>
        <v>No</v>
      </c>
      <c r="AT61" s="801">
        <f>IF(ISNUMBER('Base de datos Rutas'!CK59),'Base de datos Rutas'!CK59,"")</f>
        <v>530</v>
      </c>
      <c r="AU61" s="802">
        <f>IF(ISNUMBER('Base de datos Rutas'!CL59),'Base de datos Rutas'!CL59,"")</f>
        <v>1095.79</v>
      </c>
      <c r="AV61" s="802">
        <f>IF(ISNUMBER('Base de datos Rutas'!CM59),'Base de datos Rutas'!CM59,"")</f>
        <v>565.79</v>
      </c>
      <c r="AW61" s="802">
        <f>IF(ISNUMBER('Base de datos Rutas'!CN59),'Base de datos Rutas'!CN59,"")</f>
        <v>13.33</v>
      </c>
      <c r="AX61" s="802">
        <f>IF(ISNUMBER('Base de datos Rutas'!CO59),'Base de datos Rutas'!CO59,"")</f>
        <v>9.4499999999999993</v>
      </c>
      <c r="AY61" s="802">
        <f>IF(ISNUMBER('Base de datos Rutas'!CP59),'Base de datos Rutas'!CP59,"")</f>
        <v>-3.8800000000000008</v>
      </c>
      <c r="AZ61" s="802">
        <f>IF(ISNUMBER('Base de datos Rutas'!CQ59),'Base de datos Rutas'!CQ59,"")</f>
        <v>634.91999999999996</v>
      </c>
      <c r="BA61" s="802">
        <f>IF(ISNUMBER('Base de datos Rutas'!CR59),'Base de datos Rutas'!CR59,"")</f>
        <v>129.84</v>
      </c>
      <c r="BB61" s="803">
        <f>IF(ISNUMBER('Base de datos Rutas'!CS59),'Base de datos Rutas'!CS59,"")</f>
        <v>505.07999999999993</v>
      </c>
      <c r="BC61" s="804">
        <f t="shared" si="32"/>
        <v>1</v>
      </c>
      <c r="BD61" s="805" t="str">
        <f t="shared" si="33"/>
        <v>Saturada</v>
      </c>
      <c r="BE61" s="806">
        <f t="shared" si="34"/>
        <v>0.20449820449820452</v>
      </c>
      <c r="BF61" s="890">
        <f>IF(ISNUMBER('Base de datos Rutas'!CX59),'Base de datos Rutas'!CX59/100,"")</f>
        <v>0.45939533601197513</v>
      </c>
      <c r="BG61" s="891">
        <f>IF(ISNUMBER('Base de datos Rutas'!CZ59),'Base de datos Rutas'!CZ59/100,"")</f>
        <v>0.48168281730087448</v>
      </c>
      <c r="BH61" s="892">
        <f>IF(ISNUMBER('Base de datos Rutas'!DA59),'Base de datos Rutas'!DA59,"")</f>
        <v>242.51663334205463</v>
      </c>
      <c r="BI61" s="893">
        <f>IF(ISNUMBER('Base de datos Rutas'!DC59),'Base de datos Rutas'!DC59,"")</f>
        <v>5.6833147154782004</v>
      </c>
      <c r="BJ61" s="805" t="str">
        <f t="shared" si="35"/>
        <v>Ruta (completo)</v>
      </c>
      <c r="BK61" s="783">
        <f t="shared" si="22"/>
        <v>2</v>
      </c>
      <c r="BL61" s="797">
        <f t="shared" si="23"/>
        <v>2</v>
      </c>
      <c r="BM61" s="797">
        <f t="shared" si="24"/>
        <v>2</v>
      </c>
      <c r="BN61" s="797">
        <f t="shared" si="25"/>
        <v>2</v>
      </c>
      <c r="BO61" s="798" cm="1">
        <f t="array" ref="BO61">SUMPRODUCT(--ISNUMBER($BF61:$BI61),$BK$3:$BN$3)</f>
        <v>1</v>
      </c>
      <c r="BP61" s="831">
        <f t="shared" si="38"/>
        <v>25</v>
      </c>
      <c r="BQ61" s="834" t="str">
        <f t="shared" si="36"/>
        <v>Medio</v>
      </c>
      <c r="BR61" s="836">
        <f t="shared" si="27"/>
        <v>44.115289268266352</v>
      </c>
      <c r="BS61" s="836">
        <f t="shared" si="28"/>
        <v>25</v>
      </c>
      <c r="BT61" s="837" t="str">
        <f t="shared" si="29"/>
        <v>P2</v>
      </c>
      <c r="BU61" s="807" t="str">
        <f t="shared" si="37"/>
        <v>Al tope</v>
      </c>
      <c r="BV61" s="807" t="str">
        <f t="shared" si="30"/>
        <v>Zona de bajo potencial</v>
      </c>
      <c r="BW61" s="808" t="str">
        <f t="shared" si="31"/>
        <v>P2 - Mantener</v>
      </c>
    </row>
    <row r="62" spans="1:75">
      <c r="A62" s="780" t="str">
        <f>'Base de datos Rutas'!A60</f>
        <v>Noreste</v>
      </c>
      <c r="B62" s="781" t="str">
        <f>'Base de datos Rutas'!B60</f>
        <v>Monterrey</v>
      </c>
      <c r="C62" s="781" t="str">
        <f>'Base de datos Rutas'!C60</f>
        <v>Sucursal Lincoln</v>
      </c>
      <c r="D62" s="782">
        <f>IF(ISNUMBER('Base de datos Rutas'!D60),'Base de datos Rutas'!D60,"Sin código")</f>
        <v>705312</v>
      </c>
      <c r="E62" s="783" t="str">
        <f>'Base de datos Rutas'!F60</f>
        <v>Activa</v>
      </c>
      <c r="F62" s="784" t="str">
        <f>'Base de datos Rutas'!H60</f>
        <v>Sí</v>
      </c>
      <c r="G62" s="785">
        <f>IF(ISNUMBER('Base de datos Rutas'!BE60),'Base de datos Rutas'!BE60,"")</f>
        <v>90.282460136674302</v>
      </c>
      <c r="H62" s="786">
        <f>IF(ISNUMBER('Base de datos Rutas'!BH60),'Base de datos Rutas'!BH60,"")</f>
        <v>0.38800020184689898</v>
      </c>
      <c r="I62" s="788">
        <f>IFERROR(IF(OR(NOT(ISNUMBER('Base de datos Rutas'!O60)),N('Base de datos Rutas'!BK60)=0),"",'Base de datos Rutas'!O60/('Base de datos Rutas'!L60/'Base de datos Rutas'!BK60)),"")</f>
        <v>7255.1366742596647</v>
      </c>
      <c r="J62" s="788">
        <f>IFERROR(IF(OR(NOT(ISNUMBER('Base de datos Rutas'!N60)),N('Base de datos Rutas'!BK60)=0),"",'Base de datos Rutas'!N60/('Base de datos Rutas'!L60/'Base de datos Rutas'!BK60)),"")</f>
        <v>1999.6674259681049</v>
      </c>
      <c r="K62" s="788">
        <f>IFERROR(IF(OR(NOT(ISNUMBER('Base de datos Rutas'!J60)),N('Base de datos Rutas'!BK60)=0),"",'Base de datos Rutas'!J60/('Base de datos Rutas'!L60/'Base de datos Rutas'!BK60)),"")</f>
        <v>139.58813849658262</v>
      </c>
      <c r="L62" s="788">
        <f>IFERROR(IF(OR(NOT(ISNUMBER('Base de datos Rutas'!K60)),N('Base de datos Rutas'!BK60)=0),"",'Base de datos Rutas'!K60/('Base de datos Rutas'!L60/'Base de datos Rutas'!BK60)),"")</f>
        <v>55.034659041002158</v>
      </c>
      <c r="M62" s="787">
        <f>IF(ISNUMBER('Base de datos Rutas'!AX60),'Base de datos Rutas'!AX60,"")</f>
        <v>264.199269735987</v>
      </c>
      <c r="N62" s="790">
        <f>IFERROR(INDEX('Hoja de apoyo v2'!B$17:B$20,MATCH($A62,'Hoja de apoyo v2'!$A$17:$A$20,0)),"")</f>
        <v>63.050408855205418</v>
      </c>
      <c r="O62" s="791">
        <f>IFERROR(INDEX('Hoja de apoyo v2'!C$17:C$20,MATCH($A62,'Hoja de apoyo v2'!$A$17:$A$20,0)),"")</f>
        <v>0.7559478312655763</v>
      </c>
      <c r="P62" s="793">
        <f>IFERROR(INDEX('Hoja de apoyo v2'!D$17:D$20,MATCH($A62,'Hoja de apoyo v2'!$A$17:$A$20,0)),"")</f>
        <v>9054.9839880720647</v>
      </c>
      <c r="Q62" s="793">
        <f>IFERROR(INDEX('Hoja de apoyo v2'!E$17:E$20,MATCH($A62,'Hoja de apoyo v2'!$A$17:$A$20,0)),"")</f>
        <v>4535.7799207004691</v>
      </c>
      <c r="R62" s="793">
        <f>IFERROR(INDEX('Hoja de apoyo v2'!F$17:F$20,MATCH($A62,'Hoja de apoyo v2'!$A$17:$A$20,0)),"")</f>
        <v>260.44838236060593</v>
      </c>
      <c r="S62" s="793">
        <f>IFERROR(INDEX('Hoja de apoyo v2'!G$17:G$20,MATCH($A62,'Hoja de apoyo v2'!$A$17:$A$20,0)),"")</f>
        <v>64.772152317133859</v>
      </c>
      <c r="T62" s="792">
        <f>IFERROR(INDEX('Hoja de apoyo v2'!H$17:H$20,MATCH($A62,'Hoja de apoyo v2'!$A$17:$A$20,0)),"")</f>
        <v>389.240053528842</v>
      </c>
      <c r="U62" s="794">
        <f t="shared" si="2"/>
        <v>1.4319091941815476</v>
      </c>
      <c r="V62" s="795">
        <f t="shared" si="3"/>
        <v>0.51326319859576186</v>
      </c>
      <c r="W62" s="795">
        <f t="shared" si="4"/>
        <v>0.80123130905771889</v>
      </c>
      <c r="X62" s="843">
        <f t="shared" si="5"/>
        <v>0.44086517885093784</v>
      </c>
      <c r="Y62" s="843">
        <f t="shared" si="6"/>
        <v>0.53595317901922968</v>
      </c>
      <c r="Z62" s="843">
        <f t="shared" si="7"/>
        <v>0.84966543602788558</v>
      </c>
      <c r="AA62" s="843">
        <f t="shared" si="8"/>
        <v>0.67875663704380385</v>
      </c>
      <c r="AB62" s="796">
        <f t="shared" si="9"/>
        <v>5</v>
      </c>
      <c r="AC62" s="797">
        <f t="shared" si="10"/>
        <v>2</v>
      </c>
      <c r="AD62" s="797">
        <f t="shared" si="11"/>
        <v>3</v>
      </c>
      <c r="AE62" s="842">
        <f t="shared" si="12"/>
        <v>1</v>
      </c>
      <c r="AF62" s="842">
        <f t="shared" si="13"/>
        <v>2</v>
      </c>
      <c r="AG62" s="842">
        <f t="shared" si="14"/>
        <v>3</v>
      </c>
      <c r="AH62" s="842">
        <f t="shared" si="15"/>
        <v>2</v>
      </c>
      <c r="AI62" s="826" cm="1">
        <f t="array" ref="AI62">SUMPRODUCT(--ISNUMBER($U62:$AA62),$AB$3:$AH$3)</f>
        <v>1</v>
      </c>
      <c r="AJ62" s="829">
        <f t="shared" si="16"/>
        <v>44.694699125579298</v>
      </c>
      <c r="AK62" s="827" t="str">
        <f t="shared" si="17"/>
        <v>Inmadura</v>
      </c>
      <c r="AL62" s="784" t="str">
        <f t="shared" si="18"/>
        <v>Alta</v>
      </c>
      <c r="AM62" s="799">
        <f>IF(ISNUMBER('Base de datos Rutas'!W60),'Base de datos Rutas'!W60,"")</f>
        <v>2318.2873272484931</v>
      </c>
      <c r="AN62" s="787">
        <f>IFERROR(SUMIFS('Base de datos Rutas'!$W$6:$W$794,'Base de datos Rutas'!$C$6:$C$794,$C62)/'Base de datos Rutas'!I60,"")</f>
        <v>2318.2873272484935</v>
      </c>
      <c r="AO62" s="800">
        <f>IFERROR('Base de datos Rutas'!X60*AN62/AM62,"")</f>
        <v>0.59011623323564499</v>
      </c>
      <c r="AP62" s="800">
        <f t="shared" si="19"/>
        <v>0.40988376676435501</v>
      </c>
      <c r="AQ62" s="789">
        <f>IFERROR(INDEX('Hoja de apoyo v2'!$J$17:$J$20,MATCH($A62,'Hoja de apoyo v2'!$A$17:$A$20,0)),"")</f>
        <v>0.56799995069377007</v>
      </c>
      <c r="AR62" s="789">
        <f t="shared" si="20"/>
        <v>-0.15811618392941507</v>
      </c>
      <c r="AS62" s="784" t="str">
        <f t="shared" si="21"/>
        <v>No</v>
      </c>
      <c r="AT62" s="801">
        <f>IF(ISNUMBER('Base de datos Rutas'!CK60),'Base de datos Rutas'!CK60,"")</f>
        <v>493</v>
      </c>
      <c r="AU62" s="802">
        <f>IF(ISNUMBER('Base de datos Rutas'!CL60),'Base de datos Rutas'!CL60,"")</f>
        <v>1152.28</v>
      </c>
      <c r="AV62" s="802">
        <f>IF(ISNUMBER('Base de datos Rutas'!CM60),'Base de datos Rutas'!CM60,"")</f>
        <v>659.28</v>
      </c>
      <c r="AW62" s="802">
        <f>IF(ISNUMBER('Base de datos Rutas'!CN60),'Base de datos Rutas'!CN60,"")</f>
        <v>7.34</v>
      </c>
      <c r="AX62" s="802">
        <f>IF(ISNUMBER('Base de datos Rutas'!CO60),'Base de datos Rutas'!CO60,"")</f>
        <v>9.4499999999999993</v>
      </c>
      <c r="AY62" s="802">
        <f>IF(ISNUMBER('Base de datos Rutas'!CP60),'Base de datos Rutas'!CP60,"")</f>
        <v>2.1099999999999994</v>
      </c>
      <c r="AZ62" s="802">
        <f>IF(ISNUMBER('Base de datos Rutas'!CQ60),'Base de datos Rutas'!CQ60,"")</f>
        <v>634.91999999999996</v>
      </c>
      <c r="BA62" s="802">
        <f>IF(ISNUMBER('Base de datos Rutas'!CR60),'Base de datos Rutas'!CR60,"")</f>
        <v>194.62</v>
      </c>
      <c r="BB62" s="803">
        <f>IF(ISNUMBER('Base de datos Rutas'!CS60),'Base de datos Rutas'!CS60,"")</f>
        <v>440.29999999999995</v>
      </c>
      <c r="BC62" s="804">
        <f t="shared" si="32"/>
        <v>0</v>
      </c>
      <c r="BD62" s="805" t="str">
        <f t="shared" si="33"/>
        <v>No saturada</v>
      </c>
      <c r="BE62" s="806">
        <f t="shared" si="34"/>
        <v>0.30652680652680653</v>
      </c>
      <c r="BF62" s="890">
        <f>IF(ISNUMBER('Base de datos Rutas'!CX60),'Base de datos Rutas'!CX60/100,"")</f>
        <v>0.15956304718771427</v>
      </c>
      <c r="BG62" s="891">
        <f>IF(ISNUMBER('Base de datos Rutas'!CZ60),'Base de datos Rutas'!CZ60/100,"")</f>
        <v>0.17007670594989396</v>
      </c>
      <c r="BH62" s="892">
        <f>IF(ISNUMBER('Base de datos Rutas'!DA60),'Base de datos Rutas'!DA60,"")</f>
        <v>108.45372333676524</v>
      </c>
      <c r="BI62" s="893">
        <f>IF(ISNUMBER('Base de datos Rutas'!DC60),'Base de datos Rutas'!DC60,"")</f>
        <v>2.4936518287013221</v>
      </c>
      <c r="BJ62" s="805" t="str">
        <f t="shared" si="35"/>
        <v>Ruta (completo)</v>
      </c>
      <c r="BK62" s="783">
        <f t="shared" si="22"/>
        <v>1</v>
      </c>
      <c r="BL62" s="797">
        <f t="shared" si="23"/>
        <v>1</v>
      </c>
      <c r="BM62" s="797">
        <f t="shared" si="24"/>
        <v>1</v>
      </c>
      <c r="BN62" s="797">
        <f t="shared" si="25"/>
        <v>1</v>
      </c>
      <c r="BO62" s="798" cm="1">
        <f t="array" ref="BO62">SUMPRODUCT(--ISNUMBER($BF62:$BI62),$BK$3:$BN$3)</f>
        <v>1</v>
      </c>
      <c r="BP62" s="831">
        <f t="shared" si="38"/>
        <v>0</v>
      </c>
      <c r="BQ62" s="834" t="str">
        <f t="shared" si="36"/>
        <v>Bajo</v>
      </c>
      <c r="BR62" s="836">
        <f t="shared" si="27"/>
        <v>33.521024344184475</v>
      </c>
      <c r="BS62" s="836">
        <f t="shared" si="28"/>
        <v>0</v>
      </c>
      <c r="BT62" s="837" t="str">
        <f t="shared" si="29"/>
        <v>P2</v>
      </c>
      <c r="BU62" s="807" t="str">
        <f t="shared" si="37"/>
        <v>Con espacio</v>
      </c>
      <c r="BV62" s="807" t="str">
        <f t="shared" si="30"/>
        <v>Zona de bajo potencial</v>
      </c>
      <c r="BW62" s="808" t="str">
        <f t="shared" si="31"/>
        <v>P2 - Mantener</v>
      </c>
    </row>
    <row r="63" spans="1:75">
      <c r="A63" s="780" t="str">
        <f>'Base de datos Rutas'!A61</f>
        <v>Noreste</v>
      </c>
      <c r="B63" s="781" t="str">
        <f>'Base de datos Rutas'!B61</f>
        <v>Monterrey</v>
      </c>
      <c r="C63" s="781" t="str">
        <f>'Base de datos Rutas'!C61</f>
        <v>Sucursal Lincoln</v>
      </c>
      <c r="D63" s="782">
        <f>IF(ISNUMBER('Base de datos Rutas'!D61),'Base de datos Rutas'!D61,"Sin código")</f>
        <v>705313</v>
      </c>
      <c r="E63" s="783" t="str">
        <f>'Base de datos Rutas'!F61</f>
        <v>Activa</v>
      </c>
      <c r="F63" s="784" t="str">
        <f>'Base de datos Rutas'!H61</f>
        <v>Sí</v>
      </c>
      <c r="G63" s="785">
        <f>IF(ISNUMBER('Base de datos Rutas'!BE61),'Base de datos Rutas'!BE61,"")</f>
        <v>44.464566929133902</v>
      </c>
      <c r="H63" s="786">
        <f>IF(ISNUMBER('Base de datos Rutas'!BH61),'Base de datos Rutas'!BH61,"")</f>
        <v>0.55905790685319601</v>
      </c>
      <c r="I63" s="788">
        <f>IFERROR(IF(OR(NOT(ISNUMBER('Base de datos Rutas'!O61)),N('Base de datos Rutas'!BK61)=0),"",'Base de datos Rutas'!O61/('Base de datos Rutas'!L61/'Base de datos Rutas'!BK61)),"")</f>
        <v>7808.7236842105267</v>
      </c>
      <c r="J63" s="788">
        <f>IFERROR(IF(OR(NOT(ISNUMBER('Base de datos Rutas'!N61)),N('Base de datos Rutas'!BK61)=0),"",'Base de datos Rutas'!N61/('Base de datos Rutas'!L61/'Base de datos Rutas'!BK61)),"")</f>
        <v>1146.7842105263157</v>
      </c>
      <c r="K63" s="788">
        <f>IFERROR(IF(OR(NOT(ISNUMBER('Base de datos Rutas'!J61)),N('Base de datos Rutas'!BK61)=0),"",'Base de datos Rutas'!J61/('Base de datos Rutas'!L61/'Base de datos Rutas'!BK61)),"")</f>
        <v>79.281808421052631</v>
      </c>
      <c r="L63" s="788">
        <f>IFERROR(IF(OR(NOT(ISNUMBER('Base de datos Rutas'!K61)),N('Base de datos Rutas'!BK61)=0),"",'Base de datos Rutas'!K61/('Base de datos Rutas'!L61/'Base de datos Rutas'!BK61)),"")</f>
        <v>59.947014978947365</v>
      </c>
      <c r="M63" s="787">
        <f>IF(ISNUMBER('Base de datos Rutas'!AX61),'Base de datos Rutas'!AX61,"")</f>
        <v>312.813084842357</v>
      </c>
      <c r="N63" s="790">
        <f>IFERROR(INDEX('Hoja de apoyo v2'!B$17:B$20,MATCH($A63,'Hoja de apoyo v2'!$A$17:$A$20,0)),"")</f>
        <v>63.050408855205418</v>
      </c>
      <c r="O63" s="791">
        <f>IFERROR(INDEX('Hoja de apoyo v2'!C$17:C$20,MATCH($A63,'Hoja de apoyo v2'!$A$17:$A$20,0)),"")</f>
        <v>0.7559478312655763</v>
      </c>
      <c r="P63" s="793">
        <f>IFERROR(INDEX('Hoja de apoyo v2'!D$17:D$20,MATCH($A63,'Hoja de apoyo v2'!$A$17:$A$20,0)),"")</f>
        <v>9054.9839880720647</v>
      </c>
      <c r="Q63" s="793">
        <f>IFERROR(INDEX('Hoja de apoyo v2'!E$17:E$20,MATCH($A63,'Hoja de apoyo v2'!$A$17:$A$20,0)),"")</f>
        <v>4535.7799207004691</v>
      </c>
      <c r="R63" s="793">
        <f>IFERROR(INDEX('Hoja de apoyo v2'!F$17:F$20,MATCH($A63,'Hoja de apoyo v2'!$A$17:$A$20,0)),"")</f>
        <v>260.44838236060593</v>
      </c>
      <c r="S63" s="793">
        <f>IFERROR(INDEX('Hoja de apoyo v2'!G$17:G$20,MATCH($A63,'Hoja de apoyo v2'!$A$17:$A$20,0)),"")</f>
        <v>64.772152317133859</v>
      </c>
      <c r="T63" s="792">
        <f>IFERROR(INDEX('Hoja de apoyo v2'!H$17:H$20,MATCH($A63,'Hoja de apoyo v2'!$A$17:$A$20,0)),"")</f>
        <v>389.240053528842</v>
      </c>
      <c r="U63" s="794">
        <f t="shared" si="2"/>
        <v>0.70522249952805693</v>
      </c>
      <c r="V63" s="795">
        <f t="shared" si="3"/>
        <v>0.73954561906374494</v>
      </c>
      <c r="W63" s="795">
        <f t="shared" si="4"/>
        <v>0.86236747569038119</v>
      </c>
      <c r="X63" s="843">
        <f t="shared" si="5"/>
        <v>0.25283065549380002</v>
      </c>
      <c r="Y63" s="843">
        <f t="shared" si="6"/>
        <v>0.30440507137142575</v>
      </c>
      <c r="Z63" s="843">
        <f t="shared" si="7"/>
        <v>0.92550599037435222</v>
      </c>
      <c r="AA63" s="843">
        <f t="shared" si="8"/>
        <v>0.80365081138593075</v>
      </c>
      <c r="AB63" s="796">
        <f t="shared" si="9"/>
        <v>2</v>
      </c>
      <c r="AC63" s="797">
        <f t="shared" si="10"/>
        <v>2</v>
      </c>
      <c r="AD63" s="797">
        <f t="shared" si="11"/>
        <v>3</v>
      </c>
      <c r="AE63" s="842">
        <f t="shared" si="12"/>
        <v>1</v>
      </c>
      <c r="AF63" s="842">
        <f t="shared" si="13"/>
        <v>1</v>
      </c>
      <c r="AG63" s="842">
        <f t="shared" si="14"/>
        <v>3</v>
      </c>
      <c r="AH63" s="842">
        <f t="shared" si="15"/>
        <v>3</v>
      </c>
      <c r="AI63" s="826" cm="1">
        <f t="array" ref="AI63">SUMPRODUCT(--ISNUMBER($U63:$AA63),$AB$3:$AH$3)</f>
        <v>1</v>
      </c>
      <c r="AJ63" s="829">
        <f t="shared" si="16"/>
        <v>30.412473919455806</v>
      </c>
      <c r="AK63" s="827" t="str">
        <f t="shared" si="17"/>
        <v>Inmadura</v>
      </c>
      <c r="AL63" s="784" t="str">
        <f t="shared" si="18"/>
        <v>Alta</v>
      </c>
      <c r="AM63" s="799">
        <f>IF(ISNUMBER('Base de datos Rutas'!W61),'Base de datos Rutas'!W61,"")</f>
        <v>2318.2873272484931</v>
      </c>
      <c r="AN63" s="787">
        <f>IFERROR(SUMIFS('Base de datos Rutas'!$W$6:$W$794,'Base de datos Rutas'!$C$6:$C$794,$C63)/'Base de datos Rutas'!I61,"")</f>
        <v>2318.2873272484935</v>
      </c>
      <c r="AO63" s="800">
        <f>IFERROR('Base de datos Rutas'!X61*AN63/AM63,"")</f>
        <v>0.59011623323564499</v>
      </c>
      <c r="AP63" s="800">
        <f t="shared" si="19"/>
        <v>0.40988376676435501</v>
      </c>
      <c r="AQ63" s="789">
        <f>IFERROR(INDEX('Hoja de apoyo v2'!$J$17:$J$20,MATCH($A63,'Hoja de apoyo v2'!$A$17:$A$20,0)),"")</f>
        <v>0.56799995069377007</v>
      </c>
      <c r="AR63" s="789">
        <f t="shared" si="20"/>
        <v>-0.15811618392941507</v>
      </c>
      <c r="AS63" s="784" t="str">
        <f t="shared" si="21"/>
        <v>No</v>
      </c>
      <c r="AT63" s="801">
        <f>IF(ISNUMBER('Base de datos Rutas'!CK61),'Base de datos Rutas'!CK61,"")</f>
        <v>249</v>
      </c>
      <c r="AU63" s="802">
        <f>IF(ISNUMBER('Base de datos Rutas'!CL61),'Base de datos Rutas'!CL61,"")</f>
        <v>710.28</v>
      </c>
      <c r="AV63" s="802">
        <f>IF(ISNUMBER('Base de datos Rutas'!CM61),'Base de datos Rutas'!CM61,"")</f>
        <v>461.28</v>
      </c>
      <c r="AW63" s="802">
        <f>IF(ISNUMBER('Base de datos Rutas'!CN61),'Base de datos Rutas'!CN61,"")</f>
        <v>3.39</v>
      </c>
      <c r="AX63" s="802">
        <f>IF(ISNUMBER('Base de datos Rutas'!CO61),'Base de datos Rutas'!CO61,"")</f>
        <v>9.4499999999999993</v>
      </c>
      <c r="AY63" s="802">
        <f>IF(ISNUMBER('Base de datos Rutas'!CP61),'Base de datos Rutas'!CP61,"")</f>
        <v>6.0599999999999987</v>
      </c>
      <c r="AZ63" s="802">
        <f>IF(ISNUMBER('Base de datos Rutas'!CQ61),'Base de datos Rutas'!CQ61,"")</f>
        <v>634.91999999999996</v>
      </c>
      <c r="BA63" s="802">
        <f>IF(ISNUMBER('Base de datos Rutas'!CR61),'Base de datos Rutas'!CR61,"")</f>
        <v>139.22999999999999</v>
      </c>
      <c r="BB63" s="803">
        <f>IF(ISNUMBER('Base de datos Rutas'!CS61),'Base de datos Rutas'!CS61,"")</f>
        <v>495.68999999999994</v>
      </c>
      <c r="BC63" s="804">
        <f t="shared" si="32"/>
        <v>0</v>
      </c>
      <c r="BD63" s="805" t="str">
        <f t="shared" si="33"/>
        <v>No saturada</v>
      </c>
      <c r="BE63" s="806">
        <f t="shared" si="34"/>
        <v>0.21928746928746928</v>
      </c>
      <c r="BF63" s="890">
        <f>IF(ISNUMBER('Base de datos Rutas'!CX61),'Base de datos Rutas'!CX61/100,"")</f>
        <v>0.89604677310546454</v>
      </c>
      <c r="BG63" s="891">
        <f>IF(ISNUMBER('Base de datos Rutas'!CZ61),'Base de datos Rutas'!CZ61/100,"")</f>
        <v>0.99977512930065215</v>
      </c>
      <c r="BH63" s="892">
        <f>IF(ISNUMBER('Base de datos Rutas'!DA61),'Base de datos Rutas'!DA61,"")</f>
        <v>1402.4291707074576</v>
      </c>
      <c r="BI63" s="893">
        <f>IF(ISNUMBER('Base de datos Rutas'!DC61),'Base de datos Rutas'!DC61,"")</f>
        <v>23.165925741807722</v>
      </c>
      <c r="BJ63" s="805" t="str">
        <f t="shared" si="35"/>
        <v>Ruta (completo)</v>
      </c>
      <c r="BK63" s="783">
        <f t="shared" si="22"/>
        <v>5</v>
      </c>
      <c r="BL63" s="797">
        <f t="shared" si="23"/>
        <v>4</v>
      </c>
      <c r="BM63" s="797">
        <f t="shared" si="24"/>
        <v>5</v>
      </c>
      <c r="BN63" s="797">
        <f t="shared" si="25"/>
        <v>5</v>
      </c>
      <c r="BO63" s="798" cm="1">
        <f t="array" ref="BO63">SUMPRODUCT(--ISNUMBER($BF63:$BI63),$BK$3:$BN$3)</f>
        <v>1</v>
      </c>
      <c r="BP63" s="831">
        <f t="shared" si="38"/>
        <v>93.75</v>
      </c>
      <c r="BQ63" s="834" t="str">
        <f t="shared" si="36"/>
        <v>Alto</v>
      </c>
      <c r="BR63" s="836">
        <f t="shared" si="27"/>
        <v>22.809355439591855</v>
      </c>
      <c r="BS63" s="836">
        <f t="shared" si="28"/>
        <v>93.75</v>
      </c>
      <c r="BT63" s="837" t="str">
        <f t="shared" si="29"/>
        <v>P3</v>
      </c>
      <c r="BU63" s="807" t="str">
        <f t="shared" si="37"/>
        <v>Con espacio</v>
      </c>
      <c r="BV63" s="807" t="str">
        <f t="shared" si="30"/>
        <v>Zona atractiva</v>
      </c>
      <c r="BW63" s="808" t="str">
        <f t="shared" si="31"/>
        <v>P3 - Desarrollar</v>
      </c>
    </row>
    <row r="64" spans="1:75">
      <c r="A64" s="780" t="str">
        <f>'Base de datos Rutas'!A62</f>
        <v>Noreste</v>
      </c>
      <c r="B64" s="781" t="str">
        <f>'Base de datos Rutas'!B62</f>
        <v>Monterrey</v>
      </c>
      <c r="C64" s="781" t="str">
        <f>'Base de datos Rutas'!C62</f>
        <v>Sucursal Lincoln</v>
      </c>
      <c r="D64" s="782">
        <f>IF(ISNUMBER('Base de datos Rutas'!D62),'Base de datos Rutas'!D62,"Sin código")</f>
        <v>705314</v>
      </c>
      <c r="E64" s="783" t="str">
        <f>'Base de datos Rutas'!F62</f>
        <v>Activa</v>
      </c>
      <c r="F64" s="784" t="str">
        <f>'Base de datos Rutas'!H62</f>
        <v>Sí</v>
      </c>
      <c r="G64" s="785">
        <f>IF(ISNUMBER('Base de datos Rutas'!BE62),'Base de datos Rutas'!BE62,"")</f>
        <v>61.238532110091803</v>
      </c>
      <c r="H64" s="786">
        <f>IF(ISNUMBER('Base de datos Rutas'!BH62),'Base de datos Rutas'!BH62,"")</f>
        <v>0.34599250936329601</v>
      </c>
      <c r="I64" s="788">
        <f>IFERROR(IF(OR(NOT(ISNUMBER('Base de datos Rutas'!O62)),N('Base de datos Rutas'!BK62)=0),"",'Base de datos Rutas'!O62/('Base de datos Rutas'!L62/'Base de datos Rutas'!BK62)),"")</f>
        <v>7293.8784403669897</v>
      </c>
      <c r="J64" s="788">
        <f>IFERROR(IF(OR(NOT(ISNUMBER('Base de datos Rutas'!N62)),N('Base de datos Rutas'!BK62)=0),"",'Base de datos Rutas'!N62/('Base de datos Rutas'!L62/'Base de datos Rutas'!BK62)),"")</f>
        <v>1634.1972477064257</v>
      </c>
      <c r="K64" s="788">
        <f>IFERROR(IF(OR(NOT(ISNUMBER('Base de datos Rutas'!J62)),N('Base de datos Rutas'!BK62)=0),"",'Base de datos Rutas'!J62/('Base de datos Rutas'!L62/'Base de datos Rutas'!BK62)),"")</f>
        <v>112.03817247706448</v>
      </c>
      <c r="L64" s="788">
        <f>IFERROR(IF(OR(NOT(ISNUMBER('Base de datos Rutas'!K62)),N('Base de datos Rutas'!BK62)=0),"",'Base de datos Rutas'!K62/('Base de datos Rutas'!L62/'Base de datos Rutas'!BK62)),"")</f>
        <v>51.999172644495538</v>
      </c>
      <c r="M64" s="787">
        <f>IF(ISNUMBER('Base de datos Rutas'!AX62),'Base de datos Rutas'!AX62,"")</f>
        <v>421.07761961463501</v>
      </c>
      <c r="N64" s="790">
        <f>IFERROR(INDEX('Hoja de apoyo v2'!B$17:B$20,MATCH($A64,'Hoja de apoyo v2'!$A$17:$A$20,0)),"")</f>
        <v>63.050408855205418</v>
      </c>
      <c r="O64" s="791">
        <f>IFERROR(INDEX('Hoja de apoyo v2'!C$17:C$20,MATCH($A64,'Hoja de apoyo v2'!$A$17:$A$20,0)),"")</f>
        <v>0.7559478312655763</v>
      </c>
      <c r="P64" s="793">
        <f>IFERROR(INDEX('Hoja de apoyo v2'!D$17:D$20,MATCH($A64,'Hoja de apoyo v2'!$A$17:$A$20,0)),"")</f>
        <v>9054.9839880720647</v>
      </c>
      <c r="Q64" s="793">
        <f>IFERROR(INDEX('Hoja de apoyo v2'!E$17:E$20,MATCH($A64,'Hoja de apoyo v2'!$A$17:$A$20,0)),"")</f>
        <v>4535.7799207004691</v>
      </c>
      <c r="R64" s="793">
        <f>IFERROR(INDEX('Hoja de apoyo v2'!F$17:F$20,MATCH($A64,'Hoja de apoyo v2'!$A$17:$A$20,0)),"")</f>
        <v>260.44838236060593</v>
      </c>
      <c r="S64" s="793">
        <f>IFERROR(INDEX('Hoja de apoyo v2'!G$17:G$20,MATCH($A64,'Hoja de apoyo v2'!$A$17:$A$20,0)),"")</f>
        <v>64.772152317133859</v>
      </c>
      <c r="T64" s="792">
        <f>IFERROR(INDEX('Hoja de apoyo v2'!H$17:H$20,MATCH($A64,'Hoja de apoyo v2'!$A$17:$A$20,0)),"")</f>
        <v>389.240053528842</v>
      </c>
      <c r="U64" s="794">
        <f t="shared" si="2"/>
        <v>0.97126304526788132</v>
      </c>
      <c r="V64" s="795">
        <f t="shared" si="3"/>
        <v>0.45769363314932698</v>
      </c>
      <c r="W64" s="795">
        <f t="shared" si="4"/>
        <v>0.80550981094776741</v>
      </c>
      <c r="X64" s="843">
        <f t="shared" si="5"/>
        <v>0.36029024253320774</v>
      </c>
      <c r="Y64" s="843">
        <f t="shared" si="6"/>
        <v>0.43017419214353619</v>
      </c>
      <c r="Z64" s="843">
        <f t="shared" si="7"/>
        <v>0.80280137040838229</v>
      </c>
      <c r="AA64" s="843">
        <f t="shared" si="8"/>
        <v>1.081794167370892</v>
      </c>
      <c r="AB64" s="796">
        <f t="shared" si="9"/>
        <v>3</v>
      </c>
      <c r="AC64" s="797">
        <f t="shared" si="10"/>
        <v>1</v>
      </c>
      <c r="AD64" s="797">
        <f t="shared" si="11"/>
        <v>3</v>
      </c>
      <c r="AE64" s="842">
        <f t="shared" si="12"/>
        <v>1</v>
      </c>
      <c r="AF64" s="842">
        <f t="shared" si="13"/>
        <v>1</v>
      </c>
      <c r="AG64" s="842">
        <f t="shared" si="14"/>
        <v>3</v>
      </c>
      <c r="AH64" s="842">
        <f t="shared" si="15"/>
        <v>4</v>
      </c>
      <c r="AI64" s="826" cm="1">
        <f t="array" ref="AI64">SUMPRODUCT(--ISNUMBER($U64:$AA64),$AB$3:$AH$3)</f>
        <v>1</v>
      </c>
      <c r="AJ64" s="829">
        <f t="shared" si="16"/>
        <v>34.807932352028651</v>
      </c>
      <c r="AK64" s="827" t="str">
        <f t="shared" si="17"/>
        <v>Inmadura</v>
      </c>
      <c r="AL64" s="784" t="str">
        <f t="shared" si="18"/>
        <v>Alta</v>
      </c>
      <c r="AM64" s="799">
        <f>IF(ISNUMBER('Base de datos Rutas'!W62),'Base de datos Rutas'!W62,"")</f>
        <v>2318.2873272484931</v>
      </c>
      <c r="AN64" s="787">
        <f>IFERROR(SUMIFS('Base de datos Rutas'!$W$6:$W$794,'Base de datos Rutas'!$C$6:$C$794,$C64)/'Base de datos Rutas'!I62,"")</f>
        <v>2318.2873272484935</v>
      </c>
      <c r="AO64" s="800">
        <f>IFERROR('Base de datos Rutas'!X62*AN64/AM64,"")</f>
        <v>0.59011623323564499</v>
      </c>
      <c r="AP64" s="800">
        <f t="shared" si="19"/>
        <v>0.40988376676435501</v>
      </c>
      <c r="AQ64" s="789">
        <f>IFERROR(INDEX('Hoja de apoyo v2'!$J$17:$J$20,MATCH($A64,'Hoja de apoyo v2'!$A$17:$A$20,0)),"")</f>
        <v>0.56799995069377007</v>
      </c>
      <c r="AR64" s="789">
        <f t="shared" si="20"/>
        <v>-0.15811618392941507</v>
      </c>
      <c r="AS64" s="784" t="str">
        <f t="shared" si="21"/>
        <v>No</v>
      </c>
      <c r="AT64" s="801">
        <f>IF(ISNUMBER('Base de datos Rutas'!CK62),'Base de datos Rutas'!CK62,"")</f>
        <v>292</v>
      </c>
      <c r="AU64" s="802">
        <f>IF(ISNUMBER('Base de datos Rutas'!CL62),'Base de datos Rutas'!CL62,"")</f>
        <v>730.78</v>
      </c>
      <c r="AV64" s="802">
        <f>IF(ISNUMBER('Base de datos Rutas'!CM62),'Base de datos Rutas'!CM62,"")</f>
        <v>438.78</v>
      </c>
      <c r="AW64" s="802">
        <f>IF(ISNUMBER('Base de datos Rutas'!CN62),'Base de datos Rutas'!CN62,"")</f>
        <v>3.6</v>
      </c>
      <c r="AX64" s="802">
        <f>IF(ISNUMBER('Base de datos Rutas'!CO62),'Base de datos Rutas'!CO62,"")</f>
        <v>9.4499999999999993</v>
      </c>
      <c r="AY64" s="802">
        <f>IF(ISNUMBER('Base de datos Rutas'!CP62),'Base de datos Rutas'!CP62,"")</f>
        <v>5.85</v>
      </c>
      <c r="AZ64" s="802">
        <f>IF(ISNUMBER('Base de datos Rutas'!CQ62),'Base de datos Rutas'!CQ62,"")</f>
        <v>634.91999999999996</v>
      </c>
      <c r="BA64" s="802">
        <f>IF(ISNUMBER('Base de datos Rutas'!CR62),'Base de datos Rutas'!CR62,"")</f>
        <v>164.04</v>
      </c>
      <c r="BB64" s="803">
        <f>IF(ISNUMBER('Base de datos Rutas'!CS62),'Base de datos Rutas'!CS62,"")</f>
        <v>470.88</v>
      </c>
      <c r="BC64" s="804">
        <f t="shared" si="32"/>
        <v>0</v>
      </c>
      <c r="BD64" s="805" t="str">
        <f t="shared" si="33"/>
        <v>No saturada</v>
      </c>
      <c r="BE64" s="806">
        <f t="shared" si="34"/>
        <v>0.25836325836325835</v>
      </c>
      <c r="BF64" s="890">
        <f>IF(ISNUMBER('Base de datos Rutas'!CX62),'Base de datos Rutas'!CX62/100,"")</f>
        <v>0.87921450151057412</v>
      </c>
      <c r="BG64" s="891">
        <f>IF(ISNUMBER('Base de datos Rutas'!CZ62),'Base de datos Rutas'!CZ62/100,"")</f>
        <v>0.99972535017852238</v>
      </c>
      <c r="BH64" s="892">
        <f>IF(ISNUMBER('Base de datos Rutas'!DA62),'Base de datos Rutas'!DA62,"")</f>
        <v>1165.7681419096127</v>
      </c>
      <c r="BI64" s="893">
        <f>IF(ISNUMBER('Base de datos Rutas'!DC62),'Base de datos Rutas'!DC62,"")</f>
        <v>23.184666820269722</v>
      </c>
      <c r="BJ64" s="805" t="str">
        <f t="shared" si="35"/>
        <v>Ruta (completo)</v>
      </c>
      <c r="BK64" s="783">
        <f t="shared" si="22"/>
        <v>4</v>
      </c>
      <c r="BL64" s="797">
        <f t="shared" si="23"/>
        <v>4</v>
      </c>
      <c r="BM64" s="797">
        <f t="shared" si="24"/>
        <v>5</v>
      </c>
      <c r="BN64" s="797">
        <f t="shared" si="25"/>
        <v>5</v>
      </c>
      <c r="BO64" s="798" cm="1">
        <f t="array" ref="BO64">SUMPRODUCT(--ISNUMBER($BF64:$BI64),$BK$3:$BN$3)</f>
        <v>1</v>
      </c>
      <c r="BP64" s="831">
        <f t="shared" si="38"/>
        <v>87.5</v>
      </c>
      <c r="BQ64" s="834" t="str">
        <f t="shared" si="36"/>
        <v>Alto</v>
      </c>
      <c r="BR64" s="836">
        <f t="shared" si="27"/>
        <v>26.10594926402149</v>
      </c>
      <c r="BS64" s="836">
        <f t="shared" si="28"/>
        <v>87.5</v>
      </c>
      <c r="BT64" s="837" t="str">
        <f t="shared" si="29"/>
        <v>P3</v>
      </c>
      <c r="BU64" s="807" t="str">
        <f t="shared" si="37"/>
        <v>Con espacio</v>
      </c>
      <c r="BV64" s="807" t="str">
        <f t="shared" si="30"/>
        <v>Zona atractiva</v>
      </c>
      <c r="BW64" s="808" t="str">
        <f t="shared" si="31"/>
        <v>P3 - Desarrollar</v>
      </c>
    </row>
    <row r="65" spans="1:75">
      <c r="A65" s="780" t="str">
        <f>'Base de datos Rutas'!A63</f>
        <v>Noreste</v>
      </c>
      <c r="B65" s="781" t="str">
        <f>'Base de datos Rutas'!B63</f>
        <v>Monterrey</v>
      </c>
      <c r="C65" s="781" t="str">
        <f>'Base de datos Rutas'!C63</f>
        <v>Sucursal Lincoln</v>
      </c>
      <c r="D65" s="782">
        <f>IF(ISNUMBER('Base de datos Rutas'!D63),'Base de datos Rutas'!D63,"Sin código")</f>
        <v>705315</v>
      </c>
      <c r="E65" s="783" t="str">
        <f>'Base de datos Rutas'!F63</f>
        <v>Activa</v>
      </c>
      <c r="F65" s="784" t="str">
        <f>'Base de datos Rutas'!H63</f>
        <v>Sí</v>
      </c>
      <c r="G65" s="785">
        <f>IF(ISNUMBER('Base de datos Rutas'!BE63),'Base de datos Rutas'!BE63,"")</f>
        <v>27.789215686274499</v>
      </c>
      <c r="H65" s="786">
        <f>IF(ISNUMBER('Base de datos Rutas'!BH63),'Base de datos Rutas'!BH63,"")</f>
        <v>0.51596401481742804</v>
      </c>
      <c r="I65" s="788">
        <f>IFERROR(IF(OR(NOT(ISNUMBER('Base de datos Rutas'!O63)),N('Base de datos Rutas'!BK63)=0),"",'Base de datos Rutas'!O63/('Base de datos Rutas'!L63/'Base de datos Rutas'!BK63)),"")</f>
        <v>6918.4177215189875</v>
      </c>
      <c r="J65" s="788">
        <f>IFERROR(IF(OR(NOT(ISNUMBER('Base de datos Rutas'!N63)),N('Base de datos Rutas'!BK63)=0),"",'Base de datos Rutas'!N63/('Base de datos Rutas'!L63/'Base de datos Rutas'!BK63)),"")</f>
        <v>1307.4607594936708</v>
      </c>
      <c r="K65" s="788">
        <f>IFERROR(IF(OR(NOT(ISNUMBER('Base de datos Rutas'!J63)),N('Base de datos Rutas'!BK63)=0),"",'Base de datos Rutas'!J63/('Base de datos Rutas'!L63/'Base de datos Rutas'!BK63)),"")</f>
        <v>86.526195443037963</v>
      </c>
      <c r="L65" s="788">
        <f>IFERROR(IF(OR(NOT(ISNUMBER('Base de datos Rutas'!K63)),N('Base de datos Rutas'!BK63)=0),"",'Base de datos Rutas'!K63/('Base de datos Rutas'!L63/'Base de datos Rutas'!BK63)),"")</f>
        <v>50.725524556962029</v>
      </c>
      <c r="M65" s="787">
        <f>IF(ISNUMBER('Base de datos Rutas'!AX63),'Base de datos Rutas'!AX63,"")</f>
        <v>407.05285642758798</v>
      </c>
      <c r="N65" s="790">
        <f>IFERROR(INDEX('Hoja de apoyo v2'!B$17:B$20,MATCH($A65,'Hoja de apoyo v2'!$A$17:$A$20,0)),"")</f>
        <v>63.050408855205418</v>
      </c>
      <c r="O65" s="791">
        <f>IFERROR(INDEX('Hoja de apoyo v2'!C$17:C$20,MATCH($A65,'Hoja de apoyo v2'!$A$17:$A$20,0)),"")</f>
        <v>0.7559478312655763</v>
      </c>
      <c r="P65" s="793">
        <f>IFERROR(INDEX('Hoja de apoyo v2'!D$17:D$20,MATCH($A65,'Hoja de apoyo v2'!$A$17:$A$20,0)),"")</f>
        <v>9054.9839880720647</v>
      </c>
      <c r="Q65" s="793">
        <f>IFERROR(INDEX('Hoja de apoyo v2'!E$17:E$20,MATCH($A65,'Hoja de apoyo v2'!$A$17:$A$20,0)),"")</f>
        <v>4535.7799207004691</v>
      </c>
      <c r="R65" s="793">
        <f>IFERROR(INDEX('Hoja de apoyo v2'!F$17:F$20,MATCH($A65,'Hoja de apoyo v2'!$A$17:$A$20,0)),"")</f>
        <v>260.44838236060593</v>
      </c>
      <c r="S65" s="793">
        <f>IFERROR(INDEX('Hoja de apoyo v2'!G$17:G$20,MATCH($A65,'Hoja de apoyo v2'!$A$17:$A$20,0)),"")</f>
        <v>64.772152317133859</v>
      </c>
      <c r="T65" s="792">
        <f>IFERROR(INDEX('Hoja de apoyo v2'!H$17:H$20,MATCH($A65,'Hoja de apoyo v2'!$A$17:$A$20,0)),"")</f>
        <v>389.240053528842</v>
      </c>
      <c r="U65" s="794">
        <f t="shared" si="2"/>
        <v>0.44074600293381333</v>
      </c>
      <c r="V65" s="795">
        <f t="shared" si="3"/>
        <v>0.68253918256981128</v>
      </c>
      <c r="W65" s="795">
        <f t="shared" si="4"/>
        <v>0.76404527392124277</v>
      </c>
      <c r="X65" s="843">
        <f t="shared" si="5"/>
        <v>0.28825489383350794</v>
      </c>
      <c r="Y65" s="843">
        <f t="shared" si="6"/>
        <v>0.33222012998812722</v>
      </c>
      <c r="Z65" s="843">
        <f t="shared" si="7"/>
        <v>0.78313785696980542</v>
      </c>
      <c r="AA65" s="843">
        <f t="shared" si="8"/>
        <v>1.0457630265365949</v>
      </c>
      <c r="AB65" s="796">
        <f t="shared" si="9"/>
        <v>1</v>
      </c>
      <c r="AC65" s="797">
        <f t="shared" si="10"/>
        <v>2</v>
      </c>
      <c r="AD65" s="797">
        <f t="shared" si="11"/>
        <v>3</v>
      </c>
      <c r="AE65" s="842">
        <f t="shared" si="12"/>
        <v>1</v>
      </c>
      <c r="AF65" s="842">
        <f t="shared" si="13"/>
        <v>1</v>
      </c>
      <c r="AG65" s="842">
        <f t="shared" si="14"/>
        <v>3</v>
      </c>
      <c r="AH65" s="842">
        <f t="shared" si="15"/>
        <v>4</v>
      </c>
      <c r="AI65" s="826" cm="1">
        <f t="array" ref="AI65">SUMPRODUCT(--ISNUMBER($U65:$AA65),$AB$3:$AH$3)</f>
        <v>1</v>
      </c>
      <c r="AJ65" s="829">
        <f t="shared" si="16"/>
        <v>28.123565581645625</v>
      </c>
      <c r="AK65" s="827" t="str">
        <f t="shared" si="17"/>
        <v>Inmadura</v>
      </c>
      <c r="AL65" s="784" t="str">
        <f t="shared" si="18"/>
        <v>Alta</v>
      </c>
      <c r="AM65" s="799">
        <f>IF(ISNUMBER('Base de datos Rutas'!W63),'Base de datos Rutas'!W63,"")</f>
        <v>2318.2873272484931</v>
      </c>
      <c r="AN65" s="787">
        <f>IFERROR(SUMIFS('Base de datos Rutas'!$W$6:$W$794,'Base de datos Rutas'!$C$6:$C$794,$C65)/'Base de datos Rutas'!I63,"")</f>
        <v>2318.2873272484935</v>
      </c>
      <c r="AO65" s="800">
        <f>IFERROR('Base de datos Rutas'!X63*AN65/AM65,"")</f>
        <v>0.59011623323564499</v>
      </c>
      <c r="AP65" s="800">
        <f t="shared" si="19"/>
        <v>0.40988376676435501</v>
      </c>
      <c r="AQ65" s="789">
        <f>IFERROR(INDEX('Hoja de apoyo v2'!$J$17:$J$20,MATCH($A65,'Hoja de apoyo v2'!$A$17:$A$20,0)),"")</f>
        <v>0.56799995069377007</v>
      </c>
      <c r="AR65" s="789">
        <f t="shared" si="20"/>
        <v>-0.15811618392941507</v>
      </c>
      <c r="AS65" s="784" t="str">
        <f t="shared" si="21"/>
        <v>No</v>
      </c>
      <c r="AT65" s="801">
        <f>IF(ISNUMBER('Base de datos Rutas'!CK63),'Base de datos Rutas'!CK63,"")</f>
        <v>89</v>
      </c>
      <c r="AU65" s="802">
        <f>IF(ISNUMBER('Base de datos Rutas'!CL63),'Base de datos Rutas'!CL63,"")</f>
        <v>533.52</v>
      </c>
      <c r="AV65" s="802">
        <f>IF(ISNUMBER('Base de datos Rutas'!CM63),'Base de datos Rutas'!CM63,"")</f>
        <v>444.52</v>
      </c>
      <c r="AW65" s="802">
        <f>IF(ISNUMBER('Base de datos Rutas'!CN63),'Base de datos Rutas'!CN63,"")</f>
        <v>1.82</v>
      </c>
      <c r="AX65" s="802">
        <f>IF(ISNUMBER('Base de datos Rutas'!CO63),'Base de datos Rutas'!CO63,"")</f>
        <v>9.4499999999999993</v>
      </c>
      <c r="AY65" s="802">
        <f>IF(ISNUMBER('Base de datos Rutas'!CP63),'Base de datos Rutas'!CP63,"")</f>
        <v>7.629999999999999</v>
      </c>
      <c r="AZ65" s="802">
        <f>IF(ISNUMBER('Base de datos Rutas'!CQ63),'Base de datos Rutas'!CQ63,"")</f>
        <v>634.91999999999996</v>
      </c>
      <c r="BA65" s="802">
        <f>IF(ISNUMBER('Base de datos Rutas'!CR63),'Base de datos Rutas'!CR63,"")</f>
        <v>137.25</v>
      </c>
      <c r="BB65" s="803">
        <f>IF(ISNUMBER('Base de datos Rutas'!CS63),'Base de datos Rutas'!CS63,"")</f>
        <v>497.66999999999996</v>
      </c>
      <c r="BC65" s="804">
        <f t="shared" si="32"/>
        <v>0</v>
      </c>
      <c r="BD65" s="805" t="str">
        <f t="shared" si="33"/>
        <v>No saturada</v>
      </c>
      <c r="BE65" s="806">
        <f t="shared" si="34"/>
        <v>0.21616896616896619</v>
      </c>
      <c r="BF65" s="890">
        <f>IF(ISNUMBER('Base de datos Rutas'!CX63),'Base de datos Rutas'!CX63/100,"")</f>
        <v>0.6532605304212169</v>
      </c>
      <c r="BG65" s="891">
        <f>IF(ISNUMBER('Base de datos Rutas'!CZ63),'Base de datos Rutas'!CZ63/100,"")</f>
        <v>1</v>
      </c>
      <c r="BH65" s="892">
        <f>IF(ISNUMBER('Base de datos Rutas'!DA63),'Base de datos Rutas'!DA63,"")</f>
        <v>3003.3753156638786</v>
      </c>
      <c r="BI65" s="893">
        <f>IF(ISNUMBER('Base de datos Rutas'!DC63),'Base de datos Rutas'!DC63,"")</f>
        <v>49.790920464286543</v>
      </c>
      <c r="BJ65" s="805" t="str">
        <f t="shared" si="35"/>
        <v>Ruta (completo)</v>
      </c>
      <c r="BK65" s="783">
        <f t="shared" si="22"/>
        <v>3</v>
      </c>
      <c r="BL65" s="797">
        <f t="shared" si="23"/>
        <v>5</v>
      </c>
      <c r="BM65" s="797">
        <f t="shared" si="24"/>
        <v>5</v>
      </c>
      <c r="BN65" s="797">
        <f t="shared" si="25"/>
        <v>5</v>
      </c>
      <c r="BO65" s="798" cm="1">
        <f t="array" ref="BO65">SUMPRODUCT(--ISNUMBER($BF65:$BI65),$BK$3:$BN$3)</f>
        <v>1</v>
      </c>
      <c r="BP65" s="831">
        <f t="shared" si="38"/>
        <v>87.5</v>
      </c>
      <c r="BQ65" s="834" t="str">
        <f t="shared" si="36"/>
        <v>Alto</v>
      </c>
      <c r="BR65" s="836">
        <f t="shared" si="27"/>
        <v>21.09267418623422</v>
      </c>
      <c r="BS65" s="836">
        <f t="shared" si="28"/>
        <v>87.5</v>
      </c>
      <c r="BT65" s="837" t="str">
        <f t="shared" si="29"/>
        <v>P3</v>
      </c>
      <c r="BU65" s="807" t="str">
        <f t="shared" si="37"/>
        <v>Con espacio</v>
      </c>
      <c r="BV65" s="807" t="str">
        <f t="shared" si="30"/>
        <v>Zona atractiva</v>
      </c>
      <c r="BW65" s="808" t="str">
        <f t="shared" si="31"/>
        <v>P3 - Desarrollar</v>
      </c>
    </row>
    <row r="66" spans="1:75">
      <c r="A66" s="780" t="str">
        <f>'Base de datos Rutas'!A64</f>
        <v>Noreste</v>
      </c>
      <c r="B66" s="781" t="str">
        <f>'Base de datos Rutas'!B64</f>
        <v>Monterrey</v>
      </c>
      <c r="C66" s="781" t="str">
        <f>'Base de datos Rutas'!C64</f>
        <v>Sucursal Lincoln</v>
      </c>
      <c r="D66" s="782">
        <f>IF(ISNUMBER('Base de datos Rutas'!D64),'Base de datos Rutas'!D64,"Sin código")</f>
        <v>705316</v>
      </c>
      <c r="E66" s="783" t="str">
        <f>'Base de datos Rutas'!F64</f>
        <v>Activa</v>
      </c>
      <c r="F66" s="784" t="str">
        <f>'Base de datos Rutas'!H64</f>
        <v>Sí</v>
      </c>
      <c r="G66" s="785">
        <f>IF(ISNUMBER('Base de datos Rutas'!BE64),'Base de datos Rutas'!BE64,"")</f>
        <v>66.887096774193594</v>
      </c>
      <c r="H66" s="786">
        <f>IF(ISNUMBER('Base de datos Rutas'!BH64),'Base de datos Rutas'!BH64,"")</f>
        <v>0.229242022345471</v>
      </c>
      <c r="I66" s="788">
        <f>IFERROR(IF(OR(NOT(ISNUMBER('Base de datos Rutas'!O64)),N('Base de datos Rutas'!BK64)=0),"",'Base de datos Rutas'!O64/('Base de datos Rutas'!L64/'Base de datos Rutas'!BK64)),"")</f>
        <v>3572.5629453681631</v>
      </c>
      <c r="J66" s="788">
        <f>IFERROR(IF(OR(NOT(ISNUMBER('Base de datos Rutas'!N64)),N('Base de datos Rutas'!BK64)=0),"",'Base de datos Rutas'!N64/('Base de datos Rutas'!L64/'Base de datos Rutas'!BK64)),"")</f>
        <v>2285.3087885985697</v>
      </c>
      <c r="K66" s="788">
        <f>IFERROR(IF(OR(NOT(ISNUMBER('Base de datos Rutas'!J64)),N('Base de datos Rutas'!BK64)=0),"",'Base de datos Rutas'!J64/('Base de datos Rutas'!L64/'Base de datos Rutas'!BK64)),"")</f>
        <v>156.45814726840823</v>
      </c>
      <c r="L66" s="788">
        <f>IFERROR(IF(OR(NOT(ISNUMBER('Base de datos Rutas'!K64)),N('Base de datos Rutas'!BK64)=0),"",'Base de datos Rutas'!K64/('Base de datos Rutas'!L64/'Base de datos Rutas'!BK64)),"")</f>
        <v>25.981484638954814</v>
      </c>
      <c r="M66" s="787">
        <f>IF(ISNUMBER('Base de datos Rutas'!AX64),'Base de datos Rutas'!AX64,"")</f>
        <v>305.86110065618402</v>
      </c>
      <c r="N66" s="790">
        <f>IFERROR(INDEX('Hoja de apoyo v2'!B$17:B$20,MATCH($A66,'Hoja de apoyo v2'!$A$17:$A$20,0)),"")</f>
        <v>63.050408855205418</v>
      </c>
      <c r="O66" s="791">
        <f>IFERROR(INDEX('Hoja de apoyo v2'!C$17:C$20,MATCH($A66,'Hoja de apoyo v2'!$A$17:$A$20,0)),"")</f>
        <v>0.7559478312655763</v>
      </c>
      <c r="P66" s="793">
        <f>IFERROR(INDEX('Hoja de apoyo v2'!D$17:D$20,MATCH($A66,'Hoja de apoyo v2'!$A$17:$A$20,0)),"")</f>
        <v>9054.9839880720647</v>
      </c>
      <c r="Q66" s="793">
        <f>IFERROR(INDEX('Hoja de apoyo v2'!E$17:E$20,MATCH($A66,'Hoja de apoyo v2'!$A$17:$A$20,0)),"")</f>
        <v>4535.7799207004691</v>
      </c>
      <c r="R66" s="793">
        <f>IFERROR(INDEX('Hoja de apoyo v2'!F$17:F$20,MATCH($A66,'Hoja de apoyo v2'!$A$17:$A$20,0)),"")</f>
        <v>260.44838236060593</v>
      </c>
      <c r="S66" s="793">
        <f>IFERROR(INDEX('Hoja de apoyo v2'!G$17:G$20,MATCH($A66,'Hoja de apoyo v2'!$A$17:$A$20,0)),"")</f>
        <v>64.772152317133859</v>
      </c>
      <c r="T66" s="792">
        <f>IFERROR(INDEX('Hoja de apoyo v2'!H$17:H$20,MATCH($A66,'Hoja de apoyo v2'!$A$17:$A$20,0)),"")</f>
        <v>389.240053528842</v>
      </c>
      <c r="U66" s="794">
        <f t="shared" si="2"/>
        <v>1.0608511187897145</v>
      </c>
      <c r="V66" s="795">
        <f t="shared" si="3"/>
        <v>0.30325111451366105</v>
      </c>
      <c r="W66" s="795">
        <f t="shared" si="4"/>
        <v>0.39454105607190726</v>
      </c>
      <c r="X66" s="843">
        <f t="shared" si="5"/>
        <v>0.50384031601022761</v>
      </c>
      <c r="Y66" s="843">
        <f t="shared" si="6"/>
        <v>0.60072612411845516</v>
      </c>
      <c r="Z66" s="843">
        <f t="shared" si="7"/>
        <v>0.40112121813932777</v>
      </c>
      <c r="AA66" s="843">
        <f t="shared" si="8"/>
        <v>0.78579040847223669</v>
      </c>
      <c r="AB66" s="796">
        <f t="shared" si="9"/>
        <v>4</v>
      </c>
      <c r="AC66" s="797">
        <f t="shared" si="10"/>
        <v>1</v>
      </c>
      <c r="AD66" s="797">
        <f t="shared" si="11"/>
        <v>1</v>
      </c>
      <c r="AE66" s="842">
        <f t="shared" si="12"/>
        <v>2</v>
      </c>
      <c r="AF66" s="842">
        <f t="shared" si="13"/>
        <v>2</v>
      </c>
      <c r="AG66" s="842">
        <f t="shared" si="14"/>
        <v>1</v>
      </c>
      <c r="AH66" s="842">
        <f t="shared" si="15"/>
        <v>3</v>
      </c>
      <c r="AI66" s="826" cm="1">
        <f t="array" ref="AI66">SUMPRODUCT(--ISNUMBER($U66:$AA66),$AB$3:$AH$3)</f>
        <v>1</v>
      </c>
      <c r="AJ66" s="829">
        <f t="shared" si="16"/>
        <v>24.425856373321864</v>
      </c>
      <c r="AK66" s="827" t="str">
        <f t="shared" si="17"/>
        <v>Inmadura</v>
      </c>
      <c r="AL66" s="784" t="str">
        <f t="shared" si="18"/>
        <v>Alta</v>
      </c>
      <c r="AM66" s="799">
        <f>IF(ISNUMBER('Base de datos Rutas'!W64),'Base de datos Rutas'!W64,"")</f>
        <v>2318.2873272484931</v>
      </c>
      <c r="AN66" s="787">
        <f>IFERROR(SUMIFS('Base de datos Rutas'!$W$6:$W$794,'Base de datos Rutas'!$C$6:$C$794,$C66)/'Base de datos Rutas'!I64,"")</f>
        <v>2318.2873272484935</v>
      </c>
      <c r="AO66" s="800">
        <f>IFERROR('Base de datos Rutas'!X64*AN66/AM66,"")</f>
        <v>0.59011623323564499</v>
      </c>
      <c r="AP66" s="800">
        <f t="shared" si="19"/>
        <v>0.40988376676435501</v>
      </c>
      <c r="AQ66" s="789">
        <f>IFERROR(INDEX('Hoja de apoyo v2'!$J$17:$J$20,MATCH($A66,'Hoja de apoyo v2'!$A$17:$A$20,0)),"")</f>
        <v>0.56799995069377007</v>
      </c>
      <c r="AR66" s="789">
        <f t="shared" si="20"/>
        <v>-0.15811618392941507</v>
      </c>
      <c r="AS66" s="784" t="str">
        <f t="shared" si="21"/>
        <v>No</v>
      </c>
      <c r="AT66" s="801">
        <f>IF(ISNUMBER('Base de datos Rutas'!CK64),'Base de datos Rutas'!CK64,"")</f>
        <v>457</v>
      </c>
      <c r="AU66" s="802">
        <f>IF(ISNUMBER('Base de datos Rutas'!CL64),'Base de datos Rutas'!CL64,"")</f>
        <v>712.07</v>
      </c>
      <c r="AV66" s="802">
        <f>IF(ISNUMBER('Base de datos Rutas'!CM64),'Base de datos Rutas'!CM64,"")</f>
        <v>255.07000000000005</v>
      </c>
      <c r="AW66" s="802">
        <f>IF(ISNUMBER('Base de datos Rutas'!CN64),'Base de datos Rutas'!CN64,"")</f>
        <v>5.81</v>
      </c>
      <c r="AX66" s="802">
        <f>IF(ISNUMBER('Base de datos Rutas'!CO64),'Base de datos Rutas'!CO64,"")</f>
        <v>9.4499999999999993</v>
      </c>
      <c r="AY66" s="802">
        <f>IF(ISNUMBER('Base de datos Rutas'!CP64),'Base de datos Rutas'!CP64,"")</f>
        <v>3.6399999999999997</v>
      </c>
      <c r="AZ66" s="802">
        <f>IF(ISNUMBER('Base de datos Rutas'!CQ64),'Base de datos Rutas'!CQ64,"")</f>
        <v>634.91999999999996</v>
      </c>
      <c r="BA66" s="802">
        <f>IF(ISNUMBER('Base de datos Rutas'!CR64),'Base de datos Rutas'!CR64,"")</f>
        <v>182.44</v>
      </c>
      <c r="BB66" s="803">
        <f>IF(ISNUMBER('Base de datos Rutas'!CS64),'Base de datos Rutas'!CS64,"")</f>
        <v>452.47999999999996</v>
      </c>
      <c r="BC66" s="804">
        <f t="shared" si="32"/>
        <v>0</v>
      </c>
      <c r="BD66" s="805" t="str">
        <f t="shared" si="33"/>
        <v>No saturada</v>
      </c>
      <c r="BE66" s="806">
        <f t="shared" si="34"/>
        <v>0.28734328734328735</v>
      </c>
      <c r="BF66" s="890">
        <f>IF(ISNUMBER('Base de datos Rutas'!CX64),'Base de datos Rutas'!CX64/100,"")</f>
        <v>0.71722131814483314</v>
      </c>
      <c r="BG66" s="891">
        <f>IF(ISNUMBER('Base de datos Rutas'!CZ64),'Base de datos Rutas'!CZ64/100,"")</f>
        <v>0.82099267697314882</v>
      </c>
      <c r="BH66" s="892">
        <f>IF(ISNUMBER('Base de datos Rutas'!DA64),'Base de datos Rutas'!DA64,"")</f>
        <v>1173.9850317168373</v>
      </c>
      <c r="BI66" s="893">
        <f>IF(ISNUMBER('Base de datos Rutas'!DC64),'Base de datos Rutas'!DC64,"")</f>
        <v>38.331860217392105</v>
      </c>
      <c r="BJ66" s="805" t="str">
        <f t="shared" si="35"/>
        <v>Ruta (completo)</v>
      </c>
      <c r="BK66" s="783">
        <f t="shared" si="22"/>
        <v>4</v>
      </c>
      <c r="BL66" s="797">
        <f t="shared" si="23"/>
        <v>3</v>
      </c>
      <c r="BM66" s="797">
        <f t="shared" si="24"/>
        <v>5</v>
      </c>
      <c r="BN66" s="797">
        <f t="shared" si="25"/>
        <v>5</v>
      </c>
      <c r="BO66" s="798" cm="1">
        <f t="array" ref="BO66">SUMPRODUCT(--ISNUMBER($BF66:$BI66),$BK$3:$BN$3)</f>
        <v>1</v>
      </c>
      <c r="BP66" s="831">
        <f t="shared" si="38"/>
        <v>81.25</v>
      </c>
      <c r="BQ66" s="834" t="str">
        <f t="shared" si="36"/>
        <v>Alto</v>
      </c>
      <c r="BR66" s="836">
        <f t="shared" si="27"/>
        <v>18.319392279991398</v>
      </c>
      <c r="BS66" s="836">
        <f t="shared" si="28"/>
        <v>81.25</v>
      </c>
      <c r="BT66" s="837" t="str">
        <f t="shared" si="29"/>
        <v>P3</v>
      </c>
      <c r="BU66" s="807" t="str">
        <f t="shared" si="37"/>
        <v>Con espacio</v>
      </c>
      <c r="BV66" s="807" t="str">
        <f t="shared" si="30"/>
        <v>Zona atractiva</v>
      </c>
      <c r="BW66" s="808" t="str">
        <f t="shared" si="31"/>
        <v>P3 - Desarrollar</v>
      </c>
    </row>
    <row r="67" spans="1:75">
      <c r="A67" s="780" t="str">
        <f>'Base de datos Rutas'!A65</f>
        <v>Noreste</v>
      </c>
      <c r="B67" s="781" t="str">
        <f>'Base de datos Rutas'!B65</f>
        <v>Monterrey</v>
      </c>
      <c r="C67" s="781" t="str">
        <f>'Base de datos Rutas'!C65</f>
        <v>Sucursal Lincoln</v>
      </c>
      <c r="D67" s="782">
        <f>IF(ISNUMBER('Base de datos Rutas'!D65),'Base de datos Rutas'!D65,"Sin código")</f>
        <v>705317</v>
      </c>
      <c r="E67" s="783" t="str">
        <f>'Base de datos Rutas'!F65</f>
        <v>Activa</v>
      </c>
      <c r="F67" s="784" t="str">
        <f>'Base de datos Rutas'!H65</f>
        <v>Sí</v>
      </c>
      <c r="G67" s="785">
        <f>IF(ISNUMBER('Base de datos Rutas'!BE65),'Base de datos Rutas'!BE65,"")</f>
        <v>33.264285714285698</v>
      </c>
      <c r="H67" s="786">
        <f>IF(ISNUMBER('Base de datos Rutas'!BH65),'Base de datos Rutas'!BH65,"")</f>
        <v>0.59909813184453498</v>
      </c>
      <c r="I67" s="788">
        <f>IFERROR(IF(OR(NOT(ISNUMBER('Base de datos Rutas'!O65)),N('Base de datos Rutas'!BK65)=0),"",'Base de datos Rutas'!O65/('Base de datos Rutas'!L65/'Base de datos Rutas'!BK65)),"")</f>
        <v>8434.3527272727424</v>
      </c>
      <c r="J67" s="788">
        <f>IFERROR(IF(OR(NOT(ISNUMBER('Base de datos Rutas'!N65)),N('Base de datos Rutas'!BK65)=0),"",'Base de datos Rutas'!N65/('Base de datos Rutas'!L65/'Base de datos Rutas'!BK65)),"")</f>
        <v>1308.0145454545479</v>
      </c>
      <c r="K67" s="788">
        <f>IFERROR(IF(OR(NOT(ISNUMBER('Base de datos Rutas'!J65)),N('Base de datos Rutas'!BK65)=0),"",'Base de datos Rutas'!J65/('Base de datos Rutas'!L65/'Base de datos Rutas'!BK65)),"")</f>
        <v>90.070970181818353</v>
      </c>
      <c r="L67" s="788">
        <f>IFERROR(IF(OR(NOT(ISNUMBER('Base de datos Rutas'!K65)),N('Base de datos Rutas'!BK65)=0),"",'Base de datos Rutas'!K65/('Base de datos Rutas'!L65/'Base de datos Rutas'!BK65)),"")</f>
        <v>62.043422425454665</v>
      </c>
      <c r="M67" s="787">
        <f>IF(ISNUMBER('Base de datos Rutas'!AX65),'Base de datos Rutas'!AX65,"")</f>
        <v>336.15431242158098</v>
      </c>
      <c r="N67" s="790">
        <f>IFERROR(INDEX('Hoja de apoyo v2'!B$17:B$20,MATCH($A67,'Hoja de apoyo v2'!$A$17:$A$20,0)),"")</f>
        <v>63.050408855205418</v>
      </c>
      <c r="O67" s="791">
        <f>IFERROR(INDEX('Hoja de apoyo v2'!C$17:C$20,MATCH($A67,'Hoja de apoyo v2'!$A$17:$A$20,0)),"")</f>
        <v>0.7559478312655763</v>
      </c>
      <c r="P67" s="793">
        <f>IFERROR(INDEX('Hoja de apoyo v2'!D$17:D$20,MATCH($A67,'Hoja de apoyo v2'!$A$17:$A$20,0)),"")</f>
        <v>9054.9839880720647</v>
      </c>
      <c r="Q67" s="793">
        <f>IFERROR(INDEX('Hoja de apoyo v2'!E$17:E$20,MATCH($A67,'Hoja de apoyo v2'!$A$17:$A$20,0)),"")</f>
        <v>4535.7799207004691</v>
      </c>
      <c r="R67" s="793">
        <f>IFERROR(INDEX('Hoja de apoyo v2'!F$17:F$20,MATCH($A67,'Hoja de apoyo v2'!$A$17:$A$20,0)),"")</f>
        <v>260.44838236060593</v>
      </c>
      <c r="S67" s="793">
        <f>IFERROR(INDEX('Hoja de apoyo v2'!G$17:G$20,MATCH($A67,'Hoja de apoyo v2'!$A$17:$A$20,0)),"")</f>
        <v>64.772152317133859</v>
      </c>
      <c r="T67" s="792">
        <f>IFERROR(INDEX('Hoja de apoyo v2'!H$17:H$20,MATCH($A67,'Hoja de apoyo v2'!$A$17:$A$20,0)),"")</f>
        <v>389.240053528842</v>
      </c>
      <c r="U67" s="794">
        <f t="shared" si="2"/>
        <v>0.52758239507497517</v>
      </c>
      <c r="V67" s="795">
        <f t="shared" si="3"/>
        <v>0.79251253468318028</v>
      </c>
      <c r="W67" s="795">
        <f t="shared" si="4"/>
        <v>0.93145970643163301</v>
      </c>
      <c r="X67" s="843">
        <f t="shared" si="5"/>
        <v>0.28837698660929489</v>
      </c>
      <c r="Y67" s="843">
        <f t="shared" si="6"/>
        <v>0.34583040741297388</v>
      </c>
      <c r="Z67" s="843">
        <f t="shared" si="7"/>
        <v>0.95787186631812182</v>
      </c>
      <c r="AA67" s="843">
        <f t="shared" si="8"/>
        <v>0.86361696175409797</v>
      </c>
      <c r="AB67" s="796">
        <f t="shared" si="9"/>
        <v>2</v>
      </c>
      <c r="AC67" s="797">
        <f t="shared" si="10"/>
        <v>3</v>
      </c>
      <c r="AD67" s="797">
        <f t="shared" si="11"/>
        <v>3</v>
      </c>
      <c r="AE67" s="842">
        <f t="shared" si="12"/>
        <v>1</v>
      </c>
      <c r="AF67" s="842">
        <f t="shared" si="13"/>
        <v>1</v>
      </c>
      <c r="AG67" s="842">
        <f t="shared" si="14"/>
        <v>3</v>
      </c>
      <c r="AH67" s="842">
        <f t="shared" si="15"/>
        <v>3</v>
      </c>
      <c r="AI67" s="826" cm="1">
        <f t="array" ref="AI67">SUMPRODUCT(--ISNUMBER($U67:$AA67),$AB$3:$AH$3)</f>
        <v>1</v>
      </c>
      <c r="AJ67" s="829">
        <f t="shared" si="16"/>
        <v>32.79537950534629</v>
      </c>
      <c r="AK67" s="827" t="str">
        <f t="shared" si="17"/>
        <v>Inmadura</v>
      </c>
      <c r="AL67" s="784" t="str">
        <f t="shared" si="18"/>
        <v>Alta</v>
      </c>
      <c r="AM67" s="799">
        <f>IF(ISNUMBER('Base de datos Rutas'!W65),'Base de datos Rutas'!W65,"")</f>
        <v>2318.2873272484931</v>
      </c>
      <c r="AN67" s="787">
        <f>IFERROR(SUMIFS('Base de datos Rutas'!$W$6:$W$794,'Base de datos Rutas'!$C$6:$C$794,$C67)/'Base de datos Rutas'!I65,"")</f>
        <v>2318.2873272484935</v>
      </c>
      <c r="AO67" s="800">
        <f>IFERROR('Base de datos Rutas'!X65*AN67/AM67,"")</f>
        <v>0.59011623323564499</v>
      </c>
      <c r="AP67" s="800">
        <f t="shared" si="19"/>
        <v>0.40988376676435501</v>
      </c>
      <c r="AQ67" s="789">
        <f>IFERROR(INDEX('Hoja de apoyo v2'!$J$17:$J$20,MATCH($A67,'Hoja de apoyo v2'!$A$17:$A$20,0)),"")</f>
        <v>0.56799995069377007</v>
      </c>
      <c r="AR67" s="789">
        <f t="shared" si="20"/>
        <v>-0.15811618392941507</v>
      </c>
      <c r="AS67" s="784" t="str">
        <f t="shared" si="21"/>
        <v>No</v>
      </c>
      <c r="AT67" s="801">
        <f>IF(ISNUMBER('Base de datos Rutas'!CK65),'Base de datos Rutas'!CK65,"")</f>
        <v>152</v>
      </c>
      <c r="AU67" s="802">
        <f>IF(ISNUMBER('Base de datos Rutas'!CL65),'Base de datos Rutas'!CL65,"")</f>
        <v>290.74</v>
      </c>
      <c r="AV67" s="802">
        <f>IF(ISNUMBER('Base de datos Rutas'!CM65),'Base de datos Rutas'!CM65,"")</f>
        <v>138.74</v>
      </c>
      <c r="AW67" s="802">
        <f>IF(ISNUMBER('Base de datos Rutas'!CN65),'Base de datos Rutas'!CN65,"")</f>
        <v>3.81</v>
      </c>
      <c r="AX67" s="802">
        <f>IF(ISNUMBER('Base de datos Rutas'!CO65),'Base de datos Rutas'!CO65,"")</f>
        <v>9.4499999999999993</v>
      </c>
      <c r="AY67" s="802">
        <f>IF(ISNUMBER('Base de datos Rutas'!CP65),'Base de datos Rutas'!CP65,"")</f>
        <v>5.6399999999999988</v>
      </c>
      <c r="AZ67" s="802">
        <f>IF(ISNUMBER('Base de datos Rutas'!CQ65),'Base de datos Rutas'!CQ65,"")</f>
        <v>634.91999999999996</v>
      </c>
      <c r="BA67" s="802">
        <f>IF(ISNUMBER('Base de datos Rutas'!CR65),'Base de datos Rutas'!CR65,"")</f>
        <v>152.11000000000001</v>
      </c>
      <c r="BB67" s="803">
        <f>IF(ISNUMBER('Base de datos Rutas'!CS65),'Base de datos Rutas'!CS65,"")</f>
        <v>482.80999999999995</v>
      </c>
      <c r="BC67" s="804">
        <f t="shared" si="32"/>
        <v>0</v>
      </c>
      <c r="BD67" s="805" t="str">
        <f t="shared" si="33"/>
        <v>No saturada</v>
      </c>
      <c r="BE67" s="806">
        <f t="shared" si="34"/>
        <v>0.23957348957348962</v>
      </c>
      <c r="BF67" s="890">
        <f>IF(ISNUMBER('Base de datos Rutas'!CX65),'Base de datos Rutas'!CX65/100,"")</f>
        <v>-1.0924548829592751E-4</v>
      </c>
      <c r="BG67" s="891">
        <f>IF(ISNUMBER('Base de datos Rutas'!CZ65),'Base de datos Rutas'!CZ65/100,"")</f>
        <v>1.4468858306134122E-3</v>
      </c>
      <c r="BH67" s="892">
        <f>IF(ISNUMBER('Base de datos Rutas'!DA65),'Base de datos Rutas'!DA65,"")</f>
        <v>21.726641830842098</v>
      </c>
      <c r="BI67" s="893">
        <f>IF(ISNUMBER('Base de datos Rutas'!DC65),'Base de datos Rutas'!DC65,"")</f>
        <v>0.28529770849090896</v>
      </c>
      <c r="BJ67" s="805" t="str">
        <f t="shared" si="35"/>
        <v>Ruta (completo)</v>
      </c>
      <c r="BK67" s="783">
        <f t="shared" si="22"/>
        <v>1</v>
      </c>
      <c r="BL67" s="797">
        <f t="shared" si="23"/>
        <v>1</v>
      </c>
      <c r="BM67" s="797">
        <f t="shared" si="24"/>
        <v>1</v>
      </c>
      <c r="BN67" s="797">
        <f t="shared" si="25"/>
        <v>1</v>
      </c>
      <c r="BO67" s="798" cm="1">
        <f t="array" ref="BO67">SUMPRODUCT(--ISNUMBER($BF67:$BI67),$BK$3:$BN$3)</f>
        <v>1</v>
      </c>
      <c r="BP67" s="831">
        <f t="shared" si="38"/>
        <v>0</v>
      </c>
      <c r="BQ67" s="834" t="str">
        <f t="shared" si="36"/>
        <v>Bajo</v>
      </c>
      <c r="BR67" s="836">
        <f t="shared" si="27"/>
        <v>24.596534629009717</v>
      </c>
      <c r="BS67" s="836">
        <f t="shared" si="28"/>
        <v>0</v>
      </c>
      <c r="BT67" s="837" t="str">
        <f t="shared" si="29"/>
        <v>P4</v>
      </c>
      <c r="BU67" s="807" t="str">
        <f t="shared" si="37"/>
        <v>Con espacio</v>
      </c>
      <c r="BV67" s="807" t="str">
        <f t="shared" si="30"/>
        <v>Zona de bajo potencial</v>
      </c>
      <c r="BW67" s="808" t="str">
        <f t="shared" si="31"/>
        <v>P4 - Evaluar</v>
      </c>
    </row>
    <row r="68" spans="1:75">
      <c r="A68" s="780" t="str">
        <f>'Base de datos Rutas'!A66</f>
        <v>Noreste</v>
      </c>
      <c r="B68" s="781" t="str">
        <f>'Base de datos Rutas'!B66</f>
        <v>Monterrey</v>
      </c>
      <c r="C68" s="781" t="str">
        <f>'Base de datos Rutas'!C66</f>
        <v>Sucursal Lincoln</v>
      </c>
      <c r="D68" s="782">
        <f>IF(ISNUMBER('Base de datos Rutas'!D66),'Base de datos Rutas'!D66,"Sin código")</f>
        <v>705318</v>
      </c>
      <c r="E68" s="783" t="str">
        <f>'Base de datos Rutas'!F66</f>
        <v>Activa</v>
      </c>
      <c r="F68" s="784" t="str">
        <f>'Base de datos Rutas'!H66</f>
        <v>Sí</v>
      </c>
      <c r="G68" s="785">
        <f>IF(ISNUMBER('Base de datos Rutas'!BE66),'Base de datos Rutas'!BE66,"")</f>
        <v>57.141876430205997</v>
      </c>
      <c r="H68" s="786">
        <f>IF(ISNUMBER('Base de datos Rutas'!BH66),'Base de datos Rutas'!BH66,"")</f>
        <v>0.64538865083496899</v>
      </c>
      <c r="I68" s="788">
        <f>IFERROR(IF(OR(NOT(ISNUMBER('Base de datos Rutas'!O66)),N('Base de datos Rutas'!BK66)=0),"",'Base de datos Rutas'!O66/('Base de datos Rutas'!L66/'Base de datos Rutas'!BK66)),"")</f>
        <v>8907.6064073226498</v>
      </c>
      <c r="J68" s="788">
        <f>IFERROR(IF(OR(NOT(ISNUMBER('Base de datos Rutas'!N66)),N('Base de datos Rutas'!BK66)=0),"",'Base de datos Rutas'!N66/('Base de datos Rutas'!L66/'Base de datos Rutas'!BK66)),"")</f>
        <v>2010.3180778032026</v>
      </c>
      <c r="K68" s="788">
        <f>IFERROR(IF(OR(NOT(ISNUMBER('Base de datos Rutas'!J66)),N('Base de datos Rutas'!BK66)=0),"",'Base de datos Rutas'!J66/('Base de datos Rutas'!L66/'Base de datos Rutas'!BK66)),"")</f>
        <v>137.9458892448512</v>
      </c>
      <c r="L68" s="788">
        <f>IFERROR(IF(OR(NOT(ISNUMBER('Base de datos Rutas'!K66)),N('Base de datos Rutas'!BK66)=0),"",'Base de datos Rutas'!K66/('Base de datos Rutas'!L66/'Base de datos Rutas'!BK66)),"")</f>
        <v>73.887659082379827</v>
      </c>
      <c r="M68" s="787">
        <f>IF(ISNUMBER('Base de datos Rutas'!AX66),'Base de datos Rutas'!AX66,"")</f>
        <v>296.04944092826997</v>
      </c>
      <c r="N68" s="790">
        <f>IFERROR(INDEX('Hoja de apoyo v2'!B$17:B$20,MATCH($A68,'Hoja de apoyo v2'!$A$17:$A$20,0)),"")</f>
        <v>63.050408855205418</v>
      </c>
      <c r="O68" s="791">
        <f>IFERROR(INDEX('Hoja de apoyo v2'!C$17:C$20,MATCH($A68,'Hoja de apoyo v2'!$A$17:$A$20,0)),"")</f>
        <v>0.7559478312655763</v>
      </c>
      <c r="P68" s="793">
        <f>IFERROR(INDEX('Hoja de apoyo v2'!D$17:D$20,MATCH($A68,'Hoja de apoyo v2'!$A$17:$A$20,0)),"")</f>
        <v>9054.9839880720647</v>
      </c>
      <c r="Q68" s="793">
        <f>IFERROR(INDEX('Hoja de apoyo v2'!E$17:E$20,MATCH($A68,'Hoja de apoyo v2'!$A$17:$A$20,0)),"")</f>
        <v>4535.7799207004691</v>
      </c>
      <c r="R68" s="793">
        <f>IFERROR(INDEX('Hoja de apoyo v2'!F$17:F$20,MATCH($A68,'Hoja de apoyo v2'!$A$17:$A$20,0)),"")</f>
        <v>260.44838236060593</v>
      </c>
      <c r="S68" s="793">
        <f>IFERROR(INDEX('Hoja de apoyo v2'!G$17:G$20,MATCH($A68,'Hoja de apoyo v2'!$A$17:$A$20,0)),"")</f>
        <v>64.772152317133859</v>
      </c>
      <c r="T68" s="792">
        <f>IFERROR(INDEX('Hoja de apoyo v2'!H$17:H$20,MATCH($A68,'Hoja de apoyo v2'!$A$17:$A$20,0)),"")</f>
        <v>389.240053528842</v>
      </c>
      <c r="U68" s="794">
        <f t="shared" si="2"/>
        <v>0.90628875320113622</v>
      </c>
      <c r="V68" s="795">
        <f t="shared" si="3"/>
        <v>0.8537476055119918</v>
      </c>
      <c r="W68" s="795">
        <f t="shared" si="4"/>
        <v>0.98372414783465634</v>
      </c>
      <c r="X68" s="843">
        <f t="shared" si="5"/>
        <v>0.44321332007941544</v>
      </c>
      <c r="Y68" s="843">
        <f t="shared" si="6"/>
        <v>0.52964770982473253</v>
      </c>
      <c r="Z68" s="843">
        <f t="shared" si="7"/>
        <v>1.1407318799692672</v>
      </c>
      <c r="AA68" s="843">
        <f t="shared" si="8"/>
        <v>0.76058318830318739</v>
      </c>
      <c r="AB68" s="796">
        <f t="shared" si="9"/>
        <v>3</v>
      </c>
      <c r="AC68" s="797">
        <f t="shared" si="10"/>
        <v>3</v>
      </c>
      <c r="AD68" s="797">
        <f t="shared" si="11"/>
        <v>3</v>
      </c>
      <c r="AE68" s="842">
        <f t="shared" si="12"/>
        <v>1</v>
      </c>
      <c r="AF68" s="842">
        <f t="shared" si="13"/>
        <v>2</v>
      </c>
      <c r="AG68" s="842">
        <f t="shared" si="14"/>
        <v>4</v>
      </c>
      <c r="AH68" s="842">
        <f t="shared" si="15"/>
        <v>3</v>
      </c>
      <c r="AI68" s="826" cm="1">
        <f t="array" ref="AI68">SUMPRODUCT(--ISNUMBER($U68:$AA68),$AB$3:$AH$3)</f>
        <v>1</v>
      </c>
      <c r="AJ68" s="829">
        <f t="shared" si="16"/>
        <v>44.644126963582529</v>
      </c>
      <c r="AK68" s="827" t="str">
        <f t="shared" si="17"/>
        <v>Inmadura</v>
      </c>
      <c r="AL68" s="784" t="str">
        <f t="shared" si="18"/>
        <v>Alta</v>
      </c>
      <c r="AM68" s="799">
        <f>IF(ISNUMBER('Base de datos Rutas'!W66),'Base de datos Rutas'!W66,"")</f>
        <v>2318.2873272484931</v>
      </c>
      <c r="AN68" s="787">
        <f>IFERROR(SUMIFS('Base de datos Rutas'!$W$6:$W$794,'Base de datos Rutas'!$C$6:$C$794,$C68)/'Base de datos Rutas'!I66,"")</f>
        <v>2318.2873272484935</v>
      </c>
      <c r="AO68" s="800">
        <f>IFERROR('Base de datos Rutas'!X66*AN68/AM68,"")</f>
        <v>0.59011623323564499</v>
      </c>
      <c r="AP68" s="800">
        <f t="shared" si="19"/>
        <v>0.40988376676435501</v>
      </c>
      <c r="AQ68" s="789">
        <f>IFERROR(INDEX('Hoja de apoyo v2'!$J$17:$J$20,MATCH($A68,'Hoja de apoyo v2'!$A$17:$A$20,0)),"")</f>
        <v>0.56799995069377007</v>
      </c>
      <c r="AR68" s="789">
        <f t="shared" si="20"/>
        <v>-0.15811618392941507</v>
      </c>
      <c r="AS68" s="784" t="str">
        <f t="shared" si="21"/>
        <v>No</v>
      </c>
      <c r="AT68" s="801">
        <f>IF(ISNUMBER('Base de datos Rutas'!CK66),'Base de datos Rutas'!CK66,"")</f>
        <v>151</v>
      </c>
      <c r="AU68" s="802">
        <f>IF(ISNUMBER('Base de datos Rutas'!CL66),'Base de datos Rutas'!CL66,"")</f>
        <v>380.51</v>
      </c>
      <c r="AV68" s="802">
        <f>IF(ISNUMBER('Base de datos Rutas'!CM66),'Base de datos Rutas'!CM66,"")</f>
        <v>229.51</v>
      </c>
      <c r="AW68" s="802">
        <f>IF(ISNUMBER('Base de datos Rutas'!CN66),'Base de datos Rutas'!CN66,"")</f>
        <v>4</v>
      </c>
      <c r="AX68" s="802">
        <f>IF(ISNUMBER('Base de datos Rutas'!CO66),'Base de datos Rutas'!CO66,"")</f>
        <v>9.4499999999999993</v>
      </c>
      <c r="AY68" s="802">
        <f>IF(ISNUMBER('Base de datos Rutas'!CP66),'Base de datos Rutas'!CP66,"")</f>
        <v>5.4499999999999993</v>
      </c>
      <c r="AZ68" s="802">
        <f>IF(ISNUMBER('Base de datos Rutas'!CQ66),'Base de datos Rutas'!CQ66,"")</f>
        <v>846.56</v>
      </c>
      <c r="BA68" s="802">
        <f>IF(ISNUMBER('Base de datos Rutas'!CR66),'Base de datos Rutas'!CR66,"")</f>
        <v>211.83</v>
      </c>
      <c r="BB68" s="803">
        <f>IF(ISNUMBER('Base de datos Rutas'!CS66),'Base de datos Rutas'!CS66,"")</f>
        <v>634.7299999999999</v>
      </c>
      <c r="BC68" s="804">
        <f t="shared" si="32"/>
        <v>0</v>
      </c>
      <c r="BD68" s="805" t="str">
        <f t="shared" si="33"/>
        <v>No saturada</v>
      </c>
      <c r="BE68" s="806">
        <f t="shared" si="34"/>
        <v>0.25022443772443775</v>
      </c>
      <c r="BF68" s="890">
        <f>IF(ISNUMBER('Base de datos Rutas'!CX66),'Base de datos Rutas'!CX66/100,"")</f>
        <v>0.49792825936997004</v>
      </c>
      <c r="BG68" s="891">
        <f>IF(ISNUMBER('Base de datos Rutas'!CZ66),'Base de datos Rutas'!CZ66/100,"")</f>
        <v>0.5507013106461256</v>
      </c>
      <c r="BH68" s="892">
        <f>IF(ISNUMBER('Base de datos Rutas'!DA66),'Base de datos Rutas'!DA66,"")</f>
        <v>421.82931128249146</v>
      </c>
      <c r="BI68" s="893">
        <f>IF(ISNUMBER('Base de datos Rutas'!DC66),'Base de datos Rutas'!DC66,"")</f>
        <v>8.5251926936929259</v>
      </c>
      <c r="BJ68" s="805" t="str">
        <f t="shared" si="35"/>
        <v>Ruta (completo)</v>
      </c>
      <c r="BK68" s="783">
        <f t="shared" si="22"/>
        <v>3</v>
      </c>
      <c r="BL68" s="797">
        <f t="shared" si="23"/>
        <v>2</v>
      </c>
      <c r="BM68" s="797">
        <f t="shared" si="24"/>
        <v>3</v>
      </c>
      <c r="BN68" s="797">
        <f t="shared" si="25"/>
        <v>3</v>
      </c>
      <c r="BO68" s="798" cm="1">
        <f t="array" ref="BO68">SUMPRODUCT(--ISNUMBER($BF68:$BI68),$BK$3:$BN$3)</f>
        <v>1</v>
      </c>
      <c r="BP68" s="831">
        <f t="shared" si="38"/>
        <v>43.75</v>
      </c>
      <c r="BQ68" s="834" t="str">
        <f t="shared" si="36"/>
        <v>Medio</v>
      </c>
      <c r="BR68" s="836">
        <f t="shared" si="27"/>
        <v>33.483095222686899</v>
      </c>
      <c r="BS68" s="836">
        <f t="shared" si="28"/>
        <v>43.75</v>
      </c>
      <c r="BT68" s="837" t="str">
        <f t="shared" si="29"/>
        <v>P2</v>
      </c>
      <c r="BU68" s="807" t="str">
        <f t="shared" si="37"/>
        <v>Con espacio</v>
      </c>
      <c r="BV68" s="807" t="str">
        <f t="shared" si="30"/>
        <v>Zona de bajo potencial</v>
      </c>
      <c r="BW68" s="808" t="str">
        <f t="shared" si="31"/>
        <v>P2 - Mantener</v>
      </c>
    </row>
    <row r="69" spans="1:75">
      <c r="A69" s="780" t="str">
        <f>'Base de datos Rutas'!A67</f>
        <v>Noreste</v>
      </c>
      <c r="B69" s="781" t="str">
        <f>'Base de datos Rutas'!B67</f>
        <v>Monterrey</v>
      </c>
      <c r="C69" s="781" t="str">
        <f>'Base de datos Rutas'!C67</f>
        <v>Sucursal Lincoln</v>
      </c>
      <c r="D69" s="782">
        <f>IF(ISNUMBER('Base de datos Rutas'!D67),'Base de datos Rutas'!D67,"Sin código")</f>
        <v>705319</v>
      </c>
      <c r="E69" s="783" t="str">
        <f>'Base de datos Rutas'!F67</f>
        <v>Activa</v>
      </c>
      <c r="F69" s="784" t="str">
        <f>'Base de datos Rutas'!H67</f>
        <v>Sí</v>
      </c>
      <c r="G69" s="785">
        <f>IF(ISNUMBER('Base de datos Rutas'!BE67),'Base de datos Rutas'!BE67,"")</f>
        <v>5.7966101694915304</v>
      </c>
      <c r="H69" s="786">
        <f>IF(ISNUMBER('Base de datos Rutas'!BH67),'Base de datos Rutas'!BH67,"")</f>
        <v>0.10233918128654999</v>
      </c>
      <c r="I69" s="788">
        <f>IFERROR(IF(OR(NOT(ISNUMBER('Base de datos Rutas'!O67)),N('Base de datos Rutas'!BK67)=0),"",'Base de datos Rutas'!O67/('Base de datos Rutas'!L67/'Base de datos Rutas'!BK67)),"")</f>
        <v>1329.84375</v>
      </c>
      <c r="J69" s="788">
        <f>IFERROR(IF(OR(NOT(ISNUMBER('Base de datos Rutas'!N67)),N('Base de datos Rutas'!BK67)=0),"",'Base de datos Rutas'!N67/('Base de datos Rutas'!L67/'Base de datos Rutas'!BK67)),"")</f>
        <v>363.734375</v>
      </c>
      <c r="K69" s="788">
        <f>IFERROR(IF(OR(NOT(ISNUMBER('Base de datos Rutas'!J67)),N('Base de datos Rutas'!BK67)=0),"",'Base de datos Rutas'!J67/('Base de datos Rutas'!L67/'Base de datos Rutas'!BK67)),"")</f>
        <v>23.170787499999999</v>
      </c>
      <c r="L69" s="788">
        <f>IFERROR(IF(OR(NOT(ISNUMBER('Base de datos Rutas'!K67)),N('Base de datos Rutas'!BK67)=0),"",'Base de datos Rutas'!K67/('Base de datos Rutas'!L67/'Base de datos Rutas'!BK67)),"")</f>
        <v>11.117068359375001</v>
      </c>
      <c r="M69" s="787">
        <f>IF(ISNUMBER('Base de datos Rutas'!AX67),'Base de datos Rutas'!AX67,"")</f>
        <v>2779.21769230769</v>
      </c>
      <c r="N69" s="790">
        <f>IFERROR(INDEX('Hoja de apoyo v2'!B$17:B$20,MATCH($A69,'Hoja de apoyo v2'!$A$17:$A$20,0)),"")</f>
        <v>63.050408855205418</v>
      </c>
      <c r="O69" s="791">
        <f>IFERROR(INDEX('Hoja de apoyo v2'!C$17:C$20,MATCH($A69,'Hoja de apoyo v2'!$A$17:$A$20,0)),"")</f>
        <v>0.7559478312655763</v>
      </c>
      <c r="P69" s="793">
        <f>IFERROR(INDEX('Hoja de apoyo v2'!D$17:D$20,MATCH($A69,'Hoja de apoyo v2'!$A$17:$A$20,0)),"")</f>
        <v>9054.9839880720647</v>
      </c>
      <c r="Q69" s="793">
        <f>IFERROR(INDEX('Hoja de apoyo v2'!E$17:E$20,MATCH($A69,'Hoja de apoyo v2'!$A$17:$A$20,0)),"")</f>
        <v>4535.7799207004691</v>
      </c>
      <c r="R69" s="793">
        <f>IFERROR(INDEX('Hoja de apoyo v2'!F$17:F$20,MATCH($A69,'Hoja de apoyo v2'!$A$17:$A$20,0)),"")</f>
        <v>260.44838236060593</v>
      </c>
      <c r="S69" s="793">
        <f>IFERROR(INDEX('Hoja de apoyo v2'!G$17:G$20,MATCH($A69,'Hoja de apoyo v2'!$A$17:$A$20,0)),"")</f>
        <v>64.772152317133859</v>
      </c>
      <c r="T69" s="792">
        <f>IFERROR(INDEX('Hoja de apoyo v2'!H$17:H$20,MATCH($A69,'Hoja de apoyo v2'!$A$17:$A$20,0)),"")</f>
        <v>389.240053528842</v>
      </c>
      <c r="U69" s="794">
        <f t="shared" si="2"/>
        <v>9.1936123408864534E-2</v>
      </c>
      <c r="V69" s="795">
        <f t="shared" si="3"/>
        <v>0.13537862938930323</v>
      </c>
      <c r="W69" s="795">
        <f t="shared" si="4"/>
        <v>0.14686318073579971</v>
      </c>
      <c r="X69" s="843">
        <f t="shared" si="5"/>
        <v>8.0192245073439944E-2</v>
      </c>
      <c r="Y69" s="843">
        <f t="shared" si="6"/>
        <v>8.8964989108355055E-2</v>
      </c>
      <c r="Z69" s="843">
        <f t="shared" si="7"/>
        <v>0.1716334560714336</v>
      </c>
      <c r="AA69" s="843">
        <f t="shared" si="8"/>
        <v>7.1401122960275076</v>
      </c>
      <c r="AB69" s="796">
        <f t="shared" si="9"/>
        <v>1</v>
      </c>
      <c r="AC69" s="797">
        <f t="shared" si="10"/>
        <v>1</v>
      </c>
      <c r="AD69" s="797">
        <f t="shared" si="11"/>
        <v>1</v>
      </c>
      <c r="AE69" s="842">
        <f t="shared" si="12"/>
        <v>1</v>
      </c>
      <c r="AF69" s="842">
        <f t="shared" si="13"/>
        <v>1</v>
      </c>
      <c r="AG69" s="842">
        <f t="shared" si="14"/>
        <v>1</v>
      </c>
      <c r="AH69" s="842">
        <f t="shared" si="15"/>
        <v>5</v>
      </c>
      <c r="AI69" s="826" cm="1">
        <f t="array" ref="AI69">SUMPRODUCT(--ISNUMBER($U69:$AA69),$AB$3:$AH$3)</f>
        <v>1</v>
      </c>
      <c r="AJ69" s="829">
        <f t="shared" si="16"/>
        <v>8.9789113613062526</v>
      </c>
      <c r="AK69" s="827" t="str">
        <f t="shared" si="17"/>
        <v>Inmadura</v>
      </c>
      <c r="AL69" s="784" t="str">
        <f t="shared" si="18"/>
        <v>Alta</v>
      </c>
      <c r="AM69" s="799">
        <f>IF(ISNUMBER('Base de datos Rutas'!W67),'Base de datos Rutas'!W67,"")</f>
        <v>2318.2873272484931</v>
      </c>
      <c r="AN69" s="787">
        <f>IFERROR(SUMIFS('Base de datos Rutas'!$W$6:$W$794,'Base de datos Rutas'!$C$6:$C$794,$C69)/'Base de datos Rutas'!I67,"")</f>
        <v>2318.2873272484935</v>
      </c>
      <c r="AO69" s="800">
        <f>IFERROR('Base de datos Rutas'!X67*AN69/AM69,"")</f>
        <v>0.59011623323564499</v>
      </c>
      <c r="AP69" s="800">
        <f t="shared" si="19"/>
        <v>0.40988376676435501</v>
      </c>
      <c r="AQ69" s="789">
        <f>IFERROR(INDEX('Hoja de apoyo v2'!$J$17:$J$20,MATCH($A69,'Hoja de apoyo v2'!$A$17:$A$20,0)),"")</f>
        <v>0.56799995069377007</v>
      </c>
      <c r="AR69" s="789">
        <f t="shared" si="20"/>
        <v>-0.15811618392941507</v>
      </c>
      <c r="AS69" s="784" t="str">
        <f t="shared" si="21"/>
        <v>No</v>
      </c>
      <c r="AT69" s="801" t="str">
        <f>IF(ISNUMBER('Base de datos Rutas'!CK67),'Base de datos Rutas'!CK67,"")</f>
        <v/>
      </c>
      <c r="AU69" s="802" t="str">
        <f>IF(ISNUMBER('Base de datos Rutas'!CL67),'Base de datos Rutas'!CL67,"")</f>
        <v/>
      </c>
      <c r="AV69" s="802">
        <f>IF(ISNUMBER('Base de datos Rutas'!CM67),'Base de datos Rutas'!CM67,"")</f>
        <v>0</v>
      </c>
      <c r="AW69" s="802" t="str">
        <f>IF(ISNUMBER('Base de datos Rutas'!CN67),'Base de datos Rutas'!CN67,"")</f>
        <v/>
      </c>
      <c r="AX69" s="802" t="str">
        <f>IF(ISNUMBER('Base de datos Rutas'!CO67),'Base de datos Rutas'!CO67,"")</f>
        <v/>
      </c>
      <c r="AY69" s="802">
        <f>IF(ISNUMBER('Base de datos Rutas'!CP67),'Base de datos Rutas'!CP67,"")</f>
        <v>0</v>
      </c>
      <c r="AZ69" s="802" t="str">
        <f>IF(ISNUMBER('Base de datos Rutas'!CQ67),'Base de datos Rutas'!CQ67,"")</f>
        <v/>
      </c>
      <c r="BA69" s="802" t="str">
        <f>IF(ISNUMBER('Base de datos Rutas'!CR67),'Base de datos Rutas'!CR67,"")</f>
        <v/>
      </c>
      <c r="BB69" s="803">
        <f>IF(ISNUMBER('Base de datos Rutas'!CS67),'Base de datos Rutas'!CS67,"")</f>
        <v>0</v>
      </c>
      <c r="BC69" s="804" t="str">
        <f t="shared" si="32"/>
        <v/>
      </c>
      <c r="BD69" s="805" t="str">
        <f t="shared" si="33"/>
        <v>N/D</v>
      </c>
      <c r="BE69" s="806" t="str">
        <f t="shared" si="34"/>
        <v/>
      </c>
      <c r="BF69" s="890" t="str">
        <f>IF(ISNUMBER('Base de datos Rutas'!CX67),'Base de datos Rutas'!CX67/100,"")</f>
        <v/>
      </c>
      <c r="BG69" s="891" t="str">
        <f>IF(ISNUMBER('Base de datos Rutas'!CZ67),'Base de datos Rutas'!CZ67/100,"")</f>
        <v/>
      </c>
      <c r="BH69" s="892" t="str">
        <f>IF(ISNUMBER('Base de datos Rutas'!DA67),'Base de datos Rutas'!DA67,"")</f>
        <v/>
      </c>
      <c r="BI69" s="893" t="str">
        <f>IF(ISNUMBER('Base de datos Rutas'!DC67),'Base de datos Rutas'!DC67,"")</f>
        <v/>
      </c>
      <c r="BJ69" s="805" t="str">
        <f t="shared" si="35"/>
        <v>Sin dato</v>
      </c>
      <c r="BK69" s="783">
        <f t="shared" si="22"/>
        <v>0</v>
      </c>
      <c r="BL69" s="797">
        <f t="shared" si="23"/>
        <v>0</v>
      </c>
      <c r="BM69" s="797">
        <f t="shared" si="24"/>
        <v>0</v>
      </c>
      <c r="BN69" s="797">
        <f t="shared" si="25"/>
        <v>0</v>
      </c>
      <c r="BO69" s="798" cm="1">
        <f t="array" ref="BO69">SUMPRODUCT(--ISNUMBER($BF69:$BI69),$BK$3:$BN$3)</f>
        <v>0</v>
      </c>
      <c r="BP69" s="831" t="str">
        <f t="shared" si="38"/>
        <v/>
      </c>
      <c r="BQ69" s="834" t="str">
        <f t="shared" si="36"/>
        <v>Sin datos</v>
      </c>
      <c r="BR69" s="836" t="str">
        <f t="shared" si="27"/>
        <v/>
      </c>
      <c r="BS69" s="836" t="str">
        <f t="shared" si="28"/>
        <v/>
      </c>
      <c r="BT69" s="837" t="str">
        <f t="shared" si="29"/>
        <v>Sin datos</v>
      </c>
      <c r="BU69" s="807" t="str">
        <f t="shared" si="37"/>
        <v>Con espacio</v>
      </c>
      <c r="BV69" s="807" t="str">
        <f t="shared" si="30"/>
        <v>Sin datos de zona</v>
      </c>
      <c r="BW69" s="808" t="str">
        <f t="shared" si="31"/>
        <v>Sin datos</v>
      </c>
    </row>
    <row r="70" spans="1:75">
      <c r="A70" s="780" t="str">
        <f>'Base de datos Rutas'!A68</f>
        <v>Noreste</v>
      </c>
      <c r="B70" s="781" t="str">
        <f>'Base de datos Rutas'!B68</f>
        <v>Monterrey</v>
      </c>
      <c r="C70" s="781" t="str">
        <f>'Base de datos Rutas'!C68</f>
        <v>Sucursal Lincoln</v>
      </c>
      <c r="D70" s="782">
        <f>IF(ISNUMBER('Base de datos Rutas'!D68),'Base de datos Rutas'!D68,"Sin código")</f>
        <v>705320</v>
      </c>
      <c r="E70" s="783" t="str">
        <f>'Base de datos Rutas'!F68</f>
        <v>Activa</v>
      </c>
      <c r="F70" s="784" t="str">
        <f>'Base de datos Rutas'!H68</f>
        <v>Sí</v>
      </c>
      <c r="G70" s="785">
        <f>IF(ISNUMBER('Base de datos Rutas'!BE68),'Base de datos Rutas'!BE68,"")</f>
        <v>56.144522144522099</v>
      </c>
      <c r="H70" s="786">
        <f>IF(ISNUMBER('Base de datos Rutas'!BH68),'Base de datos Rutas'!BH68,"")</f>
        <v>0.59914473137922397</v>
      </c>
      <c r="I70" s="788">
        <f>IFERROR(IF(OR(NOT(ISNUMBER('Base de datos Rutas'!O68)),N('Base de datos Rutas'!BK68)=0),"",'Base de datos Rutas'!O68/('Base de datos Rutas'!L68/'Base de datos Rutas'!BK68)),"")</f>
        <v>5494.4382284382255</v>
      </c>
      <c r="J70" s="788">
        <f>IFERROR(IF(OR(NOT(ISNUMBER('Base de datos Rutas'!N68)),N('Base de datos Rutas'!BK68)=0),"",'Base de datos Rutas'!N68/('Base de datos Rutas'!L68/'Base de datos Rutas'!BK68)),"")</f>
        <v>3430.3916083916065</v>
      </c>
      <c r="K70" s="788">
        <f>IFERROR(IF(OR(NOT(ISNUMBER('Base de datos Rutas'!J68)),N('Base de datos Rutas'!BK68)=0),"",'Base de datos Rutas'!J68/('Base de datos Rutas'!L68/'Base de datos Rutas'!BK68)),"")</f>
        <v>222.98680466200454</v>
      </c>
      <c r="L70" s="788">
        <f>IFERROR(IF(OR(NOT(ISNUMBER('Base de datos Rutas'!K68)),N('Base de datos Rutas'!BK68)=0),"",'Base de datos Rutas'!K68/('Base de datos Rutas'!L68/'Base de datos Rutas'!BK68)),"")</f>
        <v>39.287958475524455</v>
      </c>
      <c r="M70" s="787">
        <f>IF(ISNUMBER('Base de datos Rutas'!AX68),'Base de datos Rutas'!AX68,"")</f>
        <v>265.31425265054401</v>
      </c>
      <c r="N70" s="790">
        <f>IFERROR(INDEX('Hoja de apoyo v2'!B$17:B$20,MATCH($A70,'Hoja de apoyo v2'!$A$17:$A$20,0)),"")</f>
        <v>63.050408855205418</v>
      </c>
      <c r="O70" s="791">
        <f>IFERROR(INDEX('Hoja de apoyo v2'!C$17:C$20,MATCH($A70,'Hoja de apoyo v2'!$A$17:$A$20,0)),"")</f>
        <v>0.7559478312655763</v>
      </c>
      <c r="P70" s="793">
        <f>IFERROR(INDEX('Hoja de apoyo v2'!D$17:D$20,MATCH($A70,'Hoja de apoyo v2'!$A$17:$A$20,0)),"")</f>
        <v>9054.9839880720647</v>
      </c>
      <c r="Q70" s="793">
        <f>IFERROR(INDEX('Hoja de apoyo v2'!E$17:E$20,MATCH($A70,'Hoja de apoyo v2'!$A$17:$A$20,0)),"")</f>
        <v>4535.7799207004691</v>
      </c>
      <c r="R70" s="793">
        <f>IFERROR(INDEX('Hoja de apoyo v2'!F$17:F$20,MATCH($A70,'Hoja de apoyo v2'!$A$17:$A$20,0)),"")</f>
        <v>260.44838236060593</v>
      </c>
      <c r="S70" s="793">
        <f>IFERROR(INDEX('Hoja de apoyo v2'!G$17:G$20,MATCH($A70,'Hoja de apoyo v2'!$A$17:$A$20,0)),"")</f>
        <v>64.772152317133859</v>
      </c>
      <c r="T70" s="792">
        <f>IFERROR(INDEX('Hoja de apoyo v2'!H$17:H$20,MATCH($A70,'Hoja de apoyo v2'!$A$17:$A$20,0)),"")</f>
        <v>389.240053528842</v>
      </c>
      <c r="U70" s="794">
        <f t="shared" si="2"/>
        <v>0.89047038970766057</v>
      </c>
      <c r="V70" s="795">
        <f t="shared" si="3"/>
        <v>0.79257417853314149</v>
      </c>
      <c r="W70" s="795">
        <f t="shared" si="4"/>
        <v>0.60678607887942493</v>
      </c>
      <c r="X70" s="843">
        <f t="shared" si="5"/>
        <v>0.75629586716408514</v>
      </c>
      <c r="Y70" s="843">
        <f t="shared" si="6"/>
        <v>0.85616505904523665</v>
      </c>
      <c r="Z70" s="843">
        <f t="shared" si="7"/>
        <v>0.60655632196943077</v>
      </c>
      <c r="AA70" s="843">
        <f t="shared" si="8"/>
        <v>0.68162114932728701</v>
      </c>
      <c r="AB70" s="796">
        <f t="shared" si="9"/>
        <v>3</v>
      </c>
      <c r="AC70" s="797">
        <f t="shared" si="10"/>
        <v>3</v>
      </c>
      <c r="AD70" s="797">
        <f t="shared" si="11"/>
        <v>2</v>
      </c>
      <c r="AE70" s="842">
        <f t="shared" si="12"/>
        <v>3</v>
      </c>
      <c r="AF70" s="842">
        <f t="shared" si="13"/>
        <v>3</v>
      </c>
      <c r="AG70" s="842">
        <f t="shared" si="14"/>
        <v>2</v>
      </c>
      <c r="AH70" s="842">
        <f t="shared" si="15"/>
        <v>2</v>
      </c>
      <c r="AI70" s="826" cm="1">
        <f t="array" ref="AI70">SUMPRODUCT(--ISNUMBER($U70:$AA70),$AB$3:$AH$3)</f>
        <v>1</v>
      </c>
      <c r="AJ70" s="829">
        <f t="shared" si="16"/>
        <v>38.252033922285719</v>
      </c>
      <c r="AK70" s="827" t="str">
        <f t="shared" si="17"/>
        <v>Inmadura</v>
      </c>
      <c r="AL70" s="784" t="str">
        <f t="shared" si="18"/>
        <v>Alta</v>
      </c>
      <c r="AM70" s="799">
        <f>IF(ISNUMBER('Base de datos Rutas'!W68),'Base de datos Rutas'!W68,"")</f>
        <v>2318.2873272484931</v>
      </c>
      <c r="AN70" s="787">
        <f>IFERROR(SUMIFS('Base de datos Rutas'!$W$6:$W$794,'Base de datos Rutas'!$C$6:$C$794,$C70)/'Base de datos Rutas'!I68,"")</f>
        <v>2318.2873272484935</v>
      </c>
      <c r="AO70" s="800">
        <f>IFERROR('Base de datos Rutas'!X68*AN70/AM70,"")</f>
        <v>0.59011623323564499</v>
      </c>
      <c r="AP70" s="800">
        <f t="shared" si="19"/>
        <v>0.40988376676435501</v>
      </c>
      <c r="AQ70" s="789">
        <f>IFERROR(INDEX('Hoja de apoyo v2'!$J$17:$J$20,MATCH($A70,'Hoja de apoyo v2'!$A$17:$A$20,0)),"")</f>
        <v>0.56799995069377007</v>
      </c>
      <c r="AR70" s="789">
        <f t="shared" si="20"/>
        <v>-0.15811618392941507</v>
      </c>
      <c r="AS70" s="784" t="str">
        <f t="shared" si="21"/>
        <v>No</v>
      </c>
      <c r="AT70" s="801">
        <f>IF(ISNUMBER('Base de datos Rutas'!CK68),'Base de datos Rutas'!CK68,"")</f>
        <v>305</v>
      </c>
      <c r="AU70" s="802">
        <f>IF(ISNUMBER('Base de datos Rutas'!CL68),'Base de datos Rutas'!CL68,"")</f>
        <v>812.61</v>
      </c>
      <c r="AV70" s="802">
        <f>IF(ISNUMBER('Base de datos Rutas'!CM68),'Base de datos Rutas'!CM68,"")</f>
        <v>507.61</v>
      </c>
      <c r="AW70" s="802">
        <f>IF(ISNUMBER('Base de datos Rutas'!CN68),'Base de datos Rutas'!CN68,"")</f>
        <v>4.8099999999999996</v>
      </c>
      <c r="AX70" s="802">
        <f>IF(ISNUMBER('Base de datos Rutas'!CO68),'Base de datos Rutas'!CO68,"")</f>
        <v>9.4499999999999993</v>
      </c>
      <c r="AY70" s="802">
        <f>IF(ISNUMBER('Base de datos Rutas'!CP68),'Base de datos Rutas'!CP68,"")</f>
        <v>4.6399999999999997</v>
      </c>
      <c r="AZ70" s="802">
        <f>IF(ISNUMBER('Base de datos Rutas'!CQ68),'Base de datos Rutas'!CQ68,"")</f>
        <v>634.91999999999996</v>
      </c>
      <c r="BA70" s="802">
        <f>IF(ISNUMBER('Base de datos Rutas'!CR68),'Base de datos Rutas'!CR68,"")</f>
        <v>262.27</v>
      </c>
      <c r="BB70" s="803">
        <f>IF(ISNUMBER('Base de datos Rutas'!CS68),'Base de datos Rutas'!CS68,"")</f>
        <v>372.65</v>
      </c>
      <c r="BC70" s="804">
        <f t="shared" si="32"/>
        <v>0</v>
      </c>
      <c r="BD70" s="805" t="str">
        <f t="shared" si="33"/>
        <v>No saturada</v>
      </c>
      <c r="BE70" s="806">
        <f t="shared" si="34"/>
        <v>0.41307566307566307</v>
      </c>
      <c r="BF70" s="890">
        <f>IF(ISNUMBER('Base de datos Rutas'!CX68),'Base de datos Rutas'!CX68/100,"")</f>
        <v>0.95540630765176138</v>
      </c>
      <c r="BG70" s="891">
        <f>IF(ISNUMBER('Base de datos Rutas'!CZ68),'Base de datos Rutas'!CZ68/100,"")</f>
        <v>1</v>
      </c>
      <c r="BH70" s="892">
        <f>IF(ISNUMBER('Base de datos Rutas'!DA68),'Base de datos Rutas'!DA68,"")</f>
        <v>276.37186233506941</v>
      </c>
      <c r="BI70" s="893">
        <f>IF(ISNUMBER('Base de datos Rutas'!DC68),'Base de datos Rutas'!DC68,"")</f>
        <v>8.3139410005037586</v>
      </c>
      <c r="BJ70" s="805" t="str">
        <f t="shared" si="35"/>
        <v>Ruta (completo)</v>
      </c>
      <c r="BK70" s="783">
        <f t="shared" si="22"/>
        <v>5</v>
      </c>
      <c r="BL70" s="797">
        <f t="shared" si="23"/>
        <v>5</v>
      </c>
      <c r="BM70" s="797">
        <f t="shared" si="24"/>
        <v>2</v>
      </c>
      <c r="BN70" s="797">
        <f t="shared" si="25"/>
        <v>3</v>
      </c>
      <c r="BO70" s="798" cm="1">
        <f t="array" ref="BO70">SUMPRODUCT(--ISNUMBER($BF70:$BI70),$BK$3:$BN$3)</f>
        <v>1</v>
      </c>
      <c r="BP70" s="831">
        <f t="shared" si="38"/>
        <v>68.75</v>
      </c>
      <c r="BQ70" s="834" t="str">
        <f t="shared" si="36"/>
        <v>Alto</v>
      </c>
      <c r="BR70" s="836">
        <f t="shared" si="27"/>
        <v>28.689025441714289</v>
      </c>
      <c r="BS70" s="836">
        <f t="shared" si="28"/>
        <v>68.75</v>
      </c>
      <c r="BT70" s="837" t="str">
        <f t="shared" si="29"/>
        <v>P3</v>
      </c>
      <c r="BU70" s="807" t="str">
        <f t="shared" si="37"/>
        <v>Con espacio</v>
      </c>
      <c r="BV70" s="807" t="str">
        <f t="shared" si="30"/>
        <v>Zona atractiva</v>
      </c>
      <c r="BW70" s="808" t="str">
        <f t="shared" si="31"/>
        <v>P3 - Desarrollar</v>
      </c>
    </row>
    <row r="71" spans="1:75">
      <c r="A71" s="780" t="str">
        <f>'Base de datos Rutas'!A69</f>
        <v>Noreste</v>
      </c>
      <c r="B71" s="781" t="str">
        <f>'Base de datos Rutas'!B69</f>
        <v>Monterrey</v>
      </c>
      <c r="C71" s="781" t="str">
        <f>'Base de datos Rutas'!C69</f>
        <v>Sucursal Lincoln</v>
      </c>
      <c r="D71" s="782">
        <f>IF(ISNUMBER('Base de datos Rutas'!D69),'Base de datos Rutas'!D69,"Sin código")</f>
        <v>705322</v>
      </c>
      <c r="E71" s="783" t="str">
        <f>'Base de datos Rutas'!F69</f>
        <v>Activa</v>
      </c>
      <c r="F71" s="784" t="str">
        <f>'Base de datos Rutas'!H69</f>
        <v>Sí</v>
      </c>
      <c r="G71" s="785">
        <f>IF(ISNUMBER('Base de datos Rutas'!BE69),'Base de datos Rutas'!BE69,"")</f>
        <v>90.048275862069005</v>
      </c>
      <c r="H71" s="786">
        <f>IF(ISNUMBER('Base de datos Rutas'!BH69),'Base de datos Rutas'!BH69,"")</f>
        <v>0.25215082586607401</v>
      </c>
      <c r="I71" s="788">
        <f>IFERROR(IF(OR(NOT(ISNUMBER('Base de datos Rutas'!O69)),N('Base de datos Rutas'!BK69)=0),"",'Base de datos Rutas'!O69/('Base de datos Rutas'!L69/'Base de datos Rutas'!BK69)),"")</f>
        <v>3446.167816091951</v>
      </c>
      <c r="J71" s="788">
        <f>IFERROR(IF(OR(NOT(ISNUMBER('Base de datos Rutas'!N69)),N('Base de datos Rutas'!BK69)=0),"",'Base de datos Rutas'!N69/('Base de datos Rutas'!L69/'Base de datos Rutas'!BK69)),"")</f>
        <v>2137.9632183908025</v>
      </c>
      <c r="K71" s="788">
        <f>IFERROR(IF(OR(NOT(ISNUMBER('Base de datos Rutas'!J69)),N('Base de datos Rutas'!BK69)=0),"",'Base de datos Rutas'!J69/('Base de datos Rutas'!L69/'Base de datos Rutas'!BK69)),"")</f>
        <v>142.96085517241366</v>
      </c>
      <c r="L71" s="788">
        <f>IFERROR(IF(OR(NOT(ISNUMBER('Base de datos Rutas'!K69)),N('Base de datos Rutas'!BK69)=0),"",'Base de datos Rutas'!K69/('Base de datos Rutas'!L69/'Base de datos Rutas'!BK69)),"")</f>
        <v>24.139138379310324</v>
      </c>
      <c r="M71" s="787">
        <f>IF(ISNUMBER('Base de datos Rutas'!AX69),'Base de datos Rutas'!AX69,"")</f>
        <v>245.93468563328901</v>
      </c>
      <c r="N71" s="790">
        <f>IFERROR(INDEX('Hoja de apoyo v2'!B$17:B$20,MATCH($A71,'Hoja de apoyo v2'!$A$17:$A$20,0)),"")</f>
        <v>63.050408855205418</v>
      </c>
      <c r="O71" s="791">
        <f>IFERROR(INDEX('Hoja de apoyo v2'!C$17:C$20,MATCH($A71,'Hoja de apoyo v2'!$A$17:$A$20,0)),"")</f>
        <v>0.7559478312655763</v>
      </c>
      <c r="P71" s="793">
        <f>IFERROR(INDEX('Hoja de apoyo v2'!D$17:D$20,MATCH($A71,'Hoja de apoyo v2'!$A$17:$A$20,0)),"")</f>
        <v>9054.9839880720647</v>
      </c>
      <c r="Q71" s="793">
        <f>IFERROR(INDEX('Hoja de apoyo v2'!E$17:E$20,MATCH($A71,'Hoja de apoyo v2'!$A$17:$A$20,0)),"")</f>
        <v>4535.7799207004691</v>
      </c>
      <c r="R71" s="793">
        <f>IFERROR(INDEX('Hoja de apoyo v2'!F$17:F$20,MATCH($A71,'Hoja de apoyo v2'!$A$17:$A$20,0)),"")</f>
        <v>260.44838236060593</v>
      </c>
      <c r="S71" s="793">
        <f>IFERROR(INDEX('Hoja de apoyo v2'!G$17:G$20,MATCH($A71,'Hoja de apoyo v2'!$A$17:$A$20,0)),"")</f>
        <v>64.772152317133859</v>
      </c>
      <c r="T71" s="792">
        <f>IFERROR(INDEX('Hoja de apoyo v2'!H$17:H$20,MATCH($A71,'Hoja de apoyo v2'!$A$17:$A$20,0)),"")</f>
        <v>389.240053528842</v>
      </c>
      <c r="U71" s="794">
        <f t="shared" si="2"/>
        <v>1.428194955386632</v>
      </c>
      <c r="V71" s="795">
        <f t="shared" si="3"/>
        <v>0.33355585589012621</v>
      </c>
      <c r="W71" s="795">
        <f t="shared" si="4"/>
        <v>0.38058243069579289</v>
      </c>
      <c r="X71" s="843">
        <f t="shared" si="5"/>
        <v>0.47135514856740068</v>
      </c>
      <c r="Y71" s="843">
        <f t="shared" si="6"/>
        <v>0.54890283393841943</v>
      </c>
      <c r="Z71" s="843">
        <f t="shared" si="7"/>
        <v>0.37267772516067704</v>
      </c>
      <c r="AA71" s="843">
        <f t="shared" si="8"/>
        <v>0.63183293549481978</v>
      </c>
      <c r="AB71" s="796">
        <f t="shared" si="9"/>
        <v>5</v>
      </c>
      <c r="AC71" s="797">
        <f t="shared" si="10"/>
        <v>1</v>
      </c>
      <c r="AD71" s="797">
        <f t="shared" si="11"/>
        <v>1</v>
      </c>
      <c r="AE71" s="842">
        <f t="shared" si="12"/>
        <v>1</v>
      </c>
      <c r="AF71" s="842">
        <f t="shared" si="13"/>
        <v>2</v>
      </c>
      <c r="AG71" s="842">
        <f t="shared" si="14"/>
        <v>1</v>
      </c>
      <c r="AH71" s="842">
        <f t="shared" si="15"/>
        <v>2</v>
      </c>
      <c r="AI71" s="826" cm="1">
        <f t="array" ref="AI71">SUMPRODUCT(--ISNUMBER($U71:$AA71),$AB$3:$AH$3)</f>
        <v>1</v>
      </c>
      <c r="AJ71" s="829">
        <f t="shared" si="16"/>
        <v>23.305317064913368</v>
      </c>
      <c r="AK71" s="827" t="str">
        <f t="shared" si="17"/>
        <v>Inmadura</v>
      </c>
      <c r="AL71" s="784" t="str">
        <f t="shared" si="18"/>
        <v>Alta</v>
      </c>
      <c r="AM71" s="799">
        <f>IF(ISNUMBER('Base de datos Rutas'!W69),'Base de datos Rutas'!W69,"")</f>
        <v>2318.2873272484931</v>
      </c>
      <c r="AN71" s="787">
        <f>IFERROR(SUMIFS('Base de datos Rutas'!$W$6:$W$794,'Base de datos Rutas'!$C$6:$C$794,$C71)/'Base de datos Rutas'!I69,"")</f>
        <v>2318.2873272484935</v>
      </c>
      <c r="AO71" s="800">
        <f>IFERROR('Base de datos Rutas'!X69*AN71/AM71,"")</f>
        <v>0.59011623323564499</v>
      </c>
      <c r="AP71" s="800">
        <f t="shared" si="19"/>
        <v>0.40988376676435501</v>
      </c>
      <c r="AQ71" s="789">
        <f>IFERROR(INDEX('Hoja de apoyo v2'!$J$17:$J$20,MATCH($A71,'Hoja de apoyo v2'!$A$17:$A$20,0)),"")</f>
        <v>0.56799995069377007</v>
      </c>
      <c r="AR71" s="789">
        <f t="shared" si="20"/>
        <v>-0.15811618392941507</v>
      </c>
      <c r="AS71" s="784" t="str">
        <f t="shared" si="21"/>
        <v>No</v>
      </c>
      <c r="AT71" s="801">
        <f>IF(ISNUMBER('Base de datos Rutas'!CK69),'Base de datos Rutas'!CK69,"")</f>
        <v>504</v>
      </c>
      <c r="AU71" s="802">
        <f>IF(ISNUMBER('Base de datos Rutas'!CL69),'Base de datos Rutas'!CL69,"")</f>
        <v>908.12</v>
      </c>
      <c r="AV71" s="802">
        <f>IF(ISNUMBER('Base de datos Rutas'!CM69),'Base de datos Rutas'!CM69,"")</f>
        <v>404.12</v>
      </c>
      <c r="AW71" s="802">
        <f>IF(ISNUMBER('Base de datos Rutas'!CN69),'Base de datos Rutas'!CN69,"")</f>
        <v>8.15</v>
      </c>
      <c r="AX71" s="802">
        <f>IF(ISNUMBER('Base de datos Rutas'!CO69),'Base de datos Rutas'!CO69,"")</f>
        <v>9.4499999999999993</v>
      </c>
      <c r="AY71" s="802">
        <f>IF(ISNUMBER('Base de datos Rutas'!CP69),'Base de datos Rutas'!CP69,"")</f>
        <v>1.2999999999999989</v>
      </c>
      <c r="AZ71" s="802">
        <f>IF(ISNUMBER('Base de datos Rutas'!CQ69),'Base de datos Rutas'!CQ69,"")</f>
        <v>634.91999999999996</v>
      </c>
      <c r="BA71" s="802">
        <f>IF(ISNUMBER('Base de datos Rutas'!CR69),'Base de datos Rutas'!CR69,"")</f>
        <v>167.1</v>
      </c>
      <c r="BB71" s="803">
        <f>IF(ISNUMBER('Base de datos Rutas'!CS69),'Base de datos Rutas'!CS69,"")</f>
        <v>467.81999999999994</v>
      </c>
      <c r="BC71" s="804">
        <f t="shared" si="32"/>
        <v>0</v>
      </c>
      <c r="BD71" s="805" t="str">
        <f t="shared" si="33"/>
        <v>No saturada</v>
      </c>
      <c r="BE71" s="806">
        <f t="shared" si="34"/>
        <v>0.26318276318276318</v>
      </c>
      <c r="BF71" s="890">
        <f>IF(ISNUMBER('Base de datos Rutas'!CX69),'Base de datos Rutas'!CX69/100,"")</f>
        <v>0.95437324022975556</v>
      </c>
      <c r="BG71" s="891">
        <f>IF(ISNUMBER('Base de datos Rutas'!CZ69),'Base de datos Rutas'!CZ69/100,"")</f>
        <v>0.99988737470435862</v>
      </c>
      <c r="BH71" s="892">
        <f>IF(ISNUMBER('Base de datos Rutas'!DA69),'Base de datos Rutas'!DA69,"")</f>
        <v>421.05136850541624</v>
      </c>
      <c r="BI71" s="893">
        <f>IF(ISNUMBER('Base de datos Rutas'!DC69),'Base de datos Rutas'!DC69,"")</f>
        <v>12.967160825239789</v>
      </c>
      <c r="BJ71" s="805" t="str">
        <f t="shared" si="35"/>
        <v>Ruta (completo)</v>
      </c>
      <c r="BK71" s="783">
        <f t="shared" si="22"/>
        <v>5</v>
      </c>
      <c r="BL71" s="797">
        <f t="shared" si="23"/>
        <v>5</v>
      </c>
      <c r="BM71" s="797">
        <f t="shared" si="24"/>
        <v>3</v>
      </c>
      <c r="BN71" s="797">
        <f t="shared" si="25"/>
        <v>3</v>
      </c>
      <c r="BO71" s="798" cm="1">
        <f t="array" ref="BO71">SUMPRODUCT(--ISNUMBER($BF71:$BI71),$BK$3:$BN$3)</f>
        <v>1</v>
      </c>
      <c r="BP71" s="831">
        <f t="shared" si="38"/>
        <v>75</v>
      </c>
      <c r="BQ71" s="834" t="str">
        <f t="shared" si="36"/>
        <v>Alto</v>
      </c>
      <c r="BR71" s="836">
        <f t="shared" si="27"/>
        <v>17.478987798685026</v>
      </c>
      <c r="BS71" s="836">
        <f t="shared" si="28"/>
        <v>75</v>
      </c>
      <c r="BT71" s="837" t="str">
        <f t="shared" si="29"/>
        <v>P3</v>
      </c>
      <c r="BU71" s="807" t="str">
        <f t="shared" si="37"/>
        <v>Con espacio</v>
      </c>
      <c r="BV71" s="807" t="str">
        <f t="shared" si="30"/>
        <v>Zona atractiva</v>
      </c>
      <c r="BW71" s="808" t="str">
        <f t="shared" si="31"/>
        <v>P3 - Desarrollar</v>
      </c>
    </row>
    <row r="72" spans="1:75">
      <c r="A72" s="780" t="str">
        <f>'Base de datos Rutas'!A70</f>
        <v>Noreste</v>
      </c>
      <c r="B72" s="781" t="str">
        <f>'Base de datos Rutas'!B70</f>
        <v>Monterrey</v>
      </c>
      <c r="C72" s="781" t="str">
        <f>'Base de datos Rutas'!C70</f>
        <v>Sucursal Lincoln</v>
      </c>
      <c r="D72" s="782">
        <f>IF(ISNUMBER('Base de datos Rutas'!D70),'Base de datos Rutas'!D70,"Sin código")</f>
        <v>705323</v>
      </c>
      <c r="E72" s="783" t="str">
        <f>'Base de datos Rutas'!F70</f>
        <v>Activa</v>
      </c>
      <c r="F72" s="784" t="str">
        <f>'Base de datos Rutas'!H70</f>
        <v>Sí</v>
      </c>
      <c r="G72" s="785">
        <f>IF(ISNUMBER('Base de datos Rutas'!BE70),'Base de datos Rutas'!BE70,"")</f>
        <v>41.676470588235297</v>
      </c>
      <c r="H72" s="786">
        <f>IF(ISNUMBER('Base de datos Rutas'!BH70),'Base de datos Rutas'!BH70,"")</f>
        <v>0.82575864502469998</v>
      </c>
      <c r="I72" s="788">
        <f>IFERROR(IF(OR(NOT(ISNUMBER('Base de datos Rutas'!O70)),N('Base de datos Rutas'!BK70)=0),"",'Base de datos Rutas'!O70/('Base de datos Rutas'!L70/'Base de datos Rutas'!BK70)),"")</f>
        <v>6306.2637889688312</v>
      </c>
      <c r="J72" s="788">
        <f>IFERROR(IF(OR(NOT(ISNUMBER('Base de datos Rutas'!N70)),N('Base de datos Rutas'!BK70)=0),"",'Base de datos Rutas'!N70/('Base de datos Rutas'!L70/'Base de datos Rutas'!BK70)),"")</f>
        <v>1439.5563549160686</v>
      </c>
      <c r="K72" s="788">
        <f>IFERROR(IF(OR(NOT(ISNUMBER('Base de datos Rutas'!J70)),N('Base de datos Rutas'!BK70)=0),"",'Base de datos Rutas'!J70/('Base de datos Rutas'!L70/'Base de datos Rutas'!BK70)),"")</f>
        <v>101.828613908873</v>
      </c>
      <c r="L72" s="788">
        <f>IFERROR(IF(OR(NOT(ISNUMBER('Base de datos Rutas'!K70)),N('Base de datos Rutas'!BK70)=0),"",'Base de datos Rutas'!K70/('Base de datos Rutas'!L70/'Base de datos Rutas'!BK70)),"")</f>
        <v>46.356561616307005</v>
      </c>
      <c r="M72" s="787">
        <f>IF(ISNUMBER('Base de datos Rutas'!AX70),'Base de datos Rutas'!AX70,"")</f>
        <v>253.55263521469499</v>
      </c>
      <c r="N72" s="790">
        <f>IFERROR(INDEX('Hoja de apoyo v2'!B$17:B$20,MATCH($A72,'Hoja de apoyo v2'!$A$17:$A$20,0)),"")</f>
        <v>63.050408855205418</v>
      </c>
      <c r="O72" s="791">
        <f>IFERROR(INDEX('Hoja de apoyo v2'!C$17:C$20,MATCH($A72,'Hoja de apoyo v2'!$A$17:$A$20,0)),"")</f>
        <v>0.7559478312655763</v>
      </c>
      <c r="P72" s="793">
        <f>IFERROR(INDEX('Hoja de apoyo v2'!D$17:D$20,MATCH($A72,'Hoja de apoyo v2'!$A$17:$A$20,0)),"")</f>
        <v>9054.9839880720647</v>
      </c>
      <c r="Q72" s="793">
        <f>IFERROR(INDEX('Hoja de apoyo v2'!E$17:E$20,MATCH($A72,'Hoja de apoyo v2'!$A$17:$A$20,0)),"")</f>
        <v>4535.7799207004691</v>
      </c>
      <c r="R72" s="793">
        <f>IFERROR(INDEX('Hoja de apoyo v2'!F$17:F$20,MATCH($A72,'Hoja de apoyo v2'!$A$17:$A$20,0)),"")</f>
        <v>260.44838236060593</v>
      </c>
      <c r="S72" s="793">
        <f>IFERROR(INDEX('Hoja de apoyo v2'!G$17:G$20,MATCH($A72,'Hoja de apoyo v2'!$A$17:$A$20,0)),"")</f>
        <v>64.772152317133859</v>
      </c>
      <c r="T72" s="792">
        <f>IFERROR(INDEX('Hoja de apoyo v2'!H$17:H$20,MATCH($A72,'Hoja de apoyo v2'!$A$17:$A$20,0)),"")</f>
        <v>389.240053528842</v>
      </c>
      <c r="U72" s="794">
        <f t="shared" ref="U72:U135" si="39">IFERROR(G72/N72,"")</f>
        <v>0.66100238436113656</v>
      </c>
      <c r="V72" s="795">
        <f t="shared" ref="V72:V135" si="40">IFERROR(H72/O72,"")</f>
        <v>1.0923487188821606</v>
      </c>
      <c r="W72" s="795">
        <f t="shared" ref="W72:W135" si="41">IFERROR(IF(N(P72)=0,"",I72/P72),"")</f>
        <v>0.69644118612202255</v>
      </c>
      <c r="X72" s="843">
        <f t="shared" ref="X72:X135" si="42">IFERROR(IF(N(Q72)=0,"",J72/Q72),"")</f>
        <v>0.31737791076374694</v>
      </c>
      <c r="Y72" s="843">
        <f t="shared" ref="Y72:Y135" si="43">IFERROR(IF(N(R72)=0,"",K72/R72),"")</f>
        <v>0.39097426133323171</v>
      </c>
      <c r="Z72" s="843">
        <f t="shared" ref="Z72:Z135" si="44">IFERROR(IF(N(S72)=0,"",L72/S72),"")</f>
        <v>0.71568660231234171</v>
      </c>
      <c r="AA72" s="843">
        <f t="shared" ref="AA72:AA135" si="45">IFERROR(IF(N(T72)=0,"",M72/T72),"")</f>
        <v>0.65140427588577332</v>
      </c>
      <c r="AB72" s="796">
        <f t="shared" ref="AB72:AB135" si="46">IF(NOT(ISNUMBER(U72)),0,IFERROR(MATCH(U72,$U$3:$X$3,1)+1,1))</f>
        <v>2</v>
      </c>
      <c r="AC72" s="797">
        <f t="shared" ref="AC72:AC135" si="47">IF(NOT(ISNUMBER(V72)),0,IFERROR(MATCH(V72,$U$3:$X$3,1)+1,1))</f>
        <v>4</v>
      </c>
      <c r="AD72" s="797">
        <f t="shared" ref="AD72:AD135" si="48">IF(NOT(ISNUMBER(W72)),0,IFERROR(MATCH(W72,$U$3:$X$3,1)+1,1))</f>
        <v>2</v>
      </c>
      <c r="AE72" s="842">
        <f t="shared" ref="AE72:AE135" si="49">IF(NOT(ISNUMBER(X72)),0,IFERROR(MATCH(X72,$U$3:$X$3,1)+1,1))</f>
        <v>1</v>
      </c>
      <c r="AF72" s="842">
        <f t="shared" ref="AF72:AF135" si="50">IF(NOT(ISNUMBER(Y72)),0,IFERROR(MATCH(Y72,$U$3:$X$3,1)+1,1))</f>
        <v>1</v>
      </c>
      <c r="AG72" s="842">
        <f t="shared" ref="AG72:AG135" si="51">IF(NOT(ISNUMBER(Z72)),0,IFERROR(MATCH(Z72,$U$3:$X$3,1)+1,1))</f>
        <v>2</v>
      </c>
      <c r="AH72" s="842">
        <f t="shared" ref="AH72:AH135" si="52">IF(NOT(ISNUMBER(AA72)),0,IFERROR(MATCH(AA72,$U$3:$X$3,1)+1,1))</f>
        <v>2</v>
      </c>
      <c r="AI72" s="826" cm="1">
        <f t="array" ref="AI72">SUMPRODUCT(--ISNUMBER($U72:$AA72),$AB$3:$AH$3)</f>
        <v>1</v>
      </c>
      <c r="AJ72" s="829">
        <f t="shared" ref="AJ72:AJ135" si="53">IF(OR($E72&lt;&gt;"Activa",$F72&lt;&gt;"Sí",AI72&lt;$AI$4),"",(SUMPRODUCT($AB72:$AH72,$AB$3:$AH$3)/AI72-1)/4*100)</f>
        <v>23.430319013522489</v>
      </c>
      <c r="AK72" s="827" t="str">
        <f t="shared" ref="AK72:AK135" si="54">IF($E72&lt;&gt;"Activa","Ruta inactiva",IF($F72&lt;&gt;"Sí","No elegible",IF(AJ72="","Sin datos",IF(AJ72&gt;=$AJ$4,"Madura",IF(AJ72&lt;$AK$4,"Inmadura","En desarrollo")))))</f>
        <v>Inmadura</v>
      </c>
      <c r="AL72" s="784" t="str">
        <f t="shared" ref="AL72:AL135" si="55">IF(AJ72="","n/a",IF(AI72&gt;=$AL$3,"Alta",IF(AI72&gt;=$AL$4,"Media","Baja")))</f>
        <v>Alta</v>
      </c>
      <c r="AM72" s="799">
        <f>IF(ISNUMBER('Base de datos Rutas'!W70),'Base de datos Rutas'!W70,"")</f>
        <v>2318.2873272484931</v>
      </c>
      <c r="AN72" s="787">
        <f>IFERROR(SUMIFS('Base de datos Rutas'!$W$6:$W$794,'Base de datos Rutas'!$C$6:$C$794,$C72)/'Base de datos Rutas'!I70,"")</f>
        <v>2318.2873272484935</v>
      </c>
      <c r="AO72" s="800">
        <f>IFERROR('Base de datos Rutas'!X70*AN72/AM72,"")</f>
        <v>0.59011623323564499</v>
      </c>
      <c r="AP72" s="800">
        <f t="shared" ref="AP72:AP135" si="56">IF(ISNUMBER(AO72),1-AO72,"")</f>
        <v>0.40988376676435501</v>
      </c>
      <c r="AQ72" s="789">
        <f>IFERROR(INDEX('Hoja de apoyo v2'!$J$17:$J$20,MATCH($A72,'Hoja de apoyo v2'!$A$17:$A$20,0)),"")</f>
        <v>0.56799995069377007</v>
      </c>
      <c r="AR72" s="789">
        <f t="shared" ref="AR72:AR135" si="57">IF(AND(ISNUMBER($AP72),ISNUMBER($AQ72)),$AP72-$AQ72,"")</f>
        <v>-0.15811618392941507</v>
      </c>
      <c r="AS72" s="784" t="str">
        <f t="shared" ref="AS72:AS135" si="58">IF(NOT(ISNUMBER(AO72)),"n/d",IF(AO72&gt;=$AO$4,"Sí","No"))</f>
        <v>No</v>
      </c>
      <c r="AT72" s="801">
        <f>IF(ISNUMBER('Base de datos Rutas'!CK70),'Base de datos Rutas'!CK70,"")</f>
        <v>222</v>
      </c>
      <c r="AU72" s="802">
        <f>IF(ISNUMBER('Base de datos Rutas'!CL70),'Base de datos Rutas'!CL70,"")</f>
        <v>603.04</v>
      </c>
      <c r="AV72" s="802">
        <f>IF(ISNUMBER('Base de datos Rutas'!CM70),'Base de datos Rutas'!CM70,"")</f>
        <v>381.03999999999996</v>
      </c>
      <c r="AW72" s="802">
        <f>IF(ISNUMBER('Base de datos Rutas'!CN70),'Base de datos Rutas'!CN70,"")</f>
        <v>3.57</v>
      </c>
      <c r="AX72" s="802">
        <f>IF(ISNUMBER('Base de datos Rutas'!CO70),'Base de datos Rutas'!CO70,"")</f>
        <v>9.4499999999999993</v>
      </c>
      <c r="AY72" s="802">
        <f>IF(ISNUMBER('Base de datos Rutas'!CP70),'Base de datos Rutas'!CP70,"")</f>
        <v>5.879999999999999</v>
      </c>
      <c r="AZ72" s="802">
        <f>IF(ISNUMBER('Base de datos Rutas'!CQ70),'Base de datos Rutas'!CQ70,"")</f>
        <v>634.91999999999996</v>
      </c>
      <c r="BA72" s="802">
        <f>IF(ISNUMBER('Base de datos Rutas'!CR70),'Base de datos Rutas'!CR70,"")</f>
        <v>148.19</v>
      </c>
      <c r="BB72" s="803">
        <f>IF(ISNUMBER('Base de datos Rutas'!CS70),'Base de datos Rutas'!CS70,"")</f>
        <v>486.72999999999996</v>
      </c>
      <c r="BC72" s="804">
        <f t="shared" si="32"/>
        <v>0</v>
      </c>
      <c r="BD72" s="805" t="str">
        <f t="shared" si="33"/>
        <v>No saturada</v>
      </c>
      <c r="BE72" s="806">
        <f t="shared" si="34"/>
        <v>0.23339948339948341</v>
      </c>
      <c r="BF72" s="890">
        <f>IF(ISNUMBER('Base de datos Rutas'!CX70),'Base de datos Rutas'!CX70/100,"")</f>
        <v>0.69868012108980826</v>
      </c>
      <c r="BG72" s="891">
        <f>IF(ISNUMBER('Base de datos Rutas'!CZ70),'Base de datos Rutas'!CZ70/100,"")</f>
        <v>0.77558022199798193</v>
      </c>
      <c r="BH72" s="892">
        <f>IF(ISNUMBER('Base de datos Rutas'!DA70),'Base de datos Rutas'!DA70,"")</f>
        <v>660.70046701299088</v>
      </c>
      <c r="BI72" s="893">
        <f>IF(ISNUMBER('Base de datos Rutas'!DC70),'Base de datos Rutas'!DC70,"")</f>
        <v>14.083850570835303</v>
      </c>
      <c r="BJ72" s="805" t="str">
        <f t="shared" si="35"/>
        <v>Ruta (completo)</v>
      </c>
      <c r="BK72" s="783">
        <f t="shared" ref="BK72:BK135" si="59">IF(NOT(ISNUMBER($BF72)),0,MIN(5,1+INT(5*COUNTIFS($C$8:$C$796,$C72,$BF$8:$BF$796,"&lt;"&amp;$BF72)/COUNTIFS($C$8:$C$796,$C72,$BF$8:$BF$796,"&gt;=-1E+300"))))</f>
        <v>3</v>
      </c>
      <c r="BL72" s="797">
        <f t="shared" ref="BL72:BL135" si="60">IF(NOT(ISNUMBER($BG72)),0,MIN(5,1+INT(5*COUNTIFS($C$8:$C$796,$C72,$BG$8:$BG$796,"&lt;"&amp;$BG72)/COUNTIFS($C$8:$C$796,$C72,$BG$8:$BG$796,"&gt;=-1E+300"))))</f>
        <v>3</v>
      </c>
      <c r="BM72" s="797">
        <f t="shared" ref="BM72:BM135" si="61">IF(NOT(ISNUMBER($BH72)),0,MIN(5,1+INT(5*COUNTIFS($C$8:$C$796,$C72,$BH$8:$BH$796,"&lt;"&amp;$BH72)/COUNTIFS($C$8:$C$796,$C72,$BH$8:$BH$796,"&gt;=-1E+300"))))</f>
        <v>4</v>
      </c>
      <c r="BN72" s="797">
        <f t="shared" ref="BN72:BN135" si="62">IF(NOT(ISNUMBER($BI72)),0,MIN(5,1+INT(5*COUNTIFS($C$8:$C$796,$C72,$BI$8:$BI$796,"&lt;"&amp;$BI72)/COUNTIFS($C$8:$C$796,$C72,$BI$8:$BI$796,"&gt;=-1E+300"))))</f>
        <v>4</v>
      </c>
      <c r="BO72" s="798" cm="1">
        <f t="array" ref="BO72">SUMPRODUCT(--ISNUMBER($BF72:$BI72),$BK$3:$BN$3)</f>
        <v>1</v>
      </c>
      <c r="BP72" s="831">
        <f t="shared" ref="BP72" si="63">IF(BO72&lt;$BO$4,"",(SUMPRODUCT($BK72:$BN72,$BK$3:$BN$3)/BO72-1)/4*100)</f>
        <v>62.5</v>
      </c>
      <c r="BQ72" s="834" t="str">
        <f t="shared" si="36"/>
        <v>Alto</v>
      </c>
      <c r="BR72" s="836">
        <f t="shared" ref="BR72:BR135" si="64">IF(OR(NOT(ISNUMBER($AJ72)),$BD72="N/D"),"",$AJ72*$BS$3+IF($BD72="Saturada",100,0)*$BU$3)</f>
        <v>17.572739260141866</v>
      </c>
      <c r="BS72" s="836">
        <f t="shared" ref="BS72:BS135" si="65">IF(ISNUMBER($BP72),$BP72,"")</f>
        <v>62.5</v>
      </c>
      <c r="BT72" s="837" t="str">
        <f t="shared" ref="BT72:BT135" si="66">IF(OR(NOT(ISNUMBER($BR72)),NOT(ISNUMBER($BS72))),"Sin datos",IF($BR72&gt;=$BS$4,IF($BS72&gt;=$BU$4,"P1","P2"),IF($BS72&gt;=$BU$4,"P3","P4")))</f>
        <v>P3</v>
      </c>
      <c r="BU72" s="807" t="str">
        <f t="shared" si="37"/>
        <v>Con espacio</v>
      </c>
      <c r="BV72" s="807" t="str">
        <f t="shared" ref="BV72:BV135" si="67">IF($BU72="No evaluable","No evaluable",IF($BQ72="Sin datos","Sin datos de zona",IF($BQ72="Alto","Zona atractiva","Zona de bajo potencial")))</f>
        <v>Zona atractiva</v>
      </c>
      <c r="BW72" s="808" t="str">
        <f t="shared" ref="BW72:BW135" si="68">IFERROR(IF($BT72="P1","P1 - Ampliar cobertura",IF($BT72="P2","P2 - Mantener",IF($BT72="P3","P3 - Desarrollar",IF($BT72="P4","P4 - Evaluar","Sin datos")))),"Sin datos")</f>
        <v>P3 - Desarrollar</v>
      </c>
    </row>
    <row r="73" spans="1:75">
      <c r="A73" s="780" t="str">
        <f>'Base de datos Rutas'!A71</f>
        <v>Noreste</v>
      </c>
      <c r="B73" s="781" t="str">
        <f>'Base de datos Rutas'!B71</f>
        <v>Monterrey</v>
      </c>
      <c r="C73" s="781" t="str">
        <f>'Base de datos Rutas'!C71</f>
        <v>Sucursal Lincoln</v>
      </c>
      <c r="D73" s="782">
        <f>IF(ISNUMBER('Base de datos Rutas'!D71),'Base de datos Rutas'!D71,"Sin código")</f>
        <v>705324</v>
      </c>
      <c r="E73" s="783" t="str">
        <f>'Base de datos Rutas'!F71</f>
        <v>Activa</v>
      </c>
      <c r="F73" s="784" t="str">
        <f>'Base de datos Rutas'!H71</f>
        <v>Sí</v>
      </c>
      <c r="G73" s="785">
        <f>IF(ISNUMBER('Base de datos Rutas'!BE71),'Base de datos Rutas'!BE71,"")</f>
        <v>60.553398058252398</v>
      </c>
      <c r="H73" s="786">
        <f>IF(ISNUMBER('Base de datos Rutas'!BH71),'Base de datos Rutas'!BH71,"")</f>
        <v>0.51198492865159495</v>
      </c>
      <c r="I73" s="788">
        <f>IFERROR(IF(OR(NOT(ISNUMBER('Base de datos Rutas'!O71)),N('Base de datos Rutas'!BK71)=0),"",'Base de datos Rutas'!O71/('Base de datos Rutas'!L71/'Base de datos Rutas'!BK71)),"")</f>
        <v>4484.5103926096954</v>
      </c>
      <c r="J73" s="788">
        <f>IFERROR(IF(OR(NOT(ISNUMBER('Base de datos Rutas'!N71)),N('Base de datos Rutas'!BK71)=0),"",'Base de datos Rutas'!N71/('Base de datos Rutas'!L71/'Base de datos Rutas'!BK71)),"")</f>
        <v>1746.0877598152406</v>
      </c>
      <c r="K73" s="788">
        <f>IFERROR(IF(OR(NOT(ISNUMBER('Base de datos Rutas'!J71)),N('Base de datos Rutas'!BK71)=0),"",'Base de datos Rutas'!J71/('Base de datos Rutas'!L71/'Base de datos Rutas'!BK71)),"")</f>
        <v>122.43797321016153</v>
      </c>
      <c r="L73" s="788">
        <f>IFERROR(IF(OR(NOT(ISNUMBER('Base de datos Rutas'!K71)),N('Base de datos Rutas'!BK71)=0),"",'Base de datos Rutas'!K71/('Base de datos Rutas'!L71/'Base de datos Rutas'!BK71)),"")</f>
        <v>34.466628332563474</v>
      </c>
      <c r="M73" s="787">
        <f>IF(ISNUMBER('Base de datos Rutas'!AX71),'Base de datos Rutas'!AX71,"")</f>
        <v>205.23760973754301</v>
      </c>
      <c r="N73" s="790">
        <f>IFERROR(INDEX('Hoja de apoyo v2'!B$17:B$20,MATCH($A73,'Hoja de apoyo v2'!$A$17:$A$20,0)),"")</f>
        <v>63.050408855205418</v>
      </c>
      <c r="O73" s="791">
        <f>IFERROR(INDEX('Hoja de apoyo v2'!C$17:C$20,MATCH($A73,'Hoja de apoyo v2'!$A$17:$A$20,0)),"")</f>
        <v>0.7559478312655763</v>
      </c>
      <c r="P73" s="793">
        <f>IFERROR(INDEX('Hoja de apoyo v2'!D$17:D$20,MATCH($A73,'Hoja de apoyo v2'!$A$17:$A$20,0)),"")</f>
        <v>9054.9839880720647</v>
      </c>
      <c r="Q73" s="793">
        <f>IFERROR(INDEX('Hoja de apoyo v2'!E$17:E$20,MATCH($A73,'Hoja de apoyo v2'!$A$17:$A$20,0)),"")</f>
        <v>4535.7799207004691</v>
      </c>
      <c r="R73" s="793">
        <f>IFERROR(INDEX('Hoja de apoyo v2'!F$17:F$20,MATCH($A73,'Hoja de apoyo v2'!$A$17:$A$20,0)),"")</f>
        <v>260.44838236060593</v>
      </c>
      <c r="S73" s="793">
        <f>IFERROR(INDEX('Hoja de apoyo v2'!G$17:G$20,MATCH($A73,'Hoja de apoyo v2'!$A$17:$A$20,0)),"")</f>
        <v>64.772152317133859</v>
      </c>
      <c r="T73" s="792">
        <f>IFERROR(INDEX('Hoja de apoyo v2'!H$17:H$20,MATCH($A73,'Hoja de apoyo v2'!$A$17:$A$20,0)),"")</f>
        <v>389.240053528842</v>
      </c>
      <c r="U73" s="794">
        <f t="shared" si="39"/>
        <v>0.96039659627446061</v>
      </c>
      <c r="V73" s="795">
        <f t="shared" si="40"/>
        <v>0.67727547785202469</v>
      </c>
      <c r="W73" s="795">
        <f t="shared" si="41"/>
        <v>0.49525326588286012</v>
      </c>
      <c r="X73" s="843">
        <f t="shared" si="42"/>
        <v>0.38495865988700551</v>
      </c>
      <c r="Y73" s="843">
        <f t="shared" si="43"/>
        <v>0.47010456390794181</v>
      </c>
      <c r="Z73" s="843">
        <f t="shared" si="44"/>
        <v>0.5321210906163788</v>
      </c>
      <c r="AA73" s="843">
        <f t="shared" si="45"/>
        <v>0.52727772457346878</v>
      </c>
      <c r="AB73" s="796">
        <f t="shared" si="46"/>
        <v>3</v>
      </c>
      <c r="AC73" s="797">
        <f t="shared" si="47"/>
        <v>2</v>
      </c>
      <c r="AD73" s="797">
        <f t="shared" si="48"/>
        <v>1</v>
      </c>
      <c r="AE73" s="842">
        <f t="shared" si="49"/>
        <v>1</v>
      </c>
      <c r="AF73" s="842">
        <f t="shared" si="50"/>
        <v>1</v>
      </c>
      <c r="AG73" s="842">
        <f t="shared" si="51"/>
        <v>2</v>
      </c>
      <c r="AH73" s="842">
        <f t="shared" si="52"/>
        <v>2</v>
      </c>
      <c r="AI73" s="826" cm="1">
        <f t="array" ref="AI73">SUMPRODUCT(--ISNUMBER($U73:$AA73),$AB$3:$AH$3)</f>
        <v>1</v>
      </c>
      <c r="AJ73" s="829">
        <f t="shared" si="53"/>
        <v>18.083972550550246</v>
      </c>
      <c r="AK73" s="827" t="str">
        <f t="shared" si="54"/>
        <v>Inmadura</v>
      </c>
      <c r="AL73" s="784" t="str">
        <f t="shared" si="55"/>
        <v>Alta</v>
      </c>
      <c r="AM73" s="799">
        <f>IF(ISNUMBER('Base de datos Rutas'!W71),'Base de datos Rutas'!W71,"")</f>
        <v>2318.2873272484931</v>
      </c>
      <c r="AN73" s="787">
        <f>IFERROR(SUMIFS('Base de datos Rutas'!$W$6:$W$794,'Base de datos Rutas'!$C$6:$C$794,$C73)/'Base de datos Rutas'!I71,"")</f>
        <v>2318.2873272484935</v>
      </c>
      <c r="AO73" s="800">
        <f>IFERROR('Base de datos Rutas'!X71*AN73/AM73,"")</f>
        <v>0.59011623323564499</v>
      </c>
      <c r="AP73" s="800">
        <f t="shared" si="56"/>
        <v>0.40988376676435501</v>
      </c>
      <c r="AQ73" s="789">
        <f>IFERROR(INDEX('Hoja de apoyo v2'!$J$17:$J$20,MATCH($A73,'Hoja de apoyo v2'!$A$17:$A$20,0)),"")</f>
        <v>0.56799995069377007</v>
      </c>
      <c r="AR73" s="789">
        <f t="shared" si="57"/>
        <v>-0.15811618392941507</v>
      </c>
      <c r="AS73" s="784" t="str">
        <f t="shared" si="58"/>
        <v>No</v>
      </c>
      <c r="AT73" s="801">
        <f>IF(ISNUMBER('Base de datos Rutas'!CK71),'Base de datos Rutas'!CK71,"")</f>
        <v>326</v>
      </c>
      <c r="AU73" s="802">
        <f>IF(ISNUMBER('Base de datos Rutas'!CL71),'Base de datos Rutas'!CL71,"")</f>
        <v>788.32</v>
      </c>
      <c r="AV73" s="802">
        <f>IF(ISNUMBER('Base de datos Rutas'!CM71),'Base de datos Rutas'!CM71,"")</f>
        <v>462.32000000000005</v>
      </c>
      <c r="AW73" s="802">
        <f>IF(ISNUMBER('Base de datos Rutas'!CN71),'Base de datos Rutas'!CN71,"")</f>
        <v>4.33</v>
      </c>
      <c r="AX73" s="802">
        <f>IF(ISNUMBER('Base de datos Rutas'!CO71),'Base de datos Rutas'!CO71,"")</f>
        <v>9.4499999999999993</v>
      </c>
      <c r="AY73" s="802">
        <f>IF(ISNUMBER('Base de datos Rutas'!CP71),'Base de datos Rutas'!CP71,"")</f>
        <v>5.1199999999999992</v>
      </c>
      <c r="AZ73" s="802">
        <f>IF(ISNUMBER('Base de datos Rutas'!CQ71),'Base de datos Rutas'!CQ71,"")</f>
        <v>634.91999999999996</v>
      </c>
      <c r="BA73" s="802">
        <f>IF(ISNUMBER('Base de datos Rutas'!CR71),'Base de datos Rutas'!CR71,"")</f>
        <v>156.9</v>
      </c>
      <c r="BB73" s="803">
        <f>IF(ISNUMBER('Base de datos Rutas'!CS71),'Base de datos Rutas'!CS71,"")</f>
        <v>478.02</v>
      </c>
      <c r="BC73" s="804">
        <f t="shared" ref="BC73:BC136" si="69">IF(OR(COUNT($AV73,$AY73,$BB73)&lt;3,NOT(ISNUMBER($AT73)),N($AT73)&lt;=0,N($AZ73)&lt;=0),"",COUNTIF($AV73,"&lt;="&amp;$BC$4)+COUNTIF($AY73,"&lt;="&amp;$BC$4)+COUNTIF($BB73,"&lt;="&amp;$BC$4))</f>
        <v>0</v>
      </c>
      <c r="BD73" s="805" t="str">
        <f t="shared" ref="BD73:BD136" si="70">IF(NOT(ISNUMBER($BC73)),"N/D",IF($BC73&gt;=1,"Saturada","No saturada"))</f>
        <v>No saturada</v>
      </c>
      <c r="BE73" s="806">
        <f t="shared" ref="BE73:BE136" si="71">IF(AND(ISNUMBER($AZ73),ISNUMBER($BA73),$AZ73&lt;&gt;0),$BA73/$AZ73,"")</f>
        <v>0.24711774711774714</v>
      </c>
      <c r="BF73" s="890">
        <f>IF(ISNUMBER('Base de datos Rutas'!CX71),'Base de datos Rutas'!CX71/100,"")</f>
        <v>0.62982464888224055</v>
      </c>
      <c r="BG73" s="891">
        <f>IF(ISNUMBER('Base de datos Rutas'!CZ71),'Base de datos Rutas'!CZ71/100,"")</f>
        <v>0.66824565777445355</v>
      </c>
      <c r="BH73" s="892">
        <f>IF(ISNUMBER('Base de datos Rutas'!DA71),'Base de datos Rutas'!DA71,"")</f>
        <v>371.93903717551854</v>
      </c>
      <c r="BI73" s="893">
        <f>IF(ISNUMBER('Base de datos Rutas'!DC71),'Base de datos Rutas'!DC71,"")</f>
        <v>9.7785811007641268</v>
      </c>
      <c r="BJ73" s="805" t="str">
        <f t="shared" ref="BJ73:BJ136" si="72">IF(COUNT($BF73:$BI73)=4,"Ruta (completo)",IF(COUNT($BF73:$BI73)=0,"Sin dato","Ruta (parcial)"))</f>
        <v>Ruta (completo)</v>
      </c>
      <c r="BK73" s="783">
        <f t="shared" si="59"/>
        <v>3</v>
      </c>
      <c r="BL73" s="797">
        <f t="shared" si="60"/>
        <v>3</v>
      </c>
      <c r="BM73" s="797">
        <f t="shared" si="61"/>
        <v>3</v>
      </c>
      <c r="BN73" s="797">
        <f t="shared" si="62"/>
        <v>3</v>
      </c>
      <c r="BO73" s="798" cm="1">
        <f t="array" ref="BO73">SUMPRODUCT(--ISNUMBER($BF73:$BI73),$BK$3:$BN$3)</f>
        <v>1</v>
      </c>
      <c r="BP73" s="831">
        <f t="shared" ref="BP73:BP136" si="73">IF(BO73&lt;$BO$4,"",(SUMPRODUCT($BK73:$BN73,$BK$3:$BN$3)/BO73-1)/4*100)</f>
        <v>50</v>
      </c>
      <c r="BQ73" s="834" t="str">
        <f t="shared" ref="BQ73:BQ136" si="74">IF(BP73="","Sin datos",IF(BP73&gt;=$BP$4,"Alto",IF(BP73&lt;$BQ$4,"Bajo","Medio")))</f>
        <v>Alto</v>
      </c>
      <c r="BR73" s="836">
        <f t="shared" si="64"/>
        <v>13.562979412912686</v>
      </c>
      <c r="BS73" s="836">
        <f t="shared" si="65"/>
        <v>50</v>
      </c>
      <c r="BT73" s="837" t="str">
        <f t="shared" si="66"/>
        <v>P3</v>
      </c>
      <c r="BU73" s="807" t="str">
        <f t="shared" ref="BU73:BU136" si="75">IF(OR($AK73="Ruta inactiva",$AK73="No elegible",$AK73="Sin datos"),"No evaluable",IF($BD73="Saturada","Al tope","Con espacio"))</f>
        <v>Con espacio</v>
      </c>
      <c r="BV73" s="807" t="str">
        <f t="shared" si="67"/>
        <v>Zona atractiva</v>
      </c>
      <c r="BW73" s="808" t="str">
        <f t="shared" si="68"/>
        <v>P3 - Desarrollar</v>
      </c>
    </row>
    <row r="74" spans="1:75">
      <c r="A74" s="780" t="str">
        <f>'Base de datos Rutas'!A72</f>
        <v>Noreste</v>
      </c>
      <c r="B74" s="781" t="str">
        <f>'Base de datos Rutas'!B72</f>
        <v>Monterrey</v>
      </c>
      <c r="C74" s="781" t="str">
        <f>'Base de datos Rutas'!C72</f>
        <v>Sucursal Lincoln</v>
      </c>
      <c r="D74" s="782">
        <f>IF(ISNUMBER('Base de datos Rutas'!D72),'Base de datos Rutas'!D72,"Sin código")</f>
        <v>705325</v>
      </c>
      <c r="E74" s="783" t="str">
        <f>'Base de datos Rutas'!F72</f>
        <v>Activa</v>
      </c>
      <c r="F74" s="784" t="str">
        <f>'Base de datos Rutas'!H72</f>
        <v>Sí</v>
      </c>
      <c r="G74" s="785">
        <f>IF(ISNUMBER('Base de datos Rutas'!BE72),'Base de datos Rutas'!BE72,"")</f>
        <v>64.991044776119395</v>
      </c>
      <c r="H74" s="786">
        <f>IF(ISNUMBER('Base de datos Rutas'!BH72),'Base de datos Rutas'!BH72,"")</f>
        <v>0.318344662869741</v>
      </c>
      <c r="I74" s="788">
        <f>IFERROR(IF(OR(NOT(ISNUMBER('Base de datos Rutas'!O72)),N('Base de datos Rutas'!BK72)=0),"",'Base de datos Rutas'!O72/('Base de datos Rutas'!L72/'Base de datos Rutas'!BK72)),"")</f>
        <v>4545.8275058275012</v>
      </c>
      <c r="J74" s="788">
        <f>IFERROR(IF(OR(NOT(ISNUMBER('Base de datos Rutas'!N72)),N('Base de datos Rutas'!BK72)=0),"",'Base de datos Rutas'!N72/('Base de datos Rutas'!L72/'Base de datos Rutas'!BK72)),"")</f>
        <v>2398.4289044289021</v>
      </c>
      <c r="K74" s="788">
        <f>IFERROR(IF(OR(NOT(ISNUMBER('Base de datos Rutas'!J72)),N('Base de datos Rutas'!BK72)=0),"",'Base de datos Rutas'!J72/('Base de datos Rutas'!L72/'Base de datos Rutas'!BK72)),"")</f>
        <v>165.577432167832</v>
      </c>
      <c r="L74" s="788">
        <f>IFERROR(IF(OR(NOT(ISNUMBER('Base de datos Rutas'!K72)),N('Base de datos Rutas'!BK72)=0),"",'Base de datos Rutas'!K72/('Base de datos Rutas'!L72/'Base de datos Rutas'!BK72)),"")</f>
        <v>31.961277013985985</v>
      </c>
      <c r="M74" s="787">
        <f>IF(ISNUMBER('Base de datos Rutas'!AX72),'Base de datos Rutas'!AX72,"")</f>
        <v>338.64769239513498</v>
      </c>
      <c r="N74" s="790">
        <f>IFERROR(INDEX('Hoja de apoyo v2'!B$17:B$20,MATCH($A74,'Hoja de apoyo v2'!$A$17:$A$20,0)),"")</f>
        <v>63.050408855205418</v>
      </c>
      <c r="O74" s="791">
        <f>IFERROR(INDEX('Hoja de apoyo v2'!C$17:C$20,MATCH($A74,'Hoja de apoyo v2'!$A$17:$A$20,0)),"")</f>
        <v>0.7559478312655763</v>
      </c>
      <c r="P74" s="793">
        <f>IFERROR(INDEX('Hoja de apoyo v2'!D$17:D$20,MATCH($A74,'Hoja de apoyo v2'!$A$17:$A$20,0)),"")</f>
        <v>9054.9839880720647</v>
      </c>
      <c r="Q74" s="793">
        <f>IFERROR(INDEX('Hoja de apoyo v2'!E$17:E$20,MATCH($A74,'Hoja de apoyo v2'!$A$17:$A$20,0)),"")</f>
        <v>4535.7799207004691</v>
      </c>
      <c r="R74" s="793">
        <f>IFERROR(INDEX('Hoja de apoyo v2'!F$17:F$20,MATCH($A74,'Hoja de apoyo v2'!$A$17:$A$20,0)),"")</f>
        <v>260.44838236060593</v>
      </c>
      <c r="S74" s="793">
        <f>IFERROR(INDEX('Hoja de apoyo v2'!G$17:G$20,MATCH($A74,'Hoja de apoyo v2'!$A$17:$A$20,0)),"")</f>
        <v>64.772152317133859</v>
      </c>
      <c r="T74" s="792">
        <f>IFERROR(INDEX('Hoja de apoyo v2'!H$17:H$20,MATCH($A74,'Hoja de apoyo v2'!$A$17:$A$20,0)),"")</f>
        <v>389.240053528842</v>
      </c>
      <c r="U74" s="794">
        <f t="shared" si="39"/>
        <v>1.0307791171564109</v>
      </c>
      <c r="V74" s="795">
        <f t="shared" si="40"/>
        <v>0.4211198838110054</v>
      </c>
      <c r="W74" s="795">
        <f t="shared" si="41"/>
        <v>0.50202490825114898</v>
      </c>
      <c r="X74" s="843">
        <f t="shared" si="42"/>
        <v>0.52877982317504246</v>
      </c>
      <c r="Y74" s="843">
        <f t="shared" si="43"/>
        <v>0.63573991386354789</v>
      </c>
      <c r="Z74" s="843">
        <f t="shared" si="44"/>
        <v>0.49344163920165773</v>
      </c>
      <c r="AA74" s="843">
        <f t="shared" si="45"/>
        <v>0.87002272588589546</v>
      </c>
      <c r="AB74" s="796">
        <f t="shared" si="46"/>
        <v>4</v>
      </c>
      <c r="AC74" s="797">
        <f t="shared" si="47"/>
        <v>1</v>
      </c>
      <c r="AD74" s="797">
        <f t="shared" si="48"/>
        <v>2</v>
      </c>
      <c r="AE74" s="842">
        <f t="shared" si="49"/>
        <v>2</v>
      </c>
      <c r="AF74" s="842">
        <f t="shared" si="50"/>
        <v>2</v>
      </c>
      <c r="AG74" s="842">
        <f t="shared" si="51"/>
        <v>1</v>
      </c>
      <c r="AH74" s="842">
        <f t="shared" si="52"/>
        <v>3</v>
      </c>
      <c r="AI74" s="826" cm="1">
        <f t="array" ref="AI74">SUMPRODUCT(--ISNUMBER($U74:$AA74),$AB$3:$AH$3)</f>
        <v>1</v>
      </c>
      <c r="AJ74" s="829">
        <f t="shared" si="53"/>
        <v>29.540027842649906</v>
      </c>
      <c r="AK74" s="827" t="str">
        <f t="shared" si="54"/>
        <v>Inmadura</v>
      </c>
      <c r="AL74" s="784" t="str">
        <f t="shared" si="55"/>
        <v>Alta</v>
      </c>
      <c r="AM74" s="799">
        <f>IF(ISNUMBER('Base de datos Rutas'!W72),'Base de datos Rutas'!W72,"")</f>
        <v>2318.2873272484931</v>
      </c>
      <c r="AN74" s="787">
        <f>IFERROR(SUMIFS('Base de datos Rutas'!$W$6:$W$794,'Base de datos Rutas'!$C$6:$C$794,$C74)/'Base de datos Rutas'!I72,"")</f>
        <v>2318.2873272484935</v>
      </c>
      <c r="AO74" s="800">
        <f>IFERROR('Base de datos Rutas'!X72*AN74/AM74,"")</f>
        <v>0.59011623323564499</v>
      </c>
      <c r="AP74" s="800">
        <f t="shared" si="56"/>
        <v>0.40988376676435501</v>
      </c>
      <c r="AQ74" s="789">
        <f>IFERROR(INDEX('Hoja de apoyo v2'!$J$17:$J$20,MATCH($A74,'Hoja de apoyo v2'!$A$17:$A$20,0)),"")</f>
        <v>0.56799995069377007</v>
      </c>
      <c r="AR74" s="789">
        <f t="shared" si="57"/>
        <v>-0.15811618392941507</v>
      </c>
      <c r="AS74" s="784" t="str">
        <f t="shared" si="58"/>
        <v>No</v>
      </c>
      <c r="AT74" s="801">
        <f>IF(ISNUMBER('Base de datos Rutas'!CK72),'Base de datos Rutas'!CK72,"")</f>
        <v>400</v>
      </c>
      <c r="AU74" s="802">
        <f>IF(ISNUMBER('Base de datos Rutas'!CL72),'Base de datos Rutas'!CL72,"")</f>
        <v>637.76</v>
      </c>
      <c r="AV74" s="802">
        <f>IF(ISNUMBER('Base de datos Rutas'!CM72),'Base de datos Rutas'!CM72,"")</f>
        <v>237.76</v>
      </c>
      <c r="AW74" s="802">
        <f>IF(ISNUMBER('Base de datos Rutas'!CN72),'Base de datos Rutas'!CN72,"")</f>
        <v>6.55</v>
      </c>
      <c r="AX74" s="802">
        <f>IF(ISNUMBER('Base de datos Rutas'!CO72),'Base de datos Rutas'!CO72,"")</f>
        <v>9.4499999999999993</v>
      </c>
      <c r="AY74" s="802">
        <f>IF(ISNUMBER('Base de datos Rutas'!CP72),'Base de datos Rutas'!CP72,"")</f>
        <v>2.8999999999999995</v>
      </c>
      <c r="AZ74" s="802">
        <f>IF(ISNUMBER('Base de datos Rutas'!CQ72),'Base de datos Rutas'!CQ72,"")</f>
        <v>634.91999999999996</v>
      </c>
      <c r="BA74" s="802">
        <f>IF(ISNUMBER('Base de datos Rutas'!CR72),'Base de datos Rutas'!CR72,"")</f>
        <v>197.54</v>
      </c>
      <c r="BB74" s="803">
        <f>IF(ISNUMBER('Base de datos Rutas'!CS72),'Base de datos Rutas'!CS72,"")</f>
        <v>437.38</v>
      </c>
      <c r="BC74" s="804">
        <f t="shared" si="69"/>
        <v>0</v>
      </c>
      <c r="BD74" s="805" t="str">
        <f t="shared" si="70"/>
        <v>No saturada</v>
      </c>
      <c r="BE74" s="806">
        <f t="shared" si="71"/>
        <v>0.31112581112581111</v>
      </c>
      <c r="BF74" s="890">
        <f>IF(ISNUMBER('Base de datos Rutas'!CX72),'Base de datos Rutas'!CX72/100,"")</f>
        <v>0.9277534084173088</v>
      </c>
      <c r="BG74" s="891">
        <f>IF(ISNUMBER('Base de datos Rutas'!CZ72),'Base de datos Rutas'!CZ72/100,"")</f>
        <v>0.99822169531713101</v>
      </c>
      <c r="BH74" s="892">
        <f>IF(ISNUMBER('Base de datos Rutas'!DA72),'Base de datos Rutas'!DA72,"")</f>
        <v>565.57533723170968</v>
      </c>
      <c r="BI74" s="893">
        <f>IF(ISNUMBER('Base de datos Rutas'!DC72),'Base de datos Rutas'!DC72,"")</f>
        <v>15.843741001616939</v>
      </c>
      <c r="BJ74" s="805" t="str">
        <f t="shared" si="72"/>
        <v>Ruta (completo)</v>
      </c>
      <c r="BK74" s="783">
        <f t="shared" si="59"/>
        <v>5</v>
      </c>
      <c r="BL74" s="797">
        <f t="shared" si="60"/>
        <v>4</v>
      </c>
      <c r="BM74" s="797">
        <f t="shared" si="61"/>
        <v>4</v>
      </c>
      <c r="BN74" s="797">
        <f t="shared" si="62"/>
        <v>4</v>
      </c>
      <c r="BO74" s="798" cm="1">
        <f t="array" ref="BO74">SUMPRODUCT(--ISNUMBER($BF74:$BI74),$BK$3:$BN$3)</f>
        <v>1</v>
      </c>
      <c r="BP74" s="831">
        <f t="shared" si="73"/>
        <v>81.25</v>
      </c>
      <c r="BQ74" s="834" t="str">
        <f t="shared" si="74"/>
        <v>Alto</v>
      </c>
      <c r="BR74" s="836">
        <f t="shared" si="64"/>
        <v>22.155020881987429</v>
      </c>
      <c r="BS74" s="836">
        <f t="shared" si="65"/>
        <v>81.25</v>
      </c>
      <c r="BT74" s="837" t="str">
        <f t="shared" si="66"/>
        <v>P3</v>
      </c>
      <c r="BU74" s="807" t="str">
        <f t="shared" si="75"/>
        <v>Con espacio</v>
      </c>
      <c r="BV74" s="807" t="str">
        <f t="shared" si="67"/>
        <v>Zona atractiva</v>
      </c>
      <c r="BW74" s="808" t="str">
        <f t="shared" si="68"/>
        <v>P3 - Desarrollar</v>
      </c>
    </row>
    <row r="75" spans="1:75">
      <c r="A75" s="780" t="str">
        <f>'Base de datos Rutas'!A73</f>
        <v>Noreste</v>
      </c>
      <c r="B75" s="781" t="str">
        <f>'Base de datos Rutas'!B73</f>
        <v>Monterrey</v>
      </c>
      <c r="C75" s="781" t="str">
        <f>'Base de datos Rutas'!C73</f>
        <v>Sucursal Lincoln</v>
      </c>
      <c r="D75" s="782">
        <f>IF(ISNUMBER('Base de datos Rutas'!D73),'Base de datos Rutas'!D73,"Sin código")</f>
        <v>705326</v>
      </c>
      <c r="E75" s="783" t="str">
        <f>'Base de datos Rutas'!F73</f>
        <v>Activa</v>
      </c>
      <c r="F75" s="784" t="str">
        <f>'Base de datos Rutas'!H73</f>
        <v>Sí</v>
      </c>
      <c r="G75" s="785">
        <f>IF(ISNUMBER('Base de datos Rutas'!BE73),'Base de datos Rutas'!BE73,"")</f>
        <v>87.199084668192199</v>
      </c>
      <c r="H75" s="786">
        <f>IF(ISNUMBER('Base de datos Rutas'!BH73),'Base de datos Rutas'!BH73,"")</f>
        <v>0.26848790216763802</v>
      </c>
      <c r="I75" s="788">
        <f>IFERROR(IF(OR(NOT(ISNUMBER('Base de datos Rutas'!O73)),N('Base de datos Rutas'!BK73)=0),"",'Base de datos Rutas'!O73/('Base de datos Rutas'!L73/'Base de datos Rutas'!BK73)),"")</f>
        <v>3419.377574370707</v>
      </c>
      <c r="J75" s="788">
        <f>IFERROR(IF(OR(NOT(ISNUMBER('Base de datos Rutas'!N73)),N('Base de datos Rutas'!BK73)=0),"",'Base de datos Rutas'!N73/('Base de datos Rutas'!L73/'Base de datos Rutas'!BK73)),"")</f>
        <v>2159.8947368421041</v>
      </c>
      <c r="K75" s="788">
        <f>IFERROR(IF(OR(NOT(ISNUMBER('Base de datos Rutas'!J73)),N('Base de datos Rutas'!BK73)=0),"",'Base de datos Rutas'!J73/('Base de datos Rutas'!L73/'Base de datos Rutas'!BK73)),"")</f>
        <v>146.2183705812356</v>
      </c>
      <c r="L75" s="788">
        <f>IFERROR(IF(OR(NOT(ISNUMBER('Base de datos Rutas'!K73)),N('Base de datos Rutas'!BK73)=0),"",'Base de datos Rutas'!K73/('Base de datos Rutas'!L73/'Base de datos Rutas'!BK73)),"")</f>
        <v>30.085035155606391</v>
      </c>
      <c r="M75" s="787">
        <f>IF(ISNUMBER('Base de datos Rutas'!AX73),'Base de datos Rutas'!AX73,"")</f>
        <v>237.411301925521</v>
      </c>
      <c r="N75" s="790">
        <f>IFERROR(INDEX('Hoja de apoyo v2'!B$17:B$20,MATCH($A75,'Hoja de apoyo v2'!$A$17:$A$20,0)),"")</f>
        <v>63.050408855205418</v>
      </c>
      <c r="O75" s="791">
        <f>IFERROR(INDEX('Hoja de apoyo v2'!C$17:C$20,MATCH($A75,'Hoja de apoyo v2'!$A$17:$A$20,0)),"")</f>
        <v>0.7559478312655763</v>
      </c>
      <c r="P75" s="793">
        <f>IFERROR(INDEX('Hoja de apoyo v2'!D$17:D$20,MATCH($A75,'Hoja de apoyo v2'!$A$17:$A$20,0)),"")</f>
        <v>9054.9839880720647</v>
      </c>
      <c r="Q75" s="793">
        <f>IFERROR(INDEX('Hoja de apoyo v2'!E$17:E$20,MATCH($A75,'Hoja de apoyo v2'!$A$17:$A$20,0)),"")</f>
        <v>4535.7799207004691</v>
      </c>
      <c r="R75" s="793">
        <f>IFERROR(INDEX('Hoja de apoyo v2'!F$17:F$20,MATCH($A75,'Hoja de apoyo v2'!$A$17:$A$20,0)),"")</f>
        <v>260.44838236060593</v>
      </c>
      <c r="S75" s="793">
        <f>IFERROR(INDEX('Hoja de apoyo v2'!G$17:G$20,MATCH($A75,'Hoja de apoyo v2'!$A$17:$A$20,0)),"")</f>
        <v>64.772152317133859</v>
      </c>
      <c r="T75" s="792">
        <f>IFERROR(INDEX('Hoja de apoyo v2'!H$17:H$20,MATCH($A75,'Hoja de apoyo v2'!$A$17:$A$20,0)),"")</f>
        <v>389.240053528842</v>
      </c>
      <c r="U75" s="794">
        <f t="shared" si="39"/>
        <v>1.3830058559722263</v>
      </c>
      <c r="V75" s="795">
        <f t="shared" si="40"/>
        <v>0.35516723649851178</v>
      </c>
      <c r="W75" s="795">
        <f t="shared" si="41"/>
        <v>0.37762381235295162</v>
      </c>
      <c r="X75" s="843">
        <f t="shared" si="42"/>
        <v>0.47619037400486297</v>
      </c>
      <c r="Y75" s="843">
        <f t="shared" si="43"/>
        <v>0.56141016986155734</v>
      </c>
      <c r="Z75" s="843">
        <f t="shared" si="44"/>
        <v>0.46447484110618548</v>
      </c>
      <c r="AA75" s="843">
        <f t="shared" si="45"/>
        <v>0.60993543643095105</v>
      </c>
      <c r="AB75" s="796">
        <f t="shared" si="46"/>
        <v>5</v>
      </c>
      <c r="AC75" s="797">
        <f t="shared" si="47"/>
        <v>1</v>
      </c>
      <c r="AD75" s="797">
        <f t="shared" si="48"/>
        <v>1</v>
      </c>
      <c r="AE75" s="842">
        <f t="shared" si="49"/>
        <v>1</v>
      </c>
      <c r="AF75" s="842">
        <f t="shared" si="50"/>
        <v>2</v>
      </c>
      <c r="AG75" s="842">
        <f t="shared" si="51"/>
        <v>1</v>
      </c>
      <c r="AH75" s="842">
        <f t="shared" si="52"/>
        <v>2</v>
      </c>
      <c r="AI75" s="826" cm="1">
        <f t="array" ref="AI75">SUMPRODUCT(--ISNUMBER($U75:$AA75),$AB$3:$AH$3)</f>
        <v>1</v>
      </c>
      <c r="AJ75" s="829">
        <f t="shared" si="53"/>
        <v>23.305317064913368</v>
      </c>
      <c r="AK75" s="827" t="str">
        <f t="shared" si="54"/>
        <v>Inmadura</v>
      </c>
      <c r="AL75" s="784" t="str">
        <f t="shared" si="55"/>
        <v>Alta</v>
      </c>
      <c r="AM75" s="799">
        <f>IF(ISNUMBER('Base de datos Rutas'!W73),'Base de datos Rutas'!W73,"")</f>
        <v>2318.2873272484931</v>
      </c>
      <c r="AN75" s="787">
        <f>IFERROR(SUMIFS('Base de datos Rutas'!$W$6:$W$794,'Base de datos Rutas'!$C$6:$C$794,$C75)/'Base de datos Rutas'!I73,"")</f>
        <v>2318.2873272484935</v>
      </c>
      <c r="AO75" s="800">
        <f>IFERROR('Base de datos Rutas'!X73*AN75/AM75,"")</f>
        <v>0.59011623323564499</v>
      </c>
      <c r="AP75" s="800">
        <f t="shared" si="56"/>
        <v>0.40988376676435501</v>
      </c>
      <c r="AQ75" s="789">
        <f>IFERROR(INDEX('Hoja de apoyo v2'!$J$17:$J$20,MATCH($A75,'Hoja de apoyo v2'!$A$17:$A$20,0)),"")</f>
        <v>0.56799995069377007</v>
      </c>
      <c r="AR75" s="789">
        <f t="shared" si="57"/>
        <v>-0.15811618392941507</v>
      </c>
      <c r="AS75" s="784" t="str">
        <f t="shared" si="58"/>
        <v>No</v>
      </c>
      <c r="AT75" s="801">
        <f>IF(ISNUMBER('Base de datos Rutas'!CK73),'Base de datos Rutas'!CK73,"")</f>
        <v>726</v>
      </c>
      <c r="AU75" s="802">
        <f>IF(ISNUMBER('Base de datos Rutas'!CL73),'Base de datos Rutas'!CL73,"")</f>
        <v>931.64</v>
      </c>
      <c r="AV75" s="802">
        <f>IF(ISNUMBER('Base de datos Rutas'!CM73),'Base de datos Rutas'!CM73,"")</f>
        <v>205.64</v>
      </c>
      <c r="AW75" s="802">
        <f>IF(ISNUMBER('Base de datos Rutas'!CN73),'Base de datos Rutas'!CN73,"")</f>
        <v>26.91</v>
      </c>
      <c r="AX75" s="802">
        <f>IF(ISNUMBER('Base de datos Rutas'!CO73),'Base de datos Rutas'!CO73,"")</f>
        <v>9.4499999999999993</v>
      </c>
      <c r="AY75" s="802">
        <f>IF(ISNUMBER('Base de datos Rutas'!CP73),'Base de datos Rutas'!CP73,"")</f>
        <v>-17.46</v>
      </c>
      <c r="AZ75" s="802">
        <f>IF(ISNUMBER('Base de datos Rutas'!CQ73),'Base de datos Rutas'!CQ73,"")</f>
        <v>634.91999999999996</v>
      </c>
      <c r="BA75" s="802">
        <f>IF(ISNUMBER('Base de datos Rutas'!CR73),'Base de datos Rutas'!CR73,"")</f>
        <v>176.3</v>
      </c>
      <c r="BB75" s="803">
        <f>IF(ISNUMBER('Base de datos Rutas'!CS73),'Base de datos Rutas'!CS73,"")</f>
        <v>458.61999999999995</v>
      </c>
      <c r="BC75" s="804">
        <f t="shared" si="69"/>
        <v>1</v>
      </c>
      <c r="BD75" s="805" t="str">
        <f t="shared" si="70"/>
        <v>Saturada</v>
      </c>
      <c r="BE75" s="806">
        <f t="shared" si="71"/>
        <v>0.2776727776727777</v>
      </c>
      <c r="BF75" s="890">
        <f>IF(ISNUMBER('Base de datos Rutas'!CX73),'Base de datos Rutas'!CX73/100,"")</f>
        <v>6.0214318147419406E-2</v>
      </c>
      <c r="BG75" s="891">
        <f>IF(ISNUMBER('Base de datos Rutas'!CZ73),'Base de datos Rutas'!CZ73/100,"")</f>
        <v>6.3326774632965044E-2</v>
      </c>
      <c r="BH75" s="892">
        <f>IF(ISNUMBER('Base de datos Rutas'!DA73),'Base de datos Rutas'!DA73,"")</f>
        <v>47.259737363532061</v>
      </c>
      <c r="BI75" s="893">
        <f>IF(ISNUMBER('Base de datos Rutas'!DC73),'Base de datos Rutas'!DC73,"")</f>
        <v>1.5804861333666487</v>
      </c>
      <c r="BJ75" s="805" t="str">
        <f t="shared" si="72"/>
        <v>Ruta (completo)</v>
      </c>
      <c r="BK75" s="783">
        <f t="shared" si="59"/>
        <v>1</v>
      </c>
      <c r="BL75" s="797">
        <f t="shared" si="60"/>
        <v>1</v>
      </c>
      <c r="BM75" s="797">
        <f t="shared" si="61"/>
        <v>1</v>
      </c>
      <c r="BN75" s="797">
        <f t="shared" si="62"/>
        <v>1</v>
      </c>
      <c r="BO75" s="798" cm="1">
        <f t="array" ref="BO75">SUMPRODUCT(--ISNUMBER($BF75:$BI75),$BK$3:$BN$3)</f>
        <v>1</v>
      </c>
      <c r="BP75" s="831">
        <f t="shared" si="73"/>
        <v>0</v>
      </c>
      <c r="BQ75" s="834" t="str">
        <f t="shared" si="74"/>
        <v>Bajo</v>
      </c>
      <c r="BR75" s="836">
        <f t="shared" si="64"/>
        <v>42.478987798685026</v>
      </c>
      <c r="BS75" s="836">
        <f t="shared" si="65"/>
        <v>0</v>
      </c>
      <c r="BT75" s="837" t="str">
        <f t="shared" si="66"/>
        <v>P2</v>
      </c>
      <c r="BU75" s="807" t="str">
        <f t="shared" si="75"/>
        <v>Al tope</v>
      </c>
      <c r="BV75" s="807" t="str">
        <f t="shared" si="67"/>
        <v>Zona de bajo potencial</v>
      </c>
      <c r="BW75" s="808" t="str">
        <f t="shared" si="68"/>
        <v>P2 - Mantener</v>
      </c>
    </row>
    <row r="76" spans="1:75">
      <c r="A76" s="780" t="str">
        <f>'Base de datos Rutas'!A74</f>
        <v>Noreste</v>
      </c>
      <c r="B76" s="781" t="str">
        <f>'Base de datos Rutas'!B74</f>
        <v>Monterrey</v>
      </c>
      <c r="C76" s="781" t="str">
        <f>'Base de datos Rutas'!C74</f>
        <v>Sucursal Lincoln</v>
      </c>
      <c r="D76" s="782">
        <f>IF(ISNUMBER('Base de datos Rutas'!D74),'Base de datos Rutas'!D74,"Sin código")</f>
        <v>705327</v>
      </c>
      <c r="E76" s="783" t="str">
        <f>'Base de datos Rutas'!F74</f>
        <v>Activa</v>
      </c>
      <c r="F76" s="784" t="str">
        <f>'Base de datos Rutas'!H74</f>
        <v>Sí</v>
      </c>
      <c r="G76" s="785">
        <f>IF(ISNUMBER('Base de datos Rutas'!BE74),'Base de datos Rutas'!BE74,"")</f>
        <v>66.173684210526304</v>
      </c>
      <c r="H76" s="786">
        <f>IF(ISNUMBER('Base de datos Rutas'!BH74),'Base de datos Rutas'!BH74,"")</f>
        <v>0.43708740952835401</v>
      </c>
      <c r="I76" s="788">
        <f>IFERROR(IF(OR(NOT(ISNUMBER('Base de datos Rutas'!O74)),N('Base de datos Rutas'!BK74)=0),"",'Base de datos Rutas'!O74/('Base de datos Rutas'!L74/'Base de datos Rutas'!BK74)),"")</f>
        <v>2182.0785714285712</v>
      </c>
      <c r="J76" s="788">
        <f>IFERROR(IF(OR(NOT(ISNUMBER('Base de datos Rutas'!N74)),N('Base de datos Rutas'!BK74)=0),"",'Base de datos Rutas'!N74/('Base de datos Rutas'!L74/'Base de datos Rutas'!BK74)),"")</f>
        <v>1107.7547619047618</v>
      </c>
      <c r="K76" s="788">
        <f>IFERROR(IF(OR(NOT(ISNUMBER('Base de datos Rutas'!J74)),N('Base de datos Rutas'!BK74)=0),"",'Base de datos Rutas'!J74/('Base de datos Rutas'!L74/'Base de datos Rutas'!BK74)),"")</f>
        <v>74.339413333333326</v>
      </c>
      <c r="L76" s="788">
        <f>IFERROR(IF(OR(NOT(ISNUMBER('Base de datos Rutas'!K74)),N('Base de datos Rutas'!BK74)=0),"",'Base de datos Rutas'!K74/('Base de datos Rutas'!L74/'Base de datos Rutas'!BK74)),"")</f>
        <v>17.401043126190473</v>
      </c>
      <c r="M76" s="787">
        <f>IF(ISNUMBER('Base de datos Rutas'!AX74),'Base de datos Rutas'!AX74,"")</f>
        <v>120.93925006578399</v>
      </c>
      <c r="N76" s="790">
        <f>IFERROR(INDEX('Hoja de apoyo v2'!B$17:B$20,MATCH($A76,'Hoja de apoyo v2'!$A$17:$A$20,0)),"")</f>
        <v>63.050408855205418</v>
      </c>
      <c r="O76" s="791">
        <f>IFERROR(INDEX('Hoja de apoyo v2'!C$17:C$20,MATCH($A76,'Hoja de apoyo v2'!$A$17:$A$20,0)),"")</f>
        <v>0.7559478312655763</v>
      </c>
      <c r="P76" s="793">
        <f>IFERROR(INDEX('Hoja de apoyo v2'!D$17:D$20,MATCH($A76,'Hoja de apoyo v2'!$A$17:$A$20,0)),"")</f>
        <v>9054.9839880720647</v>
      </c>
      <c r="Q76" s="793">
        <f>IFERROR(INDEX('Hoja de apoyo v2'!E$17:E$20,MATCH($A76,'Hoja de apoyo v2'!$A$17:$A$20,0)),"")</f>
        <v>4535.7799207004691</v>
      </c>
      <c r="R76" s="793">
        <f>IFERROR(INDEX('Hoja de apoyo v2'!F$17:F$20,MATCH($A76,'Hoja de apoyo v2'!$A$17:$A$20,0)),"")</f>
        <v>260.44838236060593</v>
      </c>
      <c r="S76" s="793">
        <f>IFERROR(INDEX('Hoja de apoyo v2'!G$17:G$20,MATCH($A76,'Hoja de apoyo v2'!$A$17:$A$20,0)),"")</f>
        <v>64.772152317133859</v>
      </c>
      <c r="T76" s="792">
        <f>IFERROR(INDEX('Hoja de apoyo v2'!H$17:H$20,MATCH($A76,'Hoja de apoyo v2'!$A$17:$A$20,0)),"")</f>
        <v>389.240053528842</v>
      </c>
      <c r="U76" s="794">
        <f t="shared" si="39"/>
        <v>1.0495361633973452</v>
      </c>
      <c r="V76" s="795">
        <f t="shared" si="40"/>
        <v>0.57819784838406174</v>
      </c>
      <c r="W76" s="795">
        <f t="shared" si="41"/>
        <v>0.24098094202076739</v>
      </c>
      <c r="X76" s="843">
        <f t="shared" si="42"/>
        <v>0.24422586220490372</v>
      </c>
      <c r="Y76" s="843">
        <f t="shared" si="43"/>
        <v>0.28542858534788701</v>
      </c>
      <c r="Z76" s="843">
        <f t="shared" si="44"/>
        <v>0.26865006802603131</v>
      </c>
      <c r="AA76" s="843">
        <f t="shared" si="45"/>
        <v>0.31070607705797831</v>
      </c>
      <c r="AB76" s="796">
        <f t="shared" si="46"/>
        <v>4</v>
      </c>
      <c r="AC76" s="797">
        <f t="shared" si="47"/>
        <v>2</v>
      </c>
      <c r="AD76" s="797">
        <f t="shared" si="48"/>
        <v>1</v>
      </c>
      <c r="AE76" s="842">
        <f t="shared" si="49"/>
        <v>1</v>
      </c>
      <c r="AF76" s="842">
        <f t="shared" si="50"/>
        <v>1</v>
      </c>
      <c r="AG76" s="842">
        <f t="shared" si="51"/>
        <v>1</v>
      </c>
      <c r="AH76" s="842">
        <f t="shared" si="52"/>
        <v>1</v>
      </c>
      <c r="AI76" s="826" cm="1">
        <f t="array" ref="AI76">SUMPRODUCT(--ISNUMBER($U76:$AA76),$AB$3:$AH$3)</f>
        <v>1</v>
      </c>
      <c r="AJ76" s="829">
        <f t="shared" si="53"/>
        <v>15.983814120300737</v>
      </c>
      <c r="AK76" s="827" t="str">
        <f t="shared" si="54"/>
        <v>Inmadura</v>
      </c>
      <c r="AL76" s="784" t="str">
        <f t="shared" si="55"/>
        <v>Alta</v>
      </c>
      <c r="AM76" s="799">
        <f>IF(ISNUMBER('Base de datos Rutas'!W74),'Base de datos Rutas'!W74,"")</f>
        <v>2318.2873272484931</v>
      </c>
      <c r="AN76" s="787">
        <f>IFERROR(SUMIFS('Base de datos Rutas'!$W$6:$W$794,'Base de datos Rutas'!$C$6:$C$794,$C76)/'Base de datos Rutas'!I74,"")</f>
        <v>2318.2873272484935</v>
      </c>
      <c r="AO76" s="800">
        <f>IFERROR('Base de datos Rutas'!X74*AN76/AM76,"")</f>
        <v>0.59011623323564499</v>
      </c>
      <c r="AP76" s="800">
        <f t="shared" si="56"/>
        <v>0.40988376676435501</v>
      </c>
      <c r="AQ76" s="789">
        <f>IFERROR(INDEX('Hoja de apoyo v2'!$J$17:$J$20,MATCH($A76,'Hoja de apoyo v2'!$A$17:$A$20,0)),"")</f>
        <v>0.56799995069377007</v>
      </c>
      <c r="AR76" s="789">
        <f t="shared" si="57"/>
        <v>-0.15811618392941507</v>
      </c>
      <c r="AS76" s="784" t="str">
        <f t="shared" si="58"/>
        <v>No</v>
      </c>
      <c r="AT76" s="801">
        <f>IF(ISNUMBER('Base de datos Rutas'!CK74),'Base de datos Rutas'!CK74,"")</f>
        <v>188</v>
      </c>
      <c r="AU76" s="802">
        <f>IF(ISNUMBER('Base de datos Rutas'!CL74),'Base de datos Rutas'!CL74,"")</f>
        <v>485.24</v>
      </c>
      <c r="AV76" s="802">
        <f>IF(ISNUMBER('Base de datos Rutas'!CM74),'Base de datos Rutas'!CM74,"")</f>
        <v>297.24</v>
      </c>
      <c r="AW76" s="802">
        <f>IF(ISNUMBER('Base de datos Rutas'!CN74),'Base de datos Rutas'!CN74,"")</f>
        <v>8.06</v>
      </c>
      <c r="AX76" s="802">
        <f>IF(ISNUMBER('Base de datos Rutas'!CO74),'Base de datos Rutas'!CO74,"")</f>
        <v>9.4499999999999993</v>
      </c>
      <c r="AY76" s="802">
        <f>IF(ISNUMBER('Base de datos Rutas'!CP74),'Base de datos Rutas'!CP74,"")</f>
        <v>1.3899999999999988</v>
      </c>
      <c r="AZ76" s="802">
        <f>IF(ISNUMBER('Base de datos Rutas'!CQ74),'Base de datos Rutas'!CQ74,"")</f>
        <v>634.91999999999996</v>
      </c>
      <c r="BA76" s="802">
        <f>IF(ISNUMBER('Base de datos Rutas'!CR74),'Base de datos Rutas'!CR74,"")</f>
        <v>91.74</v>
      </c>
      <c r="BB76" s="803">
        <f>IF(ISNUMBER('Base de datos Rutas'!CS74),'Base de datos Rutas'!CS74,"")</f>
        <v>543.17999999999995</v>
      </c>
      <c r="BC76" s="804">
        <f t="shared" si="69"/>
        <v>0</v>
      </c>
      <c r="BD76" s="805" t="str">
        <f t="shared" si="70"/>
        <v>No saturada</v>
      </c>
      <c r="BE76" s="806">
        <f t="shared" si="71"/>
        <v>0.1444906444906445</v>
      </c>
      <c r="BF76" s="890">
        <f>IF(ISNUMBER('Base de datos Rutas'!CX74),'Base de datos Rutas'!CX74/100,"")</f>
        <v>4.8581048829258865E-2</v>
      </c>
      <c r="BG76" s="891">
        <f>IF(ISNUMBER('Base de datos Rutas'!CZ74),'Base de datos Rutas'!CZ74/100,"")</f>
        <v>5.2415661484873893E-2</v>
      </c>
      <c r="BH76" s="892">
        <f>IF(ISNUMBER('Base de datos Rutas'!DA74),'Base de datos Rutas'!DA74,"")</f>
        <v>25.730248994245635</v>
      </c>
      <c r="BI76" s="893">
        <f>IF(ISNUMBER('Base de datos Rutas'!DC74),'Base de datos Rutas'!DC74,"")</f>
        <v>0.7035781260120515</v>
      </c>
      <c r="BJ76" s="805" t="str">
        <f t="shared" si="72"/>
        <v>Ruta (completo)</v>
      </c>
      <c r="BK76" s="783">
        <f t="shared" si="59"/>
        <v>1</v>
      </c>
      <c r="BL76" s="797">
        <f t="shared" si="60"/>
        <v>1</v>
      </c>
      <c r="BM76" s="797">
        <f t="shared" si="61"/>
        <v>1</v>
      </c>
      <c r="BN76" s="797">
        <f t="shared" si="62"/>
        <v>1</v>
      </c>
      <c r="BO76" s="798" cm="1">
        <f t="array" ref="BO76">SUMPRODUCT(--ISNUMBER($BF76:$BI76),$BK$3:$BN$3)</f>
        <v>1</v>
      </c>
      <c r="BP76" s="831">
        <f t="shared" si="73"/>
        <v>0</v>
      </c>
      <c r="BQ76" s="834" t="str">
        <f t="shared" si="74"/>
        <v>Bajo</v>
      </c>
      <c r="BR76" s="836">
        <f t="shared" si="64"/>
        <v>11.987860590225553</v>
      </c>
      <c r="BS76" s="836">
        <f t="shared" si="65"/>
        <v>0</v>
      </c>
      <c r="BT76" s="837" t="str">
        <f t="shared" si="66"/>
        <v>P4</v>
      </c>
      <c r="BU76" s="807" t="str">
        <f t="shared" si="75"/>
        <v>Con espacio</v>
      </c>
      <c r="BV76" s="807" t="str">
        <f t="shared" si="67"/>
        <v>Zona de bajo potencial</v>
      </c>
      <c r="BW76" s="808" t="str">
        <f t="shared" si="68"/>
        <v>P4 - Evaluar</v>
      </c>
    </row>
    <row r="77" spans="1:75">
      <c r="A77" s="780" t="str">
        <f>'Base de datos Rutas'!A75</f>
        <v>Noreste</v>
      </c>
      <c r="B77" s="781" t="str">
        <f>'Base de datos Rutas'!B75</f>
        <v>Monterrey</v>
      </c>
      <c r="C77" s="781" t="str">
        <f>'Base de datos Rutas'!C75</f>
        <v>Sucursal Santa Catarina</v>
      </c>
      <c r="D77" s="782">
        <f>IF(ISNUMBER('Base de datos Rutas'!D75),'Base de datos Rutas'!D75,"Sin código")</f>
        <v>712300</v>
      </c>
      <c r="E77" s="783" t="str">
        <f>'Base de datos Rutas'!F75</f>
        <v>Activa</v>
      </c>
      <c r="F77" s="784" t="str">
        <f>'Base de datos Rutas'!H75</f>
        <v>Sí</v>
      </c>
      <c r="G77" s="785">
        <f>IF(ISNUMBER('Base de datos Rutas'!BE75),'Base de datos Rutas'!BE75,"")</f>
        <v>80.632653061224502</v>
      </c>
      <c r="H77" s="786">
        <f>IF(ISNUMBER('Base de datos Rutas'!BH75),'Base de datos Rutas'!BH75,"")</f>
        <v>0.44900025310048097</v>
      </c>
      <c r="I77" s="788">
        <f>IFERROR(IF(OR(NOT(ISNUMBER('Base de datos Rutas'!O75)),N('Base de datos Rutas'!BK75)=0),"",'Base de datos Rutas'!O75/('Base de datos Rutas'!L75/'Base de datos Rutas'!BK75)),"")</f>
        <v>2276.1611253196934</v>
      </c>
      <c r="J77" s="788">
        <f>IFERROR(IF(OR(NOT(ISNUMBER('Base de datos Rutas'!N75)),N('Base de datos Rutas'!BK75)=0),"",'Base de datos Rutas'!N75/('Base de datos Rutas'!L75/'Base de datos Rutas'!BK75)),"")</f>
        <v>1120.2710997442457</v>
      </c>
      <c r="K77" s="788">
        <f>IFERROR(IF(OR(NOT(ISNUMBER('Base de datos Rutas'!J75)),N('Base de datos Rutas'!BK75)=0),"",'Base de datos Rutas'!J75/('Base de datos Rutas'!L75/'Base de datos Rutas'!BK75)),"")</f>
        <v>74.510921739130453</v>
      </c>
      <c r="L77" s="788">
        <f>IFERROR(IF(OR(NOT(ISNUMBER('Base de datos Rutas'!K75)),N('Base de datos Rutas'!BK75)=0),"",'Base de datos Rutas'!K75/('Base de datos Rutas'!L75/'Base de datos Rutas'!BK75)),"")</f>
        <v>17.473891150895142</v>
      </c>
      <c r="M77" s="787">
        <f>IF(ISNUMBER('Base de datos Rutas'!AX75),'Base de datos Rutas'!AX75,"")</f>
        <v>145.751352722354</v>
      </c>
      <c r="N77" s="790">
        <f>IFERROR(INDEX('Hoja de apoyo v2'!B$17:B$20,MATCH($A77,'Hoja de apoyo v2'!$A$17:$A$20,0)),"")</f>
        <v>63.050408855205418</v>
      </c>
      <c r="O77" s="791">
        <f>IFERROR(INDEX('Hoja de apoyo v2'!C$17:C$20,MATCH($A77,'Hoja de apoyo v2'!$A$17:$A$20,0)),"")</f>
        <v>0.7559478312655763</v>
      </c>
      <c r="P77" s="793">
        <f>IFERROR(INDEX('Hoja de apoyo v2'!D$17:D$20,MATCH($A77,'Hoja de apoyo v2'!$A$17:$A$20,0)),"")</f>
        <v>9054.9839880720647</v>
      </c>
      <c r="Q77" s="793">
        <f>IFERROR(INDEX('Hoja de apoyo v2'!E$17:E$20,MATCH($A77,'Hoja de apoyo v2'!$A$17:$A$20,0)),"")</f>
        <v>4535.7799207004691</v>
      </c>
      <c r="R77" s="793">
        <f>IFERROR(INDEX('Hoja de apoyo v2'!F$17:F$20,MATCH($A77,'Hoja de apoyo v2'!$A$17:$A$20,0)),"")</f>
        <v>260.44838236060593</v>
      </c>
      <c r="S77" s="793">
        <f>IFERROR(INDEX('Hoja de apoyo v2'!G$17:G$20,MATCH($A77,'Hoja de apoyo v2'!$A$17:$A$20,0)),"")</f>
        <v>64.772152317133859</v>
      </c>
      <c r="T77" s="792">
        <f>IFERROR(INDEX('Hoja de apoyo v2'!H$17:H$20,MATCH($A77,'Hoja de apoyo v2'!$A$17:$A$20,0)),"")</f>
        <v>389.240053528842</v>
      </c>
      <c r="U77" s="794">
        <f t="shared" si="39"/>
        <v>1.2788601140778724</v>
      </c>
      <c r="V77" s="795">
        <f t="shared" si="40"/>
        <v>0.59395666543388781</v>
      </c>
      <c r="W77" s="795">
        <f t="shared" si="41"/>
        <v>0.25137108230318589</v>
      </c>
      <c r="X77" s="843">
        <f t="shared" si="42"/>
        <v>0.24698532982862187</v>
      </c>
      <c r="Y77" s="843">
        <f t="shared" si="43"/>
        <v>0.28608709742710459</v>
      </c>
      <c r="Z77" s="843">
        <f t="shared" si="44"/>
        <v>0.26977474926787109</v>
      </c>
      <c r="AA77" s="843">
        <f t="shared" si="45"/>
        <v>0.37445106535407996</v>
      </c>
      <c r="AB77" s="796">
        <f t="shared" si="46"/>
        <v>5</v>
      </c>
      <c r="AC77" s="797">
        <f t="shared" si="47"/>
        <v>2</v>
      </c>
      <c r="AD77" s="797">
        <f t="shared" si="48"/>
        <v>1</v>
      </c>
      <c r="AE77" s="842">
        <f t="shared" si="49"/>
        <v>1</v>
      </c>
      <c r="AF77" s="842">
        <f t="shared" si="50"/>
        <v>1</v>
      </c>
      <c r="AG77" s="842">
        <f t="shared" si="51"/>
        <v>1</v>
      </c>
      <c r="AH77" s="842">
        <f t="shared" si="52"/>
        <v>1</v>
      </c>
      <c r="AI77" s="826" cm="1">
        <f t="array" ref="AI77">SUMPRODUCT(--ISNUMBER($U77:$AA77),$AB$3:$AH$3)</f>
        <v>1</v>
      </c>
      <c r="AJ77" s="829">
        <f t="shared" si="53"/>
        <v>20.517450298437488</v>
      </c>
      <c r="AK77" s="827" t="str">
        <f t="shared" si="54"/>
        <v>Inmadura</v>
      </c>
      <c r="AL77" s="784" t="str">
        <f t="shared" si="55"/>
        <v>Alta</v>
      </c>
      <c r="AM77" s="799">
        <f>IF(ISNUMBER('Base de datos Rutas'!W75),'Base de datos Rutas'!W75,"")</f>
        <v>3467.2961205401448</v>
      </c>
      <c r="AN77" s="787">
        <f>IFERROR(SUMIFS('Base de datos Rutas'!$W$6:$W$794,'Base de datos Rutas'!$C$6:$C$794,$C77)/'Base de datos Rutas'!I75,"")</f>
        <v>3467.2961205401448</v>
      </c>
      <c r="AO77" s="800">
        <f>IFERROR('Base de datos Rutas'!X75*AN77/AM77,"")</f>
        <v>0.43200004930622998</v>
      </c>
      <c r="AP77" s="800">
        <f t="shared" si="56"/>
        <v>0.56799995069377007</v>
      </c>
      <c r="AQ77" s="789">
        <f>IFERROR(INDEX('Hoja de apoyo v2'!$J$17:$J$20,MATCH($A77,'Hoja de apoyo v2'!$A$17:$A$20,0)),"")</f>
        <v>0.56799995069377007</v>
      </c>
      <c r="AR77" s="789">
        <f t="shared" si="57"/>
        <v>0</v>
      </c>
      <c r="AS77" s="784" t="str">
        <f t="shared" si="58"/>
        <v>No</v>
      </c>
      <c r="AT77" s="801">
        <f>IF(ISNUMBER('Base de datos Rutas'!CK75),'Base de datos Rutas'!CK75,"")</f>
        <v>612</v>
      </c>
      <c r="AU77" s="802">
        <f>IF(ISNUMBER('Base de datos Rutas'!CL75),'Base de datos Rutas'!CL75,"")</f>
        <v>797.55</v>
      </c>
      <c r="AV77" s="802">
        <f>IF(ISNUMBER('Base de datos Rutas'!CM75),'Base de datos Rutas'!CM75,"")</f>
        <v>185.54999999999995</v>
      </c>
      <c r="AW77" s="802">
        <f>IF(ISNUMBER('Base de datos Rutas'!CN75),'Base de datos Rutas'!CN75,"")</f>
        <v>7.45</v>
      </c>
      <c r="AX77" s="802">
        <f>IF(ISNUMBER('Base de datos Rutas'!CO75),'Base de datos Rutas'!CO75,"")</f>
        <v>9.4499999999999993</v>
      </c>
      <c r="AY77" s="802">
        <f>IF(ISNUMBER('Base de datos Rutas'!CP75),'Base de datos Rutas'!CP75,"")</f>
        <v>1.9999999999999991</v>
      </c>
      <c r="AZ77" s="802">
        <f>IF(ISNUMBER('Base de datos Rutas'!CQ75),'Base de datos Rutas'!CQ75,"")</f>
        <v>634.91999999999996</v>
      </c>
      <c r="BA77" s="802">
        <f>IF(ISNUMBER('Base de datos Rutas'!CR75),'Base de datos Rutas'!CR75,"")</f>
        <v>91.98</v>
      </c>
      <c r="BB77" s="803">
        <f>IF(ISNUMBER('Base de datos Rutas'!CS75),'Base de datos Rutas'!CS75,"")</f>
        <v>542.93999999999994</v>
      </c>
      <c r="BC77" s="804">
        <f t="shared" si="69"/>
        <v>0</v>
      </c>
      <c r="BD77" s="805" t="str">
        <f t="shared" si="70"/>
        <v>No saturada</v>
      </c>
      <c r="BE77" s="806">
        <f t="shared" si="71"/>
        <v>0.1448686448686449</v>
      </c>
      <c r="BF77" s="890">
        <f>IF(ISNUMBER('Base de datos Rutas'!CX75),'Base de datos Rutas'!CX75/100,"")</f>
        <v>0.20015712868011909</v>
      </c>
      <c r="BG77" s="891">
        <f>IF(ISNUMBER('Base de datos Rutas'!CZ75),'Base de datos Rutas'!CZ75/100,"")</f>
        <v>0.2103870327489249</v>
      </c>
      <c r="BH77" s="892">
        <f>IF(ISNUMBER('Base de datos Rutas'!DA75),'Base de datos Rutas'!DA75,"")</f>
        <v>222.99523945960254</v>
      </c>
      <c r="BI77" s="893">
        <f>IF(ISNUMBER('Base de datos Rutas'!DC75),'Base de datos Rutas'!DC75,"")</f>
        <v>5.6949543074349673</v>
      </c>
      <c r="BJ77" s="805" t="str">
        <f t="shared" si="72"/>
        <v>Ruta (completo)</v>
      </c>
      <c r="BK77" s="783">
        <f t="shared" si="59"/>
        <v>1</v>
      </c>
      <c r="BL77" s="797">
        <f t="shared" si="60"/>
        <v>1</v>
      </c>
      <c r="BM77" s="797">
        <f t="shared" si="61"/>
        <v>1</v>
      </c>
      <c r="BN77" s="797">
        <f t="shared" si="62"/>
        <v>1</v>
      </c>
      <c r="BO77" s="798" cm="1">
        <f t="array" ref="BO77">SUMPRODUCT(--ISNUMBER($BF77:$BI77),$BK$3:$BN$3)</f>
        <v>1</v>
      </c>
      <c r="BP77" s="831">
        <f t="shared" si="73"/>
        <v>0</v>
      </c>
      <c r="BQ77" s="834" t="str">
        <f t="shared" si="74"/>
        <v>Bajo</v>
      </c>
      <c r="BR77" s="836">
        <f t="shared" si="64"/>
        <v>15.388087723828116</v>
      </c>
      <c r="BS77" s="836">
        <f t="shared" si="65"/>
        <v>0</v>
      </c>
      <c r="BT77" s="837" t="str">
        <f t="shared" si="66"/>
        <v>P4</v>
      </c>
      <c r="BU77" s="807" t="str">
        <f t="shared" si="75"/>
        <v>Con espacio</v>
      </c>
      <c r="BV77" s="807" t="str">
        <f t="shared" si="67"/>
        <v>Zona de bajo potencial</v>
      </c>
      <c r="BW77" s="808" t="str">
        <f t="shared" si="68"/>
        <v>P4 - Evaluar</v>
      </c>
    </row>
    <row r="78" spans="1:75">
      <c r="A78" s="780" t="str">
        <f>'Base de datos Rutas'!A76</f>
        <v>Noreste</v>
      </c>
      <c r="B78" s="781" t="str">
        <f>'Base de datos Rutas'!B76</f>
        <v>Monterrey</v>
      </c>
      <c r="C78" s="781" t="str">
        <f>'Base de datos Rutas'!C76</f>
        <v>Sucursal Santa Catarina</v>
      </c>
      <c r="D78" s="782">
        <f>IF(ISNUMBER('Base de datos Rutas'!D76),'Base de datos Rutas'!D76,"Sin código")</f>
        <v>712302</v>
      </c>
      <c r="E78" s="783" t="str">
        <f>'Base de datos Rutas'!F76</f>
        <v>Activa</v>
      </c>
      <c r="F78" s="784" t="str">
        <f>'Base de datos Rutas'!H76</f>
        <v>Sí</v>
      </c>
      <c r="G78" s="785">
        <f>IF(ISNUMBER('Base de datos Rutas'!BE76),'Base de datos Rutas'!BE76,"")</f>
        <v>39.502392344497601</v>
      </c>
      <c r="H78" s="786">
        <f>IF(ISNUMBER('Base de datos Rutas'!BH76),'Base de datos Rutas'!BH76,"")</f>
        <v>0.73946220930232598</v>
      </c>
      <c r="I78" s="788">
        <f>IFERROR(IF(OR(NOT(ISNUMBER('Base de datos Rutas'!O76)),N('Base de datos Rutas'!BK76)=0),"",'Base de datos Rutas'!O76/('Base de datos Rutas'!L76/'Base de datos Rutas'!BK76)),"")</f>
        <v>3718.0760368663582</v>
      </c>
      <c r="J78" s="788">
        <f>IFERROR(IF(OR(NOT(ISNUMBER('Base de datos Rutas'!N76)),N('Base de datos Rutas'!BK76)=0),"",'Base de datos Rutas'!N76/('Base de datos Rutas'!L76/'Base de datos Rutas'!BK76)),"")</f>
        <v>2548.041474654377</v>
      </c>
      <c r="K78" s="788">
        <f>IFERROR(IF(OR(NOT(ISNUMBER('Base de datos Rutas'!J76)),N('Base de datos Rutas'!BK76)=0),"",'Base de datos Rutas'!J76/('Base de datos Rutas'!L76/'Base de datos Rutas'!BK76)),"")</f>
        <v>166.22643870967735</v>
      </c>
      <c r="L78" s="788">
        <f>IFERROR(IF(OR(NOT(ISNUMBER('Base de datos Rutas'!K76)),N('Base de datos Rutas'!BK76)=0),"",'Base de datos Rutas'!K76/('Base de datos Rutas'!L76/'Base de datos Rutas'!BK76)),"")</f>
        <v>26.922974244239619</v>
      </c>
      <c r="M78" s="787">
        <f>IF(ISNUMBER('Base de datos Rutas'!AX76),'Base de datos Rutas'!AX76,"")</f>
        <v>294.636326110509</v>
      </c>
      <c r="N78" s="790">
        <f>IFERROR(INDEX('Hoja de apoyo v2'!B$17:B$20,MATCH($A78,'Hoja de apoyo v2'!$A$17:$A$20,0)),"")</f>
        <v>63.050408855205418</v>
      </c>
      <c r="O78" s="791">
        <f>IFERROR(INDEX('Hoja de apoyo v2'!C$17:C$20,MATCH($A78,'Hoja de apoyo v2'!$A$17:$A$20,0)),"")</f>
        <v>0.7559478312655763</v>
      </c>
      <c r="P78" s="793">
        <f>IFERROR(INDEX('Hoja de apoyo v2'!D$17:D$20,MATCH($A78,'Hoja de apoyo v2'!$A$17:$A$20,0)),"")</f>
        <v>9054.9839880720647</v>
      </c>
      <c r="Q78" s="793">
        <f>IFERROR(INDEX('Hoja de apoyo v2'!E$17:E$20,MATCH($A78,'Hoja de apoyo v2'!$A$17:$A$20,0)),"")</f>
        <v>4535.7799207004691</v>
      </c>
      <c r="R78" s="793">
        <f>IFERROR(INDEX('Hoja de apoyo v2'!F$17:F$20,MATCH($A78,'Hoja de apoyo v2'!$A$17:$A$20,0)),"")</f>
        <v>260.44838236060593</v>
      </c>
      <c r="S78" s="793">
        <f>IFERROR(INDEX('Hoja de apoyo v2'!G$17:G$20,MATCH($A78,'Hoja de apoyo v2'!$A$17:$A$20,0)),"")</f>
        <v>64.772152317133859</v>
      </c>
      <c r="T78" s="792">
        <f>IFERROR(INDEX('Hoja de apoyo v2'!H$17:H$20,MATCH($A78,'Hoja de apoyo v2'!$A$17:$A$20,0)),"")</f>
        <v>389.240053528842</v>
      </c>
      <c r="U78" s="794">
        <f t="shared" si="39"/>
        <v>0.62652079600648458</v>
      </c>
      <c r="V78" s="795">
        <f t="shared" si="40"/>
        <v>0.97819211686122465</v>
      </c>
      <c r="W78" s="795">
        <f t="shared" si="41"/>
        <v>0.4106110007222652</v>
      </c>
      <c r="X78" s="843">
        <f t="shared" si="42"/>
        <v>0.56176479441288196</v>
      </c>
      <c r="Y78" s="843">
        <f t="shared" si="43"/>
        <v>0.63823179550229336</v>
      </c>
      <c r="Z78" s="843">
        <f t="shared" si="44"/>
        <v>0.41565662527965458</v>
      </c>
      <c r="AA78" s="843">
        <f t="shared" si="45"/>
        <v>0.75695274275949342</v>
      </c>
      <c r="AB78" s="796">
        <f t="shared" si="46"/>
        <v>2</v>
      </c>
      <c r="AC78" s="797">
        <f t="shared" si="47"/>
        <v>3</v>
      </c>
      <c r="AD78" s="797">
        <f t="shared" si="48"/>
        <v>1</v>
      </c>
      <c r="AE78" s="842">
        <f t="shared" si="49"/>
        <v>2</v>
      </c>
      <c r="AF78" s="842">
        <f t="shared" si="50"/>
        <v>2</v>
      </c>
      <c r="AG78" s="842">
        <f t="shared" si="51"/>
        <v>1</v>
      </c>
      <c r="AH78" s="842">
        <f t="shared" si="52"/>
        <v>3</v>
      </c>
      <c r="AI78" s="826" cm="1">
        <f t="array" ref="AI78">SUMPRODUCT(--ISNUMBER($U78:$AA78),$AB$3:$AH$3)</f>
        <v>1</v>
      </c>
      <c r="AJ78" s="829">
        <f t="shared" si="53"/>
        <v>20.124395188829325</v>
      </c>
      <c r="AK78" s="827" t="str">
        <f t="shared" si="54"/>
        <v>Inmadura</v>
      </c>
      <c r="AL78" s="784" t="str">
        <f t="shared" si="55"/>
        <v>Alta</v>
      </c>
      <c r="AM78" s="799">
        <f>IF(ISNUMBER('Base de datos Rutas'!W76),'Base de datos Rutas'!W76,"")</f>
        <v>3467.2961205401448</v>
      </c>
      <c r="AN78" s="787">
        <f>IFERROR(SUMIFS('Base de datos Rutas'!$W$6:$W$794,'Base de datos Rutas'!$C$6:$C$794,$C78)/'Base de datos Rutas'!I76,"")</f>
        <v>3467.2961205401448</v>
      </c>
      <c r="AO78" s="800">
        <f>IFERROR('Base de datos Rutas'!X76*AN78/AM78,"")</f>
        <v>0.43200004930622998</v>
      </c>
      <c r="AP78" s="800">
        <f t="shared" si="56"/>
        <v>0.56799995069377007</v>
      </c>
      <c r="AQ78" s="789">
        <f>IFERROR(INDEX('Hoja de apoyo v2'!$J$17:$J$20,MATCH($A78,'Hoja de apoyo v2'!$A$17:$A$20,0)),"")</f>
        <v>0.56799995069377007</v>
      </c>
      <c r="AR78" s="789">
        <f t="shared" si="57"/>
        <v>0</v>
      </c>
      <c r="AS78" s="784" t="str">
        <f t="shared" si="58"/>
        <v>No</v>
      </c>
      <c r="AT78" s="801">
        <f>IF(ISNUMBER('Base de datos Rutas'!CK76),'Base de datos Rutas'!CK76,"")</f>
        <v>436</v>
      </c>
      <c r="AU78" s="802">
        <f>IF(ISNUMBER('Base de datos Rutas'!CL76),'Base de datos Rutas'!CL76,"")</f>
        <v>603.99</v>
      </c>
      <c r="AV78" s="802">
        <f>IF(ISNUMBER('Base de datos Rutas'!CM76),'Base de datos Rutas'!CM76,"")</f>
        <v>167.99</v>
      </c>
      <c r="AW78" s="802">
        <f>IF(ISNUMBER('Base de datos Rutas'!CN76),'Base de datos Rutas'!CN76,"")</f>
        <v>7.62</v>
      </c>
      <c r="AX78" s="802">
        <f>IF(ISNUMBER('Base de datos Rutas'!CO76),'Base de datos Rutas'!CO76,"")</f>
        <v>9.4499999999999993</v>
      </c>
      <c r="AY78" s="802">
        <f>IF(ISNUMBER('Base de datos Rutas'!CP76),'Base de datos Rutas'!CP76,"")</f>
        <v>1.8299999999999992</v>
      </c>
      <c r="AZ78" s="802">
        <f>IF(ISNUMBER('Base de datos Rutas'!CQ76),'Base de datos Rutas'!CQ76,"")</f>
        <v>634.91999999999996</v>
      </c>
      <c r="BA78" s="802">
        <f>IF(ISNUMBER('Base de datos Rutas'!CR76),'Base de datos Rutas'!CR76,"")</f>
        <v>193.15</v>
      </c>
      <c r="BB78" s="803">
        <f>IF(ISNUMBER('Base de datos Rutas'!CS76),'Base de datos Rutas'!CS76,"")</f>
        <v>441.77</v>
      </c>
      <c r="BC78" s="804">
        <f t="shared" si="69"/>
        <v>0</v>
      </c>
      <c r="BD78" s="805" t="str">
        <f t="shared" si="70"/>
        <v>No saturada</v>
      </c>
      <c r="BE78" s="806">
        <f t="shared" si="71"/>
        <v>0.30421155421155421</v>
      </c>
      <c r="BF78" s="890">
        <f>IF(ISNUMBER('Base de datos Rutas'!CX76),'Base de datos Rutas'!CX76/100,"")</f>
        <v>0.42956297743826616</v>
      </c>
      <c r="BG78" s="891">
        <f>IF(ISNUMBER('Base de datos Rutas'!CZ76),'Base de datos Rutas'!CZ76/100,"")</f>
        <v>0.45940664416414995</v>
      </c>
      <c r="BH78" s="892">
        <f>IF(ISNUMBER('Base de datos Rutas'!DA76),'Base de datos Rutas'!DA76,"")</f>
        <v>623.75399474554899</v>
      </c>
      <c r="BI78" s="893">
        <f>IF(ISNUMBER('Base de datos Rutas'!DC76),'Base de datos Rutas'!DC76,"")</f>
        <v>19.308013296555629</v>
      </c>
      <c r="BJ78" s="805" t="str">
        <f t="shared" si="72"/>
        <v>Ruta (completo)</v>
      </c>
      <c r="BK78" s="783">
        <f t="shared" si="59"/>
        <v>2</v>
      </c>
      <c r="BL78" s="797">
        <f t="shared" si="60"/>
        <v>2</v>
      </c>
      <c r="BM78" s="797">
        <f t="shared" si="61"/>
        <v>2</v>
      </c>
      <c r="BN78" s="797">
        <f t="shared" si="62"/>
        <v>3</v>
      </c>
      <c r="BO78" s="798" cm="1">
        <f t="array" ref="BO78">SUMPRODUCT(--ISNUMBER($BF78:$BI78),$BK$3:$BN$3)</f>
        <v>1</v>
      </c>
      <c r="BP78" s="831">
        <f t="shared" si="73"/>
        <v>31.25</v>
      </c>
      <c r="BQ78" s="834" t="str">
        <f t="shared" si="74"/>
        <v>Medio</v>
      </c>
      <c r="BR78" s="836">
        <f t="shared" si="64"/>
        <v>15.093296391621994</v>
      </c>
      <c r="BS78" s="836">
        <f t="shared" si="65"/>
        <v>31.25</v>
      </c>
      <c r="BT78" s="837" t="str">
        <f t="shared" si="66"/>
        <v>P4</v>
      </c>
      <c r="BU78" s="807" t="str">
        <f t="shared" si="75"/>
        <v>Con espacio</v>
      </c>
      <c r="BV78" s="807" t="str">
        <f t="shared" si="67"/>
        <v>Zona de bajo potencial</v>
      </c>
      <c r="BW78" s="808" t="str">
        <f t="shared" si="68"/>
        <v>P4 - Evaluar</v>
      </c>
    </row>
    <row r="79" spans="1:75">
      <c r="A79" s="780" t="str">
        <f>'Base de datos Rutas'!A77</f>
        <v>Noreste</v>
      </c>
      <c r="B79" s="781" t="str">
        <f>'Base de datos Rutas'!B77</f>
        <v>Monterrey</v>
      </c>
      <c r="C79" s="781" t="str">
        <f>'Base de datos Rutas'!C77</f>
        <v>Sucursal Santa Catarina</v>
      </c>
      <c r="D79" s="782">
        <f>IF(ISNUMBER('Base de datos Rutas'!D77),'Base de datos Rutas'!D77,"Sin código")</f>
        <v>712303</v>
      </c>
      <c r="E79" s="783" t="str">
        <f>'Base de datos Rutas'!F77</f>
        <v>Activa</v>
      </c>
      <c r="F79" s="784" t="str">
        <f>'Base de datos Rutas'!H77</f>
        <v>Sí</v>
      </c>
      <c r="G79" s="785">
        <f>IF(ISNUMBER('Base de datos Rutas'!BE77),'Base de datos Rutas'!BE77,"")</f>
        <v>47</v>
      </c>
      <c r="H79" s="786">
        <f>IF(ISNUMBER('Base de datos Rutas'!BH77),'Base de datos Rutas'!BH77,"")</f>
        <v>0.68949897048730302</v>
      </c>
      <c r="I79" s="788">
        <f>IFERROR(IF(OR(NOT(ISNUMBER('Base de datos Rutas'!O77)),N('Base de datos Rutas'!BK77)=0),"",'Base de datos Rutas'!O77/('Base de datos Rutas'!L77/'Base de datos Rutas'!BK77)),"")</f>
        <v>4849.1284403669779</v>
      </c>
      <c r="J79" s="788">
        <f>IFERROR(IF(OR(NOT(ISNUMBER('Base de datos Rutas'!N77)),N('Base de datos Rutas'!BK77)=0),"",'Base de datos Rutas'!N77/('Base de datos Rutas'!L77/'Base de datos Rutas'!BK77)),"")</f>
        <v>1897.2316513761489</v>
      </c>
      <c r="K79" s="788">
        <f>IFERROR(IF(OR(NOT(ISNUMBER('Base de datos Rutas'!J77)),N('Base de datos Rutas'!BK77)=0),"",'Base de datos Rutas'!J77/('Base de datos Rutas'!L77/'Base de datos Rutas'!BK77)),"")</f>
        <v>129.52091009174327</v>
      </c>
      <c r="L79" s="788">
        <f>IFERROR(IF(OR(NOT(ISNUMBER('Base de datos Rutas'!K77)),N('Base de datos Rutas'!BK77)=0),"",'Base de datos Rutas'!K77/('Base de datos Rutas'!L77/'Base de datos Rutas'!BK77)),"")</f>
        <v>37.086139300458754</v>
      </c>
      <c r="M79" s="787">
        <f>IF(ISNUMBER('Base de datos Rutas'!AX77),'Base de datos Rutas'!AX77,"")</f>
        <v>238.61883775811199</v>
      </c>
      <c r="N79" s="790">
        <f>IFERROR(INDEX('Hoja de apoyo v2'!B$17:B$20,MATCH($A79,'Hoja de apoyo v2'!$A$17:$A$20,0)),"")</f>
        <v>63.050408855205418</v>
      </c>
      <c r="O79" s="791">
        <f>IFERROR(INDEX('Hoja de apoyo v2'!C$17:C$20,MATCH($A79,'Hoja de apoyo v2'!$A$17:$A$20,0)),"")</f>
        <v>0.7559478312655763</v>
      </c>
      <c r="P79" s="793">
        <f>IFERROR(INDEX('Hoja de apoyo v2'!D$17:D$20,MATCH($A79,'Hoja de apoyo v2'!$A$17:$A$20,0)),"")</f>
        <v>9054.9839880720647</v>
      </c>
      <c r="Q79" s="793">
        <f>IFERROR(INDEX('Hoja de apoyo v2'!E$17:E$20,MATCH($A79,'Hoja de apoyo v2'!$A$17:$A$20,0)),"")</f>
        <v>4535.7799207004691</v>
      </c>
      <c r="R79" s="793">
        <f>IFERROR(INDEX('Hoja de apoyo v2'!F$17:F$20,MATCH($A79,'Hoja de apoyo v2'!$A$17:$A$20,0)),"")</f>
        <v>260.44838236060593</v>
      </c>
      <c r="S79" s="793">
        <f>IFERROR(INDEX('Hoja de apoyo v2'!G$17:G$20,MATCH($A79,'Hoja de apoyo v2'!$A$17:$A$20,0)),"")</f>
        <v>64.772152317133859</v>
      </c>
      <c r="T79" s="792">
        <f>IFERROR(INDEX('Hoja de apoyo v2'!H$17:H$20,MATCH($A79,'Hoja de apoyo v2'!$A$17:$A$20,0)),"")</f>
        <v>389.240053528842</v>
      </c>
      <c r="U79" s="794">
        <f t="shared" si="39"/>
        <v>0.7454352930198278</v>
      </c>
      <c r="V79" s="795">
        <f t="shared" si="40"/>
        <v>0.9120986157642289</v>
      </c>
      <c r="W79" s="795">
        <f t="shared" si="41"/>
        <v>0.53552037714861012</v>
      </c>
      <c r="X79" s="843">
        <f t="shared" si="42"/>
        <v>0.41828124039209463</v>
      </c>
      <c r="Y79" s="843">
        <f t="shared" si="43"/>
        <v>0.49729972948119155</v>
      </c>
      <c r="Z79" s="843">
        <f t="shared" si="44"/>
        <v>0.57256302243716761</v>
      </c>
      <c r="AA79" s="843">
        <f t="shared" si="45"/>
        <v>0.61303772721948502</v>
      </c>
      <c r="AB79" s="796">
        <f t="shared" si="46"/>
        <v>2</v>
      </c>
      <c r="AC79" s="797">
        <f t="shared" si="47"/>
        <v>3</v>
      </c>
      <c r="AD79" s="797">
        <f t="shared" si="48"/>
        <v>2</v>
      </c>
      <c r="AE79" s="842">
        <f t="shared" si="49"/>
        <v>1</v>
      </c>
      <c r="AF79" s="842">
        <f t="shared" si="50"/>
        <v>1</v>
      </c>
      <c r="AG79" s="842">
        <f t="shared" si="51"/>
        <v>2</v>
      </c>
      <c r="AH79" s="842">
        <f t="shared" si="52"/>
        <v>2</v>
      </c>
      <c r="AI79" s="826" cm="1">
        <f t="array" ref="AI79">SUMPRODUCT(--ISNUMBER($U79:$AA79),$AB$3:$AH$3)</f>
        <v>1</v>
      </c>
      <c r="AJ79" s="829">
        <f t="shared" si="53"/>
        <v>21.047413427632005</v>
      </c>
      <c r="AK79" s="827" t="str">
        <f t="shared" si="54"/>
        <v>Inmadura</v>
      </c>
      <c r="AL79" s="784" t="str">
        <f t="shared" si="55"/>
        <v>Alta</v>
      </c>
      <c r="AM79" s="799">
        <f>IF(ISNUMBER('Base de datos Rutas'!W77),'Base de datos Rutas'!W77,"")</f>
        <v>3467.2961205401448</v>
      </c>
      <c r="AN79" s="787">
        <f>IFERROR(SUMIFS('Base de datos Rutas'!$W$6:$W$794,'Base de datos Rutas'!$C$6:$C$794,$C79)/'Base de datos Rutas'!I77,"")</f>
        <v>3467.2961205401448</v>
      </c>
      <c r="AO79" s="800">
        <f>IFERROR('Base de datos Rutas'!X77*AN79/AM79,"")</f>
        <v>0.43200004930622998</v>
      </c>
      <c r="AP79" s="800">
        <f t="shared" si="56"/>
        <v>0.56799995069377007</v>
      </c>
      <c r="AQ79" s="789">
        <f>IFERROR(INDEX('Hoja de apoyo v2'!$J$17:$J$20,MATCH($A79,'Hoja de apoyo v2'!$A$17:$A$20,0)),"")</f>
        <v>0.56799995069377007</v>
      </c>
      <c r="AR79" s="789">
        <f t="shared" si="57"/>
        <v>0</v>
      </c>
      <c r="AS79" s="784" t="str">
        <f t="shared" si="58"/>
        <v>No</v>
      </c>
      <c r="AT79" s="801">
        <f>IF(ISNUMBER('Base de datos Rutas'!CK77),'Base de datos Rutas'!CK77,"")</f>
        <v>409</v>
      </c>
      <c r="AU79" s="802">
        <f>IF(ISNUMBER('Base de datos Rutas'!CL77),'Base de datos Rutas'!CL77,"")</f>
        <v>769.03</v>
      </c>
      <c r="AV79" s="802">
        <f>IF(ISNUMBER('Base de datos Rutas'!CM77),'Base de datos Rutas'!CM77,"")</f>
        <v>360.03</v>
      </c>
      <c r="AW79" s="802">
        <f>IF(ISNUMBER('Base de datos Rutas'!CN77),'Base de datos Rutas'!CN77,"")</f>
        <v>5.54</v>
      </c>
      <c r="AX79" s="802">
        <f>IF(ISNUMBER('Base de datos Rutas'!CO77),'Base de datos Rutas'!CO77,"")</f>
        <v>9.4499999999999993</v>
      </c>
      <c r="AY79" s="802">
        <f>IF(ISNUMBER('Base de datos Rutas'!CP77),'Base de datos Rutas'!CP77,"")</f>
        <v>3.9099999999999993</v>
      </c>
      <c r="AZ79" s="802">
        <f>IF(ISNUMBER('Base de datos Rutas'!CQ77),'Base de datos Rutas'!CQ77,"")</f>
        <v>634.91999999999996</v>
      </c>
      <c r="BA79" s="802">
        <f>IF(ISNUMBER('Base de datos Rutas'!CR77),'Base de datos Rutas'!CR77,"")</f>
        <v>166.61</v>
      </c>
      <c r="BB79" s="803">
        <f>IF(ISNUMBER('Base de datos Rutas'!CS77),'Base de datos Rutas'!CS77,"")</f>
        <v>468.30999999999995</v>
      </c>
      <c r="BC79" s="804">
        <f t="shared" si="69"/>
        <v>0</v>
      </c>
      <c r="BD79" s="805" t="str">
        <f t="shared" si="70"/>
        <v>No saturada</v>
      </c>
      <c r="BE79" s="806">
        <f t="shared" si="71"/>
        <v>0.26241101241101245</v>
      </c>
      <c r="BF79" s="890">
        <f>IF(ISNUMBER('Base de datos Rutas'!CX77),'Base de datos Rutas'!CX77/100,"")</f>
        <v>0.31640208526023711</v>
      </c>
      <c r="BG79" s="891">
        <f>IF(ISNUMBER('Base de datos Rutas'!CZ77),'Base de datos Rutas'!CZ77/100,"")</f>
        <v>0.34667451442024722</v>
      </c>
      <c r="BH79" s="892">
        <f>IF(ISNUMBER('Base de datos Rutas'!DA77),'Base de datos Rutas'!DA77,"")</f>
        <v>372.48285852560548</v>
      </c>
      <c r="BI79" s="893">
        <f>IF(ISNUMBER('Base de datos Rutas'!DC77),'Base de datos Rutas'!DC77,"")</f>
        <v>8.8404712956713549</v>
      </c>
      <c r="BJ79" s="805" t="str">
        <f t="shared" si="72"/>
        <v>Ruta (completo)</v>
      </c>
      <c r="BK79" s="783">
        <f t="shared" si="59"/>
        <v>2</v>
      </c>
      <c r="BL79" s="797">
        <f t="shared" si="60"/>
        <v>2</v>
      </c>
      <c r="BM79" s="797">
        <f t="shared" si="61"/>
        <v>2</v>
      </c>
      <c r="BN79" s="797">
        <f t="shared" si="62"/>
        <v>2</v>
      </c>
      <c r="BO79" s="798" cm="1">
        <f t="array" ref="BO79">SUMPRODUCT(--ISNUMBER($BF79:$BI79),$BK$3:$BN$3)</f>
        <v>1</v>
      </c>
      <c r="BP79" s="831">
        <f t="shared" si="73"/>
        <v>25</v>
      </c>
      <c r="BQ79" s="834" t="str">
        <f t="shared" si="74"/>
        <v>Medio</v>
      </c>
      <c r="BR79" s="836">
        <f t="shared" si="64"/>
        <v>15.785560070724003</v>
      </c>
      <c r="BS79" s="836">
        <f t="shared" si="65"/>
        <v>25</v>
      </c>
      <c r="BT79" s="837" t="str">
        <f t="shared" si="66"/>
        <v>P4</v>
      </c>
      <c r="BU79" s="807" t="str">
        <f t="shared" si="75"/>
        <v>Con espacio</v>
      </c>
      <c r="BV79" s="807" t="str">
        <f t="shared" si="67"/>
        <v>Zona de bajo potencial</v>
      </c>
      <c r="BW79" s="808" t="str">
        <f t="shared" si="68"/>
        <v>P4 - Evaluar</v>
      </c>
    </row>
    <row r="80" spans="1:75">
      <c r="A80" s="780" t="str">
        <f>'Base de datos Rutas'!A78</f>
        <v>Noreste</v>
      </c>
      <c r="B80" s="781" t="str">
        <f>'Base de datos Rutas'!B78</f>
        <v>Monterrey</v>
      </c>
      <c r="C80" s="781" t="str">
        <f>'Base de datos Rutas'!C78</f>
        <v>Sucursal Santa Catarina</v>
      </c>
      <c r="D80" s="782">
        <f>IF(ISNUMBER('Base de datos Rutas'!D78),'Base de datos Rutas'!D78,"Sin código")</f>
        <v>712304</v>
      </c>
      <c r="E80" s="783" t="str">
        <f>'Base de datos Rutas'!F78</f>
        <v>Activa</v>
      </c>
      <c r="F80" s="784" t="str">
        <f>'Base de datos Rutas'!H78</f>
        <v>Sí</v>
      </c>
      <c r="G80" s="785">
        <f>IF(ISNUMBER('Base de datos Rutas'!BE78),'Base de datos Rutas'!BE78,"")</f>
        <v>63.970370370370397</v>
      </c>
      <c r="H80" s="786">
        <f>IF(ISNUMBER('Base de datos Rutas'!BH78),'Base de datos Rutas'!BH78,"")</f>
        <v>0.33117183881426598</v>
      </c>
      <c r="I80" s="788">
        <f>IFERROR(IF(OR(NOT(ISNUMBER('Base de datos Rutas'!O78)),N('Base de datos Rutas'!BK78)=0),"",'Base de datos Rutas'!O78/('Base de datos Rutas'!L78/'Base de datos Rutas'!BK78)),"")</f>
        <v>1786.3940217391296</v>
      </c>
      <c r="J80" s="788">
        <f>IFERROR(IF(OR(NOT(ISNUMBER('Base de datos Rutas'!N78)),N('Base de datos Rutas'!BK78)=0),"",'Base de datos Rutas'!N78/('Base de datos Rutas'!L78/'Base de datos Rutas'!BK78)),"")</f>
        <v>679.67119565217365</v>
      </c>
      <c r="K80" s="788">
        <f>IFERROR(IF(OR(NOT(ISNUMBER('Base de datos Rutas'!J78)),N('Base de datos Rutas'!BK78)=0),"",'Base de datos Rutas'!J78/('Base de datos Rutas'!L78/'Base de datos Rutas'!BK78)),"")</f>
        <v>50.519639130434761</v>
      </c>
      <c r="L80" s="788">
        <f>IFERROR(IF(OR(NOT(ISNUMBER('Base de datos Rutas'!K78)),N('Base de datos Rutas'!BK78)=0),"",'Base de datos Rutas'!K78/('Base de datos Rutas'!L78/'Base de datos Rutas'!BK78)),"")</f>
        <v>16.958836483695645</v>
      </c>
      <c r="M80" s="787">
        <f>IF(ISNUMBER('Base de datos Rutas'!AX78),'Base de datos Rutas'!AX78,"")</f>
        <v>216.03527157249201</v>
      </c>
      <c r="N80" s="790">
        <f>IFERROR(INDEX('Hoja de apoyo v2'!B$17:B$20,MATCH($A80,'Hoja de apoyo v2'!$A$17:$A$20,0)),"")</f>
        <v>63.050408855205418</v>
      </c>
      <c r="O80" s="791">
        <f>IFERROR(INDEX('Hoja de apoyo v2'!C$17:C$20,MATCH($A80,'Hoja de apoyo v2'!$A$17:$A$20,0)),"")</f>
        <v>0.7559478312655763</v>
      </c>
      <c r="P80" s="793">
        <f>IFERROR(INDEX('Hoja de apoyo v2'!D$17:D$20,MATCH($A80,'Hoja de apoyo v2'!$A$17:$A$20,0)),"")</f>
        <v>9054.9839880720647</v>
      </c>
      <c r="Q80" s="793">
        <f>IFERROR(INDEX('Hoja de apoyo v2'!E$17:E$20,MATCH($A80,'Hoja de apoyo v2'!$A$17:$A$20,0)),"")</f>
        <v>4535.7799207004691</v>
      </c>
      <c r="R80" s="793">
        <f>IFERROR(INDEX('Hoja de apoyo v2'!F$17:F$20,MATCH($A80,'Hoja de apoyo v2'!$A$17:$A$20,0)),"")</f>
        <v>260.44838236060593</v>
      </c>
      <c r="S80" s="793">
        <f>IFERROR(INDEX('Hoja de apoyo v2'!G$17:G$20,MATCH($A80,'Hoja de apoyo v2'!$A$17:$A$20,0)),"")</f>
        <v>64.772152317133859</v>
      </c>
      <c r="T80" s="792">
        <f>IFERROR(INDEX('Hoja de apoyo v2'!H$17:H$20,MATCH($A80,'Hoja de apoyo v2'!$A$17:$A$20,0)),"")</f>
        <v>389.240053528842</v>
      </c>
      <c r="U80" s="794">
        <f t="shared" si="39"/>
        <v>1.0145908889707227</v>
      </c>
      <c r="V80" s="795">
        <f t="shared" si="40"/>
        <v>0.43808821868015935</v>
      </c>
      <c r="W80" s="795">
        <f t="shared" si="41"/>
        <v>0.19728295755048358</v>
      </c>
      <c r="X80" s="843">
        <f t="shared" si="42"/>
        <v>0.14984659915933723</v>
      </c>
      <c r="Y80" s="843">
        <f t="shared" si="43"/>
        <v>0.19397179077306528</v>
      </c>
      <c r="Z80" s="843">
        <f t="shared" si="44"/>
        <v>0.26182295750591583</v>
      </c>
      <c r="AA80" s="843">
        <f t="shared" si="45"/>
        <v>0.55501809131388424</v>
      </c>
      <c r="AB80" s="796">
        <f t="shared" si="46"/>
        <v>4</v>
      </c>
      <c r="AC80" s="797">
        <f t="shared" si="47"/>
        <v>1</v>
      </c>
      <c r="AD80" s="797">
        <f t="shared" si="48"/>
        <v>1</v>
      </c>
      <c r="AE80" s="842">
        <f t="shared" si="49"/>
        <v>1</v>
      </c>
      <c r="AF80" s="842">
        <f t="shared" si="50"/>
        <v>1</v>
      </c>
      <c r="AG80" s="842">
        <f t="shared" si="51"/>
        <v>1</v>
      </c>
      <c r="AH80" s="842">
        <f t="shared" si="52"/>
        <v>2</v>
      </c>
      <c r="AI80" s="826" cm="1">
        <f t="array" ref="AI80">SUMPRODUCT(--ISNUMBER($U80:$AA80),$AB$3:$AH$3)</f>
        <v>1</v>
      </c>
      <c r="AJ80" s="829">
        <f t="shared" si="53"/>
        <v>15.845636374736822</v>
      </c>
      <c r="AK80" s="827" t="str">
        <f t="shared" si="54"/>
        <v>Inmadura</v>
      </c>
      <c r="AL80" s="784" t="str">
        <f t="shared" si="55"/>
        <v>Alta</v>
      </c>
      <c r="AM80" s="799">
        <f>IF(ISNUMBER('Base de datos Rutas'!W78),'Base de datos Rutas'!W78,"")</f>
        <v>3467.2961205401448</v>
      </c>
      <c r="AN80" s="787">
        <f>IFERROR(SUMIFS('Base de datos Rutas'!$W$6:$W$794,'Base de datos Rutas'!$C$6:$C$794,$C80)/'Base de datos Rutas'!I78,"")</f>
        <v>3467.2961205401448</v>
      </c>
      <c r="AO80" s="800">
        <f>IFERROR('Base de datos Rutas'!X78*AN80/AM80,"")</f>
        <v>0.43200004930622998</v>
      </c>
      <c r="AP80" s="800">
        <f t="shared" si="56"/>
        <v>0.56799995069377007</v>
      </c>
      <c r="AQ80" s="789">
        <f>IFERROR(INDEX('Hoja de apoyo v2'!$J$17:$J$20,MATCH($A80,'Hoja de apoyo v2'!$A$17:$A$20,0)),"")</f>
        <v>0.56799995069377007</v>
      </c>
      <c r="AR80" s="789">
        <f t="shared" si="57"/>
        <v>0</v>
      </c>
      <c r="AS80" s="784" t="str">
        <f t="shared" si="58"/>
        <v>No</v>
      </c>
      <c r="AT80" s="801">
        <f>IF(ISNUMBER('Base de datos Rutas'!CK78),'Base de datos Rutas'!CK78,"")</f>
        <v>565</v>
      </c>
      <c r="AU80" s="802">
        <f>IF(ISNUMBER('Base de datos Rutas'!CL78),'Base de datos Rutas'!CL78,"")</f>
        <v>684.54</v>
      </c>
      <c r="AV80" s="802">
        <f>IF(ISNUMBER('Base de datos Rutas'!CM78),'Base de datos Rutas'!CM78,"")</f>
        <v>119.53999999999996</v>
      </c>
      <c r="AW80" s="802">
        <f>IF(ISNUMBER('Base de datos Rutas'!CN78),'Base de datos Rutas'!CN78,"")</f>
        <v>6.24</v>
      </c>
      <c r="AX80" s="802">
        <f>IF(ISNUMBER('Base de datos Rutas'!CO78),'Base de datos Rutas'!CO78,"")</f>
        <v>9.4499999999999993</v>
      </c>
      <c r="AY80" s="802">
        <f>IF(ISNUMBER('Base de datos Rutas'!CP78),'Base de datos Rutas'!CP78,"")</f>
        <v>3.2099999999999991</v>
      </c>
      <c r="AZ80" s="802">
        <f>IF(ISNUMBER('Base de datos Rutas'!CQ78),'Base de datos Rutas'!CQ78,"")</f>
        <v>634.91999999999996</v>
      </c>
      <c r="BA80" s="802">
        <f>IF(ISNUMBER('Base de datos Rutas'!CR78),'Base de datos Rutas'!CR78,"")</f>
        <v>67.48</v>
      </c>
      <c r="BB80" s="803">
        <f>IF(ISNUMBER('Base de datos Rutas'!CS78),'Base de datos Rutas'!CS78,"")</f>
        <v>567.43999999999994</v>
      </c>
      <c r="BC80" s="804">
        <f t="shared" si="69"/>
        <v>0</v>
      </c>
      <c r="BD80" s="805" t="str">
        <f t="shared" si="70"/>
        <v>No saturada</v>
      </c>
      <c r="BE80" s="806">
        <f t="shared" si="71"/>
        <v>0.10628110628110629</v>
      </c>
      <c r="BF80" s="890">
        <f>IF(ISNUMBER('Base de datos Rutas'!CX78),'Base de datos Rutas'!CX78/100,"")</f>
        <v>5.7538976787157872E-2</v>
      </c>
      <c r="BG80" s="891">
        <f>IF(ISNUMBER('Base de datos Rutas'!CZ78),'Base de datos Rutas'!CZ78/100,"")</f>
        <v>6.4441621434345772E-2</v>
      </c>
      <c r="BH80" s="892">
        <f>IF(ISNUMBER('Base de datos Rutas'!DA78),'Base de datos Rutas'!DA78,"")</f>
        <v>131.86338841373265</v>
      </c>
      <c r="BI80" s="893">
        <f>IF(ISNUMBER('Base de datos Rutas'!DC78),'Base de datos Rutas'!DC78,"")</f>
        <v>3.0260002270962532</v>
      </c>
      <c r="BJ80" s="805" t="str">
        <f t="shared" si="72"/>
        <v>Ruta (completo)</v>
      </c>
      <c r="BK80" s="783">
        <f t="shared" si="59"/>
        <v>1</v>
      </c>
      <c r="BL80" s="797">
        <f t="shared" si="60"/>
        <v>1</v>
      </c>
      <c r="BM80" s="797">
        <f t="shared" si="61"/>
        <v>1</v>
      </c>
      <c r="BN80" s="797">
        <f t="shared" si="62"/>
        <v>1</v>
      </c>
      <c r="BO80" s="798" cm="1">
        <f t="array" ref="BO80">SUMPRODUCT(--ISNUMBER($BF80:$BI80),$BK$3:$BN$3)</f>
        <v>1</v>
      </c>
      <c r="BP80" s="831">
        <f t="shared" si="73"/>
        <v>0</v>
      </c>
      <c r="BQ80" s="834" t="str">
        <f t="shared" si="74"/>
        <v>Bajo</v>
      </c>
      <c r="BR80" s="836">
        <f t="shared" si="64"/>
        <v>11.884227281052617</v>
      </c>
      <c r="BS80" s="836">
        <f t="shared" si="65"/>
        <v>0</v>
      </c>
      <c r="BT80" s="837" t="str">
        <f t="shared" si="66"/>
        <v>P4</v>
      </c>
      <c r="BU80" s="807" t="str">
        <f t="shared" si="75"/>
        <v>Con espacio</v>
      </c>
      <c r="BV80" s="807" t="str">
        <f t="shared" si="67"/>
        <v>Zona de bajo potencial</v>
      </c>
      <c r="BW80" s="808" t="str">
        <f t="shared" si="68"/>
        <v>P4 - Evaluar</v>
      </c>
    </row>
    <row r="81" spans="1:75">
      <c r="A81" s="780" t="str">
        <f>'Base de datos Rutas'!A79</f>
        <v>Noreste</v>
      </c>
      <c r="B81" s="781" t="str">
        <f>'Base de datos Rutas'!B79</f>
        <v>Monterrey</v>
      </c>
      <c r="C81" s="781" t="str">
        <f>'Base de datos Rutas'!C79</f>
        <v>Sucursal Santa Catarina</v>
      </c>
      <c r="D81" s="782">
        <f>IF(ISNUMBER('Base de datos Rutas'!D79),'Base de datos Rutas'!D79,"Sin código")</f>
        <v>712305</v>
      </c>
      <c r="E81" s="783" t="str">
        <f>'Base de datos Rutas'!F79</f>
        <v>Activa</v>
      </c>
      <c r="F81" s="784" t="str">
        <f>'Base de datos Rutas'!H79</f>
        <v>Sí</v>
      </c>
      <c r="G81" s="785">
        <f>IF(ISNUMBER('Base de datos Rutas'!BE79),'Base de datos Rutas'!BE79,"")</f>
        <v>96.313043478260894</v>
      </c>
      <c r="H81" s="786">
        <f>IF(ISNUMBER('Base de datos Rutas'!BH79),'Base de datos Rutas'!BH79,"")</f>
        <v>0.42704947634525098</v>
      </c>
      <c r="I81" s="788">
        <f>IFERROR(IF(OR(NOT(ISNUMBER('Base de datos Rutas'!O79)),N('Base de datos Rutas'!BK79)=0),"",'Base de datos Rutas'!O79/('Base de datos Rutas'!L79/'Base de datos Rutas'!BK79)),"")</f>
        <v>7446.9055299539232</v>
      </c>
      <c r="J81" s="788">
        <f>IFERROR(IF(OR(NOT(ISNUMBER('Base de datos Rutas'!N79)),N('Base de datos Rutas'!BK79)=0),"",'Base de datos Rutas'!N79/('Base de datos Rutas'!L79/'Base de datos Rutas'!BK79)),"")</f>
        <v>4320.0714285714321</v>
      </c>
      <c r="K81" s="788">
        <f>IFERROR(IF(OR(NOT(ISNUMBER('Base de datos Rutas'!J79)),N('Base de datos Rutas'!BK79)=0),"",'Base de datos Rutas'!J79/('Base de datos Rutas'!L79/'Base de datos Rutas'!BK79)),"")</f>
        <v>289.98117419354861</v>
      </c>
      <c r="L81" s="788">
        <f>IFERROR(IF(OR(NOT(ISNUMBER('Base de datos Rutas'!K79)),N('Base de datos Rutas'!BK79)=0),"",'Base de datos Rutas'!K79/('Base de datos Rutas'!L79/'Base de datos Rutas'!BK79)),"")</f>
        <v>52.788760255760415</v>
      </c>
      <c r="M81" s="787">
        <f>IF(ISNUMBER('Base de datos Rutas'!AX79),'Base de datos Rutas'!AX79,"")</f>
        <v>329.982157695323</v>
      </c>
      <c r="N81" s="790">
        <f>IFERROR(INDEX('Hoja de apoyo v2'!B$17:B$20,MATCH($A81,'Hoja de apoyo v2'!$A$17:$A$20,0)),"")</f>
        <v>63.050408855205418</v>
      </c>
      <c r="O81" s="791">
        <f>IFERROR(INDEX('Hoja de apoyo v2'!C$17:C$20,MATCH($A81,'Hoja de apoyo v2'!$A$17:$A$20,0)),"")</f>
        <v>0.7559478312655763</v>
      </c>
      <c r="P81" s="793">
        <f>IFERROR(INDEX('Hoja de apoyo v2'!D$17:D$20,MATCH($A81,'Hoja de apoyo v2'!$A$17:$A$20,0)),"")</f>
        <v>9054.9839880720647</v>
      </c>
      <c r="Q81" s="793">
        <f>IFERROR(INDEX('Hoja de apoyo v2'!E$17:E$20,MATCH($A81,'Hoja de apoyo v2'!$A$17:$A$20,0)),"")</f>
        <v>4535.7799207004691</v>
      </c>
      <c r="R81" s="793">
        <f>IFERROR(INDEX('Hoja de apoyo v2'!F$17:F$20,MATCH($A81,'Hoja de apoyo v2'!$A$17:$A$20,0)),"")</f>
        <v>260.44838236060593</v>
      </c>
      <c r="S81" s="793">
        <f>IFERROR(INDEX('Hoja de apoyo v2'!G$17:G$20,MATCH($A81,'Hoja de apoyo v2'!$A$17:$A$20,0)),"")</f>
        <v>64.772152317133859</v>
      </c>
      <c r="T81" s="792">
        <f>IFERROR(INDEX('Hoja de apoyo v2'!H$17:H$20,MATCH($A81,'Hoja de apoyo v2'!$A$17:$A$20,0)),"")</f>
        <v>389.240053528842</v>
      </c>
      <c r="U81" s="794">
        <f t="shared" si="39"/>
        <v>1.5275562082308263</v>
      </c>
      <c r="V81" s="795">
        <f t="shared" si="40"/>
        <v>0.56491924268147253</v>
      </c>
      <c r="W81" s="795">
        <f t="shared" si="41"/>
        <v>0.82240957463465103</v>
      </c>
      <c r="X81" s="843">
        <f t="shared" si="42"/>
        <v>0.95244291039241502</v>
      </c>
      <c r="Y81" s="843">
        <f t="shared" si="43"/>
        <v>1.1133921108100906</v>
      </c>
      <c r="Z81" s="843">
        <f t="shared" si="44"/>
        <v>0.81499160313986452</v>
      </c>
      <c r="AA81" s="843">
        <f t="shared" si="45"/>
        <v>0.84776002547454155</v>
      </c>
      <c r="AB81" s="796">
        <f t="shared" si="46"/>
        <v>5</v>
      </c>
      <c r="AC81" s="797">
        <f t="shared" si="47"/>
        <v>2</v>
      </c>
      <c r="AD81" s="797">
        <f t="shared" si="48"/>
        <v>3</v>
      </c>
      <c r="AE81" s="842">
        <f t="shared" si="49"/>
        <v>3</v>
      </c>
      <c r="AF81" s="842">
        <f t="shared" si="50"/>
        <v>4</v>
      </c>
      <c r="AG81" s="842">
        <f t="shared" si="51"/>
        <v>3</v>
      </c>
      <c r="AH81" s="842">
        <f t="shared" si="52"/>
        <v>3</v>
      </c>
      <c r="AI81" s="826" cm="1">
        <f t="array" ref="AI81">SUMPRODUCT(--ISNUMBER($U81:$AA81),$AB$3:$AH$3)</f>
        <v>1</v>
      </c>
      <c r="AJ81" s="829">
        <f t="shared" si="53"/>
        <v>59.610411282422824</v>
      </c>
      <c r="AK81" s="827" t="str">
        <f t="shared" si="54"/>
        <v>En desarrollo</v>
      </c>
      <c r="AL81" s="784" t="str">
        <f t="shared" si="55"/>
        <v>Alta</v>
      </c>
      <c r="AM81" s="799">
        <f>IF(ISNUMBER('Base de datos Rutas'!W79),'Base de datos Rutas'!W79,"")</f>
        <v>3467.2961205401448</v>
      </c>
      <c r="AN81" s="787">
        <f>IFERROR(SUMIFS('Base de datos Rutas'!$W$6:$W$794,'Base de datos Rutas'!$C$6:$C$794,$C81)/'Base de datos Rutas'!I79,"")</f>
        <v>3467.2961205401448</v>
      </c>
      <c r="AO81" s="800">
        <f>IFERROR('Base de datos Rutas'!X79*AN81/AM81,"")</f>
        <v>0.43200004930622998</v>
      </c>
      <c r="AP81" s="800">
        <f t="shared" si="56"/>
        <v>0.56799995069377007</v>
      </c>
      <c r="AQ81" s="789">
        <f>IFERROR(INDEX('Hoja de apoyo v2'!$J$17:$J$20,MATCH($A81,'Hoja de apoyo v2'!$A$17:$A$20,0)),"")</f>
        <v>0.56799995069377007</v>
      </c>
      <c r="AR81" s="789">
        <f t="shared" si="57"/>
        <v>0</v>
      </c>
      <c r="AS81" s="784" t="str">
        <f t="shared" si="58"/>
        <v>No</v>
      </c>
      <c r="AT81" s="801">
        <f>IF(ISNUMBER('Base de datos Rutas'!CK79),'Base de datos Rutas'!CK79,"")</f>
        <v>818</v>
      </c>
      <c r="AU81" s="802">
        <f>IF(ISNUMBER('Base de datos Rutas'!CL79),'Base de datos Rutas'!CL79,"")</f>
        <v>1162.6099999999999</v>
      </c>
      <c r="AV81" s="802">
        <f>IF(ISNUMBER('Base de datos Rutas'!CM79),'Base de datos Rutas'!CM79,"")</f>
        <v>344.6099999999999</v>
      </c>
      <c r="AW81" s="802">
        <f>IF(ISNUMBER('Base de datos Rutas'!CN79),'Base de datos Rutas'!CN79,"")</f>
        <v>10.06</v>
      </c>
      <c r="AX81" s="802">
        <f>IF(ISNUMBER('Base de datos Rutas'!CO79),'Base de datos Rutas'!CO79,"")</f>
        <v>9.4499999999999993</v>
      </c>
      <c r="AY81" s="802">
        <f>IF(ISNUMBER('Base de datos Rutas'!CP79),'Base de datos Rutas'!CP79,"")</f>
        <v>-0.61000000000000121</v>
      </c>
      <c r="AZ81" s="802">
        <f>IF(ISNUMBER('Base de datos Rutas'!CQ79),'Base de datos Rutas'!CQ79,"")</f>
        <v>634.91999999999996</v>
      </c>
      <c r="BA81" s="802">
        <f>IF(ISNUMBER('Base de datos Rutas'!CR79),'Base de datos Rutas'!CR79,"")</f>
        <v>342.77</v>
      </c>
      <c r="BB81" s="803">
        <f>IF(ISNUMBER('Base de datos Rutas'!CS79),'Base de datos Rutas'!CS79,"")</f>
        <v>292.14999999999998</v>
      </c>
      <c r="BC81" s="804">
        <f t="shared" si="69"/>
        <v>1</v>
      </c>
      <c r="BD81" s="805" t="str">
        <f t="shared" si="70"/>
        <v>Saturada</v>
      </c>
      <c r="BE81" s="806">
        <f t="shared" si="71"/>
        <v>0.53986328986328991</v>
      </c>
      <c r="BF81" s="890">
        <f>IF(ISNUMBER('Base de datos Rutas'!CX79),'Base de datos Rutas'!CX79/100,"")</f>
        <v>0.23415001979627831</v>
      </c>
      <c r="BG81" s="891">
        <f>IF(ISNUMBER('Base de datos Rutas'!CZ79),'Base de datos Rutas'!CZ79/100,"")</f>
        <v>0.24655364791419213</v>
      </c>
      <c r="BH81" s="892">
        <f>IF(ISNUMBER('Base de datos Rutas'!DA79),'Base de datos Rutas'!DA79,"")</f>
        <v>221.41892290173251</v>
      </c>
      <c r="BI81" s="893">
        <f>IF(ISNUMBER('Base de datos Rutas'!DC79),'Base de datos Rutas'!DC79,"")</f>
        <v>6.8525690593690687</v>
      </c>
      <c r="BJ81" s="805" t="str">
        <f t="shared" si="72"/>
        <v>Ruta (completo)</v>
      </c>
      <c r="BK81" s="783">
        <f t="shared" si="59"/>
        <v>1</v>
      </c>
      <c r="BL81" s="797">
        <f t="shared" si="60"/>
        <v>1</v>
      </c>
      <c r="BM81" s="797">
        <f t="shared" si="61"/>
        <v>1</v>
      </c>
      <c r="BN81" s="797">
        <f t="shared" si="62"/>
        <v>1</v>
      </c>
      <c r="BO81" s="798" cm="1">
        <f t="array" ref="BO81">SUMPRODUCT(--ISNUMBER($BF81:$BI81),$BK$3:$BN$3)</f>
        <v>1</v>
      </c>
      <c r="BP81" s="831">
        <f t="shared" si="73"/>
        <v>0</v>
      </c>
      <c r="BQ81" s="834" t="str">
        <f t="shared" si="74"/>
        <v>Bajo</v>
      </c>
      <c r="BR81" s="836">
        <f t="shared" si="64"/>
        <v>69.707808461817109</v>
      </c>
      <c r="BS81" s="836">
        <f t="shared" si="65"/>
        <v>0</v>
      </c>
      <c r="BT81" s="837" t="str">
        <f t="shared" si="66"/>
        <v>P2</v>
      </c>
      <c r="BU81" s="807" t="str">
        <f t="shared" si="75"/>
        <v>Al tope</v>
      </c>
      <c r="BV81" s="807" t="str">
        <f t="shared" si="67"/>
        <v>Zona de bajo potencial</v>
      </c>
      <c r="BW81" s="808" t="str">
        <f t="shared" si="68"/>
        <v>P2 - Mantener</v>
      </c>
    </row>
    <row r="82" spans="1:75">
      <c r="A82" s="780" t="str">
        <f>'Base de datos Rutas'!A80</f>
        <v>Noreste</v>
      </c>
      <c r="B82" s="781" t="str">
        <f>'Base de datos Rutas'!B80</f>
        <v>Monterrey</v>
      </c>
      <c r="C82" s="781" t="str">
        <f>'Base de datos Rutas'!C80</f>
        <v>Sucursal Santa Catarina</v>
      </c>
      <c r="D82" s="782">
        <f>IF(ISNUMBER('Base de datos Rutas'!D80),'Base de datos Rutas'!D80,"Sin código")</f>
        <v>712306</v>
      </c>
      <c r="E82" s="783" t="str">
        <f>'Base de datos Rutas'!F80</f>
        <v>Activa</v>
      </c>
      <c r="F82" s="784" t="str">
        <f>'Base de datos Rutas'!H80</f>
        <v>Sí</v>
      </c>
      <c r="G82" s="785">
        <f>IF(ISNUMBER('Base de datos Rutas'!BE80),'Base de datos Rutas'!BE80,"")</f>
        <v>52.970967741935503</v>
      </c>
      <c r="H82" s="786">
        <f>IF(ISNUMBER('Base de datos Rutas'!BH80),'Base de datos Rutas'!BH80,"")</f>
        <v>0.83661165580658903</v>
      </c>
      <c r="I82" s="788">
        <f>IFERROR(IF(OR(NOT(ISNUMBER('Base de datos Rutas'!O80)),N('Base de datos Rutas'!BK80)=0),"",'Base de datos Rutas'!O80/('Base de datos Rutas'!L80/'Base de datos Rutas'!BK80)),"")</f>
        <v>8901.4782608695568</v>
      </c>
      <c r="J82" s="788">
        <f>IFERROR(IF(OR(NOT(ISNUMBER('Base de datos Rutas'!N80)),N('Base de datos Rutas'!BK80)=0),"",'Base de datos Rutas'!N80/('Base de datos Rutas'!L80/'Base de datos Rutas'!BK80)),"")</f>
        <v>3886.8672768878678</v>
      </c>
      <c r="K82" s="788">
        <f>IFERROR(IF(OR(NOT(ISNUMBER('Base de datos Rutas'!J80)),N('Base de datos Rutas'!BK80)=0),"",'Base de datos Rutas'!J80/('Base de datos Rutas'!L80/'Base de datos Rutas'!BK80)),"")</f>
        <v>257.54628100686472</v>
      </c>
      <c r="L82" s="788">
        <f>IFERROR(IF(OR(NOT(ISNUMBER('Base de datos Rutas'!K80)),N('Base de datos Rutas'!BK80)=0),"",'Base de datos Rutas'!K80/('Base de datos Rutas'!L80/'Base de datos Rutas'!BK80)),"")</f>
        <v>63.027782391304285</v>
      </c>
      <c r="M82" s="787">
        <f>IF(ISNUMBER('Base de datos Rutas'!AX80),'Base de datos Rutas'!AX80,"")</f>
        <v>308.53285745722599</v>
      </c>
      <c r="N82" s="790">
        <f>IFERROR(INDEX('Hoja de apoyo v2'!B$17:B$20,MATCH($A82,'Hoja de apoyo v2'!$A$17:$A$20,0)),"")</f>
        <v>63.050408855205418</v>
      </c>
      <c r="O82" s="791">
        <f>IFERROR(INDEX('Hoja de apoyo v2'!C$17:C$20,MATCH($A82,'Hoja de apoyo v2'!$A$17:$A$20,0)),"")</f>
        <v>0.7559478312655763</v>
      </c>
      <c r="P82" s="793">
        <f>IFERROR(INDEX('Hoja de apoyo v2'!D$17:D$20,MATCH($A82,'Hoja de apoyo v2'!$A$17:$A$20,0)),"")</f>
        <v>9054.9839880720647</v>
      </c>
      <c r="Q82" s="793">
        <f>IFERROR(INDEX('Hoja de apoyo v2'!E$17:E$20,MATCH($A82,'Hoja de apoyo v2'!$A$17:$A$20,0)),"")</f>
        <v>4535.7799207004691</v>
      </c>
      <c r="R82" s="793">
        <f>IFERROR(INDEX('Hoja de apoyo v2'!F$17:F$20,MATCH($A82,'Hoja de apoyo v2'!$A$17:$A$20,0)),"")</f>
        <v>260.44838236060593</v>
      </c>
      <c r="S82" s="793">
        <f>IFERROR(INDEX('Hoja de apoyo v2'!G$17:G$20,MATCH($A82,'Hoja de apoyo v2'!$A$17:$A$20,0)),"")</f>
        <v>64.772152317133859</v>
      </c>
      <c r="T82" s="792">
        <f>IFERROR(INDEX('Hoja de apoyo v2'!H$17:H$20,MATCH($A82,'Hoja de apoyo v2'!$A$17:$A$20,0)),"")</f>
        <v>389.240053528842</v>
      </c>
      <c r="U82" s="794">
        <f t="shared" si="39"/>
        <v>0.84013678426071359</v>
      </c>
      <c r="V82" s="795">
        <f t="shared" si="40"/>
        <v>1.1067055439605782</v>
      </c>
      <c r="W82" s="795">
        <f t="shared" si="41"/>
        <v>0.98304737728915725</v>
      </c>
      <c r="X82" s="843">
        <f t="shared" si="42"/>
        <v>0.85693471571425173</v>
      </c>
      <c r="Y82" s="843">
        <f t="shared" si="43"/>
        <v>0.98885728785321048</v>
      </c>
      <c r="Z82" s="843">
        <f t="shared" si="44"/>
        <v>0.97306913753168356</v>
      </c>
      <c r="AA82" s="843">
        <f t="shared" si="45"/>
        <v>0.7926544420597873</v>
      </c>
      <c r="AB82" s="796">
        <f t="shared" si="46"/>
        <v>3</v>
      </c>
      <c r="AC82" s="797">
        <f t="shared" si="47"/>
        <v>4</v>
      </c>
      <c r="AD82" s="797">
        <f t="shared" si="48"/>
        <v>3</v>
      </c>
      <c r="AE82" s="842">
        <f t="shared" si="49"/>
        <v>3</v>
      </c>
      <c r="AF82" s="842">
        <f t="shared" si="50"/>
        <v>3</v>
      </c>
      <c r="AG82" s="842">
        <f t="shared" si="51"/>
        <v>3</v>
      </c>
      <c r="AH82" s="842">
        <f t="shared" si="52"/>
        <v>3</v>
      </c>
      <c r="AI82" s="826" cm="1">
        <f t="array" ref="AI82">SUMPRODUCT(--ISNUMBER($U82:$AA82),$AB$3:$AH$3)</f>
        <v>1</v>
      </c>
      <c r="AJ82" s="829">
        <f t="shared" si="53"/>
        <v>52.382905585890491</v>
      </c>
      <c r="AK82" s="827" t="str">
        <f t="shared" si="54"/>
        <v>En desarrollo</v>
      </c>
      <c r="AL82" s="784" t="str">
        <f t="shared" si="55"/>
        <v>Alta</v>
      </c>
      <c r="AM82" s="799">
        <f>IF(ISNUMBER('Base de datos Rutas'!W80),'Base de datos Rutas'!W80,"")</f>
        <v>3467.2961205401448</v>
      </c>
      <c r="AN82" s="787">
        <f>IFERROR(SUMIFS('Base de datos Rutas'!$W$6:$W$794,'Base de datos Rutas'!$C$6:$C$794,$C82)/'Base de datos Rutas'!I80,"")</f>
        <v>3467.2961205401448</v>
      </c>
      <c r="AO82" s="800">
        <f>IFERROR('Base de datos Rutas'!X80*AN82/AM82,"")</f>
        <v>0.43200004930622998</v>
      </c>
      <c r="AP82" s="800">
        <f t="shared" si="56"/>
        <v>0.56799995069377007</v>
      </c>
      <c r="AQ82" s="789">
        <f>IFERROR(INDEX('Hoja de apoyo v2'!$J$17:$J$20,MATCH($A82,'Hoja de apoyo v2'!$A$17:$A$20,0)),"")</f>
        <v>0.56799995069377007</v>
      </c>
      <c r="AR82" s="789">
        <f t="shared" si="57"/>
        <v>0</v>
      </c>
      <c r="AS82" s="784" t="str">
        <f t="shared" si="58"/>
        <v>No</v>
      </c>
      <c r="AT82" s="801">
        <f>IF(ISNUMBER('Base de datos Rutas'!CK80),'Base de datos Rutas'!CK80,"")</f>
        <v>400</v>
      </c>
      <c r="AU82" s="802">
        <f>IF(ISNUMBER('Base de datos Rutas'!CL80),'Base de datos Rutas'!CL80,"")</f>
        <v>838.69</v>
      </c>
      <c r="AV82" s="802">
        <f>IF(ISNUMBER('Base de datos Rutas'!CM80),'Base de datos Rutas'!CM80,"")</f>
        <v>438.69000000000005</v>
      </c>
      <c r="AW82" s="802">
        <f>IF(ISNUMBER('Base de datos Rutas'!CN80),'Base de datos Rutas'!CN80,"")</f>
        <v>5.23</v>
      </c>
      <c r="AX82" s="802">
        <f>IF(ISNUMBER('Base de datos Rutas'!CO80),'Base de datos Rutas'!CO80,"")</f>
        <v>9.4499999999999993</v>
      </c>
      <c r="AY82" s="802">
        <f>IF(ISNUMBER('Base de datos Rutas'!CP80),'Base de datos Rutas'!CP80,"")</f>
        <v>4.2199999999999989</v>
      </c>
      <c r="AZ82" s="802">
        <f>IF(ISNUMBER('Base de datos Rutas'!CQ80),'Base de datos Rutas'!CQ80,"")</f>
        <v>634.91999999999996</v>
      </c>
      <c r="BA82" s="802">
        <f>IF(ISNUMBER('Base de datos Rutas'!CR80),'Base de datos Rutas'!CR80,"")</f>
        <v>320.57</v>
      </c>
      <c r="BB82" s="803">
        <f>IF(ISNUMBER('Base de datos Rutas'!CS80),'Base de datos Rutas'!CS80,"")</f>
        <v>314.34999999999997</v>
      </c>
      <c r="BC82" s="804">
        <f t="shared" si="69"/>
        <v>0</v>
      </c>
      <c r="BD82" s="805" t="str">
        <f t="shared" si="70"/>
        <v>No saturada</v>
      </c>
      <c r="BE82" s="806">
        <f t="shared" si="71"/>
        <v>0.50489825489825491</v>
      </c>
      <c r="BF82" s="890">
        <f>IF(ISNUMBER('Base de datos Rutas'!CX80),'Base de datos Rutas'!CX80/100,"")</f>
        <v>0.82048491510931987</v>
      </c>
      <c r="BG82" s="891">
        <f>IF(ISNUMBER('Base de datos Rutas'!CZ80),'Base de datos Rutas'!CZ80/100,"")</f>
        <v>0.87406864541346041</v>
      </c>
      <c r="BH82" s="892">
        <f>IF(ISNUMBER('Base de datos Rutas'!DA80),'Base de datos Rutas'!DA80,"")</f>
        <v>784.64224543195951</v>
      </c>
      <c r="BI82" s="893">
        <f>IF(ISNUMBER('Base de datos Rutas'!DC80),'Base de datos Rutas'!DC80,"")</f>
        <v>18.402617065997038</v>
      </c>
      <c r="BJ82" s="805" t="str">
        <f t="shared" si="72"/>
        <v>Ruta (completo)</v>
      </c>
      <c r="BK82" s="783">
        <f t="shared" si="59"/>
        <v>3</v>
      </c>
      <c r="BL82" s="797">
        <f t="shared" si="60"/>
        <v>2</v>
      </c>
      <c r="BM82" s="797">
        <f t="shared" si="61"/>
        <v>3</v>
      </c>
      <c r="BN82" s="797">
        <f t="shared" si="62"/>
        <v>2</v>
      </c>
      <c r="BO82" s="798" cm="1">
        <f t="array" ref="BO82">SUMPRODUCT(--ISNUMBER($BF82:$BI82),$BK$3:$BN$3)</f>
        <v>1</v>
      </c>
      <c r="BP82" s="831">
        <f t="shared" si="73"/>
        <v>37.5</v>
      </c>
      <c r="BQ82" s="834" t="str">
        <f t="shared" si="74"/>
        <v>Medio</v>
      </c>
      <c r="BR82" s="836">
        <f t="shared" si="64"/>
        <v>39.28717918941787</v>
      </c>
      <c r="BS82" s="836">
        <f t="shared" si="65"/>
        <v>37.5</v>
      </c>
      <c r="BT82" s="837" t="str">
        <f t="shared" si="66"/>
        <v>P2</v>
      </c>
      <c r="BU82" s="807" t="str">
        <f t="shared" si="75"/>
        <v>Con espacio</v>
      </c>
      <c r="BV82" s="807" t="str">
        <f t="shared" si="67"/>
        <v>Zona de bajo potencial</v>
      </c>
      <c r="BW82" s="808" t="str">
        <f t="shared" si="68"/>
        <v>P2 - Mantener</v>
      </c>
    </row>
    <row r="83" spans="1:75">
      <c r="A83" s="780" t="str">
        <f>'Base de datos Rutas'!A81</f>
        <v>Noreste</v>
      </c>
      <c r="B83" s="781" t="str">
        <f>'Base de datos Rutas'!B81</f>
        <v>Monterrey</v>
      </c>
      <c r="C83" s="781" t="str">
        <f>'Base de datos Rutas'!C81</f>
        <v>Sucursal Santa Catarina</v>
      </c>
      <c r="D83" s="782">
        <f>IF(ISNUMBER('Base de datos Rutas'!D81),'Base de datos Rutas'!D81,"Sin código")</f>
        <v>712307</v>
      </c>
      <c r="E83" s="783" t="str">
        <f>'Base de datos Rutas'!F81</f>
        <v>Activa</v>
      </c>
      <c r="F83" s="784" t="str">
        <f>'Base de datos Rutas'!H81</f>
        <v>Sí</v>
      </c>
      <c r="G83" s="785">
        <f>IF(ISNUMBER('Base de datos Rutas'!BE81),'Base de datos Rutas'!BE81,"")</f>
        <v>46.6064516129032</v>
      </c>
      <c r="H83" s="786">
        <f>IF(ISNUMBER('Base de datos Rutas'!BH81),'Base de datos Rutas'!BH81,"")</f>
        <v>0.97702104097452902</v>
      </c>
      <c r="I83" s="788">
        <f>IFERROR(IF(OR(NOT(ISNUMBER('Base de datos Rutas'!O81)),N('Base de datos Rutas'!BK81)=0),"",'Base de datos Rutas'!O81/('Base de datos Rutas'!L81/'Base de datos Rutas'!BK81)),"")</f>
        <v>13451.678082191796</v>
      </c>
      <c r="J83" s="788">
        <f>IFERROR(IF(OR(NOT(ISNUMBER('Base de datos Rutas'!N81)),N('Base de datos Rutas'!BK81)=0),"",'Base de datos Rutas'!N81/('Base de datos Rutas'!L81/'Base de datos Rutas'!BK81)),"")</f>
        <v>3841.9885844748906</v>
      </c>
      <c r="K83" s="788">
        <f>IFERROR(IF(OR(NOT(ISNUMBER('Base de datos Rutas'!J81)),N('Base de datos Rutas'!BK81)=0),"",'Base de datos Rutas'!J81/('Base de datos Rutas'!L81/'Base de datos Rutas'!BK81)),"")</f>
        <v>252.48691872146148</v>
      </c>
      <c r="L83" s="788">
        <f>IFERROR(IF(OR(NOT(ISNUMBER('Base de datos Rutas'!K81)),N('Base de datos Rutas'!BK81)=0),"",'Base de datos Rutas'!K81/('Base de datos Rutas'!L81/'Base de datos Rutas'!BK81)),"")</f>
        <v>99.181032182648508</v>
      </c>
      <c r="M83" s="787">
        <f>IF(ISNUMBER('Base de datos Rutas'!AX81),'Base de datos Rutas'!AX81,"")</f>
        <v>386.79878182929298</v>
      </c>
      <c r="N83" s="790">
        <f>IFERROR(INDEX('Hoja de apoyo v2'!B$17:B$20,MATCH($A83,'Hoja de apoyo v2'!$A$17:$A$20,0)),"")</f>
        <v>63.050408855205418</v>
      </c>
      <c r="O83" s="791">
        <f>IFERROR(INDEX('Hoja de apoyo v2'!C$17:C$20,MATCH($A83,'Hoja de apoyo v2'!$A$17:$A$20,0)),"")</f>
        <v>0.7559478312655763</v>
      </c>
      <c r="P83" s="793">
        <f>IFERROR(INDEX('Hoja de apoyo v2'!D$17:D$20,MATCH($A83,'Hoja de apoyo v2'!$A$17:$A$20,0)),"")</f>
        <v>9054.9839880720647</v>
      </c>
      <c r="Q83" s="793">
        <f>IFERROR(INDEX('Hoja de apoyo v2'!E$17:E$20,MATCH($A83,'Hoja de apoyo v2'!$A$17:$A$20,0)),"")</f>
        <v>4535.7799207004691</v>
      </c>
      <c r="R83" s="793">
        <f>IFERROR(INDEX('Hoja de apoyo v2'!F$17:F$20,MATCH($A83,'Hoja de apoyo v2'!$A$17:$A$20,0)),"")</f>
        <v>260.44838236060593</v>
      </c>
      <c r="S83" s="793">
        <f>IFERROR(INDEX('Hoja de apoyo v2'!G$17:G$20,MATCH($A83,'Hoja de apoyo v2'!$A$17:$A$20,0)),"")</f>
        <v>64.772152317133859</v>
      </c>
      <c r="T83" s="792">
        <f>IFERROR(INDEX('Hoja de apoyo v2'!H$17:H$20,MATCH($A83,'Hoja de apoyo v2'!$A$17:$A$20,0)),"")</f>
        <v>389.240053528842</v>
      </c>
      <c r="U83" s="794">
        <f t="shared" si="39"/>
        <v>0.73919348754636016</v>
      </c>
      <c r="V83" s="795">
        <f t="shared" si="40"/>
        <v>1.2924450611080414</v>
      </c>
      <c r="W83" s="795">
        <f t="shared" si="41"/>
        <v>1.4855551484035092</v>
      </c>
      <c r="X83" s="843">
        <f t="shared" si="42"/>
        <v>0.84704034403008799</v>
      </c>
      <c r="Y83" s="843">
        <f t="shared" si="43"/>
        <v>0.96943170248559518</v>
      </c>
      <c r="Z83" s="843">
        <f t="shared" si="44"/>
        <v>1.5312295274216576</v>
      </c>
      <c r="AA83" s="843">
        <f t="shared" si="45"/>
        <v>0.99372810768723185</v>
      </c>
      <c r="AB83" s="796">
        <f t="shared" si="46"/>
        <v>2</v>
      </c>
      <c r="AC83" s="797">
        <f t="shared" si="47"/>
        <v>5</v>
      </c>
      <c r="AD83" s="797">
        <f t="shared" si="48"/>
        <v>5</v>
      </c>
      <c r="AE83" s="842">
        <f t="shared" si="49"/>
        <v>3</v>
      </c>
      <c r="AF83" s="842">
        <f t="shared" si="50"/>
        <v>3</v>
      </c>
      <c r="AG83" s="842">
        <f t="shared" si="51"/>
        <v>5</v>
      </c>
      <c r="AH83" s="842">
        <f t="shared" si="52"/>
        <v>3</v>
      </c>
      <c r="AI83" s="826" cm="1">
        <f t="array" ref="AI83">SUMPRODUCT(--ISNUMBER($U83:$AA83),$AB$3:$AH$3)</f>
        <v>1</v>
      </c>
      <c r="AJ83" s="829">
        <f t="shared" si="53"/>
        <v>69.238651468419661</v>
      </c>
      <c r="AK83" s="827" t="str">
        <f t="shared" si="54"/>
        <v>Madura</v>
      </c>
      <c r="AL83" s="784" t="str">
        <f t="shared" si="55"/>
        <v>Alta</v>
      </c>
      <c r="AM83" s="799">
        <f>IF(ISNUMBER('Base de datos Rutas'!W81),'Base de datos Rutas'!W81,"")</f>
        <v>3467.2961205401448</v>
      </c>
      <c r="AN83" s="787">
        <f>IFERROR(SUMIFS('Base de datos Rutas'!$W$6:$W$794,'Base de datos Rutas'!$C$6:$C$794,$C83)/'Base de datos Rutas'!I81,"")</f>
        <v>3467.2961205401448</v>
      </c>
      <c r="AO83" s="800">
        <f>IFERROR('Base de datos Rutas'!X81*AN83/AM83,"")</f>
        <v>0.43200004930622998</v>
      </c>
      <c r="AP83" s="800">
        <f t="shared" si="56"/>
        <v>0.56799995069377007</v>
      </c>
      <c r="AQ83" s="789">
        <f>IFERROR(INDEX('Hoja de apoyo v2'!$J$17:$J$20,MATCH($A83,'Hoja de apoyo v2'!$A$17:$A$20,0)),"")</f>
        <v>0.56799995069377007</v>
      </c>
      <c r="AR83" s="789">
        <f t="shared" si="57"/>
        <v>0</v>
      </c>
      <c r="AS83" s="784" t="str">
        <f t="shared" si="58"/>
        <v>No</v>
      </c>
      <c r="AT83" s="801">
        <f>IF(ISNUMBER('Base de datos Rutas'!CK81),'Base de datos Rutas'!CK81,"")</f>
        <v>315</v>
      </c>
      <c r="AU83" s="802">
        <f>IF(ISNUMBER('Base de datos Rutas'!CL81),'Base de datos Rutas'!CL81,"")</f>
        <v>706.97</v>
      </c>
      <c r="AV83" s="802">
        <f>IF(ISNUMBER('Base de datos Rutas'!CM81),'Base de datos Rutas'!CM81,"")</f>
        <v>391.97</v>
      </c>
      <c r="AW83" s="802">
        <f>IF(ISNUMBER('Base de datos Rutas'!CN81),'Base de datos Rutas'!CN81,"")</f>
        <v>4.6399999999999997</v>
      </c>
      <c r="AX83" s="802">
        <f>IF(ISNUMBER('Base de datos Rutas'!CO81),'Base de datos Rutas'!CO81,"")</f>
        <v>9.4499999999999993</v>
      </c>
      <c r="AY83" s="802">
        <f>IF(ISNUMBER('Base de datos Rutas'!CP81),'Base de datos Rutas'!CP81,"")</f>
        <v>4.8099999999999996</v>
      </c>
      <c r="AZ83" s="802">
        <f>IF(ISNUMBER('Base de datos Rutas'!CQ81),'Base de datos Rutas'!CQ81,"")</f>
        <v>1481.48</v>
      </c>
      <c r="BA83" s="802">
        <f>IF(ISNUMBER('Base de datos Rutas'!CR81),'Base de datos Rutas'!CR81,"")</f>
        <v>351.67</v>
      </c>
      <c r="BB83" s="803">
        <f>IF(ISNUMBER('Base de datos Rutas'!CS81),'Base de datos Rutas'!CS81,"")</f>
        <v>1129.81</v>
      </c>
      <c r="BC83" s="804">
        <f t="shared" si="69"/>
        <v>0</v>
      </c>
      <c r="BD83" s="805" t="str">
        <f t="shared" si="70"/>
        <v>No saturada</v>
      </c>
      <c r="BE83" s="806">
        <f t="shared" si="71"/>
        <v>0.23737748737748737</v>
      </c>
      <c r="BF83" s="890">
        <f>IF(ISNUMBER('Base de datos Rutas'!CX81),'Base de datos Rutas'!CX81/100,"")</f>
        <v>0.88211428571428574</v>
      </c>
      <c r="BG83" s="891">
        <f>IF(ISNUMBER('Base de datos Rutas'!CZ81),'Base de datos Rutas'!CZ81/100,"")</f>
        <v>1</v>
      </c>
      <c r="BH83" s="892">
        <f>IF(ISNUMBER('Base de datos Rutas'!DA81),'Base de datos Rutas'!DA81,"")</f>
        <v>1951.6543609445325</v>
      </c>
      <c r="BI83" s="893">
        <f>IF(ISNUMBER('Base de datos Rutas'!DC81),'Base de datos Rutas'!DC81,"")</f>
        <v>37.2261277330729</v>
      </c>
      <c r="BJ83" s="805" t="str">
        <f t="shared" si="72"/>
        <v>Ruta (completo)</v>
      </c>
      <c r="BK83" s="783">
        <f t="shared" si="59"/>
        <v>5</v>
      </c>
      <c r="BL83" s="797">
        <f t="shared" si="60"/>
        <v>3</v>
      </c>
      <c r="BM83" s="797">
        <f t="shared" si="61"/>
        <v>4</v>
      </c>
      <c r="BN83" s="797">
        <f t="shared" si="62"/>
        <v>3</v>
      </c>
      <c r="BO83" s="798" cm="1">
        <f t="array" ref="BO83">SUMPRODUCT(--ISNUMBER($BF83:$BI83),$BK$3:$BN$3)</f>
        <v>1</v>
      </c>
      <c r="BP83" s="831">
        <f t="shared" si="73"/>
        <v>68.75</v>
      </c>
      <c r="BQ83" s="834" t="str">
        <f t="shared" si="74"/>
        <v>Alto</v>
      </c>
      <c r="BR83" s="836">
        <f t="shared" si="64"/>
        <v>51.928988601314742</v>
      </c>
      <c r="BS83" s="836">
        <f t="shared" si="65"/>
        <v>68.75</v>
      </c>
      <c r="BT83" s="837" t="str">
        <f t="shared" si="66"/>
        <v>P1</v>
      </c>
      <c r="BU83" s="807" t="str">
        <f t="shared" si="75"/>
        <v>Con espacio</v>
      </c>
      <c r="BV83" s="807" t="str">
        <f t="shared" si="67"/>
        <v>Zona atractiva</v>
      </c>
      <c r="BW83" s="808" t="str">
        <f t="shared" si="68"/>
        <v>P1 - Ampliar cobertura</v>
      </c>
    </row>
    <row r="84" spans="1:75">
      <c r="A84" s="780" t="str">
        <f>'Base de datos Rutas'!A82</f>
        <v>Noreste</v>
      </c>
      <c r="B84" s="781" t="str">
        <f>'Base de datos Rutas'!B82</f>
        <v>Monterrey</v>
      </c>
      <c r="C84" s="781" t="str">
        <f>'Base de datos Rutas'!C82</f>
        <v>Sucursal Santa Catarina</v>
      </c>
      <c r="D84" s="782">
        <f>IF(ISNUMBER('Base de datos Rutas'!D82),'Base de datos Rutas'!D82,"Sin código")</f>
        <v>712308</v>
      </c>
      <c r="E84" s="783" t="str">
        <f>'Base de datos Rutas'!F82</f>
        <v>Activa</v>
      </c>
      <c r="F84" s="784" t="str">
        <f>'Base de datos Rutas'!H82</f>
        <v>Sí</v>
      </c>
      <c r="G84" s="785">
        <f>IF(ISNUMBER('Base de datos Rutas'!BE82),'Base de datos Rutas'!BE82,"")</f>
        <v>45.221864951768502</v>
      </c>
      <c r="H84" s="786">
        <f>IF(ISNUMBER('Base de datos Rutas'!BH82),'Base de datos Rutas'!BH82,"")</f>
        <v>0.75910125142207097</v>
      </c>
      <c r="I84" s="788">
        <f>IFERROR(IF(OR(NOT(ISNUMBER('Base de datos Rutas'!O82)),N('Base de datos Rutas'!BK82)=0),"",'Base de datos Rutas'!O82/('Base de datos Rutas'!L82/'Base de datos Rutas'!BK82)),"")</f>
        <v>21510.778538812792</v>
      </c>
      <c r="J84" s="788">
        <f>IFERROR(IF(OR(NOT(ISNUMBER('Base de datos Rutas'!N82)),N('Base de datos Rutas'!BK82)=0),"",'Base de datos Rutas'!N82/('Base de datos Rutas'!L82/'Base de datos Rutas'!BK82)),"")</f>
        <v>4253.520547945207</v>
      </c>
      <c r="K84" s="788">
        <f>IFERROR(IF(OR(NOT(ISNUMBER('Base de datos Rutas'!J82)),N('Base de datos Rutas'!BK82)=0),"",'Base de datos Rutas'!J82/('Base de datos Rutas'!L82/'Base de datos Rutas'!BK82)),"")</f>
        <v>289.33379616438367</v>
      </c>
      <c r="L84" s="788">
        <f>IFERROR(IF(OR(NOT(ISNUMBER('Base de datos Rutas'!K82)),N('Base de datos Rutas'!BK82)=0),"",'Base de datos Rutas'!K82/('Base de datos Rutas'!L82/'Base de datos Rutas'!BK82)),"")</f>
        <v>154.3870992442923</v>
      </c>
      <c r="M84" s="787">
        <f>IF(ISNUMBER('Base de datos Rutas'!AX82),'Base de datos Rutas'!AX82,"")</f>
        <v>748.07848458733895</v>
      </c>
      <c r="N84" s="790">
        <f>IFERROR(INDEX('Hoja de apoyo v2'!B$17:B$20,MATCH($A84,'Hoja de apoyo v2'!$A$17:$A$20,0)),"")</f>
        <v>63.050408855205418</v>
      </c>
      <c r="O84" s="791">
        <f>IFERROR(INDEX('Hoja de apoyo v2'!C$17:C$20,MATCH($A84,'Hoja de apoyo v2'!$A$17:$A$20,0)),"")</f>
        <v>0.7559478312655763</v>
      </c>
      <c r="P84" s="793">
        <f>IFERROR(INDEX('Hoja de apoyo v2'!D$17:D$20,MATCH($A84,'Hoja de apoyo v2'!$A$17:$A$20,0)),"")</f>
        <v>9054.9839880720647</v>
      </c>
      <c r="Q84" s="793">
        <f>IFERROR(INDEX('Hoja de apoyo v2'!E$17:E$20,MATCH($A84,'Hoja de apoyo v2'!$A$17:$A$20,0)),"")</f>
        <v>4535.7799207004691</v>
      </c>
      <c r="R84" s="793">
        <f>IFERROR(INDEX('Hoja de apoyo v2'!F$17:F$20,MATCH($A84,'Hoja de apoyo v2'!$A$17:$A$20,0)),"")</f>
        <v>260.44838236060593</v>
      </c>
      <c r="S84" s="793">
        <f>IFERROR(INDEX('Hoja de apoyo v2'!G$17:G$20,MATCH($A84,'Hoja de apoyo v2'!$A$17:$A$20,0)),"")</f>
        <v>64.772152317133859</v>
      </c>
      <c r="T84" s="792">
        <f>IFERROR(INDEX('Hoja de apoyo v2'!H$17:H$20,MATCH($A84,'Hoja de apoyo v2'!$A$17:$A$20,0)),"")</f>
        <v>389.240053528842</v>
      </c>
      <c r="U84" s="794">
        <f t="shared" si="39"/>
        <v>0.71723349257924762</v>
      </c>
      <c r="V84" s="795">
        <f t="shared" si="40"/>
        <v>1.0041714785413371</v>
      </c>
      <c r="W84" s="795">
        <f t="shared" si="41"/>
        <v>2.3755733380808266</v>
      </c>
      <c r="X84" s="843">
        <f t="shared" si="42"/>
        <v>0.93777048761403037</v>
      </c>
      <c r="Y84" s="843">
        <f t="shared" si="43"/>
        <v>1.110906481898529</v>
      </c>
      <c r="Z84" s="843">
        <f t="shared" si="44"/>
        <v>2.3835412862056931</v>
      </c>
      <c r="AA84" s="843">
        <f t="shared" si="45"/>
        <v>1.9218949278350863</v>
      </c>
      <c r="AB84" s="796">
        <f t="shared" si="46"/>
        <v>2</v>
      </c>
      <c r="AC84" s="797">
        <f t="shared" si="47"/>
        <v>4</v>
      </c>
      <c r="AD84" s="797">
        <f t="shared" si="48"/>
        <v>5</v>
      </c>
      <c r="AE84" s="842">
        <f t="shared" si="49"/>
        <v>3</v>
      </c>
      <c r="AF84" s="842">
        <f t="shared" si="50"/>
        <v>4</v>
      </c>
      <c r="AG84" s="842">
        <f t="shared" si="51"/>
        <v>5</v>
      </c>
      <c r="AH84" s="842">
        <f t="shared" si="52"/>
        <v>5</v>
      </c>
      <c r="AI84" s="826" cm="1">
        <f t="array" ref="AI84">SUMPRODUCT(--ISNUMBER($U84:$AA84),$AB$3:$AH$3)</f>
        <v>1</v>
      </c>
      <c r="AJ84" s="829">
        <f t="shared" si="53"/>
        <v>74.271246075222109</v>
      </c>
      <c r="AK84" s="827" t="str">
        <f t="shared" si="54"/>
        <v>Madura</v>
      </c>
      <c r="AL84" s="784" t="str">
        <f t="shared" si="55"/>
        <v>Alta</v>
      </c>
      <c r="AM84" s="799">
        <f>IF(ISNUMBER('Base de datos Rutas'!W82),'Base de datos Rutas'!W82,"")</f>
        <v>3467.2961205401448</v>
      </c>
      <c r="AN84" s="787">
        <f>IFERROR(SUMIFS('Base de datos Rutas'!$W$6:$W$794,'Base de datos Rutas'!$C$6:$C$794,$C84)/'Base de datos Rutas'!I82,"")</f>
        <v>3467.2961205401448</v>
      </c>
      <c r="AO84" s="800">
        <f>IFERROR('Base de datos Rutas'!X82*AN84/AM84,"")</f>
        <v>0.43200004930622998</v>
      </c>
      <c r="AP84" s="800">
        <f t="shared" si="56"/>
        <v>0.56799995069377007</v>
      </c>
      <c r="AQ84" s="789">
        <f>IFERROR(INDEX('Hoja de apoyo v2'!$J$17:$J$20,MATCH($A84,'Hoja de apoyo v2'!$A$17:$A$20,0)),"")</f>
        <v>0.56799995069377007</v>
      </c>
      <c r="AR84" s="789">
        <f t="shared" si="57"/>
        <v>0</v>
      </c>
      <c r="AS84" s="784" t="str">
        <f t="shared" si="58"/>
        <v>No</v>
      </c>
      <c r="AT84" s="801">
        <f>IF(ISNUMBER('Base de datos Rutas'!CK82),'Base de datos Rutas'!CK82,"")</f>
        <v>233</v>
      </c>
      <c r="AU84" s="802">
        <f>IF(ISNUMBER('Base de datos Rutas'!CL82),'Base de datos Rutas'!CL82,"")</f>
        <v>553.83000000000004</v>
      </c>
      <c r="AV84" s="802">
        <f>IF(ISNUMBER('Base de datos Rutas'!CM82),'Base de datos Rutas'!CM82,"")</f>
        <v>320.83000000000004</v>
      </c>
      <c r="AW84" s="802">
        <f>IF(ISNUMBER('Base de datos Rutas'!CN82),'Base de datos Rutas'!CN82,"")</f>
        <v>4.37</v>
      </c>
      <c r="AX84" s="802">
        <f>IF(ISNUMBER('Base de datos Rutas'!CO82),'Base de datos Rutas'!CO82,"")</f>
        <v>9.4499999999999993</v>
      </c>
      <c r="AY84" s="802">
        <f>IF(ISNUMBER('Base de datos Rutas'!CP82),'Base de datos Rutas'!CP82,"")</f>
        <v>5.0799999999999992</v>
      </c>
      <c r="AZ84" s="802">
        <f>IF(ISNUMBER('Base de datos Rutas'!CQ82),'Base de datos Rutas'!CQ82,"")</f>
        <v>1269.8399999999999</v>
      </c>
      <c r="BA84" s="802">
        <f>IF(ISNUMBER('Base de datos Rutas'!CR82),'Base de datos Rutas'!CR82,"")</f>
        <v>443.72</v>
      </c>
      <c r="BB84" s="803">
        <f>IF(ISNUMBER('Base de datos Rutas'!CS82),'Base de datos Rutas'!CS82,"")</f>
        <v>826.11999999999989</v>
      </c>
      <c r="BC84" s="804">
        <f t="shared" si="69"/>
        <v>0</v>
      </c>
      <c r="BD84" s="805" t="str">
        <f t="shared" si="70"/>
        <v>No saturada</v>
      </c>
      <c r="BE84" s="806">
        <f t="shared" si="71"/>
        <v>0.34942984942984945</v>
      </c>
      <c r="BF84" s="890">
        <f>IF(ISNUMBER('Base de datos Rutas'!CX82),'Base de datos Rutas'!CX82/100,"")</f>
        <v>0.84172175629008394</v>
      </c>
      <c r="BG84" s="891">
        <f>IF(ISNUMBER('Base de datos Rutas'!CZ82),'Base de datos Rutas'!CZ82/100,"")</f>
        <v>1</v>
      </c>
      <c r="BH84" s="892">
        <f>IF(ISNUMBER('Base de datos Rutas'!DA82),'Base de datos Rutas'!DA82,"")</f>
        <v>2276.7627979879294</v>
      </c>
      <c r="BI84" s="893">
        <f>IF(ISNUMBER('Base de datos Rutas'!DC82),'Base de datos Rutas'!DC82,"")</f>
        <v>39.799866259482165</v>
      </c>
      <c r="BJ84" s="805" t="str">
        <f t="shared" si="72"/>
        <v>Ruta (completo)</v>
      </c>
      <c r="BK84" s="783">
        <f t="shared" si="59"/>
        <v>4</v>
      </c>
      <c r="BL84" s="797">
        <f t="shared" si="60"/>
        <v>3</v>
      </c>
      <c r="BM84" s="797">
        <f t="shared" si="61"/>
        <v>4</v>
      </c>
      <c r="BN84" s="797">
        <f t="shared" si="62"/>
        <v>3</v>
      </c>
      <c r="BO84" s="798" cm="1">
        <f t="array" ref="BO84">SUMPRODUCT(--ISNUMBER($BF84:$BI84),$BK$3:$BN$3)</f>
        <v>1</v>
      </c>
      <c r="BP84" s="831">
        <f t="shared" si="73"/>
        <v>62.5</v>
      </c>
      <c r="BQ84" s="834" t="str">
        <f t="shared" si="74"/>
        <v>Alto</v>
      </c>
      <c r="BR84" s="836">
        <f t="shared" si="64"/>
        <v>55.703434556416582</v>
      </c>
      <c r="BS84" s="836">
        <f t="shared" si="65"/>
        <v>62.5</v>
      </c>
      <c r="BT84" s="837" t="str">
        <f t="shared" si="66"/>
        <v>P1</v>
      </c>
      <c r="BU84" s="807" t="str">
        <f t="shared" si="75"/>
        <v>Con espacio</v>
      </c>
      <c r="BV84" s="807" t="str">
        <f t="shared" si="67"/>
        <v>Zona atractiva</v>
      </c>
      <c r="BW84" s="808" t="str">
        <f t="shared" si="68"/>
        <v>P1 - Ampliar cobertura</v>
      </c>
    </row>
    <row r="85" spans="1:75">
      <c r="A85" s="780" t="str">
        <f>'Base de datos Rutas'!A83</f>
        <v>Noreste</v>
      </c>
      <c r="B85" s="781" t="str">
        <f>'Base de datos Rutas'!B83</f>
        <v>Monterrey</v>
      </c>
      <c r="C85" s="781" t="str">
        <f>'Base de datos Rutas'!C83</f>
        <v>Sucursal Santa Catarina</v>
      </c>
      <c r="D85" s="782">
        <f>IF(ISNUMBER('Base de datos Rutas'!D83),'Base de datos Rutas'!D83,"Sin código")</f>
        <v>712309</v>
      </c>
      <c r="E85" s="783" t="str">
        <f>'Base de datos Rutas'!F83</f>
        <v>Activa</v>
      </c>
      <c r="F85" s="784" t="str">
        <f>'Base de datos Rutas'!H83</f>
        <v>Sí</v>
      </c>
      <c r="G85" s="785">
        <f>IF(ISNUMBER('Base de datos Rutas'!BE83),'Base de datos Rutas'!BE83,"")</f>
        <v>41.277419354838699</v>
      </c>
      <c r="H85" s="786">
        <f>IF(ISNUMBER('Base de datos Rutas'!BH83),'Base de datos Rutas'!BH83,"")</f>
        <v>0.87753985620506403</v>
      </c>
      <c r="I85" s="788">
        <f>IFERROR(IF(OR(NOT(ISNUMBER('Base de datos Rutas'!O83)),N('Base de datos Rutas'!BK83)=0),"",'Base de datos Rutas'!O83/('Base de datos Rutas'!L83/'Base de datos Rutas'!BK83)),"")</f>
        <v>12507.18949771689</v>
      </c>
      <c r="J85" s="788">
        <f>IFERROR(IF(OR(NOT(ISNUMBER('Base de datos Rutas'!N83)),N('Base de datos Rutas'!BK83)=0),"",'Base de datos Rutas'!N83/('Base de datos Rutas'!L83/'Base de datos Rutas'!BK83)),"")</f>
        <v>3553.0273972602727</v>
      </c>
      <c r="K85" s="788">
        <f>IFERROR(IF(OR(NOT(ISNUMBER('Base de datos Rutas'!J83)),N('Base de datos Rutas'!BK83)=0),"",'Base de datos Rutas'!J83/('Base de datos Rutas'!L83/'Base de datos Rutas'!BK83)),"")</f>
        <v>237.75395799086749</v>
      </c>
      <c r="L85" s="788">
        <f>IFERROR(IF(OR(NOT(ISNUMBER('Base de datos Rutas'!K83)),N('Base de datos Rutas'!BK83)=0),"",'Base de datos Rutas'!K83/('Base de datos Rutas'!L83/'Base de datos Rutas'!BK83)),"")</f>
        <v>88.79318118493147</v>
      </c>
      <c r="M85" s="787">
        <f>IF(ISNUMBER('Base de datos Rutas'!AX83),'Base de datos Rutas'!AX83,"")</f>
        <v>453.50856295532202</v>
      </c>
      <c r="N85" s="790">
        <f>IFERROR(INDEX('Hoja de apoyo v2'!B$17:B$20,MATCH($A85,'Hoja de apoyo v2'!$A$17:$A$20,0)),"")</f>
        <v>63.050408855205418</v>
      </c>
      <c r="O85" s="791">
        <f>IFERROR(INDEX('Hoja de apoyo v2'!C$17:C$20,MATCH($A85,'Hoja de apoyo v2'!$A$17:$A$20,0)),"")</f>
        <v>0.7559478312655763</v>
      </c>
      <c r="P85" s="793">
        <f>IFERROR(INDEX('Hoja de apoyo v2'!D$17:D$20,MATCH($A85,'Hoja de apoyo v2'!$A$17:$A$20,0)),"")</f>
        <v>9054.9839880720647</v>
      </c>
      <c r="Q85" s="793">
        <f>IFERROR(INDEX('Hoja de apoyo v2'!E$17:E$20,MATCH($A85,'Hoja de apoyo v2'!$A$17:$A$20,0)),"")</f>
        <v>4535.7799207004691</v>
      </c>
      <c r="R85" s="793">
        <f>IFERROR(INDEX('Hoja de apoyo v2'!F$17:F$20,MATCH($A85,'Hoja de apoyo v2'!$A$17:$A$20,0)),"")</f>
        <v>260.44838236060593</v>
      </c>
      <c r="S85" s="793">
        <f>IFERROR(INDEX('Hoja de apoyo v2'!G$17:G$20,MATCH($A85,'Hoja de apoyo v2'!$A$17:$A$20,0)),"")</f>
        <v>64.772152317133859</v>
      </c>
      <c r="T85" s="792">
        <f>IFERROR(INDEX('Hoja de apoyo v2'!H$17:H$20,MATCH($A85,'Hoja de apoyo v2'!$A$17:$A$20,0)),"")</f>
        <v>389.240053528842</v>
      </c>
      <c r="U85" s="794">
        <f t="shared" si="39"/>
        <v>0.6546733019548191</v>
      </c>
      <c r="V85" s="795">
        <f t="shared" si="40"/>
        <v>1.1608471112826972</v>
      </c>
      <c r="W85" s="795">
        <f t="shared" si="41"/>
        <v>1.381249211946961</v>
      </c>
      <c r="X85" s="843">
        <f t="shared" si="42"/>
        <v>0.7833332876326089</v>
      </c>
      <c r="Y85" s="843">
        <f t="shared" si="43"/>
        <v>0.91286402255969212</v>
      </c>
      <c r="Z85" s="843">
        <f t="shared" si="44"/>
        <v>1.3708542638846888</v>
      </c>
      <c r="AA85" s="843">
        <f t="shared" si="45"/>
        <v>1.1651127853976566</v>
      </c>
      <c r="AB85" s="796">
        <f t="shared" si="46"/>
        <v>2</v>
      </c>
      <c r="AC85" s="797">
        <f t="shared" si="47"/>
        <v>4</v>
      </c>
      <c r="AD85" s="797">
        <f t="shared" si="48"/>
        <v>5</v>
      </c>
      <c r="AE85" s="842">
        <f t="shared" si="49"/>
        <v>3</v>
      </c>
      <c r="AF85" s="842">
        <f t="shared" si="50"/>
        <v>3</v>
      </c>
      <c r="AG85" s="842">
        <f t="shared" si="51"/>
        <v>5</v>
      </c>
      <c r="AH85" s="842">
        <f t="shared" si="52"/>
        <v>4</v>
      </c>
      <c r="AI85" s="826" cm="1">
        <f t="array" ref="AI85">SUMPRODUCT(--ISNUMBER($U85:$AA85),$AB$3:$AH$3)</f>
        <v>1</v>
      </c>
      <c r="AJ85" s="829">
        <f t="shared" si="53"/>
        <v>69.100473722855753</v>
      </c>
      <c r="AK85" s="827" t="str">
        <f t="shared" si="54"/>
        <v>Madura</v>
      </c>
      <c r="AL85" s="784" t="str">
        <f t="shared" si="55"/>
        <v>Alta</v>
      </c>
      <c r="AM85" s="799">
        <f>IF(ISNUMBER('Base de datos Rutas'!W83),'Base de datos Rutas'!W83,"")</f>
        <v>3467.2961205401448</v>
      </c>
      <c r="AN85" s="787">
        <f>IFERROR(SUMIFS('Base de datos Rutas'!$W$6:$W$794,'Base de datos Rutas'!$C$6:$C$794,$C85)/'Base de datos Rutas'!I83,"")</f>
        <v>3467.2961205401448</v>
      </c>
      <c r="AO85" s="800">
        <f>IFERROR('Base de datos Rutas'!X83*AN85/AM85,"")</f>
        <v>0.43200004930622998</v>
      </c>
      <c r="AP85" s="800">
        <f t="shared" si="56"/>
        <v>0.56799995069377007</v>
      </c>
      <c r="AQ85" s="789">
        <f>IFERROR(INDEX('Hoja de apoyo v2'!$J$17:$J$20,MATCH($A85,'Hoja de apoyo v2'!$A$17:$A$20,0)),"")</f>
        <v>0.56799995069377007</v>
      </c>
      <c r="AR85" s="789">
        <f t="shared" si="57"/>
        <v>0</v>
      </c>
      <c r="AS85" s="784" t="str">
        <f t="shared" si="58"/>
        <v>No</v>
      </c>
      <c r="AT85" s="801">
        <f>IF(ISNUMBER('Base de datos Rutas'!CK83),'Base de datos Rutas'!CK83,"")</f>
        <v>226</v>
      </c>
      <c r="AU85" s="802">
        <f>IF(ISNUMBER('Base de datos Rutas'!CL83),'Base de datos Rutas'!CL83,"")</f>
        <v>785.5</v>
      </c>
      <c r="AV85" s="802">
        <f>IF(ISNUMBER('Base de datos Rutas'!CM83),'Base de datos Rutas'!CM83,"")</f>
        <v>559.5</v>
      </c>
      <c r="AW85" s="802">
        <f>IF(ISNUMBER('Base de datos Rutas'!CN83),'Base de datos Rutas'!CN83,"")</f>
        <v>3.17</v>
      </c>
      <c r="AX85" s="802">
        <f>IF(ISNUMBER('Base de datos Rutas'!CO83),'Base de datos Rutas'!CO83,"")</f>
        <v>9.4499999999999993</v>
      </c>
      <c r="AY85" s="802">
        <f>IF(ISNUMBER('Base de datos Rutas'!CP83),'Base de datos Rutas'!CP83,"")</f>
        <v>6.2799999999999994</v>
      </c>
      <c r="AZ85" s="802">
        <f>IF(ISNUMBER('Base de datos Rutas'!CQ83),'Base de datos Rutas'!CQ83,"")</f>
        <v>1481.48</v>
      </c>
      <c r="BA85" s="802">
        <f>IF(ISNUMBER('Base de datos Rutas'!CR83),'Base de datos Rutas'!CR83,"")</f>
        <v>326.55</v>
      </c>
      <c r="BB85" s="803">
        <f>IF(ISNUMBER('Base de datos Rutas'!CS83),'Base de datos Rutas'!CS83,"")</f>
        <v>1154.93</v>
      </c>
      <c r="BC85" s="804">
        <f t="shared" si="69"/>
        <v>0</v>
      </c>
      <c r="BD85" s="805" t="str">
        <f t="shared" si="70"/>
        <v>No saturada</v>
      </c>
      <c r="BE85" s="806">
        <f t="shared" si="71"/>
        <v>0.22042147042147042</v>
      </c>
      <c r="BF85" s="890">
        <f>IF(ISNUMBER('Base de datos Rutas'!CX83),'Base de datos Rutas'!CX83/100,"")</f>
        <v>0.67030053034767234</v>
      </c>
      <c r="BG85" s="891">
        <f>IF(ISNUMBER('Base de datos Rutas'!CZ83),'Base de datos Rutas'!CZ83/100,"")</f>
        <v>1</v>
      </c>
      <c r="BH85" s="892">
        <f>IF(ISNUMBER('Base de datos Rutas'!DA83),'Base de datos Rutas'!DA83,"")</f>
        <v>3311.7831774872593</v>
      </c>
      <c r="BI85" s="893">
        <f>IF(ISNUMBER('Base de datos Rutas'!DC83),'Base de datos Rutas'!DC83,"")</f>
        <v>73.426443607356518</v>
      </c>
      <c r="BJ85" s="805" t="str">
        <f t="shared" si="72"/>
        <v>Ruta (completo)</v>
      </c>
      <c r="BK85" s="783">
        <f t="shared" si="59"/>
        <v>2</v>
      </c>
      <c r="BL85" s="797">
        <f t="shared" si="60"/>
        <v>3</v>
      </c>
      <c r="BM85" s="797">
        <f t="shared" si="61"/>
        <v>5</v>
      </c>
      <c r="BN85" s="797">
        <f t="shared" si="62"/>
        <v>5</v>
      </c>
      <c r="BO85" s="798" cm="1">
        <f t="array" ref="BO85">SUMPRODUCT(--ISNUMBER($BF85:$BI85),$BK$3:$BN$3)</f>
        <v>1</v>
      </c>
      <c r="BP85" s="831">
        <f t="shared" si="73"/>
        <v>68.75</v>
      </c>
      <c r="BQ85" s="834" t="str">
        <f t="shared" si="74"/>
        <v>Alto</v>
      </c>
      <c r="BR85" s="836">
        <f t="shared" si="64"/>
        <v>51.825355292141815</v>
      </c>
      <c r="BS85" s="836">
        <f t="shared" si="65"/>
        <v>68.75</v>
      </c>
      <c r="BT85" s="837" t="str">
        <f t="shared" si="66"/>
        <v>P1</v>
      </c>
      <c r="BU85" s="807" t="str">
        <f t="shared" si="75"/>
        <v>Con espacio</v>
      </c>
      <c r="BV85" s="807" t="str">
        <f t="shared" si="67"/>
        <v>Zona atractiva</v>
      </c>
      <c r="BW85" s="808" t="str">
        <f t="shared" si="68"/>
        <v>P1 - Ampliar cobertura</v>
      </c>
    </row>
    <row r="86" spans="1:75">
      <c r="A86" s="780" t="str">
        <f>'Base de datos Rutas'!A84</f>
        <v>Noreste</v>
      </c>
      <c r="B86" s="781" t="str">
        <f>'Base de datos Rutas'!B84</f>
        <v>Monterrey</v>
      </c>
      <c r="C86" s="781" t="str">
        <f>'Base de datos Rutas'!C84</f>
        <v>Sucursal Santa Catarina</v>
      </c>
      <c r="D86" s="782">
        <f>IF(ISNUMBER('Base de datos Rutas'!D84),'Base de datos Rutas'!D84,"Sin código")</f>
        <v>712310</v>
      </c>
      <c r="E86" s="783" t="str">
        <f>'Base de datos Rutas'!F84</f>
        <v>Activa</v>
      </c>
      <c r="F86" s="784" t="str">
        <f>'Base de datos Rutas'!H84</f>
        <v>Sí</v>
      </c>
      <c r="G86" s="785">
        <f>IF(ISNUMBER('Base de datos Rutas'!BE84),'Base de datos Rutas'!BE84,"")</f>
        <v>54.5048231511254</v>
      </c>
      <c r="H86" s="786">
        <f>IF(ISNUMBER('Base de datos Rutas'!BH84),'Base de datos Rutas'!BH84,"")</f>
        <v>0.81240044835113001</v>
      </c>
      <c r="I86" s="788">
        <f>IFERROR(IF(OR(NOT(ISNUMBER('Base de datos Rutas'!O84)),N('Base de datos Rutas'!BK84)=0),"",'Base de datos Rutas'!O84/('Base de datos Rutas'!L84/'Base de datos Rutas'!BK84)),"")</f>
        <v>7813.8812785388227</v>
      </c>
      <c r="J86" s="788">
        <f>IFERROR(IF(OR(NOT(ISNUMBER('Base de datos Rutas'!N84)),N('Base de datos Rutas'!BK84)=0),"",'Base de datos Rutas'!N84/('Base de datos Rutas'!L84/'Base de datos Rutas'!BK84)),"")</f>
        <v>3860.9908675799138</v>
      </c>
      <c r="K86" s="788">
        <f>IFERROR(IF(OR(NOT(ISNUMBER('Base de datos Rutas'!J84)),N('Base de datos Rutas'!BK84)=0),"",'Base de datos Rutas'!J84/('Base de datos Rutas'!L84/'Base de datos Rutas'!BK84)),"")</f>
        <v>248.93235068493183</v>
      </c>
      <c r="L86" s="788">
        <f>IFERROR(IF(OR(NOT(ISNUMBER('Base de datos Rutas'!K84)),N('Base de datos Rutas'!BK84)=0),"",'Base de datos Rutas'!K84/('Base de datos Rutas'!L84/'Base de datos Rutas'!BK84)),"")</f>
        <v>62.429137068493233</v>
      </c>
      <c r="M86" s="787">
        <f>IF(ISNUMBER('Base de datos Rutas'!AX84),'Base de datos Rutas'!AX84,"")</f>
        <v>274.18735871313697</v>
      </c>
      <c r="N86" s="790">
        <f>IFERROR(INDEX('Hoja de apoyo v2'!B$17:B$20,MATCH($A86,'Hoja de apoyo v2'!$A$17:$A$20,0)),"")</f>
        <v>63.050408855205418</v>
      </c>
      <c r="O86" s="791">
        <f>IFERROR(INDEX('Hoja de apoyo v2'!C$17:C$20,MATCH($A86,'Hoja de apoyo v2'!$A$17:$A$20,0)),"")</f>
        <v>0.7559478312655763</v>
      </c>
      <c r="P86" s="793">
        <f>IFERROR(INDEX('Hoja de apoyo v2'!D$17:D$20,MATCH($A86,'Hoja de apoyo v2'!$A$17:$A$20,0)),"")</f>
        <v>9054.9839880720647</v>
      </c>
      <c r="Q86" s="793">
        <f>IFERROR(INDEX('Hoja de apoyo v2'!E$17:E$20,MATCH($A86,'Hoja de apoyo v2'!$A$17:$A$20,0)),"")</f>
        <v>4535.7799207004691</v>
      </c>
      <c r="R86" s="793">
        <f>IFERROR(INDEX('Hoja de apoyo v2'!F$17:F$20,MATCH($A86,'Hoja de apoyo v2'!$A$17:$A$20,0)),"")</f>
        <v>260.44838236060593</v>
      </c>
      <c r="S86" s="793">
        <f>IFERROR(INDEX('Hoja de apoyo v2'!G$17:G$20,MATCH($A86,'Hoja de apoyo v2'!$A$17:$A$20,0)),"")</f>
        <v>64.772152317133859</v>
      </c>
      <c r="T86" s="792">
        <f>IFERROR(INDEX('Hoja de apoyo v2'!H$17:H$20,MATCH($A86,'Hoja de apoyo v2'!$A$17:$A$20,0)),"")</f>
        <v>389.240053528842</v>
      </c>
      <c r="U86" s="794">
        <f t="shared" si="39"/>
        <v>0.86446423014155449</v>
      </c>
      <c r="V86" s="795">
        <f t="shared" si="40"/>
        <v>1.0746779271673326</v>
      </c>
      <c r="W86" s="795">
        <f t="shared" si="41"/>
        <v>0.86293706193538056</v>
      </c>
      <c r="X86" s="843">
        <f t="shared" si="42"/>
        <v>0.85122976314592746</v>
      </c>
      <c r="Y86" s="843">
        <f t="shared" si="43"/>
        <v>0.95578382337683521</v>
      </c>
      <c r="Z86" s="843">
        <f t="shared" si="44"/>
        <v>0.96382681191187092</v>
      </c>
      <c r="AA86" s="843">
        <f t="shared" si="45"/>
        <v>0.70441712312841454</v>
      </c>
      <c r="AB86" s="796">
        <f t="shared" si="46"/>
        <v>3</v>
      </c>
      <c r="AC86" s="797">
        <f t="shared" si="47"/>
        <v>4</v>
      </c>
      <c r="AD86" s="797">
        <f t="shared" si="48"/>
        <v>3</v>
      </c>
      <c r="AE86" s="842">
        <f t="shared" si="49"/>
        <v>3</v>
      </c>
      <c r="AF86" s="842">
        <f t="shared" si="50"/>
        <v>3</v>
      </c>
      <c r="AG86" s="842">
        <f t="shared" si="51"/>
        <v>3</v>
      </c>
      <c r="AH86" s="842">
        <f t="shared" si="52"/>
        <v>2</v>
      </c>
      <c r="AI86" s="826" cm="1">
        <f t="array" ref="AI86">SUMPRODUCT(--ISNUMBER($U86:$AA86),$AB$3:$AH$3)</f>
        <v>1</v>
      </c>
      <c r="AJ86" s="829">
        <f t="shared" si="53"/>
        <v>50.138177745563929</v>
      </c>
      <c r="AK86" s="827" t="str">
        <f t="shared" si="54"/>
        <v>En desarrollo</v>
      </c>
      <c r="AL86" s="784" t="str">
        <f t="shared" si="55"/>
        <v>Alta</v>
      </c>
      <c r="AM86" s="799">
        <f>IF(ISNUMBER('Base de datos Rutas'!W84),'Base de datos Rutas'!W84,"")</f>
        <v>3467.2961205401448</v>
      </c>
      <c r="AN86" s="787">
        <f>IFERROR(SUMIFS('Base de datos Rutas'!$W$6:$W$794,'Base de datos Rutas'!$C$6:$C$794,$C86)/'Base de datos Rutas'!I84,"")</f>
        <v>3467.2961205401448</v>
      </c>
      <c r="AO86" s="800">
        <f>IFERROR('Base de datos Rutas'!X84*AN86/AM86,"")</f>
        <v>0.43200004930622998</v>
      </c>
      <c r="AP86" s="800">
        <f t="shared" si="56"/>
        <v>0.56799995069377007</v>
      </c>
      <c r="AQ86" s="789">
        <f>IFERROR(INDEX('Hoja de apoyo v2'!$J$17:$J$20,MATCH($A86,'Hoja de apoyo v2'!$A$17:$A$20,0)),"")</f>
        <v>0.56799995069377007</v>
      </c>
      <c r="AR86" s="789">
        <f t="shared" si="57"/>
        <v>0</v>
      </c>
      <c r="AS86" s="784" t="str">
        <f t="shared" si="58"/>
        <v>No</v>
      </c>
      <c r="AT86" s="801">
        <f>IF(ISNUMBER('Base de datos Rutas'!CK84),'Base de datos Rutas'!CK84,"")</f>
        <v>387</v>
      </c>
      <c r="AU86" s="802">
        <f>IF(ISNUMBER('Base de datos Rutas'!CL84),'Base de datos Rutas'!CL84,"")</f>
        <v>638.07000000000005</v>
      </c>
      <c r="AV86" s="802">
        <f>IF(ISNUMBER('Base de datos Rutas'!CM84),'Base de datos Rutas'!CM84,"")</f>
        <v>251.07000000000005</v>
      </c>
      <c r="AW86" s="802">
        <f>IF(ISNUMBER('Base de datos Rutas'!CN84),'Base de datos Rutas'!CN84,"")</f>
        <v>5.87</v>
      </c>
      <c r="AX86" s="802">
        <f>IF(ISNUMBER('Base de datos Rutas'!CO84),'Base de datos Rutas'!CO84,"")</f>
        <v>9.4499999999999993</v>
      </c>
      <c r="AY86" s="802">
        <f>IF(ISNUMBER('Base de datos Rutas'!CP84),'Base de datos Rutas'!CP84,"")</f>
        <v>3.5799999999999992</v>
      </c>
      <c r="AZ86" s="802">
        <f>IF(ISNUMBER('Base de datos Rutas'!CQ84),'Base de datos Rutas'!CQ84,"")</f>
        <v>634.91999999999996</v>
      </c>
      <c r="BA86" s="802">
        <f>IF(ISNUMBER('Base de datos Rutas'!CR84),'Base de datos Rutas'!CR84,"")</f>
        <v>311.36</v>
      </c>
      <c r="BB86" s="803">
        <f>IF(ISNUMBER('Base de datos Rutas'!CS84),'Base de datos Rutas'!CS84,"")</f>
        <v>323.55999999999995</v>
      </c>
      <c r="BC86" s="804">
        <f t="shared" si="69"/>
        <v>0</v>
      </c>
      <c r="BD86" s="805" t="str">
        <f t="shared" si="70"/>
        <v>No saturada</v>
      </c>
      <c r="BE86" s="806">
        <f t="shared" si="71"/>
        <v>0.49039249039249044</v>
      </c>
      <c r="BF86" s="890">
        <f>IF(ISNUMBER('Base de datos Rutas'!CX84),'Base de datos Rutas'!CX84/100,"")</f>
        <v>0.88044285714285719</v>
      </c>
      <c r="BG86" s="891">
        <f>IF(ISNUMBER('Base de datos Rutas'!CZ84),'Base de datos Rutas'!CZ84/100,"")</f>
        <v>1</v>
      </c>
      <c r="BH86" s="892">
        <f>IF(ISNUMBER('Base de datos Rutas'!DA84),'Base de datos Rutas'!DA84,"")</f>
        <v>2145.312568319956</v>
      </c>
      <c r="BI86" s="893">
        <f>IF(ISNUMBER('Base de datos Rutas'!DC84),'Base de datos Rutas'!DC84,"")</f>
        <v>56.516777467280846</v>
      </c>
      <c r="BJ86" s="805" t="str">
        <f t="shared" si="72"/>
        <v>Ruta (completo)</v>
      </c>
      <c r="BK86" s="783">
        <f t="shared" si="59"/>
        <v>5</v>
      </c>
      <c r="BL86" s="797">
        <f t="shared" si="60"/>
        <v>3</v>
      </c>
      <c r="BM86" s="797">
        <f t="shared" si="61"/>
        <v>4</v>
      </c>
      <c r="BN86" s="797">
        <f t="shared" si="62"/>
        <v>4</v>
      </c>
      <c r="BO86" s="798" cm="1">
        <f t="array" ref="BO86">SUMPRODUCT(--ISNUMBER($BF86:$BI86),$BK$3:$BN$3)</f>
        <v>1</v>
      </c>
      <c r="BP86" s="831">
        <f t="shared" si="73"/>
        <v>75</v>
      </c>
      <c r="BQ86" s="834" t="str">
        <f t="shared" si="74"/>
        <v>Alto</v>
      </c>
      <c r="BR86" s="836">
        <f t="shared" si="64"/>
        <v>37.603633309172949</v>
      </c>
      <c r="BS86" s="836">
        <f t="shared" si="65"/>
        <v>75</v>
      </c>
      <c r="BT86" s="837" t="str">
        <f t="shared" si="66"/>
        <v>P1</v>
      </c>
      <c r="BU86" s="807" t="str">
        <f t="shared" si="75"/>
        <v>Con espacio</v>
      </c>
      <c r="BV86" s="807" t="str">
        <f t="shared" si="67"/>
        <v>Zona atractiva</v>
      </c>
      <c r="BW86" s="808" t="str">
        <f t="shared" si="68"/>
        <v>P1 - Ampliar cobertura</v>
      </c>
    </row>
    <row r="87" spans="1:75">
      <c r="A87" s="780" t="str">
        <f>'Base de datos Rutas'!A85</f>
        <v>Noreste</v>
      </c>
      <c r="B87" s="781" t="str">
        <f>'Base de datos Rutas'!B85</f>
        <v>Monterrey</v>
      </c>
      <c r="C87" s="781" t="str">
        <f>'Base de datos Rutas'!C85</f>
        <v>Sucursal Santa Catarina</v>
      </c>
      <c r="D87" s="782">
        <f>IF(ISNUMBER('Base de datos Rutas'!D85),'Base de datos Rutas'!D85,"Sin código")</f>
        <v>712311</v>
      </c>
      <c r="E87" s="783" t="str">
        <f>'Base de datos Rutas'!F85</f>
        <v>Activa</v>
      </c>
      <c r="F87" s="784" t="str">
        <f>'Base de datos Rutas'!H85</f>
        <v>Sí</v>
      </c>
      <c r="G87" s="785">
        <f>IF(ISNUMBER('Base de datos Rutas'!BE85),'Base de datos Rutas'!BE85,"")</f>
        <v>48.938511326860798</v>
      </c>
      <c r="H87" s="786">
        <f>IF(ISNUMBER('Base de datos Rutas'!BH85),'Base de datos Rutas'!BH85,"")</f>
        <v>0.79215712207379996</v>
      </c>
      <c r="I87" s="788">
        <f>IFERROR(IF(OR(NOT(ISNUMBER('Base de datos Rutas'!O85)),N('Base de datos Rutas'!BK85)=0),"",'Base de datos Rutas'!O85/('Base de datos Rutas'!L85/'Base de datos Rutas'!BK85)),"")</f>
        <v>9755.2906178489575</v>
      </c>
      <c r="J87" s="788">
        <f>IFERROR(IF(OR(NOT(ISNUMBER('Base de datos Rutas'!N85)),N('Base de datos Rutas'!BK85)=0),"",'Base de datos Rutas'!N85/('Base de datos Rutas'!L85/'Base de datos Rutas'!BK85)),"")</f>
        <v>3340.7368421052588</v>
      </c>
      <c r="K87" s="788">
        <f>IFERROR(IF(OR(NOT(ISNUMBER('Base de datos Rutas'!J85)),N('Base de datos Rutas'!BK85)=0),"",'Base de datos Rutas'!J85/('Base de datos Rutas'!L85/'Base de datos Rutas'!BK85)),"")</f>
        <v>222.17719359267707</v>
      </c>
      <c r="L87" s="788">
        <f>IFERROR(IF(OR(NOT(ISNUMBER('Base de datos Rutas'!K85)),N('Base de datos Rutas'!BK85)=0),"",'Base de datos Rutas'!K85/('Base de datos Rutas'!L85/'Base de datos Rutas'!BK85)),"")</f>
        <v>68.973968180777945</v>
      </c>
      <c r="M87" s="787">
        <f>IF(ISNUMBER('Base de datos Rutas'!AX85),'Base de datos Rutas'!AX85,"")</f>
        <v>359.91201308093798</v>
      </c>
      <c r="N87" s="790">
        <f>IFERROR(INDEX('Hoja de apoyo v2'!B$17:B$20,MATCH($A87,'Hoja de apoyo v2'!$A$17:$A$20,0)),"")</f>
        <v>63.050408855205418</v>
      </c>
      <c r="O87" s="791">
        <f>IFERROR(INDEX('Hoja de apoyo v2'!C$17:C$20,MATCH($A87,'Hoja de apoyo v2'!$A$17:$A$20,0)),"")</f>
        <v>0.7559478312655763</v>
      </c>
      <c r="P87" s="793">
        <f>IFERROR(INDEX('Hoja de apoyo v2'!D$17:D$20,MATCH($A87,'Hoja de apoyo v2'!$A$17:$A$20,0)),"")</f>
        <v>9054.9839880720647</v>
      </c>
      <c r="Q87" s="793">
        <f>IFERROR(INDEX('Hoja de apoyo v2'!E$17:E$20,MATCH($A87,'Hoja de apoyo v2'!$A$17:$A$20,0)),"")</f>
        <v>4535.7799207004691</v>
      </c>
      <c r="R87" s="793">
        <f>IFERROR(INDEX('Hoja de apoyo v2'!F$17:F$20,MATCH($A87,'Hoja de apoyo v2'!$A$17:$A$20,0)),"")</f>
        <v>260.44838236060593</v>
      </c>
      <c r="S87" s="793">
        <f>IFERROR(INDEX('Hoja de apoyo v2'!G$17:G$20,MATCH($A87,'Hoja de apoyo v2'!$A$17:$A$20,0)),"")</f>
        <v>64.772152317133859</v>
      </c>
      <c r="T87" s="792">
        <f>IFERROR(INDEX('Hoja de apoyo v2'!H$17:H$20,MATCH($A87,'Hoja de apoyo v2'!$A$17:$A$20,0)),"")</f>
        <v>389.240053528842</v>
      </c>
      <c r="U87" s="794">
        <f t="shared" si="39"/>
        <v>0.77618071342324768</v>
      </c>
      <c r="V87" s="795">
        <f t="shared" si="40"/>
        <v>1.0478991926567256</v>
      </c>
      <c r="W87" s="795">
        <f t="shared" si="41"/>
        <v>1.0773393559502029</v>
      </c>
      <c r="X87" s="843">
        <f t="shared" si="42"/>
        <v>0.73652974802828231</v>
      </c>
      <c r="Y87" s="843">
        <f t="shared" si="43"/>
        <v>0.8530565311212408</v>
      </c>
      <c r="Z87" s="843">
        <f t="shared" si="44"/>
        <v>1.0648707154746284</v>
      </c>
      <c r="AA87" s="843">
        <f t="shared" si="45"/>
        <v>0.92465307672728791</v>
      </c>
      <c r="AB87" s="796">
        <f t="shared" si="46"/>
        <v>3</v>
      </c>
      <c r="AC87" s="797">
        <f t="shared" si="47"/>
        <v>4</v>
      </c>
      <c r="AD87" s="797">
        <f t="shared" si="48"/>
        <v>4</v>
      </c>
      <c r="AE87" s="842">
        <f t="shared" si="49"/>
        <v>2</v>
      </c>
      <c r="AF87" s="842">
        <f t="shared" si="50"/>
        <v>3</v>
      </c>
      <c r="AG87" s="842">
        <f t="shared" si="51"/>
        <v>4</v>
      </c>
      <c r="AH87" s="842">
        <f t="shared" si="52"/>
        <v>3</v>
      </c>
      <c r="AI87" s="826" cm="1">
        <f t="array" ref="AI87">SUMPRODUCT(--ISNUMBER($U87:$AA87),$AB$3:$AH$3)</f>
        <v>1</v>
      </c>
      <c r="AJ87" s="829">
        <f t="shared" si="53"/>
        <v>58.47669617705953</v>
      </c>
      <c r="AK87" s="827" t="str">
        <f t="shared" si="54"/>
        <v>En desarrollo</v>
      </c>
      <c r="AL87" s="784" t="str">
        <f t="shared" si="55"/>
        <v>Alta</v>
      </c>
      <c r="AM87" s="799">
        <f>IF(ISNUMBER('Base de datos Rutas'!W85),'Base de datos Rutas'!W85,"")</f>
        <v>3467.2961205401448</v>
      </c>
      <c r="AN87" s="787">
        <f>IFERROR(SUMIFS('Base de datos Rutas'!$W$6:$W$794,'Base de datos Rutas'!$C$6:$C$794,$C87)/'Base de datos Rutas'!I85,"")</f>
        <v>3467.2961205401448</v>
      </c>
      <c r="AO87" s="800">
        <f>IFERROR('Base de datos Rutas'!X85*AN87/AM87,"")</f>
        <v>0.43200004930622998</v>
      </c>
      <c r="AP87" s="800">
        <f t="shared" si="56"/>
        <v>0.56799995069377007</v>
      </c>
      <c r="AQ87" s="789">
        <f>IFERROR(INDEX('Hoja de apoyo v2'!$J$17:$J$20,MATCH($A87,'Hoja de apoyo v2'!$A$17:$A$20,0)),"")</f>
        <v>0.56799995069377007</v>
      </c>
      <c r="AR87" s="789">
        <f t="shared" si="57"/>
        <v>0</v>
      </c>
      <c r="AS87" s="784" t="str">
        <f t="shared" si="58"/>
        <v>No</v>
      </c>
      <c r="AT87" s="801">
        <f>IF(ISNUMBER('Base de datos Rutas'!CK85),'Base de datos Rutas'!CK85,"")</f>
        <v>295</v>
      </c>
      <c r="AU87" s="802">
        <f>IF(ISNUMBER('Base de datos Rutas'!CL85),'Base de datos Rutas'!CL85,"")</f>
        <v>589.52</v>
      </c>
      <c r="AV87" s="802">
        <f>IF(ISNUMBER('Base de datos Rutas'!CM85),'Base de datos Rutas'!CM85,"")</f>
        <v>294.52</v>
      </c>
      <c r="AW87" s="802">
        <f>IF(ISNUMBER('Base de datos Rutas'!CN85),'Base de datos Rutas'!CN85,"")</f>
        <v>4.59</v>
      </c>
      <c r="AX87" s="802">
        <f>IF(ISNUMBER('Base de datos Rutas'!CO85),'Base de datos Rutas'!CO85,"")</f>
        <v>9.4499999999999993</v>
      </c>
      <c r="AY87" s="802">
        <f>IF(ISNUMBER('Base de datos Rutas'!CP85),'Base de datos Rutas'!CP85,"")</f>
        <v>4.8599999999999994</v>
      </c>
      <c r="AZ87" s="802">
        <f>IF(ISNUMBER('Base de datos Rutas'!CQ85),'Base de datos Rutas'!CQ85,"")</f>
        <v>634.91999999999996</v>
      </c>
      <c r="BA87" s="802">
        <f>IF(ISNUMBER('Base de datos Rutas'!CR85),'Base de datos Rutas'!CR85,"")</f>
        <v>291.14999999999998</v>
      </c>
      <c r="BB87" s="803">
        <f>IF(ISNUMBER('Base de datos Rutas'!CS85),'Base de datos Rutas'!CS85,"")</f>
        <v>343.77</v>
      </c>
      <c r="BC87" s="804">
        <f t="shared" si="69"/>
        <v>0</v>
      </c>
      <c r="BD87" s="805" t="str">
        <f t="shared" si="70"/>
        <v>No saturada</v>
      </c>
      <c r="BE87" s="806">
        <f t="shared" si="71"/>
        <v>0.45856170856170858</v>
      </c>
      <c r="BF87" s="890">
        <f>IF(ISNUMBER('Base de datos Rutas'!CX85),'Base de datos Rutas'!CX85/100,"")</f>
        <v>0.80725130890052355</v>
      </c>
      <c r="BG87" s="891">
        <f>IF(ISNUMBER('Base de datos Rutas'!CZ85),'Base de datos Rutas'!CZ85/100,"")</f>
        <v>1</v>
      </c>
      <c r="BH87" s="892">
        <f>IF(ISNUMBER('Base de datos Rutas'!DA85),'Base de datos Rutas'!DA85,"")</f>
        <v>3089.3729506397735</v>
      </c>
      <c r="BI87" s="893">
        <f>IF(ISNUMBER('Base de datos Rutas'!DC85),'Base de datos Rutas'!DC85,"")</f>
        <v>67.629781840528508</v>
      </c>
      <c r="BJ87" s="805" t="str">
        <f t="shared" si="72"/>
        <v>Ruta (completo)</v>
      </c>
      <c r="BK87" s="783">
        <f t="shared" si="59"/>
        <v>3</v>
      </c>
      <c r="BL87" s="797">
        <f t="shared" si="60"/>
        <v>3</v>
      </c>
      <c r="BM87" s="797">
        <f t="shared" si="61"/>
        <v>5</v>
      </c>
      <c r="BN87" s="797">
        <f t="shared" si="62"/>
        <v>5</v>
      </c>
      <c r="BO87" s="798" cm="1">
        <f t="array" ref="BO87">SUMPRODUCT(--ISNUMBER($BF87:$BI87),$BK$3:$BN$3)</f>
        <v>1</v>
      </c>
      <c r="BP87" s="831">
        <f t="shared" si="73"/>
        <v>75</v>
      </c>
      <c r="BQ87" s="834" t="str">
        <f t="shared" si="74"/>
        <v>Alto</v>
      </c>
      <c r="BR87" s="836">
        <f t="shared" si="64"/>
        <v>43.857522132794649</v>
      </c>
      <c r="BS87" s="836">
        <f t="shared" si="65"/>
        <v>75</v>
      </c>
      <c r="BT87" s="837" t="str">
        <f t="shared" si="66"/>
        <v>P1</v>
      </c>
      <c r="BU87" s="807" t="str">
        <f t="shared" si="75"/>
        <v>Con espacio</v>
      </c>
      <c r="BV87" s="807" t="str">
        <f t="shared" si="67"/>
        <v>Zona atractiva</v>
      </c>
      <c r="BW87" s="808" t="str">
        <f t="shared" si="68"/>
        <v>P1 - Ampliar cobertura</v>
      </c>
    </row>
    <row r="88" spans="1:75">
      <c r="A88" s="780" t="str">
        <f>'Base de datos Rutas'!A86</f>
        <v>Noreste</v>
      </c>
      <c r="B88" s="781" t="str">
        <f>'Base de datos Rutas'!B86</f>
        <v>Monterrey</v>
      </c>
      <c r="C88" s="781" t="str">
        <f>'Base de datos Rutas'!C86</f>
        <v>Sucursal Santa Catarina</v>
      </c>
      <c r="D88" s="782">
        <f>IF(ISNUMBER('Base de datos Rutas'!D86),'Base de datos Rutas'!D86,"Sin código")</f>
        <v>712312</v>
      </c>
      <c r="E88" s="783" t="str">
        <f>'Base de datos Rutas'!F86</f>
        <v>Activa</v>
      </c>
      <c r="F88" s="784" t="str">
        <f>'Base de datos Rutas'!H86</f>
        <v>Sí</v>
      </c>
      <c r="G88" s="785">
        <f>IF(ISNUMBER('Base de datos Rutas'!BE86),'Base de datos Rutas'!BE86,"")</f>
        <v>54.251612903225798</v>
      </c>
      <c r="H88" s="786">
        <f>IF(ISNUMBER('Base de datos Rutas'!BH86),'Base de datos Rutas'!BH86,"")</f>
        <v>0.79432750624331105</v>
      </c>
      <c r="I88" s="788">
        <f>IFERROR(IF(OR(NOT(ISNUMBER('Base de datos Rutas'!O86)),N('Base de datos Rutas'!BK86)=0),"",'Base de datos Rutas'!O86/('Base de datos Rutas'!L86/'Base de datos Rutas'!BK86)),"")</f>
        <v>10059.436073059371</v>
      </c>
      <c r="J88" s="788">
        <f>IFERROR(IF(OR(NOT(ISNUMBER('Base de datos Rutas'!N86)),N('Base de datos Rutas'!BK86)=0),"",'Base de datos Rutas'!N86/('Base de datos Rutas'!L86/'Base de datos Rutas'!BK86)),"")</f>
        <v>3848.4543378995468</v>
      </c>
      <c r="K88" s="788">
        <f>IFERROR(IF(OR(NOT(ISNUMBER('Base de datos Rutas'!J86)),N('Base de datos Rutas'!BK86)=0),"",'Base de datos Rutas'!J86/('Base de datos Rutas'!L86/'Base de datos Rutas'!BK86)),"")</f>
        <v>248.77955251141574</v>
      </c>
      <c r="L88" s="788">
        <f>IFERROR(IF(OR(NOT(ISNUMBER('Base de datos Rutas'!K86)),N('Base de datos Rutas'!BK86)=0),"",'Base de datos Rutas'!K86/('Base de datos Rutas'!L86/'Base de datos Rutas'!BK86)),"")</f>
        <v>71.962695308219239</v>
      </c>
      <c r="M88" s="787">
        <f>IF(ISNUMBER('Base de datos Rutas'!AX86),'Base de datos Rutas'!AX86,"")</f>
        <v>321.12048919346398</v>
      </c>
      <c r="N88" s="790">
        <f>IFERROR(INDEX('Hoja de apoyo v2'!B$17:B$20,MATCH($A88,'Hoja de apoyo v2'!$A$17:$A$20,0)),"")</f>
        <v>63.050408855205418</v>
      </c>
      <c r="O88" s="791">
        <f>IFERROR(INDEX('Hoja de apoyo v2'!C$17:C$20,MATCH($A88,'Hoja de apoyo v2'!$A$17:$A$20,0)),"")</f>
        <v>0.7559478312655763</v>
      </c>
      <c r="P88" s="793">
        <f>IFERROR(INDEX('Hoja de apoyo v2'!D$17:D$20,MATCH($A88,'Hoja de apoyo v2'!$A$17:$A$20,0)),"")</f>
        <v>9054.9839880720647</v>
      </c>
      <c r="Q88" s="793">
        <f>IFERROR(INDEX('Hoja de apoyo v2'!E$17:E$20,MATCH($A88,'Hoja de apoyo v2'!$A$17:$A$20,0)),"")</f>
        <v>4535.7799207004691</v>
      </c>
      <c r="R88" s="793">
        <f>IFERROR(INDEX('Hoja de apoyo v2'!F$17:F$20,MATCH($A88,'Hoja de apoyo v2'!$A$17:$A$20,0)),"")</f>
        <v>260.44838236060593</v>
      </c>
      <c r="S88" s="793">
        <f>IFERROR(INDEX('Hoja de apoyo v2'!G$17:G$20,MATCH($A88,'Hoja de apoyo v2'!$A$17:$A$20,0)),"")</f>
        <v>64.772152317133859</v>
      </c>
      <c r="T88" s="792">
        <f>IFERROR(INDEX('Hoja de apoyo v2'!H$17:H$20,MATCH($A88,'Hoja de apoyo v2'!$A$17:$A$20,0)),"")</f>
        <v>389.240053528842</v>
      </c>
      <c r="U88" s="794">
        <f t="shared" si="39"/>
        <v>0.86044823321945529</v>
      </c>
      <c r="V88" s="795">
        <f t="shared" si="40"/>
        <v>1.050770269310094</v>
      </c>
      <c r="W88" s="795">
        <f t="shared" si="41"/>
        <v>1.1109280906857979</v>
      </c>
      <c r="X88" s="843">
        <f t="shared" si="42"/>
        <v>0.84846584384218149</v>
      </c>
      <c r="Y88" s="843">
        <f t="shared" si="43"/>
        <v>0.95519714984048543</v>
      </c>
      <c r="Z88" s="843">
        <f t="shared" si="44"/>
        <v>1.1110128771988221</v>
      </c>
      <c r="AA88" s="843">
        <f t="shared" si="45"/>
        <v>0.82499343600996988</v>
      </c>
      <c r="AB88" s="796">
        <f t="shared" si="46"/>
        <v>3</v>
      </c>
      <c r="AC88" s="797">
        <f t="shared" si="47"/>
        <v>4</v>
      </c>
      <c r="AD88" s="797">
        <f t="shared" si="48"/>
        <v>4</v>
      </c>
      <c r="AE88" s="842">
        <f t="shared" si="49"/>
        <v>3</v>
      </c>
      <c r="AF88" s="842">
        <f t="shared" si="50"/>
        <v>3</v>
      </c>
      <c r="AG88" s="842">
        <f t="shared" si="51"/>
        <v>4</v>
      </c>
      <c r="AH88" s="842">
        <f t="shared" si="52"/>
        <v>3</v>
      </c>
      <c r="AI88" s="826" cm="1">
        <f t="array" ref="AI88">SUMPRODUCT(--ISNUMBER($U88:$AA88),$AB$3:$AH$3)</f>
        <v>1</v>
      </c>
      <c r="AJ88" s="829">
        <f t="shared" si="53"/>
        <v>61.886143823278218</v>
      </c>
      <c r="AK88" s="827" t="str">
        <f t="shared" si="54"/>
        <v>En desarrollo</v>
      </c>
      <c r="AL88" s="784" t="str">
        <f t="shared" si="55"/>
        <v>Alta</v>
      </c>
      <c r="AM88" s="799">
        <f>IF(ISNUMBER('Base de datos Rutas'!W86),'Base de datos Rutas'!W86,"")</f>
        <v>3467.2961205401448</v>
      </c>
      <c r="AN88" s="787">
        <f>IFERROR(SUMIFS('Base de datos Rutas'!$W$6:$W$794,'Base de datos Rutas'!$C$6:$C$794,$C88)/'Base de datos Rutas'!I86,"")</f>
        <v>3467.2961205401448</v>
      </c>
      <c r="AO88" s="800">
        <f>IFERROR('Base de datos Rutas'!X86*AN88/AM88,"")</f>
        <v>0.43200004930622998</v>
      </c>
      <c r="AP88" s="800">
        <f t="shared" si="56"/>
        <v>0.56799995069377007</v>
      </c>
      <c r="AQ88" s="789">
        <f>IFERROR(INDEX('Hoja de apoyo v2'!$J$17:$J$20,MATCH($A88,'Hoja de apoyo v2'!$A$17:$A$20,0)),"")</f>
        <v>0.56799995069377007</v>
      </c>
      <c r="AR88" s="789">
        <f t="shared" si="57"/>
        <v>0</v>
      </c>
      <c r="AS88" s="784" t="str">
        <f t="shared" si="58"/>
        <v>No</v>
      </c>
      <c r="AT88" s="801">
        <f>IF(ISNUMBER('Base de datos Rutas'!CK86),'Base de datos Rutas'!CK86,"")</f>
        <v>329</v>
      </c>
      <c r="AU88" s="802">
        <f>IF(ISNUMBER('Base de datos Rutas'!CL86),'Base de datos Rutas'!CL86,"")</f>
        <v>694.92</v>
      </c>
      <c r="AV88" s="802">
        <f>IF(ISNUMBER('Base de datos Rutas'!CM86),'Base de datos Rutas'!CM86,"")</f>
        <v>365.91999999999996</v>
      </c>
      <c r="AW88" s="802">
        <f>IF(ISNUMBER('Base de datos Rutas'!CN86),'Base de datos Rutas'!CN86,"")</f>
        <v>5.23</v>
      </c>
      <c r="AX88" s="802">
        <f>IF(ISNUMBER('Base de datos Rutas'!CO86),'Base de datos Rutas'!CO86,"")</f>
        <v>9.4499999999999993</v>
      </c>
      <c r="AY88" s="802">
        <f>IF(ISNUMBER('Base de datos Rutas'!CP86),'Base de datos Rutas'!CP86,"")</f>
        <v>4.2199999999999989</v>
      </c>
      <c r="AZ88" s="802">
        <f>IF(ISNUMBER('Base de datos Rutas'!CQ86),'Base de datos Rutas'!CQ86,"")</f>
        <v>1481.48</v>
      </c>
      <c r="BA88" s="802">
        <f>IF(ISNUMBER('Base de datos Rutas'!CR86),'Base de datos Rutas'!CR86,"")</f>
        <v>320.74</v>
      </c>
      <c r="BB88" s="803">
        <f>IF(ISNUMBER('Base de datos Rutas'!CS86),'Base de datos Rutas'!CS86,"")</f>
        <v>1160.74</v>
      </c>
      <c r="BC88" s="804">
        <f t="shared" si="69"/>
        <v>0</v>
      </c>
      <c r="BD88" s="805" t="str">
        <f t="shared" si="70"/>
        <v>No saturada</v>
      </c>
      <c r="BE88" s="806">
        <f t="shared" si="71"/>
        <v>0.2164997164997165</v>
      </c>
      <c r="BF88" s="890">
        <f>IF(ISNUMBER('Base de datos Rutas'!CX86),'Base de datos Rutas'!CX86/100,"")</f>
        <v>0.87687752355316273</v>
      </c>
      <c r="BG88" s="891">
        <f>IF(ISNUMBER('Base de datos Rutas'!CZ86),'Base de datos Rutas'!CZ86/100,"")</f>
        <v>1</v>
      </c>
      <c r="BH88" s="892">
        <f>IF(ISNUMBER('Base de datos Rutas'!DA86),'Base de datos Rutas'!DA86,"")</f>
        <v>1880.3774386444252</v>
      </c>
      <c r="BI88" s="893">
        <f>IF(ISNUMBER('Base de datos Rutas'!DC86),'Base de datos Rutas'!DC86,"")</f>
        <v>41.063081200268428</v>
      </c>
      <c r="BJ88" s="805" t="str">
        <f t="shared" si="72"/>
        <v>Ruta (completo)</v>
      </c>
      <c r="BK88" s="783">
        <f t="shared" si="59"/>
        <v>4</v>
      </c>
      <c r="BL88" s="797">
        <f t="shared" si="60"/>
        <v>3</v>
      </c>
      <c r="BM88" s="797">
        <f t="shared" si="61"/>
        <v>3</v>
      </c>
      <c r="BN88" s="797">
        <f t="shared" si="62"/>
        <v>4</v>
      </c>
      <c r="BO88" s="798" cm="1">
        <f t="array" ref="BO88">SUMPRODUCT(--ISNUMBER($BF88:$BI88),$BK$3:$BN$3)</f>
        <v>1</v>
      </c>
      <c r="BP88" s="831">
        <f t="shared" si="73"/>
        <v>62.5</v>
      </c>
      <c r="BQ88" s="834" t="str">
        <f t="shared" si="74"/>
        <v>Alto</v>
      </c>
      <c r="BR88" s="836">
        <f t="shared" si="64"/>
        <v>46.414607867458663</v>
      </c>
      <c r="BS88" s="836">
        <f t="shared" si="65"/>
        <v>62.5</v>
      </c>
      <c r="BT88" s="837" t="str">
        <f t="shared" si="66"/>
        <v>P1</v>
      </c>
      <c r="BU88" s="807" t="str">
        <f t="shared" si="75"/>
        <v>Con espacio</v>
      </c>
      <c r="BV88" s="807" t="str">
        <f t="shared" si="67"/>
        <v>Zona atractiva</v>
      </c>
      <c r="BW88" s="808" t="str">
        <f t="shared" si="68"/>
        <v>P1 - Ampliar cobertura</v>
      </c>
    </row>
    <row r="89" spans="1:75">
      <c r="A89" s="780" t="str">
        <f>'Base de datos Rutas'!A87</f>
        <v>Noreste</v>
      </c>
      <c r="B89" s="781" t="str">
        <f>'Base de datos Rutas'!B87</f>
        <v>Monterrey</v>
      </c>
      <c r="C89" s="781" t="str">
        <f>'Base de datos Rutas'!C87</f>
        <v>Sucursal Santa Catarina</v>
      </c>
      <c r="D89" s="782">
        <f>IF(ISNUMBER('Base de datos Rutas'!D87),'Base de datos Rutas'!D87,"Sin código")</f>
        <v>712313</v>
      </c>
      <c r="E89" s="783" t="str">
        <f>'Base de datos Rutas'!F87</f>
        <v>Activa</v>
      </c>
      <c r="F89" s="784" t="str">
        <f>'Base de datos Rutas'!H87</f>
        <v>Sí</v>
      </c>
      <c r="G89" s="785">
        <f>IF(ISNUMBER('Base de datos Rutas'!BE87),'Base de datos Rutas'!BE87,"")</f>
        <v>44.009677419354801</v>
      </c>
      <c r="H89" s="786">
        <f>IF(ISNUMBER('Base de datos Rutas'!BH87),'Base de datos Rutas'!BH87,"")</f>
        <v>0.81594957120867795</v>
      </c>
      <c r="I89" s="788">
        <f>IFERROR(IF(OR(NOT(ISNUMBER('Base de datos Rutas'!O87)),N('Base de datos Rutas'!BK87)=0),"",'Base de datos Rutas'!O87/('Base de datos Rutas'!L87/'Base de datos Rutas'!BK87)),"")</f>
        <v>12304.424657534246</v>
      </c>
      <c r="J89" s="788">
        <f>IFERROR(IF(OR(NOT(ISNUMBER('Base de datos Rutas'!N87)),N('Base de datos Rutas'!BK87)=0),"",'Base de datos Rutas'!N87/('Base de datos Rutas'!L87/'Base de datos Rutas'!BK87)),"")</f>
        <v>4135.0821917808216</v>
      </c>
      <c r="K89" s="788">
        <f>IFERROR(IF(OR(NOT(ISNUMBER('Base de datos Rutas'!J87)),N('Base de datos Rutas'!BK87)=0),"",'Base de datos Rutas'!J87/('Base de datos Rutas'!L87/'Base de datos Rutas'!BK87)),"")</f>
        <v>281.00388310502285</v>
      </c>
      <c r="L89" s="788">
        <f>IFERROR(IF(OR(NOT(ISNUMBER('Base de datos Rutas'!K87)),N('Base de datos Rutas'!BK87)=0),"",'Base de datos Rutas'!K87/('Base de datos Rutas'!L87/'Base de datos Rutas'!BK87)),"")</f>
        <v>83.497688178082186</v>
      </c>
      <c r="M89" s="787">
        <f>IF(ISNUMBER('Base de datos Rutas'!AX87),'Base de datos Rutas'!AX87,"")</f>
        <v>498.81840074932398</v>
      </c>
      <c r="N89" s="790">
        <f>IFERROR(INDEX('Hoja de apoyo v2'!B$17:B$20,MATCH($A89,'Hoja de apoyo v2'!$A$17:$A$20,0)),"")</f>
        <v>63.050408855205418</v>
      </c>
      <c r="O89" s="791">
        <f>IFERROR(INDEX('Hoja de apoyo v2'!C$17:C$20,MATCH($A89,'Hoja de apoyo v2'!$A$17:$A$20,0)),"")</f>
        <v>0.7559478312655763</v>
      </c>
      <c r="P89" s="793">
        <f>IFERROR(INDEX('Hoja de apoyo v2'!D$17:D$20,MATCH($A89,'Hoja de apoyo v2'!$A$17:$A$20,0)),"")</f>
        <v>9054.9839880720647</v>
      </c>
      <c r="Q89" s="793">
        <f>IFERROR(INDEX('Hoja de apoyo v2'!E$17:E$20,MATCH($A89,'Hoja de apoyo v2'!$A$17:$A$20,0)),"")</f>
        <v>4535.7799207004691</v>
      </c>
      <c r="R89" s="793">
        <f>IFERROR(INDEX('Hoja de apoyo v2'!F$17:F$20,MATCH($A89,'Hoja de apoyo v2'!$A$17:$A$20,0)),"")</f>
        <v>260.44838236060593</v>
      </c>
      <c r="S89" s="793">
        <f>IFERROR(INDEX('Hoja de apoyo v2'!G$17:G$20,MATCH($A89,'Hoja de apoyo v2'!$A$17:$A$20,0)),"")</f>
        <v>64.772152317133859</v>
      </c>
      <c r="T89" s="792">
        <f>IFERROR(INDEX('Hoja de apoyo v2'!H$17:H$20,MATCH($A89,'Hoja de apoyo v2'!$A$17:$A$20,0)),"")</f>
        <v>389.240053528842</v>
      </c>
      <c r="U89" s="794">
        <f t="shared" si="39"/>
        <v>0.69800780388946482</v>
      </c>
      <c r="V89" s="795">
        <f t="shared" si="40"/>
        <v>1.0793728581013973</v>
      </c>
      <c r="W89" s="795">
        <f t="shared" si="41"/>
        <v>1.3588565892267286</v>
      </c>
      <c r="X89" s="843">
        <f t="shared" si="42"/>
        <v>0.91165847198826022</v>
      </c>
      <c r="Y89" s="843">
        <f t="shared" si="43"/>
        <v>1.0789235109011222</v>
      </c>
      <c r="Z89" s="843">
        <f t="shared" si="44"/>
        <v>1.2890985584246974</v>
      </c>
      <c r="AA89" s="843">
        <f t="shared" si="45"/>
        <v>1.2815186829491134</v>
      </c>
      <c r="AB89" s="796">
        <f t="shared" si="46"/>
        <v>2</v>
      </c>
      <c r="AC89" s="797">
        <f t="shared" si="47"/>
        <v>4</v>
      </c>
      <c r="AD89" s="797">
        <f t="shared" si="48"/>
        <v>5</v>
      </c>
      <c r="AE89" s="842">
        <f t="shared" si="49"/>
        <v>3</v>
      </c>
      <c r="AF89" s="842">
        <f t="shared" si="50"/>
        <v>4</v>
      </c>
      <c r="AG89" s="842">
        <f t="shared" si="51"/>
        <v>5</v>
      </c>
      <c r="AH89" s="842">
        <f t="shared" si="52"/>
        <v>5</v>
      </c>
      <c r="AI89" s="826" cm="1">
        <f t="array" ref="AI89">SUMPRODUCT(--ISNUMBER($U89:$AA89),$AB$3:$AH$3)</f>
        <v>1</v>
      </c>
      <c r="AJ89" s="829">
        <f t="shared" si="53"/>
        <v>74.271246075222109</v>
      </c>
      <c r="AK89" s="827" t="str">
        <f t="shared" si="54"/>
        <v>Madura</v>
      </c>
      <c r="AL89" s="784" t="str">
        <f t="shared" si="55"/>
        <v>Alta</v>
      </c>
      <c r="AM89" s="799">
        <f>IF(ISNUMBER('Base de datos Rutas'!W87),'Base de datos Rutas'!W87,"")</f>
        <v>3467.2961205401448</v>
      </c>
      <c r="AN89" s="787">
        <f>IFERROR(SUMIFS('Base de datos Rutas'!$W$6:$W$794,'Base de datos Rutas'!$C$6:$C$794,$C89)/'Base de datos Rutas'!I87,"")</f>
        <v>3467.2961205401448</v>
      </c>
      <c r="AO89" s="800">
        <f>IFERROR('Base de datos Rutas'!X87*AN89/AM89,"")</f>
        <v>0.43200004930622998</v>
      </c>
      <c r="AP89" s="800">
        <f t="shared" si="56"/>
        <v>0.56799995069377007</v>
      </c>
      <c r="AQ89" s="789">
        <f>IFERROR(INDEX('Hoja de apoyo v2'!$J$17:$J$20,MATCH($A89,'Hoja de apoyo v2'!$A$17:$A$20,0)),"")</f>
        <v>0.56799995069377007</v>
      </c>
      <c r="AR89" s="789">
        <f t="shared" si="57"/>
        <v>0</v>
      </c>
      <c r="AS89" s="784" t="str">
        <f t="shared" si="58"/>
        <v>No</v>
      </c>
      <c r="AT89" s="801">
        <f>IF(ISNUMBER('Base de datos Rutas'!CK87),'Base de datos Rutas'!CK87,"")</f>
        <v>240</v>
      </c>
      <c r="AU89" s="802">
        <f>IF(ISNUMBER('Base de datos Rutas'!CL87),'Base de datos Rutas'!CL87,"")</f>
        <v>667.91</v>
      </c>
      <c r="AV89" s="802">
        <f>IF(ISNUMBER('Base de datos Rutas'!CM87),'Base de datos Rutas'!CM87,"")</f>
        <v>427.90999999999997</v>
      </c>
      <c r="AW89" s="802">
        <f>IF(ISNUMBER('Base de datos Rutas'!CN87),'Base de datos Rutas'!CN87,"")</f>
        <v>3.86</v>
      </c>
      <c r="AX89" s="802">
        <f>IF(ISNUMBER('Base de datos Rutas'!CO87),'Base de datos Rutas'!CO87,"")</f>
        <v>9.4499999999999993</v>
      </c>
      <c r="AY89" s="802">
        <f>IF(ISNUMBER('Base de datos Rutas'!CP87),'Base de datos Rutas'!CP87,"")</f>
        <v>5.59</v>
      </c>
      <c r="AZ89" s="802">
        <f>IF(ISNUMBER('Base de datos Rutas'!CQ87),'Base de datos Rutas'!CQ87,"")</f>
        <v>1481.48</v>
      </c>
      <c r="BA89" s="802">
        <f>IF(ISNUMBER('Base de datos Rutas'!CR87),'Base de datos Rutas'!CR87,"")</f>
        <v>364.5</v>
      </c>
      <c r="BB89" s="803">
        <f>IF(ISNUMBER('Base de datos Rutas'!CS87),'Base de datos Rutas'!CS87,"")</f>
        <v>1116.98</v>
      </c>
      <c r="BC89" s="804">
        <f t="shared" si="69"/>
        <v>0</v>
      </c>
      <c r="BD89" s="805" t="str">
        <f t="shared" si="70"/>
        <v>No saturada</v>
      </c>
      <c r="BE89" s="806">
        <f t="shared" si="71"/>
        <v>0.24603774603774603</v>
      </c>
      <c r="BF89" s="890">
        <f>IF(ISNUMBER('Base de datos Rutas'!CX87),'Base de datos Rutas'!CX87/100,"")</f>
        <v>0.82842421812349643</v>
      </c>
      <c r="BG89" s="891">
        <f>IF(ISNUMBER('Base de datos Rutas'!CZ87),'Base de datos Rutas'!CZ87/100,"")</f>
        <v>1</v>
      </c>
      <c r="BH89" s="892">
        <f>IF(ISNUMBER('Base de datos Rutas'!DA87),'Base de datos Rutas'!DA87,"")</f>
        <v>1931.5598084814385</v>
      </c>
      <c r="BI89" s="893">
        <f>IF(ISNUMBER('Base de datos Rutas'!DC87),'Base de datos Rutas'!DC87,"")</f>
        <v>44.207853766885357</v>
      </c>
      <c r="BJ89" s="805" t="str">
        <f t="shared" si="72"/>
        <v>Ruta (completo)</v>
      </c>
      <c r="BK89" s="783">
        <f t="shared" si="59"/>
        <v>4</v>
      </c>
      <c r="BL89" s="797">
        <f t="shared" si="60"/>
        <v>3</v>
      </c>
      <c r="BM89" s="797">
        <f t="shared" si="61"/>
        <v>3</v>
      </c>
      <c r="BN89" s="797">
        <f t="shared" si="62"/>
        <v>4</v>
      </c>
      <c r="BO89" s="798" cm="1">
        <f t="array" ref="BO89">SUMPRODUCT(--ISNUMBER($BF89:$BI89),$BK$3:$BN$3)</f>
        <v>1</v>
      </c>
      <c r="BP89" s="831">
        <f t="shared" si="73"/>
        <v>62.5</v>
      </c>
      <c r="BQ89" s="834" t="str">
        <f t="shared" si="74"/>
        <v>Alto</v>
      </c>
      <c r="BR89" s="836">
        <f t="shared" si="64"/>
        <v>55.703434556416582</v>
      </c>
      <c r="BS89" s="836">
        <f t="shared" si="65"/>
        <v>62.5</v>
      </c>
      <c r="BT89" s="837" t="str">
        <f t="shared" si="66"/>
        <v>P1</v>
      </c>
      <c r="BU89" s="807" t="str">
        <f t="shared" si="75"/>
        <v>Con espacio</v>
      </c>
      <c r="BV89" s="807" t="str">
        <f t="shared" si="67"/>
        <v>Zona atractiva</v>
      </c>
      <c r="BW89" s="808" t="str">
        <f t="shared" si="68"/>
        <v>P1 - Ampliar cobertura</v>
      </c>
    </row>
    <row r="90" spans="1:75">
      <c r="A90" s="780" t="str">
        <f>'Base de datos Rutas'!A88</f>
        <v>Noreste</v>
      </c>
      <c r="B90" s="781" t="str">
        <f>'Base de datos Rutas'!B88</f>
        <v>Monterrey</v>
      </c>
      <c r="C90" s="781" t="str">
        <f>'Base de datos Rutas'!C88</f>
        <v>Sucursal Santa Catarina</v>
      </c>
      <c r="D90" s="782">
        <f>IF(ISNUMBER('Base de datos Rutas'!D88),'Base de datos Rutas'!D88,"Sin código")</f>
        <v>712314</v>
      </c>
      <c r="E90" s="783" t="str">
        <f>'Base de datos Rutas'!F88</f>
        <v>Activa</v>
      </c>
      <c r="F90" s="784" t="str">
        <f>'Base de datos Rutas'!H88</f>
        <v>Sí</v>
      </c>
      <c r="G90" s="785">
        <f>IF(ISNUMBER('Base de datos Rutas'!BE88),'Base de datos Rutas'!BE88,"")</f>
        <v>51.935275080906202</v>
      </c>
      <c r="H90" s="786">
        <f>IF(ISNUMBER('Base de datos Rutas'!BH88),'Base de datos Rutas'!BH88,"")</f>
        <v>0.72021435692921199</v>
      </c>
      <c r="I90" s="788">
        <f>IFERROR(IF(OR(NOT(ISNUMBER('Base de datos Rutas'!O88)),N('Base de datos Rutas'!BK88)=0),"",'Base de datos Rutas'!O88/('Base de datos Rutas'!L88/'Base de datos Rutas'!BK88)),"")</f>
        <v>7873.3043478260934</v>
      </c>
      <c r="J90" s="788">
        <f>IFERROR(IF(OR(NOT(ISNUMBER('Base de datos Rutas'!N88)),N('Base de datos Rutas'!BK88)=0),"",'Base de datos Rutas'!N88/('Base de datos Rutas'!L88/'Base de datos Rutas'!BK88)),"")</f>
        <v>3286.5423340961124</v>
      </c>
      <c r="K90" s="788">
        <f>IFERROR(IF(OR(NOT(ISNUMBER('Base de datos Rutas'!J88)),N('Base de datos Rutas'!BK88)=0),"",'Base de datos Rutas'!J88/('Base de datos Rutas'!L88/'Base de datos Rutas'!BK88)),"")</f>
        <v>215.29360183066379</v>
      </c>
      <c r="L90" s="788">
        <f>IFERROR(IF(OR(NOT(ISNUMBER('Base de datos Rutas'!K88)),N('Base de datos Rutas'!BK88)=0),"",'Base de datos Rutas'!K88/('Base de datos Rutas'!L88/'Base de datos Rutas'!BK88)),"")</f>
        <v>50.898520688787222</v>
      </c>
      <c r="M90" s="787">
        <f>IF(ISNUMBER('Base de datos Rutas'!AX88),'Base de datos Rutas'!AX88,"")</f>
        <v>320.08740548700501</v>
      </c>
      <c r="N90" s="790">
        <f>IFERROR(INDEX('Hoja de apoyo v2'!B$17:B$20,MATCH($A90,'Hoja de apoyo v2'!$A$17:$A$20,0)),"")</f>
        <v>63.050408855205418</v>
      </c>
      <c r="O90" s="791">
        <f>IFERROR(INDEX('Hoja de apoyo v2'!C$17:C$20,MATCH($A90,'Hoja de apoyo v2'!$A$17:$A$20,0)),"")</f>
        <v>0.7559478312655763</v>
      </c>
      <c r="P90" s="793">
        <f>IFERROR(INDEX('Hoja de apoyo v2'!D$17:D$20,MATCH($A90,'Hoja de apoyo v2'!$A$17:$A$20,0)),"")</f>
        <v>9054.9839880720647</v>
      </c>
      <c r="Q90" s="793">
        <f>IFERROR(INDEX('Hoja de apoyo v2'!E$17:E$20,MATCH($A90,'Hoja de apoyo v2'!$A$17:$A$20,0)),"")</f>
        <v>4535.7799207004691</v>
      </c>
      <c r="R90" s="793">
        <f>IFERROR(INDEX('Hoja de apoyo v2'!F$17:F$20,MATCH($A90,'Hoja de apoyo v2'!$A$17:$A$20,0)),"")</f>
        <v>260.44838236060593</v>
      </c>
      <c r="S90" s="793">
        <f>IFERROR(INDEX('Hoja de apoyo v2'!G$17:G$20,MATCH($A90,'Hoja de apoyo v2'!$A$17:$A$20,0)),"")</f>
        <v>64.772152317133859</v>
      </c>
      <c r="T90" s="792">
        <f>IFERROR(INDEX('Hoja de apoyo v2'!H$17:H$20,MATCH($A90,'Hoja de apoyo v2'!$A$17:$A$20,0)),"")</f>
        <v>389.240053528842</v>
      </c>
      <c r="U90" s="794">
        <f t="shared" si="39"/>
        <v>0.82371036165958889</v>
      </c>
      <c r="V90" s="795">
        <f t="shared" si="40"/>
        <v>0.95273023764544595</v>
      </c>
      <c r="W90" s="795">
        <f t="shared" si="41"/>
        <v>0.8694995328757541</v>
      </c>
      <c r="X90" s="843">
        <f t="shared" si="42"/>
        <v>0.72458152546091026</v>
      </c>
      <c r="Y90" s="843">
        <f t="shared" si="43"/>
        <v>0.82662675759136517</v>
      </c>
      <c r="Z90" s="843">
        <f t="shared" si="44"/>
        <v>0.78580869815133947</v>
      </c>
      <c r="AA90" s="843">
        <f t="shared" si="45"/>
        <v>0.82233933169287032</v>
      </c>
      <c r="AB90" s="796">
        <f t="shared" si="46"/>
        <v>3</v>
      </c>
      <c r="AC90" s="797">
        <f t="shared" si="47"/>
        <v>3</v>
      </c>
      <c r="AD90" s="797">
        <f t="shared" si="48"/>
        <v>3</v>
      </c>
      <c r="AE90" s="842">
        <f t="shared" si="49"/>
        <v>2</v>
      </c>
      <c r="AF90" s="842">
        <f t="shared" si="50"/>
        <v>3</v>
      </c>
      <c r="AG90" s="842">
        <f t="shared" si="51"/>
        <v>3</v>
      </c>
      <c r="AH90" s="842">
        <f t="shared" si="52"/>
        <v>3</v>
      </c>
      <c r="AI90" s="826" cm="1">
        <f t="array" ref="AI90">SUMPRODUCT(--ISNUMBER($U90:$AA90),$AB$3:$AH$3)</f>
        <v>1</v>
      </c>
      <c r="AJ90" s="829">
        <f t="shared" si="53"/>
        <v>46.59055235378132</v>
      </c>
      <c r="AK90" s="827" t="str">
        <f t="shared" si="54"/>
        <v>En desarrollo</v>
      </c>
      <c r="AL90" s="784" t="str">
        <f t="shared" si="55"/>
        <v>Alta</v>
      </c>
      <c r="AM90" s="799">
        <f>IF(ISNUMBER('Base de datos Rutas'!W88),'Base de datos Rutas'!W88,"")</f>
        <v>3467.2961205401448</v>
      </c>
      <c r="AN90" s="787">
        <f>IFERROR(SUMIFS('Base de datos Rutas'!$W$6:$W$794,'Base de datos Rutas'!$C$6:$C$794,$C90)/'Base de datos Rutas'!I88,"")</f>
        <v>3467.2961205401448</v>
      </c>
      <c r="AO90" s="800">
        <f>IFERROR('Base de datos Rutas'!X88*AN90/AM90,"")</f>
        <v>0.43200004930622998</v>
      </c>
      <c r="AP90" s="800">
        <f t="shared" si="56"/>
        <v>0.56799995069377007</v>
      </c>
      <c r="AQ90" s="789">
        <f>IFERROR(INDEX('Hoja de apoyo v2'!$J$17:$J$20,MATCH($A90,'Hoja de apoyo v2'!$A$17:$A$20,0)),"")</f>
        <v>0.56799995069377007</v>
      </c>
      <c r="AR90" s="789">
        <f t="shared" si="57"/>
        <v>0</v>
      </c>
      <c r="AS90" s="784" t="str">
        <f t="shared" si="58"/>
        <v>No</v>
      </c>
      <c r="AT90" s="801">
        <f>IF(ISNUMBER('Base de datos Rutas'!CK88),'Base de datos Rutas'!CK88,"")</f>
        <v>418</v>
      </c>
      <c r="AU90" s="802">
        <f>IF(ISNUMBER('Base de datos Rutas'!CL88),'Base de datos Rutas'!CL88,"")</f>
        <v>700.31</v>
      </c>
      <c r="AV90" s="802">
        <f>IF(ISNUMBER('Base de datos Rutas'!CM88),'Base de datos Rutas'!CM88,"")</f>
        <v>282.30999999999995</v>
      </c>
      <c r="AW90" s="802">
        <f>IF(ISNUMBER('Base de datos Rutas'!CN88),'Base de datos Rutas'!CN88,"")</f>
        <v>9.56</v>
      </c>
      <c r="AX90" s="802">
        <f>IF(ISNUMBER('Base de datos Rutas'!CO88),'Base de datos Rutas'!CO88,"")</f>
        <v>9.4499999999999993</v>
      </c>
      <c r="AY90" s="802">
        <f>IF(ISNUMBER('Base de datos Rutas'!CP88),'Base de datos Rutas'!CP88,"")</f>
        <v>-0.11000000000000121</v>
      </c>
      <c r="AZ90" s="802">
        <f>IF(ISNUMBER('Base de datos Rutas'!CQ88),'Base de datos Rutas'!CQ88,"")</f>
        <v>634.91999999999996</v>
      </c>
      <c r="BA90" s="802">
        <f>IF(ISNUMBER('Base de datos Rutas'!CR88),'Base de datos Rutas'!CR88,"")</f>
        <v>266.19</v>
      </c>
      <c r="BB90" s="803">
        <f>IF(ISNUMBER('Base de datos Rutas'!CS88),'Base de datos Rutas'!CS88,"")</f>
        <v>368.72999999999996</v>
      </c>
      <c r="BC90" s="804">
        <f t="shared" si="69"/>
        <v>1</v>
      </c>
      <c r="BD90" s="805" t="str">
        <f t="shared" si="70"/>
        <v>Saturada</v>
      </c>
      <c r="BE90" s="806">
        <f t="shared" si="71"/>
        <v>0.41924966924966928</v>
      </c>
      <c r="BF90" s="890">
        <f>IF(ISNUMBER('Base de datos Rutas'!CX88),'Base de datos Rutas'!CX88/100,"")</f>
        <v>0.87408117752007142</v>
      </c>
      <c r="BG90" s="891">
        <f>IF(ISNUMBER('Base de datos Rutas'!CZ88),'Base de datos Rutas'!CZ88/100,"")</f>
        <v>1</v>
      </c>
      <c r="BH90" s="892">
        <f>IF(ISNUMBER('Base de datos Rutas'!DA88),'Base de datos Rutas'!DA88,"")</f>
        <v>2469.0617079518761</v>
      </c>
      <c r="BI90" s="893">
        <f>IF(ISNUMBER('Base de datos Rutas'!DC88),'Base de datos Rutas'!DC88,"")</f>
        <v>61.200490431048486</v>
      </c>
      <c r="BJ90" s="805" t="str">
        <f t="shared" si="72"/>
        <v>Ruta (completo)</v>
      </c>
      <c r="BK90" s="783">
        <f t="shared" si="59"/>
        <v>4</v>
      </c>
      <c r="BL90" s="797">
        <f t="shared" si="60"/>
        <v>3</v>
      </c>
      <c r="BM90" s="797">
        <f t="shared" si="61"/>
        <v>4</v>
      </c>
      <c r="BN90" s="797">
        <f t="shared" si="62"/>
        <v>4</v>
      </c>
      <c r="BO90" s="798" cm="1">
        <f t="array" ref="BO90">SUMPRODUCT(--ISNUMBER($BF90:$BI90),$BK$3:$BN$3)</f>
        <v>1</v>
      </c>
      <c r="BP90" s="831">
        <f t="shared" si="73"/>
        <v>68.75</v>
      </c>
      <c r="BQ90" s="834" t="str">
        <f t="shared" si="74"/>
        <v>Alto</v>
      </c>
      <c r="BR90" s="836">
        <f t="shared" si="64"/>
        <v>59.942914265335986</v>
      </c>
      <c r="BS90" s="836">
        <f t="shared" si="65"/>
        <v>68.75</v>
      </c>
      <c r="BT90" s="837" t="str">
        <f t="shared" si="66"/>
        <v>P1</v>
      </c>
      <c r="BU90" s="807" t="str">
        <f t="shared" si="75"/>
        <v>Al tope</v>
      </c>
      <c r="BV90" s="807" t="str">
        <f t="shared" si="67"/>
        <v>Zona atractiva</v>
      </c>
      <c r="BW90" s="808" t="str">
        <f t="shared" si="68"/>
        <v>P1 - Ampliar cobertura</v>
      </c>
    </row>
    <row r="91" spans="1:75">
      <c r="A91" s="780" t="str">
        <f>'Base de datos Rutas'!A89</f>
        <v>Noreste</v>
      </c>
      <c r="B91" s="781" t="str">
        <f>'Base de datos Rutas'!B89</f>
        <v>Monterrey</v>
      </c>
      <c r="C91" s="781" t="str">
        <f>'Base de datos Rutas'!C89</f>
        <v>Sucursal Santa Catarina</v>
      </c>
      <c r="D91" s="782">
        <f>IF(ISNUMBER('Base de datos Rutas'!D89),'Base de datos Rutas'!D89,"Sin código")</f>
        <v>712315</v>
      </c>
      <c r="E91" s="783" t="str">
        <f>'Base de datos Rutas'!F89</f>
        <v>Activa</v>
      </c>
      <c r="F91" s="784" t="str">
        <f>'Base de datos Rutas'!H89</f>
        <v>Sí</v>
      </c>
      <c r="G91" s="785">
        <f>IF(ISNUMBER('Base de datos Rutas'!BE89),'Base de datos Rutas'!BE89,"")</f>
        <v>43.7870967741936</v>
      </c>
      <c r="H91" s="786">
        <f>IF(ISNUMBER('Base de datos Rutas'!BH89),'Base de datos Rutas'!BH89,"")</f>
        <v>0.843156033593635</v>
      </c>
      <c r="I91" s="788">
        <f>IFERROR(IF(OR(NOT(ISNUMBER('Base de datos Rutas'!O89)),N('Base de datos Rutas'!BK89)=0),"",'Base de datos Rutas'!O89/('Base de datos Rutas'!L89/'Base de datos Rutas'!BK89)),"")</f>
        <v>8505.9287356321856</v>
      </c>
      <c r="J91" s="788">
        <f>IFERROR(IF(OR(NOT(ISNUMBER('Base de datos Rutas'!N89)),N('Base de datos Rutas'!BK89)=0),"",'Base de datos Rutas'!N89/('Base de datos Rutas'!L89/'Base de datos Rutas'!BK89)),"")</f>
        <v>5015.6827586206909</v>
      </c>
      <c r="K91" s="788">
        <f>IFERROR(IF(OR(NOT(ISNUMBER('Base de datos Rutas'!J89)),N('Base de datos Rutas'!BK89)=0),"",'Base de datos Rutas'!J89/('Base de datos Rutas'!L89/'Base de datos Rutas'!BK89)),"")</f>
        <v>324.75718252873571</v>
      </c>
      <c r="L91" s="788">
        <f>IFERROR(IF(OR(NOT(ISNUMBER('Base de datos Rutas'!K89)),N('Base de datos Rutas'!BK89)=0),"",'Base de datos Rutas'!K89/('Base de datos Rutas'!L89/'Base de datos Rutas'!BK89)),"")</f>
        <v>58.911457195402313</v>
      </c>
      <c r="M91" s="787">
        <f>IF(ISNUMBER('Base de datos Rutas'!AX89),'Base de datos Rutas'!AX89,"")</f>
        <v>383.83572892195298</v>
      </c>
      <c r="N91" s="790">
        <f>IFERROR(INDEX('Hoja de apoyo v2'!B$17:B$20,MATCH($A91,'Hoja de apoyo v2'!$A$17:$A$20,0)),"")</f>
        <v>63.050408855205418</v>
      </c>
      <c r="O91" s="791">
        <f>IFERROR(INDEX('Hoja de apoyo v2'!C$17:C$20,MATCH($A91,'Hoja de apoyo v2'!$A$17:$A$20,0)),"")</f>
        <v>0.7559478312655763</v>
      </c>
      <c r="P91" s="793">
        <f>IFERROR(INDEX('Hoja de apoyo v2'!D$17:D$20,MATCH($A91,'Hoja de apoyo v2'!$A$17:$A$20,0)),"")</f>
        <v>9054.9839880720647</v>
      </c>
      <c r="Q91" s="793">
        <f>IFERROR(INDEX('Hoja de apoyo v2'!E$17:E$20,MATCH($A91,'Hoja de apoyo v2'!$A$17:$A$20,0)),"")</f>
        <v>4535.7799207004691</v>
      </c>
      <c r="R91" s="793">
        <f>IFERROR(INDEX('Hoja de apoyo v2'!F$17:F$20,MATCH($A91,'Hoja de apoyo v2'!$A$17:$A$20,0)),"")</f>
        <v>260.44838236060593</v>
      </c>
      <c r="S91" s="793">
        <f>IFERROR(INDEX('Hoja de apoyo v2'!G$17:G$20,MATCH($A91,'Hoja de apoyo v2'!$A$17:$A$20,0)),"")</f>
        <v>64.772152317133859</v>
      </c>
      <c r="T91" s="792">
        <f>IFERROR(INDEX('Hoja de apoyo v2'!H$17:H$20,MATCH($A91,'Hoja de apoyo v2'!$A$17:$A$20,0)),"")</f>
        <v>389.240053528842</v>
      </c>
      <c r="U91" s="794">
        <f t="shared" si="39"/>
        <v>0.69447760243316092</v>
      </c>
      <c r="V91" s="795">
        <f t="shared" si="40"/>
        <v>1.1153627257347354</v>
      </c>
      <c r="W91" s="795">
        <f t="shared" si="41"/>
        <v>0.93936430443575192</v>
      </c>
      <c r="X91" s="843">
        <f t="shared" si="42"/>
        <v>1.105803819036729</v>
      </c>
      <c r="Y91" s="843">
        <f t="shared" si="43"/>
        <v>1.2469157212083986</v>
      </c>
      <c r="Z91" s="843">
        <f t="shared" si="44"/>
        <v>0.9095182896959062</v>
      </c>
      <c r="AA91" s="843">
        <f t="shared" si="45"/>
        <v>0.986115702744634</v>
      </c>
      <c r="AB91" s="796">
        <f t="shared" si="46"/>
        <v>2</v>
      </c>
      <c r="AC91" s="797">
        <f t="shared" si="47"/>
        <v>4</v>
      </c>
      <c r="AD91" s="797">
        <f t="shared" si="48"/>
        <v>3</v>
      </c>
      <c r="AE91" s="842">
        <f t="shared" si="49"/>
        <v>4</v>
      </c>
      <c r="AF91" s="842">
        <f t="shared" si="50"/>
        <v>4</v>
      </c>
      <c r="AG91" s="842">
        <f t="shared" si="51"/>
        <v>3</v>
      </c>
      <c r="AH91" s="842">
        <f t="shared" si="52"/>
        <v>3</v>
      </c>
      <c r="AI91" s="826" cm="1">
        <f t="array" ref="AI91">SUMPRODUCT(--ISNUMBER($U91:$AA91),$AB$3:$AH$3)</f>
        <v>1</v>
      </c>
      <c r="AJ91" s="829">
        <f t="shared" si="53"/>
        <v>54.18476156601222</v>
      </c>
      <c r="AK91" s="827" t="str">
        <f t="shared" si="54"/>
        <v>En desarrollo</v>
      </c>
      <c r="AL91" s="784" t="str">
        <f t="shared" si="55"/>
        <v>Alta</v>
      </c>
      <c r="AM91" s="799">
        <f>IF(ISNUMBER('Base de datos Rutas'!W89),'Base de datos Rutas'!W89,"")</f>
        <v>3467.2961205401448</v>
      </c>
      <c r="AN91" s="787">
        <f>IFERROR(SUMIFS('Base de datos Rutas'!$W$6:$W$794,'Base de datos Rutas'!$C$6:$C$794,$C91)/'Base de datos Rutas'!I89,"")</f>
        <v>3467.2961205401448</v>
      </c>
      <c r="AO91" s="800">
        <f>IFERROR('Base de datos Rutas'!X89*AN91/AM91,"")</f>
        <v>0.43200004930622998</v>
      </c>
      <c r="AP91" s="800">
        <f t="shared" si="56"/>
        <v>0.56799995069377007</v>
      </c>
      <c r="AQ91" s="789">
        <f>IFERROR(INDEX('Hoja de apoyo v2'!$J$17:$J$20,MATCH($A91,'Hoja de apoyo v2'!$A$17:$A$20,0)),"")</f>
        <v>0.56799995069377007</v>
      </c>
      <c r="AR91" s="789">
        <f t="shared" si="57"/>
        <v>0</v>
      </c>
      <c r="AS91" s="784" t="str">
        <f t="shared" si="58"/>
        <v>No</v>
      </c>
      <c r="AT91" s="801">
        <f>IF(ISNUMBER('Base de datos Rutas'!CK89),'Base de datos Rutas'!CK89,"")</f>
        <v>205</v>
      </c>
      <c r="AU91" s="802">
        <f>IF(ISNUMBER('Base de datos Rutas'!CL89),'Base de datos Rutas'!CL89,"")</f>
        <v>446.71</v>
      </c>
      <c r="AV91" s="802">
        <f>IF(ISNUMBER('Base de datos Rutas'!CM89),'Base de datos Rutas'!CM89,"")</f>
        <v>241.70999999999998</v>
      </c>
      <c r="AW91" s="802">
        <f>IF(ISNUMBER('Base de datos Rutas'!CN89),'Base de datos Rutas'!CN89,"")</f>
        <v>3.48</v>
      </c>
      <c r="AX91" s="802">
        <f>IF(ISNUMBER('Base de datos Rutas'!CO89),'Base de datos Rutas'!CO89,"")</f>
        <v>9.4499999999999993</v>
      </c>
      <c r="AY91" s="802">
        <f>IF(ISNUMBER('Base de datos Rutas'!CP89),'Base de datos Rutas'!CP89,"")</f>
        <v>5.9699999999999989</v>
      </c>
      <c r="AZ91" s="802">
        <f>IF(ISNUMBER('Base de datos Rutas'!CQ89),'Base de datos Rutas'!CQ89,"")</f>
        <v>634.91999999999996</v>
      </c>
      <c r="BA91" s="802">
        <f>IF(ISNUMBER('Base de datos Rutas'!CR89),'Base de datos Rutas'!CR89,"")</f>
        <v>383.67</v>
      </c>
      <c r="BB91" s="803">
        <f>IF(ISNUMBER('Base de datos Rutas'!CS89),'Base de datos Rutas'!CS89,"")</f>
        <v>251.24999999999994</v>
      </c>
      <c r="BC91" s="804">
        <f t="shared" si="69"/>
        <v>0</v>
      </c>
      <c r="BD91" s="805" t="str">
        <f t="shared" si="70"/>
        <v>No saturada</v>
      </c>
      <c r="BE91" s="806">
        <f t="shared" si="71"/>
        <v>0.60428085428085432</v>
      </c>
      <c r="BF91" s="890">
        <f>IF(ISNUMBER('Base de datos Rutas'!CX89),'Base de datos Rutas'!CX89/100,"")</f>
        <v>0.93491922455573506</v>
      </c>
      <c r="BG91" s="891">
        <f>IF(ISNUMBER('Base de datos Rutas'!CZ89),'Base de datos Rutas'!CZ89/100,"")</f>
        <v>1</v>
      </c>
      <c r="BH91" s="892">
        <f>IF(ISNUMBER('Base de datos Rutas'!DA89),'Base de datos Rutas'!DA89,"")</f>
        <v>596.76678522945303</v>
      </c>
      <c r="BI91" s="893">
        <f>IF(ISNUMBER('Base de datos Rutas'!DC89),'Base de datos Rutas'!DC89,"")</f>
        <v>17.411829987537001</v>
      </c>
      <c r="BJ91" s="805" t="str">
        <f t="shared" si="72"/>
        <v>Ruta (completo)</v>
      </c>
      <c r="BK91" s="783">
        <f t="shared" si="59"/>
        <v>5</v>
      </c>
      <c r="BL91" s="797">
        <f t="shared" si="60"/>
        <v>3</v>
      </c>
      <c r="BM91" s="797">
        <f t="shared" si="61"/>
        <v>2</v>
      </c>
      <c r="BN91" s="797">
        <f t="shared" si="62"/>
        <v>2</v>
      </c>
      <c r="BO91" s="798" cm="1">
        <f t="array" ref="BO91">SUMPRODUCT(--ISNUMBER($BF91:$BI91),$BK$3:$BN$3)</f>
        <v>1</v>
      </c>
      <c r="BP91" s="831">
        <f t="shared" si="73"/>
        <v>50</v>
      </c>
      <c r="BQ91" s="834" t="str">
        <f t="shared" si="74"/>
        <v>Alto</v>
      </c>
      <c r="BR91" s="836">
        <f t="shared" si="64"/>
        <v>40.638571174509167</v>
      </c>
      <c r="BS91" s="836">
        <f t="shared" si="65"/>
        <v>50</v>
      </c>
      <c r="BT91" s="837" t="str">
        <f t="shared" si="66"/>
        <v>P1</v>
      </c>
      <c r="BU91" s="807" t="str">
        <f t="shared" si="75"/>
        <v>Con espacio</v>
      </c>
      <c r="BV91" s="807" t="str">
        <f t="shared" si="67"/>
        <v>Zona atractiva</v>
      </c>
      <c r="BW91" s="808" t="str">
        <f t="shared" si="68"/>
        <v>P1 - Ampliar cobertura</v>
      </c>
    </row>
    <row r="92" spans="1:75">
      <c r="A92" s="780" t="str">
        <f>'Base de datos Rutas'!A90</f>
        <v>Noreste</v>
      </c>
      <c r="B92" s="781" t="str">
        <f>'Base de datos Rutas'!B90</f>
        <v>Monterrey</v>
      </c>
      <c r="C92" s="781" t="str">
        <f>'Base de datos Rutas'!C90</f>
        <v>Sucursal Santa Catarina</v>
      </c>
      <c r="D92" s="782">
        <f>IF(ISNUMBER('Base de datos Rutas'!D90),'Base de datos Rutas'!D90,"Sin código")</f>
        <v>712317</v>
      </c>
      <c r="E92" s="783" t="str">
        <f>'Base de datos Rutas'!F90</f>
        <v>Activa</v>
      </c>
      <c r="F92" s="784" t="str">
        <f>'Base de datos Rutas'!H90</f>
        <v>Sí</v>
      </c>
      <c r="G92" s="785">
        <f>IF(ISNUMBER('Base de datos Rutas'!BE90),'Base de datos Rutas'!BE90,"")</f>
        <v>75.780645161290295</v>
      </c>
      <c r="H92" s="786">
        <f>IF(ISNUMBER('Base de datos Rutas'!BH90),'Base de datos Rutas'!BH90,"")</f>
        <v>0.397667290992678</v>
      </c>
      <c r="I92" s="788">
        <f>IFERROR(IF(OR(NOT(ISNUMBER('Base de datos Rutas'!O90)),N('Base de datos Rutas'!BK90)=0),"",'Base de datos Rutas'!O90/('Base de datos Rutas'!L90/'Base de datos Rutas'!BK90)),"")</f>
        <v>4381.5000000000027</v>
      </c>
      <c r="J92" s="788">
        <f>IFERROR(IF(OR(NOT(ISNUMBER('Base de datos Rutas'!N90)),N('Base de datos Rutas'!BK90)=0),"",'Base de datos Rutas'!N90/('Base de datos Rutas'!L90/'Base de datos Rutas'!BK90)),"")</f>
        <v>2321.4457547169827</v>
      </c>
      <c r="K92" s="788">
        <f>IFERROR(IF(OR(NOT(ISNUMBER('Base de datos Rutas'!J90)),N('Base de datos Rutas'!BK90)=0),"",'Base de datos Rutas'!J90/('Base de datos Rutas'!L90/'Base de datos Rutas'!BK90)),"")</f>
        <v>160.77596037735859</v>
      </c>
      <c r="L92" s="788">
        <f>IFERROR(IF(OR(NOT(ISNUMBER('Base de datos Rutas'!K90)),N('Base de datos Rutas'!BK90)=0),"",'Base de datos Rutas'!K90/('Base de datos Rutas'!L90/'Base de datos Rutas'!BK90)),"")</f>
        <v>33.6085400306604</v>
      </c>
      <c r="M92" s="787">
        <f>IF(ISNUMBER('Base de datos Rutas'!AX90),'Base de datos Rutas'!AX90,"")</f>
        <v>265.840063509853</v>
      </c>
      <c r="N92" s="790">
        <f>IFERROR(INDEX('Hoja de apoyo v2'!B$17:B$20,MATCH($A92,'Hoja de apoyo v2'!$A$17:$A$20,0)),"")</f>
        <v>63.050408855205418</v>
      </c>
      <c r="O92" s="791">
        <f>IFERROR(INDEX('Hoja de apoyo v2'!C$17:C$20,MATCH($A92,'Hoja de apoyo v2'!$A$17:$A$20,0)),"")</f>
        <v>0.7559478312655763</v>
      </c>
      <c r="P92" s="793">
        <f>IFERROR(INDEX('Hoja de apoyo v2'!D$17:D$20,MATCH($A92,'Hoja de apoyo v2'!$A$17:$A$20,0)),"")</f>
        <v>9054.9839880720647</v>
      </c>
      <c r="Q92" s="793">
        <f>IFERROR(INDEX('Hoja de apoyo v2'!E$17:E$20,MATCH($A92,'Hoja de apoyo v2'!$A$17:$A$20,0)),"")</f>
        <v>4535.7799207004691</v>
      </c>
      <c r="R92" s="793">
        <f>IFERROR(INDEX('Hoja de apoyo v2'!F$17:F$20,MATCH($A92,'Hoja de apoyo v2'!$A$17:$A$20,0)),"")</f>
        <v>260.44838236060593</v>
      </c>
      <c r="S92" s="793">
        <f>IFERROR(INDEX('Hoja de apoyo v2'!G$17:G$20,MATCH($A92,'Hoja de apoyo v2'!$A$17:$A$20,0)),"")</f>
        <v>64.772152317133859</v>
      </c>
      <c r="T92" s="792">
        <f>IFERROR(INDEX('Hoja de apoyo v2'!H$17:H$20,MATCH($A92,'Hoja de apoyo v2'!$A$17:$A$20,0)),"")</f>
        <v>389.240053528842</v>
      </c>
      <c r="U92" s="794">
        <f t="shared" si="39"/>
        <v>1.2019056900220857</v>
      </c>
      <c r="V92" s="795">
        <f t="shared" si="40"/>
        <v>0.5260512360051619</v>
      </c>
      <c r="W92" s="795">
        <f t="shared" si="41"/>
        <v>0.4838771670686175</v>
      </c>
      <c r="X92" s="843">
        <f t="shared" si="42"/>
        <v>0.51180740584928497</v>
      </c>
      <c r="Y92" s="843">
        <f t="shared" si="43"/>
        <v>0.61730450740429221</v>
      </c>
      <c r="Z92" s="843">
        <f t="shared" si="44"/>
        <v>0.51887329397528914</v>
      </c>
      <c r="AA92" s="843">
        <f t="shared" si="45"/>
        <v>0.68297201456980772</v>
      </c>
      <c r="AB92" s="796">
        <f t="shared" si="46"/>
        <v>4</v>
      </c>
      <c r="AC92" s="797">
        <f t="shared" si="47"/>
        <v>2</v>
      </c>
      <c r="AD92" s="797">
        <f t="shared" si="48"/>
        <v>1</v>
      </c>
      <c r="AE92" s="842">
        <f t="shared" si="49"/>
        <v>2</v>
      </c>
      <c r="AF92" s="842">
        <f t="shared" si="50"/>
        <v>2</v>
      </c>
      <c r="AG92" s="842">
        <f t="shared" si="51"/>
        <v>2</v>
      </c>
      <c r="AH92" s="842">
        <f t="shared" si="52"/>
        <v>2</v>
      </c>
      <c r="AI92" s="826" cm="1">
        <f t="array" ref="AI92">SUMPRODUCT(--ISNUMBER($U92:$AA92),$AB$3:$AH$3)</f>
        <v>1</v>
      </c>
      <c r="AJ92" s="829">
        <f t="shared" si="53"/>
        <v>28.953100886945471</v>
      </c>
      <c r="AK92" s="827" t="str">
        <f t="shared" si="54"/>
        <v>Inmadura</v>
      </c>
      <c r="AL92" s="784" t="str">
        <f t="shared" si="55"/>
        <v>Alta</v>
      </c>
      <c r="AM92" s="799">
        <f>IF(ISNUMBER('Base de datos Rutas'!W90),'Base de datos Rutas'!W90,"")</f>
        <v>3467.2961205401448</v>
      </c>
      <c r="AN92" s="787">
        <f>IFERROR(SUMIFS('Base de datos Rutas'!$W$6:$W$794,'Base de datos Rutas'!$C$6:$C$794,$C92)/'Base de datos Rutas'!I90,"")</f>
        <v>3467.2961205401448</v>
      </c>
      <c r="AO92" s="800">
        <f>IFERROR('Base de datos Rutas'!X90*AN92/AM92,"")</f>
        <v>0.43200004930622998</v>
      </c>
      <c r="AP92" s="800">
        <f t="shared" si="56"/>
        <v>0.56799995069377007</v>
      </c>
      <c r="AQ92" s="789">
        <f>IFERROR(INDEX('Hoja de apoyo v2'!$J$17:$J$20,MATCH($A92,'Hoja de apoyo v2'!$A$17:$A$20,0)),"")</f>
        <v>0.56799995069377007</v>
      </c>
      <c r="AR92" s="789">
        <f t="shared" si="57"/>
        <v>0</v>
      </c>
      <c r="AS92" s="784" t="str">
        <f t="shared" si="58"/>
        <v>No</v>
      </c>
      <c r="AT92" s="801">
        <f>IF(ISNUMBER('Base de datos Rutas'!CK90),'Base de datos Rutas'!CK90,"")</f>
        <v>387</v>
      </c>
      <c r="AU92" s="802">
        <f>IF(ISNUMBER('Base de datos Rutas'!CL90),'Base de datos Rutas'!CL90,"")</f>
        <v>748.83</v>
      </c>
      <c r="AV92" s="802">
        <f>IF(ISNUMBER('Base de datos Rutas'!CM90),'Base de datos Rutas'!CM90,"")</f>
        <v>361.83000000000004</v>
      </c>
      <c r="AW92" s="802">
        <f>IF(ISNUMBER('Base de datos Rutas'!CN90),'Base de datos Rutas'!CN90,"")</f>
        <v>4.68</v>
      </c>
      <c r="AX92" s="802">
        <f>IF(ISNUMBER('Base de datos Rutas'!CO90),'Base de datos Rutas'!CO90,"")</f>
        <v>9.4499999999999993</v>
      </c>
      <c r="AY92" s="802">
        <f>IF(ISNUMBER('Base de datos Rutas'!CP90),'Base de datos Rutas'!CP90,"")</f>
        <v>4.7699999999999996</v>
      </c>
      <c r="AZ92" s="802">
        <f>IF(ISNUMBER('Base de datos Rutas'!CQ90),'Base de datos Rutas'!CQ90,"")</f>
        <v>1481.48</v>
      </c>
      <c r="BA92" s="802">
        <f>IF(ISNUMBER('Base de datos Rutas'!CR90),'Base de datos Rutas'!CR90,"")</f>
        <v>194.38</v>
      </c>
      <c r="BB92" s="803">
        <f>IF(ISNUMBER('Base de datos Rutas'!CS90),'Base de datos Rutas'!CS90,"")</f>
        <v>1287.0999999999999</v>
      </c>
      <c r="BC92" s="804">
        <f t="shared" si="69"/>
        <v>0</v>
      </c>
      <c r="BD92" s="805" t="str">
        <f t="shared" si="70"/>
        <v>No saturada</v>
      </c>
      <c r="BE92" s="806">
        <f t="shared" si="71"/>
        <v>0.1312066312066312</v>
      </c>
      <c r="BF92" s="890">
        <f>IF(ISNUMBER('Base de datos Rutas'!CX90),'Base de datos Rutas'!CX90/100,"")</f>
        <v>0.39460398249843737</v>
      </c>
      <c r="BG92" s="891">
        <f>IF(ISNUMBER('Base de datos Rutas'!CZ90),'Base de datos Rutas'!CZ90/100,"")</f>
        <v>0.42691311724261088</v>
      </c>
      <c r="BH92" s="892">
        <f>IF(ISNUMBER('Base de datos Rutas'!DA90),'Base de datos Rutas'!DA90,"")</f>
        <v>328.57174614625421</v>
      </c>
      <c r="BI92" s="893">
        <f>IF(ISNUMBER('Base de datos Rutas'!DC90),'Base de datos Rutas'!DC90,"")</f>
        <v>8.9917782719752815</v>
      </c>
      <c r="BJ92" s="805" t="str">
        <f t="shared" si="72"/>
        <v>Ruta (completo)</v>
      </c>
      <c r="BK92" s="783">
        <f t="shared" si="59"/>
        <v>2</v>
      </c>
      <c r="BL92" s="797">
        <f t="shared" si="60"/>
        <v>2</v>
      </c>
      <c r="BM92" s="797">
        <f t="shared" si="61"/>
        <v>2</v>
      </c>
      <c r="BN92" s="797">
        <f t="shared" si="62"/>
        <v>2</v>
      </c>
      <c r="BO92" s="798" cm="1">
        <f t="array" ref="BO92">SUMPRODUCT(--ISNUMBER($BF92:$BI92),$BK$3:$BN$3)</f>
        <v>1</v>
      </c>
      <c r="BP92" s="831">
        <f t="shared" si="73"/>
        <v>25</v>
      </c>
      <c r="BQ92" s="834" t="str">
        <f t="shared" si="74"/>
        <v>Medio</v>
      </c>
      <c r="BR92" s="836">
        <f t="shared" si="64"/>
        <v>21.714825665209105</v>
      </c>
      <c r="BS92" s="836">
        <f t="shared" si="65"/>
        <v>25</v>
      </c>
      <c r="BT92" s="837" t="str">
        <f t="shared" si="66"/>
        <v>P4</v>
      </c>
      <c r="BU92" s="807" t="str">
        <f t="shared" si="75"/>
        <v>Con espacio</v>
      </c>
      <c r="BV92" s="807" t="str">
        <f t="shared" si="67"/>
        <v>Zona de bajo potencial</v>
      </c>
      <c r="BW92" s="808" t="str">
        <f t="shared" si="68"/>
        <v>P4 - Evaluar</v>
      </c>
    </row>
    <row r="93" spans="1:75">
      <c r="A93" s="780" t="str">
        <f>'Base de datos Rutas'!A91</f>
        <v>Noreste</v>
      </c>
      <c r="B93" s="781" t="str">
        <f>'Base de datos Rutas'!B91</f>
        <v>Monterrey</v>
      </c>
      <c r="C93" s="781" t="str">
        <f>'Base de datos Rutas'!C91</f>
        <v>Sucursal Santa Catarina</v>
      </c>
      <c r="D93" s="782">
        <f>IF(ISNUMBER('Base de datos Rutas'!D91),'Base de datos Rutas'!D91,"Sin código")</f>
        <v>712318</v>
      </c>
      <c r="E93" s="783" t="str">
        <f>'Base de datos Rutas'!F91</f>
        <v>Activa</v>
      </c>
      <c r="F93" s="784" t="str">
        <f>'Base de datos Rutas'!H91</f>
        <v>Sí</v>
      </c>
      <c r="G93" s="785">
        <f>IF(ISNUMBER('Base de datos Rutas'!BE91),'Base de datos Rutas'!BE91,"")</f>
        <v>56.654838709677399</v>
      </c>
      <c r="H93" s="786">
        <f>IF(ISNUMBER('Base de datos Rutas'!BH91),'Base de datos Rutas'!BH91,"")</f>
        <v>0.61185446677674704</v>
      </c>
      <c r="I93" s="788">
        <f>IFERROR(IF(OR(NOT(ISNUMBER('Base de datos Rutas'!O91)),N('Base de datos Rutas'!BK91)=0),"",'Base de datos Rutas'!O91/('Base de datos Rutas'!L91/'Base de datos Rutas'!BK91)),"")</f>
        <v>4431.5970149253671</v>
      </c>
      <c r="J93" s="788">
        <f>IFERROR(IF(OR(NOT(ISNUMBER('Base de datos Rutas'!N91)),N('Base de datos Rutas'!BK91)=0),"",'Base de datos Rutas'!N91/('Base de datos Rutas'!L91/'Base de datos Rutas'!BK91)),"")</f>
        <v>3106.7587064676577</v>
      </c>
      <c r="K93" s="788">
        <f>IFERROR(IF(OR(NOT(ISNUMBER('Base de datos Rutas'!J91)),N('Base de datos Rutas'!BK91)=0),"",'Base de datos Rutas'!J91/('Base de datos Rutas'!L91/'Base de datos Rutas'!BK91)),"")</f>
        <v>205.9464915422883</v>
      </c>
      <c r="L93" s="788">
        <f>IFERROR(IF(OR(NOT(ISNUMBER('Base de datos Rutas'!K91)),N('Base de datos Rutas'!BK91)=0),"",'Base de datos Rutas'!K91/('Base de datos Rutas'!L91/'Base de datos Rutas'!BK91)),"")</f>
        <v>33.530924950248711</v>
      </c>
      <c r="M93" s="787">
        <f>IF(ISNUMBER('Base de datos Rutas'!AX91),'Base de datos Rutas'!AX91,"")</f>
        <v>254.47677440471301</v>
      </c>
      <c r="N93" s="790">
        <f>IFERROR(INDEX('Hoja de apoyo v2'!B$17:B$20,MATCH($A93,'Hoja de apoyo v2'!$A$17:$A$20,0)),"")</f>
        <v>63.050408855205418</v>
      </c>
      <c r="O93" s="791">
        <f>IFERROR(INDEX('Hoja de apoyo v2'!C$17:C$20,MATCH($A93,'Hoja de apoyo v2'!$A$17:$A$20,0)),"")</f>
        <v>0.7559478312655763</v>
      </c>
      <c r="P93" s="793">
        <f>IFERROR(INDEX('Hoja de apoyo v2'!D$17:D$20,MATCH($A93,'Hoja de apoyo v2'!$A$17:$A$20,0)),"")</f>
        <v>9054.9839880720647</v>
      </c>
      <c r="Q93" s="793">
        <f>IFERROR(INDEX('Hoja de apoyo v2'!E$17:E$20,MATCH($A93,'Hoja de apoyo v2'!$A$17:$A$20,0)),"")</f>
        <v>4535.7799207004691</v>
      </c>
      <c r="R93" s="793">
        <f>IFERROR(INDEX('Hoja de apoyo v2'!F$17:F$20,MATCH($A93,'Hoja de apoyo v2'!$A$17:$A$20,0)),"")</f>
        <v>260.44838236060593</v>
      </c>
      <c r="S93" s="793">
        <f>IFERROR(INDEX('Hoja de apoyo v2'!G$17:G$20,MATCH($A93,'Hoja de apoyo v2'!$A$17:$A$20,0)),"")</f>
        <v>64.772152317133859</v>
      </c>
      <c r="T93" s="792">
        <f>IFERROR(INDEX('Hoja de apoyo v2'!H$17:H$20,MATCH($A93,'Hoja de apoyo v2'!$A$17:$A$20,0)),"")</f>
        <v>389.240053528842</v>
      </c>
      <c r="U93" s="794">
        <f t="shared" si="39"/>
        <v>0.89856417647956288</v>
      </c>
      <c r="V93" s="795">
        <f t="shared" si="40"/>
        <v>0.80938715804291128</v>
      </c>
      <c r="W93" s="795">
        <f t="shared" si="41"/>
        <v>0.48940970196777978</v>
      </c>
      <c r="X93" s="843">
        <f t="shared" si="42"/>
        <v>0.68494476380764857</v>
      </c>
      <c r="Y93" s="843">
        <f t="shared" si="43"/>
        <v>0.79073822488612511</v>
      </c>
      <c r="Z93" s="843">
        <f t="shared" si="44"/>
        <v>0.51767501543065042</v>
      </c>
      <c r="AA93" s="843">
        <f t="shared" si="45"/>
        <v>0.65377848990008103</v>
      </c>
      <c r="AB93" s="796">
        <f t="shared" si="46"/>
        <v>3</v>
      </c>
      <c r="AC93" s="797">
        <f t="shared" si="47"/>
        <v>3</v>
      </c>
      <c r="AD93" s="797">
        <f t="shared" si="48"/>
        <v>1</v>
      </c>
      <c r="AE93" s="842">
        <f t="shared" si="49"/>
        <v>2</v>
      </c>
      <c r="AF93" s="842">
        <f t="shared" si="50"/>
        <v>3</v>
      </c>
      <c r="AG93" s="842">
        <f t="shared" si="51"/>
        <v>2</v>
      </c>
      <c r="AH93" s="842">
        <f t="shared" si="52"/>
        <v>2</v>
      </c>
      <c r="AI93" s="826" cm="1">
        <f t="array" ref="AI93">SUMPRODUCT(--ISNUMBER($U93:$AA93),$AB$3:$AH$3)</f>
        <v>1</v>
      </c>
      <c r="AJ93" s="829">
        <f t="shared" si="53"/>
        <v>29.728414806739</v>
      </c>
      <c r="AK93" s="827" t="str">
        <f t="shared" si="54"/>
        <v>Inmadura</v>
      </c>
      <c r="AL93" s="784" t="str">
        <f t="shared" si="55"/>
        <v>Alta</v>
      </c>
      <c r="AM93" s="799">
        <f>IF(ISNUMBER('Base de datos Rutas'!W91),'Base de datos Rutas'!W91,"")</f>
        <v>3467.2961205401448</v>
      </c>
      <c r="AN93" s="787">
        <f>IFERROR(SUMIFS('Base de datos Rutas'!$W$6:$W$794,'Base de datos Rutas'!$C$6:$C$794,$C93)/'Base de datos Rutas'!I91,"")</f>
        <v>3467.2961205401448</v>
      </c>
      <c r="AO93" s="800">
        <f>IFERROR('Base de datos Rutas'!X91*AN93/AM93,"")</f>
        <v>0.43200004930622998</v>
      </c>
      <c r="AP93" s="800">
        <f t="shared" si="56"/>
        <v>0.56799995069377007</v>
      </c>
      <c r="AQ93" s="789">
        <f>IFERROR(INDEX('Hoja de apoyo v2'!$J$17:$J$20,MATCH($A93,'Hoja de apoyo v2'!$A$17:$A$20,0)),"")</f>
        <v>0.56799995069377007</v>
      </c>
      <c r="AR93" s="789">
        <f t="shared" si="57"/>
        <v>0</v>
      </c>
      <c r="AS93" s="784" t="str">
        <f t="shared" si="58"/>
        <v>No</v>
      </c>
      <c r="AT93" s="801">
        <f>IF(ISNUMBER('Base de datos Rutas'!CK91),'Base de datos Rutas'!CK91,"")</f>
        <v>452</v>
      </c>
      <c r="AU93" s="802">
        <f>IF(ISNUMBER('Base de datos Rutas'!CL91),'Base de datos Rutas'!CL91,"")</f>
        <v>452.84</v>
      </c>
      <c r="AV93" s="802">
        <f>IF(ISNUMBER('Base de datos Rutas'!CM91),'Base de datos Rutas'!CM91,"")</f>
        <v>0.83999999999997499</v>
      </c>
      <c r="AW93" s="802">
        <f>IF(ISNUMBER('Base de datos Rutas'!CN91),'Base de datos Rutas'!CN91,"")</f>
        <v>13.01</v>
      </c>
      <c r="AX93" s="802">
        <f>IF(ISNUMBER('Base de datos Rutas'!CO91),'Base de datos Rutas'!CO91,"")</f>
        <v>9.4499999999999993</v>
      </c>
      <c r="AY93" s="802">
        <f>IF(ISNUMBER('Base de datos Rutas'!CP91),'Base de datos Rutas'!CP91,"")</f>
        <v>-3.5600000000000005</v>
      </c>
      <c r="AZ93" s="802">
        <f>IF(ISNUMBER('Base de datos Rutas'!CQ91),'Base de datos Rutas'!CQ91,"")</f>
        <v>634.91999999999996</v>
      </c>
      <c r="BA93" s="802">
        <f>IF(ISNUMBER('Base de datos Rutas'!CR91),'Base de datos Rutas'!CR91,"")</f>
        <v>239.48</v>
      </c>
      <c r="BB93" s="803">
        <f>IF(ISNUMBER('Base de datos Rutas'!CS91),'Base de datos Rutas'!CS91,"")</f>
        <v>395.43999999999994</v>
      </c>
      <c r="BC93" s="804">
        <f t="shared" si="69"/>
        <v>1</v>
      </c>
      <c r="BD93" s="805" t="str">
        <f t="shared" si="70"/>
        <v>Saturada</v>
      </c>
      <c r="BE93" s="806">
        <f t="shared" si="71"/>
        <v>0.37718137718137718</v>
      </c>
      <c r="BF93" s="890">
        <f>IF(ISNUMBER('Base de datos Rutas'!CX91),'Base de datos Rutas'!CX91/100,"")</f>
        <v>0.14534947398760628</v>
      </c>
      <c r="BG93" s="891">
        <f>IF(ISNUMBER('Base de datos Rutas'!CZ91),'Base de datos Rutas'!CZ91/100,"")</f>
        <v>0.14541000144112984</v>
      </c>
      <c r="BH93" s="892">
        <f>IF(ISNUMBER('Base de datos Rutas'!DA91),'Base de datos Rutas'!DA91,"")</f>
        <v>92.550819809148322</v>
      </c>
      <c r="BI93" s="893">
        <f>IF(ISNUMBER('Base de datos Rutas'!DC91),'Base de datos Rutas'!DC91,"")</f>
        <v>3.9559105804231476</v>
      </c>
      <c r="BJ93" s="805" t="str">
        <f t="shared" si="72"/>
        <v>Ruta (completo)</v>
      </c>
      <c r="BK93" s="783">
        <f t="shared" si="59"/>
        <v>1</v>
      </c>
      <c r="BL93" s="797">
        <f t="shared" si="60"/>
        <v>1</v>
      </c>
      <c r="BM93" s="797">
        <f t="shared" si="61"/>
        <v>1</v>
      </c>
      <c r="BN93" s="797">
        <f t="shared" si="62"/>
        <v>1</v>
      </c>
      <c r="BO93" s="798" cm="1">
        <f t="array" ref="BO93">SUMPRODUCT(--ISNUMBER($BF93:$BI93),$BK$3:$BN$3)</f>
        <v>1</v>
      </c>
      <c r="BP93" s="831">
        <f t="shared" si="73"/>
        <v>0</v>
      </c>
      <c r="BQ93" s="834" t="str">
        <f t="shared" si="74"/>
        <v>Bajo</v>
      </c>
      <c r="BR93" s="836">
        <f t="shared" si="64"/>
        <v>47.296311105054251</v>
      </c>
      <c r="BS93" s="836">
        <f t="shared" si="65"/>
        <v>0</v>
      </c>
      <c r="BT93" s="837" t="str">
        <f t="shared" si="66"/>
        <v>P2</v>
      </c>
      <c r="BU93" s="807" t="str">
        <f t="shared" si="75"/>
        <v>Al tope</v>
      </c>
      <c r="BV93" s="807" t="str">
        <f t="shared" si="67"/>
        <v>Zona de bajo potencial</v>
      </c>
      <c r="BW93" s="808" t="str">
        <f t="shared" si="68"/>
        <v>P2 - Mantener</v>
      </c>
    </row>
    <row r="94" spans="1:75">
      <c r="A94" s="780" t="str">
        <f>'Base de datos Rutas'!A92</f>
        <v>Noreste</v>
      </c>
      <c r="B94" s="781" t="str">
        <f>'Base de datos Rutas'!B92</f>
        <v>Monterrey</v>
      </c>
      <c r="C94" s="781" t="str">
        <f>'Base de datos Rutas'!C92</f>
        <v>Sucursal Santa Catarina</v>
      </c>
      <c r="D94" s="782">
        <f>IF(ISNUMBER('Base de datos Rutas'!D92),'Base de datos Rutas'!D92,"Sin código")</f>
        <v>712319</v>
      </c>
      <c r="E94" s="783" t="str">
        <f>'Base de datos Rutas'!F92</f>
        <v>Activa</v>
      </c>
      <c r="F94" s="784" t="str">
        <f>'Base de datos Rutas'!H92</f>
        <v>Sí</v>
      </c>
      <c r="G94" s="785">
        <f>IF(ISNUMBER('Base de datos Rutas'!BE92),'Base de datos Rutas'!BE92,"")</f>
        <v>50.173410404624299</v>
      </c>
      <c r="H94" s="786">
        <f>IF(ISNUMBER('Base de datos Rutas'!BH92),'Base de datos Rutas'!BH92,"")</f>
        <v>0.92384792626728096</v>
      </c>
      <c r="I94" s="788">
        <f>IFERROR(IF(OR(NOT(ISNUMBER('Base de datos Rutas'!O92)),N('Base de datos Rutas'!BK92)=0),"",'Base de datos Rutas'!O92/('Base de datos Rutas'!L92/'Base de datos Rutas'!BK92)),"")</f>
        <v>7419.3914141414143</v>
      </c>
      <c r="J94" s="788">
        <f>IFERROR(IF(OR(NOT(ISNUMBER('Base de datos Rutas'!N92)),N('Base de datos Rutas'!BK92)=0),"",'Base de datos Rutas'!N92/('Base de datos Rutas'!L92/'Base de datos Rutas'!BK92)),"")</f>
        <v>2125.4166666666665</v>
      </c>
      <c r="K94" s="788">
        <f>IFERROR(IF(OR(NOT(ISNUMBER('Base de datos Rutas'!J92)),N('Base de datos Rutas'!BK92)=0),"",'Base de datos Rutas'!J92/('Base de datos Rutas'!L92/'Base de datos Rutas'!BK92)),"")</f>
        <v>144.43618989898991</v>
      </c>
      <c r="L94" s="788">
        <f>IFERROR(IF(OR(NOT(ISNUMBER('Base de datos Rutas'!K92)),N('Base de datos Rutas'!BK92)=0),"",'Base de datos Rutas'!K92/('Base de datos Rutas'!L92/'Base de datos Rutas'!BK92)),"")</f>
        <v>54.125817111111111</v>
      </c>
      <c r="M94" s="787">
        <f>IF(ISNUMBER('Base de datos Rutas'!AX92),'Base de datos Rutas'!AX92,"")</f>
        <v>282.55519099947702</v>
      </c>
      <c r="N94" s="790">
        <f>IFERROR(INDEX('Hoja de apoyo v2'!B$17:B$20,MATCH($A94,'Hoja de apoyo v2'!$A$17:$A$20,0)),"")</f>
        <v>63.050408855205418</v>
      </c>
      <c r="O94" s="791">
        <f>IFERROR(INDEX('Hoja de apoyo v2'!C$17:C$20,MATCH($A94,'Hoja de apoyo v2'!$A$17:$A$20,0)),"")</f>
        <v>0.7559478312655763</v>
      </c>
      <c r="P94" s="793">
        <f>IFERROR(INDEX('Hoja de apoyo v2'!D$17:D$20,MATCH($A94,'Hoja de apoyo v2'!$A$17:$A$20,0)),"")</f>
        <v>9054.9839880720647</v>
      </c>
      <c r="Q94" s="793">
        <f>IFERROR(INDEX('Hoja de apoyo v2'!E$17:E$20,MATCH($A94,'Hoja de apoyo v2'!$A$17:$A$20,0)),"")</f>
        <v>4535.7799207004691</v>
      </c>
      <c r="R94" s="793">
        <f>IFERROR(INDEX('Hoja de apoyo v2'!F$17:F$20,MATCH($A94,'Hoja de apoyo v2'!$A$17:$A$20,0)),"")</f>
        <v>260.44838236060593</v>
      </c>
      <c r="S94" s="793">
        <f>IFERROR(INDEX('Hoja de apoyo v2'!G$17:G$20,MATCH($A94,'Hoja de apoyo v2'!$A$17:$A$20,0)),"")</f>
        <v>64.772152317133859</v>
      </c>
      <c r="T94" s="792">
        <f>IFERROR(INDEX('Hoja de apoyo v2'!H$17:H$20,MATCH($A94,'Hoja de apoyo v2'!$A$17:$A$20,0)),"")</f>
        <v>389.240053528842</v>
      </c>
      <c r="U94" s="794">
        <f t="shared" si="39"/>
        <v>0.79576661461223819</v>
      </c>
      <c r="V94" s="795">
        <f t="shared" si="40"/>
        <v>1.2221053994170648</v>
      </c>
      <c r="W94" s="795">
        <f t="shared" si="41"/>
        <v>0.81937101422982295</v>
      </c>
      <c r="X94" s="843">
        <f t="shared" si="42"/>
        <v>0.46858901971117556</v>
      </c>
      <c r="Y94" s="843">
        <f t="shared" si="43"/>
        <v>0.5545674294072197</v>
      </c>
      <c r="Z94" s="843">
        <f t="shared" si="44"/>
        <v>0.83563406764844339</v>
      </c>
      <c r="AA94" s="843">
        <f t="shared" si="45"/>
        <v>0.72591499368535617</v>
      </c>
      <c r="AB94" s="796">
        <f t="shared" si="46"/>
        <v>3</v>
      </c>
      <c r="AC94" s="797">
        <f t="shared" si="47"/>
        <v>4</v>
      </c>
      <c r="AD94" s="797">
        <f t="shared" si="48"/>
        <v>3</v>
      </c>
      <c r="AE94" s="842">
        <f t="shared" si="49"/>
        <v>1</v>
      </c>
      <c r="AF94" s="842">
        <f t="shared" si="50"/>
        <v>2</v>
      </c>
      <c r="AG94" s="842">
        <f t="shared" si="51"/>
        <v>3</v>
      </c>
      <c r="AH94" s="842">
        <f t="shared" si="52"/>
        <v>2</v>
      </c>
      <c r="AI94" s="826" cm="1">
        <f t="array" ref="AI94">SUMPRODUCT(--ISNUMBER($U94:$AA94),$AB$3:$AH$3)</f>
        <v>1</v>
      </c>
      <c r="AJ94" s="829">
        <f t="shared" si="53"/>
        <v>40.393237941086745</v>
      </c>
      <c r="AK94" s="827" t="str">
        <f t="shared" si="54"/>
        <v>Inmadura</v>
      </c>
      <c r="AL94" s="784" t="str">
        <f t="shared" si="55"/>
        <v>Alta</v>
      </c>
      <c r="AM94" s="799">
        <f>IF(ISNUMBER('Base de datos Rutas'!W92),'Base de datos Rutas'!W92,"")</f>
        <v>3467.2961205401448</v>
      </c>
      <c r="AN94" s="787">
        <f>IFERROR(SUMIFS('Base de datos Rutas'!$W$6:$W$794,'Base de datos Rutas'!$C$6:$C$794,$C94)/'Base de datos Rutas'!I92,"")</f>
        <v>3467.2961205401448</v>
      </c>
      <c r="AO94" s="800">
        <f>IFERROR('Base de datos Rutas'!X92*AN94/AM94,"")</f>
        <v>0.43200004930622998</v>
      </c>
      <c r="AP94" s="800">
        <f t="shared" si="56"/>
        <v>0.56799995069377007</v>
      </c>
      <c r="AQ94" s="789">
        <f>IFERROR(INDEX('Hoja de apoyo v2'!$J$17:$J$20,MATCH($A94,'Hoja de apoyo v2'!$A$17:$A$20,0)),"")</f>
        <v>0.56799995069377007</v>
      </c>
      <c r="AR94" s="789">
        <f t="shared" si="57"/>
        <v>0</v>
      </c>
      <c r="AS94" s="784" t="str">
        <f t="shared" si="58"/>
        <v>No</v>
      </c>
      <c r="AT94" s="801">
        <f>IF(ISNUMBER('Base de datos Rutas'!CK92),'Base de datos Rutas'!CK92,"")</f>
        <v>337</v>
      </c>
      <c r="AU94" s="802">
        <f>IF(ISNUMBER('Base de datos Rutas'!CL92),'Base de datos Rutas'!CL92,"")</f>
        <v>592.58000000000004</v>
      </c>
      <c r="AV94" s="802">
        <f>IF(ISNUMBER('Base de datos Rutas'!CM92),'Base de datos Rutas'!CM92,"")</f>
        <v>255.58000000000004</v>
      </c>
      <c r="AW94" s="802">
        <f>IF(ISNUMBER('Base de datos Rutas'!CN92),'Base de datos Rutas'!CN92,"")</f>
        <v>5.38</v>
      </c>
      <c r="AX94" s="802">
        <f>IF(ISNUMBER('Base de datos Rutas'!CO92),'Base de datos Rutas'!CO92,"")</f>
        <v>9.4499999999999993</v>
      </c>
      <c r="AY94" s="802">
        <f>IF(ISNUMBER('Base de datos Rutas'!CP92),'Base de datos Rutas'!CP92,"")</f>
        <v>4.0699999999999994</v>
      </c>
      <c r="AZ94" s="802">
        <f>IF(ISNUMBER('Base de datos Rutas'!CQ92),'Base de datos Rutas'!CQ92,"")</f>
        <v>634.91999999999996</v>
      </c>
      <c r="BA94" s="802">
        <f>IF(ISNUMBER('Base de datos Rutas'!CR92),'Base de datos Rutas'!CR92,"")</f>
        <v>198.56</v>
      </c>
      <c r="BB94" s="803">
        <f>IF(ISNUMBER('Base de datos Rutas'!CS92),'Base de datos Rutas'!CS92,"")</f>
        <v>436.35999999999996</v>
      </c>
      <c r="BC94" s="804">
        <f t="shared" si="69"/>
        <v>0</v>
      </c>
      <c r="BD94" s="805" t="str">
        <f t="shared" si="70"/>
        <v>No saturada</v>
      </c>
      <c r="BE94" s="806">
        <f t="shared" si="71"/>
        <v>0.31273231273231278</v>
      </c>
      <c r="BF94" s="890">
        <f>IF(ISNUMBER('Base de datos Rutas'!CX92),'Base de datos Rutas'!CX92/100,"")</f>
        <v>0.68831707317073165</v>
      </c>
      <c r="BG94" s="891">
        <f>IF(ISNUMBER('Base de datos Rutas'!CZ92),'Base de datos Rutas'!CZ92/100,"")</f>
        <v>1</v>
      </c>
      <c r="BH94" s="892">
        <f>IF(ISNUMBER('Base de datos Rutas'!DA92),'Base de datos Rutas'!DA92,"")</f>
        <v>6675.9820004090816</v>
      </c>
      <c r="BI94" s="893">
        <f>IF(ISNUMBER('Base de datos Rutas'!DC92),'Base de datos Rutas'!DC92,"")</f>
        <v>130.82048755090278</v>
      </c>
      <c r="BJ94" s="805" t="str">
        <f t="shared" si="72"/>
        <v>Ruta (completo)</v>
      </c>
      <c r="BK94" s="783">
        <f t="shared" si="59"/>
        <v>3</v>
      </c>
      <c r="BL94" s="797">
        <f t="shared" si="60"/>
        <v>3</v>
      </c>
      <c r="BM94" s="797">
        <f t="shared" si="61"/>
        <v>5</v>
      </c>
      <c r="BN94" s="797">
        <f t="shared" si="62"/>
        <v>5</v>
      </c>
      <c r="BO94" s="798" cm="1">
        <f t="array" ref="BO94">SUMPRODUCT(--ISNUMBER($BF94:$BI94),$BK$3:$BN$3)</f>
        <v>1</v>
      </c>
      <c r="BP94" s="831">
        <f t="shared" si="73"/>
        <v>75</v>
      </c>
      <c r="BQ94" s="834" t="str">
        <f t="shared" si="74"/>
        <v>Alto</v>
      </c>
      <c r="BR94" s="836">
        <f t="shared" si="64"/>
        <v>30.294928455815061</v>
      </c>
      <c r="BS94" s="836">
        <f t="shared" si="65"/>
        <v>75</v>
      </c>
      <c r="BT94" s="837" t="str">
        <f t="shared" si="66"/>
        <v>P1</v>
      </c>
      <c r="BU94" s="807" t="str">
        <f t="shared" si="75"/>
        <v>Con espacio</v>
      </c>
      <c r="BV94" s="807" t="str">
        <f t="shared" si="67"/>
        <v>Zona atractiva</v>
      </c>
      <c r="BW94" s="808" t="str">
        <f t="shared" si="68"/>
        <v>P1 - Ampliar cobertura</v>
      </c>
    </row>
    <row r="95" spans="1:75">
      <c r="A95" s="780" t="str">
        <f>'Base de datos Rutas'!A93</f>
        <v>Noreste</v>
      </c>
      <c r="B95" s="781" t="str">
        <f>'Base de datos Rutas'!B93</f>
        <v>Monterrey</v>
      </c>
      <c r="C95" s="781" t="str">
        <f>'Base de datos Rutas'!C93</f>
        <v>Sucursal Universidad</v>
      </c>
      <c r="D95" s="782">
        <f>IF(ISNUMBER('Base de datos Rutas'!D93),'Base de datos Rutas'!D93,"Sin código")</f>
        <v>703300</v>
      </c>
      <c r="E95" s="783" t="str">
        <f>'Base de datos Rutas'!F93</f>
        <v>Activa</v>
      </c>
      <c r="F95" s="784" t="str">
        <f>'Base de datos Rutas'!H93</f>
        <v>Sí</v>
      </c>
      <c r="G95" s="785">
        <f>IF(ISNUMBER('Base de datos Rutas'!BE93),'Base de datos Rutas'!BE93,"")</f>
        <v>42.339449541284402</v>
      </c>
      <c r="H95" s="786">
        <f>IF(ISNUMBER('Base de datos Rutas'!BH93),'Base de datos Rutas'!BH93,"")</f>
        <v>0.63261105092090997</v>
      </c>
      <c r="I95" s="788">
        <f>IFERROR(IF(OR(NOT(ISNUMBER('Base de datos Rutas'!O93)),N('Base de datos Rutas'!BK93)=0),"",'Base de datos Rutas'!O93/('Base de datos Rutas'!L93/'Base de datos Rutas'!BK93)),"")</f>
        <v>7121.2500000000082</v>
      </c>
      <c r="J95" s="788">
        <f>IFERROR(IF(OR(NOT(ISNUMBER('Base de datos Rutas'!N93)),N('Base de datos Rutas'!BK93)=0),"",'Base de datos Rutas'!N93/('Base de datos Rutas'!L93/'Base de datos Rutas'!BK93)),"")</f>
        <v>4345.3394495412895</v>
      </c>
      <c r="K95" s="788">
        <f>IFERROR(IF(OR(NOT(ISNUMBER('Base de datos Rutas'!J93)),N('Base de datos Rutas'!BK93)=0),"",'Base de datos Rutas'!J93/('Base de datos Rutas'!L93/'Base de datos Rutas'!BK93)),"")</f>
        <v>309.98735779816553</v>
      </c>
      <c r="L95" s="788">
        <f>IFERROR(IF(OR(NOT(ISNUMBER('Base de datos Rutas'!K93)),N('Base de datos Rutas'!BK93)=0),"",'Base de datos Rutas'!K93/('Base de datos Rutas'!L93/'Base de datos Rutas'!BK93)),"")</f>
        <v>63.742338291284476</v>
      </c>
      <c r="M95" s="787">
        <f>IF(ISNUMBER('Base de datos Rutas'!AX93),'Base de datos Rutas'!AX93,"")</f>
        <v>428.10692841239899</v>
      </c>
      <c r="N95" s="790">
        <f>IFERROR(INDEX('Hoja de apoyo v2'!B$17:B$20,MATCH($A95,'Hoja de apoyo v2'!$A$17:$A$20,0)),"")</f>
        <v>63.050408855205418</v>
      </c>
      <c r="O95" s="791">
        <f>IFERROR(INDEX('Hoja de apoyo v2'!C$17:C$20,MATCH($A95,'Hoja de apoyo v2'!$A$17:$A$20,0)),"")</f>
        <v>0.7559478312655763</v>
      </c>
      <c r="P95" s="793">
        <f>IFERROR(INDEX('Hoja de apoyo v2'!D$17:D$20,MATCH($A95,'Hoja de apoyo v2'!$A$17:$A$20,0)),"")</f>
        <v>9054.9839880720647</v>
      </c>
      <c r="Q95" s="793">
        <f>IFERROR(INDEX('Hoja de apoyo v2'!E$17:E$20,MATCH($A95,'Hoja de apoyo v2'!$A$17:$A$20,0)),"")</f>
        <v>4535.7799207004691</v>
      </c>
      <c r="R95" s="793">
        <f>IFERROR(INDEX('Hoja de apoyo v2'!F$17:F$20,MATCH($A95,'Hoja de apoyo v2'!$A$17:$A$20,0)),"")</f>
        <v>260.44838236060593</v>
      </c>
      <c r="S95" s="793">
        <f>IFERROR(INDEX('Hoja de apoyo v2'!G$17:G$20,MATCH($A95,'Hoja de apoyo v2'!$A$17:$A$20,0)),"")</f>
        <v>64.772152317133859</v>
      </c>
      <c r="T95" s="792">
        <f>IFERROR(INDEX('Hoja de apoyo v2'!H$17:H$20,MATCH($A95,'Hoja de apoyo v2'!$A$17:$A$20,0)),"")</f>
        <v>389.240053528842</v>
      </c>
      <c r="U95" s="794">
        <f t="shared" si="39"/>
        <v>0.67151744627884158</v>
      </c>
      <c r="V95" s="795">
        <f t="shared" si="40"/>
        <v>0.83684485192823288</v>
      </c>
      <c r="W95" s="795">
        <f t="shared" si="41"/>
        <v>0.78644534428560864</v>
      </c>
      <c r="X95" s="843">
        <f t="shared" si="42"/>
        <v>0.95801373203976581</v>
      </c>
      <c r="Y95" s="843">
        <f t="shared" si="43"/>
        <v>1.1902065007605616</v>
      </c>
      <c r="Z95" s="843">
        <f t="shared" si="44"/>
        <v>0.984100975666097</v>
      </c>
      <c r="AA95" s="843">
        <f t="shared" si="45"/>
        <v>1.0998532256153772</v>
      </c>
      <c r="AB95" s="796">
        <f t="shared" si="46"/>
        <v>2</v>
      </c>
      <c r="AC95" s="797">
        <f t="shared" si="47"/>
        <v>3</v>
      </c>
      <c r="AD95" s="797">
        <f t="shared" si="48"/>
        <v>3</v>
      </c>
      <c r="AE95" s="842">
        <f t="shared" si="49"/>
        <v>3</v>
      </c>
      <c r="AF95" s="842">
        <f t="shared" si="50"/>
        <v>4</v>
      </c>
      <c r="AG95" s="842">
        <f t="shared" si="51"/>
        <v>3</v>
      </c>
      <c r="AH95" s="842">
        <f t="shared" si="52"/>
        <v>4</v>
      </c>
      <c r="AI95" s="826" cm="1">
        <f t="array" ref="AI95">SUMPRODUCT(--ISNUMBER($U95:$AA95),$AB$3:$AH$3)</f>
        <v>1</v>
      </c>
      <c r="AJ95" s="829">
        <f t="shared" si="53"/>
        <v>50.637136174229624</v>
      </c>
      <c r="AK95" s="827" t="str">
        <f t="shared" si="54"/>
        <v>En desarrollo</v>
      </c>
      <c r="AL95" s="784" t="str">
        <f t="shared" si="55"/>
        <v>Alta</v>
      </c>
      <c r="AM95" s="799">
        <f>IF(ISNUMBER('Base de datos Rutas'!W93),'Base de datos Rutas'!W93,"")</f>
        <v>3111.2206603186733</v>
      </c>
      <c r="AN95" s="787">
        <f>IFERROR(SUMIFS('Base de datos Rutas'!$W$6:$W$794,'Base de datos Rutas'!$C$6:$C$794,$C95)/'Base de datos Rutas'!I93,"")</f>
        <v>3111.2206603186728</v>
      </c>
      <c r="AO95" s="800">
        <f>IFERROR('Base de datos Rutas'!X93*AN95/AM95,"")</f>
        <v>0.50714566449266507</v>
      </c>
      <c r="AP95" s="800">
        <f t="shared" si="56"/>
        <v>0.49285433550733493</v>
      </c>
      <c r="AQ95" s="789">
        <f>IFERROR(INDEX('Hoja de apoyo v2'!$J$17:$J$20,MATCH($A95,'Hoja de apoyo v2'!$A$17:$A$20,0)),"")</f>
        <v>0.56799995069377007</v>
      </c>
      <c r="AR95" s="789">
        <f t="shared" si="57"/>
        <v>-7.5145615186435144E-2</v>
      </c>
      <c r="AS95" s="784" t="str">
        <f t="shared" si="58"/>
        <v>No</v>
      </c>
      <c r="AT95" s="801" t="str">
        <f>IF(ISNUMBER('Base de datos Rutas'!CK93),'Base de datos Rutas'!CK93,"")</f>
        <v/>
      </c>
      <c r="AU95" s="802" t="str">
        <f>IF(ISNUMBER('Base de datos Rutas'!CL93),'Base de datos Rutas'!CL93,"")</f>
        <v/>
      </c>
      <c r="AV95" s="802">
        <f>IF(ISNUMBER('Base de datos Rutas'!CM93),'Base de datos Rutas'!CM93,"")</f>
        <v>0</v>
      </c>
      <c r="AW95" s="802" t="str">
        <f>IF(ISNUMBER('Base de datos Rutas'!CN93),'Base de datos Rutas'!CN93,"")</f>
        <v/>
      </c>
      <c r="AX95" s="802" t="str">
        <f>IF(ISNUMBER('Base de datos Rutas'!CO93),'Base de datos Rutas'!CO93,"")</f>
        <v/>
      </c>
      <c r="AY95" s="802">
        <f>IF(ISNUMBER('Base de datos Rutas'!CP93),'Base de datos Rutas'!CP93,"")</f>
        <v>0</v>
      </c>
      <c r="AZ95" s="802" t="str">
        <f>IF(ISNUMBER('Base de datos Rutas'!CQ93),'Base de datos Rutas'!CQ93,"")</f>
        <v/>
      </c>
      <c r="BA95" s="802" t="str">
        <f>IF(ISNUMBER('Base de datos Rutas'!CR93),'Base de datos Rutas'!CR93,"")</f>
        <v/>
      </c>
      <c r="BB95" s="803">
        <f>IF(ISNUMBER('Base de datos Rutas'!CS93),'Base de datos Rutas'!CS93,"")</f>
        <v>0</v>
      </c>
      <c r="BC95" s="804" t="str">
        <f t="shared" si="69"/>
        <v/>
      </c>
      <c r="BD95" s="805" t="str">
        <f t="shared" si="70"/>
        <v>N/D</v>
      </c>
      <c r="BE95" s="806" t="str">
        <f t="shared" si="71"/>
        <v/>
      </c>
      <c r="BF95" s="890">
        <f>IF(ISNUMBER('Base de datos Rutas'!CX93),'Base de datos Rutas'!CX93/100,"")</f>
        <v>0</v>
      </c>
      <c r="BG95" s="891">
        <f>IF(ISNUMBER('Base de datos Rutas'!CZ93),'Base de datos Rutas'!CZ93/100,"")</f>
        <v>0</v>
      </c>
      <c r="BH95" s="892">
        <f>IF(ISNUMBER('Base de datos Rutas'!DA93),'Base de datos Rutas'!DA93,"")</f>
        <v>0</v>
      </c>
      <c r="BI95" s="893">
        <f>IF(ISNUMBER('Base de datos Rutas'!DC93),'Base de datos Rutas'!DC93,"")</f>
        <v>0</v>
      </c>
      <c r="BJ95" s="805" t="str">
        <f t="shared" si="72"/>
        <v>Ruta (completo)</v>
      </c>
      <c r="BK95" s="783">
        <f t="shared" si="59"/>
        <v>1</v>
      </c>
      <c r="BL95" s="797">
        <f t="shared" si="60"/>
        <v>1</v>
      </c>
      <c r="BM95" s="797">
        <f t="shared" si="61"/>
        <v>1</v>
      </c>
      <c r="BN95" s="797">
        <f t="shared" si="62"/>
        <v>1</v>
      </c>
      <c r="BO95" s="798" cm="1">
        <f t="array" ref="BO95">SUMPRODUCT(--ISNUMBER($BF95:$BI95),$BK$3:$BN$3)</f>
        <v>1</v>
      </c>
      <c r="BP95" s="831">
        <f t="shared" si="73"/>
        <v>0</v>
      </c>
      <c r="BQ95" s="834" t="str">
        <f t="shared" si="74"/>
        <v>Bajo</v>
      </c>
      <c r="BR95" s="836" t="str">
        <f t="shared" si="64"/>
        <v/>
      </c>
      <c r="BS95" s="836">
        <f t="shared" si="65"/>
        <v>0</v>
      </c>
      <c r="BT95" s="837" t="str">
        <f t="shared" si="66"/>
        <v>Sin datos</v>
      </c>
      <c r="BU95" s="807" t="str">
        <f t="shared" si="75"/>
        <v>Con espacio</v>
      </c>
      <c r="BV95" s="807" t="str">
        <f t="shared" si="67"/>
        <v>Zona de bajo potencial</v>
      </c>
      <c r="BW95" s="808" t="str">
        <f t="shared" si="68"/>
        <v>Sin datos</v>
      </c>
    </row>
    <row r="96" spans="1:75">
      <c r="A96" s="780" t="str">
        <f>'Base de datos Rutas'!A94</f>
        <v>Noreste</v>
      </c>
      <c r="B96" s="781" t="str">
        <f>'Base de datos Rutas'!B94</f>
        <v>Monterrey</v>
      </c>
      <c r="C96" s="781" t="str">
        <f>'Base de datos Rutas'!C94</f>
        <v>Sucursal Universidad</v>
      </c>
      <c r="D96" s="782">
        <f>IF(ISNUMBER('Base de datos Rutas'!D94),'Base de datos Rutas'!D94,"Sin código")</f>
        <v>703301</v>
      </c>
      <c r="E96" s="783" t="str">
        <f>'Base de datos Rutas'!F94</f>
        <v>Activa</v>
      </c>
      <c r="F96" s="784" t="str">
        <f>'Base de datos Rutas'!H94</f>
        <v>Sí</v>
      </c>
      <c r="G96" s="785">
        <f>IF(ISNUMBER('Base de datos Rutas'!BE94),'Base de datos Rutas'!BE94,"")</f>
        <v>41.758064516128997</v>
      </c>
      <c r="H96" s="786">
        <f>IF(ISNUMBER('Base de datos Rutas'!BH94),'Base de datos Rutas'!BH94,"")</f>
        <v>0.75600066214202899</v>
      </c>
      <c r="I96" s="788">
        <f>IFERROR(IF(OR(NOT(ISNUMBER('Base de datos Rutas'!O94)),N('Base de datos Rutas'!BK94)=0),"",'Base de datos Rutas'!O94/('Base de datos Rutas'!L94/'Base de datos Rutas'!BK94)),"")</f>
        <v>9014.2419354838712</v>
      </c>
      <c r="J96" s="788">
        <f>IFERROR(IF(OR(NOT(ISNUMBER('Base de datos Rutas'!N94)),N('Base de datos Rutas'!BK94)=0),"",'Base de datos Rutas'!N94/('Base de datos Rutas'!L94/'Base de datos Rutas'!BK94)),"")</f>
        <v>5051.3870967741932</v>
      </c>
      <c r="K96" s="788">
        <f>IFERROR(IF(OR(NOT(ISNUMBER('Base de datos Rutas'!J94)),N('Base de datos Rutas'!BK94)=0),"",'Base de datos Rutas'!J94/('Base de datos Rutas'!L94/'Base de datos Rutas'!BK94)),"")</f>
        <v>377.65160000000003</v>
      </c>
      <c r="L96" s="788">
        <f>IFERROR(IF(OR(NOT(ISNUMBER('Base de datos Rutas'!K94)),N('Base de datos Rutas'!BK94)=0),"",'Base de datos Rutas'!K94/('Base de datos Rutas'!L94/'Base de datos Rutas'!BK94)),"")</f>
        <v>87.308898140552998</v>
      </c>
      <c r="M96" s="787">
        <f>IF(ISNUMBER('Base de datos Rutas'!AX94),'Base de datos Rutas'!AX94,"")</f>
        <v>493.56498503758797</v>
      </c>
      <c r="N96" s="790">
        <f>IFERROR(INDEX('Hoja de apoyo v2'!B$17:B$20,MATCH($A96,'Hoja de apoyo v2'!$A$17:$A$20,0)),"")</f>
        <v>63.050408855205418</v>
      </c>
      <c r="O96" s="791">
        <f>IFERROR(INDEX('Hoja de apoyo v2'!C$17:C$20,MATCH($A96,'Hoja de apoyo v2'!$A$17:$A$20,0)),"")</f>
        <v>0.7559478312655763</v>
      </c>
      <c r="P96" s="793">
        <f>IFERROR(INDEX('Hoja de apoyo v2'!D$17:D$20,MATCH($A96,'Hoja de apoyo v2'!$A$17:$A$20,0)),"")</f>
        <v>9054.9839880720647</v>
      </c>
      <c r="Q96" s="793">
        <f>IFERROR(INDEX('Hoja de apoyo v2'!E$17:E$20,MATCH($A96,'Hoja de apoyo v2'!$A$17:$A$20,0)),"")</f>
        <v>4535.7799207004691</v>
      </c>
      <c r="R96" s="793">
        <f>IFERROR(INDEX('Hoja de apoyo v2'!F$17:F$20,MATCH($A96,'Hoja de apoyo v2'!$A$17:$A$20,0)),"")</f>
        <v>260.44838236060593</v>
      </c>
      <c r="S96" s="793">
        <f>IFERROR(INDEX('Hoja de apoyo v2'!G$17:G$20,MATCH($A96,'Hoja de apoyo v2'!$A$17:$A$20,0)),"")</f>
        <v>64.772152317133859</v>
      </c>
      <c r="T96" s="792">
        <f>IFERROR(INDEX('Hoja de apoyo v2'!H$17:H$20,MATCH($A96,'Hoja de apoyo v2'!$A$17:$A$20,0)),"")</f>
        <v>389.240053528842</v>
      </c>
      <c r="U96" s="794">
        <f t="shared" si="39"/>
        <v>0.66229649060684026</v>
      </c>
      <c r="V96" s="795">
        <f t="shared" si="40"/>
        <v>1.0000698869343461</v>
      </c>
      <c r="W96" s="795">
        <f t="shared" si="41"/>
        <v>0.99550059363529941</v>
      </c>
      <c r="X96" s="843">
        <f t="shared" si="42"/>
        <v>1.1136755277125743</v>
      </c>
      <c r="Y96" s="843">
        <f t="shared" si="43"/>
        <v>1.4500055503401801</v>
      </c>
      <c r="Z96" s="843">
        <f t="shared" si="44"/>
        <v>1.3479388134745927</v>
      </c>
      <c r="AA96" s="843">
        <f t="shared" si="45"/>
        <v>1.2680220870461258</v>
      </c>
      <c r="AB96" s="796">
        <f t="shared" si="46"/>
        <v>2</v>
      </c>
      <c r="AC96" s="797">
        <f t="shared" si="47"/>
        <v>4</v>
      </c>
      <c r="AD96" s="797">
        <f t="shared" si="48"/>
        <v>3</v>
      </c>
      <c r="AE96" s="842">
        <f t="shared" si="49"/>
        <v>4</v>
      </c>
      <c r="AF96" s="842">
        <f t="shared" si="50"/>
        <v>5</v>
      </c>
      <c r="AG96" s="842">
        <f t="shared" si="51"/>
        <v>5</v>
      </c>
      <c r="AH96" s="842">
        <f t="shared" si="52"/>
        <v>5</v>
      </c>
      <c r="AI96" s="826" cm="1">
        <f t="array" ref="AI96">SUMPRODUCT(--ISNUMBER($U96:$AA96),$AB$3:$AH$3)</f>
        <v>1</v>
      </c>
      <c r="AJ96" s="829">
        <f t="shared" si="53"/>
        <v>70.378395294824529</v>
      </c>
      <c r="AK96" s="827" t="str">
        <f t="shared" si="54"/>
        <v>Madura</v>
      </c>
      <c r="AL96" s="784" t="str">
        <f t="shared" si="55"/>
        <v>Alta</v>
      </c>
      <c r="AM96" s="799">
        <f>IF(ISNUMBER('Base de datos Rutas'!W94),'Base de datos Rutas'!W94,"")</f>
        <v>3111.2206603186733</v>
      </c>
      <c r="AN96" s="787">
        <f>IFERROR(SUMIFS('Base de datos Rutas'!$W$6:$W$794,'Base de datos Rutas'!$C$6:$C$794,$C96)/'Base de datos Rutas'!I94,"")</f>
        <v>3111.2206603186728</v>
      </c>
      <c r="AO96" s="800">
        <f>IFERROR('Base de datos Rutas'!X94*AN96/AM96,"")</f>
        <v>0.50714566449266507</v>
      </c>
      <c r="AP96" s="800">
        <f t="shared" si="56"/>
        <v>0.49285433550733493</v>
      </c>
      <c r="AQ96" s="789">
        <f>IFERROR(INDEX('Hoja de apoyo v2'!$J$17:$J$20,MATCH($A96,'Hoja de apoyo v2'!$A$17:$A$20,0)),"")</f>
        <v>0.56799995069377007</v>
      </c>
      <c r="AR96" s="789">
        <f t="shared" si="57"/>
        <v>-7.5145615186435144E-2</v>
      </c>
      <c r="AS96" s="784" t="str">
        <f t="shared" si="58"/>
        <v>No</v>
      </c>
      <c r="AT96" s="801" t="str">
        <f>IF(ISNUMBER('Base de datos Rutas'!CK94),'Base de datos Rutas'!CK94,"")</f>
        <v/>
      </c>
      <c r="AU96" s="802" t="str">
        <f>IF(ISNUMBER('Base de datos Rutas'!CL94),'Base de datos Rutas'!CL94,"")</f>
        <v/>
      </c>
      <c r="AV96" s="802">
        <f>IF(ISNUMBER('Base de datos Rutas'!CM94),'Base de datos Rutas'!CM94,"")</f>
        <v>0</v>
      </c>
      <c r="AW96" s="802" t="str">
        <f>IF(ISNUMBER('Base de datos Rutas'!CN94),'Base de datos Rutas'!CN94,"")</f>
        <v/>
      </c>
      <c r="AX96" s="802" t="str">
        <f>IF(ISNUMBER('Base de datos Rutas'!CO94),'Base de datos Rutas'!CO94,"")</f>
        <v/>
      </c>
      <c r="AY96" s="802">
        <f>IF(ISNUMBER('Base de datos Rutas'!CP94),'Base de datos Rutas'!CP94,"")</f>
        <v>0</v>
      </c>
      <c r="AZ96" s="802" t="str">
        <f>IF(ISNUMBER('Base de datos Rutas'!CQ94),'Base de datos Rutas'!CQ94,"")</f>
        <v/>
      </c>
      <c r="BA96" s="802" t="str">
        <f>IF(ISNUMBER('Base de datos Rutas'!CR94),'Base de datos Rutas'!CR94,"")</f>
        <v/>
      </c>
      <c r="BB96" s="803">
        <f>IF(ISNUMBER('Base de datos Rutas'!CS94),'Base de datos Rutas'!CS94,"")</f>
        <v>0</v>
      </c>
      <c r="BC96" s="804" t="str">
        <f t="shared" si="69"/>
        <v/>
      </c>
      <c r="BD96" s="805" t="str">
        <f t="shared" si="70"/>
        <v>N/D</v>
      </c>
      <c r="BE96" s="806" t="str">
        <f t="shared" si="71"/>
        <v/>
      </c>
      <c r="BF96" s="890">
        <f>IF(ISNUMBER('Base de datos Rutas'!CX94),'Base de datos Rutas'!CX94/100,"")</f>
        <v>0</v>
      </c>
      <c r="BG96" s="891">
        <f>IF(ISNUMBER('Base de datos Rutas'!CZ94),'Base de datos Rutas'!CZ94/100,"")</f>
        <v>0</v>
      </c>
      <c r="BH96" s="892">
        <f>IF(ISNUMBER('Base de datos Rutas'!DA94),'Base de datos Rutas'!DA94,"")</f>
        <v>0</v>
      </c>
      <c r="BI96" s="893">
        <f>IF(ISNUMBER('Base de datos Rutas'!DC94),'Base de datos Rutas'!DC94,"")</f>
        <v>0</v>
      </c>
      <c r="BJ96" s="805" t="str">
        <f t="shared" si="72"/>
        <v>Ruta (completo)</v>
      </c>
      <c r="BK96" s="783">
        <f t="shared" si="59"/>
        <v>1</v>
      </c>
      <c r="BL96" s="797">
        <f t="shared" si="60"/>
        <v>1</v>
      </c>
      <c r="BM96" s="797">
        <f t="shared" si="61"/>
        <v>1</v>
      </c>
      <c r="BN96" s="797">
        <f t="shared" si="62"/>
        <v>1</v>
      </c>
      <c r="BO96" s="798" cm="1">
        <f t="array" ref="BO96">SUMPRODUCT(--ISNUMBER($BF96:$BI96),$BK$3:$BN$3)</f>
        <v>1</v>
      </c>
      <c r="BP96" s="831">
        <f t="shared" si="73"/>
        <v>0</v>
      </c>
      <c r="BQ96" s="834" t="str">
        <f t="shared" si="74"/>
        <v>Bajo</v>
      </c>
      <c r="BR96" s="836" t="str">
        <f t="shared" si="64"/>
        <v/>
      </c>
      <c r="BS96" s="836">
        <f t="shared" si="65"/>
        <v>0</v>
      </c>
      <c r="BT96" s="837" t="str">
        <f t="shared" si="66"/>
        <v>Sin datos</v>
      </c>
      <c r="BU96" s="807" t="str">
        <f t="shared" si="75"/>
        <v>Con espacio</v>
      </c>
      <c r="BV96" s="807" t="str">
        <f t="shared" si="67"/>
        <v>Zona de bajo potencial</v>
      </c>
      <c r="BW96" s="808" t="str">
        <f t="shared" si="68"/>
        <v>Sin datos</v>
      </c>
    </row>
    <row r="97" spans="1:75">
      <c r="A97" s="780" t="str">
        <f>'Base de datos Rutas'!A95</f>
        <v>Noreste</v>
      </c>
      <c r="B97" s="781" t="str">
        <f>'Base de datos Rutas'!B95</f>
        <v>Monterrey</v>
      </c>
      <c r="C97" s="781" t="str">
        <f>'Base de datos Rutas'!C95</f>
        <v>Sucursal Universidad</v>
      </c>
      <c r="D97" s="782">
        <f>IF(ISNUMBER('Base de datos Rutas'!D95),'Base de datos Rutas'!D95,"Sin código")</f>
        <v>703302</v>
      </c>
      <c r="E97" s="783" t="str">
        <f>'Base de datos Rutas'!F95</f>
        <v>Activa</v>
      </c>
      <c r="F97" s="784" t="str">
        <f>'Base de datos Rutas'!H95</f>
        <v>Sí</v>
      </c>
      <c r="G97" s="785">
        <f>IF(ISNUMBER('Base de datos Rutas'!BE95),'Base de datos Rutas'!BE95,"")</f>
        <v>50.116704805491999</v>
      </c>
      <c r="H97" s="786">
        <f>IF(ISNUMBER('Base de datos Rutas'!BH95),'Base de datos Rutas'!BH95,"")</f>
        <v>0.93826765901100395</v>
      </c>
      <c r="I97" s="788">
        <f>IFERROR(IF(OR(NOT(ISNUMBER('Base de datos Rutas'!O95)),N('Base de datos Rutas'!BK95)=0),"",'Base de datos Rutas'!O95/('Base de datos Rutas'!L95/'Base de datos Rutas'!BK95)),"")</f>
        <v>10486.929061784889</v>
      </c>
      <c r="J97" s="788">
        <f>IFERROR(IF(OR(NOT(ISNUMBER('Base de datos Rutas'!N95)),N('Base de datos Rutas'!BK95)=0),"",'Base de datos Rutas'!N95/('Base de datos Rutas'!L95/'Base de datos Rutas'!BK95)),"")</f>
        <v>6694.7276887871803</v>
      </c>
      <c r="K97" s="788">
        <f>IFERROR(IF(OR(NOT(ISNUMBER('Base de datos Rutas'!J95)),N('Base de datos Rutas'!BK95)=0),"",'Base de datos Rutas'!J95/('Base de datos Rutas'!L95/'Base de datos Rutas'!BK95)),"")</f>
        <v>476.74918260869526</v>
      </c>
      <c r="L97" s="788">
        <f>IFERROR(IF(OR(NOT(ISNUMBER('Base de datos Rutas'!K95)),N('Base de datos Rutas'!BK95)=0),"",'Base de datos Rutas'!K95/('Base de datos Rutas'!L95/'Base de datos Rutas'!BK95)),"")</f>
        <v>87.938465775743637</v>
      </c>
      <c r="M97" s="787">
        <f>IF(ISNUMBER('Base de datos Rutas'!AX95),'Base de datos Rutas'!AX95,"")</f>
        <v>370.27200204389499</v>
      </c>
      <c r="N97" s="790">
        <f>IFERROR(INDEX('Hoja de apoyo v2'!B$17:B$20,MATCH($A97,'Hoja de apoyo v2'!$A$17:$A$20,0)),"")</f>
        <v>63.050408855205418</v>
      </c>
      <c r="O97" s="791">
        <f>IFERROR(INDEX('Hoja de apoyo v2'!C$17:C$20,MATCH($A97,'Hoja de apoyo v2'!$A$17:$A$20,0)),"")</f>
        <v>0.7559478312655763</v>
      </c>
      <c r="P97" s="793">
        <f>IFERROR(INDEX('Hoja de apoyo v2'!D$17:D$20,MATCH($A97,'Hoja de apoyo v2'!$A$17:$A$20,0)),"")</f>
        <v>9054.9839880720647</v>
      </c>
      <c r="Q97" s="793">
        <f>IFERROR(INDEX('Hoja de apoyo v2'!E$17:E$20,MATCH($A97,'Hoja de apoyo v2'!$A$17:$A$20,0)),"")</f>
        <v>4535.7799207004691</v>
      </c>
      <c r="R97" s="793">
        <f>IFERROR(INDEX('Hoja de apoyo v2'!F$17:F$20,MATCH($A97,'Hoja de apoyo v2'!$A$17:$A$20,0)),"")</f>
        <v>260.44838236060593</v>
      </c>
      <c r="S97" s="793">
        <f>IFERROR(INDEX('Hoja de apoyo v2'!G$17:G$20,MATCH($A97,'Hoja de apoyo v2'!$A$17:$A$20,0)),"")</f>
        <v>64.772152317133859</v>
      </c>
      <c r="T97" s="792">
        <f>IFERROR(INDEX('Hoja de apoyo v2'!H$17:H$20,MATCH($A97,'Hoja de apoyo v2'!$A$17:$A$20,0)),"")</f>
        <v>389.240053528842</v>
      </c>
      <c r="U97" s="794">
        <f t="shared" si="39"/>
        <v>0.79486724535893916</v>
      </c>
      <c r="V97" s="795">
        <f t="shared" si="40"/>
        <v>1.2411804362745449</v>
      </c>
      <c r="W97" s="795">
        <f t="shared" si="41"/>
        <v>1.1581388852370247</v>
      </c>
      <c r="X97" s="843">
        <f t="shared" si="42"/>
        <v>1.4759815965130205</v>
      </c>
      <c r="Y97" s="843">
        <f t="shared" si="43"/>
        <v>1.8304939285382402</v>
      </c>
      <c r="Z97" s="843">
        <f t="shared" si="44"/>
        <v>1.357658540435466</v>
      </c>
      <c r="AA97" s="843">
        <f t="shared" si="45"/>
        <v>0.95126901429340827</v>
      </c>
      <c r="AB97" s="796">
        <f t="shared" si="46"/>
        <v>3</v>
      </c>
      <c r="AC97" s="797">
        <f t="shared" si="47"/>
        <v>4</v>
      </c>
      <c r="AD97" s="797">
        <f t="shared" si="48"/>
        <v>4</v>
      </c>
      <c r="AE97" s="842">
        <f t="shared" si="49"/>
        <v>5</v>
      </c>
      <c r="AF97" s="842">
        <f t="shared" si="50"/>
        <v>5</v>
      </c>
      <c r="AG97" s="842">
        <f t="shared" si="51"/>
        <v>5</v>
      </c>
      <c r="AH97" s="842">
        <f t="shared" si="52"/>
        <v>3</v>
      </c>
      <c r="AI97" s="826" cm="1">
        <f t="array" ref="AI97">SUMPRODUCT(--ISNUMBER($U97:$AA97),$AB$3:$AH$3)</f>
        <v>1</v>
      </c>
      <c r="AJ97" s="829">
        <f t="shared" si="53"/>
        <v>78.946194907854888</v>
      </c>
      <c r="AK97" s="827" t="str">
        <f t="shared" si="54"/>
        <v>Madura</v>
      </c>
      <c r="AL97" s="784" t="str">
        <f t="shared" si="55"/>
        <v>Alta</v>
      </c>
      <c r="AM97" s="799">
        <f>IF(ISNUMBER('Base de datos Rutas'!W95),'Base de datos Rutas'!W95,"")</f>
        <v>3111.2206603186733</v>
      </c>
      <c r="AN97" s="787">
        <f>IFERROR(SUMIFS('Base de datos Rutas'!$W$6:$W$794,'Base de datos Rutas'!$C$6:$C$794,$C97)/'Base de datos Rutas'!I95,"")</f>
        <v>3111.2206603186728</v>
      </c>
      <c r="AO97" s="800">
        <f>IFERROR('Base de datos Rutas'!X95*AN97/AM97,"")</f>
        <v>0.50714566449266507</v>
      </c>
      <c r="AP97" s="800">
        <f t="shared" si="56"/>
        <v>0.49285433550733493</v>
      </c>
      <c r="AQ97" s="789">
        <f>IFERROR(INDEX('Hoja de apoyo v2'!$J$17:$J$20,MATCH($A97,'Hoja de apoyo v2'!$A$17:$A$20,0)),"")</f>
        <v>0.56799995069377007</v>
      </c>
      <c r="AR97" s="789">
        <f t="shared" si="57"/>
        <v>-7.5145615186435144E-2</v>
      </c>
      <c r="AS97" s="784" t="str">
        <f t="shared" si="58"/>
        <v>No</v>
      </c>
      <c r="AT97" s="801" t="str">
        <f>IF(ISNUMBER('Base de datos Rutas'!CK95),'Base de datos Rutas'!CK95,"")</f>
        <v/>
      </c>
      <c r="AU97" s="802" t="str">
        <f>IF(ISNUMBER('Base de datos Rutas'!CL95),'Base de datos Rutas'!CL95,"")</f>
        <v/>
      </c>
      <c r="AV97" s="802">
        <f>IF(ISNUMBER('Base de datos Rutas'!CM95),'Base de datos Rutas'!CM95,"")</f>
        <v>0</v>
      </c>
      <c r="AW97" s="802" t="str">
        <f>IF(ISNUMBER('Base de datos Rutas'!CN95),'Base de datos Rutas'!CN95,"")</f>
        <v/>
      </c>
      <c r="AX97" s="802" t="str">
        <f>IF(ISNUMBER('Base de datos Rutas'!CO95),'Base de datos Rutas'!CO95,"")</f>
        <v/>
      </c>
      <c r="AY97" s="802">
        <f>IF(ISNUMBER('Base de datos Rutas'!CP95),'Base de datos Rutas'!CP95,"")</f>
        <v>0</v>
      </c>
      <c r="AZ97" s="802" t="str">
        <f>IF(ISNUMBER('Base de datos Rutas'!CQ95),'Base de datos Rutas'!CQ95,"")</f>
        <v/>
      </c>
      <c r="BA97" s="802" t="str">
        <f>IF(ISNUMBER('Base de datos Rutas'!CR95),'Base de datos Rutas'!CR95,"")</f>
        <v/>
      </c>
      <c r="BB97" s="803">
        <f>IF(ISNUMBER('Base de datos Rutas'!CS95),'Base de datos Rutas'!CS95,"")</f>
        <v>0</v>
      </c>
      <c r="BC97" s="804" t="str">
        <f t="shared" si="69"/>
        <v/>
      </c>
      <c r="BD97" s="805" t="str">
        <f t="shared" si="70"/>
        <v>N/D</v>
      </c>
      <c r="BE97" s="806" t="str">
        <f t="shared" si="71"/>
        <v/>
      </c>
      <c r="BF97" s="890" t="str">
        <f>IF(ISNUMBER('Base de datos Rutas'!CX95),'Base de datos Rutas'!CX95/100,"")</f>
        <v/>
      </c>
      <c r="BG97" s="891" t="str">
        <f>IF(ISNUMBER('Base de datos Rutas'!CZ95),'Base de datos Rutas'!CZ95/100,"")</f>
        <v/>
      </c>
      <c r="BH97" s="892" t="str">
        <f>IF(ISNUMBER('Base de datos Rutas'!DA95),'Base de datos Rutas'!DA95,"")</f>
        <v/>
      </c>
      <c r="BI97" s="893" t="str">
        <f>IF(ISNUMBER('Base de datos Rutas'!DC95),'Base de datos Rutas'!DC95,"")</f>
        <v/>
      </c>
      <c r="BJ97" s="805" t="str">
        <f t="shared" si="72"/>
        <v>Sin dato</v>
      </c>
      <c r="BK97" s="783">
        <f t="shared" si="59"/>
        <v>0</v>
      </c>
      <c r="BL97" s="797">
        <f t="shared" si="60"/>
        <v>0</v>
      </c>
      <c r="BM97" s="797">
        <f t="shared" si="61"/>
        <v>0</v>
      </c>
      <c r="BN97" s="797">
        <f t="shared" si="62"/>
        <v>0</v>
      </c>
      <c r="BO97" s="798" cm="1">
        <f t="array" ref="BO97">SUMPRODUCT(--ISNUMBER($BF97:$BI97),$BK$3:$BN$3)</f>
        <v>0</v>
      </c>
      <c r="BP97" s="831" t="str">
        <f t="shared" si="73"/>
        <v/>
      </c>
      <c r="BQ97" s="834" t="str">
        <f t="shared" si="74"/>
        <v>Sin datos</v>
      </c>
      <c r="BR97" s="836" t="str">
        <f t="shared" si="64"/>
        <v/>
      </c>
      <c r="BS97" s="836" t="str">
        <f t="shared" si="65"/>
        <v/>
      </c>
      <c r="BT97" s="837" t="str">
        <f t="shared" si="66"/>
        <v>Sin datos</v>
      </c>
      <c r="BU97" s="807" t="str">
        <f t="shared" si="75"/>
        <v>Con espacio</v>
      </c>
      <c r="BV97" s="807" t="str">
        <f t="shared" si="67"/>
        <v>Sin datos de zona</v>
      </c>
      <c r="BW97" s="808" t="str">
        <f t="shared" si="68"/>
        <v>Sin datos</v>
      </c>
    </row>
    <row r="98" spans="1:75">
      <c r="A98" s="780" t="str">
        <f>'Base de datos Rutas'!A96</f>
        <v>Noreste</v>
      </c>
      <c r="B98" s="781" t="str">
        <f>'Base de datos Rutas'!B96</f>
        <v>Monterrey</v>
      </c>
      <c r="C98" s="781" t="str">
        <f>'Base de datos Rutas'!C96</f>
        <v>Sucursal Universidad</v>
      </c>
      <c r="D98" s="782">
        <f>IF(ISNUMBER('Base de datos Rutas'!D96),'Base de datos Rutas'!D96,"Sin código")</f>
        <v>703303</v>
      </c>
      <c r="E98" s="783" t="str">
        <f>'Base de datos Rutas'!F96</f>
        <v>Activa</v>
      </c>
      <c r="F98" s="784" t="str">
        <f>'Base de datos Rutas'!H96</f>
        <v>Sí</v>
      </c>
      <c r="G98" s="785">
        <f>IF(ISNUMBER('Base de datos Rutas'!BE96),'Base de datos Rutas'!BE96,"")</f>
        <v>40.960784313725497</v>
      </c>
      <c r="H98" s="786">
        <f>IF(ISNUMBER('Base de datos Rutas'!BH96),'Base de datos Rutas'!BH96,"")</f>
        <v>0.44848013403542403</v>
      </c>
      <c r="I98" s="788">
        <f>IFERROR(IF(OR(NOT(ISNUMBER('Base de datos Rutas'!O96)),N('Base de datos Rutas'!BK96)=0),"",'Base de datos Rutas'!O96/('Base de datos Rutas'!L96/'Base de datos Rutas'!BK96)),"")</f>
        <v>3574.7214611872209</v>
      </c>
      <c r="J98" s="788">
        <f>IFERROR(IF(OR(NOT(ISNUMBER('Base de datos Rutas'!N96)),N('Base de datos Rutas'!BK96)=0),"",'Base de datos Rutas'!N96/('Base de datos Rutas'!L96/'Base de datos Rutas'!BK96)),"")</f>
        <v>2839.9566210045714</v>
      </c>
      <c r="K98" s="788">
        <f>IFERROR(IF(OR(NOT(ISNUMBER('Base de datos Rutas'!J96)),N('Base de datos Rutas'!BK96)=0),"",'Base de datos Rutas'!J96/('Base de datos Rutas'!L96/'Base de datos Rutas'!BK96)),"")</f>
        <v>229.6717388127858</v>
      </c>
      <c r="L98" s="788">
        <f>IFERROR(IF(OR(NOT(ISNUMBER('Base de datos Rutas'!K96)),N('Base de datos Rutas'!BK96)=0),"",'Base de datos Rutas'!K96/('Base de datos Rutas'!L96/'Base de datos Rutas'!BK96)),"")</f>
        <v>46.289882328767206</v>
      </c>
      <c r="M98" s="787">
        <f>IF(ISNUMBER('Base de datos Rutas'!AX96),'Base de datos Rutas'!AX96,"")</f>
        <v>450.94133349409202</v>
      </c>
      <c r="N98" s="790">
        <f>IFERROR(INDEX('Hoja de apoyo v2'!B$17:B$20,MATCH($A98,'Hoja de apoyo v2'!$A$17:$A$20,0)),"")</f>
        <v>63.050408855205418</v>
      </c>
      <c r="O98" s="791">
        <f>IFERROR(INDEX('Hoja de apoyo v2'!C$17:C$20,MATCH($A98,'Hoja de apoyo v2'!$A$17:$A$20,0)),"")</f>
        <v>0.7559478312655763</v>
      </c>
      <c r="P98" s="793">
        <f>IFERROR(INDEX('Hoja de apoyo v2'!D$17:D$20,MATCH($A98,'Hoja de apoyo v2'!$A$17:$A$20,0)),"")</f>
        <v>9054.9839880720647</v>
      </c>
      <c r="Q98" s="793">
        <f>IFERROR(INDEX('Hoja de apoyo v2'!E$17:E$20,MATCH($A98,'Hoja de apoyo v2'!$A$17:$A$20,0)),"")</f>
        <v>4535.7799207004691</v>
      </c>
      <c r="R98" s="793">
        <f>IFERROR(INDEX('Hoja de apoyo v2'!F$17:F$20,MATCH($A98,'Hoja de apoyo v2'!$A$17:$A$20,0)),"")</f>
        <v>260.44838236060593</v>
      </c>
      <c r="S98" s="793">
        <f>IFERROR(INDEX('Hoja de apoyo v2'!G$17:G$20,MATCH($A98,'Hoja de apoyo v2'!$A$17:$A$20,0)),"")</f>
        <v>64.772152317133859</v>
      </c>
      <c r="T98" s="792">
        <f>IFERROR(INDEX('Hoja de apoyo v2'!H$17:H$20,MATCH($A98,'Hoja de apoyo v2'!$A$17:$A$20,0)),"")</f>
        <v>389.240053528842</v>
      </c>
      <c r="U98" s="794">
        <f t="shared" si="39"/>
        <v>0.64965136717497729</v>
      </c>
      <c r="V98" s="795">
        <f t="shared" si="40"/>
        <v>0.59326862977382622</v>
      </c>
      <c r="W98" s="795">
        <f t="shared" si="41"/>
        <v>0.39477943482794942</v>
      </c>
      <c r="X98" s="843">
        <f t="shared" si="42"/>
        <v>0.62612310796728243</v>
      </c>
      <c r="Y98" s="843">
        <f t="shared" si="43"/>
        <v>0.88183208024226434</v>
      </c>
      <c r="Z98" s="843">
        <f t="shared" si="44"/>
        <v>0.71465715855982714</v>
      </c>
      <c r="AA98" s="843">
        <f t="shared" si="45"/>
        <v>1.1585172939060806</v>
      </c>
      <c r="AB98" s="796">
        <f t="shared" si="46"/>
        <v>2</v>
      </c>
      <c r="AC98" s="797">
        <f t="shared" si="47"/>
        <v>2</v>
      </c>
      <c r="AD98" s="797">
        <f t="shared" si="48"/>
        <v>1</v>
      </c>
      <c r="AE98" s="842">
        <f t="shared" si="49"/>
        <v>2</v>
      </c>
      <c r="AF98" s="842">
        <f t="shared" si="50"/>
        <v>3</v>
      </c>
      <c r="AG98" s="842">
        <f t="shared" si="51"/>
        <v>2</v>
      </c>
      <c r="AH98" s="842">
        <f t="shared" si="52"/>
        <v>4</v>
      </c>
      <c r="AI98" s="826" cm="1">
        <f t="array" ref="AI98">SUMPRODUCT(--ISNUMBER($U98:$AA98),$AB$3:$AH$3)</f>
        <v>1</v>
      </c>
      <c r="AJ98" s="829">
        <f t="shared" si="53"/>
        <v>27.301328723364893</v>
      </c>
      <c r="AK98" s="827" t="str">
        <f t="shared" si="54"/>
        <v>Inmadura</v>
      </c>
      <c r="AL98" s="784" t="str">
        <f t="shared" si="55"/>
        <v>Alta</v>
      </c>
      <c r="AM98" s="799">
        <f>IF(ISNUMBER('Base de datos Rutas'!W96),'Base de datos Rutas'!W96,"")</f>
        <v>3111.2206603186733</v>
      </c>
      <c r="AN98" s="787">
        <f>IFERROR(SUMIFS('Base de datos Rutas'!$W$6:$W$794,'Base de datos Rutas'!$C$6:$C$794,$C98)/'Base de datos Rutas'!I96,"")</f>
        <v>3111.2206603186728</v>
      </c>
      <c r="AO98" s="800">
        <f>IFERROR('Base de datos Rutas'!X96*AN98/AM98,"")</f>
        <v>0.50714566449266507</v>
      </c>
      <c r="AP98" s="800">
        <f t="shared" si="56"/>
        <v>0.49285433550733493</v>
      </c>
      <c r="AQ98" s="789">
        <f>IFERROR(INDEX('Hoja de apoyo v2'!$J$17:$J$20,MATCH($A98,'Hoja de apoyo v2'!$A$17:$A$20,0)),"")</f>
        <v>0.56799995069377007</v>
      </c>
      <c r="AR98" s="789">
        <f t="shared" si="57"/>
        <v>-7.5145615186435144E-2</v>
      </c>
      <c r="AS98" s="784" t="str">
        <f t="shared" si="58"/>
        <v>No</v>
      </c>
      <c r="AT98" s="801" t="str">
        <f>IF(ISNUMBER('Base de datos Rutas'!CK96),'Base de datos Rutas'!CK96,"")</f>
        <v/>
      </c>
      <c r="AU98" s="802" t="str">
        <f>IF(ISNUMBER('Base de datos Rutas'!CL96),'Base de datos Rutas'!CL96,"")</f>
        <v/>
      </c>
      <c r="AV98" s="802">
        <f>IF(ISNUMBER('Base de datos Rutas'!CM96),'Base de datos Rutas'!CM96,"")</f>
        <v>0</v>
      </c>
      <c r="AW98" s="802" t="str">
        <f>IF(ISNUMBER('Base de datos Rutas'!CN96),'Base de datos Rutas'!CN96,"")</f>
        <v/>
      </c>
      <c r="AX98" s="802" t="str">
        <f>IF(ISNUMBER('Base de datos Rutas'!CO96),'Base de datos Rutas'!CO96,"")</f>
        <v/>
      </c>
      <c r="AY98" s="802">
        <f>IF(ISNUMBER('Base de datos Rutas'!CP96),'Base de datos Rutas'!CP96,"")</f>
        <v>0</v>
      </c>
      <c r="AZ98" s="802" t="str">
        <f>IF(ISNUMBER('Base de datos Rutas'!CQ96),'Base de datos Rutas'!CQ96,"")</f>
        <v/>
      </c>
      <c r="BA98" s="802" t="str">
        <f>IF(ISNUMBER('Base de datos Rutas'!CR96),'Base de datos Rutas'!CR96,"")</f>
        <v/>
      </c>
      <c r="BB98" s="803">
        <f>IF(ISNUMBER('Base de datos Rutas'!CS96),'Base de datos Rutas'!CS96,"")</f>
        <v>0</v>
      </c>
      <c r="BC98" s="804" t="str">
        <f t="shared" si="69"/>
        <v/>
      </c>
      <c r="BD98" s="805" t="str">
        <f t="shared" si="70"/>
        <v>N/D</v>
      </c>
      <c r="BE98" s="806" t="str">
        <f t="shared" si="71"/>
        <v/>
      </c>
      <c r="BF98" s="890">
        <f>IF(ISNUMBER('Base de datos Rutas'!CX96),'Base de datos Rutas'!CX96/100,"")</f>
        <v>0</v>
      </c>
      <c r="BG98" s="891">
        <f>IF(ISNUMBER('Base de datos Rutas'!CZ96),'Base de datos Rutas'!CZ96/100,"")</f>
        <v>0</v>
      </c>
      <c r="BH98" s="892">
        <f>IF(ISNUMBER('Base de datos Rutas'!DA96),'Base de datos Rutas'!DA96,"")</f>
        <v>0</v>
      </c>
      <c r="BI98" s="893">
        <f>IF(ISNUMBER('Base de datos Rutas'!DC96),'Base de datos Rutas'!DC96,"")</f>
        <v>0</v>
      </c>
      <c r="BJ98" s="805" t="str">
        <f t="shared" si="72"/>
        <v>Ruta (completo)</v>
      </c>
      <c r="BK98" s="783">
        <f t="shared" si="59"/>
        <v>1</v>
      </c>
      <c r="BL98" s="797">
        <f t="shared" si="60"/>
        <v>1</v>
      </c>
      <c r="BM98" s="797">
        <f t="shared" si="61"/>
        <v>1</v>
      </c>
      <c r="BN98" s="797">
        <f t="shared" si="62"/>
        <v>1</v>
      </c>
      <c r="BO98" s="798" cm="1">
        <f t="array" ref="BO98">SUMPRODUCT(--ISNUMBER($BF98:$BI98),$BK$3:$BN$3)</f>
        <v>1</v>
      </c>
      <c r="BP98" s="831">
        <f t="shared" si="73"/>
        <v>0</v>
      </c>
      <c r="BQ98" s="834" t="str">
        <f t="shared" si="74"/>
        <v>Bajo</v>
      </c>
      <c r="BR98" s="836" t="str">
        <f t="shared" si="64"/>
        <v/>
      </c>
      <c r="BS98" s="836">
        <f t="shared" si="65"/>
        <v>0</v>
      </c>
      <c r="BT98" s="837" t="str">
        <f t="shared" si="66"/>
        <v>Sin datos</v>
      </c>
      <c r="BU98" s="807" t="str">
        <f t="shared" si="75"/>
        <v>Con espacio</v>
      </c>
      <c r="BV98" s="807" t="str">
        <f t="shared" si="67"/>
        <v>Zona de bajo potencial</v>
      </c>
      <c r="BW98" s="808" t="str">
        <f t="shared" si="68"/>
        <v>Sin datos</v>
      </c>
    </row>
    <row r="99" spans="1:75">
      <c r="A99" s="780" t="str">
        <f>'Base de datos Rutas'!A97</f>
        <v>Noreste</v>
      </c>
      <c r="B99" s="781" t="str">
        <f>'Base de datos Rutas'!B97</f>
        <v>Monterrey</v>
      </c>
      <c r="C99" s="781" t="str">
        <f>'Base de datos Rutas'!C97</f>
        <v>Sucursal Universidad</v>
      </c>
      <c r="D99" s="782">
        <f>IF(ISNUMBER('Base de datos Rutas'!D97),'Base de datos Rutas'!D97,"Sin código")</f>
        <v>703304</v>
      </c>
      <c r="E99" s="783" t="str">
        <f>'Base de datos Rutas'!F97</f>
        <v>Activa</v>
      </c>
      <c r="F99" s="784" t="str">
        <f>'Base de datos Rutas'!H97</f>
        <v>Sí</v>
      </c>
      <c r="G99" s="785">
        <f>IF(ISNUMBER('Base de datos Rutas'!BE97),'Base de datos Rutas'!BE97,"")</f>
        <v>41.931662870159499</v>
      </c>
      <c r="H99" s="786">
        <f>IF(ISNUMBER('Base de datos Rutas'!BH97),'Base de datos Rutas'!BH97,"")</f>
        <v>0.552314211212516</v>
      </c>
      <c r="I99" s="788">
        <f>IFERROR(IF(OR(NOT(ISNUMBER('Base de datos Rutas'!O97)),N('Base de datos Rutas'!BK97)=0),"",'Base de datos Rutas'!O97/('Base de datos Rutas'!L97/'Base de datos Rutas'!BK97)),"")</f>
        <v>4371.4988610478449</v>
      </c>
      <c r="J99" s="788">
        <f>IFERROR(IF(OR(NOT(ISNUMBER('Base de datos Rutas'!N97)),N('Base de datos Rutas'!BK97)=0),"",'Base de datos Rutas'!N97/('Base de datos Rutas'!L97/'Base de datos Rutas'!BK97)),"")</f>
        <v>2910.1571753986391</v>
      </c>
      <c r="K99" s="788">
        <f>IFERROR(IF(OR(NOT(ISNUMBER('Base de datos Rutas'!J97)),N('Base de datos Rutas'!BK97)=0),"",'Base de datos Rutas'!J97/('Base de datos Rutas'!L97/'Base de datos Rutas'!BK97)),"")</f>
        <v>265.6082168564925</v>
      </c>
      <c r="L99" s="788">
        <f>IFERROR(IF(OR(NOT(ISNUMBER('Base de datos Rutas'!K97)),N('Base de datos Rutas'!BK97)=0),"",'Base de datos Rutas'!K97/('Base de datos Rutas'!L97/'Base de datos Rutas'!BK97)),"")</f>
        <v>58.009819182232462</v>
      </c>
      <c r="M99" s="787">
        <f>IF(ISNUMBER('Base de datos Rutas'!AX97),'Base de datos Rutas'!AX97,"")</f>
        <v>451.968628897413</v>
      </c>
      <c r="N99" s="790">
        <f>IFERROR(INDEX('Hoja de apoyo v2'!B$17:B$20,MATCH($A99,'Hoja de apoyo v2'!$A$17:$A$20,0)),"")</f>
        <v>63.050408855205418</v>
      </c>
      <c r="O99" s="791">
        <f>IFERROR(INDEX('Hoja de apoyo v2'!C$17:C$20,MATCH($A99,'Hoja de apoyo v2'!$A$17:$A$20,0)),"")</f>
        <v>0.7559478312655763</v>
      </c>
      <c r="P99" s="793">
        <f>IFERROR(INDEX('Hoja de apoyo v2'!D$17:D$20,MATCH($A99,'Hoja de apoyo v2'!$A$17:$A$20,0)),"")</f>
        <v>9054.9839880720647</v>
      </c>
      <c r="Q99" s="793">
        <f>IFERROR(INDEX('Hoja de apoyo v2'!E$17:E$20,MATCH($A99,'Hoja de apoyo v2'!$A$17:$A$20,0)),"")</f>
        <v>4535.7799207004691</v>
      </c>
      <c r="R99" s="793">
        <f>IFERROR(INDEX('Hoja de apoyo v2'!F$17:F$20,MATCH($A99,'Hoja de apoyo v2'!$A$17:$A$20,0)),"")</f>
        <v>260.44838236060593</v>
      </c>
      <c r="S99" s="793">
        <f>IFERROR(INDEX('Hoja de apoyo v2'!G$17:G$20,MATCH($A99,'Hoja de apoyo v2'!$A$17:$A$20,0)),"")</f>
        <v>64.772152317133859</v>
      </c>
      <c r="T99" s="792">
        <f>IFERROR(INDEX('Hoja de apoyo v2'!H$17:H$20,MATCH($A99,'Hoja de apoyo v2'!$A$17:$A$20,0)),"")</f>
        <v>389.240053528842</v>
      </c>
      <c r="U99" s="794">
        <f t="shared" si="39"/>
        <v>0.66504981698778687</v>
      </c>
      <c r="V99" s="795">
        <f t="shared" si="40"/>
        <v>0.7306247711404299</v>
      </c>
      <c r="W99" s="795">
        <f t="shared" si="41"/>
        <v>0.48277267710316507</v>
      </c>
      <c r="X99" s="843">
        <f t="shared" si="42"/>
        <v>0.64160017158619498</v>
      </c>
      <c r="Y99" s="843">
        <f t="shared" si="43"/>
        <v>1.0198113516740621</v>
      </c>
      <c r="Z99" s="843">
        <f t="shared" si="44"/>
        <v>0.89559814066711829</v>
      </c>
      <c r="AA99" s="843">
        <f t="shared" si="45"/>
        <v>1.1611565274433477</v>
      </c>
      <c r="AB99" s="796">
        <f t="shared" si="46"/>
        <v>2</v>
      </c>
      <c r="AC99" s="797">
        <f t="shared" si="47"/>
        <v>2</v>
      </c>
      <c r="AD99" s="797">
        <f t="shared" si="48"/>
        <v>1</v>
      </c>
      <c r="AE99" s="842">
        <f t="shared" si="49"/>
        <v>2</v>
      </c>
      <c r="AF99" s="842">
        <f t="shared" si="50"/>
        <v>4</v>
      </c>
      <c r="AG99" s="842">
        <f t="shared" si="51"/>
        <v>3</v>
      </c>
      <c r="AH99" s="842">
        <f t="shared" si="52"/>
        <v>4</v>
      </c>
      <c r="AI99" s="826" cm="1">
        <f t="array" ref="AI99">SUMPRODUCT(--ISNUMBER($U99:$AA99),$AB$3:$AH$3)</f>
        <v>1</v>
      </c>
      <c r="AJ99" s="829">
        <f t="shared" si="53"/>
        <v>34.616440003464376</v>
      </c>
      <c r="AK99" s="827" t="str">
        <f t="shared" si="54"/>
        <v>Inmadura</v>
      </c>
      <c r="AL99" s="784" t="str">
        <f t="shared" si="55"/>
        <v>Alta</v>
      </c>
      <c r="AM99" s="799">
        <f>IF(ISNUMBER('Base de datos Rutas'!W97),'Base de datos Rutas'!W97,"")</f>
        <v>3111.2206603186733</v>
      </c>
      <c r="AN99" s="787">
        <f>IFERROR(SUMIFS('Base de datos Rutas'!$W$6:$W$794,'Base de datos Rutas'!$C$6:$C$794,$C99)/'Base de datos Rutas'!I97,"")</f>
        <v>3111.2206603186728</v>
      </c>
      <c r="AO99" s="800">
        <f>IFERROR('Base de datos Rutas'!X97*AN99/AM99,"")</f>
        <v>0.50714566449266507</v>
      </c>
      <c r="AP99" s="800">
        <f t="shared" si="56"/>
        <v>0.49285433550733493</v>
      </c>
      <c r="AQ99" s="789">
        <f>IFERROR(INDEX('Hoja de apoyo v2'!$J$17:$J$20,MATCH($A99,'Hoja de apoyo v2'!$A$17:$A$20,0)),"")</f>
        <v>0.56799995069377007</v>
      </c>
      <c r="AR99" s="789">
        <f t="shared" si="57"/>
        <v>-7.5145615186435144E-2</v>
      </c>
      <c r="AS99" s="784" t="str">
        <f t="shared" si="58"/>
        <v>No</v>
      </c>
      <c r="AT99" s="801" t="str">
        <f>IF(ISNUMBER('Base de datos Rutas'!CK97),'Base de datos Rutas'!CK97,"")</f>
        <v/>
      </c>
      <c r="AU99" s="802" t="str">
        <f>IF(ISNUMBER('Base de datos Rutas'!CL97),'Base de datos Rutas'!CL97,"")</f>
        <v/>
      </c>
      <c r="AV99" s="802">
        <f>IF(ISNUMBER('Base de datos Rutas'!CM97),'Base de datos Rutas'!CM97,"")</f>
        <v>0</v>
      </c>
      <c r="AW99" s="802" t="str">
        <f>IF(ISNUMBER('Base de datos Rutas'!CN97),'Base de datos Rutas'!CN97,"")</f>
        <v/>
      </c>
      <c r="AX99" s="802" t="str">
        <f>IF(ISNUMBER('Base de datos Rutas'!CO97),'Base de datos Rutas'!CO97,"")</f>
        <v/>
      </c>
      <c r="AY99" s="802">
        <f>IF(ISNUMBER('Base de datos Rutas'!CP97),'Base de datos Rutas'!CP97,"")</f>
        <v>0</v>
      </c>
      <c r="AZ99" s="802" t="str">
        <f>IF(ISNUMBER('Base de datos Rutas'!CQ97),'Base de datos Rutas'!CQ97,"")</f>
        <v/>
      </c>
      <c r="BA99" s="802" t="str">
        <f>IF(ISNUMBER('Base de datos Rutas'!CR97),'Base de datos Rutas'!CR97,"")</f>
        <v/>
      </c>
      <c r="BB99" s="803">
        <f>IF(ISNUMBER('Base de datos Rutas'!CS97),'Base de datos Rutas'!CS97,"")</f>
        <v>0</v>
      </c>
      <c r="BC99" s="804" t="str">
        <f t="shared" si="69"/>
        <v/>
      </c>
      <c r="BD99" s="805" t="str">
        <f t="shared" si="70"/>
        <v>N/D</v>
      </c>
      <c r="BE99" s="806" t="str">
        <f t="shared" si="71"/>
        <v/>
      </c>
      <c r="BF99" s="890">
        <f>IF(ISNUMBER('Base de datos Rutas'!CX97),'Base de datos Rutas'!CX97/100,"")</f>
        <v>0</v>
      </c>
      <c r="BG99" s="891">
        <f>IF(ISNUMBER('Base de datos Rutas'!CZ97),'Base de datos Rutas'!CZ97/100,"")</f>
        <v>0</v>
      </c>
      <c r="BH99" s="892">
        <f>IF(ISNUMBER('Base de datos Rutas'!DA97),'Base de datos Rutas'!DA97,"")</f>
        <v>0</v>
      </c>
      <c r="BI99" s="893">
        <f>IF(ISNUMBER('Base de datos Rutas'!DC97),'Base de datos Rutas'!DC97,"")</f>
        <v>0</v>
      </c>
      <c r="BJ99" s="805" t="str">
        <f t="shared" si="72"/>
        <v>Ruta (completo)</v>
      </c>
      <c r="BK99" s="783">
        <f t="shared" si="59"/>
        <v>1</v>
      </c>
      <c r="BL99" s="797">
        <f t="shared" si="60"/>
        <v>1</v>
      </c>
      <c r="BM99" s="797">
        <f t="shared" si="61"/>
        <v>1</v>
      </c>
      <c r="BN99" s="797">
        <f t="shared" si="62"/>
        <v>1</v>
      </c>
      <c r="BO99" s="798" cm="1">
        <f t="array" ref="BO99">SUMPRODUCT(--ISNUMBER($BF99:$BI99),$BK$3:$BN$3)</f>
        <v>1</v>
      </c>
      <c r="BP99" s="831">
        <f t="shared" si="73"/>
        <v>0</v>
      </c>
      <c r="BQ99" s="834" t="str">
        <f t="shared" si="74"/>
        <v>Bajo</v>
      </c>
      <c r="BR99" s="836" t="str">
        <f t="shared" si="64"/>
        <v/>
      </c>
      <c r="BS99" s="836">
        <f t="shared" si="65"/>
        <v>0</v>
      </c>
      <c r="BT99" s="837" t="str">
        <f t="shared" si="66"/>
        <v>Sin datos</v>
      </c>
      <c r="BU99" s="807" t="str">
        <f t="shared" si="75"/>
        <v>Con espacio</v>
      </c>
      <c r="BV99" s="807" t="str">
        <f t="shared" si="67"/>
        <v>Zona de bajo potencial</v>
      </c>
      <c r="BW99" s="808" t="str">
        <f t="shared" si="68"/>
        <v>Sin datos</v>
      </c>
    </row>
    <row r="100" spans="1:75">
      <c r="A100" s="780" t="str">
        <f>'Base de datos Rutas'!A98</f>
        <v>Noreste</v>
      </c>
      <c r="B100" s="781" t="str">
        <f>'Base de datos Rutas'!B98</f>
        <v>Monterrey</v>
      </c>
      <c r="C100" s="781" t="str">
        <f>'Base de datos Rutas'!C98</f>
        <v>Sucursal Universidad</v>
      </c>
      <c r="D100" s="782">
        <f>IF(ISNUMBER('Base de datos Rutas'!D98),'Base de datos Rutas'!D98,"Sin código")</f>
        <v>703305</v>
      </c>
      <c r="E100" s="783" t="str">
        <f>'Base de datos Rutas'!F98</f>
        <v>Activa</v>
      </c>
      <c r="F100" s="784" t="str">
        <f>'Base de datos Rutas'!H98</f>
        <v>Sí</v>
      </c>
      <c r="G100" s="785">
        <f>IF(ISNUMBER('Base de datos Rutas'!BE98),'Base de datos Rutas'!BE98,"")</f>
        <v>39.208722741433</v>
      </c>
      <c r="H100" s="786">
        <f>IF(ISNUMBER('Base de datos Rutas'!BH98),'Base de datos Rutas'!BH98,"")</f>
        <v>0.29032258064516098</v>
      </c>
      <c r="I100" s="788">
        <f>IFERROR(IF(OR(NOT(ISNUMBER('Base de datos Rutas'!O98)),N('Base de datos Rutas'!BK98)=0),"",'Base de datos Rutas'!O98/('Base de datos Rutas'!L98/'Base de datos Rutas'!BK98)),"")</f>
        <v>10199.912643678143</v>
      </c>
      <c r="J100" s="788">
        <f>IFERROR(IF(OR(NOT(ISNUMBER('Base de datos Rutas'!N98)),N('Base de datos Rutas'!BK98)=0),"",'Base de datos Rutas'!N98/('Base de datos Rutas'!L98/'Base de datos Rutas'!BK98)),"")</f>
        <v>4101.5609195402221</v>
      </c>
      <c r="K100" s="788">
        <f>IFERROR(IF(OR(NOT(ISNUMBER('Base de datos Rutas'!J98)),N('Base de datos Rutas'!BK98)=0),"",'Base de datos Rutas'!J98/('Base de datos Rutas'!L98/'Base de datos Rutas'!BK98)),"")</f>
        <v>128.45018666666644</v>
      </c>
      <c r="L100" s="788">
        <f>IFERROR(IF(OR(NOT(ISNUMBER('Base de datos Rutas'!K98)),N('Base de datos Rutas'!BK98)=0),"",'Base de datos Rutas'!K98/('Base de datos Rutas'!L98/'Base de datos Rutas'!BK98)),"")</f>
        <v>20.40055883678157</v>
      </c>
      <c r="M100" s="787">
        <f>IF(ISNUMBER('Base de datos Rutas'!AX98),'Base de datos Rutas'!AX98,"")</f>
        <v>369.30375051716999</v>
      </c>
      <c r="N100" s="790">
        <f>IFERROR(INDEX('Hoja de apoyo v2'!B$17:B$20,MATCH($A100,'Hoja de apoyo v2'!$A$17:$A$20,0)),"")</f>
        <v>63.050408855205418</v>
      </c>
      <c r="O100" s="791">
        <f>IFERROR(INDEX('Hoja de apoyo v2'!C$17:C$20,MATCH($A100,'Hoja de apoyo v2'!$A$17:$A$20,0)),"")</f>
        <v>0.7559478312655763</v>
      </c>
      <c r="P100" s="793">
        <f>IFERROR(INDEX('Hoja de apoyo v2'!D$17:D$20,MATCH($A100,'Hoja de apoyo v2'!$A$17:$A$20,0)),"")</f>
        <v>9054.9839880720647</v>
      </c>
      <c r="Q100" s="793">
        <f>IFERROR(INDEX('Hoja de apoyo v2'!E$17:E$20,MATCH($A100,'Hoja de apoyo v2'!$A$17:$A$20,0)),"")</f>
        <v>4535.7799207004691</v>
      </c>
      <c r="R100" s="793">
        <f>IFERROR(INDEX('Hoja de apoyo v2'!F$17:F$20,MATCH($A100,'Hoja de apoyo v2'!$A$17:$A$20,0)),"")</f>
        <v>260.44838236060593</v>
      </c>
      <c r="S100" s="793">
        <f>IFERROR(INDEX('Hoja de apoyo v2'!G$17:G$20,MATCH($A100,'Hoja de apoyo v2'!$A$17:$A$20,0)),"")</f>
        <v>64.772152317133859</v>
      </c>
      <c r="T100" s="792">
        <f>IFERROR(INDEX('Hoja de apoyo v2'!H$17:H$20,MATCH($A100,'Hoja de apoyo v2'!$A$17:$A$20,0)),"")</f>
        <v>389.240053528842</v>
      </c>
      <c r="U100" s="794">
        <f t="shared" si="39"/>
        <v>0.62186310054666594</v>
      </c>
      <c r="V100" s="795">
        <f t="shared" si="40"/>
        <v>0.38405107950255646</v>
      </c>
      <c r="W100" s="795">
        <f t="shared" si="41"/>
        <v>1.126441820009209</v>
      </c>
      <c r="X100" s="843">
        <f t="shared" si="42"/>
        <v>0.90426806221824141</v>
      </c>
      <c r="Y100" s="843">
        <f t="shared" si="43"/>
        <v>0.49318865220986358</v>
      </c>
      <c r="Z100" s="843">
        <f t="shared" si="44"/>
        <v>0.31495879181067621</v>
      </c>
      <c r="AA100" s="843">
        <f t="shared" si="45"/>
        <v>0.94878147089198572</v>
      </c>
      <c r="AB100" s="796">
        <f t="shared" si="46"/>
        <v>2</v>
      </c>
      <c r="AC100" s="797">
        <f t="shared" si="47"/>
        <v>1</v>
      </c>
      <c r="AD100" s="797">
        <f t="shared" si="48"/>
        <v>4</v>
      </c>
      <c r="AE100" s="842">
        <f t="shared" si="49"/>
        <v>3</v>
      </c>
      <c r="AF100" s="842">
        <f t="shared" si="50"/>
        <v>1</v>
      </c>
      <c r="AG100" s="842">
        <f t="shared" si="51"/>
        <v>1</v>
      </c>
      <c r="AH100" s="842">
        <f t="shared" si="52"/>
        <v>3</v>
      </c>
      <c r="AI100" s="826" cm="1">
        <f t="array" ref="AI100">SUMPRODUCT(--ISNUMBER($U100:$AA100),$AB$3:$AH$3)</f>
        <v>1</v>
      </c>
      <c r="AJ100" s="829">
        <f t="shared" si="53"/>
        <v>31.184501559211377</v>
      </c>
      <c r="AK100" s="827" t="str">
        <f t="shared" si="54"/>
        <v>Inmadura</v>
      </c>
      <c r="AL100" s="784" t="str">
        <f t="shared" si="55"/>
        <v>Alta</v>
      </c>
      <c r="AM100" s="799">
        <f>IF(ISNUMBER('Base de datos Rutas'!W98),'Base de datos Rutas'!W98,"")</f>
        <v>3111.2206603186733</v>
      </c>
      <c r="AN100" s="787">
        <f>IFERROR(SUMIFS('Base de datos Rutas'!$W$6:$W$794,'Base de datos Rutas'!$C$6:$C$794,$C100)/'Base de datos Rutas'!I98,"")</f>
        <v>3111.2206603186728</v>
      </c>
      <c r="AO100" s="800">
        <f>IFERROR('Base de datos Rutas'!X98*AN100/AM100,"")</f>
        <v>0.50714566449266507</v>
      </c>
      <c r="AP100" s="800">
        <f t="shared" si="56"/>
        <v>0.49285433550733493</v>
      </c>
      <c r="AQ100" s="789">
        <f>IFERROR(INDEX('Hoja de apoyo v2'!$J$17:$J$20,MATCH($A100,'Hoja de apoyo v2'!$A$17:$A$20,0)),"")</f>
        <v>0.56799995069377007</v>
      </c>
      <c r="AR100" s="789">
        <f t="shared" si="57"/>
        <v>-7.5145615186435144E-2</v>
      </c>
      <c r="AS100" s="784" t="str">
        <f t="shared" si="58"/>
        <v>No</v>
      </c>
      <c r="AT100" s="801" t="str">
        <f>IF(ISNUMBER('Base de datos Rutas'!CK98),'Base de datos Rutas'!CK98,"")</f>
        <v/>
      </c>
      <c r="AU100" s="802" t="str">
        <f>IF(ISNUMBER('Base de datos Rutas'!CL98),'Base de datos Rutas'!CL98,"")</f>
        <v/>
      </c>
      <c r="AV100" s="802">
        <f>IF(ISNUMBER('Base de datos Rutas'!CM98),'Base de datos Rutas'!CM98,"")</f>
        <v>0</v>
      </c>
      <c r="AW100" s="802" t="str">
        <f>IF(ISNUMBER('Base de datos Rutas'!CN98),'Base de datos Rutas'!CN98,"")</f>
        <v/>
      </c>
      <c r="AX100" s="802" t="str">
        <f>IF(ISNUMBER('Base de datos Rutas'!CO98),'Base de datos Rutas'!CO98,"")</f>
        <v/>
      </c>
      <c r="AY100" s="802">
        <f>IF(ISNUMBER('Base de datos Rutas'!CP98),'Base de datos Rutas'!CP98,"")</f>
        <v>0</v>
      </c>
      <c r="AZ100" s="802" t="str">
        <f>IF(ISNUMBER('Base de datos Rutas'!CQ98),'Base de datos Rutas'!CQ98,"")</f>
        <v/>
      </c>
      <c r="BA100" s="802" t="str">
        <f>IF(ISNUMBER('Base de datos Rutas'!CR98),'Base de datos Rutas'!CR98,"")</f>
        <v/>
      </c>
      <c r="BB100" s="803">
        <f>IF(ISNUMBER('Base de datos Rutas'!CS98),'Base de datos Rutas'!CS98,"")</f>
        <v>0</v>
      </c>
      <c r="BC100" s="804" t="str">
        <f t="shared" si="69"/>
        <v/>
      </c>
      <c r="BD100" s="805" t="str">
        <f t="shared" si="70"/>
        <v>N/D</v>
      </c>
      <c r="BE100" s="806" t="str">
        <f t="shared" si="71"/>
        <v/>
      </c>
      <c r="BF100" s="890" t="str">
        <f>IF(ISNUMBER('Base de datos Rutas'!CX98),'Base de datos Rutas'!CX98/100,"")</f>
        <v/>
      </c>
      <c r="BG100" s="891" t="str">
        <f>IF(ISNUMBER('Base de datos Rutas'!CZ98),'Base de datos Rutas'!CZ98/100,"")</f>
        <v/>
      </c>
      <c r="BH100" s="892" t="str">
        <f>IF(ISNUMBER('Base de datos Rutas'!DA98),'Base de datos Rutas'!DA98,"")</f>
        <v/>
      </c>
      <c r="BI100" s="893" t="str">
        <f>IF(ISNUMBER('Base de datos Rutas'!DC98),'Base de datos Rutas'!DC98,"")</f>
        <v/>
      </c>
      <c r="BJ100" s="805" t="str">
        <f t="shared" si="72"/>
        <v>Sin dato</v>
      </c>
      <c r="BK100" s="783">
        <f t="shared" si="59"/>
        <v>0</v>
      </c>
      <c r="BL100" s="797">
        <f t="shared" si="60"/>
        <v>0</v>
      </c>
      <c r="BM100" s="797">
        <f t="shared" si="61"/>
        <v>0</v>
      </c>
      <c r="BN100" s="797">
        <f t="shared" si="62"/>
        <v>0</v>
      </c>
      <c r="BO100" s="798" cm="1">
        <f t="array" ref="BO100">SUMPRODUCT(--ISNUMBER($BF100:$BI100),$BK$3:$BN$3)</f>
        <v>0</v>
      </c>
      <c r="BP100" s="831" t="str">
        <f t="shared" si="73"/>
        <v/>
      </c>
      <c r="BQ100" s="834" t="str">
        <f t="shared" si="74"/>
        <v>Sin datos</v>
      </c>
      <c r="BR100" s="836" t="str">
        <f t="shared" si="64"/>
        <v/>
      </c>
      <c r="BS100" s="836" t="str">
        <f t="shared" si="65"/>
        <v/>
      </c>
      <c r="BT100" s="837" t="str">
        <f t="shared" si="66"/>
        <v>Sin datos</v>
      </c>
      <c r="BU100" s="807" t="str">
        <f t="shared" si="75"/>
        <v>Con espacio</v>
      </c>
      <c r="BV100" s="807" t="str">
        <f t="shared" si="67"/>
        <v>Sin datos de zona</v>
      </c>
      <c r="BW100" s="808" t="str">
        <f t="shared" si="68"/>
        <v>Sin datos</v>
      </c>
    </row>
    <row r="101" spans="1:75">
      <c r="A101" s="780" t="str">
        <f>'Base de datos Rutas'!A99</f>
        <v>Noreste</v>
      </c>
      <c r="B101" s="781" t="str">
        <f>'Base de datos Rutas'!B99</f>
        <v>Monterrey</v>
      </c>
      <c r="C101" s="781" t="str">
        <f>'Base de datos Rutas'!C99</f>
        <v>Sucursal Universidad</v>
      </c>
      <c r="D101" s="782">
        <f>IF(ISNUMBER('Base de datos Rutas'!D99),'Base de datos Rutas'!D99,"Sin código")</f>
        <v>703306</v>
      </c>
      <c r="E101" s="783" t="str">
        <f>'Base de datos Rutas'!F99</f>
        <v>Activa</v>
      </c>
      <c r="F101" s="784" t="str">
        <f>'Base de datos Rutas'!H99</f>
        <v>Sí</v>
      </c>
      <c r="G101" s="785">
        <f>IF(ISNUMBER('Base de datos Rutas'!BE99),'Base de datos Rutas'!BE99,"")</f>
        <v>41.397701149425302</v>
      </c>
      <c r="H101" s="786">
        <f>IF(ISNUMBER('Base de datos Rutas'!BH99),'Base de datos Rutas'!BH99,"")</f>
        <v>0.440859617947579</v>
      </c>
      <c r="I101" s="788">
        <f>IFERROR(IF(OR(NOT(ISNUMBER('Base de datos Rutas'!O99)),N('Base de datos Rutas'!BK99)=0),"",'Base de datos Rutas'!O99/('Base de datos Rutas'!L99/'Base de datos Rutas'!BK99)),"")</f>
        <v>3330.1287356321886</v>
      </c>
      <c r="J101" s="788">
        <f>IFERROR(IF(OR(NOT(ISNUMBER('Base de datos Rutas'!N99)),N('Base de datos Rutas'!BK99)=0),"",'Base de datos Rutas'!N99/('Base de datos Rutas'!L99/'Base de datos Rutas'!BK99)),"")</f>
        <v>3004.1793103448317</v>
      </c>
      <c r="K101" s="788">
        <f>IFERROR(IF(OR(NOT(ISNUMBER('Base de datos Rutas'!J99)),N('Base de datos Rutas'!BK99)=0),"",'Base de datos Rutas'!J99/('Base de datos Rutas'!L99/'Base de datos Rutas'!BK99)),"")</f>
        <v>216.1781903448279</v>
      </c>
      <c r="L101" s="788">
        <f>IFERROR(IF(OR(NOT(ISNUMBER('Base de datos Rutas'!K99)),N('Base de datos Rutas'!BK99)=0),"",'Base de datos Rutas'!K99/('Base de datos Rutas'!L99/'Base de datos Rutas'!BK99)),"")</f>
        <v>29.217967583908088</v>
      </c>
      <c r="M101" s="787">
        <f>IF(ISNUMBER('Base de datos Rutas'!AX99),'Base de datos Rutas'!AX99,"")</f>
        <v>366.69480413150302</v>
      </c>
      <c r="N101" s="790">
        <f>IFERROR(INDEX('Hoja de apoyo v2'!B$17:B$20,MATCH($A101,'Hoja de apoyo v2'!$A$17:$A$20,0)),"")</f>
        <v>63.050408855205418</v>
      </c>
      <c r="O101" s="791">
        <f>IFERROR(INDEX('Hoja de apoyo v2'!C$17:C$20,MATCH($A101,'Hoja de apoyo v2'!$A$17:$A$20,0)),"")</f>
        <v>0.7559478312655763</v>
      </c>
      <c r="P101" s="793">
        <f>IFERROR(INDEX('Hoja de apoyo v2'!D$17:D$20,MATCH($A101,'Hoja de apoyo v2'!$A$17:$A$20,0)),"")</f>
        <v>9054.9839880720647</v>
      </c>
      <c r="Q101" s="793">
        <f>IFERROR(INDEX('Hoja de apoyo v2'!E$17:E$20,MATCH($A101,'Hoja de apoyo v2'!$A$17:$A$20,0)),"")</f>
        <v>4535.7799207004691</v>
      </c>
      <c r="R101" s="793">
        <f>IFERROR(INDEX('Hoja de apoyo v2'!F$17:F$20,MATCH($A101,'Hoja de apoyo v2'!$A$17:$A$20,0)),"")</f>
        <v>260.44838236060593</v>
      </c>
      <c r="S101" s="793">
        <f>IFERROR(INDEX('Hoja de apoyo v2'!G$17:G$20,MATCH($A101,'Hoja de apoyo v2'!$A$17:$A$20,0)),"")</f>
        <v>64.772152317133859</v>
      </c>
      <c r="T101" s="792">
        <f>IFERROR(INDEX('Hoja de apoyo v2'!H$17:H$20,MATCH($A101,'Hoja de apoyo v2'!$A$17:$A$20,0)),"")</f>
        <v>389.240053528842</v>
      </c>
      <c r="U101" s="794">
        <f t="shared" si="39"/>
        <v>0.65658101035466199</v>
      </c>
      <c r="V101" s="795">
        <f t="shared" si="40"/>
        <v>0.58318788640415864</v>
      </c>
      <c r="W101" s="795">
        <f t="shared" si="41"/>
        <v>0.36776749025938593</v>
      </c>
      <c r="X101" s="843">
        <f t="shared" si="42"/>
        <v>0.6623291612175245</v>
      </c>
      <c r="Y101" s="843">
        <f t="shared" si="43"/>
        <v>0.83002316384333164</v>
      </c>
      <c r="Z101" s="843">
        <f t="shared" si="44"/>
        <v>0.45108841591140397</v>
      </c>
      <c r="AA101" s="843">
        <f t="shared" si="45"/>
        <v>0.94207880408774936</v>
      </c>
      <c r="AB101" s="796">
        <f t="shared" si="46"/>
        <v>2</v>
      </c>
      <c r="AC101" s="797">
        <f t="shared" si="47"/>
        <v>2</v>
      </c>
      <c r="AD101" s="797">
        <f t="shared" si="48"/>
        <v>1</v>
      </c>
      <c r="AE101" s="842">
        <f t="shared" si="49"/>
        <v>2</v>
      </c>
      <c r="AF101" s="842">
        <f t="shared" si="50"/>
        <v>3</v>
      </c>
      <c r="AG101" s="842">
        <f t="shared" si="51"/>
        <v>1</v>
      </c>
      <c r="AH101" s="842">
        <f t="shared" si="52"/>
        <v>3</v>
      </c>
      <c r="AI101" s="826" cm="1">
        <f t="array" ref="AI101">SUMPRODUCT(--ISNUMBER($U101:$AA101),$AB$3:$AH$3)</f>
        <v>1</v>
      </c>
      <c r="AJ101" s="829">
        <f t="shared" si="53"/>
        <v>20.667534114978636</v>
      </c>
      <c r="AK101" s="827" t="str">
        <f t="shared" si="54"/>
        <v>Inmadura</v>
      </c>
      <c r="AL101" s="784" t="str">
        <f t="shared" si="55"/>
        <v>Alta</v>
      </c>
      <c r="AM101" s="799">
        <f>IF(ISNUMBER('Base de datos Rutas'!W99),'Base de datos Rutas'!W99,"")</f>
        <v>3111.2206603186733</v>
      </c>
      <c r="AN101" s="787">
        <f>IFERROR(SUMIFS('Base de datos Rutas'!$W$6:$W$794,'Base de datos Rutas'!$C$6:$C$794,$C101)/'Base de datos Rutas'!I99,"")</f>
        <v>3111.2206603186728</v>
      </c>
      <c r="AO101" s="800">
        <f>IFERROR('Base de datos Rutas'!X99*AN101/AM101,"")</f>
        <v>0.50714566449266507</v>
      </c>
      <c r="AP101" s="800">
        <f t="shared" si="56"/>
        <v>0.49285433550733493</v>
      </c>
      <c r="AQ101" s="789">
        <f>IFERROR(INDEX('Hoja de apoyo v2'!$J$17:$J$20,MATCH($A101,'Hoja de apoyo v2'!$A$17:$A$20,0)),"")</f>
        <v>0.56799995069377007</v>
      </c>
      <c r="AR101" s="789">
        <f t="shared" si="57"/>
        <v>-7.5145615186435144E-2</v>
      </c>
      <c r="AS101" s="784" t="str">
        <f t="shared" si="58"/>
        <v>No</v>
      </c>
      <c r="AT101" s="801" t="str">
        <f>IF(ISNUMBER('Base de datos Rutas'!CK99),'Base de datos Rutas'!CK99,"")</f>
        <v/>
      </c>
      <c r="AU101" s="802" t="str">
        <f>IF(ISNUMBER('Base de datos Rutas'!CL99),'Base de datos Rutas'!CL99,"")</f>
        <v/>
      </c>
      <c r="AV101" s="802">
        <f>IF(ISNUMBER('Base de datos Rutas'!CM99),'Base de datos Rutas'!CM99,"")</f>
        <v>0</v>
      </c>
      <c r="AW101" s="802" t="str">
        <f>IF(ISNUMBER('Base de datos Rutas'!CN99),'Base de datos Rutas'!CN99,"")</f>
        <v/>
      </c>
      <c r="AX101" s="802" t="str">
        <f>IF(ISNUMBER('Base de datos Rutas'!CO99),'Base de datos Rutas'!CO99,"")</f>
        <v/>
      </c>
      <c r="AY101" s="802">
        <f>IF(ISNUMBER('Base de datos Rutas'!CP99),'Base de datos Rutas'!CP99,"")</f>
        <v>0</v>
      </c>
      <c r="AZ101" s="802" t="str">
        <f>IF(ISNUMBER('Base de datos Rutas'!CQ99),'Base de datos Rutas'!CQ99,"")</f>
        <v/>
      </c>
      <c r="BA101" s="802" t="str">
        <f>IF(ISNUMBER('Base de datos Rutas'!CR99),'Base de datos Rutas'!CR99,"")</f>
        <v/>
      </c>
      <c r="BB101" s="803">
        <f>IF(ISNUMBER('Base de datos Rutas'!CS99),'Base de datos Rutas'!CS99,"")</f>
        <v>0</v>
      </c>
      <c r="BC101" s="804" t="str">
        <f t="shared" si="69"/>
        <v/>
      </c>
      <c r="BD101" s="805" t="str">
        <f t="shared" si="70"/>
        <v>N/D</v>
      </c>
      <c r="BE101" s="806" t="str">
        <f t="shared" si="71"/>
        <v/>
      </c>
      <c r="BF101" s="890" t="str">
        <f>IF(ISNUMBER('Base de datos Rutas'!CX99),'Base de datos Rutas'!CX99/100,"")</f>
        <v/>
      </c>
      <c r="BG101" s="891" t="str">
        <f>IF(ISNUMBER('Base de datos Rutas'!CZ99),'Base de datos Rutas'!CZ99/100,"")</f>
        <v/>
      </c>
      <c r="BH101" s="892" t="str">
        <f>IF(ISNUMBER('Base de datos Rutas'!DA99),'Base de datos Rutas'!DA99,"")</f>
        <v/>
      </c>
      <c r="BI101" s="893" t="str">
        <f>IF(ISNUMBER('Base de datos Rutas'!DC99),'Base de datos Rutas'!DC99,"")</f>
        <v/>
      </c>
      <c r="BJ101" s="805" t="str">
        <f t="shared" si="72"/>
        <v>Sin dato</v>
      </c>
      <c r="BK101" s="783">
        <f t="shared" si="59"/>
        <v>0</v>
      </c>
      <c r="BL101" s="797">
        <f t="shared" si="60"/>
        <v>0</v>
      </c>
      <c r="BM101" s="797">
        <f t="shared" si="61"/>
        <v>0</v>
      </c>
      <c r="BN101" s="797">
        <f t="shared" si="62"/>
        <v>0</v>
      </c>
      <c r="BO101" s="798" cm="1">
        <f t="array" ref="BO101">SUMPRODUCT(--ISNUMBER($BF101:$BI101),$BK$3:$BN$3)</f>
        <v>0</v>
      </c>
      <c r="BP101" s="831" t="str">
        <f t="shared" si="73"/>
        <v/>
      </c>
      <c r="BQ101" s="834" t="str">
        <f t="shared" si="74"/>
        <v>Sin datos</v>
      </c>
      <c r="BR101" s="836" t="str">
        <f t="shared" si="64"/>
        <v/>
      </c>
      <c r="BS101" s="836" t="str">
        <f t="shared" si="65"/>
        <v/>
      </c>
      <c r="BT101" s="837" t="str">
        <f t="shared" si="66"/>
        <v>Sin datos</v>
      </c>
      <c r="BU101" s="807" t="str">
        <f t="shared" si="75"/>
        <v>Con espacio</v>
      </c>
      <c r="BV101" s="807" t="str">
        <f t="shared" si="67"/>
        <v>Sin datos de zona</v>
      </c>
      <c r="BW101" s="808" t="str">
        <f t="shared" si="68"/>
        <v>Sin datos</v>
      </c>
    </row>
    <row r="102" spans="1:75">
      <c r="A102" s="780" t="str">
        <f>'Base de datos Rutas'!A100</f>
        <v>Noreste</v>
      </c>
      <c r="B102" s="781" t="str">
        <f>'Base de datos Rutas'!B100</f>
        <v>Monterrey</v>
      </c>
      <c r="C102" s="781" t="str">
        <f>'Base de datos Rutas'!C100</f>
        <v>Sucursal Universidad</v>
      </c>
      <c r="D102" s="782">
        <f>IF(ISNUMBER('Base de datos Rutas'!D100),'Base de datos Rutas'!D100,"Sin código")</f>
        <v>703307</v>
      </c>
      <c r="E102" s="783" t="str">
        <f>'Base de datos Rutas'!F100</f>
        <v>Activa</v>
      </c>
      <c r="F102" s="784" t="str">
        <f>'Base de datos Rutas'!H100</f>
        <v>Sí</v>
      </c>
      <c r="G102" s="785">
        <f>IF(ISNUMBER('Base de datos Rutas'!BE100),'Base de datos Rutas'!BE100,"")</f>
        <v>40.940092165898598</v>
      </c>
      <c r="H102" s="786">
        <f>IF(ISNUMBER('Base de datos Rutas'!BH100),'Base de datos Rutas'!BH100,"")</f>
        <v>0.29046600630346697</v>
      </c>
      <c r="I102" s="788">
        <f>IFERROR(IF(OR(NOT(ISNUMBER('Base de datos Rutas'!O100)),N('Base de datos Rutas'!BK100)=0),"",'Base de datos Rutas'!O100/('Base de datos Rutas'!L100/'Base de datos Rutas'!BK100)),"")</f>
        <v>2241.9032258064544</v>
      </c>
      <c r="J102" s="788">
        <f>IFERROR(IF(OR(NOT(ISNUMBER('Base de datos Rutas'!N100)),N('Base de datos Rutas'!BK100)=0),"",'Base de datos Rutas'!N100/('Base de datos Rutas'!L100/'Base de datos Rutas'!BK100)),"")</f>
        <v>2420.847926267284</v>
      </c>
      <c r="K102" s="788">
        <f>IFERROR(IF(OR(NOT(ISNUMBER('Base de datos Rutas'!J100)),N('Base de datos Rutas'!BK100)=0),"",'Base de datos Rutas'!J100/('Base de datos Rutas'!L100/'Base de datos Rutas'!BK100)),"")</f>
        <v>167.49255483870988</v>
      </c>
      <c r="L102" s="788">
        <f>IFERROR(IF(OR(NOT(ISNUMBER('Base de datos Rutas'!K100)),N('Base de datos Rutas'!BK100)=0),"",'Base de datos Rutas'!K100/('Base de datos Rutas'!L100/'Base de datos Rutas'!BK100)),"")</f>
        <v>18.022511251152096</v>
      </c>
      <c r="M102" s="787">
        <f>IF(ISNUMBER('Base de datos Rutas'!AX100),'Base de datos Rutas'!AX100,"")</f>
        <v>397.54407866692497</v>
      </c>
      <c r="N102" s="790">
        <f>IFERROR(INDEX('Hoja de apoyo v2'!B$17:B$20,MATCH($A102,'Hoja de apoyo v2'!$A$17:$A$20,0)),"")</f>
        <v>63.050408855205418</v>
      </c>
      <c r="O102" s="791">
        <f>IFERROR(INDEX('Hoja de apoyo v2'!C$17:C$20,MATCH($A102,'Hoja de apoyo v2'!$A$17:$A$20,0)),"")</f>
        <v>0.7559478312655763</v>
      </c>
      <c r="P102" s="793">
        <f>IFERROR(INDEX('Hoja de apoyo v2'!D$17:D$20,MATCH($A102,'Hoja de apoyo v2'!$A$17:$A$20,0)),"")</f>
        <v>9054.9839880720647</v>
      </c>
      <c r="Q102" s="793">
        <f>IFERROR(INDEX('Hoja de apoyo v2'!E$17:E$20,MATCH($A102,'Hoja de apoyo v2'!$A$17:$A$20,0)),"")</f>
        <v>4535.7799207004691</v>
      </c>
      <c r="R102" s="793">
        <f>IFERROR(INDEX('Hoja de apoyo v2'!F$17:F$20,MATCH($A102,'Hoja de apoyo v2'!$A$17:$A$20,0)),"")</f>
        <v>260.44838236060593</v>
      </c>
      <c r="S102" s="793">
        <f>IFERROR(INDEX('Hoja de apoyo v2'!G$17:G$20,MATCH($A102,'Hoja de apoyo v2'!$A$17:$A$20,0)),"")</f>
        <v>64.772152317133859</v>
      </c>
      <c r="T102" s="792">
        <f>IFERROR(INDEX('Hoja de apoyo v2'!H$17:H$20,MATCH($A102,'Hoja de apoyo v2'!$A$17:$A$20,0)),"")</f>
        <v>389.240053528842</v>
      </c>
      <c r="U102" s="794">
        <f t="shared" si="39"/>
        <v>0.64932318297756131</v>
      </c>
      <c r="V102" s="795">
        <f t="shared" si="40"/>
        <v>0.38424080907432584</v>
      </c>
      <c r="W102" s="795">
        <f t="shared" si="41"/>
        <v>0.24758776258021717</v>
      </c>
      <c r="X102" s="843">
        <f t="shared" si="42"/>
        <v>0.53372252811891896</v>
      </c>
      <c r="Y102" s="843">
        <f t="shared" si="43"/>
        <v>0.64309308938923149</v>
      </c>
      <c r="Z102" s="843">
        <f t="shared" si="44"/>
        <v>0.27824474880672895</v>
      </c>
      <c r="AA102" s="843">
        <f t="shared" si="45"/>
        <v>1.0213339430585286</v>
      </c>
      <c r="AB102" s="796">
        <f t="shared" si="46"/>
        <v>2</v>
      </c>
      <c r="AC102" s="797">
        <f t="shared" si="47"/>
        <v>1</v>
      </c>
      <c r="AD102" s="797">
        <f t="shared" si="48"/>
        <v>1</v>
      </c>
      <c r="AE102" s="842">
        <f t="shared" si="49"/>
        <v>2</v>
      </c>
      <c r="AF102" s="842">
        <f t="shared" si="50"/>
        <v>2</v>
      </c>
      <c r="AG102" s="842">
        <f t="shared" si="51"/>
        <v>1</v>
      </c>
      <c r="AH102" s="842">
        <f t="shared" si="52"/>
        <v>4</v>
      </c>
      <c r="AI102" s="826" cm="1">
        <f t="array" ref="AI102">SUMPRODUCT(--ISNUMBER($U102:$AA102),$AB$3:$AH$3)</f>
        <v>1</v>
      </c>
      <c r="AJ102" s="829">
        <f t="shared" si="53"/>
        <v>17.603311857374926</v>
      </c>
      <c r="AK102" s="827" t="str">
        <f t="shared" si="54"/>
        <v>Inmadura</v>
      </c>
      <c r="AL102" s="784" t="str">
        <f t="shared" si="55"/>
        <v>Alta</v>
      </c>
      <c r="AM102" s="799">
        <f>IF(ISNUMBER('Base de datos Rutas'!W100),'Base de datos Rutas'!W100,"")</f>
        <v>3111.2206603186733</v>
      </c>
      <c r="AN102" s="787">
        <f>IFERROR(SUMIFS('Base de datos Rutas'!$W$6:$W$794,'Base de datos Rutas'!$C$6:$C$794,$C102)/'Base de datos Rutas'!I100,"")</f>
        <v>3111.2206603186728</v>
      </c>
      <c r="AO102" s="800">
        <f>IFERROR('Base de datos Rutas'!X100*AN102/AM102,"")</f>
        <v>0.50714566449266507</v>
      </c>
      <c r="AP102" s="800">
        <f t="shared" si="56"/>
        <v>0.49285433550733493</v>
      </c>
      <c r="AQ102" s="789">
        <f>IFERROR(INDEX('Hoja de apoyo v2'!$J$17:$J$20,MATCH($A102,'Hoja de apoyo v2'!$A$17:$A$20,0)),"")</f>
        <v>0.56799995069377007</v>
      </c>
      <c r="AR102" s="789">
        <f t="shared" si="57"/>
        <v>-7.5145615186435144E-2</v>
      </c>
      <c r="AS102" s="784" t="str">
        <f t="shared" si="58"/>
        <v>No</v>
      </c>
      <c r="AT102" s="801" t="str">
        <f>IF(ISNUMBER('Base de datos Rutas'!CK100),'Base de datos Rutas'!CK100,"")</f>
        <v/>
      </c>
      <c r="AU102" s="802" t="str">
        <f>IF(ISNUMBER('Base de datos Rutas'!CL100),'Base de datos Rutas'!CL100,"")</f>
        <v/>
      </c>
      <c r="AV102" s="802">
        <f>IF(ISNUMBER('Base de datos Rutas'!CM100),'Base de datos Rutas'!CM100,"")</f>
        <v>0</v>
      </c>
      <c r="AW102" s="802" t="str">
        <f>IF(ISNUMBER('Base de datos Rutas'!CN100),'Base de datos Rutas'!CN100,"")</f>
        <v/>
      </c>
      <c r="AX102" s="802" t="str">
        <f>IF(ISNUMBER('Base de datos Rutas'!CO100),'Base de datos Rutas'!CO100,"")</f>
        <v/>
      </c>
      <c r="AY102" s="802">
        <f>IF(ISNUMBER('Base de datos Rutas'!CP100),'Base de datos Rutas'!CP100,"")</f>
        <v>0</v>
      </c>
      <c r="AZ102" s="802" t="str">
        <f>IF(ISNUMBER('Base de datos Rutas'!CQ100),'Base de datos Rutas'!CQ100,"")</f>
        <v/>
      </c>
      <c r="BA102" s="802" t="str">
        <f>IF(ISNUMBER('Base de datos Rutas'!CR100),'Base de datos Rutas'!CR100,"")</f>
        <v/>
      </c>
      <c r="BB102" s="803">
        <f>IF(ISNUMBER('Base de datos Rutas'!CS100),'Base de datos Rutas'!CS100,"")</f>
        <v>0</v>
      </c>
      <c r="BC102" s="804" t="str">
        <f t="shared" si="69"/>
        <v/>
      </c>
      <c r="BD102" s="805" t="str">
        <f t="shared" si="70"/>
        <v>N/D</v>
      </c>
      <c r="BE102" s="806" t="str">
        <f t="shared" si="71"/>
        <v/>
      </c>
      <c r="BF102" s="890">
        <f>IF(ISNUMBER('Base de datos Rutas'!CX100),'Base de datos Rutas'!CX100/100,"")</f>
        <v>0</v>
      </c>
      <c r="BG102" s="891">
        <f>IF(ISNUMBER('Base de datos Rutas'!CZ100),'Base de datos Rutas'!CZ100/100,"")</f>
        <v>0</v>
      </c>
      <c r="BH102" s="892">
        <f>IF(ISNUMBER('Base de datos Rutas'!DA100),'Base de datos Rutas'!DA100,"")</f>
        <v>0</v>
      </c>
      <c r="BI102" s="893">
        <f>IF(ISNUMBER('Base de datos Rutas'!DC100),'Base de datos Rutas'!DC100,"")</f>
        <v>0</v>
      </c>
      <c r="BJ102" s="805" t="str">
        <f t="shared" si="72"/>
        <v>Ruta (completo)</v>
      </c>
      <c r="BK102" s="783">
        <f t="shared" si="59"/>
        <v>1</v>
      </c>
      <c r="BL102" s="797">
        <f t="shared" si="60"/>
        <v>1</v>
      </c>
      <c r="BM102" s="797">
        <f t="shared" si="61"/>
        <v>1</v>
      </c>
      <c r="BN102" s="797">
        <f t="shared" si="62"/>
        <v>1</v>
      </c>
      <c r="BO102" s="798" cm="1">
        <f t="array" ref="BO102">SUMPRODUCT(--ISNUMBER($BF102:$BI102),$BK$3:$BN$3)</f>
        <v>1</v>
      </c>
      <c r="BP102" s="831">
        <f t="shared" si="73"/>
        <v>0</v>
      </c>
      <c r="BQ102" s="834" t="str">
        <f t="shared" si="74"/>
        <v>Bajo</v>
      </c>
      <c r="BR102" s="836" t="str">
        <f t="shared" si="64"/>
        <v/>
      </c>
      <c r="BS102" s="836">
        <f t="shared" si="65"/>
        <v>0</v>
      </c>
      <c r="BT102" s="837" t="str">
        <f t="shared" si="66"/>
        <v>Sin datos</v>
      </c>
      <c r="BU102" s="807" t="str">
        <f t="shared" si="75"/>
        <v>Con espacio</v>
      </c>
      <c r="BV102" s="807" t="str">
        <f t="shared" si="67"/>
        <v>Zona de bajo potencial</v>
      </c>
      <c r="BW102" s="808" t="str">
        <f t="shared" si="68"/>
        <v>Sin datos</v>
      </c>
    </row>
    <row r="103" spans="1:75">
      <c r="A103" s="780" t="str">
        <f>'Base de datos Rutas'!A101</f>
        <v>Noreste</v>
      </c>
      <c r="B103" s="781" t="str">
        <f>'Base de datos Rutas'!B101</f>
        <v>Monterrey</v>
      </c>
      <c r="C103" s="781" t="str">
        <f>'Base de datos Rutas'!C101</f>
        <v>Sucursal Universidad</v>
      </c>
      <c r="D103" s="782">
        <f>IF(ISNUMBER('Base de datos Rutas'!D101),'Base de datos Rutas'!D101,"Sin código")</f>
        <v>703308</v>
      </c>
      <c r="E103" s="783" t="str">
        <f>'Base de datos Rutas'!F101</f>
        <v>Activa</v>
      </c>
      <c r="F103" s="784" t="str">
        <f>'Base de datos Rutas'!H101</f>
        <v>Sí</v>
      </c>
      <c r="G103" s="785">
        <f>IF(ISNUMBER('Base de datos Rutas'!BE101),'Base de datos Rutas'!BE101,"")</f>
        <v>41.855450236966803</v>
      </c>
      <c r="H103" s="786">
        <f>IF(ISNUMBER('Base de datos Rutas'!BH101),'Base de datos Rutas'!BH101,"")</f>
        <v>0.686859536885014</v>
      </c>
      <c r="I103" s="788">
        <f>IFERROR(IF(OR(NOT(ISNUMBER('Base de datos Rutas'!O101)),N('Base de datos Rutas'!BK101)=0),"",'Base de datos Rutas'!O101/('Base de datos Rutas'!L101/'Base de datos Rutas'!BK101)),"")</f>
        <v>7318.9315068493261</v>
      </c>
      <c r="J103" s="788">
        <f>IFERROR(IF(OR(NOT(ISNUMBER('Base de datos Rutas'!N101)),N('Base de datos Rutas'!BK101)=0),"",'Base de datos Rutas'!N101/('Base de datos Rutas'!L101/'Base de datos Rutas'!BK101)),"")</f>
        <v>4846.5730593607377</v>
      </c>
      <c r="K103" s="788">
        <f>IFERROR(IF(OR(NOT(ISNUMBER('Base de datos Rutas'!J101)),N('Base de datos Rutas'!BK101)=0),"",'Base de datos Rutas'!J101/('Base de datos Rutas'!L101/'Base de datos Rutas'!BK101)),"")</f>
        <v>341.29160730593657</v>
      </c>
      <c r="L103" s="788">
        <f>IFERROR(IF(OR(NOT(ISNUMBER('Base de datos Rutas'!K101)),N('Base de datos Rutas'!BK101)=0),"",'Base de datos Rutas'!K101/('Base de datos Rutas'!L101/'Base de datos Rutas'!BK101)),"")</f>
        <v>58.902909159817447</v>
      </c>
      <c r="M103" s="787">
        <f>IF(ISNUMBER('Base de datos Rutas'!AX101),'Base de datos Rutas'!AX101,"")</f>
        <v>426.58305817922098</v>
      </c>
      <c r="N103" s="790">
        <f>IFERROR(INDEX('Hoja de apoyo v2'!B$17:B$20,MATCH($A103,'Hoja de apoyo v2'!$A$17:$A$20,0)),"")</f>
        <v>63.050408855205418</v>
      </c>
      <c r="O103" s="791">
        <f>IFERROR(INDEX('Hoja de apoyo v2'!C$17:C$20,MATCH($A103,'Hoja de apoyo v2'!$A$17:$A$20,0)),"")</f>
        <v>0.7559478312655763</v>
      </c>
      <c r="P103" s="793">
        <f>IFERROR(INDEX('Hoja de apoyo v2'!D$17:D$20,MATCH($A103,'Hoja de apoyo v2'!$A$17:$A$20,0)),"")</f>
        <v>9054.9839880720647</v>
      </c>
      <c r="Q103" s="793">
        <f>IFERROR(INDEX('Hoja de apoyo v2'!E$17:E$20,MATCH($A103,'Hoja de apoyo v2'!$A$17:$A$20,0)),"")</f>
        <v>4535.7799207004691</v>
      </c>
      <c r="R103" s="793">
        <f>IFERROR(INDEX('Hoja de apoyo v2'!F$17:F$20,MATCH($A103,'Hoja de apoyo v2'!$A$17:$A$20,0)),"")</f>
        <v>260.44838236060593</v>
      </c>
      <c r="S103" s="793">
        <f>IFERROR(INDEX('Hoja de apoyo v2'!G$17:G$20,MATCH($A103,'Hoja de apoyo v2'!$A$17:$A$20,0)),"")</f>
        <v>64.772152317133859</v>
      </c>
      <c r="T103" s="792">
        <f>IFERROR(INDEX('Hoja de apoyo v2'!H$17:H$20,MATCH($A103,'Hoja de apoyo v2'!$A$17:$A$20,0)),"")</f>
        <v>389.240053528842</v>
      </c>
      <c r="U103" s="794">
        <f t="shared" si="39"/>
        <v>0.6638410598270249</v>
      </c>
      <c r="V103" s="795">
        <f t="shared" si="40"/>
        <v>0.90860706053631035</v>
      </c>
      <c r="W103" s="795">
        <f t="shared" si="41"/>
        <v>0.80827658187915041</v>
      </c>
      <c r="X103" s="843">
        <f t="shared" si="42"/>
        <v>1.0685203303718211</v>
      </c>
      <c r="Y103" s="843">
        <f t="shared" si="43"/>
        <v>1.3104001806906924</v>
      </c>
      <c r="Z103" s="843">
        <f t="shared" si="44"/>
        <v>0.90938631885227861</v>
      </c>
      <c r="AA103" s="843">
        <f t="shared" si="45"/>
        <v>1.0959382373726139</v>
      </c>
      <c r="AB103" s="796">
        <f t="shared" si="46"/>
        <v>2</v>
      </c>
      <c r="AC103" s="797">
        <f t="shared" si="47"/>
        <v>3</v>
      </c>
      <c r="AD103" s="797">
        <f t="shared" si="48"/>
        <v>3</v>
      </c>
      <c r="AE103" s="842">
        <f t="shared" si="49"/>
        <v>4</v>
      </c>
      <c r="AF103" s="842">
        <f t="shared" si="50"/>
        <v>5</v>
      </c>
      <c r="AG103" s="842">
        <f t="shared" si="51"/>
        <v>3</v>
      </c>
      <c r="AH103" s="842">
        <f t="shared" si="52"/>
        <v>4</v>
      </c>
      <c r="AI103" s="826" cm="1">
        <f t="array" ref="AI103">SUMPRODUCT(--ISNUMBER($U103:$AA103),$AB$3:$AH$3)</f>
        <v>1</v>
      </c>
      <c r="AJ103" s="829">
        <f t="shared" si="53"/>
        <v>56.972628332488107</v>
      </c>
      <c r="AK103" s="827" t="str">
        <f t="shared" si="54"/>
        <v>En desarrollo</v>
      </c>
      <c r="AL103" s="784" t="str">
        <f t="shared" si="55"/>
        <v>Alta</v>
      </c>
      <c r="AM103" s="799">
        <f>IF(ISNUMBER('Base de datos Rutas'!W101),'Base de datos Rutas'!W101,"")</f>
        <v>3111.2206603186733</v>
      </c>
      <c r="AN103" s="787">
        <f>IFERROR(SUMIFS('Base de datos Rutas'!$W$6:$W$794,'Base de datos Rutas'!$C$6:$C$794,$C103)/'Base de datos Rutas'!I101,"")</f>
        <v>3111.2206603186728</v>
      </c>
      <c r="AO103" s="800">
        <f>IFERROR('Base de datos Rutas'!X101*AN103/AM103,"")</f>
        <v>0.50714566449266507</v>
      </c>
      <c r="AP103" s="800">
        <f t="shared" si="56"/>
        <v>0.49285433550733493</v>
      </c>
      <c r="AQ103" s="789">
        <f>IFERROR(INDEX('Hoja de apoyo v2'!$J$17:$J$20,MATCH($A103,'Hoja de apoyo v2'!$A$17:$A$20,0)),"")</f>
        <v>0.56799995069377007</v>
      </c>
      <c r="AR103" s="789">
        <f t="shared" si="57"/>
        <v>-7.5145615186435144E-2</v>
      </c>
      <c r="AS103" s="784" t="str">
        <f t="shared" si="58"/>
        <v>No</v>
      </c>
      <c r="AT103" s="801" t="str">
        <f>IF(ISNUMBER('Base de datos Rutas'!CK101),'Base de datos Rutas'!CK101,"")</f>
        <v/>
      </c>
      <c r="AU103" s="802" t="str">
        <f>IF(ISNUMBER('Base de datos Rutas'!CL101),'Base de datos Rutas'!CL101,"")</f>
        <v/>
      </c>
      <c r="AV103" s="802">
        <f>IF(ISNUMBER('Base de datos Rutas'!CM101),'Base de datos Rutas'!CM101,"")</f>
        <v>0</v>
      </c>
      <c r="AW103" s="802" t="str">
        <f>IF(ISNUMBER('Base de datos Rutas'!CN101),'Base de datos Rutas'!CN101,"")</f>
        <v/>
      </c>
      <c r="AX103" s="802" t="str">
        <f>IF(ISNUMBER('Base de datos Rutas'!CO101),'Base de datos Rutas'!CO101,"")</f>
        <v/>
      </c>
      <c r="AY103" s="802">
        <f>IF(ISNUMBER('Base de datos Rutas'!CP101),'Base de datos Rutas'!CP101,"")</f>
        <v>0</v>
      </c>
      <c r="AZ103" s="802" t="str">
        <f>IF(ISNUMBER('Base de datos Rutas'!CQ101),'Base de datos Rutas'!CQ101,"")</f>
        <v/>
      </c>
      <c r="BA103" s="802" t="str">
        <f>IF(ISNUMBER('Base de datos Rutas'!CR101),'Base de datos Rutas'!CR101,"")</f>
        <v/>
      </c>
      <c r="BB103" s="803">
        <f>IF(ISNUMBER('Base de datos Rutas'!CS101),'Base de datos Rutas'!CS101,"")</f>
        <v>0</v>
      </c>
      <c r="BC103" s="804" t="str">
        <f t="shared" si="69"/>
        <v/>
      </c>
      <c r="BD103" s="805" t="str">
        <f t="shared" si="70"/>
        <v>N/D</v>
      </c>
      <c r="BE103" s="806" t="str">
        <f t="shared" si="71"/>
        <v/>
      </c>
      <c r="BF103" s="890">
        <f>IF(ISNUMBER('Base de datos Rutas'!CX101),'Base de datos Rutas'!CX101/100,"")</f>
        <v>0</v>
      </c>
      <c r="BG103" s="891">
        <f>IF(ISNUMBER('Base de datos Rutas'!CZ101),'Base de datos Rutas'!CZ101/100,"")</f>
        <v>0</v>
      </c>
      <c r="BH103" s="892">
        <f>IF(ISNUMBER('Base de datos Rutas'!DA101),'Base de datos Rutas'!DA101,"")</f>
        <v>0</v>
      </c>
      <c r="BI103" s="893">
        <f>IF(ISNUMBER('Base de datos Rutas'!DC101),'Base de datos Rutas'!DC101,"")</f>
        <v>0</v>
      </c>
      <c r="BJ103" s="805" t="str">
        <f t="shared" si="72"/>
        <v>Ruta (completo)</v>
      </c>
      <c r="BK103" s="783">
        <f t="shared" si="59"/>
        <v>1</v>
      </c>
      <c r="BL103" s="797">
        <f t="shared" si="60"/>
        <v>1</v>
      </c>
      <c r="BM103" s="797">
        <f t="shared" si="61"/>
        <v>1</v>
      </c>
      <c r="BN103" s="797">
        <f t="shared" si="62"/>
        <v>1</v>
      </c>
      <c r="BO103" s="798" cm="1">
        <f t="array" ref="BO103">SUMPRODUCT(--ISNUMBER($BF103:$BI103),$BK$3:$BN$3)</f>
        <v>1</v>
      </c>
      <c r="BP103" s="831">
        <f t="shared" si="73"/>
        <v>0</v>
      </c>
      <c r="BQ103" s="834" t="str">
        <f t="shared" si="74"/>
        <v>Bajo</v>
      </c>
      <c r="BR103" s="836" t="str">
        <f t="shared" si="64"/>
        <v/>
      </c>
      <c r="BS103" s="836">
        <f t="shared" si="65"/>
        <v>0</v>
      </c>
      <c r="BT103" s="837" t="str">
        <f t="shared" si="66"/>
        <v>Sin datos</v>
      </c>
      <c r="BU103" s="807" t="str">
        <f t="shared" si="75"/>
        <v>Con espacio</v>
      </c>
      <c r="BV103" s="807" t="str">
        <f t="shared" si="67"/>
        <v>Zona de bajo potencial</v>
      </c>
      <c r="BW103" s="808" t="str">
        <f t="shared" si="68"/>
        <v>Sin datos</v>
      </c>
    </row>
    <row r="104" spans="1:75">
      <c r="A104" s="780" t="str">
        <f>'Base de datos Rutas'!A102</f>
        <v>Noreste</v>
      </c>
      <c r="B104" s="781" t="str">
        <f>'Base de datos Rutas'!B102</f>
        <v>Monterrey</v>
      </c>
      <c r="C104" s="781" t="str">
        <f>'Base de datos Rutas'!C102</f>
        <v>Sucursal Universidad</v>
      </c>
      <c r="D104" s="782">
        <f>IF(ISNUMBER('Base de datos Rutas'!D102),'Base de datos Rutas'!D102,"Sin código")</f>
        <v>703309</v>
      </c>
      <c r="E104" s="783" t="str">
        <f>'Base de datos Rutas'!F102</f>
        <v>Activa</v>
      </c>
      <c r="F104" s="784" t="str">
        <f>'Base de datos Rutas'!H102</f>
        <v>Sí</v>
      </c>
      <c r="G104" s="785">
        <f>IF(ISNUMBER('Base de datos Rutas'!BE102),'Base de datos Rutas'!BE102,"")</f>
        <v>32.204678362573098</v>
      </c>
      <c r="H104" s="786">
        <f>IF(ISNUMBER('Base de datos Rutas'!BH102),'Base de datos Rutas'!BH102,"")</f>
        <v>0.71036862175413096</v>
      </c>
      <c r="I104" s="788">
        <f>IFERROR(IF(OR(NOT(ISNUMBER('Base de datos Rutas'!O102)),N('Base de datos Rutas'!BK102)=0),"",'Base de datos Rutas'!O102/('Base de datos Rutas'!L102/'Base de datos Rutas'!BK102)),"")</f>
        <v>2179.6880733944972</v>
      </c>
      <c r="J104" s="788">
        <f>IFERROR(IF(OR(NOT(ISNUMBER('Base de datos Rutas'!N102)),N('Base de datos Rutas'!BK102)=0),"",'Base de datos Rutas'!N102/('Base de datos Rutas'!L102/'Base de datos Rutas'!BK102)),"")</f>
        <v>3705.206422018352</v>
      </c>
      <c r="K104" s="788">
        <f>IFERROR(IF(OR(NOT(ISNUMBER('Base de datos Rutas'!J102)),N('Base de datos Rutas'!BK102)=0),"",'Base de datos Rutas'!J102/('Base de datos Rutas'!L102/'Base de datos Rutas'!BK102)),"")</f>
        <v>260.25365504587177</v>
      </c>
      <c r="L104" s="788">
        <f>IFERROR(IF(OR(NOT(ISNUMBER('Base de datos Rutas'!K102)),N('Base de datos Rutas'!BK102)=0),"",'Base de datos Rutas'!K102/('Base de datos Rutas'!L102/'Base de datos Rutas'!BK102)),"")</f>
        <v>20.090969711009194</v>
      </c>
      <c r="M104" s="787">
        <f>IF(ISNUMBER('Base de datos Rutas'!AX102),'Base de datos Rutas'!AX102,"")</f>
        <v>312.95711687397301</v>
      </c>
      <c r="N104" s="790">
        <f>IFERROR(INDEX('Hoja de apoyo v2'!B$17:B$20,MATCH($A104,'Hoja de apoyo v2'!$A$17:$A$20,0)),"")</f>
        <v>63.050408855205418</v>
      </c>
      <c r="O104" s="791">
        <f>IFERROR(INDEX('Hoja de apoyo v2'!C$17:C$20,MATCH($A104,'Hoja de apoyo v2'!$A$17:$A$20,0)),"")</f>
        <v>0.7559478312655763</v>
      </c>
      <c r="P104" s="793">
        <f>IFERROR(INDEX('Hoja de apoyo v2'!D$17:D$20,MATCH($A104,'Hoja de apoyo v2'!$A$17:$A$20,0)),"")</f>
        <v>9054.9839880720647</v>
      </c>
      <c r="Q104" s="793">
        <f>IFERROR(INDEX('Hoja de apoyo v2'!E$17:E$20,MATCH($A104,'Hoja de apoyo v2'!$A$17:$A$20,0)),"")</f>
        <v>4535.7799207004691</v>
      </c>
      <c r="R104" s="793">
        <f>IFERROR(INDEX('Hoja de apoyo v2'!F$17:F$20,MATCH($A104,'Hoja de apoyo v2'!$A$17:$A$20,0)),"")</f>
        <v>260.44838236060593</v>
      </c>
      <c r="S104" s="793">
        <f>IFERROR(INDEX('Hoja de apoyo v2'!G$17:G$20,MATCH($A104,'Hoja de apoyo v2'!$A$17:$A$20,0)),"")</f>
        <v>64.772152317133859</v>
      </c>
      <c r="T104" s="792">
        <f>IFERROR(INDEX('Hoja de apoyo v2'!H$17:H$20,MATCH($A104,'Hoja de apoyo v2'!$A$17:$A$20,0)),"")</f>
        <v>389.240053528842</v>
      </c>
      <c r="U104" s="794">
        <f t="shared" si="39"/>
        <v>0.51077667769816992</v>
      </c>
      <c r="V104" s="795">
        <f t="shared" si="40"/>
        <v>0.93970587965688246</v>
      </c>
      <c r="W104" s="795">
        <f t="shared" si="41"/>
        <v>0.24071694397977439</v>
      </c>
      <c r="X104" s="843">
        <f t="shared" si="42"/>
        <v>0.81688408317794881</v>
      </c>
      <c r="Y104" s="843">
        <f t="shared" si="43"/>
        <v>0.99925233816785797</v>
      </c>
      <c r="Z104" s="843">
        <f t="shared" si="44"/>
        <v>0.31017912779308138</v>
      </c>
      <c r="AA104" s="843">
        <f t="shared" si="45"/>
        <v>0.80402084532850737</v>
      </c>
      <c r="AB104" s="796">
        <f t="shared" si="46"/>
        <v>2</v>
      </c>
      <c r="AC104" s="797">
        <f t="shared" si="47"/>
        <v>3</v>
      </c>
      <c r="AD104" s="797">
        <f t="shared" si="48"/>
        <v>1</v>
      </c>
      <c r="AE104" s="842">
        <f t="shared" si="49"/>
        <v>3</v>
      </c>
      <c r="AF104" s="842">
        <f t="shared" si="50"/>
        <v>3</v>
      </c>
      <c r="AG104" s="842">
        <f t="shared" si="51"/>
        <v>1</v>
      </c>
      <c r="AH104" s="842">
        <f t="shared" si="52"/>
        <v>3</v>
      </c>
      <c r="AI104" s="826" cm="1">
        <f t="array" ref="AI104">SUMPRODUCT(--ISNUMBER($U104:$AA104),$AB$3:$AH$3)</f>
        <v>1</v>
      </c>
      <c r="AJ104" s="829">
        <f t="shared" si="53"/>
        <v>26.459887347087808</v>
      </c>
      <c r="AK104" s="827" t="str">
        <f t="shared" si="54"/>
        <v>Inmadura</v>
      </c>
      <c r="AL104" s="784" t="str">
        <f t="shared" si="55"/>
        <v>Alta</v>
      </c>
      <c r="AM104" s="799">
        <f>IF(ISNUMBER('Base de datos Rutas'!W102),'Base de datos Rutas'!W102,"")</f>
        <v>3111.2206603186733</v>
      </c>
      <c r="AN104" s="787">
        <f>IFERROR(SUMIFS('Base de datos Rutas'!$W$6:$W$794,'Base de datos Rutas'!$C$6:$C$794,$C104)/'Base de datos Rutas'!I102,"")</f>
        <v>3111.2206603186728</v>
      </c>
      <c r="AO104" s="800">
        <f>IFERROR('Base de datos Rutas'!X102*AN104/AM104,"")</f>
        <v>0.50714566449266507</v>
      </c>
      <c r="AP104" s="800">
        <f t="shared" si="56"/>
        <v>0.49285433550733493</v>
      </c>
      <c r="AQ104" s="789">
        <f>IFERROR(INDEX('Hoja de apoyo v2'!$J$17:$J$20,MATCH($A104,'Hoja de apoyo v2'!$A$17:$A$20,0)),"")</f>
        <v>0.56799995069377007</v>
      </c>
      <c r="AR104" s="789">
        <f t="shared" si="57"/>
        <v>-7.5145615186435144E-2</v>
      </c>
      <c r="AS104" s="784" t="str">
        <f t="shared" si="58"/>
        <v>No</v>
      </c>
      <c r="AT104" s="801" t="str">
        <f>IF(ISNUMBER('Base de datos Rutas'!CK102),'Base de datos Rutas'!CK102,"")</f>
        <v/>
      </c>
      <c r="AU104" s="802" t="str">
        <f>IF(ISNUMBER('Base de datos Rutas'!CL102),'Base de datos Rutas'!CL102,"")</f>
        <v/>
      </c>
      <c r="AV104" s="802">
        <f>IF(ISNUMBER('Base de datos Rutas'!CM102),'Base de datos Rutas'!CM102,"")</f>
        <v>0</v>
      </c>
      <c r="AW104" s="802" t="str">
        <f>IF(ISNUMBER('Base de datos Rutas'!CN102),'Base de datos Rutas'!CN102,"")</f>
        <v/>
      </c>
      <c r="AX104" s="802" t="str">
        <f>IF(ISNUMBER('Base de datos Rutas'!CO102),'Base de datos Rutas'!CO102,"")</f>
        <v/>
      </c>
      <c r="AY104" s="802">
        <f>IF(ISNUMBER('Base de datos Rutas'!CP102),'Base de datos Rutas'!CP102,"")</f>
        <v>0</v>
      </c>
      <c r="AZ104" s="802" t="str">
        <f>IF(ISNUMBER('Base de datos Rutas'!CQ102),'Base de datos Rutas'!CQ102,"")</f>
        <v/>
      </c>
      <c r="BA104" s="802" t="str">
        <f>IF(ISNUMBER('Base de datos Rutas'!CR102),'Base de datos Rutas'!CR102,"")</f>
        <v/>
      </c>
      <c r="BB104" s="803">
        <f>IF(ISNUMBER('Base de datos Rutas'!CS102),'Base de datos Rutas'!CS102,"")</f>
        <v>0</v>
      </c>
      <c r="BC104" s="804" t="str">
        <f t="shared" si="69"/>
        <v/>
      </c>
      <c r="BD104" s="805" t="str">
        <f t="shared" si="70"/>
        <v>N/D</v>
      </c>
      <c r="BE104" s="806" t="str">
        <f t="shared" si="71"/>
        <v/>
      </c>
      <c r="BF104" s="890" t="str">
        <f>IF(ISNUMBER('Base de datos Rutas'!CX102),'Base de datos Rutas'!CX102/100,"")</f>
        <v/>
      </c>
      <c r="BG104" s="891" t="str">
        <f>IF(ISNUMBER('Base de datos Rutas'!CZ102),'Base de datos Rutas'!CZ102/100,"")</f>
        <v/>
      </c>
      <c r="BH104" s="892" t="str">
        <f>IF(ISNUMBER('Base de datos Rutas'!DA102),'Base de datos Rutas'!DA102,"")</f>
        <v/>
      </c>
      <c r="BI104" s="893" t="str">
        <f>IF(ISNUMBER('Base de datos Rutas'!DC102),'Base de datos Rutas'!DC102,"")</f>
        <v/>
      </c>
      <c r="BJ104" s="805" t="str">
        <f t="shared" si="72"/>
        <v>Sin dato</v>
      </c>
      <c r="BK104" s="783">
        <f t="shared" si="59"/>
        <v>0</v>
      </c>
      <c r="BL104" s="797">
        <f t="shared" si="60"/>
        <v>0</v>
      </c>
      <c r="BM104" s="797">
        <f t="shared" si="61"/>
        <v>0</v>
      </c>
      <c r="BN104" s="797">
        <f t="shared" si="62"/>
        <v>0</v>
      </c>
      <c r="BO104" s="798" cm="1">
        <f t="array" ref="BO104">SUMPRODUCT(--ISNUMBER($BF104:$BI104),$BK$3:$BN$3)</f>
        <v>0</v>
      </c>
      <c r="BP104" s="831" t="str">
        <f t="shared" si="73"/>
        <v/>
      </c>
      <c r="BQ104" s="834" t="str">
        <f t="shared" si="74"/>
        <v>Sin datos</v>
      </c>
      <c r="BR104" s="836" t="str">
        <f t="shared" si="64"/>
        <v/>
      </c>
      <c r="BS104" s="836" t="str">
        <f t="shared" si="65"/>
        <v/>
      </c>
      <c r="BT104" s="837" t="str">
        <f t="shared" si="66"/>
        <v>Sin datos</v>
      </c>
      <c r="BU104" s="807" t="str">
        <f t="shared" si="75"/>
        <v>Con espacio</v>
      </c>
      <c r="BV104" s="807" t="str">
        <f t="shared" si="67"/>
        <v>Sin datos de zona</v>
      </c>
      <c r="BW104" s="808" t="str">
        <f t="shared" si="68"/>
        <v>Sin datos</v>
      </c>
    </row>
    <row r="105" spans="1:75">
      <c r="A105" s="780" t="str">
        <f>'Base de datos Rutas'!A103</f>
        <v>Noreste</v>
      </c>
      <c r="B105" s="781" t="str">
        <f>'Base de datos Rutas'!B103</f>
        <v>Monterrey</v>
      </c>
      <c r="C105" s="781" t="str">
        <f>'Base de datos Rutas'!C103</f>
        <v>Suc Montemorelos</v>
      </c>
      <c r="D105" s="782">
        <f>IF(ISNUMBER('Base de datos Rutas'!D103),'Base de datos Rutas'!D103,"Sin código")</f>
        <v>706300</v>
      </c>
      <c r="E105" s="783" t="str">
        <f>'Base de datos Rutas'!F103</f>
        <v>Activa</v>
      </c>
      <c r="F105" s="784" t="str">
        <f>'Base de datos Rutas'!H103</f>
        <v>Sí</v>
      </c>
      <c r="G105" s="785">
        <f>IF(ISNUMBER('Base de datos Rutas'!BE103),'Base de datos Rutas'!BE103,"")</f>
        <v>24.7222222222222</v>
      </c>
      <c r="H105" s="786">
        <f>IF(ISNUMBER('Base de datos Rutas'!BH103),'Base de datos Rutas'!BH103,"")</f>
        <v>0.30327715355805301</v>
      </c>
      <c r="I105" s="788">
        <f>IFERROR(IF(OR(NOT(ISNUMBER('Base de datos Rutas'!O103)),N('Base de datos Rutas'!BK103)=0),"",'Base de datos Rutas'!O103/('Base de datos Rutas'!L103/'Base de datos Rutas'!BK103)),"")</f>
        <v>4530.4004629629626</v>
      </c>
      <c r="J105" s="788">
        <f>IFERROR(IF(OR(NOT(ISNUMBER('Base de datos Rutas'!N103)),N('Base de datos Rutas'!BK103)=0),"",'Base de datos Rutas'!N103/('Base de datos Rutas'!L103/'Base de datos Rutas'!BK103)),"")</f>
        <v>239.41203703703701</v>
      </c>
      <c r="K105" s="788">
        <f>IFERROR(IF(OR(NOT(ISNUMBER('Base de datos Rutas'!J103)),N('Base de datos Rutas'!BK103)=0),"",'Base de datos Rutas'!J103/('Base de datos Rutas'!L103/'Base de datos Rutas'!BK103)),"")</f>
        <v>15.361577777777777</v>
      </c>
      <c r="L105" s="788">
        <f>IFERROR(IF(OR(NOT(ISNUMBER('Base de datos Rutas'!K103)),N('Base de datos Rutas'!BK103)=0),"",'Base de datos Rutas'!K103/('Base de datos Rutas'!L103/'Base de datos Rutas'!BK103)),"")</f>
        <v>35.249003474537034</v>
      </c>
      <c r="M105" s="787">
        <f>IF(ISNUMBER('Base de datos Rutas'!AX103),'Base de datos Rutas'!AX103,"")</f>
        <v>636.17148811361506</v>
      </c>
      <c r="N105" s="790">
        <f>IFERROR(INDEX('Hoja de apoyo v2'!B$17:B$20,MATCH($A105,'Hoja de apoyo v2'!$A$17:$A$20,0)),"")</f>
        <v>63.050408855205418</v>
      </c>
      <c r="O105" s="791">
        <f>IFERROR(INDEX('Hoja de apoyo v2'!C$17:C$20,MATCH($A105,'Hoja de apoyo v2'!$A$17:$A$20,0)),"")</f>
        <v>0.7559478312655763</v>
      </c>
      <c r="P105" s="793">
        <f>IFERROR(INDEX('Hoja de apoyo v2'!D$17:D$20,MATCH($A105,'Hoja de apoyo v2'!$A$17:$A$20,0)),"")</f>
        <v>9054.9839880720647</v>
      </c>
      <c r="Q105" s="793">
        <f>IFERROR(INDEX('Hoja de apoyo v2'!E$17:E$20,MATCH($A105,'Hoja de apoyo v2'!$A$17:$A$20,0)),"")</f>
        <v>4535.7799207004691</v>
      </c>
      <c r="R105" s="793">
        <f>IFERROR(INDEX('Hoja de apoyo v2'!F$17:F$20,MATCH($A105,'Hoja de apoyo v2'!$A$17:$A$20,0)),"")</f>
        <v>260.44838236060593</v>
      </c>
      <c r="S105" s="793">
        <f>IFERROR(INDEX('Hoja de apoyo v2'!G$17:G$20,MATCH($A105,'Hoja de apoyo v2'!$A$17:$A$20,0)),"")</f>
        <v>64.772152317133859</v>
      </c>
      <c r="T105" s="792">
        <f>IFERROR(INDEX('Hoja de apoyo v2'!H$17:H$20,MATCH($A105,'Hoja de apoyo v2'!$A$17:$A$20,0)),"")</f>
        <v>389.240053528842</v>
      </c>
      <c r="U105" s="794">
        <f t="shared" si="39"/>
        <v>0.39210248864518099</v>
      </c>
      <c r="V105" s="795">
        <f t="shared" si="40"/>
        <v>0.4011879405094913</v>
      </c>
      <c r="W105" s="795">
        <f t="shared" si="41"/>
        <v>0.50032120089121768</v>
      </c>
      <c r="X105" s="843">
        <f t="shared" si="42"/>
        <v>5.2782992389997653E-2</v>
      </c>
      <c r="Y105" s="843">
        <f t="shared" si="43"/>
        <v>5.8981275439479515E-2</v>
      </c>
      <c r="Z105" s="843">
        <f t="shared" si="44"/>
        <v>0.5441999719563555</v>
      </c>
      <c r="AA105" s="843">
        <f t="shared" si="45"/>
        <v>1.6343936918775392</v>
      </c>
      <c r="AB105" s="796">
        <f t="shared" si="46"/>
        <v>1</v>
      </c>
      <c r="AC105" s="797">
        <f t="shared" si="47"/>
        <v>1</v>
      </c>
      <c r="AD105" s="797">
        <f t="shared" si="48"/>
        <v>2</v>
      </c>
      <c r="AE105" s="842">
        <f t="shared" si="49"/>
        <v>1</v>
      </c>
      <c r="AF105" s="842">
        <f t="shared" si="50"/>
        <v>1</v>
      </c>
      <c r="AG105" s="842">
        <f t="shared" si="51"/>
        <v>2</v>
      </c>
      <c r="AH105" s="842">
        <f t="shared" si="52"/>
        <v>5</v>
      </c>
      <c r="AI105" s="826" cm="1">
        <f t="array" ref="AI105">SUMPRODUCT(--ISNUMBER($U105:$AA105),$AB$3:$AH$3)</f>
        <v>1</v>
      </c>
      <c r="AJ105" s="829">
        <f t="shared" si="53"/>
        <v>18.482149598693979</v>
      </c>
      <c r="AK105" s="827" t="str">
        <f t="shared" si="54"/>
        <v>Inmadura</v>
      </c>
      <c r="AL105" s="784" t="str">
        <f t="shared" si="55"/>
        <v>Alta</v>
      </c>
      <c r="AM105" s="799">
        <f>IF(ISNUMBER('Base de datos Rutas'!W103),'Base de datos Rutas'!W103,"")</f>
        <v>1585.5427901842493</v>
      </c>
      <c r="AN105" s="787">
        <f>IFERROR(SUMIFS('Base de datos Rutas'!$W$6:$W$794,'Base de datos Rutas'!$C$6:$C$794,$C105)/'Base de datos Rutas'!I103,"")</f>
        <v>1585.5427901842493</v>
      </c>
      <c r="AO105" s="800">
        <f>IFERROR('Base de datos Rutas'!X103*AN105/AM105,"")</f>
        <v>0.77873137141098869</v>
      </c>
      <c r="AP105" s="800">
        <f t="shared" si="56"/>
        <v>0.22126862858901131</v>
      </c>
      <c r="AQ105" s="789">
        <f>IFERROR(INDEX('Hoja de apoyo v2'!$J$17:$J$20,MATCH($A105,'Hoja de apoyo v2'!$A$17:$A$20,0)),"")</f>
        <v>0.56799995069377007</v>
      </c>
      <c r="AR105" s="789">
        <f t="shared" si="57"/>
        <v>-0.34673132210475877</v>
      </c>
      <c r="AS105" s="784" t="str">
        <f t="shared" si="58"/>
        <v>Sí</v>
      </c>
      <c r="AT105" s="801" t="str">
        <f>IF(ISNUMBER('Base de datos Rutas'!CK103),'Base de datos Rutas'!CK103,"")</f>
        <v/>
      </c>
      <c r="AU105" s="802" t="str">
        <f>IF(ISNUMBER('Base de datos Rutas'!CL103),'Base de datos Rutas'!CL103,"")</f>
        <v/>
      </c>
      <c r="AV105" s="802">
        <f>IF(ISNUMBER('Base de datos Rutas'!CM103),'Base de datos Rutas'!CM103,"")</f>
        <v>0</v>
      </c>
      <c r="AW105" s="802" t="str">
        <f>IF(ISNUMBER('Base de datos Rutas'!CN103),'Base de datos Rutas'!CN103,"")</f>
        <v/>
      </c>
      <c r="AX105" s="802" t="str">
        <f>IF(ISNUMBER('Base de datos Rutas'!CO103),'Base de datos Rutas'!CO103,"")</f>
        <v/>
      </c>
      <c r="AY105" s="802">
        <f>IF(ISNUMBER('Base de datos Rutas'!CP103),'Base de datos Rutas'!CP103,"")</f>
        <v>0</v>
      </c>
      <c r="AZ105" s="802" t="str">
        <f>IF(ISNUMBER('Base de datos Rutas'!CQ103),'Base de datos Rutas'!CQ103,"")</f>
        <v/>
      </c>
      <c r="BA105" s="802" t="str">
        <f>IF(ISNUMBER('Base de datos Rutas'!CR103),'Base de datos Rutas'!CR103,"")</f>
        <v/>
      </c>
      <c r="BB105" s="803">
        <f>IF(ISNUMBER('Base de datos Rutas'!CS103),'Base de datos Rutas'!CS103,"")</f>
        <v>0</v>
      </c>
      <c r="BC105" s="804" t="str">
        <f t="shared" si="69"/>
        <v/>
      </c>
      <c r="BD105" s="805" t="str">
        <f t="shared" si="70"/>
        <v>N/D</v>
      </c>
      <c r="BE105" s="806" t="str">
        <f t="shared" si="71"/>
        <v/>
      </c>
      <c r="BF105" s="890" t="str">
        <f>IF(ISNUMBER('Base de datos Rutas'!CX103),'Base de datos Rutas'!CX103/100,"")</f>
        <v/>
      </c>
      <c r="BG105" s="891" t="str">
        <f>IF(ISNUMBER('Base de datos Rutas'!CZ103),'Base de datos Rutas'!CZ103/100,"")</f>
        <v/>
      </c>
      <c r="BH105" s="892" t="str">
        <f>IF(ISNUMBER('Base de datos Rutas'!DA103),'Base de datos Rutas'!DA103,"")</f>
        <v/>
      </c>
      <c r="BI105" s="893" t="str">
        <f>IF(ISNUMBER('Base de datos Rutas'!DC103),'Base de datos Rutas'!DC103,"")</f>
        <v/>
      </c>
      <c r="BJ105" s="805" t="str">
        <f t="shared" si="72"/>
        <v>Sin dato</v>
      </c>
      <c r="BK105" s="783">
        <f t="shared" si="59"/>
        <v>0</v>
      </c>
      <c r="BL105" s="797">
        <f t="shared" si="60"/>
        <v>0</v>
      </c>
      <c r="BM105" s="797">
        <f t="shared" si="61"/>
        <v>0</v>
      </c>
      <c r="BN105" s="797">
        <f t="shared" si="62"/>
        <v>0</v>
      </c>
      <c r="BO105" s="798" cm="1">
        <f t="array" ref="BO105">SUMPRODUCT(--ISNUMBER($BF105:$BI105),$BK$3:$BN$3)</f>
        <v>0</v>
      </c>
      <c r="BP105" s="831" t="str">
        <f t="shared" si="73"/>
        <v/>
      </c>
      <c r="BQ105" s="834" t="str">
        <f t="shared" si="74"/>
        <v>Sin datos</v>
      </c>
      <c r="BR105" s="836" t="str">
        <f t="shared" si="64"/>
        <v/>
      </c>
      <c r="BS105" s="836" t="str">
        <f t="shared" si="65"/>
        <v/>
      </c>
      <c r="BT105" s="837" t="str">
        <f t="shared" si="66"/>
        <v>Sin datos</v>
      </c>
      <c r="BU105" s="807" t="str">
        <f t="shared" si="75"/>
        <v>Con espacio</v>
      </c>
      <c r="BV105" s="807" t="str">
        <f t="shared" si="67"/>
        <v>Sin datos de zona</v>
      </c>
      <c r="BW105" s="808" t="str">
        <f t="shared" si="68"/>
        <v>Sin datos</v>
      </c>
    </row>
    <row r="106" spans="1:75">
      <c r="A106" s="780" t="str">
        <f>'Base de datos Rutas'!A104</f>
        <v>Noreste</v>
      </c>
      <c r="B106" s="781" t="str">
        <f>'Base de datos Rutas'!B104</f>
        <v>Piedras Negras</v>
      </c>
      <c r="C106" s="781" t="str">
        <f>'Base de datos Rutas'!C104</f>
        <v>Suc. Acuña</v>
      </c>
      <c r="D106" s="782">
        <f>IF(ISNUMBER('Base de datos Rutas'!D104),'Base de datos Rutas'!D104,"Sin código")</f>
        <v>208300</v>
      </c>
      <c r="E106" s="783" t="str">
        <f>'Base de datos Rutas'!F104</f>
        <v>Activa</v>
      </c>
      <c r="F106" s="784" t="str">
        <f>'Base de datos Rutas'!H104</f>
        <v>Sí</v>
      </c>
      <c r="G106" s="785">
        <f>IF(ISNUMBER('Base de datos Rutas'!BE104),'Base de datos Rutas'!BE104,"")</f>
        <v>58.890109890109898</v>
      </c>
      <c r="H106" s="786">
        <f>IF(ISNUMBER('Base de datos Rutas'!BH104),'Base de datos Rutas'!BH104,"")</f>
        <v>0.42075013995148403</v>
      </c>
      <c r="I106" s="788">
        <f>IFERROR(IF(OR(NOT(ISNUMBER('Base de datos Rutas'!O104)),N('Base de datos Rutas'!BK104)=0),"",'Base de datos Rutas'!O104/('Base de datos Rutas'!L104/'Base de datos Rutas'!BK104)),"")</f>
        <v>5493.1890109890128</v>
      </c>
      <c r="J106" s="788">
        <f>IFERROR(IF(OR(NOT(ISNUMBER('Base de datos Rutas'!N104)),N('Base de datos Rutas'!BK104)=0),"",'Base de datos Rutas'!N104/('Base de datos Rutas'!L104/'Base de datos Rutas'!BK104)),"")</f>
        <v>6452.9120879120892</v>
      </c>
      <c r="K106" s="788">
        <f>IFERROR(IF(OR(NOT(ISNUMBER('Base de datos Rutas'!J104)),N('Base de datos Rutas'!BK104)=0),"",'Base de datos Rutas'!J104/('Base de datos Rutas'!L104/'Base de datos Rutas'!BK104)),"")</f>
        <v>419.95177714285506</v>
      </c>
      <c r="L106" s="788">
        <f>IFERROR(IF(OR(NOT(ISNUMBER('Base de datos Rutas'!K104)),N('Base de datos Rutas'!BK104)=0),"",'Base de datos Rutas'!K104/('Base de datos Rutas'!L104/'Base de datos Rutas'!BK104)),"")</f>
        <v>53.515144323076939</v>
      </c>
      <c r="M106" s="787">
        <f>IF(ISNUMBER('Base de datos Rutas'!AX104),'Base de datos Rutas'!AX104,"")</f>
        <v>482.12485985453299</v>
      </c>
      <c r="N106" s="790">
        <f>IFERROR(INDEX('Hoja de apoyo v2'!B$17:B$20,MATCH($A106,'Hoja de apoyo v2'!$A$17:$A$20,0)),"")</f>
        <v>63.050408855205418</v>
      </c>
      <c r="O106" s="791">
        <f>IFERROR(INDEX('Hoja de apoyo v2'!C$17:C$20,MATCH($A106,'Hoja de apoyo v2'!$A$17:$A$20,0)),"")</f>
        <v>0.7559478312655763</v>
      </c>
      <c r="P106" s="793">
        <f>IFERROR(INDEX('Hoja de apoyo v2'!D$17:D$20,MATCH($A106,'Hoja de apoyo v2'!$A$17:$A$20,0)),"")</f>
        <v>9054.9839880720647</v>
      </c>
      <c r="Q106" s="793">
        <f>IFERROR(INDEX('Hoja de apoyo v2'!E$17:E$20,MATCH($A106,'Hoja de apoyo v2'!$A$17:$A$20,0)),"")</f>
        <v>4535.7799207004691</v>
      </c>
      <c r="R106" s="793">
        <f>IFERROR(INDEX('Hoja de apoyo v2'!F$17:F$20,MATCH($A106,'Hoja de apoyo v2'!$A$17:$A$20,0)),"")</f>
        <v>260.44838236060593</v>
      </c>
      <c r="S106" s="793">
        <f>IFERROR(INDEX('Hoja de apoyo v2'!G$17:G$20,MATCH($A106,'Hoja de apoyo v2'!$A$17:$A$20,0)),"")</f>
        <v>64.772152317133859</v>
      </c>
      <c r="T106" s="792">
        <f>IFERROR(INDEX('Hoja de apoyo v2'!H$17:H$20,MATCH($A106,'Hoja de apoyo v2'!$A$17:$A$20,0)),"")</f>
        <v>389.240053528842</v>
      </c>
      <c r="U106" s="794">
        <f t="shared" si="39"/>
        <v>0.93401630472136032</v>
      </c>
      <c r="V106" s="795">
        <f t="shared" si="40"/>
        <v>0.55658621210286652</v>
      </c>
      <c r="W106" s="795">
        <f t="shared" si="41"/>
        <v>0.60664811977857414</v>
      </c>
      <c r="X106" s="843">
        <f t="shared" si="42"/>
        <v>1.4226686922048797</v>
      </c>
      <c r="Y106" s="843">
        <f t="shared" si="43"/>
        <v>1.6124184505834533</v>
      </c>
      <c r="Z106" s="843">
        <f t="shared" si="44"/>
        <v>0.82620605319797036</v>
      </c>
      <c r="AA106" s="843">
        <f t="shared" si="45"/>
        <v>1.2386311621417152</v>
      </c>
      <c r="AB106" s="796">
        <f t="shared" si="46"/>
        <v>3</v>
      </c>
      <c r="AC106" s="797">
        <f t="shared" si="47"/>
        <v>2</v>
      </c>
      <c r="AD106" s="797">
        <f t="shared" si="48"/>
        <v>2</v>
      </c>
      <c r="AE106" s="842">
        <f t="shared" si="49"/>
        <v>5</v>
      </c>
      <c r="AF106" s="842">
        <f t="shared" si="50"/>
        <v>5</v>
      </c>
      <c r="AG106" s="842">
        <f t="shared" si="51"/>
        <v>3</v>
      </c>
      <c r="AH106" s="842">
        <f t="shared" si="52"/>
        <v>4</v>
      </c>
      <c r="AI106" s="826" cm="1">
        <f t="array" ref="AI106">SUMPRODUCT(--ISNUMBER($U106:$AA106),$AB$3:$AH$3)</f>
        <v>1</v>
      </c>
      <c r="AJ106" s="829">
        <f t="shared" si="53"/>
        <v>57.418635101625036</v>
      </c>
      <c r="AK106" s="827" t="str">
        <f t="shared" si="54"/>
        <v>En desarrollo</v>
      </c>
      <c r="AL106" s="784" t="str">
        <f t="shared" si="55"/>
        <v>Alta</v>
      </c>
      <c r="AM106" s="799">
        <f>IF(ISNUMBER('Base de datos Rutas'!W104),'Base de datos Rutas'!W104,"")</f>
        <v>4082.7295063475231</v>
      </c>
      <c r="AN106" s="787">
        <f>IFERROR(SUMIFS('Base de datos Rutas'!$W$6:$W$794,'Base de datos Rutas'!$C$6:$C$794,$C106)/'Base de datos Rutas'!I104,"")</f>
        <v>4082.7295063475231</v>
      </c>
      <c r="AO106" s="800">
        <f>IFERROR('Base de datos Rutas'!X104*AN106/AM106,"")</f>
        <v>0.41532701274578948</v>
      </c>
      <c r="AP106" s="800">
        <f t="shared" si="56"/>
        <v>0.58467298725421046</v>
      </c>
      <c r="AQ106" s="789">
        <f>IFERROR(INDEX('Hoja de apoyo v2'!$J$17:$J$20,MATCH($A106,'Hoja de apoyo v2'!$A$17:$A$20,0)),"")</f>
        <v>0.56799995069377007</v>
      </c>
      <c r="AR106" s="789">
        <f t="shared" si="57"/>
        <v>1.6673036560440391E-2</v>
      </c>
      <c r="AS106" s="784" t="str">
        <f t="shared" si="58"/>
        <v>No</v>
      </c>
      <c r="AT106" s="801">
        <f>IF(ISNUMBER('Base de datos Rutas'!CK104),'Base de datos Rutas'!CK104,"")</f>
        <v>252</v>
      </c>
      <c r="AU106" s="802">
        <f>IF(ISNUMBER('Base de datos Rutas'!CL104),'Base de datos Rutas'!CL104,"")</f>
        <v>418.1</v>
      </c>
      <c r="AV106" s="802">
        <f>IF(ISNUMBER('Base de datos Rutas'!CM104),'Base de datos Rutas'!CM104,"")</f>
        <v>166.10000000000002</v>
      </c>
      <c r="AW106" s="802">
        <f>IF(ISNUMBER('Base de datos Rutas'!CN104),'Base de datos Rutas'!CN104,"")</f>
        <v>7.14</v>
      </c>
      <c r="AX106" s="802">
        <f>IF(ISNUMBER('Base de datos Rutas'!CO104),'Base de datos Rutas'!CO104,"")</f>
        <v>9.4499999999999993</v>
      </c>
      <c r="AY106" s="802">
        <f>IF(ISNUMBER('Base de datos Rutas'!CP104),'Base de datos Rutas'!CP104,"")</f>
        <v>2.3099999999999996</v>
      </c>
      <c r="AZ106" s="802">
        <f>IF(ISNUMBER('Base de datos Rutas'!CQ104),'Base de datos Rutas'!CQ104,"")</f>
        <v>846.56</v>
      </c>
      <c r="BA106" s="802">
        <f>IF(ISNUMBER('Base de datos Rutas'!CR104),'Base de datos Rutas'!CR104,"")</f>
        <v>473.47</v>
      </c>
      <c r="BB106" s="803">
        <f>IF(ISNUMBER('Base de datos Rutas'!CS104),'Base de datos Rutas'!CS104,"")</f>
        <v>373.08999999999992</v>
      </c>
      <c r="BC106" s="804">
        <f t="shared" si="69"/>
        <v>0</v>
      </c>
      <c r="BD106" s="805" t="str">
        <f t="shared" si="70"/>
        <v>No saturada</v>
      </c>
      <c r="BE106" s="806">
        <f t="shared" si="71"/>
        <v>0.55928699678699689</v>
      </c>
      <c r="BF106" s="890">
        <f>IF(ISNUMBER('Base de datos Rutas'!CX104),'Base de datos Rutas'!CX104/100,"")</f>
        <v>2.8177809611209349E-2</v>
      </c>
      <c r="BG106" s="891">
        <f>IF(ISNUMBER('Base de datos Rutas'!CZ104),'Base de datos Rutas'!CZ104/100,"")</f>
        <v>3.1895606240347381E-2</v>
      </c>
      <c r="BH106" s="892">
        <f>IF(ISNUMBER('Base de datos Rutas'!DA104),'Base de datos Rutas'!DA104,"")</f>
        <v>37.974367739964457</v>
      </c>
      <c r="BI106" s="893">
        <f>IF(ISNUMBER('Base de datos Rutas'!DC104),'Base de datos Rutas'!DC104,"")</f>
        <v>1.436535163715265</v>
      </c>
      <c r="BJ106" s="805" t="str">
        <f t="shared" si="72"/>
        <v>Ruta (completo)</v>
      </c>
      <c r="BK106" s="783">
        <f t="shared" si="59"/>
        <v>1</v>
      </c>
      <c r="BL106" s="797">
        <f t="shared" si="60"/>
        <v>1</v>
      </c>
      <c r="BM106" s="797">
        <f t="shared" si="61"/>
        <v>1</v>
      </c>
      <c r="BN106" s="797">
        <f t="shared" si="62"/>
        <v>1</v>
      </c>
      <c r="BO106" s="798" cm="1">
        <f t="array" ref="BO106">SUMPRODUCT(--ISNUMBER($BF106:$BI106),$BK$3:$BN$3)</f>
        <v>1</v>
      </c>
      <c r="BP106" s="831">
        <f t="shared" si="73"/>
        <v>0</v>
      </c>
      <c r="BQ106" s="834" t="str">
        <f t="shared" si="74"/>
        <v>Bajo</v>
      </c>
      <c r="BR106" s="836">
        <f t="shared" si="64"/>
        <v>43.063976326218778</v>
      </c>
      <c r="BS106" s="836">
        <f t="shared" si="65"/>
        <v>0</v>
      </c>
      <c r="BT106" s="837" t="str">
        <f t="shared" si="66"/>
        <v>P2</v>
      </c>
      <c r="BU106" s="807" t="str">
        <f t="shared" si="75"/>
        <v>Con espacio</v>
      </c>
      <c r="BV106" s="807" t="str">
        <f t="shared" si="67"/>
        <v>Zona de bajo potencial</v>
      </c>
      <c r="BW106" s="808" t="str">
        <f t="shared" si="68"/>
        <v>P2 - Mantener</v>
      </c>
    </row>
    <row r="107" spans="1:75">
      <c r="A107" s="780" t="str">
        <f>'Base de datos Rutas'!A105</f>
        <v>Noreste</v>
      </c>
      <c r="B107" s="781" t="str">
        <f>'Base de datos Rutas'!B105</f>
        <v>Piedras Negras</v>
      </c>
      <c r="C107" s="781" t="str">
        <f>'Base de datos Rutas'!C105</f>
        <v>Suc. Piedras Negras</v>
      </c>
      <c r="D107" s="782">
        <f>IF(ISNUMBER('Base de datos Rutas'!D105),'Base de datos Rutas'!D105,"Sin código")</f>
        <v>207300</v>
      </c>
      <c r="E107" s="783" t="str">
        <f>'Base de datos Rutas'!F105</f>
        <v>Activa</v>
      </c>
      <c r="F107" s="784" t="str">
        <f>'Base de datos Rutas'!H105</f>
        <v>Sí</v>
      </c>
      <c r="G107" s="785">
        <f>IF(ISNUMBER('Base de datos Rutas'!BE105),'Base de datos Rutas'!BE105,"")</f>
        <v>55.093394077448799</v>
      </c>
      <c r="H107" s="786">
        <f>IF(ISNUMBER('Base de datos Rutas'!BH105),'Base de datos Rutas'!BH105,"")</f>
        <v>0.440668155131068</v>
      </c>
      <c r="I107" s="788">
        <f>IFERROR(IF(OR(NOT(ISNUMBER('Base de datos Rutas'!O105)),N('Base de datos Rutas'!BK105)=0),"",'Base de datos Rutas'!O105/('Base de datos Rutas'!L105/'Base de datos Rutas'!BK105)),"")</f>
        <v>2479.7107061503471</v>
      </c>
      <c r="J107" s="788">
        <f>IFERROR(IF(OR(NOT(ISNUMBER('Base de datos Rutas'!N105)),N('Base de datos Rutas'!BK105)=0),"",'Base de datos Rutas'!N105/('Base de datos Rutas'!L105/'Base de datos Rutas'!BK105)),"")</f>
        <v>5641.5603644647053</v>
      </c>
      <c r="K107" s="788">
        <f>IFERROR(IF(OR(NOT(ISNUMBER('Base de datos Rutas'!J105)),N('Base de datos Rutas'!BK105)=0),"",'Base de datos Rutas'!J105/('Base de datos Rutas'!L105/'Base de datos Rutas'!BK105)),"")</f>
        <v>369.43115125284589</v>
      </c>
      <c r="L107" s="788">
        <f>IFERROR(IF(OR(NOT(ISNUMBER('Base de datos Rutas'!K105)),N('Base de datos Rutas'!BK105)=0),"",'Base de datos Rutas'!K105/('Base de datos Rutas'!L105/'Base de datos Rutas'!BK105)),"")</f>
        <v>25.957095617312131</v>
      </c>
      <c r="M107" s="787">
        <f>IF(ISNUMBER('Base de datos Rutas'!AX105),'Base de datos Rutas'!AX105,"")</f>
        <v>334.51296115593902</v>
      </c>
      <c r="N107" s="790">
        <f>IFERROR(INDEX('Hoja de apoyo v2'!B$17:B$20,MATCH($A107,'Hoja de apoyo v2'!$A$17:$A$20,0)),"")</f>
        <v>63.050408855205418</v>
      </c>
      <c r="O107" s="791">
        <f>IFERROR(INDEX('Hoja de apoyo v2'!C$17:C$20,MATCH($A107,'Hoja de apoyo v2'!$A$17:$A$20,0)),"")</f>
        <v>0.7559478312655763</v>
      </c>
      <c r="P107" s="793">
        <f>IFERROR(INDEX('Hoja de apoyo v2'!D$17:D$20,MATCH($A107,'Hoja de apoyo v2'!$A$17:$A$20,0)),"")</f>
        <v>9054.9839880720647</v>
      </c>
      <c r="Q107" s="793">
        <f>IFERROR(INDEX('Hoja de apoyo v2'!E$17:E$20,MATCH($A107,'Hoja de apoyo v2'!$A$17:$A$20,0)),"")</f>
        <v>4535.7799207004691</v>
      </c>
      <c r="R107" s="793">
        <f>IFERROR(INDEX('Hoja de apoyo v2'!F$17:F$20,MATCH($A107,'Hoja de apoyo v2'!$A$17:$A$20,0)),"")</f>
        <v>260.44838236060593</v>
      </c>
      <c r="S107" s="793">
        <f>IFERROR(INDEX('Hoja de apoyo v2'!G$17:G$20,MATCH($A107,'Hoja de apoyo v2'!$A$17:$A$20,0)),"")</f>
        <v>64.772152317133859</v>
      </c>
      <c r="T107" s="792">
        <f>IFERROR(INDEX('Hoja de apoyo v2'!H$17:H$20,MATCH($A107,'Hoja de apoyo v2'!$A$17:$A$20,0)),"")</f>
        <v>389.240053528842</v>
      </c>
      <c r="U107" s="794">
        <f t="shared" si="39"/>
        <v>0.87379915654425311</v>
      </c>
      <c r="V107" s="795">
        <f t="shared" si="40"/>
        <v>0.58293461123278811</v>
      </c>
      <c r="W107" s="795">
        <f t="shared" si="41"/>
        <v>0.27385036896993042</v>
      </c>
      <c r="X107" s="843">
        <f t="shared" si="42"/>
        <v>1.2437905857640175</v>
      </c>
      <c r="Y107" s="843">
        <f t="shared" si="43"/>
        <v>1.418442871115041</v>
      </c>
      <c r="Z107" s="843">
        <f t="shared" si="44"/>
        <v>0.40074468253304946</v>
      </c>
      <c r="AA107" s="843">
        <f t="shared" si="45"/>
        <v>0.85940015197113373</v>
      </c>
      <c r="AB107" s="796">
        <f t="shared" si="46"/>
        <v>3</v>
      </c>
      <c r="AC107" s="797">
        <f t="shared" si="47"/>
        <v>2</v>
      </c>
      <c r="AD107" s="797">
        <f t="shared" si="48"/>
        <v>1</v>
      </c>
      <c r="AE107" s="842">
        <f t="shared" si="49"/>
        <v>4</v>
      </c>
      <c r="AF107" s="842">
        <f t="shared" si="50"/>
        <v>5</v>
      </c>
      <c r="AG107" s="842">
        <f t="shared" si="51"/>
        <v>1</v>
      </c>
      <c r="AH107" s="842">
        <f t="shared" si="52"/>
        <v>3</v>
      </c>
      <c r="AI107" s="826" cm="1">
        <f t="array" ref="AI107">SUMPRODUCT(--ISNUMBER($U107:$AA107),$AB$3:$AH$3)</f>
        <v>1</v>
      </c>
      <c r="AJ107" s="829">
        <f t="shared" si="53"/>
        <v>37.872154609632361</v>
      </c>
      <c r="AK107" s="827" t="str">
        <f t="shared" si="54"/>
        <v>Inmadura</v>
      </c>
      <c r="AL107" s="784" t="str">
        <f t="shared" si="55"/>
        <v>Alta</v>
      </c>
      <c r="AM107" s="799">
        <f>IF(ISNUMBER('Base de datos Rutas'!W105),'Base de datos Rutas'!W105,"")</f>
        <v>2710.5407433212476</v>
      </c>
      <c r="AN107" s="787">
        <f>IFERROR(SUMIFS('Base de datos Rutas'!$W$6:$W$794,'Base de datos Rutas'!$C$6:$C$794,$C107)/'Base de datos Rutas'!I105,"")</f>
        <v>2710.5407433212476</v>
      </c>
      <c r="AO107" s="800">
        <f>IFERROR('Base de datos Rutas'!X105*AN107/AM107,"")</f>
        <v>0.59430982383478725</v>
      </c>
      <c r="AP107" s="800">
        <f t="shared" si="56"/>
        <v>0.40569017616521275</v>
      </c>
      <c r="AQ107" s="789">
        <f>IFERROR(INDEX('Hoja de apoyo v2'!$J$17:$J$20,MATCH($A107,'Hoja de apoyo v2'!$A$17:$A$20,0)),"")</f>
        <v>0.56799995069377007</v>
      </c>
      <c r="AR107" s="789">
        <f t="shared" si="57"/>
        <v>-0.16230977452855733</v>
      </c>
      <c r="AS107" s="784" t="str">
        <f t="shared" si="58"/>
        <v>No</v>
      </c>
      <c r="AT107" s="801">
        <f>IF(ISNUMBER('Base de datos Rutas'!CK105),'Base de datos Rutas'!CK105,"")</f>
        <v>176</v>
      </c>
      <c r="AU107" s="802">
        <f>IF(ISNUMBER('Base de datos Rutas'!CL105),'Base de datos Rutas'!CL105,"")</f>
        <v>517.97</v>
      </c>
      <c r="AV107" s="802">
        <f>IF(ISNUMBER('Base de datos Rutas'!CM105),'Base de datos Rutas'!CM105,"")</f>
        <v>341.97</v>
      </c>
      <c r="AW107" s="802">
        <f>IF(ISNUMBER('Base de datos Rutas'!CN105),'Base de datos Rutas'!CN105,"")</f>
        <v>3.39</v>
      </c>
      <c r="AX107" s="802">
        <f>IF(ISNUMBER('Base de datos Rutas'!CO105),'Base de datos Rutas'!CO105,"")</f>
        <v>9.4499999999999993</v>
      </c>
      <c r="AY107" s="802">
        <f>IF(ISNUMBER('Base de datos Rutas'!CP105),'Base de datos Rutas'!CP105,"")</f>
        <v>6.0599999999999987</v>
      </c>
      <c r="AZ107" s="802">
        <f>IF(ISNUMBER('Base de datos Rutas'!CQ105),'Base de datos Rutas'!CQ105,"")</f>
        <v>846.56</v>
      </c>
      <c r="BA107" s="802">
        <f>IF(ISNUMBER('Base de datos Rutas'!CR105),'Base de datos Rutas'!CR105,"")</f>
        <v>395.39</v>
      </c>
      <c r="BB107" s="803">
        <f>IF(ISNUMBER('Base de datos Rutas'!CS105),'Base de datos Rutas'!CS105,"")</f>
        <v>451.16999999999996</v>
      </c>
      <c r="BC107" s="804">
        <f t="shared" si="69"/>
        <v>0</v>
      </c>
      <c r="BD107" s="805" t="str">
        <f t="shared" si="70"/>
        <v>No saturada</v>
      </c>
      <c r="BE107" s="806">
        <f t="shared" si="71"/>
        <v>0.46705490455490456</v>
      </c>
      <c r="BF107" s="890">
        <f>IF(ISNUMBER('Base de datos Rutas'!CX105),'Base de datos Rutas'!CX105/100,"")</f>
        <v>0.25145726595249185</v>
      </c>
      <c r="BG107" s="891">
        <f>IF(ISNUMBER('Base de datos Rutas'!CZ105),'Base de datos Rutas'!CZ105/100,"")</f>
        <v>0.27136702375407545</v>
      </c>
      <c r="BH107" s="892">
        <f>IF(ISNUMBER('Base de datos Rutas'!DA105),'Base de datos Rutas'!DA105,"")</f>
        <v>168.05015192970419</v>
      </c>
      <c r="BI107" s="893">
        <f>IF(ISNUMBER('Base de datos Rutas'!DC105),'Base de datos Rutas'!DC105,"")</f>
        <v>7.2010318547183259</v>
      </c>
      <c r="BJ107" s="805" t="str">
        <f t="shared" si="72"/>
        <v>Ruta (completo)</v>
      </c>
      <c r="BK107" s="783">
        <f t="shared" si="59"/>
        <v>3</v>
      </c>
      <c r="BL107" s="797">
        <f t="shared" si="60"/>
        <v>3</v>
      </c>
      <c r="BM107" s="797">
        <f t="shared" si="61"/>
        <v>3</v>
      </c>
      <c r="BN107" s="797">
        <f t="shared" si="62"/>
        <v>3</v>
      </c>
      <c r="BO107" s="798" cm="1">
        <f t="array" ref="BO107">SUMPRODUCT(--ISNUMBER($BF107:$BI107),$BK$3:$BN$3)</f>
        <v>1</v>
      </c>
      <c r="BP107" s="831">
        <f t="shared" si="73"/>
        <v>50</v>
      </c>
      <c r="BQ107" s="834" t="str">
        <f t="shared" si="74"/>
        <v>Alto</v>
      </c>
      <c r="BR107" s="836">
        <f t="shared" si="64"/>
        <v>28.404115957224271</v>
      </c>
      <c r="BS107" s="836">
        <f t="shared" si="65"/>
        <v>50</v>
      </c>
      <c r="BT107" s="837" t="str">
        <f t="shared" si="66"/>
        <v>P3</v>
      </c>
      <c r="BU107" s="807" t="str">
        <f t="shared" si="75"/>
        <v>Con espacio</v>
      </c>
      <c r="BV107" s="807" t="str">
        <f t="shared" si="67"/>
        <v>Zona atractiva</v>
      </c>
      <c r="BW107" s="808" t="str">
        <f t="shared" si="68"/>
        <v>P3 - Desarrollar</v>
      </c>
    </row>
    <row r="108" spans="1:75">
      <c r="A108" s="780" t="str">
        <f>'Base de datos Rutas'!A106</f>
        <v>Noreste</v>
      </c>
      <c r="B108" s="781" t="str">
        <f>'Base de datos Rutas'!B106</f>
        <v>Piedras Negras</v>
      </c>
      <c r="C108" s="781" t="str">
        <f>'Base de datos Rutas'!C106</f>
        <v>Suc. Piedras Negras</v>
      </c>
      <c r="D108" s="782">
        <f>IF(ISNUMBER('Base de datos Rutas'!D106),'Base de datos Rutas'!D106,"Sin código")</f>
        <v>207302</v>
      </c>
      <c r="E108" s="783" t="str">
        <f>'Base de datos Rutas'!F106</f>
        <v>Activa</v>
      </c>
      <c r="F108" s="784" t="str">
        <f>'Base de datos Rutas'!H106</f>
        <v>Sí</v>
      </c>
      <c r="G108" s="785">
        <f>IF(ISNUMBER('Base de datos Rutas'!BE106),'Base de datos Rutas'!BE106,"")</f>
        <v>42.084090909090897</v>
      </c>
      <c r="H108" s="786">
        <f>IF(ISNUMBER('Base de datos Rutas'!BH106),'Base de datos Rutas'!BH106,"")</f>
        <v>0.77685370200356396</v>
      </c>
      <c r="I108" s="788">
        <f>IFERROR(IF(OR(NOT(ISNUMBER('Base de datos Rutas'!O106)),N('Base de datos Rutas'!BK106)=0),"",'Base de datos Rutas'!O106/('Base de datos Rutas'!L106/'Base de datos Rutas'!BK106)),"")</f>
        <v>3430.4545454545396</v>
      </c>
      <c r="J108" s="788">
        <f>IFERROR(IF(OR(NOT(ISNUMBER('Base de datos Rutas'!N106)),N('Base de datos Rutas'!BK106)=0),"",'Base de datos Rutas'!N106/('Base de datos Rutas'!L106/'Base de datos Rutas'!BK106)),"")</f>
        <v>4425.6136363636288</v>
      </c>
      <c r="K108" s="788">
        <f>IFERROR(IF(OR(NOT(ISNUMBER('Base de datos Rutas'!J106)),N('Base de datos Rutas'!BK106)=0),"",'Base de datos Rutas'!J106/('Base de datos Rutas'!L106/'Base de datos Rutas'!BK106)),"")</f>
        <v>287.82643499999949</v>
      </c>
      <c r="L108" s="788">
        <f>IFERROR(IF(OR(NOT(ISNUMBER('Base de datos Rutas'!K106)),N('Base de datos Rutas'!BK106)=0),"",'Base de datos Rutas'!K106/('Base de datos Rutas'!L106/'Base de datos Rutas'!BK106)),"")</f>
        <v>33.794384970454487</v>
      </c>
      <c r="M108" s="787">
        <f>IF(ISNUMBER('Base de datos Rutas'!AX106),'Base de datos Rutas'!AX106,"")</f>
        <v>240.29670976711901</v>
      </c>
      <c r="N108" s="790">
        <f>IFERROR(INDEX('Hoja de apoyo v2'!B$17:B$20,MATCH($A108,'Hoja de apoyo v2'!$A$17:$A$20,0)),"")</f>
        <v>63.050408855205418</v>
      </c>
      <c r="O108" s="791">
        <f>IFERROR(INDEX('Hoja de apoyo v2'!C$17:C$20,MATCH($A108,'Hoja de apoyo v2'!$A$17:$A$20,0)),"")</f>
        <v>0.7559478312655763</v>
      </c>
      <c r="P108" s="793">
        <f>IFERROR(INDEX('Hoja de apoyo v2'!D$17:D$20,MATCH($A108,'Hoja de apoyo v2'!$A$17:$A$20,0)),"")</f>
        <v>9054.9839880720647</v>
      </c>
      <c r="Q108" s="793">
        <f>IFERROR(INDEX('Hoja de apoyo v2'!E$17:E$20,MATCH($A108,'Hoja de apoyo v2'!$A$17:$A$20,0)),"")</f>
        <v>4535.7799207004691</v>
      </c>
      <c r="R108" s="793">
        <f>IFERROR(INDEX('Hoja de apoyo v2'!F$17:F$20,MATCH($A108,'Hoja de apoyo v2'!$A$17:$A$20,0)),"")</f>
        <v>260.44838236060593</v>
      </c>
      <c r="S108" s="793">
        <f>IFERROR(INDEX('Hoja de apoyo v2'!G$17:G$20,MATCH($A108,'Hoja de apoyo v2'!$A$17:$A$20,0)),"")</f>
        <v>64.772152317133859</v>
      </c>
      <c r="T108" s="792">
        <f>IFERROR(INDEX('Hoja de apoyo v2'!H$17:H$20,MATCH($A108,'Hoja de apoyo v2'!$A$17:$A$20,0)),"")</f>
        <v>389.240053528842</v>
      </c>
      <c r="U108" s="794">
        <f t="shared" si="39"/>
        <v>0.66746737528279243</v>
      </c>
      <c r="V108" s="795">
        <f t="shared" si="40"/>
        <v>1.027655176552313</v>
      </c>
      <c r="W108" s="795">
        <f t="shared" si="41"/>
        <v>0.37884711336578875</v>
      </c>
      <c r="X108" s="843">
        <f t="shared" si="42"/>
        <v>0.9757117218509519</v>
      </c>
      <c r="Y108" s="843">
        <f t="shared" si="43"/>
        <v>1.1051189198844287</v>
      </c>
      <c r="Z108" s="843">
        <f t="shared" si="44"/>
        <v>0.52174250447927484</v>
      </c>
      <c r="AA108" s="843">
        <f t="shared" si="45"/>
        <v>0.61734836276121685</v>
      </c>
      <c r="AB108" s="796">
        <f t="shared" si="46"/>
        <v>2</v>
      </c>
      <c r="AC108" s="797">
        <f t="shared" si="47"/>
        <v>4</v>
      </c>
      <c r="AD108" s="797">
        <f t="shared" si="48"/>
        <v>1</v>
      </c>
      <c r="AE108" s="842">
        <f t="shared" si="49"/>
        <v>3</v>
      </c>
      <c r="AF108" s="842">
        <f t="shared" si="50"/>
        <v>4</v>
      </c>
      <c r="AG108" s="842">
        <f t="shared" si="51"/>
        <v>2</v>
      </c>
      <c r="AH108" s="842">
        <f t="shared" si="52"/>
        <v>2</v>
      </c>
      <c r="AI108" s="826" cm="1">
        <f t="array" ref="AI108">SUMPRODUCT(--ISNUMBER($U108:$AA108),$AB$3:$AH$3)</f>
        <v>1</v>
      </c>
      <c r="AJ108" s="829">
        <f t="shared" si="53"/>
        <v>33.913176372751209</v>
      </c>
      <c r="AK108" s="827" t="str">
        <f t="shared" si="54"/>
        <v>Inmadura</v>
      </c>
      <c r="AL108" s="784" t="str">
        <f t="shared" si="55"/>
        <v>Alta</v>
      </c>
      <c r="AM108" s="799">
        <f>IF(ISNUMBER('Base de datos Rutas'!W106),'Base de datos Rutas'!W106,"")</f>
        <v>2710.5407433212476</v>
      </c>
      <c r="AN108" s="787">
        <f>IFERROR(SUMIFS('Base de datos Rutas'!$W$6:$W$794,'Base de datos Rutas'!$C$6:$C$794,$C108)/'Base de datos Rutas'!I106,"")</f>
        <v>2710.5407433212476</v>
      </c>
      <c r="AO108" s="800">
        <f>IFERROR('Base de datos Rutas'!X106*AN108/AM108,"")</f>
        <v>0.59430982383478725</v>
      </c>
      <c r="AP108" s="800">
        <f t="shared" si="56"/>
        <v>0.40569017616521275</v>
      </c>
      <c r="AQ108" s="789">
        <f>IFERROR(INDEX('Hoja de apoyo v2'!$J$17:$J$20,MATCH($A108,'Hoja de apoyo v2'!$A$17:$A$20,0)),"")</f>
        <v>0.56799995069377007</v>
      </c>
      <c r="AR108" s="789">
        <f t="shared" si="57"/>
        <v>-0.16230977452855733</v>
      </c>
      <c r="AS108" s="784" t="str">
        <f t="shared" si="58"/>
        <v>No</v>
      </c>
      <c r="AT108" s="801">
        <f>IF(ISNUMBER('Base de datos Rutas'!CK106),'Base de datos Rutas'!CK106,"")</f>
        <v>234</v>
      </c>
      <c r="AU108" s="802">
        <f>IF(ISNUMBER('Base de datos Rutas'!CL106),'Base de datos Rutas'!CL106,"")</f>
        <v>605.48</v>
      </c>
      <c r="AV108" s="802">
        <f>IF(ISNUMBER('Base de datos Rutas'!CM106),'Base de datos Rutas'!CM106,"")</f>
        <v>371.48</v>
      </c>
      <c r="AW108" s="802">
        <f>IF(ISNUMBER('Base de datos Rutas'!CN106),'Base de datos Rutas'!CN106,"")</f>
        <v>3.71</v>
      </c>
      <c r="AX108" s="802">
        <f>IF(ISNUMBER('Base de datos Rutas'!CO106),'Base de datos Rutas'!CO106,"")</f>
        <v>9.4499999999999993</v>
      </c>
      <c r="AY108" s="802">
        <f>IF(ISNUMBER('Base de datos Rutas'!CP106),'Base de datos Rutas'!CP106,"")</f>
        <v>5.7399999999999993</v>
      </c>
      <c r="AZ108" s="802">
        <f>IF(ISNUMBER('Base de datos Rutas'!CQ106),'Base de datos Rutas'!CQ106,"")</f>
        <v>846.56</v>
      </c>
      <c r="BA108" s="802">
        <f>IF(ISNUMBER('Base de datos Rutas'!CR106),'Base de datos Rutas'!CR106,"")</f>
        <v>321.62</v>
      </c>
      <c r="BB108" s="803">
        <f>IF(ISNUMBER('Base de datos Rutas'!CS106),'Base de datos Rutas'!CS106,"")</f>
        <v>524.93999999999994</v>
      </c>
      <c r="BC108" s="804">
        <f t="shared" si="69"/>
        <v>0</v>
      </c>
      <c r="BD108" s="805" t="str">
        <f t="shared" si="70"/>
        <v>No saturada</v>
      </c>
      <c r="BE108" s="806">
        <f t="shared" si="71"/>
        <v>0.37991400491400495</v>
      </c>
      <c r="BF108" s="890">
        <f>IF(ISNUMBER('Base de datos Rutas'!CX106),'Base de datos Rutas'!CX106/100,"")</f>
        <v>7.2158563768901743E-2</v>
      </c>
      <c r="BG108" s="891">
        <f>IF(ISNUMBER('Base de datos Rutas'!CZ106),'Base de datos Rutas'!CZ106/100,"")</f>
        <v>8.3348394481595284E-2</v>
      </c>
      <c r="BH108" s="892">
        <f>IF(ISNUMBER('Base de datos Rutas'!DA106),'Base de datos Rutas'!DA106,"")</f>
        <v>104.70374101713819</v>
      </c>
      <c r="BI108" s="893">
        <f>IF(ISNUMBER('Base de datos Rutas'!DC106),'Base de datos Rutas'!DC106,"")</f>
        <v>5.5402213558267803</v>
      </c>
      <c r="BJ108" s="805" t="str">
        <f t="shared" si="72"/>
        <v>Ruta (completo)</v>
      </c>
      <c r="BK108" s="783">
        <f t="shared" si="59"/>
        <v>1</v>
      </c>
      <c r="BL108" s="797">
        <f t="shared" si="60"/>
        <v>1</v>
      </c>
      <c r="BM108" s="797">
        <f t="shared" si="61"/>
        <v>1</v>
      </c>
      <c r="BN108" s="797">
        <f t="shared" si="62"/>
        <v>1</v>
      </c>
      <c r="BO108" s="798" cm="1">
        <f t="array" ref="BO108">SUMPRODUCT(--ISNUMBER($BF108:$BI108),$BK$3:$BN$3)</f>
        <v>1</v>
      </c>
      <c r="BP108" s="831">
        <f t="shared" si="73"/>
        <v>0</v>
      </c>
      <c r="BQ108" s="834" t="str">
        <f t="shared" si="74"/>
        <v>Bajo</v>
      </c>
      <c r="BR108" s="836">
        <f t="shared" si="64"/>
        <v>25.434882279563407</v>
      </c>
      <c r="BS108" s="836">
        <f t="shared" si="65"/>
        <v>0</v>
      </c>
      <c r="BT108" s="837" t="str">
        <f t="shared" si="66"/>
        <v>P4</v>
      </c>
      <c r="BU108" s="807" t="str">
        <f t="shared" si="75"/>
        <v>Con espacio</v>
      </c>
      <c r="BV108" s="807" t="str">
        <f t="shared" si="67"/>
        <v>Zona de bajo potencial</v>
      </c>
      <c r="BW108" s="808" t="str">
        <f t="shared" si="68"/>
        <v>P4 - Evaluar</v>
      </c>
    </row>
    <row r="109" spans="1:75">
      <c r="A109" s="780" t="str">
        <f>'Base de datos Rutas'!A107</f>
        <v>Noreste</v>
      </c>
      <c r="B109" s="781" t="str">
        <f>'Base de datos Rutas'!B107</f>
        <v>Piedras Negras</v>
      </c>
      <c r="C109" s="781" t="str">
        <f>'Base de datos Rutas'!C107</f>
        <v>Suc. Sabinas Coah.</v>
      </c>
      <c r="D109" s="782">
        <f>IF(ISNUMBER('Base de datos Rutas'!D107),'Base de datos Rutas'!D107,"Sin código")</f>
        <v>209300</v>
      </c>
      <c r="E109" s="783" t="str">
        <f>'Base de datos Rutas'!F107</f>
        <v>Activa</v>
      </c>
      <c r="F109" s="784" t="str">
        <f>'Base de datos Rutas'!H107</f>
        <v>Sí</v>
      </c>
      <c r="G109" s="785">
        <f>IF(ISNUMBER('Base de datos Rutas'!BE107),'Base de datos Rutas'!BE107,"")</f>
        <v>47.377574370709397</v>
      </c>
      <c r="H109" s="786">
        <f>IF(ISNUMBER('Base de datos Rutas'!BH107),'Base de datos Rutas'!BH107,"")</f>
        <v>0.33297913446677002</v>
      </c>
      <c r="I109" s="788">
        <f>IFERROR(IF(OR(NOT(ISNUMBER('Base de datos Rutas'!O107)),N('Base de datos Rutas'!BK107)=0),"",'Base de datos Rutas'!O107/('Base de datos Rutas'!L107/'Base de datos Rutas'!BK107)),"")</f>
        <v>2823.3340961098411</v>
      </c>
      <c r="J109" s="788">
        <f>IFERROR(IF(OR(NOT(ISNUMBER('Base de datos Rutas'!N107)),N('Base de datos Rutas'!BK107)=0),"",'Base de datos Rutas'!N107/('Base de datos Rutas'!L107/'Base de datos Rutas'!BK107)),"")</f>
        <v>3481.8672768878732</v>
      </c>
      <c r="K109" s="788">
        <f>IFERROR(IF(OR(NOT(ISNUMBER('Base de datos Rutas'!J107)),N('Base de datos Rutas'!BK107)=0),"",'Base de datos Rutas'!J107/('Base de datos Rutas'!L107/'Base de datos Rutas'!BK107)),"")</f>
        <v>237.30545936842117</v>
      </c>
      <c r="L109" s="788">
        <f>IFERROR(IF(OR(NOT(ISNUMBER('Base de datos Rutas'!K107)),N('Base de datos Rutas'!BK107)=0),"",'Base de datos Rutas'!K107/('Base de datos Rutas'!L107/'Base de datos Rutas'!BK107)),"")</f>
        <v>28.17517949199086</v>
      </c>
      <c r="M109" s="787">
        <f>IF(ISNUMBER('Base de datos Rutas'!AX107),'Base de datos Rutas'!AX107,"")</f>
        <v>399.67663765593301</v>
      </c>
      <c r="N109" s="790">
        <f>IFERROR(INDEX('Hoja de apoyo v2'!B$17:B$20,MATCH($A109,'Hoja de apoyo v2'!$A$17:$A$20,0)),"")</f>
        <v>63.050408855205418</v>
      </c>
      <c r="O109" s="791">
        <f>IFERROR(INDEX('Hoja de apoyo v2'!C$17:C$20,MATCH($A109,'Hoja de apoyo v2'!$A$17:$A$20,0)),"")</f>
        <v>0.7559478312655763</v>
      </c>
      <c r="P109" s="793">
        <f>IFERROR(INDEX('Hoja de apoyo v2'!D$17:D$20,MATCH($A109,'Hoja de apoyo v2'!$A$17:$A$20,0)),"")</f>
        <v>9054.9839880720647</v>
      </c>
      <c r="Q109" s="793">
        <f>IFERROR(INDEX('Hoja de apoyo v2'!E$17:E$20,MATCH($A109,'Hoja de apoyo v2'!$A$17:$A$20,0)),"")</f>
        <v>4535.7799207004691</v>
      </c>
      <c r="R109" s="793">
        <f>IFERROR(INDEX('Hoja de apoyo v2'!F$17:F$20,MATCH($A109,'Hoja de apoyo v2'!$A$17:$A$20,0)),"")</f>
        <v>260.44838236060593</v>
      </c>
      <c r="S109" s="793">
        <f>IFERROR(INDEX('Hoja de apoyo v2'!G$17:G$20,MATCH($A109,'Hoja de apoyo v2'!$A$17:$A$20,0)),"")</f>
        <v>64.772152317133859</v>
      </c>
      <c r="T109" s="792">
        <f>IFERROR(INDEX('Hoja de apoyo v2'!H$17:H$20,MATCH($A109,'Hoja de apoyo v2'!$A$17:$A$20,0)),"")</f>
        <v>389.240053528842</v>
      </c>
      <c r="U109" s="794">
        <f t="shared" si="39"/>
        <v>0.75142374539571155</v>
      </c>
      <c r="V109" s="795">
        <f t="shared" si="40"/>
        <v>0.44047898637305466</v>
      </c>
      <c r="W109" s="795">
        <f t="shared" si="41"/>
        <v>0.31179890542368249</v>
      </c>
      <c r="X109" s="843">
        <f t="shared" si="42"/>
        <v>0.76764466922155294</v>
      </c>
      <c r="Y109" s="843">
        <f t="shared" si="43"/>
        <v>0.91114199757193326</v>
      </c>
      <c r="Z109" s="843">
        <f t="shared" si="44"/>
        <v>0.43498908842863659</v>
      </c>
      <c r="AA109" s="843">
        <f t="shared" si="45"/>
        <v>1.0268127188671186</v>
      </c>
      <c r="AB109" s="796">
        <f t="shared" si="46"/>
        <v>3</v>
      </c>
      <c r="AC109" s="797">
        <f t="shared" si="47"/>
        <v>1</v>
      </c>
      <c r="AD109" s="797">
        <f t="shared" si="48"/>
        <v>1</v>
      </c>
      <c r="AE109" s="842">
        <f t="shared" si="49"/>
        <v>3</v>
      </c>
      <c r="AF109" s="842">
        <f t="shared" si="50"/>
        <v>3</v>
      </c>
      <c r="AG109" s="842">
        <f t="shared" si="51"/>
        <v>1</v>
      </c>
      <c r="AH109" s="842">
        <f t="shared" si="52"/>
        <v>4</v>
      </c>
      <c r="AI109" s="826" cm="1">
        <f t="array" ref="AI109">SUMPRODUCT(--ISNUMBER($U109:$AA109),$AB$3:$AH$3)</f>
        <v>1</v>
      </c>
      <c r="AJ109" s="829">
        <f t="shared" si="53"/>
        <v>28.472440193770165</v>
      </c>
      <c r="AK109" s="827" t="str">
        <f t="shared" si="54"/>
        <v>Inmadura</v>
      </c>
      <c r="AL109" s="784" t="str">
        <f t="shared" si="55"/>
        <v>Alta</v>
      </c>
      <c r="AM109" s="799">
        <f>IF(ISNUMBER('Base de datos Rutas'!W107),'Base de datos Rutas'!W107,"")</f>
        <v>2075.2417976079637</v>
      </c>
      <c r="AN109" s="787">
        <f>IFERROR(SUMIFS('Base de datos Rutas'!$W$6:$W$794,'Base de datos Rutas'!$C$6:$C$794,$C109)/'Base de datos Rutas'!I107,"")</f>
        <v>2075.2417976079637</v>
      </c>
      <c r="AO109" s="800">
        <f>IFERROR('Base de datos Rutas'!X107*AN109/AM109,"")</f>
        <v>0.73984956507705835</v>
      </c>
      <c r="AP109" s="800">
        <f t="shared" si="56"/>
        <v>0.26015043492294165</v>
      </c>
      <c r="AQ109" s="789">
        <f>IFERROR(INDEX('Hoja de apoyo v2'!$J$17:$J$20,MATCH($A109,'Hoja de apoyo v2'!$A$17:$A$20,0)),"")</f>
        <v>0.56799995069377007</v>
      </c>
      <c r="AR109" s="789">
        <f t="shared" si="57"/>
        <v>-0.30784951577082842</v>
      </c>
      <c r="AS109" s="784" t="str">
        <f t="shared" si="58"/>
        <v>Sí</v>
      </c>
      <c r="AT109" s="801">
        <f>IF(ISNUMBER('Base de datos Rutas'!CK107),'Base de datos Rutas'!CK107,"")</f>
        <v>215</v>
      </c>
      <c r="AU109" s="802">
        <f>IF(ISNUMBER('Base de datos Rutas'!CL107),'Base de datos Rutas'!CL107,"")</f>
        <v>407.32</v>
      </c>
      <c r="AV109" s="802">
        <f>IF(ISNUMBER('Base de datos Rutas'!CM107),'Base de datos Rutas'!CM107,"")</f>
        <v>192.32</v>
      </c>
      <c r="AW109" s="802">
        <f>IF(ISNUMBER('Base de datos Rutas'!CN107),'Base de datos Rutas'!CN107,"")</f>
        <v>6.61</v>
      </c>
      <c r="AX109" s="802">
        <f>IF(ISNUMBER('Base de datos Rutas'!CO107),'Base de datos Rutas'!CO107,"")</f>
        <v>9.4499999999999993</v>
      </c>
      <c r="AY109" s="802">
        <f>IF(ISNUMBER('Base de datos Rutas'!CP107),'Base de datos Rutas'!CP107,"")</f>
        <v>2.839999999999999</v>
      </c>
      <c r="AZ109" s="802">
        <f>IF(ISNUMBER('Base de datos Rutas'!CQ107),'Base de datos Rutas'!CQ107,"")</f>
        <v>846.56</v>
      </c>
      <c r="BA109" s="802">
        <f>IF(ISNUMBER('Base de datos Rutas'!CR107),'Base de datos Rutas'!CR107,"")</f>
        <v>265.48</v>
      </c>
      <c r="BB109" s="803">
        <f>IF(ISNUMBER('Base de datos Rutas'!CS107),'Base de datos Rutas'!CS107,"")</f>
        <v>581.07999999999993</v>
      </c>
      <c r="BC109" s="804">
        <f t="shared" si="69"/>
        <v>0</v>
      </c>
      <c r="BD109" s="805" t="str">
        <f t="shared" si="70"/>
        <v>No saturada</v>
      </c>
      <c r="BE109" s="806">
        <f t="shared" si="71"/>
        <v>0.31359856359856364</v>
      </c>
      <c r="BF109" s="890">
        <f>IF(ISNUMBER('Base de datos Rutas'!CX107),'Base de datos Rutas'!CX107/100,"")</f>
        <v>9.9040764556663316E-2</v>
      </c>
      <c r="BG109" s="891">
        <f>IF(ISNUMBER('Base de datos Rutas'!CZ107),'Base de datos Rutas'!CZ107/100,"")</f>
        <v>0.10471358621910212</v>
      </c>
      <c r="BH109" s="892">
        <f>IF(ISNUMBER('Base de datos Rutas'!DA107),'Base de datos Rutas'!DA107,"")</f>
        <v>69.971195495320046</v>
      </c>
      <c r="BI109" s="893">
        <f>IF(ISNUMBER('Base de datos Rutas'!DC107),'Base de datos Rutas'!DC107,"")</f>
        <v>3.0452438998636726</v>
      </c>
      <c r="BJ109" s="805" t="str">
        <f t="shared" si="72"/>
        <v>Ruta (completo)</v>
      </c>
      <c r="BK109" s="783">
        <f t="shared" si="59"/>
        <v>1</v>
      </c>
      <c r="BL109" s="797">
        <f t="shared" si="60"/>
        <v>1</v>
      </c>
      <c r="BM109" s="797">
        <f t="shared" si="61"/>
        <v>1</v>
      </c>
      <c r="BN109" s="797">
        <f t="shared" si="62"/>
        <v>1</v>
      </c>
      <c r="BO109" s="798" cm="1">
        <f t="array" ref="BO109">SUMPRODUCT(--ISNUMBER($BF109:$BI109),$BK$3:$BN$3)</f>
        <v>1</v>
      </c>
      <c r="BP109" s="831">
        <f t="shared" si="73"/>
        <v>0</v>
      </c>
      <c r="BQ109" s="834" t="str">
        <f t="shared" si="74"/>
        <v>Bajo</v>
      </c>
      <c r="BR109" s="836">
        <f t="shared" si="64"/>
        <v>21.354330145327623</v>
      </c>
      <c r="BS109" s="836">
        <f t="shared" si="65"/>
        <v>0</v>
      </c>
      <c r="BT109" s="837" t="str">
        <f t="shared" si="66"/>
        <v>P4</v>
      </c>
      <c r="BU109" s="807" t="str">
        <f t="shared" si="75"/>
        <v>Con espacio</v>
      </c>
      <c r="BV109" s="807" t="str">
        <f t="shared" si="67"/>
        <v>Zona de bajo potencial</v>
      </c>
      <c r="BW109" s="808" t="str">
        <f t="shared" si="68"/>
        <v>P4 - Evaluar</v>
      </c>
    </row>
    <row r="110" spans="1:75">
      <c r="A110" s="780" t="str">
        <f>'Base de datos Rutas'!A108</f>
        <v>Noreste</v>
      </c>
      <c r="B110" s="781" t="str">
        <f>'Base de datos Rutas'!B108</f>
        <v>Reynosa</v>
      </c>
      <c r="C110" s="781" t="str">
        <f>'Base de datos Rutas'!C108</f>
        <v>Sucursal Reynosa</v>
      </c>
      <c r="D110" s="782">
        <f>IF(ISNUMBER('Base de datos Rutas'!D108),'Base de datos Rutas'!D108,"Sin código")</f>
        <v>103340</v>
      </c>
      <c r="E110" s="783" t="str">
        <f>'Base de datos Rutas'!F108</f>
        <v>Activa</v>
      </c>
      <c r="F110" s="784" t="str">
        <f>'Base de datos Rutas'!H108</f>
        <v>Sí</v>
      </c>
      <c r="G110" s="785">
        <f>IF(ISNUMBER('Base de datos Rutas'!BE108),'Base de datos Rutas'!BE108,"")</f>
        <v>37.102505694760801</v>
      </c>
      <c r="H110" s="786">
        <f>IF(ISNUMBER('Base de datos Rutas'!BH108),'Base de datos Rutas'!BH108,"")</f>
        <v>0.88187622789783904</v>
      </c>
      <c r="I110" s="788">
        <f>IFERROR(IF(OR(NOT(ISNUMBER('Base de datos Rutas'!O108)),N('Base de datos Rutas'!BK108)=0),"",'Base de datos Rutas'!O108/('Base de datos Rutas'!L108/'Base de datos Rutas'!BK108)),"")</f>
        <v>3861.1594533029652</v>
      </c>
      <c r="J110" s="788">
        <f>IFERROR(IF(OR(NOT(ISNUMBER('Base de datos Rutas'!N108)),N('Base de datos Rutas'!BK108)=0),"",'Base de datos Rutas'!N108/('Base de datos Rutas'!L108/'Base de datos Rutas'!BK108)),"")</f>
        <v>3467.4738041002315</v>
      </c>
      <c r="K110" s="788">
        <f>IFERROR(IF(OR(NOT(ISNUMBER('Base de datos Rutas'!J108)),N('Base de datos Rutas'!BK108)=0),"",'Base de datos Rutas'!J108/('Base de datos Rutas'!L108/'Base de datos Rutas'!BK108)),"")</f>
        <v>229.29299498861073</v>
      </c>
      <c r="L110" s="788">
        <f>IFERROR(IF(OR(NOT(ISNUMBER('Base de datos Rutas'!K108)),N('Base de datos Rutas'!BK108)=0),"",'Base de datos Rutas'!K108/('Base de datos Rutas'!L108/'Base de datos Rutas'!BK108)),"")</f>
        <v>26.109490612756289</v>
      </c>
      <c r="M110" s="787">
        <f>IF(ISNUMBER('Base de datos Rutas'!AX108),'Base de datos Rutas'!AX108,"")</f>
        <v>223.98131787802799</v>
      </c>
      <c r="N110" s="790">
        <f>IFERROR(INDEX('Hoja de apoyo v2'!B$17:B$20,MATCH($A110,'Hoja de apoyo v2'!$A$17:$A$20,0)),"")</f>
        <v>63.050408855205418</v>
      </c>
      <c r="O110" s="791">
        <f>IFERROR(INDEX('Hoja de apoyo v2'!C$17:C$20,MATCH($A110,'Hoja de apoyo v2'!$A$17:$A$20,0)),"")</f>
        <v>0.7559478312655763</v>
      </c>
      <c r="P110" s="793">
        <f>IFERROR(INDEX('Hoja de apoyo v2'!D$17:D$20,MATCH($A110,'Hoja de apoyo v2'!$A$17:$A$20,0)),"")</f>
        <v>9054.9839880720647</v>
      </c>
      <c r="Q110" s="793">
        <f>IFERROR(INDEX('Hoja de apoyo v2'!E$17:E$20,MATCH($A110,'Hoja de apoyo v2'!$A$17:$A$20,0)),"")</f>
        <v>4535.7799207004691</v>
      </c>
      <c r="R110" s="793">
        <f>IFERROR(INDEX('Hoja de apoyo v2'!F$17:F$20,MATCH($A110,'Hoja de apoyo v2'!$A$17:$A$20,0)),"")</f>
        <v>260.44838236060593</v>
      </c>
      <c r="S110" s="793">
        <f>IFERROR(INDEX('Hoja de apoyo v2'!G$17:G$20,MATCH($A110,'Hoja de apoyo v2'!$A$17:$A$20,0)),"")</f>
        <v>64.772152317133859</v>
      </c>
      <c r="T110" s="792">
        <f>IFERROR(INDEX('Hoja de apoyo v2'!H$17:H$20,MATCH($A110,'Hoja de apoyo v2'!$A$17:$A$20,0)),"")</f>
        <v>389.240053528842</v>
      </c>
      <c r="U110" s="794">
        <f t="shared" si="39"/>
        <v>0.58845781285837973</v>
      </c>
      <c r="V110" s="795">
        <f t="shared" si="40"/>
        <v>1.1665834485184496</v>
      </c>
      <c r="W110" s="795">
        <f t="shared" si="41"/>
        <v>0.4264126207610292</v>
      </c>
      <c r="X110" s="843">
        <f t="shared" si="42"/>
        <v>0.76447135106254072</v>
      </c>
      <c r="Y110" s="843">
        <f t="shared" si="43"/>
        <v>0.88037788106182679</v>
      </c>
      <c r="Z110" s="843">
        <f t="shared" si="44"/>
        <v>0.40309746825951426</v>
      </c>
      <c r="AA110" s="843">
        <f t="shared" si="45"/>
        <v>0.57543234784657482</v>
      </c>
      <c r="AB110" s="796">
        <f t="shared" si="46"/>
        <v>2</v>
      </c>
      <c r="AC110" s="797">
        <f t="shared" si="47"/>
        <v>4</v>
      </c>
      <c r="AD110" s="797">
        <f t="shared" si="48"/>
        <v>1</v>
      </c>
      <c r="AE110" s="842">
        <f t="shared" si="49"/>
        <v>3</v>
      </c>
      <c r="AF110" s="842">
        <f t="shared" si="50"/>
        <v>3</v>
      </c>
      <c r="AG110" s="842">
        <f t="shared" si="51"/>
        <v>1</v>
      </c>
      <c r="AH110" s="842">
        <f t="shared" si="52"/>
        <v>2</v>
      </c>
      <c r="AI110" s="826" cm="1">
        <f t="array" ref="AI110">SUMPRODUCT(--ISNUMBER($U110:$AA110),$AB$3:$AH$3)</f>
        <v>1</v>
      </c>
      <c r="AJ110" s="829">
        <f t="shared" si="53"/>
        <v>26.598065092651723</v>
      </c>
      <c r="AK110" s="827" t="str">
        <f t="shared" si="54"/>
        <v>Inmadura</v>
      </c>
      <c r="AL110" s="784" t="str">
        <f t="shared" si="55"/>
        <v>Alta</v>
      </c>
      <c r="AM110" s="799">
        <f>IF(ISNUMBER('Base de datos Rutas'!W108),'Base de datos Rutas'!W108,"")</f>
        <v>2139.0083399999999</v>
      </c>
      <c r="AN110" s="787">
        <f>IFERROR(SUMIFS('Base de datos Rutas'!$W$6:$W$794,'Base de datos Rutas'!$C$6:$C$794,$C110)/'Base de datos Rutas'!I108,"")</f>
        <v>2139.0083399999999</v>
      </c>
      <c r="AO110" s="800">
        <f>IFERROR('Base de datos Rutas'!X108*AN110/AM110,"")</f>
        <v>0.61220391514817118</v>
      </c>
      <c r="AP110" s="800">
        <f t="shared" si="56"/>
        <v>0.38779608485182882</v>
      </c>
      <c r="AQ110" s="789">
        <f>IFERROR(INDEX('Hoja de apoyo v2'!$J$17:$J$20,MATCH($A110,'Hoja de apoyo v2'!$A$17:$A$20,0)),"")</f>
        <v>0.56799995069377007</v>
      </c>
      <c r="AR110" s="789">
        <f t="shared" si="57"/>
        <v>-0.18020386584194126</v>
      </c>
      <c r="AS110" s="784" t="str">
        <f t="shared" si="58"/>
        <v>Sí</v>
      </c>
      <c r="AT110" s="801">
        <f>IF(ISNUMBER('Base de datos Rutas'!CK108),'Base de datos Rutas'!CK108,"")</f>
        <v>186</v>
      </c>
      <c r="AU110" s="802">
        <f>IF(ISNUMBER('Base de datos Rutas'!CL108),'Base de datos Rutas'!CL108,"")</f>
        <v>487.26</v>
      </c>
      <c r="AV110" s="802">
        <f>IF(ISNUMBER('Base de datos Rutas'!CM108),'Base de datos Rutas'!CM108,"")</f>
        <v>301.26</v>
      </c>
      <c r="AW110" s="802">
        <f>IF(ISNUMBER('Base de datos Rutas'!CN108),'Base de datos Rutas'!CN108,"")</f>
        <v>2.89</v>
      </c>
      <c r="AX110" s="802">
        <f>IF(ISNUMBER('Base de datos Rutas'!CO108),'Base de datos Rutas'!CO108,"")</f>
        <v>9.4499999999999993</v>
      </c>
      <c r="AY110" s="802">
        <f>IF(ISNUMBER('Base de datos Rutas'!CP108),'Base de datos Rutas'!CP108,"")</f>
        <v>6.5599999999999987</v>
      </c>
      <c r="AZ110" s="802">
        <f>IF(ISNUMBER('Base de datos Rutas'!CQ108),'Base de datos Rutas'!CQ108,"")</f>
        <v>846.56</v>
      </c>
      <c r="BA110" s="802">
        <f>IF(ISNUMBER('Base de datos Rutas'!CR108),'Base de datos Rutas'!CR108,"")</f>
        <v>255.4</v>
      </c>
      <c r="BB110" s="803">
        <f>IF(ISNUMBER('Base de datos Rutas'!CS108),'Base de datos Rutas'!CS108,"")</f>
        <v>591.16</v>
      </c>
      <c r="BC110" s="804">
        <f t="shared" si="69"/>
        <v>0</v>
      </c>
      <c r="BD110" s="805" t="str">
        <f t="shared" si="70"/>
        <v>No saturada</v>
      </c>
      <c r="BE110" s="806">
        <f t="shared" si="71"/>
        <v>0.30169155169155171</v>
      </c>
      <c r="BF110" s="890">
        <f>IF(ISNUMBER('Base de datos Rutas'!CX108),'Base de datos Rutas'!CX108/100,"")</f>
        <v>0.16491452557462508</v>
      </c>
      <c r="BG110" s="891">
        <f>IF(ISNUMBER('Base de datos Rutas'!CZ108),'Base de datos Rutas'!CZ108/100,"")</f>
        <v>0.17511255543143428</v>
      </c>
      <c r="BH110" s="892">
        <f>IF(ISNUMBER('Base de datos Rutas'!DA108),'Base de datos Rutas'!DA108,"")</f>
        <v>76.803493435148681</v>
      </c>
      <c r="BI110" s="893">
        <f>IF(ISNUMBER('Base de datos Rutas'!DC108),'Base de datos Rutas'!DC108,"")</f>
        <v>2.7786092608267605</v>
      </c>
      <c r="BJ110" s="805" t="str">
        <f t="shared" si="72"/>
        <v>Ruta (completo)</v>
      </c>
      <c r="BK110" s="783">
        <f t="shared" si="59"/>
        <v>4</v>
      </c>
      <c r="BL110" s="797">
        <f t="shared" si="60"/>
        <v>4</v>
      </c>
      <c r="BM110" s="797">
        <f t="shared" si="61"/>
        <v>4</v>
      </c>
      <c r="BN110" s="797">
        <f t="shared" si="62"/>
        <v>4</v>
      </c>
      <c r="BO110" s="798" cm="1">
        <f t="array" ref="BO110">SUMPRODUCT(--ISNUMBER($BF110:$BI110),$BK$3:$BN$3)</f>
        <v>1</v>
      </c>
      <c r="BP110" s="831">
        <f t="shared" si="73"/>
        <v>75</v>
      </c>
      <c r="BQ110" s="834" t="str">
        <f t="shared" si="74"/>
        <v>Alto</v>
      </c>
      <c r="BR110" s="836">
        <f t="shared" si="64"/>
        <v>19.948548819488792</v>
      </c>
      <c r="BS110" s="836">
        <f t="shared" si="65"/>
        <v>75</v>
      </c>
      <c r="BT110" s="837" t="str">
        <f t="shared" si="66"/>
        <v>P3</v>
      </c>
      <c r="BU110" s="807" t="str">
        <f t="shared" si="75"/>
        <v>Con espacio</v>
      </c>
      <c r="BV110" s="807" t="str">
        <f t="shared" si="67"/>
        <v>Zona atractiva</v>
      </c>
      <c r="BW110" s="808" t="str">
        <f t="shared" si="68"/>
        <v>P3 - Desarrollar</v>
      </c>
    </row>
    <row r="111" spans="1:75">
      <c r="A111" s="780" t="str">
        <f>'Base de datos Rutas'!A109</f>
        <v>Noreste</v>
      </c>
      <c r="B111" s="781" t="str">
        <f>'Base de datos Rutas'!B109</f>
        <v>Reynosa</v>
      </c>
      <c r="C111" s="781" t="str">
        <f>'Base de datos Rutas'!C109</f>
        <v>Sucursal Reynosa</v>
      </c>
      <c r="D111" s="782">
        <f>IF(ISNUMBER('Base de datos Rutas'!D109),'Base de datos Rutas'!D109,"Sin código")</f>
        <v>103341</v>
      </c>
      <c r="E111" s="783" t="str">
        <f>'Base de datos Rutas'!F109</f>
        <v>Activa</v>
      </c>
      <c r="F111" s="784" t="str">
        <f>'Base de datos Rutas'!H109</f>
        <v>Sí</v>
      </c>
      <c r="G111" s="785">
        <f>IF(ISNUMBER('Base de datos Rutas'!BE109),'Base de datos Rutas'!BE109,"")</f>
        <v>30.667431192660601</v>
      </c>
      <c r="H111" s="786">
        <f>IF(ISNUMBER('Base de datos Rutas'!BH109),'Base de datos Rutas'!BH109,"")</f>
        <v>0.66412385012340103</v>
      </c>
      <c r="I111" s="788">
        <f>IFERROR(IF(OR(NOT(ISNUMBER('Base de datos Rutas'!O109)),N('Base de datos Rutas'!BK109)=0),"",'Base de datos Rutas'!O109/('Base de datos Rutas'!L109/'Base de datos Rutas'!BK109)),"")</f>
        <v>3505.7339449541273</v>
      </c>
      <c r="J111" s="788">
        <f>IFERROR(IF(OR(NOT(ISNUMBER('Base de datos Rutas'!N109)),N('Base de datos Rutas'!BK109)=0),"",'Base de datos Rutas'!N109/('Base de datos Rutas'!L109/'Base de datos Rutas'!BK109)),"")</f>
        <v>2159.678899082568</v>
      </c>
      <c r="K111" s="788">
        <f>IFERROR(IF(OR(NOT(ISNUMBER('Base de datos Rutas'!J109)),N('Base de datos Rutas'!BK109)=0),"",'Base de datos Rutas'!J109/('Base de datos Rutas'!L109/'Base de datos Rutas'!BK109)),"")</f>
        <v>142.70567339449539</v>
      </c>
      <c r="L111" s="788">
        <f>IFERROR(IF(OR(NOT(ISNUMBER('Base de datos Rutas'!K109)),N('Base de datos Rutas'!BK109)=0),"",'Base de datos Rutas'!K109/('Base de datos Rutas'!L109/'Base de datos Rutas'!BK109)),"")</f>
        <v>24.272258268348619</v>
      </c>
      <c r="M111" s="787">
        <f>IF(ISNUMBER('Base de datos Rutas'!AX109),'Base de datos Rutas'!AX109,"")</f>
        <v>277.45800112612602</v>
      </c>
      <c r="N111" s="790">
        <f>IFERROR(INDEX('Hoja de apoyo v2'!B$17:B$20,MATCH($A111,'Hoja de apoyo v2'!$A$17:$A$20,0)),"")</f>
        <v>63.050408855205418</v>
      </c>
      <c r="O111" s="791">
        <f>IFERROR(INDEX('Hoja de apoyo v2'!C$17:C$20,MATCH($A111,'Hoja de apoyo v2'!$A$17:$A$20,0)),"")</f>
        <v>0.7559478312655763</v>
      </c>
      <c r="P111" s="793">
        <f>IFERROR(INDEX('Hoja de apoyo v2'!D$17:D$20,MATCH($A111,'Hoja de apoyo v2'!$A$17:$A$20,0)),"")</f>
        <v>9054.9839880720647</v>
      </c>
      <c r="Q111" s="793">
        <f>IFERROR(INDEX('Hoja de apoyo v2'!E$17:E$20,MATCH($A111,'Hoja de apoyo v2'!$A$17:$A$20,0)),"")</f>
        <v>4535.7799207004691</v>
      </c>
      <c r="R111" s="793">
        <f>IFERROR(INDEX('Hoja de apoyo v2'!F$17:F$20,MATCH($A111,'Hoja de apoyo v2'!$A$17:$A$20,0)),"")</f>
        <v>260.44838236060593</v>
      </c>
      <c r="S111" s="793">
        <f>IFERROR(INDEX('Hoja de apoyo v2'!G$17:G$20,MATCH($A111,'Hoja de apoyo v2'!$A$17:$A$20,0)),"")</f>
        <v>64.772152317133859</v>
      </c>
      <c r="T111" s="792">
        <f>IFERROR(INDEX('Hoja de apoyo v2'!H$17:H$20,MATCH($A111,'Hoja de apoyo v2'!$A$17:$A$20,0)),"")</f>
        <v>389.240053528842</v>
      </c>
      <c r="U111" s="794">
        <f t="shared" si="39"/>
        <v>0.48639543738864605</v>
      </c>
      <c r="V111" s="795">
        <f t="shared" si="40"/>
        <v>0.87853132538465328</v>
      </c>
      <c r="W111" s="795">
        <f t="shared" si="41"/>
        <v>0.38716070062323193</v>
      </c>
      <c r="X111" s="843">
        <f t="shared" si="42"/>
        <v>0.47614278841576702</v>
      </c>
      <c r="Y111" s="843">
        <f t="shared" si="43"/>
        <v>0.54792305523676121</v>
      </c>
      <c r="Z111" s="843">
        <f t="shared" si="44"/>
        <v>0.37473292765551652</v>
      </c>
      <c r="AA111" s="843">
        <f t="shared" si="45"/>
        <v>0.7128197589397538</v>
      </c>
      <c r="AB111" s="796">
        <f t="shared" si="46"/>
        <v>1</v>
      </c>
      <c r="AC111" s="797">
        <f t="shared" si="47"/>
        <v>3</v>
      </c>
      <c r="AD111" s="797">
        <f t="shared" si="48"/>
        <v>1</v>
      </c>
      <c r="AE111" s="842">
        <f t="shared" si="49"/>
        <v>1</v>
      </c>
      <c r="AF111" s="842">
        <f t="shared" si="50"/>
        <v>2</v>
      </c>
      <c r="AG111" s="842">
        <f t="shared" si="51"/>
        <v>1</v>
      </c>
      <c r="AH111" s="842">
        <f t="shared" si="52"/>
        <v>2</v>
      </c>
      <c r="AI111" s="826" cm="1">
        <f t="array" ref="AI111">SUMPRODUCT(--ISNUMBER($U111:$AA111),$AB$3:$AH$3)</f>
        <v>1</v>
      </c>
      <c r="AJ111" s="829">
        <f t="shared" si="53"/>
        <v>9.9365835241473235</v>
      </c>
      <c r="AK111" s="827" t="str">
        <f t="shared" si="54"/>
        <v>Inmadura</v>
      </c>
      <c r="AL111" s="784" t="str">
        <f t="shared" si="55"/>
        <v>Alta</v>
      </c>
      <c r="AM111" s="799">
        <f>IF(ISNUMBER('Base de datos Rutas'!W109),'Base de datos Rutas'!W109,"")</f>
        <v>2139.0083399999999</v>
      </c>
      <c r="AN111" s="787">
        <f>IFERROR(SUMIFS('Base de datos Rutas'!$W$6:$W$794,'Base de datos Rutas'!$C$6:$C$794,$C111)/'Base de datos Rutas'!I109,"")</f>
        <v>2139.0083399999999</v>
      </c>
      <c r="AO111" s="800">
        <f>IFERROR('Base de datos Rutas'!X109*AN111/AM111,"")</f>
        <v>0.61220391514817118</v>
      </c>
      <c r="AP111" s="800">
        <f t="shared" si="56"/>
        <v>0.38779608485182882</v>
      </c>
      <c r="AQ111" s="789">
        <f>IFERROR(INDEX('Hoja de apoyo v2'!$J$17:$J$20,MATCH($A111,'Hoja de apoyo v2'!$A$17:$A$20,0)),"")</f>
        <v>0.56799995069377007</v>
      </c>
      <c r="AR111" s="789">
        <f t="shared" si="57"/>
        <v>-0.18020386584194126</v>
      </c>
      <c r="AS111" s="784" t="str">
        <f t="shared" si="58"/>
        <v>Sí</v>
      </c>
      <c r="AT111" s="801">
        <f>IF(ISNUMBER('Base de datos Rutas'!CK109),'Base de datos Rutas'!CK109,"")</f>
        <v>62</v>
      </c>
      <c r="AU111" s="802">
        <f>IF(ISNUMBER('Base de datos Rutas'!CL109),'Base de datos Rutas'!CL109,"")</f>
        <v>251.68</v>
      </c>
      <c r="AV111" s="802">
        <f>IF(ISNUMBER('Base de datos Rutas'!CM109),'Base de datos Rutas'!CM109,"")</f>
        <v>189.68</v>
      </c>
      <c r="AW111" s="802">
        <f>IF(ISNUMBER('Base de datos Rutas'!CN109),'Base de datos Rutas'!CN109,"")</f>
        <v>1.63</v>
      </c>
      <c r="AX111" s="802">
        <f>IF(ISNUMBER('Base de datos Rutas'!CO109),'Base de datos Rutas'!CO109,"")</f>
        <v>9.4499999999999993</v>
      </c>
      <c r="AY111" s="802">
        <f>IF(ISNUMBER('Base de datos Rutas'!CP109),'Base de datos Rutas'!CP109,"")</f>
        <v>7.8199999999999994</v>
      </c>
      <c r="AZ111" s="802">
        <f>IF(ISNUMBER('Base de datos Rutas'!CQ109),'Base de datos Rutas'!CQ109,"")</f>
        <v>846.56</v>
      </c>
      <c r="BA111" s="802">
        <f>IF(ISNUMBER('Base de datos Rutas'!CR109),'Base de datos Rutas'!CR109,"")</f>
        <v>166.98</v>
      </c>
      <c r="BB111" s="803">
        <f>IF(ISNUMBER('Base de datos Rutas'!CS109),'Base de datos Rutas'!CS109,"")</f>
        <v>679.57999999999993</v>
      </c>
      <c r="BC111" s="804">
        <f t="shared" si="69"/>
        <v>0</v>
      </c>
      <c r="BD111" s="805" t="str">
        <f t="shared" si="70"/>
        <v>No saturada</v>
      </c>
      <c r="BE111" s="806">
        <f t="shared" si="71"/>
        <v>0.19724532224532224</v>
      </c>
      <c r="BF111" s="890">
        <f>IF(ISNUMBER('Base de datos Rutas'!CX109),'Base de datos Rutas'!CX109/100,"")</f>
        <v>2.2394995388378715E-2</v>
      </c>
      <c r="BG111" s="891">
        <f>IF(ISNUMBER('Base de datos Rutas'!CZ109),'Base de datos Rutas'!CZ109/100,"")</f>
        <v>2.3916268997874645E-2</v>
      </c>
      <c r="BH111" s="892">
        <f>IF(ISNUMBER('Base de datos Rutas'!DA109),'Base de datos Rutas'!DA109,"")</f>
        <v>12.005495269337226</v>
      </c>
      <c r="BI111" s="893">
        <f>IF(ISNUMBER('Base de datos Rutas'!DC109),'Base de datos Rutas'!DC109,"")</f>
        <v>0.46084698675504115</v>
      </c>
      <c r="BJ111" s="805" t="str">
        <f t="shared" si="72"/>
        <v>Ruta (completo)</v>
      </c>
      <c r="BK111" s="783">
        <f t="shared" si="59"/>
        <v>1</v>
      </c>
      <c r="BL111" s="797">
        <f t="shared" si="60"/>
        <v>1</v>
      </c>
      <c r="BM111" s="797">
        <f t="shared" si="61"/>
        <v>1</v>
      </c>
      <c r="BN111" s="797">
        <f t="shared" si="62"/>
        <v>1</v>
      </c>
      <c r="BO111" s="798" cm="1">
        <f t="array" ref="BO111">SUMPRODUCT(--ISNUMBER($BF111:$BI111),$BK$3:$BN$3)</f>
        <v>1</v>
      </c>
      <c r="BP111" s="831">
        <f t="shared" si="73"/>
        <v>0</v>
      </c>
      <c r="BQ111" s="834" t="str">
        <f t="shared" si="74"/>
        <v>Bajo</v>
      </c>
      <c r="BR111" s="836">
        <f t="shared" si="64"/>
        <v>7.4524376431104926</v>
      </c>
      <c r="BS111" s="836">
        <f t="shared" si="65"/>
        <v>0</v>
      </c>
      <c r="BT111" s="837" t="str">
        <f t="shared" si="66"/>
        <v>P4</v>
      </c>
      <c r="BU111" s="807" t="str">
        <f t="shared" si="75"/>
        <v>Con espacio</v>
      </c>
      <c r="BV111" s="807" t="str">
        <f t="shared" si="67"/>
        <v>Zona de bajo potencial</v>
      </c>
      <c r="BW111" s="808" t="str">
        <f t="shared" si="68"/>
        <v>P4 - Evaluar</v>
      </c>
    </row>
    <row r="112" spans="1:75">
      <c r="A112" s="780" t="str">
        <f>'Base de datos Rutas'!A110</f>
        <v>Noreste</v>
      </c>
      <c r="B112" s="781" t="str">
        <f>'Base de datos Rutas'!B110</f>
        <v>Reynosa</v>
      </c>
      <c r="C112" s="781" t="str">
        <f>'Base de datos Rutas'!C110</f>
        <v>Sucursal Reynosa</v>
      </c>
      <c r="D112" s="782">
        <f>IF(ISNUMBER('Base de datos Rutas'!D110),'Base de datos Rutas'!D110,"Sin código")</f>
        <v>103342</v>
      </c>
      <c r="E112" s="783" t="str">
        <f>'Base de datos Rutas'!F110</f>
        <v>Activa</v>
      </c>
      <c r="F112" s="784" t="str">
        <f>'Base de datos Rutas'!H110</f>
        <v>Sí</v>
      </c>
      <c r="G112" s="785">
        <f>IF(ISNUMBER('Base de datos Rutas'!BE110),'Base de datos Rutas'!BE110,"")</f>
        <v>45.701149425287397</v>
      </c>
      <c r="H112" s="786">
        <f>IF(ISNUMBER('Base de datos Rutas'!BH110),'Base de datos Rutas'!BH110,"")</f>
        <v>0.84215291750502996</v>
      </c>
      <c r="I112" s="788">
        <f>IFERROR(IF(OR(NOT(ISNUMBER('Base de datos Rutas'!O110)),N('Base de datos Rutas'!BK110)=0),"",'Base de datos Rutas'!O110/('Base de datos Rutas'!L110/'Base de datos Rutas'!BK110)),"")</f>
        <v>2637.1655172413825</v>
      </c>
      <c r="J112" s="788">
        <f>IFERROR(IF(OR(NOT(ISNUMBER('Base de datos Rutas'!N110)),N('Base de datos Rutas'!BK110)=0),"",'Base de datos Rutas'!N110/('Base de datos Rutas'!L110/'Base de datos Rutas'!BK110)),"")</f>
        <v>3605.4252873563264</v>
      </c>
      <c r="K112" s="788">
        <f>IFERROR(IF(OR(NOT(ISNUMBER('Base de datos Rutas'!J110)),N('Base de datos Rutas'!BK110)=0),"",'Base de datos Rutas'!J110/('Base de datos Rutas'!L110/'Base de datos Rutas'!BK110)),"")</f>
        <v>237.18303080459802</v>
      </c>
      <c r="L112" s="788">
        <f>IFERROR(IF(OR(NOT(ISNUMBER('Base de datos Rutas'!K110)),N('Base de datos Rutas'!BK110)=0),"",'Base de datos Rutas'!K110/('Base de datos Rutas'!L110/'Base de datos Rutas'!BK110)),"")</f>
        <v>17.106081400000022</v>
      </c>
      <c r="M112" s="787">
        <f>IF(ISNUMBER('Base de datos Rutas'!AX110),'Base de datos Rutas'!AX110,"")</f>
        <v>162.574290407359</v>
      </c>
      <c r="N112" s="790">
        <f>IFERROR(INDEX('Hoja de apoyo v2'!B$17:B$20,MATCH($A112,'Hoja de apoyo v2'!$A$17:$A$20,0)),"")</f>
        <v>63.050408855205418</v>
      </c>
      <c r="O112" s="791">
        <f>IFERROR(INDEX('Hoja de apoyo v2'!C$17:C$20,MATCH($A112,'Hoja de apoyo v2'!$A$17:$A$20,0)),"")</f>
        <v>0.7559478312655763</v>
      </c>
      <c r="P112" s="793">
        <f>IFERROR(INDEX('Hoja de apoyo v2'!D$17:D$20,MATCH($A112,'Hoja de apoyo v2'!$A$17:$A$20,0)),"")</f>
        <v>9054.9839880720647</v>
      </c>
      <c r="Q112" s="793">
        <f>IFERROR(INDEX('Hoja de apoyo v2'!E$17:E$20,MATCH($A112,'Hoja de apoyo v2'!$A$17:$A$20,0)),"")</f>
        <v>4535.7799207004691</v>
      </c>
      <c r="R112" s="793">
        <f>IFERROR(INDEX('Hoja de apoyo v2'!F$17:F$20,MATCH($A112,'Hoja de apoyo v2'!$A$17:$A$20,0)),"")</f>
        <v>260.44838236060593</v>
      </c>
      <c r="S112" s="793">
        <f>IFERROR(INDEX('Hoja de apoyo v2'!G$17:G$20,MATCH($A112,'Hoja de apoyo v2'!$A$17:$A$20,0)),"")</f>
        <v>64.772152317133859</v>
      </c>
      <c r="T112" s="792">
        <f>IFERROR(INDEX('Hoja de apoyo v2'!H$17:H$20,MATCH($A112,'Hoja de apoyo v2'!$A$17:$A$20,0)),"")</f>
        <v>389.240053528842</v>
      </c>
      <c r="U112" s="794">
        <f t="shared" si="39"/>
        <v>0.72483510028046916</v>
      </c>
      <c r="V112" s="795">
        <f t="shared" si="40"/>
        <v>1.1140357610327853</v>
      </c>
      <c r="W112" s="795">
        <f t="shared" si="41"/>
        <v>0.29123911436124722</v>
      </c>
      <c r="X112" s="843">
        <f t="shared" si="42"/>
        <v>0.79488541119506828</v>
      </c>
      <c r="Y112" s="843">
        <f t="shared" si="43"/>
        <v>0.91067192913567152</v>
      </c>
      <c r="Z112" s="843">
        <f t="shared" si="44"/>
        <v>0.26409623253286635</v>
      </c>
      <c r="AA112" s="843">
        <f t="shared" si="45"/>
        <v>0.41767102057833966</v>
      </c>
      <c r="AB112" s="796">
        <f t="shared" si="46"/>
        <v>2</v>
      </c>
      <c r="AC112" s="797">
        <f t="shared" si="47"/>
        <v>4</v>
      </c>
      <c r="AD112" s="797">
        <f t="shared" si="48"/>
        <v>1</v>
      </c>
      <c r="AE112" s="842">
        <f t="shared" si="49"/>
        <v>3</v>
      </c>
      <c r="AF112" s="842">
        <f t="shared" si="50"/>
        <v>3</v>
      </c>
      <c r="AG112" s="842">
        <f t="shared" si="51"/>
        <v>1</v>
      </c>
      <c r="AH112" s="842">
        <f t="shared" si="52"/>
        <v>1</v>
      </c>
      <c r="AI112" s="826" cm="1">
        <f t="array" ref="AI112">SUMPRODUCT(--ISNUMBER($U112:$AA112),$AB$3:$AH$3)</f>
        <v>1</v>
      </c>
      <c r="AJ112" s="829">
        <f t="shared" si="53"/>
        <v>24.353337252325165</v>
      </c>
      <c r="AK112" s="827" t="str">
        <f t="shared" si="54"/>
        <v>Inmadura</v>
      </c>
      <c r="AL112" s="784" t="str">
        <f t="shared" si="55"/>
        <v>Alta</v>
      </c>
      <c r="AM112" s="799">
        <f>IF(ISNUMBER('Base de datos Rutas'!W110),'Base de datos Rutas'!W110,"")</f>
        <v>2139.0083399999999</v>
      </c>
      <c r="AN112" s="787">
        <f>IFERROR(SUMIFS('Base de datos Rutas'!$W$6:$W$794,'Base de datos Rutas'!$C$6:$C$794,$C112)/'Base de datos Rutas'!I110,"")</f>
        <v>2139.0083399999999</v>
      </c>
      <c r="AO112" s="800">
        <f>IFERROR('Base de datos Rutas'!X110*AN112/AM112,"")</f>
        <v>0.61220391514817118</v>
      </c>
      <c r="AP112" s="800">
        <f t="shared" si="56"/>
        <v>0.38779608485182882</v>
      </c>
      <c r="AQ112" s="789">
        <f>IFERROR(INDEX('Hoja de apoyo v2'!$J$17:$J$20,MATCH($A112,'Hoja de apoyo v2'!$A$17:$A$20,0)),"")</f>
        <v>0.56799995069377007</v>
      </c>
      <c r="AR112" s="789">
        <f t="shared" si="57"/>
        <v>-0.18020386584194126</v>
      </c>
      <c r="AS112" s="784" t="str">
        <f t="shared" si="58"/>
        <v>Sí</v>
      </c>
      <c r="AT112" s="801">
        <f>IF(ISNUMBER('Base de datos Rutas'!CK110),'Base de datos Rutas'!CK110,"")</f>
        <v>341</v>
      </c>
      <c r="AU112" s="802">
        <f>IF(ISNUMBER('Base de datos Rutas'!CL110),'Base de datos Rutas'!CL110,"")</f>
        <v>737.38</v>
      </c>
      <c r="AV112" s="802">
        <f>IF(ISNUMBER('Base de datos Rutas'!CM110),'Base de datos Rutas'!CM110,"")</f>
        <v>396.38</v>
      </c>
      <c r="AW112" s="802">
        <f>IF(ISNUMBER('Base de datos Rutas'!CN110),'Base de datos Rutas'!CN110,"")</f>
        <v>5.43</v>
      </c>
      <c r="AX112" s="802">
        <f>IF(ISNUMBER('Base de datos Rutas'!CO110),'Base de datos Rutas'!CO110,"")</f>
        <v>9.4499999999999993</v>
      </c>
      <c r="AY112" s="802">
        <f>IF(ISNUMBER('Base de datos Rutas'!CP110),'Base de datos Rutas'!CP110,"")</f>
        <v>4.0199999999999996</v>
      </c>
      <c r="AZ112" s="802">
        <f>IF(ISNUMBER('Base de datos Rutas'!CQ110),'Base de datos Rutas'!CQ110,"")</f>
        <v>846.56</v>
      </c>
      <c r="BA112" s="802">
        <f>IF(ISNUMBER('Base de datos Rutas'!CR110),'Base de datos Rutas'!CR110,"")</f>
        <v>254.29</v>
      </c>
      <c r="BB112" s="803">
        <f>IF(ISNUMBER('Base de datos Rutas'!CS110),'Base de datos Rutas'!CS110,"")</f>
        <v>592.27</v>
      </c>
      <c r="BC112" s="804">
        <f t="shared" si="69"/>
        <v>0</v>
      </c>
      <c r="BD112" s="805" t="str">
        <f t="shared" si="70"/>
        <v>No saturada</v>
      </c>
      <c r="BE112" s="806">
        <f t="shared" si="71"/>
        <v>0.30038036288036291</v>
      </c>
      <c r="BF112" s="890">
        <f>IF(ISNUMBER('Base de datos Rutas'!CX110),'Base de datos Rutas'!CX110/100,"")</f>
        <v>0.13353355992887642</v>
      </c>
      <c r="BG112" s="891">
        <f>IF(ISNUMBER('Base de datos Rutas'!CZ110),'Base de datos Rutas'!CZ110/100,"")</f>
        <v>0.13832811195916442</v>
      </c>
      <c r="BH112" s="892">
        <f>IF(ISNUMBER('Base de datos Rutas'!DA110),'Base de datos Rutas'!DA110,"")</f>
        <v>48.590813727031545</v>
      </c>
      <c r="BI112" s="893">
        <f>IF(ISNUMBER('Base de datos Rutas'!DC110),'Base de datos Rutas'!DC110,"")</f>
        <v>2.0621409477234569</v>
      </c>
      <c r="BJ112" s="805" t="str">
        <f t="shared" si="72"/>
        <v>Ruta (completo)</v>
      </c>
      <c r="BK112" s="783">
        <f t="shared" si="59"/>
        <v>2</v>
      </c>
      <c r="BL112" s="797">
        <f t="shared" si="60"/>
        <v>2</v>
      </c>
      <c r="BM112" s="797">
        <f t="shared" si="61"/>
        <v>2</v>
      </c>
      <c r="BN112" s="797">
        <f t="shared" si="62"/>
        <v>2</v>
      </c>
      <c r="BO112" s="798" cm="1">
        <f t="array" ref="BO112">SUMPRODUCT(--ISNUMBER($BF112:$BI112),$BK$3:$BN$3)</f>
        <v>1</v>
      </c>
      <c r="BP112" s="831">
        <f t="shared" si="73"/>
        <v>25</v>
      </c>
      <c r="BQ112" s="834" t="str">
        <f t="shared" si="74"/>
        <v>Medio</v>
      </c>
      <c r="BR112" s="836">
        <f t="shared" si="64"/>
        <v>18.265002939243875</v>
      </c>
      <c r="BS112" s="836">
        <f t="shared" si="65"/>
        <v>25</v>
      </c>
      <c r="BT112" s="837" t="str">
        <f t="shared" si="66"/>
        <v>P4</v>
      </c>
      <c r="BU112" s="807" t="str">
        <f t="shared" si="75"/>
        <v>Con espacio</v>
      </c>
      <c r="BV112" s="807" t="str">
        <f t="shared" si="67"/>
        <v>Zona de bajo potencial</v>
      </c>
      <c r="BW112" s="808" t="str">
        <f t="shared" si="68"/>
        <v>P4 - Evaluar</v>
      </c>
    </row>
    <row r="113" spans="1:75">
      <c r="A113" s="780" t="str">
        <f>'Base de datos Rutas'!A111</f>
        <v>Noreste</v>
      </c>
      <c r="B113" s="781" t="str">
        <f>'Base de datos Rutas'!B111</f>
        <v>Saltillo</v>
      </c>
      <c r="C113" s="781" t="str">
        <f>'Base de datos Rutas'!C111</f>
        <v>Planta Agua y Hielo</v>
      </c>
      <c r="D113" s="782">
        <f>IF(ISNUMBER('Base de datos Rutas'!D111),'Base de datos Rutas'!D111,"Sin código")</f>
        <v>203300</v>
      </c>
      <c r="E113" s="783" t="str">
        <f>'Base de datos Rutas'!F111</f>
        <v>Activa</v>
      </c>
      <c r="F113" s="784" t="str">
        <f>'Base de datos Rutas'!H111</f>
        <v>Sí</v>
      </c>
      <c r="G113" s="785">
        <f>IF(ISNUMBER('Base de datos Rutas'!BE111),'Base de datos Rutas'!BE111,"")</f>
        <v>41.387096774193601</v>
      </c>
      <c r="H113" s="786">
        <f>IF(ISNUMBER('Base de datos Rutas'!BH111),'Base de datos Rutas'!BH111,"")</f>
        <v>3.8815276695245503E-2</v>
      </c>
      <c r="I113" s="788">
        <f>IFERROR(IF(OR(NOT(ISNUMBER('Base de datos Rutas'!O111)),N('Base de datos Rutas'!BK111)=0),"",'Base de datos Rutas'!O111/('Base de datos Rutas'!L111/'Base de datos Rutas'!BK111)),"")</f>
        <v>151.43016759776575</v>
      </c>
      <c r="J113" s="788">
        <f>IFERROR(IF(OR(NOT(ISNUMBER('Base de datos Rutas'!N111)),N('Base de datos Rutas'!BK111)=0),"",'Base de datos Rutas'!N111/('Base de datos Rutas'!L111/'Base de datos Rutas'!BK111)),"")</f>
        <v>235.03910614525199</v>
      </c>
      <c r="K113" s="788">
        <f>IFERROR(IF(OR(NOT(ISNUMBER('Base de datos Rutas'!J111)),N('Base de datos Rutas'!BK111)=0),"",'Base de datos Rutas'!J111/('Base de datos Rutas'!L111/'Base de datos Rutas'!BK111)),"")</f>
        <v>17.631678212290549</v>
      </c>
      <c r="L113" s="788">
        <f>IFERROR(IF(OR(NOT(ISNUMBER('Base de datos Rutas'!K111)),N('Base de datos Rutas'!BK111)=0),"",'Base de datos Rutas'!K111/('Base de datos Rutas'!L111/'Base de datos Rutas'!BK111)),"")</f>
        <v>1.1492641061452544</v>
      </c>
      <c r="M113" s="787">
        <f>IF(ISNUMBER('Base de datos Rutas'!AX111),'Base de datos Rutas'!AX111,"")</f>
        <v>277.54776556776602</v>
      </c>
      <c r="N113" s="790">
        <f>IFERROR(INDEX('Hoja de apoyo v2'!B$17:B$20,MATCH($A113,'Hoja de apoyo v2'!$A$17:$A$20,0)),"")</f>
        <v>63.050408855205418</v>
      </c>
      <c r="O113" s="791">
        <f>IFERROR(INDEX('Hoja de apoyo v2'!C$17:C$20,MATCH($A113,'Hoja de apoyo v2'!$A$17:$A$20,0)),"")</f>
        <v>0.7559478312655763</v>
      </c>
      <c r="P113" s="793">
        <f>IFERROR(INDEX('Hoja de apoyo v2'!D$17:D$20,MATCH($A113,'Hoja de apoyo v2'!$A$17:$A$20,0)),"")</f>
        <v>9054.9839880720647</v>
      </c>
      <c r="Q113" s="793">
        <f>IFERROR(INDEX('Hoja de apoyo v2'!E$17:E$20,MATCH($A113,'Hoja de apoyo v2'!$A$17:$A$20,0)),"")</f>
        <v>4535.7799207004691</v>
      </c>
      <c r="R113" s="793">
        <f>IFERROR(INDEX('Hoja de apoyo v2'!F$17:F$20,MATCH($A113,'Hoja de apoyo v2'!$A$17:$A$20,0)),"")</f>
        <v>260.44838236060593</v>
      </c>
      <c r="S113" s="793">
        <f>IFERROR(INDEX('Hoja de apoyo v2'!G$17:G$20,MATCH($A113,'Hoja de apoyo v2'!$A$17:$A$20,0)),"")</f>
        <v>64.772152317133859</v>
      </c>
      <c r="T113" s="792">
        <f>IFERROR(INDEX('Hoja de apoyo v2'!H$17:H$20,MATCH($A113,'Hoja de apoyo v2'!$A$17:$A$20,0)),"")</f>
        <v>389.240053528842</v>
      </c>
      <c r="U113" s="794">
        <f t="shared" si="39"/>
        <v>0.65641282151299951</v>
      </c>
      <c r="V113" s="795">
        <f t="shared" si="40"/>
        <v>5.1346501821775963E-2</v>
      </c>
      <c r="W113" s="795">
        <f t="shared" si="41"/>
        <v>1.6723405341990825E-2</v>
      </c>
      <c r="X113" s="843">
        <f t="shared" si="42"/>
        <v>5.1818895593363459E-2</v>
      </c>
      <c r="Y113" s="843">
        <f t="shared" si="43"/>
        <v>6.7697399586373566E-2</v>
      </c>
      <c r="Z113" s="843">
        <f t="shared" si="44"/>
        <v>1.7743182294117549E-2</v>
      </c>
      <c r="AA113" s="843">
        <f t="shared" si="45"/>
        <v>0.71305037354589773</v>
      </c>
      <c r="AB113" s="796">
        <f t="shared" si="46"/>
        <v>2</v>
      </c>
      <c r="AC113" s="797">
        <f t="shared" si="47"/>
        <v>1</v>
      </c>
      <c r="AD113" s="797">
        <f t="shared" si="48"/>
        <v>1</v>
      </c>
      <c r="AE113" s="842">
        <f t="shared" si="49"/>
        <v>1</v>
      </c>
      <c r="AF113" s="842">
        <f t="shared" si="50"/>
        <v>1</v>
      </c>
      <c r="AG113" s="842">
        <f t="shared" si="51"/>
        <v>1</v>
      </c>
      <c r="AH113" s="842">
        <f t="shared" si="52"/>
        <v>2</v>
      </c>
      <c r="AI113" s="826" cm="1">
        <f t="array" ref="AI113">SUMPRODUCT(--ISNUMBER($U113:$AA113),$AB$3:$AH$3)</f>
        <v>1</v>
      </c>
      <c r="AJ113" s="829">
        <f t="shared" si="53"/>
        <v>6.7783640184633231</v>
      </c>
      <c r="AK113" s="827" t="str">
        <f t="shared" si="54"/>
        <v>Inmadura</v>
      </c>
      <c r="AL113" s="784" t="str">
        <f t="shared" si="55"/>
        <v>Alta</v>
      </c>
      <c r="AM113" s="799">
        <f>IF(ISNUMBER('Base de datos Rutas'!W111),'Base de datos Rutas'!W111,"")</f>
        <v>2501.9736837243272</v>
      </c>
      <c r="AN113" s="787">
        <f>IFERROR(SUMIFS('Base de datos Rutas'!$W$6:$W$794,'Base de datos Rutas'!$C$6:$C$794,$C113)/'Base de datos Rutas'!I111,"")</f>
        <v>2501.9736837243258</v>
      </c>
      <c r="AO113" s="800">
        <f>IFERROR('Base de datos Rutas'!X111*AN113/AM113,"")</f>
        <v>0.65736700470635556</v>
      </c>
      <c r="AP113" s="800">
        <f t="shared" si="56"/>
        <v>0.34263299529364444</v>
      </c>
      <c r="AQ113" s="789">
        <f>IFERROR(INDEX('Hoja de apoyo v2'!$J$17:$J$20,MATCH($A113,'Hoja de apoyo v2'!$A$17:$A$20,0)),"")</f>
        <v>0.56799995069377007</v>
      </c>
      <c r="AR113" s="789">
        <f t="shared" si="57"/>
        <v>-0.22536695540012563</v>
      </c>
      <c r="AS113" s="784" t="str">
        <f t="shared" si="58"/>
        <v>Sí</v>
      </c>
      <c r="AT113" s="801" t="str">
        <f>IF(ISNUMBER('Base de datos Rutas'!CK111),'Base de datos Rutas'!CK111,"")</f>
        <v/>
      </c>
      <c r="AU113" s="802" t="str">
        <f>IF(ISNUMBER('Base de datos Rutas'!CL111),'Base de datos Rutas'!CL111,"")</f>
        <v/>
      </c>
      <c r="AV113" s="802">
        <f>IF(ISNUMBER('Base de datos Rutas'!CM111),'Base de datos Rutas'!CM111,"")</f>
        <v>0</v>
      </c>
      <c r="AW113" s="802" t="str">
        <f>IF(ISNUMBER('Base de datos Rutas'!CN111),'Base de datos Rutas'!CN111,"")</f>
        <v/>
      </c>
      <c r="AX113" s="802" t="str">
        <f>IF(ISNUMBER('Base de datos Rutas'!CO111),'Base de datos Rutas'!CO111,"")</f>
        <v/>
      </c>
      <c r="AY113" s="802">
        <f>IF(ISNUMBER('Base de datos Rutas'!CP111),'Base de datos Rutas'!CP111,"")</f>
        <v>0</v>
      </c>
      <c r="AZ113" s="802" t="str">
        <f>IF(ISNUMBER('Base de datos Rutas'!CQ111),'Base de datos Rutas'!CQ111,"")</f>
        <v/>
      </c>
      <c r="BA113" s="802" t="str">
        <f>IF(ISNUMBER('Base de datos Rutas'!CR111),'Base de datos Rutas'!CR111,"")</f>
        <v/>
      </c>
      <c r="BB113" s="803">
        <f>IF(ISNUMBER('Base de datos Rutas'!CS111),'Base de datos Rutas'!CS111,"")</f>
        <v>0</v>
      </c>
      <c r="BC113" s="804" t="str">
        <f t="shared" si="69"/>
        <v/>
      </c>
      <c r="BD113" s="805" t="str">
        <f t="shared" si="70"/>
        <v>N/D</v>
      </c>
      <c r="BE113" s="806" t="str">
        <f t="shared" si="71"/>
        <v/>
      </c>
      <c r="BF113" s="890">
        <f>IF(ISNUMBER('Base de datos Rutas'!CX111),'Base de datos Rutas'!CX111/100,"")</f>
        <v>0</v>
      </c>
      <c r="BG113" s="891">
        <f>IF(ISNUMBER('Base de datos Rutas'!CZ111),'Base de datos Rutas'!CZ111/100,"")</f>
        <v>0</v>
      </c>
      <c r="BH113" s="892">
        <f>IF(ISNUMBER('Base de datos Rutas'!DA111),'Base de datos Rutas'!DA111,"")</f>
        <v>0</v>
      </c>
      <c r="BI113" s="893">
        <f>IF(ISNUMBER('Base de datos Rutas'!DC111),'Base de datos Rutas'!DC111,"")</f>
        <v>0</v>
      </c>
      <c r="BJ113" s="805" t="str">
        <f t="shared" si="72"/>
        <v>Ruta (completo)</v>
      </c>
      <c r="BK113" s="783">
        <f t="shared" si="59"/>
        <v>1</v>
      </c>
      <c r="BL113" s="797">
        <f t="shared" si="60"/>
        <v>1</v>
      </c>
      <c r="BM113" s="797">
        <f t="shared" si="61"/>
        <v>1</v>
      </c>
      <c r="BN113" s="797">
        <f t="shared" si="62"/>
        <v>1</v>
      </c>
      <c r="BO113" s="798" cm="1">
        <f t="array" ref="BO113">SUMPRODUCT(--ISNUMBER($BF113:$BI113),$BK$3:$BN$3)</f>
        <v>1</v>
      </c>
      <c r="BP113" s="831">
        <f t="shared" si="73"/>
        <v>0</v>
      </c>
      <c r="BQ113" s="834" t="str">
        <f t="shared" si="74"/>
        <v>Bajo</v>
      </c>
      <c r="BR113" s="836" t="str">
        <f t="shared" si="64"/>
        <v/>
      </c>
      <c r="BS113" s="836">
        <f t="shared" si="65"/>
        <v>0</v>
      </c>
      <c r="BT113" s="837" t="str">
        <f t="shared" si="66"/>
        <v>Sin datos</v>
      </c>
      <c r="BU113" s="807" t="str">
        <f t="shared" si="75"/>
        <v>Con espacio</v>
      </c>
      <c r="BV113" s="807" t="str">
        <f t="shared" si="67"/>
        <v>Zona de bajo potencial</v>
      </c>
      <c r="BW113" s="808" t="str">
        <f t="shared" si="68"/>
        <v>Sin datos</v>
      </c>
    </row>
    <row r="114" spans="1:75">
      <c r="A114" s="780" t="str">
        <f>'Base de datos Rutas'!A112</f>
        <v>Noreste</v>
      </c>
      <c r="B114" s="781" t="str">
        <f>'Base de datos Rutas'!B112</f>
        <v>Saltillo</v>
      </c>
      <c r="C114" s="781" t="str">
        <f>'Base de datos Rutas'!C112</f>
        <v>Planta Agua y Hielo</v>
      </c>
      <c r="D114" s="782">
        <f>IF(ISNUMBER('Base de datos Rutas'!D112),'Base de datos Rutas'!D112,"Sin código")</f>
        <v>203301</v>
      </c>
      <c r="E114" s="783" t="str">
        <f>'Base de datos Rutas'!F112</f>
        <v>Activa</v>
      </c>
      <c r="F114" s="784" t="str">
        <f>'Base de datos Rutas'!H112</f>
        <v>Sí</v>
      </c>
      <c r="G114" s="785">
        <f>IF(ISNUMBER('Base de datos Rutas'!BE112),'Base de datos Rutas'!BE112,"")</f>
        <v>49.055045871559599</v>
      </c>
      <c r="H114" s="786">
        <f>IF(ISNUMBER('Base de datos Rutas'!BH112),'Base de datos Rutas'!BH112,"")</f>
        <v>0.74691415747147905</v>
      </c>
      <c r="I114" s="788">
        <f>IFERROR(IF(OR(NOT(ISNUMBER('Base de datos Rutas'!O112)),N('Base de datos Rutas'!BK112)=0),"",'Base de datos Rutas'!O112/('Base de datos Rutas'!L112/'Base de datos Rutas'!BK112)),"")</f>
        <v>2054.9610091743089</v>
      </c>
      <c r="J114" s="788">
        <f>IFERROR(IF(OR(NOT(ISNUMBER('Base de datos Rutas'!N112)),N('Base de datos Rutas'!BK112)=0),"",'Base de datos Rutas'!N112/('Base de datos Rutas'!L112/'Base de datos Rutas'!BK112)),"")</f>
        <v>5393.7866972476986</v>
      </c>
      <c r="K114" s="788">
        <f>IFERROR(IF(OR(NOT(ISNUMBER('Base de datos Rutas'!J112)),N('Base de datos Rutas'!BK112)=0),"",'Base de datos Rutas'!J112/('Base de datos Rutas'!L112/'Base de datos Rutas'!BK112)),"")</f>
        <v>349.51741100917383</v>
      </c>
      <c r="L114" s="788">
        <f>IFERROR(IF(OR(NOT(ISNUMBER('Base de datos Rutas'!K112)),N('Base de datos Rutas'!BK112)=0),"",'Base de datos Rutas'!K112/('Base de datos Rutas'!L112/'Base de datos Rutas'!BK112)),"")</f>
        <v>15.065631623853189</v>
      </c>
      <c r="M114" s="787">
        <f>IF(ISNUMBER('Base de datos Rutas'!AX112),'Base de datos Rutas'!AX112,"")</f>
        <v>203.21312425665101</v>
      </c>
      <c r="N114" s="790">
        <f>IFERROR(INDEX('Hoja de apoyo v2'!B$17:B$20,MATCH($A114,'Hoja de apoyo v2'!$A$17:$A$20,0)),"")</f>
        <v>63.050408855205418</v>
      </c>
      <c r="O114" s="791">
        <f>IFERROR(INDEX('Hoja de apoyo v2'!C$17:C$20,MATCH($A114,'Hoja de apoyo v2'!$A$17:$A$20,0)),"")</f>
        <v>0.7559478312655763</v>
      </c>
      <c r="P114" s="793">
        <f>IFERROR(INDEX('Hoja de apoyo v2'!D$17:D$20,MATCH($A114,'Hoja de apoyo v2'!$A$17:$A$20,0)),"")</f>
        <v>9054.9839880720647</v>
      </c>
      <c r="Q114" s="793">
        <f>IFERROR(INDEX('Hoja de apoyo v2'!E$17:E$20,MATCH($A114,'Hoja de apoyo v2'!$A$17:$A$20,0)),"")</f>
        <v>4535.7799207004691</v>
      </c>
      <c r="R114" s="793">
        <f>IFERROR(INDEX('Hoja de apoyo v2'!F$17:F$20,MATCH($A114,'Hoja de apoyo v2'!$A$17:$A$20,0)),"")</f>
        <v>260.44838236060593</v>
      </c>
      <c r="S114" s="793">
        <f>IFERROR(INDEX('Hoja de apoyo v2'!G$17:G$20,MATCH($A114,'Hoja de apoyo v2'!$A$17:$A$20,0)),"")</f>
        <v>64.772152317133859</v>
      </c>
      <c r="T114" s="792">
        <f>IFERROR(INDEX('Hoja de apoyo v2'!H$17:H$20,MATCH($A114,'Hoja de apoyo v2'!$A$17:$A$20,0)),"")</f>
        <v>389.240053528842</v>
      </c>
      <c r="U114" s="794">
        <f t="shared" si="39"/>
        <v>0.77802898922057717</v>
      </c>
      <c r="V114" s="795">
        <f t="shared" si="40"/>
        <v>0.98804987140584366</v>
      </c>
      <c r="W114" s="795">
        <f t="shared" si="41"/>
        <v>0.22694253373404799</v>
      </c>
      <c r="X114" s="843">
        <f t="shared" si="42"/>
        <v>1.1891641110344537</v>
      </c>
      <c r="Y114" s="843">
        <f t="shared" si="43"/>
        <v>1.3419834204431595</v>
      </c>
      <c r="Z114" s="843">
        <f t="shared" si="44"/>
        <v>0.23259427215093409</v>
      </c>
      <c r="AA114" s="843">
        <f t="shared" si="45"/>
        <v>0.52207660135262335</v>
      </c>
      <c r="AB114" s="796">
        <f t="shared" si="46"/>
        <v>3</v>
      </c>
      <c r="AC114" s="797">
        <f t="shared" si="47"/>
        <v>3</v>
      </c>
      <c r="AD114" s="797">
        <f t="shared" si="48"/>
        <v>1</v>
      </c>
      <c r="AE114" s="842">
        <f t="shared" si="49"/>
        <v>4</v>
      </c>
      <c r="AF114" s="842">
        <f t="shared" si="50"/>
        <v>5</v>
      </c>
      <c r="AG114" s="842">
        <f t="shared" si="51"/>
        <v>1</v>
      </c>
      <c r="AH114" s="842">
        <f t="shared" si="52"/>
        <v>2</v>
      </c>
      <c r="AI114" s="826" cm="1">
        <f t="array" ref="AI114">SUMPRODUCT(--ISNUMBER($U114:$AA114),$AB$3:$AH$3)</f>
        <v>1</v>
      </c>
      <c r="AJ114" s="829">
        <f t="shared" si="53"/>
        <v>38.010332355196276</v>
      </c>
      <c r="AK114" s="827" t="str">
        <f t="shared" si="54"/>
        <v>Inmadura</v>
      </c>
      <c r="AL114" s="784" t="str">
        <f t="shared" si="55"/>
        <v>Alta</v>
      </c>
      <c r="AM114" s="799">
        <f>IF(ISNUMBER('Base de datos Rutas'!W112),'Base de datos Rutas'!W112,"")</f>
        <v>2501.9736837243272</v>
      </c>
      <c r="AN114" s="787">
        <f>IFERROR(SUMIFS('Base de datos Rutas'!$W$6:$W$794,'Base de datos Rutas'!$C$6:$C$794,$C114)/'Base de datos Rutas'!I112,"")</f>
        <v>2501.9736837243258</v>
      </c>
      <c r="AO114" s="800">
        <f>IFERROR('Base de datos Rutas'!X112*AN114/AM114,"")</f>
        <v>0.65736700470635556</v>
      </c>
      <c r="AP114" s="800">
        <f t="shared" si="56"/>
        <v>0.34263299529364444</v>
      </c>
      <c r="AQ114" s="789">
        <f>IFERROR(INDEX('Hoja de apoyo v2'!$J$17:$J$20,MATCH($A114,'Hoja de apoyo v2'!$A$17:$A$20,0)),"")</f>
        <v>0.56799995069377007</v>
      </c>
      <c r="AR114" s="789">
        <f t="shared" si="57"/>
        <v>-0.22536695540012563</v>
      </c>
      <c r="AS114" s="784" t="str">
        <f t="shared" si="58"/>
        <v>Sí</v>
      </c>
      <c r="AT114" s="801">
        <f>IF(ISNUMBER('Base de datos Rutas'!CK112),'Base de datos Rutas'!CK112,"")</f>
        <v>398</v>
      </c>
      <c r="AU114" s="802">
        <f>IF(ISNUMBER('Base de datos Rutas'!CL112),'Base de datos Rutas'!CL112,"")</f>
        <v>595.64</v>
      </c>
      <c r="AV114" s="802">
        <f>IF(ISNUMBER('Base de datos Rutas'!CM112),'Base de datos Rutas'!CM112,"")</f>
        <v>197.64</v>
      </c>
      <c r="AW114" s="802">
        <f>IF(ISNUMBER('Base de datos Rutas'!CN112),'Base de datos Rutas'!CN112,"")</f>
        <v>6.18</v>
      </c>
      <c r="AX114" s="802">
        <f>IF(ISNUMBER('Base de datos Rutas'!CO112),'Base de datos Rutas'!CO112,"")</f>
        <v>9.4499999999999993</v>
      </c>
      <c r="AY114" s="802">
        <f>IF(ISNUMBER('Base de datos Rutas'!CP112),'Base de datos Rutas'!CP112,"")</f>
        <v>3.2699999999999996</v>
      </c>
      <c r="AZ114" s="802">
        <f>IF(ISNUMBER('Base de datos Rutas'!CQ112),'Base de datos Rutas'!CQ112,"")</f>
        <v>677.25</v>
      </c>
      <c r="BA114" s="802">
        <f>IF(ISNUMBER('Base de datos Rutas'!CR112),'Base de datos Rutas'!CR112,"")</f>
        <v>364.58</v>
      </c>
      <c r="BB114" s="803">
        <f>IF(ISNUMBER('Base de datos Rutas'!CS112),'Base de datos Rutas'!CS112,"")</f>
        <v>312.67</v>
      </c>
      <c r="BC114" s="804">
        <f t="shared" si="69"/>
        <v>0</v>
      </c>
      <c r="BD114" s="805" t="str">
        <f t="shared" si="70"/>
        <v>No saturada</v>
      </c>
      <c r="BE114" s="806">
        <f t="shared" si="71"/>
        <v>0.53832410483573268</v>
      </c>
      <c r="BF114" s="890">
        <f>IF(ISNUMBER('Base de datos Rutas'!CX112),'Base de datos Rutas'!CX112/100,"")</f>
        <v>0.79094555873925509</v>
      </c>
      <c r="BG114" s="891">
        <f>IF(ISNUMBER('Base de datos Rutas'!CZ112),'Base de datos Rutas'!CZ112/100,"")</f>
        <v>0.85386819484240695</v>
      </c>
      <c r="BH114" s="892">
        <f>IF(ISNUMBER('Base de datos Rutas'!DA112),'Base de datos Rutas'!DA112,"")</f>
        <v>636.32361979728284</v>
      </c>
      <c r="BI114" s="893">
        <f>IF(ISNUMBER('Base de datos Rutas'!DC112),'Base de datos Rutas'!DC112,"")</f>
        <v>28.88973054896605</v>
      </c>
      <c r="BJ114" s="805" t="str">
        <f t="shared" si="72"/>
        <v>Ruta (completo)</v>
      </c>
      <c r="BK114" s="783">
        <f t="shared" si="59"/>
        <v>4</v>
      </c>
      <c r="BL114" s="797">
        <f t="shared" si="60"/>
        <v>4</v>
      </c>
      <c r="BM114" s="797">
        <f t="shared" si="61"/>
        <v>5</v>
      </c>
      <c r="BN114" s="797">
        <f t="shared" si="62"/>
        <v>5</v>
      </c>
      <c r="BO114" s="798" cm="1">
        <f t="array" ref="BO114">SUMPRODUCT(--ISNUMBER($BF114:$BI114),$BK$3:$BN$3)</f>
        <v>1</v>
      </c>
      <c r="BP114" s="831">
        <f t="shared" si="73"/>
        <v>87.5</v>
      </c>
      <c r="BQ114" s="834" t="str">
        <f t="shared" si="74"/>
        <v>Alto</v>
      </c>
      <c r="BR114" s="836">
        <f t="shared" si="64"/>
        <v>28.507749266397205</v>
      </c>
      <c r="BS114" s="836">
        <f t="shared" si="65"/>
        <v>87.5</v>
      </c>
      <c r="BT114" s="837" t="str">
        <f t="shared" si="66"/>
        <v>P3</v>
      </c>
      <c r="BU114" s="807" t="str">
        <f t="shared" si="75"/>
        <v>Con espacio</v>
      </c>
      <c r="BV114" s="807" t="str">
        <f t="shared" si="67"/>
        <v>Zona atractiva</v>
      </c>
      <c r="BW114" s="808" t="str">
        <f t="shared" si="68"/>
        <v>P3 - Desarrollar</v>
      </c>
    </row>
    <row r="115" spans="1:75">
      <c r="A115" s="780" t="str">
        <f>'Base de datos Rutas'!A113</f>
        <v>Noreste</v>
      </c>
      <c r="B115" s="781" t="str">
        <f>'Base de datos Rutas'!B113</f>
        <v>Saltillo</v>
      </c>
      <c r="C115" s="781" t="str">
        <f>'Base de datos Rutas'!C113</f>
        <v>Planta Agua y Hielo</v>
      </c>
      <c r="D115" s="782">
        <f>IF(ISNUMBER('Base de datos Rutas'!D113),'Base de datos Rutas'!D113,"Sin código")</f>
        <v>203302</v>
      </c>
      <c r="E115" s="783" t="str">
        <f>'Base de datos Rutas'!F113</f>
        <v>Inactiva</v>
      </c>
      <c r="F115" s="784" t="str">
        <f>'Base de datos Rutas'!H113</f>
        <v>No</v>
      </c>
      <c r="G115" s="785" t="str">
        <f>IF(ISNUMBER('Base de datos Rutas'!BE113),'Base de datos Rutas'!BE113,"")</f>
        <v/>
      </c>
      <c r="H115" s="786" t="str">
        <f>IF(ISNUMBER('Base de datos Rutas'!BH113),'Base de datos Rutas'!BH113,"")</f>
        <v/>
      </c>
      <c r="I115" s="788" t="str">
        <f>IFERROR(IF(OR(NOT(ISNUMBER('Base de datos Rutas'!O113)),N('Base de datos Rutas'!BK113)=0),"",'Base de datos Rutas'!O113/('Base de datos Rutas'!L113/'Base de datos Rutas'!BK113)),"")</f>
        <v/>
      </c>
      <c r="J115" s="788" t="str">
        <f>IFERROR(IF(OR(NOT(ISNUMBER('Base de datos Rutas'!N113)),N('Base de datos Rutas'!BK113)=0),"",'Base de datos Rutas'!N113/('Base de datos Rutas'!L113/'Base de datos Rutas'!BK113)),"")</f>
        <v/>
      </c>
      <c r="K115" s="788" t="str">
        <f>IFERROR(IF(OR(NOT(ISNUMBER('Base de datos Rutas'!J113)),N('Base de datos Rutas'!BK113)=0),"",'Base de datos Rutas'!J113/('Base de datos Rutas'!L113/'Base de datos Rutas'!BK113)),"")</f>
        <v/>
      </c>
      <c r="L115" s="788" t="str">
        <f>IFERROR(IF(OR(NOT(ISNUMBER('Base de datos Rutas'!K113)),N('Base de datos Rutas'!BK113)=0),"",'Base de datos Rutas'!K113/('Base de datos Rutas'!L113/'Base de datos Rutas'!BK113)),"")</f>
        <v/>
      </c>
      <c r="M115" s="787">
        <f>IF(ISNUMBER('Base de datos Rutas'!AX113),'Base de datos Rutas'!AX113,"")</f>
        <v>279.5</v>
      </c>
      <c r="N115" s="790">
        <f>IFERROR(INDEX('Hoja de apoyo v2'!B$17:B$20,MATCH($A115,'Hoja de apoyo v2'!$A$17:$A$20,0)),"")</f>
        <v>63.050408855205418</v>
      </c>
      <c r="O115" s="791">
        <f>IFERROR(INDEX('Hoja de apoyo v2'!C$17:C$20,MATCH($A115,'Hoja de apoyo v2'!$A$17:$A$20,0)),"")</f>
        <v>0.7559478312655763</v>
      </c>
      <c r="P115" s="793">
        <f>IFERROR(INDEX('Hoja de apoyo v2'!D$17:D$20,MATCH($A115,'Hoja de apoyo v2'!$A$17:$A$20,0)),"")</f>
        <v>9054.9839880720647</v>
      </c>
      <c r="Q115" s="793">
        <f>IFERROR(INDEX('Hoja de apoyo v2'!E$17:E$20,MATCH($A115,'Hoja de apoyo v2'!$A$17:$A$20,0)),"")</f>
        <v>4535.7799207004691</v>
      </c>
      <c r="R115" s="793">
        <f>IFERROR(INDEX('Hoja de apoyo v2'!F$17:F$20,MATCH($A115,'Hoja de apoyo v2'!$A$17:$A$20,0)),"")</f>
        <v>260.44838236060593</v>
      </c>
      <c r="S115" s="793">
        <f>IFERROR(INDEX('Hoja de apoyo v2'!G$17:G$20,MATCH($A115,'Hoja de apoyo v2'!$A$17:$A$20,0)),"")</f>
        <v>64.772152317133859</v>
      </c>
      <c r="T115" s="792">
        <f>IFERROR(INDEX('Hoja de apoyo v2'!H$17:H$20,MATCH($A115,'Hoja de apoyo v2'!$A$17:$A$20,0)),"")</f>
        <v>389.240053528842</v>
      </c>
      <c r="U115" s="794" t="str">
        <f t="shared" si="39"/>
        <v/>
      </c>
      <c r="V115" s="795" t="str">
        <f t="shared" si="40"/>
        <v/>
      </c>
      <c r="W115" s="795" t="str">
        <f t="shared" si="41"/>
        <v/>
      </c>
      <c r="X115" s="843" t="str">
        <f t="shared" si="42"/>
        <v/>
      </c>
      <c r="Y115" s="843" t="str">
        <f t="shared" si="43"/>
        <v/>
      </c>
      <c r="Z115" s="843" t="str">
        <f t="shared" si="44"/>
        <v/>
      </c>
      <c r="AA115" s="843">
        <f t="shared" si="45"/>
        <v>0.71806587597051996</v>
      </c>
      <c r="AB115" s="796">
        <f t="shared" si="46"/>
        <v>0</v>
      </c>
      <c r="AC115" s="797">
        <f t="shared" si="47"/>
        <v>0</v>
      </c>
      <c r="AD115" s="797">
        <f t="shared" si="48"/>
        <v>0</v>
      </c>
      <c r="AE115" s="842">
        <f t="shared" si="49"/>
        <v>0</v>
      </c>
      <c r="AF115" s="842">
        <f t="shared" si="50"/>
        <v>0</v>
      </c>
      <c r="AG115" s="842">
        <f t="shared" si="51"/>
        <v>0</v>
      </c>
      <c r="AH115" s="842">
        <f t="shared" si="52"/>
        <v>2</v>
      </c>
      <c r="AI115" s="826" cm="1">
        <f t="array" ref="AI115">SUMPRODUCT(--ISNUMBER($U115:$AA115),$AB$3:$AH$3)</f>
        <v>8.9789113613062493E-2</v>
      </c>
      <c r="AJ115" s="829" t="str">
        <f t="shared" si="53"/>
        <v/>
      </c>
      <c r="AK115" s="827" t="str">
        <f t="shared" si="54"/>
        <v>Ruta inactiva</v>
      </c>
      <c r="AL115" s="784" t="str">
        <f t="shared" si="55"/>
        <v>n/a</v>
      </c>
      <c r="AM115" s="799">
        <f>IF(ISNUMBER('Base de datos Rutas'!W113),'Base de datos Rutas'!W113,"")</f>
        <v>2501.9736837243272</v>
      </c>
      <c r="AN115" s="787">
        <f>IFERROR(SUMIFS('Base de datos Rutas'!$W$6:$W$794,'Base de datos Rutas'!$C$6:$C$794,$C115)/'Base de datos Rutas'!I113,"")</f>
        <v>2501.9736837243258</v>
      </c>
      <c r="AO115" s="800">
        <f>IFERROR('Base de datos Rutas'!X113*AN115/AM115,"")</f>
        <v>0.65736700470635556</v>
      </c>
      <c r="AP115" s="800">
        <f t="shared" si="56"/>
        <v>0.34263299529364444</v>
      </c>
      <c r="AQ115" s="789">
        <f>IFERROR(INDEX('Hoja de apoyo v2'!$J$17:$J$20,MATCH($A115,'Hoja de apoyo v2'!$A$17:$A$20,0)),"")</f>
        <v>0.56799995069377007</v>
      </c>
      <c r="AR115" s="789">
        <f t="shared" si="57"/>
        <v>-0.22536695540012563</v>
      </c>
      <c r="AS115" s="784" t="str">
        <f t="shared" si="58"/>
        <v>Sí</v>
      </c>
      <c r="AT115" s="801" t="str">
        <f>IF(ISNUMBER('Base de datos Rutas'!CK113),'Base de datos Rutas'!CK113,"")</f>
        <v/>
      </c>
      <c r="AU115" s="802" t="str">
        <f>IF(ISNUMBER('Base de datos Rutas'!CL113),'Base de datos Rutas'!CL113,"")</f>
        <v/>
      </c>
      <c r="AV115" s="802">
        <f>IF(ISNUMBER('Base de datos Rutas'!CM113),'Base de datos Rutas'!CM113,"")</f>
        <v>0</v>
      </c>
      <c r="AW115" s="802" t="str">
        <f>IF(ISNUMBER('Base de datos Rutas'!CN113),'Base de datos Rutas'!CN113,"")</f>
        <v/>
      </c>
      <c r="AX115" s="802" t="str">
        <f>IF(ISNUMBER('Base de datos Rutas'!CO113),'Base de datos Rutas'!CO113,"")</f>
        <v/>
      </c>
      <c r="AY115" s="802">
        <f>IF(ISNUMBER('Base de datos Rutas'!CP113),'Base de datos Rutas'!CP113,"")</f>
        <v>0</v>
      </c>
      <c r="AZ115" s="802" t="str">
        <f>IF(ISNUMBER('Base de datos Rutas'!CQ113),'Base de datos Rutas'!CQ113,"")</f>
        <v/>
      </c>
      <c r="BA115" s="802" t="str">
        <f>IF(ISNUMBER('Base de datos Rutas'!CR113),'Base de datos Rutas'!CR113,"")</f>
        <v/>
      </c>
      <c r="BB115" s="803">
        <f>IF(ISNUMBER('Base de datos Rutas'!CS113),'Base de datos Rutas'!CS113,"")</f>
        <v>0</v>
      </c>
      <c r="BC115" s="804" t="str">
        <f t="shared" si="69"/>
        <v/>
      </c>
      <c r="BD115" s="805" t="str">
        <f t="shared" si="70"/>
        <v>N/D</v>
      </c>
      <c r="BE115" s="806" t="str">
        <f t="shared" si="71"/>
        <v/>
      </c>
      <c r="BF115" s="890" t="str">
        <f>IF(ISNUMBER('Base de datos Rutas'!CX113),'Base de datos Rutas'!CX113/100,"")</f>
        <v/>
      </c>
      <c r="BG115" s="891" t="str">
        <f>IF(ISNUMBER('Base de datos Rutas'!CZ113),'Base de datos Rutas'!CZ113/100,"")</f>
        <v/>
      </c>
      <c r="BH115" s="892" t="str">
        <f>IF(ISNUMBER('Base de datos Rutas'!DA113),'Base de datos Rutas'!DA113,"")</f>
        <v/>
      </c>
      <c r="BI115" s="893" t="str">
        <f>IF(ISNUMBER('Base de datos Rutas'!DC113),'Base de datos Rutas'!DC113,"")</f>
        <v/>
      </c>
      <c r="BJ115" s="805" t="str">
        <f t="shared" si="72"/>
        <v>Sin dato</v>
      </c>
      <c r="BK115" s="783">
        <f t="shared" si="59"/>
        <v>0</v>
      </c>
      <c r="BL115" s="797">
        <f t="shared" si="60"/>
        <v>0</v>
      </c>
      <c r="BM115" s="797">
        <f t="shared" si="61"/>
        <v>0</v>
      </c>
      <c r="BN115" s="797">
        <f t="shared" si="62"/>
        <v>0</v>
      </c>
      <c r="BO115" s="798" cm="1">
        <f t="array" ref="BO115">SUMPRODUCT(--ISNUMBER($BF115:$BI115),$BK$3:$BN$3)</f>
        <v>0</v>
      </c>
      <c r="BP115" s="831" t="str">
        <f t="shared" si="73"/>
        <v/>
      </c>
      <c r="BQ115" s="834" t="str">
        <f t="shared" si="74"/>
        <v>Sin datos</v>
      </c>
      <c r="BR115" s="836" t="str">
        <f t="shared" si="64"/>
        <v/>
      </c>
      <c r="BS115" s="836" t="str">
        <f t="shared" si="65"/>
        <v/>
      </c>
      <c r="BT115" s="837" t="str">
        <f t="shared" si="66"/>
        <v>Sin datos</v>
      </c>
      <c r="BU115" s="807" t="str">
        <f t="shared" si="75"/>
        <v>No evaluable</v>
      </c>
      <c r="BV115" s="807" t="str">
        <f t="shared" si="67"/>
        <v>No evaluable</v>
      </c>
      <c r="BW115" s="808" t="str">
        <f t="shared" si="68"/>
        <v>Sin datos</v>
      </c>
    </row>
    <row r="116" spans="1:75">
      <c r="A116" s="780" t="str">
        <f>'Base de datos Rutas'!A114</f>
        <v>Noreste</v>
      </c>
      <c r="B116" s="781" t="str">
        <f>'Base de datos Rutas'!B114</f>
        <v>Saltillo</v>
      </c>
      <c r="C116" s="781" t="str">
        <f>'Base de datos Rutas'!C114</f>
        <v>Planta Agua y Hielo</v>
      </c>
      <c r="D116" s="782">
        <f>IF(ISNUMBER('Base de datos Rutas'!D114),'Base de datos Rutas'!D114,"Sin código")</f>
        <v>203303</v>
      </c>
      <c r="E116" s="783" t="str">
        <f>'Base de datos Rutas'!F114</f>
        <v>Activa</v>
      </c>
      <c r="F116" s="784" t="str">
        <f>'Base de datos Rutas'!H114</f>
        <v>Sí</v>
      </c>
      <c r="G116" s="785">
        <f>IF(ISNUMBER('Base de datos Rutas'!BE114),'Base de datos Rutas'!BE114,"")</f>
        <v>55.5161290322581</v>
      </c>
      <c r="H116" s="786">
        <f>IF(ISNUMBER('Base de datos Rutas'!BH114),'Base de datos Rutas'!BH114,"")</f>
        <v>0.51427741346393296</v>
      </c>
      <c r="I116" s="788">
        <f>IFERROR(IF(OR(NOT(ISNUMBER('Base de datos Rutas'!O114)),N('Base de datos Rutas'!BK114)=0),"",'Base de datos Rutas'!O114/('Base de datos Rutas'!L114/'Base de datos Rutas'!BK114)),"")</f>
        <v>1969.0161290322601</v>
      </c>
      <c r="J116" s="788">
        <f>IFERROR(IF(OR(NOT(ISNUMBER('Base de datos Rutas'!N114)),N('Base de datos Rutas'!BK114)=0),"",'Base de datos Rutas'!N114/('Base de datos Rutas'!L114/'Base de datos Rutas'!BK114)),"")</f>
        <v>4527.3479262672854</v>
      </c>
      <c r="K116" s="788">
        <f>IFERROR(IF(OR(NOT(ISNUMBER('Base de datos Rutas'!J114)),N('Base de datos Rutas'!BK114)=0),"",'Base de datos Rutas'!J114/('Base de datos Rutas'!L114/'Base de datos Rutas'!BK114)),"")</f>
        <v>304.91485161290359</v>
      </c>
      <c r="L116" s="788">
        <f>IFERROR(IF(OR(NOT(ISNUMBER('Base de datos Rutas'!K114)),N('Base de datos Rutas'!BK114)=0),"",'Base de datos Rutas'!K114/('Base de datos Rutas'!L114/'Base de datos Rutas'!BK114)),"")</f>
        <v>19.151650350230437</v>
      </c>
      <c r="M116" s="787">
        <f>IF(ISNUMBER('Base de datos Rutas'!AX114),'Base de datos Rutas'!AX114,"")</f>
        <v>224.22245258655499</v>
      </c>
      <c r="N116" s="790">
        <f>IFERROR(INDEX('Hoja de apoyo v2'!B$17:B$20,MATCH($A116,'Hoja de apoyo v2'!$A$17:$A$20,0)),"")</f>
        <v>63.050408855205418</v>
      </c>
      <c r="O116" s="791">
        <f>IFERROR(INDEX('Hoja de apoyo v2'!C$17:C$20,MATCH($A116,'Hoja de apoyo v2'!$A$17:$A$20,0)),"")</f>
        <v>0.7559478312655763</v>
      </c>
      <c r="P116" s="793">
        <f>IFERROR(INDEX('Hoja de apoyo v2'!D$17:D$20,MATCH($A116,'Hoja de apoyo v2'!$A$17:$A$20,0)),"")</f>
        <v>9054.9839880720647</v>
      </c>
      <c r="Q116" s="793">
        <f>IFERROR(INDEX('Hoja de apoyo v2'!E$17:E$20,MATCH($A116,'Hoja de apoyo v2'!$A$17:$A$20,0)),"")</f>
        <v>4535.7799207004691</v>
      </c>
      <c r="R116" s="793">
        <f>IFERROR(INDEX('Hoja de apoyo v2'!F$17:F$20,MATCH($A116,'Hoja de apoyo v2'!$A$17:$A$20,0)),"")</f>
        <v>260.44838236060593</v>
      </c>
      <c r="S116" s="793">
        <f>IFERROR(INDEX('Hoja de apoyo v2'!G$17:G$20,MATCH($A116,'Hoja de apoyo v2'!$A$17:$A$20,0)),"")</f>
        <v>64.772152317133859</v>
      </c>
      <c r="T116" s="792">
        <f>IFERROR(INDEX('Hoja de apoyo v2'!H$17:H$20,MATCH($A116,'Hoja de apoyo v2'!$A$17:$A$20,0)),"")</f>
        <v>389.240053528842</v>
      </c>
      <c r="U116" s="794">
        <f t="shared" si="39"/>
        <v>0.88050387047846568</v>
      </c>
      <c r="V116" s="795">
        <f t="shared" si="40"/>
        <v>0.68030807443808816</v>
      </c>
      <c r="W116" s="795">
        <f t="shared" si="41"/>
        <v>0.21745108899430443</v>
      </c>
      <c r="X116" s="843">
        <f t="shared" si="42"/>
        <v>0.99814100450625887</v>
      </c>
      <c r="Y116" s="843">
        <f t="shared" si="43"/>
        <v>1.1707304489637076</v>
      </c>
      <c r="Z116" s="843">
        <f t="shared" si="44"/>
        <v>0.29567722647938544</v>
      </c>
      <c r="AA116" s="843">
        <f t="shared" si="45"/>
        <v>0.57605184911922358</v>
      </c>
      <c r="AB116" s="796">
        <f t="shared" si="46"/>
        <v>3</v>
      </c>
      <c r="AC116" s="797">
        <f t="shared" si="47"/>
        <v>2</v>
      </c>
      <c r="AD116" s="797">
        <f t="shared" si="48"/>
        <v>1</v>
      </c>
      <c r="AE116" s="842">
        <f t="shared" si="49"/>
        <v>3</v>
      </c>
      <c r="AF116" s="842">
        <f t="shared" si="50"/>
        <v>4</v>
      </c>
      <c r="AG116" s="842">
        <f t="shared" si="51"/>
        <v>1</v>
      </c>
      <c r="AH116" s="842">
        <f t="shared" si="52"/>
        <v>2</v>
      </c>
      <c r="AI116" s="826" cm="1">
        <f t="array" ref="AI116">SUMPRODUCT(--ISNUMBER($U116:$AA116),$AB$3:$AH$3)</f>
        <v>1</v>
      </c>
      <c r="AJ116" s="829">
        <f t="shared" si="53"/>
        <v>29.29193461104731</v>
      </c>
      <c r="AK116" s="827" t="str">
        <f t="shared" si="54"/>
        <v>Inmadura</v>
      </c>
      <c r="AL116" s="784" t="str">
        <f t="shared" si="55"/>
        <v>Alta</v>
      </c>
      <c r="AM116" s="799">
        <f>IF(ISNUMBER('Base de datos Rutas'!W114),'Base de datos Rutas'!W114,"")</f>
        <v>2501.9736837243272</v>
      </c>
      <c r="AN116" s="787">
        <f>IFERROR(SUMIFS('Base de datos Rutas'!$W$6:$W$794,'Base de datos Rutas'!$C$6:$C$794,$C116)/'Base de datos Rutas'!I114,"")</f>
        <v>2501.9736837243258</v>
      </c>
      <c r="AO116" s="800">
        <f>IFERROR('Base de datos Rutas'!X114*AN116/AM116,"")</f>
        <v>0.65736700470635556</v>
      </c>
      <c r="AP116" s="800">
        <f t="shared" si="56"/>
        <v>0.34263299529364444</v>
      </c>
      <c r="AQ116" s="789">
        <f>IFERROR(INDEX('Hoja de apoyo v2'!$J$17:$J$20,MATCH($A116,'Hoja de apoyo v2'!$A$17:$A$20,0)),"")</f>
        <v>0.56799995069377007</v>
      </c>
      <c r="AR116" s="789">
        <f t="shared" si="57"/>
        <v>-0.22536695540012563</v>
      </c>
      <c r="AS116" s="784" t="str">
        <f t="shared" si="58"/>
        <v>Sí</v>
      </c>
      <c r="AT116" s="801">
        <f>IF(ISNUMBER('Base de datos Rutas'!CK114),'Base de datos Rutas'!CK114,"")</f>
        <v>546</v>
      </c>
      <c r="AU116" s="802">
        <f>IF(ISNUMBER('Base de datos Rutas'!CL114),'Base de datos Rutas'!CL114,"")</f>
        <v>1047.17</v>
      </c>
      <c r="AV116" s="802">
        <f>IF(ISNUMBER('Base de datos Rutas'!CM114),'Base de datos Rutas'!CM114,"")</f>
        <v>501.17000000000007</v>
      </c>
      <c r="AW116" s="802">
        <f>IF(ISNUMBER('Base de datos Rutas'!CN114),'Base de datos Rutas'!CN114,"")</f>
        <v>14.42</v>
      </c>
      <c r="AX116" s="802">
        <f>IF(ISNUMBER('Base de datos Rutas'!CO114),'Base de datos Rutas'!CO114,"")</f>
        <v>9.4499999999999993</v>
      </c>
      <c r="AY116" s="802">
        <f>IF(ISNUMBER('Base de datos Rutas'!CP114),'Base de datos Rutas'!CP114,"")</f>
        <v>-4.9700000000000006</v>
      </c>
      <c r="AZ116" s="802">
        <f>IF(ISNUMBER('Base de datos Rutas'!CQ114),'Base de datos Rutas'!CQ114,"")</f>
        <v>677.25</v>
      </c>
      <c r="BA116" s="802">
        <f>IF(ISNUMBER('Base de datos Rutas'!CR114),'Base de datos Rutas'!CR114,"")</f>
        <v>324.07</v>
      </c>
      <c r="BB116" s="803">
        <f>IF(ISNUMBER('Base de datos Rutas'!CS114),'Base de datos Rutas'!CS114,"")</f>
        <v>353.18</v>
      </c>
      <c r="BC116" s="804">
        <f t="shared" si="69"/>
        <v>1</v>
      </c>
      <c r="BD116" s="805" t="str">
        <f t="shared" si="70"/>
        <v>Saturada</v>
      </c>
      <c r="BE116" s="806">
        <f t="shared" si="71"/>
        <v>0.47850867478774456</v>
      </c>
      <c r="BF116" s="890">
        <f>IF(ISNUMBER('Base de datos Rutas'!CX114),'Base de datos Rutas'!CX114/100,"")</f>
        <v>0.26672364601682091</v>
      </c>
      <c r="BG116" s="891">
        <f>IF(ISNUMBER('Base de datos Rutas'!CZ114),'Base de datos Rutas'!CZ114/100,"")</f>
        <v>0.27915746644503436</v>
      </c>
      <c r="BH116" s="892">
        <f>IF(ISNUMBER('Base de datos Rutas'!DA114),'Base de datos Rutas'!DA114,"")</f>
        <v>132.93053841914499</v>
      </c>
      <c r="BI116" s="893">
        <f>IF(ISNUMBER('Base de datos Rutas'!DC114),'Base de datos Rutas'!DC114,"")</f>
        <v>4.7248538711733463</v>
      </c>
      <c r="BJ116" s="805" t="str">
        <f t="shared" si="72"/>
        <v>Ruta (completo)</v>
      </c>
      <c r="BK116" s="783">
        <f t="shared" si="59"/>
        <v>2</v>
      </c>
      <c r="BL116" s="797">
        <f t="shared" si="60"/>
        <v>2</v>
      </c>
      <c r="BM116" s="797">
        <f t="shared" si="61"/>
        <v>3</v>
      </c>
      <c r="BN116" s="797">
        <f t="shared" si="62"/>
        <v>2</v>
      </c>
      <c r="BO116" s="798" cm="1">
        <f t="array" ref="BO116">SUMPRODUCT(--ISNUMBER($BF116:$BI116),$BK$3:$BN$3)</f>
        <v>1</v>
      </c>
      <c r="BP116" s="831">
        <f t="shared" si="73"/>
        <v>31.25</v>
      </c>
      <c r="BQ116" s="834" t="str">
        <f t="shared" si="74"/>
        <v>Medio</v>
      </c>
      <c r="BR116" s="836">
        <f t="shared" si="64"/>
        <v>46.968950958285482</v>
      </c>
      <c r="BS116" s="836">
        <f t="shared" si="65"/>
        <v>31.25</v>
      </c>
      <c r="BT116" s="837" t="str">
        <f t="shared" si="66"/>
        <v>P2</v>
      </c>
      <c r="BU116" s="807" t="str">
        <f t="shared" si="75"/>
        <v>Al tope</v>
      </c>
      <c r="BV116" s="807" t="str">
        <f t="shared" si="67"/>
        <v>Zona de bajo potencial</v>
      </c>
      <c r="BW116" s="808" t="str">
        <f t="shared" si="68"/>
        <v>P2 - Mantener</v>
      </c>
    </row>
    <row r="117" spans="1:75">
      <c r="A117" s="780" t="str">
        <f>'Base de datos Rutas'!A115</f>
        <v>Noreste</v>
      </c>
      <c r="B117" s="781" t="str">
        <f>'Base de datos Rutas'!B115</f>
        <v>Saltillo</v>
      </c>
      <c r="C117" s="781" t="str">
        <f>'Base de datos Rutas'!C115</f>
        <v>Planta Agua y Hielo</v>
      </c>
      <c r="D117" s="782">
        <f>IF(ISNUMBER('Base de datos Rutas'!D115),'Base de datos Rutas'!D115,"Sin código")</f>
        <v>203304</v>
      </c>
      <c r="E117" s="783" t="str">
        <f>'Base de datos Rutas'!F115</f>
        <v>Activa</v>
      </c>
      <c r="F117" s="784" t="str">
        <f>'Base de datos Rutas'!H115</f>
        <v>Sí</v>
      </c>
      <c r="G117" s="785">
        <f>IF(ISNUMBER('Base de datos Rutas'!BE115),'Base de datos Rutas'!BE115,"")</f>
        <v>46.721198156682</v>
      </c>
      <c r="H117" s="786">
        <f>IF(ISNUMBER('Base de datos Rutas'!BH115),'Base de datos Rutas'!BH115,"")</f>
        <v>0.493613453666716</v>
      </c>
      <c r="I117" s="788">
        <f>IFERROR(IF(OR(NOT(ISNUMBER('Base de datos Rutas'!O115)),N('Base de datos Rutas'!BK115)=0),"",'Base de datos Rutas'!O115/('Base de datos Rutas'!L115/'Base de datos Rutas'!BK115)),"")</f>
        <v>1897.5506912442379</v>
      </c>
      <c r="J117" s="788">
        <f>IFERROR(IF(OR(NOT(ISNUMBER('Base de datos Rutas'!N115)),N('Base de datos Rutas'!BK115)=0),"",'Base de datos Rutas'!N115/('Base de datos Rutas'!L115/'Base de datos Rutas'!BK115)),"")</f>
        <v>4090.8755760368626</v>
      </c>
      <c r="K117" s="788">
        <f>IFERROR(IF(OR(NOT(ISNUMBER('Base de datos Rutas'!J115)),N('Base de datos Rutas'!BK115)=0),"",'Base de datos Rutas'!J115/('Base de datos Rutas'!L115/'Base de datos Rutas'!BK115)),"")</f>
        <v>271.84974193548362</v>
      </c>
      <c r="L117" s="788">
        <f>IFERROR(IF(OR(NOT(ISNUMBER('Base de datos Rutas'!K115)),N('Base de datos Rutas'!BK115)=0),"",'Base de datos Rutas'!K115/('Base de datos Rutas'!L115/'Base de datos Rutas'!BK115)),"")</f>
        <v>14.608734490783396</v>
      </c>
      <c r="M117" s="787">
        <f>IF(ISNUMBER('Base de datos Rutas'!AX115),'Base de datos Rutas'!AX115,"")</f>
        <v>258.198973923469</v>
      </c>
      <c r="N117" s="790">
        <f>IFERROR(INDEX('Hoja de apoyo v2'!B$17:B$20,MATCH($A117,'Hoja de apoyo v2'!$A$17:$A$20,0)),"")</f>
        <v>63.050408855205418</v>
      </c>
      <c r="O117" s="791">
        <f>IFERROR(INDEX('Hoja de apoyo v2'!C$17:C$20,MATCH($A117,'Hoja de apoyo v2'!$A$17:$A$20,0)),"")</f>
        <v>0.7559478312655763</v>
      </c>
      <c r="P117" s="793">
        <f>IFERROR(INDEX('Hoja de apoyo v2'!D$17:D$20,MATCH($A117,'Hoja de apoyo v2'!$A$17:$A$20,0)),"")</f>
        <v>9054.9839880720647</v>
      </c>
      <c r="Q117" s="793">
        <f>IFERROR(INDEX('Hoja de apoyo v2'!E$17:E$20,MATCH($A117,'Hoja de apoyo v2'!$A$17:$A$20,0)),"")</f>
        <v>4535.7799207004691</v>
      </c>
      <c r="R117" s="793">
        <f>IFERROR(INDEX('Hoja de apoyo v2'!F$17:F$20,MATCH($A117,'Hoja de apoyo v2'!$A$17:$A$20,0)),"")</f>
        <v>260.44838236060593</v>
      </c>
      <c r="S117" s="793">
        <f>IFERROR(INDEX('Hoja de apoyo v2'!G$17:G$20,MATCH($A117,'Hoja de apoyo v2'!$A$17:$A$20,0)),"")</f>
        <v>64.772152317133859</v>
      </c>
      <c r="T117" s="792">
        <f>IFERROR(INDEX('Hoja de apoyo v2'!H$17:H$20,MATCH($A117,'Hoja de apoyo v2'!$A$17:$A$20,0)),"")</f>
        <v>389.240053528842</v>
      </c>
      <c r="U117" s="794">
        <f t="shared" si="39"/>
        <v>0.7410134050673125</v>
      </c>
      <c r="V117" s="795">
        <f t="shared" si="40"/>
        <v>0.65297290798536844</v>
      </c>
      <c r="W117" s="795">
        <f t="shared" si="41"/>
        <v>0.20955870200806986</v>
      </c>
      <c r="X117" s="843">
        <f t="shared" si="42"/>
        <v>0.90191227254366013</v>
      </c>
      <c r="Y117" s="843">
        <f t="shared" si="43"/>
        <v>1.0437758893779261</v>
      </c>
      <c r="Z117" s="843">
        <f t="shared" si="44"/>
        <v>0.22554035906135883</v>
      </c>
      <c r="AA117" s="843">
        <f t="shared" si="45"/>
        <v>0.66334122499121717</v>
      </c>
      <c r="AB117" s="796">
        <f t="shared" si="46"/>
        <v>2</v>
      </c>
      <c r="AC117" s="797">
        <f t="shared" si="47"/>
        <v>2</v>
      </c>
      <c r="AD117" s="797">
        <f t="shared" si="48"/>
        <v>1</v>
      </c>
      <c r="AE117" s="842">
        <f t="shared" si="49"/>
        <v>3</v>
      </c>
      <c r="AF117" s="842">
        <f t="shared" si="50"/>
        <v>4</v>
      </c>
      <c r="AG117" s="842">
        <f t="shared" si="51"/>
        <v>1</v>
      </c>
      <c r="AH117" s="842">
        <f t="shared" si="52"/>
        <v>2</v>
      </c>
      <c r="AI117" s="826" cm="1">
        <f t="array" ref="AI117">SUMPRODUCT(--ISNUMBER($U117:$AA117),$AB$3:$AH$3)</f>
        <v>1</v>
      </c>
      <c r="AJ117" s="829">
        <f t="shared" si="53"/>
        <v>24.758298432910564</v>
      </c>
      <c r="AK117" s="827" t="str">
        <f t="shared" si="54"/>
        <v>Inmadura</v>
      </c>
      <c r="AL117" s="784" t="str">
        <f t="shared" si="55"/>
        <v>Alta</v>
      </c>
      <c r="AM117" s="799">
        <f>IF(ISNUMBER('Base de datos Rutas'!W115),'Base de datos Rutas'!W115,"")</f>
        <v>2501.9736837243272</v>
      </c>
      <c r="AN117" s="787">
        <f>IFERROR(SUMIFS('Base de datos Rutas'!$W$6:$W$794,'Base de datos Rutas'!$C$6:$C$794,$C117)/'Base de datos Rutas'!I115,"")</f>
        <v>2501.9736837243258</v>
      </c>
      <c r="AO117" s="800">
        <f>IFERROR('Base de datos Rutas'!X115*AN117/AM117,"")</f>
        <v>0.65736700470635556</v>
      </c>
      <c r="AP117" s="800">
        <f t="shared" si="56"/>
        <v>0.34263299529364444</v>
      </c>
      <c r="AQ117" s="789">
        <f>IFERROR(INDEX('Hoja de apoyo v2'!$J$17:$J$20,MATCH($A117,'Hoja de apoyo v2'!$A$17:$A$20,0)),"")</f>
        <v>0.56799995069377007</v>
      </c>
      <c r="AR117" s="789">
        <f t="shared" si="57"/>
        <v>-0.22536695540012563</v>
      </c>
      <c r="AS117" s="784" t="str">
        <f t="shared" si="58"/>
        <v>Sí</v>
      </c>
      <c r="AT117" s="801">
        <f>IF(ISNUMBER('Base de datos Rutas'!CK115),'Base de datos Rutas'!CK115,"")</f>
        <v>363</v>
      </c>
      <c r="AU117" s="802">
        <f>IF(ISNUMBER('Base de datos Rutas'!CL115),'Base de datos Rutas'!CL115,"")</f>
        <v>645.17999999999995</v>
      </c>
      <c r="AV117" s="802">
        <f>IF(ISNUMBER('Base de datos Rutas'!CM115),'Base de datos Rutas'!CM115,"")</f>
        <v>282.17999999999995</v>
      </c>
      <c r="AW117" s="802">
        <f>IF(ISNUMBER('Base de datos Rutas'!CN115),'Base de datos Rutas'!CN115,"")</f>
        <v>9.4600000000000009</v>
      </c>
      <c r="AX117" s="802">
        <f>IF(ISNUMBER('Base de datos Rutas'!CO115),'Base de datos Rutas'!CO115,"")</f>
        <v>9.4499999999999993</v>
      </c>
      <c r="AY117" s="802">
        <f>IF(ISNUMBER('Base de datos Rutas'!CP115),'Base de datos Rutas'!CP115,"")</f>
        <v>-1.0000000000001563E-2</v>
      </c>
      <c r="AZ117" s="802">
        <f>IF(ISNUMBER('Base de datos Rutas'!CQ115),'Base de datos Rutas'!CQ115,"")</f>
        <v>677.25</v>
      </c>
      <c r="BA117" s="802">
        <f>IF(ISNUMBER('Base de datos Rutas'!CR115),'Base de datos Rutas'!CR115,"")</f>
        <v>286.45999999999998</v>
      </c>
      <c r="BB117" s="803">
        <f>IF(ISNUMBER('Base de datos Rutas'!CS115),'Base de datos Rutas'!CS115,"")</f>
        <v>390.79</v>
      </c>
      <c r="BC117" s="804">
        <f t="shared" si="69"/>
        <v>1</v>
      </c>
      <c r="BD117" s="805" t="str">
        <f t="shared" si="70"/>
        <v>Saturada</v>
      </c>
      <c r="BE117" s="806">
        <f t="shared" si="71"/>
        <v>0.4229752676264304</v>
      </c>
      <c r="BF117" s="890">
        <f>IF(ISNUMBER('Base de datos Rutas'!CX115),'Base de datos Rutas'!CX115/100,"")</f>
        <v>0.19144076760350559</v>
      </c>
      <c r="BG117" s="891">
        <f>IF(ISNUMBER('Base de datos Rutas'!CZ115),'Base de datos Rutas'!CZ115/100,"")</f>
        <v>0.20210033242671505</v>
      </c>
      <c r="BH117" s="892">
        <f>IF(ISNUMBER('Base de datos Rutas'!DA115),'Base de datos Rutas'!DA115,"")</f>
        <v>81.30633942060642</v>
      </c>
      <c r="BI117" s="893">
        <f>IF(ISNUMBER('Base de datos Rutas'!DC115),'Base de datos Rutas'!DC115,"")</f>
        <v>3.9927263702344828</v>
      </c>
      <c r="BJ117" s="805" t="str">
        <f t="shared" si="72"/>
        <v>Ruta (completo)</v>
      </c>
      <c r="BK117" s="783">
        <f t="shared" si="59"/>
        <v>2</v>
      </c>
      <c r="BL117" s="797">
        <f t="shared" si="60"/>
        <v>2</v>
      </c>
      <c r="BM117" s="797">
        <f t="shared" si="61"/>
        <v>1</v>
      </c>
      <c r="BN117" s="797">
        <f t="shared" si="62"/>
        <v>2</v>
      </c>
      <c r="BO117" s="798" cm="1">
        <f t="array" ref="BO117">SUMPRODUCT(--ISNUMBER($BF117:$BI117),$BK$3:$BN$3)</f>
        <v>1</v>
      </c>
      <c r="BP117" s="831">
        <f t="shared" si="73"/>
        <v>18.75</v>
      </c>
      <c r="BQ117" s="834" t="str">
        <f t="shared" si="74"/>
        <v>Bajo</v>
      </c>
      <c r="BR117" s="836">
        <f t="shared" si="64"/>
        <v>43.56872382468292</v>
      </c>
      <c r="BS117" s="836">
        <f t="shared" si="65"/>
        <v>18.75</v>
      </c>
      <c r="BT117" s="837" t="str">
        <f t="shared" si="66"/>
        <v>P2</v>
      </c>
      <c r="BU117" s="807" t="str">
        <f t="shared" si="75"/>
        <v>Al tope</v>
      </c>
      <c r="BV117" s="807" t="str">
        <f t="shared" si="67"/>
        <v>Zona de bajo potencial</v>
      </c>
      <c r="BW117" s="808" t="str">
        <f t="shared" si="68"/>
        <v>P2 - Mantener</v>
      </c>
    </row>
    <row r="118" spans="1:75">
      <c r="A118" s="780" t="str">
        <f>'Base de datos Rutas'!A116</f>
        <v>Noreste</v>
      </c>
      <c r="B118" s="781" t="str">
        <f>'Base de datos Rutas'!B116</f>
        <v>Saltillo</v>
      </c>
      <c r="C118" s="781" t="str">
        <f>'Base de datos Rutas'!C116</f>
        <v>Planta Agua y Hielo</v>
      </c>
      <c r="D118" s="782">
        <f>IF(ISNUMBER('Base de datos Rutas'!D116),'Base de datos Rutas'!D116,"Sin código")</f>
        <v>203305</v>
      </c>
      <c r="E118" s="783" t="str">
        <f>'Base de datos Rutas'!F116</f>
        <v>Activa</v>
      </c>
      <c r="F118" s="784" t="str">
        <f>'Base de datos Rutas'!H116</f>
        <v>Sí</v>
      </c>
      <c r="G118" s="785">
        <f>IF(ISNUMBER('Base de datos Rutas'!BE116),'Base de datos Rutas'!BE116,"")</f>
        <v>53.3720930232558</v>
      </c>
      <c r="H118" s="786">
        <f>IF(ISNUMBER('Base de datos Rutas'!BH116),'Base de datos Rutas'!BH116,"")</f>
        <v>0.67411764705882404</v>
      </c>
      <c r="I118" s="788">
        <f>IFERROR(IF(OR(NOT(ISNUMBER('Base de datos Rutas'!O116)),N('Base de datos Rutas'!BK116)=0),"",'Base de datos Rutas'!O116/('Base de datos Rutas'!L116/'Base de datos Rutas'!BK116)),"")</f>
        <v>2469.6906976744194</v>
      </c>
      <c r="J118" s="788">
        <f>IFERROR(IF(OR(NOT(ISNUMBER('Base de datos Rutas'!N116)),N('Base de datos Rutas'!BK116)=0),"",'Base de datos Rutas'!N116/('Base de datos Rutas'!L116/'Base de datos Rutas'!BK116)),"")</f>
        <v>4714.3418604651179</v>
      </c>
      <c r="K118" s="788">
        <f>IFERROR(IF(OR(NOT(ISNUMBER('Base de datos Rutas'!J116)),N('Base de datos Rutas'!BK116)=0),"",'Base de datos Rutas'!J116/('Base de datos Rutas'!L116/'Base de datos Rutas'!BK116)),"")</f>
        <v>309.55342697674428</v>
      </c>
      <c r="L118" s="788">
        <f>IFERROR(IF(OR(NOT(ISNUMBER('Base de datos Rutas'!K116)),N('Base de datos Rutas'!BK116)=0),"",'Base de datos Rutas'!K116/('Base de datos Rutas'!L116/'Base de datos Rutas'!BK116)),"")</f>
        <v>23.65253811860466</v>
      </c>
      <c r="M118" s="787">
        <f>IF(ISNUMBER('Base de datos Rutas'!AX116),'Base de datos Rutas'!AX116,"")</f>
        <v>199.518832654644</v>
      </c>
      <c r="N118" s="790">
        <f>IFERROR(INDEX('Hoja de apoyo v2'!B$17:B$20,MATCH($A118,'Hoja de apoyo v2'!$A$17:$A$20,0)),"")</f>
        <v>63.050408855205418</v>
      </c>
      <c r="O118" s="791">
        <f>IFERROR(INDEX('Hoja de apoyo v2'!C$17:C$20,MATCH($A118,'Hoja de apoyo v2'!$A$17:$A$20,0)),"")</f>
        <v>0.7559478312655763</v>
      </c>
      <c r="P118" s="793">
        <f>IFERROR(INDEX('Hoja de apoyo v2'!D$17:D$20,MATCH($A118,'Hoja de apoyo v2'!$A$17:$A$20,0)),"")</f>
        <v>9054.9839880720647</v>
      </c>
      <c r="Q118" s="793">
        <f>IFERROR(INDEX('Hoja de apoyo v2'!E$17:E$20,MATCH($A118,'Hoja de apoyo v2'!$A$17:$A$20,0)),"")</f>
        <v>4535.7799207004691</v>
      </c>
      <c r="R118" s="793">
        <f>IFERROR(INDEX('Hoja de apoyo v2'!F$17:F$20,MATCH($A118,'Hoja de apoyo v2'!$A$17:$A$20,0)),"")</f>
        <v>260.44838236060593</v>
      </c>
      <c r="S118" s="793">
        <f>IFERROR(INDEX('Hoja de apoyo v2'!G$17:G$20,MATCH($A118,'Hoja de apoyo v2'!$A$17:$A$20,0)),"")</f>
        <v>64.772152317133859</v>
      </c>
      <c r="T118" s="792">
        <f>IFERROR(INDEX('Hoja de apoyo v2'!H$17:H$20,MATCH($A118,'Hoja de apoyo v2'!$A$17:$A$20,0)),"")</f>
        <v>389.240053528842</v>
      </c>
      <c r="U118" s="794">
        <f t="shared" si="39"/>
        <v>0.8464987617419617</v>
      </c>
      <c r="V118" s="795">
        <f t="shared" si="40"/>
        <v>0.89175154577829063</v>
      </c>
      <c r="W118" s="795">
        <f t="shared" si="41"/>
        <v>0.27274379512185665</v>
      </c>
      <c r="X118" s="843">
        <f t="shared" si="42"/>
        <v>1.0393674170454621</v>
      </c>
      <c r="Y118" s="843">
        <f t="shared" si="43"/>
        <v>1.1885404093166896</v>
      </c>
      <c r="Z118" s="843">
        <f t="shared" si="44"/>
        <v>0.36516523339842716</v>
      </c>
      <c r="AA118" s="843">
        <f t="shared" si="45"/>
        <v>0.51258556473263872</v>
      </c>
      <c r="AB118" s="796">
        <f t="shared" si="46"/>
        <v>3</v>
      </c>
      <c r="AC118" s="797">
        <f t="shared" si="47"/>
        <v>3</v>
      </c>
      <c r="AD118" s="797">
        <f t="shared" si="48"/>
        <v>1</v>
      </c>
      <c r="AE118" s="842">
        <f t="shared" si="49"/>
        <v>4</v>
      </c>
      <c r="AF118" s="842">
        <f t="shared" si="50"/>
        <v>4</v>
      </c>
      <c r="AG118" s="842">
        <f t="shared" si="51"/>
        <v>1</v>
      </c>
      <c r="AH118" s="842">
        <f t="shared" si="52"/>
        <v>2</v>
      </c>
      <c r="AI118" s="826" cm="1">
        <f t="array" ref="AI118">SUMPRODUCT(--ISNUMBER($U118:$AA118),$AB$3:$AH$3)</f>
        <v>1</v>
      </c>
      <c r="AJ118" s="829">
        <f t="shared" si="53"/>
        <v>35.084287843156481</v>
      </c>
      <c r="AK118" s="827" t="str">
        <f t="shared" si="54"/>
        <v>Inmadura</v>
      </c>
      <c r="AL118" s="784" t="str">
        <f t="shared" si="55"/>
        <v>Alta</v>
      </c>
      <c r="AM118" s="799">
        <f>IF(ISNUMBER('Base de datos Rutas'!W116),'Base de datos Rutas'!W116,"")</f>
        <v>2501.9736837243272</v>
      </c>
      <c r="AN118" s="787">
        <f>IFERROR(SUMIFS('Base de datos Rutas'!$W$6:$W$794,'Base de datos Rutas'!$C$6:$C$794,$C118)/'Base de datos Rutas'!I116,"")</f>
        <v>2501.9736837243258</v>
      </c>
      <c r="AO118" s="800">
        <f>IFERROR('Base de datos Rutas'!X116*AN118/AM118,"")</f>
        <v>0.65736700470635556</v>
      </c>
      <c r="AP118" s="800">
        <f t="shared" si="56"/>
        <v>0.34263299529364444</v>
      </c>
      <c r="AQ118" s="789">
        <f>IFERROR(INDEX('Hoja de apoyo v2'!$J$17:$J$20,MATCH($A118,'Hoja de apoyo v2'!$A$17:$A$20,0)),"")</f>
        <v>0.56799995069377007</v>
      </c>
      <c r="AR118" s="789">
        <f t="shared" si="57"/>
        <v>-0.22536695540012563</v>
      </c>
      <c r="AS118" s="784" t="str">
        <f t="shared" si="58"/>
        <v>Sí</v>
      </c>
      <c r="AT118" s="801">
        <f>IF(ISNUMBER('Base de datos Rutas'!CK116),'Base de datos Rutas'!CK116,"")</f>
        <v>372</v>
      </c>
      <c r="AU118" s="802">
        <f>IF(ISNUMBER('Base de datos Rutas'!CL116),'Base de datos Rutas'!CL116,"")</f>
        <v>427.49</v>
      </c>
      <c r="AV118" s="802">
        <f>IF(ISNUMBER('Base de datos Rutas'!CM116),'Base de datos Rutas'!CM116,"")</f>
        <v>55.490000000000009</v>
      </c>
      <c r="AW118" s="802">
        <f>IF(ISNUMBER('Base de datos Rutas'!CN116),'Base de datos Rutas'!CN116,"")</f>
        <v>9.09</v>
      </c>
      <c r="AX118" s="802">
        <f>IF(ISNUMBER('Base de datos Rutas'!CO116),'Base de datos Rutas'!CO116,"")</f>
        <v>9.4499999999999993</v>
      </c>
      <c r="AY118" s="802">
        <f>IF(ISNUMBER('Base de datos Rutas'!CP116),'Base de datos Rutas'!CP116,"")</f>
        <v>0.35999999999999943</v>
      </c>
      <c r="AZ118" s="802">
        <f>IF(ISNUMBER('Base de datos Rutas'!CQ116),'Base de datos Rutas'!CQ116,"")</f>
        <v>677.25</v>
      </c>
      <c r="BA118" s="802">
        <f>IF(ISNUMBER('Base de datos Rutas'!CR116),'Base de datos Rutas'!CR116,"")</f>
        <v>333.21</v>
      </c>
      <c r="BB118" s="803">
        <f>IF(ISNUMBER('Base de datos Rutas'!CS116),'Base de datos Rutas'!CS116,"")</f>
        <v>344.04</v>
      </c>
      <c r="BC118" s="804">
        <f t="shared" si="69"/>
        <v>0</v>
      </c>
      <c r="BD118" s="805" t="str">
        <f t="shared" si="70"/>
        <v>No saturada</v>
      </c>
      <c r="BE118" s="806">
        <f t="shared" si="71"/>
        <v>0.49200442967884828</v>
      </c>
      <c r="BF118" s="890">
        <f>IF(ISNUMBER('Base de datos Rutas'!CX116),'Base de datos Rutas'!CX116/100,"")</f>
        <v>0.77746768707483005</v>
      </c>
      <c r="BG118" s="891">
        <f>IF(ISNUMBER('Base de datos Rutas'!CZ116),'Base de datos Rutas'!CZ116/100,"")</f>
        <v>0.78690476190476188</v>
      </c>
      <c r="BH118" s="892">
        <f>IF(ISNUMBER('Base de datos Rutas'!DA116),'Base de datos Rutas'!DA116,"")</f>
        <v>175.04988299196864</v>
      </c>
      <c r="BI118" s="893">
        <f>IF(ISNUMBER('Base de datos Rutas'!DC116),'Base de datos Rutas'!DC116,"")</f>
        <v>7.839816089320343</v>
      </c>
      <c r="BJ118" s="805" t="str">
        <f t="shared" si="72"/>
        <v>Ruta (completo)</v>
      </c>
      <c r="BK118" s="783">
        <f t="shared" si="59"/>
        <v>4</v>
      </c>
      <c r="BL118" s="797">
        <f t="shared" si="60"/>
        <v>4</v>
      </c>
      <c r="BM118" s="797">
        <f t="shared" si="61"/>
        <v>3</v>
      </c>
      <c r="BN118" s="797">
        <f t="shared" si="62"/>
        <v>3</v>
      </c>
      <c r="BO118" s="798" cm="1">
        <f t="array" ref="BO118">SUMPRODUCT(--ISNUMBER($BF118:$BI118),$BK$3:$BN$3)</f>
        <v>1</v>
      </c>
      <c r="BP118" s="831">
        <f t="shared" si="73"/>
        <v>62.5</v>
      </c>
      <c r="BQ118" s="834" t="str">
        <f t="shared" si="74"/>
        <v>Alto</v>
      </c>
      <c r="BR118" s="836">
        <f t="shared" si="64"/>
        <v>26.313215882367359</v>
      </c>
      <c r="BS118" s="836">
        <f t="shared" si="65"/>
        <v>62.5</v>
      </c>
      <c r="BT118" s="837" t="str">
        <f t="shared" si="66"/>
        <v>P3</v>
      </c>
      <c r="BU118" s="807" t="str">
        <f t="shared" si="75"/>
        <v>Con espacio</v>
      </c>
      <c r="BV118" s="807" t="str">
        <f t="shared" si="67"/>
        <v>Zona atractiva</v>
      </c>
      <c r="BW118" s="808" t="str">
        <f t="shared" si="68"/>
        <v>P3 - Desarrollar</v>
      </c>
    </row>
    <row r="119" spans="1:75">
      <c r="A119" s="780" t="str">
        <f>'Base de datos Rutas'!A117</f>
        <v>Noreste</v>
      </c>
      <c r="B119" s="781" t="str">
        <f>'Base de datos Rutas'!B117</f>
        <v>Saltillo</v>
      </c>
      <c r="C119" s="781" t="str">
        <f>'Base de datos Rutas'!C117</f>
        <v>Planta Agua y Hielo</v>
      </c>
      <c r="D119" s="782">
        <f>IF(ISNUMBER('Base de datos Rutas'!D117),'Base de datos Rutas'!D117,"Sin código")</f>
        <v>203307</v>
      </c>
      <c r="E119" s="783" t="str">
        <f>'Base de datos Rutas'!F117</f>
        <v>Activa</v>
      </c>
      <c r="F119" s="784" t="str">
        <f>'Base de datos Rutas'!H117</f>
        <v>Sí</v>
      </c>
      <c r="G119" s="785">
        <f>IF(ISNUMBER('Base de datos Rutas'!BE117),'Base de datos Rutas'!BE117,"")</f>
        <v>52.135514018691602</v>
      </c>
      <c r="H119" s="786">
        <f>IF(ISNUMBER('Base de datos Rutas'!BH117),'Base de datos Rutas'!BH117,"")</f>
        <v>0.16747333512592999</v>
      </c>
      <c r="I119" s="788">
        <f>IFERROR(IF(OR(NOT(ISNUMBER('Base de datos Rutas'!O117)),N('Base de datos Rutas'!BK117)=0),"",'Base de datos Rutas'!O117/('Base de datos Rutas'!L117/'Base de datos Rutas'!BK117)),"")</f>
        <v>699.12850467289559</v>
      </c>
      <c r="J119" s="788">
        <f>IFERROR(IF(OR(NOT(ISNUMBER('Base de datos Rutas'!N117)),N('Base de datos Rutas'!BK117)=0),"",'Base de datos Rutas'!N117/('Base de datos Rutas'!L117/'Base de datos Rutas'!BK117)),"")</f>
        <v>1632.210280373828</v>
      </c>
      <c r="K119" s="788">
        <f>IFERROR(IF(OR(NOT(ISNUMBER('Base de datos Rutas'!J117)),N('Base de datos Rutas'!BK117)=0),"",'Base de datos Rutas'!J117/('Base de datos Rutas'!L117/'Base de datos Rutas'!BK117)),"")</f>
        <v>108.57715700934556</v>
      </c>
      <c r="L119" s="788">
        <f>IFERROR(IF(OR(NOT(ISNUMBER('Base de datos Rutas'!K117)),N('Base de datos Rutas'!BK117)=0),"",'Base de datos Rutas'!K117/('Base de datos Rutas'!L117/'Base de datos Rutas'!BK117)),"")</f>
        <v>6.5468303878504521</v>
      </c>
      <c r="M119" s="787">
        <f>IF(ISNUMBER('Base de datos Rutas'!AX117),'Base de datos Rutas'!AX117,"")</f>
        <v>267.22607706716599</v>
      </c>
      <c r="N119" s="790">
        <f>IFERROR(INDEX('Hoja de apoyo v2'!B$17:B$20,MATCH($A119,'Hoja de apoyo v2'!$A$17:$A$20,0)),"")</f>
        <v>63.050408855205418</v>
      </c>
      <c r="O119" s="791">
        <f>IFERROR(INDEX('Hoja de apoyo v2'!C$17:C$20,MATCH($A119,'Hoja de apoyo v2'!$A$17:$A$20,0)),"")</f>
        <v>0.7559478312655763</v>
      </c>
      <c r="P119" s="793">
        <f>IFERROR(INDEX('Hoja de apoyo v2'!D$17:D$20,MATCH($A119,'Hoja de apoyo v2'!$A$17:$A$20,0)),"")</f>
        <v>9054.9839880720647</v>
      </c>
      <c r="Q119" s="793">
        <f>IFERROR(INDEX('Hoja de apoyo v2'!E$17:E$20,MATCH($A119,'Hoja de apoyo v2'!$A$17:$A$20,0)),"")</f>
        <v>4535.7799207004691</v>
      </c>
      <c r="R119" s="793">
        <f>IFERROR(INDEX('Hoja de apoyo v2'!F$17:F$20,MATCH($A119,'Hoja de apoyo v2'!$A$17:$A$20,0)),"")</f>
        <v>260.44838236060593</v>
      </c>
      <c r="S119" s="793">
        <f>IFERROR(INDEX('Hoja de apoyo v2'!G$17:G$20,MATCH($A119,'Hoja de apoyo v2'!$A$17:$A$20,0)),"")</f>
        <v>64.772152317133859</v>
      </c>
      <c r="T119" s="792">
        <f>IFERROR(INDEX('Hoja de apoyo v2'!H$17:H$20,MATCH($A119,'Hoja de apoyo v2'!$A$17:$A$20,0)),"")</f>
        <v>389.240053528842</v>
      </c>
      <c r="U119" s="794">
        <f t="shared" si="39"/>
        <v>0.82688621636729187</v>
      </c>
      <c r="V119" s="795">
        <f t="shared" si="40"/>
        <v>0.22154086327035707</v>
      </c>
      <c r="W119" s="795">
        <f t="shared" si="41"/>
        <v>7.7209248033330874E-2</v>
      </c>
      <c r="X119" s="843">
        <f t="shared" si="42"/>
        <v>0.35985217733442471</v>
      </c>
      <c r="Y119" s="843">
        <f t="shared" si="43"/>
        <v>0.41688551115289391</v>
      </c>
      <c r="Z119" s="843">
        <f t="shared" si="44"/>
        <v>0.1010747698454765</v>
      </c>
      <c r="AA119" s="843">
        <f t="shared" si="45"/>
        <v>0.68653283403005438</v>
      </c>
      <c r="AB119" s="796">
        <f t="shared" si="46"/>
        <v>3</v>
      </c>
      <c r="AC119" s="797">
        <f t="shared" si="47"/>
        <v>1</v>
      </c>
      <c r="AD119" s="797">
        <f t="shared" si="48"/>
        <v>1</v>
      </c>
      <c r="AE119" s="842">
        <f t="shared" si="49"/>
        <v>1</v>
      </c>
      <c r="AF119" s="842">
        <f t="shared" si="50"/>
        <v>1</v>
      </c>
      <c r="AG119" s="842">
        <f t="shared" si="51"/>
        <v>1</v>
      </c>
      <c r="AH119" s="842">
        <f t="shared" si="52"/>
        <v>2</v>
      </c>
      <c r="AI119" s="826" cm="1">
        <f t="array" ref="AI119">SUMPRODUCT(--ISNUMBER($U119:$AA119),$AB$3:$AH$3)</f>
        <v>1</v>
      </c>
      <c r="AJ119" s="829">
        <f t="shared" si="53"/>
        <v>11.312000196600074</v>
      </c>
      <c r="AK119" s="827" t="str">
        <f t="shared" si="54"/>
        <v>Inmadura</v>
      </c>
      <c r="AL119" s="784" t="str">
        <f t="shared" si="55"/>
        <v>Alta</v>
      </c>
      <c r="AM119" s="799">
        <f>IF(ISNUMBER('Base de datos Rutas'!W117),'Base de datos Rutas'!W117,"")</f>
        <v>2501.9736837243272</v>
      </c>
      <c r="AN119" s="787">
        <f>IFERROR(SUMIFS('Base de datos Rutas'!$W$6:$W$794,'Base de datos Rutas'!$C$6:$C$794,$C119)/'Base de datos Rutas'!I117,"")</f>
        <v>2501.9736837243258</v>
      </c>
      <c r="AO119" s="800">
        <f>IFERROR('Base de datos Rutas'!X117*AN119/AM119,"")</f>
        <v>0.65736700470635556</v>
      </c>
      <c r="AP119" s="800">
        <f t="shared" si="56"/>
        <v>0.34263299529364444</v>
      </c>
      <c r="AQ119" s="789">
        <f>IFERROR(INDEX('Hoja de apoyo v2'!$J$17:$J$20,MATCH($A119,'Hoja de apoyo v2'!$A$17:$A$20,0)),"")</f>
        <v>0.56799995069377007</v>
      </c>
      <c r="AR119" s="789">
        <f t="shared" si="57"/>
        <v>-0.22536695540012563</v>
      </c>
      <c r="AS119" s="784" t="str">
        <f t="shared" si="58"/>
        <v>Sí</v>
      </c>
      <c r="AT119" s="801">
        <f>IF(ISNUMBER('Base de datos Rutas'!CK117),'Base de datos Rutas'!CK117,"")</f>
        <v>468</v>
      </c>
      <c r="AU119" s="802">
        <f>IF(ISNUMBER('Base de datos Rutas'!CL117),'Base de datos Rutas'!CL117,"")</f>
        <v>530.71</v>
      </c>
      <c r="AV119" s="802">
        <f>IF(ISNUMBER('Base de datos Rutas'!CM117),'Base de datos Rutas'!CM117,"")</f>
        <v>62.710000000000036</v>
      </c>
      <c r="AW119" s="802">
        <f>IF(ISNUMBER('Base de datos Rutas'!CN117),'Base de datos Rutas'!CN117,"")</f>
        <v>12.2</v>
      </c>
      <c r="AX119" s="802">
        <f>IF(ISNUMBER('Base de datos Rutas'!CO117),'Base de datos Rutas'!CO117,"")</f>
        <v>9.4499999999999993</v>
      </c>
      <c r="AY119" s="802">
        <f>IF(ISNUMBER('Base de datos Rutas'!CP117),'Base de datos Rutas'!CP117,"")</f>
        <v>-2.75</v>
      </c>
      <c r="AZ119" s="802">
        <f>IF(ISNUMBER('Base de datos Rutas'!CQ117),'Base de datos Rutas'!CQ117,"")</f>
        <v>677.25</v>
      </c>
      <c r="BA119" s="802">
        <f>IF(ISNUMBER('Base de datos Rutas'!CR117),'Base de datos Rutas'!CR117,"")</f>
        <v>115.12</v>
      </c>
      <c r="BB119" s="803">
        <f>IF(ISNUMBER('Base de datos Rutas'!CS117),'Base de datos Rutas'!CS117,"")</f>
        <v>562.13</v>
      </c>
      <c r="BC119" s="804">
        <f t="shared" si="69"/>
        <v>1</v>
      </c>
      <c r="BD119" s="805" t="str">
        <f t="shared" si="70"/>
        <v>Saturada</v>
      </c>
      <c r="BE119" s="806">
        <f t="shared" si="71"/>
        <v>0.16998154300479881</v>
      </c>
      <c r="BF119" s="890">
        <f>IF(ISNUMBER('Base de datos Rutas'!CX117),'Base de datos Rutas'!CX117/100,"")</f>
        <v>0.19753806887004671</v>
      </c>
      <c r="BG119" s="891">
        <f>IF(ISNUMBER('Base de datos Rutas'!CZ117),'Base de datos Rutas'!CZ117/100,"")</f>
        <v>0.20025090846167157</v>
      </c>
      <c r="BH119" s="892">
        <f>IF(ISNUMBER('Base de datos Rutas'!DA117),'Base de datos Rutas'!DA117,"")</f>
        <v>95.078619560795232</v>
      </c>
      <c r="BI119" s="893">
        <f>IF(ISNUMBER('Base de datos Rutas'!DC117),'Base de datos Rutas'!DC117,"")</f>
        <v>4.1695141791756321</v>
      </c>
      <c r="BJ119" s="805" t="str">
        <f t="shared" si="72"/>
        <v>Ruta (completo)</v>
      </c>
      <c r="BK119" s="783">
        <f t="shared" si="59"/>
        <v>2</v>
      </c>
      <c r="BL119" s="797">
        <f t="shared" si="60"/>
        <v>2</v>
      </c>
      <c r="BM119" s="797">
        <f t="shared" si="61"/>
        <v>2</v>
      </c>
      <c r="BN119" s="797">
        <f t="shared" si="62"/>
        <v>2</v>
      </c>
      <c r="BO119" s="798" cm="1">
        <f t="array" ref="BO119">SUMPRODUCT(--ISNUMBER($BF119:$BI119),$BK$3:$BN$3)</f>
        <v>1</v>
      </c>
      <c r="BP119" s="831">
        <f t="shared" si="73"/>
        <v>25</v>
      </c>
      <c r="BQ119" s="834" t="str">
        <f t="shared" si="74"/>
        <v>Medio</v>
      </c>
      <c r="BR119" s="836">
        <f t="shared" si="64"/>
        <v>33.484000147450054</v>
      </c>
      <c r="BS119" s="836">
        <f t="shared" si="65"/>
        <v>25</v>
      </c>
      <c r="BT119" s="837" t="str">
        <f t="shared" si="66"/>
        <v>P2</v>
      </c>
      <c r="BU119" s="807" t="str">
        <f t="shared" si="75"/>
        <v>Al tope</v>
      </c>
      <c r="BV119" s="807" t="str">
        <f t="shared" si="67"/>
        <v>Zona de bajo potencial</v>
      </c>
      <c r="BW119" s="808" t="str">
        <f t="shared" si="68"/>
        <v>P2 - Mantener</v>
      </c>
    </row>
    <row r="120" spans="1:75">
      <c r="A120" s="780" t="str">
        <f>'Base de datos Rutas'!A118</f>
        <v>Noreste</v>
      </c>
      <c r="B120" s="781" t="str">
        <f>'Base de datos Rutas'!B118</f>
        <v>Saltillo</v>
      </c>
      <c r="C120" s="781" t="str">
        <f>'Base de datos Rutas'!C118</f>
        <v>Planta Agua y Hielo</v>
      </c>
      <c r="D120" s="782">
        <f>IF(ISNUMBER('Base de datos Rutas'!D118),'Base de datos Rutas'!D118,"Sin código")</f>
        <v>203309</v>
      </c>
      <c r="E120" s="783" t="str">
        <f>'Base de datos Rutas'!F118</f>
        <v>Activa</v>
      </c>
      <c r="F120" s="784" t="str">
        <f>'Base de datos Rutas'!H118</f>
        <v>Sí</v>
      </c>
      <c r="G120" s="785">
        <f>IF(ISNUMBER('Base de datos Rutas'!BE118),'Base de datos Rutas'!BE118,"")</f>
        <v>56.3264840182648</v>
      </c>
      <c r="H120" s="786">
        <f>IF(ISNUMBER('Base de datos Rutas'!BH118),'Base de datos Rutas'!BH118,"")</f>
        <v>0.84017672571034796</v>
      </c>
      <c r="I120" s="788">
        <f>IFERROR(IF(OR(NOT(ISNUMBER('Base de datos Rutas'!O118)),N('Base de datos Rutas'!BK118)=0),"",'Base de datos Rutas'!O118/('Base de datos Rutas'!L118/'Base de datos Rutas'!BK118)),"")</f>
        <v>2315.0068493150652</v>
      </c>
      <c r="J120" s="788">
        <f>IFERROR(IF(OR(NOT(ISNUMBER('Base de datos Rutas'!N118)),N('Base de datos Rutas'!BK118)=0),"",'Base de datos Rutas'!N118/('Base de datos Rutas'!L118/'Base de datos Rutas'!BK118)),"")</f>
        <v>7349.534246575332</v>
      </c>
      <c r="K120" s="788">
        <f>IFERROR(IF(OR(NOT(ISNUMBER('Base de datos Rutas'!J118)),N('Base de datos Rutas'!BK118)=0),"",'Base de datos Rutas'!J118/('Base de datos Rutas'!L118/'Base de datos Rutas'!BK118)),"")</f>
        <v>483.17195068493083</v>
      </c>
      <c r="L120" s="788">
        <f>IFERROR(IF(OR(NOT(ISNUMBER('Base de datos Rutas'!K118)),N('Base de datos Rutas'!BK118)=0),"",'Base de datos Rutas'!K118/('Base de datos Rutas'!L118/'Base de datos Rutas'!BK118)),"")</f>
        <v>17.636390984018238</v>
      </c>
      <c r="M120" s="787">
        <f>IF(ISNUMBER('Base de datos Rutas'!AX118),'Base de datos Rutas'!AX118,"")</f>
        <v>204.21984754920899</v>
      </c>
      <c r="N120" s="790">
        <f>IFERROR(INDEX('Hoja de apoyo v2'!B$17:B$20,MATCH($A120,'Hoja de apoyo v2'!$A$17:$A$20,0)),"")</f>
        <v>63.050408855205418</v>
      </c>
      <c r="O120" s="791">
        <f>IFERROR(INDEX('Hoja de apoyo v2'!C$17:C$20,MATCH($A120,'Hoja de apoyo v2'!$A$17:$A$20,0)),"")</f>
        <v>0.7559478312655763</v>
      </c>
      <c r="P120" s="793">
        <f>IFERROR(INDEX('Hoja de apoyo v2'!D$17:D$20,MATCH($A120,'Hoja de apoyo v2'!$A$17:$A$20,0)),"")</f>
        <v>9054.9839880720647</v>
      </c>
      <c r="Q120" s="793">
        <f>IFERROR(INDEX('Hoja de apoyo v2'!E$17:E$20,MATCH($A120,'Hoja de apoyo v2'!$A$17:$A$20,0)),"")</f>
        <v>4535.7799207004691</v>
      </c>
      <c r="R120" s="793">
        <f>IFERROR(INDEX('Hoja de apoyo v2'!F$17:F$20,MATCH($A120,'Hoja de apoyo v2'!$A$17:$A$20,0)),"")</f>
        <v>260.44838236060593</v>
      </c>
      <c r="S120" s="793">
        <f>IFERROR(INDEX('Hoja de apoyo v2'!G$17:G$20,MATCH($A120,'Hoja de apoyo v2'!$A$17:$A$20,0)),"")</f>
        <v>64.772152317133859</v>
      </c>
      <c r="T120" s="792">
        <f>IFERROR(INDEX('Hoja de apoyo v2'!H$17:H$20,MATCH($A120,'Hoja de apoyo v2'!$A$17:$A$20,0)),"")</f>
        <v>389.240053528842</v>
      </c>
      <c r="U120" s="794">
        <f t="shared" si="39"/>
        <v>0.89335636423259301</v>
      </c>
      <c r="V120" s="795">
        <f t="shared" si="40"/>
        <v>1.1114215703268295</v>
      </c>
      <c r="W120" s="795">
        <f t="shared" si="41"/>
        <v>0.25566106493005109</v>
      </c>
      <c r="X120" s="843">
        <f t="shared" si="42"/>
        <v>1.6203463075960549</v>
      </c>
      <c r="Y120" s="843">
        <f t="shared" si="43"/>
        <v>1.8551543546004872</v>
      </c>
      <c r="Z120" s="843">
        <f t="shared" si="44"/>
        <v>0.27228354089065787</v>
      </c>
      <c r="AA120" s="843">
        <f t="shared" si="45"/>
        <v>0.52466298290156987</v>
      </c>
      <c r="AB120" s="796">
        <f t="shared" si="46"/>
        <v>3</v>
      </c>
      <c r="AC120" s="797">
        <f t="shared" si="47"/>
        <v>4</v>
      </c>
      <c r="AD120" s="797">
        <f t="shared" si="48"/>
        <v>1</v>
      </c>
      <c r="AE120" s="842">
        <f t="shared" si="49"/>
        <v>5</v>
      </c>
      <c r="AF120" s="842">
        <f t="shared" si="50"/>
        <v>5</v>
      </c>
      <c r="AG120" s="842">
        <f t="shared" si="51"/>
        <v>1</v>
      </c>
      <c r="AH120" s="842">
        <f t="shared" si="52"/>
        <v>2</v>
      </c>
      <c r="AI120" s="826" cm="1">
        <f t="array" ref="AI120">SUMPRODUCT(--ISNUMBER($U120:$AA120),$AB$3:$AH$3)</f>
        <v>1</v>
      </c>
      <c r="AJ120" s="829">
        <f t="shared" si="53"/>
        <v>43.802685587305447</v>
      </c>
      <c r="AK120" s="827" t="str">
        <f t="shared" si="54"/>
        <v>Inmadura</v>
      </c>
      <c r="AL120" s="784" t="str">
        <f t="shared" si="55"/>
        <v>Alta</v>
      </c>
      <c r="AM120" s="799">
        <f>IF(ISNUMBER('Base de datos Rutas'!W118),'Base de datos Rutas'!W118,"")</f>
        <v>2501.9736837243272</v>
      </c>
      <c r="AN120" s="787">
        <f>IFERROR(SUMIFS('Base de datos Rutas'!$W$6:$W$794,'Base de datos Rutas'!$C$6:$C$794,$C120)/'Base de datos Rutas'!I118,"")</f>
        <v>2501.9736837243258</v>
      </c>
      <c r="AO120" s="800">
        <f>IFERROR('Base de datos Rutas'!X118*AN120/AM120,"")</f>
        <v>0.65736700470635556</v>
      </c>
      <c r="AP120" s="800">
        <f t="shared" si="56"/>
        <v>0.34263299529364444</v>
      </c>
      <c r="AQ120" s="789">
        <f>IFERROR(INDEX('Hoja de apoyo v2'!$J$17:$J$20,MATCH($A120,'Hoja de apoyo v2'!$A$17:$A$20,0)),"")</f>
        <v>0.56799995069377007</v>
      </c>
      <c r="AR120" s="789">
        <f t="shared" si="57"/>
        <v>-0.22536695540012563</v>
      </c>
      <c r="AS120" s="784" t="str">
        <f t="shared" si="58"/>
        <v>Sí</v>
      </c>
      <c r="AT120" s="801">
        <f>IF(ISNUMBER('Base de datos Rutas'!CK118),'Base de datos Rutas'!CK118,"")</f>
        <v>413</v>
      </c>
      <c r="AU120" s="802">
        <f>IF(ISNUMBER('Base de datos Rutas'!CL118),'Base de datos Rutas'!CL118,"")</f>
        <v>521.83000000000004</v>
      </c>
      <c r="AV120" s="802">
        <f>IF(ISNUMBER('Base de datos Rutas'!CM118),'Base de datos Rutas'!CM118,"")</f>
        <v>108.83000000000004</v>
      </c>
      <c r="AW120" s="802">
        <f>IF(ISNUMBER('Base de datos Rutas'!CN118),'Base de datos Rutas'!CN118,"")</f>
        <v>5.44</v>
      </c>
      <c r="AX120" s="802">
        <f>IF(ISNUMBER('Base de datos Rutas'!CO118),'Base de datos Rutas'!CO118,"")</f>
        <v>9.4499999999999993</v>
      </c>
      <c r="AY120" s="802">
        <f>IF(ISNUMBER('Base de datos Rutas'!CP118),'Base de datos Rutas'!CP118,"")</f>
        <v>4.0099999999999989</v>
      </c>
      <c r="AZ120" s="802">
        <f>IF(ISNUMBER('Base de datos Rutas'!CQ118),'Base de datos Rutas'!CQ118,"")</f>
        <v>677.25</v>
      </c>
      <c r="BA120" s="802">
        <f>IF(ISNUMBER('Base de datos Rutas'!CR118),'Base de datos Rutas'!CR118,"")</f>
        <v>500.81</v>
      </c>
      <c r="BB120" s="803">
        <f>IF(ISNUMBER('Base de datos Rutas'!CS118),'Base de datos Rutas'!CS118,"")</f>
        <v>176.44</v>
      </c>
      <c r="BC120" s="804">
        <f t="shared" si="69"/>
        <v>0</v>
      </c>
      <c r="BD120" s="805" t="str">
        <f t="shared" si="70"/>
        <v>No saturada</v>
      </c>
      <c r="BE120" s="806">
        <f t="shared" si="71"/>
        <v>0.73947582133628642</v>
      </c>
      <c r="BF120" s="890">
        <f>IF(ISNUMBER('Base de datos Rutas'!CX118),'Base de datos Rutas'!CX118/100,"")</f>
        <v>0.59907981698017287</v>
      </c>
      <c r="BG120" s="891">
        <f>IF(ISNUMBER('Base de datos Rutas'!CZ118),'Base de datos Rutas'!CZ118/100,"")</f>
        <v>0.61752245382138615</v>
      </c>
      <c r="BH120" s="892">
        <f>IF(ISNUMBER('Base de datos Rutas'!DA118),'Base de datos Rutas'!DA118,"")</f>
        <v>141.8718882231278</v>
      </c>
      <c r="BI120" s="893">
        <f>IF(ISNUMBER('Base de datos Rutas'!DC118),'Base de datos Rutas'!DC118,"")</f>
        <v>6.4171349272774769</v>
      </c>
      <c r="BJ120" s="805" t="str">
        <f t="shared" si="72"/>
        <v>Ruta (completo)</v>
      </c>
      <c r="BK120" s="783">
        <f t="shared" si="59"/>
        <v>3</v>
      </c>
      <c r="BL120" s="797">
        <f t="shared" si="60"/>
        <v>3</v>
      </c>
      <c r="BM120" s="797">
        <f t="shared" si="61"/>
        <v>3</v>
      </c>
      <c r="BN120" s="797">
        <f t="shared" si="62"/>
        <v>3</v>
      </c>
      <c r="BO120" s="798" cm="1">
        <f t="array" ref="BO120">SUMPRODUCT(--ISNUMBER($BF120:$BI120),$BK$3:$BN$3)</f>
        <v>1</v>
      </c>
      <c r="BP120" s="831">
        <f t="shared" si="73"/>
        <v>50</v>
      </c>
      <c r="BQ120" s="834" t="str">
        <f t="shared" si="74"/>
        <v>Alto</v>
      </c>
      <c r="BR120" s="836">
        <f t="shared" si="64"/>
        <v>32.852014190479082</v>
      </c>
      <c r="BS120" s="836">
        <f t="shared" si="65"/>
        <v>50</v>
      </c>
      <c r="BT120" s="837" t="str">
        <f t="shared" si="66"/>
        <v>P1</v>
      </c>
      <c r="BU120" s="807" t="str">
        <f t="shared" si="75"/>
        <v>Con espacio</v>
      </c>
      <c r="BV120" s="807" t="str">
        <f t="shared" si="67"/>
        <v>Zona atractiva</v>
      </c>
      <c r="BW120" s="808" t="str">
        <f t="shared" si="68"/>
        <v>P1 - Ampliar cobertura</v>
      </c>
    </row>
    <row r="121" spans="1:75">
      <c r="A121" s="780" t="str">
        <f>'Base de datos Rutas'!A119</f>
        <v>Noreste</v>
      </c>
      <c r="B121" s="781" t="str">
        <f>'Base de datos Rutas'!B119</f>
        <v>Saltillo</v>
      </c>
      <c r="C121" s="781" t="str">
        <f>'Base de datos Rutas'!C119</f>
        <v>Planta Agua y Hielo</v>
      </c>
      <c r="D121" s="782">
        <f>IF(ISNUMBER('Base de datos Rutas'!D119),'Base de datos Rutas'!D119,"Sin código")</f>
        <v>203310</v>
      </c>
      <c r="E121" s="783" t="str">
        <f>'Base de datos Rutas'!F119</f>
        <v>Activa</v>
      </c>
      <c r="F121" s="784" t="str">
        <f>'Base de datos Rutas'!H119</f>
        <v>Sí</v>
      </c>
      <c r="G121" s="785">
        <f>IF(ISNUMBER('Base de datos Rutas'!BE119),'Base de datos Rutas'!BE119,"")</f>
        <v>73.493119266055103</v>
      </c>
      <c r="H121" s="786">
        <f>IF(ISNUMBER('Base de datos Rutas'!BH119),'Base de datos Rutas'!BH119,"")</f>
        <v>0.43382329994070501</v>
      </c>
      <c r="I121" s="788">
        <f>IFERROR(IF(OR(NOT(ISNUMBER('Base de datos Rutas'!O119)),N('Base de datos Rutas'!BK119)=0),"",'Base de datos Rutas'!O119/('Base de datos Rutas'!L119/'Base de datos Rutas'!BK119)),"")</f>
        <v>2719.7568807339444</v>
      </c>
      <c r="J121" s="788">
        <f>IFERROR(IF(OR(NOT(ISNUMBER('Base de datos Rutas'!N119)),N('Base de datos Rutas'!BK119)=0),"",'Base de datos Rutas'!N119/('Base de datos Rutas'!L119/'Base de datos Rutas'!BK119)),"")</f>
        <v>5783.6261467889899</v>
      </c>
      <c r="K121" s="788">
        <f>IFERROR(IF(OR(NOT(ISNUMBER('Base de datos Rutas'!J119)),N('Base de datos Rutas'!BK119)=0),"",'Base de datos Rutas'!J119/('Base de datos Rutas'!L119/'Base de datos Rutas'!BK119)),"")</f>
        <v>372.54227339449534</v>
      </c>
      <c r="L121" s="788">
        <f>IFERROR(IF(OR(NOT(ISNUMBER('Base de datos Rutas'!K119)),N('Base de datos Rutas'!BK119)=0),"",'Base de datos Rutas'!K119/('Base de datos Rutas'!L119/'Base de datos Rutas'!BK119)),"")</f>
        <v>24.545274637614675</v>
      </c>
      <c r="M121" s="787">
        <f>IF(ISNUMBER('Base de datos Rutas'!AX119),'Base de datos Rutas'!AX119,"")</f>
        <v>266.70580605711802</v>
      </c>
      <c r="N121" s="790">
        <f>IFERROR(INDEX('Hoja de apoyo v2'!B$17:B$20,MATCH($A121,'Hoja de apoyo v2'!$A$17:$A$20,0)),"")</f>
        <v>63.050408855205418</v>
      </c>
      <c r="O121" s="791">
        <f>IFERROR(INDEX('Hoja de apoyo v2'!C$17:C$20,MATCH($A121,'Hoja de apoyo v2'!$A$17:$A$20,0)),"")</f>
        <v>0.7559478312655763</v>
      </c>
      <c r="P121" s="793">
        <f>IFERROR(INDEX('Hoja de apoyo v2'!D$17:D$20,MATCH($A121,'Hoja de apoyo v2'!$A$17:$A$20,0)),"")</f>
        <v>9054.9839880720647</v>
      </c>
      <c r="Q121" s="793">
        <f>IFERROR(INDEX('Hoja de apoyo v2'!E$17:E$20,MATCH($A121,'Hoja de apoyo v2'!$A$17:$A$20,0)),"")</f>
        <v>4535.7799207004691</v>
      </c>
      <c r="R121" s="793">
        <f>IFERROR(INDEX('Hoja de apoyo v2'!F$17:F$20,MATCH($A121,'Hoja de apoyo v2'!$A$17:$A$20,0)),"")</f>
        <v>260.44838236060593</v>
      </c>
      <c r="S121" s="793">
        <f>IFERROR(INDEX('Hoja de apoyo v2'!G$17:G$20,MATCH($A121,'Hoja de apoyo v2'!$A$17:$A$20,0)),"")</f>
        <v>64.772152317133859</v>
      </c>
      <c r="T121" s="792">
        <f>IFERROR(INDEX('Hoja de apoyo v2'!H$17:H$20,MATCH($A121,'Hoja de apoyo v2'!$A$17:$A$20,0)),"")</f>
        <v>389.240053528842</v>
      </c>
      <c r="U121" s="794">
        <f t="shared" si="39"/>
        <v>1.1656247850007009</v>
      </c>
      <c r="V121" s="795">
        <f t="shared" si="40"/>
        <v>0.57387994514702978</v>
      </c>
      <c r="W121" s="795">
        <f t="shared" si="41"/>
        <v>0.30036020873329222</v>
      </c>
      <c r="X121" s="843">
        <f t="shared" si="42"/>
        <v>1.27511172232885</v>
      </c>
      <c r="Y121" s="843">
        <f t="shared" si="43"/>
        <v>1.4303881253471902</v>
      </c>
      <c r="Z121" s="843">
        <f t="shared" si="44"/>
        <v>0.37894795463083342</v>
      </c>
      <c r="AA121" s="843">
        <f t="shared" si="45"/>
        <v>0.68519620126235437</v>
      </c>
      <c r="AB121" s="796">
        <f t="shared" si="46"/>
        <v>4</v>
      </c>
      <c r="AC121" s="797">
        <f t="shared" si="47"/>
        <v>2</v>
      </c>
      <c r="AD121" s="797">
        <f t="shared" si="48"/>
        <v>1</v>
      </c>
      <c r="AE121" s="842">
        <f t="shared" si="49"/>
        <v>5</v>
      </c>
      <c r="AF121" s="842">
        <f t="shared" si="50"/>
        <v>5</v>
      </c>
      <c r="AG121" s="842">
        <f t="shared" si="51"/>
        <v>1</v>
      </c>
      <c r="AH121" s="842">
        <f t="shared" si="52"/>
        <v>2</v>
      </c>
      <c r="AI121" s="826" cm="1">
        <f t="array" ref="AI121">SUMPRODUCT(--ISNUMBER($U121:$AA121),$AB$3:$AH$3)</f>
        <v>1</v>
      </c>
      <c r="AJ121" s="829">
        <f t="shared" si="53"/>
        <v>43.57051059366124</v>
      </c>
      <c r="AK121" s="827" t="str">
        <f t="shared" si="54"/>
        <v>Inmadura</v>
      </c>
      <c r="AL121" s="784" t="str">
        <f t="shared" si="55"/>
        <v>Alta</v>
      </c>
      <c r="AM121" s="799">
        <f>IF(ISNUMBER('Base de datos Rutas'!W119),'Base de datos Rutas'!W119,"")</f>
        <v>2501.9736837243272</v>
      </c>
      <c r="AN121" s="787">
        <f>IFERROR(SUMIFS('Base de datos Rutas'!$W$6:$W$794,'Base de datos Rutas'!$C$6:$C$794,$C121)/'Base de datos Rutas'!I119,"")</f>
        <v>2501.9736837243258</v>
      </c>
      <c r="AO121" s="800">
        <f>IFERROR('Base de datos Rutas'!X119*AN121/AM121,"")</f>
        <v>0.65736700470635556</v>
      </c>
      <c r="AP121" s="800">
        <f t="shared" si="56"/>
        <v>0.34263299529364444</v>
      </c>
      <c r="AQ121" s="789">
        <f>IFERROR(INDEX('Hoja de apoyo v2'!$J$17:$J$20,MATCH($A121,'Hoja de apoyo v2'!$A$17:$A$20,0)),"")</f>
        <v>0.56799995069377007</v>
      </c>
      <c r="AR121" s="789">
        <f t="shared" si="57"/>
        <v>-0.22536695540012563</v>
      </c>
      <c r="AS121" s="784" t="str">
        <f t="shared" si="58"/>
        <v>Sí</v>
      </c>
      <c r="AT121" s="801">
        <f>IF(ISNUMBER('Base de datos Rutas'!CK119),'Base de datos Rutas'!CK119,"")</f>
        <v>393</v>
      </c>
      <c r="AU121" s="802">
        <f>IF(ISNUMBER('Base de datos Rutas'!CL119),'Base de datos Rutas'!CL119,"")</f>
        <v>561.70000000000005</v>
      </c>
      <c r="AV121" s="802">
        <f>IF(ISNUMBER('Base de datos Rutas'!CM119),'Base de datos Rutas'!CM119,"")</f>
        <v>168.70000000000005</v>
      </c>
      <c r="AW121" s="802">
        <f>IF(ISNUMBER('Base de datos Rutas'!CN119),'Base de datos Rutas'!CN119,"")</f>
        <v>9.14</v>
      </c>
      <c r="AX121" s="802">
        <f>IF(ISNUMBER('Base de datos Rutas'!CO119),'Base de datos Rutas'!CO119,"")</f>
        <v>9.4499999999999993</v>
      </c>
      <c r="AY121" s="802">
        <f>IF(ISNUMBER('Base de datos Rutas'!CP119),'Base de datos Rutas'!CP119,"")</f>
        <v>0.30999999999999872</v>
      </c>
      <c r="AZ121" s="802">
        <f>IF(ISNUMBER('Base de datos Rutas'!CQ119),'Base de datos Rutas'!CQ119,"")</f>
        <v>677.25</v>
      </c>
      <c r="BA121" s="802">
        <f>IF(ISNUMBER('Base de datos Rutas'!CR119),'Base de datos Rutas'!CR119,"")</f>
        <v>397.09</v>
      </c>
      <c r="BB121" s="803">
        <f>IF(ISNUMBER('Base de datos Rutas'!CS119),'Base de datos Rutas'!CS119,"")</f>
        <v>280.16000000000003</v>
      </c>
      <c r="BC121" s="804">
        <f t="shared" si="69"/>
        <v>0</v>
      </c>
      <c r="BD121" s="805" t="str">
        <f t="shared" si="70"/>
        <v>No saturada</v>
      </c>
      <c r="BE121" s="806">
        <f t="shared" si="71"/>
        <v>0.58632705795496487</v>
      </c>
      <c r="BF121" s="890">
        <f>IF(ISNUMBER('Base de datos Rutas'!CX119),'Base de datos Rutas'!CX119/100,"")</f>
        <v>0.8342283737024222</v>
      </c>
      <c r="BG121" s="891">
        <f>IF(ISNUMBER('Base de datos Rutas'!CZ119),'Base de datos Rutas'!CZ119/100,"")</f>
        <v>0.85757785467128012</v>
      </c>
      <c r="BH121" s="892">
        <f>IF(ISNUMBER('Base de datos Rutas'!DA119),'Base de datos Rutas'!DA119,"")</f>
        <v>188.3241962752073</v>
      </c>
      <c r="BI121" s="893">
        <f>IF(ISNUMBER('Base de datos Rutas'!DC119),'Base de datos Rutas'!DC119,"")</f>
        <v>8.5090982863789453</v>
      </c>
      <c r="BJ121" s="805" t="str">
        <f t="shared" si="72"/>
        <v>Ruta (completo)</v>
      </c>
      <c r="BK121" s="783">
        <f t="shared" si="59"/>
        <v>4</v>
      </c>
      <c r="BL121" s="797">
        <f t="shared" si="60"/>
        <v>4</v>
      </c>
      <c r="BM121" s="797">
        <f t="shared" si="61"/>
        <v>4</v>
      </c>
      <c r="BN121" s="797">
        <f t="shared" si="62"/>
        <v>4</v>
      </c>
      <c r="BO121" s="798" cm="1">
        <f t="array" ref="BO121">SUMPRODUCT(--ISNUMBER($BF121:$BI121),$BK$3:$BN$3)</f>
        <v>1</v>
      </c>
      <c r="BP121" s="831">
        <f t="shared" si="73"/>
        <v>75</v>
      </c>
      <c r="BQ121" s="834" t="str">
        <f t="shared" si="74"/>
        <v>Alto</v>
      </c>
      <c r="BR121" s="836">
        <f t="shared" si="64"/>
        <v>32.677882945245926</v>
      </c>
      <c r="BS121" s="836">
        <f t="shared" si="65"/>
        <v>75</v>
      </c>
      <c r="BT121" s="837" t="str">
        <f t="shared" si="66"/>
        <v>P1</v>
      </c>
      <c r="BU121" s="807" t="str">
        <f t="shared" si="75"/>
        <v>Con espacio</v>
      </c>
      <c r="BV121" s="807" t="str">
        <f t="shared" si="67"/>
        <v>Zona atractiva</v>
      </c>
      <c r="BW121" s="808" t="str">
        <f t="shared" si="68"/>
        <v>P1 - Ampliar cobertura</v>
      </c>
    </row>
    <row r="122" spans="1:75">
      <c r="A122" s="780" t="str">
        <f>'Base de datos Rutas'!A120</f>
        <v>Noreste</v>
      </c>
      <c r="B122" s="781" t="str">
        <f>'Base de datos Rutas'!B120</f>
        <v>Saltillo</v>
      </c>
      <c r="C122" s="781" t="str">
        <f>'Base de datos Rutas'!C120</f>
        <v>Planta Agua y Hielo</v>
      </c>
      <c r="D122" s="782">
        <f>IF(ISNUMBER('Base de datos Rutas'!D120),'Base de datos Rutas'!D120,"Sin código")</f>
        <v>203311</v>
      </c>
      <c r="E122" s="783" t="str">
        <f>'Base de datos Rutas'!F120</f>
        <v>Activa</v>
      </c>
      <c r="F122" s="784" t="str">
        <f>'Base de datos Rutas'!H120</f>
        <v>Sí</v>
      </c>
      <c r="G122" s="785">
        <f>IF(ISNUMBER('Base de datos Rutas'!BE120),'Base de datos Rutas'!BE120,"")</f>
        <v>64.842824601366701</v>
      </c>
      <c r="H122" s="786">
        <f>IF(ISNUMBER('Base de datos Rutas'!BH120),'Base de datos Rutas'!BH120,"")</f>
        <v>0.46258694583011301</v>
      </c>
      <c r="I122" s="788">
        <f>IFERROR(IF(OR(NOT(ISNUMBER('Base de datos Rutas'!O120)),N('Base de datos Rutas'!BK120)=0),"",'Base de datos Rutas'!O120/('Base de datos Rutas'!L120/'Base de datos Rutas'!BK120)),"")</f>
        <v>3238.5398633257405</v>
      </c>
      <c r="J122" s="788">
        <f>IFERROR(IF(OR(NOT(ISNUMBER('Base de datos Rutas'!N120)),N('Base de datos Rutas'!BK120)=0),"",'Base de datos Rutas'!N120/('Base de datos Rutas'!L120/'Base de datos Rutas'!BK120)),"")</f>
        <v>5931.3758542141231</v>
      </c>
      <c r="K122" s="788">
        <f>IFERROR(IF(OR(NOT(ISNUMBER('Base de datos Rutas'!J120)),N('Base de datos Rutas'!BK120)=0),"",'Base de datos Rutas'!J120/('Base de datos Rutas'!L120/'Base de datos Rutas'!BK120)),"")</f>
        <v>385.91542779043283</v>
      </c>
      <c r="L122" s="788">
        <f>IFERROR(IF(OR(NOT(ISNUMBER('Base de datos Rutas'!K120)),N('Base de datos Rutas'!BK120)=0),"",'Base de datos Rutas'!K120/('Base de datos Rutas'!L120/'Base de datos Rutas'!BK120)),"")</f>
        <v>24.011972448747152</v>
      </c>
      <c r="M122" s="787">
        <f>IF(ISNUMBER('Base de datos Rutas'!AX120),'Base de datos Rutas'!AX120,"")</f>
        <v>305.25185069866302</v>
      </c>
      <c r="N122" s="790">
        <f>IFERROR(INDEX('Hoja de apoyo v2'!B$17:B$20,MATCH($A122,'Hoja de apoyo v2'!$A$17:$A$20,0)),"")</f>
        <v>63.050408855205418</v>
      </c>
      <c r="O122" s="791">
        <f>IFERROR(INDEX('Hoja de apoyo v2'!C$17:C$20,MATCH($A122,'Hoja de apoyo v2'!$A$17:$A$20,0)),"")</f>
        <v>0.7559478312655763</v>
      </c>
      <c r="P122" s="793">
        <f>IFERROR(INDEX('Hoja de apoyo v2'!D$17:D$20,MATCH($A122,'Hoja de apoyo v2'!$A$17:$A$20,0)),"")</f>
        <v>9054.9839880720647</v>
      </c>
      <c r="Q122" s="793">
        <f>IFERROR(INDEX('Hoja de apoyo v2'!E$17:E$20,MATCH($A122,'Hoja de apoyo v2'!$A$17:$A$20,0)),"")</f>
        <v>4535.7799207004691</v>
      </c>
      <c r="R122" s="793">
        <f>IFERROR(INDEX('Hoja de apoyo v2'!F$17:F$20,MATCH($A122,'Hoja de apoyo v2'!$A$17:$A$20,0)),"")</f>
        <v>260.44838236060593</v>
      </c>
      <c r="S122" s="793">
        <f>IFERROR(INDEX('Hoja de apoyo v2'!G$17:G$20,MATCH($A122,'Hoja de apoyo v2'!$A$17:$A$20,0)),"")</f>
        <v>64.772152317133859</v>
      </c>
      <c r="T122" s="792">
        <f>IFERROR(INDEX('Hoja de apoyo v2'!H$17:H$20,MATCH($A122,'Hoja de apoyo v2'!$A$17:$A$20,0)),"")</f>
        <v>389.240053528842</v>
      </c>
      <c r="U122" s="794">
        <f t="shared" si="39"/>
        <v>1.0284282969564487</v>
      </c>
      <c r="V122" s="795">
        <f t="shared" si="40"/>
        <v>0.61192972146724633</v>
      </c>
      <c r="W122" s="795">
        <f t="shared" si="41"/>
        <v>0.3576527432397229</v>
      </c>
      <c r="X122" s="843">
        <f t="shared" si="42"/>
        <v>1.307685989601129</v>
      </c>
      <c r="Y122" s="843">
        <f t="shared" si="43"/>
        <v>1.481734784807035</v>
      </c>
      <c r="Z122" s="843">
        <f t="shared" si="44"/>
        <v>0.37071444424420313</v>
      </c>
      <c r="AA122" s="843">
        <f t="shared" si="45"/>
        <v>0.78422517911827494</v>
      </c>
      <c r="AB122" s="796">
        <f t="shared" si="46"/>
        <v>4</v>
      </c>
      <c r="AC122" s="797">
        <f t="shared" si="47"/>
        <v>2</v>
      </c>
      <c r="AD122" s="797">
        <f t="shared" si="48"/>
        <v>1</v>
      </c>
      <c r="AE122" s="842">
        <f t="shared" si="49"/>
        <v>5</v>
      </c>
      <c r="AF122" s="842">
        <f t="shared" si="50"/>
        <v>5</v>
      </c>
      <c r="AG122" s="842">
        <f t="shared" si="51"/>
        <v>1</v>
      </c>
      <c r="AH122" s="842">
        <f t="shared" si="52"/>
        <v>3</v>
      </c>
      <c r="AI122" s="826" cm="1">
        <f t="array" ref="AI122">SUMPRODUCT(--ISNUMBER($U122:$AA122),$AB$3:$AH$3)</f>
        <v>1</v>
      </c>
      <c r="AJ122" s="829">
        <f t="shared" si="53"/>
        <v>45.815238433987801</v>
      </c>
      <c r="AK122" s="827" t="str">
        <f t="shared" si="54"/>
        <v>En desarrollo</v>
      </c>
      <c r="AL122" s="784" t="str">
        <f t="shared" si="55"/>
        <v>Alta</v>
      </c>
      <c r="AM122" s="799">
        <f>IF(ISNUMBER('Base de datos Rutas'!W120),'Base de datos Rutas'!W120,"")</f>
        <v>2501.9736837243272</v>
      </c>
      <c r="AN122" s="787">
        <f>IFERROR(SUMIFS('Base de datos Rutas'!$W$6:$W$794,'Base de datos Rutas'!$C$6:$C$794,$C122)/'Base de datos Rutas'!I120,"")</f>
        <v>2501.9736837243258</v>
      </c>
      <c r="AO122" s="800">
        <f>IFERROR('Base de datos Rutas'!X120*AN122/AM122,"")</f>
        <v>0.65736700470635556</v>
      </c>
      <c r="AP122" s="800">
        <f t="shared" si="56"/>
        <v>0.34263299529364444</v>
      </c>
      <c r="AQ122" s="789">
        <f>IFERROR(INDEX('Hoja de apoyo v2'!$J$17:$J$20,MATCH($A122,'Hoja de apoyo v2'!$A$17:$A$20,0)),"")</f>
        <v>0.56799995069377007</v>
      </c>
      <c r="AR122" s="789">
        <f t="shared" si="57"/>
        <v>-0.22536695540012563</v>
      </c>
      <c r="AS122" s="784" t="str">
        <f t="shared" si="58"/>
        <v>Sí</v>
      </c>
      <c r="AT122" s="801">
        <f>IF(ISNUMBER('Base de datos Rutas'!CK120),'Base de datos Rutas'!CK120,"")</f>
        <v>411</v>
      </c>
      <c r="AU122" s="802">
        <f>IF(ISNUMBER('Base de datos Rutas'!CL120),'Base de datos Rutas'!CL120,"")</f>
        <v>523.66999999999996</v>
      </c>
      <c r="AV122" s="802">
        <f>IF(ISNUMBER('Base de datos Rutas'!CM120),'Base de datos Rutas'!CM120,"")</f>
        <v>112.66999999999996</v>
      </c>
      <c r="AW122" s="802">
        <f>IF(ISNUMBER('Base de datos Rutas'!CN120),'Base de datos Rutas'!CN120,"")</f>
        <v>16.2</v>
      </c>
      <c r="AX122" s="802">
        <f>IF(ISNUMBER('Base de datos Rutas'!CO120),'Base de datos Rutas'!CO120,"")</f>
        <v>9.4499999999999993</v>
      </c>
      <c r="AY122" s="802">
        <f>IF(ISNUMBER('Base de datos Rutas'!CP120),'Base de datos Rutas'!CP120,"")</f>
        <v>-6.75</v>
      </c>
      <c r="AZ122" s="802">
        <f>IF(ISNUMBER('Base de datos Rutas'!CQ120),'Base de datos Rutas'!CQ120,"")</f>
        <v>677.25</v>
      </c>
      <c r="BA122" s="802">
        <f>IF(ISNUMBER('Base de datos Rutas'!CR120),'Base de datos Rutas'!CR120,"")</f>
        <v>409.93</v>
      </c>
      <c r="BB122" s="803">
        <f>IF(ISNUMBER('Base de datos Rutas'!CS120),'Base de datos Rutas'!CS120,"")</f>
        <v>267.32</v>
      </c>
      <c r="BC122" s="804">
        <f t="shared" si="69"/>
        <v>1</v>
      </c>
      <c r="BD122" s="805" t="str">
        <f t="shared" si="70"/>
        <v>Saturada</v>
      </c>
      <c r="BE122" s="806">
        <f t="shared" si="71"/>
        <v>0.60528608342561829</v>
      </c>
      <c r="BF122" s="890">
        <f>IF(ISNUMBER('Base de datos Rutas'!CX120),'Base de datos Rutas'!CX120/100,"")</f>
        <v>0.62583641649048627</v>
      </c>
      <c r="BG122" s="891">
        <f>IF(ISNUMBER('Base de datos Rutas'!CZ120),'Base de datos Rutas'!CZ120/100,"")</f>
        <v>0.64072410147991543</v>
      </c>
      <c r="BH122" s="892">
        <f>IF(ISNUMBER('Base de datos Rutas'!DA120),'Base de datos Rutas'!DA120,"")</f>
        <v>239.5307792158757</v>
      </c>
      <c r="BI122" s="893">
        <f>IF(ISNUMBER('Base de datos Rutas'!DC120),'Base de datos Rutas'!DC120,"")</f>
        <v>10.242430673365734</v>
      </c>
      <c r="BJ122" s="805" t="str">
        <f t="shared" si="72"/>
        <v>Ruta (completo)</v>
      </c>
      <c r="BK122" s="783">
        <f t="shared" si="59"/>
        <v>3</v>
      </c>
      <c r="BL122" s="797">
        <f t="shared" si="60"/>
        <v>3</v>
      </c>
      <c r="BM122" s="797">
        <f t="shared" si="61"/>
        <v>4</v>
      </c>
      <c r="BN122" s="797">
        <f t="shared" si="62"/>
        <v>4</v>
      </c>
      <c r="BO122" s="798" cm="1">
        <f t="array" ref="BO122">SUMPRODUCT(--ISNUMBER($BF122:$BI122),$BK$3:$BN$3)</f>
        <v>1</v>
      </c>
      <c r="BP122" s="831">
        <f t="shared" si="73"/>
        <v>62.5</v>
      </c>
      <c r="BQ122" s="834" t="str">
        <f t="shared" si="74"/>
        <v>Alto</v>
      </c>
      <c r="BR122" s="836">
        <f t="shared" si="64"/>
        <v>59.361428825490847</v>
      </c>
      <c r="BS122" s="836">
        <f t="shared" si="65"/>
        <v>62.5</v>
      </c>
      <c r="BT122" s="837" t="str">
        <f t="shared" si="66"/>
        <v>P1</v>
      </c>
      <c r="BU122" s="807" t="str">
        <f t="shared" si="75"/>
        <v>Al tope</v>
      </c>
      <c r="BV122" s="807" t="str">
        <f t="shared" si="67"/>
        <v>Zona atractiva</v>
      </c>
      <c r="BW122" s="808" t="str">
        <f t="shared" si="68"/>
        <v>P1 - Ampliar cobertura</v>
      </c>
    </row>
    <row r="123" spans="1:75">
      <c r="A123" s="780" t="str">
        <f>'Base de datos Rutas'!A121</f>
        <v>Noreste</v>
      </c>
      <c r="B123" s="781" t="str">
        <f>'Base de datos Rutas'!B121</f>
        <v>Saltillo</v>
      </c>
      <c r="C123" s="781" t="str">
        <f>'Base de datos Rutas'!C121</f>
        <v>Planta Agua y Hielo</v>
      </c>
      <c r="D123" s="782">
        <f>IF(ISNUMBER('Base de datos Rutas'!D121),'Base de datos Rutas'!D121,"Sin código")</f>
        <v>203312</v>
      </c>
      <c r="E123" s="783" t="str">
        <f>'Base de datos Rutas'!F121</f>
        <v>Activa</v>
      </c>
      <c r="F123" s="784" t="str">
        <f>'Base de datos Rutas'!H121</f>
        <v>Sí</v>
      </c>
      <c r="G123" s="785">
        <f>IF(ISNUMBER('Base de datos Rutas'!BE121),'Base de datos Rutas'!BE121,"")</f>
        <v>40.651551312649197</v>
      </c>
      <c r="H123" s="786">
        <f>IF(ISNUMBER('Base de datos Rutas'!BH121),'Base de datos Rutas'!BH121,"")</f>
        <v>0.46016556096988198</v>
      </c>
      <c r="I123" s="788">
        <f>IFERROR(IF(OR(NOT(ISNUMBER('Base de datos Rutas'!O121)),N('Base de datos Rutas'!BK121)=0),"",'Base de datos Rutas'!O121/('Base de datos Rutas'!L121/'Base de datos Rutas'!BK121)),"")</f>
        <v>2310.7374701670637</v>
      </c>
      <c r="J123" s="788">
        <f>IFERROR(IF(OR(NOT(ISNUMBER('Base de datos Rutas'!N121)),N('Base de datos Rutas'!BK121)=0),"",'Base de datos Rutas'!N121/('Base de datos Rutas'!L121/'Base de datos Rutas'!BK121)),"")</f>
        <v>3721.4534606205239</v>
      </c>
      <c r="K123" s="788">
        <f>IFERROR(IF(OR(NOT(ISNUMBER('Base de datos Rutas'!J121)),N('Base de datos Rutas'!BK121)=0),"",'Base de datos Rutas'!J121/('Base de datos Rutas'!L121/'Base de datos Rutas'!BK121)),"")</f>
        <v>246.36623961813837</v>
      </c>
      <c r="L123" s="788">
        <f>IFERROR(IF(OR(NOT(ISNUMBER('Base de datos Rutas'!K121)),N('Base de datos Rutas'!BK121)=0),"",'Base de datos Rutas'!K121/('Base de datos Rutas'!L121/'Base de datos Rutas'!BK121)),"")</f>
        <v>19.585442152744626</v>
      </c>
      <c r="M123" s="787">
        <f>IF(ISNUMBER('Base de datos Rutas'!AX121),'Base de datos Rutas'!AX121,"")</f>
        <v>322.41537126818099</v>
      </c>
      <c r="N123" s="790">
        <f>IFERROR(INDEX('Hoja de apoyo v2'!B$17:B$20,MATCH($A123,'Hoja de apoyo v2'!$A$17:$A$20,0)),"")</f>
        <v>63.050408855205418</v>
      </c>
      <c r="O123" s="791">
        <f>IFERROR(INDEX('Hoja de apoyo v2'!C$17:C$20,MATCH($A123,'Hoja de apoyo v2'!$A$17:$A$20,0)),"")</f>
        <v>0.7559478312655763</v>
      </c>
      <c r="P123" s="793">
        <f>IFERROR(INDEX('Hoja de apoyo v2'!D$17:D$20,MATCH($A123,'Hoja de apoyo v2'!$A$17:$A$20,0)),"")</f>
        <v>9054.9839880720647</v>
      </c>
      <c r="Q123" s="793">
        <f>IFERROR(INDEX('Hoja de apoyo v2'!E$17:E$20,MATCH($A123,'Hoja de apoyo v2'!$A$17:$A$20,0)),"")</f>
        <v>4535.7799207004691</v>
      </c>
      <c r="R123" s="793">
        <f>IFERROR(INDEX('Hoja de apoyo v2'!F$17:F$20,MATCH($A123,'Hoja de apoyo v2'!$A$17:$A$20,0)),"")</f>
        <v>260.44838236060593</v>
      </c>
      <c r="S123" s="793">
        <f>IFERROR(INDEX('Hoja de apoyo v2'!G$17:G$20,MATCH($A123,'Hoja de apoyo v2'!$A$17:$A$20,0)),"")</f>
        <v>64.772152317133859</v>
      </c>
      <c r="T123" s="792">
        <f>IFERROR(INDEX('Hoja de apoyo v2'!H$17:H$20,MATCH($A123,'Hoja de apoyo v2'!$A$17:$A$20,0)),"")</f>
        <v>389.240053528842</v>
      </c>
      <c r="U123" s="794">
        <f t="shared" si="39"/>
        <v>0.64474683115862175</v>
      </c>
      <c r="V123" s="795">
        <f t="shared" si="40"/>
        <v>0.60872661040576304</v>
      </c>
      <c r="W123" s="795">
        <f t="shared" si="41"/>
        <v>0.25518956998830128</v>
      </c>
      <c r="X123" s="843">
        <f t="shared" si="42"/>
        <v>0.82046605560302688</v>
      </c>
      <c r="Y123" s="843">
        <f t="shared" si="43"/>
        <v>0.94593115681951123</v>
      </c>
      <c r="Z123" s="843">
        <f t="shared" si="44"/>
        <v>0.30237442252731483</v>
      </c>
      <c r="AA123" s="843">
        <f t="shared" si="45"/>
        <v>0.82832012878728722</v>
      </c>
      <c r="AB123" s="796">
        <f t="shared" si="46"/>
        <v>2</v>
      </c>
      <c r="AC123" s="797">
        <f t="shared" si="47"/>
        <v>2</v>
      </c>
      <c r="AD123" s="797">
        <f t="shared" si="48"/>
        <v>1</v>
      </c>
      <c r="AE123" s="842">
        <f t="shared" si="49"/>
        <v>3</v>
      </c>
      <c r="AF123" s="842">
        <f t="shared" si="50"/>
        <v>3</v>
      </c>
      <c r="AG123" s="842">
        <f t="shared" si="51"/>
        <v>1</v>
      </c>
      <c r="AH123" s="842">
        <f t="shared" si="52"/>
        <v>3</v>
      </c>
      <c r="AI123" s="826" cm="1">
        <f t="array" ref="AI123">SUMPRODUCT(--ISNUMBER($U123:$AA123),$AB$3:$AH$3)</f>
        <v>1</v>
      </c>
      <c r="AJ123" s="829">
        <f t="shared" si="53"/>
        <v>24.076981761197331</v>
      </c>
      <c r="AK123" s="827" t="str">
        <f t="shared" si="54"/>
        <v>Inmadura</v>
      </c>
      <c r="AL123" s="784" t="str">
        <f t="shared" si="55"/>
        <v>Alta</v>
      </c>
      <c r="AM123" s="799">
        <f>IF(ISNUMBER('Base de datos Rutas'!W121),'Base de datos Rutas'!W121,"")</f>
        <v>2501.9736837243272</v>
      </c>
      <c r="AN123" s="787">
        <f>IFERROR(SUMIFS('Base de datos Rutas'!$W$6:$W$794,'Base de datos Rutas'!$C$6:$C$794,$C123)/'Base de datos Rutas'!I121,"")</f>
        <v>2501.9736837243258</v>
      </c>
      <c r="AO123" s="800">
        <f>IFERROR('Base de datos Rutas'!X121*AN123/AM123,"")</f>
        <v>0.65736700470635556</v>
      </c>
      <c r="AP123" s="800">
        <f t="shared" si="56"/>
        <v>0.34263299529364444</v>
      </c>
      <c r="AQ123" s="789">
        <f>IFERROR(INDEX('Hoja de apoyo v2'!$J$17:$J$20,MATCH($A123,'Hoja de apoyo v2'!$A$17:$A$20,0)),"")</f>
        <v>0.56799995069377007</v>
      </c>
      <c r="AR123" s="789">
        <f t="shared" si="57"/>
        <v>-0.22536695540012563</v>
      </c>
      <c r="AS123" s="784" t="str">
        <f t="shared" si="58"/>
        <v>Sí</v>
      </c>
      <c r="AT123" s="801">
        <f>IF(ISNUMBER('Base de datos Rutas'!CK121),'Base de datos Rutas'!CK121,"")</f>
        <v>341</v>
      </c>
      <c r="AU123" s="802">
        <f>IF(ISNUMBER('Base de datos Rutas'!CL121),'Base de datos Rutas'!CL121,"")</f>
        <v>397.65</v>
      </c>
      <c r="AV123" s="802">
        <f>IF(ISNUMBER('Base de datos Rutas'!CM121),'Base de datos Rutas'!CM121,"")</f>
        <v>56.649999999999977</v>
      </c>
      <c r="AW123" s="802">
        <f>IF(ISNUMBER('Base de datos Rutas'!CN121),'Base de datos Rutas'!CN121,"")</f>
        <v>17.05</v>
      </c>
      <c r="AX123" s="802">
        <f>IF(ISNUMBER('Base de datos Rutas'!CO121),'Base de datos Rutas'!CO121,"")</f>
        <v>9.4499999999999993</v>
      </c>
      <c r="AY123" s="802">
        <f>IF(ISNUMBER('Base de datos Rutas'!CP121),'Base de datos Rutas'!CP121,"")</f>
        <v>-7.6000000000000014</v>
      </c>
      <c r="AZ123" s="802">
        <f>IF(ISNUMBER('Base de datos Rutas'!CQ121),'Base de datos Rutas'!CQ121,"")</f>
        <v>677.25</v>
      </c>
      <c r="BA123" s="802">
        <f>IF(ISNUMBER('Base de datos Rutas'!CR121),'Base de datos Rutas'!CR121,"")</f>
        <v>265.95</v>
      </c>
      <c r="BB123" s="803">
        <f>IF(ISNUMBER('Base de datos Rutas'!CS121),'Base de datos Rutas'!CS121,"")</f>
        <v>411.3</v>
      </c>
      <c r="BC123" s="804">
        <f t="shared" si="69"/>
        <v>1</v>
      </c>
      <c r="BD123" s="805" t="str">
        <f t="shared" si="70"/>
        <v>Saturada</v>
      </c>
      <c r="BE123" s="806">
        <f t="shared" si="71"/>
        <v>0.39269102990033222</v>
      </c>
      <c r="BF123" s="890">
        <f>IF(ISNUMBER('Base de datos Rutas'!CX121),'Base de datos Rutas'!CX121/100,"")</f>
        <v>2.1621557454890788E-2</v>
      </c>
      <c r="BG123" s="891">
        <f>IF(ISNUMBER('Base de datos Rutas'!CZ121),'Base de datos Rutas'!CZ121/100,"")</f>
        <v>2.4311490978157643E-2</v>
      </c>
      <c r="BH123" s="892">
        <f>IF(ISNUMBER('Base de datos Rutas'!DA121),'Base de datos Rutas'!DA121,"")</f>
        <v>11.708021868999108</v>
      </c>
      <c r="BI123" s="893">
        <f>IF(ISNUMBER('Base de datos Rutas'!DC121),'Base de datos Rutas'!DC121,"")</f>
        <v>0.52156947243052276</v>
      </c>
      <c r="BJ123" s="805" t="str">
        <f t="shared" si="72"/>
        <v>Ruta (completo)</v>
      </c>
      <c r="BK123" s="783">
        <f t="shared" si="59"/>
        <v>1</v>
      </c>
      <c r="BL123" s="797">
        <f t="shared" si="60"/>
        <v>1</v>
      </c>
      <c r="BM123" s="797">
        <f t="shared" si="61"/>
        <v>1</v>
      </c>
      <c r="BN123" s="797">
        <f t="shared" si="62"/>
        <v>1</v>
      </c>
      <c r="BO123" s="798" cm="1">
        <f t="array" ref="BO123">SUMPRODUCT(--ISNUMBER($BF123:$BI123),$BK$3:$BN$3)</f>
        <v>1</v>
      </c>
      <c r="BP123" s="831">
        <f t="shared" si="73"/>
        <v>0</v>
      </c>
      <c r="BQ123" s="834" t="str">
        <f t="shared" si="74"/>
        <v>Bajo</v>
      </c>
      <c r="BR123" s="836">
        <f t="shared" si="64"/>
        <v>43.057736320898002</v>
      </c>
      <c r="BS123" s="836">
        <f t="shared" si="65"/>
        <v>0</v>
      </c>
      <c r="BT123" s="837" t="str">
        <f t="shared" si="66"/>
        <v>P2</v>
      </c>
      <c r="BU123" s="807" t="str">
        <f t="shared" si="75"/>
        <v>Al tope</v>
      </c>
      <c r="BV123" s="807" t="str">
        <f t="shared" si="67"/>
        <v>Zona de bajo potencial</v>
      </c>
      <c r="BW123" s="808" t="str">
        <f t="shared" si="68"/>
        <v>P2 - Mantener</v>
      </c>
    </row>
    <row r="124" spans="1:75">
      <c r="A124" s="780" t="str">
        <f>'Base de datos Rutas'!A122</f>
        <v>Noreste</v>
      </c>
      <c r="B124" s="781" t="str">
        <f>'Base de datos Rutas'!B122</f>
        <v>Saltillo</v>
      </c>
      <c r="C124" s="781" t="str">
        <f>'Base de datos Rutas'!C122</f>
        <v>Planta Agua y Hielo</v>
      </c>
      <c r="D124" s="782">
        <f>IF(ISNUMBER('Base de datos Rutas'!D122),'Base de datos Rutas'!D122,"Sin código")</f>
        <v>203313</v>
      </c>
      <c r="E124" s="783" t="str">
        <f>'Base de datos Rutas'!F122</f>
        <v>Activa</v>
      </c>
      <c r="F124" s="784" t="str">
        <f>'Base de datos Rutas'!H122</f>
        <v>Sí</v>
      </c>
      <c r="G124" s="785">
        <f>IF(ISNUMBER('Base de datos Rutas'!BE122),'Base de datos Rutas'!BE122,"")</f>
        <v>51.432870370370402</v>
      </c>
      <c r="H124" s="786">
        <f>IF(ISNUMBER('Base de datos Rutas'!BH122),'Base de datos Rutas'!BH122,"")</f>
        <v>0.60457266303613999</v>
      </c>
      <c r="I124" s="788">
        <f>IFERROR(IF(OR(NOT(ISNUMBER('Base de datos Rutas'!O122)),N('Base de datos Rutas'!BK122)=0),"",'Base de datos Rutas'!O122/('Base de datos Rutas'!L122/'Base de datos Rutas'!BK122)),"")</f>
        <v>2184.9606481481492</v>
      </c>
      <c r="J124" s="788">
        <f>IFERROR(IF(OR(NOT(ISNUMBER('Base de datos Rutas'!N122)),N('Base de datos Rutas'!BK122)=0),"",'Base de datos Rutas'!N122/('Base de datos Rutas'!L122/'Base de datos Rutas'!BK122)),"")</f>
        <v>4610.1111111111131</v>
      </c>
      <c r="K124" s="788">
        <f>IFERROR(IF(OR(NOT(ISNUMBER('Base de datos Rutas'!J122)),N('Base de datos Rutas'!BK122)=0),"",'Base de datos Rutas'!J122/('Base de datos Rutas'!L122/'Base de datos Rutas'!BK122)),"")</f>
        <v>300.39059814814829</v>
      </c>
      <c r="L124" s="788">
        <f>IFERROR(IF(OR(NOT(ISNUMBER('Base de datos Rutas'!K122)),N('Base de datos Rutas'!BK122)=0),"",'Base de datos Rutas'!K122/('Base de datos Rutas'!L122/'Base de datos Rutas'!BK122)),"")</f>
        <v>14.168028129629638</v>
      </c>
      <c r="M124" s="787">
        <f>IF(ISNUMBER('Base de datos Rutas'!AX122),'Base de datos Rutas'!AX122,"")</f>
        <v>217.55822824387701</v>
      </c>
      <c r="N124" s="790">
        <f>IFERROR(INDEX('Hoja de apoyo v2'!B$17:B$20,MATCH($A124,'Hoja de apoyo v2'!$A$17:$A$20,0)),"")</f>
        <v>63.050408855205418</v>
      </c>
      <c r="O124" s="791">
        <f>IFERROR(INDEX('Hoja de apoyo v2'!C$17:C$20,MATCH($A124,'Hoja de apoyo v2'!$A$17:$A$20,0)),"")</f>
        <v>0.7559478312655763</v>
      </c>
      <c r="P124" s="793">
        <f>IFERROR(INDEX('Hoja de apoyo v2'!D$17:D$20,MATCH($A124,'Hoja de apoyo v2'!$A$17:$A$20,0)),"")</f>
        <v>9054.9839880720647</v>
      </c>
      <c r="Q124" s="793">
        <f>IFERROR(INDEX('Hoja de apoyo v2'!E$17:E$20,MATCH($A124,'Hoja de apoyo v2'!$A$17:$A$20,0)),"")</f>
        <v>4535.7799207004691</v>
      </c>
      <c r="R124" s="793">
        <f>IFERROR(INDEX('Hoja de apoyo v2'!F$17:F$20,MATCH($A124,'Hoja de apoyo v2'!$A$17:$A$20,0)),"")</f>
        <v>260.44838236060593</v>
      </c>
      <c r="S124" s="793">
        <f>IFERROR(INDEX('Hoja de apoyo v2'!G$17:G$20,MATCH($A124,'Hoja de apoyo v2'!$A$17:$A$20,0)),"")</f>
        <v>64.772152317133859</v>
      </c>
      <c r="T124" s="792">
        <f>IFERROR(INDEX('Hoja de apoyo v2'!H$17:H$20,MATCH($A124,'Hoja de apoyo v2'!$A$17:$A$20,0)),"")</f>
        <v>389.240053528842</v>
      </c>
      <c r="U124" s="794">
        <f t="shared" si="39"/>
        <v>0.81574205947633793</v>
      </c>
      <c r="V124" s="795">
        <f t="shared" si="40"/>
        <v>0.79975447779774655</v>
      </c>
      <c r="W124" s="795">
        <f t="shared" si="41"/>
        <v>0.24129922825113229</v>
      </c>
      <c r="X124" s="843">
        <f t="shared" si="42"/>
        <v>1.0163877418459855</v>
      </c>
      <c r="Y124" s="843">
        <f t="shared" si="43"/>
        <v>1.1533594312451518</v>
      </c>
      <c r="Z124" s="843">
        <f t="shared" si="44"/>
        <v>0.21873641098509303</v>
      </c>
      <c r="AA124" s="843">
        <f t="shared" si="45"/>
        <v>0.55893073251711578</v>
      </c>
      <c r="AB124" s="796">
        <f t="shared" si="46"/>
        <v>3</v>
      </c>
      <c r="AC124" s="797">
        <f t="shared" si="47"/>
        <v>3</v>
      </c>
      <c r="AD124" s="797">
        <f t="shared" si="48"/>
        <v>1</v>
      </c>
      <c r="AE124" s="842">
        <f t="shared" si="49"/>
        <v>4</v>
      </c>
      <c r="AF124" s="842">
        <f t="shared" si="50"/>
        <v>4</v>
      </c>
      <c r="AG124" s="842">
        <f t="shared" si="51"/>
        <v>1</v>
      </c>
      <c r="AH124" s="842">
        <f t="shared" si="52"/>
        <v>2</v>
      </c>
      <c r="AI124" s="826" cm="1">
        <f t="array" ref="AI124">SUMPRODUCT(--ISNUMBER($U124:$AA124),$AB$3:$AH$3)</f>
        <v>1</v>
      </c>
      <c r="AJ124" s="829">
        <f t="shared" si="53"/>
        <v>35.084287843156481</v>
      </c>
      <c r="AK124" s="827" t="str">
        <f t="shared" si="54"/>
        <v>Inmadura</v>
      </c>
      <c r="AL124" s="784" t="str">
        <f t="shared" si="55"/>
        <v>Alta</v>
      </c>
      <c r="AM124" s="799">
        <f>IF(ISNUMBER('Base de datos Rutas'!W122),'Base de datos Rutas'!W122,"")</f>
        <v>2501.9736837243272</v>
      </c>
      <c r="AN124" s="787">
        <f>IFERROR(SUMIFS('Base de datos Rutas'!$W$6:$W$794,'Base de datos Rutas'!$C$6:$C$794,$C124)/'Base de datos Rutas'!I122,"")</f>
        <v>2501.9736837243258</v>
      </c>
      <c r="AO124" s="800">
        <f>IFERROR('Base de datos Rutas'!X122*AN124/AM124,"")</f>
        <v>0.65736700470635556</v>
      </c>
      <c r="AP124" s="800">
        <f t="shared" si="56"/>
        <v>0.34263299529364444</v>
      </c>
      <c r="AQ124" s="789">
        <f>IFERROR(INDEX('Hoja de apoyo v2'!$J$17:$J$20,MATCH($A124,'Hoja de apoyo v2'!$A$17:$A$20,0)),"")</f>
        <v>0.56799995069377007</v>
      </c>
      <c r="AR124" s="789">
        <f t="shared" si="57"/>
        <v>-0.22536695540012563</v>
      </c>
      <c r="AS124" s="784" t="str">
        <f t="shared" si="58"/>
        <v>Sí</v>
      </c>
      <c r="AT124" s="801">
        <f>IF(ISNUMBER('Base de datos Rutas'!CK122),'Base de datos Rutas'!CK122,"")</f>
        <v>454</v>
      </c>
      <c r="AU124" s="802">
        <f>IF(ISNUMBER('Base de datos Rutas'!CL122),'Base de datos Rutas'!CL122,"")</f>
        <v>642.47</v>
      </c>
      <c r="AV124" s="802">
        <f>IF(ISNUMBER('Base de datos Rutas'!CM122),'Base de datos Rutas'!CM122,"")</f>
        <v>188.47000000000003</v>
      </c>
      <c r="AW124" s="802">
        <f>IF(ISNUMBER('Base de datos Rutas'!CN122),'Base de datos Rutas'!CN122,"")</f>
        <v>9.39</v>
      </c>
      <c r="AX124" s="802">
        <f>IF(ISNUMBER('Base de datos Rutas'!CO122),'Base de datos Rutas'!CO122,"")</f>
        <v>9.4499999999999993</v>
      </c>
      <c r="AY124" s="802">
        <f>IF(ISNUMBER('Base de datos Rutas'!CP122),'Base de datos Rutas'!CP122,"")</f>
        <v>5.9999999999998721E-2</v>
      </c>
      <c r="AZ124" s="802">
        <f>IF(ISNUMBER('Base de datos Rutas'!CQ122),'Base de datos Rutas'!CQ122,"")</f>
        <v>677.25</v>
      </c>
      <c r="BA124" s="802">
        <f>IF(ISNUMBER('Base de datos Rutas'!CR122),'Base de datos Rutas'!CR122,"")</f>
        <v>314.56</v>
      </c>
      <c r="BB124" s="803">
        <f>IF(ISNUMBER('Base de datos Rutas'!CS122),'Base de datos Rutas'!CS122,"")</f>
        <v>362.69</v>
      </c>
      <c r="BC124" s="804">
        <f t="shared" si="69"/>
        <v>0</v>
      </c>
      <c r="BD124" s="805" t="str">
        <f t="shared" si="70"/>
        <v>No saturada</v>
      </c>
      <c r="BE124" s="806">
        <f t="shared" si="71"/>
        <v>0.46446659283868585</v>
      </c>
      <c r="BF124" s="890">
        <f>IF(ISNUMBER('Base de datos Rutas'!CX122),'Base de datos Rutas'!CX122/100,"")</f>
        <v>0.95688172043010733</v>
      </c>
      <c r="BG124" s="891">
        <f>IF(ISNUMBER('Base de datos Rutas'!CZ122),'Base de datos Rutas'!CZ122/100,"")</f>
        <v>1</v>
      </c>
      <c r="BH124" s="892">
        <f>IF(ISNUMBER('Base de datos Rutas'!DA122),'Base de datos Rutas'!DA122,"")</f>
        <v>493.4274027463718</v>
      </c>
      <c r="BI124" s="893">
        <f>IF(ISNUMBER('Base de datos Rutas'!DC122),'Base de datos Rutas'!DC122,"")</f>
        <v>18.170449635593609</v>
      </c>
      <c r="BJ124" s="805" t="str">
        <f t="shared" si="72"/>
        <v>Ruta (completo)</v>
      </c>
      <c r="BK124" s="783">
        <f t="shared" si="59"/>
        <v>5</v>
      </c>
      <c r="BL124" s="797">
        <f t="shared" si="60"/>
        <v>5</v>
      </c>
      <c r="BM124" s="797">
        <f t="shared" si="61"/>
        <v>5</v>
      </c>
      <c r="BN124" s="797">
        <f t="shared" si="62"/>
        <v>5</v>
      </c>
      <c r="BO124" s="798" cm="1">
        <f t="array" ref="BO124">SUMPRODUCT(--ISNUMBER($BF124:$BI124),$BK$3:$BN$3)</f>
        <v>1</v>
      </c>
      <c r="BP124" s="831">
        <f t="shared" si="73"/>
        <v>100</v>
      </c>
      <c r="BQ124" s="834" t="str">
        <f t="shared" si="74"/>
        <v>Alto</v>
      </c>
      <c r="BR124" s="836">
        <f t="shared" si="64"/>
        <v>26.313215882367359</v>
      </c>
      <c r="BS124" s="836">
        <f t="shared" si="65"/>
        <v>100</v>
      </c>
      <c r="BT124" s="837" t="str">
        <f t="shared" si="66"/>
        <v>P3</v>
      </c>
      <c r="BU124" s="807" t="str">
        <f t="shared" si="75"/>
        <v>Con espacio</v>
      </c>
      <c r="BV124" s="807" t="str">
        <f t="shared" si="67"/>
        <v>Zona atractiva</v>
      </c>
      <c r="BW124" s="808" t="str">
        <f t="shared" si="68"/>
        <v>P3 - Desarrollar</v>
      </c>
    </row>
    <row r="125" spans="1:75">
      <c r="A125" s="780" t="str">
        <f>'Base de datos Rutas'!A123</f>
        <v>Noreste</v>
      </c>
      <c r="B125" s="781" t="str">
        <f>'Base de datos Rutas'!B123</f>
        <v>Saltillo</v>
      </c>
      <c r="C125" s="781" t="str">
        <f>'Base de datos Rutas'!C123</f>
        <v>Planta Agua y Hielo</v>
      </c>
      <c r="D125" s="782">
        <f>IF(ISNUMBER('Base de datos Rutas'!D123),'Base de datos Rutas'!D123,"Sin código")</f>
        <v>203314</v>
      </c>
      <c r="E125" s="783" t="str">
        <f>'Base de datos Rutas'!F123</f>
        <v>Activa</v>
      </c>
      <c r="F125" s="784" t="str">
        <f>'Base de datos Rutas'!H123</f>
        <v>Sí</v>
      </c>
      <c r="G125" s="785">
        <f>IF(ISNUMBER('Base de datos Rutas'!BE123),'Base de datos Rutas'!BE123,"")</f>
        <v>36.767281105990797</v>
      </c>
      <c r="H125" s="786">
        <f>IF(ISNUMBER('Base de datos Rutas'!BH123),'Base de datos Rutas'!BH123,"")</f>
        <v>0.63909256125838199</v>
      </c>
      <c r="I125" s="788">
        <f>IFERROR(IF(OR(NOT(ISNUMBER('Base de datos Rutas'!O123)),N('Base de datos Rutas'!BK123)=0),"",'Base de datos Rutas'!O123/('Base de datos Rutas'!L123/'Base de datos Rutas'!BK123)),"")</f>
        <v>2409.8986175115238</v>
      </c>
      <c r="J125" s="788">
        <f>IFERROR(IF(OR(NOT(ISNUMBER('Base de datos Rutas'!N123)),N('Base de datos Rutas'!BK123)=0),"",'Base de datos Rutas'!N123/('Base de datos Rutas'!L123/'Base de datos Rutas'!BK123)),"")</f>
        <v>4278.6981566820323</v>
      </c>
      <c r="K125" s="788">
        <f>IFERROR(IF(OR(NOT(ISNUMBER('Base de datos Rutas'!J123)),N('Base de datos Rutas'!BK123)=0),"",'Base de datos Rutas'!J123/('Base de datos Rutas'!L123/'Base de datos Rutas'!BK123)),"")</f>
        <v>283.42334193548419</v>
      </c>
      <c r="L125" s="788">
        <f>IFERROR(IF(OR(NOT(ISNUMBER('Base de datos Rutas'!K123)),N('Base de datos Rutas'!BK123)=0),"",'Base de datos Rutas'!K123/('Base de datos Rutas'!L123/'Base de datos Rutas'!BK123)),"")</f>
        <v>24.059180308755789</v>
      </c>
      <c r="M125" s="787">
        <f>IF(ISNUMBER('Base de datos Rutas'!AX123),'Base de datos Rutas'!AX123,"")</f>
        <v>283.223958619337</v>
      </c>
      <c r="N125" s="790">
        <f>IFERROR(INDEX('Hoja de apoyo v2'!B$17:B$20,MATCH($A125,'Hoja de apoyo v2'!$A$17:$A$20,0)),"")</f>
        <v>63.050408855205418</v>
      </c>
      <c r="O125" s="791">
        <f>IFERROR(INDEX('Hoja de apoyo v2'!C$17:C$20,MATCH($A125,'Hoja de apoyo v2'!$A$17:$A$20,0)),"")</f>
        <v>0.7559478312655763</v>
      </c>
      <c r="P125" s="793">
        <f>IFERROR(INDEX('Hoja de apoyo v2'!D$17:D$20,MATCH($A125,'Hoja de apoyo v2'!$A$17:$A$20,0)),"")</f>
        <v>9054.9839880720647</v>
      </c>
      <c r="Q125" s="793">
        <f>IFERROR(INDEX('Hoja de apoyo v2'!E$17:E$20,MATCH($A125,'Hoja de apoyo v2'!$A$17:$A$20,0)),"")</f>
        <v>4535.7799207004691</v>
      </c>
      <c r="R125" s="793">
        <f>IFERROR(INDEX('Hoja de apoyo v2'!F$17:F$20,MATCH($A125,'Hoja de apoyo v2'!$A$17:$A$20,0)),"")</f>
        <v>260.44838236060593</v>
      </c>
      <c r="S125" s="793">
        <f>IFERROR(INDEX('Hoja de apoyo v2'!G$17:G$20,MATCH($A125,'Hoja de apoyo v2'!$A$17:$A$20,0)),"")</f>
        <v>64.772152317133859</v>
      </c>
      <c r="T125" s="792">
        <f>IFERROR(INDEX('Hoja de apoyo v2'!H$17:H$20,MATCH($A125,'Hoja de apoyo v2'!$A$17:$A$20,0)),"")</f>
        <v>389.240053528842</v>
      </c>
      <c r="U125" s="794">
        <f t="shared" si="39"/>
        <v>0.58314104180397086</v>
      </c>
      <c r="V125" s="795">
        <f t="shared" si="40"/>
        <v>0.84541886996148918</v>
      </c>
      <c r="W125" s="795">
        <f t="shared" si="41"/>
        <v>0.2661405719420411</v>
      </c>
      <c r="X125" s="843">
        <f t="shared" si="42"/>
        <v>0.94332137614411959</v>
      </c>
      <c r="Y125" s="843">
        <f t="shared" si="43"/>
        <v>1.0882131014469811</v>
      </c>
      <c r="Z125" s="843">
        <f t="shared" si="44"/>
        <v>0.37144327381555192</v>
      </c>
      <c r="AA125" s="843">
        <f t="shared" si="45"/>
        <v>0.72763313038222721</v>
      </c>
      <c r="AB125" s="796">
        <f t="shared" si="46"/>
        <v>2</v>
      </c>
      <c r="AC125" s="797">
        <f t="shared" si="47"/>
        <v>3</v>
      </c>
      <c r="AD125" s="797">
        <f t="shared" si="48"/>
        <v>1</v>
      </c>
      <c r="AE125" s="842">
        <f t="shared" si="49"/>
        <v>3</v>
      </c>
      <c r="AF125" s="842">
        <f t="shared" si="50"/>
        <v>4</v>
      </c>
      <c r="AG125" s="842">
        <f t="shared" si="51"/>
        <v>1</v>
      </c>
      <c r="AH125" s="842">
        <f t="shared" si="52"/>
        <v>2</v>
      </c>
      <c r="AI125" s="826" cm="1">
        <f t="array" ref="AI125">SUMPRODUCT(--ISNUMBER($U125:$AA125),$AB$3:$AH$3)</f>
        <v>1</v>
      </c>
      <c r="AJ125" s="829">
        <f t="shared" si="53"/>
        <v>27.141204018801034</v>
      </c>
      <c r="AK125" s="827" t="str">
        <f t="shared" si="54"/>
        <v>Inmadura</v>
      </c>
      <c r="AL125" s="784" t="str">
        <f t="shared" si="55"/>
        <v>Alta</v>
      </c>
      <c r="AM125" s="799">
        <f>IF(ISNUMBER('Base de datos Rutas'!W123),'Base de datos Rutas'!W123,"")</f>
        <v>2501.9736837243272</v>
      </c>
      <c r="AN125" s="787">
        <f>IFERROR(SUMIFS('Base de datos Rutas'!$W$6:$W$794,'Base de datos Rutas'!$C$6:$C$794,$C125)/'Base de datos Rutas'!I123,"")</f>
        <v>2501.9736837243258</v>
      </c>
      <c r="AO125" s="800">
        <f>IFERROR('Base de datos Rutas'!X123*AN125/AM125,"")</f>
        <v>0.65736700470635556</v>
      </c>
      <c r="AP125" s="800">
        <f t="shared" si="56"/>
        <v>0.34263299529364444</v>
      </c>
      <c r="AQ125" s="789">
        <f>IFERROR(INDEX('Hoja de apoyo v2'!$J$17:$J$20,MATCH($A125,'Hoja de apoyo v2'!$A$17:$A$20,0)),"")</f>
        <v>0.56799995069377007</v>
      </c>
      <c r="AR125" s="789">
        <f t="shared" si="57"/>
        <v>-0.22536695540012563</v>
      </c>
      <c r="AS125" s="784" t="str">
        <f t="shared" si="58"/>
        <v>Sí</v>
      </c>
      <c r="AT125" s="801">
        <f>IF(ISNUMBER('Base de datos Rutas'!CK123),'Base de datos Rutas'!CK123,"")</f>
        <v>238</v>
      </c>
      <c r="AU125" s="802">
        <f>IF(ISNUMBER('Base de datos Rutas'!CL123),'Base de datos Rutas'!CL123,"")</f>
        <v>683.49</v>
      </c>
      <c r="AV125" s="802">
        <f>IF(ISNUMBER('Base de datos Rutas'!CM123),'Base de datos Rutas'!CM123,"")</f>
        <v>445.49</v>
      </c>
      <c r="AW125" s="802">
        <f>IF(ISNUMBER('Base de datos Rutas'!CN123),'Base de datos Rutas'!CN123,"")</f>
        <v>5.85</v>
      </c>
      <c r="AX125" s="802">
        <f>IF(ISNUMBER('Base de datos Rutas'!CO123),'Base de datos Rutas'!CO123,"")</f>
        <v>9.4499999999999993</v>
      </c>
      <c r="AY125" s="802">
        <f>IF(ISNUMBER('Base de datos Rutas'!CP123),'Base de datos Rutas'!CP123,"")</f>
        <v>3.5999999999999996</v>
      </c>
      <c r="AZ125" s="802">
        <f>IF(ISNUMBER('Base de datos Rutas'!CQ123),'Base de datos Rutas'!CQ123,"")</f>
        <v>677.25</v>
      </c>
      <c r="BA125" s="802">
        <f>IF(ISNUMBER('Base de datos Rutas'!CR123),'Base de datos Rutas'!CR123,"")</f>
        <v>307.48</v>
      </c>
      <c r="BB125" s="803">
        <f>IF(ISNUMBER('Base de datos Rutas'!CS123),'Base de datos Rutas'!CS123,"")</f>
        <v>369.77</v>
      </c>
      <c r="BC125" s="804">
        <f t="shared" si="69"/>
        <v>0</v>
      </c>
      <c r="BD125" s="805" t="str">
        <f t="shared" si="70"/>
        <v>No saturada</v>
      </c>
      <c r="BE125" s="806">
        <f t="shared" si="71"/>
        <v>0.45401255075673685</v>
      </c>
      <c r="BF125" s="890">
        <f>IF(ISNUMBER('Base de datos Rutas'!CX123),'Base de datos Rutas'!CX123/100,"")</f>
        <v>0.28959369129276075</v>
      </c>
      <c r="BG125" s="891">
        <f>IF(ISNUMBER('Base de datos Rutas'!CZ123),'Base de datos Rutas'!CZ123/100,"")</f>
        <v>0.3090567521516886</v>
      </c>
      <c r="BH125" s="892">
        <f>IF(ISNUMBER('Base de datos Rutas'!DA123),'Base de datos Rutas'!DA123,"")</f>
        <v>138.02529431755312</v>
      </c>
      <c r="BI125" s="893">
        <f>IF(ISNUMBER('Base de datos Rutas'!DC123),'Base de datos Rutas'!DC123,"")</f>
        <v>5.9266082095644688</v>
      </c>
      <c r="BJ125" s="805" t="str">
        <f t="shared" si="72"/>
        <v>Ruta (completo)</v>
      </c>
      <c r="BK125" s="783">
        <f t="shared" si="59"/>
        <v>2</v>
      </c>
      <c r="BL125" s="797">
        <f t="shared" si="60"/>
        <v>2</v>
      </c>
      <c r="BM125" s="797">
        <f t="shared" si="61"/>
        <v>3</v>
      </c>
      <c r="BN125" s="797">
        <f t="shared" si="62"/>
        <v>3</v>
      </c>
      <c r="BO125" s="798" cm="1">
        <f t="array" ref="BO125">SUMPRODUCT(--ISNUMBER($BF125:$BI125),$BK$3:$BN$3)</f>
        <v>1</v>
      </c>
      <c r="BP125" s="831">
        <f t="shared" si="73"/>
        <v>37.5</v>
      </c>
      <c r="BQ125" s="834" t="str">
        <f t="shared" si="74"/>
        <v>Medio</v>
      </c>
      <c r="BR125" s="836">
        <f t="shared" si="64"/>
        <v>20.355903014100775</v>
      </c>
      <c r="BS125" s="836">
        <f t="shared" si="65"/>
        <v>37.5</v>
      </c>
      <c r="BT125" s="837" t="str">
        <f t="shared" si="66"/>
        <v>P4</v>
      </c>
      <c r="BU125" s="807" t="str">
        <f t="shared" si="75"/>
        <v>Con espacio</v>
      </c>
      <c r="BV125" s="807" t="str">
        <f t="shared" si="67"/>
        <v>Zona de bajo potencial</v>
      </c>
      <c r="BW125" s="808" t="str">
        <f t="shared" si="68"/>
        <v>P4 - Evaluar</v>
      </c>
    </row>
    <row r="126" spans="1:75">
      <c r="A126" s="780" t="str">
        <f>'Base de datos Rutas'!A124</f>
        <v>Noreste</v>
      </c>
      <c r="B126" s="781" t="str">
        <f>'Base de datos Rutas'!B124</f>
        <v>Saltillo</v>
      </c>
      <c r="C126" s="781" t="str">
        <f>'Base de datos Rutas'!C124</f>
        <v>Planta Agua y Hielo</v>
      </c>
      <c r="D126" s="782">
        <f>IF(ISNUMBER('Base de datos Rutas'!D124),'Base de datos Rutas'!D124,"Sin código")</f>
        <v>203315</v>
      </c>
      <c r="E126" s="783" t="str">
        <f>'Base de datos Rutas'!F124</f>
        <v>Activa</v>
      </c>
      <c r="F126" s="784" t="str">
        <f>'Base de datos Rutas'!H124</f>
        <v>Sí</v>
      </c>
      <c r="G126" s="785">
        <f>IF(ISNUMBER('Base de datos Rutas'!BE124),'Base de datos Rutas'!BE124,"")</f>
        <v>76.370709382151006</v>
      </c>
      <c r="H126" s="786">
        <f>IF(ISNUMBER('Base de datos Rutas'!BH124),'Base de datos Rutas'!BH124,"")</f>
        <v>0.34065440163001098</v>
      </c>
      <c r="I126" s="788">
        <f>IFERROR(IF(OR(NOT(ISNUMBER('Base de datos Rutas'!O124)),N('Base de datos Rutas'!BK124)=0),"",'Base de datos Rutas'!O124/('Base de datos Rutas'!L124/'Base de datos Rutas'!BK124)),"")</f>
        <v>1870.9427917620137</v>
      </c>
      <c r="J126" s="788">
        <f>IFERROR(IF(OR(NOT(ISNUMBER('Base de datos Rutas'!N124)),N('Base de datos Rutas'!BK124)=0),"",'Base de datos Rutas'!N124/('Base de datos Rutas'!L124/'Base de datos Rutas'!BK124)),"")</f>
        <v>6847.7643020594969</v>
      </c>
      <c r="K126" s="788">
        <f>IFERROR(IF(OR(NOT(ISNUMBER('Base de datos Rutas'!J124)),N('Base de datos Rutas'!BK124)=0),"",'Base de datos Rutas'!J124/('Base de datos Rutas'!L124/'Base de datos Rutas'!BK124)),"")</f>
        <v>441.251128604119</v>
      </c>
      <c r="L126" s="788">
        <f>IFERROR(IF(OR(NOT(ISNUMBER('Base de datos Rutas'!K124)),N('Base de datos Rutas'!BK124)=0),"",'Base de datos Rutas'!K124/('Base de datos Rutas'!L124/'Base de datos Rutas'!BK124)),"")</f>
        <v>15.670214235697941</v>
      </c>
      <c r="M126" s="787">
        <f>IF(ISNUMBER('Base de datos Rutas'!AX124),'Base de datos Rutas'!AX124,"")</f>
        <v>335.12818805523801</v>
      </c>
      <c r="N126" s="790">
        <f>IFERROR(INDEX('Hoja de apoyo v2'!B$17:B$20,MATCH($A126,'Hoja de apoyo v2'!$A$17:$A$20,0)),"")</f>
        <v>63.050408855205418</v>
      </c>
      <c r="O126" s="791">
        <f>IFERROR(INDEX('Hoja de apoyo v2'!C$17:C$20,MATCH($A126,'Hoja de apoyo v2'!$A$17:$A$20,0)),"")</f>
        <v>0.7559478312655763</v>
      </c>
      <c r="P126" s="793">
        <f>IFERROR(INDEX('Hoja de apoyo v2'!D$17:D$20,MATCH($A126,'Hoja de apoyo v2'!$A$17:$A$20,0)),"")</f>
        <v>9054.9839880720647</v>
      </c>
      <c r="Q126" s="793">
        <f>IFERROR(INDEX('Hoja de apoyo v2'!E$17:E$20,MATCH($A126,'Hoja de apoyo v2'!$A$17:$A$20,0)),"")</f>
        <v>4535.7799207004691</v>
      </c>
      <c r="R126" s="793">
        <f>IFERROR(INDEX('Hoja de apoyo v2'!F$17:F$20,MATCH($A126,'Hoja de apoyo v2'!$A$17:$A$20,0)),"")</f>
        <v>260.44838236060593</v>
      </c>
      <c r="S126" s="793">
        <f>IFERROR(INDEX('Hoja de apoyo v2'!G$17:G$20,MATCH($A126,'Hoja de apoyo v2'!$A$17:$A$20,0)),"")</f>
        <v>64.772152317133859</v>
      </c>
      <c r="T126" s="792">
        <f>IFERROR(INDEX('Hoja de apoyo v2'!H$17:H$20,MATCH($A126,'Hoja de apoyo v2'!$A$17:$A$20,0)),"")</f>
        <v>389.240053528842</v>
      </c>
      <c r="U126" s="794">
        <f t="shared" si="39"/>
        <v>1.2112643005620394</v>
      </c>
      <c r="V126" s="795">
        <f t="shared" si="40"/>
        <v>0.45063215679804464</v>
      </c>
      <c r="W126" s="795">
        <f t="shared" si="41"/>
        <v>0.20662022088902271</v>
      </c>
      <c r="X126" s="843">
        <f t="shared" si="42"/>
        <v>1.5097214639554168</v>
      </c>
      <c r="Y126" s="843">
        <f t="shared" si="43"/>
        <v>1.6941980004052439</v>
      </c>
      <c r="Z126" s="843">
        <f t="shared" si="44"/>
        <v>0.24192826199404796</v>
      </c>
      <c r="AA126" s="843">
        <f t="shared" si="45"/>
        <v>0.86098073673809528</v>
      </c>
      <c r="AB126" s="796">
        <f t="shared" si="46"/>
        <v>4</v>
      </c>
      <c r="AC126" s="797">
        <f t="shared" si="47"/>
        <v>1</v>
      </c>
      <c r="AD126" s="797">
        <f t="shared" si="48"/>
        <v>1</v>
      </c>
      <c r="AE126" s="842">
        <f t="shared" si="49"/>
        <v>5</v>
      </c>
      <c r="AF126" s="842">
        <f t="shared" si="50"/>
        <v>5</v>
      </c>
      <c r="AG126" s="842">
        <f t="shared" si="51"/>
        <v>1</v>
      </c>
      <c r="AH126" s="842">
        <f t="shared" si="52"/>
        <v>3</v>
      </c>
      <c r="AI126" s="826" cm="1">
        <f t="array" ref="AI126">SUMPRODUCT(--ISNUMBER($U126:$AA126),$AB$3:$AH$3)</f>
        <v>1</v>
      </c>
      <c r="AJ126" s="829">
        <f t="shared" si="53"/>
        <v>43.43233284809731</v>
      </c>
      <c r="AK126" s="827" t="str">
        <f t="shared" si="54"/>
        <v>Inmadura</v>
      </c>
      <c r="AL126" s="784" t="str">
        <f t="shared" si="55"/>
        <v>Alta</v>
      </c>
      <c r="AM126" s="799">
        <f>IF(ISNUMBER('Base de datos Rutas'!W124),'Base de datos Rutas'!W124,"")</f>
        <v>2501.9736837243272</v>
      </c>
      <c r="AN126" s="787">
        <f>IFERROR(SUMIFS('Base de datos Rutas'!$W$6:$W$794,'Base de datos Rutas'!$C$6:$C$794,$C126)/'Base de datos Rutas'!I124,"")</f>
        <v>2501.9736837243258</v>
      </c>
      <c r="AO126" s="800">
        <f>IFERROR('Base de datos Rutas'!X124*AN126/AM126,"")</f>
        <v>0.65736700470635556</v>
      </c>
      <c r="AP126" s="800">
        <f t="shared" si="56"/>
        <v>0.34263299529364444</v>
      </c>
      <c r="AQ126" s="789">
        <f>IFERROR(INDEX('Hoja de apoyo v2'!$J$17:$J$20,MATCH($A126,'Hoja de apoyo v2'!$A$17:$A$20,0)),"")</f>
        <v>0.56799995069377007</v>
      </c>
      <c r="AR126" s="789">
        <f t="shared" si="57"/>
        <v>-0.22536695540012563</v>
      </c>
      <c r="AS126" s="784" t="str">
        <f t="shared" si="58"/>
        <v>Sí</v>
      </c>
      <c r="AT126" s="801">
        <f>IF(ISNUMBER('Base de datos Rutas'!CK124),'Base de datos Rutas'!CK124,"")</f>
        <v>294</v>
      </c>
      <c r="AU126" s="802">
        <f>IF(ISNUMBER('Base de datos Rutas'!CL124),'Base de datos Rutas'!CL124,"")</f>
        <v>363.44</v>
      </c>
      <c r="AV126" s="802">
        <f>IF(ISNUMBER('Base de datos Rutas'!CM124),'Base de datos Rutas'!CM124,"")</f>
        <v>69.44</v>
      </c>
      <c r="AW126" s="802">
        <f>IF(ISNUMBER('Base de datos Rutas'!CN124),'Base de datos Rutas'!CN124,"")</f>
        <v>9.98</v>
      </c>
      <c r="AX126" s="802">
        <f>IF(ISNUMBER('Base de datos Rutas'!CO124),'Base de datos Rutas'!CO124,"")</f>
        <v>9.4499999999999993</v>
      </c>
      <c r="AY126" s="802">
        <f>IF(ISNUMBER('Base de datos Rutas'!CP124),'Base de datos Rutas'!CP124,"")</f>
        <v>-0.53000000000000114</v>
      </c>
      <c r="AZ126" s="802">
        <f>IF(ISNUMBER('Base de datos Rutas'!CQ124),'Base de datos Rutas'!CQ124,"")</f>
        <v>677.25</v>
      </c>
      <c r="BA126" s="802">
        <f>IF(ISNUMBER('Base de datos Rutas'!CR124),'Base de datos Rutas'!CR124,"")</f>
        <v>456.92</v>
      </c>
      <c r="BB126" s="803">
        <f>IF(ISNUMBER('Base de datos Rutas'!CS124),'Base de datos Rutas'!CS124,"")</f>
        <v>220.32999999999998</v>
      </c>
      <c r="BC126" s="804">
        <f t="shared" si="69"/>
        <v>1</v>
      </c>
      <c r="BD126" s="805" t="str">
        <f t="shared" si="70"/>
        <v>Saturada</v>
      </c>
      <c r="BE126" s="806">
        <f t="shared" si="71"/>
        <v>0.6746696197858989</v>
      </c>
      <c r="BF126" s="890">
        <f>IF(ISNUMBER('Base de datos Rutas'!CX124),'Base de datos Rutas'!CX124/100,"")</f>
        <v>0.98442001346197006</v>
      </c>
      <c r="BG126" s="891">
        <f>IF(ISNUMBER('Base de datos Rutas'!CZ124),'Base de datos Rutas'!CZ124/100,"")</f>
        <v>1</v>
      </c>
      <c r="BH126" s="892">
        <f>IF(ISNUMBER('Base de datos Rutas'!DA124),'Base de datos Rutas'!DA124,"")</f>
        <v>89.753216655915026</v>
      </c>
      <c r="BI126" s="893">
        <f>IF(ISNUMBER('Base de datos Rutas'!DC124),'Base de datos Rutas'!DC124,"")</f>
        <v>4.6021796378611013</v>
      </c>
      <c r="BJ126" s="805" t="str">
        <f t="shared" si="72"/>
        <v>Ruta (completo)</v>
      </c>
      <c r="BK126" s="783">
        <f t="shared" si="59"/>
        <v>5</v>
      </c>
      <c r="BL126" s="797">
        <f t="shared" si="60"/>
        <v>5</v>
      </c>
      <c r="BM126" s="797">
        <f t="shared" si="61"/>
        <v>2</v>
      </c>
      <c r="BN126" s="797">
        <f t="shared" si="62"/>
        <v>2</v>
      </c>
      <c r="BO126" s="798" cm="1">
        <f t="array" ref="BO126">SUMPRODUCT(--ISNUMBER($BF126:$BI126),$BK$3:$BN$3)</f>
        <v>1</v>
      </c>
      <c r="BP126" s="831">
        <f t="shared" si="73"/>
        <v>62.5</v>
      </c>
      <c r="BQ126" s="834" t="str">
        <f t="shared" si="74"/>
        <v>Alto</v>
      </c>
      <c r="BR126" s="836">
        <f t="shared" si="64"/>
        <v>57.574249636072985</v>
      </c>
      <c r="BS126" s="836">
        <f t="shared" si="65"/>
        <v>62.5</v>
      </c>
      <c r="BT126" s="837" t="str">
        <f t="shared" si="66"/>
        <v>P1</v>
      </c>
      <c r="BU126" s="807" t="str">
        <f t="shared" si="75"/>
        <v>Al tope</v>
      </c>
      <c r="BV126" s="807" t="str">
        <f t="shared" si="67"/>
        <v>Zona atractiva</v>
      </c>
      <c r="BW126" s="808" t="str">
        <f t="shared" si="68"/>
        <v>P1 - Ampliar cobertura</v>
      </c>
    </row>
    <row r="127" spans="1:75">
      <c r="A127" s="780" t="str">
        <f>'Base de datos Rutas'!A125</f>
        <v>Noreste</v>
      </c>
      <c r="B127" s="781" t="str">
        <f>'Base de datos Rutas'!B125</f>
        <v>Saltillo</v>
      </c>
      <c r="C127" s="781" t="str">
        <f>'Base de datos Rutas'!C125</f>
        <v>Planta Agua y Hielo</v>
      </c>
      <c r="D127" s="782">
        <f>IF(ISNUMBER('Base de datos Rutas'!D125),'Base de datos Rutas'!D125,"Sin código")</f>
        <v>203316</v>
      </c>
      <c r="E127" s="783" t="str">
        <f>'Base de datos Rutas'!F125</f>
        <v>Activa</v>
      </c>
      <c r="F127" s="784" t="str">
        <f>'Base de datos Rutas'!H125</f>
        <v>Sí</v>
      </c>
      <c r="G127" s="785">
        <f>IF(ISNUMBER('Base de datos Rutas'!BE125),'Base de datos Rutas'!BE125,"")</f>
        <v>67.792710706150302</v>
      </c>
      <c r="H127" s="786">
        <f>IF(ISNUMBER('Base de datos Rutas'!BH125),'Base de datos Rutas'!BH125,"")</f>
        <v>0.36618393199153298</v>
      </c>
      <c r="I127" s="788">
        <f>IFERROR(IF(OR(NOT(ISNUMBER('Base de datos Rutas'!O125)),N('Base de datos Rutas'!BK125)=0),"",'Base de datos Rutas'!O125/('Base de datos Rutas'!L125/'Base de datos Rutas'!BK125)),"")</f>
        <v>2090.4897494305264</v>
      </c>
      <c r="J127" s="788">
        <f>IFERROR(IF(OR(NOT(ISNUMBER('Base de datos Rutas'!N125)),N('Base de datos Rutas'!BK125)=0),"",'Base de datos Rutas'!N125/('Base de datos Rutas'!L125/'Base de datos Rutas'!BK125)),"")</f>
        <v>4471.9681093394138</v>
      </c>
      <c r="K127" s="788">
        <f>IFERROR(IF(OR(NOT(ISNUMBER('Base de datos Rutas'!J125)),N('Base de datos Rutas'!BK125)=0),"",'Base de datos Rutas'!J125/('Base de datos Rutas'!L125/'Base de datos Rutas'!BK125)),"")</f>
        <v>302.97454214123047</v>
      </c>
      <c r="L127" s="788">
        <f>IFERROR(IF(OR(NOT(ISNUMBER('Base de datos Rutas'!K125)),N('Base de datos Rutas'!BK125)=0),"",'Base de datos Rutas'!K125/('Base de datos Rutas'!L125/'Base de datos Rutas'!BK125)),"")</f>
        <v>22.638234464692513</v>
      </c>
      <c r="M127" s="787">
        <f>IF(ISNUMBER('Base de datos Rutas'!AX125),'Base de datos Rutas'!AX125,"")</f>
        <v>263.19720866213999</v>
      </c>
      <c r="N127" s="790">
        <f>IFERROR(INDEX('Hoja de apoyo v2'!B$17:B$20,MATCH($A127,'Hoja de apoyo v2'!$A$17:$A$20,0)),"")</f>
        <v>63.050408855205418</v>
      </c>
      <c r="O127" s="791">
        <f>IFERROR(INDEX('Hoja de apoyo v2'!C$17:C$20,MATCH($A127,'Hoja de apoyo v2'!$A$17:$A$20,0)),"")</f>
        <v>0.7559478312655763</v>
      </c>
      <c r="P127" s="793">
        <f>IFERROR(INDEX('Hoja de apoyo v2'!D$17:D$20,MATCH($A127,'Hoja de apoyo v2'!$A$17:$A$20,0)),"")</f>
        <v>9054.9839880720647</v>
      </c>
      <c r="Q127" s="793">
        <f>IFERROR(INDEX('Hoja de apoyo v2'!E$17:E$20,MATCH($A127,'Hoja de apoyo v2'!$A$17:$A$20,0)),"")</f>
        <v>4535.7799207004691</v>
      </c>
      <c r="R127" s="793">
        <f>IFERROR(INDEX('Hoja de apoyo v2'!F$17:F$20,MATCH($A127,'Hoja de apoyo v2'!$A$17:$A$20,0)),"")</f>
        <v>260.44838236060593</v>
      </c>
      <c r="S127" s="793">
        <f>IFERROR(INDEX('Hoja de apoyo v2'!G$17:G$20,MATCH($A127,'Hoja de apoyo v2'!$A$17:$A$20,0)),"")</f>
        <v>64.772152317133859</v>
      </c>
      <c r="T127" s="792">
        <f>IFERROR(INDEX('Hoja de apoyo v2'!H$17:H$20,MATCH($A127,'Hoja de apoyo v2'!$A$17:$A$20,0)),"")</f>
        <v>389.240053528842</v>
      </c>
      <c r="U127" s="794">
        <f t="shared" si="39"/>
        <v>1.0752144504222887</v>
      </c>
      <c r="V127" s="795">
        <f t="shared" si="40"/>
        <v>0.48440370730144583</v>
      </c>
      <c r="W127" s="795">
        <f t="shared" si="41"/>
        <v>0.23086620055698426</v>
      </c>
      <c r="X127" s="843">
        <f t="shared" si="42"/>
        <v>0.98593145776984681</v>
      </c>
      <c r="Y127" s="843">
        <f t="shared" si="43"/>
        <v>1.16328056790057</v>
      </c>
      <c r="Z127" s="843">
        <f t="shared" si="44"/>
        <v>0.34950566956386492</v>
      </c>
      <c r="AA127" s="843">
        <f t="shared" si="45"/>
        <v>0.67618223324141424</v>
      </c>
      <c r="AB127" s="796">
        <f t="shared" si="46"/>
        <v>4</v>
      </c>
      <c r="AC127" s="797">
        <f t="shared" si="47"/>
        <v>1</v>
      </c>
      <c r="AD127" s="797">
        <f t="shared" si="48"/>
        <v>1</v>
      </c>
      <c r="AE127" s="842">
        <f t="shared" si="49"/>
        <v>3</v>
      </c>
      <c r="AF127" s="842">
        <f t="shared" si="50"/>
        <v>4</v>
      </c>
      <c r="AG127" s="842">
        <f t="shared" si="51"/>
        <v>1</v>
      </c>
      <c r="AH127" s="842">
        <f t="shared" si="52"/>
        <v>2</v>
      </c>
      <c r="AI127" s="826" cm="1">
        <f t="array" ref="AI127">SUMPRODUCT(--ISNUMBER($U127:$AA127),$AB$3:$AH$3)</f>
        <v>1</v>
      </c>
      <c r="AJ127" s="829">
        <f t="shared" si="53"/>
        <v>31.442665203293586</v>
      </c>
      <c r="AK127" s="827" t="str">
        <f t="shared" si="54"/>
        <v>Inmadura</v>
      </c>
      <c r="AL127" s="784" t="str">
        <f t="shared" si="55"/>
        <v>Alta</v>
      </c>
      <c r="AM127" s="799">
        <f>IF(ISNUMBER('Base de datos Rutas'!W125),'Base de datos Rutas'!W125,"")</f>
        <v>2501.9736837243272</v>
      </c>
      <c r="AN127" s="787">
        <f>IFERROR(SUMIFS('Base de datos Rutas'!$W$6:$W$794,'Base de datos Rutas'!$C$6:$C$794,$C127)/'Base de datos Rutas'!I125,"")</f>
        <v>2501.9736837243258</v>
      </c>
      <c r="AO127" s="800">
        <f>IFERROR('Base de datos Rutas'!X125*AN127/AM127,"")</f>
        <v>0.65736700470635556</v>
      </c>
      <c r="AP127" s="800">
        <f t="shared" si="56"/>
        <v>0.34263299529364444</v>
      </c>
      <c r="AQ127" s="789">
        <f>IFERROR(INDEX('Hoja de apoyo v2'!$J$17:$J$20,MATCH($A127,'Hoja de apoyo v2'!$A$17:$A$20,0)),"")</f>
        <v>0.56799995069377007</v>
      </c>
      <c r="AR127" s="789">
        <f t="shared" si="57"/>
        <v>-0.22536695540012563</v>
      </c>
      <c r="AS127" s="784" t="str">
        <f t="shared" si="58"/>
        <v>Sí</v>
      </c>
      <c r="AT127" s="801">
        <f>IF(ISNUMBER('Base de datos Rutas'!CK125),'Base de datos Rutas'!CK125,"")</f>
        <v>414</v>
      </c>
      <c r="AU127" s="802">
        <f>IF(ISNUMBER('Base de datos Rutas'!CL125),'Base de datos Rutas'!CL125,"")</f>
        <v>909.2</v>
      </c>
      <c r="AV127" s="802">
        <f>IF(ISNUMBER('Base de datos Rutas'!CM125),'Base de datos Rutas'!CM125,"")</f>
        <v>495.20000000000005</v>
      </c>
      <c r="AW127" s="802">
        <f>IF(ISNUMBER('Base de datos Rutas'!CN125),'Base de datos Rutas'!CN125,"")</f>
        <v>8.33</v>
      </c>
      <c r="AX127" s="802">
        <f>IF(ISNUMBER('Base de datos Rutas'!CO125),'Base de datos Rutas'!CO125,"")</f>
        <v>9.4499999999999993</v>
      </c>
      <c r="AY127" s="802">
        <f>IF(ISNUMBER('Base de datos Rutas'!CP125),'Base de datos Rutas'!CP125,"")</f>
        <v>1.1199999999999992</v>
      </c>
      <c r="AZ127" s="802">
        <f>IF(ISNUMBER('Base de datos Rutas'!CQ125),'Base de datos Rutas'!CQ125,"")</f>
        <v>677.25</v>
      </c>
      <c r="BA127" s="802">
        <f>IF(ISNUMBER('Base de datos Rutas'!CR125),'Base de datos Rutas'!CR125,"")</f>
        <v>325.61</v>
      </c>
      <c r="BB127" s="803">
        <f>IF(ISNUMBER('Base de datos Rutas'!CS125),'Base de datos Rutas'!CS125,"")</f>
        <v>351.64</v>
      </c>
      <c r="BC127" s="804">
        <f t="shared" si="69"/>
        <v>0</v>
      </c>
      <c r="BD127" s="805" t="str">
        <f t="shared" si="70"/>
        <v>No saturada</v>
      </c>
      <c r="BE127" s="806">
        <f t="shared" si="71"/>
        <v>0.48078257659653012</v>
      </c>
      <c r="BF127" s="890">
        <f>IF(ISNUMBER('Base de datos Rutas'!CX125),'Base de datos Rutas'!CX125/100,"")</f>
        <v>0.17458624402213377</v>
      </c>
      <c r="BG127" s="891">
        <f>IF(ISNUMBER('Base de datos Rutas'!CZ125),'Base de datos Rutas'!CZ125/100,"")</f>
        <v>0.18698515235734495</v>
      </c>
      <c r="BH127" s="892">
        <f>IF(ISNUMBER('Base de datos Rutas'!DA125),'Base de datos Rutas'!DA125,"")</f>
        <v>96.481639305340536</v>
      </c>
      <c r="BI127" s="893">
        <f>IF(ISNUMBER('Base de datos Rutas'!DC125),'Base de datos Rutas'!DC125,"")</f>
        <v>4.730609484050631</v>
      </c>
      <c r="BJ127" s="805" t="str">
        <f t="shared" si="72"/>
        <v>Ruta (completo)</v>
      </c>
      <c r="BK127" s="783">
        <f t="shared" si="59"/>
        <v>1</v>
      </c>
      <c r="BL127" s="797">
        <f t="shared" si="60"/>
        <v>1</v>
      </c>
      <c r="BM127" s="797">
        <f t="shared" si="61"/>
        <v>2</v>
      </c>
      <c r="BN127" s="797">
        <f t="shared" si="62"/>
        <v>3</v>
      </c>
      <c r="BO127" s="798" cm="1">
        <f t="array" ref="BO127">SUMPRODUCT(--ISNUMBER($BF127:$BI127),$BK$3:$BN$3)</f>
        <v>1</v>
      </c>
      <c r="BP127" s="831">
        <f t="shared" si="73"/>
        <v>18.75</v>
      </c>
      <c r="BQ127" s="834" t="str">
        <f t="shared" si="74"/>
        <v>Bajo</v>
      </c>
      <c r="BR127" s="836">
        <f t="shared" si="64"/>
        <v>23.58199890247019</v>
      </c>
      <c r="BS127" s="836">
        <f t="shared" si="65"/>
        <v>18.75</v>
      </c>
      <c r="BT127" s="837" t="str">
        <f t="shared" si="66"/>
        <v>P4</v>
      </c>
      <c r="BU127" s="807" t="str">
        <f t="shared" si="75"/>
        <v>Con espacio</v>
      </c>
      <c r="BV127" s="807" t="str">
        <f t="shared" si="67"/>
        <v>Zona de bajo potencial</v>
      </c>
      <c r="BW127" s="808" t="str">
        <f t="shared" si="68"/>
        <v>P4 - Evaluar</v>
      </c>
    </row>
    <row r="128" spans="1:75">
      <c r="A128" s="780" t="str">
        <f>'Base de datos Rutas'!A126</f>
        <v>Noreste</v>
      </c>
      <c r="B128" s="781" t="str">
        <f>'Base de datos Rutas'!B126</f>
        <v>Saltillo</v>
      </c>
      <c r="C128" s="781" t="str">
        <f>'Base de datos Rutas'!C126</f>
        <v>Planta Agua y Hielo</v>
      </c>
      <c r="D128" s="782">
        <f>IF(ISNUMBER('Base de datos Rutas'!D126),'Base de datos Rutas'!D126,"Sin código")</f>
        <v>203318</v>
      </c>
      <c r="E128" s="783" t="str">
        <f>'Base de datos Rutas'!F126</f>
        <v>Activa</v>
      </c>
      <c r="F128" s="784" t="str">
        <f>'Base de datos Rutas'!H126</f>
        <v>Sí</v>
      </c>
      <c r="G128" s="785">
        <f>IF(ISNUMBER('Base de datos Rutas'!BE126),'Base de datos Rutas'!BE126,"")</f>
        <v>76.470319634703202</v>
      </c>
      <c r="H128" s="786">
        <f>IF(ISNUMBER('Base de datos Rutas'!BH126),'Base de datos Rutas'!BH126,"")</f>
        <v>0.56266794052666202</v>
      </c>
      <c r="I128" s="788">
        <f>IFERROR(IF(OR(NOT(ISNUMBER('Base de datos Rutas'!O126)),N('Base de datos Rutas'!BK126)=0),"",'Base de datos Rutas'!O126/('Base de datos Rutas'!L126/'Base de datos Rutas'!BK126)),"")</f>
        <v>3373.66210045662</v>
      </c>
      <c r="J128" s="788">
        <f>IFERROR(IF(OR(NOT(ISNUMBER('Base de datos Rutas'!N126)),N('Base de datos Rutas'!BK126)=0),"",'Base de datos Rutas'!N126/('Base de datos Rutas'!L126/'Base de datos Rutas'!BK126)),"")</f>
        <v>6836.6757990867563</v>
      </c>
      <c r="K128" s="788">
        <f>IFERROR(IF(OR(NOT(ISNUMBER('Base de datos Rutas'!J126)),N('Base de datos Rutas'!BK126)=0),"",'Base de datos Rutas'!J126/('Base de datos Rutas'!L126/'Base de datos Rutas'!BK126)),"")</f>
        <v>448.10879086757984</v>
      </c>
      <c r="L128" s="788">
        <f>IFERROR(IF(OR(NOT(ISNUMBER('Base de datos Rutas'!K126)),N('Base de datos Rutas'!BK126)=0),"",'Base de datos Rutas'!K126/('Base de datos Rutas'!L126/'Base de datos Rutas'!BK126)),"")</f>
        <v>24.205198417808212</v>
      </c>
      <c r="M128" s="787">
        <f>IF(ISNUMBER('Base de datos Rutas'!AX126),'Base de datos Rutas'!AX126,"")</f>
        <v>235.684831794545</v>
      </c>
      <c r="N128" s="790">
        <f>IFERROR(INDEX('Hoja de apoyo v2'!B$17:B$20,MATCH($A128,'Hoja de apoyo v2'!$A$17:$A$20,0)),"")</f>
        <v>63.050408855205418</v>
      </c>
      <c r="O128" s="791">
        <f>IFERROR(INDEX('Hoja de apoyo v2'!C$17:C$20,MATCH($A128,'Hoja de apoyo v2'!$A$17:$A$20,0)),"")</f>
        <v>0.7559478312655763</v>
      </c>
      <c r="P128" s="793">
        <f>IFERROR(INDEX('Hoja de apoyo v2'!D$17:D$20,MATCH($A128,'Hoja de apoyo v2'!$A$17:$A$20,0)),"")</f>
        <v>9054.9839880720647</v>
      </c>
      <c r="Q128" s="793">
        <f>IFERROR(INDEX('Hoja de apoyo v2'!E$17:E$20,MATCH($A128,'Hoja de apoyo v2'!$A$17:$A$20,0)),"")</f>
        <v>4535.7799207004691</v>
      </c>
      <c r="R128" s="793">
        <f>IFERROR(INDEX('Hoja de apoyo v2'!F$17:F$20,MATCH($A128,'Hoja de apoyo v2'!$A$17:$A$20,0)),"")</f>
        <v>260.44838236060593</v>
      </c>
      <c r="S128" s="793">
        <f>IFERROR(INDEX('Hoja de apoyo v2'!G$17:G$20,MATCH($A128,'Hoja de apoyo v2'!$A$17:$A$20,0)),"")</f>
        <v>64.772152317133859</v>
      </c>
      <c r="T128" s="792">
        <f>IFERROR(INDEX('Hoja de apoyo v2'!H$17:H$20,MATCH($A128,'Hoja de apoyo v2'!$A$17:$A$20,0)),"")</f>
        <v>389.240053528842</v>
      </c>
      <c r="U128" s="794">
        <f t="shared" si="39"/>
        <v>1.21284415157904</v>
      </c>
      <c r="V128" s="795">
        <f t="shared" si="40"/>
        <v>0.74432112542034401</v>
      </c>
      <c r="W128" s="795">
        <f t="shared" si="41"/>
        <v>0.37257515914999656</v>
      </c>
      <c r="X128" s="843">
        <f t="shared" si="42"/>
        <v>1.507276790014749</v>
      </c>
      <c r="Y128" s="843">
        <f t="shared" si="43"/>
        <v>1.7205282167855709</v>
      </c>
      <c r="Z128" s="843">
        <f t="shared" si="44"/>
        <v>0.37369760849224287</v>
      </c>
      <c r="AA128" s="843">
        <f t="shared" si="45"/>
        <v>0.60549994703225263</v>
      </c>
      <c r="AB128" s="796">
        <f t="shared" si="46"/>
        <v>4</v>
      </c>
      <c r="AC128" s="797">
        <f t="shared" si="47"/>
        <v>2</v>
      </c>
      <c r="AD128" s="797">
        <f t="shared" si="48"/>
        <v>1</v>
      </c>
      <c r="AE128" s="842">
        <f t="shared" si="49"/>
        <v>5</v>
      </c>
      <c r="AF128" s="842">
        <f t="shared" si="50"/>
        <v>5</v>
      </c>
      <c r="AG128" s="842">
        <f t="shared" si="51"/>
        <v>1</v>
      </c>
      <c r="AH128" s="842">
        <f t="shared" si="52"/>
        <v>2</v>
      </c>
      <c r="AI128" s="826" cm="1">
        <f t="array" ref="AI128">SUMPRODUCT(--ISNUMBER($U128:$AA128),$AB$3:$AH$3)</f>
        <v>1</v>
      </c>
      <c r="AJ128" s="829">
        <f t="shared" si="53"/>
        <v>43.57051059366124</v>
      </c>
      <c r="AK128" s="827" t="str">
        <f t="shared" si="54"/>
        <v>Inmadura</v>
      </c>
      <c r="AL128" s="784" t="str">
        <f t="shared" si="55"/>
        <v>Alta</v>
      </c>
      <c r="AM128" s="799">
        <f>IF(ISNUMBER('Base de datos Rutas'!W126),'Base de datos Rutas'!W126,"")</f>
        <v>2501.9736837243272</v>
      </c>
      <c r="AN128" s="787">
        <f>IFERROR(SUMIFS('Base de datos Rutas'!$W$6:$W$794,'Base de datos Rutas'!$C$6:$C$794,$C128)/'Base de datos Rutas'!I126,"")</f>
        <v>2501.9736837243258</v>
      </c>
      <c r="AO128" s="800">
        <f>IFERROR('Base de datos Rutas'!X126*AN128/AM128,"")</f>
        <v>0.65736700470635556</v>
      </c>
      <c r="AP128" s="800">
        <f t="shared" si="56"/>
        <v>0.34263299529364444</v>
      </c>
      <c r="AQ128" s="789">
        <f>IFERROR(INDEX('Hoja de apoyo v2'!$J$17:$J$20,MATCH($A128,'Hoja de apoyo v2'!$A$17:$A$20,0)),"")</f>
        <v>0.56799995069377007</v>
      </c>
      <c r="AR128" s="789">
        <f t="shared" si="57"/>
        <v>-0.22536695540012563</v>
      </c>
      <c r="AS128" s="784" t="str">
        <f t="shared" si="58"/>
        <v>Sí</v>
      </c>
      <c r="AT128" s="801">
        <f>IF(ISNUMBER('Base de datos Rutas'!CK126),'Base de datos Rutas'!CK126,"")</f>
        <v>513</v>
      </c>
      <c r="AU128" s="802">
        <f>IF(ISNUMBER('Base de datos Rutas'!CL126),'Base de datos Rutas'!CL126,"")</f>
        <v>645.87</v>
      </c>
      <c r="AV128" s="802">
        <f>IF(ISNUMBER('Base de datos Rutas'!CM126),'Base de datos Rutas'!CM126,"")</f>
        <v>132.87</v>
      </c>
      <c r="AW128" s="802">
        <f>IF(ISNUMBER('Base de datos Rutas'!CN126),'Base de datos Rutas'!CN126,"")</f>
        <v>7.3</v>
      </c>
      <c r="AX128" s="802">
        <f>IF(ISNUMBER('Base de datos Rutas'!CO126),'Base de datos Rutas'!CO126,"")</f>
        <v>9.4499999999999993</v>
      </c>
      <c r="AY128" s="802">
        <f>IF(ISNUMBER('Base de datos Rutas'!CP126),'Base de datos Rutas'!CP126,"")</f>
        <v>2.1499999999999995</v>
      </c>
      <c r="AZ128" s="802">
        <f>IF(ISNUMBER('Base de datos Rutas'!CQ126),'Base de datos Rutas'!CQ126,"")</f>
        <v>677.25</v>
      </c>
      <c r="BA128" s="802">
        <f>IF(ISNUMBER('Base de datos Rutas'!CR126),'Base de datos Rutas'!CR126,"")</f>
        <v>472.31</v>
      </c>
      <c r="BB128" s="803">
        <f>IF(ISNUMBER('Base de datos Rutas'!CS126),'Base de datos Rutas'!CS126,"")</f>
        <v>204.94</v>
      </c>
      <c r="BC128" s="804">
        <f t="shared" si="69"/>
        <v>0</v>
      </c>
      <c r="BD128" s="805" t="str">
        <f t="shared" si="70"/>
        <v>No saturada</v>
      </c>
      <c r="BE128" s="806">
        <f t="shared" si="71"/>
        <v>0.6973938722775932</v>
      </c>
      <c r="BF128" s="890">
        <f>IF(ISNUMBER('Base de datos Rutas'!CX126),'Base de datos Rutas'!CX126/100,"")</f>
        <v>0.96858144796380108</v>
      </c>
      <c r="BG128" s="891">
        <f>IF(ISNUMBER('Base de datos Rutas'!CZ126),'Base de datos Rutas'!CZ126/100,"")</f>
        <v>0.9986425339366517</v>
      </c>
      <c r="BH128" s="892">
        <f>IF(ISNUMBER('Base de datos Rutas'!DA126),'Base de datos Rutas'!DA126,"")</f>
        <v>449.99131097527493</v>
      </c>
      <c r="BI128" s="893">
        <f>IF(ISNUMBER('Base de datos Rutas'!DC126),'Base de datos Rutas'!DC126,"")</f>
        <v>17.361046987943869</v>
      </c>
      <c r="BJ128" s="805" t="str">
        <f t="shared" si="72"/>
        <v>Ruta (completo)</v>
      </c>
      <c r="BK128" s="783">
        <f t="shared" si="59"/>
        <v>5</v>
      </c>
      <c r="BL128" s="797">
        <f t="shared" si="60"/>
        <v>4</v>
      </c>
      <c r="BM128" s="797">
        <f t="shared" si="61"/>
        <v>4</v>
      </c>
      <c r="BN128" s="797">
        <f t="shared" si="62"/>
        <v>4</v>
      </c>
      <c r="BO128" s="798" cm="1">
        <f t="array" ref="BO128">SUMPRODUCT(--ISNUMBER($BF128:$BI128),$BK$3:$BN$3)</f>
        <v>1</v>
      </c>
      <c r="BP128" s="831">
        <f t="shared" si="73"/>
        <v>81.25</v>
      </c>
      <c r="BQ128" s="834" t="str">
        <f t="shared" si="74"/>
        <v>Alto</v>
      </c>
      <c r="BR128" s="836">
        <f t="shared" si="64"/>
        <v>32.677882945245926</v>
      </c>
      <c r="BS128" s="836">
        <f t="shared" si="65"/>
        <v>81.25</v>
      </c>
      <c r="BT128" s="837" t="str">
        <f t="shared" si="66"/>
        <v>P1</v>
      </c>
      <c r="BU128" s="807" t="str">
        <f t="shared" si="75"/>
        <v>Con espacio</v>
      </c>
      <c r="BV128" s="807" t="str">
        <f t="shared" si="67"/>
        <v>Zona atractiva</v>
      </c>
      <c r="BW128" s="808" t="str">
        <f t="shared" si="68"/>
        <v>P1 - Ampliar cobertura</v>
      </c>
    </row>
    <row r="129" spans="1:75">
      <c r="A129" s="780" t="str">
        <f>'Base de datos Rutas'!A127</f>
        <v>Noreste</v>
      </c>
      <c r="B129" s="781" t="str">
        <f>'Base de datos Rutas'!B127</f>
        <v>Saltillo</v>
      </c>
      <c r="C129" s="781" t="str">
        <f>'Base de datos Rutas'!C127</f>
        <v>Planta Agua y Hielo</v>
      </c>
      <c r="D129" s="782">
        <f>IF(ISNUMBER('Base de datos Rutas'!D127),'Base de datos Rutas'!D127,"Sin código")</f>
        <v>203322</v>
      </c>
      <c r="E129" s="783" t="str">
        <f>'Base de datos Rutas'!F127</f>
        <v>Activa</v>
      </c>
      <c r="F129" s="784" t="str">
        <f>'Base de datos Rutas'!H127</f>
        <v>Sí</v>
      </c>
      <c r="G129" s="785">
        <f>IF(ISNUMBER('Base de datos Rutas'!BE127),'Base de datos Rutas'!BE127,"")</f>
        <v>61.364678899082598</v>
      </c>
      <c r="H129" s="786">
        <f>IF(ISNUMBER('Base de datos Rutas'!BH127),'Base de datos Rutas'!BH127,"")</f>
        <v>0.65449448701177404</v>
      </c>
      <c r="I129" s="788">
        <f>IFERROR(IF(OR(NOT(ISNUMBER('Base de datos Rutas'!O127)),N('Base de datos Rutas'!BK127)=0),"",'Base de datos Rutas'!O127/('Base de datos Rutas'!L127/'Base de datos Rutas'!BK127)),"")</f>
        <v>4073.8922018348649</v>
      </c>
      <c r="J129" s="788">
        <f>IFERROR(IF(OR(NOT(ISNUMBER('Base de datos Rutas'!N127)),N('Base de datos Rutas'!BK127)=0),"",'Base de datos Rutas'!N127/('Base de datos Rutas'!L127/'Base de datos Rutas'!BK127)),"")</f>
        <v>5627.5688073394531</v>
      </c>
      <c r="K129" s="788">
        <f>IFERROR(IF(OR(NOT(ISNUMBER('Base de datos Rutas'!J127)),N('Base de datos Rutas'!BK127)=0),"",'Base de datos Rutas'!J127/('Base de datos Rutas'!L127/'Base de datos Rutas'!BK127)),"")</f>
        <v>390.47742935779843</v>
      </c>
      <c r="L129" s="788">
        <f>IFERROR(IF(OR(NOT(ISNUMBER('Base de datos Rutas'!K127)),N('Base de datos Rutas'!BK127)=0),"",'Base de datos Rutas'!K127/('Base de datos Rutas'!L127/'Base de datos Rutas'!BK127)),"")</f>
        <v>42.992814589449566</v>
      </c>
      <c r="M129" s="787">
        <f>IF(ISNUMBER('Base de datos Rutas'!AX127),'Base de datos Rutas'!AX127,"")</f>
        <v>240.31004568556901</v>
      </c>
      <c r="N129" s="790">
        <f>IFERROR(INDEX('Hoja de apoyo v2'!B$17:B$20,MATCH($A129,'Hoja de apoyo v2'!$A$17:$A$20,0)),"")</f>
        <v>63.050408855205418</v>
      </c>
      <c r="O129" s="791">
        <f>IFERROR(INDEX('Hoja de apoyo v2'!C$17:C$20,MATCH($A129,'Hoja de apoyo v2'!$A$17:$A$20,0)),"")</f>
        <v>0.7559478312655763</v>
      </c>
      <c r="P129" s="793">
        <f>IFERROR(INDEX('Hoja de apoyo v2'!D$17:D$20,MATCH($A129,'Hoja de apoyo v2'!$A$17:$A$20,0)),"")</f>
        <v>9054.9839880720647</v>
      </c>
      <c r="Q129" s="793">
        <f>IFERROR(INDEX('Hoja de apoyo v2'!E$17:E$20,MATCH($A129,'Hoja de apoyo v2'!$A$17:$A$20,0)),"")</f>
        <v>4535.7799207004691</v>
      </c>
      <c r="R129" s="793">
        <f>IFERROR(INDEX('Hoja de apoyo v2'!F$17:F$20,MATCH($A129,'Hoja de apoyo v2'!$A$17:$A$20,0)),"")</f>
        <v>260.44838236060593</v>
      </c>
      <c r="S129" s="793">
        <f>IFERROR(INDEX('Hoja de apoyo v2'!G$17:G$20,MATCH($A129,'Hoja de apoyo v2'!$A$17:$A$20,0)),"")</f>
        <v>64.772152317133859</v>
      </c>
      <c r="T129" s="792">
        <f>IFERROR(INDEX('Hoja de apoyo v2'!H$17:H$20,MATCH($A129,'Hoja de apoyo v2'!$A$17:$A$20,0)),"")</f>
        <v>389.240053528842</v>
      </c>
      <c r="U129" s="794">
        <f t="shared" si="39"/>
        <v>0.97326377438734646</v>
      </c>
      <c r="V129" s="795">
        <f t="shared" si="40"/>
        <v>0.86579319358062934</v>
      </c>
      <c r="W129" s="795">
        <f t="shared" si="41"/>
        <v>0.44990606357794949</v>
      </c>
      <c r="X129" s="843">
        <f t="shared" si="42"/>
        <v>1.2407058776498965</v>
      </c>
      <c r="Y129" s="843">
        <f t="shared" si="43"/>
        <v>1.4992507375882247</v>
      </c>
      <c r="Z129" s="843">
        <f t="shared" si="44"/>
        <v>0.66375460829139199</v>
      </c>
      <c r="AA129" s="843">
        <f t="shared" si="45"/>
        <v>0.61738262418505818</v>
      </c>
      <c r="AB129" s="796">
        <f t="shared" si="46"/>
        <v>3</v>
      </c>
      <c r="AC129" s="797">
        <f t="shared" si="47"/>
        <v>3</v>
      </c>
      <c r="AD129" s="797">
        <f t="shared" si="48"/>
        <v>1</v>
      </c>
      <c r="AE129" s="842">
        <f t="shared" si="49"/>
        <v>4</v>
      </c>
      <c r="AF129" s="842">
        <f t="shared" si="50"/>
        <v>5</v>
      </c>
      <c r="AG129" s="842">
        <f t="shared" si="51"/>
        <v>2</v>
      </c>
      <c r="AH129" s="842">
        <f t="shared" si="52"/>
        <v>2</v>
      </c>
      <c r="AI129" s="826" cm="1">
        <f t="array" ref="AI129">SUMPRODUCT(--ISNUMBER($U129:$AA129),$AB$3:$AH$3)</f>
        <v>1</v>
      </c>
      <c r="AJ129" s="829">
        <f t="shared" si="53"/>
        <v>42.399399123255968</v>
      </c>
      <c r="AK129" s="827" t="str">
        <f t="shared" si="54"/>
        <v>Inmadura</v>
      </c>
      <c r="AL129" s="784" t="str">
        <f t="shared" si="55"/>
        <v>Alta</v>
      </c>
      <c r="AM129" s="799">
        <f>IF(ISNUMBER('Base de datos Rutas'!W127),'Base de datos Rutas'!W127,"")</f>
        <v>2501.9736837243272</v>
      </c>
      <c r="AN129" s="787">
        <f>IFERROR(SUMIFS('Base de datos Rutas'!$W$6:$W$794,'Base de datos Rutas'!$C$6:$C$794,$C129)/'Base de datos Rutas'!I127,"")</f>
        <v>2501.9736837243258</v>
      </c>
      <c r="AO129" s="800">
        <f>IFERROR('Base de datos Rutas'!X127*AN129/AM129,"")</f>
        <v>0.65736700470635556</v>
      </c>
      <c r="AP129" s="800">
        <f t="shared" si="56"/>
        <v>0.34263299529364444</v>
      </c>
      <c r="AQ129" s="789">
        <f>IFERROR(INDEX('Hoja de apoyo v2'!$J$17:$J$20,MATCH($A129,'Hoja de apoyo v2'!$A$17:$A$20,0)),"")</f>
        <v>0.56799995069377007</v>
      </c>
      <c r="AR129" s="789">
        <f t="shared" si="57"/>
        <v>-0.22536695540012563</v>
      </c>
      <c r="AS129" s="784" t="str">
        <f t="shared" si="58"/>
        <v>Sí</v>
      </c>
      <c r="AT129" s="801">
        <f>IF(ISNUMBER('Base de datos Rutas'!CK127),'Base de datos Rutas'!CK127,"")</f>
        <v>398</v>
      </c>
      <c r="AU129" s="802">
        <f>IF(ISNUMBER('Base de datos Rutas'!CL127),'Base de datos Rutas'!CL127,"")</f>
        <v>529.29999999999995</v>
      </c>
      <c r="AV129" s="802">
        <f>IF(ISNUMBER('Base de datos Rutas'!CM127),'Base de datos Rutas'!CM127,"")</f>
        <v>131.29999999999995</v>
      </c>
      <c r="AW129" s="802">
        <f>IF(ISNUMBER('Base de datos Rutas'!CN127),'Base de datos Rutas'!CN127,"")</f>
        <v>7.94</v>
      </c>
      <c r="AX129" s="802">
        <f>IF(ISNUMBER('Base de datos Rutas'!CO127),'Base de datos Rutas'!CO127,"")</f>
        <v>9.4499999999999993</v>
      </c>
      <c r="AY129" s="802">
        <f>IF(ISNUMBER('Base de datos Rutas'!CP127),'Base de datos Rutas'!CP127,"")</f>
        <v>1.5099999999999989</v>
      </c>
      <c r="AZ129" s="802">
        <f>IF(ISNUMBER('Base de datos Rutas'!CQ127),'Base de datos Rutas'!CQ127,"")</f>
        <v>677.25</v>
      </c>
      <c r="BA129" s="802">
        <f>IF(ISNUMBER('Base de datos Rutas'!CR127),'Base de datos Rutas'!CR127,"")</f>
        <v>433.47</v>
      </c>
      <c r="BB129" s="803">
        <f>IF(ISNUMBER('Base de datos Rutas'!CS127),'Base de datos Rutas'!CS127,"")</f>
        <v>243.77999999999997</v>
      </c>
      <c r="BC129" s="804">
        <f t="shared" si="69"/>
        <v>0</v>
      </c>
      <c r="BD129" s="805" t="str">
        <f t="shared" si="70"/>
        <v>No saturada</v>
      </c>
      <c r="BE129" s="806">
        <f t="shared" si="71"/>
        <v>0.64004429678848285</v>
      </c>
      <c r="BF129" s="890">
        <f>IF(ISNUMBER('Base de datos Rutas'!CX127),'Base de datos Rutas'!CX127/100,"")</f>
        <v>0.15685356476723383</v>
      </c>
      <c r="BG129" s="891">
        <f>IF(ISNUMBER('Base de datos Rutas'!CZ127),'Base de datos Rutas'!CZ127/100,"")</f>
        <v>0.16185147120398921</v>
      </c>
      <c r="BH129" s="892">
        <f>IF(ISNUMBER('Base de datos Rutas'!DA127),'Base de datos Rutas'!DA127,"")</f>
        <v>34.666929775057476</v>
      </c>
      <c r="BI129" s="893">
        <f>IF(ISNUMBER('Base de datos Rutas'!DC127),'Base de datos Rutas'!DC127,"")</f>
        <v>1.4989777405756317</v>
      </c>
      <c r="BJ129" s="805" t="str">
        <f t="shared" si="72"/>
        <v>Ruta (completo)</v>
      </c>
      <c r="BK129" s="783">
        <f t="shared" si="59"/>
        <v>1</v>
      </c>
      <c r="BL129" s="797">
        <f t="shared" si="60"/>
        <v>1</v>
      </c>
      <c r="BM129" s="797">
        <f t="shared" si="61"/>
        <v>1</v>
      </c>
      <c r="BN129" s="797">
        <f t="shared" si="62"/>
        <v>1</v>
      </c>
      <c r="BO129" s="798" cm="1">
        <f t="array" ref="BO129">SUMPRODUCT(--ISNUMBER($BF129:$BI129),$BK$3:$BN$3)</f>
        <v>1</v>
      </c>
      <c r="BP129" s="831">
        <f t="shared" si="73"/>
        <v>0</v>
      </c>
      <c r="BQ129" s="834" t="str">
        <f t="shared" si="74"/>
        <v>Bajo</v>
      </c>
      <c r="BR129" s="836">
        <f t="shared" si="64"/>
        <v>31.799549342441978</v>
      </c>
      <c r="BS129" s="836">
        <f t="shared" si="65"/>
        <v>0</v>
      </c>
      <c r="BT129" s="837" t="str">
        <f t="shared" si="66"/>
        <v>P2</v>
      </c>
      <c r="BU129" s="807" t="str">
        <f t="shared" si="75"/>
        <v>Con espacio</v>
      </c>
      <c r="BV129" s="807" t="str">
        <f t="shared" si="67"/>
        <v>Zona de bajo potencial</v>
      </c>
      <c r="BW129" s="808" t="str">
        <f t="shared" si="68"/>
        <v>P2 - Mantener</v>
      </c>
    </row>
    <row r="130" spans="1:75">
      <c r="A130" s="780" t="str">
        <f>'Base de datos Rutas'!A128</f>
        <v>Noreste</v>
      </c>
      <c r="B130" s="781" t="str">
        <f>'Base de datos Rutas'!B128</f>
        <v>Saltillo</v>
      </c>
      <c r="C130" s="781" t="str">
        <f>'Base de datos Rutas'!C128</f>
        <v>Planta Agua y Hielo</v>
      </c>
      <c r="D130" s="782">
        <f>IF(ISNUMBER('Base de datos Rutas'!D128),'Base de datos Rutas'!D128,"Sin código")</f>
        <v>203323</v>
      </c>
      <c r="E130" s="783" t="str">
        <f>'Base de datos Rutas'!F128</f>
        <v>Activa</v>
      </c>
      <c r="F130" s="784" t="str">
        <f>'Base de datos Rutas'!H128</f>
        <v>Sí</v>
      </c>
      <c r="G130" s="785">
        <f>IF(ISNUMBER('Base de datos Rutas'!BE128),'Base de datos Rutas'!BE128,"")</f>
        <v>42.3872437357631</v>
      </c>
      <c r="H130" s="786">
        <f>IF(ISNUMBER('Base de datos Rutas'!BH128),'Base de datos Rutas'!BH128,"")</f>
        <v>0.707115219260533</v>
      </c>
      <c r="I130" s="788">
        <f>IFERROR(IF(OR(NOT(ISNUMBER('Base de datos Rutas'!O128)),N('Base de datos Rutas'!BK128)=0),"",'Base de datos Rutas'!O128/('Base de datos Rutas'!L128/'Base de datos Rutas'!BK128)),"")</f>
        <v>2445.9453302961274</v>
      </c>
      <c r="J130" s="788">
        <f>IFERROR(IF(OR(NOT(ISNUMBER('Base de datos Rutas'!N128)),N('Base de datos Rutas'!BK128)=0),"",'Base de datos Rutas'!N128/('Base de datos Rutas'!L128/'Base de datos Rutas'!BK128)),"")</f>
        <v>5458.4328018223232</v>
      </c>
      <c r="K130" s="788">
        <f>IFERROR(IF(OR(NOT(ISNUMBER('Base de datos Rutas'!J128)),N('Base de datos Rutas'!BK128)=0),"",'Base de datos Rutas'!J128/('Base de datos Rutas'!L128/'Base de datos Rutas'!BK128)),"")</f>
        <v>362.6707972665148</v>
      </c>
      <c r="L130" s="788">
        <f>IFERROR(IF(OR(NOT(ISNUMBER('Base de datos Rutas'!K128)),N('Base de datos Rutas'!BK128)=0),"",'Base de datos Rutas'!K128/('Base de datos Rutas'!L128/'Base de datos Rutas'!BK128)),"")</f>
        <v>19.967834066059226</v>
      </c>
      <c r="M130" s="787">
        <f>IF(ISNUMBER('Base de datos Rutas'!AX128),'Base de datos Rutas'!AX128,"")</f>
        <v>264.26050767593898</v>
      </c>
      <c r="N130" s="790">
        <f>IFERROR(INDEX('Hoja de apoyo v2'!B$17:B$20,MATCH($A130,'Hoja de apoyo v2'!$A$17:$A$20,0)),"")</f>
        <v>63.050408855205418</v>
      </c>
      <c r="O130" s="791">
        <f>IFERROR(INDEX('Hoja de apoyo v2'!C$17:C$20,MATCH($A130,'Hoja de apoyo v2'!$A$17:$A$20,0)),"")</f>
        <v>0.7559478312655763</v>
      </c>
      <c r="P130" s="793">
        <f>IFERROR(INDEX('Hoja de apoyo v2'!D$17:D$20,MATCH($A130,'Hoja de apoyo v2'!$A$17:$A$20,0)),"")</f>
        <v>9054.9839880720647</v>
      </c>
      <c r="Q130" s="793">
        <f>IFERROR(INDEX('Hoja de apoyo v2'!E$17:E$20,MATCH($A130,'Hoja de apoyo v2'!$A$17:$A$20,0)),"")</f>
        <v>4535.7799207004691</v>
      </c>
      <c r="R130" s="793">
        <f>IFERROR(INDEX('Hoja de apoyo v2'!F$17:F$20,MATCH($A130,'Hoja de apoyo v2'!$A$17:$A$20,0)),"")</f>
        <v>260.44838236060593</v>
      </c>
      <c r="S130" s="793">
        <f>IFERROR(INDEX('Hoja de apoyo v2'!G$17:G$20,MATCH($A130,'Hoja de apoyo v2'!$A$17:$A$20,0)),"")</f>
        <v>64.772152317133859</v>
      </c>
      <c r="T130" s="792">
        <f>IFERROR(INDEX('Hoja de apoyo v2'!H$17:H$20,MATCH($A130,'Hoja de apoyo v2'!$A$17:$A$20,0)),"")</f>
        <v>389.240053528842</v>
      </c>
      <c r="U130" s="794">
        <f t="shared" si="39"/>
        <v>0.6722754777547113</v>
      </c>
      <c r="V130" s="795">
        <f t="shared" si="40"/>
        <v>0.93540214022006019</v>
      </c>
      <c r="W130" s="795">
        <f t="shared" si="41"/>
        <v>0.27012144179582409</v>
      </c>
      <c r="X130" s="843">
        <f t="shared" si="42"/>
        <v>1.2034165892641826</v>
      </c>
      <c r="Y130" s="843">
        <f t="shared" si="43"/>
        <v>1.3924862730165704</v>
      </c>
      <c r="Z130" s="843">
        <f t="shared" si="44"/>
        <v>0.30827806938225261</v>
      </c>
      <c r="AA130" s="843">
        <f t="shared" si="45"/>
        <v>0.67891396396686021</v>
      </c>
      <c r="AB130" s="796">
        <f t="shared" si="46"/>
        <v>2</v>
      </c>
      <c r="AC130" s="797">
        <f t="shared" si="47"/>
        <v>3</v>
      </c>
      <c r="AD130" s="797">
        <f t="shared" si="48"/>
        <v>1</v>
      </c>
      <c r="AE130" s="842">
        <f t="shared" si="49"/>
        <v>4</v>
      </c>
      <c r="AF130" s="842">
        <f t="shared" si="50"/>
        <v>5</v>
      </c>
      <c r="AG130" s="842">
        <f t="shared" si="51"/>
        <v>1</v>
      </c>
      <c r="AH130" s="842">
        <f t="shared" si="52"/>
        <v>2</v>
      </c>
      <c r="AI130" s="826" cm="1">
        <f t="array" ref="AI130">SUMPRODUCT(--ISNUMBER($U130:$AA130),$AB$3:$AH$3)</f>
        <v>1</v>
      </c>
      <c r="AJ130" s="829">
        <f t="shared" si="53"/>
        <v>33.476696177059516</v>
      </c>
      <c r="AK130" s="827" t="str">
        <f t="shared" si="54"/>
        <v>Inmadura</v>
      </c>
      <c r="AL130" s="784" t="str">
        <f t="shared" si="55"/>
        <v>Alta</v>
      </c>
      <c r="AM130" s="799">
        <f>IF(ISNUMBER('Base de datos Rutas'!W128),'Base de datos Rutas'!W128,"")</f>
        <v>2501.9736837243272</v>
      </c>
      <c r="AN130" s="787">
        <f>IFERROR(SUMIFS('Base de datos Rutas'!$W$6:$W$794,'Base de datos Rutas'!$C$6:$C$794,$C130)/'Base de datos Rutas'!I128,"")</f>
        <v>2501.9736837243258</v>
      </c>
      <c r="AO130" s="800">
        <f>IFERROR('Base de datos Rutas'!X128*AN130/AM130,"")</f>
        <v>0.65736700470635556</v>
      </c>
      <c r="AP130" s="800">
        <f t="shared" si="56"/>
        <v>0.34263299529364444</v>
      </c>
      <c r="AQ130" s="789">
        <f>IFERROR(INDEX('Hoja de apoyo v2'!$J$17:$J$20,MATCH($A130,'Hoja de apoyo v2'!$A$17:$A$20,0)),"")</f>
        <v>0.56799995069377007</v>
      </c>
      <c r="AR130" s="789">
        <f t="shared" si="57"/>
        <v>-0.22536695540012563</v>
      </c>
      <c r="AS130" s="784" t="str">
        <f t="shared" si="58"/>
        <v>Sí</v>
      </c>
      <c r="AT130" s="801">
        <f>IF(ISNUMBER('Base de datos Rutas'!CK128),'Base de datos Rutas'!CK128,"")</f>
        <v>658</v>
      </c>
      <c r="AU130" s="802">
        <f>IF(ISNUMBER('Base de datos Rutas'!CL128),'Base de datos Rutas'!CL128,"")</f>
        <v>785.92</v>
      </c>
      <c r="AV130" s="802">
        <f>IF(ISNUMBER('Base de datos Rutas'!CM128),'Base de datos Rutas'!CM128,"")</f>
        <v>127.91999999999996</v>
      </c>
      <c r="AW130" s="802">
        <f>IF(ISNUMBER('Base de datos Rutas'!CN128),'Base de datos Rutas'!CN128,"")</f>
        <v>10.52</v>
      </c>
      <c r="AX130" s="802">
        <f>IF(ISNUMBER('Base de datos Rutas'!CO128),'Base de datos Rutas'!CO128,"")</f>
        <v>9.4499999999999993</v>
      </c>
      <c r="AY130" s="802">
        <f>IF(ISNUMBER('Base de datos Rutas'!CP128),'Base de datos Rutas'!CP128,"")</f>
        <v>-1.0700000000000003</v>
      </c>
      <c r="AZ130" s="802">
        <f>IF(ISNUMBER('Base de datos Rutas'!CQ128),'Base de datos Rutas'!CQ128,"")</f>
        <v>677.25</v>
      </c>
      <c r="BA130" s="802">
        <f>IF(ISNUMBER('Base de datos Rutas'!CR128),'Base de datos Rutas'!CR128,"")</f>
        <v>382.64</v>
      </c>
      <c r="BB130" s="803">
        <f>IF(ISNUMBER('Base de datos Rutas'!CS128),'Base de datos Rutas'!CS128,"")</f>
        <v>294.61</v>
      </c>
      <c r="BC130" s="804">
        <f t="shared" si="69"/>
        <v>1</v>
      </c>
      <c r="BD130" s="805" t="str">
        <f t="shared" si="70"/>
        <v>Saturada</v>
      </c>
      <c r="BE130" s="806">
        <f t="shared" si="71"/>
        <v>0.5649907715023994</v>
      </c>
      <c r="BF130" s="890">
        <f>IF(ISNUMBER('Base de datos Rutas'!CX128),'Base de datos Rutas'!CX128/100,"")</f>
        <v>0.63538166583824474</v>
      </c>
      <c r="BG130" s="891">
        <f>IF(ISNUMBER('Base de datos Rutas'!CZ128),'Base de datos Rutas'!CZ128/100,"")</f>
        <v>0.64446495775047941</v>
      </c>
      <c r="BH130" s="892">
        <f>IF(ISNUMBER('Base de datos Rutas'!DA128),'Base de datos Rutas'!DA128,"")</f>
        <v>88.977567954784078</v>
      </c>
      <c r="BI130" s="893">
        <f>IF(ISNUMBER('Base de datos Rutas'!DC128),'Base de datos Rutas'!DC128,"")</f>
        <v>3.6524996270473689</v>
      </c>
      <c r="BJ130" s="805" t="str">
        <f t="shared" si="72"/>
        <v>Ruta (completo)</v>
      </c>
      <c r="BK130" s="783">
        <f t="shared" si="59"/>
        <v>3</v>
      </c>
      <c r="BL130" s="797">
        <f t="shared" si="60"/>
        <v>3</v>
      </c>
      <c r="BM130" s="797">
        <f t="shared" si="61"/>
        <v>2</v>
      </c>
      <c r="BN130" s="797">
        <f t="shared" si="62"/>
        <v>1</v>
      </c>
      <c r="BO130" s="798" cm="1">
        <f t="array" ref="BO130">SUMPRODUCT(--ISNUMBER($BF130:$BI130),$BK$3:$BN$3)</f>
        <v>1</v>
      </c>
      <c r="BP130" s="831">
        <f t="shared" si="73"/>
        <v>31.25</v>
      </c>
      <c r="BQ130" s="834" t="str">
        <f t="shared" si="74"/>
        <v>Medio</v>
      </c>
      <c r="BR130" s="836">
        <f t="shared" si="64"/>
        <v>50.107522132794635</v>
      </c>
      <c r="BS130" s="836">
        <f t="shared" si="65"/>
        <v>31.25</v>
      </c>
      <c r="BT130" s="837" t="str">
        <f t="shared" si="66"/>
        <v>P2</v>
      </c>
      <c r="BU130" s="807" t="str">
        <f t="shared" si="75"/>
        <v>Al tope</v>
      </c>
      <c r="BV130" s="807" t="str">
        <f t="shared" si="67"/>
        <v>Zona de bajo potencial</v>
      </c>
      <c r="BW130" s="808" t="str">
        <f t="shared" si="68"/>
        <v>P2 - Mantener</v>
      </c>
    </row>
    <row r="131" spans="1:75">
      <c r="A131" s="780" t="str">
        <f>'Base de datos Rutas'!A129</f>
        <v>Noreste</v>
      </c>
      <c r="B131" s="781" t="str">
        <f>'Base de datos Rutas'!B129</f>
        <v>Saltillo</v>
      </c>
      <c r="C131" s="781" t="str">
        <f>'Base de datos Rutas'!C129</f>
        <v>Planta Agua y Hielo</v>
      </c>
      <c r="D131" s="782">
        <f>IF(ISNUMBER('Base de datos Rutas'!D129),'Base de datos Rutas'!D129,"Sin código")</f>
        <v>203324</v>
      </c>
      <c r="E131" s="783" t="str">
        <f>'Base de datos Rutas'!F129</f>
        <v>Activa</v>
      </c>
      <c r="F131" s="784" t="str">
        <f>'Base de datos Rutas'!H129</f>
        <v>Sí</v>
      </c>
      <c r="G131" s="785">
        <f>IF(ISNUMBER('Base de datos Rutas'!BE129),'Base de datos Rutas'!BE129,"")</f>
        <v>58.348519362186799</v>
      </c>
      <c r="H131" s="786">
        <f>IF(ISNUMBER('Base de datos Rutas'!BH129),'Base de datos Rutas'!BH129,"")</f>
        <v>0.84563732188171004</v>
      </c>
      <c r="I131" s="788">
        <f>IFERROR(IF(OR(NOT(ISNUMBER('Base de datos Rutas'!O129)),N('Base de datos Rutas'!BK129)=0),"",'Base de datos Rutas'!O129/('Base de datos Rutas'!L129/'Base de datos Rutas'!BK129)),"")</f>
        <v>1589.7972665148041</v>
      </c>
      <c r="J131" s="788">
        <f>IFERROR(IF(OR(NOT(ISNUMBER('Base de datos Rutas'!N129)),N('Base de datos Rutas'!BK129)=0),"",'Base de datos Rutas'!N129/('Base de datos Rutas'!L129/'Base de datos Rutas'!BK129)),"")</f>
        <v>7625.152619589966</v>
      </c>
      <c r="K131" s="788">
        <f>IFERROR(IF(OR(NOT(ISNUMBER('Base de datos Rutas'!J129)),N('Base de datos Rutas'!BK129)=0),"",'Base de datos Rutas'!J129/('Base de datos Rutas'!L129/'Base de datos Rutas'!BK129)),"")</f>
        <v>494.90923553530683</v>
      </c>
      <c r="L131" s="788">
        <f>IFERROR(IF(OR(NOT(ISNUMBER('Base de datos Rutas'!K129)),N('Base de datos Rutas'!BK129)=0),"",'Base de datos Rutas'!K129/('Base de datos Rutas'!L129/'Base de datos Rutas'!BK129)),"")</f>
        <v>13.96170694760818</v>
      </c>
      <c r="M131" s="787">
        <f>IF(ISNUMBER('Base de datos Rutas'!AX129),'Base de datos Rutas'!AX129,"")</f>
        <v>186.757961312959</v>
      </c>
      <c r="N131" s="790">
        <f>IFERROR(INDEX('Hoja de apoyo v2'!B$17:B$20,MATCH($A131,'Hoja de apoyo v2'!$A$17:$A$20,0)),"")</f>
        <v>63.050408855205418</v>
      </c>
      <c r="O131" s="791">
        <f>IFERROR(INDEX('Hoja de apoyo v2'!C$17:C$20,MATCH($A131,'Hoja de apoyo v2'!$A$17:$A$20,0)),"")</f>
        <v>0.7559478312655763</v>
      </c>
      <c r="P131" s="793">
        <f>IFERROR(INDEX('Hoja de apoyo v2'!D$17:D$20,MATCH($A131,'Hoja de apoyo v2'!$A$17:$A$20,0)),"")</f>
        <v>9054.9839880720647</v>
      </c>
      <c r="Q131" s="793">
        <f>IFERROR(INDEX('Hoja de apoyo v2'!E$17:E$20,MATCH($A131,'Hoja de apoyo v2'!$A$17:$A$20,0)),"")</f>
        <v>4535.7799207004691</v>
      </c>
      <c r="R131" s="793">
        <f>IFERROR(INDEX('Hoja de apoyo v2'!F$17:F$20,MATCH($A131,'Hoja de apoyo v2'!$A$17:$A$20,0)),"")</f>
        <v>260.44838236060593</v>
      </c>
      <c r="S131" s="793">
        <f>IFERROR(INDEX('Hoja de apoyo v2'!G$17:G$20,MATCH($A131,'Hoja de apoyo v2'!$A$17:$A$20,0)),"")</f>
        <v>64.772152317133859</v>
      </c>
      <c r="T131" s="792">
        <f>IFERROR(INDEX('Hoja de apoyo v2'!H$17:H$20,MATCH($A131,'Hoja de apoyo v2'!$A$17:$A$20,0)),"")</f>
        <v>389.240053528842</v>
      </c>
      <c r="U131" s="794">
        <f t="shared" si="39"/>
        <v>0.92542650272393223</v>
      </c>
      <c r="V131" s="795">
        <f t="shared" si="40"/>
        <v>1.1186450796028866</v>
      </c>
      <c r="W131" s="795">
        <f t="shared" si="41"/>
        <v>0.17557151604122212</v>
      </c>
      <c r="X131" s="843">
        <f t="shared" si="42"/>
        <v>1.6811116837459783</v>
      </c>
      <c r="Y131" s="843">
        <f t="shared" si="43"/>
        <v>1.9002200399543132</v>
      </c>
      <c r="Z131" s="843">
        <f t="shared" si="44"/>
        <v>0.21555107323359637</v>
      </c>
      <c r="AA131" s="843">
        <f t="shared" si="45"/>
        <v>0.47980149940843786</v>
      </c>
      <c r="AB131" s="796">
        <f t="shared" si="46"/>
        <v>3</v>
      </c>
      <c r="AC131" s="797">
        <f t="shared" si="47"/>
        <v>4</v>
      </c>
      <c r="AD131" s="797">
        <f t="shared" si="48"/>
        <v>1</v>
      </c>
      <c r="AE131" s="842">
        <f t="shared" si="49"/>
        <v>5</v>
      </c>
      <c r="AF131" s="842">
        <f t="shared" si="50"/>
        <v>5</v>
      </c>
      <c r="AG131" s="842">
        <f t="shared" si="51"/>
        <v>1</v>
      </c>
      <c r="AH131" s="842">
        <f t="shared" si="52"/>
        <v>1</v>
      </c>
      <c r="AI131" s="826" cm="1">
        <f t="array" ref="AI131">SUMPRODUCT(--ISNUMBER($U131:$AA131),$AB$3:$AH$3)</f>
        <v>1</v>
      </c>
      <c r="AJ131" s="829">
        <f t="shared" si="53"/>
        <v>41.557957746978893</v>
      </c>
      <c r="AK131" s="827" t="str">
        <f t="shared" si="54"/>
        <v>Inmadura</v>
      </c>
      <c r="AL131" s="784" t="str">
        <f t="shared" si="55"/>
        <v>Alta</v>
      </c>
      <c r="AM131" s="799">
        <f>IF(ISNUMBER('Base de datos Rutas'!W129),'Base de datos Rutas'!W129,"")</f>
        <v>2501.9736837243272</v>
      </c>
      <c r="AN131" s="787">
        <f>IFERROR(SUMIFS('Base de datos Rutas'!$W$6:$W$794,'Base de datos Rutas'!$C$6:$C$794,$C131)/'Base de datos Rutas'!I129,"")</f>
        <v>2501.9736837243258</v>
      </c>
      <c r="AO131" s="800">
        <f>IFERROR('Base de datos Rutas'!X129*AN131/AM131,"")</f>
        <v>0.65736700470635556</v>
      </c>
      <c r="AP131" s="800">
        <f t="shared" si="56"/>
        <v>0.34263299529364444</v>
      </c>
      <c r="AQ131" s="789">
        <f>IFERROR(INDEX('Hoja de apoyo v2'!$J$17:$J$20,MATCH($A131,'Hoja de apoyo v2'!$A$17:$A$20,0)),"")</f>
        <v>0.56799995069377007</v>
      </c>
      <c r="AR131" s="789">
        <f t="shared" si="57"/>
        <v>-0.22536695540012563</v>
      </c>
      <c r="AS131" s="784" t="str">
        <f t="shared" si="58"/>
        <v>Sí</v>
      </c>
      <c r="AT131" s="801">
        <f>IF(ISNUMBER('Base de datos Rutas'!CK129),'Base de datos Rutas'!CK129,"")</f>
        <v>516</v>
      </c>
      <c r="AU131" s="802">
        <f>IF(ISNUMBER('Base de datos Rutas'!CL129),'Base de datos Rutas'!CL129,"")</f>
        <v>861.01</v>
      </c>
      <c r="AV131" s="802">
        <f>IF(ISNUMBER('Base de datos Rutas'!CM129),'Base de datos Rutas'!CM129,"")</f>
        <v>345.01</v>
      </c>
      <c r="AW131" s="802">
        <f>IF(ISNUMBER('Base de datos Rutas'!CN129),'Base de datos Rutas'!CN129,"")</f>
        <v>11.93</v>
      </c>
      <c r="AX131" s="802">
        <f>IF(ISNUMBER('Base de datos Rutas'!CO129),'Base de datos Rutas'!CO129,"")</f>
        <v>9.4499999999999993</v>
      </c>
      <c r="AY131" s="802">
        <f>IF(ISNUMBER('Base de datos Rutas'!CP129),'Base de datos Rutas'!CP129,"")</f>
        <v>-2.4800000000000004</v>
      </c>
      <c r="AZ131" s="802">
        <f>IF(ISNUMBER('Base de datos Rutas'!CQ129),'Base de datos Rutas'!CQ129,"")</f>
        <v>677.25</v>
      </c>
      <c r="BA131" s="802">
        <f>IF(ISNUMBER('Base de datos Rutas'!CR129),'Base de datos Rutas'!CR129,"")</f>
        <v>508.87</v>
      </c>
      <c r="BB131" s="803">
        <f>IF(ISNUMBER('Base de datos Rutas'!CS129),'Base de datos Rutas'!CS129,"")</f>
        <v>168.38</v>
      </c>
      <c r="BC131" s="804">
        <f t="shared" si="69"/>
        <v>1</v>
      </c>
      <c r="BD131" s="805" t="str">
        <f t="shared" si="70"/>
        <v>Saturada</v>
      </c>
      <c r="BE131" s="806">
        <f t="shared" si="71"/>
        <v>0.75137689184200818</v>
      </c>
      <c r="BF131" s="890">
        <f>IF(ISNUMBER('Base de datos Rutas'!CX129),'Base de datos Rutas'!CX129/100,"")</f>
        <v>0.58503535078859448</v>
      </c>
      <c r="BG131" s="891">
        <f>IF(ISNUMBER('Base de datos Rutas'!CZ129),'Base de datos Rutas'!CZ129/100,"")</f>
        <v>0.61184057182814078</v>
      </c>
      <c r="BH131" s="892">
        <f>IF(ISNUMBER('Base de datos Rutas'!DA129),'Base de datos Rutas'!DA129,"")</f>
        <v>211.09970255773109</v>
      </c>
      <c r="BI131" s="893">
        <f>IF(ISNUMBER('Base de datos Rutas'!DC129),'Base de datos Rutas'!DC129,"")</f>
        <v>9.3952312384751533</v>
      </c>
      <c r="BJ131" s="805" t="str">
        <f t="shared" si="72"/>
        <v>Ruta (completo)</v>
      </c>
      <c r="BK131" s="783">
        <f t="shared" si="59"/>
        <v>3</v>
      </c>
      <c r="BL131" s="797">
        <f t="shared" si="60"/>
        <v>3</v>
      </c>
      <c r="BM131" s="797">
        <f t="shared" si="61"/>
        <v>4</v>
      </c>
      <c r="BN131" s="797">
        <f t="shared" si="62"/>
        <v>4</v>
      </c>
      <c r="BO131" s="798" cm="1">
        <f t="array" ref="BO131">SUMPRODUCT(--ISNUMBER($BF131:$BI131),$BK$3:$BN$3)</f>
        <v>1</v>
      </c>
      <c r="BP131" s="831">
        <f t="shared" si="73"/>
        <v>62.5</v>
      </c>
      <c r="BQ131" s="834" t="str">
        <f t="shared" si="74"/>
        <v>Alto</v>
      </c>
      <c r="BR131" s="836">
        <f t="shared" si="64"/>
        <v>56.168468310234168</v>
      </c>
      <c r="BS131" s="836">
        <f t="shared" si="65"/>
        <v>62.5</v>
      </c>
      <c r="BT131" s="837" t="str">
        <f t="shared" si="66"/>
        <v>P1</v>
      </c>
      <c r="BU131" s="807" t="str">
        <f t="shared" si="75"/>
        <v>Al tope</v>
      </c>
      <c r="BV131" s="807" t="str">
        <f t="shared" si="67"/>
        <v>Zona atractiva</v>
      </c>
      <c r="BW131" s="808" t="str">
        <f t="shared" si="68"/>
        <v>P1 - Ampliar cobertura</v>
      </c>
    </row>
    <row r="132" spans="1:75">
      <c r="A132" s="780" t="str">
        <f>'Base de datos Rutas'!A130</f>
        <v>Noreste</v>
      </c>
      <c r="B132" s="781" t="str">
        <f>'Base de datos Rutas'!B130</f>
        <v>Saltillo</v>
      </c>
      <c r="C132" s="781" t="str">
        <f>'Base de datos Rutas'!C130</f>
        <v>Planta Agua y Hielo</v>
      </c>
      <c r="D132" s="782">
        <f>IF(ISNUMBER('Base de datos Rutas'!D130),'Base de datos Rutas'!D130,"Sin código")</f>
        <v>203325</v>
      </c>
      <c r="E132" s="783" t="str">
        <f>'Base de datos Rutas'!F130</f>
        <v>Activa</v>
      </c>
      <c r="F132" s="784" t="str">
        <f>'Base de datos Rutas'!H130</f>
        <v>Sí</v>
      </c>
      <c r="G132" s="785">
        <f>IF(ISNUMBER('Base de datos Rutas'!BE130),'Base de datos Rutas'!BE130,"")</f>
        <v>73.450800915331797</v>
      </c>
      <c r="H132" s="786">
        <f>IF(ISNUMBER('Base de datos Rutas'!BH130),'Base de datos Rutas'!BH130,"")</f>
        <v>0.63493052526637195</v>
      </c>
      <c r="I132" s="788">
        <f>IFERROR(IF(OR(NOT(ISNUMBER('Base de datos Rutas'!O130)),N('Base de datos Rutas'!BK130)=0),"",'Base de datos Rutas'!O130/('Base de datos Rutas'!L130/'Base de datos Rutas'!BK130)),"")</f>
        <v>3692.5606407322612</v>
      </c>
      <c r="J132" s="788">
        <f>IFERROR(IF(OR(NOT(ISNUMBER('Base de datos Rutas'!N130)),N('Base de datos Rutas'!BK130)=0),"",'Base de datos Rutas'!N130/('Base de datos Rutas'!L130/'Base de datos Rutas'!BK130)),"")</f>
        <v>5486.6750572082319</v>
      </c>
      <c r="K132" s="788">
        <f>IFERROR(IF(OR(NOT(ISNUMBER('Base de datos Rutas'!J130)),N('Base de datos Rutas'!BK130)=0),"",'Base de datos Rutas'!J130/('Base de datos Rutas'!L130/'Base de datos Rutas'!BK130)),"")</f>
        <v>354.59364027459912</v>
      </c>
      <c r="L132" s="788">
        <f>IFERROR(IF(OR(NOT(ISNUMBER('Base de datos Rutas'!K130)),N('Base de datos Rutas'!BK130)=0),"",'Base de datos Rutas'!K130/('Base de datos Rutas'!L130/'Base de datos Rutas'!BK130)),"")</f>
        <v>26.989688867276854</v>
      </c>
      <c r="M132" s="787">
        <f>IF(ISNUMBER('Base de datos Rutas'!AX130),'Base de datos Rutas'!AX130,"")</f>
        <v>196.82661334641799</v>
      </c>
      <c r="N132" s="790">
        <f>IFERROR(INDEX('Hoja de apoyo v2'!B$17:B$20,MATCH($A132,'Hoja de apoyo v2'!$A$17:$A$20,0)),"")</f>
        <v>63.050408855205418</v>
      </c>
      <c r="O132" s="791">
        <f>IFERROR(INDEX('Hoja de apoyo v2'!C$17:C$20,MATCH($A132,'Hoja de apoyo v2'!$A$17:$A$20,0)),"")</f>
        <v>0.7559478312655763</v>
      </c>
      <c r="P132" s="793">
        <f>IFERROR(INDEX('Hoja de apoyo v2'!D$17:D$20,MATCH($A132,'Hoja de apoyo v2'!$A$17:$A$20,0)),"")</f>
        <v>9054.9839880720647</v>
      </c>
      <c r="Q132" s="793">
        <f>IFERROR(INDEX('Hoja de apoyo v2'!E$17:E$20,MATCH($A132,'Hoja de apoyo v2'!$A$17:$A$20,0)),"")</f>
        <v>4535.7799207004691</v>
      </c>
      <c r="R132" s="793">
        <f>IFERROR(INDEX('Hoja de apoyo v2'!F$17:F$20,MATCH($A132,'Hoja de apoyo v2'!$A$17:$A$20,0)),"")</f>
        <v>260.44838236060593</v>
      </c>
      <c r="S132" s="793">
        <f>IFERROR(INDEX('Hoja de apoyo v2'!G$17:G$20,MATCH($A132,'Hoja de apoyo v2'!$A$17:$A$20,0)),"")</f>
        <v>64.772152317133859</v>
      </c>
      <c r="T132" s="792">
        <f>IFERROR(INDEX('Hoja de apoyo v2'!H$17:H$20,MATCH($A132,'Hoja de apoyo v2'!$A$17:$A$20,0)),"")</f>
        <v>389.240053528842</v>
      </c>
      <c r="U132" s="794">
        <f t="shared" si="39"/>
        <v>1.1649536021885405</v>
      </c>
      <c r="V132" s="795">
        <f t="shared" si="40"/>
        <v>0.83991315141866041</v>
      </c>
      <c r="W132" s="795">
        <f t="shared" si="41"/>
        <v>0.40779317176003754</v>
      </c>
      <c r="X132" s="843">
        <f t="shared" si="42"/>
        <v>1.2096431381443469</v>
      </c>
      <c r="Y132" s="843">
        <f t="shared" si="43"/>
        <v>1.3614737671268913</v>
      </c>
      <c r="Z132" s="843">
        <f t="shared" si="44"/>
        <v>0.41668661456749839</v>
      </c>
      <c r="AA132" s="843">
        <f t="shared" si="45"/>
        <v>0.50566896074027357</v>
      </c>
      <c r="AB132" s="796">
        <f t="shared" si="46"/>
        <v>4</v>
      </c>
      <c r="AC132" s="797">
        <f t="shared" si="47"/>
        <v>3</v>
      </c>
      <c r="AD132" s="797">
        <f t="shared" si="48"/>
        <v>1</v>
      </c>
      <c r="AE132" s="842">
        <f t="shared" si="49"/>
        <v>4</v>
      </c>
      <c r="AF132" s="842">
        <f t="shared" si="50"/>
        <v>5</v>
      </c>
      <c r="AG132" s="842">
        <f t="shared" si="51"/>
        <v>1</v>
      </c>
      <c r="AH132" s="842">
        <f t="shared" si="52"/>
        <v>2</v>
      </c>
      <c r="AI132" s="826" cm="1">
        <f t="array" ref="AI132">SUMPRODUCT(--ISNUMBER($U132:$AA132),$AB$3:$AH$3)</f>
        <v>1</v>
      </c>
      <c r="AJ132" s="829">
        <f t="shared" si="53"/>
        <v>42.543968533333022</v>
      </c>
      <c r="AK132" s="827" t="str">
        <f t="shared" si="54"/>
        <v>Inmadura</v>
      </c>
      <c r="AL132" s="784" t="str">
        <f t="shared" si="55"/>
        <v>Alta</v>
      </c>
      <c r="AM132" s="799">
        <f>IF(ISNUMBER('Base de datos Rutas'!W130),'Base de datos Rutas'!W130,"")</f>
        <v>2501.9736837243272</v>
      </c>
      <c r="AN132" s="787">
        <f>IFERROR(SUMIFS('Base de datos Rutas'!$W$6:$W$794,'Base de datos Rutas'!$C$6:$C$794,$C132)/'Base de datos Rutas'!I130,"")</f>
        <v>2501.9736837243258</v>
      </c>
      <c r="AO132" s="800">
        <f>IFERROR('Base de datos Rutas'!X130*AN132/AM132,"")</f>
        <v>0.65736700470635556</v>
      </c>
      <c r="AP132" s="800">
        <f t="shared" si="56"/>
        <v>0.34263299529364444</v>
      </c>
      <c r="AQ132" s="789">
        <f>IFERROR(INDEX('Hoja de apoyo v2'!$J$17:$J$20,MATCH($A132,'Hoja de apoyo v2'!$A$17:$A$20,0)),"")</f>
        <v>0.56799995069377007</v>
      </c>
      <c r="AR132" s="789">
        <f t="shared" si="57"/>
        <v>-0.22536695540012563</v>
      </c>
      <c r="AS132" s="784" t="str">
        <f t="shared" si="58"/>
        <v>Sí</v>
      </c>
      <c r="AT132" s="801">
        <f>IF(ISNUMBER('Base de datos Rutas'!CK130),'Base de datos Rutas'!CK130,"")</f>
        <v>515</v>
      </c>
      <c r="AU132" s="802">
        <f>IF(ISNUMBER('Base de datos Rutas'!CL130),'Base de datos Rutas'!CL130,"")</f>
        <v>739.95</v>
      </c>
      <c r="AV132" s="802">
        <f>IF(ISNUMBER('Base de datos Rutas'!CM130),'Base de datos Rutas'!CM130,"")</f>
        <v>224.95000000000005</v>
      </c>
      <c r="AW132" s="802">
        <f>IF(ISNUMBER('Base de datos Rutas'!CN130),'Base de datos Rutas'!CN130,"")</f>
        <v>7.23</v>
      </c>
      <c r="AX132" s="802">
        <f>IF(ISNUMBER('Base de datos Rutas'!CO130),'Base de datos Rutas'!CO130,"")</f>
        <v>9.4499999999999993</v>
      </c>
      <c r="AY132" s="802">
        <f>IF(ISNUMBER('Base de datos Rutas'!CP130),'Base de datos Rutas'!CP130,"")</f>
        <v>2.2199999999999989</v>
      </c>
      <c r="AZ132" s="802">
        <f>IF(ISNUMBER('Base de datos Rutas'!CQ130),'Base de datos Rutas'!CQ130,"")</f>
        <v>677.25</v>
      </c>
      <c r="BA132" s="802">
        <f>IF(ISNUMBER('Base de datos Rutas'!CR130),'Base de datos Rutas'!CR130,"")</f>
        <v>381.58</v>
      </c>
      <c r="BB132" s="803">
        <f>IF(ISNUMBER('Base de datos Rutas'!CS130),'Base de datos Rutas'!CS130,"")</f>
        <v>295.67</v>
      </c>
      <c r="BC132" s="804">
        <f t="shared" si="69"/>
        <v>0</v>
      </c>
      <c r="BD132" s="805" t="str">
        <f t="shared" si="70"/>
        <v>No saturada</v>
      </c>
      <c r="BE132" s="806">
        <f t="shared" si="71"/>
        <v>0.56342561830933924</v>
      </c>
      <c r="BF132" s="890">
        <f>IF(ISNUMBER('Base de datos Rutas'!CX130),'Base de datos Rutas'!CX130/100,"")</f>
        <v>0.94514752499390398</v>
      </c>
      <c r="BG132" s="891">
        <f>IF(ISNUMBER('Base de datos Rutas'!CZ130),'Base de datos Rutas'!CZ130/100,"")</f>
        <v>1</v>
      </c>
      <c r="BH132" s="892">
        <f>IF(ISNUMBER('Base de datos Rutas'!DA130),'Base de datos Rutas'!DA130,"")</f>
        <v>712.02926987135777</v>
      </c>
      <c r="BI132" s="893">
        <f>IF(ISNUMBER('Base de datos Rutas'!DC130),'Base de datos Rutas'!DC130,"")</f>
        <v>28.243507206509555</v>
      </c>
      <c r="BJ132" s="805" t="str">
        <f t="shared" si="72"/>
        <v>Ruta (completo)</v>
      </c>
      <c r="BK132" s="783">
        <f t="shared" si="59"/>
        <v>4</v>
      </c>
      <c r="BL132" s="797">
        <f t="shared" si="60"/>
        <v>5</v>
      </c>
      <c r="BM132" s="797">
        <f t="shared" si="61"/>
        <v>5</v>
      </c>
      <c r="BN132" s="797">
        <f t="shared" si="62"/>
        <v>5</v>
      </c>
      <c r="BO132" s="798" cm="1">
        <f t="array" ref="BO132">SUMPRODUCT(--ISNUMBER($BF132:$BI132),$BK$3:$BN$3)</f>
        <v>1</v>
      </c>
      <c r="BP132" s="831">
        <f t="shared" si="73"/>
        <v>93.75</v>
      </c>
      <c r="BQ132" s="834" t="str">
        <f t="shared" si="74"/>
        <v>Alto</v>
      </c>
      <c r="BR132" s="836">
        <f t="shared" si="64"/>
        <v>31.907976399999768</v>
      </c>
      <c r="BS132" s="836">
        <f t="shared" si="65"/>
        <v>93.75</v>
      </c>
      <c r="BT132" s="837" t="str">
        <f t="shared" si="66"/>
        <v>P1</v>
      </c>
      <c r="BU132" s="807" t="str">
        <f t="shared" si="75"/>
        <v>Con espacio</v>
      </c>
      <c r="BV132" s="807" t="str">
        <f t="shared" si="67"/>
        <v>Zona atractiva</v>
      </c>
      <c r="BW132" s="808" t="str">
        <f t="shared" si="68"/>
        <v>P1 - Ampliar cobertura</v>
      </c>
    </row>
    <row r="133" spans="1:75">
      <c r="A133" s="780" t="str">
        <f>'Base de datos Rutas'!A131</f>
        <v>Noreste</v>
      </c>
      <c r="B133" s="781" t="str">
        <f>'Base de datos Rutas'!B131</f>
        <v>Saltillo</v>
      </c>
      <c r="C133" s="781" t="str">
        <f>'Base de datos Rutas'!C131</f>
        <v>Planta Agua y Hielo</v>
      </c>
      <c r="D133" s="782">
        <f>IF(ISNUMBER('Base de datos Rutas'!D131),'Base de datos Rutas'!D131,"Sin código")</f>
        <v>203327</v>
      </c>
      <c r="E133" s="783" t="str">
        <f>'Base de datos Rutas'!F131</f>
        <v>Activa</v>
      </c>
      <c r="F133" s="784" t="str">
        <f>'Base de datos Rutas'!H131</f>
        <v>Sí</v>
      </c>
      <c r="G133" s="785">
        <f>IF(ISNUMBER('Base de datos Rutas'!BE131),'Base de datos Rutas'!BE131,"")</f>
        <v>39.218181818181797</v>
      </c>
      <c r="H133" s="786">
        <f>IF(ISNUMBER('Base de datos Rutas'!BH131),'Base de datos Rutas'!BH131,"")</f>
        <v>0.85176170607324997</v>
      </c>
      <c r="I133" s="788">
        <f>IFERROR(IF(OR(NOT(ISNUMBER('Base de datos Rutas'!O131)),N('Base de datos Rutas'!BK131)=0),"",'Base de datos Rutas'!O131/('Base de datos Rutas'!L131/'Base de datos Rutas'!BK131)),"")</f>
        <v>8034.4613636363629</v>
      </c>
      <c r="J133" s="788">
        <f>IFERROR(IF(OR(NOT(ISNUMBER('Base de datos Rutas'!N131)),N('Base de datos Rutas'!BK131)=0),"",'Base de datos Rutas'!N131/('Base de datos Rutas'!L131/'Base de datos Rutas'!BK131)),"")</f>
        <v>2115.6977272727272</v>
      </c>
      <c r="K133" s="788">
        <f>IFERROR(IF(OR(NOT(ISNUMBER('Base de datos Rutas'!J131)),N('Base de datos Rutas'!BK131)=0),"",'Base de datos Rutas'!J131/('Base de datos Rutas'!L131/'Base de datos Rutas'!BK131)),"")</f>
        <v>137.44564909090883</v>
      </c>
      <c r="L133" s="788">
        <f>IFERROR(IF(OR(NOT(ISNUMBER('Base de datos Rutas'!K131)),N('Base de datos Rutas'!BK131)=0),"",'Base de datos Rutas'!K131/('Base de datos Rutas'!L131/'Base de datos Rutas'!BK131)),"")</f>
        <v>54.188901234090899</v>
      </c>
      <c r="M133" s="787">
        <f>IF(ISNUMBER('Base de datos Rutas'!AX131),'Base de datos Rutas'!AX131,"")</f>
        <v>303.83979248877398</v>
      </c>
      <c r="N133" s="790">
        <f>IFERROR(INDEX('Hoja de apoyo v2'!B$17:B$20,MATCH($A133,'Hoja de apoyo v2'!$A$17:$A$20,0)),"")</f>
        <v>63.050408855205418</v>
      </c>
      <c r="O133" s="791">
        <f>IFERROR(INDEX('Hoja de apoyo v2'!C$17:C$20,MATCH($A133,'Hoja de apoyo v2'!$A$17:$A$20,0)),"")</f>
        <v>0.7559478312655763</v>
      </c>
      <c r="P133" s="793">
        <f>IFERROR(INDEX('Hoja de apoyo v2'!D$17:D$20,MATCH($A133,'Hoja de apoyo v2'!$A$17:$A$20,0)),"")</f>
        <v>9054.9839880720647</v>
      </c>
      <c r="Q133" s="793">
        <f>IFERROR(INDEX('Hoja de apoyo v2'!E$17:E$20,MATCH($A133,'Hoja de apoyo v2'!$A$17:$A$20,0)),"")</f>
        <v>4535.7799207004691</v>
      </c>
      <c r="R133" s="793">
        <f>IFERROR(INDEX('Hoja de apoyo v2'!F$17:F$20,MATCH($A133,'Hoja de apoyo v2'!$A$17:$A$20,0)),"")</f>
        <v>260.44838236060593</v>
      </c>
      <c r="S133" s="793">
        <f>IFERROR(INDEX('Hoja de apoyo v2'!G$17:G$20,MATCH($A133,'Hoja de apoyo v2'!$A$17:$A$20,0)),"")</f>
        <v>64.772152317133859</v>
      </c>
      <c r="T133" s="792">
        <f>IFERROR(INDEX('Hoja de apoyo v2'!H$17:H$20,MATCH($A133,'Hoja de apoyo v2'!$A$17:$A$20,0)),"")</f>
        <v>389.240053528842</v>
      </c>
      <c r="U133" s="794">
        <f t="shared" si="39"/>
        <v>0.62201312458172842</v>
      </c>
      <c r="V133" s="795">
        <f t="shared" si="40"/>
        <v>1.1267466759541676</v>
      </c>
      <c r="W133" s="795">
        <f t="shared" si="41"/>
        <v>0.88729713649631914</v>
      </c>
      <c r="X133" s="843">
        <f t="shared" si="42"/>
        <v>0.46644629242637414</v>
      </c>
      <c r="Y133" s="843">
        <f t="shared" si="43"/>
        <v>0.5277270215508858</v>
      </c>
      <c r="Z133" s="843">
        <f t="shared" si="44"/>
        <v>0.8366080066133077</v>
      </c>
      <c r="AA133" s="843">
        <f t="shared" si="45"/>
        <v>0.78059744811503573</v>
      </c>
      <c r="AB133" s="796">
        <f t="shared" si="46"/>
        <v>2</v>
      </c>
      <c r="AC133" s="797">
        <f t="shared" si="47"/>
        <v>4</v>
      </c>
      <c r="AD133" s="797">
        <f t="shared" si="48"/>
        <v>3</v>
      </c>
      <c r="AE133" s="842">
        <f t="shared" si="49"/>
        <v>1</v>
      </c>
      <c r="AF133" s="842">
        <f t="shared" si="50"/>
        <v>2</v>
      </c>
      <c r="AG133" s="842">
        <f t="shared" si="51"/>
        <v>3</v>
      </c>
      <c r="AH133" s="842">
        <f t="shared" si="52"/>
        <v>3</v>
      </c>
      <c r="AI133" s="826" cm="1">
        <f t="array" ref="AI133">SUMPRODUCT(--ISNUMBER($U133:$AA133),$AB$3:$AH$3)</f>
        <v>1</v>
      </c>
      <c r="AJ133" s="829">
        <f t="shared" si="53"/>
        <v>38.104329603276568</v>
      </c>
      <c r="AK133" s="827" t="str">
        <f t="shared" si="54"/>
        <v>Inmadura</v>
      </c>
      <c r="AL133" s="784" t="str">
        <f t="shared" si="55"/>
        <v>Alta</v>
      </c>
      <c r="AM133" s="799">
        <f>IF(ISNUMBER('Base de datos Rutas'!W131),'Base de datos Rutas'!W131,"")</f>
        <v>2501.9736837243272</v>
      </c>
      <c r="AN133" s="787">
        <f>IFERROR(SUMIFS('Base de datos Rutas'!$W$6:$W$794,'Base de datos Rutas'!$C$6:$C$794,$C133)/'Base de datos Rutas'!I131,"")</f>
        <v>2501.9736837243258</v>
      </c>
      <c r="AO133" s="800">
        <f>IFERROR('Base de datos Rutas'!X131*AN133/AM133,"")</f>
        <v>0.65736700470635556</v>
      </c>
      <c r="AP133" s="800">
        <f t="shared" si="56"/>
        <v>0.34263299529364444</v>
      </c>
      <c r="AQ133" s="789">
        <f>IFERROR(INDEX('Hoja de apoyo v2'!$J$17:$J$20,MATCH($A133,'Hoja de apoyo v2'!$A$17:$A$20,0)),"")</f>
        <v>0.56799995069377007</v>
      </c>
      <c r="AR133" s="789">
        <f t="shared" si="57"/>
        <v>-0.22536695540012563</v>
      </c>
      <c r="AS133" s="784" t="str">
        <f t="shared" si="58"/>
        <v>Sí</v>
      </c>
      <c r="AT133" s="801" t="str">
        <f>IF(ISNUMBER('Base de datos Rutas'!CK131),'Base de datos Rutas'!CK131,"")</f>
        <v/>
      </c>
      <c r="AU133" s="802" t="str">
        <f>IF(ISNUMBER('Base de datos Rutas'!CL131),'Base de datos Rutas'!CL131,"")</f>
        <v/>
      </c>
      <c r="AV133" s="802">
        <f>IF(ISNUMBER('Base de datos Rutas'!CM131),'Base de datos Rutas'!CM131,"")</f>
        <v>0</v>
      </c>
      <c r="AW133" s="802" t="str">
        <f>IF(ISNUMBER('Base de datos Rutas'!CN131),'Base de datos Rutas'!CN131,"")</f>
        <v/>
      </c>
      <c r="AX133" s="802" t="str">
        <f>IF(ISNUMBER('Base de datos Rutas'!CO131),'Base de datos Rutas'!CO131,"")</f>
        <v/>
      </c>
      <c r="AY133" s="802">
        <f>IF(ISNUMBER('Base de datos Rutas'!CP131),'Base de datos Rutas'!CP131,"")</f>
        <v>0</v>
      </c>
      <c r="AZ133" s="802" t="str">
        <f>IF(ISNUMBER('Base de datos Rutas'!CQ131),'Base de datos Rutas'!CQ131,"")</f>
        <v/>
      </c>
      <c r="BA133" s="802" t="str">
        <f>IF(ISNUMBER('Base de datos Rutas'!CR131),'Base de datos Rutas'!CR131,"")</f>
        <v/>
      </c>
      <c r="BB133" s="803">
        <f>IF(ISNUMBER('Base de datos Rutas'!CS131),'Base de datos Rutas'!CS131,"")</f>
        <v>0</v>
      </c>
      <c r="BC133" s="804" t="str">
        <f t="shared" si="69"/>
        <v/>
      </c>
      <c r="BD133" s="805" t="str">
        <f t="shared" si="70"/>
        <v>N/D</v>
      </c>
      <c r="BE133" s="806" t="str">
        <f t="shared" si="71"/>
        <v/>
      </c>
      <c r="BF133" s="890" t="str">
        <f>IF(ISNUMBER('Base de datos Rutas'!CX131),'Base de datos Rutas'!CX131/100,"")</f>
        <v/>
      </c>
      <c r="BG133" s="891" t="str">
        <f>IF(ISNUMBER('Base de datos Rutas'!CZ131),'Base de datos Rutas'!CZ131/100,"")</f>
        <v/>
      </c>
      <c r="BH133" s="892" t="str">
        <f>IF(ISNUMBER('Base de datos Rutas'!DA131),'Base de datos Rutas'!DA131,"")</f>
        <v/>
      </c>
      <c r="BI133" s="893" t="str">
        <f>IF(ISNUMBER('Base de datos Rutas'!DC131),'Base de datos Rutas'!DC131,"")</f>
        <v/>
      </c>
      <c r="BJ133" s="805" t="str">
        <f t="shared" si="72"/>
        <v>Sin dato</v>
      </c>
      <c r="BK133" s="783">
        <f t="shared" si="59"/>
        <v>0</v>
      </c>
      <c r="BL133" s="797">
        <f t="shared" si="60"/>
        <v>0</v>
      </c>
      <c r="BM133" s="797">
        <f t="shared" si="61"/>
        <v>0</v>
      </c>
      <c r="BN133" s="797">
        <f t="shared" si="62"/>
        <v>0</v>
      </c>
      <c r="BO133" s="798" cm="1">
        <f t="array" ref="BO133">SUMPRODUCT(--ISNUMBER($BF133:$BI133),$BK$3:$BN$3)</f>
        <v>0</v>
      </c>
      <c r="BP133" s="831" t="str">
        <f t="shared" si="73"/>
        <v/>
      </c>
      <c r="BQ133" s="834" t="str">
        <f t="shared" si="74"/>
        <v>Sin datos</v>
      </c>
      <c r="BR133" s="836" t="str">
        <f t="shared" si="64"/>
        <v/>
      </c>
      <c r="BS133" s="836" t="str">
        <f t="shared" si="65"/>
        <v/>
      </c>
      <c r="BT133" s="837" t="str">
        <f t="shared" si="66"/>
        <v>Sin datos</v>
      </c>
      <c r="BU133" s="807" t="str">
        <f t="shared" si="75"/>
        <v>Con espacio</v>
      </c>
      <c r="BV133" s="807" t="str">
        <f t="shared" si="67"/>
        <v>Sin datos de zona</v>
      </c>
      <c r="BW133" s="808" t="str">
        <f t="shared" si="68"/>
        <v>Sin datos</v>
      </c>
    </row>
    <row r="134" spans="1:75">
      <c r="A134" s="780" t="str">
        <f>'Base de datos Rutas'!A132</f>
        <v>Noreste</v>
      </c>
      <c r="B134" s="781" t="str">
        <f>'Base de datos Rutas'!B132</f>
        <v>Saltillo</v>
      </c>
      <c r="C134" s="781" t="str">
        <f>'Base de datos Rutas'!C132</f>
        <v>Planta Agua y Hielo</v>
      </c>
      <c r="D134" s="782">
        <f>IF(ISNUMBER('Base de datos Rutas'!D132),'Base de datos Rutas'!D132,"Sin código")</f>
        <v>203329</v>
      </c>
      <c r="E134" s="783" t="str">
        <f>'Base de datos Rutas'!F132</f>
        <v>Activa</v>
      </c>
      <c r="F134" s="784" t="str">
        <f>'Base de datos Rutas'!H132</f>
        <v>Sí</v>
      </c>
      <c r="G134" s="785">
        <f>IF(ISNUMBER('Base de datos Rutas'!BE132),'Base de datos Rutas'!BE132,"")</f>
        <v>50.842105263157897</v>
      </c>
      <c r="H134" s="786">
        <f>IF(ISNUMBER('Base de datos Rutas'!BH132),'Base de datos Rutas'!BH132,"")</f>
        <v>0.92470069313169501</v>
      </c>
      <c r="I134" s="788">
        <f>IFERROR(IF(OR(NOT(ISNUMBER('Base de datos Rutas'!O132)),N('Base de datos Rutas'!BK132)=0),"",'Base de datos Rutas'!O132/('Base de datos Rutas'!L132/'Base de datos Rutas'!BK132)),"")</f>
        <v>6190.3958810068743</v>
      </c>
      <c r="J134" s="788">
        <f>IFERROR(IF(OR(NOT(ISNUMBER('Base de datos Rutas'!N132)),N('Base de datos Rutas'!BK132)=0),"",'Base de datos Rutas'!N132/('Base de datos Rutas'!L132/'Base de datos Rutas'!BK132)),"")</f>
        <v>3902.7345537757496</v>
      </c>
      <c r="K134" s="788">
        <f>IFERROR(IF(OR(NOT(ISNUMBER('Base de datos Rutas'!J132)),N('Base de datos Rutas'!BK132)=0),"",'Base de datos Rutas'!J132/('Base de datos Rutas'!L132/'Base de datos Rutas'!BK132)),"")</f>
        <v>251.12213272311251</v>
      </c>
      <c r="L134" s="788">
        <f>IFERROR(IF(OR(NOT(ISNUMBER('Base de datos Rutas'!K132)),N('Base de datos Rutas'!BK132)=0),"",'Base de datos Rutas'!K132/('Base de datos Rutas'!L132/'Base de datos Rutas'!BK132)),"")</f>
        <v>41.728093558352469</v>
      </c>
      <c r="M134" s="787">
        <f>IF(ISNUMBER('Base de datos Rutas'!AX132),'Base de datos Rutas'!AX132,"")</f>
        <v>213.710275979557</v>
      </c>
      <c r="N134" s="790">
        <f>IFERROR(INDEX('Hoja de apoyo v2'!B$17:B$20,MATCH($A134,'Hoja de apoyo v2'!$A$17:$A$20,0)),"")</f>
        <v>63.050408855205418</v>
      </c>
      <c r="O134" s="791">
        <f>IFERROR(INDEX('Hoja de apoyo v2'!C$17:C$20,MATCH($A134,'Hoja de apoyo v2'!$A$17:$A$20,0)),"")</f>
        <v>0.7559478312655763</v>
      </c>
      <c r="P134" s="793">
        <f>IFERROR(INDEX('Hoja de apoyo v2'!D$17:D$20,MATCH($A134,'Hoja de apoyo v2'!$A$17:$A$20,0)),"")</f>
        <v>9054.9839880720647</v>
      </c>
      <c r="Q134" s="793">
        <f>IFERROR(INDEX('Hoja de apoyo v2'!E$17:E$20,MATCH($A134,'Hoja de apoyo v2'!$A$17:$A$20,0)),"")</f>
        <v>4535.7799207004691</v>
      </c>
      <c r="R134" s="793">
        <f>IFERROR(INDEX('Hoja de apoyo v2'!F$17:F$20,MATCH($A134,'Hoja de apoyo v2'!$A$17:$A$20,0)),"")</f>
        <v>260.44838236060593</v>
      </c>
      <c r="S134" s="793">
        <f>IFERROR(INDEX('Hoja de apoyo v2'!G$17:G$20,MATCH($A134,'Hoja de apoyo v2'!$A$17:$A$20,0)),"")</f>
        <v>64.772152317133859</v>
      </c>
      <c r="T134" s="792">
        <f>IFERROR(INDEX('Hoja de apoyo v2'!H$17:H$20,MATCH($A134,'Hoja de apoyo v2'!$A$17:$A$20,0)),"")</f>
        <v>389.240053528842</v>
      </c>
      <c r="U134" s="794">
        <f t="shared" si="39"/>
        <v>0.80637233265078812</v>
      </c>
      <c r="V134" s="795">
        <f t="shared" si="40"/>
        <v>1.2232334757592991</v>
      </c>
      <c r="W134" s="795">
        <f t="shared" si="41"/>
        <v>0.68364514936319598</v>
      </c>
      <c r="X134" s="843">
        <f t="shared" si="42"/>
        <v>0.86043296235877398</v>
      </c>
      <c r="Y134" s="843">
        <f t="shared" si="43"/>
        <v>0.96419156243949833</v>
      </c>
      <c r="Z134" s="843">
        <f t="shared" si="44"/>
        <v>0.64422891729837328</v>
      </c>
      <c r="AA134" s="843">
        <f t="shared" si="45"/>
        <v>0.54904492495585744</v>
      </c>
      <c r="AB134" s="796">
        <f t="shared" si="46"/>
        <v>3</v>
      </c>
      <c r="AC134" s="797">
        <f t="shared" si="47"/>
        <v>4</v>
      </c>
      <c r="AD134" s="797">
        <f t="shared" si="48"/>
        <v>2</v>
      </c>
      <c r="AE134" s="842">
        <f t="shared" si="49"/>
        <v>3</v>
      </c>
      <c r="AF134" s="842">
        <f t="shared" si="50"/>
        <v>3</v>
      </c>
      <c r="AG134" s="842">
        <f t="shared" si="51"/>
        <v>2</v>
      </c>
      <c r="AH134" s="842">
        <f t="shared" si="52"/>
        <v>2</v>
      </c>
      <c r="AI134" s="826" cm="1">
        <f t="array" ref="AI134">SUMPRODUCT(--ISNUMBER($U134:$AA134),$AB$3:$AH$3)</f>
        <v>1</v>
      </c>
      <c r="AJ134" s="829">
        <f t="shared" si="53"/>
        <v>40.634939508176203</v>
      </c>
      <c r="AK134" s="827" t="str">
        <f t="shared" si="54"/>
        <v>Inmadura</v>
      </c>
      <c r="AL134" s="784" t="str">
        <f t="shared" si="55"/>
        <v>Alta</v>
      </c>
      <c r="AM134" s="799">
        <f>IF(ISNUMBER('Base de datos Rutas'!W132),'Base de datos Rutas'!W132,"")</f>
        <v>2501.9736837243272</v>
      </c>
      <c r="AN134" s="787">
        <f>IFERROR(SUMIFS('Base de datos Rutas'!$W$6:$W$794,'Base de datos Rutas'!$C$6:$C$794,$C134)/'Base de datos Rutas'!I132,"")</f>
        <v>2501.9736837243258</v>
      </c>
      <c r="AO134" s="800">
        <f>IFERROR('Base de datos Rutas'!X132*AN134/AM134,"")</f>
        <v>0.65736700470635556</v>
      </c>
      <c r="AP134" s="800">
        <f t="shared" si="56"/>
        <v>0.34263299529364444</v>
      </c>
      <c r="AQ134" s="789">
        <f>IFERROR(INDEX('Hoja de apoyo v2'!$J$17:$J$20,MATCH($A134,'Hoja de apoyo v2'!$A$17:$A$20,0)),"")</f>
        <v>0.56799995069377007</v>
      </c>
      <c r="AR134" s="789">
        <f t="shared" si="57"/>
        <v>-0.22536695540012563</v>
      </c>
      <c r="AS134" s="784" t="str">
        <f t="shared" si="58"/>
        <v>Sí</v>
      </c>
      <c r="AT134" s="801" t="str">
        <f>IF(ISNUMBER('Base de datos Rutas'!CK132),'Base de datos Rutas'!CK132,"")</f>
        <v/>
      </c>
      <c r="AU134" s="802" t="str">
        <f>IF(ISNUMBER('Base de datos Rutas'!CL132),'Base de datos Rutas'!CL132,"")</f>
        <v/>
      </c>
      <c r="AV134" s="802">
        <f>IF(ISNUMBER('Base de datos Rutas'!CM132),'Base de datos Rutas'!CM132,"")</f>
        <v>0</v>
      </c>
      <c r="AW134" s="802" t="str">
        <f>IF(ISNUMBER('Base de datos Rutas'!CN132),'Base de datos Rutas'!CN132,"")</f>
        <v/>
      </c>
      <c r="AX134" s="802" t="str">
        <f>IF(ISNUMBER('Base de datos Rutas'!CO132),'Base de datos Rutas'!CO132,"")</f>
        <v/>
      </c>
      <c r="AY134" s="802">
        <f>IF(ISNUMBER('Base de datos Rutas'!CP132),'Base de datos Rutas'!CP132,"")</f>
        <v>0</v>
      </c>
      <c r="AZ134" s="802" t="str">
        <f>IF(ISNUMBER('Base de datos Rutas'!CQ132),'Base de datos Rutas'!CQ132,"")</f>
        <v/>
      </c>
      <c r="BA134" s="802" t="str">
        <f>IF(ISNUMBER('Base de datos Rutas'!CR132),'Base de datos Rutas'!CR132,"")</f>
        <v/>
      </c>
      <c r="BB134" s="803">
        <f>IF(ISNUMBER('Base de datos Rutas'!CS132),'Base de datos Rutas'!CS132,"")</f>
        <v>0</v>
      </c>
      <c r="BC134" s="804" t="str">
        <f t="shared" si="69"/>
        <v/>
      </c>
      <c r="BD134" s="805" t="str">
        <f t="shared" si="70"/>
        <v>N/D</v>
      </c>
      <c r="BE134" s="806" t="str">
        <f t="shared" si="71"/>
        <v/>
      </c>
      <c r="BF134" s="890" t="str">
        <f>IF(ISNUMBER('Base de datos Rutas'!CX132),'Base de datos Rutas'!CX132/100,"")</f>
        <v/>
      </c>
      <c r="BG134" s="891" t="str">
        <f>IF(ISNUMBER('Base de datos Rutas'!CZ132),'Base de datos Rutas'!CZ132/100,"")</f>
        <v/>
      </c>
      <c r="BH134" s="892" t="str">
        <f>IF(ISNUMBER('Base de datos Rutas'!DA132),'Base de datos Rutas'!DA132,"")</f>
        <v/>
      </c>
      <c r="BI134" s="893" t="str">
        <f>IF(ISNUMBER('Base de datos Rutas'!DC132),'Base de datos Rutas'!DC132,"")</f>
        <v/>
      </c>
      <c r="BJ134" s="805" t="str">
        <f t="shared" si="72"/>
        <v>Sin dato</v>
      </c>
      <c r="BK134" s="783">
        <f t="shared" si="59"/>
        <v>0</v>
      </c>
      <c r="BL134" s="797">
        <f t="shared" si="60"/>
        <v>0</v>
      </c>
      <c r="BM134" s="797">
        <f t="shared" si="61"/>
        <v>0</v>
      </c>
      <c r="BN134" s="797">
        <f t="shared" si="62"/>
        <v>0</v>
      </c>
      <c r="BO134" s="798" cm="1">
        <f t="array" ref="BO134">SUMPRODUCT(--ISNUMBER($BF134:$BI134),$BK$3:$BN$3)</f>
        <v>0</v>
      </c>
      <c r="BP134" s="831" t="str">
        <f t="shared" si="73"/>
        <v/>
      </c>
      <c r="BQ134" s="834" t="str">
        <f t="shared" si="74"/>
        <v>Sin datos</v>
      </c>
      <c r="BR134" s="836" t="str">
        <f t="shared" si="64"/>
        <v/>
      </c>
      <c r="BS134" s="836" t="str">
        <f t="shared" si="65"/>
        <v/>
      </c>
      <c r="BT134" s="837" t="str">
        <f t="shared" si="66"/>
        <v>Sin datos</v>
      </c>
      <c r="BU134" s="807" t="str">
        <f t="shared" si="75"/>
        <v>Con espacio</v>
      </c>
      <c r="BV134" s="807" t="str">
        <f t="shared" si="67"/>
        <v>Sin datos de zona</v>
      </c>
      <c r="BW134" s="808" t="str">
        <f t="shared" si="68"/>
        <v>Sin datos</v>
      </c>
    </row>
    <row r="135" spans="1:75">
      <c r="A135" s="780" t="str">
        <f>'Base de datos Rutas'!A133</f>
        <v>Noreste</v>
      </c>
      <c r="B135" s="781" t="str">
        <f>'Base de datos Rutas'!B133</f>
        <v>Saltillo</v>
      </c>
      <c r="C135" s="781" t="str">
        <f>'Base de datos Rutas'!C133</f>
        <v>Planta Agua y Hielo</v>
      </c>
      <c r="D135" s="782">
        <f>IF(ISNUMBER('Base de datos Rutas'!D133),'Base de datos Rutas'!D133,"Sin código")</f>
        <v>203331</v>
      </c>
      <c r="E135" s="783" t="str">
        <f>'Base de datos Rutas'!F133</f>
        <v>Activa</v>
      </c>
      <c r="F135" s="784" t="str">
        <f>'Base de datos Rutas'!H133</f>
        <v>Sí</v>
      </c>
      <c r="G135" s="785">
        <f>IF(ISNUMBER('Base de datos Rutas'!BE133),'Base de datos Rutas'!BE133,"")</f>
        <v>40.719540229885098</v>
      </c>
      <c r="H135" s="786">
        <f>IF(ISNUMBER('Base de datos Rutas'!BH133),'Base de datos Rutas'!BH133,"")</f>
        <v>0.86693389036301005</v>
      </c>
      <c r="I135" s="788">
        <f>IFERROR(IF(OR(NOT(ISNUMBER('Base de datos Rutas'!O133)),N('Base de datos Rutas'!BK133)=0),"",'Base de datos Rutas'!O133/('Base de datos Rutas'!L133/'Base de datos Rutas'!BK133)),"")</f>
        <v>8380.427586206908</v>
      </c>
      <c r="J135" s="788">
        <f>IFERROR(IF(OR(NOT(ISNUMBER('Base de datos Rutas'!N133)),N('Base de datos Rutas'!BK133)=0),"",'Base de datos Rutas'!N133/('Base de datos Rutas'!L133/'Base de datos Rutas'!BK133)),"")</f>
        <v>2117.5264367816121</v>
      </c>
      <c r="K135" s="788">
        <f>IFERROR(IF(OR(NOT(ISNUMBER('Base de datos Rutas'!J133)),N('Base de datos Rutas'!BK133)=0),"",'Base de datos Rutas'!J133/('Base de datos Rutas'!L133/'Base de datos Rutas'!BK133)),"")</f>
        <v>137.76227862068961</v>
      </c>
      <c r="L135" s="788">
        <f>IFERROR(IF(OR(NOT(ISNUMBER('Base de datos Rutas'!K133)),N('Base de datos Rutas'!BK133)=0),"",'Base de datos Rutas'!K133/('Base de datos Rutas'!L133/'Base de datos Rutas'!BK133)),"")</f>
        <v>69.166432383908145</v>
      </c>
      <c r="M135" s="787">
        <f>IF(ISNUMBER('Base de datos Rutas'!AX133),'Base de datos Rutas'!AX133,"")</f>
        <v>296.61060562646497</v>
      </c>
      <c r="N135" s="790">
        <f>IFERROR(INDEX('Hoja de apoyo v2'!B$17:B$20,MATCH($A135,'Hoja de apoyo v2'!$A$17:$A$20,0)),"")</f>
        <v>63.050408855205418</v>
      </c>
      <c r="O135" s="791">
        <f>IFERROR(INDEX('Hoja de apoyo v2'!C$17:C$20,MATCH($A135,'Hoja de apoyo v2'!$A$17:$A$20,0)),"")</f>
        <v>0.7559478312655763</v>
      </c>
      <c r="P135" s="793">
        <f>IFERROR(INDEX('Hoja de apoyo v2'!D$17:D$20,MATCH($A135,'Hoja de apoyo v2'!$A$17:$A$20,0)),"")</f>
        <v>9054.9839880720647</v>
      </c>
      <c r="Q135" s="793">
        <f>IFERROR(INDEX('Hoja de apoyo v2'!E$17:E$20,MATCH($A135,'Hoja de apoyo v2'!$A$17:$A$20,0)),"")</f>
        <v>4535.7799207004691</v>
      </c>
      <c r="R135" s="793">
        <f>IFERROR(INDEX('Hoja de apoyo v2'!F$17:F$20,MATCH($A135,'Hoja de apoyo v2'!$A$17:$A$20,0)),"")</f>
        <v>260.44838236060593</v>
      </c>
      <c r="S135" s="793">
        <f>IFERROR(INDEX('Hoja de apoyo v2'!G$17:G$20,MATCH($A135,'Hoja de apoyo v2'!$A$17:$A$20,0)),"")</f>
        <v>64.772152317133859</v>
      </c>
      <c r="T135" s="792">
        <f>IFERROR(INDEX('Hoja de apoyo v2'!H$17:H$20,MATCH($A135,'Hoja de apoyo v2'!$A$17:$A$20,0)),"")</f>
        <v>389.240053528842</v>
      </c>
      <c r="U135" s="794">
        <f t="shared" si="39"/>
        <v>0.64582515750844827</v>
      </c>
      <c r="V135" s="795">
        <f t="shared" si="40"/>
        <v>1.1468170877765804</v>
      </c>
      <c r="W135" s="795">
        <f t="shared" si="41"/>
        <v>0.92550440699246561</v>
      </c>
      <c r="X135" s="843">
        <f t="shared" si="42"/>
        <v>0.46684946664136173</v>
      </c>
      <c r="Y135" s="843">
        <f t="shared" si="43"/>
        <v>0.52894273088611365</v>
      </c>
      <c r="Z135" s="843">
        <f t="shared" si="44"/>
        <v>1.0678421190214469</v>
      </c>
      <c r="AA135" s="843">
        <f t="shared" si="45"/>
        <v>0.76202488140005009</v>
      </c>
      <c r="AB135" s="796">
        <f t="shared" si="46"/>
        <v>2</v>
      </c>
      <c r="AC135" s="797">
        <f t="shared" si="47"/>
        <v>4</v>
      </c>
      <c r="AD135" s="797">
        <f t="shared" si="48"/>
        <v>3</v>
      </c>
      <c r="AE135" s="842">
        <f t="shared" si="49"/>
        <v>1</v>
      </c>
      <c r="AF135" s="842">
        <f t="shared" si="50"/>
        <v>2</v>
      </c>
      <c r="AG135" s="842">
        <f t="shared" si="51"/>
        <v>4</v>
      </c>
      <c r="AH135" s="842">
        <f t="shared" si="52"/>
        <v>3</v>
      </c>
      <c r="AI135" s="826" cm="1">
        <f t="array" ref="AI135">SUMPRODUCT(--ISNUMBER($U135:$AA135),$AB$3:$AH$3)</f>
        <v>1</v>
      </c>
      <c r="AJ135" s="829">
        <f t="shared" si="53"/>
        <v>42.493396371336253</v>
      </c>
      <c r="AK135" s="827" t="str">
        <f t="shared" si="54"/>
        <v>Inmadura</v>
      </c>
      <c r="AL135" s="784" t="str">
        <f t="shared" si="55"/>
        <v>Alta</v>
      </c>
      <c r="AM135" s="799">
        <f>IF(ISNUMBER('Base de datos Rutas'!W133),'Base de datos Rutas'!W133,"")</f>
        <v>2501.9736837243272</v>
      </c>
      <c r="AN135" s="787">
        <f>IFERROR(SUMIFS('Base de datos Rutas'!$W$6:$W$794,'Base de datos Rutas'!$C$6:$C$794,$C135)/'Base de datos Rutas'!I133,"")</f>
        <v>2501.9736837243258</v>
      </c>
      <c r="AO135" s="800">
        <f>IFERROR('Base de datos Rutas'!X133*AN135/AM135,"")</f>
        <v>0.65736700470635556</v>
      </c>
      <c r="AP135" s="800">
        <f t="shared" si="56"/>
        <v>0.34263299529364444</v>
      </c>
      <c r="AQ135" s="789">
        <f>IFERROR(INDEX('Hoja de apoyo v2'!$J$17:$J$20,MATCH($A135,'Hoja de apoyo v2'!$A$17:$A$20,0)),"")</f>
        <v>0.56799995069377007</v>
      </c>
      <c r="AR135" s="789">
        <f t="shared" si="57"/>
        <v>-0.22536695540012563</v>
      </c>
      <c r="AS135" s="784" t="str">
        <f t="shared" si="58"/>
        <v>Sí</v>
      </c>
      <c r="AT135" s="801" t="str">
        <f>IF(ISNUMBER('Base de datos Rutas'!CK133),'Base de datos Rutas'!CK133,"")</f>
        <v/>
      </c>
      <c r="AU135" s="802" t="str">
        <f>IF(ISNUMBER('Base de datos Rutas'!CL133),'Base de datos Rutas'!CL133,"")</f>
        <v/>
      </c>
      <c r="AV135" s="802">
        <f>IF(ISNUMBER('Base de datos Rutas'!CM133),'Base de datos Rutas'!CM133,"")</f>
        <v>0</v>
      </c>
      <c r="AW135" s="802" t="str">
        <f>IF(ISNUMBER('Base de datos Rutas'!CN133),'Base de datos Rutas'!CN133,"")</f>
        <v/>
      </c>
      <c r="AX135" s="802" t="str">
        <f>IF(ISNUMBER('Base de datos Rutas'!CO133),'Base de datos Rutas'!CO133,"")</f>
        <v/>
      </c>
      <c r="AY135" s="802">
        <f>IF(ISNUMBER('Base de datos Rutas'!CP133),'Base de datos Rutas'!CP133,"")</f>
        <v>0</v>
      </c>
      <c r="AZ135" s="802" t="str">
        <f>IF(ISNUMBER('Base de datos Rutas'!CQ133),'Base de datos Rutas'!CQ133,"")</f>
        <v/>
      </c>
      <c r="BA135" s="802" t="str">
        <f>IF(ISNUMBER('Base de datos Rutas'!CR133),'Base de datos Rutas'!CR133,"")</f>
        <v/>
      </c>
      <c r="BB135" s="803">
        <f>IF(ISNUMBER('Base de datos Rutas'!CS133),'Base de datos Rutas'!CS133,"")</f>
        <v>0</v>
      </c>
      <c r="BC135" s="804" t="str">
        <f t="shared" si="69"/>
        <v/>
      </c>
      <c r="BD135" s="805" t="str">
        <f t="shared" si="70"/>
        <v>N/D</v>
      </c>
      <c r="BE135" s="806" t="str">
        <f t="shared" si="71"/>
        <v/>
      </c>
      <c r="BF135" s="890" t="str">
        <f>IF(ISNUMBER('Base de datos Rutas'!CX133),'Base de datos Rutas'!CX133/100,"")</f>
        <v/>
      </c>
      <c r="BG135" s="891" t="str">
        <f>IF(ISNUMBER('Base de datos Rutas'!CZ133),'Base de datos Rutas'!CZ133/100,"")</f>
        <v/>
      </c>
      <c r="BH135" s="892" t="str">
        <f>IF(ISNUMBER('Base de datos Rutas'!DA133),'Base de datos Rutas'!DA133,"")</f>
        <v/>
      </c>
      <c r="BI135" s="893" t="str">
        <f>IF(ISNUMBER('Base de datos Rutas'!DC133),'Base de datos Rutas'!DC133,"")</f>
        <v/>
      </c>
      <c r="BJ135" s="805" t="str">
        <f t="shared" si="72"/>
        <v>Sin dato</v>
      </c>
      <c r="BK135" s="783">
        <f t="shared" si="59"/>
        <v>0</v>
      </c>
      <c r="BL135" s="797">
        <f t="shared" si="60"/>
        <v>0</v>
      </c>
      <c r="BM135" s="797">
        <f t="shared" si="61"/>
        <v>0</v>
      </c>
      <c r="BN135" s="797">
        <f t="shared" si="62"/>
        <v>0</v>
      </c>
      <c r="BO135" s="798" cm="1">
        <f t="array" ref="BO135">SUMPRODUCT(--ISNUMBER($BF135:$BI135),$BK$3:$BN$3)</f>
        <v>0</v>
      </c>
      <c r="BP135" s="831" t="str">
        <f t="shared" si="73"/>
        <v/>
      </c>
      <c r="BQ135" s="834" t="str">
        <f t="shared" si="74"/>
        <v>Sin datos</v>
      </c>
      <c r="BR135" s="836" t="str">
        <f t="shared" si="64"/>
        <v/>
      </c>
      <c r="BS135" s="836" t="str">
        <f t="shared" si="65"/>
        <v/>
      </c>
      <c r="BT135" s="837" t="str">
        <f t="shared" si="66"/>
        <v>Sin datos</v>
      </c>
      <c r="BU135" s="807" t="str">
        <f t="shared" si="75"/>
        <v>Con espacio</v>
      </c>
      <c r="BV135" s="807" t="str">
        <f t="shared" si="67"/>
        <v>Sin datos de zona</v>
      </c>
      <c r="BW135" s="808" t="str">
        <f t="shared" si="68"/>
        <v>Sin datos</v>
      </c>
    </row>
    <row r="136" spans="1:75">
      <c r="A136" s="780" t="str">
        <f>'Base de datos Rutas'!A134</f>
        <v>Norte</v>
      </c>
      <c r="B136" s="781" t="str">
        <f>'Base de datos Rutas'!B134</f>
        <v>Chihuahua</v>
      </c>
      <c r="C136" s="781" t="str">
        <f>'Base de datos Rutas'!C134</f>
        <v>Planta Chihuahua</v>
      </c>
      <c r="D136" s="782">
        <f>IF(ISNUMBER('Base de datos Rutas'!D134),'Base de datos Rutas'!D134,"Sin código")</f>
        <v>308340</v>
      </c>
      <c r="E136" s="783" t="str">
        <f>'Base de datos Rutas'!F134</f>
        <v>Activa</v>
      </c>
      <c r="F136" s="784" t="str">
        <f>'Base de datos Rutas'!H134</f>
        <v>Sí</v>
      </c>
      <c r="G136" s="785">
        <f>IF(ISNUMBER('Base de datos Rutas'!BE134),'Base de datos Rutas'!BE134,"")</f>
        <v>68.3638443935927</v>
      </c>
      <c r="H136" s="786">
        <f>IF(ISNUMBER('Base de datos Rutas'!BH134),'Base de datos Rutas'!BH134,"")</f>
        <v>0.76706276150627595</v>
      </c>
      <c r="I136" s="788">
        <f>IFERROR(IF(OR(NOT(ISNUMBER('Base de datos Rutas'!O134)),N('Base de datos Rutas'!BK134)=0),"",'Base de datos Rutas'!O134/('Base de datos Rutas'!L134/'Base de datos Rutas'!BK134)),"")</f>
        <v>6824.6453089244715</v>
      </c>
      <c r="J136" s="788">
        <f>IFERROR(IF(OR(NOT(ISNUMBER('Base de datos Rutas'!N134)),N('Base de datos Rutas'!BK134)=0),"",'Base de datos Rutas'!N134/('Base de datos Rutas'!L134/'Base de datos Rutas'!BK134)),"")</f>
        <v>4641.7116704805403</v>
      </c>
      <c r="K136" s="788">
        <f>IFERROR(IF(OR(NOT(ISNUMBER('Base de datos Rutas'!J134)),N('Base de datos Rutas'!BK134)=0),"",'Base de datos Rutas'!J134/('Base de datos Rutas'!L134/'Base de datos Rutas'!BK134)),"")</f>
        <v>314.27479771166986</v>
      </c>
      <c r="L136" s="788">
        <f>IFERROR(IF(OR(NOT(ISNUMBER('Base de datos Rutas'!K134)),N('Base de datos Rutas'!BK134)=0),"",'Base de datos Rutas'!K134/('Base de datos Rutas'!L134/'Base de datos Rutas'!BK134)),"")</f>
        <v>46.694101654462152</v>
      </c>
      <c r="M136" s="787">
        <f>IF(ISNUMBER('Base de datos Rutas'!AX134),'Base de datos Rutas'!AX134,"")</f>
        <v>219.809954616862</v>
      </c>
      <c r="N136" s="790">
        <f>IFERROR(INDEX('Hoja de apoyo v2'!B$17:B$20,MATCH($A136,'Hoja de apoyo v2'!$A$17:$A$20,0)),"")</f>
        <v>74.190366972477051</v>
      </c>
      <c r="O136" s="791">
        <f>IFERROR(INDEX('Hoja de apoyo v2'!C$17:C$20,MATCH($A136,'Hoja de apoyo v2'!$A$17:$A$20,0)),"")</f>
        <v>0.71677657005077755</v>
      </c>
      <c r="P136" s="793">
        <f>IFERROR(INDEX('Hoja de apoyo v2'!D$17:D$20,MATCH($A136,'Hoja de apoyo v2'!$A$17:$A$20,0)),"")</f>
        <v>8755.1153350385739</v>
      </c>
      <c r="Q136" s="793">
        <f>IFERROR(INDEX('Hoja de apoyo v2'!E$17:E$20,MATCH($A136,'Hoja de apoyo v2'!$A$17:$A$20,0)),"")</f>
        <v>6098.2042779326393</v>
      </c>
      <c r="R136" s="793">
        <f>IFERROR(INDEX('Hoja de apoyo v2'!F$17:F$20,MATCH($A136,'Hoja de apoyo v2'!$A$17:$A$20,0)),"")</f>
        <v>389.08889713610301</v>
      </c>
      <c r="S136" s="793">
        <f>IFERROR(INDEX('Hoja de apoyo v2'!G$17:G$20,MATCH($A136,'Hoja de apoyo v2'!$A$17:$A$20,0)),"")</f>
        <v>67.90575167807188</v>
      </c>
      <c r="T136" s="792">
        <f>IFERROR(INDEX('Hoja de apoyo v2'!H$17:H$20,MATCH($A136,'Hoja de apoyo v2'!$A$17:$A$20,0)),"")</f>
        <v>258.90325471200998</v>
      </c>
      <c r="U136" s="794">
        <f t="shared" ref="U136:U199" si="76">IFERROR(G136/N136,"")</f>
        <v>0.92146524115393769</v>
      </c>
      <c r="V136" s="795">
        <f t="shared" ref="V136:V199" si="77">IFERROR(H136/O136,"")</f>
        <v>1.0701560200997307</v>
      </c>
      <c r="W136" s="795">
        <f t="shared" ref="W136:W199" si="78">IFERROR(IF(N(P136)=0,"",I136/P136),"")</f>
        <v>0.77950375840416075</v>
      </c>
      <c r="X136" s="843">
        <f t="shared" ref="X136:X199" si="79">IFERROR(IF(N(Q136)=0,"",J136/Q136),"")</f>
        <v>0.76116041033215986</v>
      </c>
      <c r="Y136" s="843">
        <f t="shared" ref="Y136:Y199" si="80">IFERROR(IF(N(R136)=0,"",K136/R136),"")</f>
        <v>0.80771977824321406</v>
      </c>
      <c r="Z136" s="843">
        <f t="shared" ref="Z136:Z199" si="81">IFERROR(IF(N(S136)=0,"",L136/S136),"")</f>
        <v>0.68763102536335829</v>
      </c>
      <c r="AA136" s="843">
        <f t="shared" ref="AA136:AA199" si="82">IFERROR(IF(N(T136)=0,"",M136/T136),"")</f>
        <v>0.84900421534432524</v>
      </c>
      <c r="AB136" s="796">
        <f t="shared" ref="AB136:AB199" si="83">IF(NOT(ISNUMBER(U136)),0,IFERROR(MATCH(U136,$U$3:$X$3,1)+1,1))</f>
        <v>3</v>
      </c>
      <c r="AC136" s="797">
        <f t="shared" ref="AC136:AC199" si="84">IF(NOT(ISNUMBER(V136)),0,IFERROR(MATCH(V136,$U$3:$X$3,1)+1,1))</f>
        <v>4</v>
      </c>
      <c r="AD136" s="797">
        <f t="shared" ref="AD136:AD199" si="85">IF(NOT(ISNUMBER(W136)),0,IFERROR(MATCH(W136,$U$3:$X$3,1)+1,1))</f>
        <v>3</v>
      </c>
      <c r="AE136" s="842">
        <f t="shared" ref="AE136:AE199" si="86">IF(NOT(ISNUMBER(X136)),0,IFERROR(MATCH(X136,$U$3:$X$3,1)+1,1))</f>
        <v>3</v>
      </c>
      <c r="AF136" s="842">
        <f t="shared" ref="AF136:AF199" si="87">IF(NOT(ISNUMBER(Y136)),0,IFERROR(MATCH(Y136,$U$3:$X$3,1)+1,1))</f>
        <v>3</v>
      </c>
      <c r="AG136" s="842">
        <f t="shared" ref="AG136:AG199" si="88">IF(NOT(ISNUMBER(Z136)),0,IFERROR(MATCH(Z136,$U$3:$X$3,1)+1,1))</f>
        <v>2</v>
      </c>
      <c r="AH136" s="842">
        <f t="shared" ref="AH136:AH199" si="89">IF(NOT(ISNUMBER(AA136)),0,IFERROR(MATCH(AA136,$U$3:$X$3,1)+1,1))</f>
        <v>3</v>
      </c>
      <c r="AI136" s="826" cm="1">
        <f t="array" ref="AI136">SUMPRODUCT(--ISNUMBER($U136:$AA136),$AB$3:$AH$3)</f>
        <v>1</v>
      </c>
      <c r="AJ136" s="829">
        <f t="shared" ref="AJ136:AJ199" si="90">IF(OR($E136&lt;&gt;"Activa",$F136&lt;&gt;"Sí",AI136&lt;$AI$4),"",(SUMPRODUCT($AB136:$AH136,$AB$3:$AH$3)/AI136-1)/4*100)</f>
        <v>47.993838817830806</v>
      </c>
      <c r="AK136" s="827" t="str">
        <f t="shared" ref="AK136:AK199" si="91">IF($E136&lt;&gt;"Activa","Ruta inactiva",IF($F136&lt;&gt;"Sí","No elegible",IF(AJ136="","Sin datos",IF(AJ136&gt;=$AJ$4,"Madura",IF(AJ136&lt;$AK$4,"Inmadura","En desarrollo")))))</f>
        <v>En desarrollo</v>
      </c>
      <c r="AL136" s="784" t="str">
        <f t="shared" ref="AL136:AL199" si="92">IF(AJ136="","n/a",IF(AI136&gt;=$AL$3,"Alta",IF(AI136&gt;=$AL$4,"Media","Baja")))</f>
        <v>Alta</v>
      </c>
      <c r="AM136" s="799">
        <f>IF(ISNUMBER('Base de datos Rutas'!W134),'Base de datos Rutas'!W134,"")</f>
        <v>2692.8351820114153</v>
      </c>
      <c r="AN136" s="787">
        <f>IFERROR(SUMIFS('Base de datos Rutas'!$W$6:$W$794,'Base de datos Rutas'!$C$6:$C$794,$C136)/'Base de datos Rutas'!I134,"")</f>
        <v>2692.8351820114153</v>
      </c>
      <c r="AO136" s="800">
        <f>IFERROR('Base de datos Rutas'!X134*AN136/AM136,"")</f>
        <v>0.53269852604487389</v>
      </c>
      <c r="AP136" s="800">
        <f t="shared" ref="AP136:AP199" si="93">IF(ISNUMBER(AO136),1-AO136,"")</f>
        <v>0.46730147395512611</v>
      </c>
      <c r="AQ136" s="789">
        <f>IFERROR(INDEX('Hoja de apoyo v2'!$J$17:$J$20,MATCH($A136,'Hoja de apoyo v2'!$A$17:$A$20,0)),"")</f>
        <v>0.62197445417222763</v>
      </c>
      <c r="AR136" s="789">
        <f t="shared" ref="AR136:AR199" si="94">IF(AND(ISNUMBER($AP136),ISNUMBER($AQ136)),$AP136-$AQ136,"")</f>
        <v>-0.15467298021710152</v>
      </c>
      <c r="AS136" s="784" t="str">
        <f t="shared" ref="AS136:AS199" si="95">IF(NOT(ISNUMBER(AO136)),"n/d",IF(AO136&gt;=$AO$4,"Sí","No"))</f>
        <v>No</v>
      </c>
      <c r="AT136" s="801">
        <f>IF(ISNUMBER('Base de datos Rutas'!CK134),'Base de datos Rutas'!CK134,"")</f>
        <v>483</v>
      </c>
      <c r="AU136" s="802">
        <f>IF(ISNUMBER('Base de datos Rutas'!CL134),'Base de datos Rutas'!CL134,"")</f>
        <v>667.99</v>
      </c>
      <c r="AV136" s="802">
        <f>IF(ISNUMBER('Base de datos Rutas'!CM134),'Base de datos Rutas'!CM134,"")</f>
        <v>184.99</v>
      </c>
      <c r="AW136" s="802">
        <f>IF(ISNUMBER('Base de datos Rutas'!CN134),'Base de datos Rutas'!CN134,"")</f>
        <v>8.26</v>
      </c>
      <c r="AX136" s="802">
        <f>IF(ISNUMBER('Base de datos Rutas'!CO134),'Base de datos Rutas'!CO134,"")</f>
        <v>9.4499999999999993</v>
      </c>
      <c r="AY136" s="802">
        <f>IF(ISNUMBER('Base de datos Rutas'!CP134),'Base de datos Rutas'!CP134,"")</f>
        <v>1.1899999999999995</v>
      </c>
      <c r="AZ136" s="802">
        <f>IF(ISNUMBER('Base de datos Rutas'!CQ134),'Base de datos Rutas'!CQ134,"")</f>
        <v>602.75</v>
      </c>
      <c r="BA136" s="802">
        <f>IF(ISNUMBER('Base de datos Rutas'!CR134),'Base de datos Rutas'!CR134,"")</f>
        <v>360.97</v>
      </c>
      <c r="BB136" s="803">
        <f>IF(ISNUMBER('Base de datos Rutas'!CS134),'Base de datos Rutas'!CS134,"")</f>
        <v>241.77999999999997</v>
      </c>
      <c r="BC136" s="804">
        <f t="shared" si="69"/>
        <v>0</v>
      </c>
      <c r="BD136" s="805" t="str">
        <f t="shared" si="70"/>
        <v>No saturada</v>
      </c>
      <c r="BE136" s="806">
        <f t="shared" si="71"/>
        <v>0.59887183741186234</v>
      </c>
      <c r="BF136" s="890">
        <f>IF(ISNUMBER('Base de datos Rutas'!CX134),'Base de datos Rutas'!CX134/100,"")</f>
        <v>0.97875875531059831</v>
      </c>
      <c r="BG136" s="891">
        <f>IF(ISNUMBER('Base de datos Rutas'!CZ134),'Base de datos Rutas'!CZ134/100,"")</f>
        <v>1</v>
      </c>
      <c r="BH136" s="892">
        <f>IF(ISNUMBER('Base de datos Rutas'!DA134),'Base de datos Rutas'!DA134,"")</f>
        <v>209.45232229854093</v>
      </c>
      <c r="BI136" s="893">
        <f>IF(ISNUMBER('Base de datos Rutas'!DC134),'Base de datos Rutas'!DC134,"")</f>
        <v>7.110138419314616</v>
      </c>
      <c r="BJ136" s="805" t="str">
        <f t="shared" si="72"/>
        <v>Ruta (completo)</v>
      </c>
      <c r="BK136" s="783">
        <f t="shared" ref="BK136:BK199" si="96">IF(NOT(ISNUMBER($BF136)),0,MIN(5,1+INT(5*COUNTIFS($C$8:$C$796,$C136,$BF$8:$BF$796,"&lt;"&amp;$BF136)/COUNTIFS($C$8:$C$796,$C136,$BF$8:$BF$796,"&gt;=-1E+300"))))</f>
        <v>5</v>
      </c>
      <c r="BL136" s="797">
        <f t="shared" ref="BL136:BL199" si="97">IF(NOT(ISNUMBER($BG136)),0,MIN(5,1+INT(5*COUNTIFS($C$8:$C$796,$C136,$BG$8:$BG$796,"&lt;"&amp;$BG136)/COUNTIFS($C$8:$C$796,$C136,$BG$8:$BG$796,"&gt;=-1E+300"))))</f>
        <v>5</v>
      </c>
      <c r="BM136" s="797">
        <f t="shared" ref="BM136:BM199" si="98">IF(NOT(ISNUMBER($BH136)),0,MIN(5,1+INT(5*COUNTIFS($C$8:$C$796,$C136,$BH$8:$BH$796,"&lt;"&amp;$BH136)/COUNTIFS($C$8:$C$796,$C136,$BH$8:$BH$796,"&gt;=-1E+300"))))</f>
        <v>4</v>
      </c>
      <c r="BN136" s="797">
        <f t="shared" ref="BN136:BN199" si="99">IF(NOT(ISNUMBER($BI136)),0,MIN(5,1+INT(5*COUNTIFS($C$8:$C$796,$C136,$BI$8:$BI$796,"&lt;"&amp;$BI136)/COUNTIFS($C$8:$C$796,$C136,$BI$8:$BI$796,"&gt;=-1E+300"))))</f>
        <v>5</v>
      </c>
      <c r="BO136" s="798" cm="1">
        <f t="array" ref="BO136">SUMPRODUCT(--ISNUMBER($BF136:$BI136),$BK$3:$BN$3)</f>
        <v>1</v>
      </c>
      <c r="BP136" s="831">
        <f t="shared" si="73"/>
        <v>93.75</v>
      </c>
      <c r="BQ136" s="834" t="str">
        <f t="shared" si="74"/>
        <v>Alto</v>
      </c>
      <c r="BR136" s="836">
        <f t="shared" ref="BR136:BR199" si="100">IF(OR(NOT(ISNUMBER($AJ136)),$BD136="N/D"),"",$AJ136*$BS$3+IF($BD136="Saturada",100,0)*$BU$3)</f>
        <v>35.995379113373104</v>
      </c>
      <c r="BS136" s="836">
        <f t="shared" ref="BS136:BS199" si="101">IF(ISNUMBER($BP136),$BP136,"")</f>
        <v>93.75</v>
      </c>
      <c r="BT136" s="837" t="str">
        <f t="shared" ref="BT136:BT199" si="102">IF(OR(NOT(ISNUMBER($BR136)),NOT(ISNUMBER($BS136))),"Sin datos",IF($BR136&gt;=$BS$4,IF($BS136&gt;=$BU$4,"P1","P2"),IF($BS136&gt;=$BU$4,"P3","P4")))</f>
        <v>P1</v>
      </c>
      <c r="BU136" s="807" t="str">
        <f t="shared" si="75"/>
        <v>Con espacio</v>
      </c>
      <c r="BV136" s="807" t="str">
        <f t="shared" ref="BV136:BV199" si="103">IF($BU136="No evaluable","No evaluable",IF($BQ136="Sin datos","Sin datos de zona",IF($BQ136="Alto","Zona atractiva","Zona de bajo potencial")))</f>
        <v>Zona atractiva</v>
      </c>
      <c r="BW136" s="808" t="str">
        <f t="shared" ref="BW136:BW199" si="104">IFERROR(IF($BT136="P1","P1 - Ampliar cobertura",IF($BT136="P2","P2 - Mantener",IF($BT136="P3","P3 - Desarrollar",IF($BT136="P4","P4 - Evaluar","Sin datos")))),"Sin datos")</f>
        <v>P1 - Ampliar cobertura</v>
      </c>
    </row>
    <row r="137" spans="1:75">
      <c r="A137" s="780" t="str">
        <f>'Base de datos Rutas'!A135</f>
        <v>Norte</v>
      </c>
      <c r="B137" s="781" t="str">
        <f>'Base de datos Rutas'!B135</f>
        <v>Chihuahua</v>
      </c>
      <c r="C137" s="781" t="str">
        <f>'Base de datos Rutas'!C135</f>
        <v>Planta Chihuahua</v>
      </c>
      <c r="D137" s="782">
        <f>IF(ISNUMBER('Base de datos Rutas'!D135),'Base de datos Rutas'!D135,"Sin código")</f>
        <v>308341</v>
      </c>
      <c r="E137" s="783" t="str">
        <f>'Base de datos Rutas'!F135</f>
        <v>Activa</v>
      </c>
      <c r="F137" s="784" t="str">
        <f>'Base de datos Rutas'!H135</f>
        <v>Sí</v>
      </c>
      <c r="G137" s="785">
        <f>IF(ISNUMBER('Base de datos Rutas'!BE135),'Base de datos Rutas'!BE135,"")</f>
        <v>59.133027522935798</v>
      </c>
      <c r="H137" s="786">
        <f>IF(ISNUMBER('Base de datos Rutas'!BH135),'Base de datos Rutas'!BH135,"")</f>
        <v>0.83511752385385196</v>
      </c>
      <c r="I137" s="788">
        <f>IFERROR(IF(OR(NOT(ISNUMBER('Base de datos Rutas'!O135)),N('Base de datos Rutas'!BK135)=0),"",'Base de datos Rutas'!O135/('Base de datos Rutas'!L135/'Base de datos Rutas'!BK135)),"")</f>
        <v>5868.8532110091674</v>
      </c>
      <c r="J137" s="788">
        <f>IFERROR(IF(OR(NOT(ISNUMBER('Base de datos Rutas'!N135)),N('Base de datos Rutas'!BK135)=0),"",'Base de datos Rutas'!N135/('Base de datos Rutas'!L135/'Base de datos Rutas'!BK135)),"")</f>
        <v>3620.2591743119224</v>
      </c>
      <c r="K137" s="788">
        <f>IFERROR(IF(OR(NOT(ISNUMBER('Base de datos Rutas'!J135)),N('Base de datos Rutas'!BK135)=0),"",'Base de datos Rutas'!J135/('Base de datos Rutas'!L135/'Base de datos Rutas'!BK135)),"")</f>
        <v>242.84509266055016</v>
      </c>
      <c r="L137" s="788">
        <f>IFERROR(IF(OR(NOT(ISNUMBER('Base de datos Rutas'!K135)),N('Base de datos Rutas'!BK135)=0),"",'Base de datos Rutas'!K135/('Base de datos Rutas'!L135/'Base de datos Rutas'!BK135)),"")</f>
        <v>52.413547114678835</v>
      </c>
      <c r="M137" s="787">
        <f>IF(ISNUMBER('Base de datos Rutas'!AX135),'Base de datos Rutas'!AX135,"")</f>
        <v>192.15310575449399</v>
      </c>
      <c r="N137" s="790">
        <f>IFERROR(INDEX('Hoja de apoyo v2'!B$17:B$20,MATCH($A137,'Hoja de apoyo v2'!$A$17:$A$20,0)),"")</f>
        <v>74.190366972477051</v>
      </c>
      <c r="O137" s="791">
        <f>IFERROR(INDEX('Hoja de apoyo v2'!C$17:C$20,MATCH($A137,'Hoja de apoyo v2'!$A$17:$A$20,0)),"")</f>
        <v>0.71677657005077755</v>
      </c>
      <c r="P137" s="793">
        <f>IFERROR(INDEX('Hoja de apoyo v2'!D$17:D$20,MATCH($A137,'Hoja de apoyo v2'!$A$17:$A$20,0)),"")</f>
        <v>8755.1153350385739</v>
      </c>
      <c r="Q137" s="793">
        <f>IFERROR(INDEX('Hoja de apoyo v2'!E$17:E$20,MATCH($A137,'Hoja de apoyo v2'!$A$17:$A$20,0)),"")</f>
        <v>6098.2042779326393</v>
      </c>
      <c r="R137" s="793">
        <f>IFERROR(INDEX('Hoja de apoyo v2'!F$17:F$20,MATCH($A137,'Hoja de apoyo v2'!$A$17:$A$20,0)),"")</f>
        <v>389.08889713610301</v>
      </c>
      <c r="S137" s="793">
        <f>IFERROR(INDEX('Hoja de apoyo v2'!G$17:G$20,MATCH($A137,'Hoja de apoyo v2'!$A$17:$A$20,0)),"")</f>
        <v>67.90575167807188</v>
      </c>
      <c r="T137" s="792">
        <f>IFERROR(INDEX('Hoja de apoyo v2'!H$17:H$20,MATCH($A137,'Hoja de apoyo v2'!$A$17:$A$20,0)),"")</f>
        <v>258.90325471200998</v>
      </c>
      <c r="U137" s="794">
        <f t="shared" si="76"/>
        <v>0.79704454818066628</v>
      </c>
      <c r="V137" s="795">
        <f t="shared" si="77"/>
        <v>1.1651015933663833</v>
      </c>
      <c r="W137" s="795">
        <f t="shared" si="78"/>
        <v>0.67033419737163402</v>
      </c>
      <c r="X137" s="843">
        <f t="shared" si="79"/>
        <v>0.59365987253205488</v>
      </c>
      <c r="Y137" s="843">
        <f t="shared" si="80"/>
        <v>0.62413781130229251</v>
      </c>
      <c r="Z137" s="843">
        <f t="shared" si="81"/>
        <v>0.77185725537891681</v>
      </c>
      <c r="AA137" s="843">
        <f t="shared" si="82"/>
        <v>0.74218111305025791</v>
      </c>
      <c r="AB137" s="796">
        <f t="shared" si="83"/>
        <v>3</v>
      </c>
      <c r="AC137" s="797">
        <f t="shared" si="84"/>
        <v>4</v>
      </c>
      <c r="AD137" s="797">
        <f t="shared" si="85"/>
        <v>2</v>
      </c>
      <c r="AE137" s="842">
        <f t="shared" si="86"/>
        <v>2</v>
      </c>
      <c r="AF137" s="842">
        <f t="shared" si="87"/>
        <v>2</v>
      </c>
      <c r="AG137" s="842">
        <f t="shared" si="88"/>
        <v>3</v>
      </c>
      <c r="AH137" s="842">
        <f t="shared" si="89"/>
        <v>2</v>
      </c>
      <c r="AI137" s="826" cm="1">
        <f t="array" ref="AI137">SUMPRODUCT(--ISNUMBER($U137:$AA137),$AB$3:$AH$3)</f>
        <v>1</v>
      </c>
      <c r="AJ137" s="829">
        <f t="shared" si="90"/>
        <v>38.688514117977412</v>
      </c>
      <c r="AK137" s="827" t="str">
        <f t="shared" si="91"/>
        <v>Inmadura</v>
      </c>
      <c r="AL137" s="784" t="str">
        <f t="shared" si="92"/>
        <v>Alta</v>
      </c>
      <c r="AM137" s="799">
        <f>IF(ISNUMBER('Base de datos Rutas'!W135),'Base de datos Rutas'!W135,"")</f>
        <v>2692.8351820114153</v>
      </c>
      <c r="AN137" s="787">
        <f>IFERROR(SUMIFS('Base de datos Rutas'!$W$6:$W$794,'Base de datos Rutas'!$C$6:$C$794,$C137)/'Base de datos Rutas'!I135,"")</f>
        <v>2692.8351820114153</v>
      </c>
      <c r="AO137" s="800">
        <f>IFERROR('Base de datos Rutas'!X135*AN137/AM137,"")</f>
        <v>0.53269852604487389</v>
      </c>
      <c r="AP137" s="800">
        <f t="shared" si="93"/>
        <v>0.46730147395512611</v>
      </c>
      <c r="AQ137" s="789">
        <f>IFERROR(INDEX('Hoja de apoyo v2'!$J$17:$J$20,MATCH($A137,'Hoja de apoyo v2'!$A$17:$A$20,0)),"")</f>
        <v>0.62197445417222763</v>
      </c>
      <c r="AR137" s="789">
        <f t="shared" si="94"/>
        <v>-0.15467298021710152</v>
      </c>
      <c r="AS137" s="784" t="str">
        <f t="shared" si="95"/>
        <v>No</v>
      </c>
      <c r="AT137" s="801">
        <f>IF(ISNUMBER('Base de datos Rutas'!CK135),'Base de datos Rutas'!CK135,"")</f>
        <v>383</v>
      </c>
      <c r="AU137" s="802">
        <f>IF(ISNUMBER('Base de datos Rutas'!CL135),'Base de datos Rutas'!CL135,"")</f>
        <v>636.77</v>
      </c>
      <c r="AV137" s="802">
        <f>IF(ISNUMBER('Base de datos Rutas'!CM135),'Base de datos Rutas'!CM135,"")</f>
        <v>253.76999999999998</v>
      </c>
      <c r="AW137" s="802">
        <f>IF(ISNUMBER('Base de datos Rutas'!CN135),'Base de datos Rutas'!CN135,"")</f>
        <v>6.41</v>
      </c>
      <c r="AX137" s="802">
        <f>IF(ISNUMBER('Base de datos Rutas'!CO135),'Base de datos Rutas'!CO135,"")</f>
        <v>9.4499999999999993</v>
      </c>
      <c r="AY137" s="802">
        <f>IF(ISNUMBER('Base de datos Rutas'!CP135),'Base de datos Rutas'!CP135,"")</f>
        <v>3.0399999999999991</v>
      </c>
      <c r="AZ137" s="802">
        <f>IF(ISNUMBER('Base de datos Rutas'!CQ135),'Base de datos Rutas'!CQ135,"")</f>
        <v>602.75</v>
      </c>
      <c r="BA137" s="802">
        <f>IF(ISNUMBER('Base de datos Rutas'!CR135),'Base de datos Rutas'!CR135,"")</f>
        <v>295.26</v>
      </c>
      <c r="BB137" s="803">
        <f>IF(ISNUMBER('Base de datos Rutas'!CS135),'Base de datos Rutas'!CS135,"")</f>
        <v>307.49</v>
      </c>
      <c r="BC137" s="804">
        <f t="shared" ref="BC137:BC200" si="105">IF(OR(COUNT($AV137,$AY137,$BB137)&lt;3,NOT(ISNUMBER($AT137)),N($AT137)&lt;=0,N($AZ137)&lt;=0),"",COUNTIF($AV137,"&lt;="&amp;$BC$4)+COUNTIF($AY137,"&lt;="&amp;$BC$4)+COUNTIF($BB137,"&lt;="&amp;$BC$4))</f>
        <v>0</v>
      </c>
      <c r="BD137" s="805" t="str">
        <f t="shared" ref="BD137:BD200" si="106">IF(NOT(ISNUMBER($BC137)),"N/D",IF($BC137&gt;=1,"Saturada","No saturada"))</f>
        <v>No saturada</v>
      </c>
      <c r="BE137" s="806">
        <f t="shared" ref="BE137:BE200" si="107">IF(AND(ISNUMBER($AZ137),ISNUMBER($BA137),$AZ137&lt;&gt;0),$BA137/$AZ137,"")</f>
        <v>0.48985483201990876</v>
      </c>
      <c r="BF137" s="890">
        <f>IF(ISNUMBER('Base de datos Rutas'!CX135),'Base de datos Rutas'!CX135/100,"")</f>
        <v>0.64350723472668803</v>
      </c>
      <c r="BG137" s="891">
        <f>IF(ISNUMBER('Base de datos Rutas'!CZ135),'Base de datos Rutas'!CZ135/100,"")</f>
        <v>0.66390675241157571</v>
      </c>
      <c r="BH137" s="892">
        <f>IF(ISNUMBER('Base de datos Rutas'!DA135),'Base de datos Rutas'!DA135,"")</f>
        <v>219.88664439327326</v>
      </c>
      <c r="BI137" s="893">
        <f>IF(ISNUMBER('Base de datos Rutas'!DC135),'Base de datos Rutas'!DC135,"")</f>
        <v>6.4973148245162777</v>
      </c>
      <c r="BJ137" s="805" t="str">
        <f t="shared" ref="BJ137:BJ200" si="108">IF(COUNT($BF137:$BI137)=4,"Ruta (completo)",IF(COUNT($BF137:$BI137)=0,"Sin dato","Ruta (parcial)"))</f>
        <v>Ruta (completo)</v>
      </c>
      <c r="BK137" s="783">
        <f t="shared" si="96"/>
        <v>4</v>
      </c>
      <c r="BL137" s="797">
        <f t="shared" si="97"/>
        <v>4</v>
      </c>
      <c r="BM137" s="797">
        <f t="shared" si="98"/>
        <v>4</v>
      </c>
      <c r="BN137" s="797">
        <f t="shared" si="99"/>
        <v>4</v>
      </c>
      <c r="BO137" s="798" cm="1">
        <f t="array" ref="BO137">SUMPRODUCT(--ISNUMBER($BF137:$BI137),$BK$3:$BN$3)</f>
        <v>1</v>
      </c>
      <c r="BP137" s="831">
        <f t="shared" ref="BP137:BP200" si="109">IF(BO137&lt;$BO$4,"",(SUMPRODUCT($BK137:$BN137,$BK$3:$BN$3)/BO137-1)/4*100)</f>
        <v>75</v>
      </c>
      <c r="BQ137" s="834" t="str">
        <f t="shared" ref="BQ137:BQ200" si="110">IF(BP137="","Sin datos",IF(BP137&gt;=$BP$4,"Alto",IF(BP137&lt;$BQ$4,"Bajo","Medio")))</f>
        <v>Alto</v>
      </c>
      <c r="BR137" s="836">
        <f t="shared" si="100"/>
        <v>29.016385588483061</v>
      </c>
      <c r="BS137" s="836">
        <f t="shared" si="101"/>
        <v>75</v>
      </c>
      <c r="BT137" s="837" t="str">
        <f t="shared" si="102"/>
        <v>P1</v>
      </c>
      <c r="BU137" s="807" t="str">
        <f t="shared" ref="BU137:BU200" si="111">IF(OR($AK137="Ruta inactiva",$AK137="No elegible",$AK137="Sin datos"),"No evaluable",IF($BD137="Saturada","Al tope","Con espacio"))</f>
        <v>Con espacio</v>
      </c>
      <c r="BV137" s="807" t="str">
        <f t="shared" si="103"/>
        <v>Zona atractiva</v>
      </c>
      <c r="BW137" s="808" t="str">
        <f t="shared" si="104"/>
        <v>P1 - Ampliar cobertura</v>
      </c>
    </row>
    <row r="138" spans="1:75">
      <c r="A138" s="780" t="str">
        <f>'Base de datos Rutas'!A136</f>
        <v>Norte</v>
      </c>
      <c r="B138" s="781" t="str">
        <f>'Base de datos Rutas'!B136</f>
        <v>Chihuahua</v>
      </c>
      <c r="C138" s="781" t="str">
        <f>'Base de datos Rutas'!C136</f>
        <v>Planta Chihuahua</v>
      </c>
      <c r="D138" s="782">
        <f>IF(ISNUMBER('Base de datos Rutas'!D136),'Base de datos Rutas'!D136,"Sin código")</f>
        <v>308342</v>
      </c>
      <c r="E138" s="783" t="str">
        <f>'Base de datos Rutas'!F136</f>
        <v>Activa</v>
      </c>
      <c r="F138" s="784" t="str">
        <f>'Base de datos Rutas'!H136</f>
        <v>Sí</v>
      </c>
      <c r="G138" s="785">
        <f>IF(ISNUMBER('Base de datos Rutas'!BE136),'Base de datos Rutas'!BE136,"")</f>
        <v>44.711009174311897</v>
      </c>
      <c r="H138" s="786">
        <f>IF(ISNUMBER('Base de datos Rutas'!BH136),'Base de datos Rutas'!BH136,"")</f>
        <v>0.68831435313429801</v>
      </c>
      <c r="I138" s="788">
        <f>IFERROR(IF(OR(NOT(ISNUMBER('Base de datos Rutas'!O136)),N('Base de datos Rutas'!BK136)=0),"",'Base de datos Rutas'!O136/('Base de datos Rutas'!L136/'Base de datos Rutas'!BK136)),"")</f>
        <v>5182.1788990825698</v>
      </c>
      <c r="J138" s="788">
        <f>IFERROR(IF(OR(NOT(ISNUMBER('Base de datos Rutas'!N136)),N('Base de datos Rutas'!BK136)=0),"",'Base de datos Rutas'!N136/('Base de datos Rutas'!L136/'Base de datos Rutas'!BK136)),"")</f>
        <v>3074.1169724770652</v>
      </c>
      <c r="K138" s="788">
        <f>IFERROR(IF(OR(NOT(ISNUMBER('Base de datos Rutas'!J136)),N('Base de datos Rutas'!BK136)=0),"",'Base de datos Rutas'!J136/('Base de datos Rutas'!L136/'Base de datos Rutas'!BK136)),"")</f>
        <v>201.88484174311932</v>
      </c>
      <c r="L138" s="788">
        <f>IFERROR(IF(OR(NOT(ISNUMBER('Base de datos Rutas'!K136)),N('Base de datos Rutas'!BK136)=0),"",'Base de datos Rutas'!K136/('Base de datos Rutas'!L136/'Base de datos Rutas'!BK136)),"")</f>
        <v>34.81932693119267</v>
      </c>
      <c r="M138" s="787">
        <f>IF(ISNUMBER('Base de datos Rutas'!AX136),'Base de datos Rutas'!AX136,"")</f>
        <v>265.84366820688598</v>
      </c>
      <c r="N138" s="790">
        <f>IFERROR(INDEX('Hoja de apoyo v2'!B$17:B$20,MATCH($A138,'Hoja de apoyo v2'!$A$17:$A$20,0)),"")</f>
        <v>74.190366972477051</v>
      </c>
      <c r="O138" s="791">
        <f>IFERROR(INDEX('Hoja de apoyo v2'!C$17:C$20,MATCH($A138,'Hoja de apoyo v2'!$A$17:$A$20,0)),"")</f>
        <v>0.71677657005077755</v>
      </c>
      <c r="P138" s="793">
        <f>IFERROR(INDEX('Hoja de apoyo v2'!D$17:D$20,MATCH($A138,'Hoja de apoyo v2'!$A$17:$A$20,0)),"")</f>
        <v>8755.1153350385739</v>
      </c>
      <c r="Q138" s="793">
        <f>IFERROR(INDEX('Hoja de apoyo v2'!E$17:E$20,MATCH($A138,'Hoja de apoyo v2'!$A$17:$A$20,0)),"")</f>
        <v>6098.2042779326393</v>
      </c>
      <c r="R138" s="793">
        <f>IFERROR(INDEX('Hoja de apoyo v2'!F$17:F$20,MATCH($A138,'Hoja de apoyo v2'!$A$17:$A$20,0)),"")</f>
        <v>389.08889713610301</v>
      </c>
      <c r="S138" s="793">
        <f>IFERROR(INDEX('Hoja de apoyo v2'!G$17:G$20,MATCH($A138,'Hoja de apoyo v2'!$A$17:$A$20,0)),"")</f>
        <v>67.90575167807188</v>
      </c>
      <c r="T138" s="792">
        <f>IFERROR(INDEX('Hoja de apoyo v2'!H$17:H$20,MATCH($A138,'Hoja de apoyo v2'!$A$17:$A$20,0)),"")</f>
        <v>258.90325471200998</v>
      </c>
      <c r="U138" s="794">
        <f t="shared" si="76"/>
        <v>0.60265248709308405</v>
      </c>
      <c r="V138" s="795">
        <f t="shared" si="77"/>
        <v>0.96029136818121263</v>
      </c>
      <c r="W138" s="795">
        <f t="shared" si="78"/>
        <v>0.59190298480056946</v>
      </c>
      <c r="X138" s="843">
        <f t="shared" si="79"/>
        <v>0.50410199992828475</v>
      </c>
      <c r="Y138" s="843">
        <f t="shared" si="80"/>
        <v>0.51886559403030241</v>
      </c>
      <c r="Z138" s="843">
        <f t="shared" si="81"/>
        <v>0.51275961270945658</v>
      </c>
      <c r="AA138" s="843">
        <f t="shared" si="82"/>
        <v>1.0268069766160188</v>
      </c>
      <c r="AB138" s="796">
        <f t="shared" si="83"/>
        <v>2</v>
      </c>
      <c r="AC138" s="797">
        <f t="shared" si="84"/>
        <v>3</v>
      </c>
      <c r="AD138" s="797">
        <f t="shared" si="85"/>
        <v>2</v>
      </c>
      <c r="AE138" s="842">
        <f t="shared" si="86"/>
        <v>2</v>
      </c>
      <c r="AF138" s="842">
        <f t="shared" si="87"/>
        <v>2</v>
      </c>
      <c r="AG138" s="842">
        <f t="shared" si="88"/>
        <v>2</v>
      </c>
      <c r="AH138" s="842">
        <f t="shared" si="89"/>
        <v>4</v>
      </c>
      <c r="AI138" s="826" cm="1">
        <f t="array" ref="AI138">SUMPRODUCT(--ISNUMBER($U138:$AA138),$AB$3:$AH$3)</f>
        <v>1</v>
      </c>
      <c r="AJ138" s="829">
        <f t="shared" si="90"/>
        <v>31.872361266543614</v>
      </c>
      <c r="AK138" s="827" t="str">
        <f t="shared" si="91"/>
        <v>Inmadura</v>
      </c>
      <c r="AL138" s="784" t="str">
        <f t="shared" si="92"/>
        <v>Alta</v>
      </c>
      <c r="AM138" s="799">
        <f>IF(ISNUMBER('Base de datos Rutas'!W136),'Base de datos Rutas'!W136,"")</f>
        <v>2692.8351820114153</v>
      </c>
      <c r="AN138" s="787">
        <f>IFERROR(SUMIFS('Base de datos Rutas'!$W$6:$W$794,'Base de datos Rutas'!$C$6:$C$794,$C138)/'Base de datos Rutas'!I136,"")</f>
        <v>2692.8351820114153</v>
      </c>
      <c r="AO138" s="800">
        <f>IFERROR('Base de datos Rutas'!X136*AN138/AM138,"")</f>
        <v>0.53269852604487389</v>
      </c>
      <c r="AP138" s="800">
        <f t="shared" si="93"/>
        <v>0.46730147395512611</v>
      </c>
      <c r="AQ138" s="789">
        <f>IFERROR(INDEX('Hoja de apoyo v2'!$J$17:$J$20,MATCH($A138,'Hoja de apoyo v2'!$A$17:$A$20,0)),"")</f>
        <v>0.62197445417222763</v>
      </c>
      <c r="AR138" s="789">
        <f t="shared" si="94"/>
        <v>-0.15467298021710152</v>
      </c>
      <c r="AS138" s="784" t="str">
        <f t="shared" si="95"/>
        <v>No</v>
      </c>
      <c r="AT138" s="801">
        <f>IF(ISNUMBER('Base de datos Rutas'!CK136),'Base de datos Rutas'!CK136,"")</f>
        <v>325</v>
      </c>
      <c r="AU138" s="802">
        <f>IF(ISNUMBER('Base de datos Rutas'!CL136),'Base de datos Rutas'!CL136,"")</f>
        <v>950.71</v>
      </c>
      <c r="AV138" s="802">
        <f>IF(ISNUMBER('Base de datos Rutas'!CM136),'Base de datos Rutas'!CM136,"")</f>
        <v>625.71</v>
      </c>
      <c r="AW138" s="802">
        <f>IF(ISNUMBER('Base de datos Rutas'!CN136),'Base de datos Rutas'!CN136,"")</f>
        <v>5.42</v>
      </c>
      <c r="AX138" s="802">
        <f>IF(ISNUMBER('Base de datos Rutas'!CO136),'Base de datos Rutas'!CO136,"")</f>
        <v>9.4499999999999993</v>
      </c>
      <c r="AY138" s="802">
        <f>IF(ISNUMBER('Base de datos Rutas'!CP136),'Base de datos Rutas'!CP136,"")</f>
        <v>4.0299999999999994</v>
      </c>
      <c r="AZ138" s="802">
        <f>IF(ISNUMBER('Base de datos Rutas'!CQ136),'Base de datos Rutas'!CQ136,"")</f>
        <v>602.75</v>
      </c>
      <c r="BA138" s="802">
        <f>IF(ISNUMBER('Base de datos Rutas'!CR136),'Base de datos Rutas'!CR136,"")</f>
        <v>236.7</v>
      </c>
      <c r="BB138" s="803">
        <f>IF(ISNUMBER('Base de datos Rutas'!CS136),'Base de datos Rutas'!CS136,"")</f>
        <v>366.05</v>
      </c>
      <c r="BC138" s="804">
        <f t="shared" si="105"/>
        <v>0</v>
      </c>
      <c r="BD138" s="805" t="str">
        <f t="shared" si="106"/>
        <v>No saturada</v>
      </c>
      <c r="BE138" s="806">
        <f t="shared" si="107"/>
        <v>0.39270012442969721</v>
      </c>
      <c r="BF138" s="890">
        <f>IF(ISNUMBER('Base de datos Rutas'!CX136),'Base de datos Rutas'!CX136/100,"")</f>
        <v>0.65515892121261576</v>
      </c>
      <c r="BG138" s="891">
        <f>IF(ISNUMBER('Base de datos Rutas'!CZ136),'Base de datos Rutas'!CZ136/100,"")</f>
        <v>0.68068872659023216</v>
      </c>
      <c r="BH138" s="892">
        <f>IF(ISNUMBER('Base de datos Rutas'!DA136),'Base de datos Rutas'!DA136,"")</f>
        <v>223.46740463685478</v>
      </c>
      <c r="BI138" s="893">
        <f>IF(ISNUMBER('Base de datos Rutas'!DC136),'Base de datos Rutas'!DC136,"")</f>
        <v>6.8245116016854777</v>
      </c>
      <c r="BJ138" s="805" t="str">
        <f t="shared" si="108"/>
        <v>Ruta (completo)</v>
      </c>
      <c r="BK138" s="783">
        <f t="shared" si="96"/>
        <v>4</v>
      </c>
      <c r="BL138" s="797">
        <f t="shared" si="97"/>
        <v>4</v>
      </c>
      <c r="BM138" s="797">
        <f t="shared" si="98"/>
        <v>5</v>
      </c>
      <c r="BN138" s="797">
        <f t="shared" si="99"/>
        <v>4</v>
      </c>
      <c r="BO138" s="798" cm="1">
        <f t="array" ref="BO138">SUMPRODUCT(--ISNUMBER($BF138:$BI138),$BK$3:$BN$3)</f>
        <v>1</v>
      </c>
      <c r="BP138" s="831">
        <f t="shared" si="109"/>
        <v>81.25</v>
      </c>
      <c r="BQ138" s="834" t="str">
        <f t="shared" si="110"/>
        <v>Alto</v>
      </c>
      <c r="BR138" s="836">
        <f t="shared" si="100"/>
        <v>23.904270949907712</v>
      </c>
      <c r="BS138" s="836">
        <f t="shared" si="101"/>
        <v>81.25</v>
      </c>
      <c r="BT138" s="837" t="str">
        <f t="shared" si="102"/>
        <v>P3</v>
      </c>
      <c r="BU138" s="807" t="str">
        <f t="shared" si="111"/>
        <v>Con espacio</v>
      </c>
      <c r="BV138" s="807" t="str">
        <f t="shared" si="103"/>
        <v>Zona atractiva</v>
      </c>
      <c r="BW138" s="808" t="str">
        <f t="shared" si="104"/>
        <v>P3 - Desarrollar</v>
      </c>
    </row>
    <row r="139" spans="1:75">
      <c r="A139" s="780" t="str">
        <f>'Base de datos Rutas'!A137</f>
        <v>Norte</v>
      </c>
      <c r="B139" s="781" t="str">
        <f>'Base de datos Rutas'!B137</f>
        <v>Chihuahua</v>
      </c>
      <c r="C139" s="781" t="str">
        <f>'Base de datos Rutas'!C137</f>
        <v>Planta Chihuahua</v>
      </c>
      <c r="D139" s="782">
        <f>IF(ISNUMBER('Base de datos Rutas'!D137),'Base de datos Rutas'!D137,"Sin código")</f>
        <v>308343</v>
      </c>
      <c r="E139" s="783" t="str">
        <f>'Base de datos Rutas'!F137</f>
        <v>Activa</v>
      </c>
      <c r="F139" s="784" t="str">
        <f>'Base de datos Rutas'!H137</f>
        <v>Sí</v>
      </c>
      <c r="G139" s="785">
        <f>IF(ISNUMBER('Base de datos Rutas'!BE137),'Base de datos Rutas'!BE137,"")</f>
        <v>54.800915331807801</v>
      </c>
      <c r="H139" s="786">
        <f>IF(ISNUMBER('Base de datos Rutas'!BH137),'Base de datos Rutas'!BH137,"")</f>
        <v>0.59896442291631902</v>
      </c>
      <c r="I139" s="788">
        <f>IFERROR(IF(OR(NOT(ISNUMBER('Base de datos Rutas'!O137)),N('Base de datos Rutas'!BK137)=0),"",'Base de datos Rutas'!O137/('Base de datos Rutas'!L137/'Base de datos Rutas'!BK137)),"")</f>
        <v>4118.0068649885661</v>
      </c>
      <c r="J139" s="788">
        <f>IFERROR(IF(OR(NOT(ISNUMBER('Base de datos Rutas'!N137)),N('Base de datos Rutas'!BK137)=0),"",'Base de datos Rutas'!N137/('Base de datos Rutas'!L137/'Base de datos Rutas'!BK137)),"")</f>
        <v>3787.9267734553846</v>
      </c>
      <c r="K139" s="788">
        <f>IFERROR(IF(OR(NOT(ISNUMBER('Base de datos Rutas'!J137)),N('Base de datos Rutas'!BK137)=0),"",'Base de datos Rutas'!J137/('Base de datos Rutas'!L137/'Base de datos Rutas'!BK137)),"")</f>
        <v>247.6647432494284</v>
      </c>
      <c r="L139" s="788">
        <f>IFERROR(IF(OR(NOT(ISNUMBER('Base de datos Rutas'!K137)),N('Base de datos Rutas'!BK137)=0),"",'Base de datos Rutas'!K137/('Base de datos Rutas'!L137/'Base de datos Rutas'!BK137)),"")</f>
        <v>27.263556045766641</v>
      </c>
      <c r="M139" s="787">
        <f>IF(ISNUMBER('Base de datos Rutas'!AX137),'Base de datos Rutas'!AX137,"")</f>
        <v>243.606244422755</v>
      </c>
      <c r="N139" s="790">
        <f>IFERROR(INDEX('Hoja de apoyo v2'!B$17:B$20,MATCH($A139,'Hoja de apoyo v2'!$A$17:$A$20,0)),"")</f>
        <v>74.190366972477051</v>
      </c>
      <c r="O139" s="791">
        <f>IFERROR(INDEX('Hoja de apoyo v2'!C$17:C$20,MATCH($A139,'Hoja de apoyo v2'!$A$17:$A$20,0)),"")</f>
        <v>0.71677657005077755</v>
      </c>
      <c r="P139" s="793">
        <f>IFERROR(INDEX('Hoja de apoyo v2'!D$17:D$20,MATCH($A139,'Hoja de apoyo v2'!$A$17:$A$20,0)),"")</f>
        <v>8755.1153350385739</v>
      </c>
      <c r="Q139" s="793">
        <f>IFERROR(INDEX('Hoja de apoyo v2'!E$17:E$20,MATCH($A139,'Hoja de apoyo v2'!$A$17:$A$20,0)),"")</f>
        <v>6098.2042779326393</v>
      </c>
      <c r="R139" s="793">
        <f>IFERROR(INDEX('Hoja de apoyo v2'!F$17:F$20,MATCH($A139,'Hoja de apoyo v2'!$A$17:$A$20,0)),"")</f>
        <v>389.08889713610301</v>
      </c>
      <c r="S139" s="793">
        <f>IFERROR(INDEX('Hoja de apoyo v2'!G$17:G$20,MATCH($A139,'Hoja de apoyo v2'!$A$17:$A$20,0)),"")</f>
        <v>67.90575167807188</v>
      </c>
      <c r="T139" s="792">
        <f>IFERROR(INDEX('Hoja de apoyo v2'!H$17:H$20,MATCH($A139,'Hoja de apoyo v2'!$A$17:$A$20,0)),"")</f>
        <v>258.90325471200998</v>
      </c>
      <c r="U139" s="794">
        <f t="shared" si="76"/>
        <v>0.73865270611395817</v>
      </c>
      <c r="V139" s="795">
        <f t="shared" si="77"/>
        <v>0.83563616326617296</v>
      </c>
      <c r="W139" s="795">
        <f t="shared" si="78"/>
        <v>0.47035438225559628</v>
      </c>
      <c r="X139" s="843">
        <f t="shared" si="79"/>
        <v>0.62115445806934089</v>
      </c>
      <c r="Y139" s="843">
        <f t="shared" si="80"/>
        <v>0.63652482780251485</v>
      </c>
      <c r="Z139" s="843">
        <f t="shared" si="81"/>
        <v>0.40149111631983581</v>
      </c>
      <c r="AA139" s="843">
        <f t="shared" si="82"/>
        <v>0.94091611437534628</v>
      </c>
      <c r="AB139" s="796">
        <f t="shared" si="83"/>
        <v>2</v>
      </c>
      <c r="AC139" s="797">
        <f t="shared" si="84"/>
        <v>3</v>
      </c>
      <c r="AD139" s="797">
        <f t="shared" si="85"/>
        <v>1</v>
      </c>
      <c r="AE139" s="842">
        <f t="shared" si="86"/>
        <v>2</v>
      </c>
      <c r="AF139" s="842">
        <f t="shared" si="87"/>
        <v>2</v>
      </c>
      <c r="AG139" s="842">
        <f t="shared" si="88"/>
        <v>1</v>
      </c>
      <c r="AH139" s="842">
        <f t="shared" si="89"/>
        <v>3</v>
      </c>
      <c r="AI139" s="826" cm="1">
        <f t="array" ref="AI139">SUMPRODUCT(--ISNUMBER($U139:$AA139),$AB$3:$AH$3)</f>
        <v>1</v>
      </c>
      <c r="AJ139" s="829">
        <f t="shared" si="90"/>
        <v>20.124395188829325</v>
      </c>
      <c r="AK139" s="827" t="str">
        <f t="shared" si="91"/>
        <v>Inmadura</v>
      </c>
      <c r="AL139" s="784" t="str">
        <f t="shared" si="92"/>
        <v>Alta</v>
      </c>
      <c r="AM139" s="799">
        <f>IF(ISNUMBER('Base de datos Rutas'!W137),'Base de datos Rutas'!W137,"")</f>
        <v>2692.8351820114153</v>
      </c>
      <c r="AN139" s="787">
        <f>IFERROR(SUMIFS('Base de datos Rutas'!$W$6:$W$794,'Base de datos Rutas'!$C$6:$C$794,$C139)/'Base de datos Rutas'!I137,"")</f>
        <v>2692.8351820114153</v>
      </c>
      <c r="AO139" s="800">
        <f>IFERROR('Base de datos Rutas'!X137*AN139/AM139,"")</f>
        <v>0.53269852604487389</v>
      </c>
      <c r="AP139" s="800">
        <f t="shared" si="93"/>
        <v>0.46730147395512611</v>
      </c>
      <c r="AQ139" s="789">
        <f>IFERROR(INDEX('Hoja de apoyo v2'!$J$17:$J$20,MATCH($A139,'Hoja de apoyo v2'!$A$17:$A$20,0)),"")</f>
        <v>0.62197445417222763</v>
      </c>
      <c r="AR139" s="789">
        <f t="shared" si="94"/>
        <v>-0.15467298021710152</v>
      </c>
      <c r="AS139" s="784" t="str">
        <f t="shared" si="95"/>
        <v>No</v>
      </c>
      <c r="AT139" s="801">
        <f>IF(ISNUMBER('Base de datos Rutas'!CK137),'Base de datos Rutas'!CK137,"")</f>
        <v>498</v>
      </c>
      <c r="AU139" s="802">
        <f>IF(ISNUMBER('Base de datos Rutas'!CL137),'Base de datos Rutas'!CL137,"")</f>
        <v>1099.67</v>
      </c>
      <c r="AV139" s="802">
        <f>IF(ISNUMBER('Base de datos Rutas'!CM137),'Base de datos Rutas'!CM137,"")</f>
        <v>601.67000000000007</v>
      </c>
      <c r="AW139" s="802">
        <f>IF(ISNUMBER('Base de datos Rutas'!CN137),'Base de datos Rutas'!CN137,"")</f>
        <v>8.57</v>
      </c>
      <c r="AX139" s="802">
        <f>IF(ISNUMBER('Base de datos Rutas'!CO137),'Base de datos Rutas'!CO137,"")</f>
        <v>9.4499999999999993</v>
      </c>
      <c r="AY139" s="802">
        <f>IF(ISNUMBER('Base de datos Rutas'!CP137),'Base de datos Rutas'!CP137,"")</f>
        <v>0.87999999999999901</v>
      </c>
      <c r="AZ139" s="802">
        <f>IF(ISNUMBER('Base de datos Rutas'!CQ137),'Base de datos Rutas'!CQ137,"")</f>
        <v>602.75</v>
      </c>
      <c r="BA139" s="802">
        <f>IF(ISNUMBER('Base de datos Rutas'!CR137),'Base de datos Rutas'!CR137,"")</f>
        <v>274.93</v>
      </c>
      <c r="BB139" s="803">
        <f>IF(ISNUMBER('Base de datos Rutas'!CS137),'Base de datos Rutas'!CS137,"")</f>
        <v>327.82</v>
      </c>
      <c r="BC139" s="804">
        <f t="shared" si="105"/>
        <v>0</v>
      </c>
      <c r="BD139" s="805" t="str">
        <f t="shared" si="106"/>
        <v>No saturada</v>
      </c>
      <c r="BE139" s="806">
        <f t="shared" si="107"/>
        <v>0.45612608875985072</v>
      </c>
      <c r="BF139" s="890">
        <f>IF(ISNUMBER('Base de datos Rutas'!CX137),'Base de datos Rutas'!CX137/100,"")</f>
        <v>0.51214935854152599</v>
      </c>
      <c r="BG139" s="891">
        <f>IF(ISNUMBER('Base de datos Rutas'!CZ137),'Base de datos Rutas'!CZ137/100,"")</f>
        <v>0.52839972991222151</v>
      </c>
      <c r="BH139" s="892">
        <f>IF(ISNUMBER('Base de datos Rutas'!DA137),'Base de datos Rutas'!DA137,"")</f>
        <v>144.33951529593239</v>
      </c>
      <c r="BI139" s="893">
        <f>IF(ISNUMBER('Base de datos Rutas'!DC137),'Base de datos Rutas'!DC137,"")</f>
        <v>4.4192087686739221</v>
      </c>
      <c r="BJ139" s="805" t="str">
        <f t="shared" si="108"/>
        <v>Ruta (completo)</v>
      </c>
      <c r="BK139" s="783">
        <f t="shared" si="96"/>
        <v>3</v>
      </c>
      <c r="BL139" s="797">
        <f t="shared" si="97"/>
        <v>3</v>
      </c>
      <c r="BM139" s="797">
        <f t="shared" si="98"/>
        <v>3</v>
      </c>
      <c r="BN139" s="797">
        <f t="shared" si="99"/>
        <v>3</v>
      </c>
      <c r="BO139" s="798" cm="1">
        <f t="array" ref="BO139">SUMPRODUCT(--ISNUMBER($BF139:$BI139),$BK$3:$BN$3)</f>
        <v>1</v>
      </c>
      <c r="BP139" s="831">
        <f t="shared" si="109"/>
        <v>50</v>
      </c>
      <c r="BQ139" s="834" t="str">
        <f t="shared" si="110"/>
        <v>Alto</v>
      </c>
      <c r="BR139" s="836">
        <f t="shared" si="100"/>
        <v>15.093296391621994</v>
      </c>
      <c r="BS139" s="836">
        <f t="shared" si="101"/>
        <v>50</v>
      </c>
      <c r="BT139" s="837" t="str">
        <f t="shared" si="102"/>
        <v>P3</v>
      </c>
      <c r="BU139" s="807" t="str">
        <f t="shared" si="111"/>
        <v>Con espacio</v>
      </c>
      <c r="BV139" s="807" t="str">
        <f t="shared" si="103"/>
        <v>Zona atractiva</v>
      </c>
      <c r="BW139" s="808" t="str">
        <f t="shared" si="104"/>
        <v>P3 - Desarrollar</v>
      </c>
    </row>
    <row r="140" spans="1:75">
      <c r="A140" s="780" t="str">
        <f>'Base de datos Rutas'!A138</f>
        <v>Norte</v>
      </c>
      <c r="B140" s="781" t="str">
        <f>'Base de datos Rutas'!B138</f>
        <v>Chihuahua</v>
      </c>
      <c r="C140" s="781" t="str">
        <f>'Base de datos Rutas'!C138</f>
        <v>Planta Chihuahua</v>
      </c>
      <c r="D140" s="782">
        <f>IF(ISNUMBER('Base de datos Rutas'!D138),'Base de datos Rutas'!D138,"Sin código")</f>
        <v>308344</v>
      </c>
      <c r="E140" s="783" t="str">
        <f>'Base de datos Rutas'!F138</f>
        <v>Activa</v>
      </c>
      <c r="F140" s="784" t="str">
        <f>'Base de datos Rutas'!H138</f>
        <v>Sí</v>
      </c>
      <c r="G140" s="785">
        <f>IF(ISNUMBER('Base de datos Rutas'!BE138),'Base de datos Rutas'!BE138,"")</f>
        <v>43.711670480549202</v>
      </c>
      <c r="H140" s="786">
        <f>IF(ISNUMBER('Base de datos Rutas'!BH138),'Base de datos Rutas'!BH138,"")</f>
        <v>0.68820018846194098</v>
      </c>
      <c r="I140" s="788">
        <f>IFERROR(IF(OR(NOT(ISNUMBER('Base de datos Rutas'!O138)),N('Base de datos Rutas'!BK138)=0),"",'Base de datos Rutas'!O138/('Base de datos Rutas'!L138/'Base de datos Rutas'!BK138)),"")</f>
        <v>5827.8604118993117</v>
      </c>
      <c r="J140" s="788">
        <f>IFERROR(IF(OR(NOT(ISNUMBER('Base de datos Rutas'!N138)),N('Base de datos Rutas'!BK138)=0),"",'Base de datos Rutas'!N138/('Base de datos Rutas'!L138/'Base de datos Rutas'!BK138)),"")</f>
        <v>3653.0617848970242</v>
      </c>
      <c r="K140" s="788">
        <f>IFERROR(IF(OR(NOT(ISNUMBER('Base de datos Rutas'!J138)),N('Base de datos Rutas'!BK138)=0),"",'Base de datos Rutas'!J138/('Base de datos Rutas'!L138/'Base de datos Rutas'!BK138)),"")</f>
        <v>242.013723569794</v>
      </c>
      <c r="L140" s="788">
        <f>IFERROR(IF(OR(NOT(ISNUMBER('Base de datos Rutas'!K138)),N('Base de datos Rutas'!BK138)=0),"",'Base de datos Rutas'!K138/('Base de datos Rutas'!L138/'Base de datos Rutas'!BK138)),"")</f>
        <v>37.249334979405027</v>
      </c>
      <c r="M140" s="787">
        <f>IF(ISNUMBER('Base de datos Rutas'!AX138),'Base de datos Rutas'!AX138,"")</f>
        <v>312.28158299102398</v>
      </c>
      <c r="N140" s="790">
        <f>IFERROR(INDEX('Hoja de apoyo v2'!B$17:B$20,MATCH($A140,'Hoja de apoyo v2'!$A$17:$A$20,0)),"")</f>
        <v>74.190366972477051</v>
      </c>
      <c r="O140" s="791">
        <f>IFERROR(INDEX('Hoja de apoyo v2'!C$17:C$20,MATCH($A140,'Hoja de apoyo v2'!$A$17:$A$20,0)),"")</f>
        <v>0.71677657005077755</v>
      </c>
      <c r="P140" s="793">
        <f>IFERROR(INDEX('Hoja de apoyo v2'!D$17:D$20,MATCH($A140,'Hoja de apoyo v2'!$A$17:$A$20,0)),"")</f>
        <v>8755.1153350385739</v>
      </c>
      <c r="Q140" s="793">
        <f>IFERROR(INDEX('Hoja de apoyo v2'!E$17:E$20,MATCH($A140,'Hoja de apoyo v2'!$A$17:$A$20,0)),"")</f>
        <v>6098.2042779326393</v>
      </c>
      <c r="R140" s="793">
        <f>IFERROR(INDEX('Hoja de apoyo v2'!F$17:F$20,MATCH($A140,'Hoja de apoyo v2'!$A$17:$A$20,0)),"")</f>
        <v>389.08889713610301</v>
      </c>
      <c r="S140" s="793">
        <f>IFERROR(INDEX('Hoja de apoyo v2'!G$17:G$20,MATCH($A140,'Hoja de apoyo v2'!$A$17:$A$20,0)),"")</f>
        <v>67.90575167807188</v>
      </c>
      <c r="T140" s="792">
        <f>IFERROR(INDEX('Hoja de apoyo v2'!H$17:H$20,MATCH($A140,'Hoja de apoyo v2'!$A$17:$A$20,0)),"")</f>
        <v>258.90325471200998</v>
      </c>
      <c r="U140" s="794">
        <f t="shared" si="76"/>
        <v>0.58918256189196694</v>
      </c>
      <c r="V140" s="795">
        <f t="shared" si="77"/>
        <v>0.9601320930637951</v>
      </c>
      <c r="W140" s="795">
        <f t="shared" si="78"/>
        <v>0.66565204327758121</v>
      </c>
      <c r="X140" s="843">
        <f t="shared" si="79"/>
        <v>0.59903893316861034</v>
      </c>
      <c r="Y140" s="843">
        <f t="shared" si="80"/>
        <v>0.62200110399227804</v>
      </c>
      <c r="Z140" s="843">
        <f t="shared" si="81"/>
        <v>0.5485446233773682</v>
      </c>
      <c r="AA140" s="843">
        <f t="shared" si="82"/>
        <v>1.2061709434220484</v>
      </c>
      <c r="AB140" s="796">
        <f t="shared" si="83"/>
        <v>2</v>
      </c>
      <c r="AC140" s="797">
        <f t="shared" si="84"/>
        <v>3</v>
      </c>
      <c r="AD140" s="797">
        <f t="shared" si="85"/>
        <v>2</v>
      </c>
      <c r="AE140" s="842">
        <f t="shared" si="86"/>
        <v>2</v>
      </c>
      <c r="AF140" s="842">
        <f t="shared" si="87"/>
        <v>2</v>
      </c>
      <c r="AG140" s="842">
        <f t="shared" si="88"/>
        <v>2</v>
      </c>
      <c r="AH140" s="842">
        <f t="shared" si="89"/>
        <v>4</v>
      </c>
      <c r="AI140" s="826" cm="1">
        <f t="array" ref="AI140">SUMPRODUCT(--ISNUMBER($U140:$AA140),$AB$3:$AH$3)</f>
        <v>1</v>
      </c>
      <c r="AJ140" s="829">
        <f t="shared" si="90"/>
        <v>31.872361266543614</v>
      </c>
      <c r="AK140" s="827" t="str">
        <f t="shared" si="91"/>
        <v>Inmadura</v>
      </c>
      <c r="AL140" s="784" t="str">
        <f t="shared" si="92"/>
        <v>Alta</v>
      </c>
      <c r="AM140" s="799">
        <f>IF(ISNUMBER('Base de datos Rutas'!W138),'Base de datos Rutas'!W138,"")</f>
        <v>2692.8351820114153</v>
      </c>
      <c r="AN140" s="787">
        <f>IFERROR(SUMIFS('Base de datos Rutas'!$W$6:$W$794,'Base de datos Rutas'!$C$6:$C$794,$C140)/'Base de datos Rutas'!I138,"")</f>
        <v>2692.8351820114153</v>
      </c>
      <c r="AO140" s="800">
        <f>IFERROR('Base de datos Rutas'!X138*AN140/AM140,"")</f>
        <v>0.53269852604487389</v>
      </c>
      <c r="AP140" s="800">
        <f t="shared" si="93"/>
        <v>0.46730147395512611</v>
      </c>
      <c r="AQ140" s="789">
        <f>IFERROR(INDEX('Hoja de apoyo v2'!$J$17:$J$20,MATCH($A140,'Hoja de apoyo v2'!$A$17:$A$20,0)),"")</f>
        <v>0.62197445417222763</v>
      </c>
      <c r="AR140" s="789">
        <f t="shared" si="94"/>
        <v>-0.15467298021710152</v>
      </c>
      <c r="AS140" s="784" t="str">
        <f t="shared" si="95"/>
        <v>No</v>
      </c>
      <c r="AT140" s="801">
        <f>IF(ISNUMBER('Base de datos Rutas'!CK138),'Base de datos Rutas'!CK138,"")</f>
        <v>321</v>
      </c>
      <c r="AU140" s="802">
        <f>IF(ISNUMBER('Base de datos Rutas'!CL138),'Base de datos Rutas'!CL138,"")</f>
        <v>1063.6500000000001</v>
      </c>
      <c r="AV140" s="802">
        <f>IF(ISNUMBER('Base de datos Rutas'!CM138),'Base de datos Rutas'!CM138,"")</f>
        <v>742.65000000000009</v>
      </c>
      <c r="AW140" s="802">
        <f>IF(ISNUMBER('Base de datos Rutas'!CN138),'Base de datos Rutas'!CN138,"")</f>
        <v>5.12</v>
      </c>
      <c r="AX140" s="802">
        <f>IF(ISNUMBER('Base de datos Rutas'!CO138),'Base de datos Rutas'!CO138,"")</f>
        <v>9.4499999999999993</v>
      </c>
      <c r="AY140" s="802">
        <f>IF(ISNUMBER('Base de datos Rutas'!CP138),'Base de datos Rutas'!CP138,"")</f>
        <v>4.3299999999999992</v>
      </c>
      <c r="AZ140" s="802">
        <f>IF(ISNUMBER('Base de datos Rutas'!CQ138),'Base de datos Rutas'!CQ138,"")</f>
        <v>602.75</v>
      </c>
      <c r="BA140" s="802">
        <f>IF(ISNUMBER('Base de datos Rutas'!CR138),'Base de datos Rutas'!CR138,"")</f>
        <v>279.26</v>
      </c>
      <c r="BB140" s="803">
        <f>IF(ISNUMBER('Base de datos Rutas'!CS138),'Base de datos Rutas'!CS138,"")</f>
        <v>323.49</v>
      </c>
      <c r="BC140" s="804">
        <f t="shared" si="105"/>
        <v>0</v>
      </c>
      <c r="BD140" s="805" t="str">
        <f t="shared" si="106"/>
        <v>No saturada</v>
      </c>
      <c r="BE140" s="806">
        <f t="shared" si="107"/>
        <v>0.46330982994608044</v>
      </c>
      <c r="BF140" s="890">
        <f>IF(ISNUMBER('Base de datos Rutas'!CX138),'Base de datos Rutas'!CX138/100,"")</f>
        <v>0.30048554354512697</v>
      </c>
      <c r="BG140" s="891">
        <f>IF(ISNUMBER('Base de datos Rutas'!CZ138),'Base de datos Rutas'!CZ138/100,"")</f>
        <v>0.31136303717374109</v>
      </c>
      <c r="BH140" s="892">
        <f>IF(ISNUMBER('Base de datos Rutas'!DA138),'Base de datos Rutas'!DA138,"")</f>
        <v>79.414821640864929</v>
      </c>
      <c r="BI140" s="893">
        <f>IF(ISNUMBER('Base de datos Rutas'!DC138),'Base de datos Rutas'!DC138,"")</f>
        <v>2.7465082701058368</v>
      </c>
      <c r="BJ140" s="805" t="str">
        <f t="shared" si="108"/>
        <v>Ruta (completo)</v>
      </c>
      <c r="BK140" s="783">
        <f t="shared" si="96"/>
        <v>2</v>
      </c>
      <c r="BL140" s="797">
        <f t="shared" si="97"/>
        <v>2</v>
      </c>
      <c r="BM140" s="797">
        <f t="shared" si="98"/>
        <v>2</v>
      </c>
      <c r="BN140" s="797">
        <f t="shared" si="99"/>
        <v>2</v>
      </c>
      <c r="BO140" s="798" cm="1">
        <f t="array" ref="BO140">SUMPRODUCT(--ISNUMBER($BF140:$BI140),$BK$3:$BN$3)</f>
        <v>1</v>
      </c>
      <c r="BP140" s="831">
        <f t="shared" si="109"/>
        <v>25</v>
      </c>
      <c r="BQ140" s="834" t="str">
        <f t="shared" si="110"/>
        <v>Medio</v>
      </c>
      <c r="BR140" s="836">
        <f t="shared" si="100"/>
        <v>23.904270949907712</v>
      </c>
      <c r="BS140" s="836">
        <f t="shared" si="101"/>
        <v>25</v>
      </c>
      <c r="BT140" s="837" t="str">
        <f t="shared" si="102"/>
        <v>P4</v>
      </c>
      <c r="BU140" s="807" t="str">
        <f t="shared" si="111"/>
        <v>Con espacio</v>
      </c>
      <c r="BV140" s="807" t="str">
        <f t="shared" si="103"/>
        <v>Zona de bajo potencial</v>
      </c>
      <c r="BW140" s="808" t="str">
        <f t="shared" si="104"/>
        <v>P4 - Evaluar</v>
      </c>
    </row>
    <row r="141" spans="1:75">
      <c r="A141" s="780" t="str">
        <f>'Base de datos Rutas'!A139</f>
        <v>Norte</v>
      </c>
      <c r="B141" s="781" t="str">
        <f>'Base de datos Rutas'!B139</f>
        <v>Chihuahua</v>
      </c>
      <c r="C141" s="781" t="str">
        <f>'Base de datos Rutas'!C139</f>
        <v>Planta Chihuahua</v>
      </c>
      <c r="D141" s="782">
        <f>IF(ISNUMBER('Base de datos Rutas'!D139),'Base de datos Rutas'!D139,"Sin código")</f>
        <v>308345</v>
      </c>
      <c r="E141" s="783" t="str">
        <f>'Base de datos Rutas'!F139</f>
        <v>Inactiva</v>
      </c>
      <c r="F141" s="784" t="str">
        <f>'Base de datos Rutas'!H139</f>
        <v>No</v>
      </c>
      <c r="G141" s="785" t="str">
        <f>IF(ISNUMBER('Base de datos Rutas'!BE139),'Base de datos Rutas'!BE139,"")</f>
        <v/>
      </c>
      <c r="H141" s="786" t="str">
        <f>IF(ISNUMBER('Base de datos Rutas'!BH139),'Base de datos Rutas'!BH139,"")</f>
        <v/>
      </c>
      <c r="I141" s="788" t="str">
        <f>IFERROR(IF(OR(NOT(ISNUMBER('Base de datos Rutas'!O139)),N('Base de datos Rutas'!BK139)=0),"",'Base de datos Rutas'!O139/('Base de datos Rutas'!L139/'Base de datos Rutas'!BK139)),"")</f>
        <v/>
      </c>
      <c r="J141" s="788" t="str">
        <f>IFERROR(IF(OR(NOT(ISNUMBER('Base de datos Rutas'!N139)),N('Base de datos Rutas'!BK139)=0),"",'Base de datos Rutas'!N139/('Base de datos Rutas'!L139/'Base de datos Rutas'!BK139)),"")</f>
        <v/>
      </c>
      <c r="K141" s="788" t="str">
        <f>IFERROR(IF(OR(NOT(ISNUMBER('Base de datos Rutas'!J139)),N('Base de datos Rutas'!BK139)=0),"",'Base de datos Rutas'!J139/('Base de datos Rutas'!L139/'Base de datos Rutas'!BK139)),"")</f>
        <v/>
      </c>
      <c r="L141" s="788" t="str">
        <f>IFERROR(IF(OR(NOT(ISNUMBER('Base de datos Rutas'!K139)),N('Base de datos Rutas'!BK139)=0),"",'Base de datos Rutas'!K139/('Base de datos Rutas'!L139/'Base de datos Rutas'!BK139)),"")</f>
        <v/>
      </c>
      <c r="M141" s="787">
        <f>IF(ISNUMBER('Base de datos Rutas'!AX139),'Base de datos Rutas'!AX139,"")</f>
        <v>699.21</v>
      </c>
      <c r="N141" s="790">
        <f>IFERROR(INDEX('Hoja de apoyo v2'!B$17:B$20,MATCH($A141,'Hoja de apoyo v2'!$A$17:$A$20,0)),"")</f>
        <v>74.190366972477051</v>
      </c>
      <c r="O141" s="791">
        <f>IFERROR(INDEX('Hoja de apoyo v2'!C$17:C$20,MATCH($A141,'Hoja de apoyo v2'!$A$17:$A$20,0)),"")</f>
        <v>0.71677657005077755</v>
      </c>
      <c r="P141" s="793">
        <f>IFERROR(INDEX('Hoja de apoyo v2'!D$17:D$20,MATCH($A141,'Hoja de apoyo v2'!$A$17:$A$20,0)),"")</f>
        <v>8755.1153350385739</v>
      </c>
      <c r="Q141" s="793">
        <f>IFERROR(INDEX('Hoja de apoyo v2'!E$17:E$20,MATCH($A141,'Hoja de apoyo v2'!$A$17:$A$20,0)),"")</f>
        <v>6098.2042779326393</v>
      </c>
      <c r="R141" s="793">
        <f>IFERROR(INDEX('Hoja de apoyo v2'!F$17:F$20,MATCH($A141,'Hoja de apoyo v2'!$A$17:$A$20,0)),"")</f>
        <v>389.08889713610301</v>
      </c>
      <c r="S141" s="793">
        <f>IFERROR(INDEX('Hoja de apoyo v2'!G$17:G$20,MATCH($A141,'Hoja de apoyo v2'!$A$17:$A$20,0)),"")</f>
        <v>67.90575167807188</v>
      </c>
      <c r="T141" s="792">
        <f>IFERROR(INDEX('Hoja de apoyo v2'!H$17:H$20,MATCH($A141,'Hoja de apoyo v2'!$A$17:$A$20,0)),"")</f>
        <v>258.90325471200998</v>
      </c>
      <c r="U141" s="794" t="str">
        <f t="shared" si="76"/>
        <v/>
      </c>
      <c r="V141" s="795" t="str">
        <f t="shared" si="77"/>
        <v/>
      </c>
      <c r="W141" s="795" t="str">
        <f t="shared" si="78"/>
        <v/>
      </c>
      <c r="X141" s="843" t="str">
        <f t="shared" si="79"/>
        <v/>
      </c>
      <c r="Y141" s="843" t="str">
        <f t="shared" si="80"/>
        <v/>
      </c>
      <c r="Z141" s="843" t="str">
        <f t="shared" si="81"/>
        <v/>
      </c>
      <c r="AA141" s="843">
        <f t="shared" si="82"/>
        <v>2.7006612982821077</v>
      </c>
      <c r="AB141" s="796">
        <f t="shared" si="83"/>
        <v>0</v>
      </c>
      <c r="AC141" s="797">
        <f t="shared" si="84"/>
        <v>0</v>
      </c>
      <c r="AD141" s="797">
        <f t="shared" si="85"/>
        <v>0</v>
      </c>
      <c r="AE141" s="842">
        <f t="shared" si="86"/>
        <v>0</v>
      </c>
      <c r="AF141" s="842">
        <f t="shared" si="87"/>
        <v>0</v>
      </c>
      <c r="AG141" s="842">
        <f t="shared" si="88"/>
        <v>0</v>
      </c>
      <c r="AH141" s="842">
        <f t="shared" si="89"/>
        <v>5</v>
      </c>
      <c r="AI141" s="826" cm="1">
        <f t="array" ref="AI141">SUMPRODUCT(--ISNUMBER($U141:$AA141),$AB$3:$AH$3)</f>
        <v>8.9789113613062493E-2</v>
      </c>
      <c r="AJ141" s="829" t="str">
        <f t="shared" si="90"/>
        <v/>
      </c>
      <c r="AK141" s="827" t="str">
        <f t="shared" si="91"/>
        <v>Ruta inactiva</v>
      </c>
      <c r="AL141" s="784" t="str">
        <f t="shared" si="92"/>
        <v>n/a</v>
      </c>
      <c r="AM141" s="799">
        <f>IF(ISNUMBER('Base de datos Rutas'!W139),'Base de datos Rutas'!W139,"")</f>
        <v>2692.8351820114153</v>
      </c>
      <c r="AN141" s="787">
        <f>IFERROR(SUMIFS('Base de datos Rutas'!$W$6:$W$794,'Base de datos Rutas'!$C$6:$C$794,$C141)/'Base de datos Rutas'!I139,"")</f>
        <v>2692.8351820114153</v>
      </c>
      <c r="AO141" s="800">
        <f>IFERROR('Base de datos Rutas'!X139*AN141/AM141,"")</f>
        <v>0.53269852604487389</v>
      </c>
      <c r="AP141" s="800">
        <f t="shared" si="93"/>
        <v>0.46730147395512611</v>
      </c>
      <c r="AQ141" s="789">
        <f>IFERROR(INDEX('Hoja de apoyo v2'!$J$17:$J$20,MATCH($A141,'Hoja de apoyo v2'!$A$17:$A$20,0)),"")</f>
        <v>0.62197445417222763</v>
      </c>
      <c r="AR141" s="789">
        <f t="shared" si="94"/>
        <v>-0.15467298021710152</v>
      </c>
      <c r="AS141" s="784" t="str">
        <f t="shared" si="95"/>
        <v>No</v>
      </c>
      <c r="AT141" s="801" t="str">
        <f>IF(ISNUMBER('Base de datos Rutas'!CK139),'Base de datos Rutas'!CK139,"")</f>
        <v/>
      </c>
      <c r="AU141" s="802" t="str">
        <f>IF(ISNUMBER('Base de datos Rutas'!CL139),'Base de datos Rutas'!CL139,"")</f>
        <v/>
      </c>
      <c r="AV141" s="802">
        <f>IF(ISNUMBER('Base de datos Rutas'!CM139),'Base de datos Rutas'!CM139,"")</f>
        <v>0</v>
      </c>
      <c r="AW141" s="802" t="str">
        <f>IF(ISNUMBER('Base de datos Rutas'!CN139),'Base de datos Rutas'!CN139,"")</f>
        <v/>
      </c>
      <c r="AX141" s="802" t="str">
        <f>IF(ISNUMBER('Base de datos Rutas'!CO139),'Base de datos Rutas'!CO139,"")</f>
        <v/>
      </c>
      <c r="AY141" s="802">
        <f>IF(ISNUMBER('Base de datos Rutas'!CP139),'Base de datos Rutas'!CP139,"")</f>
        <v>0</v>
      </c>
      <c r="AZ141" s="802" t="str">
        <f>IF(ISNUMBER('Base de datos Rutas'!CQ139),'Base de datos Rutas'!CQ139,"")</f>
        <v/>
      </c>
      <c r="BA141" s="802" t="str">
        <f>IF(ISNUMBER('Base de datos Rutas'!CR139),'Base de datos Rutas'!CR139,"")</f>
        <v/>
      </c>
      <c r="BB141" s="803">
        <f>IF(ISNUMBER('Base de datos Rutas'!CS139),'Base de datos Rutas'!CS139,"")</f>
        <v>0</v>
      </c>
      <c r="BC141" s="804" t="str">
        <f t="shared" si="105"/>
        <v/>
      </c>
      <c r="BD141" s="805" t="str">
        <f t="shared" si="106"/>
        <v>N/D</v>
      </c>
      <c r="BE141" s="806" t="str">
        <f t="shared" si="107"/>
        <v/>
      </c>
      <c r="BF141" s="890" t="str">
        <f>IF(ISNUMBER('Base de datos Rutas'!CX139),'Base de datos Rutas'!CX139/100,"")</f>
        <v/>
      </c>
      <c r="BG141" s="891" t="str">
        <f>IF(ISNUMBER('Base de datos Rutas'!CZ139),'Base de datos Rutas'!CZ139/100,"")</f>
        <v/>
      </c>
      <c r="BH141" s="892" t="str">
        <f>IF(ISNUMBER('Base de datos Rutas'!DA139),'Base de datos Rutas'!DA139,"")</f>
        <v/>
      </c>
      <c r="BI141" s="893" t="str">
        <f>IF(ISNUMBER('Base de datos Rutas'!DC139),'Base de datos Rutas'!DC139,"")</f>
        <v/>
      </c>
      <c r="BJ141" s="805" t="str">
        <f t="shared" si="108"/>
        <v>Sin dato</v>
      </c>
      <c r="BK141" s="783">
        <f t="shared" si="96"/>
        <v>0</v>
      </c>
      <c r="BL141" s="797">
        <f t="shared" si="97"/>
        <v>0</v>
      </c>
      <c r="BM141" s="797">
        <f t="shared" si="98"/>
        <v>0</v>
      </c>
      <c r="BN141" s="797">
        <f t="shared" si="99"/>
        <v>0</v>
      </c>
      <c r="BO141" s="798" cm="1">
        <f t="array" ref="BO141">SUMPRODUCT(--ISNUMBER($BF141:$BI141),$BK$3:$BN$3)</f>
        <v>0</v>
      </c>
      <c r="BP141" s="831" t="str">
        <f t="shared" si="109"/>
        <v/>
      </c>
      <c r="BQ141" s="834" t="str">
        <f t="shared" si="110"/>
        <v>Sin datos</v>
      </c>
      <c r="BR141" s="836" t="str">
        <f t="shared" si="100"/>
        <v/>
      </c>
      <c r="BS141" s="836" t="str">
        <f t="shared" si="101"/>
        <v/>
      </c>
      <c r="BT141" s="837" t="str">
        <f t="shared" si="102"/>
        <v>Sin datos</v>
      </c>
      <c r="BU141" s="807" t="str">
        <f t="shared" si="111"/>
        <v>No evaluable</v>
      </c>
      <c r="BV141" s="807" t="str">
        <f t="shared" si="103"/>
        <v>No evaluable</v>
      </c>
      <c r="BW141" s="808" t="str">
        <f t="shared" si="104"/>
        <v>Sin datos</v>
      </c>
    </row>
    <row r="142" spans="1:75">
      <c r="A142" s="780" t="str">
        <f>'Base de datos Rutas'!A140</f>
        <v>Norte</v>
      </c>
      <c r="B142" s="781" t="str">
        <f>'Base de datos Rutas'!B140</f>
        <v>Chihuahua</v>
      </c>
      <c r="C142" s="781" t="str">
        <f>'Base de datos Rutas'!C140</f>
        <v>Planta Chihuahua</v>
      </c>
      <c r="D142" s="782">
        <f>IF(ISNUMBER('Base de datos Rutas'!D140),'Base de datos Rutas'!D140,"Sin código")</f>
        <v>308346</v>
      </c>
      <c r="E142" s="783" t="str">
        <f>'Base de datos Rutas'!F140</f>
        <v>Activa</v>
      </c>
      <c r="F142" s="784" t="str">
        <f>'Base de datos Rutas'!H140</f>
        <v>Sí</v>
      </c>
      <c r="G142" s="785">
        <f>IF(ISNUMBER('Base de datos Rutas'!BE140),'Base de datos Rutas'!BE140,"")</f>
        <v>37.089655172413799</v>
      </c>
      <c r="H142" s="786">
        <f>IF(ISNUMBER('Base de datos Rutas'!BH140),'Base de datos Rutas'!BH140,"")</f>
        <v>0.47725300607412902</v>
      </c>
      <c r="I142" s="788">
        <f>IFERROR(IF(OR(NOT(ISNUMBER('Base de datos Rutas'!O140)),N('Base de datos Rutas'!BK140)=0),"",'Base de datos Rutas'!O140/('Base de datos Rutas'!L140/'Base de datos Rutas'!BK140)),"")</f>
        <v>3000.8183908045903</v>
      </c>
      <c r="J142" s="788">
        <f>IFERROR(IF(OR(NOT(ISNUMBER('Base de datos Rutas'!N140)),N('Base de datos Rutas'!BK140)=0),"",'Base de datos Rutas'!N140/('Base de datos Rutas'!L140/'Base de datos Rutas'!BK140)),"")</f>
        <v>2156.7172413793051</v>
      </c>
      <c r="K142" s="788">
        <f>IFERROR(IF(OR(NOT(ISNUMBER('Base de datos Rutas'!J140)),N('Base de datos Rutas'!BK140)=0),"",'Base de datos Rutas'!J140/('Base de datos Rutas'!L140/'Base de datos Rutas'!BK140)),"")</f>
        <v>138.23267586206862</v>
      </c>
      <c r="L142" s="788">
        <f>IFERROR(IF(OR(NOT(ISNUMBER('Base de datos Rutas'!K140)),N('Base de datos Rutas'!BK140)=0),"",'Base de datos Rutas'!K140/('Base de datos Rutas'!L140/'Base de datos Rutas'!BK140)),"")</f>
        <v>21.04392785517236</v>
      </c>
      <c r="M142" s="787">
        <f>IF(ISNUMBER('Base de datos Rutas'!AX140),'Base de datos Rutas'!AX140,"")</f>
        <v>284.10815844155798</v>
      </c>
      <c r="N142" s="790">
        <f>IFERROR(INDEX('Hoja de apoyo v2'!B$17:B$20,MATCH($A142,'Hoja de apoyo v2'!$A$17:$A$20,0)),"")</f>
        <v>74.190366972477051</v>
      </c>
      <c r="O142" s="791">
        <f>IFERROR(INDEX('Hoja de apoyo v2'!C$17:C$20,MATCH($A142,'Hoja de apoyo v2'!$A$17:$A$20,0)),"")</f>
        <v>0.71677657005077755</v>
      </c>
      <c r="P142" s="793">
        <f>IFERROR(INDEX('Hoja de apoyo v2'!D$17:D$20,MATCH($A142,'Hoja de apoyo v2'!$A$17:$A$20,0)),"")</f>
        <v>8755.1153350385739</v>
      </c>
      <c r="Q142" s="793">
        <f>IFERROR(INDEX('Hoja de apoyo v2'!E$17:E$20,MATCH($A142,'Hoja de apoyo v2'!$A$17:$A$20,0)),"")</f>
        <v>6098.2042779326393</v>
      </c>
      <c r="R142" s="793">
        <f>IFERROR(INDEX('Hoja de apoyo v2'!F$17:F$20,MATCH($A142,'Hoja de apoyo v2'!$A$17:$A$20,0)),"")</f>
        <v>389.08889713610301</v>
      </c>
      <c r="S142" s="793">
        <f>IFERROR(INDEX('Hoja de apoyo v2'!G$17:G$20,MATCH($A142,'Hoja de apoyo v2'!$A$17:$A$20,0)),"")</f>
        <v>67.90575167807188</v>
      </c>
      <c r="T142" s="792">
        <f>IFERROR(INDEX('Hoja de apoyo v2'!H$17:H$20,MATCH($A142,'Hoja de apoyo v2'!$A$17:$A$20,0)),"")</f>
        <v>258.90325471200998</v>
      </c>
      <c r="U142" s="794">
        <f t="shared" si="76"/>
        <v>0.49992548474889231</v>
      </c>
      <c r="V142" s="795">
        <f t="shared" si="77"/>
        <v>0.66583231932416498</v>
      </c>
      <c r="W142" s="795">
        <f t="shared" si="78"/>
        <v>0.34275029807946772</v>
      </c>
      <c r="X142" s="843">
        <f t="shared" si="79"/>
        <v>0.35366431544180033</v>
      </c>
      <c r="Y142" s="843">
        <f t="shared" si="80"/>
        <v>0.35527273299118306</v>
      </c>
      <c r="Z142" s="843">
        <f t="shared" si="81"/>
        <v>0.30989904883076147</v>
      </c>
      <c r="AA142" s="843">
        <f t="shared" si="82"/>
        <v>1.097352595113509</v>
      </c>
      <c r="AB142" s="796">
        <f t="shared" si="83"/>
        <v>1</v>
      </c>
      <c r="AC142" s="797">
        <f t="shared" si="84"/>
        <v>2</v>
      </c>
      <c r="AD142" s="797">
        <f t="shared" si="85"/>
        <v>1</v>
      </c>
      <c r="AE142" s="842">
        <f t="shared" si="86"/>
        <v>1</v>
      </c>
      <c r="AF142" s="842">
        <f t="shared" si="87"/>
        <v>1</v>
      </c>
      <c r="AG142" s="842">
        <f t="shared" si="88"/>
        <v>1</v>
      </c>
      <c r="AH142" s="842">
        <f t="shared" si="89"/>
        <v>4</v>
      </c>
      <c r="AI142" s="826" cm="1">
        <f t="array" ref="AI142">SUMPRODUCT(--ISNUMBER($U142:$AA142),$AB$3:$AH$3)</f>
        <v>1</v>
      </c>
      <c r="AJ142" s="829">
        <f t="shared" si="90"/>
        <v>9.1170891068701678</v>
      </c>
      <c r="AK142" s="827" t="str">
        <f t="shared" si="91"/>
        <v>Inmadura</v>
      </c>
      <c r="AL142" s="784" t="str">
        <f t="shared" si="92"/>
        <v>Alta</v>
      </c>
      <c r="AM142" s="799">
        <f>IF(ISNUMBER('Base de datos Rutas'!W140),'Base de datos Rutas'!W140,"")</f>
        <v>2692.8351820114153</v>
      </c>
      <c r="AN142" s="787">
        <f>IFERROR(SUMIFS('Base de datos Rutas'!$W$6:$W$794,'Base de datos Rutas'!$C$6:$C$794,$C142)/'Base de datos Rutas'!I140,"")</f>
        <v>2692.8351820114153</v>
      </c>
      <c r="AO142" s="800">
        <f>IFERROR('Base de datos Rutas'!X140*AN142/AM142,"")</f>
        <v>0.53269852604487389</v>
      </c>
      <c r="AP142" s="800">
        <f t="shared" si="93"/>
        <v>0.46730147395512611</v>
      </c>
      <c r="AQ142" s="789">
        <f>IFERROR(INDEX('Hoja de apoyo v2'!$J$17:$J$20,MATCH($A142,'Hoja de apoyo v2'!$A$17:$A$20,0)),"")</f>
        <v>0.62197445417222763</v>
      </c>
      <c r="AR142" s="789">
        <f t="shared" si="94"/>
        <v>-0.15467298021710152</v>
      </c>
      <c r="AS142" s="784" t="str">
        <f t="shared" si="95"/>
        <v>No</v>
      </c>
      <c r="AT142" s="801">
        <f>IF(ISNUMBER('Base de datos Rutas'!CK140),'Base de datos Rutas'!CK140,"")</f>
        <v>292</v>
      </c>
      <c r="AU142" s="802">
        <f>IF(ISNUMBER('Base de datos Rutas'!CL140),'Base de datos Rutas'!CL140,"")</f>
        <v>692.7</v>
      </c>
      <c r="AV142" s="802">
        <f>IF(ISNUMBER('Base de datos Rutas'!CM140),'Base de datos Rutas'!CM140,"")</f>
        <v>400.70000000000005</v>
      </c>
      <c r="AW142" s="802">
        <f>IF(ISNUMBER('Base de datos Rutas'!CN140),'Base de datos Rutas'!CN140,"")</f>
        <v>5.72</v>
      </c>
      <c r="AX142" s="802">
        <f>IF(ISNUMBER('Base de datos Rutas'!CO140),'Base de datos Rutas'!CO140,"")</f>
        <v>9.4499999999999993</v>
      </c>
      <c r="AY142" s="802">
        <f>IF(ISNUMBER('Base de datos Rutas'!CP140),'Base de datos Rutas'!CP140,"")</f>
        <v>3.7299999999999995</v>
      </c>
      <c r="AZ142" s="802">
        <f>IF(ISNUMBER('Base de datos Rutas'!CQ140),'Base de datos Rutas'!CQ140,"")</f>
        <v>602.75</v>
      </c>
      <c r="BA142" s="802">
        <f>IF(ISNUMBER('Base de datos Rutas'!CR140),'Base de datos Rutas'!CR140,"")</f>
        <v>159.28</v>
      </c>
      <c r="BB142" s="803">
        <f>IF(ISNUMBER('Base de datos Rutas'!CS140),'Base de datos Rutas'!CS140,"")</f>
        <v>443.47</v>
      </c>
      <c r="BC142" s="804">
        <f t="shared" si="105"/>
        <v>0</v>
      </c>
      <c r="BD142" s="805" t="str">
        <f t="shared" si="106"/>
        <v>No saturada</v>
      </c>
      <c r="BE142" s="806">
        <f t="shared" si="107"/>
        <v>0.26425549564496059</v>
      </c>
      <c r="BF142" s="890">
        <f>IF(ISNUMBER('Base de datos Rutas'!CX140),'Base de datos Rutas'!CX140/100,"")</f>
        <v>0.11718794574548093</v>
      </c>
      <c r="BG142" s="891">
        <f>IF(ISNUMBER('Base de datos Rutas'!CZ140),'Base de datos Rutas'!CZ140/100,"")</f>
        <v>0.12238387924998055</v>
      </c>
      <c r="BH142" s="892">
        <f>IF(ISNUMBER('Base de datos Rutas'!DA140),'Base de datos Rutas'!DA140,"")</f>
        <v>57.809485066184031</v>
      </c>
      <c r="BI142" s="893">
        <f>IF(ISNUMBER('Base de datos Rutas'!DC140),'Base de datos Rutas'!DC140,"")</f>
        <v>1.4433366400623335</v>
      </c>
      <c r="BJ142" s="805" t="str">
        <f t="shared" si="108"/>
        <v>Ruta (completo)</v>
      </c>
      <c r="BK142" s="783">
        <f t="shared" si="96"/>
        <v>1</v>
      </c>
      <c r="BL142" s="797">
        <f t="shared" si="97"/>
        <v>1</v>
      </c>
      <c r="BM142" s="797">
        <f t="shared" si="98"/>
        <v>1</v>
      </c>
      <c r="BN142" s="797">
        <f t="shared" si="99"/>
        <v>1</v>
      </c>
      <c r="BO142" s="798" cm="1">
        <f t="array" ref="BO142">SUMPRODUCT(--ISNUMBER($BF142:$BI142),$BK$3:$BN$3)</f>
        <v>1</v>
      </c>
      <c r="BP142" s="831">
        <f t="shared" si="109"/>
        <v>0</v>
      </c>
      <c r="BQ142" s="834" t="str">
        <f t="shared" si="110"/>
        <v>Bajo</v>
      </c>
      <c r="BR142" s="836">
        <f t="shared" si="100"/>
        <v>6.8378168301526259</v>
      </c>
      <c r="BS142" s="836">
        <f t="shared" si="101"/>
        <v>0</v>
      </c>
      <c r="BT142" s="837" t="str">
        <f t="shared" si="102"/>
        <v>P4</v>
      </c>
      <c r="BU142" s="807" t="str">
        <f t="shared" si="111"/>
        <v>Con espacio</v>
      </c>
      <c r="BV142" s="807" t="str">
        <f t="shared" si="103"/>
        <v>Zona de bajo potencial</v>
      </c>
      <c r="BW142" s="808" t="str">
        <f t="shared" si="104"/>
        <v>P4 - Evaluar</v>
      </c>
    </row>
    <row r="143" spans="1:75">
      <c r="A143" s="780" t="str">
        <f>'Base de datos Rutas'!A141</f>
        <v>Norte</v>
      </c>
      <c r="B143" s="781" t="str">
        <f>'Base de datos Rutas'!B141</f>
        <v>Chihuahua</v>
      </c>
      <c r="C143" s="781" t="str">
        <f>'Base de datos Rutas'!C141</f>
        <v>Planta Chihuahua</v>
      </c>
      <c r="D143" s="782">
        <f>IF(ISNUMBER('Base de datos Rutas'!D141),'Base de datos Rutas'!D141,"Sin código")</f>
        <v>308347</v>
      </c>
      <c r="E143" s="783" t="str">
        <f>'Base de datos Rutas'!F141</f>
        <v>Activa</v>
      </c>
      <c r="F143" s="784" t="str">
        <f>'Base de datos Rutas'!H141</f>
        <v>Sí</v>
      </c>
      <c r="G143" s="785">
        <f>IF(ISNUMBER('Base de datos Rutas'!BE141),'Base de datos Rutas'!BE141,"")</f>
        <v>49.7734553775744</v>
      </c>
      <c r="H143" s="786">
        <f>IF(ISNUMBER('Base de datos Rutas'!BH141),'Base de datos Rutas'!BH141,"")</f>
        <v>0.57689301641303903</v>
      </c>
      <c r="I143" s="788">
        <f>IFERROR(IF(OR(NOT(ISNUMBER('Base de datos Rutas'!O141)),N('Base de datos Rutas'!BK141)=0),"",'Base de datos Rutas'!O141/('Base de datos Rutas'!L141/'Base de datos Rutas'!BK141)),"")</f>
        <v>5307.9176201373102</v>
      </c>
      <c r="J143" s="788">
        <f>IFERROR(IF(OR(NOT(ISNUMBER('Base de datos Rutas'!N141)),N('Base de datos Rutas'!BK141)=0),"",'Base de datos Rutas'!N141/('Base de datos Rutas'!L141/'Base de datos Rutas'!BK141)),"")</f>
        <v>3197.3157894736905</v>
      </c>
      <c r="K143" s="788">
        <f>IFERROR(IF(OR(NOT(ISNUMBER('Base de datos Rutas'!J141)),N('Base de datos Rutas'!BK141)=0),"",'Base de datos Rutas'!J141/('Base de datos Rutas'!L141/'Base de datos Rutas'!BK141)),"")</f>
        <v>220.1180897574375</v>
      </c>
      <c r="L143" s="788">
        <f>IFERROR(IF(OR(NOT(ISNUMBER('Base de datos Rutas'!K141)),N('Base de datos Rutas'!BK141)=0),"",'Base de datos Rutas'!K141/('Base de datos Rutas'!L141/'Base de datos Rutas'!BK141)),"")</f>
        <v>36.249183530892516</v>
      </c>
      <c r="M143" s="787">
        <f>IF(ISNUMBER('Base de datos Rutas'!AX141),'Base de datos Rutas'!AX141,"")</f>
        <v>291.260722027415</v>
      </c>
      <c r="N143" s="790">
        <f>IFERROR(INDEX('Hoja de apoyo v2'!B$17:B$20,MATCH($A143,'Hoja de apoyo v2'!$A$17:$A$20,0)),"")</f>
        <v>74.190366972477051</v>
      </c>
      <c r="O143" s="791">
        <f>IFERROR(INDEX('Hoja de apoyo v2'!C$17:C$20,MATCH($A143,'Hoja de apoyo v2'!$A$17:$A$20,0)),"")</f>
        <v>0.71677657005077755</v>
      </c>
      <c r="P143" s="793">
        <f>IFERROR(INDEX('Hoja de apoyo v2'!D$17:D$20,MATCH($A143,'Hoja de apoyo v2'!$A$17:$A$20,0)),"")</f>
        <v>8755.1153350385739</v>
      </c>
      <c r="Q143" s="793">
        <f>IFERROR(INDEX('Hoja de apoyo v2'!E$17:E$20,MATCH($A143,'Hoja de apoyo v2'!$A$17:$A$20,0)),"")</f>
        <v>6098.2042779326393</v>
      </c>
      <c r="R143" s="793">
        <f>IFERROR(INDEX('Hoja de apoyo v2'!F$17:F$20,MATCH($A143,'Hoja de apoyo v2'!$A$17:$A$20,0)),"")</f>
        <v>389.08889713610301</v>
      </c>
      <c r="S143" s="793">
        <f>IFERROR(INDEX('Hoja de apoyo v2'!G$17:G$20,MATCH($A143,'Hoja de apoyo v2'!$A$17:$A$20,0)),"")</f>
        <v>67.90575167807188</v>
      </c>
      <c r="T143" s="792">
        <f>IFERROR(INDEX('Hoja de apoyo v2'!H$17:H$20,MATCH($A143,'Hoja de apoyo v2'!$A$17:$A$20,0)),"")</f>
        <v>258.90325471200998</v>
      </c>
      <c r="U143" s="794">
        <f t="shared" si="76"/>
        <v>0.67088838360968384</v>
      </c>
      <c r="V143" s="795">
        <f t="shared" si="77"/>
        <v>0.80484357401940609</v>
      </c>
      <c r="W143" s="795">
        <f t="shared" si="78"/>
        <v>0.60626472833483513</v>
      </c>
      <c r="X143" s="843">
        <f t="shared" si="79"/>
        <v>0.52430447452272244</v>
      </c>
      <c r="Y143" s="843">
        <f t="shared" si="80"/>
        <v>0.56572698778510855</v>
      </c>
      <c r="Z143" s="843">
        <f t="shared" si="81"/>
        <v>0.53381610003734192</v>
      </c>
      <c r="AA143" s="843">
        <f t="shared" si="82"/>
        <v>1.1249789901304938</v>
      </c>
      <c r="AB143" s="796">
        <f t="shared" si="83"/>
        <v>2</v>
      </c>
      <c r="AC143" s="797">
        <f t="shared" si="84"/>
        <v>3</v>
      </c>
      <c r="AD143" s="797">
        <f t="shared" si="85"/>
        <v>2</v>
      </c>
      <c r="AE143" s="842">
        <f t="shared" si="86"/>
        <v>2</v>
      </c>
      <c r="AF143" s="842">
        <f t="shared" si="87"/>
        <v>2</v>
      </c>
      <c r="AG143" s="842">
        <f t="shared" si="88"/>
        <v>2</v>
      </c>
      <c r="AH143" s="842">
        <f t="shared" si="89"/>
        <v>4</v>
      </c>
      <c r="AI143" s="826" cm="1">
        <f t="array" ref="AI143">SUMPRODUCT(--ISNUMBER($U143:$AA143),$AB$3:$AH$3)</f>
        <v>1</v>
      </c>
      <c r="AJ143" s="829">
        <f t="shared" si="90"/>
        <v>31.872361266543614</v>
      </c>
      <c r="AK143" s="827" t="str">
        <f t="shared" si="91"/>
        <v>Inmadura</v>
      </c>
      <c r="AL143" s="784" t="str">
        <f t="shared" si="92"/>
        <v>Alta</v>
      </c>
      <c r="AM143" s="799">
        <f>IF(ISNUMBER('Base de datos Rutas'!W141),'Base de datos Rutas'!W141,"")</f>
        <v>2692.8351820114153</v>
      </c>
      <c r="AN143" s="787">
        <f>IFERROR(SUMIFS('Base de datos Rutas'!$W$6:$W$794,'Base de datos Rutas'!$C$6:$C$794,$C143)/'Base de datos Rutas'!I141,"")</f>
        <v>2692.8351820114153</v>
      </c>
      <c r="AO143" s="800">
        <f>IFERROR('Base de datos Rutas'!X141*AN143/AM143,"")</f>
        <v>0.53269852604487389</v>
      </c>
      <c r="AP143" s="800">
        <f t="shared" si="93"/>
        <v>0.46730147395512611</v>
      </c>
      <c r="AQ143" s="789">
        <f>IFERROR(INDEX('Hoja de apoyo v2'!$J$17:$J$20,MATCH($A143,'Hoja de apoyo v2'!$A$17:$A$20,0)),"")</f>
        <v>0.62197445417222763</v>
      </c>
      <c r="AR143" s="789">
        <f t="shared" si="94"/>
        <v>-0.15467298021710152</v>
      </c>
      <c r="AS143" s="784" t="str">
        <f t="shared" si="95"/>
        <v>No</v>
      </c>
      <c r="AT143" s="801">
        <f>IF(ISNUMBER('Base de datos Rutas'!CK141),'Base de datos Rutas'!CK141,"")</f>
        <v>354</v>
      </c>
      <c r="AU143" s="802">
        <f>IF(ISNUMBER('Base de datos Rutas'!CL141),'Base de datos Rutas'!CL141,"")</f>
        <v>891.87</v>
      </c>
      <c r="AV143" s="802">
        <f>IF(ISNUMBER('Base de datos Rutas'!CM141),'Base de datos Rutas'!CM141,"")</f>
        <v>537.87</v>
      </c>
      <c r="AW143" s="802">
        <f>IF(ISNUMBER('Base de datos Rutas'!CN141),'Base de datos Rutas'!CN141,"")</f>
        <v>6.67</v>
      </c>
      <c r="AX143" s="802">
        <f>IF(ISNUMBER('Base de datos Rutas'!CO141),'Base de datos Rutas'!CO141,"")</f>
        <v>9.4499999999999993</v>
      </c>
      <c r="AY143" s="802">
        <f>IF(ISNUMBER('Base de datos Rutas'!CP141),'Base de datos Rutas'!CP141,"")</f>
        <v>2.7799999999999994</v>
      </c>
      <c r="AZ143" s="802">
        <f>IF(ISNUMBER('Base de datos Rutas'!CQ141),'Base de datos Rutas'!CQ141,"")</f>
        <v>602.75</v>
      </c>
      <c r="BA143" s="802">
        <f>IF(ISNUMBER('Base de datos Rutas'!CR141),'Base de datos Rutas'!CR141,"")</f>
        <v>256.37</v>
      </c>
      <c r="BB143" s="803">
        <f>IF(ISNUMBER('Base de datos Rutas'!CS141),'Base de datos Rutas'!CS141,"")</f>
        <v>346.38</v>
      </c>
      <c r="BC143" s="804">
        <f t="shared" si="105"/>
        <v>0</v>
      </c>
      <c r="BD143" s="805" t="str">
        <f t="shared" si="106"/>
        <v>No saturada</v>
      </c>
      <c r="BE143" s="806">
        <f t="shared" si="107"/>
        <v>0.42533388635420988</v>
      </c>
      <c r="BF143" s="890">
        <f>IF(ISNUMBER('Base de datos Rutas'!CX141),'Base de datos Rutas'!CX141/100,"")</f>
        <v>0.28363152765369937</v>
      </c>
      <c r="BG143" s="891">
        <f>IF(ISNUMBER('Base de datos Rutas'!CZ141),'Base de datos Rutas'!CZ141/100,"")</f>
        <v>0.29091204418094696</v>
      </c>
      <c r="BH143" s="892">
        <f>IF(ISNUMBER('Base de datos Rutas'!DA141),'Base de datos Rutas'!DA141,"")</f>
        <v>95.48659069631249</v>
      </c>
      <c r="BI143" s="893">
        <f>IF(ISNUMBER('Base de datos Rutas'!DC141),'Base de datos Rutas'!DC141,"")</f>
        <v>2.34552737205115</v>
      </c>
      <c r="BJ143" s="805" t="str">
        <f t="shared" si="108"/>
        <v>Ruta (completo)</v>
      </c>
      <c r="BK143" s="783">
        <f t="shared" si="96"/>
        <v>2</v>
      </c>
      <c r="BL143" s="797">
        <f t="shared" si="97"/>
        <v>2</v>
      </c>
      <c r="BM143" s="797">
        <f t="shared" si="98"/>
        <v>2</v>
      </c>
      <c r="BN143" s="797">
        <f t="shared" si="99"/>
        <v>2</v>
      </c>
      <c r="BO143" s="798" cm="1">
        <f t="array" ref="BO143">SUMPRODUCT(--ISNUMBER($BF143:$BI143),$BK$3:$BN$3)</f>
        <v>1</v>
      </c>
      <c r="BP143" s="831">
        <f t="shared" si="109"/>
        <v>25</v>
      </c>
      <c r="BQ143" s="834" t="str">
        <f t="shared" si="110"/>
        <v>Medio</v>
      </c>
      <c r="BR143" s="836">
        <f t="shared" si="100"/>
        <v>23.904270949907712</v>
      </c>
      <c r="BS143" s="836">
        <f t="shared" si="101"/>
        <v>25</v>
      </c>
      <c r="BT143" s="837" t="str">
        <f t="shared" si="102"/>
        <v>P4</v>
      </c>
      <c r="BU143" s="807" t="str">
        <f t="shared" si="111"/>
        <v>Con espacio</v>
      </c>
      <c r="BV143" s="807" t="str">
        <f t="shared" si="103"/>
        <v>Zona de bajo potencial</v>
      </c>
      <c r="BW143" s="808" t="str">
        <f t="shared" si="104"/>
        <v>P4 - Evaluar</v>
      </c>
    </row>
    <row r="144" spans="1:75">
      <c r="A144" s="780" t="str">
        <f>'Base de datos Rutas'!A142</f>
        <v>Norte</v>
      </c>
      <c r="B144" s="781" t="str">
        <f>'Base de datos Rutas'!B142</f>
        <v>Chihuahua</v>
      </c>
      <c r="C144" s="781" t="str">
        <f>'Base de datos Rutas'!C142</f>
        <v>Planta Chihuahua</v>
      </c>
      <c r="D144" s="782">
        <f>IF(ISNUMBER('Base de datos Rutas'!D142),'Base de datos Rutas'!D142,"Sin código")</f>
        <v>308348</v>
      </c>
      <c r="E144" s="783" t="str">
        <f>'Base de datos Rutas'!F142</f>
        <v>Activa</v>
      </c>
      <c r="F144" s="784" t="str">
        <f>'Base de datos Rutas'!H142</f>
        <v>Sí</v>
      </c>
      <c r="G144" s="785">
        <f>IF(ISNUMBER('Base de datos Rutas'!BE142),'Base de datos Rutas'!BE142,"")</f>
        <v>16.250574712643701</v>
      </c>
      <c r="H144" s="786">
        <f>IF(ISNUMBER('Base de datos Rutas'!BH142),'Base de datos Rutas'!BH142,"")</f>
        <v>0.69826000848776404</v>
      </c>
      <c r="I144" s="788">
        <f>IFERROR(IF(OR(NOT(ISNUMBER('Base de datos Rutas'!O142)),N('Base de datos Rutas'!BK142)=0),"",'Base de datos Rutas'!O142/('Base de datos Rutas'!L142/'Base de datos Rutas'!BK142)),"")</f>
        <v>6337.5563218390762</v>
      </c>
      <c r="J144" s="788">
        <f>IFERROR(IF(OR(NOT(ISNUMBER('Base de datos Rutas'!N142)),N('Base de datos Rutas'!BK142)=0),"",'Base de datos Rutas'!N142/('Base de datos Rutas'!L142/'Base de datos Rutas'!BK142)),"")</f>
        <v>3491.8758620689632</v>
      </c>
      <c r="K144" s="788">
        <f>IFERROR(IF(OR(NOT(ISNUMBER('Base de datos Rutas'!J142)),N('Base de datos Rutas'!BK142)=0),"",'Base de datos Rutas'!J142/('Base de datos Rutas'!L142/'Base de datos Rutas'!BK142)),"")</f>
        <v>220.87227724137918</v>
      </c>
      <c r="L144" s="788">
        <f>IFERROR(IF(OR(NOT(ISNUMBER('Base de datos Rutas'!K142)),N('Base de datos Rutas'!BK142)=0),"",'Base de datos Rutas'!K142/('Base de datos Rutas'!L142/'Base de datos Rutas'!BK142)),"")</f>
        <v>33.167812448275839</v>
      </c>
      <c r="M144" s="787">
        <f>IF(ISNUMBER('Base de datos Rutas'!AX142),'Base de datos Rutas'!AX142,"")</f>
        <v>843.23465356563997</v>
      </c>
      <c r="N144" s="790">
        <f>IFERROR(INDEX('Hoja de apoyo v2'!B$17:B$20,MATCH($A144,'Hoja de apoyo v2'!$A$17:$A$20,0)),"")</f>
        <v>74.190366972477051</v>
      </c>
      <c r="O144" s="791">
        <f>IFERROR(INDEX('Hoja de apoyo v2'!C$17:C$20,MATCH($A144,'Hoja de apoyo v2'!$A$17:$A$20,0)),"")</f>
        <v>0.71677657005077755</v>
      </c>
      <c r="P144" s="793">
        <f>IFERROR(INDEX('Hoja de apoyo v2'!D$17:D$20,MATCH($A144,'Hoja de apoyo v2'!$A$17:$A$20,0)),"")</f>
        <v>8755.1153350385739</v>
      </c>
      <c r="Q144" s="793">
        <f>IFERROR(INDEX('Hoja de apoyo v2'!E$17:E$20,MATCH($A144,'Hoja de apoyo v2'!$A$17:$A$20,0)),"")</f>
        <v>6098.2042779326393</v>
      </c>
      <c r="R144" s="793">
        <f>IFERROR(INDEX('Hoja de apoyo v2'!F$17:F$20,MATCH($A144,'Hoja de apoyo v2'!$A$17:$A$20,0)),"")</f>
        <v>389.08889713610301</v>
      </c>
      <c r="S144" s="793">
        <f>IFERROR(INDEX('Hoja de apoyo v2'!G$17:G$20,MATCH($A144,'Hoja de apoyo v2'!$A$17:$A$20,0)),"")</f>
        <v>67.90575167807188</v>
      </c>
      <c r="T144" s="792">
        <f>IFERROR(INDEX('Hoja de apoyo v2'!H$17:H$20,MATCH($A144,'Hoja de apoyo v2'!$A$17:$A$20,0)),"")</f>
        <v>258.90325471200998</v>
      </c>
      <c r="U144" s="794">
        <f t="shared" si="76"/>
        <v>0.21903887763046512</v>
      </c>
      <c r="V144" s="795">
        <f t="shared" si="77"/>
        <v>0.97416689895192621</v>
      </c>
      <c r="W144" s="795">
        <f t="shared" si="78"/>
        <v>0.72386897023226404</v>
      </c>
      <c r="X144" s="843">
        <f t="shared" si="79"/>
        <v>0.57260723041123651</v>
      </c>
      <c r="Y144" s="843">
        <f t="shared" si="80"/>
        <v>0.56766533012664766</v>
      </c>
      <c r="Z144" s="843">
        <f t="shared" si="81"/>
        <v>0.48843892643318443</v>
      </c>
      <c r="AA144" s="843">
        <f t="shared" si="82"/>
        <v>3.2569488340484893</v>
      </c>
      <c r="AB144" s="796">
        <f t="shared" si="83"/>
        <v>1</v>
      </c>
      <c r="AC144" s="797">
        <f t="shared" si="84"/>
        <v>3</v>
      </c>
      <c r="AD144" s="797">
        <f t="shared" si="85"/>
        <v>2</v>
      </c>
      <c r="AE144" s="842">
        <f t="shared" si="86"/>
        <v>2</v>
      </c>
      <c r="AF144" s="842">
        <f t="shared" si="87"/>
        <v>2</v>
      </c>
      <c r="AG144" s="842">
        <f t="shared" si="88"/>
        <v>1</v>
      </c>
      <c r="AH144" s="842">
        <f t="shared" si="89"/>
        <v>5</v>
      </c>
      <c r="AI144" s="826" cm="1">
        <f t="array" ref="AI144">SUMPRODUCT(--ISNUMBER($U144:$AA144),$AB$3:$AH$3)</f>
        <v>1</v>
      </c>
      <c r="AJ144" s="829">
        <f t="shared" si="90"/>
        <v>25.19438616067373</v>
      </c>
      <c r="AK144" s="827" t="str">
        <f t="shared" si="91"/>
        <v>Inmadura</v>
      </c>
      <c r="AL144" s="784" t="str">
        <f t="shared" si="92"/>
        <v>Alta</v>
      </c>
      <c r="AM144" s="799">
        <f>IF(ISNUMBER('Base de datos Rutas'!W142),'Base de datos Rutas'!W142,"")</f>
        <v>2692.8351820114153</v>
      </c>
      <c r="AN144" s="787">
        <f>IFERROR(SUMIFS('Base de datos Rutas'!$W$6:$W$794,'Base de datos Rutas'!$C$6:$C$794,$C144)/'Base de datos Rutas'!I142,"")</f>
        <v>2692.8351820114153</v>
      </c>
      <c r="AO144" s="800">
        <f>IFERROR('Base de datos Rutas'!X142*AN144/AM144,"")</f>
        <v>0.53269852604487389</v>
      </c>
      <c r="AP144" s="800">
        <f t="shared" si="93"/>
        <v>0.46730147395512611</v>
      </c>
      <c r="AQ144" s="789">
        <f>IFERROR(INDEX('Hoja de apoyo v2'!$J$17:$J$20,MATCH($A144,'Hoja de apoyo v2'!$A$17:$A$20,0)),"")</f>
        <v>0.62197445417222763</v>
      </c>
      <c r="AR144" s="789">
        <f t="shared" si="94"/>
        <v>-0.15467298021710152</v>
      </c>
      <c r="AS144" s="784" t="str">
        <f t="shared" si="95"/>
        <v>No</v>
      </c>
      <c r="AT144" s="801">
        <f>IF(ISNUMBER('Base de datos Rutas'!CK142),'Base de datos Rutas'!CK142,"")</f>
        <v>22</v>
      </c>
      <c r="AU144" s="802">
        <f>IF(ISNUMBER('Base de datos Rutas'!CL142),'Base de datos Rutas'!CL142,"")</f>
        <v>22</v>
      </c>
      <c r="AV144" s="802">
        <f>IF(ISNUMBER('Base de datos Rutas'!CM142),'Base de datos Rutas'!CM142,"")</f>
        <v>0</v>
      </c>
      <c r="AW144" s="802" t="str">
        <f>IF(ISNUMBER('Base de datos Rutas'!CN142),'Base de datos Rutas'!CN142,"")</f>
        <v/>
      </c>
      <c r="AX144" s="802">
        <f>IF(ISNUMBER('Base de datos Rutas'!CO142),'Base de datos Rutas'!CO142,"")</f>
        <v>9.4499999999999993</v>
      </c>
      <c r="AY144" s="802">
        <f>IF(ISNUMBER('Base de datos Rutas'!CP142),'Base de datos Rutas'!CP142,"")</f>
        <v>9.4499999999999993</v>
      </c>
      <c r="AZ144" s="802" t="str">
        <f>IF(ISNUMBER('Base de datos Rutas'!CQ142),'Base de datos Rutas'!CQ142,"")</f>
        <v/>
      </c>
      <c r="BA144" s="802" t="str">
        <f>IF(ISNUMBER('Base de datos Rutas'!CR142),'Base de datos Rutas'!CR142,"")</f>
        <v/>
      </c>
      <c r="BB144" s="803">
        <f>IF(ISNUMBER('Base de datos Rutas'!CS142),'Base de datos Rutas'!CS142,"")</f>
        <v>0</v>
      </c>
      <c r="BC144" s="804" t="str">
        <f t="shared" si="105"/>
        <v/>
      </c>
      <c r="BD144" s="805" t="str">
        <f t="shared" si="106"/>
        <v>N/D</v>
      </c>
      <c r="BE144" s="806" t="str">
        <f t="shared" si="107"/>
        <v/>
      </c>
      <c r="BF144" s="890">
        <f>IF(ISNUMBER('Base de datos Rutas'!CX142),'Base de datos Rutas'!CX142/100,"")</f>
        <v>0</v>
      </c>
      <c r="BG144" s="891">
        <f>IF(ISNUMBER('Base de datos Rutas'!CZ142),'Base de datos Rutas'!CZ142/100,"")</f>
        <v>0</v>
      </c>
      <c r="BH144" s="892">
        <f>IF(ISNUMBER('Base de datos Rutas'!DA142),'Base de datos Rutas'!DA142,"")</f>
        <v>0</v>
      </c>
      <c r="BI144" s="893">
        <f>IF(ISNUMBER('Base de datos Rutas'!DC142),'Base de datos Rutas'!DC142,"")</f>
        <v>0</v>
      </c>
      <c r="BJ144" s="805" t="str">
        <f t="shared" si="108"/>
        <v>Ruta (completo)</v>
      </c>
      <c r="BK144" s="783">
        <f t="shared" si="96"/>
        <v>1</v>
      </c>
      <c r="BL144" s="797">
        <f t="shared" si="97"/>
        <v>1</v>
      </c>
      <c r="BM144" s="797">
        <f t="shared" si="98"/>
        <v>1</v>
      </c>
      <c r="BN144" s="797">
        <f t="shared" si="99"/>
        <v>1</v>
      </c>
      <c r="BO144" s="798" cm="1">
        <f t="array" ref="BO144">SUMPRODUCT(--ISNUMBER($BF144:$BI144),$BK$3:$BN$3)</f>
        <v>1</v>
      </c>
      <c r="BP144" s="831">
        <f t="shared" si="109"/>
        <v>0</v>
      </c>
      <c r="BQ144" s="834" t="str">
        <f t="shared" si="110"/>
        <v>Bajo</v>
      </c>
      <c r="BR144" s="836" t="str">
        <f t="shared" si="100"/>
        <v/>
      </c>
      <c r="BS144" s="836">
        <f t="shared" si="101"/>
        <v>0</v>
      </c>
      <c r="BT144" s="837" t="str">
        <f t="shared" si="102"/>
        <v>Sin datos</v>
      </c>
      <c r="BU144" s="807" t="str">
        <f t="shared" si="111"/>
        <v>Con espacio</v>
      </c>
      <c r="BV144" s="807" t="str">
        <f t="shared" si="103"/>
        <v>Zona de bajo potencial</v>
      </c>
      <c r="BW144" s="808" t="str">
        <f t="shared" si="104"/>
        <v>Sin datos</v>
      </c>
    </row>
    <row r="145" spans="1:75">
      <c r="A145" s="780" t="str">
        <f>'Base de datos Rutas'!A143</f>
        <v>Norte</v>
      </c>
      <c r="B145" s="781" t="str">
        <f>'Base de datos Rutas'!B143</f>
        <v>Chihuahua</v>
      </c>
      <c r="C145" s="781" t="str">
        <f>'Base de datos Rutas'!C143</f>
        <v>Planta Chihuahua</v>
      </c>
      <c r="D145" s="782">
        <f>IF(ISNUMBER('Base de datos Rutas'!D143),'Base de datos Rutas'!D143,"Sin código")</f>
        <v>308349</v>
      </c>
      <c r="E145" s="783" t="str">
        <f>'Base de datos Rutas'!F143</f>
        <v>Activa</v>
      </c>
      <c r="F145" s="784" t="str">
        <f>'Base de datos Rutas'!H143</f>
        <v>Sí</v>
      </c>
      <c r="G145" s="785">
        <f>IF(ISNUMBER('Base de datos Rutas'!BE143),'Base de datos Rutas'!BE143,"")</f>
        <v>1.6956521739130399</v>
      </c>
      <c r="H145" s="786">
        <f>IF(ISNUMBER('Base de datos Rutas'!BH143),'Base de datos Rutas'!BH143,"")</f>
        <v>1.05128205128205</v>
      </c>
      <c r="I145" s="788">
        <f>IFERROR(IF(OR(NOT(ISNUMBER('Base de datos Rutas'!O143)),N('Base de datos Rutas'!BK143)=0),"",'Base de datos Rutas'!O143/('Base de datos Rutas'!L143/'Base de datos Rutas'!BK143)),"")</f>
        <v>498.91891891891828</v>
      </c>
      <c r="J145" s="788">
        <f>IFERROR(IF(OR(NOT(ISNUMBER('Base de datos Rutas'!N143)),N('Base de datos Rutas'!BK143)=0),"",'Base de datos Rutas'!N143/('Base de datos Rutas'!L143/'Base de datos Rutas'!BK143)),"")</f>
        <v>142.42162162162145</v>
      </c>
      <c r="K145" s="788">
        <f>IFERROR(IF(OR(NOT(ISNUMBER('Base de datos Rutas'!J143)),N('Base de datos Rutas'!BK143)=0),"",'Base de datos Rutas'!J143/('Base de datos Rutas'!L143/'Base de datos Rutas'!BK143)),"")</f>
        <v>11.992057297297283</v>
      </c>
      <c r="L145" s="788">
        <f>IFERROR(IF(OR(NOT(ISNUMBER('Base de datos Rutas'!K143)),N('Base de datos Rutas'!BK143)=0),"",'Base de datos Rutas'!K143/('Base de datos Rutas'!L143/'Base de datos Rutas'!BK143)),"")</f>
        <v>4.2275364216216165</v>
      </c>
      <c r="M145" s="787">
        <f>IF(ISNUMBER('Base de datos Rutas'!AX143),'Base de datos Rutas'!AX143,"")</f>
        <v>464.53713793103498</v>
      </c>
      <c r="N145" s="790">
        <f>IFERROR(INDEX('Hoja de apoyo v2'!B$17:B$20,MATCH($A145,'Hoja de apoyo v2'!$A$17:$A$20,0)),"")</f>
        <v>74.190366972477051</v>
      </c>
      <c r="O145" s="791">
        <f>IFERROR(INDEX('Hoja de apoyo v2'!C$17:C$20,MATCH($A145,'Hoja de apoyo v2'!$A$17:$A$20,0)),"")</f>
        <v>0.71677657005077755</v>
      </c>
      <c r="P145" s="793">
        <f>IFERROR(INDEX('Hoja de apoyo v2'!D$17:D$20,MATCH($A145,'Hoja de apoyo v2'!$A$17:$A$20,0)),"")</f>
        <v>8755.1153350385739</v>
      </c>
      <c r="Q145" s="793">
        <f>IFERROR(INDEX('Hoja de apoyo v2'!E$17:E$20,MATCH($A145,'Hoja de apoyo v2'!$A$17:$A$20,0)),"")</f>
        <v>6098.2042779326393</v>
      </c>
      <c r="R145" s="793">
        <f>IFERROR(INDEX('Hoja de apoyo v2'!F$17:F$20,MATCH($A145,'Hoja de apoyo v2'!$A$17:$A$20,0)),"")</f>
        <v>389.08889713610301</v>
      </c>
      <c r="S145" s="793">
        <f>IFERROR(INDEX('Hoja de apoyo v2'!G$17:G$20,MATCH($A145,'Hoja de apoyo v2'!$A$17:$A$20,0)),"")</f>
        <v>67.90575167807188</v>
      </c>
      <c r="T145" s="792">
        <f>IFERROR(INDEX('Hoja de apoyo v2'!H$17:H$20,MATCH($A145,'Hoja de apoyo v2'!$A$17:$A$20,0)),"")</f>
        <v>258.90325471200998</v>
      </c>
      <c r="U145" s="794">
        <f t="shared" si="76"/>
        <v>2.2855422383098449E-2</v>
      </c>
      <c r="V145" s="795">
        <f t="shared" si="77"/>
        <v>1.4666802671961998</v>
      </c>
      <c r="W145" s="795">
        <f t="shared" si="78"/>
        <v>5.6985990455455278E-2</v>
      </c>
      <c r="X145" s="843">
        <f t="shared" si="79"/>
        <v>2.3354681990073314E-2</v>
      </c>
      <c r="Y145" s="843">
        <f t="shared" si="80"/>
        <v>3.0820867379061884E-2</v>
      </c>
      <c r="Z145" s="843">
        <f t="shared" si="81"/>
        <v>6.2255940287113738E-2</v>
      </c>
      <c r="AA145" s="843">
        <f t="shared" si="82"/>
        <v>1.7942498963474254</v>
      </c>
      <c r="AB145" s="796">
        <f t="shared" si="83"/>
        <v>1</v>
      </c>
      <c r="AC145" s="797">
        <f t="shared" si="84"/>
        <v>5</v>
      </c>
      <c r="AD145" s="797">
        <f t="shared" si="85"/>
        <v>1</v>
      </c>
      <c r="AE145" s="842">
        <f t="shared" si="86"/>
        <v>1</v>
      </c>
      <c r="AF145" s="842">
        <f t="shared" si="87"/>
        <v>1</v>
      </c>
      <c r="AG145" s="842">
        <f t="shared" si="88"/>
        <v>1</v>
      </c>
      <c r="AH145" s="842">
        <f t="shared" si="89"/>
        <v>5</v>
      </c>
      <c r="AI145" s="826" cm="1">
        <f t="array" ref="AI145">SUMPRODUCT(--ISNUMBER($U145:$AA145),$AB$3:$AH$3)</f>
        <v>1</v>
      </c>
      <c r="AJ145" s="829">
        <f t="shared" si="90"/>
        <v>18.510533704868177</v>
      </c>
      <c r="AK145" s="827" t="str">
        <f t="shared" si="91"/>
        <v>Inmadura</v>
      </c>
      <c r="AL145" s="784" t="str">
        <f t="shared" si="92"/>
        <v>Alta</v>
      </c>
      <c r="AM145" s="799">
        <f>IF(ISNUMBER('Base de datos Rutas'!W143),'Base de datos Rutas'!W143,"")</f>
        <v>2692.8351820114153</v>
      </c>
      <c r="AN145" s="787">
        <f>IFERROR(SUMIFS('Base de datos Rutas'!$W$6:$W$794,'Base de datos Rutas'!$C$6:$C$794,$C145)/'Base de datos Rutas'!I143,"")</f>
        <v>2692.8351820114153</v>
      </c>
      <c r="AO145" s="800">
        <f>IFERROR('Base de datos Rutas'!X143*AN145/AM145,"")</f>
        <v>0.53269852604487389</v>
      </c>
      <c r="AP145" s="800">
        <f t="shared" si="93"/>
        <v>0.46730147395512611</v>
      </c>
      <c r="AQ145" s="789">
        <f>IFERROR(INDEX('Hoja de apoyo v2'!$J$17:$J$20,MATCH($A145,'Hoja de apoyo v2'!$A$17:$A$20,0)),"")</f>
        <v>0.62197445417222763</v>
      </c>
      <c r="AR145" s="789">
        <f t="shared" si="94"/>
        <v>-0.15467298021710152</v>
      </c>
      <c r="AS145" s="784" t="str">
        <f t="shared" si="95"/>
        <v>No</v>
      </c>
      <c r="AT145" s="801" t="str">
        <f>IF(ISNUMBER('Base de datos Rutas'!CK143),'Base de datos Rutas'!CK143,"")</f>
        <v/>
      </c>
      <c r="AU145" s="802" t="str">
        <f>IF(ISNUMBER('Base de datos Rutas'!CL143),'Base de datos Rutas'!CL143,"")</f>
        <v/>
      </c>
      <c r="AV145" s="802">
        <f>IF(ISNUMBER('Base de datos Rutas'!CM143),'Base de datos Rutas'!CM143,"")</f>
        <v>0</v>
      </c>
      <c r="AW145" s="802" t="str">
        <f>IF(ISNUMBER('Base de datos Rutas'!CN143),'Base de datos Rutas'!CN143,"")</f>
        <v/>
      </c>
      <c r="AX145" s="802" t="str">
        <f>IF(ISNUMBER('Base de datos Rutas'!CO143),'Base de datos Rutas'!CO143,"")</f>
        <v/>
      </c>
      <c r="AY145" s="802">
        <f>IF(ISNUMBER('Base de datos Rutas'!CP143),'Base de datos Rutas'!CP143,"")</f>
        <v>0</v>
      </c>
      <c r="AZ145" s="802" t="str">
        <f>IF(ISNUMBER('Base de datos Rutas'!CQ143),'Base de datos Rutas'!CQ143,"")</f>
        <v/>
      </c>
      <c r="BA145" s="802" t="str">
        <f>IF(ISNUMBER('Base de datos Rutas'!CR143),'Base de datos Rutas'!CR143,"")</f>
        <v/>
      </c>
      <c r="BB145" s="803">
        <f>IF(ISNUMBER('Base de datos Rutas'!CS143),'Base de datos Rutas'!CS143,"")</f>
        <v>0</v>
      </c>
      <c r="BC145" s="804" t="str">
        <f t="shared" si="105"/>
        <v/>
      </c>
      <c r="BD145" s="805" t="str">
        <f t="shared" si="106"/>
        <v>N/D</v>
      </c>
      <c r="BE145" s="806" t="str">
        <f t="shared" si="107"/>
        <v/>
      </c>
      <c r="BF145" s="890" t="str">
        <f>IF(ISNUMBER('Base de datos Rutas'!CX143),'Base de datos Rutas'!CX143/100,"")</f>
        <v/>
      </c>
      <c r="BG145" s="891" t="str">
        <f>IF(ISNUMBER('Base de datos Rutas'!CZ143),'Base de datos Rutas'!CZ143/100,"")</f>
        <v/>
      </c>
      <c r="BH145" s="892" t="str">
        <f>IF(ISNUMBER('Base de datos Rutas'!DA143),'Base de datos Rutas'!DA143,"")</f>
        <v/>
      </c>
      <c r="BI145" s="893" t="str">
        <f>IF(ISNUMBER('Base de datos Rutas'!DC143),'Base de datos Rutas'!DC143,"")</f>
        <v/>
      </c>
      <c r="BJ145" s="805" t="str">
        <f t="shared" si="108"/>
        <v>Sin dato</v>
      </c>
      <c r="BK145" s="783">
        <f t="shared" si="96"/>
        <v>0</v>
      </c>
      <c r="BL145" s="797">
        <f t="shared" si="97"/>
        <v>0</v>
      </c>
      <c r="BM145" s="797">
        <f t="shared" si="98"/>
        <v>0</v>
      </c>
      <c r="BN145" s="797">
        <f t="shared" si="99"/>
        <v>0</v>
      </c>
      <c r="BO145" s="798" cm="1">
        <f t="array" ref="BO145">SUMPRODUCT(--ISNUMBER($BF145:$BI145),$BK$3:$BN$3)</f>
        <v>0</v>
      </c>
      <c r="BP145" s="831" t="str">
        <f t="shared" si="109"/>
        <v/>
      </c>
      <c r="BQ145" s="834" t="str">
        <f t="shared" si="110"/>
        <v>Sin datos</v>
      </c>
      <c r="BR145" s="836" t="str">
        <f t="shared" si="100"/>
        <v/>
      </c>
      <c r="BS145" s="836" t="str">
        <f t="shared" si="101"/>
        <v/>
      </c>
      <c r="BT145" s="837" t="str">
        <f t="shared" si="102"/>
        <v>Sin datos</v>
      </c>
      <c r="BU145" s="807" t="str">
        <f t="shared" si="111"/>
        <v>Con espacio</v>
      </c>
      <c r="BV145" s="807" t="str">
        <f t="shared" si="103"/>
        <v>Sin datos de zona</v>
      </c>
      <c r="BW145" s="808" t="str">
        <f t="shared" si="104"/>
        <v>Sin datos</v>
      </c>
    </row>
    <row r="146" spans="1:75">
      <c r="A146" s="780" t="str">
        <f>'Base de datos Rutas'!A144</f>
        <v>Norte</v>
      </c>
      <c r="B146" s="781" t="str">
        <f>'Base de datos Rutas'!B144</f>
        <v>No está en EERR</v>
      </c>
      <c r="C146" s="781" t="str">
        <f>'Base de datos Rutas'!C144</f>
        <v>Sucursal Delicias</v>
      </c>
      <c r="D146" s="782" t="str">
        <f>IF(ISNUMBER('Base de datos Rutas'!D144),'Base de datos Rutas'!D144,"Sin código")</f>
        <v>Sin código</v>
      </c>
      <c r="E146" s="783" t="str">
        <f>'Base de datos Rutas'!F144</f>
        <v>Sin código</v>
      </c>
      <c r="F146" s="784" t="str">
        <f>'Base de datos Rutas'!H144</f>
        <v>No</v>
      </c>
      <c r="G146" s="785" t="str">
        <f>IF(ISNUMBER('Base de datos Rutas'!BE144),'Base de datos Rutas'!BE144,"")</f>
        <v/>
      </c>
      <c r="H146" s="786" t="str">
        <f>IF(ISNUMBER('Base de datos Rutas'!BH144),'Base de datos Rutas'!BH144,"")</f>
        <v/>
      </c>
      <c r="I146" s="788" t="str">
        <f>IFERROR(IF(OR(NOT(ISNUMBER('Base de datos Rutas'!O144)),N('Base de datos Rutas'!BK144)=0),"",'Base de datos Rutas'!O144/('Base de datos Rutas'!L144/'Base de datos Rutas'!BK144)),"")</f>
        <v/>
      </c>
      <c r="J146" s="788" t="str">
        <f>IFERROR(IF(OR(NOT(ISNUMBER('Base de datos Rutas'!N144)),N('Base de datos Rutas'!BK144)=0),"",'Base de datos Rutas'!N144/('Base de datos Rutas'!L144/'Base de datos Rutas'!BK144)),"")</f>
        <v/>
      </c>
      <c r="K146" s="788" t="str">
        <f>IFERROR(IF(OR(NOT(ISNUMBER('Base de datos Rutas'!J144)),N('Base de datos Rutas'!BK144)=0),"",'Base de datos Rutas'!J144/('Base de datos Rutas'!L144/'Base de datos Rutas'!BK144)),"")</f>
        <v/>
      </c>
      <c r="L146" s="788" t="str">
        <f>IFERROR(IF(OR(NOT(ISNUMBER('Base de datos Rutas'!K144)),N('Base de datos Rutas'!BK144)=0),"",'Base de datos Rutas'!K144/('Base de datos Rutas'!L144/'Base de datos Rutas'!BK144)),"")</f>
        <v/>
      </c>
      <c r="M146" s="787">
        <f>IF(ISNUMBER('Base de datos Rutas'!AX144),'Base de datos Rutas'!AX144,"")</f>
        <v>404.59479108635099</v>
      </c>
      <c r="N146" s="790">
        <f>IFERROR(INDEX('Hoja de apoyo v2'!B$17:B$20,MATCH($A146,'Hoja de apoyo v2'!$A$17:$A$20,0)),"")</f>
        <v>74.190366972477051</v>
      </c>
      <c r="O146" s="791">
        <f>IFERROR(INDEX('Hoja de apoyo v2'!C$17:C$20,MATCH($A146,'Hoja de apoyo v2'!$A$17:$A$20,0)),"")</f>
        <v>0.71677657005077755</v>
      </c>
      <c r="P146" s="793">
        <f>IFERROR(INDEX('Hoja de apoyo v2'!D$17:D$20,MATCH($A146,'Hoja de apoyo v2'!$A$17:$A$20,0)),"")</f>
        <v>8755.1153350385739</v>
      </c>
      <c r="Q146" s="793">
        <f>IFERROR(INDEX('Hoja de apoyo v2'!E$17:E$20,MATCH($A146,'Hoja de apoyo v2'!$A$17:$A$20,0)),"")</f>
        <v>6098.2042779326393</v>
      </c>
      <c r="R146" s="793">
        <f>IFERROR(INDEX('Hoja de apoyo v2'!F$17:F$20,MATCH($A146,'Hoja de apoyo v2'!$A$17:$A$20,0)),"")</f>
        <v>389.08889713610301</v>
      </c>
      <c r="S146" s="793">
        <f>IFERROR(INDEX('Hoja de apoyo v2'!G$17:G$20,MATCH($A146,'Hoja de apoyo v2'!$A$17:$A$20,0)),"")</f>
        <v>67.90575167807188</v>
      </c>
      <c r="T146" s="792">
        <f>IFERROR(INDEX('Hoja de apoyo v2'!H$17:H$20,MATCH($A146,'Hoja de apoyo v2'!$A$17:$A$20,0)),"")</f>
        <v>258.90325471200998</v>
      </c>
      <c r="U146" s="794" t="str">
        <f t="shared" si="76"/>
        <v/>
      </c>
      <c r="V146" s="795" t="str">
        <f t="shared" si="77"/>
        <v/>
      </c>
      <c r="W146" s="795" t="str">
        <f t="shared" si="78"/>
        <v/>
      </c>
      <c r="X146" s="843" t="str">
        <f t="shared" si="79"/>
        <v/>
      </c>
      <c r="Y146" s="843" t="str">
        <f t="shared" si="80"/>
        <v/>
      </c>
      <c r="Z146" s="843" t="str">
        <f t="shared" si="81"/>
        <v/>
      </c>
      <c r="AA146" s="843">
        <f t="shared" si="82"/>
        <v>1.5627257816299005</v>
      </c>
      <c r="AB146" s="796">
        <f t="shared" si="83"/>
        <v>0</v>
      </c>
      <c r="AC146" s="797">
        <f t="shared" si="84"/>
        <v>0</v>
      </c>
      <c r="AD146" s="797">
        <f t="shared" si="85"/>
        <v>0</v>
      </c>
      <c r="AE146" s="842">
        <f t="shared" si="86"/>
        <v>0</v>
      </c>
      <c r="AF146" s="842">
        <f t="shared" si="87"/>
        <v>0</v>
      </c>
      <c r="AG146" s="842">
        <f t="shared" si="88"/>
        <v>0</v>
      </c>
      <c r="AH146" s="842">
        <f t="shared" si="89"/>
        <v>5</v>
      </c>
      <c r="AI146" s="826" cm="1">
        <f t="array" ref="AI146">SUMPRODUCT(--ISNUMBER($U146:$AA146),$AB$3:$AH$3)</f>
        <v>8.9789113613062493E-2</v>
      </c>
      <c r="AJ146" s="829" t="str">
        <f t="shared" si="90"/>
        <v/>
      </c>
      <c r="AK146" s="827" t="str">
        <f t="shared" si="91"/>
        <v>Ruta inactiva</v>
      </c>
      <c r="AL146" s="784" t="str">
        <f t="shared" si="92"/>
        <v>n/a</v>
      </c>
      <c r="AM146" s="799" t="str">
        <f>IF(ISNUMBER('Base de datos Rutas'!W144),'Base de datos Rutas'!W144,"")</f>
        <v/>
      </c>
      <c r="AN146" s="787">
        <f>IFERROR(SUMIFS('Base de datos Rutas'!$W$6:$W$794,'Base de datos Rutas'!$C$6:$C$794,$C146)/'Base de datos Rutas'!I144,"")</f>
        <v>0</v>
      </c>
      <c r="AO146" s="800" t="str">
        <f>IFERROR('Base de datos Rutas'!X144*AN146/AM146,"")</f>
        <v/>
      </c>
      <c r="AP146" s="800" t="str">
        <f t="shared" si="93"/>
        <v/>
      </c>
      <c r="AQ146" s="789">
        <f>IFERROR(INDEX('Hoja de apoyo v2'!$J$17:$J$20,MATCH($A146,'Hoja de apoyo v2'!$A$17:$A$20,0)),"")</f>
        <v>0.62197445417222763</v>
      </c>
      <c r="AR146" s="789" t="str">
        <f t="shared" si="94"/>
        <v/>
      </c>
      <c r="AS146" s="784" t="str">
        <f t="shared" si="95"/>
        <v>n/d</v>
      </c>
      <c r="AT146" s="801" t="str">
        <f>IF(ISNUMBER('Base de datos Rutas'!CK144),'Base de datos Rutas'!CK144,"")</f>
        <v/>
      </c>
      <c r="AU146" s="802" t="str">
        <f>IF(ISNUMBER('Base de datos Rutas'!CL144),'Base de datos Rutas'!CL144,"")</f>
        <v/>
      </c>
      <c r="AV146" s="802">
        <f>IF(ISNUMBER('Base de datos Rutas'!CM144),'Base de datos Rutas'!CM144,"")</f>
        <v>0</v>
      </c>
      <c r="AW146" s="802" t="str">
        <f>IF(ISNUMBER('Base de datos Rutas'!CN144),'Base de datos Rutas'!CN144,"")</f>
        <v/>
      </c>
      <c r="AX146" s="802" t="str">
        <f>IF(ISNUMBER('Base de datos Rutas'!CO144),'Base de datos Rutas'!CO144,"")</f>
        <v/>
      </c>
      <c r="AY146" s="802">
        <f>IF(ISNUMBER('Base de datos Rutas'!CP144),'Base de datos Rutas'!CP144,"")</f>
        <v>0</v>
      </c>
      <c r="AZ146" s="802" t="str">
        <f>IF(ISNUMBER('Base de datos Rutas'!CQ144),'Base de datos Rutas'!CQ144,"")</f>
        <v/>
      </c>
      <c r="BA146" s="802" t="str">
        <f>IF(ISNUMBER('Base de datos Rutas'!CR144),'Base de datos Rutas'!CR144,"")</f>
        <v/>
      </c>
      <c r="BB146" s="803">
        <f>IF(ISNUMBER('Base de datos Rutas'!CS144),'Base de datos Rutas'!CS144,"")</f>
        <v>0</v>
      </c>
      <c r="BC146" s="804" t="str">
        <f t="shared" si="105"/>
        <v/>
      </c>
      <c r="BD146" s="805" t="str">
        <f t="shared" si="106"/>
        <v>N/D</v>
      </c>
      <c r="BE146" s="806" t="str">
        <f t="shared" si="107"/>
        <v/>
      </c>
      <c r="BF146" s="890" t="str">
        <f>IF(ISNUMBER('Base de datos Rutas'!CX144),'Base de datos Rutas'!CX144/100,"")</f>
        <v/>
      </c>
      <c r="BG146" s="891" t="str">
        <f>IF(ISNUMBER('Base de datos Rutas'!CZ144),'Base de datos Rutas'!CZ144/100,"")</f>
        <v/>
      </c>
      <c r="BH146" s="892" t="str">
        <f>IF(ISNUMBER('Base de datos Rutas'!DA144),'Base de datos Rutas'!DA144,"")</f>
        <v/>
      </c>
      <c r="BI146" s="893" t="str">
        <f>IF(ISNUMBER('Base de datos Rutas'!DC144),'Base de datos Rutas'!DC144,"")</f>
        <v/>
      </c>
      <c r="BJ146" s="805" t="str">
        <f t="shared" si="108"/>
        <v>Sin dato</v>
      </c>
      <c r="BK146" s="783">
        <f t="shared" si="96"/>
        <v>0</v>
      </c>
      <c r="BL146" s="797">
        <f t="shared" si="97"/>
        <v>0</v>
      </c>
      <c r="BM146" s="797">
        <f t="shared" si="98"/>
        <v>0</v>
      </c>
      <c r="BN146" s="797">
        <f t="shared" si="99"/>
        <v>0</v>
      </c>
      <c r="BO146" s="798" cm="1">
        <f t="array" ref="BO146">SUMPRODUCT(--ISNUMBER($BF146:$BI146),$BK$3:$BN$3)</f>
        <v>0</v>
      </c>
      <c r="BP146" s="831" t="str">
        <f t="shared" si="109"/>
        <v/>
      </c>
      <c r="BQ146" s="834" t="str">
        <f t="shared" si="110"/>
        <v>Sin datos</v>
      </c>
      <c r="BR146" s="836" t="str">
        <f t="shared" si="100"/>
        <v/>
      </c>
      <c r="BS146" s="836" t="str">
        <f t="shared" si="101"/>
        <v/>
      </c>
      <c r="BT146" s="837" t="str">
        <f t="shared" si="102"/>
        <v>Sin datos</v>
      </c>
      <c r="BU146" s="807" t="str">
        <f t="shared" si="111"/>
        <v>No evaluable</v>
      </c>
      <c r="BV146" s="807" t="str">
        <f t="shared" si="103"/>
        <v>No evaluable</v>
      </c>
      <c r="BW146" s="808" t="str">
        <f t="shared" si="104"/>
        <v>Sin datos</v>
      </c>
    </row>
    <row r="147" spans="1:75">
      <c r="A147" s="780" t="str">
        <f>'Base de datos Rutas'!A145</f>
        <v>Norte</v>
      </c>
      <c r="B147" s="781" t="str">
        <f>'Base de datos Rutas'!B145</f>
        <v>No está en EERR</v>
      </c>
      <c r="C147" s="781" t="str">
        <f>'Base de datos Rutas'!C145</f>
        <v>Sucursal Parral</v>
      </c>
      <c r="D147" s="782" t="str">
        <f>IF(ISNUMBER('Base de datos Rutas'!D145),'Base de datos Rutas'!D145,"Sin código")</f>
        <v>Sin código</v>
      </c>
      <c r="E147" s="783" t="str">
        <f>'Base de datos Rutas'!F145</f>
        <v>Sin código</v>
      </c>
      <c r="F147" s="784" t="str">
        <f>'Base de datos Rutas'!H145</f>
        <v>No</v>
      </c>
      <c r="G147" s="785" t="str">
        <f>IF(ISNUMBER('Base de datos Rutas'!BE145),'Base de datos Rutas'!BE145,"")</f>
        <v/>
      </c>
      <c r="H147" s="786" t="str">
        <f>IF(ISNUMBER('Base de datos Rutas'!BH145),'Base de datos Rutas'!BH145,"")</f>
        <v/>
      </c>
      <c r="I147" s="788" t="str">
        <f>IFERROR(IF(OR(NOT(ISNUMBER('Base de datos Rutas'!O145)),N('Base de datos Rutas'!BK145)=0),"",'Base de datos Rutas'!O145/('Base de datos Rutas'!L145/'Base de datos Rutas'!BK145)),"")</f>
        <v/>
      </c>
      <c r="J147" s="788" t="str">
        <f>IFERROR(IF(OR(NOT(ISNUMBER('Base de datos Rutas'!N145)),N('Base de datos Rutas'!BK145)=0),"",'Base de datos Rutas'!N145/('Base de datos Rutas'!L145/'Base de datos Rutas'!BK145)),"")</f>
        <v/>
      </c>
      <c r="K147" s="788" t="str">
        <f>IFERROR(IF(OR(NOT(ISNUMBER('Base de datos Rutas'!J145)),N('Base de datos Rutas'!BK145)=0),"",'Base de datos Rutas'!J145/('Base de datos Rutas'!L145/'Base de datos Rutas'!BK145)),"")</f>
        <v/>
      </c>
      <c r="L147" s="788" t="str">
        <f>IFERROR(IF(OR(NOT(ISNUMBER('Base de datos Rutas'!K145)),N('Base de datos Rutas'!BK145)=0),"",'Base de datos Rutas'!K145/('Base de datos Rutas'!L145/'Base de datos Rutas'!BK145)),"")</f>
        <v/>
      </c>
      <c r="M147" s="787">
        <f>IF(ISNUMBER('Base de datos Rutas'!AX145),'Base de datos Rutas'!AX145,"")</f>
        <v>472.95370445344099</v>
      </c>
      <c r="N147" s="790">
        <f>IFERROR(INDEX('Hoja de apoyo v2'!B$17:B$20,MATCH($A147,'Hoja de apoyo v2'!$A$17:$A$20,0)),"")</f>
        <v>74.190366972477051</v>
      </c>
      <c r="O147" s="791">
        <f>IFERROR(INDEX('Hoja de apoyo v2'!C$17:C$20,MATCH($A147,'Hoja de apoyo v2'!$A$17:$A$20,0)),"")</f>
        <v>0.71677657005077755</v>
      </c>
      <c r="P147" s="793">
        <f>IFERROR(INDEX('Hoja de apoyo v2'!D$17:D$20,MATCH($A147,'Hoja de apoyo v2'!$A$17:$A$20,0)),"")</f>
        <v>8755.1153350385739</v>
      </c>
      <c r="Q147" s="793">
        <f>IFERROR(INDEX('Hoja de apoyo v2'!E$17:E$20,MATCH($A147,'Hoja de apoyo v2'!$A$17:$A$20,0)),"")</f>
        <v>6098.2042779326393</v>
      </c>
      <c r="R147" s="793">
        <f>IFERROR(INDEX('Hoja de apoyo v2'!F$17:F$20,MATCH($A147,'Hoja de apoyo v2'!$A$17:$A$20,0)),"")</f>
        <v>389.08889713610301</v>
      </c>
      <c r="S147" s="793">
        <f>IFERROR(INDEX('Hoja de apoyo v2'!G$17:G$20,MATCH($A147,'Hoja de apoyo v2'!$A$17:$A$20,0)),"")</f>
        <v>67.90575167807188</v>
      </c>
      <c r="T147" s="792">
        <f>IFERROR(INDEX('Hoja de apoyo v2'!H$17:H$20,MATCH($A147,'Hoja de apoyo v2'!$A$17:$A$20,0)),"")</f>
        <v>258.90325471200998</v>
      </c>
      <c r="U147" s="794" t="str">
        <f t="shared" si="76"/>
        <v/>
      </c>
      <c r="V147" s="795" t="str">
        <f t="shared" si="77"/>
        <v/>
      </c>
      <c r="W147" s="795" t="str">
        <f t="shared" si="78"/>
        <v/>
      </c>
      <c r="X147" s="843" t="str">
        <f t="shared" si="79"/>
        <v/>
      </c>
      <c r="Y147" s="843" t="str">
        <f t="shared" si="80"/>
        <v/>
      </c>
      <c r="Z147" s="843" t="str">
        <f t="shared" si="81"/>
        <v/>
      </c>
      <c r="AA147" s="843">
        <f t="shared" si="82"/>
        <v>1.8267584352291328</v>
      </c>
      <c r="AB147" s="796">
        <f t="shared" si="83"/>
        <v>0</v>
      </c>
      <c r="AC147" s="797">
        <f t="shared" si="84"/>
        <v>0</v>
      </c>
      <c r="AD147" s="797">
        <f t="shared" si="85"/>
        <v>0</v>
      </c>
      <c r="AE147" s="842">
        <f t="shared" si="86"/>
        <v>0</v>
      </c>
      <c r="AF147" s="842">
        <f t="shared" si="87"/>
        <v>0</v>
      </c>
      <c r="AG147" s="842">
        <f t="shared" si="88"/>
        <v>0</v>
      </c>
      <c r="AH147" s="842">
        <f t="shared" si="89"/>
        <v>5</v>
      </c>
      <c r="AI147" s="826" cm="1">
        <f t="array" ref="AI147">SUMPRODUCT(--ISNUMBER($U147:$AA147),$AB$3:$AH$3)</f>
        <v>8.9789113613062493E-2</v>
      </c>
      <c r="AJ147" s="829" t="str">
        <f t="shared" si="90"/>
        <v/>
      </c>
      <c r="AK147" s="827" t="str">
        <f t="shared" si="91"/>
        <v>Ruta inactiva</v>
      </c>
      <c r="AL147" s="784" t="str">
        <f t="shared" si="92"/>
        <v>n/a</v>
      </c>
      <c r="AM147" s="799" t="str">
        <f>IF(ISNUMBER('Base de datos Rutas'!W145),'Base de datos Rutas'!W145,"")</f>
        <v/>
      </c>
      <c r="AN147" s="787">
        <f>IFERROR(SUMIFS('Base de datos Rutas'!$W$6:$W$794,'Base de datos Rutas'!$C$6:$C$794,$C147)/'Base de datos Rutas'!I145,"")</f>
        <v>0</v>
      </c>
      <c r="AO147" s="800" t="str">
        <f>IFERROR('Base de datos Rutas'!X145*AN147/AM147,"")</f>
        <v/>
      </c>
      <c r="AP147" s="800" t="str">
        <f t="shared" si="93"/>
        <v/>
      </c>
      <c r="AQ147" s="789">
        <f>IFERROR(INDEX('Hoja de apoyo v2'!$J$17:$J$20,MATCH($A147,'Hoja de apoyo v2'!$A$17:$A$20,0)),"")</f>
        <v>0.62197445417222763</v>
      </c>
      <c r="AR147" s="789" t="str">
        <f t="shared" si="94"/>
        <v/>
      </c>
      <c r="AS147" s="784" t="str">
        <f t="shared" si="95"/>
        <v>n/d</v>
      </c>
      <c r="AT147" s="801" t="str">
        <f>IF(ISNUMBER('Base de datos Rutas'!CK145),'Base de datos Rutas'!CK145,"")</f>
        <v/>
      </c>
      <c r="AU147" s="802" t="str">
        <f>IF(ISNUMBER('Base de datos Rutas'!CL145),'Base de datos Rutas'!CL145,"")</f>
        <v/>
      </c>
      <c r="AV147" s="802">
        <f>IF(ISNUMBER('Base de datos Rutas'!CM145),'Base de datos Rutas'!CM145,"")</f>
        <v>0</v>
      </c>
      <c r="AW147" s="802" t="str">
        <f>IF(ISNUMBER('Base de datos Rutas'!CN145),'Base de datos Rutas'!CN145,"")</f>
        <v/>
      </c>
      <c r="AX147" s="802" t="str">
        <f>IF(ISNUMBER('Base de datos Rutas'!CO145),'Base de datos Rutas'!CO145,"")</f>
        <v/>
      </c>
      <c r="AY147" s="802">
        <f>IF(ISNUMBER('Base de datos Rutas'!CP145),'Base de datos Rutas'!CP145,"")</f>
        <v>0</v>
      </c>
      <c r="AZ147" s="802" t="str">
        <f>IF(ISNUMBER('Base de datos Rutas'!CQ145),'Base de datos Rutas'!CQ145,"")</f>
        <v/>
      </c>
      <c r="BA147" s="802" t="str">
        <f>IF(ISNUMBER('Base de datos Rutas'!CR145),'Base de datos Rutas'!CR145,"")</f>
        <v/>
      </c>
      <c r="BB147" s="803">
        <f>IF(ISNUMBER('Base de datos Rutas'!CS145),'Base de datos Rutas'!CS145,"")</f>
        <v>0</v>
      </c>
      <c r="BC147" s="804" t="str">
        <f t="shared" si="105"/>
        <v/>
      </c>
      <c r="BD147" s="805" t="str">
        <f t="shared" si="106"/>
        <v>N/D</v>
      </c>
      <c r="BE147" s="806" t="str">
        <f t="shared" si="107"/>
        <v/>
      </c>
      <c r="BF147" s="890" t="str">
        <f>IF(ISNUMBER('Base de datos Rutas'!CX145),'Base de datos Rutas'!CX145/100,"")</f>
        <v/>
      </c>
      <c r="BG147" s="891" t="str">
        <f>IF(ISNUMBER('Base de datos Rutas'!CZ145),'Base de datos Rutas'!CZ145/100,"")</f>
        <v/>
      </c>
      <c r="BH147" s="892" t="str">
        <f>IF(ISNUMBER('Base de datos Rutas'!DA145),'Base de datos Rutas'!DA145,"")</f>
        <v/>
      </c>
      <c r="BI147" s="893" t="str">
        <f>IF(ISNUMBER('Base de datos Rutas'!DC145),'Base de datos Rutas'!DC145,"")</f>
        <v/>
      </c>
      <c r="BJ147" s="805" t="str">
        <f t="shared" si="108"/>
        <v>Sin dato</v>
      </c>
      <c r="BK147" s="783">
        <f t="shared" si="96"/>
        <v>0</v>
      </c>
      <c r="BL147" s="797">
        <f t="shared" si="97"/>
        <v>0</v>
      </c>
      <c r="BM147" s="797">
        <f t="shared" si="98"/>
        <v>0</v>
      </c>
      <c r="BN147" s="797">
        <f t="shared" si="99"/>
        <v>0</v>
      </c>
      <c r="BO147" s="798" cm="1">
        <f t="array" ref="BO147">SUMPRODUCT(--ISNUMBER($BF147:$BI147),$BK$3:$BN$3)</f>
        <v>0</v>
      </c>
      <c r="BP147" s="831" t="str">
        <f t="shared" si="109"/>
        <v/>
      </c>
      <c r="BQ147" s="834" t="str">
        <f t="shared" si="110"/>
        <v>Sin datos</v>
      </c>
      <c r="BR147" s="836" t="str">
        <f t="shared" si="100"/>
        <v/>
      </c>
      <c r="BS147" s="836" t="str">
        <f t="shared" si="101"/>
        <v/>
      </c>
      <c r="BT147" s="837" t="str">
        <f t="shared" si="102"/>
        <v>Sin datos</v>
      </c>
      <c r="BU147" s="807" t="str">
        <f t="shared" si="111"/>
        <v>No evaluable</v>
      </c>
      <c r="BV147" s="807" t="str">
        <f t="shared" si="103"/>
        <v>No evaluable</v>
      </c>
      <c r="BW147" s="808" t="str">
        <f t="shared" si="104"/>
        <v>Sin datos</v>
      </c>
    </row>
    <row r="148" spans="1:75">
      <c r="A148" s="780" t="str">
        <f>'Base de datos Rutas'!A146</f>
        <v>Norte</v>
      </c>
      <c r="B148" s="781" t="str">
        <f>'Base de datos Rutas'!B146</f>
        <v>Guadiana</v>
      </c>
      <c r="C148" s="781" t="str">
        <f>'Base de datos Rutas'!C146</f>
        <v>Planta Guadiana</v>
      </c>
      <c r="D148" s="782">
        <f>IF(ISNUMBER('Base de datos Rutas'!D146),'Base de datos Rutas'!D146,"Sin código")</f>
        <v>931400</v>
      </c>
      <c r="E148" s="783" t="str">
        <f>'Base de datos Rutas'!F146</f>
        <v>Activa</v>
      </c>
      <c r="F148" s="784" t="str">
        <f>'Base de datos Rutas'!H146</f>
        <v>Sí</v>
      </c>
      <c r="G148" s="785">
        <f>IF(ISNUMBER('Base de datos Rutas'!BE146),'Base de datos Rutas'!BE146,"")</f>
        <v>59.731034482758602</v>
      </c>
      <c r="H148" s="786">
        <f>IF(ISNUMBER('Base de datos Rutas'!BH146),'Base de datos Rutas'!BH146,"")</f>
        <v>0.68225378131855396</v>
      </c>
      <c r="I148" s="788">
        <f>IFERROR(IF(OR(NOT(ISNUMBER('Base de datos Rutas'!O146)),N('Base de datos Rutas'!BK146)=0),"",'Base de datos Rutas'!O146/('Base de datos Rutas'!L146/'Base de datos Rutas'!BK146)),"")</f>
        <v>3339.2000000000021</v>
      </c>
      <c r="J148" s="788">
        <f>IFERROR(IF(OR(NOT(ISNUMBER('Base de datos Rutas'!N146)),N('Base de datos Rutas'!BK146)=0),"",'Base de datos Rutas'!N146/('Base de datos Rutas'!L146/'Base de datos Rutas'!BK146)),"")</f>
        <v>8252.4413793103504</v>
      </c>
      <c r="K148" s="788">
        <f>IFERROR(IF(OR(NOT(ISNUMBER('Base de datos Rutas'!J146)),N('Base de datos Rutas'!BK146)=0),"",'Base de datos Rutas'!J146/('Base de datos Rutas'!L146/'Base de datos Rutas'!BK146)),"")</f>
        <v>564.89579034482801</v>
      </c>
      <c r="L148" s="788">
        <f>IFERROR(IF(OR(NOT(ISNUMBER('Base de datos Rutas'!K146)),N('Base de datos Rutas'!BK146)=0),"",'Base de datos Rutas'!K146/('Base de datos Rutas'!L146/'Base de datos Rutas'!BK146)),"")</f>
        <v>30.039797108045995</v>
      </c>
      <c r="M148" s="787">
        <f>IF(ISNUMBER('Base de datos Rutas'!AX146),'Base de datos Rutas'!AX146,"")</f>
        <v>284.445327466577</v>
      </c>
      <c r="N148" s="790">
        <f>IFERROR(INDEX('Hoja de apoyo v2'!B$17:B$20,MATCH($A148,'Hoja de apoyo v2'!$A$17:$A$20,0)),"")</f>
        <v>74.190366972477051</v>
      </c>
      <c r="O148" s="791">
        <f>IFERROR(INDEX('Hoja de apoyo v2'!C$17:C$20,MATCH($A148,'Hoja de apoyo v2'!$A$17:$A$20,0)),"")</f>
        <v>0.71677657005077755</v>
      </c>
      <c r="P148" s="793">
        <f>IFERROR(INDEX('Hoja de apoyo v2'!D$17:D$20,MATCH($A148,'Hoja de apoyo v2'!$A$17:$A$20,0)),"")</f>
        <v>8755.1153350385739</v>
      </c>
      <c r="Q148" s="793">
        <f>IFERROR(INDEX('Hoja de apoyo v2'!E$17:E$20,MATCH($A148,'Hoja de apoyo v2'!$A$17:$A$20,0)),"")</f>
        <v>6098.2042779326393</v>
      </c>
      <c r="R148" s="793">
        <f>IFERROR(INDEX('Hoja de apoyo v2'!F$17:F$20,MATCH($A148,'Hoja de apoyo v2'!$A$17:$A$20,0)),"")</f>
        <v>389.08889713610301</v>
      </c>
      <c r="S148" s="793">
        <f>IFERROR(INDEX('Hoja de apoyo v2'!G$17:G$20,MATCH($A148,'Hoja de apoyo v2'!$A$17:$A$20,0)),"")</f>
        <v>67.90575167807188</v>
      </c>
      <c r="T148" s="792">
        <f>IFERROR(INDEX('Hoja de apoyo v2'!H$17:H$20,MATCH($A148,'Hoja de apoyo v2'!$A$17:$A$20,0)),"")</f>
        <v>258.90325471200998</v>
      </c>
      <c r="U148" s="794">
        <f t="shared" si="76"/>
        <v>0.80510498761810234</v>
      </c>
      <c r="V148" s="795">
        <f t="shared" si="77"/>
        <v>0.95183605299796847</v>
      </c>
      <c r="W148" s="795">
        <f t="shared" si="78"/>
        <v>0.38139988706217198</v>
      </c>
      <c r="X148" s="843">
        <f t="shared" si="79"/>
        <v>1.3532576153890374</v>
      </c>
      <c r="Y148" s="843">
        <f t="shared" si="80"/>
        <v>1.4518424825348535</v>
      </c>
      <c r="Z148" s="843">
        <f t="shared" si="81"/>
        <v>0.44237485582162317</v>
      </c>
      <c r="AA148" s="843">
        <f t="shared" si="82"/>
        <v>1.0986548924731696</v>
      </c>
      <c r="AB148" s="796">
        <f t="shared" si="83"/>
        <v>3</v>
      </c>
      <c r="AC148" s="797">
        <f t="shared" si="84"/>
        <v>3</v>
      </c>
      <c r="AD148" s="797">
        <f t="shared" si="85"/>
        <v>1</v>
      </c>
      <c r="AE148" s="842">
        <f t="shared" si="86"/>
        <v>5</v>
      </c>
      <c r="AF148" s="842">
        <f t="shared" si="87"/>
        <v>5</v>
      </c>
      <c r="AG148" s="842">
        <f t="shared" si="88"/>
        <v>1</v>
      </c>
      <c r="AH148" s="842">
        <f t="shared" si="89"/>
        <v>4</v>
      </c>
      <c r="AI148" s="826" cm="1">
        <f t="array" ref="AI148">SUMPRODUCT(--ISNUMBER($U148:$AA148),$AB$3:$AH$3)</f>
        <v>1</v>
      </c>
      <c r="AJ148" s="829">
        <f t="shared" si="90"/>
        <v>45.909235682068093</v>
      </c>
      <c r="AK148" s="827" t="str">
        <f t="shared" si="91"/>
        <v>En desarrollo</v>
      </c>
      <c r="AL148" s="784" t="str">
        <f t="shared" si="92"/>
        <v>Alta</v>
      </c>
      <c r="AM148" s="799">
        <f>IF(ISNUMBER('Base de datos Rutas'!W146),'Base de datos Rutas'!W146,"")</f>
        <v>2998.2139778064675</v>
      </c>
      <c r="AN148" s="787">
        <f>IFERROR(SUMIFS('Base de datos Rutas'!$W$6:$W$794,'Base de datos Rutas'!$C$6:$C$794,$C148)/'Base de datos Rutas'!I146,"")</f>
        <v>2998.2139778064688</v>
      </c>
      <c r="AO148" s="800">
        <f>IFERROR('Base de datos Rutas'!X146*AN148/AM148,"")</f>
        <v>0.37802554582777237</v>
      </c>
      <c r="AP148" s="800">
        <f t="shared" si="93"/>
        <v>0.62197445417222763</v>
      </c>
      <c r="AQ148" s="789">
        <f>IFERROR(INDEX('Hoja de apoyo v2'!$J$17:$J$20,MATCH($A148,'Hoja de apoyo v2'!$A$17:$A$20,0)),"")</f>
        <v>0.62197445417222763</v>
      </c>
      <c r="AR148" s="789">
        <f t="shared" si="94"/>
        <v>0</v>
      </c>
      <c r="AS148" s="784" t="str">
        <f t="shared" si="95"/>
        <v>No</v>
      </c>
      <c r="AT148" s="801">
        <f>IF(ISNUMBER('Base de datos Rutas'!CK146),'Base de datos Rutas'!CK146,"")</f>
        <v>346</v>
      </c>
      <c r="AU148" s="802">
        <f>IF(ISNUMBER('Base de datos Rutas'!CL146),'Base de datos Rutas'!CL146,"")</f>
        <v>806.31</v>
      </c>
      <c r="AV148" s="802">
        <f>IF(ISNUMBER('Base de datos Rutas'!CM146),'Base de datos Rutas'!CM146,"")</f>
        <v>460.30999999999995</v>
      </c>
      <c r="AW148" s="802">
        <f>IF(ISNUMBER('Base de datos Rutas'!CN146),'Base de datos Rutas'!CN146,"")</f>
        <v>4.42</v>
      </c>
      <c r="AX148" s="802">
        <f>IF(ISNUMBER('Base de datos Rutas'!CO146),'Base de datos Rutas'!CO146,"")</f>
        <v>9.4499999999999993</v>
      </c>
      <c r="AY148" s="802">
        <f>IF(ISNUMBER('Base de datos Rutas'!CP146),'Base de datos Rutas'!CP146,"")</f>
        <v>5.0299999999999994</v>
      </c>
      <c r="AZ148" s="802">
        <f>IF(ISNUMBER('Base de datos Rutas'!CQ146),'Base de datos Rutas'!CQ146,"")</f>
        <v>814.39</v>
      </c>
      <c r="BA148" s="802">
        <f>IF(ISNUMBER('Base de datos Rutas'!CR146),'Base de datos Rutas'!CR146,"")</f>
        <v>594.94000000000005</v>
      </c>
      <c r="BB148" s="803">
        <f>IF(ISNUMBER('Base de datos Rutas'!CS146),'Base de datos Rutas'!CS146,"")</f>
        <v>219.44999999999993</v>
      </c>
      <c r="BC148" s="804">
        <f t="shared" si="105"/>
        <v>0</v>
      </c>
      <c r="BD148" s="805" t="str">
        <f t="shared" si="106"/>
        <v>No saturada</v>
      </c>
      <c r="BE148" s="806">
        <f t="shared" si="107"/>
        <v>0.73053451049251594</v>
      </c>
      <c r="BF148" s="890">
        <f>IF(ISNUMBER('Base de datos Rutas'!CX146),'Base de datos Rutas'!CX146/100,"")</f>
        <v>0.4608404195011338</v>
      </c>
      <c r="BG148" s="891">
        <f>IF(ISNUMBER('Base de datos Rutas'!CZ146),'Base de datos Rutas'!CZ146/100,"")</f>
        <v>0.52607709750566889</v>
      </c>
      <c r="BH148" s="892">
        <f>IF(ISNUMBER('Base de datos Rutas'!DA146),'Base de datos Rutas'!DA146,"")</f>
        <v>475.8854371360415</v>
      </c>
      <c r="BI148" s="893">
        <f>IF(ISNUMBER('Base de datos Rutas'!DC146),'Base de datos Rutas'!DC146,"")</f>
        <v>26.336908669280536</v>
      </c>
      <c r="BJ148" s="805" t="str">
        <f t="shared" si="108"/>
        <v>Ruta (completo)</v>
      </c>
      <c r="BK148" s="783">
        <f t="shared" si="96"/>
        <v>3</v>
      </c>
      <c r="BL148" s="797">
        <f t="shared" si="97"/>
        <v>3</v>
      </c>
      <c r="BM148" s="797">
        <f t="shared" si="98"/>
        <v>3</v>
      </c>
      <c r="BN148" s="797">
        <f t="shared" si="99"/>
        <v>4</v>
      </c>
      <c r="BO148" s="798" cm="1">
        <f t="array" ref="BO148">SUMPRODUCT(--ISNUMBER($BF148:$BI148),$BK$3:$BN$3)</f>
        <v>1</v>
      </c>
      <c r="BP148" s="831">
        <f t="shared" si="109"/>
        <v>56.25</v>
      </c>
      <c r="BQ148" s="834" t="str">
        <f t="shared" si="110"/>
        <v>Alto</v>
      </c>
      <c r="BR148" s="836">
        <f t="shared" si="100"/>
        <v>34.431926761551068</v>
      </c>
      <c r="BS148" s="836">
        <f t="shared" si="101"/>
        <v>56.25</v>
      </c>
      <c r="BT148" s="837" t="str">
        <f t="shared" si="102"/>
        <v>P1</v>
      </c>
      <c r="BU148" s="807" t="str">
        <f t="shared" si="111"/>
        <v>Con espacio</v>
      </c>
      <c r="BV148" s="807" t="str">
        <f t="shared" si="103"/>
        <v>Zona atractiva</v>
      </c>
      <c r="BW148" s="808" t="str">
        <f t="shared" si="104"/>
        <v>P1 - Ampliar cobertura</v>
      </c>
    </row>
    <row r="149" spans="1:75">
      <c r="A149" s="780" t="str">
        <f>'Base de datos Rutas'!A147</f>
        <v>Norte</v>
      </c>
      <c r="B149" s="781" t="str">
        <f>'Base de datos Rutas'!B147</f>
        <v>Guadiana</v>
      </c>
      <c r="C149" s="781" t="str">
        <f>'Base de datos Rutas'!C147</f>
        <v>Planta Guadiana</v>
      </c>
      <c r="D149" s="782">
        <f>IF(ISNUMBER('Base de datos Rutas'!D147),'Base de datos Rutas'!D147,"Sin código")</f>
        <v>931401</v>
      </c>
      <c r="E149" s="783" t="str">
        <f>'Base de datos Rutas'!F147</f>
        <v>Activa</v>
      </c>
      <c r="F149" s="784" t="str">
        <f>'Base de datos Rutas'!H147</f>
        <v>Sí</v>
      </c>
      <c r="G149" s="785">
        <f>IF(ISNUMBER('Base de datos Rutas'!BE147),'Base de datos Rutas'!BE147,"")</f>
        <v>103.69954128440401</v>
      </c>
      <c r="H149" s="786">
        <f>IF(ISNUMBER('Base de datos Rutas'!BH147),'Base de datos Rutas'!BH147,"")</f>
        <v>0.58133722601906501</v>
      </c>
      <c r="I149" s="788">
        <f>IFERROR(IF(OR(NOT(ISNUMBER('Base de datos Rutas'!O147)),N('Base de datos Rutas'!BK147)=0),"",'Base de datos Rutas'!O147/('Base de datos Rutas'!L147/'Base de datos Rutas'!BK147)),"")</f>
        <v>2697.2431192660561</v>
      </c>
      <c r="J149" s="788">
        <f>IFERROR(IF(OR(NOT(ISNUMBER('Base de datos Rutas'!N147)),N('Base de datos Rutas'!BK147)=0),"",'Base de datos Rutas'!N147/('Base de datos Rutas'!L147/'Base de datos Rutas'!BK147)),"")</f>
        <v>7110.0275229357821</v>
      </c>
      <c r="K149" s="788">
        <f>IFERROR(IF(OR(NOT(ISNUMBER('Base de datos Rutas'!J147)),N('Base de datos Rutas'!BK147)=0),"",'Base de datos Rutas'!J147/('Base de datos Rutas'!L147/'Base de datos Rutas'!BK147)),"")</f>
        <v>505.52095229357587</v>
      </c>
      <c r="L149" s="788">
        <f>IFERROR(IF(OR(NOT(ISNUMBER('Base de datos Rutas'!K147)),N('Base de datos Rutas'!BK147)=0),"",'Base de datos Rutas'!K147/('Base de datos Rutas'!L147/'Base de datos Rutas'!BK147)),"")</f>
        <v>21.595840857798176</v>
      </c>
      <c r="M149" s="787">
        <f>IF(ISNUMBER('Base de datos Rutas'!AX147),'Base de datos Rutas'!AX147,"")</f>
        <v>162.68334652259901</v>
      </c>
      <c r="N149" s="790">
        <f>IFERROR(INDEX('Hoja de apoyo v2'!B$17:B$20,MATCH($A149,'Hoja de apoyo v2'!$A$17:$A$20,0)),"")</f>
        <v>74.190366972477051</v>
      </c>
      <c r="O149" s="791">
        <f>IFERROR(INDEX('Hoja de apoyo v2'!C$17:C$20,MATCH($A149,'Hoja de apoyo v2'!$A$17:$A$20,0)),"")</f>
        <v>0.71677657005077755</v>
      </c>
      <c r="P149" s="793">
        <f>IFERROR(INDEX('Hoja de apoyo v2'!D$17:D$20,MATCH($A149,'Hoja de apoyo v2'!$A$17:$A$20,0)),"")</f>
        <v>8755.1153350385739</v>
      </c>
      <c r="Q149" s="793">
        <f>IFERROR(INDEX('Hoja de apoyo v2'!E$17:E$20,MATCH($A149,'Hoja de apoyo v2'!$A$17:$A$20,0)),"")</f>
        <v>6098.2042779326393</v>
      </c>
      <c r="R149" s="793">
        <f>IFERROR(INDEX('Hoja de apoyo v2'!F$17:F$20,MATCH($A149,'Hoja de apoyo v2'!$A$17:$A$20,0)),"")</f>
        <v>389.08889713610301</v>
      </c>
      <c r="S149" s="793">
        <f>IFERROR(INDEX('Hoja de apoyo v2'!G$17:G$20,MATCH($A149,'Hoja de apoyo v2'!$A$17:$A$20,0)),"")</f>
        <v>67.90575167807188</v>
      </c>
      <c r="T149" s="792">
        <f>IFERROR(INDEX('Hoja de apoyo v2'!H$17:H$20,MATCH($A149,'Hoja de apoyo v2'!$A$17:$A$20,0)),"")</f>
        <v>258.90325471200998</v>
      </c>
      <c r="U149" s="794">
        <f t="shared" si="76"/>
        <v>1.3977494048907211</v>
      </c>
      <c r="V149" s="795">
        <f t="shared" si="77"/>
        <v>0.81104384589172918</v>
      </c>
      <c r="W149" s="795">
        <f t="shared" si="78"/>
        <v>0.30807625211646311</v>
      </c>
      <c r="X149" s="843">
        <f t="shared" si="79"/>
        <v>1.1659215071991917</v>
      </c>
      <c r="Y149" s="843">
        <f t="shared" si="80"/>
        <v>1.2992428106133931</v>
      </c>
      <c r="Z149" s="843">
        <f t="shared" si="81"/>
        <v>0.31802668145372881</v>
      </c>
      <c r="AA149" s="843">
        <f t="shared" si="82"/>
        <v>0.62835574123453641</v>
      </c>
      <c r="AB149" s="796">
        <f t="shared" si="83"/>
        <v>5</v>
      </c>
      <c r="AC149" s="797">
        <f t="shared" si="84"/>
        <v>3</v>
      </c>
      <c r="AD149" s="797">
        <f t="shared" si="85"/>
        <v>1</v>
      </c>
      <c r="AE149" s="842">
        <f t="shared" si="86"/>
        <v>4</v>
      </c>
      <c r="AF149" s="842">
        <f t="shared" si="87"/>
        <v>5</v>
      </c>
      <c r="AG149" s="842">
        <f t="shared" si="88"/>
        <v>1</v>
      </c>
      <c r="AH149" s="842">
        <f t="shared" si="89"/>
        <v>2</v>
      </c>
      <c r="AI149" s="826" cm="1">
        <f t="array" ref="AI149">SUMPRODUCT(--ISNUMBER($U149:$AA149),$AB$3:$AH$3)</f>
        <v>1</v>
      </c>
      <c r="AJ149" s="829">
        <f t="shared" si="90"/>
        <v>47.077604711469775</v>
      </c>
      <c r="AK149" s="827" t="str">
        <f t="shared" si="91"/>
        <v>En desarrollo</v>
      </c>
      <c r="AL149" s="784" t="str">
        <f t="shared" si="92"/>
        <v>Alta</v>
      </c>
      <c r="AM149" s="799">
        <f>IF(ISNUMBER('Base de datos Rutas'!W147),'Base de datos Rutas'!W147,"")</f>
        <v>2998.2139778064675</v>
      </c>
      <c r="AN149" s="787">
        <f>IFERROR(SUMIFS('Base de datos Rutas'!$W$6:$W$794,'Base de datos Rutas'!$C$6:$C$794,$C149)/'Base de datos Rutas'!I147,"")</f>
        <v>2998.2139778064688</v>
      </c>
      <c r="AO149" s="800">
        <f>IFERROR('Base de datos Rutas'!X147*AN149/AM149,"")</f>
        <v>0.37802554582777237</v>
      </c>
      <c r="AP149" s="800">
        <f t="shared" si="93"/>
        <v>0.62197445417222763</v>
      </c>
      <c r="AQ149" s="789">
        <f>IFERROR(INDEX('Hoja de apoyo v2'!$J$17:$J$20,MATCH($A149,'Hoja de apoyo v2'!$A$17:$A$20,0)),"")</f>
        <v>0.62197445417222763</v>
      </c>
      <c r="AR149" s="789">
        <f t="shared" si="94"/>
        <v>0</v>
      </c>
      <c r="AS149" s="784" t="str">
        <f t="shared" si="95"/>
        <v>No</v>
      </c>
      <c r="AT149" s="801">
        <f>IF(ISNUMBER('Base de datos Rutas'!CK147),'Base de datos Rutas'!CK147,"")</f>
        <v>386</v>
      </c>
      <c r="AU149" s="802">
        <f>IF(ISNUMBER('Base de datos Rutas'!CL147),'Base de datos Rutas'!CL147,"")</f>
        <v>770.73</v>
      </c>
      <c r="AV149" s="802">
        <f>IF(ISNUMBER('Base de datos Rutas'!CM147),'Base de datos Rutas'!CM147,"")</f>
        <v>384.73</v>
      </c>
      <c r="AW149" s="802">
        <f>IF(ISNUMBER('Base de datos Rutas'!CN147),'Base de datos Rutas'!CN147,"")</f>
        <v>4.68</v>
      </c>
      <c r="AX149" s="802">
        <f>IF(ISNUMBER('Base de datos Rutas'!CO147),'Base de datos Rutas'!CO147,"")</f>
        <v>9.4499999999999993</v>
      </c>
      <c r="AY149" s="802">
        <f>IF(ISNUMBER('Base de datos Rutas'!CP147),'Base de datos Rutas'!CP147,"")</f>
        <v>4.7699999999999996</v>
      </c>
      <c r="AZ149" s="802">
        <f>IF(ISNUMBER('Base de datos Rutas'!CQ147),'Base de datos Rutas'!CQ147,"")</f>
        <v>814.39</v>
      </c>
      <c r="BA149" s="802">
        <f>IF(ISNUMBER('Base de datos Rutas'!CR147),'Base de datos Rutas'!CR147,"")</f>
        <v>527.12</v>
      </c>
      <c r="BB149" s="803">
        <f>IF(ISNUMBER('Base de datos Rutas'!CS147),'Base de datos Rutas'!CS147,"")</f>
        <v>287.27</v>
      </c>
      <c r="BC149" s="804">
        <f t="shared" si="105"/>
        <v>0</v>
      </c>
      <c r="BD149" s="805" t="str">
        <f t="shared" si="106"/>
        <v>No saturada</v>
      </c>
      <c r="BE149" s="806">
        <f t="shared" si="107"/>
        <v>0.64725745650118494</v>
      </c>
      <c r="BF149" s="890">
        <f>IF(ISNUMBER('Base de datos Rutas'!CX147),'Base de datos Rutas'!CX147/100,"")</f>
        <v>0.13187748212867356</v>
      </c>
      <c r="BG149" s="891">
        <f>IF(ISNUMBER('Base de datos Rutas'!CZ147),'Base de datos Rutas'!CZ147/100,"")</f>
        <v>0.1700754567116759</v>
      </c>
      <c r="BH149" s="892">
        <f>IF(ISNUMBER('Base de datos Rutas'!DA147),'Base de datos Rutas'!DA147,"")</f>
        <v>322.33735785470225</v>
      </c>
      <c r="BI149" s="893">
        <f>IF(ISNUMBER('Base de datos Rutas'!DC147),'Base de datos Rutas'!DC147,"")</f>
        <v>17.169501364193206</v>
      </c>
      <c r="BJ149" s="805" t="str">
        <f t="shared" si="108"/>
        <v>Ruta (completo)</v>
      </c>
      <c r="BK149" s="783">
        <f t="shared" si="96"/>
        <v>1</v>
      </c>
      <c r="BL149" s="797">
        <f t="shared" si="97"/>
        <v>1</v>
      </c>
      <c r="BM149" s="797">
        <f t="shared" si="98"/>
        <v>2</v>
      </c>
      <c r="BN149" s="797">
        <f t="shared" si="99"/>
        <v>2</v>
      </c>
      <c r="BO149" s="798" cm="1">
        <f t="array" ref="BO149">SUMPRODUCT(--ISNUMBER($BF149:$BI149),$BK$3:$BN$3)</f>
        <v>1</v>
      </c>
      <c r="BP149" s="831">
        <f t="shared" si="109"/>
        <v>12.5</v>
      </c>
      <c r="BQ149" s="834" t="str">
        <f t="shared" si="110"/>
        <v>Bajo</v>
      </c>
      <c r="BR149" s="836">
        <f t="shared" si="100"/>
        <v>35.308203533602331</v>
      </c>
      <c r="BS149" s="836">
        <f t="shared" si="101"/>
        <v>12.5</v>
      </c>
      <c r="BT149" s="837" t="str">
        <f t="shared" si="102"/>
        <v>P2</v>
      </c>
      <c r="BU149" s="807" t="str">
        <f t="shared" si="111"/>
        <v>Con espacio</v>
      </c>
      <c r="BV149" s="807" t="str">
        <f t="shared" si="103"/>
        <v>Zona de bajo potencial</v>
      </c>
      <c r="BW149" s="808" t="str">
        <f t="shared" si="104"/>
        <v>P2 - Mantener</v>
      </c>
    </row>
    <row r="150" spans="1:75">
      <c r="A150" s="780" t="str">
        <f>'Base de datos Rutas'!A148</f>
        <v>Norte</v>
      </c>
      <c r="B150" s="781" t="str">
        <f>'Base de datos Rutas'!B148</f>
        <v>Guadiana</v>
      </c>
      <c r="C150" s="781" t="str">
        <f>'Base de datos Rutas'!C148</f>
        <v>Planta Guadiana</v>
      </c>
      <c r="D150" s="782">
        <f>IF(ISNUMBER('Base de datos Rutas'!D148),'Base de datos Rutas'!D148,"Sin código")</f>
        <v>931402</v>
      </c>
      <c r="E150" s="783" t="str">
        <f>'Base de datos Rutas'!F148</f>
        <v>Activa</v>
      </c>
      <c r="F150" s="784" t="str">
        <f>'Base de datos Rutas'!H148</f>
        <v>Sí</v>
      </c>
      <c r="G150" s="785">
        <f>IF(ISNUMBER('Base de datos Rutas'!BE148),'Base de datos Rutas'!BE148,"")</f>
        <v>65.8827586206897</v>
      </c>
      <c r="H150" s="786">
        <f>IF(ISNUMBER('Base de datos Rutas'!BH148),'Base de datos Rutas'!BH148,"")</f>
        <v>0.716633518266513</v>
      </c>
      <c r="I150" s="788">
        <f>IFERROR(IF(OR(NOT(ISNUMBER('Base de datos Rutas'!O148)),N('Base de datos Rutas'!BK148)=0),"",'Base de datos Rutas'!O148/('Base de datos Rutas'!L148/'Base de datos Rutas'!BK148)),"")</f>
        <v>2678.2229885057463</v>
      </c>
      <c r="J150" s="788">
        <f>IFERROR(IF(OR(NOT(ISNUMBER('Base de datos Rutas'!N148)),N('Base de datos Rutas'!BK148)=0),"",'Base de datos Rutas'!N148/('Base de datos Rutas'!L148/'Base de datos Rutas'!BK148)),"")</f>
        <v>7606.8689655172393</v>
      </c>
      <c r="K150" s="788">
        <f>IFERROR(IF(OR(NOT(ISNUMBER('Base de datos Rutas'!J148)),N('Base de datos Rutas'!BK148)=0),"",'Base de datos Rutas'!J148/('Base de datos Rutas'!L148/'Base de datos Rutas'!BK148)),"")</f>
        <v>527.18586666666658</v>
      </c>
      <c r="L150" s="788">
        <f>IFERROR(IF(OR(NOT(ISNUMBER('Base de datos Rutas'!K148)),N('Base de datos Rutas'!BK148)=0),"",'Base de datos Rutas'!K148/('Base de datos Rutas'!L148/'Base de datos Rutas'!BK148)),"")</f>
        <v>23.62017426896551</v>
      </c>
      <c r="M150" s="787">
        <f>IF(ISNUMBER('Base de datos Rutas'!AX148),'Base de datos Rutas'!AX148,"")</f>
        <v>217.84068847989101</v>
      </c>
      <c r="N150" s="790">
        <f>IFERROR(INDEX('Hoja de apoyo v2'!B$17:B$20,MATCH($A150,'Hoja de apoyo v2'!$A$17:$A$20,0)),"")</f>
        <v>74.190366972477051</v>
      </c>
      <c r="O150" s="791">
        <f>IFERROR(INDEX('Hoja de apoyo v2'!C$17:C$20,MATCH($A150,'Hoja de apoyo v2'!$A$17:$A$20,0)),"")</f>
        <v>0.71677657005077755</v>
      </c>
      <c r="P150" s="793">
        <f>IFERROR(INDEX('Hoja de apoyo v2'!D$17:D$20,MATCH($A150,'Hoja de apoyo v2'!$A$17:$A$20,0)),"")</f>
        <v>8755.1153350385739</v>
      </c>
      <c r="Q150" s="793">
        <f>IFERROR(INDEX('Hoja de apoyo v2'!E$17:E$20,MATCH($A150,'Hoja de apoyo v2'!$A$17:$A$20,0)),"")</f>
        <v>6098.2042779326393</v>
      </c>
      <c r="R150" s="793">
        <f>IFERROR(INDEX('Hoja de apoyo v2'!F$17:F$20,MATCH($A150,'Hoja de apoyo v2'!$A$17:$A$20,0)),"")</f>
        <v>389.08889713610301</v>
      </c>
      <c r="S150" s="793">
        <f>IFERROR(INDEX('Hoja de apoyo v2'!G$17:G$20,MATCH($A150,'Hoja de apoyo v2'!$A$17:$A$20,0)),"")</f>
        <v>67.90575167807188</v>
      </c>
      <c r="T150" s="792">
        <f>IFERROR(INDEX('Hoja de apoyo v2'!H$17:H$20,MATCH($A150,'Hoja de apoyo v2'!$A$17:$A$20,0)),"")</f>
        <v>258.90325471200998</v>
      </c>
      <c r="U150" s="794">
        <f t="shared" si="76"/>
        <v>0.88802308586949996</v>
      </c>
      <c r="V150" s="795">
        <f t="shared" si="77"/>
        <v>0.99980042346493769</v>
      </c>
      <c r="W150" s="795">
        <f t="shared" si="78"/>
        <v>0.30590379292746878</v>
      </c>
      <c r="X150" s="843">
        <f t="shared" si="79"/>
        <v>1.2473949082099385</v>
      </c>
      <c r="Y150" s="843">
        <f t="shared" si="80"/>
        <v>1.354923953232871</v>
      </c>
      <c r="Z150" s="843">
        <f t="shared" si="81"/>
        <v>0.34783760852754003</v>
      </c>
      <c r="AA150" s="843">
        <f t="shared" si="82"/>
        <v>0.8413980300178352</v>
      </c>
      <c r="AB150" s="796">
        <f t="shared" si="83"/>
        <v>3</v>
      </c>
      <c r="AC150" s="797">
        <f t="shared" si="84"/>
        <v>3</v>
      </c>
      <c r="AD150" s="797">
        <f t="shared" si="85"/>
        <v>1</v>
      </c>
      <c r="AE150" s="842">
        <f t="shared" si="86"/>
        <v>4</v>
      </c>
      <c r="AF150" s="842">
        <f t="shared" si="87"/>
        <v>5</v>
      </c>
      <c r="AG150" s="842">
        <f t="shared" si="88"/>
        <v>1</v>
      </c>
      <c r="AH150" s="842">
        <f t="shared" si="89"/>
        <v>3</v>
      </c>
      <c r="AI150" s="826" cm="1">
        <f t="array" ref="AI150">SUMPRODUCT(--ISNUMBER($U150:$AA150),$AB$3:$AH$3)</f>
        <v>1</v>
      </c>
      <c r="AJ150" s="829">
        <f t="shared" si="90"/>
        <v>40.255060195522837</v>
      </c>
      <c r="AK150" s="827" t="str">
        <f t="shared" si="91"/>
        <v>Inmadura</v>
      </c>
      <c r="AL150" s="784" t="str">
        <f t="shared" si="92"/>
        <v>Alta</v>
      </c>
      <c r="AM150" s="799">
        <f>IF(ISNUMBER('Base de datos Rutas'!W148),'Base de datos Rutas'!W148,"")</f>
        <v>2998.2139778064675</v>
      </c>
      <c r="AN150" s="787">
        <f>IFERROR(SUMIFS('Base de datos Rutas'!$W$6:$W$794,'Base de datos Rutas'!$C$6:$C$794,$C150)/'Base de datos Rutas'!I148,"")</f>
        <v>2998.2139778064688</v>
      </c>
      <c r="AO150" s="800">
        <f>IFERROR('Base de datos Rutas'!X148*AN150/AM150,"")</f>
        <v>0.37802554582777237</v>
      </c>
      <c r="AP150" s="800">
        <f t="shared" si="93"/>
        <v>0.62197445417222763</v>
      </c>
      <c r="AQ150" s="789">
        <f>IFERROR(INDEX('Hoja de apoyo v2'!$J$17:$J$20,MATCH($A150,'Hoja de apoyo v2'!$A$17:$A$20,0)),"")</f>
        <v>0.62197445417222763</v>
      </c>
      <c r="AR150" s="789">
        <f t="shared" si="94"/>
        <v>0</v>
      </c>
      <c r="AS150" s="784" t="str">
        <f t="shared" si="95"/>
        <v>No</v>
      </c>
      <c r="AT150" s="801">
        <f>IF(ISNUMBER('Base de datos Rutas'!CK148),'Base de datos Rutas'!CK148,"")</f>
        <v>360</v>
      </c>
      <c r="AU150" s="802">
        <f>IF(ISNUMBER('Base de datos Rutas'!CL148),'Base de datos Rutas'!CL148,"")</f>
        <v>641.69000000000005</v>
      </c>
      <c r="AV150" s="802">
        <f>IF(ISNUMBER('Base de datos Rutas'!CM148),'Base de datos Rutas'!CM148,"")</f>
        <v>281.69000000000005</v>
      </c>
      <c r="AW150" s="802">
        <f>IF(ISNUMBER('Base de datos Rutas'!CN148),'Base de datos Rutas'!CN148,"")</f>
        <v>3.97</v>
      </c>
      <c r="AX150" s="802">
        <f>IF(ISNUMBER('Base de datos Rutas'!CO148),'Base de datos Rutas'!CO148,"")</f>
        <v>9.4499999999999993</v>
      </c>
      <c r="AY150" s="802">
        <f>IF(ISNUMBER('Base de datos Rutas'!CP148),'Base de datos Rutas'!CP148,"")</f>
        <v>5.4799999999999986</v>
      </c>
      <c r="AZ150" s="802">
        <f>IF(ISNUMBER('Base de datos Rutas'!CQ148),'Base de datos Rutas'!CQ148,"")</f>
        <v>814.39</v>
      </c>
      <c r="BA150" s="802">
        <f>IF(ISNUMBER('Base de datos Rutas'!CR148),'Base de datos Rutas'!CR148,"")</f>
        <v>550.80999999999995</v>
      </c>
      <c r="BB150" s="803">
        <f>IF(ISNUMBER('Base de datos Rutas'!CS148),'Base de datos Rutas'!CS148,"")</f>
        <v>263.58000000000004</v>
      </c>
      <c r="BC150" s="804">
        <f t="shared" si="105"/>
        <v>0</v>
      </c>
      <c r="BD150" s="805" t="str">
        <f t="shared" si="106"/>
        <v>No saturada</v>
      </c>
      <c r="BE150" s="806">
        <f t="shared" si="107"/>
        <v>0.67634671349107911</v>
      </c>
      <c r="BF150" s="890">
        <f>IF(ISNUMBER('Base de datos Rutas'!CX148),'Base de datos Rutas'!CX148/100,"")</f>
        <v>0.413446223316913</v>
      </c>
      <c r="BG150" s="891">
        <f>IF(ISNUMBER('Base de datos Rutas'!CZ148),'Base de datos Rutas'!CZ148/100,"")</f>
        <v>0.47126436781609193</v>
      </c>
      <c r="BH150" s="892">
        <f>IF(ISNUMBER('Base de datos Rutas'!DA148),'Base de datos Rutas'!DA148,"")</f>
        <v>475.58814752148464</v>
      </c>
      <c r="BI150" s="893">
        <f>IF(ISNUMBER('Base de datos Rutas'!DC148),'Base de datos Rutas'!DC148,"")</f>
        <v>25.373602215111891</v>
      </c>
      <c r="BJ150" s="805" t="str">
        <f t="shared" si="108"/>
        <v>Ruta (completo)</v>
      </c>
      <c r="BK150" s="783">
        <f t="shared" si="96"/>
        <v>3</v>
      </c>
      <c r="BL150" s="797">
        <f t="shared" si="97"/>
        <v>3</v>
      </c>
      <c r="BM150" s="797">
        <f t="shared" si="98"/>
        <v>3</v>
      </c>
      <c r="BN150" s="797">
        <f t="shared" si="99"/>
        <v>3</v>
      </c>
      <c r="BO150" s="798" cm="1">
        <f t="array" ref="BO150">SUMPRODUCT(--ISNUMBER($BF150:$BI150),$BK$3:$BN$3)</f>
        <v>1</v>
      </c>
      <c r="BP150" s="831">
        <f t="shared" si="109"/>
        <v>50</v>
      </c>
      <c r="BQ150" s="834" t="str">
        <f t="shared" si="110"/>
        <v>Alto</v>
      </c>
      <c r="BR150" s="836">
        <f t="shared" si="100"/>
        <v>30.191295146642126</v>
      </c>
      <c r="BS150" s="836">
        <f t="shared" si="101"/>
        <v>50</v>
      </c>
      <c r="BT150" s="837" t="str">
        <f t="shared" si="102"/>
        <v>P1</v>
      </c>
      <c r="BU150" s="807" t="str">
        <f t="shared" si="111"/>
        <v>Con espacio</v>
      </c>
      <c r="BV150" s="807" t="str">
        <f t="shared" si="103"/>
        <v>Zona atractiva</v>
      </c>
      <c r="BW150" s="808" t="str">
        <f t="shared" si="104"/>
        <v>P1 - Ampliar cobertura</v>
      </c>
    </row>
    <row r="151" spans="1:75">
      <c r="A151" s="780" t="str">
        <f>'Base de datos Rutas'!A149</f>
        <v>Norte</v>
      </c>
      <c r="B151" s="781" t="str">
        <f>'Base de datos Rutas'!B149</f>
        <v>Guadiana</v>
      </c>
      <c r="C151" s="781" t="str">
        <f>'Base de datos Rutas'!C149</f>
        <v>Planta Guadiana</v>
      </c>
      <c r="D151" s="782">
        <f>IF(ISNUMBER('Base de datos Rutas'!D149),'Base de datos Rutas'!D149,"Sin código")</f>
        <v>931403</v>
      </c>
      <c r="E151" s="783" t="str">
        <f>'Base de datos Rutas'!F149</f>
        <v>Activa</v>
      </c>
      <c r="F151" s="784" t="str">
        <f>'Base de datos Rutas'!H149</f>
        <v>Sí</v>
      </c>
      <c r="G151" s="785">
        <f>IF(ISNUMBER('Base de datos Rutas'!BE149),'Base de datos Rutas'!BE149,"")</f>
        <v>48.573394495412799</v>
      </c>
      <c r="H151" s="786">
        <f>IF(ISNUMBER('Base de datos Rutas'!BH149),'Base de datos Rutas'!BH149,"")</f>
        <v>0.70969874397960098</v>
      </c>
      <c r="I151" s="788">
        <f>IFERROR(IF(OR(NOT(ISNUMBER('Base de datos Rutas'!O149)),N('Base de datos Rutas'!BK149)=0),"",'Base de datos Rutas'!O149/('Base de datos Rutas'!L149/'Base de datos Rutas'!BK149)),"")</f>
        <v>2009.949541284401</v>
      </c>
      <c r="J151" s="788">
        <f>IFERROR(IF(OR(NOT(ISNUMBER('Base de datos Rutas'!N149)),N('Base de datos Rutas'!BK149)=0),"",'Base de datos Rutas'!N149/('Base de datos Rutas'!L149/'Base de datos Rutas'!BK149)),"")</f>
        <v>6902.4701834862299</v>
      </c>
      <c r="K151" s="788">
        <f>IFERROR(IF(OR(NOT(ISNUMBER('Base de datos Rutas'!J149)),N('Base de datos Rutas'!BK149)=0),"",'Base de datos Rutas'!J149/('Base de datos Rutas'!L149/'Base de datos Rutas'!BK149)),"")</f>
        <v>486.11543669724711</v>
      </c>
      <c r="L151" s="788">
        <f>IFERROR(IF(OR(NOT(ISNUMBER('Base de datos Rutas'!K149)),N('Base de datos Rutas'!BK149)=0),"",'Base de datos Rutas'!K149/('Base de datos Rutas'!L149/'Base de datos Rutas'!BK149)),"")</f>
        <v>14.332981190366953</v>
      </c>
      <c r="M151" s="787">
        <f>IF(ISNUMBER('Base de datos Rutas'!AX149),'Base de datos Rutas'!AX149,"")</f>
        <v>258.53725815036597</v>
      </c>
      <c r="N151" s="790">
        <f>IFERROR(INDEX('Hoja de apoyo v2'!B$17:B$20,MATCH($A151,'Hoja de apoyo v2'!$A$17:$A$20,0)),"")</f>
        <v>74.190366972477051</v>
      </c>
      <c r="O151" s="791">
        <f>IFERROR(INDEX('Hoja de apoyo v2'!C$17:C$20,MATCH($A151,'Hoja de apoyo v2'!$A$17:$A$20,0)),"")</f>
        <v>0.71677657005077755</v>
      </c>
      <c r="P151" s="793">
        <f>IFERROR(INDEX('Hoja de apoyo v2'!D$17:D$20,MATCH($A151,'Hoja de apoyo v2'!$A$17:$A$20,0)),"")</f>
        <v>8755.1153350385739</v>
      </c>
      <c r="Q151" s="793">
        <f>IFERROR(INDEX('Hoja de apoyo v2'!E$17:E$20,MATCH($A151,'Hoja de apoyo v2'!$A$17:$A$20,0)),"")</f>
        <v>6098.2042779326393</v>
      </c>
      <c r="R151" s="793">
        <f>IFERROR(INDEX('Hoja de apoyo v2'!F$17:F$20,MATCH($A151,'Hoja de apoyo v2'!$A$17:$A$20,0)),"")</f>
        <v>389.08889713610301</v>
      </c>
      <c r="S151" s="793">
        <f>IFERROR(INDEX('Hoja de apoyo v2'!G$17:G$20,MATCH($A151,'Hoja de apoyo v2'!$A$17:$A$20,0)),"")</f>
        <v>67.90575167807188</v>
      </c>
      <c r="T151" s="792">
        <f>IFERROR(INDEX('Hoja de apoyo v2'!H$17:H$20,MATCH($A151,'Hoja de apoyo v2'!$A$17:$A$20,0)),"")</f>
        <v>258.90325471200998</v>
      </c>
      <c r="U151" s="794">
        <f t="shared" si="76"/>
        <v>0.65471295637926186</v>
      </c>
      <c r="V151" s="795">
        <f t="shared" si="77"/>
        <v>0.9901254779147215</v>
      </c>
      <c r="W151" s="795">
        <f t="shared" si="78"/>
        <v>0.22957430763252709</v>
      </c>
      <c r="X151" s="843">
        <f t="shared" si="79"/>
        <v>1.1318856943615287</v>
      </c>
      <c r="Y151" s="843">
        <f t="shared" si="80"/>
        <v>1.2493685640359053</v>
      </c>
      <c r="Z151" s="843">
        <f t="shared" si="81"/>
        <v>0.21107168150228073</v>
      </c>
      <c r="AA151" s="843">
        <f t="shared" si="82"/>
        <v>0.99858635781905825</v>
      </c>
      <c r="AB151" s="796">
        <f t="shared" si="83"/>
        <v>2</v>
      </c>
      <c r="AC151" s="797">
        <f t="shared" si="84"/>
        <v>3</v>
      </c>
      <c r="AD151" s="797">
        <f t="shared" si="85"/>
        <v>1</v>
      </c>
      <c r="AE151" s="842">
        <f t="shared" si="86"/>
        <v>4</v>
      </c>
      <c r="AF151" s="842">
        <f t="shared" si="87"/>
        <v>4</v>
      </c>
      <c r="AG151" s="842">
        <f t="shared" si="88"/>
        <v>1</v>
      </c>
      <c r="AH151" s="842">
        <f t="shared" si="89"/>
        <v>3</v>
      </c>
      <c r="AI151" s="826" cm="1">
        <f t="array" ref="AI151">SUMPRODUCT(--ISNUMBER($U151:$AA151),$AB$3:$AH$3)</f>
        <v>1</v>
      </c>
      <c r="AJ151" s="829">
        <f t="shared" si="90"/>
        <v>32.79537950534629</v>
      </c>
      <c r="AK151" s="827" t="str">
        <f t="shared" si="91"/>
        <v>Inmadura</v>
      </c>
      <c r="AL151" s="784" t="str">
        <f t="shared" si="92"/>
        <v>Alta</v>
      </c>
      <c r="AM151" s="799">
        <f>IF(ISNUMBER('Base de datos Rutas'!W149),'Base de datos Rutas'!W149,"")</f>
        <v>2998.2139778064675</v>
      </c>
      <c r="AN151" s="787">
        <f>IFERROR(SUMIFS('Base de datos Rutas'!$W$6:$W$794,'Base de datos Rutas'!$C$6:$C$794,$C151)/'Base de datos Rutas'!I149,"")</f>
        <v>2998.2139778064688</v>
      </c>
      <c r="AO151" s="800">
        <f>IFERROR('Base de datos Rutas'!X149*AN151/AM151,"")</f>
        <v>0.37802554582777237</v>
      </c>
      <c r="AP151" s="800">
        <f t="shared" si="93"/>
        <v>0.62197445417222763</v>
      </c>
      <c r="AQ151" s="789">
        <f>IFERROR(INDEX('Hoja de apoyo v2'!$J$17:$J$20,MATCH($A151,'Hoja de apoyo v2'!$A$17:$A$20,0)),"")</f>
        <v>0.62197445417222763</v>
      </c>
      <c r="AR151" s="789">
        <f t="shared" si="94"/>
        <v>0</v>
      </c>
      <c r="AS151" s="784" t="str">
        <f t="shared" si="95"/>
        <v>No</v>
      </c>
      <c r="AT151" s="801">
        <f>IF(ISNUMBER('Base de datos Rutas'!CK149),'Base de datos Rutas'!CK149,"")</f>
        <v>283</v>
      </c>
      <c r="AU151" s="802">
        <f>IF(ISNUMBER('Base de datos Rutas'!CL149),'Base de datos Rutas'!CL149,"")</f>
        <v>454.84</v>
      </c>
      <c r="AV151" s="802">
        <f>IF(ISNUMBER('Base de datos Rutas'!CM149),'Base de datos Rutas'!CM149,"")</f>
        <v>171.83999999999997</v>
      </c>
      <c r="AW151" s="802">
        <f>IF(ISNUMBER('Base de datos Rutas'!CN149),'Base de datos Rutas'!CN149,"")</f>
        <v>3.65</v>
      </c>
      <c r="AX151" s="802">
        <f>IF(ISNUMBER('Base de datos Rutas'!CO149),'Base de datos Rutas'!CO149,"")</f>
        <v>9.4499999999999993</v>
      </c>
      <c r="AY151" s="802">
        <f>IF(ISNUMBER('Base de datos Rutas'!CP149),'Base de datos Rutas'!CP149,"")</f>
        <v>5.7999999999999989</v>
      </c>
      <c r="AZ151" s="802">
        <f>IF(ISNUMBER('Base de datos Rutas'!CQ149),'Base de datos Rutas'!CQ149,"")</f>
        <v>814.39</v>
      </c>
      <c r="BA151" s="802">
        <f>IF(ISNUMBER('Base de datos Rutas'!CR149),'Base de datos Rutas'!CR149,"")</f>
        <v>500.45</v>
      </c>
      <c r="BB151" s="803">
        <f>IF(ISNUMBER('Base de datos Rutas'!CS149),'Base de datos Rutas'!CS149,"")</f>
        <v>313.94</v>
      </c>
      <c r="BC151" s="804">
        <f t="shared" si="105"/>
        <v>0</v>
      </c>
      <c r="BD151" s="805" t="str">
        <f t="shared" si="106"/>
        <v>No saturada</v>
      </c>
      <c r="BE151" s="806">
        <f t="shared" si="107"/>
        <v>0.61450901902037103</v>
      </c>
      <c r="BF151" s="890">
        <f>IF(ISNUMBER('Base de datos Rutas'!CX149),'Base de datos Rutas'!CX149/100,"")</f>
        <v>0.78071428571428581</v>
      </c>
      <c r="BG151" s="891">
        <f>IF(ISNUMBER('Base de datos Rutas'!CZ149),'Base de datos Rutas'!CZ149/100,"")</f>
        <v>0.89030612244897955</v>
      </c>
      <c r="BH151" s="892">
        <f>IF(ISNUMBER('Base de datos Rutas'!DA149),'Base de datos Rutas'!DA149,"")</f>
        <v>1024.2529313040279</v>
      </c>
      <c r="BI151" s="893">
        <f>IF(ISNUMBER('Base de datos Rutas'!DC149),'Base de datos Rutas'!DC149,"")</f>
        <v>51.896599687327573</v>
      </c>
      <c r="BJ151" s="805" t="str">
        <f t="shared" si="108"/>
        <v>Ruta (completo)</v>
      </c>
      <c r="BK151" s="783">
        <f t="shared" si="96"/>
        <v>5</v>
      </c>
      <c r="BL151" s="797">
        <f t="shared" si="97"/>
        <v>5</v>
      </c>
      <c r="BM151" s="797">
        <f t="shared" si="98"/>
        <v>5</v>
      </c>
      <c r="BN151" s="797">
        <f t="shared" si="99"/>
        <v>5</v>
      </c>
      <c r="BO151" s="798" cm="1">
        <f t="array" ref="BO151">SUMPRODUCT(--ISNUMBER($BF151:$BI151),$BK$3:$BN$3)</f>
        <v>1</v>
      </c>
      <c r="BP151" s="831">
        <f t="shared" si="109"/>
        <v>100</v>
      </c>
      <c r="BQ151" s="834" t="str">
        <f t="shared" si="110"/>
        <v>Alto</v>
      </c>
      <c r="BR151" s="836">
        <f t="shared" si="100"/>
        <v>24.596534629009717</v>
      </c>
      <c r="BS151" s="836">
        <f t="shared" si="101"/>
        <v>100</v>
      </c>
      <c r="BT151" s="837" t="str">
        <f t="shared" si="102"/>
        <v>P3</v>
      </c>
      <c r="BU151" s="807" t="str">
        <f t="shared" si="111"/>
        <v>Con espacio</v>
      </c>
      <c r="BV151" s="807" t="str">
        <f t="shared" si="103"/>
        <v>Zona atractiva</v>
      </c>
      <c r="BW151" s="808" t="str">
        <f t="shared" si="104"/>
        <v>P3 - Desarrollar</v>
      </c>
    </row>
    <row r="152" spans="1:75">
      <c r="A152" s="780" t="str">
        <f>'Base de datos Rutas'!A150</f>
        <v>Norte</v>
      </c>
      <c r="B152" s="781" t="str">
        <f>'Base de datos Rutas'!B150</f>
        <v>Guadiana</v>
      </c>
      <c r="C152" s="781" t="str">
        <f>'Base de datos Rutas'!C150</f>
        <v>Planta Guadiana</v>
      </c>
      <c r="D152" s="782">
        <f>IF(ISNUMBER('Base de datos Rutas'!D150),'Base de datos Rutas'!D150,"Sin código")</f>
        <v>931404</v>
      </c>
      <c r="E152" s="783" t="str">
        <f>'Base de datos Rutas'!F150</f>
        <v>Activa</v>
      </c>
      <c r="F152" s="784" t="str">
        <f>'Base de datos Rutas'!H150</f>
        <v>Sí</v>
      </c>
      <c r="G152" s="785">
        <f>IF(ISNUMBER('Base de datos Rutas'!BE150),'Base de datos Rutas'!BE150,"")</f>
        <v>63.318807339449499</v>
      </c>
      <c r="H152" s="786">
        <f>IF(ISNUMBER('Base de datos Rutas'!BH150),'Base de datos Rutas'!BH150,"")</f>
        <v>0.71691962183504199</v>
      </c>
      <c r="I152" s="788">
        <f>IFERROR(IF(OR(NOT(ISNUMBER('Base de datos Rutas'!O150)),N('Base de datos Rutas'!BK150)=0),"",'Base de datos Rutas'!O150/('Base de datos Rutas'!L150/'Base de datos Rutas'!BK150)),"")</f>
        <v>2577.9999999999955</v>
      </c>
      <c r="J152" s="788">
        <f>IFERROR(IF(OR(NOT(ISNUMBER('Base de datos Rutas'!N150)),N('Base de datos Rutas'!BK150)=0),"",'Base de datos Rutas'!N150/('Base de datos Rutas'!L150/'Base de datos Rutas'!BK150)),"")</f>
        <v>7461.0275229357676</v>
      </c>
      <c r="K152" s="788">
        <f>IFERROR(IF(OR(NOT(ISNUMBER('Base de datos Rutas'!J150)),N('Base de datos Rutas'!BK150)=0),"",'Base de datos Rutas'!J150/('Base de datos Rutas'!L150/'Base de datos Rutas'!BK150)),"")</f>
        <v>511.98407155963218</v>
      </c>
      <c r="L152" s="788">
        <f>IFERROR(IF(OR(NOT(ISNUMBER('Base de datos Rutas'!K150)),N('Base de datos Rutas'!BK150)=0),"",'Base de datos Rutas'!K150/('Base de datos Rutas'!L150/'Base de datos Rutas'!BK150)),"")</f>
        <v>22.147814392201798</v>
      </c>
      <c r="M152" s="787">
        <f>IF(ISNUMBER('Base de datos Rutas'!AX150),'Base de datos Rutas'!AX150,"")</f>
        <v>221.15083063864199</v>
      </c>
      <c r="N152" s="790">
        <f>IFERROR(INDEX('Hoja de apoyo v2'!B$17:B$20,MATCH($A152,'Hoja de apoyo v2'!$A$17:$A$20,0)),"")</f>
        <v>74.190366972477051</v>
      </c>
      <c r="O152" s="791">
        <f>IFERROR(INDEX('Hoja de apoyo v2'!C$17:C$20,MATCH($A152,'Hoja de apoyo v2'!$A$17:$A$20,0)),"")</f>
        <v>0.71677657005077755</v>
      </c>
      <c r="P152" s="793">
        <f>IFERROR(INDEX('Hoja de apoyo v2'!D$17:D$20,MATCH($A152,'Hoja de apoyo v2'!$A$17:$A$20,0)),"")</f>
        <v>8755.1153350385739</v>
      </c>
      <c r="Q152" s="793">
        <f>IFERROR(INDEX('Hoja de apoyo v2'!E$17:E$20,MATCH($A152,'Hoja de apoyo v2'!$A$17:$A$20,0)),"")</f>
        <v>6098.2042779326393</v>
      </c>
      <c r="R152" s="793">
        <f>IFERROR(INDEX('Hoja de apoyo v2'!F$17:F$20,MATCH($A152,'Hoja de apoyo v2'!$A$17:$A$20,0)),"")</f>
        <v>389.08889713610301</v>
      </c>
      <c r="S152" s="793">
        <f>IFERROR(INDEX('Hoja de apoyo v2'!G$17:G$20,MATCH($A152,'Hoja de apoyo v2'!$A$17:$A$20,0)),"")</f>
        <v>67.90575167807188</v>
      </c>
      <c r="T152" s="792">
        <f>IFERROR(INDEX('Hoja de apoyo v2'!H$17:H$20,MATCH($A152,'Hoja de apoyo v2'!$A$17:$A$20,0)),"")</f>
        <v>258.90325471200998</v>
      </c>
      <c r="U152" s="794">
        <f t="shared" si="76"/>
        <v>0.85346399975268139</v>
      </c>
      <c r="V152" s="795">
        <f t="shared" si="77"/>
        <v>1.0001995765350622</v>
      </c>
      <c r="W152" s="795">
        <f t="shared" si="78"/>
        <v>0.29445642933824778</v>
      </c>
      <c r="X152" s="843">
        <f t="shared" si="79"/>
        <v>1.2234794347468367</v>
      </c>
      <c r="Y152" s="843">
        <f t="shared" si="80"/>
        <v>1.3158537170505293</v>
      </c>
      <c r="Z152" s="843">
        <f t="shared" si="81"/>
        <v>0.32615520548539584</v>
      </c>
      <c r="AA152" s="843">
        <f t="shared" si="82"/>
        <v>0.85418327739694988</v>
      </c>
      <c r="AB152" s="796">
        <f t="shared" si="83"/>
        <v>3</v>
      </c>
      <c r="AC152" s="797">
        <f t="shared" si="84"/>
        <v>4</v>
      </c>
      <c r="AD152" s="797">
        <f t="shared" si="85"/>
        <v>1</v>
      </c>
      <c r="AE152" s="842">
        <f t="shared" si="86"/>
        <v>4</v>
      </c>
      <c r="AF152" s="842">
        <f t="shared" si="87"/>
        <v>5</v>
      </c>
      <c r="AG152" s="842">
        <f t="shared" si="88"/>
        <v>1</v>
      </c>
      <c r="AH152" s="842">
        <f t="shared" si="89"/>
        <v>3</v>
      </c>
      <c r="AI152" s="826" cm="1">
        <f t="array" ref="AI152">SUMPRODUCT(--ISNUMBER($U152:$AA152),$AB$3:$AH$3)</f>
        <v>1</v>
      </c>
      <c r="AJ152" s="829">
        <f t="shared" si="90"/>
        <v>42.637965781413321</v>
      </c>
      <c r="AK152" s="827" t="str">
        <f t="shared" si="91"/>
        <v>Inmadura</v>
      </c>
      <c r="AL152" s="784" t="str">
        <f t="shared" si="92"/>
        <v>Alta</v>
      </c>
      <c r="AM152" s="799">
        <f>IF(ISNUMBER('Base de datos Rutas'!W150),'Base de datos Rutas'!W150,"")</f>
        <v>2998.2139778064675</v>
      </c>
      <c r="AN152" s="787">
        <f>IFERROR(SUMIFS('Base de datos Rutas'!$W$6:$W$794,'Base de datos Rutas'!$C$6:$C$794,$C152)/'Base de datos Rutas'!I150,"")</f>
        <v>2998.2139778064688</v>
      </c>
      <c r="AO152" s="800">
        <f>IFERROR('Base de datos Rutas'!X150*AN152/AM152,"")</f>
        <v>0.37802554582777237</v>
      </c>
      <c r="AP152" s="800">
        <f t="shared" si="93"/>
        <v>0.62197445417222763</v>
      </c>
      <c r="AQ152" s="789">
        <f>IFERROR(INDEX('Hoja de apoyo v2'!$J$17:$J$20,MATCH($A152,'Hoja de apoyo v2'!$A$17:$A$20,0)),"")</f>
        <v>0.62197445417222763</v>
      </c>
      <c r="AR152" s="789">
        <f t="shared" si="94"/>
        <v>0</v>
      </c>
      <c r="AS152" s="784" t="str">
        <f t="shared" si="95"/>
        <v>No</v>
      </c>
      <c r="AT152" s="801">
        <f>IF(ISNUMBER('Base de datos Rutas'!CK150),'Base de datos Rutas'!CK150,"")</f>
        <v>303</v>
      </c>
      <c r="AU152" s="802">
        <f>IF(ISNUMBER('Base de datos Rutas'!CL150),'Base de datos Rutas'!CL150,"")</f>
        <v>776.47</v>
      </c>
      <c r="AV152" s="802">
        <f>IF(ISNUMBER('Base de datos Rutas'!CM150),'Base de datos Rutas'!CM150,"")</f>
        <v>473.47</v>
      </c>
      <c r="AW152" s="802">
        <f>IF(ISNUMBER('Base de datos Rutas'!CN150),'Base de datos Rutas'!CN150,"")</f>
        <v>3.87</v>
      </c>
      <c r="AX152" s="802">
        <f>IF(ISNUMBER('Base de datos Rutas'!CO150),'Base de datos Rutas'!CO150,"")</f>
        <v>9.4499999999999993</v>
      </c>
      <c r="AY152" s="802">
        <f>IF(ISNUMBER('Base de datos Rutas'!CP150),'Base de datos Rutas'!CP150,"")</f>
        <v>5.5799999999999992</v>
      </c>
      <c r="AZ152" s="802">
        <f>IF(ISNUMBER('Base de datos Rutas'!CQ150),'Base de datos Rutas'!CQ150,"")</f>
        <v>814.39</v>
      </c>
      <c r="BA152" s="802">
        <f>IF(ISNUMBER('Base de datos Rutas'!CR150),'Base de datos Rutas'!CR150,"")</f>
        <v>534.13</v>
      </c>
      <c r="BB152" s="803">
        <f>IF(ISNUMBER('Base de datos Rutas'!CS150),'Base de datos Rutas'!CS150,"")</f>
        <v>280.26</v>
      </c>
      <c r="BC152" s="804">
        <f t="shared" si="105"/>
        <v>0</v>
      </c>
      <c r="BD152" s="805" t="str">
        <f t="shared" si="106"/>
        <v>No saturada</v>
      </c>
      <c r="BE152" s="806">
        <f t="shared" si="107"/>
        <v>0.65586512604526093</v>
      </c>
      <c r="BF152" s="890">
        <f>IF(ISNUMBER('Base de datos Rutas'!CX150),'Base de datos Rutas'!CX150/100,"")</f>
        <v>0.47347953216374267</v>
      </c>
      <c r="BG152" s="891">
        <f>IF(ISNUMBER('Base de datos Rutas'!CZ150),'Base de datos Rutas'!CZ150/100,"")</f>
        <v>0.53940406571985522</v>
      </c>
      <c r="BH152" s="892">
        <f>IF(ISNUMBER('Base de datos Rutas'!DA150),'Base de datos Rutas'!DA150,"")</f>
        <v>481.19383525766546</v>
      </c>
      <c r="BI152" s="893">
        <f>IF(ISNUMBER('Base de datos Rutas'!DC150),'Base de datos Rutas'!DC150,"")</f>
        <v>25.547334128407531</v>
      </c>
      <c r="BJ152" s="805" t="str">
        <f t="shared" si="108"/>
        <v>Ruta (completo)</v>
      </c>
      <c r="BK152" s="783">
        <f t="shared" si="96"/>
        <v>4</v>
      </c>
      <c r="BL152" s="797">
        <f t="shared" si="97"/>
        <v>4</v>
      </c>
      <c r="BM152" s="797">
        <f t="shared" si="98"/>
        <v>3</v>
      </c>
      <c r="BN152" s="797">
        <f t="shared" si="99"/>
        <v>3</v>
      </c>
      <c r="BO152" s="798" cm="1">
        <f t="array" ref="BO152">SUMPRODUCT(--ISNUMBER($BF152:$BI152),$BK$3:$BN$3)</f>
        <v>1</v>
      </c>
      <c r="BP152" s="831">
        <f t="shared" si="109"/>
        <v>62.5</v>
      </c>
      <c r="BQ152" s="834" t="str">
        <f t="shared" si="110"/>
        <v>Alto</v>
      </c>
      <c r="BR152" s="836">
        <f t="shared" si="100"/>
        <v>31.978474336059989</v>
      </c>
      <c r="BS152" s="836">
        <f t="shared" si="101"/>
        <v>62.5</v>
      </c>
      <c r="BT152" s="837" t="str">
        <f t="shared" si="102"/>
        <v>P1</v>
      </c>
      <c r="BU152" s="807" t="str">
        <f t="shared" si="111"/>
        <v>Con espacio</v>
      </c>
      <c r="BV152" s="807" t="str">
        <f t="shared" si="103"/>
        <v>Zona atractiva</v>
      </c>
      <c r="BW152" s="808" t="str">
        <f t="shared" si="104"/>
        <v>P1 - Ampliar cobertura</v>
      </c>
    </row>
    <row r="153" spans="1:75">
      <c r="A153" s="780" t="str">
        <f>'Base de datos Rutas'!A151</f>
        <v>Norte</v>
      </c>
      <c r="B153" s="781" t="str">
        <f>'Base de datos Rutas'!B151</f>
        <v>Guadiana</v>
      </c>
      <c r="C153" s="781" t="str">
        <f>'Base de datos Rutas'!C151</f>
        <v>Planta Guadiana</v>
      </c>
      <c r="D153" s="782">
        <f>IF(ISNUMBER('Base de datos Rutas'!D151),'Base de datos Rutas'!D151,"Sin código")</f>
        <v>931405</v>
      </c>
      <c r="E153" s="783" t="str">
        <f>'Base de datos Rutas'!F151</f>
        <v>Activa</v>
      </c>
      <c r="F153" s="784" t="str">
        <f>'Base de datos Rutas'!H151</f>
        <v>Sí</v>
      </c>
      <c r="G153" s="785">
        <f>IF(ISNUMBER('Base de datos Rutas'!BE151),'Base de datos Rutas'!BE151,"")</f>
        <v>91.993119266055103</v>
      </c>
      <c r="H153" s="786">
        <f>IF(ISNUMBER('Base de datos Rutas'!BH151),'Base de datos Rutas'!BH151,"")</f>
        <v>0.63893390510857895</v>
      </c>
      <c r="I153" s="788">
        <f>IFERROR(IF(OR(NOT(ISNUMBER('Base de datos Rutas'!O151)),N('Base de datos Rutas'!BK151)=0),"",'Base de datos Rutas'!O151/('Base de datos Rutas'!L151/'Base de datos Rutas'!BK151)),"")</f>
        <v>2831.1559633027491</v>
      </c>
      <c r="J153" s="788">
        <f>IFERROR(IF(OR(NOT(ISNUMBER('Base de datos Rutas'!N151)),N('Base de datos Rutas'!BK151)=0),"",'Base de datos Rutas'!N151/('Base de datos Rutas'!L151/'Base de datos Rutas'!BK151)),"")</f>
        <v>5544.9128440366912</v>
      </c>
      <c r="K153" s="788">
        <f>IFERROR(IF(OR(NOT(ISNUMBER('Base de datos Rutas'!J151)),N('Base de datos Rutas'!BK151)=0),"",'Base de datos Rutas'!J151/('Base de datos Rutas'!L151/'Base de datos Rutas'!BK151)),"")</f>
        <v>385.28269724770598</v>
      </c>
      <c r="L153" s="788">
        <f>IFERROR(IF(OR(NOT(ISNUMBER('Base de datos Rutas'!K151)),N('Base de datos Rutas'!BK151)=0),"",'Base de datos Rutas'!K151/('Base de datos Rutas'!L151/'Base de datos Rutas'!BK151)),"")</f>
        <v>25.236357646788964</v>
      </c>
      <c r="M153" s="787">
        <f>IF(ISNUMBER('Base de datos Rutas'!AX151),'Base de datos Rutas'!AX151,"")</f>
        <v>142.50454091387999</v>
      </c>
      <c r="N153" s="790">
        <f>IFERROR(INDEX('Hoja de apoyo v2'!B$17:B$20,MATCH($A153,'Hoja de apoyo v2'!$A$17:$A$20,0)),"")</f>
        <v>74.190366972477051</v>
      </c>
      <c r="O153" s="791">
        <f>IFERROR(INDEX('Hoja de apoyo v2'!C$17:C$20,MATCH($A153,'Hoja de apoyo v2'!$A$17:$A$20,0)),"")</f>
        <v>0.71677657005077755</v>
      </c>
      <c r="P153" s="793">
        <f>IFERROR(INDEX('Hoja de apoyo v2'!D$17:D$20,MATCH($A153,'Hoja de apoyo v2'!$A$17:$A$20,0)),"")</f>
        <v>8755.1153350385739</v>
      </c>
      <c r="Q153" s="793">
        <f>IFERROR(INDEX('Hoja de apoyo v2'!E$17:E$20,MATCH($A153,'Hoja de apoyo v2'!$A$17:$A$20,0)),"")</f>
        <v>6098.2042779326393</v>
      </c>
      <c r="R153" s="793">
        <f>IFERROR(INDEX('Hoja de apoyo v2'!F$17:F$20,MATCH($A153,'Hoja de apoyo v2'!$A$17:$A$20,0)),"")</f>
        <v>389.08889713610301</v>
      </c>
      <c r="S153" s="793">
        <f>IFERROR(INDEX('Hoja de apoyo v2'!G$17:G$20,MATCH($A153,'Hoja de apoyo v2'!$A$17:$A$20,0)),"")</f>
        <v>67.90575167807188</v>
      </c>
      <c r="T153" s="792">
        <f>IFERROR(INDEX('Hoja de apoyo v2'!H$17:H$20,MATCH($A153,'Hoja de apoyo v2'!$A$17:$A$20,0)),"")</f>
        <v>258.90325471200998</v>
      </c>
      <c r="U153" s="794">
        <f t="shared" si="76"/>
        <v>1.2399604290969806</v>
      </c>
      <c r="V153" s="795">
        <f t="shared" si="77"/>
        <v>0.89139898234022341</v>
      </c>
      <c r="W153" s="795">
        <f t="shared" si="78"/>
        <v>0.32337163531955637</v>
      </c>
      <c r="X153" s="843">
        <f t="shared" si="79"/>
        <v>0.9092697770230288</v>
      </c>
      <c r="Y153" s="843">
        <f t="shared" si="80"/>
        <v>0.99021765998358569</v>
      </c>
      <c r="Z153" s="843">
        <f t="shared" si="81"/>
        <v>0.37163799859590224</v>
      </c>
      <c r="AA153" s="843">
        <f t="shared" si="82"/>
        <v>0.55041618179885132</v>
      </c>
      <c r="AB153" s="796">
        <f t="shared" si="83"/>
        <v>4</v>
      </c>
      <c r="AC153" s="797">
        <f t="shared" si="84"/>
        <v>3</v>
      </c>
      <c r="AD153" s="797">
        <f t="shared" si="85"/>
        <v>1</v>
      </c>
      <c r="AE153" s="842">
        <f t="shared" si="86"/>
        <v>3</v>
      </c>
      <c r="AF153" s="842">
        <f t="shared" si="87"/>
        <v>3</v>
      </c>
      <c r="AG153" s="842">
        <f t="shared" si="88"/>
        <v>1</v>
      </c>
      <c r="AH153" s="842">
        <f t="shared" si="89"/>
        <v>2</v>
      </c>
      <c r="AI153" s="826" cm="1">
        <f t="array" ref="AI153">SUMPRODUCT(--ISNUMBER($U153:$AA153),$AB$3:$AH$3)</f>
        <v>1</v>
      </c>
      <c r="AJ153" s="829">
        <f t="shared" si="90"/>
        <v>33.282431863034759</v>
      </c>
      <c r="AK153" s="827" t="str">
        <f t="shared" si="91"/>
        <v>Inmadura</v>
      </c>
      <c r="AL153" s="784" t="str">
        <f t="shared" si="92"/>
        <v>Alta</v>
      </c>
      <c r="AM153" s="799">
        <f>IF(ISNUMBER('Base de datos Rutas'!W151),'Base de datos Rutas'!W151,"")</f>
        <v>2998.2139778064675</v>
      </c>
      <c r="AN153" s="787">
        <f>IFERROR(SUMIFS('Base de datos Rutas'!$W$6:$W$794,'Base de datos Rutas'!$C$6:$C$794,$C153)/'Base de datos Rutas'!I151,"")</f>
        <v>2998.2139778064688</v>
      </c>
      <c r="AO153" s="800">
        <f>IFERROR('Base de datos Rutas'!X151*AN153/AM153,"")</f>
        <v>0.37802554582777237</v>
      </c>
      <c r="AP153" s="800">
        <f t="shared" si="93"/>
        <v>0.62197445417222763</v>
      </c>
      <c r="AQ153" s="789">
        <f>IFERROR(INDEX('Hoja de apoyo v2'!$J$17:$J$20,MATCH($A153,'Hoja de apoyo v2'!$A$17:$A$20,0)),"")</f>
        <v>0.62197445417222763</v>
      </c>
      <c r="AR153" s="789">
        <f t="shared" si="94"/>
        <v>0</v>
      </c>
      <c r="AS153" s="784" t="str">
        <f t="shared" si="95"/>
        <v>No</v>
      </c>
      <c r="AT153" s="801">
        <f>IF(ISNUMBER('Base de datos Rutas'!CK151),'Base de datos Rutas'!CK151,"")</f>
        <v>415</v>
      </c>
      <c r="AU153" s="802">
        <f>IF(ISNUMBER('Base de datos Rutas'!CL151),'Base de datos Rutas'!CL151,"")</f>
        <v>479.58</v>
      </c>
      <c r="AV153" s="802">
        <f>IF(ISNUMBER('Base de datos Rutas'!CM151),'Base de datos Rutas'!CM151,"")</f>
        <v>64.579999999999984</v>
      </c>
      <c r="AW153" s="802">
        <f>IF(ISNUMBER('Base de datos Rutas'!CN151),'Base de datos Rutas'!CN151,"")</f>
        <v>6.87</v>
      </c>
      <c r="AX153" s="802">
        <f>IF(ISNUMBER('Base de datos Rutas'!CO151),'Base de datos Rutas'!CO151,"")</f>
        <v>9.4499999999999993</v>
      </c>
      <c r="AY153" s="802">
        <f>IF(ISNUMBER('Base de datos Rutas'!CP151),'Base de datos Rutas'!CP151,"")</f>
        <v>2.5799999999999992</v>
      </c>
      <c r="AZ153" s="802">
        <f>IF(ISNUMBER('Base de datos Rutas'!CQ151),'Base de datos Rutas'!CQ151,"")</f>
        <v>814.39</v>
      </c>
      <c r="BA153" s="802">
        <f>IF(ISNUMBER('Base de datos Rutas'!CR151),'Base de datos Rutas'!CR151,"")</f>
        <v>410.52</v>
      </c>
      <c r="BB153" s="803">
        <f>IF(ISNUMBER('Base de datos Rutas'!CS151),'Base de datos Rutas'!CS151,"")</f>
        <v>403.87</v>
      </c>
      <c r="BC153" s="804">
        <f t="shared" si="105"/>
        <v>0</v>
      </c>
      <c r="BD153" s="805" t="str">
        <f t="shared" si="106"/>
        <v>No saturada</v>
      </c>
      <c r="BE153" s="806">
        <f t="shared" si="107"/>
        <v>0.50408281044708303</v>
      </c>
      <c r="BF153" s="890">
        <f>IF(ISNUMBER('Base de datos Rutas'!CX151),'Base de datos Rutas'!CX151/100,"")</f>
        <v>0.1007322526551146</v>
      </c>
      <c r="BG153" s="891">
        <f>IF(ISNUMBER('Base de datos Rutas'!CZ151),'Base de datos Rutas'!CZ151/100,"")</f>
        <v>0.11878144214645053</v>
      </c>
      <c r="BH153" s="892">
        <f>IF(ISNUMBER('Base de datos Rutas'!DA151),'Base de datos Rutas'!DA151,"")</f>
        <v>275.97140762865882</v>
      </c>
      <c r="BI153" s="893">
        <f>IF(ISNUMBER('Base de datos Rutas'!DC151),'Base de datos Rutas'!DC151,"")</f>
        <v>13.559276666538553</v>
      </c>
      <c r="BJ153" s="805" t="str">
        <f t="shared" si="108"/>
        <v>Ruta (completo)</v>
      </c>
      <c r="BK153" s="783">
        <f t="shared" si="96"/>
        <v>1</v>
      </c>
      <c r="BL153" s="797">
        <f t="shared" si="97"/>
        <v>1</v>
      </c>
      <c r="BM153" s="797">
        <f t="shared" si="98"/>
        <v>2</v>
      </c>
      <c r="BN153" s="797">
        <f t="shared" si="99"/>
        <v>2</v>
      </c>
      <c r="BO153" s="798" cm="1">
        <f t="array" ref="BO153">SUMPRODUCT(--ISNUMBER($BF153:$BI153),$BK$3:$BN$3)</f>
        <v>1</v>
      </c>
      <c r="BP153" s="831">
        <f t="shared" si="109"/>
        <v>12.5</v>
      </c>
      <c r="BQ153" s="834" t="str">
        <f t="shared" si="110"/>
        <v>Bajo</v>
      </c>
      <c r="BR153" s="836">
        <f t="shared" si="100"/>
        <v>24.961823897276069</v>
      </c>
      <c r="BS153" s="836">
        <f t="shared" si="101"/>
        <v>12.5</v>
      </c>
      <c r="BT153" s="837" t="str">
        <f t="shared" si="102"/>
        <v>P4</v>
      </c>
      <c r="BU153" s="807" t="str">
        <f t="shared" si="111"/>
        <v>Con espacio</v>
      </c>
      <c r="BV153" s="807" t="str">
        <f t="shared" si="103"/>
        <v>Zona de bajo potencial</v>
      </c>
      <c r="BW153" s="808" t="str">
        <f t="shared" si="104"/>
        <v>P4 - Evaluar</v>
      </c>
    </row>
    <row r="154" spans="1:75">
      <c r="A154" s="780" t="str">
        <f>'Base de datos Rutas'!A152</f>
        <v>Norte</v>
      </c>
      <c r="B154" s="781" t="str">
        <f>'Base de datos Rutas'!B152</f>
        <v>Guadiana</v>
      </c>
      <c r="C154" s="781" t="str">
        <f>'Base de datos Rutas'!C152</f>
        <v>Planta Guadiana</v>
      </c>
      <c r="D154" s="782">
        <f>IF(ISNUMBER('Base de datos Rutas'!D152),'Base de datos Rutas'!D152,"Sin código")</f>
        <v>931406</v>
      </c>
      <c r="E154" s="783" t="str">
        <f>'Base de datos Rutas'!F152</f>
        <v>Activa</v>
      </c>
      <c r="F154" s="784" t="str">
        <f>'Base de datos Rutas'!H152</f>
        <v>Sí</v>
      </c>
      <c r="G154" s="785">
        <f>IF(ISNUMBER('Base de datos Rutas'!BE152),'Base de datos Rutas'!BE152,"")</f>
        <v>72.305045871559599</v>
      </c>
      <c r="H154" s="786">
        <f>IF(ISNUMBER('Base de datos Rutas'!BH152),'Base de datos Rutas'!BH152,"")</f>
        <v>0.66398096748612201</v>
      </c>
      <c r="I154" s="788">
        <f>IFERROR(IF(OR(NOT(ISNUMBER('Base de datos Rutas'!O152)),N('Base de datos Rutas'!BK152)=0),"",'Base de datos Rutas'!O152/('Base de datos Rutas'!L152/'Base de datos Rutas'!BK152)),"")</f>
        <v>2756.3532110091778</v>
      </c>
      <c r="J154" s="788">
        <f>IFERROR(IF(OR(NOT(ISNUMBER('Base de datos Rutas'!N152)),N('Base de datos Rutas'!BK152)=0),"",'Base de datos Rutas'!N152/('Base de datos Rutas'!L152/'Base de datos Rutas'!BK152)),"")</f>
        <v>7912.6972477064319</v>
      </c>
      <c r="K154" s="788">
        <f>IFERROR(IF(OR(NOT(ISNUMBER('Base de datos Rutas'!J152)),N('Base de datos Rutas'!BK152)=0),"",'Base de datos Rutas'!J152/('Base de datos Rutas'!L152/'Base de datos Rutas'!BK152)),"")</f>
        <v>558.09842752293423</v>
      </c>
      <c r="L154" s="788">
        <f>IFERROR(IF(OR(NOT(ISNUMBER('Base de datos Rutas'!K152)),N('Base de datos Rutas'!BK152)=0),"",'Base de datos Rutas'!K152/('Base de datos Rutas'!L152/'Base de datos Rutas'!BK152)),"")</f>
        <v>23.136596979357829</v>
      </c>
      <c r="M154" s="787">
        <f>IF(ISNUMBER('Base de datos Rutas'!AX152),'Base de datos Rutas'!AX152,"")</f>
        <v>222.22925855150001</v>
      </c>
      <c r="N154" s="790">
        <f>IFERROR(INDEX('Hoja de apoyo v2'!B$17:B$20,MATCH($A154,'Hoja de apoyo v2'!$A$17:$A$20,0)),"")</f>
        <v>74.190366972477051</v>
      </c>
      <c r="O154" s="791">
        <f>IFERROR(INDEX('Hoja de apoyo v2'!C$17:C$20,MATCH($A154,'Hoja de apoyo v2'!$A$17:$A$20,0)),"")</f>
        <v>0.71677657005077755</v>
      </c>
      <c r="P154" s="793">
        <f>IFERROR(INDEX('Hoja de apoyo v2'!D$17:D$20,MATCH($A154,'Hoja de apoyo v2'!$A$17:$A$20,0)),"")</f>
        <v>8755.1153350385739</v>
      </c>
      <c r="Q154" s="793">
        <f>IFERROR(INDEX('Hoja de apoyo v2'!E$17:E$20,MATCH($A154,'Hoja de apoyo v2'!$A$17:$A$20,0)),"")</f>
        <v>6098.2042779326393</v>
      </c>
      <c r="R154" s="793">
        <f>IFERROR(INDEX('Hoja de apoyo v2'!F$17:F$20,MATCH($A154,'Hoja de apoyo v2'!$A$17:$A$20,0)),"")</f>
        <v>389.08889713610301</v>
      </c>
      <c r="S154" s="793">
        <f>IFERROR(INDEX('Hoja de apoyo v2'!G$17:G$20,MATCH($A154,'Hoja de apoyo v2'!$A$17:$A$20,0)),"")</f>
        <v>67.90575167807188</v>
      </c>
      <c r="T154" s="792">
        <f>IFERROR(INDEX('Hoja de apoyo v2'!H$17:H$20,MATCH($A154,'Hoja de apoyo v2'!$A$17:$A$20,0)),"")</f>
        <v>258.90325471200998</v>
      </c>
      <c r="U154" s="794">
        <f t="shared" si="76"/>
        <v>0.97458806071660409</v>
      </c>
      <c r="V154" s="795">
        <f t="shared" si="77"/>
        <v>0.92634301291277499</v>
      </c>
      <c r="W154" s="795">
        <f t="shared" si="78"/>
        <v>0.31482774418494097</v>
      </c>
      <c r="X154" s="843">
        <f t="shared" si="79"/>
        <v>1.2975454555269386</v>
      </c>
      <c r="Y154" s="843">
        <f t="shared" si="80"/>
        <v>1.4343725344794709</v>
      </c>
      <c r="Z154" s="843">
        <f t="shared" si="81"/>
        <v>0.34071630764127303</v>
      </c>
      <c r="AA154" s="843">
        <f t="shared" si="82"/>
        <v>0.85834864763942753</v>
      </c>
      <c r="AB154" s="796">
        <f t="shared" si="83"/>
        <v>3</v>
      </c>
      <c r="AC154" s="797">
        <f t="shared" si="84"/>
        <v>3</v>
      </c>
      <c r="AD154" s="797">
        <f t="shared" si="85"/>
        <v>1</v>
      </c>
      <c r="AE154" s="842">
        <f t="shared" si="86"/>
        <v>5</v>
      </c>
      <c r="AF154" s="842">
        <f t="shared" si="87"/>
        <v>5</v>
      </c>
      <c r="AG154" s="842">
        <f t="shared" si="88"/>
        <v>1</v>
      </c>
      <c r="AH154" s="842">
        <f t="shared" si="89"/>
        <v>3</v>
      </c>
      <c r="AI154" s="826" cm="1">
        <f t="array" ref="AI154">SUMPRODUCT(--ISNUMBER($U154:$AA154),$AB$3:$AH$3)</f>
        <v>1</v>
      </c>
      <c r="AJ154" s="829">
        <f t="shared" si="90"/>
        <v>43.664507841741532</v>
      </c>
      <c r="AK154" s="827" t="str">
        <f t="shared" si="91"/>
        <v>Inmadura</v>
      </c>
      <c r="AL154" s="784" t="str">
        <f t="shared" si="92"/>
        <v>Alta</v>
      </c>
      <c r="AM154" s="799">
        <f>IF(ISNUMBER('Base de datos Rutas'!W152),'Base de datos Rutas'!W152,"")</f>
        <v>2998.2139778064675</v>
      </c>
      <c r="AN154" s="787">
        <f>IFERROR(SUMIFS('Base de datos Rutas'!$W$6:$W$794,'Base de datos Rutas'!$C$6:$C$794,$C154)/'Base de datos Rutas'!I152,"")</f>
        <v>2998.2139778064688</v>
      </c>
      <c r="AO154" s="800">
        <f>IFERROR('Base de datos Rutas'!X152*AN154/AM154,"")</f>
        <v>0.37802554582777237</v>
      </c>
      <c r="AP154" s="800">
        <f t="shared" si="93"/>
        <v>0.62197445417222763</v>
      </c>
      <c r="AQ154" s="789">
        <f>IFERROR(INDEX('Hoja de apoyo v2'!$J$17:$J$20,MATCH($A154,'Hoja de apoyo v2'!$A$17:$A$20,0)),"")</f>
        <v>0.62197445417222763</v>
      </c>
      <c r="AR154" s="789">
        <f t="shared" si="94"/>
        <v>0</v>
      </c>
      <c r="AS154" s="784" t="str">
        <f t="shared" si="95"/>
        <v>No</v>
      </c>
      <c r="AT154" s="801">
        <f>IF(ISNUMBER('Base de datos Rutas'!CK152),'Base de datos Rutas'!CK152,"")</f>
        <v>375</v>
      </c>
      <c r="AU154" s="802">
        <f>IF(ISNUMBER('Base de datos Rutas'!CL152),'Base de datos Rutas'!CL152,"")</f>
        <v>616.94000000000005</v>
      </c>
      <c r="AV154" s="802">
        <f>IF(ISNUMBER('Base de datos Rutas'!CM152),'Base de datos Rutas'!CM152,"")</f>
        <v>241.94000000000005</v>
      </c>
      <c r="AW154" s="802">
        <f>IF(ISNUMBER('Base de datos Rutas'!CN152),'Base de datos Rutas'!CN152,"")</f>
        <v>5.12</v>
      </c>
      <c r="AX154" s="802">
        <f>IF(ISNUMBER('Base de datos Rutas'!CO152),'Base de datos Rutas'!CO152,"")</f>
        <v>9.4499999999999993</v>
      </c>
      <c r="AY154" s="802">
        <f>IF(ISNUMBER('Base de datos Rutas'!CP152),'Base de datos Rutas'!CP152,"")</f>
        <v>4.3299999999999992</v>
      </c>
      <c r="AZ154" s="802">
        <f>IF(ISNUMBER('Base de datos Rutas'!CQ152),'Base de datos Rutas'!CQ152,"")</f>
        <v>814.39</v>
      </c>
      <c r="BA154" s="802">
        <f>IF(ISNUMBER('Base de datos Rutas'!CR152),'Base de datos Rutas'!CR152,"")</f>
        <v>581.24</v>
      </c>
      <c r="BB154" s="803">
        <f>IF(ISNUMBER('Base de datos Rutas'!CS152),'Base de datos Rutas'!CS152,"")</f>
        <v>233.14999999999998</v>
      </c>
      <c r="BC154" s="804">
        <f t="shared" si="105"/>
        <v>0</v>
      </c>
      <c r="BD154" s="805" t="str">
        <f t="shared" si="106"/>
        <v>No saturada</v>
      </c>
      <c r="BE154" s="806">
        <f t="shared" si="107"/>
        <v>0.71371210353761716</v>
      </c>
      <c r="BF154" s="890">
        <f>IF(ISNUMBER('Base de datos Rutas'!CX152),'Base de datos Rutas'!CX152/100,"")</f>
        <v>0.44475049337468275</v>
      </c>
      <c r="BG154" s="891">
        <f>IF(ISNUMBER('Base de datos Rutas'!CZ152),'Base de datos Rutas'!CZ152/100,"")</f>
        <v>0.47885537073583317</v>
      </c>
      <c r="BH154" s="892">
        <f>IF(ISNUMBER('Base de datos Rutas'!DA152),'Base de datos Rutas'!DA152,"")</f>
        <v>289.29831759801743</v>
      </c>
      <c r="BI154" s="893">
        <f>IF(ISNUMBER('Base de datos Rutas'!DC152),'Base de datos Rutas'!DC152,"")</f>
        <v>14.998901299628949</v>
      </c>
      <c r="BJ154" s="805" t="str">
        <f t="shared" si="108"/>
        <v>Ruta (completo)</v>
      </c>
      <c r="BK154" s="783">
        <f t="shared" si="96"/>
        <v>3</v>
      </c>
      <c r="BL154" s="797">
        <f t="shared" si="97"/>
        <v>3</v>
      </c>
      <c r="BM154" s="797">
        <f t="shared" si="98"/>
        <v>2</v>
      </c>
      <c r="BN154" s="797">
        <f t="shared" si="99"/>
        <v>2</v>
      </c>
      <c r="BO154" s="798" cm="1">
        <f t="array" ref="BO154">SUMPRODUCT(--ISNUMBER($BF154:$BI154),$BK$3:$BN$3)</f>
        <v>1</v>
      </c>
      <c r="BP154" s="831">
        <f t="shared" si="109"/>
        <v>37.5</v>
      </c>
      <c r="BQ154" s="834" t="str">
        <f t="shared" si="110"/>
        <v>Medio</v>
      </c>
      <c r="BR154" s="836">
        <f t="shared" si="100"/>
        <v>32.748380881306147</v>
      </c>
      <c r="BS154" s="836">
        <f t="shared" si="101"/>
        <v>37.5</v>
      </c>
      <c r="BT154" s="837" t="str">
        <f t="shared" si="102"/>
        <v>P2</v>
      </c>
      <c r="BU154" s="807" t="str">
        <f t="shared" si="111"/>
        <v>Con espacio</v>
      </c>
      <c r="BV154" s="807" t="str">
        <f t="shared" si="103"/>
        <v>Zona de bajo potencial</v>
      </c>
      <c r="BW154" s="808" t="str">
        <f t="shared" si="104"/>
        <v>P2 - Mantener</v>
      </c>
    </row>
    <row r="155" spans="1:75">
      <c r="A155" s="780" t="str">
        <f>'Base de datos Rutas'!A153</f>
        <v>Norte</v>
      </c>
      <c r="B155" s="781" t="str">
        <f>'Base de datos Rutas'!B153</f>
        <v>Guadiana</v>
      </c>
      <c r="C155" s="781" t="str">
        <f>'Base de datos Rutas'!C153</f>
        <v>Planta Guadiana</v>
      </c>
      <c r="D155" s="782">
        <f>IF(ISNUMBER('Base de datos Rutas'!D153),'Base de datos Rutas'!D153,"Sin código")</f>
        <v>931407</v>
      </c>
      <c r="E155" s="783" t="str">
        <f>'Base de datos Rutas'!F153</f>
        <v>Activa</v>
      </c>
      <c r="F155" s="784" t="str">
        <f>'Base de datos Rutas'!H153</f>
        <v>Sí</v>
      </c>
      <c r="G155" s="785">
        <f>IF(ISNUMBER('Base de datos Rutas'!BE153),'Base de datos Rutas'!BE153,"")</f>
        <v>70.752293577981703</v>
      </c>
      <c r="H155" s="786">
        <f>IF(ISNUMBER('Base de datos Rutas'!BH153),'Base de datos Rutas'!BH153,"")</f>
        <v>0.747082468879668</v>
      </c>
      <c r="I155" s="788">
        <f>IFERROR(IF(OR(NOT(ISNUMBER('Base de datos Rutas'!O153)),N('Base de datos Rutas'!BK153)=0),"",'Base de datos Rutas'!O153/('Base de datos Rutas'!L153/'Base de datos Rutas'!BK153)),"")</f>
        <v>3442.3050458715552</v>
      </c>
      <c r="J155" s="788">
        <f>IFERROR(IF(OR(NOT(ISNUMBER('Base de datos Rutas'!N153)),N('Base de datos Rutas'!BK153)=0),"",'Base de datos Rutas'!N153/('Base de datos Rutas'!L153/'Base de datos Rutas'!BK153)),"")</f>
        <v>5537.7706422018273</v>
      </c>
      <c r="K155" s="788">
        <f>IFERROR(IF(OR(NOT(ISNUMBER('Base de datos Rutas'!J153)),N('Base de datos Rutas'!BK153)=0),"",'Base de datos Rutas'!J153/('Base de datos Rutas'!L153/'Base de datos Rutas'!BK153)),"")</f>
        <v>383.06907889908206</v>
      </c>
      <c r="L155" s="788">
        <f>IFERROR(IF(OR(NOT(ISNUMBER('Base de datos Rutas'!K153)),N('Base de datos Rutas'!BK153)=0),"",'Base de datos Rutas'!K153/('Base de datos Rutas'!L153/'Base de datos Rutas'!BK153)),"")</f>
        <v>26.724222233944918</v>
      </c>
      <c r="M155" s="787">
        <f>IF(ISNUMBER('Base de datos Rutas'!AX153),'Base de datos Rutas'!AX153,"")</f>
        <v>169.89114944024999</v>
      </c>
      <c r="N155" s="790">
        <f>IFERROR(INDEX('Hoja de apoyo v2'!B$17:B$20,MATCH($A155,'Hoja de apoyo v2'!$A$17:$A$20,0)),"")</f>
        <v>74.190366972477051</v>
      </c>
      <c r="O155" s="791">
        <f>IFERROR(INDEX('Hoja de apoyo v2'!C$17:C$20,MATCH($A155,'Hoja de apoyo v2'!$A$17:$A$20,0)),"")</f>
        <v>0.71677657005077755</v>
      </c>
      <c r="P155" s="793">
        <f>IFERROR(INDEX('Hoja de apoyo v2'!D$17:D$20,MATCH($A155,'Hoja de apoyo v2'!$A$17:$A$20,0)),"")</f>
        <v>8755.1153350385739</v>
      </c>
      <c r="Q155" s="793">
        <f>IFERROR(INDEX('Hoja de apoyo v2'!E$17:E$20,MATCH($A155,'Hoja de apoyo v2'!$A$17:$A$20,0)),"")</f>
        <v>6098.2042779326393</v>
      </c>
      <c r="R155" s="793">
        <f>IFERROR(INDEX('Hoja de apoyo v2'!F$17:F$20,MATCH($A155,'Hoja de apoyo v2'!$A$17:$A$20,0)),"")</f>
        <v>389.08889713610301</v>
      </c>
      <c r="S155" s="793">
        <f>IFERROR(INDEX('Hoja de apoyo v2'!G$17:G$20,MATCH($A155,'Hoja de apoyo v2'!$A$17:$A$20,0)),"")</f>
        <v>67.90575167807188</v>
      </c>
      <c r="T155" s="792">
        <f>IFERROR(INDEX('Hoja de apoyo v2'!H$17:H$20,MATCH($A155,'Hoja de apoyo v2'!$A$17:$A$20,0)),"")</f>
        <v>258.90325471200998</v>
      </c>
      <c r="U155" s="794">
        <f t="shared" si="76"/>
        <v>0.95365876279098616</v>
      </c>
      <c r="V155" s="795">
        <f t="shared" si="77"/>
        <v>1.0422808167777353</v>
      </c>
      <c r="W155" s="795">
        <f t="shared" si="78"/>
        <v>0.39317643619099035</v>
      </c>
      <c r="X155" s="843">
        <f t="shared" si="79"/>
        <v>0.90809857948530293</v>
      </c>
      <c r="Y155" s="843">
        <f t="shared" si="80"/>
        <v>0.98452842452886746</v>
      </c>
      <c r="Z155" s="843">
        <f t="shared" si="81"/>
        <v>0.39354872854716816</v>
      </c>
      <c r="AA155" s="843">
        <f t="shared" si="82"/>
        <v>0.65619549522167164</v>
      </c>
      <c r="AB155" s="796">
        <f t="shared" si="83"/>
        <v>3</v>
      </c>
      <c r="AC155" s="797">
        <f t="shared" si="84"/>
        <v>4</v>
      </c>
      <c r="AD155" s="797">
        <f t="shared" si="85"/>
        <v>1</v>
      </c>
      <c r="AE155" s="842">
        <f t="shared" si="86"/>
        <v>3</v>
      </c>
      <c r="AF155" s="842">
        <f t="shared" si="87"/>
        <v>3</v>
      </c>
      <c r="AG155" s="842">
        <f t="shared" si="88"/>
        <v>1</v>
      </c>
      <c r="AH155" s="842">
        <f t="shared" si="89"/>
        <v>2</v>
      </c>
      <c r="AI155" s="826" cm="1">
        <f t="array" ref="AI155">SUMPRODUCT(--ISNUMBER($U155:$AA155),$AB$3:$AH$3)</f>
        <v>1</v>
      </c>
      <c r="AJ155" s="829">
        <f t="shared" si="90"/>
        <v>31.131701270788469</v>
      </c>
      <c r="AK155" s="827" t="str">
        <f t="shared" si="91"/>
        <v>Inmadura</v>
      </c>
      <c r="AL155" s="784" t="str">
        <f t="shared" si="92"/>
        <v>Alta</v>
      </c>
      <c r="AM155" s="799">
        <f>IF(ISNUMBER('Base de datos Rutas'!W153),'Base de datos Rutas'!W153,"")</f>
        <v>2998.2139778064675</v>
      </c>
      <c r="AN155" s="787">
        <f>IFERROR(SUMIFS('Base de datos Rutas'!$W$6:$W$794,'Base de datos Rutas'!$C$6:$C$794,$C155)/'Base de datos Rutas'!I153,"")</f>
        <v>2998.2139778064688</v>
      </c>
      <c r="AO155" s="800">
        <f>IFERROR('Base de datos Rutas'!X153*AN155/AM155,"")</f>
        <v>0.37802554582777237</v>
      </c>
      <c r="AP155" s="800">
        <f t="shared" si="93"/>
        <v>0.62197445417222763</v>
      </c>
      <c r="AQ155" s="789">
        <f>IFERROR(INDEX('Hoja de apoyo v2'!$J$17:$J$20,MATCH($A155,'Hoja de apoyo v2'!$A$17:$A$20,0)),"")</f>
        <v>0.62197445417222763</v>
      </c>
      <c r="AR155" s="789">
        <f t="shared" si="94"/>
        <v>0</v>
      </c>
      <c r="AS155" s="784" t="str">
        <f t="shared" si="95"/>
        <v>No</v>
      </c>
      <c r="AT155" s="801">
        <f>IF(ISNUMBER('Base de datos Rutas'!CK153),'Base de datos Rutas'!CK153,"")</f>
        <v>382</v>
      </c>
      <c r="AU155" s="802">
        <f>IF(ISNUMBER('Base de datos Rutas'!CL153),'Base de datos Rutas'!CL153,"")</f>
        <v>611.76</v>
      </c>
      <c r="AV155" s="802">
        <f>IF(ISNUMBER('Base de datos Rutas'!CM153),'Base de datos Rutas'!CM153,"")</f>
        <v>229.76</v>
      </c>
      <c r="AW155" s="802">
        <f>IF(ISNUMBER('Base de datos Rutas'!CN153),'Base de datos Rutas'!CN153,"")</f>
        <v>7.29</v>
      </c>
      <c r="AX155" s="802">
        <f>IF(ISNUMBER('Base de datos Rutas'!CO153),'Base de datos Rutas'!CO153,"")</f>
        <v>9.4499999999999993</v>
      </c>
      <c r="AY155" s="802">
        <f>IF(ISNUMBER('Base de datos Rutas'!CP153),'Base de datos Rutas'!CP153,"")</f>
        <v>2.1599999999999993</v>
      </c>
      <c r="AZ155" s="802">
        <f>IF(ISNUMBER('Base de datos Rutas'!CQ153),'Base de datos Rutas'!CQ153,"")</f>
        <v>814.39</v>
      </c>
      <c r="BA155" s="802">
        <f>IF(ISNUMBER('Base de datos Rutas'!CR153),'Base de datos Rutas'!CR153,"")</f>
        <v>409.79</v>
      </c>
      <c r="BB155" s="803">
        <f>IF(ISNUMBER('Base de datos Rutas'!CS153),'Base de datos Rutas'!CS153,"")</f>
        <v>404.59999999999997</v>
      </c>
      <c r="BC155" s="804">
        <f t="shared" si="105"/>
        <v>0</v>
      </c>
      <c r="BD155" s="805" t="str">
        <f t="shared" si="106"/>
        <v>No saturada</v>
      </c>
      <c r="BE155" s="806">
        <f t="shared" si="107"/>
        <v>0.50318643401809948</v>
      </c>
      <c r="BF155" s="890">
        <f>IF(ISNUMBER('Base de datos Rutas'!CX153),'Base de datos Rutas'!CX153/100,"")</f>
        <v>0.67338778177066316</v>
      </c>
      <c r="BG155" s="891">
        <f>IF(ISNUMBER('Base de datos Rutas'!CZ153),'Base de datos Rutas'!CZ153/100,"")</f>
        <v>0.74844821953609941</v>
      </c>
      <c r="BH155" s="892">
        <f>IF(ISNUMBER('Base de datos Rutas'!DA153),'Base de datos Rutas'!DA153,"")</f>
        <v>1051.9677095868431</v>
      </c>
      <c r="BI155" s="893">
        <f>IF(ISNUMBER('Base de datos Rutas'!DC153),'Base de datos Rutas'!DC153,"")</f>
        <v>46.186683319354799</v>
      </c>
      <c r="BJ155" s="805" t="str">
        <f t="shared" si="108"/>
        <v>Ruta (completo)</v>
      </c>
      <c r="BK155" s="783">
        <f t="shared" si="96"/>
        <v>4</v>
      </c>
      <c r="BL155" s="797">
        <f t="shared" si="97"/>
        <v>4</v>
      </c>
      <c r="BM155" s="797">
        <f t="shared" si="98"/>
        <v>5</v>
      </c>
      <c r="BN155" s="797">
        <f t="shared" si="99"/>
        <v>5</v>
      </c>
      <c r="BO155" s="798" cm="1">
        <f t="array" ref="BO155">SUMPRODUCT(--ISNUMBER($BF155:$BI155),$BK$3:$BN$3)</f>
        <v>1</v>
      </c>
      <c r="BP155" s="831">
        <f t="shared" si="109"/>
        <v>87.5</v>
      </c>
      <c r="BQ155" s="834" t="str">
        <f t="shared" si="110"/>
        <v>Alto</v>
      </c>
      <c r="BR155" s="836">
        <f t="shared" si="100"/>
        <v>23.348775953091351</v>
      </c>
      <c r="BS155" s="836">
        <f t="shared" si="101"/>
        <v>87.5</v>
      </c>
      <c r="BT155" s="837" t="str">
        <f t="shared" si="102"/>
        <v>P3</v>
      </c>
      <c r="BU155" s="807" t="str">
        <f t="shared" si="111"/>
        <v>Con espacio</v>
      </c>
      <c r="BV155" s="807" t="str">
        <f t="shared" si="103"/>
        <v>Zona atractiva</v>
      </c>
      <c r="BW155" s="808" t="str">
        <f t="shared" si="104"/>
        <v>P3 - Desarrollar</v>
      </c>
    </row>
    <row r="156" spans="1:75">
      <c r="A156" s="780" t="str">
        <f>'Base de datos Rutas'!A154</f>
        <v>Norte</v>
      </c>
      <c r="B156" s="781" t="str">
        <f>'Base de datos Rutas'!B154</f>
        <v>Guadiana</v>
      </c>
      <c r="C156" s="781" t="str">
        <f>'Base de datos Rutas'!C154</f>
        <v>Planta Guadiana</v>
      </c>
      <c r="D156" s="782">
        <f>IF(ISNUMBER('Base de datos Rutas'!D154),'Base de datos Rutas'!D154,"Sin código")</f>
        <v>931408</v>
      </c>
      <c r="E156" s="783" t="str">
        <f>'Base de datos Rutas'!F154</f>
        <v>Activa</v>
      </c>
      <c r="F156" s="784" t="str">
        <f>'Base de datos Rutas'!H154</f>
        <v>Sí</v>
      </c>
      <c r="G156" s="785">
        <f>IF(ISNUMBER('Base de datos Rutas'!BE154),'Base de datos Rutas'!BE154,"")</f>
        <v>83.866972477064195</v>
      </c>
      <c r="H156" s="786">
        <f>IF(ISNUMBER('Base de datos Rutas'!BH154),'Base de datos Rutas'!BH154,"")</f>
        <v>0.77593939725427996</v>
      </c>
      <c r="I156" s="788">
        <f>IFERROR(IF(OR(NOT(ISNUMBER('Base de datos Rutas'!O154)),N('Base de datos Rutas'!BK154)=0),"",'Base de datos Rutas'!O154/('Base de datos Rutas'!L154/'Base de datos Rutas'!BK154)),"")</f>
        <v>3089.2683486238602</v>
      </c>
      <c r="J156" s="788">
        <f>IFERROR(IF(OR(NOT(ISNUMBER('Base de datos Rutas'!N154)),N('Base de datos Rutas'!BK154)=0),"",'Base de datos Rutas'!N154/('Base de datos Rutas'!L154/'Base de datos Rutas'!BK154)),"")</f>
        <v>6450.3577981651515</v>
      </c>
      <c r="K156" s="788">
        <f>IFERROR(IF(OR(NOT(ISNUMBER('Base de datos Rutas'!J154)),N('Base de datos Rutas'!BK154)=0),"",'Base de datos Rutas'!J154/('Base de datos Rutas'!L154/'Base de datos Rutas'!BK154)),"")</f>
        <v>441.24523119265922</v>
      </c>
      <c r="L156" s="788">
        <f>IFERROR(IF(OR(NOT(ISNUMBER('Base de datos Rutas'!K154)),N('Base de datos Rutas'!BK154)=0),"",'Base de datos Rutas'!K154/('Base de datos Rutas'!L154/'Base de datos Rutas'!BK154)),"")</f>
        <v>26.251485594036758</v>
      </c>
      <c r="M156" s="787">
        <f>IF(ISNUMBER('Base de datos Rutas'!AX154),'Base de datos Rutas'!AX154,"")</f>
        <v>146.59279843513201</v>
      </c>
      <c r="N156" s="790">
        <f>IFERROR(INDEX('Hoja de apoyo v2'!B$17:B$20,MATCH($A156,'Hoja de apoyo v2'!$A$17:$A$20,0)),"")</f>
        <v>74.190366972477051</v>
      </c>
      <c r="O156" s="791">
        <f>IFERROR(INDEX('Hoja de apoyo v2'!C$17:C$20,MATCH($A156,'Hoja de apoyo v2'!$A$17:$A$20,0)),"")</f>
        <v>0.71677657005077755</v>
      </c>
      <c r="P156" s="793">
        <f>IFERROR(INDEX('Hoja de apoyo v2'!D$17:D$20,MATCH($A156,'Hoja de apoyo v2'!$A$17:$A$20,0)),"")</f>
        <v>8755.1153350385739</v>
      </c>
      <c r="Q156" s="793">
        <f>IFERROR(INDEX('Hoja de apoyo v2'!E$17:E$20,MATCH($A156,'Hoja de apoyo v2'!$A$17:$A$20,0)),"")</f>
        <v>6098.2042779326393</v>
      </c>
      <c r="R156" s="793">
        <f>IFERROR(INDEX('Hoja de apoyo v2'!F$17:F$20,MATCH($A156,'Hoja de apoyo v2'!$A$17:$A$20,0)),"")</f>
        <v>389.08889713610301</v>
      </c>
      <c r="S156" s="793">
        <f>IFERROR(INDEX('Hoja de apoyo v2'!G$17:G$20,MATCH($A156,'Hoja de apoyo v2'!$A$17:$A$20,0)),"")</f>
        <v>67.90575167807188</v>
      </c>
      <c r="T156" s="792">
        <f>IFERROR(INDEX('Hoja de apoyo v2'!H$17:H$20,MATCH($A156,'Hoja de apoyo v2'!$A$17:$A$20,0)),"")</f>
        <v>258.90325471200998</v>
      </c>
      <c r="U156" s="794">
        <f t="shared" si="76"/>
        <v>1.1304294061273068</v>
      </c>
      <c r="V156" s="795">
        <f t="shared" si="77"/>
        <v>1.0825401243225783</v>
      </c>
      <c r="W156" s="795">
        <f t="shared" si="78"/>
        <v>0.35285295857387461</v>
      </c>
      <c r="X156" s="843">
        <f t="shared" si="79"/>
        <v>1.0577470849093786</v>
      </c>
      <c r="Y156" s="843">
        <f t="shared" si="80"/>
        <v>1.134047346096108</v>
      </c>
      <c r="Z156" s="843">
        <f t="shared" si="81"/>
        <v>0.38658707024538963</v>
      </c>
      <c r="AA156" s="843">
        <f t="shared" si="82"/>
        <v>0.56620685822661421</v>
      </c>
      <c r="AB156" s="796">
        <f t="shared" si="83"/>
        <v>4</v>
      </c>
      <c r="AC156" s="797">
        <f t="shared" si="84"/>
        <v>4</v>
      </c>
      <c r="AD156" s="797">
        <f t="shared" si="85"/>
        <v>1</v>
      </c>
      <c r="AE156" s="842">
        <f t="shared" si="86"/>
        <v>4</v>
      </c>
      <c r="AF156" s="842">
        <f t="shared" si="87"/>
        <v>4</v>
      </c>
      <c r="AG156" s="842">
        <f t="shared" si="88"/>
        <v>1</v>
      </c>
      <c r="AH156" s="842">
        <f t="shared" si="89"/>
        <v>2</v>
      </c>
      <c r="AI156" s="826" cm="1">
        <f t="array" ref="AI156">SUMPRODUCT(--ISNUMBER($U156:$AA156),$AB$3:$AH$3)</f>
        <v>1</v>
      </c>
      <c r="AJ156" s="829">
        <f t="shared" si="90"/>
        <v>42.000829607183711</v>
      </c>
      <c r="AK156" s="827" t="str">
        <f t="shared" si="91"/>
        <v>Inmadura</v>
      </c>
      <c r="AL156" s="784" t="str">
        <f t="shared" si="92"/>
        <v>Alta</v>
      </c>
      <c r="AM156" s="799">
        <f>IF(ISNUMBER('Base de datos Rutas'!W154),'Base de datos Rutas'!W154,"")</f>
        <v>2998.2139778064675</v>
      </c>
      <c r="AN156" s="787">
        <f>IFERROR(SUMIFS('Base de datos Rutas'!$W$6:$W$794,'Base de datos Rutas'!$C$6:$C$794,$C156)/'Base de datos Rutas'!I154,"")</f>
        <v>2998.2139778064688</v>
      </c>
      <c r="AO156" s="800">
        <f>IFERROR('Base de datos Rutas'!X154*AN156/AM156,"")</f>
        <v>0.37802554582777237</v>
      </c>
      <c r="AP156" s="800">
        <f t="shared" si="93"/>
        <v>0.62197445417222763</v>
      </c>
      <c r="AQ156" s="789">
        <f>IFERROR(INDEX('Hoja de apoyo v2'!$J$17:$J$20,MATCH($A156,'Hoja de apoyo v2'!$A$17:$A$20,0)),"")</f>
        <v>0.62197445417222763</v>
      </c>
      <c r="AR156" s="789">
        <f t="shared" si="94"/>
        <v>0</v>
      </c>
      <c r="AS156" s="784" t="str">
        <f t="shared" si="95"/>
        <v>No</v>
      </c>
      <c r="AT156" s="801">
        <f>IF(ISNUMBER('Base de datos Rutas'!CK154),'Base de datos Rutas'!CK154,"")</f>
        <v>518</v>
      </c>
      <c r="AU156" s="802">
        <f>IF(ISNUMBER('Base de datos Rutas'!CL154),'Base de datos Rutas'!CL154,"")</f>
        <v>708.71</v>
      </c>
      <c r="AV156" s="802">
        <f>IF(ISNUMBER('Base de datos Rutas'!CM154),'Base de datos Rutas'!CM154,"")</f>
        <v>190.71000000000004</v>
      </c>
      <c r="AW156" s="802">
        <f>IF(ISNUMBER('Base de datos Rutas'!CN154),'Base de datos Rutas'!CN154,"")</f>
        <v>7.97</v>
      </c>
      <c r="AX156" s="802">
        <f>IF(ISNUMBER('Base de datos Rutas'!CO154),'Base de datos Rutas'!CO154,"")</f>
        <v>9.4499999999999993</v>
      </c>
      <c r="AY156" s="802">
        <f>IF(ISNUMBER('Base de datos Rutas'!CP154),'Base de datos Rutas'!CP154,"")</f>
        <v>1.4799999999999995</v>
      </c>
      <c r="AZ156" s="802">
        <f>IF(ISNUMBER('Base de datos Rutas'!CQ154),'Base de datos Rutas'!CQ154,"")</f>
        <v>814.39</v>
      </c>
      <c r="BA156" s="802">
        <f>IF(ISNUMBER('Base de datos Rutas'!CR154),'Base de datos Rutas'!CR154,"")</f>
        <v>467.5</v>
      </c>
      <c r="BB156" s="803">
        <f>IF(ISNUMBER('Base de datos Rutas'!CS154),'Base de datos Rutas'!CS154,"")</f>
        <v>346.89</v>
      </c>
      <c r="BC156" s="804">
        <f t="shared" si="105"/>
        <v>0</v>
      </c>
      <c r="BD156" s="805" t="str">
        <f t="shared" si="106"/>
        <v>No saturada</v>
      </c>
      <c r="BE156" s="806">
        <f t="shared" si="107"/>
        <v>0.5740492884244649</v>
      </c>
      <c r="BF156" s="890">
        <f>IF(ISNUMBER('Base de datos Rutas'!CX154),'Base de datos Rutas'!CX154/100,"")</f>
        <v>0.3931094491586366</v>
      </c>
      <c r="BG156" s="891">
        <f>IF(ISNUMBER('Base de datos Rutas'!CZ154),'Base de datos Rutas'!CZ154/100,"")</f>
        <v>0.42053789731051344</v>
      </c>
      <c r="BH156" s="892">
        <f>IF(ISNUMBER('Base de datos Rutas'!DA154),'Base de datos Rutas'!DA154,"")</f>
        <v>374.15925338514586</v>
      </c>
      <c r="BI156" s="893">
        <f>IF(ISNUMBER('Base de datos Rutas'!DC154),'Base de datos Rutas'!DC154,"")</f>
        <v>17.641674984006908</v>
      </c>
      <c r="BJ156" s="805" t="str">
        <f t="shared" si="108"/>
        <v>Ruta (completo)</v>
      </c>
      <c r="BK156" s="783">
        <f t="shared" si="96"/>
        <v>3</v>
      </c>
      <c r="BL156" s="797">
        <f t="shared" si="97"/>
        <v>3</v>
      </c>
      <c r="BM156" s="797">
        <f t="shared" si="98"/>
        <v>3</v>
      </c>
      <c r="BN156" s="797">
        <f t="shared" si="99"/>
        <v>2</v>
      </c>
      <c r="BO156" s="798" cm="1">
        <f t="array" ref="BO156">SUMPRODUCT(--ISNUMBER($BF156:$BI156),$BK$3:$BN$3)</f>
        <v>1</v>
      </c>
      <c r="BP156" s="831">
        <f t="shared" si="109"/>
        <v>43.75</v>
      </c>
      <c r="BQ156" s="834" t="str">
        <f t="shared" si="110"/>
        <v>Medio</v>
      </c>
      <c r="BR156" s="836">
        <f t="shared" si="100"/>
        <v>31.500622205387785</v>
      </c>
      <c r="BS156" s="836">
        <f t="shared" si="101"/>
        <v>43.75</v>
      </c>
      <c r="BT156" s="837" t="str">
        <f t="shared" si="102"/>
        <v>P2</v>
      </c>
      <c r="BU156" s="807" t="str">
        <f t="shared" si="111"/>
        <v>Con espacio</v>
      </c>
      <c r="BV156" s="807" t="str">
        <f t="shared" si="103"/>
        <v>Zona de bajo potencial</v>
      </c>
      <c r="BW156" s="808" t="str">
        <f t="shared" si="104"/>
        <v>P2 - Mantener</v>
      </c>
    </row>
    <row r="157" spans="1:75">
      <c r="A157" s="780" t="str">
        <f>'Base de datos Rutas'!A155</f>
        <v>Norte</v>
      </c>
      <c r="B157" s="781" t="str">
        <f>'Base de datos Rutas'!B155</f>
        <v>Guadiana</v>
      </c>
      <c r="C157" s="781" t="str">
        <f>'Base de datos Rutas'!C155</f>
        <v>Planta Guadiana</v>
      </c>
      <c r="D157" s="782">
        <f>IF(ISNUMBER('Base de datos Rutas'!D155),'Base de datos Rutas'!D155,"Sin código")</f>
        <v>931410</v>
      </c>
      <c r="E157" s="783" t="str">
        <f>'Base de datos Rutas'!F155</f>
        <v>Activa</v>
      </c>
      <c r="F157" s="784" t="str">
        <f>'Base de datos Rutas'!H155</f>
        <v>Sí</v>
      </c>
      <c r="G157" s="785">
        <f>IF(ISNUMBER('Base de datos Rutas'!BE155),'Base de datos Rutas'!BE155,"")</f>
        <v>75.022935779816507</v>
      </c>
      <c r="H157" s="786">
        <f>IF(ISNUMBER('Base de datos Rutas'!BH155),'Base de datos Rutas'!BH155,"")</f>
        <v>0.75368388871904601</v>
      </c>
      <c r="I157" s="788">
        <f>IFERROR(IF(OR(NOT(ISNUMBER('Base de datos Rutas'!O155)),N('Base de datos Rutas'!BK155)=0),"",'Base de datos Rutas'!O155/('Base de datos Rutas'!L155/'Base de datos Rutas'!BK155)),"")</f>
        <v>3329.2660550458677</v>
      </c>
      <c r="J157" s="788">
        <f>IFERROR(IF(OR(NOT(ISNUMBER('Base de datos Rutas'!N155)),N('Base de datos Rutas'!BK155)=0),"",'Base de datos Rutas'!N155/('Base de datos Rutas'!L155/'Base de datos Rutas'!BK155)),"")</f>
        <v>5618.7522935779753</v>
      </c>
      <c r="K157" s="788">
        <f>IFERROR(IF(OR(NOT(ISNUMBER('Base de datos Rutas'!J155)),N('Base de datos Rutas'!BK155)=0),"",'Base de datos Rutas'!J155/('Base de datos Rutas'!L155/'Base de datos Rutas'!BK155)),"")</f>
        <v>396.38310458715551</v>
      </c>
      <c r="L157" s="788">
        <f>IFERROR(IF(OR(NOT(ISNUMBER('Base de datos Rutas'!K155)),N('Base de datos Rutas'!BK155)=0),"",'Base de datos Rutas'!K155/('Base de datos Rutas'!L155/'Base de datos Rutas'!BK155)),"")</f>
        <v>29.898601942660513</v>
      </c>
      <c r="M157" s="787">
        <f>IF(ISNUMBER('Base de datos Rutas'!AX155),'Base de datos Rutas'!AX155,"")</f>
        <v>158.24986817020201</v>
      </c>
      <c r="N157" s="790">
        <f>IFERROR(INDEX('Hoja de apoyo v2'!B$17:B$20,MATCH($A157,'Hoja de apoyo v2'!$A$17:$A$20,0)),"")</f>
        <v>74.190366972477051</v>
      </c>
      <c r="O157" s="791">
        <f>IFERROR(INDEX('Hoja de apoyo v2'!C$17:C$20,MATCH($A157,'Hoja de apoyo v2'!$A$17:$A$20,0)),"")</f>
        <v>0.71677657005077755</v>
      </c>
      <c r="P157" s="793">
        <f>IFERROR(INDEX('Hoja de apoyo v2'!D$17:D$20,MATCH($A157,'Hoja de apoyo v2'!$A$17:$A$20,0)),"")</f>
        <v>8755.1153350385739</v>
      </c>
      <c r="Q157" s="793">
        <f>IFERROR(INDEX('Hoja de apoyo v2'!E$17:E$20,MATCH($A157,'Hoja de apoyo v2'!$A$17:$A$20,0)),"")</f>
        <v>6098.2042779326393</v>
      </c>
      <c r="R157" s="793">
        <f>IFERROR(INDEX('Hoja de apoyo v2'!F$17:F$20,MATCH($A157,'Hoja de apoyo v2'!$A$17:$A$20,0)),"")</f>
        <v>389.08889713610301</v>
      </c>
      <c r="S157" s="793">
        <f>IFERROR(INDEX('Hoja de apoyo v2'!G$17:G$20,MATCH($A157,'Hoja de apoyo v2'!$A$17:$A$20,0)),"")</f>
        <v>67.90575167807188</v>
      </c>
      <c r="T157" s="792">
        <f>IFERROR(INDEX('Hoja de apoyo v2'!H$17:H$20,MATCH($A157,'Hoja de apoyo v2'!$A$17:$A$20,0)),"")</f>
        <v>258.90325471200998</v>
      </c>
      <c r="U157" s="794">
        <f t="shared" si="76"/>
        <v>1.0112220607784339</v>
      </c>
      <c r="V157" s="795">
        <f t="shared" si="77"/>
        <v>1.0514906879080239</v>
      </c>
      <c r="W157" s="795">
        <f t="shared" si="78"/>
        <v>0.38026524239171539</v>
      </c>
      <c r="X157" s="843">
        <f t="shared" si="79"/>
        <v>0.9213781692932721</v>
      </c>
      <c r="Y157" s="843">
        <f t="shared" si="80"/>
        <v>1.0187468917893614</v>
      </c>
      <c r="Z157" s="843">
        <f t="shared" si="81"/>
        <v>0.44029557443681705</v>
      </c>
      <c r="AA157" s="843">
        <f t="shared" si="82"/>
        <v>0.61123166777578997</v>
      </c>
      <c r="AB157" s="796">
        <f t="shared" si="83"/>
        <v>4</v>
      </c>
      <c r="AC157" s="797">
        <f t="shared" si="84"/>
        <v>4</v>
      </c>
      <c r="AD157" s="797">
        <f t="shared" si="85"/>
        <v>1</v>
      </c>
      <c r="AE157" s="842">
        <f t="shared" si="86"/>
        <v>3</v>
      </c>
      <c r="AF157" s="842">
        <f t="shared" si="87"/>
        <v>4</v>
      </c>
      <c r="AG157" s="842">
        <f t="shared" si="88"/>
        <v>1</v>
      </c>
      <c r="AH157" s="842">
        <f t="shared" si="89"/>
        <v>2</v>
      </c>
      <c r="AI157" s="826" cm="1">
        <f t="array" ref="AI157">SUMPRODUCT(--ISNUMBER($U157:$AA157),$AB$3:$AH$3)</f>
        <v>1</v>
      </c>
      <c r="AJ157" s="829">
        <f t="shared" si="90"/>
        <v>38.591381960965023</v>
      </c>
      <c r="AK157" s="827" t="str">
        <f t="shared" si="91"/>
        <v>Inmadura</v>
      </c>
      <c r="AL157" s="784" t="str">
        <f t="shared" si="92"/>
        <v>Alta</v>
      </c>
      <c r="AM157" s="799">
        <f>IF(ISNUMBER('Base de datos Rutas'!W155),'Base de datos Rutas'!W155,"")</f>
        <v>2998.2139778064675</v>
      </c>
      <c r="AN157" s="787">
        <f>IFERROR(SUMIFS('Base de datos Rutas'!$W$6:$W$794,'Base de datos Rutas'!$C$6:$C$794,$C157)/'Base de datos Rutas'!I155,"")</f>
        <v>2998.2139778064688</v>
      </c>
      <c r="AO157" s="800">
        <f>IFERROR('Base de datos Rutas'!X155*AN157/AM157,"")</f>
        <v>0.37802554582777237</v>
      </c>
      <c r="AP157" s="800">
        <f t="shared" si="93"/>
        <v>0.62197445417222763</v>
      </c>
      <c r="AQ157" s="789">
        <f>IFERROR(INDEX('Hoja de apoyo v2'!$J$17:$J$20,MATCH($A157,'Hoja de apoyo v2'!$A$17:$A$20,0)),"")</f>
        <v>0.62197445417222763</v>
      </c>
      <c r="AR157" s="789">
        <f t="shared" si="94"/>
        <v>0</v>
      </c>
      <c r="AS157" s="784" t="str">
        <f t="shared" si="95"/>
        <v>No</v>
      </c>
      <c r="AT157" s="801">
        <f>IF(ISNUMBER('Base de datos Rutas'!CK155),'Base de datos Rutas'!CK155,"")</f>
        <v>363</v>
      </c>
      <c r="AU157" s="802">
        <f>IF(ISNUMBER('Base de datos Rutas'!CL155),'Base de datos Rutas'!CL155,"")</f>
        <v>449.32</v>
      </c>
      <c r="AV157" s="802">
        <f>IF(ISNUMBER('Base de datos Rutas'!CM155),'Base de datos Rutas'!CM155,"")</f>
        <v>86.32</v>
      </c>
      <c r="AW157" s="802">
        <f>IF(ISNUMBER('Base de datos Rutas'!CN155),'Base de datos Rutas'!CN155,"")</f>
        <v>8.64</v>
      </c>
      <c r="AX157" s="802">
        <f>IF(ISNUMBER('Base de datos Rutas'!CO155),'Base de datos Rutas'!CO155,"")</f>
        <v>9.4499999999999993</v>
      </c>
      <c r="AY157" s="802">
        <f>IF(ISNUMBER('Base de datos Rutas'!CP155),'Base de datos Rutas'!CP155,"")</f>
        <v>0.80999999999999872</v>
      </c>
      <c r="AZ157" s="802">
        <f>IF(ISNUMBER('Base de datos Rutas'!CQ155),'Base de datos Rutas'!CQ155,"")</f>
        <v>814.39</v>
      </c>
      <c r="BA157" s="802">
        <f>IF(ISNUMBER('Base de datos Rutas'!CR155),'Base de datos Rutas'!CR155,"")</f>
        <v>426.28</v>
      </c>
      <c r="BB157" s="803">
        <f>IF(ISNUMBER('Base de datos Rutas'!CS155),'Base de datos Rutas'!CS155,"")</f>
        <v>388.11</v>
      </c>
      <c r="BC157" s="804">
        <f t="shared" si="105"/>
        <v>0</v>
      </c>
      <c r="BD157" s="805" t="str">
        <f t="shared" si="106"/>
        <v>No saturada</v>
      </c>
      <c r="BE157" s="806">
        <f t="shared" si="107"/>
        <v>0.52343471800979868</v>
      </c>
      <c r="BF157" s="890">
        <f>IF(ISNUMBER('Base de datos Rutas'!CX155),'Base de datos Rutas'!CX155/100,"")</f>
        <v>0.22806580702534457</v>
      </c>
      <c r="BG157" s="891">
        <f>IF(ISNUMBER('Base de datos Rutas'!CZ155),'Base de datos Rutas'!CZ155/100,"")</f>
        <v>0.23766118274788794</v>
      </c>
      <c r="BH157" s="892">
        <f>IF(ISNUMBER('Base de datos Rutas'!DA155),'Base de datos Rutas'!DA155,"")</f>
        <v>136.36445423636252</v>
      </c>
      <c r="BI157" s="893">
        <f>IF(ISNUMBER('Base de datos Rutas'!DC155),'Base de datos Rutas'!DC155,"")</f>
        <v>6.6200387125756412</v>
      </c>
      <c r="BJ157" s="805" t="str">
        <f t="shared" si="108"/>
        <v>Ruta (completo)</v>
      </c>
      <c r="BK157" s="783">
        <f t="shared" si="96"/>
        <v>2</v>
      </c>
      <c r="BL157" s="797">
        <f t="shared" si="97"/>
        <v>2</v>
      </c>
      <c r="BM157" s="797">
        <f t="shared" si="98"/>
        <v>1</v>
      </c>
      <c r="BN157" s="797">
        <f t="shared" si="99"/>
        <v>1</v>
      </c>
      <c r="BO157" s="798" cm="1">
        <f t="array" ref="BO157">SUMPRODUCT(--ISNUMBER($BF157:$BI157),$BK$3:$BN$3)</f>
        <v>1</v>
      </c>
      <c r="BP157" s="831">
        <f t="shared" si="109"/>
        <v>12.5</v>
      </c>
      <c r="BQ157" s="834" t="str">
        <f t="shared" si="110"/>
        <v>Bajo</v>
      </c>
      <c r="BR157" s="836">
        <f t="shared" si="100"/>
        <v>28.943536470723767</v>
      </c>
      <c r="BS157" s="836">
        <f t="shared" si="101"/>
        <v>12.5</v>
      </c>
      <c r="BT157" s="837" t="str">
        <f t="shared" si="102"/>
        <v>P4</v>
      </c>
      <c r="BU157" s="807" t="str">
        <f t="shared" si="111"/>
        <v>Con espacio</v>
      </c>
      <c r="BV157" s="807" t="str">
        <f t="shared" si="103"/>
        <v>Zona de bajo potencial</v>
      </c>
      <c r="BW157" s="808" t="str">
        <f t="shared" si="104"/>
        <v>P4 - Evaluar</v>
      </c>
    </row>
    <row r="158" spans="1:75">
      <c r="A158" s="780" t="str">
        <f>'Base de datos Rutas'!A156</f>
        <v>Norte</v>
      </c>
      <c r="B158" s="781" t="str">
        <f>'Base de datos Rutas'!B156</f>
        <v>Guadiana</v>
      </c>
      <c r="C158" s="781" t="str">
        <f>'Base de datos Rutas'!C156</f>
        <v>Planta Guadiana</v>
      </c>
      <c r="D158" s="782">
        <f>IF(ISNUMBER('Base de datos Rutas'!D156),'Base de datos Rutas'!D156,"Sin código")</f>
        <v>931411</v>
      </c>
      <c r="E158" s="783" t="str">
        <f>'Base de datos Rutas'!F156</f>
        <v>Activa</v>
      </c>
      <c r="F158" s="784" t="str">
        <f>'Base de datos Rutas'!H156</f>
        <v>Sí</v>
      </c>
      <c r="G158" s="785">
        <f>IF(ISNUMBER('Base de datos Rutas'!BE156),'Base de datos Rutas'!BE156,"")</f>
        <v>77.960919540229895</v>
      </c>
      <c r="H158" s="786">
        <f>IF(ISNUMBER('Base de datos Rutas'!BH156),'Base de datos Rutas'!BH156,"")</f>
        <v>0.49565063544953297</v>
      </c>
      <c r="I158" s="788">
        <f>IFERROR(IF(OR(NOT(ISNUMBER('Base de datos Rutas'!O156)),N('Base de datos Rutas'!BK156)=0),"",'Base de datos Rutas'!O156/('Base de datos Rutas'!L156/'Base de datos Rutas'!BK156)),"")</f>
        <v>2515.7977011494218</v>
      </c>
      <c r="J158" s="788">
        <f>IFERROR(IF(OR(NOT(ISNUMBER('Base de datos Rutas'!N156)),N('Base de datos Rutas'!BK156)=0),"",'Base de datos Rutas'!N156/('Base de datos Rutas'!L156/'Base de datos Rutas'!BK156)),"")</f>
        <v>5854.6114942528648</v>
      </c>
      <c r="K158" s="788">
        <f>IFERROR(IF(OR(NOT(ISNUMBER('Base de datos Rutas'!J156)),N('Base de datos Rutas'!BK156)=0),"",'Base de datos Rutas'!J156/('Base de datos Rutas'!L156/'Base de datos Rutas'!BK156)),"")</f>
        <v>408.89800643678103</v>
      </c>
      <c r="L158" s="788">
        <f>IFERROR(IF(OR(NOT(ISNUMBER('Base de datos Rutas'!K156)),N('Base de datos Rutas'!BK156)=0),"",'Base de datos Rutas'!K156/('Base de datos Rutas'!L156/'Base de datos Rutas'!BK156)),"")</f>
        <v>23.482598845976977</v>
      </c>
      <c r="M158" s="787">
        <f>IF(ISNUMBER('Base de datos Rutas'!AX156),'Base de datos Rutas'!AX156,"")</f>
        <v>216.500918555536</v>
      </c>
      <c r="N158" s="790">
        <f>IFERROR(INDEX('Hoja de apoyo v2'!B$17:B$20,MATCH($A158,'Hoja de apoyo v2'!$A$17:$A$20,0)),"")</f>
        <v>74.190366972477051</v>
      </c>
      <c r="O158" s="791">
        <f>IFERROR(INDEX('Hoja de apoyo v2'!C$17:C$20,MATCH($A158,'Hoja de apoyo v2'!$A$17:$A$20,0)),"")</f>
        <v>0.71677657005077755</v>
      </c>
      <c r="P158" s="793">
        <f>IFERROR(INDEX('Hoja de apoyo v2'!D$17:D$20,MATCH($A158,'Hoja de apoyo v2'!$A$17:$A$20,0)),"")</f>
        <v>8755.1153350385739</v>
      </c>
      <c r="Q158" s="793">
        <f>IFERROR(INDEX('Hoja de apoyo v2'!E$17:E$20,MATCH($A158,'Hoja de apoyo v2'!$A$17:$A$20,0)),"")</f>
        <v>6098.2042779326393</v>
      </c>
      <c r="R158" s="793">
        <f>IFERROR(INDEX('Hoja de apoyo v2'!F$17:F$20,MATCH($A158,'Hoja de apoyo v2'!$A$17:$A$20,0)),"")</f>
        <v>389.08889713610301</v>
      </c>
      <c r="S158" s="793">
        <f>IFERROR(INDEX('Hoja de apoyo v2'!G$17:G$20,MATCH($A158,'Hoja de apoyo v2'!$A$17:$A$20,0)),"")</f>
        <v>67.90575167807188</v>
      </c>
      <c r="T158" s="792">
        <f>IFERROR(INDEX('Hoja de apoyo v2'!H$17:H$20,MATCH($A158,'Hoja de apoyo v2'!$A$17:$A$20,0)),"")</f>
        <v>258.90325471200998</v>
      </c>
      <c r="U158" s="794">
        <f t="shared" si="76"/>
        <v>1.0508226704034451</v>
      </c>
      <c r="V158" s="795">
        <f t="shared" si="77"/>
        <v>0.69149949392796184</v>
      </c>
      <c r="W158" s="795">
        <f t="shared" si="78"/>
        <v>0.28735174864927548</v>
      </c>
      <c r="X158" s="843">
        <f t="shared" si="79"/>
        <v>0.96005499773740688</v>
      </c>
      <c r="Y158" s="843">
        <f t="shared" si="80"/>
        <v>1.0509115254803809</v>
      </c>
      <c r="Z158" s="843">
        <f t="shared" si="81"/>
        <v>0.34581163253009062</v>
      </c>
      <c r="AA158" s="843">
        <f t="shared" si="82"/>
        <v>0.83622324020746652</v>
      </c>
      <c r="AB158" s="796">
        <f t="shared" si="83"/>
        <v>4</v>
      </c>
      <c r="AC158" s="797">
        <f t="shared" si="84"/>
        <v>2</v>
      </c>
      <c r="AD158" s="797">
        <f t="shared" si="85"/>
        <v>1</v>
      </c>
      <c r="AE158" s="842">
        <f t="shared" si="86"/>
        <v>3</v>
      </c>
      <c r="AF158" s="842">
        <f t="shared" si="87"/>
        <v>4</v>
      </c>
      <c r="AG158" s="842">
        <f t="shared" si="88"/>
        <v>1</v>
      </c>
      <c r="AH158" s="842">
        <f t="shared" si="89"/>
        <v>3</v>
      </c>
      <c r="AI158" s="826" cm="1">
        <f t="array" ref="AI158">SUMPRODUCT(--ISNUMBER($U158:$AA158),$AB$3:$AH$3)</f>
        <v>1</v>
      </c>
      <c r="AJ158" s="829">
        <f t="shared" si="90"/>
        <v>36.070298629510624</v>
      </c>
      <c r="AK158" s="827" t="str">
        <f t="shared" si="91"/>
        <v>Inmadura</v>
      </c>
      <c r="AL158" s="784" t="str">
        <f t="shared" si="92"/>
        <v>Alta</v>
      </c>
      <c r="AM158" s="799">
        <f>IF(ISNUMBER('Base de datos Rutas'!W156),'Base de datos Rutas'!W156,"")</f>
        <v>2998.2139778064675</v>
      </c>
      <c r="AN158" s="787">
        <f>IFERROR(SUMIFS('Base de datos Rutas'!$W$6:$W$794,'Base de datos Rutas'!$C$6:$C$794,$C158)/'Base de datos Rutas'!I156,"")</f>
        <v>2998.2139778064688</v>
      </c>
      <c r="AO158" s="800">
        <f>IFERROR('Base de datos Rutas'!X156*AN158/AM158,"")</f>
        <v>0.37802554582777237</v>
      </c>
      <c r="AP158" s="800">
        <f t="shared" si="93"/>
        <v>0.62197445417222763</v>
      </c>
      <c r="AQ158" s="789">
        <f>IFERROR(INDEX('Hoja de apoyo v2'!$J$17:$J$20,MATCH($A158,'Hoja de apoyo v2'!$A$17:$A$20,0)),"")</f>
        <v>0.62197445417222763</v>
      </c>
      <c r="AR158" s="789">
        <f t="shared" si="94"/>
        <v>0</v>
      </c>
      <c r="AS158" s="784" t="str">
        <f t="shared" si="95"/>
        <v>No</v>
      </c>
      <c r="AT158" s="801">
        <f>IF(ISNUMBER('Base de datos Rutas'!CK156),'Base de datos Rutas'!CK156,"")</f>
        <v>331</v>
      </c>
      <c r="AU158" s="802">
        <f>IF(ISNUMBER('Base de datos Rutas'!CL156),'Base de datos Rutas'!CL156,"")</f>
        <v>589.5</v>
      </c>
      <c r="AV158" s="802">
        <f>IF(ISNUMBER('Base de datos Rutas'!CM156),'Base de datos Rutas'!CM156,"")</f>
        <v>258.5</v>
      </c>
      <c r="AW158" s="802">
        <f>IF(ISNUMBER('Base de datos Rutas'!CN156),'Base de datos Rutas'!CN156,"")</f>
        <v>5.19</v>
      </c>
      <c r="AX158" s="802">
        <f>IF(ISNUMBER('Base de datos Rutas'!CO156),'Base de datos Rutas'!CO156,"")</f>
        <v>9.4499999999999993</v>
      </c>
      <c r="AY158" s="802">
        <f>IF(ISNUMBER('Base de datos Rutas'!CP156),'Base de datos Rutas'!CP156,"")</f>
        <v>4.2599999999999989</v>
      </c>
      <c r="AZ158" s="802">
        <f>IF(ISNUMBER('Base de datos Rutas'!CQ156),'Base de datos Rutas'!CQ156,"")</f>
        <v>814.39</v>
      </c>
      <c r="BA158" s="802">
        <f>IF(ISNUMBER('Base de datos Rutas'!CR156),'Base de datos Rutas'!CR156,"")</f>
        <v>432.38</v>
      </c>
      <c r="BB158" s="803">
        <f>IF(ISNUMBER('Base de datos Rutas'!CS156),'Base de datos Rutas'!CS156,"")</f>
        <v>382.01</v>
      </c>
      <c r="BC158" s="804">
        <f t="shared" si="105"/>
        <v>0</v>
      </c>
      <c r="BD158" s="805" t="str">
        <f t="shared" si="106"/>
        <v>No saturada</v>
      </c>
      <c r="BE158" s="806">
        <f t="shared" si="107"/>
        <v>0.53092498679993616</v>
      </c>
      <c r="BF158" s="890">
        <f>IF(ISNUMBER('Base de datos Rutas'!CX156),'Base de datos Rutas'!CX156/100,"")</f>
        <v>0.20266503122212309</v>
      </c>
      <c r="BG158" s="891">
        <f>IF(ISNUMBER('Base de datos Rutas'!CZ156),'Base de datos Rutas'!CZ156/100,"")</f>
        <v>0.23148974130240854</v>
      </c>
      <c r="BH158" s="892">
        <f>IF(ISNUMBER('Base de datos Rutas'!DA156),'Base de datos Rutas'!DA156,"")</f>
        <v>216.72633392944238</v>
      </c>
      <c r="BI158" s="893">
        <f>IF(ISNUMBER('Base de datos Rutas'!DC156),'Base de datos Rutas'!DC156,"")</f>
        <v>10.987397171191676</v>
      </c>
      <c r="BJ158" s="805" t="str">
        <f t="shared" si="108"/>
        <v>Ruta (completo)</v>
      </c>
      <c r="BK158" s="783">
        <f t="shared" si="96"/>
        <v>2</v>
      </c>
      <c r="BL158" s="797">
        <f t="shared" si="97"/>
        <v>2</v>
      </c>
      <c r="BM158" s="797">
        <f t="shared" si="98"/>
        <v>1</v>
      </c>
      <c r="BN158" s="797">
        <f t="shared" si="99"/>
        <v>1</v>
      </c>
      <c r="BO158" s="798" cm="1">
        <f t="array" ref="BO158">SUMPRODUCT(--ISNUMBER($BF158:$BI158),$BK$3:$BN$3)</f>
        <v>1</v>
      </c>
      <c r="BP158" s="831">
        <f t="shared" si="109"/>
        <v>12.5</v>
      </c>
      <c r="BQ158" s="834" t="str">
        <f t="shared" si="110"/>
        <v>Bajo</v>
      </c>
      <c r="BR158" s="836">
        <f t="shared" si="100"/>
        <v>27.052723972132966</v>
      </c>
      <c r="BS158" s="836">
        <f t="shared" si="101"/>
        <v>12.5</v>
      </c>
      <c r="BT158" s="837" t="str">
        <f t="shared" si="102"/>
        <v>P4</v>
      </c>
      <c r="BU158" s="807" t="str">
        <f t="shared" si="111"/>
        <v>Con espacio</v>
      </c>
      <c r="BV158" s="807" t="str">
        <f t="shared" si="103"/>
        <v>Zona de bajo potencial</v>
      </c>
      <c r="BW158" s="808" t="str">
        <f t="shared" si="104"/>
        <v>P4 - Evaluar</v>
      </c>
    </row>
    <row r="159" spans="1:75">
      <c r="A159" s="780" t="str">
        <f>'Base de datos Rutas'!A157</f>
        <v>Norte</v>
      </c>
      <c r="B159" s="781" t="str">
        <f>'Base de datos Rutas'!B157</f>
        <v>Guadiana</v>
      </c>
      <c r="C159" s="781" t="str">
        <f>'Base de datos Rutas'!C157</f>
        <v>Planta Guadiana</v>
      </c>
      <c r="D159" s="782">
        <f>IF(ISNUMBER('Base de datos Rutas'!D157),'Base de datos Rutas'!D157,"Sin código")</f>
        <v>931412</v>
      </c>
      <c r="E159" s="783" t="str">
        <f>'Base de datos Rutas'!F157</f>
        <v>Activa</v>
      </c>
      <c r="F159" s="784" t="str">
        <f>'Base de datos Rutas'!H157</f>
        <v>No</v>
      </c>
      <c r="G159" s="785" t="str">
        <f>IF(ISNUMBER('Base de datos Rutas'!BE157),'Base de datos Rutas'!BE157,"")</f>
        <v/>
      </c>
      <c r="H159" s="786" t="str">
        <f>IF(ISNUMBER('Base de datos Rutas'!BH157),'Base de datos Rutas'!BH157,"")</f>
        <v/>
      </c>
      <c r="I159" s="788" t="str">
        <f>IFERROR(IF(OR(NOT(ISNUMBER('Base de datos Rutas'!O157)),N('Base de datos Rutas'!BK157)=0),"",'Base de datos Rutas'!O157/('Base de datos Rutas'!L157/'Base de datos Rutas'!BK157)),"")</f>
        <v/>
      </c>
      <c r="J159" s="788" t="str">
        <f>IFERROR(IF(OR(NOT(ISNUMBER('Base de datos Rutas'!N157)),N('Base de datos Rutas'!BK157)=0),"",'Base de datos Rutas'!N157/('Base de datos Rutas'!L157/'Base de datos Rutas'!BK157)),"")</f>
        <v/>
      </c>
      <c r="K159" s="788" t="str">
        <f>IFERROR(IF(OR(NOT(ISNUMBER('Base de datos Rutas'!J157)),N('Base de datos Rutas'!BK157)=0),"",'Base de datos Rutas'!J157/('Base de datos Rutas'!L157/'Base de datos Rutas'!BK157)),"")</f>
        <v/>
      </c>
      <c r="L159" s="788" t="str">
        <f>IFERROR(IF(OR(NOT(ISNUMBER('Base de datos Rutas'!K157)),N('Base de datos Rutas'!BK157)=0),"",'Base de datos Rutas'!K157/('Base de datos Rutas'!L157/'Base de datos Rutas'!BK157)),"")</f>
        <v/>
      </c>
      <c r="M159" s="787">
        <f>IF(ISNUMBER('Base de datos Rutas'!AX157),'Base de datos Rutas'!AX157,"")</f>
        <v>155.54</v>
      </c>
      <c r="N159" s="790">
        <f>IFERROR(INDEX('Hoja de apoyo v2'!B$17:B$20,MATCH($A159,'Hoja de apoyo v2'!$A$17:$A$20,0)),"")</f>
        <v>74.190366972477051</v>
      </c>
      <c r="O159" s="791">
        <f>IFERROR(INDEX('Hoja de apoyo v2'!C$17:C$20,MATCH($A159,'Hoja de apoyo v2'!$A$17:$A$20,0)),"")</f>
        <v>0.71677657005077755</v>
      </c>
      <c r="P159" s="793">
        <f>IFERROR(INDEX('Hoja de apoyo v2'!D$17:D$20,MATCH($A159,'Hoja de apoyo v2'!$A$17:$A$20,0)),"")</f>
        <v>8755.1153350385739</v>
      </c>
      <c r="Q159" s="793">
        <f>IFERROR(INDEX('Hoja de apoyo v2'!E$17:E$20,MATCH($A159,'Hoja de apoyo v2'!$A$17:$A$20,0)),"")</f>
        <v>6098.2042779326393</v>
      </c>
      <c r="R159" s="793">
        <f>IFERROR(INDEX('Hoja de apoyo v2'!F$17:F$20,MATCH($A159,'Hoja de apoyo v2'!$A$17:$A$20,0)),"")</f>
        <v>389.08889713610301</v>
      </c>
      <c r="S159" s="793">
        <f>IFERROR(INDEX('Hoja de apoyo v2'!G$17:G$20,MATCH($A159,'Hoja de apoyo v2'!$A$17:$A$20,0)),"")</f>
        <v>67.90575167807188</v>
      </c>
      <c r="T159" s="792">
        <f>IFERROR(INDEX('Hoja de apoyo v2'!H$17:H$20,MATCH($A159,'Hoja de apoyo v2'!$A$17:$A$20,0)),"")</f>
        <v>258.90325471200998</v>
      </c>
      <c r="U159" s="794" t="str">
        <f t="shared" si="76"/>
        <v/>
      </c>
      <c r="V159" s="795" t="str">
        <f t="shared" si="77"/>
        <v/>
      </c>
      <c r="W159" s="795" t="str">
        <f t="shared" si="78"/>
        <v/>
      </c>
      <c r="X159" s="843" t="str">
        <f t="shared" si="79"/>
        <v/>
      </c>
      <c r="Y159" s="843" t="str">
        <f t="shared" si="80"/>
        <v/>
      </c>
      <c r="Z159" s="843" t="str">
        <f t="shared" si="81"/>
        <v/>
      </c>
      <c r="AA159" s="843">
        <f t="shared" si="82"/>
        <v>0.6007649466323407</v>
      </c>
      <c r="AB159" s="796">
        <f t="shared" si="83"/>
        <v>0</v>
      </c>
      <c r="AC159" s="797">
        <f t="shared" si="84"/>
        <v>0</v>
      </c>
      <c r="AD159" s="797">
        <f t="shared" si="85"/>
        <v>0</v>
      </c>
      <c r="AE159" s="842">
        <f t="shared" si="86"/>
        <v>0</v>
      </c>
      <c r="AF159" s="842">
        <f t="shared" si="87"/>
        <v>0</v>
      </c>
      <c r="AG159" s="842">
        <f t="shared" si="88"/>
        <v>0</v>
      </c>
      <c r="AH159" s="842">
        <f t="shared" si="89"/>
        <v>2</v>
      </c>
      <c r="AI159" s="826" cm="1">
        <f t="array" ref="AI159">SUMPRODUCT(--ISNUMBER($U159:$AA159),$AB$3:$AH$3)</f>
        <v>8.9789113613062493E-2</v>
      </c>
      <c r="AJ159" s="829" t="str">
        <f t="shared" si="90"/>
        <v/>
      </c>
      <c r="AK159" s="827" t="str">
        <f t="shared" si="91"/>
        <v>No elegible</v>
      </c>
      <c r="AL159" s="784" t="str">
        <f t="shared" si="92"/>
        <v>n/a</v>
      </c>
      <c r="AM159" s="799">
        <f>IF(ISNUMBER('Base de datos Rutas'!W157),'Base de datos Rutas'!W157,"")</f>
        <v>2998.2139778064675</v>
      </c>
      <c r="AN159" s="787">
        <f>IFERROR(SUMIFS('Base de datos Rutas'!$W$6:$W$794,'Base de datos Rutas'!$C$6:$C$794,$C159)/'Base de datos Rutas'!I157,"")</f>
        <v>2998.2139778064688</v>
      </c>
      <c r="AO159" s="800">
        <f>IFERROR('Base de datos Rutas'!X157*AN159/AM159,"")</f>
        <v>0.37802554582777237</v>
      </c>
      <c r="AP159" s="800">
        <f t="shared" si="93"/>
        <v>0.62197445417222763</v>
      </c>
      <c r="AQ159" s="789">
        <f>IFERROR(INDEX('Hoja de apoyo v2'!$J$17:$J$20,MATCH($A159,'Hoja de apoyo v2'!$A$17:$A$20,0)),"")</f>
        <v>0.62197445417222763</v>
      </c>
      <c r="AR159" s="789">
        <f t="shared" si="94"/>
        <v>0</v>
      </c>
      <c r="AS159" s="784" t="str">
        <f t="shared" si="95"/>
        <v>No</v>
      </c>
      <c r="AT159" s="801" t="str">
        <f>IF(ISNUMBER('Base de datos Rutas'!CK157),'Base de datos Rutas'!CK157,"")</f>
        <v/>
      </c>
      <c r="AU159" s="802" t="str">
        <f>IF(ISNUMBER('Base de datos Rutas'!CL157),'Base de datos Rutas'!CL157,"")</f>
        <v/>
      </c>
      <c r="AV159" s="802">
        <f>IF(ISNUMBER('Base de datos Rutas'!CM157),'Base de datos Rutas'!CM157,"")</f>
        <v>0</v>
      </c>
      <c r="AW159" s="802" t="str">
        <f>IF(ISNUMBER('Base de datos Rutas'!CN157),'Base de datos Rutas'!CN157,"")</f>
        <v/>
      </c>
      <c r="AX159" s="802" t="str">
        <f>IF(ISNUMBER('Base de datos Rutas'!CO157),'Base de datos Rutas'!CO157,"")</f>
        <v/>
      </c>
      <c r="AY159" s="802">
        <f>IF(ISNUMBER('Base de datos Rutas'!CP157),'Base de datos Rutas'!CP157,"")</f>
        <v>0</v>
      </c>
      <c r="AZ159" s="802" t="str">
        <f>IF(ISNUMBER('Base de datos Rutas'!CQ157),'Base de datos Rutas'!CQ157,"")</f>
        <v/>
      </c>
      <c r="BA159" s="802" t="str">
        <f>IF(ISNUMBER('Base de datos Rutas'!CR157),'Base de datos Rutas'!CR157,"")</f>
        <v/>
      </c>
      <c r="BB159" s="803">
        <f>IF(ISNUMBER('Base de datos Rutas'!CS157),'Base de datos Rutas'!CS157,"")</f>
        <v>0</v>
      </c>
      <c r="BC159" s="804" t="str">
        <f t="shared" si="105"/>
        <v/>
      </c>
      <c r="BD159" s="805" t="str">
        <f t="shared" si="106"/>
        <v>N/D</v>
      </c>
      <c r="BE159" s="806" t="str">
        <f t="shared" si="107"/>
        <v/>
      </c>
      <c r="BF159" s="890" t="str">
        <f>IF(ISNUMBER('Base de datos Rutas'!CX157),'Base de datos Rutas'!CX157/100,"")</f>
        <v/>
      </c>
      <c r="BG159" s="891" t="str">
        <f>IF(ISNUMBER('Base de datos Rutas'!CZ157),'Base de datos Rutas'!CZ157/100,"")</f>
        <v/>
      </c>
      <c r="BH159" s="892" t="str">
        <f>IF(ISNUMBER('Base de datos Rutas'!DA157),'Base de datos Rutas'!DA157,"")</f>
        <v/>
      </c>
      <c r="BI159" s="893" t="str">
        <f>IF(ISNUMBER('Base de datos Rutas'!DC157),'Base de datos Rutas'!DC157,"")</f>
        <v/>
      </c>
      <c r="BJ159" s="805" t="str">
        <f t="shared" si="108"/>
        <v>Sin dato</v>
      </c>
      <c r="BK159" s="783">
        <f t="shared" si="96"/>
        <v>0</v>
      </c>
      <c r="BL159" s="797">
        <f t="shared" si="97"/>
        <v>0</v>
      </c>
      <c r="BM159" s="797">
        <f t="shared" si="98"/>
        <v>0</v>
      </c>
      <c r="BN159" s="797">
        <f t="shared" si="99"/>
        <v>0</v>
      </c>
      <c r="BO159" s="798" cm="1">
        <f t="array" ref="BO159">SUMPRODUCT(--ISNUMBER($BF159:$BI159),$BK$3:$BN$3)</f>
        <v>0</v>
      </c>
      <c r="BP159" s="831" t="str">
        <f t="shared" si="109"/>
        <v/>
      </c>
      <c r="BQ159" s="834" t="str">
        <f t="shared" si="110"/>
        <v>Sin datos</v>
      </c>
      <c r="BR159" s="836" t="str">
        <f t="shared" si="100"/>
        <v/>
      </c>
      <c r="BS159" s="836" t="str">
        <f t="shared" si="101"/>
        <v/>
      </c>
      <c r="BT159" s="837" t="str">
        <f t="shared" si="102"/>
        <v>Sin datos</v>
      </c>
      <c r="BU159" s="807" t="str">
        <f t="shared" si="111"/>
        <v>No evaluable</v>
      </c>
      <c r="BV159" s="807" t="str">
        <f t="shared" si="103"/>
        <v>No evaluable</v>
      </c>
      <c r="BW159" s="808" t="str">
        <f t="shared" si="104"/>
        <v>Sin datos</v>
      </c>
    </row>
    <row r="160" spans="1:75">
      <c r="A160" s="780" t="str">
        <f>'Base de datos Rutas'!A158</f>
        <v>Norte</v>
      </c>
      <c r="B160" s="781" t="str">
        <f>'Base de datos Rutas'!B158</f>
        <v>Guadiana</v>
      </c>
      <c r="C160" s="781" t="str">
        <f>'Base de datos Rutas'!C158</f>
        <v>Planta Guadiana</v>
      </c>
      <c r="D160" s="782">
        <f>IF(ISNUMBER('Base de datos Rutas'!D158),'Base de datos Rutas'!D158,"Sin código")</f>
        <v>931413</v>
      </c>
      <c r="E160" s="783" t="str">
        <f>'Base de datos Rutas'!F158</f>
        <v>Activa</v>
      </c>
      <c r="F160" s="784" t="str">
        <f>'Base de datos Rutas'!H158</f>
        <v>Sí</v>
      </c>
      <c r="G160" s="785">
        <f>IF(ISNUMBER('Base de datos Rutas'!BE158),'Base de datos Rutas'!BE158,"")</f>
        <v>79.738532110091697</v>
      </c>
      <c r="H160" s="786">
        <f>IF(ISNUMBER('Base de datos Rutas'!BH158),'Base de datos Rutas'!BH158,"")</f>
        <v>0.68279353391244302</v>
      </c>
      <c r="I160" s="788">
        <f>IFERROR(IF(OR(NOT(ISNUMBER('Base de datos Rutas'!O158)),N('Base de datos Rutas'!BK158)=0),"",'Base de datos Rutas'!O158/('Base de datos Rutas'!L158/'Base de datos Rutas'!BK158)),"")</f>
        <v>3382.3600917431268</v>
      </c>
      <c r="J160" s="788">
        <f>IFERROR(IF(OR(NOT(ISNUMBER('Base de datos Rutas'!N158)),N('Base de datos Rutas'!BK158)=0),"",'Base de datos Rutas'!N158/('Base de datos Rutas'!L158/'Base de datos Rutas'!BK158)),"")</f>
        <v>7484.1972477064382</v>
      </c>
      <c r="K160" s="788">
        <f>IFERROR(IF(OR(NOT(ISNUMBER('Base de datos Rutas'!J158)),N('Base de datos Rutas'!BK158)=0),"",'Base de datos Rutas'!J158/('Base de datos Rutas'!L158/'Base de datos Rutas'!BK158)),"")</f>
        <v>529.82228073394378</v>
      </c>
      <c r="L160" s="788">
        <f>IFERROR(IF(OR(NOT(ISNUMBER('Base de datos Rutas'!K158)),N('Base de datos Rutas'!BK158)=0),"",'Base de datos Rutas'!K158/('Base de datos Rutas'!L158/'Base de datos Rutas'!BK158)),"")</f>
        <v>26.127366048165193</v>
      </c>
      <c r="M160" s="787">
        <f>IF(ISNUMBER('Base de datos Rutas'!AX158),'Base de datos Rutas'!AX158,"")</f>
        <v>199.587859128823</v>
      </c>
      <c r="N160" s="790">
        <f>IFERROR(INDEX('Hoja de apoyo v2'!B$17:B$20,MATCH($A160,'Hoja de apoyo v2'!$A$17:$A$20,0)),"")</f>
        <v>74.190366972477051</v>
      </c>
      <c r="O160" s="791">
        <f>IFERROR(INDEX('Hoja de apoyo v2'!C$17:C$20,MATCH($A160,'Hoja de apoyo v2'!$A$17:$A$20,0)),"")</f>
        <v>0.71677657005077755</v>
      </c>
      <c r="P160" s="793">
        <f>IFERROR(INDEX('Hoja de apoyo v2'!D$17:D$20,MATCH($A160,'Hoja de apoyo v2'!$A$17:$A$20,0)),"")</f>
        <v>8755.1153350385739</v>
      </c>
      <c r="Q160" s="793">
        <f>IFERROR(INDEX('Hoja de apoyo v2'!E$17:E$20,MATCH($A160,'Hoja de apoyo v2'!$A$17:$A$20,0)),"")</f>
        <v>6098.2042779326393</v>
      </c>
      <c r="R160" s="793">
        <f>IFERROR(INDEX('Hoja de apoyo v2'!F$17:F$20,MATCH($A160,'Hoja de apoyo v2'!$A$17:$A$20,0)),"")</f>
        <v>389.08889713610301</v>
      </c>
      <c r="S160" s="793">
        <f>IFERROR(INDEX('Hoja de apoyo v2'!G$17:G$20,MATCH($A160,'Hoja de apoyo v2'!$A$17:$A$20,0)),"")</f>
        <v>67.90575167807188</v>
      </c>
      <c r="T160" s="792">
        <f>IFERROR(INDEX('Hoja de apoyo v2'!H$17:H$20,MATCH($A160,'Hoja de apoyo v2'!$A$17:$A$20,0)),"")</f>
        <v>258.90325471200998</v>
      </c>
      <c r="U160" s="794">
        <f t="shared" si="76"/>
        <v>1.0747828237549073</v>
      </c>
      <c r="V160" s="795">
        <f t="shared" si="77"/>
        <v>0.95258908067275816</v>
      </c>
      <c r="W160" s="795">
        <f t="shared" si="78"/>
        <v>0.38632958702516335</v>
      </c>
      <c r="X160" s="843">
        <f t="shared" si="79"/>
        <v>1.2272788687629315</v>
      </c>
      <c r="Y160" s="843">
        <f t="shared" si="80"/>
        <v>1.3616998188170153</v>
      </c>
      <c r="Z160" s="843">
        <f t="shared" si="81"/>
        <v>0.38475924943780926</v>
      </c>
      <c r="AA160" s="843">
        <f t="shared" si="82"/>
        <v>0.77089745106075924</v>
      </c>
      <c r="AB160" s="796">
        <f t="shared" si="83"/>
        <v>4</v>
      </c>
      <c r="AC160" s="797">
        <f t="shared" si="84"/>
        <v>3</v>
      </c>
      <c r="AD160" s="797">
        <f t="shared" si="85"/>
        <v>1</v>
      </c>
      <c r="AE160" s="842">
        <f t="shared" si="86"/>
        <v>4</v>
      </c>
      <c r="AF160" s="842">
        <f t="shared" si="87"/>
        <v>5</v>
      </c>
      <c r="AG160" s="842">
        <f t="shared" si="88"/>
        <v>1</v>
      </c>
      <c r="AH160" s="842">
        <f t="shared" si="89"/>
        <v>3</v>
      </c>
      <c r="AI160" s="826" cm="1">
        <f t="array" ref="AI160">SUMPRODUCT(--ISNUMBER($U160:$AA160),$AB$3:$AH$3)</f>
        <v>1</v>
      </c>
      <c r="AJ160" s="829">
        <f t="shared" si="90"/>
        <v>44.78869637365959</v>
      </c>
      <c r="AK160" s="827" t="str">
        <f t="shared" si="91"/>
        <v>Inmadura</v>
      </c>
      <c r="AL160" s="784" t="str">
        <f t="shared" si="92"/>
        <v>Alta</v>
      </c>
      <c r="AM160" s="799">
        <f>IF(ISNUMBER('Base de datos Rutas'!W158),'Base de datos Rutas'!W158,"")</f>
        <v>2998.2139778064675</v>
      </c>
      <c r="AN160" s="787">
        <f>IFERROR(SUMIFS('Base de datos Rutas'!$W$6:$W$794,'Base de datos Rutas'!$C$6:$C$794,$C160)/'Base de datos Rutas'!I158,"")</f>
        <v>2998.2139778064688</v>
      </c>
      <c r="AO160" s="800">
        <f>IFERROR('Base de datos Rutas'!X158*AN160/AM160,"")</f>
        <v>0.37802554582777237</v>
      </c>
      <c r="AP160" s="800">
        <f t="shared" si="93"/>
        <v>0.62197445417222763</v>
      </c>
      <c r="AQ160" s="789">
        <f>IFERROR(INDEX('Hoja de apoyo v2'!$J$17:$J$20,MATCH($A160,'Hoja de apoyo v2'!$A$17:$A$20,0)),"")</f>
        <v>0.62197445417222763</v>
      </c>
      <c r="AR160" s="789">
        <f t="shared" si="94"/>
        <v>0</v>
      </c>
      <c r="AS160" s="784" t="str">
        <f t="shared" si="95"/>
        <v>No</v>
      </c>
      <c r="AT160" s="801">
        <f>IF(ISNUMBER('Base de datos Rutas'!CK158),'Base de datos Rutas'!CK158,"")</f>
        <v>392</v>
      </c>
      <c r="AU160" s="802">
        <f>IF(ISNUMBER('Base de datos Rutas'!CL158),'Base de datos Rutas'!CL158,"")</f>
        <v>684.1</v>
      </c>
      <c r="AV160" s="802">
        <f>IF(ISNUMBER('Base de datos Rutas'!CM158),'Base de datos Rutas'!CM158,"")</f>
        <v>292.10000000000002</v>
      </c>
      <c r="AW160" s="802">
        <f>IF(ISNUMBER('Base de datos Rutas'!CN158),'Base de datos Rutas'!CN158,"")</f>
        <v>4.1399999999999997</v>
      </c>
      <c r="AX160" s="802">
        <f>IF(ISNUMBER('Base de datos Rutas'!CO158),'Base de datos Rutas'!CO158,"")</f>
        <v>9.4499999999999993</v>
      </c>
      <c r="AY160" s="802">
        <f>IF(ISNUMBER('Base de datos Rutas'!CP158),'Base de datos Rutas'!CP158,"")</f>
        <v>5.31</v>
      </c>
      <c r="AZ160" s="802">
        <f>IF(ISNUMBER('Base de datos Rutas'!CQ158),'Base de datos Rutas'!CQ158,"")</f>
        <v>814.39</v>
      </c>
      <c r="BA160" s="802">
        <f>IF(ISNUMBER('Base de datos Rutas'!CR158),'Base de datos Rutas'!CR158,"")</f>
        <v>555.95000000000005</v>
      </c>
      <c r="BB160" s="803">
        <f>IF(ISNUMBER('Base de datos Rutas'!CS158),'Base de datos Rutas'!CS158,"")</f>
        <v>258.43999999999994</v>
      </c>
      <c r="BC160" s="804">
        <f t="shared" si="105"/>
        <v>0</v>
      </c>
      <c r="BD160" s="805" t="str">
        <f t="shared" si="106"/>
        <v>No saturada</v>
      </c>
      <c r="BE160" s="806">
        <f t="shared" si="107"/>
        <v>0.68265818588145732</v>
      </c>
      <c r="BF160" s="890">
        <f>IF(ISNUMBER('Base de datos Rutas'!CX158),'Base de datos Rutas'!CX158/100,"")</f>
        <v>0.86891277387350163</v>
      </c>
      <c r="BG160" s="891">
        <f>IF(ISNUMBER('Base de datos Rutas'!CZ158),'Base de datos Rutas'!CZ158/100,"")</f>
        <v>0.98966515088879703</v>
      </c>
      <c r="BH160" s="892">
        <f>IF(ISNUMBER('Base de datos Rutas'!DA158),'Base de datos Rutas'!DA158,"")</f>
        <v>1311.1901479104422</v>
      </c>
      <c r="BI160" s="893">
        <f>IF(ISNUMBER('Base de datos Rutas'!DC158),'Base de datos Rutas'!DC158,"")</f>
        <v>61.357032200951643</v>
      </c>
      <c r="BJ160" s="805" t="str">
        <f t="shared" si="108"/>
        <v>Ruta (completo)</v>
      </c>
      <c r="BK160" s="783">
        <f t="shared" si="96"/>
        <v>5</v>
      </c>
      <c r="BL160" s="797">
        <f t="shared" si="97"/>
        <v>5</v>
      </c>
      <c r="BM160" s="797">
        <f t="shared" si="98"/>
        <v>5</v>
      </c>
      <c r="BN160" s="797">
        <f t="shared" si="99"/>
        <v>5</v>
      </c>
      <c r="BO160" s="798" cm="1">
        <f t="array" ref="BO160">SUMPRODUCT(--ISNUMBER($BF160:$BI160),$BK$3:$BN$3)</f>
        <v>1</v>
      </c>
      <c r="BP160" s="831">
        <f t="shared" si="109"/>
        <v>100</v>
      </c>
      <c r="BQ160" s="834" t="str">
        <f t="shared" si="110"/>
        <v>Alto</v>
      </c>
      <c r="BR160" s="836">
        <f t="shared" si="100"/>
        <v>33.591522280244689</v>
      </c>
      <c r="BS160" s="836">
        <f t="shared" si="101"/>
        <v>100</v>
      </c>
      <c r="BT160" s="837" t="str">
        <f t="shared" si="102"/>
        <v>P1</v>
      </c>
      <c r="BU160" s="807" t="str">
        <f t="shared" si="111"/>
        <v>Con espacio</v>
      </c>
      <c r="BV160" s="807" t="str">
        <f t="shared" si="103"/>
        <v>Zona atractiva</v>
      </c>
      <c r="BW160" s="808" t="str">
        <f t="shared" si="104"/>
        <v>P1 - Ampliar cobertura</v>
      </c>
    </row>
    <row r="161" spans="1:75">
      <c r="A161" s="780" t="str">
        <f>'Base de datos Rutas'!A159</f>
        <v>Norte</v>
      </c>
      <c r="B161" s="781" t="str">
        <f>'Base de datos Rutas'!B159</f>
        <v>Guadiana</v>
      </c>
      <c r="C161" s="781" t="str">
        <f>'Base de datos Rutas'!C159</f>
        <v>Planta Guadiana</v>
      </c>
      <c r="D161" s="782">
        <f>IF(ISNUMBER('Base de datos Rutas'!D159),'Base de datos Rutas'!D159,"Sin código")</f>
        <v>931415</v>
      </c>
      <c r="E161" s="783" t="str">
        <f>'Base de datos Rutas'!F159</f>
        <v>Activa</v>
      </c>
      <c r="F161" s="784" t="str">
        <f>'Base de datos Rutas'!H159</f>
        <v>Sí</v>
      </c>
      <c r="G161" s="785">
        <f>IF(ISNUMBER('Base de datos Rutas'!BE159),'Base de datos Rutas'!BE159,"")</f>
        <v>84.935779816513801</v>
      </c>
      <c r="H161" s="786">
        <f>IF(ISNUMBER('Base de datos Rutas'!BH159),'Base de datos Rutas'!BH159,"")</f>
        <v>0.74894685677252104</v>
      </c>
      <c r="I161" s="788">
        <f>IFERROR(IF(OR(NOT(ISNUMBER('Base de datos Rutas'!O159)),N('Base de datos Rutas'!BK159)=0),"",'Base de datos Rutas'!O159/('Base de datos Rutas'!L159/'Base de datos Rutas'!BK159)),"")</f>
        <v>4703.0000000000082</v>
      </c>
      <c r="J161" s="788">
        <f>IFERROR(IF(OR(NOT(ISNUMBER('Base de datos Rutas'!N159)),N('Base de datos Rutas'!BK159)=0),"",'Base de datos Rutas'!N159/('Base de datos Rutas'!L159/'Base de datos Rutas'!BK159)),"")</f>
        <v>7484.1353211009309</v>
      </c>
      <c r="K161" s="788">
        <f>IFERROR(IF(OR(NOT(ISNUMBER('Base de datos Rutas'!J159)),N('Base de datos Rutas'!BK159)=0),"",'Base de datos Rutas'!J159/('Base de datos Rutas'!L159/'Base de datos Rutas'!BK159)),"")</f>
        <v>524.67602201834734</v>
      </c>
      <c r="L161" s="788">
        <f>IFERROR(IF(OR(NOT(ISNUMBER('Base de datos Rutas'!K159)),N('Base de datos Rutas'!BK159)=0),"",'Base de datos Rutas'!K159/('Base de datos Rutas'!L159/'Base de datos Rutas'!BK159)),"")</f>
        <v>34.28064384403676</v>
      </c>
      <c r="M161" s="787">
        <f>IF(ISNUMBER('Base de datos Rutas'!AX159),'Base de datos Rutas'!AX159,"")</f>
        <v>191.58420767982699</v>
      </c>
      <c r="N161" s="790">
        <f>IFERROR(INDEX('Hoja de apoyo v2'!B$17:B$20,MATCH($A161,'Hoja de apoyo v2'!$A$17:$A$20,0)),"")</f>
        <v>74.190366972477051</v>
      </c>
      <c r="O161" s="791">
        <f>IFERROR(INDEX('Hoja de apoyo v2'!C$17:C$20,MATCH($A161,'Hoja de apoyo v2'!$A$17:$A$20,0)),"")</f>
        <v>0.71677657005077755</v>
      </c>
      <c r="P161" s="793">
        <f>IFERROR(INDEX('Hoja de apoyo v2'!D$17:D$20,MATCH($A161,'Hoja de apoyo v2'!$A$17:$A$20,0)),"")</f>
        <v>8755.1153350385739</v>
      </c>
      <c r="Q161" s="793">
        <f>IFERROR(INDEX('Hoja de apoyo v2'!E$17:E$20,MATCH($A161,'Hoja de apoyo v2'!$A$17:$A$20,0)),"")</f>
        <v>6098.2042779326393</v>
      </c>
      <c r="R161" s="793">
        <f>IFERROR(INDEX('Hoja de apoyo v2'!F$17:F$20,MATCH($A161,'Hoja de apoyo v2'!$A$17:$A$20,0)),"")</f>
        <v>389.08889713610301</v>
      </c>
      <c r="S161" s="793">
        <f>IFERROR(INDEX('Hoja de apoyo v2'!G$17:G$20,MATCH($A161,'Hoja de apoyo v2'!$A$17:$A$20,0)),"")</f>
        <v>67.90575167807188</v>
      </c>
      <c r="T161" s="792">
        <f>IFERROR(INDEX('Hoja de apoyo v2'!H$17:H$20,MATCH($A161,'Hoja de apoyo v2'!$A$17:$A$20,0)),"")</f>
        <v>258.90325471200998</v>
      </c>
      <c r="U161" s="794">
        <f t="shared" si="76"/>
        <v>1.1448356880081623</v>
      </c>
      <c r="V161" s="795">
        <f t="shared" si="77"/>
        <v>1.0448818893723946</v>
      </c>
      <c r="W161" s="795">
        <f t="shared" si="78"/>
        <v>0.53717167850185576</v>
      </c>
      <c r="X161" s="843">
        <f t="shared" si="79"/>
        <v>1.2272687138709852</v>
      </c>
      <c r="Y161" s="843">
        <f t="shared" si="80"/>
        <v>1.3484733845664478</v>
      </c>
      <c r="Z161" s="843">
        <f t="shared" si="81"/>
        <v>0.5048268076989223</v>
      </c>
      <c r="AA161" s="843">
        <f t="shared" si="82"/>
        <v>0.73998377460698561</v>
      </c>
      <c r="AB161" s="796">
        <f t="shared" si="83"/>
        <v>4</v>
      </c>
      <c r="AC161" s="797">
        <f t="shared" si="84"/>
        <v>4</v>
      </c>
      <c r="AD161" s="797">
        <f t="shared" si="85"/>
        <v>2</v>
      </c>
      <c r="AE161" s="842">
        <f t="shared" si="86"/>
        <v>4</v>
      </c>
      <c r="AF161" s="842">
        <f t="shared" si="87"/>
        <v>5</v>
      </c>
      <c r="AG161" s="842">
        <f t="shared" si="88"/>
        <v>2</v>
      </c>
      <c r="AH161" s="842">
        <f t="shared" si="89"/>
        <v>2</v>
      </c>
      <c r="AI161" s="826" cm="1">
        <f t="array" ref="AI161">SUMPRODUCT(--ISNUMBER($U161:$AA161),$AB$3:$AH$3)</f>
        <v>1</v>
      </c>
      <c r="AJ161" s="829">
        <f t="shared" si="90"/>
        <v>54.430112356611225</v>
      </c>
      <c r="AK161" s="827" t="str">
        <f t="shared" si="91"/>
        <v>En desarrollo</v>
      </c>
      <c r="AL161" s="784" t="str">
        <f t="shared" si="92"/>
        <v>Alta</v>
      </c>
      <c r="AM161" s="799">
        <f>IF(ISNUMBER('Base de datos Rutas'!W159),'Base de datos Rutas'!W159,"")</f>
        <v>2998.2139778064675</v>
      </c>
      <c r="AN161" s="787">
        <f>IFERROR(SUMIFS('Base de datos Rutas'!$W$6:$W$794,'Base de datos Rutas'!$C$6:$C$794,$C161)/'Base de datos Rutas'!I159,"")</f>
        <v>2998.2139778064688</v>
      </c>
      <c r="AO161" s="800">
        <f>IFERROR('Base de datos Rutas'!X159*AN161/AM161,"")</f>
        <v>0.37802554582777237</v>
      </c>
      <c r="AP161" s="800">
        <f t="shared" si="93"/>
        <v>0.62197445417222763</v>
      </c>
      <c r="AQ161" s="789">
        <f>IFERROR(INDEX('Hoja de apoyo v2'!$J$17:$J$20,MATCH($A161,'Hoja de apoyo v2'!$A$17:$A$20,0)),"")</f>
        <v>0.62197445417222763</v>
      </c>
      <c r="AR161" s="789">
        <f t="shared" si="94"/>
        <v>0</v>
      </c>
      <c r="AS161" s="784" t="str">
        <f t="shared" si="95"/>
        <v>No</v>
      </c>
      <c r="AT161" s="801">
        <f>IF(ISNUMBER('Base de datos Rutas'!CK159),'Base de datos Rutas'!CK159,"")</f>
        <v>438</v>
      </c>
      <c r="AU161" s="802">
        <f>IF(ISNUMBER('Base de datos Rutas'!CL159),'Base de datos Rutas'!CL159,"")</f>
        <v>610.59</v>
      </c>
      <c r="AV161" s="802">
        <f>IF(ISNUMBER('Base de datos Rutas'!CM159),'Base de datos Rutas'!CM159,"")</f>
        <v>172.59000000000003</v>
      </c>
      <c r="AW161" s="802">
        <f>IF(ISNUMBER('Base de datos Rutas'!CN159),'Base de datos Rutas'!CN159,"")</f>
        <v>6.77</v>
      </c>
      <c r="AX161" s="802">
        <f>IF(ISNUMBER('Base de datos Rutas'!CO159),'Base de datos Rutas'!CO159,"")</f>
        <v>9.4499999999999993</v>
      </c>
      <c r="AY161" s="802">
        <f>IF(ISNUMBER('Base de datos Rutas'!CP159),'Base de datos Rutas'!CP159,"")</f>
        <v>2.6799999999999997</v>
      </c>
      <c r="AZ161" s="802">
        <f>IF(ISNUMBER('Base de datos Rutas'!CQ159),'Base de datos Rutas'!CQ159,"")</f>
        <v>814.39</v>
      </c>
      <c r="BA161" s="802">
        <f>IF(ISNUMBER('Base de datos Rutas'!CR159),'Base de datos Rutas'!CR159,"")</f>
        <v>558.96</v>
      </c>
      <c r="BB161" s="803">
        <f>IF(ISNUMBER('Base de datos Rutas'!CS159),'Base de datos Rutas'!CS159,"")</f>
        <v>255.42999999999995</v>
      </c>
      <c r="BC161" s="804">
        <f t="shared" si="105"/>
        <v>0</v>
      </c>
      <c r="BD161" s="805" t="str">
        <f t="shared" si="106"/>
        <v>No saturada</v>
      </c>
      <c r="BE161" s="806">
        <f t="shared" si="107"/>
        <v>0.68635420375986944</v>
      </c>
      <c r="BF161" s="890">
        <f>IF(ISNUMBER('Base de datos Rutas'!CX159),'Base de datos Rutas'!CX159/100,"")</f>
        <v>0.83328423349699965</v>
      </c>
      <c r="BG161" s="891">
        <f>IF(ISNUMBER('Base de datos Rutas'!CZ159),'Base de datos Rutas'!CZ159/100,"")</f>
        <v>0.92744135297326791</v>
      </c>
      <c r="BH161" s="892">
        <f>IF(ISNUMBER('Base de datos Rutas'!DA159),'Base de datos Rutas'!DA159,"")</f>
        <v>1326.5402350430547</v>
      </c>
      <c r="BI161" s="893">
        <f>IF(ISNUMBER('Base de datos Rutas'!DC159),'Base de datos Rutas'!DC159,"")</f>
        <v>62.169645839877546</v>
      </c>
      <c r="BJ161" s="805" t="str">
        <f t="shared" si="108"/>
        <v>Ruta (completo)</v>
      </c>
      <c r="BK161" s="783">
        <f t="shared" si="96"/>
        <v>5</v>
      </c>
      <c r="BL161" s="797">
        <f t="shared" si="97"/>
        <v>5</v>
      </c>
      <c r="BM161" s="797">
        <f t="shared" si="98"/>
        <v>5</v>
      </c>
      <c r="BN161" s="797">
        <f t="shared" si="99"/>
        <v>5</v>
      </c>
      <c r="BO161" s="798" cm="1">
        <f t="array" ref="BO161">SUMPRODUCT(--ISNUMBER($BF161:$BI161),$BK$3:$BN$3)</f>
        <v>1</v>
      </c>
      <c r="BP161" s="831">
        <f t="shared" si="109"/>
        <v>100</v>
      </c>
      <c r="BQ161" s="834" t="str">
        <f t="shared" si="110"/>
        <v>Alto</v>
      </c>
      <c r="BR161" s="836">
        <f t="shared" si="100"/>
        <v>40.822584267458417</v>
      </c>
      <c r="BS161" s="836">
        <f t="shared" si="101"/>
        <v>100</v>
      </c>
      <c r="BT161" s="837" t="str">
        <f t="shared" si="102"/>
        <v>P1</v>
      </c>
      <c r="BU161" s="807" t="str">
        <f t="shared" si="111"/>
        <v>Con espacio</v>
      </c>
      <c r="BV161" s="807" t="str">
        <f t="shared" si="103"/>
        <v>Zona atractiva</v>
      </c>
      <c r="BW161" s="808" t="str">
        <f t="shared" si="104"/>
        <v>P1 - Ampliar cobertura</v>
      </c>
    </row>
    <row r="162" spans="1:75">
      <c r="A162" s="780" t="str">
        <f>'Base de datos Rutas'!A160</f>
        <v>Norte</v>
      </c>
      <c r="B162" s="781" t="str">
        <f>'Base de datos Rutas'!B160</f>
        <v>Guadiana</v>
      </c>
      <c r="C162" s="781" t="str">
        <f>'Base de datos Rutas'!C160</f>
        <v>Planta Guadiana</v>
      </c>
      <c r="D162" s="782">
        <f>IF(ISNUMBER('Base de datos Rutas'!D160),'Base de datos Rutas'!D160,"Sin código")</f>
        <v>931416</v>
      </c>
      <c r="E162" s="783" t="str">
        <f>'Base de datos Rutas'!F160</f>
        <v>Inactiva</v>
      </c>
      <c r="F162" s="784" t="str">
        <f>'Base de datos Rutas'!H160</f>
        <v>No</v>
      </c>
      <c r="G162" s="785" t="str">
        <f>IF(ISNUMBER('Base de datos Rutas'!BE160),'Base de datos Rutas'!BE160,"")</f>
        <v/>
      </c>
      <c r="H162" s="786" t="str">
        <f>IF(ISNUMBER('Base de datos Rutas'!BH160),'Base de datos Rutas'!BH160,"")</f>
        <v/>
      </c>
      <c r="I162" s="788" t="str">
        <f>IFERROR(IF(OR(NOT(ISNUMBER('Base de datos Rutas'!O160)),N('Base de datos Rutas'!BK160)=0),"",'Base de datos Rutas'!O160/('Base de datos Rutas'!L160/'Base de datos Rutas'!BK160)),"")</f>
        <v/>
      </c>
      <c r="J162" s="788" t="str">
        <f>IFERROR(IF(OR(NOT(ISNUMBER('Base de datos Rutas'!N160)),N('Base de datos Rutas'!BK160)=0),"",'Base de datos Rutas'!N160/('Base de datos Rutas'!L160/'Base de datos Rutas'!BK160)),"")</f>
        <v/>
      </c>
      <c r="K162" s="788" t="str">
        <f>IFERROR(IF(OR(NOT(ISNUMBER('Base de datos Rutas'!J160)),N('Base de datos Rutas'!BK160)=0),"",'Base de datos Rutas'!J160/('Base de datos Rutas'!L160/'Base de datos Rutas'!BK160)),"")</f>
        <v/>
      </c>
      <c r="L162" s="788" t="str">
        <f>IFERROR(IF(OR(NOT(ISNUMBER('Base de datos Rutas'!K160)),N('Base de datos Rutas'!BK160)=0),"",'Base de datos Rutas'!K160/('Base de datos Rutas'!L160/'Base de datos Rutas'!BK160)),"")</f>
        <v/>
      </c>
      <c r="M162" s="787">
        <f>IF(ISNUMBER('Base de datos Rutas'!AX160),'Base de datos Rutas'!AX160,"")</f>
        <v>137.327272727273</v>
      </c>
      <c r="N162" s="790">
        <f>IFERROR(INDEX('Hoja de apoyo v2'!B$17:B$20,MATCH($A162,'Hoja de apoyo v2'!$A$17:$A$20,0)),"")</f>
        <v>74.190366972477051</v>
      </c>
      <c r="O162" s="791">
        <f>IFERROR(INDEX('Hoja de apoyo v2'!C$17:C$20,MATCH($A162,'Hoja de apoyo v2'!$A$17:$A$20,0)),"")</f>
        <v>0.71677657005077755</v>
      </c>
      <c r="P162" s="793">
        <f>IFERROR(INDEX('Hoja de apoyo v2'!D$17:D$20,MATCH($A162,'Hoja de apoyo v2'!$A$17:$A$20,0)),"")</f>
        <v>8755.1153350385739</v>
      </c>
      <c r="Q162" s="793">
        <f>IFERROR(INDEX('Hoja de apoyo v2'!E$17:E$20,MATCH($A162,'Hoja de apoyo v2'!$A$17:$A$20,0)),"")</f>
        <v>6098.2042779326393</v>
      </c>
      <c r="R162" s="793">
        <f>IFERROR(INDEX('Hoja de apoyo v2'!F$17:F$20,MATCH($A162,'Hoja de apoyo v2'!$A$17:$A$20,0)),"")</f>
        <v>389.08889713610301</v>
      </c>
      <c r="S162" s="793">
        <f>IFERROR(INDEX('Hoja de apoyo v2'!G$17:G$20,MATCH($A162,'Hoja de apoyo v2'!$A$17:$A$20,0)),"")</f>
        <v>67.90575167807188</v>
      </c>
      <c r="T162" s="792">
        <f>IFERROR(INDEX('Hoja de apoyo v2'!H$17:H$20,MATCH($A162,'Hoja de apoyo v2'!$A$17:$A$20,0)),"")</f>
        <v>258.90325471200998</v>
      </c>
      <c r="U162" s="794" t="str">
        <f t="shared" si="76"/>
        <v/>
      </c>
      <c r="V162" s="795" t="str">
        <f t="shared" si="77"/>
        <v/>
      </c>
      <c r="W162" s="795" t="str">
        <f t="shared" si="78"/>
        <v/>
      </c>
      <c r="X162" s="843" t="str">
        <f t="shared" si="79"/>
        <v/>
      </c>
      <c r="Y162" s="843" t="str">
        <f t="shared" si="80"/>
        <v/>
      </c>
      <c r="Z162" s="843" t="str">
        <f t="shared" si="81"/>
        <v/>
      </c>
      <c r="AA162" s="843">
        <f t="shared" si="82"/>
        <v>0.5304192598120423</v>
      </c>
      <c r="AB162" s="796">
        <f t="shared" si="83"/>
        <v>0</v>
      </c>
      <c r="AC162" s="797">
        <f t="shared" si="84"/>
        <v>0</v>
      </c>
      <c r="AD162" s="797">
        <f t="shared" si="85"/>
        <v>0</v>
      </c>
      <c r="AE162" s="842">
        <f t="shared" si="86"/>
        <v>0</v>
      </c>
      <c r="AF162" s="842">
        <f t="shared" si="87"/>
        <v>0</v>
      </c>
      <c r="AG162" s="842">
        <f t="shared" si="88"/>
        <v>0</v>
      </c>
      <c r="AH162" s="842">
        <f t="shared" si="89"/>
        <v>2</v>
      </c>
      <c r="AI162" s="826" cm="1">
        <f t="array" ref="AI162">SUMPRODUCT(--ISNUMBER($U162:$AA162),$AB$3:$AH$3)</f>
        <v>8.9789113613062493E-2</v>
      </c>
      <c r="AJ162" s="829" t="str">
        <f t="shared" si="90"/>
        <v/>
      </c>
      <c r="AK162" s="827" t="str">
        <f t="shared" si="91"/>
        <v>Ruta inactiva</v>
      </c>
      <c r="AL162" s="784" t="str">
        <f t="shared" si="92"/>
        <v>n/a</v>
      </c>
      <c r="AM162" s="799">
        <f>IF(ISNUMBER('Base de datos Rutas'!W160),'Base de datos Rutas'!W160,"")</f>
        <v>2998.2139778064675</v>
      </c>
      <c r="AN162" s="787">
        <f>IFERROR(SUMIFS('Base de datos Rutas'!$W$6:$W$794,'Base de datos Rutas'!$C$6:$C$794,$C162)/'Base de datos Rutas'!I160,"")</f>
        <v>2998.2139778064688</v>
      </c>
      <c r="AO162" s="800">
        <f>IFERROR('Base de datos Rutas'!X160*AN162/AM162,"")</f>
        <v>0.37802554582777237</v>
      </c>
      <c r="AP162" s="800">
        <f t="shared" si="93"/>
        <v>0.62197445417222763</v>
      </c>
      <c r="AQ162" s="789">
        <f>IFERROR(INDEX('Hoja de apoyo v2'!$J$17:$J$20,MATCH($A162,'Hoja de apoyo v2'!$A$17:$A$20,0)),"")</f>
        <v>0.62197445417222763</v>
      </c>
      <c r="AR162" s="789">
        <f t="shared" si="94"/>
        <v>0</v>
      </c>
      <c r="AS162" s="784" t="str">
        <f t="shared" si="95"/>
        <v>No</v>
      </c>
      <c r="AT162" s="801" t="str">
        <f>IF(ISNUMBER('Base de datos Rutas'!CK160),'Base de datos Rutas'!CK160,"")</f>
        <v/>
      </c>
      <c r="AU162" s="802" t="str">
        <f>IF(ISNUMBER('Base de datos Rutas'!CL160),'Base de datos Rutas'!CL160,"")</f>
        <v/>
      </c>
      <c r="AV162" s="802">
        <f>IF(ISNUMBER('Base de datos Rutas'!CM160),'Base de datos Rutas'!CM160,"")</f>
        <v>0</v>
      </c>
      <c r="AW162" s="802" t="str">
        <f>IF(ISNUMBER('Base de datos Rutas'!CN160),'Base de datos Rutas'!CN160,"")</f>
        <v/>
      </c>
      <c r="AX162" s="802" t="str">
        <f>IF(ISNUMBER('Base de datos Rutas'!CO160),'Base de datos Rutas'!CO160,"")</f>
        <v/>
      </c>
      <c r="AY162" s="802">
        <f>IF(ISNUMBER('Base de datos Rutas'!CP160),'Base de datos Rutas'!CP160,"")</f>
        <v>0</v>
      </c>
      <c r="AZ162" s="802" t="str">
        <f>IF(ISNUMBER('Base de datos Rutas'!CQ160),'Base de datos Rutas'!CQ160,"")</f>
        <v/>
      </c>
      <c r="BA162" s="802" t="str">
        <f>IF(ISNUMBER('Base de datos Rutas'!CR160),'Base de datos Rutas'!CR160,"")</f>
        <v/>
      </c>
      <c r="BB162" s="803">
        <f>IF(ISNUMBER('Base de datos Rutas'!CS160),'Base de datos Rutas'!CS160,"")</f>
        <v>0</v>
      </c>
      <c r="BC162" s="804" t="str">
        <f t="shared" si="105"/>
        <v/>
      </c>
      <c r="BD162" s="805" t="str">
        <f t="shared" si="106"/>
        <v>N/D</v>
      </c>
      <c r="BE162" s="806" t="str">
        <f t="shared" si="107"/>
        <v/>
      </c>
      <c r="BF162" s="890" t="str">
        <f>IF(ISNUMBER('Base de datos Rutas'!CX160),'Base de datos Rutas'!CX160/100,"")</f>
        <v/>
      </c>
      <c r="BG162" s="891" t="str">
        <f>IF(ISNUMBER('Base de datos Rutas'!CZ160),'Base de datos Rutas'!CZ160/100,"")</f>
        <v/>
      </c>
      <c r="BH162" s="892" t="str">
        <f>IF(ISNUMBER('Base de datos Rutas'!DA160),'Base de datos Rutas'!DA160,"")</f>
        <v/>
      </c>
      <c r="BI162" s="893" t="str">
        <f>IF(ISNUMBER('Base de datos Rutas'!DC160),'Base de datos Rutas'!DC160,"")</f>
        <v/>
      </c>
      <c r="BJ162" s="805" t="str">
        <f t="shared" si="108"/>
        <v>Sin dato</v>
      </c>
      <c r="BK162" s="783">
        <f t="shared" si="96"/>
        <v>0</v>
      </c>
      <c r="BL162" s="797">
        <f t="shared" si="97"/>
        <v>0</v>
      </c>
      <c r="BM162" s="797">
        <f t="shared" si="98"/>
        <v>0</v>
      </c>
      <c r="BN162" s="797">
        <f t="shared" si="99"/>
        <v>0</v>
      </c>
      <c r="BO162" s="798" cm="1">
        <f t="array" ref="BO162">SUMPRODUCT(--ISNUMBER($BF162:$BI162),$BK$3:$BN$3)</f>
        <v>0</v>
      </c>
      <c r="BP162" s="831" t="str">
        <f t="shared" si="109"/>
        <v/>
      </c>
      <c r="BQ162" s="834" t="str">
        <f t="shared" si="110"/>
        <v>Sin datos</v>
      </c>
      <c r="BR162" s="836" t="str">
        <f t="shared" si="100"/>
        <v/>
      </c>
      <c r="BS162" s="836" t="str">
        <f t="shared" si="101"/>
        <v/>
      </c>
      <c r="BT162" s="837" t="str">
        <f t="shared" si="102"/>
        <v>Sin datos</v>
      </c>
      <c r="BU162" s="807" t="str">
        <f t="shared" si="111"/>
        <v>No evaluable</v>
      </c>
      <c r="BV162" s="807" t="str">
        <f t="shared" si="103"/>
        <v>No evaluable</v>
      </c>
      <c r="BW162" s="808" t="str">
        <f t="shared" si="104"/>
        <v>Sin datos</v>
      </c>
    </row>
    <row r="163" spans="1:75">
      <c r="A163" s="780" t="str">
        <f>'Base de datos Rutas'!A161</f>
        <v>Norte</v>
      </c>
      <c r="B163" s="781" t="str">
        <f>'Base de datos Rutas'!B161</f>
        <v>Guadiana</v>
      </c>
      <c r="C163" s="781" t="str">
        <f>'Base de datos Rutas'!C161</f>
        <v>Planta Guadiana</v>
      </c>
      <c r="D163" s="782">
        <f>IF(ISNUMBER('Base de datos Rutas'!D161),'Base de datos Rutas'!D161,"Sin código")</f>
        <v>931417</v>
      </c>
      <c r="E163" s="783" t="str">
        <f>'Base de datos Rutas'!F161</f>
        <v>Activa</v>
      </c>
      <c r="F163" s="784" t="str">
        <f>'Base de datos Rutas'!H161</f>
        <v>Sí</v>
      </c>
      <c r="G163" s="785">
        <f>IF(ISNUMBER('Base de datos Rutas'!BE161),'Base de datos Rutas'!BE161,"")</f>
        <v>93.433486238532097</v>
      </c>
      <c r="H163" s="786">
        <f>IF(ISNUMBER('Base de datos Rutas'!BH161),'Base de datos Rutas'!BH161,"")</f>
        <v>0.51486363747944097</v>
      </c>
      <c r="I163" s="788">
        <f>IFERROR(IF(OR(NOT(ISNUMBER('Base de datos Rutas'!O161)),N('Base de datos Rutas'!BK161)=0),"",'Base de datos Rutas'!O161/('Base de datos Rutas'!L161/'Base de datos Rutas'!BK161)),"")</f>
        <v>2761.1857798165074</v>
      </c>
      <c r="J163" s="788">
        <f>IFERROR(IF(OR(NOT(ISNUMBER('Base de datos Rutas'!N161)),N('Base de datos Rutas'!BK161)=0),"",'Base de datos Rutas'!N161/('Base de datos Rutas'!L161/'Base de datos Rutas'!BK161)),"")</f>
        <v>6900.0183486238375</v>
      </c>
      <c r="K163" s="788">
        <f>IFERROR(IF(OR(NOT(ISNUMBER('Base de datos Rutas'!J161)),N('Base de datos Rutas'!BK161)=0),"",'Base de datos Rutas'!J161/('Base de datos Rutas'!L161/'Base de datos Rutas'!BK161)),"")</f>
        <v>475.4028165137604</v>
      </c>
      <c r="L163" s="788">
        <f>IFERROR(IF(OR(NOT(ISNUMBER('Base de datos Rutas'!K161)),N('Base de datos Rutas'!BK161)=0),"",'Base de datos Rutas'!K161/('Base de datos Rutas'!L161/'Base de datos Rutas'!BK161)),"")</f>
        <v>20.792545518348579</v>
      </c>
      <c r="M163" s="787">
        <f>IF(ISNUMBER('Base de datos Rutas'!AX161),'Base de datos Rutas'!AX161,"")</f>
        <v>200.83353771335899</v>
      </c>
      <c r="N163" s="790">
        <f>IFERROR(INDEX('Hoja de apoyo v2'!B$17:B$20,MATCH($A163,'Hoja de apoyo v2'!$A$17:$A$20,0)),"")</f>
        <v>74.190366972477051</v>
      </c>
      <c r="O163" s="791">
        <f>IFERROR(INDEX('Hoja de apoyo v2'!C$17:C$20,MATCH($A163,'Hoja de apoyo v2'!$A$17:$A$20,0)),"")</f>
        <v>0.71677657005077755</v>
      </c>
      <c r="P163" s="793">
        <f>IFERROR(INDEX('Hoja de apoyo v2'!D$17:D$20,MATCH($A163,'Hoja de apoyo v2'!$A$17:$A$20,0)),"")</f>
        <v>8755.1153350385739</v>
      </c>
      <c r="Q163" s="793">
        <f>IFERROR(INDEX('Hoja de apoyo v2'!E$17:E$20,MATCH($A163,'Hoja de apoyo v2'!$A$17:$A$20,0)),"")</f>
        <v>6098.2042779326393</v>
      </c>
      <c r="R163" s="793">
        <f>IFERROR(INDEX('Hoja de apoyo v2'!F$17:F$20,MATCH($A163,'Hoja de apoyo v2'!$A$17:$A$20,0)),"")</f>
        <v>389.08889713610301</v>
      </c>
      <c r="S163" s="793">
        <f>IFERROR(INDEX('Hoja de apoyo v2'!G$17:G$20,MATCH($A163,'Hoja de apoyo v2'!$A$17:$A$20,0)),"")</f>
        <v>67.90575167807188</v>
      </c>
      <c r="T163" s="792">
        <f>IFERROR(INDEX('Hoja de apoyo v2'!H$17:H$20,MATCH($A163,'Hoja de apoyo v2'!$A$17:$A$20,0)),"")</f>
        <v>258.90325471200998</v>
      </c>
      <c r="U163" s="794">
        <f t="shared" si="76"/>
        <v>1.2593749033913502</v>
      </c>
      <c r="V163" s="795">
        <f t="shared" si="77"/>
        <v>0.7183042233690301</v>
      </c>
      <c r="W163" s="795">
        <f t="shared" si="78"/>
        <v>0.31537971507537449</v>
      </c>
      <c r="X163" s="843">
        <f t="shared" si="79"/>
        <v>1.1314836358619036</v>
      </c>
      <c r="Y163" s="843">
        <f t="shared" si="80"/>
        <v>1.2218359866163564</v>
      </c>
      <c r="Z163" s="843">
        <f t="shared" si="81"/>
        <v>0.30619711886736845</v>
      </c>
      <c r="AA163" s="843">
        <f t="shared" si="82"/>
        <v>0.77570881809406134</v>
      </c>
      <c r="AB163" s="796">
        <f t="shared" si="83"/>
        <v>5</v>
      </c>
      <c r="AC163" s="797">
        <f t="shared" si="84"/>
        <v>2</v>
      </c>
      <c r="AD163" s="797">
        <f t="shared" si="85"/>
        <v>1</v>
      </c>
      <c r="AE163" s="842">
        <f t="shared" si="86"/>
        <v>4</v>
      </c>
      <c r="AF163" s="842">
        <f t="shared" si="87"/>
        <v>4</v>
      </c>
      <c r="AG163" s="842">
        <f t="shared" si="88"/>
        <v>1</v>
      </c>
      <c r="AH163" s="842">
        <f t="shared" si="89"/>
        <v>3</v>
      </c>
      <c r="AI163" s="826" cm="1">
        <f t="array" ref="AI163">SUMPRODUCT(--ISNUMBER($U163:$AA163),$AB$3:$AH$3)</f>
        <v>1</v>
      </c>
      <c r="AJ163" s="829">
        <f t="shared" si="90"/>
        <v>44.013382453866065</v>
      </c>
      <c r="AK163" s="827" t="str">
        <f t="shared" si="91"/>
        <v>Inmadura</v>
      </c>
      <c r="AL163" s="784" t="str">
        <f t="shared" si="92"/>
        <v>Alta</v>
      </c>
      <c r="AM163" s="799">
        <f>IF(ISNUMBER('Base de datos Rutas'!W161),'Base de datos Rutas'!W161,"")</f>
        <v>2998.2139778064675</v>
      </c>
      <c r="AN163" s="787">
        <f>IFERROR(SUMIFS('Base de datos Rutas'!$W$6:$W$794,'Base de datos Rutas'!$C$6:$C$794,$C163)/'Base de datos Rutas'!I161,"")</f>
        <v>2998.2139778064688</v>
      </c>
      <c r="AO163" s="800">
        <f>IFERROR('Base de datos Rutas'!X161*AN163/AM163,"")</f>
        <v>0.37802554582777237</v>
      </c>
      <c r="AP163" s="800">
        <f t="shared" si="93"/>
        <v>0.62197445417222763</v>
      </c>
      <c r="AQ163" s="789">
        <f>IFERROR(INDEX('Hoja de apoyo v2'!$J$17:$J$20,MATCH($A163,'Hoja de apoyo v2'!$A$17:$A$20,0)),"")</f>
        <v>0.62197445417222763</v>
      </c>
      <c r="AR163" s="789">
        <f t="shared" si="94"/>
        <v>0</v>
      </c>
      <c r="AS163" s="784" t="str">
        <f t="shared" si="95"/>
        <v>No</v>
      </c>
      <c r="AT163" s="801">
        <f>IF(ISNUMBER('Base de datos Rutas'!CK161),'Base de datos Rutas'!CK161,"")</f>
        <v>394</v>
      </c>
      <c r="AU163" s="802">
        <f>IF(ISNUMBER('Base de datos Rutas'!CL161),'Base de datos Rutas'!CL161,"")</f>
        <v>686.88</v>
      </c>
      <c r="AV163" s="802">
        <f>IF(ISNUMBER('Base de datos Rutas'!CM161),'Base de datos Rutas'!CM161,"")</f>
        <v>292.88</v>
      </c>
      <c r="AW163" s="802">
        <f>IF(ISNUMBER('Base de datos Rutas'!CN161),'Base de datos Rutas'!CN161,"")</f>
        <v>7.99</v>
      </c>
      <c r="AX163" s="802">
        <f>IF(ISNUMBER('Base de datos Rutas'!CO161),'Base de datos Rutas'!CO161,"")</f>
        <v>9.4499999999999993</v>
      </c>
      <c r="AY163" s="802">
        <f>IF(ISNUMBER('Base de datos Rutas'!CP161),'Base de datos Rutas'!CP161,"")</f>
        <v>1.4599999999999991</v>
      </c>
      <c r="AZ163" s="802">
        <f>IF(ISNUMBER('Base de datos Rutas'!CQ161),'Base de datos Rutas'!CQ161,"")</f>
        <v>814.39</v>
      </c>
      <c r="BA163" s="802">
        <f>IF(ISNUMBER('Base de datos Rutas'!CR161),'Base de datos Rutas'!CR161,"")</f>
        <v>496.2</v>
      </c>
      <c r="BB163" s="803">
        <f>IF(ISNUMBER('Base de datos Rutas'!CS161),'Base de datos Rutas'!CS161,"")</f>
        <v>318.19</v>
      </c>
      <c r="BC163" s="804">
        <f t="shared" si="105"/>
        <v>0</v>
      </c>
      <c r="BD163" s="805" t="str">
        <f t="shared" si="106"/>
        <v>No saturada</v>
      </c>
      <c r="BE163" s="806">
        <f t="shared" si="107"/>
        <v>0.60929038912560318</v>
      </c>
      <c r="BF163" s="890">
        <f>IF(ISNUMBER('Base de datos Rutas'!CX161),'Base de datos Rutas'!CX161/100,"")</f>
        <v>0.68060553633217991</v>
      </c>
      <c r="BG163" s="891">
        <f>IF(ISNUMBER('Base de datos Rutas'!CZ161),'Base de datos Rutas'!CZ161/100,"")</f>
        <v>0.74394463667820065</v>
      </c>
      <c r="BH163" s="892">
        <f>IF(ISNUMBER('Base de datos Rutas'!DA161),'Base de datos Rutas'!DA161,"")</f>
        <v>681.70860789769119</v>
      </c>
      <c r="BI163" s="893">
        <f>IF(ISNUMBER('Base de datos Rutas'!DC161),'Base de datos Rutas'!DC161,"")</f>
        <v>34.115583459429558</v>
      </c>
      <c r="BJ163" s="805" t="str">
        <f t="shared" si="108"/>
        <v>Ruta (completo)</v>
      </c>
      <c r="BK163" s="783">
        <f t="shared" si="96"/>
        <v>4</v>
      </c>
      <c r="BL163" s="797">
        <f t="shared" si="97"/>
        <v>4</v>
      </c>
      <c r="BM163" s="797">
        <f t="shared" si="98"/>
        <v>4</v>
      </c>
      <c r="BN163" s="797">
        <f t="shared" si="99"/>
        <v>4</v>
      </c>
      <c r="BO163" s="798" cm="1">
        <f t="array" ref="BO163">SUMPRODUCT(--ISNUMBER($BF163:$BI163),$BK$3:$BN$3)</f>
        <v>1</v>
      </c>
      <c r="BP163" s="831">
        <f t="shared" si="109"/>
        <v>75</v>
      </c>
      <c r="BQ163" s="834" t="str">
        <f t="shared" si="110"/>
        <v>Alto</v>
      </c>
      <c r="BR163" s="836">
        <f t="shared" si="100"/>
        <v>33.01003684039955</v>
      </c>
      <c r="BS163" s="836">
        <f t="shared" si="101"/>
        <v>75</v>
      </c>
      <c r="BT163" s="837" t="str">
        <f t="shared" si="102"/>
        <v>P1</v>
      </c>
      <c r="BU163" s="807" t="str">
        <f t="shared" si="111"/>
        <v>Con espacio</v>
      </c>
      <c r="BV163" s="807" t="str">
        <f t="shared" si="103"/>
        <v>Zona atractiva</v>
      </c>
      <c r="BW163" s="808" t="str">
        <f t="shared" si="104"/>
        <v>P1 - Ampliar cobertura</v>
      </c>
    </row>
    <row r="164" spans="1:75">
      <c r="A164" s="780" t="str">
        <f>'Base de datos Rutas'!A162</f>
        <v>Norte</v>
      </c>
      <c r="B164" s="781" t="str">
        <f>'Base de datos Rutas'!B162</f>
        <v>Guadiana</v>
      </c>
      <c r="C164" s="781" t="str">
        <f>'Base de datos Rutas'!C162</f>
        <v>Planta Guadiana</v>
      </c>
      <c r="D164" s="782">
        <f>IF(ISNUMBER('Base de datos Rutas'!D162),'Base de datos Rutas'!D162,"Sin código")</f>
        <v>931418</v>
      </c>
      <c r="E164" s="783" t="str">
        <f>'Base de datos Rutas'!F162</f>
        <v>Activa</v>
      </c>
      <c r="F164" s="784" t="str">
        <f>'Base de datos Rutas'!H162</f>
        <v>Sí</v>
      </c>
      <c r="G164" s="785">
        <f>IF(ISNUMBER('Base de datos Rutas'!BE162),'Base de datos Rutas'!BE162,"")</f>
        <v>94.233944954128503</v>
      </c>
      <c r="H164" s="786">
        <f>IF(ISNUMBER('Base de datos Rutas'!BH162),'Base de datos Rutas'!BH162,"")</f>
        <v>0.62909506887990996</v>
      </c>
      <c r="I164" s="788">
        <f>IFERROR(IF(OR(NOT(ISNUMBER('Base de datos Rutas'!O162)),N('Base de datos Rutas'!BK162)=0),"",'Base de datos Rutas'!O162/('Base de datos Rutas'!L162/'Base de datos Rutas'!BK162)),"")</f>
        <v>2408.2477064220157</v>
      </c>
      <c r="J164" s="788">
        <f>IFERROR(IF(OR(NOT(ISNUMBER('Base de datos Rutas'!N162)),N('Base de datos Rutas'!BK162)=0),"",'Base de datos Rutas'!N162/('Base de datos Rutas'!L162/'Base de datos Rutas'!BK162)),"")</f>
        <v>7170.0894495412758</v>
      </c>
      <c r="K164" s="788">
        <f>IFERROR(IF(OR(NOT(ISNUMBER('Base de datos Rutas'!J162)),N('Base de datos Rutas'!BK162)=0),"",'Base de datos Rutas'!J162/('Base de datos Rutas'!L162/'Base de datos Rutas'!BK162)),"")</f>
        <v>485.13788990825628</v>
      </c>
      <c r="L164" s="788">
        <f>IFERROR(IF(OR(NOT(ISNUMBER('Base de datos Rutas'!K162)),N('Base de datos Rutas'!BK162)=0),"",'Base de datos Rutas'!K162/('Base de datos Rutas'!L162/'Base de datos Rutas'!BK162)),"")</f>
        <v>21.021749344036671</v>
      </c>
      <c r="M164" s="787">
        <f>IF(ISNUMBER('Base de datos Rutas'!AX162),'Base de datos Rutas'!AX162,"")</f>
        <v>155.15704840020101</v>
      </c>
      <c r="N164" s="790">
        <f>IFERROR(INDEX('Hoja de apoyo v2'!B$17:B$20,MATCH($A164,'Hoja de apoyo v2'!$A$17:$A$20,0)),"")</f>
        <v>74.190366972477051</v>
      </c>
      <c r="O164" s="791">
        <f>IFERROR(INDEX('Hoja de apoyo v2'!C$17:C$20,MATCH($A164,'Hoja de apoyo v2'!$A$17:$A$20,0)),"")</f>
        <v>0.71677657005077755</v>
      </c>
      <c r="P164" s="793">
        <f>IFERROR(INDEX('Hoja de apoyo v2'!D$17:D$20,MATCH($A164,'Hoja de apoyo v2'!$A$17:$A$20,0)),"")</f>
        <v>8755.1153350385739</v>
      </c>
      <c r="Q164" s="793">
        <f>IFERROR(INDEX('Hoja de apoyo v2'!E$17:E$20,MATCH($A164,'Hoja de apoyo v2'!$A$17:$A$20,0)),"")</f>
        <v>6098.2042779326393</v>
      </c>
      <c r="R164" s="793">
        <f>IFERROR(INDEX('Hoja de apoyo v2'!F$17:F$20,MATCH($A164,'Hoja de apoyo v2'!$A$17:$A$20,0)),"")</f>
        <v>389.08889713610301</v>
      </c>
      <c r="S164" s="793">
        <f>IFERROR(INDEX('Hoja de apoyo v2'!G$17:G$20,MATCH($A164,'Hoja de apoyo v2'!$A$17:$A$20,0)),"")</f>
        <v>67.90575167807188</v>
      </c>
      <c r="T164" s="792">
        <f>IFERROR(INDEX('Hoja de apoyo v2'!H$17:H$20,MATCH($A164,'Hoja de apoyo v2'!$A$17:$A$20,0)),"")</f>
        <v>258.90325471200998</v>
      </c>
      <c r="U164" s="794">
        <f t="shared" si="76"/>
        <v>1.2701641574179996</v>
      </c>
      <c r="V164" s="795">
        <f t="shared" si="77"/>
        <v>0.87767247865725284</v>
      </c>
      <c r="W164" s="795">
        <f t="shared" si="78"/>
        <v>0.27506750217030751</v>
      </c>
      <c r="X164" s="843">
        <f t="shared" si="79"/>
        <v>1.1757706240650925</v>
      </c>
      <c r="Y164" s="843">
        <f t="shared" si="80"/>
        <v>1.2468561644372891</v>
      </c>
      <c r="Z164" s="843">
        <f t="shared" si="81"/>
        <v>0.30957244157603536</v>
      </c>
      <c r="AA164" s="843">
        <f t="shared" si="82"/>
        <v>0.59928581652165536</v>
      </c>
      <c r="AB164" s="796">
        <f t="shared" si="83"/>
        <v>5</v>
      </c>
      <c r="AC164" s="797">
        <f t="shared" si="84"/>
        <v>3</v>
      </c>
      <c r="AD164" s="797">
        <f t="shared" si="85"/>
        <v>1</v>
      </c>
      <c r="AE164" s="842">
        <f t="shared" si="86"/>
        <v>4</v>
      </c>
      <c r="AF164" s="842">
        <f t="shared" si="87"/>
        <v>4</v>
      </c>
      <c r="AG164" s="842">
        <f t="shared" si="88"/>
        <v>1</v>
      </c>
      <c r="AH164" s="842">
        <f t="shared" si="89"/>
        <v>2</v>
      </c>
      <c r="AI164" s="826" cm="1">
        <f t="array" ref="AI164">SUMPRODUCT(--ISNUMBER($U164:$AA164),$AB$3:$AH$3)</f>
        <v>1</v>
      </c>
      <c r="AJ164" s="829">
        <f t="shared" si="90"/>
        <v>44.151560199429987</v>
      </c>
      <c r="AK164" s="827" t="str">
        <f t="shared" si="91"/>
        <v>Inmadura</v>
      </c>
      <c r="AL164" s="784" t="str">
        <f t="shared" si="92"/>
        <v>Alta</v>
      </c>
      <c r="AM164" s="799">
        <f>IF(ISNUMBER('Base de datos Rutas'!W162),'Base de datos Rutas'!W162,"")</f>
        <v>2998.2139778064675</v>
      </c>
      <c r="AN164" s="787">
        <f>IFERROR(SUMIFS('Base de datos Rutas'!$W$6:$W$794,'Base de datos Rutas'!$C$6:$C$794,$C164)/'Base de datos Rutas'!I162,"")</f>
        <v>2998.2139778064688</v>
      </c>
      <c r="AO164" s="800">
        <f>IFERROR('Base de datos Rutas'!X162*AN164/AM164,"")</f>
        <v>0.37802554582777237</v>
      </c>
      <c r="AP164" s="800">
        <f t="shared" si="93"/>
        <v>0.62197445417222763</v>
      </c>
      <c r="AQ164" s="789">
        <f>IFERROR(INDEX('Hoja de apoyo v2'!$J$17:$J$20,MATCH($A164,'Hoja de apoyo v2'!$A$17:$A$20,0)),"")</f>
        <v>0.62197445417222763</v>
      </c>
      <c r="AR164" s="789">
        <f t="shared" si="94"/>
        <v>0</v>
      </c>
      <c r="AS164" s="784" t="str">
        <f t="shared" si="95"/>
        <v>No</v>
      </c>
      <c r="AT164" s="801">
        <f>IF(ISNUMBER('Base de datos Rutas'!CK162),'Base de datos Rutas'!CK162,"")</f>
        <v>398</v>
      </c>
      <c r="AU164" s="802">
        <f>IF(ISNUMBER('Base de datos Rutas'!CL162),'Base de datos Rutas'!CL162,"")</f>
        <v>799.22</v>
      </c>
      <c r="AV164" s="802">
        <f>IF(ISNUMBER('Base de datos Rutas'!CM162),'Base de datos Rutas'!CM162,"")</f>
        <v>401.22</v>
      </c>
      <c r="AW164" s="802">
        <f>IF(ISNUMBER('Base de datos Rutas'!CN162),'Base de datos Rutas'!CN162,"")</f>
        <v>4.75</v>
      </c>
      <c r="AX164" s="802">
        <f>IF(ISNUMBER('Base de datos Rutas'!CO162),'Base de datos Rutas'!CO162,"")</f>
        <v>9.4499999999999993</v>
      </c>
      <c r="AY164" s="802">
        <f>IF(ISNUMBER('Base de datos Rutas'!CP162),'Base de datos Rutas'!CP162,"")</f>
        <v>4.6999999999999993</v>
      </c>
      <c r="AZ164" s="802">
        <f>IF(ISNUMBER('Base de datos Rutas'!CQ162),'Base de datos Rutas'!CQ162,"")</f>
        <v>814.39</v>
      </c>
      <c r="BA164" s="802">
        <f>IF(ISNUMBER('Base de datos Rutas'!CR162),'Base de datos Rutas'!CR162,"")</f>
        <v>506.16</v>
      </c>
      <c r="BB164" s="803">
        <f>IF(ISNUMBER('Base de datos Rutas'!CS162),'Base de datos Rutas'!CS162,"")</f>
        <v>308.22999999999996</v>
      </c>
      <c r="BC164" s="804">
        <f t="shared" si="105"/>
        <v>0</v>
      </c>
      <c r="BD164" s="805" t="str">
        <f t="shared" si="106"/>
        <v>No saturada</v>
      </c>
      <c r="BE164" s="806">
        <f t="shared" si="107"/>
        <v>0.6215204017731063</v>
      </c>
      <c r="BF164" s="890">
        <f>IF(ISNUMBER('Base de datos Rutas'!CX162),'Base de datos Rutas'!CX162/100,"")</f>
        <v>0.49694089134239933</v>
      </c>
      <c r="BG164" s="891">
        <f>IF(ISNUMBER('Base de datos Rutas'!CZ162),'Base de datos Rutas'!CZ162/100,"")</f>
        <v>0.55096270364884881</v>
      </c>
      <c r="BH164" s="892">
        <f>IF(ISNUMBER('Base de datos Rutas'!DA162),'Base de datos Rutas'!DA162,"")</f>
        <v>515.52891461915988</v>
      </c>
      <c r="BI164" s="893">
        <f>IF(ISNUMBER('Base de datos Rutas'!DC162),'Base de datos Rutas'!DC162,"")</f>
        <v>26.173349752561883</v>
      </c>
      <c r="BJ164" s="805" t="str">
        <f t="shared" si="108"/>
        <v>Ruta (completo)</v>
      </c>
      <c r="BK164" s="783">
        <f t="shared" si="96"/>
        <v>4</v>
      </c>
      <c r="BL164" s="797">
        <f t="shared" si="97"/>
        <v>4</v>
      </c>
      <c r="BM164" s="797">
        <f t="shared" si="98"/>
        <v>4</v>
      </c>
      <c r="BN164" s="797">
        <f t="shared" si="99"/>
        <v>3</v>
      </c>
      <c r="BO164" s="798" cm="1">
        <f t="array" ref="BO164">SUMPRODUCT(--ISNUMBER($BF164:$BI164),$BK$3:$BN$3)</f>
        <v>1</v>
      </c>
      <c r="BP164" s="831">
        <f t="shared" si="109"/>
        <v>68.75</v>
      </c>
      <c r="BQ164" s="834" t="str">
        <f t="shared" si="110"/>
        <v>Alto</v>
      </c>
      <c r="BR164" s="836">
        <f t="shared" si="100"/>
        <v>33.113670149572492</v>
      </c>
      <c r="BS164" s="836">
        <f t="shared" si="101"/>
        <v>68.75</v>
      </c>
      <c r="BT164" s="837" t="str">
        <f t="shared" si="102"/>
        <v>P1</v>
      </c>
      <c r="BU164" s="807" t="str">
        <f t="shared" si="111"/>
        <v>Con espacio</v>
      </c>
      <c r="BV164" s="807" t="str">
        <f t="shared" si="103"/>
        <v>Zona atractiva</v>
      </c>
      <c r="BW164" s="808" t="str">
        <f t="shared" si="104"/>
        <v>P1 - Ampliar cobertura</v>
      </c>
    </row>
    <row r="165" spans="1:75">
      <c r="A165" s="780" t="str">
        <f>'Base de datos Rutas'!A163</f>
        <v>Norte</v>
      </c>
      <c r="B165" s="781" t="str">
        <f>'Base de datos Rutas'!B163</f>
        <v>Guadiana</v>
      </c>
      <c r="C165" s="781" t="str">
        <f>'Base de datos Rutas'!C163</f>
        <v>Planta Guadiana</v>
      </c>
      <c r="D165" s="782">
        <f>IF(ISNUMBER('Base de datos Rutas'!D163),'Base de datos Rutas'!D163,"Sin código")</f>
        <v>931419</v>
      </c>
      <c r="E165" s="783" t="str">
        <f>'Base de datos Rutas'!F163</f>
        <v>Activa</v>
      </c>
      <c r="F165" s="784" t="str">
        <f>'Base de datos Rutas'!H163</f>
        <v>Sí</v>
      </c>
      <c r="G165" s="785">
        <f>IF(ISNUMBER('Base de datos Rutas'!BE163),'Base de datos Rutas'!BE163,"")</f>
        <v>86.181192660550494</v>
      </c>
      <c r="H165" s="786">
        <f>IF(ISNUMBER('Base de datos Rutas'!BH163),'Base de datos Rutas'!BH163,"")</f>
        <v>0.56263473053892199</v>
      </c>
      <c r="I165" s="788">
        <f>IFERROR(IF(OR(NOT(ISNUMBER('Base de datos Rutas'!O163)),N('Base de datos Rutas'!BK163)=0),"",'Base de datos Rutas'!O163/('Base de datos Rutas'!L163/'Base de datos Rutas'!BK163)),"")</f>
        <v>2020.65596330275</v>
      </c>
      <c r="J165" s="788">
        <f>IFERROR(IF(OR(NOT(ISNUMBER('Base de datos Rutas'!N163)),N('Base de datos Rutas'!BK163)=0),"",'Base de datos Rutas'!N163/('Base de datos Rutas'!L163/'Base de datos Rutas'!BK163)),"")</f>
        <v>7341.7064220183402</v>
      </c>
      <c r="K165" s="788">
        <f>IFERROR(IF(OR(NOT(ISNUMBER('Base de datos Rutas'!J163)),N('Base de datos Rutas'!BK163)=0),"",'Base de datos Rutas'!J163/('Base de datos Rutas'!L163/'Base de datos Rutas'!BK163)),"")</f>
        <v>512.75964587155897</v>
      </c>
      <c r="L165" s="788">
        <f>IFERROR(IF(OR(NOT(ISNUMBER('Base de datos Rutas'!K163)),N('Base de datos Rutas'!BK163)=0),"",'Base de datos Rutas'!K163/('Base de datos Rutas'!L163/'Base de datos Rutas'!BK163)),"")</f>
        <v>18.877447587155942</v>
      </c>
      <c r="M165" s="787">
        <f>IF(ISNUMBER('Base de datos Rutas'!AX163),'Base de datos Rutas'!AX163,"")</f>
        <v>193.08398656638801</v>
      </c>
      <c r="N165" s="790">
        <f>IFERROR(INDEX('Hoja de apoyo v2'!B$17:B$20,MATCH($A165,'Hoja de apoyo v2'!$A$17:$A$20,0)),"")</f>
        <v>74.190366972477051</v>
      </c>
      <c r="O165" s="791">
        <f>IFERROR(INDEX('Hoja de apoyo v2'!C$17:C$20,MATCH($A165,'Hoja de apoyo v2'!$A$17:$A$20,0)),"")</f>
        <v>0.71677657005077755</v>
      </c>
      <c r="P165" s="793">
        <f>IFERROR(INDEX('Hoja de apoyo v2'!D$17:D$20,MATCH($A165,'Hoja de apoyo v2'!$A$17:$A$20,0)),"")</f>
        <v>8755.1153350385739</v>
      </c>
      <c r="Q165" s="793">
        <f>IFERROR(INDEX('Hoja de apoyo v2'!E$17:E$20,MATCH($A165,'Hoja de apoyo v2'!$A$17:$A$20,0)),"")</f>
        <v>6098.2042779326393</v>
      </c>
      <c r="R165" s="793">
        <f>IFERROR(INDEX('Hoja de apoyo v2'!F$17:F$20,MATCH($A165,'Hoja de apoyo v2'!$A$17:$A$20,0)),"")</f>
        <v>389.08889713610301</v>
      </c>
      <c r="S165" s="793">
        <f>IFERROR(INDEX('Hoja de apoyo v2'!G$17:G$20,MATCH($A165,'Hoja de apoyo v2'!$A$17:$A$20,0)),"")</f>
        <v>67.90575167807188</v>
      </c>
      <c r="T165" s="792">
        <f>IFERROR(INDEX('Hoja de apoyo v2'!H$17:H$20,MATCH($A165,'Hoja de apoyo v2'!$A$17:$A$20,0)),"")</f>
        <v>258.90325471200998</v>
      </c>
      <c r="U165" s="794">
        <f t="shared" si="76"/>
        <v>1.1616224070238359</v>
      </c>
      <c r="V165" s="795">
        <f t="shared" si="77"/>
        <v>0.784951341948948</v>
      </c>
      <c r="W165" s="795">
        <f t="shared" si="78"/>
        <v>0.23079718381503736</v>
      </c>
      <c r="X165" s="843">
        <f t="shared" si="79"/>
        <v>1.2039128385032163</v>
      </c>
      <c r="Y165" s="843">
        <f t="shared" si="80"/>
        <v>1.3178470258229857</v>
      </c>
      <c r="Z165" s="843">
        <f t="shared" si="81"/>
        <v>0.2779948254847438</v>
      </c>
      <c r="AA165" s="843">
        <f t="shared" si="82"/>
        <v>0.74577659049193579</v>
      </c>
      <c r="AB165" s="796">
        <f t="shared" si="83"/>
        <v>4</v>
      </c>
      <c r="AC165" s="797">
        <f t="shared" si="84"/>
        <v>3</v>
      </c>
      <c r="AD165" s="797">
        <f t="shared" si="85"/>
        <v>1</v>
      </c>
      <c r="AE165" s="842">
        <f t="shared" si="86"/>
        <v>4</v>
      </c>
      <c r="AF165" s="842">
        <f t="shared" si="87"/>
        <v>5</v>
      </c>
      <c r="AG165" s="842">
        <f t="shared" si="88"/>
        <v>1</v>
      </c>
      <c r="AH165" s="842">
        <f t="shared" si="89"/>
        <v>2</v>
      </c>
      <c r="AI165" s="826" cm="1">
        <f t="array" ref="AI165">SUMPRODUCT(--ISNUMBER($U165:$AA165),$AB$3:$AH$3)</f>
        <v>1</v>
      </c>
      <c r="AJ165" s="829">
        <f t="shared" si="90"/>
        <v>42.543968533333022</v>
      </c>
      <c r="AK165" s="827" t="str">
        <f t="shared" si="91"/>
        <v>Inmadura</v>
      </c>
      <c r="AL165" s="784" t="str">
        <f t="shared" si="92"/>
        <v>Alta</v>
      </c>
      <c r="AM165" s="799">
        <f>IF(ISNUMBER('Base de datos Rutas'!W163),'Base de datos Rutas'!W163,"")</f>
        <v>2998.2139778064675</v>
      </c>
      <c r="AN165" s="787">
        <f>IFERROR(SUMIFS('Base de datos Rutas'!$W$6:$W$794,'Base de datos Rutas'!$C$6:$C$794,$C165)/'Base de datos Rutas'!I163,"")</f>
        <v>2998.2139778064688</v>
      </c>
      <c r="AO165" s="800">
        <f>IFERROR('Base de datos Rutas'!X163*AN165/AM165,"")</f>
        <v>0.37802554582777237</v>
      </c>
      <c r="AP165" s="800">
        <f t="shared" si="93"/>
        <v>0.62197445417222763</v>
      </c>
      <c r="AQ165" s="789">
        <f>IFERROR(INDEX('Hoja de apoyo v2'!$J$17:$J$20,MATCH($A165,'Hoja de apoyo v2'!$A$17:$A$20,0)),"")</f>
        <v>0.62197445417222763</v>
      </c>
      <c r="AR165" s="789">
        <f t="shared" si="94"/>
        <v>0</v>
      </c>
      <c r="AS165" s="784" t="str">
        <f t="shared" si="95"/>
        <v>No</v>
      </c>
      <c r="AT165" s="801">
        <f>IF(ISNUMBER('Base de datos Rutas'!CK163),'Base de datos Rutas'!CK163,"")</f>
        <v>377</v>
      </c>
      <c r="AU165" s="802">
        <f>IF(ISNUMBER('Base de datos Rutas'!CL163),'Base de datos Rutas'!CL163,"")</f>
        <v>518.54999999999995</v>
      </c>
      <c r="AV165" s="802">
        <f>IF(ISNUMBER('Base de datos Rutas'!CM163),'Base de datos Rutas'!CM163,"")</f>
        <v>141.54999999999995</v>
      </c>
      <c r="AW165" s="802">
        <f>IF(ISNUMBER('Base de datos Rutas'!CN163),'Base de datos Rutas'!CN163,"")</f>
        <v>10.26</v>
      </c>
      <c r="AX165" s="802">
        <f>IF(ISNUMBER('Base de datos Rutas'!CO163),'Base de datos Rutas'!CO163,"")</f>
        <v>9.4499999999999993</v>
      </c>
      <c r="AY165" s="802">
        <f>IF(ISNUMBER('Base de datos Rutas'!CP163),'Base de datos Rutas'!CP163,"")</f>
        <v>-0.8100000000000005</v>
      </c>
      <c r="AZ165" s="802">
        <f>IF(ISNUMBER('Base de datos Rutas'!CQ163),'Base de datos Rutas'!CQ163,"")</f>
        <v>814.39</v>
      </c>
      <c r="BA165" s="802">
        <f>IF(ISNUMBER('Base de datos Rutas'!CR163),'Base de datos Rutas'!CR163,"")</f>
        <v>531.64</v>
      </c>
      <c r="BB165" s="803">
        <f>IF(ISNUMBER('Base de datos Rutas'!CS163),'Base de datos Rutas'!CS163,"")</f>
        <v>282.75</v>
      </c>
      <c r="BC165" s="804">
        <f t="shared" si="105"/>
        <v>1</v>
      </c>
      <c r="BD165" s="805" t="str">
        <f t="shared" si="106"/>
        <v>Saturada</v>
      </c>
      <c r="BE165" s="806">
        <f t="shared" si="107"/>
        <v>0.65280762288338512</v>
      </c>
      <c r="BF165" s="890">
        <f>IF(ISNUMBER('Base de datos Rutas'!CX163),'Base de datos Rutas'!CX163/100,"")</f>
        <v>0.2134017175572519</v>
      </c>
      <c r="BG165" s="891">
        <f>IF(ISNUMBER('Base de datos Rutas'!CZ163),'Base de datos Rutas'!CZ163/100,"")</f>
        <v>0.22690839694656489</v>
      </c>
      <c r="BH165" s="892">
        <f>IF(ISNUMBER('Base de datos Rutas'!DA163),'Base de datos Rutas'!DA163,"")</f>
        <v>106.76685229556892</v>
      </c>
      <c r="BI165" s="893">
        <f>IF(ISNUMBER('Base de datos Rutas'!DC163),'Base de datos Rutas'!DC163,"")</f>
        <v>5.6171942889691246</v>
      </c>
      <c r="BJ165" s="805" t="str">
        <f t="shared" si="108"/>
        <v>Ruta (completo)</v>
      </c>
      <c r="BK165" s="783">
        <f t="shared" si="96"/>
        <v>2</v>
      </c>
      <c r="BL165" s="797">
        <f t="shared" si="97"/>
        <v>2</v>
      </c>
      <c r="BM165" s="797">
        <f t="shared" si="98"/>
        <v>1</v>
      </c>
      <c r="BN165" s="797">
        <f t="shared" si="99"/>
        <v>1</v>
      </c>
      <c r="BO165" s="798" cm="1">
        <f t="array" ref="BO165">SUMPRODUCT(--ISNUMBER($BF165:$BI165),$BK$3:$BN$3)</f>
        <v>1</v>
      </c>
      <c r="BP165" s="831">
        <f t="shared" si="109"/>
        <v>12.5</v>
      </c>
      <c r="BQ165" s="834" t="str">
        <f t="shared" si="110"/>
        <v>Bajo</v>
      </c>
      <c r="BR165" s="836">
        <f t="shared" si="100"/>
        <v>56.907976399999768</v>
      </c>
      <c r="BS165" s="836">
        <f t="shared" si="101"/>
        <v>12.5</v>
      </c>
      <c r="BT165" s="837" t="str">
        <f t="shared" si="102"/>
        <v>P2</v>
      </c>
      <c r="BU165" s="807" t="str">
        <f t="shared" si="111"/>
        <v>Al tope</v>
      </c>
      <c r="BV165" s="807" t="str">
        <f t="shared" si="103"/>
        <v>Zona de bajo potencial</v>
      </c>
      <c r="BW165" s="808" t="str">
        <f t="shared" si="104"/>
        <v>P2 - Mantener</v>
      </c>
    </row>
    <row r="166" spans="1:75">
      <c r="A166" s="780" t="str">
        <f>'Base de datos Rutas'!A164</f>
        <v>Norte</v>
      </c>
      <c r="B166" s="781" t="str">
        <f>'Base de datos Rutas'!B164</f>
        <v>Guadiana</v>
      </c>
      <c r="C166" s="781" t="str">
        <f>'Base de datos Rutas'!C164</f>
        <v>Planta Guadiana</v>
      </c>
      <c r="D166" s="782">
        <f>IF(ISNUMBER('Base de datos Rutas'!D164),'Base de datos Rutas'!D164,"Sin código")</f>
        <v>931420</v>
      </c>
      <c r="E166" s="783" t="str">
        <f>'Base de datos Rutas'!F164</f>
        <v>Activa</v>
      </c>
      <c r="F166" s="784" t="str">
        <f>'Base de datos Rutas'!H164</f>
        <v>Sí</v>
      </c>
      <c r="G166" s="785">
        <f>IF(ISNUMBER('Base de datos Rutas'!BE164),'Base de datos Rutas'!BE164,"")</f>
        <v>89.497706422018396</v>
      </c>
      <c r="H166" s="786">
        <f>IF(ISNUMBER('Base de datos Rutas'!BH164),'Base de datos Rutas'!BH164,"")</f>
        <v>0.40729350862356201</v>
      </c>
      <c r="I166" s="788">
        <f>IFERROR(IF(OR(NOT(ISNUMBER('Base de datos Rutas'!O164)),N('Base de datos Rutas'!BK164)=0),"",'Base de datos Rutas'!O164/('Base de datos Rutas'!L164/'Base de datos Rutas'!BK164)),"")</f>
        <v>2678.7981651376235</v>
      </c>
      <c r="J166" s="788">
        <f>IFERROR(IF(OR(NOT(ISNUMBER('Base de datos Rutas'!N164)),N('Base de datos Rutas'!BK164)=0),"",'Base de datos Rutas'!N164/('Base de datos Rutas'!L164/'Base de datos Rutas'!BK164)),"")</f>
        <v>6315.3188073394704</v>
      </c>
      <c r="K166" s="788">
        <f>IFERROR(IF(OR(NOT(ISNUMBER('Base de datos Rutas'!J164)),N('Base de datos Rutas'!BK164)=0),"",'Base de datos Rutas'!J164/('Base de datos Rutas'!L164/'Base de datos Rutas'!BK164)),"")</f>
        <v>448.11229541284553</v>
      </c>
      <c r="L166" s="788">
        <f>IFERROR(IF(OR(NOT(ISNUMBER('Base de datos Rutas'!K164)),N('Base de datos Rutas'!BK164)=0),"",'Base de datos Rutas'!K164/('Base de datos Rutas'!L164/'Base de datos Rutas'!BK164)),"")</f>
        <v>18.265444756880793</v>
      </c>
      <c r="M166" s="787">
        <f>IF(ISNUMBER('Base de datos Rutas'!AX164),'Base de datos Rutas'!AX164,"")</f>
        <v>246.739892405462</v>
      </c>
      <c r="N166" s="790">
        <f>IFERROR(INDEX('Hoja de apoyo v2'!B$17:B$20,MATCH($A166,'Hoja de apoyo v2'!$A$17:$A$20,0)),"")</f>
        <v>74.190366972477051</v>
      </c>
      <c r="O166" s="791">
        <f>IFERROR(INDEX('Hoja de apoyo v2'!C$17:C$20,MATCH($A166,'Hoja de apoyo v2'!$A$17:$A$20,0)),"")</f>
        <v>0.71677657005077755</v>
      </c>
      <c r="P166" s="793">
        <f>IFERROR(INDEX('Hoja de apoyo v2'!D$17:D$20,MATCH($A166,'Hoja de apoyo v2'!$A$17:$A$20,0)),"")</f>
        <v>8755.1153350385739</v>
      </c>
      <c r="Q166" s="793">
        <f>IFERROR(INDEX('Hoja de apoyo v2'!E$17:E$20,MATCH($A166,'Hoja de apoyo v2'!$A$17:$A$20,0)),"")</f>
        <v>6098.2042779326393</v>
      </c>
      <c r="R166" s="793">
        <f>IFERROR(INDEX('Hoja de apoyo v2'!F$17:F$20,MATCH($A166,'Hoja de apoyo v2'!$A$17:$A$20,0)),"")</f>
        <v>389.08889713610301</v>
      </c>
      <c r="S166" s="793">
        <f>IFERROR(INDEX('Hoja de apoyo v2'!G$17:G$20,MATCH($A166,'Hoja de apoyo v2'!$A$17:$A$20,0)),"")</f>
        <v>67.90575167807188</v>
      </c>
      <c r="T166" s="792">
        <f>IFERROR(INDEX('Hoja de apoyo v2'!H$17:H$20,MATCH($A166,'Hoja de apoyo v2'!$A$17:$A$20,0)),"")</f>
        <v>258.90325471200998</v>
      </c>
      <c r="U166" s="794">
        <f t="shared" si="76"/>
        <v>1.2063251615296635</v>
      </c>
      <c r="V166" s="795">
        <f t="shared" si="77"/>
        <v>0.56822938366234366</v>
      </c>
      <c r="W166" s="795">
        <f t="shared" si="78"/>
        <v>0.30596948899312487</v>
      </c>
      <c r="X166" s="843">
        <f t="shared" si="79"/>
        <v>1.0356030266471223</v>
      </c>
      <c r="Y166" s="843">
        <f t="shared" si="80"/>
        <v>1.1516964341855691</v>
      </c>
      <c r="Z166" s="843">
        <f t="shared" si="81"/>
        <v>0.26898229244959626</v>
      </c>
      <c r="AA166" s="843">
        <f t="shared" si="82"/>
        <v>0.95301966242147917</v>
      </c>
      <c r="AB166" s="796">
        <f t="shared" si="83"/>
        <v>4</v>
      </c>
      <c r="AC166" s="797">
        <f t="shared" si="84"/>
        <v>2</v>
      </c>
      <c r="AD166" s="797">
        <f t="shared" si="85"/>
        <v>1</v>
      </c>
      <c r="AE166" s="842">
        <f t="shared" si="86"/>
        <v>4</v>
      </c>
      <c r="AF166" s="842">
        <f t="shared" si="87"/>
        <v>4</v>
      </c>
      <c r="AG166" s="842">
        <f t="shared" si="88"/>
        <v>1</v>
      </c>
      <c r="AH166" s="842">
        <f t="shared" si="89"/>
        <v>3</v>
      </c>
      <c r="AI166" s="826" cm="1">
        <f t="array" ref="AI166">SUMPRODUCT(--ISNUMBER($U166:$AA166),$AB$3:$AH$3)</f>
        <v>1</v>
      </c>
      <c r="AJ166" s="829">
        <f t="shared" si="90"/>
        <v>39.479746275729319</v>
      </c>
      <c r="AK166" s="827" t="str">
        <f t="shared" si="91"/>
        <v>Inmadura</v>
      </c>
      <c r="AL166" s="784" t="str">
        <f t="shared" si="92"/>
        <v>Alta</v>
      </c>
      <c r="AM166" s="799">
        <f>IF(ISNUMBER('Base de datos Rutas'!W164),'Base de datos Rutas'!W164,"")</f>
        <v>2998.2139778064675</v>
      </c>
      <c r="AN166" s="787">
        <f>IFERROR(SUMIFS('Base de datos Rutas'!$W$6:$W$794,'Base de datos Rutas'!$C$6:$C$794,$C166)/'Base de datos Rutas'!I164,"")</f>
        <v>2998.2139778064688</v>
      </c>
      <c r="AO166" s="800">
        <f>IFERROR('Base de datos Rutas'!X164*AN166/AM166,"")</f>
        <v>0.37802554582777237</v>
      </c>
      <c r="AP166" s="800">
        <f t="shared" si="93"/>
        <v>0.62197445417222763</v>
      </c>
      <c r="AQ166" s="789">
        <f>IFERROR(INDEX('Hoja de apoyo v2'!$J$17:$J$20,MATCH($A166,'Hoja de apoyo v2'!$A$17:$A$20,0)),"")</f>
        <v>0.62197445417222763</v>
      </c>
      <c r="AR166" s="789">
        <f t="shared" si="94"/>
        <v>0</v>
      </c>
      <c r="AS166" s="784" t="str">
        <f t="shared" si="95"/>
        <v>No</v>
      </c>
      <c r="AT166" s="801">
        <f>IF(ISNUMBER('Base de datos Rutas'!CK164),'Base de datos Rutas'!CK164,"")</f>
        <v>333</v>
      </c>
      <c r="AU166" s="802">
        <f>IF(ISNUMBER('Base de datos Rutas'!CL164),'Base de datos Rutas'!CL164,"")</f>
        <v>749.84</v>
      </c>
      <c r="AV166" s="802">
        <f>IF(ISNUMBER('Base de datos Rutas'!CM164),'Base de datos Rutas'!CM164,"")</f>
        <v>416.84000000000003</v>
      </c>
      <c r="AW166" s="802">
        <f>IF(ISNUMBER('Base de datos Rutas'!CN164),'Base de datos Rutas'!CN164,"")</f>
        <v>5.86</v>
      </c>
      <c r="AX166" s="802">
        <f>IF(ISNUMBER('Base de datos Rutas'!CO164),'Base de datos Rutas'!CO164,"")</f>
        <v>9.4499999999999993</v>
      </c>
      <c r="AY166" s="802">
        <f>IF(ISNUMBER('Base de datos Rutas'!CP164),'Base de datos Rutas'!CP164,"")</f>
        <v>3.589999999999999</v>
      </c>
      <c r="AZ166" s="802">
        <f>IF(ISNUMBER('Base de datos Rutas'!CQ164),'Base de datos Rutas'!CQ164,"")</f>
        <v>814.39</v>
      </c>
      <c r="BA166" s="802">
        <f>IF(ISNUMBER('Base de datos Rutas'!CR164),'Base de datos Rutas'!CR164,"")</f>
        <v>466.38</v>
      </c>
      <c r="BB166" s="803">
        <f>IF(ISNUMBER('Base de datos Rutas'!CS164),'Base de datos Rutas'!CS164,"")</f>
        <v>348.01</v>
      </c>
      <c r="BC166" s="804">
        <f t="shared" si="105"/>
        <v>0</v>
      </c>
      <c r="BD166" s="805" t="str">
        <f t="shared" si="106"/>
        <v>No saturada</v>
      </c>
      <c r="BE166" s="806">
        <f t="shared" si="107"/>
        <v>0.57267402595807904</v>
      </c>
      <c r="BF166" s="890">
        <f>IF(ISNUMBER('Base de datos Rutas'!CX164),'Base de datos Rutas'!CX164/100,"")</f>
        <v>0.35689754036517274</v>
      </c>
      <c r="BG166" s="891">
        <f>IF(ISNUMBER('Base de datos Rutas'!CZ164),'Base de datos Rutas'!CZ164/100,"")</f>
        <v>0.41979779689150443</v>
      </c>
      <c r="BH166" s="892">
        <f>IF(ISNUMBER('Base de datos Rutas'!DA164),'Base de datos Rutas'!DA164,"")</f>
        <v>566.60980800245318</v>
      </c>
      <c r="BI166" s="893">
        <f>IF(ISNUMBER('Base de datos Rutas'!DC164),'Base de datos Rutas'!DC164,"")</f>
        <v>27.01251732009813</v>
      </c>
      <c r="BJ166" s="805" t="str">
        <f t="shared" si="108"/>
        <v>Ruta (completo)</v>
      </c>
      <c r="BK166" s="783">
        <f t="shared" si="96"/>
        <v>2</v>
      </c>
      <c r="BL166" s="797">
        <f t="shared" si="97"/>
        <v>3</v>
      </c>
      <c r="BM166" s="797">
        <f t="shared" si="98"/>
        <v>4</v>
      </c>
      <c r="BN166" s="797">
        <f t="shared" si="99"/>
        <v>4</v>
      </c>
      <c r="BO166" s="798" cm="1">
        <f t="array" ref="BO166">SUMPRODUCT(--ISNUMBER($BF166:$BI166),$BK$3:$BN$3)</f>
        <v>1</v>
      </c>
      <c r="BP166" s="831">
        <f t="shared" si="109"/>
        <v>56.25</v>
      </c>
      <c r="BQ166" s="834" t="str">
        <f t="shared" si="110"/>
        <v>Alto</v>
      </c>
      <c r="BR166" s="836">
        <f t="shared" si="100"/>
        <v>29.609809706796987</v>
      </c>
      <c r="BS166" s="836">
        <f t="shared" si="101"/>
        <v>56.25</v>
      </c>
      <c r="BT166" s="837" t="str">
        <f t="shared" si="102"/>
        <v>P1</v>
      </c>
      <c r="BU166" s="807" t="str">
        <f t="shared" si="111"/>
        <v>Con espacio</v>
      </c>
      <c r="BV166" s="807" t="str">
        <f t="shared" si="103"/>
        <v>Zona atractiva</v>
      </c>
      <c r="BW166" s="808" t="str">
        <f t="shared" si="104"/>
        <v>P1 - Ampliar cobertura</v>
      </c>
    </row>
    <row r="167" spans="1:75">
      <c r="A167" s="780" t="str">
        <f>'Base de datos Rutas'!A165</f>
        <v>Norte</v>
      </c>
      <c r="B167" s="781" t="str">
        <f>'Base de datos Rutas'!B165</f>
        <v>Guadiana</v>
      </c>
      <c r="C167" s="781" t="str">
        <f>'Base de datos Rutas'!C165</f>
        <v>Planta Guadiana</v>
      </c>
      <c r="D167" s="782">
        <f>IF(ISNUMBER('Base de datos Rutas'!D165),'Base de datos Rutas'!D165,"Sin código")</f>
        <v>931421</v>
      </c>
      <c r="E167" s="783" t="str">
        <f>'Base de datos Rutas'!F165</f>
        <v>Activa</v>
      </c>
      <c r="F167" s="784" t="str">
        <f>'Base de datos Rutas'!H165</f>
        <v>Sí</v>
      </c>
      <c r="G167" s="785">
        <f>IF(ISNUMBER('Base de datos Rutas'!BE165),'Base de datos Rutas'!BE165,"")</f>
        <v>69.162844036697294</v>
      </c>
      <c r="H167" s="786">
        <f>IF(ISNUMBER('Base de datos Rutas'!BH165),'Base de datos Rutas'!BH165,"")</f>
        <v>0.70601890233792097</v>
      </c>
      <c r="I167" s="788">
        <f>IFERROR(IF(OR(NOT(ISNUMBER('Base de datos Rutas'!O165)),N('Base de datos Rutas'!BK165)=0),"",'Base de datos Rutas'!O165/('Base de datos Rutas'!L165/'Base de datos Rutas'!BK165)),"")</f>
        <v>2975.4885321100869</v>
      </c>
      <c r="J167" s="788">
        <f>IFERROR(IF(OR(NOT(ISNUMBER('Base de datos Rutas'!N165)),N('Base de datos Rutas'!BK165)=0),"",'Base de datos Rutas'!N165/('Base de datos Rutas'!L165/'Base de datos Rutas'!BK165)),"")</f>
        <v>6185.309633027513</v>
      </c>
      <c r="K167" s="788">
        <f>IFERROR(IF(OR(NOT(ISNUMBER('Base de datos Rutas'!J165)),N('Base de datos Rutas'!BK165)=0),"",'Base de datos Rutas'!J165/('Base de datos Rutas'!L165/'Base de datos Rutas'!BK165)),"")</f>
        <v>436.22015596330209</v>
      </c>
      <c r="L167" s="788">
        <f>IFERROR(IF(OR(NOT(ISNUMBER('Base de datos Rutas'!K165)),N('Base de datos Rutas'!BK165)=0),"",'Base de datos Rutas'!K165/('Base de datos Rutas'!L165/'Base de datos Rutas'!BK165)),"")</f>
        <v>23.0140847775229</v>
      </c>
      <c r="M167" s="787">
        <f>IF(ISNUMBER('Base de datos Rutas'!AX165),'Base de datos Rutas'!AX165,"")</f>
        <v>187.60468388915001</v>
      </c>
      <c r="N167" s="790">
        <f>IFERROR(INDEX('Hoja de apoyo v2'!B$17:B$20,MATCH($A167,'Hoja de apoyo v2'!$A$17:$A$20,0)),"")</f>
        <v>74.190366972477051</v>
      </c>
      <c r="O167" s="791">
        <f>IFERROR(INDEX('Hoja de apoyo v2'!C$17:C$20,MATCH($A167,'Hoja de apoyo v2'!$A$17:$A$20,0)),"")</f>
        <v>0.71677657005077755</v>
      </c>
      <c r="P167" s="793">
        <f>IFERROR(INDEX('Hoja de apoyo v2'!D$17:D$20,MATCH($A167,'Hoja de apoyo v2'!$A$17:$A$20,0)),"")</f>
        <v>8755.1153350385739</v>
      </c>
      <c r="Q167" s="793">
        <f>IFERROR(INDEX('Hoja de apoyo v2'!E$17:E$20,MATCH($A167,'Hoja de apoyo v2'!$A$17:$A$20,0)),"")</f>
        <v>6098.2042779326393</v>
      </c>
      <c r="R167" s="793">
        <f>IFERROR(INDEX('Hoja de apoyo v2'!F$17:F$20,MATCH($A167,'Hoja de apoyo v2'!$A$17:$A$20,0)),"")</f>
        <v>389.08889713610301</v>
      </c>
      <c r="S167" s="793">
        <f>IFERROR(INDEX('Hoja de apoyo v2'!G$17:G$20,MATCH($A167,'Hoja de apoyo v2'!$A$17:$A$20,0)),"")</f>
        <v>67.90575167807188</v>
      </c>
      <c r="T167" s="792">
        <f>IFERROR(INDEX('Hoja de apoyo v2'!H$17:H$20,MATCH($A167,'Hoja de apoyo v2'!$A$17:$A$20,0)),"")</f>
        <v>258.90325471200998</v>
      </c>
      <c r="U167" s="794">
        <f t="shared" si="76"/>
        <v>0.93223482857761231</v>
      </c>
      <c r="V167" s="795">
        <f t="shared" si="77"/>
        <v>0.98499160245696304</v>
      </c>
      <c r="W167" s="795">
        <f t="shared" si="78"/>
        <v>0.33985714844920173</v>
      </c>
      <c r="X167" s="843">
        <f t="shared" si="79"/>
        <v>1.0142837712751078</v>
      </c>
      <c r="Y167" s="843">
        <f t="shared" si="80"/>
        <v>1.1211323663412389</v>
      </c>
      <c r="Z167" s="843">
        <f t="shared" si="81"/>
        <v>0.33891215705303218</v>
      </c>
      <c r="AA167" s="843">
        <f t="shared" si="82"/>
        <v>0.72461307640891326</v>
      </c>
      <c r="AB167" s="796">
        <f t="shared" si="83"/>
        <v>3</v>
      </c>
      <c r="AC167" s="797">
        <f t="shared" si="84"/>
        <v>3</v>
      </c>
      <c r="AD167" s="797">
        <f t="shared" si="85"/>
        <v>1</v>
      </c>
      <c r="AE167" s="842">
        <f t="shared" si="86"/>
        <v>4</v>
      </c>
      <c r="AF167" s="842">
        <f t="shared" si="87"/>
        <v>4</v>
      </c>
      <c r="AG167" s="842">
        <f t="shared" si="88"/>
        <v>1</v>
      </c>
      <c r="AH167" s="842">
        <f t="shared" si="89"/>
        <v>2</v>
      </c>
      <c r="AI167" s="826" cm="1">
        <f t="array" ref="AI167">SUMPRODUCT(--ISNUMBER($U167:$AA167),$AB$3:$AH$3)</f>
        <v>1</v>
      </c>
      <c r="AJ167" s="829">
        <f t="shared" si="90"/>
        <v>35.084287843156481</v>
      </c>
      <c r="AK167" s="827" t="str">
        <f t="shared" si="91"/>
        <v>Inmadura</v>
      </c>
      <c r="AL167" s="784" t="str">
        <f t="shared" si="92"/>
        <v>Alta</v>
      </c>
      <c r="AM167" s="799">
        <f>IF(ISNUMBER('Base de datos Rutas'!W165),'Base de datos Rutas'!W165,"")</f>
        <v>2998.2139778064675</v>
      </c>
      <c r="AN167" s="787">
        <f>IFERROR(SUMIFS('Base de datos Rutas'!$W$6:$W$794,'Base de datos Rutas'!$C$6:$C$794,$C167)/'Base de datos Rutas'!I165,"")</f>
        <v>2998.2139778064688</v>
      </c>
      <c r="AO167" s="800">
        <f>IFERROR('Base de datos Rutas'!X165*AN167/AM167,"")</f>
        <v>0.37802554582777237</v>
      </c>
      <c r="AP167" s="800">
        <f t="shared" si="93"/>
        <v>0.62197445417222763</v>
      </c>
      <c r="AQ167" s="789">
        <f>IFERROR(INDEX('Hoja de apoyo v2'!$J$17:$J$20,MATCH($A167,'Hoja de apoyo v2'!$A$17:$A$20,0)),"")</f>
        <v>0.62197445417222763</v>
      </c>
      <c r="AR167" s="789">
        <f t="shared" si="94"/>
        <v>0</v>
      </c>
      <c r="AS167" s="784" t="str">
        <f t="shared" si="95"/>
        <v>No</v>
      </c>
      <c r="AT167" s="801">
        <f>IF(ISNUMBER('Base de datos Rutas'!CK165),'Base de datos Rutas'!CK165,"")</f>
        <v>379</v>
      </c>
      <c r="AU167" s="802">
        <f>IF(ISNUMBER('Base de datos Rutas'!CL165),'Base de datos Rutas'!CL165,"")</f>
        <v>611.38</v>
      </c>
      <c r="AV167" s="802">
        <f>IF(ISNUMBER('Base de datos Rutas'!CM165),'Base de datos Rutas'!CM165,"")</f>
        <v>232.38</v>
      </c>
      <c r="AW167" s="802">
        <f>IF(ISNUMBER('Base de datos Rutas'!CN165),'Base de datos Rutas'!CN165,"")</f>
        <v>5.19</v>
      </c>
      <c r="AX167" s="802">
        <f>IF(ISNUMBER('Base de datos Rutas'!CO165),'Base de datos Rutas'!CO165,"")</f>
        <v>9.4499999999999993</v>
      </c>
      <c r="AY167" s="802">
        <f>IF(ISNUMBER('Base de datos Rutas'!CP165),'Base de datos Rutas'!CP165,"")</f>
        <v>4.2599999999999989</v>
      </c>
      <c r="AZ167" s="802">
        <f>IF(ISNUMBER('Base de datos Rutas'!CQ165),'Base de datos Rutas'!CQ165,"")</f>
        <v>814.39</v>
      </c>
      <c r="BA167" s="802">
        <f>IF(ISNUMBER('Base de datos Rutas'!CR165),'Base de datos Rutas'!CR165,"")</f>
        <v>459.23</v>
      </c>
      <c r="BB167" s="803">
        <f>IF(ISNUMBER('Base de datos Rutas'!CS165),'Base de datos Rutas'!CS165,"")</f>
        <v>355.15999999999997</v>
      </c>
      <c r="BC167" s="804">
        <f t="shared" si="105"/>
        <v>0</v>
      </c>
      <c r="BD167" s="805" t="str">
        <f t="shared" si="106"/>
        <v>No saturada</v>
      </c>
      <c r="BE167" s="806">
        <f t="shared" si="107"/>
        <v>0.56389444860570492</v>
      </c>
      <c r="BF167" s="890">
        <f>IF(ISNUMBER('Base de datos Rutas'!CX165),'Base de datos Rutas'!CX165/100,"")</f>
        <v>0.36339939379808811</v>
      </c>
      <c r="BG167" s="891">
        <f>IF(ISNUMBER('Base de datos Rutas'!CZ165),'Base de datos Rutas'!CZ165/100,"")</f>
        <v>0.41757985544415954</v>
      </c>
      <c r="BH167" s="892">
        <f>IF(ISNUMBER('Base de datos Rutas'!DA165),'Base de datos Rutas'!DA165,"")</f>
        <v>633.46752761325081</v>
      </c>
      <c r="BI167" s="893">
        <f>IF(ISNUMBER('Base de datos Rutas'!DC165),'Base de datos Rutas'!DC165,"")</f>
        <v>31.083182568153973</v>
      </c>
      <c r="BJ167" s="805" t="str">
        <f t="shared" si="108"/>
        <v>Ruta (completo)</v>
      </c>
      <c r="BK167" s="783">
        <f t="shared" si="96"/>
        <v>3</v>
      </c>
      <c r="BL167" s="797">
        <f t="shared" si="97"/>
        <v>2</v>
      </c>
      <c r="BM167" s="797">
        <f t="shared" si="98"/>
        <v>4</v>
      </c>
      <c r="BN167" s="797">
        <f t="shared" si="99"/>
        <v>4</v>
      </c>
      <c r="BO167" s="798" cm="1">
        <f t="array" ref="BO167">SUMPRODUCT(--ISNUMBER($BF167:$BI167),$BK$3:$BN$3)</f>
        <v>1</v>
      </c>
      <c r="BP167" s="831">
        <f t="shared" si="109"/>
        <v>56.25</v>
      </c>
      <c r="BQ167" s="834" t="str">
        <f t="shared" si="110"/>
        <v>Alto</v>
      </c>
      <c r="BR167" s="836">
        <f t="shared" si="100"/>
        <v>26.313215882367359</v>
      </c>
      <c r="BS167" s="836">
        <f t="shared" si="101"/>
        <v>56.25</v>
      </c>
      <c r="BT167" s="837" t="str">
        <f t="shared" si="102"/>
        <v>P3</v>
      </c>
      <c r="BU167" s="807" t="str">
        <f t="shared" si="111"/>
        <v>Con espacio</v>
      </c>
      <c r="BV167" s="807" t="str">
        <f t="shared" si="103"/>
        <v>Zona atractiva</v>
      </c>
      <c r="BW167" s="808" t="str">
        <f t="shared" si="104"/>
        <v>P3 - Desarrollar</v>
      </c>
    </row>
    <row r="168" spans="1:75">
      <c r="A168" s="780" t="str">
        <f>'Base de datos Rutas'!A166</f>
        <v>Norte</v>
      </c>
      <c r="B168" s="781" t="str">
        <f>'Base de datos Rutas'!B166</f>
        <v>Guadiana</v>
      </c>
      <c r="C168" s="781" t="str">
        <f>'Base de datos Rutas'!C166</f>
        <v>Planta Guadiana</v>
      </c>
      <c r="D168" s="782">
        <f>IF(ISNUMBER('Base de datos Rutas'!D166),'Base de datos Rutas'!D166,"Sin código")</f>
        <v>931422</v>
      </c>
      <c r="E168" s="783" t="str">
        <f>'Base de datos Rutas'!F166</f>
        <v>Activa</v>
      </c>
      <c r="F168" s="784" t="str">
        <f>'Base de datos Rutas'!H166</f>
        <v>Sí</v>
      </c>
      <c r="G168" s="785">
        <f>IF(ISNUMBER('Base de datos Rutas'!BE166),'Base de datos Rutas'!BE166,"")</f>
        <v>79.834862385321102</v>
      </c>
      <c r="H168" s="786">
        <f>IF(ISNUMBER('Base de datos Rutas'!BH166),'Base de datos Rutas'!BH166,"")</f>
        <v>0.50525741208917496</v>
      </c>
      <c r="I168" s="788">
        <f>IFERROR(IF(OR(NOT(ISNUMBER('Base de datos Rutas'!O166)),N('Base de datos Rutas'!BK166)=0),"",'Base de datos Rutas'!O166/('Base de datos Rutas'!L166/'Base de datos Rutas'!BK166)),"")</f>
        <v>2498.7110091743066</v>
      </c>
      <c r="J168" s="788">
        <f>IFERROR(IF(OR(NOT(ISNUMBER('Base de datos Rutas'!N166)),N('Base de datos Rutas'!BK166)=0),"",'Base de datos Rutas'!N166/('Base de datos Rutas'!L166/'Base de datos Rutas'!BK166)),"")</f>
        <v>6542.1857798164992</v>
      </c>
      <c r="K168" s="788">
        <f>IFERROR(IF(OR(NOT(ISNUMBER('Base de datos Rutas'!J166)),N('Base de datos Rutas'!BK166)=0),"",'Base de datos Rutas'!J166/('Base de datos Rutas'!L166/'Base de datos Rutas'!BK166)),"")</f>
        <v>464.01964770642104</v>
      </c>
      <c r="L168" s="788">
        <f>IFERROR(IF(OR(NOT(ISNUMBER('Base de datos Rutas'!K166)),N('Base de datos Rutas'!BK166)=0),"",'Base de datos Rutas'!K166/('Base de datos Rutas'!L166/'Base de datos Rutas'!BK166)),"")</f>
        <v>19.508259662843994</v>
      </c>
      <c r="M168" s="787">
        <f>IF(ISNUMBER('Base de datos Rutas'!AX166),'Base de datos Rutas'!AX166,"")</f>
        <v>224.133173935293</v>
      </c>
      <c r="N168" s="790">
        <f>IFERROR(INDEX('Hoja de apoyo v2'!B$17:B$20,MATCH($A168,'Hoja de apoyo v2'!$A$17:$A$20,0)),"")</f>
        <v>74.190366972477051</v>
      </c>
      <c r="O168" s="791">
        <f>IFERROR(INDEX('Hoja de apoyo v2'!C$17:C$20,MATCH($A168,'Hoja de apoyo v2'!$A$17:$A$20,0)),"")</f>
        <v>0.71677657005077755</v>
      </c>
      <c r="P168" s="793">
        <f>IFERROR(INDEX('Hoja de apoyo v2'!D$17:D$20,MATCH($A168,'Hoja de apoyo v2'!$A$17:$A$20,0)),"")</f>
        <v>8755.1153350385739</v>
      </c>
      <c r="Q168" s="793">
        <f>IFERROR(INDEX('Hoja de apoyo v2'!E$17:E$20,MATCH($A168,'Hoja de apoyo v2'!$A$17:$A$20,0)),"")</f>
        <v>6098.2042779326393</v>
      </c>
      <c r="R168" s="793">
        <f>IFERROR(INDEX('Hoja de apoyo v2'!F$17:F$20,MATCH($A168,'Hoja de apoyo v2'!$A$17:$A$20,0)),"")</f>
        <v>389.08889713610301</v>
      </c>
      <c r="S168" s="793">
        <f>IFERROR(INDEX('Hoja de apoyo v2'!G$17:G$20,MATCH($A168,'Hoja de apoyo v2'!$A$17:$A$20,0)),"")</f>
        <v>67.90575167807188</v>
      </c>
      <c r="T168" s="792">
        <f>IFERROR(INDEX('Hoja de apoyo v2'!H$17:H$20,MATCH($A168,'Hoja de apoyo v2'!$A$17:$A$20,0)),"")</f>
        <v>258.90325471200998</v>
      </c>
      <c r="U168" s="794">
        <f t="shared" si="76"/>
        <v>1.0760812440102638</v>
      </c>
      <c r="V168" s="795">
        <f t="shared" si="77"/>
        <v>0.70490224318211425</v>
      </c>
      <c r="W168" s="795">
        <f t="shared" si="78"/>
        <v>0.28540012479039462</v>
      </c>
      <c r="X168" s="843">
        <f t="shared" si="79"/>
        <v>1.0728052852362588</v>
      </c>
      <c r="Y168" s="843">
        <f t="shared" si="80"/>
        <v>1.1925800276539562</v>
      </c>
      <c r="Z168" s="843">
        <f t="shared" si="81"/>
        <v>0.28728434898017041</v>
      </c>
      <c r="AA168" s="843">
        <f t="shared" si="82"/>
        <v>0.86570241917046065</v>
      </c>
      <c r="AB168" s="796">
        <f t="shared" si="83"/>
        <v>4</v>
      </c>
      <c r="AC168" s="797">
        <f t="shared" si="84"/>
        <v>2</v>
      </c>
      <c r="AD168" s="797">
        <f t="shared" si="85"/>
        <v>1</v>
      </c>
      <c r="AE168" s="842">
        <f t="shared" si="86"/>
        <v>4</v>
      </c>
      <c r="AF168" s="842">
        <f t="shared" si="87"/>
        <v>4</v>
      </c>
      <c r="AG168" s="842">
        <f t="shared" si="88"/>
        <v>1</v>
      </c>
      <c r="AH168" s="842">
        <f t="shared" si="89"/>
        <v>3</v>
      </c>
      <c r="AI168" s="826" cm="1">
        <f t="array" ref="AI168">SUMPRODUCT(--ISNUMBER($U168:$AA168),$AB$3:$AH$3)</f>
        <v>1</v>
      </c>
      <c r="AJ168" s="829">
        <f t="shared" si="90"/>
        <v>39.479746275729319</v>
      </c>
      <c r="AK168" s="827" t="str">
        <f t="shared" si="91"/>
        <v>Inmadura</v>
      </c>
      <c r="AL168" s="784" t="str">
        <f t="shared" si="92"/>
        <v>Alta</v>
      </c>
      <c r="AM168" s="799">
        <f>IF(ISNUMBER('Base de datos Rutas'!W166),'Base de datos Rutas'!W166,"")</f>
        <v>2998.2139778064675</v>
      </c>
      <c r="AN168" s="787">
        <f>IFERROR(SUMIFS('Base de datos Rutas'!$W$6:$W$794,'Base de datos Rutas'!$C$6:$C$794,$C168)/'Base de datos Rutas'!I166,"")</f>
        <v>2998.2139778064688</v>
      </c>
      <c r="AO168" s="800">
        <f>IFERROR('Base de datos Rutas'!X166*AN168/AM168,"")</f>
        <v>0.37802554582777237</v>
      </c>
      <c r="AP168" s="800">
        <f t="shared" si="93"/>
        <v>0.62197445417222763</v>
      </c>
      <c r="AQ168" s="789">
        <f>IFERROR(INDEX('Hoja de apoyo v2'!$J$17:$J$20,MATCH($A168,'Hoja de apoyo v2'!$A$17:$A$20,0)),"")</f>
        <v>0.62197445417222763</v>
      </c>
      <c r="AR168" s="789">
        <f t="shared" si="94"/>
        <v>0</v>
      </c>
      <c r="AS168" s="784" t="str">
        <f t="shared" si="95"/>
        <v>No</v>
      </c>
      <c r="AT168" s="801">
        <f>IF(ISNUMBER('Base de datos Rutas'!CK166),'Base de datos Rutas'!CK166,"")</f>
        <v>303</v>
      </c>
      <c r="AU168" s="802">
        <f>IF(ISNUMBER('Base de datos Rutas'!CL166),'Base de datos Rutas'!CL166,"")</f>
        <v>410.35</v>
      </c>
      <c r="AV168" s="802">
        <f>IF(ISNUMBER('Base de datos Rutas'!CM166),'Base de datos Rutas'!CM166,"")</f>
        <v>107.35000000000002</v>
      </c>
      <c r="AW168" s="802">
        <f>IF(ISNUMBER('Base de datos Rutas'!CN166),'Base de datos Rutas'!CN166,"")</f>
        <v>6.52</v>
      </c>
      <c r="AX168" s="802">
        <f>IF(ISNUMBER('Base de datos Rutas'!CO166),'Base de datos Rutas'!CO166,"")</f>
        <v>9.4499999999999993</v>
      </c>
      <c r="AY168" s="802">
        <f>IF(ISNUMBER('Base de datos Rutas'!CP166),'Base de datos Rutas'!CP166,"")</f>
        <v>2.9299999999999997</v>
      </c>
      <c r="AZ168" s="802">
        <f>IF(ISNUMBER('Base de datos Rutas'!CQ166),'Base de datos Rutas'!CQ166,"")</f>
        <v>814.39</v>
      </c>
      <c r="BA168" s="802">
        <f>IF(ISNUMBER('Base de datos Rutas'!CR166),'Base de datos Rutas'!CR166,"")</f>
        <v>483.53</v>
      </c>
      <c r="BB168" s="803">
        <f>IF(ISNUMBER('Base de datos Rutas'!CS166),'Base de datos Rutas'!CS166,"")</f>
        <v>330.86</v>
      </c>
      <c r="BC168" s="804">
        <f t="shared" si="105"/>
        <v>0</v>
      </c>
      <c r="BD168" s="805" t="str">
        <f t="shared" si="106"/>
        <v>No saturada</v>
      </c>
      <c r="BE168" s="806">
        <f t="shared" si="107"/>
        <v>0.59373273247461289</v>
      </c>
      <c r="BF168" s="890">
        <f>IF(ISNUMBER('Base de datos Rutas'!CX166),'Base de datos Rutas'!CX166/100,"")</f>
        <v>0.35929095354523233</v>
      </c>
      <c r="BG168" s="891">
        <f>IF(ISNUMBER('Base de datos Rutas'!CZ166),'Base de datos Rutas'!CZ166/100,"")</f>
        <v>0.39678658749563395</v>
      </c>
      <c r="BH168" s="892">
        <f>IF(ISNUMBER('Base de datos Rutas'!DA166),'Base de datos Rutas'!DA166,"")</f>
        <v>441.03840288181527</v>
      </c>
      <c r="BI168" s="893">
        <f>IF(ISNUMBER('Base de datos Rutas'!DC166),'Base de datos Rutas'!DC166,"")</f>
        <v>22.350369485077515</v>
      </c>
      <c r="BJ168" s="805" t="str">
        <f t="shared" si="108"/>
        <v>Ruta (completo)</v>
      </c>
      <c r="BK168" s="783">
        <f t="shared" si="96"/>
        <v>2</v>
      </c>
      <c r="BL168" s="797">
        <f t="shared" si="97"/>
        <v>2</v>
      </c>
      <c r="BM168" s="797">
        <f t="shared" si="98"/>
        <v>3</v>
      </c>
      <c r="BN168" s="797">
        <f t="shared" si="99"/>
        <v>3</v>
      </c>
      <c r="BO168" s="798" cm="1">
        <f t="array" ref="BO168">SUMPRODUCT(--ISNUMBER($BF168:$BI168),$BK$3:$BN$3)</f>
        <v>1</v>
      </c>
      <c r="BP168" s="831">
        <f t="shared" si="109"/>
        <v>37.5</v>
      </c>
      <c r="BQ168" s="834" t="str">
        <f t="shared" si="110"/>
        <v>Medio</v>
      </c>
      <c r="BR168" s="836">
        <f t="shared" si="100"/>
        <v>29.609809706796987</v>
      </c>
      <c r="BS168" s="836">
        <f t="shared" si="101"/>
        <v>37.5</v>
      </c>
      <c r="BT168" s="837" t="str">
        <f t="shared" si="102"/>
        <v>P2</v>
      </c>
      <c r="BU168" s="807" t="str">
        <f t="shared" si="111"/>
        <v>Con espacio</v>
      </c>
      <c r="BV168" s="807" t="str">
        <f t="shared" si="103"/>
        <v>Zona de bajo potencial</v>
      </c>
      <c r="BW168" s="808" t="str">
        <f t="shared" si="104"/>
        <v>P2 - Mantener</v>
      </c>
    </row>
    <row r="169" spans="1:75">
      <c r="A169" s="780" t="str">
        <f>'Base de datos Rutas'!A167</f>
        <v>Norte</v>
      </c>
      <c r="B169" s="781" t="str">
        <f>'Base de datos Rutas'!B167</f>
        <v>Guadiana</v>
      </c>
      <c r="C169" s="781" t="str">
        <f>'Base de datos Rutas'!C167</f>
        <v>Planta Guadiana</v>
      </c>
      <c r="D169" s="782">
        <f>IF(ISNUMBER('Base de datos Rutas'!D167),'Base de datos Rutas'!D167,"Sin código")</f>
        <v>931423</v>
      </c>
      <c r="E169" s="783" t="str">
        <f>'Base de datos Rutas'!F167</f>
        <v>Activa</v>
      </c>
      <c r="F169" s="784" t="str">
        <f>'Base de datos Rutas'!H167</f>
        <v>Sí</v>
      </c>
      <c r="G169" s="785">
        <f>IF(ISNUMBER('Base de datos Rutas'!BE167),'Base de datos Rutas'!BE167,"")</f>
        <v>80.577981651376206</v>
      </c>
      <c r="H169" s="786">
        <f>IF(ISNUMBER('Base de datos Rutas'!BH167),'Base de datos Rutas'!BH167,"")</f>
        <v>0.45662074462028901</v>
      </c>
      <c r="I169" s="788">
        <f>IFERROR(IF(OR(NOT(ISNUMBER('Base de datos Rutas'!O167)),N('Base de datos Rutas'!BK167)=0),"",'Base de datos Rutas'!O167/('Base de datos Rutas'!L167/'Base de datos Rutas'!BK167)),"")</f>
        <v>3088.4036697247666</v>
      </c>
      <c r="J169" s="788">
        <f>IFERROR(IF(OR(NOT(ISNUMBER('Base de datos Rutas'!N167)),N('Base de datos Rutas'!BK167)=0),"",'Base de datos Rutas'!N167/('Base de datos Rutas'!L167/'Base de datos Rutas'!BK167)),"")</f>
        <v>6260.3096330275148</v>
      </c>
      <c r="K169" s="788">
        <f>IFERROR(IF(OR(NOT(ISNUMBER('Base de datos Rutas'!J167)),N('Base de datos Rutas'!BK167)=0),"",'Base de datos Rutas'!J167/('Base de datos Rutas'!L167/'Base de datos Rutas'!BK167)),"")</f>
        <v>440.49389357798105</v>
      </c>
      <c r="L169" s="788">
        <f>IFERROR(IF(OR(NOT(ISNUMBER('Base de datos Rutas'!K167)),N('Base de datos Rutas'!BK167)=0),"",'Base de datos Rutas'!K167/('Base de datos Rutas'!L167/'Base de datos Rutas'!BK167)),"")</f>
        <v>27.551817087155925</v>
      </c>
      <c r="M169" s="787">
        <f>IF(ISNUMBER('Base de datos Rutas'!AX167),'Base de datos Rutas'!AX167,"")</f>
        <v>254.06526181274199</v>
      </c>
      <c r="N169" s="790">
        <f>IFERROR(INDEX('Hoja de apoyo v2'!B$17:B$20,MATCH($A169,'Hoja de apoyo v2'!$A$17:$A$20,0)),"")</f>
        <v>74.190366972477051</v>
      </c>
      <c r="O169" s="791">
        <f>IFERROR(INDEX('Hoja de apoyo v2'!C$17:C$20,MATCH($A169,'Hoja de apoyo v2'!$A$17:$A$20,0)),"")</f>
        <v>0.71677657005077755</v>
      </c>
      <c r="P169" s="793">
        <f>IFERROR(INDEX('Hoja de apoyo v2'!D$17:D$20,MATCH($A169,'Hoja de apoyo v2'!$A$17:$A$20,0)),"")</f>
        <v>8755.1153350385739</v>
      </c>
      <c r="Q169" s="793">
        <f>IFERROR(INDEX('Hoja de apoyo v2'!E$17:E$20,MATCH($A169,'Hoja de apoyo v2'!$A$17:$A$20,0)),"")</f>
        <v>6098.2042779326393</v>
      </c>
      <c r="R169" s="793">
        <f>IFERROR(INDEX('Hoja de apoyo v2'!F$17:F$20,MATCH($A169,'Hoja de apoyo v2'!$A$17:$A$20,0)),"")</f>
        <v>389.08889713610301</v>
      </c>
      <c r="S169" s="793">
        <f>IFERROR(INDEX('Hoja de apoyo v2'!G$17:G$20,MATCH($A169,'Hoja de apoyo v2'!$A$17:$A$20,0)),"")</f>
        <v>67.90575167807188</v>
      </c>
      <c r="T169" s="792">
        <f>IFERROR(INDEX('Hoja de apoyo v2'!H$17:H$20,MATCH($A169,'Hoja de apoyo v2'!$A$17:$A$20,0)),"")</f>
        <v>258.90325471200998</v>
      </c>
      <c r="U169" s="794">
        <f t="shared" si="76"/>
        <v>1.0860976288372965</v>
      </c>
      <c r="V169" s="795">
        <f t="shared" si="77"/>
        <v>0.63704753154520843</v>
      </c>
      <c r="W169" s="795">
        <f t="shared" si="78"/>
        <v>0.35275419586590284</v>
      </c>
      <c r="X169" s="843">
        <f t="shared" si="79"/>
        <v>1.0265824737425542</v>
      </c>
      <c r="Y169" s="843">
        <f t="shared" si="80"/>
        <v>1.1321163282227933</v>
      </c>
      <c r="Z169" s="843">
        <f t="shared" si="81"/>
        <v>0.40573613289451232</v>
      </c>
      <c r="AA169" s="843">
        <f t="shared" si="82"/>
        <v>0.98131351069862172</v>
      </c>
      <c r="AB169" s="796">
        <f t="shared" si="83"/>
        <v>4</v>
      </c>
      <c r="AC169" s="797">
        <f t="shared" si="84"/>
        <v>2</v>
      </c>
      <c r="AD169" s="797">
        <f t="shared" si="85"/>
        <v>1</v>
      </c>
      <c r="AE169" s="842">
        <f t="shared" si="86"/>
        <v>4</v>
      </c>
      <c r="AF169" s="842">
        <f t="shared" si="87"/>
        <v>4</v>
      </c>
      <c r="AG169" s="842">
        <f t="shared" si="88"/>
        <v>1</v>
      </c>
      <c r="AH169" s="842">
        <f t="shared" si="89"/>
        <v>3</v>
      </c>
      <c r="AI169" s="826" cm="1">
        <f t="array" ref="AI169">SUMPRODUCT(--ISNUMBER($U169:$AA169),$AB$3:$AH$3)</f>
        <v>1</v>
      </c>
      <c r="AJ169" s="829">
        <f t="shared" si="90"/>
        <v>39.479746275729319</v>
      </c>
      <c r="AK169" s="827" t="str">
        <f t="shared" si="91"/>
        <v>Inmadura</v>
      </c>
      <c r="AL169" s="784" t="str">
        <f t="shared" si="92"/>
        <v>Alta</v>
      </c>
      <c r="AM169" s="799">
        <f>IF(ISNUMBER('Base de datos Rutas'!W167),'Base de datos Rutas'!W167,"")</f>
        <v>2998.2139778064675</v>
      </c>
      <c r="AN169" s="787">
        <f>IFERROR(SUMIFS('Base de datos Rutas'!$W$6:$W$794,'Base de datos Rutas'!$C$6:$C$794,$C169)/'Base de datos Rutas'!I167,"")</f>
        <v>2998.2139778064688</v>
      </c>
      <c r="AO169" s="800">
        <f>IFERROR('Base de datos Rutas'!X167*AN169/AM169,"")</f>
        <v>0.37802554582777237</v>
      </c>
      <c r="AP169" s="800">
        <f t="shared" si="93"/>
        <v>0.62197445417222763</v>
      </c>
      <c r="AQ169" s="789">
        <f>IFERROR(INDEX('Hoja de apoyo v2'!$J$17:$J$20,MATCH($A169,'Hoja de apoyo v2'!$A$17:$A$20,0)),"")</f>
        <v>0.62197445417222763</v>
      </c>
      <c r="AR169" s="789">
        <f t="shared" si="94"/>
        <v>0</v>
      </c>
      <c r="AS169" s="784" t="str">
        <f t="shared" si="95"/>
        <v>No</v>
      </c>
      <c r="AT169" s="801">
        <f>IF(ISNUMBER('Base de datos Rutas'!CK167),'Base de datos Rutas'!CK167,"")</f>
        <v>257</v>
      </c>
      <c r="AU169" s="802">
        <f>IF(ISNUMBER('Base de datos Rutas'!CL167),'Base de datos Rutas'!CL167,"")</f>
        <v>364.58</v>
      </c>
      <c r="AV169" s="802">
        <f>IF(ISNUMBER('Base de datos Rutas'!CM167),'Base de datos Rutas'!CM167,"")</f>
        <v>107.57999999999998</v>
      </c>
      <c r="AW169" s="802">
        <f>IF(ISNUMBER('Base de datos Rutas'!CN167),'Base de datos Rutas'!CN167,"")</f>
        <v>8.4499999999999993</v>
      </c>
      <c r="AX169" s="802">
        <f>IF(ISNUMBER('Base de datos Rutas'!CO167),'Base de datos Rutas'!CO167,"")</f>
        <v>9.4499999999999993</v>
      </c>
      <c r="AY169" s="802">
        <f>IF(ISNUMBER('Base de datos Rutas'!CP167),'Base de datos Rutas'!CP167,"")</f>
        <v>1</v>
      </c>
      <c r="AZ169" s="802">
        <f>IF(ISNUMBER('Base de datos Rutas'!CQ167),'Base de datos Rutas'!CQ167,"")</f>
        <v>814.39</v>
      </c>
      <c r="BA169" s="802">
        <f>IF(ISNUMBER('Base de datos Rutas'!CR167),'Base de datos Rutas'!CR167,"")</f>
        <v>468.05</v>
      </c>
      <c r="BB169" s="803">
        <f>IF(ISNUMBER('Base de datos Rutas'!CS167),'Base de datos Rutas'!CS167,"")</f>
        <v>346.34</v>
      </c>
      <c r="BC169" s="804">
        <f t="shared" si="105"/>
        <v>0</v>
      </c>
      <c r="BD169" s="805" t="str">
        <f t="shared" si="106"/>
        <v>No saturada</v>
      </c>
      <c r="BE169" s="806">
        <f t="shared" si="107"/>
        <v>0.5747246405284937</v>
      </c>
      <c r="BF169" s="890">
        <f>IF(ISNUMBER('Base de datos Rutas'!CX167),'Base de datos Rutas'!CX167/100,"")</f>
        <v>0.55052809940694725</v>
      </c>
      <c r="BG169" s="891">
        <f>IF(ISNUMBER('Base de datos Rutas'!CZ167),'Base de datos Rutas'!CZ167/100,"")</f>
        <v>0.58090934764190905</v>
      </c>
      <c r="BH169" s="892">
        <f>IF(ISNUMBER('Base de datos Rutas'!DA167),'Base de datos Rutas'!DA167,"")</f>
        <v>287.23246029962343</v>
      </c>
      <c r="BI169" s="893">
        <f>IF(ISNUMBER('Base de datos Rutas'!DC167),'Base de datos Rutas'!DC167,"")</f>
        <v>13.839192233690916</v>
      </c>
      <c r="BJ169" s="805" t="str">
        <f t="shared" si="108"/>
        <v>Ruta (completo)</v>
      </c>
      <c r="BK169" s="783">
        <f t="shared" si="96"/>
        <v>4</v>
      </c>
      <c r="BL169" s="797">
        <f t="shared" si="97"/>
        <v>4</v>
      </c>
      <c r="BM169" s="797">
        <f t="shared" si="98"/>
        <v>2</v>
      </c>
      <c r="BN169" s="797">
        <f t="shared" si="99"/>
        <v>2</v>
      </c>
      <c r="BO169" s="798" cm="1">
        <f t="array" ref="BO169">SUMPRODUCT(--ISNUMBER($BF169:$BI169),$BK$3:$BN$3)</f>
        <v>1</v>
      </c>
      <c r="BP169" s="831">
        <f t="shared" si="109"/>
        <v>50</v>
      </c>
      <c r="BQ169" s="834" t="str">
        <f t="shared" si="110"/>
        <v>Alto</v>
      </c>
      <c r="BR169" s="836">
        <f t="shared" si="100"/>
        <v>29.609809706796987</v>
      </c>
      <c r="BS169" s="836">
        <f t="shared" si="101"/>
        <v>50</v>
      </c>
      <c r="BT169" s="837" t="str">
        <f t="shared" si="102"/>
        <v>P1</v>
      </c>
      <c r="BU169" s="807" t="str">
        <f t="shared" si="111"/>
        <v>Con espacio</v>
      </c>
      <c r="BV169" s="807" t="str">
        <f t="shared" si="103"/>
        <v>Zona atractiva</v>
      </c>
      <c r="BW169" s="808" t="str">
        <f t="shared" si="104"/>
        <v>P1 - Ampliar cobertura</v>
      </c>
    </row>
    <row r="170" spans="1:75">
      <c r="A170" s="780" t="str">
        <f>'Base de datos Rutas'!A168</f>
        <v>Norte</v>
      </c>
      <c r="B170" s="781" t="str">
        <f>'Base de datos Rutas'!B168</f>
        <v>Guadiana</v>
      </c>
      <c r="C170" s="781" t="str">
        <f>'Base de datos Rutas'!C168</f>
        <v>Planta Guadiana</v>
      </c>
      <c r="D170" s="782">
        <f>IF(ISNUMBER('Base de datos Rutas'!D168),'Base de datos Rutas'!D168,"Sin código")</f>
        <v>931424</v>
      </c>
      <c r="E170" s="783" t="str">
        <f>'Base de datos Rutas'!F168</f>
        <v>Activa</v>
      </c>
      <c r="F170" s="784" t="str">
        <f>'Base de datos Rutas'!H168</f>
        <v>Sí</v>
      </c>
      <c r="G170" s="785">
        <f>IF(ISNUMBER('Base de datos Rutas'!BE168),'Base de datos Rutas'!BE168,"")</f>
        <v>95.174311926605498</v>
      </c>
      <c r="H170" s="786">
        <f>IF(ISNUMBER('Base de datos Rutas'!BH168),'Base de datos Rutas'!BH168,"")</f>
        <v>0.58911702332755</v>
      </c>
      <c r="I170" s="788">
        <f>IFERROR(IF(OR(NOT(ISNUMBER('Base de datos Rutas'!O168)),N('Base de datos Rutas'!BK168)=0),"",'Base de datos Rutas'!O168/('Base de datos Rutas'!L168/'Base de datos Rutas'!BK168)),"")</f>
        <v>2875.1353211009105</v>
      </c>
      <c r="J170" s="788">
        <f>IFERROR(IF(OR(NOT(ISNUMBER('Base de datos Rutas'!N168)),N('Base de datos Rutas'!BK168)=0),"",'Base de datos Rutas'!N168/('Base de datos Rutas'!L168/'Base de datos Rutas'!BK168)),"")</f>
        <v>6336.8830275229211</v>
      </c>
      <c r="K170" s="788">
        <f>IFERROR(IF(OR(NOT(ISNUMBER('Base de datos Rutas'!J168)),N('Base de datos Rutas'!BK168)=0),"",'Base de datos Rutas'!J168/('Base de datos Rutas'!L168/'Base de datos Rutas'!BK168)),"")</f>
        <v>440.91399633027419</v>
      </c>
      <c r="L170" s="788">
        <f>IFERROR(IF(OR(NOT(ISNUMBER('Base de datos Rutas'!K168)),N('Base de datos Rutas'!BK168)=0),"",'Base de datos Rutas'!K168/('Base de datos Rutas'!L168/'Base de datos Rutas'!BK168)),"")</f>
        <v>27.378690158256816</v>
      </c>
      <c r="M170" s="787">
        <f>IF(ISNUMBER('Base de datos Rutas'!AX168),'Base de datos Rutas'!AX168,"")</f>
        <v>164.29837355804599</v>
      </c>
      <c r="N170" s="790">
        <f>IFERROR(INDEX('Hoja de apoyo v2'!B$17:B$20,MATCH($A170,'Hoja de apoyo v2'!$A$17:$A$20,0)),"")</f>
        <v>74.190366972477051</v>
      </c>
      <c r="O170" s="791">
        <f>IFERROR(INDEX('Hoja de apoyo v2'!C$17:C$20,MATCH($A170,'Hoja de apoyo v2'!$A$17:$A$20,0)),"")</f>
        <v>0.71677657005077755</v>
      </c>
      <c r="P170" s="793">
        <f>IFERROR(INDEX('Hoja de apoyo v2'!D$17:D$20,MATCH($A170,'Hoja de apoyo v2'!$A$17:$A$20,0)),"")</f>
        <v>8755.1153350385739</v>
      </c>
      <c r="Q170" s="793">
        <f>IFERROR(INDEX('Hoja de apoyo v2'!E$17:E$20,MATCH($A170,'Hoja de apoyo v2'!$A$17:$A$20,0)),"")</f>
        <v>6098.2042779326393</v>
      </c>
      <c r="R170" s="793">
        <f>IFERROR(INDEX('Hoja de apoyo v2'!F$17:F$20,MATCH($A170,'Hoja de apoyo v2'!$A$17:$A$20,0)),"")</f>
        <v>389.08889713610301</v>
      </c>
      <c r="S170" s="793">
        <f>IFERROR(INDEX('Hoja de apoyo v2'!G$17:G$20,MATCH($A170,'Hoja de apoyo v2'!$A$17:$A$20,0)),"")</f>
        <v>67.90575167807188</v>
      </c>
      <c r="T170" s="792">
        <f>IFERROR(INDEX('Hoja de apoyo v2'!H$17:H$20,MATCH($A170,'Hoja de apoyo v2'!$A$17:$A$20,0)),"")</f>
        <v>258.90325471200998</v>
      </c>
      <c r="U170" s="794">
        <f t="shared" si="76"/>
        <v>1.2828392122917118</v>
      </c>
      <c r="V170" s="795">
        <f t="shared" si="77"/>
        <v>0.82189771254076571</v>
      </c>
      <c r="W170" s="795">
        <f t="shared" si="78"/>
        <v>0.32839491098357337</v>
      </c>
      <c r="X170" s="843">
        <f t="shared" si="79"/>
        <v>1.0391391856868391</v>
      </c>
      <c r="Y170" s="843">
        <f t="shared" si="80"/>
        <v>1.1331960371412058</v>
      </c>
      <c r="Z170" s="843">
        <f t="shared" si="81"/>
        <v>0.40318661500212716</v>
      </c>
      <c r="AA170" s="843">
        <f t="shared" si="82"/>
        <v>0.6345936969421363</v>
      </c>
      <c r="AB170" s="796">
        <f t="shared" si="83"/>
        <v>5</v>
      </c>
      <c r="AC170" s="797">
        <f t="shared" si="84"/>
        <v>3</v>
      </c>
      <c r="AD170" s="797">
        <f t="shared" si="85"/>
        <v>1</v>
      </c>
      <c r="AE170" s="842">
        <f t="shared" si="86"/>
        <v>4</v>
      </c>
      <c r="AF170" s="842">
        <f t="shared" si="87"/>
        <v>4</v>
      </c>
      <c r="AG170" s="842">
        <f t="shared" si="88"/>
        <v>1</v>
      </c>
      <c r="AH170" s="842">
        <f t="shared" si="89"/>
        <v>2</v>
      </c>
      <c r="AI170" s="826" cm="1">
        <f t="array" ref="AI170">SUMPRODUCT(--ISNUMBER($U170:$AA170),$AB$3:$AH$3)</f>
        <v>1</v>
      </c>
      <c r="AJ170" s="829">
        <f t="shared" si="90"/>
        <v>44.151560199429987</v>
      </c>
      <c r="AK170" s="827" t="str">
        <f t="shared" si="91"/>
        <v>Inmadura</v>
      </c>
      <c r="AL170" s="784" t="str">
        <f t="shared" si="92"/>
        <v>Alta</v>
      </c>
      <c r="AM170" s="799">
        <f>IF(ISNUMBER('Base de datos Rutas'!W168),'Base de datos Rutas'!W168,"")</f>
        <v>2998.2139778064675</v>
      </c>
      <c r="AN170" s="787">
        <f>IFERROR(SUMIFS('Base de datos Rutas'!$W$6:$W$794,'Base de datos Rutas'!$C$6:$C$794,$C170)/'Base de datos Rutas'!I168,"")</f>
        <v>2998.2139778064688</v>
      </c>
      <c r="AO170" s="800">
        <f>IFERROR('Base de datos Rutas'!X168*AN170/AM170,"")</f>
        <v>0.37802554582777237</v>
      </c>
      <c r="AP170" s="800">
        <f t="shared" si="93"/>
        <v>0.62197445417222763</v>
      </c>
      <c r="AQ170" s="789">
        <f>IFERROR(INDEX('Hoja de apoyo v2'!$J$17:$J$20,MATCH($A170,'Hoja de apoyo v2'!$A$17:$A$20,0)),"")</f>
        <v>0.62197445417222763</v>
      </c>
      <c r="AR170" s="789">
        <f t="shared" si="94"/>
        <v>0</v>
      </c>
      <c r="AS170" s="784" t="str">
        <f t="shared" si="95"/>
        <v>No</v>
      </c>
      <c r="AT170" s="801">
        <f>IF(ISNUMBER('Base de datos Rutas'!CK168),'Base de datos Rutas'!CK168,"")</f>
        <v>409</v>
      </c>
      <c r="AU170" s="802">
        <f>IF(ISNUMBER('Base de datos Rutas'!CL168),'Base de datos Rutas'!CL168,"")</f>
        <v>467.72</v>
      </c>
      <c r="AV170" s="802">
        <f>IF(ISNUMBER('Base de datos Rutas'!CM168),'Base de datos Rutas'!CM168,"")</f>
        <v>58.720000000000027</v>
      </c>
      <c r="AW170" s="802">
        <f>IF(ISNUMBER('Base de datos Rutas'!CN168),'Base de datos Rutas'!CN168,"")</f>
        <v>4.5599999999999996</v>
      </c>
      <c r="AX170" s="802">
        <f>IF(ISNUMBER('Base de datos Rutas'!CO168),'Base de datos Rutas'!CO168,"")</f>
        <v>9.4499999999999993</v>
      </c>
      <c r="AY170" s="802">
        <f>IF(ISNUMBER('Base de datos Rutas'!CP168),'Base de datos Rutas'!CP168,"")</f>
        <v>4.8899999999999997</v>
      </c>
      <c r="AZ170" s="802">
        <f>IF(ISNUMBER('Base de datos Rutas'!CQ168),'Base de datos Rutas'!CQ168,"")</f>
        <v>814.39</v>
      </c>
      <c r="BA170" s="802">
        <f>IF(ISNUMBER('Base de datos Rutas'!CR168),'Base de datos Rutas'!CR168,"")</f>
        <v>468.29</v>
      </c>
      <c r="BB170" s="803">
        <f>IF(ISNUMBER('Base de datos Rutas'!CS168),'Base de datos Rutas'!CS168,"")</f>
        <v>346.09999999999997</v>
      </c>
      <c r="BC170" s="804">
        <f t="shared" si="105"/>
        <v>0</v>
      </c>
      <c r="BD170" s="805" t="str">
        <f t="shared" si="106"/>
        <v>No saturada</v>
      </c>
      <c r="BE170" s="806">
        <f t="shared" si="107"/>
        <v>0.57501933962843355</v>
      </c>
      <c r="BF170" s="890">
        <f>IF(ISNUMBER('Base de datos Rutas'!CX168),'Base de datos Rutas'!CX168/100,"")</f>
        <v>-9.9305318300876876E-4</v>
      </c>
      <c r="BG170" s="891">
        <f>IF(ISNUMBER('Base de datos Rutas'!CZ168),'Base de datos Rutas'!CZ168/100,"")</f>
        <v>5.6941122878943172E-3</v>
      </c>
      <c r="BH170" s="892">
        <f>IF(ISNUMBER('Base de datos Rutas'!DA168),'Base de datos Rutas'!DA168,"")</f>
        <v>57.106597267786768</v>
      </c>
      <c r="BI170" s="893">
        <f>IF(ISNUMBER('Base de datos Rutas'!DC168),'Base de datos Rutas'!DC168,"")</f>
        <v>3.0479313824419783</v>
      </c>
      <c r="BJ170" s="805" t="str">
        <f t="shared" si="108"/>
        <v>Ruta (completo)</v>
      </c>
      <c r="BK170" s="783">
        <f t="shared" si="96"/>
        <v>1</v>
      </c>
      <c r="BL170" s="797">
        <f t="shared" si="97"/>
        <v>1</v>
      </c>
      <c r="BM170" s="797">
        <f t="shared" si="98"/>
        <v>1</v>
      </c>
      <c r="BN170" s="797">
        <f t="shared" si="99"/>
        <v>1</v>
      </c>
      <c r="BO170" s="798" cm="1">
        <f t="array" ref="BO170">SUMPRODUCT(--ISNUMBER($BF170:$BI170),$BK$3:$BN$3)</f>
        <v>1</v>
      </c>
      <c r="BP170" s="831">
        <f t="shared" si="109"/>
        <v>0</v>
      </c>
      <c r="BQ170" s="834" t="str">
        <f t="shared" si="110"/>
        <v>Bajo</v>
      </c>
      <c r="BR170" s="836">
        <f t="shared" si="100"/>
        <v>33.113670149572492</v>
      </c>
      <c r="BS170" s="836">
        <f t="shared" si="101"/>
        <v>0</v>
      </c>
      <c r="BT170" s="837" t="str">
        <f t="shared" si="102"/>
        <v>P2</v>
      </c>
      <c r="BU170" s="807" t="str">
        <f t="shared" si="111"/>
        <v>Con espacio</v>
      </c>
      <c r="BV170" s="807" t="str">
        <f t="shared" si="103"/>
        <v>Zona de bajo potencial</v>
      </c>
      <c r="BW170" s="808" t="str">
        <f t="shared" si="104"/>
        <v>P2 - Mantener</v>
      </c>
    </row>
    <row r="171" spans="1:75">
      <c r="A171" s="780" t="str">
        <f>'Base de datos Rutas'!A169</f>
        <v>Norte</v>
      </c>
      <c r="B171" s="781" t="str">
        <f>'Base de datos Rutas'!B169</f>
        <v>Guadiana</v>
      </c>
      <c r="C171" s="781" t="str">
        <f>'Base de datos Rutas'!C169</f>
        <v>Planta Guadiana</v>
      </c>
      <c r="D171" s="782">
        <f>IF(ISNUMBER('Base de datos Rutas'!D169),'Base de datos Rutas'!D169,"Sin código")</f>
        <v>931425</v>
      </c>
      <c r="E171" s="783" t="str">
        <f>'Base de datos Rutas'!F169</f>
        <v>Activa</v>
      </c>
      <c r="F171" s="784" t="str">
        <f>'Base de datos Rutas'!H169</f>
        <v>Sí</v>
      </c>
      <c r="G171" s="785">
        <f>IF(ISNUMBER('Base de datos Rutas'!BE169),'Base de datos Rutas'!BE169,"")</f>
        <v>55.4724770642202</v>
      </c>
      <c r="H171" s="786">
        <f>IF(ISNUMBER('Base de datos Rutas'!BH169),'Base de datos Rutas'!BH169,"")</f>
        <v>0.75535433721987899</v>
      </c>
      <c r="I171" s="788">
        <f>IFERROR(IF(OR(NOT(ISNUMBER('Base de datos Rutas'!O169)),N('Base de datos Rutas'!BK169)=0),"",'Base de datos Rutas'!O169/('Base de datos Rutas'!L169/'Base de datos Rutas'!BK169)),"")</f>
        <v>2447.4426605504623</v>
      </c>
      <c r="J171" s="788">
        <f>IFERROR(IF(OR(NOT(ISNUMBER('Base de datos Rutas'!N169)),N('Base de datos Rutas'!BK169)=0),"",'Base de datos Rutas'!N169/('Base de datos Rutas'!L169/'Base de datos Rutas'!BK169)),"")</f>
        <v>5057.7201834862453</v>
      </c>
      <c r="K171" s="788">
        <f>IFERROR(IF(OR(NOT(ISNUMBER('Base de datos Rutas'!J169)),N('Base de datos Rutas'!BK169)=0),"",'Base de datos Rutas'!J169/('Base de datos Rutas'!L169/'Base de datos Rutas'!BK169)),"")</f>
        <v>353.44375596330326</v>
      </c>
      <c r="L171" s="788">
        <f>IFERROR(IF(OR(NOT(ISNUMBER('Base de datos Rutas'!K169)),N('Base de datos Rutas'!BK169)=0),"",'Base de datos Rutas'!K169/('Base de datos Rutas'!L169/'Base de datos Rutas'!BK169)),"")</f>
        <v>19.711967550458745</v>
      </c>
      <c r="M171" s="787">
        <f>IF(ISNUMBER('Base de datos Rutas'!AX169),'Base de datos Rutas'!AX169,"")</f>
        <v>179.11504187421301</v>
      </c>
      <c r="N171" s="790">
        <f>IFERROR(INDEX('Hoja de apoyo v2'!B$17:B$20,MATCH($A171,'Hoja de apoyo v2'!$A$17:$A$20,0)),"")</f>
        <v>74.190366972477051</v>
      </c>
      <c r="O171" s="791">
        <f>IFERROR(INDEX('Hoja de apoyo v2'!C$17:C$20,MATCH($A171,'Hoja de apoyo v2'!$A$17:$A$20,0)),"")</f>
        <v>0.71677657005077755</v>
      </c>
      <c r="P171" s="793">
        <f>IFERROR(INDEX('Hoja de apoyo v2'!D$17:D$20,MATCH($A171,'Hoja de apoyo v2'!$A$17:$A$20,0)),"")</f>
        <v>8755.1153350385739</v>
      </c>
      <c r="Q171" s="793">
        <f>IFERROR(INDEX('Hoja de apoyo v2'!E$17:E$20,MATCH($A171,'Hoja de apoyo v2'!$A$17:$A$20,0)),"")</f>
        <v>6098.2042779326393</v>
      </c>
      <c r="R171" s="793">
        <f>IFERROR(INDEX('Hoja de apoyo v2'!F$17:F$20,MATCH($A171,'Hoja de apoyo v2'!$A$17:$A$20,0)),"")</f>
        <v>389.08889713610301</v>
      </c>
      <c r="S171" s="793">
        <f>IFERROR(INDEX('Hoja de apoyo v2'!G$17:G$20,MATCH($A171,'Hoja de apoyo v2'!$A$17:$A$20,0)),"")</f>
        <v>67.90575167807188</v>
      </c>
      <c r="T171" s="792">
        <f>IFERROR(INDEX('Hoja de apoyo v2'!H$17:H$20,MATCH($A171,'Hoja de apoyo v2'!$A$17:$A$20,0)),"")</f>
        <v>258.90325471200998</v>
      </c>
      <c r="U171" s="794">
        <f t="shared" si="76"/>
        <v>0.74770457847713889</v>
      </c>
      <c r="V171" s="795">
        <f t="shared" si="77"/>
        <v>1.0538211888906588</v>
      </c>
      <c r="W171" s="795">
        <f t="shared" si="78"/>
        <v>0.27954430831489202</v>
      </c>
      <c r="X171" s="843">
        <f t="shared" si="79"/>
        <v>0.82937860933725072</v>
      </c>
      <c r="Y171" s="843">
        <f t="shared" si="80"/>
        <v>0.90838818214766193</v>
      </c>
      <c r="Z171" s="843">
        <f t="shared" si="81"/>
        <v>0.29028421103280611</v>
      </c>
      <c r="AA171" s="843">
        <f t="shared" si="82"/>
        <v>0.69182228733837636</v>
      </c>
      <c r="AB171" s="796">
        <f t="shared" si="83"/>
        <v>2</v>
      </c>
      <c r="AC171" s="797">
        <f t="shared" si="84"/>
        <v>4</v>
      </c>
      <c r="AD171" s="797">
        <f t="shared" si="85"/>
        <v>1</v>
      </c>
      <c r="AE171" s="842">
        <f t="shared" si="86"/>
        <v>3</v>
      </c>
      <c r="AF171" s="842">
        <f t="shared" si="87"/>
        <v>3</v>
      </c>
      <c r="AG171" s="842">
        <f t="shared" si="88"/>
        <v>1</v>
      </c>
      <c r="AH171" s="842">
        <f t="shared" si="89"/>
        <v>2</v>
      </c>
      <c r="AI171" s="826" cm="1">
        <f t="array" ref="AI171">SUMPRODUCT(--ISNUMBER($U171:$AA171),$AB$3:$AH$3)</f>
        <v>1</v>
      </c>
      <c r="AJ171" s="829">
        <f t="shared" si="90"/>
        <v>26.598065092651723</v>
      </c>
      <c r="AK171" s="827" t="str">
        <f t="shared" si="91"/>
        <v>Inmadura</v>
      </c>
      <c r="AL171" s="784" t="str">
        <f t="shared" si="92"/>
        <v>Alta</v>
      </c>
      <c r="AM171" s="799">
        <f>IF(ISNUMBER('Base de datos Rutas'!W169),'Base de datos Rutas'!W169,"")</f>
        <v>2998.2139778064675</v>
      </c>
      <c r="AN171" s="787">
        <f>IFERROR(SUMIFS('Base de datos Rutas'!$W$6:$W$794,'Base de datos Rutas'!$C$6:$C$794,$C171)/'Base de datos Rutas'!I169,"")</f>
        <v>2998.2139778064688</v>
      </c>
      <c r="AO171" s="800">
        <f>IFERROR('Base de datos Rutas'!X169*AN171/AM171,"")</f>
        <v>0.37802554582777237</v>
      </c>
      <c r="AP171" s="800">
        <f t="shared" si="93"/>
        <v>0.62197445417222763</v>
      </c>
      <c r="AQ171" s="789">
        <f>IFERROR(INDEX('Hoja de apoyo v2'!$J$17:$J$20,MATCH($A171,'Hoja de apoyo v2'!$A$17:$A$20,0)),"")</f>
        <v>0.62197445417222763</v>
      </c>
      <c r="AR171" s="789">
        <f t="shared" si="94"/>
        <v>0</v>
      </c>
      <c r="AS171" s="784" t="str">
        <f t="shared" si="95"/>
        <v>No</v>
      </c>
      <c r="AT171" s="801">
        <f>IF(ISNUMBER('Base de datos Rutas'!CK169),'Base de datos Rutas'!CK169,"")</f>
        <v>389</v>
      </c>
      <c r="AU171" s="802">
        <f>IF(ISNUMBER('Base de datos Rutas'!CL169),'Base de datos Rutas'!CL169,"")</f>
        <v>475.46</v>
      </c>
      <c r="AV171" s="802">
        <f>IF(ISNUMBER('Base de datos Rutas'!CM169),'Base de datos Rutas'!CM169,"")</f>
        <v>86.45999999999998</v>
      </c>
      <c r="AW171" s="802">
        <f>IF(ISNUMBER('Base de datos Rutas'!CN169),'Base de datos Rutas'!CN169,"")</f>
        <v>5.96</v>
      </c>
      <c r="AX171" s="802">
        <f>IF(ISNUMBER('Base de datos Rutas'!CO169),'Base de datos Rutas'!CO169,"")</f>
        <v>9.4499999999999993</v>
      </c>
      <c r="AY171" s="802">
        <f>IF(ISNUMBER('Base de datos Rutas'!CP169),'Base de datos Rutas'!CP169,"")</f>
        <v>3.4899999999999993</v>
      </c>
      <c r="AZ171" s="802">
        <f>IF(ISNUMBER('Base de datos Rutas'!CQ169),'Base de datos Rutas'!CQ169,"")</f>
        <v>814.39</v>
      </c>
      <c r="BA171" s="802">
        <f>IF(ISNUMBER('Base de datos Rutas'!CR169),'Base de datos Rutas'!CR169,"")</f>
        <v>373.16</v>
      </c>
      <c r="BB171" s="803">
        <f>IF(ISNUMBER('Base de datos Rutas'!CS169),'Base de datos Rutas'!CS169,"")</f>
        <v>441.22999999999996</v>
      </c>
      <c r="BC171" s="804">
        <f t="shared" si="105"/>
        <v>0</v>
      </c>
      <c r="BD171" s="805" t="str">
        <f t="shared" si="106"/>
        <v>No saturada</v>
      </c>
      <c r="BE171" s="806">
        <f t="shared" si="107"/>
        <v>0.45820798388978257</v>
      </c>
      <c r="BF171" s="890">
        <f>IF(ISNUMBER('Base de datos Rutas'!CX169),'Base de datos Rutas'!CX169/100,"")</f>
        <v>2.346572874667582E-2</v>
      </c>
      <c r="BG171" s="891">
        <f>IF(ISNUMBER('Base de datos Rutas'!CZ169),'Base de datos Rutas'!CZ169/100,"")</f>
        <v>3.0882731406022136E-2</v>
      </c>
      <c r="BH171" s="892">
        <f>IF(ISNUMBER('Base de datos Rutas'!DA169),'Base de datos Rutas'!DA169,"")</f>
        <v>103.1166760051978</v>
      </c>
      <c r="BI171" s="893">
        <f>IF(ISNUMBER('Base de datos Rutas'!DC169),'Base de datos Rutas'!DC169,"")</f>
        <v>4.8698731038382217</v>
      </c>
      <c r="BJ171" s="805" t="str">
        <f t="shared" si="108"/>
        <v>Ruta (completo)</v>
      </c>
      <c r="BK171" s="783">
        <f t="shared" si="96"/>
        <v>1</v>
      </c>
      <c r="BL171" s="797">
        <f t="shared" si="97"/>
        <v>1</v>
      </c>
      <c r="BM171" s="797">
        <f t="shared" si="98"/>
        <v>1</v>
      </c>
      <c r="BN171" s="797">
        <f t="shared" si="99"/>
        <v>1</v>
      </c>
      <c r="BO171" s="798" cm="1">
        <f t="array" ref="BO171">SUMPRODUCT(--ISNUMBER($BF171:$BI171),$BK$3:$BN$3)</f>
        <v>1</v>
      </c>
      <c r="BP171" s="831">
        <f t="shared" si="109"/>
        <v>0</v>
      </c>
      <c r="BQ171" s="834" t="str">
        <f t="shared" si="110"/>
        <v>Bajo</v>
      </c>
      <c r="BR171" s="836">
        <f t="shared" si="100"/>
        <v>19.948548819488792</v>
      </c>
      <c r="BS171" s="836">
        <f t="shared" si="101"/>
        <v>0</v>
      </c>
      <c r="BT171" s="837" t="str">
        <f t="shared" si="102"/>
        <v>P4</v>
      </c>
      <c r="BU171" s="807" t="str">
        <f t="shared" si="111"/>
        <v>Con espacio</v>
      </c>
      <c r="BV171" s="807" t="str">
        <f t="shared" si="103"/>
        <v>Zona de bajo potencial</v>
      </c>
      <c r="BW171" s="808" t="str">
        <f t="shared" si="104"/>
        <v>P4 - Evaluar</v>
      </c>
    </row>
    <row r="172" spans="1:75">
      <c r="A172" s="780" t="str">
        <f>'Base de datos Rutas'!A170</f>
        <v>Norte</v>
      </c>
      <c r="B172" s="781" t="str">
        <f>'Base de datos Rutas'!B170</f>
        <v>Guadiana</v>
      </c>
      <c r="C172" s="781" t="str">
        <f>'Base de datos Rutas'!C170</f>
        <v>Planta Guadiana</v>
      </c>
      <c r="D172" s="782">
        <f>IF(ISNUMBER('Base de datos Rutas'!D170),'Base de datos Rutas'!D170,"Sin código")</f>
        <v>931427</v>
      </c>
      <c r="E172" s="783" t="str">
        <f>'Base de datos Rutas'!F170</f>
        <v>Activa</v>
      </c>
      <c r="F172" s="784" t="str">
        <f>'Base de datos Rutas'!H170</f>
        <v>Sí</v>
      </c>
      <c r="G172" s="785">
        <f>IF(ISNUMBER('Base de datos Rutas'!BE170),'Base de datos Rutas'!BE170,"")</f>
        <v>76.704805491990896</v>
      </c>
      <c r="H172" s="786">
        <f>IF(ISNUMBER('Base de datos Rutas'!BH170),'Base de datos Rutas'!BH170,"")</f>
        <v>0.62326968973746999</v>
      </c>
      <c r="I172" s="788">
        <f>IFERROR(IF(OR(NOT(ISNUMBER('Base de datos Rutas'!O170)),N('Base de datos Rutas'!BK170)=0),"",'Base de datos Rutas'!O170/('Base de datos Rutas'!L170/'Base de datos Rutas'!BK170)),"")</f>
        <v>2352.1418764302039</v>
      </c>
      <c r="J172" s="788">
        <f>IFERROR(IF(OR(NOT(ISNUMBER('Base de datos Rutas'!N170)),N('Base de datos Rutas'!BK170)=0),"",'Base de datos Rutas'!N170/('Base de datos Rutas'!L170/'Base de datos Rutas'!BK170)),"")</f>
        <v>6822.7917620137241</v>
      </c>
      <c r="K172" s="788">
        <f>IFERROR(IF(OR(NOT(ISNUMBER('Base de datos Rutas'!J170)),N('Base de datos Rutas'!BK170)=0),"",'Base de datos Rutas'!J170/('Base de datos Rutas'!L170/'Base de datos Rutas'!BK170)),"")</f>
        <v>468.56270586727652</v>
      </c>
      <c r="L172" s="788">
        <f>IFERROR(IF(OR(NOT(ISNUMBER('Base de datos Rutas'!K170)),N('Base de datos Rutas'!BK170)=0),"",'Base de datos Rutas'!K170/('Base de datos Rutas'!L170/'Base de datos Rutas'!BK170)),"")</f>
        <v>21.737891684210506</v>
      </c>
      <c r="M172" s="787">
        <f>IF(ISNUMBER('Base de datos Rutas'!AX170),'Base de datos Rutas'!AX170,"")</f>
        <v>191.912826919395</v>
      </c>
      <c r="N172" s="790">
        <f>IFERROR(INDEX('Hoja de apoyo v2'!B$17:B$20,MATCH($A172,'Hoja de apoyo v2'!$A$17:$A$20,0)),"")</f>
        <v>74.190366972477051</v>
      </c>
      <c r="O172" s="791">
        <f>IFERROR(INDEX('Hoja de apoyo v2'!C$17:C$20,MATCH($A172,'Hoja de apoyo v2'!$A$17:$A$20,0)),"")</f>
        <v>0.71677657005077755</v>
      </c>
      <c r="P172" s="793">
        <f>IFERROR(INDEX('Hoja de apoyo v2'!D$17:D$20,MATCH($A172,'Hoja de apoyo v2'!$A$17:$A$20,0)),"")</f>
        <v>8755.1153350385739</v>
      </c>
      <c r="Q172" s="793">
        <f>IFERROR(INDEX('Hoja de apoyo v2'!E$17:E$20,MATCH($A172,'Hoja de apoyo v2'!$A$17:$A$20,0)),"")</f>
        <v>6098.2042779326393</v>
      </c>
      <c r="R172" s="793">
        <f>IFERROR(INDEX('Hoja de apoyo v2'!F$17:F$20,MATCH($A172,'Hoja de apoyo v2'!$A$17:$A$20,0)),"")</f>
        <v>389.08889713610301</v>
      </c>
      <c r="S172" s="793">
        <f>IFERROR(INDEX('Hoja de apoyo v2'!G$17:G$20,MATCH($A172,'Hoja de apoyo v2'!$A$17:$A$20,0)),"")</f>
        <v>67.90575167807188</v>
      </c>
      <c r="T172" s="792">
        <f>IFERROR(INDEX('Hoja de apoyo v2'!H$17:H$20,MATCH($A172,'Hoja de apoyo v2'!$A$17:$A$20,0)),"")</f>
        <v>258.90325471200998</v>
      </c>
      <c r="U172" s="794">
        <f t="shared" si="76"/>
        <v>1.0338917115809205</v>
      </c>
      <c r="V172" s="795">
        <f t="shared" si="77"/>
        <v>0.86954528897800976</v>
      </c>
      <c r="W172" s="795">
        <f t="shared" si="78"/>
        <v>0.2686591536968988</v>
      </c>
      <c r="X172" s="843">
        <f t="shared" si="79"/>
        <v>1.1188198117113137</v>
      </c>
      <c r="Y172" s="843">
        <f t="shared" si="80"/>
        <v>1.2042561720885436</v>
      </c>
      <c r="Z172" s="843">
        <f t="shared" si="81"/>
        <v>0.32011856355358048</v>
      </c>
      <c r="AA172" s="843">
        <f t="shared" si="82"/>
        <v>0.74125304887676469</v>
      </c>
      <c r="AB172" s="796">
        <f t="shared" si="83"/>
        <v>4</v>
      </c>
      <c r="AC172" s="797">
        <f t="shared" si="84"/>
        <v>3</v>
      </c>
      <c r="AD172" s="797">
        <f t="shared" si="85"/>
        <v>1</v>
      </c>
      <c r="AE172" s="842">
        <f t="shared" si="86"/>
        <v>4</v>
      </c>
      <c r="AF172" s="842">
        <f t="shared" si="87"/>
        <v>4</v>
      </c>
      <c r="AG172" s="842">
        <f t="shared" si="88"/>
        <v>1</v>
      </c>
      <c r="AH172" s="842">
        <f t="shared" si="89"/>
        <v>2</v>
      </c>
      <c r="AI172" s="826" cm="1">
        <f t="array" ref="AI172">SUMPRODUCT(--ISNUMBER($U172:$AA172),$AB$3:$AH$3)</f>
        <v>1</v>
      </c>
      <c r="AJ172" s="829">
        <f t="shared" si="90"/>
        <v>39.617924021293227</v>
      </c>
      <c r="AK172" s="827" t="str">
        <f t="shared" si="91"/>
        <v>Inmadura</v>
      </c>
      <c r="AL172" s="784" t="str">
        <f t="shared" si="92"/>
        <v>Alta</v>
      </c>
      <c r="AM172" s="799">
        <f>IF(ISNUMBER('Base de datos Rutas'!W170),'Base de datos Rutas'!W170,"")</f>
        <v>2998.2139778064675</v>
      </c>
      <c r="AN172" s="787">
        <f>IFERROR(SUMIFS('Base de datos Rutas'!$W$6:$W$794,'Base de datos Rutas'!$C$6:$C$794,$C172)/'Base de datos Rutas'!I170,"")</f>
        <v>2998.2139778064688</v>
      </c>
      <c r="AO172" s="800">
        <f>IFERROR('Base de datos Rutas'!X170*AN172/AM172,"")</f>
        <v>0.37802554582777237</v>
      </c>
      <c r="AP172" s="800">
        <f t="shared" si="93"/>
        <v>0.62197445417222763</v>
      </c>
      <c r="AQ172" s="789">
        <f>IFERROR(INDEX('Hoja de apoyo v2'!$J$17:$J$20,MATCH($A172,'Hoja de apoyo v2'!$A$17:$A$20,0)),"")</f>
        <v>0.62197445417222763</v>
      </c>
      <c r="AR172" s="789">
        <f t="shared" si="94"/>
        <v>0</v>
      </c>
      <c r="AS172" s="784" t="str">
        <f t="shared" si="95"/>
        <v>No</v>
      </c>
      <c r="AT172" s="801">
        <f>IF(ISNUMBER('Base de datos Rutas'!CK170),'Base de datos Rutas'!CK170,"")</f>
        <v>316</v>
      </c>
      <c r="AU172" s="802">
        <f>IF(ISNUMBER('Base de datos Rutas'!CL170),'Base de datos Rutas'!CL170,"")</f>
        <v>619.12</v>
      </c>
      <c r="AV172" s="802">
        <f>IF(ISNUMBER('Base de datos Rutas'!CM170),'Base de datos Rutas'!CM170,"")</f>
        <v>303.12</v>
      </c>
      <c r="AW172" s="802">
        <f>IF(ISNUMBER('Base de datos Rutas'!CN170),'Base de datos Rutas'!CN170,"")</f>
        <v>5.29</v>
      </c>
      <c r="AX172" s="802">
        <f>IF(ISNUMBER('Base de datos Rutas'!CO170),'Base de datos Rutas'!CO170,"")</f>
        <v>9.4499999999999993</v>
      </c>
      <c r="AY172" s="802">
        <f>IF(ISNUMBER('Base de datos Rutas'!CP170),'Base de datos Rutas'!CP170,"")</f>
        <v>4.1599999999999993</v>
      </c>
      <c r="AZ172" s="802">
        <f>IF(ISNUMBER('Base de datos Rutas'!CQ170),'Base de datos Rutas'!CQ170,"")</f>
        <v>814.39</v>
      </c>
      <c r="BA172" s="802">
        <f>IF(ISNUMBER('Base de datos Rutas'!CR170),'Base de datos Rutas'!CR170,"")</f>
        <v>490.3</v>
      </c>
      <c r="BB172" s="803">
        <f>IF(ISNUMBER('Base de datos Rutas'!CS170),'Base de datos Rutas'!CS170,"")</f>
        <v>324.08999999999997</v>
      </c>
      <c r="BC172" s="804">
        <f t="shared" si="105"/>
        <v>0</v>
      </c>
      <c r="BD172" s="805" t="str">
        <f t="shared" si="106"/>
        <v>No saturada</v>
      </c>
      <c r="BE172" s="806">
        <f t="shared" si="107"/>
        <v>0.60204570291874904</v>
      </c>
      <c r="BF172" s="890">
        <f>IF(ISNUMBER('Base de datos Rutas'!CX170),'Base de datos Rutas'!CX170/100,"")</f>
        <v>0.15144359716013675</v>
      </c>
      <c r="BG172" s="891">
        <f>IF(ISNUMBER('Base de datos Rutas'!CZ170),'Base de datos Rutas'!CZ170/100,"")</f>
        <v>0.1912963449907967</v>
      </c>
      <c r="BH172" s="892">
        <f>IF(ISNUMBER('Base de datos Rutas'!DA170),'Base de datos Rutas'!DA170,"")</f>
        <v>332.25070045719372</v>
      </c>
      <c r="BI172" s="893">
        <f>IF(ISNUMBER('Base de datos Rutas'!DC170),'Base de datos Rutas'!DC170,"")</f>
        <v>17.83159188379997</v>
      </c>
      <c r="BJ172" s="805" t="str">
        <f t="shared" si="108"/>
        <v>Ruta (completo)</v>
      </c>
      <c r="BK172" s="783">
        <f t="shared" si="96"/>
        <v>1</v>
      </c>
      <c r="BL172" s="797">
        <f t="shared" si="97"/>
        <v>1</v>
      </c>
      <c r="BM172" s="797">
        <f t="shared" si="98"/>
        <v>2</v>
      </c>
      <c r="BN172" s="797">
        <f t="shared" si="99"/>
        <v>3</v>
      </c>
      <c r="BO172" s="798" cm="1">
        <f t="array" ref="BO172">SUMPRODUCT(--ISNUMBER($BF172:$BI172),$BK$3:$BN$3)</f>
        <v>1</v>
      </c>
      <c r="BP172" s="831">
        <f t="shared" si="109"/>
        <v>18.75</v>
      </c>
      <c r="BQ172" s="834" t="str">
        <f t="shared" si="110"/>
        <v>Bajo</v>
      </c>
      <c r="BR172" s="836">
        <f t="shared" si="100"/>
        <v>29.713443015969922</v>
      </c>
      <c r="BS172" s="836">
        <f t="shared" si="101"/>
        <v>18.75</v>
      </c>
      <c r="BT172" s="837" t="str">
        <f t="shared" si="102"/>
        <v>P2</v>
      </c>
      <c r="BU172" s="807" t="str">
        <f t="shared" si="111"/>
        <v>Con espacio</v>
      </c>
      <c r="BV172" s="807" t="str">
        <f t="shared" si="103"/>
        <v>Zona de bajo potencial</v>
      </c>
      <c r="BW172" s="808" t="str">
        <f t="shared" si="104"/>
        <v>P2 - Mantener</v>
      </c>
    </row>
    <row r="173" spans="1:75">
      <c r="A173" s="780" t="str">
        <f>'Base de datos Rutas'!A171</f>
        <v>Norte</v>
      </c>
      <c r="B173" s="781" t="str">
        <f>'Base de datos Rutas'!B171</f>
        <v>Guadiana</v>
      </c>
      <c r="C173" s="781" t="str">
        <f>'Base de datos Rutas'!C171</f>
        <v>Planta Guadiana</v>
      </c>
      <c r="D173" s="782">
        <f>IF(ISNUMBER('Base de datos Rutas'!D171),'Base de datos Rutas'!D171,"Sin código")</f>
        <v>931428</v>
      </c>
      <c r="E173" s="783" t="str">
        <f>'Base de datos Rutas'!F171</f>
        <v>Activa</v>
      </c>
      <c r="F173" s="784" t="str">
        <f>'Base de datos Rutas'!H171</f>
        <v>Sí</v>
      </c>
      <c r="G173" s="785">
        <f>IF(ISNUMBER('Base de datos Rutas'!BE171),'Base de datos Rutas'!BE171,"")</f>
        <v>71.293577981651396</v>
      </c>
      <c r="H173" s="786">
        <f>IF(ISNUMBER('Base de datos Rutas'!BH171),'Base de datos Rutas'!BH171,"")</f>
        <v>0.45245142195341698</v>
      </c>
      <c r="I173" s="788">
        <f>IFERROR(IF(OR(NOT(ISNUMBER('Base de datos Rutas'!O171)),N('Base de datos Rutas'!BK171)=0),"",'Base de datos Rutas'!O171/('Base de datos Rutas'!L171/'Base de datos Rutas'!BK171)),"")</f>
        <v>2037.3876146788982</v>
      </c>
      <c r="J173" s="788">
        <f>IFERROR(IF(OR(NOT(ISNUMBER('Base de datos Rutas'!N171)),N('Base de datos Rutas'!BK171)=0),"",'Base de datos Rutas'!N171/('Base de datos Rutas'!L171/'Base de datos Rutas'!BK171)),"")</f>
        <v>5672.3256880733925</v>
      </c>
      <c r="K173" s="788">
        <f>IFERROR(IF(OR(NOT(ISNUMBER('Base de datos Rutas'!J171)),N('Base de datos Rutas'!BK171)=0),"",'Base de datos Rutas'!J171/('Base de datos Rutas'!L171/'Base de datos Rutas'!BK171)),"")</f>
        <v>392.64257431192647</v>
      </c>
      <c r="L173" s="788">
        <f>IFERROR(IF(OR(NOT(ISNUMBER('Base de datos Rutas'!K171)),N('Base de datos Rutas'!BK171)=0),"",'Base de datos Rutas'!K171/('Base de datos Rutas'!L171/'Base de datos Rutas'!BK171)),"")</f>
        <v>16.860153589449535</v>
      </c>
      <c r="M173" s="787">
        <f>IF(ISNUMBER('Base de datos Rutas'!AX171),'Base de datos Rutas'!AX171,"")</f>
        <v>239.00981797497201</v>
      </c>
      <c r="N173" s="790">
        <f>IFERROR(INDEX('Hoja de apoyo v2'!B$17:B$20,MATCH($A173,'Hoja de apoyo v2'!$A$17:$A$20,0)),"")</f>
        <v>74.190366972477051</v>
      </c>
      <c r="O173" s="791">
        <f>IFERROR(INDEX('Hoja de apoyo v2'!C$17:C$20,MATCH($A173,'Hoja de apoyo v2'!$A$17:$A$20,0)),"")</f>
        <v>0.71677657005077755</v>
      </c>
      <c r="P173" s="793">
        <f>IFERROR(INDEX('Hoja de apoyo v2'!D$17:D$20,MATCH($A173,'Hoja de apoyo v2'!$A$17:$A$20,0)),"")</f>
        <v>8755.1153350385739</v>
      </c>
      <c r="Q173" s="793">
        <f>IFERROR(INDEX('Hoja de apoyo v2'!E$17:E$20,MATCH($A173,'Hoja de apoyo v2'!$A$17:$A$20,0)),"")</f>
        <v>6098.2042779326393</v>
      </c>
      <c r="R173" s="793">
        <f>IFERROR(INDEX('Hoja de apoyo v2'!F$17:F$20,MATCH($A173,'Hoja de apoyo v2'!$A$17:$A$20,0)),"")</f>
        <v>389.08889713610301</v>
      </c>
      <c r="S173" s="793">
        <f>IFERROR(INDEX('Hoja de apoyo v2'!G$17:G$20,MATCH($A173,'Hoja de apoyo v2'!$A$17:$A$20,0)),"")</f>
        <v>67.90575167807188</v>
      </c>
      <c r="T173" s="792">
        <f>IFERROR(INDEX('Hoja de apoyo v2'!H$17:H$20,MATCH($A173,'Hoja de apoyo v2'!$A$17:$A$20,0)),"")</f>
        <v>258.90325471200998</v>
      </c>
      <c r="U173" s="794">
        <f t="shared" si="76"/>
        <v>0.9609546480353669</v>
      </c>
      <c r="V173" s="795">
        <f t="shared" si="77"/>
        <v>0.63123076403203948</v>
      </c>
      <c r="W173" s="795">
        <f t="shared" si="78"/>
        <v>0.23270825531276931</v>
      </c>
      <c r="X173" s="843">
        <f t="shared" si="79"/>
        <v>0.93016327914754204</v>
      </c>
      <c r="Y173" s="843">
        <f t="shared" si="80"/>
        <v>1.0091333296888716</v>
      </c>
      <c r="Z173" s="843">
        <f t="shared" si="81"/>
        <v>0.24828756287656284</v>
      </c>
      <c r="AA173" s="843">
        <f t="shared" si="82"/>
        <v>0.92316266259701385</v>
      </c>
      <c r="AB173" s="796">
        <f t="shared" si="83"/>
        <v>3</v>
      </c>
      <c r="AC173" s="797">
        <f t="shared" si="84"/>
        <v>2</v>
      </c>
      <c r="AD173" s="797">
        <f t="shared" si="85"/>
        <v>1</v>
      </c>
      <c r="AE173" s="842">
        <f t="shared" si="86"/>
        <v>3</v>
      </c>
      <c r="AF173" s="842">
        <f t="shared" si="87"/>
        <v>4</v>
      </c>
      <c r="AG173" s="842">
        <f t="shared" si="88"/>
        <v>1</v>
      </c>
      <c r="AH173" s="842">
        <f t="shared" si="89"/>
        <v>3</v>
      </c>
      <c r="AI173" s="826" cm="1">
        <f t="array" ref="AI173">SUMPRODUCT(--ISNUMBER($U173:$AA173),$AB$3:$AH$3)</f>
        <v>1</v>
      </c>
      <c r="AJ173" s="829">
        <f t="shared" si="90"/>
        <v>31.536662451373875</v>
      </c>
      <c r="AK173" s="827" t="str">
        <f t="shared" si="91"/>
        <v>Inmadura</v>
      </c>
      <c r="AL173" s="784" t="str">
        <f t="shared" si="92"/>
        <v>Alta</v>
      </c>
      <c r="AM173" s="799">
        <f>IF(ISNUMBER('Base de datos Rutas'!W171),'Base de datos Rutas'!W171,"")</f>
        <v>2998.2139778064675</v>
      </c>
      <c r="AN173" s="787">
        <f>IFERROR(SUMIFS('Base de datos Rutas'!$W$6:$W$794,'Base de datos Rutas'!$C$6:$C$794,$C173)/'Base de datos Rutas'!I171,"")</f>
        <v>2998.2139778064688</v>
      </c>
      <c r="AO173" s="800">
        <f>IFERROR('Base de datos Rutas'!X171*AN173/AM173,"")</f>
        <v>0.37802554582777237</v>
      </c>
      <c r="AP173" s="800">
        <f t="shared" si="93"/>
        <v>0.62197445417222763</v>
      </c>
      <c r="AQ173" s="789">
        <f>IFERROR(INDEX('Hoja de apoyo v2'!$J$17:$J$20,MATCH($A173,'Hoja de apoyo v2'!$A$17:$A$20,0)),"")</f>
        <v>0.62197445417222763</v>
      </c>
      <c r="AR173" s="789">
        <f t="shared" si="94"/>
        <v>0</v>
      </c>
      <c r="AS173" s="784" t="str">
        <f t="shared" si="95"/>
        <v>No</v>
      </c>
      <c r="AT173" s="801">
        <f>IF(ISNUMBER('Base de datos Rutas'!CK171),'Base de datos Rutas'!CK171,"")</f>
        <v>346</v>
      </c>
      <c r="AU173" s="802">
        <f>IF(ISNUMBER('Base de datos Rutas'!CL171),'Base de datos Rutas'!CL171,"")</f>
        <v>532.77</v>
      </c>
      <c r="AV173" s="802">
        <f>IF(ISNUMBER('Base de datos Rutas'!CM171),'Base de datos Rutas'!CM171,"")</f>
        <v>186.76999999999998</v>
      </c>
      <c r="AW173" s="802">
        <f>IF(ISNUMBER('Base de datos Rutas'!CN171),'Base de datos Rutas'!CN171,"")</f>
        <v>9.23</v>
      </c>
      <c r="AX173" s="802">
        <f>IF(ISNUMBER('Base de datos Rutas'!CO171),'Base de datos Rutas'!CO171,"")</f>
        <v>9.4499999999999993</v>
      </c>
      <c r="AY173" s="802">
        <f>IF(ISNUMBER('Base de datos Rutas'!CP171),'Base de datos Rutas'!CP171,"")</f>
        <v>0.21999999999999886</v>
      </c>
      <c r="AZ173" s="802">
        <f>IF(ISNUMBER('Base de datos Rutas'!CQ171),'Base de datos Rutas'!CQ171,"")</f>
        <v>814.39</v>
      </c>
      <c r="BA173" s="802">
        <f>IF(ISNUMBER('Base de datos Rutas'!CR171),'Base de datos Rutas'!CR171,"")</f>
        <v>409.5</v>
      </c>
      <c r="BB173" s="803">
        <f>IF(ISNUMBER('Base de datos Rutas'!CS171),'Base de datos Rutas'!CS171,"")</f>
        <v>404.89</v>
      </c>
      <c r="BC173" s="804">
        <f t="shared" si="105"/>
        <v>0</v>
      </c>
      <c r="BD173" s="805" t="str">
        <f t="shared" si="106"/>
        <v>No saturada</v>
      </c>
      <c r="BE173" s="806">
        <f t="shared" si="107"/>
        <v>0.50283033927233878</v>
      </c>
      <c r="BF173" s="890">
        <f>IF(ISNUMBER('Base de datos Rutas'!CX171),'Base de datos Rutas'!CX171/100,"")</f>
        <v>0.28628677773839062</v>
      </c>
      <c r="BG173" s="891">
        <f>IF(ISNUMBER('Base de datos Rutas'!CZ171),'Base de datos Rutas'!CZ171/100,"")</f>
        <v>0.31939028713222262</v>
      </c>
      <c r="BH173" s="892">
        <f>IF(ISNUMBER('Base de datos Rutas'!DA171),'Base de datos Rutas'!DA171,"")</f>
        <v>274.57317753145173</v>
      </c>
      <c r="BI173" s="893">
        <f>IF(ISNUMBER('Base de datos Rutas'!DC171),'Base de datos Rutas'!DC171,"")</f>
        <v>13.49320354036958</v>
      </c>
      <c r="BJ173" s="805" t="str">
        <f t="shared" si="108"/>
        <v>Ruta (completo)</v>
      </c>
      <c r="BK173" s="783">
        <f t="shared" si="96"/>
        <v>2</v>
      </c>
      <c r="BL173" s="797">
        <f t="shared" si="97"/>
        <v>2</v>
      </c>
      <c r="BM173" s="797">
        <f t="shared" si="98"/>
        <v>2</v>
      </c>
      <c r="BN173" s="797">
        <f t="shared" si="99"/>
        <v>2</v>
      </c>
      <c r="BO173" s="798" cm="1">
        <f t="array" ref="BO173">SUMPRODUCT(--ISNUMBER($BF173:$BI173),$BK$3:$BN$3)</f>
        <v>1</v>
      </c>
      <c r="BP173" s="831">
        <f t="shared" si="109"/>
        <v>25</v>
      </c>
      <c r="BQ173" s="834" t="str">
        <f t="shared" si="110"/>
        <v>Medio</v>
      </c>
      <c r="BR173" s="836">
        <f t="shared" si="100"/>
        <v>23.652496838530407</v>
      </c>
      <c r="BS173" s="836">
        <f t="shared" si="101"/>
        <v>25</v>
      </c>
      <c r="BT173" s="837" t="str">
        <f t="shared" si="102"/>
        <v>P4</v>
      </c>
      <c r="BU173" s="807" t="str">
        <f t="shared" si="111"/>
        <v>Con espacio</v>
      </c>
      <c r="BV173" s="807" t="str">
        <f t="shared" si="103"/>
        <v>Zona de bajo potencial</v>
      </c>
      <c r="BW173" s="808" t="str">
        <f t="shared" si="104"/>
        <v>P4 - Evaluar</v>
      </c>
    </row>
    <row r="174" spans="1:75">
      <c r="A174" s="780" t="str">
        <f>'Base de datos Rutas'!A172</f>
        <v>Norte</v>
      </c>
      <c r="B174" s="781" t="str">
        <f>'Base de datos Rutas'!B172</f>
        <v>Guadiana</v>
      </c>
      <c r="C174" s="781" t="str">
        <f>'Base de datos Rutas'!C172</f>
        <v>Planta Guadiana</v>
      </c>
      <c r="D174" s="782">
        <f>IF(ISNUMBER('Base de datos Rutas'!D172),'Base de datos Rutas'!D172,"Sin código")</f>
        <v>931429</v>
      </c>
      <c r="E174" s="783" t="str">
        <f>'Base de datos Rutas'!F172</f>
        <v>Activa</v>
      </c>
      <c r="F174" s="784" t="str">
        <f>'Base de datos Rutas'!H172</f>
        <v>Sí</v>
      </c>
      <c r="G174" s="785">
        <f>IF(ISNUMBER('Base de datos Rutas'!BE172),'Base de datos Rutas'!BE172,"")</f>
        <v>74.4908256880734</v>
      </c>
      <c r="H174" s="786">
        <f>IF(ISNUMBER('Base de datos Rutas'!BH172),'Base de datos Rutas'!BH172,"")</f>
        <v>0.64240408892173195</v>
      </c>
      <c r="I174" s="788">
        <f>IFERROR(IF(OR(NOT(ISNUMBER('Base de datos Rutas'!O172)),N('Base de datos Rutas'!BK172)=0),"",'Base de datos Rutas'!O172/('Base de datos Rutas'!L172/'Base de datos Rutas'!BK172)),"")</f>
        <v>3749.8440366972409</v>
      </c>
      <c r="J174" s="788">
        <f>IFERROR(IF(OR(NOT(ISNUMBER('Base de datos Rutas'!N172)),N('Base de datos Rutas'!BK172)=0),"",'Base de datos Rutas'!N172/('Base de datos Rutas'!L172/'Base de datos Rutas'!BK172)),"")</f>
        <v>8043.56192660549</v>
      </c>
      <c r="K174" s="788">
        <f>IFERROR(IF(OR(NOT(ISNUMBER('Base de datos Rutas'!J172)),N('Base de datos Rutas'!BK172)=0),"",'Base de datos Rutas'!J172/('Base de datos Rutas'!L172/'Base de datos Rutas'!BK172)),"")</f>
        <v>569.16651926605402</v>
      </c>
      <c r="L174" s="788">
        <f>IFERROR(IF(OR(NOT(ISNUMBER('Base de datos Rutas'!K172)),N('Base de datos Rutas'!BK172)=0),"",'Base de datos Rutas'!K172/('Base de datos Rutas'!L172/'Base de datos Rutas'!BK172)),"")</f>
        <v>31.63199316284398</v>
      </c>
      <c r="M174" s="787">
        <f>IF(ISNUMBER('Base de datos Rutas'!AX172),'Base de datos Rutas'!AX172,"")</f>
        <v>246.44946702454001</v>
      </c>
      <c r="N174" s="790">
        <f>IFERROR(INDEX('Hoja de apoyo v2'!B$17:B$20,MATCH($A174,'Hoja de apoyo v2'!$A$17:$A$20,0)),"")</f>
        <v>74.190366972477051</v>
      </c>
      <c r="O174" s="791">
        <f>IFERROR(INDEX('Hoja de apoyo v2'!C$17:C$20,MATCH($A174,'Hoja de apoyo v2'!$A$17:$A$20,0)),"")</f>
        <v>0.71677657005077755</v>
      </c>
      <c r="P174" s="793">
        <f>IFERROR(INDEX('Hoja de apoyo v2'!D$17:D$20,MATCH($A174,'Hoja de apoyo v2'!$A$17:$A$20,0)),"")</f>
        <v>8755.1153350385739</v>
      </c>
      <c r="Q174" s="793">
        <f>IFERROR(INDEX('Hoja de apoyo v2'!E$17:E$20,MATCH($A174,'Hoja de apoyo v2'!$A$17:$A$20,0)),"")</f>
        <v>6098.2042779326393</v>
      </c>
      <c r="R174" s="793">
        <f>IFERROR(INDEX('Hoja de apoyo v2'!F$17:F$20,MATCH($A174,'Hoja de apoyo v2'!$A$17:$A$20,0)),"")</f>
        <v>389.08889713610301</v>
      </c>
      <c r="S174" s="793">
        <f>IFERROR(INDEX('Hoja de apoyo v2'!G$17:G$20,MATCH($A174,'Hoja de apoyo v2'!$A$17:$A$20,0)),"")</f>
        <v>67.90575167807188</v>
      </c>
      <c r="T174" s="792">
        <f>IFERROR(INDEX('Hoja de apoyo v2'!H$17:H$20,MATCH($A174,'Hoja de apoyo v2'!$A$17:$A$20,0)),"")</f>
        <v>258.90325471200998</v>
      </c>
      <c r="U174" s="794">
        <f t="shared" si="76"/>
        <v>1.0040498346059916</v>
      </c>
      <c r="V174" s="795">
        <f t="shared" si="77"/>
        <v>0.89624035684679682</v>
      </c>
      <c r="W174" s="795">
        <f t="shared" si="78"/>
        <v>0.42830321397253412</v>
      </c>
      <c r="X174" s="843">
        <f t="shared" si="79"/>
        <v>1.3190049988506369</v>
      </c>
      <c r="Y174" s="843">
        <f t="shared" si="80"/>
        <v>1.4628187117530624</v>
      </c>
      <c r="Z174" s="843">
        <f t="shared" si="81"/>
        <v>0.46582200154127124</v>
      </c>
      <c r="AA174" s="843">
        <f t="shared" si="82"/>
        <v>0.95189790989177447</v>
      </c>
      <c r="AB174" s="796">
        <f t="shared" si="83"/>
        <v>4</v>
      </c>
      <c r="AC174" s="797">
        <f t="shared" si="84"/>
        <v>3</v>
      </c>
      <c r="AD174" s="797">
        <f t="shared" si="85"/>
        <v>1</v>
      </c>
      <c r="AE174" s="842">
        <f t="shared" si="86"/>
        <v>5</v>
      </c>
      <c r="AF174" s="842">
        <f t="shared" si="87"/>
        <v>5</v>
      </c>
      <c r="AG174" s="842">
        <f t="shared" si="88"/>
        <v>1</v>
      </c>
      <c r="AH174" s="842">
        <f t="shared" si="89"/>
        <v>3</v>
      </c>
      <c r="AI174" s="826" cm="1">
        <f t="array" ref="AI174">SUMPRODUCT(--ISNUMBER($U174:$AA174),$AB$3:$AH$3)</f>
        <v>1</v>
      </c>
      <c r="AJ174" s="829">
        <f t="shared" si="90"/>
        <v>48.198144019878278</v>
      </c>
      <c r="AK174" s="827" t="str">
        <f t="shared" si="91"/>
        <v>En desarrollo</v>
      </c>
      <c r="AL174" s="784" t="str">
        <f t="shared" si="92"/>
        <v>Alta</v>
      </c>
      <c r="AM174" s="799">
        <f>IF(ISNUMBER('Base de datos Rutas'!W172),'Base de datos Rutas'!W172,"")</f>
        <v>2998.2139778064675</v>
      </c>
      <c r="AN174" s="787">
        <f>IFERROR(SUMIFS('Base de datos Rutas'!$W$6:$W$794,'Base de datos Rutas'!$C$6:$C$794,$C174)/'Base de datos Rutas'!I172,"")</f>
        <v>2998.2139778064688</v>
      </c>
      <c r="AO174" s="800">
        <f>IFERROR('Base de datos Rutas'!X172*AN174/AM174,"")</f>
        <v>0.37802554582777237</v>
      </c>
      <c r="AP174" s="800">
        <f t="shared" si="93"/>
        <v>0.62197445417222763</v>
      </c>
      <c r="AQ174" s="789">
        <f>IFERROR(INDEX('Hoja de apoyo v2'!$J$17:$J$20,MATCH($A174,'Hoja de apoyo v2'!$A$17:$A$20,0)),"")</f>
        <v>0.62197445417222763</v>
      </c>
      <c r="AR174" s="789">
        <f t="shared" si="94"/>
        <v>0</v>
      </c>
      <c r="AS174" s="784" t="str">
        <f t="shared" si="95"/>
        <v>No</v>
      </c>
      <c r="AT174" s="801">
        <f>IF(ISNUMBER('Base de datos Rutas'!CK172),'Base de datos Rutas'!CK172,"")</f>
        <v>395</v>
      </c>
      <c r="AU174" s="802">
        <f>IF(ISNUMBER('Base de datos Rutas'!CL172),'Base de datos Rutas'!CL172,"")</f>
        <v>432.17</v>
      </c>
      <c r="AV174" s="802">
        <f>IF(ISNUMBER('Base de datos Rutas'!CM172),'Base de datos Rutas'!CM172,"")</f>
        <v>37.170000000000016</v>
      </c>
      <c r="AW174" s="802">
        <f>IF(ISNUMBER('Base de datos Rutas'!CN172),'Base de datos Rutas'!CN172,"")</f>
        <v>7.45</v>
      </c>
      <c r="AX174" s="802">
        <f>IF(ISNUMBER('Base de datos Rutas'!CO172),'Base de datos Rutas'!CO172,"")</f>
        <v>9.4499999999999993</v>
      </c>
      <c r="AY174" s="802">
        <f>IF(ISNUMBER('Base de datos Rutas'!CP172),'Base de datos Rutas'!CP172,"")</f>
        <v>1.9999999999999991</v>
      </c>
      <c r="AZ174" s="802">
        <f>IF(ISNUMBER('Base de datos Rutas'!CQ172),'Base de datos Rutas'!CQ172,"")</f>
        <v>814.39</v>
      </c>
      <c r="BA174" s="802">
        <f>IF(ISNUMBER('Base de datos Rutas'!CR172),'Base de datos Rutas'!CR172,"")</f>
        <v>600.79999999999995</v>
      </c>
      <c r="BB174" s="803">
        <f>IF(ISNUMBER('Base de datos Rutas'!CS172),'Base de datos Rutas'!CS172,"")</f>
        <v>213.59000000000003</v>
      </c>
      <c r="BC174" s="804">
        <f t="shared" si="105"/>
        <v>0</v>
      </c>
      <c r="BD174" s="805" t="str">
        <f t="shared" si="106"/>
        <v>No saturada</v>
      </c>
      <c r="BE174" s="806">
        <f t="shared" si="107"/>
        <v>0.73773008018271335</v>
      </c>
      <c r="BF174" s="890">
        <f>IF(ISNUMBER('Base de datos Rutas'!CX172),'Base de datos Rutas'!CX172/100,"")</f>
        <v>6.2207559465623979E-2</v>
      </c>
      <c r="BG174" s="891">
        <f>IF(ISNUMBER('Base de datos Rutas'!CZ172),'Base de datos Rutas'!CZ172/100,"")</f>
        <v>6.8263277940697295E-2</v>
      </c>
      <c r="BH174" s="892">
        <f>IF(ISNUMBER('Base de datos Rutas'!DA172),'Base de datos Rutas'!DA172,"")</f>
        <v>101.53282257816383</v>
      </c>
      <c r="BI174" s="893">
        <f>IF(ISNUMBER('Base de datos Rutas'!DC172),'Base de datos Rutas'!DC172,"")</f>
        <v>4.290566899372811</v>
      </c>
      <c r="BJ174" s="805" t="str">
        <f t="shared" si="108"/>
        <v>Ruta (completo)</v>
      </c>
      <c r="BK174" s="783">
        <f t="shared" si="96"/>
        <v>1</v>
      </c>
      <c r="BL174" s="797">
        <f t="shared" si="97"/>
        <v>1</v>
      </c>
      <c r="BM174" s="797">
        <f t="shared" si="98"/>
        <v>1</v>
      </c>
      <c r="BN174" s="797">
        <f t="shared" si="99"/>
        <v>1</v>
      </c>
      <c r="BO174" s="798" cm="1">
        <f t="array" ref="BO174">SUMPRODUCT(--ISNUMBER($BF174:$BI174),$BK$3:$BN$3)</f>
        <v>1</v>
      </c>
      <c r="BP174" s="831">
        <f t="shared" si="109"/>
        <v>0</v>
      </c>
      <c r="BQ174" s="834" t="str">
        <f t="shared" si="110"/>
        <v>Bajo</v>
      </c>
      <c r="BR174" s="836">
        <f t="shared" si="100"/>
        <v>36.14860801490871</v>
      </c>
      <c r="BS174" s="836">
        <f t="shared" si="101"/>
        <v>0</v>
      </c>
      <c r="BT174" s="837" t="str">
        <f t="shared" si="102"/>
        <v>P2</v>
      </c>
      <c r="BU174" s="807" t="str">
        <f t="shared" si="111"/>
        <v>Con espacio</v>
      </c>
      <c r="BV174" s="807" t="str">
        <f t="shared" si="103"/>
        <v>Zona de bajo potencial</v>
      </c>
      <c r="BW174" s="808" t="str">
        <f t="shared" si="104"/>
        <v>P2 - Mantener</v>
      </c>
    </row>
    <row r="175" spans="1:75">
      <c r="A175" s="780" t="str">
        <f>'Base de datos Rutas'!A173</f>
        <v>Norte</v>
      </c>
      <c r="B175" s="781" t="str">
        <f>'Base de datos Rutas'!B173</f>
        <v>Guadiana</v>
      </c>
      <c r="C175" s="781" t="str">
        <f>'Base de datos Rutas'!C173</f>
        <v>Planta Guadiana</v>
      </c>
      <c r="D175" s="782">
        <f>IF(ISNUMBER('Base de datos Rutas'!D173),'Base de datos Rutas'!D173,"Sin código")</f>
        <v>931430</v>
      </c>
      <c r="E175" s="783" t="str">
        <f>'Base de datos Rutas'!F173</f>
        <v>Activa</v>
      </c>
      <c r="F175" s="784" t="str">
        <f>'Base de datos Rutas'!H173</f>
        <v>Sí</v>
      </c>
      <c r="G175" s="785">
        <f>IF(ISNUMBER('Base de datos Rutas'!BE173),'Base de datos Rutas'!BE173,"")</f>
        <v>78.385321100917395</v>
      </c>
      <c r="H175" s="786">
        <f>IF(ISNUMBER('Base de datos Rutas'!BH173),'Base de datos Rutas'!BH173,"")</f>
        <v>0.723314606741573</v>
      </c>
      <c r="I175" s="788">
        <f>IFERROR(IF(OR(NOT(ISNUMBER('Base de datos Rutas'!O173)),N('Base de datos Rutas'!BK173)=0),"",'Base de datos Rutas'!O173/('Base de datos Rutas'!L173/'Base de datos Rutas'!BK173)),"")</f>
        <v>4185.6422018348676</v>
      </c>
      <c r="J175" s="788">
        <f>IFERROR(IF(OR(NOT(ISNUMBER('Base de datos Rutas'!N173)),N('Base de datos Rutas'!BK173)=0),"",'Base de datos Rutas'!N173/('Base de datos Rutas'!L173/'Base de datos Rutas'!BK173)),"")</f>
        <v>8070.6811926605606</v>
      </c>
      <c r="K175" s="788">
        <f>IFERROR(IF(OR(NOT(ISNUMBER('Base de datos Rutas'!J173)),N('Base de datos Rutas'!BK173)=0),"",'Base de datos Rutas'!J173/('Base de datos Rutas'!L173/'Base de datos Rutas'!BK173)),"")</f>
        <v>545.81042201834703</v>
      </c>
      <c r="L175" s="788">
        <f>IFERROR(IF(OR(NOT(ISNUMBER('Base de datos Rutas'!K173)),N('Base de datos Rutas'!BK173)=0),"",'Base de datos Rutas'!K173/('Base de datos Rutas'!L173/'Base de datos Rutas'!BK173)),"")</f>
        <v>27.990245908256917</v>
      </c>
      <c r="M175" s="787">
        <f>IF(ISNUMBER('Base de datos Rutas'!AX173),'Base de datos Rutas'!AX173,"")</f>
        <v>216.17132969255701</v>
      </c>
      <c r="N175" s="790">
        <f>IFERROR(INDEX('Hoja de apoyo v2'!B$17:B$20,MATCH($A175,'Hoja de apoyo v2'!$A$17:$A$20,0)),"")</f>
        <v>74.190366972477051</v>
      </c>
      <c r="O175" s="791">
        <f>IFERROR(INDEX('Hoja de apoyo v2'!C$17:C$20,MATCH($A175,'Hoja de apoyo v2'!$A$17:$A$20,0)),"")</f>
        <v>0.71677657005077755</v>
      </c>
      <c r="P175" s="793">
        <f>IFERROR(INDEX('Hoja de apoyo v2'!D$17:D$20,MATCH($A175,'Hoja de apoyo v2'!$A$17:$A$20,0)),"")</f>
        <v>8755.1153350385739</v>
      </c>
      <c r="Q175" s="793">
        <f>IFERROR(INDEX('Hoja de apoyo v2'!E$17:E$20,MATCH($A175,'Hoja de apoyo v2'!$A$17:$A$20,0)),"")</f>
        <v>6098.2042779326393</v>
      </c>
      <c r="R175" s="793">
        <f>IFERROR(INDEX('Hoja de apoyo v2'!F$17:F$20,MATCH($A175,'Hoja de apoyo v2'!$A$17:$A$20,0)),"")</f>
        <v>389.08889713610301</v>
      </c>
      <c r="S175" s="793">
        <f>IFERROR(INDEX('Hoja de apoyo v2'!G$17:G$20,MATCH($A175,'Hoja de apoyo v2'!$A$17:$A$20,0)),"")</f>
        <v>67.90575167807188</v>
      </c>
      <c r="T175" s="792">
        <f>IFERROR(INDEX('Hoja de apoyo v2'!H$17:H$20,MATCH($A175,'Hoja de apoyo v2'!$A$17:$A$20,0)),"")</f>
        <v>258.90325471200998</v>
      </c>
      <c r="U175" s="794">
        <f t="shared" si="76"/>
        <v>1.0565431106439542</v>
      </c>
      <c r="V175" s="795">
        <f t="shared" si="77"/>
        <v>1.0091214430883704</v>
      </c>
      <c r="W175" s="795">
        <f t="shared" si="78"/>
        <v>0.4780796187896737</v>
      </c>
      <c r="X175" s="843">
        <f t="shared" si="79"/>
        <v>1.3234520893085946</v>
      </c>
      <c r="Y175" s="843">
        <f t="shared" si="80"/>
        <v>1.4027910486158719</v>
      </c>
      <c r="Z175" s="843">
        <f t="shared" si="81"/>
        <v>0.4121925642021208</v>
      </c>
      <c r="AA175" s="843">
        <f t="shared" si="82"/>
        <v>0.83495022081902504</v>
      </c>
      <c r="AB175" s="796">
        <f t="shared" si="83"/>
        <v>4</v>
      </c>
      <c r="AC175" s="797">
        <f t="shared" si="84"/>
        <v>4</v>
      </c>
      <c r="AD175" s="797">
        <f t="shared" si="85"/>
        <v>1</v>
      </c>
      <c r="AE175" s="842">
        <f t="shared" si="86"/>
        <v>5</v>
      </c>
      <c r="AF175" s="842">
        <f t="shared" si="87"/>
        <v>5</v>
      </c>
      <c r="AG175" s="842">
        <f t="shared" si="88"/>
        <v>1</v>
      </c>
      <c r="AH175" s="842">
        <f t="shared" si="89"/>
        <v>3</v>
      </c>
      <c r="AI175" s="826" cm="1">
        <f t="array" ref="AI175">SUMPRODUCT(--ISNUMBER($U175:$AA175),$AB$3:$AH$3)</f>
        <v>1</v>
      </c>
      <c r="AJ175" s="829">
        <f t="shared" si="90"/>
        <v>50.581049605768754</v>
      </c>
      <c r="AK175" s="827" t="str">
        <f t="shared" si="91"/>
        <v>En desarrollo</v>
      </c>
      <c r="AL175" s="784" t="str">
        <f t="shared" si="92"/>
        <v>Alta</v>
      </c>
      <c r="AM175" s="799">
        <f>IF(ISNUMBER('Base de datos Rutas'!W173),'Base de datos Rutas'!W173,"")</f>
        <v>2998.2139778064675</v>
      </c>
      <c r="AN175" s="787">
        <f>IFERROR(SUMIFS('Base de datos Rutas'!$W$6:$W$794,'Base de datos Rutas'!$C$6:$C$794,$C175)/'Base de datos Rutas'!I173,"")</f>
        <v>2998.2139778064688</v>
      </c>
      <c r="AO175" s="800">
        <f>IFERROR('Base de datos Rutas'!X173*AN175/AM175,"")</f>
        <v>0.37802554582777237</v>
      </c>
      <c r="AP175" s="800">
        <f t="shared" si="93"/>
        <v>0.62197445417222763</v>
      </c>
      <c r="AQ175" s="789">
        <f>IFERROR(INDEX('Hoja de apoyo v2'!$J$17:$J$20,MATCH($A175,'Hoja de apoyo v2'!$A$17:$A$20,0)),"")</f>
        <v>0.62197445417222763</v>
      </c>
      <c r="AR175" s="789">
        <f t="shared" si="94"/>
        <v>0</v>
      </c>
      <c r="AS175" s="784" t="str">
        <f t="shared" si="95"/>
        <v>No</v>
      </c>
      <c r="AT175" s="801">
        <f>IF(ISNUMBER('Base de datos Rutas'!CK173),'Base de datos Rutas'!CK173,"")</f>
        <v>479</v>
      </c>
      <c r="AU175" s="802">
        <f>IF(ISNUMBER('Base de datos Rutas'!CL173),'Base de datos Rutas'!CL173,"")</f>
        <v>862</v>
      </c>
      <c r="AV175" s="802">
        <f>IF(ISNUMBER('Base de datos Rutas'!CM173),'Base de datos Rutas'!CM173,"")</f>
        <v>383</v>
      </c>
      <c r="AW175" s="802">
        <f>IF(ISNUMBER('Base de datos Rutas'!CN173),'Base de datos Rutas'!CN173,"")</f>
        <v>7.81</v>
      </c>
      <c r="AX175" s="802">
        <f>IF(ISNUMBER('Base de datos Rutas'!CO173),'Base de datos Rutas'!CO173,"")</f>
        <v>9.4499999999999993</v>
      </c>
      <c r="AY175" s="802">
        <f>IF(ISNUMBER('Base de datos Rutas'!CP173),'Base de datos Rutas'!CP173,"")</f>
        <v>1.6399999999999997</v>
      </c>
      <c r="AZ175" s="802">
        <f>IF(ISNUMBER('Base de datos Rutas'!CQ173),'Base de datos Rutas'!CQ173,"")</f>
        <v>814.39</v>
      </c>
      <c r="BA175" s="802">
        <f>IF(ISNUMBER('Base de datos Rutas'!CR173),'Base de datos Rutas'!CR173,"")</f>
        <v>573.79999999999995</v>
      </c>
      <c r="BB175" s="803">
        <f>IF(ISNUMBER('Base de datos Rutas'!CS173),'Base de datos Rutas'!CS173,"")</f>
        <v>240.59000000000003</v>
      </c>
      <c r="BC175" s="804">
        <f t="shared" si="105"/>
        <v>0</v>
      </c>
      <c r="BD175" s="805" t="str">
        <f t="shared" si="106"/>
        <v>No saturada</v>
      </c>
      <c r="BE175" s="806">
        <f t="shared" si="107"/>
        <v>0.70457643143948223</v>
      </c>
      <c r="BF175" s="890">
        <f>IF(ISNUMBER('Base de datos Rutas'!CX173),'Base de datos Rutas'!CX173/100,"")</f>
        <v>0.86222838650023126</v>
      </c>
      <c r="BG175" s="891">
        <f>IF(ISNUMBER('Base de datos Rutas'!CZ173),'Base de datos Rutas'!CZ173/100,"")</f>
        <v>0.95076282940360612</v>
      </c>
      <c r="BH175" s="892">
        <f>IF(ISNUMBER('Base de datos Rutas'!DA173),'Base de datos Rutas'!DA173,"")</f>
        <v>912.80280526651097</v>
      </c>
      <c r="BI175" s="893">
        <f>IF(ISNUMBER('Base de datos Rutas'!DC173),'Base de datos Rutas'!DC173,"")</f>
        <v>42.473881928222553</v>
      </c>
      <c r="BJ175" s="805" t="str">
        <f t="shared" si="108"/>
        <v>Ruta (completo)</v>
      </c>
      <c r="BK175" s="783">
        <f t="shared" si="96"/>
        <v>5</v>
      </c>
      <c r="BL175" s="797">
        <f t="shared" si="97"/>
        <v>5</v>
      </c>
      <c r="BM175" s="797">
        <f t="shared" si="98"/>
        <v>4</v>
      </c>
      <c r="BN175" s="797">
        <f t="shared" si="99"/>
        <v>4</v>
      </c>
      <c r="BO175" s="798" cm="1">
        <f t="array" ref="BO175">SUMPRODUCT(--ISNUMBER($BF175:$BI175),$BK$3:$BN$3)</f>
        <v>1</v>
      </c>
      <c r="BP175" s="831">
        <f t="shared" si="109"/>
        <v>87.5</v>
      </c>
      <c r="BQ175" s="834" t="str">
        <f t="shared" si="110"/>
        <v>Alto</v>
      </c>
      <c r="BR175" s="836">
        <f t="shared" si="100"/>
        <v>37.935787204326566</v>
      </c>
      <c r="BS175" s="836">
        <f t="shared" si="101"/>
        <v>87.5</v>
      </c>
      <c r="BT175" s="837" t="str">
        <f t="shared" si="102"/>
        <v>P1</v>
      </c>
      <c r="BU175" s="807" t="str">
        <f t="shared" si="111"/>
        <v>Con espacio</v>
      </c>
      <c r="BV175" s="807" t="str">
        <f t="shared" si="103"/>
        <v>Zona atractiva</v>
      </c>
      <c r="BW175" s="808" t="str">
        <f t="shared" si="104"/>
        <v>P1 - Ampliar cobertura</v>
      </c>
    </row>
    <row r="176" spans="1:75">
      <c r="A176" s="780" t="str">
        <f>'Base de datos Rutas'!A174</f>
        <v>Norte</v>
      </c>
      <c r="B176" s="781" t="str">
        <f>'Base de datos Rutas'!B174</f>
        <v>Guadiana</v>
      </c>
      <c r="C176" s="781" t="str">
        <f>'Base de datos Rutas'!C174</f>
        <v>Planta Guadiana</v>
      </c>
      <c r="D176" s="782">
        <f>IF(ISNUMBER('Base de datos Rutas'!D174),'Base de datos Rutas'!D174,"Sin código")</f>
        <v>931431</v>
      </c>
      <c r="E176" s="783" t="str">
        <f>'Base de datos Rutas'!F174</f>
        <v>Activa</v>
      </c>
      <c r="F176" s="784" t="str">
        <f>'Base de datos Rutas'!H174</f>
        <v>Sí</v>
      </c>
      <c r="G176" s="785">
        <f>IF(ISNUMBER('Base de datos Rutas'!BE174),'Base de datos Rutas'!BE174,"")</f>
        <v>75.178899082568805</v>
      </c>
      <c r="H176" s="786">
        <f>IF(ISNUMBER('Base de datos Rutas'!BH174),'Base de datos Rutas'!BH174,"")</f>
        <v>0.89004820306303001</v>
      </c>
      <c r="I176" s="788">
        <f>IFERROR(IF(OR(NOT(ISNUMBER('Base de datos Rutas'!O174)),N('Base de datos Rutas'!BK174)=0),"",'Base de datos Rutas'!O174/('Base de datos Rutas'!L174/'Base de datos Rutas'!BK174)),"")</f>
        <v>3654.4403669724857</v>
      </c>
      <c r="J176" s="788">
        <f>IFERROR(IF(OR(NOT(ISNUMBER('Base de datos Rutas'!N174)),N('Base de datos Rutas'!BK174)=0),"",'Base de datos Rutas'!N174/('Base de datos Rutas'!L174/'Base de datos Rutas'!BK174)),"")</f>
        <v>8017.8577981651561</v>
      </c>
      <c r="K176" s="788">
        <f>IFERROR(IF(OR(NOT(ISNUMBER('Base de datos Rutas'!J174)),N('Base de datos Rutas'!BK174)=0),"",'Base de datos Rutas'!J174/('Base de datos Rutas'!L174/'Base de datos Rutas'!BK174)),"")</f>
        <v>548.21793394495307</v>
      </c>
      <c r="L176" s="788">
        <f>IFERROR(IF(OR(NOT(ISNUMBER('Base de datos Rutas'!K174)),N('Base de datos Rutas'!BK174)=0),"",'Base de datos Rutas'!K174/('Base de datos Rutas'!L174/'Base de datos Rutas'!BK174)),"")</f>
        <v>29.006138963302821</v>
      </c>
      <c r="M176" s="787">
        <f>IF(ISNUMBER('Base de datos Rutas'!AX174),'Base de datos Rutas'!AX174,"")</f>
        <v>174.44024336738201</v>
      </c>
      <c r="N176" s="790">
        <f>IFERROR(INDEX('Hoja de apoyo v2'!B$17:B$20,MATCH($A176,'Hoja de apoyo v2'!$A$17:$A$20,0)),"")</f>
        <v>74.190366972477051</v>
      </c>
      <c r="O176" s="791">
        <f>IFERROR(INDEX('Hoja de apoyo v2'!C$17:C$20,MATCH($A176,'Hoja de apoyo v2'!$A$17:$A$20,0)),"")</f>
        <v>0.71677657005077755</v>
      </c>
      <c r="P176" s="793">
        <f>IFERROR(INDEX('Hoja de apoyo v2'!D$17:D$20,MATCH($A176,'Hoja de apoyo v2'!$A$17:$A$20,0)),"")</f>
        <v>8755.1153350385739</v>
      </c>
      <c r="Q176" s="793">
        <f>IFERROR(INDEX('Hoja de apoyo v2'!E$17:E$20,MATCH($A176,'Hoja de apoyo v2'!$A$17:$A$20,0)),"")</f>
        <v>6098.2042779326393</v>
      </c>
      <c r="R176" s="793">
        <f>IFERROR(INDEX('Hoja de apoyo v2'!F$17:F$20,MATCH($A176,'Hoja de apoyo v2'!$A$17:$A$20,0)),"")</f>
        <v>389.08889713610301</v>
      </c>
      <c r="S176" s="793">
        <f>IFERROR(INDEX('Hoja de apoyo v2'!G$17:G$20,MATCH($A176,'Hoja de apoyo v2'!$A$17:$A$20,0)),"")</f>
        <v>67.90575167807188</v>
      </c>
      <c r="T176" s="792">
        <f>IFERROR(INDEX('Hoja de apoyo v2'!H$17:H$20,MATCH($A176,'Hoja de apoyo v2'!$A$17:$A$20,0)),"")</f>
        <v>258.90325471200998</v>
      </c>
      <c r="U176" s="794">
        <f t="shared" si="76"/>
        <v>1.0133242650013914</v>
      </c>
      <c r="V176" s="795">
        <f t="shared" si="77"/>
        <v>1.2417373003695944</v>
      </c>
      <c r="W176" s="795">
        <f t="shared" si="78"/>
        <v>0.41740630786977345</v>
      </c>
      <c r="X176" s="843">
        <f t="shared" si="79"/>
        <v>1.314789966479001</v>
      </c>
      <c r="Y176" s="843">
        <f t="shared" si="80"/>
        <v>1.4089786112637053</v>
      </c>
      <c r="Z176" s="843">
        <f t="shared" si="81"/>
        <v>0.42715290305326936</v>
      </c>
      <c r="AA176" s="843">
        <f t="shared" si="82"/>
        <v>0.67376612766579524</v>
      </c>
      <c r="AB176" s="796">
        <f t="shared" si="83"/>
        <v>4</v>
      </c>
      <c r="AC176" s="797">
        <f t="shared" si="84"/>
        <v>4</v>
      </c>
      <c r="AD176" s="797">
        <f t="shared" si="85"/>
        <v>1</v>
      </c>
      <c r="AE176" s="842">
        <f t="shared" si="86"/>
        <v>5</v>
      </c>
      <c r="AF176" s="842">
        <f t="shared" si="87"/>
        <v>5</v>
      </c>
      <c r="AG176" s="842">
        <f t="shared" si="88"/>
        <v>1</v>
      </c>
      <c r="AH176" s="842">
        <f t="shared" si="89"/>
        <v>2</v>
      </c>
      <c r="AI176" s="826" cm="1">
        <f t="array" ref="AI176">SUMPRODUCT(--ISNUMBER($U176:$AA176),$AB$3:$AH$3)</f>
        <v>1</v>
      </c>
      <c r="AJ176" s="829">
        <f t="shared" si="90"/>
        <v>48.336321765442193</v>
      </c>
      <c r="AK176" s="827" t="str">
        <f t="shared" si="91"/>
        <v>En desarrollo</v>
      </c>
      <c r="AL176" s="784" t="str">
        <f t="shared" si="92"/>
        <v>Alta</v>
      </c>
      <c r="AM176" s="799">
        <f>IF(ISNUMBER('Base de datos Rutas'!W174),'Base de datos Rutas'!W174,"")</f>
        <v>2998.2139778064675</v>
      </c>
      <c r="AN176" s="787">
        <f>IFERROR(SUMIFS('Base de datos Rutas'!$W$6:$W$794,'Base de datos Rutas'!$C$6:$C$794,$C176)/'Base de datos Rutas'!I174,"")</f>
        <v>2998.2139778064688</v>
      </c>
      <c r="AO176" s="800">
        <f>IFERROR('Base de datos Rutas'!X174*AN176/AM176,"")</f>
        <v>0.37802554582777237</v>
      </c>
      <c r="AP176" s="800">
        <f t="shared" si="93"/>
        <v>0.62197445417222763</v>
      </c>
      <c r="AQ176" s="789">
        <f>IFERROR(INDEX('Hoja de apoyo v2'!$J$17:$J$20,MATCH($A176,'Hoja de apoyo v2'!$A$17:$A$20,0)),"")</f>
        <v>0.62197445417222763</v>
      </c>
      <c r="AR176" s="789">
        <f t="shared" si="94"/>
        <v>0</v>
      </c>
      <c r="AS176" s="784" t="str">
        <f t="shared" si="95"/>
        <v>No</v>
      </c>
      <c r="AT176" s="801">
        <f>IF(ISNUMBER('Base de datos Rutas'!CK174),'Base de datos Rutas'!CK174,"")</f>
        <v>514</v>
      </c>
      <c r="AU176" s="802">
        <f>IF(ISNUMBER('Base de datos Rutas'!CL174),'Base de datos Rutas'!CL174,"")</f>
        <v>726.26</v>
      </c>
      <c r="AV176" s="802">
        <f>IF(ISNUMBER('Base de datos Rutas'!CM174),'Base de datos Rutas'!CM174,"")</f>
        <v>212.26</v>
      </c>
      <c r="AW176" s="802">
        <f>IF(ISNUMBER('Base de datos Rutas'!CN174),'Base de datos Rutas'!CN174,"")</f>
        <v>8.01</v>
      </c>
      <c r="AX176" s="802">
        <f>IF(ISNUMBER('Base de datos Rutas'!CO174),'Base de datos Rutas'!CO174,"")</f>
        <v>9.4499999999999993</v>
      </c>
      <c r="AY176" s="802">
        <f>IF(ISNUMBER('Base de datos Rutas'!CP174),'Base de datos Rutas'!CP174,"")</f>
        <v>1.4399999999999995</v>
      </c>
      <c r="AZ176" s="802">
        <f>IF(ISNUMBER('Base de datos Rutas'!CQ174),'Base de datos Rutas'!CQ174,"")</f>
        <v>814.39</v>
      </c>
      <c r="BA176" s="802">
        <f>IF(ISNUMBER('Base de datos Rutas'!CR174),'Base de datos Rutas'!CR174,"")</f>
        <v>577.22</v>
      </c>
      <c r="BB176" s="803">
        <f>IF(ISNUMBER('Base de datos Rutas'!CS174),'Base de datos Rutas'!CS174,"")</f>
        <v>237.16999999999996</v>
      </c>
      <c r="BC176" s="804">
        <f t="shared" si="105"/>
        <v>0</v>
      </c>
      <c r="BD176" s="805" t="str">
        <f t="shared" si="106"/>
        <v>No saturada</v>
      </c>
      <c r="BE176" s="806">
        <f t="shared" si="107"/>
        <v>0.70877589361362492</v>
      </c>
      <c r="BF176" s="890">
        <f>IF(ISNUMBER('Base de datos Rutas'!CX174),'Base de datos Rutas'!CX174/100,"")</f>
        <v>0.92838731443994593</v>
      </c>
      <c r="BG176" s="891">
        <f>IF(ISNUMBER('Base de datos Rutas'!CZ174),'Base de datos Rutas'!CZ174/100,"")</f>
        <v>1</v>
      </c>
      <c r="BH176" s="892">
        <f>IF(ISNUMBER('Base de datos Rutas'!DA174),'Base de datos Rutas'!DA174,"")</f>
        <v>651.16458665222615</v>
      </c>
      <c r="BI176" s="893">
        <f>IF(ISNUMBER('Base de datos Rutas'!DC174),'Base de datos Rutas'!DC174,"")</f>
        <v>31.983732440039539</v>
      </c>
      <c r="BJ176" s="805" t="str">
        <f t="shared" si="108"/>
        <v>Ruta (completo)</v>
      </c>
      <c r="BK176" s="783">
        <f t="shared" si="96"/>
        <v>5</v>
      </c>
      <c r="BL176" s="797">
        <f t="shared" si="97"/>
        <v>5</v>
      </c>
      <c r="BM176" s="797">
        <f t="shared" si="98"/>
        <v>4</v>
      </c>
      <c r="BN176" s="797">
        <f t="shared" si="99"/>
        <v>4</v>
      </c>
      <c r="BO176" s="798" cm="1">
        <f t="array" ref="BO176">SUMPRODUCT(--ISNUMBER($BF176:$BI176),$BK$3:$BN$3)</f>
        <v>1</v>
      </c>
      <c r="BP176" s="831">
        <f t="shared" si="109"/>
        <v>87.5</v>
      </c>
      <c r="BQ176" s="834" t="str">
        <f t="shared" si="110"/>
        <v>Alto</v>
      </c>
      <c r="BR176" s="836">
        <f t="shared" si="100"/>
        <v>36.252241324081645</v>
      </c>
      <c r="BS176" s="836">
        <f t="shared" si="101"/>
        <v>87.5</v>
      </c>
      <c r="BT176" s="837" t="str">
        <f t="shared" si="102"/>
        <v>P1</v>
      </c>
      <c r="BU176" s="807" t="str">
        <f t="shared" si="111"/>
        <v>Con espacio</v>
      </c>
      <c r="BV176" s="807" t="str">
        <f t="shared" si="103"/>
        <v>Zona atractiva</v>
      </c>
      <c r="BW176" s="808" t="str">
        <f t="shared" si="104"/>
        <v>P1 - Ampliar cobertura</v>
      </c>
    </row>
    <row r="177" spans="1:75">
      <c r="A177" s="780" t="str">
        <f>'Base de datos Rutas'!A175</f>
        <v>Norte</v>
      </c>
      <c r="B177" s="781" t="str">
        <f>'Base de datos Rutas'!B175</f>
        <v>Guadiana</v>
      </c>
      <c r="C177" s="781" t="str">
        <f>'Base de datos Rutas'!C175</f>
        <v>Planta Guadiana</v>
      </c>
      <c r="D177" s="782">
        <f>IF(ISNUMBER('Base de datos Rutas'!D175),'Base de datos Rutas'!D175,"Sin código")</f>
        <v>931432</v>
      </c>
      <c r="E177" s="783" t="str">
        <f>'Base de datos Rutas'!F175</f>
        <v>Activa</v>
      </c>
      <c r="F177" s="784" t="str">
        <f>'Base de datos Rutas'!H175</f>
        <v>Sí</v>
      </c>
      <c r="G177" s="785">
        <f>IF(ISNUMBER('Base de datos Rutas'!BE175),'Base de datos Rutas'!BE175,"")</f>
        <v>76.380733944954102</v>
      </c>
      <c r="H177" s="786">
        <f>IF(ISNUMBER('Base de datos Rutas'!BH175),'Base de datos Rutas'!BH175,"")</f>
        <v>0.71818509398834895</v>
      </c>
      <c r="I177" s="788">
        <f>IFERROR(IF(OR(NOT(ISNUMBER('Base de datos Rutas'!O175)),N('Base de datos Rutas'!BK175)=0),"",'Base de datos Rutas'!O175/('Base de datos Rutas'!L175/'Base de datos Rutas'!BK175)),"")</f>
        <v>2654.3233944954068</v>
      </c>
      <c r="J177" s="788">
        <f>IFERROR(IF(OR(NOT(ISNUMBER('Base de datos Rutas'!N175)),N('Base de datos Rutas'!BK175)=0),"",'Base de datos Rutas'!N175/('Base de datos Rutas'!L175/'Base de datos Rutas'!BK175)),"")</f>
        <v>6231.1536697247557</v>
      </c>
      <c r="K177" s="788">
        <f>IFERROR(IF(OR(NOT(ISNUMBER('Base de datos Rutas'!J175)),N('Base de datos Rutas'!BK175)=0),"",'Base de datos Rutas'!J175/('Base de datos Rutas'!L175/'Base de datos Rutas'!BK175)),"")</f>
        <v>455.50448807339347</v>
      </c>
      <c r="L177" s="788">
        <f>IFERROR(IF(OR(NOT(ISNUMBER('Base de datos Rutas'!K175)),N('Base de datos Rutas'!BK175)=0),"",'Base de datos Rutas'!K175/('Base de datos Rutas'!L175/'Base de datos Rutas'!BK175)),"")</f>
        <v>19.657237045871511</v>
      </c>
      <c r="M177" s="787">
        <f>IF(ISNUMBER('Base de datos Rutas'!AX175),'Base de datos Rutas'!AX175,"")</f>
        <v>161.979525442154</v>
      </c>
      <c r="N177" s="790">
        <f>IFERROR(INDEX('Hoja de apoyo v2'!B$17:B$20,MATCH($A177,'Hoja de apoyo v2'!$A$17:$A$20,0)),"")</f>
        <v>74.190366972477051</v>
      </c>
      <c r="O177" s="791">
        <f>IFERROR(INDEX('Hoja de apoyo v2'!C$17:C$20,MATCH($A177,'Hoja de apoyo v2'!$A$17:$A$20,0)),"")</f>
        <v>0.71677657005077755</v>
      </c>
      <c r="P177" s="793">
        <f>IFERROR(INDEX('Hoja de apoyo v2'!D$17:D$20,MATCH($A177,'Hoja de apoyo v2'!$A$17:$A$20,0)),"")</f>
        <v>8755.1153350385739</v>
      </c>
      <c r="Q177" s="793">
        <f>IFERROR(INDEX('Hoja de apoyo v2'!E$17:E$20,MATCH($A177,'Hoja de apoyo v2'!$A$17:$A$20,0)),"")</f>
        <v>6098.2042779326393</v>
      </c>
      <c r="R177" s="793">
        <f>IFERROR(INDEX('Hoja de apoyo v2'!F$17:F$20,MATCH($A177,'Hoja de apoyo v2'!$A$17:$A$20,0)),"")</f>
        <v>389.08889713610301</v>
      </c>
      <c r="S177" s="793">
        <f>IFERROR(INDEX('Hoja de apoyo v2'!G$17:G$20,MATCH($A177,'Hoja de apoyo v2'!$A$17:$A$20,0)),"")</f>
        <v>67.90575167807188</v>
      </c>
      <c r="T177" s="792">
        <f>IFERROR(INDEX('Hoja de apoyo v2'!H$17:H$20,MATCH($A177,'Hoja de apoyo v2'!$A$17:$A$20,0)),"")</f>
        <v>258.90325471200998</v>
      </c>
      <c r="U177" s="794">
        <f t="shared" si="76"/>
        <v>1.0295236034253561</v>
      </c>
      <c r="V177" s="795">
        <f t="shared" si="77"/>
        <v>1.0019650808863236</v>
      </c>
      <c r="W177" s="795">
        <f t="shared" si="78"/>
        <v>0.30317400661446708</v>
      </c>
      <c r="X177" s="843">
        <f t="shared" si="79"/>
        <v>1.0218014001717219</v>
      </c>
      <c r="Y177" s="843">
        <f t="shared" si="80"/>
        <v>1.1706951584230334</v>
      </c>
      <c r="Z177" s="843">
        <f t="shared" si="81"/>
        <v>0.28947823358266755</v>
      </c>
      <c r="AA177" s="843">
        <f t="shared" si="82"/>
        <v>0.62563726988419399</v>
      </c>
      <c r="AB177" s="796">
        <f t="shared" si="83"/>
        <v>4</v>
      </c>
      <c r="AC177" s="797">
        <f t="shared" si="84"/>
        <v>4</v>
      </c>
      <c r="AD177" s="797">
        <f t="shared" si="85"/>
        <v>1</v>
      </c>
      <c r="AE177" s="842">
        <f t="shared" si="86"/>
        <v>4</v>
      </c>
      <c r="AF177" s="842">
        <f t="shared" si="87"/>
        <v>4</v>
      </c>
      <c r="AG177" s="842">
        <f t="shared" si="88"/>
        <v>1</v>
      </c>
      <c r="AH177" s="842">
        <f t="shared" si="89"/>
        <v>2</v>
      </c>
      <c r="AI177" s="826" cm="1">
        <f t="array" ref="AI177">SUMPRODUCT(--ISNUMBER($U177:$AA177),$AB$3:$AH$3)</f>
        <v>1</v>
      </c>
      <c r="AJ177" s="829">
        <f t="shared" si="90"/>
        <v>42.000829607183711</v>
      </c>
      <c r="AK177" s="827" t="str">
        <f t="shared" si="91"/>
        <v>Inmadura</v>
      </c>
      <c r="AL177" s="784" t="str">
        <f t="shared" si="92"/>
        <v>Alta</v>
      </c>
      <c r="AM177" s="799">
        <f>IF(ISNUMBER('Base de datos Rutas'!W175),'Base de datos Rutas'!W175,"")</f>
        <v>2998.2139778064675</v>
      </c>
      <c r="AN177" s="787">
        <f>IFERROR(SUMIFS('Base de datos Rutas'!$W$6:$W$794,'Base de datos Rutas'!$C$6:$C$794,$C177)/'Base de datos Rutas'!I175,"")</f>
        <v>2998.2139778064688</v>
      </c>
      <c r="AO177" s="800">
        <f>IFERROR('Base de datos Rutas'!X175*AN177/AM177,"")</f>
        <v>0.37802554582777237</v>
      </c>
      <c r="AP177" s="800">
        <f t="shared" si="93"/>
        <v>0.62197445417222763</v>
      </c>
      <c r="AQ177" s="789">
        <f>IFERROR(INDEX('Hoja de apoyo v2'!$J$17:$J$20,MATCH($A177,'Hoja de apoyo v2'!$A$17:$A$20,0)),"")</f>
        <v>0.62197445417222763</v>
      </c>
      <c r="AR177" s="789">
        <f t="shared" si="94"/>
        <v>0</v>
      </c>
      <c r="AS177" s="784" t="str">
        <f t="shared" si="95"/>
        <v>No</v>
      </c>
      <c r="AT177" s="801">
        <f>IF(ISNUMBER('Base de datos Rutas'!CK175),'Base de datos Rutas'!CK175,"")</f>
        <v>321</v>
      </c>
      <c r="AU177" s="802">
        <f>IF(ISNUMBER('Base de datos Rutas'!CL175),'Base de datos Rutas'!CL175,"")</f>
        <v>575.47</v>
      </c>
      <c r="AV177" s="802">
        <f>IF(ISNUMBER('Base de datos Rutas'!CM175),'Base de datos Rutas'!CM175,"")</f>
        <v>254.47000000000003</v>
      </c>
      <c r="AW177" s="802">
        <f>IF(ISNUMBER('Base de datos Rutas'!CN175),'Base de datos Rutas'!CN175,"")</f>
        <v>6.34</v>
      </c>
      <c r="AX177" s="802">
        <f>IF(ISNUMBER('Base de datos Rutas'!CO175),'Base de datos Rutas'!CO175,"")</f>
        <v>9.4499999999999993</v>
      </c>
      <c r="AY177" s="802">
        <f>IF(ISNUMBER('Base de datos Rutas'!CP175),'Base de datos Rutas'!CP175,"")</f>
        <v>3.1099999999999994</v>
      </c>
      <c r="AZ177" s="802">
        <f>IF(ISNUMBER('Base de datos Rutas'!CQ175),'Base de datos Rutas'!CQ175,"")</f>
        <v>814.39</v>
      </c>
      <c r="BA177" s="802">
        <f>IF(ISNUMBER('Base de datos Rutas'!CR175),'Base de datos Rutas'!CR175,"")</f>
        <v>475.16</v>
      </c>
      <c r="BB177" s="803">
        <f>IF(ISNUMBER('Base de datos Rutas'!CS175),'Base de datos Rutas'!CS175,"")</f>
        <v>339.22999999999996</v>
      </c>
      <c r="BC177" s="804">
        <f t="shared" si="105"/>
        <v>0</v>
      </c>
      <c r="BD177" s="805" t="str">
        <f t="shared" si="106"/>
        <v>No saturada</v>
      </c>
      <c r="BE177" s="806">
        <f t="shared" si="107"/>
        <v>0.5834551013642113</v>
      </c>
      <c r="BF177" s="890">
        <f>IF(ISNUMBER('Base de datos Rutas'!CX175),'Base de datos Rutas'!CX175/100,"")</f>
        <v>0.70023043478260871</v>
      </c>
      <c r="BG177" s="891">
        <f>IF(ISNUMBER('Base de datos Rutas'!CZ175),'Base de datos Rutas'!CZ175/100,"")</f>
        <v>0.81086956521739129</v>
      </c>
      <c r="BH177" s="892">
        <f>IF(ISNUMBER('Base de datos Rutas'!DA175),'Base de datos Rutas'!DA175,"")</f>
        <v>1475.4610897759615</v>
      </c>
      <c r="BI177" s="893">
        <f>IF(ISNUMBER('Base de datos Rutas'!DC175),'Base de datos Rutas'!DC175,"")</f>
        <v>69.261075683018404</v>
      </c>
      <c r="BJ177" s="805" t="str">
        <f t="shared" si="108"/>
        <v>Ruta (completo)</v>
      </c>
      <c r="BK177" s="783">
        <f t="shared" si="96"/>
        <v>4</v>
      </c>
      <c r="BL177" s="797">
        <f t="shared" si="97"/>
        <v>4</v>
      </c>
      <c r="BM177" s="797">
        <f t="shared" si="98"/>
        <v>5</v>
      </c>
      <c r="BN177" s="797">
        <f t="shared" si="99"/>
        <v>5</v>
      </c>
      <c r="BO177" s="798" cm="1">
        <f t="array" ref="BO177">SUMPRODUCT(--ISNUMBER($BF177:$BI177),$BK$3:$BN$3)</f>
        <v>1</v>
      </c>
      <c r="BP177" s="831">
        <f t="shared" si="109"/>
        <v>87.5</v>
      </c>
      <c r="BQ177" s="834" t="str">
        <f t="shared" si="110"/>
        <v>Alto</v>
      </c>
      <c r="BR177" s="836">
        <f t="shared" si="100"/>
        <v>31.500622205387785</v>
      </c>
      <c r="BS177" s="836">
        <f t="shared" si="101"/>
        <v>87.5</v>
      </c>
      <c r="BT177" s="837" t="str">
        <f t="shared" si="102"/>
        <v>P1</v>
      </c>
      <c r="BU177" s="807" t="str">
        <f t="shared" si="111"/>
        <v>Con espacio</v>
      </c>
      <c r="BV177" s="807" t="str">
        <f t="shared" si="103"/>
        <v>Zona atractiva</v>
      </c>
      <c r="BW177" s="808" t="str">
        <f t="shared" si="104"/>
        <v>P1 - Ampliar cobertura</v>
      </c>
    </row>
    <row r="178" spans="1:75">
      <c r="A178" s="780" t="str">
        <f>'Base de datos Rutas'!A176</f>
        <v>Norte</v>
      </c>
      <c r="B178" s="781" t="str">
        <f>'Base de datos Rutas'!B176</f>
        <v>No está en EERR</v>
      </c>
      <c r="C178" s="781" t="str">
        <f>'Base de datos Rutas'!C176</f>
        <v>Suc. Vicente Guerrero</v>
      </c>
      <c r="D178" s="782" t="str">
        <f>IF(ISNUMBER('Base de datos Rutas'!D176),'Base de datos Rutas'!D176,"Sin código")</f>
        <v>Sin código</v>
      </c>
      <c r="E178" s="783" t="str">
        <f>'Base de datos Rutas'!F176</f>
        <v>Sin código</v>
      </c>
      <c r="F178" s="784" t="str">
        <f>'Base de datos Rutas'!H176</f>
        <v>No</v>
      </c>
      <c r="G178" s="785" t="str">
        <f>IF(ISNUMBER('Base de datos Rutas'!BE176),'Base de datos Rutas'!BE176,"")</f>
        <v/>
      </c>
      <c r="H178" s="786" t="str">
        <f>IF(ISNUMBER('Base de datos Rutas'!BH176),'Base de datos Rutas'!BH176,"")</f>
        <v/>
      </c>
      <c r="I178" s="788" t="str">
        <f>IFERROR(IF(OR(NOT(ISNUMBER('Base de datos Rutas'!O176)),N('Base de datos Rutas'!BK176)=0),"",'Base de datos Rutas'!O176/('Base de datos Rutas'!L176/'Base de datos Rutas'!BK176)),"")</f>
        <v/>
      </c>
      <c r="J178" s="788" t="str">
        <f>IFERROR(IF(OR(NOT(ISNUMBER('Base de datos Rutas'!N176)),N('Base de datos Rutas'!BK176)=0),"",'Base de datos Rutas'!N176/('Base de datos Rutas'!L176/'Base de datos Rutas'!BK176)),"")</f>
        <v/>
      </c>
      <c r="K178" s="788" t="str">
        <f>IFERROR(IF(OR(NOT(ISNUMBER('Base de datos Rutas'!J176)),N('Base de datos Rutas'!BK176)=0),"",'Base de datos Rutas'!J176/('Base de datos Rutas'!L176/'Base de datos Rutas'!BK176)),"")</f>
        <v/>
      </c>
      <c r="L178" s="788" t="str">
        <f>IFERROR(IF(OR(NOT(ISNUMBER('Base de datos Rutas'!K176)),N('Base de datos Rutas'!BK176)=0),"",'Base de datos Rutas'!K176/('Base de datos Rutas'!L176/'Base de datos Rutas'!BK176)),"")</f>
        <v/>
      </c>
      <c r="M178" s="787">
        <f>IF(ISNUMBER('Base de datos Rutas'!AX176),'Base de datos Rutas'!AX176,"")</f>
        <v>432</v>
      </c>
      <c r="N178" s="790">
        <f>IFERROR(INDEX('Hoja de apoyo v2'!B$17:B$20,MATCH($A178,'Hoja de apoyo v2'!$A$17:$A$20,0)),"")</f>
        <v>74.190366972477051</v>
      </c>
      <c r="O178" s="791">
        <f>IFERROR(INDEX('Hoja de apoyo v2'!C$17:C$20,MATCH($A178,'Hoja de apoyo v2'!$A$17:$A$20,0)),"")</f>
        <v>0.71677657005077755</v>
      </c>
      <c r="P178" s="793">
        <f>IFERROR(INDEX('Hoja de apoyo v2'!D$17:D$20,MATCH($A178,'Hoja de apoyo v2'!$A$17:$A$20,0)),"")</f>
        <v>8755.1153350385739</v>
      </c>
      <c r="Q178" s="793">
        <f>IFERROR(INDEX('Hoja de apoyo v2'!E$17:E$20,MATCH($A178,'Hoja de apoyo v2'!$A$17:$A$20,0)),"")</f>
        <v>6098.2042779326393</v>
      </c>
      <c r="R178" s="793">
        <f>IFERROR(INDEX('Hoja de apoyo v2'!F$17:F$20,MATCH($A178,'Hoja de apoyo v2'!$A$17:$A$20,0)),"")</f>
        <v>389.08889713610301</v>
      </c>
      <c r="S178" s="793">
        <f>IFERROR(INDEX('Hoja de apoyo v2'!G$17:G$20,MATCH($A178,'Hoja de apoyo v2'!$A$17:$A$20,0)),"")</f>
        <v>67.90575167807188</v>
      </c>
      <c r="T178" s="792">
        <f>IFERROR(INDEX('Hoja de apoyo v2'!H$17:H$20,MATCH($A178,'Hoja de apoyo v2'!$A$17:$A$20,0)),"")</f>
        <v>258.90325471200998</v>
      </c>
      <c r="U178" s="794" t="str">
        <f t="shared" si="76"/>
        <v/>
      </c>
      <c r="V178" s="795" t="str">
        <f t="shared" si="77"/>
        <v/>
      </c>
      <c r="W178" s="795" t="str">
        <f t="shared" si="78"/>
        <v/>
      </c>
      <c r="X178" s="843" t="str">
        <f t="shared" si="79"/>
        <v/>
      </c>
      <c r="Y178" s="843" t="str">
        <f t="shared" si="80"/>
        <v/>
      </c>
      <c r="Z178" s="843" t="str">
        <f t="shared" si="81"/>
        <v/>
      </c>
      <c r="AA178" s="843">
        <f t="shared" si="82"/>
        <v>1.6685769380556204</v>
      </c>
      <c r="AB178" s="796">
        <f t="shared" si="83"/>
        <v>0</v>
      </c>
      <c r="AC178" s="797">
        <f t="shared" si="84"/>
        <v>0</v>
      </c>
      <c r="AD178" s="797">
        <f t="shared" si="85"/>
        <v>0</v>
      </c>
      <c r="AE178" s="842">
        <f t="shared" si="86"/>
        <v>0</v>
      </c>
      <c r="AF178" s="842">
        <f t="shared" si="87"/>
        <v>0</v>
      </c>
      <c r="AG178" s="842">
        <f t="shared" si="88"/>
        <v>0</v>
      </c>
      <c r="AH178" s="842">
        <f t="shared" si="89"/>
        <v>5</v>
      </c>
      <c r="AI178" s="826" cm="1">
        <f t="array" ref="AI178">SUMPRODUCT(--ISNUMBER($U178:$AA178),$AB$3:$AH$3)</f>
        <v>8.9789113613062493E-2</v>
      </c>
      <c r="AJ178" s="829" t="str">
        <f t="shared" si="90"/>
        <v/>
      </c>
      <c r="AK178" s="827" t="str">
        <f t="shared" si="91"/>
        <v>Ruta inactiva</v>
      </c>
      <c r="AL178" s="784" t="str">
        <f t="shared" si="92"/>
        <v>n/a</v>
      </c>
      <c r="AM178" s="799" t="str">
        <f>IF(ISNUMBER('Base de datos Rutas'!W176),'Base de datos Rutas'!W176,"")</f>
        <v/>
      </c>
      <c r="AN178" s="787">
        <f>IFERROR(SUMIFS('Base de datos Rutas'!$W$6:$W$794,'Base de datos Rutas'!$C$6:$C$794,$C178)/'Base de datos Rutas'!I176,"")</f>
        <v>0</v>
      </c>
      <c r="AO178" s="800" t="str">
        <f>IFERROR('Base de datos Rutas'!X176*AN178/AM178,"")</f>
        <v/>
      </c>
      <c r="AP178" s="800" t="str">
        <f t="shared" si="93"/>
        <v/>
      </c>
      <c r="AQ178" s="789">
        <f>IFERROR(INDEX('Hoja de apoyo v2'!$J$17:$J$20,MATCH($A178,'Hoja de apoyo v2'!$A$17:$A$20,0)),"")</f>
        <v>0.62197445417222763</v>
      </c>
      <c r="AR178" s="789" t="str">
        <f t="shared" si="94"/>
        <v/>
      </c>
      <c r="AS178" s="784" t="str">
        <f t="shared" si="95"/>
        <v>n/d</v>
      </c>
      <c r="AT178" s="801" t="str">
        <f>IF(ISNUMBER('Base de datos Rutas'!CK176),'Base de datos Rutas'!CK176,"")</f>
        <v/>
      </c>
      <c r="AU178" s="802" t="str">
        <f>IF(ISNUMBER('Base de datos Rutas'!CL176),'Base de datos Rutas'!CL176,"")</f>
        <v/>
      </c>
      <c r="AV178" s="802">
        <f>IF(ISNUMBER('Base de datos Rutas'!CM176),'Base de datos Rutas'!CM176,"")</f>
        <v>0</v>
      </c>
      <c r="AW178" s="802" t="str">
        <f>IF(ISNUMBER('Base de datos Rutas'!CN176),'Base de datos Rutas'!CN176,"")</f>
        <v/>
      </c>
      <c r="AX178" s="802" t="str">
        <f>IF(ISNUMBER('Base de datos Rutas'!CO176),'Base de datos Rutas'!CO176,"")</f>
        <v/>
      </c>
      <c r="AY178" s="802">
        <f>IF(ISNUMBER('Base de datos Rutas'!CP176),'Base de datos Rutas'!CP176,"")</f>
        <v>0</v>
      </c>
      <c r="AZ178" s="802" t="str">
        <f>IF(ISNUMBER('Base de datos Rutas'!CQ176),'Base de datos Rutas'!CQ176,"")</f>
        <v/>
      </c>
      <c r="BA178" s="802" t="str">
        <f>IF(ISNUMBER('Base de datos Rutas'!CR176),'Base de datos Rutas'!CR176,"")</f>
        <v/>
      </c>
      <c r="BB178" s="803">
        <f>IF(ISNUMBER('Base de datos Rutas'!CS176),'Base de datos Rutas'!CS176,"")</f>
        <v>0</v>
      </c>
      <c r="BC178" s="804" t="str">
        <f t="shared" si="105"/>
        <v/>
      </c>
      <c r="BD178" s="805" t="str">
        <f t="shared" si="106"/>
        <v>N/D</v>
      </c>
      <c r="BE178" s="806" t="str">
        <f t="shared" si="107"/>
        <v/>
      </c>
      <c r="BF178" s="890" t="str">
        <f>IF(ISNUMBER('Base de datos Rutas'!CX176),'Base de datos Rutas'!CX176/100,"")</f>
        <v/>
      </c>
      <c r="BG178" s="891" t="str">
        <f>IF(ISNUMBER('Base de datos Rutas'!CZ176),'Base de datos Rutas'!CZ176/100,"")</f>
        <v/>
      </c>
      <c r="BH178" s="892" t="str">
        <f>IF(ISNUMBER('Base de datos Rutas'!DA176),'Base de datos Rutas'!DA176,"")</f>
        <v/>
      </c>
      <c r="BI178" s="893" t="str">
        <f>IF(ISNUMBER('Base de datos Rutas'!DC176),'Base de datos Rutas'!DC176,"")</f>
        <v/>
      </c>
      <c r="BJ178" s="805" t="str">
        <f t="shared" si="108"/>
        <v>Sin dato</v>
      </c>
      <c r="BK178" s="783">
        <f t="shared" si="96"/>
        <v>0</v>
      </c>
      <c r="BL178" s="797">
        <f t="shared" si="97"/>
        <v>0</v>
      </c>
      <c r="BM178" s="797">
        <f t="shared" si="98"/>
        <v>0</v>
      </c>
      <c r="BN178" s="797">
        <f t="shared" si="99"/>
        <v>0</v>
      </c>
      <c r="BO178" s="798" cm="1">
        <f t="array" ref="BO178">SUMPRODUCT(--ISNUMBER($BF178:$BI178),$BK$3:$BN$3)</f>
        <v>0</v>
      </c>
      <c r="BP178" s="831" t="str">
        <f t="shared" si="109"/>
        <v/>
      </c>
      <c r="BQ178" s="834" t="str">
        <f t="shared" si="110"/>
        <v>Sin datos</v>
      </c>
      <c r="BR178" s="836" t="str">
        <f t="shared" si="100"/>
        <v/>
      </c>
      <c r="BS178" s="836" t="str">
        <f t="shared" si="101"/>
        <v/>
      </c>
      <c r="BT178" s="837" t="str">
        <f t="shared" si="102"/>
        <v>Sin datos</v>
      </c>
      <c r="BU178" s="807" t="str">
        <f t="shared" si="111"/>
        <v>No evaluable</v>
      </c>
      <c r="BV178" s="807" t="str">
        <f t="shared" si="103"/>
        <v>No evaluable</v>
      </c>
      <c r="BW178" s="808" t="str">
        <f t="shared" si="104"/>
        <v>Sin datos</v>
      </c>
    </row>
    <row r="179" spans="1:75">
      <c r="A179" s="780" t="str">
        <f>'Base de datos Rutas'!A177</f>
        <v>Norte</v>
      </c>
      <c r="B179" s="781" t="str">
        <f>'Base de datos Rutas'!B177</f>
        <v>Juárez</v>
      </c>
      <c r="C179" s="781" t="str">
        <f>'Base de datos Rutas'!C177</f>
        <v>Planta Cd. Juárez</v>
      </c>
      <c r="D179" s="782">
        <f>IF(ISNUMBER('Base de datos Rutas'!D177),'Base de datos Rutas'!D177,"Sin código")</f>
        <v>301340</v>
      </c>
      <c r="E179" s="783" t="str">
        <f>'Base de datos Rutas'!F177</f>
        <v>Activa</v>
      </c>
      <c r="F179" s="784" t="str">
        <f>'Base de datos Rutas'!H177</f>
        <v>Sí</v>
      </c>
      <c r="G179" s="785">
        <f>IF(ISNUMBER('Base de datos Rutas'!BE177),'Base de datos Rutas'!BE177,"")</f>
        <v>56.376146788990802</v>
      </c>
      <c r="H179" s="786">
        <f>IF(ISNUMBER('Base de datos Rutas'!BH177),'Base de datos Rutas'!BH177,"")</f>
        <v>0.73039056143205905</v>
      </c>
      <c r="I179" s="788">
        <f>IFERROR(IF(OR(NOT(ISNUMBER('Base de datos Rutas'!O177)),N('Base de datos Rutas'!BK177)=0),"",'Base de datos Rutas'!O177/('Base de datos Rutas'!L177/'Base de datos Rutas'!BK177)),"")</f>
        <v>5228.1743119265939</v>
      </c>
      <c r="J179" s="788">
        <f>IFERROR(IF(OR(NOT(ISNUMBER('Base de datos Rutas'!N177)),N('Base de datos Rutas'!BK177)=0),"",'Base de datos Rutas'!N177/('Base de datos Rutas'!L177/'Base de datos Rutas'!BK177)),"")</f>
        <v>4451.2568807339348</v>
      </c>
      <c r="K179" s="788">
        <f>IFERROR(IF(OR(NOT(ISNUMBER('Base de datos Rutas'!J177)),N('Base de datos Rutas'!BK177)=0),"",'Base de datos Rutas'!J177/('Base de datos Rutas'!L177/'Base de datos Rutas'!BK177)),"")</f>
        <v>295.12563027522873</v>
      </c>
      <c r="L179" s="788">
        <f>IFERROR(IF(OR(NOT(ISNUMBER('Base de datos Rutas'!K177)),N('Base de datos Rutas'!BK177)=0),"",'Base de datos Rutas'!K177/('Base de datos Rutas'!L177/'Base de datos Rutas'!BK177)),"")</f>
        <v>33.208618128440293</v>
      </c>
      <c r="M179" s="787">
        <f>IF(ISNUMBER('Base de datos Rutas'!AX177),'Base de datos Rutas'!AX177,"")</f>
        <v>242.29331588035399</v>
      </c>
      <c r="N179" s="790">
        <f>IFERROR(INDEX('Hoja de apoyo v2'!B$17:B$20,MATCH($A179,'Hoja de apoyo v2'!$A$17:$A$20,0)),"")</f>
        <v>74.190366972477051</v>
      </c>
      <c r="O179" s="791">
        <f>IFERROR(INDEX('Hoja de apoyo v2'!C$17:C$20,MATCH($A179,'Hoja de apoyo v2'!$A$17:$A$20,0)),"")</f>
        <v>0.71677657005077755</v>
      </c>
      <c r="P179" s="793">
        <f>IFERROR(INDEX('Hoja de apoyo v2'!D$17:D$20,MATCH($A179,'Hoja de apoyo v2'!$A$17:$A$20,0)),"")</f>
        <v>8755.1153350385739</v>
      </c>
      <c r="Q179" s="793">
        <f>IFERROR(INDEX('Hoja de apoyo v2'!E$17:E$20,MATCH($A179,'Hoja de apoyo v2'!$A$17:$A$20,0)),"")</f>
        <v>6098.2042779326393</v>
      </c>
      <c r="R179" s="793">
        <f>IFERROR(INDEX('Hoja de apoyo v2'!F$17:F$20,MATCH($A179,'Hoja de apoyo v2'!$A$17:$A$20,0)),"")</f>
        <v>389.08889713610301</v>
      </c>
      <c r="S179" s="793">
        <f>IFERROR(INDEX('Hoja de apoyo v2'!G$17:G$20,MATCH($A179,'Hoja de apoyo v2'!$A$17:$A$20,0)),"")</f>
        <v>67.90575167807188</v>
      </c>
      <c r="T179" s="792">
        <f>IFERROR(INDEX('Hoja de apoyo v2'!H$17:H$20,MATCH($A179,'Hoja de apoyo v2'!$A$17:$A$20,0)),"")</f>
        <v>258.90325471200998</v>
      </c>
      <c r="U179" s="794">
        <f t="shared" si="76"/>
        <v>0.75988499706309687</v>
      </c>
      <c r="V179" s="795">
        <f t="shared" si="77"/>
        <v>1.0189933543451581</v>
      </c>
      <c r="W179" s="795">
        <f t="shared" si="78"/>
        <v>0.5971565321364849</v>
      </c>
      <c r="X179" s="843">
        <f t="shared" si="79"/>
        <v>0.72992911976424668</v>
      </c>
      <c r="Y179" s="843">
        <f t="shared" si="80"/>
        <v>0.75850437380122415</v>
      </c>
      <c r="Z179" s="843">
        <f t="shared" si="81"/>
        <v>0.48903984283799656</v>
      </c>
      <c r="AA179" s="843">
        <f t="shared" si="82"/>
        <v>0.93584499796987108</v>
      </c>
      <c r="AB179" s="796">
        <f t="shared" si="83"/>
        <v>3</v>
      </c>
      <c r="AC179" s="797">
        <f t="shared" si="84"/>
        <v>4</v>
      </c>
      <c r="AD179" s="797">
        <f t="shared" si="85"/>
        <v>2</v>
      </c>
      <c r="AE179" s="842">
        <f t="shared" si="86"/>
        <v>2</v>
      </c>
      <c r="AF179" s="842">
        <f t="shared" si="87"/>
        <v>3</v>
      </c>
      <c r="AG179" s="842">
        <f t="shared" si="88"/>
        <v>1</v>
      </c>
      <c r="AH179" s="842">
        <f t="shared" si="89"/>
        <v>3</v>
      </c>
      <c r="AI179" s="826" cm="1">
        <f t="array" ref="AI179">SUMPRODUCT(--ISNUMBER($U179:$AA179),$AB$3:$AH$3)</f>
        <v>1</v>
      </c>
      <c r="AJ179" s="829">
        <f t="shared" si="90"/>
        <v>35.081152934224392</v>
      </c>
      <c r="AK179" s="827" t="str">
        <f t="shared" si="91"/>
        <v>Inmadura</v>
      </c>
      <c r="AL179" s="784" t="str">
        <f t="shared" si="92"/>
        <v>Alta</v>
      </c>
      <c r="AM179" s="799">
        <f>IF(ISNUMBER('Base de datos Rutas'!W177),'Base de datos Rutas'!W177,"")</f>
        <v>2501.4542944353198</v>
      </c>
      <c r="AN179" s="787">
        <f>IFERROR(SUMIFS('Base de datos Rutas'!$W$6:$W$794,'Base de datos Rutas'!$C$6:$C$794,$C179)/'Base de datos Rutas'!I177,"")</f>
        <v>2501.4542944353188</v>
      </c>
      <c r="AO179" s="800">
        <f>IFERROR('Base de datos Rutas'!X177*AN179/AM179,"")</f>
        <v>0.63513109235883425</v>
      </c>
      <c r="AP179" s="800">
        <f t="shared" si="93"/>
        <v>0.36486890764116575</v>
      </c>
      <c r="AQ179" s="789">
        <f>IFERROR(INDEX('Hoja de apoyo v2'!$J$17:$J$20,MATCH($A179,'Hoja de apoyo v2'!$A$17:$A$20,0)),"")</f>
        <v>0.62197445417222763</v>
      </c>
      <c r="AR179" s="789">
        <f t="shared" si="94"/>
        <v>-0.25710554653106188</v>
      </c>
      <c r="AS179" s="784" t="str">
        <f t="shared" si="95"/>
        <v>Sí</v>
      </c>
      <c r="AT179" s="801">
        <f>IF(ISNUMBER('Base de datos Rutas'!CK177),'Base de datos Rutas'!CK177,"")</f>
        <v>347</v>
      </c>
      <c r="AU179" s="802">
        <f>IF(ISNUMBER('Base de datos Rutas'!CL177),'Base de datos Rutas'!CL177,"")</f>
        <v>601.44000000000005</v>
      </c>
      <c r="AV179" s="802">
        <f>IF(ISNUMBER('Base de datos Rutas'!CM177),'Base de datos Rutas'!CM177,"")</f>
        <v>254.44000000000005</v>
      </c>
      <c r="AW179" s="802">
        <f>IF(ISNUMBER('Base de datos Rutas'!CN177),'Base de datos Rutas'!CN177,"")</f>
        <v>4.66</v>
      </c>
      <c r="AX179" s="802">
        <f>IF(ISNUMBER('Base de datos Rutas'!CO177),'Base de datos Rutas'!CO177,"")</f>
        <v>9.4499999999999993</v>
      </c>
      <c r="AY179" s="802">
        <f>IF(ISNUMBER('Base de datos Rutas'!CP177),'Base de datos Rutas'!CP177,"")</f>
        <v>4.7899999999999991</v>
      </c>
      <c r="AZ179" s="802">
        <f>IF(ISNUMBER('Base de datos Rutas'!CQ177),'Base de datos Rutas'!CQ177,"")</f>
        <v>602.75</v>
      </c>
      <c r="BA179" s="802">
        <f>IF(ISNUMBER('Base de datos Rutas'!CR177),'Base de datos Rutas'!CR177,"")</f>
        <v>328.33</v>
      </c>
      <c r="BB179" s="803">
        <f>IF(ISNUMBER('Base de datos Rutas'!CS177),'Base de datos Rutas'!CS177,"")</f>
        <v>274.42</v>
      </c>
      <c r="BC179" s="804">
        <f t="shared" si="105"/>
        <v>0</v>
      </c>
      <c r="BD179" s="805" t="str">
        <f t="shared" si="106"/>
        <v>No saturada</v>
      </c>
      <c r="BE179" s="806">
        <f t="shared" si="107"/>
        <v>0.54472003318125262</v>
      </c>
      <c r="BF179" s="890">
        <f>IF(ISNUMBER('Base de datos Rutas'!CX177),'Base de datos Rutas'!CX177/100,"")</f>
        <v>0.88466001813236628</v>
      </c>
      <c r="BG179" s="891">
        <f>IF(ISNUMBER('Base de datos Rutas'!CZ177),'Base de datos Rutas'!CZ177/100,"")</f>
        <v>1</v>
      </c>
      <c r="BH179" s="892">
        <f>IF(ISNUMBER('Base de datos Rutas'!DA177),'Base de datos Rutas'!DA177,"")</f>
        <v>1378.0504015541935</v>
      </c>
      <c r="BI179" s="893">
        <f>IF(ISNUMBER('Base de datos Rutas'!DC177),'Base de datos Rutas'!DC177,"")</f>
        <v>44.024983336313831</v>
      </c>
      <c r="BJ179" s="805" t="str">
        <f t="shared" si="108"/>
        <v>Ruta (completo)</v>
      </c>
      <c r="BK179" s="783">
        <f t="shared" si="96"/>
        <v>4</v>
      </c>
      <c r="BL179" s="797">
        <f t="shared" si="97"/>
        <v>4</v>
      </c>
      <c r="BM179" s="797">
        <f t="shared" si="98"/>
        <v>5</v>
      </c>
      <c r="BN179" s="797">
        <f t="shared" si="99"/>
        <v>5</v>
      </c>
      <c r="BO179" s="798" cm="1">
        <f t="array" ref="BO179">SUMPRODUCT(--ISNUMBER($BF179:$BI179),$BK$3:$BN$3)</f>
        <v>1</v>
      </c>
      <c r="BP179" s="831">
        <f t="shared" si="109"/>
        <v>87.5</v>
      </c>
      <c r="BQ179" s="834" t="str">
        <f t="shared" si="110"/>
        <v>Alto</v>
      </c>
      <c r="BR179" s="836">
        <f t="shared" si="100"/>
        <v>26.310864700668294</v>
      </c>
      <c r="BS179" s="836">
        <f t="shared" si="101"/>
        <v>87.5</v>
      </c>
      <c r="BT179" s="837" t="str">
        <f t="shared" si="102"/>
        <v>P3</v>
      </c>
      <c r="BU179" s="807" t="str">
        <f t="shared" si="111"/>
        <v>Con espacio</v>
      </c>
      <c r="BV179" s="807" t="str">
        <f t="shared" si="103"/>
        <v>Zona atractiva</v>
      </c>
      <c r="BW179" s="808" t="str">
        <f t="shared" si="104"/>
        <v>P3 - Desarrollar</v>
      </c>
    </row>
    <row r="180" spans="1:75">
      <c r="A180" s="780" t="str">
        <f>'Base de datos Rutas'!A178</f>
        <v>Norte</v>
      </c>
      <c r="B180" s="781" t="str">
        <f>'Base de datos Rutas'!B178</f>
        <v>Juárez</v>
      </c>
      <c r="C180" s="781" t="str">
        <f>'Base de datos Rutas'!C178</f>
        <v>Planta Cd. Juárez</v>
      </c>
      <c r="D180" s="782">
        <f>IF(ISNUMBER('Base de datos Rutas'!D178),'Base de datos Rutas'!D178,"Sin código")</f>
        <v>301341</v>
      </c>
      <c r="E180" s="783" t="str">
        <f>'Base de datos Rutas'!F178</f>
        <v>Activa</v>
      </c>
      <c r="F180" s="784" t="str">
        <f>'Base de datos Rutas'!H178</f>
        <v>Sí</v>
      </c>
      <c r="G180" s="785">
        <f>IF(ISNUMBER('Base de datos Rutas'!BE178),'Base de datos Rutas'!BE178,"")</f>
        <v>54.218894009216598</v>
      </c>
      <c r="H180" s="786">
        <f>IF(ISNUMBER('Base de datos Rutas'!BH178),'Base de datos Rutas'!BH178,"")</f>
        <v>0.83332625047809294</v>
      </c>
      <c r="I180" s="788">
        <f>IFERROR(IF(OR(NOT(ISNUMBER('Base de datos Rutas'!O178)),N('Base de datos Rutas'!BK178)=0),"",'Base de datos Rutas'!O178/('Base de datos Rutas'!L178/'Base de datos Rutas'!BK178)),"")</f>
        <v>5220.6589861751172</v>
      </c>
      <c r="J180" s="788">
        <f>IFERROR(IF(OR(NOT(ISNUMBER('Base de datos Rutas'!N178)),N('Base de datos Rutas'!BK178)=0),"",'Base de datos Rutas'!N178/('Base de datos Rutas'!L178/'Base de datos Rutas'!BK178)),"")</f>
        <v>4989.8847926267299</v>
      </c>
      <c r="K180" s="788">
        <f>IFERROR(IF(OR(NOT(ISNUMBER('Base de datos Rutas'!J178)),N('Base de datos Rutas'!BK178)=0),"",'Base de datos Rutas'!J178/('Base de datos Rutas'!L178/'Base de datos Rutas'!BK178)),"")</f>
        <v>316.61682718894025</v>
      </c>
      <c r="L180" s="788">
        <f>IFERROR(IF(OR(NOT(ISNUMBER('Base de datos Rutas'!K178)),N('Base de datos Rutas'!BK178)=0),"",'Base de datos Rutas'!K178/('Base de datos Rutas'!L178/'Base de datos Rutas'!BK178)),"")</f>
        <v>33.53078318433181</v>
      </c>
      <c r="M180" s="787">
        <f>IF(ISNUMBER('Base de datos Rutas'!AX178),'Base de datos Rutas'!AX178,"")</f>
        <v>219.37454230200399</v>
      </c>
      <c r="N180" s="790">
        <f>IFERROR(INDEX('Hoja de apoyo v2'!B$17:B$20,MATCH($A180,'Hoja de apoyo v2'!$A$17:$A$20,0)),"")</f>
        <v>74.190366972477051</v>
      </c>
      <c r="O180" s="791">
        <f>IFERROR(INDEX('Hoja de apoyo v2'!C$17:C$20,MATCH($A180,'Hoja de apoyo v2'!$A$17:$A$20,0)),"")</f>
        <v>0.71677657005077755</v>
      </c>
      <c r="P180" s="793">
        <f>IFERROR(INDEX('Hoja de apoyo v2'!D$17:D$20,MATCH($A180,'Hoja de apoyo v2'!$A$17:$A$20,0)),"")</f>
        <v>8755.1153350385739</v>
      </c>
      <c r="Q180" s="793">
        <f>IFERROR(INDEX('Hoja de apoyo v2'!E$17:E$20,MATCH($A180,'Hoja de apoyo v2'!$A$17:$A$20,0)),"")</f>
        <v>6098.2042779326393</v>
      </c>
      <c r="R180" s="793">
        <f>IFERROR(INDEX('Hoja de apoyo v2'!F$17:F$20,MATCH($A180,'Hoja de apoyo v2'!$A$17:$A$20,0)),"")</f>
        <v>389.08889713610301</v>
      </c>
      <c r="S180" s="793">
        <f>IFERROR(INDEX('Hoja de apoyo v2'!G$17:G$20,MATCH($A180,'Hoja de apoyo v2'!$A$17:$A$20,0)),"")</f>
        <v>67.90575167807188</v>
      </c>
      <c r="T180" s="792">
        <f>IFERROR(INDEX('Hoja de apoyo v2'!H$17:H$20,MATCH($A180,'Hoja de apoyo v2'!$A$17:$A$20,0)),"")</f>
        <v>258.90325471200998</v>
      </c>
      <c r="U180" s="794">
        <f t="shared" si="76"/>
        <v>0.73080773450454262</v>
      </c>
      <c r="V180" s="795">
        <f t="shared" si="77"/>
        <v>1.1626025253853636</v>
      </c>
      <c r="W180" s="795">
        <f t="shared" si="78"/>
        <v>0.59629813958951294</v>
      </c>
      <c r="X180" s="843">
        <f t="shared" si="79"/>
        <v>0.81825477881799613</v>
      </c>
      <c r="Y180" s="843">
        <f t="shared" si="80"/>
        <v>0.81373904400615138</v>
      </c>
      <c r="Z180" s="843">
        <f t="shared" si="81"/>
        <v>0.49378413986630776</v>
      </c>
      <c r="AA180" s="843">
        <f t="shared" si="82"/>
        <v>0.84732245852229393</v>
      </c>
      <c r="AB180" s="796">
        <f t="shared" si="83"/>
        <v>2</v>
      </c>
      <c r="AC180" s="797">
        <f t="shared" si="84"/>
        <v>4</v>
      </c>
      <c r="AD180" s="797">
        <f t="shared" si="85"/>
        <v>2</v>
      </c>
      <c r="AE180" s="842">
        <f t="shared" si="86"/>
        <v>3</v>
      </c>
      <c r="AF180" s="842">
        <f t="shared" si="87"/>
        <v>3</v>
      </c>
      <c r="AG180" s="842">
        <f t="shared" si="88"/>
        <v>1</v>
      </c>
      <c r="AH180" s="842">
        <f t="shared" si="89"/>
        <v>3</v>
      </c>
      <c r="AI180" s="826" cm="1">
        <f t="array" ref="AI180">SUMPRODUCT(--ISNUMBER($U180:$AA180),$AB$3:$AH$3)</f>
        <v>1</v>
      </c>
      <c r="AJ180" s="829">
        <f t="shared" si="90"/>
        <v>33.956964402306319</v>
      </c>
      <c r="AK180" s="827" t="str">
        <f t="shared" si="91"/>
        <v>Inmadura</v>
      </c>
      <c r="AL180" s="784" t="str">
        <f t="shared" si="92"/>
        <v>Alta</v>
      </c>
      <c r="AM180" s="799">
        <f>IF(ISNUMBER('Base de datos Rutas'!W178),'Base de datos Rutas'!W178,"")</f>
        <v>2501.4542944353198</v>
      </c>
      <c r="AN180" s="787">
        <f>IFERROR(SUMIFS('Base de datos Rutas'!$W$6:$W$794,'Base de datos Rutas'!$C$6:$C$794,$C180)/'Base de datos Rutas'!I178,"")</f>
        <v>2501.4542944353188</v>
      </c>
      <c r="AO180" s="800">
        <f>IFERROR('Base de datos Rutas'!X178*AN180/AM180,"")</f>
        <v>0.63513109235883425</v>
      </c>
      <c r="AP180" s="800">
        <f t="shared" si="93"/>
        <v>0.36486890764116575</v>
      </c>
      <c r="AQ180" s="789">
        <f>IFERROR(INDEX('Hoja de apoyo v2'!$J$17:$J$20,MATCH($A180,'Hoja de apoyo v2'!$A$17:$A$20,0)),"")</f>
        <v>0.62197445417222763</v>
      </c>
      <c r="AR180" s="789">
        <f t="shared" si="94"/>
        <v>-0.25710554653106188</v>
      </c>
      <c r="AS180" s="784" t="str">
        <f t="shared" si="95"/>
        <v>Sí</v>
      </c>
      <c r="AT180" s="801">
        <f>IF(ISNUMBER('Base de datos Rutas'!CK178),'Base de datos Rutas'!CK178,"")</f>
        <v>318</v>
      </c>
      <c r="AU180" s="802">
        <f>IF(ISNUMBER('Base de datos Rutas'!CL178),'Base de datos Rutas'!CL178,"")</f>
        <v>529.22</v>
      </c>
      <c r="AV180" s="802">
        <f>IF(ISNUMBER('Base de datos Rutas'!CM178),'Base de datos Rutas'!CM178,"")</f>
        <v>211.22000000000003</v>
      </c>
      <c r="AW180" s="802">
        <f>IF(ISNUMBER('Base de datos Rutas'!CN178),'Base de datos Rutas'!CN178,"")</f>
        <v>4.1399999999999997</v>
      </c>
      <c r="AX180" s="802">
        <f>IF(ISNUMBER('Base de datos Rutas'!CO178),'Base de datos Rutas'!CO178,"")</f>
        <v>9.4499999999999993</v>
      </c>
      <c r="AY180" s="802">
        <f>IF(ISNUMBER('Base de datos Rutas'!CP178),'Base de datos Rutas'!CP178,"")</f>
        <v>5.31</v>
      </c>
      <c r="AZ180" s="802">
        <f>IF(ISNUMBER('Base de datos Rutas'!CQ178),'Base de datos Rutas'!CQ178,"")</f>
        <v>602.75</v>
      </c>
      <c r="BA180" s="802">
        <f>IF(ISNUMBER('Base de datos Rutas'!CR178),'Base de datos Rutas'!CR178,"")</f>
        <v>350.15</v>
      </c>
      <c r="BB180" s="803">
        <f>IF(ISNUMBER('Base de datos Rutas'!CS178),'Base de datos Rutas'!CS178,"")</f>
        <v>252.60000000000002</v>
      </c>
      <c r="BC180" s="804">
        <f t="shared" si="105"/>
        <v>0</v>
      </c>
      <c r="BD180" s="805" t="str">
        <f t="shared" si="106"/>
        <v>No saturada</v>
      </c>
      <c r="BE180" s="806">
        <f t="shared" si="107"/>
        <v>0.5809207797594359</v>
      </c>
      <c r="BF180" s="890">
        <f>IF(ISNUMBER('Base de datos Rutas'!CX178),'Base de datos Rutas'!CX178/100,"")</f>
        <v>0.85331944444444441</v>
      </c>
      <c r="BG180" s="891">
        <f>IF(ISNUMBER('Base de datos Rutas'!CZ178),'Base de datos Rutas'!CZ178/100,"")</f>
        <v>1</v>
      </c>
      <c r="BH180" s="892">
        <f>IF(ISNUMBER('Base de datos Rutas'!DA178),'Base de datos Rutas'!DA178,"")</f>
        <v>1351.1739017211517</v>
      </c>
      <c r="BI180" s="893">
        <f>IF(ISNUMBER('Base de datos Rutas'!DC178),'Base de datos Rutas'!DC178,"")</f>
        <v>49.099889778466832</v>
      </c>
      <c r="BJ180" s="805" t="str">
        <f t="shared" si="108"/>
        <v>Ruta (completo)</v>
      </c>
      <c r="BK180" s="783">
        <f t="shared" si="96"/>
        <v>3</v>
      </c>
      <c r="BL180" s="797">
        <f t="shared" si="97"/>
        <v>4</v>
      </c>
      <c r="BM180" s="797">
        <f t="shared" si="98"/>
        <v>5</v>
      </c>
      <c r="BN180" s="797">
        <f t="shared" si="99"/>
        <v>5</v>
      </c>
      <c r="BO180" s="798" cm="1">
        <f t="array" ref="BO180">SUMPRODUCT(--ISNUMBER($BF180:$BI180),$BK$3:$BN$3)</f>
        <v>1</v>
      </c>
      <c r="BP180" s="831">
        <f t="shared" si="109"/>
        <v>81.25</v>
      </c>
      <c r="BQ180" s="834" t="str">
        <f t="shared" si="110"/>
        <v>Alto</v>
      </c>
      <c r="BR180" s="836">
        <f t="shared" si="100"/>
        <v>25.467723301729741</v>
      </c>
      <c r="BS180" s="836">
        <f t="shared" si="101"/>
        <v>81.25</v>
      </c>
      <c r="BT180" s="837" t="str">
        <f t="shared" si="102"/>
        <v>P3</v>
      </c>
      <c r="BU180" s="807" t="str">
        <f t="shared" si="111"/>
        <v>Con espacio</v>
      </c>
      <c r="BV180" s="807" t="str">
        <f t="shared" si="103"/>
        <v>Zona atractiva</v>
      </c>
      <c r="BW180" s="808" t="str">
        <f t="shared" si="104"/>
        <v>P3 - Desarrollar</v>
      </c>
    </row>
    <row r="181" spans="1:75">
      <c r="A181" s="780" t="str">
        <f>'Base de datos Rutas'!A179</f>
        <v>Norte</v>
      </c>
      <c r="B181" s="781" t="str">
        <f>'Base de datos Rutas'!B179</f>
        <v>Juárez</v>
      </c>
      <c r="C181" s="781" t="str">
        <f>'Base de datos Rutas'!C179</f>
        <v>Planta Cd. Juárez</v>
      </c>
      <c r="D181" s="782">
        <f>IF(ISNUMBER('Base de datos Rutas'!D179),'Base de datos Rutas'!D179,"Sin código")</f>
        <v>301342</v>
      </c>
      <c r="E181" s="783" t="str">
        <f>'Base de datos Rutas'!F179</f>
        <v>Activa</v>
      </c>
      <c r="F181" s="784" t="str">
        <f>'Base de datos Rutas'!H179</f>
        <v>Sí</v>
      </c>
      <c r="G181" s="785">
        <f>IF(ISNUMBER('Base de datos Rutas'!BE179),'Base de datos Rutas'!BE179,"")</f>
        <v>50.150115473441097</v>
      </c>
      <c r="H181" s="786">
        <f>IF(ISNUMBER('Base de datos Rutas'!BH179),'Base de datos Rutas'!BH179,"")</f>
        <v>0.64600506562284099</v>
      </c>
      <c r="I181" s="788">
        <f>IFERROR(IF(OR(NOT(ISNUMBER('Base de datos Rutas'!O179)),N('Base de datos Rutas'!BK179)=0),"",'Base de datos Rutas'!O179/('Base de datos Rutas'!L179/'Base de datos Rutas'!BK179)),"")</f>
        <v>3372.0808314087726</v>
      </c>
      <c r="J181" s="788">
        <f>IFERROR(IF(OR(NOT(ISNUMBER('Base de datos Rutas'!N179)),N('Base de datos Rutas'!BK179)=0),"",'Base de datos Rutas'!N179/('Base de datos Rutas'!L179/'Base de datos Rutas'!BK179)),"")</f>
        <v>2791.4110854503433</v>
      </c>
      <c r="K181" s="788">
        <f>IFERROR(IF(OR(NOT(ISNUMBER('Base de datos Rutas'!J179)),N('Base de datos Rutas'!BK179)=0),"",'Base de datos Rutas'!J179/('Base de datos Rutas'!L179/'Base de datos Rutas'!BK179)),"")</f>
        <v>182.44131547344094</v>
      </c>
      <c r="L181" s="788">
        <f>IFERROR(IF(OR(NOT(ISNUMBER('Base de datos Rutas'!K179)),N('Base de datos Rutas'!BK179)=0),"",'Base de datos Rutas'!K179/('Base de datos Rutas'!L179/'Base de datos Rutas'!BK179)),"")</f>
        <v>21.303936399538085</v>
      </c>
      <c r="M181" s="787">
        <f>IF(ISNUMBER('Base de datos Rutas'!AX179),'Base de datos Rutas'!AX179,"")</f>
        <v>190.24763615625901</v>
      </c>
      <c r="N181" s="790">
        <f>IFERROR(INDEX('Hoja de apoyo v2'!B$17:B$20,MATCH($A181,'Hoja de apoyo v2'!$A$17:$A$20,0)),"")</f>
        <v>74.190366972477051</v>
      </c>
      <c r="O181" s="791">
        <f>IFERROR(INDEX('Hoja de apoyo v2'!C$17:C$20,MATCH($A181,'Hoja de apoyo v2'!$A$17:$A$20,0)),"")</f>
        <v>0.71677657005077755</v>
      </c>
      <c r="P181" s="793">
        <f>IFERROR(INDEX('Hoja de apoyo v2'!D$17:D$20,MATCH($A181,'Hoja de apoyo v2'!$A$17:$A$20,0)),"")</f>
        <v>8755.1153350385739</v>
      </c>
      <c r="Q181" s="793">
        <f>IFERROR(INDEX('Hoja de apoyo v2'!E$17:E$20,MATCH($A181,'Hoja de apoyo v2'!$A$17:$A$20,0)),"")</f>
        <v>6098.2042779326393</v>
      </c>
      <c r="R181" s="793">
        <f>IFERROR(INDEX('Hoja de apoyo v2'!F$17:F$20,MATCH($A181,'Hoja de apoyo v2'!$A$17:$A$20,0)),"")</f>
        <v>389.08889713610301</v>
      </c>
      <c r="S181" s="793">
        <f>IFERROR(INDEX('Hoja de apoyo v2'!G$17:G$20,MATCH($A181,'Hoja de apoyo v2'!$A$17:$A$20,0)),"")</f>
        <v>67.90575167807188</v>
      </c>
      <c r="T181" s="792">
        <f>IFERROR(INDEX('Hoja de apoyo v2'!H$17:H$20,MATCH($A181,'Hoja de apoyo v2'!$A$17:$A$20,0)),"")</f>
        <v>258.90325471200998</v>
      </c>
      <c r="U181" s="794">
        <f t="shared" si="76"/>
        <v>0.67596532433982515</v>
      </c>
      <c r="V181" s="795">
        <f t="shared" si="77"/>
        <v>0.90126420507450045</v>
      </c>
      <c r="W181" s="795">
        <f t="shared" si="78"/>
        <v>0.38515550079774197</v>
      </c>
      <c r="X181" s="843">
        <f t="shared" si="79"/>
        <v>0.45774312539045731</v>
      </c>
      <c r="Y181" s="843">
        <f t="shared" si="80"/>
        <v>0.46889365596475269</v>
      </c>
      <c r="Z181" s="843">
        <f t="shared" si="81"/>
        <v>0.31372801085445534</v>
      </c>
      <c r="AA181" s="843">
        <f t="shared" si="82"/>
        <v>0.73482133844891295</v>
      </c>
      <c r="AB181" s="796">
        <f t="shared" si="83"/>
        <v>2</v>
      </c>
      <c r="AC181" s="797">
        <f t="shared" si="84"/>
        <v>3</v>
      </c>
      <c r="AD181" s="797">
        <f t="shared" si="85"/>
        <v>1</v>
      </c>
      <c r="AE181" s="842">
        <f t="shared" si="86"/>
        <v>1</v>
      </c>
      <c r="AF181" s="842">
        <f t="shared" si="87"/>
        <v>1</v>
      </c>
      <c r="AG181" s="842">
        <f t="shared" si="88"/>
        <v>1</v>
      </c>
      <c r="AH181" s="842">
        <f t="shared" si="89"/>
        <v>2</v>
      </c>
      <c r="AI181" s="826" cm="1">
        <f t="array" ref="AI181">SUMPRODUCT(--ISNUMBER($U181:$AA181),$AB$3:$AH$3)</f>
        <v>1</v>
      </c>
      <c r="AJ181" s="829">
        <f t="shared" si="90"/>
        <v>11.544175190244282</v>
      </c>
      <c r="AK181" s="827" t="str">
        <f t="shared" si="91"/>
        <v>Inmadura</v>
      </c>
      <c r="AL181" s="784" t="str">
        <f t="shared" si="92"/>
        <v>Alta</v>
      </c>
      <c r="AM181" s="799">
        <f>IF(ISNUMBER('Base de datos Rutas'!W179),'Base de datos Rutas'!W179,"")</f>
        <v>2501.4542944353198</v>
      </c>
      <c r="AN181" s="787">
        <f>IFERROR(SUMIFS('Base de datos Rutas'!$W$6:$W$794,'Base de datos Rutas'!$C$6:$C$794,$C181)/'Base de datos Rutas'!I179,"")</f>
        <v>2501.4542944353188</v>
      </c>
      <c r="AO181" s="800">
        <f>IFERROR('Base de datos Rutas'!X179*AN181/AM181,"")</f>
        <v>0.63513109235883425</v>
      </c>
      <c r="AP181" s="800">
        <f t="shared" si="93"/>
        <v>0.36486890764116575</v>
      </c>
      <c r="AQ181" s="789">
        <f>IFERROR(INDEX('Hoja de apoyo v2'!$J$17:$J$20,MATCH($A181,'Hoja de apoyo v2'!$A$17:$A$20,0)),"")</f>
        <v>0.62197445417222763</v>
      </c>
      <c r="AR181" s="789">
        <f t="shared" si="94"/>
        <v>-0.25710554653106188</v>
      </c>
      <c r="AS181" s="784" t="str">
        <f t="shared" si="95"/>
        <v>Sí</v>
      </c>
      <c r="AT181" s="801">
        <f>IF(ISNUMBER('Base de datos Rutas'!CK179),'Base de datos Rutas'!CK179,"")</f>
        <v>352</v>
      </c>
      <c r="AU181" s="802">
        <f>IF(ISNUMBER('Base de datos Rutas'!CL179),'Base de datos Rutas'!CL179,"")</f>
        <v>720.05</v>
      </c>
      <c r="AV181" s="802">
        <f>IF(ISNUMBER('Base de datos Rutas'!CM179),'Base de datos Rutas'!CM179,"")</f>
        <v>368.04999999999995</v>
      </c>
      <c r="AW181" s="802">
        <f>IF(ISNUMBER('Base de datos Rutas'!CN179),'Base de datos Rutas'!CN179,"")</f>
        <v>4.8600000000000003</v>
      </c>
      <c r="AX181" s="802">
        <f>IF(ISNUMBER('Base de datos Rutas'!CO179),'Base de datos Rutas'!CO179,"")</f>
        <v>9.4499999999999993</v>
      </c>
      <c r="AY181" s="802">
        <f>IF(ISNUMBER('Base de datos Rutas'!CP179),'Base de datos Rutas'!CP179,"")</f>
        <v>4.589999999999999</v>
      </c>
      <c r="AZ181" s="802">
        <f>IF(ISNUMBER('Base de datos Rutas'!CQ179),'Base de datos Rutas'!CQ179,"")</f>
        <v>602.75</v>
      </c>
      <c r="BA181" s="802">
        <f>IF(ISNUMBER('Base de datos Rutas'!CR179),'Base de datos Rutas'!CR179,"")</f>
        <v>203.75</v>
      </c>
      <c r="BB181" s="803">
        <f>IF(ISNUMBER('Base de datos Rutas'!CS179),'Base de datos Rutas'!CS179,"")</f>
        <v>399</v>
      </c>
      <c r="BC181" s="804">
        <f t="shared" si="105"/>
        <v>0</v>
      </c>
      <c r="BD181" s="805" t="str">
        <f t="shared" si="106"/>
        <v>No saturada</v>
      </c>
      <c r="BE181" s="806">
        <f t="shared" si="107"/>
        <v>0.3380340107839071</v>
      </c>
      <c r="BF181" s="890">
        <f>IF(ISNUMBER('Base de datos Rutas'!CX179),'Base de datos Rutas'!CX179/100,"")</f>
        <v>0.73049870045484089</v>
      </c>
      <c r="BG181" s="891">
        <f>IF(ISNUMBER('Base de datos Rutas'!CZ179),'Base de datos Rutas'!CZ179/100,"")</f>
        <v>0.79028589993502285</v>
      </c>
      <c r="BH181" s="892">
        <f>IF(ISNUMBER('Base de datos Rutas'!DA179),'Base de datos Rutas'!DA179,"")</f>
        <v>503.09696890735046</v>
      </c>
      <c r="BI181" s="893">
        <f>IF(ISNUMBER('Base de datos Rutas'!DC179),'Base de datos Rutas'!DC179,"")</f>
        <v>19.918069297445605</v>
      </c>
      <c r="BJ181" s="805" t="str">
        <f t="shared" si="108"/>
        <v>Ruta (completo)</v>
      </c>
      <c r="BK181" s="783">
        <f t="shared" si="96"/>
        <v>3</v>
      </c>
      <c r="BL181" s="797">
        <f t="shared" si="97"/>
        <v>3</v>
      </c>
      <c r="BM181" s="797">
        <f t="shared" si="98"/>
        <v>3</v>
      </c>
      <c r="BN181" s="797">
        <f t="shared" si="99"/>
        <v>3</v>
      </c>
      <c r="BO181" s="798" cm="1">
        <f t="array" ref="BO181">SUMPRODUCT(--ISNUMBER($BF181:$BI181),$BK$3:$BN$3)</f>
        <v>1</v>
      </c>
      <c r="BP181" s="831">
        <f t="shared" si="109"/>
        <v>50</v>
      </c>
      <c r="BQ181" s="834" t="str">
        <f t="shared" si="110"/>
        <v>Alto</v>
      </c>
      <c r="BR181" s="836">
        <f t="shared" si="100"/>
        <v>8.6581313926832113</v>
      </c>
      <c r="BS181" s="836">
        <f t="shared" si="101"/>
        <v>50</v>
      </c>
      <c r="BT181" s="837" t="str">
        <f t="shared" si="102"/>
        <v>P3</v>
      </c>
      <c r="BU181" s="807" t="str">
        <f t="shared" si="111"/>
        <v>Con espacio</v>
      </c>
      <c r="BV181" s="807" t="str">
        <f t="shared" si="103"/>
        <v>Zona atractiva</v>
      </c>
      <c r="BW181" s="808" t="str">
        <f t="shared" si="104"/>
        <v>P3 - Desarrollar</v>
      </c>
    </row>
    <row r="182" spans="1:75">
      <c r="A182" s="780" t="str">
        <f>'Base de datos Rutas'!A180</f>
        <v>Norte</v>
      </c>
      <c r="B182" s="781" t="str">
        <f>'Base de datos Rutas'!B180</f>
        <v>Juárez</v>
      </c>
      <c r="C182" s="781" t="str">
        <f>'Base de datos Rutas'!C180</f>
        <v>Planta Cd. Juárez</v>
      </c>
      <c r="D182" s="782">
        <f>IF(ISNUMBER('Base de datos Rutas'!D180),'Base de datos Rutas'!D180,"Sin código")</f>
        <v>301343</v>
      </c>
      <c r="E182" s="783" t="str">
        <f>'Base de datos Rutas'!F180</f>
        <v>Activa</v>
      </c>
      <c r="F182" s="784" t="str">
        <f>'Base de datos Rutas'!H180</f>
        <v>Sí</v>
      </c>
      <c r="G182" s="785">
        <f>IF(ISNUMBER('Base de datos Rutas'!BE180),'Base de datos Rutas'!BE180,"")</f>
        <v>55.1264367816092</v>
      </c>
      <c r="H182" s="786">
        <f>IF(ISNUMBER('Base de datos Rutas'!BH180),'Base de datos Rutas'!BH180,"")</f>
        <v>0.30954962468723901</v>
      </c>
      <c r="I182" s="788">
        <f>IFERROR(IF(OR(NOT(ISNUMBER('Base de datos Rutas'!O180)),N('Base de datos Rutas'!BK180)=0),"",'Base de datos Rutas'!O180/('Base de datos Rutas'!L180/'Base de datos Rutas'!BK180)),"")</f>
        <v>4838.963218390817</v>
      </c>
      <c r="J182" s="788">
        <f>IFERROR(IF(OR(NOT(ISNUMBER('Base de datos Rutas'!N180)),N('Base de datos Rutas'!BK180)=0),"",'Base de datos Rutas'!N180/('Base de datos Rutas'!L180/'Base de datos Rutas'!BK180)),"")</f>
        <v>2506.4321839080526</v>
      </c>
      <c r="K182" s="788">
        <f>IFERROR(IF(OR(NOT(ISNUMBER('Base de datos Rutas'!J180)),N('Base de datos Rutas'!BK180)=0),"",'Base de datos Rutas'!J180/('Base de datos Rutas'!L180/'Base de datos Rutas'!BK180)),"")</f>
        <v>173.75624275862114</v>
      </c>
      <c r="L182" s="788">
        <f>IFERROR(IF(OR(NOT(ISNUMBER('Base de datos Rutas'!K180)),N('Base de datos Rutas'!BK180)=0),"",'Base de datos Rutas'!K180/('Base de datos Rutas'!L180/'Base de datos Rutas'!BK180)),"")</f>
        <v>46.156183788505864</v>
      </c>
      <c r="M182" s="787">
        <f>IF(ISNUMBER('Base de datos Rutas'!AX180),'Base de datos Rutas'!AX180,"")</f>
        <v>426.40370066011099</v>
      </c>
      <c r="N182" s="790">
        <f>IFERROR(INDEX('Hoja de apoyo v2'!B$17:B$20,MATCH($A182,'Hoja de apoyo v2'!$A$17:$A$20,0)),"")</f>
        <v>74.190366972477051</v>
      </c>
      <c r="O182" s="791">
        <f>IFERROR(INDEX('Hoja de apoyo v2'!C$17:C$20,MATCH($A182,'Hoja de apoyo v2'!$A$17:$A$20,0)),"")</f>
        <v>0.71677657005077755</v>
      </c>
      <c r="P182" s="793">
        <f>IFERROR(INDEX('Hoja de apoyo v2'!D$17:D$20,MATCH($A182,'Hoja de apoyo v2'!$A$17:$A$20,0)),"")</f>
        <v>8755.1153350385739</v>
      </c>
      <c r="Q182" s="793">
        <f>IFERROR(INDEX('Hoja de apoyo v2'!E$17:E$20,MATCH($A182,'Hoja de apoyo v2'!$A$17:$A$20,0)),"")</f>
        <v>6098.2042779326393</v>
      </c>
      <c r="R182" s="793">
        <f>IFERROR(INDEX('Hoja de apoyo v2'!F$17:F$20,MATCH($A182,'Hoja de apoyo v2'!$A$17:$A$20,0)),"")</f>
        <v>389.08889713610301</v>
      </c>
      <c r="S182" s="793">
        <f>IFERROR(INDEX('Hoja de apoyo v2'!G$17:G$20,MATCH($A182,'Hoja de apoyo v2'!$A$17:$A$20,0)),"")</f>
        <v>67.90575167807188</v>
      </c>
      <c r="T182" s="792">
        <f>IFERROR(INDEX('Hoja de apoyo v2'!H$17:H$20,MATCH($A182,'Hoja de apoyo v2'!$A$17:$A$20,0)),"")</f>
        <v>258.90325471200998</v>
      </c>
      <c r="U182" s="794">
        <f t="shared" si="76"/>
        <v>0.74304035727522233</v>
      </c>
      <c r="V182" s="795">
        <f t="shared" si="77"/>
        <v>0.43186348106399464</v>
      </c>
      <c r="W182" s="795">
        <f t="shared" si="78"/>
        <v>0.55270125329188446</v>
      </c>
      <c r="X182" s="843">
        <f t="shared" si="79"/>
        <v>0.41101151579621431</v>
      </c>
      <c r="Y182" s="843">
        <f t="shared" si="80"/>
        <v>0.44657209197578651</v>
      </c>
      <c r="Z182" s="843">
        <f t="shared" si="81"/>
        <v>0.67970948922446894</v>
      </c>
      <c r="AA182" s="843">
        <f t="shared" si="82"/>
        <v>1.6469615306088734</v>
      </c>
      <c r="AB182" s="796">
        <f t="shared" si="83"/>
        <v>2</v>
      </c>
      <c r="AC182" s="797">
        <f t="shared" si="84"/>
        <v>1</v>
      </c>
      <c r="AD182" s="797">
        <f t="shared" si="85"/>
        <v>2</v>
      </c>
      <c r="AE182" s="842">
        <f t="shared" si="86"/>
        <v>1</v>
      </c>
      <c r="AF182" s="842">
        <f t="shared" si="87"/>
        <v>1</v>
      </c>
      <c r="AG182" s="842">
        <f t="shared" si="88"/>
        <v>2</v>
      </c>
      <c r="AH182" s="842">
        <f t="shared" si="89"/>
        <v>5</v>
      </c>
      <c r="AI182" s="826" cm="1">
        <f t="array" ref="AI182">SUMPRODUCT(--ISNUMBER($U182:$AA182),$AB$3:$AH$3)</f>
        <v>1</v>
      </c>
      <c r="AJ182" s="829">
        <f t="shared" si="90"/>
        <v>23.015785776830732</v>
      </c>
      <c r="AK182" s="827" t="str">
        <f t="shared" si="91"/>
        <v>Inmadura</v>
      </c>
      <c r="AL182" s="784" t="str">
        <f t="shared" si="92"/>
        <v>Alta</v>
      </c>
      <c r="AM182" s="799">
        <f>IF(ISNUMBER('Base de datos Rutas'!W180),'Base de datos Rutas'!W180,"")</f>
        <v>2501.4542944353198</v>
      </c>
      <c r="AN182" s="787">
        <f>IFERROR(SUMIFS('Base de datos Rutas'!$W$6:$W$794,'Base de datos Rutas'!$C$6:$C$794,$C182)/'Base de datos Rutas'!I180,"")</f>
        <v>2501.4542944353188</v>
      </c>
      <c r="AO182" s="800">
        <f>IFERROR('Base de datos Rutas'!X180*AN182/AM182,"")</f>
        <v>0.63513109235883425</v>
      </c>
      <c r="AP182" s="800">
        <f t="shared" si="93"/>
        <v>0.36486890764116575</v>
      </c>
      <c r="AQ182" s="789">
        <f>IFERROR(INDEX('Hoja de apoyo v2'!$J$17:$J$20,MATCH($A182,'Hoja de apoyo v2'!$A$17:$A$20,0)),"")</f>
        <v>0.62197445417222763</v>
      </c>
      <c r="AR182" s="789">
        <f t="shared" si="94"/>
        <v>-0.25710554653106188</v>
      </c>
      <c r="AS182" s="784" t="str">
        <f t="shared" si="95"/>
        <v>Sí</v>
      </c>
      <c r="AT182" s="801">
        <f>IF(ISNUMBER('Base de datos Rutas'!CK180),'Base de datos Rutas'!CK180,"")</f>
        <v>245</v>
      </c>
      <c r="AU182" s="802">
        <f>IF(ISNUMBER('Base de datos Rutas'!CL180),'Base de datos Rutas'!CL180,"")</f>
        <v>876.67</v>
      </c>
      <c r="AV182" s="802">
        <f>IF(ISNUMBER('Base de datos Rutas'!CM180),'Base de datos Rutas'!CM180,"")</f>
        <v>631.66999999999996</v>
      </c>
      <c r="AW182" s="802">
        <f>IF(ISNUMBER('Base de datos Rutas'!CN180),'Base de datos Rutas'!CN180,"")</f>
        <v>3.24</v>
      </c>
      <c r="AX182" s="802">
        <f>IF(ISNUMBER('Base de datos Rutas'!CO180),'Base de datos Rutas'!CO180,"")</f>
        <v>9.4499999999999993</v>
      </c>
      <c r="AY182" s="802">
        <f>IF(ISNUMBER('Base de datos Rutas'!CP180),'Base de datos Rutas'!CP180,"")</f>
        <v>6.2099999999999991</v>
      </c>
      <c r="AZ182" s="802">
        <f>IF(ISNUMBER('Base de datos Rutas'!CQ180),'Base de datos Rutas'!CQ180,"")</f>
        <v>602.75</v>
      </c>
      <c r="BA182" s="802">
        <f>IF(ISNUMBER('Base de datos Rutas'!CR180),'Base de datos Rutas'!CR180,"")</f>
        <v>219.91</v>
      </c>
      <c r="BB182" s="803">
        <f>IF(ISNUMBER('Base de datos Rutas'!CS180),'Base de datos Rutas'!CS180,"")</f>
        <v>382.84000000000003</v>
      </c>
      <c r="BC182" s="804">
        <f t="shared" si="105"/>
        <v>0</v>
      </c>
      <c r="BD182" s="805" t="str">
        <f t="shared" si="106"/>
        <v>No saturada</v>
      </c>
      <c r="BE182" s="806">
        <f t="shared" si="107"/>
        <v>0.36484446287847366</v>
      </c>
      <c r="BF182" s="890">
        <f>IF(ISNUMBER('Base de datos Rutas'!CX180),'Base de datos Rutas'!CX180/100,"")</f>
        <v>3.9819500663838603E-2</v>
      </c>
      <c r="BG182" s="891">
        <f>IF(ISNUMBER('Base de datos Rutas'!CZ180),'Base de datos Rutas'!CZ180/100,"")</f>
        <v>4.3910495126453161E-2</v>
      </c>
      <c r="BH182" s="892">
        <f>IF(ISNUMBER('Base de datos Rutas'!DA180),'Base de datos Rutas'!DA180,"")</f>
        <v>29.205597101640528</v>
      </c>
      <c r="BI182" s="893">
        <f>IF(ISNUMBER('Base de datos Rutas'!DC180),'Base de datos Rutas'!DC180,"")</f>
        <v>1.293831323905499</v>
      </c>
      <c r="BJ182" s="805" t="str">
        <f t="shared" si="108"/>
        <v>Ruta (completo)</v>
      </c>
      <c r="BK182" s="783">
        <f t="shared" si="96"/>
        <v>1</v>
      </c>
      <c r="BL182" s="797">
        <f t="shared" si="97"/>
        <v>1</v>
      </c>
      <c r="BM182" s="797">
        <f t="shared" si="98"/>
        <v>1</v>
      </c>
      <c r="BN182" s="797">
        <f t="shared" si="99"/>
        <v>1</v>
      </c>
      <c r="BO182" s="798" cm="1">
        <f t="array" ref="BO182">SUMPRODUCT(--ISNUMBER($BF182:$BI182),$BK$3:$BN$3)</f>
        <v>1</v>
      </c>
      <c r="BP182" s="831">
        <f t="shared" si="109"/>
        <v>0</v>
      </c>
      <c r="BQ182" s="834" t="str">
        <f t="shared" si="110"/>
        <v>Bajo</v>
      </c>
      <c r="BR182" s="836">
        <f t="shared" si="100"/>
        <v>17.261839332623047</v>
      </c>
      <c r="BS182" s="836">
        <f t="shared" si="101"/>
        <v>0</v>
      </c>
      <c r="BT182" s="837" t="str">
        <f t="shared" si="102"/>
        <v>P4</v>
      </c>
      <c r="BU182" s="807" t="str">
        <f t="shared" si="111"/>
        <v>Con espacio</v>
      </c>
      <c r="BV182" s="807" t="str">
        <f t="shared" si="103"/>
        <v>Zona de bajo potencial</v>
      </c>
      <c r="BW182" s="808" t="str">
        <f t="shared" si="104"/>
        <v>P4 - Evaluar</v>
      </c>
    </row>
    <row r="183" spans="1:75">
      <c r="A183" s="780" t="str">
        <f>'Base de datos Rutas'!A181</f>
        <v>Norte</v>
      </c>
      <c r="B183" s="781" t="str">
        <f>'Base de datos Rutas'!B181</f>
        <v>Juárez</v>
      </c>
      <c r="C183" s="781" t="str">
        <f>'Base de datos Rutas'!C181</f>
        <v>Planta Cd. Juárez</v>
      </c>
      <c r="D183" s="782">
        <f>IF(ISNUMBER('Base de datos Rutas'!D181),'Base de datos Rutas'!D181,"Sin código")</f>
        <v>301344</v>
      </c>
      <c r="E183" s="783" t="str">
        <f>'Base de datos Rutas'!F181</f>
        <v>Activa</v>
      </c>
      <c r="F183" s="784" t="str">
        <f>'Base de datos Rutas'!H181</f>
        <v>Sí</v>
      </c>
      <c r="G183" s="785">
        <f>IF(ISNUMBER('Base de datos Rutas'!BE181),'Base de datos Rutas'!BE181,"")</f>
        <v>56.565517241379297</v>
      </c>
      <c r="H183" s="786">
        <f>IF(ISNUMBER('Base de datos Rutas'!BH181),'Base de datos Rutas'!BH181,"")</f>
        <v>0.64012842396163505</v>
      </c>
      <c r="I183" s="788">
        <f>IFERROR(IF(OR(NOT(ISNUMBER('Base de datos Rutas'!O181)),N('Base de datos Rutas'!BK181)=0),"",'Base de datos Rutas'!O181/('Base de datos Rutas'!L181/'Base de datos Rutas'!BK181)),"")</f>
        <v>3952.3770114942536</v>
      </c>
      <c r="J183" s="788">
        <f>IFERROR(IF(OR(NOT(ISNUMBER('Base de datos Rutas'!N181)),N('Base de datos Rutas'!BK181)=0),"",'Base de datos Rutas'!N181/('Base de datos Rutas'!L181/'Base de datos Rutas'!BK181)),"")</f>
        <v>4779.3356321839083</v>
      </c>
      <c r="K183" s="788">
        <f>IFERROR(IF(OR(NOT(ISNUMBER('Base de datos Rutas'!J181)),N('Base de datos Rutas'!BK181)=0),"",'Base de datos Rutas'!J181/('Base de datos Rutas'!L181/'Base de datos Rutas'!BK181)),"")</f>
        <v>311.32737103448284</v>
      </c>
      <c r="L183" s="788">
        <f>IFERROR(IF(OR(NOT(ISNUMBER('Base de datos Rutas'!K181)),N('Base de datos Rutas'!BK181)=0),"",'Base de datos Rutas'!K181/('Base de datos Rutas'!L181/'Base de datos Rutas'!BK181)),"")</f>
        <v>24.296794027586209</v>
      </c>
      <c r="M183" s="787">
        <f>IF(ISNUMBER('Base de datos Rutas'!AX181),'Base de datos Rutas'!AX181,"")</f>
        <v>240.98537489683201</v>
      </c>
      <c r="N183" s="790">
        <f>IFERROR(INDEX('Hoja de apoyo v2'!B$17:B$20,MATCH($A183,'Hoja de apoyo v2'!$A$17:$A$20,0)),"")</f>
        <v>74.190366972477051</v>
      </c>
      <c r="O183" s="791">
        <f>IFERROR(INDEX('Hoja de apoyo v2'!C$17:C$20,MATCH($A183,'Hoja de apoyo v2'!$A$17:$A$20,0)),"")</f>
        <v>0.71677657005077755</v>
      </c>
      <c r="P183" s="793">
        <f>IFERROR(INDEX('Hoja de apoyo v2'!D$17:D$20,MATCH($A183,'Hoja de apoyo v2'!$A$17:$A$20,0)),"")</f>
        <v>8755.1153350385739</v>
      </c>
      <c r="Q183" s="793">
        <f>IFERROR(INDEX('Hoja de apoyo v2'!E$17:E$20,MATCH($A183,'Hoja de apoyo v2'!$A$17:$A$20,0)),"")</f>
        <v>6098.2042779326393</v>
      </c>
      <c r="R183" s="793">
        <f>IFERROR(INDEX('Hoja de apoyo v2'!F$17:F$20,MATCH($A183,'Hoja de apoyo v2'!$A$17:$A$20,0)),"")</f>
        <v>389.08889713610301</v>
      </c>
      <c r="S183" s="793">
        <f>IFERROR(INDEX('Hoja de apoyo v2'!G$17:G$20,MATCH($A183,'Hoja de apoyo v2'!$A$17:$A$20,0)),"")</f>
        <v>67.90575167807188</v>
      </c>
      <c r="T183" s="792">
        <f>IFERROR(INDEX('Hoja de apoyo v2'!H$17:H$20,MATCH($A183,'Hoja de apoyo v2'!$A$17:$A$20,0)),"")</f>
        <v>258.90325471200998</v>
      </c>
      <c r="U183" s="794">
        <f t="shared" si="76"/>
        <v>0.76243749087214818</v>
      </c>
      <c r="V183" s="795">
        <f t="shared" si="77"/>
        <v>0.89306549726686435</v>
      </c>
      <c r="W183" s="795">
        <f t="shared" si="78"/>
        <v>0.45143631582745336</v>
      </c>
      <c r="X183" s="843">
        <f t="shared" si="79"/>
        <v>0.78372835909723859</v>
      </c>
      <c r="Y183" s="843">
        <f t="shared" si="80"/>
        <v>0.80014457705170838</v>
      </c>
      <c r="Z183" s="843">
        <f t="shared" si="81"/>
        <v>0.35780170938645434</v>
      </c>
      <c r="AA183" s="843">
        <f t="shared" si="82"/>
        <v>0.9307931457443096</v>
      </c>
      <c r="AB183" s="796">
        <f t="shared" si="83"/>
        <v>3</v>
      </c>
      <c r="AC183" s="797">
        <f t="shared" si="84"/>
        <v>3</v>
      </c>
      <c r="AD183" s="797">
        <f t="shared" si="85"/>
        <v>1</v>
      </c>
      <c r="AE183" s="842">
        <f t="shared" si="86"/>
        <v>3</v>
      </c>
      <c r="AF183" s="842">
        <f t="shared" si="87"/>
        <v>3</v>
      </c>
      <c r="AG183" s="842">
        <f t="shared" si="88"/>
        <v>1</v>
      </c>
      <c r="AH183" s="842">
        <f t="shared" si="89"/>
        <v>3</v>
      </c>
      <c r="AI183" s="826" cm="1">
        <f t="array" ref="AI183">SUMPRODUCT(--ISNUMBER($U183:$AA183),$AB$3:$AH$3)</f>
        <v>1</v>
      </c>
      <c r="AJ183" s="829">
        <f t="shared" si="90"/>
        <v>30.993523525224564</v>
      </c>
      <c r="AK183" s="827" t="str">
        <f t="shared" si="91"/>
        <v>Inmadura</v>
      </c>
      <c r="AL183" s="784" t="str">
        <f t="shared" si="92"/>
        <v>Alta</v>
      </c>
      <c r="AM183" s="799">
        <f>IF(ISNUMBER('Base de datos Rutas'!W181),'Base de datos Rutas'!W181,"")</f>
        <v>2501.4542944353198</v>
      </c>
      <c r="AN183" s="787">
        <f>IFERROR(SUMIFS('Base de datos Rutas'!$W$6:$W$794,'Base de datos Rutas'!$C$6:$C$794,$C183)/'Base de datos Rutas'!I181,"")</f>
        <v>2501.4542944353188</v>
      </c>
      <c r="AO183" s="800">
        <f>IFERROR('Base de datos Rutas'!X181*AN183/AM183,"")</f>
        <v>0.63513109235883425</v>
      </c>
      <c r="AP183" s="800">
        <f t="shared" si="93"/>
        <v>0.36486890764116575</v>
      </c>
      <c r="AQ183" s="789">
        <f>IFERROR(INDEX('Hoja de apoyo v2'!$J$17:$J$20,MATCH($A183,'Hoja de apoyo v2'!$A$17:$A$20,0)),"")</f>
        <v>0.62197445417222763</v>
      </c>
      <c r="AR183" s="789">
        <f t="shared" si="94"/>
        <v>-0.25710554653106188</v>
      </c>
      <c r="AS183" s="784" t="str">
        <f t="shared" si="95"/>
        <v>Sí</v>
      </c>
      <c r="AT183" s="801">
        <f>IF(ISNUMBER('Base de datos Rutas'!CK181),'Base de datos Rutas'!CK181,"")</f>
        <v>328</v>
      </c>
      <c r="AU183" s="802">
        <f>IF(ISNUMBER('Base de datos Rutas'!CL181),'Base de datos Rutas'!CL181,"")</f>
        <v>594.09</v>
      </c>
      <c r="AV183" s="802">
        <f>IF(ISNUMBER('Base de datos Rutas'!CM181),'Base de datos Rutas'!CM181,"")</f>
        <v>266.09000000000003</v>
      </c>
      <c r="AW183" s="802">
        <f>IF(ISNUMBER('Base de datos Rutas'!CN181),'Base de datos Rutas'!CN181,"")</f>
        <v>4.57</v>
      </c>
      <c r="AX183" s="802">
        <f>IF(ISNUMBER('Base de datos Rutas'!CO181),'Base de datos Rutas'!CO181,"")</f>
        <v>9.4499999999999993</v>
      </c>
      <c r="AY183" s="802">
        <f>IF(ISNUMBER('Base de datos Rutas'!CP181),'Base de datos Rutas'!CP181,"")</f>
        <v>4.879999999999999</v>
      </c>
      <c r="AZ183" s="802">
        <f>IF(ISNUMBER('Base de datos Rutas'!CQ181),'Base de datos Rutas'!CQ181,"")</f>
        <v>602.75</v>
      </c>
      <c r="BA183" s="802">
        <f>IF(ISNUMBER('Base de datos Rutas'!CR181),'Base de datos Rutas'!CR181,"")</f>
        <v>335.62</v>
      </c>
      <c r="BB183" s="803">
        <f>IF(ISNUMBER('Base de datos Rutas'!CS181),'Base de datos Rutas'!CS181,"")</f>
        <v>267.13</v>
      </c>
      <c r="BC183" s="804">
        <f t="shared" si="105"/>
        <v>0</v>
      </c>
      <c r="BD183" s="805" t="str">
        <f t="shared" si="106"/>
        <v>No saturada</v>
      </c>
      <c r="BE183" s="806">
        <f t="shared" si="107"/>
        <v>0.55681459975114056</v>
      </c>
      <c r="BF183" s="890">
        <f>IF(ISNUMBER('Base de datos Rutas'!CX181),'Base de datos Rutas'!CX181/100,"")</f>
        <v>0.73415787490580253</v>
      </c>
      <c r="BG183" s="891">
        <f>IF(ISNUMBER('Base de datos Rutas'!CZ181),'Base de datos Rutas'!CZ181/100,"")</f>
        <v>0.78428786737000744</v>
      </c>
      <c r="BH183" s="892">
        <f>IF(ISNUMBER('Base de datos Rutas'!DA181),'Base de datos Rutas'!DA181,"")</f>
        <v>515.45177777897379</v>
      </c>
      <c r="BI183" s="893">
        <f>IF(ISNUMBER('Base de datos Rutas'!DC181),'Base de datos Rutas'!DC181,"")</f>
        <v>18.522065485128515</v>
      </c>
      <c r="BJ183" s="805" t="str">
        <f t="shared" si="108"/>
        <v>Ruta (completo)</v>
      </c>
      <c r="BK183" s="783">
        <f t="shared" si="96"/>
        <v>3</v>
      </c>
      <c r="BL183" s="797">
        <f t="shared" si="97"/>
        <v>3</v>
      </c>
      <c r="BM183" s="797">
        <f t="shared" si="98"/>
        <v>3</v>
      </c>
      <c r="BN183" s="797">
        <f t="shared" si="99"/>
        <v>2</v>
      </c>
      <c r="BO183" s="798" cm="1">
        <f t="array" ref="BO183">SUMPRODUCT(--ISNUMBER($BF183:$BI183),$BK$3:$BN$3)</f>
        <v>1</v>
      </c>
      <c r="BP183" s="831">
        <f t="shared" si="109"/>
        <v>43.75</v>
      </c>
      <c r="BQ183" s="834" t="str">
        <f t="shared" si="110"/>
        <v>Medio</v>
      </c>
      <c r="BR183" s="836">
        <f t="shared" si="100"/>
        <v>23.245142643918424</v>
      </c>
      <c r="BS183" s="836">
        <f t="shared" si="101"/>
        <v>43.75</v>
      </c>
      <c r="BT183" s="837" t="str">
        <f t="shared" si="102"/>
        <v>P4</v>
      </c>
      <c r="BU183" s="807" t="str">
        <f t="shared" si="111"/>
        <v>Con espacio</v>
      </c>
      <c r="BV183" s="807" t="str">
        <f t="shared" si="103"/>
        <v>Zona de bajo potencial</v>
      </c>
      <c r="BW183" s="808" t="str">
        <f t="shared" si="104"/>
        <v>P4 - Evaluar</v>
      </c>
    </row>
    <row r="184" spans="1:75">
      <c r="A184" s="780" t="str">
        <f>'Base de datos Rutas'!A182</f>
        <v>Norte</v>
      </c>
      <c r="B184" s="781" t="str">
        <f>'Base de datos Rutas'!B182</f>
        <v>Juárez</v>
      </c>
      <c r="C184" s="781" t="str">
        <f>'Base de datos Rutas'!C182</f>
        <v>Planta Cd. Juárez</v>
      </c>
      <c r="D184" s="782">
        <f>IF(ISNUMBER('Base de datos Rutas'!D182),'Base de datos Rutas'!D182,"Sin código")</f>
        <v>301347</v>
      </c>
      <c r="E184" s="783" t="str">
        <f>'Base de datos Rutas'!F182</f>
        <v>Activa</v>
      </c>
      <c r="F184" s="784" t="str">
        <f>'Base de datos Rutas'!H182</f>
        <v>Sí</v>
      </c>
      <c r="G184" s="785">
        <f>IF(ISNUMBER('Base de datos Rutas'!BE182),'Base de datos Rutas'!BE182,"")</f>
        <v>52.038901601830702</v>
      </c>
      <c r="H184" s="786">
        <f>IF(ISNUMBER('Base de datos Rutas'!BH182),'Base de datos Rutas'!BH182,"")</f>
        <v>0.82014863022734297</v>
      </c>
      <c r="I184" s="788">
        <f>IFERROR(IF(OR(NOT(ISNUMBER('Base de datos Rutas'!O182)),N('Base de datos Rutas'!BK182)=0),"",'Base de datos Rutas'!O182/('Base de datos Rutas'!L182/'Base de datos Rutas'!BK182)),"")</f>
        <v>3306.2906178489625</v>
      </c>
      <c r="J184" s="788">
        <f>IFERROR(IF(OR(NOT(ISNUMBER('Base de datos Rutas'!N182)),N('Base de datos Rutas'!BK182)=0),"",'Base de datos Rutas'!N182/('Base de datos Rutas'!L182/'Base de datos Rutas'!BK182)),"")</f>
        <v>5853.0297482837395</v>
      </c>
      <c r="K184" s="788">
        <f>IFERROR(IF(OR(NOT(ISNUMBER('Base de datos Rutas'!J182)),N('Base de datos Rutas'!BK182)=0),"",'Base de datos Rutas'!J182/('Base de datos Rutas'!L182/'Base de datos Rutas'!BK182)),"")</f>
        <v>379.47592585812265</v>
      </c>
      <c r="L184" s="788">
        <f>IFERROR(IF(OR(NOT(ISNUMBER('Base de datos Rutas'!K182)),N('Base de datos Rutas'!BK182)=0),"",'Base de datos Rutas'!K182/('Base de datos Rutas'!L182/'Base de datos Rutas'!BK182)),"")</f>
        <v>19.507992794050299</v>
      </c>
      <c r="M184" s="787">
        <f>IF(ISNUMBER('Base de datos Rutas'!AX182),'Base de datos Rutas'!AX182,"")</f>
        <v>214.55023537611899</v>
      </c>
      <c r="N184" s="790">
        <f>IFERROR(INDEX('Hoja de apoyo v2'!B$17:B$20,MATCH($A184,'Hoja de apoyo v2'!$A$17:$A$20,0)),"")</f>
        <v>74.190366972477051</v>
      </c>
      <c r="O184" s="791">
        <f>IFERROR(INDEX('Hoja de apoyo v2'!C$17:C$20,MATCH($A184,'Hoja de apoyo v2'!$A$17:$A$20,0)),"")</f>
        <v>0.71677657005077755</v>
      </c>
      <c r="P184" s="793">
        <f>IFERROR(INDEX('Hoja de apoyo v2'!D$17:D$20,MATCH($A184,'Hoja de apoyo v2'!$A$17:$A$20,0)),"")</f>
        <v>8755.1153350385739</v>
      </c>
      <c r="Q184" s="793">
        <f>IFERROR(INDEX('Hoja de apoyo v2'!E$17:E$20,MATCH($A184,'Hoja de apoyo v2'!$A$17:$A$20,0)),"")</f>
        <v>6098.2042779326393</v>
      </c>
      <c r="R184" s="793">
        <f>IFERROR(INDEX('Hoja de apoyo v2'!F$17:F$20,MATCH($A184,'Hoja de apoyo v2'!$A$17:$A$20,0)),"")</f>
        <v>389.08889713610301</v>
      </c>
      <c r="S184" s="793">
        <f>IFERROR(INDEX('Hoja de apoyo v2'!G$17:G$20,MATCH($A184,'Hoja de apoyo v2'!$A$17:$A$20,0)),"")</f>
        <v>67.90575167807188</v>
      </c>
      <c r="T184" s="792">
        <f>IFERROR(INDEX('Hoja de apoyo v2'!H$17:H$20,MATCH($A184,'Hoja de apoyo v2'!$A$17:$A$20,0)),"")</f>
        <v>258.90325471200998</v>
      </c>
      <c r="U184" s="794">
        <f t="shared" si="76"/>
        <v>0.70142396817009889</v>
      </c>
      <c r="V184" s="795">
        <f t="shared" si="77"/>
        <v>1.1442179676286606</v>
      </c>
      <c r="W184" s="795">
        <f t="shared" si="78"/>
        <v>0.37764101229106145</v>
      </c>
      <c r="X184" s="843">
        <f t="shared" si="79"/>
        <v>0.95979561876336217</v>
      </c>
      <c r="Y184" s="843">
        <f t="shared" si="80"/>
        <v>0.9752936376526371</v>
      </c>
      <c r="Z184" s="843">
        <f t="shared" si="81"/>
        <v>0.2872804189921046</v>
      </c>
      <c r="AA184" s="843">
        <f t="shared" si="82"/>
        <v>0.82868883056249376</v>
      </c>
      <c r="AB184" s="796">
        <f t="shared" si="83"/>
        <v>2</v>
      </c>
      <c r="AC184" s="797">
        <f t="shared" si="84"/>
        <v>4</v>
      </c>
      <c r="AD184" s="797">
        <f t="shared" si="85"/>
        <v>1</v>
      </c>
      <c r="AE184" s="842">
        <f t="shared" si="86"/>
        <v>3</v>
      </c>
      <c r="AF184" s="842">
        <f t="shared" si="87"/>
        <v>3</v>
      </c>
      <c r="AG184" s="842">
        <f t="shared" si="88"/>
        <v>1</v>
      </c>
      <c r="AH184" s="842">
        <f t="shared" si="89"/>
        <v>3</v>
      </c>
      <c r="AI184" s="826" cm="1">
        <f t="array" ref="AI184">SUMPRODUCT(--ISNUMBER($U184:$AA184),$AB$3:$AH$3)</f>
        <v>1</v>
      </c>
      <c r="AJ184" s="829">
        <f t="shared" si="90"/>
        <v>28.842792932978291</v>
      </c>
      <c r="AK184" s="827" t="str">
        <f t="shared" si="91"/>
        <v>Inmadura</v>
      </c>
      <c r="AL184" s="784" t="str">
        <f t="shared" si="92"/>
        <v>Alta</v>
      </c>
      <c r="AM184" s="799">
        <f>IF(ISNUMBER('Base de datos Rutas'!W182),'Base de datos Rutas'!W182,"")</f>
        <v>2501.4542944353198</v>
      </c>
      <c r="AN184" s="787">
        <f>IFERROR(SUMIFS('Base de datos Rutas'!$W$6:$W$794,'Base de datos Rutas'!$C$6:$C$794,$C184)/'Base de datos Rutas'!I182,"")</f>
        <v>2501.4542944353188</v>
      </c>
      <c r="AO184" s="800">
        <f>IFERROR('Base de datos Rutas'!X182*AN184/AM184,"")</f>
        <v>0.63513109235883425</v>
      </c>
      <c r="AP184" s="800">
        <f t="shared" si="93"/>
        <v>0.36486890764116575</v>
      </c>
      <c r="AQ184" s="789">
        <f>IFERROR(INDEX('Hoja de apoyo v2'!$J$17:$J$20,MATCH($A184,'Hoja de apoyo v2'!$A$17:$A$20,0)),"")</f>
        <v>0.62197445417222763</v>
      </c>
      <c r="AR184" s="789">
        <f t="shared" si="94"/>
        <v>-0.25710554653106188</v>
      </c>
      <c r="AS184" s="784" t="str">
        <f t="shared" si="95"/>
        <v>Sí</v>
      </c>
      <c r="AT184" s="801">
        <f>IF(ISNUMBER('Base de datos Rutas'!CK182),'Base de datos Rutas'!CK182,"")</f>
        <v>333</v>
      </c>
      <c r="AU184" s="802">
        <f>IF(ISNUMBER('Base de datos Rutas'!CL182),'Base de datos Rutas'!CL182,"")</f>
        <v>476.52</v>
      </c>
      <c r="AV184" s="802">
        <f>IF(ISNUMBER('Base de datos Rutas'!CM182),'Base de datos Rutas'!CM182,"")</f>
        <v>143.51999999999998</v>
      </c>
      <c r="AW184" s="802">
        <f>IF(ISNUMBER('Base de datos Rutas'!CN182),'Base de datos Rutas'!CN182,"")</f>
        <v>4.32</v>
      </c>
      <c r="AX184" s="802">
        <f>IF(ISNUMBER('Base de datos Rutas'!CO182),'Base de datos Rutas'!CO182,"")</f>
        <v>9.4499999999999993</v>
      </c>
      <c r="AY184" s="802">
        <f>IF(ISNUMBER('Base de datos Rutas'!CP182),'Base de datos Rutas'!CP182,"")</f>
        <v>5.129999999999999</v>
      </c>
      <c r="AZ184" s="802">
        <f>IF(ISNUMBER('Base de datos Rutas'!CQ182),'Base de datos Rutas'!CQ182,"")</f>
        <v>602.75</v>
      </c>
      <c r="BA184" s="802">
        <f>IF(ISNUMBER('Base de datos Rutas'!CR182),'Base de datos Rutas'!CR182,"")</f>
        <v>398.98</v>
      </c>
      <c r="BB184" s="803">
        <f>IF(ISNUMBER('Base de datos Rutas'!CS182),'Base de datos Rutas'!CS182,"")</f>
        <v>203.76999999999998</v>
      </c>
      <c r="BC184" s="804">
        <f t="shared" si="105"/>
        <v>0</v>
      </c>
      <c r="BD184" s="805" t="str">
        <f t="shared" si="106"/>
        <v>No saturada</v>
      </c>
      <c r="BE184" s="806">
        <f t="shared" si="107"/>
        <v>0.66193280796350062</v>
      </c>
      <c r="BF184" s="890">
        <f>IF(ISNUMBER('Base de datos Rutas'!CX182),'Base de datos Rutas'!CX182/100,"")</f>
        <v>0.94291169451073986</v>
      </c>
      <c r="BG184" s="891">
        <f>IF(ISNUMBER('Base de datos Rutas'!CZ182),'Base de datos Rutas'!CZ182/100,"")</f>
        <v>1</v>
      </c>
      <c r="BH184" s="892">
        <f>IF(ISNUMBER('Base de datos Rutas'!DA182),'Base de datos Rutas'!DA182,"")</f>
        <v>488.6396828622174</v>
      </c>
      <c r="BI184" s="893">
        <f>IF(ISNUMBER('Base de datos Rutas'!DC182),'Base de datos Rutas'!DC182,"")</f>
        <v>22.623483548571603</v>
      </c>
      <c r="BJ184" s="805" t="str">
        <f t="shared" si="108"/>
        <v>Ruta (completo)</v>
      </c>
      <c r="BK184" s="783">
        <f t="shared" si="96"/>
        <v>5</v>
      </c>
      <c r="BL184" s="797">
        <f t="shared" si="97"/>
        <v>4</v>
      </c>
      <c r="BM184" s="797">
        <f t="shared" si="98"/>
        <v>2</v>
      </c>
      <c r="BN184" s="797">
        <f t="shared" si="99"/>
        <v>3</v>
      </c>
      <c r="BO184" s="798" cm="1">
        <f t="array" ref="BO184">SUMPRODUCT(--ISNUMBER($BF184:$BI184),$BK$3:$BN$3)</f>
        <v>1</v>
      </c>
      <c r="BP184" s="831">
        <f t="shared" si="109"/>
        <v>62.5</v>
      </c>
      <c r="BQ184" s="834" t="str">
        <f t="shared" si="110"/>
        <v>Alto</v>
      </c>
      <c r="BR184" s="836">
        <f t="shared" si="100"/>
        <v>21.63209469973372</v>
      </c>
      <c r="BS184" s="836">
        <f t="shared" si="101"/>
        <v>62.5</v>
      </c>
      <c r="BT184" s="837" t="str">
        <f t="shared" si="102"/>
        <v>P3</v>
      </c>
      <c r="BU184" s="807" t="str">
        <f t="shared" si="111"/>
        <v>Con espacio</v>
      </c>
      <c r="BV184" s="807" t="str">
        <f t="shared" si="103"/>
        <v>Zona atractiva</v>
      </c>
      <c r="BW184" s="808" t="str">
        <f t="shared" si="104"/>
        <v>P3 - Desarrollar</v>
      </c>
    </row>
    <row r="185" spans="1:75">
      <c r="A185" s="780" t="str">
        <f>'Base de datos Rutas'!A183</f>
        <v>Norte</v>
      </c>
      <c r="B185" s="781" t="str">
        <f>'Base de datos Rutas'!B183</f>
        <v>Juárez</v>
      </c>
      <c r="C185" s="781" t="str">
        <f>'Base de datos Rutas'!C183</f>
        <v>Planta Cd. Juárez</v>
      </c>
      <c r="D185" s="782">
        <f>IF(ISNUMBER('Base de datos Rutas'!D183),'Base de datos Rutas'!D183,"Sin código")</f>
        <v>301348</v>
      </c>
      <c r="E185" s="783" t="str">
        <f>'Base de datos Rutas'!F183</f>
        <v>Activa</v>
      </c>
      <c r="F185" s="784" t="str">
        <f>'Base de datos Rutas'!H183</f>
        <v>Sí</v>
      </c>
      <c r="G185" s="785">
        <f>IF(ISNUMBER('Base de datos Rutas'!BE183),'Base de datos Rutas'!BE183,"")</f>
        <v>50.559633027522899</v>
      </c>
      <c r="H185" s="786">
        <f>IF(ISNUMBER('Base de datos Rutas'!BH183),'Base de datos Rutas'!BH183,"")</f>
        <v>0.76333696243875904</v>
      </c>
      <c r="I185" s="788">
        <f>IFERROR(IF(OR(NOT(ISNUMBER('Base de datos Rutas'!O183)),N('Base de datos Rutas'!BK183)=0),"",'Base de datos Rutas'!O183/('Base de datos Rutas'!L183/'Base de datos Rutas'!BK183)),"")</f>
        <v>2884.692660550455</v>
      </c>
      <c r="J185" s="788">
        <f>IFERROR(IF(OR(NOT(ISNUMBER('Base de datos Rutas'!N183)),N('Base de datos Rutas'!BK183)=0),"",'Base de datos Rutas'!N183/('Base de datos Rutas'!L183/'Base de datos Rutas'!BK183)),"")</f>
        <v>4219.22935779816</v>
      </c>
      <c r="K185" s="788">
        <f>IFERROR(IF(OR(NOT(ISNUMBER('Base de datos Rutas'!J183)),N('Base de datos Rutas'!BK183)=0),"",'Base de datos Rutas'!J183/('Base de datos Rutas'!L183/'Base de datos Rutas'!BK183)),"")</f>
        <v>284.74934036697209</v>
      </c>
      <c r="L185" s="788">
        <f>IFERROR(IF(OR(NOT(ISNUMBER('Base de datos Rutas'!K183)),N('Base de datos Rutas'!BK183)=0),"",'Base de datos Rutas'!K183/('Base de datos Rutas'!L183/'Base de datos Rutas'!BK183)),"")</f>
        <v>17.779560380733923</v>
      </c>
      <c r="M185" s="787">
        <f>IF(ISNUMBER('Base de datos Rutas'!AX183),'Base de datos Rutas'!AX183,"")</f>
        <v>184.067891483925</v>
      </c>
      <c r="N185" s="790">
        <f>IFERROR(INDEX('Hoja de apoyo v2'!B$17:B$20,MATCH($A185,'Hoja de apoyo v2'!$A$17:$A$20,0)),"")</f>
        <v>74.190366972477051</v>
      </c>
      <c r="O185" s="791">
        <f>IFERROR(INDEX('Hoja de apoyo v2'!C$17:C$20,MATCH($A185,'Hoja de apoyo v2'!$A$17:$A$20,0)),"")</f>
        <v>0.71677657005077755</v>
      </c>
      <c r="P185" s="793">
        <f>IFERROR(INDEX('Hoja de apoyo v2'!D$17:D$20,MATCH($A185,'Hoja de apoyo v2'!$A$17:$A$20,0)),"")</f>
        <v>8755.1153350385739</v>
      </c>
      <c r="Q185" s="793">
        <f>IFERROR(INDEX('Hoja de apoyo v2'!E$17:E$20,MATCH($A185,'Hoja de apoyo v2'!$A$17:$A$20,0)),"")</f>
        <v>6098.2042779326393</v>
      </c>
      <c r="R185" s="793">
        <f>IFERROR(INDEX('Hoja de apoyo v2'!F$17:F$20,MATCH($A185,'Hoja de apoyo v2'!$A$17:$A$20,0)),"")</f>
        <v>389.08889713610301</v>
      </c>
      <c r="S185" s="793">
        <f>IFERROR(INDEX('Hoja de apoyo v2'!G$17:G$20,MATCH($A185,'Hoja de apoyo v2'!$A$17:$A$20,0)),"")</f>
        <v>67.90575167807188</v>
      </c>
      <c r="T185" s="792">
        <f>IFERROR(INDEX('Hoja de apoyo v2'!H$17:H$20,MATCH($A185,'Hoja de apoyo v2'!$A$17:$A$20,0)),"")</f>
        <v>258.90325471200998</v>
      </c>
      <c r="U185" s="794">
        <f t="shared" si="76"/>
        <v>0.68148514545398298</v>
      </c>
      <c r="V185" s="795">
        <f t="shared" si="77"/>
        <v>1.0649580278338102</v>
      </c>
      <c r="W185" s="795">
        <f t="shared" si="78"/>
        <v>0.32948654017220269</v>
      </c>
      <c r="X185" s="843">
        <f t="shared" si="79"/>
        <v>0.69188062017963869</v>
      </c>
      <c r="Y185" s="843">
        <f t="shared" si="80"/>
        <v>0.73183620109151293</v>
      </c>
      <c r="Z185" s="843">
        <f t="shared" si="81"/>
        <v>0.2618270167308272</v>
      </c>
      <c r="AA185" s="843">
        <f t="shared" si="82"/>
        <v>0.7109524045523189</v>
      </c>
      <c r="AB185" s="796">
        <f t="shared" si="83"/>
        <v>2</v>
      </c>
      <c r="AC185" s="797">
        <f t="shared" si="84"/>
        <v>4</v>
      </c>
      <c r="AD185" s="797">
        <f t="shared" si="85"/>
        <v>1</v>
      </c>
      <c r="AE185" s="842">
        <f t="shared" si="86"/>
        <v>2</v>
      </c>
      <c r="AF185" s="842">
        <f t="shared" si="87"/>
        <v>2</v>
      </c>
      <c r="AG185" s="842">
        <f t="shared" si="88"/>
        <v>1</v>
      </c>
      <c r="AH185" s="842">
        <f t="shared" si="89"/>
        <v>2</v>
      </c>
      <c r="AI185" s="826" cm="1">
        <f t="array" ref="AI185">SUMPRODUCT(--ISNUMBER($U185:$AA185),$AB$3:$AH$3)</f>
        <v>1</v>
      </c>
      <c r="AJ185" s="829">
        <f t="shared" si="90"/>
        <v>20.262572934393248</v>
      </c>
      <c r="AK185" s="827" t="str">
        <f t="shared" si="91"/>
        <v>Inmadura</v>
      </c>
      <c r="AL185" s="784" t="str">
        <f t="shared" si="92"/>
        <v>Alta</v>
      </c>
      <c r="AM185" s="799">
        <f>IF(ISNUMBER('Base de datos Rutas'!W183),'Base de datos Rutas'!W183,"")</f>
        <v>2501.4542944353198</v>
      </c>
      <c r="AN185" s="787">
        <f>IFERROR(SUMIFS('Base de datos Rutas'!$W$6:$W$794,'Base de datos Rutas'!$C$6:$C$794,$C185)/'Base de datos Rutas'!I183,"")</f>
        <v>2501.4542944353188</v>
      </c>
      <c r="AO185" s="800">
        <f>IFERROR('Base de datos Rutas'!X183*AN185/AM185,"")</f>
        <v>0.63513109235883425</v>
      </c>
      <c r="AP185" s="800">
        <f t="shared" si="93"/>
        <v>0.36486890764116575</v>
      </c>
      <c r="AQ185" s="789">
        <f>IFERROR(INDEX('Hoja de apoyo v2'!$J$17:$J$20,MATCH($A185,'Hoja de apoyo v2'!$A$17:$A$20,0)),"")</f>
        <v>0.62197445417222763</v>
      </c>
      <c r="AR185" s="789">
        <f t="shared" si="94"/>
        <v>-0.25710554653106188</v>
      </c>
      <c r="AS185" s="784" t="str">
        <f t="shared" si="95"/>
        <v>Sí</v>
      </c>
      <c r="AT185" s="801">
        <f>IF(ISNUMBER('Base de datos Rutas'!CK183),'Base de datos Rutas'!CK183,"")</f>
        <v>352</v>
      </c>
      <c r="AU185" s="802">
        <f>IF(ISNUMBER('Base de datos Rutas'!CL183),'Base de datos Rutas'!CL183,"")</f>
        <v>622.94000000000005</v>
      </c>
      <c r="AV185" s="802">
        <f>IF(ISNUMBER('Base de datos Rutas'!CM183),'Base de datos Rutas'!CM183,"")</f>
        <v>270.94000000000005</v>
      </c>
      <c r="AW185" s="802">
        <f>IF(ISNUMBER('Base de datos Rutas'!CN183),'Base de datos Rutas'!CN183,"")</f>
        <v>4.5199999999999996</v>
      </c>
      <c r="AX185" s="802">
        <f>IF(ISNUMBER('Base de datos Rutas'!CO183),'Base de datos Rutas'!CO183,"")</f>
        <v>9.4499999999999993</v>
      </c>
      <c r="AY185" s="802">
        <f>IF(ISNUMBER('Base de datos Rutas'!CP183),'Base de datos Rutas'!CP183,"")</f>
        <v>4.93</v>
      </c>
      <c r="AZ185" s="802">
        <f>IF(ISNUMBER('Base de datos Rutas'!CQ183),'Base de datos Rutas'!CQ183,"")</f>
        <v>602.75</v>
      </c>
      <c r="BA185" s="802">
        <f>IF(ISNUMBER('Base de datos Rutas'!CR183),'Base de datos Rutas'!CR183,"")</f>
        <v>302.52999999999997</v>
      </c>
      <c r="BB185" s="803">
        <f>IF(ISNUMBER('Base de datos Rutas'!CS183),'Base de datos Rutas'!CS183,"")</f>
        <v>300.22000000000003</v>
      </c>
      <c r="BC185" s="804">
        <f t="shared" si="105"/>
        <v>0</v>
      </c>
      <c r="BD185" s="805" t="str">
        <f t="shared" si="106"/>
        <v>No saturada</v>
      </c>
      <c r="BE185" s="806">
        <f t="shared" si="107"/>
        <v>0.50191621733720448</v>
      </c>
      <c r="BF185" s="890">
        <f>IF(ISNUMBER('Base de datos Rutas'!CX183),'Base de datos Rutas'!CX183/100,"")</f>
        <v>0.88254908485856898</v>
      </c>
      <c r="BG185" s="891">
        <f>IF(ISNUMBER('Base de datos Rutas'!CZ183),'Base de datos Rutas'!CZ183/100,"")</f>
        <v>0.97271214642262893</v>
      </c>
      <c r="BH185" s="892">
        <f>IF(ISNUMBER('Base de datos Rutas'!DA183),'Base de datos Rutas'!DA183,"")</f>
        <v>761.38214680366548</v>
      </c>
      <c r="BI185" s="893">
        <f>IF(ISNUMBER('Base de datos Rutas'!DC183),'Base de datos Rutas'!DC183,"")</f>
        <v>32.480689512017925</v>
      </c>
      <c r="BJ185" s="805" t="str">
        <f t="shared" si="108"/>
        <v>Ruta (completo)</v>
      </c>
      <c r="BK185" s="783">
        <f t="shared" si="96"/>
        <v>4</v>
      </c>
      <c r="BL185" s="797">
        <f t="shared" si="97"/>
        <v>3</v>
      </c>
      <c r="BM185" s="797">
        <f t="shared" si="98"/>
        <v>4</v>
      </c>
      <c r="BN185" s="797">
        <f t="shared" si="99"/>
        <v>4</v>
      </c>
      <c r="BO185" s="798" cm="1">
        <f t="array" ref="BO185">SUMPRODUCT(--ISNUMBER($BF185:$BI185),$BK$3:$BN$3)</f>
        <v>1</v>
      </c>
      <c r="BP185" s="831">
        <f t="shared" si="109"/>
        <v>68.75</v>
      </c>
      <c r="BQ185" s="834" t="str">
        <f t="shared" si="110"/>
        <v>Alto</v>
      </c>
      <c r="BR185" s="836">
        <f t="shared" si="100"/>
        <v>15.196929700794936</v>
      </c>
      <c r="BS185" s="836">
        <f t="shared" si="101"/>
        <v>68.75</v>
      </c>
      <c r="BT185" s="837" t="str">
        <f t="shared" si="102"/>
        <v>P3</v>
      </c>
      <c r="BU185" s="807" t="str">
        <f t="shared" si="111"/>
        <v>Con espacio</v>
      </c>
      <c r="BV185" s="807" t="str">
        <f t="shared" si="103"/>
        <v>Zona atractiva</v>
      </c>
      <c r="BW185" s="808" t="str">
        <f t="shared" si="104"/>
        <v>P3 - Desarrollar</v>
      </c>
    </row>
    <row r="186" spans="1:75">
      <c r="A186" s="780" t="str">
        <f>'Base de datos Rutas'!A184</f>
        <v>Norte</v>
      </c>
      <c r="B186" s="781" t="str">
        <f>'Base de datos Rutas'!B184</f>
        <v>Juárez</v>
      </c>
      <c r="C186" s="781" t="str">
        <f>'Base de datos Rutas'!C184</f>
        <v>Planta Cd. Juárez</v>
      </c>
      <c r="D186" s="782">
        <f>IF(ISNUMBER('Base de datos Rutas'!D184),'Base de datos Rutas'!D184,"Sin código")</f>
        <v>301349</v>
      </c>
      <c r="E186" s="783" t="str">
        <f>'Base de datos Rutas'!F184</f>
        <v>Activa</v>
      </c>
      <c r="F186" s="784" t="str">
        <f>'Base de datos Rutas'!H184</f>
        <v>Sí</v>
      </c>
      <c r="G186" s="785">
        <f>IF(ISNUMBER('Base de datos Rutas'!BE184),'Base de datos Rutas'!BE184,"")</f>
        <v>47.009216589861801</v>
      </c>
      <c r="H186" s="786">
        <f>IF(ISNUMBER('Base de datos Rutas'!BH184),'Base de datos Rutas'!BH184,"")</f>
        <v>0.84202529163807505</v>
      </c>
      <c r="I186" s="788">
        <f>IFERROR(IF(OR(NOT(ISNUMBER('Base de datos Rutas'!O184)),N('Base de datos Rutas'!BK184)=0),"",'Base de datos Rutas'!O184/('Base de datos Rutas'!L184/'Base de datos Rutas'!BK184)),"")</f>
        <v>3735.8986175115188</v>
      </c>
      <c r="J186" s="788">
        <f>IFERROR(IF(OR(NOT(ISNUMBER('Base de datos Rutas'!N184)),N('Base de datos Rutas'!BK184)=0),"",'Base de datos Rutas'!N184/('Base de datos Rutas'!L184/'Base de datos Rutas'!BK184)),"")</f>
        <v>2894.1036866359432</v>
      </c>
      <c r="K186" s="788">
        <f>IFERROR(IF(OR(NOT(ISNUMBER('Base de datos Rutas'!J184)),N('Base de datos Rutas'!BK184)=0),"",'Base de datos Rutas'!J184/('Base de datos Rutas'!L184/'Base de datos Rutas'!BK184)),"")</f>
        <v>189.83131382488446</v>
      </c>
      <c r="L186" s="788">
        <f>IFERROR(IF(OR(NOT(ISNUMBER('Base de datos Rutas'!K184)),N('Base de datos Rutas'!BK184)=0),"",'Base de datos Rutas'!K184/('Base de datos Rutas'!L184/'Base de datos Rutas'!BK184)),"")</f>
        <v>27.087997442396301</v>
      </c>
      <c r="M186" s="787">
        <f>IF(ISNUMBER('Base de datos Rutas'!AX184),'Base de datos Rutas'!AX184,"")</f>
        <v>167.49654229000501</v>
      </c>
      <c r="N186" s="790">
        <f>IFERROR(INDEX('Hoja de apoyo v2'!B$17:B$20,MATCH($A186,'Hoja de apoyo v2'!$A$17:$A$20,0)),"")</f>
        <v>74.190366972477051</v>
      </c>
      <c r="O186" s="791">
        <f>IFERROR(INDEX('Hoja de apoyo v2'!C$17:C$20,MATCH($A186,'Hoja de apoyo v2'!$A$17:$A$20,0)),"")</f>
        <v>0.71677657005077755</v>
      </c>
      <c r="P186" s="793">
        <f>IFERROR(INDEX('Hoja de apoyo v2'!D$17:D$20,MATCH($A186,'Hoja de apoyo v2'!$A$17:$A$20,0)),"")</f>
        <v>8755.1153350385739</v>
      </c>
      <c r="Q186" s="793">
        <f>IFERROR(INDEX('Hoja de apoyo v2'!E$17:E$20,MATCH($A186,'Hoja de apoyo v2'!$A$17:$A$20,0)),"")</f>
        <v>6098.2042779326393</v>
      </c>
      <c r="R186" s="793">
        <f>IFERROR(INDEX('Hoja de apoyo v2'!F$17:F$20,MATCH($A186,'Hoja de apoyo v2'!$A$17:$A$20,0)),"")</f>
        <v>389.08889713610301</v>
      </c>
      <c r="S186" s="793">
        <f>IFERROR(INDEX('Hoja de apoyo v2'!G$17:G$20,MATCH($A186,'Hoja de apoyo v2'!$A$17:$A$20,0)),"")</f>
        <v>67.90575167807188</v>
      </c>
      <c r="T186" s="792">
        <f>IFERROR(INDEX('Hoja de apoyo v2'!H$17:H$20,MATCH($A186,'Hoja de apoyo v2'!$A$17:$A$20,0)),"")</f>
        <v>258.90325471200998</v>
      </c>
      <c r="U186" s="794">
        <f t="shared" si="76"/>
        <v>0.63362965447119513</v>
      </c>
      <c r="V186" s="795">
        <f t="shared" si="77"/>
        <v>1.1747388612024869</v>
      </c>
      <c r="W186" s="795">
        <f t="shared" si="78"/>
        <v>0.42671038296436775</v>
      </c>
      <c r="X186" s="843">
        <f t="shared" si="79"/>
        <v>0.47458293535832113</v>
      </c>
      <c r="Y186" s="843">
        <f t="shared" si="80"/>
        <v>0.48788674059358111</v>
      </c>
      <c r="Z186" s="843">
        <f t="shared" si="81"/>
        <v>0.39890578887654893</v>
      </c>
      <c r="AA186" s="843">
        <f t="shared" si="82"/>
        <v>0.64694645293787101</v>
      </c>
      <c r="AB186" s="796">
        <f t="shared" si="83"/>
        <v>2</v>
      </c>
      <c r="AC186" s="797">
        <f t="shared" si="84"/>
        <v>4</v>
      </c>
      <c r="AD186" s="797">
        <f t="shared" si="85"/>
        <v>1</v>
      </c>
      <c r="AE186" s="842">
        <f t="shared" si="86"/>
        <v>1</v>
      </c>
      <c r="AF186" s="842">
        <f t="shared" si="87"/>
        <v>1</v>
      </c>
      <c r="AG186" s="842">
        <f t="shared" si="88"/>
        <v>1</v>
      </c>
      <c r="AH186" s="842">
        <f t="shared" si="89"/>
        <v>2</v>
      </c>
      <c r="AI186" s="826" cm="1">
        <f t="array" ref="AI186">SUMPRODUCT(--ISNUMBER($U186:$AA186),$AB$3:$AH$3)</f>
        <v>1</v>
      </c>
      <c r="AJ186" s="829">
        <f t="shared" si="90"/>
        <v>13.927080776134765</v>
      </c>
      <c r="AK186" s="827" t="str">
        <f t="shared" si="91"/>
        <v>Inmadura</v>
      </c>
      <c r="AL186" s="784" t="str">
        <f t="shared" si="92"/>
        <v>Alta</v>
      </c>
      <c r="AM186" s="799">
        <f>IF(ISNUMBER('Base de datos Rutas'!W184),'Base de datos Rutas'!W184,"")</f>
        <v>2501.4542944353198</v>
      </c>
      <c r="AN186" s="787">
        <f>IFERROR(SUMIFS('Base de datos Rutas'!$W$6:$W$794,'Base de datos Rutas'!$C$6:$C$794,$C186)/'Base de datos Rutas'!I184,"")</f>
        <v>2501.4542944353188</v>
      </c>
      <c r="AO186" s="800">
        <f>IFERROR('Base de datos Rutas'!X184*AN186/AM186,"")</f>
        <v>0.63513109235883425</v>
      </c>
      <c r="AP186" s="800">
        <f t="shared" si="93"/>
        <v>0.36486890764116575</v>
      </c>
      <c r="AQ186" s="789">
        <f>IFERROR(INDEX('Hoja de apoyo v2'!$J$17:$J$20,MATCH($A186,'Hoja de apoyo v2'!$A$17:$A$20,0)),"")</f>
        <v>0.62197445417222763</v>
      </c>
      <c r="AR186" s="789">
        <f t="shared" si="94"/>
        <v>-0.25710554653106188</v>
      </c>
      <c r="AS186" s="784" t="str">
        <f t="shared" si="95"/>
        <v>Sí</v>
      </c>
      <c r="AT186" s="801">
        <f>IF(ISNUMBER('Base de datos Rutas'!CK184),'Base de datos Rutas'!CK184,"")</f>
        <v>338</v>
      </c>
      <c r="AU186" s="802">
        <f>IF(ISNUMBER('Base de datos Rutas'!CL184),'Base de datos Rutas'!CL184,"")</f>
        <v>557.80999999999995</v>
      </c>
      <c r="AV186" s="802">
        <f>IF(ISNUMBER('Base de datos Rutas'!CM184),'Base de datos Rutas'!CM184,"")</f>
        <v>219.80999999999995</v>
      </c>
      <c r="AW186" s="802">
        <f>IF(ISNUMBER('Base de datos Rutas'!CN184),'Base de datos Rutas'!CN184,"")</f>
        <v>4.8099999999999996</v>
      </c>
      <c r="AX186" s="802">
        <f>IF(ISNUMBER('Base de datos Rutas'!CO184),'Base de datos Rutas'!CO184,"")</f>
        <v>9.4499999999999993</v>
      </c>
      <c r="AY186" s="802">
        <f>IF(ISNUMBER('Base de datos Rutas'!CP184),'Base de datos Rutas'!CP184,"")</f>
        <v>4.6399999999999997</v>
      </c>
      <c r="AZ186" s="802">
        <f>IF(ISNUMBER('Base de datos Rutas'!CQ184),'Base de datos Rutas'!CQ184,"")</f>
        <v>602.75</v>
      </c>
      <c r="BA186" s="802">
        <f>IF(ISNUMBER('Base de datos Rutas'!CR184),'Base de datos Rutas'!CR184,"")</f>
        <v>216.92</v>
      </c>
      <c r="BB186" s="803">
        <f>IF(ISNUMBER('Base de datos Rutas'!CS184),'Base de datos Rutas'!CS184,"")</f>
        <v>385.83000000000004</v>
      </c>
      <c r="BC186" s="804">
        <f t="shared" si="105"/>
        <v>0</v>
      </c>
      <c r="BD186" s="805" t="str">
        <f t="shared" si="106"/>
        <v>No saturada</v>
      </c>
      <c r="BE186" s="806">
        <f t="shared" si="107"/>
        <v>0.359883865615927</v>
      </c>
      <c r="BF186" s="890">
        <f>IF(ISNUMBER('Base de datos Rutas'!CX184),'Base de datos Rutas'!CX184/100,"")</f>
        <v>7.4746070682293081E-2</v>
      </c>
      <c r="BG186" s="891">
        <f>IF(ISNUMBER('Base de datos Rutas'!CZ184),'Base de datos Rutas'!CZ184/100,"")</f>
        <v>8.1402743708549108E-2</v>
      </c>
      <c r="BH186" s="892">
        <f>IF(ISNUMBER('Base de datos Rutas'!DA184),'Base de datos Rutas'!DA184,"")</f>
        <v>63.749195642344461</v>
      </c>
      <c r="BI186" s="893">
        <f>IF(ISNUMBER('Base de datos Rutas'!DC184),'Base de datos Rutas'!DC184,"")</f>
        <v>2.5142705607956004</v>
      </c>
      <c r="BJ186" s="805" t="str">
        <f t="shared" si="108"/>
        <v>Ruta (completo)</v>
      </c>
      <c r="BK186" s="783">
        <f t="shared" si="96"/>
        <v>1</v>
      </c>
      <c r="BL186" s="797">
        <f t="shared" si="97"/>
        <v>1</v>
      </c>
      <c r="BM186" s="797">
        <f t="shared" si="98"/>
        <v>1</v>
      </c>
      <c r="BN186" s="797">
        <f t="shared" si="99"/>
        <v>1</v>
      </c>
      <c r="BO186" s="798" cm="1">
        <f t="array" ref="BO186">SUMPRODUCT(--ISNUMBER($BF186:$BI186),$BK$3:$BN$3)</f>
        <v>1</v>
      </c>
      <c r="BP186" s="831">
        <f t="shared" si="109"/>
        <v>0</v>
      </c>
      <c r="BQ186" s="834" t="str">
        <f t="shared" si="110"/>
        <v>Bajo</v>
      </c>
      <c r="BR186" s="836">
        <f t="shared" si="100"/>
        <v>10.445310582101074</v>
      </c>
      <c r="BS186" s="836">
        <f t="shared" si="101"/>
        <v>0</v>
      </c>
      <c r="BT186" s="837" t="str">
        <f t="shared" si="102"/>
        <v>P4</v>
      </c>
      <c r="BU186" s="807" t="str">
        <f t="shared" si="111"/>
        <v>Con espacio</v>
      </c>
      <c r="BV186" s="807" t="str">
        <f t="shared" si="103"/>
        <v>Zona de bajo potencial</v>
      </c>
      <c r="BW186" s="808" t="str">
        <f t="shared" si="104"/>
        <v>P4 - Evaluar</v>
      </c>
    </row>
    <row r="187" spans="1:75">
      <c r="A187" s="780" t="str">
        <f>'Base de datos Rutas'!A185</f>
        <v>Norte</v>
      </c>
      <c r="B187" s="781" t="str">
        <f>'Base de datos Rutas'!B185</f>
        <v>Juárez</v>
      </c>
      <c r="C187" s="781" t="str">
        <f>'Base de datos Rutas'!C185</f>
        <v>Planta Cd. Juárez</v>
      </c>
      <c r="D187" s="782">
        <f>IF(ISNUMBER('Base de datos Rutas'!D185),'Base de datos Rutas'!D185,"Sin código")</f>
        <v>301350</v>
      </c>
      <c r="E187" s="783" t="str">
        <f>'Base de datos Rutas'!F185</f>
        <v>Activa</v>
      </c>
      <c r="F187" s="784" t="str">
        <f>'Base de datos Rutas'!H185</f>
        <v>Sí</v>
      </c>
      <c r="G187" s="785">
        <f>IF(ISNUMBER('Base de datos Rutas'!BE185),'Base de datos Rutas'!BE185,"")</f>
        <v>40.310344827586199</v>
      </c>
      <c r="H187" s="786">
        <f>IF(ISNUMBER('Base de datos Rutas'!BH185),'Base de datos Rutas'!BH185,"")</f>
        <v>0.14435414884516701</v>
      </c>
      <c r="I187" s="788">
        <f>IFERROR(IF(OR(NOT(ISNUMBER('Base de datos Rutas'!O185)),N('Base de datos Rutas'!BK185)=0),"",'Base de datos Rutas'!O185/('Base de datos Rutas'!L185/'Base de datos Rutas'!BK185)),"")</f>
        <v>360.68644067796623</v>
      </c>
      <c r="J187" s="788">
        <f>IFERROR(IF(OR(NOT(ISNUMBER('Base de datos Rutas'!N185)),N('Base de datos Rutas'!BK185)=0),"",'Base de datos Rutas'!N185/('Base de datos Rutas'!L185/'Base de datos Rutas'!BK185)),"")</f>
        <v>683.31355932203417</v>
      </c>
      <c r="K187" s="788">
        <f>IFERROR(IF(OR(NOT(ISNUMBER('Base de datos Rutas'!J185)),N('Base de datos Rutas'!BK185)=0),"",'Base de datos Rutas'!J185/('Base de datos Rutas'!L185/'Base de datos Rutas'!BK185)),"")</f>
        <v>52.036245762711886</v>
      </c>
      <c r="L187" s="788">
        <f>IFERROR(IF(OR(NOT(ISNUMBER('Base de datos Rutas'!K185)),N('Base de datos Rutas'!BK185)=0),"",'Base de datos Rutas'!K185/('Base de datos Rutas'!L185/'Base de datos Rutas'!BK185)),"")</f>
        <v>3.0573739576271199</v>
      </c>
      <c r="M187" s="787">
        <f>IF(ISNUMBER('Base de datos Rutas'!AX185),'Base de datos Rutas'!AX185,"")</f>
        <v>223.184711964549</v>
      </c>
      <c r="N187" s="790">
        <f>IFERROR(INDEX('Hoja de apoyo v2'!B$17:B$20,MATCH($A187,'Hoja de apoyo v2'!$A$17:$A$20,0)),"")</f>
        <v>74.190366972477051</v>
      </c>
      <c r="O187" s="791">
        <f>IFERROR(INDEX('Hoja de apoyo v2'!C$17:C$20,MATCH($A187,'Hoja de apoyo v2'!$A$17:$A$20,0)),"")</f>
        <v>0.71677657005077755</v>
      </c>
      <c r="P187" s="793">
        <f>IFERROR(INDEX('Hoja de apoyo v2'!D$17:D$20,MATCH($A187,'Hoja de apoyo v2'!$A$17:$A$20,0)),"")</f>
        <v>8755.1153350385739</v>
      </c>
      <c r="Q187" s="793">
        <f>IFERROR(INDEX('Hoja de apoyo v2'!E$17:E$20,MATCH($A187,'Hoja de apoyo v2'!$A$17:$A$20,0)),"")</f>
        <v>6098.2042779326393</v>
      </c>
      <c r="R187" s="793">
        <f>IFERROR(INDEX('Hoja de apoyo v2'!F$17:F$20,MATCH($A187,'Hoja de apoyo v2'!$A$17:$A$20,0)),"")</f>
        <v>389.08889713610301</v>
      </c>
      <c r="S187" s="793">
        <f>IFERROR(INDEX('Hoja de apoyo v2'!G$17:G$20,MATCH($A187,'Hoja de apoyo v2'!$A$17:$A$20,0)),"")</f>
        <v>67.90575167807188</v>
      </c>
      <c r="T187" s="792">
        <f>IFERROR(INDEX('Hoja de apoyo v2'!H$17:H$20,MATCH($A187,'Hoja de apoyo v2'!$A$17:$A$20,0)),"")</f>
        <v>258.90325471200998</v>
      </c>
      <c r="U187" s="794">
        <f t="shared" si="76"/>
        <v>0.54333664156884987</v>
      </c>
      <c r="V187" s="795">
        <f t="shared" si="77"/>
        <v>0.20139350932598249</v>
      </c>
      <c r="W187" s="795">
        <f t="shared" si="78"/>
        <v>4.1197223208982101E-2</v>
      </c>
      <c r="X187" s="843">
        <f t="shared" si="79"/>
        <v>0.11205160210764295</v>
      </c>
      <c r="Y187" s="843">
        <f t="shared" si="80"/>
        <v>0.13373870636177429</v>
      </c>
      <c r="Z187" s="843">
        <f t="shared" si="81"/>
        <v>4.5023784908847522E-2</v>
      </c>
      <c r="AA187" s="843">
        <f t="shared" si="82"/>
        <v>0.86203903544127958</v>
      </c>
      <c r="AB187" s="796">
        <f t="shared" si="83"/>
        <v>2</v>
      </c>
      <c r="AC187" s="797">
        <f t="shared" si="84"/>
        <v>1</v>
      </c>
      <c r="AD187" s="797">
        <f t="shared" si="85"/>
        <v>1</v>
      </c>
      <c r="AE187" s="842">
        <f t="shared" si="86"/>
        <v>1</v>
      </c>
      <c r="AF187" s="842">
        <f t="shared" si="87"/>
        <v>1</v>
      </c>
      <c r="AG187" s="842">
        <f t="shared" si="88"/>
        <v>1</v>
      </c>
      <c r="AH187" s="842">
        <f t="shared" si="89"/>
        <v>3</v>
      </c>
      <c r="AI187" s="826" cm="1">
        <f t="array" ref="AI187">SUMPRODUCT(--ISNUMBER($U187:$AA187),$AB$3:$AH$3)</f>
        <v>1</v>
      </c>
      <c r="AJ187" s="829">
        <f t="shared" si="90"/>
        <v>9.0230918587898827</v>
      </c>
      <c r="AK187" s="827" t="str">
        <f t="shared" si="91"/>
        <v>Inmadura</v>
      </c>
      <c r="AL187" s="784" t="str">
        <f t="shared" si="92"/>
        <v>Alta</v>
      </c>
      <c r="AM187" s="799">
        <f>IF(ISNUMBER('Base de datos Rutas'!W185),'Base de datos Rutas'!W185,"")</f>
        <v>2501.4542944353198</v>
      </c>
      <c r="AN187" s="787">
        <f>IFERROR(SUMIFS('Base de datos Rutas'!$W$6:$W$794,'Base de datos Rutas'!$C$6:$C$794,$C187)/'Base de datos Rutas'!I185,"")</f>
        <v>2501.4542944353188</v>
      </c>
      <c r="AO187" s="800">
        <f>IFERROR('Base de datos Rutas'!X185*AN187/AM187,"")</f>
        <v>0.63513109235883425</v>
      </c>
      <c r="AP187" s="800">
        <f t="shared" si="93"/>
        <v>0.36486890764116575</v>
      </c>
      <c r="AQ187" s="789">
        <f>IFERROR(INDEX('Hoja de apoyo v2'!$J$17:$J$20,MATCH($A187,'Hoja de apoyo v2'!$A$17:$A$20,0)),"")</f>
        <v>0.62197445417222763</v>
      </c>
      <c r="AR187" s="789">
        <f t="shared" si="94"/>
        <v>-0.25710554653106188</v>
      </c>
      <c r="AS187" s="784" t="str">
        <f t="shared" si="95"/>
        <v>Sí</v>
      </c>
      <c r="AT187" s="801">
        <f>IF(ISNUMBER('Base de datos Rutas'!CK185),'Base de datos Rutas'!CK185,"")</f>
        <v>281</v>
      </c>
      <c r="AU187" s="802">
        <f>IF(ISNUMBER('Base de datos Rutas'!CL185),'Base de datos Rutas'!CL185,"")</f>
        <v>711.2</v>
      </c>
      <c r="AV187" s="802">
        <f>IF(ISNUMBER('Base de datos Rutas'!CM185),'Base de datos Rutas'!CM185,"")</f>
        <v>430.20000000000005</v>
      </c>
      <c r="AW187" s="802">
        <f>IF(ISNUMBER('Base de datos Rutas'!CN185),'Base de datos Rutas'!CN185,"")</f>
        <v>3.96</v>
      </c>
      <c r="AX187" s="802">
        <f>IF(ISNUMBER('Base de datos Rutas'!CO185),'Base de datos Rutas'!CO185,"")</f>
        <v>9.4499999999999993</v>
      </c>
      <c r="AY187" s="802">
        <f>IF(ISNUMBER('Base de datos Rutas'!CP185),'Base de datos Rutas'!CP185,"")</f>
        <v>5.4899999999999993</v>
      </c>
      <c r="AZ187" s="802">
        <f>IF(ISNUMBER('Base de datos Rutas'!CQ185),'Base de datos Rutas'!CQ185,"")</f>
        <v>602.75</v>
      </c>
      <c r="BA187" s="802">
        <f>IF(ISNUMBER('Base de datos Rutas'!CR185),'Base de datos Rutas'!CR185,"")</f>
        <v>55.09</v>
      </c>
      <c r="BB187" s="803">
        <f>IF(ISNUMBER('Base de datos Rutas'!CS185),'Base de datos Rutas'!CS185,"")</f>
        <v>547.66</v>
      </c>
      <c r="BC187" s="804">
        <f t="shared" si="105"/>
        <v>0</v>
      </c>
      <c r="BD187" s="805" t="str">
        <f t="shared" si="106"/>
        <v>No saturada</v>
      </c>
      <c r="BE187" s="806">
        <f t="shared" si="107"/>
        <v>9.1397760265450032E-2</v>
      </c>
      <c r="BF187" s="890">
        <f>IF(ISNUMBER('Base de datos Rutas'!CX185),'Base de datos Rutas'!CX185/100,"")</f>
        <v>0.27430939226519341</v>
      </c>
      <c r="BG187" s="891">
        <f>IF(ISNUMBER('Base de datos Rutas'!CZ185),'Base de datos Rutas'!CZ185/100,"")</f>
        <v>0.30732044198895025</v>
      </c>
      <c r="BH187" s="892">
        <f>IF(ISNUMBER('Base de datos Rutas'!DA185),'Base de datos Rutas'!DA185,"")</f>
        <v>276.19759103266921</v>
      </c>
      <c r="BI187" s="893">
        <f>IF(ISNUMBER('Base de datos Rutas'!DC185),'Base de datos Rutas'!DC185,"")</f>
        <v>11.099352260403203</v>
      </c>
      <c r="BJ187" s="805" t="str">
        <f t="shared" si="108"/>
        <v>Ruta (completo)</v>
      </c>
      <c r="BK187" s="783">
        <f t="shared" si="96"/>
        <v>2</v>
      </c>
      <c r="BL187" s="797">
        <f t="shared" si="97"/>
        <v>2</v>
      </c>
      <c r="BM187" s="797">
        <f t="shared" si="98"/>
        <v>2</v>
      </c>
      <c r="BN187" s="797">
        <f t="shared" si="99"/>
        <v>2</v>
      </c>
      <c r="BO187" s="798" cm="1">
        <f t="array" ref="BO187">SUMPRODUCT(--ISNUMBER($BF187:$BI187),$BK$3:$BN$3)</f>
        <v>1</v>
      </c>
      <c r="BP187" s="831">
        <f t="shared" si="109"/>
        <v>25</v>
      </c>
      <c r="BQ187" s="834" t="str">
        <f t="shared" si="110"/>
        <v>Medio</v>
      </c>
      <c r="BR187" s="836">
        <f t="shared" si="100"/>
        <v>6.7673188940924121</v>
      </c>
      <c r="BS187" s="836">
        <f t="shared" si="101"/>
        <v>25</v>
      </c>
      <c r="BT187" s="837" t="str">
        <f t="shared" si="102"/>
        <v>P4</v>
      </c>
      <c r="BU187" s="807" t="str">
        <f t="shared" si="111"/>
        <v>Con espacio</v>
      </c>
      <c r="BV187" s="807" t="str">
        <f t="shared" si="103"/>
        <v>Zona de bajo potencial</v>
      </c>
      <c r="BW187" s="808" t="str">
        <f t="shared" si="104"/>
        <v>P4 - Evaluar</v>
      </c>
    </row>
    <row r="188" spans="1:75">
      <c r="A188" s="780" t="str">
        <f>'Base de datos Rutas'!A186</f>
        <v>Norte</v>
      </c>
      <c r="B188" s="781" t="str">
        <f>'Base de datos Rutas'!B186</f>
        <v>Juárez</v>
      </c>
      <c r="C188" s="781" t="str">
        <f>'Base de datos Rutas'!C186</f>
        <v>Planta Cd. Juárez</v>
      </c>
      <c r="D188" s="782">
        <f>IF(ISNUMBER('Base de datos Rutas'!D186),'Base de datos Rutas'!D186,"Sin código")</f>
        <v>301351</v>
      </c>
      <c r="E188" s="783" t="str">
        <f>'Base de datos Rutas'!F186</f>
        <v>Activa</v>
      </c>
      <c r="F188" s="784" t="str">
        <f>'Base de datos Rutas'!H186</f>
        <v>Sí</v>
      </c>
      <c r="G188" s="785">
        <f>IF(ISNUMBER('Base de datos Rutas'!BE186),'Base de datos Rutas'!BE186,"")</f>
        <v>53.172413793103402</v>
      </c>
      <c r="H188" s="786">
        <f>IF(ISNUMBER('Base de datos Rutas'!BH186),'Base de datos Rutas'!BH186,"")</f>
        <v>0.65369649805447505</v>
      </c>
      <c r="I188" s="788">
        <f>IFERROR(IF(OR(NOT(ISNUMBER('Base de datos Rutas'!O186)),N('Base de datos Rutas'!BK186)=0),"",'Base de datos Rutas'!O186/('Base de datos Rutas'!L186/'Base de datos Rutas'!BK186)),"")</f>
        <v>2133.7563218390806</v>
      </c>
      <c r="J188" s="788">
        <f>IFERROR(IF(OR(NOT(ISNUMBER('Base de datos Rutas'!N186)),N('Base de datos Rutas'!BK186)=0),"",'Base de datos Rutas'!N186/('Base de datos Rutas'!L186/'Base de datos Rutas'!BK186)),"")</f>
        <v>3244.1977011494255</v>
      </c>
      <c r="K188" s="788">
        <f>IFERROR(IF(OR(NOT(ISNUMBER('Base de datos Rutas'!J186)),N('Base de datos Rutas'!BK186)=0),"",'Base de datos Rutas'!J186/('Base de datos Rutas'!L186/'Base de datos Rutas'!BK186)),"")</f>
        <v>216.95683862068964</v>
      </c>
      <c r="L188" s="788">
        <f>IFERROR(IF(OR(NOT(ISNUMBER('Base de datos Rutas'!K186)),N('Base de datos Rutas'!BK186)=0),"",'Base de datos Rutas'!K186/('Base de datos Rutas'!L186/'Base de datos Rutas'!BK186)),"")</f>
        <v>16.111854225287356</v>
      </c>
      <c r="M188" s="787">
        <f>IF(ISNUMBER('Base de datos Rutas'!AX186),'Base de datos Rutas'!AX186,"")</f>
        <v>154.72309060846601</v>
      </c>
      <c r="N188" s="790">
        <f>IFERROR(INDEX('Hoja de apoyo v2'!B$17:B$20,MATCH($A188,'Hoja de apoyo v2'!$A$17:$A$20,0)),"")</f>
        <v>74.190366972477051</v>
      </c>
      <c r="O188" s="791">
        <f>IFERROR(INDEX('Hoja de apoyo v2'!C$17:C$20,MATCH($A188,'Hoja de apoyo v2'!$A$17:$A$20,0)),"")</f>
        <v>0.71677657005077755</v>
      </c>
      <c r="P188" s="793">
        <f>IFERROR(INDEX('Hoja de apoyo v2'!D$17:D$20,MATCH($A188,'Hoja de apoyo v2'!$A$17:$A$20,0)),"")</f>
        <v>8755.1153350385739</v>
      </c>
      <c r="Q188" s="793">
        <f>IFERROR(INDEX('Hoja de apoyo v2'!E$17:E$20,MATCH($A188,'Hoja de apoyo v2'!$A$17:$A$20,0)),"")</f>
        <v>6098.2042779326393</v>
      </c>
      <c r="R188" s="793">
        <f>IFERROR(INDEX('Hoja de apoyo v2'!F$17:F$20,MATCH($A188,'Hoja de apoyo v2'!$A$17:$A$20,0)),"")</f>
        <v>389.08889713610301</v>
      </c>
      <c r="S188" s="793">
        <f>IFERROR(INDEX('Hoja de apoyo v2'!G$17:G$20,MATCH($A188,'Hoja de apoyo v2'!$A$17:$A$20,0)),"")</f>
        <v>67.90575167807188</v>
      </c>
      <c r="T188" s="792">
        <f>IFERROR(INDEX('Hoja de apoyo v2'!H$17:H$20,MATCH($A188,'Hoja de apoyo v2'!$A$17:$A$20,0)),"")</f>
        <v>258.90325471200998</v>
      </c>
      <c r="U188" s="794">
        <f t="shared" si="76"/>
        <v>0.71670239632092891</v>
      </c>
      <c r="V188" s="795">
        <f t="shared" si="77"/>
        <v>0.91199479080094126</v>
      </c>
      <c r="W188" s="795">
        <f t="shared" si="78"/>
        <v>0.24371538696922027</v>
      </c>
      <c r="X188" s="843">
        <f t="shared" si="79"/>
        <v>0.53199229696012174</v>
      </c>
      <c r="Y188" s="843">
        <f t="shared" si="80"/>
        <v>0.5576022349072538</v>
      </c>
      <c r="Z188" s="843">
        <f t="shared" si="81"/>
        <v>0.23726788713967206</v>
      </c>
      <c r="AA188" s="843">
        <f t="shared" si="82"/>
        <v>0.59760967771753826</v>
      </c>
      <c r="AB188" s="796">
        <f t="shared" si="83"/>
        <v>2</v>
      </c>
      <c r="AC188" s="797">
        <f t="shared" si="84"/>
        <v>3</v>
      </c>
      <c r="AD188" s="797">
        <f t="shared" si="85"/>
        <v>1</v>
      </c>
      <c r="AE188" s="842">
        <f t="shared" si="86"/>
        <v>2</v>
      </c>
      <c r="AF188" s="842">
        <f t="shared" si="87"/>
        <v>2</v>
      </c>
      <c r="AG188" s="842">
        <f t="shared" si="88"/>
        <v>1</v>
      </c>
      <c r="AH188" s="842">
        <f t="shared" si="89"/>
        <v>2</v>
      </c>
      <c r="AI188" s="826" cm="1">
        <f t="array" ref="AI188">SUMPRODUCT(--ISNUMBER($U188:$AA188),$AB$3:$AH$3)</f>
        <v>1</v>
      </c>
      <c r="AJ188" s="829">
        <f t="shared" si="90"/>
        <v>17.879667348502764</v>
      </c>
      <c r="AK188" s="827" t="str">
        <f t="shared" si="91"/>
        <v>Inmadura</v>
      </c>
      <c r="AL188" s="784" t="str">
        <f t="shared" si="92"/>
        <v>Alta</v>
      </c>
      <c r="AM188" s="799">
        <f>IF(ISNUMBER('Base de datos Rutas'!W186),'Base de datos Rutas'!W186,"")</f>
        <v>2501.4542944353198</v>
      </c>
      <c r="AN188" s="787">
        <f>IFERROR(SUMIFS('Base de datos Rutas'!$W$6:$W$794,'Base de datos Rutas'!$C$6:$C$794,$C188)/'Base de datos Rutas'!I186,"")</f>
        <v>2501.4542944353188</v>
      </c>
      <c r="AO188" s="800">
        <f>IFERROR('Base de datos Rutas'!X186*AN188/AM188,"")</f>
        <v>0.63513109235883425</v>
      </c>
      <c r="AP188" s="800">
        <f t="shared" si="93"/>
        <v>0.36486890764116575</v>
      </c>
      <c r="AQ188" s="789">
        <f>IFERROR(INDEX('Hoja de apoyo v2'!$J$17:$J$20,MATCH($A188,'Hoja de apoyo v2'!$A$17:$A$20,0)),"")</f>
        <v>0.62197445417222763</v>
      </c>
      <c r="AR188" s="789">
        <f t="shared" si="94"/>
        <v>-0.25710554653106188</v>
      </c>
      <c r="AS188" s="784" t="str">
        <f t="shared" si="95"/>
        <v>Sí</v>
      </c>
      <c r="AT188" s="801">
        <f>IF(ISNUMBER('Base de datos Rutas'!CK186),'Base de datos Rutas'!CK186,"")</f>
        <v>505</v>
      </c>
      <c r="AU188" s="802">
        <f>IF(ISNUMBER('Base de datos Rutas'!CL186),'Base de datos Rutas'!CL186,"")</f>
        <v>666.96</v>
      </c>
      <c r="AV188" s="802">
        <f>IF(ISNUMBER('Base de datos Rutas'!CM186),'Base de datos Rutas'!CM186,"")</f>
        <v>161.96000000000004</v>
      </c>
      <c r="AW188" s="802">
        <f>IF(ISNUMBER('Base de datos Rutas'!CN186),'Base de datos Rutas'!CN186,"")</f>
        <v>5.33</v>
      </c>
      <c r="AX188" s="802">
        <f>IF(ISNUMBER('Base de datos Rutas'!CO186),'Base de datos Rutas'!CO186,"")</f>
        <v>9.4499999999999993</v>
      </c>
      <c r="AY188" s="802">
        <f>IF(ISNUMBER('Base de datos Rutas'!CP186),'Base de datos Rutas'!CP186,"")</f>
        <v>4.1199999999999992</v>
      </c>
      <c r="AZ188" s="802">
        <f>IF(ISNUMBER('Base de datos Rutas'!CQ186),'Base de datos Rutas'!CQ186,"")</f>
        <v>602.75</v>
      </c>
      <c r="BA188" s="802">
        <f>IF(ISNUMBER('Base de datos Rutas'!CR186),'Base de datos Rutas'!CR186,"")</f>
        <v>233.07</v>
      </c>
      <c r="BB188" s="803">
        <f>IF(ISNUMBER('Base de datos Rutas'!CS186),'Base de datos Rutas'!CS186,"")</f>
        <v>369.68</v>
      </c>
      <c r="BC188" s="804">
        <f t="shared" si="105"/>
        <v>0</v>
      </c>
      <c r="BD188" s="805" t="str">
        <f t="shared" si="106"/>
        <v>No saturada</v>
      </c>
      <c r="BE188" s="806">
        <f t="shared" si="107"/>
        <v>0.3866777270841974</v>
      </c>
      <c r="BF188" s="890">
        <f>IF(ISNUMBER('Base de datos Rutas'!CX186),'Base de datos Rutas'!CX186/100,"")</f>
        <v>1.4723827639183553E-2</v>
      </c>
      <c r="BG188" s="891">
        <f>IF(ISNUMBER('Base de datos Rutas'!CZ186),'Base de datos Rutas'!CZ186/100,"")</f>
        <v>1.7686004828443923E-2</v>
      </c>
      <c r="BH188" s="892">
        <f>IF(ISNUMBER('Base de datos Rutas'!DA186),'Base de datos Rutas'!DA186,"")</f>
        <v>20.767319936773724</v>
      </c>
      <c r="BI188" s="893">
        <f>IF(ISNUMBER('Base de datos Rutas'!DC186),'Base de datos Rutas'!DC186,"")</f>
        <v>1.0086600595645789</v>
      </c>
      <c r="BJ188" s="805" t="str">
        <f t="shared" si="108"/>
        <v>Ruta (completo)</v>
      </c>
      <c r="BK188" s="783">
        <f t="shared" si="96"/>
        <v>1</v>
      </c>
      <c r="BL188" s="797">
        <f t="shared" si="97"/>
        <v>1</v>
      </c>
      <c r="BM188" s="797">
        <f t="shared" si="98"/>
        <v>1</v>
      </c>
      <c r="BN188" s="797">
        <f t="shared" si="99"/>
        <v>1</v>
      </c>
      <c r="BO188" s="798" cm="1">
        <f t="array" ref="BO188">SUMPRODUCT(--ISNUMBER($BF188:$BI188),$BK$3:$BN$3)</f>
        <v>1</v>
      </c>
      <c r="BP188" s="831">
        <f t="shared" si="109"/>
        <v>0</v>
      </c>
      <c r="BQ188" s="834" t="str">
        <f t="shared" si="110"/>
        <v>Bajo</v>
      </c>
      <c r="BR188" s="836">
        <f t="shared" si="100"/>
        <v>13.409750511377073</v>
      </c>
      <c r="BS188" s="836">
        <f t="shared" si="101"/>
        <v>0</v>
      </c>
      <c r="BT188" s="837" t="str">
        <f t="shared" si="102"/>
        <v>P4</v>
      </c>
      <c r="BU188" s="807" t="str">
        <f t="shared" si="111"/>
        <v>Con espacio</v>
      </c>
      <c r="BV188" s="807" t="str">
        <f t="shared" si="103"/>
        <v>Zona de bajo potencial</v>
      </c>
      <c r="BW188" s="808" t="str">
        <f t="shared" si="104"/>
        <v>P4 - Evaluar</v>
      </c>
    </row>
    <row r="189" spans="1:75">
      <c r="A189" s="780" t="str">
        <f>'Base de datos Rutas'!A187</f>
        <v>Norte</v>
      </c>
      <c r="B189" s="781" t="str">
        <f>'Base de datos Rutas'!B187</f>
        <v>Juárez</v>
      </c>
      <c r="C189" s="781" t="str">
        <f>'Base de datos Rutas'!C187</f>
        <v>Planta Cd. Juárez</v>
      </c>
      <c r="D189" s="782">
        <f>IF(ISNUMBER('Base de datos Rutas'!D187),'Base de datos Rutas'!D187,"Sin código")</f>
        <v>301352</v>
      </c>
      <c r="E189" s="783" t="str">
        <f>'Base de datos Rutas'!F187</f>
        <v>Inactiva</v>
      </c>
      <c r="F189" s="784" t="str">
        <f>'Base de datos Rutas'!H187</f>
        <v>No</v>
      </c>
      <c r="G189" s="785" t="str">
        <f>IF(ISNUMBER('Base de datos Rutas'!BE187),'Base de datos Rutas'!BE187,"")</f>
        <v/>
      </c>
      <c r="H189" s="786" t="str">
        <f>IF(ISNUMBER('Base de datos Rutas'!BH187),'Base de datos Rutas'!BH187,"")</f>
        <v/>
      </c>
      <c r="I189" s="788" t="str">
        <f>IFERROR(IF(OR(NOT(ISNUMBER('Base de datos Rutas'!O187)),N('Base de datos Rutas'!BK187)=0),"",'Base de datos Rutas'!O187/('Base de datos Rutas'!L187/'Base de datos Rutas'!BK187)),"")</f>
        <v/>
      </c>
      <c r="J189" s="788" t="str">
        <f>IFERROR(IF(OR(NOT(ISNUMBER('Base de datos Rutas'!N187)),N('Base de datos Rutas'!BK187)=0),"",'Base de datos Rutas'!N187/('Base de datos Rutas'!L187/'Base de datos Rutas'!BK187)),"")</f>
        <v/>
      </c>
      <c r="K189" s="788" t="str">
        <f>IFERROR(IF(OR(NOT(ISNUMBER('Base de datos Rutas'!J187)),N('Base de datos Rutas'!BK187)=0),"",'Base de datos Rutas'!J187/('Base de datos Rutas'!L187/'Base de datos Rutas'!BK187)),"")</f>
        <v/>
      </c>
      <c r="L189" s="788" t="str">
        <f>IFERROR(IF(OR(NOT(ISNUMBER('Base de datos Rutas'!K187)),N('Base de datos Rutas'!BK187)=0),"",'Base de datos Rutas'!K187/('Base de datos Rutas'!L187/'Base de datos Rutas'!BK187)),"")</f>
        <v/>
      </c>
      <c r="M189" s="787">
        <f>IF(ISNUMBER('Base de datos Rutas'!AX187),'Base de datos Rutas'!AX187,"")</f>
        <v>267.43383435582803</v>
      </c>
      <c r="N189" s="790">
        <f>IFERROR(INDEX('Hoja de apoyo v2'!B$17:B$20,MATCH($A189,'Hoja de apoyo v2'!$A$17:$A$20,0)),"")</f>
        <v>74.190366972477051</v>
      </c>
      <c r="O189" s="791">
        <f>IFERROR(INDEX('Hoja de apoyo v2'!C$17:C$20,MATCH($A189,'Hoja de apoyo v2'!$A$17:$A$20,0)),"")</f>
        <v>0.71677657005077755</v>
      </c>
      <c r="P189" s="793">
        <f>IFERROR(INDEX('Hoja de apoyo v2'!D$17:D$20,MATCH($A189,'Hoja de apoyo v2'!$A$17:$A$20,0)),"")</f>
        <v>8755.1153350385739</v>
      </c>
      <c r="Q189" s="793">
        <f>IFERROR(INDEX('Hoja de apoyo v2'!E$17:E$20,MATCH($A189,'Hoja de apoyo v2'!$A$17:$A$20,0)),"")</f>
        <v>6098.2042779326393</v>
      </c>
      <c r="R189" s="793">
        <f>IFERROR(INDEX('Hoja de apoyo v2'!F$17:F$20,MATCH($A189,'Hoja de apoyo v2'!$A$17:$A$20,0)),"")</f>
        <v>389.08889713610301</v>
      </c>
      <c r="S189" s="793">
        <f>IFERROR(INDEX('Hoja de apoyo v2'!G$17:G$20,MATCH($A189,'Hoja de apoyo v2'!$A$17:$A$20,0)),"")</f>
        <v>67.90575167807188</v>
      </c>
      <c r="T189" s="792">
        <f>IFERROR(INDEX('Hoja de apoyo v2'!H$17:H$20,MATCH($A189,'Hoja de apoyo v2'!$A$17:$A$20,0)),"")</f>
        <v>258.90325471200998</v>
      </c>
      <c r="U189" s="794" t="str">
        <f t="shared" si="76"/>
        <v/>
      </c>
      <c r="V189" s="795" t="str">
        <f t="shared" si="77"/>
        <v/>
      </c>
      <c r="W189" s="795" t="str">
        <f t="shared" si="78"/>
        <v/>
      </c>
      <c r="X189" s="843" t="str">
        <f t="shared" si="79"/>
        <v/>
      </c>
      <c r="Y189" s="843" t="str">
        <f t="shared" si="80"/>
        <v/>
      </c>
      <c r="Z189" s="843" t="str">
        <f t="shared" si="81"/>
        <v/>
      </c>
      <c r="AA189" s="843">
        <f t="shared" si="82"/>
        <v>1.0329489084766701</v>
      </c>
      <c r="AB189" s="796">
        <f t="shared" si="83"/>
        <v>0</v>
      </c>
      <c r="AC189" s="797">
        <f t="shared" si="84"/>
        <v>0</v>
      </c>
      <c r="AD189" s="797">
        <f t="shared" si="85"/>
        <v>0</v>
      </c>
      <c r="AE189" s="842">
        <f t="shared" si="86"/>
        <v>0</v>
      </c>
      <c r="AF189" s="842">
        <f t="shared" si="87"/>
        <v>0</v>
      </c>
      <c r="AG189" s="842">
        <f t="shared" si="88"/>
        <v>0</v>
      </c>
      <c r="AH189" s="842">
        <f t="shared" si="89"/>
        <v>4</v>
      </c>
      <c r="AI189" s="826" cm="1">
        <f t="array" ref="AI189">SUMPRODUCT(--ISNUMBER($U189:$AA189),$AB$3:$AH$3)</f>
        <v>8.9789113613062493E-2</v>
      </c>
      <c r="AJ189" s="829" t="str">
        <f t="shared" si="90"/>
        <v/>
      </c>
      <c r="AK189" s="827" t="str">
        <f t="shared" si="91"/>
        <v>Ruta inactiva</v>
      </c>
      <c r="AL189" s="784" t="str">
        <f t="shared" si="92"/>
        <v>n/a</v>
      </c>
      <c r="AM189" s="799">
        <f>IF(ISNUMBER('Base de datos Rutas'!W187),'Base de datos Rutas'!W187,"")</f>
        <v>2501.4542944353198</v>
      </c>
      <c r="AN189" s="787">
        <f>IFERROR(SUMIFS('Base de datos Rutas'!$W$6:$W$794,'Base de datos Rutas'!$C$6:$C$794,$C189)/'Base de datos Rutas'!I187,"")</f>
        <v>2501.4542944353188</v>
      </c>
      <c r="AO189" s="800">
        <f>IFERROR('Base de datos Rutas'!X187*AN189/AM189,"")</f>
        <v>0.63513109235883425</v>
      </c>
      <c r="AP189" s="800">
        <f t="shared" si="93"/>
        <v>0.36486890764116575</v>
      </c>
      <c r="AQ189" s="789">
        <f>IFERROR(INDEX('Hoja de apoyo v2'!$J$17:$J$20,MATCH($A189,'Hoja de apoyo v2'!$A$17:$A$20,0)),"")</f>
        <v>0.62197445417222763</v>
      </c>
      <c r="AR189" s="789">
        <f t="shared" si="94"/>
        <v>-0.25710554653106188</v>
      </c>
      <c r="AS189" s="784" t="str">
        <f t="shared" si="95"/>
        <v>Sí</v>
      </c>
      <c r="AT189" s="801">
        <f>IF(ISNUMBER('Base de datos Rutas'!CK187),'Base de datos Rutas'!CK187,"")</f>
        <v>202</v>
      </c>
      <c r="AU189" s="802">
        <f>IF(ISNUMBER('Base de datos Rutas'!CL187),'Base de datos Rutas'!CL187,"")</f>
        <v>499.4</v>
      </c>
      <c r="AV189" s="802">
        <f>IF(ISNUMBER('Base de datos Rutas'!CM187),'Base de datos Rutas'!CM187,"")</f>
        <v>297.39999999999998</v>
      </c>
      <c r="AW189" s="802">
        <f>IF(ISNUMBER('Base de datos Rutas'!CN187),'Base de datos Rutas'!CN187,"")</f>
        <v>3.32</v>
      </c>
      <c r="AX189" s="802">
        <f>IF(ISNUMBER('Base de datos Rutas'!CO187),'Base de datos Rutas'!CO187,"")</f>
        <v>9.4499999999999993</v>
      </c>
      <c r="AY189" s="802">
        <f>IF(ISNUMBER('Base de datos Rutas'!CP187),'Base de datos Rutas'!CP187,"")</f>
        <v>6.129999999999999</v>
      </c>
      <c r="AZ189" s="802">
        <f>IF(ISNUMBER('Base de datos Rutas'!CQ187),'Base de datos Rutas'!CQ187,"")</f>
        <v>602.75</v>
      </c>
      <c r="BA189" s="802">
        <f>IF(ISNUMBER('Base de datos Rutas'!CR187),'Base de datos Rutas'!CR187,"")</f>
        <v>297.98</v>
      </c>
      <c r="BB189" s="803">
        <f>IF(ISNUMBER('Base de datos Rutas'!CS187),'Base de datos Rutas'!CS187,"")</f>
        <v>304.77</v>
      </c>
      <c r="BC189" s="804">
        <f t="shared" si="105"/>
        <v>0</v>
      </c>
      <c r="BD189" s="805" t="str">
        <f t="shared" si="106"/>
        <v>No saturada</v>
      </c>
      <c r="BE189" s="806">
        <f t="shared" si="107"/>
        <v>0.49436748237245959</v>
      </c>
      <c r="BF189" s="890">
        <f>IF(ISNUMBER('Base de datos Rutas'!CX187),'Base de datos Rutas'!CX187/100,"")</f>
        <v>0.48826435019587805</v>
      </c>
      <c r="BG189" s="891">
        <f>IF(ISNUMBER('Base de datos Rutas'!CZ187),'Base de datos Rutas'!CZ187/100,"")</f>
        <v>0.53892011582353938</v>
      </c>
      <c r="BH189" s="892">
        <f>IF(ISNUMBER('Base de datos Rutas'!DA187),'Base de datos Rutas'!DA187,"")</f>
        <v>500.82780137474873</v>
      </c>
      <c r="BI189" s="893">
        <f>IF(ISNUMBER('Base de datos Rutas'!DC187),'Base de datos Rutas'!DC187,"")</f>
        <v>19.018429414434863</v>
      </c>
      <c r="BJ189" s="805" t="str">
        <f t="shared" si="108"/>
        <v>Ruta (completo)</v>
      </c>
      <c r="BK189" s="783">
        <f t="shared" si="96"/>
        <v>2</v>
      </c>
      <c r="BL189" s="797">
        <f t="shared" si="97"/>
        <v>2</v>
      </c>
      <c r="BM189" s="797">
        <f t="shared" si="98"/>
        <v>3</v>
      </c>
      <c r="BN189" s="797">
        <f t="shared" si="99"/>
        <v>3</v>
      </c>
      <c r="BO189" s="798" cm="1">
        <f t="array" ref="BO189">SUMPRODUCT(--ISNUMBER($BF189:$BI189),$BK$3:$BN$3)</f>
        <v>1</v>
      </c>
      <c r="BP189" s="831">
        <f t="shared" si="109"/>
        <v>37.5</v>
      </c>
      <c r="BQ189" s="834" t="str">
        <f t="shared" si="110"/>
        <v>Medio</v>
      </c>
      <c r="BR189" s="836" t="str">
        <f t="shared" si="100"/>
        <v/>
      </c>
      <c r="BS189" s="836">
        <f t="shared" si="101"/>
        <v>37.5</v>
      </c>
      <c r="BT189" s="837" t="str">
        <f t="shared" si="102"/>
        <v>Sin datos</v>
      </c>
      <c r="BU189" s="807" t="str">
        <f t="shared" si="111"/>
        <v>No evaluable</v>
      </c>
      <c r="BV189" s="807" t="str">
        <f t="shared" si="103"/>
        <v>No evaluable</v>
      </c>
      <c r="BW189" s="808" t="str">
        <f t="shared" si="104"/>
        <v>Sin datos</v>
      </c>
    </row>
    <row r="190" spans="1:75">
      <c r="A190" s="780" t="str">
        <f>'Base de datos Rutas'!A188</f>
        <v>Norte</v>
      </c>
      <c r="B190" s="781" t="str">
        <f>'Base de datos Rutas'!B188</f>
        <v>Juárez</v>
      </c>
      <c r="C190" s="781" t="str">
        <f>'Base de datos Rutas'!C188</f>
        <v>Planta Cd. Juárez</v>
      </c>
      <c r="D190" s="782">
        <f>IF(ISNUMBER('Base de datos Rutas'!D188),'Base de datos Rutas'!D188,"Sin código")</f>
        <v>301354</v>
      </c>
      <c r="E190" s="783" t="str">
        <f>'Base de datos Rutas'!F188</f>
        <v>Activa</v>
      </c>
      <c r="F190" s="784" t="str">
        <f>'Base de datos Rutas'!H188</f>
        <v>Sí</v>
      </c>
      <c r="G190" s="785">
        <f>IF(ISNUMBER('Base de datos Rutas'!BE188),'Base de datos Rutas'!BE188,"")</f>
        <v>45.697459584295601</v>
      </c>
      <c r="H190" s="786">
        <f>IF(ISNUMBER('Base de datos Rutas'!BH188),'Base de datos Rutas'!BH188,"")</f>
        <v>0.75453580633749395</v>
      </c>
      <c r="I190" s="788">
        <f>IFERROR(IF(OR(NOT(ISNUMBER('Base de datos Rutas'!O188)),N('Base de datos Rutas'!BK188)=0),"",'Base de datos Rutas'!O188/('Base de datos Rutas'!L188/'Base de datos Rutas'!BK188)),"")</f>
        <v>3575.6859122401852</v>
      </c>
      <c r="J190" s="788">
        <f>IFERROR(IF(OR(NOT(ISNUMBER('Base de datos Rutas'!N188)),N('Base de datos Rutas'!BK188)=0),"",'Base de datos Rutas'!N188/('Base de datos Rutas'!L188/'Base de datos Rutas'!BK188)),"")</f>
        <v>3892.8498845265594</v>
      </c>
      <c r="K190" s="788">
        <f>IFERROR(IF(OR(NOT(ISNUMBER('Base de datos Rutas'!J188)),N('Base de datos Rutas'!BK188)=0),"",'Base de datos Rutas'!J188/('Base de datos Rutas'!L188/'Base de datos Rutas'!BK188)),"")</f>
        <v>254.55849422632795</v>
      </c>
      <c r="L190" s="788">
        <f>IFERROR(IF(OR(NOT(ISNUMBER('Base de datos Rutas'!K188)),N('Base de datos Rutas'!BK188)=0),"",'Base de datos Rutas'!K188/('Base de datos Rutas'!L188/'Base de datos Rutas'!BK188)),"")</f>
        <v>22.730417704387996</v>
      </c>
      <c r="M190" s="787">
        <f>IF(ISNUMBER('Base de datos Rutas'!AX188),'Base de datos Rutas'!AX188,"")</f>
        <v>216.52596718017401</v>
      </c>
      <c r="N190" s="790">
        <f>IFERROR(INDEX('Hoja de apoyo v2'!B$17:B$20,MATCH($A190,'Hoja de apoyo v2'!$A$17:$A$20,0)),"")</f>
        <v>74.190366972477051</v>
      </c>
      <c r="O190" s="791">
        <f>IFERROR(INDEX('Hoja de apoyo v2'!C$17:C$20,MATCH($A190,'Hoja de apoyo v2'!$A$17:$A$20,0)),"")</f>
        <v>0.71677657005077755</v>
      </c>
      <c r="P190" s="793">
        <f>IFERROR(INDEX('Hoja de apoyo v2'!D$17:D$20,MATCH($A190,'Hoja de apoyo v2'!$A$17:$A$20,0)),"")</f>
        <v>8755.1153350385739</v>
      </c>
      <c r="Q190" s="793">
        <f>IFERROR(INDEX('Hoja de apoyo v2'!E$17:E$20,MATCH($A190,'Hoja de apoyo v2'!$A$17:$A$20,0)),"")</f>
        <v>6098.2042779326393</v>
      </c>
      <c r="R190" s="793">
        <f>IFERROR(INDEX('Hoja de apoyo v2'!F$17:F$20,MATCH($A190,'Hoja de apoyo v2'!$A$17:$A$20,0)),"")</f>
        <v>389.08889713610301</v>
      </c>
      <c r="S190" s="793">
        <f>IFERROR(INDEX('Hoja de apoyo v2'!G$17:G$20,MATCH($A190,'Hoja de apoyo v2'!$A$17:$A$20,0)),"")</f>
        <v>67.90575167807188</v>
      </c>
      <c r="T190" s="792">
        <f>IFERROR(INDEX('Hoja de apoyo v2'!H$17:H$20,MATCH($A190,'Hoja de apoyo v2'!$A$17:$A$20,0)),"")</f>
        <v>258.90325471200998</v>
      </c>
      <c r="U190" s="794">
        <f t="shared" si="76"/>
        <v>0.61594869319420298</v>
      </c>
      <c r="V190" s="795">
        <f t="shared" si="77"/>
        <v>1.0526792278994854</v>
      </c>
      <c r="W190" s="795">
        <f t="shared" si="78"/>
        <v>0.4084110574683173</v>
      </c>
      <c r="X190" s="843">
        <f t="shared" si="79"/>
        <v>0.63836003306964983</v>
      </c>
      <c r="Y190" s="843">
        <f t="shared" si="80"/>
        <v>0.65424250370547987</v>
      </c>
      <c r="Z190" s="843">
        <f t="shared" si="81"/>
        <v>0.33473479260120026</v>
      </c>
      <c r="AA190" s="843">
        <f t="shared" si="82"/>
        <v>0.83631998918293171</v>
      </c>
      <c r="AB190" s="796">
        <f t="shared" si="83"/>
        <v>2</v>
      </c>
      <c r="AC190" s="797">
        <f t="shared" si="84"/>
        <v>4</v>
      </c>
      <c r="AD190" s="797">
        <f t="shared" si="85"/>
        <v>1</v>
      </c>
      <c r="AE190" s="842">
        <f t="shared" si="86"/>
        <v>2</v>
      </c>
      <c r="AF190" s="842">
        <f t="shared" si="87"/>
        <v>2</v>
      </c>
      <c r="AG190" s="842">
        <f t="shared" si="88"/>
        <v>1</v>
      </c>
      <c r="AH190" s="842">
        <f t="shared" si="89"/>
        <v>3</v>
      </c>
      <c r="AI190" s="826" cm="1">
        <f t="array" ref="AI190">SUMPRODUCT(--ISNUMBER($U190:$AA190),$AB$3:$AH$3)</f>
        <v>1</v>
      </c>
      <c r="AJ190" s="829">
        <f t="shared" si="90"/>
        <v>22.507300774719809</v>
      </c>
      <c r="AK190" s="827" t="str">
        <f t="shared" si="91"/>
        <v>Inmadura</v>
      </c>
      <c r="AL190" s="784" t="str">
        <f t="shared" si="92"/>
        <v>Alta</v>
      </c>
      <c r="AM190" s="799">
        <f>IF(ISNUMBER('Base de datos Rutas'!W188),'Base de datos Rutas'!W188,"")</f>
        <v>2501.4542944353198</v>
      </c>
      <c r="AN190" s="787">
        <f>IFERROR(SUMIFS('Base de datos Rutas'!$W$6:$W$794,'Base de datos Rutas'!$C$6:$C$794,$C190)/'Base de datos Rutas'!I188,"")</f>
        <v>2501.4542944353188</v>
      </c>
      <c r="AO190" s="800">
        <f>IFERROR('Base de datos Rutas'!X188*AN190/AM190,"")</f>
        <v>0.63513109235883425</v>
      </c>
      <c r="AP190" s="800">
        <f t="shared" si="93"/>
        <v>0.36486890764116575</v>
      </c>
      <c r="AQ190" s="789">
        <f>IFERROR(INDEX('Hoja de apoyo v2'!$J$17:$J$20,MATCH($A190,'Hoja de apoyo v2'!$A$17:$A$20,0)),"")</f>
        <v>0.62197445417222763</v>
      </c>
      <c r="AR190" s="789">
        <f t="shared" si="94"/>
        <v>-0.25710554653106188</v>
      </c>
      <c r="AS190" s="784" t="str">
        <f t="shared" si="95"/>
        <v>Sí</v>
      </c>
      <c r="AT190" s="801">
        <f>IF(ISNUMBER('Base de datos Rutas'!CK188),'Base de datos Rutas'!CK188,"")</f>
        <v>333</v>
      </c>
      <c r="AU190" s="802">
        <f>IF(ISNUMBER('Base de datos Rutas'!CL188),'Base de datos Rutas'!CL188,"")</f>
        <v>453.29</v>
      </c>
      <c r="AV190" s="802">
        <f>IF(ISNUMBER('Base de datos Rutas'!CM188),'Base de datos Rutas'!CM188,"")</f>
        <v>120.29000000000002</v>
      </c>
      <c r="AW190" s="802">
        <f>IF(ISNUMBER('Base de datos Rutas'!CN188),'Base de datos Rutas'!CN188,"")</f>
        <v>6.07</v>
      </c>
      <c r="AX190" s="802">
        <f>IF(ISNUMBER('Base de datos Rutas'!CO188),'Base de datos Rutas'!CO188,"")</f>
        <v>9.4499999999999993</v>
      </c>
      <c r="AY190" s="802">
        <f>IF(ISNUMBER('Base de datos Rutas'!CP188),'Base de datos Rutas'!CP188,"")</f>
        <v>3.379999999999999</v>
      </c>
      <c r="AZ190" s="802">
        <f>IF(ISNUMBER('Base de datos Rutas'!CQ188),'Base de datos Rutas'!CQ188,"")</f>
        <v>602.75</v>
      </c>
      <c r="BA190" s="802">
        <f>IF(ISNUMBER('Base de datos Rutas'!CR188),'Base de datos Rutas'!CR188,"")</f>
        <v>277.29000000000002</v>
      </c>
      <c r="BB190" s="803">
        <f>IF(ISNUMBER('Base de datos Rutas'!CS188),'Base de datos Rutas'!CS188,"")</f>
        <v>325.45999999999998</v>
      </c>
      <c r="BC190" s="804">
        <f t="shared" si="105"/>
        <v>0</v>
      </c>
      <c r="BD190" s="805" t="str">
        <f t="shared" si="106"/>
        <v>No saturada</v>
      </c>
      <c r="BE190" s="806">
        <f t="shared" si="107"/>
        <v>0.4600414765657404</v>
      </c>
      <c r="BF190" s="890">
        <f>IF(ISNUMBER('Base de datos Rutas'!CX188),'Base de datos Rutas'!CX188/100,"")</f>
        <v>1.7805160210061649E-2</v>
      </c>
      <c r="BG190" s="891">
        <f>IF(ISNUMBER('Base de datos Rutas'!CZ188),'Base de datos Rutas'!CZ188/100,"")</f>
        <v>1.9636197579724485E-2</v>
      </c>
      <c r="BH190" s="892">
        <f>IF(ISNUMBER('Base de datos Rutas'!DA188),'Base de datos Rutas'!DA188,"")</f>
        <v>12.310431664131542</v>
      </c>
      <c r="BI190" s="893">
        <f>IF(ISNUMBER('Base de datos Rutas'!DC188),'Base de datos Rutas'!DC188,"")</f>
        <v>0.56031721504227983</v>
      </c>
      <c r="BJ190" s="805" t="str">
        <f t="shared" si="108"/>
        <v>Ruta (completo)</v>
      </c>
      <c r="BK190" s="783">
        <f t="shared" si="96"/>
        <v>1</v>
      </c>
      <c r="BL190" s="797">
        <f t="shared" si="97"/>
        <v>1</v>
      </c>
      <c r="BM190" s="797">
        <f t="shared" si="98"/>
        <v>1</v>
      </c>
      <c r="BN190" s="797">
        <f t="shared" si="99"/>
        <v>1</v>
      </c>
      <c r="BO190" s="798" cm="1">
        <f t="array" ref="BO190">SUMPRODUCT(--ISNUMBER($BF190:$BI190),$BK$3:$BN$3)</f>
        <v>1</v>
      </c>
      <c r="BP190" s="831">
        <f t="shared" si="109"/>
        <v>0</v>
      </c>
      <c r="BQ190" s="834" t="str">
        <f t="shared" si="110"/>
        <v>Bajo</v>
      </c>
      <c r="BR190" s="836">
        <f t="shared" si="100"/>
        <v>16.880475581039857</v>
      </c>
      <c r="BS190" s="836">
        <f t="shared" si="101"/>
        <v>0</v>
      </c>
      <c r="BT190" s="837" t="str">
        <f t="shared" si="102"/>
        <v>P4</v>
      </c>
      <c r="BU190" s="807" t="str">
        <f t="shared" si="111"/>
        <v>Con espacio</v>
      </c>
      <c r="BV190" s="807" t="str">
        <f t="shared" si="103"/>
        <v>Zona de bajo potencial</v>
      </c>
      <c r="BW190" s="808" t="str">
        <f t="shared" si="104"/>
        <v>P4 - Evaluar</v>
      </c>
    </row>
    <row r="191" spans="1:75">
      <c r="A191" s="780" t="str">
        <f>'Base de datos Rutas'!A189</f>
        <v>Norte</v>
      </c>
      <c r="B191" s="781" t="str">
        <f>'Base de datos Rutas'!B189</f>
        <v>Juárez</v>
      </c>
      <c r="C191" s="781" t="str">
        <f>'Base de datos Rutas'!C189</f>
        <v>Planta Cd. Juárez</v>
      </c>
      <c r="D191" s="782">
        <f>IF(ISNUMBER('Base de datos Rutas'!D189),'Base de datos Rutas'!D189,"Sin código")</f>
        <v>301355</v>
      </c>
      <c r="E191" s="783" t="str">
        <f>'Base de datos Rutas'!F189</f>
        <v>Activa</v>
      </c>
      <c r="F191" s="784" t="str">
        <f>'Base de datos Rutas'!H189</f>
        <v>Sí</v>
      </c>
      <c r="G191" s="785">
        <f>IF(ISNUMBER('Base de datos Rutas'!BE189),'Base de datos Rutas'!BE189,"")</f>
        <v>62.188505747126399</v>
      </c>
      <c r="H191" s="786">
        <f>IF(ISNUMBER('Base de datos Rutas'!BH189),'Base de datos Rutas'!BH189,"")</f>
        <v>0.61237616442407194</v>
      </c>
      <c r="I191" s="788">
        <f>IFERROR(IF(OR(NOT(ISNUMBER('Base de datos Rutas'!O189)),N('Base de datos Rutas'!BK189)=0),"",'Base de datos Rutas'!O189/('Base de datos Rutas'!L189/'Base de datos Rutas'!BK189)),"")</f>
        <v>3131.5034482758656</v>
      </c>
      <c r="J191" s="788">
        <f>IFERROR(IF(OR(NOT(ISNUMBER('Base de datos Rutas'!N189)),N('Base de datos Rutas'!BK189)=0),"",'Base de datos Rutas'!N189/('Base de datos Rutas'!L189/'Base de datos Rutas'!BK189)),"")</f>
        <v>4228.1793103448326</v>
      </c>
      <c r="K191" s="788">
        <f>IFERROR(IF(OR(NOT(ISNUMBER('Base de datos Rutas'!J189)),N('Base de datos Rutas'!BK189)=0),"",'Base de datos Rutas'!J189/('Base de datos Rutas'!L189/'Base de datos Rutas'!BK189)),"")</f>
        <v>274.94225379310376</v>
      </c>
      <c r="L191" s="788">
        <f>IFERROR(IF(OR(NOT(ISNUMBER('Base de datos Rutas'!K189)),N('Base de datos Rutas'!BK189)=0),"",'Base de datos Rutas'!K189/('Base de datos Rutas'!L189/'Base de datos Rutas'!BK189)),"")</f>
        <v>18.492479581609217</v>
      </c>
      <c r="M191" s="787">
        <f>IF(ISNUMBER('Base de datos Rutas'!AX189),'Base de datos Rutas'!AX189,"")</f>
        <v>193.25487745985799</v>
      </c>
      <c r="N191" s="790">
        <f>IFERROR(INDEX('Hoja de apoyo v2'!B$17:B$20,MATCH($A191,'Hoja de apoyo v2'!$A$17:$A$20,0)),"")</f>
        <v>74.190366972477051</v>
      </c>
      <c r="O191" s="791">
        <f>IFERROR(INDEX('Hoja de apoyo v2'!C$17:C$20,MATCH($A191,'Hoja de apoyo v2'!$A$17:$A$20,0)),"")</f>
        <v>0.71677657005077755</v>
      </c>
      <c r="P191" s="793">
        <f>IFERROR(INDEX('Hoja de apoyo v2'!D$17:D$20,MATCH($A191,'Hoja de apoyo v2'!$A$17:$A$20,0)),"")</f>
        <v>8755.1153350385739</v>
      </c>
      <c r="Q191" s="793">
        <f>IFERROR(INDEX('Hoja de apoyo v2'!E$17:E$20,MATCH($A191,'Hoja de apoyo v2'!$A$17:$A$20,0)),"")</f>
        <v>6098.2042779326393</v>
      </c>
      <c r="R191" s="793">
        <f>IFERROR(INDEX('Hoja de apoyo v2'!F$17:F$20,MATCH($A191,'Hoja de apoyo v2'!$A$17:$A$20,0)),"")</f>
        <v>389.08889713610301</v>
      </c>
      <c r="S191" s="793">
        <f>IFERROR(INDEX('Hoja de apoyo v2'!G$17:G$20,MATCH($A191,'Hoja de apoyo v2'!$A$17:$A$20,0)),"")</f>
        <v>67.90575167807188</v>
      </c>
      <c r="T191" s="792">
        <f>IFERROR(INDEX('Hoja de apoyo v2'!H$17:H$20,MATCH($A191,'Hoja de apoyo v2'!$A$17:$A$20,0)),"")</f>
        <v>258.90325471200998</v>
      </c>
      <c r="U191" s="794">
        <f t="shared" si="76"/>
        <v>0.83822884674767717</v>
      </c>
      <c r="V191" s="795">
        <f t="shared" si="77"/>
        <v>0.85434735175661547</v>
      </c>
      <c r="W191" s="795">
        <f t="shared" si="78"/>
        <v>0.35767700691998577</v>
      </c>
      <c r="X191" s="843">
        <f t="shared" si="79"/>
        <v>0.69334825755922913</v>
      </c>
      <c r="Y191" s="843">
        <f t="shared" si="80"/>
        <v>0.70663094171234897</v>
      </c>
      <c r="Z191" s="843">
        <f t="shared" si="81"/>
        <v>0.27232567381447315</v>
      </c>
      <c r="AA191" s="843">
        <f t="shared" si="82"/>
        <v>0.74643664744510185</v>
      </c>
      <c r="AB191" s="796">
        <f t="shared" si="83"/>
        <v>3</v>
      </c>
      <c r="AC191" s="797">
        <f t="shared" si="84"/>
        <v>3</v>
      </c>
      <c r="AD191" s="797">
        <f t="shared" si="85"/>
        <v>1</v>
      </c>
      <c r="AE191" s="842">
        <f t="shared" si="86"/>
        <v>2</v>
      </c>
      <c r="AF191" s="842">
        <f t="shared" si="87"/>
        <v>2</v>
      </c>
      <c r="AG191" s="842">
        <f t="shared" si="88"/>
        <v>1</v>
      </c>
      <c r="AH191" s="842">
        <f t="shared" si="89"/>
        <v>2</v>
      </c>
      <c r="AI191" s="826" cm="1">
        <f t="array" ref="AI191">SUMPRODUCT(--ISNUMBER($U191:$AA191),$AB$3:$AH$3)</f>
        <v>1</v>
      </c>
      <c r="AJ191" s="829">
        <f t="shared" si="90"/>
        <v>22.41330352663952</v>
      </c>
      <c r="AK191" s="827" t="str">
        <f t="shared" si="91"/>
        <v>Inmadura</v>
      </c>
      <c r="AL191" s="784" t="str">
        <f t="shared" si="92"/>
        <v>Alta</v>
      </c>
      <c r="AM191" s="799">
        <f>IF(ISNUMBER('Base de datos Rutas'!W189),'Base de datos Rutas'!W189,"")</f>
        <v>2501.4542944353198</v>
      </c>
      <c r="AN191" s="787">
        <f>IFERROR(SUMIFS('Base de datos Rutas'!$W$6:$W$794,'Base de datos Rutas'!$C$6:$C$794,$C191)/'Base de datos Rutas'!I189,"")</f>
        <v>2501.4542944353188</v>
      </c>
      <c r="AO191" s="800">
        <f>IFERROR('Base de datos Rutas'!X189*AN191/AM191,"")</f>
        <v>0.63513109235883425</v>
      </c>
      <c r="AP191" s="800">
        <f t="shared" si="93"/>
        <v>0.36486890764116575</v>
      </c>
      <c r="AQ191" s="789">
        <f>IFERROR(INDEX('Hoja de apoyo v2'!$J$17:$J$20,MATCH($A191,'Hoja de apoyo v2'!$A$17:$A$20,0)),"")</f>
        <v>0.62197445417222763</v>
      </c>
      <c r="AR191" s="789">
        <f t="shared" si="94"/>
        <v>-0.25710554653106188</v>
      </c>
      <c r="AS191" s="784" t="str">
        <f t="shared" si="95"/>
        <v>Sí</v>
      </c>
      <c r="AT191" s="801">
        <f>IF(ISNUMBER('Base de datos Rutas'!CK189),'Base de datos Rutas'!CK189,"")</f>
        <v>349</v>
      </c>
      <c r="AU191" s="802">
        <f>IF(ISNUMBER('Base de datos Rutas'!CL189),'Base de datos Rutas'!CL189,"")</f>
        <v>682</v>
      </c>
      <c r="AV191" s="802">
        <f>IF(ISNUMBER('Base de datos Rutas'!CM189),'Base de datos Rutas'!CM189,"")</f>
        <v>333</v>
      </c>
      <c r="AW191" s="802">
        <f>IF(ISNUMBER('Base de datos Rutas'!CN189),'Base de datos Rutas'!CN189,"")</f>
        <v>4.67</v>
      </c>
      <c r="AX191" s="802">
        <f>IF(ISNUMBER('Base de datos Rutas'!CO189),'Base de datos Rutas'!CO189,"")</f>
        <v>9.4499999999999993</v>
      </c>
      <c r="AY191" s="802">
        <f>IF(ISNUMBER('Base de datos Rutas'!CP189),'Base de datos Rutas'!CP189,"")</f>
        <v>4.7799999999999994</v>
      </c>
      <c r="AZ191" s="802">
        <f>IF(ISNUMBER('Base de datos Rutas'!CQ189),'Base de datos Rutas'!CQ189,"")</f>
        <v>602.75</v>
      </c>
      <c r="BA191" s="802">
        <f>IF(ISNUMBER('Base de datos Rutas'!CR189),'Base de datos Rutas'!CR189,"")</f>
        <v>293.43</v>
      </c>
      <c r="BB191" s="803">
        <f>IF(ISNUMBER('Base de datos Rutas'!CS189),'Base de datos Rutas'!CS189,"")</f>
        <v>309.32</v>
      </c>
      <c r="BC191" s="804">
        <f t="shared" si="105"/>
        <v>0</v>
      </c>
      <c r="BD191" s="805" t="str">
        <f t="shared" si="106"/>
        <v>No saturada</v>
      </c>
      <c r="BE191" s="806">
        <f t="shared" si="107"/>
        <v>0.48681874740771464</v>
      </c>
      <c r="BF191" s="890">
        <f>IF(ISNUMBER('Base de datos Rutas'!CX189),'Base de datos Rutas'!CX189/100,"")</f>
        <v>0.886309320587231</v>
      </c>
      <c r="BG191" s="891">
        <f>IF(ISNUMBER('Base de datos Rutas'!CZ189),'Base de datos Rutas'!CZ189/100,"")</f>
        <v>1</v>
      </c>
      <c r="BH191" s="892">
        <f>IF(ISNUMBER('Base de datos Rutas'!DA189),'Base de datos Rutas'!DA189,"")</f>
        <v>1127.5109779276518</v>
      </c>
      <c r="BI191" s="893">
        <f>IF(ISNUMBER('Base de datos Rutas'!DC189),'Base de datos Rutas'!DC189,"")</f>
        <v>44.756011649294905</v>
      </c>
      <c r="BJ191" s="805" t="str">
        <f t="shared" si="108"/>
        <v>Ruta (completo)</v>
      </c>
      <c r="BK191" s="783">
        <f t="shared" si="96"/>
        <v>4</v>
      </c>
      <c r="BL191" s="797">
        <f t="shared" si="97"/>
        <v>4</v>
      </c>
      <c r="BM191" s="797">
        <f t="shared" si="98"/>
        <v>5</v>
      </c>
      <c r="BN191" s="797">
        <f t="shared" si="99"/>
        <v>5</v>
      </c>
      <c r="BO191" s="798" cm="1">
        <f t="array" ref="BO191">SUMPRODUCT(--ISNUMBER($BF191:$BI191),$BK$3:$BN$3)</f>
        <v>1</v>
      </c>
      <c r="BP191" s="831">
        <f t="shared" si="109"/>
        <v>87.5</v>
      </c>
      <c r="BQ191" s="834" t="str">
        <f t="shared" si="110"/>
        <v>Alto</v>
      </c>
      <c r="BR191" s="836">
        <f t="shared" si="100"/>
        <v>16.809977644979639</v>
      </c>
      <c r="BS191" s="836">
        <f t="shared" si="101"/>
        <v>87.5</v>
      </c>
      <c r="BT191" s="837" t="str">
        <f t="shared" si="102"/>
        <v>P3</v>
      </c>
      <c r="BU191" s="807" t="str">
        <f t="shared" si="111"/>
        <v>Con espacio</v>
      </c>
      <c r="BV191" s="807" t="str">
        <f t="shared" si="103"/>
        <v>Zona atractiva</v>
      </c>
      <c r="BW191" s="808" t="str">
        <f t="shared" si="104"/>
        <v>P3 - Desarrollar</v>
      </c>
    </row>
    <row r="192" spans="1:75">
      <c r="A192" s="780" t="str">
        <f>'Base de datos Rutas'!A190</f>
        <v>Norte</v>
      </c>
      <c r="B192" s="781" t="str">
        <f>'Base de datos Rutas'!B190</f>
        <v>Juárez</v>
      </c>
      <c r="C192" s="781" t="str">
        <f>'Base de datos Rutas'!C190</f>
        <v>Planta Cd. Juárez</v>
      </c>
      <c r="D192" s="782">
        <f>IF(ISNUMBER('Base de datos Rutas'!D190),'Base de datos Rutas'!D190,"Sin código")</f>
        <v>301356</v>
      </c>
      <c r="E192" s="783" t="str">
        <f>'Base de datos Rutas'!F190</f>
        <v>Activa</v>
      </c>
      <c r="F192" s="784" t="str">
        <f>'Base de datos Rutas'!H190</f>
        <v>Sí</v>
      </c>
      <c r="G192" s="785">
        <f>IF(ISNUMBER('Base de datos Rutas'!BE190),'Base de datos Rutas'!BE190,"")</f>
        <v>57.139908256880702</v>
      </c>
      <c r="H192" s="786">
        <f>IF(ISNUMBER('Base de datos Rutas'!BH190),'Base de datos Rutas'!BH190,"")</f>
        <v>0.75908160398185698</v>
      </c>
      <c r="I192" s="788">
        <f>IFERROR(IF(OR(NOT(ISNUMBER('Base de datos Rutas'!O190)),N('Base de datos Rutas'!BK190)=0),"",'Base de datos Rutas'!O190/('Base de datos Rutas'!L190/'Base de datos Rutas'!BK190)),"")</f>
        <v>3773.529816513756</v>
      </c>
      <c r="J192" s="788">
        <f>IFERROR(IF(OR(NOT(ISNUMBER('Base de datos Rutas'!N190)),N('Base de datos Rutas'!BK190)=0),"",'Base de datos Rutas'!N190/('Base de datos Rutas'!L190/'Base de datos Rutas'!BK190)),"")</f>
        <v>3732.2683486238479</v>
      </c>
      <c r="K192" s="788">
        <f>IFERROR(IF(OR(NOT(ISNUMBER('Base de datos Rutas'!J190)),N('Base de datos Rutas'!BK190)=0),"",'Base de datos Rutas'!J190/('Base de datos Rutas'!L190/'Base de datos Rutas'!BK190)),"")</f>
        <v>248.52565089908219</v>
      </c>
      <c r="L192" s="788">
        <f>IFERROR(IF(OR(NOT(ISNUMBER('Base de datos Rutas'!K190)),N('Base de datos Rutas'!BK190)=0),"",'Base de datos Rutas'!K190/('Base de datos Rutas'!L190/'Base de datos Rutas'!BK190)),"")</f>
        <v>27.742922201834823</v>
      </c>
      <c r="M192" s="787">
        <f>IF(ISNUMBER('Base de datos Rutas'!AX190),'Base de datos Rutas'!AX190,"")</f>
        <v>173.104131457882</v>
      </c>
      <c r="N192" s="790">
        <f>IFERROR(INDEX('Hoja de apoyo v2'!B$17:B$20,MATCH($A192,'Hoja de apoyo v2'!$A$17:$A$20,0)),"")</f>
        <v>74.190366972477051</v>
      </c>
      <c r="O192" s="791">
        <f>IFERROR(INDEX('Hoja de apoyo v2'!C$17:C$20,MATCH($A192,'Hoja de apoyo v2'!$A$17:$A$20,0)),"")</f>
        <v>0.71677657005077755</v>
      </c>
      <c r="P192" s="793">
        <f>IFERROR(INDEX('Hoja de apoyo v2'!D$17:D$20,MATCH($A192,'Hoja de apoyo v2'!$A$17:$A$20,0)),"")</f>
        <v>8755.1153350385739</v>
      </c>
      <c r="Q192" s="793">
        <f>IFERROR(INDEX('Hoja de apoyo v2'!E$17:E$20,MATCH($A192,'Hoja de apoyo v2'!$A$17:$A$20,0)),"")</f>
        <v>6098.2042779326393</v>
      </c>
      <c r="R192" s="793">
        <f>IFERROR(INDEX('Hoja de apoyo v2'!F$17:F$20,MATCH($A192,'Hoja de apoyo v2'!$A$17:$A$20,0)),"")</f>
        <v>389.08889713610301</v>
      </c>
      <c r="S192" s="793">
        <f>IFERROR(INDEX('Hoja de apoyo v2'!G$17:G$20,MATCH($A192,'Hoja de apoyo v2'!$A$17:$A$20,0)),"")</f>
        <v>67.90575167807188</v>
      </c>
      <c r="T192" s="792">
        <f>IFERROR(INDEX('Hoja de apoyo v2'!H$17:H$20,MATCH($A192,'Hoja de apoyo v2'!$A$17:$A$20,0)),"")</f>
        <v>258.90325471200998</v>
      </c>
      <c r="U192" s="794">
        <f t="shared" si="76"/>
        <v>0.7701796148019906</v>
      </c>
      <c r="V192" s="795">
        <f t="shared" si="77"/>
        <v>1.0590212287883272</v>
      </c>
      <c r="W192" s="795">
        <f t="shared" si="78"/>
        <v>0.43100857865479281</v>
      </c>
      <c r="X192" s="843">
        <f t="shared" si="79"/>
        <v>0.61202743931187709</v>
      </c>
      <c r="Y192" s="843">
        <f t="shared" si="80"/>
        <v>0.63873745236207058</v>
      </c>
      <c r="Z192" s="843">
        <f t="shared" si="81"/>
        <v>0.40855040281946492</v>
      </c>
      <c r="AA192" s="843">
        <f t="shared" si="82"/>
        <v>0.66860546674252397</v>
      </c>
      <c r="AB192" s="796">
        <f t="shared" si="83"/>
        <v>3</v>
      </c>
      <c r="AC192" s="797">
        <f t="shared" si="84"/>
        <v>4</v>
      </c>
      <c r="AD192" s="797">
        <f t="shared" si="85"/>
        <v>1</v>
      </c>
      <c r="AE192" s="842">
        <f t="shared" si="86"/>
        <v>2</v>
      </c>
      <c r="AF192" s="842">
        <f t="shared" si="87"/>
        <v>2</v>
      </c>
      <c r="AG192" s="842">
        <f t="shared" si="88"/>
        <v>1</v>
      </c>
      <c r="AH192" s="842">
        <f t="shared" si="89"/>
        <v>2</v>
      </c>
      <c r="AI192" s="826" cm="1">
        <f t="array" ref="AI192">SUMPRODUCT(--ISNUMBER($U192:$AA192),$AB$3:$AH$3)</f>
        <v>1</v>
      </c>
      <c r="AJ192" s="829">
        <f t="shared" si="90"/>
        <v>24.796209112529993</v>
      </c>
      <c r="AK192" s="827" t="str">
        <f t="shared" si="91"/>
        <v>Inmadura</v>
      </c>
      <c r="AL192" s="784" t="str">
        <f t="shared" si="92"/>
        <v>Alta</v>
      </c>
      <c r="AM192" s="799">
        <f>IF(ISNUMBER('Base de datos Rutas'!W190),'Base de datos Rutas'!W190,"")</f>
        <v>2501.4542944353198</v>
      </c>
      <c r="AN192" s="787">
        <f>IFERROR(SUMIFS('Base de datos Rutas'!$W$6:$W$794,'Base de datos Rutas'!$C$6:$C$794,$C192)/'Base de datos Rutas'!I190,"")</f>
        <v>2501.4542944353188</v>
      </c>
      <c r="AO192" s="800">
        <f>IFERROR('Base de datos Rutas'!X190*AN192/AM192,"")</f>
        <v>0.63513109235883425</v>
      </c>
      <c r="AP192" s="800">
        <f t="shared" si="93"/>
        <v>0.36486890764116575</v>
      </c>
      <c r="AQ192" s="789">
        <f>IFERROR(INDEX('Hoja de apoyo v2'!$J$17:$J$20,MATCH($A192,'Hoja de apoyo v2'!$A$17:$A$20,0)),"")</f>
        <v>0.62197445417222763</v>
      </c>
      <c r="AR192" s="789">
        <f t="shared" si="94"/>
        <v>-0.25710554653106188</v>
      </c>
      <c r="AS192" s="784" t="str">
        <f t="shared" si="95"/>
        <v>Sí</v>
      </c>
      <c r="AT192" s="801">
        <f>IF(ISNUMBER('Base de datos Rutas'!CK190),'Base de datos Rutas'!CK190,"")</f>
        <v>417</v>
      </c>
      <c r="AU192" s="802">
        <f>IF(ISNUMBER('Base de datos Rutas'!CL190),'Base de datos Rutas'!CL190,"")</f>
        <v>1052.58</v>
      </c>
      <c r="AV192" s="802">
        <f>IF(ISNUMBER('Base de datos Rutas'!CM190),'Base de datos Rutas'!CM190,"")</f>
        <v>635.57999999999993</v>
      </c>
      <c r="AW192" s="802">
        <f>IF(ISNUMBER('Base de datos Rutas'!CN190),'Base de datos Rutas'!CN190,"")</f>
        <v>6.94</v>
      </c>
      <c r="AX192" s="802">
        <f>IF(ISNUMBER('Base de datos Rutas'!CO190),'Base de datos Rutas'!CO190,"")</f>
        <v>9.4499999999999993</v>
      </c>
      <c r="AY192" s="802">
        <f>IF(ISNUMBER('Base de datos Rutas'!CP190),'Base de datos Rutas'!CP190,"")</f>
        <v>2.5099999999999989</v>
      </c>
      <c r="AZ192" s="802">
        <f>IF(ISNUMBER('Base de datos Rutas'!CQ190),'Base de datos Rutas'!CQ190,"")</f>
        <v>602.75</v>
      </c>
      <c r="BA192" s="802">
        <f>IF(ISNUMBER('Base de datos Rutas'!CR190),'Base de datos Rutas'!CR190,"")</f>
        <v>276.27</v>
      </c>
      <c r="BB192" s="803">
        <f>IF(ISNUMBER('Base de datos Rutas'!CS190),'Base de datos Rutas'!CS190,"")</f>
        <v>326.48</v>
      </c>
      <c r="BC192" s="804">
        <f t="shared" si="105"/>
        <v>0</v>
      </c>
      <c r="BD192" s="805" t="str">
        <f t="shared" si="106"/>
        <v>No saturada</v>
      </c>
      <c r="BE192" s="806">
        <f t="shared" si="107"/>
        <v>0.45834923268353378</v>
      </c>
      <c r="BF192" s="890">
        <f>IF(ISNUMBER('Base de datos Rutas'!CX190),'Base de datos Rutas'!CX190/100,"")</f>
        <v>0.15052282756697344</v>
      </c>
      <c r="BG192" s="891">
        <f>IF(ISNUMBER('Base de datos Rutas'!CZ190),'Base de datos Rutas'!CZ190/100,"")</f>
        <v>0.16094952179405156</v>
      </c>
      <c r="BH192" s="892">
        <f>IF(ISNUMBER('Base de datos Rutas'!DA190),'Base de datos Rutas'!DA190,"")</f>
        <v>118.33631794609026</v>
      </c>
      <c r="BI192" s="893">
        <f>IF(ISNUMBER('Base de datos Rutas'!DC190),'Base de datos Rutas'!DC190,"")</f>
        <v>3.8060186795227606</v>
      </c>
      <c r="BJ192" s="805" t="str">
        <f t="shared" si="108"/>
        <v>Ruta (completo)</v>
      </c>
      <c r="BK192" s="783">
        <f t="shared" si="96"/>
        <v>2</v>
      </c>
      <c r="BL192" s="797">
        <f t="shared" si="97"/>
        <v>2</v>
      </c>
      <c r="BM192" s="797">
        <f t="shared" si="98"/>
        <v>2</v>
      </c>
      <c r="BN192" s="797">
        <f t="shared" si="99"/>
        <v>2</v>
      </c>
      <c r="BO192" s="798" cm="1">
        <f t="array" ref="BO192">SUMPRODUCT(--ISNUMBER($BF192:$BI192),$BK$3:$BN$3)</f>
        <v>1</v>
      </c>
      <c r="BP192" s="831">
        <f t="shared" si="109"/>
        <v>25</v>
      </c>
      <c r="BQ192" s="834" t="str">
        <f t="shared" si="110"/>
        <v>Medio</v>
      </c>
      <c r="BR192" s="836">
        <f t="shared" si="100"/>
        <v>18.597156834397495</v>
      </c>
      <c r="BS192" s="836">
        <f t="shared" si="101"/>
        <v>25</v>
      </c>
      <c r="BT192" s="837" t="str">
        <f t="shared" si="102"/>
        <v>P4</v>
      </c>
      <c r="BU192" s="807" t="str">
        <f t="shared" si="111"/>
        <v>Con espacio</v>
      </c>
      <c r="BV192" s="807" t="str">
        <f t="shared" si="103"/>
        <v>Zona de bajo potencial</v>
      </c>
      <c r="BW192" s="808" t="str">
        <f t="shared" si="104"/>
        <v>P4 - Evaluar</v>
      </c>
    </row>
    <row r="193" spans="1:75">
      <c r="A193" s="780" t="str">
        <f>'Base de datos Rutas'!A191</f>
        <v>Norte</v>
      </c>
      <c r="B193" s="781" t="str">
        <f>'Base de datos Rutas'!B191</f>
        <v>Juárez</v>
      </c>
      <c r="C193" s="781" t="str">
        <f>'Base de datos Rutas'!C191</f>
        <v>Planta Cd. Juárez</v>
      </c>
      <c r="D193" s="782">
        <f>IF(ISNUMBER('Base de datos Rutas'!D191),'Base de datos Rutas'!D191,"Sin código")</f>
        <v>301357</v>
      </c>
      <c r="E193" s="783" t="str">
        <f>'Base de datos Rutas'!F191</f>
        <v>Activa</v>
      </c>
      <c r="F193" s="784" t="str">
        <f>'Base de datos Rutas'!H191</f>
        <v>Sí</v>
      </c>
      <c r="G193" s="785">
        <f>IF(ISNUMBER('Base de datos Rutas'!BE191),'Base de datos Rutas'!BE191,"")</f>
        <v>29.6773455377574</v>
      </c>
      <c r="H193" s="786">
        <f>IF(ISNUMBER('Base de datos Rutas'!BH191),'Base de datos Rutas'!BH191,"")</f>
        <v>0.75811550620710899</v>
      </c>
      <c r="I193" s="788">
        <f>IFERROR(IF(OR(NOT(ISNUMBER('Base de datos Rutas'!O191)),N('Base de datos Rutas'!BK191)=0),"",'Base de datos Rutas'!O191/('Base de datos Rutas'!L191/'Base de datos Rutas'!BK191)),"")</f>
        <v>3550.3340961098424</v>
      </c>
      <c r="J193" s="788">
        <f>IFERROR(IF(OR(NOT(ISNUMBER('Base de datos Rutas'!N191)),N('Base de datos Rutas'!BK191)=0),"",'Base de datos Rutas'!N191/('Base de datos Rutas'!L191/'Base de datos Rutas'!BK191)),"")</f>
        <v>3435.0549199084694</v>
      </c>
      <c r="K193" s="788">
        <f>IFERROR(IF(OR(NOT(ISNUMBER('Base de datos Rutas'!J191)),N('Base de datos Rutas'!BK191)=0),"",'Base de datos Rutas'!J191/('Base de datos Rutas'!L191/'Base de datos Rutas'!BK191)),"")</f>
        <v>221.56132036613292</v>
      </c>
      <c r="L193" s="788">
        <f>IFERROR(IF(OR(NOT(ISNUMBER('Base de datos Rutas'!K191)),N('Base de datos Rutas'!BK191)=0),"",'Base de datos Rutas'!K191/('Base de datos Rutas'!L191/'Base de datos Rutas'!BK191)),"")</f>
        <v>23.828208729977135</v>
      </c>
      <c r="M193" s="787">
        <f>IF(ISNUMBER('Base de datos Rutas'!AX191),'Base de datos Rutas'!AX191,"")</f>
        <v>310.43461045565499</v>
      </c>
      <c r="N193" s="790">
        <f>IFERROR(INDEX('Hoja de apoyo v2'!B$17:B$20,MATCH($A193,'Hoja de apoyo v2'!$A$17:$A$20,0)),"")</f>
        <v>74.190366972477051</v>
      </c>
      <c r="O193" s="791">
        <f>IFERROR(INDEX('Hoja de apoyo v2'!C$17:C$20,MATCH($A193,'Hoja de apoyo v2'!$A$17:$A$20,0)),"")</f>
        <v>0.71677657005077755</v>
      </c>
      <c r="P193" s="793">
        <f>IFERROR(INDEX('Hoja de apoyo v2'!D$17:D$20,MATCH($A193,'Hoja de apoyo v2'!$A$17:$A$20,0)),"")</f>
        <v>8755.1153350385739</v>
      </c>
      <c r="Q193" s="793">
        <f>IFERROR(INDEX('Hoja de apoyo v2'!E$17:E$20,MATCH($A193,'Hoja de apoyo v2'!$A$17:$A$20,0)),"")</f>
        <v>6098.2042779326393</v>
      </c>
      <c r="R193" s="793">
        <f>IFERROR(INDEX('Hoja de apoyo v2'!F$17:F$20,MATCH($A193,'Hoja de apoyo v2'!$A$17:$A$20,0)),"")</f>
        <v>389.08889713610301</v>
      </c>
      <c r="S193" s="793">
        <f>IFERROR(INDEX('Hoja de apoyo v2'!G$17:G$20,MATCH($A193,'Hoja de apoyo v2'!$A$17:$A$20,0)),"")</f>
        <v>67.90575167807188</v>
      </c>
      <c r="T193" s="792">
        <f>IFERROR(INDEX('Hoja de apoyo v2'!H$17:H$20,MATCH($A193,'Hoja de apoyo v2'!$A$17:$A$20,0)),"")</f>
        <v>258.90325471200998</v>
      </c>
      <c r="U193" s="794">
        <f t="shared" si="76"/>
        <v>0.40001615774143595</v>
      </c>
      <c r="V193" s="795">
        <f t="shared" si="77"/>
        <v>1.057673392077259</v>
      </c>
      <c r="W193" s="795">
        <f t="shared" si="78"/>
        <v>0.4055153998829874</v>
      </c>
      <c r="X193" s="843">
        <f t="shared" si="79"/>
        <v>0.56328957892387821</v>
      </c>
      <c r="Y193" s="843">
        <f t="shared" si="80"/>
        <v>0.56943624451106079</v>
      </c>
      <c r="Z193" s="843">
        <f t="shared" si="81"/>
        <v>0.35090118496798467</v>
      </c>
      <c r="AA193" s="843">
        <f t="shared" si="82"/>
        <v>1.1990371106032085</v>
      </c>
      <c r="AB193" s="796">
        <f t="shared" si="83"/>
        <v>1</v>
      </c>
      <c r="AC193" s="797">
        <f t="shared" si="84"/>
        <v>4</v>
      </c>
      <c r="AD193" s="797">
        <f t="shared" si="85"/>
        <v>1</v>
      </c>
      <c r="AE193" s="842">
        <f t="shared" si="86"/>
        <v>2</v>
      </c>
      <c r="AF193" s="842">
        <f t="shared" si="87"/>
        <v>2</v>
      </c>
      <c r="AG193" s="842">
        <f t="shared" si="88"/>
        <v>1</v>
      </c>
      <c r="AH193" s="842">
        <f t="shared" si="89"/>
        <v>4</v>
      </c>
      <c r="AI193" s="826" cm="1">
        <f t="array" ref="AI193">SUMPRODUCT(--ISNUMBER($U193:$AA193),$AB$3:$AH$3)</f>
        <v>1</v>
      </c>
      <c r="AJ193" s="829">
        <f t="shared" si="90"/>
        <v>20.218392436909618</v>
      </c>
      <c r="AK193" s="827" t="str">
        <f t="shared" si="91"/>
        <v>Inmadura</v>
      </c>
      <c r="AL193" s="784" t="str">
        <f t="shared" si="92"/>
        <v>Alta</v>
      </c>
      <c r="AM193" s="799">
        <f>IF(ISNUMBER('Base de datos Rutas'!W191),'Base de datos Rutas'!W191,"")</f>
        <v>2501.4542944353198</v>
      </c>
      <c r="AN193" s="787">
        <f>IFERROR(SUMIFS('Base de datos Rutas'!$W$6:$W$794,'Base de datos Rutas'!$C$6:$C$794,$C193)/'Base de datos Rutas'!I191,"")</f>
        <v>2501.4542944353188</v>
      </c>
      <c r="AO193" s="800">
        <f>IFERROR('Base de datos Rutas'!X191*AN193/AM193,"")</f>
        <v>0.63513109235883425</v>
      </c>
      <c r="AP193" s="800">
        <f t="shared" si="93"/>
        <v>0.36486890764116575</v>
      </c>
      <c r="AQ193" s="789">
        <f>IFERROR(INDEX('Hoja de apoyo v2'!$J$17:$J$20,MATCH($A193,'Hoja de apoyo v2'!$A$17:$A$20,0)),"")</f>
        <v>0.62197445417222763</v>
      </c>
      <c r="AR193" s="789">
        <f t="shared" si="94"/>
        <v>-0.25710554653106188</v>
      </c>
      <c r="AS193" s="784" t="str">
        <f t="shared" si="95"/>
        <v>Sí</v>
      </c>
      <c r="AT193" s="801">
        <f>IF(ISNUMBER('Base de datos Rutas'!CK191),'Base de datos Rutas'!CK191,"")</f>
        <v>282</v>
      </c>
      <c r="AU193" s="802">
        <f>IF(ISNUMBER('Base de datos Rutas'!CL191),'Base de datos Rutas'!CL191,"")</f>
        <v>791.89</v>
      </c>
      <c r="AV193" s="802">
        <f>IF(ISNUMBER('Base de datos Rutas'!CM191),'Base de datos Rutas'!CM191,"")</f>
        <v>509.89</v>
      </c>
      <c r="AW193" s="802">
        <f>IF(ISNUMBER('Base de datos Rutas'!CN191),'Base de datos Rutas'!CN191,"")</f>
        <v>4.51</v>
      </c>
      <c r="AX193" s="802">
        <f>IF(ISNUMBER('Base de datos Rutas'!CO191),'Base de datos Rutas'!CO191,"")</f>
        <v>9.4499999999999993</v>
      </c>
      <c r="AY193" s="802">
        <f>IF(ISNUMBER('Base de datos Rutas'!CP191),'Base de datos Rutas'!CP191,"")</f>
        <v>4.9399999999999995</v>
      </c>
      <c r="AZ193" s="802">
        <f>IF(ISNUMBER('Base de datos Rutas'!CQ191),'Base de datos Rutas'!CQ191,"")</f>
        <v>602.75</v>
      </c>
      <c r="BA193" s="802">
        <f>IF(ISNUMBER('Base de datos Rutas'!CR191),'Base de datos Rutas'!CR191,"")</f>
        <v>245.39</v>
      </c>
      <c r="BB193" s="803">
        <f>IF(ISNUMBER('Base de datos Rutas'!CS191),'Base de datos Rutas'!CS191,"")</f>
        <v>357.36</v>
      </c>
      <c r="BC193" s="804">
        <f t="shared" si="105"/>
        <v>0</v>
      </c>
      <c r="BD193" s="805" t="str">
        <f t="shared" si="106"/>
        <v>No saturada</v>
      </c>
      <c r="BE193" s="806">
        <f t="shared" si="107"/>
        <v>0.40711737868104519</v>
      </c>
      <c r="BF193" s="890">
        <f>IF(ISNUMBER('Base de datos Rutas'!CX191),'Base de datos Rutas'!CX191/100,"")</f>
        <v>0.6377656419529838</v>
      </c>
      <c r="BG193" s="891">
        <f>IF(ISNUMBER('Base de datos Rutas'!CZ191),'Base de datos Rutas'!CZ191/100,"")</f>
        <v>0.67464737793851715</v>
      </c>
      <c r="BH193" s="892">
        <f>IF(ISNUMBER('Base de datos Rutas'!DA191),'Base de datos Rutas'!DA191,"")</f>
        <v>360.17866687501618</v>
      </c>
      <c r="BI193" s="893">
        <f>IF(ISNUMBER('Base de datos Rutas'!DC191),'Base de datos Rutas'!DC191,"")</f>
        <v>11.946310714627039</v>
      </c>
      <c r="BJ193" s="805" t="str">
        <f t="shared" si="108"/>
        <v>Ruta (completo)</v>
      </c>
      <c r="BK193" s="783">
        <f t="shared" si="96"/>
        <v>2</v>
      </c>
      <c r="BL193" s="797">
        <f t="shared" si="97"/>
        <v>2</v>
      </c>
      <c r="BM193" s="797">
        <f t="shared" si="98"/>
        <v>2</v>
      </c>
      <c r="BN193" s="797">
        <f t="shared" si="99"/>
        <v>2</v>
      </c>
      <c r="BO193" s="798" cm="1">
        <f t="array" ref="BO193">SUMPRODUCT(--ISNUMBER($BF193:$BI193),$BK$3:$BN$3)</f>
        <v>1</v>
      </c>
      <c r="BP193" s="831">
        <f t="shared" si="109"/>
        <v>25</v>
      </c>
      <c r="BQ193" s="834" t="str">
        <f t="shared" si="110"/>
        <v>Medio</v>
      </c>
      <c r="BR193" s="836">
        <f t="shared" si="100"/>
        <v>15.163794327682213</v>
      </c>
      <c r="BS193" s="836">
        <f t="shared" si="101"/>
        <v>25</v>
      </c>
      <c r="BT193" s="837" t="str">
        <f t="shared" si="102"/>
        <v>P4</v>
      </c>
      <c r="BU193" s="807" t="str">
        <f t="shared" si="111"/>
        <v>Con espacio</v>
      </c>
      <c r="BV193" s="807" t="str">
        <f t="shared" si="103"/>
        <v>Zona de bajo potencial</v>
      </c>
      <c r="BW193" s="808" t="str">
        <f t="shared" si="104"/>
        <v>P4 - Evaluar</v>
      </c>
    </row>
    <row r="194" spans="1:75">
      <c r="A194" s="780" t="str">
        <f>'Base de datos Rutas'!A192</f>
        <v>Norte</v>
      </c>
      <c r="B194" s="781" t="str">
        <f>'Base de datos Rutas'!B192</f>
        <v>Juárez</v>
      </c>
      <c r="C194" s="781" t="str">
        <f>'Base de datos Rutas'!C192</f>
        <v>Planta Cd. Juárez</v>
      </c>
      <c r="D194" s="782">
        <f>IF(ISNUMBER('Base de datos Rutas'!D192),'Base de datos Rutas'!D192,"Sin código")</f>
        <v>301358</v>
      </c>
      <c r="E194" s="783" t="str">
        <f>'Base de datos Rutas'!F192</f>
        <v>Activa</v>
      </c>
      <c r="F194" s="784" t="str">
        <f>'Base de datos Rutas'!H192</f>
        <v>Sí</v>
      </c>
      <c r="G194" s="785">
        <f>IF(ISNUMBER('Base de datos Rutas'!BE192),'Base de datos Rutas'!BE192,"")</f>
        <v>42.444700460829502</v>
      </c>
      <c r="H194" s="786">
        <f>IF(ISNUMBER('Base de datos Rutas'!BH192),'Base de datos Rutas'!BH192,"")</f>
        <v>0.85559958742739295</v>
      </c>
      <c r="I194" s="788">
        <f>IFERROR(IF(OR(NOT(ISNUMBER('Base de datos Rutas'!O192)),N('Base de datos Rutas'!BK192)=0),"",'Base de datos Rutas'!O192/('Base de datos Rutas'!L192/'Base de datos Rutas'!BK192)),"")</f>
        <v>2768.2534562211936</v>
      </c>
      <c r="J194" s="788">
        <f>IFERROR(IF(OR(NOT(ISNUMBER('Base de datos Rutas'!N192)),N('Base de datos Rutas'!BK192)=0),"",'Base de datos Rutas'!N192/('Base de datos Rutas'!L192/'Base de datos Rutas'!BK192)),"")</f>
        <v>4218.4631336405455</v>
      </c>
      <c r="K194" s="788">
        <f>IFERROR(IF(OR(NOT(ISNUMBER('Base de datos Rutas'!J192)),N('Base de datos Rutas'!BK192)=0),"",'Base de datos Rutas'!J192/('Base de datos Rutas'!L192/'Base de datos Rutas'!BK192)),"")</f>
        <v>271.5048082949304</v>
      </c>
      <c r="L194" s="788">
        <f>IFERROR(IF(OR(NOT(ISNUMBER('Base de datos Rutas'!K192)),N('Base de datos Rutas'!BK192)=0),"",'Base de datos Rutas'!K192/('Base de datos Rutas'!L192/'Base de datos Rutas'!BK192)),"")</f>
        <v>16.315612947004581</v>
      </c>
      <c r="M194" s="787">
        <f>IF(ISNUMBER('Base de datos Rutas'!AX192),'Base de datos Rutas'!AX192,"")</f>
        <v>192.388512150244</v>
      </c>
      <c r="N194" s="790">
        <f>IFERROR(INDEX('Hoja de apoyo v2'!B$17:B$20,MATCH($A194,'Hoja de apoyo v2'!$A$17:$A$20,0)),"")</f>
        <v>74.190366972477051</v>
      </c>
      <c r="O194" s="791">
        <f>IFERROR(INDEX('Hoja de apoyo v2'!C$17:C$20,MATCH($A194,'Hoja de apoyo v2'!$A$17:$A$20,0)),"")</f>
        <v>0.71677657005077755</v>
      </c>
      <c r="P194" s="793">
        <f>IFERROR(INDEX('Hoja de apoyo v2'!D$17:D$20,MATCH($A194,'Hoja de apoyo v2'!$A$17:$A$20,0)),"")</f>
        <v>8755.1153350385739</v>
      </c>
      <c r="Q194" s="793">
        <f>IFERROR(INDEX('Hoja de apoyo v2'!E$17:E$20,MATCH($A194,'Hoja de apoyo v2'!$A$17:$A$20,0)),"")</f>
        <v>6098.2042779326393</v>
      </c>
      <c r="R194" s="793">
        <f>IFERROR(INDEX('Hoja de apoyo v2'!F$17:F$20,MATCH($A194,'Hoja de apoyo v2'!$A$17:$A$20,0)),"")</f>
        <v>389.08889713610301</v>
      </c>
      <c r="S194" s="793">
        <f>IFERROR(INDEX('Hoja de apoyo v2'!G$17:G$20,MATCH($A194,'Hoja de apoyo v2'!$A$17:$A$20,0)),"")</f>
        <v>67.90575167807188</v>
      </c>
      <c r="T194" s="792">
        <f>IFERROR(INDEX('Hoja de apoyo v2'!H$17:H$20,MATCH($A194,'Hoja de apoyo v2'!$A$17:$A$20,0)),"")</f>
        <v>258.90325471200998</v>
      </c>
      <c r="U194" s="794">
        <f t="shared" si="76"/>
        <v>0.57210527717938808</v>
      </c>
      <c r="V194" s="795">
        <f t="shared" si="77"/>
        <v>1.1936768348423847</v>
      </c>
      <c r="W194" s="795">
        <f t="shared" si="78"/>
        <v>0.31618697758811387</v>
      </c>
      <c r="X194" s="843">
        <f t="shared" si="79"/>
        <v>0.69175497267380037</v>
      </c>
      <c r="Y194" s="843">
        <f t="shared" si="80"/>
        <v>0.697796339842507</v>
      </c>
      <c r="Z194" s="843">
        <f t="shared" si="81"/>
        <v>0.24026849779019849</v>
      </c>
      <c r="AA194" s="843">
        <f t="shared" si="82"/>
        <v>0.74309035768687648</v>
      </c>
      <c r="AB194" s="796">
        <f t="shared" si="83"/>
        <v>2</v>
      </c>
      <c r="AC194" s="797">
        <f t="shared" si="84"/>
        <v>4</v>
      </c>
      <c r="AD194" s="797">
        <f t="shared" si="85"/>
        <v>1</v>
      </c>
      <c r="AE194" s="842">
        <f t="shared" si="86"/>
        <v>2</v>
      </c>
      <c r="AF194" s="842">
        <f t="shared" si="87"/>
        <v>2</v>
      </c>
      <c r="AG194" s="842">
        <f t="shared" si="88"/>
        <v>1</v>
      </c>
      <c r="AH194" s="842">
        <f t="shared" si="89"/>
        <v>2</v>
      </c>
      <c r="AI194" s="826" cm="1">
        <f t="array" ref="AI194">SUMPRODUCT(--ISNUMBER($U194:$AA194),$AB$3:$AH$3)</f>
        <v>1</v>
      </c>
      <c r="AJ194" s="829">
        <f t="shared" si="90"/>
        <v>20.262572934393248</v>
      </c>
      <c r="AK194" s="827" t="str">
        <f t="shared" si="91"/>
        <v>Inmadura</v>
      </c>
      <c r="AL194" s="784" t="str">
        <f t="shared" si="92"/>
        <v>Alta</v>
      </c>
      <c r="AM194" s="799">
        <f>IF(ISNUMBER('Base de datos Rutas'!W192),'Base de datos Rutas'!W192,"")</f>
        <v>2501.4542944353198</v>
      </c>
      <c r="AN194" s="787">
        <f>IFERROR(SUMIFS('Base de datos Rutas'!$W$6:$W$794,'Base de datos Rutas'!$C$6:$C$794,$C194)/'Base de datos Rutas'!I192,"")</f>
        <v>2501.4542944353188</v>
      </c>
      <c r="AO194" s="800">
        <f>IFERROR('Base de datos Rutas'!X192*AN194/AM194,"")</f>
        <v>0.63513109235883425</v>
      </c>
      <c r="AP194" s="800">
        <f t="shared" si="93"/>
        <v>0.36486890764116575</v>
      </c>
      <c r="AQ194" s="789">
        <f>IFERROR(INDEX('Hoja de apoyo v2'!$J$17:$J$20,MATCH($A194,'Hoja de apoyo v2'!$A$17:$A$20,0)),"")</f>
        <v>0.62197445417222763</v>
      </c>
      <c r="AR194" s="789">
        <f t="shared" si="94"/>
        <v>-0.25710554653106188</v>
      </c>
      <c r="AS194" s="784" t="str">
        <f t="shared" si="95"/>
        <v>Sí</v>
      </c>
      <c r="AT194" s="801">
        <f>IF(ISNUMBER('Base de datos Rutas'!CK192),'Base de datos Rutas'!CK192,"")</f>
        <v>294</v>
      </c>
      <c r="AU194" s="802">
        <f>IF(ISNUMBER('Base de datos Rutas'!CL192),'Base de datos Rutas'!CL192,"")</f>
        <v>545.25</v>
      </c>
      <c r="AV194" s="802">
        <f>IF(ISNUMBER('Base de datos Rutas'!CM192),'Base de datos Rutas'!CM192,"")</f>
        <v>251.25</v>
      </c>
      <c r="AW194" s="802">
        <f>IF(ISNUMBER('Base de datos Rutas'!CN192),'Base de datos Rutas'!CN192,"")</f>
        <v>4</v>
      </c>
      <c r="AX194" s="802">
        <f>IF(ISNUMBER('Base de datos Rutas'!CO192),'Base de datos Rutas'!CO192,"")</f>
        <v>9.4499999999999993</v>
      </c>
      <c r="AY194" s="802">
        <f>IF(ISNUMBER('Base de datos Rutas'!CP192),'Base de datos Rutas'!CP192,"")</f>
        <v>5.4499999999999993</v>
      </c>
      <c r="AZ194" s="802">
        <f>IF(ISNUMBER('Base de datos Rutas'!CQ192),'Base de datos Rutas'!CQ192,"")</f>
        <v>602.75</v>
      </c>
      <c r="BA194" s="802">
        <f>IF(ISNUMBER('Base de datos Rutas'!CR192),'Base de datos Rutas'!CR192,"")</f>
        <v>287.82</v>
      </c>
      <c r="BB194" s="803">
        <f>IF(ISNUMBER('Base de datos Rutas'!CS192),'Base de datos Rutas'!CS192,"")</f>
        <v>314.93</v>
      </c>
      <c r="BC194" s="804">
        <f t="shared" si="105"/>
        <v>0</v>
      </c>
      <c r="BD194" s="805" t="str">
        <f t="shared" si="106"/>
        <v>No saturada</v>
      </c>
      <c r="BE194" s="806">
        <f t="shared" si="107"/>
        <v>0.47751140605557857</v>
      </c>
      <c r="BF194" s="890">
        <f>IF(ISNUMBER('Base de datos Rutas'!CX192),'Base de datos Rutas'!CX192/100,"")</f>
        <v>0.91357069143446845</v>
      </c>
      <c r="BG194" s="891">
        <f>IF(ISNUMBER('Base de datos Rutas'!CZ192),'Base de datos Rutas'!CZ192/100,"")</f>
        <v>1</v>
      </c>
      <c r="BH194" s="892">
        <f>IF(ISNUMBER('Base de datos Rutas'!DA192),'Base de datos Rutas'!DA192,"")</f>
        <v>669.84502810100537</v>
      </c>
      <c r="BI194" s="893">
        <f>IF(ISNUMBER('Base de datos Rutas'!DC192),'Base de datos Rutas'!DC192,"")</f>
        <v>29.687200189978629</v>
      </c>
      <c r="BJ194" s="805" t="str">
        <f t="shared" si="108"/>
        <v>Ruta (completo)</v>
      </c>
      <c r="BK194" s="783">
        <f t="shared" si="96"/>
        <v>5</v>
      </c>
      <c r="BL194" s="797">
        <f t="shared" si="97"/>
        <v>4</v>
      </c>
      <c r="BM194" s="797">
        <f t="shared" si="98"/>
        <v>4</v>
      </c>
      <c r="BN194" s="797">
        <f t="shared" si="99"/>
        <v>4</v>
      </c>
      <c r="BO194" s="798" cm="1">
        <f t="array" ref="BO194">SUMPRODUCT(--ISNUMBER($BF194:$BI194),$BK$3:$BN$3)</f>
        <v>1</v>
      </c>
      <c r="BP194" s="831">
        <f t="shared" si="109"/>
        <v>81.25</v>
      </c>
      <c r="BQ194" s="834" t="str">
        <f t="shared" si="110"/>
        <v>Alto</v>
      </c>
      <c r="BR194" s="836">
        <f t="shared" si="100"/>
        <v>15.196929700794936</v>
      </c>
      <c r="BS194" s="836">
        <f t="shared" si="101"/>
        <v>81.25</v>
      </c>
      <c r="BT194" s="837" t="str">
        <f t="shared" si="102"/>
        <v>P3</v>
      </c>
      <c r="BU194" s="807" t="str">
        <f t="shared" si="111"/>
        <v>Con espacio</v>
      </c>
      <c r="BV194" s="807" t="str">
        <f t="shared" si="103"/>
        <v>Zona atractiva</v>
      </c>
      <c r="BW194" s="808" t="str">
        <f t="shared" si="104"/>
        <v>P3 - Desarrollar</v>
      </c>
    </row>
    <row r="195" spans="1:75">
      <c r="A195" s="780" t="str">
        <f>'Base de datos Rutas'!A193</f>
        <v>Norte</v>
      </c>
      <c r="B195" s="781" t="str">
        <f>'Base de datos Rutas'!B193</f>
        <v>Juárez</v>
      </c>
      <c r="C195" s="781" t="str">
        <f>'Base de datos Rutas'!C193</f>
        <v>Planta Cd. Juárez</v>
      </c>
      <c r="D195" s="782">
        <f>IF(ISNUMBER('Base de datos Rutas'!D193),'Base de datos Rutas'!D193,"Sin código")</f>
        <v>301359</v>
      </c>
      <c r="E195" s="783" t="str">
        <f>'Base de datos Rutas'!F193</f>
        <v>Activa</v>
      </c>
      <c r="F195" s="784" t="str">
        <f>'Base de datos Rutas'!H193</f>
        <v>Sí</v>
      </c>
      <c r="G195" s="785">
        <f>IF(ISNUMBER('Base de datos Rutas'!BE193),'Base de datos Rutas'!BE193,"")</f>
        <v>48.839816933638502</v>
      </c>
      <c r="H195" s="786">
        <f>IF(ISNUMBER('Base de datos Rutas'!BH193),'Base de datos Rutas'!BH193,"")</f>
        <v>0.82589139296256397</v>
      </c>
      <c r="I195" s="788">
        <f>IFERROR(IF(OR(NOT(ISNUMBER('Base de datos Rutas'!O193)),N('Base de datos Rutas'!BK193)=0),"",'Base de datos Rutas'!O193/('Base de datos Rutas'!L193/'Base de datos Rutas'!BK193)),"")</f>
        <v>3061.9633867276839</v>
      </c>
      <c r="J195" s="788">
        <f>IFERROR(IF(OR(NOT(ISNUMBER('Base de datos Rutas'!N193)),N('Base de datos Rutas'!BK193)=0),"",'Base de datos Rutas'!N193/('Base de datos Rutas'!L193/'Base de datos Rutas'!BK193)),"")</f>
        <v>3987.8695652173851</v>
      </c>
      <c r="K195" s="788">
        <f>IFERROR(IF(OR(NOT(ISNUMBER('Base de datos Rutas'!J193)),N('Base de datos Rutas'!BK193)=0),"",'Base de datos Rutas'!J193/('Base de datos Rutas'!L193/'Base de datos Rutas'!BK193)),"")</f>
        <v>261.98372265446181</v>
      </c>
      <c r="L195" s="788">
        <f>IFERROR(IF(OR(NOT(ISNUMBER('Base de datos Rutas'!K193)),N('Base de datos Rutas'!BK193)=0),"",'Base de datos Rutas'!K193/('Base de datos Rutas'!L193/'Base de datos Rutas'!BK193)),"")</f>
        <v>19.239549084668162</v>
      </c>
      <c r="M195" s="787">
        <f>IF(ISNUMBER('Base de datos Rutas'!AX193),'Base de datos Rutas'!AX193,"")</f>
        <v>174.775919895615</v>
      </c>
      <c r="N195" s="790">
        <f>IFERROR(INDEX('Hoja de apoyo v2'!B$17:B$20,MATCH($A195,'Hoja de apoyo v2'!$A$17:$A$20,0)),"")</f>
        <v>74.190366972477051</v>
      </c>
      <c r="O195" s="791">
        <f>IFERROR(INDEX('Hoja de apoyo v2'!C$17:C$20,MATCH($A195,'Hoja de apoyo v2'!$A$17:$A$20,0)),"")</f>
        <v>0.71677657005077755</v>
      </c>
      <c r="P195" s="793">
        <f>IFERROR(INDEX('Hoja de apoyo v2'!D$17:D$20,MATCH($A195,'Hoja de apoyo v2'!$A$17:$A$20,0)),"")</f>
        <v>8755.1153350385739</v>
      </c>
      <c r="Q195" s="793">
        <f>IFERROR(INDEX('Hoja de apoyo v2'!E$17:E$20,MATCH($A195,'Hoja de apoyo v2'!$A$17:$A$20,0)),"")</f>
        <v>6098.2042779326393</v>
      </c>
      <c r="R195" s="793">
        <f>IFERROR(INDEX('Hoja de apoyo v2'!F$17:F$20,MATCH($A195,'Hoja de apoyo v2'!$A$17:$A$20,0)),"")</f>
        <v>389.08889713610301</v>
      </c>
      <c r="S195" s="793">
        <f>IFERROR(INDEX('Hoja de apoyo v2'!G$17:G$20,MATCH($A195,'Hoja de apoyo v2'!$A$17:$A$20,0)),"")</f>
        <v>67.90575167807188</v>
      </c>
      <c r="T195" s="792">
        <f>IFERROR(INDEX('Hoja de apoyo v2'!H$17:H$20,MATCH($A195,'Hoja de apoyo v2'!$A$17:$A$20,0)),"")</f>
        <v>258.90325471200998</v>
      </c>
      <c r="U195" s="794">
        <f t="shared" si="76"/>
        <v>0.65830402148781619</v>
      </c>
      <c r="V195" s="795">
        <f t="shared" si="77"/>
        <v>1.1522298962758459</v>
      </c>
      <c r="W195" s="795">
        <f t="shared" si="78"/>
        <v>0.34973421474797661</v>
      </c>
      <c r="X195" s="843">
        <f t="shared" si="79"/>
        <v>0.65394161682122565</v>
      </c>
      <c r="Y195" s="843">
        <f t="shared" si="80"/>
        <v>0.67332613339213354</v>
      </c>
      <c r="Z195" s="843">
        <f t="shared" si="81"/>
        <v>0.28332723825632866</v>
      </c>
      <c r="AA195" s="843">
        <f t="shared" si="82"/>
        <v>0.67506266033629558</v>
      </c>
      <c r="AB195" s="796">
        <f t="shared" si="83"/>
        <v>2</v>
      </c>
      <c r="AC195" s="797">
        <f t="shared" si="84"/>
        <v>4</v>
      </c>
      <c r="AD195" s="797">
        <f t="shared" si="85"/>
        <v>1</v>
      </c>
      <c r="AE195" s="842">
        <f t="shared" si="86"/>
        <v>2</v>
      </c>
      <c r="AF195" s="842">
        <f t="shared" si="87"/>
        <v>2</v>
      </c>
      <c r="AG195" s="842">
        <f t="shared" si="88"/>
        <v>1</v>
      </c>
      <c r="AH195" s="842">
        <f t="shared" si="89"/>
        <v>2</v>
      </c>
      <c r="AI195" s="826" cm="1">
        <f t="array" ref="AI195">SUMPRODUCT(--ISNUMBER($U195:$AA195),$AB$3:$AH$3)</f>
        <v>1</v>
      </c>
      <c r="AJ195" s="829">
        <f t="shared" si="90"/>
        <v>20.262572934393248</v>
      </c>
      <c r="AK195" s="827" t="str">
        <f t="shared" si="91"/>
        <v>Inmadura</v>
      </c>
      <c r="AL195" s="784" t="str">
        <f t="shared" si="92"/>
        <v>Alta</v>
      </c>
      <c r="AM195" s="799">
        <f>IF(ISNUMBER('Base de datos Rutas'!W193),'Base de datos Rutas'!W193,"")</f>
        <v>2501.4542944353198</v>
      </c>
      <c r="AN195" s="787">
        <f>IFERROR(SUMIFS('Base de datos Rutas'!$W$6:$W$794,'Base de datos Rutas'!$C$6:$C$794,$C195)/'Base de datos Rutas'!I193,"")</f>
        <v>2501.4542944353188</v>
      </c>
      <c r="AO195" s="800">
        <f>IFERROR('Base de datos Rutas'!X193*AN195/AM195,"")</f>
        <v>0.63513109235883425</v>
      </c>
      <c r="AP195" s="800">
        <f t="shared" si="93"/>
        <v>0.36486890764116575</v>
      </c>
      <c r="AQ195" s="789">
        <f>IFERROR(INDEX('Hoja de apoyo v2'!$J$17:$J$20,MATCH($A195,'Hoja de apoyo v2'!$A$17:$A$20,0)),"")</f>
        <v>0.62197445417222763</v>
      </c>
      <c r="AR195" s="789">
        <f t="shared" si="94"/>
        <v>-0.25710554653106188</v>
      </c>
      <c r="AS195" s="784" t="str">
        <f t="shared" si="95"/>
        <v>Sí</v>
      </c>
      <c r="AT195" s="801">
        <f>IF(ISNUMBER('Base de datos Rutas'!CK193),'Base de datos Rutas'!CK193,"")</f>
        <v>288</v>
      </c>
      <c r="AU195" s="802">
        <f>IF(ISNUMBER('Base de datos Rutas'!CL193),'Base de datos Rutas'!CL193,"")</f>
        <v>584.12</v>
      </c>
      <c r="AV195" s="802">
        <f>IF(ISNUMBER('Base de datos Rutas'!CM193),'Base de datos Rutas'!CM193,"")</f>
        <v>296.12</v>
      </c>
      <c r="AW195" s="802">
        <f>IF(ISNUMBER('Base de datos Rutas'!CN193),'Base de datos Rutas'!CN193,"")</f>
        <v>4.2</v>
      </c>
      <c r="AX195" s="802">
        <f>IF(ISNUMBER('Base de datos Rutas'!CO193),'Base de datos Rutas'!CO193,"")</f>
        <v>9.4499999999999993</v>
      </c>
      <c r="AY195" s="802">
        <f>IF(ISNUMBER('Base de datos Rutas'!CP193),'Base de datos Rutas'!CP193,"")</f>
        <v>5.2499999999999991</v>
      </c>
      <c r="AZ195" s="802">
        <f>IF(ISNUMBER('Base de datos Rutas'!CQ193),'Base de datos Rutas'!CQ193,"")</f>
        <v>602.75</v>
      </c>
      <c r="BA195" s="802">
        <f>IF(ISNUMBER('Base de datos Rutas'!CR193),'Base de datos Rutas'!CR193,"")</f>
        <v>281.22000000000003</v>
      </c>
      <c r="BB195" s="803">
        <f>IF(ISNUMBER('Base de datos Rutas'!CS193),'Base de datos Rutas'!CS193,"")</f>
        <v>321.52999999999997</v>
      </c>
      <c r="BC195" s="804">
        <f t="shared" si="105"/>
        <v>0</v>
      </c>
      <c r="BD195" s="805" t="str">
        <f t="shared" si="106"/>
        <v>No saturada</v>
      </c>
      <c r="BE195" s="806">
        <f t="shared" si="107"/>
        <v>0.46656159270012448</v>
      </c>
      <c r="BF195" s="890">
        <f>IF(ISNUMBER('Base de datos Rutas'!CX193),'Base de datos Rutas'!CX193/100,"")</f>
        <v>0.88967213114754107</v>
      </c>
      <c r="BG195" s="891">
        <f>IF(ISNUMBER('Base de datos Rutas'!CZ193),'Base de datos Rutas'!CZ193/100,"")</f>
        <v>1</v>
      </c>
      <c r="BH195" s="892">
        <f>IF(ISNUMBER('Base de datos Rutas'!DA193),'Base de datos Rutas'!DA193,"")</f>
        <v>911.91464773230609</v>
      </c>
      <c r="BI195" s="893">
        <f>IF(ISNUMBER('Base de datos Rutas'!DC193),'Base de datos Rutas'!DC193,"")</f>
        <v>37.119303920647489</v>
      </c>
      <c r="BJ195" s="805" t="str">
        <f t="shared" si="108"/>
        <v>Ruta (completo)</v>
      </c>
      <c r="BK195" s="783">
        <f t="shared" si="96"/>
        <v>4</v>
      </c>
      <c r="BL195" s="797">
        <f t="shared" si="97"/>
        <v>4</v>
      </c>
      <c r="BM195" s="797">
        <f t="shared" si="98"/>
        <v>4</v>
      </c>
      <c r="BN195" s="797">
        <f t="shared" si="99"/>
        <v>4</v>
      </c>
      <c r="BO195" s="798" cm="1">
        <f t="array" ref="BO195">SUMPRODUCT(--ISNUMBER($BF195:$BI195),$BK$3:$BN$3)</f>
        <v>1</v>
      </c>
      <c r="BP195" s="831">
        <f t="shared" si="109"/>
        <v>75</v>
      </c>
      <c r="BQ195" s="834" t="str">
        <f t="shared" si="110"/>
        <v>Alto</v>
      </c>
      <c r="BR195" s="836">
        <f t="shared" si="100"/>
        <v>15.196929700794936</v>
      </c>
      <c r="BS195" s="836">
        <f t="shared" si="101"/>
        <v>75</v>
      </c>
      <c r="BT195" s="837" t="str">
        <f t="shared" si="102"/>
        <v>P3</v>
      </c>
      <c r="BU195" s="807" t="str">
        <f t="shared" si="111"/>
        <v>Con espacio</v>
      </c>
      <c r="BV195" s="807" t="str">
        <f t="shared" si="103"/>
        <v>Zona atractiva</v>
      </c>
      <c r="BW195" s="808" t="str">
        <f t="shared" si="104"/>
        <v>P3 - Desarrollar</v>
      </c>
    </row>
    <row r="196" spans="1:75">
      <c r="A196" s="780" t="str">
        <f>'Base de datos Rutas'!A194</f>
        <v>Norte</v>
      </c>
      <c r="B196" s="781" t="str">
        <f>'Base de datos Rutas'!B194</f>
        <v>Juárez</v>
      </c>
      <c r="C196" s="781" t="str">
        <f>'Base de datos Rutas'!C194</f>
        <v>Planta Cd. Juárez</v>
      </c>
      <c r="D196" s="782">
        <f>IF(ISNUMBER('Base de datos Rutas'!D194),'Base de datos Rutas'!D194,"Sin código")</f>
        <v>301360</v>
      </c>
      <c r="E196" s="783" t="str">
        <f>'Base de datos Rutas'!F194</f>
        <v>Activa</v>
      </c>
      <c r="F196" s="784" t="str">
        <f>'Base de datos Rutas'!H194</f>
        <v>Sí</v>
      </c>
      <c r="G196" s="785">
        <f>IF(ISNUMBER('Base de datos Rutas'!BE194),'Base de datos Rutas'!BE194,"")</f>
        <v>61.997668997669003</v>
      </c>
      <c r="H196" s="786">
        <f>IF(ISNUMBER('Base de datos Rutas'!BH194),'Base de datos Rutas'!BH194,"")</f>
        <v>0.65093807572282603</v>
      </c>
      <c r="I196" s="788">
        <f>IFERROR(IF(OR(NOT(ISNUMBER('Base de datos Rutas'!O194)),N('Base de datos Rutas'!BK194)=0),"",'Base de datos Rutas'!O194/('Base de datos Rutas'!L194/'Base de datos Rutas'!BK194)),"")</f>
        <v>4033.2983682983599</v>
      </c>
      <c r="J196" s="788">
        <f>IFERROR(IF(OR(NOT(ISNUMBER('Base de datos Rutas'!N194)),N('Base de datos Rutas'!BK194)=0),"",'Base de datos Rutas'!N194/('Base de datos Rutas'!L194/'Base de datos Rutas'!BK194)),"")</f>
        <v>4218.4778554778468</v>
      </c>
      <c r="K196" s="788">
        <f>IFERROR(IF(OR(NOT(ISNUMBER('Base de datos Rutas'!J194)),N('Base de datos Rutas'!BK194)=0),"",'Base de datos Rutas'!J194/('Base de datos Rutas'!L194/'Base de datos Rutas'!BK194)),"")</f>
        <v>280.16039999999941</v>
      </c>
      <c r="L196" s="788">
        <f>IFERROR(IF(OR(NOT(ISNUMBER('Base de datos Rutas'!K194)),N('Base de datos Rutas'!BK194)=0),"",'Base de datos Rutas'!K194/('Base de datos Rutas'!L194/'Base de datos Rutas'!BK194)),"")</f>
        <v>24.30519367132862</v>
      </c>
      <c r="M196" s="787">
        <f>IF(ISNUMBER('Base de datos Rutas'!AX194),'Base de datos Rutas'!AX194,"")</f>
        <v>204.471271876625</v>
      </c>
      <c r="N196" s="790">
        <f>IFERROR(INDEX('Hoja de apoyo v2'!B$17:B$20,MATCH($A196,'Hoja de apoyo v2'!$A$17:$A$20,0)),"")</f>
        <v>74.190366972477051</v>
      </c>
      <c r="O196" s="791">
        <f>IFERROR(INDEX('Hoja de apoyo v2'!C$17:C$20,MATCH($A196,'Hoja de apoyo v2'!$A$17:$A$20,0)),"")</f>
        <v>0.71677657005077755</v>
      </c>
      <c r="P196" s="793">
        <f>IFERROR(INDEX('Hoja de apoyo v2'!D$17:D$20,MATCH($A196,'Hoja de apoyo v2'!$A$17:$A$20,0)),"")</f>
        <v>8755.1153350385739</v>
      </c>
      <c r="Q196" s="793">
        <f>IFERROR(INDEX('Hoja de apoyo v2'!E$17:E$20,MATCH($A196,'Hoja de apoyo v2'!$A$17:$A$20,0)),"")</f>
        <v>6098.2042779326393</v>
      </c>
      <c r="R196" s="793">
        <f>IFERROR(INDEX('Hoja de apoyo v2'!F$17:F$20,MATCH($A196,'Hoja de apoyo v2'!$A$17:$A$20,0)),"")</f>
        <v>389.08889713610301</v>
      </c>
      <c r="S196" s="793">
        <f>IFERROR(INDEX('Hoja de apoyo v2'!G$17:G$20,MATCH($A196,'Hoja de apoyo v2'!$A$17:$A$20,0)),"")</f>
        <v>67.90575167807188</v>
      </c>
      <c r="T196" s="792">
        <f>IFERROR(INDEX('Hoja de apoyo v2'!H$17:H$20,MATCH($A196,'Hoja de apoyo v2'!$A$17:$A$20,0)),"")</f>
        <v>258.90325471200998</v>
      </c>
      <c r="U196" s="794">
        <f t="shared" si="76"/>
        <v>0.83565658895674066</v>
      </c>
      <c r="V196" s="795">
        <f t="shared" si="77"/>
        <v>0.90814641956936815</v>
      </c>
      <c r="W196" s="795">
        <f t="shared" si="78"/>
        <v>0.46067906748833137</v>
      </c>
      <c r="X196" s="843">
        <f t="shared" si="79"/>
        <v>0.69175738680042365</v>
      </c>
      <c r="Y196" s="843">
        <f t="shared" si="80"/>
        <v>0.72004213448938248</v>
      </c>
      <c r="Z196" s="843">
        <f t="shared" si="81"/>
        <v>0.35792540500184539</v>
      </c>
      <c r="AA196" s="843">
        <f t="shared" si="82"/>
        <v>0.78975937210240099</v>
      </c>
      <c r="AB196" s="796">
        <f t="shared" si="83"/>
        <v>3</v>
      </c>
      <c r="AC196" s="797">
        <f t="shared" si="84"/>
        <v>3</v>
      </c>
      <c r="AD196" s="797">
        <f t="shared" si="85"/>
        <v>1</v>
      </c>
      <c r="AE196" s="842">
        <f t="shared" si="86"/>
        <v>2</v>
      </c>
      <c r="AF196" s="842">
        <f t="shared" si="87"/>
        <v>2</v>
      </c>
      <c r="AG196" s="842">
        <f t="shared" si="88"/>
        <v>1</v>
      </c>
      <c r="AH196" s="842">
        <f t="shared" si="89"/>
        <v>3</v>
      </c>
      <c r="AI196" s="826" cm="1">
        <f t="array" ref="AI196">SUMPRODUCT(--ISNUMBER($U196:$AA196),$AB$3:$AH$3)</f>
        <v>1</v>
      </c>
      <c r="AJ196" s="829">
        <f t="shared" si="90"/>
        <v>24.658031366966082</v>
      </c>
      <c r="AK196" s="827" t="str">
        <f t="shared" si="91"/>
        <v>Inmadura</v>
      </c>
      <c r="AL196" s="784" t="str">
        <f t="shared" si="92"/>
        <v>Alta</v>
      </c>
      <c r="AM196" s="799">
        <f>IF(ISNUMBER('Base de datos Rutas'!W194),'Base de datos Rutas'!W194,"")</f>
        <v>2501.4542944353198</v>
      </c>
      <c r="AN196" s="787">
        <f>IFERROR(SUMIFS('Base de datos Rutas'!$W$6:$W$794,'Base de datos Rutas'!$C$6:$C$794,$C196)/'Base de datos Rutas'!I194,"")</f>
        <v>2501.4542944353188</v>
      </c>
      <c r="AO196" s="800">
        <f>IFERROR('Base de datos Rutas'!X194*AN196/AM196,"")</f>
        <v>0.63513109235883425</v>
      </c>
      <c r="AP196" s="800">
        <f t="shared" si="93"/>
        <v>0.36486890764116575</v>
      </c>
      <c r="AQ196" s="789">
        <f>IFERROR(INDEX('Hoja de apoyo v2'!$J$17:$J$20,MATCH($A196,'Hoja de apoyo v2'!$A$17:$A$20,0)),"")</f>
        <v>0.62197445417222763</v>
      </c>
      <c r="AR196" s="789">
        <f t="shared" si="94"/>
        <v>-0.25710554653106188</v>
      </c>
      <c r="AS196" s="784" t="str">
        <f t="shared" si="95"/>
        <v>Sí</v>
      </c>
      <c r="AT196" s="801">
        <f>IF(ISNUMBER('Base de datos Rutas'!CK194),'Base de datos Rutas'!CK194,"")</f>
        <v>394</v>
      </c>
      <c r="AU196" s="802">
        <f>IF(ISNUMBER('Base de datos Rutas'!CL194),'Base de datos Rutas'!CL194,"")</f>
        <v>704.01</v>
      </c>
      <c r="AV196" s="802">
        <f>IF(ISNUMBER('Base de datos Rutas'!CM194),'Base de datos Rutas'!CM194,"")</f>
        <v>310.01</v>
      </c>
      <c r="AW196" s="802">
        <f>IF(ISNUMBER('Base de datos Rutas'!CN194),'Base de datos Rutas'!CN194,"")</f>
        <v>5.1100000000000003</v>
      </c>
      <c r="AX196" s="802">
        <f>IF(ISNUMBER('Base de datos Rutas'!CO194),'Base de datos Rutas'!CO194,"")</f>
        <v>9.4499999999999993</v>
      </c>
      <c r="AY196" s="802">
        <f>IF(ISNUMBER('Base de datos Rutas'!CP194),'Base de datos Rutas'!CP194,"")</f>
        <v>4.339999999999999</v>
      </c>
      <c r="AZ196" s="802">
        <f>IF(ISNUMBER('Base de datos Rutas'!CQ194),'Base de datos Rutas'!CQ194,"")</f>
        <v>602.75</v>
      </c>
      <c r="BA196" s="802">
        <f>IF(ISNUMBER('Base de datos Rutas'!CR194),'Base de datos Rutas'!CR194,"")</f>
        <v>304.47000000000003</v>
      </c>
      <c r="BB196" s="803">
        <f>IF(ISNUMBER('Base de datos Rutas'!CS194),'Base de datos Rutas'!CS194,"")</f>
        <v>298.27999999999997</v>
      </c>
      <c r="BC196" s="804">
        <f t="shared" si="105"/>
        <v>0</v>
      </c>
      <c r="BD196" s="805" t="str">
        <f t="shared" si="106"/>
        <v>No saturada</v>
      </c>
      <c r="BE196" s="806">
        <f t="shared" si="107"/>
        <v>0.5051347988386562</v>
      </c>
      <c r="BF196" s="890">
        <f>IF(ISNUMBER('Base de datos Rutas'!CX194),'Base de datos Rutas'!CX194/100,"")</f>
        <v>0.92394259077526986</v>
      </c>
      <c r="BG196" s="891">
        <f>IF(ISNUMBER('Base de datos Rutas'!CZ194),'Base de datos Rutas'!CZ194/100,"")</f>
        <v>1</v>
      </c>
      <c r="BH196" s="892">
        <f>IF(ISNUMBER('Base de datos Rutas'!DA194),'Base de datos Rutas'!DA194,"")</f>
        <v>806.6282863012168</v>
      </c>
      <c r="BI196" s="893">
        <f>IF(ISNUMBER('Base de datos Rutas'!DC194),'Base de datos Rutas'!DC194,"")</f>
        <v>30.897097817834432</v>
      </c>
      <c r="BJ196" s="805" t="str">
        <f t="shared" si="108"/>
        <v>Ruta (completo)</v>
      </c>
      <c r="BK196" s="783">
        <f t="shared" si="96"/>
        <v>5</v>
      </c>
      <c r="BL196" s="797">
        <f t="shared" si="97"/>
        <v>4</v>
      </c>
      <c r="BM196" s="797">
        <f t="shared" si="98"/>
        <v>4</v>
      </c>
      <c r="BN196" s="797">
        <f t="shared" si="99"/>
        <v>4</v>
      </c>
      <c r="BO196" s="798" cm="1">
        <f t="array" ref="BO196">SUMPRODUCT(--ISNUMBER($BF196:$BI196),$BK$3:$BN$3)</f>
        <v>1</v>
      </c>
      <c r="BP196" s="831">
        <f t="shared" si="109"/>
        <v>81.25</v>
      </c>
      <c r="BQ196" s="834" t="str">
        <f t="shared" si="110"/>
        <v>Alto</v>
      </c>
      <c r="BR196" s="836">
        <f t="shared" si="100"/>
        <v>18.49352352522456</v>
      </c>
      <c r="BS196" s="836">
        <f t="shared" si="101"/>
        <v>81.25</v>
      </c>
      <c r="BT196" s="837" t="str">
        <f t="shared" si="102"/>
        <v>P3</v>
      </c>
      <c r="BU196" s="807" t="str">
        <f t="shared" si="111"/>
        <v>Con espacio</v>
      </c>
      <c r="BV196" s="807" t="str">
        <f t="shared" si="103"/>
        <v>Zona atractiva</v>
      </c>
      <c r="BW196" s="808" t="str">
        <f t="shared" si="104"/>
        <v>P3 - Desarrollar</v>
      </c>
    </row>
    <row r="197" spans="1:75">
      <c r="A197" s="780" t="str">
        <f>'Base de datos Rutas'!A195</f>
        <v>Norte</v>
      </c>
      <c r="B197" s="781" t="str">
        <f>'Base de datos Rutas'!B195</f>
        <v>Juárez</v>
      </c>
      <c r="C197" s="781" t="str">
        <f>'Base de datos Rutas'!C195</f>
        <v>Planta Cd. Juárez</v>
      </c>
      <c r="D197" s="782">
        <f>IF(ISNUMBER('Base de datos Rutas'!D195),'Base de datos Rutas'!D195,"Sin código")</f>
        <v>301400</v>
      </c>
      <c r="E197" s="783" t="str">
        <f>'Base de datos Rutas'!F195</f>
        <v>Activa</v>
      </c>
      <c r="F197" s="784" t="str">
        <f>'Base de datos Rutas'!H195</f>
        <v>Sí</v>
      </c>
      <c r="G197" s="785">
        <f>IF(ISNUMBER('Base de datos Rutas'!BE195),'Base de datos Rutas'!BE195,"")</f>
        <v>24.755760368663601</v>
      </c>
      <c r="H197" s="786">
        <f>IF(ISNUMBER('Base de datos Rutas'!BH195),'Base de datos Rutas'!BH195,"")</f>
        <v>0.599683544303797</v>
      </c>
      <c r="I197" s="788">
        <f>IFERROR(IF(OR(NOT(ISNUMBER('Base de datos Rutas'!O195)),N('Base de datos Rutas'!BK195)=0),"",'Base de datos Rutas'!O195/('Base de datos Rutas'!L195/'Base de datos Rutas'!BK195)),"")</f>
        <v>4060.8410138248878</v>
      </c>
      <c r="J197" s="788">
        <f>IFERROR(IF(OR(NOT(ISNUMBER('Base de datos Rutas'!N195)),N('Base de datos Rutas'!BK195)=0),"",'Base de datos Rutas'!N195/('Base de datos Rutas'!L195/'Base de datos Rutas'!BK195)),"")</f>
        <v>7379.1958525345681</v>
      </c>
      <c r="K197" s="788">
        <f>IFERROR(IF(OR(NOT(ISNUMBER('Base de datos Rutas'!J195)),N('Base de datos Rutas'!BK195)=0),"",'Base de datos Rutas'!J195/('Base de datos Rutas'!L195/'Base de datos Rutas'!BK195)),"")</f>
        <v>367.91237695852561</v>
      </c>
      <c r="L197" s="788">
        <f>IFERROR(IF(OR(NOT(ISNUMBER('Base de datos Rutas'!K195)),N('Base de datos Rutas'!BK195)=0),"",'Base de datos Rutas'!K195/('Base de datos Rutas'!L195/'Base de datos Rutas'!BK195)),"")</f>
        <v>19.192428380184346</v>
      </c>
      <c r="M197" s="787">
        <f>IF(ISNUMBER('Base de datos Rutas'!AX195),'Base de datos Rutas'!AX195,"")</f>
        <v>657.42929691137704</v>
      </c>
      <c r="N197" s="790">
        <f>IFERROR(INDEX('Hoja de apoyo v2'!B$17:B$20,MATCH($A197,'Hoja de apoyo v2'!$A$17:$A$20,0)),"")</f>
        <v>74.190366972477051</v>
      </c>
      <c r="O197" s="791">
        <f>IFERROR(INDEX('Hoja de apoyo v2'!C$17:C$20,MATCH($A197,'Hoja de apoyo v2'!$A$17:$A$20,0)),"")</f>
        <v>0.71677657005077755</v>
      </c>
      <c r="P197" s="793">
        <f>IFERROR(INDEX('Hoja de apoyo v2'!D$17:D$20,MATCH($A197,'Hoja de apoyo v2'!$A$17:$A$20,0)),"")</f>
        <v>8755.1153350385739</v>
      </c>
      <c r="Q197" s="793">
        <f>IFERROR(INDEX('Hoja de apoyo v2'!E$17:E$20,MATCH($A197,'Hoja de apoyo v2'!$A$17:$A$20,0)),"")</f>
        <v>6098.2042779326393</v>
      </c>
      <c r="R197" s="793">
        <f>IFERROR(INDEX('Hoja de apoyo v2'!F$17:F$20,MATCH($A197,'Hoja de apoyo v2'!$A$17:$A$20,0)),"")</f>
        <v>389.08889713610301</v>
      </c>
      <c r="S197" s="793">
        <f>IFERROR(INDEX('Hoja de apoyo v2'!G$17:G$20,MATCH($A197,'Hoja de apoyo v2'!$A$17:$A$20,0)),"")</f>
        <v>67.90575167807188</v>
      </c>
      <c r="T197" s="792">
        <f>IFERROR(INDEX('Hoja de apoyo v2'!H$17:H$20,MATCH($A197,'Hoja de apoyo v2'!$A$17:$A$20,0)),"")</f>
        <v>258.90325471200998</v>
      </c>
      <c r="U197" s="794">
        <f t="shared" si="76"/>
        <v>0.33367890440341708</v>
      </c>
      <c r="V197" s="795">
        <f t="shared" si="77"/>
        <v>0.83663943460277235</v>
      </c>
      <c r="W197" s="795">
        <f t="shared" si="78"/>
        <v>0.46382495928672951</v>
      </c>
      <c r="X197" s="843">
        <f t="shared" si="79"/>
        <v>1.2100604565244573</v>
      </c>
      <c r="Y197" s="843">
        <f t="shared" si="80"/>
        <v>0.9455740825979676</v>
      </c>
      <c r="Z197" s="843">
        <f t="shared" si="81"/>
        <v>0.28263332495267796</v>
      </c>
      <c r="AA197" s="843">
        <f t="shared" si="82"/>
        <v>2.5392855630288076</v>
      </c>
      <c r="AB197" s="796">
        <f t="shared" si="83"/>
        <v>1</v>
      </c>
      <c r="AC197" s="797">
        <f t="shared" si="84"/>
        <v>3</v>
      </c>
      <c r="AD197" s="797">
        <f t="shared" si="85"/>
        <v>1</v>
      </c>
      <c r="AE197" s="842">
        <f t="shared" si="86"/>
        <v>4</v>
      </c>
      <c r="AF197" s="842">
        <f t="shared" si="87"/>
        <v>3</v>
      </c>
      <c r="AG197" s="842">
        <f t="shared" si="88"/>
        <v>1</v>
      </c>
      <c r="AH197" s="842">
        <f t="shared" si="89"/>
        <v>5</v>
      </c>
      <c r="AI197" s="826" cm="1">
        <f t="array" ref="AI197">SUMPRODUCT(--ISNUMBER($U197:$AA197),$AB$3:$AH$3)</f>
        <v>1</v>
      </c>
      <c r="AJ197" s="829">
        <f t="shared" si="90"/>
        <v>29.825154495822879</v>
      </c>
      <c r="AK197" s="827" t="str">
        <f t="shared" si="91"/>
        <v>Inmadura</v>
      </c>
      <c r="AL197" s="784" t="str">
        <f t="shared" si="92"/>
        <v>Alta</v>
      </c>
      <c r="AM197" s="799">
        <f>IF(ISNUMBER('Base de datos Rutas'!W195),'Base de datos Rutas'!W195,"")</f>
        <v>2501.4542944353198</v>
      </c>
      <c r="AN197" s="787">
        <f>IFERROR(SUMIFS('Base de datos Rutas'!$W$6:$W$794,'Base de datos Rutas'!$C$6:$C$794,$C197)/'Base de datos Rutas'!I195,"")</f>
        <v>2501.4542944353188</v>
      </c>
      <c r="AO197" s="800">
        <f>IFERROR('Base de datos Rutas'!X195*AN197/AM197,"")</f>
        <v>0.63513109235883425</v>
      </c>
      <c r="AP197" s="800">
        <f t="shared" si="93"/>
        <v>0.36486890764116575</v>
      </c>
      <c r="AQ197" s="789">
        <f>IFERROR(INDEX('Hoja de apoyo v2'!$J$17:$J$20,MATCH($A197,'Hoja de apoyo v2'!$A$17:$A$20,0)),"")</f>
        <v>0.62197445417222763</v>
      </c>
      <c r="AR197" s="789">
        <f t="shared" si="94"/>
        <v>-0.25710554653106188</v>
      </c>
      <c r="AS197" s="784" t="str">
        <f t="shared" si="95"/>
        <v>Sí</v>
      </c>
      <c r="AT197" s="801" t="str">
        <f>IF(ISNUMBER('Base de datos Rutas'!CK195),'Base de datos Rutas'!CK195,"")</f>
        <v/>
      </c>
      <c r="AU197" s="802" t="str">
        <f>IF(ISNUMBER('Base de datos Rutas'!CL195),'Base de datos Rutas'!CL195,"")</f>
        <v/>
      </c>
      <c r="AV197" s="802">
        <f>IF(ISNUMBER('Base de datos Rutas'!CM195),'Base de datos Rutas'!CM195,"")</f>
        <v>0</v>
      </c>
      <c r="AW197" s="802" t="str">
        <f>IF(ISNUMBER('Base de datos Rutas'!CN195),'Base de datos Rutas'!CN195,"")</f>
        <v/>
      </c>
      <c r="AX197" s="802" t="str">
        <f>IF(ISNUMBER('Base de datos Rutas'!CO195),'Base de datos Rutas'!CO195,"")</f>
        <v/>
      </c>
      <c r="AY197" s="802">
        <f>IF(ISNUMBER('Base de datos Rutas'!CP195),'Base de datos Rutas'!CP195,"")</f>
        <v>0</v>
      </c>
      <c r="AZ197" s="802" t="str">
        <f>IF(ISNUMBER('Base de datos Rutas'!CQ195),'Base de datos Rutas'!CQ195,"")</f>
        <v/>
      </c>
      <c r="BA197" s="802" t="str">
        <f>IF(ISNUMBER('Base de datos Rutas'!CR195),'Base de datos Rutas'!CR195,"")</f>
        <v/>
      </c>
      <c r="BB197" s="803">
        <f>IF(ISNUMBER('Base de datos Rutas'!CS195),'Base de datos Rutas'!CS195,"")</f>
        <v>0</v>
      </c>
      <c r="BC197" s="804" t="str">
        <f t="shared" si="105"/>
        <v/>
      </c>
      <c r="BD197" s="805" t="str">
        <f t="shared" si="106"/>
        <v>N/D</v>
      </c>
      <c r="BE197" s="806" t="str">
        <f t="shared" si="107"/>
        <v/>
      </c>
      <c r="BF197" s="890" t="str">
        <f>IF(ISNUMBER('Base de datos Rutas'!CX195),'Base de datos Rutas'!CX195/100,"")</f>
        <v/>
      </c>
      <c r="BG197" s="891" t="str">
        <f>IF(ISNUMBER('Base de datos Rutas'!CZ195),'Base de datos Rutas'!CZ195/100,"")</f>
        <v/>
      </c>
      <c r="BH197" s="892" t="str">
        <f>IF(ISNUMBER('Base de datos Rutas'!DA195),'Base de datos Rutas'!DA195,"")</f>
        <v/>
      </c>
      <c r="BI197" s="893" t="str">
        <f>IF(ISNUMBER('Base de datos Rutas'!DC195),'Base de datos Rutas'!DC195,"")</f>
        <v/>
      </c>
      <c r="BJ197" s="805" t="str">
        <f t="shared" si="108"/>
        <v>Sin dato</v>
      </c>
      <c r="BK197" s="783">
        <f t="shared" si="96"/>
        <v>0</v>
      </c>
      <c r="BL197" s="797">
        <f t="shared" si="97"/>
        <v>0</v>
      </c>
      <c r="BM197" s="797">
        <f t="shared" si="98"/>
        <v>0</v>
      </c>
      <c r="BN197" s="797">
        <f t="shared" si="99"/>
        <v>0</v>
      </c>
      <c r="BO197" s="798" cm="1">
        <f t="array" ref="BO197">SUMPRODUCT(--ISNUMBER($BF197:$BI197),$BK$3:$BN$3)</f>
        <v>0</v>
      </c>
      <c r="BP197" s="831" t="str">
        <f t="shared" si="109"/>
        <v/>
      </c>
      <c r="BQ197" s="834" t="str">
        <f t="shared" si="110"/>
        <v>Sin datos</v>
      </c>
      <c r="BR197" s="836" t="str">
        <f t="shared" si="100"/>
        <v/>
      </c>
      <c r="BS197" s="836" t="str">
        <f t="shared" si="101"/>
        <v/>
      </c>
      <c r="BT197" s="837" t="str">
        <f t="shared" si="102"/>
        <v>Sin datos</v>
      </c>
      <c r="BU197" s="807" t="str">
        <f t="shared" si="111"/>
        <v>Con espacio</v>
      </c>
      <c r="BV197" s="807" t="str">
        <f t="shared" si="103"/>
        <v>Sin datos de zona</v>
      </c>
      <c r="BW197" s="808" t="str">
        <f t="shared" si="104"/>
        <v>Sin datos</v>
      </c>
    </row>
    <row r="198" spans="1:75">
      <c r="A198" s="780" t="str">
        <f>'Base de datos Rutas'!A196</f>
        <v>Norte</v>
      </c>
      <c r="B198" s="781" t="str">
        <f>'Base de datos Rutas'!B196</f>
        <v>Juárez</v>
      </c>
      <c r="C198" s="781" t="str">
        <f>'Base de datos Rutas'!C196</f>
        <v>Planta Cd. Juárez</v>
      </c>
      <c r="D198" s="782">
        <f>IF(ISNUMBER('Base de datos Rutas'!D196),'Base de datos Rutas'!D196,"Sin código")</f>
        <v>301401</v>
      </c>
      <c r="E198" s="783" t="str">
        <f>'Base de datos Rutas'!F196</f>
        <v>Activa</v>
      </c>
      <c r="F198" s="784" t="str">
        <f>'Base de datos Rutas'!H196</f>
        <v>Sí</v>
      </c>
      <c r="G198" s="785">
        <f>IF(ISNUMBER('Base de datos Rutas'!BE196),'Base de datos Rutas'!BE196,"")</f>
        <v>25.0394431554524</v>
      </c>
      <c r="H198" s="786">
        <f>IF(ISNUMBER('Base de datos Rutas'!BH196),'Base de datos Rutas'!BH196,"")</f>
        <v>0.57181245366938505</v>
      </c>
      <c r="I198" s="788">
        <f>IFERROR(IF(OR(NOT(ISNUMBER('Base de datos Rutas'!O196)),N('Base de datos Rutas'!BK196)=0),"",'Base de datos Rutas'!O196/('Base de datos Rutas'!L196/'Base de datos Rutas'!BK196)),"")</f>
        <v>2021.6218097447793</v>
      </c>
      <c r="J198" s="788">
        <f>IFERROR(IF(OR(NOT(ISNUMBER('Base de datos Rutas'!N196)),N('Base de datos Rutas'!BK196)=0),"",'Base de datos Rutas'!N196/('Base de datos Rutas'!L196/'Base de datos Rutas'!BK196)),"")</f>
        <v>6831.0185614849179</v>
      </c>
      <c r="K198" s="788">
        <f>IFERROR(IF(OR(NOT(ISNUMBER('Base de datos Rutas'!J196)),N('Base de datos Rutas'!BK196)=0),"",'Base de datos Rutas'!J196/('Base de datos Rutas'!L196/'Base de datos Rutas'!BK196)),"")</f>
        <v>438.50747610208811</v>
      </c>
      <c r="L198" s="788">
        <f>IFERROR(IF(OR(NOT(ISNUMBER('Base de datos Rutas'!K196)),N('Base de datos Rutas'!BK196)=0),"",'Base de datos Rutas'!K196/('Base de datos Rutas'!L196/'Base de datos Rutas'!BK196)),"")</f>
        <v>12.952750048723896</v>
      </c>
      <c r="M198" s="787">
        <f>IF(ISNUMBER('Base de datos Rutas'!AX196),'Base de datos Rutas'!AX196,"")</f>
        <v>618.29331550802101</v>
      </c>
      <c r="N198" s="790">
        <f>IFERROR(INDEX('Hoja de apoyo v2'!B$17:B$20,MATCH($A198,'Hoja de apoyo v2'!$A$17:$A$20,0)),"")</f>
        <v>74.190366972477051</v>
      </c>
      <c r="O198" s="791">
        <f>IFERROR(INDEX('Hoja de apoyo v2'!C$17:C$20,MATCH($A198,'Hoja de apoyo v2'!$A$17:$A$20,0)),"")</f>
        <v>0.71677657005077755</v>
      </c>
      <c r="P198" s="793">
        <f>IFERROR(INDEX('Hoja de apoyo v2'!D$17:D$20,MATCH($A198,'Hoja de apoyo v2'!$A$17:$A$20,0)),"")</f>
        <v>8755.1153350385739</v>
      </c>
      <c r="Q198" s="793">
        <f>IFERROR(INDEX('Hoja de apoyo v2'!E$17:E$20,MATCH($A198,'Hoja de apoyo v2'!$A$17:$A$20,0)),"")</f>
        <v>6098.2042779326393</v>
      </c>
      <c r="R198" s="793">
        <f>IFERROR(INDEX('Hoja de apoyo v2'!F$17:F$20,MATCH($A198,'Hoja de apoyo v2'!$A$17:$A$20,0)),"")</f>
        <v>389.08889713610301</v>
      </c>
      <c r="S198" s="793">
        <f>IFERROR(INDEX('Hoja de apoyo v2'!G$17:G$20,MATCH($A198,'Hoja de apoyo v2'!$A$17:$A$20,0)),"")</f>
        <v>67.90575167807188</v>
      </c>
      <c r="T198" s="792">
        <f>IFERROR(INDEX('Hoja de apoyo v2'!H$17:H$20,MATCH($A198,'Hoja de apoyo v2'!$A$17:$A$20,0)),"")</f>
        <v>258.90325471200998</v>
      </c>
      <c r="U198" s="794">
        <f t="shared" si="76"/>
        <v>0.33750261896859829</v>
      </c>
      <c r="V198" s="795">
        <f t="shared" si="77"/>
        <v>0.79775550368349368</v>
      </c>
      <c r="W198" s="795">
        <f t="shared" si="78"/>
        <v>0.23090750177260483</v>
      </c>
      <c r="X198" s="843">
        <f t="shared" si="79"/>
        <v>1.120168864497388</v>
      </c>
      <c r="Y198" s="843">
        <f t="shared" si="80"/>
        <v>1.1270110232641732</v>
      </c>
      <c r="Z198" s="843">
        <f t="shared" si="81"/>
        <v>0.19074599321321697</v>
      </c>
      <c r="AA198" s="843">
        <f t="shared" si="82"/>
        <v>2.3881249240986837</v>
      </c>
      <c r="AB198" s="796">
        <f t="shared" si="83"/>
        <v>1</v>
      </c>
      <c r="AC198" s="797">
        <f t="shared" si="84"/>
        <v>3</v>
      </c>
      <c r="AD198" s="797">
        <f t="shared" si="85"/>
        <v>1</v>
      </c>
      <c r="AE198" s="842">
        <f t="shared" si="86"/>
        <v>4</v>
      </c>
      <c r="AF198" s="842">
        <f t="shared" si="87"/>
        <v>4</v>
      </c>
      <c r="AG198" s="842">
        <f t="shared" si="88"/>
        <v>1</v>
      </c>
      <c r="AH198" s="842">
        <f t="shared" si="89"/>
        <v>5</v>
      </c>
      <c r="AI198" s="826" cm="1">
        <f t="array" ref="AI198">SUMPRODUCT(--ISNUMBER($U198:$AA198),$AB$3:$AH$3)</f>
        <v>1</v>
      </c>
      <c r="AJ198" s="829">
        <f t="shared" si="90"/>
        <v>32.751199007862674</v>
      </c>
      <c r="AK198" s="827" t="str">
        <f t="shared" si="91"/>
        <v>Inmadura</v>
      </c>
      <c r="AL198" s="784" t="str">
        <f t="shared" si="92"/>
        <v>Alta</v>
      </c>
      <c r="AM198" s="799">
        <f>IF(ISNUMBER('Base de datos Rutas'!W196),'Base de datos Rutas'!W196,"")</f>
        <v>2501.4542944353198</v>
      </c>
      <c r="AN198" s="787">
        <f>IFERROR(SUMIFS('Base de datos Rutas'!$W$6:$W$794,'Base de datos Rutas'!$C$6:$C$794,$C198)/'Base de datos Rutas'!I196,"")</f>
        <v>2501.4542944353188</v>
      </c>
      <c r="AO198" s="800">
        <f>IFERROR('Base de datos Rutas'!X196*AN198/AM198,"")</f>
        <v>0.63513109235883425</v>
      </c>
      <c r="AP198" s="800">
        <f t="shared" si="93"/>
        <v>0.36486890764116575</v>
      </c>
      <c r="AQ198" s="789">
        <f>IFERROR(INDEX('Hoja de apoyo v2'!$J$17:$J$20,MATCH($A198,'Hoja de apoyo v2'!$A$17:$A$20,0)),"")</f>
        <v>0.62197445417222763</v>
      </c>
      <c r="AR198" s="789">
        <f t="shared" si="94"/>
        <v>-0.25710554653106188</v>
      </c>
      <c r="AS198" s="784" t="str">
        <f t="shared" si="95"/>
        <v>Sí</v>
      </c>
      <c r="AT198" s="801" t="str">
        <f>IF(ISNUMBER('Base de datos Rutas'!CK196),'Base de datos Rutas'!CK196,"")</f>
        <v/>
      </c>
      <c r="AU198" s="802" t="str">
        <f>IF(ISNUMBER('Base de datos Rutas'!CL196),'Base de datos Rutas'!CL196,"")</f>
        <v/>
      </c>
      <c r="AV198" s="802">
        <f>IF(ISNUMBER('Base de datos Rutas'!CM196),'Base de datos Rutas'!CM196,"")</f>
        <v>0</v>
      </c>
      <c r="AW198" s="802" t="str">
        <f>IF(ISNUMBER('Base de datos Rutas'!CN196),'Base de datos Rutas'!CN196,"")</f>
        <v/>
      </c>
      <c r="AX198" s="802" t="str">
        <f>IF(ISNUMBER('Base de datos Rutas'!CO196),'Base de datos Rutas'!CO196,"")</f>
        <v/>
      </c>
      <c r="AY198" s="802">
        <f>IF(ISNUMBER('Base de datos Rutas'!CP196),'Base de datos Rutas'!CP196,"")</f>
        <v>0</v>
      </c>
      <c r="AZ198" s="802" t="str">
        <f>IF(ISNUMBER('Base de datos Rutas'!CQ196),'Base de datos Rutas'!CQ196,"")</f>
        <v/>
      </c>
      <c r="BA198" s="802" t="str">
        <f>IF(ISNUMBER('Base de datos Rutas'!CR196),'Base de datos Rutas'!CR196,"")</f>
        <v/>
      </c>
      <c r="BB198" s="803">
        <f>IF(ISNUMBER('Base de datos Rutas'!CS196),'Base de datos Rutas'!CS196,"")</f>
        <v>0</v>
      </c>
      <c r="BC198" s="804" t="str">
        <f t="shared" si="105"/>
        <v/>
      </c>
      <c r="BD198" s="805" t="str">
        <f t="shared" si="106"/>
        <v>N/D</v>
      </c>
      <c r="BE198" s="806" t="str">
        <f t="shared" si="107"/>
        <v/>
      </c>
      <c r="BF198" s="890" t="str">
        <f>IF(ISNUMBER('Base de datos Rutas'!CX196),'Base de datos Rutas'!CX196/100,"")</f>
        <v/>
      </c>
      <c r="BG198" s="891" t="str">
        <f>IF(ISNUMBER('Base de datos Rutas'!CZ196),'Base de datos Rutas'!CZ196/100,"")</f>
        <v/>
      </c>
      <c r="BH198" s="892" t="str">
        <f>IF(ISNUMBER('Base de datos Rutas'!DA196),'Base de datos Rutas'!DA196,"")</f>
        <v/>
      </c>
      <c r="BI198" s="893" t="str">
        <f>IF(ISNUMBER('Base de datos Rutas'!DC196),'Base de datos Rutas'!DC196,"")</f>
        <v/>
      </c>
      <c r="BJ198" s="805" t="str">
        <f t="shared" si="108"/>
        <v>Sin dato</v>
      </c>
      <c r="BK198" s="783">
        <f t="shared" si="96"/>
        <v>0</v>
      </c>
      <c r="BL198" s="797">
        <f t="shared" si="97"/>
        <v>0</v>
      </c>
      <c r="BM198" s="797">
        <f t="shared" si="98"/>
        <v>0</v>
      </c>
      <c r="BN198" s="797">
        <f t="shared" si="99"/>
        <v>0</v>
      </c>
      <c r="BO198" s="798" cm="1">
        <f t="array" ref="BO198">SUMPRODUCT(--ISNUMBER($BF198:$BI198),$BK$3:$BN$3)</f>
        <v>0</v>
      </c>
      <c r="BP198" s="831" t="str">
        <f t="shared" si="109"/>
        <v/>
      </c>
      <c r="BQ198" s="834" t="str">
        <f t="shared" si="110"/>
        <v>Sin datos</v>
      </c>
      <c r="BR198" s="836" t="str">
        <f t="shared" si="100"/>
        <v/>
      </c>
      <c r="BS198" s="836" t="str">
        <f t="shared" si="101"/>
        <v/>
      </c>
      <c r="BT198" s="837" t="str">
        <f t="shared" si="102"/>
        <v>Sin datos</v>
      </c>
      <c r="BU198" s="807" t="str">
        <f t="shared" si="111"/>
        <v>Con espacio</v>
      </c>
      <c r="BV198" s="807" t="str">
        <f t="shared" si="103"/>
        <v>Sin datos de zona</v>
      </c>
      <c r="BW198" s="808" t="str">
        <f t="shared" si="104"/>
        <v>Sin datos</v>
      </c>
    </row>
    <row r="199" spans="1:75">
      <c r="A199" s="780" t="str">
        <f>'Base de datos Rutas'!A197</f>
        <v>Norte</v>
      </c>
      <c r="B199" s="781" t="str">
        <f>'Base de datos Rutas'!B197</f>
        <v>Juárez</v>
      </c>
      <c r="C199" s="781" t="str">
        <f>'Base de datos Rutas'!C197</f>
        <v>Planta Cd. Juárez</v>
      </c>
      <c r="D199" s="782">
        <f>IF(ISNUMBER('Base de datos Rutas'!D197),'Base de datos Rutas'!D197,"Sin código")</f>
        <v>301402</v>
      </c>
      <c r="E199" s="783" t="str">
        <f>'Base de datos Rutas'!F197</f>
        <v>Activa</v>
      </c>
      <c r="F199" s="784" t="str">
        <f>'Base de datos Rutas'!H197</f>
        <v>Sí</v>
      </c>
      <c r="G199" s="785">
        <f>IF(ISNUMBER('Base de datos Rutas'!BE197),'Base de datos Rutas'!BE197,"")</f>
        <v>19.3348837209302</v>
      </c>
      <c r="H199" s="786">
        <f>IF(ISNUMBER('Base de datos Rutas'!BH197),'Base de datos Rutas'!BH197,"")</f>
        <v>0.66117392350252602</v>
      </c>
      <c r="I199" s="788">
        <f>IFERROR(IF(OR(NOT(ISNUMBER('Base de datos Rutas'!O197)),N('Base de datos Rutas'!BK197)=0),"",'Base de datos Rutas'!O197/('Base de datos Rutas'!L197/'Base de datos Rutas'!BK197)),"")</f>
        <v>2697.988452655889</v>
      </c>
      <c r="J199" s="788">
        <f>IFERROR(IF(OR(NOT(ISNUMBER('Base de datos Rutas'!N197)),N('Base de datos Rutas'!BK197)=0),"",'Base de datos Rutas'!N197/('Base de datos Rutas'!L197/'Base de datos Rutas'!BK197)),"")</f>
        <v>5069.9191685912238</v>
      </c>
      <c r="K199" s="788">
        <f>IFERROR(IF(OR(NOT(ISNUMBER('Base de datos Rutas'!J197)),N('Base de datos Rutas'!BK197)=0),"",'Base de datos Rutas'!J197/('Base de datos Rutas'!L197/'Base de datos Rutas'!BK197)),"")</f>
        <v>327.39437182448034</v>
      </c>
      <c r="L199" s="788">
        <f>IFERROR(IF(OR(NOT(ISNUMBER('Base de datos Rutas'!K197)),N('Base de datos Rutas'!BK197)=0),"",'Base de datos Rutas'!K197/('Base de datos Rutas'!L197/'Base de datos Rutas'!BK197)),"")</f>
        <v>14.448714540415702</v>
      </c>
      <c r="M199" s="787">
        <f>IF(ISNUMBER('Base de datos Rutas'!AX197),'Base de datos Rutas'!AX197,"")</f>
        <v>610.18759333091703</v>
      </c>
      <c r="N199" s="790">
        <f>IFERROR(INDEX('Hoja de apoyo v2'!B$17:B$20,MATCH($A199,'Hoja de apoyo v2'!$A$17:$A$20,0)),"")</f>
        <v>74.190366972477051</v>
      </c>
      <c r="O199" s="791">
        <f>IFERROR(INDEX('Hoja de apoyo v2'!C$17:C$20,MATCH($A199,'Hoja de apoyo v2'!$A$17:$A$20,0)),"")</f>
        <v>0.71677657005077755</v>
      </c>
      <c r="P199" s="793">
        <f>IFERROR(INDEX('Hoja de apoyo v2'!D$17:D$20,MATCH($A199,'Hoja de apoyo v2'!$A$17:$A$20,0)),"")</f>
        <v>8755.1153350385739</v>
      </c>
      <c r="Q199" s="793">
        <f>IFERROR(INDEX('Hoja de apoyo v2'!E$17:E$20,MATCH($A199,'Hoja de apoyo v2'!$A$17:$A$20,0)),"")</f>
        <v>6098.2042779326393</v>
      </c>
      <c r="R199" s="793">
        <f>IFERROR(INDEX('Hoja de apoyo v2'!F$17:F$20,MATCH($A199,'Hoja de apoyo v2'!$A$17:$A$20,0)),"")</f>
        <v>389.08889713610301</v>
      </c>
      <c r="S199" s="793">
        <f>IFERROR(INDEX('Hoja de apoyo v2'!G$17:G$20,MATCH($A199,'Hoja de apoyo v2'!$A$17:$A$20,0)),"")</f>
        <v>67.90575167807188</v>
      </c>
      <c r="T199" s="792">
        <f>IFERROR(INDEX('Hoja de apoyo v2'!H$17:H$20,MATCH($A199,'Hoja de apoyo v2'!$A$17:$A$20,0)),"")</f>
        <v>258.90325471200998</v>
      </c>
      <c r="U199" s="794">
        <f t="shared" si="76"/>
        <v>0.2606117816899734</v>
      </c>
      <c r="V199" s="795">
        <f t="shared" si="77"/>
        <v>0.9224268079182435</v>
      </c>
      <c r="W199" s="795">
        <f t="shared" si="78"/>
        <v>0.30816138330677995</v>
      </c>
      <c r="X199" s="843">
        <f t="shared" si="79"/>
        <v>0.83137903184672979</v>
      </c>
      <c r="Y199" s="843">
        <f t="shared" si="80"/>
        <v>0.84143848419801615</v>
      </c>
      <c r="Z199" s="843">
        <f t="shared" si="81"/>
        <v>0.21277600473247513</v>
      </c>
      <c r="AA199" s="843">
        <f t="shared" si="82"/>
        <v>2.3568170049065502</v>
      </c>
      <c r="AB199" s="796">
        <f t="shared" si="83"/>
        <v>1</v>
      </c>
      <c r="AC199" s="797">
        <f t="shared" si="84"/>
        <v>3</v>
      </c>
      <c r="AD199" s="797">
        <f t="shared" si="85"/>
        <v>1</v>
      </c>
      <c r="AE199" s="842">
        <f t="shared" si="86"/>
        <v>3</v>
      </c>
      <c r="AF199" s="842">
        <f t="shared" si="87"/>
        <v>3</v>
      </c>
      <c r="AG199" s="842">
        <f t="shared" si="88"/>
        <v>1</v>
      </c>
      <c r="AH199" s="842">
        <f t="shared" si="89"/>
        <v>5</v>
      </c>
      <c r="AI199" s="826" cm="1">
        <f t="array" ref="AI199">SUMPRODUCT(--ISNUMBER($U199:$AA199),$AB$3:$AH$3)</f>
        <v>1</v>
      </c>
      <c r="AJ199" s="829">
        <f t="shared" si="90"/>
        <v>26.415706849604181</v>
      </c>
      <c r="AK199" s="827" t="str">
        <f t="shared" si="91"/>
        <v>Inmadura</v>
      </c>
      <c r="AL199" s="784" t="str">
        <f t="shared" si="92"/>
        <v>Alta</v>
      </c>
      <c r="AM199" s="799">
        <f>IF(ISNUMBER('Base de datos Rutas'!W197),'Base de datos Rutas'!W197,"")</f>
        <v>2501.4542944353198</v>
      </c>
      <c r="AN199" s="787">
        <f>IFERROR(SUMIFS('Base de datos Rutas'!$W$6:$W$794,'Base de datos Rutas'!$C$6:$C$794,$C199)/'Base de datos Rutas'!I197,"")</f>
        <v>2501.4542944353188</v>
      </c>
      <c r="AO199" s="800">
        <f>IFERROR('Base de datos Rutas'!X197*AN199/AM199,"")</f>
        <v>0.63513109235883425</v>
      </c>
      <c r="AP199" s="800">
        <f t="shared" si="93"/>
        <v>0.36486890764116575</v>
      </c>
      <c r="AQ199" s="789">
        <f>IFERROR(INDEX('Hoja de apoyo v2'!$J$17:$J$20,MATCH($A199,'Hoja de apoyo v2'!$A$17:$A$20,0)),"")</f>
        <v>0.62197445417222763</v>
      </c>
      <c r="AR199" s="789">
        <f t="shared" si="94"/>
        <v>-0.25710554653106188</v>
      </c>
      <c r="AS199" s="784" t="str">
        <f t="shared" si="95"/>
        <v>Sí</v>
      </c>
      <c r="AT199" s="801" t="str">
        <f>IF(ISNUMBER('Base de datos Rutas'!CK197),'Base de datos Rutas'!CK197,"")</f>
        <v/>
      </c>
      <c r="AU199" s="802" t="str">
        <f>IF(ISNUMBER('Base de datos Rutas'!CL197),'Base de datos Rutas'!CL197,"")</f>
        <v/>
      </c>
      <c r="AV199" s="802">
        <f>IF(ISNUMBER('Base de datos Rutas'!CM197),'Base de datos Rutas'!CM197,"")</f>
        <v>0</v>
      </c>
      <c r="AW199" s="802" t="str">
        <f>IF(ISNUMBER('Base de datos Rutas'!CN197),'Base de datos Rutas'!CN197,"")</f>
        <v/>
      </c>
      <c r="AX199" s="802" t="str">
        <f>IF(ISNUMBER('Base de datos Rutas'!CO197),'Base de datos Rutas'!CO197,"")</f>
        <v/>
      </c>
      <c r="AY199" s="802">
        <f>IF(ISNUMBER('Base de datos Rutas'!CP197),'Base de datos Rutas'!CP197,"")</f>
        <v>0</v>
      </c>
      <c r="AZ199" s="802" t="str">
        <f>IF(ISNUMBER('Base de datos Rutas'!CQ197),'Base de datos Rutas'!CQ197,"")</f>
        <v/>
      </c>
      <c r="BA199" s="802" t="str">
        <f>IF(ISNUMBER('Base de datos Rutas'!CR197),'Base de datos Rutas'!CR197,"")</f>
        <v/>
      </c>
      <c r="BB199" s="803">
        <f>IF(ISNUMBER('Base de datos Rutas'!CS197),'Base de datos Rutas'!CS197,"")</f>
        <v>0</v>
      </c>
      <c r="BC199" s="804" t="str">
        <f t="shared" si="105"/>
        <v/>
      </c>
      <c r="BD199" s="805" t="str">
        <f t="shared" si="106"/>
        <v>N/D</v>
      </c>
      <c r="BE199" s="806" t="str">
        <f t="shared" si="107"/>
        <v/>
      </c>
      <c r="BF199" s="890" t="str">
        <f>IF(ISNUMBER('Base de datos Rutas'!CX197),'Base de datos Rutas'!CX197/100,"")</f>
        <v/>
      </c>
      <c r="BG199" s="891" t="str">
        <f>IF(ISNUMBER('Base de datos Rutas'!CZ197),'Base de datos Rutas'!CZ197/100,"")</f>
        <v/>
      </c>
      <c r="BH199" s="892" t="str">
        <f>IF(ISNUMBER('Base de datos Rutas'!DA197),'Base de datos Rutas'!DA197,"")</f>
        <v/>
      </c>
      <c r="BI199" s="893" t="str">
        <f>IF(ISNUMBER('Base de datos Rutas'!DC197),'Base de datos Rutas'!DC197,"")</f>
        <v/>
      </c>
      <c r="BJ199" s="805" t="str">
        <f t="shared" si="108"/>
        <v>Sin dato</v>
      </c>
      <c r="BK199" s="783">
        <f t="shared" si="96"/>
        <v>0</v>
      </c>
      <c r="BL199" s="797">
        <f t="shared" si="97"/>
        <v>0</v>
      </c>
      <c r="BM199" s="797">
        <f t="shared" si="98"/>
        <v>0</v>
      </c>
      <c r="BN199" s="797">
        <f t="shared" si="99"/>
        <v>0</v>
      </c>
      <c r="BO199" s="798" cm="1">
        <f t="array" ref="BO199">SUMPRODUCT(--ISNUMBER($BF199:$BI199),$BK$3:$BN$3)</f>
        <v>0</v>
      </c>
      <c r="BP199" s="831" t="str">
        <f t="shared" si="109"/>
        <v/>
      </c>
      <c r="BQ199" s="834" t="str">
        <f t="shared" si="110"/>
        <v>Sin datos</v>
      </c>
      <c r="BR199" s="836" t="str">
        <f t="shared" si="100"/>
        <v/>
      </c>
      <c r="BS199" s="836" t="str">
        <f t="shared" si="101"/>
        <v/>
      </c>
      <c r="BT199" s="837" t="str">
        <f t="shared" si="102"/>
        <v>Sin datos</v>
      </c>
      <c r="BU199" s="807" t="str">
        <f t="shared" si="111"/>
        <v>Con espacio</v>
      </c>
      <c r="BV199" s="807" t="str">
        <f t="shared" si="103"/>
        <v>Sin datos de zona</v>
      </c>
      <c r="BW199" s="808" t="str">
        <f t="shared" si="104"/>
        <v>Sin datos</v>
      </c>
    </row>
    <row r="200" spans="1:75">
      <c r="A200" s="780" t="str">
        <f>'Base de datos Rutas'!A198</f>
        <v>Norte</v>
      </c>
      <c r="B200" s="781" t="str">
        <f>'Base de datos Rutas'!B198</f>
        <v>Juárez</v>
      </c>
      <c r="C200" s="781" t="str">
        <f>'Base de datos Rutas'!C198</f>
        <v>Planta Cd. Juárez</v>
      </c>
      <c r="D200" s="782">
        <f>IF(ISNUMBER('Base de datos Rutas'!D198),'Base de datos Rutas'!D198,"Sin código")</f>
        <v>301403</v>
      </c>
      <c r="E200" s="783" t="str">
        <f>'Base de datos Rutas'!F198</f>
        <v>Activa</v>
      </c>
      <c r="F200" s="784" t="str">
        <f>'Base de datos Rutas'!H198</f>
        <v>Sí</v>
      </c>
      <c r="G200" s="785">
        <f>IF(ISNUMBER('Base de datos Rutas'!BE198),'Base de datos Rutas'!BE198,"")</f>
        <v>22.3680781758958</v>
      </c>
      <c r="H200" s="786">
        <f>IF(ISNUMBER('Base de datos Rutas'!BH198),'Base de datos Rutas'!BH198,"")</f>
        <v>0.52978010776175899</v>
      </c>
      <c r="I200" s="788">
        <f>IFERROR(IF(OR(NOT(ISNUMBER('Base de datos Rutas'!O198)),N('Base de datos Rutas'!BK198)=0),"",'Base de datos Rutas'!O198/('Base de datos Rutas'!L198/'Base de datos Rutas'!BK198)),"")</f>
        <v>2135.6574712643674</v>
      </c>
      <c r="J200" s="788">
        <f>IFERROR(IF(OR(NOT(ISNUMBER('Base de datos Rutas'!N198)),N('Base de datos Rutas'!BK198)=0),"",'Base de datos Rutas'!N198/('Base de datos Rutas'!L198/'Base de datos Rutas'!BK198)),"")</f>
        <v>7547.8229885057463</v>
      </c>
      <c r="K200" s="788">
        <f>IFERROR(IF(OR(NOT(ISNUMBER('Base de datos Rutas'!J198)),N('Base de datos Rutas'!BK198)=0),"",'Base de datos Rutas'!J198/('Base de datos Rutas'!L198/'Base de datos Rutas'!BK198)),"")</f>
        <v>465.12949241379306</v>
      </c>
      <c r="L200" s="788">
        <f>IFERROR(IF(OR(NOT(ISNUMBER('Base de datos Rutas'!K198)),N('Base de datos Rutas'!BK198)=0),"",'Base de datos Rutas'!K198/('Base de datos Rutas'!L198/'Base de datos Rutas'!BK198)),"")</f>
        <v>13.085280878160919</v>
      </c>
      <c r="M200" s="787">
        <f>IF(ISNUMBER('Base de datos Rutas'!AX198),'Base de datos Rutas'!AX198,"")</f>
        <v>808.10320650019798</v>
      </c>
      <c r="N200" s="790">
        <f>IFERROR(INDEX('Hoja de apoyo v2'!B$17:B$20,MATCH($A200,'Hoja de apoyo v2'!$A$17:$A$20,0)),"")</f>
        <v>74.190366972477051</v>
      </c>
      <c r="O200" s="791">
        <f>IFERROR(INDEX('Hoja de apoyo v2'!C$17:C$20,MATCH($A200,'Hoja de apoyo v2'!$A$17:$A$20,0)),"")</f>
        <v>0.71677657005077755</v>
      </c>
      <c r="P200" s="793">
        <f>IFERROR(INDEX('Hoja de apoyo v2'!D$17:D$20,MATCH($A200,'Hoja de apoyo v2'!$A$17:$A$20,0)),"")</f>
        <v>8755.1153350385739</v>
      </c>
      <c r="Q200" s="793">
        <f>IFERROR(INDEX('Hoja de apoyo v2'!E$17:E$20,MATCH($A200,'Hoja de apoyo v2'!$A$17:$A$20,0)),"")</f>
        <v>6098.2042779326393</v>
      </c>
      <c r="R200" s="793">
        <f>IFERROR(INDEX('Hoja de apoyo v2'!F$17:F$20,MATCH($A200,'Hoja de apoyo v2'!$A$17:$A$20,0)),"")</f>
        <v>389.08889713610301</v>
      </c>
      <c r="S200" s="793">
        <f>IFERROR(INDEX('Hoja de apoyo v2'!G$17:G$20,MATCH($A200,'Hoja de apoyo v2'!$A$17:$A$20,0)),"")</f>
        <v>67.90575167807188</v>
      </c>
      <c r="T200" s="792">
        <f>IFERROR(INDEX('Hoja de apoyo v2'!H$17:H$20,MATCH($A200,'Hoja de apoyo v2'!$A$17:$A$20,0)),"")</f>
        <v>258.90325471200998</v>
      </c>
      <c r="U200" s="794">
        <f t="shared" ref="U200:U263" si="112">IFERROR(G200/N200,"")</f>
        <v>0.30149572092282345</v>
      </c>
      <c r="V200" s="795">
        <f t="shared" ref="V200:V263" si="113">IFERROR(H200/O200,"")</f>
        <v>0.73911471147031016</v>
      </c>
      <c r="W200" s="795">
        <f t="shared" ref="W200:W263" si="114">IFERROR(IF(N(P200)=0,"",I200/P200),"")</f>
        <v>0.2439325342428465</v>
      </c>
      <c r="X200" s="843">
        <f t="shared" ref="X200:X263" si="115">IFERROR(IF(N(Q200)=0,"",J200/Q200),"")</f>
        <v>1.2377123895010851</v>
      </c>
      <c r="Y200" s="843">
        <f t="shared" ref="Y200:Y263" si="116">IFERROR(IF(N(R200)=0,"",K200/R200),"")</f>
        <v>1.1954324470253159</v>
      </c>
      <c r="Z200" s="843">
        <f t="shared" ref="Z200:Z263" si="117">IFERROR(IF(N(S200)=0,"",L200/S200),"")</f>
        <v>0.1926976810476338</v>
      </c>
      <c r="AA200" s="843">
        <f t="shared" ref="AA200:AA263" si="118">IFERROR(IF(N(T200)=0,"",M200/T200),"")</f>
        <v>3.1212554952199749</v>
      </c>
      <c r="AB200" s="796">
        <f t="shared" ref="AB200:AB263" si="119">IF(NOT(ISNUMBER(U200)),0,IFERROR(MATCH(U200,$U$3:$X$3,1)+1,1))</f>
        <v>1</v>
      </c>
      <c r="AC200" s="797">
        <f t="shared" ref="AC200:AC263" si="120">IF(NOT(ISNUMBER(V200)),0,IFERROR(MATCH(V200,$U$3:$X$3,1)+1,1))</f>
        <v>2</v>
      </c>
      <c r="AD200" s="797">
        <f t="shared" ref="AD200:AD263" si="121">IF(NOT(ISNUMBER(W200)),0,IFERROR(MATCH(W200,$U$3:$X$3,1)+1,1))</f>
        <v>1</v>
      </c>
      <c r="AE200" s="842">
        <f t="shared" ref="AE200:AE263" si="122">IF(NOT(ISNUMBER(X200)),0,IFERROR(MATCH(X200,$U$3:$X$3,1)+1,1))</f>
        <v>4</v>
      </c>
      <c r="AF200" s="842">
        <f t="shared" ref="AF200:AF263" si="123">IF(NOT(ISNUMBER(Y200)),0,IFERROR(MATCH(Y200,$U$3:$X$3,1)+1,1))</f>
        <v>4</v>
      </c>
      <c r="AG200" s="842">
        <f t="shared" ref="AG200:AG263" si="124">IF(NOT(ISNUMBER(Z200)),0,IFERROR(MATCH(Z200,$U$3:$X$3,1)+1,1))</f>
        <v>1</v>
      </c>
      <c r="AH200" s="842">
        <f t="shared" ref="AH200:AH263" si="125">IF(NOT(ISNUMBER(AA200)),0,IFERROR(MATCH(AA200,$U$3:$X$3,1)+1,1))</f>
        <v>5</v>
      </c>
      <c r="AI200" s="826" cm="1">
        <f t="array" ref="AI200">SUMPRODUCT(--ISNUMBER($U200:$AA200),$AB$3:$AH$3)</f>
        <v>1</v>
      </c>
      <c r="AJ200" s="829">
        <f t="shared" ref="AJ200:AJ263" si="126">IF(OR($E200&lt;&gt;"Activa",$F200&lt;&gt;"Sí",AI200&lt;$AI$4),"",(SUMPRODUCT($AB200:$AH200,$AB$3:$AH$3)/AI200-1)/4*100)</f>
        <v>30.368293421972183</v>
      </c>
      <c r="AK200" s="827" t="str">
        <f t="shared" ref="AK200:AK263" si="127">IF($E200&lt;&gt;"Activa","Ruta inactiva",IF($F200&lt;&gt;"Sí","No elegible",IF(AJ200="","Sin datos",IF(AJ200&gt;=$AJ$4,"Madura",IF(AJ200&lt;$AK$4,"Inmadura","En desarrollo")))))</f>
        <v>Inmadura</v>
      </c>
      <c r="AL200" s="784" t="str">
        <f t="shared" ref="AL200:AL263" si="128">IF(AJ200="","n/a",IF(AI200&gt;=$AL$3,"Alta",IF(AI200&gt;=$AL$4,"Media","Baja")))</f>
        <v>Alta</v>
      </c>
      <c r="AM200" s="799">
        <f>IF(ISNUMBER('Base de datos Rutas'!W198),'Base de datos Rutas'!W198,"")</f>
        <v>2501.4542944353198</v>
      </c>
      <c r="AN200" s="787">
        <f>IFERROR(SUMIFS('Base de datos Rutas'!$W$6:$W$794,'Base de datos Rutas'!$C$6:$C$794,$C200)/'Base de datos Rutas'!I198,"")</f>
        <v>2501.4542944353188</v>
      </c>
      <c r="AO200" s="800">
        <f>IFERROR('Base de datos Rutas'!X198*AN200/AM200,"")</f>
        <v>0.63513109235883425</v>
      </c>
      <c r="AP200" s="800">
        <f t="shared" ref="AP200:AP263" si="129">IF(ISNUMBER(AO200),1-AO200,"")</f>
        <v>0.36486890764116575</v>
      </c>
      <c r="AQ200" s="789">
        <f>IFERROR(INDEX('Hoja de apoyo v2'!$J$17:$J$20,MATCH($A200,'Hoja de apoyo v2'!$A$17:$A$20,0)),"")</f>
        <v>0.62197445417222763</v>
      </c>
      <c r="AR200" s="789">
        <f t="shared" ref="AR200:AR263" si="130">IF(AND(ISNUMBER($AP200),ISNUMBER($AQ200)),$AP200-$AQ200,"")</f>
        <v>-0.25710554653106188</v>
      </c>
      <c r="AS200" s="784" t="str">
        <f t="shared" ref="AS200:AS263" si="131">IF(NOT(ISNUMBER(AO200)),"n/d",IF(AO200&gt;=$AO$4,"Sí","No"))</f>
        <v>Sí</v>
      </c>
      <c r="AT200" s="801" t="str">
        <f>IF(ISNUMBER('Base de datos Rutas'!CK198),'Base de datos Rutas'!CK198,"")</f>
        <v/>
      </c>
      <c r="AU200" s="802" t="str">
        <f>IF(ISNUMBER('Base de datos Rutas'!CL198),'Base de datos Rutas'!CL198,"")</f>
        <v/>
      </c>
      <c r="AV200" s="802">
        <f>IF(ISNUMBER('Base de datos Rutas'!CM198),'Base de datos Rutas'!CM198,"")</f>
        <v>0</v>
      </c>
      <c r="AW200" s="802" t="str">
        <f>IF(ISNUMBER('Base de datos Rutas'!CN198),'Base de datos Rutas'!CN198,"")</f>
        <v/>
      </c>
      <c r="AX200" s="802" t="str">
        <f>IF(ISNUMBER('Base de datos Rutas'!CO198),'Base de datos Rutas'!CO198,"")</f>
        <v/>
      </c>
      <c r="AY200" s="802">
        <f>IF(ISNUMBER('Base de datos Rutas'!CP198),'Base de datos Rutas'!CP198,"")</f>
        <v>0</v>
      </c>
      <c r="AZ200" s="802" t="str">
        <f>IF(ISNUMBER('Base de datos Rutas'!CQ198),'Base de datos Rutas'!CQ198,"")</f>
        <v/>
      </c>
      <c r="BA200" s="802" t="str">
        <f>IF(ISNUMBER('Base de datos Rutas'!CR198),'Base de datos Rutas'!CR198,"")</f>
        <v/>
      </c>
      <c r="BB200" s="803">
        <f>IF(ISNUMBER('Base de datos Rutas'!CS198),'Base de datos Rutas'!CS198,"")</f>
        <v>0</v>
      </c>
      <c r="BC200" s="804" t="str">
        <f t="shared" si="105"/>
        <v/>
      </c>
      <c r="BD200" s="805" t="str">
        <f t="shared" si="106"/>
        <v>N/D</v>
      </c>
      <c r="BE200" s="806" t="str">
        <f t="shared" si="107"/>
        <v/>
      </c>
      <c r="BF200" s="890" t="str">
        <f>IF(ISNUMBER('Base de datos Rutas'!CX198),'Base de datos Rutas'!CX198/100,"")</f>
        <v/>
      </c>
      <c r="BG200" s="891" t="str">
        <f>IF(ISNUMBER('Base de datos Rutas'!CZ198),'Base de datos Rutas'!CZ198/100,"")</f>
        <v/>
      </c>
      <c r="BH200" s="892" t="str">
        <f>IF(ISNUMBER('Base de datos Rutas'!DA198),'Base de datos Rutas'!DA198,"")</f>
        <v/>
      </c>
      <c r="BI200" s="893" t="str">
        <f>IF(ISNUMBER('Base de datos Rutas'!DC198),'Base de datos Rutas'!DC198,"")</f>
        <v/>
      </c>
      <c r="BJ200" s="805" t="str">
        <f t="shared" si="108"/>
        <v>Sin dato</v>
      </c>
      <c r="BK200" s="783">
        <f t="shared" ref="BK200:BK263" si="132">IF(NOT(ISNUMBER($BF200)),0,MIN(5,1+INT(5*COUNTIFS($C$8:$C$796,$C200,$BF$8:$BF$796,"&lt;"&amp;$BF200)/COUNTIFS($C$8:$C$796,$C200,$BF$8:$BF$796,"&gt;=-1E+300"))))</f>
        <v>0</v>
      </c>
      <c r="BL200" s="797">
        <f t="shared" ref="BL200:BL263" si="133">IF(NOT(ISNUMBER($BG200)),0,MIN(5,1+INT(5*COUNTIFS($C$8:$C$796,$C200,$BG$8:$BG$796,"&lt;"&amp;$BG200)/COUNTIFS($C$8:$C$796,$C200,$BG$8:$BG$796,"&gt;=-1E+300"))))</f>
        <v>0</v>
      </c>
      <c r="BM200" s="797">
        <f t="shared" ref="BM200:BM263" si="134">IF(NOT(ISNUMBER($BH200)),0,MIN(5,1+INT(5*COUNTIFS($C$8:$C$796,$C200,$BH$8:$BH$796,"&lt;"&amp;$BH200)/COUNTIFS($C$8:$C$796,$C200,$BH$8:$BH$796,"&gt;=-1E+300"))))</f>
        <v>0</v>
      </c>
      <c r="BN200" s="797">
        <f t="shared" ref="BN200:BN263" si="135">IF(NOT(ISNUMBER($BI200)),0,MIN(5,1+INT(5*COUNTIFS($C$8:$C$796,$C200,$BI$8:$BI$796,"&lt;"&amp;$BI200)/COUNTIFS($C$8:$C$796,$C200,$BI$8:$BI$796,"&gt;=-1E+300"))))</f>
        <v>0</v>
      </c>
      <c r="BO200" s="798" cm="1">
        <f t="array" ref="BO200">SUMPRODUCT(--ISNUMBER($BF200:$BI200),$BK$3:$BN$3)</f>
        <v>0</v>
      </c>
      <c r="BP200" s="831" t="str">
        <f t="shared" si="109"/>
        <v/>
      </c>
      <c r="BQ200" s="834" t="str">
        <f t="shared" si="110"/>
        <v>Sin datos</v>
      </c>
      <c r="BR200" s="836" t="str">
        <f t="shared" ref="BR200:BR263" si="136">IF(OR(NOT(ISNUMBER($AJ200)),$BD200="N/D"),"",$AJ200*$BS$3+IF($BD200="Saturada",100,0)*$BU$3)</f>
        <v/>
      </c>
      <c r="BS200" s="836" t="str">
        <f t="shared" ref="BS200:BS263" si="137">IF(ISNUMBER($BP200),$BP200,"")</f>
        <v/>
      </c>
      <c r="BT200" s="837" t="str">
        <f t="shared" ref="BT200:BT263" si="138">IF(OR(NOT(ISNUMBER($BR200)),NOT(ISNUMBER($BS200))),"Sin datos",IF($BR200&gt;=$BS$4,IF($BS200&gt;=$BU$4,"P1","P2"),IF($BS200&gt;=$BU$4,"P3","P4")))</f>
        <v>Sin datos</v>
      </c>
      <c r="BU200" s="807" t="str">
        <f t="shared" si="111"/>
        <v>Con espacio</v>
      </c>
      <c r="BV200" s="807" t="str">
        <f t="shared" ref="BV200:BV263" si="139">IF($BU200="No evaluable","No evaluable",IF($BQ200="Sin datos","Sin datos de zona",IF($BQ200="Alto","Zona atractiva","Zona de bajo potencial")))</f>
        <v>Sin datos de zona</v>
      </c>
      <c r="BW200" s="808" t="str">
        <f t="shared" ref="BW200:BW263" si="140">IFERROR(IF($BT200="P1","P1 - Ampliar cobertura",IF($BT200="P2","P2 - Mantener",IF($BT200="P3","P3 - Desarrollar",IF($BT200="P4","P4 - Evaluar","Sin datos")))),"Sin datos")</f>
        <v>Sin datos</v>
      </c>
    </row>
    <row r="201" spans="1:75">
      <c r="A201" s="780" t="str">
        <f>'Base de datos Rutas'!A199</f>
        <v>Norte</v>
      </c>
      <c r="B201" s="781" t="str">
        <f>'Base de datos Rutas'!B199</f>
        <v>Juárez</v>
      </c>
      <c r="C201" s="781" t="str">
        <f>'Base de datos Rutas'!C199</f>
        <v>Planta Cd. Juárez</v>
      </c>
      <c r="D201" s="782">
        <f>IF(ISNUMBER('Base de datos Rutas'!D199),'Base de datos Rutas'!D199,"Sin código")</f>
        <v>301404</v>
      </c>
      <c r="E201" s="783" t="str">
        <f>'Base de datos Rutas'!F199</f>
        <v>Activa</v>
      </c>
      <c r="F201" s="784" t="str">
        <f>'Base de datos Rutas'!H199</f>
        <v>Sí</v>
      </c>
      <c r="G201" s="785">
        <f>IF(ISNUMBER('Base de datos Rutas'!BE199),'Base de datos Rutas'!BE199,"")</f>
        <v>25.950331125827802</v>
      </c>
      <c r="H201" s="786">
        <f>IF(ISNUMBER('Base de datos Rutas'!BH199),'Base de datos Rutas'!BH199,"")</f>
        <v>0.50082939900472101</v>
      </c>
      <c r="I201" s="788">
        <f>IFERROR(IF(OR(NOT(ISNUMBER('Base de datos Rutas'!O199)),N('Base de datos Rutas'!BK199)=0),"",'Base de datos Rutas'!O199/('Base de datos Rutas'!L199/'Base de datos Rutas'!BK199)),"")</f>
        <v>2097.8883720930253</v>
      </c>
      <c r="J201" s="788">
        <f>IFERROR(IF(OR(NOT(ISNUMBER('Base de datos Rutas'!N199)),N('Base de datos Rutas'!BK199)=0),"",'Base de datos Rutas'!N199/('Base de datos Rutas'!L199/'Base de datos Rutas'!BK199)),"")</f>
        <v>6061.9069767441924</v>
      </c>
      <c r="K201" s="788">
        <f>IFERROR(IF(OR(NOT(ISNUMBER('Base de datos Rutas'!J199)),N('Base de datos Rutas'!BK199)=0),"",'Base de datos Rutas'!J199/('Base de datos Rutas'!L199/'Base de datos Rutas'!BK199)),"")</f>
        <v>391.19412558139572</v>
      </c>
      <c r="L201" s="788">
        <f>IFERROR(IF(OR(NOT(ISNUMBER('Base de datos Rutas'!K199)),N('Base de datos Rutas'!BK199)=0),"",'Base de datos Rutas'!K199/('Base de datos Rutas'!L199/'Base de datos Rutas'!BK199)),"")</f>
        <v>10.679191093023267</v>
      </c>
      <c r="M201" s="787">
        <f>IF(ISNUMBER('Base de datos Rutas'!AX199),'Base de datos Rutas'!AX199,"")</f>
        <v>609.36272664119497</v>
      </c>
      <c r="N201" s="790">
        <f>IFERROR(INDEX('Hoja de apoyo v2'!B$17:B$20,MATCH($A201,'Hoja de apoyo v2'!$A$17:$A$20,0)),"")</f>
        <v>74.190366972477051</v>
      </c>
      <c r="O201" s="791">
        <f>IFERROR(INDEX('Hoja de apoyo v2'!C$17:C$20,MATCH($A201,'Hoja de apoyo v2'!$A$17:$A$20,0)),"")</f>
        <v>0.71677657005077755</v>
      </c>
      <c r="P201" s="793">
        <f>IFERROR(INDEX('Hoja de apoyo v2'!D$17:D$20,MATCH($A201,'Hoja de apoyo v2'!$A$17:$A$20,0)),"")</f>
        <v>8755.1153350385739</v>
      </c>
      <c r="Q201" s="793">
        <f>IFERROR(INDEX('Hoja de apoyo v2'!E$17:E$20,MATCH($A201,'Hoja de apoyo v2'!$A$17:$A$20,0)),"")</f>
        <v>6098.2042779326393</v>
      </c>
      <c r="R201" s="793">
        <f>IFERROR(INDEX('Hoja de apoyo v2'!F$17:F$20,MATCH($A201,'Hoja de apoyo v2'!$A$17:$A$20,0)),"")</f>
        <v>389.08889713610301</v>
      </c>
      <c r="S201" s="793">
        <f>IFERROR(INDEX('Hoja de apoyo v2'!G$17:G$20,MATCH($A201,'Hoja de apoyo v2'!$A$17:$A$20,0)),"")</f>
        <v>67.90575167807188</v>
      </c>
      <c r="T201" s="792">
        <f>IFERROR(INDEX('Hoja de apoyo v2'!H$17:H$20,MATCH($A201,'Hoja de apoyo v2'!$A$17:$A$20,0)),"")</f>
        <v>258.90325471200998</v>
      </c>
      <c r="U201" s="794">
        <f t="shared" si="112"/>
        <v>0.34978033112378037</v>
      </c>
      <c r="V201" s="795">
        <f t="shared" si="113"/>
        <v>0.69872456764210567</v>
      </c>
      <c r="W201" s="795">
        <f t="shared" si="114"/>
        <v>0.23961858774117248</v>
      </c>
      <c r="X201" s="843">
        <f t="shared" si="115"/>
        <v>0.99404787056416022</v>
      </c>
      <c r="Y201" s="843">
        <f t="shared" si="116"/>
        <v>1.0054106618327798</v>
      </c>
      <c r="Z201" s="843">
        <f t="shared" si="117"/>
        <v>0.15726489773136243</v>
      </c>
      <c r="AA201" s="843">
        <f t="shared" si="118"/>
        <v>2.3536310013522899</v>
      </c>
      <c r="AB201" s="796">
        <f t="shared" si="119"/>
        <v>1</v>
      </c>
      <c r="AC201" s="797">
        <f t="shared" si="120"/>
        <v>2</v>
      </c>
      <c r="AD201" s="797">
        <f t="shared" si="121"/>
        <v>1</v>
      </c>
      <c r="AE201" s="842">
        <f t="shared" si="122"/>
        <v>3</v>
      </c>
      <c r="AF201" s="842">
        <f t="shared" si="123"/>
        <v>4</v>
      </c>
      <c r="AG201" s="842">
        <f t="shared" si="124"/>
        <v>1</v>
      </c>
      <c r="AH201" s="842">
        <f t="shared" si="125"/>
        <v>5</v>
      </c>
      <c r="AI201" s="826" cm="1">
        <f t="array" ref="AI201">SUMPRODUCT(--ISNUMBER($U201:$AA201),$AB$3:$AH$3)</f>
        <v>1</v>
      </c>
      <c r="AJ201" s="829">
        <f t="shared" si="126"/>
        <v>26.958845775753492</v>
      </c>
      <c r="AK201" s="827" t="str">
        <f t="shared" si="127"/>
        <v>Inmadura</v>
      </c>
      <c r="AL201" s="784" t="str">
        <f t="shared" si="128"/>
        <v>Alta</v>
      </c>
      <c r="AM201" s="799">
        <f>IF(ISNUMBER('Base de datos Rutas'!W199),'Base de datos Rutas'!W199,"")</f>
        <v>2501.4542944353198</v>
      </c>
      <c r="AN201" s="787">
        <f>IFERROR(SUMIFS('Base de datos Rutas'!$W$6:$W$794,'Base de datos Rutas'!$C$6:$C$794,$C201)/'Base de datos Rutas'!I199,"")</f>
        <v>2501.4542944353188</v>
      </c>
      <c r="AO201" s="800">
        <f>IFERROR('Base de datos Rutas'!X199*AN201/AM201,"")</f>
        <v>0.63513109235883425</v>
      </c>
      <c r="AP201" s="800">
        <f t="shared" si="129"/>
        <v>0.36486890764116575</v>
      </c>
      <c r="AQ201" s="789">
        <f>IFERROR(INDEX('Hoja de apoyo v2'!$J$17:$J$20,MATCH($A201,'Hoja de apoyo v2'!$A$17:$A$20,0)),"")</f>
        <v>0.62197445417222763</v>
      </c>
      <c r="AR201" s="789">
        <f t="shared" si="130"/>
        <v>-0.25710554653106188</v>
      </c>
      <c r="AS201" s="784" t="str">
        <f t="shared" si="131"/>
        <v>Sí</v>
      </c>
      <c r="AT201" s="801" t="str">
        <f>IF(ISNUMBER('Base de datos Rutas'!CK199),'Base de datos Rutas'!CK199,"")</f>
        <v/>
      </c>
      <c r="AU201" s="802" t="str">
        <f>IF(ISNUMBER('Base de datos Rutas'!CL199),'Base de datos Rutas'!CL199,"")</f>
        <v/>
      </c>
      <c r="AV201" s="802">
        <f>IF(ISNUMBER('Base de datos Rutas'!CM199),'Base de datos Rutas'!CM199,"")</f>
        <v>0</v>
      </c>
      <c r="AW201" s="802" t="str">
        <f>IF(ISNUMBER('Base de datos Rutas'!CN199),'Base de datos Rutas'!CN199,"")</f>
        <v/>
      </c>
      <c r="AX201" s="802" t="str">
        <f>IF(ISNUMBER('Base de datos Rutas'!CO199),'Base de datos Rutas'!CO199,"")</f>
        <v/>
      </c>
      <c r="AY201" s="802">
        <f>IF(ISNUMBER('Base de datos Rutas'!CP199),'Base de datos Rutas'!CP199,"")</f>
        <v>0</v>
      </c>
      <c r="AZ201" s="802" t="str">
        <f>IF(ISNUMBER('Base de datos Rutas'!CQ199),'Base de datos Rutas'!CQ199,"")</f>
        <v/>
      </c>
      <c r="BA201" s="802" t="str">
        <f>IF(ISNUMBER('Base de datos Rutas'!CR199),'Base de datos Rutas'!CR199,"")</f>
        <v/>
      </c>
      <c r="BB201" s="803">
        <f>IF(ISNUMBER('Base de datos Rutas'!CS199),'Base de datos Rutas'!CS199,"")</f>
        <v>0</v>
      </c>
      <c r="BC201" s="804" t="str">
        <f t="shared" ref="BC201:BC264" si="141">IF(OR(COUNT($AV201,$AY201,$BB201)&lt;3,NOT(ISNUMBER($AT201)),N($AT201)&lt;=0,N($AZ201)&lt;=0),"",COUNTIF($AV201,"&lt;="&amp;$BC$4)+COUNTIF($AY201,"&lt;="&amp;$BC$4)+COUNTIF($BB201,"&lt;="&amp;$BC$4))</f>
        <v/>
      </c>
      <c r="BD201" s="805" t="str">
        <f t="shared" ref="BD201:BD264" si="142">IF(NOT(ISNUMBER($BC201)),"N/D",IF($BC201&gt;=1,"Saturada","No saturada"))</f>
        <v>N/D</v>
      </c>
      <c r="BE201" s="806" t="str">
        <f t="shared" ref="BE201:BE264" si="143">IF(AND(ISNUMBER($AZ201),ISNUMBER($BA201),$AZ201&lt;&gt;0),$BA201/$AZ201,"")</f>
        <v/>
      </c>
      <c r="BF201" s="890" t="str">
        <f>IF(ISNUMBER('Base de datos Rutas'!CX199),'Base de datos Rutas'!CX199/100,"")</f>
        <v/>
      </c>
      <c r="BG201" s="891" t="str">
        <f>IF(ISNUMBER('Base de datos Rutas'!CZ199),'Base de datos Rutas'!CZ199/100,"")</f>
        <v/>
      </c>
      <c r="BH201" s="892" t="str">
        <f>IF(ISNUMBER('Base de datos Rutas'!DA199),'Base de datos Rutas'!DA199,"")</f>
        <v/>
      </c>
      <c r="BI201" s="893" t="str">
        <f>IF(ISNUMBER('Base de datos Rutas'!DC199),'Base de datos Rutas'!DC199,"")</f>
        <v/>
      </c>
      <c r="BJ201" s="805" t="str">
        <f t="shared" ref="BJ201:BJ264" si="144">IF(COUNT($BF201:$BI201)=4,"Ruta (completo)",IF(COUNT($BF201:$BI201)=0,"Sin dato","Ruta (parcial)"))</f>
        <v>Sin dato</v>
      </c>
      <c r="BK201" s="783">
        <f t="shared" si="132"/>
        <v>0</v>
      </c>
      <c r="BL201" s="797">
        <f t="shared" si="133"/>
        <v>0</v>
      </c>
      <c r="BM201" s="797">
        <f t="shared" si="134"/>
        <v>0</v>
      </c>
      <c r="BN201" s="797">
        <f t="shared" si="135"/>
        <v>0</v>
      </c>
      <c r="BO201" s="798" cm="1">
        <f t="array" ref="BO201">SUMPRODUCT(--ISNUMBER($BF201:$BI201),$BK$3:$BN$3)</f>
        <v>0</v>
      </c>
      <c r="BP201" s="831" t="str">
        <f t="shared" ref="BP201:BP264" si="145">IF(BO201&lt;$BO$4,"",(SUMPRODUCT($BK201:$BN201,$BK$3:$BN$3)/BO201-1)/4*100)</f>
        <v/>
      </c>
      <c r="BQ201" s="834" t="str">
        <f t="shared" ref="BQ201:BQ264" si="146">IF(BP201="","Sin datos",IF(BP201&gt;=$BP$4,"Alto",IF(BP201&lt;$BQ$4,"Bajo","Medio")))</f>
        <v>Sin datos</v>
      </c>
      <c r="BR201" s="836" t="str">
        <f t="shared" si="136"/>
        <v/>
      </c>
      <c r="BS201" s="836" t="str">
        <f t="shared" si="137"/>
        <v/>
      </c>
      <c r="BT201" s="837" t="str">
        <f t="shared" si="138"/>
        <v>Sin datos</v>
      </c>
      <c r="BU201" s="807" t="str">
        <f t="shared" ref="BU201:BU264" si="147">IF(OR($AK201="Ruta inactiva",$AK201="No elegible",$AK201="Sin datos"),"No evaluable",IF($BD201="Saturada","Al tope","Con espacio"))</f>
        <v>Con espacio</v>
      </c>
      <c r="BV201" s="807" t="str">
        <f t="shared" si="139"/>
        <v>Sin datos de zona</v>
      </c>
      <c r="BW201" s="808" t="str">
        <f t="shared" si="140"/>
        <v>Sin datos</v>
      </c>
    </row>
    <row r="202" spans="1:75">
      <c r="A202" s="780" t="str">
        <f>'Base de datos Rutas'!A200</f>
        <v>Norte</v>
      </c>
      <c r="B202" s="781" t="str">
        <f>'Base de datos Rutas'!B200</f>
        <v>Juárez</v>
      </c>
      <c r="C202" s="781" t="str">
        <f>'Base de datos Rutas'!C200</f>
        <v>Suc. Casas Grandes</v>
      </c>
      <c r="D202" s="782">
        <f>IF(ISNUMBER('Base de datos Rutas'!D200),'Base de datos Rutas'!D200,"Sin código")</f>
        <v>305400</v>
      </c>
      <c r="E202" s="783" t="str">
        <f>'Base de datos Rutas'!F200</f>
        <v>Activa</v>
      </c>
      <c r="F202" s="784" t="str">
        <f>'Base de datos Rutas'!H200</f>
        <v>Sí</v>
      </c>
      <c r="G202" s="785">
        <f>IF(ISNUMBER('Base de datos Rutas'!BE200),'Base de datos Rutas'!BE200,"")</f>
        <v>25.883990719257501</v>
      </c>
      <c r="H202" s="786">
        <f>IF(ISNUMBER('Base de datos Rutas'!BH200),'Base de datos Rutas'!BH200,"")</f>
        <v>0.38858013624955201</v>
      </c>
      <c r="I202" s="788">
        <f>IFERROR(IF(OR(NOT(ISNUMBER('Base de datos Rutas'!O200)),N('Base de datos Rutas'!BK200)=0),"",'Base de datos Rutas'!O200/('Base de datos Rutas'!L200/'Base de datos Rutas'!BK200)),"")</f>
        <v>1733.2088167053389</v>
      </c>
      <c r="J202" s="788">
        <f>IFERROR(IF(OR(NOT(ISNUMBER('Base de datos Rutas'!N200)),N('Base de datos Rutas'!BK200)=0),"",'Base de datos Rutas'!N200/('Base de datos Rutas'!L200/'Base de datos Rutas'!BK200)),"")</f>
        <v>3196.4501160092855</v>
      </c>
      <c r="K202" s="788">
        <f>IFERROR(IF(OR(NOT(ISNUMBER('Base de datos Rutas'!J200)),N('Base de datos Rutas'!BK200)=0),"",'Base de datos Rutas'!J200/('Base de datos Rutas'!L200/'Base de datos Rutas'!BK200)),"")</f>
        <v>231.26046264501193</v>
      </c>
      <c r="L202" s="788">
        <f>IFERROR(IF(OR(NOT(ISNUMBER('Base de datos Rutas'!K200)),N('Base de datos Rutas'!BK200)=0),"",'Base de datos Rutas'!K200/('Base de datos Rutas'!L200/'Base de datos Rutas'!BK200)),"")</f>
        <v>14.277804538283082</v>
      </c>
      <c r="M202" s="787">
        <f>IF(ISNUMBER('Base de datos Rutas'!AX200),'Base de datos Rutas'!AX200,"")</f>
        <v>490.12290196078402</v>
      </c>
      <c r="N202" s="790">
        <f>IFERROR(INDEX('Hoja de apoyo v2'!B$17:B$20,MATCH($A202,'Hoja de apoyo v2'!$A$17:$A$20,0)),"")</f>
        <v>74.190366972477051</v>
      </c>
      <c r="O202" s="791">
        <f>IFERROR(INDEX('Hoja de apoyo v2'!C$17:C$20,MATCH($A202,'Hoja de apoyo v2'!$A$17:$A$20,0)),"")</f>
        <v>0.71677657005077755</v>
      </c>
      <c r="P202" s="793">
        <f>IFERROR(INDEX('Hoja de apoyo v2'!D$17:D$20,MATCH($A202,'Hoja de apoyo v2'!$A$17:$A$20,0)),"")</f>
        <v>8755.1153350385739</v>
      </c>
      <c r="Q202" s="793">
        <f>IFERROR(INDEX('Hoja de apoyo v2'!E$17:E$20,MATCH($A202,'Hoja de apoyo v2'!$A$17:$A$20,0)),"")</f>
        <v>6098.2042779326393</v>
      </c>
      <c r="R202" s="793">
        <f>IFERROR(INDEX('Hoja de apoyo v2'!F$17:F$20,MATCH($A202,'Hoja de apoyo v2'!$A$17:$A$20,0)),"")</f>
        <v>389.08889713610301</v>
      </c>
      <c r="S202" s="793">
        <f>IFERROR(INDEX('Hoja de apoyo v2'!G$17:G$20,MATCH($A202,'Hoja de apoyo v2'!$A$17:$A$20,0)),"")</f>
        <v>67.90575167807188</v>
      </c>
      <c r="T202" s="792">
        <f>IFERROR(INDEX('Hoja de apoyo v2'!H$17:H$20,MATCH($A202,'Hoja de apoyo v2'!$A$17:$A$20,0)),"")</f>
        <v>258.90325471200998</v>
      </c>
      <c r="U202" s="794">
        <f t="shared" si="112"/>
        <v>0.34888613947495201</v>
      </c>
      <c r="V202" s="795">
        <f t="shared" si="113"/>
        <v>0.54212170498545231</v>
      </c>
      <c r="W202" s="795">
        <f t="shared" si="114"/>
        <v>0.19796527519962165</v>
      </c>
      <c r="X202" s="843">
        <f t="shared" si="115"/>
        <v>0.52416251905108668</v>
      </c>
      <c r="Y202" s="843">
        <f t="shared" si="116"/>
        <v>0.59436407552929271</v>
      </c>
      <c r="Z202" s="843">
        <f t="shared" si="117"/>
        <v>0.21025913395335655</v>
      </c>
      <c r="AA202" s="843">
        <f t="shared" si="118"/>
        <v>1.8930735440385649</v>
      </c>
      <c r="AB202" s="796">
        <f t="shared" si="119"/>
        <v>1</v>
      </c>
      <c r="AC202" s="797">
        <f t="shared" si="120"/>
        <v>2</v>
      </c>
      <c r="AD202" s="797">
        <f t="shared" si="121"/>
        <v>1</v>
      </c>
      <c r="AE202" s="842">
        <f t="shared" si="122"/>
        <v>2</v>
      </c>
      <c r="AF202" s="842">
        <f t="shared" si="123"/>
        <v>2</v>
      </c>
      <c r="AG202" s="842">
        <f t="shared" si="124"/>
        <v>1</v>
      </c>
      <c r="AH202" s="842">
        <f t="shared" si="125"/>
        <v>5</v>
      </c>
      <c r="AI202" s="826" cm="1">
        <f t="array" ref="AI202">SUMPRODUCT(--ISNUMBER($U202:$AA202),$AB$3:$AH$3)</f>
        <v>1</v>
      </c>
      <c r="AJ202" s="829">
        <f t="shared" si="126"/>
        <v>17.697309105455222</v>
      </c>
      <c r="AK202" s="827" t="str">
        <f t="shared" si="127"/>
        <v>Inmadura</v>
      </c>
      <c r="AL202" s="784" t="str">
        <f t="shared" si="128"/>
        <v>Alta</v>
      </c>
      <c r="AM202" s="799">
        <f>IF(ISNUMBER('Base de datos Rutas'!W200),'Base de datos Rutas'!W200,"")</f>
        <v>1586.1500308831457</v>
      </c>
      <c r="AN202" s="787">
        <f>IFERROR(SUMIFS('Base de datos Rutas'!$W$6:$W$794,'Base de datos Rutas'!$C$6:$C$794,$C202)/'Base de datos Rutas'!I200,"")</f>
        <v>1586.1500308831457</v>
      </c>
      <c r="AO202" s="800">
        <f>IFERROR('Base de datos Rutas'!X200*AN202/AM202,"")</f>
        <v>0.98115541747850221</v>
      </c>
      <c r="AP202" s="800">
        <f t="shared" si="129"/>
        <v>1.8844582521497788E-2</v>
      </c>
      <c r="AQ202" s="789">
        <f>IFERROR(INDEX('Hoja de apoyo v2'!$J$17:$J$20,MATCH($A202,'Hoja de apoyo v2'!$A$17:$A$20,0)),"")</f>
        <v>0.62197445417222763</v>
      </c>
      <c r="AR202" s="789">
        <f t="shared" si="130"/>
        <v>-0.60312987165072984</v>
      </c>
      <c r="AS202" s="784" t="str">
        <f t="shared" si="131"/>
        <v>Sí</v>
      </c>
      <c r="AT202" s="801" t="str">
        <f>IF(ISNUMBER('Base de datos Rutas'!CK200),'Base de datos Rutas'!CK200,"")</f>
        <v/>
      </c>
      <c r="AU202" s="802" t="str">
        <f>IF(ISNUMBER('Base de datos Rutas'!CL200),'Base de datos Rutas'!CL200,"")</f>
        <v/>
      </c>
      <c r="AV202" s="802">
        <f>IF(ISNUMBER('Base de datos Rutas'!CM200),'Base de datos Rutas'!CM200,"")</f>
        <v>0</v>
      </c>
      <c r="AW202" s="802" t="str">
        <f>IF(ISNUMBER('Base de datos Rutas'!CN200),'Base de datos Rutas'!CN200,"")</f>
        <v/>
      </c>
      <c r="AX202" s="802" t="str">
        <f>IF(ISNUMBER('Base de datos Rutas'!CO200),'Base de datos Rutas'!CO200,"")</f>
        <v/>
      </c>
      <c r="AY202" s="802">
        <f>IF(ISNUMBER('Base de datos Rutas'!CP200),'Base de datos Rutas'!CP200,"")</f>
        <v>0</v>
      </c>
      <c r="AZ202" s="802" t="str">
        <f>IF(ISNUMBER('Base de datos Rutas'!CQ200),'Base de datos Rutas'!CQ200,"")</f>
        <v/>
      </c>
      <c r="BA202" s="802" t="str">
        <f>IF(ISNUMBER('Base de datos Rutas'!CR200),'Base de datos Rutas'!CR200,"")</f>
        <v/>
      </c>
      <c r="BB202" s="803">
        <f>IF(ISNUMBER('Base de datos Rutas'!CS200),'Base de datos Rutas'!CS200,"")</f>
        <v>0</v>
      </c>
      <c r="BC202" s="804" t="str">
        <f t="shared" si="141"/>
        <v/>
      </c>
      <c r="BD202" s="805" t="str">
        <f t="shared" si="142"/>
        <v>N/D</v>
      </c>
      <c r="BE202" s="806" t="str">
        <f t="shared" si="143"/>
        <v/>
      </c>
      <c r="BF202" s="890" t="str">
        <f>IF(ISNUMBER('Base de datos Rutas'!CX200),'Base de datos Rutas'!CX200/100,"")</f>
        <v/>
      </c>
      <c r="BG202" s="891" t="str">
        <f>IF(ISNUMBER('Base de datos Rutas'!CZ200),'Base de datos Rutas'!CZ200/100,"")</f>
        <v/>
      </c>
      <c r="BH202" s="892" t="str">
        <f>IF(ISNUMBER('Base de datos Rutas'!DA200),'Base de datos Rutas'!DA200,"")</f>
        <v/>
      </c>
      <c r="BI202" s="893" t="str">
        <f>IF(ISNUMBER('Base de datos Rutas'!DC200),'Base de datos Rutas'!DC200,"")</f>
        <v/>
      </c>
      <c r="BJ202" s="805" t="str">
        <f t="shared" si="144"/>
        <v>Sin dato</v>
      </c>
      <c r="BK202" s="783">
        <f t="shared" si="132"/>
        <v>0</v>
      </c>
      <c r="BL202" s="797">
        <f t="shared" si="133"/>
        <v>0</v>
      </c>
      <c r="BM202" s="797">
        <f t="shared" si="134"/>
        <v>0</v>
      </c>
      <c r="BN202" s="797">
        <f t="shared" si="135"/>
        <v>0</v>
      </c>
      <c r="BO202" s="798" cm="1">
        <f t="array" ref="BO202">SUMPRODUCT(--ISNUMBER($BF202:$BI202),$BK$3:$BN$3)</f>
        <v>0</v>
      </c>
      <c r="BP202" s="831" t="str">
        <f t="shared" si="145"/>
        <v/>
      </c>
      <c r="BQ202" s="834" t="str">
        <f t="shared" si="146"/>
        <v>Sin datos</v>
      </c>
      <c r="BR202" s="836" t="str">
        <f t="shared" si="136"/>
        <v/>
      </c>
      <c r="BS202" s="836" t="str">
        <f t="shared" si="137"/>
        <v/>
      </c>
      <c r="BT202" s="837" t="str">
        <f t="shared" si="138"/>
        <v>Sin datos</v>
      </c>
      <c r="BU202" s="807" t="str">
        <f t="shared" si="147"/>
        <v>Con espacio</v>
      </c>
      <c r="BV202" s="807" t="str">
        <f t="shared" si="139"/>
        <v>Sin datos de zona</v>
      </c>
      <c r="BW202" s="808" t="str">
        <f t="shared" si="140"/>
        <v>Sin datos</v>
      </c>
    </row>
    <row r="203" spans="1:75">
      <c r="A203" s="780" t="str">
        <f>'Base de datos Rutas'!A201</f>
        <v>Norte</v>
      </c>
      <c r="B203" s="781" t="str">
        <f>'Base de datos Rutas'!B201</f>
        <v>Comarca</v>
      </c>
      <c r="C203" s="781" t="str">
        <f>'Base de datos Rutas'!C201</f>
        <v>Suc. Estadio</v>
      </c>
      <c r="D203" s="782">
        <f>IF(ISNUMBER('Base de datos Rutas'!D201),'Base de datos Rutas'!D201,"Sin código")</f>
        <v>217340</v>
      </c>
      <c r="E203" s="783" t="str">
        <f>'Base de datos Rutas'!F201</f>
        <v>Activa</v>
      </c>
      <c r="F203" s="784" t="str">
        <f>'Base de datos Rutas'!H201</f>
        <v>Sí</v>
      </c>
      <c r="G203" s="785">
        <f>IF(ISNUMBER('Base de datos Rutas'!BE201),'Base de datos Rutas'!BE201,"")</f>
        <v>54.589449541284402</v>
      </c>
      <c r="H203" s="786">
        <f>IF(ISNUMBER('Base de datos Rutas'!BH201),'Base de datos Rutas'!BH201,"")</f>
        <v>0.58392504516617005</v>
      </c>
      <c r="I203" s="788">
        <f>IFERROR(IF(OR(NOT(ISNUMBER('Base de datos Rutas'!O201)),N('Base de datos Rutas'!BK201)=0),"",'Base de datos Rutas'!O201/('Base de datos Rutas'!L201/'Base de datos Rutas'!BK201)),"")</f>
        <v>2570.6513761467904</v>
      </c>
      <c r="J203" s="788">
        <f>IFERROR(IF(OR(NOT(ISNUMBER('Base de datos Rutas'!N201)),N('Base de datos Rutas'!BK201)=0),"",'Base de datos Rutas'!N201/('Base de datos Rutas'!L201/'Base de datos Rutas'!BK201)),"")</f>
        <v>4683.6330275229384</v>
      </c>
      <c r="K203" s="788">
        <f>IFERROR(IF(OR(NOT(ISNUMBER('Base de datos Rutas'!J201)),N('Base de datos Rutas'!BK201)=0),"",'Base de datos Rutas'!J201/('Base de datos Rutas'!L201/'Base de datos Rutas'!BK201)),"")</f>
        <v>322.55812477064234</v>
      </c>
      <c r="L203" s="788">
        <f>IFERROR(IF(OR(NOT(ISNUMBER('Base de datos Rutas'!K201)),N('Base de datos Rutas'!BK201)=0),"",'Base de datos Rutas'!K201/('Base de datos Rutas'!L201/'Base de datos Rutas'!BK201)),"")</f>
        <v>23.990667165137626</v>
      </c>
      <c r="M203" s="787">
        <f>IF(ISNUMBER('Base de datos Rutas'!AX201),'Base de datos Rutas'!AX201,"")</f>
        <v>224.472522665132</v>
      </c>
      <c r="N203" s="790">
        <f>IFERROR(INDEX('Hoja de apoyo v2'!B$17:B$20,MATCH($A203,'Hoja de apoyo v2'!$A$17:$A$20,0)),"")</f>
        <v>74.190366972477051</v>
      </c>
      <c r="O203" s="791">
        <f>IFERROR(INDEX('Hoja de apoyo v2'!C$17:C$20,MATCH($A203,'Hoja de apoyo v2'!$A$17:$A$20,0)),"")</f>
        <v>0.71677657005077755</v>
      </c>
      <c r="P203" s="793">
        <f>IFERROR(INDEX('Hoja de apoyo v2'!D$17:D$20,MATCH($A203,'Hoja de apoyo v2'!$A$17:$A$20,0)),"")</f>
        <v>8755.1153350385739</v>
      </c>
      <c r="Q203" s="793">
        <f>IFERROR(INDEX('Hoja de apoyo v2'!E$17:E$20,MATCH($A203,'Hoja de apoyo v2'!$A$17:$A$20,0)),"")</f>
        <v>6098.2042779326393</v>
      </c>
      <c r="R203" s="793">
        <f>IFERROR(INDEX('Hoja de apoyo v2'!F$17:F$20,MATCH($A203,'Hoja de apoyo v2'!$A$17:$A$20,0)),"")</f>
        <v>389.08889713610301</v>
      </c>
      <c r="S203" s="793">
        <f>IFERROR(INDEX('Hoja de apoyo v2'!G$17:G$20,MATCH($A203,'Hoja de apoyo v2'!$A$17:$A$20,0)),"")</f>
        <v>67.90575167807188</v>
      </c>
      <c r="T203" s="792">
        <f>IFERROR(INDEX('Hoja de apoyo v2'!H$17:H$20,MATCH($A203,'Hoja de apoyo v2'!$A$17:$A$20,0)),"")</f>
        <v>258.90325471200998</v>
      </c>
      <c r="U203" s="794">
        <f t="shared" si="112"/>
        <v>0.73580239280304216</v>
      </c>
      <c r="V203" s="795">
        <f t="shared" si="113"/>
        <v>0.81465420266848831</v>
      </c>
      <c r="W203" s="795">
        <f t="shared" si="114"/>
        <v>0.29361707730552294</v>
      </c>
      <c r="X203" s="843">
        <f t="shared" si="115"/>
        <v>0.76803478762944022</v>
      </c>
      <c r="Y203" s="843">
        <f t="shared" si="116"/>
        <v>0.82900881301121199</v>
      </c>
      <c r="Z203" s="843">
        <f t="shared" si="117"/>
        <v>0.35329359549501449</v>
      </c>
      <c r="AA203" s="843">
        <f t="shared" si="118"/>
        <v>0.86701313552362691</v>
      </c>
      <c r="AB203" s="796">
        <f t="shared" si="119"/>
        <v>2</v>
      </c>
      <c r="AC203" s="797">
        <f t="shared" si="120"/>
        <v>3</v>
      </c>
      <c r="AD203" s="797">
        <f t="shared" si="121"/>
        <v>1</v>
      </c>
      <c r="AE203" s="842">
        <f t="shared" si="122"/>
        <v>3</v>
      </c>
      <c r="AF203" s="842">
        <f t="shared" si="123"/>
        <v>3</v>
      </c>
      <c r="AG203" s="842">
        <f t="shared" si="124"/>
        <v>1</v>
      </c>
      <c r="AH203" s="842">
        <f t="shared" si="125"/>
        <v>3</v>
      </c>
      <c r="AI203" s="826" cm="1">
        <f t="array" ref="AI203">SUMPRODUCT(--ISNUMBER($U203:$AA203),$AB$3:$AH$3)</f>
        <v>1</v>
      </c>
      <c r="AJ203" s="829">
        <f t="shared" si="126"/>
        <v>26.459887347087808</v>
      </c>
      <c r="AK203" s="827" t="str">
        <f t="shared" si="127"/>
        <v>Inmadura</v>
      </c>
      <c r="AL203" s="784" t="str">
        <f t="shared" si="128"/>
        <v>Alta</v>
      </c>
      <c r="AM203" s="799">
        <f>IF(ISNUMBER('Base de datos Rutas'!W201),'Base de datos Rutas'!W201,"")</f>
        <v>1969.9340858657986</v>
      </c>
      <c r="AN203" s="787">
        <f>IFERROR(SUMIFS('Base de datos Rutas'!$W$6:$W$794,'Base de datos Rutas'!$C$6:$C$794,$C203)/'Base de datos Rutas'!I201,"")</f>
        <v>1969.9340858657988</v>
      </c>
      <c r="AO203" s="800">
        <f>IFERROR('Base de datos Rutas'!X201*AN203/AM203,"")</f>
        <v>0.5403238133625391</v>
      </c>
      <c r="AP203" s="800">
        <f t="shared" si="129"/>
        <v>0.4596761866374609</v>
      </c>
      <c r="AQ203" s="789">
        <f>IFERROR(INDEX('Hoja de apoyo v2'!$J$17:$J$20,MATCH($A203,'Hoja de apoyo v2'!$A$17:$A$20,0)),"")</f>
        <v>0.62197445417222763</v>
      </c>
      <c r="AR203" s="789">
        <f t="shared" si="130"/>
        <v>-0.16229826753476673</v>
      </c>
      <c r="AS203" s="784" t="str">
        <f t="shared" si="131"/>
        <v>No</v>
      </c>
      <c r="AT203" s="801">
        <f>IF(ISNUMBER('Base de datos Rutas'!CK201),'Base de datos Rutas'!CK201,"")</f>
        <v>268</v>
      </c>
      <c r="AU203" s="802">
        <f>IF(ISNUMBER('Base de datos Rutas'!CL201),'Base de datos Rutas'!CL201,"")</f>
        <v>412.57</v>
      </c>
      <c r="AV203" s="802">
        <f>IF(ISNUMBER('Base de datos Rutas'!CM201),'Base de datos Rutas'!CM201,"")</f>
        <v>144.57</v>
      </c>
      <c r="AW203" s="802">
        <f>IF(ISNUMBER('Base de datos Rutas'!CN201),'Base de datos Rutas'!CN201,"")</f>
        <v>6.28</v>
      </c>
      <c r="AX203" s="802">
        <f>IF(ISNUMBER('Base de datos Rutas'!CO201),'Base de datos Rutas'!CO201,"")</f>
        <v>9.4499999999999993</v>
      </c>
      <c r="AY203" s="802">
        <f>IF(ISNUMBER('Base de datos Rutas'!CP201),'Base de datos Rutas'!CP201,"")</f>
        <v>3.169999999999999</v>
      </c>
      <c r="AZ203" s="802">
        <f>IF(ISNUMBER('Base de datos Rutas'!CQ201),'Base de datos Rutas'!CQ201,"")</f>
        <v>609.19000000000005</v>
      </c>
      <c r="BA203" s="802">
        <f>IF(ISNUMBER('Base de datos Rutas'!CR201),'Base de datos Rutas'!CR201,"")</f>
        <v>346.55</v>
      </c>
      <c r="BB203" s="803">
        <f>IF(ISNUMBER('Base de datos Rutas'!CS201),'Base de datos Rutas'!CS201,"")</f>
        <v>262.64000000000004</v>
      </c>
      <c r="BC203" s="804">
        <f t="shared" si="141"/>
        <v>0</v>
      </c>
      <c r="BD203" s="805" t="str">
        <f t="shared" si="142"/>
        <v>No saturada</v>
      </c>
      <c r="BE203" s="806">
        <f t="shared" si="143"/>
        <v>0.56887013903708195</v>
      </c>
      <c r="BF203" s="890">
        <f>IF(ISNUMBER('Base de datos Rutas'!CX201),'Base de datos Rutas'!CX201/100,"")</f>
        <v>0.91606216696269982</v>
      </c>
      <c r="BG203" s="891">
        <f>IF(ISNUMBER('Base de datos Rutas'!CZ201),'Base de datos Rutas'!CZ201/100,"")</f>
        <v>0.94174067495559499</v>
      </c>
      <c r="BH203" s="892">
        <f>IF(ISNUMBER('Base de datos Rutas'!DA201),'Base de datos Rutas'!DA201,"")</f>
        <v>161.89057020695915</v>
      </c>
      <c r="BI203" s="893">
        <f>IF(ISNUMBER('Base de datos Rutas'!DC201),'Base de datos Rutas'!DC201,"")</f>
        <v>7.5954521289031049</v>
      </c>
      <c r="BJ203" s="805" t="str">
        <f t="shared" si="144"/>
        <v>Ruta (completo)</v>
      </c>
      <c r="BK203" s="783">
        <f t="shared" si="132"/>
        <v>5</v>
      </c>
      <c r="BL203" s="797">
        <f t="shared" si="133"/>
        <v>5</v>
      </c>
      <c r="BM203" s="797">
        <f t="shared" si="134"/>
        <v>4</v>
      </c>
      <c r="BN203" s="797">
        <f t="shared" si="135"/>
        <v>4</v>
      </c>
      <c r="BO203" s="798" cm="1">
        <f t="array" ref="BO203">SUMPRODUCT(--ISNUMBER($BF203:$BI203),$BK$3:$BN$3)</f>
        <v>1</v>
      </c>
      <c r="BP203" s="831">
        <f t="shared" si="145"/>
        <v>87.5</v>
      </c>
      <c r="BQ203" s="834" t="str">
        <f t="shared" si="146"/>
        <v>Alto</v>
      </c>
      <c r="BR203" s="836">
        <f t="shared" si="136"/>
        <v>19.844915510315857</v>
      </c>
      <c r="BS203" s="836">
        <f t="shared" si="137"/>
        <v>87.5</v>
      </c>
      <c r="BT203" s="837" t="str">
        <f t="shared" si="138"/>
        <v>P3</v>
      </c>
      <c r="BU203" s="807" t="str">
        <f t="shared" si="147"/>
        <v>Con espacio</v>
      </c>
      <c r="BV203" s="807" t="str">
        <f t="shared" si="139"/>
        <v>Zona atractiva</v>
      </c>
      <c r="BW203" s="808" t="str">
        <f t="shared" si="140"/>
        <v>P3 - Desarrollar</v>
      </c>
    </row>
    <row r="204" spans="1:75">
      <c r="A204" s="780" t="str">
        <f>'Base de datos Rutas'!A202</f>
        <v>Norte</v>
      </c>
      <c r="B204" s="781" t="str">
        <f>'Base de datos Rutas'!B202</f>
        <v>Comarca</v>
      </c>
      <c r="C204" s="781" t="str">
        <f>'Base de datos Rutas'!C202</f>
        <v>Suc. Estadio</v>
      </c>
      <c r="D204" s="782">
        <f>IF(ISNUMBER('Base de datos Rutas'!D202),'Base de datos Rutas'!D202,"Sin código")</f>
        <v>217341</v>
      </c>
      <c r="E204" s="783" t="str">
        <f>'Base de datos Rutas'!F202</f>
        <v>Activa</v>
      </c>
      <c r="F204" s="784" t="str">
        <f>'Base de datos Rutas'!H202</f>
        <v>Sí</v>
      </c>
      <c r="G204" s="785">
        <f>IF(ISNUMBER('Base de datos Rutas'!BE202),'Base de datos Rutas'!BE202,"")</f>
        <v>66.0750670241287</v>
      </c>
      <c r="H204" s="786">
        <f>IF(ISNUMBER('Base de datos Rutas'!BH202),'Base de datos Rutas'!BH202,"")</f>
        <v>0.107644242473424</v>
      </c>
      <c r="I204" s="788">
        <f>IFERROR(IF(OR(NOT(ISNUMBER('Base de datos Rutas'!O202)),N('Base de datos Rutas'!BK202)=0),"",'Base de datos Rutas'!O202/('Base de datos Rutas'!L202/'Base de datos Rutas'!BK202)),"")</f>
        <v>513.759791122715</v>
      </c>
      <c r="J204" s="788">
        <f>IFERROR(IF(OR(NOT(ISNUMBER('Base de datos Rutas'!N202)),N('Base de datos Rutas'!BK202)=0),"",'Base de datos Rutas'!N202/('Base de datos Rutas'!L202/'Base de datos Rutas'!BK202)),"")</f>
        <v>673.27154046997339</v>
      </c>
      <c r="K204" s="788">
        <f>IFERROR(IF(OR(NOT(ISNUMBER('Base de datos Rutas'!J202)),N('Base de datos Rutas'!BK202)=0),"",'Base de datos Rutas'!J202/('Base de datos Rutas'!L202/'Base de datos Rutas'!BK202)),"")</f>
        <v>51.327713838120069</v>
      </c>
      <c r="L204" s="788">
        <f>IFERROR(IF(OR(NOT(ISNUMBER('Base de datos Rutas'!K202)),N('Base de datos Rutas'!BK202)=0),"",'Base de datos Rutas'!K202/('Base de datos Rutas'!L202/'Base de datos Rutas'!BK202)),"")</f>
        <v>5.8665185274151392</v>
      </c>
      <c r="M204" s="787">
        <f>IF(ISNUMBER('Base de datos Rutas'!AX202),'Base de datos Rutas'!AX202,"")</f>
        <v>185.04960966542799</v>
      </c>
      <c r="N204" s="790">
        <f>IFERROR(INDEX('Hoja de apoyo v2'!B$17:B$20,MATCH($A204,'Hoja de apoyo v2'!$A$17:$A$20,0)),"")</f>
        <v>74.190366972477051</v>
      </c>
      <c r="O204" s="791">
        <f>IFERROR(INDEX('Hoja de apoyo v2'!C$17:C$20,MATCH($A204,'Hoja de apoyo v2'!$A$17:$A$20,0)),"")</f>
        <v>0.71677657005077755</v>
      </c>
      <c r="P204" s="793">
        <f>IFERROR(INDEX('Hoja de apoyo v2'!D$17:D$20,MATCH($A204,'Hoja de apoyo v2'!$A$17:$A$20,0)),"")</f>
        <v>8755.1153350385739</v>
      </c>
      <c r="Q204" s="793">
        <f>IFERROR(INDEX('Hoja de apoyo v2'!E$17:E$20,MATCH($A204,'Hoja de apoyo v2'!$A$17:$A$20,0)),"")</f>
        <v>6098.2042779326393</v>
      </c>
      <c r="R204" s="793">
        <f>IFERROR(INDEX('Hoja de apoyo v2'!F$17:F$20,MATCH($A204,'Hoja de apoyo v2'!$A$17:$A$20,0)),"")</f>
        <v>389.08889713610301</v>
      </c>
      <c r="S204" s="793">
        <f>IFERROR(INDEX('Hoja de apoyo v2'!G$17:G$20,MATCH($A204,'Hoja de apoyo v2'!$A$17:$A$20,0)),"")</f>
        <v>67.90575167807188</v>
      </c>
      <c r="T204" s="792">
        <f>IFERROR(INDEX('Hoja de apoyo v2'!H$17:H$20,MATCH($A204,'Hoja de apoyo v2'!$A$17:$A$20,0)),"")</f>
        <v>258.90325471200998</v>
      </c>
      <c r="U204" s="794">
        <f t="shared" si="112"/>
        <v>0.89061517984728467</v>
      </c>
      <c r="V204" s="795">
        <f t="shared" si="113"/>
        <v>0.1501782382002223</v>
      </c>
      <c r="W204" s="795">
        <f t="shared" si="114"/>
        <v>5.8681099158866927E-2</v>
      </c>
      <c r="X204" s="843">
        <f t="shared" si="115"/>
        <v>0.11040488474718989</v>
      </c>
      <c r="Y204" s="843">
        <f t="shared" si="116"/>
        <v>0.13191770368139205</v>
      </c>
      <c r="Z204" s="843">
        <f t="shared" si="117"/>
        <v>8.6392071105068927E-2</v>
      </c>
      <c r="AA204" s="843">
        <f t="shared" si="118"/>
        <v>0.71474423862020275</v>
      </c>
      <c r="AB204" s="796">
        <f t="shared" si="119"/>
        <v>3</v>
      </c>
      <c r="AC204" s="797">
        <f t="shared" si="120"/>
        <v>1</v>
      </c>
      <c r="AD204" s="797">
        <f t="shared" si="121"/>
        <v>1</v>
      </c>
      <c r="AE204" s="842">
        <f t="shared" si="122"/>
        <v>1</v>
      </c>
      <c r="AF204" s="842">
        <f t="shared" si="123"/>
        <v>1</v>
      </c>
      <c r="AG204" s="842">
        <f t="shared" si="124"/>
        <v>1</v>
      </c>
      <c r="AH204" s="842">
        <f t="shared" si="125"/>
        <v>2</v>
      </c>
      <c r="AI204" s="826" cm="1">
        <f t="array" ref="AI204">SUMPRODUCT(--ISNUMBER($U204:$AA204),$AB$3:$AH$3)</f>
        <v>1</v>
      </c>
      <c r="AJ204" s="829">
        <f t="shared" si="126"/>
        <v>11.312000196600074</v>
      </c>
      <c r="AK204" s="827" t="str">
        <f t="shared" si="127"/>
        <v>Inmadura</v>
      </c>
      <c r="AL204" s="784" t="str">
        <f t="shared" si="128"/>
        <v>Alta</v>
      </c>
      <c r="AM204" s="799">
        <f>IF(ISNUMBER('Base de datos Rutas'!W202),'Base de datos Rutas'!W202,"")</f>
        <v>1969.9340858657986</v>
      </c>
      <c r="AN204" s="787">
        <f>IFERROR(SUMIFS('Base de datos Rutas'!$W$6:$W$794,'Base de datos Rutas'!$C$6:$C$794,$C204)/'Base de datos Rutas'!I202,"")</f>
        <v>1969.9340858657988</v>
      </c>
      <c r="AO204" s="800">
        <f>IFERROR('Base de datos Rutas'!X202*AN204/AM204,"")</f>
        <v>0.5403238133625391</v>
      </c>
      <c r="AP204" s="800">
        <f t="shared" si="129"/>
        <v>0.4596761866374609</v>
      </c>
      <c r="AQ204" s="789">
        <f>IFERROR(INDEX('Hoja de apoyo v2'!$J$17:$J$20,MATCH($A204,'Hoja de apoyo v2'!$A$17:$A$20,0)),"")</f>
        <v>0.62197445417222763</v>
      </c>
      <c r="AR204" s="789">
        <f t="shared" si="130"/>
        <v>-0.16229826753476673</v>
      </c>
      <c r="AS204" s="784" t="str">
        <f t="shared" si="131"/>
        <v>No</v>
      </c>
      <c r="AT204" s="801">
        <f>IF(ISNUMBER('Base de datos Rutas'!CK202),'Base de datos Rutas'!CK202,"")</f>
        <v>288</v>
      </c>
      <c r="AU204" s="802">
        <f>IF(ISNUMBER('Base de datos Rutas'!CL202),'Base de datos Rutas'!CL202,"")</f>
        <v>443.77</v>
      </c>
      <c r="AV204" s="802">
        <f>IF(ISNUMBER('Base de datos Rutas'!CM202),'Base de datos Rutas'!CM202,"")</f>
        <v>155.76999999999998</v>
      </c>
      <c r="AW204" s="802">
        <f>IF(ISNUMBER('Base de datos Rutas'!CN202),'Base de datos Rutas'!CN202,"")</f>
        <v>7.41</v>
      </c>
      <c r="AX204" s="802">
        <f>IF(ISNUMBER('Base de datos Rutas'!CO202),'Base de datos Rutas'!CO202,"")</f>
        <v>9.4499999999999993</v>
      </c>
      <c r="AY204" s="802">
        <f>IF(ISNUMBER('Base de datos Rutas'!CP202),'Base de datos Rutas'!CP202,"")</f>
        <v>2.0399999999999991</v>
      </c>
      <c r="AZ204" s="802">
        <f>IF(ISNUMBER('Base de datos Rutas'!CQ202),'Base de datos Rutas'!CQ202,"")</f>
        <v>609.19000000000005</v>
      </c>
      <c r="BA204" s="802">
        <f>IF(ISNUMBER('Base de datos Rutas'!CR202),'Base de datos Rutas'!CR202,"")</f>
        <v>57.19</v>
      </c>
      <c r="BB204" s="803">
        <f>IF(ISNUMBER('Base de datos Rutas'!CS202),'Base de datos Rutas'!CS202,"")</f>
        <v>552</v>
      </c>
      <c r="BC204" s="804">
        <f t="shared" si="141"/>
        <v>0</v>
      </c>
      <c r="BD204" s="805" t="str">
        <f t="shared" si="142"/>
        <v>No saturada</v>
      </c>
      <c r="BE204" s="806">
        <f t="shared" si="143"/>
        <v>9.3878757038034097E-2</v>
      </c>
      <c r="BF204" s="890">
        <f>IF(ISNUMBER('Base de datos Rutas'!CX202),'Base de datos Rutas'!CX202/100,"")</f>
        <v>0.59323827936201068</v>
      </c>
      <c r="BG204" s="891">
        <f>IF(ISNUMBER('Base de datos Rutas'!CZ202),'Base de datos Rutas'!CZ202/100,"")</f>
        <v>0.61833413887546318</v>
      </c>
      <c r="BH204" s="892">
        <f>IF(ISNUMBER('Base de datos Rutas'!DA202),'Base de datos Rutas'!DA202,"")</f>
        <v>213.38008446007004</v>
      </c>
      <c r="BI204" s="893">
        <f>IF(ISNUMBER('Base de datos Rutas'!DC202),'Base de datos Rutas'!DC202,"")</f>
        <v>10.430713352832177</v>
      </c>
      <c r="BJ204" s="805" t="str">
        <f t="shared" si="144"/>
        <v>Ruta (completo)</v>
      </c>
      <c r="BK204" s="783">
        <f t="shared" si="132"/>
        <v>4</v>
      </c>
      <c r="BL204" s="797">
        <f t="shared" si="133"/>
        <v>4</v>
      </c>
      <c r="BM204" s="797">
        <f t="shared" si="134"/>
        <v>5</v>
      </c>
      <c r="BN204" s="797">
        <f t="shared" si="135"/>
        <v>5</v>
      </c>
      <c r="BO204" s="798" cm="1">
        <f t="array" ref="BO204">SUMPRODUCT(--ISNUMBER($BF204:$BI204),$BK$3:$BN$3)</f>
        <v>1</v>
      </c>
      <c r="BP204" s="831">
        <f t="shared" si="145"/>
        <v>87.5</v>
      </c>
      <c r="BQ204" s="834" t="str">
        <f t="shared" si="146"/>
        <v>Alto</v>
      </c>
      <c r="BR204" s="836">
        <f t="shared" si="136"/>
        <v>8.4840001474500557</v>
      </c>
      <c r="BS204" s="836">
        <f t="shared" si="137"/>
        <v>87.5</v>
      </c>
      <c r="BT204" s="837" t="str">
        <f t="shared" si="138"/>
        <v>P3</v>
      </c>
      <c r="BU204" s="807" t="str">
        <f t="shared" si="147"/>
        <v>Con espacio</v>
      </c>
      <c r="BV204" s="807" t="str">
        <f t="shared" si="139"/>
        <v>Zona atractiva</v>
      </c>
      <c r="BW204" s="808" t="str">
        <f t="shared" si="140"/>
        <v>P3 - Desarrollar</v>
      </c>
    </row>
    <row r="205" spans="1:75">
      <c r="A205" s="780" t="str">
        <f>'Base de datos Rutas'!A203</f>
        <v>Norte</v>
      </c>
      <c r="B205" s="781" t="str">
        <f>'Base de datos Rutas'!B203</f>
        <v>Comarca</v>
      </c>
      <c r="C205" s="781" t="str">
        <f>'Base de datos Rutas'!C203</f>
        <v>Suc. Estadio</v>
      </c>
      <c r="D205" s="782">
        <f>IF(ISNUMBER('Base de datos Rutas'!D203),'Base de datos Rutas'!D203,"Sin código")</f>
        <v>217342</v>
      </c>
      <c r="E205" s="783" t="str">
        <f>'Base de datos Rutas'!F203</f>
        <v>Activa</v>
      </c>
      <c r="F205" s="784" t="str">
        <f>'Base de datos Rutas'!H203</f>
        <v>Sí</v>
      </c>
      <c r="G205" s="785">
        <f>IF(ISNUMBER('Base de datos Rutas'!BE203),'Base de datos Rutas'!BE203,"")</f>
        <v>59.155963302752298</v>
      </c>
      <c r="H205" s="786">
        <f>IF(ISNUMBER('Base de datos Rutas'!BH203),'Base de datos Rutas'!BH203,"")</f>
        <v>0.50763802729528495</v>
      </c>
      <c r="I205" s="788">
        <f>IFERROR(IF(OR(NOT(ISNUMBER('Base de datos Rutas'!O203)),N('Base de datos Rutas'!BK203)=0),"",'Base de datos Rutas'!O203/('Base de datos Rutas'!L203/'Base de datos Rutas'!BK203)),"")</f>
        <v>2960.5940366972468</v>
      </c>
      <c r="J205" s="788">
        <f>IFERROR(IF(OR(NOT(ISNUMBER('Base de datos Rutas'!N203)),N('Base de datos Rutas'!BK203)=0),"",'Base de datos Rutas'!N203/('Base de datos Rutas'!L203/'Base de datos Rutas'!BK203)),"")</f>
        <v>4158.1720183486232</v>
      </c>
      <c r="K205" s="788">
        <f>IFERROR(IF(OR(NOT(ISNUMBER('Base de datos Rutas'!J203)),N('Base de datos Rutas'!BK203)=0),"",'Base de datos Rutas'!J203/('Base de datos Rutas'!L203/'Base de datos Rutas'!BK203)),"")</f>
        <v>293.99404601834857</v>
      </c>
      <c r="L205" s="788">
        <f>IFERROR(IF(OR(NOT(ISNUMBER('Base de datos Rutas'!K203)),N('Base de datos Rutas'!BK203)=0),"",'Base de datos Rutas'!K203/('Base de datos Rutas'!L203/'Base de datos Rutas'!BK203)),"")</f>
        <v>27.363820791284397</v>
      </c>
      <c r="M205" s="787">
        <f>IF(ISNUMBER('Base de datos Rutas'!AX203),'Base de datos Rutas'!AX203,"")</f>
        <v>235.45583441533699</v>
      </c>
      <c r="N205" s="790">
        <f>IFERROR(INDEX('Hoja de apoyo v2'!B$17:B$20,MATCH($A205,'Hoja de apoyo v2'!$A$17:$A$20,0)),"")</f>
        <v>74.190366972477051</v>
      </c>
      <c r="O205" s="791">
        <f>IFERROR(INDEX('Hoja de apoyo v2'!C$17:C$20,MATCH($A205,'Hoja de apoyo v2'!$A$17:$A$20,0)),"")</f>
        <v>0.71677657005077755</v>
      </c>
      <c r="P205" s="793">
        <f>IFERROR(INDEX('Hoja de apoyo v2'!D$17:D$20,MATCH($A205,'Hoja de apoyo v2'!$A$17:$A$20,0)),"")</f>
        <v>8755.1153350385739</v>
      </c>
      <c r="Q205" s="793">
        <f>IFERROR(INDEX('Hoja de apoyo v2'!E$17:E$20,MATCH($A205,'Hoja de apoyo v2'!$A$17:$A$20,0)),"")</f>
        <v>6098.2042779326393</v>
      </c>
      <c r="R205" s="793">
        <f>IFERROR(INDEX('Hoja de apoyo v2'!F$17:F$20,MATCH($A205,'Hoja de apoyo v2'!$A$17:$A$20,0)),"")</f>
        <v>389.08889713610301</v>
      </c>
      <c r="S205" s="793">
        <f>IFERROR(INDEX('Hoja de apoyo v2'!G$17:G$20,MATCH($A205,'Hoja de apoyo v2'!$A$17:$A$20,0)),"")</f>
        <v>67.90575167807188</v>
      </c>
      <c r="T205" s="792">
        <f>IFERROR(INDEX('Hoja de apoyo v2'!H$17:H$20,MATCH($A205,'Hoja de apoyo v2'!$A$17:$A$20,0)),"")</f>
        <v>258.90325471200998</v>
      </c>
      <c r="U205" s="794">
        <f t="shared" si="112"/>
        <v>0.79735369586051275</v>
      </c>
      <c r="V205" s="795">
        <f t="shared" si="113"/>
        <v>0.70822352251179621</v>
      </c>
      <c r="W205" s="795">
        <f t="shared" si="114"/>
        <v>0.33815591495965175</v>
      </c>
      <c r="X205" s="843">
        <f t="shared" si="115"/>
        <v>0.68186827282838924</v>
      </c>
      <c r="Y205" s="843">
        <f t="shared" si="116"/>
        <v>0.75559608146698076</v>
      </c>
      <c r="Z205" s="843">
        <f t="shared" si="117"/>
        <v>0.40296764434640253</v>
      </c>
      <c r="AA205" s="843">
        <f t="shared" si="118"/>
        <v>0.90943559082424574</v>
      </c>
      <c r="AB205" s="796">
        <f t="shared" si="119"/>
        <v>3</v>
      </c>
      <c r="AC205" s="797">
        <f t="shared" si="120"/>
        <v>2</v>
      </c>
      <c r="AD205" s="797">
        <f t="shared" si="121"/>
        <v>1</v>
      </c>
      <c r="AE205" s="842">
        <f t="shared" si="122"/>
        <v>2</v>
      </c>
      <c r="AF205" s="842">
        <f t="shared" si="123"/>
        <v>3</v>
      </c>
      <c r="AG205" s="842">
        <f t="shared" si="124"/>
        <v>1</v>
      </c>
      <c r="AH205" s="842">
        <f t="shared" si="125"/>
        <v>3</v>
      </c>
      <c r="AI205" s="826" cm="1">
        <f t="array" ref="AI205">SUMPRODUCT(--ISNUMBER($U205:$AA205),$AB$3:$AH$3)</f>
        <v>1</v>
      </c>
      <c r="AJ205" s="829">
        <f t="shared" si="126"/>
        <v>25.201170293115393</v>
      </c>
      <c r="AK205" s="827" t="str">
        <f t="shared" si="127"/>
        <v>Inmadura</v>
      </c>
      <c r="AL205" s="784" t="str">
        <f t="shared" si="128"/>
        <v>Alta</v>
      </c>
      <c r="AM205" s="799">
        <f>IF(ISNUMBER('Base de datos Rutas'!W203),'Base de datos Rutas'!W203,"")</f>
        <v>1969.9340858657986</v>
      </c>
      <c r="AN205" s="787">
        <f>IFERROR(SUMIFS('Base de datos Rutas'!$W$6:$W$794,'Base de datos Rutas'!$C$6:$C$794,$C205)/'Base de datos Rutas'!I203,"")</f>
        <v>1969.9340858657988</v>
      </c>
      <c r="AO205" s="800">
        <f>IFERROR('Base de datos Rutas'!X203*AN205/AM205,"")</f>
        <v>0.5403238133625391</v>
      </c>
      <c r="AP205" s="800">
        <f t="shared" si="129"/>
        <v>0.4596761866374609</v>
      </c>
      <c r="AQ205" s="789">
        <f>IFERROR(INDEX('Hoja de apoyo v2'!$J$17:$J$20,MATCH($A205,'Hoja de apoyo v2'!$A$17:$A$20,0)),"")</f>
        <v>0.62197445417222763</v>
      </c>
      <c r="AR205" s="789">
        <f t="shared" si="130"/>
        <v>-0.16229826753476673</v>
      </c>
      <c r="AS205" s="784" t="str">
        <f t="shared" si="131"/>
        <v>No</v>
      </c>
      <c r="AT205" s="801">
        <f>IF(ISNUMBER('Base de datos Rutas'!CK203),'Base de datos Rutas'!CK203,"")</f>
        <v>264</v>
      </c>
      <c r="AU205" s="802">
        <f>IF(ISNUMBER('Base de datos Rutas'!CL203),'Base de datos Rutas'!CL203,"")</f>
        <v>373.76</v>
      </c>
      <c r="AV205" s="802">
        <f>IF(ISNUMBER('Base de datos Rutas'!CM203),'Base de datos Rutas'!CM203,"")</f>
        <v>109.75999999999999</v>
      </c>
      <c r="AW205" s="802">
        <f>IF(ISNUMBER('Base de datos Rutas'!CN203),'Base de datos Rutas'!CN203,"")</f>
        <v>6.36</v>
      </c>
      <c r="AX205" s="802">
        <f>IF(ISNUMBER('Base de datos Rutas'!CO203),'Base de datos Rutas'!CO203,"")</f>
        <v>9.4499999999999993</v>
      </c>
      <c r="AY205" s="802">
        <f>IF(ISNUMBER('Base de datos Rutas'!CP203),'Base de datos Rutas'!CP203,"")</f>
        <v>3.089999999999999</v>
      </c>
      <c r="AZ205" s="802">
        <f>IF(ISNUMBER('Base de datos Rutas'!CQ203),'Base de datos Rutas'!CQ203,"")</f>
        <v>609.19000000000005</v>
      </c>
      <c r="BA205" s="802">
        <f>IF(ISNUMBER('Base de datos Rutas'!CR203),'Base de datos Rutas'!CR203,"")</f>
        <v>321.36</v>
      </c>
      <c r="BB205" s="803">
        <f>IF(ISNUMBER('Base de datos Rutas'!CS203),'Base de datos Rutas'!CS203,"")</f>
        <v>287.83000000000004</v>
      </c>
      <c r="BC205" s="804">
        <f t="shared" si="141"/>
        <v>0</v>
      </c>
      <c r="BD205" s="805" t="str">
        <f t="shared" si="142"/>
        <v>No saturada</v>
      </c>
      <c r="BE205" s="806">
        <f t="shared" si="143"/>
        <v>0.52752014970698791</v>
      </c>
      <c r="BF205" s="890">
        <f>IF(ISNUMBER('Base de datos Rutas'!CX203),'Base de datos Rutas'!CX203/100,"")</f>
        <v>0.22792028985507243</v>
      </c>
      <c r="BG205" s="891">
        <f>IF(ISNUMBER('Base de datos Rutas'!CZ203),'Base de datos Rutas'!CZ203/100,"")</f>
        <v>0.23786231884057968</v>
      </c>
      <c r="BH205" s="892">
        <f>IF(ISNUMBER('Base de datos Rutas'!DA203),'Base de datos Rutas'!DA203,"")</f>
        <v>89.44387861263381</v>
      </c>
      <c r="BI205" s="893">
        <f>IF(ISNUMBER('Base de datos Rutas'!DC203),'Base de datos Rutas'!DC203,"")</f>
        <v>4.3280510073759437</v>
      </c>
      <c r="BJ205" s="805" t="str">
        <f t="shared" si="144"/>
        <v>Ruta (completo)</v>
      </c>
      <c r="BK205" s="783">
        <f t="shared" si="132"/>
        <v>2</v>
      </c>
      <c r="BL205" s="797">
        <f t="shared" si="133"/>
        <v>2</v>
      </c>
      <c r="BM205" s="797">
        <f t="shared" si="134"/>
        <v>3</v>
      </c>
      <c r="BN205" s="797">
        <f t="shared" si="135"/>
        <v>3</v>
      </c>
      <c r="BO205" s="798" cm="1">
        <f t="array" ref="BO205">SUMPRODUCT(--ISNUMBER($BF205:$BI205),$BK$3:$BN$3)</f>
        <v>1</v>
      </c>
      <c r="BP205" s="831">
        <f t="shared" si="145"/>
        <v>37.5</v>
      </c>
      <c r="BQ205" s="834" t="str">
        <f t="shared" si="146"/>
        <v>Medio</v>
      </c>
      <c r="BR205" s="836">
        <f t="shared" si="136"/>
        <v>18.900877719836544</v>
      </c>
      <c r="BS205" s="836">
        <f t="shared" si="137"/>
        <v>37.5</v>
      </c>
      <c r="BT205" s="837" t="str">
        <f t="shared" si="138"/>
        <v>P4</v>
      </c>
      <c r="BU205" s="807" t="str">
        <f t="shared" si="147"/>
        <v>Con espacio</v>
      </c>
      <c r="BV205" s="807" t="str">
        <f t="shared" si="139"/>
        <v>Zona de bajo potencial</v>
      </c>
      <c r="BW205" s="808" t="str">
        <f t="shared" si="140"/>
        <v>P4 - Evaluar</v>
      </c>
    </row>
    <row r="206" spans="1:75">
      <c r="A206" s="780" t="str">
        <f>'Base de datos Rutas'!A204</f>
        <v>Norte</v>
      </c>
      <c r="B206" s="781" t="str">
        <f>'Base de datos Rutas'!B204</f>
        <v>Comarca</v>
      </c>
      <c r="C206" s="781" t="str">
        <f>'Base de datos Rutas'!C204</f>
        <v>Suc. Estadio</v>
      </c>
      <c r="D206" s="782">
        <f>IF(ISNUMBER('Base de datos Rutas'!D204),'Base de datos Rutas'!D204,"Sin código")</f>
        <v>217343</v>
      </c>
      <c r="E206" s="783" t="str">
        <f>'Base de datos Rutas'!F204</f>
        <v>Activa</v>
      </c>
      <c r="F206" s="784" t="str">
        <f>'Base de datos Rutas'!H204</f>
        <v>Sí</v>
      </c>
      <c r="G206" s="785">
        <f>IF(ISNUMBER('Base de datos Rutas'!BE204),'Base de datos Rutas'!BE204,"")</f>
        <v>73.889908256880702</v>
      </c>
      <c r="H206" s="786">
        <f>IF(ISNUMBER('Base de datos Rutas'!BH204),'Base de datos Rutas'!BH204,"")</f>
        <v>0.32800471815247101</v>
      </c>
      <c r="I206" s="788">
        <f>IFERROR(IF(OR(NOT(ISNUMBER('Base de datos Rutas'!O204)),N('Base de datos Rutas'!BK204)=0),"",'Base de datos Rutas'!O204/('Base de datos Rutas'!L204/'Base de datos Rutas'!BK204)),"")</f>
        <v>2569.2087155963313</v>
      </c>
      <c r="J206" s="788">
        <f>IFERROR(IF(OR(NOT(ISNUMBER('Base de datos Rutas'!N204)),N('Base de datos Rutas'!BK204)=0),"",'Base de datos Rutas'!N204/('Base de datos Rutas'!L204/'Base de datos Rutas'!BK204)),"")</f>
        <v>3955.3165137614697</v>
      </c>
      <c r="K206" s="788">
        <f>IFERROR(IF(OR(NOT(ISNUMBER('Base de datos Rutas'!J204)),N('Base de datos Rutas'!BK204)=0),"",'Base de datos Rutas'!J204/('Base de datos Rutas'!L204/'Base de datos Rutas'!BK204)),"")</f>
        <v>285.69410825688084</v>
      </c>
      <c r="L206" s="788">
        <f>IFERROR(IF(OR(NOT(ISNUMBER('Base de datos Rutas'!K204)),N('Base de datos Rutas'!BK204)=0),"",'Base de datos Rutas'!K204/('Base de datos Rutas'!L204/'Base de datos Rutas'!BK204)),"")</f>
        <v>27.742768151376158</v>
      </c>
      <c r="M206" s="787">
        <f>IF(ISNUMBER('Base de datos Rutas'!AX204),'Base de datos Rutas'!AX204,"")</f>
        <v>272.18554745907102</v>
      </c>
      <c r="N206" s="790">
        <f>IFERROR(INDEX('Hoja de apoyo v2'!B$17:B$20,MATCH($A206,'Hoja de apoyo v2'!$A$17:$A$20,0)),"")</f>
        <v>74.190366972477051</v>
      </c>
      <c r="O206" s="791">
        <f>IFERROR(INDEX('Hoja de apoyo v2'!C$17:C$20,MATCH($A206,'Hoja de apoyo v2'!$A$17:$A$20,0)),"")</f>
        <v>0.71677657005077755</v>
      </c>
      <c r="P206" s="793">
        <f>IFERROR(INDEX('Hoja de apoyo v2'!D$17:D$20,MATCH($A206,'Hoja de apoyo v2'!$A$17:$A$20,0)),"")</f>
        <v>8755.1153350385739</v>
      </c>
      <c r="Q206" s="793">
        <f>IFERROR(INDEX('Hoja de apoyo v2'!E$17:E$20,MATCH($A206,'Hoja de apoyo v2'!$A$17:$A$20,0)),"")</f>
        <v>6098.2042779326393</v>
      </c>
      <c r="R206" s="793">
        <f>IFERROR(INDEX('Hoja de apoyo v2'!F$17:F$20,MATCH($A206,'Hoja de apoyo v2'!$A$17:$A$20,0)),"")</f>
        <v>389.08889713610301</v>
      </c>
      <c r="S206" s="793">
        <f>IFERROR(INDEX('Hoja de apoyo v2'!G$17:G$20,MATCH($A206,'Hoja de apoyo v2'!$A$17:$A$20,0)),"")</f>
        <v>67.90575167807188</v>
      </c>
      <c r="T206" s="792">
        <f>IFERROR(INDEX('Hoja de apoyo v2'!H$17:H$20,MATCH($A206,'Hoja de apoyo v2'!$A$17:$A$20,0)),"")</f>
        <v>258.90325471200998</v>
      </c>
      <c r="U206" s="794">
        <f t="shared" si="112"/>
        <v>0.99595016539400849</v>
      </c>
      <c r="V206" s="795">
        <f t="shared" si="113"/>
        <v>0.45761082582433554</v>
      </c>
      <c r="W206" s="795">
        <f t="shared" si="114"/>
        <v>0.2934522981455403</v>
      </c>
      <c r="X206" s="843">
        <f t="shared" si="115"/>
        <v>0.64860347956437547</v>
      </c>
      <c r="Y206" s="843">
        <f t="shared" si="116"/>
        <v>0.73426435542041502</v>
      </c>
      <c r="Z206" s="843">
        <f t="shared" si="117"/>
        <v>0.40854813422726383</v>
      </c>
      <c r="AA206" s="843">
        <f t="shared" si="118"/>
        <v>1.0513021466718737</v>
      </c>
      <c r="AB206" s="796">
        <f t="shared" si="119"/>
        <v>3</v>
      </c>
      <c r="AC206" s="797">
        <f t="shared" si="120"/>
        <v>1</v>
      </c>
      <c r="AD206" s="797">
        <f t="shared" si="121"/>
        <v>1</v>
      </c>
      <c r="AE206" s="842">
        <f t="shared" si="122"/>
        <v>2</v>
      </c>
      <c r="AF206" s="842">
        <f t="shared" si="123"/>
        <v>2</v>
      </c>
      <c r="AG206" s="842">
        <f t="shared" si="124"/>
        <v>1</v>
      </c>
      <c r="AH206" s="842">
        <f t="shared" si="125"/>
        <v>4</v>
      </c>
      <c r="AI206" s="826" cm="1">
        <f t="array" ref="AI206">SUMPRODUCT(--ISNUMBER($U206:$AA206),$AB$3:$AH$3)</f>
        <v>1</v>
      </c>
      <c r="AJ206" s="829">
        <f t="shared" si="126"/>
        <v>22.136948035511683</v>
      </c>
      <c r="AK206" s="827" t="str">
        <f t="shared" si="127"/>
        <v>Inmadura</v>
      </c>
      <c r="AL206" s="784" t="str">
        <f t="shared" si="128"/>
        <v>Alta</v>
      </c>
      <c r="AM206" s="799">
        <f>IF(ISNUMBER('Base de datos Rutas'!W204),'Base de datos Rutas'!W204,"")</f>
        <v>1969.9340858657986</v>
      </c>
      <c r="AN206" s="787">
        <f>IFERROR(SUMIFS('Base de datos Rutas'!$W$6:$W$794,'Base de datos Rutas'!$C$6:$C$794,$C206)/'Base de datos Rutas'!I204,"")</f>
        <v>1969.9340858657988</v>
      </c>
      <c r="AO206" s="800">
        <f>IFERROR('Base de datos Rutas'!X204*AN206/AM206,"")</f>
        <v>0.5403238133625391</v>
      </c>
      <c r="AP206" s="800">
        <f t="shared" si="129"/>
        <v>0.4596761866374609</v>
      </c>
      <c r="AQ206" s="789">
        <f>IFERROR(INDEX('Hoja de apoyo v2'!$J$17:$J$20,MATCH($A206,'Hoja de apoyo v2'!$A$17:$A$20,0)),"")</f>
        <v>0.62197445417222763</v>
      </c>
      <c r="AR206" s="789">
        <f t="shared" si="130"/>
        <v>-0.16229826753476673</v>
      </c>
      <c r="AS206" s="784" t="str">
        <f t="shared" si="131"/>
        <v>No</v>
      </c>
      <c r="AT206" s="801">
        <f>IF(ISNUMBER('Base de datos Rutas'!CK204),'Base de datos Rutas'!CK204,"")</f>
        <v>326</v>
      </c>
      <c r="AU206" s="802">
        <f>IF(ISNUMBER('Base de datos Rutas'!CL204),'Base de datos Rutas'!CL204,"")</f>
        <v>400.56</v>
      </c>
      <c r="AV206" s="802">
        <f>IF(ISNUMBER('Base de datos Rutas'!CM204),'Base de datos Rutas'!CM204,"")</f>
        <v>74.56</v>
      </c>
      <c r="AW206" s="802">
        <f>IF(ISNUMBER('Base de datos Rutas'!CN204),'Base de datos Rutas'!CN204,"")</f>
        <v>8.82</v>
      </c>
      <c r="AX206" s="802">
        <f>IF(ISNUMBER('Base de datos Rutas'!CO204),'Base de datos Rutas'!CO204,"")</f>
        <v>9.4499999999999993</v>
      </c>
      <c r="AY206" s="802">
        <f>IF(ISNUMBER('Base de datos Rutas'!CP204),'Base de datos Rutas'!CP204,"")</f>
        <v>0.62999999999999901</v>
      </c>
      <c r="AZ206" s="802">
        <f>IF(ISNUMBER('Base de datos Rutas'!CQ204),'Base de datos Rutas'!CQ204,"")</f>
        <v>609.19000000000005</v>
      </c>
      <c r="BA206" s="802">
        <f>IF(ISNUMBER('Base de datos Rutas'!CR204),'Base de datos Rutas'!CR204,"")</f>
        <v>313.44</v>
      </c>
      <c r="BB206" s="803">
        <f>IF(ISNUMBER('Base de datos Rutas'!CS204),'Base de datos Rutas'!CS204,"")</f>
        <v>295.75000000000006</v>
      </c>
      <c r="BC206" s="804">
        <f t="shared" si="141"/>
        <v>0</v>
      </c>
      <c r="BD206" s="805" t="str">
        <f t="shared" si="142"/>
        <v>No saturada</v>
      </c>
      <c r="BE206" s="806">
        <f t="shared" si="143"/>
        <v>0.5145192796992728</v>
      </c>
      <c r="BF206" s="890">
        <f>IF(ISNUMBER('Base de datos Rutas'!CX204),'Base de datos Rutas'!CX204/100,"")</f>
        <v>0.45997362869198311</v>
      </c>
      <c r="BG206" s="891">
        <f>IF(ISNUMBER('Base de datos Rutas'!CZ204),'Base de datos Rutas'!CZ204/100,"")</f>
        <v>0.46980485232067509</v>
      </c>
      <c r="BH206" s="892">
        <f>IF(ISNUMBER('Base de datos Rutas'!DA204),'Base de datos Rutas'!DA204,"")</f>
        <v>134.07143901725649</v>
      </c>
      <c r="BI206" s="893">
        <f>IF(ISNUMBER('Base de datos Rutas'!DC204),'Base de datos Rutas'!DC204,"")</f>
        <v>6.4045460243178871</v>
      </c>
      <c r="BJ206" s="805" t="str">
        <f t="shared" si="144"/>
        <v>Ruta (completo)</v>
      </c>
      <c r="BK206" s="783">
        <f t="shared" si="132"/>
        <v>4</v>
      </c>
      <c r="BL206" s="797">
        <f t="shared" si="133"/>
        <v>4</v>
      </c>
      <c r="BM206" s="797">
        <f t="shared" si="134"/>
        <v>4</v>
      </c>
      <c r="BN206" s="797">
        <f t="shared" si="135"/>
        <v>4</v>
      </c>
      <c r="BO206" s="798" cm="1">
        <f t="array" ref="BO206">SUMPRODUCT(--ISNUMBER($BF206:$BI206),$BK$3:$BN$3)</f>
        <v>1</v>
      </c>
      <c r="BP206" s="831">
        <f t="shared" si="145"/>
        <v>75</v>
      </c>
      <c r="BQ206" s="834" t="str">
        <f t="shared" si="146"/>
        <v>Alto</v>
      </c>
      <c r="BR206" s="836">
        <f t="shared" si="136"/>
        <v>16.602711026633763</v>
      </c>
      <c r="BS206" s="836">
        <f t="shared" si="137"/>
        <v>75</v>
      </c>
      <c r="BT206" s="837" t="str">
        <f t="shared" si="138"/>
        <v>P3</v>
      </c>
      <c r="BU206" s="807" t="str">
        <f t="shared" si="147"/>
        <v>Con espacio</v>
      </c>
      <c r="BV206" s="807" t="str">
        <f t="shared" si="139"/>
        <v>Zona atractiva</v>
      </c>
      <c r="BW206" s="808" t="str">
        <f t="shared" si="140"/>
        <v>P3 - Desarrollar</v>
      </c>
    </row>
    <row r="207" spans="1:75">
      <c r="A207" s="780" t="str">
        <f>'Base de datos Rutas'!A205</f>
        <v>Norte</v>
      </c>
      <c r="B207" s="781" t="str">
        <f>'Base de datos Rutas'!B205</f>
        <v>Comarca</v>
      </c>
      <c r="C207" s="781" t="str">
        <f>'Base de datos Rutas'!C205</f>
        <v>Suc. Estadio</v>
      </c>
      <c r="D207" s="782">
        <f>IF(ISNUMBER('Base de datos Rutas'!D205),'Base de datos Rutas'!D205,"Sin código")</f>
        <v>217344</v>
      </c>
      <c r="E207" s="783" t="str">
        <f>'Base de datos Rutas'!F205</f>
        <v>Activa</v>
      </c>
      <c r="F207" s="784" t="str">
        <f>'Base de datos Rutas'!H205</f>
        <v>Sí</v>
      </c>
      <c r="G207" s="785">
        <f>IF(ISNUMBER('Base de datos Rutas'!BE205),'Base de datos Rutas'!BE205,"")</f>
        <v>58.5704387990762</v>
      </c>
      <c r="H207" s="786">
        <f>IF(ISNUMBER('Base de datos Rutas'!BH205),'Base de datos Rutas'!BH205,"")</f>
        <v>0.36587673987618802</v>
      </c>
      <c r="I207" s="788">
        <f>IFERROR(IF(OR(NOT(ISNUMBER('Base de datos Rutas'!O205)),N('Base de datos Rutas'!BK205)=0),"",'Base de datos Rutas'!O205/('Base de datos Rutas'!L205/'Base de datos Rutas'!BK205)),"")</f>
        <v>2017.8545034642057</v>
      </c>
      <c r="J207" s="788">
        <f>IFERROR(IF(OR(NOT(ISNUMBER('Base de datos Rutas'!N205)),N('Base de datos Rutas'!BK205)=0),"",'Base de datos Rutas'!N205/('Base de datos Rutas'!L205/'Base de datos Rutas'!BK205)),"")</f>
        <v>4825.3833718244859</v>
      </c>
      <c r="K207" s="788">
        <f>IFERROR(IF(OR(NOT(ISNUMBER('Base de datos Rutas'!J205)),N('Base de datos Rutas'!BK205)=0),"",'Base de datos Rutas'!J205/('Base de datos Rutas'!L205/'Base de datos Rutas'!BK205)),"")</f>
        <v>338.32936720554312</v>
      </c>
      <c r="L207" s="788">
        <f>IFERROR(IF(OR(NOT(ISNUMBER('Base de datos Rutas'!K205)),N('Base de datos Rutas'!BK205)=0),"",'Base de datos Rutas'!K205/('Base de datos Rutas'!L205/'Base de datos Rutas'!BK205)),"")</f>
        <v>16.976048048498868</v>
      </c>
      <c r="M207" s="787">
        <f>IF(ISNUMBER('Base de datos Rutas'!AX205),'Base de datos Rutas'!AX205,"")</f>
        <v>316.44608255199898</v>
      </c>
      <c r="N207" s="790">
        <f>IFERROR(INDEX('Hoja de apoyo v2'!B$17:B$20,MATCH($A207,'Hoja de apoyo v2'!$A$17:$A$20,0)),"")</f>
        <v>74.190366972477051</v>
      </c>
      <c r="O207" s="791">
        <f>IFERROR(INDEX('Hoja de apoyo v2'!C$17:C$20,MATCH($A207,'Hoja de apoyo v2'!$A$17:$A$20,0)),"")</f>
        <v>0.71677657005077755</v>
      </c>
      <c r="P207" s="793">
        <f>IFERROR(INDEX('Hoja de apoyo v2'!D$17:D$20,MATCH($A207,'Hoja de apoyo v2'!$A$17:$A$20,0)),"")</f>
        <v>8755.1153350385739</v>
      </c>
      <c r="Q207" s="793">
        <f>IFERROR(INDEX('Hoja de apoyo v2'!E$17:E$20,MATCH($A207,'Hoja de apoyo v2'!$A$17:$A$20,0)),"")</f>
        <v>6098.2042779326393</v>
      </c>
      <c r="R207" s="793">
        <f>IFERROR(INDEX('Hoja de apoyo v2'!F$17:F$20,MATCH($A207,'Hoja de apoyo v2'!$A$17:$A$20,0)),"")</f>
        <v>389.08889713610301</v>
      </c>
      <c r="S207" s="793">
        <f>IFERROR(INDEX('Hoja de apoyo v2'!G$17:G$20,MATCH($A207,'Hoja de apoyo v2'!$A$17:$A$20,0)),"")</f>
        <v>67.90575167807188</v>
      </c>
      <c r="T207" s="792">
        <f>IFERROR(INDEX('Hoja de apoyo v2'!H$17:H$20,MATCH($A207,'Hoja de apoyo v2'!$A$17:$A$20,0)),"")</f>
        <v>258.90325471200998</v>
      </c>
      <c r="U207" s="794">
        <f t="shared" si="112"/>
        <v>0.78946150543782201</v>
      </c>
      <c r="V207" s="795">
        <f t="shared" si="113"/>
        <v>0.51044740462187366</v>
      </c>
      <c r="W207" s="795">
        <f t="shared" si="114"/>
        <v>0.23047720403963304</v>
      </c>
      <c r="X207" s="843">
        <f t="shared" si="115"/>
        <v>0.79127939175241035</v>
      </c>
      <c r="Y207" s="843">
        <f t="shared" si="116"/>
        <v>0.86954258961338537</v>
      </c>
      <c r="Z207" s="843">
        <f t="shared" si="117"/>
        <v>0.24999425864511521</v>
      </c>
      <c r="AA207" s="843">
        <f t="shared" si="118"/>
        <v>1.2222561006581263</v>
      </c>
      <c r="AB207" s="796">
        <f t="shared" si="119"/>
        <v>3</v>
      </c>
      <c r="AC207" s="797">
        <f t="shared" si="120"/>
        <v>2</v>
      </c>
      <c r="AD207" s="797">
        <f t="shared" si="121"/>
        <v>1</v>
      </c>
      <c r="AE207" s="842">
        <f t="shared" si="122"/>
        <v>3</v>
      </c>
      <c r="AF207" s="842">
        <f t="shared" si="123"/>
        <v>3</v>
      </c>
      <c r="AG207" s="842">
        <f t="shared" si="124"/>
        <v>1</v>
      </c>
      <c r="AH207" s="842">
        <f t="shared" si="125"/>
        <v>4</v>
      </c>
      <c r="AI207" s="826" cm="1">
        <f t="array" ref="AI207">SUMPRODUCT(--ISNUMBER($U207:$AA207),$AB$3:$AH$3)</f>
        <v>1</v>
      </c>
      <c r="AJ207" s="829">
        <f t="shared" si="126"/>
        <v>30.855345779660649</v>
      </c>
      <c r="AK207" s="827" t="str">
        <f t="shared" si="127"/>
        <v>Inmadura</v>
      </c>
      <c r="AL207" s="784" t="str">
        <f t="shared" si="128"/>
        <v>Alta</v>
      </c>
      <c r="AM207" s="799">
        <f>IF(ISNUMBER('Base de datos Rutas'!W205),'Base de datos Rutas'!W205,"")</f>
        <v>1969.9340858657986</v>
      </c>
      <c r="AN207" s="787">
        <f>IFERROR(SUMIFS('Base de datos Rutas'!$W$6:$W$794,'Base de datos Rutas'!$C$6:$C$794,$C207)/'Base de datos Rutas'!I205,"")</f>
        <v>1969.9340858657988</v>
      </c>
      <c r="AO207" s="800">
        <f>IFERROR('Base de datos Rutas'!X205*AN207/AM207,"")</f>
        <v>0.5403238133625391</v>
      </c>
      <c r="AP207" s="800">
        <f t="shared" si="129"/>
        <v>0.4596761866374609</v>
      </c>
      <c r="AQ207" s="789">
        <f>IFERROR(INDEX('Hoja de apoyo v2'!$J$17:$J$20,MATCH($A207,'Hoja de apoyo v2'!$A$17:$A$20,0)),"")</f>
        <v>0.62197445417222763</v>
      </c>
      <c r="AR207" s="789">
        <f t="shared" si="130"/>
        <v>-0.16229826753476673</v>
      </c>
      <c r="AS207" s="784" t="str">
        <f t="shared" si="131"/>
        <v>No</v>
      </c>
      <c r="AT207" s="801">
        <f>IF(ISNUMBER('Base de datos Rutas'!CK205),'Base de datos Rutas'!CK205,"")</f>
        <v>353</v>
      </c>
      <c r="AU207" s="802">
        <f>IF(ISNUMBER('Base de datos Rutas'!CL205),'Base de datos Rutas'!CL205,"")</f>
        <v>494.41</v>
      </c>
      <c r="AV207" s="802">
        <f>IF(ISNUMBER('Base de datos Rutas'!CM205),'Base de datos Rutas'!CM205,"")</f>
        <v>141.41000000000003</v>
      </c>
      <c r="AW207" s="802">
        <f>IF(ISNUMBER('Base de datos Rutas'!CN205),'Base de datos Rutas'!CN205,"")</f>
        <v>10.130000000000001</v>
      </c>
      <c r="AX207" s="802">
        <f>IF(ISNUMBER('Base de datos Rutas'!CO205),'Base de datos Rutas'!CO205,"")</f>
        <v>9.4499999999999993</v>
      </c>
      <c r="AY207" s="802">
        <f>IF(ISNUMBER('Base de datos Rutas'!CP205),'Base de datos Rutas'!CP205,"")</f>
        <v>-0.68000000000000149</v>
      </c>
      <c r="AZ207" s="802">
        <f>IF(ISNUMBER('Base de datos Rutas'!CQ205),'Base de datos Rutas'!CQ205,"")</f>
        <v>609.19000000000005</v>
      </c>
      <c r="BA207" s="802">
        <f>IF(ISNUMBER('Base de datos Rutas'!CR205),'Base de datos Rutas'!CR205,"")</f>
        <v>355.31</v>
      </c>
      <c r="BB207" s="803">
        <f>IF(ISNUMBER('Base de datos Rutas'!CS205),'Base de datos Rutas'!CS205,"")</f>
        <v>253.88000000000005</v>
      </c>
      <c r="BC207" s="804">
        <f t="shared" si="141"/>
        <v>1</v>
      </c>
      <c r="BD207" s="805" t="str">
        <f t="shared" si="142"/>
        <v>Saturada</v>
      </c>
      <c r="BE207" s="806">
        <f t="shared" si="143"/>
        <v>0.58324988919713061</v>
      </c>
      <c r="BF207" s="890">
        <f>IF(ISNUMBER('Base de datos Rutas'!CX205),'Base de datos Rutas'!CX205/100,"")</f>
        <v>0.3690171130952381</v>
      </c>
      <c r="BG207" s="891">
        <f>IF(ISNUMBER('Base de datos Rutas'!CZ205),'Base de datos Rutas'!CZ205/100,"")</f>
        <v>0.37953869047619049</v>
      </c>
      <c r="BH207" s="892">
        <f>IF(ISNUMBER('Base de datos Rutas'!DA205),'Base de datos Rutas'!DA205,"")</f>
        <v>71.664411868870758</v>
      </c>
      <c r="BI207" s="893">
        <f>IF(ISNUMBER('Base de datos Rutas'!DC205),'Base de datos Rutas'!DC205,"")</f>
        <v>3.8051601416936829</v>
      </c>
      <c r="BJ207" s="805" t="str">
        <f t="shared" si="144"/>
        <v>Ruta (completo)</v>
      </c>
      <c r="BK207" s="783">
        <f t="shared" si="132"/>
        <v>3</v>
      </c>
      <c r="BL207" s="797">
        <f t="shared" si="133"/>
        <v>3</v>
      </c>
      <c r="BM207" s="797">
        <f t="shared" si="134"/>
        <v>3</v>
      </c>
      <c r="BN207" s="797">
        <f t="shared" si="135"/>
        <v>3</v>
      </c>
      <c r="BO207" s="798" cm="1">
        <f t="array" ref="BO207">SUMPRODUCT(--ISNUMBER($BF207:$BI207),$BK$3:$BN$3)</f>
        <v>1</v>
      </c>
      <c r="BP207" s="831">
        <f t="shared" si="145"/>
        <v>50</v>
      </c>
      <c r="BQ207" s="834" t="str">
        <f t="shared" si="146"/>
        <v>Alto</v>
      </c>
      <c r="BR207" s="836">
        <f t="shared" si="136"/>
        <v>48.141509334745486</v>
      </c>
      <c r="BS207" s="836">
        <f t="shared" si="137"/>
        <v>50</v>
      </c>
      <c r="BT207" s="837" t="str">
        <f t="shared" si="138"/>
        <v>P1</v>
      </c>
      <c r="BU207" s="807" t="str">
        <f t="shared" si="147"/>
        <v>Al tope</v>
      </c>
      <c r="BV207" s="807" t="str">
        <f t="shared" si="139"/>
        <v>Zona atractiva</v>
      </c>
      <c r="BW207" s="808" t="str">
        <f t="shared" si="140"/>
        <v>P1 - Ampliar cobertura</v>
      </c>
    </row>
    <row r="208" spans="1:75">
      <c r="A208" s="780" t="str">
        <f>'Base de datos Rutas'!A206</f>
        <v>Norte</v>
      </c>
      <c r="B208" s="781" t="str">
        <f>'Base de datos Rutas'!B206</f>
        <v>Comarca</v>
      </c>
      <c r="C208" s="781" t="str">
        <f>'Base de datos Rutas'!C206</f>
        <v>Suc. Estadio</v>
      </c>
      <c r="D208" s="782">
        <f>IF(ISNUMBER('Base de datos Rutas'!D206),'Base de datos Rutas'!D206,"Sin código")</f>
        <v>217346</v>
      </c>
      <c r="E208" s="783" t="str">
        <f>'Base de datos Rutas'!F206</f>
        <v>Activa</v>
      </c>
      <c r="F208" s="784" t="str">
        <f>'Base de datos Rutas'!H206</f>
        <v>Sí</v>
      </c>
      <c r="G208" s="785">
        <f>IF(ISNUMBER('Base de datos Rutas'!BE206),'Base de datos Rutas'!BE206,"")</f>
        <v>63.529816513761503</v>
      </c>
      <c r="H208" s="786">
        <f>IF(ISNUMBER('Base de datos Rutas'!BH206),'Base de datos Rutas'!BH206,"")</f>
        <v>0.44788620527816903</v>
      </c>
      <c r="I208" s="788">
        <f>IFERROR(IF(OR(NOT(ISNUMBER('Base de datos Rutas'!O206)),N('Base de datos Rutas'!BK206)=0),"",'Base de datos Rutas'!O206/('Base de datos Rutas'!L206/'Base de datos Rutas'!BK206)),"")</f>
        <v>2099.8784403669733</v>
      </c>
      <c r="J208" s="788">
        <f>IFERROR(IF(OR(NOT(ISNUMBER('Base de datos Rutas'!N206)),N('Base de datos Rutas'!BK206)=0),"",'Base de datos Rutas'!N206/('Base de datos Rutas'!L206/'Base de datos Rutas'!BK206)),"")</f>
        <v>4176.6032110091755</v>
      </c>
      <c r="K208" s="788">
        <f>IFERROR(IF(OR(NOT(ISNUMBER('Base de datos Rutas'!J206)),N('Base de datos Rutas'!BK206)=0),"",'Base de datos Rutas'!J206/('Base de datos Rutas'!L206/'Base de datos Rutas'!BK206)),"")</f>
        <v>296.22091376146801</v>
      </c>
      <c r="L208" s="788">
        <f>IFERROR(IF(OR(NOT(ISNUMBER('Base de datos Rutas'!K206)),N('Base de datos Rutas'!BK206)=0),"",'Base de datos Rutas'!K206/('Base de datos Rutas'!L206/'Base de datos Rutas'!BK206)),"")</f>
        <v>19.620528456422026</v>
      </c>
      <c r="M208" s="787">
        <f>IF(ISNUMBER('Base de datos Rutas'!AX206),'Base de datos Rutas'!AX206,"")</f>
        <v>223.26947041753999</v>
      </c>
      <c r="N208" s="790">
        <f>IFERROR(INDEX('Hoja de apoyo v2'!B$17:B$20,MATCH($A208,'Hoja de apoyo v2'!$A$17:$A$20,0)),"")</f>
        <v>74.190366972477051</v>
      </c>
      <c r="O208" s="791">
        <f>IFERROR(INDEX('Hoja de apoyo v2'!C$17:C$20,MATCH($A208,'Hoja de apoyo v2'!$A$17:$A$20,0)),"")</f>
        <v>0.71677657005077755</v>
      </c>
      <c r="P208" s="793">
        <f>IFERROR(INDEX('Hoja de apoyo v2'!D$17:D$20,MATCH($A208,'Hoja de apoyo v2'!$A$17:$A$20,0)),"")</f>
        <v>8755.1153350385739</v>
      </c>
      <c r="Q208" s="793">
        <f>IFERROR(INDEX('Hoja de apoyo v2'!E$17:E$20,MATCH($A208,'Hoja de apoyo v2'!$A$17:$A$20,0)),"")</f>
        <v>6098.2042779326393</v>
      </c>
      <c r="R208" s="793">
        <f>IFERROR(INDEX('Hoja de apoyo v2'!F$17:F$20,MATCH($A208,'Hoja de apoyo v2'!$A$17:$A$20,0)),"")</f>
        <v>389.08889713610301</v>
      </c>
      <c r="S208" s="793">
        <f>IFERROR(INDEX('Hoja de apoyo v2'!G$17:G$20,MATCH($A208,'Hoja de apoyo v2'!$A$17:$A$20,0)),"")</f>
        <v>67.90575167807188</v>
      </c>
      <c r="T208" s="792">
        <f>IFERROR(INDEX('Hoja de apoyo v2'!H$17:H$20,MATCH($A208,'Hoja de apoyo v2'!$A$17:$A$20,0)),"")</f>
        <v>258.90325471200998</v>
      </c>
      <c r="U208" s="794">
        <f t="shared" si="112"/>
        <v>0.85630815840727181</v>
      </c>
      <c r="V208" s="795">
        <f t="shared" si="113"/>
        <v>0.62486167097571299</v>
      </c>
      <c r="W208" s="795">
        <f t="shared" si="114"/>
        <v>0.23984589123150843</v>
      </c>
      <c r="X208" s="843">
        <f t="shared" si="115"/>
        <v>0.68489066955708666</v>
      </c>
      <c r="Y208" s="843">
        <f t="shared" si="116"/>
        <v>0.7613193692798953</v>
      </c>
      <c r="Z208" s="843">
        <f t="shared" si="117"/>
        <v>0.2889376521364373</v>
      </c>
      <c r="AA208" s="843">
        <f t="shared" si="118"/>
        <v>0.86236641044120099</v>
      </c>
      <c r="AB208" s="796">
        <f t="shared" si="119"/>
        <v>3</v>
      </c>
      <c r="AC208" s="797">
        <f t="shared" si="120"/>
        <v>2</v>
      </c>
      <c r="AD208" s="797">
        <f t="shared" si="121"/>
        <v>1</v>
      </c>
      <c r="AE208" s="842">
        <f t="shared" si="122"/>
        <v>2</v>
      </c>
      <c r="AF208" s="842">
        <f t="shared" si="123"/>
        <v>3</v>
      </c>
      <c r="AG208" s="842">
        <f t="shared" si="124"/>
        <v>1</v>
      </c>
      <c r="AH208" s="842">
        <f t="shared" si="125"/>
        <v>3</v>
      </c>
      <c r="AI208" s="826" cm="1">
        <f t="array" ref="AI208">SUMPRODUCT(--ISNUMBER($U208:$AA208),$AB$3:$AH$3)</f>
        <v>1</v>
      </c>
      <c r="AJ208" s="829">
        <f t="shared" si="126"/>
        <v>25.201170293115393</v>
      </c>
      <c r="AK208" s="827" t="str">
        <f t="shared" si="127"/>
        <v>Inmadura</v>
      </c>
      <c r="AL208" s="784" t="str">
        <f t="shared" si="128"/>
        <v>Alta</v>
      </c>
      <c r="AM208" s="799">
        <f>IF(ISNUMBER('Base de datos Rutas'!W206),'Base de datos Rutas'!W206,"")</f>
        <v>1969.9340858657986</v>
      </c>
      <c r="AN208" s="787">
        <f>IFERROR(SUMIFS('Base de datos Rutas'!$W$6:$W$794,'Base de datos Rutas'!$C$6:$C$794,$C208)/'Base de datos Rutas'!I206,"")</f>
        <v>1969.9340858657988</v>
      </c>
      <c r="AO208" s="800">
        <f>IFERROR('Base de datos Rutas'!X206*AN208/AM208,"")</f>
        <v>0.5403238133625391</v>
      </c>
      <c r="AP208" s="800">
        <f t="shared" si="129"/>
        <v>0.4596761866374609</v>
      </c>
      <c r="AQ208" s="789">
        <f>IFERROR(INDEX('Hoja de apoyo v2'!$J$17:$J$20,MATCH($A208,'Hoja de apoyo v2'!$A$17:$A$20,0)),"")</f>
        <v>0.62197445417222763</v>
      </c>
      <c r="AR208" s="789">
        <f t="shared" si="130"/>
        <v>-0.16229826753476673</v>
      </c>
      <c r="AS208" s="784" t="str">
        <f t="shared" si="131"/>
        <v>No</v>
      </c>
      <c r="AT208" s="801">
        <f>IF(ISNUMBER('Base de datos Rutas'!CK206),'Base de datos Rutas'!CK206,"")</f>
        <v>148</v>
      </c>
      <c r="AU208" s="802">
        <f>IF(ISNUMBER('Base de datos Rutas'!CL206),'Base de datos Rutas'!CL206,"")</f>
        <v>237.75</v>
      </c>
      <c r="AV208" s="802">
        <f>IF(ISNUMBER('Base de datos Rutas'!CM206),'Base de datos Rutas'!CM206,"")</f>
        <v>89.75</v>
      </c>
      <c r="AW208" s="802">
        <f>IF(ISNUMBER('Base de datos Rutas'!CN206),'Base de datos Rutas'!CN206,"")</f>
        <v>5.5</v>
      </c>
      <c r="AX208" s="802">
        <f>IF(ISNUMBER('Base de datos Rutas'!CO206),'Base de datos Rutas'!CO206,"")</f>
        <v>9.4499999999999993</v>
      </c>
      <c r="AY208" s="802">
        <f>IF(ISNUMBER('Base de datos Rutas'!CP206),'Base de datos Rutas'!CP206,"")</f>
        <v>3.9499999999999993</v>
      </c>
      <c r="AZ208" s="802">
        <f>IF(ISNUMBER('Base de datos Rutas'!CQ206),'Base de datos Rutas'!CQ206,"")</f>
        <v>609.19000000000005</v>
      </c>
      <c r="BA208" s="802">
        <f>IF(ISNUMBER('Base de datos Rutas'!CR206),'Base de datos Rutas'!CR206,"")</f>
        <v>315.83999999999997</v>
      </c>
      <c r="BB208" s="803">
        <f>IF(ISNUMBER('Base de datos Rutas'!CS206),'Base de datos Rutas'!CS206,"")</f>
        <v>293.35000000000008</v>
      </c>
      <c r="BC208" s="804">
        <f t="shared" si="141"/>
        <v>0</v>
      </c>
      <c r="BD208" s="805" t="str">
        <f t="shared" si="142"/>
        <v>No saturada</v>
      </c>
      <c r="BE208" s="806">
        <f t="shared" si="143"/>
        <v>0.51845893727736825</v>
      </c>
      <c r="BF208" s="890">
        <f>IF(ISNUMBER('Base de datos Rutas'!CX206),'Base de datos Rutas'!CX206/100,"")</f>
        <v>9.6058039606426698E-2</v>
      </c>
      <c r="BG208" s="891">
        <f>IF(ISNUMBER('Base de datos Rutas'!CZ206),'Base de datos Rutas'!CZ206/100,"")</f>
        <v>0.10723626852659111</v>
      </c>
      <c r="BH208" s="892">
        <f>IF(ISNUMBER('Base de datos Rutas'!DA206),'Base de datos Rutas'!DA206,"")</f>
        <v>56.688396612779059</v>
      </c>
      <c r="BI208" s="893">
        <f>IF(ISNUMBER('Base de datos Rutas'!DC206),'Base de datos Rutas'!DC206,"")</f>
        <v>2.9962371054657431</v>
      </c>
      <c r="BJ208" s="805" t="str">
        <f t="shared" si="144"/>
        <v>Ruta (completo)</v>
      </c>
      <c r="BK208" s="783">
        <f t="shared" si="132"/>
        <v>1</v>
      </c>
      <c r="BL208" s="797">
        <f t="shared" si="133"/>
        <v>1</v>
      </c>
      <c r="BM208" s="797">
        <f t="shared" si="134"/>
        <v>2</v>
      </c>
      <c r="BN208" s="797">
        <f t="shared" si="135"/>
        <v>2</v>
      </c>
      <c r="BO208" s="798" cm="1">
        <f t="array" ref="BO208">SUMPRODUCT(--ISNUMBER($BF208:$BI208),$BK$3:$BN$3)</f>
        <v>1</v>
      </c>
      <c r="BP208" s="831">
        <f t="shared" si="145"/>
        <v>12.5</v>
      </c>
      <c r="BQ208" s="834" t="str">
        <f t="shared" si="146"/>
        <v>Bajo</v>
      </c>
      <c r="BR208" s="836">
        <f t="shared" si="136"/>
        <v>18.900877719836544</v>
      </c>
      <c r="BS208" s="836">
        <f t="shared" si="137"/>
        <v>12.5</v>
      </c>
      <c r="BT208" s="837" t="str">
        <f t="shared" si="138"/>
        <v>P4</v>
      </c>
      <c r="BU208" s="807" t="str">
        <f t="shared" si="147"/>
        <v>Con espacio</v>
      </c>
      <c r="BV208" s="807" t="str">
        <f t="shared" si="139"/>
        <v>Zona de bajo potencial</v>
      </c>
      <c r="BW208" s="808" t="str">
        <f t="shared" si="140"/>
        <v>P4 - Evaluar</v>
      </c>
    </row>
    <row r="209" spans="1:75">
      <c r="A209" s="780" t="str">
        <f>'Base de datos Rutas'!A207</f>
        <v>Norte</v>
      </c>
      <c r="B209" s="781" t="str">
        <f>'Base de datos Rutas'!B207</f>
        <v>Comarca</v>
      </c>
      <c r="C209" s="781" t="str">
        <f>'Base de datos Rutas'!C207</f>
        <v>Suc. Estadio</v>
      </c>
      <c r="D209" s="782">
        <f>IF(ISNUMBER('Base de datos Rutas'!D207),'Base de datos Rutas'!D207,"Sin código")</f>
        <v>217400</v>
      </c>
      <c r="E209" s="783" t="str">
        <f>'Base de datos Rutas'!F207</f>
        <v>Activa</v>
      </c>
      <c r="F209" s="784" t="str">
        <f>'Base de datos Rutas'!H207</f>
        <v>Sí</v>
      </c>
      <c r="G209" s="785">
        <f>IF(ISNUMBER('Base de datos Rutas'!BE207),'Base de datos Rutas'!BE207,"")</f>
        <v>46.889908256880702</v>
      </c>
      <c r="H209" s="786">
        <f>IF(ISNUMBER('Base de datos Rutas'!BH207),'Base de datos Rutas'!BH207,"")</f>
        <v>0.51428291919389602</v>
      </c>
      <c r="I209" s="788">
        <f>IFERROR(IF(OR(NOT(ISNUMBER('Base de datos Rutas'!O207)),N('Base de datos Rutas'!BK207)=0),"",'Base de datos Rutas'!O207/('Base de datos Rutas'!L207/'Base de datos Rutas'!BK207)),"")</f>
        <v>2447.5252293578005</v>
      </c>
      <c r="J209" s="788">
        <f>IFERROR(IF(OR(NOT(ISNUMBER('Base de datos Rutas'!N207)),N('Base de datos Rutas'!BK207)=0),"",'Base de datos Rutas'!N207/('Base de datos Rutas'!L207/'Base de datos Rutas'!BK207)),"")</f>
        <v>3703.3532110091783</v>
      </c>
      <c r="K209" s="788">
        <f>IFERROR(IF(OR(NOT(ISNUMBER('Base de datos Rutas'!J207)),N('Base de datos Rutas'!BK207)=0),"",'Base de datos Rutas'!J207/('Base de datos Rutas'!L207/'Base de datos Rutas'!BK207)),"")</f>
        <v>257.03017431192688</v>
      </c>
      <c r="L209" s="788">
        <f>IFERROR(IF(OR(NOT(ISNUMBER('Base de datos Rutas'!K207)),N('Base de datos Rutas'!BK207)=0),"",'Base de datos Rutas'!K207/('Base de datos Rutas'!L207/'Base de datos Rutas'!BK207)),"")</f>
        <v>22.914641988532136</v>
      </c>
      <c r="M209" s="787">
        <f>IF(ISNUMBER('Base de datos Rutas'!AX207),'Base de datos Rutas'!AX207,"")</f>
        <v>255.15685466996399</v>
      </c>
      <c r="N209" s="790">
        <f>IFERROR(INDEX('Hoja de apoyo v2'!B$17:B$20,MATCH($A209,'Hoja de apoyo v2'!$A$17:$A$20,0)),"")</f>
        <v>74.190366972477051</v>
      </c>
      <c r="O209" s="791">
        <f>IFERROR(INDEX('Hoja de apoyo v2'!C$17:C$20,MATCH($A209,'Hoja de apoyo v2'!$A$17:$A$20,0)),"")</f>
        <v>0.71677657005077755</v>
      </c>
      <c r="P209" s="793">
        <f>IFERROR(INDEX('Hoja de apoyo v2'!D$17:D$20,MATCH($A209,'Hoja de apoyo v2'!$A$17:$A$20,0)),"")</f>
        <v>8755.1153350385739</v>
      </c>
      <c r="Q209" s="793">
        <f>IFERROR(INDEX('Hoja de apoyo v2'!E$17:E$20,MATCH($A209,'Hoja de apoyo v2'!$A$17:$A$20,0)),"")</f>
        <v>6098.2042779326393</v>
      </c>
      <c r="R209" s="793">
        <f>IFERROR(INDEX('Hoja de apoyo v2'!F$17:F$20,MATCH($A209,'Hoja de apoyo v2'!$A$17:$A$20,0)),"")</f>
        <v>389.08889713610301</v>
      </c>
      <c r="S209" s="793">
        <f>IFERROR(INDEX('Hoja de apoyo v2'!G$17:G$20,MATCH($A209,'Hoja de apoyo v2'!$A$17:$A$20,0)),"")</f>
        <v>67.90575167807188</v>
      </c>
      <c r="T209" s="792">
        <f>IFERROR(INDEX('Hoja de apoyo v2'!H$17:H$20,MATCH($A209,'Hoja de apoyo v2'!$A$17:$A$20,0)),"")</f>
        <v>258.90325471200998</v>
      </c>
      <c r="U209" s="794">
        <f t="shared" si="112"/>
        <v>0.63202151667851703</v>
      </c>
      <c r="V209" s="795">
        <f t="shared" si="113"/>
        <v>0.71749404302858755</v>
      </c>
      <c r="W209" s="795">
        <f t="shared" si="114"/>
        <v>0.27955373923660792</v>
      </c>
      <c r="X209" s="843">
        <f t="shared" si="115"/>
        <v>0.6072858569875027</v>
      </c>
      <c r="Y209" s="843">
        <f t="shared" si="116"/>
        <v>0.66059498537173089</v>
      </c>
      <c r="Z209" s="843">
        <f t="shared" si="117"/>
        <v>0.33744773339916845</v>
      </c>
      <c r="AA209" s="843">
        <f t="shared" si="118"/>
        <v>0.98552972983590614</v>
      </c>
      <c r="AB209" s="796">
        <f t="shared" si="119"/>
        <v>2</v>
      </c>
      <c r="AC209" s="797">
        <f t="shared" si="120"/>
        <v>2</v>
      </c>
      <c r="AD209" s="797">
        <f t="shared" si="121"/>
        <v>1</v>
      </c>
      <c r="AE209" s="842">
        <f t="shared" si="122"/>
        <v>2</v>
      </c>
      <c r="AF209" s="842">
        <f t="shared" si="123"/>
        <v>2</v>
      </c>
      <c r="AG209" s="842">
        <f t="shared" si="124"/>
        <v>1</v>
      </c>
      <c r="AH209" s="842">
        <f t="shared" si="125"/>
        <v>3</v>
      </c>
      <c r="AI209" s="826" cm="1">
        <f t="array" ref="AI209">SUMPRODUCT(--ISNUMBER($U209:$AA209),$AB$3:$AH$3)</f>
        <v>1</v>
      </c>
      <c r="AJ209" s="829">
        <f t="shared" si="126"/>
        <v>17.741489602938842</v>
      </c>
      <c r="AK209" s="827" t="str">
        <f t="shared" si="127"/>
        <v>Inmadura</v>
      </c>
      <c r="AL209" s="784" t="str">
        <f t="shared" si="128"/>
        <v>Alta</v>
      </c>
      <c r="AM209" s="799">
        <f>IF(ISNUMBER('Base de datos Rutas'!W207),'Base de datos Rutas'!W207,"")</f>
        <v>1969.9340858657986</v>
      </c>
      <c r="AN209" s="787">
        <f>IFERROR(SUMIFS('Base de datos Rutas'!$W$6:$W$794,'Base de datos Rutas'!$C$6:$C$794,$C209)/'Base de datos Rutas'!I207,"")</f>
        <v>1969.9340858657988</v>
      </c>
      <c r="AO209" s="800">
        <f>IFERROR('Base de datos Rutas'!X207*AN209/AM209,"")</f>
        <v>0.5403238133625391</v>
      </c>
      <c r="AP209" s="800">
        <f t="shared" si="129"/>
        <v>0.4596761866374609</v>
      </c>
      <c r="AQ209" s="789">
        <f>IFERROR(INDEX('Hoja de apoyo v2'!$J$17:$J$20,MATCH($A209,'Hoja de apoyo v2'!$A$17:$A$20,0)),"")</f>
        <v>0.62197445417222763</v>
      </c>
      <c r="AR209" s="789">
        <f t="shared" si="130"/>
        <v>-0.16229826753476673</v>
      </c>
      <c r="AS209" s="784" t="str">
        <f t="shared" si="131"/>
        <v>No</v>
      </c>
      <c r="AT209" s="801">
        <f>IF(ISNUMBER('Base de datos Rutas'!CK207),'Base de datos Rutas'!CK207,"")</f>
        <v>228</v>
      </c>
      <c r="AU209" s="802">
        <f>IF(ISNUMBER('Base de datos Rutas'!CL207),'Base de datos Rutas'!CL207,"")</f>
        <v>228</v>
      </c>
      <c r="AV209" s="802">
        <f>IF(ISNUMBER('Base de datos Rutas'!CM207),'Base de datos Rutas'!CM207,"")</f>
        <v>0</v>
      </c>
      <c r="AW209" s="802">
        <f>IF(ISNUMBER('Base de datos Rutas'!CN207),'Base de datos Rutas'!CN207,"")</f>
        <v>15.44</v>
      </c>
      <c r="AX209" s="802">
        <f>IF(ISNUMBER('Base de datos Rutas'!CO207),'Base de datos Rutas'!CO207,"")</f>
        <v>9.4499999999999993</v>
      </c>
      <c r="AY209" s="802">
        <f>IF(ISNUMBER('Base de datos Rutas'!CP207),'Base de datos Rutas'!CP207,"")</f>
        <v>-5.99</v>
      </c>
      <c r="AZ209" s="802">
        <f>IF(ISNUMBER('Base de datos Rutas'!CQ207),'Base de datos Rutas'!CQ207,"")</f>
        <v>609.19000000000005</v>
      </c>
      <c r="BA209" s="802">
        <f>IF(ISNUMBER('Base de datos Rutas'!CR207),'Base de datos Rutas'!CR207,"")</f>
        <v>279.94</v>
      </c>
      <c r="BB209" s="803">
        <f>IF(ISNUMBER('Base de datos Rutas'!CS207),'Base de datos Rutas'!CS207,"")</f>
        <v>329.25000000000006</v>
      </c>
      <c r="BC209" s="804">
        <f t="shared" si="141"/>
        <v>2</v>
      </c>
      <c r="BD209" s="805" t="str">
        <f t="shared" si="142"/>
        <v>Saturada</v>
      </c>
      <c r="BE209" s="806">
        <f t="shared" si="143"/>
        <v>0.45952822600502302</v>
      </c>
      <c r="BF209" s="890">
        <f>IF(ISNUMBER('Base de datos Rutas'!CX207),'Base de datos Rutas'!CX207/100,"")</f>
        <v>2.9291154071470417E-3</v>
      </c>
      <c r="BG209" s="891">
        <f>IF(ISNUMBER('Base de datos Rutas'!CZ207),'Base de datos Rutas'!CZ207/100,"")</f>
        <v>2.9291154071470417E-3</v>
      </c>
      <c r="BH209" s="892">
        <f>IF(ISNUMBER('Base de datos Rutas'!DA207),'Base de datos Rutas'!DA207,"")</f>
        <v>0</v>
      </c>
      <c r="BI209" s="893">
        <f>IF(ISNUMBER('Base de datos Rutas'!DC207),'Base de datos Rutas'!DC207,"")</f>
        <v>0</v>
      </c>
      <c r="BJ209" s="805" t="str">
        <f t="shared" si="144"/>
        <v>Ruta (completo)</v>
      </c>
      <c r="BK209" s="783">
        <f t="shared" si="132"/>
        <v>1</v>
      </c>
      <c r="BL209" s="797">
        <f t="shared" si="133"/>
        <v>1</v>
      </c>
      <c r="BM209" s="797">
        <f t="shared" si="134"/>
        <v>1</v>
      </c>
      <c r="BN209" s="797">
        <f t="shared" si="135"/>
        <v>1</v>
      </c>
      <c r="BO209" s="798" cm="1">
        <f t="array" ref="BO209">SUMPRODUCT(--ISNUMBER($BF209:$BI209),$BK$3:$BN$3)</f>
        <v>1</v>
      </c>
      <c r="BP209" s="831">
        <f t="shared" si="145"/>
        <v>0</v>
      </c>
      <c r="BQ209" s="834" t="str">
        <f t="shared" si="146"/>
        <v>Bajo</v>
      </c>
      <c r="BR209" s="836">
        <f t="shared" si="136"/>
        <v>38.306117202204135</v>
      </c>
      <c r="BS209" s="836">
        <f t="shared" si="137"/>
        <v>0</v>
      </c>
      <c r="BT209" s="837" t="str">
        <f t="shared" si="138"/>
        <v>P2</v>
      </c>
      <c r="BU209" s="807" t="str">
        <f t="shared" si="147"/>
        <v>Al tope</v>
      </c>
      <c r="BV209" s="807" t="str">
        <f t="shared" si="139"/>
        <v>Zona de bajo potencial</v>
      </c>
      <c r="BW209" s="808" t="str">
        <f t="shared" si="140"/>
        <v>P2 - Mantener</v>
      </c>
    </row>
    <row r="210" spans="1:75">
      <c r="A210" s="780" t="str">
        <f>'Base de datos Rutas'!A208</f>
        <v>Norte</v>
      </c>
      <c r="B210" s="781" t="str">
        <f>'Base de datos Rutas'!B208</f>
        <v>Comarca</v>
      </c>
      <c r="C210" s="781" t="str">
        <f>'Base de datos Rutas'!C208</f>
        <v>Suc. Estadio</v>
      </c>
      <c r="D210" s="782">
        <f>IF(ISNUMBER('Base de datos Rutas'!D208),'Base de datos Rutas'!D208,"Sin código")</f>
        <v>217401</v>
      </c>
      <c r="E210" s="783" t="str">
        <f>'Base de datos Rutas'!F208</f>
        <v>Activa</v>
      </c>
      <c r="F210" s="784" t="str">
        <f>'Base de datos Rutas'!H208</f>
        <v>Sí</v>
      </c>
      <c r="G210" s="785">
        <f>IF(ISNUMBER('Base de datos Rutas'!BE208),'Base de datos Rutas'!BE208,"")</f>
        <v>44.435897435897402</v>
      </c>
      <c r="H210" s="786">
        <f>IF(ISNUMBER('Base de datos Rutas'!BH208),'Base de datos Rutas'!BH208,"")</f>
        <v>0.80249698368567401</v>
      </c>
      <c r="I210" s="788">
        <f>IFERROR(IF(OR(NOT(ISNUMBER('Base de datos Rutas'!O208)),N('Base de datos Rutas'!BK208)=0),"",'Base de datos Rutas'!O208/('Base de datos Rutas'!L208/'Base de datos Rutas'!BK208)),"")</f>
        <v>4048.4620689655167</v>
      </c>
      <c r="J210" s="788">
        <f>IFERROR(IF(OR(NOT(ISNUMBER('Base de datos Rutas'!N208)),N('Base de datos Rutas'!BK208)=0),"",'Base de datos Rutas'!N208/('Base de datos Rutas'!L208/'Base de datos Rutas'!BK208)),"")</f>
        <v>5371.0735632183905</v>
      </c>
      <c r="K210" s="788">
        <f>IFERROR(IF(OR(NOT(ISNUMBER('Base de datos Rutas'!J208)),N('Base de datos Rutas'!BK208)=0),"",'Base de datos Rutas'!J208/('Base de datos Rutas'!L208/'Base de datos Rutas'!BK208)),"")</f>
        <v>381.28562942528731</v>
      </c>
      <c r="L210" s="788">
        <f>IFERROR(IF(OR(NOT(ISNUMBER('Base de datos Rutas'!K208)),N('Base de datos Rutas'!BK208)=0),"",'Base de datos Rutas'!K208/('Base de datos Rutas'!L208/'Base de datos Rutas'!BK208)),"")</f>
        <v>39.601939080459765</v>
      </c>
      <c r="M210" s="787">
        <f>IF(ISNUMBER('Base de datos Rutas'!AX208),'Base de datos Rutas'!AX208,"")</f>
        <v>265.02091257220798</v>
      </c>
      <c r="N210" s="790">
        <f>IFERROR(INDEX('Hoja de apoyo v2'!B$17:B$20,MATCH($A210,'Hoja de apoyo v2'!$A$17:$A$20,0)),"")</f>
        <v>74.190366972477051</v>
      </c>
      <c r="O210" s="791">
        <f>IFERROR(INDEX('Hoja de apoyo v2'!C$17:C$20,MATCH($A210,'Hoja de apoyo v2'!$A$17:$A$20,0)),"")</f>
        <v>0.71677657005077755</v>
      </c>
      <c r="P210" s="793">
        <f>IFERROR(INDEX('Hoja de apoyo v2'!D$17:D$20,MATCH($A210,'Hoja de apoyo v2'!$A$17:$A$20,0)),"")</f>
        <v>8755.1153350385739</v>
      </c>
      <c r="Q210" s="793">
        <f>IFERROR(INDEX('Hoja de apoyo v2'!E$17:E$20,MATCH($A210,'Hoja de apoyo v2'!$A$17:$A$20,0)),"")</f>
        <v>6098.2042779326393</v>
      </c>
      <c r="R210" s="793">
        <f>IFERROR(INDEX('Hoja de apoyo v2'!F$17:F$20,MATCH($A210,'Hoja de apoyo v2'!$A$17:$A$20,0)),"")</f>
        <v>389.08889713610301</v>
      </c>
      <c r="S210" s="793">
        <f>IFERROR(INDEX('Hoja de apoyo v2'!G$17:G$20,MATCH($A210,'Hoja de apoyo v2'!$A$17:$A$20,0)),"")</f>
        <v>67.90575167807188</v>
      </c>
      <c r="T210" s="792">
        <f>IFERROR(INDEX('Hoja de apoyo v2'!H$17:H$20,MATCH($A210,'Hoja de apoyo v2'!$A$17:$A$20,0)),"")</f>
        <v>258.90325471200998</v>
      </c>
      <c r="U210" s="794">
        <f t="shared" si="112"/>
        <v>0.59894430030764123</v>
      </c>
      <c r="V210" s="795">
        <f t="shared" si="113"/>
        <v>1.1195915397022866</v>
      </c>
      <c r="W210" s="795">
        <f t="shared" si="114"/>
        <v>0.46241104931688254</v>
      </c>
      <c r="X210" s="843">
        <f t="shared" si="115"/>
        <v>0.88076314246384113</v>
      </c>
      <c r="Y210" s="843">
        <f t="shared" si="116"/>
        <v>0.97994476900201521</v>
      </c>
      <c r="Z210" s="843">
        <f t="shared" si="117"/>
        <v>0.5831897608350608</v>
      </c>
      <c r="AA210" s="843">
        <f t="shared" si="118"/>
        <v>1.0236291268991691</v>
      </c>
      <c r="AB210" s="796">
        <f t="shared" si="119"/>
        <v>2</v>
      </c>
      <c r="AC210" s="797">
        <f t="shared" si="120"/>
        <v>4</v>
      </c>
      <c r="AD210" s="797">
        <f t="shared" si="121"/>
        <v>1</v>
      </c>
      <c r="AE210" s="842">
        <f t="shared" si="122"/>
        <v>3</v>
      </c>
      <c r="AF210" s="842">
        <f t="shared" si="123"/>
        <v>3</v>
      </c>
      <c r="AG210" s="842">
        <f t="shared" si="124"/>
        <v>2</v>
      </c>
      <c r="AH210" s="842">
        <f t="shared" si="125"/>
        <v>4</v>
      </c>
      <c r="AI210" s="826" cm="1">
        <f t="array" ref="AI210">SUMPRODUCT(--ISNUMBER($U210:$AA210),$AB$3:$AH$3)</f>
        <v>1</v>
      </c>
      <c r="AJ210" s="829">
        <f t="shared" si="126"/>
        <v>35.476587541364545</v>
      </c>
      <c r="AK210" s="827" t="str">
        <f t="shared" si="127"/>
        <v>Inmadura</v>
      </c>
      <c r="AL210" s="784" t="str">
        <f t="shared" si="128"/>
        <v>Alta</v>
      </c>
      <c r="AM210" s="799">
        <f>IF(ISNUMBER('Base de datos Rutas'!W208),'Base de datos Rutas'!W208,"")</f>
        <v>1969.9340858657986</v>
      </c>
      <c r="AN210" s="787">
        <f>IFERROR(SUMIFS('Base de datos Rutas'!$W$6:$W$794,'Base de datos Rutas'!$C$6:$C$794,$C210)/'Base de datos Rutas'!I208,"")</f>
        <v>1969.9340858657988</v>
      </c>
      <c r="AO210" s="800">
        <f>IFERROR('Base de datos Rutas'!X208*AN210/AM210,"")</f>
        <v>0.5403238133625391</v>
      </c>
      <c r="AP210" s="800">
        <f t="shared" si="129"/>
        <v>0.4596761866374609</v>
      </c>
      <c r="AQ210" s="789">
        <f>IFERROR(INDEX('Hoja de apoyo v2'!$J$17:$J$20,MATCH($A210,'Hoja de apoyo v2'!$A$17:$A$20,0)),"")</f>
        <v>0.62197445417222763</v>
      </c>
      <c r="AR210" s="789">
        <f t="shared" si="130"/>
        <v>-0.16229826753476673</v>
      </c>
      <c r="AS210" s="784" t="str">
        <f t="shared" si="131"/>
        <v>No</v>
      </c>
      <c r="AT210" s="801">
        <f>IF(ISNUMBER('Base de datos Rutas'!CK208),'Base de datos Rutas'!CK208,"")</f>
        <v>310</v>
      </c>
      <c r="AU210" s="802">
        <f>IF(ISNUMBER('Base de datos Rutas'!CL208),'Base de datos Rutas'!CL208,"")</f>
        <v>450.68</v>
      </c>
      <c r="AV210" s="802">
        <f>IF(ISNUMBER('Base de datos Rutas'!CM208),'Base de datos Rutas'!CM208,"")</f>
        <v>140.68</v>
      </c>
      <c r="AW210" s="802">
        <f>IF(ISNUMBER('Base de datos Rutas'!CN208),'Base de datos Rutas'!CN208,"")</f>
        <v>14.91</v>
      </c>
      <c r="AX210" s="802">
        <f>IF(ISNUMBER('Base de datos Rutas'!CO208),'Base de datos Rutas'!CO208,"")</f>
        <v>9.4499999999999993</v>
      </c>
      <c r="AY210" s="802">
        <f>IF(ISNUMBER('Base de datos Rutas'!CP208),'Base de datos Rutas'!CP208,"")</f>
        <v>-5.4600000000000009</v>
      </c>
      <c r="AZ210" s="802">
        <f>IF(ISNUMBER('Base de datos Rutas'!CQ208),'Base de datos Rutas'!CQ208,"")</f>
        <v>609.19000000000005</v>
      </c>
      <c r="BA210" s="802">
        <f>IF(ISNUMBER('Base de datos Rutas'!CR208),'Base de datos Rutas'!CR208,"")</f>
        <v>420.89</v>
      </c>
      <c r="BB210" s="803">
        <f>IF(ISNUMBER('Base de datos Rutas'!CS208),'Base de datos Rutas'!CS208,"")</f>
        <v>188.30000000000007</v>
      </c>
      <c r="BC210" s="804">
        <f t="shared" si="141"/>
        <v>1</v>
      </c>
      <c r="BD210" s="805" t="str">
        <f t="shared" si="142"/>
        <v>Saturada</v>
      </c>
      <c r="BE210" s="806">
        <f t="shared" si="143"/>
        <v>0.69090103251859014</v>
      </c>
      <c r="BF210" s="890">
        <f>IF(ISNUMBER('Base de datos Rutas'!CX208),'Base de datos Rutas'!CX208/100,"")</f>
        <v>0.27137140170315027</v>
      </c>
      <c r="BG210" s="891">
        <f>IF(ISNUMBER('Base de datos Rutas'!CZ208),'Base de datos Rutas'!CZ208/100,"")</f>
        <v>0.27872106995454782</v>
      </c>
      <c r="BH210" s="892">
        <f>IF(ISNUMBER('Base de datos Rutas'!DA208),'Base de datos Rutas'!DA208,"")</f>
        <v>68.561012318428681</v>
      </c>
      <c r="BI210" s="893">
        <f>IF(ISNUMBER('Base de datos Rutas'!DC208),'Base de datos Rutas'!DC208,"")</f>
        <v>3.0478127424581261</v>
      </c>
      <c r="BJ210" s="805" t="str">
        <f t="shared" si="144"/>
        <v>Ruta (completo)</v>
      </c>
      <c r="BK210" s="783">
        <f t="shared" si="132"/>
        <v>3</v>
      </c>
      <c r="BL210" s="797">
        <f t="shared" si="133"/>
        <v>3</v>
      </c>
      <c r="BM210" s="797">
        <f t="shared" si="134"/>
        <v>2</v>
      </c>
      <c r="BN210" s="797">
        <f t="shared" si="135"/>
        <v>2</v>
      </c>
      <c r="BO210" s="798" cm="1">
        <f t="array" ref="BO210">SUMPRODUCT(--ISNUMBER($BF210:$BI210),$BK$3:$BN$3)</f>
        <v>1</v>
      </c>
      <c r="BP210" s="831">
        <f t="shared" si="145"/>
        <v>37.5</v>
      </c>
      <c r="BQ210" s="834" t="str">
        <f t="shared" si="146"/>
        <v>Medio</v>
      </c>
      <c r="BR210" s="836">
        <f t="shared" si="136"/>
        <v>51.607440656023407</v>
      </c>
      <c r="BS210" s="836">
        <f t="shared" si="137"/>
        <v>37.5</v>
      </c>
      <c r="BT210" s="837" t="str">
        <f t="shared" si="138"/>
        <v>P2</v>
      </c>
      <c r="BU210" s="807" t="str">
        <f t="shared" si="147"/>
        <v>Al tope</v>
      </c>
      <c r="BV210" s="807" t="str">
        <f t="shared" si="139"/>
        <v>Zona de bajo potencial</v>
      </c>
      <c r="BW210" s="808" t="str">
        <f t="shared" si="140"/>
        <v>P2 - Mantener</v>
      </c>
    </row>
    <row r="211" spans="1:75">
      <c r="A211" s="780" t="str">
        <f>'Base de datos Rutas'!A209</f>
        <v>Norte</v>
      </c>
      <c r="B211" s="781" t="str">
        <f>'Base de datos Rutas'!B209</f>
        <v>Comarca</v>
      </c>
      <c r="C211" s="781" t="str">
        <f>'Base de datos Rutas'!C209</f>
        <v>Suc. Estadio</v>
      </c>
      <c r="D211" s="782">
        <f>IF(ISNUMBER('Base de datos Rutas'!D209),'Base de datos Rutas'!D209,"Sin código")</f>
        <v>217402</v>
      </c>
      <c r="E211" s="783" t="str">
        <f>'Base de datos Rutas'!F209</f>
        <v>Activa</v>
      </c>
      <c r="F211" s="784" t="str">
        <f>'Base de datos Rutas'!H209</f>
        <v>Sí</v>
      </c>
      <c r="G211" s="785">
        <f>IF(ISNUMBER('Base de datos Rutas'!BE209),'Base de datos Rutas'!BE209,"")</f>
        <v>51.406896551724103</v>
      </c>
      <c r="H211" s="786">
        <f>IF(ISNUMBER('Base de datos Rutas'!BH209),'Base de datos Rutas'!BH209,"")</f>
        <v>0.425275020123424</v>
      </c>
      <c r="I211" s="788">
        <f>IFERROR(IF(OR(NOT(ISNUMBER('Base de datos Rutas'!O209)),N('Base de datos Rutas'!BK209)=0),"",'Base de datos Rutas'!O209/('Base de datos Rutas'!L209/'Base de datos Rutas'!BK209)),"")</f>
        <v>2757.3333333333371</v>
      </c>
      <c r="J211" s="788">
        <f>IFERROR(IF(OR(NOT(ISNUMBER('Base de datos Rutas'!N209)),N('Base de datos Rutas'!BK209)=0),"",'Base de datos Rutas'!N209/('Base de datos Rutas'!L209/'Base de datos Rutas'!BK209)),"")</f>
        <v>3058.5793103448318</v>
      </c>
      <c r="K211" s="788">
        <f>IFERROR(IF(OR(NOT(ISNUMBER('Base de datos Rutas'!J209)),N('Base de datos Rutas'!BK209)=0),"",'Base de datos Rutas'!J209/('Base de datos Rutas'!L209/'Base de datos Rutas'!BK209)),"")</f>
        <v>211.01200367816122</v>
      </c>
      <c r="L211" s="788">
        <f>IFERROR(IF(OR(NOT(ISNUMBER('Base de datos Rutas'!K209)),N('Base de datos Rutas'!BK209)=0),"",'Base de datos Rutas'!K209/('Base de datos Rutas'!L209/'Base de datos Rutas'!BK209)),"")</f>
        <v>29.821177388505792</v>
      </c>
      <c r="M211" s="787">
        <f>IF(ISNUMBER('Base de datos Rutas'!AX209),'Base de datos Rutas'!AX209,"")</f>
        <v>258.12895162986302</v>
      </c>
      <c r="N211" s="790">
        <f>IFERROR(INDEX('Hoja de apoyo v2'!B$17:B$20,MATCH($A211,'Hoja de apoyo v2'!$A$17:$A$20,0)),"")</f>
        <v>74.190366972477051</v>
      </c>
      <c r="O211" s="791">
        <f>IFERROR(INDEX('Hoja de apoyo v2'!C$17:C$20,MATCH($A211,'Hoja de apoyo v2'!$A$17:$A$20,0)),"")</f>
        <v>0.71677657005077755</v>
      </c>
      <c r="P211" s="793">
        <f>IFERROR(INDEX('Hoja de apoyo v2'!D$17:D$20,MATCH($A211,'Hoja de apoyo v2'!$A$17:$A$20,0)),"")</f>
        <v>8755.1153350385739</v>
      </c>
      <c r="Q211" s="793">
        <f>IFERROR(INDEX('Hoja de apoyo v2'!E$17:E$20,MATCH($A211,'Hoja de apoyo v2'!$A$17:$A$20,0)),"")</f>
        <v>6098.2042779326393</v>
      </c>
      <c r="R211" s="793">
        <f>IFERROR(INDEX('Hoja de apoyo v2'!F$17:F$20,MATCH($A211,'Hoja de apoyo v2'!$A$17:$A$20,0)),"")</f>
        <v>389.08889713610301</v>
      </c>
      <c r="S211" s="793">
        <f>IFERROR(INDEX('Hoja de apoyo v2'!G$17:G$20,MATCH($A211,'Hoja de apoyo v2'!$A$17:$A$20,0)),"")</f>
        <v>67.90575167807188</v>
      </c>
      <c r="T211" s="792">
        <f>IFERROR(INDEX('Hoja de apoyo v2'!H$17:H$20,MATCH($A211,'Hoja de apoyo v2'!$A$17:$A$20,0)),"")</f>
        <v>258.90325471200998</v>
      </c>
      <c r="U211" s="794">
        <f t="shared" si="112"/>
        <v>0.6929052739528152</v>
      </c>
      <c r="V211" s="795">
        <f t="shared" si="113"/>
        <v>0.59331601770032305</v>
      </c>
      <c r="W211" s="795">
        <f t="shared" si="114"/>
        <v>0.31493969271864408</v>
      </c>
      <c r="X211" s="843">
        <f t="shared" si="115"/>
        <v>0.5015540921468975</v>
      </c>
      <c r="Y211" s="843">
        <f t="shared" si="116"/>
        <v>0.54232337450726431</v>
      </c>
      <c r="Z211" s="843">
        <f t="shared" si="117"/>
        <v>0.43915539776191953</v>
      </c>
      <c r="AA211" s="843">
        <f t="shared" si="118"/>
        <v>0.99700929568070418</v>
      </c>
      <c r="AB211" s="796">
        <f t="shared" si="119"/>
        <v>2</v>
      </c>
      <c r="AC211" s="797">
        <f t="shared" si="120"/>
        <v>2</v>
      </c>
      <c r="AD211" s="797">
        <f t="shared" si="121"/>
        <v>1</v>
      </c>
      <c r="AE211" s="842">
        <f t="shared" si="122"/>
        <v>2</v>
      </c>
      <c r="AF211" s="842">
        <f t="shared" si="123"/>
        <v>2</v>
      </c>
      <c r="AG211" s="842">
        <f t="shared" si="124"/>
        <v>1</v>
      </c>
      <c r="AH211" s="842">
        <f t="shared" si="125"/>
        <v>3</v>
      </c>
      <c r="AI211" s="826" cm="1">
        <f t="array" ref="AI211">SUMPRODUCT(--ISNUMBER($U211:$AA211),$AB$3:$AH$3)</f>
        <v>1</v>
      </c>
      <c r="AJ211" s="829">
        <f t="shared" si="126"/>
        <v>17.741489602938842</v>
      </c>
      <c r="AK211" s="827" t="str">
        <f t="shared" si="127"/>
        <v>Inmadura</v>
      </c>
      <c r="AL211" s="784" t="str">
        <f t="shared" si="128"/>
        <v>Alta</v>
      </c>
      <c r="AM211" s="799">
        <f>IF(ISNUMBER('Base de datos Rutas'!W209),'Base de datos Rutas'!W209,"")</f>
        <v>1969.9340858657986</v>
      </c>
      <c r="AN211" s="787">
        <f>IFERROR(SUMIFS('Base de datos Rutas'!$W$6:$W$794,'Base de datos Rutas'!$C$6:$C$794,$C211)/'Base de datos Rutas'!I209,"")</f>
        <v>1969.9340858657988</v>
      </c>
      <c r="AO211" s="800">
        <f>IFERROR('Base de datos Rutas'!X209*AN211/AM211,"")</f>
        <v>0.5403238133625391</v>
      </c>
      <c r="AP211" s="800">
        <f t="shared" si="129"/>
        <v>0.4596761866374609</v>
      </c>
      <c r="AQ211" s="789">
        <f>IFERROR(INDEX('Hoja de apoyo v2'!$J$17:$J$20,MATCH($A211,'Hoja de apoyo v2'!$A$17:$A$20,0)),"")</f>
        <v>0.62197445417222763</v>
      </c>
      <c r="AR211" s="789">
        <f t="shared" si="130"/>
        <v>-0.16229826753476673</v>
      </c>
      <c r="AS211" s="784" t="str">
        <f t="shared" si="131"/>
        <v>No</v>
      </c>
      <c r="AT211" s="801">
        <f>IF(ISNUMBER('Base de datos Rutas'!CK209),'Base de datos Rutas'!CK209,"")</f>
        <v>277</v>
      </c>
      <c r="AU211" s="802">
        <f>IF(ISNUMBER('Base de datos Rutas'!CL209),'Base de datos Rutas'!CL209,"")</f>
        <v>338.22</v>
      </c>
      <c r="AV211" s="802">
        <f>IF(ISNUMBER('Base de datos Rutas'!CM209),'Base de datos Rutas'!CM209,"")</f>
        <v>61.220000000000027</v>
      </c>
      <c r="AW211" s="802">
        <f>IF(ISNUMBER('Base de datos Rutas'!CN209),'Base de datos Rutas'!CN209,"")</f>
        <v>7.15</v>
      </c>
      <c r="AX211" s="802">
        <f>IF(ISNUMBER('Base de datos Rutas'!CO209),'Base de datos Rutas'!CO209,"")</f>
        <v>9.4499999999999993</v>
      </c>
      <c r="AY211" s="802">
        <f>IF(ISNUMBER('Base de datos Rutas'!CP209),'Base de datos Rutas'!CP209,"")</f>
        <v>2.2999999999999989</v>
      </c>
      <c r="AZ211" s="802">
        <f>IF(ISNUMBER('Base de datos Rutas'!CQ209),'Base de datos Rutas'!CQ209,"")</f>
        <v>609.19000000000005</v>
      </c>
      <c r="BA211" s="802">
        <f>IF(ISNUMBER('Base de datos Rutas'!CR209),'Base de datos Rutas'!CR209,"")</f>
        <v>240.83</v>
      </c>
      <c r="BB211" s="803">
        <f>IF(ISNUMBER('Base de datos Rutas'!CS209),'Base de datos Rutas'!CS209,"")</f>
        <v>368.36</v>
      </c>
      <c r="BC211" s="804">
        <f t="shared" si="141"/>
        <v>0</v>
      </c>
      <c r="BD211" s="805" t="str">
        <f t="shared" si="142"/>
        <v>No saturada</v>
      </c>
      <c r="BE211" s="806">
        <f t="shared" si="143"/>
        <v>0.39532822272197504</v>
      </c>
      <c r="BF211" s="890">
        <f>IF(ISNUMBER('Base de datos Rutas'!CX209),'Base de datos Rutas'!CX209/100,"")</f>
        <v>7.6413264455924015E-2</v>
      </c>
      <c r="BG211" s="891">
        <f>IF(ISNUMBER('Base de datos Rutas'!CZ209),'Base de datos Rutas'!CZ209/100,"")</f>
        <v>7.8453591068155304E-2</v>
      </c>
      <c r="BH211" s="892">
        <f>IF(ISNUMBER('Base de datos Rutas'!DA209),'Base de datos Rutas'!DA209,"")</f>
        <v>30.504166469878818</v>
      </c>
      <c r="BI211" s="893">
        <f>IF(ISNUMBER('Base de datos Rutas'!DC209),'Base de datos Rutas'!DC209,"")</f>
        <v>1.2562586849959854</v>
      </c>
      <c r="BJ211" s="805" t="str">
        <f t="shared" si="144"/>
        <v>Ruta (completo)</v>
      </c>
      <c r="BK211" s="783">
        <f t="shared" si="132"/>
        <v>1</v>
      </c>
      <c r="BL211" s="797">
        <f t="shared" si="133"/>
        <v>1</v>
      </c>
      <c r="BM211" s="797">
        <f t="shared" si="134"/>
        <v>1</v>
      </c>
      <c r="BN211" s="797">
        <f t="shared" si="135"/>
        <v>1</v>
      </c>
      <c r="BO211" s="798" cm="1">
        <f t="array" ref="BO211">SUMPRODUCT(--ISNUMBER($BF211:$BI211),$BK$3:$BN$3)</f>
        <v>1</v>
      </c>
      <c r="BP211" s="831">
        <f t="shared" si="145"/>
        <v>0</v>
      </c>
      <c r="BQ211" s="834" t="str">
        <f t="shared" si="146"/>
        <v>Bajo</v>
      </c>
      <c r="BR211" s="836">
        <f t="shared" si="136"/>
        <v>13.306117202204131</v>
      </c>
      <c r="BS211" s="836">
        <f t="shared" si="137"/>
        <v>0</v>
      </c>
      <c r="BT211" s="837" t="str">
        <f t="shared" si="138"/>
        <v>P4</v>
      </c>
      <c r="BU211" s="807" t="str">
        <f t="shared" si="147"/>
        <v>Con espacio</v>
      </c>
      <c r="BV211" s="807" t="str">
        <f t="shared" si="139"/>
        <v>Zona de bajo potencial</v>
      </c>
      <c r="BW211" s="808" t="str">
        <f t="shared" si="140"/>
        <v>P4 - Evaluar</v>
      </c>
    </row>
    <row r="212" spans="1:75">
      <c r="A212" s="780" t="str">
        <f>'Base de datos Rutas'!A210</f>
        <v>Norte</v>
      </c>
      <c r="B212" s="781" t="str">
        <f>'Base de datos Rutas'!B210</f>
        <v>Comarca</v>
      </c>
      <c r="C212" s="781" t="str">
        <f>'Base de datos Rutas'!C210</f>
        <v>Suc. Estadio</v>
      </c>
      <c r="D212" s="782">
        <f>IF(ISNUMBER('Base de datos Rutas'!D210),'Base de datos Rutas'!D210,"Sin código")</f>
        <v>217403</v>
      </c>
      <c r="E212" s="783" t="str">
        <f>'Base de datos Rutas'!F210</f>
        <v>Activa</v>
      </c>
      <c r="F212" s="784" t="str">
        <f>'Base de datos Rutas'!H210</f>
        <v>Sí</v>
      </c>
      <c r="G212" s="785">
        <f>IF(ISNUMBER('Base de datos Rutas'!BE210),'Base de datos Rutas'!BE210,"")</f>
        <v>90.303448275862095</v>
      </c>
      <c r="H212" s="786">
        <f>IF(ISNUMBER('Base de datos Rutas'!BH210),'Base de datos Rutas'!BH210,"")</f>
        <v>0.37793391375184598</v>
      </c>
      <c r="I212" s="788">
        <f>IFERROR(IF(OR(NOT(ISNUMBER('Base de datos Rutas'!O210)),N('Base de datos Rutas'!BK210)=0),"",'Base de datos Rutas'!O210/('Base de datos Rutas'!L210/'Base de datos Rutas'!BK210)),"")</f>
        <v>1972.4068965517245</v>
      </c>
      <c r="J212" s="788">
        <f>IFERROR(IF(OR(NOT(ISNUMBER('Base de datos Rutas'!N210)),N('Base de datos Rutas'!BK210)=0),"",'Base de datos Rutas'!N210/('Base de datos Rutas'!L210/'Base de datos Rutas'!BK210)),"")</f>
        <v>3676.3609195402305</v>
      </c>
      <c r="K212" s="788">
        <f>IFERROR(IF(OR(NOT(ISNUMBER('Base de datos Rutas'!J210)),N('Base de datos Rutas'!BK210)=0),"",'Base de datos Rutas'!J210/('Base de datos Rutas'!L210/'Base de datos Rutas'!BK210)),"")</f>
        <v>257.59675586206902</v>
      </c>
      <c r="L212" s="788">
        <f>IFERROR(IF(OR(NOT(ISNUMBER('Base de datos Rutas'!K210)),N('Base de datos Rutas'!BK210)=0),"",'Base de datos Rutas'!K210/('Base de datos Rutas'!L210/'Base de datos Rutas'!BK210)),"")</f>
        <v>23.398106800000004</v>
      </c>
      <c r="M212" s="787">
        <f>IF(ISNUMBER('Base de datos Rutas'!AX210),'Base de datos Rutas'!AX210,"")</f>
        <v>166.77797319143201</v>
      </c>
      <c r="N212" s="790">
        <f>IFERROR(INDEX('Hoja de apoyo v2'!B$17:B$20,MATCH($A212,'Hoja de apoyo v2'!$A$17:$A$20,0)),"")</f>
        <v>74.190366972477051</v>
      </c>
      <c r="O212" s="791">
        <f>IFERROR(INDEX('Hoja de apoyo v2'!C$17:C$20,MATCH($A212,'Hoja de apoyo v2'!$A$17:$A$20,0)),"")</f>
        <v>0.71677657005077755</v>
      </c>
      <c r="P212" s="793">
        <f>IFERROR(INDEX('Hoja de apoyo v2'!D$17:D$20,MATCH($A212,'Hoja de apoyo v2'!$A$17:$A$20,0)),"")</f>
        <v>8755.1153350385739</v>
      </c>
      <c r="Q212" s="793">
        <f>IFERROR(INDEX('Hoja de apoyo v2'!E$17:E$20,MATCH($A212,'Hoja de apoyo v2'!$A$17:$A$20,0)),"")</f>
        <v>6098.2042779326393</v>
      </c>
      <c r="R212" s="793">
        <f>IFERROR(INDEX('Hoja de apoyo v2'!F$17:F$20,MATCH($A212,'Hoja de apoyo v2'!$A$17:$A$20,0)),"")</f>
        <v>389.08889713610301</v>
      </c>
      <c r="S212" s="793">
        <f>IFERROR(INDEX('Hoja de apoyo v2'!G$17:G$20,MATCH($A212,'Hoja de apoyo v2'!$A$17:$A$20,0)),"")</f>
        <v>67.90575167807188</v>
      </c>
      <c r="T212" s="792">
        <f>IFERROR(INDEX('Hoja de apoyo v2'!H$17:H$20,MATCH($A212,'Hoja de apoyo v2'!$A$17:$A$20,0)),"")</f>
        <v>258.90325471200998</v>
      </c>
      <c r="U212" s="794">
        <f t="shared" si="112"/>
        <v>1.2171856261253249</v>
      </c>
      <c r="V212" s="795">
        <f t="shared" si="113"/>
        <v>0.52726878855020687</v>
      </c>
      <c r="W212" s="795">
        <f t="shared" si="114"/>
        <v>0.22528622651697303</v>
      </c>
      <c r="X212" s="843">
        <f t="shared" si="115"/>
        <v>0.60285958816495377</v>
      </c>
      <c r="Y212" s="843">
        <f t="shared" si="116"/>
        <v>0.66205116043689594</v>
      </c>
      <c r="Z212" s="843">
        <f t="shared" si="117"/>
        <v>0.34456737789938519</v>
      </c>
      <c r="AA212" s="843">
        <f t="shared" si="118"/>
        <v>0.64417101815481936</v>
      </c>
      <c r="AB212" s="796">
        <f t="shared" si="119"/>
        <v>4</v>
      </c>
      <c r="AC212" s="797">
        <f t="shared" si="120"/>
        <v>2</v>
      </c>
      <c r="AD212" s="797">
        <f t="shared" si="121"/>
        <v>1</v>
      </c>
      <c r="AE212" s="842">
        <f t="shared" si="122"/>
        <v>2</v>
      </c>
      <c r="AF212" s="842">
        <f t="shared" si="123"/>
        <v>2</v>
      </c>
      <c r="AG212" s="842">
        <f t="shared" si="124"/>
        <v>1</v>
      </c>
      <c r="AH212" s="842">
        <f t="shared" si="125"/>
        <v>2</v>
      </c>
      <c r="AI212" s="826" cm="1">
        <f t="array" ref="AI212">SUMPRODUCT(--ISNUMBER($U212:$AA212),$AB$3:$AH$3)</f>
        <v>1</v>
      </c>
      <c r="AJ212" s="829">
        <f t="shared" si="126"/>
        <v>24.564034118885786</v>
      </c>
      <c r="AK212" s="827" t="str">
        <f t="shared" si="127"/>
        <v>Inmadura</v>
      </c>
      <c r="AL212" s="784" t="str">
        <f t="shared" si="128"/>
        <v>Alta</v>
      </c>
      <c r="AM212" s="799">
        <f>IF(ISNUMBER('Base de datos Rutas'!W210),'Base de datos Rutas'!W210,"")</f>
        <v>1969.9340858657986</v>
      </c>
      <c r="AN212" s="787">
        <f>IFERROR(SUMIFS('Base de datos Rutas'!$W$6:$W$794,'Base de datos Rutas'!$C$6:$C$794,$C212)/'Base de datos Rutas'!I210,"")</f>
        <v>1969.9340858657988</v>
      </c>
      <c r="AO212" s="800">
        <f>IFERROR('Base de datos Rutas'!X210*AN212/AM212,"")</f>
        <v>0.5403238133625391</v>
      </c>
      <c r="AP212" s="800">
        <f t="shared" si="129"/>
        <v>0.4596761866374609</v>
      </c>
      <c r="AQ212" s="789">
        <f>IFERROR(INDEX('Hoja de apoyo v2'!$J$17:$J$20,MATCH($A212,'Hoja de apoyo v2'!$A$17:$A$20,0)),"")</f>
        <v>0.62197445417222763</v>
      </c>
      <c r="AR212" s="789">
        <f t="shared" si="130"/>
        <v>-0.16229826753476673</v>
      </c>
      <c r="AS212" s="784" t="str">
        <f t="shared" si="131"/>
        <v>No</v>
      </c>
      <c r="AT212" s="801">
        <f>IF(ISNUMBER('Base de datos Rutas'!CK210),'Base de datos Rutas'!CK210,"")</f>
        <v>401</v>
      </c>
      <c r="AU212" s="802">
        <f>IF(ISNUMBER('Base de datos Rutas'!CL210),'Base de datos Rutas'!CL210,"")</f>
        <v>531.66</v>
      </c>
      <c r="AV212" s="802">
        <f>IF(ISNUMBER('Base de datos Rutas'!CM210),'Base de datos Rutas'!CM210,"")</f>
        <v>130.65999999999997</v>
      </c>
      <c r="AW212" s="802">
        <f>IF(ISNUMBER('Base de datos Rutas'!CN210),'Base de datos Rutas'!CN210,"")</f>
        <v>10.029999999999999</v>
      </c>
      <c r="AX212" s="802">
        <f>IF(ISNUMBER('Base de datos Rutas'!CO210),'Base de datos Rutas'!CO210,"")</f>
        <v>9.4499999999999993</v>
      </c>
      <c r="AY212" s="802">
        <f>IF(ISNUMBER('Base de datos Rutas'!CP210),'Base de datos Rutas'!CP210,"")</f>
        <v>-0.58000000000000007</v>
      </c>
      <c r="AZ212" s="802">
        <f>IF(ISNUMBER('Base de datos Rutas'!CQ210),'Base de datos Rutas'!CQ210,"")</f>
        <v>609.19000000000005</v>
      </c>
      <c r="BA212" s="802">
        <f>IF(ISNUMBER('Base de datos Rutas'!CR210),'Base de datos Rutas'!CR210,"")</f>
        <v>280.99</v>
      </c>
      <c r="BB212" s="803">
        <f>IF(ISNUMBER('Base de datos Rutas'!CS210),'Base de datos Rutas'!CS210,"")</f>
        <v>328.20000000000005</v>
      </c>
      <c r="BC212" s="804">
        <f t="shared" si="141"/>
        <v>1</v>
      </c>
      <c r="BD212" s="805" t="str">
        <f t="shared" si="142"/>
        <v>Saturada</v>
      </c>
      <c r="BE212" s="806">
        <f t="shared" si="143"/>
        <v>0.46125182619543981</v>
      </c>
      <c r="BF212" s="890">
        <f>IF(ISNUMBER('Base de datos Rutas'!CX210),'Base de datos Rutas'!CX210/100,"")</f>
        <v>0.14492477256822953</v>
      </c>
      <c r="BG212" s="891">
        <f>IF(ISNUMBER('Base de datos Rutas'!CZ210),'Base de datos Rutas'!CZ210/100,"")</f>
        <v>0.14873454630277583</v>
      </c>
      <c r="BH212" s="892">
        <f>IF(ISNUMBER('Base de datos Rutas'!DA210),'Base de datos Rutas'!DA210,"")</f>
        <v>39.220257788585933</v>
      </c>
      <c r="BI212" s="893">
        <f>IF(ISNUMBER('Base de datos Rutas'!DC210),'Base de datos Rutas'!DC210,"")</f>
        <v>1.9091959545305877</v>
      </c>
      <c r="BJ212" s="805" t="str">
        <f t="shared" si="144"/>
        <v>Ruta (completo)</v>
      </c>
      <c r="BK212" s="783">
        <f t="shared" si="132"/>
        <v>2</v>
      </c>
      <c r="BL212" s="797">
        <f t="shared" si="133"/>
        <v>2</v>
      </c>
      <c r="BM212" s="797">
        <f t="shared" si="134"/>
        <v>2</v>
      </c>
      <c r="BN212" s="797">
        <f t="shared" si="135"/>
        <v>2</v>
      </c>
      <c r="BO212" s="798" cm="1">
        <f t="array" ref="BO212">SUMPRODUCT(--ISNUMBER($BF212:$BI212),$BK$3:$BN$3)</f>
        <v>1</v>
      </c>
      <c r="BP212" s="831">
        <f t="shared" si="145"/>
        <v>25</v>
      </c>
      <c r="BQ212" s="834" t="str">
        <f t="shared" si="146"/>
        <v>Medio</v>
      </c>
      <c r="BR212" s="836">
        <f t="shared" si="136"/>
        <v>43.42302558916434</v>
      </c>
      <c r="BS212" s="836">
        <f t="shared" si="137"/>
        <v>25</v>
      </c>
      <c r="BT212" s="837" t="str">
        <f t="shared" si="138"/>
        <v>P2</v>
      </c>
      <c r="BU212" s="807" t="str">
        <f t="shared" si="147"/>
        <v>Al tope</v>
      </c>
      <c r="BV212" s="807" t="str">
        <f t="shared" si="139"/>
        <v>Zona de bajo potencial</v>
      </c>
      <c r="BW212" s="808" t="str">
        <f t="shared" si="140"/>
        <v>P2 - Mantener</v>
      </c>
    </row>
    <row r="213" spans="1:75">
      <c r="A213" s="780" t="str">
        <f>'Base de datos Rutas'!A211</f>
        <v>Norte</v>
      </c>
      <c r="B213" s="781" t="str">
        <f>'Base de datos Rutas'!B211</f>
        <v>Comarca</v>
      </c>
      <c r="C213" s="781" t="str">
        <f>'Base de datos Rutas'!C211</f>
        <v>Suc. Estadio</v>
      </c>
      <c r="D213" s="782">
        <f>IF(ISNUMBER('Base de datos Rutas'!D211),'Base de datos Rutas'!D211,"Sin código")</f>
        <v>217404</v>
      </c>
      <c r="E213" s="783" t="str">
        <f>'Base de datos Rutas'!F211</f>
        <v>Activa</v>
      </c>
      <c r="F213" s="784" t="str">
        <f>'Base de datos Rutas'!H211</f>
        <v>Sí</v>
      </c>
      <c r="G213" s="785">
        <f>IF(ISNUMBER('Base de datos Rutas'!BE211),'Base de datos Rutas'!BE211,"")</f>
        <v>71.766949152542395</v>
      </c>
      <c r="H213" s="786">
        <f>IF(ISNUMBER('Base de datos Rutas'!BH211),'Base de datos Rutas'!BH211,"")</f>
        <v>1.50557950050186E-2</v>
      </c>
      <c r="I213" s="788">
        <f>IFERROR(IF(OR(NOT(ISNUMBER('Base de datos Rutas'!O211)),N('Base de datos Rutas'!BK211)=0),"",'Base de datos Rutas'!O211/('Base de datos Rutas'!L211/'Base de datos Rutas'!BK211)),"")</f>
        <v>53.755186721991713</v>
      </c>
      <c r="J213" s="788">
        <f>IFERROR(IF(OR(NOT(ISNUMBER('Base de datos Rutas'!N211)),N('Base de datos Rutas'!BK211)=0),"",'Base de datos Rutas'!N211/('Base de datos Rutas'!L211/'Base de datos Rutas'!BK211)),"")</f>
        <v>86.639004149377612</v>
      </c>
      <c r="K213" s="788">
        <f>IFERROR(IF(OR(NOT(ISNUMBER('Base de datos Rutas'!J211)),N('Base de datos Rutas'!BK211)=0),"",'Base de datos Rutas'!J211/('Base de datos Rutas'!L211/'Base de datos Rutas'!BK211)),"")</f>
        <v>6.7671004149377607</v>
      </c>
      <c r="L213" s="788">
        <f>IFERROR(IF(OR(NOT(ISNUMBER('Base de datos Rutas'!K211)),N('Base de datos Rutas'!BK211)=0),"",'Base de datos Rutas'!K211/('Base de datos Rutas'!L211/'Base de datos Rutas'!BK211)),"")</f>
        <v>1.4611042240663905</v>
      </c>
      <c r="M213" s="787">
        <f>IF(ISNUMBER('Base de datos Rutas'!AX211),'Base de datos Rutas'!AX211,"")</f>
        <v>198.016283524904</v>
      </c>
      <c r="N213" s="790">
        <f>IFERROR(INDEX('Hoja de apoyo v2'!B$17:B$20,MATCH($A213,'Hoja de apoyo v2'!$A$17:$A$20,0)),"")</f>
        <v>74.190366972477051</v>
      </c>
      <c r="O213" s="791">
        <f>IFERROR(INDEX('Hoja de apoyo v2'!C$17:C$20,MATCH($A213,'Hoja de apoyo v2'!$A$17:$A$20,0)),"")</f>
        <v>0.71677657005077755</v>
      </c>
      <c r="P213" s="793">
        <f>IFERROR(INDEX('Hoja de apoyo v2'!D$17:D$20,MATCH($A213,'Hoja de apoyo v2'!$A$17:$A$20,0)),"")</f>
        <v>8755.1153350385739</v>
      </c>
      <c r="Q213" s="793">
        <f>IFERROR(INDEX('Hoja de apoyo v2'!E$17:E$20,MATCH($A213,'Hoja de apoyo v2'!$A$17:$A$20,0)),"")</f>
        <v>6098.2042779326393</v>
      </c>
      <c r="R213" s="793">
        <f>IFERROR(INDEX('Hoja de apoyo v2'!F$17:F$20,MATCH($A213,'Hoja de apoyo v2'!$A$17:$A$20,0)),"")</f>
        <v>389.08889713610301</v>
      </c>
      <c r="S213" s="793">
        <f>IFERROR(INDEX('Hoja de apoyo v2'!G$17:G$20,MATCH($A213,'Hoja de apoyo v2'!$A$17:$A$20,0)),"")</f>
        <v>67.90575167807188</v>
      </c>
      <c r="T213" s="792">
        <f>IFERROR(INDEX('Hoja de apoyo v2'!H$17:H$20,MATCH($A213,'Hoja de apoyo v2'!$A$17:$A$20,0)),"")</f>
        <v>258.90325471200998</v>
      </c>
      <c r="U213" s="794">
        <f t="shared" si="112"/>
        <v>0.96733514175993107</v>
      </c>
      <c r="V213" s="795">
        <f t="shared" si="113"/>
        <v>2.1004864882723531E-2</v>
      </c>
      <c r="W213" s="795">
        <f t="shared" si="114"/>
        <v>6.1398604889714879E-3</v>
      </c>
      <c r="X213" s="843">
        <f t="shared" si="115"/>
        <v>1.4207297788120214E-2</v>
      </c>
      <c r="Y213" s="843">
        <f t="shared" si="116"/>
        <v>1.7392170439061987E-2</v>
      </c>
      <c r="Z213" s="843">
        <f t="shared" si="117"/>
        <v>2.1516649001887277E-2</v>
      </c>
      <c r="AA213" s="843">
        <f t="shared" si="118"/>
        <v>0.76482732418781929</v>
      </c>
      <c r="AB213" s="796">
        <f t="shared" si="119"/>
        <v>3</v>
      </c>
      <c r="AC213" s="797">
        <f t="shared" si="120"/>
        <v>1</v>
      </c>
      <c r="AD213" s="797">
        <f t="shared" si="121"/>
        <v>1</v>
      </c>
      <c r="AE213" s="842">
        <f t="shared" si="122"/>
        <v>1</v>
      </c>
      <c r="AF213" s="842">
        <f t="shared" si="123"/>
        <v>1</v>
      </c>
      <c r="AG213" s="842">
        <f t="shared" si="124"/>
        <v>1</v>
      </c>
      <c r="AH213" s="842">
        <f t="shared" si="125"/>
        <v>3</v>
      </c>
      <c r="AI213" s="826" cm="1">
        <f t="array" ref="AI213">SUMPRODUCT(--ISNUMBER($U213:$AA213),$AB$3:$AH$3)</f>
        <v>1</v>
      </c>
      <c r="AJ213" s="829">
        <f t="shared" si="126"/>
        <v>13.556728036926636</v>
      </c>
      <c r="AK213" s="827" t="str">
        <f t="shared" si="127"/>
        <v>Inmadura</v>
      </c>
      <c r="AL213" s="784" t="str">
        <f t="shared" si="128"/>
        <v>Alta</v>
      </c>
      <c r="AM213" s="799">
        <f>IF(ISNUMBER('Base de datos Rutas'!W211),'Base de datos Rutas'!W211,"")</f>
        <v>1969.9340858657986</v>
      </c>
      <c r="AN213" s="787">
        <f>IFERROR(SUMIFS('Base de datos Rutas'!$W$6:$W$794,'Base de datos Rutas'!$C$6:$C$794,$C213)/'Base de datos Rutas'!I211,"")</f>
        <v>1969.9340858657988</v>
      </c>
      <c r="AO213" s="800">
        <f>IFERROR('Base de datos Rutas'!X211*AN213/AM213,"")</f>
        <v>0.5403238133625391</v>
      </c>
      <c r="AP213" s="800">
        <f t="shared" si="129"/>
        <v>0.4596761866374609</v>
      </c>
      <c r="AQ213" s="789">
        <f>IFERROR(INDEX('Hoja de apoyo v2'!$J$17:$J$20,MATCH($A213,'Hoja de apoyo v2'!$A$17:$A$20,0)),"")</f>
        <v>0.62197445417222763</v>
      </c>
      <c r="AR213" s="789">
        <f t="shared" si="130"/>
        <v>-0.16229826753476673</v>
      </c>
      <c r="AS213" s="784" t="str">
        <f t="shared" si="131"/>
        <v>No</v>
      </c>
      <c r="AT213" s="801">
        <f>IF(ISNUMBER('Base de datos Rutas'!CK211),'Base de datos Rutas'!CK211,"")</f>
        <v>460</v>
      </c>
      <c r="AU213" s="802">
        <f>IF(ISNUMBER('Base de datos Rutas'!CL211),'Base de datos Rutas'!CL211,"")</f>
        <v>718.28</v>
      </c>
      <c r="AV213" s="802">
        <f>IF(ISNUMBER('Base de datos Rutas'!CM211),'Base de datos Rutas'!CM211,"")</f>
        <v>258.27999999999997</v>
      </c>
      <c r="AW213" s="802">
        <f>IF(ISNUMBER('Base de datos Rutas'!CN211),'Base de datos Rutas'!CN211,"")</f>
        <v>14.69</v>
      </c>
      <c r="AX213" s="802">
        <f>IF(ISNUMBER('Base de datos Rutas'!CO211),'Base de datos Rutas'!CO211,"")</f>
        <v>9.4499999999999993</v>
      </c>
      <c r="AY213" s="802">
        <f>IF(ISNUMBER('Base de datos Rutas'!CP211),'Base de datos Rutas'!CP211,"")</f>
        <v>-5.24</v>
      </c>
      <c r="AZ213" s="802">
        <f>IF(ISNUMBER('Base de datos Rutas'!CQ211),'Base de datos Rutas'!CQ211,"")</f>
        <v>609.19000000000005</v>
      </c>
      <c r="BA213" s="802">
        <f>IF(ISNUMBER('Base de datos Rutas'!CR211),'Base de datos Rutas'!CR211,"")</f>
        <v>8.23</v>
      </c>
      <c r="BB213" s="803">
        <f>IF(ISNUMBER('Base de datos Rutas'!CS211),'Base de datos Rutas'!CS211,"")</f>
        <v>600.96</v>
      </c>
      <c r="BC213" s="804">
        <f t="shared" si="141"/>
        <v>1</v>
      </c>
      <c r="BD213" s="805" t="str">
        <f t="shared" si="142"/>
        <v>Saturada</v>
      </c>
      <c r="BE213" s="806">
        <f t="shared" si="143"/>
        <v>1.3509742444885831E-2</v>
      </c>
      <c r="BF213" s="890">
        <f>IF(ISNUMBER('Base de datos Rutas'!CX211),'Base de datos Rutas'!CX211/100,"")</f>
        <v>0.50700425202937771</v>
      </c>
      <c r="BG213" s="891">
        <f>IF(ISNUMBER('Base de datos Rutas'!CZ211),'Base de datos Rutas'!CZ211/100,"")</f>
        <v>0.52364386032727739</v>
      </c>
      <c r="BH213" s="892">
        <f>IF(ISNUMBER('Base de datos Rutas'!DA211),'Base de datos Rutas'!DA211,"")</f>
        <v>208.0925065968411</v>
      </c>
      <c r="BI213" s="893">
        <f>IF(ISNUMBER('Base de datos Rutas'!DC211),'Base de datos Rutas'!DC211,"")</f>
        <v>10.285908108094407</v>
      </c>
      <c r="BJ213" s="805" t="str">
        <f t="shared" si="144"/>
        <v>Ruta (completo)</v>
      </c>
      <c r="BK213" s="783">
        <f t="shared" si="132"/>
        <v>4</v>
      </c>
      <c r="BL213" s="797">
        <f t="shared" si="133"/>
        <v>4</v>
      </c>
      <c r="BM213" s="797">
        <f t="shared" si="134"/>
        <v>4</v>
      </c>
      <c r="BN213" s="797">
        <f t="shared" si="135"/>
        <v>4</v>
      </c>
      <c r="BO213" s="798" cm="1">
        <f t="array" ref="BO213">SUMPRODUCT(--ISNUMBER($BF213:$BI213),$BK$3:$BN$3)</f>
        <v>1</v>
      </c>
      <c r="BP213" s="831">
        <f t="shared" si="145"/>
        <v>75</v>
      </c>
      <c r="BQ213" s="834" t="str">
        <f t="shared" si="146"/>
        <v>Alto</v>
      </c>
      <c r="BR213" s="836">
        <f t="shared" si="136"/>
        <v>35.167546027694975</v>
      </c>
      <c r="BS213" s="836">
        <f t="shared" si="137"/>
        <v>75</v>
      </c>
      <c r="BT213" s="837" t="str">
        <f t="shared" si="138"/>
        <v>P1</v>
      </c>
      <c r="BU213" s="807" t="str">
        <f t="shared" si="147"/>
        <v>Al tope</v>
      </c>
      <c r="BV213" s="807" t="str">
        <f t="shared" si="139"/>
        <v>Zona atractiva</v>
      </c>
      <c r="BW213" s="808" t="str">
        <f t="shared" si="140"/>
        <v>P1 - Ampliar cobertura</v>
      </c>
    </row>
    <row r="214" spans="1:75">
      <c r="A214" s="780" t="str">
        <f>'Base de datos Rutas'!A212</f>
        <v>Norte</v>
      </c>
      <c r="B214" s="781" t="str">
        <f>'Base de datos Rutas'!B212</f>
        <v>Comarca</v>
      </c>
      <c r="C214" s="781" t="str">
        <f>'Base de datos Rutas'!C212</f>
        <v>Suc. Estadio</v>
      </c>
      <c r="D214" s="782">
        <f>IF(ISNUMBER('Base de datos Rutas'!D212),'Base de datos Rutas'!D212,"Sin código")</f>
        <v>217405</v>
      </c>
      <c r="E214" s="783" t="str">
        <f>'Base de datos Rutas'!F212</f>
        <v>Activa</v>
      </c>
      <c r="F214" s="784" t="str">
        <f>'Base de datos Rutas'!H212</f>
        <v>Sí</v>
      </c>
      <c r="G214" s="785">
        <f>IF(ISNUMBER('Base de datos Rutas'!BE212),'Base de datos Rutas'!BE212,"")</f>
        <v>71.508045977011506</v>
      </c>
      <c r="H214" s="786">
        <f>IF(ISNUMBER('Base de datos Rutas'!BH212),'Base de datos Rutas'!BH212,"")</f>
        <v>0.37021796437986199</v>
      </c>
      <c r="I214" s="788">
        <f>IFERROR(IF(OR(NOT(ISNUMBER('Base de datos Rutas'!O212)),N('Base de datos Rutas'!BK212)=0),"",'Base de datos Rutas'!O212/('Base de datos Rutas'!L212/'Base de datos Rutas'!BK212)),"")</f>
        <v>2462.3977011494248</v>
      </c>
      <c r="J214" s="788">
        <f>IFERROR(IF(OR(NOT(ISNUMBER('Base de datos Rutas'!N212)),N('Base de datos Rutas'!BK212)=0),"",'Base de datos Rutas'!N212/('Base de datos Rutas'!L212/'Base de datos Rutas'!BK212)),"")</f>
        <v>4267.572413793102</v>
      </c>
      <c r="K214" s="788">
        <f>IFERROR(IF(OR(NOT(ISNUMBER('Base de datos Rutas'!J212)),N('Base de datos Rutas'!BK212)=0),"",'Base de datos Rutas'!J212/('Base de datos Rutas'!L212/'Base de datos Rutas'!BK212)),"")</f>
        <v>302.48913655172407</v>
      </c>
      <c r="L214" s="788">
        <f>IFERROR(IF(OR(NOT(ISNUMBER('Base de datos Rutas'!K212)),N('Base de datos Rutas'!BK212)=0),"",'Base de datos Rutas'!K212/('Base de datos Rutas'!L212/'Base de datos Rutas'!BK212)),"")</f>
        <v>26.564736432183899</v>
      </c>
      <c r="M214" s="787">
        <f>IF(ISNUMBER('Base de datos Rutas'!AX212),'Base de datos Rutas'!AX212,"")</f>
        <v>254.21468304966999</v>
      </c>
      <c r="N214" s="790">
        <f>IFERROR(INDEX('Hoja de apoyo v2'!B$17:B$20,MATCH($A214,'Hoja de apoyo v2'!$A$17:$A$20,0)),"")</f>
        <v>74.190366972477051</v>
      </c>
      <c r="O214" s="791">
        <f>IFERROR(INDEX('Hoja de apoyo v2'!C$17:C$20,MATCH($A214,'Hoja de apoyo v2'!$A$17:$A$20,0)),"")</f>
        <v>0.71677657005077755</v>
      </c>
      <c r="P214" s="793">
        <f>IFERROR(INDEX('Hoja de apoyo v2'!D$17:D$20,MATCH($A214,'Hoja de apoyo v2'!$A$17:$A$20,0)),"")</f>
        <v>8755.1153350385739</v>
      </c>
      <c r="Q214" s="793">
        <f>IFERROR(INDEX('Hoja de apoyo v2'!E$17:E$20,MATCH($A214,'Hoja de apoyo v2'!$A$17:$A$20,0)),"")</f>
        <v>6098.2042779326393</v>
      </c>
      <c r="R214" s="793">
        <f>IFERROR(INDEX('Hoja de apoyo v2'!F$17:F$20,MATCH($A214,'Hoja de apoyo v2'!$A$17:$A$20,0)),"")</f>
        <v>389.08889713610301</v>
      </c>
      <c r="S214" s="793">
        <f>IFERROR(INDEX('Hoja de apoyo v2'!G$17:G$20,MATCH($A214,'Hoja de apoyo v2'!$A$17:$A$20,0)),"")</f>
        <v>67.90575167807188</v>
      </c>
      <c r="T214" s="792">
        <f>IFERROR(INDEX('Hoja de apoyo v2'!H$17:H$20,MATCH($A214,'Hoja de apoyo v2'!$A$17:$A$20,0)),"")</f>
        <v>258.90325471200998</v>
      </c>
      <c r="U214" s="794">
        <f t="shared" si="112"/>
        <v>0.96384542758144565</v>
      </c>
      <c r="V214" s="795">
        <f t="shared" si="113"/>
        <v>0.51650399838492933</v>
      </c>
      <c r="W214" s="795">
        <f t="shared" si="114"/>
        <v>0.28125245721147041</v>
      </c>
      <c r="X214" s="843">
        <f t="shared" si="115"/>
        <v>0.69980804500695692</v>
      </c>
      <c r="Y214" s="843">
        <f t="shared" si="116"/>
        <v>0.77742937096946663</v>
      </c>
      <c r="Z214" s="843">
        <f t="shared" si="117"/>
        <v>0.39120009389075333</v>
      </c>
      <c r="AA214" s="843">
        <f t="shared" si="118"/>
        <v>0.98189064224953326</v>
      </c>
      <c r="AB214" s="796">
        <f t="shared" si="119"/>
        <v>3</v>
      </c>
      <c r="AC214" s="797">
        <f t="shared" si="120"/>
        <v>2</v>
      </c>
      <c r="AD214" s="797">
        <f t="shared" si="121"/>
        <v>1</v>
      </c>
      <c r="AE214" s="842">
        <f t="shared" si="122"/>
        <v>2</v>
      </c>
      <c r="AF214" s="842">
        <f t="shared" si="123"/>
        <v>3</v>
      </c>
      <c r="AG214" s="842">
        <f t="shared" si="124"/>
        <v>1</v>
      </c>
      <c r="AH214" s="842">
        <f t="shared" si="125"/>
        <v>3</v>
      </c>
      <c r="AI214" s="826" cm="1">
        <f t="array" ref="AI214">SUMPRODUCT(--ISNUMBER($U214:$AA214),$AB$3:$AH$3)</f>
        <v>1</v>
      </c>
      <c r="AJ214" s="829">
        <f t="shared" si="126"/>
        <v>25.201170293115393</v>
      </c>
      <c r="AK214" s="827" t="str">
        <f t="shared" si="127"/>
        <v>Inmadura</v>
      </c>
      <c r="AL214" s="784" t="str">
        <f t="shared" si="128"/>
        <v>Alta</v>
      </c>
      <c r="AM214" s="799">
        <f>IF(ISNUMBER('Base de datos Rutas'!W212),'Base de datos Rutas'!W212,"")</f>
        <v>1969.9340858657986</v>
      </c>
      <c r="AN214" s="787">
        <f>IFERROR(SUMIFS('Base de datos Rutas'!$W$6:$W$794,'Base de datos Rutas'!$C$6:$C$794,$C214)/'Base de datos Rutas'!I212,"")</f>
        <v>1969.9340858657988</v>
      </c>
      <c r="AO214" s="800">
        <f>IFERROR('Base de datos Rutas'!X212*AN214/AM214,"")</f>
        <v>0.5403238133625391</v>
      </c>
      <c r="AP214" s="800">
        <f t="shared" si="129"/>
        <v>0.4596761866374609</v>
      </c>
      <c r="AQ214" s="789">
        <f>IFERROR(INDEX('Hoja de apoyo v2'!$J$17:$J$20,MATCH($A214,'Hoja de apoyo v2'!$A$17:$A$20,0)),"")</f>
        <v>0.62197445417222763</v>
      </c>
      <c r="AR214" s="789">
        <f t="shared" si="130"/>
        <v>-0.16229826753476673</v>
      </c>
      <c r="AS214" s="784" t="str">
        <f t="shared" si="131"/>
        <v>No</v>
      </c>
      <c r="AT214" s="801">
        <f>IF(ISNUMBER('Base de datos Rutas'!CK212),'Base de datos Rutas'!CK212,"")</f>
        <v>258</v>
      </c>
      <c r="AU214" s="802">
        <f>IF(ISNUMBER('Base de datos Rutas'!CL212),'Base de datos Rutas'!CL212,"")</f>
        <v>449.64</v>
      </c>
      <c r="AV214" s="802">
        <f>IF(ISNUMBER('Base de datos Rutas'!CM212),'Base de datos Rutas'!CM212,"")</f>
        <v>191.64</v>
      </c>
      <c r="AW214" s="802">
        <f>IF(ISNUMBER('Base de datos Rutas'!CN212),'Base de datos Rutas'!CN212,"")</f>
        <v>6.46</v>
      </c>
      <c r="AX214" s="802">
        <f>IF(ISNUMBER('Base de datos Rutas'!CO212),'Base de datos Rutas'!CO212,"")</f>
        <v>9.4499999999999993</v>
      </c>
      <c r="AY214" s="802">
        <f>IF(ISNUMBER('Base de datos Rutas'!CP212),'Base de datos Rutas'!CP212,"")</f>
        <v>2.9899999999999993</v>
      </c>
      <c r="AZ214" s="802">
        <f>IF(ISNUMBER('Base de datos Rutas'!CQ212),'Base de datos Rutas'!CQ212,"")</f>
        <v>609.19000000000005</v>
      </c>
      <c r="BA214" s="802">
        <f>IF(ISNUMBER('Base de datos Rutas'!CR212),'Base de datos Rutas'!CR212,"")</f>
        <v>329.05</v>
      </c>
      <c r="BB214" s="803">
        <f>IF(ISNUMBER('Base de datos Rutas'!CS212),'Base de datos Rutas'!CS212,"")</f>
        <v>280.14000000000004</v>
      </c>
      <c r="BC214" s="804">
        <f t="shared" si="141"/>
        <v>0</v>
      </c>
      <c r="BD214" s="805" t="str">
        <f t="shared" si="142"/>
        <v>No saturada</v>
      </c>
      <c r="BE214" s="806">
        <f t="shared" si="143"/>
        <v>0.54014346919680223</v>
      </c>
      <c r="BF214" s="890">
        <f>IF(ISNUMBER('Base de datos Rutas'!CX212),'Base de datos Rutas'!CX212/100,"")</f>
        <v>0.68083087644063245</v>
      </c>
      <c r="BG214" s="891">
        <f>IF(ISNUMBER('Base de datos Rutas'!CZ212),'Base de datos Rutas'!CZ212/100,"")</f>
        <v>0.70651299919592603</v>
      </c>
      <c r="BH214" s="892">
        <f>IF(ISNUMBER('Base de datos Rutas'!DA212),'Base de datos Rutas'!DA212,"")</f>
        <v>242.94658619950766</v>
      </c>
      <c r="BI214" s="893">
        <f>IF(ISNUMBER('Base de datos Rutas'!DC212),'Base de datos Rutas'!DC212,"")</f>
        <v>11.702353390020958</v>
      </c>
      <c r="BJ214" s="805" t="str">
        <f t="shared" si="144"/>
        <v>Ruta (completo)</v>
      </c>
      <c r="BK214" s="783">
        <f t="shared" si="132"/>
        <v>5</v>
      </c>
      <c r="BL214" s="797">
        <f t="shared" si="133"/>
        <v>5</v>
      </c>
      <c r="BM214" s="797">
        <f t="shared" si="134"/>
        <v>5</v>
      </c>
      <c r="BN214" s="797">
        <f t="shared" si="135"/>
        <v>5</v>
      </c>
      <c r="BO214" s="798" cm="1">
        <f t="array" ref="BO214">SUMPRODUCT(--ISNUMBER($BF214:$BI214),$BK$3:$BN$3)</f>
        <v>1</v>
      </c>
      <c r="BP214" s="831">
        <f t="shared" si="145"/>
        <v>100</v>
      </c>
      <c r="BQ214" s="834" t="str">
        <f t="shared" si="146"/>
        <v>Alto</v>
      </c>
      <c r="BR214" s="836">
        <f t="shared" si="136"/>
        <v>18.900877719836544</v>
      </c>
      <c r="BS214" s="836">
        <f t="shared" si="137"/>
        <v>100</v>
      </c>
      <c r="BT214" s="837" t="str">
        <f t="shared" si="138"/>
        <v>P3</v>
      </c>
      <c r="BU214" s="807" t="str">
        <f t="shared" si="147"/>
        <v>Con espacio</v>
      </c>
      <c r="BV214" s="807" t="str">
        <f t="shared" si="139"/>
        <v>Zona atractiva</v>
      </c>
      <c r="BW214" s="808" t="str">
        <f t="shared" si="140"/>
        <v>P3 - Desarrollar</v>
      </c>
    </row>
    <row r="215" spans="1:75">
      <c r="A215" s="780" t="str">
        <f>'Base de datos Rutas'!A213</f>
        <v>Norte</v>
      </c>
      <c r="B215" s="781" t="str">
        <f>'Base de datos Rutas'!B213</f>
        <v>Comarca</v>
      </c>
      <c r="C215" s="781" t="str">
        <f>'Base de datos Rutas'!C213</f>
        <v>Suc. Estadio</v>
      </c>
      <c r="D215" s="782">
        <f>IF(ISNUMBER('Base de datos Rutas'!D213),'Base de datos Rutas'!D213,"Sin código")</f>
        <v>217406</v>
      </c>
      <c r="E215" s="783" t="str">
        <f>'Base de datos Rutas'!F213</f>
        <v>Activa</v>
      </c>
      <c r="F215" s="784" t="str">
        <f>'Base de datos Rutas'!H213</f>
        <v>Sí</v>
      </c>
      <c r="G215" s="785">
        <f>IF(ISNUMBER('Base de datos Rutas'!BE213),'Base de datos Rutas'!BE213,"")</f>
        <v>96.025229357798196</v>
      </c>
      <c r="H215" s="786">
        <f>IF(ISNUMBER('Base de datos Rutas'!BH213),'Base de datos Rutas'!BH213,"")</f>
        <v>0.26245013972818698</v>
      </c>
      <c r="I215" s="788">
        <f>IFERROR(IF(OR(NOT(ISNUMBER('Base de datos Rutas'!O213)),N('Base de datos Rutas'!BK213)=0),"",'Base de datos Rutas'!O213/('Base de datos Rutas'!L213/'Base de datos Rutas'!BK213)),"")</f>
        <v>3139.0137614678906</v>
      </c>
      <c r="J215" s="788">
        <f>IFERROR(IF(OR(NOT(ISNUMBER('Base de datos Rutas'!N213)),N('Base de datos Rutas'!BK213)=0),"",'Base de datos Rutas'!N213/('Base de datos Rutas'!L213/'Base de datos Rutas'!BK213)),"")</f>
        <v>4231.8233944954136</v>
      </c>
      <c r="K215" s="788">
        <f>IFERROR(IF(OR(NOT(ISNUMBER('Base de datos Rutas'!J213)),N('Base de datos Rutas'!BK213)=0),"",'Base de datos Rutas'!J213/('Base de datos Rutas'!L213/'Base de datos Rutas'!BK213)),"")</f>
        <v>300.04223302752303</v>
      </c>
      <c r="L215" s="788">
        <f>IFERROR(IF(OR(NOT(ISNUMBER('Base de datos Rutas'!K213)),N('Base de datos Rutas'!BK213)=0),"",'Base de datos Rutas'!K213/('Base de datos Rutas'!L213/'Base de datos Rutas'!BK213)),"")</f>
        <v>27.47224304357799</v>
      </c>
      <c r="M215" s="787">
        <f>IF(ISNUMBER('Base de datos Rutas'!AX213),'Base de datos Rutas'!AX213,"")</f>
        <v>292.472086821988</v>
      </c>
      <c r="N215" s="790">
        <f>IFERROR(INDEX('Hoja de apoyo v2'!B$17:B$20,MATCH($A215,'Hoja de apoyo v2'!$A$17:$A$20,0)),"")</f>
        <v>74.190366972477051</v>
      </c>
      <c r="O215" s="791">
        <f>IFERROR(INDEX('Hoja de apoyo v2'!C$17:C$20,MATCH($A215,'Hoja de apoyo v2'!$A$17:$A$20,0)),"")</f>
        <v>0.71677657005077755</v>
      </c>
      <c r="P215" s="793">
        <f>IFERROR(INDEX('Hoja de apoyo v2'!D$17:D$20,MATCH($A215,'Hoja de apoyo v2'!$A$17:$A$20,0)),"")</f>
        <v>8755.1153350385739</v>
      </c>
      <c r="Q215" s="793">
        <f>IFERROR(INDEX('Hoja de apoyo v2'!E$17:E$20,MATCH($A215,'Hoja de apoyo v2'!$A$17:$A$20,0)),"")</f>
        <v>6098.2042779326393</v>
      </c>
      <c r="R215" s="793">
        <f>IFERROR(INDEX('Hoja de apoyo v2'!F$17:F$20,MATCH($A215,'Hoja de apoyo v2'!$A$17:$A$20,0)),"")</f>
        <v>389.08889713610301</v>
      </c>
      <c r="S215" s="793">
        <f>IFERROR(INDEX('Hoja de apoyo v2'!G$17:G$20,MATCH($A215,'Hoja de apoyo v2'!$A$17:$A$20,0)),"")</f>
        <v>67.90575167807188</v>
      </c>
      <c r="T215" s="792">
        <f>IFERROR(INDEX('Hoja de apoyo v2'!H$17:H$20,MATCH($A215,'Hoja de apoyo v2'!$A$17:$A$20,0)),"")</f>
        <v>258.90325471200998</v>
      </c>
      <c r="U215" s="794">
        <f t="shared" si="112"/>
        <v>1.2943085912140235</v>
      </c>
      <c r="V215" s="795">
        <f t="shared" si="113"/>
        <v>0.36615334637625585</v>
      </c>
      <c r="W215" s="795">
        <f t="shared" si="114"/>
        <v>0.35853482693772654</v>
      </c>
      <c r="X215" s="843">
        <f t="shared" si="115"/>
        <v>0.69394582431568685</v>
      </c>
      <c r="Y215" s="843">
        <f t="shared" si="116"/>
        <v>0.77114056771085004</v>
      </c>
      <c r="Z215" s="843">
        <f t="shared" si="117"/>
        <v>0.40456430220842876</v>
      </c>
      <c r="AA215" s="843">
        <f t="shared" si="118"/>
        <v>1.1296578219818758</v>
      </c>
      <c r="AB215" s="796">
        <f t="shared" si="119"/>
        <v>5</v>
      </c>
      <c r="AC215" s="797">
        <f t="shared" si="120"/>
        <v>1</v>
      </c>
      <c r="AD215" s="797">
        <f t="shared" si="121"/>
        <v>1</v>
      </c>
      <c r="AE215" s="842">
        <f t="shared" si="122"/>
        <v>2</v>
      </c>
      <c r="AF215" s="842">
        <f t="shared" si="123"/>
        <v>3</v>
      </c>
      <c r="AG215" s="842">
        <f t="shared" si="124"/>
        <v>1</v>
      </c>
      <c r="AH215" s="842">
        <f t="shared" si="125"/>
        <v>4</v>
      </c>
      <c r="AI215" s="826" cm="1">
        <f t="array" ref="AI215">SUMPRODUCT(--ISNUMBER($U215:$AA215),$AB$3:$AH$3)</f>
        <v>1</v>
      </c>
      <c r="AJ215" s="829">
        <f t="shared" si="126"/>
        <v>34.13026490382498</v>
      </c>
      <c r="AK215" s="827" t="str">
        <f t="shared" si="127"/>
        <v>Inmadura</v>
      </c>
      <c r="AL215" s="784" t="str">
        <f t="shared" si="128"/>
        <v>Alta</v>
      </c>
      <c r="AM215" s="799">
        <f>IF(ISNUMBER('Base de datos Rutas'!W213),'Base de datos Rutas'!W213,"")</f>
        <v>1969.9340858657986</v>
      </c>
      <c r="AN215" s="787">
        <f>IFERROR(SUMIFS('Base de datos Rutas'!$W$6:$W$794,'Base de datos Rutas'!$C$6:$C$794,$C215)/'Base de datos Rutas'!I213,"")</f>
        <v>1969.9340858657988</v>
      </c>
      <c r="AO215" s="800">
        <f>IFERROR('Base de datos Rutas'!X213*AN215/AM215,"")</f>
        <v>0.5403238133625391</v>
      </c>
      <c r="AP215" s="800">
        <f t="shared" si="129"/>
        <v>0.4596761866374609</v>
      </c>
      <c r="AQ215" s="789">
        <f>IFERROR(INDEX('Hoja de apoyo v2'!$J$17:$J$20,MATCH($A215,'Hoja de apoyo v2'!$A$17:$A$20,0)),"")</f>
        <v>0.62197445417222763</v>
      </c>
      <c r="AR215" s="789">
        <f t="shared" si="130"/>
        <v>-0.16229826753476673</v>
      </c>
      <c r="AS215" s="784" t="str">
        <f t="shared" si="131"/>
        <v>No</v>
      </c>
      <c r="AT215" s="801">
        <f>IF(ISNUMBER('Base de datos Rutas'!CK213),'Base de datos Rutas'!CK213,"")</f>
        <v>398</v>
      </c>
      <c r="AU215" s="802">
        <f>IF(ISNUMBER('Base de datos Rutas'!CL213),'Base de datos Rutas'!CL213,"")</f>
        <v>491.05</v>
      </c>
      <c r="AV215" s="802">
        <f>IF(ISNUMBER('Base de datos Rutas'!CM213),'Base de datos Rutas'!CM213,"")</f>
        <v>93.050000000000011</v>
      </c>
      <c r="AW215" s="802">
        <f>IF(ISNUMBER('Base de datos Rutas'!CN213),'Base de datos Rutas'!CN213,"")</f>
        <v>9.57</v>
      </c>
      <c r="AX215" s="802">
        <f>IF(ISNUMBER('Base de datos Rutas'!CO213),'Base de datos Rutas'!CO213,"")</f>
        <v>9.4499999999999993</v>
      </c>
      <c r="AY215" s="802">
        <f>IF(ISNUMBER('Base de datos Rutas'!CP213),'Base de datos Rutas'!CP213,"")</f>
        <v>-0.12000000000000099</v>
      </c>
      <c r="AZ215" s="802">
        <f>IF(ISNUMBER('Base de datos Rutas'!CQ213),'Base de datos Rutas'!CQ213,"")</f>
        <v>609.19000000000005</v>
      </c>
      <c r="BA215" s="802">
        <f>IF(ISNUMBER('Base de datos Rutas'!CR213),'Base de datos Rutas'!CR213,"")</f>
        <v>327.51</v>
      </c>
      <c r="BB215" s="803">
        <f>IF(ISNUMBER('Base de datos Rutas'!CS213),'Base de datos Rutas'!CS213,"")</f>
        <v>281.68000000000006</v>
      </c>
      <c r="BC215" s="804">
        <f t="shared" si="141"/>
        <v>1</v>
      </c>
      <c r="BD215" s="805" t="str">
        <f t="shared" si="142"/>
        <v>Saturada</v>
      </c>
      <c r="BE215" s="806">
        <f t="shared" si="143"/>
        <v>0.53761552225085762</v>
      </c>
      <c r="BF215" s="890">
        <f>IF(ISNUMBER('Base de datos Rutas'!CX213),'Base de datos Rutas'!CX213/100,"")</f>
        <v>0.17010513748748363</v>
      </c>
      <c r="BG215" s="891">
        <f>IF(ISNUMBER('Base de datos Rutas'!CZ213),'Base de datos Rutas'!CZ213/100,"")</f>
        <v>0.17368866979896785</v>
      </c>
      <c r="BH215" s="892">
        <f>IF(ISNUMBER('Base de datos Rutas'!DA213),'Base de datos Rutas'!DA213,"")</f>
        <v>34.816659087725768</v>
      </c>
      <c r="BI215" s="893">
        <f>IF(ISNUMBER('Base de datos Rutas'!DC213),'Base de datos Rutas'!DC213,"")</f>
        <v>1.6503111203209635</v>
      </c>
      <c r="BJ215" s="805" t="str">
        <f t="shared" si="144"/>
        <v>Ruta (completo)</v>
      </c>
      <c r="BK215" s="783">
        <f t="shared" si="132"/>
        <v>2</v>
      </c>
      <c r="BL215" s="797">
        <f t="shared" si="133"/>
        <v>2</v>
      </c>
      <c r="BM215" s="797">
        <f t="shared" si="134"/>
        <v>1</v>
      </c>
      <c r="BN215" s="797">
        <f t="shared" si="135"/>
        <v>1</v>
      </c>
      <c r="BO215" s="798" cm="1">
        <f t="array" ref="BO215">SUMPRODUCT(--ISNUMBER($BF215:$BI215),$BK$3:$BN$3)</f>
        <v>1</v>
      </c>
      <c r="BP215" s="831">
        <f t="shared" si="145"/>
        <v>12.5</v>
      </c>
      <c r="BQ215" s="834" t="str">
        <f t="shared" si="146"/>
        <v>Bajo</v>
      </c>
      <c r="BR215" s="836">
        <f t="shared" si="136"/>
        <v>50.597698677868735</v>
      </c>
      <c r="BS215" s="836">
        <f t="shared" si="137"/>
        <v>12.5</v>
      </c>
      <c r="BT215" s="837" t="str">
        <f t="shared" si="138"/>
        <v>P2</v>
      </c>
      <c r="BU215" s="807" t="str">
        <f t="shared" si="147"/>
        <v>Al tope</v>
      </c>
      <c r="BV215" s="807" t="str">
        <f t="shared" si="139"/>
        <v>Zona de bajo potencial</v>
      </c>
      <c r="BW215" s="808" t="str">
        <f t="shared" si="140"/>
        <v>P2 - Mantener</v>
      </c>
    </row>
    <row r="216" spans="1:75">
      <c r="A216" s="780" t="str">
        <f>'Base de datos Rutas'!A214</f>
        <v>Norte</v>
      </c>
      <c r="B216" s="781" t="str">
        <f>'Base de datos Rutas'!B214</f>
        <v>Comarca</v>
      </c>
      <c r="C216" s="781" t="str">
        <f>'Base de datos Rutas'!C214</f>
        <v>Suc. San Pedro</v>
      </c>
      <c r="D216" s="782">
        <f>IF(ISNUMBER('Base de datos Rutas'!D214),'Base de datos Rutas'!D214,"Sin código")</f>
        <v>219340</v>
      </c>
      <c r="E216" s="783" t="str">
        <f>'Base de datos Rutas'!F214</f>
        <v>Activa</v>
      </c>
      <c r="F216" s="784" t="str">
        <f>'Base de datos Rutas'!H214</f>
        <v>Sí</v>
      </c>
      <c r="G216" s="785">
        <f>IF(ISNUMBER('Base de datos Rutas'!BE214),'Base de datos Rutas'!BE214,"")</f>
        <v>27.2229885057471</v>
      </c>
      <c r="H216" s="786">
        <f>IF(ISNUMBER('Base de datos Rutas'!BH214),'Base de datos Rutas'!BH214,"")</f>
        <v>0.42011484546529299</v>
      </c>
      <c r="I216" s="788">
        <f>IFERROR(IF(OR(NOT(ISNUMBER('Base de datos Rutas'!O214)),N('Base de datos Rutas'!BK214)=0),"",'Base de datos Rutas'!O214/('Base de datos Rutas'!L214/'Base de datos Rutas'!BK214)),"")</f>
        <v>708.30114942528621</v>
      </c>
      <c r="J216" s="788">
        <f>IFERROR(IF(OR(NOT(ISNUMBER('Base de datos Rutas'!N214)),N('Base de datos Rutas'!BK214)=0),"",'Base de datos Rutas'!N214/('Base de datos Rutas'!L214/'Base de datos Rutas'!BK214)),"")</f>
        <v>3823.7816091953964</v>
      </c>
      <c r="K216" s="788">
        <f>IFERROR(IF(OR(NOT(ISNUMBER('Base de datos Rutas'!J214)),N('Base de datos Rutas'!BK214)=0),"",'Base de datos Rutas'!J214/('Base de datos Rutas'!L214/'Base de datos Rutas'!BK214)),"")</f>
        <v>260.58472275862027</v>
      </c>
      <c r="L216" s="788">
        <f>IFERROR(IF(OR(NOT(ISNUMBER('Base de datos Rutas'!K214)),N('Base de datos Rutas'!BK214)=0),"",'Base de datos Rutas'!K214/('Base de datos Rutas'!L214/'Base de datos Rutas'!BK214)),"")</f>
        <v>7.0142888505747019</v>
      </c>
      <c r="M216" s="787">
        <f>IF(ISNUMBER('Base de datos Rutas'!AX214),'Base de datos Rutas'!AX214,"")</f>
        <v>396.27157788944697</v>
      </c>
      <c r="N216" s="790">
        <f>IFERROR(INDEX('Hoja de apoyo v2'!B$17:B$20,MATCH($A216,'Hoja de apoyo v2'!$A$17:$A$20,0)),"")</f>
        <v>74.190366972477051</v>
      </c>
      <c r="O216" s="791">
        <f>IFERROR(INDEX('Hoja de apoyo v2'!C$17:C$20,MATCH($A216,'Hoja de apoyo v2'!$A$17:$A$20,0)),"")</f>
        <v>0.71677657005077755</v>
      </c>
      <c r="P216" s="793">
        <f>IFERROR(INDEX('Hoja de apoyo v2'!D$17:D$20,MATCH($A216,'Hoja de apoyo v2'!$A$17:$A$20,0)),"")</f>
        <v>8755.1153350385739</v>
      </c>
      <c r="Q216" s="793">
        <f>IFERROR(INDEX('Hoja de apoyo v2'!E$17:E$20,MATCH($A216,'Hoja de apoyo v2'!$A$17:$A$20,0)),"")</f>
        <v>6098.2042779326393</v>
      </c>
      <c r="R216" s="793">
        <f>IFERROR(INDEX('Hoja de apoyo v2'!F$17:F$20,MATCH($A216,'Hoja de apoyo v2'!$A$17:$A$20,0)),"")</f>
        <v>389.08889713610301</v>
      </c>
      <c r="S216" s="793">
        <f>IFERROR(INDEX('Hoja de apoyo v2'!G$17:G$20,MATCH($A216,'Hoja de apoyo v2'!$A$17:$A$20,0)),"")</f>
        <v>67.90575167807188</v>
      </c>
      <c r="T216" s="792">
        <f>IFERROR(INDEX('Hoja de apoyo v2'!H$17:H$20,MATCH($A216,'Hoja de apoyo v2'!$A$17:$A$20,0)),"")</f>
        <v>258.90325471200998</v>
      </c>
      <c r="U216" s="794">
        <f t="shared" si="112"/>
        <v>0.36693427484792213</v>
      </c>
      <c r="V216" s="795">
        <f t="shared" si="113"/>
        <v>0.58611687800499868</v>
      </c>
      <c r="W216" s="795">
        <f t="shared" si="114"/>
        <v>8.0901407042648116E-2</v>
      </c>
      <c r="X216" s="843">
        <f t="shared" si="115"/>
        <v>0.62703403082648157</v>
      </c>
      <c r="Y216" s="843">
        <f t="shared" si="116"/>
        <v>0.66973055431974438</v>
      </c>
      <c r="Z216" s="843">
        <f t="shared" si="117"/>
        <v>0.10329447325505058</v>
      </c>
      <c r="AA216" s="843">
        <f t="shared" si="118"/>
        <v>1.5305778149843581</v>
      </c>
      <c r="AB216" s="796">
        <f t="shared" si="119"/>
        <v>1</v>
      </c>
      <c r="AC216" s="797">
        <f t="shared" si="120"/>
        <v>2</v>
      </c>
      <c r="AD216" s="797">
        <f t="shared" si="121"/>
        <v>1</v>
      </c>
      <c r="AE216" s="842">
        <f t="shared" si="122"/>
        <v>2</v>
      </c>
      <c r="AF216" s="842">
        <f t="shared" si="123"/>
        <v>2</v>
      </c>
      <c r="AG216" s="842">
        <f t="shared" si="124"/>
        <v>1</v>
      </c>
      <c r="AH216" s="842">
        <f t="shared" si="125"/>
        <v>5</v>
      </c>
      <c r="AI216" s="826" cm="1">
        <f t="array" ref="AI216">SUMPRODUCT(--ISNUMBER($U216:$AA216),$AB$3:$AH$3)</f>
        <v>1</v>
      </c>
      <c r="AJ216" s="829">
        <f t="shared" si="126"/>
        <v>17.697309105455222</v>
      </c>
      <c r="AK216" s="827" t="str">
        <f t="shared" si="127"/>
        <v>Inmadura</v>
      </c>
      <c r="AL216" s="784" t="str">
        <f t="shared" si="128"/>
        <v>Alta</v>
      </c>
      <c r="AM216" s="799">
        <f>IF(ISNUMBER('Base de datos Rutas'!W214),'Base de datos Rutas'!W214,"")</f>
        <v>1406.8633675876576</v>
      </c>
      <c r="AN216" s="787">
        <f>IFERROR(SUMIFS('Base de datos Rutas'!$W$6:$W$794,'Base de datos Rutas'!$C$6:$C$794,$C216)/'Base de datos Rutas'!I214,"")</f>
        <v>1406.8633675876576</v>
      </c>
      <c r="AO216" s="800">
        <f>IFERROR('Base de datos Rutas'!X214*AN216/AM216,"")</f>
        <v>0.73645810184665084</v>
      </c>
      <c r="AP216" s="800">
        <f t="shared" si="129"/>
        <v>0.26354189815334916</v>
      </c>
      <c r="AQ216" s="789">
        <f>IFERROR(INDEX('Hoja de apoyo v2'!$J$17:$J$20,MATCH($A216,'Hoja de apoyo v2'!$A$17:$A$20,0)),"")</f>
        <v>0.62197445417222763</v>
      </c>
      <c r="AR216" s="789">
        <f t="shared" si="130"/>
        <v>-0.35843255601887847</v>
      </c>
      <c r="AS216" s="784" t="str">
        <f t="shared" si="131"/>
        <v>Sí</v>
      </c>
      <c r="AT216" s="801" t="str">
        <f>IF(ISNUMBER('Base de datos Rutas'!CK214),'Base de datos Rutas'!CK214,"")</f>
        <v/>
      </c>
      <c r="AU216" s="802" t="str">
        <f>IF(ISNUMBER('Base de datos Rutas'!CL214),'Base de datos Rutas'!CL214,"")</f>
        <v/>
      </c>
      <c r="AV216" s="802">
        <f>IF(ISNUMBER('Base de datos Rutas'!CM214),'Base de datos Rutas'!CM214,"")</f>
        <v>0</v>
      </c>
      <c r="AW216" s="802" t="str">
        <f>IF(ISNUMBER('Base de datos Rutas'!CN214),'Base de datos Rutas'!CN214,"")</f>
        <v/>
      </c>
      <c r="AX216" s="802" t="str">
        <f>IF(ISNUMBER('Base de datos Rutas'!CO214),'Base de datos Rutas'!CO214,"")</f>
        <v/>
      </c>
      <c r="AY216" s="802">
        <f>IF(ISNUMBER('Base de datos Rutas'!CP214),'Base de datos Rutas'!CP214,"")</f>
        <v>0</v>
      </c>
      <c r="AZ216" s="802" t="str">
        <f>IF(ISNUMBER('Base de datos Rutas'!CQ214),'Base de datos Rutas'!CQ214,"")</f>
        <v/>
      </c>
      <c r="BA216" s="802" t="str">
        <f>IF(ISNUMBER('Base de datos Rutas'!CR214),'Base de datos Rutas'!CR214,"")</f>
        <v/>
      </c>
      <c r="BB216" s="803">
        <f>IF(ISNUMBER('Base de datos Rutas'!CS214),'Base de datos Rutas'!CS214,"")</f>
        <v>0</v>
      </c>
      <c r="BC216" s="804" t="str">
        <f t="shared" si="141"/>
        <v/>
      </c>
      <c r="BD216" s="805" t="str">
        <f t="shared" si="142"/>
        <v>N/D</v>
      </c>
      <c r="BE216" s="806" t="str">
        <f t="shared" si="143"/>
        <v/>
      </c>
      <c r="BF216" s="890" t="str">
        <f>IF(ISNUMBER('Base de datos Rutas'!CX214),'Base de datos Rutas'!CX214/100,"")</f>
        <v/>
      </c>
      <c r="BG216" s="891" t="str">
        <f>IF(ISNUMBER('Base de datos Rutas'!CZ214),'Base de datos Rutas'!CZ214/100,"")</f>
        <v/>
      </c>
      <c r="BH216" s="892" t="str">
        <f>IF(ISNUMBER('Base de datos Rutas'!DA214),'Base de datos Rutas'!DA214,"")</f>
        <v/>
      </c>
      <c r="BI216" s="893" t="str">
        <f>IF(ISNUMBER('Base de datos Rutas'!DC214),'Base de datos Rutas'!DC214,"")</f>
        <v/>
      </c>
      <c r="BJ216" s="805" t="str">
        <f t="shared" si="144"/>
        <v>Sin dato</v>
      </c>
      <c r="BK216" s="783">
        <f t="shared" si="132"/>
        <v>0</v>
      </c>
      <c r="BL216" s="797">
        <f t="shared" si="133"/>
        <v>0</v>
      </c>
      <c r="BM216" s="797">
        <f t="shared" si="134"/>
        <v>0</v>
      </c>
      <c r="BN216" s="797">
        <f t="shared" si="135"/>
        <v>0</v>
      </c>
      <c r="BO216" s="798" cm="1">
        <f t="array" ref="BO216">SUMPRODUCT(--ISNUMBER($BF216:$BI216),$BK$3:$BN$3)</f>
        <v>0</v>
      </c>
      <c r="BP216" s="831" t="str">
        <f t="shared" si="145"/>
        <v/>
      </c>
      <c r="BQ216" s="834" t="str">
        <f t="shared" si="146"/>
        <v>Sin datos</v>
      </c>
      <c r="BR216" s="836" t="str">
        <f t="shared" si="136"/>
        <v/>
      </c>
      <c r="BS216" s="836" t="str">
        <f t="shared" si="137"/>
        <v/>
      </c>
      <c r="BT216" s="837" t="str">
        <f t="shared" si="138"/>
        <v>Sin datos</v>
      </c>
      <c r="BU216" s="807" t="str">
        <f t="shared" si="147"/>
        <v>Con espacio</v>
      </c>
      <c r="BV216" s="807" t="str">
        <f t="shared" si="139"/>
        <v>Sin datos de zona</v>
      </c>
      <c r="BW216" s="808" t="str">
        <f t="shared" si="140"/>
        <v>Sin datos</v>
      </c>
    </row>
    <row r="217" spans="1:75">
      <c r="A217" s="780" t="str">
        <f>'Base de datos Rutas'!A215</f>
        <v>Norte</v>
      </c>
      <c r="B217" s="781" t="str">
        <f>'Base de datos Rutas'!B215</f>
        <v>Comarca</v>
      </c>
      <c r="C217" s="781" t="str">
        <f>'Base de datos Rutas'!C215</f>
        <v>Suc. Santa Rita</v>
      </c>
      <c r="D217" s="782">
        <f>IF(ISNUMBER('Base de datos Rutas'!D215),'Base de datos Rutas'!D215,"Sin código")</f>
        <v>220340</v>
      </c>
      <c r="E217" s="783" t="str">
        <f>'Base de datos Rutas'!F215</f>
        <v>Activa</v>
      </c>
      <c r="F217" s="784" t="str">
        <f>'Base de datos Rutas'!H215</f>
        <v>Sí</v>
      </c>
      <c r="G217" s="785">
        <f>IF(ISNUMBER('Base de datos Rutas'!BE215),'Base de datos Rutas'!BE215,"")</f>
        <v>63.802752293578003</v>
      </c>
      <c r="H217" s="786">
        <f>IF(ISNUMBER('Base de datos Rutas'!BH215),'Base de datos Rutas'!BH215,"")</f>
        <v>0.61769357969659899</v>
      </c>
      <c r="I217" s="788">
        <f>IFERROR(IF(OR(NOT(ISNUMBER('Base de datos Rutas'!O215)),N('Base de datos Rutas'!BK215)=0),"",'Base de datos Rutas'!O215/('Base de datos Rutas'!L215/'Base de datos Rutas'!BK215)),"")</f>
        <v>2448.4541284403654</v>
      </c>
      <c r="J217" s="788">
        <f>IFERROR(IF(OR(NOT(ISNUMBER('Base de datos Rutas'!N215)),N('Base de datos Rutas'!BK215)=0),"",'Base de datos Rutas'!N215/('Base de datos Rutas'!L215/'Base de datos Rutas'!BK215)),"")</f>
        <v>4166.394495412841</v>
      </c>
      <c r="K217" s="788">
        <f>IFERROR(IF(OR(NOT(ISNUMBER('Base de datos Rutas'!J215)),N('Base de datos Rutas'!BK215)=0),"",'Base de datos Rutas'!J215/('Base de datos Rutas'!L215/'Base de datos Rutas'!BK215)),"")</f>
        <v>286.60702385321082</v>
      </c>
      <c r="L217" s="788">
        <f>IFERROR(IF(OR(NOT(ISNUMBER('Base de datos Rutas'!K215)),N('Base de datos Rutas'!BK215)=0),"",'Base de datos Rutas'!K215/('Base de datos Rutas'!L215/'Base de datos Rutas'!BK215)),"")</f>
        <v>21.543497373853196</v>
      </c>
      <c r="M217" s="787">
        <f>IF(ISNUMBER('Base de datos Rutas'!AX215),'Base de datos Rutas'!AX215,"")</f>
        <v>167.844564977012</v>
      </c>
      <c r="N217" s="790">
        <f>IFERROR(INDEX('Hoja de apoyo v2'!B$17:B$20,MATCH($A217,'Hoja de apoyo v2'!$A$17:$A$20,0)),"")</f>
        <v>74.190366972477051</v>
      </c>
      <c r="O217" s="791">
        <f>IFERROR(INDEX('Hoja de apoyo v2'!C$17:C$20,MATCH($A217,'Hoja de apoyo v2'!$A$17:$A$20,0)),"")</f>
        <v>0.71677657005077755</v>
      </c>
      <c r="P217" s="793">
        <f>IFERROR(INDEX('Hoja de apoyo v2'!D$17:D$20,MATCH($A217,'Hoja de apoyo v2'!$A$17:$A$20,0)),"")</f>
        <v>8755.1153350385739</v>
      </c>
      <c r="Q217" s="793">
        <f>IFERROR(INDEX('Hoja de apoyo v2'!E$17:E$20,MATCH($A217,'Hoja de apoyo v2'!$A$17:$A$20,0)),"")</f>
        <v>6098.2042779326393</v>
      </c>
      <c r="R217" s="793">
        <f>IFERROR(INDEX('Hoja de apoyo v2'!F$17:F$20,MATCH($A217,'Hoja de apoyo v2'!$A$17:$A$20,0)),"")</f>
        <v>389.08889713610301</v>
      </c>
      <c r="S217" s="793">
        <f>IFERROR(INDEX('Hoja de apoyo v2'!G$17:G$20,MATCH($A217,'Hoja de apoyo v2'!$A$17:$A$20,0)),"")</f>
        <v>67.90575167807188</v>
      </c>
      <c r="T217" s="792">
        <f>IFERROR(INDEX('Hoja de apoyo v2'!H$17:H$20,MATCH($A217,'Hoja de apoyo v2'!$A$17:$A$20,0)),"")</f>
        <v>258.90325471200998</v>
      </c>
      <c r="U217" s="794">
        <f t="shared" si="112"/>
        <v>0.85998701579744685</v>
      </c>
      <c r="V217" s="795">
        <f t="shared" si="113"/>
        <v>0.86176586331894278</v>
      </c>
      <c r="W217" s="795">
        <f t="shared" si="114"/>
        <v>0.27965983710591263</v>
      </c>
      <c r="X217" s="843">
        <f t="shared" si="115"/>
        <v>0.68321661681449875</v>
      </c>
      <c r="Y217" s="843">
        <f t="shared" si="116"/>
        <v>0.7366106459546593</v>
      </c>
      <c r="Z217" s="843">
        <f t="shared" si="117"/>
        <v>0.31725585596911993</v>
      </c>
      <c r="AA217" s="843">
        <f t="shared" si="118"/>
        <v>0.64829067198754697</v>
      </c>
      <c r="AB217" s="796">
        <f t="shared" si="119"/>
        <v>3</v>
      </c>
      <c r="AC217" s="797">
        <f t="shared" si="120"/>
        <v>3</v>
      </c>
      <c r="AD217" s="797">
        <f t="shared" si="121"/>
        <v>1</v>
      </c>
      <c r="AE217" s="842">
        <f t="shared" si="122"/>
        <v>2</v>
      </c>
      <c r="AF217" s="842">
        <f t="shared" si="123"/>
        <v>2</v>
      </c>
      <c r="AG217" s="842">
        <f t="shared" si="124"/>
        <v>1</v>
      </c>
      <c r="AH217" s="842">
        <f t="shared" si="125"/>
        <v>2</v>
      </c>
      <c r="AI217" s="826" cm="1">
        <f t="array" ref="AI217">SUMPRODUCT(--ISNUMBER($U217:$AA217),$AB$3:$AH$3)</f>
        <v>1</v>
      </c>
      <c r="AJ217" s="829">
        <f t="shared" si="126"/>
        <v>22.41330352663952</v>
      </c>
      <c r="AK217" s="827" t="str">
        <f t="shared" si="127"/>
        <v>Inmadura</v>
      </c>
      <c r="AL217" s="784" t="str">
        <f t="shared" si="128"/>
        <v>Alta</v>
      </c>
      <c r="AM217" s="799">
        <f>IF(ISNUMBER('Base de datos Rutas'!W215),'Base de datos Rutas'!W215,"")</f>
        <v>1889.2641835913792</v>
      </c>
      <c r="AN217" s="787">
        <f>IFERROR(SUMIFS('Base de datos Rutas'!$W$6:$W$794,'Base de datos Rutas'!$C$6:$C$794,$C217)/'Base de datos Rutas'!I215,"")</f>
        <v>1889.2641835913787</v>
      </c>
      <c r="AO217" s="800">
        <f>IFERROR('Base de datos Rutas'!X215*AN217/AM217,"")</f>
        <v>0.55633266603414289</v>
      </c>
      <c r="AP217" s="800">
        <f t="shared" si="129"/>
        <v>0.44366733396585711</v>
      </c>
      <c r="AQ217" s="789">
        <f>IFERROR(INDEX('Hoja de apoyo v2'!$J$17:$J$20,MATCH($A217,'Hoja de apoyo v2'!$A$17:$A$20,0)),"")</f>
        <v>0.62197445417222763</v>
      </c>
      <c r="AR217" s="789">
        <f t="shared" si="130"/>
        <v>-0.17830712020637052</v>
      </c>
      <c r="AS217" s="784" t="str">
        <f t="shared" si="131"/>
        <v>No</v>
      </c>
      <c r="AT217" s="801">
        <f>IF(ISNUMBER('Base de datos Rutas'!CK215),'Base de datos Rutas'!CK215,"")</f>
        <v>470</v>
      </c>
      <c r="AU217" s="802">
        <f>IF(ISNUMBER('Base de datos Rutas'!CL215),'Base de datos Rutas'!CL215,"")</f>
        <v>597.75</v>
      </c>
      <c r="AV217" s="802">
        <f>IF(ISNUMBER('Base de datos Rutas'!CM215),'Base de datos Rutas'!CM215,"")</f>
        <v>127.75</v>
      </c>
      <c r="AW217" s="802">
        <f>IF(ISNUMBER('Base de datos Rutas'!CN215),'Base de datos Rutas'!CN215,"")</f>
        <v>12.4</v>
      </c>
      <c r="AX217" s="802">
        <f>IF(ISNUMBER('Base de datos Rutas'!CO215),'Base de datos Rutas'!CO215,"")</f>
        <v>9.4499999999999993</v>
      </c>
      <c r="AY217" s="802">
        <f>IF(ISNUMBER('Base de datos Rutas'!CP215),'Base de datos Rutas'!CP215,"")</f>
        <v>-2.9500000000000011</v>
      </c>
      <c r="AZ217" s="802">
        <f>IF(ISNUMBER('Base de datos Rutas'!CQ215),'Base de datos Rutas'!CQ215,"")</f>
        <v>630.35</v>
      </c>
      <c r="BA217" s="802">
        <f>IF(ISNUMBER('Base de datos Rutas'!CR215),'Base de datos Rutas'!CR215,"")</f>
        <v>308.14999999999998</v>
      </c>
      <c r="BB217" s="803">
        <f>IF(ISNUMBER('Base de datos Rutas'!CS215),'Base de datos Rutas'!CS215,"")</f>
        <v>322.20000000000005</v>
      </c>
      <c r="BC217" s="804">
        <f t="shared" si="141"/>
        <v>1</v>
      </c>
      <c r="BD217" s="805" t="str">
        <f t="shared" si="142"/>
        <v>Saturada</v>
      </c>
      <c r="BE217" s="806">
        <f t="shared" si="143"/>
        <v>0.4888553977948758</v>
      </c>
      <c r="BF217" s="890">
        <f>IF(ISNUMBER('Base de datos Rutas'!CX215),'Base de datos Rutas'!CX215/100,"")</f>
        <v>0.6069043746254601</v>
      </c>
      <c r="BG217" s="891">
        <f>IF(ISNUMBER('Base de datos Rutas'!CZ215),'Base de datos Rutas'!CZ215/100,"")</f>
        <v>0.61784093827583253</v>
      </c>
      <c r="BH217" s="892">
        <f>IF(ISNUMBER('Base de datos Rutas'!DA215),'Base de datos Rutas'!DA215,"")</f>
        <v>107.71855615539324</v>
      </c>
      <c r="BI217" s="893">
        <f>IF(ISNUMBER('Base de datos Rutas'!DC215),'Base de datos Rutas'!DC215,"")</f>
        <v>5.213669524716841</v>
      </c>
      <c r="BJ217" s="805" t="str">
        <f t="shared" si="144"/>
        <v>Ruta (completo)</v>
      </c>
      <c r="BK217" s="783">
        <f t="shared" si="132"/>
        <v>5</v>
      </c>
      <c r="BL217" s="797">
        <f t="shared" si="133"/>
        <v>5</v>
      </c>
      <c r="BM217" s="797">
        <f t="shared" si="134"/>
        <v>5</v>
      </c>
      <c r="BN217" s="797">
        <f t="shared" si="135"/>
        <v>5</v>
      </c>
      <c r="BO217" s="798" cm="1">
        <f t="array" ref="BO217">SUMPRODUCT(--ISNUMBER($BF217:$BI217),$BK$3:$BN$3)</f>
        <v>1</v>
      </c>
      <c r="BP217" s="831">
        <f t="shared" si="145"/>
        <v>100</v>
      </c>
      <c r="BQ217" s="834" t="str">
        <f t="shared" si="146"/>
        <v>Alto</v>
      </c>
      <c r="BR217" s="836">
        <f t="shared" si="136"/>
        <v>41.809977644979639</v>
      </c>
      <c r="BS217" s="836">
        <f t="shared" si="137"/>
        <v>100</v>
      </c>
      <c r="BT217" s="837" t="str">
        <f t="shared" si="138"/>
        <v>P1</v>
      </c>
      <c r="BU217" s="807" t="str">
        <f t="shared" si="147"/>
        <v>Al tope</v>
      </c>
      <c r="BV217" s="807" t="str">
        <f t="shared" si="139"/>
        <v>Zona atractiva</v>
      </c>
      <c r="BW217" s="808" t="str">
        <f t="shared" si="140"/>
        <v>P1 - Ampliar cobertura</v>
      </c>
    </row>
    <row r="218" spans="1:75">
      <c r="A218" s="780" t="str">
        <f>'Base de datos Rutas'!A216</f>
        <v>Norte</v>
      </c>
      <c r="B218" s="781" t="str">
        <f>'Base de datos Rutas'!B216</f>
        <v>Comarca</v>
      </c>
      <c r="C218" s="781" t="str">
        <f>'Base de datos Rutas'!C216</f>
        <v>Suc. Santa Rita</v>
      </c>
      <c r="D218" s="782">
        <f>IF(ISNUMBER('Base de datos Rutas'!D216),'Base de datos Rutas'!D216,"Sin código")</f>
        <v>220341</v>
      </c>
      <c r="E218" s="783" t="str">
        <f>'Base de datos Rutas'!F216</f>
        <v>Activa</v>
      </c>
      <c r="F218" s="784" t="str">
        <f>'Base de datos Rutas'!H216</f>
        <v>Sí</v>
      </c>
      <c r="G218" s="785">
        <f>IF(ISNUMBER('Base de datos Rutas'!BE216),'Base de datos Rutas'!BE216,"")</f>
        <v>41.990762124711303</v>
      </c>
      <c r="H218" s="786">
        <f>IF(ISNUMBER('Base de datos Rutas'!BH216),'Base de datos Rutas'!BH216,"")</f>
        <v>0.53376966230337697</v>
      </c>
      <c r="I218" s="788">
        <f>IFERROR(IF(OR(NOT(ISNUMBER('Base de datos Rutas'!O216)),N('Base de datos Rutas'!BK216)=0),"",'Base de datos Rutas'!O216/('Base de datos Rutas'!L216/'Base de datos Rutas'!BK216)),"")</f>
        <v>2082.9168591224043</v>
      </c>
      <c r="J218" s="788">
        <f>IFERROR(IF(OR(NOT(ISNUMBER('Base de datos Rutas'!N216)),N('Base de datos Rutas'!BK216)=0),"",'Base de datos Rutas'!N216/('Base de datos Rutas'!L216/'Base de datos Rutas'!BK216)),"")</f>
        <v>4315.1593533487348</v>
      </c>
      <c r="K218" s="788">
        <f>IFERROR(IF(OR(NOT(ISNUMBER('Base de datos Rutas'!J216)),N('Base de datos Rutas'!BK216)=0),"",'Base de datos Rutas'!J216/('Base de datos Rutas'!L216/'Base de datos Rutas'!BK216)),"")</f>
        <v>291.95245635103959</v>
      </c>
      <c r="L218" s="788">
        <f>IFERROR(IF(OR(NOT(ISNUMBER('Base de datos Rutas'!K216)),N('Base de datos Rutas'!BK216)=0),"",'Base de datos Rutas'!K216/('Base de datos Rutas'!L216/'Base de datos Rutas'!BK216)),"")</f>
        <v>16.126436420323344</v>
      </c>
      <c r="M218" s="787">
        <f>IF(ISNUMBER('Base de datos Rutas'!AX216),'Base de datos Rutas'!AX216,"")</f>
        <v>279.58850798557501</v>
      </c>
      <c r="N218" s="790">
        <f>IFERROR(INDEX('Hoja de apoyo v2'!B$17:B$20,MATCH($A218,'Hoja de apoyo v2'!$A$17:$A$20,0)),"")</f>
        <v>74.190366972477051</v>
      </c>
      <c r="O218" s="791">
        <f>IFERROR(INDEX('Hoja de apoyo v2'!C$17:C$20,MATCH($A218,'Hoja de apoyo v2'!$A$17:$A$20,0)),"")</f>
        <v>0.71677657005077755</v>
      </c>
      <c r="P218" s="793">
        <f>IFERROR(INDEX('Hoja de apoyo v2'!D$17:D$20,MATCH($A218,'Hoja de apoyo v2'!$A$17:$A$20,0)),"")</f>
        <v>8755.1153350385739</v>
      </c>
      <c r="Q218" s="793">
        <f>IFERROR(INDEX('Hoja de apoyo v2'!E$17:E$20,MATCH($A218,'Hoja de apoyo v2'!$A$17:$A$20,0)),"")</f>
        <v>6098.2042779326393</v>
      </c>
      <c r="R218" s="793">
        <f>IFERROR(INDEX('Hoja de apoyo v2'!F$17:F$20,MATCH($A218,'Hoja de apoyo v2'!$A$17:$A$20,0)),"")</f>
        <v>389.08889713610301</v>
      </c>
      <c r="S218" s="793">
        <f>IFERROR(INDEX('Hoja de apoyo v2'!G$17:G$20,MATCH($A218,'Hoja de apoyo v2'!$A$17:$A$20,0)),"")</f>
        <v>67.90575167807188</v>
      </c>
      <c r="T218" s="792">
        <f>IFERROR(INDEX('Hoja de apoyo v2'!H$17:H$20,MATCH($A218,'Hoja de apoyo v2'!$A$17:$A$20,0)),"")</f>
        <v>258.90325471200998</v>
      </c>
      <c r="U218" s="794">
        <f t="shared" si="112"/>
        <v>0.56598671550295643</v>
      </c>
      <c r="V218" s="795">
        <f t="shared" si="113"/>
        <v>0.74468067820013129</v>
      </c>
      <c r="W218" s="795">
        <f t="shared" si="114"/>
        <v>0.2379085573877511</v>
      </c>
      <c r="X218" s="843">
        <f t="shared" si="115"/>
        <v>0.70761147981937123</v>
      </c>
      <c r="Y218" s="843">
        <f t="shared" si="116"/>
        <v>0.7503489780869147</v>
      </c>
      <c r="Z218" s="843">
        <f t="shared" si="117"/>
        <v>0.23748262881730078</v>
      </c>
      <c r="AA218" s="843">
        <f t="shared" si="118"/>
        <v>1.0798956865048845</v>
      </c>
      <c r="AB218" s="796">
        <f t="shared" si="119"/>
        <v>2</v>
      </c>
      <c r="AC218" s="797">
        <f t="shared" si="120"/>
        <v>2</v>
      </c>
      <c r="AD218" s="797">
        <f t="shared" si="121"/>
        <v>1</v>
      </c>
      <c r="AE218" s="842">
        <f t="shared" si="122"/>
        <v>2</v>
      </c>
      <c r="AF218" s="842">
        <f t="shared" si="123"/>
        <v>3</v>
      </c>
      <c r="AG218" s="842">
        <f t="shared" si="124"/>
        <v>1</v>
      </c>
      <c r="AH218" s="842">
        <f t="shared" si="125"/>
        <v>4</v>
      </c>
      <c r="AI218" s="826" cm="1">
        <f t="array" ref="AI218">SUMPRODUCT(--ISNUMBER($U218:$AA218),$AB$3:$AH$3)</f>
        <v>1</v>
      </c>
      <c r="AJ218" s="829">
        <f t="shared" si="126"/>
        <v>22.912261955305201</v>
      </c>
      <c r="AK218" s="827" t="str">
        <f t="shared" si="127"/>
        <v>Inmadura</v>
      </c>
      <c r="AL218" s="784" t="str">
        <f t="shared" si="128"/>
        <v>Alta</v>
      </c>
      <c r="AM218" s="799">
        <f>IF(ISNUMBER('Base de datos Rutas'!W216),'Base de datos Rutas'!W216,"")</f>
        <v>1889.2641835913792</v>
      </c>
      <c r="AN218" s="787">
        <f>IFERROR(SUMIFS('Base de datos Rutas'!$W$6:$W$794,'Base de datos Rutas'!$C$6:$C$794,$C218)/'Base de datos Rutas'!I216,"")</f>
        <v>1889.2641835913787</v>
      </c>
      <c r="AO218" s="800">
        <f>IFERROR('Base de datos Rutas'!X216*AN218/AM218,"")</f>
        <v>0.55633266603414289</v>
      </c>
      <c r="AP218" s="800">
        <f t="shared" si="129"/>
        <v>0.44366733396585711</v>
      </c>
      <c r="AQ218" s="789">
        <f>IFERROR(INDEX('Hoja de apoyo v2'!$J$17:$J$20,MATCH($A218,'Hoja de apoyo v2'!$A$17:$A$20,0)),"")</f>
        <v>0.62197445417222763</v>
      </c>
      <c r="AR218" s="789">
        <f t="shared" si="130"/>
        <v>-0.17830712020637052</v>
      </c>
      <c r="AS218" s="784" t="str">
        <f t="shared" si="131"/>
        <v>No</v>
      </c>
      <c r="AT218" s="801">
        <f>IF(ISNUMBER('Base de datos Rutas'!CK216),'Base de datos Rutas'!CK216,"")</f>
        <v>169</v>
      </c>
      <c r="AU218" s="802">
        <f>IF(ISNUMBER('Base de datos Rutas'!CL216),'Base de datos Rutas'!CL216,"")</f>
        <v>225.17</v>
      </c>
      <c r="AV218" s="802">
        <f>IF(ISNUMBER('Base de datos Rutas'!CM216),'Base de datos Rutas'!CM216,"")</f>
        <v>56.169999999999987</v>
      </c>
      <c r="AW218" s="802">
        <f>IF(ISNUMBER('Base de datos Rutas'!CN216),'Base de datos Rutas'!CN216,"")</f>
        <v>6.71</v>
      </c>
      <c r="AX218" s="802">
        <f>IF(ISNUMBER('Base de datos Rutas'!CO216),'Base de datos Rutas'!CO216,"")</f>
        <v>9.4499999999999993</v>
      </c>
      <c r="AY218" s="802">
        <f>IF(ISNUMBER('Base de datos Rutas'!CP216),'Base de datos Rutas'!CP216,"")</f>
        <v>2.7399999999999993</v>
      </c>
      <c r="AZ218" s="802">
        <f>IF(ISNUMBER('Base de datos Rutas'!CQ216),'Base de datos Rutas'!CQ216,"")</f>
        <v>630.35</v>
      </c>
      <c r="BA218" s="802">
        <f>IF(ISNUMBER('Base de datos Rutas'!CR216),'Base de datos Rutas'!CR216,"")</f>
        <v>308.08</v>
      </c>
      <c r="BB218" s="803">
        <f>IF(ISNUMBER('Base de datos Rutas'!CS216),'Base de datos Rutas'!CS216,"")</f>
        <v>322.27000000000004</v>
      </c>
      <c r="BC218" s="804">
        <f t="shared" si="141"/>
        <v>0</v>
      </c>
      <c r="BD218" s="805" t="str">
        <f t="shared" si="142"/>
        <v>No saturada</v>
      </c>
      <c r="BE218" s="806">
        <f t="shared" si="143"/>
        <v>0.48874434837788527</v>
      </c>
      <c r="BF218" s="890">
        <f>IF(ISNUMBER('Base de datos Rutas'!CX216),'Base de datos Rutas'!CX216/100,"")</f>
        <v>0.57704830569574617</v>
      </c>
      <c r="BG218" s="891">
        <f>IF(ISNUMBER('Base de datos Rutas'!CZ216),'Base de datos Rutas'!CZ216/100,"")</f>
        <v>0.58514780100937269</v>
      </c>
      <c r="BH218" s="892">
        <f>IF(ISNUMBER('Base de datos Rutas'!DA216),'Base de datos Rutas'!DA216,"")</f>
        <v>41.545243500015019</v>
      </c>
      <c r="BI218" s="893">
        <f>IF(ISNUMBER('Base de datos Rutas'!DC216),'Base de datos Rutas'!DC216,"")</f>
        <v>2.1153412089821875</v>
      </c>
      <c r="BJ218" s="805" t="str">
        <f t="shared" si="144"/>
        <v>Ruta (completo)</v>
      </c>
      <c r="BK218" s="783">
        <f t="shared" si="132"/>
        <v>4</v>
      </c>
      <c r="BL218" s="797">
        <f t="shared" si="133"/>
        <v>4</v>
      </c>
      <c r="BM218" s="797">
        <f t="shared" si="134"/>
        <v>2</v>
      </c>
      <c r="BN218" s="797">
        <f t="shared" si="135"/>
        <v>2</v>
      </c>
      <c r="BO218" s="798" cm="1">
        <f t="array" ref="BO218">SUMPRODUCT(--ISNUMBER($BF218:$BI218),$BK$3:$BN$3)</f>
        <v>1</v>
      </c>
      <c r="BP218" s="831">
        <f t="shared" si="145"/>
        <v>50</v>
      </c>
      <c r="BQ218" s="834" t="str">
        <f t="shared" si="146"/>
        <v>Alto</v>
      </c>
      <c r="BR218" s="836">
        <f t="shared" si="136"/>
        <v>17.184196466478902</v>
      </c>
      <c r="BS218" s="836">
        <f t="shared" si="137"/>
        <v>50</v>
      </c>
      <c r="BT218" s="837" t="str">
        <f t="shared" si="138"/>
        <v>P3</v>
      </c>
      <c r="BU218" s="807" t="str">
        <f t="shared" si="147"/>
        <v>Con espacio</v>
      </c>
      <c r="BV218" s="807" t="str">
        <f t="shared" si="139"/>
        <v>Zona atractiva</v>
      </c>
      <c r="BW218" s="808" t="str">
        <f t="shared" si="140"/>
        <v>P3 - Desarrollar</v>
      </c>
    </row>
    <row r="219" spans="1:75">
      <c r="A219" s="780" t="str">
        <f>'Base de datos Rutas'!A217</f>
        <v>Norte</v>
      </c>
      <c r="B219" s="781" t="str">
        <f>'Base de datos Rutas'!B217</f>
        <v>Comarca</v>
      </c>
      <c r="C219" s="781" t="str">
        <f>'Base de datos Rutas'!C217</f>
        <v>Suc. Santa Rita</v>
      </c>
      <c r="D219" s="782">
        <f>IF(ISNUMBER('Base de datos Rutas'!D217),'Base de datos Rutas'!D217,"Sin código")</f>
        <v>220342</v>
      </c>
      <c r="E219" s="783" t="str">
        <f>'Base de datos Rutas'!F217</f>
        <v>Activa</v>
      </c>
      <c r="F219" s="784" t="str">
        <f>'Base de datos Rutas'!H217</f>
        <v>Sí</v>
      </c>
      <c r="G219" s="785">
        <f>IF(ISNUMBER('Base de datos Rutas'!BE217),'Base de datos Rutas'!BE217,"")</f>
        <v>52.894736842105303</v>
      </c>
      <c r="H219" s="786">
        <f>IF(ISNUMBER('Base de datos Rutas'!BH217),'Base de datos Rutas'!BH217,"")</f>
        <v>0.50945273631840804</v>
      </c>
      <c r="I219" s="788">
        <f>IFERROR(IF(OR(NOT(ISNUMBER('Base de datos Rutas'!O217)),N('Base de datos Rutas'!BK217)=0),"",'Base de datos Rutas'!O217/('Base de datos Rutas'!L217/'Base de datos Rutas'!BK217)),"")</f>
        <v>1859.5057208237974</v>
      </c>
      <c r="J219" s="788">
        <f>IFERROR(IF(OR(NOT(ISNUMBER('Base de datos Rutas'!N217)),N('Base de datos Rutas'!BK217)=0),"",'Base de datos Rutas'!N217/('Base de datos Rutas'!L217/'Base de datos Rutas'!BK217)),"")</f>
        <v>3492.2951945080067</v>
      </c>
      <c r="K219" s="788">
        <f>IFERROR(IF(OR(NOT(ISNUMBER('Base de datos Rutas'!J217)),N('Base de datos Rutas'!BK217)=0),"",'Base de datos Rutas'!J217/('Base de datos Rutas'!L217/'Base de datos Rutas'!BK217)),"")</f>
        <v>244.41587002288313</v>
      </c>
      <c r="L219" s="788">
        <f>IFERROR(IF(OR(NOT(ISNUMBER('Base de datos Rutas'!K217)),N('Base de datos Rutas'!BK217)=0),"",'Base de datos Rutas'!K217/('Base de datos Rutas'!L217/'Base de datos Rutas'!BK217)),"")</f>
        <v>16.258649068649873</v>
      </c>
      <c r="M219" s="787">
        <f>IF(ISNUMBER('Base de datos Rutas'!AX217),'Base de datos Rutas'!AX217,"")</f>
        <v>198.572721637228</v>
      </c>
      <c r="N219" s="790">
        <f>IFERROR(INDEX('Hoja de apoyo v2'!B$17:B$20,MATCH($A219,'Hoja de apoyo v2'!$A$17:$A$20,0)),"")</f>
        <v>74.190366972477051</v>
      </c>
      <c r="O219" s="791">
        <f>IFERROR(INDEX('Hoja de apoyo v2'!C$17:C$20,MATCH($A219,'Hoja de apoyo v2'!$A$17:$A$20,0)),"")</f>
        <v>0.71677657005077755</v>
      </c>
      <c r="P219" s="793">
        <f>IFERROR(INDEX('Hoja de apoyo v2'!D$17:D$20,MATCH($A219,'Hoja de apoyo v2'!$A$17:$A$20,0)),"")</f>
        <v>8755.1153350385739</v>
      </c>
      <c r="Q219" s="793">
        <f>IFERROR(INDEX('Hoja de apoyo v2'!E$17:E$20,MATCH($A219,'Hoja de apoyo v2'!$A$17:$A$20,0)),"")</f>
        <v>6098.2042779326393</v>
      </c>
      <c r="R219" s="793">
        <f>IFERROR(INDEX('Hoja de apoyo v2'!F$17:F$20,MATCH($A219,'Hoja de apoyo v2'!$A$17:$A$20,0)),"")</f>
        <v>389.08889713610301</v>
      </c>
      <c r="S219" s="793">
        <f>IFERROR(INDEX('Hoja de apoyo v2'!G$17:G$20,MATCH($A219,'Hoja de apoyo v2'!$A$17:$A$20,0)),"")</f>
        <v>67.90575167807188</v>
      </c>
      <c r="T219" s="792">
        <f>IFERROR(INDEX('Hoja de apoyo v2'!H$17:H$20,MATCH($A219,'Hoja de apoyo v2'!$A$17:$A$20,0)),"")</f>
        <v>258.90325471200998</v>
      </c>
      <c r="U219" s="794">
        <f t="shared" si="112"/>
        <v>0.7129596334484779</v>
      </c>
      <c r="V219" s="795">
        <f t="shared" si="113"/>
        <v>0.71075528638208363</v>
      </c>
      <c r="W219" s="795">
        <f t="shared" si="114"/>
        <v>0.21239077381218813</v>
      </c>
      <c r="X219" s="843">
        <f t="shared" si="115"/>
        <v>0.57267599367660649</v>
      </c>
      <c r="Y219" s="843">
        <f t="shared" si="116"/>
        <v>0.62817487680042083</v>
      </c>
      <c r="Z219" s="843">
        <f t="shared" si="117"/>
        <v>0.23942963102343678</v>
      </c>
      <c r="AA219" s="843">
        <f t="shared" si="118"/>
        <v>0.76697653669170585</v>
      </c>
      <c r="AB219" s="796">
        <f t="shared" si="119"/>
        <v>2</v>
      </c>
      <c r="AC219" s="797">
        <f t="shared" si="120"/>
        <v>2</v>
      </c>
      <c r="AD219" s="797">
        <f t="shared" si="121"/>
        <v>1</v>
      </c>
      <c r="AE219" s="842">
        <f t="shared" si="122"/>
        <v>2</v>
      </c>
      <c r="AF219" s="842">
        <f t="shared" si="123"/>
        <v>2</v>
      </c>
      <c r="AG219" s="842">
        <f t="shared" si="124"/>
        <v>1</v>
      </c>
      <c r="AH219" s="842">
        <f t="shared" si="125"/>
        <v>3</v>
      </c>
      <c r="AI219" s="826" cm="1">
        <f t="array" ref="AI219">SUMPRODUCT(--ISNUMBER($U219:$AA219),$AB$3:$AH$3)</f>
        <v>1</v>
      </c>
      <c r="AJ219" s="829">
        <f t="shared" si="126"/>
        <v>17.741489602938842</v>
      </c>
      <c r="AK219" s="827" t="str">
        <f t="shared" si="127"/>
        <v>Inmadura</v>
      </c>
      <c r="AL219" s="784" t="str">
        <f t="shared" si="128"/>
        <v>Alta</v>
      </c>
      <c r="AM219" s="799">
        <f>IF(ISNUMBER('Base de datos Rutas'!W217),'Base de datos Rutas'!W217,"")</f>
        <v>1889.2641835913792</v>
      </c>
      <c r="AN219" s="787">
        <f>IFERROR(SUMIFS('Base de datos Rutas'!$W$6:$W$794,'Base de datos Rutas'!$C$6:$C$794,$C219)/'Base de datos Rutas'!I217,"")</f>
        <v>1889.2641835913787</v>
      </c>
      <c r="AO219" s="800">
        <f>IFERROR('Base de datos Rutas'!X217*AN219/AM219,"")</f>
        <v>0.55633266603414289</v>
      </c>
      <c r="AP219" s="800">
        <f t="shared" si="129"/>
        <v>0.44366733396585711</v>
      </c>
      <c r="AQ219" s="789">
        <f>IFERROR(INDEX('Hoja de apoyo v2'!$J$17:$J$20,MATCH($A219,'Hoja de apoyo v2'!$A$17:$A$20,0)),"")</f>
        <v>0.62197445417222763</v>
      </c>
      <c r="AR219" s="789">
        <f t="shared" si="130"/>
        <v>-0.17830712020637052</v>
      </c>
      <c r="AS219" s="784" t="str">
        <f t="shared" si="131"/>
        <v>No</v>
      </c>
      <c r="AT219" s="801">
        <f>IF(ISNUMBER('Base de datos Rutas'!CK217),'Base de datos Rutas'!CK217,"")</f>
        <v>267</v>
      </c>
      <c r="AU219" s="802">
        <f>IF(ISNUMBER('Base de datos Rutas'!CL217),'Base de datos Rutas'!CL217,"")</f>
        <v>383.11</v>
      </c>
      <c r="AV219" s="802">
        <f>IF(ISNUMBER('Base de datos Rutas'!CM217),'Base de datos Rutas'!CM217,"")</f>
        <v>116.11000000000001</v>
      </c>
      <c r="AW219" s="802">
        <f>IF(ISNUMBER('Base de datos Rutas'!CN217),'Base de datos Rutas'!CN217,"")</f>
        <v>6.46</v>
      </c>
      <c r="AX219" s="802">
        <f>IF(ISNUMBER('Base de datos Rutas'!CO217),'Base de datos Rutas'!CO217,"")</f>
        <v>9.4499999999999993</v>
      </c>
      <c r="AY219" s="802">
        <f>IF(ISNUMBER('Base de datos Rutas'!CP217),'Base de datos Rutas'!CP217,"")</f>
        <v>2.9899999999999993</v>
      </c>
      <c r="AZ219" s="802">
        <f>IF(ISNUMBER('Base de datos Rutas'!CQ217),'Base de datos Rutas'!CQ217,"")</f>
        <v>630.35</v>
      </c>
      <c r="BA219" s="802">
        <f>IF(ISNUMBER('Base de datos Rutas'!CR217),'Base de datos Rutas'!CR217,"")</f>
        <v>260.67</v>
      </c>
      <c r="BB219" s="803">
        <f>IF(ISNUMBER('Base de datos Rutas'!CS217),'Base de datos Rutas'!CS217,"")</f>
        <v>369.68</v>
      </c>
      <c r="BC219" s="804">
        <f t="shared" si="141"/>
        <v>0</v>
      </c>
      <c r="BD219" s="805" t="str">
        <f t="shared" si="142"/>
        <v>No saturada</v>
      </c>
      <c r="BE219" s="806">
        <f t="shared" si="143"/>
        <v>0.4135321646704212</v>
      </c>
      <c r="BF219" s="890">
        <f>IF(ISNUMBER('Base de datos Rutas'!CX217),'Base de datos Rutas'!CX217/100,"")</f>
        <v>0.28265323193916347</v>
      </c>
      <c r="BG219" s="891">
        <f>IF(ISNUMBER('Base de datos Rutas'!CZ217),'Base de datos Rutas'!CZ217/100,"")</f>
        <v>0.29148288973384029</v>
      </c>
      <c r="BH219" s="892">
        <f>IF(ISNUMBER('Base de datos Rutas'!DA217),'Base de datos Rutas'!DA217,"")</f>
        <v>87.087711469300331</v>
      </c>
      <c r="BI219" s="893">
        <f>IF(ISNUMBER('Base de datos Rutas'!DC217),'Base de datos Rutas'!DC217,"")</f>
        <v>4.1519993426859871</v>
      </c>
      <c r="BJ219" s="805" t="str">
        <f t="shared" si="144"/>
        <v>Ruta (completo)</v>
      </c>
      <c r="BK219" s="783">
        <f t="shared" si="132"/>
        <v>2</v>
      </c>
      <c r="BL219" s="797">
        <f t="shared" si="133"/>
        <v>2</v>
      </c>
      <c r="BM219" s="797">
        <f t="shared" si="134"/>
        <v>4</v>
      </c>
      <c r="BN219" s="797">
        <f t="shared" si="135"/>
        <v>4</v>
      </c>
      <c r="BO219" s="798" cm="1">
        <f t="array" ref="BO219">SUMPRODUCT(--ISNUMBER($BF219:$BI219),$BK$3:$BN$3)</f>
        <v>1</v>
      </c>
      <c r="BP219" s="831">
        <f t="shared" si="145"/>
        <v>50</v>
      </c>
      <c r="BQ219" s="834" t="str">
        <f t="shared" si="146"/>
        <v>Alto</v>
      </c>
      <c r="BR219" s="836">
        <f t="shared" si="136"/>
        <v>13.306117202204131</v>
      </c>
      <c r="BS219" s="836">
        <f t="shared" si="137"/>
        <v>50</v>
      </c>
      <c r="BT219" s="837" t="str">
        <f t="shared" si="138"/>
        <v>P3</v>
      </c>
      <c r="BU219" s="807" t="str">
        <f t="shared" si="147"/>
        <v>Con espacio</v>
      </c>
      <c r="BV219" s="807" t="str">
        <f t="shared" si="139"/>
        <v>Zona atractiva</v>
      </c>
      <c r="BW219" s="808" t="str">
        <f t="shared" si="140"/>
        <v>P3 - Desarrollar</v>
      </c>
    </row>
    <row r="220" spans="1:75">
      <c r="A220" s="780" t="str">
        <f>'Base de datos Rutas'!A218</f>
        <v>Norte</v>
      </c>
      <c r="B220" s="781" t="str">
        <f>'Base de datos Rutas'!B218</f>
        <v>Comarca</v>
      </c>
      <c r="C220" s="781" t="str">
        <f>'Base de datos Rutas'!C218</f>
        <v>Suc. Santa Rita</v>
      </c>
      <c r="D220" s="782">
        <f>IF(ISNUMBER('Base de datos Rutas'!D218),'Base de datos Rutas'!D218,"Sin código")</f>
        <v>220343</v>
      </c>
      <c r="E220" s="783" t="str">
        <f>'Base de datos Rutas'!F218</f>
        <v>Activa</v>
      </c>
      <c r="F220" s="784" t="str">
        <f>'Base de datos Rutas'!H218</f>
        <v>Sí</v>
      </c>
      <c r="G220" s="785">
        <f>IF(ISNUMBER('Base de datos Rutas'!BE218),'Base de datos Rutas'!BE218,"")</f>
        <v>51.811926605504603</v>
      </c>
      <c r="H220" s="786">
        <f>IF(ISNUMBER('Base de datos Rutas'!BH218),'Base de datos Rutas'!BH218,"")</f>
        <v>0.68782647189021695</v>
      </c>
      <c r="I220" s="788">
        <f>IFERROR(IF(OR(NOT(ISNUMBER('Base de datos Rutas'!O218)),N('Base de datos Rutas'!BK218)=0),"",'Base de datos Rutas'!O218/('Base de datos Rutas'!L218/'Base de datos Rutas'!BK218)),"")</f>
        <v>2521.9334862385335</v>
      </c>
      <c r="J220" s="788">
        <f>IFERROR(IF(OR(NOT(ISNUMBER('Base de datos Rutas'!N218)),N('Base de datos Rutas'!BK218)=0),"",'Base de datos Rutas'!N218/('Base de datos Rutas'!L218/'Base de datos Rutas'!BK218)),"")</f>
        <v>4297.3142201834889</v>
      </c>
      <c r="K220" s="788">
        <f>IFERROR(IF(OR(NOT(ISNUMBER('Base de datos Rutas'!J218)),N('Base de datos Rutas'!BK218)=0),"",'Base de datos Rutas'!J218/('Base de datos Rutas'!L218/'Base de datos Rutas'!BK218)),"")</f>
        <v>297.69935229357816</v>
      </c>
      <c r="L220" s="788">
        <f>IFERROR(IF(OR(NOT(ISNUMBER('Base de datos Rutas'!K218)),N('Base de datos Rutas'!BK218)=0),"",'Base de datos Rutas'!K218/('Base de datos Rutas'!L218/'Base de datos Rutas'!BK218)),"")</f>
        <v>28.04977795183488</v>
      </c>
      <c r="M220" s="787">
        <f>IF(ISNUMBER('Base de datos Rutas'!AX218),'Base de datos Rutas'!AX218,"")</f>
        <v>191.3497702407</v>
      </c>
      <c r="N220" s="790">
        <f>IFERROR(INDEX('Hoja de apoyo v2'!B$17:B$20,MATCH($A220,'Hoja de apoyo v2'!$A$17:$A$20,0)),"")</f>
        <v>74.190366972477051</v>
      </c>
      <c r="O220" s="791">
        <f>IFERROR(INDEX('Hoja de apoyo v2'!C$17:C$20,MATCH($A220,'Hoja de apoyo v2'!$A$17:$A$20,0)),"")</f>
        <v>0.71677657005077755</v>
      </c>
      <c r="P220" s="793">
        <f>IFERROR(INDEX('Hoja de apoyo v2'!D$17:D$20,MATCH($A220,'Hoja de apoyo v2'!$A$17:$A$20,0)),"")</f>
        <v>8755.1153350385739</v>
      </c>
      <c r="Q220" s="793">
        <f>IFERROR(INDEX('Hoja de apoyo v2'!E$17:E$20,MATCH($A220,'Hoja de apoyo v2'!$A$17:$A$20,0)),"")</f>
        <v>6098.2042779326393</v>
      </c>
      <c r="R220" s="793">
        <f>IFERROR(INDEX('Hoja de apoyo v2'!F$17:F$20,MATCH($A220,'Hoja de apoyo v2'!$A$17:$A$20,0)),"")</f>
        <v>389.08889713610301</v>
      </c>
      <c r="S220" s="793">
        <f>IFERROR(INDEX('Hoja de apoyo v2'!G$17:G$20,MATCH($A220,'Hoja de apoyo v2'!$A$17:$A$20,0)),"")</f>
        <v>67.90575167807188</v>
      </c>
      <c r="T220" s="792">
        <f>IFERROR(INDEX('Hoja de apoyo v2'!H$17:H$20,MATCH($A220,'Hoja de apoyo v2'!$A$17:$A$20,0)),"")</f>
        <v>258.90325471200998</v>
      </c>
      <c r="U220" s="794">
        <f t="shared" si="112"/>
        <v>0.69836460877361151</v>
      </c>
      <c r="V220" s="795">
        <f t="shared" si="113"/>
        <v>0.95961070803624382</v>
      </c>
      <c r="W220" s="795">
        <f t="shared" si="114"/>
        <v>0.28805257152302521</v>
      </c>
      <c r="X220" s="843">
        <f t="shared" si="115"/>
        <v>0.7046851867088203</v>
      </c>
      <c r="Y220" s="843">
        <f t="shared" si="116"/>
        <v>0.76511911412738964</v>
      </c>
      <c r="Z220" s="843">
        <f t="shared" si="117"/>
        <v>0.41306925052259913</v>
      </c>
      <c r="AA220" s="843">
        <f t="shared" si="118"/>
        <v>0.73907827251359648</v>
      </c>
      <c r="AB220" s="796">
        <f t="shared" si="119"/>
        <v>2</v>
      </c>
      <c r="AC220" s="797">
        <f t="shared" si="120"/>
        <v>3</v>
      </c>
      <c r="AD220" s="797">
        <f t="shared" si="121"/>
        <v>1</v>
      </c>
      <c r="AE220" s="842">
        <f t="shared" si="122"/>
        <v>2</v>
      </c>
      <c r="AF220" s="842">
        <f t="shared" si="123"/>
        <v>3</v>
      </c>
      <c r="AG220" s="842">
        <f t="shared" si="124"/>
        <v>1</v>
      </c>
      <c r="AH220" s="842">
        <f t="shared" si="125"/>
        <v>2</v>
      </c>
      <c r="AI220" s="826" cm="1">
        <f t="array" ref="AI220">SUMPRODUCT(--ISNUMBER($U220:$AA220),$AB$3:$AH$3)</f>
        <v>1</v>
      </c>
      <c r="AJ220" s="829">
        <f t="shared" si="126"/>
        <v>20.805711860542559</v>
      </c>
      <c r="AK220" s="827" t="str">
        <f t="shared" si="127"/>
        <v>Inmadura</v>
      </c>
      <c r="AL220" s="784" t="str">
        <f t="shared" si="128"/>
        <v>Alta</v>
      </c>
      <c r="AM220" s="799">
        <f>IF(ISNUMBER('Base de datos Rutas'!W218),'Base de datos Rutas'!W218,"")</f>
        <v>1889.2641835913792</v>
      </c>
      <c r="AN220" s="787">
        <f>IFERROR(SUMIFS('Base de datos Rutas'!$W$6:$W$794,'Base de datos Rutas'!$C$6:$C$794,$C220)/'Base de datos Rutas'!I218,"")</f>
        <v>1889.2641835913787</v>
      </c>
      <c r="AO220" s="800">
        <f>IFERROR('Base de datos Rutas'!X218*AN220/AM220,"")</f>
        <v>0.55633266603414289</v>
      </c>
      <c r="AP220" s="800">
        <f t="shared" si="129"/>
        <v>0.44366733396585711</v>
      </c>
      <c r="AQ220" s="789">
        <f>IFERROR(INDEX('Hoja de apoyo v2'!$J$17:$J$20,MATCH($A220,'Hoja de apoyo v2'!$A$17:$A$20,0)),"")</f>
        <v>0.62197445417222763</v>
      </c>
      <c r="AR220" s="789">
        <f t="shared" si="130"/>
        <v>-0.17830712020637052</v>
      </c>
      <c r="AS220" s="784" t="str">
        <f t="shared" si="131"/>
        <v>No</v>
      </c>
      <c r="AT220" s="801">
        <f>IF(ISNUMBER('Base de datos Rutas'!CK218),'Base de datos Rutas'!CK218,"")</f>
        <v>287</v>
      </c>
      <c r="AU220" s="802">
        <f>IF(ISNUMBER('Base de datos Rutas'!CL218),'Base de datos Rutas'!CL218,"")</f>
        <v>350.8</v>
      </c>
      <c r="AV220" s="802">
        <f>IF(ISNUMBER('Base de datos Rutas'!CM218),'Base de datos Rutas'!CM218,"")</f>
        <v>63.800000000000011</v>
      </c>
      <c r="AW220" s="802">
        <f>IF(ISNUMBER('Base de datos Rutas'!CN218),'Base de datos Rutas'!CN218,"")</f>
        <v>7.89</v>
      </c>
      <c r="AX220" s="802">
        <f>IF(ISNUMBER('Base de datos Rutas'!CO218),'Base de datos Rutas'!CO218,"")</f>
        <v>9.4499999999999993</v>
      </c>
      <c r="AY220" s="802">
        <f>IF(ISNUMBER('Base de datos Rutas'!CP218),'Base de datos Rutas'!CP218,"")</f>
        <v>1.5599999999999996</v>
      </c>
      <c r="AZ220" s="802">
        <f>IF(ISNUMBER('Base de datos Rutas'!CQ218),'Base de datos Rutas'!CQ218,"")</f>
        <v>630.35</v>
      </c>
      <c r="BA220" s="802">
        <f>IF(ISNUMBER('Base de datos Rutas'!CR218),'Base de datos Rutas'!CR218,"")</f>
        <v>325.75</v>
      </c>
      <c r="BB220" s="803">
        <f>IF(ISNUMBER('Base de datos Rutas'!CS218),'Base de datos Rutas'!CS218,"")</f>
        <v>304.60000000000002</v>
      </c>
      <c r="BC220" s="804">
        <f t="shared" si="141"/>
        <v>0</v>
      </c>
      <c r="BD220" s="805" t="str">
        <f t="shared" si="142"/>
        <v>No saturada</v>
      </c>
      <c r="BE220" s="806">
        <f t="shared" si="143"/>
        <v>0.51677639406678832</v>
      </c>
      <c r="BF220" s="890">
        <f>IF(ISNUMBER('Base de datos Rutas'!CX218),'Base de datos Rutas'!CX218/100,"")</f>
        <v>0.1580361966504592</v>
      </c>
      <c r="BG220" s="891">
        <f>IF(ISNUMBER('Base de datos Rutas'!CZ218),'Base de datos Rutas'!CZ218/100,"")</f>
        <v>0.16234467855213397</v>
      </c>
      <c r="BH220" s="892">
        <f>IF(ISNUMBER('Base de datos Rutas'!DA218),'Base de datos Rutas'!DA218,"")</f>
        <v>60.132996005863447</v>
      </c>
      <c r="BI220" s="893">
        <f>IF(ISNUMBER('Base de datos Rutas'!DC218),'Base de datos Rutas'!DC218,"")</f>
        <v>2.893715622856682</v>
      </c>
      <c r="BJ220" s="805" t="str">
        <f t="shared" si="144"/>
        <v>Ruta (completo)</v>
      </c>
      <c r="BK220" s="783">
        <f t="shared" si="132"/>
        <v>2</v>
      </c>
      <c r="BL220" s="797">
        <f t="shared" si="133"/>
        <v>2</v>
      </c>
      <c r="BM220" s="797">
        <f t="shared" si="134"/>
        <v>4</v>
      </c>
      <c r="BN220" s="797">
        <f t="shared" si="135"/>
        <v>4</v>
      </c>
      <c r="BO220" s="798" cm="1">
        <f t="array" ref="BO220">SUMPRODUCT(--ISNUMBER($BF220:$BI220),$BK$3:$BN$3)</f>
        <v>1</v>
      </c>
      <c r="BP220" s="831">
        <f t="shared" si="145"/>
        <v>50</v>
      </c>
      <c r="BQ220" s="834" t="str">
        <f t="shared" si="146"/>
        <v>Alto</v>
      </c>
      <c r="BR220" s="836">
        <f t="shared" si="136"/>
        <v>15.604283895406919</v>
      </c>
      <c r="BS220" s="836">
        <f t="shared" si="137"/>
        <v>50</v>
      </c>
      <c r="BT220" s="837" t="str">
        <f t="shared" si="138"/>
        <v>P3</v>
      </c>
      <c r="BU220" s="807" t="str">
        <f t="shared" si="147"/>
        <v>Con espacio</v>
      </c>
      <c r="BV220" s="807" t="str">
        <f t="shared" si="139"/>
        <v>Zona atractiva</v>
      </c>
      <c r="BW220" s="808" t="str">
        <f t="shared" si="140"/>
        <v>P3 - Desarrollar</v>
      </c>
    </row>
    <row r="221" spans="1:75">
      <c r="A221" s="780" t="str">
        <f>'Base de datos Rutas'!A219</f>
        <v>Norte</v>
      </c>
      <c r="B221" s="781" t="str">
        <f>'Base de datos Rutas'!B219</f>
        <v>Comarca</v>
      </c>
      <c r="C221" s="781" t="str">
        <f>'Base de datos Rutas'!C219</f>
        <v>Suc. Santa Rita</v>
      </c>
      <c r="D221" s="782">
        <f>IF(ISNUMBER('Base de datos Rutas'!D219),'Base de datos Rutas'!D219,"Sin código")</f>
        <v>220344</v>
      </c>
      <c r="E221" s="783" t="str">
        <f>'Base de datos Rutas'!F219</f>
        <v>Activa</v>
      </c>
      <c r="F221" s="784" t="str">
        <f>'Base de datos Rutas'!H219</f>
        <v>Sí</v>
      </c>
      <c r="G221" s="785">
        <f>IF(ISNUMBER('Base de datos Rutas'!BE219),'Base de datos Rutas'!BE219,"")</f>
        <v>48.839816933638502</v>
      </c>
      <c r="H221" s="786">
        <f>IF(ISNUMBER('Base de datos Rutas'!BH219),'Base de datos Rutas'!BH219,"")</f>
        <v>0.51501663308813195</v>
      </c>
      <c r="I221" s="788">
        <f>IFERROR(IF(OR(NOT(ISNUMBER('Base de datos Rutas'!O219)),N('Base de datos Rutas'!BK219)=0),"",'Base de datos Rutas'!O219/('Base de datos Rutas'!L219/'Base de datos Rutas'!BK219)),"")</f>
        <v>2482.7482837528569</v>
      </c>
      <c r="J221" s="788">
        <f>IFERROR(IF(OR(NOT(ISNUMBER('Base de datos Rutas'!N219)),N('Base de datos Rutas'!BK219)=0),"",'Base de datos Rutas'!N219/('Base de datos Rutas'!L219/'Base de datos Rutas'!BK219)),"")</f>
        <v>4038.7414187642962</v>
      </c>
      <c r="K221" s="788">
        <f>IFERROR(IF(OR(NOT(ISNUMBER('Base de datos Rutas'!J219)),N('Base de datos Rutas'!BK219)=0),"",'Base de datos Rutas'!J219/('Base de datos Rutas'!L219/'Base de datos Rutas'!BK219)),"")</f>
        <v>280.65483708924444</v>
      </c>
      <c r="L221" s="788">
        <f>IFERROR(IF(OR(NOT(ISNUMBER('Base de datos Rutas'!K219)),N('Base de datos Rutas'!BK219)=0),"",'Base de datos Rutas'!K219/('Base de datos Rutas'!L219/'Base de datos Rutas'!BK219)),"")</f>
        <v>28.609651254004536</v>
      </c>
      <c r="M221" s="787">
        <f>IF(ISNUMBER('Base de datos Rutas'!AX219),'Base de datos Rutas'!AX219,"")</f>
        <v>259.26925127365399</v>
      </c>
      <c r="N221" s="790">
        <f>IFERROR(INDEX('Hoja de apoyo v2'!B$17:B$20,MATCH($A221,'Hoja de apoyo v2'!$A$17:$A$20,0)),"")</f>
        <v>74.190366972477051</v>
      </c>
      <c r="O221" s="791">
        <f>IFERROR(INDEX('Hoja de apoyo v2'!C$17:C$20,MATCH($A221,'Hoja de apoyo v2'!$A$17:$A$20,0)),"")</f>
        <v>0.71677657005077755</v>
      </c>
      <c r="P221" s="793">
        <f>IFERROR(INDEX('Hoja de apoyo v2'!D$17:D$20,MATCH($A221,'Hoja de apoyo v2'!$A$17:$A$20,0)),"")</f>
        <v>8755.1153350385739</v>
      </c>
      <c r="Q221" s="793">
        <f>IFERROR(INDEX('Hoja de apoyo v2'!E$17:E$20,MATCH($A221,'Hoja de apoyo v2'!$A$17:$A$20,0)),"")</f>
        <v>6098.2042779326393</v>
      </c>
      <c r="R221" s="793">
        <f>IFERROR(INDEX('Hoja de apoyo v2'!F$17:F$20,MATCH($A221,'Hoja de apoyo v2'!$A$17:$A$20,0)),"")</f>
        <v>389.08889713610301</v>
      </c>
      <c r="S221" s="793">
        <f>IFERROR(INDEX('Hoja de apoyo v2'!G$17:G$20,MATCH($A221,'Hoja de apoyo v2'!$A$17:$A$20,0)),"")</f>
        <v>67.90575167807188</v>
      </c>
      <c r="T221" s="792">
        <f>IFERROR(INDEX('Hoja de apoyo v2'!H$17:H$20,MATCH($A221,'Hoja de apoyo v2'!$A$17:$A$20,0)),"")</f>
        <v>258.90325471200998</v>
      </c>
      <c r="U221" s="794">
        <f t="shared" si="112"/>
        <v>0.65830402148781619</v>
      </c>
      <c r="V221" s="795">
        <f t="shared" si="113"/>
        <v>0.71851767288047286</v>
      </c>
      <c r="W221" s="795">
        <f t="shared" si="114"/>
        <v>0.28357687920074881</v>
      </c>
      <c r="X221" s="843">
        <f t="shared" si="115"/>
        <v>0.66228372069777164</v>
      </c>
      <c r="Y221" s="843">
        <f t="shared" si="116"/>
        <v>0.72131289058878378</v>
      </c>
      <c r="Z221" s="843">
        <f t="shared" si="117"/>
        <v>0.42131410884953302</v>
      </c>
      <c r="AA221" s="843">
        <f t="shared" si="118"/>
        <v>1.0014136421809419</v>
      </c>
      <c r="AB221" s="796">
        <f t="shared" si="119"/>
        <v>2</v>
      </c>
      <c r="AC221" s="797">
        <f t="shared" si="120"/>
        <v>2</v>
      </c>
      <c r="AD221" s="797">
        <f t="shared" si="121"/>
        <v>1</v>
      </c>
      <c r="AE221" s="842">
        <f t="shared" si="122"/>
        <v>2</v>
      </c>
      <c r="AF221" s="842">
        <f t="shared" si="123"/>
        <v>2</v>
      </c>
      <c r="AG221" s="842">
        <f t="shared" si="124"/>
        <v>1</v>
      </c>
      <c r="AH221" s="842">
        <f t="shared" si="125"/>
        <v>4</v>
      </c>
      <c r="AI221" s="826" cm="1">
        <f t="array" ref="AI221">SUMPRODUCT(--ISNUMBER($U221:$AA221),$AB$3:$AH$3)</f>
        <v>1</v>
      </c>
      <c r="AJ221" s="829">
        <f t="shared" si="126"/>
        <v>19.98621744326541</v>
      </c>
      <c r="AK221" s="827" t="str">
        <f t="shared" si="127"/>
        <v>Inmadura</v>
      </c>
      <c r="AL221" s="784" t="str">
        <f t="shared" si="128"/>
        <v>Alta</v>
      </c>
      <c r="AM221" s="799">
        <f>IF(ISNUMBER('Base de datos Rutas'!W219),'Base de datos Rutas'!W219,"")</f>
        <v>1889.2641835913792</v>
      </c>
      <c r="AN221" s="787">
        <f>IFERROR(SUMIFS('Base de datos Rutas'!$W$6:$W$794,'Base de datos Rutas'!$C$6:$C$794,$C221)/'Base de datos Rutas'!I219,"")</f>
        <v>1889.2641835913787</v>
      </c>
      <c r="AO221" s="800">
        <f>IFERROR('Base de datos Rutas'!X219*AN221/AM221,"")</f>
        <v>0.55633266603414289</v>
      </c>
      <c r="AP221" s="800">
        <f t="shared" si="129"/>
        <v>0.44366733396585711</v>
      </c>
      <c r="AQ221" s="789">
        <f>IFERROR(INDEX('Hoja de apoyo v2'!$J$17:$J$20,MATCH($A221,'Hoja de apoyo v2'!$A$17:$A$20,0)),"")</f>
        <v>0.62197445417222763</v>
      </c>
      <c r="AR221" s="789">
        <f t="shared" si="130"/>
        <v>-0.17830712020637052</v>
      </c>
      <c r="AS221" s="784" t="str">
        <f t="shared" si="131"/>
        <v>No</v>
      </c>
      <c r="AT221" s="801">
        <f>IF(ISNUMBER('Base de datos Rutas'!CK219),'Base de datos Rutas'!CK219,"")</f>
        <v>255</v>
      </c>
      <c r="AU221" s="802">
        <f>IF(ISNUMBER('Base de datos Rutas'!CL219),'Base de datos Rutas'!CL219,"")</f>
        <v>399.31</v>
      </c>
      <c r="AV221" s="802">
        <f>IF(ISNUMBER('Base de datos Rutas'!CM219),'Base de datos Rutas'!CM219,"")</f>
        <v>144.31</v>
      </c>
      <c r="AW221" s="802">
        <f>IF(ISNUMBER('Base de datos Rutas'!CN219),'Base de datos Rutas'!CN219,"")</f>
        <v>6.73</v>
      </c>
      <c r="AX221" s="802">
        <f>IF(ISNUMBER('Base de datos Rutas'!CO219),'Base de datos Rutas'!CO219,"")</f>
        <v>9.4499999999999993</v>
      </c>
      <c r="AY221" s="802">
        <f>IF(ISNUMBER('Base de datos Rutas'!CP219),'Base de datos Rutas'!CP219,"")</f>
        <v>2.7199999999999989</v>
      </c>
      <c r="AZ221" s="802">
        <f>IF(ISNUMBER('Base de datos Rutas'!CQ219),'Base de datos Rutas'!CQ219,"")</f>
        <v>630.35</v>
      </c>
      <c r="BA221" s="802">
        <f>IF(ISNUMBER('Base de datos Rutas'!CR219),'Base de datos Rutas'!CR219,"")</f>
        <v>309.26</v>
      </c>
      <c r="BB221" s="803">
        <f>IF(ISNUMBER('Base de datos Rutas'!CS219),'Base de datos Rutas'!CS219,"")</f>
        <v>321.09000000000003</v>
      </c>
      <c r="BC221" s="804">
        <f t="shared" si="141"/>
        <v>0</v>
      </c>
      <c r="BD221" s="805" t="str">
        <f t="shared" si="142"/>
        <v>No saturada</v>
      </c>
      <c r="BE221" s="806">
        <f t="shared" si="143"/>
        <v>0.49061632426429758</v>
      </c>
      <c r="BF221" s="890">
        <f>IF(ISNUMBER('Base de datos Rutas'!CX219),'Base de datos Rutas'!CX219/100,"")</f>
        <v>0.29930513972055889</v>
      </c>
      <c r="BG221" s="891">
        <f>IF(ISNUMBER('Base de datos Rutas'!CZ219),'Base de datos Rutas'!CZ219/100,"")</f>
        <v>0.30530605455755155</v>
      </c>
      <c r="BH221" s="892">
        <f>IF(ISNUMBER('Base de datos Rutas'!DA219),'Base de datos Rutas'!DA219,"")</f>
        <v>43.677333003752018</v>
      </c>
      <c r="BI221" s="893">
        <f>IF(ISNUMBER('Base de datos Rutas'!DC219),'Base de datos Rutas'!DC219,"")</f>
        <v>2.1288793835727136</v>
      </c>
      <c r="BJ221" s="805" t="str">
        <f t="shared" si="144"/>
        <v>Ruta (completo)</v>
      </c>
      <c r="BK221" s="783">
        <f t="shared" si="132"/>
        <v>3</v>
      </c>
      <c r="BL221" s="797">
        <f t="shared" si="133"/>
        <v>3</v>
      </c>
      <c r="BM221" s="797">
        <f t="shared" si="134"/>
        <v>2</v>
      </c>
      <c r="BN221" s="797">
        <f t="shared" si="135"/>
        <v>2</v>
      </c>
      <c r="BO221" s="798" cm="1">
        <f t="array" ref="BO221">SUMPRODUCT(--ISNUMBER($BF221:$BI221),$BK$3:$BN$3)</f>
        <v>1</v>
      </c>
      <c r="BP221" s="831">
        <f t="shared" si="145"/>
        <v>37.5</v>
      </c>
      <c r="BQ221" s="834" t="str">
        <f t="shared" si="146"/>
        <v>Medio</v>
      </c>
      <c r="BR221" s="836">
        <f t="shared" si="136"/>
        <v>14.989663082449058</v>
      </c>
      <c r="BS221" s="836">
        <f t="shared" si="137"/>
        <v>37.5</v>
      </c>
      <c r="BT221" s="837" t="str">
        <f t="shared" si="138"/>
        <v>P4</v>
      </c>
      <c r="BU221" s="807" t="str">
        <f t="shared" si="147"/>
        <v>Con espacio</v>
      </c>
      <c r="BV221" s="807" t="str">
        <f t="shared" si="139"/>
        <v>Zona de bajo potencial</v>
      </c>
      <c r="BW221" s="808" t="str">
        <f t="shared" si="140"/>
        <v>P4 - Evaluar</v>
      </c>
    </row>
    <row r="222" spans="1:75">
      <c r="A222" s="780" t="str">
        <f>'Base de datos Rutas'!A220</f>
        <v>Norte</v>
      </c>
      <c r="B222" s="781" t="str">
        <f>'Base de datos Rutas'!B220</f>
        <v>Comarca</v>
      </c>
      <c r="C222" s="781" t="str">
        <f>'Base de datos Rutas'!C220</f>
        <v>Suc. Santa Rita</v>
      </c>
      <c r="D222" s="782">
        <f>IF(ISNUMBER('Base de datos Rutas'!D220),'Base de datos Rutas'!D220,"Sin código")</f>
        <v>220345</v>
      </c>
      <c r="E222" s="783" t="str">
        <f>'Base de datos Rutas'!F220</f>
        <v>Activa</v>
      </c>
      <c r="F222" s="784" t="str">
        <f>'Base de datos Rutas'!H220</f>
        <v>Sí</v>
      </c>
      <c r="G222" s="785">
        <f>IF(ISNUMBER('Base de datos Rutas'!BE220),'Base de datos Rutas'!BE220,"")</f>
        <v>46.139588100686503</v>
      </c>
      <c r="H222" s="786">
        <f>IF(ISNUMBER('Base de datos Rutas'!BH220),'Base de datos Rutas'!BH220,"")</f>
        <v>0.61062341913405704</v>
      </c>
      <c r="I222" s="788">
        <f>IFERROR(IF(OR(NOT(ISNUMBER('Base de datos Rutas'!O220)),N('Base de datos Rutas'!BK220)=0),"",'Base de datos Rutas'!O220/('Base de datos Rutas'!L220/'Base de datos Rutas'!BK220)),"")</f>
        <v>2981.265446224259</v>
      </c>
      <c r="J222" s="788">
        <f>IFERROR(IF(OR(NOT(ISNUMBER('Base de datos Rutas'!N220)),N('Base de datos Rutas'!BK220)=0),"",'Base de datos Rutas'!N220/('Base de datos Rutas'!L220/'Base de datos Rutas'!BK220)),"")</f>
        <v>4118.4622425629332</v>
      </c>
      <c r="K222" s="788">
        <f>IFERROR(IF(OR(NOT(ISNUMBER('Base de datos Rutas'!J220)),N('Base de datos Rutas'!BK220)=0),"",'Base de datos Rutas'!J220/('Base de datos Rutas'!L220/'Base de datos Rutas'!BK220)),"")</f>
        <v>288.64335011441676</v>
      </c>
      <c r="L222" s="788">
        <f>IFERROR(IF(OR(NOT(ISNUMBER('Base de datos Rutas'!K220)),N('Base de datos Rutas'!BK220)=0),"",'Base de datos Rutas'!K220/('Base de datos Rutas'!L220/'Base de datos Rutas'!BK220)),"")</f>
        <v>34.035685869565249</v>
      </c>
      <c r="M222" s="787">
        <f>IF(ISNUMBER('Base de datos Rutas'!AX220),'Base de datos Rutas'!AX220,"")</f>
        <v>251.17618745938901</v>
      </c>
      <c r="N222" s="790">
        <f>IFERROR(INDEX('Hoja de apoyo v2'!B$17:B$20,MATCH($A222,'Hoja de apoyo v2'!$A$17:$A$20,0)),"")</f>
        <v>74.190366972477051</v>
      </c>
      <c r="O222" s="791">
        <f>IFERROR(INDEX('Hoja de apoyo v2'!C$17:C$20,MATCH($A222,'Hoja de apoyo v2'!$A$17:$A$20,0)),"")</f>
        <v>0.71677657005077755</v>
      </c>
      <c r="P222" s="793">
        <f>IFERROR(INDEX('Hoja de apoyo v2'!D$17:D$20,MATCH($A222,'Hoja de apoyo v2'!$A$17:$A$20,0)),"")</f>
        <v>8755.1153350385739</v>
      </c>
      <c r="Q222" s="793">
        <f>IFERROR(INDEX('Hoja de apoyo v2'!E$17:E$20,MATCH($A222,'Hoja de apoyo v2'!$A$17:$A$20,0)),"")</f>
        <v>6098.2042779326393</v>
      </c>
      <c r="R222" s="793">
        <f>IFERROR(INDEX('Hoja de apoyo v2'!F$17:F$20,MATCH($A222,'Hoja de apoyo v2'!$A$17:$A$20,0)),"")</f>
        <v>389.08889713610301</v>
      </c>
      <c r="S222" s="793">
        <f>IFERROR(INDEX('Hoja de apoyo v2'!G$17:G$20,MATCH($A222,'Hoja de apoyo v2'!$A$17:$A$20,0)),"")</f>
        <v>67.90575167807188</v>
      </c>
      <c r="T222" s="792">
        <f>IFERROR(INDEX('Hoja de apoyo v2'!H$17:H$20,MATCH($A222,'Hoja de apoyo v2'!$A$17:$A$20,0)),"")</f>
        <v>258.90325471200998</v>
      </c>
      <c r="U222" s="794">
        <f t="shared" si="112"/>
        <v>0.62190807221378552</v>
      </c>
      <c r="V222" s="795">
        <f t="shared" si="113"/>
        <v>0.85190203565219713</v>
      </c>
      <c r="W222" s="795">
        <f t="shared" si="114"/>
        <v>0.34051698146031606</v>
      </c>
      <c r="X222" s="843">
        <f t="shared" si="115"/>
        <v>0.67535655659589333</v>
      </c>
      <c r="Y222" s="843">
        <f t="shared" si="116"/>
        <v>0.74184422181918375</v>
      </c>
      <c r="Z222" s="843">
        <f t="shared" si="117"/>
        <v>0.50121948477828349</v>
      </c>
      <c r="AA222" s="843">
        <f t="shared" si="118"/>
        <v>0.97015461523951818</v>
      </c>
      <c r="AB222" s="796">
        <f t="shared" si="119"/>
        <v>2</v>
      </c>
      <c r="AC222" s="797">
        <f t="shared" si="120"/>
        <v>3</v>
      </c>
      <c r="AD222" s="797">
        <f t="shared" si="121"/>
        <v>1</v>
      </c>
      <c r="AE222" s="842">
        <f t="shared" si="122"/>
        <v>2</v>
      </c>
      <c r="AF222" s="842">
        <f t="shared" si="123"/>
        <v>2</v>
      </c>
      <c r="AG222" s="842">
        <f t="shared" si="124"/>
        <v>2</v>
      </c>
      <c r="AH222" s="842">
        <f t="shared" si="125"/>
        <v>3</v>
      </c>
      <c r="AI222" s="826" cm="1">
        <f t="array" ref="AI222">SUMPRODUCT(--ISNUMBER($U222:$AA222),$AB$3:$AH$3)</f>
        <v>1</v>
      </c>
      <c r="AJ222" s="829">
        <f t="shared" si="126"/>
        <v>24.513461956889017</v>
      </c>
      <c r="AK222" s="827" t="str">
        <f t="shared" si="127"/>
        <v>Inmadura</v>
      </c>
      <c r="AL222" s="784" t="str">
        <f t="shared" si="128"/>
        <v>Alta</v>
      </c>
      <c r="AM222" s="799">
        <f>IF(ISNUMBER('Base de datos Rutas'!W220),'Base de datos Rutas'!W220,"")</f>
        <v>1889.2641835913792</v>
      </c>
      <c r="AN222" s="787">
        <f>IFERROR(SUMIFS('Base de datos Rutas'!$W$6:$W$794,'Base de datos Rutas'!$C$6:$C$794,$C222)/'Base de datos Rutas'!I220,"")</f>
        <v>1889.2641835913787</v>
      </c>
      <c r="AO222" s="800">
        <f>IFERROR('Base de datos Rutas'!X220*AN222/AM222,"")</f>
        <v>0.55633266603414289</v>
      </c>
      <c r="AP222" s="800">
        <f t="shared" si="129"/>
        <v>0.44366733396585711</v>
      </c>
      <c r="AQ222" s="789">
        <f>IFERROR(INDEX('Hoja de apoyo v2'!$J$17:$J$20,MATCH($A222,'Hoja de apoyo v2'!$A$17:$A$20,0)),"")</f>
        <v>0.62197445417222763</v>
      </c>
      <c r="AR222" s="789">
        <f t="shared" si="130"/>
        <v>-0.17830712020637052</v>
      </c>
      <c r="AS222" s="784" t="str">
        <f t="shared" si="131"/>
        <v>No</v>
      </c>
      <c r="AT222" s="801">
        <f>IF(ISNUMBER('Base de datos Rutas'!CK220),'Base de datos Rutas'!CK220,"")</f>
        <v>206</v>
      </c>
      <c r="AU222" s="802">
        <f>IF(ISNUMBER('Base de datos Rutas'!CL220),'Base de datos Rutas'!CL220,"")</f>
        <v>327.52</v>
      </c>
      <c r="AV222" s="802">
        <f>IF(ISNUMBER('Base de datos Rutas'!CM220),'Base de datos Rutas'!CM220,"")</f>
        <v>121.51999999999998</v>
      </c>
      <c r="AW222" s="802">
        <f>IF(ISNUMBER('Base de datos Rutas'!CN220),'Base de datos Rutas'!CN220,"")</f>
        <v>6.31</v>
      </c>
      <c r="AX222" s="802">
        <f>IF(ISNUMBER('Base de datos Rutas'!CO220),'Base de datos Rutas'!CO220,"")</f>
        <v>9.4499999999999993</v>
      </c>
      <c r="AY222" s="802">
        <f>IF(ISNUMBER('Base de datos Rutas'!CP220),'Base de datos Rutas'!CP220,"")</f>
        <v>3.1399999999999997</v>
      </c>
      <c r="AZ222" s="802">
        <f>IF(ISNUMBER('Base de datos Rutas'!CQ220),'Base de datos Rutas'!CQ220,"")</f>
        <v>630.35</v>
      </c>
      <c r="BA222" s="802">
        <f>IF(ISNUMBER('Base de datos Rutas'!CR220),'Base de datos Rutas'!CR220,"")</f>
        <v>322.68</v>
      </c>
      <c r="BB222" s="803">
        <f>IF(ISNUMBER('Base de datos Rutas'!CS220),'Base de datos Rutas'!CS220,"")</f>
        <v>307.67</v>
      </c>
      <c r="BC222" s="804">
        <f t="shared" si="141"/>
        <v>0</v>
      </c>
      <c r="BD222" s="805" t="str">
        <f t="shared" si="142"/>
        <v>No saturada</v>
      </c>
      <c r="BE222" s="806">
        <f t="shared" si="143"/>
        <v>0.51190608392163084</v>
      </c>
      <c r="BF222" s="890">
        <f>IF(ISNUMBER('Base de datos Rutas'!CX220),'Base de datos Rutas'!CX220/100,"")</f>
        <v>0.42178121646806344</v>
      </c>
      <c r="BG222" s="891">
        <f>IF(ISNUMBER('Base de datos Rutas'!CZ220),'Base de datos Rutas'!CZ220/100,"")</f>
        <v>0.42864403908058962</v>
      </c>
      <c r="BH222" s="892">
        <f>IF(ISNUMBER('Base de datos Rutas'!DA220),'Base de datos Rutas'!DA220,"")</f>
        <v>50.577400704040485</v>
      </c>
      <c r="BI222" s="893">
        <f>IF(ISNUMBER('Base de datos Rutas'!DC220),'Base de datos Rutas'!DC220,"")</f>
        <v>2.352253019319607</v>
      </c>
      <c r="BJ222" s="805" t="str">
        <f t="shared" si="144"/>
        <v>Ruta (completo)</v>
      </c>
      <c r="BK222" s="783">
        <f t="shared" si="132"/>
        <v>4</v>
      </c>
      <c r="BL222" s="797">
        <f t="shared" si="133"/>
        <v>4</v>
      </c>
      <c r="BM222" s="797">
        <f t="shared" si="134"/>
        <v>3</v>
      </c>
      <c r="BN222" s="797">
        <f t="shared" si="135"/>
        <v>3</v>
      </c>
      <c r="BO222" s="798" cm="1">
        <f t="array" ref="BO222">SUMPRODUCT(--ISNUMBER($BF222:$BI222),$BK$3:$BN$3)</f>
        <v>1</v>
      </c>
      <c r="BP222" s="831">
        <f t="shared" si="145"/>
        <v>62.5</v>
      </c>
      <c r="BQ222" s="834" t="str">
        <f t="shared" si="146"/>
        <v>Alto</v>
      </c>
      <c r="BR222" s="836">
        <f t="shared" si="136"/>
        <v>18.385096467666763</v>
      </c>
      <c r="BS222" s="836">
        <f t="shared" si="137"/>
        <v>62.5</v>
      </c>
      <c r="BT222" s="837" t="str">
        <f t="shared" si="138"/>
        <v>P3</v>
      </c>
      <c r="BU222" s="807" t="str">
        <f t="shared" si="147"/>
        <v>Con espacio</v>
      </c>
      <c r="BV222" s="807" t="str">
        <f t="shared" si="139"/>
        <v>Zona atractiva</v>
      </c>
      <c r="BW222" s="808" t="str">
        <f t="shared" si="140"/>
        <v>P3 - Desarrollar</v>
      </c>
    </row>
    <row r="223" spans="1:75">
      <c r="A223" s="780" t="str">
        <f>'Base de datos Rutas'!A221</f>
        <v>Norte</v>
      </c>
      <c r="B223" s="781" t="str">
        <f>'Base de datos Rutas'!B221</f>
        <v>Comarca</v>
      </c>
      <c r="C223" s="781" t="str">
        <f>'Base de datos Rutas'!C221</f>
        <v>Suc. Santa Rita</v>
      </c>
      <c r="D223" s="782">
        <f>IF(ISNUMBER('Base de datos Rutas'!D221),'Base de datos Rutas'!D221,"Sin código")</f>
        <v>220346</v>
      </c>
      <c r="E223" s="783" t="str">
        <f>'Base de datos Rutas'!F221</f>
        <v>Activa</v>
      </c>
      <c r="F223" s="784" t="str">
        <f>'Base de datos Rutas'!H221</f>
        <v>Sí</v>
      </c>
      <c r="G223" s="785">
        <f>IF(ISNUMBER('Base de datos Rutas'!BE221),'Base de datos Rutas'!BE221,"")</f>
        <v>48.2997711670481</v>
      </c>
      <c r="H223" s="786">
        <f>IF(ISNUMBER('Base de datos Rutas'!BH221),'Base de datos Rutas'!BH221,"")</f>
        <v>0.32297342113990601</v>
      </c>
      <c r="I223" s="788">
        <f>IFERROR(IF(OR(NOT(ISNUMBER('Base de datos Rutas'!O221)),N('Base de datos Rutas'!BK221)=0),"",'Base de datos Rutas'!O221/('Base de datos Rutas'!L221/'Base de datos Rutas'!BK221)),"")</f>
        <v>2440.6384439359254</v>
      </c>
      <c r="J223" s="788">
        <f>IFERROR(IF(OR(NOT(ISNUMBER('Base de datos Rutas'!N221)),N('Base de datos Rutas'!BK221)=0),"",'Base de datos Rutas'!N221/('Base de datos Rutas'!L221/'Base de datos Rutas'!BK221)),"")</f>
        <v>2884.4691075514861</v>
      </c>
      <c r="K223" s="788">
        <f>IFERROR(IF(OR(NOT(ISNUMBER('Base de datos Rutas'!J221)),N('Base de datos Rutas'!BK221)=0),"",'Base de datos Rutas'!J221/('Base de datos Rutas'!L221/'Base de datos Rutas'!BK221)),"")</f>
        <v>195.8277070938214</v>
      </c>
      <c r="L223" s="788">
        <f>IFERROR(IF(OR(NOT(ISNUMBER('Base de datos Rutas'!K221)),N('Base de datos Rutas'!BK221)=0),"",'Base de datos Rutas'!K221/('Base de datos Rutas'!L221/'Base de datos Rutas'!BK221)),"")</f>
        <v>16.366125780320356</v>
      </c>
      <c r="M223" s="787">
        <f>IF(ISNUMBER('Base de datos Rutas'!AX221),'Base de datos Rutas'!AX221,"")</f>
        <v>290.35269913451702</v>
      </c>
      <c r="N223" s="790">
        <f>IFERROR(INDEX('Hoja de apoyo v2'!B$17:B$20,MATCH($A223,'Hoja de apoyo v2'!$A$17:$A$20,0)),"")</f>
        <v>74.190366972477051</v>
      </c>
      <c r="O223" s="791">
        <f>IFERROR(INDEX('Hoja de apoyo v2'!C$17:C$20,MATCH($A223,'Hoja de apoyo v2'!$A$17:$A$20,0)),"")</f>
        <v>0.71677657005077755</v>
      </c>
      <c r="P223" s="793">
        <f>IFERROR(INDEX('Hoja de apoyo v2'!D$17:D$20,MATCH($A223,'Hoja de apoyo v2'!$A$17:$A$20,0)),"")</f>
        <v>8755.1153350385739</v>
      </c>
      <c r="Q223" s="793">
        <f>IFERROR(INDEX('Hoja de apoyo v2'!E$17:E$20,MATCH($A223,'Hoja de apoyo v2'!$A$17:$A$20,0)),"")</f>
        <v>6098.2042779326393</v>
      </c>
      <c r="R223" s="793">
        <f>IFERROR(INDEX('Hoja de apoyo v2'!F$17:F$20,MATCH($A223,'Hoja de apoyo v2'!$A$17:$A$20,0)),"")</f>
        <v>389.08889713610301</v>
      </c>
      <c r="S223" s="793">
        <f>IFERROR(INDEX('Hoja de apoyo v2'!G$17:G$20,MATCH($A223,'Hoja de apoyo v2'!$A$17:$A$20,0)),"")</f>
        <v>67.90575167807188</v>
      </c>
      <c r="T223" s="792">
        <f>IFERROR(INDEX('Hoja de apoyo v2'!H$17:H$20,MATCH($A223,'Hoja de apoyo v2'!$A$17:$A$20,0)),"")</f>
        <v>258.90325471200998</v>
      </c>
      <c r="U223" s="794">
        <f t="shared" si="112"/>
        <v>0.65102483163301006</v>
      </c>
      <c r="V223" s="795">
        <f t="shared" si="113"/>
        <v>0.45059148782866337</v>
      </c>
      <c r="W223" s="795">
        <f t="shared" si="114"/>
        <v>0.27876713790032237</v>
      </c>
      <c r="X223" s="843">
        <f t="shared" si="115"/>
        <v>0.47300303107087027</v>
      </c>
      <c r="Y223" s="843">
        <f t="shared" si="116"/>
        <v>0.50329811139617542</v>
      </c>
      <c r="Z223" s="843">
        <f t="shared" si="117"/>
        <v>0.24101236457714234</v>
      </c>
      <c r="AA223" s="843">
        <f t="shared" si="118"/>
        <v>1.121471800180688</v>
      </c>
      <c r="AB223" s="796">
        <f t="shared" si="119"/>
        <v>2</v>
      </c>
      <c r="AC223" s="797">
        <f t="shared" si="120"/>
        <v>1</v>
      </c>
      <c r="AD223" s="797">
        <f t="shared" si="121"/>
        <v>1</v>
      </c>
      <c r="AE223" s="842">
        <f t="shared" si="122"/>
        <v>1</v>
      </c>
      <c r="AF223" s="842">
        <f t="shared" si="123"/>
        <v>2</v>
      </c>
      <c r="AG223" s="842">
        <f t="shared" si="124"/>
        <v>1</v>
      </c>
      <c r="AH223" s="842">
        <f t="shared" si="125"/>
        <v>4</v>
      </c>
      <c r="AI223" s="826" cm="1">
        <f t="array" ref="AI223">SUMPRODUCT(--ISNUMBER($U223:$AA223),$AB$3:$AH$3)</f>
        <v>1</v>
      </c>
      <c r="AJ223" s="829">
        <f t="shared" si="126"/>
        <v>14.193864211156237</v>
      </c>
      <c r="AK223" s="827" t="str">
        <f t="shared" si="127"/>
        <v>Inmadura</v>
      </c>
      <c r="AL223" s="784" t="str">
        <f t="shared" si="128"/>
        <v>Alta</v>
      </c>
      <c r="AM223" s="799">
        <f>IF(ISNUMBER('Base de datos Rutas'!W221),'Base de datos Rutas'!W221,"")</f>
        <v>1889.2641835913792</v>
      </c>
      <c r="AN223" s="787">
        <f>IFERROR(SUMIFS('Base de datos Rutas'!$W$6:$W$794,'Base de datos Rutas'!$C$6:$C$794,$C223)/'Base de datos Rutas'!I221,"")</f>
        <v>1889.2641835913787</v>
      </c>
      <c r="AO223" s="800">
        <f>IFERROR('Base de datos Rutas'!X221*AN223/AM223,"")</f>
        <v>0.55633266603414289</v>
      </c>
      <c r="AP223" s="800">
        <f t="shared" si="129"/>
        <v>0.44366733396585711</v>
      </c>
      <c r="AQ223" s="789">
        <f>IFERROR(INDEX('Hoja de apoyo v2'!$J$17:$J$20,MATCH($A223,'Hoja de apoyo v2'!$A$17:$A$20,0)),"")</f>
        <v>0.62197445417222763</v>
      </c>
      <c r="AR223" s="789">
        <f t="shared" si="130"/>
        <v>-0.17830712020637052</v>
      </c>
      <c r="AS223" s="784" t="str">
        <f t="shared" si="131"/>
        <v>No</v>
      </c>
      <c r="AT223" s="801">
        <f>IF(ISNUMBER('Base de datos Rutas'!CK221),'Base de datos Rutas'!CK221,"")</f>
        <v>300</v>
      </c>
      <c r="AU223" s="802">
        <f>IF(ISNUMBER('Base de datos Rutas'!CL221),'Base de datos Rutas'!CL221,"")</f>
        <v>395.73</v>
      </c>
      <c r="AV223" s="802">
        <f>IF(ISNUMBER('Base de datos Rutas'!CM221),'Base de datos Rutas'!CM221,"")</f>
        <v>95.730000000000018</v>
      </c>
      <c r="AW223" s="802">
        <f>IF(ISNUMBER('Base de datos Rutas'!CN221),'Base de datos Rutas'!CN221,"")</f>
        <v>7.36</v>
      </c>
      <c r="AX223" s="802">
        <f>IF(ISNUMBER('Base de datos Rutas'!CO221),'Base de datos Rutas'!CO221,"")</f>
        <v>9.4499999999999993</v>
      </c>
      <c r="AY223" s="802">
        <f>IF(ISNUMBER('Base de datos Rutas'!CP221),'Base de datos Rutas'!CP221,"")</f>
        <v>2.089999999999999</v>
      </c>
      <c r="AZ223" s="802">
        <f>IF(ISNUMBER('Base de datos Rutas'!CQ221),'Base de datos Rutas'!CQ221,"")</f>
        <v>630.35</v>
      </c>
      <c r="BA223" s="802">
        <f>IF(ISNUMBER('Base de datos Rutas'!CR221),'Base de datos Rutas'!CR221,"")</f>
        <v>212.19</v>
      </c>
      <c r="BB223" s="803">
        <f>IF(ISNUMBER('Base de datos Rutas'!CS221),'Base de datos Rutas'!CS221,"")</f>
        <v>418.16</v>
      </c>
      <c r="BC223" s="804">
        <f t="shared" si="141"/>
        <v>0</v>
      </c>
      <c r="BD223" s="805" t="str">
        <f t="shared" si="142"/>
        <v>No saturada</v>
      </c>
      <c r="BE223" s="806">
        <f t="shared" si="143"/>
        <v>0.33662251130324422</v>
      </c>
      <c r="BF223" s="890">
        <f>IF(ISNUMBER('Base de datos Rutas'!CX221),'Base de datos Rutas'!CX221/100,"")</f>
        <v>5.8380946759532523E-2</v>
      </c>
      <c r="BG223" s="891">
        <f>IF(ISNUMBER('Base de datos Rutas'!CZ221),'Base de datos Rutas'!CZ221/100,"")</f>
        <v>6.0264431590131035E-2</v>
      </c>
      <c r="BH223" s="892">
        <f>IF(ISNUMBER('Base de datos Rutas'!DA221),'Base de datos Rutas'!DA221,"")</f>
        <v>15.339024420419337</v>
      </c>
      <c r="BI223" s="893">
        <f>IF(ISNUMBER('Base de datos Rutas'!DC221),'Base de datos Rutas'!DC221,"")</f>
        <v>0.70115489006363285</v>
      </c>
      <c r="BJ223" s="805" t="str">
        <f t="shared" si="144"/>
        <v>Ruta (completo)</v>
      </c>
      <c r="BK223" s="783">
        <f t="shared" si="132"/>
        <v>1</v>
      </c>
      <c r="BL223" s="797">
        <f t="shared" si="133"/>
        <v>1</v>
      </c>
      <c r="BM223" s="797">
        <f t="shared" si="134"/>
        <v>1</v>
      </c>
      <c r="BN223" s="797">
        <f t="shared" si="135"/>
        <v>1</v>
      </c>
      <c r="BO223" s="798" cm="1">
        <f t="array" ref="BO223">SUMPRODUCT(--ISNUMBER($BF223:$BI223),$BK$3:$BN$3)</f>
        <v>1</v>
      </c>
      <c r="BP223" s="831">
        <f t="shared" si="145"/>
        <v>0</v>
      </c>
      <c r="BQ223" s="834" t="str">
        <f t="shared" si="146"/>
        <v>Bajo</v>
      </c>
      <c r="BR223" s="836">
        <f t="shared" si="136"/>
        <v>10.645398158367177</v>
      </c>
      <c r="BS223" s="836">
        <f t="shared" si="137"/>
        <v>0</v>
      </c>
      <c r="BT223" s="837" t="str">
        <f t="shared" si="138"/>
        <v>P4</v>
      </c>
      <c r="BU223" s="807" t="str">
        <f t="shared" si="147"/>
        <v>Con espacio</v>
      </c>
      <c r="BV223" s="807" t="str">
        <f t="shared" si="139"/>
        <v>Zona de bajo potencial</v>
      </c>
      <c r="BW223" s="808" t="str">
        <f t="shared" si="140"/>
        <v>P4 - Evaluar</v>
      </c>
    </row>
    <row r="224" spans="1:75">
      <c r="A224" s="780" t="str">
        <f>'Base de datos Rutas'!A222</f>
        <v>Norte</v>
      </c>
      <c r="B224" s="781" t="str">
        <f>'Base de datos Rutas'!B222</f>
        <v>Comarca</v>
      </c>
      <c r="C224" s="781" t="str">
        <f>'Base de datos Rutas'!C222</f>
        <v>Suc. Santa Rita</v>
      </c>
      <c r="D224" s="782">
        <f>IF(ISNUMBER('Base de datos Rutas'!D222),'Base de datos Rutas'!D222,"Sin código")</f>
        <v>220347</v>
      </c>
      <c r="E224" s="783" t="str">
        <f>'Base de datos Rutas'!F222</f>
        <v>Activa</v>
      </c>
      <c r="F224" s="784" t="str">
        <f>'Base de datos Rutas'!H222</f>
        <v>Sí</v>
      </c>
      <c r="G224" s="785">
        <f>IF(ISNUMBER('Base de datos Rutas'!BE222),'Base de datos Rutas'!BE222,"")</f>
        <v>38.855504587155998</v>
      </c>
      <c r="H224" s="786">
        <f>IF(ISNUMBER('Base de datos Rutas'!BH222),'Base de datos Rutas'!BH222,"")</f>
        <v>0.62971489286346705</v>
      </c>
      <c r="I224" s="788">
        <f>IFERROR(IF(OR(NOT(ISNUMBER('Base de datos Rutas'!O222)),N('Base de datos Rutas'!BK222)=0),"",'Base de datos Rutas'!O222/('Base de datos Rutas'!L222/'Base de datos Rutas'!BK222)),"")</f>
        <v>2324.0642201834876</v>
      </c>
      <c r="J224" s="788">
        <f>IFERROR(IF(OR(NOT(ISNUMBER('Base de datos Rutas'!N222)),N('Base de datos Rutas'!BK222)=0),"",'Base de datos Rutas'!N222/('Base de datos Rutas'!L222/'Base de datos Rutas'!BK222)),"")</f>
        <v>3269.9610091743139</v>
      </c>
      <c r="K224" s="788">
        <f>IFERROR(IF(OR(NOT(ISNUMBER('Base de datos Rutas'!J222)),N('Base de datos Rutas'!BK222)=0),"",'Base de datos Rutas'!J222/('Base de datos Rutas'!L222/'Base de datos Rutas'!BK222)),"")</f>
        <v>220.78823302752303</v>
      </c>
      <c r="L224" s="788">
        <f>IFERROR(IF(OR(NOT(ISNUMBER('Base de datos Rutas'!K222)),N('Base de datos Rutas'!BK222)=0),"",'Base de datos Rutas'!K222/('Base de datos Rutas'!L222/'Base de datos Rutas'!BK222)),"")</f>
        <v>18.407644130733953</v>
      </c>
      <c r="M224" s="787">
        <f>IF(ISNUMBER('Base de datos Rutas'!AX222),'Base de datos Rutas'!AX222,"")</f>
        <v>227.68897262842199</v>
      </c>
      <c r="N224" s="790">
        <f>IFERROR(INDEX('Hoja de apoyo v2'!B$17:B$20,MATCH($A224,'Hoja de apoyo v2'!$A$17:$A$20,0)),"")</f>
        <v>74.190366972477051</v>
      </c>
      <c r="O224" s="791">
        <f>IFERROR(INDEX('Hoja de apoyo v2'!C$17:C$20,MATCH($A224,'Hoja de apoyo v2'!$A$17:$A$20,0)),"")</f>
        <v>0.71677657005077755</v>
      </c>
      <c r="P224" s="793">
        <f>IFERROR(INDEX('Hoja de apoyo v2'!D$17:D$20,MATCH($A224,'Hoja de apoyo v2'!$A$17:$A$20,0)),"")</f>
        <v>8755.1153350385739</v>
      </c>
      <c r="Q224" s="793">
        <f>IFERROR(INDEX('Hoja de apoyo v2'!E$17:E$20,MATCH($A224,'Hoja de apoyo v2'!$A$17:$A$20,0)),"")</f>
        <v>6098.2042779326393</v>
      </c>
      <c r="R224" s="793">
        <f>IFERROR(INDEX('Hoja de apoyo v2'!F$17:F$20,MATCH($A224,'Hoja de apoyo v2'!$A$17:$A$20,0)),"")</f>
        <v>389.08889713610301</v>
      </c>
      <c r="S224" s="793">
        <f>IFERROR(INDEX('Hoja de apoyo v2'!G$17:G$20,MATCH($A224,'Hoja de apoyo v2'!$A$17:$A$20,0)),"")</f>
        <v>67.90575167807188</v>
      </c>
      <c r="T224" s="792">
        <f>IFERROR(INDEX('Hoja de apoyo v2'!H$17:H$20,MATCH($A224,'Hoja de apoyo v2'!$A$17:$A$20,0)),"")</f>
        <v>258.90325471200998</v>
      </c>
      <c r="U224" s="794">
        <f t="shared" si="112"/>
        <v>0.5237270844282319</v>
      </c>
      <c r="V224" s="795">
        <f t="shared" si="113"/>
        <v>0.87853721672132379</v>
      </c>
      <c r="W224" s="795">
        <f t="shared" si="114"/>
        <v>0.2654521535407332</v>
      </c>
      <c r="X224" s="843">
        <f t="shared" si="115"/>
        <v>0.53621703375979202</v>
      </c>
      <c r="Y224" s="843">
        <f t="shared" si="116"/>
        <v>0.56744932752550759</v>
      </c>
      <c r="Z224" s="843">
        <f t="shared" si="117"/>
        <v>0.27107636210259561</v>
      </c>
      <c r="AA224" s="843">
        <f t="shared" si="118"/>
        <v>0.87943650179944988</v>
      </c>
      <c r="AB224" s="796">
        <f t="shared" si="119"/>
        <v>2</v>
      </c>
      <c r="AC224" s="797">
        <f t="shared" si="120"/>
        <v>3</v>
      </c>
      <c r="AD224" s="797">
        <f t="shared" si="121"/>
        <v>1</v>
      </c>
      <c r="AE224" s="842">
        <f t="shared" si="122"/>
        <v>2</v>
      </c>
      <c r="AF224" s="842">
        <f t="shared" si="123"/>
        <v>2</v>
      </c>
      <c r="AG224" s="842">
        <f t="shared" si="124"/>
        <v>1</v>
      </c>
      <c r="AH224" s="842">
        <f t="shared" si="125"/>
        <v>3</v>
      </c>
      <c r="AI224" s="826" cm="1">
        <f t="array" ref="AI224">SUMPRODUCT(--ISNUMBER($U224:$AA224),$AB$3:$AH$3)</f>
        <v>1</v>
      </c>
      <c r="AJ224" s="829">
        <f t="shared" si="126"/>
        <v>20.124395188829325</v>
      </c>
      <c r="AK224" s="827" t="str">
        <f t="shared" si="127"/>
        <v>Inmadura</v>
      </c>
      <c r="AL224" s="784" t="str">
        <f t="shared" si="128"/>
        <v>Alta</v>
      </c>
      <c r="AM224" s="799">
        <f>IF(ISNUMBER('Base de datos Rutas'!W222),'Base de datos Rutas'!W222,"")</f>
        <v>1889.2641835913792</v>
      </c>
      <c r="AN224" s="787">
        <f>IFERROR(SUMIFS('Base de datos Rutas'!$W$6:$W$794,'Base de datos Rutas'!$C$6:$C$794,$C224)/'Base de datos Rutas'!I222,"")</f>
        <v>1889.2641835913787</v>
      </c>
      <c r="AO224" s="800">
        <f>IFERROR('Base de datos Rutas'!X222*AN224/AM224,"")</f>
        <v>0.55633266603414289</v>
      </c>
      <c r="AP224" s="800">
        <f t="shared" si="129"/>
        <v>0.44366733396585711</v>
      </c>
      <c r="AQ224" s="789">
        <f>IFERROR(INDEX('Hoja de apoyo v2'!$J$17:$J$20,MATCH($A224,'Hoja de apoyo v2'!$A$17:$A$20,0)),"")</f>
        <v>0.62197445417222763</v>
      </c>
      <c r="AR224" s="789">
        <f t="shared" si="130"/>
        <v>-0.17830712020637052</v>
      </c>
      <c r="AS224" s="784" t="str">
        <f t="shared" si="131"/>
        <v>No</v>
      </c>
      <c r="AT224" s="801">
        <f>IF(ISNUMBER('Base de datos Rutas'!CK222),'Base de datos Rutas'!CK222,"")</f>
        <v>182</v>
      </c>
      <c r="AU224" s="802">
        <f>IF(ISNUMBER('Base de datos Rutas'!CL222),'Base de datos Rutas'!CL222,"")</f>
        <v>238.59</v>
      </c>
      <c r="AV224" s="802">
        <f>IF(ISNUMBER('Base de datos Rutas'!CM222),'Base de datos Rutas'!CM222,"")</f>
        <v>56.59</v>
      </c>
      <c r="AW224" s="802">
        <f>IF(ISNUMBER('Base de datos Rutas'!CN222),'Base de datos Rutas'!CN222,"")</f>
        <v>4.76</v>
      </c>
      <c r="AX224" s="802">
        <f>IF(ISNUMBER('Base de datos Rutas'!CO222),'Base de datos Rutas'!CO222,"")</f>
        <v>9.4499999999999993</v>
      </c>
      <c r="AY224" s="802">
        <f>IF(ISNUMBER('Base de datos Rutas'!CP222),'Base de datos Rutas'!CP222,"")</f>
        <v>4.6899999999999995</v>
      </c>
      <c r="AZ224" s="802">
        <f>IF(ISNUMBER('Base de datos Rutas'!CQ222),'Base de datos Rutas'!CQ222,"")</f>
        <v>630.35</v>
      </c>
      <c r="BA224" s="802">
        <f>IF(ISNUMBER('Base de datos Rutas'!CR222),'Base de datos Rutas'!CR222,"")</f>
        <v>239.2</v>
      </c>
      <c r="BB224" s="803">
        <f>IF(ISNUMBER('Base de datos Rutas'!CS222),'Base de datos Rutas'!CS222,"")</f>
        <v>391.15000000000003</v>
      </c>
      <c r="BC224" s="804">
        <f t="shared" si="141"/>
        <v>0</v>
      </c>
      <c r="BD224" s="805" t="str">
        <f t="shared" si="142"/>
        <v>No saturada</v>
      </c>
      <c r="BE224" s="806">
        <f t="shared" si="143"/>
        <v>0.37947172205917346</v>
      </c>
      <c r="BF224" s="890">
        <f>IF(ISNUMBER('Base de datos Rutas'!CX222),'Base de datos Rutas'!CX222/100,"")</f>
        <v>3.5402453218730409E-2</v>
      </c>
      <c r="BG224" s="891">
        <f>IF(ISNUMBER('Base de datos Rutas'!CZ222),'Base de datos Rutas'!CZ222/100,"")</f>
        <v>4.0469155698809205E-2</v>
      </c>
      <c r="BH224" s="892">
        <f>IF(ISNUMBER('Base de datos Rutas'!DA222),'Base de datos Rutas'!DA222,"")</f>
        <v>27.210997372966588</v>
      </c>
      <c r="BI224" s="893">
        <f>IF(ISNUMBER('Base de datos Rutas'!DC222),'Base de datos Rutas'!DC222,"")</f>
        <v>1.2924077932652094</v>
      </c>
      <c r="BJ224" s="805" t="str">
        <f t="shared" si="144"/>
        <v>Ruta (completo)</v>
      </c>
      <c r="BK224" s="783">
        <f t="shared" si="132"/>
        <v>1</v>
      </c>
      <c r="BL224" s="797">
        <f t="shared" si="133"/>
        <v>1</v>
      </c>
      <c r="BM224" s="797">
        <f t="shared" si="134"/>
        <v>1</v>
      </c>
      <c r="BN224" s="797">
        <f t="shared" si="135"/>
        <v>1</v>
      </c>
      <c r="BO224" s="798" cm="1">
        <f t="array" ref="BO224">SUMPRODUCT(--ISNUMBER($BF224:$BI224),$BK$3:$BN$3)</f>
        <v>1</v>
      </c>
      <c r="BP224" s="831">
        <f t="shared" si="145"/>
        <v>0</v>
      </c>
      <c r="BQ224" s="834" t="str">
        <f t="shared" si="146"/>
        <v>Bajo</v>
      </c>
      <c r="BR224" s="836">
        <f t="shared" si="136"/>
        <v>15.093296391621994</v>
      </c>
      <c r="BS224" s="836">
        <f t="shared" si="137"/>
        <v>0</v>
      </c>
      <c r="BT224" s="837" t="str">
        <f t="shared" si="138"/>
        <v>P4</v>
      </c>
      <c r="BU224" s="807" t="str">
        <f t="shared" si="147"/>
        <v>Con espacio</v>
      </c>
      <c r="BV224" s="807" t="str">
        <f t="shared" si="139"/>
        <v>Zona de bajo potencial</v>
      </c>
      <c r="BW224" s="808" t="str">
        <f t="shared" si="140"/>
        <v>P4 - Evaluar</v>
      </c>
    </row>
    <row r="225" spans="1:75">
      <c r="A225" s="780" t="str">
        <f>'Base de datos Rutas'!A223</f>
        <v>Norte</v>
      </c>
      <c r="B225" s="781" t="str">
        <f>'Base de datos Rutas'!B223</f>
        <v>Zacatecas</v>
      </c>
      <c r="C225" s="781" t="str">
        <f>'Base de datos Rutas'!C223</f>
        <v>Planta Zacatecas</v>
      </c>
      <c r="D225" s="782">
        <f>IF(ISNUMBER('Base de datos Rutas'!D223),'Base de datos Rutas'!D223,"Sin código")</f>
        <v>946400</v>
      </c>
      <c r="E225" s="783" t="str">
        <f>'Base de datos Rutas'!F223</f>
        <v>Activa</v>
      </c>
      <c r="F225" s="784" t="str">
        <f>'Base de datos Rutas'!H223</f>
        <v>Sí</v>
      </c>
      <c r="G225" s="785">
        <f>IF(ISNUMBER('Base de datos Rutas'!BE223),'Base de datos Rutas'!BE223,"")</f>
        <v>67.505720823798598</v>
      </c>
      <c r="H225" s="786">
        <f>IF(ISNUMBER('Base de datos Rutas'!BH223),'Base de datos Rutas'!BH223,"")</f>
        <v>0.51891525423728802</v>
      </c>
      <c r="I225" s="788">
        <f>IFERROR(IF(OR(NOT(ISNUMBER('Base de datos Rutas'!O223)),N('Base de datos Rutas'!BK223)=0),"",'Base de datos Rutas'!O223/('Base de datos Rutas'!L223/'Base de datos Rutas'!BK223)),"")</f>
        <v>2300.990846681917</v>
      </c>
      <c r="J225" s="788">
        <f>IFERROR(IF(OR(NOT(ISNUMBER('Base de datos Rutas'!N223)),N('Base de datos Rutas'!BK223)=0),"",'Base de datos Rutas'!N223/('Base de datos Rutas'!L223/'Base de datos Rutas'!BK223)),"")</f>
        <v>5499.324942791749</v>
      </c>
      <c r="K225" s="788">
        <f>IFERROR(IF(OR(NOT(ISNUMBER('Base de datos Rutas'!J223)),N('Base de datos Rutas'!BK223)=0),"",'Base de datos Rutas'!J223/('Base de datos Rutas'!L223/'Base de datos Rutas'!BK223)),"")</f>
        <v>373.40664164759642</v>
      </c>
      <c r="L225" s="788">
        <f>IFERROR(IF(OR(NOT(ISNUMBER('Base de datos Rutas'!K223)),N('Base de datos Rutas'!BK223)=0),"",'Base de datos Rutas'!K223/('Base de datos Rutas'!L223/'Base de datos Rutas'!BK223)),"")</f>
        <v>17.207668574370668</v>
      </c>
      <c r="M225" s="787">
        <f>IF(ISNUMBER('Base de datos Rutas'!AX223),'Base de datos Rutas'!AX223,"")</f>
        <v>222.67701201985901</v>
      </c>
      <c r="N225" s="790">
        <f>IFERROR(INDEX('Hoja de apoyo v2'!B$17:B$20,MATCH($A225,'Hoja de apoyo v2'!$A$17:$A$20,0)),"")</f>
        <v>74.190366972477051</v>
      </c>
      <c r="O225" s="791">
        <f>IFERROR(INDEX('Hoja de apoyo v2'!C$17:C$20,MATCH($A225,'Hoja de apoyo v2'!$A$17:$A$20,0)),"")</f>
        <v>0.71677657005077755</v>
      </c>
      <c r="P225" s="793">
        <f>IFERROR(INDEX('Hoja de apoyo v2'!D$17:D$20,MATCH($A225,'Hoja de apoyo v2'!$A$17:$A$20,0)),"")</f>
        <v>8755.1153350385739</v>
      </c>
      <c r="Q225" s="793">
        <f>IFERROR(INDEX('Hoja de apoyo v2'!E$17:E$20,MATCH($A225,'Hoja de apoyo v2'!$A$17:$A$20,0)),"")</f>
        <v>6098.2042779326393</v>
      </c>
      <c r="R225" s="793">
        <f>IFERROR(INDEX('Hoja de apoyo v2'!F$17:F$20,MATCH($A225,'Hoja de apoyo v2'!$A$17:$A$20,0)),"")</f>
        <v>389.08889713610301</v>
      </c>
      <c r="S225" s="793">
        <f>IFERROR(INDEX('Hoja de apoyo v2'!G$17:G$20,MATCH($A225,'Hoja de apoyo v2'!$A$17:$A$20,0)),"")</f>
        <v>67.90575167807188</v>
      </c>
      <c r="T225" s="792">
        <f>IFERROR(INDEX('Hoja de apoyo v2'!H$17:H$20,MATCH($A225,'Hoja de apoyo v2'!$A$17:$A$20,0)),"")</f>
        <v>258.90325471200998</v>
      </c>
      <c r="U225" s="794">
        <f t="shared" si="112"/>
        <v>0.90989873185074954</v>
      </c>
      <c r="V225" s="795">
        <f t="shared" si="113"/>
        <v>0.72395677526195823</v>
      </c>
      <c r="W225" s="795">
        <f t="shared" si="114"/>
        <v>0.26281673725909621</v>
      </c>
      <c r="X225" s="843">
        <f t="shared" si="115"/>
        <v>0.90179414990933737</v>
      </c>
      <c r="Y225" s="843">
        <f t="shared" si="116"/>
        <v>0.95969492934921519</v>
      </c>
      <c r="Z225" s="843">
        <f t="shared" si="117"/>
        <v>0.25340517038893728</v>
      </c>
      <c r="AA225" s="843">
        <f t="shared" si="118"/>
        <v>0.8600780715080345</v>
      </c>
      <c r="AB225" s="796">
        <f t="shared" si="119"/>
        <v>3</v>
      </c>
      <c r="AC225" s="797">
        <f t="shared" si="120"/>
        <v>2</v>
      </c>
      <c r="AD225" s="797">
        <f t="shared" si="121"/>
        <v>1</v>
      </c>
      <c r="AE225" s="842">
        <f t="shared" si="122"/>
        <v>3</v>
      </c>
      <c r="AF225" s="842">
        <f t="shared" si="123"/>
        <v>3</v>
      </c>
      <c r="AG225" s="842">
        <f t="shared" si="124"/>
        <v>1</v>
      </c>
      <c r="AH225" s="842">
        <f t="shared" si="125"/>
        <v>3</v>
      </c>
      <c r="AI225" s="826" cm="1">
        <f t="array" ref="AI225">SUMPRODUCT(--ISNUMBER($U225:$AA225),$AB$3:$AH$3)</f>
        <v>1</v>
      </c>
      <c r="AJ225" s="829">
        <f t="shared" si="126"/>
        <v>28.610617939334084</v>
      </c>
      <c r="AK225" s="827" t="str">
        <f t="shared" si="127"/>
        <v>Inmadura</v>
      </c>
      <c r="AL225" s="784" t="str">
        <f t="shared" si="128"/>
        <v>Alta</v>
      </c>
      <c r="AM225" s="799">
        <f>IF(ISNUMBER('Base de datos Rutas'!W223),'Base de datos Rutas'!W223,"")</f>
        <v>2865.9870486706945</v>
      </c>
      <c r="AN225" s="787">
        <f>IFERROR(SUMIFS('Base de datos Rutas'!$W$6:$W$794,'Base de datos Rutas'!$C$6:$C$794,$C225)/'Base de datos Rutas'!I223,"")</f>
        <v>2865.9870486706936</v>
      </c>
      <c r="AO225" s="800">
        <f>IFERROR('Base de datos Rutas'!X223*AN225/AM225,"")</f>
        <v>0.47181486591992339</v>
      </c>
      <c r="AP225" s="800">
        <f t="shared" si="129"/>
        <v>0.52818513408007661</v>
      </c>
      <c r="AQ225" s="789">
        <f>IFERROR(INDEX('Hoja de apoyo v2'!$J$17:$J$20,MATCH($A225,'Hoja de apoyo v2'!$A$17:$A$20,0)),"")</f>
        <v>0.62197445417222763</v>
      </c>
      <c r="AR225" s="789">
        <f t="shared" si="130"/>
        <v>-9.3789320092151018E-2</v>
      </c>
      <c r="AS225" s="784" t="str">
        <f t="shared" si="131"/>
        <v>No</v>
      </c>
      <c r="AT225" s="801">
        <f>IF(ISNUMBER('Base de datos Rutas'!CK223),'Base de datos Rutas'!CK223,"")</f>
        <v>270</v>
      </c>
      <c r="AU225" s="802">
        <f>IF(ISNUMBER('Base de datos Rutas'!CL223),'Base de datos Rutas'!CL223,"")</f>
        <v>345.39</v>
      </c>
      <c r="AV225" s="802">
        <f>IF(ISNUMBER('Base de datos Rutas'!CM223),'Base de datos Rutas'!CM223,"")</f>
        <v>75.389999999999986</v>
      </c>
      <c r="AW225" s="802">
        <f>IF(ISNUMBER('Base de datos Rutas'!CN223),'Base de datos Rutas'!CN223,"")</f>
        <v>7.98</v>
      </c>
      <c r="AX225" s="802">
        <f>IF(ISNUMBER('Base de datos Rutas'!CO223),'Base de datos Rutas'!CO223,"")</f>
        <v>9.4499999999999993</v>
      </c>
      <c r="AY225" s="802">
        <f>IF(ISNUMBER('Base de datos Rutas'!CP223),'Base de datos Rutas'!CP223,"")</f>
        <v>1.4699999999999989</v>
      </c>
      <c r="AZ225" s="802">
        <f>IF(ISNUMBER('Base de datos Rutas'!CQ223),'Base de datos Rutas'!CQ223,"")</f>
        <v>929.55</v>
      </c>
      <c r="BA225" s="802">
        <f>IF(ISNUMBER('Base de datos Rutas'!CR223),'Base de datos Rutas'!CR223,"")</f>
        <v>390.61</v>
      </c>
      <c r="BB225" s="803">
        <f>IF(ISNUMBER('Base de datos Rutas'!CS223),'Base de datos Rutas'!CS223,"")</f>
        <v>538.93999999999994</v>
      </c>
      <c r="BC225" s="804">
        <f t="shared" si="141"/>
        <v>0</v>
      </c>
      <c r="BD225" s="805" t="str">
        <f t="shared" si="142"/>
        <v>No saturada</v>
      </c>
      <c r="BE225" s="806">
        <f t="shared" si="143"/>
        <v>0.42021408208272826</v>
      </c>
      <c r="BF225" s="890">
        <f>IF(ISNUMBER('Base de datos Rutas'!CX223),'Base de datos Rutas'!CX223/100,"")</f>
        <v>0.37236245487364622</v>
      </c>
      <c r="BG225" s="891">
        <f>IF(ISNUMBER('Base de datos Rutas'!CZ223),'Base de datos Rutas'!CZ223/100,"")</f>
        <v>0.38324909747292418</v>
      </c>
      <c r="BH225" s="892">
        <f>IF(ISNUMBER('Base de datos Rutas'!DA223),'Base de datos Rutas'!DA223,"")</f>
        <v>82.269570695346957</v>
      </c>
      <c r="BI225" s="893">
        <f>IF(ISNUMBER('Base de datos Rutas'!DC223),'Base de datos Rutas'!DC223,"")</f>
        <v>3.9811639065823474</v>
      </c>
      <c r="BJ225" s="805" t="str">
        <f t="shared" si="144"/>
        <v>Ruta (completo)</v>
      </c>
      <c r="BK225" s="783">
        <f t="shared" si="132"/>
        <v>2</v>
      </c>
      <c r="BL225" s="797">
        <f t="shared" si="133"/>
        <v>2</v>
      </c>
      <c r="BM225" s="797">
        <f t="shared" si="134"/>
        <v>1</v>
      </c>
      <c r="BN225" s="797">
        <f t="shared" si="135"/>
        <v>1</v>
      </c>
      <c r="BO225" s="798" cm="1">
        <f t="array" ref="BO225">SUMPRODUCT(--ISNUMBER($BF225:$BI225),$BK$3:$BN$3)</f>
        <v>1</v>
      </c>
      <c r="BP225" s="831">
        <f t="shared" si="145"/>
        <v>12.5</v>
      </c>
      <c r="BQ225" s="834" t="str">
        <f t="shared" si="146"/>
        <v>Bajo</v>
      </c>
      <c r="BR225" s="836">
        <f t="shared" si="136"/>
        <v>21.457963454500565</v>
      </c>
      <c r="BS225" s="836">
        <f t="shared" si="137"/>
        <v>12.5</v>
      </c>
      <c r="BT225" s="837" t="str">
        <f t="shared" si="138"/>
        <v>P4</v>
      </c>
      <c r="BU225" s="807" t="str">
        <f t="shared" si="147"/>
        <v>Con espacio</v>
      </c>
      <c r="BV225" s="807" t="str">
        <f t="shared" si="139"/>
        <v>Zona de bajo potencial</v>
      </c>
      <c r="BW225" s="808" t="str">
        <f t="shared" si="140"/>
        <v>P4 - Evaluar</v>
      </c>
    </row>
    <row r="226" spans="1:75">
      <c r="A226" s="780" t="str">
        <f>'Base de datos Rutas'!A224</f>
        <v>Norte</v>
      </c>
      <c r="B226" s="781" t="str">
        <f>'Base de datos Rutas'!B224</f>
        <v>Zacatecas</v>
      </c>
      <c r="C226" s="781" t="str">
        <f>'Base de datos Rutas'!C224</f>
        <v>Planta Zacatecas</v>
      </c>
      <c r="D226" s="782">
        <f>IF(ISNUMBER('Base de datos Rutas'!D224),'Base de datos Rutas'!D224,"Sin código")</f>
        <v>946401</v>
      </c>
      <c r="E226" s="783" t="str">
        <f>'Base de datos Rutas'!F224</f>
        <v>Activa</v>
      </c>
      <c r="F226" s="784" t="str">
        <f>'Base de datos Rutas'!H224</f>
        <v>Sí</v>
      </c>
      <c r="G226" s="785">
        <f>IF(ISNUMBER('Base de datos Rutas'!BE224),'Base de datos Rutas'!BE224,"")</f>
        <v>74.958810068649896</v>
      </c>
      <c r="H226" s="786">
        <f>IF(ISNUMBER('Base de datos Rutas'!BH224),'Base de datos Rutas'!BH224,"")</f>
        <v>0.40837072992032197</v>
      </c>
      <c r="I226" s="788">
        <f>IFERROR(IF(OR(NOT(ISNUMBER('Base de datos Rutas'!O224)),N('Base de datos Rutas'!BK224)=0),"",'Base de datos Rutas'!O224/('Base de datos Rutas'!L224/'Base de datos Rutas'!BK224)),"")</f>
        <v>1872.4027459954223</v>
      </c>
      <c r="J226" s="788">
        <f>IFERROR(IF(OR(NOT(ISNUMBER('Base de datos Rutas'!N224)),N('Base de datos Rutas'!BK224)=0),"",'Base de datos Rutas'!N224/('Base de datos Rutas'!L224/'Base de datos Rutas'!BK224)),"")</f>
        <v>4863.7231121281438</v>
      </c>
      <c r="K226" s="788">
        <f>IFERROR(IF(OR(NOT(ISNUMBER('Base de datos Rutas'!J224)),N('Base de datos Rutas'!BK224)=0),"",'Base de datos Rutas'!J224/('Base de datos Rutas'!L224/'Base de datos Rutas'!BK224)),"")</f>
        <v>339.58515331807763</v>
      </c>
      <c r="L226" s="788">
        <f>IFERROR(IF(OR(NOT(ISNUMBER('Base de datos Rutas'!K224)),N('Base de datos Rutas'!BK224)=0),"",'Base de datos Rutas'!K224/('Base de datos Rutas'!L224/'Base de datos Rutas'!BK224)),"")</f>
        <v>15.338337183066354</v>
      </c>
      <c r="M226" s="787">
        <f>IF(ISNUMBER('Base de datos Rutas'!AX224),'Base de datos Rutas'!AX224,"")</f>
        <v>220.05611347835799</v>
      </c>
      <c r="N226" s="790">
        <f>IFERROR(INDEX('Hoja de apoyo v2'!B$17:B$20,MATCH($A226,'Hoja de apoyo v2'!$A$17:$A$20,0)),"")</f>
        <v>74.190366972477051</v>
      </c>
      <c r="O226" s="791">
        <f>IFERROR(INDEX('Hoja de apoyo v2'!C$17:C$20,MATCH($A226,'Hoja de apoyo v2'!$A$17:$A$20,0)),"")</f>
        <v>0.71677657005077755</v>
      </c>
      <c r="P226" s="793">
        <f>IFERROR(INDEX('Hoja de apoyo v2'!D$17:D$20,MATCH($A226,'Hoja de apoyo v2'!$A$17:$A$20,0)),"")</f>
        <v>8755.1153350385739</v>
      </c>
      <c r="Q226" s="793">
        <f>IFERROR(INDEX('Hoja de apoyo v2'!E$17:E$20,MATCH($A226,'Hoja de apoyo v2'!$A$17:$A$20,0)),"")</f>
        <v>6098.2042779326393</v>
      </c>
      <c r="R226" s="793">
        <f>IFERROR(INDEX('Hoja de apoyo v2'!F$17:F$20,MATCH($A226,'Hoja de apoyo v2'!$A$17:$A$20,0)),"")</f>
        <v>389.08889713610301</v>
      </c>
      <c r="S226" s="793">
        <f>IFERROR(INDEX('Hoja de apoyo v2'!G$17:G$20,MATCH($A226,'Hoja de apoyo v2'!$A$17:$A$20,0)),"")</f>
        <v>67.90575167807188</v>
      </c>
      <c r="T226" s="792">
        <f>IFERROR(INDEX('Hoja de apoyo v2'!H$17:H$20,MATCH($A226,'Hoja de apoyo v2'!$A$17:$A$20,0)),"")</f>
        <v>258.90325471200998</v>
      </c>
      <c r="U226" s="794">
        <f t="shared" si="112"/>
        <v>1.0103577206520344</v>
      </c>
      <c r="V226" s="795">
        <f t="shared" si="113"/>
        <v>0.56973225267588246</v>
      </c>
      <c r="W226" s="795">
        <f t="shared" si="114"/>
        <v>0.21386385836654118</v>
      </c>
      <c r="X226" s="843">
        <f t="shared" si="115"/>
        <v>0.79756644586806158</v>
      </c>
      <c r="Y226" s="843">
        <f t="shared" si="116"/>
        <v>0.87277009397492777</v>
      </c>
      <c r="Z226" s="843">
        <f t="shared" si="117"/>
        <v>0.22587684848527212</v>
      </c>
      <c r="AA226" s="843">
        <f t="shared" si="118"/>
        <v>0.84995499080587666</v>
      </c>
      <c r="AB226" s="796">
        <f t="shared" si="119"/>
        <v>4</v>
      </c>
      <c r="AC226" s="797">
        <f t="shared" si="120"/>
        <v>2</v>
      </c>
      <c r="AD226" s="797">
        <f t="shared" si="121"/>
        <v>1</v>
      </c>
      <c r="AE226" s="842">
        <f t="shared" si="122"/>
        <v>3</v>
      </c>
      <c r="AF226" s="842">
        <f t="shared" si="123"/>
        <v>3</v>
      </c>
      <c r="AG226" s="842">
        <f t="shared" si="124"/>
        <v>1</v>
      </c>
      <c r="AH226" s="842">
        <f t="shared" si="125"/>
        <v>3</v>
      </c>
      <c r="AI226" s="826" cm="1">
        <f t="array" ref="AI226">SUMPRODUCT(--ISNUMBER($U226:$AA226),$AB$3:$AH$3)</f>
        <v>1</v>
      </c>
      <c r="AJ226" s="829">
        <f t="shared" si="126"/>
        <v>33.14425411747083</v>
      </c>
      <c r="AK226" s="827" t="str">
        <f t="shared" si="127"/>
        <v>Inmadura</v>
      </c>
      <c r="AL226" s="784" t="str">
        <f t="shared" si="128"/>
        <v>Alta</v>
      </c>
      <c r="AM226" s="799">
        <f>IF(ISNUMBER('Base de datos Rutas'!W224),'Base de datos Rutas'!W224,"")</f>
        <v>2865.9870486706945</v>
      </c>
      <c r="AN226" s="787">
        <f>IFERROR(SUMIFS('Base de datos Rutas'!$W$6:$W$794,'Base de datos Rutas'!$C$6:$C$794,$C226)/'Base de datos Rutas'!I224,"")</f>
        <v>2865.9870486706936</v>
      </c>
      <c r="AO226" s="800">
        <f>IFERROR('Base de datos Rutas'!X224*AN226/AM226,"")</f>
        <v>0.47181486591992339</v>
      </c>
      <c r="AP226" s="800">
        <f t="shared" si="129"/>
        <v>0.52818513408007661</v>
      </c>
      <c r="AQ226" s="789">
        <f>IFERROR(INDEX('Hoja de apoyo v2'!$J$17:$J$20,MATCH($A226,'Hoja de apoyo v2'!$A$17:$A$20,0)),"")</f>
        <v>0.62197445417222763</v>
      </c>
      <c r="AR226" s="789">
        <f t="shared" si="130"/>
        <v>-9.3789320092151018E-2</v>
      </c>
      <c r="AS226" s="784" t="str">
        <f t="shared" si="131"/>
        <v>No</v>
      </c>
      <c r="AT226" s="801">
        <f>IF(ISNUMBER('Base de datos Rutas'!CK224),'Base de datos Rutas'!CK224,"")</f>
        <v>312</v>
      </c>
      <c r="AU226" s="802">
        <f>IF(ISNUMBER('Base de datos Rutas'!CL224),'Base de datos Rutas'!CL224,"")</f>
        <v>557.87</v>
      </c>
      <c r="AV226" s="802">
        <f>IF(ISNUMBER('Base de datos Rutas'!CM224),'Base de datos Rutas'!CM224,"")</f>
        <v>245.87</v>
      </c>
      <c r="AW226" s="802">
        <f>IF(ISNUMBER('Base de datos Rutas'!CN224),'Base de datos Rutas'!CN224,"")</f>
        <v>6.86</v>
      </c>
      <c r="AX226" s="802">
        <f>IF(ISNUMBER('Base de datos Rutas'!CO224),'Base de datos Rutas'!CO224,"")</f>
        <v>9.4499999999999993</v>
      </c>
      <c r="AY226" s="802">
        <f>IF(ISNUMBER('Base de datos Rutas'!CP224),'Base de datos Rutas'!CP224,"")</f>
        <v>2.589999999999999</v>
      </c>
      <c r="AZ226" s="802">
        <f>IF(ISNUMBER('Base de datos Rutas'!CQ224),'Base de datos Rutas'!CQ224,"")</f>
        <v>929.55</v>
      </c>
      <c r="BA226" s="802">
        <f>IF(ISNUMBER('Base de datos Rutas'!CR224),'Base de datos Rutas'!CR224,"")</f>
        <v>354.92</v>
      </c>
      <c r="BB226" s="803">
        <f>IF(ISNUMBER('Base de datos Rutas'!CS224),'Base de datos Rutas'!CS224,"")</f>
        <v>574.62999999999988</v>
      </c>
      <c r="BC226" s="804">
        <f t="shared" si="141"/>
        <v>0</v>
      </c>
      <c r="BD226" s="805" t="str">
        <f t="shared" si="142"/>
        <v>No saturada</v>
      </c>
      <c r="BE226" s="806">
        <f t="shared" si="143"/>
        <v>0.38181915980850956</v>
      </c>
      <c r="BF226" s="890">
        <f>IF(ISNUMBER('Base de datos Rutas'!CX224),'Base de datos Rutas'!CX224/100,"")</f>
        <v>0.36564233304315386</v>
      </c>
      <c r="BG226" s="891">
        <f>IF(ISNUMBER('Base de datos Rutas'!CZ224),'Base de datos Rutas'!CZ224/100,"")</f>
        <v>0.39621937569953986</v>
      </c>
      <c r="BH226" s="892">
        <f>IF(ISNUMBER('Base de datos Rutas'!DA224),'Base de datos Rutas'!DA224,"")</f>
        <v>290.46868721242157</v>
      </c>
      <c r="BI226" s="893">
        <f>IF(ISNUMBER('Base de datos Rutas'!DC224),'Base de datos Rutas'!DC224,"")</f>
        <v>14.929683945808248</v>
      </c>
      <c r="BJ226" s="805" t="str">
        <f t="shared" si="144"/>
        <v>Ruta (completo)</v>
      </c>
      <c r="BK226" s="783">
        <f t="shared" si="132"/>
        <v>2</v>
      </c>
      <c r="BL226" s="797">
        <f t="shared" si="133"/>
        <v>2</v>
      </c>
      <c r="BM226" s="797">
        <f t="shared" si="134"/>
        <v>2</v>
      </c>
      <c r="BN226" s="797">
        <f t="shared" si="135"/>
        <v>2</v>
      </c>
      <c r="BO226" s="798" cm="1">
        <f t="array" ref="BO226">SUMPRODUCT(--ISNUMBER($BF226:$BI226),$BK$3:$BN$3)</f>
        <v>1</v>
      </c>
      <c r="BP226" s="831">
        <f t="shared" si="145"/>
        <v>25</v>
      </c>
      <c r="BQ226" s="834" t="str">
        <f t="shared" si="146"/>
        <v>Medio</v>
      </c>
      <c r="BR226" s="836">
        <f t="shared" si="136"/>
        <v>24.85819058810312</v>
      </c>
      <c r="BS226" s="836">
        <f t="shared" si="137"/>
        <v>25</v>
      </c>
      <c r="BT226" s="837" t="str">
        <f t="shared" si="138"/>
        <v>P4</v>
      </c>
      <c r="BU226" s="807" t="str">
        <f t="shared" si="147"/>
        <v>Con espacio</v>
      </c>
      <c r="BV226" s="807" t="str">
        <f t="shared" si="139"/>
        <v>Zona de bajo potencial</v>
      </c>
      <c r="BW226" s="808" t="str">
        <f t="shared" si="140"/>
        <v>P4 - Evaluar</v>
      </c>
    </row>
    <row r="227" spans="1:75">
      <c r="A227" s="780" t="str">
        <f>'Base de datos Rutas'!A225</f>
        <v>Norte</v>
      </c>
      <c r="B227" s="781" t="str">
        <f>'Base de datos Rutas'!B225</f>
        <v>Zacatecas</v>
      </c>
      <c r="C227" s="781" t="str">
        <f>'Base de datos Rutas'!C225</f>
        <v>Planta Zacatecas</v>
      </c>
      <c r="D227" s="782">
        <f>IF(ISNUMBER('Base de datos Rutas'!D225),'Base de datos Rutas'!D225,"Sin código")</f>
        <v>946402</v>
      </c>
      <c r="E227" s="783" t="str">
        <f>'Base de datos Rutas'!F225</f>
        <v>Activa</v>
      </c>
      <c r="F227" s="784" t="str">
        <f>'Base de datos Rutas'!H225</f>
        <v>Sí</v>
      </c>
      <c r="G227" s="785">
        <f>IF(ISNUMBER('Base de datos Rutas'!BE225),'Base de datos Rutas'!BE225,"")</f>
        <v>69.526436781609206</v>
      </c>
      <c r="H227" s="786">
        <f>IF(ISNUMBER('Base de datos Rutas'!BH225),'Base de datos Rutas'!BH225,"")</f>
        <v>0.42663007538685399</v>
      </c>
      <c r="I227" s="788">
        <f>IFERROR(IF(OR(NOT(ISNUMBER('Base de datos Rutas'!O225)),N('Base de datos Rutas'!BK225)=0),"",'Base de datos Rutas'!O225/('Base de datos Rutas'!L225/'Base de datos Rutas'!BK225)),"")</f>
        <v>1996.3356321839083</v>
      </c>
      <c r="J227" s="788">
        <f>IFERROR(IF(OR(NOT(ISNUMBER('Base de datos Rutas'!N225)),N('Base de datos Rutas'!BK225)=0),"",'Base de datos Rutas'!N225/('Base de datos Rutas'!L225/'Base de datos Rutas'!BK225)),"")</f>
        <v>5656.264367816093</v>
      </c>
      <c r="K227" s="788">
        <f>IFERROR(IF(OR(NOT(ISNUMBER('Base de datos Rutas'!J225)),N('Base de datos Rutas'!BK225)=0),"",'Base de datos Rutas'!J225/('Base de datos Rutas'!L225/'Base de datos Rutas'!BK225)),"")</f>
        <v>389.57744000000008</v>
      </c>
      <c r="L227" s="788">
        <f>IFERROR(IF(OR(NOT(ISNUMBER('Base de datos Rutas'!K225)),N('Base de datos Rutas'!BK225)=0),"",'Base de datos Rutas'!K225/('Base de datos Rutas'!L225/'Base de datos Rutas'!BK225)),"")</f>
        <v>15.246323570114944</v>
      </c>
      <c r="M227" s="787">
        <f>IF(ISNUMBER('Base de datos Rutas'!AX225),'Base de datos Rutas'!AX225,"")</f>
        <v>257.99294040145702</v>
      </c>
      <c r="N227" s="790">
        <f>IFERROR(INDEX('Hoja de apoyo v2'!B$17:B$20,MATCH($A227,'Hoja de apoyo v2'!$A$17:$A$20,0)),"")</f>
        <v>74.190366972477051</v>
      </c>
      <c r="O227" s="791">
        <f>IFERROR(INDEX('Hoja de apoyo v2'!C$17:C$20,MATCH($A227,'Hoja de apoyo v2'!$A$17:$A$20,0)),"")</f>
        <v>0.71677657005077755</v>
      </c>
      <c r="P227" s="793">
        <f>IFERROR(INDEX('Hoja de apoyo v2'!D$17:D$20,MATCH($A227,'Hoja de apoyo v2'!$A$17:$A$20,0)),"")</f>
        <v>8755.1153350385739</v>
      </c>
      <c r="Q227" s="793">
        <f>IFERROR(INDEX('Hoja de apoyo v2'!E$17:E$20,MATCH($A227,'Hoja de apoyo v2'!$A$17:$A$20,0)),"")</f>
        <v>6098.2042779326393</v>
      </c>
      <c r="R227" s="793">
        <f>IFERROR(INDEX('Hoja de apoyo v2'!F$17:F$20,MATCH($A227,'Hoja de apoyo v2'!$A$17:$A$20,0)),"")</f>
        <v>389.08889713610301</v>
      </c>
      <c r="S227" s="793">
        <f>IFERROR(INDEX('Hoja de apoyo v2'!G$17:G$20,MATCH($A227,'Hoja de apoyo v2'!$A$17:$A$20,0)),"")</f>
        <v>67.90575167807188</v>
      </c>
      <c r="T227" s="792">
        <f>IFERROR(INDEX('Hoja de apoyo v2'!H$17:H$20,MATCH($A227,'Hoja de apoyo v2'!$A$17:$A$20,0)),"")</f>
        <v>258.90325471200998</v>
      </c>
      <c r="U227" s="794">
        <f t="shared" si="112"/>
        <v>0.9371356365901512</v>
      </c>
      <c r="V227" s="795">
        <f t="shared" si="113"/>
        <v>0.59520650257392038</v>
      </c>
      <c r="W227" s="795">
        <f t="shared" si="114"/>
        <v>0.22801934135515448</v>
      </c>
      <c r="X227" s="843">
        <f t="shared" si="115"/>
        <v>0.92752950049315686</v>
      </c>
      <c r="Y227" s="843">
        <f t="shared" si="116"/>
        <v>1.0012556073110619</v>
      </c>
      <c r="Z227" s="843">
        <f t="shared" si="117"/>
        <v>0.22452182905499427</v>
      </c>
      <c r="AA227" s="843">
        <f t="shared" si="118"/>
        <v>0.99648395957182712</v>
      </c>
      <c r="AB227" s="796">
        <f t="shared" si="119"/>
        <v>3</v>
      </c>
      <c r="AC227" s="797">
        <f t="shared" si="120"/>
        <v>2</v>
      </c>
      <c r="AD227" s="797">
        <f t="shared" si="121"/>
        <v>1</v>
      </c>
      <c r="AE227" s="842">
        <f t="shared" si="122"/>
        <v>3</v>
      </c>
      <c r="AF227" s="842">
        <f t="shared" si="123"/>
        <v>4</v>
      </c>
      <c r="AG227" s="842">
        <f t="shared" si="124"/>
        <v>1</v>
      </c>
      <c r="AH227" s="842">
        <f t="shared" si="125"/>
        <v>3</v>
      </c>
      <c r="AI227" s="826" cm="1">
        <f t="array" ref="AI227">SUMPRODUCT(--ISNUMBER($U227:$AA227),$AB$3:$AH$3)</f>
        <v>1</v>
      </c>
      <c r="AJ227" s="829">
        <f t="shared" si="126"/>
        <v>31.536662451373875</v>
      </c>
      <c r="AK227" s="827" t="str">
        <f t="shared" si="127"/>
        <v>Inmadura</v>
      </c>
      <c r="AL227" s="784" t="str">
        <f t="shared" si="128"/>
        <v>Alta</v>
      </c>
      <c r="AM227" s="799">
        <f>IF(ISNUMBER('Base de datos Rutas'!W225),'Base de datos Rutas'!W225,"")</f>
        <v>2865.9870486706945</v>
      </c>
      <c r="AN227" s="787">
        <f>IFERROR(SUMIFS('Base de datos Rutas'!$W$6:$W$794,'Base de datos Rutas'!$C$6:$C$794,$C227)/'Base de datos Rutas'!I225,"")</f>
        <v>2865.9870486706936</v>
      </c>
      <c r="AO227" s="800">
        <f>IFERROR('Base de datos Rutas'!X225*AN227/AM227,"")</f>
        <v>0.47181486591992339</v>
      </c>
      <c r="AP227" s="800">
        <f t="shared" si="129"/>
        <v>0.52818513408007661</v>
      </c>
      <c r="AQ227" s="789">
        <f>IFERROR(INDEX('Hoja de apoyo v2'!$J$17:$J$20,MATCH($A227,'Hoja de apoyo v2'!$A$17:$A$20,0)),"")</f>
        <v>0.62197445417222763</v>
      </c>
      <c r="AR227" s="789">
        <f t="shared" si="130"/>
        <v>-9.3789320092151018E-2</v>
      </c>
      <c r="AS227" s="784" t="str">
        <f t="shared" si="131"/>
        <v>No</v>
      </c>
      <c r="AT227" s="801">
        <f>IF(ISNUMBER('Base de datos Rutas'!CK225),'Base de datos Rutas'!CK225,"")</f>
        <v>245</v>
      </c>
      <c r="AU227" s="802">
        <f>IF(ISNUMBER('Base de datos Rutas'!CL225),'Base de datos Rutas'!CL225,"")</f>
        <v>660.24</v>
      </c>
      <c r="AV227" s="802">
        <f>IF(ISNUMBER('Base de datos Rutas'!CM225),'Base de datos Rutas'!CM225,"")</f>
        <v>415.24</v>
      </c>
      <c r="AW227" s="802">
        <f>IF(ISNUMBER('Base de datos Rutas'!CN225),'Base de datos Rutas'!CN225,"")</f>
        <v>4.6900000000000004</v>
      </c>
      <c r="AX227" s="802">
        <f>IF(ISNUMBER('Base de datos Rutas'!CO225),'Base de datos Rutas'!CO225,"")</f>
        <v>9.4499999999999993</v>
      </c>
      <c r="AY227" s="802">
        <f>IF(ISNUMBER('Base de datos Rutas'!CP225),'Base de datos Rutas'!CP225,"")</f>
        <v>4.7599999999999989</v>
      </c>
      <c r="AZ227" s="802">
        <f>IF(ISNUMBER('Base de datos Rutas'!CQ225),'Base de datos Rutas'!CQ225,"")</f>
        <v>929.55</v>
      </c>
      <c r="BA227" s="802">
        <f>IF(ISNUMBER('Base de datos Rutas'!CR225),'Base de datos Rutas'!CR225,"")</f>
        <v>404.82</v>
      </c>
      <c r="BB227" s="803">
        <f>IF(ISNUMBER('Base de datos Rutas'!CS225),'Base de datos Rutas'!CS225,"")</f>
        <v>524.73</v>
      </c>
      <c r="BC227" s="804">
        <f t="shared" si="141"/>
        <v>0</v>
      </c>
      <c r="BD227" s="805" t="str">
        <f t="shared" si="142"/>
        <v>No saturada</v>
      </c>
      <c r="BE227" s="806">
        <f t="shared" si="143"/>
        <v>0.43550104889462643</v>
      </c>
      <c r="BF227" s="890">
        <f>IF(ISNUMBER('Base de datos Rutas'!CX225),'Base de datos Rutas'!CX225/100,"")</f>
        <v>0.80498841698841705</v>
      </c>
      <c r="BG227" s="891">
        <f>IF(ISNUMBER('Base de datos Rutas'!CZ225),'Base de datos Rutas'!CZ225/100,"")</f>
        <v>0.85842985842985842</v>
      </c>
      <c r="BH227" s="892">
        <f>IF(ISNUMBER('Base de datos Rutas'!DA225),'Base de datos Rutas'!DA225,"")</f>
        <v>407.05936661600634</v>
      </c>
      <c r="BI227" s="893">
        <f>IF(ISNUMBER('Base de datos Rutas'!DC225),'Base de datos Rutas'!DC225,"")</f>
        <v>20.264264700851776</v>
      </c>
      <c r="BJ227" s="805" t="str">
        <f t="shared" si="144"/>
        <v>Ruta (completo)</v>
      </c>
      <c r="BK227" s="783">
        <f t="shared" si="132"/>
        <v>5</v>
      </c>
      <c r="BL227" s="797">
        <f t="shared" si="133"/>
        <v>4</v>
      </c>
      <c r="BM227" s="797">
        <f t="shared" si="134"/>
        <v>3</v>
      </c>
      <c r="BN227" s="797">
        <f t="shared" si="135"/>
        <v>3</v>
      </c>
      <c r="BO227" s="798" cm="1">
        <f t="array" ref="BO227">SUMPRODUCT(--ISNUMBER($BF227:$BI227),$BK$3:$BN$3)</f>
        <v>1</v>
      </c>
      <c r="BP227" s="831">
        <f t="shared" si="145"/>
        <v>68.75</v>
      </c>
      <c r="BQ227" s="834" t="str">
        <f t="shared" si="146"/>
        <v>Alto</v>
      </c>
      <c r="BR227" s="836">
        <f t="shared" si="136"/>
        <v>23.652496838530407</v>
      </c>
      <c r="BS227" s="836">
        <f t="shared" si="137"/>
        <v>68.75</v>
      </c>
      <c r="BT227" s="837" t="str">
        <f t="shared" si="138"/>
        <v>P3</v>
      </c>
      <c r="BU227" s="807" t="str">
        <f t="shared" si="147"/>
        <v>Con espacio</v>
      </c>
      <c r="BV227" s="807" t="str">
        <f t="shared" si="139"/>
        <v>Zona atractiva</v>
      </c>
      <c r="BW227" s="808" t="str">
        <f t="shared" si="140"/>
        <v>P3 - Desarrollar</v>
      </c>
    </row>
    <row r="228" spans="1:75">
      <c r="A228" s="780" t="str">
        <f>'Base de datos Rutas'!A226</f>
        <v>Norte</v>
      </c>
      <c r="B228" s="781" t="str">
        <f>'Base de datos Rutas'!B226</f>
        <v>Zacatecas</v>
      </c>
      <c r="C228" s="781" t="str">
        <f>'Base de datos Rutas'!C226</f>
        <v>Planta Zacatecas</v>
      </c>
      <c r="D228" s="782">
        <f>IF(ISNUMBER('Base de datos Rutas'!D226),'Base de datos Rutas'!D226,"Sin código")</f>
        <v>946403</v>
      </c>
      <c r="E228" s="783" t="str">
        <f>'Base de datos Rutas'!F226</f>
        <v>Activa</v>
      </c>
      <c r="F228" s="784" t="str">
        <f>'Base de datos Rutas'!H226</f>
        <v>Sí</v>
      </c>
      <c r="G228" s="785">
        <f>IF(ISNUMBER('Base de datos Rutas'!BE226),'Base de datos Rutas'!BE226,"")</f>
        <v>51.7133027522936</v>
      </c>
      <c r="H228" s="786">
        <f>IF(ISNUMBER('Base de datos Rutas'!BH226),'Base de datos Rutas'!BH226,"")</f>
        <v>0.63751275114205896</v>
      </c>
      <c r="I228" s="788">
        <f>IFERROR(IF(OR(NOT(ISNUMBER('Base de datos Rutas'!O226)),N('Base de datos Rutas'!BK226)=0),"",'Base de datos Rutas'!O226/('Base de datos Rutas'!L226/'Base de datos Rutas'!BK226)),"")</f>
        <v>2244.0917431192629</v>
      </c>
      <c r="J228" s="788">
        <f>IFERROR(IF(OR(NOT(ISNUMBER('Base de datos Rutas'!N226)),N('Base de datos Rutas'!BK226)=0),"",'Base de datos Rutas'!N226/('Base de datos Rutas'!L226/'Base de datos Rutas'!BK226)),"")</f>
        <v>5811.7660550458631</v>
      </c>
      <c r="K228" s="788">
        <f>IFERROR(IF(OR(NOT(ISNUMBER('Base de datos Rutas'!J226)),N('Base de datos Rutas'!BK226)=0),"",'Base de datos Rutas'!J226/('Base de datos Rutas'!L226/'Base de datos Rutas'!BK226)),"")</f>
        <v>400.64876330275172</v>
      </c>
      <c r="L228" s="788">
        <f>IFERROR(IF(OR(NOT(ISNUMBER('Base de datos Rutas'!K226)),N('Base de datos Rutas'!BK226)=0),"",'Base de datos Rutas'!K226/('Base de datos Rutas'!L226/'Base de datos Rutas'!BK226)),"")</f>
        <v>17.142255096330249</v>
      </c>
      <c r="M228" s="787">
        <f>IF(ISNUMBER('Base de datos Rutas'!AX226),'Base de datos Rutas'!AX226,"")</f>
        <v>244.35436065117599</v>
      </c>
      <c r="N228" s="790">
        <f>IFERROR(INDEX('Hoja de apoyo v2'!B$17:B$20,MATCH($A228,'Hoja de apoyo v2'!$A$17:$A$20,0)),"")</f>
        <v>74.190366972477051</v>
      </c>
      <c r="O228" s="791">
        <f>IFERROR(INDEX('Hoja de apoyo v2'!C$17:C$20,MATCH($A228,'Hoja de apoyo v2'!$A$17:$A$20,0)),"")</f>
        <v>0.71677657005077755</v>
      </c>
      <c r="P228" s="793">
        <f>IFERROR(INDEX('Hoja de apoyo v2'!D$17:D$20,MATCH($A228,'Hoja de apoyo v2'!$A$17:$A$20,0)),"")</f>
        <v>8755.1153350385739</v>
      </c>
      <c r="Q228" s="793">
        <f>IFERROR(INDEX('Hoja de apoyo v2'!E$17:E$20,MATCH($A228,'Hoja de apoyo v2'!$A$17:$A$20,0)),"")</f>
        <v>6098.2042779326393</v>
      </c>
      <c r="R228" s="793">
        <f>IFERROR(INDEX('Hoja de apoyo v2'!F$17:F$20,MATCH($A228,'Hoja de apoyo v2'!$A$17:$A$20,0)),"")</f>
        <v>389.08889713610301</v>
      </c>
      <c r="S228" s="793">
        <f>IFERROR(INDEX('Hoja de apoyo v2'!G$17:G$20,MATCH($A228,'Hoja de apoyo v2'!$A$17:$A$20,0)),"")</f>
        <v>67.90575167807188</v>
      </c>
      <c r="T228" s="792">
        <f>IFERROR(INDEX('Hoja de apoyo v2'!H$17:H$20,MATCH($A228,'Hoja de apoyo v2'!$A$17:$A$20,0)),"")</f>
        <v>258.90325471200998</v>
      </c>
      <c r="U228" s="794">
        <f t="shared" si="112"/>
        <v>0.69703527375027097</v>
      </c>
      <c r="V228" s="795">
        <f t="shared" si="113"/>
        <v>0.88941628085987323</v>
      </c>
      <c r="W228" s="795">
        <f t="shared" si="114"/>
        <v>0.25631778191867483</v>
      </c>
      <c r="X228" s="843">
        <f t="shared" si="115"/>
        <v>0.95302908695215405</v>
      </c>
      <c r="Y228" s="843">
        <f t="shared" si="116"/>
        <v>1.0297100900378688</v>
      </c>
      <c r="Z228" s="843">
        <f t="shared" si="117"/>
        <v>0.25244187234092313</v>
      </c>
      <c r="AA228" s="843">
        <f t="shared" si="118"/>
        <v>0.94380567337008803</v>
      </c>
      <c r="AB228" s="796">
        <f t="shared" si="119"/>
        <v>2</v>
      </c>
      <c r="AC228" s="797">
        <f t="shared" si="120"/>
        <v>3</v>
      </c>
      <c r="AD228" s="797">
        <f t="shared" si="121"/>
        <v>1</v>
      </c>
      <c r="AE228" s="842">
        <f t="shared" si="122"/>
        <v>3</v>
      </c>
      <c r="AF228" s="842">
        <f t="shared" si="123"/>
        <v>4</v>
      </c>
      <c r="AG228" s="842">
        <f t="shared" si="124"/>
        <v>1</v>
      </c>
      <c r="AH228" s="842">
        <f t="shared" si="125"/>
        <v>3</v>
      </c>
      <c r="AI228" s="826" cm="1">
        <f t="array" ref="AI228">SUMPRODUCT(--ISNUMBER($U228:$AA228),$AB$3:$AH$3)</f>
        <v>1</v>
      </c>
      <c r="AJ228" s="829">
        <f t="shared" si="126"/>
        <v>29.385931859127602</v>
      </c>
      <c r="AK228" s="827" t="str">
        <f t="shared" si="127"/>
        <v>Inmadura</v>
      </c>
      <c r="AL228" s="784" t="str">
        <f t="shared" si="128"/>
        <v>Alta</v>
      </c>
      <c r="AM228" s="799">
        <f>IF(ISNUMBER('Base de datos Rutas'!W226),'Base de datos Rutas'!W226,"")</f>
        <v>2865.9870486706945</v>
      </c>
      <c r="AN228" s="787">
        <f>IFERROR(SUMIFS('Base de datos Rutas'!$W$6:$W$794,'Base de datos Rutas'!$C$6:$C$794,$C228)/'Base de datos Rutas'!I226,"")</f>
        <v>2865.9870486706936</v>
      </c>
      <c r="AO228" s="800">
        <f>IFERROR('Base de datos Rutas'!X226*AN228/AM228,"")</f>
        <v>0.47181486591992339</v>
      </c>
      <c r="AP228" s="800">
        <f t="shared" si="129"/>
        <v>0.52818513408007661</v>
      </c>
      <c r="AQ228" s="789">
        <f>IFERROR(INDEX('Hoja de apoyo v2'!$J$17:$J$20,MATCH($A228,'Hoja de apoyo v2'!$A$17:$A$20,0)),"")</f>
        <v>0.62197445417222763</v>
      </c>
      <c r="AR228" s="789">
        <f t="shared" si="130"/>
        <v>-9.3789320092151018E-2</v>
      </c>
      <c r="AS228" s="784" t="str">
        <f t="shared" si="131"/>
        <v>No</v>
      </c>
      <c r="AT228" s="801">
        <f>IF(ISNUMBER('Base de datos Rutas'!CK226),'Base de datos Rutas'!CK226,"")</f>
        <v>274</v>
      </c>
      <c r="AU228" s="802">
        <f>IF(ISNUMBER('Base de datos Rutas'!CL226),'Base de datos Rutas'!CL226,"")</f>
        <v>609.72</v>
      </c>
      <c r="AV228" s="802">
        <f>IF(ISNUMBER('Base de datos Rutas'!CM226),'Base de datos Rutas'!CM226,"")</f>
        <v>335.72</v>
      </c>
      <c r="AW228" s="802">
        <f>IF(ISNUMBER('Base de datos Rutas'!CN226),'Base de datos Rutas'!CN226,"")</f>
        <v>4.16</v>
      </c>
      <c r="AX228" s="802">
        <f>IF(ISNUMBER('Base de datos Rutas'!CO226),'Base de datos Rutas'!CO226,"")</f>
        <v>9.4499999999999993</v>
      </c>
      <c r="AY228" s="802">
        <f>IF(ISNUMBER('Base de datos Rutas'!CP226),'Base de datos Rutas'!CP226,"")</f>
        <v>5.2899999999999991</v>
      </c>
      <c r="AZ228" s="802">
        <f>IF(ISNUMBER('Base de datos Rutas'!CQ226),'Base de datos Rutas'!CQ226,"")</f>
        <v>929.55</v>
      </c>
      <c r="BA228" s="802">
        <f>IF(ISNUMBER('Base de datos Rutas'!CR226),'Base de datos Rutas'!CR226,"")</f>
        <v>417.79</v>
      </c>
      <c r="BB228" s="803">
        <f>IF(ISNUMBER('Base de datos Rutas'!CS226),'Base de datos Rutas'!CS226,"")</f>
        <v>511.75999999999993</v>
      </c>
      <c r="BC228" s="804">
        <f t="shared" si="141"/>
        <v>0</v>
      </c>
      <c r="BD228" s="805" t="str">
        <f t="shared" si="142"/>
        <v>No saturada</v>
      </c>
      <c r="BE228" s="806">
        <f t="shared" si="143"/>
        <v>0.44945403689957508</v>
      </c>
      <c r="BF228" s="890">
        <f>IF(ISNUMBER('Base de datos Rutas'!CX226),'Base de datos Rutas'!CX226/100,"")</f>
        <v>0.89059820779849841</v>
      </c>
      <c r="BG228" s="891">
        <f>IF(ISNUMBER('Base de datos Rutas'!CZ226),'Base de datos Rutas'!CZ226/100,"")</f>
        <v>0.97190603051586355</v>
      </c>
      <c r="BH228" s="892">
        <f>IF(ISNUMBER('Base de datos Rutas'!DA226),'Base de datos Rutas'!DA226,"")</f>
        <v>705.91965901557091</v>
      </c>
      <c r="BI228" s="893">
        <f>IF(ISNUMBER('Base de datos Rutas'!DC226),'Base de datos Rutas'!DC226,"")</f>
        <v>34.293371140855413</v>
      </c>
      <c r="BJ228" s="805" t="str">
        <f t="shared" si="144"/>
        <v>Ruta (completo)</v>
      </c>
      <c r="BK228" s="783">
        <f t="shared" si="132"/>
        <v>5</v>
      </c>
      <c r="BL228" s="797">
        <f t="shared" si="133"/>
        <v>5</v>
      </c>
      <c r="BM228" s="797">
        <f t="shared" si="134"/>
        <v>5</v>
      </c>
      <c r="BN228" s="797">
        <f t="shared" si="135"/>
        <v>5</v>
      </c>
      <c r="BO228" s="798" cm="1">
        <f t="array" ref="BO228">SUMPRODUCT(--ISNUMBER($BF228:$BI228),$BK$3:$BN$3)</f>
        <v>1</v>
      </c>
      <c r="BP228" s="831">
        <f t="shared" si="145"/>
        <v>100</v>
      </c>
      <c r="BQ228" s="834" t="str">
        <f t="shared" si="146"/>
        <v>Alto</v>
      </c>
      <c r="BR228" s="836">
        <f t="shared" si="136"/>
        <v>22.039448894345703</v>
      </c>
      <c r="BS228" s="836">
        <f t="shared" si="137"/>
        <v>100</v>
      </c>
      <c r="BT228" s="837" t="str">
        <f t="shared" si="138"/>
        <v>P3</v>
      </c>
      <c r="BU228" s="807" t="str">
        <f t="shared" si="147"/>
        <v>Con espacio</v>
      </c>
      <c r="BV228" s="807" t="str">
        <f t="shared" si="139"/>
        <v>Zona atractiva</v>
      </c>
      <c r="BW228" s="808" t="str">
        <f t="shared" si="140"/>
        <v>P3 - Desarrollar</v>
      </c>
    </row>
    <row r="229" spans="1:75">
      <c r="A229" s="780" t="str">
        <f>'Base de datos Rutas'!A227</f>
        <v>Norte</v>
      </c>
      <c r="B229" s="781" t="str">
        <f>'Base de datos Rutas'!B227</f>
        <v>Zacatecas</v>
      </c>
      <c r="C229" s="781" t="str">
        <f>'Base de datos Rutas'!C227</f>
        <v>Planta Zacatecas</v>
      </c>
      <c r="D229" s="782">
        <f>IF(ISNUMBER('Base de datos Rutas'!D227),'Base de datos Rutas'!D227,"Sin código")</f>
        <v>946404</v>
      </c>
      <c r="E229" s="783" t="str">
        <f>'Base de datos Rutas'!F227</f>
        <v>Activa</v>
      </c>
      <c r="F229" s="784" t="str">
        <f>'Base de datos Rutas'!H227</f>
        <v>Sí</v>
      </c>
      <c r="G229" s="785">
        <f>IF(ISNUMBER('Base de datos Rutas'!BE227),'Base de datos Rutas'!BE227,"")</f>
        <v>71.525229357798196</v>
      </c>
      <c r="H229" s="786">
        <f>IF(ISNUMBER('Base de datos Rutas'!BH227),'Base de datos Rutas'!BH227,"")</f>
        <v>0.56947250280583595</v>
      </c>
      <c r="I229" s="788">
        <f>IFERROR(IF(OR(NOT(ISNUMBER('Base de datos Rutas'!O227)),N('Base de datos Rutas'!BK227)=0),"",'Base de datos Rutas'!O227/('Base de datos Rutas'!L227/'Base de datos Rutas'!BK227)),"")</f>
        <v>3884.6743119266021</v>
      </c>
      <c r="J229" s="788">
        <f>IFERROR(IF(OR(NOT(ISNUMBER('Base de datos Rutas'!N227)),N('Base de datos Rutas'!BK227)=0),"",'Base de datos Rutas'!N227/('Base de datos Rutas'!L227/'Base de datos Rutas'!BK227)),"")</f>
        <v>6579.8761467889844</v>
      </c>
      <c r="K229" s="788">
        <f>IFERROR(IF(OR(NOT(ISNUMBER('Base de datos Rutas'!J227)),N('Base de datos Rutas'!BK227)=0),"",'Base de datos Rutas'!J227/('Base de datos Rutas'!L227/'Base de datos Rutas'!BK227)),"")</f>
        <v>463.22791559632986</v>
      </c>
      <c r="L229" s="788">
        <f>IFERROR(IF(OR(NOT(ISNUMBER('Base de datos Rutas'!K227)),N('Base de datos Rutas'!BK227)=0),"",'Base de datos Rutas'!K227/('Base de datos Rutas'!L227/'Base de datos Rutas'!BK227)),"")</f>
        <v>29.924904064220154</v>
      </c>
      <c r="M229" s="787">
        <f>IF(ISNUMBER('Base de datos Rutas'!AX227),'Base de datos Rutas'!AX227,"")</f>
        <v>256.914124106087</v>
      </c>
      <c r="N229" s="790">
        <f>IFERROR(INDEX('Hoja de apoyo v2'!B$17:B$20,MATCH($A229,'Hoja de apoyo v2'!$A$17:$A$20,0)),"")</f>
        <v>74.190366972477051</v>
      </c>
      <c r="O229" s="791">
        <f>IFERROR(INDEX('Hoja de apoyo v2'!C$17:C$20,MATCH($A229,'Hoja de apoyo v2'!$A$17:$A$20,0)),"")</f>
        <v>0.71677657005077755</v>
      </c>
      <c r="P229" s="793">
        <f>IFERROR(INDEX('Hoja de apoyo v2'!D$17:D$20,MATCH($A229,'Hoja de apoyo v2'!$A$17:$A$20,0)),"")</f>
        <v>8755.1153350385739</v>
      </c>
      <c r="Q229" s="793">
        <f>IFERROR(INDEX('Hoja de apoyo v2'!E$17:E$20,MATCH($A229,'Hoja de apoyo v2'!$A$17:$A$20,0)),"")</f>
        <v>6098.2042779326393</v>
      </c>
      <c r="R229" s="793">
        <f>IFERROR(INDEX('Hoja de apoyo v2'!F$17:F$20,MATCH($A229,'Hoja de apoyo v2'!$A$17:$A$20,0)),"")</f>
        <v>389.08889713610301</v>
      </c>
      <c r="S229" s="793">
        <f>IFERROR(INDEX('Hoja de apoyo v2'!G$17:G$20,MATCH($A229,'Hoja de apoyo v2'!$A$17:$A$20,0)),"")</f>
        <v>67.90575167807188</v>
      </c>
      <c r="T229" s="792">
        <f>IFERROR(INDEX('Hoja de apoyo v2'!H$17:H$20,MATCH($A229,'Hoja de apoyo v2'!$A$17:$A$20,0)),"")</f>
        <v>258.90325471200998</v>
      </c>
      <c r="U229" s="794">
        <f t="shared" si="112"/>
        <v>0.96407703960181834</v>
      </c>
      <c r="V229" s="795">
        <f t="shared" si="113"/>
        <v>0.79449095659682856</v>
      </c>
      <c r="W229" s="795">
        <f t="shared" si="114"/>
        <v>0.44370338519469504</v>
      </c>
      <c r="X229" s="843">
        <f t="shared" si="115"/>
        <v>1.0789858533600383</v>
      </c>
      <c r="Y229" s="843">
        <f t="shared" si="116"/>
        <v>1.1905451916154088</v>
      </c>
      <c r="Z229" s="843">
        <f t="shared" si="117"/>
        <v>0.44068290718713155</v>
      </c>
      <c r="AA229" s="843">
        <f t="shared" si="118"/>
        <v>0.9923170892226304</v>
      </c>
      <c r="AB229" s="796">
        <f t="shared" si="119"/>
        <v>3</v>
      </c>
      <c r="AC229" s="797">
        <f t="shared" si="120"/>
        <v>3</v>
      </c>
      <c r="AD229" s="797">
        <f t="shared" si="121"/>
        <v>1</v>
      </c>
      <c r="AE229" s="842">
        <f t="shared" si="122"/>
        <v>4</v>
      </c>
      <c r="AF229" s="842">
        <f t="shared" si="123"/>
        <v>4</v>
      </c>
      <c r="AG229" s="842">
        <f t="shared" si="124"/>
        <v>1</v>
      </c>
      <c r="AH229" s="842">
        <f t="shared" si="125"/>
        <v>3</v>
      </c>
      <c r="AI229" s="826" cm="1">
        <f t="array" ref="AI229">SUMPRODUCT(--ISNUMBER($U229:$AA229),$AB$3:$AH$3)</f>
        <v>1</v>
      </c>
      <c r="AJ229" s="829">
        <f t="shared" si="126"/>
        <v>37.32901568348305</v>
      </c>
      <c r="AK229" s="827" t="str">
        <f t="shared" si="127"/>
        <v>Inmadura</v>
      </c>
      <c r="AL229" s="784" t="str">
        <f t="shared" si="128"/>
        <v>Alta</v>
      </c>
      <c r="AM229" s="799">
        <f>IF(ISNUMBER('Base de datos Rutas'!W227),'Base de datos Rutas'!W227,"")</f>
        <v>2865.9870486706945</v>
      </c>
      <c r="AN229" s="787">
        <f>IFERROR(SUMIFS('Base de datos Rutas'!$W$6:$W$794,'Base de datos Rutas'!$C$6:$C$794,$C229)/'Base de datos Rutas'!I227,"")</f>
        <v>2865.9870486706936</v>
      </c>
      <c r="AO229" s="800">
        <f>IFERROR('Base de datos Rutas'!X227*AN229/AM229,"")</f>
        <v>0.47181486591992339</v>
      </c>
      <c r="AP229" s="800">
        <f t="shared" si="129"/>
        <v>0.52818513408007661</v>
      </c>
      <c r="AQ229" s="789">
        <f>IFERROR(INDEX('Hoja de apoyo v2'!$J$17:$J$20,MATCH($A229,'Hoja de apoyo v2'!$A$17:$A$20,0)),"")</f>
        <v>0.62197445417222763</v>
      </c>
      <c r="AR229" s="789">
        <f t="shared" si="130"/>
        <v>-9.3789320092151018E-2</v>
      </c>
      <c r="AS229" s="784" t="str">
        <f t="shared" si="131"/>
        <v>No</v>
      </c>
      <c r="AT229" s="801">
        <f>IF(ISNUMBER('Base de datos Rutas'!CK227),'Base de datos Rutas'!CK227,"")</f>
        <v>317</v>
      </c>
      <c r="AU229" s="802">
        <f>IF(ISNUMBER('Base de datos Rutas'!CL227),'Base de datos Rutas'!CL227,"")</f>
        <v>474.26</v>
      </c>
      <c r="AV229" s="802">
        <f>IF(ISNUMBER('Base de datos Rutas'!CM227),'Base de datos Rutas'!CM227,"")</f>
        <v>157.26</v>
      </c>
      <c r="AW229" s="802">
        <f>IF(ISNUMBER('Base de datos Rutas'!CN227),'Base de datos Rutas'!CN227,"")</f>
        <v>8.42</v>
      </c>
      <c r="AX229" s="802">
        <f>IF(ISNUMBER('Base de datos Rutas'!CO227),'Base de datos Rutas'!CO227,"")</f>
        <v>9.4499999999999993</v>
      </c>
      <c r="AY229" s="802">
        <f>IF(ISNUMBER('Base de datos Rutas'!CP227),'Base de datos Rutas'!CP227,"")</f>
        <v>1.0299999999999994</v>
      </c>
      <c r="AZ229" s="802">
        <f>IF(ISNUMBER('Base de datos Rutas'!CQ227),'Base de datos Rutas'!CQ227,"")</f>
        <v>929.55</v>
      </c>
      <c r="BA229" s="802">
        <f>IF(ISNUMBER('Base de datos Rutas'!CR227),'Base de datos Rutas'!CR227,"")</f>
        <v>493.15</v>
      </c>
      <c r="BB229" s="803">
        <f>IF(ISNUMBER('Base de datos Rutas'!CS227),'Base de datos Rutas'!CS227,"")</f>
        <v>436.4</v>
      </c>
      <c r="BC229" s="804">
        <f t="shared" si="141"/>
        <v>0</v>
      </c>
      <c r="BD229" s="805" t="str">
        <f t="shared" si="142"/>
        <v>No saturada</v>
      </c>
      <c r="BE229" s="806">
        <f t="shared" si="143"/>
        <v>0.5305255231025765</v>
      </c>
      <c r="BF229" s="890">
        <f>IF(ISNUMBER('Base de datos Rutas'!CX227),'Base de datos Rutas'!CX227/100,"")</f>
        <v>0.19767020485430328</v>
      </c>
      <c r="BG229" s="891">
        <f>IF(ISNUMBER('Base de datos Rutas'!CZ227),'Base de datos Rutas'!CZ227/100,"")</f>
        <v>0.20830234602122913</v>
      </c>
      <c r="BH229" s="892">
        <f>IF(ISNUMBER('Base de datos Rutas'!DA227),'Base de datos Rutas'!DA227,"")</f>
        <v>90.201381966864361</v>
      </c>
      <c r="BI229" s="893">
        <f>IF(ISNUMBER('Base de datos Rutas'!DC227),'Base de datos Rutas'!DC227,"")</f>
        <v>4.1215151462444464</v>
      </c>
      <c r="BJ229" s="805" t="str">
        <f t="shared" si="144"/>
        <v>Ruta (completo)</v>
      </c>
      <c r="BK229" s="783">
        <f t="shared" si="132"/>
        <v>1</v>
      </c>
      <c r="BL229" s="797">
        <f t="shared" si="133"/>
        <v>1</v>
      </c>
      <c r="BM229" s="797">
        <f t="shared" si="134"/>
        <v>1</v>
      </c>
      <c r="BN229" s="797">
        <f t="shared" si="135"/>
        <v>1</v>
      </c>
      <c r="BO229" s="798" cm="1">
        <f t="array" ref="BO229">SUMPRODUCT(--ISNUMBER($BF229:$BI229),$BK$3:$BN$3)</f>
        <v>1</v>
      </c>
      <c r="BP229" s="831">
        <f t="shared" si="145"/>
        <v>0</v>
      </c>
      <c r="BQ229" s="834" t="str">
        <f t="shared" si="146"/>
        <v>Bajo</v>
      </c>
      <c r="BR229" s="836">
        <f t="shared" si="136"/>
        <v>27.996761762612287</v>
      </c>
      <c r="BS229" s="836">
        <f t="shared" si="137"/>
        <v>0</v>
      </c>
      <c r="BT229" s="837" t="str">
        <f t="shared" si="138"/>
        <v>P4</v>
      </c>
      <c r="BU229" s="807" t="str">
        <f t="shared" si="147"/>
        <v>Con espacio</v>
      </c>
      <c r="BV229" s="807" t="str">
        <f t="shared" si="139"/>
        <v>Zona de bajo potencial</v>
      </c>
      <c r="BW229" s="808" t="str">
        <f t="shared" si="140"/>
        <v>P4 - Evaluar</v>
      </c>
    </row>
    <row r="230" spans="1:75">
      <c r="A230" s="780" t="str">
        <f>'Base de datos Rutas'!A228</f>
        <v>Norte</v>
      </c>
      <c r="B230" s="781" t="str">
        <f>'Base de datos Rutas'!B228</f>
        <v>Zacatecas</v>
      </c>
      <c r="C230" s="781" t="str">
        <f>'Base de datos Rutas'!C228</f>
        <v>Planta Zacatecas</v>
      </c>
      <c r="D230" s="782">
        <f>IF(ISNUMBER('Base de datos Rutas'!D228),'Base de datos Rutas'!D228,"Sin código")</f>
        <v>946405</v>
      </c>
      <c r="E230" s="783" t="str">
        <f>'Base de datos Rutas'!F228</f>
        <v>Activa</v>
      </c>
      <c r="F230" s="784" t="str">
        <f>'Base de datos Rutas'!H228</f>
        <v>Sí</v>
      </c>
      <c r="G230" s="785">
        <f>IF(ISNUMBER('Base de datos Rutas'!BE228),'Base de datos Rutas'!BE228,"")</f>
        <v>64.396788990825698</v>
      </c>
      <c r="H230" s="786">
        <f>IF(ISNUMBER('Base de datos Rutas'!BH228),'Base de datos Rutas'!BH228,"")</f>
        <v>0.52836841542899904</v>
      </c>
      <c r="I230" s="788">
        <f>IFERROR(IF(OR(NOT(ISNUMBER('Base de datos Rutas'!O228)),N('Base de datos Rutas'!BK228)=0),"",'Base de datos Rutas'!O228/('Base de datos Rutas'!L228/'Base de datos Rutas'!BK228)),"")</f>
        <v>2020.4678899082548</v>
      </c>
      <c r="J230" s="788">
        <f>IFERROR(IF(OR(NOT(ISNUMBER('Base de datos Rutas'!N228)),N('Base de datos Rutas'!BK228)=0),"",'Base de datos Rutas'!N228/('Base de datos Rutas'!L228/'Base de datos Rutas'!BK228)),"")</f>
        <v>5582.2408256880672</v>
      </c>
      <c r="K230" s="788">
        <f>IFERROR(IF(OR(NOT(ISNUMBER('Base de datos Rutas'!J228)),N('Base de datos Rutas'!BK228)=0),"",'Base de datos Rutas'!J228/('Base de datos Rutas'!L228/'Base de datos Rutas'!BK228)),"")</f>
        <v>379.3851009174308</v>
      </c>
      <c r="L230" s="788">
        <f>IFERROR(IF(OR(NOT(ISNUMBER('Base de datos Rutas'!K228)),N('Base de datos Rutas'!BK228)=0),"",'Base de datos Rutas'!K228/('Base de datos Rutas'!L228/'Base de datos Rutas'!BK228)),"")</f>
        <v>15.489292286697232</v>
      </c>
      <c r="M230" s="787">
        <f>IF(ISNUMBER('Base de datos Rutas'!AX228),'Base de datos Rutas'!AX228,"")</f>
        <v>223.44306909336001</v>
      </c>
      <c r="N230" s="790">
        <f>IFERROR(INDEX('Hoja de apoyo v2'!B$17:B$20,MATCH($A230,'Hoja de apoyo v2'!$A$17:$A$20,0)),"")</f>
        <v>74.190366972477051</v>
      </c>
      <c r="O230" s="791">
        <f>IFERROR(INDEX('Hoja de apoyo v2'!C$17:C$20,MATCH($A230,'Hoja de apoyo v2'!$A$17:$A$20,0)),"")</f>
        <v>0.71677657005077755</v>
      </c>
      <c r="P230" s="793">
        <f>IFERROR(INDEX('Hoja de apoyo v2'!D$17:D$20,MATCH($A230,'Hoja de apoyo v2'!$A$17:$A$20,0)),"")</f>
        <v>8755.1153350385739</v>
      </c>
      <c r="Q230" s="793">
        <f>IFERROR(INDEX('Hoja de apoyo v2'!E$17:E$20,MATCH($A230,'Hoja de apoyo v2'!$A$17:$A$20,0)),"")</f>
        <v>6098.2042779326393</v>
      </c>
      <c r="R230" s="793">
        <f>IFERROR(INDEX('Hoja de apoyo v2'!F$17:F$20,MATCH($A230,'Hoja de apoyo v2'!$A$17:$A$20,0)),"")</f>
        <v>389.08889713610301</v>
      </c>
      <c r="S230" s="793">
        <f>IFERROR(INDEX('Hoja de apoyo v2'!G$17:G$20,MATCH($A230,'Hoja de apoyo v2'!$A$17:$A$20,0)),"")</f>
        <v>67.90575167807188</v>
      </c>
      <c r="T230" s="792">
        <f>IFERROR(INDEX('Hoja de apoyo v2'!H$17:H$20,MATCH($A230,'Hoja de apoyo v2'!$A$17:$A$20,0)),"")</f>
        <v>258.90325471200998</v>
      </c>
      <c r="U230" s="794">
        <f t="shared" si="112"/>
        <v>0.86799394070547531</v>
      </c>
      <c r="V230" s="795">
        <f t="shared" si="113"/>
        <v>0.73714521024531898</v>
      </c>
      <c r="W230" s="795">
        <f t="shared" si="114"/>
        <v>0.23077570227112867</v>
      </c>
      <c r="X230" s="843">
        <f t="shared" si="115"/>
        <v>0.91539092022356949</v>
      </c>
      <c r="Y230" s="843">
        <f t="shared" si="116"/>
        <v>0.97506020785970193</v>
      </c>
      <c r="Z230" s="843">
        <f t="shared" si="117"/>
        <v>0.22809985758097473</v>
      </c>
      <c r="AA230" s="843">
        <f t="shared" si="118"/>
        <v>0.8630369260591414</v>
      </c>
      <c r="AB230" s="796">
        <f t="shared" si="119"/>
        <v>3</v>
      </c>
      <c r="AC230" s="797">
        <f t="shared" si="120"/>
        <v>2</v>
      </c>
      <c r="AD230" s="797">
        <f t="shared" si="121"/>
        <v>1</v>
      </c>
      <c r="AE230" s="842">
        <f t="shared" si="122"/>
        <v>3</v>
      </c>
      <c r="AF230" s="842">
        <f t="shared" si="123"/>
        <v>3</v>
      </c>
      <c r="AG230" s="842">
        <f t="shared" si="124"/>
        <v>1</v>
      </c>
      <c r="AH230" s="842">
        <f t="shared" si="125"/>
        <v>3</v>
      </c>
      <c r="AI230" s="826" cm="1">
        <f t="array" ref="AI230">SUMPRODUCT(--ISNUMBER($U230:$AA230),$AB$3:$AH$3)</f>
        <v>1</v>
      </c>
      <c r="AJ230" s="829">
        <f t="shared" si="126"/>
        <v>28.610617939334084</v>
      </c>
      <c r="AK230" s="827" t="str">
        <f t="shared" si="127"/>
        <v>Inmadura</v>
      </c>
      <c r="AL230" s="784" t="str">
        <f t="shared" si="128"/>
        <v>Alta</v>
      </c>
      <c r="AM230" s="799">
        <f>IF(ISNUMBER('Base de datos Rutas'!W228),'Base de datos Rutas'!W228,"")</f>
        <v>2865.9870486706945</v>
      </c>
      <c r="AN230" s="787">
        <f>IFERROR(SUMIFS('Base de datos Rutas'!$W$6:$W$794,'Base de datos Rutas'!$C$6:$C$794,$C230)/'Base de datos Rutas'!I228,"")</f>
        <v>2865.9870486706936</v>
      </c>
      <c r="AO230" s="800">
        <f>IFERROR('Base de datos Rutas'!X228*AN230/AM230,"")</f>
        <v>0.47181486591992339</v>
      </c>
      <c r="AP230" s="800">
        <f t="shared" si="129"/>
        <v>0.52818513408007661</v>
      </c>
      <c r="AQ230" s="789">
        <f>IFERROR(INDEX('Hoja de apoyo v2'!$J$17:$J$20,MATCH($A230,'Hoja de apoyo v2'!$A$17:$A$20,0)),"")</f>
        <v>0.62197445417222763</v>
      </c>
      <c r="AR230" s="789">
        <f t="shared" si="130"/>
        <v>-9.3789320092151018E-2</v>
      </c>
      <c r="AS230" s="784" t="str">
        <f t="shared" si="131"/>
        <v>No</v>
      </c>
      <c r="AT230" s="801">
        <f>IF(ISNUMBER('Base de datos Rutas'!CK228),'Base de datos Rutas'!CK228,"")</f>
        <v>266</v>
      </c>
      <c r="AU230" s="802">
        <f>IF(ISNUMBER('Base de datos Rutas'!CL228),'Base de datos Rutas'!CL228,"")</f>
        <v>638.25</v>
      </c>
      <c r="AV230" s="802">
        <f>IF(ISNUMBER('Base de datos Rutas'!CM228),'Base de datos Rutas'!CM228,"")</f>
        <v>372.25</v>
      </c>
      <c r="AW230" s="802">
        <f>IF(ISNUMBER('Base de datos Rutas'!CN228),'Base de datos Rutas'!CN228,"")</f>
        <v>5.59</v>
      </c>
      <c r="AX230" s="802">
        <f>IF(ISNUMBER('Base de datos Rutas'!CO228),'Base de datos Rutas'!CO228,"")</f>
        <v>9.4499999999999993</v>
      </c>
      <c r="AY230" s="802">
        <f>IF(ISNUMBER('Base de datos Rutas'!CP228),'Base de datos Rutas'!CP228,"")</f>
        <v>3.8599999999999994</v>
      </c>
      <c r="AZ230" s="802">
        <f>IF(ISNUMBER('Base de datos Rutas'!CQ228),'Base de datos Rutas'!CQ228,"")</f>
        <v>929.55</v>
      </c>
      <c r="BA230" s="802">
        <f>IF(ISNUMBER('Base de datos Rutas'!CR228),'Base de datos Rutas'!CR228,"")</f>
        <v>394.87</v>
      </c>
      <c r="BB230" s="803">
        <f>IF(ISNUMBER('Base de datos Rutas'!CS228),'Base de datos Rutas'!CS228,"")</f>
        <v>534.67999999999995</v>
      </c>
      <c r="BC230" s="804">
        <f t="shared" si="141"/>
        <v>0</v>
      </c>
      <c r="BD230" s="805" t="str">
        <f t="shared" si="142"/>
        <v>No saturada</v>
      </c>
      <c r="BE230" s="806">
        <f t="shared" si="143"/>
        <v>0.42479694475821639</v>
      </c>
      <c r="BF230" s="890">
        <f>IF(ISNUMBER('Base de datos Rutas'!CX228),'Base de datos Rutas'!CX228/100,"")</f>
        <v>0.78441208198489742</v>
      </c>
      <c r="BG230" s="891">
        <f>IF(ISNUMBER('Base de datos Rutas'!CZ228),'Base de datos Rutas'!CZ228/100,"")</f>
        <v>0.86472491909385107</v>
      </c>
      <c r="BH230" s="892">
        <f>IF(ISNUMBER('Base de datos Rutas'!DA228),'Base de datos Rutas'!DA228,"")</f>
        <v>863.79367916521051</v>
      </c>
      <c r="BI230" s="893">
        <f>IF(ISNUMBER('Base de datos Rutas'!DC228),'Base de datos Rutas'!DC228,"")</f>
        <v>30.845741674571869</v>
      </c>
      <c r="BJ230" s="805" t="str">
        <f t="shared" si="144"/>
        <v>Ruta (completo)</v>
      </c>
      <c r="BK230" s="783">
        <f t="shared" si="132"/>
        <v>4</v>
      </c>
      <c r="BL230" s="797">
        <f t="shared" si="133"/>
        <v>5</v>
      </c>
      <c r="BM230" s="797">
        <f t="shared" si="134"/>
        <v>5</v>
      </c>
      <c r="BN230" s="797">
        <f t="shared" si="135"/>
        <v>5</v>
      </c>
      <c r="BO230" s="798" cm="1">
        <f t="array" ref="BO230">SUMPRODUCT(--ISNUMBER($BF230:$BI230),$BK$3:$BN$3)</f>
        <v>1</v>
      </c>
      <c r="BP230" s="831">
        <f t="shared" si="145"/>
        <v>93.75</v>
      </c>
      <c r="BQ230" s="834" t="str">
        <f t="shared" si="146"/>
        <v>Alto</v>
      </c>
      <c r="BR230" s="836">
        <f t="shared" si="136"/>
        <v>21.457963454500565</v>
      </c>
      <c r="BS230" s="836">
        <f t="shared" si="137"/>
        <v>93.75</v>
      </c>
      <c r="BT230" s="837" t="str">
        <f t="shared" si="138"/>
        <v>P3</v>
      </c>
      <c r="BU230" s="807" t="str">
        <f t="shared" si="147"/>
        <v>Con espacio</v>
      </c>
      <c r="BV230" s="807" t="str">
        <f t="shared" si="139"/>
        <v>Zona atractiva</v>
      </c>
      <c r="BW230" s="808" t="str">
        <f t="shared" si="140"/>
        <v>P3 - Desarrollar</v>
      </c>
    </row>
    <row r="231" spans="1:75">
      <c r="A231" s="780" t="str">
        <f>'Base de datos Rutas'!A229</f>
        <v>Norte</v>
      </c>
      <c r="B231" s="781" t="str">
        <f>'Base de datos Rutas'!B229</f>
        <v>Zacatecas</v>
      </c>
      <c r="C231" s="781" t="str">
        <f>'Base de datos Rutas'!C229</f>
        <v>Planta Zacatecas</v>
      </c>
      <c r="D231" s="782">
        <f>IF(ISNUMBER('Base de datos Rutas'!D229),'Base de datos Rutas'!D229,"Sin código")</f>
        <v>946406</v>
      </c>
      <c r="E231" s="783" t="str">
        <f>'Base de datos Rutas'!F229</f>
        <v>Activa</v>
      </c>
      <c r="F231" s="784" t="str">
        <f>'Base de datos Rutas'!H229</f>
        <v>Sí</v>
      </c>
      <c r="G231" s="785">
        <f>IF(ISNUMBER('Base de datos Rutas'!BE229),'Base de datos Rutas'!BE229,"")</f>
        <v>73.203661327231103</v>
      </c>
      <c r="H231" s="786">
        <f>IF(ISNUMBER('Base de datos Rutas'!BH229),'Base de datos Rutas'!BH229,"")</f>
        <v>0.629853079087215</v>
      </c>
      <c r="I231" s="788">
        <f>IFERROR(IF(OR(NOT(ISNUMBER('Base de datos Rutas'!O229)),N('Base de datos Rutas'!BK229)=0),"",'Base de datos Rutas'!O229/('Base de datos Rutas'!L229/'Base de datos Rutas'!BK229)),"")</f>
        <v>2819.114416475968</v>
      </c>
      <c r="J231" s="788">
        <f>IFERROR(IF(OR(NOT(ISNUMBER('Base de datos Rutas'!N229)),N('Base de datos Rutas'!BK229)=0),"",'Base de datos Rutas'!N229/('Base de datos Rutas'!L229/'Base de datos Rutas'!BK229)),"")</f>
        <v>8089.1212814645187</v>
      </c>
      <c r="K231" s="788">
        <f>IFERROR(IF(OR(NOT(ISNUMBER('Base de datos Rutas'!J229)),N('Base de datos Rutas'!BK229)=0),"",'Base de datos Rutas'!J229/('Base de datos Rutas'!L229/'Base de datos Rutas'!BK229)),"")</f>
        <v>562.57644851258488</v>
      </c>
      <c r="L231" s="788">
        <f>IFERROR(IF(OR(NOT(ISNUMBER('Base de datos Rutas'!K229)),N('Base de datos Rutas'!BK229)=0),"",'Base de datos Rutas'!K229/('Base de datos Rutas'!L229/'Base de datos Rutas'!BK229)),"")</f>
        <v>19.259746556064041</v>
      </c>
      <c r="M231" s="787">
        <f>IF(ISNUMBER('Base de datos Rutas'!AX229),'Base de datos Rutas'!AX229,"")</f>
        <v>236.58238374112901</v>
      </c>
      <c r="N231" s="790">
        <f>IFERROR(INDEX('Hoja de apoyo v2'!B$17:B$20,MATCH($A231,'Hoja de apoyo v2'!$A$17:$A$20,0)),"")</f>
        <v>74.190366972477051</v>
      </c>
      <c r="O231" s="791">
        <f>IFERROR(INDEX('Hoja de apoyo v2'!C$17:C$20,MATCH($A231,'Hoja de apoyo v2'!$A$17:$A$20,0)),"")</f>
        <v>0.71677657005077755</v>
      </c>
      <c r="P231" s="793">
        <f>IFERROR(INDEX('Hoja de apoyo v2'!D$17:D$20,MATCH($A231,'Hoja de apoyo v2'!$A$17:$A$20,0)),"")</f>
        <v>8755.1153350385739</v>
      </c>
      <c r="Q231" s="793">
        <f>IFERROR(INDEX('Hoja de apoyo v2'!E$17:E$20,MATCH($A231,'Hoja de apoyo v2'!$A$17:$A$20,0)),"")</f>
        <v>6098.2042779326393</v>
      </c>
      <c r="R231" s="793">
        <f>IFERROR(INDEX('Hoja de apoyo v2'!F$17:F$20,MATCH($A231,'Hoja de apoyo v2'!$A$17:$A$20,0)),"")</f>
        <v>389.08889713610301</v>
      </c>
      <c r="S231" s="793">
        <f>IFERROR(INDEX('Hoja de apoyo v2'!G$17:G$20,MATCH($A231,'Hoja de apoyo v2'!$A$17:$A$20,0)),"")</f>
        <v>67.90575167807188</v>
      </c>
      <c r="T231" s="792">
        <f>IFERROR(INDEX('Hoja de apoyo v2'!H$17:H$20,MATCH($A231,'Hoja de apoyo v2'!$A$17:$A$20,0)),"")</f>
        <v>258.90325471200998</v>
      </c>
      <c r="U231" s="794">
        <f t="shared" si="112"/>
        <v>0.98670035362391462</v>
      </c>
      <c r="V231" s="795">
        <f t="shared" si="113"/>
        <v>0.87873000514315813</v>
      </c>
      <c r="W231" s="795">
        <f t="shared" si="114"/>
        <v>0.32199626259561404</v>
      </c>
      <c r="X231" s="843">
        <f t="shared" si="115"/>
        <v>1.3264759448509034</v>
      </c>
      <c r="Y231" s="843">
        <f t="shared" si="116"/>
        <v>1.445881526441491</v>
      </c>
      <c r="Z231" s="843">
        <f t="shared" si="117"/>
        <v>0.28362467213927323</v>
      </c>
      <c r="AA231" s="843">
        <f t="shared" si="118"/>
        <v>0.91378682745526119</v>
      </c>
      <c r="AB231" s="796">
        <f t="shared" si="119"/>
        <v>3</v>
      </c>
      <c r="AC231" s="797">
        <f t="shared" si="120"/>
        <v>3</v>
      </c>
      <c r="AD231" s="797">
        <f t="shared" si="121"/>
        <v>1</v>
      </c>
      <c r="AE231" s="842">
        <f t="shared" si="122"/>
        <v>5</v>
      </c>
      <c r="AF231" s="842">
        <f t="shared" si="123"/>
        <v>5</v>
      </c>
      <c r="AG231" s="842">
        <f t="shared" si="124"/>
        <v>1</v>
      </c>
      <c r="AH231" s="842">
        <f t="shared" si="125"/>
        <v>3</v>
      </c>
      <c r="AI231" s="826" cm="1">
        <f t="array" ref="AI231">SUMPRODUCT(--ISNUMBER($U231:$AA231),$AB$3:$AH$3)</f>
        <v>1</v>
      </c>
      <c r="AJ231" s="829">
        <f t="shared" si="126"/>
        <v>43.664507841741532</v>
      </c>
      <c r="AK231" s="827" t="str">
        <f t="shared" si="127"/>
        <v>Inmadura</v>
      </c>
      <c r="AL231" s="784" t="str">
        <f t="shared" si="128"/>
        <v>Alta</v>
      </c>
      <c r="AM231" s="799">
        <f>IF(ISNUMBER('Base de datos Rutas'!W229),'Base de datos Rutas'!W229,"")</f>
        <v>2865.9870486706945</v>
      </c>
      <c r="AN231" s="787">
        <f>IFERROR(SUMIFS('Base de datos Rutas'!$W$6:$W$794,'Base de datos Rutas'!$C$6:$C$794,$C231)/'Base de datos Rutas'!I229,"")</f>
        <v>2865.9870486706936</v>
      </c>
      <c r="AO231" s="800">
        <f>IFERROR('Base de datos Rutas'!X229*AN231/AM231,"")</f>
        <v>0.47181486591992339</v>
      </c>
      <c r="AP231" s="800">
        <f t="shared" si="129"/>
        <v>0.52818513408007661</v>
      </c>
      <c r="AQ231" s="789">
        <f>IFERROR(INDEX('Hoja de apoyo v2'!$J$17:$J$20,MATCH($A231,'Hoja de apoyo v2'!$A$17:$A$20,0)),"")</f>
        <v>0.62197445417222763</v>
      </c>
      <c r="AR231" s="789">
        <f t="shared" si="130"/>
        <v>-9.3789320092151018E-2</v>
      </c>
      <c r="AS231" s="784" t="str">
        <f t="shared" si="131"/>
        <v>No</v>
      </c>
      <c r="AT231" s="801">
        <f>IF(ISNUMBER('Base de datos Rutas'!CK229),'Base de datos Rutas'!CK229,"")</f>
        <v>389</v>
      </c>
      <c r="AU231" s="802">
        <f>IF(ISNUMBER('Base de datos Rutas'!CL229),'Base de datos Rutas'!CL229,"")</f>
        <v>572.08000000000004</v>
      </c>
      <c r="AV231" s="802">
        <f>IF(ISNUMBER('Base de datos Rutas'!CM229),'Base de datos Rutas'!CM229,"")</f>
        <v>183.08000000000004</v>
      </c>
      <c r="AW231" s="802">
        <f>IF(ISNUMBER('Base de datos Rutas'!CN229),'Base de datos Rutas'!CN229,"")</f>
        <v>6</v>
      </c>
      <c r="AX231" s="802">
        <f>IF(ISNUMBER('Base de datos Rutas'!CO229),'Base de datos Rutas'!CO229,"")</f>
        <v>9.4499999999999993</v>
      </c>
      <c r="AY231" s="802">
        <f>IF(ISNUMBER('Base de datos Rutas'!CP229),'Base de datos Rutas'!CP229,"")</f>
        <v>3.4499999999999993</v>
      </c>
      <c r="AZ231" s="802">
        <f>IF(ISNUMBER('Base de datos Rutas'!CQ229),'Base de datos Rutas'!CQ229,"")</f>
        <v>929.55</v>
      </c>
      <c r="BA231" s="802">
        <f>IF(ISNUMBER('Base de datos Rutas'!CR229),'Base de datos Rutas'!CR229,"")</f>
        <v>581.84</v>
      </c>
      <c r="BB231" s="803">
        <f>IF(ISNUMBER('Base de datos Rutas'!CS229),'Base de datos Rutas'!CS229,"")</f>
        <v>347.70999999999992</v>
      </c>
      <c r="BC231" s="804">
        <f t="shared" si="141"/>
        <v>0</v>
      </c>
      <c r="BD231" s="805" t="str">
        <f t="shared" si="142"/>
        <v>No saturada</v>
      </c>
      <c r="BE231" s="806">
        <f t="shared" si="143"/>
        <v>0.62593728148028627</v>
      </c>
      <c r="BF231" s="890">
        <f>IF(ISNUMBER('Base de datos Rutas'!CX229),'Base de datos Rutas'!CX229/100,"")</f>
        <v>0.62894058577405854</v>
      </c>
      <c r="BG231" s="891">
        <f>IF(ISNUMBER('Base de datos Rutas'!CZ229),'Base de datos Rutas'!CZ229/100,"")</f>
        <v>0.65958158995815896</v>
      </c>
      <c r="BH231" s="892">
        <f>IF(ISNUMBER('Base de datos Rutas'!DA229),'Base de datos Rutas'!DA229,"")</f>
        <v>420.08263614633131</v>
      </c>
      <c r="BI231" s="893">
        <f>IF(ISNUMBER('Base de datos Rutas'!DC229),'Base de datos Rutas'!DC229,"")</f>
        <v>20.745544065682811</v>
      </c>
      <c r="BJ231" s="805" t="str">
        <f t="shared" si="144"/>
        <v>Ruta (completo)</v>
      </c>
      <c r="BK231" s="783">
        <f t="shared" si="132"/>
        <v>3</v>
      </c>
      <c r="BL231" s="797">
        <f t="shared" si="133"/>
        <v>3</v>
      </c>
      <c r="BM231" s="797">
        <f t="shared" si="134"/>
        <v>3</v>
      </c>
      <c r="BN231" s="797">
        <f t="shared" si="135"/>
        <v>4</v>
      </c>
      <c r="BO231" s="798" cm="1">
        <f t="array" ref="BO231">SUMPRODUCT(--ISNUMBER($BF231:$BI231),$BK$3:$BN$3)</f>
        <v>1</v>
      </c>
      <c r="BP231" s="831">
        <f t="shared" si="145"/>
        <v>56.25</v>
      </c>
      <c r="BQ231" s="834" t="str">
        <f t="shared" si="146"/>
        <v>Alto</v>
      </c>
      <c r="BR231" s="836">
        <f t="shared" si="136"/>
        <v>32.748380881306147</v>
      </c>
      <c r="BS231" s="836">
        <f t="shared" si="137"/>
        <v>56.25</v>
      </c>
      <c r="BT231" s="837" t="str">
        <f t="shared" si="138"/>
        <v>P1</v>
      </c>
      <c r="BU231" s="807" t="str">
        <f t="shared" si="147"/>
        <v>Con espacio</v>
      </c>
      <c r="BV231" s="807" t="str">
        <f t="shared" si="139"/>
        <v>Zona atractiva</v>
      </c>
      <c r="BW231" s="808" t="str">
        <f t="shared" si="140"/>
        <v>P1 - Ampliar cobertura</v>
      </c>
    </row>
    <row r="232" spans="1:75">
      <c r="A232" s="780" t="str">
        <f>'Base de datos Rutas'!A230</f>
        <v>Norte</v>
      </c>
      <c r="B232" s="781" t="str">
        <f>'Base de datos Rutas'!B230</f>
        <v>Zacatecas</v>
      </c>
      <c r="C232" s="781" t="str">
        <f>'Base de datos Rutas'!C230</f>
        <v>Planta Zacatecas</v>
      </c>
      <c r="D232" s="782">
        <f>IF(ISNUMBER('Base de datos Rutas'!D230),'Base de datos Rutas'!D230,"Sin código")</f>
        <v>946407</v>
      </c>
      <c r="E232" s="783" t="str">
        <f>'Base de datos Rutas'!F230</f>
        <v>Activa</v>
      </c>
      <c r="F232" s="784" t="str">
        <f>'Base de datos Rutas'!H230</f>
        <v>Sí</v>
      </c>
      <c r="G232" s="785">
        <f>IF(ISNUMBER('Base de datos Rutas'!BE230),'Base de datos Rutas'!BE230,"")</f>
        <v>54.430205949656802</v>
      </c>
      <c r="H232" s="786">
        <f>IF(ISNUMBER('Base de datos Rutas'!BH230),'Base de datos Rutas'!BH230,"")</f>
        <v>0.63772807533843401</v>
      </c>
      <c r="I232" s="788">
        <f>IFERROR(IF(OR(NOT(ISNUMBER('Base de datos Rutas'!O230)),N('Base de datos Rutas'!BK230)=0),"",'Base de datos Rutas'!O230/('Base de datos Rutas'!L230/'Base de datos Rutas'!BK230)),"")</f>
        <v>3720.3524027459989</v>
      </c>
      <c r="J232" s="788">
        <f>IFERROR(IF(OR(NOT(ISNUMBER('Base de datos Rutas'!N230)),N('Base de datos Rutas'!BK230)=0),"",'Base de datos Rutas'!N230/('Base de datos Rutas'!L230/'Base de datos Rutas'!BK230)),"")</f>
        <v>5630.6247139588149</v>
      </c>
      <c r="K232" s="788">
        <f>IFERROR(IF(OR(NOT(ISNUMBER('Base de datos Rutas'!J230)),N('Base de datos Rutas'!BK230)=0),"",'Base de datos Rutas'!J230/('Base de datos Rutas'!L230/'Base de datos Rutas'!BK230)),"")</f>
        <v>392.42115331807815</v>
      </c>
      <c r="L232" s="788">
        <f>IFERROR(IF(OR(NOT(ISNUMBER('Base de datos Rutas'!K230)),N('Base de datos Rutas'!BK230)=0),"",'Base de datos Rutas'!K230/('Base de datos Rutas'!L230/'Base de datos Rutas'!BK230)),"")</f>
        <v>28.669280505720852</v>
      </c>
      <c r="M232" s="787">
        <f>IF(ISNUMBER('Base de datos Rutas'!AX230),'Base de datos Rutas'!AX230,"")</f>
        <v>269.38969740918998</v>
      </c>
      <c r="N232" s="790">
        <f>IFERROR(INDEX('Hoja de apoyo v2'!B$17:B$20,MATCH($A232,'Hoja de apoyo v2'!$A$17:$A$20,0)),"")</f>
        <v>74.190366972477051</v>
      </c>
      <c r="O232" s="791">
        <f>IFERROR(INDEX('Hoja de apoyo v2'!C$17:C$20,MATCH($A232,'Hoja de apoyo v2'!$A$17:$A$20,0)),"")</f>
        <v>0.71677657005077755</v>
      </c>
      <c r="P232" s="793">
        <f>IFERROR(INDEX('Hoja de apoyo v2'!D$17:D$20,MATCH($A232,'Hoja de apoyo v2'!$A$17:$A$20,0)),"")</f>
        <v>8755.1153350385739</v>
      </c>
      <c r="Q232" s="793">
        <f>IFERROR(INDEX('Hoja de apoyo v2'!E$17:E$20,MATCH($A232,'Hoja de apoyo v2'!$A$17:$A$20,0)),"")</f>
        <v>6098.2042779326393</v>
      </c>
      <c r="R232" s="793">
        <f>IFERROR(INDEX('Hoja de apoyo v2'!F$17:F$20,MATCH($A232,'Hoja de apoyo v2'!$A$17:$A$20,0)),"")</f>
        <v>389.08889713610301</v>
      </c>
      <c r="S232" s="793">
        <f>IFERROR(INDEX('Hoja de apoyo v2'!G$17:G$20,MATCH($A232,'Hoja de apoyo v2'!$A$17:$A$20,0)),"")</f>
        <v>67.90575167807188</v>
      </c>
      <c r="T232" s="792">
        <f>IFERROR(INDEX('Hoja de apoyo v2'!H$17:H$20,MATCH($A232,'Hoja de apoyo v2'!$A$17:$A$20,0)),"")</f>
        <v>258.90325471200998</v>
      </c>
      <c r="U232" s="794">
        <f t="shared" si="112"/>
        <v>0.73365597409498162</v>
      </c>
      <c r="V232" s="795">
        <f t="shared" si="113"/>
        <v>0.88971668715853303</v>
      </c>
      <c r="W232" s="795">
        <f t="shared" si="114"/>
        <v>0.42493471078066702</v>
      </c>
      <c r="X232" s="843">
        <f t="shared" si="115"/>
        <v>0.92332504083770395</v>
      </c>
      <c r="Y232" s="843">
        <f t="shared" si="116"/>
        <v>1.0085642540984907</v>
      </c>
      <c r="Z232" s="843">
        <f t="shared" si="117"/>
        <v>0.42219222668554501</v>
      </c>
      <c r="AA232" s="843">
        <f t="shared" si="118"/>
        <v>1.0405033251082323</v>
      </c>
      <c r="AB232" s="796">
        <f t="shared" si="119"/>
        <v>2</v>
      </c>
      <c r="AC232" s="797">
        <f t="shared" si="120"/>
        <v>3</v>
      </c>
      <c r="AD232" s="797">
        <f t="shared" si="121"/>
        <v>1</v>
      </c>
      <c r="AE232" s="842">
        <f t="shared" si="122"/>
        <v>3</v>
      </c>
      <c r="AF232" s="842">
        <f t="shared" si="123"/>
        <v>4</v>
      </c>
      <c r="AG232" s="842">
        <f t="shared" si="124"/>
        <v>1</v>
      </c>
      <c r="AH232" s="842">
        <f t="shared" si="125"/>
        <v>4</v>
      </c>
      <c r="AI232" s="826" cm="1">
        <f t="array" ref="AI232">SUMPRODUCT(--ISNUMBER($U232:$AA232),$AB$3:$AH$3)</f>
        <v>1</v>
      </c>
      <c r="AJ232" s="829">
        <f t="shared" si="126"/>
        <v>31.630659699454167</v>
      </c>
      <c r="AK232" s="827" t="str">
        <f t="shared" si="127"/>
        <v>Inmadura</v>
      </c>
      <c r="AL232" s="784" t="str">
        <f t="shared" si="128"/>
        <v>Alta</v>
      </c>
      <c r="AM232" s="799">
        <f>IF(ISNUMBER('Base de datos Rutas'!W230),'Base de datos Rutas'!W230,"")</f>
        <v>2865.9870486706945</v>
      </c>
      <c r="AN232" s="787">
        <f>IFERROR(SUMIFS('Base de datos Rutas'!$W$6:$W$794,'Base de datos Rutas'!$C$6:$C$794,$C232)/'Base de datos Rutas'!I230,"")</f>
        <v>2865.9870486706936</v>
      </c>
      <c r="AO232" s="800">
        <f>IFERROR('Base de datos Rutas'!X230*AN232/AM232,"")</f>
        <v>0.47181486591992339</v>
      </c>
      <c r="AP232" s="800">
        <f t="shared" si="129"/>
        <v>0.52818513408007661</v>
      </c>
      <c r="AQ232" s="789">
        <f>IFERROR(INDEX('Hoja de apoyo v2'!$J$17:$J$20,MATCH($A232,'Hoja de apoyo v2'!$A$17:$A$20,0)),"")</f>
        <v>0.62197445417222763</v>
      </c>
      <c r="AR232" s="789">
        <f t="shared" si="130"/>
        <v>-9.3789320092151018E-2</v>
      </c>
      <c r="AS232" s="784" t="str">
        <f t="shared" si="131"/>
        <v>No</v>
      </c>
      <c r="AT232" s="801">
        <f>IF(ISNUMBER('Base de datos Rutas'!CK230),'Base de datos Rutas'!CK230,"")</f>
        <v>288</v>
      </c>
      <c r="AU232" s="802">
        <f>IF(ISNUMBER('Base de datos Rutas'!CL230),'Base de datos Rutas'!CL230,"")</f>
        <v>551.51</v>
      </c>
      <c r="AV232" s="802">
        <f>IF(ISNUMBER('Base de datos Rutas'!CM230),'Base de datos Rutas'!CM230,"")</f>
        <v>263.51</v>
      </c>
      <c r="AW232" s="802">
        <f>IF(ISNUMBER('Base de datos Rutas'!CN230),'Base de datos Rutas'!CN230,"")</f>
        <v>5.1100000000000003</v>
      </c>
      <c r="AX232" s="802">
        <f>IF(ISNUMBER('Base de datos Rutas'!CO230),'Base de datos Rutas'!CO230,"")</f>
        <v>9.4499999999999993</v>
      </c>
      <c r="AY232" s="802">
        <f>IF(ISNUMBER('Base de datos Rutas'!CP230),'Base de datos Rutas'!CP230,"")</f>
        <v>4.339999999999999</v>
      </c>
      <c r="AZ232" s="802">
        <f>IF(ISNUMBER('Base de datos Rutas'!CQ230),'Base de datos Rutas'!CQ230,"")</f>
        <v>929.55</v>
      </c>
      <c r="BA232" s="802">
        <f>IF(ISNUMBER('Base de datos Rutas'!CR230),'Base de datos Rutas'!CR230,"")</f>
        <v>421.09</v>
      </c>
      <c r="BB232" s="803">
        <f>IF(ISNUMBER('Base de datos Rutas'!CS230),'Base de datos Rutas'!CS230,"")</f>
        <v>508.46</v>
      </c>
      <c r="BC232" s="804">
        <f t="shared" si="141"/>
        <v>0</v>
      </c>
      <c r="BD232" s="805" t="str">
        <f t="shared" si="142"/>
        <v>No saturada</v>
      </c>
      <c r="BE232" s="806">
        <f t="shared" si="143"/>
        <v>0.4530041417890377</v>
      </c>
      <c r="BF232" s="890">
        <f>IF(ISNUMBER('Base de datos Rutas'!CX230),'Base de datos Rutas'!CX230/100,"")</f>
        <v>0.47399017282277195</v>
      </c>
      <c r="BG232" s="891">
        <f>IF(ISNUMBER('Base de datos Rutas'!CZ230),'Base de datos Rutas'!CZ230/100,"")</f>
        <v>0.518637749915283</v>
      </c>
      <c r="BH232" s="892">
        <f>IF(ISNUMBER('Base de datos Rutas'!DA230),'Base de datos Rutas'!DA230,"")</f>
        <v>368.25055672604537</v>
      </c>
      <c r="BI232" s="893">
        <f>IF(ISNUMBER('Base de datos Rutas'!DC230),'Base de datos Rutas'!DC230,"")</f>
        <v>17.436225064917583</v>
      </c>
      <c r="BJ232" s="805" t="str">
        <f t="shared" si="144"/>
        <v>Ruta (completo)</v>
      </c>
      <c r="BK232" s="783">
        <f t="shared" si="132"/>
        <v>3</v>
      </c>
      <c r="BL232" s="797">
        <f t="shared" si="133"/>
        <v>3</v>
      </c>
      <c r="BM232" s="797">
        <f t="shared" si="134"/>
        <v>3</v>
      </c>
      <c r="BN232" s="797">
        <f t="shared" si="135"/>
        <v>3</v>
      </c>
      <c r="BO232" s="798" cm="1">
        <f t="array" ref="BO232">SUMPRODUCT(--ISNUMBER($BF232:$BI232),$BK$3:$BN$3)</f>
        <v>1</v>
      </c>
      <c r="BP232" s="831">
        <f t="shared" si="145"/>
        <v>50</v>
      </c>
      <c r="BQ232" s="834" t="str">
        <f t="shared" si="146"/>
        <v>Alto</v>
      </c>
      <c r="BR232" s="836">
        <f t="shared" si="136"/>
        <v>23.722994774590624</v>
      </c>
      <c r="BS232" s="836">
        <f t="shared" si="137"/>
        <v>50</v>
      </c>
      <c r="BT232" s="837" t="str">
        <f t="shared" si="138"/>
        <v>P3</v>
      </c>
      <c r="BU232" s="807" t="str">
        <f t="shared" si="147"/>
        <v>Con espacio</v>
      </c>
      <c r="BV232" s="807" t="str">
        <f t="shared" si="139"/>
        <v>Zona atractiva</v>
      </c>
      <c r="BW232" s="808" t="str">
        <f t="shared" si="140"/>
        <v>P3 - Desarrollar</v>
      </c>
    </row>
    <row r="233" spans="1:75">
      <c r="A233" s="780" t="str">
        <f>'Base de datos Rutas'!A231</f>
        <v>Norte</v>
      </c>
      <c r="B233" s="781" t="str">
        <f>'Base de datos Rutas'!B231</f>
        <v>Zacatecas</v>
      </c>
      <c r="C233" s="781" t="str">
        <f>'Base de datos Rutas'!C231</f>
        <v>Planta Zacatecas</v>
      </c>
      <c r="D233" s="782">
        <f>IF(ISNUMBER('Base de datos Rutas'!D231),'Base de datos Rutas'!D231,"Sin código")</f>
        <v>946408</v>
      </c>
      <c r="E233" s="783" t="str">
        <f>'Base de datos Rutas'!F231</f>
        <v>Activa</v>
      </c>
      <c r="F233" s="784" t="str">
        <f>'Base de datos Rutas'!H231</f>
        <v>Sí</v>
      </c>
      <c r="G233" s="785">
        <f>IF(ISNUMBER('Base de datos Rutas'!BE231),'Base de datos Rutas'!BE231,"")</f>
        <v>84.885583524027496</v>
      </c>
      <c r="H233" s="786">
        <f>IF(ISNUMBER('Base de datos Rutas'!BH231),'Base de datos Rutas'!BH231,"")</f>
        <v>0.51546030462326498</v>
      </c>
      <c r="I233" s="788">
        <f>IFERROR(IF(OR(NOT(ISNUMBER('Base de datos Rutas'!O231)),N('Base de datos Rutas'!BK231)=0),"",'Base de datos Rutas'!O231/('Base de datos Rutas'!L231/'Base de datos Rutas'!BK231)),"")</f>
        <v>2908.1830663615519</v>
      </c>
      <c r="J233" s="788">
        <f>IFERROR(IF(OR(NOT(ISNUMBER('Base de datos Rutas'!N231)),N('Base de datos Rutas'!BK231)=0),"",'Base de datos Rutas'!N231/('Base de datos Rutas'!L231/'Base de datos Rutas'!BK231)),"")</f>
        <v>6858.2631578947266</v>
      </c>
      <c r="K233" s="788">
        <f>IFERROR(IF(OR(NOT(ISNUMBER('Base de datos Rutas'!J231)),N('Base de datos Rutas'!BK231)=0),"",'Base de datos Rutas'!J231/('Base de datos Rutas'!L231/'Base de datos Rutas'!BK231)),"")</f>
        <v>477.32953226544555</v>
      </c>
      <c r="L233" s="788">
        <f>IFERROR(IF(OR(NOT(ISNUMBER('Base de datos Rutas'!K231)),N('Base de datos Rutas'!BK231)=0),"",'Base de datos Rutas'!K231/('Base de datos Rutas'!L231/'Base de datos Rutas'!BK231)),"")</f>
        <v>23.656503510297451</v>
      </c>
      <c r="M233" s="787">
        <f>IF(ISNUMBER('Base de datos Rutas'!AX231),'Base de datos Rutas'!AX231,"")</f>
        <v>223.20667172219001</v>
      </c>
      <c r="N233" s="790">
        <f>IFERROR(INDEX('Hoja de apoyo v2'!B$17:B$20,MATCH($A233,'Hoja de apoyo v2'!$A$17:$A$20,0)),"")</f>
        <v>74.190366972477051</v>
      </c>
      <c r="O233" s="791">
        <f>IFERROR(INDEX('Hoja de apoyo v2'!C$17:C$20,MATCH($A233,'Hoja de apoyo v2'!$A$17:$A$20,0)),"")</f>
        <v>0.71677657005077755</v>
      </c>
      <c r="P233" s="793">
        <f>IFERROR(INDEX('Hoja de apoyo v2'!D$17:D$20,MATCH($A233,'Hoja de apoyo v2'!$A$17:$A$20,0)),"")</f>
        <v>8755.1153350385739</v>
      </c>
      <c r="Q233" s="793">
        <f>IFERROR(INDEX('Hoja de apoyo v2'!E$17:E$20,MATCH($A233,'Hoja de apoyo v2'!$A$17:$A$20,0)),"")</f>
        <v>6098.2042779326393</v>
      </c>
      <c r="R233" s="793">
        <f>IFERROR(INDEX('Hoja de apoyo v2'!F$17:F$20,MATCH($A233,'Hoja de apoyo v2'!$A$17:$A$20,0)),"")</f>
        <v>389.08889713610301</v>
      </c>
      <c r="S233" s="793">
        <f>IFERROR(INDEX('Hoja de apoyo v2'!G$17:G$20,MATCH($A233,'Hoja de apoyo v2'!$A$17:$A$20,0)),"")</f>
        <v>67.90575167807188</v>
      </c>
      <c r="T233" s="792">
        <f>IFERROR(INDEX('Hoja de apoyo v2'!H$17:H$20,MATCH($A233,'Hoja de apoyo v2'!$A$17:$A$20,0)),"")</f>
        <v>258.90325471200998</v>
      </c>
      <c r="U233" s="794">
        <f t="shared" si="112"/>
        <v>1.1441591002713078</v>
      </c>
      <c r="V233" s="795">
        <f t="shared" si="113"/>
        <v>0.71913665451808639</v>
      </c>
      <c r="W233" s="795">
        <f t="shared" si="114"/>
        <v>0.33216958944250607</v>
      </c>
      <c r="X233" s="843">
        <f t="shared" si="115"/>
        <v>1.1246365069652531</v>
      </c>
      <c r="Y233" s="843">
        <f t="shared" si="116"/>
        <v>1.2267878517707382</v>
      </c>
      <c r="Z233" s="843">
        <f t="shared" si="117"/>
        <v>0.34837260358221772</v>
      </c>
      <c r="AA233" s="843">
        <f t="shared" si="118"/>
        <v>0.86212385383286538</v>
      </c>
      <c r="AB233" s="796">
        <f t="shared" si="119"/>
        <v>4</v>
      </c>
      <c r="AC233" s="797">
        <f t="shared" si="120"/>
        <v>2</v>
      </c>
      <c r="AD233" s="797">
        <f t="shared" si="121"/>
        <v>1</v>
      </c>
      <c r="AE233" s="842">
        <f t="shared" si="122"/>
        <v>4</v>
      </c>
      <c r="AF233" s="842">
        <f t="shared" si="123"/>
        <v>4</v>
      </c>
      <c r="AG233" s="842">
        <f t="shared" si="124"/>
        <v>1</v>
      </c>
      <c r="AH233" s="842">
        <f t="shared" si="125"/>
        <v>3</v>
      </c>
      <c r="AI233" s="826" cm="1">
        <f t="array" ref="AI233">SUMPRODUCT(--ISNUMBER($U233:$AA233),$AB$3:$AH$3)</f>
        <v>1</v>
      </c>
      <c r="AJ233" s="829">
        <f t="shared" si="126"/>
        <v>39.479746275729319</v>
      </c>
      <c r="AK233" s="827" t="str">
        <f t="shared" si="127"/>
        <v>Inmadura</v>
      </c>
      <c r="AL233" s="784" t="str">
        <f t="shared" si="128"/>
        <v>Alta</v>
      </c>
      <c r="AM233" s="799">
        <f>IF(ISNUMBER('Base de datos Rutas'!W231),'Base de datos Rutas'!W231,"")</f>
        <v>2865.9870486706945</v>
      </c>
      <c r="AN233" s="787">
        <f>IFERROR(SUMIFS('Base de datos Rutas'!$W$6:$W$794,'Base de datos Rutas'!$C$6:$C$794,$C233)/'Base de datos Rutas'!I231,"")</f>
        <v>2865.9870486706936</v>
      </c>
      <c r="AO233" s="800">
        <f>IFERROR('Base de datos Rutas'!X231*AN233/AM233,"")</f>
        <v>0.47181486591992339</v>
      </c>
      <c r="AP233" s="800">
        <f t="shared" si="129"/>
        <v>0.52818513408007661</v>
      </c>
      <c r="AQ233" s="789">
        <f>IFERROR(INDEX('Hoja de apoyo v2'!$J$17:$J$20,MATCH($A233,'Hoja de apoyo v2'!$A$17:$A$20,0)),"")</f>
        <v>0.62197445417222763</v>
      </c>
      <c r="AR233" s="789">
        <f t="shared" si="130"/>
        <v>-9.3789320092151018E-2</v>
      </c>
      <c r="AS233" s="784" t="str">
        <f t="shared" si="131"/>
        <v>No</v>
      </c>
      <c r="AT233" s="801">
        <f>IF(ISNUMBER('Base de datos Rutas'!CK231),'Base de datos Rutas'!CK231,"")</f>
        <v>435</v>
      </c>
      <c r="AU233" s="802">
        <f>IF(ISNUMBER('Base de datos Rutas'!CL231),'Base de datos Rutas'!CL231,"")</f>
        <v>630.03</v>
      </c>
      <c r="AV233" s="802">
        <f>IF(ISNUMBER('Base de datos Rutas'!CM231),'Base de datos Rutas'!CM231,"")</f>
        <v>195.02999999999997</v>
      </c>
      <c r="AW233" s="802">
        <f>IF(ISNUMBER('Base de datos Rutas'!CN231),'Base de datos Rutas'!CN231,"")</f>
        <v>7.35</v>
      </c>
      <c r="AX233" s="802">
        <f>IF(ISNUMBER('Base de datos Rutas'!CO231),'Base de datos Rutas'!CO231,"")</f>
        <v>9.4499999999999993</v>
      </c>
      <c r="AY233" s="802">
        <f>IF(ISNUMBER('Base de datos Rutas'!CP231),'Base de datos Rutas'!CP231,"")</f>
        <v>2.0999999999999996</v>
      </c>
      <c r="AZ233" s="802">
        <f>IF(ISNUMBER('Base de datos Rutas'!CQ231),'Base de datos Rutas'!CQ231,"")</f>
        <v>929.55</v>
      </c>
      <c r="BA233" s="802">
        <f>IF(ISNUMBER('Base de datos Rutas'!CR231),'Base de datos Rutas'!CR231,"")</f>
        <v>500.99</v>
      </c>
      <c r="BB233" s="803">
        <f>IF(ISNUMBER('Base de datos Rutas'!CS231),'Base de datos Rutas'!CS231,"")</f>
        <v>428.55999999999995</v>
      </c>
      <c r="BC233" s="804">
        <f t="shared" si="141"/>
        <v>0</v>
      </c>
      <c r="BD233" s="805" t="str">
        <f t="shared" si="142"/>
        <v>No saturada</v>
      </c>
      <c r="BE233" s="806">
        <f t="shared" si="143"/>
        <v>0.53895971168845147</v>
      </c>
      <c r="BF233" s="890">
        <f>IF(ISNUMBER('Base de datos Rutas'!CX231),'Base de datos Rutas'!CX231/100,"")</f>
        <v>0.45623048587967019</v>
      </c>
      <c r="BG233" s="891">
        <f>IF(ISNUMBER('Base de datos Rutas'!CZ231),'Base de datos Rutas'!CZ231/100,"")</f>
        <v>0.49044027363620413</v>
      </c>
      <c r="BH233" s="892">
        <f>IF(ISNUMBER('Base de datos Rutas'!DA231),'Base de datos Rutas'!DA231,"")</f>
        <v>472.72471137358531</v>
      </c>
      <c r="BI233" s="893">
        <f>IF(ISNUMBER('Base de datos Rutas'!DC231),'Base de datos Rutas'!DC231,"")</f>
        <v>20.588563830238314</v>
      </c>
      <c r="BJ233" s="805" t="str">
        <f t="shared" si="144"/>
        <v>Ruta (completo)</v>
      </c>
      <c r="BK233" s="783">
        <f t="shared" si="132"/>
        <v>3</v>
      </c>
      <c r="BL233" s="797">
        <f t="shared" si="133"/>
        <v>3</v>
      </c>
      <c r="BM233" s="797">
        <f t="shared" si="134"/>
        <v>4</v>
      </c>
      <c r="BN233" s="797">
        <f t="shared" si="135"/>
        <v>4</v>
      </c>
      <c r="BO233" s="798" cm="1">
        <f t="array" ref="BO233">SUMPRODUCT(--ISNUMBER($BF233:$BI233),$BK$3:$BN$3)</f>
        <v>1</v>
      </c>
      <c r="BP233" s="831">
        <f t="shared" si="145"/>
        <v>62.5</v>
      </c>
      <c r="BQ233" s="834" t="str">
        <f t="shared" si="146"/>
        <v>Alto</v>
      </c>
      <c r="BR233" s="836">
        <f t="shared" si="136"/>
        <v>29.609809706796987</v>
      </c>
      <c r="BS233" s="836">
        <f t="shared" si="137"/>
        <v>62.5</v>
      </c>
      <c r="BT233" s="837" t="str">
        <f t="shared" si="138"/>
        <v>P1</v>
      </c>
      <c r="BU233" s="807" t="str">
        <f t="shared" si="147"/>
        <v>Con espacio</v>
      </c>
      <c r="BV233" s="807" t="str">
        <f t="shared" si="139"/>
        <v>Zona atractiva</v>
      </c>
      <c r="BW233" s="808" t="str">
        <f t="shared" si="140"/>
        <v>P1 - Ampliar cobertura</v>
      </c>
    </row>
    <row r="234" spans="1:75">
      <c r="A234" s="780" t="str">
        <f>'Base de datos Rutas'!A232</f>
        <v>Norte</v>
      </c>
      <c r="B234" s="781" t="str">
        <f>'Base de datos Rutas'!B232</f>
        <v>Zacatecas</v>
      </c>
      <c r="C234" s="781" t="str">
        <f>'Base de datos Rutas'!C232</f>
        <v>Planta Zacatecas</v>
      </c>
      <c r="D234" s="782">
        <f>IF(ISNUMBER('Base de datos Rutas'!D232),'Base de datos Rutas'!D232,"Sin código")</f>
        <v>946409</v>
      </c>
      <c r="E234" s="783" t="str">
        <f>'Base de datos Rutas'!F232</f>
        <v>Activa</v>
      </c>
      <c r="F234" s="784" t="str">
        <f>'Base de datos Rutas'!H232</f>
        <v>Sí</v>
      </c>
      <c r="G234" s="785">
        <f>IF(ISNUMBER('Base de datos Rutas'!BE232),'Base de datos Rutas'!BE232,"")</f>
        <v>81.029816513761503</v>
      </c>
      <c r="H234" s="786">
        <f>IF(ISNUMBER('Base de datos Rutas'!BH232),'Base de datos Rutas'!BH232,"")</f>
        <v>0.70024625661637796</v>
      </c>
      <c r="I234" s="788">
        <f>IFERROR(IF(OR(NOT(ISNUMBER('Base de datos Rutas'!O232)),N('Base de datos Rutas'!BK232)=0),"",'Base de datos Rutas'!O232/('Base de datos Rutas'!L232/'Base de datos Rutas'!BK232)),"")</f>
        <v>2763.5642201834939</v>
      </c>
      <c r="J234" s="788">
        <f>IFERROR(IF(OR(NOT(ISNUMBER('Base de datos Rutas'!N232)),N('Base de datos Rutas'!BK232)=0),"",'Base de datos Rutas'!N232/('Base de datos Rutas'!L232/'Base de datos Rutas'!BK232)),"")</f>
        <v>7071.9288990825889</v>
      </c>
      <c r="K234" s="788">
        <f>IFERROR(IF(OR(NOT(ISNUMBER('Base de datos Rutas'!J232)),N('Base de datos Rutas'!BK232)=0),"",'Base de datos Rutas'!J232/('Base de datos Rutas'!L232/'Base de datos Rutas'!BK232)),"")</f>
        <v>483.24742752293486</v>
      </c>
      <c r="L234" s="788">
        <f>IFERROR(IF(OR(NOT(ISNUMBER('Base de datos Rutas'!K232)),N('Base de datos Rutas'!BK232)=0),"",'Base de datos Rutas'!K232/('Base de datos Rutas'!L232/'Base de datos Rutas'!BK232)),"")</f>
        <v>23.416723412844107</v>
      </c>
      <c r="M234" s="787">
        <f>IF(ISNUMBER('Base de datos Rutas'!AX232),'Base de datos Rutas'!AX232,"")</f>
        <v>173.34080116415399</v>
      </c>
      <c r="N234" s="790">
        <f>IFERROR(INDEX('Hoja de apoyo v2'!B$17:B$20,MATCH($A234,'Hoja de apoyo v2'!$A$17:$A$20,0)),"")</f>
        <v>74.190366972477051</v>
      </c>
      <c r="O234" s="791">
        <f>IFERROR(INDEX('Hoja de apoyo v2'!C$17:C$20,MATCH($A234,'Hoja de apoyo v2'!$A$17:$A$20,0)),"")</f>
        <v>0.71677657005077755</v>
      </c>
      <c r="P234" s="793">
        <f>IFERROR(INDEX('Hoja de apoyo v2'!D$17:D$20,MATCH($A234,'Hoja de apoyo v2'!$A$17:$A$20,0)),"")</f>
        <v>8755.1153350385739</v>
      </c>
      <c r="Q234" s="793">
        <f>IFERROR(INDEX('Hoja de apoyo v2'!E$17:E$20,MATCH($A234,'Hoja de apoyo v2'!$A$17:$A$20,0)),"")</f>
        <v>6098.2042779326393</v>
      </c>
      <c r="R234" s="793">
        <f>IFERROR(INDEX('Hoja de apoyo v2'!F$17:F$20,MATCH($A234,'Hoja de apoyo v2'!$A$17:$A$20,0)),"")</f>
        <v>389.08889713610301</v>
      </c>
      <c r="S234" s="793">
        <f>IFERROR(INDEX('Hoja de apoyo v2'!G$17:G$20,MATCH($A234,'Hoja de apoyo v2'!$A$17:$A$20,0)),"")</f>
        <v>67.90575167807188</v>
      </c>
      <c r="T234" s="792">
        <f>IFERROR(INDEX('Hoja de apoyo v2'!H$17:H$20,MATCH($A234,'Hoja de apoyo v2'!$A$17:$A$20,0)),"")</f>
        <v>258.90325471200998</v>
      </c>
      <c r="U234" s="794">
        <f t="shared" si="112"/>
        <v>1.0921878381302754</v>
      </c>
      <c r="V234" s="795">
        <f t="shared" si="113"/>
        <v>0.97693798301299306</v>
      </c>
      <c r="W234" s="795">
        <f t="shared" si="114"/>
        <v>0.31565137801480692</v>
      </c>
      <c r="X234" s="843">
        <f t="shared" si="115"/>
        <v>1.1596739920099977</v>
      </c>
      <c r="Y234" s="843">
        <f t="shared" si="116"/>
        <v>1.2419974743044269</v>
      </c>
      <c r="Z234" s="843">
        <f t="shared" si="117"/>
        <v>0.34484153159600223</v>
      </c>
      <c r="AA234" s="843">
        <f t="shared" si="118"/>
        <v>0.66951959084859303</v>
      </c>
      <c r="AB234" s="796">
        <f t="shared" si="119"/>
        <v>4</v>
      </c>
      <c r="AC234" s="797">
        <f t="shared" si="120"/>
        <v>3</v>
      </c>
      <c r="AD234" s="797">
        <f t="shared" si="121"/>
        <v>1</v>
      </c>
      <c r="AE234" s="842">
        <f t="shared" si="122"/>
        <v>4</v>
      </c>
      <c r="AF234" s="842">
        <f t="shared" si="123"/>
        <v>4</v>
      </c>
      <c r="AG234" s="842">
        <f t="shared" si="124"/>
        <v>1</v>
      </c>
      <c r="AH234" s="842">
        <f t="shared" si="125"/>
        <v>2</v>
      </c>
      <c r="AI234" s="826" cm="1">
        <f t="array" ref="AI234">SUMPRODUCT(--ISNUMBER($U234:$AA234),$AB$3:$AH$3)</f>
        <v>1</v>
      </c>
      <c r="AJ234" s="829">
        <f t="shared" si="126"/>
        <v>39.617924021293227</v>
      </c>
      <c r="AK234" s="827" t="str">
        <f t="shared" si="127"/>
        <v>Inmadura</v>
      </c>
      <c r="AL234" s="784" t="str">
        <f t="shared" si="128"/>
        <v>Alta</v>
      </c>
      <c r="AM234" s="799">
        <f>IF(ISNUMBER('Base de datos Rutas'!W232),'Base de datos Rutas'!W232,"")</f>
        <v>2865.9870486706945</v>
      </c>
      <c r="AN234" s="787">
        <f>IFERROR(SUMIFS('Base de datos Rutas'!$W$6:$W$794,'Base de datos Rutas'!$C$6:$C$794,$C234)/'Base de datos Rutas'!I232,"")</f>
        <v>2865.9870486706936</v>
      </c>
      <c r="AO234" s="800">
        <f>IFERROR('Base de datos Rutas'!X232*AN234/AM234,"")</f>
        <v>0.47181486591992339</v>
      </c>
      <c r="AP234" s="800">
        <f t="shared" si="129"/>
        <v>0.52818513408007661</v>
      </c>
      <c r="AQ234" s="789">
        <f>IFERROR(INDEX('Hoja de apoyo v2'!$J$17:$J$20,MATCH($A234,'Hoja de apoyo v2'!$A$17:$A$20,0)),"")</f>
        <v>0.62197445417222763</v>
      </c>
      <c r="AR234" s="789">
        <f t="shared" si="130"/>
        <v>-9.3789320092151018E-2</v>
      </c>
      <c r="AS234" s="784" t="str">
        <f t="shared" si="131"/>
        <v>No</v>
      </c>
      <c r="AT234" s="801">
        <f>IF(ISNUMBER('Base de datos Rutas'!CK232),'Base de datos Rutas'!CK232,"")</f>
        <v>366</v>
      </c>
      <c r="AU234" s="802">
        <f>IF(ISNUMBER('Base de datos Rutas'!CL232),'Base de datos Rutas'!CL232,"")</f>
        <v>782.66</v>
      </c>
      <c r="AV234" s="802">
        <f>IF(ISNUMBER('Base de datos Rutas'!CM232),'Base de datos Rutas'!CM232,"")</f>
        <v>416.65999999999997</v>
      </c>
      <c r="AW234" s="802">
        <f>IF(ISNUMBER('Base de datos Rutas'!CN232),'Base de datos Rutas'!CN232,"")</f>
        <v>5.46</v>
      </c>
      <c r="AX234" s="802">
        <f>IF(ISNUMBER('Base de datos Rutas'!CO232),'Base de datos Rutas'!CO232,"")</f>
        <v>9.4499999999999993</v>
      </c>
      <c r="AY234" s="802">
        <f>IF(ISNUMBER('Base de datos Rutas'!CP232),'Base de datos Rutas'!CP232,"")</f>
        <v>3.9899999999999993</v>
      </c>
      <c r="AZ234" s="802">
        <f>IF(ISNUMBER('Base de datos Rutas'!CQ232),'Base de datos Rutas'!CQ232,"")</f>
        <v>929.55</v>
      </c>
      <c r="BA234" s="802">
        <f>IF(ISNUMBER('Base de datos Rutas'!CR232),'Base de datos Rutas'!CR232,"")</f>
        <v>506.66</v>
      </c>
      <c r="BB234" s="803">
        <f>IF(ISNUMBER('Base de datos Rutas'!CS232),'Base de datos Rutas'!CS232,"")</f>
        <v>422.88999999999993</v>
      </c>
      <c r="BC234" s="804">
        <f t="shared" si="141"/>
        <v>0</v>
      </c>
      <c r="BD234" s="805" t="str">
        <f t="shared" si="142"/>
        <v>No saturada</v>
      </c>
      <c r="BE234" s="806">
        <f t="shared" si="143"/>
        <v>0.54505943736216456</v>
      </c>
      <c r="BF234" s="890">
        <f>IF(ISNUMBER('Base de datos Rutas'!CX232),'Base de datos Rutas'!CX232/100,"")</f>
        <v>0.34028868140243901</v>
      </c>
      <c r="BG234" s="891">
        <f>IF(ISNUMBER('Base de datos Rutas'!CZ232),'Base de datos Rutas'!CZ232/100,"")</f>
        <v>0.36013719512195119</v>
      </c>
      <c r="BH234" s="892">
        <f>IF(ISNUMBER('Base de datos Rutas'!DA232),'Base de datos Rutas'!DA232,"")</f>
        <v>168.99244978433961</v>
      </c>
      <c r="BI234" s="893">
        <f>IF(ISNUMBER('Base de datos Rutas'!DC232),'Base de datos Rutas'!DC232,"")</f>
        <v>8.1287745239543252</v>
      </c>
      <c r="BJ234" s="805" t="str">
        <f t="shared" si="144"/>
        <v>Ruta (completo)</v>
      </c>
      <c r="BK234" s="783">
        <f t="shared" si="132"/>
        <v>1</v>
      </c>
      <c r="BL234" s="797">
        <f t="shared" si="133"/>
        <v>1</v>
      </c>
      <c r="BM234" s="797">
        <f t="shared" si="134"/>
        <v>2</v>
      </c>
      <c r="BN234" s="797">
        <f t="shared" si="135"/>
        <v>2</v>
      </c>
      <c r="BO234" s="798" cm="1">
        <f t="array" ref="BO234">SUMPRODUCT(--ISNUMBER($BF234:$BI234),$BK$3:$BN$3)</f>
        <v>1</v>
      </c>
      <c r="BP234" s="831">
        <f t="shared" si="145"/>
        <v>12.5</v>
      </c>
      <c r="BQ234" s="834" t="str">
        <f t="shared" si="146"/>
        <v>Bajo</v>
      </c>
      <c r="BR234" s="836">
        <f t="shared" si="136"/>
        <v>29.713443015969922</v>
      </c>
      <c r="BS234" s="836">
        <f t="shared" si="137"/>
        <v>12.5</v>
      </c>
      <c r="BT234" s="837" t="str">
        <f t="shared" si="138"/>
        <v>P2</v>
      </c>
      <c r="BU234" s="807" t="str">
        <f t="shared" si="147"/>
        <v>Con espacio</v>
      </c>
      <c r="BV234" s="807" t="str">
        <f t="shared" si="139"/>
        <v>Zona de bajo potencial</v>
      </c>
      <c r="BW234" s="808" t="str">
        <f t="shared" si="140"/>
        <v>P2 - Mantener</v>
      </c>
    </row>
    <row r="235" spans="1:75">
      <c r="A235" s="780" t="str">
        <f>'Base de datos Rutas'!A233</f>
        <v>Norte</v>
      </c>
      <c r="B235" s="781" t="str">
        <f>'Base de datos Rutas'!B233</f>
        <v>Zacatecas</v>
      </c>
      <c r="C235" s="781" t="str">
        <f>'Base de datos Rutas'!C233</f>
        <v>Planta Zacatecas</v>
      </c>
      <c r="D235" s="782">
        <f>IF(ISNUMBER('Base de datos Rutas'!D233),'Base de datos Rutas'!D233,"Sin código")</f>
        <v>946410</v>
      </c>
      <c r="E235" s="783" t="str">
        <f>'Base de datos Rutas'!F233</f>
        <v>Activa</v>
      </c>
      <c r="F235" s="784" t="str">
        <f>'Base de datos Rutas'!H233</f>
        <v>Sí</v>
      </c>
      <c r="G235" s="785">
        <f>IF(ISNUMBER('Base de datos Rutas'!BE233),'Base de datos Rutas'!BE233,"")</f>
        <v>72.681922196796293</v>
      </c>
      <c r="H235" s="786">
        <f>IF(ISNUMBER('Base de datos Rutas'!BH233),'Base de datos Rutas'!BH233,"")</f>
        <v>0.63072224670990495</v>
      </c>
      <c r="I235" s="788">
        <f>IFERROR(IF(OR(NOT(ISNUMBER('Base de datos Rutas'!O233)),N('Base de datos Rutas'!BK233)=0),"",'Base de datos Rutas'!O233/('Base de datos Rutas'!L233/'Base de datos Rutas'!BK233)),"")</f>
        <v>3882.5148741418839</v>
      </c>
      <c r="J235" s="788">
        <f>IFERROR(IF(OR(NOT(ISNUMBER('Base de datos Rutas'!N233)),N('Base de datos Rutas'!BK233)=0),"",'Base de datos Rutas'!N233/('Base de datos Rutas'!L233/'Base de datos Rutas'!BK233)),"")</f>
        <v>6637.3295194508137</v>
      </c>
      <c r="K235" s="788">
        <f>IFERROR(IF(OR(NOT(ISNUMBER('Base de datos Rutas'!J233)),N('Base de datos Rutas'!BK233)=0),"",'Base de datos Rutas'!J233/('Base de datos Rutas'!L233/'Base de datos Rutas'!BK233)),"")</f>
        <v>466.35931167047914</v>
      </c>
      <c r="L235" s="788">
        <f>IFERROR(IF(OR(NOT(ISNUMBER('Base de datos Rutas'!K233)),N('Base de datos Rutas'!BK233)=0),"",'Base de datos Rutas'!K233/('Base de datos Rutas'!L233/'Base de datos Rutas'!BK233)),"")</f>
        <v>35.213267137299837</v>
      </c>
      <c r="M235" s="787">
        <f>IF(ISNUMBER('Base de datos Rutas'!AX233),'Base de datos Rutas'!AX233,"")</f>
        <v>229.479869215794</v>
      </c>
      <c r="N235" s="790">
        <f>IFERROR(INDEX('Hoja de apoyo v2'!B$17:B$20,MATCH($A235,'Hoja de apoyo v2'!$A$17:$A$20,0)),"")</f>
        <v>74.190366972477051</v>
      </c>
      <c r="O235" s="791">
        <f>IFERROR(INDEX('Hoja de apoyo v2'!C$17:C$20,MATCH($A235,'Hoja de apoyo v2'!$A$17:$A$20,0)),"")</f>
        <v>0.71677657005077755</v>
      </c>
      <c r="P235" s="793">
        <f>IFERROR(INDEX('Hoja de apoyo v2'!D$17:D$20,MATCH($A235,'Hoja de apoyo v2'!$A$17:$A$20,0)),"")</f>
        <v>8755.1153350385739</v>
      </c>
      <c r="Q235" s="793">
        <f>IFERROR(INDEX('Hoja de apoyo v2'!E$17:E$20,MATCH($A235,'Hoja de apoyo v2'!$A$17:$A$20,0)),"")</f>
        <v>6098.2042779326393</v>
      </c>
      <c r="R235" s="793">
        <f>IFERROR(INDEX('Hoja de apoyo v2'!F$17:F$20,MATCH($A235,'Hoja de apoyo v2'!$A$17:$A$20,0)),"")</f>
        <v>389.08889713610301</v>
      </c>
      <c r="S235" s="793">
        <f>IFERROR(INDEX('Hoja de apoyo v2'!G$17:G$20,MATCH($A235,'Hoja de apoyo v2'!$A$17:$A$20,0)),"")</f>
        <v>67.90575167807188</v>
      </c>
      <c r="T235" s="792">
        <f>IFERROR(INDEX('Hoja de apoyo v2'!H$17:H$20,MATCH($A235,'Hoja de apoyo v2'!$A$17:$A$20,0)),"")</f>
        <v>258.90325471200998</v>
      </c>
      <c r="U235" s="794">
        <f t="shared" si="112"/>
        <v>0.9796679159675763</v>
      </c>
      <c r="V235" s="795">
        <f t="shared" si="113"/>
        <v>0.87994261121736106</v>
      </c>
      <c r="W235" s="795">
        <f t="shared" si="114"/>
        <v>0.44345673649823802</v>
      </c>
      <c r="X235" s="843">
        <f t="shared" si="115"/>
        <v>1.0884072125082933</v>
      </c>
      <c r="Y235" s="843">
        <f t="shared" si="116"/>
        <v>1.1985932137954247</v>
      </c>
      <c r="Z235" s="843">
        <f t="shared" si="117"/>
        <v>0.51856089163461694</v>
      </c>
      <c r="AA235" s="843">
        <f t="shared" si="118"/>
        <v>0.88635374426271707</v>
      </c>
      <c r="AB235" s="796">
        <f t="shared" si="119"/>
        <v>3</v>
      </c>
      <c r="AC235" s="797">
        <f t="shared" si="120"/>
        <v>3</v>
      </c>
      <c r="AD235" s="797">
        <f t="shared" si="121"/>
        <v>1</v>
      </c>
      <c r="AE235" s="842">
        <f t="shared" si="122"/>
        <v>4</v>
      </c>
      <c r="AF235" s="842">
        <f t="shared" si="123"/>
        <v>4</v>
      </c>
      <c r="AG235" s="842">
        <f t="shared" si="124"/>
        <v>2</v>
      </c>
      <c r="AH235" s="842">
        <f t="shared" si="125"/>
        <v>3</v>
      </c>
      <c r="AI235" s="826" cm="1">
        <f t="array" ref="AI235">SUMPRODUCT(--ISNUMBER($U235:$AA235),$AB$3:$AH$3)</f>
        <v>1</v>
      </c>
      <c r="AJ235" s="829">
        <f t="shared" si="126"/>
        <v>41.718082451542735</v>
      </c>
      <c r="AK235" s="827" t="str">
        <f t="shared" si="127"/>
        <v>Inmadura</v>
      </c>
      <c r="AL235" s="784" t="str">
        <f t="shared" si="128"/>
        <v>Alta</v>
      </c>
      <c r="AM235" s="799">
        <f>IF(ISNUMBER('Base de datos Rutas'!W233),'Base de datos Rutas'!W233,"")</f>
        <v>2865.9870486706945</v>
      </c>
      <c r="AN235" s="787">
        <f>IFERROR(SUMIFS('Base de datos Rutas'!$W$6:$W$794,'Base de datos Rutas'!$C$6:$C$794,$C235)/'Base de datos Rutas'!I233,"")</f>
        <v>2865.9870486706936</v>
      </c>
      <c r="AO235" s="800">
        <f>IFERROR('Base de datos Rutas'!X233*AN235/AM235,"")</f>
        <v>0.47181486591992339</v>
      </c>
      <c r="AP235" s="800">
        <f t="shared" si="129"/>
        <v>0.52818513408007661</v>
      </c>
      <c r="AQ235" s="789">
        <f>IFERROR(INDEX('Hoja de apoyo v2'!$J$17:$J$20,MATCH($A235,'Hoja de apoyo v2'!$A$17:$A$20,0)),"")</f>
        <v>0.62197445417222763</v>
      </c>
      <c r="AR235" s="789">
        <f t="shared" si="130"/>
        <v>-9.3789320092151018E-2</v>
      </c>
      <c r="AS235" s="784" t="str">
        <f t="shared" si="131"/>
        <v>No</v>
      </c>
      <c r="AT235" s="801">
        <f>IF(ISNUMBER('Base de datos Rutas'!CK233),'Base de datos Rutas'!CK233,"")</f>
        <v>352</v>
      </c>
      <c r="AU235" s="802">
        <f>IF(ISNUMBER('Base de datos Rutas'!CL233),'Base de datos Rutas'!CL233,"")</f>
        <v>500.79</v>
      </c>
      <c r="AV235" s="802">
        <f>IF(ISNUMBER('Base de datos Rutas'!CM233),'Base de datos Rutas'!CM233,"")</f>
        <v>148.79000000000002</v>
      </c>
      <c r="AW235" s="802">
        <f>IF(ISNUMBER('Base de datos Rutas'!CN233),'Base de datos Rutas'!CN233,"")</f>
        <v>5.35</v>
      </c>
      <c r="AX235" s="802">
        <f>IF(ISNUMBER('Base de datos Rutas'!CO233),'Base de datos Rutas'!CO233,"")</f>
        <v>9.4499999999999993</v>
      </c>
      <c r="AY235" s="802">
        <f>IF(ISNUMBER('Base de datos Rutas'!CP233),'Base de datos Rutas'!CP233,"")</f>
        <v>4.0999999999999996</v>
      </c>
      <c r="AZ235" s="802">
        <f>IF(ISNUMBER('Base de datos Rutas'!CQ233),'Base de datos Rutas'!CQ233,"")</f>
        <v>929.55</v>
      </c>
      <c r="BA235" s="802">
        <f>IF(ISNUMBER('Base de datos Rutas'!CR233),'Base de datos Rutas'!CR233,"")</f>
        <v>501.57</v>
      </c>
      <c r="BB235" s="803">
        <f>IF(ISNUMBER('Base de datos Rutas'!CS233),'Base de datos Rutas'!CS233,"")</f>
        <v>427.97999999999996</v>
      </c>
      <c r="BC235" s="804">
        <f t="shared" si="141"/>
        <v>0</v>
      </c>
      <c r="BD235" s="805" t="str">
        <f t="shared" si="142"/>
        <v>No saturada</v>
      </c>
      <c r="BE235" s="806">
        <f t="shared" si="143"/>
        <v>0.53958366951750847</v>
      </c>
      <c r="BF235" s="890">
        <f>IF(ISNUMBER('Base de datos Rutas'!CX233),'Base de datos Rutas'!CX233/100,"")</f>
        <v>1.8256633499170814E-2</v>
      </c>
      <c r="BG235" s="891">
        <f>IF(ISNUMBER('Base de datos Rutas'!CZ233),'Base de datos Rutas'!CZ233/100,"")</f>
        <v>2.8537866224433387E-2</v>
      </c>
      <c r="BH235" s="892">
        <f>IF(ISNUMBER('Base de datos Rutas'!DA233),'Base de datos Rutas'!DA233,"")</f>
        <v>145.86945780631552</v>
      </c>
      <c r="BI235" s="893">
        <f>IF(ISNUMBER('Base de datos Rutas'!DC233),'Base de datos Rutas'!DC233,"")</f>
        <v>5.8557376174611626</v>
      </c>
      <c r="BJ235" s="805" t="str">
        <f t="shared" si="144"/>
        <v>Ruta (completo)</v>
      </c>
      <c r="BK235" s="783">
        <f t="shared" si="132"/>
        <v>1</v>
      </c>
      <c r="BL235" s="797">
        <f t="shared" si="133"/>
        <v>1</v>
      </c>
      <c r="BM235" s="797">
        <f t="shared" si="134"/>
        <v>1</v>
      </c>
      <c r="BN235" s="797">
        <f t="shared" si="135"/>
        <v>1</v>
      </c>
      <c r="BO235" s="798" cm="1">
        <f t="array" ref="BO235">SUMPRODUCT(--ISNUMBER($BF235:$BI235),$BK$3:$BN$3)</f>
        <v>1</v>
      </c>
      <c r="BP235" s="831">
        <f t="shared" si="145"/>
        <v>0</v>
      </c>
      <c r="BQ235" s="834" t="str">
        <f t="shared" si="146"/>
        <v>Bajo</v>
      </c>
      <c r="BR235" s="836">
        <f t="shared" si="136"/>
        <v>31.288561838657053</v>
      </c>
      <c r="BS235" s="836">
        <f t="shared" si="137"/>
        <v>0</v>
      </c>
      <c r="BT235" s="837" t="str">
        <f t="shared" si="138"/>
        <v>P2</v>
      </c>
      <c r="BU235" s="807" t="str">
        <f t="shared" si="147"/>
        <v>Con espacio</v>
      </c>
      <c r="BV235" s="807" t="str">
        <f t="shared" si="139"/>
        <v>Zona de bajo potencial</v>
      </c>
      <c r="BW235" s="808" t="str">
        <f t="shared" si="140"/>
        <v>P2 - Mantener</v>
      </c>
    </row>
    <row r="236" spans="1:75">
      <c r="A236" s="780" t="str">
        <f>'Base de datos Rutas'!A234</f>
        <v>Norte</v>
      </c>
      <c r="B236" s="781" t="str">
        <f>'Base de datos Rutas'!B234</f>
        <v>Zacatecas</v>
      </c>
      <c r="C236" s="781" t="str">
        <f>'Base de datos Rutas'!C234</f>
        <v>Planta Zacatecas</v>
      </c>
      <c r="D236" s="782">
        <f>IF(ISNUMBER('Base de datos Rutas'!D234),'Base de datos Rutas'!D234,"Sin código")</f>
        <v>946411</v>
      </c>
      <c r="E236" s="783" t="str">
        <f>'Base de datos Rutas'!F234</f>
        <v>Activa</v>
      </c>
      <c r="F236" s="784" t="str">
        <f>'Base de datos Rutas'!H234</f>
        <v>Sí</v>
      </c>
      <c r="G236" s="785">
        <f>IF(ISNUMBER('Base de datos Rutas'!BE234),'Base de datos Rutas'!BE234,"")</f>
        <v>76.116704805492006</v>
      </c>
      <c r="H236" s="786">
        <f>IF(ISNUMBER('Base de datos Rutas'!BH234),'Base de datos Rutas'!BH234,"")</f>
        <v>0.56477166821994396</v>
      </c>
      <c r="I236" s="788">
        <f>IFERROR(IF(OR(NOT(ISNUMBER('Base de datos Rutas'!O234)),N('Base de datos Rutas'!BK234)=0),"",'Base de datos Rutas'!O234/('Base de datos Rutas'!L234/'Base de datos Rutas'!BK234)),"")</f>
        <v>6398.9290617848901</v>
      </c>
      <c r="J236" s="788">
        <f>IFERROR(IF(OR(NOT(ISNUMBER('Base de datos Rutas'!N234)),N('Base de datos Rutas'!BK234)=0),"",'Base de datos Rutas'!N234/('Base de datos Rutas'!L234/'Base de datos Rutas'!BK234)),"")</f>
        <v>6190.7711670480485</v>
      </c>
      <c r="K236" s="788">
        <f>IFERROR(IF(OR(NOT(ISNUMBER('Base de datos Rutas'!J234)),N('Base de datos Rutas'!BK234)=0),"",'Base de datos Rutas'!J234/('Base de datos Rutas'!L234/'Base de datos Rutas'!BK234)),"")</f>
        <v>419.52025812356936</v>
      </c>
      <c r="L236" s="788">
        <f>IFERROR(IF(OR(NOT(ISNUMBER('Base de datos Rutas'!K234)),N('Base de datos Rutas'!BK234)=0),"",'Base de datos Rutas'!K234/('Base de datos Rutas'!L234/'Base de datos Rutas'!BK234)),"")</f>
        <v>43.151566977116659</v>
      </c>
      <c r="M236" s="787">
        <f>IF(ISNUMBER('Base de datos Rutas'!AX234),'Base de datos Rutas'!AX234,"")</f>
        <v>292.86155009049298</v>
      </c>
      <c r="N236" s="790">
        <f>IFERROR(INDEX('Hoja de apoyo v2'!B$17:B$20,MATCH($A236,'Hoja de apoyo v2'!$A$17:$A$20,0)),"")</f>
        <v>74.190366972477051</v>
      </c>
      <c r="O236" s="791">
        <f>IFERROR(INDEX('Hoja de apoyo v2'!C$17:C$20,MATCH($A236,'Hoja de apoyo v2'!$A$17:$A$20,0)),"")</f>
        <v>0.71677657005077755</v>
      </c>
      <c r="P236" s="793">
        <f>IFERROR(INDEX('Hoja de apoyo v2'!D$17:D$20,MATCH($A236,'Hoja de apoyo v2'!$A$17:$A$20,0)),"")</f>
        <v>8755.1153350385739</v>
      </c>
      <c r="Q236" s="793">
        <f>IFERROR(INDEX('Hoja de apoyo v2'!E$17:E$20,MATCH($A236,'Hoja de apoyo v2'!$A$17:$A$20,0)),"")</f>
        <v>6098.2042779326393</v>
      </c>
      <c r="R236" s="793">
        <f>IFERROR(INDEX('Hoja de apoyo v2'!F$17:F$20,MATCH($A236,'Hoja de apoyo v2'!$A$17:$A$20,0)),"")</f>
        <v>389.08889713610301</v>
      </c>
      <c r="S236" s="793">
        <f>IFERROR(INDEX('Hoja de apoyo v2'!G$17:G$20,MATCH($A236,'Hoja de apoyo v2'!$A$17:$A$20,0)),"")</f>
        <v>67.90575167807188</v>
      </c>
      <c r="T236" s="792">
        <f>IFERROR(INDEX('Hoja de apoyo v2'!H$17:H$20,MATCH($A236,'Hoja de apoyo v2'!$A$17:$A$20,0)),"")</f>
        <v>258.90325471200998</v>
      </c>
      <c r="U236" s="794">
        <f t="shared" si="112"/>
        <v>1.0259647972051356</v>
      </c>
      <c r="V236" s="795">
        <f t="shared" si="113"/>
        <v>0.78793265826188297</v>
      </c>
      <c r="W236" s="795">
        <f t="shared" si="114"/>
        <v>0.73087889958181773</v>
      </c>
      <c r="X236" s="843">
        <f t="shared" si="115"/>
        <v>1.0151793683675665</v>
      </c>
      <c r="Y236" s="843">
        <f t="shared" si="116"/>
        <v>1.0782118462167825</v>
      </c>
      <c r="Z236" s="843">
        <f t="shared" si="117"/>
        <v>0.63546262151238597</v>
      </c>
      <c r="AA236" s="843">
        <f t="shared" si="118"/>
        <v>1.1311621030653183</v>
      </c>
      <c r="AB236" s="796">
        <f t="shared" si="119"/>
        <v>4</v>
      </c>
      <c r="AC236" s="797">
        <f t="shared" si="120"/>
        <v>3</v>
      </c>
      <c r="AD236" s="797">
        <f t="shared" si="121"/>
        <v>2</v>
      </c>
      <c r="AE236" s="842">
        <f t="shared" si="122"/>
        <v>4</v>
      </c>
      <c r="AF236" s="842">
        <f t="shared" si="123"/>
        <v>4</v>
      </c>
      <c r="AG236" s="842">
        <f t="shared" si="124"/>
        <v>2</v>
      </c>
      <c r="AH236" s="842">
        <f t="shared" si="125"/>
        <v>4</v>
      </c>
      <c r="AI236" s="826" cm="1">
        <f t="array" ref="AI236">SUMPRODUCT(--ISNUMBER($U236:$AA236),$AB$3:$AH$3)</f>
        <v>1</v>
      </c>
      <c r="AJ236" s="829">
        <f t="shared" si="126"/>
        <v>53.610617939334091</v>
      </c>
      <c r="AK236" s="827" t="str">
        <f t="shared" si="127"/>
        <v>En desarrollo</v>
      </c>
      <c r="AL236" s="784" t="str">
        <f t="shared" si="128"/>
        <v>Alta</v>
      </c>
      <c r="AM236" s="799">
        <f>IF(ISNUMBER('Base de datos Rutas'!W234),'Base de datos Rutas'!W234,"")</f>
        <v>2865.9870486706945</v>
      </c>
      <c r="AN236" s="787">
        <f>IFERROR(SUMIFS('Base de datos Rutas'!$W$6:$W$794,'Base de datos Rutas'!$C$6:$C$794,$C236)/'Base de datos Rutas'!I234,"")</f>
        <v>2865.9870486706936</v>
      </c>
      <c r="AO236" s="800">
        <f>IFERROR('Base de datos Rutas'!X234*AN236/AM236,"")</f>
        <v>0.47181486591992339</v>
      </c>
      <c r="AP236" s="800">
        <f t="shared" si="129"/>
        <v>0.52818513408007661</v>
      </c>
      <c r="AQ236" s="789">
        <f>IFERROR(INDEX('Hoja de apoyo v2'!$J$17:$J$20,MATCH($A236,'Hoja de apoyo v2'!$A$17:$A$20,0)),"")</f>
        <v>0.62197445417222763</v>
      </c>
      <c r="AR236" s="789">
        <f t="shared" si="130"/>
        <v>-9.3789320092151018E-2</v>
      </c>
      <c r="AS236" s="784" t="str">
        <f t="shared" si="131"/>
        <v>No</v>
      </c>
      <c r="AT236" s="801">
        <f>IF(ISNUMBER('Base de datos Rutas'!CK234),'Base de datos Rutas'!CK234,"")</f>
        <v>376</v>
      </c>
      <c r="AU236" s="802">
        <f>IF(ISNUMBER('Base de datos Rutas'!CL234),'Base de datos Rutas'!CL234,"")</f>
        <v>718.05</v>
      </c>
      <c r="AV236" s="802">
        <f>IF(ISNUMBER('Base de datos Rutas'!CM234),'Base de datos Rutas'!CM234,"")</f>
        <v>342.04999999999995</v>
      </c>
      <c r="AW236" s="802">
        <f>IF(ISNUMBER('Base de datos Rutas'!CN234),'Base de datos Rutas'!CN234,"")</f>
        <v>6.62</v>
      </c>
      <c r="AX236" s="802">
        <f>IF(ISNUMBER('Base de datos Rutas'!CO234),'Base de datos Rutas'!CO234,"")</f>
        <v>9.4499999999999993</v>
      </c>
      <c r="AY236" s="802">
        <f>IF(ISNUMBER('Base de datos Rutas'!CP234),'Base de datos Rutas'!CP234,"")</f>
        <v>2.8299999999999992</v>
      </c>
      <c r="AZ236" s="802">
        <f>IF(ISNUMBER('Base de datos Rutas'!CQ234),'Base de datos Rutas'!CQ234,"")</f>
        <v>929.55</v>
      </c>
      <c r="BA236" s="802">
        <f>IF(ISNUMBER('Base de datos Rutas'!CR234),'Base de datos Rutas'!CR234,"")</f>
        <v>462.67</v>
      </c>
      <c r="BB236" s="803">
        <f>IF(ISNUMBER('Base de datos Rutas'!CS234),'Base de datos Rutas'!CS234,"")</f>
        <v>466.87999999999994</v>
      </c>
      <c r="BC236" s="804">
        <f t="shared" si="141"/>
        <v>0</v>
      </c>
      <c r="BD236" s="805" t="str">
        <f t="shared" si="142"/>
        <v>No saturada</v>
      </c>
      <c r="BE236" s="806">
        <f t="shared" si="143"/>
        <v>0.49773546339626706</v>
      </c>
      <c r="BF236" s="890">
        <f>IF(ISNUMBER('Base de datos Rutas'!CX234),'Base de datos Rutas'!CX234/100,"")</f>
        <v>0.63463310299440601</v>
      </c>
      <c r="BG236" s="891">
        <f>IF(ISNUMBER('Base de datos Rutas'!CZ234),'Base de datos Rutas'!CZ234/100,"")</f>
        <v>0.67215092683996924</v>
      </c>
      <c r="BH236" s="892">
        <f>IF(ISNUMBER('Base de datos Rutas'!DA234),'Base de datos Rutas'!DA234,"")</f>
        <v>425.98278579772818</v>
      </c>
      <c r="BI236" s="893">
        <f>IF(ISNUMBER('Base de datos Rutas'!DC234),'Base de datos Rutas'!DC234,"")</f>
        <v>16.234517208387736</v>
      </c>
      <c r="BJ236" s="805" t="str">
        <f t="shared" si="144"/>
        <v>Ruta (completo)</v>
      </c>
      <c r="BK236" s="783">
        <f t="shared" si="132"/>
        <v>4</v>
      </c>
      <c r="BL236" s="797">
        <f t="shared" si="133"/>
        <v>4</v>
      </c>
      <c r="BM236" s="797">
        <f t="shared" si="134"/>
        <v>4</v>
      </c>
      <c r="BN236" s="797">
        <f t="shared" si="135"/>
        <v>3</v>
      </c>
      <c r="BO236" s="798" cm="1">
        <f t="array" ref="BO236">SUMPRODUCT(--ISNUMBER($BF236:$BI236),$BK$3:$BN$3)</f>
        <v>1</v>
      </c>
      <c r="BP236" s="831">
        <f t="shared" si="145"/>
        <v>68.75</v>
      </c>
      <c r="BQ236" s="834" t="str">
        <f t="shared" si="146"/>
        <v>Alto</v>
      </c>
      <c r="BR236" s="836">
        <f t="shared" si="136"/>
        <v>40.207963454500572</v>
      </c>
      <c r="BS236" s="836">
        <f t="shared" si="137"/>
        <v>68.75</v>
      </c>
      <c r="BT236" s="837" t="str">
        <f t="shared" si="138"/>
        <v>P1</v>
      </c>
      <c r="BU236" s="807" t="str">
        <f t="shared" si="147"/>
        <v>Con espacio</v>
      </c>
      <c r="BV236" s="807" t="str">
        <f t="shared" si="139"/>
        <v>Zona atractiva</v>
      </c>
      <c r="BW236" s="808" t="str">
        <f t="shared" si="140"/>
        <v>P1 - Ampliar cobertura</v>
      </c>
    </row>
    <row r="237" spans="1:75">
      <c r="A237" s="780" t="str">
        <f>'Base de datos Rutas'!A235</f>
        <v>Norte</v>
      </c>
      <c r="B237" s="781" t="str">
        <f>'Base de datos Rutas'!B235</f>
        <v>Zacatecas</v>
      </c>
      <c r="C237" s="781" t="str">
        <f>'Base de datos Rutas'!C235</f>
        <v>Planta Zacatecas</v>
      </c>
      <c r="D237" s="782" t="str">
        <f>IF(ISNUMBER('Base de datos Rutas'!D235),'Base de datos Rutas'!D235,"Sin código")</f>
        <v>Sin código</v>
      </c>
      <c r="E237" s="783" t="str">
        <f>'Base de datos Rutas'!F235</f>
        <v>Sin código</v>
      </c>
      <c r="F237" s="784" t="str">
        <f>'Base de datos Rutas'!H235</f>
        <v>No</v>
      </c>
      <c r="G237" s="785" t="str">
        <f>IF(ISNUMBER('Base de datos Rutas'!BE235),'Base de datos Rutas'!BE235,"")</f>
        <v/>
      </c>
      <c r="H237" s="786" t="str">
        <f>IF(ISNUMBER('Base de datos Rutas'!BH235),'Base de datos Rutas'!BH235,"")</f>
        <v/>
      </c>
      <c r="I237" s="788" t="str">
        <f>IFERROR(IF(OR(NOT(ISNUMBER('Base de datos Rutas'!O235)),N('Base de datos Rutas'!BK235)=0),"",'Base de datos Rutas'!O235/('Base de datos Rutas'!L235/'Base de datos Rutas'!BK235)),"")</f>
        <v/>
      </c>
      <c r="J237" s="788" t="str">
        <f>IFERROR(IF(OR(NOT(ISNUMBER('Base de datos Rutas'!N235)),N('Base de datos Rutas'!BK235)=0),"",'Base de datos Rutas'!N235/('Base de datos Rutas'!L235/'Base de datos Rutas'!BK235)),"")</f>
        <v/>
      </c>
      <c r="K237" s="788" t="str">
        <f>IFERROR(IF(OR(NOT(ISNUMBER('Base de datos Rutas'!J235)),N('Base de datos Rutas'!BK235)=0),"",'Base de datos Rutas'!J235/('Base de datos Rutas'!L235/'Base de datos Rutas'!BK235)),"")</f>
        <v/>
      </c>
      <c r="L237" s="788" t="str">
        <f>IFERROR(IF(OR(NOT(ISNUMBER('Base de datos Rutas'!K235)),N('Base de datos Rutas'!BK235)=0),"",'Base de datos Rutas'!K235/('Base de datos Rutas'!L235/'Base de datos Rutas'!BK235)),"")</f>
        <v/>
      </c>
      <c r="M237" s="787">
        <f>IF(ISNUMBER('Base de datos Rutas'!AX235),'Base de datos Rutas'!AX235,"")</f>
        <v>439.44128605769203</v>
      </c>
      <c r="N237" s="790">
        <f>IFERROR(INDEX('Hoja de apoyo v2'!B$17:B$20,MATCH($A237,'Hoja de apoyo v2'!$A$17:$A$20,0)),"")</f>
        <v>74.190366972477051</v>
      </c>
      <c r="O237" s="791">
        <f>IFERROR(INDEX('Hoja de apoyo v2'!C$17:C$20,MATCH($A237,'Hoja de apoyo v2'!$A$17:$A$20,0)),"")</f>
        <v>0.71677657005077755</v>
      </c>
      <c r="P237" s="793">
        <f>IFERROR(INDEX('Hoja de apoyo v2'!D$17:D$20,MATCH($A237,'Hoja de apoyo v2'!$A$17:$A$20,0)),"")</f>
        <v>8755.1153350385739</v>
      </c>
      <c r="Q237" s="793">
        <f>IFERROR(INDEX('Hoja de apoyo v2'!E$17:E$20,MATCH($A237,'Hoja de apoyo v2'!$A$17:$A$20,0)),"")</f>
        <v>6098.2042779326393</v>
      </c>
      <c r="R237" s="793">
        <f>IFERROR(INDEX('Hoja de apoyo v2'!F$17:F$20,MATCH($A237,'Hoja de apoyo v2'!$A$17:$A$20,0)),"")</f>
        <v>389.08889713610301</v>
      </c>
      <c r="S237" s="793">
        <f>IFERROR(INDEX('Hoja de apoyo v2'!G$17:G$20,MATCH($A237,'Hoja de apoyo v2'!$A$17:$A$20,0)),"")</f>
        <v>67.90575167807188</v>
      </c>
      <c r="T237" s="792">
        <f>IFERROR(INDEX('Hoja de apoyo v2'!H$17:H$20,MATCH($A237,'Hoja de apoyo v2'!$A$17:$A$20,0)),"")</f>
        <v>258.90325471200998</v>
      </c>
      <c r="U237" s="794" t="str">
        <f t="shared" si="112"/>
        <v/>
      </c>
      <c r="V237" s="795" t="str">
        <f t="shared" si="113"/>
        <v/>
      </c>
      <c r="W237" s="795" t="str">
        <f t="shared" si="114"/>
        <v/>
      </c>
      <c r="X237" s="843" t="str">
        <f t="shared" si="115"/>
        <v/>
      </c>
      <c r="Y237" s="843" t="str">
        <f t="shared" si="116"/>
        <v/>
      </c>
      <c r="Z237" s="843" t="str">
        <f t="shared" si="117"/>
        <v/>
      </c>
      <c r="AA237" s="843">
        <f t="shared" si="118"/>
        <v>1.6973185082068698</v>
      </c>
      <c r="AB237" s="796">
        <f t="shared" si="119"/>
        <v>0</v>
      </c>
      <c r="AC237" s="797">
        <f t="shared" si="120"/>
        <v>0</v>
      </c>
      <c r="AD237" s="797">
        <f t="shared" si="121"/>
        <v>0</v>
      </c>
      <c r="AE237" s="842">
        <f t="shared" si="122"/>
        <v>0</v>
      </c>
      <c r="AF237" s="842">
        <f t="shared" si="123"/>
        <v>0</v>
      </c>
      <c r="AG237" s="842">
        <f t="shared" si="124"/>
        <v>0</v>
      </c>
      <c r="AH237" s="842">
        <f t="shared" si="125"/>
        <v>5</v>
      </c>
      <c r="AI237" s="826" cm="1">
        <f t="array" ref="AI237">SUMPRODUCT(--ISNUMBER($U237:$AA237),$AB$3:$AH$3)</f>
        <v>8.9789113613062493E-2</v>
      </c>
      <c r="AJ237" s="829" t="str">
        <f t="shared" si="126"/>
        <v/>
      </c>
      <c r="AK237" s="827" t="str">
        <f t="shared" si="127"/>
        <v>Ruta inactiva</v>
      </c>
      <c r="AL237" s="784" t="str">
        <f t="shared" si="128"/>
        <v>n/a</v>
      </c>
      <c r="AM237" s="799">
        <f>IF(ISNUMBER('Base de datos Rutas'!W235),'Base de datos Rutas'!W235,"")</f>
        <v>2865.9870486706945</v>
      </c>
      <c r="AN237" s="787">
        <f>IFERROR(SUMIFS('Base de datos Rutas'!$W$6:$W$794,'Base de datos Rutas'!$C$6:$C$794,$C237)/'Base de datos Rutas'!I235,"")</f>
        <v>2865.9870486706936</v>
      </c>
      <c r="AO237" s="800">
        <f>IFERROR('Base de datos Rutas'!X235*AN237/AM237,"")</f>
        <v>0.47181486591992339</v>
      </c>
      <c r="AP237" s="800">
        <f t="shared" si="129"/>
        <v>0.52818513408007661</v>
      </c>
      <c r="AQ237" s="789">
        <f>IFERROR(INDEX('Hoja de apoyo v2'!$J$17:$J$20,MATCH($A237,'Hoja de apoyo v2'!$A$17:$A$20,0)),"")</f>
        <v>0.62197445417222763</v>
      </c>
      <c r="AR237" s="789">
        <f t="shared" si="130"/>
        <v>-9.3789320092151018E-2</v>
      </c>
      <c r="AS237" s="784" t="str">
        <f t="shared" si="131"/>
        <v>No</v>
      </c>
      <c r="AT237" s="801" t="str">
        <f>IF(ISNUMBER('Base de datos Rutas'!CK235),'Base de datos Rutas'!CK235,"")</f>
        <v/>
      </c>
      <c r="AU237" s="802" t="str">
        <f>IF(ISNUMBER('Base de datos Rutas'!CL235),'Base de datos Rutas'!CL235,"")</f>
        <v/>
      </c>
      <c r="AV237" s="802">
        <f>IF(ISNUMBER('Base de datos Rutas'!CM235),'Base de datos Rutas'!CM235,"")</f>
        <v>0</v>
      </c>
      <c r="AW237" s="802" t="str">
        <f>IF(ISNUMBER('Base de datos Rutas'!CN235),'Base de datos Rutas'!CN235,"")</f>
        <v/>
      </c>
      <c r="AX237" s="802" t="str">
        <f>IF(ISNUMBER('Base de datos Rutas'!CO235),'Base de datos Rutas'!CO235,"")</f>
        <v/>
      </c>
      <c r="AY237" s="802">
        <f>IF(ISNUMBER('Base de datos Rutas'!CP235),'Base de datos Rutas'!CP235,"")</f>
        <v>0</v>
      </c>
      <c r="AZ237" s="802" t="str">
        <f>IF(ISNUMBER('Base de datos Rutas'!CQ235),'Base de datos Rutas'!CQ235,"")</f>
        <v/>
      </c>
      <c r="BA237" s="802" t="str">
        <f>IF(ISNUMBER('Base de datos Rutas'!CR235),'Base de datos Rutas'!CR235,"")</f>
        <v/>
      </c>
      <c r="BB237" s="803">
        <f>IF(ISNUMBER('Base de datos Rutas'!CS235),'Base de datos Rutas'!CS235,"")</f>
        <v>0</v>
      </c>
      <c r="BC237" s="804" t="str">
        <f t="shared" si="141"/>
        <v/>
      </c>
      <c r="BD237" s="805" t="str">
        <f t="shared" si="142"/>
        <v>N/D</v>
      </c>
      <c r="BE237" s="806" t="str">
        <f t="shared" si="143"/>
        <v/>
      </c>
      <c r="BF237" s="890" t="str">
        <f>IF(ISNUMBER('Base de datos Rutas'!CX235),'Base de datos Rutas'!CX235/100,"")</f>
        <v/>
      </c>
      <c r="BG237" s="891" t="str">
        <f>IF(ISNUMBER('Base de datos Rutas'!CZ235),'Base de datos Rutas'!CZ235/100,"")</f>
        <v/>
      </c>
      <c r="BH237" s="892" t="str">
        <f>IF(ISNUMBER('Base de datos Rutas'!DA235),'Base de datos Rutas'!DA235,"")</f>
        <v/>
      </c>
      <c r="BI237" s="893" t="str">
        <f>IF(ISNUMBER('Base de datos Rutas'!DC235),'Base de datos Rutas'!DC235,"")</f>
        <v/>
      </c>
      <c r="BJ237" s="805" t="str">
        <f t="shared" si="144"/>
        <v>Sin dato</v>
      </c>
      <c r="BK237" s="783">
        <f t="shared" si="132"/>
        <v>0</v>
      </c>
      <c r="BL237" s="797">
        <f t="shared" si="133"/>
        <v>0</v>
      </c>
      <c r="BM237" s="797">
        <f t="shared" si="134"/>
        <v>0</v>
      </c>
      <c r="BN237" s="797">
        <f t="shared" si="135"/>
        <v>0</v>
      </c>
      <c r="BO237" s="798" cm="1">
        <f t="array" ref="BO237">SUMPRODUCT(--ISNUMBER($BF237:$BI237),$BK$3:$BN$3)</f>
        <v>0</v>
      </c>
      <c r="BP237" s="831" t="str">
        <f t="shared" si="145"/>
        <v/>
      </c>
      <c r="BQ237" s="834" t="str">
        <f t="shared" si="146"/>
        <v>Sin datos</v>
      </c>
      <c r="BR237" s="836" t="str">
        <f t="shared" si="136"/>
        <v/>
      </c>
      <c r="BS237" s="836" t="str">
        <f t="shared" si="137"/>
        <v/>
      </c>
      <c r="BT237" s="837" t="str">
        <f t="shared" si="138"/>
        <v>Sin datos</v>
      </c>
      <c r="BU237" s="807" t="str">
        <f t="shared" si="147"/>
        <v>No evaluable</v>
      </c>
      <c r="BV237" s="807" t="str">
        <f t="shared" si="139"/>
        <v>No evaluable</v>
      </c>
      <c r="BW237" s="808" t="str">
        <f t="shared" si="140"/>
        <v>Sin datos</v>
      </c>
    </row>
    <row r="238" spans="1:75">
      <c r="A238" s="780" t="str">
        <f>'Base de datos Rutas'!A236</f>
        <v>Norte</v>
      </c>
      <c r="B238" s="781" t="str">
        <f>'Base de datos Rutas'!B236</f>
        <v>No está en EERR</v>
      </c>
      <c r="C238" s="781" t="str">
        <f>'Base de datos Rutas'!C236</f>
        <v>Suc. Colotlán</v>
      </c>
      <c r="D238" s="782" t="str">
        <f>IF(ISNUMBER('Base de datos Rutas'!D236),'Base de datos Rutas'!D236,"Sin código")</f>
        <v>Sin código</v>
      </c>
      <c r="E238" s="783" t="str">
        <f>'Base de datos Rutas'!F236</f>
        <v>Sin código</v>
      </c>
      <c r="F238" s="784" t="str">
        <f>'Base de datos Rutas'!H236</f>
        <v>No</v>
      </c>
      <c r="G238" s="785" t="str">
        <f>IF(ISNUMBER('Base de datos Rutas'!BE236),'Base de datos Rutas'!BE236,"")</f>
        <v/>
      </c>
      <c r="H238" s="786" t="str">
        <f>IF(ISNUMBER('Base de datos Rutas'!BH236),'Base de datos Rutas'!BH236,"")</f>
        <v/>
      </c>
      <c r="I238" s="788" t="str">
        <f>IFERROR(IF(OR(NOT(ISNUMBER('Base de datos Rutas'!O236)),N('Base de datos Rutas'!BK236)=0),"",'Base de datos Rutas'!O236/('Base de datos Rutas'!L236/'Base de datos Rutas'!BK236)),"")</f>
        <v/>
      </c>
      <c r="J238" s="788" t="str">
        <f>IFERROR(IF(OR(NOT(ISNUMBER('Base de datos Rutas'!N236)),N('Base de datos Rutas'!BK236)=0),"",'Base de datos Rutas'!N236/('Base de datos Rutas'!L236/'Base de datos Rutas'!BK236)),"")</f>
        <v/>
      </c>
      <c r="K238" s="788" t="str">
        <f>IFERROR(IF(OR(NOT(ISNUMBER('Base de datos Rutas'!J236)),N('Base de datos Rutas'!BK236)=0),"",'Base de datos Rutas'!J236/('Base de datos Rutas'!L236/'Base de datos Rutas'!BK236)),"")</f>
        <v/>
      </c>
      <c r="L238" s="788" t="str">
        <f>IFERROR(IF(OR(NOT(ISNUMBER('Base de datos Rutas'!K236)),N('Base de datos Rutas'!BK236)=0),"",'Base de datos Rutas'!K236/('Base de datos Rutas'!L236/'Base de datos Rutas'!BK236)),"")</f>
        <v/>
      </c>
      <c r="M238" s="787">
        <f>IF(ISNUMBER('Base de datos Rutas'!AX236),'Base de datos Rutas'!AX236,"")</f>
        <v>564.62541871921201</v>
      </c>
      <c r="N238" s="790">
        <f>IFERROR(INDEX('Hoja de apoyo v2'!B$17:B$20,MATCH($A238,'Hoja de apoyo v2'!$A$17:$A$20,0)),"")</f>
        <v>74.190366972477051</v>
      </c>
      <c r="O238" s="791">
        <f>IFERROR(INDEX('Hoja de apoyo v2'!C$17:C$20,MATCH($A238,'Hoja de apoyo v2'!$A$17:$A$20,0)),"")</f>
        <v>0.71677657005077755</v>
      </c>
      <c r="P238" s="793">
        <f>IFERROR(INDEX('Hoja de apoyo v2'!D$17:D$20,MATCH($A238,'Hoja de apoyo v2'!$A$17:$A$20,0)),"")</f>
        <v>8755.1153350385739</v>
      </c>
      <c r="Q238" s="793">
        <f>IFERROR(INDEX('Hoja de apoyo v2'!E$17:E$20,MATCH($A238,'Hoja de apoyo v2'!$A$17:$A$20,0)),"")</f>
        <v>6098.2042779326393</v>
      </c>
      <c r="R238" s="793">
        <f>IFERROR(INDEX('Hoja de apoyo v2'!F$17:F$20,MATCH($A238,'Hoja de apoyo v2'!$A$17:$A$20,0)),"")</f>
        <v>389.08889713610301</v>
      </c>
      <c r="S238" s="793">
        <f>IFERROR(INDEX('Hoja de apoyo v2'!G$17:G$20,MATCH($A238,'Hoja de apoyo v2'!$A$17:$A$20,0)),"")</f>
        <v>67.90575167807188</v>
      </c>
      <c r="T238" s="792">
        <f>IFERROR(INDEX('Hoja de apoyo v2'!H$17:H$20,MATCH($A238,'Hoja de apoyo v2'!$A$17:$A$20,0)),"")</f>
        <v>258.90325471200998</v>
      </c>
      <c r="U238" s="794" t="str">
        <f t="shared" si="112"/>
        <v/>
      </c>
      <c r="V238" s="795" t="str">
        <f t="shared" si="113"/>
        <v/>
      </c>
      <c r="W238" s="795" t="str">
        <f t="shared" si="114"/>
        <v/>
      </c>
      <c r="X238" s="843" t="str">
        <f t="shared" si="115"/>
        <v/>
      </c>
      <c r="Y238" s="843" t="str">
        <f t="shared" si="116"/>
        <v/>
      </c>
      <c r="Z238" s="843" t="str">
        <f t="shared" si="117"/>
        <v/>
      </c>
      <c r="AA238" s="843">
        <f t="shared" si="118"/>
        <v>2.180835537765915</v>
      </c>
      <c r="AB238" s="796">
        <f t="shared" si="119"/>
        <v>0</v>
      </c>
      <c r="AC238" s="797">
        <f t="shared" si="120"/>
        <v>0</v>
      </c>
      <c r="AD238" s="797">
        <f t="shared" si="121"/>
        <v>0</v>
      </c>
      <c r="AE238" s="842">
        <f t="shared" si="122"/>
        <v>0</v>
      </c>
      <c r="AF238" s="842">
        <f t="shared" si="123"/>
        <v>0</v>
      </c>
      <c r="AG238" s="842">
        <f t="shared" si="124"/>
        <v>0</v>
      </c>
      <c r="AH238" s="842">
        <f t="shared" si="125"/>
        <v>5</v>
      </c>
      <c r="AI238" s="826" cm="1">
        <f t="array" ref="AI238">SUMPRODUCT(--ISNUMBER($U238:$AA238),$AB$3:$AH$3)</f>
        <v>8.9789113613062493E-2</v>
      </c>
      <c r="AJ238" s="829" t="str">
        <f t="shared" si="126"/>
        <v/>
      </c>
      <c r="AK238" s="827" t="str">
        <f t="shared" si="127"/>
        <v>Ruta inactiva</v>
      </c>
      <c r="AL238" s="784" t="str">
        <f t="shared" si="128"/>
        <v>n/a</v>
      </c>
      <c r="AM238" s="799" t="str">
        <f>IF(ISNUMBER('Base de datos Rutas'!W236),'Base de datos Rutas'!W236,"")</f>
        <v/>
      </c>
      <c r="AN238" s="787">
        <f>IFERROR(SUMIFS('Base de datos Rutas'!$W$6:$W$794,'Base de datos Rutas'!$C$6:$C$794,$C238)/'Base de datos Rutas'!I236,"")</f>
        <v>0</v>
      </c>
      <c r="AO238" s="800" t="str">
        <f>IFERROR('Base de datos Rutas'!X236*AN238/AM238,"")</f>
        <v/>
      </c>
      <c r="AP238" s="800" t="str">
        <f t="shared" si="129"/>
        <v/>
      </c>
      <c r="AQ238" s="789">
        <f>IFERROR(INDEX('Hoja de apoyo v2'!$J$17:$J$20,MATCH($A238,'Hoja de apoyo v2'!$A$17:$A$20,0)),"")</f>
        <v>0.62197445417222763</v>
      </c>
      <c r="AR238" s="789" t="str">
        <f t="shared" si="130"/>
        <v/>
      </c>
      <c r="AS238" s="784" t="str">
        <f t="shared" si="131"/>
        <v>n/d</v>
      </c>
      <c r="AT238" s="801" t="str">
        <f>IF(ISNUMBER('Base de datos Rutas'!CK236),'Base de datos Rutas'!CK236,"")</f>
        <v/>
      </c>
      <c r="AU238" s="802" t="str">
        <f>IF(ISNUMBER('Base de datos Rutas'!CL236),'Base de datos Rutas'!CL236,"")</f>
        <v/>
      </c>
      <c r="AV238" s="802">
        <f>IF(ISNUMBER('Base de datos Rutas'!CM236),'Base de datos Rutas'!CM236,"")</f>
        <v>0</v>
      </c>
      <c r="AW238" s="802" t="str">
        <f>IF(ISNUMBER('Base de datos Rutas'!CN236),'Base de datos Rutas'!CN236,"")</f>
        <v/>
      </c>
      <c r="AX238" s="802" t="str">
        <f>IF(ISNUMBER('Base de datos Rutas'!CO236),'Base de datos Rutas'!CO236,"")</f>
        <v/>
      </c>
      <c r="AY238" s="802">
        <f>IF(ISNUMBER('Base de datos Rutas'!CP236),'Base de datos Rutas'!CP236,"")</f>
        <v>0</v>
      </c>
      <c r="AZ238" s="802" t="str">
        <f>IF(ISNUMBER('Base de datos Rutas'!CQ236),'Base de datos Rutas'!CQ236,"")</f>
        <v/>
      </c>
      <c r="BA238" s="802" t="str">
        <f>IF(ISNUMBER('Base de datos Rutas'!CR236),'Base de datos Rutas'!CR236,"")</f>
        <v/>
      </c>
      <c r="BB238" s="803">
        <f>IF(ISNUMBER('Base de datos Rutas'!CS236),'Base de datos Rutas'!CS236,"")</f>
        <v>0</v>
      </c>
      <c r="BC238" s="804" t="str">
        <f t="shared" si="141"/>
        <v/>
      </c>
      <c r="BD238" s="805" t="str">
        <f t="shared" si="142"/>
        <v>N/D</v>
      </c>
      <c r="BE238" s="806" t="str">
        <f t="shared" si="143"/>
        <v/>
      </c>
      <c r="BF238" s="890" t="str">
        <f>IF(ISNUMBER('Base de datos Rutas'!CX236),'Base de datos Rutas'!CX236/100,"")</f>
        <v/>
      </c>
      <c r="BG238" s="891" t="str">
        <f>IF(ISNUMBER('Base de datos Rutas'!CZ236),'Base de datos Rutas'!CZ236/100,"")</f>
        <v/>
      </c>
      <c r="BH238" s="892" t="str">
        <f>IF(ISNUMBER('Base de datos Rutas'!DA236),'Base de datos Rutas'!DA236,"")</f>
        <v/>
      </c>
      <c r="BI238" s="893" t="str">
        <f>IF(ISNUMBER('Base de datos Rutas'!DC236),'Base de datos Rutas'!DC236,"")</f>
        <v/>
      </c>
      <c r="BJ238" s="805" t="str">
        <f t="shared" si="144"/>
        <v>Sin dato</v>
      </c>
      <c r="BK238" s="783">
        <f t="shared" si="132"/>
        <v>0</v>
      </c>
      <c r="BL238" s="797">
        <f t="shared" si="133"/>
        <v>0</v>
      </c>
      <c r="BM238" s="797">
        <f t="shared" si="134"/>
        <v>0</v>
      </c>
      <c r="BN238" s="797">
        <f t="shared" si="135"/>
        <v>0</v>
      </c>
      <c r="BO238" s="798" cm="1">
        <f t="array" ref="BO238">SUMPRODUCT(--ISNUMBER($BF238:$BI238),$BK$3:$BN$3)</f>
        <v>0</v>
      </c>
      <c r="BP238" s="831" t="str">
        <f t="shared" si="145"/>
        <v/>
      </c>
      <c r="BQ238" s="834" t="str">
        <f t="shared" si="146"/>
        <v>Sin datos</v>
      </c>
      <c r="BR238" s="836" t="str">
        <f t="shared" si="136"/>
        <v/>
      </c>
      <c r="BS238" s="836" t="str">
        <f t="shared" si="137"/>
        <v/>
      </c>
      <c r="BT238" s="837" t="str">
        <f t="shared" si="138"/>
        <v>Sin datos</v>
      </c>
      <c r="BU238" s="807" t="str">
        <f t="shared" si="147"/>
        <v>No evaluable</v>
      </c>
      <c r="BV238" s="807" t="str">
        <f t="shared" si="139"/>
        <v>No evaluable</v>
      </c>
      <c r="BW238" s="808" t="str">
        <f t="shared" si="140"/>
        <v>Sin datos</v>
      </c>
    </row>
    <row r="239" spans="1:75">
      <c r="A239" s="780" t="str">
        <f>'Base de datos Rutas'!A237</f>
        <v>Norte</v>
      </c>
      <c r="B239" s="781" t="str">
        <f>'Base de datos Rutas'!B237</f>
        <v>Zacatecas</v>
      </c>
      <c r="C239" s="781" t="str">
        <f>'Base de datos Rutas'!C237</f>
        <v>Suc. Fresnillo</v>
      </c>
      <c r="D239" s="782">
        <f>IF(ISNUMBER('Base de datos Rutas'!D237),'Base de datos Rutas'!D237,"Sin código")</f>
        <v>950340</v>
      </c>
      <c r="E239" s="783" t="str">
        <f>'Base de datos Rutas'!F237</f>
        <v>Activa</v>
      </c>
      <c r="F239" s="784" t="str">
        <f>'Base de datos Rutas'!H237</f>
        <v>Sí</v>
      </c>
      <c r="G239" s="785">
        <f>IF(ISNUMBER('Base de datos Rutas'!BE237),'Base de datos Rutas'!BE237,"")</f>
        <v>64.988558352402805</v>
      </c>
      <c r="H239" s="786">
        <f>IF(ISNUMBER('Base de datos Rutas'!BH237),'Base de datos Rutas'!BH237,"")</f>
        <v>0.70028169014084496</v>
      </c>
      <c r="I239" s="788">
        <f>IFERROR(IF(OR(NOT(ISNUMBER('Base de datos Rutas'!O237)),N('Base de datos Rutas'!BK237)=0),"",'Base de datos Rutas'!O237/('Base de datos Rutas'!L237/'Base de datos Rutas'!BK237)),"")</f>
        <v>2384.1647597253968</v>
      </c>
      <c r="J239" s="788">
        <f>IFERROR(IF(OR(NOT(ISNUMBER('Base de datos Rutas'!N237)),N('Base de datos Rutas'!BK237)=0),"",'Base de datos Rutas'!N237/('Base de datos Rutas'!L237/'Base de datos Rutas'!BK237)),"")</f>
        <v>4769.4118993134944</v>
      </c>
      <c r="K239" s="788">
        <f>IFERROR(IF(OR(NOT(ISNUMBER('Base de datos Rutas'!J237)),N('Base de datos Rutas'!BK237)=0),"",'Base de datos Rutas'!J237/('Base de datos Rutas'!L237/'Base de datos Rutas'!BK237)),"")</f>
        <v>329.54994050343203</v>
      </c>
      <c r="L239" s="788">
        <f>IFERROR(IF(OR(NOT(ISNUMBER('Base de datos Rutas'!K237)),N('Base de datos Rutas'!BK237)=0),"",'Base de datos Rutas'!K237/('Base de datos Rutas'!L237/'Base de datos Rutas'!BK237)),"")</f>
        <v>21.879235819221936</v>
      </c>
      <c r="M239" s="787">
        <f>IF(ISNUMBER('Base de datos Rutas'!AX237),'Base de datos Rutas'!AX237,"")</f>
        <v>154.83105390185</v>
      </c>
      <c r="N239" s="790">
        <f>IFERROR(INDEX('Hoja de apoyo v2'!B$17:B$20,MATCH($A239,'Hoja de apoyo v2'!$A$17:$A$20,0)),"")</f>
        <v>74.190366972477051</v>
      </c>
      <c r="O239" s="791">
        <f>IFERROR(INDEX('Hoja de apoyo v2'!C$17:C$20,MATCH($A239,'Hoja de apoyo v2'!$A$17:$A$20,0)),"")</f>
        <v>0.71677657005077755</v>
      </c>
      <c r="P239" s="793">
        <f>IFERROR(INDEX('Hoja de apoyo v2'!D$17:D$20,MATCH($A239,'Hoja de apoyo v2'!$A$17:$A$20,0)),"")</f>
        <v>8755.1153350385739</v>
      </c>
      <c r="Q239" s="793">
        <f>IFERROR(INDEX('Hoja de apoyo v2'!E$17:E$20,MATCH($A239,'Hoja de apoyo v2'!$A$17:$A$20,0)),"")</f>
        <v>6098.2042779326393</v>
      </c>
      <c r="R239" s="793">
        <f>IFERROR(INDEX('Hoja de apoyo v2'!F$17:F$20,MATCH($A239,'Hoja de apoyo v2'!$A$17:$A$20,0)),"")</f>
        <v>389.08889713610301</v>
      </c>
      <c r="S239" s="793">
        <f>IFERROR(INDEX('Hoja de apoyo v2'!G$17:G$20,MATCH($A239,'Hoja de apoyo v2'!$A$17:$A$20,0)),"")</f>
        <v>67.90575167807188</v>
      </c>
      <c r="T239" s="792">
        <f>IFERROR(INDEX('Hoja de apoyo v2'!H$17:H$20,MATCH($A239,'Hoja de apoyo v2'!$A$17:$A$20,0)),"")</f>
        <v>258.90325471200998</v>
      </c>
      <c r="U239" s="794">
        <f t="shared" si="112"/>
        <v>0.87597030456140068</v>
      </c>
      <c r="V239" s="795">
        <f t="shared" si="113"/>
        <v>0.97698741755919272</v>
      </c>
      <c r="W239" s="795">
        <f t="shared" si="114"/>
        <v>0.27231677350768935</v>
      </c>
      <c r="X239" s="843">
        <f t="shared" si="115"/>
        <v>0.78210103859137681</v>
      </c>
      <c r="Y239" s="843">
        <f t="shared" si="116"/>
        <v>0.84697852580500566</v>
      </c>
      <c r="Z239" s="843">
        <f t="shared" si="117"/>
        <v>0.32220003870875608</v>
      </c>
      <c r="AA239" s="843">
        <f t="shared" si="118"/>
        <v>0.59802668017470739</v>
      </c>
      <c r="AB239" s="796">
        <f t="shared" si="119"/>
        <v>3</v>
      </c>
      <c r="AC239" s="797">
        <f t="shared" si="120"/>
        <v>3</v>
      </c>
      <c r="AD239" s="797">
        <f t="shared" si="121"/>
        <v>1</v>
      </c>
      <c r="AE239" s="842">
        <f t="shared" si="122"/>
        <v>3</v>
      </c>
      <c r="AF239" s="842">
        <f t="shared" si="123"/>
        <v>3</v>
      </c>
      <c r="AG239" s="842">
        <f t="shared" si="124"/>
        <v>1</v>
      </c>
      <c r="AH239" s="842">
        <f t="shared" si="125"/>
        <v>2</v>
      </c>
      <c r="AI239" s="826" cm="1">
        <f t="array" ref="AI239">SUMPRODUCT(--ISNUMBER($U239:$AA239),$AB$3:$AH$3)</f>
        <v>1</v>
      </c>
      <c r="AJ239" s="829">
        <f t="shared" si="126"/>
        <v>28.748795684897999</v>
      </c>
      <c r="AK239" s="827" t="str">
        <f t="shared" si="127"/>
        <v>Inmadura</v>
      </c>
      <c r="AL239" s="784" t="str">
        <f t="shared" si="128"/>
        <v>Alta</v>
      </c>
      <c r="AM239" s="799">
        <f>IF(ISNUMBER('Base de datos Rutas'!W237),'Base de datos Rutas'!W237,"")</f>
        <v>2263.4604844889545</v>
      </c>
      <c r="AN239" s="787">
        <f>IFERROR(SUMIFS('Base de datos Rutas'!$W$6:$W$794,'Base de datos Rutas'!$C$6:$C$794,$C239)/'Base de datos Rutas'!I237,"")</f>
        <v>2263.4604844889545</v>
      </c>
      <c r="AO239" s="800">
        <f>IFERROR('Base de datos Rutas'!X237*AN239/AM239,"")</f>
        <v>0.55077537413077904</v>
      </c>
      <c r="AP239" s="800">
        <f t="shared" si="129"/>
        <v>0.44922462586922096</v>
      </c>
      <c r="AQ239" s="789">
        <f>IFERROR(INDEX('Hoja de apoyo v2'!$J$17:$J$20,MATCH($A239,'Hoja de apoyo v2'!$A$17:$A$20,0)),"")</f>
        <v>0.62197445417222763</v>
      </c>
      <c r="AR239" s="789">
        <f t="shared" si="130"/>
        <v>-0.17274982830300667</v>
      </c>
      <c r="AS239" s="784" t="str">
        <f t="shared" si="131"/>
        <v>No</v>
      </c>
      <c r="AT239" s="801">
        <f>IF(ISNUMBER('Base de datos Rutas'!CK237),'Base de datos Rutas'!CK237,"")</f>
        <v>389</v>
      </c>
      <c r="AU239" s="802">
        <f>IF(ISNUMBER('Base de datos Rutas'!CL237),'Base de datos Rutas'!CL237,"")</f>
        <v>587.97</v>
      </c>
      <c r="AV239" s="802">
        <f>IF(ISNUMBER('Base de datos Rutas'!CM237),'Base de datos Rutas'!CM237,"")</f>
        <v>198.97000000000003</v>
      </c>
      <c r="AW239" s="802">
        <f>IF(ISNUMBER('Base de datos Rutas'!CN237),'Base de datos Rutas'!CN237,"")</f>
        <v>5.4</v>
      </c>
      <c r="AX239" s="802">
        <f>IF(ISNUMBER('Base de datos Rutas'!CO237),'Base de datos Rutas'!CO237,"")</f>
        <v>9.4499999999999993</v>
      </c>
      <c r="AY239" s="802">
        <f>IF(ISNUMBER('Base de datos Rutas'!CP237),'Base de datos Rutas'!CP237,"")</f>
        <v>4.0499999999999989</v>
      </c>
      <c r="AZ239" s="802">
        <f>IF(ISNUMBER('Base de datos Rutas'!CQ237),'Base de datos Rutas'!CQ237,"")</f>
        <v>602.75</v>
      </c>
      <c r="BA239" s="802">
        <f>IF(ISNUMBER('Base de datos Rutas'!CR237),'Base de datos Rutas'!CR237,"")</f>
        <v>351.43</v>
      </c>
      <c r="BB239" s="803">
        <f>IF(ISNUMBER('Base de datos Rutas'!CS237),'Base de datos Rutas'!CS237,"")</f>
        <v>251.32</v>
      </c>
      <c r="BC239" s="804">
        <f t="shared" si="141"/>
        <v>0</v>
      </c>
      <c r="BD239" s="805" t="str">
        <f t="shared" si="142"/>
        <v>No saturada</v>
      </c>
      <c r="BE239" s="806">
        <f t="shared" si="143"/>
        <v>0.58304437992534219</v>
      </c>
      <c r="BF239" s="890">
        <f>IF(ISNUMBER('Base de datos Rutas'!CX237),'Base de datos Rutas'!CX237/100,"")</f>
        <v>0.29468879096667588</v>
      </c>
      <c r="BG239" s="891">
        <f>IF(ISNUMBER('Base de datos Rutas'!CZ237),'Base de datos Rutas'!CZ237/100,"")</f>
        <v>0.32208757917928943</v>
      </c>
      <c r="BH239" s="892">
        <f>IF(ISNUMBER('Base de datos Rutas'!DA237),'Base de datos Rutas'!DA237,"")</f>
        <v>294.17954367863695</v>
      </c>
      <c r="BI239" s="893">
        <f>IF(ISNUMBER('Base de datos Rutas'!DC237),'Base de datos Rutas'!DC237,"")</f>
        <v>14.652244949383258</v>
      </c>
      <c r="BJ239" s="805" t="str">
        <f t="shared" si="144"/>
        <v>Ruta (completo)</v>
      </c>
      <c r="BK239" s="783">
        <f t="shared" si="132"/>
        <v>3</v>
      </c>
      <c r="BL239" s="797">
        <f t="shared" si="133"/>
        <v>3</v>
      </c>
      <c r="BM239" s="797">
        <f t="shared" si="134"/>
        <v>4</v>
      </c>
      <c r="BN239" s="797">
        <f t="shared" si="135"/>
        <v>4</v>
      </c>
      <c r="BO239" s="798" cm="1">
        <f t="array" ref="BO239">SUMPRODUCT(--ISNUMBER($BF239:$BI239),$BK$3:$BN$3)</f>
        <v>1</v>
      </c>
      <c r="BP239" s="831">
        <f t="shared" si="145"/>
        <v>62.5</v>
      </c>
      <c r="BQ239" s="834" t="str">
        <f t="shared" si="146"/>
        <v>Alto</v>
      </c>
      <c r="BR239" s="836">
        <f t="shared" si="136"/>
        <v>21.561596763673499</v>
      </c>
      <c r="BS239" s="836">
        <f t="shared" si="137"/>
        <v>62.5</v>
      </c>
      <c r="BT239" s="837" t="str">
        <f t="shared" si="138"/>
        <v>P3</v>
      </c>
      <c r="BU239" s="807" t="str">
        <f t="shared" si="147"/>
        <v>Con espacio</v>
      </c>
      <c r="BV239" s="807" t="str">
        <f t="shared" si="139"/>
        <v>Zona atractiva</v>
      </c>
      <c r="BW239" s="808" t="str">
        <f t="shared" si="140"/>
        <v>P3 - Desarrollar</v>
      </c>
    </row>
    <row r="240" spans="1:75">
      <c r="A240" s="780" t="str">
        <f>'Base de datos Rutas'!A238</f>
        <v>Norte</v>
      </c>
      <c r="B240" s="781" t="str">
        <f>'Base de datos Rutas'!B238</f>
        <v>Zacatecas</v>
      </c>
      <c r="C240" s="781" t="str">
        <f>'Base de datos Rutas'!C238</f>
        <v>Suc. Fresnillo</v>
      </c>
      <c r="D240" s="782">
        <f>IF(ISNUMBER('Base de datos Rutas'!D238),'Base de datos Rutas'!D238,"Sin código")</f>
        <v>950341</v>
      </c>
      <c r="E240" s="783" t="str">
        <f>'Base de datos Rutas'!F238</f>
        <v>Activa</v>
      </c>
      <c r="F240" s="784" t="str">
        <f>'Base de datos Rutas'!H238</f>
        <v>Sí</v>
      </c>
      <c r="G240" s="785">
        <f>IF(ISNUMBER('Base de datos Rutas'!BE238),'Base de datos Rutas'!BE238,"")</f>
        <v>63.482837528604101</v>
      </c>
      <c r="H240" s="786">
        <f>IF(ISNUMBER('Base de datos Rutas'!BH238),'Base de datos Rutas'!BH238,"")</f>
        <v>0.71162857760795895</v>
      </c>
      <c r="I240" s="788">
        <f>IFERROR(IF(OR(NOT(ISNUMBER('Base de datos Rutas'!O238)),N('Base de datos Rutas'!BK238)=0),"",'Base de datos Rutas'!O238/('Base de datos Rutas'!L238/'Base de datos Rutas'!BK238)),"")</f>
        <v>2812.9016018306602</v>
      </c>
      <c r="J240" s="788">
        <f>IFERROR(IF(OR(NOT(ISNUMBER('Base de datos Rutas'!N238)),N('Base de datos Rutas'!BK238)=0),"",'Base de datos Rutas'!N238/('Base de datos Rutas'!L238/'Base de datos Rutas'!BK238)),"")</f>
        <v>5376.2356979404967</v>
      </c>
      <c r="K240" s="788">
        <f>IFERROR(IF(OR(NOT(ISNUMBER('Base de datos Rutas'!J238)),N('Base de datos Rutas'!BK238)=0),"",'Base de datos Rutas'!J238/('Base de datos Rutas'!L238/'Base de datos Rutas'!BK238)),"")</f>
        <v>375.14769061784847</v>
      </c>
      <c r="L240" s="788">
        <f>IFERROR(IF(OR(NOT(ISNUMBER('Base de datos Rutas'!K238)),N('Base de datos Rutas'!BK238)=0),"",'Base de datos Rutas'!K238/('Base de datos Rutas'!L238/'Base de datos Rutas'!BK238)),"")</f>
        <v>22.959661267734525</v>
      </c>
      <c r="M240" s="787">
        <f>IF(ISNUMBER('Base de datos Rutas'!AX238),'Base de datos Rutas'!AX238,"")</f>
        <v>181.27096900010099</v>
      </c>
      <c r="N240" s="790">
        <f>IFERROR(INDEX('Hoja de apoyo v2'!B$17:B$20,MATCH($A240,'Hoja de apoyo v2'!$A$17:$A$20,0)),"")</f>
        <v>74.190366972477051</v>
      </c>
      <c r="O240" s="791">
        <f>IFERROR(INDEX('Hoja de apoyo v2'!C$17:C$20,MATCH($A240,'Hoja de apoyo v2'!$A$17:$A$20,0)),"")</f>
        <v>0.71677657005077755</v>
      </c>
      <c r="P240" s="793">
        <f>IFERROR(INDEX('Hoja de apoyo v2'!D$17:D$20,MATCH($A240,'Hoja de apoyo v2'!$A$17:$A$20,0)),"")</f>
        <v>8755.1153350385739</v>
      </c>
      <c r="Q240" s="793">
        <f>IFERROR(INDEX('Hoja de apoyo v2'!E$17:E$20,MATCH($A240,'Hoja de apoyo v2'!$A$17:$A$20,0)),"")</f>
        <v>6098.2042779326393</v>
      </c>
      <c r="R240" s="793">
        <f>IFERROR(INDEX('Hoja de apoyo v2'!F$17:F$20,MATCH($A240,'Hoja de apoyo v2'!$A$17:$A$20,0)),"")</f>
        <v>389.08889713610301</v>
      </c>
      <c r="S240" s="793">
        <f>IFERROR(INDEX('Hoja de apoyo v2'!G$17:G$20,MATCH($A240,'Hoja de apoyo v2'!$A$17:$A$20,0)),"")</f>
        <v>67.90575167807188</v>
      </c>
      <c r="T240" s="792">
        <f>IFERROR(INDEX('Hoja de apoyo v2'!H$17:H$20,MATCH($A240,'Hoja de apoyo v2'!$A$17:$A$20,0)),"")</f>
        <v>258.90325471200998</v>
      </c>
      <c r="U240" s="794">
        <f t="shared" si="112"/>
        <v>0.85567493623740665</v>
      </c>
      <c r="V240" s="795">
        <f t="shared" si="113"/>
        <v>0.99281785613827489</v>
      </c>
      <c r="W240" s="795">
        <f t="shared" si="114"/>
        <v>0.32128664148754665</v>
      </c>
      <c r="X240" s="843">
        <f t="shared" si="115"/>
        <v>0.88160964325109514</v>
      </c>
      <c r="Y240" s="843">
        <f t="shared" si="116"/>
        <v>0.96416961105580479</v>
      </c>
      <c r="Z240" s="843">
        <f t="shared" si="117"/>
        <v>0.33811070049827102</v>
      </c>
      <c r="AA240" s="843">
        <f t="shared" si="118"/>
        <v>0.70014944076982366</v>
      </c>
      <c r="AB240" s="796">
        <f t="shared" si="119"/>
        <v>3</v>
      </c>
      <c r="AC240" s="797">
        <f t="shared" si="120"/>
        <v>3</v>
      </c>
      <c r="AD240" s="797">
        <f t="shared" si="121"/>
        <v>1</v>
      </c>
      <c r="AE240" s="842">
        <f t="shared" si="122"/>
        <v>3</v>
      </c>
      <c r="AF240" s="842">
        <f t="shared" si="123"/>
        <v>3</v>
      </c>
      <c r="AG240" s="842">
        <f t="shared" si="124"/>
        <v>1</v>
      </c>
      <c r="AH240" s="842">
        <f t="shared" si="125"/>
        <v>2</v>
      </c>
      <c r="AI240" s="826" cm="1">
        <f t="array" ref="AI240">SUMPRODUCT(--ISNUMBER($U240:$AA240),$AB$3:$AH$3)</f>
        <v>1</v>
      </c>
      <c r="AJ240" s="829">
        <f t="shared" si="126"/>
        <v>28.748795684897999</v>
      </c>
      <c r="AK240" s="827" t="str">
        <f t="shared" si="127"/>
        <v>Inmadura</v>
      </c>
      <c r="AL240" s="784" t="str">
        <f t="shared" si="128"/>
        <v>Alta</v>
      </c>
      <c r="AM240" s="799">
        <f>IF(ISNUMBER('Base de datos Rutas'!W238),'Base de datos Rutas'!W238,"")</f>
        <v>2263.4604844889545</v>
      </c>
      <c r="AN240" s="787">
        <f>IFERROR(SUMIFS('Base de datos Rutas'!$W$6:$W$794,'Base de datos Rutas'!$C$6:$C$794,$C240)/'Base de datos Rutas'!I238,"")</f>
        <v>2263.4604844889545</v>
      </c>
      <c r="AO240" s="800">
        <f>IFERROR('Base de datos Rutas'!X238*AN240/AM240,"")</f>
        <v>0.55077537413077904</v>
      </c>
      <c r="AP240" s="800">
        <f t="shared" si="129"/>
        <v>0.44922462586922096</v>
      </c>
      <c r="AQ240" s="789">
        <f>IFERROR(INDEX('Hoja de apoyo v2'!$J$17:$J$20,MATCH($A240,'Hoja de apoyo v2'!$A$17:$A$20,0)),"")</f>
        <v>0.62197445417222763</v>
      </c>
      <c r="AR240" s="789">
        <f t="shared" si="130"/>
        <v>-0.17274982830300667</v>
      </c>
      <c r="AS240" s="784" t="str">
        <f t="shared" si="131"/>
        <v>No</v>
      </c>
      <c r="AT240" s="801">
        <f>IF(ISNUMBER('Base de datos Rutas'!CK238),'Base de datos Rutas'!CK238,"")</f>
        <v>341</v>
      </c>
      <c r="AU240" s="802">
        <f>IF(ISNUMBER('Base de datos Rutas'!CL238),'Base de datos Rutas'!CL238,"")</f>
        <v>469.97</v>
      </c>
      <c r="AV240" s="802">
        <f>IF(ISNUMBER('Base de datos Rutas'!CM238),'Base de datos Rutas'!CM238,"")</f>
        <v>128.97000000000003</v>
      </c>
      <c r="AW240" s="802">
        <f>IF(ISNUMBER('Base de datos Rutas'!CN238),'Base de datos Rutas'!CN238,"")</f>
        <v>5.82</v>
      </c>
      <c r="AX240" s="802">
        <f>IF(ISNUMBER('Base de datos Rutas'!CO238),'Base de datos Rutas'!CO238,"")</f>
        <v>9.4499999999999993</v>
      </c>
      <c r="AY240" s="802">
        <f>IF(ISNUMBER('Base de datos Rutas'!CP238),'Base de datos Rutas'!CP238,"")</f>
        <v>3.629999999999999</v>
      </c>
      <c r="AZ240" s="802">
        <f>IF(ISNUMBER('Base de datos Rutas'!CQ238),'Base de datos Rutas'!CQ238,"")</f>
        <v>602.75</v>
      </c>
      <c r="BA240" s="802">
        <f>IF(ISNUMBER('Base de datos Rutas'!CR238),'Base de datos Rutas'!CR238,"")</f>
        <v>398.11</v>
      </c>
      <c r="BB240" s="803">
        <f>IF(ISNUMBER('Base de datos Rutas'!CS238),'Base de datos Rutas'!CS238,"")</f>
        <v>204.64</v>
      </c>
      <c r="BC240" s="804">
        <f t="shared" si="141"/>
        <v>0</v>
      </c>
      <c r="BD240" s="805" t="str">
        <f t="shared" si="142"/>
        <v>No saturada</v>
      </c>
      <c r="BE240" s="806">
        <f t="shared" si="143"/>
        <v>0.66048942347573625</v>
      </c>
      <c r="BF240" s="890">
        <f>IF(ISNUMBER('Base de datos Rutas'!CX238),'Base de datos Rutas'!CX238/100,"")</f>
        <v>0.37708271194218201</v>
      </c>
      <c r="BG240" s="891">
        <f>IF(ISNUMBER('Base de datos Rutas'!CZ238),'Base de datos Rutas'!CZ238/100,"")</f>
        <v>0.39187793965813922</v>
      </c>
      <c r="BH240" s="892">
        <f>IF(ISNUMBER('Base de datos Rutas'!DA238),'Base de datos Rutas'!DA238,"")</f>
        <v>131.40888336722824</v>
      </c>
      <c r="BI240" s="893">
        <f>IF(ISNUMBER('Base de datos Rutas'!DC238),'Base de datos Rutas'!DC238,"")</f>
        <v>6.4002014476648688</v>
      </c>
      <c r="BJ240" s="805" t="str">
        <f t="shared" si="144"/>
        <v>Ruta (completo)</v>
      </c>
      <c r="BK240" s="783">
        <f t="shared" si="132"/>
        <v>4</v>
      </c>
      <c r="BL240" s="797">
        <f t="shared" si="133"/>
        <v>4</v>
      </c>
      <c r="BM240" s="797">
        <f t="shared" si="134"/>
        <v>3</v>
      </c>
      <c r="BN240" s="797">
        <f t="shared" si="135"/>
        <v>3</v>
      </c>
      <c r="BO240" s="798" cm="1">
        <f t="array" ref="BO240">SUMPRODUCT(--ISNUMBER($BF240:$BI240),$BK$3:$BN$3)</f>
        <v>1</v>
      </c>
      <c r="BP240" s="831">
        <f t="shared" si="145"/>
        <v>62.5</v>
      </c>
      <c r="BQ240" s="834" t="str">
        <f t="shared" si="146"/>
        <v>Alto</v>
      </c>
      <c r="BR240" s="836">
        <f t="shared" si="136"/>
        <v>21.561596763673499</v>
      </c>
      <c r="BS240" s="836">
        <f t="shared" si="137"/>
        <v>62.5</v>
      </c>
      <c r="BT240" s="837" t="str">
        <f t="shared" si="138"/>
        <v>P3</v>
      </c>
      <c r="BU240" s="807" t="str">
        <f t="shared" si="147"/>
        <v>Con espacio</v>
      </c>
      <c r="BV240" s="807" t="str">
        <f t="shared" si="139"/>
        <v>Zona atractiva</v>
      </c>
      <c r="BW240" s="808" t="str">
        <f t="shared" si="140"/>
        <v>P3 - Desarrollar</v>
      </c>
    </row>
    <row r="241" spans="1:75">
      <c r="A241" s="780" t="str">
        <f>'Base de datos Rutas'!A239</f>
        <v>Norte</v>
      </c>
      <c r="B241" s="781" t="str">
        <f>'Base de datos Rutas'!B239</f>
        <v>Zacatecas</v>
      </c>
      <c r="C241" s="781" t="str">
        <f>'Base de datos Rutas'!C239</f>
        <v>Suc. Fresnillo</v>
      </c>
      <c r="D241" s="782">
        <f>IF(ISNUMBER('Base de datos Rutas'!D239),'Base de datos Rutas'!D239,"Sin código")</f>
        <v>950342</v>
      </c>
      <c r="E241" s="783" t="str">
        <f>'Base de datos Rutas'!F239</f>
        <v>Activa</v>
      </c>
      <c r="F241" s="784" t="str">
        <f>'Base de datos Rutas'!H239</f>
        <v>Sí</v>
      </c>
      <c r="G241" s="785">
        <f>IF(ISNUMBER('Base de datos Rutas'!BE239),'Base de datos Rutas'!BE239,"")</f>
        <v>52.292906178489702</v>
      </c>
      <c r="H241" s="786">
        <f>IF(ISNUMBER('Base de datos Rutas'!BH239),'Base de datos Rutas'!BH239,"")</f>
        <v>0.59268335375459502</v>
      </c>
      <c r="I241" s="788">
        <f>IFERROR(IF(OR(NOT(ISNUMBER('Base de datos Rutas'!O239)),N('Base de datos Rutas'!BK239)=0),"",'Base de datos Rutas'!O239/('Base de datos Rutas'!L239/'Base de datos Rutas'!BK239)),"")</f>
        <v>1770.7826086956522</v>
      </c>
      <c r="J241" s="788">
        <f>IFERROR(IF(OR(NOT(ISNUMBER('Base de datos Rutas'!N239)),N('Base de datos Rutas'!BK239)=0),"",'Base de datos Rutas'!N239/('Base de datos Rutas'!L239/'Base de datos Rutas'!BK239)),"")</f>
        <v>5146.894736842105</v>
      </c>
      <c r="K241" s="788">
        <f>IFERROR(IF(OR(NOT(ISNUMBER('Base de datos Rutas'!J239)),N('Base de datos Rutas'!BK239)=0),"",'Base de datos Rutas'!J239/('Base de datos Rutas'!L239/'Base de datos Rutas'!BK239)),"")</f>
        <v>355.84485801372995</v>
      </c>
      <c r="L241" s="788">
        <f>IFERROR(IF(OR(NOT(ISNUMBER('Base de datos Rutas'!K239)),N('Base de datos Rutas'!BK239)=0),"",'Base de datos Rutas'!K239/('Base de datos Rutas'!L239/'Base de datos Rutas'!BK239)),"")</f>
        <v>17.110729389016019</v>
      </c>
      <c r="M241" s="787">
        <f>IF(ISNUMBER('Base de datos Rutas'!AX239),'Base de datos Rutas'!AX239,"")</f>
        <v>223.21656600708801</v>
      </c>
      <c r="N241" s="790">
        <f>IFERROR(INDEX('Hoja de apoyo v2'!B$17:B$20,MATCH($A241,'Hoja de apoyo v2'!$A$17:$A$20,0)),"")</f>
        <v>74.190366972477051</v>
      </c>
      <c r="O241" s="791">
        <f>IFERROR(INDEX('Hoja de apoyo v2'!C$17:C$20,MATCH($A241,'Hoja de apoyo v2'!$A$17:$A$20,0)),"")</f>
        <v>0.71677657005077755</v>
      </c>
      <c r="P241" s="793">
        <f>IFERROR(INDEX('Hoja de apoyo v2'!D$17:D$20,MATCH($A241,'Hoja de apoyo v2'!$A$17:$A$20,0)),"")</f>
        <v>8755.1153350385739</v>
      </c>
      <c r="Q241" s="793">
        <f>IFERROR(INDEX('Hoja de apoyo v2'!E$17:E$20,MATCH($A241,'Hoja de apoyo v2'!$A$17:$A$20,0)),"")</f>
        <v>6098.2042779326393</v>
      </c>
      <c r="R241" s="793">
        <f>IFERROR(INDEX('Hoja de apoyo v2'!F$17:F$20,MATCH($A241,'Hoja de apoyo v2'!$A$17:$A$20,0)),"")</f>
        <v>389.08889713610301</v>
      </c>
      <c r="S241" s="793">
        <f>IFERROR(INDEX('Hoja de apoyo v2'!G$17:G$20,MATCH($A241,'Hoja de apoyo v2'!$A$17:$A$20,0)),"")</f>
        <v>67.90575167807188</v>
      </c>
      <c r="T241" s="792">
        <f>IFERROR(INDEX('Hoja de apoyo v2'!H$17:H$20,MATCH($A241,'Hoja de apoyo v2'!$A$17:$A$20,0)),"")</f>
        <v>258.90325471200998</v>
      </c>
      <c r="U241" s="794">
        <f t="shared" si="112"/>
        <v>0.70484765492384194</v>
      </c>
      <c r="V241" s="795">
        <f t="shared" si="113"/>
        <v>0.82687322454277268</v>
      </c>
      <c r="W241" s="795">
        <f t="shared" si="114"/>
        <v>0.20225691392195125</v>
      </c>
      <c r="X241" s="843">
        <f t="shared" si="115"/>
        <v>0.84400169332913211</v>
      </c>
      <c r="Y241" s="843">
        <f t="shared" si="116"/>
        <v>0.91455927072947463</v>
      </c>
      <c r="Z241" s="843">
        <f t="shared" si="117"/>
        <v>0.25197761553593723</v>
      </c>
      <c r="AA241" s="843">
        <f t="shared" si="118"/>
        <v>0.86216206998008604</v>
      </c>
      <c r="AB241" s="796">
        <f t="shared" si="119"/>
        <v>2</v>
      </c>
      <c r="AC241" s="797">
        <f t="shared" si="120"/>
        <v>3</v>
      </c>
      <c r="AD241" s="797">
        <f t="shared" si="121"/>
        <v>1</v>
      </c>
      <c r="AE241" s="842">
        <f t="shared" si="122"/>
        <v>3</v>
      </c>
      <c r="AF241" s="842">
        <f t="shared" si="123"/>
        <v>3</v>
      </c>
      <c r="AG241" s="842">
        <f t="shared" si="124"/>
        <v>1</v>
      </c>
      <c r="AH241" s="842">
        <f t="shared" si="125"/>
        <v>3</v>
      </c>
      <c r="AI241" s="826" cm="1">
        <f t="array" ref="AI241">SUMPRODUCT(--ISNUMBER($U241:$AA241),$AB$3:$AH$3)</f>
        <v>1</v>
      </c>
      <c r="AJ241" s="829">
        <f t="shared" si="126"/>
        <v>26.459887347087808</v>
      </c>
      <c r="AK241" s="827" t="str">
        <f t="shared" si="127"/>
        <v>Inmadura</v>
      </c>
      <c r="AL241" s="784" t="str">
        <f t="shared" si="128"/>
        <v>Alta</v>
      </c>
      <c r="AM241" s="799">
        <f>IF(ISNUMBER('Base de datos Rutas'!W239),'Base de datos Rutas'!W239,"")</f>
        <v>2263.4604844889545</v>
      </c>
      <c r="AN241" s="787">
        <f>IFERROR(SUMIFS('Base de datos Rutas'!$W$6:$W$794,'Base de datos Rutas'!$C$6:$C$794,$C241)/'Base de datos Rutas'!I239,"")</f>
        <v>2263.4604844889545</v>
      </c>
      <c r="AO241" s="800">
        <f>IFERROR('Base de datos Rutas'!X239*AN241/AM241,"")</f>
        <v>0.55077537413077904</v>
      </c>
      <c r="AP241" s="800">
        <f t="shared" si="129"/>
        <v>0.44922462586922096</v>
      </c>
      <c r="AQ241" s="789">
        <f>IFERROR(INDEX('Hoja de apoyo v2'!$J$17:$J$20,MATCH($A241,'Hoja de apoyo v2'!$A$17:$A$20,0)),"")</f>
        <v>0.62197445417222763</v>
      </c>
      <c r="AR241" s="789">
        <f t="shared" si="130"/>
        <v>-0.17274982830300667</v>
      </c>
      <c r="AS241" s="784" t="str">
        <f t="shared" si="131"/>
        <v>No</v>
      </c>
      <c r="AT241" s="801">
        <f>IF(ISNUMBER('Base de datos Rutas'!CK239),'Base de datos Rutas'!CK239,"")</f>
        <v>281</v>
      </c>
      <c r="AU241" s="802">
        <f>IF(ISNUMBER('Base de datos Rutas'!CL239),'Base de datos Rutas'!CL239,"")</f>
        <v>310.04000000000002</v>
      </c>
      <c r="AV241" s="802">
        <f>IF(ISNUMBER('Base de datos Rutas'!CM239),'Base de datos Rutas'!CM239,"")</f>
        <v>29.04000000000002</v>
      </c>
      <c r="AW241" s="802">
        <f>IF(ISNUMBER('Base de datos Rutas'!CN239),'Base de datos Rutas'!CN239,"")</f>
        <v>3.86</v>
      </c>
      <c r="AX241" s="802">
        <f>IF(ISNUMBER('Base de datos Rutas'!CO239),'Base de datos Rutas'!CO239,"")</f>
        <v>9.4499999999999993</v>
      </c>
      <c r="AY241" s="802">
        <f>IF(ISNUMBER('Base de datos Rutas'!CP239),'Base de datos Rutas'!CP239,"")</f>
        <v>5.59</v>
      </c>
      <c r="AZ241" s="802">
        <f>IF(ISNUMBER('Base de datos Rutas'!CQ239),'Base de datos Rutas'!CQ239,"")</f>
        <v>602.75</v>
      </c>
      <c r="BA241" s="802">
        <f>IF(ISNUMBER('Base de datos Rutas'!CR239),'Base de datos Rutas'!CR239,"")</f>
        <v>372.96</v>
      </c>
      <c r="BB241" s="803">
        <f>IF(ISNUMBER('Base de datos Rutas'!CS239),'Base de datos Rutas'!CS239,"")</f>
        <v>229.79000000000002</v>
      </c>
      <c r="BC241" s="804">
        <f t="shared" si="141"/>
        <v>0</v>
      </c>
      <c r="BD241" s="805" t="str">
        <f t="shared" si="142"/>
        <v>No saturada</v>
      </c>
      <c r="BE241" s="806">
        <f t="shared" si="143"/>
        <v>0.61876399834093732</v>
      </c>
      <c r="BF241" s="890">
        <f>IF(ISNUMBER('Base de datos Rutas'!CX239),'Base de datos Rutas'!CX239/100,"")</f>
        <v>-1.8928875035420798E-3</v>
      </c>
      <c r="BG241" s="891">
        <f>IF(ISNUMBER('Base de datos Rutas'!CZ239),'Base de datos Rutas'!CZ239/100,"")</f>
        <v>8.5009917823746103E-4</v>
      </c>
      <c r="BH241" s="892">
        <f>IF(ISNUMBER('Base de datos Rutas'!DA239),'Base de datos Rutas'!DA239,"")</f>
        <v>23.466940591783754</v>
      </c>
      <c r="BI241" s="893">
        <f>IF(ISNUMBER('Base de datos Rutas'!DC239),'Base de datos Rutas'!DC239,"")</f>
        <v>1.1841571810204181</v>
      </c>
      <c r="BJ241" s="805" t="str">
        <f t="shared" si="144"/>
        <v>Ruta (completo)</v>
      </c>
      <c r="BK241" s="783">
        <f t="shared" si="132"/>
        <v>1</v>
      </c>
      <c r="BL241" s="797">
        <f t="shared" si="133"/>
        <v>1</v>
      </c>
      <c r="BM241" s="797">
        <f t="shared" si="134"/>
        <v>1</v>
      </c>
      <c r="BN241" s="797">
        <f t="shared" si="135"/>
        <v>1</v>
      </c>
      <c r="BO241" s="798" cm="1">
        <f t="array" ref="BO241">SUMPRODUCT(--ISNUMBER($BF241:$BI241),$BK$3:$BN$3)</f>
        <v>1</v>
      </c>
      <c r="BP241" s="831">
        <f t="shared" si="145"/>
        <v>0</v>
      </c>
      <c r="BQ241" s="834" t="str">
        <f t="shared" si="146"/>
        <v>Bajo</v>
      </c>
      <c r="BR241" s="836">
        <f t="shared" si="136"/>
        <v>19.844915510315857</v>
      </c>
      <c r="BS241" s="836">
        <f t="shared" si="137"/>
        <v>0</v>
      </c>
      <c r="BT241" s="837" t="str">
        <f t="shared" si="138"/>
        <v>P4</v>
      </c>
      <c r="BU241" s="807" t="str">
        <f t="shared" si="147"/>
        <v>Con espacio</v>
      </c>
      <c r="BV241" s="807" t="str">
        <f t="shared" si="139"/>
        <v>Zona de bajo potencial</v>
      </c>
      <c r="BW241" s="808" t="str">
        <f t="shared" si="140"/>
        <v>P4 - Evaluar</v>
      </c>
    </row>
    <row r="242" spans="1:75">
      <c r="A242" s="780" t="str">
        <f>'Base de datos Rutas'!A240</f>
        <v>Norte</v>
      </c>
      <c r="B242" s="781" t="str">
        <f>'Base de datos Rutas'!B240</f>
        <v>Zacatecas</v>
      </c>
      <c r="C242" s="781" t="str">
        <f>'Base de datos Rutas'!C240</f>
        <v>Suc. Fresnillo</v>
      </c>
      <c r="D242" s="782">
        <f>IF(ISNUMBER('Base de datos Rutas'!D240),'Base de datos Rutas'!D240,"Sin código")</f>
        <v>950344</v>
      </c>
      <c r="E242" s="783" t="str">
        <f>'Base de datos Rutas'!F240</f>
        <v>Activa</v>
      </c>
      <c r="F242" s="784" t="str">
        <f>'Base de datos Rutas'!H240</f>
        <v>Sí</v>
      </c>
      <c r="G242" s="785">
        <f>IF(ISNUMBER('Base de datos Rutas'!BE240),'Base de datos Rutas'!BE240,"")</f>
        <v>60.713958810068704</v>
      </c>
      <c r="H242" s="786">
        <f>IF(ISNUMBER('Base de datos Rutas'!BH240),'Base de datos Rutas'!BH240,"")</f>
        <v>0.78041610131162398</v>
      </c>
      <c r="I242" s="788">
        <f>IFERROR(IF(OR(NOT(ISNUMBER('Base de datos Rutas'!O240)),N('Base de datos Rutas'!BK240)=0),"",'Base de datos Rutas'!O240/('Base de datos Rutas'!L240/'Base de datos Rutas'!BK240)),"")</f>
        <v>2224.9588100686478</v>
      </c>
      <c r="J242" s="788">
        <f>IFERROR(IF(OR(NOT(ISNUMBER('Base de datos Rutas'!N240)),N('Base de datos Rutas'!BK240)=0),"",'Base de datos Rutas'!N240/('Base de datos Rutas'!L240/'Base de datos Rutas'!BK240)),"")</f>
        <v>5248.7620137299728</v>
      </c>
      <c r="K242" s="788">
        <f>IFERROR(IF(OR(NOT(ISNUMBER('Base de datos Rutas'!J240)),N('Base de datos Rutas'!BK240)=0),"",'Base de datos Rutas'!J240/('Base de datos Rutas'!L240/'Base de datos Rutas'!BK240)),"")</f>
        <v>375.13156979405005</v>
      </c>
      <c r="L242" s="788">
        <f>IFERROR(IF(OR(NOT(ISNUMBER('Base de datos Rutas'!K240)),N('Base de datos Rutas'!BK240)=0),"",'Base de datos Rutas'!K240/('Base de datos Rutas'!L240/'Base de datos Rutas'!BK240)),"")</f>
        <v>22.133473771167026</v>
      </c>
      <c r="M242" s="787">
        <f>IF(ISNUMBER('Base de datos Rutas'!AX240),'Base de datos Rutas'!AX240,"")</f>
        <v>159.994454747416</v>
      </c>
      <c r="N242" s="790">
        <f>IFERROR(INDEX('Hoja de apoyo v2'!B$17:B$20,MATCH($A242,'Hoja de apoyo v2'!$A$17:$A$20,0)),"")</f>
        <v>74.190366972477051</v>
      </c>
      <c r="O242" s="791">
        <f>IFERROR(INDEX('Hoja de apoyo v2'!C$17:C$20,MATCH($A242,'Hoja de apoyo v2'!$A$17:$A$20,0)),"")</f>
        <v>0.71677657005077755</v>
      </c>
      <c r="P242" s="793">
        <f>IFERROR(INDEX('Hoja de apoyo v2'!D$17:D$20,MATCH($A242,'Hoja de apoyo v2'!$A$17:$A$20,0)),"")</f>
        <v>8755.1153350385739</v>
      </c>
      <c r="Q242" s="793">
        <f>IFERROR(INDEX('Hoja de apoyo v2'!E$17:E$20,MATCH($A242,'Hoja de apoyo v2'!$A$17:$A$20,0)),"")</f>
        <v>6098.2042779326393</v>
      </c>
      <c r="R242" s="793">
        <f>IFERROR(INDEX('Hoja de apoyo v2'!F$17:F$20,MATCH($A242,'Hoja de apoyo v2'!$A$17:$A$20,0)),"")</f>
        <v>389.08889713610301</v>
      </c>
      <c r="S242" s="793">
        <f>IFERROR(INDEX('Hoja de apoyo v2'!G$17:G$20,MATCH($A242,'Hoja de apoyo v2'!$A$17:$A$20,0)),"")</f>
        <v>67.90575167807188</v>
      </c>
      <c r="T242" s="792">
        <f>IFERROR(INDEX('Hoja de apoyo v2'!H$17:H$20,MATCH($A242,'Hoja de apoyo v2'!$A$17:$A$20,0)),"")</f>
        <v>258.90325471200998</v>
      </c>
      <c r="U242" s="794">
        <f t="shared" si="112"/>
        <v>0.81835366621912264</v>
      </c>
      <c r="V242" s="795">
        <f t="shared" si="113"/>
        <v>1.0887857303376114</v>
      </c>
      <c r="W242" s="795">
        <f t="shared" si="114"/>
        <v>0.25413243857156392</v>
      </c>
      <c r="X242" s="843">
        <f t="shared" si="115"/>
        <v>0.86070616439063641</v>
      </c>
      <c r="Y242" s="843">
        <f t="shared" si="116"/>
        <v>0.96412817881778134</v>
      </c>
      <c r="Z242" s="843">
        <f t="shared" si="117"/>
        <v>0.32594402129730587</v>
      </c>
      <c r="AA242" s="843">
        <f t="shared" si="118"/>
        <v>0.6179700402970415</v>
      </c>
      <c r="AB242" s="796">
        <f t="shared" si="119"/>
        <v>3</v>
      </c>
      <c r="AC242" s="797">
        <f t="shared" si="120"/>
        <v>4</v>
      </c>
      <c r="AD242" s="797">
        <f t="shared" si="121"/>
        <v>1</v>
      </c>
      <c r="AE242" s="842">
        <f t="shared" si="122"/>
        <v>3</v>
      </c>
      <c r="AF242" s="842">
        <f t="shared" si="123"/>
        <v>3</v>
      </c>
      <c r="AG242" s="842">
        <f t="shared" si="124"/>
        <v>1</v>
      </c>
      <c r="AH242" s="842">
        <f t="shared" si="125"/>
        <v>2</v>
      </c>
      <c r="AI242" s="826" cm="1">
        <f t="array" ref="AI242">SUMPRODUCT(--ISNUMBER($U242:$AA242),$AB$3:$AH$3)</f>
        <v>1</v>
      </c>
      <c r="AJ242" s="829">
        <f t="shared" si="126"/>
        <v>31.131701270788469</v>
      </c>
      <c r="AK242" s="827" t="str">
        <f t="shared" si="127"/>
        <v>Inmadura</v>
      </c>
      <c r="AL242" s="784" t="str">
        <f t="shared" si="128"/>
        <v>Alta</v>
      </c>
      <c r="AM242" s="799">
        <f>IF(ISNUMBER('Base de datos Rutas'!W240),'Base de datos Rutas'!W240,"")</f>
        <v>2263.4604844889545</v>
      </c>
      <c r="AN242" s="787">
        <f>IFERROR(SUMIFS('Base de datos Rutas'!$W$6:$W$794,'Base de datos Rutas'!$C$6:$C$794,$C242)/'Base de datos Rutas'!I240,"")</f>
        <v>2263.4604844889545</v>
      </c>
      <c r="AO242" s="800">
        <f>IFERROR('Base de datos Rutas'!X240*AN242/AM242,"")</f>
        <v>0.55077537413077904</v>
      </c>
      <c r="AP242" s="800">
        <f t="shared" si="129"/>
        <v>0.44922462586922096</v>
      </c>
      <c r="AQ242" s="789">
        <f>IFERROR(INDEX('Hoja de apoyo v2'!$J$17:$J$20,MATCH($A242,'Hoja de apoyo v2'!$A$17:$A$20,0)),"")</f>
        <v>0.62197445417222763</v>
      </c>
      <c r="AR242" s="789">
        <f t="shared" si="130"/>
        <v>-0.17274982830300667</v>
      </c>
      <c r="AS242" s="784" t="str">
        <f t="shared" si="131"/>
        <v>No</v>
      </c>
      <c r="AT242" s="801">
        <f>IF(ISNUMBER('Base de datos Rutas'!CK240),'Base de datos Rutas'!CK240,"")</f>
        <v>371</v>
      </c>
      <c r="AU242" s="802">
        <f>IF(ISNUMBER('Base de datos Rutas'!CL240),'Base de datos Rutas'!CL240,"")</f>
        <v>513.80999999999995</v>
      </c>
      <c r="AV242" s="802">
        <f>IF(ISNUMBER('Base de datos Rutas'!CM240),'Base de datos Rutas'!CM240,"")</f>
        <v>142.80999999999995</v>
      </c>
      <c r="AW242" s="802">
        <f>IF(ISNUMBER('Base de datos Rutas'!CN240),'Base de datos Rutas'!CN240,"")</f>
        <v>4.57</v>
      </c>
      <c r="AX242" s="802">
        <f>IF(ISNUMBER('Base de datos Rutas'!CO240),'Base de datos Rutas'!CO240,"")</f>
        <v>9.4499999999999993</v>
      </c>
      <c r="AY242" s="802">
        <f>IF(ISNUMBER('Base de datos Rutas'!CP240),'Base de datos Rutas'!CP240,"")</f>
        <v>4.879999999999999</v>
      </c>
      <c r="AZ242" s="802">
        <f>IF(ISNUMBER('Base de datos Rutas'!CQ240),'Base de datos Rutas'!CQ240,"")</f>
        <v>602.75</v>
      </c>
      <c r="BA242" s="802">
        <f>IF(ISNUMBER('Base de datos Rutas'!CR240),'Base de datos Rutas'!CR240,"")</f>
        <v>397.27</v>
      </c>
      <c r="BB242" s="803">
        <f>IF(ISNUMBER('Base de datos Rutas'!CS240),'Base de datos Rutas'!CS240,"")</f>
        <v>205.48000000000002</v>
      </c>
      <c r="BC242" s="804">
        <f t="shared" si="141"/>
        <v>0</v>
      </c>
      <c r="BD242" s="805" t="str">
        <f t="shared" si="142"/>
        <v>No saturada</v>
      </c>
      <c r="BE242" s="806">
        <f t="shared" si="143"/>
        <v>0.6590958108668602</v>
      </c>
      <c r="BF242" s="890">
        <f>IF(ISNUMBER('Base de datos Rutas'!CX240),'Base de datos Rutas'!CX240/100,"")</f>
        <v>6.4269537165053667E-2</v>
      </c>
      <c r="BG242" s="891">
        <f>IF(ISNUMBER('Base de datos Rutas'!CZ240),'Base de datos Rutas'!CZ240/100,"")</f>
        <v>7.3671736124827178E-2</v>
      </c>
      <c r="BH242" s="892">
        <f>IF(ISNUMBER('Base de datos Rutas'!DA240),'Base de datos Rutas'!DA240,"")</f>
        <v>94.924828184017414</v>
      </c>
      <c r="BI242" s="893">
        <f>IF(ISNUMBER('Base de datos Rutas'!DC240),'Base de datos Rutas'!DC240,"")</f>
        <v>4.8959757523736593</v>
      </c>
      <c r="BJ242" s="805" t="str">
        <f t="shared" si="144"/>
        <v>Ruta (completo)</v>
      </c>
      <c r="BK242" s="783">
        <f t="shared" si="132"/>
        <v>2</v>
      </c>
      <c r="BL242" s="797">
        <f t="shared" si="133"/>
        <v>2</v>
      </c>
      <c r="BM242" s="797">
        <f t="shared" si="134"/>
        <v>2</v>
      </c>
      <c r="BN242" s="797">
        <f t="shared" si="135"/>
        <v>2</v>
      </c>
      <c r="BO242" s="798" cm="1">
        <f t="array" ref="BO242">SUMPRODUCT(--ISNUMBER($BF242:$BI242),$BK$3:$BN$3)</f>
        <v>1</v>
      </c>
      <c r="BP242" s="831">
        <f t="shared" si="145"/>
        <v>25</v>
      </c>
      <c r="BQ242" s="834" t="str">
        <f t="shared" si="146"/>
        <v>Medio</v>
      </c>
      <c r="BR242" s="836">
        <f t="shared" si="136"/>
        <v>23.348775953091351</v>
      </c>
      <c r="BS242" s="836">
        <f t="shared" si="137"/>
        <v>25</v>
      </c>
      <c r="BT242" s="837" t="str">
        <f t="shared" si="138"/>
        <v>P4</v>
      </c>
      <c r="BU242" s="807" t="str">
        <f t="shared" si="147"/>
        <v>Con espacio</v>
      </c>
      <c r="BV242" s="807" t="str">
        <f t="shared" si="139"/>
        <v>Zona de bajo potencial</v>
      </c>
      <c r="BW242" s="808" t="str">
        <f t="shared" si="140"/>
        <v>P4 - Evaluar</v>
      </c>
    </row>
    <row r="243" spans="1:75">
      <c r="A243" s="780" t="str">
        <f>'Base de datos Rutas'!A241</f>
        <v>Norte</v>
      </c>
      <c r="B243" s="781" t="str">
        <f>'Base de datos Rutas'!B241</f>
        <v>No está en EERR</v>
      </c>
      <c r="C243" s="781" t="str">
        <f>'Base de datos Rutas'!C241</f>
        <v>Suc. Miguel Auza</v>
      </c>
      <c r="D243" s="782" t="str">
        <f>IF(ISNUMBER('Base de datos Rutas'!D241),'Base de datos Rutas'!D241,"Sin código")</f>
        <v>Sin código</v>
      </c>
      <c r="E243" s="783" t="str">
        <f>'Base de datos Rutas'!F241</f>
        <v>Sin código</v>
      </c>
      <c r="F243" s="784" t="str">
        <f>'Base de datos Rutas'!H241</f>
        <v>No</v>
      </c>
      <c r="G243" s="785" t="str">
        <f>IF(ISNUMBER('Base de datos Rutas'!BE241),'Base de datos Rutas'!BE241,"")</f>
        <v/>
      </c>
      <c r="H243" s="786" t="str">
        <f>IF(ISNUMBER('Base de datos Rutas'!BH241),'Base de datos Rutas'!BH241,"")</f>
        <v/>
      </c>
      <c r="I243" s="788" t="str">
        <f>IFERROR(IF(OR(NOT(ISNUMBER('Base de datos Rutas'!O241)),N('Base de datos Rutas'!BK241)=0),"",'Base de datos Rutas'!O241/('Base de datos Rutas'!L241/'Base de datos Rutas'!BK241)),"")</f>
        <v/>
      </c>
      <c r="J243" s="788" t="str">
        <f>IFERROR(IF(OR(NOT(ISNUMBER('Base de datos Rutas'!N241)),N('Base de datos Rutas'!BK241)=0),"",'Base de datos Rutas'!N241/('Base de datos Rutas'!L241/'Base de datos Rutas'!BK241)),"")</f>
        <v/>
      </c>
      <c r="K243" s="788" t="str">
        <f>IFERROR(IF(OR(NOT(ISNUMBER('Base de datos Rutas'!J241)),N('Base de datos Rutas'!BK241)=0),"",'Base de datos Rutas'!J241/('Base de datos Rutas'!L241/'Base de datos Rutas'!BK241)),"")</f>
        <v/>
      </c>
      <c r="L243" s="788" t="str">
        <f>IFERROR(IF(OR(NOT(ISNUMBER('Base de datos Rutas'!K241)),N('Base de datos Rutas'!BK241)=0),"",'Base de datos Rutas'!K241/('Base de datos Rutas'!L241/'Base de datos Rutas'!BK241)),"")</f>
        <v/>
      </c>
      <c r="M243" s="787">
        <f>IF(ISNUMBER('Base de datos Rutas'!AX241),'Base de datos Rutas'!AX241,"")</f>
        <v>499.25</v>
      </c>
      <c r="N243" s="790">
        <f>IFERROR(INDEX('Hoja de apoyo v2'!B$17:B$20,MATCH($A243,'Hoja de apoyo v2'!$A$17:$A$20,0)),"")</f>
        <v>74.190366972477051</v>
      </c>
      <c r="O243" s="791">
        <f>IFERROR(INDEX('Hoja de apoyo v2'!C$17:C$20,MATCH($A243,'Hoja de apoyo v2'!$A$17:$A$20,0)),"")</f>
        <v>0.71677657005077755</v>
      </c>
      <c r="P243" s="793">
        <f>IFERROR(INDEX('Hoja de apoyo v2'!D$17:D$20,MATCH($A243,'Hoja de apoyo v2'!$A$17:$A$20,0)),"")</f>
        <v>8755.1153350385739</v>
      </c>
      <c r="Q243" s="793">
        <f>IFERROR(INDEX('Hoja de apoyo v2'!E$17:E$20,MATCH($A243,'Hoja de apoyo v2'!$A$17:$A$20,0)),"")</f>
        <v>6098.2042779326393</v>
      </c>
      <c r="R243" s="793">
        <f>IFERROR(INDEX('Hoja de apoyo v2'!F$17:F$20,MATCH($A243,'Hoja de apoyo v2'!$A$17:$A$20,0)),"")</f>
        <v>389.08889713610301</v>
      </c>
      <c r="S243" s="793">
        <f>IFERROR(INDEX('Hoja de apoyo v2'!G$17:G$20,MATCH($A243,'Hoja de apoyo v2'!$A$17:$A$20,0)),"")</f>
        <v>67.90575167807188</v>
      </c>
      <c r="T243" s="792">
        <f>IFERROR(INDEX('Hoja de apoyo v2'!H$17:H$20,MATCH($A243,'Hoja de apoyo v2'!$A$17:$A$20,0)),"")</f>
        <v>258.90325471200998</v>
      </c>
      <c r="U243" s="794" t="str">
        <f t="shared" si="112"/>
        <v/>
      </c>
      <c r="V243" s="795" t="str">
        <f t="shared" si="113"/>
        <v/>
      </c>
      <c r="W243" s="795" t="str">
        <f t="shared" si="114"/>
        <v/>
      </c>
      <c r="X243" s="843" t="str">
        <f t="shared" si="115"/>
        <v/>
      </c>
      <c r="Y243" s="843" t="str">
        <f t="shared" si="116"/>
        <v/>
      </c>
      <c r="Z243" s="843" t="str">
        <f t="shared" si="117"/>
        <v/>
      </c>
      <c r="AA243" s="843">
        <f t="shared" si="118"/>
        <v>1.9283264729728438</v>
      </c>
      <c r="AB243" s="796">
        <f t="shared" si="119"/>
        <v>0</v>
      </c>
      <c r="AC243" s="797">
        <f t="shared" si="120"/>
        <v>0</v>
      </c>
      <c r="AD243" s="797">
        <f t="shared" si="121"/>
        <v>0</v>
      </c>
      <c r="AE243" s="842">
        <f t="shared" si="122"/>
        <v>0</v>
      </c>
      <c r="AF243" s="842">
        <f t="shared" si="123"/>
        <v>0</v>
      </c>
      <c r="AG243" s="842">
        <f t="shared" si="124"/>
        <v>0</v>
      </c>
      <c r="AH243" s="842">
        <f t="shared" si="125"/>
        <v>5</v>
      </c>
      <c r="AI243" s="826" cm="1">
        <f t="array" ref="AI243">SUMPRODUCT(--ISNUMBER($U243:$AA243),$AB$3:$AH$3)</f>
        <v>8.9789113613062493E-2</v>
      </c>
      <c r="AJ243" s="829" t="str">
        <f t="shared" si="126"/>
        <v/>
      </c>
      <c r="AK243" s="827" t="str">
        <f t="shared" si="127"/>
        <v>Ruta inactiva</v>
      </c>
      <c r="AL243" s="784" t="str">
        <f t="shared" si="128"/>
        <v>n/a</v>
      </c>
      <c r="AM243" s="799" t="str">
        <f>IF(ISNUMBER('Base de datos Rutas'!W241),'Base de datos Rutas'!W241,"")</f>
        <v/>
      </c>
      <c r="AN243" s="787">
        <f>IFERROR(SUMIFS('Base de datos Rutas'!$W$6:$W$794,'Base de datos Rutas'!$C$6:$C$794,$C243)/'Base de datos Rutas'!I241,"")</f>
        <v>0</v>
      </c>
      <c r="AO243" s="800" t="str">
        <f>IFERROR('Base de datos Rutas'!X241*AN243/AM243,"")</f>
        <v/>
      </c>
      <c r="AP243" s="800" t="str">
        <f t="shared" si="129"/>
        <v/>
      </c>
      <c r="AQ243" s="789">
        <f>IFERROR(INDEX('Hoja de apoyo v2'!$J$17:$J$20,MATCH($A243,'Hoja de apoyo v2'!$A$17:$A$20,0)),"")</f>
        <v>0.62197445417222763</v>
      </c>
      <c r="AR243" s="789" t="str">
        <f t="shared" si="130"/>
        <v/>
      </c>
      <c r="AS243" s="784" t="str">
        <f t="shared" si="131"/>
        <v>n/d</v>
      </c>
      <c r="AT243" s="801" t="str">
        <f>IF(ISNUMBER('Base de datos Rutas'!CK241),'Base de datos Rutas'!CK241,"")</f>
        <v/>
      </c>
      <c r="AU243" s="802" t="str">
        <f>IF(ISNUMBER('Base de datos Rutas'!CL241),'Base de datos Rutas'!CL241,"")</f>
        <v/>
      </c>
      <c r="AV243" s="802">
        <f>IF(ISNUMBER('Base de datos Rutas'!CM241),'Base de datos Rutas'!CM241,"")</f>
        <v>0</v>
      </c>
      <c r="AW243" s="802" t="str">
        <f>IF(ISNUMBER('Base de datos Rutas'!CN241),'Base de datos Rutas'!CN241,"")</f>
        <v/>
      </c>
      <c r="AX243" s="802" t="str">
        <f>IF(ISNUMBER('Base de datos Rutas'!CO241),'Base de datos Rutas'!CO241,"")</f>
        <v/>
      </c>
      <c r="AY243" s="802">
        <f>IF(ISNUMBER('Base de datos Rutas'!CP241),'Base de datos Rutas'!CP241,"")</f>
        <v>0</v>
      </c>
      <c r="AZ243" s="802" t="str">
        <f>IF(ISNUMBER('Base de datos Rutas'!CQ241),'Base de datos Rutas'!CQ241,"")</f>
        <v/>
      </c>
      <c r="BA243" s="802" t="str">
        <f>IF(ISNUMBER('Base de datos Rutas'!CR241),'Base de datos Rutas'!CR241,"")</f>
        <v/>
      </c>
      <c r="BB243" s="803">
        <f>IF(ISNUMBER('Base de datos Rutas'!CS241),'Base de datos Rutas'!CS241,"")</f>
        <v>0</v>
      </c>
      <c r="BC243" s="804" t="str">
        <f t="shared" si="141"/>
        <v/>
      </c>
      <c r="BD243" s="805" t="str">
        <f t="shared" si="142"/>
        <v>N/D</v>
      </c>
      <c r="BE243" s="806" t="str">
        <f t="shared" si="143"/>
        <v/>
      </c>
      <c r="BF243" s="890" t="str">
        <f>IF(ISNUMBER('Base de datos Rutas'!CX241),'Base de datos Rutas'!CX241/100,"")</f>
        <v/>
      </c>
      <c r="BG243" s="891" t="str">
        <f>IF(ISNUMBER('Base de datos Rutas'!CZ241),'Base de datos Rutas'!CZ241/100,"")</f>
        <v/>
      </c>
      <c r="BH243" s="892" t="str">
        <f>IF(ISNUMBER('Base de datos Rutas'!DA241),'Base de datos Rutas'!DA241,"")</f>
        <v/>
      </c>
      <c r="BI243" s="893" t="str">
        <f>IF(ISNUMBER('Base de datos Rutas'!DC241),'Base de datos Rutas'!DC241,"")</f>
        <v/>
      </c>
      <c r="BJ243" s="805" t="str">
        <f t="shared" si="144"/>
        <v>Sin dato</v>
      </c>
      <c r="BK243" s="783">
        <f t="shared" si="132"/>
        <v>0</v>
      </c>
      <c r="BL243" s="797">
        <f t="shared" si="133"/>
        <v>0</v>
      </c>
      <c r="BM243" s="797">
        <f t="shared" si="134"/>
        <v>0</v>
      </c>
      <c r="BN243" s="797">
        <f t="shared" si="135"/>
        <v>0</v>
      </c>
      <c r="BO243" s="798" cm="1">
        <f t="array" ref="BO243">SUMPRODUCT(--ISNUMBER($BF243:$BI243),$BK$3:$BN$3)</f>
        <v>0</v>
      </c>
      <c r="BP243" s="831" t="str">
        <f t="shared" si="145"/>
        <v/>
      </c>
      <c r="BQ243" s="834" t="str">
        <f t="shared" si="146"/>
        <v>Sin datos</v>
      </c>
      <c r="BR243" s="836" t="str">
        <f t="shared" si="136"/>
        <v/>
      </c>
      <c r="BS243" s="836" t="str">
        <f t="shared" si="137"/>
        <v/>
      </c>
      <c r="BT243" s="837" t="str">
        <f t="shared" si="138"/>
        <v>Sin datos</v>
      </c>
      <c r="BU243" s="807" t="str">
        <f t="shared" si="147"/>
        <v>No evaluable</v>
      </c>
      <c r="BV243" s="807" t="str">
        <f t="shared" si="139"/>
        <v>No evaluable</v>
      </c>
      <c r="BW243" s="808" t="str">
        <f t="shared" si="140"/>
        <v>Sin datos</v>
      </c>
    </row>
    <row r="244" spans="1:75">
      <c r="A244" s="780" t="str">
        <f>'Base de datos Rutas'!A242</f>
        <v>Norte</v>
      </c>
      <c r="B244" s="781" t="str">
        <f>'Base de datos Rutas'!B242</f>
        <v>Zacatecas</v>
      </c>
      <c r="C244" s="781" t="str">
        <f>'Base de datos Rutas'!C242</f>
        <v>Suc. Ojocaliente</v>
      </c>
      <c r="D244" s="782">
        <f>IF(ISNUMBER('Base de datos Rutas'!D242),'Base de datos Rutas'!D242,"Sin código")</f>
        <v>948470</v>
      </c>
      <c r="E244" s="783" t="str">
        <f>'Base de datos Rutas'!F242</f>
        <v>Activa</v>
      </c>
      <c r="F244" s="784" t="str">
        <f>'Base de datos Rutas'!H242</f>
        <v>Sí</v>
      </c>
      <c r="G244" s="785">
        <f>IF(ISNUMBER('Base de datos Rutas'!BE242),'Base de datos Rutas'!BE242,"")</f>
        <v>61.216704288939098</v>
      </c>
      <c r="H244" s="786">
        <f>IF(ISNUMBER('Base de datos Rutas'!BH242),'Base de datos Rutas'!BH242,"")</f>
        <v>0.75489509200191796</v>
      </c>
      <c r="I244" s="788">
        <f>IFERROR(IF(OR(NOT(ISNUMBER('Base de datos Rutas'!O242)),N('Base de datos Rutas'!BK242)=0),"",'Base de datos Rutas'!O242/('Base de datos Rutas'!L242/'Base de datos Rutas'!BK242)),"")</f>
        <v>2639.6884875846522</v>
      </c>
      <c r="J244" s="788">
        <f>IFERROR(IF(OR(NOT(ISNUMBER('Base de datos Rutas'!N242)),N('Base de datos Rutas'!BK242)=0),"",'Base de datos Rutas'!N242/('Base de datos Rutas'!L242/'Base de datos Rutas'!BK242)),"")</f>
        <v>8958.7562076749509</v>
      </c>
      <c r="K244" s="788">
        <f>IFERROR(IF(OR(NOT(ISNUMBER('Base de datos Rutas'!J242)),N('Base de datos Rutas'!BK242)=0),"",'Base de datos Rutas'!J242/('Base de datos Rutas'!L242/'Base de datos Rutas'!BK242)),"")</f>
        <v>667.11711602708635</v>
      </c>
      <c r="L244" s="788">
        <f>IFERROR(IF(OR(NOT(ISNUMBER('Base de datos Rutas'!K242)),N('Base de datos Rutas'!BK242)=0),"",'Base de datos Rutas'!K242/('Base de datos Rutas'!L242/'Base de datos Rutas'!BK242)),"")</f>
        <v>25.760236602708826</v>
      </c>
      <c r="M244" s="787">
        <f>IF(ISNUMBER('Base de datos Rutas'!AX242),'Base de datos Rutas'!AX242,"")</f>
        <v>250.98245408362601</v>
      </c>
      <c r="N244" s="790">
        <f>IFERROR(INDEX('Hoja de apoyo v2'!B$17:B$20,MATCH($A244,'Hoja de apoyo v2'!$A$17:$A$20,0)),"")</f>
        <v>74.190366972477051</v>
      </c>
      <c r="O244" s="791">
        <f>IFERROR(INDEX('Hoja de apoyo v2'!C$17:C$20,MATCH($A244,'Hoja de apoyo v2'!$A$17:$A$20,0)),"")</f>
        <v>0.71677657005077755</v>
      </c>
      <c r="P244" s="793">
        <f>IFERROR(INDEX('Hoja de apoyo v2'!D$17:D$20,MATCH($A244,'Hoja de apoyo v2'!$A$17:$A$20,0)),"")</f>
        <v>8755.1153350385739</v>
      </c>
      <c r="Q244" s="793">
        <f>IFERROR(INDEX('Hoja de apoyo v2'!E$17:E$20,MATCH($A244,'Hoja de apoyo v2'!$A$17:$A$20,0)),"")</f>
        <v>6098.2042779326393</v>
      </c>
      <c r="R244" s="793">
        <f>IFERROR(INDEX('Hoja de apoyo v2'!F$17:F$20,MATCH($A244,'Hoja de apoyo v2'!$A$17:$A$20,0)),"")</f>
        <v>389.08889713610301</v>
      </c>
      <c r="S244" s="793">
        <f>IFERROR(INDEX('Hoja de apoyo v2'!G$17:G$20,MATCH($A244,'Hoja de apoyo v2'!$A$17:$A$20,0)),"")</f>
        <v>67.90575167807188</v>
      </c>
      <c r="T244" s="792">
        <f>IFERROR(INDEX('Hoja de apoyo v2'!H$17:H$20,MATCH($A244,'Hoja de apoyo v2'!$A$17:$A$20,0)),"")</f>
        <v>258.90325471200998</v>
      </c>
      <c r="U244" s="794">
        <f t="shared" si="112"/>
        <v>0.82513009150701611</v>
      </c>
      <c r="V244" s="795">
        <f t="shared" si="113"/>
        <v>1.0531804798647926</v>
      </c>
      <c r="W244" s="795">
        <f t="shared" si="114"/>
        <v>0.30150242304866476</v>
      </c>
      <c r="X244" s="843">
        <f t="shared" si="115"/>
        <v>1.4690810276877231</v>
      </c>
      <c r="Y244" s="843">
        <f t="shared" si="116"/>
        <v>1.7145622014336976</v>
      </c>
      <c r="Z244" s="843">
        <f t="shared" si="117"/>
        <v>0.3793527936312841</v>
      </c>
      <c r="AA244" s="843">
        <f t="shared" si="118"/>
        <v>0.96940633041792135</v>
      </c>
      <c r="AB244" s="796">
        <f t="shared" si="119"/>
        <v>3</v>
      </c>
      <c r="AC244" s="797">
        <f t="shared" si="120"/>
        <v>4</v>
      </c>
      <c r="AD244" s="797">
        <f t="shared" si="121"/>
        <v>1</v>
      </c>
      <c r="AE244" s="842">
        <f t="shared" si="122"/>
        <v>5</v>
      </c>
      <c r="AF244" s="842">
        <f t="shared" si="123"/>
        <v>5</v>
      </c>
      <c r="AG244" s="842">
        <f t="shared" si="124"/>
        <v>1</v>
      </c>
      <c r="AH244" s="842">
        <f t="shared" si="125"/>
        <v>3</v>
      </c>
      <c r="AI244" s="826" cm="1">
        <f t="array" ref="AI244">SUMPRODUCT(--ISNUMBER($U244:$AA244),$AB$3:$AH$3)</f>
        <v>1</v>
      </c>
      <c r="AJ244" s="829">
        <f t="shared" si="126"/>
        <v>46.047413427632009</v>
      </c>
      <c r="AK244" s="827" t="str">
        <f t="shared" si="127"/>
        <v>En desarrollo</v>
      </c>
      <c r="AL244" s="784" t="str">
        <f t="shared" si="128"/>
        <v>Alta</v>
      </c>
      <c r="AM244" s="799">
        <f>IF(ISNUMBER('Base de datos Rutas'!W242),'Base de datos Rutas'!W242,"")</f>
        <v>3597.2918502060097</v>
      </c>
      <c r="AN244" s="787">
        <f>IFERROR(SUMIFS('Base de datos Rutas'!$W$6:$W$794,'Base de datos Rutas'!$C$6:$C$794,$C244)/'Base de datos Rutas'!I242,"")</f>
        <v>3597.2918502060097</v>
      </c>
      <c r="AO244" s="800">
        <f>IFERROR('Base de datos Rutas'!X242*AN244/AM244,"")</f>
        <v>0.46601097486459442</v>
      </c>
      <c r="AP244" s="800">
        <f t="shared" si="129"/>
        <v>0.53398902513540558</v>
      </c>
      <c r="AQ244" s="789">
        <f>IFERROR(INDEX('Hoja de apoyo v2'!$J$17:$J$20,MATCH($A244,'Hoja de apoyo v2'!$A$17:$A$20,0)),"")</f>
        <v>0.62197445417222763</v>
      </c>
      <c r="AR244" s="789">
        <f t="shared" si="130"/>
        <v>-8.7985429036822049E-2</v>
      </c>
      <c r="AS244" s="784" t="str">
        <f t="shared" si="131"/>
        <v>No</v>
      </c>
      <c r="AT244" s="801">
        <f>IF(ISNUMBER('Base de datos Rutas'!CK242),'Base de datos Rutas'!CK242,"")</f>
        <v>282</v>
      </c>
      <c r="AU244" s="802">
        <f>IF(ISNUMBER('Base de datos Rutas'!CL242),'Base de datos Rutas'!CL242,"")</f>
        <v>306.45</v>
      </c>
      <c r="AV244" s="802">
        <f>IF(ISNUMBER('Base de datos Rutas'!CM242),'Base de datos Rutas'!CM242,"")</f>
        <v>24.449999999999989</v>
      </c>
      <c r="AW244" s="802">
        <f>IF(ISNUMBER('Base de datos Rutas'!CN242),'Base de datos Rutas'!CN242,"")</f>
        <v>4.71</v>
      </c>
      <c r="AX244" s="802">
        <f>IF(ISNUMBER('Base de datos Rutas'!CO242),'Base de datos Rutas'!CO242,"")</f>
        <v>9.4499999999999993</v>
      </c>
      <c r="AY244" s="802">
        <f>IF(ISNUMBER('Base de datos Rutas'!CP242),'Base de datos Rutas'!CP242,"")</f>
        <v>4.7399999999999993</v>
      </c>
      <c r="AZ244" s="802">
        <f>IF(ISNUMBER('Base de datos Rutas'!CQ242),'Base de datos Rutas'!CQ242,"")</f>
        <v>846.56</v>
      </c>
      <c r="BA244" s="802">
        <f>IF(ISNUMBER('Base de datos Rutas'!CR242),'Base de datos Rutas'!CR242,"")</f>
        <v>692.88</v>
      </c>
      <c r="BB244" s="803">
        <f>IF(ISNUMBER('Base de datos Rutas'!CS242),'Base de datos Rutas'!CS242,"")</f>
        <v>153.67999999999995</v>
      </c>
      <c r="BC244" s="804">
        <f t="shared" si="141"/>
        <v>0</v>
      </c>
      <c r="BD244" s="805" t="str">
        <f t="shared" si="142"/>
        <v>No saturada</v>
      </c>
      <c r="BE244" s="806">
        <f t="shared" si="143"/>
        <v>0.81846531846531856</v>
      </c>
      <c r="BF244" s="890">
        <f>IF(ISNUMBER('Base de datos Rutas'!CX242),'Base de datos Rutas'!CX242/100,"")</f>
        <v>2.3428232502965599E-3</v>
      </c>
      <c r="BG244" s="891">
        <f>IF(ISNUMBER('Base de datos Rutas'!CZ242),'Base de datos Rutas'!CZ242/100,"")</f>
        <v>3.9541320680110716E-3</v>
      </c>
      <c r="BH244" s="892">
        <f>IF(ISNUMBER('Base de datos Rutas'!DA242),'Base de datos Rutas'!DA242,"")</f>
        <v>27.367567745395089</v>
      </c>
      <c r="BI244" s="893">
        <f>IF(ISNUMBER('Base de datos Rutas'!DC242),'Base de datos Rutas'!DC242,"")</f>
        <v>1.7402978593211809</v>
      </c>
      <c r="BJ244" s="805" t="str">
        <f t="shared" si="144"/>
        <v>Ruta (completo)</v>
      </c>
      <c r="BK244" s="783">
        <f t="shared" si="132"/>
        <v>1</v>
      </c>
      <c r="BL244" s="797">
        <f t="shared" si="133"/>
        <v>1</v>
      </c>
      <c r="BM244" s="797">
        <f t="shared" si="134"/>
        <v>1</v>
      </c>
      <c r="BN244" s="797">
        <f t="shared" si="135"/>
        <v>1</v>
      </c>
      <c r="BO244" s="798" cm="1">
        <f t="array" ref="BO244">SUMPRODUCT(--ISNUMBER($BF244:$BI244),$BK$3:$BN$3)</f>
        <v>1</v>
      </c>
      <c r="BP244" s="831">
        <f t="shared" si="145"/>
        <v>0</v>
      </c>
      <c r="BQ244" s="834" t="str">
        <f t="shared" si="146"/>
        <v>Bajo</v>
      </c>
      <c r="BR244" s="836">
        <f t="shared" si="136"/>
        <v>34.535560070724003</v>
      </c>
      <c r="BS244" s="836">
        <f t="shared" si="137"/>
        <v>0</v>
      </c>
      <c r="BT244" s="837" t="str">
        <f t="shared" si="138"/>
        <v>P2</v>
      </c>
      <c r="BU244" s="807" t="str">
        <f t="shared" si="147"/>
        <v>Con espacio</v>
      </c>
      <c r="BV244" s="807" t="str">
        <f t="shared" si="139"/>
        <v>Zona de bajo potencial</v>
      </c>
      <c r="BW244" s="808" t="str">
        <f t="shared" si="140"/>
        <v>P2 - Mantener</v>
      </c>
    </row>
    <row r="245" spans="1:75">
      <c r="A245" s="780" t="str">
        <f>'Base de datos Rutas'!A243</f>
        <v>Norte</v>
      </c>
      <c r="B245" s="781" t="str">
        <f>'Base de datos Rutas'!B243</f>
        <v>No está en EERR</v>
      </c>
      <c r="C245" s="781" t="str">
        <f>'Base de datos Rutas'!C243</f>
        <v>Suc. Río Grande</v>
      </c>
      <c r="D245" s="782" t="str">
        <f>IF(ISNUMBER('Base de datos Rutas'!D243),'Base de datos Rutas'!D243,"Sin código")</f>
        <v>Sin código</v>
      </c>
      <c r="E245" s="783" t="str">
        <f>'Base de datos Rutas'!F243</f>
        <v>Sin código</v>
      </c>
      <c r="F245" s="784" t="str">
        <f>'Base de datos Rutas'!H243</f>
        <v>No</v>
      </c>
      <c r="G245" s="785" t="str">
        <f>IF(ISNUMBER('Base de datos Rutas'!BE243),'Base de datos Rutas'!BE243,"")</f>
        <v/>
      </c>
      <c r="H245" s="786" t="str">
        <f>IF(ISNUMBER('Base de datos Rutas'!BH243),'Base de datos Rutas'!BH243,"")</f>
        <v/>
      </c>
      <c r="I245" s="788" t="str">
        <f>IFERROR(IF(OR(NOT(ISNUMBER('Base de datos Rutas'!O243)),N('Base de datos Rutas'!BK243)=0),"",'Base de datos Rutas'!O243/('Base de datos Rutas'!L243/'Base de datos Rutas'!BK243)),"")</f>
        <v/>
      </c>
      <c r="J245" s="788" t="str">
        <f>IFERROR(IF(OR(NOT(ISNUMBER('Base de datos Rutas'!N243)),N('Base de datos Rutas'!BK243)=0),"",'Base de datos Rutas'!N243/('Base de datos Rutas'!L243/'Base de datos Rutas'!BK243)),"")</f>
        <v/>
      </c>
      <c r="K245" s="788" t="str">
        <f>IFERROR(IF(OR(NOT(ISNUMBER('Base de datos Rutas'!J243)),N('Base de datos Rutas'!BK243)=0),"",'Base de datos Rutas'!J243/('Base de datos Rutas'!L243/'Base de datos Rutas'!BK243)),"")</f>
        <v/>
      </c>
      <c r="L245" s="788" t="str">
        <f>IFERROR(IF(OR(NOT(ISNUMBER('Base de datos Rutas'!K243)),N('Base de datos Rutas'!BK243)=0),"",'Base de datos Rutas'!K243/('Base de datos Rutas'!L243/'Base de datos Rutas'!BK243)),"")</f>
        <v/>
      </c>
      <c r="M245" s="787">
        <f>IF(ISNUMBER('Base de datos Rutas'!AX243),'Base de datos Rutas'!AX243,"")</f>
        <v>535.69571428571396</v>
      </c>
      <c r="N245" s="790">
        <f>IFERROR(INDEX('Hoja de apoyo v2'!B$17:B$20,MATCH($A245,'Hoja de apoyo v2'!$A$17:$A$20,0)),"")</f>
        <v>74.190366972477051</v>
      </c>
      <c r="O245" s="791">
        <f>IFERROR(INDEX('Hoja de apoyo v2'!C$17:C$20,MATCH($A245,'Hoja de apoyo v2'!$A$17:$A$20,0)),"")</f>
        <v>0.71677657005077755</v>
      </c>
      <c r="P245" s="793">
        <f>IFERROR(INDEX('Hoja de apoyo v2'!D$17:D$20,MATCH($A245,'Hoja de apoyo v2'!$A$17:$A$20,0)),"")</f>
        <v>8755.1153350385739</v>
      </c>
      <c r="Q245" s="793">
        <f>IFERROR(INDEX('Hoja de apoyo v2'!E$17:E$20,MATCH($A245,'Hoja de apoyo v2'!$A$17:$A$20,0)),"")</f>
        <v>6098.2042779326393</v>
      </c>
      <c r="R245" s="793">
        <f>IFERROR(INDEX('Hoja de apoyo v2'!F$17:F$20,MATCH($A245,'Hoja de apoyo v2'!$A$17:$A$20,0)),"")</f>
        <v>389.08889713610301</v>
      </c>
      <c r="S245" s="793">
        <f>IFERROR(INDEX('Hoja de apoyo v2'!G$17:G$20,MATCH($A245,'Hoja de apoyo v2'!$A$17:$A$20,0)),"")</f>
        <v>67.90575167807188</v>
      </c>
      <c r="T245" s="792">
        <f>IFERROR(INDEX('Hoja de apoyo v2'!H$17:H$20,MATCH($A245,'Hoja de apoyo v2'!$A$17:$A$20,0)),"")</f>
        <v>258.90325471200998</v>
      </c>
      <c r="U245" s="794" t="str">
        <f t="shared" si="112"/>
        <v/>
      </c>
      <c r="V245" s="795" t="str">
        <f t="shared" si="113"/>
        <v/>
      </c>
      <c r="W245" s="795" t="str">
        <f t="shared" si="114"/>
        <v/>
      </c>
      <c r="X245" s="843" t="str">
        <f t="shared" si="115"/>
        <v/>
      </c>
      <c r="Y245" s="843" t="str">
        <f t="shared" si="116"/>
        <v/>
      </c>
      <c r="Z245" s="843" t="str">
        <f t="shared" si="117"/>
        <v/>
      </c>
      <c r="AA245" s="843">
        <f t="shared" si="118"/>
        <v>2.0690960987786462</v>
      </c>
      <c r="AB245" s="796">
        <f t="shared" si="119"/>
        <v>0</v>
      </c>
      <c r="AC245" s="797">
        <f t="shared" si="120"/>
        <v>0</v>
      </c>
      <c r="AD245" s="797">
        <f t="shared" si="121"/>
        <v>0</v>
      </c>
      <c r="AE245" s="842">
        <f t="shared" si="122"/>
        <v>0</v>
      </c>
      <c r="AF245" s="842">
        <f t="shared" si="123"/>
        <v>0</v>
      </c>
      <c r="AG245" s="842">
        <f t="shared" si="124"/>
        <v>0</v>
      </c>
      <c r="AH245" s="842">
        <f t="shared" si="125"/>
        <v>5</v>
      </c>
      <c r="AI245" s="826" cm="1">
        <f t="array" ref="AI245">SUMPRODUCT(--ISNUMBER($U245:$AA245),$AB$3:$AH$3)</f>
        <v>8.9789113613062493E-2</v>
      </c>
      <c r="AJ245" s="829" t="str">
        <f t="shared" si="126"/>
        <v/>
      </c>
      <c r="AK245" s="827" t="str">
        <f t="shared" si="127"/>
        <v>Ruta inactiva</v>
      </c>
      <c r="AL245" s="784" t="str">
        <f t="shared" si="128"/>
        <v>n/a</v>
      </c>
      <c r="AM245" s="799" t="str">
        <f>IF(ISNUMBER('Base de datos Rutas'!W243),'Base de datos Rutas'!W243,"")</f>
        <v/>
      </c>
      <c r="AN245" s="787">
        <f>IFERROR(SUMIFS('Base de datos Rutas'!$W$6:$W$794,'Base de datos Rutas'!$C$6:$C$794,$C245)/'Base de datos Rutas'!I243,"")</f>
        <v>0</v>
      </c>
      <c r="AO245" s="800" t="str">
        <f>IFERROR('Base de datos Rutas'!X243*AN245/AM245,"")</f>
        <v/>
      </c>
      <c r="AP245" s="800" t="str">
        <f t="shared" si="129"/>
        <v/>
      </c>
      <c r="AQ245" s="789">
        <f>IFERROR(INDEX('Hoja de apoyo v2'!$J$17:$J$20,MATCH($A245,'Hoja de apoyo v2'!$A$17:$A$20,0)),"")</f>
        <v>0.62197445417222763</v>
      </c>
      <c r="AR245" s="789" t="str">
        <f t="shared" si="130"/>
        <v/>
      </c>
      <c r="AS245" s="784" t="str">
        <f t="shared" si="131"/>
        <v>n/d</v>
      </c>
      <c r="AT245" s="801" t="str">
        <f>IF(ISNUMBER('Base de datos Rutas'!CK243),'Base de datos Rutas'!CK243,"")</f>
        <v/>
      </c>
      <c r="AU245" s="802" t="str">
        <f>IF(ISNUMBER('Base de datos Rutas'!CL243),'Base de datos Rutas'!CL243,"")</f>
        <v/>
      </c>
      <c r="AV245" s="802">
        <f>IF(ISNUMBER('Base de datos Rutas'!CM243),'Base de datos Rutas'!CM243,"")</f>
        <v>0</v>
      </c>
      <c r="AW245" s="802" t="str">
        <f>IF(ISNUMBER('Base de datos Rutas'!CN243),'Base de datos Rutas'!CN243,"")</f>
        <v/>
      </c>
      <c r="AX245" s="802" t="str">
        <f>IF(ISNUMBER('Base de datos Rutas'!CO243),'Base de datos Rutas'!CO243,"")</f>
        <v/>
      </c>
      <c r="AY245" s="802">
        <f>IF(ISNUMBER('Base de datos Rutas'!CP243),'Base de datos Rutas'!CP243,"")</f>
        <v>0</v>
      </c>
      <c r="AZ245" s="802" t="str">
        <f>IF(ISNUMBER('Base de datos Rutas'!CQ243),'Base de datos Rutas'!CQ243,"")</f>
        <v/>
      </c>
      <c r="BA245" s="802" t="str">
        <f>IF(ISNUMBER('Base de datos Rutas'!CR243),'Base de datos Rutas'!CR243,"")</f>
        <v/>
      </c>
      <c r="BB245" s="803">
        <f>IF(ISNUMBER('Base de datos Rutas'!CS243),'Base de datos Rutas'!CS243,"")</f>
        <v>0</v>
      </c>
      <c r="BC245" s="804" t="str">
        <f t="shared" si="141"/>
        <v/>
      </c>
      <c r="BD245" s="805" t="str">
        <f t="shared" si="142"/>
        <v>N/D</v>
      </c>
      <c r="BE245" s="806" t="str">
        <f t="shared" si="143"/>
        <v/>
      </c>
      <c r="BF245" s="890" t="str">
        <f>IF(ISNUMBER('Base de datos Rutas'!CX243),'Base de datos Rutas'!CX243/100,"")</f>
        <v/>
      </c>
      <c r="BG245" s="891" t="str">
        <f>IF(ISNUMBER('Base de datos Rutas'!CZ243),'Base de datos Rutas'!CZ243/100,"")</f>
        <v/>
      </c>
      <c r="BH245" s="892" t="str">
        <f>IF(ISNUMBER('Base de datos Rutas'!DA243),'Base de datos Rutas'!DA243,"")</f>
        <v/>
      </c>
      <c r="BI245" s="893" t="str">
        <f>IF(ISNUMBER('Base de datos Rutas'!DC243),'Base de datos Rutas'!DC243,"")</f>
        <v/>
      </c>
      <c r="BJ245" s="805" t="str">
        <f t="shared" si="144"/>
        <v>Sin dato</v>
      </c>
      <c r="BK245" s="783">
        <f t="shared" si="132"/>
        <v>0</v>
      </c>
      <c r="BL245" s="797">
        <f t="shared" si="133"/>
        <v>0</v>
      </c>
      <c r="BM245" s="797">
        <f t="shared" si="134"/>
        <v>0</v>
      </c>
      <c r="BN245" s="797">
        <f t="shared" si="135"/>
        <v>0</v>
      </c>
      <c r="BO245" s="798" cm="1">
        <f t="array" ref="BO245">SUMPRODUCT(--ISNUMBER($BF245:$BI245),$BK$3:$BN$3)</f>
        <v>0</v>
      </c>
      <c r="BP245" s="831" t="str">
        <f t="shared" si="145"/>
        <v/>
      </c>
      <c r="BQ245" s="834" t="str">
        <f t="shared" si="146"/>
        <v>Sin datos</v>
      </c>
      <c r="BR245" s="836" t="str">
        <f t="shared" si="136"/>
        <v/>
      </c>
      <c r="BS245" s="836" t="str">
        <f t="shared" si="137"/>
        <v/>
      </c>
      <c r="BT245" s="837" t="str">
        <f t="shared" si="138"/>
        <v>Sin datos</v>
      </c>
      <c r="BU245" s="807" t="str">
        <f t="shared" si="147"/>
        <v>No evaluable</v>
      </c>
      <c r="BV245" s="807" t="str">
        <f t="shared" si="139"/>
        <v>No evaluable</v>
      </c>
      <c r="BW245" s="808" t="str">
        <f t="shared" si="140"/>
        <v>Sin datos</v>
      </c>
    </row>
    <row r="246" spans="1:75">
      <c r="A246" s="780" t="str">
        <f>'Base de datos Rutas'!A244</f>
        <v>Norte</v>
      </c>
      <c r="B246" s="781" t="str">
        <f>'Base de datos Rutas'!B244</f>
        <v>No está en EERR</v>
      </c>
      <c r="C246" s="781" t="str">
        <f>'Base de datos Rutas'!C244</f>
        <v>Suc. Sánchez Román</v>
      </c>
      <c r="D246" s="782" t="str">
        <f>IF(ISNUMBER('Base de datos Rutas'!D244),'Base de datos Rutas'!D244,"Sin código")</f>
        <v>Sin código</v>
      </c>
      <c r="E246" s="783" t="str">
        <f>'Base de datos Rutas'!F244</f>
        <v>Sin código</v>
      </c>
      <c r="F246" s="784" t="str">
        <f>'Base de datos Rutas'!H244</f>
        <v>No</v>
      </c>
      <c r="G246" s="785" t="str">
        <f>IF(ISNUMBER('Base de datos Rutas'!BE244),'Base de datos Rutas'!BE244,"")</f>
        <v/>
      </c>
      <c r="H246" s="786" t="str">
        <f>IF(ISNUMBER('Base de datos Rutas'!BH244),'Base de datos Rutas'!BH244,"")</f>
        <v/>
      </c>
      <c r="I246" s="788" t="str">
        <f>IFERROR(IF(OR(NOT(ISNUMBER('Base de datos Rutas'!O244)),N('Base de datos Rutas'!BK244)=0),"",'Base de datos Rutas'!O244/('Base de datos Rutas'!L244/'Base de datos Rutas'!BK244)),"")</f>
        <v/>
      </c>
      <c r="J246" s="788" t="str">
        <f>IFERROR(IF(OR(NOT(ISNUMBER('Base de datos Rutas'!N244)),N('Base de datos Rutas'!BK244)=0),"",'Base de datos Rutas'!N244/('Base de datos Rutas'!L244/'Base de datos Rutas'!BK244)),"")</f>
        <v/>
      </c>
      <c r="K246" s="788" t="str">
        <f>IFERROR(IF(OR(NOT(ISNUMBER('Base de datos Rutas'!J244)),N('Base de datos Rutas'!BK244)=0),"",'Base de datos Rutas'!J244/('Base de datos Rutas'!L244/'Base de datos Rutas'!BK244)),"")</f>
        <v/>
      </c>
      <c r="L246" s="788" t="str">
        <f>IFERROR(IF(OR(NOT(ISNUMBER('Base de datos Rutas'!K244)),N('Base de datos Rutas'!BK244)=0),"",'Base de datos Rutas'!K244/('Base de datos Rutas'!L244/'Base de datos Rutas'!BK244)),"")</f>
        <v/>
      </c>
      <c r="M246" s="787">
        <f>IF(ISNUMBER('Base de datos Rutas'!AX244),'Base de datos Rutas'!AX244,"")</f>
        <v>563.62440748440804</v>
      </c>
      <c r="N246" s="790">
        <f>IFERROR(INDEX('Hoja de apoyo v2'!B$17:B$20,MATCH($A246,'Hoja de apoyo v2'!$A$17:$A$20,0)),"")</f>
        <v>74.190366972477051</v>
      </c>
      <c r="O246" s="791">
        <f>IFERROR(INDEX('Hoja de apoyo v2'!C$17:C$20,MATCH($A246,'Hoja de apoyo v2'!$A$17:$A$20,0)),"")</f>
        <v>0.71677657005077755</v>
      </c>
      <c r="P246" s="793">
        <f>IFERROR(INDEX('Hoja de apoyo v2'!D$17:D$20,MATCH($A246,'Hoja de apoyo v2'!$A$17:$A$20,0)),"")</f>
        <v>8755.1153350385739</v>
      </c>
      <c r="Q246" s="793">
        <f>IFERROR(INDEX('Hoja de apoyo v2'!E$17:E$20,MATCH($A246,'Hoja de apoyo v2'!$A$17:$A$20,0)),"")</f>
        <v>6098.2042779326393</v>
      </c>
      <c r="R246" s="793">
        <f>IFERROR(INDEX('Hoja de apoyo v2'!F$17:F$20,MATCH($A246,'Hoja de apoyo v2'!$A$17:$A$20,0)),"")</f>
        <v>389.08889713610301</v>
      </c>
      <c r="S246" s="793">
        <f>IFERROR(INDEX('Hoja de apoyo v2'!G$17:G$20,MATCH($A246,'Hoja de apoyo v2'!$A$17:$A$20,0)),"")</f>
        <v>67.90575167807188</v>
      </c>
      <c r="T246" s="792">
        <f>IFERROR(INDEX('Hoja de apoyo v2'!H$17:H$20,MATCH($A246,'Hoja de apoyo v2'!$A$17:$A$20,0)),"")</f>
        <v>258.90325471200998</v>
      </c>
      <c r="U246" s="794" t="str">
        <f t="shared" si="112"/>
        <v/>
      </c>
      <c r="V246" s="795" t="str">
        <f t="shared" si="113"/>
        <v/>
      </c>
      <c r="W246" s="795" t="str">
        <f t="shared" si="114"/>
        <v/>
      </c>
      <c r="X246" s="843" t="str">
        <f t="shared" si="115"/>
        <v/>
      </c>
      <c r="Y246" s="843" t="str">
        <f t="shared" si="116"/>
        <v/>
      </c>
      <c r="Z246" s="843" t="str">
        <f t="shared" si="117"/>
        <v/>
      </c>
      <c r="AA246" s="843">
        <f t="shared" si="118"/>
        <v>2.1769691853095994</v>
      </c>
      <c r="AB246" s="796">
        <f t="shared" si="119"/>
        <v>0</v>
      </c>
      <c r="AC246" s="797">
        <f t="shared" si="120"/>
        <v>0</v>
      </c>
      <c r="AD246" s="797">
        <f t="shared" si="121"/>
        <v>0</v>
      </c>
      <c r="AE246" s="842">
        <f t="shared" si="122"/>
        <v>0</v>
      </c>
      <c r="AF246" s="842">
        <f t="shared" si="123"/>
        <v>0</v>
      </c>
      <c r="AG246" s="842">
        <f t="shared" si="124"/>
        <v>0</v>
      </c>
      <c r="AH246" s="842">
        <f t="shared" si="125"/>
        <v>5</v>
      </c>
      <c r="AI246" s="826" cm="1">
        <f t="array" ref="AI246">SUMPRODUCT(--ISNUMBER($U246:$AA246),$AB$3:$AH$3)</f>
        <v>8.9789113613062493E-2</v>
      </c>
      <c r="AJ246" s="829" t="str">
        <f t="shared" si="126"/>
        <v/>
      </c>
      <c r="AK246" s="827" t="str">
        <f t="shared" si="127"/>
        <v>Ruta inactiva</v>
      </c>
      <c r="AL246" s="784" t="str">
        <f t="shared" si="128"/>
        <v>n/a</v>
      </c>
      <c r="AM246" s="799" t="str">
        <f>IF(ISNUMBER('Base de datos Rutas'!W244),'Base de datos Rutas'!W244,"")</f>
        <v/>
      </c>
      <c r="AN246" s="787">
        <f>IFERROR(SUMIFS('Base de datos Rutas'!$W$6:$W$794,'Base de datos Rutas'!$C$6:$C$794,$C246)/'Base de datos Rutas'!I244,"")</f>
        <v>0</v>
      </c>
      <c r="AO246" s="800" t="str">
        <f>IFERROR('Base de datos Rutas'!X244*AN246/AM246,"")</f>
        <v/>
      </c>
      <c r="AP246" s="800" t="str">
        <f t="shared" si="129"/>
        <v/>
      </c>
      <c r="AQ246" s="789">
        <f>IFERROR(INDEX('Hoja de apoyo v2'!$J$17:$J$20,MATCH($A246,'Hoja de apoyo v2'!$A$17:$A$20,0)),"")</f>
        <v>0.62197445417222763</v>
      </c>
      <c r="AR246" s="789" t="str">
        <f t="shared" si="130"/>
        <v/>
      </c>
      <c r="AS246" s="784" t="str">
        <f t="shared" si="131"/>
        <v>n/d</v>
      </c>
      <c r="AT246" s="801" t="str">
        <f>IF(ISNUMBER('Base de datos Rutas'!CK244),'Base de datos Rutas'!CK244,"")</f>
        <v/>
      </c>
      <c r="AU246" s="802" t="str">
        <f>IF(ISNUMBER('Base de datos Rutas'!CL244),'Base de datos Rutas'!CL244,"")</f>
        <v/>
      </c>
      <c r="AV246" s="802">
        <f>IF(ISNUMBER('Base de datos Rutas'!CM244),'Base de datos Rutas'!CM244,"")</f>
        <v>0</v>
      </c>
      <c r="AW246" s="802" t="str">
        <f>IF(ISNUMBER('Base de datos Rutas'!CN244),'Base de datos Rutas'!CN244,"")</f>
        <v/>
      </c>
      <c r="AX246" s="802" t="str">
        <f>IF(ISNUMBER('Base de datos Rutas'!CO244),'Base de datos Rutas'!CO244,"")</f>
        <v/>
      </c>
      <c r="AY246" s="802">
        <f>IF(ISNUMBER('Base de datos Rutas'!CP244),'Base de datos Rutas'!CP244,"")</f>
        <v>0</v>
      </c>
      <c r="AZ246" s="802" t="str">
        <f>IF(ISNUMBER('Base de datos Rutas'!CQ244),'Base de datos Rutas'!CQ244,"")</f>
        <v/>
      </c>
      <c r="BA246" s="802" t="str">
        <f>IF(ISNUMBER('Base de datos Rutas'!CR244),'Base de datos Rutas'!CR244,"")</f>
        <v/>
      </c>
      <c r="BB246" s="803">
        <f>IF(ISNUMBER('Base de datos Rutas'!CS244),'Base de datos Rutas'!CS244,"")</f>
        <v>0</v>
      </c>
      <c r="BC246" s="804" t="str">
        <f t="shared" si="141"/>
        <v/>
      </c>
      <c r="BD246" s="805" t="str">
        <f t="shared" si="142"/>
        <v>N/D</v>
      </c>
      <c r="BE246" s="806" t="str">
        <f t="shared" si="143"/>
        <v/>
      </c>
      <c r="BF246" s="890" t="str">
        <f>IF(ISNUMBER('Base de datos Rutas'!CX244),'Base de datos Rutas'!CX244/100,"")</f>
        <v/>
      </c>
      <c r="BG246" s="891" t="str">
        <f>IF(ISNUMBER('Base de datos Rutas'!CZ244),'Base de datos Rutas'!CZ244/100,"")</f>
        <v/>
      </c>
      <c r="BH246" s="892" t="str">
        <f>IF(ISNUMBER('Base de datos Rutas'!DA244),'Base de datos Rutas'!DA244,"")</f>
        <v/>
      </c>
      <c r="BI246" s="893" t="str">
        <f>IF(ISNUMBER('Base de datos Rutas'!DC244),'Base de datos Rutas'!DC244,"")</f>
        <v/>
      </c>
      <c r="BJ246" s="805" t="str">
        <f t="shared" si="144"/>
        <v>Sin dato</v>
      </c>
      <c r="BK246" s="783">
        <f t="shared" si="132"/>
        <v>0</v>
      </c>
      <c r="BL246" s="797">
        <f t="shared" si="133"/>
        <v>0</v>
      </c>
      <c r="BM246" s="797">
        <f t="shared" si="134"/>
        <v>0</v>
      </c>
      <c r="BN246" s="797">
        <f t="shared" si="135"/>
        <v>0</v>
      </c>
      <c r="BO246" s="798" cm="1">
        <f t="array" ref="BO246">SUMPRODUCT(--ISNUMBER($BF246:$BI246),$BK$3:$BN$3)</f>
        <v>0</v>
      </c>
      <c r="BP246" s="831" t="str">
        <f t="shared" si="145"/>
        <v/>
      </c>
      <c r="BQ246" s="834" t="str">
        <f t="shared" si="146"/>
        <v>Sin datos</v>
      </c>
      <c r="BR246" s="836" t="str">
        <f t="shared" si="136"/>
        <v/>
      </c>
      <c r="BS246" s="836" t="str">
        <f t="shared" si="137"/>
        <v/>
      </c>
      <c r="BT246" s="837" t="str">
        <f t="shared" si="138"/>
        <v>Sin datos</v>
      </c>
      <c r="BU246" s="807" t="str">
        <f t="shared" si="147"/>
        <v>No evaluable</v>
      </c>
      <c r="BV246" s="807" t="str">
        <f t="shared" si="139"/>
        <v>No evaluable</v>
      </c>
      <c r="BW246" s="808" t="str">
        <f t="shared" si="140"/>
        <v>Sin datos</v>
      </c>
    </row>
    <row r="247" spans="1:75">
      <c r="A247" s="780" t="str">
        <f>'Base de datos Rutas'!A245</f>
        <v>Norte</v>
      </c>
      <c r="B247" s="781" t="str">
        <f>'Base de datos Rutas'!B245</f>
        <v>No está en EERR</v>
      </c>
      <c r="C247" s="781" t="str">
        <f>'Base de datos Rutas'!C245</f>
        <v>Suc. Valparaíso</v>
      </c>
      <c r="D247" s="782" t="str">
        <f>IF(ISNUMBER('Base de datos Rutas'!D245),'Base de datos Rutas'!D245,"Sin código")</f>
        <v>Sin código</v>
      </c>
      <c r="E247" s="783" t="str">
        <f>'Base de datos Rutas'!F245</f>
        <v>Sin código</v>
      </c>
      <c r="F247" s="784" t="str">
        <f>'Base de datos Rutas'!H245</f>
        <v>No</v>
      </c>
      <c r="G247" s="785" t="str">
        <f>IF(ISNUMBER('Base de datos Rutas'!BE245),'Base de datos Rutas'!BE245,"")</f>
        <v/>
      </c>
      <c r="H247" s="786" t="str">
        <f>IF(ISNUMBER('Base de datos Rutas'!BH245),'Base de datos Rutas'!BH245,"")</f>
        <v/>
      </c>
      <c r="I247" s="788" t="str">
        <f>IFERROR(IF(OR(NOT(ISNUMBER('Base de datos Rutas'!O245)),N('Base de datos Rutas'!BK245)=0),"",'Base de datos Rutas'!O245/('Base de datos Rutas'!L245/'Base de datos Rutas'!BK245)),"")</f>
        <v/>
      </c>
      <c r="J247" s="788" t="str">
        <f>IFERROR(IF(OR(NOT(ISNUMBER('Base de datos Rutas'!N245)),N('Base de datos Rutas'!BK245)=0),"",'Base de datos Rutas'!N245/('Base de datos Rutas'!L245/'Base de datos Rutas'!BK245)),"")</f>
        <v/>
      </c>
      <c r="K247" s="788" t="str">
        <f>IFERROR(IF(OR(NOT(ISNUMBER('Base de datos Rutas'!J245)),N('Base de datos Rutas'!BK245)=0),"",'Base de datos Rutas'!J245/('Base de datos Rutas'!L245/'Base de datos Rutas'!BK245)),"")</f>
        <v/>
      </c>
      <c r="L247" s="788" t="str">
        <f>IFERROR(IF(OR(NOT(ISNUMBER('Base de datos Rutas'!K245)),N('Base de datos Rutas'!BK245)=0),"",'Base de datos Rutas'!K245/('Base de datos Rutas'!L245/'Base de datos Rutas'!BK245)),"")</f>
        <v/>
      </c>
      <c r="M247" s="787">
        <f>IF(ISNUMBER('Base de datos Rutas'!AX245),'Base de datos Rutas'!AX245,"")</f>
        <v>1244.9825000000001</v>
      </c>
      <c r="N247" s="790">
        <f>IFERROR(INDEX('Hoja de apoyo v2'!B$17:B$20,MATCH($A247,'Hoja de apoyo v2'!$A$17:$A$20,0)),"")</f>
        <v>74.190366972477051</v>
      </c>
      <c r="O247" s="791">
        <f>IFERROR(INDEX('Hoja de apoyo v2'!C$17:C$20,MATCH($A247,'Hoja de apoyo v2'!$A$17:$A$20,0)),"")</f>
        <v>0.71677657005077755</v>
      </c>
      <c r="P247" s="793">
        <f>IFERROR(INDEX('Hoja de apoyo v2'!D$17:D$20,MATCH($A247,'Hoja de apoyo v2'!$A$17:$A$20,0)),"")</f>
        <v>8755.1153350385739</v>
      </c>
      <c r="Q247" s="793">
        <f>IFERROR(INDEX('Hoja de apoyo v2'!E$17:E$20,MATCH($A247,'Hoja de apoyo v2'!$A$17:$A$20,0)),"")</f>
        <v>6098.2042779326393</v>
      </c>
      <c r="R247" s="793">
        <f>IFERROR(INDEX('Hoja de apoyo v2'!F$17:F$20,MATCH($A247,'Hoja de apoyo v2'!$A$17:$A$20,0)),"")</f>
        <v>389.08889713610301</v>
      </c>
      <c r="S247" s="793">
        <f>IFERROR(INDEX('Hoja de apoyo v2'!G$17:G$20,MATCH($A247,'Hoja de apoyo v2'!$A$17:$A$20,0)),"")</f>
        <v>67.90575167807188</v>
      </c>
      <c r="T247" s="792">
        <f>IFERROR(INDEX('Hoja de apoyo v2'!H$17:H$20,MATCH($A247,'Hoja de apoyo v2'!$A$17:$A$20,0)),"")</f>
        <v>258.90325471200998</v>
      </c>
      <c r="U247" s="794" t="str">
        <f t="shared" si="112"/>
        <v/>
      </c>
      <c r="V247" s="795" t="str">
        <f t="shared" si="113"/>
        <v/>
      </c>
      <c r="W247" s="795" t="str">
        <f t="shared" si="114"/>
        <v/>
      </c>
      <c r="X247" s="843" t="str">
        <f t="shared" si="115"/>
        <v/>
      </c>
      <c r="Y247" s="843" t="str">
        <f t="shared" si="116"/>
        <v/>
      </c>
      <c r="Z247" s="843" t="str">
        <f t="shared" si="117"/>
        <v/>
      </c>
      <c r="AA247" s="843">
        <f t="shared" si="118"/>
        <v>4.8086784439417398</v>
      </c>
      <c r="AB247" s="796">
        <f t="shared" si="119"/>
        <v>0</v>
      </c>
      <c r="AC247" s="797">
        <f t="shared" si="120"/>
        <v>0</v>
      </c>
      <c r="AD247" s="797">
        <f t="shared" si="121"/>
        <v>0</v>
      </c>
      <c r="AE247" s="842">
        <f t="shared" si="122"/>
        <v>0</v>
      </c>
      <c r="AF247" s="842">
        <f t="shared" si="123"/>
        <v>0</v>
      </c>
      <c r="AG247" s="842">
        <f t="shared" si="124"/>
        <v>0</v>
      </c>
      <c r="AH247" s="842">
        <f t="shared" si="125"/>
        <v>5</v>
      </c>
      <c r="AI247" s="826" cm="1">
        <f t="array" ref="AI247">SUMPRODUCT(--ISNUMBER($U247:$AA247),$AB$3:$AH$3)</f>
        <v>8.9789113613062493E-2</v>
      </c>
      <c r="AJ247" s="829" t="str">
        <f t="shared" si="126"/>
        <v/>
      </c>
      <c r="AK247" s="827" t="str">
        <f t="shared" si="127"/>
        <v>Ruta inactiva</v>
      </c>
      <c r="AL247" s="784" t="str">
        <f t="shared" si="128"/>
        <v>n/a</v>
      </c>
      <c r="AM247" s="799" t="str">
        <f>IF(ISNUMBER('Base de datos Rutas'!W245),'Base de datos Rutas'!W245,"")</f>
        <v/>
      </c>
      <c r="AN247" s="787">
        <f>IFERROR(SUMIFS('Base de datos Rutas'!$W$6:$W$794,'Base de datos Rutas'!$C$6:$C$794,$C247)/'Base de datos Rutas'!I245,"")</f>
        <v>0</v>
      </c>
      <c r="AO247" s="800" t="str">
        <f>IFERROR('Base de datos Rutas'!X245*AN247/AM247,"")</f>
        <v/>
      </c>
      <c r="AP247" s="800" t="str">
        <f t="shared" si="129"/>
        <v/>
      </c>
      <c r="AQ247" s="789">
        <f>IFERROR(INDEX('Hoja de apoyo v2'!$J$17:$J$20,MATCH($A247,'Hoja de apoyo v2'!$A$17:$A$20,0)),"")</f>
        <v>0.62197445417222763</v>
      </c>
      <c r="AR247" s="789" t="str">
        <f t="shared" si="130"/>
        <v/>
      </c>
      <c r="AS247" s="784" t="str">
        <f t="shared" si="131"/>
        <v>n/d</v>
      </c>
      <c r="AT247" s="801" t="str">
        <f>IF(ISNUMBER('Base de datos Rutas'!CK245),'Base de datos Rutas'!CK245,"")</f>
        <v/>
      </c>
      <c r="AU247" s="802" t="str">
        <f>IF(ISNUMBER('Base de datos Rutas'!CL245),'Base de datos Rutas'!CL245,"")</f>
        <v/>
      </c>
      <c r="AV247" s="802">
        <f>IF(ISNUMBER('Base de datos Rutas'!CM245),'Base de datos Rutas'!CM245,"")</f>
        <v>0</v>
      </c>
      <c r="AW247" s="802" t="str">
        <f>IF(ISNUMBER('Base de datos Rutas'!CN245),'Base de datos Rutas'!CN245,"")</f>
        <v/>
      </c>
      <c r="AX247" s="802" t="str">
        <f>IF(ISNUMBER('Base de datos Rutas'!CO245),'Base de datos Rutas'!CO245,"")</f>
        <v/>
      </c>
      <c r="AY247" s="802">
        <f>IF(ISNUMBER('Base de datos Rutas'!CP245),'Base de datos Rutas'!CP245,"")</f>
        <v>0</v>
      </c>
      <c r="AZ247" s="802" t="str">
        <f>IF(ISNUMBER('Base de datos Rutas'!CQ245),'Base de datos Rutas'!CQ245,"")</f>
        <v/>
      </c>
      <c r="BA247" s="802" t="str">
        <f>IF(ISNUMBER('Base de datos Rutas'!CR245),'Base de datos Rutas'!CR245,"")</f>
        <v/>
      </c>
      <c r="BB247" s="803">
        <f>IF(ISNUMBER('Base de datos Rutas'!CS245),'Base de datos Rutas'!CS245,"")</f>
        <v>0</v>
      </c>
      <c r="BC247" s="804" t="str">
        <f t="shared" si="141"/>
        <v/>
      </c>
      <c r="BD247" s="805" t="str">
        <f t="shared" si="142"/>
        <v>N/D</v>
      </c>
      <c r="BE247" s="806" t="str">
        <f t="shared" si="143"/>
        <v/>
      </c>
      <c r="BF247" s="890" t="str">
        <f>IF(ISNUMBER('Base de datos Rutas'!CX245),'Base de datos Rutas'!CX245/100,"")</f>
        <v/>
      </c>
      <c r="BG247" s="891" t="str">
        <f>IF(ISNUMBER('Base de datos Rutas'!CZ245),'Base de datos Rutas'!CZ245/100,"")</f>
        <v/>
      </c>
      <c r="BH247" s="892" t="str">
        <f>IF(ISNUMBER('Base de datos Rutas'!DA245),'Base de datos Rutas'!DA245,"")</f>
        <v/>
      </c>
      <c r="BI247" s="893" t="str">
        <f>IF(ISNUMBER('Base de datos Rutas'!DC245),'Base de datos Rutas'!DC245,"")</f>
        <v/>
      </c>
      <c r="BJ247" s="805" t="str">
        <f t="shared" si="144"/>
        <v>Sin dato</v>
      </c>
      <c r="BK247" s="783">
        <f t="shared" si="132"/>
        <v>0</v>
      </c>
      <c r="BL247" s="797">
        <f t="shared" si="133"/>
        <v>0</v>
      </c>
      <c r="BM247" s="797">
        <f t="shared" si="134"/>
        <v>0</v>
      </c>
      <c r="BN247" s="797">
        <f t="shared" si="135"/>
        <v>0</v>
      </c>
      <c r="BO247" s="798" cm="1">
        <f t="array" ref="BO247">SUMPRODUCT(--ISNUMBER($BF247:$BI247),$BK$3:$BN$3)</f>
        <v>0</v>
      </c>
      <c r="BP247" s="831" t="str">
        <f t="shared" si="145"/>
        <v/>
      </c>
      <c r="BQ247" s="834" t="str">
        <f t="shared" si="146"/>
        <v>Sin datos</v>
      </c>
      <c r="BR247" s="836" t="str">
        <f t="shared" si="136"/>
        <v/>
      </c>
      <c r="BS247" s="836" t="str">
        <f t="shared" si="137"/>
        <v/>
      </c>
      <c r="BT247" s="837" t="str">
        <f t="shared" si="138"/>
        <v>Sin datos</v>
      </c>
      <c r="BU247" s="807" t="str">
        <f t="shared" si="147"/>
        <v>No evaluable</v>
      </c>
      <c r="BV247" s="807" t="str">
        <f t="shared" si="139"/>
        <v>No evaluable</v>
      </c>
      <c r="BW247" s="808" t="str">
        <f t="shared" si="140"/>
        <v>Sin datos</v>
      </c>
    </row>
    <row r="248" spans="1:75">
      <c r="A248" s="780" t="str">
        <f>'Base de datos Rutas'!A246</f>
        <v>Occidente</v>
      </c>
      <c r="B248" s="781" t="str">
        <f>'Base de datos Rutas'!B246</f>
        <v>Aguascalientes</v>
      </c>
      <c r="C248" s="781" t="str">
        <f>'Base de datos Rutas'!C246</f>
        <v>Planta Aguascalientes</v>
      </c>
      <c r="D248" s="782">
        <f>IF(ISNUMBER('Base de datos Rutas'!D246),'Base de datos Rutas'!D246,"Sin código")</f>
        <v>901340</v>
      </c>
      <c r="E248" s="783" t="str">
        <f>'Base de datos Rutas'!F246</f>
        <v>Activa</v>
      </c>
      <c r="F248" s="784" t="str">
        <f>'Base de datos Rutas'!H246</f>
        <v>Sí</v>
      </c>
      <c r="G248" s="785">
        <f>IF(ISNUMBER('Base de datos Rutas'!BE246),'Base de datos Rutas'!BE246,"")</f>
        <v>91.883295194507994</v>
      </c>
      <c r="H248" s="786">
        <f>IF(ISNUMBER('Base de datos Rutas'!BH246),'Base de datos Rutas'!BH246,"")</f>
        <v>0.38355789106666999</v>
      </c>
      <c r="I248" s="788">
        <f>IFERROR(IF(OR(NOT(ISNUMBER('Base de datos Rutas'!O246)),N('Base de datos Rutas'!BK246)=0),"",'Base de datos Rutas'!O246/('Base de datos Rutas'!L246/'Base de datos Rutas'!BK246)),"")</f>
        <v>2538.2425629290569</v>
      </c>
      <c r="J248" s="788">
        <f>IFERROR(IF(OR(NOT(ISNUMBER('Base de datos Rutas'!N246)),N('Base de datos Rutas'!BK246)=0),"",'Base de datos Rutas'!N246/('Base de datos Rutas'!L246/'Base de datos Rutas'!BK246)),"")</f>
        <v>6082.8878718535352</v>
      </c>
      <c r="K248" s="788">
        <f>IFERROR(IF(OR(NOT(ISNUMBER('Base de datos Rutas'!J246)),N('Base de datos Rutas'!BK246)=0),"",'Base de datos Rutas'!J246/('Base de datos Rutas'!L246/'Base de datos Rutas'!BK246)),"")</f>
        <v>415.07897116704726</v>
      </c>
      <c r="L248" s="788">
        <f>IFERROR(IF(OR(NOT(ISNUMBER('Base de datos Rutas'!K246)),N('Base de datos Rutas'!BK246)=0),"",'Base de datos Rutas'!K246/('Base de datos Rutas'!L246/'Base de datos Rutas'!BK246)),"")</f>
        <v>19.575526942791722</v>
      </c>
      <c r="M248" s="787">
        <f>IF(ISNUMBER('Base de datos Rutas'!AX246),'Base de datos Rutas'!AX246,"")</f>
        <v>245.74284137393701</v>
      </c>
      <c r="N248" s="790">
        <f>IFERROR(INDEX('Hoja de apoyo v2'!B$17:B$20,MATCH($A248,'Hoja de apoyo v2'!$A$17:$A$20,0)),"")</f>
        <v>89.41621024641401</v>
      </c>
      <c r="O248" s="791">
        <f>IFERROR(INDEX('Hoja de apoyo v2'!C$17:C$20,MATCH($A248,'Hoja de apoyo v2'!$A$17:$A$20,0)),"")</f>
        <v>0.54706375874806301</v>
      </c>
      <c r="P248" s="793">
        <f>IFERROR(INDEX('Hoja de apoyo v2'!D$17:D$20,MATCH($A248,'Hoja de apoyo v2'!$A$17:$A$20,0)),"")</f>
        <v>11095.153935793827</v>
      </c>
      <c r="Q248" s="793">
        <f>IFERROR(INDEX('Hoja de apoyo v2'!E$17:E$20,MATCH($A248,'Hoja de apoyo v2'!$A$17:$A$20,0)),"")</f>
        <v>6982.3202019701848</v>
      </c>
      <c r="R248" s="793">
        <f>IFERROR(INDEX('Hoja de apoyo v2'!F$17:F$20,MATCH($A248,'Hoja de apoyo v2'!$A$17:$A$20,0)),"")</f>
        <v>448.09513474485743</v>
      </c>
      <c r="S248" s="793">
        <f>IFERROR(INDEX('Hoja de apoyo v2'!G$17:G$20,MATCH($A248,'Hoja de apoyo v2'!$A$17:$A$20,0)),"")</f>
        <v>83.406300904207839</v>
      </c>
      <c r="T248" s="792">
        <f>IFERROR(INDEX('Hoja de apoyo v2'!H$17:H$20,MATCH($A248,'Hoja de apoyo v2'!$A$17:$A$20,0)),"")</f>
        <v>378.97014028925349</v>
      </c>
      <c r="U248" s="794">
        <f t="shared" si="112"/>
        <v>1.0275910256238234</v>
      </c>
      <c r="V248" s="795">
        <f t="shared" si="113"/>
        <v>0.70112100268610245</v>
      </c>
      <c r="W248" s="795">
        <f t="shared" si="114"/>
        <v>0.22877037827663568</v>
      </c>
      <c r="X248" s="843">
        <f t="shared" si="115"/>
        <v>0.87118431923777162</v>
      </c>
      <c r="Y248" s="843">
        <f t="shared" si="116"/>
        <v>0.92631885281100101</v>
      </c>
      <c r="Z248" s="843">
        <f t="shared" si="117"/>
        <v>0.23470081673175053</v>
      </c>
      <c r="AA248" s="843">
        <f t="shared" si="118"/>
        <v>0.64844908674432988</v>
      </c>
      <c r="AB248" s="796">
        <f t="shared" si="119"/>
        <v>4</v>
      </c>
      <c r="AC248" s="797">
        <f t="shared" si="120"/>
        <v>2</v>
      </c>
      <c r="AD248" s="797">
        <f t="shared" si="121"/>
        <v>1</v>
      </c>
      <c r="AE248" s="842">
        <f t="shared" si="122"/>
        <v>3</v>
      </c>
      <c r="AF248" s="842">
        <f t="shared" si="123"/>
        <v>3</v>
      </c>
      <c r="AG248" s="842">
        <f t="shared" si="124"/>
        <v>1</v>
      </c>
      <c r="AH248" s="842">
        <f t="shared" si="125"/>
        <v>2</v>
      </c>
      <c r="AI248" s="826" cm="1">
        <f t="array" ref="AI248">SUMPRODUCT(--ISNUMBER($U248:$AA248),$AB$3:$AH$3)</f>
        <v>1</v>
      </c>
      <c r="AJ248" s="829">
        <f t="shared" si="126"/>
        <v>30.899526277144261</v>
      </c>
      <c r="AK248" s="827" t="str">
        <f t="shared" si="127"/>
        <v>Inmadura</v>
      </c>
      <c r="AL248" s="784" t="str">
        <f t="shared" si="128"/>
        <v>Alta</v>
      </c>
      <c r="AM248" s="799">
        <f>IF(ISNUMBER('Base de datos Rutas'!W246),'Base de datos Rutas'!W246,"")</f>
        <v>2854.7551675604168</v>
      </c>
      <c r="AN248" s="787">
        <f>IFERROR(SUMIFS('Base de datos Rutas'!$W$6:$W$794,'Base de datos Rutas'!$C$6:$C$794,$C248)/'Base de datos Rutas'!I246,"")</f>
        <v>2854.7551675604172</v>
      </c>
      <c r="AO248" s="800">
        <f>IFERROR('Base de datos Rutas'!X246*AN248/AM248,"")</f>
        <v>0.39497815263374952</v>
      </c>
      <c r="AP248" s="800">
        <f t="shared" si="129"/>
        <v>0.60502184736625053</v>
      </c>
      <c r="AQ248" s="789">
        <f>IFERROR(INDEX('Hoja de apoyo v2'!$J$17:$J$20,MATCH($A248,'Hoja de apoyo v2'!$A$17:$A$20,0)),"")</f>
        <v>0.64320274048480885</v>
      </c>
      <c r="AR248" s="789">
        <f t="shared" si="130"/>
        <v>-3.8180893118558323E-2</v>
      </c>
      <c r="AS248" s="784" t="str">
        <f t="shared" si="131"/>
        <v>No</v>
      </c>
      <c r="AT248" s="801">
        <f>IF(ISNUMBER('Base de datos Rutas'!CK246),'Base de datos Rutas'!CK246,"")</f>
        <v>410</v>
      </c>
      <c r="AU248" s="802">
        <f>IF(ISNUMBER('Base de datos Rutas'!CL246),'Base de datos Rutas'!CL246,"")</f>
        <v>469.08</v>
      </c>
      <c r="AV248" s="802">
        <f>IF(ISNUMBER('Base de datos Rutas'!CM246),'Base de datos Rutas'!CM246,"")</f>
        <v>59.079999999999984</v>
      </c>
      <c r="AW248" s="802">
        <f>IF(ISNUMBER('Base de datos Rutas'!CN246),'Base de datos Rutas'!CN246,"")</f>
        <v>14.64</v>
      </c>
      <c r="AX248" s="802">
        <f>IF(ISNUMBER('Base de datos Rutas'!CO246),'Base de datos Rutas'!CO246,"")</f>
        <v>9.4499999999999993</v>
      </c>
      <c r="AY248" s="802">
        <f>IF(ISNUMBER('Base de datos Rutas'!CP246),'Base de datos Rutas'!CP246,"")</f>
        <v>-5.1900000000000013</v>
      </c>
      <c r="AZ248" s="802">
        <f>IF(ISNUMBER('Base de datos Rutas'!CQ246),'Base de datos Rutas'!CQ246,"")</f>
        <v>846.56</v>
      </c>
      <c r="BA248" s="802">
        <f>IF(ISNUMBER('Base de datos Rutas'!CR246),'Base de datos Rutas'!CR246,"")</f>
        <v>434.65</v>
      </c>
      <c r="BB248" s="803">
        <f>IF(ISNUMBER('Base de datos Rutas'!CS246),'Base de datos Rutas'!CS246,"")</f>
        <v>411.90999999999997</v>
      </c>
      <c r="BC248" s="804">
        <f t="shared" si="141"/>
        <v>1</v>
      </c>
      <c r="BD248" s="805" t="str">
        <f t="shared" si="142"/>
        <v>Saturada</v>
      </c>
      <c r="BE248" s="806">
        <f t="shared" si="143"/>
        <v>0.5134308259308259</v>
      </c>
      <c r="BF248" s="890">
        <f>IF(ISNUMBER('Base de datos Rutas'!CX246),'Base de datos Rutas'!CX246/100,"")</f>
        <v>0.85310110974106057</v>
      </c>
      <c r="BG248" s="891">
        <f>IF(ISNUMBER('Base de datos Rutas'!CZ246),'Base de datos Rutas'!CZ246/100,"")</f>
        <v>0.86220715166461159</v>
      </c>
      <c r="BH248" s="892">
        <f>IF(ISNUMBER('Base de datos Rutas'!DA246),'Base de datos Rutas'!DA246,"")</f>
        <v>516.3735940297048</v>
      </c>
      <c r="BI248" s="893">
        <f>IF(ISNUMBER('Base de datos Rutas'!DC246),'Base de datos Rutas'!DC246,"")</f>
        <v>26.168653812081111</v>
      </c>
      <c r="BJ248" s="805" t="str">
        <f t="shared" si="144"/>
        <v>Ruta (completo)</v>
      </c>
      <c r="BK248" s="783">
        <f t="shared" si="132"/>
        <v>4</v>
      </c>
      <c r="BL248" s="797">
        <f t="shared" si="133"/>
        <v>4</v>
      </c>
      <c r="BM248" s="797">
        <f t="shared" si="134"/>
        <v>5</v>
      </c>
      <c r="BN248" s="797">
        <f t="shared" si="135"/>
        <v>5</v>
      </c>
      <c r="BO248" s="798" cm="1">
        <f t="array" ref="BO248">SUMPRODUCT(--ISNUMBER($BF248:$BI248),$BK$3:$BN$3)</f>
        <v>1</v>
      </c>
      <c r="BP248" s="831">
        <f t="shared" si="145"/>
        <v>87.5</v>
      </c>
      <c r="BQ248" s="834" t="str">
        <f t="shared" si="146"/>
        <v>Alto</v>
      </c>
      <c r="BR248" s="836">
        <f t="shared" si="136"/>
        <v>48.174644707858192</v>
      </c>
      <c r="BS248" s="836">
        <f t="shared" si="137"/>
        <v>87.5</v>
      </c>
      <c r="BT248" s="837" t="str">
        <f t="shared" si="138"/>
        <v>P1</v>
      </c>
      <c r="BU248" s="807" t="str">
        <f t="shared" si="147"/>
        <v>Al tope</v>
      </c>
      <c r="BV248" s="807" t="str">
        <f t="shared" si="139"/>
        <v>Zona atractiva</v>
      </c>
      <c r="BW248" s="808" t="str">
        <f t="shared" si="140"/>
        <v>P1 - Ampliar cobertura</v>
      </c>
    </row>
    <row r="249" spans="1:75">
      <c r="A249" s="780" t="str">
        <f>'Base de datos Rutas'!A247</f>
        <v>Occidente</v>
      </c>
      <c r="B249" s="781" t="str">
        <f>'Base de datos Rutas'!B247</f>
        <v>Aguascalientes</v>
      </c>
      <c r="C249" s="781" t="str">
        <f>'Base de datos Rutas'!C247</f>
        <v>Planta Aguascalientes</v>
      </c>
      <c r="D249" s="782">
        <f>IF(ISNUMBER('Base de datos Rutas'!D247),'Base de datos Rutas'!D247,"Sin código")</f>
        <v>901341</v>
      </c>
      <c r="E249" s="783" t="str">
        <f>'Base de datos Rutas'!F247</f>
        <v>Activa</v>
      </c>
      <c r="F249" s="784" t="str">
        <f>'Base de datos Rutas'!H247</f>
        <v>Sí</v>
      </c>
      <c r="G249" s="785">
        <f>IF(ISNUMBER('Base de datos Rutas'!BE247),'Base de datos Rutas'!BE247,"")</f>
        <v>62.3196347031964</v>
      </c>
      <c r="H249" s="786">
        <f>IF(ISNUMBER('Base de datos Rutas'!BH247),'Base de datos Rutas'!BH247,"")</f>
        <v>0.63866500586166497</v>
      </c>
      <c r="I249" s="788">
        <f>IFERROR(IF(OR(NOT(ISNUMBER('Base de datos Rutas'!O247)),N('Base de datos Rutas'!BK247)=0),"",'Base de datos Rutas'!O247/('Base de datos Rutas'!L247/'Base de datos Rutas'!BK247)),"")</f>
        <v>3748.8219178082163</v>
      </c>
      <c r="J249" s="788">
        <f>IFERROR(IF(OR(NOT(ISNUMBER('Base de datos Rutas'!N247)),N('Base de datos Rutas'!BK247)=0),"",'Base de datos Rutas'!N247/('Base de datos Rutas'!L247/'Base de datos Rutas'!BK247)),"")</f>
        <v>9176.196347031957</v>
      </c>
      <c r="K249" s="788">
        <f>IFERROR(IF(OR(NOT(ISNUMBER('Base de datos Rutas'!J247)),N('Base de datos Rutas'!BK247)=0),"",'Base de datos Rutas'!J247/('Base de datos Rutas'!L247/'Base de datos Rutas'!BK247)),"")</f>
        <v>617.43329315068456</v>
      </c>
      <c r="L249" s="788">
        <f>IFERROR(IF(OR(NOT(ISNUMBER('Base de datos Rutas'!K247)),N('Base de datos Rutas'!BK247)=0),"",'Base de datos Rutas'!K247/('Base de datos Rutas'!L247/'Base de datos Rutas'!BK247)),"")</f>
        <v>27.095747317351577</v>
      </c>
      <c r="M249" s="787">
        <f>IF(ISNUMBER('Base de datos Rutas'!AX247),'Base de datos Rutas'!AX247,"")</f>
        <v>324.73776056903603</v>
      </c>
      <c r="N249" s="790">
        <f>IFERROR(INDEX('Hoja de apoyo v2'!B$17:B$20,MATCH($A249,'Hoja de apoyo v2'!$A$17:$A$20,0)),"")</f>
        <v>89.41621024641401</v>
      </c>
      <c r="O249" s="791">
        <f>IFERROR(INDEX('Hoja de apoyo v2'!C$17:C$20,MATCH($A249,'Hoja de apoyo v2'!$A$17:$A$20,0)),"")</f>
        <v>0.54706375874806301</v>
      </c>
      <c r="P249" s="793">
        <f>IFERROR(INDEX('Hoja de apoyo v2'!D$17:D$20,MATCH($A249,'Hoja de apoyo v2'!$A$17:$A$20,0)),"")</f>
        <v>11095.153935793827</v>
      </c>
      <c r="Q249" s="793">
        <f>IFERROR(INDEX('Hoja de apoyo v2'!E$17:E$20,MATCH($A249,'Hoja de apoyo v2'!$A$17:$A$20,0)),"")</f>
        <v>6982.3202019701848</v>
      </c>
      <c r="R249" s="793">
        <f>IFERROR(INDEX('Hoja de apoyo v2'!F$17:F$20,MATCH($A249,'Hoja de apoyo v2'!$A$17:$A$20,0)),"")</f>
        <v>448.09513474485743</v>
      </c>
      <c r="S249" s="793">
        <f>IFERROR(INDEX('Hoja de apoyo v2'!G$17:G$20,MATCH($A249,'Hoja de apoyo v2'!$A$17:$A$20,0)),"")</f>
        <v>83.406300904207839</v>
      </c>
      <c r="T249" s="792">
        <f>IFERROR(INDEX('Hoja de apoyo v2'!H$17:H$20,MATCH($A249,'Hoja de apoyo v2'!$A$17:$A$20,0)),"")</f>
        <v>378.97014028925349</v>
      </c>
      <c r="U249" s="794">
        <f t="shared" si="112"/>
        <v>0.69696126162644756</v>
      </c>
      <c r="V249" s="795">
        <f t="shared" si="113"/>
        <v>1.167441629332618</v>
      </c>
      <c r="W249" s="795">
        <f t="shared" si="114"/>
        <v>0.33787921641305274</v>
      </c>
      <c r="X249" s="843">
        <f t="shared" si="115"/>
        <v>1.3142044594922375</v>
      </c>
      <c r="Y249" s="843">
        <f t="shared" si="116"/>
        <v>1.3779067105967291</v>
      </c>
      <c r="Z249" s="843">
        <f t="shared" si="117"/>
        <v>0.3248645129157694</v>
      </c>
      <c r="AA249" s="843">
        <f t="shared" si="118"/>
        <v>0.85689537524295722</v>
      </c>
      <c r="AB249" s="796">
        <f t="shared" si="119"/>
        <v>2</v>
      </c>
      <c r="AC249" s="797">
        <f t="shared" si="120"/>
        <v>4</v>
      </c>
      <c r="AD249" s="797">
        <f t="shared" si="121"/>
        <v>1</v>
      </c>
      <c r="AE249" s="842">
        <f t="shared" si="122"/>
        <v>5</v>
      </c>
      <c r="AF249" s="842">
        <f t="shared" si="123"/>
        <v>5</v>
      </c>
      <c r="AG249" s="842">
        <f t="shared" si="124"/>
        <v>1</v>
      </c>
      <c r="AH249" s="842">
        <f t="shared" si="125"/>
        <v>3</v>
      </c>
      <c r="AI249" s="826" cm="1">
        <f t="array" ref="AI249">SUMPRODUCT(--ISNUMBER($U249:$AA249),$AB$3:$AH$3)</f>
        <v>1</v>
      </c>
      <c r="AJ249" s="829">
        <f t="shared" si="126"/>
        <v>41.513777249495256</v>
      </c>
      <c r="AK249" s="827" t="str">
        <f t="shared" si="127"/>
        <v>Inmadura</v>
      </c>
      <c r="AL249" s="784" t="str">
        <f t="shared" si="128"/>
        <v>Alta</v>
      </c>
      <c r="AM249" s="799">
        <f>IF(ISNUMBER('Base de datos Rutas'!W247),'Base de datos Rutas'!W247,"")</f>
        <v>2854.7551675604168</v>
      </c>
      <c r="AN249" s="787">
        <f>IFERROR(SUMIFS('Base de datos Rutas'!$W$6:$W$794,'Base de datos Rutas'!$C$6:$C$794,$C249)/'Base de datos Rutas'!I247,"")</f>
        <v>2854.7551675604172</v>
      </c>
      <c r="AO249" s="800">
        <f>IFERROR('Base de datos Rutas'!X247*AN249/AM249,"")</f>
        <v>0.39497815263374952</v>
      </c>
      <c r="AP249" s="800">
        <f t="shared" si="129"/>
        <v>0.60502184736625053</v>
      </c>
      <c r="AQ249" s="789">
        <f>IFERROR(INDEX('Hoja de apoyo v2'!$J$17:$J$20,MATCH($A249,'Hoja de apoyo v2'!$A$17:$A$20,0)),"")</f>
        <v>0.64320274048480885</v>
      </c>
      <c r="AR249" s="789">
        <f t="shared" si="130"/>
        <v>-3.8180893118558323E-2</v>
      </c>
      <c r="AS249" s="784" t="str">
        <f t="shared" si="131"/>
        <v>No</v>
      </c>
      <c r="AT249" s="801">
        <f>IF(ISNUMBER('Base de datos Rutas'!CK247),'Base de datos Rutas'!CK247,"")</f>
        <v>371</v>
      </c>
      <c r="AU249" s="802">
        <f>IF(ISNUMBER('Base de datos Rutas'!CL247),'Base de datos Rutas'!CL247,"")</f>
        <v>388.58</v>
      </c>
      <c r="AV249" s="802">
        <f>IF(ISNUMBER('Base de datos Rutas'!CM247),'Base de datos Rutas'!CM247,"")</f>
        <v>17.579999999999984</v>
      </c>
      <c r="AW249" s="802">
        <f>IF(ISNUMBER('Base de datos Rutas'!CN247),'Base de datos Rutas'!CN247,"")</f>
        <v>15.25</v>
      </c>
      <c r="AX249" s="802">
        <f>IF(ISNUMBER('Base de datos Rutas'!CO247),'Base de datos Rutas'!CO247,"")</f>
        <v>9.4499999999999993</v>
      </c>
      <c r="AY249" s="802">
        <f>IF(ISNUMBER('Base de datos Rutas'!CP247),'Base de datos Rutas'!CP247,"")</f>
        <v>-5.8000000000000007</v>
      </c>
      <c r="AZ249" s="802">
        <f>IF(ISNUMBER('Base de datos Rutas'!CQ247),'Base de datos Rutas'!CQ247,"")</f>
        <v>846.56</v>
      </c>
      <c r="BA249" s="802">
        <f>IF(ISNUMBER('Base de datos Rutas'!CR247),'Base de datos Rutas'!CR247,"")</f>
        <v>644.53</v>
      </c>
      <c r="BB249" s="803">
        <f>IF(ISNUMBER('Base de datos Rutas'!CS247),'Base de datos Rutas'!CS247,"")</f>
        <v>202.02999999999997</v>
      </c>
      <c r="BC249" s="804">
        <f t="shared" si="141"/>
        <v>1</v>
      </c>
      <c r="BD249" s="805" t="str">
        <f t="shared" si="142"/>
        <v>Saturada</v>
      </c>
      <c r="BE249" s="806">
        <f t="shared" si="143"/>
        <v>0.76135182385182387</v>
      </c>
      <c r="BF249" s="890">
        <f>IF(ISNUMBER('Base de datos Rutas'!CX247),'Base de datos Rutas'!CX247/100,"")</f>
        <v>0.99491919844861021</v>
      </c>
      <c r="BG249" s="891">
        <f>IF(ISNUMBER('Base de datos Rutas'!CZ247),'Base de datos Rutas'!CZ247/100,"")</f>
        <v>0.99870717517776342</v>
      </c>
      <c r="BH249" s="892">
        <f>IF(ISNUMBER('Base de datos Rutas'!DA247),'Base de datos Rutas'!DA247,"")</f>
        <v>267.45557444543186</v>
      </c>
      <c r="BI249" s="893">
        <f>IF(ISNUMBER('Base de datos Rutas'!DC247),'Base de datos Rutas'!DC247,"")</f>
        <v>14.143028562351617</v>
      </c>
      <c r="BJ249" s="805" t="str">
        <f t="shared" si="144"/>
        <v>Ruta (completo)</v>
      </c>
      <c r="BK249" s="783">
        <f t="shared" si="132"/>
        <v>5</v>
      </c>
      <c r="BL249" s="797">
        <f t="shared" si="133"/>
        <v>5</v>
      </c>
      <c r="BM249" s="797">
        <f t="shared" si="134"/>
        <v>4</v>
      </c>
      <c r="BN249" s="797">
        <f t="shared" si="135"/>
        <v>4</v>
      </c>
      <c r="BO249" s="798" cm="1">
        <f t="array" ref="BO249">SUMPRODUCT(--ISNUMBER($BF249:$BI249),$BK$3:$BN$3)</f>
        <v>1</v>
      </c>
      <c r="BP249" s="831">
        <f t="shared" si="145"/>
        <v>87.5</v>
      </c>
      <c r="BQ249" s="834" t="str">
        <f t="shared" si="146"/>
        <v>Alto</v>
      </c>
      <c r="BR249" s="836">
        <f t="shared" si="136"/>
        <v>56.13533293712144</v>
      </c>
      <c r="BS249" s="836">
        <f t="shared" si="137"/>
        <v>87.5</v>
      </c>
      <c r="BT249" s="837" t="str">
        <f t="shared" si="138"/>
        <v>P1</v>
      </c>
      <c r="BU249" s="807" t="str">
        <f t="shared" si="147"/>
        <v>Al tope</v>
      </c>
      <c r="BV249" s="807" t="str">
        <f t="shared" si="139"/>
        <v>Zona atractiva</v>
      </c>
      <c r="BW249" s="808" t="str">
        <f t="shared" si="140"/>
        <v>P1 - Ampliar cobertura</v>
      </c>
    </row>
    <row r="250" spans="1:75">
      <c r="A250" s="780" t="str">
        <f>'Base de datos Rutas'!A248</f>
        <v>Occidente</v>
      </c>
      <c r="B250" s="781" t="str">
        <f>'Base de datos Rutas'!B248</f>
        <v>Aguascalientes</v>
      </c>
      <c r="C250" s="781" t="str">
        <f>'Base de datos Rutas'!C248</f>
        <v>Planta Aguascalientes</v>
      </c>
      <c r="D250" s="782">
        <f>IF(ISNUMBER('Base de datos Rutas'!D248),'Base de datos Rutas'!D248,"Sin código")</f>
        <v>901342</v>
      </c>
      <c r="E250" s="783" t="str">
        <f>'Base de datos Rutas'!F248</f>
        <v>Activa</v>
      </c>
      <c r="F250" s="784" t="str">
        <f>'Base de datos Rutas'!H248</f>
        <v>Sí</v>
      </c>
      <c r="G250" s="785">
        <f>IF(ISNUMBER('Base de datos Rutas'!BE248),'Base de datos Rutas'!BE248,"")</f>
        <v>48.601830663615601</v>
      </c>
      <c r="H250" s="786">
        <f>IF(ISNUMBER('Base de datos Rutas'!BH248),'Base de datos Rutas'!BH248,"")</f>
        <v>0.86727247045529499</v>
      </c>
      <c r="I250" s="788">
        <f>IFERROR(IF(OR(NOT(ISNUMBER('Base de datos Rutas'!O248)),N('Base de datos Rutas'!BK248)=0),"",'Base de datos Rutas'!O248/('Base de datos Rutas'!L248/'Base de datos Rutas'!BK248)),"")</f>
        <v>4401.3363844393607</v>
      </c>
      <c r="J250" s="788">
        <f>IFERROR(IF(OR(NOT(ISNUMBER('Base de datos Rutas'!N248)),N('Base de datos Rutas'!BK248)=0),"",'Base de datos Rutas'!N248/('Base de datos Rutas'!L248/'Base de datos Rutas'!BK248)),"")</f>
        <v>7989.5537757437096</v>
      </c>
      <c r="K250" s="788">
        <f>IFERROR(IF(OR(NOT(ISNUMBER('Base de datos Rutas'!J248)),N('Base de datos Rutas'!BK248)=0),"",'Base de datos Rutas'!J248/('Base de datos Rutas'!L248/'Base de datos Rutas'!BK248)),"")</f>
        <v>527.89249610983995</v>
      </c>
      <c r="L250" s="788">
        <f>IFERROR(IF(OR(NOT(ISNUMBER('Base de datos Rutas'!K248)),N('Base de datos Rutas'!BK248)=0),"",'Base de datos Rutas'!K248/('Base de datos Rutas'!L248/'Base de datos Rutas'!BK248)),"")</f>
        <v>31.845431750572093</v>
      </c>
      <c r="M250" s="787">
        <f>IF(ISNUMBER('Base de datos Rutas'!AX248),'Base de datos Rutas'!AX248,"")</f>
        <v>287.11550597177001</v>
      </c>
      <c r="N250" s="790">
        <f>IFERROR(INDEX('Hoja de apoyo v2'!B$17:B$20,MATCH($A250,'Hoja de apoyo v2'!$A$17:$A$20,0)),"")</f>
        <v>89.41621024641401</v>
      </c>
      <c r="O250" s="791">
        <f>IFERROR(INDEX('Hoja de apoyo v2'!C$17:C$20,MATCH($A250,'Hoja de apoyo v2'!$A$17:$A$20,0)),"")</f>
        <v>0.54706375874806301</v>
      </c>
      <c r="P250" s="793">
        <f>IFERROR(INDEX('Hoja de apoyo v2'!D$17:D$20,MATCH($A250,'Hoja de apoyo v2'!$A$17:$A$20,0)),"")</f>
        <v>11095.153935793827</v>
      </c>
      <c r="Q250" s="793">
        <f>IFERROR(INDEX('Hoja de apoyo v2'!E$17:E$20,MATCH($A250,'Hoja de apoyo v2'!$A$17:$A$20,0)),"")</f>
        <v>6982.3202019701848</v>
      </c>
      <c r="R250" s="793">
        <f>IFERROR(INDEX('Hoja de apoyo v2'!F$17:F$20,MATCH($A250,'Hoja de apoyo v2'!$A$17:$A$20,0)),"")</f>
        <v>448.09513474485743</v>
      </c>
      <c r="S250" s="793">
        <f>IFERROR(INDEX('Hoja de apoyo v2'!G$17:G$20,MATCH($A250,'Hoja de apoyo v2'!$A$17:$A$20,0)),"")</f>
        <v>83.406300904207839</v>
      </c>
      <c r="T250" s="792">
        <f>IFERROR(INDEX('Hoja de apoyo v2'!H$17:H$20,MATCH($A250,'Hoja de apoyo v2'!$A$17:$A$20,0)),"")</f>
        <v>378.97014028925349</v>
      </c>
      <c r="U250" s="794">
        <f t="shared" si="112"/>
        <v>0.54354608107051539</v>
      </c>
      <c r="V250" s="795">
        <f t="shared" si="113"/>
        <v>1.5853224721740276</v>
      </c>
      <c r="W250" s="795">
        <f t="shared" si="114"/>
        <v>0.39668997923862132</v>
      </c>
      <c r="X250" s="843">
        <f t="shared" si="115"/>
        <v>1.1442548529197094</v>
      </c>
      <c r="Y250" s="843">
        <f t="shared" si="116"/>
        <v>1.1780812938538567</v>
      </c>
      <c r="Z250" s="843">
        <f t="shared" si="117"/>
        <v>0.38181086327214753</v>
      </c>
      <c r="AA250" s="843">
        <f t="shared" si="118"/>
        <v>0.75762039128630465</v>
      </c>
      <c r="AB250" s="796">
        <f t="shared" si="119"/>
        <v>2</v>
      </c>
      <c r="AC250" s="797">
        <f t="shared" si="120"/>
        <v>5</v>
      </c>
      <c r="AD250" s="797">
        <f t="shared" si="121"/>
        <v>1</v>
      </c>
      <c r="AE250" s="842">
        <f t="shared" si="122"/>
        <v>4</v>
      </c>
      <c r="AF250" s="842">
        <f t="shared" si="123"/>
        <v>4</v>
      </c>
      <c r="AG250" s="842">
        <f t="shared" si="124"/>
        <v>1</v>
      </c>
      <c r="AH250" s="842">
        <f t="shared" si="125"/>
        <v>3</v>
      </c>
      <c r="AI250" s="826" cm="1">
        <f t="array" ref="AI250">SUMPRODUCT(--ISNUMBER($U250:$AA250),$AB$3:$AH$3)</f>
        <v>1</v>
      </c>
      <c r="AJ250" s="829">
        <f t="shared" si="126"/>
        <v>37.561190677127243</v>
      </c>
      <c r="AK250" s="827" t="str">
        <f t="shared" si="127"/>
        <v>Inmadura</v>
      </c>
      <c r="AL250" s="784" t="str">
        <f t="shared" si="128"/>
        <v>Alta</v>
      </c>
      <c r="AM250" s="799">
        <f>IF(ISNUMBER('Base de datos Rutas'!W248),'Base de datos Rutas'!W248,"")</f>
        <v>2854.7551675604168</v>
      </c>
      <c r="AN250" s="787">
        <f>IFERROR(SUMIFS('Base de datos Rutas'!$W$6:$W$794,'Base de datos Rutas'!$C$6:$C$794,$C250)/'Base de datos Rutas'!I248,"")</f>
        <v>2854.7551675604172</v>
      </c>
      <c r="AO250" s="800">
        <f>IFERROR('Base de datos Rutas'!X248*AN250/AM250,"")</f>
        <v>0.39497815263374952</v>
      </c>
      <c r="AP250" s="800">
        <f t="shared" si="129"/>
        <v>0.60502184736625053</v>
      </c>
      <c r="AQ250" s="789">
        <f>IFERROR(INDEX('Hoja de apoyo v2'!$J$17:$J$20,MATCH($A250,'Hoja de apoyo v2'!$A$17:$A$20,0)),"")</f>
        <v>0.64320274048480885</v>
      </c>
      <c r="AR250" s="789">
        <f t="shared" si="130"/>
        <v>-3.8180893118558323E-2</v>
      </c>
      <c r="AS250" s="784" t="str">
        <f t="shared" si="131"/>
        <v>No</v>
      </c>
      <c r="AT250" s="801">
        <f>IF(ISNUMBER('Base de datos Rutas'!CK248),'Base de datos Rutas'!CK248,"")</f>
        <v>281</v>
      </c>
      <c r="AU250" s="802">
        <f>IF(ISNUMBER('Base de datos Rutas'!CL248),'Base de datos Rutas'!CL248,"")</f>
        <v>325.83</v>
      </c>
      <c r="AV250" s="802">
        <f>IF(ISNUMBER('Base de datos Rutas'!CM248),'Base de datos Rutas'!CM248,"")</f>
        <v>44.829999999999984</v>
      </c>
      <c r="AW250" s="802">
        <f>IF(ISNUMBER('Base de datos Rutas'!CN248),'Base de datos Rutas'!CN248,"")</f>
        <v>8.66</v>
      </c>
      <c r="AX250" s="802">
        <f>IF(ISNUMBER('Base de datos Rutas'!CO248),'Base de datos Rutas'!CO248,"")</f>
        <v>9.4499999999999993</v>
      </c>
      <c r="AY250" s="802">
        <f>IF(ISNUMBER('Base de datos Rutas'!CP248),'Base de datos Rutas'!CP248,"")</f>
        <v>0.78999999999999915</v>
      </c>
      <c r="AZ250" s="802">
        <f>IF(ISNUMBER('Base de datos Rutas'!CQ248),'Base de datos Rutas'!CQ248,"")</f>
        <v>846.56</v>
      </c>
      <c r="BA250" s="802">
        <f>IF(ISNUMBER('Base de datos Rutas'!CR248),'Base de datos Rutas'!CR248,"")</f>
        <v>559.74</v>
      </c>
      <c r="BB250" s="803">
        <f>IF(ISNUMBER('Base de datos Rutas'!CS248),'Base de datos Rutas'!CS248,"")</f>
        <v>286.81999999999994</v>
      </c>
      <c r="BC250" s="804">
        <f t="shared" si="141"/>
        <v>0</v>
      </c>
      <c r="BD250" s="805" t="str">
        <f t="shared" si="142"/>
        <v>No saturada</v>
      </c>
      <c r="BE250" s="806">
        <f t="shared" si="143"/>
        <v>0.66119353619353627</v>
      </c>
      <c r="BF250" s="890">
        <f>IF(ISNUMBER('Base de datos Rutas'!CX248),'Base de datos Rutas'!CX248/100,"")</f>
        <v>0.98122696817420452</v>
      </c>
      <c r="BG250" s="891">
        <f>IF(ISNUMBER('Base de datos Rutas'!CZ248),'Base de datos Rutas'!CZ248/100,"")</f>
        <v>1</v>
      </c>
      <c r="BH250" s="892">
        <f>IF(ISNUMBER('Base de datos Rutas'!DA248),'Base de datos Rutas'!DA248,"")</f>
        <v>702.87807614999826</v>
      </c>
      <c r="BI250" s="893">
        <f>IF(ISNUMBER('Base de datos Rutas'!DC248),'Base de datos Rutas'!DC248,"")</f>
        <v>30.682920713736678</v>
      </c>
      <c r="BJ250" s="805" t="str">
        <f t="shared" si="144"/>
        <v>Ruta (completo)</v>
      </c>
      <c r="BK250" s="783">
        <f t="shared" si="132"/>
        <v>5</v>
      </c>
      <c r="BL250" s="797">
        <f t="shared" si="133"/>
        <v>5</v>
      </c>
      <c r="BM250" s="797">
        <f t="shared" si="134"/>
        <v>5</v>
      </c>
      <c r="BN250" s="797">
        <f t="shared" si="135"/>
        <v>5</v>
      </c>
      <c r="BO250" s="798" cm="1">
        <f t="array" ref="BO250">SUMPRODUCT(--ISNUMBER($BF250:$BI250),$BK$3:$BN$3)</f>
        <v>1</v>
      </c>
      <c r="BP250" s="831">
        <f t="shared" si="145"/>
        <v>100</v>
      </c>
      <c r="BQ250" s="834" t="str">
        <f t="shared" si="146"/>
        <v>Alto</v>
      </c>
      <c r="BR250" s="836">
        <f t="shared" si="136"/>
        <v>28.170893007845432</v>
      </c>
      <c r="BS250" s="836">
        <f t="shared" si="137"/>
        <v>100</v>
      </c>
      <c r="BT250" s="837" t="str">
        <f t="shared" si="138"/>
        <v>P3</v>
      </c>
      <c r="BU250" s="807" t="str">
        <f t="shared" si="147"/>
        <v>Con espacio</v>
      </c>
      <c r="BV250" s="807" t="str">
        <f t="shared" si="139"/>
        <v>Zona atractiva</v>
      </c>
      <c r="BW250" s="808" t="str">
        <f t="shared" si="140"/>
        <v>P3 - Desarrollar</v>
      </c>
    </row>
    <row r="251" spans="1:75">
      <c r="A251" s="780" t="str">
        <f>'Base de datos Rutas'!A249</f>
        <v>Occidente</v>
      </c>
      <c r="B251" s="781" t="str">
        <f>'Base de datos Rutas'!B249</f>
        <v>Aguascalientes</v>
      </c>
      <c r="C251" s="781" t="str">
        <f>'Base de datos Rutas'!C249</f>
        <v>Planta Aguascalientes</v>
      </c>
      <c r="D251" s="782">
        <f>IF(ISNUMBER('Base de datos Rutas'!D249),'Base de datos Rutas'!D249,"Sin código")</f>
        <v>901343</v>
      </c>
      <c r="E251" s="783" t="str">
        <f>'Base de datos Rutas'!F249</f>
        <v>Activa</v>
      </c>
      <c r="F251" s="784" t="str">
        <f>'Base de datos Rutas'!H249</f>
        <v>Sí</v>
      </c>
      <c r="G251" s="785">
        <f>IF(ISNUMBER('Base de datos Rutas'!BE249),'Base de datos Rutas'!BE249,"")</f>
        <v>41.676404494381998</v>
      </c>
      <c r="H251" s="786">
        <f>IF(ISNUMBER('Base de datos Rutas'!BH249),'Base de datos Rutas'!BH249,"")</f>
        <v>0.82308853661166803</v>
      </c>
      <c r="I251" s="788">
        <f>IFERROR(IF(OR(NOT(ISNUMBER('Base de datos Rutas'!O249)),N('Base de datos Rutas'!BK249)=0),"",'Base de datos Rutas'!O249/('Base de datos Rutas'!L249/'Base de datos Rutas'!BK249)),"")</f>
        <v>5322.3033707865161</v>
      </c>
      <c r="J251" s="788">
        <f>IFERROR(IF(OR(NOT(ISNUMBER('Base de datos Rutas'!N249)),N('Base de datos Rutas'!BK249)=0),"",'Base de datos Rutas'!N249/('Base de datos Rutas'!L249/'Base de datos Rutas'!BK249)),"")</f>
        <v>9109.9146067415713</v>
      </c>
      <c r="K251" s="788">
        <f>IFERROR(IF(OR(NOT(ISNUMBER('Base de datos Rutas'!J249)),N('Base de datos Rutas'!BK249)=0),"",'Base de datos Rutas'!J249/('Base de datos Rutas'!L249/'Base de datos Rutas'!BK249)),"")</f>
        <v>613.12904938426959</v>
      </c>
      <c r="L251" s="788">
        <f>IFERROR(IF(OR(NOT(ISNUMBER('Base de datos Rutas'!K249)),N('Base de datos Rutas'!BK249)=0),"",'Base de datos Rutas'!K249/('Base de datos Rutas'!L249/'Base de datos Rutas'!BK249)),"")</f>
        <v>43.474514157303368</v>
      </c>
      <c r="M251" s="787">
        <f>IF(ISNUMBER('Base de datos Rutas'!AX249),'Base de datos Rutas'!AX249,"")</f>
        <v>423.83486668850298</v>
      </c>
      <c r="N251" s="790">
        <f>IFERROR(INDEX('Hoja de apoyo v2'!B$17:B$20,MATCH($A251,'Hoja de apoyo v2'!$A$17:$A$20,0)),"")</f>
        <v>89.41621024641401</v>
      </c>
      <c r="O251" s="791">
        <f>IFERROR(INDEX('Hoja de apoyo v2'!C$17:C$20,MATCH($A251,'Hoja de apoyo v2'!$A$17:$A$20,0)),"")</f>
        <v>0.54706375874806301</v>
      </c>
      <c r="P251" s="793">
        <f>IFERROR(INDEX('Hoja de apoyo v2'!D$17:D$20,MATCH($A251,'Hoja de apoyo v2'!$A$17:$A$20,0)),"")</f>
        <v>11095.153935793827</v>
      </c>
      <c r="Q251" s="793">
        <f>IFERROR(INDEX('Hoja de apoyo v2'!E$17:E$20,MATCH($A251,'Hoja de apoyo v2'!$A$17:$A$20,0)),"")</f>
        <v>6982.3202019701848</v>
      </c>
      <c r="R251" s="793">
        <f>IFERROR(INDEX('Hoja de apoyo v2'!F$17:F$20,MATCH($A251,'Hoja de apoyo v2'!$A$17:$A$20,0)),"")</f>
        <v>448.09513474485743</v>
      </c>
      <c r="S251" s="793">
        <f>IFERROR(INDEX('Hoja de apoyo v2'!G$17:G$20,MATCH($A251,'Hoja de apoyo v2'!$A$17:$A$20,0)),"")</f>
        <v>83.406300904207839</v>
      </c>
      <c r="T251" s="792">
        <f>IFERROR(INDEX('Hoja de apoyo v2'!H$17:H$20,MATCH($A251,'Hoja de apoyo v2'!$A$17:$A$20,0)),"")</f>
        <v>378.97014028925349</v>
      </c>
      <c r="U251" s="794">
        <f t="shared" si="112"/>
        <v>0.466094507690829</v>
      </c>
      <c r="V251" s="795">
        <f t="shared" si="113"/>
        <v>1.5045568701083003</v>
      </c>
      <c r="W251" s="795">
        <f t="shared" si="114"/>
        <v>0.4796962170679176</v>
      </c>
      <c r="X251" s="843">
        <f t="shared" si="115"/>
        <v>1.3047116636345391</v>
      </c>
      <c r="Y251" s="843">
        <f t="shared" si="116"/>
        <v>1.3683010634190025</v>
      </c>
      <c r="Z251" s="843">
        <f t="shared" si="117"/>
        <v>0.52123776844190539</v>
      </c>
      <c r="AA251" s="843">
        <f t="shared" si="118"/>
        <v>1.1183859139007784</v>
      </c>
      <c r="AB251" s="796">
        <f t="shared" si="119"/>
        <v>1</v>
      </c>
      <c r="AC251" s="797">
        <f t="shared" si="120"/>
        <v>5</v>
      </c>
      <c r="AD251" s="797">
        <f t="shared" si="121"/>
        <v>1</v>
      </c>
      <c r="AE251" s="842">
        <f t="shared" si="122"/>
        <v>5</v>
      </c>
      <c r="AF251" s="842">
        <f t="shared" si="123"/>
        <v>5</v>
      </c>
      <c r="AG251" s="842">
        <f t="shared" si="124"/>
        <v>2</v>
      </c>
      <c r="AH251" s="842">
        <f t="shared" si="125"/>
        <v>4</v>
      </c>
      <c r="AI251" s="826" cm="1">
        <f t="array" ref="AI251">SUMPRODUCT(--ISNUMBER($U251:$AA251),$AB$3:$AH$3)</f>
        <v>1</v>
      </c>
      <c r="AJ251" s="829">
        <f t="shared" si="126"/>
        <v>45.996841265635233</v>
      </c>
      <c r="AK251" s="827" t="str">
        <f t="shared" si="127"/>
        <v>En desarrollo</v>
      </c>
      <c r="AL251" s="784" t="str">
        <f t="shared" si="128"/>
        <v>Alta</v>
      </c>
      <c r="AM251" s="799">
        <f>IF(ISNUMBER('Base de datos Rutas'!W249),'Base de datos Rutas'!W249,"")</f>
        <v>2854.7551675604168</v>
      </c>
      <c r="AN251" s="787">
        <f>IFERROR(SUMIFS('Base de datos Rutas'!$W$6:$W$794,'Base de datos Rutas'!$C$6:$C$794,$C251)/'Base de datos Rutas'!I249,"")</f>
        <v>2854.7551675604172</v>
      </c>
      <c r="AO251" s="800">
        <f>IFERROR('Base de datos Rutas'!X249*AN251/AM251,"")</f>
        <v>0.39497815263374952</v>
      </c>
      <c r="AP251" s="800">
        <f t="shared" si="129"/>
        <v>0.60502184736625053</v>
      </c>
      <c r="AQ251" s="789">
        <f>IFERROR(INDEX('Hoja de apoyo v2'!$J$17:$J$20,MATCH($A251,'Hoja de apoyo v2'!$A$17:$A$20,0)),"")</f>
        <v>0.64320274048480885</v>
      </c>
      <c r="AR251" s="789">
        <f t="shared" si="130"/>
        <v>-3.8180893118558323E-2</v>
      </c>
      <c r="AS251" s="784" t="str">
        <f t="shared" si="131"/>
        <v>No</v>
      </c>
      <c r="AT251" s="801">
        <f>IF(ISNUMBER('Base de datos Rutas'!CK249),'Base de datos Rutas'!CK249,"")</f>
        <v>341</v>
      </c>
      <c r="AU251" s="802">
        <f>IF(ISNUMBER('Base de datos Rutas'!CL249),'Base de datos Rutas'!CL249,"")</f>
        <v>416.78</v>
      </c>
      <c r="AV251" s="802">
        <f>IF(ISNUMBER('Base de datos Rutas'!CM249),'Base de datos Rutas'!CM249,"")</f>
        <v>75.779999999999973</v>
      </c>
      <c r="AW251" s="802">
        <f>IF(ISNUMBER('Base de datos Rutas'!CN249),'Base de datos Rutas'!CN249,"")</f>
        <v>9.5299999999999994</v>
      </c>
      <c r="AX251" s="802">
        <f>IF(ISNUMBER('Base de datos Rutas'!CO249),'Base de datos Rutas'!CO249,"")</f>
        <v>9.4499999999999993</v>
      </c>
      <c r="AY251" s="802">
        <f>IF(ISNUMBER('Base de datos Rutas'!CP249),'Base de datos Rutas'!CP249,"")</f>
        <v>-8.0000000000000071E-2</v>
      </c>
      <c r="AZ251" s="802">
        <f>IF(ISNUMBER('Base de datos Rutas'!CQ249),'Base de datos Rutas'!CQ249,"")</f>
        <v>846.56</v>
      </c>
      <c r="BA251" s="802">
        <f>IF(ISNUMBER('Base de datos Rutas'!CR249),'Base de datos Rutas'!CR249,"")</f>
        <v>656.6</v>
      </c>
      <c r="BB251" s="803">
        <f>IF(ISNUMBER('Base de datos Rutas'!CS249),'Base de datos Rutas'!CS249,"")</f>
        <v>189.95999999999992</v>
      </c>
      <c r="BC251" s="804">
        <f t="shared" si="141"/>
        <v>1</v>
      </c>
      <c r="BD251" s="805" t="str">
        <f t="shared" si="142"/>
        <v>Saturada</v>
      </c>
      <c r="BE251" s="806">
        <f t="shared" si="143"/>
        <v>0.77560952560952567</v>
      </c>
      <c r="BF251" s="890">
        <f>IF(ISNUMBER('Base de datos Rutas'!CX249),'Base de datos Rutas'!CX249/100,"")</f>
        <v>0.51487342465753427</v>
      </c>
      <c r="BG251" s="891">
        <f>IF(ISNUMBER('Base de datos Rutas'!CZ249),'Base de datos Rutas'!CZ249/100,"")</f>
        <v>0.52317808219178086</v>
      </c>
      <c r="BH251" s="892">
        <f>IF(ISNUMBER('Base de datos Rutas'!DA249),'Base de datos Rutas'!DA249,"")</f>
        <v>113.7852769004367</v>
      </c>
      <c r="BI251" s="893">
        <f>IF(ISNUMBER('Base de datos Rutas'!DC249),'Base de datos Rutas'!DC249,"")</f>
        <v>5.6735939779018727</v>
      </c>
      <c r="BJ251" s="805" t="str">
        <f t="shared" si="144"/>
        <v>Ruta (completo)</v>
      </c>
      <c r="BK251" s="783">
        <f t="shared" si="132"/>
        <v>4</v>
      </c>
      <c r="BL251" s="797">
        <f t="shared" si="133"/>
        <v>4</v>
      </c>
      <c r="BM251" s="797">
        <f t="shared" si="134"/>
        <v>2</v>
      </c>
      <c r="BN251" s="797">
        <f t="shared" si="135"/>
        <v>2</v>
      </c>
      <c r="BO251" s="798" cm="1">
        <f t="array" ref="BO251">SUMPRODUCT(--ISNUMBER($BF251:$BI251),$BK$3:$BN$3)</f>
        <v>1</v>
      </c>
      <c r="BP251" s="831">
        <f t="shared" si="145"/>
        <v>50</v>
      </c>
      <c r="BQ251" s="834" t="str">
        <f t="shared" si="146"/>
        <v>Alto</v>
      </c>
      <c r="BR251" s="836">
        <f t="shared" si="136"/>
        <v>59.497630949226426</v>
      </c>
      <c r="BS251" s="836">
        <f t="shared" si="137"/>
        <v>50</v>
      </c>
      <c r="BT251" s="837" t="str">
        <f t="shared" si="138"/>
        <v>P1</v>
      </c>
      <c r="BU251" s="807" t="str">
        <f t="shared" si="147"/>
        <v>Al tope</v>
      </c>
      <c r="BV251" s="807" t="str">
        <f t="shared" si="139"/>
        <v>Zona atractiva</v>
      </c>
      <c r="BW251" s="808" t="str">
        <f t="shared" si="140"/>
        <v>P1 - Ampliar cobertura</v>
      </c>
    </row>
    <row r="252" spans="1:75">
      <c r="A252" s="780" t="str">
        <f>'Base de datos Rutas'!A250</f>
        <v>Occidente</v>
      </c>
      <c r="B252" s="781" t="str">
        <f>'Base de datos Rutas'!B250</f>
        <v>Aguascalientes</v>
      </c>
      <c r="C252" s="781" t="str">
        <f>'Base de datos Rutas'!C250</f>
        <v>Planta Aguascalientes</v>
      </c>
      <c r="D252" s="782">
        <f>IF(ISNUMBER('Base de datos Rutas'!D250),'Base de datos Rutas'!D250,"Sin código")</f>
        <v>901344</v>
      </c>
      <c r="E252" s="783" t="str">
        <f>'Base de datos Rutas'!F250</f>
        <v>Activa</v>
      </c>
      <c r="F252" s="784" t="str">
        <f>'Base de datos Rutas'!H250</f>
        <v>Sí</v>
      </c>
      <c r="G252" s="785">
        <f>IF(ISNUMBER('Base de datos Rutas'!BE250),'Base de datos Rutas'!BE250,"")</f>
        <v>58.0091743119266</v>
      </c>
      <c r="H252" s="786">
        <f>IF(ISNUMBER('Base de datos Rutas'!BH250),'Base de datos Rutas'!BH250,"")</f>
        <v>0.64099319943065003</v>
      </c>
      <c r="I252" s="788">
        <f>IFERROR(IF(OR(NOT(ISNUMBER('Base de datos Rutas'!O250)),N('Base de datos Rutas'!BK250)=0),"",'Base de datos Rutas'!O250/('Base de datos Rutas'!L250/'Base de datos Rutas'!BK250)),"")</f>
        <v>4941.6192660550432</v>
      </c>
      <c r="J252" s="788">
        <f>IFERROR(IF(OR(NOT(ISNUMBER('Base de datos Rutas'!N250)),N('Base de datos Rutas'!BK250)=0),"",'Base de datos Rutas'!N250/('Base de datos Rutas'!L250/'Base de datos Rutas'!BK250)),"")</f>
        <v>8476.151376146785</v>
      </c>
      <c r="K252" s="788">
        <f>IFERROR(IF(OR(NOT(ISNUMBER('Base de datos Rutas'!J250)),N('Base de datos Rutas'!BK250)=0),"",'Base de datos Rutas'!J250/('Base de datos Rutas'!L250/'Base de datos Rutas'!BK250)),"")</f>
        <v>568.06778899082542</v>
      </c>
      <c r="L252" s="788">
        <f>IFERROR(IF(OR(NOT(ISNUMBER('Base de datos Rutas'!K250)),N('Base de datos Rutas'!BK250)=0),"",'Base de datos Rutas'!K250/('Base de datos Rutas'!L250/'Base de datos Rutas'!BK250)),"")</f>
        <v>39.837161121559618</v>
      </c>
      <c r="M252" s="787">
        <f>IF(ISNUMBER('Base de datos Rutas'!AX250),'Base de datos Rutas'!AX250,"")</f>
        <v>359.87488280286198</v>
      </c>
      <c r="N252" s="790">
        <f>IFERROR(INDEX('Hoja de apoyo v2'!B$17:B$20,MATCH($A252,'Hoja de apoyo v2'!$A$17:$A$20,0)),"")</f>
        <v>89.41621024641401</v>
      </c>
      <c r="O252" s="791">
        <f>IFERROR(INDEX('Hoja de apoyo v2'!C$17:C$20,MATCH($A252,'Hoja de apoyo v2'!$A$17:$A$20,0)),"")</f>
        <v>0.54706375874806301</v>
      </c>
      <c r="P252" s="793">
        <f>IFERROR(INDEX('Hoja de apoyo v2'!D$17:D$20,MATCH($A252,'Hoja de apoyo v2'!$A$17:$A$20,0)),"")</f>
        <v>11095.153935793827</v>
      </c>
      <c r="Q252" s="793">
        <f>IFERROR(INDEX('Hoja de apoyo v2'!E$17:E$20,MATCH($A252,'Hoja de apoyo v2'!$A$17:$A$20,0)),"")</f>
        <v>6982.3202019701848</v>
      </c>
      <c r="R252" s="793">
        <f>IFERROR(INDEX('Hoja de apoyo v2'!F$17:F$20,MATCH($A252,'Hoja de apoyo v2'!$A$17:$A$20,0)),"")</f>
        <v>448.09513474485743</v>
      </c>
      <c r="S252" s="793">
        <f>IFERROR(INDEX('Hoja de apoyo v2'!G$17:G$20,MATCH($A252,'Hoja de apoyo v2'!$A$17:$A$20,0)),"")</f>
        <v>83.406300904207839</v>
      </c>
      <c r="T252" s="792">
        <f>IFERROR(INDEX('Hoja de apoyo v2'!H$17:H$20,MATCH($A252,'Hoja de apoyo v2'!$A$17:$A$20,0)),"")</f>
        <v>378.97014028925349</v>
      </c>
      <c r="U252" s="794">
        <f t="shared" si="112"/>
        <v>0.64875456197555659</v>
      </c>
      <c r="V252" s="795">
        <f t="shared" si="113"/>
        <v>1.1716974286462356</v>
      </c>
      <c r="W252" s="795">
        <f t="shared" si="114"/>
        <v>0.44538537226716579</v>
      </c>
      <c r="X252" s="843">
        <f t="shared" si="115"/>
        <v>1.2139448107457302</v>
      </c>
      <c r="Y252" s="843">
        <f t="shared" si="116"/>
        <v>1.267739247636062</v>
      </c>
      <c r="Z252" s="843">
        <f t="shared" si="117"/>
        <v>0.47762771744682225</v>
      </c>
      <c r="AA252" s="843">
        <f t="shared" si="118"/>
        <v>0.94961276508007508</v>
      </c>
      <c r="AB252" s="796">
        <f t="shared" si="119"/>
        <v>2</v>
      </c>
      <c r="AC252" s="797">
        <f t="shared" si="120"/>
        <v>4</v>
      </c>
      <c r="AD252" s="797">
        <f t="shared" si="121"/>
        <v>1</v>
      </c>
      <c r="AE252" s="842">
        <f t="shared" si="122"/>
        <v>4</v>
      </c>
      <c r="AF252" s="842">
        <f t="shared" si="123"/>
        <v>5</v>
      </c>
      <c r="AG252" s="842">
        <f t="shared" si="124"/>
        <v>1</v>
      </c>
      <c r="AH252" s="842">
        <f t="shared" si="125"/>
        <v>3</v>
      </c>
      <c r="AI252" s="826" cm="1">
        <f t="array" ref="AI252">SUMPRODUCT(--ISNUMBER($U252:$AA252),$AB$3:$AH$3)</f>
        <v>1</v>
      </c>
      <c r="AJ252" s="829">
        <f t="shared" si="126"/>
        <v>38.104329603276568</v>
      </c>
      <c r="AK252" s="827" t="str">
        <f t="shared" si="127"/>
        <v>Inmadura</v>
      </c>
      <c r="AL252" s="784" t="str">
        <f t="shared" si="128"/>
        <v>Alta</v>
      </c>
      <c r="AM252" s="799">
        <f>IF(ISNUMBER('Base de datos Rutas'!W250),'Base de datos Rutas'!W250,"")</f>
        <v>2854.7551675604168</v>
      </c>
      <c r="AN252" s="787">
        <f>IFERROR(SUMIFS('Base de datos Rutas'!$W$6:$W$794,'Base de datos Rutas'!$C$6:$C$794,$C252)/'Base de datos Rutas'!I250,"")</f>
        <v>2854.7551675604172</v>
      </c>
      <c r="AO252" s="800">
        <f>IFERROR('Base de datos Rutas'!X250*AN252/AM252,"")</f>
        <v>0.39497815263374952</v>
      </c>
      <c r="AP252" s="800">
        <f t="shared" si="129"/>
        <v>0.60502184736625053</v>
      </c>
      <c r="AQ252" s="789">
        <f>IFERROR(INDEX('Hoja de apoyo v2'!$J$17:$J$20,MATCH($A252,'Hoja de apoyo v2'!$A$17:$A$20,0)),"")</f>
        <v>0.64320274048480885</v>
      </c>
      <c r="AR252" s="789">
        <f t="shared" si="130"/>
        <v>-3.8180893118558323E-2</v>
      </c>
      <c r="AS252" s="784" t="str">
        <f t="shared" si="131"/>
        <v>No</v>
      </c>
      <c r="AT252" s="801">
        <f>IF(ISNUMBER('Base de datos Rutas'!CK250),'Base de datos Rutas'!CK250,"")</f>
        <v>350</v>
      </c>
      <c r="AU252" s="802">
        <f>IF(ISNUMBER('Base de datos Rutas'!CL250),'Base de datos Rutas'!CL250,"")</f>
        <v>370.5</v>
      </c>
      <c r="AV252" s="802">
        <f>IF(ISNUMBER('Base de datos Rutas'!CM250),'Base de datos Rutas'!CM250,"")</f>
        <v>20.5</v>
      </c>
      <c r="AW252" s="802">
        <f>IF(ISNUMBER('Base de datos Rutas'!CN250),'Base de datos Rutas'!CN250,"")</f>
        <v>10.15</v>
      </c>
      <c r="AX252" s="802">
        <f>IF(ISNUMBER('Base de datos Rutas'!CO250),'Base de datos Rutas'!CO250,"")</f>
        <v>9.4499999999999993</v>
      </c>
      <c r="AY252" s="802">
        <f>IF(ISNUMBER('Base de datos Rutas'!CP250),'Base de datos Rutas'!CP250,"")</f>
        <v>-0.70000000000000107</v>
      </c>
      <c r="AZ252" s="802">
        <f>IF(ISNUMBER('Base de datos Rutas'!CQ250),'Base de datos Rutas'!CQ250,"")</f>
        <v>846.56</v>
      </c>
      <c r="BA252" s="802">
        <f>IF(ISNUMBER('Base de datos Rutas'!CR250),'Base de datos Rutas'!CR250,"")</f>
        <v>607.9</v>
      </c>
      <c r="BB252" s="803">
        <f>IF(ISNUMBER('Base de datos Rutas'!CS250),'Base de datos Rutas'!CS250,"")</f>
        <v>238.65999999999997</v>
      </c>
      <c r="BC252" s="804">
        <f t="shared" si="141"/>
        <v>1</v>
      </c>
      <c r="BD252" s="805" t="str">
        <f t="shared" si="142"/>
        <v>Saturada</v>
      </c>
      <c r="BE252" s="806">
        <f t="shared" si="143"/>
        <v>0.71808259308259315</v>
      </c>
      <c r="BF252" s="890">
        <f>IF(ISNUMBER('Base de datos Rutas'!CX250),'Base de datos Rutas'!CX250/100,"")</f>
        <v>0.92080489526947518</v>
      </c>
      <c r="BG252" s="891">
        <f>IF(ISNUMBER('Base de datos Rutas'!CZ250),'Base de datos Rutas'!CZ250/100,"")</f>
        <v>0.92562955989644624</v>
      </c>
      <c r="BH252" s="892">
        <f>IF(ISNUMBER('Base de datos Rutas'!DA250),'Base de datos Rutas'!DA250,"")</f>
        <v>72.627935355428036</v>
      </c>
      <c r="BI252" s="893">
        <f>IF(ISNUMBER('Base de datos Rutas'!DC250),'Base de datos Rutas'!DC250,"")</f>
        <v>4.1585993676074482</v>
      </c>
      <c r="BJ252" s="805" t="str">
        <f t="shared" si="144"/>
        <v>Ruta (completo)</v>
      </c>
      <c r="BK252" s="783">
        <f t="shared" si="132"/>
        <v>5</v>
      </c>
      <c r="BL252" s="797">
        <f t="shared" si="133"/>
        <v>5</v>
      </c>
      <c r="BM252" s="797">
        <f t="shared" si="134"/>
        <v>1</v>
      </c>
      <c r="BN252" s="797">
        <f t="shared" si="135"/>
        <v>2</v>
      </c>
      <c r="BO252" s="798" cm="1">
        <f t="array" ref="BO252">SUMPRODUCT(--ISNUMBER($BF252:$BI252),$BK$3:$BN$3)</f>
        <v>1</v>
      </c>
      <c r="BP252" s="831">
        <f t="shared" si="145"/>
        <v>56.25</v>
      </c>
      <c r="BQ252" s="834" t="str">
        <f t="shared" si="146"/>
        <v>Alto</v>
      </c>
      <c r="BR252" s="836">
        <f t="shared" si="136"/>
        <v>53.578247202457426</v>
      </c>
      <c r="BS252" s="836">
        <f t="shared" si="137"/>
        <v>56.25</v>
      </c>
      <c r="BT252" s="837" t="str">
        <f t="shared" si="138"/>
        <v>P1</v>
      </c>
      <c r="BU252" s="807" t="str">
        <f t="shared" si="147"/>
        <v>Al tope</v>
      </c>
      <c r="BV252" s="807" t="str">
        <f t="shared" si="139"/>
        <v>Zona atractiva</v>
      </c>
      <c r="BW252" s="808" t="str">
        <f t="shared" si="140"/>
        <v>P1 - Ampliar cobertura</v>
      </c>
    </row>
    <row r="253" spans="1:75">
      <c r="A253" s="780" t="str">
        <f>'Base de datos Rutas'!A251</f>
        <v>Occidente</v>
      </c>
      <c r="B253" s="781" t="str">
        <f>'Base de datos Rutas'!B251</f>
        <v>Aguascalientes</v>
      </c>
      <c r="C253" s="781" t="str">
        <f>'Base de datos Rutas'!C251</f>
        <v>Planta Aguascalientes</v>
      </c>
      <c r="D253" s="782">
        <f>IF(ISNUMBER('Base de datos Rutas'!D251),'Base de datos Rutas'!D251,"Sin código")</f>
        <v>901345</v>
      </c>
      <c r="E253" s="783" t="str">
        <f>'Base de datos Rutas'!F251</f>
        <v>Activa</v>
      </c>
      <c r="F253" s="784" t="str">
        <f>'Base de datos Rutas'!H251</f>
        <v>Sí</v>
      </c>
      <c r="G253" s="785">
        <f>IF(ISNUMBER('Base de datos Rutas'!BE251),'Base de datos Rutas'!BE251,"")</f>
        <v>50.218181818181797</v>
      </c>
      <c r="H253" s="786">
        <f>IF(ISNUMBER('Base de datos Rutas'!BH251),'Base de datos Rutas'!BH251,"")</f>
        <v>0.57811368573497501</v>
      </c>
      <c r="I253" s="788">
        <f>IFERROR(IF(OR(NOT(ISNUMBER('Base de datos Rutas'!O251)),N('Base de datos Rutas'!BK251)=0),"",'Base de datos Rutas'!O251/('Base de datos Rutas'!L251/'Base de datos Rutas'!BK251)),"")</f>
        <v>2478.347727272725</v>
      </c>
      <c r="J253" s="788">
        <f>IFERROR(IF(OR(NOT(ISNUMBER('Base de datos Rutas'!N251)),N('Base de datos Rutas'!BK251)=0),"",'Base de datos Rutas'!N251/('Base de datos Rutas'!L251/'Base de datos Rutas'!BK251)),"")</f>
        <v>7498.3590909090844</v>
      </c>
      <c r="K253" s="788">
        <f>IFERROR(IF(OR(NOT(ISNUMBER('Base de datos Rutas'!J251)),N('Base de datos Rutas'!BK251)=0),"",'Base de datos Rutas'!J251/('Base de datos Rutas'!L251/'Base de datos Rutas'!BK251)),"")</f>
        <v>516.28625350909044</v>
      </c>
      <c r="L253" s="788">
        <f>IFERROR(IF(OR(NOT(ISNUMBER('Base de datos Rutas'!K251)),N('Base de datos Rutas'!BK251)=0),"",'Base de datos Rutas'!K251/('Base de datos Rutas'!L251/'Base de datos Rutas'!BK251)),"")</f>
        <v>24.005901136363615</v>
      </c>
      <c r="M253" s="787">
        <f>IF(ISNUMBER('Base de datos Rutas'!AX251),'Base de datos Rutas'!AX251,"")</f>
        <v>349.66341866290901</v>
      </c>
      <c r="N253" s="790">
        <f>IFERROR(INDEX('Hoja de apoyo v2'!B$17:B$20,MATCH($A253,'Hoja de apoyo v2'!$A$17:$A$20,0)),"")</f>
        <v>89.41621024641401</v>
      </c>
      <c r="O253" s="791">
        <f>IFERROR(INDEX('Hoja de apoyo v2'!C$17:C$20,MATCH($A253,'Hoja de apoyo v2'!$A$17:$A$20,0)),"")</f>
        <v>0.54706375874806301</v>
      </c>
      <c r="P253" s="793">
        <f>IFERROR(INDEX('Hoja de apoyo v2'!D$17:D$20,MATCH($A253,'Hoja de apoyo v2'!$A$17:$A$20,0)),"")</f>
        <v>11095.153935793827</v>
      </c>
      <c r="Q253" s="793">
        <f>IFERROR(INDEX('Hoja de apoyo v2'!E$17:E$20,MATCH($A253,'Hoja de apoyo v2'!$A$17:$A$20,0)),"")</f>
        <v>6982.3202019701848</v>
      </c>
      <c r="R253" s="793">
        <f>IFERROR(INDEX('Hoja de apoyo v2'!F$17:F$20,MATCH($A253,'Hoja de apoyo v2'!$A$17:$A$20,0)),"")</f>
        <v>448.09513474485743</v>
      </c>
      <c r="S253" s="793">
        <f>IFERROR(INDEX('Hoja de apoyo v2'!G$17:G$20,MATCH($A253,'Hoja de apoyo v2'!$A$17:$A$20,0)),"")</f>
        <v>83.406300904207839</v>
      </c>
      <c r="T253" s="792">
        <f>IFERROR(INDEX('Hoja de apoyo v2'!H$17:H$20,MATCH($A253,'Hoja de apoyo v2'!$A$17:$A$20,0)),"")</f>
        <v>378.97014028925349</v>
      </c>
      <c r="U253" s="794">
        <f t="shared" si="112"/>
        <v>0.56162279389598457</v>
      </c>
      <c r="V253" s="795">
        <f t="shared" si="113"/>
        <v>1.0567574190218134</v>
      </c>
      <c r="W253" s="795">
        <f t="shared" si="114"/>
        <v>0.22337209033913294</v>
      </c>
      <c r="X253" s="843">
        <f t="shared" si="115"/>
        <v>1.0739065058622332</v>
      </c>
      <c r="Y253" s="843">
        <f t="shared" si="116"/>
        <v>1.1521800025859701</v>
      </c>
      <c r="Z253" s="843">
        <f t="shared" si="117"/>
        <v>0.28781879637528102</v>
      </c>
      <c r="AA253" s="843">
        <f t="shared" si="118"/>
        <v>0.9226674650304223</v>
      </c>
      <c r="AB253" s="796">
        <f t="shared" si="119"/>
        <v>2</v>
      </c>
      <c r="AC253" s="797">
        <f t="shared" si="120"/>
        <v>4</v>
      </c>
      <c r="AD253" s="797">
        <f t="shared" si="121"/>
        <v>1</v>
      </c>
      <c r="AE253" s="842">
        <f t="shared" si="122"/>
        <v>4</v>
      </c>
      <c r="AF253" s="842">
        <f t="shared" si="123"/>
        <v>4</v>
      </c>
      <c r="AG253" s="842">
        <f t="shared" si="124"/>
        <v>1</v>
      </c>
      <c r="AH253" s="842">
        <f t="shared" si="125"/>
        <v>3</v>
      </c>
      <c r="AI253" s="826" cm="1">
        <f t="array" ref="AI253">SUMPRODUCT(--ISNUMBER($U253:$AA253),$AB$3:$AH$3)</f>
        <v>1</v>
      </c>
      <c r="AJ253" s="829">
        <f t="shared" si="126"/>
        <v>35.178285091236773</v>
      </c>
      <c r="AK253" s="827" t="str">
        <f t="shared" si="127"/>
        <v>Inmadura</v>
      </c>
      <c r="AL253" s="784" t="str">
        <f t="shared" si="128"/>
        <v>Alta</v>
      </c>
      <c r="AM253" s="799">
        <f>IF(ISNUMBER('Base de datos Rutas'!W251),'Base de datos Rutas'!W251,"")</f>
        <v>2854.7551675604168</v>
      </c>
      <c r="AN253" s="787">
        <f>IFERROR(SUMIFS('Base de datos Rutas'!$W$6:$W$794,'Base de datos Rutas'!$C$6:$C$794,$C253)/'Base de datos Rutas'!I251,"")</f>
        <v>2854.7551675604172</v>
      </c>
      <c r="AO253" s="800">
        <f>IFERROR('Base de datos Rutas'!X251*AN253/AM253,"")</f>
        <v>0.39497815263374952</v>
      </c>
      <c r="AP253" s="800">
        <f t="shared" si="129"/>
        <v>0.60502184736625053</v>
      </c>
      <c r="AQ253" s="789">
        <f>IFERROR(INDEX('Hoja de apoyo v2'!$J$17:$J$20,MATCH($A253,'Hoja de apoyo v2'!$A$17:$A$20,0)),"")</f>
        <v>0.64320274048480885</v>
      </c>
      <c r="AR253" s="789">
        <f t="shared" si="130"/>
        <v>-3.8180893118558323E-2</v>
      </c>
      <c r="AS253" s="784" t="str">
        <f t="shared" si="131"/>
        <v>No</v>
      </c>
      <c r="AT253" s="801">
        <f>IF(ISNUMBER('Base de datos Rutas'!CK251),'Base de datos Rutas'!CK251,"")</f>
        <v>258</v>
      </c>
      <c r="AU253" s="802">
        <f>IF(ISNUMBER('Base de datos Rutas'!CL251),'Base de datos Rutas'!CL251,"")</f>
        <v>379</v>
      </c>
      <c r="AV253" s="802">
        <f>IF(ISNUMBER('Base de datos Rutas'!CM251),'Base de datos Rutas'!CM251,"")</f>
        <v>121</v>
      </c>
      <c r="AW253" s="802">
        <f>IF(ISNUMBER('Base de datos Rutas'!CN251),'Base de datos Rutas'!CN251,"")</f>
        <v>7.45</v>
      </c>
      <c r="AX253" s="802">
        <f>IF(ISNUMBER('Base de datos Rutas'!CO251),'Base de datos Rutas'!CO251,"")</f>
        <v>9.4499999999999993</v>
      </c>
      <c r="AY253" s="802">
        <f>IF(ISNUMBER('Base de datos Rutas'!CP251),'Base de datos Rutas'!CP251,"")</f>
        <v>1.9999999999999991</v>
      </c>
      <c r="AZ253" s="802">
        <f>IF(ISNUMBER('Base de datos Rutas'!CQ251),'Base de datos Rutas'!CQ251,"")</f>
        <v>564.37</v>
      </c>
      <c r="BA253" s="802">
        <f>IF(ISNUMBER('Base de datos Rutas'!CR251),'Base de datos Rutas'!CR251,"")</f>
        <v>540.29</v>
      </c>
      <c r="BB253" s="803">
        <f>IF(ISNUMBER('Base de datos Rutas'!CS251),'Base de datos Rutas'!CS251,"")</f>
        <v>24.080000000000041</v>
      </c>
      <c r="BC253" s="804">
        <f t="shared" si="141"/>
        <v>0</v>
      </c>
      <c r="BD253" s="805" t="str">
        <f t="shared" si="142"/>
        <v>No saturada</v>
      </c>
      <c r="BE253" s="806">
        <f t="shared" si="143"/>
        <v>0.95733295533072271</v>
      </c>
      <c r="BF253" s="890">
        <f>IF(ISNUMBER('Base de datos Rutas'!CX251),'Base de datos Rutas'!CX251/100,"")</f>
        <v>0.47627031209698223</v>
      </c>
      <c r="BG253" s="891">
        <f>IF(ISNUMBER('Base de datos Rutas'!CZ251),'Base de datos Rutas'!CZ251/100,"")</f>
        <v>0.49187516120711888</v>
      </c>
      <c r="BH253" s="892">
        <f>IF(ISNUMBER('Base de datos Rutas'!DA251),'Base de datos Rutas'!DA251,"")</f>
        <v>329.2439936507937</v>
      </c>
      <c r="BI253" s="893">
        <f>IF(ISNUMBER('Base de datos Rutas'!DC251),'Base de datos Rutas'!DC251,"")</f>
        <v>16.846694603174605</v>
      </c>
      <c r="BJ253" s="805" t="str">
        <f t="shared" si="144"/>
        <v>Ruta (completo)</v>
      </c>
      <c r="BK253" s="783">
        <f t="shared" si="132"/>
        <v>4</v>
      </c>
      <c r="BL253" s="797">
        <f t="shared" si="133"/>
        <v>4</v>
      </c>
      <c r="BM253" s="797">
        <f t="shared" si="134"/>
        <v>5</v>
      </c>
      <c r="BN253" s="797">
        <f t="shared" si="135"/>
        <v>4</v>
      </c>
      <c r="BO253" s="798" cm="1">
        <f t="array" ref="BO253">SUMPRODUCT(--ISNUMBER($BF253:$BI253),$BK$3:$BN$3)</f>
        <v>1</v>
      </c>
      <c r="BP253" s="831">
        <f t="shared" si="145"/>
        <v>81.25</v>
      </c>
      <c r="BQ253" s="834" t="str">
        <f t="shared" si="146"/>
        <v>Alto</v>
      </c>
      <c r="BR253" s="836">
        <f t="shared" si="136"/>
        <v>26.38371381842758</v>
      </c>
      <c r="BS253" s="836">
        <f t="shared" si="137"/>
        <v>81.25</v>
      </c>
      <c r="BT253" s="837" t="str">
        <f t="shared" si="138"/>
        <v>P3</v>
      </c>
      <c r="BU253" s="807" t="str">
        <f t="shared" si="147"/>
        <v>Con espacio</v>
      </c>
      <c r="BV253" s="807" t="str">
        <f t="shared" si="139"/>
        <v>Zona atractiva</v>
      </c>
      <c r="BW253" s="808" t="str">
        <f t="shared" si="140"/>
        <v>P3 - Desarrollar</v>
      </c>
    </row>
    <row r="254" spans="1:75">
      <c r="A254" s="780" t="str">
        <f>'Base de datos Rutas'!A252</f>
        <v>Occidente</v>
      </c>
      <c r="B254" s="781" t="str">
        <f>'Base de datos Rutas'!B252</f>
        <v>Aguascalientes</v>
      </c>
      <c r="C254" s="781" t="str">
        <f>'Base de datos Rutas'!C252</f>
        <v>Planta Aguascalientes</v>
      </c>
      <c r="D254" s="782">
        <f>IF(ISNUMBER('Base de datos Rutas'!D252),'Base de datos Rutas'!D252,"Sin código")</f>
        <v>901346</v>
      </c>
      <c r="E254" s="783" t="str">
        <f>'Base de datos Rutas'!F252</f>
        <v>Activa</v>
      </c>
      <c r="F254" s="784" t="str">
        <f>'Base de datos Rutas'!H252</f>
        <v>No</v>
      </c>
      <c r="G254" s="785" t="str">
        <f>IF(ISNUMBER('Base de datos Rutas'!BE252),'Base de datos Rutas'!BE252,"")</f>
        <v/>
      </c>
      <c r="H254" s="786" t="str">
        <f>IF(ISNUMBER('Base de datos Rutas'!BH252),'Base de datos Rutas'!BH252,"")</f>
        <v/>
      </c>
      <c r="I254" s="788" t="str">
        <f>IFERROR(IF(OR(NOT(ISNUMBER('Base de datos Rutas'!O252)),N('Base de datos Rutas'!BK252)=0),"",'Base de datos Rutas'!O252/('Base de datos Rutas'!L252/'Base de datos Rutas'!BK252)),"")</f>
        <v/>
      </c>
      <c r="J254" s="788" t="str">
        <f>IFERROR(IF(OR(NOT(ISNUMBER('Base de datos Rutas'!N252)),N('Base de datos Rutas'!BK252)=0),"",'Base de datos Rutas'!N252/('Base de datos Rutas'!L252/'Base de datos Rutas'!BK252)),"")</f>
        <v/>
      </c>
      <c r="K254" s="788" t="str">
        <f>IFERROR(IF(OR(NOT(ISNUMBER('Base de datos Rutas'!J252)),N('Base de datos Rutas'!BK252)=0),"",'Base de datos Rutas'!J252/('Base de datos Rutas'!L252/'Base de datos Rutas'!BK252)),"")</f>
        <v/>
      </c>
      <c r="L254" s="788" t="str">
        <f>IFERROR(IF(OR(NOT(ISNUMBER('Base de datos Rutas'!K252)),N('Base de datos Rutas'!BK252)=0),"",'Base de datos Rutas'!K252/('Base de datos Rutas'!L252/'Base de datos Rutas'!BK252)),"")</f>
        <v/>
      </c>
      <c r="M254" s="787">
        <f>IF(ISNUMBER('Base de datos Rutas'!AX252),'Base de datos Rutas'!AX252,"")</f>
        <v>200.98</v>
      </c>
      <c r="N254" s="790">
        <f>IFERROR(INDEX('Hoja de apoyo v2'!B$17:B$20,MATCH($A254,'Hoja de apoyo v2'!$A$17:$A$20,0)),"")</f>
        <v>89.41621024641401</v>
      </c>
      <c r="O254" s="791">
        <f>IFERROR(INDEX('Hoja de apoyo v2'!C$17:C$20,MATCH($A254,'Hoja de apoyo v2'!$A$17:$A$20,0)),"")</f>
        <v>0.54706375874806301</v>
      </c>
      <c r="P254" s="793">
        <f>IFERROR(INDEX('Hoja de apoyo v2'!D$17:D$20,MATCH($A254,'Hoja de apoyo v2'!$A$17:$A$20,0)),"")</f>
        <v>11095.153935793827</v>
      </c>
      <c r="Q254" s="793">
        <f>IFERROR(INDEX('Hoja de apoyo v2'!E$17:E$20,MATCH($A254,'Hoja de apoyo v2'!$A$17:$A$20,0)),"")</f>
        <v>6982.3202019701848</v>
      </c>
      <c r="R254" s="793">
        <f>IFERROR(INDEX('Hoja de apoyo v2'!F$17:F$20,MATCH($A254,'Hoja de apoyo v2'!$A$17:$A$20,0)),"")</f>
        <v>448.09513474485743</v>
      </c>
      <c r="S254" s="793">
        <f>IFERROR(INDEX('Hoja de apoyo v2'!G$17:G$20,MATCH($A254,'Hoja de apoyo v2'!$A$17:$A$20,0)),"")</f>
        <v>83.406300904207839</v>
      </c>
      <c r="T254" s="792">
        <f>IFERROR(INDEX('Hoja de apoyo v2'!H$17:H$20,MATCH($A254,'Hoja de apoyo v2'!$A$17:$A$20,0)),"")</f>
        <v>378.97014028925349</v>
      </c>
      <c r="U254" s="794" t="str">
        <f t="shared" si="112"/>
        <v/>
      </c>
      <c r="V254" s="795" t="str">
        <f t="shared" si="113"/>
        <v/>
      </c>
      <c r="W254" s="795" t="str">
        <f t="shared" si="114"/>
        <v/>
      </c>
      <c r="X254" s="843" t="str">
        <f t="shared" si="115"/>
        <v/>
      </c>
      <c r="Y254" s="843" t="str">
        <f t="shared" si="116"/>
        <v/>
      </c>
      <c r="Z254" s="843" t="str">
        <f t="shared" si="117"/>
        <v/>
      </c>
      <c r="AA254" s="843">
        <f t="shared" si="118"/>
        <v>0.53033201994911683</v>
      </c>
      <c r="AB254" s="796">
        <f t="shared" si="119"/>
        <v>0</v>
      </c>
      <c r="AC254" s="797">
        <f t="shared" si="120"/>
        <v>0</v>
      </c>
      <c r="AD254" s="797">
        <f t="shared" si="121"/>
        <v>0</v>
      </c>
      <c r="AE254" s="842">
        <f t="shared" si="122"/>
        <v>0</v>
      </c>
      <c r="AF254" s="842">
        <f t="shared" si="123"/>
        <v>0</v>
      </c>
      <c r="AG254" s="842">
        <f t="shared" si="124"/>
        <v>0</v>
      </c>
      <c r="AH254" s="842">
        <f t="shared" si="125"/>
        <v>2</v>
      </c>
      <c r="AI254" s="826" cm="1">
        <f t="array" ref="AI254">SUMPRODUCT(--ISNUMBER($U254:$AA254),$AB$3:$AH$3)</f>
        <v>8.9789113613062493E-2</v>
      </c>
      <c r="AJ254" s="829" t="str">
        <f t="shared" si="126"/>
        <v/>
      </c>
      <c r="AK254" s="827" t="str">
        <f t="shared" si="127"/>
        <v>No elegible</v>
      </c>
      <c r="AL254" s="784" t="str">
        <f t="shared" si="128"/>
        <v>n/a</v>
      </c>
      <c r="AM254" s="799">
        <f>IF(ISNUMBER('Base de datos Rutas'!W252),'Base de datos Rutas'!W252,"")</f>
        <v>2854.7551675604168</v>
      </c>
      <c r="AN254" s="787">
        <f>IFERROR(SUMIFS('Base de datos Rutas'!$W$6:$W$794,'Base de datos Rutas'!$C$6:$C$794,$C254)/'Base de datos Rutas'!I252,"")</f>
        <v>2854.7551675604172</v>
      </c>
      <c r="AO254" s="800">
        <f>IFERROR('Base de datos Rutas'!X252*AN254/AM254,"")</f>
        <v>0.39497815263374952</v>
      </c>
      <c r="AP254" s="800">
        <f t="shared" si="129"/>
        <v>0.60502184736625053</v>
      </c>
      <c r="AQ254" s="789">
        <f>IFERROR(INDEX('Hoja de apoyo v2'!$J$17:$J$20,MATCH($A254,'Hoja de apoyo v2'!$A$17:$A$20,0)),"")</f>
        <v>0.64320274048480885</v>
      </c>
      <c r="AR254" s="789">
        <f t="shared" si="130"/>
        <v>-3.8180893118558323E-2</v>
      </c>
      <c r="AS254" s="784" t="str">
        <f t="shared" si="131"/>
        <v>No</v>
      </c>
      <c r="AT254" s="801" t="str">
        <f>IF(ISNUMBER('Base de datos Rutas'!CK252),'Base de datos Rutas'!CK252,"")</f>
        <v/>
      </c>
      <c r="AU254" s="802" t="str">
        <f>IF(ISNUMBER('Base de datos Rutas'!CL252),'Base de datos Rutas'!CL252,"")</f>
        <v/>
      </c>
      <c r="AV254" s="802">
        <f>IF(ISNUMBER('Base de datos Rutas'!CM252),'Base de datos Rutas'!CM252,"")</f>
        <v>0</v>
      </c>
      <c r="AW254" s="802" t="str">
        <f>IF(ISNUMBER('Base de datos Rutas'!CN252),'Base de datos Rutas'!CN252,"")</f>
        <v/>
      </c>
      <c r="AX254" s="802" t="str">
        <f>IF(ISNUMBER('Base de datos Rutas'!CO252),'Base de datos Rutas'!CO252,"")</f>
        <v/>
      </c>
      <c r="AY254" s="802">
        <f>IF(ISNUMBER('Base de datos Rutas'!CP252),'Base de datos Rutas'!CP252,"")</f>
        <v>0</v>
      </c>
      <c r="AZ254" s="802" t="str">
        <f>IF(ISNUMBER('Base de datos Rutas'!CQ252),'Base de datos Rutas'!CQ252,"")</f>
        <v/>
      </c>
      <c r="BA254" s="802" t="str">
        <f>IF(ISNUMBER('Base de datos Rutas'!CR252),'Base de datos Rutas'!CR252,"")</f>
        <v/>
      </c>
      <c r="BB254" s="803">
        <f>IF(ISNUMBER('Base de datos Rutas'!CS252),'Base de datos Rutas'!CS252,"")</f>
        <v>0</v>
      </c>
      <c r="BC254" s="804" t="str">
        <f t="shared" si="141"/>
        <v/>
      </c>
      <c r="BD254" s="805" t="str">
        <f t="shared" si="142"/>
        <v>N/D</v>
      </c>
      <c r="BE254" s="806" t="str">
        <f t="shared" si="143"/>
        <v/>
      </c>
      <c r="BF254" s="890" t="str">
        <f>IF(ISNUMBER('Base de datos Rutas'!CX252),'Base de datos Rutas'!CX252/100,"")</f>
        <v/>
      </c>
      <c r="BG254" s="891" t="str">
        <f>IF(ISNUMBER('Base de datos Rutas'!CZ252),'Base de datos Rutas'!CZ252/100,"")</f>
        <v/>
      </c>
      <c r="BH254" s="892" t="str">
        <f>IF(ISNUMBER('Base de datos Rutas'!DA252),'Base de datos Rutas'!DA252,"")</f>
        <v/>
      </c>
      <c r="BI254" s="893" t="str">
        <f>IF(ISNUMBER('Base de datos Rutas'!DC252),'Base de datos Rutas'!DC252,"")</f>
        <v/>
      </c>
      <c r="BJ254" s="805" t="str">
        <f t="shared" si="144"/>
        <v>Sin dato</v>
      </c>
      <c r="BK254" s="783">
        <f t="shared" si="132"/>
        <v>0</v>
      </c>
      <c r="BL254" s="797">
        <f t="shared" si="133"/>
        <v>0</v>
      </c>
      <c r="BM254" s="797">
        <f t="shared" si="134"/>
        <v>0</v>
      </c>
      <c r="BN254" s="797">
        <f t="shared" si="135"/>
        <v>0</v>
      </c>
      <c r="BO254" s="798" cm="1">
        <f t="array" ref="BO254">SUMPRODUCT(--ISNUMBER($BF254:$BI254),$BK$3:$BN$3)</f>
        <v>0</v>
      </c>
      <c r="BP254" s="831" t="str">
        <f t="shared" si="145"/>
        <v/>
      </c>
      <c r="BQ254" s="834" t="str">
        <f t="shared" si="146"/>
        <v>Sin datos</v>
      </c>
      <c r="BR254" s="836" t="str">
        <f t="shared" si="136"/>
        <v/>
      </c>
      <c r="BS254" s="836" t="str">
        <f t="shared" si="137"/>
        <v/>
      </c>
      <c r="BT254" s="837" t="str">
        <f t="shared" si="138"/>
        <v>Sin datos</v>
      </c>
      <c r="BU254" s="807" t="str">
        <f t="shared" si="147"/>
        <v>No evaluable</v>
      </c>
      <c r="BV254" s="807" t="str">
        <f t="shared" si="139"/>
        <v>No evaluable</v>
      </c>
      <c r="BW254" s="808" t="str">
        <f t="shared" si="140"/>
        <v>Sin datos</v>
      </c>
    </row>
    <row r="255" spans="1:75">
      <c r="A255" s="780" t="str">
        <f>'Base de datos Rutas'!A253</f>
        <v>Occidente</v>
      </c>
      <c r="B255" s="781" t="str">
        <f>'Base de datos Rutas'!B253</f>
        <v>Aguascalientes</v>
      </c>
      <c r="C255" s="781" t="str">
        <f>'Base de datos Rutas'!C253</f>
        <v>Planta Aguascalientes</v>
      </c>
      <c r="D255" s="782">
        <f>IF(ISNUMBER('Base de datos Rutas'!D253),'Base de datos Rutas'!D253,"Sin código")</f>
        <v>901401</v>
      </c>
      <c r="E255" s="783" t="str">
        <f>'Base de datos Rutas'!F253</f>
        <v>Activa</v>
      </c>
      <c r="F255" s="784" t="str">
        <f>'Base de datos Rutas'!H253</f>
        <v>Sí</v>
      </c>
      <c r="G255" s="785">
        <f>IF(ISNUMBER('Base de datos Rutas'!BE253),'Base de datos Rutas'!BE253,"")</f>
        <v>43.535714285714299</v>
      </c>
      <c r="H255" s="786">
        <f>IF(ISNUMBER('Base de datos Rutas'!BH253),'Base de datos Rutas'!BH253,"")</f>
        <v>0.36303401274689201</v>
      </c>
      <c r="I255" s="788">
        <f>IFERROR(IF(OR(NOT(ISNUMBER('Base de datos Rutas'!O253)),N('Base de datos Rutas'!BK253)=0),"",'Base de datos Rutas'!O253/('Base de datos Rutas'!L253/'Base de datos Rutas'!BK253)),"")</f>
        <v>1399.6832917705738</v>
      </c>
      <c r="J255" s="788">
        <f>IFERROR(IF(OR(NOT(ISNUMBER('Base de datos Rutas'!N253)),N('Base de datos Rutas'!BK253)=0),"",'Base de datos Rutas'!N253/('Base de datos Rutas'!L253/'Base de datos Rutas'!BK253)),"")</f>
        <v>4548.6309226932672</v>
      </c>
      <c r="K255" s="788">
        <f>IFERROR(IF(OR(NOT(ISNUMBER('Base de datos Rutas'!J253)),N('Base de datos Rutas'!BK253)=0),"",'Base de datos Rutas'!J253/('Base de datos Rutas'!L253/'Base de datos Rutas'!BK253)),"")</f>
        <v>301.03783142144641</v>
      </c>
      <c r="L255" s="788">
        <f>IFERROR(IF(OR(NOT(ISNUMBER('Base de datos Rutas'!K253)),N('Base de datos Rutas'!BK253)=0),"",'Base de datos Rutas'!K253/('Base de datos Rutas'!L253/'Base de datos Rutas'!BK253)),"")</f>
        <v>11.361269014962595</v>
      </c>
      <c r="M255" s="787">
        <f>IF(ISNUMBER('Base de datos Rutas'!AX253),'Base de datos Rutas'!AX253,"")</f>
        <v>398.479202527322</v>
      </c>
      <c r="N255" s="790">
        <f>IFERROR(INDEX('Hoja de apoyo v2'!B$17:B$20,MATCH($A255,'Hoja de apoyo v2'!$A$17:$A$20,0)),"")</f>
        <v>89.41621024641401</v>
      </c>
      <c r="O255" s="791">
        <f>IFERROR(INDEX('Hoja de apoyo v2'!C$17:C$20,MATCH($A255,'Hoja de apoyo v2'!$A$17:$A$20,0)),"")</f>
        <v>0.54706375874806301</v>
      </c>
      <c r="P255" s="793">
        <f>IFERROR(INDEX('Hoja de apoyo v2'!D$17:D$20,MATCH($A255,'Hoja de apoyo v2'!$A$17:$A$20,0)),"")</f>
        <v>11095.153935793827</v>
      </c>
      <c r="Q255" s="793">
        <f>IFERROR(INDEX('Hoja de apoyo v2'!E$17:E$20,MATCH($A255,'Hoja de apoyo v2'!$A$17:$A$20,0)),"")</f>
        <v>6982.3202019701848</v>
      </c>
      <c r="R255" s="793">
        <f>IFERROR(INDEX('Hoja de apoyo v2'!F$17:F$20,MATCH($A255,'Hoja de apoyo v2'!$A$17:$A$20,0)),"")</f>
        <v>448.09513474485743</v>
      </c>
      <c r="S255" s="793">
        <f>IFERROR(INDEX('Hoja de apoyo v2'!G$17:G$20,MATCH($A255,'Hoja de apoyo v2'!$A$17:$A$20,0)),"")</f>
        <v>83.406300904207839</v>
      </c>
      <c r="T255" s="792">
        <f>IFERROR(INDEX('Hoja de apoyo v2'!H$17:H$20,MATCH($A255,'Hoja de apoyo v2'!$A$17:$A$20,0)),"")</f>
        <v>378.97014028925349</v>
      </c>
      <c r="U255" s="794">
        <f t="shared" si="112"/>
        <v>0.48688838596198808</v>
      </c>
      <c r="V255" s="795">
        <f t="shared" si="113"/>
        <v>0.66360457431448783</v>
      </c>
      <c r="W255" s="795">
        <f t="shared" si="114"/>
        <v>0.12615266988365856</v>
      </c>
      <c r="X255" s="843">
        <f t="shared" si="115"/>
        <v>0.65144977473387577</v>
      </c>
      <c r="Y255" s="843">
        <f t="shared" si="116"/>
        <v>0.67181678192702421</v>
      </c>
      <c r="Z255" s="843">
        <f t="shared" si="117"/>
        <v>0.13621595601045797</v>
      </c>
      <c r="AA255" s="843">
        <f t="shared" si="118"/>
        <v>1.05147915406522</v>
      </c>
      <c r="AB255" s="796">
        <f t="shared" si="119"/>
        <v>1</v>
      </c>
      <c r="AC255" s="797">
        <f t="shared" si="120"/>
        <v>2</v>
      </c>
      <c r="AD255" s="797">
        <f t="shared" si="121"/>
        <v>1</v>
      </c>
      <c r="AE255" s="842">
        <f t="shared" si="122"/>
        <v>2</v>
      </c>
      <c r="AF255" s="842">
        <f t="shared" si="123"/>
        <v>2</v>
      </c>
      <c r="AG255" s="842">
        <f t="shared" si="124"/>
        <v>1</v>
      </c>
      <c r="AH255" s="842">
        <f t="shared" si="125"/>
        <v>4</v>
      </c>
      <c r="AI255" s="826" cm="1">
        <f t="array" ref="AI255">SUMPRODUCT(--ISNUMBER($U255:$AA255),$AB$3:$AH$3)</f>
        <v>1</v>
      </c>
      <c r="AJ255" s="829">
        <f t="shared" si="126"/>
        <v>15.452581265128662</v>
      </c>
      <c r="AK255" s="827" t="str">
        <f t="shared" si="127"/>
        <v>Inmadura</v>
      </c>
      <c r="AL255" s="784" t="str">
        <f t="shared" si="128"/>
        <v>Alta</v>
      </c>
      <c r="AM255" s="799">
        <f>IF(ISNUMBER('Base de datos Rutas'!W253),'Base de datos Rutas'!W253,"")</f>
        <v>2854.7551675604168</v>
      </c>
      <c r="AN255" s="787">
        <f>IFERROR(SUMIFS('Base de datos Rutas'!$W$6:$W$794,'Base de datos Rutas'!$C$6:$C$794,$C255)/'Base de datos Rutas'!I253,"")</f>
        <v>2854.7551675604172</v>
      </c>
      <c r="AO255" s="800">
        <f>IFERROR('Base de datos Rutas'!X253*AN255/AM255,"")</f>
        <v>0.39497815263374952</v>
      </c>
      <c r="AP255" s="800">
        <f t="shared" si="129"/>
        <v>0.60502184736625053</v>
      </c>
      <c r="AQ255" s="789">
        <f>IFERROR(INDEX('Hoja de apoyo v2'!$J$17:$J$20,MATCH($A255,'Hoja de apoyo v2'!$A$17:$A$20,0)),"")</f>
        <v>0.64320274048480885</v>
      </c>
      <c r="AR255" s="789">
        <f t="shared" si="130"/>
        <v>-3.8180893118558323E-2</v>
      </c>
      <c r="AS255" s="784" t="str">
        <f t="shared" si="131"/>
        <v>No</v>
      </c>
      <c r="AT255" s="801">
        <f>IF(ISNUMBER('Base de datos Rutas'!CK253),'Base de datos Rutas'!CK253,"")</f>
        <v>181</v>
      </c>
      <c r="AU255" s="802">
        <f>IF(ISNUMBER('Base de datos Rutas'!CL253),'Base de datos Rutas'!CL253,"")</f>
        <v>227.07</v>
      </c>
      <c r="AV255" s="802">
        <f>IF(ISNUMBER('Base de datos Rutas'!CM253),'Base de datos Rutas'!CM253,"")</f>
        <v>46.069999999999993</v>
      </c>
      <c r="AW255" s="802">
        <f>IF(ISNUMBER('Base de datos Rutas'!CN253),'Base de datos Rutas'!CN253,"")</f>
        <v>5.62</v>
      </c>
      <c r="AX255" s="802">
        <f>IF(ISNUMBER('Base de datos Rutas'!CO253),'Base de datos Rutas'!CO253,"")</f>
        <v>9.4499999999999993</v>
      </c>
      <c r="AY255" s="802">
        <f>IF(ISNUMBER('Base de datos Rutas'!CP253),'Base de datos Rutas'!CP253,"")</f>
        <v>3.8299999999999992</v>
      </c>
      <c r="AZ255" s="802">
        <f>IF(ISNUMBER('Base de datos Rutas'!CQ253),'Base de datos Rutas'!CQ253,"")</f>
        <v>846.56</v>
      </c>
      <c r="BA255" s="802">
        <f>IF(ISNUMBER('Base de datos Rutas'!CR253),'Base de datos Rutas'!CR253,"")</f>
        <v>312.39999999999998</v>
      </c>
      <c r="BB255" s="803">
        <f>IF(ISNUMBER('Base de datos Rutas'!CS253),'Base de datos Rutas'!CS253,"")</f>
        <v>534.16</v>
      </c>
      <c r="BC255" s="804">
        <f t="shared" si="141"/>
        <v>0</v>
      </c>
      <c r="BD255" s="805" t="str">
        <f t="shared" si="142"/>
        <v>No saturada</v>
      </c>
      <c r="BE255" s="806">
        <f t="shared" si="143"/>
        <v>0.36902286902286902</v>
      </c>
      <c r="BF255" s="890">
        <f>IF(ISNUMBER('Base de datos Rutas'!CX253),'Base de datos Rutas'!CX253/100,"")</f>
        <v>5.296577380952381E-2</v>
      </c>
      <c r="BG255" s="891">
        <f>IF(ISNUMBER('Base de datos Rutas'!CZ253),'Base de datos Rutas'!CZ253/100,"")</f>
        <v>5.9821428571428574E-2</v>
      </c>
      <c r="BH255" s="892">
        <f>IF(ISNUMBER('Base de datos Rutas'!DA253),'Base de datos Rutas'!DA253,"")</f>
        <v>59.974833248843126</v>
      </c>
      <c r="BI255" s="893">
        <f>IF(ISNUMBER('Base de datos Rutas'!DC253),'Base de datos Rutas'!DC253,"")</f>
        <v>3.2127468382680049</v>
      </c>
      <c r="BJ255" s="805" t="str">
        <f t="shared" si="144"/>
        <v>Ruta (completo)</v>
      </c>
      <c r="BK255" s="783">
        <f t="shared" si="132"/>
        <v>1</v>
      </c>
      <c r="BL255" s="797">
        <f t="shared" si="133"/>
        <v>1</v>
      </c>
      <c r="BM255" s="797">
        <f t="shared" si="134"/>
        <v>1</v>
      </c>
      <c r="BN255" s="797">
        <f t="shared" si="135"/>
        <v>1</v>
      </c>
      <c r="BO255" s="798" cm="1">
        <f t="array" ref="BO255">SUMPRODUCT(--ISNUMBER($BF255:$BI255),$BK$3:$BN$3)</f>
        <v>1</v>
      </c>
      <c r="BP255" s="831">
        <f t="shared" si="145"/>
        <v>0</v>
      </c>
      <c r="BQ255" s="834" t="str">
        <f t="shared" si="146"/>
        <v>Bajo</v>
      </c>
      <c r="BR255" s="836">
        <f t="shared" si="136"/>
        <v>11.589435948846496</v>
      </c>
      <c r="BS255" s="836">
        <f t="shared" si="137"/>
        <v>0</v>
      </c>
      <c r="BT255" s="837" t="str">
        <f t="shared" si="138"/>
        <v>P4</v>
      </c>
      <c r="BU255" s="807" t="str">
        <f t="shared" si="147"/>
        <v>Con espacio</v>
      </c>
      <c r="BV255" s="807" t="str">
        <f t="shared" si="139"/>
        <v>Zona de bajo potencial</v>
      </c>
      <c r="BW255" s="808" t="str">
        <f t="shared" si="140"/>
        <v>P4 - Evaluar</v>
      </c>
    </row>
    <row r="256" spans="1:75">
      <c r="A256" s="780" t="str">
        <f>'Base de datos Rutas'!A254</f>
        <v>Occidente</v>
      </c>
      <c r="B256" s="781" t="str">
        <f>'Base de datos Rutas'!B254</f>
        <v>Aguascalientes</v>
      </c>
      <c r="C256" s="781" t="str">
        <f>'Base de datos Rutas'!C254</f>
        <v>Planta Aguascalientes</v>
      </c>
      <c r="D256" s="782">
        <f>IF(ISNUMBER('Base de datos Rutas'!D254),'Base de datos Rutas'!D254,"Sin código")</f>
        <v>901402</v>
      </c>
      <c r="E256" s="783" t="str">
        <f>'Base de datos Rutas'!F254</f>
        <v>Activa</v>
      </c>
      <c r="F256" s="784" t="str">
        <f>'Base de datos Rutas'!H254</f>
        <v>Sí</v>
      </c>
      <c r="G256" s="785">
        <f>IF(ISNUMBER('Base de datos Rutas'!BE254),'Base de datos Rutas'!BE254,"")</f>
        <v>47.323877068557898</v>
      </c>
      <c r="H256" s="786">
        <f>IF(ISNUMBER('Base de datos Rutas'!BH254),'Base de datos Rutas'!BH254,"")</f>
        <v>0.41232890398641198</v>
      </c>
      <c r="I256" s="788">
        <f>IFERROR(IF(OR(NOT(ISNUMBER('Base de datos Rutas'!O254)),N('Base de datos Rutas'!BK254)=0),"",'Base de datos Rutas'!O254/('Base de datos Rutas'!L254/'Base de datos Rutas'!BK254)),"")</f>
        <v>1789.5579196217475</v>
      </c>
      <c r="J256" s="788">
        <f>IFERROR(IF(OR(NOT(ISNUMBER('Base de datos Rutas'!N254)),N('Base de datos Rutas'!BK254)=0),"",'Base de datos Rutas'!N254/('Base de datos Rutas'!L254/'Base de datos Rutas'!BK254)),"")</f>
        <v>5762.8723404255261</v>
      </c>
      <c r="K256" s="788">
        <f>IFERROR(IF(OR(NOT(ISNUMBER('Base de datos Rutas'!J254)),N('Base de datos Rutas'!BK254)=0),"",'Base de datos Rutas'!J254/('Base de datos Rutas'!L254/'Base de datos Rutas'!BK254)),"")</f>
        <v>398.79397030732815</v>
      </c>
      <c r="L256" s="788">
        <f>IFERROR(IF(OR(NOT(ISNUMBER('Base de datos Rutas'!K254)),N('Base de datos Rutas'!BK254)=0),"",'Base de datos Rutas'!K254/('Base de datos Rutas'!L254/'Base de datos Rutas'!BK254)),"")</f>
        <v>16.57243738534277</v>
      </c>
      <c r="M256" s="787">
        <f>IF(ISNUMBER('Base de datos Rutas'!AX254),'Base de datos Rutas'!AX254,"")</f>
        <v>389.21779016234501</v>
      </c>
      <c r="N256" s="790">
        <f>IFERROR(INDEX('Hoja de apoyo v2'!B$17:B$20,MATCH($A256,'Hoja de apoyo v2'!$A$17:$A$20,0)),"")</f>
        <v>89.41621024641401</v>
      </c>
      <c r="O256" s="791">
        <f>IFERROR(INDEX('Hoja de apoyo v2'!C$17:C$20,MATCH($A256,'Hoja de apoyo v2'!$A$17:$A$20,0)),"")</f>
        <v>0.54706375874806301</v>
      </c>
      <c r="P256" s="793">
        <f>IFERROR(INDEX('Hoja de apoyo v2'!D$17:D$20,MATCH($A256,'Hoja de apoyo v2'!$A$17:$A$20,0)),"")</f>
        <v>11095.153935793827</v>
      </c>
      <c r="Q256" s="793">
        <f>IFERROR(INDEX('Hoja de apoyo v2'!E$17:E$20,MATCH($A256,'Hoja de apoyo v2'!$A$17:$A$20,0)),"")</f>
        <v>6982.3202019701848</v>
      </c>
      <c r="R256" s="793">
        <f>IFERROR(INDEX('Hoja de apoyo v2'!F$17:F$20,MATCH($A256,'Hoja de apoyo v2'!$A$17:$A$20,0)),"")</f>
        <v>448.09513474485743</v>
      </c>
      <c r="S256" s="793">
        <f>IFERROR(INDEX('Hoja de apoyo v2'!G$17:G$20,MATCH($A256,'Hoja de apoyo v2'!$A$17:$A$20,0)),"")</f>
        <v>83.406300904207839</v>
      </c>
      <c r="T256" s="792">
        <f>IFERROR(INDEX('Hoja de apoyo v2'!H$17:H$20,MATCH($A256,'Hoja de apoyo v2'!$A$17:$A$20,0)),"")</f>
        <v>378.97014028925349</v>
      </c>
      <c r="U256" s="794">
        <f t="shared" si="112"/>
        <v>0.52925388962630293</v>
      </c>
      <c r="V256" s="795">
        <f t="shared" si="113"/>
        <v>0.75371270239142285</v>
      </c>
      <c r="W256" s="795">
        <f t="shared" si="114"/>
        <v>0.16129185137742838</v>
      </c>
      <c r="X256" s="843">
        <f t="shared" si="115"/>
        <v>0.82535205687064161</v>
      </c>
      <c r="Y256" s="843">
        <f t="shared" si="116"/>
        <v>0.88997612200007248</v>
      </c>
      <c r="Z256" s="843">
        <f t="shared" si="117"/>
        <v>0.19869526889073069</v>
      </c>
      <c r="AA256" s="843">
        <f t="shared" si="118"/>
        <v>1.0270407844408793</v>
      </c>
      <c r="AB256" s="796">
        <f t="shared" si="119"/>
        <v>2</v>
      </c>
      <c r="AC256" s="797">
        <f t="shared" si="120"/>
        <v>3</v>
      </c>
      <c r="AD256" s="797">
        <f t="shared" si="121"/>
        <v>1</v>
      </c>
      <c r="AE256" s="842">
        <f t="shared" si="122"/>
        <v>3</v>
      </c>
      <c r="AF256" s="842">
        <f t="shared" si="123"/>
        <v>3</v>
      </c>
      <c r="AG256" s="842">
        <f t="shared" si="124"/>
        <v>1</v>
      </c>
      <c r="AH256" s="842">
        <f t="shared" si="125"/>
        <v>4</v>
      </c>
      <c r="AI256" s="826" cm="1">
        <f t="array" ref="AI256">SUMPRODUCT(--ISNUMBER($U256:$AA256),$AB$3:$AH$3)</f>
        <v>1</v>
      </c>
      <c r="AJ256" s="829">
        <f t="shared" si="126"/>
        <v>28.704615187414372</v>
      </c>
      <c r="AK256" s="827" t="str">
        <f t="shared" si="127"/>
        <v>Inmadura</v>
      </c>
      <c r="AL256" s="784" t="str">
        <f t="shared" si="128"/>
        <v>Alta</v>
      </c>
      <c r="AM256" s="799">
        <f>IF(ISNUMBER('Base de datos Rutas'!W254),'Base de datos Rutas'!W254,"")</f>
        <v>2854.7551675604168</v>
      </c>
      <c r="AN256" s="787">
        <f>IFERROR(SUMIFS('Base de datos Rutas'!$W$6:$W$794,'Base de datos Rutas'!$C$6:$C$794,$C256)/'Base de datos Rutas'!I254,"")</f>
        <v>2854.7551675604172</v>
      </c>
      <c r="AO256" s="800">
        <f>IFERROR('Base de datos Rutas'!X254*AN256/AM256,"")</f>
        <v>0.39497815263374952</v>
      </c>
      <c r="AP256" s="800">
        <f t="shared" si="129"/>
        <v>0.60502184736625053</v>
      </c>
      <c r="AQ256" s="789">
        <f>IFERROR(INDEX('Hoja de apoyo v2'!$J$17:$J$20,MATCH($A256,'Hoja de apoyo v2'!$A$17:$A$20,0)),"")</f>
        <v>0.64320274048480885</v>
      </c>
      <c r="AR256" s="789">
        <f t="shared" si="130"/>
        <v>-3.8180893118558323E-2</v>
      </c>
      <c r="AS256" s="784" t="str">
        <f t="shared" si="131"/>
        <v>No</v>
      </c>
      <c r="AT256" s="801" t="str">
        <f>IF(ISNUMBER('Base de datos Rutas'!CK254),'Base de datos Rutas'!CK254,"")</f>
        <v/>
      </c>
      <c r="AU256" s="802" t="str">
        <f>IF(ISNUMBER('Base de datos Rutas'!CL254),'Base de datos Rutas'!CL254,"")</f>
        <v/>
      </c>
      <c r="AV256" s="802">
        <f>IF(ISNUMBER('Base de datos Rutas'!CM254),'Base de datos Rutas'!CM254,"")</f>
        <v>0</v>
      </c>
      <c r="AW256" s="802" t="str">
        <f>IF(ISNUMBER('Base de datos Rutas'!CN254),'Base de datos Rutas'!CN254,"")</f>
        <v/>
      </c>
      <c r="AX256" s="802" t="str">
        <f>IF(ISNUMBER('Base de datos Rutas'!CO254),'Base de datos Rutas'!CO254,"")</f>
        <v/>
      </c>
      <c r="AY256" s="802">
        <f>IF(ISNUMBER('Base de datos Rutas'!CP254),'Base de datos Rutas'!CP254,"")</f>
        <v>0</v>
      </c>
      <c r="AZ256" s="802" t="str">
        <f>IF(ISNUMBER('Base de datos Rutas'!CQ254),'Base de datos Rutas'!CQ254,"")</f>
        <v/>
      </c>
      <c r="BA256" s="802" t="str">
        <f>IF(ISNUMBER('Base de datos Rutas'!CR254),'Base de datos Rutas'!CR254,"")</f>
        <v/>
      </c>
      <c r="BB256" s="803">
        <f>IF(ISNUMBER('Base de datos Rutas'!CS254),'Base de datos Rutas'!CS254,"")</f>
        <v>0</v>
      </c>
      <c r="BC256" s="804" t="str">
        <f t="shared" si="141"/>
        <v/>
      </c>
      <c r="BD256" s="805" t="str">
        <f t="shared" si="142"/>
        <v>N/D</v>
      </c>
      <c r="BE256" s="806" t="str">
        <f t="shared" si="143"/>
        <v/>
      </c>
      <c r="BF256" s="890" t="str">
        <f>IF(ISNUMBER('Base de datos Rutas'!CX254),'Base de datos Rutas'!CX254/100,"")</f>
        <v/>
      </c>
      <c r="BG256" s="891" t="str">
        <f>IF(ISNUMBER('Base de datos Rutas'!CZ254),'Base de datos Rutas'!CZ254/100,"")</f>
        <v/>
      </c>
      <c r="BH256" s="892" t="str">
        <f>IF(ISNUMBER('Base de datos Rutas'!DA254),'Base de datos Rutas'!DA254,"")</f>
        <v/>
      </c>
      <c r="BI256" s="893" t="str">
        <f>IF(ISNUMBER('Base de datos Rutas'!DC254),'Base de datos Rutas'!DC254,"")</f>
        <v/>
      </c>
      <c r="BJ256" s="805" t="str">
        <f t="shared" si="144"/>
        <v>Sin dato</v>
      </c>
      <c r="BK256" s="783">
        <f t="shared" si="132"/>
        <v>0</v>
      </c>
      <c r="BL256" s="797">
        <f t="shared" si="133"/>
        <v>0</v>
      </c>
      <c r="BM256" s="797">
        <f t="shared" si="134"/>
        <v>0</v>
      </c>
      <c r="BN256" s="797">
        <f t="shared" si="135"/>
        <v>0</v>
      </c>
      <c r="BO256" s="798" cm="1">
        <f t="array" ref="BO256">SUMPRODUCT(--ISNUMBER($BF256:$BI256),$BK$3:$BN$3)</f>
        <v>0</v>
      </c>
      <c r="BP256" s="831" t="str">
        <f t="shared" si="145"/>
        <v/>
      </c>
      <c r="BQ256" s="834" t="str">
        <f t="shared" si="146"/>
        <v>Sin datos</v>
      </c>
      <c r="BR256" s="836" t="str">
        <f t="shared" si="136"/>
        <v/>
      </c>
      <c r="BS256" s="836" t="str">
        <f t="shared" si="137"/>
        <v/>
      </c>
      <c r="BT256" s="837" t="str">
        <f t="shared" si="138"/>
        <v>Sin datos</v>
      </c>
      <c r="BU256" s="807" t="str">
        <f t="shared" si="147"/>
        <v>Con espacio</v>
      </c>
      <c r="BV256" s="807" t="str">
        <f t="shared" si="139"/>
        <v>Sin datos de zona</v>
      </c>
      <c r="BW256" s="808" t="str">
        <f t="shared" si="140"/>
        <v>Sin datos</v>
      </c>
    </row>
    <row r="257" spans="1:75">
      <c r="A257" s="780" t="str">
        <f>'Base de datos Rutas'!A255</f>
        <v>Occidente</v>
      </c>
      <c r="B257" s="781" t="str">
        <f>'Base de datos Rutas'!B255</f>
        <v>Aguascalientes</v>
      </c>
      <c r="C257" s="781" t="str">
        <f>'Base de datos Rutas'!C255</f>
        <v>Planta Aguascalientes</v>
      </c>
      <c r="D257" s="782">
        <f>IF(ISNUMBER('Base de datos Rutas'!D255),'Base de datos Rutas'!D255,"Sin código")</f>
        <v>901403</v>
      </c>
      <c r="E257" s="783" t="str">
        <f>'Base de datos Rutas'!F255</f>
        <v>Activa</v>
      </c>
      <c r="F257" s="784" t="str">
        <f>'Base de datos Rutas'!H255</f>
        <v>Sí</v>
      </c>
      <c r="G257" s="785">
        <f>IF(ISNUMBER('Base de datos Rutas'!BE255),'Base de datos Rutas'!BE255,"")</f>
        <v>65.941860465116307</v>
      </c>
      <c r="H257" s="786">
        <f>IF(ISNUMBER('Base de datos Rutas'!BH255),'Base de datos Rutas'!BH255,"")</f>
        <v>0.37319696702521599</v>
      </c>
      <c r="I257" s="788">
        <f>IFERROR(IF(OR(NOT(ISNUMBER('Base de datos Rutas'!O255)),N('Base de datos Rutas'!BK255)=0),"",'Base de datos Rutas'!O255/('Base de datos Rutas'!L255/'Base de datos Rutas'!BK255)),"")</f>
        <v>3060.2627906976732</v>
      </c>
      <c r="J257" s="788">
        <f>IFERROR(IF(OR(NOT(ISNUMBER('Base de datos Rutas'!N255)),N('Base de datos Rutas'!BK255)=0),"",'Base de datos Rutas'!N255/('Base de datos Rutas'!L255/'Base de datos Rutas'!BK255)),"")</f>
        <v>7232.8651162790666</v>
      </c>
      <c r="K257" s="788">
        <f>IFERROR(IF(OR(NOT(ISNUMBER('Base de datos Rutas'!J255)),N('Base de datos Rutas'!BK255)=0),"",'Base de datos Rutas'!J255/('Base de datos Rutas'!L255/'Base de datos Rutas'!BK255)),"")</f>
        <v>484.27265860465099</v>
      </c>
      <c r="L257" s="788">
        <f>IFERROR(IF(OR(NOT(ISNUMBER('Base de datos Rutas'!K255)),N('Base de datos Rutas'!BK255)=0),"",'Base de datos Rutas'!K255/('Base de datos Rutas'!L255/'Base de datos Rutas'!BK255)),"")</f>
        <v>31.052696627906965</v>
      </c>
      <c r="M257" s="787">
        <f>IF(ISNUMBER('Base de datos Rutas'!AX255),'Base de datos Rutas'!AX255,"")</f>
        <v>416.78505386505401</v>
      </c>
      <c r="N257" s="790">
        <f>IFERROR(INDEX('Hoja de apoyo v2'!B$17:B$20,MATCH($A257,'Hoja de apoyo v2'!$A$17:$A$20,0)),"")</f>
        <v>89.41621024641401</v>
      </c>
      <c r="O257" s="791">
        <f>IFERROR(INDEX('Hoja de apoyo v2'!C$17:C$20,MATCH($A257,'Hoja de apoyo v2'!$A$17:$A$20,0)),"")</f>
        <v>0.54706375874806301</v>
      </c>
      <c r="P257" s="793">
        <f>IFERROR(INDEX('Hoja de apoyo v2'!D$17:D$20,MATCH($A257,'Hoja de apoyo v2'!$A$17:$A$20,0)),"")</f>
        <v>11095.153935793827</v>
      </c>
      <c r="Q257" s="793">
        <f>IFERROR(INDEX('Hoja de apoyo v2'!E$17:E$20,MATCH($A257,'Hoja de apoyo v2'!$A$17:$A$20,0)),"")</f>
        <v>6982.3202019701848</v>
      </c>
      <c r="R257" s="793">
        <f>IFERROR(INDEX('Hoja de apoyo v2'!F$17:F$20,MATCH($A257,'Hoja de apoyo v2'!$A$17:$A$20,0)),"")</f>
        <v>448.09513474485743</v>
      </c>
      <c r="S257" s="793">
        <f>IFERROR(INDEX('Hoja de apoyo v2'!G$17:G$20,MATCH($A257,'Hoja de apoyo v2'!$A$17:$A$20,0)),"")</f>
        <v>83.406300904207839</v>
      </c>
      <c r="T257" s="792">
        <f>IFERROR(INDEX('Hoja de apoyo v2'!H$17:H$20,MATCH($A257,'Hoja de apoyo v2'!$A$17:$A$20,0)),"")</f>
        <v>378.97014028925349</v>
      </c>
      <c r="U257" s="794">
        <f t="shared" si="112"/>
        <v>0.73747098298388092</v>
      </c>
      <c r="V257" s="795">
        <f t="shared" si="113"/>
        <v>0.68218185002652099</v>
      </c>
      <c r="W257" s="795">
        <f t="shared" si="114"/>
        <v>0.27581976855904883</v>
      </c>
      <c r="X257" s="843">
        <f t="shared" si="115"/>
        <v>1.0358827591776993</v>
      </c>
      <c r="Y257" s="843">
        <f t="shared" si="116"/>
        <v>1.0807362567781345</v>
      </c>
      <c r="Z257" s="843">
        <f t="shared" si="117"/>
        <v>0.37230636404281969</v>
      </c>
      <c r="AA257" s="843">
        <f t="shared" si="118"/>
        <v>1.0997833590449575</v>
      </c>
      <c r="AB257" s="796">
        <f t="shared" si="119"/>
        <v>2</v>
      </c>
      <c r="AC257" s="797">
        <f t="shared" si="120"/>
        <v>2</v>
      </c>
      <c r="AD257" s="797">
        <f t="shared" si="121"/>
        <v>1</v>
      </c>
      <c r="AE257" s="842">
        <f t="shared" si="122"/>
        <v>4</v>
      </c>
      <c r="AF257" s="842">
        <f t="shared" si="123"/>
        <v>4</v>
      </c>
      <c r="AG257" s="842">
        <f t="shared" si="124"/>
        <v>1</v>
      </c>
      <c r="AH257" s="842">
        <f t="shared" si="125"/>
        <v>4</v>
      </c>
      <c r="AI257" s="826" cm="1">
        <f t="array" ref="AI257">SUMPRODUCT(--ISNUMBER($U257:$AA257),$AB$3:$AH$3)</f>
        <v>1</v>
      </c>
      <c r="AJ257" s="829">
        <f t="shared" si="126"/>
        <v>32.657201759782374</v>
      </c>
      <c r="AK257" s="827" t="str">
        <f t="shared" si="127"/>
        <v>Inmadura</v>
      </c>
      <c r="AL257" s="784" t="str">
        <f t="shared" si="128"/>
        <v>Alta</v>
      </c>
      <c r="AM257" s="799">
        <f>IF(ISNUMBER('Base de datos Rutas'!W255),'Base de datos Rutas'!W255,"")</f>
        <v>2854.7551675604168</v>
      </c>
      <c r="AN257" s="787">
        <f>IFERROR(SUMIFS('Base de datos Rutas'!$W$6:$W$794,'Base de datos Rutas'!$C$6:$C$794,$C257)/'Base de datos Rutas'!I255,"")</f>
        <v>2854.7551675604172</v>
      </c>
      <c r="AO257" s="800">
        <f>IFERROR('Base de datos Rutas'!X255*AN257/AM257,"")</f>
        <v>0.39497815263374952</v>
      </c>
      <c r="AP257" s="800">
        <f t="shared" si="129"/>
        <v>0.60502184736625053</v>
      </c>
      <c r="AQ257" s="789">
        <f>IFERROR(INDEX('Hoja de apoyo v2'!$J$17:$J$20,MATCH($A257,'Hoja de apoyo v2'!$A$17:$A$20,0)),"")</f>
        <v>0.64320274048480885</v>
      </c>
      <c r="AR257" s="789">
        <f t="shared" si="130"/>
        <v>-3.8180893118558323E-2</v>
      </c>
      <c r="AS257" s="784" t="str">
        <f t="shared" si="131"/>
        <v>No</v>
      </c>
      <c r="AT257" s="801">
        <f>IF(ISNUMBER('Base de datos Rutas'!CK255),'Base de datos Rutas'!CK255,"")</f>
        <v>301</v>
      </c>
      <c r="AU257" s="802">
        <f>IF(ISNUMBER('Base de datos Rutas'!CL255),'Base de datos Rutas'!CL255,"")</f>
        <v>362.19</v>
      </c>
      <c r="AV257" s="802">
        <f>IF(ISNUMBER('Base de datos Rutas'!CM255),'Base de datos Rutas'!CM255,"")</f>
        <v>61.19</v>
      </c>
      <c r="AW257" s="802">
        <f>IF(ISNUMBER('Base de datos Rutas'!CN255),'Base de datos Rutas'!CN255,"")</f>
        <v>6.55</v>
      </c>
      <c r="AX257" s="802">
        <f>IF(ISNUMBER('Base de datos Rutas'!CO255),'Base de datos Rutas'!CO255,"")</f>
        <v>9.4499999999999993</v>
      </c>
      <c r="AY257" s="802">
        <f>IF(ISNUMBER('Base de datos Rutas'!CP255),'Base de datos Rutas'!CP255,"")</f>
        <v>2.8999999999999995</v>
      </c>
      <c r="AZ257" s="802">
        <f>IF(ISNUMBER('Base de datos Rutas'!CQ255),'Base de datos Rutas'!CQ255,"")</f>
        <v>846.56</v>
      </c>
      <c r="BA257" s="802">
        <f>IF(ISNUMBER('Base de datos Rutas'!CR255),'Base de datos Rutas'!CR255,"")</f>
        <v>515.33000000000004</v>
      </c>
      <c r="BB257" s="803">
        <f>IF(ISNUMBER('Base de datos Rutas'!CS255),'Base de datos Rutas'!CS255,"")</f>
        <v>331.2299999999999</v>
      </c>
      <c r="BC257" s="804">
        <f t="shared" si="141"/>
        <v>0</v>
      </c>
      <c r="BD257" s="805" t="str">
        <f t="shared" si="142"/>
        <v>No saturada</v>
      </c>
      <c r="BE257" s="806">
        <f t="shared" si="143"/>
        <v>0.60873417123417128</v>
      </c>
      <c r="BF257" s="890">
        <f>IF(ISNUMBER('Base de datos Rutas'!CX255),'Base de datos Rutas'!CX255/100,"")</f>
        <v>0.28857449297971915</v>
      </c>
      <c r="BG257" s="891">
        <f>IF(ISNUMBER('Base de datos Rutas'!CZ255),'Base de datos Rutas'!CZ255/100,"")</f>
        <v>0.30050702028081122</v>
      </c>
      <c r="BH257" s="892">
        <f>IF(ISNUMBER('Base de datos Rutas'!DA255),'Base de datos Rutas'!DA255,"")</f>
        <v>215.54519876897936</v>
      </c>
      <c r="BI257" s="893">
        <f>IF(ISNUMBER('Base de datos Rutas'!DC255),'Base de datos Rutas'!DC255,"")</f>
        <v>10.328810469456698</v>
      </c>
      <c r="BJ257" s="805" t="str">
        <f t="shared" si="144"/>
        <v>Ruta (completo)</v>
      </c>
      <c r="BK257" s="783">
        <f t="shared" si="132"/>
        <v>3</v>
      </c>
      <c r="BL257" s="797">
        <f t="shared" si="133"/>
        <v>3</v>
      </c>
      <c r="BM257" s="797">
        <f t="shared" si="134"/>
        <v>3</v>
      </c>
      <c r="BN257" s="797">
        <f t="shared" si="135"/>
        <v>3</v>
      </c>
      <c r="BO257" s="798" cm="1">
        <f t="array" ref="BO257">SUMPRODUCT(--ISNUMBER($BF257:$BI257),$BK$3:$BN$3)</f>
        <v>1</v>
      </c>
      <c r="BP257" s="831">
        <f t="shared" si="145"/>
        <v>50</v>
      </c>
      <c r="BQ257" s="834" t="str">
        <f t="shared" si="146"/>
        <v>Alto</v>
      </c>
      <c r="BR257" s="836">
        <f t="shared" si="136"/>
        <v>24.492901319836783</v>
      </c>
      <c r="BS257" s="836">
        <f t="shared" si="137"/>
        <v>50</v>
      </c>
      <c r="BT257" s="837" t="str">
        <f t="shared" si="138"/>
        <v>P3</v>
      </c>
      <c r="BU257" s="807" t="str">
        <f t="shared" si="147"/>
        <v>Con espacio</v>
      </c>
      <c r="BV257" s="807" t="str">
        <f t="shared" si="139"/>
        <v>Zona atractiva</v>
      </c>
      <c r="BW257" s="808" t="str">
        <f t="shared" si="140"/>
        <v>P3 - Desarrollar</v>
      </c>
    </row>
    <row r="258" spans="1:75">
      <c r="A258" s="780" t="str">
        <f>'Base de datos Rutas'!A256</f>
        <v>Occidente</v>
      </c>
      <c r="B258" s="781" t="str">
        <f>'Base de datos Rutas'!B256</f>
        <v>Aguascalientes</v>
      </c>
      <c r="C258" s="781" t="str">
        <f>'Base de datos Rutas'!C256</f>
        <v>Planta Aguascalientes</v>
      </c>
      <c r="D258" s="782">
        <f>IF(ISNUMBER('Base de datos Rutas'!D256),'Base de datos Rutas'!D256,"Sin código")</f>
        <v>901404</v>
      </c>
      <c r="E258" s="783" t="str">
        <f>'Base de datos Rutas'!F256</f>
        <v>Activa</v>
      </c>
      <c r="F258" s="784" t="str">
        <f>'Base de datos Rutas'!H256</f>
        <v>Sí</v>
      </c>
      <c r="G258" s="785">
        <f>IF(ISNUMBER('Base de datos Rutas'!BE256),'Base de datos Rutas'!BE256,"")</f>
        <v>60.117782909930703</v>
      </c>
      <c r="H258" s="786">
        <f>IF(ISNUMBER('Base de datos Rutas'!BH256),'Base de datos Rutas'!BH256,"")</f>
        <v>0.427298221351466</v>
      </c>
      <c r="I258" s="788">
        <f>IFERROR(IF(OR(NOT(ISNUMBER('Base de datos Rutas'!O256)),N('Base de datos Rutas'!BK256)=0),"",'Base de datos Rutas'!O256/('Base de datos Rutas'!L256/'Base de datos Rutas'!BK256)),"")</f>
        <v>1900.006928406468</v>
      </c>
      <c r="J258" s="788">
        <f>IFERROR(IF(OR(NOT(ISNUMBER('Base de datos Rutas'!N256)),N('Base de datos Rutas'!BK256)=0),"",'Base de datos Rutas'!N256/('Base de datos Rutas'!L256/'Base de datos Rutas'!BK256)),"")</f>
        <v>6188.8406466512752</v>
      </c>
      <c r="K258" s="788">
        <f>IFERROR(IF(OR(NOT(ISNUMBER('Base de datos Rutas'!J256)),N('Base de datos Rutas'!BK256)=0),"",'Base de datos Rutas'!J256/('Base de datos Rutas'!L256/'Base de datos Rutas'!BK256)),"")</f>
        <v>409.98132840646679</v>
      </c>
      <c r="L258" s="788">
        <f>IFERROR(IF(OR(NOT(ISNUMBER('Base de datos Rutas'!K256)),N('Base de datos Rutas'!BK256)=0),"",'Base de datos Rutas'!K256/('Base de datos Rutas'!L256/'Base de datos Rutas'!BK256)),"")</f>
        <v>14.68306117782911</v>
      </c>
      <c r="M258" s="787">
        <f>IF(ISNUMBER('Base de datos Rutas'!AX256),'Base de datos Rutas'!AX256,"")</f>
        <v>305.36579969432699</v>
      </c>
      <c r="N258" s="790">
        <f>IFERROR(INDEX('Hoja de apoyo v2'!B$17:B$20,MATCH($A258,'Hoja de apoyo v2'!$A$17:$A$20,0)),"")</f>
        <v>89.41621024641401</v>
      </c>
      <c r="O258" s="791">
        <f>IFERROR(INDEX('Hoja de apoyo v2'!C$17:C$20,MATCH($A258,'Hoja de apoyo v2'!$A$17:$A$20,0)),"")</f>
        <v>0.54706375874806301</v>
      </c>
      <c r="P258" s="793">
        <f>IFERROR(INDEX('Hoja de apoyo v2'!D$17:D$20,MATCH($A258,'Hoja de apoyo v2'!$A$17:$A$20,0)),"")</f>
        <v>11095.153935793827</v>
      </c>
      <c r="Q258" s="793">
        <f>IFERROR(INDEX('Hoja de apoyo v2'!E$17:E$20,MATCH($A258,'Hoja de apoyo v2'!$A$17:$A$20,0)),"")</f>
        <v>6982.3202019701848</v>
      </c>
      <c r="R258" s="793">
        <f>IFERROR(INDEX('Hoja de apoyo v2'!F$17:F$20,MATCH($A258,'Hoja de apoyo v2'!$A$17:$A$20,0)),"")</f>
        <v>448.09513474485743</v>
      </c>
      <c r="S258" s="793">
        <f>IFERROR(INDEX('Hoja de apoyo v2'!G$17:G$20,MATCH($A258,'Hoja de apoyo v2'!$A$17:$A$20,0)),"")</f>
        <v>83.406300904207839</v>
      </c>
      <c r="T258" s="792">
        <f>IFERROR(INDEX('Hoja de apoyo v2'!H$17:H$20,MATCH($A258,'Hoja de apoyo v2'!$A$17:$A$20,0)),"")</f>
        <v>378.97014028925349</v>
      </c>
      <c r="U258" s="794">
        <f t="shared" si="112"/>
        <v>0.67233651196195376</v>
      </c>
      <c r="V258" s="795">
        <f t="shared" si="113"/>
        <v>0.78107572384126411</v>
      </c>
      <c r="W258" s="795">
        <f t="shared" si="114"/>
        <v>0.17124655857877719</v>
      </c>
      <c r="X258" s="843">
        <f t="shared" si="115"/>
        <v>0.88635875577648027</v>
      </c>
      <c r="Y258" s="843">
        <f t="shared" si="116"/>
        <v>0.91494260173100872</v>
      </c>
      <c r="Z258" s="843">
        <f t="shared" si="117"/>
        <v>0.17604258933258063</v>
      </c>
      <c r="AA258" s="843">
        <f t="shared" si="118"/>
        <v>0.80577799470230793</v>
      </c>
      <c r="AB258" s="796">
        <f t="shared" si="119"/>
        <v>2</v>
      </c>
      <c r="AC258" s="797">
        <f t="shared" si="120"/>
        <v>3</v>
      </c>
      <c r="AD258" s="797">
        <f t="shared" si="121"/>
        <v>1</v>
      </c>
      <c r="AE258" s="842">
        <f t="shared" si="122"/>
        <v>3</v>
      </c>
      <c r="AF258" s="842">
        <f t="shared" si="123"/>
        <v>3</v>
      </c>
      <c r="AG258" s="842">
        <f t="shared" si="124"/>
        <v>1</v>
      </c>
      <c r="AH258" s="842">
        <f t="shared" si="125"/>
        <v>3</v>
      </c>
      <c r="AI258" s="826" cm="1">
        <f t="array" ref="AI258">SUMPRODUCT(--ISNUMBER($U258:$AA258),$AB$3:$AH$3)</f>
        <v>1</v>
      </c>
      <c r="AJ258" s="829">
        <f t="shared" si="126"/>
        <v>26.459887347087808</v>
      </c>
      <c r="AK258" s="827" t="str">
        <f t="shared" si="127"/>
        <v>Inmadura</v>
      </c>
      <c r="AL258" s="784" t="str">
        <f t="shared" si="128"/>
        <v>Alta</v>
      </c>
      <c r="AM258" s="799">
        <f>IF(ISNUMBER('Base de datos Rutas'!W256),'Base de datos Rutas'!W256,"")</f>
        <v>2854.7551675604168</v>
      </c>
      <c r="AN258" s="787">
        <f>IFERROR(SUMIFS('Base de datos Rutas'!$W$6:$W$794,'Base de datos Rutas'!$C$6:$C$794,$C258)/'Base de datos Rutas'!I256,"")</f>
        <v>2854.7551675604172</v>
      </c>
      <c r="AO258" s="800">
        <f>IFERROR('Base de datos Rutas'!X256*AN258/AM258,"")</f>
        <v>0.39497815263374952</v>
      </c>
      <c r="AP258" s="800">
        <f t="shared" si="129"/>
        <v>0.60502184736625053</v>
      </c>
      <c r="AQ258" s="789">
        <f>IFERROR(INDEX('Hoja de apoyo v2'!$J$17:$J$20,MATCH($A258,'Hoja de apoyo v2'!$A$17:$A$20,0)),"")</f>
        <v>0.64320274048480885</v>
      </c>
      <c r="AR258" s="789">
        <f t="shared" si="130"/>
        <v>-3.8180893118558323E-2</v>
      </c>
      <c r="AS258" s="784" t="str">
        <f t="shared" si="131"/>
        <v>No</v>
      </c>
      <c r="AT258" s="801">
        <f>IF(ISNUMBER('Base de datos Rutas'!CK256),'Base de datos Rutas'!CK256,"")</f>
        <v>265</v>
      </c>
      <c r="AU258" s="802">
        <f>IF(ISNUMBER('Base de datos Rutas'!CL256),'Base de datos Rutas'!CL256,"")</f>
        <v>322.31</v>
      </c>
      <c r="AV258" s="802">
        <f>IF(ISNUMBER('Base de datos Rutas'!CM256),'Base de datos Rutas'!CM256,"")</f>
        <v>57.31</v>
      </c>
      <c r="AW258" s="802">
        <f>IF(ISNUMBER('Base de datos Rutas'!CN256),'Base de datos Rutas'!CN256,"")</f>
        <v>7.72</v>
      </c>
      <c r="AX258" s="802">
        <f>IF(ISNUMBER('Base de datos Rutas'!CO256),'Base de datos Rutas'!CO256,"")</f>
        <v>9.4499999999999993</v>
      </c>
      <c r="AY258" s="802">
        <f>IF(ISNUMBER('Base de datos Rutas'!CP256),'Base de datos Rutas'!CP256,"")</f>
        <v>1.7299999999999995</v>
      </c>
      <c r="AZ258" s="802">
        <f>IF(ISNUMBER('Base de datos Rutas'!CQ256),'Base de datos Rutas'!CQ256,"")</f>
        <v>846.56</v>
      </c>
      <c r="BA258" s="802">
        <f>IF(ISNUMBER('Base de datos Rutas'!CR256),'Base de datos Rutas'!CR256,"")</f>
        <v>424.66</v>
      </c>
      <c r="BB258" s="803">
        <f>IF(ISNUMBER('Base de datos Rutas'!CS256),'Base de datos Rutas'!CS256,"")</f>
        <v>421.89999999999992</v>
      </c>
      <c r="BC258" s="804">
        <f t="shared" si="141"/>
        <v>0</v>
      </c>
      <c r="BD258" s="805" t="str">
        <f t="shared" si="142"/>
        <v>No saturada</v>
      </c>
      <c r="BE258" s="806">
        <f t="shared" si="143"/>
        <v>0.50163012663012674</v>
      </c>
      <c r="BF258" s="890">
        <f>IF(ISNUMBER('Base de datos Rutas'!CX256),'Base de datos Rutas'!CX256/100,"")</f>
        <v>0.21172418300653598</v>
      </c>
      <c r="BG258" s="891">
        <f>IF(ISNUMBER('Base de datos Rutas'!CZ256),'Base de datos Rutas'!CZ256/100,"")</f>
        <v>0.2192156862745098</v>
      </c>
      <c r="BH258" s="892">
        <f>IF(ISNUMBER('Base de datos Rutas'!DA256),'Base de datos Rutas'!DA256,"")</f>
        <v>99.738118747007704</v>
      </c>
      <c r="BI258" s="893">
        <f>IF(ISNUMBER('Base de datos Rutas'!DC256),'Base de datos Rutas'!DC256,"")</f>
        <v>4.0058061762145289</v>
      </c>
      <c r="BJ258" s="805" t="str">
        <f t="shared" si="144"/>
        <v>Ruta (completo)</v>
      </c>
      <c r="BK258" s="783">
        <f t="shared" si="132"/>
        <v>2</v>
      </c>
      <c r="BL258" s="797">
        <f t="shared" si="133"/>
        <v>2</v>
      </c>
      <c r="BM258" s="797">
        <f t="shared" si="134"/>
        <v>2</v>
      </c>
      <c r="BN258" s="797">
        <f t="shared" si="135"/>
        <v>1</v>
      </c>
      <c r="BO258" s="798" cm="1">
        <f t="array" ref="BO258">SUMPRODUCT(--ISNUMBER($BF258:$BI258),$BK$3:$BN$3)</f>
        <v>1</v>
      </c>
      <c r="BP258" s="831">
        <f t="shared" si="145"/>
        <v>18.75</v>
      </c>
      <c r="BQ258" s="834" t="str">
        <f t="shared" si="146"/>
        <v>Bajo</v>
      </c>
      <c r="BR258" s="836">
        <f t="shared" si="136"/>
        <v>19.844915510315857</v>
      </c>
      <c r="BS258" s="836">
        <f t="shared" si="137"/>
        <v>18.75</v>
      </c>
      <c r="BT258" s="837" t="str">
        <f t="shared" si="138"/>
        <v>P4</v>
      </c>
      <c r="BU258" s="807" t="str">
        <f t="shared" si="147"/>
        <v>Con espacio</v>
      </c>
      <c r="BV258" s="807" t="str">
        <f t="shared" si="139"/>
        <v>Zona de bajo potencial</v>
      </c>
      <c r="BW258" s="808" t="str">
        <f t="shared" si="140"/>
        <v>P4 - Evaluar</v>
      </c>
    </row>
    <row r="259" spans="1:75">
      <c r="A259" s="780" t="str">
        <f>'Base de datos Rutas'!A257</f>
        <v>Occidente</v>
      </c>
      <c r="B259" s="781" t="str">
        <f>'Base de datos Rutas'!B257</f>
        <v>Aguascalientes</v>
      </c>
      <c r="C259" s="781" t="str">
        <f>'Base de datos Rutas'!C257</f>
        <v>Planta Aguascalientes</v>
      </c>
      <c r="D259" s="782">
        <f>IF(ISNUMBER('Base de datos Rutas'!D257),'Base de datos Rutas'!D257,"Sin código")</f>
        <v>901405</v>
      </c>
      <c r="E259" s="783" t="str">
        <f>'Base de datos Rutas'!F257</f>
        <v>Activa</v>
      </c>
      <c r="F259" s="784" t="str">
        <f>'Base de datos Rutas'!H257</f>
        <v>Sí</v>
      </c>
      <c r="G259" s="785">
        <f>IF(ISNUMBER('Base de datos Rutas'!BE257),'Base de datos Rutas'!BE257,"")</f>
        <v>50.034188034187999</v>
      </c>
      <c r="H259" s="786">
        <f>IF(ISNUMBER('Base de datos Rutas'!BH257),'Base de datos Rutas'!BH257,"")</f>
        <v>0.20476027787268</v>
      </c>
      <c r="I259" s="788">
        <f>IFERROR(IF(OR(NOT(ISNUMBER('Base de datos Rutas'!O257)),N('Base de datos Rutas'!BK257)=0),"",'Base de datos Rutas'!O257/('Base de datos Rutas'!L257/'Base de datos Rutas'!BK257)),"")</f>
        <v>975.92328767123047</v>
      </c>
      <c r="J259" s="788">
        <f>IFERROR(IF(OR(NOT(ISNUMBER('Base de datos Rutas'!N257)),N('Base de datos Rutas'!BK257)=0),"",'Base de datos Rutas'!N257/('Base de datos Rutas'!L257/'Base de datos Rutas'!BK257)),"")</f>
        <v>2581.5506849315002</v>
      </c>
      <c r="K259" s="788">
        <f>IFERROR(IF(OR(NOT(ISNUMBER('Base de datos Rutas'!J257)),N('Base de datos Rutas'!BK257)=0),"",'Base de datos Rutas'!J257/('Base de datos Rutas'!L257/'Base de datos Rutas'!BK257)),"")</f>
        <v>184.93082520547898</v>
      </c>
      <c r="L259" s="788">
        <f>IFERROR(IF(OR(NOT(ISNUMBER('Base de datos Rutas'!K257)),N('Base de datos Rutas'!BK257)=0),"",'Base de datos Rutas'!K257/('Base de datos Rutas'!L257/'Base de datos Rutas'!BK257)),"")</f>
        <v>9.4108077397260033</v>
      </c>
      <c r="M259" s="787">
        <f>IF(ISNUMBER('Base de datos Rutas'!AX257),'Base de datos Rutas'!AX257,"")</f>
        <v>368.442908301682</v>
      </c>
      <c r="N259" s="790">
        <f>IFERROR(INDEX('Hoja de apoyo v2'!B$17:B$20,MATCH($A259,'Hoja de apoyo v2'!$A$17:$A$20,0)),"")</f>
        <v>89.41621024641401</v>
      </c>
      <c r="O259" s="791">
        <f>IFERROR(INDEX('Hoja de apoyo v2'!C$17:C$20,MATCH($A259,'Hoja de apoyo v2'!$A$17:$A$20,0)),"")</f>
        <v>0.54706375874806301</v>
      </c>
      <c r="P259" s="793">
        <f>IFERROR(INDEX('Hoja de apoyo v2'!D$17:D$20,MATCH($A259,'Hoja de apoyo v2'!$A$17:$A$20,0)),"")</f>
        <v>11095.153935793827</v>
      </c>
      <c r="Q259" s="793">
        <f>IFERROR(INDEX('Hoja de apoyo v2'!E$17:E$20,MATCH($A259,'Hoja de apoyo v2'!$A$17:$A$20,0)),"")</f>
        <v>6982.3202019701848</v>
      </c>
      <c r="R259" s="793">
        <f>IFERROR(INDEX('Hoja de apoyo v2'!F$17:F$20,MATCH($A259,'Hoja de apoyo v2'!$A$17:$A$20,0)),"")</f>
        <v>448.09513474485743</v>
      </c>
      <c r="S259" s="793">
        <f>IFERROR(INDEX('Hoja de apoyo v2'!G$17:G$20,MATCH($A259,'Hoja de apoyo v2'!$A$17:$A$20,0)),"")</f>
        <v>83.406300904207839</v>
      </c>
      <c r="T259" s="792">
        <f>IFERROR(INDEX('Hoja de apoyo v2'!H$17:H$20,MATCH($A259,'Hoja de apoyo v2'!$A$17:$A$20,0)),"")</f>
        <v>378.97014028925349</v>
      </c>
      <c r="U259" s="794">
        <f t="shared" si="112"/>
        <v>0.55956507098996178</v>
      </c>
      <c r="V259" s="795">
        <f t="shared" si="113"/>
        <v>0.3742896044535412</v>
      </c>
      <c r="W259" s="795">
        <f t="shared" si="114"/>
        <v>8.7959418437884518E-2</v>
      </c>
      <c r="X259" s="843">
        <f t="shared" si="115"/>
        <v>0.3697267685035513</v>
      </c>
      <c r="Y259" s="843">
        <f t="shared" si="116"/>
        <v>0.41270438098101075</v>
      </c>
      <c r="Z259" s="843">
        <f t="shared" si="117"/>
        <v>0.1128308969190987</v>
      </c>
      <c r="AA259" s="843">
        <f t="shared" si="118"/>
        <v>0.97222147375638501</v>
      </c>
      <c r="AB259" s="796">
        <f t="shared" si="119"/>
        <v>2</v>
      </c>
      <c r="AC259" s="797">
        <f t="shared" si="120"/>
        <v>1</v>
      </c>
      <c r="AD259" s="797">
        <f t="shared" si="121"/>
        <v>1</v>
      </c>
      <c r="AE259" s="842">
        <f t="shared" si="122"/>
        <v>1</v>
      </c>
      <c r="AF259" s="842">
        <f t="shared" si="123"/>
        <v>1</v>
      </c>
      <c r="AG259" s="842">
        <f t="shared" si="124"/>
        <v>1</v>
      </c>
      <c r="AH259" s="842">
        <f t="shared" si="125"/>
        <v>3</v>
      </c>
      <c r="AI259" s="826" cm="1">
        <f t="array" ref="AI259">SUMPRODUCT(--ISNUMBER($U259:$AA259),$AB$3:$AH$3)</f>
        <v>1</v>
      </c>
      <c r="AJ259" s="829">
        <f t="shared" si="126"/>
        <v>9.0230918587898827</v>
      </c>
      <c r="AK259" s="827" t="str">
        <f t="shared" si="127"/>
        <v>Inmadura</v>
      </c>
      <c r="AL259" s="784" t="str">
        <f t="shared" si="128"/>
        <v>Alta</v>
      </c>
      <c r="AM259" s="799">
        <f>IF(ISNUMBER('Base de datos Rutas'!W257),'Base de datos Rutas'!W257,"")</f>
        <v>2854.7551675604168</v>
      </c>
      <c r="AN259" s="787">
        <f>IFERROR(SUMIFS('Base de datos Rutas'!$W$6:$W$794,'Base de datos Rutas'!$C$6:$C$794,$C259)/'Base de datos Rutas'!I257,"")</f>
        <v>2854.7551675604172</v>
      </c>
      <c r="AO259" s="800">
        <f>IFERROR('Base de datos Rutas'!X257*AN259/AM259,"")</f>
        <v>0.39497815263374952</v>
      </c>
      <c r="AP259" s="800">
        <f t="shared" si="129"/>
        <v>0.60502184736625053</v>
      </c>
      <c r="AQ259" s="789">
        <f>IFERROR(INDEX('Hoja de apoyo v2'!$J$17:$J$20,MATCH($A259,'Hoja de apoyo v2'!$A$17:$A$20,0)),"")</f>
        <v>0.64320274048480885</v>
      </c>
      <c r="AR259" s="789">
        <f t="shared" si="130"/>
        <v>-3.8180893118558323E-2</v>
      </c>
      <c r="AS259" s="784" t="str">
        <f t="shared" si="131"/>
        <v>No</v>
      </c>
      <c r="AT259" s="801">
        <f>IF(ISNUMBER('Base de datos Rutas'!CK257),'Base de datos Rutas'!CK257,"")</f>
        <v>207</v>
      </c>
      <c r="AU259" s="802">
        <f>IF(ISNUMBER('Base de datos Rutas'!CL257),'Base de datos Rutas'!CL257,"")</f>
        <v>291.06</v>
      </c>
      <c r="AV259" s="802">
        <f>IF(ISNUMBER('Base de datos Rutas'!CM257),'Base de datos Rutas'!CM257,"")</f>
        <v>84.06</v>
      </c>
      <c r="AW259" s="802">
        <f>IF(ISNUMBER('Base de datos Rutas'!CN257),'Base de datos Rutas'!CN257,"")</f>
        <v>2.44</v>
      </c>
      <c r="AX259" s="802">
        <f>IF(ISNUMBER('Base de datos Rutas'!CO257),'Base de datos Rutas'!CO257,"")</f>
        <v>9.4499999999999993</v>
      </c>
      <c r="AY259" s="802">
        <f>IF(ISNUMBER('Base de datos Rutas'!CP257),'Base de datos Rutas'!CP257,"")</f>
        <v>7.01</v>
      </c>
      <c r="AZ259" s="802">
        <f>IF(ISNUMBER('Base de datos Rutas'!CQ257),'Base de datos Rutas'!CQ257,"")</f>
        <v>564.37</v>
      </c>
      <c r="BA259" s="802">
        <f>IF(ISNUMBER('Base de datos Rutas'!CR257),'Base de datos Rutas'!CR257,"")</f>
        <v>194.34</v>
      </c>
      <c r="BB259" s="803">
        <f>IF(ISNUMBER('Base de datos Rutas'!CS257),'Base de datos Rutas'!CS257,"")</f>
        <v>370.03</v>
      </c>
      <c r="BC259" s="804">
        <f t="shared" si="141"/>
        <v>0</v>
      </c>
      <c r="BD259" s="805" t="str">
        <f t="shared" si="142"/>
        <v>No saturada</v>
      </c>
      <c r="BE259" s="806">
        <f t="shared" si="143"/>
        <v>0.34434856565728156</v>
      </c>
      <c r="BF259" s="890">
        <f>IF(ISNUMBER('Base de datos Rutas'!CX257),'Base de datos Rutas'!CX257/100,"")</f>
        <v>-1.6892414073622127E-2</v>
      </c>
      <c r="BG259" s="891">
        <f>IF(ISNUMBER('Base de datos Rutas'!CZ257),'Base de datos Rutas'!CZ257/100,"")</f>
        <v>2.0337604230221681E-4</v>
      </c>
      <c r="BH259" s="892">
        <f>IF(ISNUMBER('Base de datos Rutas'!DA257),'Base de datos Rutas'!DA257,"")</f>
        <v>146.6161753708214</v>
      </c>
      <c r="BI259" s="893">
        <f>IF(ISNUMBER('Base de datos Rutas'!DC257),'Base de datos Rutas'!DC257,"")</f>
        <v>8.3407117691049493</v>
      </c>
      <c r="BJ259" s="805" t="str">
        <f t="shared" si="144"/>
        <v>Ruta (completo)</v>
      </c>
      <c r="BK259" s="783">
        <f t="shared" si="132"/>
        <v>1</v>
      </c>
      <c r="BL259" s="797">
        <f t="shared" si="133"/>
        <v>1</v>
      </c>
      <c r="BM259" s="797">
        <f t="shared" si="134"/>
        <v>2</v>
      </c>
      <c r="BN259" s="797">
        <f t="shared" si="135"/>
        <v>3</v>
      </c>
      <c r="BO259" s="798" cm="1">
        <f t="array" ref="BO259">SUMPRODUCT(--ISNUMBER($BF259:$BI259),$BK$3:$BN$3)</f>
        <v>1</v>
      </c>
      <c r="BP259" s="831">
        <f t="shared" si="145"/>
        <v>18.75</v>
      </c>
      <c r="BQ259" s="834" t="str">
        <f t="shared" si="146"/>
        <v>Bajo</v>
      </c>
      <c r="BR259" s="836">
        <f t="shared" si="136"/>
        <v>6.7673188940924121</v>
      </c>
      <c r="BS259" s="836">
        <f t="shared" si="137"/>
        <v>18.75</v>
      </c>
      <c r="BT259" s="837" t="str">
        <f t="shared" si="138"/>
        <v>P4</v>
      </c>
      <c r="BU259" s="807" t="str">
        <f t="shared" si="147"/>
        <v>Con espacio</v>
      </c>
      <c r="BV259" s="807" t="str">
        <f t="shared" si="139"/>
        <v>Zona de bajo potencial</v>
      </c>
      <c r="BW259" s="808" t="str">
        <f t="shared" si="140"/>
        <v>P4 - Evaluar</v>
      </c>
    </row>
    <row r="260" spans="1:75">
      <c r="A260" s="780" t="str">
        <f>'Base de datos Rutas'!A258</f>
        <v>Occidente</v>
      </c>
      <c r="B260" s="781" t="str">
        <f>'Base de datos Rutas'!B258</f>
        <v>Aguascalientes</v>
      </c>
      <c r="C260" s="781" t="str">
        <f>'Base de datos Rutas'!C258</f>
        <v>Planta Aguascalientes</v>
      </c>
      <c r="D260" s="782">
        <f>IF(ISNUMBER('Base de datos Rutas'!D258),'Base de datos Rutas'!D258,"Sin código")</f>
        <v>901406</v>
      </c>
      <c r="E260" s="783" t="str">
        <f>'Base de datos Rutas'!F258</f>
        <v>Activa</v>
      </c>
      <c r="F260" s="784" t="str">
        <f>'Base de datos Rutas'!H258</f>
        <v>Sí</v>
      </c>
      <c r="G260" s="785">
        <f>IF(ISNUMBER('Base de datos Rutas'!BE258),'Base de datos Rutas'!BE258,"")</f>
        <v>83.440639269406404</v>
      </c>
      <c r="H260" s="786">
        <f>IF(ISNUMBER('Base de datos Rutas'!BH258),'Base de datos Rutas'!BH258,"")</f>
        <v>0.44457821435411898</v>
      </c>
      <c r="I260" s="788">
        <f>IFERROR(IF(OR(NOT(ISNUMBER('Base de datos Rutas'!O258)),N('Base de datos Rutas'!BK258)=0),"",'Base de datos Rutas'!O258/('Base de datos Rutas'!L258/'Base de datos Rutas'!BK258)),"")</f>
        <v>3394.3767123287653</v>
      </c>
      <c r="J260" s="788">
        <f>IFERROR(IF(OR(NOT(ISNUMBER('Base de datos Rutas'!N258)),N('Base de datos Rutas'!BK258)=0),"",'Base de datos Rutas'!N258/('Base de datos Rutas'!L258/'Base de datos Rutas'!BK258)),"")</f>
        <v>11206.146118721455</v>
      </c>
      <c r="K260" s="788">
        <f>IFERROR(IF(OR(NOT(ISNUMBER('Base de datos Rutas'!J258)),N('Base de datos Rutas'!BK258)=0),"",'Base de datos Rutas'!J258/('Base de datos Rutas'!L258/'Base de datos Rutas'!BK258)),"")</f>
        <v>746.70858995433753</v>
      </c>
      <c r="L260" s="788">
        <f>IFERROR(IF(OR(NOT(ISNUMBER('Base de datos Rutas'!K258)),N('Base de datos Rutas'!BK258)=0),"",'Base de datos Rutas'!K258/('Base de datos Rutas'!L258/'Base de datos Rutas'!BK258)),"")</f>
        <v>27.958395248858434</v>
      </c>
      <c r="M260" s="787">
        <f>IF(ISNUMBER('Base de datos Rutas'!AX258),'Base de datos Rutas'!AX258,"")</f>
        <v>392.537841580502</v>
      </c>
      <c r="N260" s="790">
        <f>IFERROR(INDEX('Hoja de apoyo v2'!B$17:B$20,MATCH($A260,'Hoja de apoyo v2'!$A$17:$A$20,0)),"")</f>
        <v>89.41621024641401</v>
      </c>
      <c r="O260" s="791">
        <f>IFERROR(INDEX('Hoja de apoyo v2'!C$17:C$20,MATCH($A260,'Hoja de apoyo v2'!$A$17:$A$20,0)),"")</f>
        <v>0.54706375874806301</v>
      </c>
      <c r="P260" s="793">
        <f>IFERROR(INDEX('Hoja de apoyo v2'!D$17:D$20,MATCH($A260,'Hoja de apoyo v2'!$A$17:$A$20,0)),"")</f>
        <v>11095.153935793827</v>
      </c>
      <c r="Q260" s="793">
        <f>IFERROR(INDEX('Hoja de apoyo v2'!E$17:E$20,MATCH($A260,'Hoja de apoyo v2'!$A$17:$A$20,0)),"")</f>
        <v>6982.3202019701848</v>
      </c>
      <c r="R260" s="793">
        <f>IFERROR(INDEX('Hoja de apoyo v2'!F$17:F$20,MATCH($A260,'Hoja de apoyo v2'!$A$17:$A$20,0)),"")</f>
        <v>448.09513474485743</v>
      </c>
      <c r="S260" s="793">
        <f>IFERROR(INDEX('Hoja de apoyo v2'!G$17:G$20,MATCH($A260,'Hoja de apoyo v2'!$A$17:$A$20,0)),"")</f>
        <v>83.406300904207839</v>
      </c>
      <c r="T260" s="792">
        <f>IFERROR(INDEX('Hoja de apoyo v2'!H$17:H$20,MATCH($A260,'Hoja de apoyo v2'!$A$17:$A$20,0)),"")</f>
        <v>378.97014028925349</v>
      </c>
      <c r="U260" s="794">
        <f t="shared" si="112"/>
        <v>0.9331712788929426</v>
      </c>
      <c r="V260" s="795">
        <f t="shared" si="113"/>
        <v>0.81266252286848839</v>
      </c>
      <c r="W260" s="795">
        <f t="shared" si="114"/>
        <v>0.30593326888221378</v>
      </c>
      <c r="X260" s="843">
        <f t="shared" si="115"/>
        <v>1.604931569245341</v>
      </c>
      <c r="Y260" s="843">
        <f t="shared" si="116"/>
        <v>1.6664063768054718</v>
      </c>
      <c r="Z260" s="843">
        <f t="shared" si="117"/>
        <v>0.33520723189688822</v>
      </c>
      <c r="AA260" s="843">
        <f t="shared" si="118"/>
        <v>1.0358015047858198</v>
      </c>
      <c r="AB260" s="796">
        <f t="shared" si="119"/>
        <v>3</v>
      </c>
      <c r="AC260" s="797">
        <f t="shared" si="120"/>
        <v>3</v>
      </c>
      <c r="AD260" s="797">
        <f t="shared" si="121"/>
        <v>1</v>
      </c>
      <c r="AE260" s="842">
        <f t="shared" si="122"/>
        <v>5</v>
      </c>
      <c r="AF260" s="842">
        <f t="shared" si="123"/>
        <v>5</v>
      </c>
      <c r="AG260" s="842">
        <f t="shared" si="124"/>
        <v>1</v>
      </c>
      <c r="AH260" s="842">
        <f t="shared" si="125"/>
        <v>4</v>
      </c>
      <c r="AI260" s="826" cm="1">
        <f t="array" ref="AI260">SUMPRODUCT(--ISNUMBER($U260:$AA260),$AB$3:$AH$3)</f>
        <v>1</v>
      </c>
      <c r="AJ260" s="829">
        <f t="shared" si="126"/>
        <v>45.909235682068093</v>
      </c>
      <c r="AK260" s="827" t="str">
        <f t="shared" si="127"/>
        <v>En desarrollo</v>
      </c>
      <c r="AL260" s="784" t="str">
        <f t="shared" si="128"/>
        <v>Alta</v>
      </c>
      <c r="AM260" s="799">
        <f>IF(ISNUMBER('Base de datos Rutas'!W258),'Base de datos Rutas'!W258,"")</f>
        <v>2854.7551675604168</v>
      </c>
      <c r="AN260" s="787">
        <f>IFERROR(SUMIFS('Base de datos Rutas'!$W$6:$W$794,'Base de datos Rutas'!$C$6:$C$794,$C260)/'Base de datos Rutas'!I258,"")</f>
        <v>2854.7551675604172</v>
      </c>
      <c r="AO260" s="800">
        <f>IFERROR('Base de datos Rutas'!X258*AN260/AM260,"")</f>
        <v>0.39497815263374952</v>
      </c>
      <c r="AP260" s="800">
        <f t="shared" si="129"/>
        <v>0.60502184736625053</v>
      </c>
      <c r="AQ260" s="789">
        <f>IFERROR(INDEX('Hoja de apoyo v2'!$J$17:$J$20,MATCH($A260,'Hoja de apoyo v2'!$A$17:$A$20,0)),"")</f>
        <v>0.64320274048480885</v>
      </c>
      <c r="AR260" s="789">
        <f t="shared" si="130"/>
        <v>-3.8180893118558323E-2</v>
      </c>
      <c r="AS260" s="784" t="str">
        <f t="shared" si="131"/>
        <v>No</v>
      </c>
      <c r="AT260" s="801">
        <f>IF(ISNUMBER('Base de datos Rutas'!CK258),'Base de datos Rutas'!CK258,"")</f>
        <v>276</v>
      </c>
      <c r="AU260" s="802">
        <f>IF(ISNUMBER('Base de datos Rutas'!CL258),'Base de datos Rutas'!CL258,"")</f>
        <v>399.19</v>
      </c>
      <c r="AV260" s="802">
        <f>IF(ISNUMBER('Base de datos Rutas'!CM258),'Base de datos Rutas'!CM258,"")</f>
        <v>123.19</v>
      </c>
      <c r="AW260" s="802">
        <f>IF(ISNUMBER('Base de datos Rutas'!CN258),'Base de datos Rutas'!CN258,"")</f>
        <v>7.95</v>
      </c>
      <c r="AX260" s="802">
        <f>IF(ISNUMBER('Base de datos Rutas'!CO258),'Base de datos Rutas'!CO258,"")</f>
        <v>9.4499999999999993</v>
      </c>
      <c r="AY260" s="802">
        <f>IF(ISNUMBER('Base de datos Rutas'!CP258),'Base de datos Rutas'!CP258,"")</f>
        <v>1.4999999999999991</v>
      </c>
      <c r="AZ260" s="802">
        <f>IF(ISNUMBER('Base de datos Rutas'!CQ258),'Base de datos Rutas'!CQ258,"")</f>
        <v>846.56</v>
      </c>
      <c r="BA260" s="802">
        <f>IF(ISNUMBER('Base de datos Rutas'!CR258),'Base de datos Rutas'!CR258,"")</f>
        <v>774.67</v>
      </c>
      <c r="BB260" s="803">
        <f>IF(ISNUMBER('Base de datos Rutas'!CS258),'Base de datos Rutas'!CS258,"")</f>
        <v>71.889999999999986</v>
      </c>
      <c r="BC260" s="804">
        <f t="shared" si="141"/>
        <v>0</v>
      </c>
      <c r="BD260" s="805" t="str">
        <f t="shared" si="142"/>
        <v>No saturada</v>
      </c>
      <c r="BE260" s="806">
        <f t="shared" si="143"/>
        <v>0.91507985257985258</v>
      </c>
      <c r="BF260" s="890">
        <f>IF(ISNUMBER('Base de datos Rutas'!CX258),'Base de datos Rutas'!CX258/100,"")</f>
        <v>0.74148710748021462</v>
      </c>
      <c r="BG260" s="891">
        <f>IF(ISNUMBER('Base de datos Rutas'!CZ258),'Base de datos Rutas'!CZ258/100,"")</f>
        <v>0.75721215215726323</v>
      </c>
      <c r="BH260" s="892">
        <f>IF(ISNUMBER('Base de datos Rutas'!DA258),'Base de datos Rutas'!DA258,"")</f>
        <v>148.5015828452004</v>
      </c>
      <c r="BI260" s="893">
        <f>IF(ISNUMBER('Base de datos Rutas'!DC258),'Base de datos Rutas'!DC258,"")</f>
        <v>7.6821943424751709</v>
      </c>
      <c r="BJ260" s="805" t="str">
        <f t="shared" si="144"/>
        <v>Ruta (completo)</v>
      </c>
      <c r="BK260" s="783">
        <f t="shared" si="132"/>
        <v>4</v>
      </c>
      <c r="BL260" s="797">
        <f t="shared" si="133"/>
        <v>4</v>
      </c>
      <c r="BM260" s="797">
        <f t="shared" si="134"/>
        <v>3</v>
      </c>
      <c r="BN260" s="797">
        <f t="shared" si="135"/>
        <v>3</v>
      </c>
      <c r="BO260" s="798" cm="1">
        <f t="array" ref="BO260">SUMPRODUCT(--ISNUMBER($BF260:$BI260),$BK$3:$BN$3)</f>
        <v>1</v>
      </c>
      <c r="BP260" s="831">
        <f t="shared" si="145"/>
        <v>62.5</v>
      </c>
      <c r="BQ260" s="834" t="str">
        <f t="shared" si="146"/>
        <v>Alto</v>
      </c>
      <c r="BR260" s="836">
        <f t="shared" si="136"/>
        <v>34.431926761551068</v>
      </c>
      <c r="BS260" s="836">
        <f t="shared" si="137"/>
        <v>62.5</v>
      </c>
      <c r="BT260" s="837" t="str">
        <f t="shared" si="138"/>
        <v>P1</v>
      </c>
      <c r="BU260" s="807" t="str">
        <f t="shared" si="147"/>
        <v>Con espacio</v>
      </c>
      <c r="BV260" s="807" t="str">
        <f t="shared" si="139"/>
        <v>Zona atractiva</v>
      </c>
      <c r="BW260" s="808" t="str">
        <f t="shared" si="140"/>
        <v>P1 - Ampliar cobertura</v>
      </c>
    </row>
    <row r="261" spans="1:75">
      <c r="A261" s="780" t="str">
        <f>'Base de datos Rutas'!A259</f>
        <v>Occidente</v>
      </c>
      <c r="B261" s="781" t="str">
        <f>'Base de datos Rutas'!B259</f>
        <v>Aguascalientes</v>
      </c>
      <c r="C261" s="781" t="str">
        <f>'Base de datos Rutas'!C259</f>
        <v>Planta Aguascalientes</v>
      </c>
      <c r="D261" s="782">
        <f>IF(ISNUMBER('Base de datos Rutas'!D259),'Base de datos Rutas'!D259,"Sin código")</f>
        <v>901407</v>
      </c>
      <c r="E261" s="783" t="str">
        <f>'Base de datos Rutas'!F259</f>
        <v>Activa</v>
      </c>
      <c r="F261" s="784" t="str">
        <f>'Base de datos Rutas'!H259</f>
        <v>Sí</v>
      </c>
      <c r="G261" s="785">
        <f>IF(ISNUMBER('Base de datos Rutas'!BE259),'Base de datos Rutas'!BE259,"")</f>
        <v>54.610849056603797</v>
      </c>
      <c r="H261" s="786">
        <f>IF(ISNUMBER('Base de datos Rutas'!BH259),'Base de datos Rutas'!BH259,"")</f>
        <v>0.43761606564456901</v>
      </c>
      <c r="I261" s="788">
        <f>IFERROR(IF(OR(NOT(ISNUMBER('Base de datos Rutas'!O259)),N('Base de datos Rutas'!BK259)=0),"",'Base de datos Rutas'!O259/('Base de datos Rutas'!L259/'Base de datos Rutas'!BK259)),"")</f>
        <v>1704.4697674418589</v>
      </c>
      <c r="J261" s="788">
        <f>IFERROR(IF(OR(NOT(ISNUMBER('Base de datos Rutas'!N259)),N('Base de datos Rutas'!BK259)=0),"",'Base de datos Rutas'!N259/('Base de datos Rutas'!L259/'Base de datos Rutas'!BK259)),"")</f>
        <v>6349.534883720924</v>
      </c>
      <c r="K261" s="788">
        <f>IFERROR(IF(OR(NOT(ISNUMBER('Base de datos Rutas'!J259)),N('Base de datos Rutas'!BK259)=0),"",'Base de datos Rutas'!J259/('Base de datos Rutas'!L259/'Base de datos Rutas'!BK259)),"")</f>
        <v>420.45987720930196</v>
      </c>
      <c r="L261" s="788">
        <f>IFERROR(IF(OR(NOT(ISNUMBER('Base de datos Rutas'!K259)),N('Base de datos Rutas'!BK259)=0),"",'Base de datos Rutas'!K259/('Base de datos Rutas'!L259/'Base de datos Rutas'!BK259)),"")</f>
        <v>16.182753372093007</v>
      </c>
      <c r="M261" s="787">
        <f>IF(ISNUMBER('Base de datos Rutas'!AX259),'Base de datos Rutas'!AX259,"")</f>
        <v>339.09125024650001</v>
      </c>
      <c r="N261" s="790">
        <f>IFERROR(INDEX('Hoja de apoyo v2'!B$17:B$20,MATCH($A261,'Hoja de apoyo v2'!$A$17:$A$20,0)),"")</f>
        <v>89.41621024641401</v>
      </c>
      <c r="O261" s="791">
        <f>IFERROR(INDEX('Hoja de apoyo v2'!C$17:C$20,MATCH($A261,'Hoja de apoyo v2'!$A$17:$A$20,0)),"")</f>
        <v>0.54706375874806301</v>
      </c>
      <c r="P261" s="793">
        <f>IFERROR(INDEX('Hoja de apoyo v2'!D$17:D$20,MATCH($A261,'Hoja de apoyo v2'!$A$17:$A$20,0)),"")</f>
        <v>11095.153935793827</v>
      </c>
      <c r="Q261" s="793">
        <f>IFERROR(INDEX('Hoja de apoyo v2'!E$17:E$20,MATCH($A261,'Hoja de apoyo v2'!$A$17:$A$20,0)),"")</f>
        <v>6982.3202019701848</v>
      </c>
      <c r="R261" s="793">
        <f>IFERROR(INDEX('Hoja de apoyo v2'!F$17:F$20,MATCH($A261,'Hoja de apoyo v2'!$A$17:$A$20,0)),"")</f>
        <v>448.09513474485743</v>
      </c>
      <c r="S261" s="793">
        <f>IFERROR(INDEX('Hoja de apoyo v2'!G$17:G$20,MATCH($A261,'Hoja de apoyo v2'!$A$17:$A$20,0)),"")</f>
        <v>83.406300904207839</v>
      </c>
      <c r="T261" s="792">
        <f>IFERROR(INDEX('Hoja de apoyo v2'!H$17:H$20,MATCH($A261,'Hoja de apoyo v2'!$A$17:$A$20,0)),"")</f>
        <v>378.97014028925349</v>
      </c>
      <c r="U261" s="794">
        <f t="shared" si="112"/>
        <v>0.61074886652103366</v>
      </c>
      <c r="V261" s="795">
        <f t="shared" si="113"/>
        <v>0.79993612928415991</v>
      </c>
      <c r="W261" s="795">
        <f t="shared" si="114"/>
        <v>0.15362290395477141</v>
      </c>
      <c r="X261" s="843">
        <f t="shared" si="115"/>
        <v>0.90937320261097321</v>
      </c>
      <c r="Y261" s="843">
        <f t="shared" si="116"/>
        <v>0.93832725376210391</v>
      </c>
      <c r="Z261" s="843">
        <f t="shared" si="117"/>
        <v>0.19402315168825079</v>
      </c>
      <c r="AA261" s="843">
        <f t="shared" si="118"/>
        <v>0.89477036366950857</v>
      </c>
      <c r="AB261" s="796">
        <f t="shared" si="119"/>
        <v>2</v>
      </c>
      <c r="AC261" s="797">
        <f t="shared" si="120"/>
        <v>3</v>
      </c>
      <c r="AD261" s="797">
        <f t="shared" si="121"/>
        <v>1</v>
      </c>
      <c r="AE261" s="842">
        <f t="shared" si="122"/>
        <v>3</v>
      </c>
      <c r="AF261" s="842">
        <f t="shared" si="123"/>
        <v>3</v>
      </c>
      <c r="AG261" s="842">
        <f t="shared" si="124"/>
        <v>1</v>
      </c>
      <c r="AH261" s="842">
        <f t="shared" si="125"/>
        <v>3</v>
      </c>
      <c r="AI261" s="826" cm="1">
        <f t="array" ref="AI261">SUMPRODUCT(--ISNUMBER($U261:$AA261),$AB$3:$AH$3)</f>
        <v>1</v>
      </c>
      <c r="AJ261" s="829">
        <f t="shared" si="126"/>
        <v>26.459887347087808</v>
      </c>
      <c r="AK261" s="827" t="str">
        <f t="shared" si="127"/>
        <v>Inmadura</v>
      </c>
      <c r="AL261" s="784" t="str">
        <f t="shared" si="128"/>
        <v>Alta</v>
      </c>
      <c r="AM261" s="799">
        <f>IF(ISNUMBER('Base de datos Rutas'!W259),'Base de datos Rutas'!W259,"")</f>
        <v>2854.7551675604168</v>
      </c>
      <c r="AN261" s="787">
        <f>IFERROR(SUMIFS('Base de datos Rutas'!$W$6:$W$794,'Base de datos Rutas'!$C$6:$C$794,$C261)/'Base de datos Rutas'!I259,"")</f>
        <v>2854.7551675604172</v>
      </c>
      <c r="AO261" s="800">
        <f>IFERROR('Base de datos Rutas'!X259*AN261/AM261,"")</f>
        <v>0.39497815263374952</v>
      </c>
      <c r="AP261" s="800">
        <f t="shared" si="129"/>
        <v>0.60502184736625053</v>
      </c>
      <c r="AQ261" s="789">
        <f>IFERROR(INDEX('Hoja de apoyo v2'!$J$17:$J$20,MATCH($A261,'Hoja de apoyo v2'!$A$17:$A$20,0)),"")</f>
        <v>0.64320274048480885</v>
      </c>
      <c r="AR261" s="789">
        <f t="shared" si="130"/>
        <v>-3.8180893118558323E-2</v>
      </c>
      <c r="AS261" s="784" t="str">
        <f t="shared" si="131"/>
        <v>No</v>
      </c>
      <c r="AT261" s="801">
        <f>IF(ISNUMBER('Base de datos Rutas'!CK259),'Base de datos Rutas'!CK259,"")</f>
        <v>259</v>
      </c>
      <c r="AU261" s="802">
        <f>IF(ISNUMBER('Base de datos Rutas'!CL259),'Base de datos Rutas'!CL259,"")</f>
        <v>327.64</v>
      </c>
      <c r="AV261" s="802">
        <f>IF(ISNUMBER('Base de datos Rutas'!CM259),'Base de datos Rutas'!CM259,"")</f>
        <v>68.639999999999986</v>
      </c>
      <c r="AW261" s="802">
        <f>IF(ISNUMBER('Base de datos Rutas'!CN259),'Base de datos Rutas'!CN259,"")</f>
        <v>8.44</v>
      </c>
      <c r="AX261" s="802">
        <f>IF(ISNUMBER('Base de datos Rutas'!CO259),'Base de datos Rutas'!CO259,"")</f>
        <v>9.4499999999999993</v>
      </c>
      <c r="AY261" s="802">
        <f>IF(ISNUMBER('Base de datos Rutas'!CP259),'Base de datos Rutas'!CP259,"")</f>
        <v>1.0099999999999998</v>
      </c>
      <c r="AZ261" s="802">
        <f>IF(ISNUMBER('Base de datos Rutas'!CQ259),'Base de datos Rutas'!CQ259,"")</f>
        <v>846.56</v>
      </c>
      <c r="BA261" s="802">
        <f>IF(ISNUMBER('Base de datos Rutas'!CR259),'Base de datos Rutas'!CR259,"")</f>
        <v>436.64</v>
      </c>
      <c r="BB261" s="803">
        <f>IF(ISNUMBER('Base de datos Rutas'!CS259),'Base de datos Rutas'!CS259,"")</f>
        <v>409.91999999999996</v>
      </c>
      <c r="BC261" s="804">
        <f t="shared" si="141"/>
        <v>0</v>
      </c>
      <c r="BD261" s="805" t="str">
        <f t="shared" si="142"/>
        <v>No saturada</v>
      </c>
      <c r="BE261" s="806">
        <f t="shared" si="143"/>
        <v>0.51578151578151576</v>
      </c>
      <c r="BF261" s="890">
        <f>IF(ISNUMBER('Base de datos Rutas'!CX259),'Base de datos Rutas'!CX259/100,"")</f>
        <v>0.15548713235294118</v>
      </c>
      <c r="BG261" s="891">
        <f>IF(ISNUMBER('Base de datos Rutas'!CZ259),'Base de datos Rutas'!CZ259/100,"")</f>
        <v>0.16337316176470587</v>
      </c>
      <c r="BH261" s="892">
        <f>IF(ISNUMBER('Base de datos Rutas'!DA259),'Base de datos Rutas'!DA259,"")</f>
        <v>154.65908666034397</v>
      </c>
      <c r="BI261" s="893">
        <f>IF(ISNUMBER('Base de datos Rutas'!DC259),'Base de datos Rutas'!DC259,"")</f>
        <v>7.6015247405570054</v>
      </c>
      <c r="BJ261" s="805" t="str">
        <f t="shared" si="144"/>
        <v>Ruta (completo)</v>
      </c>
      <c r="BK261" s="783">
        <f t="shared" si="132"/>
        <v>2</v>
      </c>
      <c r="BL261" s="797">
        <f t="shared" si="133"/>
        <v>2</v>
      </c>
      <c r="BM261" s="797">
        <f t="shared" si="134"/>
        <v>3</v>
      </c>
      <c r="BN261" s="797">
        <f t="shared" si="135"/>
        <v>2</v>
      </c>
      <c r="BO261" s="798" cm="1">
        <f t="array" ref="BO261">SUMPRODUCT(--ISNUMBER($BF261:$BI261),$BK$3:$BN$3)</f>
        <v>1</v>
      </c>
      <c r="BP261" s="831">
        <f t="shared" si="145"/>
        <v>31.25</v>
      </c>
      <c r="BQ261" s="834" t="str">
        <f t="shared" si="146"/>
        <v>Medio</v>
      </c>
      <c r="BR261" s="836">
        <f t="shared" si="136"/>
        <v>19.844915510315857</v>
      </c>
      <c r="BS261" s="836">
        <f t="shared" si="137"/>
        <v>31.25</v>
      </c>
      <c r="BT261" s="837" t="str">
        <f t="shared" si="138"/>
        <v>P4</v>
      </c>
      <c r="BU261" s="807" t="str">
        <f t="shared" si="147"/>
        <v>Con espacio</v>
      </c>
      <c r="BV261" s="807" t="str">
        <f t="shared" si="139"/>
        <v>Zona de bajo potencial</v>
      </c>
      <c r="BW261" s="808" t="str">
        <f t="shared" si="140"/>
        <v>P4 - Evaluar</v>
      </c>
    </row>
    <row r="262" spans="1:75">
      <c r="A262" s="780" t="str">
        <f>'Base de datos Rutas'!A260</f>
        <v>Occidente</v>
      </c>
      <c r="B262" s="781" t="str">
        <f>'Base de datos Rutas'!B260</f>
        <v>Aguascalientes</v>
      </c>
      <c r="C262" s="781" t="str">
        <f>'Base de datos Rutas'!C260</f>
        <v>Planta Aguascalientes</v>
      </c>
      <c r="D262" s="782">
        <f>IF(ISNUMBER('Base de datos Rutas'!D260),'Base de datos Rutas'!D260,"Sin código")</f>
        <v>901409</v>
      </c>
      <c r="E262" s="783" t="str">
        <f>'Base de datos Rutas'!F260</f>
        <v>Activa</v>
      </c>
      <c r="F262" s="784" t="str">
        <f>'Base de datos Rutas'!H260</f>
        <v>Sí</v>
      </c>
      <c r="G262" s="785">
        <f>IF(ISNUMBER('Base de datos Rutas'!BE260),'Base de datos Rutas'!BE260,"")</f>
        <v>71.371824480369497</v>
      </c>
      <c r="H262" s="786">
        <f>IF(ISNUMBER('Base de datos Rutas'!BH260),'Base de datos Rutas'!BH260,"")</f>
        <v>0.44191690396065197</v>
      </c>
      <c r="I262" s="788">
        <f>IFERROR(IF(OR(NOT(ISNUMBER('Base de datos Rutas'!O260)),N('Base de datos Rutas'!BK260)=0),"",'Base de datos Rutas'!O260/('Base de datos Rutas'!L260/'Base de datos Rutas'!BK260)),"")</f>
        <v>2134.2517321016121</v>
      </c>
      <c r="J262" s="788">
        <f>IFERROR(IF(OR(NOT(ISNUMBER('Base de datos Rutas'!N260)),N('Base de datos Rutas'!BK260)=0),"",'Base de datos Rutas'!N260/('Base de datos Rutas'!L260/'Base de datos Rutas'!BK260)),"")</f>
        <v>6958.027713625851</v>
      </c>
      <c r="K262" s="788">
        <f>IFERROR(IF(OR(NOT(ISNUMBER('Base de datos Rutas'!J260)),N('Base de datos Rutas'!BK260)=0),"",'Base de datos Rutas'!J260/('Base de datos Rutas'!L260/'Base de datos Rutas'!BK260)),"")</f>
        <v>476.51645450346319</v>
      </c>
      <c r="L262" s="788">
        <f>IFERROR(IF(OR(NOT(ISNUMBER('Base de datos Rutas'!K260)),N('Base de datos Rutas'!BK260)=0),"",'Base de datos Rutas'!K260/('Base de datos Rutas'!L260/'Base de datos Rutas'!BK260)),"")</f>
        <v>21.731502309468777</v>
      </c>
      <c r="M262" s="787">
        <f>IF(ISNUMBER('Base de datos Rutas'!AX260),'Base de datos Rutas'!AX260,"")</f>
        <v>297.32079666105301</v>
      </c>
      <c r="N262" s="790">
        <f>IFERROR(INDEX('Hoja de apoyo v2'!B$17:B$20,MATCH($A262,'Hoja de apoyo v2'!$A$17:$A$20,0)),"")</f>
        <v>89.41621024641401</v>
      </c>
      <c r="O262" s="791">
        <f>IFERROR(INDEX('Hoja de apoyo v2'!C$17:C$20,MATCH($A262,'Hoja de apoyo v2'!$A$17:$A$20,0)),"")</f>
        <v>0.54706375874806301</v>
      </c>
      <c r="P262" s="793">
        <f>IFERROR(INDEX('Hoja de apoyo v2'!D$17:D$20,MATCH($A262,'Hoja de apoyo v2'!$A$17:$A$20,0)),"")</f>
        <v>11095.153935793827</v>
      </c>
      <c r="Q262" s="793">
        <f>IFERROR(INDEX('Hoja de apoyo v2'!E$17:E$20,MATCH($A262,'Hoja de apoyo v2'!$A$17:$A$20,0)),"")</f>
        <v>6982.3202019701848</v>
      </c>
      <c r="R262" s="793">
        <f>IFERROR(INDEX('Hoja de apoyo v2'!F$17:F$20,MATCH($A262,'Hoja de apoyo v2'!$A$17:$A$20,0)),"")</f>
        <v>448.09513474485743</v>
      </c>
      <c r="S262" s="793">
        <f>IFERROR(INDEX('Hoja de apoyo v2'!G$17:G$20,MATCH($A262,'Hoja de apoyo v2'!$A$17:$A$20,0)),"")</f>
        <v>83.406300904207839</v>
      </c>
      <c r="T262" s="792">
        <f>IFERROR(INDEX('Hoja de apoyo v2'!H$17:H$20,MATCH($A262,'Hoja de apoyo v2'!$A$17:$A$20,0)),"")</f>
        <v>378.97014028925349</v>
      </c>
      <c r="U262" s="794">
        <f t="shared" si="112"/>
        <v>0.79819782435066722</v>
      </c>
      <c r="V262" s="795">
        <f t="shared" si="113"/>
        <v>0.8077978058205938</v>
      </c>
      <c r="W262" s="795">
        <f t="shared" si="114"/>
        <v>0.19235891132761579</v>
      </c>
      <c r="X262" s="843">
        <f t="shared" si="115"/>
        <v>0.99652085730220752</v>
      </c>
      <c r="Y262" s="843">
        <f t="shared" si="116"/>
        <v>1.063426976895852</v>
      </c>
      <c r="Z262" s="843">
        <f t="shared" si="117"/>
        <v>0.26054988740511836</v>
      </c>
      <c r="AA262" s="843">
        <f t="shared" si="118"/>
        <v>0.78454940126448847</v>
      </c>
      <c r="AB262" s="796">
        <f t="shared" si="119"/>
        <v>3</v>
      </c>
      <c r="AC262" s="797">
        <f t="shared" si="120"/>
        <v>3</v>
      </c>
      <c r="AD262" s="797">
        <f t="shared" si="121"/>
        <v>1</v>
      </c>
      <c r="AE262" s="842">
        <f t="shared" si="122"/>
        <v>3</v>
      </c>
      <c r="AF262" s="842">
        <f t="shared" si="123"/>
        <v>4</v>
      </c>
      <c r="AG262" s="842">
        <f t="shared" si="124"/>
        <v>1</v>
      </c>
      <c r="AH262" s="842">
        <f t="shared" si="125"/>
        <v>3</v>
      </c>
      <c r="AI262" s="826" cm="1">
        <f t="array" ref="AI262">SUMPRODUCT(--ISNUMBER($U262:$AA262),$AB$3:$AH$3)</f>
        <v>1</v>
      </c>
      <c r="AJ262" s="829">
        <f t="shared" si="126"/>
        <v>33.919568037264355</v>
      </c>
      <c r="AK262" s="827" t="str">
        <f t="shared" si="127"/>
        <v>Inmadura</v>
      </c>
      <c r="AL262" s="784" t="str">
        <f t="shared" si="128"/>
        <v>Alta</v>
      </c>
      <c r="AM262" s="799">
        <f>IF(ISNUMBER('Base de datos Rutas'!W260),'Base de datos Rutas'!W260,"")</f>
        <v>2854.7551675604168</v>
      </c>
      <c r="AN262" s="787">
        <f>IFERROR(SUMIFS('Base de datos Rutas'!$W$6:$W$794,'Base de datos Rutas'!$C$6:$C$794,$C262)/'Base de datos Rutas'!I260,"")</f>
        <v>2854.7551675604172</v>
      </c>
      <c r="AO262" s="800">
        <f>IFERROR('Base de datos Rutas'!X260*AN262/AM262,"")</f>
        <v>0.39497815263374952</v>
      </c>
      <c r="AP262" s="800">
        <f t="shared" si="129"/>
        <v>0.60502184736625053</v>
      </c>
      <c r="AQ262" s="789">
        <f>IFERROR(INDEX('Hoja de apoyo v2'!$J$17:$J$20,MATCH($A262,'Hoja de apoyo v2'!$A$17:$A$20,0)),"")</f>
        <v>0.64320274048480885</v>
      </c>
      <c r="AR262" s="789">
        <f t="shared" si="130"/>
        <v>-3.8180893118558323E-2</v>
      </c>
      <c r="AS262" s="784" t="str">
        <f t="shared" si="131"/>
        <v>No</v>
      </c>
      <c r="AT262" s="801">
        <f>IF(ISNUMBER('Base de datos Rutas'!CK260),'Base de datos Rutas'!CK260,"")</f>
        <v>304</v>
      </c>
      <c r="AU262" s="802">
        <f>IF(ISNUMBER('Base de datos Rutas'!CL260),'Base de datos Rutas'!CL260,"")</f>
        <v>338.52</v>
      </c>
      <c r="AV262" s="802">
        <f>IF(ISNUMBER('Base de datos Rutas'!CM260),'Base de datos Rutas'!CM260,"")</f>
        <v>34.519999999999982</v>
      </c>
      <c r="AW262" s="802">
        <f>IF(ISNUMBER('Base de datos Rutas'!CN260),'Base de datos Rutas'!CN260,"")</f>
        <v>8.6</v>
      </c>
      <c r="AX262" s="802">
        <f>IF(ISNUMBER('Base de datos Rutas'!CO260),'Base de datos Rutas'!CO260,"")</f>
        <v>9.4499999999999993</v>
      </c>
      <c r="AY262" s="802">
        <f>IF(ISNUMBER('Base de datos Rutas'!CP260),'Base de datos Rutas'!CP260,"")</f>
        <v>0.84999999999999964</v>
      </c>
      <c r="AZ262" s="802">
        <f>IF(ISNUMBER('Base de datos Rutas'!CQ260),'Base de datos Rutas'!CQ260,"")</f>
        <v>846.56</v>
      </c>
      <c r="BA262" s="802">
        <f>IF(ISNUMBER('Base de datos Rutas'!CR260),'Base de datos Rutas'!CR260,"")</f>
        <v>498.25</v>
      </c>
      <c r="BB262" s="803">
        <f>IF(ISNUMBER('Base de datos Rutas'!CS260),'Base de datos Rutas'!CS260,"")</f>
        <v>348.30999999999995</v>
      </c>
      <c r="BC262" s="804">
        <f t="shared" si="141"/>
        <v>0</v>
      </c>
      <c r="BD262" s="805" t="str">
        <f t="shared" si="142"/>
        <v>No saturada</v>
      </c>
      <c r="BE262" s="806">
        <f t="shared" si="143"/>
        <v>0.58855840105840107</v>
      </c>
      <c r="BF262" s="890">
        <f>IF(ISNUMBER('Base de datos Rutas'!CX260),'Base de datos Rutas'!CX260/100,"")</f>
        <v>0.3469948109710897</v>
      </c>
      <c r="BG262" s="891">
        <f>IF(ISNUMBER('Base de datos Rutas'!CZ260),'Base de datos Rutas'!CZ260/100,"")</f>
        <v>0.352112676056338</v>
      </c>
      <c r="BH262" s="892">
        <f>IF(ISNUMBER('Base de datos Rutas'!DA260),'Base de datos Rutas'!DA260,"")</f>
        <v>110.94944479845179</v>
      </c>
      <c r="BI262" s="893">
        <f>IF(ISNUMBER('Base de datos Rutas'!DC260),'Base de datos Rutas'!DC260,"")</f>
        <v>5.8297018077976022</v>
      </c>
      <c r="BJ262" s="805" t="str">
        <f t="shared" si="144"/>
        <v>Ruta (completo)</v>
      </c>
      <c r="BK262" s="783">
        <f t="shared" si="132"/>
        <v>3</v>
      </c>
      <c r="BL262" s="797">
        <f t="shared" si="133"/>
        <v>3</v>
      </c>
      <c r="BM262" s="797">
        <f t="shared" si="134"/>
        <v>2</v>
      </c>
      <c r="BN262" s="797">
        <f t="shared" si="135"/>
        <v>2</v>
      </c>
      <c r="BO262" s="798" cm="1">
        <f t="array" ref="BO262">SUMPRODUCT(--ISNUMBER($BF262:$BI262),$BK$3:$BN$3)</f>
        <v>1</v>
      </c>
      <c r="BP262" s="831">
        <f t="shared" si="145"/>
        <v>37.5</v>
      </c>
      <c r="BQ262" s="834" t="str">
        <f t="shared" si="146"/>
        <v>Medio</v>
      </c>
      <c r="BR262" s="836">
        <f t="shared" si="136"/>
        <v>25.439676027948266</v>
      </c>
      <c r="BS262" s="836">
        <f t="shared" si="137"/>
        <v>37.5</v>
      </c>
      <c r="BT262" s="837" t="str">
        <f t="shared" si="138"/>
        <v>P4</v>
      </c>
      <c r="BU262" s="807" t="str">
        <f t="shared" si="147"/>
        <v>Con espacio</v>
      </c>
      <c r="BV262" s="807" t="str">
        <f t="shared" si="139"/>
        <v>Zona de bajo potencial</v>
      </c>
      <c r="BW262" s="808" t="str">
        <f t="shared" si="140"/>
        <v>P4 - Evaluar</v>
      </c>
    </row>
    <row r="263" spans="1:75">
      <c r="A263" s="780" t="str">
        <f>'Base de datos Rutas'!A261</f>
        <v>Occidente</v>
      </c>
      <c r="B263" s="781" t="str">
        <f>'Base de datos Rutas'!B261</f>
        <v>Aguascalientes</v>
      </c>
      <c r="C263" s="781" t="str">
        <f>'Base de datos Rutas'!C261</f>
        <v>Planta Aguascalientes</v>
      </c>
      <c r="D263" s="782">
        <f>IF(ISNUMBER('Base de datos Rutas'!D261),'Base de datos Rutas'!D261,"Sin código")</f>
        <v>901411</v>
      </c>
      <c r="E263" s="783" t="str">
        <f>'Base de datos Rutas'!F261</f>
        <v>Activa</v>
      </c>
      <c r="F263" s="784" t="str">
        <f>'Base de datos Rutas'!H261</f>
        <v>Sí</v>
      </c>
      <c r="G263" s="785">
        <f>IF(ISNUMBER('Base de datos Rutas'!BE261),'Base de datos Rutas'!BE261,"")</f>
        <v>97.9930715935335</v>
      </c>
      <c r="H263" s="786">
        <f>IF(ISNUMBER('Base de datos Rutas'!BH261),'Base de datos Rutas'!BH261,"")</f>
        <v>0.40682519855765797</v>
      </c>
      <c r="I263" s="788">
        <f>IFERROR(IF(OR(NOT(ISNUMBER('Base de datos Rutas'!O261)),N('Base de datos Rutas'!BK261)=0),"",'Base de datos Rutas'!O261/('Base de datos Rutas'!L261/'Base de datos Rutas'!BK261)),"")</f>
        <v>2663.9561200923727</v>
      </c>
      <c r="J263" s="788">
        <f>IFERROR(IF(OR(NOT(ISNUMBER('Base de datos Rutas'!N261)),N('Base de datos Rutas'!BK261)=0),"",'Base de datos Rutas'!N261/('Base de datos Rutas'!L261/'Base de datos Rutas'!BK261)),"")</f>
        <v>7007.1247113163818</v>
      </c>
      <c r="K263" s="788">
        <f>IFERROR(IF(OR(NOT(ISNUMBER('Base de datos Rutas'!J261)),N('Base de datos Rutas'!BK261)=0),"",'Base de datos Rutas'!J261/('Base de datos Rutas'!L261/'Base de datos Rutas'!BK261)),"")</f>
        <v>471.42402401847471</v>
      </c>
      <c r="L263" s="788">
        <f>IFERROR(IF(OR(NOT(ISNUMBER('Base de datos Rutas'!K261)),N('Base de datos Rutas'!BK261)=0),"",'Base de datos Rutas'!K261/('Base de datos Rutas'!L261/'Base de datos Rutas'!BK261)),"")</f>
        <v>22.788770785219349</v>
      </c>
      <c r="M263" s="787">
        <f>IF(ISNUMBER('Base de datos Rutas'!AX261),'Base de datos Rutas'!AX261,"")</f>
        <v>236.93397057119699</v>
      </c>
      <c r="N263" s="790">
        <f>IFERROR(INDEX('Hoja de apoyo v2'!B$17:B$20,MATCH($A263,'Hoja de apoyo v2'!$A$17:$A$20,0)),"")</f>
        <v>89.41621024641401</v>
      </c>
      <c r="O263" s="791">
        <f>IFERROR(INDEX('Hoja de apoyo v2'!C$17:C$20,MATCH($A263,'Hoja de apoyo v2'!$A$17:$A$20,0)),"")</f>
        <v>0.54706375874806301</v>
      </c>
      <c r="P263" s="793">
        <f>IFERROR(INDEX('Hoja de apoyo v2'!D$17:D$20,MATCH($A263,'Hoja de apoyo v2'!$A$17:$A$20,0)),"")</f>
        <v>11095.153935793827</v>
      </c>
      <c r="Q263" s="793">
        <f>IFERROR(INDEX('Hoja de apoyo v2'!E$17:E$20,MATCH($A263,'Hoja de apoyo v2'!$A$17:$A$20,0)),"")</f>
        <v>6982.3202019701848</v>
      </c>
      <c r="R263" s="793">
        <f>IFERROR(INDEX('Hoja de apoyo v2'!F$17:F$20,MATCH($A263,'Hoja de apoyo v2'!$A$17:$A$20,0)),"")</f>
        <v>448.09513474485743</v>
      </c>
      <c r="S263" s="793">
        <f>IFERROR(INDEX('Hoja de apoyo v2'!G$17:G$20,MATCH($A263,'Hoja de apoyo v2'!$A$17:$A$20,0)),"")</f>
        <v>83.406300904207839</v>
      </c>
      <c r="T263" s="792">
        <f>IFERROR(INDEX('Hoja de apoyo v2'!H$17:H$20,MATCH($A263,'Hoja de apoyo v2'!$A$17:$A$20,0)),"")</f>
        <v>378.97014028925349</v>
      </c>
      <c r="U263" s="794">
        <f t="shared" si="112"/>
        <v>1.0959206537996109</v>
      </c>
      <c r="V263" s="795">
        <f t="shared" si="113"/>
        <v>0.74365225634515386</v>
      </c>
      <c r="W263" s="795">
        <f t="shared" si="114"/>
        <v>0.2401008706601396</v>
      </c>
      <c r="X263" s="843">
        <f t="shared" si="115"/>
        <v>1.0035524737664134</v>
      </c>
      <c r="Y263" s="843">
        <f t="shared" si="116"/>
        <v>1.0520623578894706</v>
      </c>
      <c r="Z263" s="843">
        <f t="shared" si="117"/>
        <v>0.27322600976384576</v>
      </c>
      <c r="AA263" s="843">
        <f t="shared" si="118"/>
        <v>0.62520485226185452</v>
      </c>
      <c r="AB263" s="796">
        <f t="shared" si="119"/>
        <v>4</v>
      </c>
      <c r="AC263" s="797">
        <f t="shared" si="120"/>
        <v>2</v>
      </c>
      <c r="AD263" s="797">
        <f t="shared" si="121"/>
        <v>1</v>
      </c>
      <c r="AE263" s="842">
        <f t="shared" si="122"/>
        <v>4</v>
      </c>
      <c r="AF263" s="842">
        <f t="shared" si="123"/>
        <v>4</v>
      </c>
      <c r="AG263" s="842">
        <f t="shared" si="124"/>
        <v>1</v>
      </c>
      <c r="AH263" s="842">
        <f t="shared" si="125"/>
        <v>2</v>
      </c>
      <c r="AI263" s="826" cm="1">
        <f t="array" ref="AI263">SUMPRODUCT(--ISNUMBER($U263:$AA263),$AB$3:$AH$3)</f>
        <v>1</v>
      </c>
      <c r="AJ263" s="829">
        <f t="shared" si="126"/>
        <v>37.235018435402758</v>
      </c>
      <c r="AK263" s="827" t="str">
        <f t="shared" si="127"/>
        <v>Inmadura</v>
      </c>
      <c r="AL263" s="784" t="str">
        <f t="shared" si="128"/>
        <v>Alta</v>
      </c>
      <c r="AM263" s="799">
        <f>IF(ISNUMBER('Base de datos Rutas'!W261),'Base de datos Rutas'!W261,"")</f>
        <v>2854.7551675604168</v>
      </c>
      <c r="AN263" s="787">
        <f>IFERROR(SUMIFS('Base de datos Rutas'!$W$6:$W$794,'Base de datos Rutas'!$C$6:$C$794,$C263)/'Base de datos Rutas'!I261,"")</f>
        <v>2854.7551675604172</v>
      </c>
      <c r="AO263" s="800">
        <f>IFERROR('Base de datos Rutas'!X261*AN263/AM263,"")</f>
        <v>0.39497815263374952</v>
      </c>
      <c r="AP263" s="800">
        <f t="shared" si="129"/>
        <v>0.60502184736625053</v>
      </c>
      <c r="AQ263" s="789">
        <f>IFERROR(INDEX('Hoja de apoyo v2'!$J$17:$J$20,MATCH($A263,'Hoja de apoyo v2'!$A$17:$A$20,0)),"")</f>
        <v>0.64320274048480885</v>
      </c>
      <c r="AR263" s="789">
        <f t="shared" si="130"/>
        <v>-3.8180893118558323E-2</v>
      </c>
      <c r="AS263" s="784" t="str">
        <f t="shared" si="131"/>
        <v>No</v>
      </c>
      <c r="AT263" s="801">
        <f>IF(ISNUMBER('Base de datos Rutas'!CK261),'Base de datos Rutas'!CK261,"")</f>
        <v>306</v>
      </c>
      <c r="AU263" s="802">
        <f>IF(ISNUMBER('Base de datos Rutas'!CL261),'Base de datos Rutas'!CL261,"")</f>
        <v>339.72</v>
      </c>
      <c r="AV263" s="802">
        <f>IF(ISNUMBER('Base de datos Rutas'!CM261),'Base de datos Rutas'!CM261,"")</f>
        <v>33.720000000000027</v>
      </c>
      <c r="AW263" s="802">
        <f>IF(ISNUMBER('Base de datos Rutas'!CN261),'Base de datos Rutas'!CN261,"")</f>
        <v>8.19</v>
      </c>
      <c r="AX263" s="802">
        <f>IF(ISNUMBER('Base de datos Rutas'!CO261),'Base de datos Rutas'!CO261,"")</f>
        <v>9.4499999999999993</v>
      </c>
      <c r="AY263" s="802">
        <f>IF(ISNUMBER('Base de datos Rutas'!CP261),'Base de datos Rutas'!CP261,"")</f>
        <v>1.2599999999999998</v>
      </c>
      <c r="AZ263" s="802">
        <f>IF(ISNUMBER('Base de datos Rutas'!CQ261),'Base de datos Rutas'!CQ261,"")</f>
        <v>846.56</v>
      </c>
      <c r="BA263" s="802">
        <f>IF(ISNUMBER('Base de datos Rutas'!CR261),'Base de datos Rutas'!CR261,"")</f>
        <v>494.21</v>
      </c>
      <c r="BB263" s="803">
        <f>IF(ISNUMBER('Base de datos Rutas'!CS261),'Base de datos Rutas'!CS261,"")</f>
        <v>352.34999999999997</v>
      </c>
      <c r="BC263" s="804">
        <f t="shared" si="141"/>
        <v>0</v>
      </c>
      <c r="BD263" s="805" t="str">
        <f t="shared" si="142"/>
        <v>No saturada</v>
      </c>
      <c r="BE263" s="806">
        <f t="shared" si="143"/>
        <v>0.58378614628614633</v>
      </c>
      <c r="BF263" s="890">
        <f>IF(ISNUMBER('Base de datos Rutas'!CX261),'Base de datos Rutas'!CX261/100,"")</f>
        <v>0.38468741960380753</v>
      </c>
      <c r="BG263" s="891">
        <f>IF(ISNUMBER('Base de datos Rutas'!CZ261),'Base de datos Rutas'!CZ261/100,"")</f>
        <v>0.39336249035245691</v>
      </c>
      <c r="BH263" s="892">
        <f>IF(ISNUMBER('Base de datos Rutas'!DA261),'Base de datos Rutas'!DA261,"")</f>
        <v>272.36082913342449</v>
      </c>
      <c r="BI263" s="893">
        <f>IF(ISNUMBER('Base de datos Rutas'!DC261),'Base de datos Rutas'!DC261,"")</f>
        <v>14.14754177804077</v>
      </c>
      <c r="BJ263" s="805" t="str">
        <f t="shared" si="144"/>
        <v>Ruta (completo)</v>
      </c>
      <c r="BK263" s="783">
        <f t="shared" si="132"/>
        <v>3</v>
      </c>
      <c r="BL263" s="797">
        <f t="shared" si="133"/>
        <v>3</v>
      </c>
      <c r="BM263" s="797">
        <f t="shared" si="134"/>
        <v>4</v>
      </c>
      <c r="BN263" s="797">
        <f t="shared" si="135"/>
        <v>4</v>
      </c>
      <c r="BO263" s="798" cm="1">
        <f t="array" ref="BO263">SUMPRODUCT(--ISNUMBER($BF263:$BI263),$BK$3:$BN$3)</f>
        <v>1</v>
      </c>
      <c r="BP263" s="831">
        <f t="shared" si="145"/>
        <v>62.5</v>
      </c>
      <c r="BQ263" s="834" t="str">
        <f t="shared" si="146"/>
        <v>Alto</v>
      </c>
      <c r="BR263" s="836">
        <f t="shared" si="136"/>
        <v>27.926263826552066</v>
      </c>
      <c r="BS263" s="836">
        <f t="shared" si="137"/>
        <v>62.5</v>
      </c>
      <c r="BT263" s="837" t="str">
        <f t="shared" si="138"/>
        <v>P3</v>
      </c>
      <c r="BU263" s="807" t="str">
        <f t="shared" si="147"/>
        <v>Con espacio</v>
      </c>
      <c r="BV263" s="807" t="str">
        <f t="shared" si="139"/>
        <v>Zona atractiva</v>
      </c>
      <c r="BW263" s="808" t="str">
        <f t="shared" si="140"/>
        <v>P3 - Desarrollar</v>
      </c>
    </row>
    <row r="264" spans="1:75">
      <c r="A264" s="780" t="str">
        <f>'Base de datos Rutas'!A262</f>
        <v>Occidente</v>
      </c>
      <c r="B264" s="781" t="str">
        <f>'Base de datos Rutas'!B262</f>
        <v>Aguascalientes</v>
      </c>
      <c r="C264" s="781" t="str">
        <f>'Base de datos Rutas'!C262</f>
        <v>Planta Aguascalientes</v>
      </c>
      <c r="D264" s="782">
        <f>IF(ISNUMBER('Base de datos Rutas'!D262),'Base de datos Rutas'!D262,"Sin código")</f>
        <v>901412</v>
      </c>
      <c r="E264" s="783" t="str">
        <f>'Base de datos Rutas'!F262</f>
        <v>Activa</v>
      </c>
      <c r="F264" s="784" t="str">
        <f>'Base de datos Rutas'!H262</f>
        <v>Sí</v>
      </c>
      <c r="G264" s="785">
        <f>IF(ISNUMBER('Base de datos Rutas'!BE262),'Base de datos Rutas'!BE262,"")</f>
        <v>110.947126436782</v>
      </c>
      <c r="H264" s="786">
        <f>IF(ISNUMBER('Base de datos Rutas'!BH262),'Base de datos Rutas'!BH262,"")</f>
        <v>0.33028055198707101</v>
      </c>
      <c r="I264" s="788">
        <f>IFERROR(IF(OR(NOT(ISNUMBER('Base de datos Rutas'!O262)),N('Base de datos Rutas'!BK262)=0),"",'Base de datos Rutas'!O262/('Base de datos Rutas'!L262/'Base de datos Rutas'!BK262)),"")</f>
        <v>2309.0781609195365</v>
      </c>
      <c r="J264" s="788">
        <f>IFERROR(IF(OR(NOT(ISNUMBER('Base de datos Rutas'!N262)),N('Base de datos Rutas'!BK262)=0),"",'Base de datos Rutas'!N262/('Base de datos Rutas'!L262/'Base de datos Rutas'!BK262)),"")</f>
        <v>6694.905747126425</v>
      </c>
      <c r="K264" s="788">
        <f>IFERROR(IF(OR(NOT(ISNUMBER('Base de datos Rutas'!J262)),N('Base de datos Rutas'!BK262)=0),"",'Base de datos Rutas'!J262/('Base de datos Rutas'!L262/'Base de datos Rutas'!BK262)),"")</f>
        <v>453.74180229884985</v>
      </c>
      <c r="L264" s="788">
        <f>IFERROR(IF(OR(NOT(ISNUMBER('Base de datos Rutas'!K262)),N('Base de datos Rutas'!BK262)=0),"",'Base de datos Rutas'!K262/('Base de datos Rutas'!L262/'Base de datos Rutas'!BK262)),"")</f>
        <v>21.186641703448242</v>
      </c>
      <c r="M264" s="787">
        <f>IF(ISNUMBER('Base de datos Rutas'!AX262),'Base de datos Rutas'!AX262,"")</f>
        <v>242.03493538268501</v>
      </c>
      <c r="N264" s="790">
        <f>IFERROR(INDEX('Hoja de apoyo v2'!B$17:B$20,MATCH($A264,'Hoja de apoyo v2'!$A$17:$A$20,0)),"")</f>
        <v>89.41621024641401</v>
      </c>
      <c r="O264" s="791">
        <f>IFERROR(INDEX('Hoja de apoyo v2'!C$17:C$20,MATCH($A264,'Hoja de apoyo v2'!$A$17:$A$20,0)),"")</f>
        <v>0.54706375874806301</v>
      </c>
      <c r="P264" s="793">
        <f>IFERROR(INDEX('Hoja de apoyo v2'!D$17:D$20,MATCH($A264,'Hoja de apoyo v2'!$A$17:$A$20,0)),"")</f>
        <v>11095.153935793827</v>
      </c>
      <c r="Q264" s="793">
        <f>IFERROR(INDEX('Hoja de apoyo v2'!E$17:E$20,MATCH($A264,'Hoja de apoyo v2'!$A$17:$A$20,0)),"")</f>
        <v>6982.3202019701848</v>
      </c>
      <c r="R264" s="793">
        <f>IFERROR(INDEX('Hoja de apoyo v2'!F$17:F$20,MATCH($A264,'Hoja de apoyo v2'!$A$17:$A$20,0)),"")</f>
        <v>448.09513474485743</v>
      </c>
      <c r="S264" s="793">
        <f>IFERROR(INDEX('Hoja de apoyo v2'!G$17:G$20,MATCH($A264,'Hoja de apoyo v2'!$A$17:$A$20,0)),"")</f>
        <v>83.406300904207839</v>
      </c>
      <c r="T264" s="792">
        <f>IFERROR(INDEX('Hoja de apoyo v2'!H$17:H$20,MATCH($A264,'Hoja de apoyo v2'!$A$17:$A$20,0)),"")</f>
        <v>378.97014028925349</v>
      </c>
      <c r="U264" s="794">
        <f t="shared" ref="U264:U327" si="148">IFERROR(G264/N264,"")</f>
        <v>1.2407943272370066</v>
      </c>
      <c r="V264" s="795">
        <f t="shared" ref="V264:V327" si="149">IFERROR(H264/O264,"")</f>
        <v>0.60373319691822935</v>
      </c>
      <c r="W264" s="795">
        <f t="shared" ref="W264:W327" si="150">IFERROR(IF(N(P264)=0,"",I264/P264),"")</f>
        <v>0.20811591928168488</v>
      </c>
      <c r="X264" s="843">
        <f t="shared" ref="X264:X327" si="151">IFERROR(IF(N(Q264)=0,"",J264/Q264),"")</f>
        <v>0.95883682693860695</v>
      </c>
      <c r="Y264" s="843">
        <f t="shared" ref="Y264:Y327" si="152">IFERROR(IF(N(R264)=0,"",K264/R264),"")</f>
        <v>1.0126014926656313</v>
      </c>
      <c r="Z264" s="843">
        <f t="shared" ref="Z264:Z327" si="153">IFERROR(IF(N(S264)=0,"",L264/S264),"")</f>
        <v>0.25401728015466246</v>
      </c>
      <c r="AA264" s="843">
        <f t="shared" ref="AA264:AA327" si="154">IFERROR(IF(N(T264)=0,"",M264/T264),"")</f>
        <v>0.63866492277715847</v>
      </c>
      <c r="AB264" s="796">
        <f t="shared" ref="AB264:AB327" si="155">IF(NOT(ISNUMBER(U264)),0,IFERROR(MATCH(U264,$U$3:$X$3,1)+1,1))</f>
        <v>4</v>
      </c>
      <c r="AC264" s="797">
        <f t="shared" ref="AC264:AC327" si="156">IF(NOT(ISNUMBER(V264)),0,IFERROR(MATCH(V264,$U$3:$X$3,1)+1,1))</f>
        <v>2</v>
      </c>
      <c r="AD264" s="797">
        <f t="shared" ref="AD264:AD327" si="157">IF(NOT(ISNUMBER(W264)),0,IFERROR(MATCH(W264,$U$3:$X$3,1)+1,1))</f>
        <v>1</v>
      </c>
      <c r="AE264" s="842">
        <f t="shared" ref="AE264:AE327" si="158">IF(NOT(ISNUMBER(X264)),0,IFERROR(MATCH(X264,$U$3:$X$3,1)+1,1))</f>
        <v>3</v>
      </c>
      <c r="AF264" s="842">
        <f t="shared" ref="AF264:AF327" si="159">IF(NOT(ISNUMBER(Y264)),0,IFERROR(MATCH(Y264,$U$3:$X$3,1)+1,1))</f>
        <v>4</v>
      </c>
      <c r="AG264" s="842">
        <f t="shared" ref="AG264:AG327" si="160">IF(NOT(ISNUMBER(Z264)),0,IFERROR(MATCH(Z264,$U$3:$X$3,1)+1,1))</f>
        <v>1</v>
      </c>
      <c r="AH264" s="842">
        <f t="shared" ref="AH264:AH327" si="161">IF(NOT(ISNUMBER(AA264)),0,IFERROR(MATCH(AA264,$U$3:$X$3,1)+1,1))</f>
        <v>2</v>
      </c>
      <c r="AI264" s="826" cm="1">
        <f t="array" ref="AI264">SUMPRODUCT(--ISNUMBER($U264:$AA264),$AB$3:$AH$3)</f>
        <v>1</v>
      </c>
      <c r="AJ264" s="829">
        <f t="shared" ref="AJ264:AJ327" si="162">IF(OR($E264&lt;&gt;"Activa",$F264&lt;&gt;"Sí",AI264&lt;$AI$4),"",(SUMPRODUCT($AB264:$AH264,$AB$3:$AH$3)/AI264-1)/4*100)</f>
        <v>33.825570789184056</v>
      </c>
      <c r="AK264" s="827" t="str">
        <f t="shared" ref="AK264:AK327" si="163">IF($E264&lt;&gt;"Activa","Ruta inactiva",IF($F264&lt;&gt;"Sí","No elegible",IF(AJ264="","Sin datos",IF(AJ264&gt;=$AJ$4,"Madura",IF(AJ264&lt;$AK$4,"Inmadura","En desarrollo")))))</f>
        <v>Inmadura</v>
      </c>
      <c r="AL264" s="784" t="str">
        <f t="shared" ref="AL264:AL327" si="164">IF(AJ264="","n/a",IF(AI264&gt;=$AL$3,"Alta",IF(AI264&gt;=$AL$4,"Media","Baja")))</f>
        <v>Alta</v>
      </c>
      <c r="AM264" s="799">
        <f>IF(ISNUMBER('Base de datos Rutas'!W262),'Base de datos Rutas'!W262,"")</f>
        <v>2854.7551675604168</v>
      </c>
      <c r="AN264" s="787">
        <f>IFERROR(SUMIFS('Base de datos Rutas'!$W$6:$W$794,'Base de datos Rutas'!$C$6:$C$794,$C264)/'Base de datos Rutas'!I262,"")</f>
        <v>2854.7551675604172</v>
      </c>
      <c r="AO264" s="800">
        <f>IFERROR('Base de datos Rutas'!X262*AN264/AM264,"")</f>
        <v>0.39497815263374952</v>
      </c>
      <c r="AP264" s="800">
        <f t="shared" ref="AP264:AP327" si="165">IF(ISNUMBER(AO264),1-AO264,"")</f>
        <v>0.60502184736625053</v>
      </c>
      <c r="AQ264" s="789">
        <f>IFERROR(INDEX('Hoja de apoyo v2'!$J$17:$J$20,MATCH($A264,'Hoja de apoyo v2'!$A$17:$A$20,0)),"")</f>
        <v>0.64320274048480885</v>
      </c>
      <c r="AR264" s="789">
        <f t="shared" ref="AR264:AR327" si="166">IF(AND(ISNUMBER($AP264),ISNUMBER($AQ264)),$AP264-$AQ264,"")</f>
        <v>-3.8180893118558323E-2</v>
      </c>
      <c r="AS264" s="784" t="str">
        <f t="shared" ref="AS264:AS327" si="167">IF(NOT(ISNUMBER(AO264)),"n/d",IF(AO264&gt;=$AO$4,"Sí","No"))</f>
        <v>No</v>
      </c>
      <c r="AT264" s="801">
        <f>IF(ISNUMBER('Base de datos Rutas'!CK262),'Base de datos Rutas'!CK262,"")</f>
        <v>467</v>
      </c>
      <c r="AU264" s="802">
        <f>IF(ISNUMBER('Base de datos Rutas'!CL262),'Base de datos Rutas'!CL262,"")</f>
        <v>497.49</v>
      </c>
      <c r="AV264" s="802">
        <f>IF(ISNUMBER('Base de datos Rutas'!CM262),'Base de datos Rutas'!CM262,"")</f>
        <v>30.490000000000009</v>
      </c>
      <c r="AW264" s="802">
        <f>IF(ISNUMBER('Base de datos Rutas'!CN262),'Base de datos Rutas'!CN262,"")</f>
        <v>12.88</v>
      </c>
      <c r="AX264" s="802">
        <f>IF(ISNUMBER('Base de datos Rutas'!CO262),'Base de datos Rutas'!CO262,"")</f>
        <v>9.4499999999999993</v>
      </c>
      <c r="AY264" s="802">
        <f>IF(ISNUMBER('Base de datos Rutas'!CP262),'Base de datos Rutas'!CP262,"")</f>
        <v>-3.4300000000000015</v>
      </c>
      <c r="AZ264" s="802">
        <f>IF(ISNUMBER('Base de datos Rutas'!CQ262),'Base de datos Rutas'!CQ262,"")</f>
        <v>846.56</v>
      </c>
      <c r="BA264" s="802">
        <f>IF(ISNUMBER('Base de datos Rutas'!CR262),'Base de datos Rutas'!CR262,"")</f>
        <v>474.93</v>
      </c>
      <c r="BB264" s="803">
        <f>IF(ISNUMBER('Base de datos Rutas'!CS262),'Base de datos Rutas'!CS262,"")</f>
        <v>371.62999999999994</v>
      </c>
      <c r="BC264" s="804">
        <f t="shared" si="141"/>
        <v>1</v>
      </c>
      <c r="BD264" s="805" t="str">
        <f t="shared" si="142"/>
        <v>Saturada</v>
      </c>
      <c r="BE264" s="806">
        <f t="shared" si="143"/>
        <v>0.56101162351162359</v>
      </c>
      <c r="BF264" s="890">
        <f>IF(ISNUMBER('Base de datos Rutas'!CX262),'Base de datos Rutas'!CX262/100,"")</f>
        <v>0.1574014468015931</v>
      </c>
      <c r="BG264" s="891">
        <f>IF(ISNUMBER('Base de datos Rutas'!CZ262),'Base de datos Rutas'!CZ262/100,"")</f>
        <v>0.15987970413720232</v>
      </c>
      <c r="BH264" s="892">
        <f>IF(ISNUMBER('Base de datos Rutas'!DA262),'Base de datos Rutas'!DA262,"")</f>
        <v>218.67408414001227</v>
      </c>
      <c r="BI264" s="893">
        <f>IF(ISNUMBER('Base de datos Rutas'!DC262),'Base de datos Rutas'!DC262,"")</f>
        <v>11.589871155690725</v>
      </c>
      <c r="BJ264" s="805" t="str">
        <f t="shared" si="144"/>
        <v>Ruta (completo)</v>
      </c>
      <c r="BK264" s="783">
        <f t="shared" ref="BK264:BK327" si="168">IF(NOT(ISNUMBER($BF264)),0,MIN(5,1+INT(5*COUNTIFS($C$8:$C$796,$C264,$BF$8:$BF$796,"&lt;"&amp;$BF264)/COUNTIFS($C$8:$C$796,$C264,$BF$8:$BF$796,"&gt;=-1E+300"))))</f>
        <v>2</v>
      </c>
      <c r="BL264" s="797">
        <f t="shared" ref="BL264:BL327" si="169">IF(NOT(ISNUMBER($BG264)),0,MIN(5,1+INT(5*COUNTIFS($C$8:$C$796,$C264,$BG$8:$BG$796,"&lt;"&amp;$BG264)/COUNTIFS($C$8:$C$796,$C264,$BG$8:$BG$796,"&gt;=-1E+300"))))</f>
        <v>2</v>
      </c>
      <c r="BM264" s="797">
        <f t="shared" ref="BM264:BM327" si="170">IF(NOT(ISNUMBER($BH264)),0,MIN(5,1+INT(5*COUNTIFS($C$8:$C$796,$C264,$BH$8:$BH$796,"&lt;"&amp;$BH264)/COUNTIFS($C$8:$C$796,$C264,$BH$8:$BH$796,"&gt;=-1E+300"))))</f>
        <v>4</v>
      </c>
      <c r="BN264" s="797">
        <f t="shared" ref="BN264:BN327" si="171">IF(NOT(ISNUMBER($BI264)),0,MIN(5,1+INT(5*COUNTIFS($C$8:$C$796,$C264,$BI$8:$BI$796,"&lt;"&amp;$BI264)/COUNTIFS($C$8:$C$796,$C264,$BI$8:$BI$796,"&gt;=-1E+300"))))</f>
        <v>4</v>
      </c>
      <c r="BO264" s="798" cm="1">
        <f t="array" ref="BO264">SUMPRODUCT(--ISNUMBER($BF264:$BI264),$BK$3:$BN$3)</f>
        <v>1</v>
      </c>
      <c r="BP264" s="831">
        <f t="shared" si="145"/>
        <v>50</v>
      </c>
      <c r="BQ264" s="834" t="str">
        <f t="shared" si="146"/>
        <v>Alto</v>
      </c>
      <c r="BR264" s="836">
        <f t="shared" ref="BR264:BR327" si="172">IF(OR(NOT(ISNUMBER($AJ264)),$BD264="N/D"),"",$AJ264*$BS$3+IF($BD264="Saturada",100,0)*$BU$3)</f>
        <v>50.369178091888045</v>
      </c>
      <c r="BS264" s="836">
        <f t="shared" ref="BS264:BS327" si="173">IF(ISNUMBER($BP264),$BP264,"")</f>
        <v>50</v>
      </c>
      <c r="BT264" s="837" t="str">
        <f t="shared" ref="BT264:BT327" si="174">IF(OR(NOT(ISNUMBER($BR264)),NOT(ISNUMBER($BS264))),"Sin datos",IF($BR264&gt;=$BS$4,IF($BS264&gt;=$BU$4,"P1","P2"),IF($BS264&gt;=$BU$4,"P3","P4")))</f>
        <v>P1</v>
      </c>
      <c r="BU264" s="807" t="str">
        <f t="shared" si="147"/>
        <v>Al tope</v>
      </c>
      <c r="BV264" s="807" t="str">
        <f t="shared" ref="BV264:BV327" si="175">IF($BU264="No evaluable","No evaluable",IF($BQ264="Sin datos","Sin datos de zona",IF($BQ264="Alto","Zona atractiva","Zona de bajo potencial")))</f>
        <v>Zona atractiva</v>
      </c>
      <c r="BW264" s="808" t="str">
        <f t="shared" ref="BW264:BW327" si="176">IFERROR(IF($BT264="P1","P1 - Ampliar cobertura",IF($BT264="P2","P2 - Mantener",IF($BT264="P3","P3 - Desarrollar",IF($BT264="P4","P4 - Evaluar","Sin datos")))),"Sin datos")</f>
        <v>P1 - Ampliar cobertura</v>
      </c>
    </row>
    <row r="265" spans="1:75">
      <c r="A265" s="780" t="str">
        <f>'Base de datos Rutas'!A263</f>
        <v>Occidente</v>
      </c>
      <c r="B265" s="781" t="str">
        <f>'Base de datos Rutas'!B263</f>
        <v>Aguascalientes</v>
      </c>
      <c r="C265" s="781" t="str">
        <f>'Base de datos Rutas'!C263</f>
        <v>Planta Aguascalientes</v>
      </c>
      <c r="D265" s="782">
        <f>IF(ISNUMBER('Base de datos Rutas'!D263),'Base de datos Rutas'!D263,"Sin código")</f>
        <v>901414</v>
      </c>
      <c r="E265" s="783" t="str">
        <f>'Base de datos Rutas'!F263</f>
        <v>Activa</v>
      </c>
      <c r="F265" s="784" t="str">
        <f>'Base de datos Rutas'!H263</f>
        <v>Sí</v>
      </c>
      <c r="G265" s="785">
        <f>IF(ISNUMBER('Base de datos Rutas'!BE263),'Base de datos Rutas'!BE263,"")</f>
        <v>50.369047619047599</v>
      </c>
      <c r="H265" s="786">
        <f>IF(ISNUMBER('Base de datos Rutas'!BH263),'Base de datos Rutas'!BH263,"")</f>
        <v>0.46055306074214097</v>
      </c>
      <c r="I265" s="788">
        <f>IFERROR(IF(OR(NOT(ISNUMBER('Base de datos Rutas'!O263)),N('Base de datos Rutas'!BK263)=0),"",'Base de datos Rutas'!O263/('Base de datos Rutas'!L263/'Base de datos Rutas'!BK263)),"")</f>
        <v>1157.3571428571431</v>
      </c>
      <c r="J265" s="788">
        <f>IFERROR(IF(OR(NOT(ISNUMBER('Base de datos Rutas'!N263)),N('Base de datos Rutas'!BK263)=0),"",'Base de datos Rutas'!N263/('Base de datos Rutas'!L263/'Base de datos Rutas'!BK263)),"")</f>
        <v>6697.5119047619055</v>
      </c>
      <c r="K265" s="788">
        <f>IFERROR(IF(OR(NOT(ISNUMBER('Base de datos Rutas'!J263)),N('Base de datos Rutas'!BK263)=0),"",'Base de datos Rutas'!J263/('Base de datos Rutas'!L263/'Base de datos Rutas'!BK263)),"")</f>
        <v>444.1914133333334</v>
      </c>
      <c r="L265" s="788">
        <f>IFERROR(IF(OR(NOT(ISNUMBER('Base de datos Rutas'!K263)),N('Base de datos Rutas'!BK263)=0),"",'Base de datos Rutas'!K263/('Base de datos Rutas'!L263/'Base de datos Rutas'!BK263)),"")</f>
        <v>9.7195963690476201</v>
      </c>
      <c r="M265" s="787">
        <f>IF(ISNUMBER('Base de datos Rutas'!AX263),'Base de datos Rutas'!AX263,"")</f>
        <v>337.05005234527403</v>
      </c>
      <c r="N265" s="790">
        <f>IFERROR(INDEX('Hoja de apoyo v2'!B$17:B$20,MATCH($A265,'Hoja de apoyo v2'!$A$17:$A$20,0)),"")</f>
        <v>89.41621024641401</v>
      </c>
      <c r="O265" s="791">
        <f>IFERROR(INDEX('Hoja de apoyo v2'!C$17:C$20,MATCH($A265,'Hoja de apoyo v2'!$A$17:$A$20,0)),"")</f>
        <v>0.54706375874806301</v>
      </c>
      <c r="P265" s="793">
        <f>IFERROR(INDEX('Hoja de apoyo v2'!D$17:D$20,MATCH($A265,'Hoja de apoyo v2'!$A$17:$A$20,0)),"")</f>
        <v>11095.153935793827</v>
      </c>
      <c r="Q265" s="793">
        <f>IFERROR(INDEX('Hoja de apoyo v2'!E$17:E$20,MATCH($A265,'Hoja de apoyo v2'!$A$17:$A$20,0)),"")</f>
        <v>6982.3202019701848</v>
      </c>
      <c r="R265" s="793">
        <f>IFERROR(INDEX('Hoja de apoyo v2'!F$17:F$20,MATCH($A265,'Hoja de apoyo v2'!$A$17:$A$20,0)),"")</f>
        <v>448.09513474485743</v>
      </c>
      <c r="S265" s="793">
        <f>IFERROR(INDEX('Hoja de apoyo v2'!G$17:G$20,MATCH($A265,'Hoja de apoyo v2'!$A$17:$A$20,0)),"")</f>
        <v>83.406300904207839</v>
      </c>
      <c r="T265" s="792">
        <f>IFERROR(INDEX('Hoja de apoyo v2'!H$17:H$20,MATCH($A265,'Hoja de apoyo v2'!$A$17:$A$20,0)),"")</f>
        <v>378.97014028925349</v>
      </c>
      <c r="U265" s="794">
        <f t="shared" si="148"/>
        <v>0.56331002488519832</v>
      </c>
      <c r="V265" s="795">
        <f t="shared" si="149"/>
        <v>0.84186359154205559</v>
      </c>
      <c r="W265" s="795">
        <f t="shared" si="150"/>
        <v>0.10431195002382249</v>
      </c>
      <c r="X265" s="843">
        <f t="shared" si="151"/>
        <v>0.95921007788672941</v>
      </c>
      <c r="Y265" s="843">
        <f t="shared" si="152"/>
        <v>0.99128818612648673</v>
      </c>
      <c r="Z265" s="843">
        <f t="shared" si="153"/>
        <v>0.1165331187653386</v>
      </c>
      <c r="AA265" s="843">
        <f t="shared" si="154"/>
        <v>0.88938419287603121</v>
      </c>
      <c r="AB265" s="796">
        <f t="shared" si="155"/>
        <v>2</v>
      </c>
      <c r="AC265" s="797">
        <f t="shared" si="156"/>
        <v>3</v>
      </c>
      <c r="AD265" s="797">
        <f t="shared" si="157"/>
        <v>1</v>
      </c>
      <c r="AE265" s="842">
        <f t="shared" si="158"/>
        <v>3</v>
      </c>
      <c r="AF265" s="842">
        <f t="shared" si="159"/>
        <v>3</v>
      </c>
      <c r="AG265" s="842">
        <f t="shared" si="160"/>
        <v>1</v>
      </c>
      <c r="AH265" s="842">
        <f t="shared" si="161"/>
        <v>3</v>
      </c>
      <c r="AI265" s="826" cm="1">
        <f t="array" ref="AI265">SUMPRODUCT(--ISNUMBER($U265:$AA265),$AB$3:$AH$3)</f>
        <v>1</v>
      </c>
      <c r="AJ265" s="829">
        <f t="shared" si="162"/>
        <v>26.459887347087808</v>
      </c>
      <c r="AK265" s="827" t="str">
        <f t="shared" si="163"/>
        <v>Inmadura</v>
      </c>
      <c r="AL265" s="784" t="str">
        <f t="shared" si="164"/>
        <v>Alta</v>
      </c>
      <c r="AM265" s="799">
        <f>IF(ISNUMBER('Base de datos Rutas'!W263),'Base de datos Rutas'!W263,"")</f>
        <v>2854.7551675604168</v>
      </c>
      <c r="AN265" s="787">
        <f>IFERROR(SUMIFS('Base de datos Rutas'!$W$6:$W$794,'Base de datos Rutas'!$C$6:$C$794,$C265)/'Base de datos Rutas'!I263,"")</f>
        <v>2854.7551675604172</v>
      </c>
      <c r="AO265" s="800">
        <f>IFERROR('Base de datos Rutas'!X263*AN265/AM265,"")</f>
        <v>0.39497815263374952</v>
      </c>
      <c r="AP265" s="800">
        <f t="shared" si="165"/>
        <v>0.60502184736625053</v>
      </c>
      <c r="AQ265" s="789">
        <f>IFERROR(INDEX('Hoja de apoyo v2'!$J$17:$J$20,MATCH($A265,'Hoja de apoyo v2'!$A$17:$A$20,0)),"")</f>
        <v>0.64320274048480885</v>
      </c>
      <c r="AR265" s="789">
        <f t="shared" si="166"/>
        <v>-3.8180893118558323E-2</v>
      </c>
      <c r="AS265" s="784" t="str">
        <f t="shared" si="167"/>
        <v>No</v>
      </c>
      <c r="AT265" s="801">
        <f>IF(ISNUMBER('Base de datos Rutas'!CK263),'Base de datos Rutas'!CK263,"")</f>
        <v>243</v>
      </c>
      <c r="AU265" s="802">
        <f>IF(ISNUMBER('Base de datos Rutas'!CL263),'Base de datos Rutas'!CL263,"")</f>
        <v>243</v>
      </c>
      <c r="AV265" s="802">
        <f>IF(ISNUMBER('Base de datos Rutas'!CM263),'Base de datos Rutas'!CM263,"")</f>
        <v>0</v>
      </c>
      <c r="AW265" s="802">
        <f>IF(ISNUMBER('Base de datos Rutas'!CN263),'Base de datos Rutas'!CN263,"")</f>
        <v>17.53</v>
      </c>
      <c r="AX265" s="802">
        <f>IF(ISNUMBER('Base de datos Rutas'!CO263),'Base de datos Rutas'!CO263,"")</f>
        <v>9.4499999999999993</v>
      </c>
      <c r="AY265" s="802">
        <f>IF(ISNUMBER('Base de datos Rutas'!CP263),'Base de datos Rutas'!CP263,"")</f>
        <v>-8.0800000000000018</v>
      </c>
      <c r="AZ265" s="802">
        <f>IF(ISNUMBER('Base de datos Rutas'!CQ263),'Base de datos Rutas'!CQ263,"")</f>
        <v>564.37</v>
      </c>
      <c r="BA265" s="802">
        <f>IF(ISNUMBER('Base de datos Rutas'!CR263),'Base de datos Rutas'!CR263,"")</f>
        <v>453.91</v>
      </c>
      <c r="BB265" s="803">
        <f>IF(ISNUMBER('Base de datos Rutas'!CS263),'Base de datos Rutas'!CS263,"")</f>
        <v>110.45999999999998</v>
      </c>
      <c r="BC265" s="804">
        <f t="shared" ref="BC265:BC328" si="177">IF(OR(COUNT($AV265,$AY265,$BB265)&lt;3,NOT(ISNUMBER($AT265)),N($AT265)&lt;=0,N($AZ265)&lt;=0),"",COUNTIF($AV265,"&lt;="&amp;$BC$4)+COUNTIF($AY265,"&lt;="&amp;$BC$4)+COUNTIF($BB265,"&lt;="&amp;$BC$4))</f>
        <v>2</v>
      </c>
      <c r="BD265" s="805" t="str">
        <f t="shared" ref="BD265:BD328" si="178">IF(NOT(ISNUMBER($BC265)),"N/D",IF($BC265&gt;=1,"Saturada","No saturada"))</f>
        <v>Saturada</v>
      </c>
      <c r="BE265" s="806">
        <f t="shared" ref="BE265:BE328" si="179">IF(AND(ISNUMBER($AZ265),ISNUMBER($BA265),$AZ265&lt;&gt;0),$BA265/$AZ265,"")</f>
        <v>0.80427733579035032</v>
      </c>
      <c r="BF265" s="890">
        <f>IF(ISNUMBER('Base de datos Rutas'!CX263),'Base de datos Rutas'!CX263/100,"")</f>
        <v>2.1093000958772772E-3</v>
      </c>
      <c r="BG265" s="891">
        <f>IF(ISNUMBER('Base de datos Rutas'!CZ263),'Base de datos Rutas'!CZ263/100,"")</f>
        <v>2.1093000958772772E-3</v>
      </c>
      <c r="BH265" s="892">
        <f>IF(ISNUMBER('Base de datos Rutas'!DA263),'Base de datos Rutas'!DA263,"")</f>
        <v>0</v>
      </c>
      <c r="BI265" s="893">
        <f>IF(ISNUMBER('Base de datos Rutas'!DC263),'Base de datos Rutas'!DC263,"")</f>
        <v>0</v>
      </c>
      <c r="BJ265" s="805" t="str">
        <f t="shared" ref="BJ265:BJ328" si="180">IF(COUNT($BF265:$BI265)=4,"Ruta (completo)",IF(COUNT($BF265:$BI265)=0,"Sin dato","Ruta (parcial)"))</f>
        <v>Ruta (completo)</v>
      </c>
      <c r="BK265" s="783">
        <f t="shared" si="168"/>
        <v>1</v>
      </c>
      <c r="BL265" s="797">
        <f t="shared" si="169"/>
        <v>1</v>
      </c>
      <c r="BM265" s="797">
        <f t="shared" si="170"/>
        <v>1</v>
      </c>
      <c r="BN265" s="797">
        <f t="shared" si="171"/>
        <v>1</v>
      </c>
      <c r="BO265" s="798" cm="1">
        <f t="array" ref="BO265">SUMPRODUCT(--ISNUMBER($BF265:$BI265),$BK$3:$BN$3)</f>
        <v>1</v>
      </c>
      <c r="BP265" s="831">
        <f t="shared" ref="BP265:BP328" si="181">IF(BO265&lt;$BO$4,"",(SUMPRODUCT($BK265:$BN265,$BK$3:$BN$3)/BO265-1)/4*100)</f>
        <v>0</v>
      </c>
      <c r="BQ265" s="834" t="str">
        <f t="shared" ref="BQ265:BQ328" si="182">IF(BP265="","Sin datos",IF(BP265&gt;=$BP$4,"Alto",IF(BP265&lt;$BQ$4,"Bajo","Medio")))</f>
        <v>Bajo</v>
      </c>
      <c r="BR265" s="836">
        <f t="shared" si="172"/>
        <v>44.844915510315857</v>
      </c>
      <c r="BS265" s="836">
        <f t="shared" si="173"/>
        <v>0</v>
      </c>
      <c r="BT265" s="837" t="str">
        <f t="shared" si="174"/>
        <v>P2</v>
      </c>
      <c r="BU265" s="807" t="str">
        <f t="shared" ref="BU265:BU328" si="183">IF(OR($AK265="Ruta inactiva",$AK265="No elegible",$AK265="Sin datos"),"No evaluable",IF($BD265="Saturada","Al tope","Con espacio"))</f>
        <v>Al tope</v>
      </c>
      <c r="BV265" s="807" t="str">
        <f t="shared" si="175"/>
        <v>Zona de bajo potencial</v>
      </c>
      <c r="BW265" s="808" t="str">
        <f t="shared" si="176"/>
        <v>P2 - Mantener</v>
      </c>
    </row>
    <row r="266" spans="1:75">
      <c r="A266" s="780" t="str">
        <f>'Base de datos Rutas'!A264</f>
        <v>Occidente</v>
      </c>
      <c r="B266" s="781" t="str">
        <f>'Base de datos Rutas'!B264</f>
        <v>Aguascalientes</v>
      </c>
      <c r="C266" s="781" t="str">
        <f>'Base de datos Rutas'!C264</f>
        <v>Planta Aguascalientes</v>
      </c>
      <c r="D266" s="782">
        <f>IF(ISNUMBER('Base de datos Rutas'!D264),'Base de datos Rutas'!D264,"Sin código")</f>
        <v>901415</v>
      </c>
      <c r="E266" s="783" t="str">
        <f>'Base de datos Rutas'!F264</f>
        <v>Activa</v>
      </c>
      <c r="F266" s="784" t="str">
        <f>'Base de datos Rutas'!H264</f>
        <v>Sí</v>
      </c>
      <c r="G266" s="785">
        <f>IF(ISNUMBER('Base de datos Rutas'!BE264),'Base de datos Rutas'!BE264,"")</f>
        <v>27.345238095238098</v>
      </c>
      <c r="H266" s="786">
        <f>IF(ISNUMBER('Base de datos Rutas'!BH264),'Base de datos Rutas'!BH264,"")</f>
        <v>0.57187636047017898</v>
      </c>
      <c r="I266" s="788">
        <f>IFERROR(IF(OR(NOT(ISNUMBER('Base de datos Rutas'!O264)),N('Base de datos Rutas'!BK264)=0),"",'Base de datos Rutas'!O264/('Base de datos Rutas'!L264/'Base de datos Rutas'!BK264)),"")</f>
        <v>1488.974178403754</v>
      </c>
      <c r="J266" s="788">
        <f>IFERROR(IF(OR(NOT(ISNUMBER('Base de datos Rutas'!N264)),N('Base de datos Rutas'!BK264)=0),"",'Base de datos Rutas'!N264/('Base de datos Rutas'!L264/'Base de datos Rutas'!BK264)),"")</f>
        <v>4353.0727699530462</v>
      </c>
      <c r="K266" s="788">
        <f>IFERROR(IF(OR(NOT(ISNUMBER('Base de datos Rutas'!J264)),N('Base de datos Rutas'!BK264)=0),"",'Base de datos Rutas'!J264/('Base de datos Rutas'!L264/'Base de datos Rutas'!BK264)),"")</f>
        <v>291.34216901408411</v>
      </c>
      <c r="L266" s="788">
        <f>IFERROR(IF(OR(NOT(ISNUMBER('Base de datos Rutas'!K264)),N('Base de datos Rutas'!BK264)=0),"",'Base de datos Rutas'!K264/('Base de datos Rutas'!L264/'Base de datos Rutas'!BK264)),"")</f>
        <v>11.11156420187792</v>
      </c>
      <c r="M266" s="787">
        <f>IF(ISNUMBER('Base de datos Rutas'!AX264),'Base de datos Rutas'!AX264,"")</f>
        <v>369.85142965318801</v>
      </c>
      <c r="N266" s="790">
        <f>IFERROR(INDEX('Hoja de apoyo v2'!B$17:B$20,MATCH($A266,'Hoja de apoyo v2'!$A$17:$A$20,0)),"")</f>
        <v>89.41621024641401</v>
      </c>
      <c r="O266" s="791">
        <f>IFERROR(INDEX('Hoja de apoyo v2'!C$17:C$20,MATCH($A266,'Hoja de apoyo v2'!$A$17:$A$20,0)),"")</f>
        <v>0.54706375874806301</v>
      </c>
      <c r="P266" s="793">
        <f>IFERROR(INDEX('Hoja de apoyo v2'!D$17:D$20,MATCH($A266,'Hoja de apoyo v2'!$A$17:$A$20,0)),"")</f>
        <v>11095.153935793827</v>
      </c>
      <c r="Q266" s="793">
        <f>IFERROR(INDEX('Hoja de apoyo v2'!E$17:E$20,MATCH($A266,'Hoja de apoyo v2'!$A$17:$A$20,0)),"")</f>
        <v>6982.3202019701848</v>
      </c>
      <c r="R266" s="793">
        <f>IFERROR(INDEX('Hoja de apoyo v2'!F$17:F$20,MATCH($A266,'Hoja de apoyo v2'!$A$17:$A$20,0)),"")</f>
        <v>448.09513474485743</v>
      </c>
      <c r="S266" s="793">
        <f>IFERROR(INDEX('Hoja de apoyo v2'!G$17:G$20,MATCH($A266,'Hoja de apoyo v2'!$A$17:$A$20,0)),"")</f>
        <v>83.406300904207839</v>
      </c>
      <c r="T266" s="792">
        <f>IFERROR(INDEX('Hoja de apoyo v2'!H$17:H$20,MATCH($A266,'Hoja de apoyo v2'!$A$17:$A$20,0)),"")</f>
        <v>378.97014028925349</v>
      </c>
      <c r="U266" s="794">
        <f t="shared" si="148"/>
        <v>0.305819694436611</v>
      </c>
      <c r="V266" s="795">
        <f t="shared" si="149"/>
        <v>1.0453559595665756</v>
      </c>
      <c r="W266" s="795">
        <f t="shared" si="150"/>
        <v>0.13420040740491285</v>
      </c>
      <c r="X266" s="843">
        <f t="shared" si="151"/>
        <v>0.62344215733972641</v>
      </c>
      <c r="Y266" s="843">
        <f t="shared" si="152"/>
        <v>0.65017927315808177</v>
      </c>
      <c r="Z266" s="843">
        <f t="shared" si="153"/>
        <v>0.13322211968900952</v>
      </c>
      <c r="AA266" s="843">
        <f t="shared" si="154"/>
        <v>0.97593818175462177</v>
      </c>
      <c r="AB266" s="796">
        <f t="shared" si="155"/>
        <v>1</v>
      </c>
      <c r="AC266" s="797">
        <f t="shared" si="156"/>
        <v>4</v>
      </c>
      <c r="AD266" s="797">
        <f t="shared" si="157"/>
        <v>1</v>
      </c>
      <c r="AE266" s="842">
        <f t="shared" si="158"/>
        <v>2</v>
      </c>
      <c r="AF266" s="842">
        <f t="shared" si="159"/>
        <v>2</v>
      </c>
      <c r="AG266" s="842">
        <f t="shared" si="160"/>
        <v>1</v>
      </c>
      <c r="AH266" s="842">
        <f t="shared" si="161"/>
        <v>3</v>
      </c>
      <c r="AI266" s="826" cm="1">
        <f t="array" ref="AI266">SUMPRODUCT(--ISNUMBER($U266:$AA266),$AB$3:$AH$3)</f>
        <v>1</v>
      </c>
      <c r="AJ266" s="829">
        <f t="shared" si="162"/>
        <v>17.973664596583049</v>
      </c>
      <c r="AK266" s="827" t="str">
        <f t="shared" si="163"/>
        <v>Inmadura</v>
      </c>
      <c r="AL266" s="784" t="str">
        <f t="shared" si="164"/>
        <v>Alta</v>
      </c>
      <c r="AM266" s="799">
        <f>IF(ISNUMBER('Base de datos Rutas'!W264),'Base de datos Rutas'!W264,"")</f>
        <v>2854.7551675604168</v>
      </c>
      <c r="AN266" s="787">
        <f>IFERROR(SUMIFS('Base de datos Rutas'!$W$6:$W$794,'Base de datos Rutas'!$C$6:$C$794,$C266)/'Base de datos Rutas'!I264,"")</f>
        <v>2854.7551675604172</v>
      </c>
      <c r="AO266" s="800">
        <f>IFERROR('Base de datos Rutas'!X264*AN266/AM266,"")</f>
        <v>0.39497815263374952</v>
      </c>
      <c r="AP266" s="800">
        <f t="shared" si="165"/>
        <v>0.60502184736625053</v>
      </c>
      <c r="AQ266" s="789">
        <f>IFERROR(INDEX('Hoja de apoyo v2'!$J$17:$J$20,MATCH($A266,'Hoja de apoyo v2'!$A$17:$A$20,0)),"")</f>
        <v>0.64320274048480885</v>
      </c>
      <c r="AR266" s="789">
        <f t="shared" si="166"/>
        <v>-3.8180893118558323E-2</v>
      </c>
      <c r="AS266" s="784" t="str">
        <f t="shared" si="167"/>
        <v>No</v>
      </c>
      <c r="AT266" s="801">
        <f>IF(ISNUMBER('Base de datos Rutas'!CK264),'Base de datos Rutas'!CK264,"")</f>
        <v>199</v>
      </c>
      <c r="AU266" s="802">
        <f>IF(ISNUMBER('Base de datos Rutas'!CL264),'Base de datos Rutas'!CL264,"")</f>
        <v>272.31</v>
      </c>
      <c r="AV266" s="802">
        <f>IF(ISNUMBER('Base de datos Rutas'!CM264),'Base de datos Rutas'!CM264,"")</f>
        <v>73.31</v>
      </c>
      <c r="AW266" s="802">
        <f>IF(ISNUMBER('Base de datos Rutas'!CN264),'Base de datos Rutas'!CN264,"")</f>
        <v>9.23</v>
      </c>
      <c r="AX266" s="802">
        <f>IF(ISNUMBER('Base de datos Rutas'!CO264),'Base de datos Rutas'!CO264,"")</f>
        <v>9.4499999999999993</v>
      </c>
      <c r="AY266" s="802">
        <f>IF(ISNUMBER('Base de datos Rutas'!CP264),'Base de datos Rutas'!CP264,"")</f>
        <v>0.21999999999999886</v>
      </c>
      <c r="AZ266" s="802">
        <f>IF(ISNUMBER('Base de datos Rutas'!CQ264),'Base de datos Rutas'!CQ264,"")</f>
        <v>564.37</v>
      </c>
      <c r="BA266" s="802">
        <f>IF(ISNUMBER('Base de datos Rutas'!CR264),'Base de datos Rutas'!CR264,"")</f>
        <v>302.45</v>
      </c>
      <c r="BB266" s="803">
        <f>IF(ISNUMBER('Base de datos Rutas'!CS264),'Base de datos Rutas'!CS264,"")</f>
        <v>261.92</v>
      </c>
      <c r="BC266" s="804">
        <f t="shared" si="177"/>
        <v>0</v>
      </c>
      <c r="BD266" s="805" t="str">
        <f t="shared" si="178"/>
        <v>No saturada</v>
      </c>
      <c r="BE266" s="806">
        <f t="shared" si="179"/>
        <v>0.53590729485975508</v>
      </c>
      <c r="BF266" s="890">
        <f>IF(ISNUMBER('Base de datos Rutas'!CX264),'Base de datos Rutas'!CX264/100,"")</f>
        <v>0.44268288012255835</v>
      </c>
      <c r="BG266" s="891">
        <f>IF(ISNUMBER('Base de datos Rutas'!CZ264),'Base de datos Rutas'!CZ264/100,"")</f>
        <v>0.45672156261968594</v>
      </c>
      <c r="BH266" s="892">
        <f>IF(ISNUMBER('Base de datos Rutas'!DA264),'Base de datos Rutas'!DA264,"")</f>
        <v>320.98360247086572</v>
      </c>
      <c r="BI266" s="893">
        <f>IF(ISNUMBER('Base de datos Rutas'!DC264),'Base de datos Rutas'!DC264,"")</f>
        <v>17.535268001306815</v>
      </c>
      <c r="BJ266" s="805" t="str">
        <f t="shared" si="180"/>
        <v>Ruta (completo)</v>
      </c>
      <c r="BK266" s="783">
        <f t="shared" si="168"/>
        <v>3</v>
      </c>
      <c r="BL266" s="797">
        <f t="shared" si="169"/>
        <v>3</v>
      </c>
      <c r="BM266" s="797">
        <f t="shared" si="170"/>
        <v>4</v>
      </c>
      <c r="BN266" s="797">
        <f t="shared" si="171"/>
        <v>5</v>
      </c>
      <c r="BO266" s="798" cm="1">
        <f t="array" ref="BO266">SUMPRODUCT(--ISNUMBER($BF266:$BI266),$BK$3:$BN$3)</f>
        <v>1</v>
      </c>
      <c r="BP266" s="831">
        <f t="shared" si="181"/>
        <v>68.75</v>
      </c>
      <c r="BQ266" s="834" t="str">
        <f t="shared" si="182"/>
        <v>Alto</v>
      </c>
      <c r="BR266" s="836">
        <f t="shared" si="172"/>
        <v>13.480248447437287</v>
      </c>
      <c r="BS266" s="836">
        <f t="shared" si="173"/>
        <v>68.75</v>
      </c>
      <c r="BT266" s="837" t="str">
        <f t="shared" si="174"/>
        <v>P3</v>
      </c>
      <c r="BU266" s="807" t="str">
        <f t="shared" si="183"/>
        <v>Con espacio</v>
      </c>
      <c r="BV266" s="807" t="str">
        <f t="shared" si="175"/>
        <v>Zona atractiva</v>
      </c>
      <c r="BW266" s="808" t="str">
        <f t="shared" si="176"/>
        <v>P3 - Desarrollar</v>
      </c>
    </row>
    <row r="267" spans="1:75">
      <c r="A267" s="780" t="str">
        <f>'Base de datos Rutas'!A265</f>
        <v>Occidente</v>
      </c>
      <c r="B267" s="781" t="str">
        <f>'Base de datos Rutas'!B265</f>
        <v>Aguascalientes</v>
      </c>
      <c r="C267" s="781" t="str">
        <f>'Base de datos Rutas'!C265</f>
        <v>Planta Aguascalientes</v>
      </c>
      <c r="D267" s="782">
        <f>IF(ISNUMBER('Base de datos Rutas'!D265),'Base de datos Rutas'!D265,"Sin código")</f>
        <v>901416</v>
      </c>
      <c r="E267" s="783" t="str">
        <f>'Base de datos Rutas'!F265</f>
        <v>Activa</v>
      </c>
      <c r="F267" s="784" t="str">
        <f>'Base de datos Rutas'!H265</f>
        <v>Sí</v>
      </c>
      <c r="G267" s="785">
        <f>IF(ISNUMBER('Base de datos Rutas'!BE265),'Base de datos Rutas'!BE265,"")</f>
        <v>139.37931034482801</v>
      </c>
      <c r="H267" s="786">
        <f>IF(ISNUMBER('Base de datos Rutas'!BH265),'Base de datos Rutas'!BH265,"")</f>
        <v>1.7812963879267701E-2</v>
      </c>
      <c r="I267" s="788">
        <f>IFERROR(IF(OR(NOT(ISNUMBER('Base de datos Rutas'!O265)),N('Base de datos Rutas'!BK265)=0),"",'Base de datos Rutas'!O265/('Base de datos Rutas'!L265/'Base de datos Rutas'!BK265)),"")</f>
        <v>11.793103448275861</v>
      </c>
      <c r="J267" s="788">
        <f>IFERROR(IF(OR(NOT(ISNUMBER('Base de datos Rutas'!N265)),N('Base de datos Rutas'!BK265)=0),"",'Base de datos Rutas'!N265/('Base de datos Rutas'!L265/'Base de datos Rutas'!BK265)),"")</f>
        <v>14561.741379310344</v>
      </c>
      <c r="K267" s="788">
        <f>IFERROR(IF(OR(NOT(ISNUMBER('Base de datos Rutas'!J265)),N('Base de datos Rutas'!BK265)=0),"",'Base de datos Rutas'!J265/('Base de datos Rutas'!L265/'Base de datos Rutas'!BK265)),"")</f>
        <v>987.42588965517245</v>
      </c>
      <c r="L267" s="788">
        <f>IFERROR(IF(OR(NOT(ISNUMBER('Base de datos Rutas'!K265)),N('Base de datos Rutas'!BK265)=0),"",'Base de datos Rutas'!K265/('Base de datos Rutas'!L265/'Base de datos Rutas'!BK265)),"")</f>
        <v>0.36438620689655171</v>
      </c>
      <c r="M267" s="787">
        <f>IF(ISNUMBER('Base de datos Rutas'!AX265),'Base de datos Rutas'!AX265,"")</f>
        <v>5869.8936111111097</v>
      </c>
      <c r="N267" s="790">
        <f>IFERROR(INDEX('Hoja de apoyo v2'!B$17:B$20,MATCH($A267,'Hoja de apoyo v2'!$A$17:$A$20,0)),"")</f>
        <v>89.41621024641401</v>
      </c>
      <c r="O267" s="791">
        <f>IFERROR(INDEX('Hoja de apoyo v2'!C$17:C$20,MATCH($A267,'Hoja de apoyo v2'!$A$17:$A$20,0)),"")</f>
        <v>0.54706375874806301</v>
      </c>
      <c r="P267" s="793">
        <f>IFERROR(INDEX('Hoja de apoyo v2'!D$17:D$20,MATCH($A267,'Hoja de apoyo v2'!$A$17:$A$20,0)),"")</f>
        <v>11095.153935793827</v>
      </c>
      <c r="Q267" s="793">
        <f>IFERROR(INDEX('Hoja de apoyo v2'!E$17:E$20,MATCH($A267,'Hoja de apoyo v2'!$A$17:$A$20,0)),"")</f>
        <v>6982.3202019701848</v>
      </c>
      <c r="R267" s="793">
        <f>IFERROR(INDEX('Hoja de apoyo v2'!F$17:F$20,MATCH($A267,'Hoja de apoyo v2'!$A$17:$A$20,0)),"")</f>
        <v>448.09513474485743</v>
      </c>
      <c r="S267" s="793">
        <f>IFERROR(INDEX('Hoja de apoyo v2'!G$17:G$20,MATCH($A267,'Hoja de apoyo v2'!$A$17:$A$20,0)),"")</f>
        <v>83.406300904207839</v>
      </c>
      <c r="T267" s="792">
        <f>IFERROR(INDEX('Hoja de apoyo v2'!H$17:H$20,MATCH($A267,'Hoja de apoyo v2'!$A$17:$A$20,0)),"")</f>
        <v>378.97014028925349</v>
      </c>
      <c r="U267" s="794">
        <f t="shared" si="148"/>
        <v>1.5587700480788129</v>
      </c>
      <c r="V267" s="795">
        <f t="shared" si="149"/>
        <v>3.2561038077229001E-2</v>
      </c>
      <c r="W267" s="795">
        <f t="shared" si="150"/>
        <v>1.0629057980196556E-3</v>
      </c>
      <c r="X267" s="843">
        <f t="shared" si="151"/>
        <v>2.0855161261727142</v>
      </c>
      <c r="Y267" s="843">
        <f t="shared" si="152"/>
        <v>2.2036077008901391</v>
      </c>
      <c r="Z267" s="843">
        <f t="shared" si="153"/>
        <v>4.3688091061015811E-3</v>
      </c>
      <c r="AA267" s="843">
        <f t="shared" si="154"/>
        <v>15.489066253691764</v>
      </c>
      <c r="AB267" s="796">
        <f t="shared" si="155"/>
        <v>5</v>
      </c>
      <c r="AC267" s="797">
        <f t="shared" si="156"/>
        <v>1</v>
      </c>
      <c r="AD267" s="797">
        <f t="shared" si="157"/>
        <v>1</v>
      </c>
      <c r="AE267" s="842">
        <f t="shared" si="158"/>
        <v>5</v>
      </c>
      <c r="AF267" s="842">
        <f t="shared" si="159"/>
        <v>5</v>
      </c>
      <c r="AG267" s="842">
        <f t="shared" si="160"/>
        <v>1</v>
      </c>
      <c r="AH267" s="842">
        <f t="shared" si="161"/>
        <v>5</v>
      </c>
      <c r="AI267" s="826" cm="1">
        <f t="array" ref="AI267">SUMPRODUCT(--ISNUMBER($U267:$AA267),$AB$3:$AH$3)</f>
        <v>1</v>
      </c>
      <c r="AJ267" s="829">
        <f t="shared" si="162"/>
        <v>52.4554247068872</v>
      </c>
      <c r="AK267" s="827" t="str">
        <f t="shared" si="163"/>
        <v>En desarrollo</v>
      </c>
      <c r="AL267" s="784" t="str">
        <f t="shared" si="164"/>
        <v>Alta</v>
      </c>
      <c r="AM267" s="799">
        <f>IF(ISNUMBER('Base de datos Rutas'!W265),'Base de datos Rutas'!W265,"")</f>
        <v>2854.7551675604168</v>
      </c>
      <c r="AN267" s="787">
        <f>IFERROR(SUMIFS('Base de datos Rutas'!$W$6:$W$794,'Base de datos Rutas'!$C$6:$C$794,$C267)/'Base de datos Rutas'!I265,"")</f>
        <v>2854.7551675604172</v>
      </c>
      <c r="AO267" s="800">
        <f>IFERROR('Base de datos Rutas'!X265*AN267/AM267,"")</f>
        <v>0.39497815263374952</v>
      </c>
      <c r="AP267" s="800">
        <f t="shared" si="165"/>
        <v>0.60502184736625053</v>
      </c>
      <c r="AQ267" s="789">
        <f>IFERROR(INDEX('Hoja de apoyo v2'!$J$17:$J$20,MATCH($A267,'Hoja de apoyo v2'!$A$17:$A$20,0)),"")</f>
        <v>0.64320274048480885</v>
      </c>
      <c r="AR267" s="789">
        <f t="shared" si="166"/>
        <v>-3.8180893118558323E-2</v>
      </c>
      <c r="AS267" s="784" t="str">
        <f t="shared" si="167"/>
        <v>No</v>
      </c>
      <c r="AT267" s="801" t="str">
        <f>IF(ISNUMBER('Base de datos Rutas'!CK265),'Base de datos Rutas'!CK265,"")</f>
        <v/>
      </c>
      <c r="AU267" s="802" t="str">
        <f>IF(ISNUMBER('Base de datos Rutas'!CL265),'Base de datos Rutas'!CL265,"")</f>
        <v/>
      </c>
      <c r="AV267" s="802">
        <f>IF(ISNUMBER('Base de datos Rutas'!CM265),'Base de datos Rutas'!CM265,"")</f>
        <v>0</v>
      </c>
      <c r="AW267" s="802" t="str">
        <f>IF(ISNUMBER('Base de datos Rutas'!CN265),'Base de datos Rutas'!CN265,"")</f>
        <v/>
      </c>
      <c r="AX267" s="802" t="str">
        <f>IF(ISNUMBER('Base de datos Rutas'!CO265),'Base de datos Rutas'!CO265,"")</f>
        <v/>
      </c>
      <c r="AY267" s="802">
        <f>IF(ISNUMBER('Base de datos Rutas'!CP265),'Base de datos Rutas'!CP265,"")</f>
        <v>0</v>
      </c>
      <c r="AZ267" s="802" t="str">
        <f>IF(ISNUMBER('Base de datos Rutas'!CQ265),'Base de datos Rutas'!CQ265,"")</f>
        <v/>
      </c>
      <c r="BA267" s="802" t="str">
        <f>IF(ISNUMBER('Base de datos Rutas'!CR265),'Base de datos Rutas'!CR265,"")</f>
        <v/>
      </c>
      <c r="BB267" s="803">
        <f>IF(ISNUMBER('Base de datos Rutas'!CS265),'Base de datos Rutas'!CS265,"")</f>
        <v>0</v>
      </c>
      <c r="BC267" s="804" t="str">
        <f t="shared" si="177"/>
        <v/>
      </c>
      <c r="BD267" s="805" t="str">
        <f t="shared" si="178"/>
        <v>N/D</v>
      </c>
      <c r="BE267" s="806" t="str">
        <f t="shared" si="179"/>
        <v/>
      </c>
      <c r="BF267" s="890" t="str">
        <f>IF(ISNUMBER('Base de datos Rutas'!CX265),'Base de datos Rutas'!CX265/100,"")</f>
        <v/>
      </c>
      <c r="BG267" s="891" t="str">
        <f>IF(ISNUMBER('Base de datos Rutas'!CZ265),'Base de datos Rutas'!CZ265/100,"")</f>
        <v/>
      </c>
      <c r="BH267" s="892" t="str">
        <f>IF(ISNUMBER('Base de datos Rutas'!DA265),'Base de datos Rutas'!DA265,"")</f>
        <v/>
      </c>
      <c r="BI267" s="893" t="str">
        <f>IF(ISNUMBER('Base de datos Rutas'!DC265),'Base de datos Rutas'!DC265,"")</f>
        <v/>
      </c>
      <c r="BJ267" s="805" t="str">
        <f t="shared" si="180"/>
        <v>Sin dato</v>
      </c>
      <c r="BK267" s="783">
        <f t="shared" si="168"/>
        <v>0</v>
      </c>
      <c r="BL267" s="797">
        <f t="shared" si="169"/>
        <v>0</v>
      </c>
      <c r="BM267" s="797">
        <f t="shared" si="170"/>
        <v>0</v>
      </c>
      <c r="BN267" s="797">
        <f t="shared" si="171"/>
        <v>0</v>
      </c>
      <c r="BO267" s="798" cm="1">
        <f t="array" ref="BO267">SUMPRODUCT(--ISNUMBER($BF267:$BI267),$BK$3:$BN$3)</f>
        <v>0</v>
      </c>
      <c r="BP267" s="831" t="str">
        <f t="shared" si="181"/>
        <v/>
      </c>
      <c r="BQ267" s="834" t="str">
        <f t="shared" si="182"/>
        <v>Sin datos</v>
      </c>
      <c r="BR267" s="836" t="str">
        <f t="shared" si="172"/>
        <v/>
      </c>
      <c r="BS267" s="836" t="str">
        <f t="shared" si="173"/>
        <v/>
      </c>
      <c r="BT267" s="837" t="str">
        <f t="shared" si="174"/>
        <v>Sin datos</v>
      </c>
      <c r="BU267" s="807" t="str">
        <f t="shared" si="183"/>
        <v>Con espacio</v>
      </c>
      <c r="BV267" s="807" t="str">
        <f t="shared" si="175"/>
        <v>Sin datos de zona</v>
      </c>
      <c r="BW267" s="808" t="str">
        <f t="shared" si="176"/>
        <v>Sin datos</v>
      </c>
    </row>
    <row r="268" spans="1:75">
      <c r="A268" s="780" t="str">
        <f>'Base de datos Rutas'!A266</f>
        <v>Occidente</v>
      </c>
      <c r="B268" s="781" t="str">
        <f>'Base de datos Rutas'!B266</f>
        <v>Aguascalientes</v>
      </c>
      <c r="C268" s="781" t="str">
        <f>'Base de datos Rutas'!C266</f>
        <v>Planta Aguascalientes</v>
      </c>
      <c r="D268" s="782">
        <f>IF(ISNUMBER('Base de datos Rutas'!D266),'Base de datos Rutas'!D266,"Sin código")</f>
        <v>901417</v>
      </c>
      <c r="E268" s="783" t="str">
        <f>'Base de datos Rutas'!F266</f>
        <v>Activa</v>
      </c>
      <c r="F268" s="784" t="str">
        <f>'Base de datos Rutas'!H266</f>
        <v>Sí</v>
      </c>
      <c r="G268" s="785">
        <f>IF(ISNUMBER('Base de datos Rutas'!BE266),'Base de datos Rutas'!BE266,"")</f>
        <v>35.5343137254902</v>
      </c>
      <c r="H268" s="786">
        <f>IF(ISNUMBER('Base de datos Rutas'!BH266),'Base de datos Rutas'!BH266,"")</f>
        <v>0.392812801765761</v>
      </c>
      <c r="I268" s="788">
        <f>IFERROR(IF(OR(NOT(ISNUMBER('Base de datos Rutas'!O266)),N('Base de datos Rutas'!BK266)=0),"",'Base de datos Rutas'!O266/('Base de datos Rutas'!L266/'Base de datos Rutas'!BK266)),"")</f>
        <v>1618.6328502415445</v>
      </c>
      <c r="J268" s="788">
        <f>IFERROR(IF(OR(NOT(ISNUMBER('Base de datos Rutas'!N266)),N('Base de datos Rutas'!BK266)=0),"",'Base de datos Rutas'!N266/('Base de datos Rutas'!L266/'Base de datos Rutas'!BK266)),"")</f>
        <v>6734.5966183574819</v>
      </c>
      <c r="K268" s="788">
        <f>IFERROR(IF(OR(NOT(ISNUMBER('Base de datos Rutas'!J266)),N('Base de datos Rutas'!BK266)=0),"",'Base de datos Rutas'!J266/('Base de datos Rutas'!L266/'Base de datos Rutas'!BK266)),"")</f>
        <v>450.42477294685955</v>
      </c>
      <c r="L268" s="788">
        <f>IFERROR(IF(OR(NOT(ISNUMBER('Base de datos Rutas'!K266)),N('Base de datos Rutas'!BK266)=0),"",'Base de datos Rutas'!K266/('Base de datos Rutas'!L266/'Base de datos Rutas'!BK266)),"")</f>
        <v>13.453692028985495</v>
      </c>
      <c r="M268" s="787">
        <f>IF(ISNUMBER('Base de datos Rutas'!AX266),'Base de datos Rutas'!AX266,"")</f>
        <v>606.92572704975498</v>
      </c>
      <c r="N268" s="790">
        <f>IFERROR(INDEX('Hoja de apoyo v2'!B$17:B$20,MATCH($A268,'Hoja de apoyo v2'!$A$17:$A$20,0)),"")</f>
        <v>89.41621024641401</v>
      </c>
      <c r="O268" s="791">
        <f>IFERROR(INDEX('Hoja de apoyo v2'!C$17:C$20,MATCH($A268,'Hoja de apoyo v2'!$A$17:$A$20,0)),"")</f>
        <v>0.54706375874806301</v>
      </c>
      <c r="P268" s="793">
        <f>IFERROR(INDEX('Hoja de apoyo v2'!D$17:D$20,MATCH($A268,'Hoja de apoyo v2'!$A$17:$A$20,0)),"")</f>
        <v>11095.153935793827</v>
      </c>
      <c r="Q268" s="793">
        <f>IFERROR(INDEX('Hoja de apoyo v2'!E$17:E$20,MATCH($A268,'Hoja de apoyo v2'!$A$17:$A$20,0)),"")</f>
        <v>6982.3202019701848</v>
      </c>
      <c r="R268" s="793">
        <f>IFERROR(INDEX('Hoja de apoyo v2'!F$17:F$20,MATCH($A268,'Hoja de apoyo v2'!$A$17:$A$20,0)),"")</f>
        <v>448.09513474485743</v>
      </c>
      <c r="S268" s="793">
        <f>IFERROR(INDEX('Hoja de apoyo v2'!G$17:G$20,MATCH($A268,'Hoja de apoyo v2'!$A$17:$A$20,0)),"")</f>
        <v>83.406300904207839</v>
      </c>
      <c r="T268" s="792">
        <f>IFERROR(INDEX('Hoja de apoyo v2'!H$17:H$20,MATCH($A268,'Hoja de apoyo v2'!$A$17:$A$20,0)),"")</f>
        <v>378.97014028925349</v>
      </c>
      <c r="U268" s="794">
        <f t="shared" si="148"/>
        <v>0.39740348676782894</v>
      </c>
      <c r="V268" s="795">
        <f t="shared" si="149"/>
        <v>0.71803842876504897</v>
      </c>
      <c r="W268" s="795">
        <f t="shared" si="150"/>
        <v>0.14588647076087061</v>
      </c>
      <c r="X268" s="843">
        <f t="shared" si="151"/>
        <v>0.96452130861274399</v>
      </c>
      <c r="Y268" s="843">
        <f t="shared" si="152"/>
        <v>1.0051989812460886</v>
      </c>
      <c r="Z268" s="843">
        <f t="shared" si="153"/>
        <v>0.16130306563333943</v>
      </c>
      <c r="AA268" s="843">
        <f t="shared" si="154"/>
        <v>1.6015133186654538</v>
      </c>
      <c r="AB268" s="796">
        <f t="shared" si="155"/>
        <v>1</v>
      </c>
      <c r="AC268" s="797">
        <f t="shared" si="156"/>
        <v>2</v>
      </c>
      <c r="AD268" s="797">
        <f t="shared" si="157"/>
        <v>1</v>
      </c>
      <c r="AE268" s="842">
        <f t="shared" si="158"/>
        <v>3</v>
      </c>
      <c r="AF268" s="842">
        <f t="shared" si="159"/>
        <v>4</v>
      </c>
      <c r="AG268" s="842">
        <f t="shared" si="160"/>
        <v>1</v>
      </c>
      <c r="AH268" s="842">
        <f t="shared" si="161"/>
        <v>5</v>
      </c>
      <c r="AI268" s="826" cm="1">
        <f t="array" ref="AI268">SUMPRODUCT(--ISNUMBER($U268:$AA268),$AB$3:$AH$3)</f>
        <v>1</v>
      </c>
      <c r="AJ268" s="829">
        <f t="shared" si="162"/>
        <v>26.958845775753492</v>
      </c>
      <c r="AK268" s="827" t="str">
        <f t="shared" si="163"/>
        <v>Inmadura</v>
      </c>
      <c r="AL268" s="784" t="str">
        <f t="shared" si="164"/>
        <v>Alta</v>
      </c>
      <c r="AM268" s="799">
        <f>IF(ISNUMBER('Base de datos Rutas'!W266),'Base de datos Rutas'!W266,"")</f>
        <v>2854.7551675604168</v>
      </c>
      <c r="AN268" s="787">
        <f>IFERROR(SUMIFS('Base de datos Rutas'!$W$6:$W$794,'Base de datos Rutas'!$C$6:$C$794,$C268)/'Base de datos Rutas'!I266,"")</f>
        <v>2854.7551675604172</v>
      </c>
      <c r="AO268" s="800">
        <f>IFERROR('Base de datos Rutas'!X266*AN268/AM268,"")</f>
        <v>0.39497815263374952</v>
      </c>
      <c r="AP268" s="800">
        <f t="shared" si="165"/>
        <v>0.60502184736625053</v>
      </c>
      <c r="AQ268" s="789">
        <f>IFERROR(INDEX('Hoja de apoyo v2'!$J$17:$J$20,MATCH($A268,'Hoja de apoyo v2'!$A$17:$A$20,0)),"")</f>
        <v>0.64320274048480885</v>
      </c>
      <c r="AR268" s="789">
        <f t="shared" si="166"/>
        <v>-3.8180893118558323E-2</v>
      </c>
      <c r="AS268" s="784" t="str">
        <f t="shared" si="167"/>
        <v>No</v>
      </c>
      <c r="AT268" s="801">
        <f>IF(ISNUMBER('Base de datos Rutas'!CK266),'Base de datos Rutas'!CK266,"")</f>
        <v>117</v>
      </c>
      <c r="AU268" s="802">
        <f>IF(ISNUMBER('Base de datos Rutas'!CL266),'Base de datos Rutas'!CL266,"")</f>
        <v>117</v>
      </c>
      <c r="AV268" s="802">
        <f>IF(ISNUMBER('Base de datos Rutas'!CM266),'Base de datos Rutas'!CM266,"")</f>
        <v>0</v>
      </c>
      <c r="AW268" s="802" t="str">
        <f>IF(ISNUMBER('Base de datos Rutas'!CN266),'Base de datos Rutas'!CN266,"")</f>
        <v/>
      </c>
      <c r="AX268" s="802">
        <f>IF(ISNUMBER('Base de datos Rutas'!CO266),'Base de datos Rutas'!CO266,"")</f>
        <v>9.4499999999999993</v>
      </c>
      <c r="AY268" s="802">
        <f>IF(ISNUMBER('Base de datos Rutas'!CP266),'Base de datos Rutas'!CP266,"")</f>
        <v>9.4499999999999993</v>
      </c>
      <c r="AZ268" s="802" t="str">
        <f>IF(ISNUMBER('Base de datos Rutas'!CQ266),'Base de datos Rutas'!CQ266,"")</f>
        <v/>
      </c>
      <c r="BA268" s="802" t="str">
        <f>IF(ISNUMBER('Base de datos Rutas'!CR266),'Base de datos Rutas'!CR266,"")</f>
        <v/>
      </c>
      <c r="BB268" s="803">
        <f>IF(ISNUMBER('Base de datos Rutas'!CS266),'Base de datos Rutas'!CS266,"")</f>
        <v>0</v>
      </c>
      <c r="BC268" s="804" t="str">
        <f t="shared" si="177"/>
        <v/>
      </c>
      <c r="BD268" s="805" t="str">
        <f t="shared" si="178"/>
        <v>N/D</v>
      </c>
      <c r="BE268" s="806" t="str">
        <f t="shared" si="179"/>
        <v/>
      </c>
      <c r="BF268" s="890">
        <f>IF(ISNUMBER('Base de datos Rutas'!CX266),'Base de datos Rutas'!CX266/100,"")</f>
        <v>0</v>
      </c>
      <c r="BG268" s="891">
        <f>IF(ISNUMBER('Base de datos Rutas'!CZ266),'Base de datos Rutas'!CZ266/100,"")</f>
        <v>0</v>
      </c>
      <c r="BH268" s="892">
        <f>IF(ISNUMBER('Base de datos Rutas'!DA266),'Base de datos Rutas'!DA266,"")</f>
        <v>0</v>
      </c>
      <c r="BI268" s="893">
        <f>IF(ISNUMBER('Base de datos Rutas'!DC266),'Base de datos Rutas'!DC266,"")</f>
        <v>0</v>
      </c>
      <c r="BJ268" s="805" t="str">
        <f t="shared" si="180"/>
        <v>Ruta (completo)</v>
      </c>
      <c r="BK268" s="783">
        <f t="shared" si="168"/>
        <v>1</v>
      </c>
      <c r="BL268" s="797">
        <f t="shared" si="169"/>
        <v>1</v>
      </c>
      <c r="BM268" s="797">
        <f t="shared" si="170"/>
        <v>1</v>
      </c>
      <c r="BN268" s="797">
        <f t="shared" si="171"/>
        <v>1</v>
      </c>
      <c r="BO268" s="798" cm="1">
        <f t="array" ref="BO268">SUMPRODUCT(--ISNUMBER($BF268:$BI268),$BK$3:$BN$3)</f>
        <v>1</v>
      </c>
      <c r="BP268" s="831">
        <f t="shared" si="181"/>
        <v>0</v>
      </c>
      <c r="BQ268" s="834" t="str">
        <f t="shared" si="182"/>
        <v>Bajo</v>
      </c>
      <c r="BR268" s="836" t="str">
        <f t="shared" si="172"/>
        <v/>
      </c>
      <c r="BS268" s="836">
        <f t="shared" si="173"/>
        <v>0</v>
      </c>
      <c r="BT268" s="837" t="str">
        <f t="shared" si="174"/>
        <v>Sin datos</v>
      </c>
      <c r="BU268" s="807" t="str">
        <f t="shared" si="183"/>
        <v>Con espacio</v>
      </c>
      <c r="BV268" s="807" t="str">
        <f t="shared" si="175"/>
        <v>Zona de bajo potencial</v>
      </c>
      <c r="BW268" s="808" t="str">
        <f t="shared" si="176"/>
        <v>Sin datos</v>
      </c>
    </row>
    <row r="269" spans="1:75">
      <c r="A269" s="780" t="str">
        <f>'Base de datos Rutas'!A267</f>
        <v>Occidente</v>
      </c>
      <c r="B269" s="781" t="str">
        <f>'Base de datos Rutas'!B267</f>
        <v>Aguascalientes</v>
      </c>
      <c r="C269" s="781" t="str">
        <f>'Base de datos Rutas'!C267</f>
        <v>Planta Aguascalientes</v>
      </c>
      <c r="D269" s="782">
        <f>IF(ISNUMBER('Base de datos Rutas'!D267),'Base de datos Rutas'!D267,"Sin código")</f>
        <v>901418</v>
      </c>
      <c r="E269" s="783" t="str">
        <f>'Base de datos Rutas'!F267</f>
        <v>Activa</v>
      </c>
      <c r="F269" s="784" t="str">
        <f>'Base de datos Rutas'!H267</f>
        <v>Sí</v>
      </c>
      <c r="G269" s="785">
        <f>IF(ISNUMBER('Base de datos Rutas'!BE267),'Base de datos Rutas'!BE267,"")</f>
        <v>62.158333333333303</v>
      </c>
      <c r="H269" s="786">
        <f>IF(ISNUMBER('Base de datos Rutas'!BH267),'Base de datos Rutas'!BH267,"")</f>
        <v>6.2005630781606098E-2</v>
      </c>
      <c r="I269" s="788">
        <f>IFERROR(IF(OR(NOT(ISNUMBER('Base de datos Rutas'!O267)),N('Base de datos Rutas'!BK267)=0),"",'Base de datos Rutas'!O267/('Base de datos Rutas'!L267/'Base de datos Rutas'!BK267)),"")</f>
        <v>1221.5843621399179</v>
      </c>
      <c r="J269" s="788">
        <f>IFERROR(IF(OR(NOT(ISNUMBER('Base de datos Rutas'!N267)),N('Base de datos Rutas'!BK267)=0),"",'Base de datos Rutas'!N267/('Base de datos Rutas'!L267/'Base de datos Rutas'!BK267)),"")</f>
        <v>1782.8641975308644</v>
      </c>
      <c r="K269" s="788">
        <f>IFERROR(IF(OR(NOT(ISNUMBER('Base de datos Rutas'!J267)),N('Base de datos Rutas'!BK267)=0),"",'Base de datos Rutas'!J267/('Base de datos Rutas'!L267/'Base de datos Rutas'!BK267)),"")</f>
        <v>125.15391604938273</v>
      </c>
      <c r="L269" s="788">
        <f>IFERROR(IF(OR(NOT(ISNUMBER('Base de datos Rutas'!K267)),N('Base de datos Rutas'!BK267)=0),"",'Base de datos Rutas'!K267/('Base de datos Rutas'!L267/'Base de datos Rutas'!BK267)),"")</f>
        <v>13.397350823045269</v>
      </c>
      <c r="M269" s="787">
        <f>IF(ISNUMBER('Base de datos Rutas'!AX267),'Base de datos Rutas'!AX267,"")</f>
        <v>787.57297734627798</v>
      </c>
      <c r="N269" s="790">
        <f>IFERROR(INDEX('Hoja de apoyo v2'!B$17:B$20,MATCH($A269,'Hoja de apoyo v2'!$A$17:$A$20,0)),"")</f>
        <v>89.41621024641401</v>
      </c>
      <c r="O269" s="791">
        <f>IFERROR(INDEX('Hoja de apoyo v2'!C$17:C$20,MATCH($A269,'Hoja de apoyo v2'!$A$17:$A$20,0)),"")</f>
        <v>0.54706375874806301</v>
      </c>
      <c r="P269" s="793">
        <f>IFERROR(INDEX('Hoja de apoyo v2'!D$17:D$20,MATCH($A269,'Hoja de apoyo v2'!$A$17:$A$20,0)),"")</f>
        <v>11095.153935793827</v>
      </c>
      <c r="Q269" s="793">
        <f>IFERROR(INDEX('Hoja de apoyo v2'!E$17:E$20,MATCH($A269,'Hoja de apoyo v2'!$A$17:$A$20,0)),"")</f>
        <v>6982.3202019701848</v>
      </c>
      <c r="R269" s="793">
        <f>IFERROR(INDEX('Hoja de apoyo v2'!F$17:F$20,MATCH($A269,'Hoja de apoyo v2'!$A$17:$A$20,0)),"")</f>
        <v>448.09513474485743</v>
      </c>
      <c r="S269" s="793">
        <f>IFERROR(INDEX('Hoja de apoyo v2'!G$17:G$20,MATCH($A269,'Hoja de apoyo v2'!$A$17:$A$20,0)),"")</f>
        <v>83.406300904207839</v>
      </c>
      <c r="T269" s="792">
        <f>IFERROR(INDEX('Hoja de apoyo v2'!H$17:H$20,MATCH($A269,'Hoja de apoyo v2'!$A$17:$A$20,0)),"")</f>
        <v>378.97014028925349</v>
      </c>
      <c r="U269" s="794">
        <f t="shared" si="148"/>
        <v>0.69515732283930176</v>
      </c>
      <c r="V269" s="795">
        <f t="shared" si="149"/>
        <v>0.11334260365465243</v>
      </c>
      <c r="W269" s="795">
        <f t="shared" si="150"/>
        <v>0.11010071326716721</v>
      </c>
      <c r="X269" s="843">
        <f t="shared" si="151"/>
        <v>0.25533979335805851</v>
      </c>
      <c r="Y269" s="843">
        <f t="shared" si="152"/>
        <v>0.27930210873778977</v>
      </c>
      <c r="Z269" s="843">
        <f t="shared" si="153"/>
        <v>0.1606275626398074</v>
      </c>
      <c r="AA269" s="843">
        <f t="shared" si="154"/>
        <v>2.078192695459208</v>
      </c>
      <c r="AB269" s="796">
        <f t="shared" si="155"/>
        <v>2</v>
      </c>
      <c r="AC269" s="797">
        <f t="shared" si="156"/>
        <v>1</v>
      </c>
      <c r="AD269" s="797">
        <f t="shared" si="157"/>
        <v>1</v>
      </c>
      <c r="AE269" s="842">
        <f t="shared" si="158"/>
        <v>1</v>
      </c>
      <c r="AF269" s="842">
        <f t="shared" si="159"/>
        <v>1</v>
      </c>
      <c r="AG269" s="842">
        <f t="shared" si="160"/>
        <v>1</v>
      </c>
      <c r="AH269" s="842">
        <f t="shared" si="161"/>
        <v>5</v>
      </c>
      <c r="AI269" s="826" cm="1">
        <f t="array" ref="AI269">SUMPRODUCT(--ISNUMBER($U269:$AA269),$AB$3:$AH$3)</f>
        <v>1</v>
      </c>
      <c r="AJ269" s="829">
        <f t="shared" si="162"/>
        <v>13.512547539443009</v>
      </c>
      <c r="AK269" s="827" t="str">
        <f t="shared" si="163"/>
        <v>Inmadura</v>
      </c>
      <c r="AL269" s="784" t="str">
        <f t="shared" si="164"/>
        <v>Alta</v>
      </c>
      <c r="AM269" s="799">
        <f>IF(ISNUMBER('Base de datos Rutas'!W267),'Base de datos Rutas'!W267,"")</f>
        <v>2854.7551675604168</v>
      </c>
      <c r="AN269" s="787">
        <f>IFERROR(SUMIFS('Base de datos Rutas'!$W$6:$W$794,'Base de datos Rutas'!$C$6:$C$794,$C269)/'Base de datos Rutas'!I267,"")</f>
        <v>2854.7551675604172</v>
      </c>
      <c r="AO269" s="800">
        <f>IFERROR('Base de datos Rutas'!X267*AN269/AM269,"")</f>
        <v>0.39497815263374952</v>
      </c>
      <c r="AP269" s="800">
        <f t="shared" si="165"/>
        <v>0.60502184736625053</v>
      </c>
      <c r="AQ269" s="789">
        <f>IFERROR(INDEX('Hoja de apoyo v2'!$J$17:$J$20,MATCH($A269,'Hoja de apoyo v2'!$A$17:$A$20,0)),"")</f>
        <v>0.64320274048480885</v>
      </c>
      <c r="AR269" s="789">
        <f t="shared" si="166"/>
        <v>-3.8180893118558323E-2</v>
      </c>
      <c r="AS269" s="784" t="str">
        <f t="shared" si="167"/>
        <v>No</v>
      </c>
      <c r="AT269" s="801">
        <f>IF(ISNUMBER('Base de datos Rutas'!CK267),'Base de datos Rutas'!CK267,"")</f>
        <v>172</v>
      </c>
      <c r="AU269" s="802">
        <f>IF(ISNUMBER('Base de datos Rutas'!CL267),'Base de datos Rutas'!CL267,"")</f>
        <v>334.14</v>
      </c>
      <c r="AV269" s="802">
        <f>IF(ISNUMBER('Base de datos Rutas'!CM267),'Base de datos Rutas'!CM267,"")</f>
        <v>162.13999999999999</v>
      </c>
      <c r="AW269" s="802">
        <f>IF(ISNUMBER('Base de datos Rutas'!CN267),'Base de datos Rutas'!CN267,"")</f>
        <v>6.3</v>
      </c>
      <c r="AX269" s="802">
        <f>IF(ISNUMBER('Base de datos Rutas'!CO267),'Base de datos Rutas'!CO267,"")</f>
        <v>9.4499999999999993</v>
      </c>
      <c r="AY269" s="802">
        <f>IF(ISNUMBER('Base de datos Rutas'!CP267),'Base de datos Rutas'!CP267,"")</f>
        <v>3.1499999999999995</v>
      </c>
      <c r="AZ269" s="802">
        <f>IF(ISNUMBER('Base de datos Rutas'!CQ267),'Base de datos Rutas'!CQ267,"")</f>
        <v>744.26</v>
      </c>
      <c r="BA269" s="802">
        <f>IF(ISNUMBER('Base de datos Rutas'!CR267),'Base de datos Rutas'!CR267,"")</f>
        <v>138.55000000000001</v>
      </c>
      <c r="BB269" s="803">
        <f>IF(ISNUMBER('Base de datos Rutas'!CS267),'Base de datos Rutas'!CS267,"")</f>
        <v>605.71</v>
      </c>
      <c r="BC269" s="804">
        <f t="shared" si="177"/>
        <v>0</v>
      </c>
      <c r="BD269" s="805" t="str">
        <f t="shared" si="178"/>
        <v>No saturada</v>
      </c>
      <c r="BE269" s="806">
        <f t="shared" si="179"/>
        <v>0.18615806304248517</v>
      </c>
      <c r="BF269" s="890">
        <f>IF(ISNUMBER('Base de datos Rutas'!CX267),'Base de datos Rutas'!CX267/100,"")</f>
        <v>7.1278371421885964E-2</v>
      </c>
      <c r="BG269" s="891">
        <f>IF(ISNUMBER('Base de datos Rutas'!CZ267),'Base de datos Rutas'!CZ267/100,"")</f>
        <v>8.3924810857187421E-2</v>
      </c>
      <c r="BH269" s="892">
        <f>IF(ISNUMBER('Base de datos Rutas'!DA267),'Base de datos Rutas'!DA267,"")</f>
        <v>182.89362665734177</v>
      </c>
      <c r="BI269" s="893">
        <f>IF(ISNUMBER('Base de datos Rutas'!DC267),'Base de datos Rutas'!DC267,"")</f>
        <v>9.8695592899714555</v>
      </c>
      <c r="BJ269" s="805" t="str">
        <f t="shared" si="180"/>
        <v>Ruta (completo)</v>
      </c>
      <c r="BK269" s="783">
        <f t="shared" si="168"/>
        <v>2</v>
      </c>
      <c r="BL269" s="797">
        <f t="shared" si="169"/>
        <v>2</v>
      </c>
      <c r="BM269" s="797">
        <f t="shared" si="170"/>
        <v>3</v>
      </c>
      <c r="BN269" s="797">
        <f t="shared" si="171"/>
        <v>3</v>
      </c>
      <c r="BO269" s="798" cm="1">
        <f t="array" ref="BO269">SUMPRODUCT(--ISNUMBER($BF269:$BI269),$BK$3:$BN$3)</f>
        <v>1</v>
      </c>
      <c r="BP269" s="831">
        <f t="shared" si="181"/>
        <v>37.5</v>
      </c>
      <c r="BQ269" s="834" t="str">
        <f t="shared" si="182"/>
        <v>Medio</v>
      </c>
      <c r="BR269" s="836">
        <f t="shared" si="172"/>
        <v>10.134410654582258</v>
      </c>
      <c r="BS269" s="836">
        <f t="shared" si="173"/>
        <v>37.5</v>
      </c>
      <c r="BT269" s="837" t="str">
        <f t="shared" si="174"/>
        <v>P4</v>
      </c>
      <c r="BU269" s="807" t="str">
        <f t="shared" si="183"/>
        <v>Con espacio</v>
      </c>
      <c r="BV269" s="807" t="str">
        <f t="shared" si="175"/>
        <v>Zona de bajo potencial</v>
      </c>
      <c r="BW269" s="808" t="str">
        <f t="shared" si="176"/>
        <v>P4 - Evaluar</v>
      </c>
    </row>
    <row r="270" spans="1:75">
      <c r="A270" s="780" t="str">
        <f>'Base de datos Rutas'!A268</f>
        <v>Occidente</v>
      </c>
      <c r="B270" s="781" t="str">
        <f>'Base de datos Rutas'!B268</f>
        <v>Aguascalientes</v>
      </c>
      <c r="C270" s="781" t="str">
        <f>'Base de datos Rutas'!C268</f>
        <v>Planta Trojes</v>
      </c>
      <c r="D270" s="782">
        <f>IF(ISNUMBER('Base de datos Rutas'!D268),'Base de datos Rutas'!D268,"Sin código")</f>
        <v>907341</v>
      </c>
      <c r="E270" s="783" t="str">
        <f>'Base de datos Rutas'!F268</f>
        <v>Activa</v>
      </c>
      <c r="F270" s="784" t="str">
        <f>'Base de datos Rutas'!H268</f>
        <v>Sí</v>
      </c>
      <c r="G270" s="785">
        <f>IF(ISNUMBER('Base de datos Rutas'!BE268),'Base de datos Rutas'!BE268,"")</f>
        <v>50.587973273942097</v>
      </c>
      <c r="H270" s="786">
        <f>IF(ISNUMBER('Base de datos Rutas'!BH268),'Base de datos Rutas'!BH268,"")</f>
        <v>0.80126794047723904</v>
      </c>
      <c r="I270" s="788">
        <f>IFERROR(IF(OR(NOT(ISNUMBER('Base de datos Rutas'!O268)),N('Base de datos Rutas'!BK268)=0),"",'Base de datos Rutas'!O268/('Base de datos Rutas'!L268/'Base de datos Rutas'!BK268)),"")</f>
        <v>4784.6570155901991</v>
      </c>
      <c r="J270" s="788">
        <f>IFERROR(IF(OR(NOT(ISNUMBER('Base de datos Rutas'!N268)),N('Base de datos Rutas'!BK268)=0),"",'Base de datos Rutas'!N268/('Base de datos Rutas'!L268/'Base de datos Rutas'!BK268)),"")</f>
        <v>6207.7928730512231</v>
      </c>
      <c r="K270" s="788">
        <f>IFERROR(IF(OR(NOT(ISNUMBER('Base de datos Rutas'!J268)),N('Base de datos Rutas'!BK268)=0),"",'Base de datos Rutas'!J268/('Base de datos Rutas'!L268/'Base de datos Rutas'!BK268)),"")</f>
        <v>423.33913407572368</v>
      </c>
      <c r="L270" s="788">
        <f>IFERROR(IF(OR(NOT(ISNUMBER('Base de datos Rutas'!K268)),N('Base de datos Rutas'!BK268)=0),"",'Base de datos Rutas'!K268/('Base de datos Rutas'!L268/'Base de datos Rutas'!BK268)),"")</f>
        <v>29.623745899777276</v>
      </c>
      <c r="M270" s="787">
        <f>IF(ISNUMBER('Base de datos Rutas'!AX268),'Base de datos Rutas'!AX268,"")</f>
        <v>270.69210934065899</v>
      </c>
      <c r="N270" s="790">
        <f>IFERROR(INDEX('Hoja de apoyo v2'!B$17:B$20,MATCH($A270,'Hoja de apoyo v2'!$A$17:$A$20,0)),"")</f>
        <v>89.41621024641401</v>
      </c>
      <c r="O270" s="791">
        <f>IFERROR(INDEX('Hoja de apoyo v2'!C$17:C$20,MATCH($A270,'Hoja de apoyo v2'!$A$17:$A$20,0)),"")</f>
        <v>0.54706375874806301</v>
      </c>
      <c r="P270" s="793">
        <f>IFERROR(INDEX('Hoja de apoyo v2'!D$17:D$20,MATCH($A270,'Hoja de apoyo v2'!$A$17:$A$20,0)),"")</f>
        <v>11095.153935793827</v>
      </c>
      <c r="Q270" s="793">
        <f>IFERROR(INDEX('Hoja de apoyo v2'!E$17:E$20,MATCH($A270,'Hoja de apoyo v2'!$A$17:$A$20,0)),"")</f>
        <v>6982.3202019701848</v>
      </c>
      <c r="R270" s="793">
        <f>IFERROR(INDEX('Hoja de apoyo v2'!F$17:F$20,MATCH($A270,'Hoja de apoyo v2'!$A$17:$A$20,0)),"")</f>
        <v>448.09513474485743</v>
      </c>
      <c r="S270" s="793">
        <f>IFERROR(INDEX('Hoja de apoyo v2'!G$17:G$20,MATCH($A270,'Hoja de apoyo v2'!$A$17:$A$20,0)),"")</f>
        <v>83.406300904207839</v>
      </c>
      <c r="T270" s="792">
        <f>IFERROR(INDEX('Hoja de apoyo v2'!H$17:H$20,MATCH($A270,'Hoja de apoyo v2'!$A$17:$A$20,0)),"")</f>
        <v>378.97014028925349</v>
      </c>
      <c r="U270" s="794">
        <f t="shared" si="148"/>
        <v>0.56575841376559455</v>
      </c>
      <c r="V270" s="795">
        <f t="shared" si="149"/>
        <v>1.4646701187278677</v>
      </c>
      <c r="W270" s="795">
        <f t="shared" si="150"/>
        <v>0.43123845268649447</v>
      </c>
      <c r="X270" s="843">
        <f t="shared" si="151"/>
        <v>0.88907307220021004</v>
      </c>
      <c r="Y270" s="843">
        <f t="shared" si="152"/>
        <v>0.94475280191732125</v>
      </c>
      <c r="Z270" s="843">
        <f t="shared" si="153"/>
        <v>0.35517395662709172</v>
      </c>
      <c r="AA270" s="843">
        <f t="shared" si="154"/>
        <v>0.71428347661916058</v>
      </c>
      <c r="AB270" s="796">
        <f t="shared" si="155"/>
        <v>2</v>
      </c>
      <c r="AC270" s="797">
        <f t="shared" si="156"/>
        <v>5</v>
      </c>
      <c r="AD270" s="797">
        <f t="shared" si="157"/>
        <v>1</v>
      </c>
      <c r="AE270" s="842">
        <f t="shared" si="158"/>
        <v>3</v>
      </c>
      <c r="AF270" s="842">
        <f t="shared" si="159"/>
        <v>3</v>
      </c>
      <c r="AG270" s="842">
        <f t="shared" si="160"/>
        <v>1</v>
      </c>
      <c r="AH270" s="842">
        <f t="shared" si="161"/>
        <v>2</v>
      </c>
      <c r="AI270" s="826" cm="1">
        <f t="array" ref="AI270">SUMPRODUCT(--ISNUMBER($U270:$AA270),$AB$3:$AH$3)</f>
        <v>1</v>
      </c>
      <c r="AJ270" s="829">
        <f t="shared" si="162"/>
        <v>28.980970678542207</v>
      </c>
      <c r="AK270" s="827" t="str">
        <f t="shared" si="163"/>
        <v>Inmadura</v>
      </c>
      <c r="AL270" s="784" t="str">
        <f t="shared" si="164"/>
        <v>Alta</v>
      </c>
      <c r="AM270" s="799">
        <f>IF(ISNUMBER('Base de datos Rutas'!W268),'Base de datos Rutas'!W268,"")</f>
        <v>2767.0116391629381</v>
      </c>
      <c r="AN270" s="787">
        <f>IFERROR(SUMIFS('Base de datos Rutas'!$W$6:$W$794,'Base de datos Rutas'!$C$6:$C$794,$C270)/'Base de datos Rutas'!I268,"")</f>
        <v>2767.0116391629385</v>
      </c>
      <c r="AO270" s="800">
        <f>IFERROR('Base de datos Rutas'!X268*AN270/AM270,"")</f>
        <v>0.39811445655419803</v>
      </c>
      <c r="AP270" s="800">
        <f t="shared" si="165"/>
        <v>0.60188554344580192</v>
      </c>
      <c r="AQ270" s="789">
        <f>IFERROR(INDEX('Hoja de apoyo v2'!$J$17:$J$20,MATCH($A270,'Hoja de apoyo v2'!$A$17:$A$20,0)),"")</f>
        <v>0.64320274048480885</v>
      </c>
      <c r="AR270" s="789">
        <f t="shared" si="166"/>
        <v>-4.1317197039006937E-2</v>
      </c>
      <c r="AS270" s="784" t="str">
        <f t="shared" si="167"/>
        <v>No</v>
      </c>
      <c r="AT270" s="801">
        <f>IF(ISNUMBER('Base de datos Rutas'!CK268),'Base de datos Rutas'!CK268,"")</f>
        <v>341</v>
      </c>
      <c r="AU270" s="802">
        <f>IF(ISNUMBER('Base de datos Rutas'!CL268),'Base de datos Rutas'!CL268,"")</f>
        <v>500.34</v>
      </c>
      <c r="AV270" s="802">
        <f>IF(ISNUMBER('Base de datos Rutas'!CM268),'Base de datos Rutas'!CM268,"")</f>
        <v>159.33999999999997</v>
      </c>
      <c r="AW270" s="802">
        <f>IF(ISNUMBER('Base de datos Rutas'!CN268),'Base de datos Rutas'!CN268,"")</f>
        <v>11.25</v>
      </c>
      <c r="AX270" s="802">
        <f>IF(ISNUMBER('Base de datos Rutas'!CO268),'Base de datos Rutas'!CO268,"")</f>
        <v>9.4499999999999993</v>
      </c>
      <c r="AY270" s="802">
        <f>IF(ISNUMBER('Base de datos Rutas'!CP268),'Base de datos Rutas'!CP268,"")</f>
        <v>-1.8000000000000007</v>
      </c>
      <c r="AZ270" s="802">
        <f>IF(ISNUMBER('Base de datos Rutas'!CQ268),'Base de datos Rutas'!CQ268,"")</f>
        <v>564.37</v>
      </c>
      <c r="BA270" s="802">
        <f>IF(ISNUMBER('Base de datos Rutas'!CR268),'Base de datos Rutas'!CR268,"")</f>
        <v>452.96</v>
      </c>
      <c r="BB270" s="803">
        <f>IF(ISNUMBER('Base de datos Rutas'!CS268),'Base de datos Rutas'!CS268,"")</f>
        <v>111.41000000000003</v>
      </c>
      <c r="BC270" s="804">
        <f t="shared" si="177"/>
        <v>1</v>
      </c>
      <c r="BD270" s="805" t="str">
        <f t="shared" si="178"/>
        <v>Saturada</v>
      </c>
      <c r="BE270" s="806">
        <f t="shared" si="179"/>
        <v>0.80259404291510883</v>
      </c>
      <c r="BF270" s="890">
        <f>IF(ISNUMBER('Base de datos Rutas'!CX268),'Base de datos Rutas'!CX268/100,"")</f>
        <v>0.95629731212287439</v>
      </c>
      <c r="BG270" s="891">
        <f>IF(ISNUMBER('Base de datos Rutas'!CZ268),'Base de datos Rutas'!CZ268/100,"")</f>
        <v>1</v>
      </c>
      <c r="BH270" s="892">
        <f>IF(ISNUMBER('Base de datos Rutas'!DA268),'Base de datos Rutas'!DA268,"")</f>
        <v>477.17639159707142</v>
      </c>
      <c r="BI270" s="893">
        <f>IF(ISNUMBER('Base de datos Rutas'!DC268),'Base de datos Rutas'!DC268,"")</f>
        <v>19.303799397688511</v>
      </c>
      <c r="BJ270" s="805" t="str">
        <f t="shared" si="180"/>
        <v>Ruta (completo)</v>
      </c>
      <c r="BK270" s="783">
        <f t="shared" si="168"/>
        <v>5</v>
      </c>
      <c r="BL270" s="797">
        <f t="shared" si="169"/>
        <v>5</v>
      </c>
      <c r="BM270" s="797">
        <f t="shared" si="170"/>
        <v>4</v>
      </c>
      <c r="BN270" s="797">
        <f t="shared" si="171"/>
        <v>4</v>
      </c>
      <c r="BO270" s="798" cm="1">
        <f t="array" ref="BO270">SUMPRODUCT(--ISNUMBER($BF270:$BI270),$BK$3:$BN$3)</f>
        <v>1</v>
      </c>
      <c r="BP270" s="831">
        <f t="shared" si="181"/>
        <v>87.5</v>
      </c>
      <c r="BQ270" s="834" t="str">
        <f t="shared" si="182"/>
        <v>Alto</v>
      </c>
      <c r="BR270" s="836">
        <f t="shared" si="172"/>
        <v>46.735728008906655</v>
      </c>
      <c r="BS270" s="836">
        <f t="shared" si="173"/>
        <v>87.5</v>
      </c>
      <c r="BT270" s="837" t="str">
        <f t="shared" si="174"/>
        <v>P1</v>
      </c>
      <c r="BU270" s="807" t="str">
        <f t="shared" si="183"/>
        <v>Al tope</v>
      </c>
      <c r="BV270" s="807" t="str">
        <f t="shared" si="175"/>
        <v>Zona atractiva</v>
      </c>
      <c r="BW270" s="808" t="str">
        <f t="shared" si="176"/>
        <v>P1 - Ampliar cobertura</v>
      </c>
    </row>
    <row r="271" spans="1:75">
      <c r="A271" s="780" t="str">
        <f>'Base de datos Rutas'!A269</f>
        <v>Occidente</v>
      </c>
      <c r="B271" s="781" t="str">
        <f>'Base de datos Rutas'!B269</f>
        <v>Aguascalientes</v>
      </c>
      <c r="C271" s="781" t="str">
        <f>'Base de datos Rutas'!C269</f>
        <v>Planta Trojes</v>
      </c>
      <c r="D271" s="782">
        <f>IF(ISNUMBER('Base de datos Rutas'!D269),'Base de datos Rutas'!D269,"Sin código")</f>
        <v>907342</v>
      </c>
      <c r="E271" s="783" t="str">
        <f>'Base de datos Rutas'!F269</f>
        <v>Activa</v>
      </c>
      <c r="F271" s="784" t="str">
        <f>'Base de datos Rutas'!H269</f>
        <v>Sí</v>
      </c>
      <c r="G271" s="785">
        <f>IF(ISNUMBER('Base de datos Rutas'!BE269),'Base de datos Rutas'!BE269,"")</f>
        <v>39.440366972477101</v>
      </c>
      <c r="H271" s="786">
        <f>IF(ISNUMBER('Base de datos Rutas'!BH269),'Base de datos Rutas'!BH269,"")</f>
        <v>0.85240753663642699</v>
      </c>
      <c r="I271" s="788">
        <f>IFERROR(IF(OR(NOT(ISNUMBER('Base de datos Rutas'!O269)),N('Base de datos Rutas'!BK269)=0),"",'Base de datos Rutas'!O269/('Base de datos Rutas'!L269/'Base de datos Rutas'!BK269)),"")</f>
        <v>4212.6215596330267</v>
      </c>
      <c r="J271" s="788">
        <f>IFERROR(IF(OR(NOT(ISNUMBER('Base de datos Rutas'!N269)),N('Base de datos Rutas'!BK269)=0),"",'Base de datos Rutas'!N269/('Base de datos Rutas'!L269/'Base de datos Rutas'!BK269)),"")</f>
        <v>6572.9449541284384</v>
      </c>
      <c r="K271" s="788">
        <f>IFERROR(IF(OR(NOT(ISNUMBER('Base de datos Rutas'!J269)),N('Base de datos Rutas'!BK269)=0),"",'Base de datos Rutas'!J269/('Base de datos Rutas'!L269/'Base de datos Rutas'!BK269)),"")</f>
        <v>445.43817981651364</v>
      </c>
      <c r="L271" s="788">
        <f>IFERROR(IF(OR(NOT(ISNUMBER('Base de datos Rutas'!K269)),N('Base de datos Rutas'!BK269)=0),"",'Base de datos Rutas'!K269/('Base de datos Rutas'!L269/'Base de datos Rutas'!BK269)),"")</f>
        <v>30.696851541284396</v>
      </c>
      <c r="M271" s="787">
        <f>IF(ISNUMBER('Base de datos Rutas'!AX269),'Base de datos Rutas'!AX269,"")</f>
        <v>320.71506003547501</v>
      </c>
      <c r="N271" s="790">
        <f>IFERROR(INDEX('Hoja de apoyo v2'!B$17:B$20,MATCH($A271,'Hoja de apoyo v2'!$A$17:$A$20,0)),"")</f>
        <v>89.41621024641401</v>
      </c>
      <c r="O271" s="791">
        <f>IFERROR(INDEX('Hoja de apoyo v2'!C$17:C$20,MATCH($A271,'Hoja de apoyo v2'!$A$17:$A$20,0)),"")</f>
        <v>0.54706375874806301</v>
      </c>
      <c r="P271" s="793">
        <f>IFERROR(INDEX('Hoja de apoyo v2'!D$17:D$20,MATCH($A271,'Hoja de apoyo v2'!$A$17:$A$20,0)),"")</f>
        <v>11095.153935793827</v>
      </c>
      <c r="Q271" s="793">
        <f>IFERROR(INDEX('Hoja de apoyo v2'!E$17:E$20,MATCH($A271,'Hoja de apoyo v2'!$A$17:$A$20,0)),"")</f>
        <v>6982.3202019701848</v>
      </c>
      <c r="R271" s="793">
        <f>IFERROR(INDEX('Hoja de apoyo v2'!F$17:F$20,MATCH($A271,'Hoja de apoyo v2'!$A$17:$A$20,0)),"")</f>
        <v>448.09513474485743</v>
      </c>
      <c r="S271" s="793">
        <f>IFERROR(INDEX('Hoja de apoyo v2'!G$17:G$20,MATCH($A271,'Hoja de apoyo v2'!$A$17:$A$20,0)),"")</f>
        <v>83.406300904207839</v>
      </c>
      <c r="T271" s="792">
        <f>IFERROR(INDEX('Hoja de apoyo v2'!H$17:H$20,MATCH($A271,'Hoja de apoyo v2'!$A$17:$A$20,0)),"")</f>
        <v>378.97014028925349</v>
      </c>
      <c r="U271" s="794">
        <f t="shared" si="148"/>
        <v>0.44108743664920463</v>
      </c>
      <c r="V271" s="795">
        <f t="shared" si="149"/>
        <v>1.5581502576356601</v>
      </c>
      <c r="W271" s="795">
        <f t="shared" si="150"/>
        <v>0.37968121794532139</v>
      </c>
      <c r="X271" s="843">
        <f t="shared" si="151"/>
        <v>0.94136974014365116</v>
      </c>
      <c r="Y271" s="843">
        <f t="shared" si="152"/>
        <v>0.99407055617808338</v>
      </c>
      <c r="Z271" s="843">
        <f t="shared" si="153"/>
        <v>0.36803995871414724</v>
      </c>
      <c r="AA271" s="843">
        <f t="shared" si="154"/>
        <v>0.84628055337205566</v>
      </c>
      <c r="AB271" s="796">
        <f t="shared" si="155"/>
        <v>1</v>
      </c>
      <c r="AC271" s="797">
        <f t="shared" si="156"/>
        <v>5</v>
      </c>
      <c r="AD271" s="797">
        <f t="shared" si="157"/>
        <v>1</v>
      </c>
      <c r="AE271" s="842">
        <f t="shared" si="158"/>
        <v>3</v>
      </c>
      <c r="AF271" s="842">
        <f t="shared" si="159"/>
        <v>3</v>
      </c>
      <c r="AG271" s="842">
        <f t="shared" si="160"/>
        <v>1</v>
      </c>
      <c r="AH271" s="842">
        <f t="shared" si="161"/>
        <v>3</v>
      </c>
      <c r="AI271" s="826" cm="1">
        <f t="array" ref="AI271">SUMPRODUCT(--ISNUMBER($U271:$AA271),$AB$3:$AH$3)</f>
        <v>1</v>
      </c>
      <c r="AJ271" s="829">
        <f t="shared" si="162"/>
        <v>26.692062340732015</v>
      </c>
      <c r="AK271" s="827" t="str">
        <f t="shared" si="163"/>
        <v>Inmadura</v>
      </c>
      <c r="AL271" s="784" t="str">
        <f t="shared" si="164"/>
        <v>Alta</v>
      </c>
      <c r="AM271" s="799">
        <f>IF(ISNUMBER('Base de datos Rutas'!W269),'Base de datos Rutas'!W269,"")</f>
        <v>2767.0116391629381</v>
      </c>
      <c r="AN271" s="787">
        <f>IFERROR(SUMIFS('Base de datos Rutas'!$W$6:$W$794,'Base de datos Rutas'!$C$6:$C$794,$C271)/'Base de datos Rutas'!I269,"")</f>
        <v>2767.0116391629385</v>
      </c>
      <c r="AO271" s="800">
        <f>IFERROR('Base de datos Rutas'!X269*AN271/AM271,"")</f>
        <v>0.39811445655419803</v>
      </c>
      <c r="AP271" s="800">
        <f t="shared" si="165"/>
        <v>0.60188554344580192</v>
      </c>
      <c r="AQ271" s="789">
        <f>IFERROR(INDEX('Hoja de apoyo v2'!$J$17:$J$20,MATCH($A271,'Hoja de apoyo v2'!$A$17:$A$20,0)),"")</f>
        <v>0.64320274048480885</v>
      </c>
      <c r="AR271" s="789">
        <f t="shared" si="166"/>
        <v>-4.1317197039006937E-2</v>
      </c>
      <c r="AS271" s="784" t="str">
        <f t="shared" si="167"/>
        <v>No</v>
      </c>
      <c r="AT271" s="801">
        <f>IF(ISNUMBER('Base de datos Rutas'!CK269),'Base de datos Rutas'!CK269,"")</f>
        <v>291</v>
      </c>
      <c r="AU271" s="802">
        <f>IF(ISNUMBER('Base de datos Rutas'!CL269),'Base de datos Rutas'!CL269,"")</f>
        <v>311.27999999999997</v>
      </c>
      <c r="AV271" s="802">
        <f>IF(ISNUMBER('Base de datos Rutas'!CM269),'Base de datos Rutas'!CM269,"")</f>
        <v>20.279999999999973</v>
      </c>
      <c r="AW271" s="802">
        <f>IF(ISNUMBER('Base de datos Rutas'!CN269),'Base de datos Rutas'!CN269,"")</f>
        <v>5.95</v>
      </c>
      <c r="AX271" s="802">
        <f>IF(ISNUMBER('Base de datos Rutas'!CO269),'Base de datos Rutas'!CO269,"")</f>
        <v>9.4499999999999993</v>
      </c>
      <c r="AY271" s="802">
        <f>IF(ISNUMBER('Base de datos Rutas'!CP269),'Base de datos Rutas'!CP269,"")</f>
        <v>3.4999999999999991</v>
      </c>
      <c r="AZ271" s="802">
        <f>IF(ISNUMBER('Base de datos Rutas'!CQ269),'Base de datos Rutas'!CQ269,"")</f>
        <v>564.37</v>
      </c>
      <c r="BA271" s="802">
        <f>IF(ISNUMBER('Base de datos Rutas'!CR269),'Base de datos Rutas'!CR269,"")</f>
        <v>476.14</v>
      </c>
      <c r="BB271" s="803">
        <f>IF(ISNUMBER('Base de datos Rutas'!CS269),'Base de datos Rutas'!CS269,"")</f>
        <v>88.230000000000018</v>
      </c>
      <c r="BC271" s="804">
        <f t="shared" si="177"/>
        <v>0</v>
      </c>
      <c r="BD271" s="805" t="str">
        <f t="shared" si="178"/>
        <v>No saturada</v>
      </c>
      <c r="BE271" s="806">
        <f t="shared" si="179"/>
        <v>0.84366638907099945</v>
      </c>
      <c r="BF271" s="890">
        <f>IF(ISNUMBER('Base de datos Rutas'!CX269),'Base de datos Rutas'!CX269/100,"")</f>
        <v>0.98868934746235348</v>
      </c>
      <c r="BG271" s="891">
        <f>IF(ISNUMBER('Base de datos Rutas'!CZ269),'Base de datos Rutas'!CZ269/100,"")</f>
        <v>1</v>
      </c>
      <c r="BH271" s="892">
        <f>IF(ISNUMBER('Base de datos Rutas'!DA269),'Base de datos Rutas'!DA269,"")</f>
        <v>109.346168269655</v>
      </c>
      <c r="BI271" s="893">
        <f>IF(ISNUMBER('Base de datos Rutas'!DC269),'Base de datos Rutas'!DC269,"")</f>
        <v>4.9195491043854238</v>
      </c>
      <c r="BJ271" s="805" t="str">
        <f t="shared" si="180"/>
        <v>Ruta (completo)</v>
      </c>
      <c r="BK271" s="783">
        <f t="shared" si="168"/>
        <v>5</v>
      </c>
      <c r="BL271" s="797">
        <f t="shared" si="169"/>
        <v>5</v>
      </c>
      <c r="BM271" s="797">
        <f t="shared" si="170"/>
        <v>3</v>
      </c>
      <c r="BN271" s="797">
        <f t="shared" si="171"/>
        <v>3</v>
      </c>
      <c r="BO271" s="798" cm="1">
        <f t="array" ref="BO271">SUMPRODUCT(--ISNUMBER($BF271:$BI271),$BK$3:$BN$3)</f>
        <v>1</v>
      </c>
      <c r="BP271" s="831">
        <f t="shared" si="181"/>
        <v>75</v>
      </c>
      <c r="BQ271" s="834" t="str">
        <f t="shared" si="182"/>
        <v>Alto</v>
      </c>
      <c r="BR271" s="836">
        <f t="shared" si="172"/>
        <v>20.019046755549013</v>
      </c>
      <c r="BS271" s="836">
        <f t="shared" si="173"/>
        <v>75</v>
      </c>
      <c r="BT271" s="837" t="str">
        <f t="shared" si="174"/>
        <v>P3</v>
      </c>
      <c r="BU271" s="807" t="str">
        <f t="shared" si="183"/>
        <v>Con espacio</v>
      </c>
      <c r="BV271" s="807" t="str">
        <f t="shared" si="175"/>
        <v>Zona atractiva</v>
      </c>
      <c r="BW271" s="808" t="str">
        <f t="shared" si="176"/>
        <v>P3 - Desarrollar</v>
      </c>
    </row>
    <row r="272" spans="1:75">
      <c r="A272" s="780" t="str">
        <f>'Base de datos Rutas'!A270</f>
        <v>Occidente</v>
      </c>
      <c r="B272" s="781" t="str">
        <f>'Base de datos Rutas'!B270</f>
        <v>Aguascalientes</v>
      </c>
      <c r="C272" s="781" t="str">
        <f>'Base de datos Rutas'!C270</f>
        <v>Planta Trojes</v>
      </c>
      <c r="D272" s="782">
        <f>IF(ISNUMBER('Base de datos Rutas'!D270),'Base de datos Rutas'!D270,"Sin código")</f>
        <v>907343</v>
      </c>
      <c r="E272" s="783" t="str">
        <f>'Base de datos Rutas'!F270</f>
        <v>Activa</v>
      </c>
      <c r="F272" s="784" t="str">
        <f>'Base de datos Rutas'!H270</f>
        <v>Sí</v>
      </c>
      <c r="G272" s="785">
        <f>IF(ISNUMBER('Base de datos Rutas'!BE270),'Base de datos Rutas'!BE270,"")</f>
        <v>55.354838709677402</v>
      </c>
      <c r="H272" s="786">
        <f>IF(ISNUMBER('Base de datos Rutas'!BH270),'Base de datos Rutas'!BH270,"")</f>
        <v>0.73522311022311004</v>
      </c>
      <c r="I272" s="788">
        <f>IFERROR(IF(OR(NOT(ISNUMBER('Base de datos Rutas'!O270)),N('Base de datos Rutas'!BK270)=0),"",'Base de datos Rutas'!O270/('Base de datos Rutas'!L270/'Base de datos Rutas'!BK270)),"")</f>
        <v>2894.8202764976968</v>
      </c>
      <c r="J272" s="788">
        <f>IFERROR(IF(OR(NOT(ISNUMBER('Base de datos Rutas'!N270)),N('Base de datos Rutas'!BK270)=0),"",'Base de datos Rutas'!N270/('Base de datos Rutas'!L270/'Base de datos Rutas'!BK270)),"")</f>
        <v>6419.6958525345644</v>
      </c>
      <c r="K272" s="788">
        <f>IFERROR(IF(OR(NOT(ISNUMBER('Base de datos Rutas'!J270)),N('Base de datos Rutas'!BK270)=0),"",'Base de datos Rutas'!J270/('Base de datos Rutas'!L270/'Base de datos Rutas'!BK270)),"")</f>
        <v>431.43718709677438</v>
      </c>
      <c r="L272" s="788">
        <f>IFERROR(IF(OR(NOT(ISNUMBER('Base de datos Rutas'!K270)),N('Base de datos Rutas'!BK270)=0),"",'Base de datos Rutas'!K270/('Base de datos Rutas'!L270/'Base de datos Rutas'!BK270)),"")</f>
        <v>20.766024682027659</v>
      </c>
      <c r="M272" s="787">
        <f>IF(ISNUMBER('Base de datos Rutas'!AX270),'Base de datos Rutas'!AX270,"")</f>
        <v>228.839742965521</v>
      </c>
      <c r="N272" s="790">
        <f>IFERROR(INDEX('Hoja de apoyo v2'!B$17:B$20,MATCH($A272,'Hoja de apoyo v2'!$A$17:$A$20,0)),"")</f>
        <v>89.41621024641401</v>
      </c>
      <c r="O272" s="791">
        <f>IFERROR(INDEX('Hoja de apoyo v2'!C$17:C$20,MATCH($A272,'Hoja de apoyo v2'!$A$17:$A$20,0)),"")</f>
        <v>0.54706375874806301</v>
      </c>
      <c r="P272" s="793">
        <f>IFERROR(INDEX('Hoja de apoyo v2'!D$17:D$20,MATCH($A272,'Hoja de apoyo v2'!$A$17:$A$20,0)),"")</f>
        <v>11095.153935793827</v>
      </c>
      <c r="Q272" s="793">
        <f>IFERROR(INDEX('Hoja de apoyo v2'!E$17:E$20,MATCH($A272,'Hoja de apoyo v2'!$A$17:$A$20,0)),"")</f>
        <v>6982.3202019701848</v>
      </c>
      <c r="R272" s="793">
        <f>IFERROR(INDEX('Hoja de apoyo v2'!F$17:F$20,MATCH($A272,'Hoja de apoyo v2'!$A$17:$A$20,0)),"")</f>
        <v>448.09513474485743</v>
      </c>
      <c r="S272" s="793">
        <f>IFERROR(INDEX('Hoja de apoyo v2'!G$17:G$20,MATCH($A272,'Hoja de apoyo v2'!$A$17:$A$20,0)),"")</f>
        <v>83.406300904207839</v>
      </c>
      <c r="T272" s="792">
        <f>IFERROR(INDEX('Hoja de apoyo v2'!H$17:H$20,MATCH($A272,'Hoja de apoyo v2'!$A$17:$A$20,0)),"")</f>
        <v>378.97014028925349</v>
      </c>
      <c r="U272" s="794">
        <f t="shared" si="148"/>
        <v>0.61906938973515013</v>
      </c>
      <c r="V272" s="795">
        <f t="shared" si="149"/>
        <v>1.3439440987749642</v>
      </c>
      <c r="W272" s="795">
        <f t="shared" si="150"/>
        <v>0.26090852756524469</v>
      </c>
      <c r="X272" s="843">
        <f t="shared" si="151"/>
        <v>0.91942157718907447</v>
      </c>
      <c r="Y272" s="843">
        <f t="shared" si="152"/>
        <v>0.96282497542052536</v>
      </c>
      <c r="Z272" s="843">
        <f t="shared" si="153"/>
        <v>0.2489742915931189</v>
      </c>
      <c r="AA272" s="843">
        <f t="shared" si="154"/>
        <v>0.603846368452291</v>
      </c>
      <c r="AB272" s="796">
        <f t="shared" si="155"/>
        <v>2</v>
      </c>
      <c r="AC272" s="797">
        <f t="shared" si="156"/>
        <v>5</v>
      </c>
      <c r="AD272" s="797">
        <f t="shared" si="157"/>
        <v>1</v>
      </c>
      <c r="AE272" s="842">
        <f t="shared" si="158"/>
        <v>3</v>
      </c>
      <c r="AF272" s="842">
        <f t="shared" si="159"/>
        <v>3</v>
      </c>
      <c r="AG272" s="842">
        <f t="shared" si="160"/>
        <v>1</v>
      </c>
      <c r="AH272" s="842">
        <f t="shared" si="161"/>
        <v>2</v>
      </c>
      <c r="AI272" s="826" cm="1">
        <f t="array" ref="AI272">SUMPRODUCT(--ISNUMBER($U272:$AA272),$AB$3:$AH$3)</f>
        <v>1</v>
      </c>
      <c r="AJ272" s="829">
        <f t="shared" si="162"/>
        <v>28.980970678542207</v>
      </c>
      <c r="AK272" s="827" t="str">
        <f t="shared" si="163"/>
        <v>Inmadura</v>
      </c>
      <c r="AL272" s="784" t="str">
        <f t="shared" si="164"/>
        <v>Alta</v>
      </c>
      <c r="AM272" s="799">
        <f>IF(ISNUMBER('Base de datos Rutas'!W270),'Base de datos Rutas'!W270,"")</f>
        <v>2767.0116391629381</v>
      </c>
      <c r="AN272" s="787">
        <f>IFERROR(SUMIFS('Base de datos Rutas'!$W$6:$W$794,'Base de datos Rutas'!$C$6:$C$794,$C272)/'Base de datos Rutas'!I270,"")</f>
        <v>2767.0116391629385</v>
      </c>
      <c r="AO272" s="800">
        <f>IFERROR('Base de datos Rutas'!X270*AN272/AM272,"")</f>
        <v>0.39811445655419803</v>
      </c>
      <c r="AP272" s="800">
        <f t="shared" si="165"/>
        <v>0.60188554344580192</v>
      </c>
      <c r="AQ272" s="789">
        <f>IFERROR(INDEX('Hoja de apoyo v2'!$J$17:$J$20,MATCH($A272,'Hoja de apoyo v2'!$A$17:$A$20,0)),"")</f>
        <v>0.64320274048480885</v>
      </c>
      <c r="AR272" s="789">
        <f t="shared" si="166"/>
        <v>-4.1317197039006937E-2</v>
      </c>
      <c r="AS272" s="784" t="str">
        <f t="shared" si="167"/>
        <v>No</v>
      </c>
      <c r="AT272" s="801">
        <f>IF(ISNUMBER('Base de datos Rutas'!CK270),'Base de datos Rutas'!CK270,"")</f>
        <v>303</v>
      </c>
      <c r="AU272" s="802">
        <f>IF(ISNUMBER('Base de datos Rutas'!CL270),'Base de datos Rutas'!CL270,"")</f>
        <v>445.56</v>
      </c>
      <c r="AV272" s="802">
        <f>IF(ISNUMBER('Base de datos Rutas'!CM270),'Base de datos Rutas'!CM270,"")</f>
        <v>142.56</v>
      </c>
      <c r="AW272" s="802">
        <f>IF(ISNUMBER('Base de datos Rutas'!CN270),'Base de datos Rutas'!CN270,"")</f>
        <v>9</v>
      </c>
      <c r="AX272" s="802">
        <f>IF(ISNUMBER('Base de datos Rutas'!CO270),'Base de datos Rutas'!CO270,"")</f>
        <v>9.4499999999999993</v>
      </c>
      <c r="AY272" s="802">
        <f>IF(ISNUMBER('Base de datos Rutas'!CP270),'Base de datos Rutas'!CP270,"")</f>
        <v>0.44999999999999929</v>
      </c>
      <c r="AZ272" s="802">
        <f>IF(ISNUMBER('Base de datos Rutas'!CQ270),'Base de datos Rutas'!CQ270,"")</f>
        <v>846.56</v>
      </c>
      <c r="BA272" s="802">
        <f>IF(ISNUMBER('Base de datos Rutas'!CR270),'Base de datos Rutas'!CR270,"")</f>
        <v>452.2</v>
      </c>
      <c r="BB272" s="803">
        <f>IF(ISNUMBER('Base de datos Rutas'!CS270),'Base de datos Rutas'!CS270,"")</f>
        <v>394.35999999999996</v>
      </c>
      <c r="BC272" s="804">
        <f t="shared" si="177"/>
        <v>0</v>
      </c>
      <c r="BD272" s="805" t="str">
        <f t="shared" si="178"/>
        <v>No saturada</v>
      </c>
      <c r="BE272" s="806">
        <f t="shared" si="179"/>
        <v>0.53416178416178417</v>
      </c>
      <c r="BF272" s="890">
        <f>IF(ISNUMBER('Base de datos Rutas'!CX270),'Base de datos Rutas'!CX270/100,"")</f>
        <v>0.95516663696310811</v>
      </c>
      <c r="BG272" s="891">
        <f>IF(ISNUMBER('Base de datos Rutas'!CZ270),'Base de datos Rutas'!CZ270/100,"")</f>
        <v>0.98057387274995544</v>
      </c>
      <c r="BH272" s="892">
        <f>IF(ISNUMBER('Base de datos Rutas'!DA270),'Base de datos Rutas'!DA270,"")</f>
        <v>291.7099326330133</v>
      </c>
      <c r="BI272" s="893">
        <f>IF(ISNUMBER('Base de datos Rutas'!DC270),'Base de datos Rutas'!DC270,"")</f>
        <v>14.166538629996037</v>
      </c>
      <c r="BJ272" s="805" t="str">
        <f t="shared" si="180"/>
        <v>Ruta (completo)</v>
      </c>
      <c r="BK272" s="783">
        <f t="shared" si="168"/>
        <v>4</v>
      </c>
      <c r="BL272" s="797">
        <f t="shared" si="169"/>
        <v>4</v>
      </c>
      <c r="BM272" s="797">
        <f t="shared" si="170"/>
        <v>4</v>
      </c>
      <c r="BN272" s="797">
        <f t="shared" si="171"/>
        <v>4</v>
      </c>
      <c r="BO272" s="798" cm="1">
        <f t="array" ref="BO272">SUMPRODUCT(--ISNUMBER($BF272:$BI272),$BK$3:$BN$3)</f>
        <v>1</v>
      </c>
      <c r="BP272" s="831">
        <f t="shared" si="181"/>
        <v>75</v>
      </c>
      <c r="BQ272" s="834" t="str">
        <f t="shared" si="182"/>
        <v>Alto</v>
      </c>
      <c r="BR272" s="836">
        <f t="shared" si="172"/>
        <v>21.735728008906655</v>
      </c>
      <c r="BS272" s="836">
        <f t="shared" si="173"/>
        <v>75</v>
      </c>
      <c r="BT272" s="837" t="str">
        <f t="shared" si="174"/>
        <v>P3</v>
      </c>
      <c r="BU272" s="807" t="str">
        <f t="shared" si="183"/>
        <v>Con espacio</v>
      </c>
      <c r="BV272" s="807" t="str">
        <f t="shared" si="175"/>
        <v>Zona atractiva</v>
      </c>
      <c r="BW272" s="808" t="str">
        <f t="shared" si="176"/>
        <v>P3 - Desarrollar</v>
      </c>
    </row>
    <row r="273" spans="1:75">
      <c r="A273" s="780" t="str">
        <f>'Base de datos Rutas'!A271</f>
        <v>Occidente</v>
      </c>
      <c r="B273" s="781" t="str">
        <f>'Base de datos Rutas'!B271</f>
        <v>Aguascalientes</v>
      </c>
      <c r="C273" s="781" t="str">
        <f>'Base de datos Rutas'!C271</f>
        <v>Planta Trojes</v>
      </c>
      <c r="D273" s="782">
        <f>IF(ISNUMBER('Base de datos Rutas'!D271),'Base de datos Rutas'!D271,"Sin código")</f>
        <v>907344</v>
      </c>
      <c r="E273" s="783" t="str">
        <f>'Base de datos Rutas'!F271</f>
        <v>Activa</v>
      </c>
      <c r="F273" s="784" t="str">
        <f>'Base de datos Rutas'!H271</f>
        <v>Sí</v>
      </c>
      <c r="G273" s="785">
        <f>IF(ISNUMBER('Base de datos Rutas'!BE271),'Base de datos Rutas'!BE271,"")</f>
        <v>44.160550458715598</v>
      </c>
      <c r="H273" s="786">
        <f>IF(ISNUMBER('Base de datos Rutas'!BH271),'Base de datos Rutas'!BH271,"")</f>
        <v>0.630622208372286</v>
      </c>
      <c r="I273" s="788">
        <f>IFERROR(IF(OR(NOT(ISNUMBER('Base de datos Rutas'!O271)),N('Base de datos Rutas'!BK271)=0),"",'Base de datos Rutas'!O271/('Base de datos Rutas'!L271/'Base de datos Rutas'!BK271)),"")</f>
        <v>2444.4793577981645</v>
      </c>
      <c r="J273" s="788">
        <f>IFERROR(IF(OR(NOT(ISNUMBER('Base de datos Rutas'!N271)),N('Base de datos Rutas'!BK271)=0),"",'Base de datos Rutas'!N271/('Base de datos Rutas'!L271/'Base de datos Rutas'!BK271)),"")</f>
        <v>5760.286697247705</v>
      </c>
      <c r="K273" s="788">
        <f>IFERROR(IF(OR(NOT(ISNUMBER('Base de datos Rutas'!J271)),N('Base de datos Rutas'!BK271)=0),"",'Base de datos Rutas'!J271/('Base de datos Rutas'!L271/'Base de datos Rutas'!BK271)),"")</f>
        <v>392.68296880733931</v>
      </c>
      <c r="L273" s="788">
        <f>IFERROR(IF(OR(NOT(ISNUMBER('Base de datos Rutas'!K271)),N('Base de datos Rutas'!BK271)=0),"",'Base de datos Rutas'!K271/('Base de datos Rutas'!L271/'Base de datos Rutas'!BK271)),"")</f>
        <v>19.834364327981646</v>
      </c>
      <c r="M273" s="787">
        <f>IF(ISNUMBER('Base de datos Rutas'!AX271),'Base de datos Rutas'!AX271,"")</f>
        <v>293.62272525119403</v>
      </c>
      <c r="N273" s="790">
        <f>IFERROR(INDEX('Hoja de apoyo v2'!B$17:B$20,MATCH($A273,'Hoja de apoyo v2'!$A$17:$A$20,0)),"")</f>
        <v>89.41621024641401</v>
      </c>
      <c r="O273" s="791">
        <f>IFERROR(INDEX('Hoja de apoyo v2'!C$17:C$20,MATCH($A273,'Hoja de apoyo v2'!$A$17:$A$20,0)),"")</f>
        <v>0.54706375874806301</v>
      </c>
      <c r="P273" s="793">
        <f>IFERROR(INDEX('Hoja de apoyo v2'!D$17:D$20,MATCH($A273,'Hoja de apoyo v2'!$A$17:$A$20,0)),"")</f>
        <v>11095.153935793827</v>
      </c>
      <c r="Q273" s="793">
        <f>IFERROR(INDEX('Hoja de apoyo v2'!E$17:E$20,MATCH($A273,'Hoja de apoyo v2'!$A$17:$A$20,0)),"")</f>
        <v>6982.3202019701848</v>
      </c>
      <c r="R273" s="793">
        <f>IFERROR(INDEX('Hoja de apoyo v2'!F$17:F$20,MATCH($A273,'Hoja de apoyo v2'!$A$17:$A$20,0)),"")</f>
        <v>448.09513474485743</v>
      </c>
      <c r="S273" s="793">
        <f>IFERROR(INDEX('Hoja de apoyo v2'!G$17:G$20,MATCH($A273,'Hoja de apoyo v2'!$A$17:$A$20,0)),"")</f>
        <v>83.406300904207839</v>
      </c>
      <c r="T273" s="792">
        <f>IFERROR(INDEX('Hoja de apoyo v2'!H$17:H$20,MATCH($A273,'Hoja de apoyo v2'!$A$17:$A$20,0)),"")</f>
        <v>378.97014028925349</v>
      </c>
      <c r="U273" s="794">
        <f t="shared" si="148"/>
        <v>0.49387633782529533</v>
      </c>
      <c r="V273" s="795">
        <f t="shared" si="149"/>
        <v>1.1527398740787429</v>
      </c>
      <c r="W273" s="795">
        <f t="shared" si="150"/>
        <v>0.22031955319809349</v>
      </c>
      <c r="X273" s="843">
        <f t="shared" si="151"/>
        <v>0.8249817439799364</v>
      </c>
      <c r="Y273" s="843">
        <f t="shared" si="152"/>
        <v>0.87633838968354461</v>
      </c>
      <c r="Z273" s="843">
        <f t="shared" si="153"/>
        <v>0.23780414804346039</v>
      </c>
      <c r="AA273" s="843">
        <f t="shared" si="154"/>
        <v>0.77479118810543479</v>
      </c>
      <c r="AB273" s="796">
        <f t="shared" si="155"/>
        <v>1</v>
      </c>
      <c r="AC273" s="797">
        <f t="shared" si="156"/>
        <v>4</v>
      </c>
      <c r="AD273" s="797">
        <f t="shared" si="157"/>
        <v>1</v>
      </c>
      <c r="AE273" s="842">
        <f t="shared" si="158"/>
        <v>3</v>
      </c>
      <c r="AF273" s="842">
        <f t="shared" si="159"/>
        <v>3</v>
      </c>
      <c r="AG273" s="842">
        <f t="shared" si="160"/>
        <v>1</v>
      </c>
      <c r="AH273" s="842">
        <f t="shared" si="161"/>
        <v>3</v>
      </c>
      <c r="AI273" s="826" cm="1">
        <f t="array" ref="AI273">SUMPRODUCT(--ISNUMBER($U273:$AA273),$AB$3:$AH$3)</f>
        <v>1</v>
      </c>
      <c r="AJ273" s="829">
        <f t="shared" si="162"/>
        <v>24.309156754841538</v>
      </c>
      <c r="AK273" s="827" t="str">
        <f t="shared" si="163"/>
        <v>Inmadura</v>
      </c>
      <c r="AL273" s="784" t="str">
        <f t="shared" si="164"/>
        <v>Alta</v>
      </c>
      <c r="AM273" s="799">
        <f>IF(ISNUMBER('Base de datos Rutas'!W271),'Base de datos Rutas'!W271,"")</f>
        <v>2767.0116391629381</v>
      </c>
      <c r="AN273" s="787">
        <f>IFERROR(SUMIFS('Base de datos Rutas'!$W$6:$W$794,'Base de datos Rutas'!$C$6:$C$794,$C273)/'Base de datos Rutas'!I271,"")</f>
        <v>2767.0116391629385</v>
      </c>
      <c r="AO273" s="800">
        <f>IFERROR('Base de datos Rutas'!X271*AN273/AM273,"")</f>
        <v>0.39811445655419803</v>
      </c>
      <c r="AP273" s="800">
        <f t="shared" si="165"/>
        <v>0.60188554344580192</v>
      </c>
      <c r="AQ273" s="789">
        <f>IFERROR(INDEX('Hoja de apoyo v2'!$J$17:$J$20,MATCH($A273,'Hoja de apoyo v2'!$A$17:$A$20,0)),"")</f>
        <v>0.64320274048480885</v>
      </c>
      <c r="AR273" s="789">
        <f t="shared" si="166"/>
        <v>-4.1317197039006937E-2</v>
      </c>
      <c r="AS273" s="784" t="str">
        <f t="shared" si="167"/>
        <v>No</v>
      </c>
      <c r="AT273" s="801">
        <f>IF(ISNUMBER('Base de datos Rutas'!CK271),'Base de datos Rutas'!CK271,"")</f>
        <v>359</v>
      </c>
      <c r="AU273" s="802">
        <f>IF(ISNUMBER('Base de datos Rutas'!CL271),'Base de datos Rutas'!CL271,"")</f>
        <v>373.63</v>
      </c>
      <c r="AV273" s="802">
        <f>IF(ISNUMBER('Base de datos Rutas'!CM271),'Base de datos Rutas'!CM271,"")</f>
        <v>14.629999999999995</v>
      </c>
      <c r="AW273" s="802">
        <f>IF(ISNUMBER('Base de datos Rutas'!CN271),'Base de datos Rutas'!CN271,"")</f>
        <v>10.5</v>
      </c>
      <c r="AX273" s="802">
        <f>IF(ISNUMBER('Base de datos Rutas'!CO271),'Base de datos Rutas'!CO271,"")</f>
        <v>9.4499999999999993</v>
      </c>
      <c r="AY273" s="802">
        <f>IF(ISNUMBER('Base de datos Rutas'!CP271),'Base de datos Rutas'!CP271,"")</f>
        <v>-1.0500000000000007</v>
      </c>
      <c r="AZ273" s="802">
        <f>IF(ISNUMBER('Base de datos Rutas'!CQ271),'Base de datos Rutas'!CQ271,"")</f>
        <v>564.37</v>
      </c>
      <c r="BA273" s="802">
        <f>IF(ISNUMBER('Base de datos Rutas'!CR271),'Base de datos Rutas'!CR271,"")</f>
        <v>412.52</v>
      </c>
      <c r="BB273" s="803">
        <f>IF(ISNUMBER('Base de datos Rutas'!CS271),'Base de datos Rutas'!CS271,"")</f>
        <v>151.85000000000002</v>
      </c>
      <c r="BC273" s="804">
        <f t="shared" si="177"/>
        <v>1</v>
      </c>
      <c r="BD273" s="805" t="str">
        <f t="shared" si="178"/>
        <v>Saturada</v>
      </c>
      <c r="BE273" s="806">
        <f t="shared" si="179"/>
        <v>0.73093892304693731</v>
      </c>
      <c r="BF273" s="890">
        <f>IF(ISNUMBER('Base de datos Rutas'!CX271),'Base de datos Rutas'!CX271/100,"")</f>
        <v>0.13196554735254426</v>
      </c>
      <c r="BG273" s="891">
        <f>IF(ISNUMBER('Base de datos Rutas'!CZ271),'Base de datos Rutas'!CZ271/100,"")</f>
        <v>0.13312693498452013</v>
      </c>
      <c r="BH273" s="892">
        <f>IF(ISNUMBER('Base de datos Rutas'!DA271),'Base de datos Rutas'!DA271,"")</f>
        <v>105.52942244579012</v>
      </c>
      <c r="BI273" s="893">
        <f>IF(ISNUMBER('Base de datos Rutas'!DC271),'Base de datos Rutas'!DC271,"")</f>
        <v>5.5890087165576539</v>
      </c>
      <c r="BJ273" s="805" t="str">
        <f t="shared" si="180"/>
        <v>Ruta (completo)</v>
      </c>
      <c r="BK273" s="783">
        <f t="shared" si="168"/>
        <v>1</v>
      </c>
      <c r="BL273" s="797">
        <f t="shared" si="169"/>
        <v>1</v>
      </c>
      <c r="BM273" s="797">
        <f t="shared" si="170"/>
        <v>3</v>
      </c>
      <c r="BN273" s="797">
        <f t="shared" si="171"/>
        <v>3</v>
      </c>
      <c r="BO273" s="798" cm="1">
        <f t="array" ref="BO273">SUMPRODUCT(--ISNUMBER($BF273:$BI273),$BK$3:$BN$3)</f>
        <v>1</v>
      </c>
      <c r="BP273" s="831">
        <f t="shared" si="181"/>
        <v>25</v>
      </c>
      <c r="BQ273" s="834" t="str">
        <f t="shared" si="182"/>
        <v>Medio</v>
      </c>
      <c r="BR273" s="836">
        <f t="shared" si="172"/>
        <v>43.231867566131157</v>
      </c>
      <c r="BS273" s="836">
        <f t="shared" si="173"/>
        <v>25</v>
      </c>
      <c r="BT273" s="837" t="str">
        <f t="shared" si="174"/>
        <v>P2</v>
      </c>
      <c r="BU273" s="807" t="str">
        <f t="shared" si="183"/>
        <v>Al tope</v>
      </c>
      <c r="BV273" s="807" t="str">
        <f t="shared" si="175"/>
        <v>Zona de bajo potencial</v>
      </c>
      <c r="BW273" s="808" t="str">
        <f t="shared" si="176"/>
        <v>P2 - Mantener</v>
      </c>
    </row>
    <row r="274" spans="1:75">
      <c r="A274" s="780" t="str">
        <f>'Base de datos Rutas'!A272</f>
        <v>Occidente</v>
      </c>
      <c r="B274" s="781" t="str">
        <f>'Base de datos Rutas'!B272</f>
        <v>Aguascalientes</v>
      </c>
      <c r="C274" s="781" t="str">
        <f>'Base de datos Rutas'!C272</f>
        <v>Planta Trojes</v>
      </c>
      <c r="D274" s="782">
        <f>IF(ISNUMBER('Base de datos Rutas'!D272),'Base de datos Rutas'!D272,"Sin código")</f>
        <v>907345</v>
      </c>
      <c r="E274" s="783" t="str">
        <f>'Base de datos Rutas'!F272</f>
        <v>Activa</v>
      </c>
      <c r="F274" s="784" t="str">
        <f>'Base de datos Rutas'!H272</f>
        <v>Sí</v>
      </c>
      <c r="G274" s="785">
        <f>IF(ISNUMBER('Base de datos Rutas'!BE272),'Base de datos Rutas'!BE272,"")</f>
        <v>44.396788990825698</v>
      </c>
      <c r="H274" s="786">
        <f>IF(ISNUMBER('Base de datos Rutas'!BH272),'Base de datos Rutas'!BH272,"")</f>
        <v>0.78230097639096996</v>
      </c>
      <c r="I274" s="788">
        <f>IFERROR(IF(OR(NOT(ISNUMBER('Base de datos Rutas'!O272)),N('Base de datos Rutas'!BK272)=0),"",'Base de datos Rutas'!O272/('Base de datos Rutas'!L272/'Base de datos Rutas'!BK272)),"")</f>
        <v>2864.3096330275253</v>
      </c>
      <c r="J274" s="788">
        <f>IFERROR(IF(OR(NOT(ISNUMBER('Base de datos Rutas'!N272)),N('Base de datos Rutas'!BK272)=0),"",'Base de datos Rutas'!N272/('Base de datos Rutas'!L272/'Base de datos Rutas'!BK272)),"")</f>
        <v>7074.1055045871617</v>
      </c>
      <c r="K274" s="788">
        <f>IFERROR(IF(OR(NOT(ISNUMBER('Base de datos Rutas'!J272)),N('Base de datos Rutas'!BK272)=0),"",'Base de datos Rutas'!J272/('Base de datos Rutas'!L272/'Base de datos Rutas'!BK272)),"")</f>
        <v>477.63614737614722</v>
      </c>
      <c r="L274" s="788">
        <f>IFERROR(IF(OR(NOT(ISNUMBER('Base de datos Rutas'!K272)),N('Base de datos Rutas'!BK272)=0),"",'Base de datos Rutas'!K272/('Base de datos Rutas'!L272/'Base de datos Rutas'!BK272)),"")</f>
        <v>24.363755305045892</v>
      </c>
      <c r="M274" s="787">
        <f>IF(ISNUMBER('Base de datos Rutas'!AX272),'Base de datos Rutas'!AX272,"")</f>
        <v>285.90908736710003</v>
      </c>
      <c r="N274" s="790">
        <f>IFERROR(INDEX('Hoja de apoyo v2'!B$17:B$20,MATCH($A274,'Hoja de apoyo v2'!$A$17:$A$20,0)),"")</f>
        <v>89.41621024641401</v>
      </c>
      <c r="O274" s="791">
        <f>IFERROR(INDEX('Hoja de apoyo v2'!C$17:C$20,MATCH($A274,'Hoja de apoyo v2'!$A$17:$A$20,0)),"")</f>
        <v>0.54706375874806301</v>
      </c>
      <c r="P274" s="793">
        <f>IFERROR(INDEX('Hoja de apoyo v2'!D$17:D$20,MATCH($A274,'Hoja de apoyo v2'!$A$17:$A$20,0)),"")</f>
        <v>11095.153935793827</v>
      </c>
      <c r="Q274" s="793">
        <f>IFERROR(INDEX('Hoja de apoyo v2'!E$17:E$20,MATCH($A274,'Hoja de apoyo v2'!$A$17:$A$20,0)),"")</f>
        <v>6982.3202019701848</v>
      </c>
      <c r="R274" s="793">
        <f>IFERROR(INDEX('Hoja de apoyo v2'!F$17:F$20,MATCH($A274,'Hoja de apoyo v2'!$A$17:$A$20,0)),"")</f>
        <v>448.09513474485743</v>
      </c>
      <c r="S274" s="793">
        <f>IFERROR(INDEX('Hoja de apoyo v2'!G$17:G$20,MATCH($A274,'Hoja de apoyo v2'!$A$17:$A$20,0)),"")</f>
        <v>83.406300904207839</v>
      </c>
      <c r="T274" s="792">
        <f>IFERROR(INDEX('Hoja de apoyo v2'!H$17:H$20,MATCH($A274,'Hoja de apoyo v2'!$A$17:$A$20,0)),"")</f>
        <v>378.97014028925349</v>
      </c>
      <c r="U274" s="794">
        <f t="shared" si="148"/>
        <v>0.49651834794246613</v>
      </c>
      <c r="V274" s="795">
        <f t="shared" si="149"/>
        <v>1.4299996369367245</v>
      </c>
      <c r="W274" s="795">
        <f t="shared" si="150"/>
        <v>0.25815862038534143</v>
      </c>
      <c r="X274" s="843">
        <f t="shared" si="151"/>
        <v>1.0131453872011023</v>
      </c>
      <c r="Y274" s="843">
        <f t="shared" si="152"/>
        <v>1.0659257607162154</v>
      </c>
      <c r="Z274" s="843">
        <f t="shared" si="153"/>
        <v>0.2921092895970494</v>
      </c>
      <c r="AA274" s="843">
        <f t="shared" si="154"/>
        <v>0.75443697793413622</v>
      </c>
      <c r="AB274" s="796">
        <f t="shared" si="155"/>
        <v>1</v>
      </c>
      <c r="AC274" s="797">
        <f t="shared" si="156"/>
        <v>5</v>
      </c>
      <c r="AD274" s="797">
        <f t="shared" si="157"/>
        <v>1</v>
      </c>
      <c r="AE274" s="842">
        <f t="shared" si="158"/>
        <v>4</v>
      </c>
      <c r="AF274" s="842">
        <f t="shared" si="159"/>
        <v>4</v>
      </c>
      <c r="AG274" s="842">
        <f t="shared" si="160"/>
        <v>1</v>
      </c>
      <c r="AH274" s="842">
        <f t="shared" si="161"/>
        <v>3</v>
      </c>
      <c r="AI274" s="826" cm="1">
        <f t="array" ref="AI274">SUMPRODUCT(--ISNUMBER($U274:$AA274),$AB$3:$AH$3)</f>
        <v>1</v>
      </c>
      <c r="AJ274" s="829">
        <f t="shared" si="162"/>
        <v>33.027554498990497</v>
      </c>
      <c r="AK274" s="827" t="str">
        <f t="shared" si="163"/>
        <v>Inmadura</v>
      </c>
      <c r="AL274" s="784" t="str">
        <f t="shared" si="164"/>
        <v>Alta</v>
      </c>
      <c r="AM274" s="799">
        <f>IF(ISNUMBER('Base de datos Rutas'!W272),'Base de datos Rutas'!W272,"")</f>
        <v>2767.0116391629381</v>
      </c>
      <c r="AN274" s="787">
        <f>IFERROR(SUMIFS('Base de datos Rutas'!$W$6:$W$794,'Base de datos Rutas'!$C$6:$C$794,$C274)/'Base de datos Rutas'!I272,"")</f>
        <v>2767.0116391629385</v>
      </c>
      <c r="AO274" s="800">
        <f>IFERROR('Base de datos Rutas'!X272*AN274/AM274,"")</f>
        <v>0.39811445655419803</v>
      </c>
      <c r="AP274" s="800">
        <f t="shared" si="165"/>
        <v>0.60188554344580192</v>
      </c>
      <c r="AQ274" s="789">
        <f>IFERROR(INDEX('Hoja de apoyo v2'!$J$17:$J$20,MATCH($A274,'Hoja de apoyo v2'!$A$17:$A$20,0)),"")</f>
        <v>0.64320274048480885</v>
      </c>
      <c r="AR274" s="789">
        <f t="shared" si="166"/>
        <v>-4.1317197039006937E-2</v>
      </c>
      <c r="AS274" s="784" t="str">
        <f t="shared" si="167"/>
        <v>No</v>
      </c>
      <c r="AT274" s="801">
        <f>IF(ISNUMBER('Base de datos Rutas'!CK272),'Base de datos Rutas'!CK272,"")</f>
        <v>375</v>
      </c>
      <c r="AU274" s="802">
        <f>IF(ISNUMBER('Base de datos Rutas'!CL272),'Base de datos Rutas'!CL272,"")</f>
        <v>441.34</v>
      </c>
      <c r="AV274" s="802">
        <f>IF(ISNUMBER('Base de datos Rutas'!CM272),'Base de datos Rutas'!CM272,"")</f>
        <v>66.339999999999975</v>
      </c>
      <c r="AW274" s="802">
        <f>IF(ISNUMBER('Base de datos Rutas'!CN272),'Base de datos Rutas'!CN272,"")</f>
        <v>10.31</v>
      </c>
      <c r="AX274" s="802">
        <f>IF(ISNUMBER('Base de datos Rutas'!CO272),'Base de datos Rutas'!CO272,"")</f>
        <v>9.4499999999999993</v>
      </c>
      <c r="AY274" s="802">
        <f>IF(ISNUMBER('Base de datos Rutas'!CP272),'Base de datos Rutas'!CP272,"")</f>
        <v>-0.86000000000000121</v>
      </c>
      <c r="AZ274" s="802">
        <f>IF(ISNUMBER('Base de datos Rutas'!CQ272),'Base de datos Rutas'!CQ272,"")</f>
        <v>564.37</v>
      </c>
      <c r="BA274" s="802">
        <f>IF(ISNUMBER('Base de datos Rutas'!CR272),'Base de datos Rutas'!CR272,"")</f>
        <v>502</v>
      </c>
      <c r="BB274" s="803">
        <f>IF(ISNUMBER('Base de datos Rutas'!CS272),'Base de datos Rutas'!CS272,"")</f>
        <v>62.370000000000005</v>
      </c>
      <c r="BC274" s="804">
        <f t="shared" si="177"/>
        <v>1</v>
      </c>
      <c r="BD274" s="805" t="str">
        <f t="shared" si="178"/>
        <v>Saturada</v>
      </c>
      <c r="BE274" s="806">
        <f t="shared" si="179"/>
        <v>0.88948739302230806</v>
      </c>
      <c r="BF274" s="890">
        <f>IF(ISNUMBER('Base de datos Rutas'!CX272),'Base de datos Rutas'!CX272/100,"")</f>
        <v>0.59290888806247677</v>
      </c>
      <c r="BG274" s="891">
        <f>IF(ISNUMBER('Base de datos Rutas'!CZ272),'Base de datos Rutas'!CZ272/100,"")</f>
        <v>0.5978430643361845</v>
      </c>
      <c r="BH274" s="892">
        <f>IF(ISNUMBER('Base de datos Rutas'!DA272),'Base de datos Rutas'!DA272,"")</f>
        <v>71.454703974587275</v>
      </c>
      <c r="BI274" s="893">
        <f>IF(ISNUMBER('Base de datos Rutas'!DC272),'Base de datos Rutas'!DC272,"")</f>
        <v>3.605900673064256</v>
      </c>
      <c r="BJ274" s="805" t="str">
        <f t="shared" si="180"/>
        <v>Ruta (completo)</v>
      </c>
      <c r="BK274" s="783">
        <f t="shared" si="168"/>
        <v>3</v>
      </c>
      <c r="BL274" s="797">
        <f t="shared" si="169"/>
        <v>3</v>
      </c>
      <c r="BM274" s="797">
        <f t="shared" si="170"/>
        <v>2</v>
      </c>
      <c r="BN274" s="797">
        <f t="shared" si="171"/>
        <v>2</v>
      </c>
      <c r="BO274" s="798" cm="1">
        <f t="array" ref="BO274">SUMPRODUCT(--ISNUMBER($BF274:$BI274),$BK$3:$BN$3)</f>
        <v>1</v>
      </c>
      <c r="BP274" s="831">
        <f t="shared" si="181"/>
        <v>37.5</v>
      </c>
      <c r="BQ274" s="834" t="str">
        <f t="shared" si="182"/>
        <v>Medio</v>
      </c>
      <c r="BR274" s="836">
        <f t="shared" si="172"/>
        <v>49.770665874242873</v>
      </c>
      <c r="BS274" s="836">
        <f t="shared" si="173"/>
        <v>37.5</v>
      </c>
      <c r="BT274" s="837" t="str">
        <f t="shared" si="174"/>
        <v>P2</v>
      </c>
      <c r="BU274" s="807" t="str">
        <f t="shared" si="183"/>
        <v>Al tope</v>
      </c>
      <c r="BV274" s="807" t="str">
        <f t="shared" si="175"/>
        <v>Zona de bajo potencial</v>
      </c>
      <c r="BW274" s="808" t="str">
        <f t="shared" si="176"/>
        <v>P2 - Mantener</v>
      </c>
    </row>
    <row r="275" spans="1:75">
      <c r="A275" s="780" t="str">
        <f>'Base de datos Rutas'!A273</f>
        <v>Occidente</v>
      </c>
      <c r="B275" s="781" t="str">
        <f>'Base de datos Rutas'!B273</f>
        <v>Aguascalientes</v>
      </c>
      <c r="C275" s="781" t="str">
        <f>'Base de datos Rutas'!C273</f>
        <v>Planta Trojes</v>
      </c>
      <c r="D275" s="782">
        <f>IF(ISNUMBER('Base de datos Rutas'!D273),'Base de datos Rutas'!D273,"Sin código")</f>
        <v>907346</v>
      </c>
      <c r="E275" s="783" t="str">
        <f>'Base de datos Rutas'!F273</f>
        <v>Activa</v>
      </c>
      <c r="F275" s="784" t="str">
        <f>'Base de datos Rutas'!H273</f>
        <v>Sí</v>
      </c>
      <c r="G275" s="785">
        <f>IF(ISNUMBER('Base de datos Rutas'!BE273),'Base de datos Rutas'!BE273,"")</f>
        <v>54.037383177570099</v>
      </c>
      <c r="H275" s="786">
        <f>IF(ISNUMBER('Base de datos Rutas'!BH273),'Base de datos Rutas'!BH273,"")</f>
        <v>0.55966793497059797</v>
      </c>
      <c r="I275" s="788">
        <f>IFERROR(IF(OR(NOT(ISNUMBER('Base de datos Rutas'!O273)),N('Base de datos Rutas'!BK273)=0),"",'Base de datos Rutas'!O273/('Base de datos Rutas'!L273/'Base de datos Rutas'!BK273)),"")</f>
        <v>2630.3457943925218</v>
      </c>
      <c r="J275" s="788">
        <f>IFERROR(IF(OR(NOT(ISNUMBER('Base de datos Rutas'!N273)),N('Base de datos Rutas'!BK273)=0),"",'Base de datos Rutas'!N273/('Base de datos Rutas'!L273/'Base de datos Rutas'!BK273)),"")</f>
        <v>8092.7873831775651</v>
      </c>
      <c r="K275" s="788">
        <f>IFERROR(IF(OR(NOT(ISNUMBER('Base de datos Rutas'!J273)),N('Base de datos Rutas'!BK273)=0),"",'Base de datos Rutas'!J273/('Base de datos Rutas'!L273/'Base de datos Rutas'!BK273)),"")</f>
        <v>542.53189906542025</v>
      </c>
      <c r="L275" s="788">
        <f>IFERROR(IF(OR(NOT(ISNUMBER('Base de datos Rutas'!K273)),N('Base de datos Rutas'!BK273)=0),"",'Base de datos Rutas'!K273/('Base de datos Rutas'!L273/'Base de datos Rutas'!BK273)),"")</f>
        <v>23.704506348130824</v>
      </c>
      <c r="M275" s="787">
        <f>IF(ISNUMBER('Base de datos Rutas'!AX273),'Base de datos Rutas'!AX273,"")</f>
        <v>352.70532447466002</v>
      </c>
      <c r="N275" s="790">
        <f>IFERROR(INDEX('Hoja de apoyo v2'!B$17:B$20,MATCH($A275,'Hoja de apoyo v2'!$A$17:$A$20,0)),"")</f>
        <v>89.41621024641401</v>
      </c>
      <c r="O275" s="791">
        <f>IFERROR(INDEX('Hoja de apoyo v2'!C$17:C$20,MATCH($A275,'Hoja de apoyo v2'!$A$17:$A$20,0)),"")</f>
        <v>0.54706375874806301</v>
      </c>
      <c r="P275" s="793">
        <f>IFERROR(INDEX('Hoja de apoyo v2'!D$17:D$20,MATCH($A275,'Hoja de apoyo v2'!$A$17:$A$20,0)),"")</f>
        <v>11095.153935793827</v>
      </c>
      <c r="Q275" s="793">
        <f>IFERROR(INDEX('Hoja de apoyo v2'!E$17:E$20,MATCH($A275,'Hoja de apoyo v2'!$A$17:$A$20,0)),"")</f>
        <v>6982.3202019701848</v>
      </c>
      <c r="R275" s="793">
        <f>IFERROR(INDEX('Hoja de apoyo v2'!F$17:F$20,MATCH($A275,'Hoja de apoyo v2'!$A$17:$A$20,0)),"")</f>
        <v>448.09513474485743</v>
      </c>
      <c r="S275" s="793">
        <f>IFERROR(INDEX('Hoja de apoyo v2'!G$17:G$20,MATCH($A275,'Hoja de apoyo v2'!$A$17:$A$20,0)),"")</f>
        <v>83.406300904207839</v>
      </c>
      <c r="T275" s="792">
        <f>IFERROR(INDEX('Hoja de apoyo v2'!H$17:H$20,MATCH($A275,'Hoja de apoyo v2'!$A$17:$A$20,0)),"")</f>
        <v>378.97014028925349</v>
      </c>
      <c r="U275" s="794">
        <f t="shared" si="148"/>
        <v>0.60433542227581982</v>
      </c>
      <c r="V275" s="795">
        <f t="shared" si="149"/>
        <v>1.0230396841702312</v>
      </c>
      <c r="W275" s="795">
        <f t="shared" si="150"/>
        <v>0.23707159085975565</v>
      </c>
      <c r="X275" s="843">
        <f t="shared" si="151"/>
        <v>1.1590398533848452</v>
      </c>
      <c r="Y275" s="843">
        <f t="shared" si="152"/>
        <v>1.2107515949137331</v>
      </c>
      <c r="Z275" s="843">
        <f t="shared" si="153"/>
        <v>0.28420522300054352</v>
      </c>
      <c r="AA275" s="843">
        <f t="shared" si="154"/>
        <v>0.93069423413003849</v>
      </c>
      <c r="AB275" s="796">
        <f t="shared" si="155"/>
        <v>2</v>
      </c>
      <c r="AC275" s="797">
        <f t="shared" si="156"/>
        <v>4</v>
      </c>
      <c r="AD275" s="797">
        <f t="shared" si="157"/>
        <v>1</v>
      </c>
      <c r="AE275" s="842">
        <f t="shared" si="158"/>
        <v>4</v>
      </c>
      <c r="AF275" s="842">
        <f t="shared" si="159"/>
        <v>4</v>
      </c>
      <c r="AG275" s="842">
        <f t="shared" si="160"/>
        <v>1</v>
      </c>
      <c r="AH275" s="842">
        <f t="shared" si="161"/>
        <v>3</v>
      </c>
      <c r="AI275" s="826" cm="1">
        <f t="array" ref="AI275">SUMPRODUCT(--ISNUMBER($U275:$AA275),$AB$3:$AH$3)</f>
        <v>1</v>
      </c>
      <c r="AJ275" s="829">
        <f t="shared" si="162"/>
        <v>35.178285091236773</v>
      </c>
      <c r="AK275" s="827" t="str">
        <f t="shared" si="163"/>
        <v>Inmadura</v>
      </c>
      <c r="AL275" s="784" t="str">
        <f t="shared" si="164"/>
        <v>Alta</v>
      </c>
      <c r="AM275" s="799">
        <f>IF(ISNUMBER('Base de datos Rutas'!W273),'Base de datos Rutas'!W273,"")</f>
        <v>2767.0116391629381</v>
      </c>
      <c r="AN275" s="787">
        <f>IFERROR(SUMIFS('Base de datos Rutas'!$W$6:$W$794,'Base de datos Rutas'!$C$6:$C$794,$C275)/'Base de datos Rutas'!I273,"")</f>
        <v>2767.0116391629385</v>
      </c>
      <c r="AO275" s="800">
        <f>IFERROR('Base de datos Rutas'!X273*AN275/AM275,"")</f>
        <v>0.39811445655419803</v>
      </c>
      <c r="AP275" s="800">
        <f t="shared" si="165"/>
        <v>0.60188554344580192</v>
      </c>
      <c r="AQ275" s="789">
        <f>IFERROR(INDEX('Hoja de apoyo v2'!$J$17:$J$20,MATCH($A275,'Hoja de apoyo v2'!$A$17:$A$20,0)),"")</f>
        <v>0.64320274048480885</v>
      </c>
      <c r="AR275" s="789">
        <f t="shared" si="166"/>
        <v>-4.1317197039006937E-2</v>
      </c>
      <c r="AS275" s="784" t="str">
        <f t="shared" si="167"/>
        <v>No</v>
      </c>
      <c r="AT275" s="801">
        <f>IF(ISNUMBER('Base de datos Rutas'!CK273),'Base de datos Rutas'!CK273,"")</f>
        <v>345</v>
      </c>
      <c r="AU275" s="802">
        <f>IF(ISNUMBER('Base de datos Rutas'!CL273),'Base de datos Rutas'!CL273,"")</f>
        <v>368.96</v>
      </c>
      <c r="AV275" s="802">
        <f>IF(ISNUMBER('Base de datos Rutas'!CM273),'Base de datos Rutas'!CM273,"")</f>
        <v>23.95999999999998</v>
      </c>
      <c r="AW275" s="802">
        <f>IF(ISNUMBER('Base de datos Rutas'!CN273),'Base de datos Rutas'!CN273,"")</f>
        <v>8.7200000000000006</v>
      </c>
      <c r="AX275" s="802">
        <f>IF(ISNUMBER('Base de datos Rutas'!CO273),'Base de datos Rutas'!CO273,"")</f>
        <v>9.4499999999999993</v>
      </c>
      <c r="AY275" s="802">
        <f>IF(ISNUMBER('Base de datos Rutas'!CP273),'Base de datos Rutas'!CP273,"")</f>
        <v>0.72999999999999865</v>
      </c>
      <c r="AZ275" s="802">
        <f>IF(ISNUMBER('Base de datos Rutas'!CQ273),'Base de datos Rutas'!CQ273,"")</f>
        <v>846.56</v>
      </c>
      <c r="BA275" s="802">
        <f>IF(ISNUMBER('Base de datos Rutas'!CR273),'Base de datos Rutas'!CR273,"")</f>
        <v>566.24</v>
      </c>
      <c r="BB275" s="803">
        <f>IF(ISNUMBER('Base de datos Rutas'!CS273),'Base de datos Rutas'!CS273,"")</f>
        <v>280.31999999999994</v>
      </c>
      <c r="BC275" s="804">
        <f t="shared" si="177"/>
        <v>0</v>
      </c>
      <c r="BD275" s="805" t="str">
        <f t="shared" si="178"/>
        <v>No saturada</v>
      </c>
      <c r="BE275" s="806">
        <f t="shared" si="179"/>
        <v>0.66887166887166893</v>
      </c>
      <c r="BF275" s="890">
        <f>IF(ISNUMBER('Base de datos Rutas'!CX273),'Base de datos Rutas'!CX273/100,"")</f>
        <v>0.31900516874429918</v>
      </c>
      <c r="BG275" s="891">
        <f>IF(ISNUMBER('Base de datos Rutas'!CZ273),'Base de datos Rutas'!CZ273/100,"")</f>
        <v>0.32046214654910299</v>
      </c>
      <c r="BH275" s="892">
        <f>IF(ISNUMBER('Base de datos Rutas'!DA273),'Base de datos Rutas'!DA273,"")</f>
        <v>18.98015296655041</v>
      </c>
      <c r="BI275" s="893">
        <f>IF(ISNUMBER('Base de datos Rutas'!DC273),'Base de datos Rutas'!DC273,"")</f>
        <v>1.0232595136547786</v>
      </c>
      <c r="BJ275" s="805" t="str">
        <f t="shared" si="180"/>
        <v>Ruta (completo)</v>
      </c>
      <c r="BK275" s="783">
        <f t="shared" si="168"/>
        <v>2</v>
      </c>
      <c r="BL275" s="797">
        <f t="shared" si="169"/>
        <v>2</v>
      </c>
      <c r="BM275" s="797">
        <f t="shared" si="170"/>
        <v>1</v>
      </c>
      <c r="BN275" s="797">
        <f t="shared" si="171"/>
        <v>1</v>
      </c>
      <c r="BO275" s="798" cm="1">
        <f t="array" ref="BO275">SUMPRODUCT(--ISNUMBER($BF275:$BI275),$BK$3:$BN$3)</f>
        <v>1</v>
      </c>
      <c r="BP275" s="831">
        <f t="shared" si="181"/>
        <v>12.5</v>
      </c>
      <c r="BQ275" s="834" t="str">
        <f t="shared" si="182"/>
        <v>Bajo</v>
      </c>
      <c r="BR275" s="836">
        <f t="shared" si="172"/>
        <v>26.38371381842758</v>
      </c>
      <c r="BS275" s="836">
        <f t="shared" si="173"/>
        <v>12.5</v>
      </c>
      <c r="BT275" s="837" t="str">
        <f t="shared" si="174"/>
        <v>P4</v>
      </c>
      <c r="BU275" s="807" t="str">
        <f t="shared" si="183"/>
        <v>Con espacio</v>
      </c>
      <c r="BV275" s="807" t="str">
        <f t="shared" si="175"/>
        <v>Zona de bajo potencial</v>
      </c>
      <c r="BW275" s="808" t="str">
        <f t="shared" si="176"/>
        <v>P4 - Evaluar</v>
      </c>
    </row>
    <row r="276" spans="1:75">
      <c r="A276" s="780" t="str">
        <f>'Base de datos Rutas'!A274</f>
        <v>Occidente</v>
      </c>
      <c r="B276" s="781" t="str">
        <f>'Base de datos Rutas'!B274</f>
        <v>Aguascalientes</v>
      </c>
      <c r="C276" s="781" t="str">
        <f>'Base de datos Rutas'!C274</f>
        <v>Planta Trojes</v>
      </c>
      <c r="D276" s="782">
        <f>IF(ISNUMBER('Base de datos Rutas'!D274),'Base de datos Rutas'!D274,"Sin código")</f>
        <v>907347</v>
      </c>
      <c r="E276" s="783" t="str">
        <f>'Base de datos Rutas'!F274</f>
        <v>Activa</v>
      </c>
      <c r="F276" s="784" t="str">
        <f>'Base de datos Rutas'!H274</f>
        <v>Sí</v>
      </c>
      <c r="G276" s="785">
        <f>IF(ISNUMBER('Base de datos Rutas'!BE274),'Base de datos Rutas'!BE274,"")</f>
        <v>43.043378995433798</v>
      </c>
      <c r="H276" s="786">
        <f>IF(ISNUMBER('Base de datos Rutas'!BH274),'Base de datos Rutas'!BH274,"")</f>
        <v>0.67978571049700298</v>
      </c>
      <c r="I276" s="788">
        <f>IFERROR(IF(OR(NOT(ISNUMBER('Base de datos Rutas'!O274)),N('Base de datos Rutas'!BK274)=0),"",'Base de datos Rutas'!O274/('Base de datos Rutas'!L274/'Base de datos Rutas'!BK274)),"")</f>
        <v>3233.5182648401819</v>
      </c>
      <c r="J276" s="788">
        <f>IFERROR(IF(OR(NOT(ISNUMBER('Base de datos Rutas'!N274)),N('Base de datos Rutas'!BK274)=0),"",'Base de datos Rutas'!N274/('Base de datos Rutas'!L274/'Base de datos Rutas'!BK274)),"")</f>
        <v>6804.1004566210031</v>
      </c>
      <c r="K276" s="788">
        <f>IFERROR(IF(OR(NOT(ISNUMBER('Base de datos Rutas'!J274)),N('Base de datos Rutas'!BK274)=0),"",'Base de datos Rutas'!J274/('Base de datos Rutas'!L274/'Base de datos Rutas'!BK274)),"")</f>
        <v>458.08088219178069</v>
      </c>
      <c r="L276" s="788">
        <f>IFERROR(IF(OR(NOT(ISNUMBER('Base de datos Rutas'!K274)),N('Base de datos Rutas'!BK274)=0),"",'Base de datos Rutas'!K274/('Base de datos Rutas'!L274/'Base de datos Rutas'!BK274)),"")</f>
        <v>20.490508723744288</v>
      </c>
      <c r="M276" s="787">
        <f>IF(ISNUMBER('Base de datos Rutas'!AX274),'Base de datos Rutas'!AX274,"")</f>
        <v>343.48666588639202</v>
      </c>
      <c r="N276" s="790">
        <f>IFERROR(INDEX('Hoja de apoyo v2'!B$17:B$20,MATCH($A276,'Hoja de apoyo v2'!$A$17:$A$20,0)),"")</f>
        <v>89.41621024641401</v>
      </c>
      <c r="O276" s="791">
        <f>IFERROR(INDEX('Hoja de apoyo v2'!C$17:C$20,MATCH($A276,'Hoja de apoyo v2'!$A$17:$A$20,0)),"")</f>
        <v>0.54706375874806301</v>
      </c>
      <c r="P276" s="793">
        <f>IFERROR(INDEX('Hoja de apoyo v2'!D$17:D$20,MATCH($A276,'Hoja de apoyo v2'!$A$17:$A$20,0)),"")</f>
        <v>11095.153935793827</v>
      </c>
      <c r="Q276" s="793">
        <f>IFERROR(INDEX('Hoja de apoyo v2'!E$17:E$20,MATCH($A276,'Hoja de apoyo v2'!$A$17:$A$20,0)),"")</f>
        <v>6982.3202019701848</v>
      </c>
      <c r="R276" s="793">
        <f>IFERROR(INDEX('Hoja de apoyo v2'!F$17:F$20,MATCH($A276,'Hoja de apoyo v2'!$A$17:$A$20,0)),"")</f>
        <v>448.09513474485743</v>
      </c>
      <c r="S276" s="793">
        <f>IFERROR(INDEX('Hoja de apoyo v2'!G$17:G$20,MATCH($A276,'Hoja de apoyo v2'!$A$17:$A$20,0)),"")</f>
        <v>83.406300904207839</v>
      </c>
      <c r="T276" s="792">
        <f>IFERROR(INDEX('Hoja de apoyo v2'!H$17:H$20,MATCH($A276,'Hoja de apoyo v2'!$A$17:$A$20,0)),"")</f>
        <v>378.97014028925349</v>
      </c>
      <c r="U276" s="794">
        <f t="shared" si="148"/>
        <v>0.48138227818887047</v>
      </c>
      <c r="V276" s="795">
        <f t="shared" si="149"/>
        <v>1.2426078306716382</v>
      </c>
      <c r="W276" s="795">
        <f t="shared" si="150"/>
        <v>0.29143518724950729</v>
      </c>
      <c r="X276" s="843">
        <f t="shared" si="151"/>
        <v>0.97447556969689042</v>
      </c>
      <c r="Y276" s="843">
        <f t="shared" si="152"/>
        <v>1.0222848825453306</v>
      </c>
      <c r="Z276" s="843">
        <f t="shared" si="153"/>
        <v>0.24567099249824834</v>
      </c>
      <c r="AA276" s="843">
        <f t="shared" si="154"/>
        <v>0.90636868019264449</v>
      </c>
      <c r="AB276" s="796">
        <f t="shared" si="155"/>
        <v>1</v>
      </c>
      <c r="AC276" s="797">
        <f t="shared" si="156"/>
        <v>4</v>
      </c>
      <c r="AD276" s="797">
        <f t="shared" si="157"/>
        <v>1</v>
      </c>
      <c r="AE276" s="842">
        <f t="shared" si="158"/>
        <v>3</v>
      </c>
      <c r="AF276" s="842">
        <f t="shared" si="159"/>
        <v>4</v>
      </c>
      <c r="AG276" s="842">
        <f t="shared" si="160"/>
        <v>1</v>
      </c>
      <c r="AH276" s="842">
        <f t="shared" si="161"/>
        <v>3</v>
      </c>
      <c r="AI276" s="826" cm="1">
        <f t="array" ref="AI276">SUMPRODUCT(--ISNUMBER($U276:$AA276),$AB$3:$AH$3)</f>
        <v>1</v>
      </c>
      <c r="AJ276" s="829">
        <f t="shared" si="162"/>
        <v>27.235201266881326</v>
      </c>
      <c r="AK276" s="827" t="str">
        <f t="shared" si="163"/>
        <v>Inmadura</v>
      </c>
      <c r="AL276" s="784" t="str">
        <f t="shared" si="164"/>
        <v>Alta</v>
      </c>
      <c r="AM276" s="799">
        <f>IF(ISNUMBER('Base de datos Rutas'!W274),'Base de datos Rutas'!W274,"")</f>
        <v>2767.0116391629381</v>
      </c>
      <c r="AN276" s="787">
        <f>IFERROR(SUMIFS('Base de datos Rutas'!$W$6:$W$794,'Base de datos Rutas'!$C$6:$C$794,$C276)/'Base de datos Rutas'!I274,"")</f>
        <v>2767.0116391629385</v>
      </c>
      <c r="AO276" s="800">
        <f>IFERROR('Base de datos Rutas'!X274*AN276/AM276,"")</f>
        <v>0.39811445655419803</v>
      </c>
      <c r="AP276" s="800">
        <f t="shared" si="165"/>
        <v>0.60188554344580192</v>
      </c>
      <c r="AQ276" s="789">
        <f>IFERROR(INDEX('Hoja de apoyo v2'!$J$17:$J$20,MATCH($A276,'Hoja de apoyo v2'!$A$17:$A$20,0)),"")</f>
        <v>0.64320274048480885</v>
      </c>
      <c r="AR276" s="789">
        <f t="shared" si="166"/>
        <v>-4.1317197039006937E-2</v>
      </c>
      <c r="AS276" s="784" t="str">
        <f t="shared" si="167"/>
        <v>No</v>
      </c>
      <c r="AT276" s="801">
        <f>IF(ISNUMBER('Base de datos Rutas'!CK274),'Base de datos Rutas'!CK274,"")</f>
        <v>321</v>
      </c>
      <c r="AU276" s="802">
        <f>IF(ISNUMBER('Base de datos Rutas'!CL274),'Base de datos Rutas'!CL274,"")</f>
        <v>541.53</v>
      </c>
      <c r="AV276" s="802">
        <f>IF(ISNUMBER('Base de datos Rutas'!CM274),'Base de datos Rutas'!CM274,"")</f>
        <v>220.52999999999997</v>
      </c>
      <c r="AW276" s="802">
        <f>IF(ISNUMBER('Base de datos Rutas'!CN274),'Base de datos Rutas'!CN274,"")</f>
        <v>7.24</v>
      </c>
      <c r="AX276" s="802">
        <f>IF(ISNUMBER('Base de datos Rutas'!CO274),'Base de datos Rutas'!CO274,"")</f>
        <v>9.4499999999999993</v>
      </c>
      <c r="AY276" s="802">
        <f>IF(ISNUMBER('Base de datos Rutas'!CP274),'Base de datos Rutas'!CP274,"")</f>
        <v>2.2099999999999991</v>
      </c>
      <c r="AZ276" s="802">
        <f>IF(ISNUMBER('Base de datos Rutas'!CQ274),'Base de datos Rutas'!CQ274,"")</f>
        <v>846.56</v>
      </c>
      <c r="BA276" s="802">
        <f>IF(ISNUMBER('Base de datos Rutas'!CR274),'Base de datos Rutas'!CR274,"")</f>
        <v>478.57</v>
      </c>
      <c r="BB276" s="803">
        <f>IF(ISNUMBER('Base de datos Rutas'!CS274),'Base de datos Rutas'!CS274,"")</f>
        <v>367.98999999999995</v>
      </c>
      <c r="BC276" s="804">
        <f t="shared" si="177"/>
        <v>0</v>
      </c>
      <c r="BD276" s="805" t="str">
        <f t="shared" si="178"/>
        <v>No saturada</v>
      </c>
      <c r="BE276" s="806">
        <f t="shared" si="179"/>
        <v>0.56531137781137786</v>
      </c>
      <c r="BF276" s="890">
        <f>IF(ISNUMBER('Base de datos Rutas'!CX274),'Base de datos Rutas'!CX274/100,"")</f>
        <v>0.88490152634170338</v>
      </c>
      <c r="BG276" s="891">
        <f>IF(ISNUMBER('Base de datos Rutas'!CZ274),'Base de datos Rutas'!CZ274/100,"")</f>
        <v>0.93919251600196962</v>
      </c>
      <c r="BH276" s="892">
        <f>IF(ISNUMBER('Base de datos Rutas'!DA274),'Base de datos Rutas'!DA274,"")</f>
        <v>584.76531863174341</v>
      </c>
      <c r="BI276" s="893">
        <f>IF(ISNUMBER('Base de datos Rutas'!DC274),'Base de datos Rutas'!DC274,"")</f>
        <v>26.502595428403307</v>
      </c>
      <c r="BJ276" s="805" t="str">
        <f t="shared" si="180"/>
        <v>Ruta (completo)</v>
      </c>
      <c r="BK276" s="783">
        <f t="shared" si="168"/>
        <v>4</v>
      </c>
      <c r="BL276" s="797">
        <f t="shared" si="169"/>
        <v>4</v>
      </c>
      <c r="BM276" s="797">
        <f t="shared" si="170"/>
        <v>5</v>
      </c>
      <c r="BN276" s="797">
        <f t="shared" si="171"/>
        <v>5</v>
      </c>
      <c r="BO276" s="798" cm="1">
        <f t="array" ref="BO276">SUMPRODUCT(--ISNUMBER($BF276:$BI276),$BK$3:$BN$3)</f>
        <v>1</v>
      </c>
      <c r="BP276" s="831">
        <f t="shared" si="181"/>
        <v>87.5</v>
      </c>
      <c r="BQ276" s="834" t="str">
        <f t="shared" si="182"/>
        <v>Alto</v>
      </c>
      <c r="BR276" s="836">
        <f t="shared" si="172"/>
        <v>20.426400950160996</v>
      </c>
      <c r="BS276" s="836">
        <f t="shared" si="173"/>
        <v>87.5</v>
      </c>
      <c r="BT276" s="837" t="str">
        <f t="shared" si="174"/>
        <v>P3</v>
      </c>
      <c r="BU276" s="807" t="str">
        <f t="shared" si="183"/>
        <v>Con espacio</v>
      </c>
      <c r="BV276" s="807" t="str">
        <f t="shared" si="175"/>
        <v>Zona atractiva</v>
      </c>
      <c r="BW276" s="808" t="str">
        <f t="shared" si="176"/>
        <v>P3 - Desarrollar</v>
      </c>
    </row>
    <row r="277" spans="1:75">
      <c r="A277" s="780" t="str">
        <f>'Base de datos Rutas'!A275</f>
        <v>Occidente</v>
      </c>
      <c r="B277" s="781" t="str">
        <f>'Base de datos Rutas'!B275</f>
        <v>Aguascalientes</v>
      </c>
      <c r="C277" s="781" t="str">
        <f>'Base de datos Rutas'!C275</f>
        <v>Planta Trojes</v>
      </c>
      <c r="D277" s="782">
        <f>IF(ISNUMBER('Base de datos Rutas'!D275),'Base de datos Rutas'!D275,"Sin código")</f>
        <v>907401</v>
      </c>
      <c r="E277" s="783" t="str">
        <f>'Base de datos Rutas'!F275</f>
        <v>Activa</v>
      </c>
      <c r="F277" s="784" t="str">
        <f>'Base de datos Rutas'!H275</f>
        <v>Sí</v>
      </c>
      <c r="G277" s="785">
        <f>IF(ISNUMBER('Base de datos Rutas'!BE275),'Base de datos Rutas'!BE275,"")</f>
        <v>58.586206896551701</v>
      </c>
      <c r="H277" s="786">
        <f>IF(ISNUMBER('Base de datos Rutas'!BH275),'Base de datos Rutas'!BH275,"")</f>
        <v>0.704414361389052</v>
      </c>
      <c r="I277" s="788">
        <f>IFERROR(IF(OR(NOT(ISNUMBER('Base de datos Rutas'!O275)),N('Base de datos Rutas'!BK275)=0),"",'Base de datos Rutas'!O275/('Base de datos Rutas'!L275/'Base de datos Rutas'!BK275)),"")</f>
        <v>2837.0482758620706</v>
      </c>
      <c r="J277" s="788">
        <f>IFERROR(IF(OR(NOT(ISNUMBER('Base de datos Rutas'!N275)),N('Base de datos Rutas'!BK275)=0),"",'Base de datos Rutas'!N275/('Base de datos Rutas'!L275/'Base de datos Rutas'!BK275)),"")</f>
        <v>5661.6091954023022</v>
      </c>
      <c r="K277" s="788">
        <f>IFERROR(IF(OR(NOT(ISNUMBER('Base de datos Rutas'!J275)),N('Base de datos Rutas'!BK275)=0),"",'Base de datos Rutas'!J275/('Base de datos Rutas'!L275/'Base de datos Rutas'!BK275)),"")</f>
        <v>389.337268634483</v>
      </c>
      <c r="L277" s="788">
        <f>IFERROR(IF(OR(NOT(ISNUMBER('Base de datos Rutas'!K275)),N('Base de datos Rutas'!BK275)=0),"",'Base de datos Rutas'!K275/('Base de datos Rutas'!L275/'Base de datos Rutas'!BK275)),"")</f>
        <v>24.888212891954034</v>
      </c>
      <c r="M277" s="787">
        <f>IF(ISNUMBER('Base de datos Rutas'!AX275),'Base de datos Rutas'!AX275,"")</f>
        <v>205.88720978164</v>
      </c>
      <c r="N277" s="790">
        <f>IFERROR(INDEX('Hoja de apoyo v2'!B$17:B$20,MATCH($A277,'Hoja de apoyo v2'!$A$17:$A$20,0)),"")</f>
        <v>89.41621024641401</v>
      </c>
      <c r="O277" s="791">
        <f>IFERROR(INDEX('Hoja de apoyo v2'!C$17:C$20,MATCH($A277,'Hoja de apoyo v2'!$A$17:$A$20,0)),"")</f>
        <v>0.54706375874806301</v>
      </c>
      <c r="P277" s="793">
        <f>IFERROR(INDEX('Hoja de apoyo v2'!D$17:D$20,MATCH($A277,'Hoja de apoyo v2'!$A$17:$A$20,0)),"")</f>
        <v>11095.153935793827</v>
      </c>
      <c r="Q277" s="793">
        <f>IFERROR(INDEX('Hoja de apoyo v2'!E$17:E$20,MATCH($A277,'Hoja de apoyo v2'!$A$17:$A$20,0)),"")</f>
        <v>6982.3202019701848</v>
      </c>
      <c r="R277" s="793">
        <f>IFERROR(INDEX('Hoja de apoyo v2'!F$17:F$20,MATCH($A277,'Hoja de apoyo v2'!$A$17:$A$20,0)),"")</f>
        <v>448.09513474485743</v>
      </c>
      <c r="S277" s="793">
        <f>IFERROR(INDEX('Hoja de apoyo v2'!G$17:G$20,MATCH($A277,'Hoja de apoyo v2'!$A$17:$A$20,0)),"")</f>
        <v>83.406300904207839</v>
      </c>
      <c r="T277" s="792">
        <f>IFERROR(INDEX('Hoja de apoyo v2'!H$17:H$20,MATCH($A277,'Hoja de apoyo v2'!$A$17:$A$20,0)),"")</f>
        <v>378.97014028925349</v>
      </c>
      <c r="U277" s="794">
        <f t="shared" si="148"/>
        <v>0.65520789502372445</v>
      </c>
      <c r="V277" s="795">
        <f t="shared" si="149"/>
        <v>1.2876275390661602</v>
      </c>
      <c r="W277" s="795">
        <f t="shared" si="150"/>
        <v>0.25570156955727608</v>
      </c>
      <c r="X277" s="843">
        <f t="shared" si="151"/>
        <v>0.81084926380270839</v>
      </c>
      <c r="Y277" s="843">
        <f t="shared" si="152"/>
        <v>0.8688718944832311</v>
      </c>
      <c r="Z277" s="843">
        <f t="shared" si="153"/>
        <v>0.29839727481186529</v>
      </c>
      <c r="AA277" s="843">
        <f t="shared" si="154"/>
        <v>0.54328082319228133</v>
      </c>
      <c r="AB277" s="796">
        <f t="shared" si="155"/>
        <v>2</v>
      </c>
      <c r="AC277" s="797">
        <f t="shared" si="156"/>
        <v>5</v>
      </c>
      <c r="AD277" s="797">
        <f t="shared" si="157"/>
        <v>1</v>
      </c>
      <c r="AE277" s="842">
        <f t="shared" si="158"/>
        <v>3</v>
      </c>
      <c r="AF277" s="842">
        <f t="shared" si="159"/>
        <v>3</v>
      </c>
      <c r="AG277" s="842">
        <f t="shared" si="160"/>
        <v>1</v>
      </c>
      <c r="AH277" s="842">
        <f t="shared" si="161"/>
        <v>2</v>
      </c>
      <c r="AI277" s="826" cm="1">
        <f t="array" ref="AI277">SUMPRODUCT(--ISNUMBER($U277:$AA277),$AB$3:$AH$3)</f>
        <v>1</v>
      </c>
      <c r="AJ277" s="829">
        <f t="shared" si="162"/>
        <v>28.980970678542207</v>
      </c>
      <c r="AK277" s="827" t="str">
        <f t="shared" si="163"/>
        <v>Inmadura</v>
      </c>
      <c r="AL277" s="784" t="str">
        <f t="shared" si="164"/>
        <v>Alta</v>
      </c>
      <c r="AM277" s="799">
        <f>IF(ISNUMBER('Base de datos Rutas'!W275),'Base de datos Rutas'!W275,"")</f>
        <v>2767.0116391629381</v>
      </c>
      <c r="AN277" s="787">
        <f>IFERROR(SUMIFS('Base de datos Rutas'!$W$6:$W$794,'Base de datos Rutas'!$C$6:$C$794,$C277)/'Base de datos Rutas'!I275,"")</f>
        <v>2767.0116391629385</v>
      </c>
      <c r="AO277" s="800">
        <f>IFERROR('Base de datos Rutas'!X275*AN277/AM277,"")</f>
        <v>0.39811445655419803</v>
      </c>
      <c r="AP277" s="800">
        <f t="shared" si="165"/>
        <v>0.60188554344580192</v>
      </c>
      <c r="AQ277" s="789">
        <f>IFERROR(INDEX('Hoja de apoyo v2'!$J$17:$J$20,MATCH($A277,'Hoja de apoyo v2'!$A$17:$A$20,0)),"")</f>
        <v>0.64320274048480885</v>
      </c>
      <c r="AR277" s="789">
        <f t="shared" si="166"/>
        <v>-4.1317197039006937E-2</v>
      </c>
      <c r="AS277" s="784" t="str">
        <f t="shared" si="167"/>
        <v>No</v>
      </c>
      <c r="AT277" s="801">
        <f>IF(ISNUMBER('Base de datos Rutas'!CK275),'Base de datos Rutas'!CK275,"")</f>
        <v>413</v>
      </c>
      <c r="AU277" s="802">
        <f>IF(ISNUMBER('Base de datos Rutas'!CL275),'Base de datos Rutas'!CL275,"")</f>
        <v>501.14</v>
      </c>
      <c r="AV277" s="802">
        <f>IF(ISNUMBER('Base de datos Rutas'!CM275),'Base de datos Rutas'!CM275,"")</f>
        <v>88.139999999999986</v>
      </c>
      <c r="AW277" s="802">
        <f>IF(ISNUMBER('Base de datos Rutas'!CN275),'Base de datos Rutas'!CN275,"")</f>
        <v>9.5</v>
      </c>
      <c r="AX277" s="802">
        <f>IF(ISNUMBER('Base de datos Rutas'!CO275),'Base de datos Rutas'!CO275,"")</f>
        <v>9.4499999999999993</v>
      </c>
      <c r="AY277" s="802">
        <f>IF(ISNUMBER('Base de datos Rutas'!CP275),'Base de datos Rutas'!CP275,"")</f>
        <v>-5.0000000000000711E-2</v>
      </c>
      <c r="AZ277" s="802">
        <f>IF(ISNUMBER('Base de datos Rutas'!CQ275),'Base de datos Rutas'!CQ275,"")</f>
        <v>846.56</v>
      </c>
      <c r="BA277" s="802">
        <f>IF(ISNUMBER('Base de datos Rutas'!CR275),'Base de datos Rutas'!CR275,"")</f>
        <v>414.23</v>
      </c>
      <c r="BB277" s="803">
        <f>IF(ISNUMBER('Base de datos Rutas'!CS275),'Base de datos Rutas'!CS275,"")</f>
        <v>432.32999999999993</v>
      </c>
      <c r="BC277" s="804">
        <f t="shared" si="177"/>
        <v>1</v>
      </c>
      <c r="BD277" s="805" t="str">
        <f t="shared" si="178"/>
        <v>Saturada</v>
      </c>
      <c r="BE277" s="806">
        <f t="shared" si="179"/>
        <v>0.48930967680967685</v>
      </c>
      <c r="BF277" s="890">
        <f>IF(ISNUMBER('Base de datos Rutas'!CX275),'Base de datos Rutas'!CX275/100,"")</f>
        <v>0.72234116899618817</v>
      </c>
      <c r="BG277" s="891">
        <f>IF(ISNUMBER('Base de datos Rutas'!CZ275),'Base de datos Rutas'!CZ275/100,"")</f>
        <v>0.73634053367217278</v>
      </c>
      <c r="BH277" s="892">
        <f>IF(ISNUMBER('Base de datos Rutas'!DA275),'Base de datos Rutas'!DA275,"")</f>
        <v>292.91816752138897</v>
      </c>
      <c r="BI277" s="893">
        <f>IF(ISNUMBER('Base de datos Rutas'!DC275),'Base de datos Rutas'!DC275,"")</f>
        <v>14.078588502131844</v>
      </c>
      <c r="BJ277" s="805" t="str">
        <f t="shared" si="180"/>
        <v>Ruta (completo)</v>
      </c>
      <c r="BK277" s="783">
        <f t="shared" si="168"/>
        <v>3</v>
      </c>
      <c r="BL277" s="797">
        <f t="shared" si="169"/>
        <v>3</v>
      </c>
      <c r="BM277" s="797">
        <f t="shared" si="170"/>
        <v>4</v>
      </c>
      <c r="BN277" s="797">
        <f t="shared" si="171"/>
        <v>4</v>
      </c>
      <c r="BO277" s="798" cm="1">
        <f t="array" ref="BO277">SUMPRODUCT(--ISNUMBER($BF277:$BI277),$BK$3:$BN$3)</f>
        <v>1</v>
      </c>
      <c r="BP277" s="831">
        <f t="shared" si="181"/>
        <v>62.5</v>
      </c>
      <c r="BQ277" s="834" t="str">
        <f t="shared" si="182"/>
        <v>Alto</v>
      </c>
      <c r="BR277" s="836">
        <f t="shared" si="172"/>
        <v>46.735728008906655</v>
      </c>
      <c r="BS277" s="836">
        <f t="shared" si="173"/>
        <v>62.5</v>
      </c>
      <c r="BT277" s="837" t="str">
        <f t="shared" si="174"/>
        <v>P1</v>
      </c>
      <c r="BU277" s="807" t="str">
        <f t="shared" si="183"/>
        <v>Al tope</v>
      </c>
      <c r="BV277" s="807" t="str">
        <f t="shared" si="175"/>
        <v>Zona atractiva</v>
      </c>
      <c r="BW277" s="808" t="str">
        <f t="shared" si="176"/>
        <v>P1 - Ampliar cobertura</v>
      </c>
    </row>
    <row r="278" spans="1:75">
      <c r="A278" s="780" t="str">
        <f>'Base de datos Rutas'!A276</f>
        <v>Occidente</v>
      </c>
      <c r="B278" s="781" t="str">
        <f>'Base de datos Rutas'!B276</f>
        <v>Aguascalientes</v>
      </c>
      <c r="C278" s="781" t="str">
        <f>'Base de datos Rutas'!C276</f>
        <v>Planta Trojes</v>
      </c>
      <c r="D278" s="782">
        <f>IF(ISNUMBER('Base de datos Rutas'!D276),'Base de datos Rutas'!D276,"Sin código")</f>
        <v>907402</v>
      </c>
      <c r="E278" s="783" t="str">
        <f>'Base de datos Rutas'!F276</f>
        <v>Activa</v>
      </c>
      <c r="F278" s="784" t="str">
        <f>'Base de datos Rutas'!H276</f>
        <v>Sí</v>
      </c>
      <c r="G278" s="785">
        <f>IF(ISNUMBER('Base de datos Rutas'!BE276),'Base de datos Rutas'!BE276,"")</f>
        <v>36.695852534562199</v>
      </c>
      <c r="H278" s="786">
        <f>IF(ISNUMBER('Base de datos Rutas'!BH276),'Base de datos Rutas'!BH276,"")</f>
        <v>0.55682531709154803</v>
      </c>
      <c r="I278" s="788">
        <f>IFERROR(IF(OR(NOT(ISNUMBER('Base de datos Rutas'!O276)),N('Base de datos Rutas'!BK276)=0),"",'Base de datos Rutas'!O276/('Base de datos Rutas'!L276/'Base de datos Rutas'!BK276)),"")</f>
        <v>2566.2073732718882</v>
      </c>
      <c r="J278" s="788">
        <f>IFERROR(IF(OR(NOT(ISNUMBER('Base de datos Rutas'!N276)),N('Base de datos Rutas'!BK276)=0),"",'Base de datos Rutas'!N276/('Base de datos Rutas'!L276/'Base de datos Rutas'!BK276)),"")</f>
        <v>5077.3294930875545</v>
      </c>
      <c r="K278" s="788">
        <f>IFERROR(IF(OR(NOT(ISNUMBER('Base de datos Rutas'!J276)),N('Base de datos Rutas'!BK276)=0),"",'Base de datos Rutas'!J276/('Base de datos Rutas'!L276/'Base de datos Rutas'!BK276)),"")</f>
        <v>341.41308387096757</v>
      </c>
      <c r="L278" s="788">
        <f>IFERROR(IF(OR(NOT(ISNUMBER('Base de datos Rutas'!K276)),N('Base de datos Rutas'!BK276)=0),"",'Base de datos Rutas'!K276/('Base de datos Rutas'!L276/'Base de datos Rutas'!BK276)),"")</f>
        <v>20.79340892857142</v>
      </c>
      <c r="M278" s="787">
        <f>IF(ISNUMBER('Base de datos Rutas'!AX276),'Base de datos Rutas'!AX276,"")</f>
        <v>374.13078822733399</v>
      </c>
      <c r="N278" s="790">
        <f>IFERROR(INDEX('Hoja de apoyo v2'!B$17:B$20,MATCH($A278,'Hoja de apoyo v2'!$A$17:$A$20,0)),"")</f>
        <v>89.41621024641401</v>
      </c>
      <c r="O278" s="791">
        <f>IFERROR(INDEX('Hoja de apoyo v2'!C$17:C$20,MATCH($A278,'Hoja de apoyo v2'!$A$17:$A$20,0)),"")</f>
        <v>0.54706375874806301</v>
      </c>
      <c r="P278" s="793">
        <f>IFERROR(INDEX('Hoja de apoyo v2'!D$17:D$20,MATCH($A278,'Hoja de apoyo v2'!$A$17:$A$20,0)),"")</f>
        <v>11095.153935793827</v>
      </c>
      <c r="Q278" s="793">
        <f>IFERROR(INDEX('Hoja de apoyo v2'!E$17:E$20,MATCH($A278,'Hoja de apoyo v2'!$A$17:$A$20,0)),"")</f>
        <v>6982.3202019701848</v>
      </c>
      <c r="R278" s="793">
        <f>IFERROR(INDEX('Hoja de apoyo v2'!F$17:F$20,MATCH($A278,'Hoja de apoyo v2'!$A$17:$A$20,0)),"")</f>
        <v>448.09513474485743</v>
      </c>
      <c r="S278" s="793">
        <f>IFERROR(INDEX('Hoja de apoyo v2'!G$17:G$20,MATCH($A278,'Hoja de apoyo v2'!$A$17:$A$20,0)),"")</f>
        <v>83.406300904207839</v>
      </c>
      <c r="T278" s="792">
        <f>IFERROR(INDEX('Hoja de apoyo v2'!H$17:H$20,MATCH($A278,'Hoja de apoyo v2'!$A$17:$A$20,0)),"")</f>
        <v>378.97014028925349</v>
      </c>
      <c r="U278" s="794">
        <f t="shared" si="148"/>
        <v>0.41039373546961377</v>
      </c>
      <c r="V278" s="795">
        <f t="shared" si="149"/>
        <v>1.0178435478267178</v>
      </c>
      <c r="W278" s="795">
        <f t="shared" si="150"/>
        <v>0.23129083094495012</v>
      </c>
      <c r="X278" s="843">
        <f t="shared" si="151"/>
        <v>0.72716938585183999</v>
      </c>
      <c r="Y278" s="843">
        <f t="shared" si="152"/>
        <v>0.76192097927009639</v>
      </c>
      <c r="Z278" s="843">
        <f t="shared" si="153"/>
        <v>0.24930261506804691</v>
      </c>
      <c r="AA278" s="843">
        <f t="shared" si="154"/>
        <v>0.98723025497938754</v>
      </c>
      <c r="AB278" s="796">
        <f t="shared" si="155"/>
        <v>1</v>
      </c>
      <c r="AC278" s="797">
        <f t="shared" si="156"/>
        <v>4</v>
      </c>
      <c r="AD278" s="797">
        <f t="shared" si="157"/>
        <v>1</v>
      </c>
      <c r="AE278" s="842">
        <f t="shared" si="158"/>
        <v>2</v>
      </c>
      <c r="AF278" s="842">
        <f t="shared" si="159"/>
        <v>3</v>
      </c>
      <c r="AG278" s="842">
        <f t="shared" si="160"/>
        <v>1</v>
      </c>
      <c r="AH278" s="842">
        <f t="shared" si="161"/>
        <v>3</v>
      </c>
      <c r="AI278" s="826" cm="1">
        <f t="array" ref="AI278">SUMPRODUCT(--ISNUMBER($U278:$AA278),$AB$3:$AH$3)</f>
        <v>1</v>
      </c>
      <c r="AJ278" s="829">
        <f t="shared" si="162"/>
        <v>20.899709108622844</v>
      </c>
      <c r="AK278" s="827" t="str">
        <f t="shared" si="163"/>
        <v>Inmadura</v>
      </c>
      <c r="AL278" s="784" t="str">
        <f t="shared" si="164"/>
        <v>Alta</v>
      </c>
      <c r="AM278" s="799">
        <f>IF(ISNUMBER('Base de datos Rutas'!W276),'Base de datos Rutas'!W276,"")</f>
        <v>2767.0116391629381</v>
      </c>
      <c r="AN278" s="787">
        <f>IFERROR(SUMIFS('Base de datos Rutas'!$W$6:$W$794,'Base de datos Rutas'!$C$6:$C$794,$C278)/'Base de datos Rutas'!I276,"")</f>
        <v>2767.0116391629385</v>
      </c>
      <c r="AO278" s="800">
        <f>IFERROR('Base de datos Rutas'!X276*AN278/AM278,"")</f>
        <v>0.39811445655419803</v>
      </c>
      <c r="AP278" s="800">
        <f t="shared" si="165"/>
        <v>0.60188554344580192</v>
      </c>
      <c r="AQ278" s="789">
        <f>IFERROR(INDEX('Hoja de apoyo v2'!$J$17:$J$20,MATCH($A278,'Hoja de apoyo v2'!$A$17:$A$20,0)),"")</f>
        <v>0.64320274048480885</v>
      </c>
      <c r="AR278" s="789">
        <f t="shared" si="166"/>
        <v>-4.1317197039006937E-2</v>
      </c>
      <c r="AS278" s="784" t="str">
        <f t="shared" si="167"/>
        <v>No</v>
      </c>
      <c r="AT278" s="801">
        <f>IF(ISNUMBER('Base de datos Rutas'!CK276),'Base de datos Rutas'!CK276,"")</f>
        <v>254</v>
      </c>
      <c r="AU278" s="802">
        <f>IF(ISNUMBER('Base de datos Rutas'!CL276),'Base de datos Rutas'!CL276,"")</f>
        <v>296.82</v>
      </c>
      <c r="AV278" s="802">
        <f>IF(ISNUMBER('Base de datos Rutas'!CM276),'Base de datos Rutas'!CM276,"")</f>
        <v>42.819999999999993</v>
      </c>
      <c r="AW278" s="802">
        <f>IF(ISNUMBER('Base de datos Rutas'!CN276),'Base de datos Rutas'!CN276,"")</f>
        <v>11.47</v>
      </c>
      <c r="AX278" s="802">
        <f>IF(ISNUMBER('Base de datos Rutas'!CO276),'Base de datos Rutas'!CO276,"")</f>
        <v>9.4499999999999993</v>
      </c>
      <c r="AY278" s="802">
        <f>IF(ISNUMBER('Base de datos Rutas'!CP276),'Base de datos Rutas'!CP276,"")</f>
        <v>-2.0200000000000014</v>
      </c>
      <c r="AZ278" s="802">
        <f>IF(ISNUMBER('Base de datos Rutas'!CQ276),'Base de datos Rutas'!CQ276,"")</f>
        <v>564.37</v>
      </c>
      <c r="BA278" s="802">
        <f>IF(ISNUMBER('Base de datos Rutas'!CR276),'Base de datos Rutas'!CR276,"")</f>
        <v>362.21</v>
      </c>
      <c r="BB278" s="803">
        <f>IF(ISNUMBER('Base de datos Rutas'!CS276),'Base de datos Rutas'!CS276,"")</f>
        <v>202.16000000000003</v>
      </c>
      <c r="BC278" s="804">
        <f t="shared" si="177"/>
        <v>1</v>
      </c>
      <c r="BD278" s="805" t="str">
        <f t="shared" si="178"/>
        <v>Saturada</v>
      </c>
      <c r="BE278" s="806">
        <f t="shared" si="179"/>
        <v>0.64179527614862586</v>
      </c>
      <c r="BF278" s="890">
        <f>IF(ISNUMBER('Base de datos Rutas'!CX276),'Base de datos Rutas'!CX276/100,"")</f>
        <v>0.32731805929919133</v>
      </c>
      <c r="BG278" s="891">
        <f>IF(ISNUMBER('Base de datos Rutas'!CZ276),'Base de datos Rutas'!CZ276/100,"")</f>
        <v>0.33144012321909888</v>
      </c>
      <c r="BH278" s="892">
        <f>IF(ISNUMBER('Base de datos Rutas'!DA276),'Base de datos Rutas'!DA276,"")</f>
        <v>33.174927762151015</v>
      </c>
      <c r="BI278" s="893">
        <f>IF(ISNUMBER('Base de datos Rutas'!DC276),'Base de datos Rutas'!DC276,"")</f>
        <v>1.6052036177405036</v>
      </c>
      <c r="BJ278" s="805" t="str">
        <f t="shared" si="180"/>
        <v>Ruta (completo)</v>
      </c>
      <c r="BK278" s="783">
        <f t="shared" si="168"/>
        <v>3</v>
      </c>
      <c r="BL278" s="797">
        <f t="shared" si="169"/>
        <v>3</v>
      </c>
      <c r="BM278" s="797">
        <f t="shared" si="170"/>
        <v>1</v>
      </c>
      <c r="BN278" s="797">
        <f t="shared" si="171"/>
        <v>1</v>
      </c>
      <c r="BO278" s="798" cm="1">
        <f t="array" ref="BO278">SUMPRODUCT(--ISNUMBER($BF278:$BI278),$BK$3:$BN$3)</f>
        <v>1</v>
      </c>
      <c r="BP278" s="831">
        <f t="shared" si="181"/>
        <v>25</v>
      </c>
      <c r="BQ278" s="834" t="str">
        <f t="shared" si="182"/>
        <v>Medio</v>
      </c>
      <c r="BR278" s="836">
        <f t="shared" si="172"/>
        <v>40.674781831467129</v>
      </c>
      <c r="BS278" s="836">
        <f t="shared" si="173"/>
        <v>25</v>
      </c>
      <c r="BT278" s="837" t="str">
        <f t="shared" si="174"/>
        <v>P2</v>
      </c>
      <c r="BU278" s="807" t="str">
        <f t="shared" si="183"/>
        <v>Al tope</v>
      </c>
      <c r="BV278" s="807" t="str">
        <f t="shared" si="175"/>
        <v>Zona de bajo potencial</v>
      </c>
      <c r="BW278" s="808" t="str">
        <f t="shared" si="176"/>
        <v>P2 - Mantener</v>
      </c>
    </row>
    <row r="279" spans="1:75">
      <c r="A279" s="780" t="str">
        <f>'Base de datos Rutas'!A277</f>
        <v>Occidente</v>
      </c>
      <c r="B279" s="781" t="str">
        <f>'Base de datos Rutas'!B277</f>
        <v>Aguascalientes</v>
      </c>
      <c r="C279" s="781" t="str">
        <f>'Base de datos Rutas'!C277</f>
        <v>Planta Trojes</v>
      </c>
      <c r="D279" s="782">
        <f>IF(ISNUMBER('Base de datos Rutas'!D277),'Base de datos Rutas'!D277,"Sin código")</f>
        <v>907403</v>
      </c>
      <c r="E279" s="783" t="str">
        <f>'Base de datos Rutas'!F277</f>
        <v>Activa</v>
      </c>
      <c r="F279" s="784" t="str">
        <f>'Base de datos Rutas'!H277</f>
        <v>Sí</v>
      </c>
      <c r="G279" s="785">
        <f>IF(ISNUMBER('Base de datos Rutas'!BE277),'Base de datos Rutas'!BE277,"")</f>
        <v>46.674311926605498</v>
      </c>
      <c r="H279" s="786">
        <f>IF(ISNUMBER('Base de datos Rutas'!BH277),'Base de datos Rutas'!BH277,"")</f>
        <v>0.51140049140049104</v>
      </c>
      <c r="I279" s="788">
        <f>IFERROR(IF(OR(NOT(ISNUMBER('Base de datos Rutas'!O277)),N('Base de datos Rutas'!BK277)=0),"",'Base de datos Rutas'!O277/('Base de datos Rutas'!L277/'Base de datos Rutas'!BK277)),"")</f>
        <v>1525.5206422018341</v>
      </c>
      <c r="J279" s="788">
        <f>IFERROR(IF(OR(NOT(ISNUMBER('Base de datos Rutas'!N277)),N('Base de datos Rutas'!BK277)=0),"",'Base de datos Rutas'!N277/('Base de datos Rutas'!L277/'Base de datos Rutas'!BK277)),"")</f>
        <v>4787.4885321100892</v>
      </c>
      <c r="K279" s="788">
        <f>IFERROR(IF(OR(NOT(ISNUMBER('Base de datos Rutas'!J277)),N('Base de datos Rutas'!BK277)=0),"",'Base de datos Rutas'!J277/('Base de datos Rutas'!L277/'Base de datos Rutas'!BK277)),"")</f>
        <v>326.41983853210991</v>
      </c>
      <c r="L279" s="788">
        <f>IFERROR(IF(OR(NOT(ISNUMBER('Base de datos Rutas'!K277)),N('Base de datos Rutas'!BK277)=0),"",'Base de datos Rutas'!K277/('Base de datos Rutas'!L277/'Base de datos Rutas'!BK277)),"")</f>
        <v>15.344935369266047</v>
      </c>
      <c r="M279" s="787">
        <f>IF(ISNUMBER('Base de datos Rutas'!AX277),'Base de datos Rutas'!AX277,"")</f>
        <v>265.81565965215702</v>
      </c>
      <c r="N279" s="790">
        <f>IFERROR(INDEX('Hoja de apoyo v2'!B$17:B$20,MATCH($A279,'Hoja de apoyo v2'!$A$17:$A$20,0)),"")</f>
        <v>89.41621024641401</v>
      </c>
      <c r="O279" s="791">
        <f>IFERROR(INDEX('Hoja de apoyo v2'!C$17:C$20,MATCH($A279,'Hoja de apoyo v2'!$A$17:$A$20,0)),"")</f>
        <v>0.54706375874806301</v>
      </c>
      <c r="P279" s="793">
        <f>IFERROR(INDEX('Hoja de apoyo v2'!D$17:D$20,MATCH($A279,'Hoja de apoyo v2'!$A$17:$A$20,0)),"")</f>
        <v>11095.153935793827</v>
      </c>
      <c r="Q279" s="793">
        <f>IFERROR(INDEX('Hoja de apoyo v2'!E$17:E$20,MATCH($A279,'Hoja de apoyo v2'!$A$17:$A$20,0)),"")</f>
        <v>6982.3202019701848</v>
      </c>
      <c r="R279" s="793">
        <f>IFERROR(INDEX('Hoja de apoyo v2'!F$17:F$20,MATCH($A279,'Hoja de apoyo v2'!$A$17:$A$20,0)),"")</f>
        <v>448.09513474485743</v>
      </c>
      <c r="S279" s="793">
        <f>IFERROR(INDEX('Hoja de apoyo v2'!G$17:G$20,MATCH($A279,'Hoja de apoyo v2'!$A$17:$A$20,0)),"")</f>
        <v>83.406300904207839</v>
      </c>
      <c r="T279" s="792">
        <f>IFERROR(INDEX('Hoja de apoyo v2'!H$17:H$20,MATCH($A279,'Hoja de apoyo v2'!$A$17:$A$20,0)),"")</f>
        <v>378.97014028925349</v>
      </c>
      <c r="U279" s="794">
        <f t="shared" si="148"/>
        <v>0.52198937751868479</v>
      </c>
      <c r="V279" s="795">
        <f t="shared" si="149"/>
        <v>0.93480966929853637</v>
      </c>
      <c r="W279" s="795">
        <f t="shared" si="150"/>
        <v>0.13749431968495598</v>
      </c>
      <c r="X279" s="843">
        <f t="shared" si="151"/>
        <v>0.68565869132716295</v>
      </c>
      <c r="Y279" s="843">
        <f t="shared" si="152"/>
        <v>0.72846101914936279</v>
      </c>
      <c r="Z279" s="843">
        <f t="shared" si="153"/>
        <v>0.18397813118327486</v>
      </c>
      <c r="AA279" s="843">
        <f t="shared" si="154"/>
        <v>0.70141584096644138</v>
      </c>
      <c r="AB279" s="796">
        <f t="shared" si="155"/>
        <v>2</v>
      </c>
      <c r="AC279" s="797">
        <f t="shared" si="156"/>
        <v>3</v>
      </c>
      <c r="AD279" s="797">
        <f t="shared" si="157"/>
        <v>1</v>
      </c>
      <c r="AE279" s="842">
        <f t="shared" si="158"/>
        <v>2</v>
      </c>
      <c r="AF279" s="842">
        <f t="shared" si="159"/>
        <v>2</v>
      </c>
      <c r="AG279" s="842">
        <f t="shared" si="160"/>
        <v>1</v>
      </c>
      <c r="AH279" s="842">
        <f t="shared" si="161"/>
        <v>2</v>
      </c>
      <c r="AI279" s="826" cm="1">
        <f t="array" ref="AI279">SUMPRODUCT(--ISNUMBER($U279:$AA279),$AB$3:$AH$3)</f>
        <v>1</v>
      </c>
      <c r="AJ279" s="829">
        <f t="shared" si="162"/>
        <v>17.879667348502764</v>
      </c>
      <c r="AK279" s="827" t="str">
        <f t="shared" si="163"/>
        <v>Inmadura</v>
      </c>
      <c r="AL279" s="784" t="str">
        <f t="shared" si="164"/>
        <v>Alta</v>
      </c>
      <c r="AM279" s="799">
        <f>IF(ISNUMBER('Base de datos Rutas'!W277),'Base de datos Rutas'!W277,"")</f>
        <v>2767.0116391629381</v>
      </c>
      <c r="AN279" s="787">
        <f>IFERROR(SUMIFS('Base de datos Rutas'!$W$6:$W$794,'Base de datos Rutas'!$C$6:$C$794,$C279)/'Base de datos Rutas'!I277,"")</f>
        <v>2767.0116391629385</v>
      </c>
      <c r="AO279" s="800">
        <f>IFERROR('Base de datos Rutas'!X277*AN279/AM279,"")</f>
        <v>0.39811445655419803</v>
      </c>
      <c r="AP279" s="800">
        <f t="shared" si="165"/>
        <v>0.60188554344580192</v>
      </c>
      <c r="AQ279" s="789">
        <f>IFERROR(INDEX('Hoja de apoyo v2'!$J$17:$J$20,MATCH($A279,'Hoja de apoyo v2'!$A$17:$A$20,0)),"")</f>
        <v>0.64320274048480885</v>
      </c>
      <c r="AR279" s="789">
        <f t="shared" si="166"/>
        <v>-4.1317197039006937E-2</v>
      </c>
      <c r="AS279" s="784" t="str">
        <f t="shared" si="167"/>
        <v>No</v>
      </c>
      <c r="AT279" s="801">
        <f>IF(ISNUMBER('Base de datos Rutas'!CK277),'Base de datos Rutas'!CK277,"")</f>
        <v>343</v>
      </c>
      <c r="AU279" s="802">
        <f>IF(ISNUMBER('Base de datos Rutas'!CL277),'Base de datos Rutas'!CL277,"")</f>
        <v>502.54</v>
      </c>
      <c r="AV279" s="802">
        <f>IF(ISNUMBER('Base de datos Rutas'!CM277),'Base de datos Rutas'!CM277,"")</f>
        <v>159.54000000000002</v>
      </c>
      <c r="AW279" s="802">
        <f>IF(ISNUMBER('Base de datos Rutas'!CN277),'Base de datos Rutas'!CN277,"")</f>
        <v>9.5399999999999991</v>
      </c>
      <c r="AX279" s="802">
        <f>IF(ISNUMBER('Base de datos Rutas'!CO277),'Base de datos Rutas'!CO277,"")</f>
        <v>9.4499999999999993</v>
      </c>
      <c r="AY279" s="802">
        <f>IF(ISNUMBER('Base de datos Rutas'!CP277),'Base de datos Rutas'!CP277,"")</f>
        <v>-8.9999999999999858E-2</v>
      </c>
      <c r="AZ279" s="802">
        <f>IF(ISNUMBER('Base de datos Rutas'!CQ277),'Base de datos Rutas'!CQ277,"")</f>
        <v>564.37</v>
      </c>
      <c r="BA279" s="802">
        <f>IF(ISNUMBER('Base de datos Rutas'!CR277),'Base de datos Rutas'!CR277,"")</f>
        <v>341.76</v>
      </c>
      <c r="BB279" s="803">
        <f>IF(ISNUMBER('Base de datos Rutas'!CS277),'Base de datos Rutas'!CS277,"")</f>
        <v>222.61</v>
      </c>
      <c r="BC279" s="804">
        <f t="shared" si="177"/>
        <v>1</v>
      </c>
      <c r="BD279" s="805" t="str">
        <f t="shared" si="178"/>
        <v>Saturada</v>
      </c>
      <c r="BE279" s="806">
        <f t="shared" si="179"/>
        <v>0.60556018215000795</v>
      </c>
      <c r="BF279" s="890">
        <f>IF(ISNUMBER('Base de datos Rutas'!CX277),'Base de datos Rutas'!CX277/100,"")</f>
        <v>0.17952772710061615</v>
      </c>
      <c r="BG279" s="891">
        <f>IF(ISNUMBER('Base de datos Rutas'!CZ277),'Base de datos Rutas'!CZ277/100,"")</f>
        <v>0.18501944855598776</v>
      </c>
      <c r="BH279" s="892">
        <f>IF(ISNUMBER('Base de datos Rutas'!DA277),'Base de datos Rutas'!DA277,"")</f>
        <v>65.388790484530574</v>
      </c>
      <c r="BI279" s="893">
        <f>IF(ISNUMBER('Base de datos Rutas'!DC277),'Base de datos Rutas'!DC277,"")</f>
        <v>3.4571264344993278</v>
      </c>
      <c r="BJ279" s="805" t="str">
        <f t="shared" si="180"/>
        <v>Ruta (completo)</v>
      </c>
      <c r="BK279" s="783">
        <f t="shared" si="168"/>
        <v>2</v>
      </c>
      <c r="BL279" s="797">
        <f t="shared" si="169"/>
        <v>2</v>
      </c>
      <c r="BM279" s="797">
        <f t="shared" si="170"/>
        <v>2</v>
      </c>
      <c r="BN279" s="797">
        <f t="shared" si="171"/>
        <v>2</v>
      </c>
      <c r="BO279" s="798" cm="1">
        <f t="array" ref="BO279">SUMPRODUCT(--ISNUMBER($BF279:$BI279),$BK$3:$BN$3)</f>
        <v>1</v>
      </c>
      <c r="BP279" s="831">
        <f t="shared" si="181"/>
        <v>25</v>
      </c>
      <c r="BQ279" s="834" t="str">
        <f t="shared" si="182"/>
        <v>Medio</v>
      </c>
      <c r="BR279" s="836">
        <f t="shared" si="172"/>
        <v>38.409750511377069</v>
      </c>
      <c r="BS279" s="836">
        <f t="shared" si="173"/>
        <v>25</v>
      </c>
      <c r="BT279" s="837" t="str">
        <f t="shared" si="174"/>
        <v>P2</v>
      </c>
      <c r="BU279" s="807" t="str">
        <f t="shared" si="183"/>
        <v>Al tope</v>
      </c>
      <c r="BV279" s="807" t="str">
        <f t="shared" si="175"/>
        <v>Zona de bajo potencial</v>
      </c>
      <c r="BW279" s="808" t="str">
        <f t="shared" si="176"/>
        <v>P2 - Mantener</v>
      </c>
    </row>
    <row r="280" spans="1:75">
      <c r="A280" s="780" t="str">
        <f>'Base de datos Rutas'!A278</f>
        <v>Occidente</v>
      </c>
      <c r="B280" s="781" t="str">
        <f>'Base de datos Rutas'!B278</f>
        <v>Aguascalientes</v>
      </c>
      <c r="C280" s="781" t="str">
        <f>'Base de datos Rutas'!C278</f>
        <v>Planta Trojes</v>
      </c>
      <c r="D280" s="782">
        <f>IF(ISNUMBER('Base de datos Rutas'!D278),'Base de datos Rutas'!D278,"Sin código")</f>
        <v>907405</v>
      </c>
      <c r="E280" s="783" t="str">
        <f>'Base de datos Rutas'!F278</f>
        <v>Activa</v>
      </c>
      <c r="F280" s="784" t="str">
        <f>'Base de datos Rutas'!H278</f>
        <v>Sí</v>
      </c>
      <c r="G280" s="785">
        <f>IF(ISNUMBER('Base de datos Rutas'!BE278),'Base de datos Rutas'!BE278,"")</f>
        <v>45.834482758620702</v>
      </c>
      <c r="H280" s="786">
        <f>IF(ISNUMBER('Base de datos Rutas'!BH278),'Base de datos Rutas'!BH278,"")</f>
        <v>0.639833483799779</v>
      </c>
      <c r="I280" s="788">
        <f>IFERROR(IF(OR(NOT(ISNUMBER('Base de datos Rutas'!O278)),N('Base de datos Rutas'!BK278)=0),"",'Base de datos Rutas'!O278/('Base de datos Rutas'!L278/'Base de datos Rutas'!BK278)),"")</f>
        <v>3180.0896551724163</v>
      </c>
      <c r="J280" s="788">
        <f>IFERROR(IF(OR(NOT(ISNUMBER('Base de datos Rutas'!N278)),N('Base de datos Rutas'!BK278)=0),"",'Base de datos Rutas'!N278/('Base de datos Rutas'!L278/'Base de datos Rutas'!BK278)),"")</f>
        <v>6761.0298850574763</v>
      </c>
      <c r="K280" s="788">
        <f>IFERROR(IF(OR(NOT(ISNUMBER('Base de datos Rutas'!J278)),N('Base de datos Rutas'!BK278)=0),"",'Base de datos Rutas'!J278/('Base de datos Rutas'!L278/'Base de datos Rutas'!BK278)),"")</f>
        <v>457.66486517701185</v>
      </c>
      <c r="L280" s="788">
        <f>IFERROR(IF(OR(NOT(ISNUMBER('Base de datos Rutas'!K278)),N('Base de datos Rutas'!BK278)=0),"",'Base de datos Rutas'!K278/('Base de datos Rutas'!L278/'Base de datos Rutas'!BK278)),"")</f>
        <v>25.961480321839101</v>
      </c>
      <c r="M280" s="787">
        <f>IF(ISNUMBER('Base de datos Rutas'!AX278),'Base de datos Rutas'!AX278,"")</f>
        <v>340.04622403386401</v>
      </c>
      <c r="N280" s="790">
        <f>IFERROR(INDEX('Hoja de apoyo v2'!B$17:B$20,MATCH($A280,'Hoja de apoyo v2'!$A$17:$A$20,0)),"")</f>
        <v>89.41621024641401</v>
      </c>
      <c r="O280" s="791">
        <f>IFERROR(INDEX('Hoja de apoyo v2'!C$17:C$20,MATCH($A280,'Hoja de apoyo v2'!$A$17:$A$20,0)),"")</f>
        <v>0.54706375874806301</v>
      </c>
      <c r="P280" s="793">
        <f>IFERROR(INDEX('Hoja de apoyo v2'!D$17:D$20,MATCH($A280,'Hoja de apoyo v2'!$A$17:$A$20,0)),"")</f>
        <v>11095.153935793827</v>
      </c>
      <c r="Q280" s="793">
        <f>IFERROR(INDEX('Hoja de apoyo v2'!E$17:E$20,MATCH($A280,'Hoja de apoyo v2'!$A$17:$A$20,0)),"")</f>
        <v>6982.3202019701848</v>
      </c>
      <c r="R280" s="793">
        <f>IFERROR(INDEX('Hoja de apoyo v2'!F$17:F$20,MATCH($A280,'Hoja de apoyo v2'!$A$17:$A$20,0)),"")</f>
        <v>448.09513474485743</v>
      </c>
      <c r="S280" s="793">
        <f>IFERROR(INDEX('Hoja de apoyo v2'!G$17:G$20,MATCH($A280,'Hoja de apoyo v2'!$A$17:$A$20,0)),"")</f>
        <v>83.406300904207839</v>
      </c>
      <c r="T280" s="792">
        <f>IFERROR(INDEX('Hoja de apoyo v2'!H$17:H$20,MATCH($A280,'Hoja de apoyo v2'!$A$17:$A$20,0)),"")</f>
        <v>378.97014028925349</v>
      </c>
      <c r="U280" s="794">
        <f t="shared" si="148"/>
        <v>0.5125970182845998</v>
      </c>
      <c r="V280" s="795">
        <f t="shared" si="149"/>
        <v>1.1695775374775628</v>
      </c>
      <c r="W280" s="795">
        <f t="shared" si="150"/>
        <v>0.28661969663288767</v>
      </c>
      <c r="X280" s="843">
        <f t="shared" si="151"/>
        <v>0.96830705116470206</v>
      </c>
      <c r="Y280" s="843">
        <f t="shared" si="152"/>
        <v>1.0213564702897373</v>
      </c>
      <c r="Z280" s="843">
        <f t="shared" si="153"/>
        <v>0.31126521666097945</v>
      </c>
      <c r="AA280" s="843">
        <f t="shared" si="154"/>
        <v>0.89729028195815019</v>
      </c>
      <c r="AB280" s="796">
        <f t="shared" si="155"/>
        <v>2</v>
      </c>
      <c r="AC280" s="797">
        <f t="shared" si="156"/>
        <v>4</v>
      </c>
      <c r="AD280" s="797">
        <f t="shared" si="157"/>
        <v>1</v>
      </c>
      <c r="AE280" s="842">
        <f t="shared" si="158"/>
        <v>3</v>
      </c>
      <c r="AF280" s="842">
        <f t="shared" si="159"/>
        <v>4</v>
      </c>
      <c r="AG280" s="842">
        <f t="shared" si="160"/>
        <v>1</v>
      </c>
      <c r="AH280" s="842">
        <f t="shared" si="161"/>
        <v>3</v>
      </c>
      <c r="AI280" s="826" cm="1">
        <f t="array" ref="AI280">SUMPRODUCT(--ISNUMBER($U280:$AA280),$AB$3:$AH$3)</f>
        <v>1</v>
      </c>
      <c r="AJ280" s="829">
        <f t="shared" si="162"/>
        <v>31.768837445018082</v>
      </c>
      <c r="AK280" s="827" t="str">
        <f t="shared" si="163"/>
        <v>Inmadura</v>
      </c>
      <c r="AL280" s="784" t="str">
        <f t="shared" si="164"/>
        <v>Alta</v>
      </c>
      <c r="AM280" s="799">
        <f>IF(ISNUMBER('Base de datos Rutas'!W278),'Base de datos Rutas'!W278,"")</f>
        <v>2767.0116391629381</v>
      </c>
      <c r="AN280" s="787">
        <f>IFERROR(SUMIFS('Base de datos Rutas'!$W$6:$W$794,'Base de datos Rutas'!$C$6:$C$794,$C280)/'Base de datos Rutas'!I278,"")</f>
        <v>2767.0116391629385</v>
      </c>
      <c r="AO280" s="800">
        <f>IFERROR('Base de datos Rutas'!X278*AN280/AM280,"")</f>
        <v>0.39811445655419803</v>
      </c>
      <c r="AP280" s="800">
        <f t="shared" si="165"/>
        <v>0.60188554344580192</v>
      </c>
      <c r="AQ280" s="789">
        <f>IFERROR(INDEX('Hoja de apoyo v2'!$J$17:$J$20,MATCH($A280,'Hoja de apoyo v2'!$A$17:$A$20,0)),"")</f>
        <v>0.64320274048480885</v>
      </c>
      <c r="AR280" s="789">
        <f t="shared" si="166"/>
        <v>-4.1317197039006937E-2</v>
      </c>
      <c r="AS280" s="784" t="str">
        <f t="shared" si="167"/>
        <v>No</v>
      </c>
      <c r="AT280" s="801">
        <f>IF(ISNUMBER('Base de datos Rutas'!CK278),'Base de datos Rutas'!CK278,"")</f>
        <v>371</v>
      </c>
      <c r="AU280" s="802">
        <f>IF(ISNUMBER('Base de datos Rutas'!CL278),'Base de datos Rutas'!CL278,"")</f>
        <v>1014.95</v>
      </c>
      <c r="AV280" s="802">
        <f>IF(ISNUMBER('Base de datos Rutas'!CM278),'Base de datos Rutas'!CM278,"")</f>
        <v>643.95000000000005</v>
      </c>
      <c r="AW280" s="802">
        <f>IF(ISNUMBER('Base de datos Rutas'!CN278),'Base de datos Rutas'!CN278,"")</f>
        <v>13.89</v>
      </c>
      <c r="AX280" s="802">
        <f>IF(ISNUMBER('Base de datos Rutas'!CO278),'Base de datos Rutas'!CO278,"")</f>
        <v>9.4499999999999993</v>
      </c>
      <c r="AY280" s="802">
        <f>IF(ISNUMBER('Base de datos Rutas'!CP278),'Base de datos Rutas'!CP278,"")</f>
        <v>-4.4400000000000013</v>
      </c>
      <c r="AZ280" s="802">
        <f>IF(ISNUMBER('Base de datos Rutas'!CQ278),'Base de datos Rutas'!CQ278,"")</f>
        <v>846.56</v>
      </c>
      <c r="BA280" s="802">
        <f>IF(ISNUMBER('Base de datos Rutas'!CR278),'Base de datos Rutas'!CR278,"")</f>
        <v>483.63</v>
      </c>
      <c r="BB280" s="803">
        <f>IF(ISNUMBER('Base de datos Rutas'!CS278),'Base de datos Rutas'!CS278,"")</f>
        <v>362.92999999999995</v>
      </c>
      <c r="BC280" s="804">
        <f t="shared" si="177"/>
        <v>1</v>
      </c>
      <c r="BD280" s="805" t="str">
        <f t="shared" si="178"/>
        <v>Saturada</v>
      </c>
      <c r="BE280" s="806">
        <f t="shared" si="179"/>
        <v>0.57128850878850879</v>
      </c>
      <c r="BF280" s="890">
        <f>IF(ISNUMBER('Base de datos Rutas'!CX278),'Base de datos Rutas'!CX278/100,"")</f>
        <v>0.81476228525769079</v>
      </c>
      <c r="BG280" s="891">
        <f>IF(ISNUMBER('Base de datos Rutas'!CZ278),'Base de datos Rutas'!CZ278/100,"")</f>
        <v>0.9005193767479025</v>
      </c>
      <c r="BH280" s="892">
        <f>IF(ISNUMBER('Base de datos Rutas'!DA278),'Base de datos Rutas'!DA278,"")</f>
        <v>712.42173814386206</v>
      </c>
      <c r="BI280" s="893">
        <f>IF(ISNUMBER('Base de datos Rutas'!DC278),'Base de datos Rutas'!DC278,"")</f>
        <v>34.888153367799383</v>
      </c>
      <c r="BJ280" s="805" t="str">
        <f t="shared" si="180"/>
        <v>Ruta (completo)</v>
      </c>
      <c r="BK280" s="783">
        <f t="shared" si="168"/>
        <v>4</v>
      </c>
      <c r="BL280" s="797">
        <f t="shared" si="169"/>
        <v>4</v>
      </c>
      <c r="BM280" s="797">
        <f t="shared" si="170"/>
        <v>5</v>
      </c>
      <c r="BN280" s="797">
        <f t="shared" si="171"/>
        <v>5</v>
      </c>
      <c r="BO280" s="798" cm="1">
        <f t="array" ref="BO280">SUMPRODUCT(--ISNUMBER($BF280:$BI280),$BK$3:$BN$3)</f>
        <v>1</v>
      </c>
      <c r="BP280" s="831">
        <f t="shared" si="181"/>
        <v>87.5</v>
      </c>
      <c r="BQ280" s="834" t="str">
        <f t="shared" si="182"/>
        <v>Alto</v>
      </c>
      <c r="BR280" s="836">
        <f t="shared" si="172"/>
        <v>48.826628083763566</v>
      </c>
      <c r="BS280" s="836">
        <f t="shared" si="173"/>
        <v>87.5</v>
      </c>
      <c r="BT280" s="837" t="str">
        <f t="shared" si="174"/>
        <v>P1</v>
      </c>
      <c r="BU280" s="807" t="str">
        <f t="shared" si="183"/>
        <v>Al tope</v>
      </c>
      <c r="BV280" s="807" t="str">
        <f t="shared" si="175"/>
        <v>Zona atractiva</v>
      </c>
      <c r="BW280" s="808" t="str">
        <f t="shared" si="176"/>
        <v>P1 - Ampliar cobertura</v>
      </c>
    </row>
    <row r="281" spans="1:75">
      <c r="A281" s="780" t="str">
        <f>'Base de datos Rutas'!A279</f>
        <v>Occidente</v>
      </c>
      <c r="B281" s="781" t="str">
        <f>'Base de datos Rutas'!B279</f>
        <v>Aguascalientes</v>
      </c>
      <c r="C281" s="781" t="str">
        <f>'Base de datos Rutas'!C279</f>
        <v>Planta Trojes</v>
      </c>
      <c r="D281" s="782">
        <f>IF(ISNUMBER('Base de datos Rutas'!D279),'Base de datos Rutas'!D279,"Sin código")</f>
        <v>907406</v>
      </c>
      <c r="E281" s="783" t="str">
        <f>'Base de datos Rutas'!F279</f>
        <v>Activa</v>
      </c>
      <c r="F281" s="784" t="str">
        <f>'Base de datos Rutas'!H279</f>
        <v>Sí</v>
      </c>
      <c r="G281" s="785">
        <f>IF(ISNUMBER('Base de datos Rutas'!BE279),'Base de datos Rutas'!BE279,"")</f>
        <v>57.534403669724803</v>
      </c>
      <c r="H281" s="786">
        <f>IF(ISNUMBER('Base de datos Rutas'!BH279),'Base de datos Rutas'!BH279,"")</f>
        <v>0.626350408610724</v>
      </c>
      <c r="I281" s="788">
        <f>IFERROR(IF(OR(NOT(ISNUMBER('Base de datos Rutas'!O279)),N('Base de datos Rutas'!BK279)=0),"",'Base de datos Rutas'!O279/('Base de datos Rutas'!L279/'Base de datos Rutas'!BK279)),"")</f>
        <v>1814.5022935779818</v>
      </c>
      <c r="J281" s="788">
        <f>IFERROR(IF(OR(NOT(ISNUMBER('Base de datos Rutas'!N279)),N('Base de datos Rutas'!BK279)=0),"",'Base de datos Rutas'!N279/('Base de datos Rutas'!L279/'Base de datos Rutas'!BK279)),"")</f>
        <v>6024.7362385321112</v>
      </c>
      <c r="K281" s="788">
        <f>IFERROR(IF(OR(NOT(ISNUMBER('Base de datos Rutas'!J279)),N('Base de datos Rutas'!BK279)=0),"",'Base de datos Rutas'!J279/('Base de datos Rutas'!L279/'Base de datos Rutas'!BK279)),"")</f>
        <v>409.85870825688073</v>
      </c>
      <c r="L281" s="788">
        <f>IFERROR(IF(OR(NOT(ISNUMBER('Base de datos Rutas'!K279)),N('Base de datos Rutas'!BK279)=0),"",'Base de datos Rutas'!K279/('Base de datos Rutas'!L279/'Base de datos Rutas'!BK279)),"")</f>
        <v>21.214575036697251</v>
      </c>
      <c r="M281" s="787">
        <f>IF(ISNUMBER('Base de datos Rutas'!AX279),'Base de datos Rutas'!AX279,"")</f>
        <v>218.38858706721001</v>
      </c>
      <c r="N281" s="790">
        <f>IFERROR(INDEX('Hoja de apoyo v2'!B$17:B$20,MATCH($A281,'Hoja de apoyo v2'!$A$17:$A$20,0)),"")</f>
        <v>89.41621024641401</v>
      </c>
      <c r="O281" s="791">
        <f>IFERROR(INDEX('Hoja de apoyo v2'!C$17:C$20,MATCH($A281,'Hoja de apoyo v2'!$A$17:$A$20,0)),"")</f>
        <v>0.54706375874806301</v>
      </c>
      <c r="P281" s="793">
        <f>IFERROR(INDEX('Hoja de apoyo v2'!D$17:D$20,MATCH($A281,'Hoja de apoyo v2'!$A$17:$A$20,0)),"")</f>
        <v>11095.153935793827</v>
      </c>
      <c r="Q281" s="793">
        <f>IFERROR(INDEX('Hoja de apoyo v2'!E$17:E$20,MATCH($A281,'Hoja de apoyo v2'!$A$17:$A$20,0)),"")</f>
        <v>6982.3202019701848</v>
      </c>
      <c r="R281" s="793">
        <f>IFERROR(INDEX('Hoja de apoyo v2'!F$17:F$20,MATCH($A281,'Hoja de apoyo v2'!$A$17:$A$20,0)),"")</f>
        <v>448.09513474485743</v>
      </c>
      <c r="S281" s="793">
        <f>IFERROR(INDEX('Hoja de apoyo v2'!G$17:G$20,MATCH($A281,'Hoja de apoyo v2'!$A$17:$A$20,0)),"")</f>
        <v>83.406300904207839</v>
      </c>
      <c r="T281" s="792">
        <f>IFERROR(INDEX('Hoja de apoyo v2'!H$17:H$20,MATCH($A281,'Hoja de apoyo v2'!$A$17:$A$20,0)),"")</f>
        <v>378.97014028925349</v>
      </c>
      <c r="U281" s="794">
        <f t="shared" si="148"/>
        <v>0.64344489115755377</v>
      </c>
      <c r="V281" s="795">
        <f t="shared" si="149"/>
        <v>1.1449312782921424</v>
      </c>
      <c r="W281" s="795">
        <f t="shared" si="150"/>
        <v>0.1635400738086433</v>
      </c>
      <c r="X281" s="843">
        <f t="shared" si="151"/>
        <v>0.86285590810231327</v>
      </c>
      <c r="Y281" s="843">
        <f t="shared" si="152"/>
        <v>0.9146689541502202</v>
      </c>
      <c r="Z281" s="843">
        <f t="shared" si="153"/>
        <v>0.25435218690566552</v>
      </c>
      <c r="AA281" s="843">
        <f t="shared" si="154"/>
        <v>0.57626858649212387</v>
      </c>
      <c r="AB281" s="796">
        <f t="shared" si="155"/>
        <v>2</v>
      </c>
      <c r="AC281" s="797">
        <f t="shared" si="156"/>
        <v>4</v>
      </c>
      <c r="AD281" s="797">
        <f t="shared" si="157"/>
        <v>1</v>
      </c>
      <c r="AE281" s="842">
        <f t="shared" si="158"/>
        <v>3</v>
      </c>
      <c r="AF281" s="842">
        <f t="shared" si="159"/>
        <v>3</v>
      </c>
      <c r="AG281" s="842">
        <f t="shared" si="160"/>
        <v>1</v>
      </c>
      <c r="AH281" s="842">
        <f t="shared" si="161"/>
        <v>2</v>
      </c>
      <c r="AI281" s="826" cm="1">
        <f t="array" ref="AI281">SUMPRODUCT(--ISNUMBER($U281:$AA281),$AB$3:$AH$3)</f>
        <v>1</v>
      </c>
      <c r="AJ281" s="829">
        <f t="shared" si="162"/>
        <v>26.598065092651723</v>
      </c>
      <c r="AK281" s="827" t="str">
        <f t="shared" si="163"/>
        <v>Inmadura</v>
      </c>
      <c r="AL281" s="784" t="str">
        <f t="shared" si="164"/>
        <v>Alta</v>
      </c>
      <c r="AM281" s="799">
        <f>IF(ISNUMBER('Base de datos Rutas'!W279),'Base de datos Rutas'!W279,"")</f>
        <v>2767.0116391629381</v>
      </c>
      <c r="AN281" s="787">
        <f>IFERROR(SUMIFS('Base de datos Rutas'!$W$6:$W$794,'Base de datos Rutas'!$C$6:$C$794,$C281)/'Base de datos Rutas'!I279,"")</f>
        <v>2767.0116391629385</v>
      </c>
      <c r="AO281" s="800">
        <f>IFERROR('Base de datos Rutas'!X279*AN281/AM281,"")</f>
        <v>0.39811445655419803</v>
      </c>
      <c r="AP281" s="800">
        <f t="shared" si="165"/>
        <v>0.60188554344580192</v>
      </c>
      <c r="AQ281" s="789">
        <f>IFERROR(INDEX('Hoja de apoyo v2'!$J$17:$J$20,MATCH($A281,'Hoja de apoyo v2'!$A$17:$A$20,0)),"")</f>
        <v>0.64320274048480885</v>
      </c>
      <c r="AR281" s="789">
        <f t="shared" si="166"/>
        <v>-4.1317197039006937E-2</v>
      </c>
      <c r="AS281" s="784" t="str">
        <f t="shared" si="167"/>
        <v>No</v>
      </c>
      <c r="AT281" s="801">
        <f>IF(ISNUMBER('Base de datos Rutas'!CK279),'Base de datos Rutas'!CK279,"")</f>
        <v>431</v>
      </c>
      <c r="AU281" s="802">
        <f>IF(ISNUMBER('Base de datos Rutas'!CL279),'Base de datos Rutas'!CL279,"")</f>
        <v>466.2</v>
      </c>
      <c r="AV281" s="802">
        <f>IF(ISNUMBER('Base de datos Rutas'!CM279),'Base de datos Rutas'!CM279,"")</f>
        <v>35.199999999999989</v>
      </c>
      <c r="AW281" s="802">
        <f>IF(ISNUMBER('Base de datos Rutas'!CN279),'Base de datos Rutas'!CN279,"")</f>
        <v>13.28</v>
      </c>
      <c r="AX281" s="802">
        <f>IF(ISNUMBER('Base de datos Rutas'!CO279),'Base de datos Rutas'!CO279,"")</f>
        <v>9.4499999999999993</v>
      </c>
      <c r="AY281" s="802">
        <f>IF(ISNUMBER('Base de datos Rutas'!CP279),'Base de datos Rutas'!CP279,"")</f>
        <v>-3.83</v>
      </c>
      <c r="AZ281" s="802">
        <f>IF(ISNUMBER('Base de datos Rutas'!CQ279),'Base de datos Rutas'!CQ279,"")</f>
        <v>564.37</v>
      </c>
      <c r="BA281" s="802">
        <f>IF(ISNUMBER('Base de datos Rutas'!CR279),'Base de datos Rutas'!CR279,"")</f>
        <v>431.07</v>
      </c>
      <c r="BB281" s="803">
        <f>IF(ISNUMBER('Base de datos Rutas'!CS279),'Base de datos Rutas'!CS279,"")</f>
        <v>133.30000000000001</v>
      </c>
      <c r="BC281" s="804">
        <f t="shared" si="177"/>
        <v>1</v>
      </c>
      <c r="BD281" s="805" t="str">
        <f t="shared" si="178"/>
        <v>Saturada</v>
      </c>
      <c r="BE281" s="806">
        <f t="shared" si="179"/>
        <v>0.76380743129507234</v>
      </c>
      <c r="BF281" s="890">
        <f>IF(ISNUMBER('Base de datos Rutas'!CX279),'Base de datos Rutas'!CX279/100,"")</f>
        <v>5.3108860759493677E-2</v>
      </c>
      <c r="BG281" s="891">
        <f>IF(ISNUMBER('Base de datos Rutas'!CZ279),'Base de datos Rutas'!CZ279/100,"")</f>
        <v>5.4000000000000006E-2</v>
      </c>
      <c r="BH281" s="892">
        <f>IF(ISNUMBER('Base de datos Rutas'!DA279),'Base de datos Rutas'!DA279,"")</f>
        <v>71.57458846799814</v>
      </c>
      <c r="BI281" s="893">
        <f>IF(ISNUMBER('Base de datos Rutas'!DC279),'Base de datos Rutas'!DC279,"")</f>
        <v>3.6630311722212112</v>
      </c>
      <c r="BJ281" s="805" t="str">
        <f t="shared" si="180"/>
        <v>Ruta (completo)</v>
      </c>
      <c r="BK281" s="783">
        <f t="shared" si="168"/>
        <v>1</v>
      </c>
      <c r="BL281" s="797">
        <f t="shared" si="169"/>
        <v>1</v>
      </c>
      <c r="BM281" s="797">
        <f t="shared" si="170"/>
        <v>3</v>
      </c>
      <c r="BN281" s="797">
        <f t="shared" si="171"/>
        <v>3</v>
      </c>
      <c r="BO281" s="798" cm="1">
        <f t="array" ref="BO281">SUMPRODUCT(--ISNUMBER($BF281:$BI281),$BK$3:$BN$3)</f>
        <v>1</v>
      </c>
      <c r="BP281" s="831">
        <f t="shared" si="181"/>
        <v>25</v>
      </c>
      <c r="BQ281" s="834" t="str">
        <f t="shared" si="182"/>
        <v>Medio</v>
      </c>
      <c r="BR281" s="836">
        <f t="shared" si="172"/>
        <v>44.948548819488792</v>
      </c>
      <c r="BS281" s="836">
        <f t="shared" si="173"/>
        <v>25</v>
      </c>
      <c r="BT281" s="837" t="str">
        <f t="shared" si="174"/>
        <v>P2</v>
      </c>
      <c r="BU281" s="807" t="str">
        <f t="shared" si="183"/>
        <v>Al tope</v>
      </c>
      <c r="BV281" s="807" t="str">
        <f t="shared" si="175"/>
        <v>Zona de bajo potencial</v>
      </c>
      <c r="BW281" s="808" t="str">
        <f t="shared" si="176"/>
        <v>P2 - Mantener</v>
      </c>
    </row>
    <row r="282" spans="1:75">
      <c r="A282" s="780" t="str">
        <f>'Base de datos Rutas'!A280</f>
        <v>Occidente</v>
      </c>
      <c r="B282" s="781" t="str">
        <f>'Base de datos Rutas'!B280</f>
        <v>Aguascalientes</v>
      </c>
      <c r="C282" s="781" t="str">
        <f>'Base de datos Rutas'!C280</f>
        <v>Planta Trojes</v>
      </c>
      <c r="D282" s="782">
        <f>IF(ISNUMBER('Base de datos Rutas'!D280),'Base de datos Rutas'!D280,"Sin código")</f>
        <v>907407</v>
      </c>
      <c r="E282" s="783" t="str">
        <f>'Base de datos Rutas'!F280</f>
        <v>Activa</v>
      </c>
      <c r="F282" s="784" t="str">
        <f>'Base de datos Rutas'!H280</f>
        <v>Sí</v>
      </c>
      <c r="G282" s="785">
        <f>IF(ISNUMBER('Base de datos Rutas'!BE280),'Base de datos Rutas'!BE280,"")</f>
        <v>43.169336384439397</v>
      </c>
      <c r="H282" s="786">
        <f>IF(ISNUMBER('Base de datos Rutas'!BH280),'Base de datos Rutas'!BH280,"")</f>
        <v>0.76591571693612504</v>
      </c>
      <c r="I282" s="788">
        <f>IFERROR(IF(OR(NOT(ISNUMBER('Base de datos Rutas'!O280)),N('Base de datos Rutas'!BK280)=0),"",'Base de datos Rutas'!O280/('Base de datos Rutas'!L280/'Base de datos Rutas'!BK280)),"")</f>
        <v>2613.102974828374</v>
      </c>
      <c r="J282" s="788">
        <f>IFERROR(IF(OR(NOT(ISNUMBER('Base de datos Rutas'!N280)),N('Base de datos Rutas'!BK280)=0),"",'Base de datos Rutas'!N280/('Base de datos Rutas'!L280/'Base de datos Rutas'!BK280)),"")</f>
        <v>7950.7505720823756</v>
      </c>
      <c r="K282" s="788">
        <f>IFERROR(IF(OR(NOT(ISNUMBER('Base de datos Rutas'!J280)),N('Base de datos Rutas'!BK280)=0),"",'Base de datos Rutas'!J280/('Base de datos Rutas'!L280/'Base de datos Rutas'!BK280)),"")</f>
        <v>541.20184823798593</v>
      </c>
      <c r="L282" s="788">
        <f>IFERROR(IF(OR(NOT(ISNUMBER('Base de datos Rutas'!K280)),N('Base de datos Rutas'!BK280)=0),"",'Base de datos Rutas'!K280/('Base de datos Rutas'!L280/'Base de datos Rutas'!BK280)),"")</f>
        <v>26.013872013729962</v>
      </c>
      <c r="M282" s="787">
        <f>IF(ISNUMBER('Base de datos Rutas'!AX280),'Base de datos Rutas'!AX280,"")</f>
        <v>320.78694304104101</v>
      </c>
      <c r="N282" s="790">
        <f>IFERROR(INDEX('Hoja de apoyo v2'!B$17:B$20,MATCH($A282,'Hoja de apoyo v2'!$A$17:$A$20,0)),"")</f>
        <v>89.41621024641401</v>
      </c>
      <c r="O282" s="791">
        <f>IFERROR(INDEX('Hoja de apoyo v2'!C$17:C$20,MATCH($A282,'Hoja de apoyo v2'!$A$17:$A$20,0)),"")</f>
        <v>0.54706375874806301</v>
      </c>
      <c r="P282" s="793">
        <f>IFERROR(INDEX('Hoja de apoyo v2'!D$17:D$20,MATCH($A282,'Hoja de apoyo v2'!$A$17:$A$20,0)),"")</f>
        <v>11095.153935793827</v>
      </c>
      <c r="Q282" s="793">
        <f>IFERROR(INDEX('Hoja de apoyo v2'!E$17:E$20,MATCH($A282,'Hoja de apoyo v2'!$A$17:$A$20,0)),"")</f>
        <v>6982.3202019701848</v>
      </c>
      <c r="R282" s="793">
        <f>IFERROR(INDEX('Hoja de apoyo v2'!F$17:F$20,MATCH($A282,'Hoja de apoyo v2'!$A$17:$A$20,0)),"")</f>
        <v>448.09513474485743</v>
      </c>
      <c r="S282" s="793">
        <f>IFERROR(INDEX('Hoja de apoyo v2'!G$17:G$20,MATCH($A282,'Hoja de apoyo v2'!$A$17:$A$20,0)),"")</f>
        <v>83.406300904207839</v>
      </c>
      <c r="T282" s="792">
        <f>IFERROR(INDEX('Hoja de apoyo v2'!H$17:H$20,MATCH($A282,'Hoja de apoyo v2'!$A$17:$A$20,0)),"")</f>
        <v>378.97014028925349</v>
      </c>
      <c r="U282" s="794">
        <f t="shared" si="148"/>
        <v>0.48279094210627965</v>
      </c>
      <c r="V282" s="795">
        <f t="shared" si="149"/>
        <v>1.4000483575971059</v>
      </c>
      <c r="W282" s="795">
        <f t="shared" si="150"/>
        <v>0.23551750520543038</v>
      </c>
      <c r="X282" s="843">
        <f t="shared" si="151"/>
        <v>1.1386975019906609</v>
      </c>
      <c r="Y282" s="843">
        <f t="shared" si="152"/>
        <v>1.207783361776831</v>
      </c>
      <c r="Z282" s="843">
        <f t="shared" si="153"/>
        <v>0.31189336694846237</v>
      </c>
      <c r="AA282" s="843">
        <f t="shared" si="154"/>
        <v>0.84647023323841963</v>
      </c>
      <c r="AB282" s="796">
        <f t="shared" si="155"/>
        <v>1</v>
      </c>
      <c r="AC282" s="797">
        <f t="shared" si="156"/>
        <v>5</v>
      </c>
      <c r="AD282" s="797">
        <f t="shared" si="157"/>
        <v>1</v>
      </c>
      <c r="AE282" s="842">
        <f t="shared" si="158"/>
        <v>4</v>
      </c>
      <c r="AF282" s="842">
        <f t="shared" si="159"/>
        <v>4</v>
      </c>
      <c r="AG282" s="842">
        <f t="shared" si="160"/>
        <v>1</v>
      </c>
      <c r="AH282" s="842">
        <f t="shared" si="161"/>
        <v>3</v>
      </c>
      <c r="AI282" s="826" cm="1">
        <f t="array" ref="AI282">SUMPRODUCT(--ISNUMBER($U282:$AA282),$AB$3:$AH$3)</f>
        <v>1</v>
      </c>
      <c r="AJ282" s="829">
        <f t="shared" si="162"/>
        <v>33.027554498990497</v>
      </c>
      <c r="AK282" s="827" t="str">
        <f t="shared" si="163"/>
        <v>Inmadura</v>
      </c>
      <c r="AL282" s="784" t="str">
        <f t="shared" si="164"/>
        <v>Alta</v>
      </c>
      <c r="AM282" s="799">
        <f>IF(ISNUMBER('Base de datos Rutas'!W280),'Base de datos Rutas'!W280,"")</f>
        <v>2767.0116391629381</v>
      </c>
      <c r="AN282" s="787">
        <f>IFERROR(SUMIFS('Base de datos Rutas'!$W$6:$W$794,'Base de datos Rutas'!$C$6:$C$794,$C282)/'Base de datos Rutas'!I280,"")</f>
        <v>2767.0116391629385</v>
      </c>
      <c r="AO282" s="800">
        <f>IFERROR('Base de datos Rutas'!X280*AN282/AM282,"")</f>
        <v>0.39811445655419803</v>
      </c>
      <c r="AP282" s="800">
        <f t="shared" si="165"/>
        <v>0.60188554344580192</v>
      </c>
      <c r="AQ282" s="789">
        <f>IFERROR(INDEX('Hoja de apoyo v2'!$J$17:$J$20,MATCH($A282,'Hoja de apoyo v2'!$A$17:$A$20,0)),"")</f>
        <v>0.64320274048480885</v>
      </c>
      <c r="AR282" s="789">
        <f t="shared" si="166"/>
        <v>-4.1317197039006937E-2</v>
      </c>
      <c r="AS282" s="784" t="str">
        <f t="shared" si="167"/>
        <v>No</v>
      </c>
      <c r="AT282" s="801">
        <f>IF(ISNUMBER('Base de datos Rutas'!CK280),'Base de datos Rutas'!CK280,"")</f>
        <v>321</v>
      </c>
      <c r="AU282" s="802">
        <f>IF(ISNUMBER('Base de datos Rutas'!CL280),'Base de datos Rutas'!CL280,"")</f>
        <v>381.97</v>
      </c>
      <c r="AV282" s="802">
        <f>IF(ISNUMBER('Base de datos Rutas'!CM280),'Base de datos Rutas'!CM280,"")</f>
        <v>60.970000000000027</v>
      </c>
      <c r="AW282" s="802">
        <f>IF(ISNUMBER('Base de datos Rutas'!CN280),'Base de datos Rutas'!CN280,"")</f>
        <v>11.29</v>
      </c>
      <c r="AX282" s="802">
        <f>IF(ISNUMBER('Base de datos Rutas'!CO280),'Base de datos Rutas'!CO280,"")</f>
        <v>9.4499999999999993</v>
      </c>
      <c r="AY282" s="802">
        <f>IF(ISNUMBER('Base de datos Rutas'!CP280),'Base de datos Rutas'!CP280,"")</f>
        <v>-1.8399999999999999</v>
      </c>
      <c r="AZ282" s="802">
        <f>IF(ISNUMBER('Base de datos Rutas'!CQ280),'Base de datos Rutas'!CQ280,"")</f>
        <v>846.56</v>
      </c>
      <c r="BA282" s="802">
        <f>IF(ISNUMBER('Base de datos Rutas'!CR280),'Base de datos Rutas'!CR280,"")</f>
        <v>567.22</v>
      </c>
      <c r="BB282" s="803">
        <f>IF(ISNUMBER('Base de datos Rutas'!CS280),'Base de datos Rutas'!CS280,"")</f>
        <v>279.33999999999992</v>
      </c>
      <c r="BC282" s="804">
        <f t="shared" si="177"/>
        <v>1</v>
      </c>
      <c r="BD282" s="805" t="str">
        <f t="shared" si="178"/>
        <v>Saturada</v>
      </c>
      <c r="BE282" s="806">
        <f t="shared" si="179"/>
        <v>0.67002929502929509</v>
      </c>
      <c r="BF282" s="890">
        <f>IF(ISNUMBER('Base de datos Rutas'!CX280),'Base de datos Rutas'!CX280/100,"")</f>
        <v>0.24745530594346621</v>
      </c>
      <c r="BG282" s="891">
        <f>IF(ISNUMBER('Base de datos Rutas'!CZ280),'Base de datos Rutas'!CZ280/100,"")</f>
        <v>0.25156850839910949</v>
      </c>
      <c r="BH282" s="892">
        <f>IF(ISNUMBER('Base de datos Rutas'!DA280),'Base de datos Rutas'!DA280,"")</f>
        <v>44.68320280140312</v>
      </c>
      <c r="BI282" s="893">
        <f>IF(ISNUMBER('Base de datos Rutas'!DC280),'Base de datos Rutas'!DC280,"")</f>
        <v>2.276601605620006</v>
      </c>
      <c r="BJ282" s="805" t="str">
        <f t="shared" si="180"/>
        <v>Ruta (completo)</v>
      </c>
      <c r="BK282" s="783">
        <f t="shared" si="168"/>
        <v>2</v>
      </c>
      <c r="BL282" s="797">
        <f t="shared" si="169"/>
        <v>2</v>
      </c>
      <c r="BM282" s="797">
        <f t="shared" si="170"/>
        <v>2</v>
      </c>
      <c r="BN282" s="797">
        <f t="shared" si="171"/>
        <v>2</v>
      </c>
      <c r="BO282" s="798" cm="1">
        <f t="array" ref="BO282">SUMPRODUCT(--ISNUMBER($BF282:$BI282),$BK$3:$BN$3)</f>
        <v>1</v>
      </c>
      <c r="BP282" s="831">
        <f t="shared" si="181"/>
        <v>25</v>
      </c>
      <c r="BQ282" s="834" t="str">
        <f t="shared" si="182"/>
        <v>Medio</v>
      </c>
      <c r="BR282" s="836">
        <f t="shared" si="172"/>
        <v>49.770665874242873</v>
      </c>
      <c r="BS282" s="836">
        <f t="shared" si="173"/>
        <v>25</v>
      </c>
      <c r="BT282" s="837" t="str">
        <f t="shared" si="174"/>
        <v>P2</v>
      </c>
      <c r="BU282" s="807" t="str">
        <f t="shared" si="183"/>
        <v>Al tope</v>
      </c>
      <c r="BV282" s="807" t="str">
        <f t="shared" si="175"/>
        <v>Zona de bajo potencial</v>
      </c>
      <c r="BW282" s="808" t="str">
        <f t="shared" si="176"/>
        <v>P2 - Mantener</v>
      </c>
    </row>
    <row r="283" spans="1:75">
      <c r="A283" s="780" t="str">
        <f>'Base de datos Rutas'!A281</f>
        <v>Occidente</v>
      </c>
      <c r="B283" s="781" t="str">
        <f>'Base de datos Rutas'!B281</f>
        <v>Aguascalientes</v>
      </c>
      <c r="C283" s="781" t="str">
        <f>'Base de datos Rutas'!C281</f>
        <v>Planta Trojes</v>
      </c>
      <c r="D283" s="782">
        <f>IF(ISNUMBER('Base de datos Rutas'!D281),'Base de datos Rutas'!D281,"Sin código")</f>
        <v>907408</v>
      </c>
      <c r="E283" s="783" t="str">
        <f>'Base de datos Rutas'!F281</f>
        <v>Activa</v>
      </c>
      <c r="F283" s="784" t="str">
        <f>'Base de datos Rutas'!H281</f>
        <v>Sí</v>
      </c>
      <c r="G283" s="785">
        <f>IF(ISNUMBER('Base de datos Rutas'!BE281),'Base de datos Rutas'!BE281,"")</f>
        <v>31.7775280898876</v>
      </c>
      <c r="H283" s="786">
        <f>IF(ISNUMBER('Base de datos Rutas'!BH281),'Base de datos Rutas'!BH281,"")</f>
        <v>0.86146665723781901</v>
      </c>
      <c r="I283" s="788">
        <f>IFERROR(IF(OR(NOT(ISNUMBER('Base de datos Rutas'!O281)),N('Base de datos Rutas'!BK281)=0),"",'Base de datos Rutas'!O281/('Base de datos Rutas'!L281/'Base de datos Rutas'!BK281)),"")</f>
        <v>3927.3752808988802</v>
      </c>
      <c r="J283" s="788">
        <f>IFERROR(IF(OR(NOT(ISNUMBER('Base de datos Rutas'!N281)),N('Base de datos Rutas'!BK281)=0),"",'Base de datos Rutas'!N281/('Base de datos Rutas'!L281/'Base de datos Rutas'!BK281)),"")</f>
        <v>5832.6337078651741</v>
      </c>
      <c r="K283" s="788">
        <f>IFERROR(IF(OR(NOT(ISNUMBER('Base de datos Rutas'!J281)),N('Base de datos Rutas'!BK281)=0),"",'Base de datos Rutas'!J281/('Base de datos Rutas'!L281/'Base de datos Rutas'!BK281)),"")</f>
        <v>397.71457977528132</v>
      </c>
      <c r="L283" s="788">
        <f>IFERROR(IF(OR(NOT(ISNUMBER('Base de datos Rutas'!K281)),N('Base de datos Rutas'!BK281)=0),"",'Base de datos Rutas'!K281/('Base de datos Rutas'!L281/'Base de datos Rutas'!BK281)),"")</f>
        <v>43.018787137078697</v>
      </c>
      <c r="M283" s="787">
        <f>IF(ISNUMBER('Base de datos Rutas'!AX281),'Base de datos Rutas'!AX281,"")</f>
        <v>356.52625266787101</v>
      </c>
      <c r="N283" s="790">
        <f>IFERROR(INDEX('Hoja de apoyo v2'!B$17:B$20,MATCH($A283,'Hoja de apoyo v2'!$A$17:$A$20,0)),"")</f>
        <v>89.41621024641401</v>
      </c>
      <c r="O283" s="791">
        <f>IFERROR(INDEX('Hoja de apoyo v2'!C$17:C$20,MATCH($A283,'Hoja de apoyo v2'!$A$17:$A$20,0)),"")</f>
        <v>0.54706375874806301</v>
      </c>
      <c r="P283" s="793">
        <f>IFERROR(INDEX('Hoja de apoyo v2'!D$17:D$20,MATCH($A283,'Hoja de apoyo v2'!$A$17:$A$20,0)),"")</f>
        <v>11095.153935793827</v>
      </c>
      <c r="Q283" s="793">
        <f>IFERROR(INDEX('Hoja de apoyo v2'!E$17:E$20,MATCH($A283,'Hoja de apoyo v2'!$A$17:$A$20,0)),"")</f>
        <v>6982.3202019701848</v>
      </c>
      <c r="R283" s="793">
        <f>IFERROR(INDEX('Hoja de apoyo v2'!F$17:F$20,MATCH($A283,'Hoja de apoyo v2'!$A$17:$A$20,0)),"")</f>
        <v>448.09513474485743</v>
      </c>
      <c r="S283" s="793">
        <f>IFERROR(INDEX('Hoja de apoyo v2'!G$17:G$20,MATCH($A283,'Hoja de apoyo v2'!$A$17:$A$20,0)),"")</f>
        <v>83.406300904207839</v>
      </c>
      <c r="T283" s="792">
        <f>IFERROR(INDEX('Hoja de apoyo v2'!H$17:H$20,MATCH($A283,'Hoja de apoyo v2'!$A$17:$A$20,0)),"")</f>
        <v>378.97014028925349</v>
      </c>
      <c r="U283" s="794">
        <f t="shared" si="148"/>
        <v>0.35538889427671783</v>
      </c>
      <c r="V283" s="795">
        <f t="shared" si="149"/>
        <v>1.5747097910657735</v>
      </c>
      <c r="W283" s="795">
        <f t="shared" si="150"/>
        <v>0.35397213086236351</v>
      </c>
      <c r="X283" s="843">
        <f t="shared" si="151"/>
        <v>0.83534320099204185</v>
      </c>
      <c r="Y283" s="843">
        <f t="shared" si="152"/>
        <v>0.88756727966202431</v>
      </c>
      <c r="Z283" s="843">
        <f t="shared" si="153"/>
        <v>0.51577382848432263</v>
      </c>
      <c r="AA283" s="843">
        <f t="shared" si="154"/>
        <v>0.9407766332084847</v>
      </c>
      <c r="AB283" s="796">
        <f t="shared" si="155"/>
        <v>1</v>
      </c>
      <c r="AC283" s="797">
        <f t="shared" si="156"/>
        <v>5</v>
      </c>
      <c r="AD283" s="797">
        <f t="shared" si="157"/>
        <v>1</v>
      </c>
      <c r="AE283" s="842">
        <f t="shared" si="158"/>
        <v>3</v>
      </c>
      <c r="AF283" s="842">
        <f t="shared" si="159"/>
        <v>3</v>
      </c>
      <c r="AG283" s="842">
        <f t="shared" si="160"/>
        <v>2</v>
      </c>
      <c r="AH283" s="842">
        <f t="shared" si="161"/>
        <v>3</v>
      </c>
      <c r="AI283" s="826" cm="1">
        <f t="array" ref="AI283">SUMPRODUCT(--ISNUMBER($U283:$AA283),$AB$3:$AH$3)</f>
        <v>1</v>
      </c>
      <c r="AJ283" s="829">
        <f t="shared" si="162"/>
        <v>31.081129108791707</v>
      </c>
      <c r="AK283" s="827" t="str">
        <f t="shared" si="163"/>
        <v>Inmadura</v>
      </c>
      <c r="AL283" s="784" t="str">
        <f t="shared" si="164"/>
        <v>Alta</v>
      </c>
      <c r="AM283" s="799">
        <f>IF(ISNUMBER('Base de datos Rutas'!W281),'Base de datos Rutas'!W281,"")</f>
        <v>2767.0116391629381</v>
      </c>
      <c r="AN283" s="787">
        <f>IFERROR(SUMIFS('Base de datos Rutas'!$W$6:$W$794,'Base de datos Rutas'!$C$6:$C$794,$C283)/'Base de datos Rutas'!I281,"")</f>
        <v>2767.0116391629385</v>
      </c>
      <c r="AO283" s="800">
        <f>IFERROR('Base de datos Rutas'!X281*AN283/AM283,"")</f>
        <v>0.39811445655419803</v>
      </c>
      <c r="AP283" s="800">
        <f t="shared" si="165"/>
        <v>0.60188554344580192</v>
      </c>
      <c r="AQ283" s="789">
        <f>IFERROR(INDEX('Hoja de apoyo v2'!$J$17:$J$20,MATCH($A283,'Hoja de apoyo v2'!$A$17:$A$20,0)),"")</f>
        <v>0.64320274048480885</v>
      </c>
      <c r="AR283" s="789">
        <f t="shared" si="166"/>
        <v>-4.1317197039006937E-2</v>
      </c>
      <c r="AS283" s="784" t="str">
        <f t="shared" si="167"/>
        <v>No</v>
      </c>
      <c r="AT283" s="801">
        <f>IF(ISNUMBER('Base de datos Rutas'!CK281),'Base de datos Rutas'!CK281,"")</f>
        <v>271</v>
      </c>
      <c r="AU283" s="802">
        <f>IF(ISNUMBER('Base de datos Rutas'!CL281),'Base de datos Rutas'!CL281,"")</f>
        <v>272.70999999999998</v>
      </c>
      <c r="AV283" s="802">
        <f>IF(ISNUMBER('Base de datos Rutas'!CM281),'Base de datos Rutas'!CM281,"")</f>
        <v>1.7099999999999795</v>
      </c>
      <c r="AW283" s="802">
        <f>IF(ISNUMBER('Base de datos Rutas'!CN281),'Base de datos Rutas'!CN281,"")</f>
        <v>9.6</v>
      </c>
      <c r="AX283" s="802">
        <f>IF(ISNUMBER('Base de datos Rutas'!CO281),'Base de datos Rutas'!CO281,"")</f>
        <v>9.4499999999999993</v>
      </c>
      <c r="AY283" s="802">
        <f>IF(ISNUMBER('Base de datos Rutas'!CP281),'Base de datos Rutas'!CP281,"")</f>
        <v>-0.15000000000000036</v>
      </c>
      <c r="AZ283" s="802">
        <f>IF(ISNUMBER('Base de datos Rutas'!CQ281),'Base de datos Rutas'!CQ281,"")</f>
        <v>846.56</v>
      </c>
      <c r="BA283" s="802">
        <f>IF(ISNUMBER('Base de datos Rutas'!CR281),'Base de datos Rutas'!CR281,"")</f>
        <v>440.73</v>
      </c>
      <c r="BB283" s="803">
        <f>IF(ISNUMBER('Base de datos Rutas'!CS281),'Base de datos Rutas'!CS281,"")</f>
        <v>405.82999999999993</v>
      </c>
      <c r="BC283" s="804">
        <f t="shared" si="177"/>
        <v>1</v>
      </c>
      <c r="BD283" s="805" t="str">
        <f t="shared" si="178"/>
        <v>Saturada</v>
      </c>
      <c r="BE283" s="806">
        <f t="shared" si="179"/>
        <v>0.52061283311283313</v>
      </c>
      <c r="BF283" s="890">
        <f>IF(ISNUMBER('Base de datos Rutas'!CX281),'Base de datos Rutas'!CX281/100,"")</f>
        <v>0.13198163806158505</v>
      </c>
      <c r="BG283" s="891">
        <f>IF(ISNUMBER('Base de datos Rutas'!CZ281),'Base de datos Rutas'!CZ281/100,"")</f>
        <v>0.13203558808682483</v>
      </c>
      <c r="BH283" s="892">
        <f>IF(ISNUMBER('Base de datos Rutas'!DA281),'Base de datos Rutas'!DA281,"")</f>
        <v>0.44111451584357358</v>
      </c>
      <c r="BI283" s="893">
        <f>IF(ISNUMBER('Base de datos Rutas'!DC281),'Base de datos Rutas'!DC281,"")</f>
        <v>1.7641337497251382E-2</v>
      </c>
      <c r="BJ283" s="805" t="str">
        <f t="shared" si="180"/>
        <v>Ruta (completo)</v>
      </c>
      <c r="BK283" s="783">
        <f t="shared" si="168"/>
        <v>1</v>
      </c>
      <c r="BL283" s="797">
        <f t="shared" si="169"/>
        <v>1</v>
      </c>
      <c r="BM283" s="797">
        <f t="shared" si="170"/>
        <v>1</v>
      </c>
      <c r="BN283" s="797">
        <f t="shared" si="171"/>
        <v>1</v>
      </c>
      <c r="BO283" s="798" cm="1">
        <f t="array" ref="BO283">SUMPRODUCT(--ISNUMBER($BF283:$BI283),$BK$3:$BN$3)</f>
        <v>1</v>
      </c>
      <c r="BP283" s="831">
        <f t="shared" si="181"/>
        <v>0</v>
      </c>
      <c r="BQ283" s="834" t="str">
        <f t="shared" si="182"/>
        <v>Bajo</v>
      </c>
      <c r="BR283" s="836">
        <f t="shared" si="172"/>
        <v>48.310846831593778</v>
      </c>
      <c r="BS283" s="836">
        <f t="shared" si="173"/>
        <v>0</v>
      </c>
      <c r="BT283" s="837" t="str">
        <f t="shared" si="174"/>
        <v>P2</v>
      </c>
      <c r="BU283" s="807" t="str">
        <f t="shared" si="183"/>
        <v>Al tope</v>
      </c>
      <c r="BV283" s="807" t="str">
        <f t="shared" si="175"/>
        <v>Zona de bajo potencial</v>
      </c>
      <c r="BW283" s="808" t="str">
        <f t="shared" si="176"/>
        <v>P2 - Mantener</v>
      </c>
    </row>
    <row r="284" spans="1:75">
      <c r="A284" s="780" t="str">
        <f>'Base de datos Rutas'!A282</f>
        <v>Occidente</v>
      </c>
      <c r="B284" s="781" t="str">
        <f>'Base de datos Rutas'!B282</f>
        <v>Aguascalientes</v>
      </c>
      <c r="C284" s="781" t="str">
        <f>'Base de datos Rutas'!C282</f>
        <v>Suc. Loreto</v>
      </c>
      <c r="D284" s="782">
        <f>IF(ISNUMBER('Base de datos Rutas'!D282),'Base de datos Rutas'!D282,"Sin código")</f>
        <v>908400</v>
      </c>
      <c r="E284" s="783" t="str">
        <f>'Base de datos Rutas'!F282</f>
        <v>Activa</v>
      </c>
      <c r="F284" s="784" t="str">
        <f>'Base de datos Rutas'!H282</f>
        <v>Sí</v>
      </c>
      <c r="G284" s="785">
        <f>IF(ISNUMBER('Base de datos Rutas'!BE282),'Base de datos Rutas'!BE282,"")</f>
        <v>35.710610932475902</v>
      </c>
      <c r="H284" s="786">
        <f>IF(ISNUMBER('Base de datos Rutas'!BH282),'Base de datos Rutas'!BH282,"")</f>
        <v>0.69241851251575703</v>
      </c>
      <c r="I284" s="788">
        <f>IFERROR(IF(OR(NOT(ISNUMBER('Base de datos Rutas'!O282)),N('Base de datos Rutas'!BK282)=0),"",'Base de datos Rutas'!O282/('Base de datos Rutas'!L282/'Base de datos Rutas'!BK282)),"")</f>
        <v>1327.6734693877538</v>
      </c>
      <c r="J284" s="788">
        <f>IFERROR(IF(OR(NOT(ISNUMBER('Base de datos Rutas'!N282)),N('Base de datos Rutas'!BK282)=0),"",'Base de datos Rutas'!N282/('Base de datos Rutas'!L282/'Base de datos Rutas'!BK282)),"")</f>
        <v>5462.8140589569111</v>
      </c>
      <c r="K284" s="788">
        <f>IFERROR(IF(OR(NOT(ISNUMBER('Base de datos Rutas'!J282)),N('Base de datos Rutas'!BK282)=0),"",'Base de datos Rutas'!J282/('Base de datos Rutas'!L282/'Base de datos Rutas'!BK282)),"")</f>
        <v>387.89531428571394</v>
      </c>
      <c r="L284" s="788">
        <f>IFERROR(IF(OR(NOT(ISNUMBER('Base de datos Rutas'!K282)),N('Base de datos Rutas'!BK282)=0),"",'Base de datos Rutas'!K282/('Base de datos Rutas'!L282/'Base de datos Rutas'!BK282)),"")</f>
        <v>13.330539249433095</v>
      </c>
      <c r="M284" s="787">
        <f>IF(ISNUMBER('Base de datos Rutas'!AX282),'Base de datos Rutas'!AX282,"")</f>
        <v>357.991757322176</v>
      </c>
      <c r="N284" s="790">
        <f>IFERROR(INDEX('Hoja de apoyo v2'!B$17:B$20,MATCH($A284,'Hoja de apoyo v2'!$A$17:$A$20,0)),"")</f>
        <v>89.41621024641401</v>
      </c>
      <c r="O284" s="791">
        <f>IFERROR(INDEX('Hoja de apoyo v2'!C$17:C$20,MATCH($A284,'Hoja de apoyo v2'!$A$17:$A$20,0)),"")</f>
        <v>0.54706375874806301</v>
      </c>
      <c r="P284" s="793">
        <f>IFERROR(INDEX('Hoja de apoyo v2'!D$17:D$20,MATCH($A284,'Hoja de apoyo v2'!$A$17:$A$20,0)),"")</f>
        <v>11095.153935793827</v>
      </c>
      <c r="Q284" s="793">
        <f>IFERROR(INDEX('Hoja de apoyo v2'!E$17:E$20,MATCH($A284,'Hoja de apoyo v2'!$A$17:$A$20,0)),"")</f>
        <v>6982.3202019701848</v>
      </c>
      <c r="R284" s="793">
        <f>IFERROR(INDEX('Hoja de apoyo v2'!F$17:F$20,MATCH($A284,'Hoja de apoyo v2'!$A$17:$A$20,0)),"")</f>
        <v>448.09513474485743</v>
      </c>
      <c r="S284" s="793">
        <f>IFERROR(INDEX('Hoja de apoyo v2'!G$17:G$20,MATCH($A284,'Hoja de apoyo v2'!$A$17:$A$20,0)),"")</f>
        <v>83.406300904207839</v>
      </c>
      <c r="T284" s="792">
        <f>IFERROR(INDEX('Hoja de apoyo v2'!H$17:H$20,MATCH($A284,'Hoja de apoyo v2'!$A$17:$A$20,0)),"")</f>
        <v>378.97014028925349</v>
      </c>
      <c r="U284" s="794">
        <f t="shared" si="148"/>
        <v>0.39937513381594092</v>
      </c>
      <c r="V284" s="795">
        <f t="shared" si="149"/>
        <v>1.2656998410940865</v>
      </c>
      <c r="W284" s="795">
        <f t="shared" si="150"/>
        <v>0.11966246498884311</v>
      </c>
      <c r="X284" s="843">
        <f t="shared" si="151"/>
        <v>0.78237804926440957</v>
      </c>
      <c r="Y284" s="843">
        <f t="shared" si="152"/>
        <v>0.86565392973208488</v>
      </c>
      <c r="Z284" s="843">
        <f t="shared" si="153"/>
        <v>0.1598265251535759</v>
      </c>
      <c r="AA284" s="843">
        <f t="shared" si="154"/>
        <v>0.94464370477561765</v>
      </c>
      <c r="AB284" s="796">
        <f t="shared" si="155"/>
        <v>1</v>
      </c>
      <c r="AC284" s="797">
        <f t="shared" si="156"/>
        <v>5</v>
      </c>
      <c r="AD284" s="797">
        <f t="shared" si="157"/>
        <v>1</v>
      </c>
      <c r="AE284" s="842">
        <f t="shared" si="158"/>
        <v>3</v>
      </c>
      <c r="AF284" s="842">
        <f t="shared" si="159"/>
        <v>3</v>
      </c>
      <c r="AG284" s="842">
        <f t="shared" si="160"/>
        <v>1</v>
      </c>
      <c r="AH284" s="842">
        <f t="shared" si="161"/>
        <v>3</v>
      </c>
      <c r="AI284" s="826" cm="1">
        <f t="array" ref="AI284">SUMPRODUCT(--ISNUMBER($U284:$AA284),$AB$3:$AH$3)</f>
        <v>1</v>
      </c>
      <c r="AJ284" s="829">
        <f t="shared" si="162"/>
        <v>26.692062340732015</v>
      </c>
      <c r="AK284" s="827" t="str">
        <f t="shared" si="163"/>
        <v>Inmadura</v>
      </c>
      <c r="AL284" s="784" t="str">
        <f t="shared" si="164"/>
        <v>Alta</v>
      </c>
      <c r="AM284" s="799">
        <f>IF(ISNUMBER('Base de datos Rutas'!W282),'Base de datos Rutas'!W282,"")</f>
        <v>1993.1247910307675</v>
      </c>
      <c r="AN284" s="787">
        <f>IFERROR(SUMIFS('Base de datos Rutas'!$W$6:$W$794,'Base de datos Rutas'!$C$6:$C$794,$C284)/'Base de datos Rutas'!I282,"")</f>
        <v>1993.1247910307675</v>
      </c>
      <c r="AO284" s="800">
        <f>IFERROR('Base de datos Rutas'!X282*AN284/AM284,"")</f>
        <v>0.5331813402183877</v>
      </c>
      <c r="AP284" s="800">
        <f t="shared" si="165"/>
        <v>0.4668186597816123</v>
      </c>
      <c r="AQ284" s="789">
        <f>IFERROR(INDEX('Hoja de apoyo v2'!$J$17:$J$20,MATCH($A284,'Hoja de apoyo v2'!$A$17:$A$20,0)),"")</f>
        <v>0.64320274048480885</v>
      </c>
      <c r="AR284" s="789">
        <f t="shared" si="166"/>
        <v>-0.17638408070319656</v>
      </c>
      <c r="AS284" s="784" t="str">
        <f t="shared" si="167"/>
        <v>No</v>
      </c>
      <c r="AT284" s="801">
        <f>IF(ISNUMBER('Base de datos Rutas'!CK282),'Base de datos Rutas'!CK282,"")</f>
        <v>184</v>
      </c>
      <c r="AU284" s="802">
        <f>IF(ISNUMBER('Base de datos Rutas'!CL282),'Base de datos Rutas'!CL282,"")</f>
        <v>252.91</v>
      </c>
      <c r="AV284" s="802">
        <f>IF(ISNUMBER('Base de datos Rutas'!CM282),'Base de datos Rutas'!CM282,"")</f>
        <v>68.91</v>
      </c>
      <c r="AW284" s="802">
        <f>IF(ISNUMBER('Base de datos Rutas'!CN282),'Base de datos Rutas'!CN282,"")</f>
        <v>7.36</v>
      </c>
      <c r="AX284" s="802">
        <f>IF(ISNUMBER('Base de datos Rutas'!CO282),'Base de datos Rutas'!CO282,"")</f>
        <v>9.4499999999999993</v>
      </c>
      <c r="AY284" s="802">
        <f>IF(ISNUMBER('Base de datos Rutas'!CP282),'Base de datos Rutas'!CP282,"")</f>
        <v>2.089999999999999</v>
      </c>
      <c r="AZ284" s="802">
        <f>IF(ISNUMBER('Base de datos Rutas'!CQ282),'Base de datos Rutas'!CQ282,"")</f>
        <v>1128.75</v>
      </c>
      <c r="BA284" s="802">
        <f>IF(ISNUMBER('Base de datos Rutas'!CR282),'Base de datos Rutas'!CR282,"")</f>
        <v>401.23</v>
      </c>
      <c r="BB284" s="803">
        <f>IF(ISNUMBER('Base de datos Rutas'!CS282),'Base de datos Rutas'!CS282,"")</f>
        <v>727.52</v>
      </c>
      <c r="BC284" s="804">
        <f t="shared" si="177"/>
        <v>0</v>
      </c>
      <c r="BD284" s="805" t="str">
        <f t="shared" si="178"/>
        <v>No saturada</v>
      </c>
      <c r="BE284" s="806">
        <f t="shared" si="179"/>
        <v>0.35546400885935769</v>
      </c>
      <c r="BF284" s="890">
        <f>IF(ISNUMBER('Base de datos Rutas'!CX282),'Base de datos Rutas'!CX282/100,"")</f>
        <v>3.0627429584668898E-2</v>
      </c>
      <c r="BG284" s="891">
        <f>IF(ISNUMBER('Base de datos Rutas'!CZ282),'Base de datos Rutas'!CZ282/100,"")</f>
        <v>3.5327013571574709E-2</v>
      </c>
      <c r="BH284" s="892">
        <f>IF(ISNUMBER('Base de datos Rutas'!DA282),'Base de datos Rutas'!DA282,"")</f>
        <v>77.794162467731624</v>
      </c>
      <c r="BI284" s="893">
        <f>IF(ISNUMBER('Base de datos Rutas'!DC282),'Base de datos Rutas'!DC282,"")</f>
        <v>4.789032107852953</v>
      </c>
      <c r="BJ284" s="805" t="str">
        <f t="shared" si="180"/>
        <v>Ruta (completo)</v>
      </c>
      <c r="BK284" s="783">
        <f t="shared" si="168"/>
        <v>1</v>
      </c>
      <c r="BL284" s="797">
        <f t="shared" si="169"/>
        <v>1</v>
      </c>
      <c r="BM284" s="797">
        <f t="shared" si="170"/>
        <v>1</v>
      </c>
      <c r="BN284" s="797">
        <f t="shared" si="171"/>
        <v>1</v>
      </c>
      <c r="BO284" s="798" cm="1">
        <f t="array" ref="BO284">SUMPRODUCT(--ISNUMBER($BF284:$BI284),$BK$3:$BN$3)</f>
        <v>1</v>
      </c>
      <c r="BP284" s="831">
        <f t="shared" si="181"/>
        <v>0</v>
      </c>
      <c r="BQ284" s="834" t="str">
        <f t="shared" si="182"/>
        <v>Bajo</v>
      </c>
      <c r="BR284" s="836">
        <f t="shared" si="172"/>
        <v>20.019046755549013</v>
      </c>
      <c r="BS284" s="836">
        <f t="shared" si="173"/>
        <v>0</v>
      </c>
      <c r="BT284" s="837" t="str">
        <f t="shared" si="174"/>
        <v>P4</v>
      </c>
      <c r="BU284" s="807" t="str">
        <f t="shared" si="183"/>
        <v>Con espacio</v>
      </c>
      <c r="BV284" s="807" t="str">
        <f t="shared" si="175"/>
        <v>Zona de bajo potencial</v>
      </c>
      <c r="BW284" s="808" t="str">
        <f t="shared" si="176"/>
        <v>P4 - Evaluar</v>
      </c>
    </row>
    <row r="285" spans="1:75">
      <c r="A285" s="780" t="str">
        <f>'Base de datos Rutas'!A283</f>
        <v>Occidente</v>
      </c>
      <c r="B285" s="781" t="str">
        <f>'Base de datos Rutas'!B283</f>
        <v>Aguascalientes</v>
      </c>
      <c r="C285" s="781" t="str">
        <f>'Base de datos Rutas'!C283</f>
        <v>Sucursal Jalpa</v>
      </c>
      <c r="D285" s="782">
        <f>IF(ISNUMBER('Base de datos Rutas'!D283),'Base de datos Rutas'!D283,"Sin código")</f>
        <v>903400</v>
      </c>
      <c r="E285" s="783" t="str">
        <f>'Base de datos Rutas'!F283</f>
        <v>Activa</v>
      </c>
      <c r="F285" s="784" t="str">
        <f>'Base de datos Rutas'!H283</f>
        <v>Sí</v>
      </c>
      <c r="G285" s="785">
        <f>IF(ISNUMBER('Base de datos Rutas'!BE283),'Base de datos Rutas'!BE283,"")</f>
        <v>57.643990929705197</v>
      </c>
      <c r="H285" s="786">
        <f>IF(ISNUMBER('Base de datos Rutas'!BH283),'Base de datos Rutas'!BH283,"")</f>
        <v>0.58915856968647995</v>
      </c>
      <c r="I285" s="788">
        <f>IFERROR(IF(OR(NOT(ISNUMBER('Base de datos Rutas'!O283)),N('Base de datos Rutas'!BK283)=0),"",'Base de datos Rutas'!O283/('Base de datos Rutas'!L283/'Base de datos Rutas'!BK283)),"")</f>
        <v>2093.7619047619032</v>
      </c>
      <c r="J285" s="788">
        <f>IFERROR(IF(OR(NOT(ISNUMBER('Base de datos Rutas'!N283)),N('Base de datos Rutas'!BK283)=0),"",'Base de datos Rutas'!N283/('Base de datos Rutas'!L283/'Base de datos Rutas'!BK283)),"")</f>
        <v>11140.9365079365</v>
      </c>
      <c r="K285" s="788">
        <f>IFERROR(IF(OR(NOT(ISNUMBER('Base de datos Rutas'!J283)),N('Base de datos Rutas'!BK283)=0),"",'Base de datos Rutas'!J283/('Base de datos Rutas'!L283/'Base de datos Rutas'!BK283)),"")</f>
        <v>774.21779310430782</v>
      </c>
      <c r="L285" s="788">
        <f>IFERROR(IF(OR(NOT(ISNUMBER('Base de datos Rutas'!K283)),N('Base de datos Rutas'!BK283)=0),"",'Base de datos Rutas'!K283/('Base de datos Rutas'!L283/'Base de datos Rutas'!BK283)),"")</f>
        <v>16.517717743764159</v>
      </c>
      <c r="M285" s="787">
        <f>IF(ISNUMBER('Base de datos Rutas'!AX283),'Base de datos Rutas'!AX283,"")</f>
        <v>389.69769112639398</v>
      </c>
      <c r="N285" s="790">
        <f>IFERROR(INDEX('Hoja de apoyo v2'!B$17:B$20,MATCH($A285,'Hoja de apoyo v2'!$A$17:$A$20,0)),"")</f>
        <v>89.41621024641401</v>
      </c>
      <c r="O285" s="791">
        <f>IFERROR(INDEX('Hoja de apoyo v2'!C$17:C$20,MATCH($A285,'Hoja de apoyo v2'!$A$17:$A$20,0)),"")</f>
        <v>0.54706375874806301</v>
      </c>
      <c r="P285" s="793">
        <f>IFERROR(INDEX('Hoja de apoyo v2'!D$17:D$20,MATCH($A285,'Hoja de apoyo v2'!$A$17:$A$20,0)),"")</f>
        <v>11095.153935793827</v>
      </c>
      <c r="Q285" s="793">
        <f>IFERROR(INDEX('Hoja de apoyo v2'!E$17:E$20,MATCH($A285,'Hoja de apoyo v2'!$A$17:$A$20,0)),"")</f>
        <v>6982.3202019701848</v>
      </c>
      <c r="R285" s="793">
        <f>IFERROR(INDEX('Hoja de apoyo v2'!F$17:F$20,MATCH($A285,'Hoja de apoyo v2'!$A$17:$A$20,0)),"")</f>
        <v>448.09513474485743</v>
      </c>
      <c r="S285" s="793">
        <f>IFERROR(INDEX('Hoja de apoyo v2'!G$17:G$20,MATCH($A285,'Hoja de apoyo v2'!$A$17:$A$20,0)),"")</f>
        <v>83.406300904207839</v>
      </c>
      <c r="T285" s="792">
        <f>IFERROR(INDEX('Hoja de apoyo v2'!H$17:H$20,MATCH($A285,'Hoja de apoyo v2'!$A$17:$A$20,0)),"")</f>
        <v>378.97014028925349</v>
      </c>
      <c r="U285" s="794">
        <f t="shared" si="148"/>
        <v>0.64467047720820825</v>
      </c>
      <c r="V285" s="795">
        <f t="shared" si="149"/>
        <v>1.0769468097004808</v>
      </c>
      <c r="W285" s="795">
        <f t="shared" si="150"/>
        <v>0.1887095859037399</v>
      </c>
      <c r="X285" s="843">
        <f t="shared" si="151"/>
        <v>1.5955923225624755</v>
      </c>
      <c r="Y285" s="843">
        <f t="shared" si="152"/>
        <v>1.7277978113847243</v>
      </c>
      <c r="Z285" s="843">
        <f t="shared" si="153"/>
        <v>0.1980392076461317</v>
      </c>
      <c r="AA285" s="843">
        <f t="shared" si="154"/>
        <v>1.028307113665875</v>
      </c>
      <c r="AB285" s="796">
        <f t="shared" si="155"/>
        <v>2</v>
      </c>
      <c r="AC285" s="797">
        <f t="shared" si="156"/>
        <v>4</v>
      </c>
      <c r="AD285" s="797">
        <f t="shared" si="157"/>
        <v>1</v>
      </c>
      <c r="AE285" s="842">
        <f t="shared" si="158"/>
        <v>5</v>
      </c>
      <c r="AF285" s="842">
        <f t="shared" si="159"/>
        <v>5</v>
      </c>
      <c r="AG285" s="842">
        <f t="shared" si="160"/>
        <v>1</v>
      </c>
      <c r="AH285" s="842">
        <f t="shared" si="161"/>
        <v>4</v>
      </c>
      <c r="AI285" s="826" cm="1">
        <f t="array" ref="AI285">SUMPRODUCT(--ISNUMBER($U285:$AA285),$AB$3:$AH$3)</f>
        <v>1</v>
      </c>
      <c r="AJ285" s="829">
        <f t="shared" si="162"/>
        <v>43.758505089821817</v>
      </c>
      <c r="AK285" s="827" t="str">
        <f t="shared" si="163"/>
        <v>Inmadura</v>
      </c>
      <c r="AL285" s="784" t="str">
        <f t="shared" si="164"/>
        <v>Alta</v>
      </c>
      <c r="AM285" s="799">
        <f>IF(ISNUMBER('Base de datos Rutas'!W283),'Base de datos Rutas'!W283,"")</f>
        <v>4224.6263774826693</v>
      </c>
      <c r="AN285" s="787">
        <f>IFERROR(SUMIFS('Base de datos Rutas'!$W$6:$W$794,'Base de datos Rutas'!$C$6:$C$794,$C285)/'Base de datos Rutas'!I283,"")</f>
        <v>4224.6263774826693</v>
      </c>
      <c r="AO285" s="800">
        <f>IFERROR('Base de datos Rutas'!X283*AN285/AM285,"")</f>
        <v>0.32096027307409197</v>
      </c>
      <c r="AP285" s="800">
        <f t="shared" si="165"/>
        <v>0.67903972692590808</v>
      </c>
      <c r="AQ285" s="789">
        <f>IFERROR(INDEX('Hoja de apoyo v2'!$J$17:$J$20,MATCH($A285,'Hoja de apoyo v2'!$A$17:$A$20,0)),"")</f>
        <v>0.64320274048480885</v>
      </c>
      <c r="AR285" s="789">
        <f t="shared" si="166"/>
        <v>3.5836986441099228E-2</v>
      </c>
      <c r="AS285" s="784" t="str">
        <f t="shared" si="167"/>
        <v>No</v>
      </c>
      <c r="AT285" s="801">
        <f>IF(ISNUMBER('Base de datos Rutas'!CK283),'Base de datos Rutas'!CK283,"")</f>
        <v>237</v>
      </c>
      <c r="AU285" s="802">
        <f>IF(ISNUMBER('Base de datos Rutas'!CL283),'Base de datos Rutas'!CL283,"")</f>
        <v>237</v>
      </c>
      <c r="AV285" s="802">
        <f>IF(ISNUMBER('Base de datos Rutas'!CM283),'Base de datos Rutas'!CM283,"")</f>
        <v>0</v>
      </c>
      <c r="AW285" s="802">
        <f>IF(ISNUMBER('Base de datos Rutas'!CN283),'Base de datos Rutas'!CN283,"")</f>
        <v>2.5299999999999998</v>
      </c>
      <c r="AX285" s="802">
        <f>IF(ISNUMBER('Base de datos Rutas'!CO283),'Base de datos Rutas'!CO283,"")</f>
        <v>9.4499999999999993</v>
      </c>
      <c r="AY285" s="802">
        <f>IF(ISNUMBER('Base de datos Rutas'!CP283),'Base de datos Rutas'!CP283,"")</f>
        <v>6.92</v>
      </c>
      <c r="AZ285" s="802">
        <f>IF(ISNUMBER('Base de datos Rutas'!CQ283),'Base de datos Rutas'!CQ283,"")</f>
        <v>564.37</v>
      </c>
      <c r="BA285" s="802">
        <f>IF(ISNUMBER('Base de datos Rutas'!CR283),'Base de datos Rutas'!CR283,"")</f>
        <v>790.74</v>
      </c>
      <c r="BB285" s="803">
        <f>IF(ISNUMBER('Base de datos Rutas'!CS283),'Base de datos Rutas'!CS283,"")</f>
        <v>-226.37</v>
      </c>
      <c r="BC285" s="804">
        <f t="shared" si="177"/>
        <v>2</v>
      </c>
      <c r="BD285" s="805" t="str">
        <f t="shared" si="178"/>
        <v>Saturada</v>
      </c>
      <c r="BE285" s="806">
        <f t="shared" si="179"/>
        <v>1.4011021138614739</v>
      </c>
      <c r="BF285" s="890">
        <f>IF(ISNUMBER('Base de datos Rutas'!CX283),'Base de datos Rutas'!CX283/100,"")</f>
        <v>5.6377730796335448E-4</v>
      </c>
      <c r="BG285" s="891">
        <f>IF(ISNUMBER('Base de datos Rutas'!CZ283),'Base de datos Rutas'!CZ283/100,"")</f>
        <v>5.6377730796335448E-4</v>
      </c>
      <c r="BH285" s="892">
        <f>IF(ISNUMBER('Base de datos Rutas'!DA283),'Base de datos Rutas'!DA283,"")</f>
        <v>0</v>
      </c>
      <c r="BI285" s="893">
        <f>IF(ISNUMBER('Base de datos Rutas'!DC283),'Base de datos Rutas'!DC283,"")</f>
        <v>0</v>
      </c>
      <c r="BJ285" s="805" t="str">
        <f t="shared" si="180"/>
        <v>Ruta (completo)</v>
      </c>
      <c r="BK285" s="783">
        <f t="shared" si="168"/>
        <v>1</v>
      </c>
      <c r="BL285" s="797">
        <f t="shared" si="169"/>
        <v>1</v>
      </c>
      <c r="BM285" s="797">
        <f t="shared" si="170"/>
        <v>1</v>
      </c>
      <c r="BN285" s="797">
        <f t="shared" si="171"/>
        <v>1</v>
      </c>
      <c r="BO285" s="798" cm="1">
        <f t="array" ref="BO285">SUMPRODUCT(--ISNUMBER($BF285:$BI285),$BK$3:$BN$3)</f>
        <v>1</v>
      </c>
      <c r="BP285" s="831">
        <f t="shared" si="181"/>
        <v>0</v>
      </c>
      <c r="BQ285" s="834" t="str">
        <f t="shared" si="182"/>
        <v>Bajo</v>
      </c>
      <c r="BR285" s="836">
        <f t="shared" si="172"/>
        <v>57.818878817366361</v>
      </c>
      <c r="BS285" s="836">
        <f t="shared" si="173"/>
        <v>0</v>
      </c>
      <c r="BT285" s="837" t="str">
        <f t="shared" si="174"/>
        <v>P2</v>
      </c>
      <c r="BU285" s="807" t="str">
        <f t="shared" si="183"/>
        <v>Al tope</v>
      </c>
      <c r="BV285" s="807" t="str">
        <f t="shared" si="175"/>
        <v>Zona de bajo potencial</v>
      </c>
      <c r="BW285" s="808" t="str">
        <f t="shared" si="176"/>
        <v>P2 - Mantener</v>
      </c>
    </row>
    <row r="286" spans="1:75">
      <c r="A286" s="780" t="str">
        <f>'Base de datos Rutas'!A284</f>
        <v>Occidente</v>
      </c>
      <c r="B286" s="781" t="str">
        <f>'Base de datos Rutas'!B284</f>
        <v>Aguascalientes</v>
      </c>
      <c r="C286" s="781" t="str">
        <f>'Base de datos Rutas'!C284</f>
        <v>Sucursal Juchipila</v>
      </c>
      <c r="D286" s="782">
        <f>IF(ISNUMBER('Base de datos Rutas'!D284),'Base de datos Rutas'!D284,"Sin código")</f>
        <v>904400</v>
      </c>
      <c r="E286" s="783" t="str">
        <f>'Base de datos Rutas'!F284</f>
        <v>Activa</v>
      </c>
      <c r="F286" s="784" t="str">
        <f>'Base de datos Rutas'!H284</f>
        <v>Sí</v>
      </c>
      <c r="G286" s="785">
        <f>IF(ISNUMBER('Base de datos Rutas'!BE284),'Base de datos Rutas'!BE284,"")</f>
        <v>28.677108433734901</v>
      </c>
      <c r="H286" s="786">
        <f>IF(ISNUMBER('Base de datos Rutas'!BH284),'Base de datos Rutas'!BH284,"")</f>
        <v>0.71699857154860902</v>
      </c>
      <c r="I286" s="788">
        <f>IFERROR(IF(OR(NOT(ISNUMBER('Base de datos Rutas'!O284)),N('Base de datos Rutas'!BK284)=0),"",'Base de datos Rutas'!O284/('Base de datos Rutas'!L284/'Base de datos Rutas'!BK284)),"")</f>
        <v>545.23766816143416</v>
      </c>
      <c r="J286" s="788">
        <f>IFERROR(IF(OR(NOT(ISNUMBER('Base de datos Rutas'!N284)),N('Base de datos Rutas'!BK284)=0),"",'Base de datos Rutas'!N284/('Base de datos Rutas'!L284/'Base de datos Rutas'!BK284)),"")</f>
        <v>4805.9977578475264</v>
      </c>
      <c r="K286" s="788">
        <f>IFERROR(IF(OR(NOT(ISNUMBER('Base de datos Rutas'!J284)),N('Base de datos Rutas'!BK284)=0),"",'Base de datos Rutas'!J284/('Base de datos Rutas'!L284/'Base de datos Rutas'!BK284)),"")</f>
        <v>341.93342600896807</v>
      </c>
      <c r="L286" s="788">
        <f>IFERROR(IF(OR(NOT(ISNUMBER('Base de datos Rutas'!K284)),N('Base de datos Rutas'!BK284)=0),"",'Base de datos Rutas'!K284/('Base de datos Rutas'!L284/'Base de datos Rutas'!BK284)),"")</f>
        <v>5.0683805134529072</v>
      </c>
      <c r="M286" s="787">
        <f>IF(ISNUMBER('Base de datos Rutas'!AX284),'Base de datos Rutas'!AX284,"")</f>
        <v>274.70657113259699</v>
      </c>
      <c r="N286" s="790">
        <f>IFERROR(INDEX('Hoja de apoyo v2'!B$17:B$20,MATCH($A286,'Hoja de apoyo v2'!$A$17:$A$20,0)),"")</f>
        <v>89.41621024641401</v>
      </c>
      <c r="O286" s="791">
        <f>IFERROR(INDEX('Hoja de apoyo v2'!C$17:C$20,MATCH($A286,'Hoja de apoyo v2'!$A$17:$A$20,0)),"")</f>
        <v>0.54706375874806301</v>
      </c>
      <c r="P286" s="793">
        <f>IFERROR(INDEX('Hoja de apoyo v2'!D$17:D$20,MATCH($A286,'Hoja de apoyo v2'!$A$17:$A$20,0)),"")</f>
        <v>11095.153935793827</v>
      </c>
      <c r="Q286" s="793">
        <f>IFERROR(INDEX('Hoja de apoyo v2'!E$17:E$20,MATCH($A286,'Hoja de apoyo v2'!$A$17:$A$20,0)),"")</f>
        <v>6982.3202019701848</v>
      </c>
      <c r="R286" s="793">
        <f>IFERROR(INDEX('Hoja de apoyo v2'!F$17:F$20,MATCH($A286,'Hoja de apoyo v2'!$A$17:$A$20,0)),"")</f>
        <v>448.09513474485743</v>
      </c>
      <c r="S286" s="793">
        <f>IFERROR(INDEX('Hoja de apoyo v2'!G$17:G$20,MATCH($A286,'Hoja de apoyo v2'!$A$17:$A$20,0)),"")</f>
        <v>83.406300904207839</v>
      </c>
      <c r="T286" s="792">
        <f>IFERROR(INDEX('Hoja de apoyo v2'!H$17:H$20,MATCH($A286,'Hoja de apoyo v2'!$A$17:$A$20,0)),"")</f>
        <v>378.97014028925349</v>
      </c>
      <c r="U286" s="794">
        <f t="shared" si="148"/>
        <v>0.32071487210994809</v>
      </c>
      <c r="V286" s="795">
        <f t="shared" si="149"/>
        <v>1.3106307264612742</v>
      </c>
      <c r="W286" s="795">
        <f t="shared" si="150"/>
        <v>4.9141965160344026E-2</v>
      </c>
      <c r="X286" s="843">
        <f t="shared" si="151"/>
        <v>0.68830956169718904</v>
      </c>
      <c r="Y286" s="843">
        <f t="shared" si="152"/>
        <v>0.76308221066417703</v>
      </c>
      <c r="Z286" s="843">
        <f t="shared" si="153"/>
        <v>6.0767357603761181E-2</v>
      </c>
      <c r="AA286" s="843">
        <f t="shared" si="154"/>
        <v>0.72487655867273315</v>
      </c>
      <c r="AB286" s="796">
        <f t="shared" si="155"/>
        <v>1</v>
      </c>
      <c r="AC286" s="797">
        <f t="shared" si="156"/>
        <v>5</v>
      </c>
      <c r="AD286" s="797">
        <f t="shared" si="157"/>
        <v>1</v>
      </c>
      <c r="AE286" s="842">
        <f t="shared" si="158"/>
        <v>2</v>
      </c>
      <c r="AF286" s="842">
        <f t="shared" si="159"/>
        <v>3</v>
      </c>
      <c r="AG286" s="842">
        <f t="shared" si="160"/>
        <v>1</v>
      </c>
      <c r="AH286" s="842">
        <f t="shared" si="161"/>
        <v>2</v>
      </c>
      <c r="AI286" s="826" cm="1">
        <f t="array" ref="AI286">SUMPRODUCT(--ISNUMBER($U286:$AA286),$AB$3:$AH$3)</f>
        <v>1</v>
      </c>
      <c r="AJ286" s="829">
        <f t="shared" si="162"/>
        <v>21.037886854186766</v>
      </c>
      <c r="AK286" s="827" t="str">
        <f t="shared" si="163"/>
        <v>Inmadura</v>
      </c>
      <c r="AL286" s="784" t="str">
        <f t="shared" si="164"/>
        <v>Alta</v>
      </c>
      <c r="AM286" s="799">
        <f>IF(ISNUMBER('Base de datos Rutas'!W284),'Base de datos Rutas'!W284,"")</f>
        <v>1656.0369040335643</v>
      </c>
      <c r="AN286" s="787">
        <f>IFERROR(SUMIFS('Base de datos Rutas'!$W$6:$W$794,'Base de datos Rutas'!$C$6:$C$794,$C286)/'Base de datos Rutas'!I284,"")</f>
        <v>1656.0369040335643</v>
      </c>
      <c r="AO286" s="800">
        <f>IFERROR('Base de datos Rutas'!X284*AN286/AM286,"")</f>
        <v>0.63188733038131628</v>
      </c>
      <c r="AP286" s="800">
        <f t="shared" si="165"/>
        <v>0.36811266961868372</v>
      </c>
      <c r="AQ286" s="789">
        <f>IFERROR(INDEX('Hoja de apoyo v2'!$J$17:$J$20,MATCH($A286,'Hoja de apoyo v2'!$A$17:$A$20,0)),"")</f>
        <v>0.64320274048480885</v>
      </c>
      <c r="AR286" s="789">
        <f t="shared" si="166"/>
        <v>-0.27509007086612514</v>
      </c>
      <c r="AS286" s="784" t="str">
        <f t="shared" si="167"/>
        <v>Sí</v>
      </c>
      <c r="AT286" s="801">
        <f>IF(ISNUMBER('Base de datos Rutas'!CK284),'Base de datos Rutas'!CK284,"")</f>
        <v>140</v>
      </c>
      <c r="AU286" s="802">
        <f>IF(ISNUMBER('Base de datos Rutas'!CL284),'Base de datos Rutas'!CL284,"")</f>
        <v>140</v>
      </c>
      <c r="AV286" s="802">
        <f>IF(ISNUMBER('Base de datos Rutas'!CM284),'Base de datos Rutas'!CM284,"")</f>
        <v>0</v>
      </c>
      <c r="AW286" s="802" t="str">
        <f>IF(ISNUMBER('Base de datos Rutas'!CN284),'Base de datos Rutas'!CN284,"")</f>
        <v/>
      </c>
      <c r="AX286" s="802">
        <f>IF(ISNUMBER('Base de datos Rutas'!CO284),'Base de datos Rutas'!CO284,"")</f>
        <v>9.4499999999999993</v>
      </c>
      <c r="AY286" s="802">
        <f>IF(ISNUMBER('Base de datos Rutas'!CP284),'Base de datos Rutas'!CP284,"")</f>
        <v>9.4499999999999993</v>
      </c>
      <c r="AZ286" s="802" t="str">
        <f>IF(ISNUMBER('Base de datos Rutas'!CQ284),'Base de datos Rutas'!CQ284,"")</f>
        <v/>
      </c>
      <c r="BA286" s="802" t="str">
        <f>IF(ISNUMBER('Base de datos Rutas'!CR284),'Base de datos Rutas'!CR284,"")</f>
        <v/>
      </c>
      <c r="BB286" s="803">
        <f>IF(ISNUMBER('Base de datos Rutas'!CS284),'Base de datos Rutas'!CS284,"")</f>
        <v>0</v>
      </c>
      <c r="BC286" s="804" t="str">
        <f t="shared" si="177"/>
        <v/>
      </c>
      <c r="BD286" s="805" t="str">
        <f t="shared" si="178"/>
        <v>N/D</v>
      </c>
      <c r="BE286" s="806" t="str">
        <f t="shared" si="179"/>
        <v/>
      </c>
      <c r="BF286" s="890">
        <f>IF(ISNUMBER('Base de datos Rutas'!CX284),'Base de datos Rutas'!CX284/100,"")</f>
        <v>0</v>
      </c>
      <c r="BG286" s="891">
        <f>IF(ISNUMBER('Base de datos Rutas'!CZ284),'Base de datos Rutas'!CZ284/100,"")</f>
        <v>0</v>
      </c>
      <c r="BH286" s="892">
        <f>IF(ISNUMBER('Base de datos Rutas'!DA284),'Base de datos Rutas'!DA284,"")</f>
        <v>0</v>
      </c>
      <c r="BI286" s="893">
        <f>IF(ISNUMBER('Base de datos Rutas'!DC284),'Base de datos Rutas'!DC284,"")</f>
        <v>0</v>
      </c>
      <c r="BJ286" s="805" t="str">
        <f t="shared" si="180"/>
        <v>Ruta (completo)</v>
      </c>
      <c r="BK286" s="783">
        <f t="shared" si="168"/>
        <v>1</v>
      </c>
      <c r="BL286" s="797">
        <f t="shared" si="169"/>
        <v>1</v>
      </c>
      <c r="BM286" s="797">
        <f t="shared" si="170"/>
        <v>1</v>
      </c>
      <c r="BN286" s="797">
        <f t="shared" si="171"/>
        <v>1</v>
      </c>
      <c r="BO286" s="798" cm="1">
        <f t="array" ref="BO286">SUMPRODUCT(--ISNUMBER($BF286:$BI286),$BK$3:$BN$3)</f>
        <v>1</v>
      </c>
      <c r="BP286" s="831">
        <f t="shared" si="181"/>
        <v>0</v>
      </c>
      <c r="BQ286" s="834" t="str">
        <f t="shared" si="182"/>
        <v>Bajo</v>
      </c>
      <c r="BR286" s="836" t="str">
        <f t="shared" si="172"/>
        <v/>
      </c>
      <c r="BS286" s="836">
        <f t="shared" si="173"/>
        <v>0</v>
      </c>
      <c r="BT286" s="837" t="str">
        <f t="shared" si="174"/>
        <v>Sin datos</v>
      </c>
      <c r="BU286" s="807" t="str">
        <f t="shared" si="183"/>
        <v>Con espacio</v>
      </c>
      <c r="BV286" s="807" t="str">
        <f t="shared" si="175"/>
        <v>Zona de bajo potencial</v>
      </c>
      <c r="BW286" s="808" t="str">
        <f t="shared" si="176"/>
        <v>Sin datos</v>
      </c>
    </row>
    <row r="287" spans="1:75">
      <c r="A287" s="780" t="str">
        <f>'Base de datos Rutas'!A285</f>
        <v>Occidente</v>
      </c>
      <c r="B287" s="781" t="str">
        <f>'Base de datos Rutas'!B285</f>
        <v>Aguascalientes</v>
      </c>
      <c r="C287" s="781" t="str">
        <f>'Base de datos Rutas'!C285</f>
        <v>Sucursal Teocaltiche</v>
      </c>
      <c r="D287" s="782">
        <f>IF(ISNUMBER('Base de datos Rutas'!D285),'Base de datos Rutas'!D285,"Sin código")</f>
        <v>906400</v>
      </c>
      <c r="E287" s="783" t="str">
        <f>'Base de datos Rutas'!F285</f>
        <v>Activa</v>
      </c>
      <c r="F287" s="784" t="str">
        <f>'Base de datos Rutas'!H285</f>
        <v>Sí</v>
      </c>
      <c r="G287" s="785">
        <f>IF(ISNUMBER('Base de datos Rutas'!BE285),'Base de datos Rutas'!BE285,"")</f>
        <v>63.686363636363602</v>
      </c>
      <c r="H287" s="786">
        <f>IF(ISNUMBER('Base de datos Rutas'!BH285),'Base de datos Rutas'!BH285,"")</f>
        <v>0.37973734922560898</v>
      </c>
      <c r="I287" s="788">
        <f>IFERROR(IF(OR(NOT(ISNUMBER('Base de datos Rutas'!O285)),N('Base de datos Rutas'!BK285)=0),"",'Base de datos Rutas'!O285/('Base de datos Rutas'!L285/'Base de datos Rutas'!BK285)),"")</f>
        <v>240.46818181818171</v>
      </c>
      <c r="J287" s="788">
        <f>IFERROR(IF(OR(NOT(ISNUMBER('Base de datos Rutas'!N285)),N('Base de datos Rutas'!BK285)=0),"",'Base de datos Rutas'!N285/('Base de datos Rutas'!L285/'Base de datos Rutas'!BK285)),"")</f>
        <v>6019.2749999999969</v>
      </c>
      <c r="K287" s="788">
        <f>IFERROR(IF(OR(NOT(ISNUMBER('Base de datos Rutas'!J285)),N('Base de datos Rutas'!BK285)=0),"",'Base de datos Rutas'!J285/('Base de datos Rutas'!L285/'Base de datos Rutas'!BK285)),"")</f>
        <v>406.84520545454524</v>
      </c>
      <c r="L287" s="788">
        <f>IFERROR(IF(OR(NOT(ISNUMBER('Base de datos Rutas'!K285)),N('Base de datos Rutas'!BK285)=0),"",'Base de datos Rutas'!K285/('Base de datos Rutas'!L285/'Base de datos Rutas'!BK285)),"")</f>
        <v>2.402383352272726</v>
      </c>
      <c r="M287" s="787">
        <f>IF(ISNUMBER('Base de datos Rutas'!AX285),'Base de datos Rutas'!AX285,"")</f>
        <v>258.83682830561003</v>
      </c>
      <c r="N287" s="790">
        <f>IFERROR(INDEX('Hoja de apoyo v2'!B$17:B$20,MATCH($A287,'Hoja de apoyo v2'!$A$17:$A$20,0)),"")</f>
        <v>89.41621024641401</v>
      </c>
      <c r="O287" s="791">
        <f>IFERROR(INDEX('Hoja de apoyo v2'!C$17:C$20,MATCH($A287,'Hoja de apoyo v2'!$A$17:$A$20,0)),"")</f>
        <v>0.54706375874806301</v>
      </c>
      <c r="P287" s="793">
        <f>IFERROR(INDEX('Hoja de apoyo v2'!D$17:D$20,MATCH($A287,'Hoja de apoyo v2'!$A$17:$A$20,0)),"")</f>
        <v>11095.153935793827</v>
      </c>
      <c r="Q287" s="793">
        <f>IFERROR(INDEX('Hoja de apoyo v2'!E$17:E$20,MATCH($A287,'Hoja de apoyo v2'!$A$17:$A$20,0)),"")</f>
        <v>6982.3202019701848</v>
      </c>
      <c r="R287" s="793">
        <f>IFERROR(INDEX('Hoja de apoyo v2'!F$17:F$20,MATCH($A287,'Hoja de apoyo v2'!$A$17:$A$20,0)),"")</f>
        <v>448.09513474485743</v>
      </c>
      <c r="S287" s="793">
        <f>IFERROR(INDEX('Hoja de apoyo v2'!G$17:G$20,MATCH($A287,'Hoja de apoyo v2'!$A$17:$A$20,0)),"")</f>
        <v>83.406300904207839</v>
      </c>
      <c r="T287" s="792">
        <f>IFERROR(INDEX('Hoja de apoyo v2'!H$17:H$20,MATCH($A287,'Hoja de apoyo v2'!$A$17:$A$20,0)),"")</f>
        <v>378.97014028925349</v>
      </c>
      <c r="U287" s="794">
        <f t="shared" si="148"/>
        <v>0.71224628577811722</v>
      </c>
      <c r="V287" s="795">
        <f t="shared" si="149"/>
        <v>0.69413727952775583</v>
      </c>
      <c r="W287" s="795">
        <f t="shared" si="150"/>
        <v>2.1673262327836004E-2</v>
      </c>
      <c r="X287" s="843">
        <f t="shared" si="151"/>
        <v>0.86207375569822076</v>
      </c>
      <c r="Y287" s="843">
        <f t="shared" si="152"/>
        <v>0.90794381350781761</v>
      </c>
      <c r="Z287" s="843">
        <f t="shared" si="153"/>
        <v>2.8803379675497946E-2</v>
      </c>
      <c r="AA287" s="843">
        <f t="shared" si="154"/>
        <v>0.68300058708596334</v>
      </c>
      <c r="AB287" s="796">
        <f t="shared" si="155"/>
        <v>2</v>
      </c>
      <c r="AC287" s="797">
        <f t="shared" si="156"/>
        <v>2</v>
      </c>
      <c r="AD287" s="797">
        <f t="shared" si="157"/>
        <v>1</v>
      </c>
      <c r="AE287" s="842">
        <f t="shared" si="158"/>
        <v>3</v>
      </c>
      <c r="AF287" s="842">
        <f t="shared" si="159"/>
        <v>3</v>
      </c>
      <c r="AG287" s="842">
        <f t="shared" si="160"/>
        <v>1</v>
      </c>
      <c r="AH287" s="842">
        <f t="shared" si="161"/>
        <v>2</v>
      </c>
      <c r="AI287" s="826" cm="1">
        <f t="array" ref="AI287">SUMPRODUCT(--ISNUMBER($U287:$AA287),$AB$3:$AH$3)</f>
        <v>1</v>
      </c>
      <c r="AJ287" s="829">
        <f t="shared" si="162"/>
        <v>21.83225392087077</v>
      </c>
      <c r="AK287" s="827" t="str">
        <f t="shared" si="163"/>
        <v>Inmadura</v>
      </c>
      <c r="AL287" s="784" t="str">
        <f t="shared" si="164"/>
        <v>Alta</v>
      </c>
      <c r="AM287" s="799">
        <f>IF(ISNUMBER('Base de datos Rutas'!W285),'Base de datos Rutas'!W285,"")</f>
        <v>1879.0737607763299</v>
      </c>
      <c r="AN287" s="787">
        <f>IFERROR(SUMIFS('Base de datos Rutas'!$W$6:$W$794,'Base de datos Rutas'!$C$6:$C$794,$C287)/'Base de datos Rutas'!I285,"")</f>
        <v>1879.0737607763299</v>
      </c>
      <c r="AO287" s="800">
        <f>IFERROR('Base de datos Rutas'!X285*AN287/AM287,"")</f>
        <v>0.57560835802135102</v>
      </c>
      <c r="AP287" s="800">
        <f t="shared" si="165"/>
        <v>0.42439164197864898</v>
      </c>
      <c r="AQ287" s="789">
        <f>IFERROR(INDEX('Hoja de apoyo v2'!$J$17:$J$20,MATCH($A287,'Hoja de apoyo v2'!$A$17:$A$20,0)),"")</f>
        <v>0.64320274048480885</v>
      </c>
      <c r="AR287" s="789">
        <f t="shared" si="166"/>
        <v>-0.21881109850615987</v>
      </c>
      <c r="AS287" s="784" t="str">
        <f t="shared" si="167"/>
        <v>No</v>
      </c>
      <c r="AT287" s="801">
        <f>IF(ISNUMBER('Base de datos Rutas'!CK285),'Base de datos Rutas'!CK285,"")</f>
        <v>164</v>
      </c>
      <c r="AU287" s="802">
        <f>IF(ISNUMBER('Base de datos Rutas'!CL285),'Base de datos Rutas'!CL285,"")</f>
        <v>185.73</v>
      </c>
      <c r="AV287" s="802">
        <f>IF(ISNUMBER('Base de datos Rutas'!CM285),'Base de datos Rutas'!CM285,"")</f>
        <v>21.72999999999999</v>
      </c>
      <c r="AW287" s="802">
        <f>IF(ISNUMBER('Base de datos Rutas'!CN285),'Base de datos Rutas'!CN285,"")</f>
        <v>3.8</v>
      </c>
      <c r="AX287" s="802">
        <f>IF(ISNUMBER('Base de datos Rutas'!CO285),'Base de datos Rutas'!CO285,"")</f>
        <v>9.4499999999999993</v>
      </c>
      <c r="AY287" s="802">
        <f>IF(ISNUMBER('Base de datos Rutas'!CP285),'Base de datos Rutas'!CP285,"")</f>
        <v>5.6499999999999995</v>
      </c>
      <c r="AZ287" s="802">
        <f>IF(ISNUMBER('Base de datos Rutas'!CQ285),'Base de datos Rutas'!CQ285,"")</f>
        <v>564.37</v>
      </c>
      <c r="BA287" s="802">
        <f>IF(ISNUMBER('Base de datos Rutas'!CR285),'Base de datos Rutas'!CR285,"")</f>
        <v>409.25</v>
      </c>
      <c r="BB287" s="803">
        <f>IF(ISNUMBER('Base de datos Rutas'!CS285),'Base de datos Rutas'!CS285,"")</f>
        <v>155.12</v>
      </c>
      <c r="BC287" s="804">
        <f t="shared" si="177"/>
        <v>0</v>
      </c>
      <c r="BD287" s="805" t="str">
        <f t="shared" si="178"/>
        <v>No saturada</v>
      </c>
      <c r="BE287" s="806">
        <f t="shared" si="179"/>
        <v>0.72514485178163257</v>
      </c>
      <c r="BF287" s="890">
        <f>IF(ISNUMBER('Base de datos Rutas'!CX285),'Base de datos Rutas'!CX285/100,"")</f>
        <v>7.7576843078345278E-3</v>
      </c>
      <c r="BG287" s="891">
        <f>IF(ISNUMBER('Base de datos Rutas'!CZ285),'Base de datos Rutas'!CZ285/100,"")</f>
        <v>9.0131730991449034E-3</v>
      </c>
      <c r="BH287" s="892">
        <f>IF(ISNUMBER('Base de datos Rutas'!DA285),'Base de datos Rutas'!DA285,"")</f>
        <v>34.054737725284816</v>
      </c>
      <c r="BI287" s="893">
        <f>IF(ISNUMBER('Base de datos Rutas'!DC285),'Base de datos Rutas'!DC285,"")</f>
        <v>2.1424817351453251</v>
      </c>
      <c r="BJ287" s="805" t="str">
        <f t="shared" si="180"/>
        <v>Ruta (completo)</v>
      </c>
      <c r="BK287" s="783">
        <f t="shared" si="168"/>
        <v>1</v>
      </c>
      <c r="BL287" s="797">
        <f t="shared" si="169"/>
        <v>1</v>
      </c>
      <c r="BM287" s="797">
        <f t="shared" si="170"/>
        <v>1</v>
      </c>
      <c r="BN287" s="797">
        <f t="shared" si="171"/>
        <v>1</v>
      </c>
      <c r="BO287" s="798" cm="1">
        <f t="array" ref="BO287">SUMPRODUCT(--ISNUMBER($BF287:$BI287),$BK$3:$BN$3)</f>
        <v>1</v>
      </c>
      <c r="BP287" s="831">
        <f t="shared" si="181"/>
        <v>0</v>
      </c>
      <c r="BQ287" s="834" t="str">
        <f t="shared" si="182"/>
        <v>Bajo</v>
      </c>
      <c r="BR287" s="836">
        <f t="shared" si="172"/>
        <v>16.374190440653077</v>
      </c>
      <c r="BS287" s="836">
        <f t="shared" si="173"/>
        <v>0</v>
      </c>
      <c r="BT287" s="837" t="str">
        <f t="shared" si="174"/>
        <v>P4</v>
      </c>
      <c r="BU287" s="807" t="str">
        <f t="shared" si="183"/>
        <v>Con espacio</v>
      </c>
      <c r="BV287" s="807" t="str">
        <f t="shared" si="175"/>
        <v>Zona de bajo potencial</v>
      </c>
      <c r="BW287" s="808" t="str">
        <f t="shared" si="176"/>
        <v>P4 - Evaluar</v>
      </c>
    </row>
    <row r="288" spans="1:75">
      <c r="A288" s="780" t="str">
        <f>'Base de datos Rutas'!A286</f>
        <v>Occidente</v>
      </c>
      <c r="B288" s="781" t="str">
        <f>'Base de datos Rutas'!B286</f>
        <v>Matehuala</v>
      </c>
      <c r="C288" s="781" t="str">
        <f>'Base de datos Rutas'!C286</f>
        <v>Planta Matehuala</v>
      </c>
      <c r="D288" s="782">
        <f>IF(ISNUMBER('Base de datos Rutas'!D286),'Base de datos Rutas'!D286,"Sin código")</f>
        <v>925300</v>
      </c>
      <c r="E288" s="783" t="str">
        <f>'Base de datos Rutas'!F286</f>
        <v>Activa</v>
      </c>
      <c r="F288" s="784" t="str">
        <f>'Base de datos Rutas'!H286</f>
        <v>Sí</v>
      </c>
      <c r="G288" s="785">
        <f>IF(ISNUMBER('Base de datos Rutas'!BE286),'Base de datos Rutas'!BE286,"")</f>
        <v>70.328859060402706</v>
      </c>
      <c r="H288" s="786">
        <f>IF(ISNUMBER('Base de datos Rutas'!BH286),'Base de datos Rutas'!BH286,"")</f>
        <v>0.56687979132868904</v>
      </c>
      <c r="I288" s="788">
        <f>IFERROR(IF(OR(NOT(ISNUMBER('Base de datos Rutas'!O286)),N('Base de datos Rutas'!BK286)=0),"",'Base de datos Rutas'!O286/('Base de datos Rutas'!L286/'Base de datos Rutas'!BK286)),"")</f>
        <v>2888.4205816554754</v>
      </c>
      <c r="J288" s="788">
        <f>IFERROR(IF(OR(NOT(ISNUMBER('Base de datos Rutas'!N286)),N('Base de datos Rutas'!BK286)=0),"",'Base de datos Rutas'!N286/('Base de datos Rutas'!L286/'Base de datos Rutas'!BK286)),"")</f>
        <v>5511.7539149888034</v>
      </c>
      <c r="K288" s="788">
        <f>IFERROR(IF(OR(NOT(ISNUMBER('Base de datos Rutas'!J286)),N('Base de datos Rutas'!BK286)=0),"",'Base de datos Rutas'!J286/('Base de datos Rutas'!L286/'Base de datos Rutas'!BK286)),"")</f>
        <v>376.82650960178898</v>
      </c>
      <c r="L288" s="788">
        <f>IFERROR(IF(OR(NOT(ISNUMBER('Base de datos Rutas'!K286)),N('Base de datos Rutas'!BK286)=0),"",'Base de datos Rutas'!K286/('Base de datos Rutas'!L286/'Base de datos Rutas'!BK286)),"")</f>
        <v>25.785655033556996</v>
      </c>
      <c r="M288" s="787">
        <f>IF(ISNUMBER('Base de datos Rutas'!AX286),'Base de datos Rutas'!AX286,"")</f>
        <v>210.699693619887</v>
      </c>
      <c r="N288" s="790">
        <f>IFERROR(INDEX('Hoja de apoyo v2'!B$17:B$20,MATCH($A288,'Hoja de apoyo v2'!$A$17:$A$20,0)),"")</f>
        <v>89.41621024641401</v>
      </c>
      <c r="O288" s="791">
        <f>IFERROR(INDEX('Hoja de apoyo v2'!C$17:C$20,MATCH($A288,'Hoja de apoyo v2'!$A$17:$A$20,0)),"")</f>
        <v>0.54706375874806301</v>
      </c>
      <c r="P288" s="793">
        <f>IFERROR(INDEX('Hoja de apoyo v2'!D$17:D$20,MATCH($A288,'Hoja de apoyo v2'!$A$17:$A$20,0)),"")</f>
        <v>11095.153935793827</v>
      </c>
      <c r="Q288" s="793">
        <f>IFERROR(INDEX('Hoja de apoyo v2'!E$17:E$20,MATCH($A288,'Hoja de apoyo v2'!$A$17:$A$20,0)),"")</f>
        <v>6982.3202019701848</v>
      </c>
      <c r="R288" s="793">
        <f>IFERROR(INDEX('Hoja de apoyo v2'!F$17:F$20,MATCH($A288,'Hoja de apoyo v2'!$A$17:$A$20,0)),"")</f>
        <v>448.09513474485743</v>
      </c>
      <c r="S288" s="793">
        <f>IFERROR(INDEX('Hoja de apoyo v2'!G$17:G$20,MATCH($A288,'Hoja de apoyo v2'!$A$17:$A$20,0)),"")</f>
        <v>83.406300904207839</v>
      </c>
      <c r="T288" s="792">
        <f>IFERROR(INDEX('Hoja de apoyo v2'!H$17:H$20,MATCH($A288,'Hoja de apoyo v2'!$A$17:$A$20,0)),"")</f>
        <v>378.97014028925349</v>
      </c>
      <c r="U288" s="794">
        <f t="shared" si="148"/>
        <v>0.78653365946275056</v>
      </c>
      <c r="V288" s="795">
        <f t="shared" si="149"/>
        <v>1.0362225284781692</v>
      </c>
      <c r="W288" s="795">
        <f t="shared" si="150"/>
        <v>0.26033172665925858</v>
      </c>
      <c r="X288" s="843">
        <f t="shared" si="151"/>
        <v>0.78938716007804466</v>
      </c>
      <c r="Y288" s="843">
        <f t="shared" si="152"/>
        <v>0.84095202197710006</v>
      </c>
      <c r="Z288" s="843">
        <f t="shared" si="153"/>
        <v>0.30915715903972085</v>
      </c>
      <c r="AA288" s="843">
        <f t="shared" si="154"/>
        <v>0.55597967021641315</v>
      </c>
      <c r="AB288" s="796">
        <f t="shared" si="155"/>
        <v>3</v>
      </c>
      <c r="AC288" s="797">
        <f t="shared" si="156"/>
        <v>4</v>
      </c>
      <c r="AD288" s="797">
        <f t="shared" si="157"/>
        <v>1</v>
      </c>
      <c r="AE288" s="842">
        <f t="shared" si="158"/>
        <v>3</v>
      </c>
      <c r="AF288" s="842">
        <f t="shared" si="159"/>
        <v>3</v>
      </c>
      <c r="AG288" s="842">
        <f t="shared" si="160"/>
        <v>1</v>
      </c>
      <c r="AH288" s="842">
        <f t="shared" si="161"/>
        <v>2</v>
      </c>
      <c r="AI288" s="826" cm="1">
        <f t="array" ref="AI288">SUMPRODUCT(--ISNUMBER($U288:$AA288),$AB$3:$AH$3)</f>
        <v>1</v>
      </c>
      <c r="AJ288" s="829">
        <f t="shared" si="162"/>
        <v>31.131701270788469</v>
      </c>
      <c r="AK288" s="827" t="str">
        <f t="shared" si="163"/>
        <v>Inmadura</v>
      </c>
      <c r="AL288" s="784" t="str">
        <f t="shared" si="164"/>
        <v>Alta</v>
      </c>
      <c r="AM288" s="799">
        <f>IF(ISNUMBER('Base de datos Rutas'!W286),'Base de datos Rutas'!W286,"")</f>
        <v>2809.9981624323286</v>
      </c>
      <c r="AN288" s="787">
        <f>IFERROR(SUMIFS('Base de datos Rutas'!$W$6:$W$794,'Base de datos Rutas'!$C$6:$C$794,$C288)/'Base de datos Rutas'!I286,"")</f>
        <v>2809.9981624323286</v>
      </c>
      <c r="AO288" s="800">
        <f>IFERROR('Base de datos Rutas'!X286*AN288/AM288,"")</f>
        <v>0.53603163849848012</v>
      </c>
      <c r="AP288" s="800">
        <f t="shared" si="165"/>
        <v>0.46396836150151988</v>
      </c>
      <c r="AQ288" s="789">
        <f>IFERROR(INDEX('Hoja de apoyo v2'!$J$17:$J$20,MATCH($A288,'Hoja de apoyo v2'!$A$17:$A$20,0)),"")</f>
        <v>0.64320274048480885</v>
      </c>
      <c r="AR288" s="789">
        <f t="shared" si="166"/>
        <v>-0.17923437898328898</v>
      </c>
      <c r="AS288" s="784" t="str">
        <f t="shared" si="167"/>
        <v>No</v>
      </c>
      <c r="AT288" s="801">
        <f>IF(ISNUMBER('Base de datos Rutas'!CK286),'Base de datos Rutas'!CK286,"")</f>
        <v>705</v>
      </c>
      <c r="AU288" s="802">
        <f>IF(ISNUMBER('Base de datos Rutas'!CL286),'Base de datos Rutas'!CL286,"")</f>
        <v>1029.03</v>
      </c>
      <c r="AV288" s="802">
        <f>IF(ISNUMBER('Base de datos Rutas'!CM286),'Base de datos Rutas'!CM286,"")</f>
        <v>324.02999999999997</v>
      </c>
      <c r="AW288" s="802">
        <f>IF(ISNUMBER('Base de datos Rutas'!CN286),'Base de datos Rutas'!CN286,"")</f>
        <v>6.64</v>
      </c>
      <c r="AX288" s="802">
        <f>IF(ISNUMBER('Base de datos Rutas'!CO286),'Base de datos Rutas'!CO286,"")</f>
        <v>9.4499999999999993</v>
      </c>
      <c r="AY288" s="802">
        <f>IF(ISNUMBER('Base de datos Rutas'!CP286),'Base de datos Rutas'!CP286,"")</f>
        <v>2.8099999999999996</v>
      </c>
      <c r="AZ288" s="802">
        <f>IF(ISNUMBER('Base de datos Rutas'!CQ286),'Base de datos Rutas'!CQ286,"")</f>
        <v>846.56</v>
      </c>
      <c r="BA288" s="802">
        <f>IF(ISNUMBER('Base de datos Rutas'!CR286),'Base de datos Rutas'!CR286,"")</f>
        <v>402.61</v>
      </c>
      <c r="BB288" s="803">
        <f>IF(ISNUMBER('Base de datos Rutas'!CS286),'Base de datos Rutas'!CS286,"")</f>
        <v>443.94999999999993</v>
      </c>
      <c r="BC288" s="804">
        <f t="shared" si="177"/>
        <v>0</v>
      </c>
      <c r="BD288" s="805" t="str">
        <f t="shared" si="178"/>
        <v>No saturada</v>
      </c>
      <c r="BE288" s="806">
        <f t="shared" si="179"/>
        <v>0.47558353808353815</v>
      </c>
      <c r="BF288" s="890">
        <f>IF(ISNUMBER('Base de datos Rutas'!CX286),'Base de datos Rutas'!CX286/100,"")</f>
        <v>0.17345205666031055</v>
      </c>
      <c r="BG288" s="891">
        <f>IF(ISNUMBER('Base de datos Rutas'!CZ286),'Base de datos Rutas'!CZ286/100,"")</f>
        <v>0.19551893217107053</v>
      </c>
      <c r="BH288" s="892">
        <f>IF(ISNUMBER('Base de datos Rutas'!DA286),'Base de datos Rutas'!DA286,"")</f>
        <v>368.22224235959015</v>
      </c>
      <c r="BI288" s="893">
        <f>IF(ISNUMBER('Base de datos Rutas'!DC286),'Base de datos Rutas'!DC286,"")</f>
        <v>13.06483995567706</v>
      </c>
      <c r="BJ288" s="805" t="str">
        <f t="shared" si="180"/>
        <v>Ruta (completo)</v>
      </c>
      <c r="BK288" s="783">
        <f t="shared" si="168"/>
        <v>3</v>
      </c>
      <c r="BL288" s="797">
        <f t="shared" si="169"/>
        <v>3</v>
      </c>
      <c r="BM288" s="797">
        <f t="shared" si="170"/>
        <v>4</v>
      </c>
      <c r="BN288" s="797">
        <f t="shared" si="171"/>
        <v>4</v>
      </c>
      <c r="BO288" s="798" cm="1">
        <f t="array" ref="BO288">SUMPRODUCT(--ISNUMBER($BF288:$BI288),$BK$3:$BN$3)</f>
        <v>1</v>
      </c>
      <c r="BP288" s="831">
        <f t="shared" si="181"/>
        <v>62.5</v>
      </c>
      <c r="BQ288" s="834" t="str">
        <f t="shared" si="182"/>
        <v>Alto</v>
      </c>
      <c r="BR288" s="836">
        <f t="shared" si="172"/>
        <v>23.348775953091351</v>
      </c>
      <c r="BS288" s="836">
        <f t="shared" si="173"/>
        <v>62.5</v>
      </c>
      <c r="BT288" s="837" t="str">
        <f t="shared" si="174"/>
        <v>P3</v>
      </c>
      <c r="BU288" s="807" t="str">
        <f t="shared" si="183"/>
        <v>Con espacio</v>
      </c>
      <c r="BV288" s="807" t="str">
        <f t="shared" si="175"/>
        <v>Zona atractiva</v>
      </c>
      <c r="BW288" s="808" t="str">
        <f t="shared" si="176"/>
        <v>P3 - Desarrollar</v>
      </c>
    </row>
    <row r="289" spans="1:75">
      <c r="A289" s="780" t="str">
        <f>'Base de datos Rutas'!A287</f>
        <v>Occidente</v>
      </c>
      <c r="B289" s="781" t="str">
        <f>'Base de datos Rutas'!B287</f>
        <v>Matehuala</v>
      </c>
      <c r="C289" s="781" t="str">
        <f>'Base de datos Rutas'!C287</f>
        <v>Planta Matehuala</v>
      </c>
      <c r="D289" s="782">
        <f>IF(ISNUMBER('Base de datos Rutas'!D287),'Base de datos Rutas'!D287,"Sin código")</f>
        <v>925301</v>
      </c>
      <c r="E289" s="783" t="str">
        <f>'Base de datos Rutas'!F287</f>
        <v>Activa</v>
      </c>
      <c r="F289" s="784" t="str">
        <f>'Base de datos Rutas'!H287</f>
        <v>Sí</v>
      </c>
      <c r="G289" s="785">
        <f>IF(ISNUMBER('Base de datos Rutas'!BE287),'Base de datos Rutas'!BE287,"")</f>
        <v>69.375838926174495</v>
      </c>
      <c r="H289" s="786">
        <f>IF(ISNUMBER('Base de datos Rutas'!BH287),'Base de datos Rutas'!BH287,"")</f>
        <v>0.63751572022830605</v>
      </c>
      <c r="I289" s="788">
        <f>IFERROR(IF(OR(NOT(ISNUMBER('Base de datos Rutas'!O287)),N('Base de datos Rutas'!BK287)=0),"",'Base de datos Rutas'!O287/('Base de datos Rutas'!L287/'Base de datos Rutas'!BK287)),"")</f>
        <v>2219.4630872483217</v>
      </c>
      <c r="J289" s="788">
        <f>IFERROR(IF(OR(NOT(ISNUMBER('Base de datos Rutas'!N287)),N('Base de datos Rutas'!BK287)=0),"",'Base de datos Rutas'!N287/('Base de datos Rutas'!L287/'Base de datos Rutas'!BK287)),"")</f>
        <v>5911.192393736017</v>
      </c>
      <c r="K289" s="788">
        <f>IFERROR(IF(OR(NOT(ISNUMBER('Base de datos Rutas'!J287)),N('Base de datos Rutas'!BK287)=0),"",'Base de datos Rutas'!J287/('Base de datos Rutas'!L287/'Base de datos Rutas'!BK287)),"")</f>
        <v>401.42405132885898</v>
      </c>
      <c r="L289" s="788">
        <f>IFERROR(IF(OR(NOT(ISNUMBER('Base de datos Rutas'!K287)),N('Base de datos Rutas'!BK287)=0),"",'Base de datos Rutas'!K287/('Base de datos Rutas'!L287/'Base de datos Rutas'!BK287)),"")</f>
        <v>19.045499999999997</v>
      </c>
      <c r="M289" s="787">
        <f>IF(ISNUMBER('Base de datos Rutas'!AX287),'Base de datos Rutas'!AX287,"")</f>
        <v>183.858487101669</v>
      </c>
      <c r="N289" s="790">
        <f>IFERROR(INDEX('Hoja de apoyo v2'!B$17:B$20,MATCH($A289,'Hoja de apoyo v2'!$A$17:$A$20,0)),"")</f>
        <v>89.41621024641401</v>
      </c>
      <c r="O289" s="791">
        <f>IFERROR(INDEX('Hoja de apoyo v2'!C$17:C$20,MATCH($A289,'Hoja de apoyo v2'!$A$17:$A$20,0)),"")</f>
        <v>0.54706375874806301</v>
      </c>
      <c r="P289" s="793">
        <f>IFERROR(INDEX('Hoja de apoyo v2'!D$17:D$20,MATCH($A289,'Hoja de apoyo v2'!$A$17:$A$20,0)),"")</f>
        <v>11095.153935793827</v>
      </c>
      <c r="Q289" s="793">
        <f>IFERROR(INDEX('Hoja de apoyo v2'!E$17:E$20,MATCH($A289,'Hoja de apoyo v2'!$A$17:$A$20,0)),"")</f>
        <v>6982.3202019701848</v>
      </c>
      <c r="R289" s="793">
        <f>IFERROR(INDEX('Hoja de apoyo v2'!F$17:F$20,MATCH($A289,'Hoja de apoyo v2'!$A$17:$A$20,0)),"")</f>
        <v>448.09513474485743</v>
      </c>
      <c r="S289" s="793">
        <f>IFERROR(INDEX('Hoja de apoyo v2'!G$17:G$20,MATCH($A289,'Hoja de apoyo v2'!$A$17:$A$20,0)),"")</f>
        <v>83.406300904207839</v>
      </c>
      <c r="T289" s="792">
        <f>IFERROR(INDEX('Hoja de apoyo v2'!H$17:H$20,MATCH($A289,'Hoja de apoyo v2'!$A$17:$A$20,0)),"")</f>
        <v>378.97014028925349</v>
      </c>
      <c r="U289" s="794">
        <f t="shared" si="148"/>
        <v>0.77587541157233042</v>
      </c>
      <c r="V289" s="795">
        <f t="shared" si="149"/>
        <v>1.1653408035787991</v>
      </c>
      <c r="W289" s="795">
        <f t="shared" si="150"/>
        <v>0.20003896296455714</v>
      </c>
      <c r="X289" s="843">
        <f t="shared" si="151"/>
        <v>0.846594287106465</v>
      </c>
      <c r="Y289" s="843">
        <f t="shared" si="152"/>
        <v>0.89584559215852078</v>
      </c>
      <c r="Z289" s="843">
        <f t="shared" si="153"/>
        <v>0.22834605771419786</v>
      </c>
      <c r="AA289" s="843">
        <f t="shared" si="154"/>
        <v>0.48515296471995606</v>
      </c>
      <c r="AB289" s="796">
        <f t="shared" si="155"/>
        <v>3</v>
      </c>
      <c r="AC289" s="797">
        <f t="shared" si="156"/>
        <v>4</v>
      </c>
      <c r="AD289" s="797">
        <f t="shared" si="157"/>
        <v>1</v>
      </c>
      <c r="AE289" s="842">
        <f t="shared" si="158"/>
        <v>3</v>
      </c>
      <c r="AF289" s="842">
        <f t="shared" si="159"/>
        <v>3</v>
      </c>
      <c r="AG289" s="842">
        <f t="shared" si="160"/>
        <v>1</v>
      </c>
      <c r="AH289" s="842">
        <f t="shared" si="161"/>
        <v>1</v>
      </c>
      <c r="AI289" s="826" cm="1">
        <f t="array" ref="AI289">SUMPRODUCT(--ISNUMBER($U289:$AA289),$AB$3:$AH$3)</f>
        <v>1</v>
      </c>
      <c r="AJ289" s="829">
        <f t="shared" si="162"/>
        <v>28.886973430461914</v>
      </c>
      <c r="AK289" s="827" t="str">
        <f t="shared" si="163"/>
        <v>Inmadura</v>
      </c>
      <c r="AL289" s="784" t="str">
        <f t="shared" si="164"/>
        <v>Alta</v>
      </c>
      <c r="AM289" s="799">
        <f>IF(ISNUMBER('Base de datos Rutas'!W287),'Base de datos Rutas'!W287,"")</f>
        <v>2809.9981624323286</v>
      </c>
      <c r="AN289" s="787">
        <f>IFERROR(SUMIFS('Base de datos Rutas'!$W$6:$W$794,'Base de datos Rutas'!$C$6:$C$794,$C289)/'Base de datos Rutas'!I287,"")</f>
        <v>2809.9981624323286</v>
      </c>
      <c r="AO289" s="800">
        <f>IFERROR('Base de datos Rutas'!X287*AN289/AM289,"")</f>
        <v>0.53603163849848012</v>
      </c>
      <c r="AP289" s="800">
        <f t="shared" si="165"/>
        <v>0.46396836150151988</v>
      </c>
      <c r="AQ289" s="789">
        <f>IFERROR(INDEX('Hoja de apoyo v2'!$J$17:$J$20,MATCH($A289,'Hoja de apoyo v2'!$A$17:$A$20,0)),"")</f>
        <v>0.64320274048480885</v>
      </c>
      <c r="AR289" s="789">
        <f t="shared" si="166"/>
        <v>-0.17923437898328898</v>
      </c>
      <c r="AS289" s="784" t="str">
        <f t="shared" si="167"/>
        <v>No</v>
      </c>
      <c r="AT289" s="801">
        <f>IF(ISNUMBER('Base de datos Rutas'!CK287),'Base de datos Rutas'!CK287,"")</f>
        <v>321</v>
      </c>
      <c r="AU289" s="802">
        <f>IF(ISNUMBER('Base de datos Rutas'!CL287),'Base de datos Rutas'!CL287,"")</f>
        <v>321</v>
      </c>
      <c r="AV289" s="802">
        <f>IF(ISNUMBER('Base de datos Rutas'!CM287),'Base de datos Rutas'!CM287,"")</f>
        <v>0</v>
      </c>
      <c r="AW289" s="802">
        <f>IF(ISNUMBER('Base de datos Rutas'!CN287),'Base de datos Rutas'!CN287,"")</f>
        <v>19.22</v>
      </c>
      <c r="AX289" s="802">
        <f>IF(ISNUMBER('Base de datos Rutas'!CO287),'Base de datos Rutas'!CO287,"")</f>
        <v>9.4499999999999993</v>
      </c>
      <c r="AY289" s="802">
        <f>IF(ISNUMBER('Base de datos Rutas'!CP287),'Base de datos Rutas'!CP287,"")</f>
        <v>-9.77</v>
      </c>
      <c r="AZ289" s="802">
        <f>IF(ISNUMBER('Base de datos Rutas'!CQ287),'Base de datos Rutas'!CQ287,"")</f>
        <v>846.56</v>
      </c>
      <c r="BA289" s="802">
        <f>IF(ISNUMBER('Base de datos Rutas'!CR287),'Base de datos Rutas'!CR287,"")</f>
        <v>420.47</v>
      </c>
      <c r="BB289" s="803">
        <f>IF(ISNUMBER('Base de datos Rutas'!CS287),'Base de datos Rutas'!CS287,"")</f>
        <v>426.08999999999992</v>
      </c>
      <c r="BC289" s="804">
        <f t="shared" si="177"/>
        <v>2</v>
      </c>
      <c r="BD289" s="805" t="str">
        <f t="shared" si="178"/>
        <v>Saturada</v>
      </c>
      <c r="BE289" s="806">
        <f t="shared" si="179"/>
        <v>0.49668068418068423</v>
      </c>
      <c r="BF289" s="890">
        <f>IF(ISNUMBER('Base de datos Rutas'!CX287),'Base de datos Rutas'!CX287/100,"")</f>
        <v>0.32508761080189652</v>
      </c>
      <c r="BG289" s="891">
        <f>IF(ISNUMBER('Base de datos Rutas'!CZ287),'Base de datos Rutas'!CZ287/100,"")</f>
        <v>0.32508761080189652</v>
      </c>
      <c r="BH289" s="892">
        <f>IF(ISNUMBER('Base de datos Rutas'!DA287),'Base de datos Rutas'!DA287,"")</f>
        <v>0</v>
      </c>
      <c r="BI289" s="893">
        <f>IF(ISNUMBER('Base de datos Rutas'!DC287),'Base de datos Rutas'!DC287,"")</f>
        <v>0</v>
      </c>
      <c r="BJ289" s="805" t="str">
        <f t="shared" si="180"/>
        <v>Ruta (completo)</v>
      </c>
      <c r="BK289" s="783">
        <f t="shared" si="168"/>
        <v>4</v>
      </c>
      <c r="BL289" s="797">
        <f t="shared" si="169"/>
        <v>4</v>
      </c>
      <c r="BM289" s="797">
        <f t="shared" si="170"/>
        <v>1</v>
      </c>
      <c r="BN289" s="797">
        <f t="shared" si="171"/>
        <v>1</v>
      </c>
      <c r="BO289" s="798" cm="1">
        <f t="array" ref="BO289">SUMPRODUCT(--ISNUMBER($BF289:$BI289),$BK$3:$BN$3)</f>
        <v>1</v>
      </c>
      <c r="BP289" s="831">
        <f t="shared" si="181"/>
        <v>37.5</v>
      </c>
      <c r="BQ289" s="834" t="str">
        <f t="shared" si="182"/>
        <v>Medio</v>
      </c>
      <c r="BR289" s="836">
        <f t="shared" si="172"/>
        <v>46.665230072846434</v>
      </c>
      <c r="BS289" s="836">
        <f t="shared" si="173"/>
        <v>37.5</v>
      </c>
      <c r="BT289" s="837" t="str">
        <f t="shared" si="174"/>
        <v>P2</v>
      </c>
      <c r="BU289" s="807" t="str">
        <f t="shared" si="183"/>
        <v>Al tope</v>
      </c>
      <c r="BV289" s="807" t="str">
        <f t="shared" si="175"/>
        <v>Zona de bajo potencial</v>
      </c>
      <c r="BW289" s="808" t="str">
        <f t="shared" si="176"/>
        <v>P2 - Mantener</v>
      </c>
    </row>
    <row r="290" spans="1:75">
      <c r="A290" s="780" t="str">
        <f>'Base de datos Rutas'!A288</f>
        <v>Occidente</v>
      </c>
      <c r="B290" s="781" t="str">
        <f>'Base de datos Rutas'!B288</f>
        <v>Matehuala</v>
      </c>
      <c r="C290" s="781" t="str">
        <f>'Base de datos Rutas'!C288</f>
        <v>Planta Matehuala</v>
      </c>
      <c r="D290" s="782">
        <f>IF(ISNUMBER('Base de datos Rutas'!D288),'Base de datos Rutas'!D288,"Sin código")</f>
        <v>925302</v>
      </c>
      <c r="E290" s="783" t="str">
        <f>'Base de datos Rutas'!F288</f>
        <v>Inactiva</v>
      </c>
      <c r="F290" s="784" t="str">
        <f>'Base de datos Rutas'!H288</f>
        <v>No</v>
      </c>
      <c r="G290" s="785" t="str">
        <f>IF(ISNUMBER('Base de datos Rutas'!BE288),'Base de datos Rutas'!BE288,"")</f>
        <v/>
      </c>
      <c r="H290" s="786" t="str">
        <f>IF(ISNUMBER('Base de datos Rutas'!BH288),'Base de datos Rutas'!BH288,"")</f>
        <v/>
      </c>
      <c r="I290" s="788" t="str">
        <f>IFERROR(IF(OR(NOT(ISNUMBER('Base de datos Rutas'!O288)),N('Base de datos Rutas'!BK288)=0),"",'Base de datos Rutas'!O288/('Base de datos Rutas'!L288/'Base de datos Rutas'!BK288)),"")</f>
        <v/>
      </c>
      <c r="J290" s="788" t="str">
        <f>IFERROR(IF(OR(NOT(ISNUMBER('Base de datos Rutas'!N288)),N('Base de datos Rutas'!BK288)=0),"",'Base de datos Rutas'!N288/('Base de datos Rutas'!L288/'Base de datos Rutas'!BK288)),"")</f>
        <v/>
      </c>
      <c r="K290" s="788" t="str">
        <f>IFERROR(IF(OR(NOT(ISNUMBER('Base de datos Rutas'!J288)),N('Base de datos Rutas'!BK288)=0),"",'Base de datos Rutas'!J288/('Base de datos Rutas'!L288/'Base de datos Rutas'!BK288)),"")</f>
        <v/>
      </c>
      <c r="L290" s="788" t="str">
        <f>IFERROR(IF(OR(NOT(ISNUMBER('Base de datos Rutas'!K288)),N('Base de datos Rutas'!BK288)=0),"",'Base de datos Rutas'!K288/('Base de datos Rutas'!L288/'Base de datos Rutas'!BK288)),"")</f>
        <v/>
      </c>
      <c r="M290" s="787">
        <f>IF(ISNUMBER('Base de datos Rutas'!AX288),'Base de datos Rutas'!AX288,"")</f>
        <v>236.450371433698</v>
      </c>
      <c r="N290" s="790">
        <f>IFERROR(INDEX('Hoja de apoyo v2'!B$17:B$20,MATCH($A290,'Hoja de apoyo v2'!$A$17:$A$20,0)),"")</f>
        <v>89.41621024641401</v>
      </c>
      <c r="O290" s="791">
        <f>IFERROR(INDEX('Hoja de apoyo v2'!C$17:C$20,MATCH($A290,'Hoja de apoyo v2'!$A$17:$A$20,0)),"")</f>
        <v>0.54706375874806301</v>
      </c>
      <c r="P290" s="793">
        <f>IFERROR(INDEX('Hoja de apoyo v2'!D$17:D$20,MATCH($A290,'Hoja de apoyo v2'!$A$17:$A$20,0)),"")</f>
        <v>11095.153935793827</v>
      </c>
      <c r="Q290" s="793">
        <f>IFERROR(INDEX('Hoja de apoyo v2'!E$17:E$20,MATCH($A290,'Hoja de apoyo v2'!$A$17:$A$20,0)),"")</f>
        <v>6982.3202019701848</v>
      </c>
      <c r="R290" s="793">
        <f>IFERROR(INDEX('Hoja de apoyo v2'!F$17:F$20,MATCH($A290,'Hoja de apoyo v2'!$A$17:$A$20,0)),"")</f>
        <v>448.09513474485743</v>
      </c>
      <c r="S290" s="793">
        <f>IFERROR(INDEX('Hoja de apoyo v2'!G$17:G$20,MATCH($A290,'Hoja de apoyo v2'!$A$17:$A$20,0)),"")</f>
        <v>83.406300904207839</v>
      </c>
      <c r="T290" s="792">
        <f>IFERROR(INDEX('Hoja de apoyo v2'!H$17:H$20,MATCH($A290,'Hoja de apoyo v2'!$A$17:$A$20,0)),"")</f>
        <v>378.97014028925349</v>
      </c>
      <c r="U290" s="794" t="str">
        <f t="shared" si="148"/>
        <v/>
      </c>
      <c r="V290" s="795" t="str">
        <f t="shared" si="149"/>
        <v/>
      </c>
      <c r="W290" s="795" t="str">
        <f t="shared" si="150"/>
        <v/>
      </c>
      <c r="X290" s="843" t="str">
        <f t="shared" si="151"/>
        <v/>
      </c>
      <c r="Y290" s="843" t="str">
        <f t="shared" si="152"/>
        <v/>
      </c>
      <c r="Z290" s="843" t="str">
        <f t="shared" si="153"/>
        <v/>
      </c>
      <c r="AA290" s="843">
        <f t="shared" si="154"/>
        <v>0.62392876455444335</v>
      </c>
      <c r="AB290" s="796">
        <f t="shared" si="155"/>
        <v>0</v>
      </c>
      <c r="AC290" s="797">
        <f t="shared" si="156"/>
        <v>0</v>
      </c>
      <c r="AD290" s="797">
        <f t="shared" si="157"/>
        <v>0</v>
      </c>
      <c r="AE290" s="842">
        <f t="shared" si="158"/>
        <v>0</v>
      </c>
      <c r="AF290" s="842">
        <f t="shared" si="159"/>
        <v>0</v>
      </c>
      <c r="AG290" s="842">
        <f t="shared" si="160"/>
        <v>0</v>
      </c>
      <c r="AH290" s="842">
        <f t="shared" si="161"/>
        <v>2</v>
      </c>
      <c r="AI290" s="826" cm="1">
        <f t="array" ref="AI290">SUMPRODUCT(--ISNUMBER($U290:$AA290),$AB$3:$AH$3)</f>
        <v>8.9789113613062493E-2</v>
      </c>
      <c r="AJ290" s="829" t="str">
        <f t="shared" si="162"/>
        <v/>
      </c>
      <c r="AK290" s="827" t="str">
        <f t="shared" si="163"/>
        <v>Ruta inactiva</v>
      </c>
      <c r="AL290" s="784" t="str">
        <f t="shared" si="164"/>
        <v>n/a</v>
      </c>
      <c r="AM290" s="799">
        <f>IF(ISNUMBER('Base de datos Rutas'!W288),'Base de datos Rutas'!W288,"")</f>
        <v>2809.9981624323286</v>
      </c>
      <c r="AN290" s="787">
        <f>IFERROR(SUMIFS('Base de datos Rutas'!$W$6:$W$794,'Base de datos Rutas'!$C$6:$C$794,$C290)/'Base de datos Rutas'!I288,"")</f>
        <v>2809.9981624323286</v>
      </c>
      <c r="AO290" s="800">
        <f>IFERROR('Base de datos Rutas'!X288*AN290/AM290,"")</f>
        <v>0.53603163849848012</v>
      </c>
      <c r="AP290" s="800">
        <f t="shared" si="165"/>
        <v>0.46396836150151988</v>
      </c>
      <c r="AQ290" s="789">
        <f>IFERROR(INDEX('Hoja de apoyo v2'!$J$17:$J$20,MATCH($A290,'Hoja de apoyo v2'!$A$17:$A$20,0)),"")</f>
        <v>0.64320274048480885</v>
      </c>
      <c r="AR290" s="789">
        <f t="shared" si="166"/>
        <v>-0.17923437898328898</v>
      </c>
      <c r="AS290" s="784" t="str">
        <f t="shared" si="167"/>
        <v>No</v>
      </c>
      <c r="AT290" s="801">
        <f>IF(ISNUMBER('Base de datos Rutas'!CK288),'Base de datos Rutas'!CK288,"")</f>
        <v>33</v>
      </c>
      <c r="AU290" s="802">
        <f>IF(ISNUMBER('Base de datos Rutas'!CL288),'Base de datos Rutas'!CL288,"")</f>
        <v>33</v>
      </c>
      <c r="AV290" s="802">
        <f>IF(ISNUMBER('Base de datos Rutas'!CM288),'Base de datos Rutas'!CM288,"")</f>
        <v>0</v>
      </c>
      <c r="AW290" s="802" t="str">
        <f>IF(ISNUMBER('Base de datos Rutas'!CN288),'Base de datos Rutas'!CN288,"")</f>
        <v/>
      </c>
      <c r="AX290" s="802">
        <f>IF(ISNUMBER('Base de datos Rutas'!CO288),'Base de datos Rutas'!CO288,"")</f>
        <v>9.4499999999999993</v>
      </c>
      <c r="AY290" s="802">
        <f>IF(ISNUMBER('Base de datos Rutas'!CP288),'Base de datos Rutas'!CP288,"")</f>
        <v>9.4499999999999993</v>
      </c>
      <c r="AZ290" s="802" t="str">
        <f>IF(ISNUMBER('Base de datos Rutas'!CQ288),'Base de datos Rutas'!CQ288,"")</f>
        <v/>
      </c>
      <c r="BA290" s="802" t="str">
        <f>IF(ISNUMBER('Base de datos Rutas'!CR288),'Base de datos Rutas'!CR288,"")</f>
        <v/>
      </c>
      <c r="BB290" s="803">
        <f>IF(ISNUMBER('Base de datos Rutas'!CS288),'Base de datos Rutas'!CS288,"")</f>
        <v>0</v>
      </c>
      <c r="BC290" s="804" t="str">
        <f t="shared" si="177"/>
        <v/>
      </c>
      <c r="BD290" s="805" t="str">
        <f t="shared" si="178"/>
        <v>N/D</v>
      </c>
      <c r="BE290" s="806" t="str">
        <f t="shared" si="179"/>
        <v/>
      </c>
      <c r="BF290" s="890">
        <f>IF(ISNUMBER('Base de datos Rutas'!CX288),'Base de datos Rutas'!CX288/100,"")</f>
        <v>0</v>
      </c>
      <c r="BG290" s="891">
        <f>IF(ISNUMBER('Base de datos Rutas'!CZ288),'Base de datos Rutas'!CZ288/100,"")</f>
        <v>0</v>
      </c>
      <c r="BH290" s="892">
        <f>IF(ISNUMBER('Base de datos Rutas'!DA288),'Base de datos Rutas'!DA288,"")</f>
        <v>0</v>
      </c>
      <c r="BI290" s="893">
        <f>IF(ISNUMBER('Base de datos Rutas'!DC288),'Base de datos Rutas'!DC288,"")</f>
        <v>0</v>
      </c>
      <c r="BJ290" s="805" t="str">
        <f t="shared" si="180"/>
        <v>Ruta (completo)</v>
      </c>
      <c r="BK290" s="783">
        <f t="shared" si="168"/>
        <v>1</v>
      </c>
      <c r="BL290" s="797">
        <f t="shared" si="169"/>
        <v>1</v>
      </c>
      <c r="BM290" s="797">
        <f t="shared" si="170"/>
        <v>1</v>
      </c>
      <c r="BN290" s="797">
        <f t="shared" si="171"/>
        <v>1</v>
      </c>
      <c r="BO290" s="798" cm="1">
        <f t="array" ref="BO290">SUMPRODUCT(--ISNUMBER($BF290:$BI290),$BK$3:$BN$3)</f>
        <v>1</v>
      </c>
      <c r="BP290" s="831">
        <f t="shared" si="181"/>
        <v>0</v>
      </c>
      <c r="BQ290" s="834" t="str">
        <f t="shared" si="182"/>
        <v>Bajo</v>
      </c>
      <c r="BR290" s="836" t="str">
        <f t="shared" si="172"/>
        <v/>
      </c>
      <c r="BS290" s="836">
        <f t="shared" si="173"/>
        <v>0</v>
      </c>
      <c r="BT290" s="837" t="str">
        <f t="shared" si="174"/>
        <v>Sin datos</v>
      </c>
      <c r="BU290" s="807" t="str">
        <f t="shared" si="183"/>
        <v>No evaluable</v>
      </c>
      <c r="BV290" s="807" t="str">
        <f t="shared" si="175"/>
        <v>No evaluable</v>
      </c>
      <c r="BW290" s="808" t="str">
        <f t="shared" si="176"/>
        <v>Sin datos</v>
      </c>
    </row>
    <row r="291" spans="1:75">
      <c r="A291" s="780" t="str">
        <f>'Base de datos Rutas'!A289</f>
        <v>Occidente</v>
      </c>
      <c r="B291" s="781" t="str">
        <f>'Base de datos Rutas'!B289</f>
        <v>Matehuala</v>
      </c>
      <c r="C291" s="781" t="str">
        <f>'Base de datos Rutas'!C289</f>
        <v>Planta Matehuala</v>
      </c>
      <c r="D291" s="782">
        <f>IF(ISNUMBER('Base de datos Rutas'!D289),'Base de datos Rutas'!D289,"Sin código")</f>
        <v>925303</v>
      </c>
      <c r="E291" s="783" t="str">
        <f>'Base de datos Rutas'!F289</f>
        <v>Activa</v>
      </c>
      <c r="F291" s="784" t="str">
        <f>'Base de datos Rutas'!H289</f>
        <v>Sí</v>
      </c>
      <c r="G291" s="785">
        <f>IF(ISNUMBER('Base de datos Rutas'!BE289),'Base de datos Rutas'!BE289,"")</f>
        <v>70.316143497757906</v>
      </c>
      <c r="H291" s="786">
        <f>IF(ISNUMBER('Base de datos Rutas'!BH289),'Base de datos Rutas'!BH289,"")</f>
        <v>0.54921718057459901</v>
      </c>
      <c r="I291" s="788">
        <f>IFERROR(IF(OR(NOT(ISNUMBER('Base de datos Rutas'!O289)),N('Base de datos Rutas'!BK289)=0),"",'Base de datos Rutas'!O289/('Base de datos Rutas'!L289/'Base de datos Rutas'!BK289)),"")</f>
        <v>2049.800448430492</v>
      </c>
      <c r="J291" s="788">
        <f>IFERROR(IF(OR(NOT(ISNUMBER('Base de datos Rutas'!N289)),N('Base de datos Rutas'!BK289)=0),"",'Base de datos Rutas'!N289/('Base de datos Rutas'!L289/'Base de datos Rutas'!BK289)),"")</f>
        <v>6396.1098654708476</v>
      </c>
      <c r="K291" s="788">
        <f>IFERROR(IF(OR(NOT(ISNUMBER('Base de datos Rutas'!J289)),N('Base de datos Rutas'!BK289)=0),"",'Base de datos Rutas'!J289/('Base de datos Rutas'!L289/'Base de datos Rutas'!BK289)),"")</f>
        <v>435.59799088789214</v>
      </c>
      <c r="L291" s="788">
        <f>IFERROR(IF(OR(NOT(ISNUMBER('Base de datos Rutas'!K289)),N('Base de datos Rutas'!BK289)=0),"",'Base de datos Rutas'!K289/('Base de datos Rutas'!L289/'Base de datos Rutas'!BK289)),"")</f>
        <v>19.835477439461872</v>
      </c>
      <c r="M291" s="787">
        <f>IF(ISNUMBER('Base de datos Rutas'!AX289),'Base de datos Rutas'!AX289,"")</f>
        <v>218.67153564793301</v>
      </c>
      <c r="N291" s="790">
        <f>IFERROR(INDEX('Hoja de apoyo v2'!B$17:B$20,MATCH($A291,'Hoja de apoyo v2'!$A$17:$A$20,0)),"")</f>
        <v>89.41621024641401</v>
      </c>
      <c r="O291" s="791">
        <f>IFERROR(INDEX('Hoja de apoyo v2'!C$17:C$20,MATCH($A291,'Hoja de apoyo v2'!$A$17:$A$20,0)),"")</f>
        <v>0.54706375874806301</v>
      </c>
      <c r="P291" s="793">
        <f>IFERROR(INDEX('Hoja de apoyo v2'!D$17:D$20,MATCH($A291,'Hoja de apoyo v2'!$A$17:$A$20,0)),"")</f>
        <v>11095.153935793827</v>
      </c>
      <c r="Q291" s="793">
        <f>IFERROR(INDEX('Hoja de apoyo v2'!E$17:E$20,MATCH($A291,'Hoja de apoyo v2'!$A$17:$A$20,0)),"")</f>
        <v>6982.3202019701848</v>
      </c>
      <c r="R291" s="793">
        <f>IFERROR(INDEX('Hoja de apoyo v2'!F$17:F$20,MATCH($A291,'Hoja de apoyo v2'!$A$17:$A$20,0)),"")</f>
        <v>448.09513474485743</v>
      </c>
      <c r="S291" s="793">
        <f>IFERROR(INDEX('Hoja de apoyo v2'!G$17:G$20,MATCH($A291,'Hoja de apoyo v2'!$A$17:$A$20,0)),"")</f>
        <v>83.406300904207839</v>
      </c>
      <c r="T291" s="792">
        <f>IFERROR(INDEX('Hoja de apoyo v2'!H$17:H$20,MATCH($A291,'Hoja de apoyo v2'!$A$17:$A$20,0)),"")</f>
        <v>378.97014028925349</v>
      </c>
      <c r="U291" s="794">
        <f t="shared" si="148"/>
        <v>0.78639145300365598</v>
      </c>
      <c r="V291" s="795">
        <f t="shared" si="149"/>
        <v>1.0039363269675623</v>
      </c>
      <c r="W291" s="795">
        <f t="shared" si="150"/>
        <v>0.18474736450637938</v>
      </c>
      <c r="X291" s="843">
        <f t="shared" si="151"/>
        <v>0.91604361880540397</v>
      </c>
      <c r="Y291" s="843">
        <f t="shared" si="152"/>
        <v>0.97211051205882637</v>
      </c>
      <c r="Z291" s="843">
        <f t="shared" si="153"/>
        <v>0.23781749369562527</v>
      </c>
      <c r="AA291" s="843">
        <f t="shared" si="154"/>
        <v>0.57701521149141022</v>
      </c>
      <c r="AB291" s="796">
        <f t="shared" si="155"/>
        <v>3</v>
      </c>
      <c r="AC291" s="797">
        <f t="shared" si="156"/>
        <v>4</v>
      </c>
      <c r="AD291" s="797">
        <f t="shared" si="157"/>
        <v>1</v>
      </c>
      <c r="AE291" s="842">
        <f t="shared" si="158"/>
        <v>3</v>
      </c>
      <c r="AF291" s="842">
        <f t="shared" si="159"/>
        <v>3</v>
      </c>
      <c r="AG291" s="842">
        <f t="shared" si="160"/>
        <v>1</v>
      </c>
      <c r="AH291" s="842">
        <f t="shared" si="161"/>
        <v>2</v>
      </c>
      <c r="AI291" s="826" cm="1">
        <f t="array" ref="AI291">SUMPRODUCT(--ISNUMBER($U291:$AA291),$AB$3:$AH$3)</f>
        <v>1</v>
      </c>
      <c r="AJ291" s="829">
        <f t="shared" si="162"/>
        <v>31.131701270788469</v>
      </c>
      <c r="AK291" s="827" t="str">
        <f t="shared" si="163"/>
        <v>Inmadura</v>
      </c>
      <c r="AL291" s="784" t="str">
        <f t="shared" si="164"/>
        <v>Alta</v>
      </c>
      <c r="AM291" s="799">
        <f>IF(ISNUMBER('Base de datos Rutas'!W289),'Base de datos Rutas'!W289,"")</f>
        <v>2809.9981624323286</v>
      </c>
      <c r="AN291" s="787">
        <f>IFERROR(SUMIFS('Base de datos Rutas'!$W$6:$W$794,'Base de datos Rutas'!$C$6:$C$794,$C291)/'Base de datos Rutas'!I289,"")</f>
        <v>2809.9981624323286</v>
      </c>
      <c r="AO291" s="800">
        <f>IFERROR('Base de datos Rutas'!X289*AN291/AM291,"")</f>
        <v>0.53603163849848012</v>
      </c>
      <c r="AP291" s="800">
        <f t="shared" si="165"/>
        <v>0.46396836150151988</v>
      </c>
      <c r="AQ291" s="789">
        <f>IFERROR(INDEX('Hoja de apoyo v2'!$J$17:$J$20,MATCH($A291,'Hoja de apoyo v2'!$A$17:$A$20,0)),"")</f>
        <v>0.64320274048480885</v>
      </c>
      <c r="AR291" s="789">
        <f t="shared" si="166"/>
        <v>-0.17923437898328898</v>
      </c>
      <c r="AS291" s="784" t="str">
        <f t="shared" si="167"/>
        <v>No</v>
      </c>
      <c r="AT291" s="801">
        <f>IF(ISNUMBER('Base de datos Rutas'!CK289),'Base de datos Rutas'!CK289,"")</f>
        <v>337</v>
      </c>
      <c r="AU291" s="802">
        <f>IF(ISNUMBER('Base de datos Rutas'!CL289),'Base de datos Rutas'!CL289,"")</f>
        <v>490.85</v>
      </c>
      <c r="AV291" s="802">
        <f>IF(ISNUMBER('Base de datos Rutas'!CM289),'Base de datos Rutas'!CM289,"")</f>
        <v>153.85000000000002</v>
      </c>
      <c r="AW291" s="802">
        <f>IF(ISNUMBER('Base de datos Rutas'!CN289),'Base de datos Rutas'!CN289,"")</f>
        <v>6.65</v>
      </c>
      <c r="AX291" s="802">
        <f>IF(ISNUMBER('Base de datos Rutas'!CO289),'Base de datos Rutas'!CO289,"")</f>
        <v>9.4499999999999993</v>
      </c>
      <c r="AY291" s="802">
        <f>IF(ISNUMBER('Base de datos Rutas'!CP289),'Base de datos Rutas'!CP289,"")</f>
        <v>2.7999999999999989</v>
      </c>
      <c r="AZ291" s="802">
        <f>IF(ISNUMBER('Base de datos Rutas'!CQ289),'Base de datos Rutas'!CQ289,"")</f>
        <v>1128.75</v>
      </c>
      <c r="BA291" s="802">
        <f>IF(ISNUMBER('Base de datos Rutas'!CR289),'Base de datos Rutas'!CR289,"")</f>
        <v>455.43</v>
      </c>
      <c r="BB291" s="803">
        <f>IF(ISNUMBER('Base de datos Rutas'!CS289),'Base de datos Rutas'!CS289,"")</f>
        <v>673.31999999999994</v>
      </c>
      <c r="BC291" s="804">
        <f t="shared" si="177"/>
        <v>0</v>
      </c>
      <c r="BD291" s="805" t="str">
        <f t="shared" si="178"/>
        <v>No saturada</v>
      </c>
      <c r="BE291" s="806">
        <f t="shared" si="179"/>
        <v>0.40348172757475081</v>
      </c>
      <c r="BF291" s="890">
        <f>IF(ISNUMBER('Base de datos Rutas'!CX289),'Base de datos Rutas'!CX289/100,"")</f>
        <v>3.0445824706694272E-2</v>
      </c>
      <c r="BG291" s="891">
        <f>IF(ISNUMBER('Base de datos Rutas'!CZ289),'Base de datos Rutas'!CZ289/100,"")</f>
        <v>4.1062801932367152E-2</v>
      </c>
      <c r="BH291" s="892">
        <f>IF(ISNUMBER('Base de datos Rutas'!DA289),'Base de datos Rutas'!DA289,"")</f>
        <v>79.435118793977537</v>
      </c>
      <c r="BI291" s="893">
        <f>IF(ISNUMBER('Base de datos Rutas'!DC289),'Base de datos Rutas'!DC289,"")</f>
        <v>4.0786794993662863</v>
      </c>
      <c r="BJ291" s="805" t="str">
        <f t="shared" si="180"/>
        <v>Ruta (completo)</v>
      </c>
      <c r="BK291" s="783">
        <f t="shared" si="168"/>
        <v>2</v>
      </c>
      <c r="BL291" s="797">
        <f t="shared" si="169"/>
        <v>2</v>
      </c>
      <c r="BM291" s="797">
        <f t="shared" si="170"/>
        <v>3</v>
      </c>
      <c r="BN291" s="797">
        <f t="shared" si="171"/>
        <v>3</v>
      </c>
      <c r="BO291" s="798" cm="1">
        <f t="array" ref="BO291">SUMPRODUCT(--ISNUMBER($BF291:$BI291),$BK$3:$BN$3)</f>
        <v>1</v>
      </c>
      <c r="BP291" s="831">
        <f t="shared" si="181"/>
        <v>37.5</v>
      </c>
      <c r="BQ291" s="834" t="str">
        <f t="shared" si="182"/>
        <v>Medio</v>
      </c>
      <c r="BR291" s="836">
        <f t="shared" si="172"/>
        <v>23.348775953091351</v>
      </c>
      <c r="BS291" s="836">
        <f t="shared" si="173"/>
        <v>37.5</v>
      </c>
      <c r="BT291" s="837" t="str">
        <f t="shared" si="174"/>
        <v>P4</v>
      </c>
      <c r="BU291" s="807" t="str">
        <f t="shared" si="183"/>
        <v>Con espacio</v>
      </c>
      <c r="BV291" s="807" t="str">
        <f t="shared" si="175"/>
        <v>Zona de bajo potencial</v>
      </c>
      <c r="BW291" s="808" t="str">
        <f t="shared" si="176"/>
        <v>P4 - Evaluar</v>
      </c>
    </row>
    <row r="292" spans="1:75">
      <c r="A292" s="780" t="str">
        <f>'Base de datos Rutas'!A290</f>
        <v>Occidente</v>
      </c>
      <c r="B292" s="781" t="str">
        <f>'Base de datos Rutas'!B290</f>
        <v>Matehuala</v>
      </c>
      <c r="C292" s="781" t="str">
        <f>'Base de datos Rutas'!C290</f>
        <v>Planta Matehuala</v>
      </c>
      <c r="D292" s="782">
        <f>IF(ISNUMBER('Base de datos Rutas'!D290),'Base de datos Rutas'!D290,"Sin código")</f>
        <v>925399</v>
      </c>
      <c r="E292" s="783" t="str">
        <f>'Base de datos Rutas'!F290</f>
        <v>Activa</v>
      </c>
      <c r="F292" s="784" t="str">
        <f>'Base de datos Rutas'!H290</f>
        <v>Sí</v>
      </c>
      <c r="G292" s="785">
        <f>IF(ISNUMBER('Base de datos Rutas'!BE290),'Base de datos Rutas'!BE290,"")</f>
        <v>268.09210526315798</v>
      </c>
      <c r="H292" s="786">
        <f>IF(ISNUMBER('Base de datos Rutas'!BH290),'Base de datos Rutas'!BH290,"")</f>
        <v>0.119558282208589</v>
      </c>
      <c r="I292" s="788">
        <f>IFERROR(IF(OR(NOT(ISNUMBER('Base de datos Rutas'!O290)),N('Base de datos Rutas'!BK290)=0),"",'Base de datos Rutas'!O290/('Base de datos Rutas'!L290/'Base de datos Rutas'!BK290)),"")</f>
        <v>8750.1265822784535</v>
      </c>
      <c r="J292" s="788">
        <f>IFERROR(IF(OR(NOT(ISNUMBER('Base de datos Rutas'!N290)),N('Base de datos Rutas'!BK290)=0),"",'Base de datos Rutas'!N290/('Base de datos Rutas'!L290/'Base de datos Rutas'!BK290)),"")</f>
        <v>611.5822784810108</v>
      </c>
      <c r="K292" s="788">
        <f>IFERROR(IF(OR(NOT(ISNUMBER('Base de datos Rutas'!J290)),N('Base de datos Rutas'!BK290)=0),"",'Base de datos Rutas'!J290/('Base de datos Rutas'!L290/'Base de datos Rutas'!BK290)),"")</f>
        <v>51.007918987341611</v>
      </c>
      <c r="L292" s="788">
        <f>IFERROR(IF(OR(NOT(ISNUMBER('Base de datos Rutas'!K290)),N('Base de datos Rutas'!BK290)=0),"",'Base de datos Rutas'!K290/('Base de datos Rutas'!L290/'Base de datos Rutas'!BK290)),"")</f>
        <v>79.238806645569369</v>
      </c>
      <c r="M292" s="787">
        <f>IF(ISNUMBER('Base de datos Rutas'!AX290),'Base de datos Rutas'!AX290,"")</f>
        <v>291.17046456692901</v>
      </c>
      <c r="N292" s="790">
        <f>IFERROR(INDEX('Hoja de apoyo v2'!B$17:B$20,MATCH($A292,'Hoja de apoyo v2'!$A$17:$A$20,0)),"")</f>
        <v>89.41621024641401</v>
      </c>
      <c r="O292" s="791">
        <f>IFERROR(INDEX('Hoja de apoyo v2'!C$17:C$20,MATCH($A292,'Hoja de apoyo v2'!$A$17:$A$20,0)),"")</f>
        <v>0.54706375874806301</v>
      </c>
      <c r="P292" s="793">
        <f>IFERROR(INDEX('Hoja de apoyo v2'!D$17:D$20,MATCH($A292,'Hoja de apoyo v2'!$A$17:$A$20,0)),"")</f>
        <v>11095.153935793827</v>
      </c>
      <c r="Q292" s="793">
        <f>IFERROR(INDEX('Hoja de apoyo v2'!E$17:E$20,MATCH($A292,'Hoja de apoyo v2'!$A$17:$A$20,0)),"")</f>
        <v>6982.3202019701848</v>
      </c>
      <c r="R292" s="793">
        <f>IFERROR(INDEX('Hoja de apoyo v2'!F$17:F$20,MATCH($A292,'Hoja de apoyo v2'!$A$17:$A$20,0)),"")</f>
        <v>448.09513474485743</v>
      </c>
      <c r="S292" s="793">
        <f>IFERROR(INDEX('Hoja de apoyo v2'!G$17:G$20,MATCH($A292,'Hoja de apoyo v2'!$A$17:$A$20,0)),"")</f>
        <v>83.406300904207839</v>
      </c>
      <c r="T292" s="792">
        <f>IFERROR(INDEX('Hoja de apoyo v2'!H$17:H$20,MATCH($A292,'Hoja de apoyo v2'!$A$17:$A$20,0)),"")</f>
        <v>378.97014028925349</v>
      </c>
      <c r="U292" s="794">
        <f t="shared" si="148"/>
        <v>2.9982494731586957</v>
      </c>
      <c r="V292" s="795">
        <f t="shared" si="149"/>
        <v>0.21854542600700527</v>
      </c>
      <c r="W292" s="795">
        <f t="shared" si="150"/>
        <v>0.78864400015666902</v>
      </c>
      <c r="X292" s="843">
        <f t="shared" si="151"/>
        <v>8.7590122021107261E-2</v>
      </c>
      <c r="Y292" s="843">
        <f t="shared" si="152"/>
        <v>0.11383278913837171</v>
      </c>
      <c r="Z292" s="843">
        <f t="shared" si="153"/>
        <v>0.95003381982585655</v>
      </c>
      <c r="AA292" s="843">
        <f t="shared" si="154"/>
        <v>0.7683203334824471</v>
      </c>
      <c r="AB292" s="796">
        <f t="shared" si="155"/>
        <v>5</v>
      </c>
      <c r="AC292" s="797">
        <f t="shared" si="156"/>
        <v>1</v>
      </c>
      <c r="AD292" s="797">
        <f t="shared" si="157"/>
        <v>3</v>
      </c>
      <c r="AE292" s="842">
        <f t="shared" si="158"/>
        <v>1</v>
      </c>
      <c r="AF292" s="842">
        <f t="shared" si="159"/>
        <v>1</v>
      </c>
      <c r="AG292" s="842">
        <f t="shared" si="160"/>
        <v>3</v>
      </c>
      <c r="AH292" s="842">
        <f t="shared" si="161"/>
        <v>3</v>
      </c>
      <c r="AI292" s="826" cm="1">
        <f t="array" ref="AI292">SUMPRODUCT(--ISNUMBER($U292:$AA292),$AB$3:$AH$3)</f>
        <v>1</v>
      </c>
      <c r="AJ292" s="829">
        <f t="shared" si="162"/>
        <v>41.630476867975588</v>
      </c>
      <c r="AK292" s="827" t="str">
        <f t="shared" si="163"/>
        <v>Inmadura</v>
      </c>
      <c r="AL292" s="784" t="str">
        <f t="shared" si="164"/>
        <v>Alta</v>
      </c>
      <c r="AM292" s="799">
        <f>IF(ISNUMBER('Base de datos Rutas'!W290),'Base de datos Rutas'!W290,"")</f>
        <v>2809.9981624323286</v>
      </c>
      <c r="AN292" s="787">
        <f>IFERROR(SUMIFS('Base de datos Rutas'!$W$6:$W$794,'Base de datos Rutas'!$C$6:$C$794,$C292)/'Base de datos Rutas'!I290,"")</f>
        <v>2809.9981624323286</v>
      </c>
      <c r="AO292" s="800">
        <f>IFERROR('Base de datos Rutas'!X290*AN292/AM292,"")</f>
        <v>0.53603163849848012</v>
      </c>
      <c r="AP292" s="800">
        <f t="shared" si="165"/>
        <v>0.46396836150151988</v>
      </c>
      <c r="AQ292" s="789">
        <f>IFERROR(INDEX('Hoja de apoyo v2'!$J$17:$J$20,MATCH($A292,'Hoja de apoyo v2'!$A$17:$A$20,0)),"")</f>
        <v>0.64320274048480885</v>
      </c>
      <c r="AR292" s="789">
        <f t="shared" si="166"/>
        <v>-0.17923437898328898</v>
      </c>
      <c r="AS292" s="784" t="str">
        <f t="shared" si="167"/>
        <v>No</v>
      </c>
      <c r="AT292" s="801" t="str">
        <f>IF(ISNUMBER('Base de datos Rutas'!CK290),'Base de datos Rutas'!CK290,"")</f>
        <v/>
      </c>
      <c r="AU292" s="802" t="str">
        <f>IF(ISNUMBER('Base de datos Rutas'!CL290),'Base de datos Rutas'!CL290,"")</f>
        <v/>
      </c>
      <c r="AV292" s="802">
        <f>IF(ISNUMBER('Base de datos Rutas'!CM290),'Base de datos Rutas'!CM290,"")</f>
        <v>0</v>
      </c>
      <c r="AW292" s="802" t="str">
        <f>IF(ISNUMBER('Base de datos Rutas'!CN290),'Base de datos Rutas'!CN290,"")</f>
        <v/>
      </c>
      <c r="AX292" s="802" t="str">
        <f>IF(ISNUMBER('Base de datos Rutas'!CO290),'Base de datos Rutas'!CO290,"")</f>
        <v/>
      </c>
      <c r="AY292" s="802">
        <f>IF(ISNUMBER('Base de datos Rutas'!CP290),'Base de datos Rutas'!CP290,"")</f>
        <v>0</v>
      </c>
      <c r="AZ292" s="802" t="str">
        <f>IF(ISNUMBER('Base de datos Rutas'!CQ290),'Base de datos Rutas'!CQ290,"")</f>
        <v/>
      </c>
      <c r="BA292" s="802" t="str">
        <f>IF(ISNUMBER('Base de datos Rutas'!CR290),'Base de datos Rutas'!CR290,"")</f>
        <v/>
      </c>
      <c r="BB292" s="803">
        <f>IF(ISNUMBER('Base de datos Rutas'!CS290),'Base de datos Rutas'!CS290,"")</f>
        <v>0</v>
      </c>
      <c r="BC292" s="804" t="str">
        <f t="shared" si="177"/>
        <v/>
      </c>
      <c r="BD292" s="805" t="str">
        <f t="shared" si="178"/>
        <v>N/D</v>
      </c>
      <c r="BE292" s="806" t="str">
        <f t="shared" si="179"/>
        <v/>
      </c>
      <c r="BF292" s="890" t="str">
        <f>IF(ISNUMBER('Base de datos Rutas'!CX290),'Base de datos Rutas'!CX290/100,"")</f>
        <v/>
      </c>
      <c r="BG292" s="891" t="str">
        <f>IF(ISNUMBER('Base de datos Rutas'!CZ290),'Base de datos Rutas'!CZ290/100,"")</f>
        <v/>
      </c>
      <c r="BH292" s="892" t="str">
        <f>IF(ISNUMBER('Base de datos Rutas'!DA290),'Base de datos Rutas'!DA290,"")</f>
        <v/>
      </c>
      <c r="BI292" s="893" t="str">
        <f>IF(ISNUMBER('Base de datos Rutas'!DC290),'Base de datos Rutas'!DC290,"")</f>
        <v/>
      </c>
      <c r="BJ292" s="805" t="str">
        <f t="shared" si="180"/>
        <v>Sin dato</v>
      </c>
      <c r="BK292" s="783">
        <f t="shared" si="168"/>
        <v>0</v>
      </c>
      <c r="BL292" s="797">
        <f t="shared" si="169"/>
        <v>0</v>
      </c>
      <c r="BM292" s="797">
        <f t="shared" si="170"/>
        <v>0</v>
      </c>
      <c r="BN292" s="797">
        <f t="shared" si="171"/>
        <v>0</v>
      </c>
      <c r="BO292" s="798" cm="1">
        <f t="array" ref="BO292">SUMPRODUCT(--ISNUMBER($BF292:$BI292),$BK$3:$BN$3)</f>
        <v>0</v>
      </c>
      <c r="BP292" s="831" t="str">
        <f t="shared" si="181"/>
        <v/>
      </c>
      <c r="BQ292" s="834" t="str">
        <f t="shared" si="182"/>
        <v>Sin datos</v>
      </c>
      <c r="BR292" s="836" t="str">
        <f t="shared" si="172"/>
        <v/>
      </c>
      <c r="BS292" s="836" t="str">
        <f t="shared" si="173"/>
        <v/>
      </c>
      <c r="BT292" s="837" t="str">
        <f t="shared" si="174"/>
        <v>Sin datos</v>
      </c>
      <c r="BU292" s="807" t="str">
        <f t="shared" si="183"/>
        <v>Con espacio</v>
      </c>
      <c r="BV292" s="807" t="str">
        <f t="shared" si="175"/>
        <v>Sin datos de zona</v>
      </c>
      <c r="BW292" s="808" t="str">
        <f t="shared" si="176"/>
        <v>Sin datos</v>
      </c>
    </row>
    <row r="293" spans="1:75">
      <c r="A293" s="780" t="str">
        <f>'Base de datos Rutas'!A291</f>
        <v>Occidente</v>
      </c>
      <c r="B293" s="781" t="str">
        <f>'Base de datos Rutas'!B291</f>
        <v>No está en EERR</v>
      </c>
      <c r="C293" s="781" t="str">
        <f>'Base de datos Rutas'!C291</f>
        <v>Suc. Charcas</v>
      </c>
      <c r="D293" s="782">
        <f>IF(ISNUMBER('Base de datos Rutas'!D291),'Base de datos Rutas'!D291,"Sin código")</f>
        <v>918399</v>
      </c>
      <c r="E293" s="783" t="str">
        <f>'Base de datos Rutas'!F291</f>
        <v>Inactiva</v>
      </c>
      <c r="F293" s="784" t="str">
        <f>'Base de datos Rutas'!H291</f>
        <v>No</v>
      </c>
      <c r="G293" s="785" t="str">
        <f>IF(ISNUMBER('Base de datos Rutas'!BE291),'Base de datos Rutas'!BE291,"")</f>
        <v/>
      </c>
      <c r="H293" s="786" t="str">
        <f>IF(ISNUMBER('Base de datos Rutas'!BH291),'Base de datos Rutas'!BH291,"")</f>
        <v/>
      </c>
      <c r="I293" s="788" t="str">
        <f>IFERROR(IF(OR(NOT(ISNUMBER('Base de datos Rutas'!O291)),N('Base de datos Rutas'!BK291)=0),"",'Base de datos Rutas'!O291/('Base de datos Rutas'!L291/'Base de datos Rutas'!BK291)),"")</f>
        <v/>
      </c>
      <c r="J293" s="788" t="str">
        <f>IFERROR(IF(OR(NOT(ISNUMBER('Base de datos Rutas'!N291)),N('Base de datos Rutas'!BK291)=0),"",'Base de datos Rutas'!N291/('Base de datos Rutas'!L291/'Base de datos Rutas'!BK291)),"")</f>
        <v/>
      </c>
      <c r="K293" s="788" t="str">
        <f>IFERROR(IF(OR(NOT(ISNUMBER('Base de datos Rutas'!J291)),N('Base de datos Rutas'!BK291)=0),"",'Base de datos Rutas'!J291/('Base de datos Rutas'!L291/'Base de datos Rutas'!BK291)),"")</f>
        <v/>
      </c>
      <c r="L293" s="788" t="str">
        <f>IFERROR(IF(OR(NOT(ISNUMBER('Base de datos Rutas'!K291)),N('Base de datos Rutas'!BK291)=0),"",'Base de datos Rutas'!K291/('Base de datos Rutas'!L291/'Base de datos Rutas'!BK291)),"")</f>
        <v/>
      </c>
      <c r="M293" s="787">
        <f>IF(ISNUMBER('Base de datos Rutas'!AX291),'Base de datos Rutas'!AX291,"")</f>
        <v>290.75149425287401</v>
      </c>
      <c r="N293" s="790">
        <f>IFERROR(INDEX('Hoja de apoyo v2'!B$17:B$20,MATCH($A293,'Hoja de apoyo v2'!$A$17:$A$20,0)),"")</f>
        <v>89.41621024641401</v>
      </c>
      <c r="O293" s="791">
        <f>IFERROR(INDEX('Hoja de apoyo v2'!C$17:C$20,MATCH($A293,'Hoja de apoyo v2'!$A$17:$A$20,0)),"")</f>
        <v>0.54706375874806301</v>
      </c>
      <c r="P293" s="793">
        <f>IFERROR(INDEX('Hoja de apoyo v2'!D$17:D$20,MATCH($A293,'Hoja de apoyo v2'!$A$17:$A$20,0)),"")</f>
        <v>11095.153935793827</v>
      </c>
      <c r="Q293" s="793">
        <f>IFERROR(INDEX('Hoja de apoyo v2'!E$17:E$20,MATCH($A293,'Hoja de apoyo v2'!$A$17:$A$20,0)),"")</f>
        <v>6982.3202019701848</v>
      </c>
      <c r="R293" s="793">
        <f>IFERROR(INDEX('Hoja de apoyo v2'!F$17:F$20,MATCH($A293,'Hoja de apoyo v2'!$A$17:$A$20,0)),"")</f>
        <v>448.09513474485743</v>
      </c>
      <c r="S293" s="793">
        <f>IFERROR(INDEX('Hoja de apoyo v2'!G$17:G$20,MATCH($A293,'Hoja de apoyo v2'!$A$17:$A$20,0)),"")</f>
        <v>83.406300904207839</v>
      </c>
      <c r="T293" s="792">
        <f>IFERROR(INDEX('Hoja de apoyo v2'!H$17:H$20,MATCH($A293,'Hoja de apoyo v2'!$A$17:$A$20,0)),"")</f>
        <v>378.97014028925349</v>
      </c>
      <c r="U293" s="794" t="str">
        <f t="shared" si="148"/>
        <v/>
      </c>
      <c r="V293" s="795" t="str">
        <f t="shared" si="149"/>
        <v/>
      </c>
      <c r="W293" s="795" t="str">
        <f t="shared" si="150"/>
        <v/>
      </c>
      <c r="X293" s="843" t="str">
        <f t="shared" si="151"/>
        <v/>
      </c>
      <c r="Y293" s="843" t="str">
        <f t="shared" si="152"/>
        <v/>
      </c>
      <c r="Z293" s="843" t="str">
        <f t="shared" si="153"/>
        <v/>
      </c>
      <c r="AA293" s="843">
        <f t="shared" si="154"/>
        <v>0.76721478381107933</v>
      </c>
      <c r="AB293" s="796">
        <f t="shared" si="155"/>
        <v>0</v>
      </c>
      <c r="AC293" s="797">
        <f t="shared" si="156"/>
        <v>0</v>
      </c>
      <c r="AD293" s="797">
        <f t="shared" si="157"/>
        <v>0</v>
      </c>
      <c r="AE293" s="842">
        <f t="shared" si="158"/>
        <v>0</v>
      </c>
      <c r="AF293" s="842">
        <f t="shared" si="159"/>
        <v>0</v>
      </c>
      <c r="AG293" s="842">
        <f t="shared" si="160"/>
        <v>0</v>
      </c>
      <c r="AH293" s="842">
        <f t="shared" si="161"/>
        <v>3</v>
      </c>
      <c r="AI293" s="826" cm="1">
        <f t="array" ref="AI293">SUMPRODUCT(--ISNUMBER($U293:$AA293),$AB$3:$AH$3)</f>
        <v>8.9789113613062493E-2</v>
      </c>
      <c r="AJ293" s="829" t="str">
        <f t="shared" si="162"/>
        <v/>
      </c>
      <c r="AK293" s="827" t="str">
        <f t="shared" si="163"/>
        <v>Ruta inactiva</v>
      </c>
      <c r="AL293" s="784" t="str">
        <f t="shared" si="164"/>
        <v>n/a</v>
      </c>
      <c r="AM293" s="799" t="str">
        <f>IF(ISNUMBER('Base de datos Rutas'!W291),'Base de datos Rutas'!W291,"")</f>
        <v/>
      </c>
      <c r="AN293" s="787">
        <f>IFERROR(SUMIFS('Base de datos Rutas'!$W$6:$W$794,'Base de datos Rutas'!$C$6:$C$794,$C293)/'Base de datos Rutas'!I291,"")</f>
        <v>0</v>
      </c>
      <c r="AO293" s="800" t="str">
        <f>IFERROR('Base de datos Rutas'!X291*AN293/AM293,"")</f>
        <v/>
      </c>
      <c r="AP293" s="800" t="str">
        <f t="shared" si="165"/>
        <v/>
      </c>
      <c r="AQ293" s="789">
        <f>IFERROR(INDEX('Hoja de apoyo v2'!$J$17:$J$20,MATCH($A293,'Hoja de apoyo v2'!$A$17:$A$20,0)),"")</f>
        <v>0.64320274048480885</v>
      </c>
      <c r="AR293" s="789" t="str">
        <f t="shared" si="166"/>
        <v/>
      </c>
      <c r="AS293" s="784" t="str">
        <f t="shared" si="167"/>
        <v>n/d</v>
      </c>
      <c r="AT293" s="801" t="str">
        <f>IF(ISNUMBER('Base de datos Rutas'!CK291),'Base de datos Rutas'!CK291,"")</f>
        <v/>
      </c>
      <c r="AU293" s="802" t="str">
        <f>IF(ISNUMBER('Base de datos Rutas'!CL291),'Base de datos Rutas'!CL291,"")</f>
        <v/>
      </c>
      <c r="AV293" s="802">
        <f>IF(ISNUMBER('Base de datos Rutas'!CM291),'Base de datos Rutas'!CM291,"")</f>
        <v>0</v>
      </c>
      <c r="AW293" s="802" t="str">
        <f>IF(ISNUMBER('Base de datos Rutas'!CN291),'Base de datos Rutas'!CN291,"")</f>
        <v/>
      </c>
      <c r="AX293" s="802" t="str">
        <f>IF(ISNUMBER('Base de datos Rutas'!CO291),'Base de datos Rutas'!CO291,"")</f>
        <v/>
      </c>
      <c r="AY293" s="802">
        <f>IF(ISNUMBER('Base de datos Rutas'!CP291),'Base de datos Rutas'!CP291,"")</f>
        <v>0</v>
      </c>
      <c r="AZ293" s="802" t="str">
        <f>IF(ISNUMBER('Base de datos Rutas'!CQ291),'Base de datos Rutas'!CQ291,"")</f>
        <v/>
      </c>
      <c r="BA293" s="802" t="str">
        <f>IF(ISNUMBER('Base de datos Rutas'!CR291),'Base de datos Rutas'!CR291,"")</f>
        <v/>
      </c>
      <c r="BB293" s="803">
        <f>IF(ISNUMBER('Base de datos Rutas'!CS291),'Base de datos Rutas'!CS291,"")</f>
        <v>0</v>
      </c>
      <c r="BC293" s="804" t="str">
        <f t="shared" si="177"/>
        <v/>
      </c>
      <c r="BD293" s="805" t="str">
        <f t="shared" si="178"/>
        <v>N/D</v>
      </c>
      <c r="BE293" s="806" t="str">
        <f t="shared" si="179"/>
        <v/>
      </c>
      <c r="BF293" s="890" t="str">
        <f>IF(ISNUMBER('Base de datos Rutas'!CX291),'Base de datos Rutas'!CX291/100,"")</f>
        <v/>
      </c>
      <c r="BG293" s="891" t="str">
        <f>IF(ISNUMBER('Base de datos Rutas'!CZ291),'Base de datos Rutas'!CZ291/100,"")</f>
        <v/>
      </c>
      <c r="BH293" s="892" t="str">
        <f>IF(ISNUMBER('Base de datos Rutas'!DA291),'Base de datos Rutas'!DA291,"")</f>
        <v/>
      </c>
      <c r="BI293" s="893" t="str">
        <f>IF(ISNUMBER('Base de datos Rutas'!DC291),'Base de datos Rutas'!DC291,"")</f>
        <v/>
      </c>
      <c r="BJ293" s="805" t="str">
        <f t="shared" si="180"/>
        <v>Sin dato</v>
      </c>
      <c r="BK293" s="783">
        <f t="shared" si="168"/>
        <v>0</v>
      </c>
      <c r="BL293" s="797">
        <f t="shared" si="169"/>
        <v>0</v>
      </c>
      <c r="BM293" s="797">
        <f t="shared" si="170"/>
        <v>0</v>
      </c>
      <c r="BN293" s="797">
        <f t="shared" si="171"/>
        <v>0</v>
      </c>
      <c r="BO293" s="798" cm="1">
        <f t="array" ref="BO293">SUMPRODUCT(--ISNUMBER($BF293:$BI293),$BK$3:$BN$3)</f>
        <v>0</v>
      </c>
      <c r="BP293" s="831" t="str">
        <f t="shared" si="181"/>
        <v/>
      </c>
      <c r="BQ293" s="834" t="str">
        <f t="shared" si="182"/>
        <v>Sin datos</v>
      </c>
      <c r="BR293" s="836" t="str">
        <f t="shared" si="172"/>
        <v/>
      </c>
      <c r="BS293" s="836" t="str">
        <f t="shared" si="173"/>
        <v/>
      </c>
      <c r="BT293" s="837" t="str">
        <f t="shared" si="174"/>
        <v>Sin datos</v>
      </c>
      <c r="BU293" s="807" t="str">
        <f t="shared" si="183"/>
        <v>No evaluable</v>
      </c>
      <c r="BV293" s="807" t="str">
        <f t="shared" si="175"/>
        <v>No evaluable</v>
      </c>
      <c r="BW293" s="808" t="str">
        <f t="shared" si="176"/>
        <v>Sin datos</v>
      </c>
    </row>
    <row r="294" spans="1:75">
      <c r="A294" s="780" t="str">
        <f>'Base de datos Rutas'!A292</f>
        <v>Occidente</v>
      </c>
      <c r="B294" s="781" t="str">
        <f>'Base de datos Rutas'!B292</f>
        <v>San Luis</v>
      </c>
      <c r="C294" s="781" t="str">
        <f>'Base de datos Rutas'!C292</f>
        <v>Suc. Río Verde</v>
      </c>
      <c r="D294" s="782">
        <f>IF(ISNUMBER('Base de datos Rutas'!D292),'Base de datos Rutas'!D292,"Sin código")</f>
        <v>921399</v>
      </c>
      <c r="E294" s="783" t="str">
        <f>'Base de datos Rutas'!F292</f>
        <v>Activa</v>
      </c>
      <c r="F294" s="784" t="str">
        <f>'Base de datos Rutas'!H292</f>
        <v>Sí</v>
      </c>
      <c r="G294" s="785">
        <f>IF(ISNUMBER('Base de datos Rutas'!BE292),'Base de datos Rutas'!BE292,"")</f>
        <v>252.51282051282101</v>
      </c>
      <c r="H294" s="786">
        <f>IF(ISNUMBER('Base de datos Rutas'!BH292),'Base de datos Rutas'!BH292,"")</f>
        <v>0.12494922826969899</v>
      </c>
      <c r="I294" s="788">
        <f>IFERROR(IF(OR(NOT(ISNUMBER('Base de datos Rutas'!O292)),N('Base de datos Rutas'!BK292)=0),"",'Base de datos Rutas'!O292/('Base de datos Rutas'!L292/'Base de datos Rutas'!BK292)),"")</f>
        <v>8407.2374999999993</v>
      </c>
      <c r="J294" s="788">
        <f>IFERROR(IF(OR(NOT(ISNUMBER('Base de datos Rutas'!N292)),N('Base de datos Rutas'!BK292)=0),"",'Base de datos Rutas'!N292/('Base de datos Rutas'!L292/'Base de datos Rutas'!BK292)),"")</f>
        <v>8.0749999999999993</v>
      </c>
      <c r="K294" s="788">
        <f>IFERROR(IF(OR(NOT(ISNUMBER('Base de datos Rutas'!J292)),N('Base de datos Rutas'!BK292)=0),"",'Base de datos Rutas'!J292/('Base de datos Rutas'!L292/'Base de datos Rutas'!BK292)),"")</f>
        <v>0.66044999999999998</v>
      </c>
      <c r="L294" s="788">
        <f>IFERROR(IF(OR(NOT(ISNUMBER('Base de datos Rutas'!K292)),N('Base de datos Rutas'!BK292)=0),"",'Base de datos Rutas'!K292/('Base de datos Rutas'!L292/'Base de datos Rutas'!BK292)),"")</f>
        <v>71.731038900000001</v>
      </c>
      <c r="M294" s="787">
        <f>IF(ISNUMBER('Base de datos Rutas'!AX292),'Base de datos Rutas'!AX292,"")</f>
        <v>261.73384163073302</v>
      </c>
      <c r="N294" s="790">
        <f>IFERROR(INDEX('Hoja de apoyo v2'!B$17:B$20,MATCH($A294,'Hoja de apoyo v2'!$A$17:$A$20,0)),"")</f>
        <v>89.41621024641401</v>
      </c>
      <c r="O294" s="791">
        <f>IFERROR(INDEX('Hoja de apoyo v2'!C$17:C$20,MATCH($A294,'Hoja de apoyo v2'!$A$17:$A$20,0)),"")</f>
        <v>0.54706375874806301</v>
      </c>
      <c r="P294" s="793">
        <f>IFERROR(INDEX('Hoja de apoyo v2'!D$17:D$20,MATCH($A294,'Hoja de apoyo v2'!$A$17:$A$20,0)),"")</f>
        <v>11095.153935793827</v>
      </c>
      <c r="Q294" s="793">
        <f>IFERROR(INDEX('Hoja de apoyo v2'!E$17:E$20,MATCH($A294,'Hoja de apoyo v2'!$A$17:$A$20,0)),"")</f>
        <v>6982.3202019701848</v>
      </c>
      <c r="R294" s="793">
        <f>IFERROR(INDEX('Hoja de apoyo v2'!F$17:F$20,MATCH($A294,'Hoja de apoyo v2'!$A$17:$A$20,0)),"")</f>
        <v>448.09513474485743</v>
      </c>
      <c r="S294" s="793">
        <f>IFERROR(INDEX('Hoja de apoyo v2'!G$17:G$20,MATCH($A294,'Hoja de apoyo v2'!$A$17:$A$20,0)),"")</f>
        <v>83.406300904207839</v>
      </c>
      <c r="T294" s="792">
        <f>IFERROR(INDEX('Hoja de apoyo v2'!H$17:H$20,MATCH($A294,'Hoja de apoyo v2'!$A$17:$A$20,0)),"")</f>
        <v>378.97014028925349</v>
      </c>
      <c r="U294" s="794">
        <f t="shared" si="148"/>
        <v>2.8240161355188715</v>
      </c>
      <c r="V294" s="795">
        <f t="shared" si="149"/>
        <v>0.22839975463854725</v>
      </c>
      <c r="W294" s="795">
        <f t="shared" si="150"/>
        <v>0.75773959952710512</v>
      </c>
      <c r="X294" s="843">
        <f t="shared" si="151"/>
        <v>1.1564923644895998E-3</v>
      </c>
      <c r="Y294" s="843">
        <f t="shared" si="152"/>
        <v>1.4739057597134056E-3</v>
      </c>
      <c r="Z294" s="843">
        <f t="shared" si="153"/>
        <v>0.86001942446030688</v>
      </c>
      <c r="AA294" s="843">
        <f t="shared" si="154"/>
        <v>0.69064502398780425</v>
      </c>
      <c r="AB294" s="796">
        <f t="shared" si="155"/>
        <v>5</v>
      </c>
      <c r="AC294" s="797">
        <f t="shared" si="156"/>
        <v>1</v>
      </c>
      <c r="AD294" s="797">
        <f t="shared" si="157"/>
        <v>3</v>
      </c>
      <c r="AE294" s="842">
        <f t="shared" si="158"/>
        <v>1</v>
      </c>
      <c r="AF294" s="842">
        <f t="shared" si="159"/>
        <v>1</v>
      </c>
      <c r="AG294" s="842">
        <f t="shared" si="160"/>
        <v>3</v>
      </c>
      <c r="AH294" s="842">
        <f t="shared" si="161"/>
        <v>2</v>
      </c>
      <c r="AI294" s="826" cm="1">
        <f t="array" ref="AI294">SUMPRODUCT(--ISNUMBER($U294:$AA294),$AB$3:$AH$3)</f>
        <v>1</v>
      </c>
      <c r="AJ294" s="829">
        <f t="shared" si="162"/>
        <v>39.38574902764902</v>
      </c>
      <c r="AK294" s="827" t="str">
        <f t="shared" si="163"/>
        <v>Inmadura</v>
      </c>
      <c r="AL294" s="784" t="str">
        <f t="shared" si="164"/>
        <v>Alta</v>
      </c>
      <c r="AM294" s="799">
        <f>IF(ISNUMBER('Base de datos Rutas'!W292),'Base de datos Rutas'!W292,"")</f>
        <v>2793.6211682944554</v>
      </c>
      <c r="AN294" s="787">
        <f>IFERROR(SUMIFS('Base de datos Rutas'!$W$6:$W$794,'Base de datos Rutas'!$C$6:$C$794,$C294)/'Base de datos Rutas'!I292,"")</f>
        <v>2793.6211682944554</v>
      </c>
      <c r="AO294" s="800">
        <f>IFERROR('Base de datos Rutas'!X292*AN294/AM294,"")</f>
        <v>0.43568579316241196</v>
      </c>
      <c r="AP294" s="800">
        <f t="shared" si="165"/>
        <v>0.56431420683758804</v>
      </c>
      <c r="AQ294" s="789">
        <f>IFERROR(INDEX('Hoja de apoyo v2'!$J$17:$J$20,MATCH($A294,'Hoja de apoyo v2'!$A$17:$A$20,0)),"")</f>
        <v>0.64320274048480885</v>
      </c>
      <c r="AR294" s="789">
        <f t="shared" si="166"/>
        <v>-7.8888533647220815E-2</v>
      </c>
      <c r="AS294" s="784" t="str">
        <f t="shared" si="167"/>
        <v>No</v>
      </c>
      <c r="AT294" s="801" t="str">
        <f>IF(ISNUMBER('Base de datos Rutas'!CK292),'Base de datos Rutas'!CK292,"")</f>
        <v/>
      </c>
      <c r="AU294" s="802" t="str">
        <f>IF(ISNUMBER('Base de datos Rutas'!CL292),'Base de datos Rutas'!CL292,"")</f>
        <v/>
      </c>
      <c r="AV294" s="802">
        <f>IF(ISNUMBER('Base de datos Rutas'!CM292),'Base de datos Rutas'!CM292,"")</f>
        <v>0</v>
      </c>
      <c r="AW294" s="802" t="str">
        <f>IF(ISNUMBER('Base de datos Rutas'!CN292),'Base de datos Rutas'!CN292,"")</f>
        <v/>
      </c>
      <c r="AX294" s="802" t="str">
        <f>IF(ISNUMBER('Base de datos Rutas'!CO292),'Base de datos Rutas'!CO292,"")</f>
        <v/>
      </c>
      <c r="AY294" s="802">
        <f>IF(ISNUMBER('Base de datos Rutas'!CP292),'Base de datos Rutas'!CP292,"")</f>
        <v>0</v>
      </c>
      <c r="AZ294" s="802" t="str">
        <f>IF(ISNUMBER('Base de datos Rutas'!CQ292),'Base de datos Rutas'!CQ292,"")</f>
        <v/>
      </c>
      <c r="BA294" s="802" t="str">
        <f>IF(ISNUMBER('Base de datos Rutas'!CR292),'Base de datos Rutas'!CR292,"")</f>
        <v/>
      </c>
      <c r="BB294" s="803">
        <f>IF(ISNUMBER('Base de datos Rutas'!CS292),'Base de datos Rutas'!CS292,"")</f>
        <v>0</v>
      </c>
      <c r="BC294" s="804" t="str">
        <f t="shared" si="177"/>
        <v/>
      </c>
      <c r="BD294" s="805" t="str">
        <f t="shared" si="178"/>
        <v>N/D</v>
      </c>
      <c r="BE294" s="806" t="str">
        <f t="shared" si="179"/>
        <v/>
      </c>
      <c r="BF294" s="890" t="str">
        <f>IF(ISNUMBER('Base de datos Rutas'!CX292),'Base de datos Rutas'!CX292/100,"")</f>
        <v/>
      </c>
      <c r="BG294" s="891" t="str">
        <f>IF(ISNUMBER('Base de datos Rutas'!CZ292),'Base de datos Rutas'!CZ292/100,"")</f>
        <v/>
      </c>
      <c r="BH294" s="892" t="str">
        <f>IF(ISNUMBER('Base de datos Rutas'!DA292),'Base de datos Rutas'!DA292,"")</f>
        <v/>
      </c>
      <c r="BI294" s="893" t="str">
        <f>IF(ISNUMBER('Base de datos Rutas'!DC292),'Base de datos Rutas'!DC292,"")</f>
        <v/>
      </c>
      <c r="BJ294" s="805" t="str">
        <f t="shared" si="180"/>
        <v>Sin dato</v>
      </c>
      <c r="BK294" s="783">
        <f t="shared" si="168"/>
        <v>0</v>
      </c>
      <c r="BL294" s="797">
        <f t="shared" si="169"/>
        <v>0</v>
      </c>
      <c r="BM294" s="797">
        <f t="shared" si="170"/>
        <v>0</v>
      </c>
      <c r="BN294" s="797">
        <f t="shared" si="171"/>
        <v>0</v>
      </c>
      <c r="BO294" s="798" cm="1">
        <f t="array" ref="BO294">SUMPRODUCT(--ISNUMBER($BF294:$BI294),$BK$3:$BN$3)</f>
        <v>0</v>
      </c>
      <c r="BP294" s="831" t="str">
        <f t="shared" si="181"/>
        <v/>
      </c>
      <c r="BQ294" s="834" t="str">
        <f t="shared" si="182"/>
        <v>Sin datos</v>
      </c>
      <c r="BR294" s="836" t="str">
        <f t="shared" si="172"/>
        <v/>
      </c>
      <c r="BS294" s="836" t="str">
        <f t="shared" si="173"/>
        <v/>
      </c>
      <c r="BT294" s="837" t="str">
        <f t="shared" si="174"/>
        <v>Sin datos</v>
      </c>
      <c r="BU294" s="807" t="str">
        <f t="shared" si="183"/>
        <v>Con espacio</v>
      </c>
      <c r="BV294" s="807" t="str">
        <f t="shared" si="175"/>
        <v>Sin datos de zona</v>
      </c>
      <c r="BW294" s="808" t="str">
        <f t="shared" si="176"/>
        <v>Sin datos</v>
      </c>
    </row>
    <row r="295" spans="1:75">
      <c r="A295" s="780" t="str">
        <f>'Base de datos Rutas'!A293</f>
        <v>Occidente</v>
      </c>
      <c r="B295" s="781" t="str">
        <f>'Base de datos Rutas'!B293</f>
        <v>San Luis</v>
      </c>
      <c r="C295" s="781" t="str">
        <f>'Base de datos Rutas'!C293</f>
        <v>Suc. Río Verde</v>
      </c>
      <c r="D295" s="782">
        <f>IF(ISNUMBER('Base de datos Rutas'!D293),'Base de datos Rutas'!D293,"Sin código")</f>
        <v>921401</v>
      </c>
      <c r="E295" s="783" t="str">
        <f>'Base de datos Rutas'!F293</f>
        <v>Activa</v>
      </c>
      <c r="F295" s="784" t="str">
        <f>'Base de datos Rutas'!H293</f>
        <v>Sí</v>
      </c>
      <c r="G295" s="785">
        <f>IF(ISNUMBER('Base de datos Rutas'!BE293),'Base de datos Rutas'!BE293,"")</f>
        <v>55.266365688487603</v>
      </c>
      <c r="H295" s="786">
        <f>IF(ISNUMBER('Base de datos Rutas'!BH293),'Base de datos Rutas'!BH293,"")</f>
        <v>0.52117796021729401</v>
      </c>
      <c r="I295" s="788">
        <f>IFERROR(IF(OR(NOT(ISNUMBER('Base de datos Rutas'!O293)),N('Base de datos Rutas'!BK293)=0),"",'Base de datos Rutas'!O293/('Base de datos Rutas'!L293/'Base de datos Rutas'!BK293)),"")</f>
        <v>2842.6478555304716</v>
      </c>
      <c r="J295" s="788">
        <f>IFERROR(IF(OR(NOT(ISNUMBER('Base de datos Rutas'!N293)),N('Base de datos Rutas'!BK293)=0),"",'Base de datos Rutas'!N293/('Base de datos Rutas'!L293/'Base de datos Rutas'!BK293)),"")</f>
        <v>5989.7516930022521</v>
      </c>
      <c r="K295" s="788">
        <f>IFERROR(IF(OR(NOT(ISNUMBER('Base de datos Rutas'!J293)),N('Base de datos Rutas'!BK293)=0),"",'Base de datos Rutas'!J293/('Base de datos Rutas'!L293/'Base de datos Rutas'!BK293)),"")</f>
        <v>407.66810474040591</v>
      </c>
      <c r="L295" s="788">
        <f>IFERROR(IF(OR(NOT(ISNUMBER('Base de datos Rutas'!K293)),N('Base de datos Rutas'!BK293)=0),"",'Base de datos Rutas'!K293/('Base de datos Rutas'!L293/'Base de datos Rutas'!BK293)),"")</f>
        <v>27.510524799097038</v>
      </c>
      <c r="M295" s="787">
        <f>IF(ISNUMBER('Base de datos Rutas'!AX293),'Base de datos Rutas'!AX293,"")</f>
        <v>306.64179937304101</v>
      </c>
      <c r="N295" s="790">
        <f>IFERROR(INDEX('Hoja de apoyo v2'!B$17:B$20,MATCH($A295,'Hoja de apoyo v2'!$A$17:$A$20,0)),"")</f>
        <v>89.41621024641401</v>
      </c>
      <c r="O295" s="791">
        <f>IFERROR(INDEX('Hoja de apoyo v2'!C$17:C$20,MATCH($A295,'Hoja de apoyo v2'!$A$17:$A$20,0)),"")</f>
        <v>0.54706375874806301</v>
      </c>
      <c r="P295" s="793">
        <f>IFERROR(INDEX('Hoja de apoyo v2'!D$17:D$20,MATCH($A295,'Hoja de apoyo v2'!$A$17:$A$20,0)),"")</f>
        <v>11095.153935793827</v>
      </c>
      <c r="Q295" s="793">
        <f>IFERROR(INDEX('Hoja de apoyo v2'!E$17:E$20,MATCH($A295,'Hoja de apoyo v2'!$A$17:$A$20,0)),"")</f>
        <v>6982.3202019701848</v>
      </c>
      <c r="R295" s="793">
        <f>IFERROR(INDEX('Hoja de apoyo v2'!F$17:F$20,MATCH($A295,'Hoja de apoyo v2'!$A$17:$A$20,0)),"")</f>
        <v>448.09513474485743</v>
      </c>
      <c r="S295" s="793">
        <f>IFERROR(INDEX('Hoja de apoyo v2'!G$17:G$20,MATCH($A295,'Hoja de apoyo v2'!$A$17:$A$20,0)),"")</f>
        <v>83.406300904207839</v>
      </c>
      <c r="T295" s="792">
        <f>IFERROR(INDEX('Hoja de apoyo v2'!H$17:H$20,MATCH($A295,'Hoja de apoyo v2'!$A$17:$A$20,0)),"")</f>
        <v>378.97014028925349</v>
      </c>
      <c r="U295" s="794">
        <f t="shared" si="148"/>
        <v>0.61807993803566541</v>
      </c>
      <c r="V295" s="795">
        <f t="shared" si="149"/>
        <v>0.95268230052378577</v>
      </c>
      <c r="W295" s="795">
        <f t="shared" si="150"/>
        <v>0.2562062565314997</v>
      </c>
      <c r="X295" s="843">
        <f t="shared" si="151"/>
        <v>0.85784546107068216</v>
      </c>
      <c r="Y295" s="843">
        <f t="shared" si="152"/>
        <v>0.90978025229515058</v>
      </c>
      <c r="Z295" s="843">
        <f t="shared" si="153"/>
        <v>0.32983748830550447</v>
      </c>
      <c r="AA295" s="843">
        <f t="shared" si="154"/>
        <v>0.80914501374433612</v>
      </c>
      <c r="AB295" s="796">
        <f t="shared" si="155"/>
        <v>2</v>
      </c>
      <c r="AC295" s="797">
        <f t="shared" si="156"/>
        <v>3</v>
      </c>
      <c r="AD295" s="797">
        <f t="shared" si="157"/>
        <v>1</v>
      </c>
      <c r="AE295" s="842">
        <f t="shared" si="158"/>
        <v>3</v>
      </c>
      <c r="AF295" s="842">
        <f t="shared" si="159"/>
        <v>3</v>
      </c>
      <c r="AG295" s="842">
        <f t="shared" si="160"/>
        <v>1</v>
      </c>
      <c r="AH295" s="842">
        <f t="shared" si="161"/>
        <v>3</v>
      </c>
      <c r="AI295" s="826" cm="1">
        <f t="array" ref="AI295">SUMPRODUCT(--ISNUMBER($U295:$AA295),$AB$3:$AH$3)</f>
        <v>1</v>
      </c>
      <c r="AJ295" s="829">
        <f t="shared" si="162"/>
        <v>26.459887347087808</v>
      </c>
      <c r="AK295" s="827" t="str">
        <f t="shared" si="163"/>
        <v>Inmadura</v>
      </c>
      <c r="AL295" s="784" t="str">
        <f t="shared" si="164"/>
        <v>Alta</v>
      </c>
      <c r="AM295" s="799">
        <f>IF(ISNUMBER('Base de datos Rutas'!W293),'Base de datos Rutas'!W293,"")</f>
        <v>2793.6211682944554</v>
      </c>
      <c r="AN295" s="787">
        <f>IFERROR(SUMIFS('Base de datos Rutas'!$W$6:$W$794,'Base de datos Rutas'!$C$6:$C$794,$C295)/'Base de datos Rutas'!I293,"")</f>
        <v>2793.6211682944554</v>
      </c>
      <c r="AO295" s="800">
        <f>IFERROR('Base de datos Rutas'!X293*AN295/AM295,"")</f>
        <v>0.43568579316241196</v>
      </c>
      <c r="AP295" s="800">
        <f t="shared" si="165"/>
        <v>0.56431420683758804</v>
      </c>
      <c r="AQ295" s="789">
        <f>IFERROR(INDEX('Hoja de apoyo v2'!$J$17:$J$20,MATCH($A295,'Hoja de apoyo v2'!$A$17:$A$20,0)),"")</f>
        <v>0.64320274048480885</v>
      </c>
      <c r="AR295" s="789">
        <f t="shared" si="166"/>
        <v>-7.8888533647220815E-2</v>
      </c>
      <c r="AS295" s="784" t="str">
        <f t="shared" si="167"/>
        <v>No</v>
      </c>
      <c r="AT295" s="801">
        <f>IF(ISNUMBER('Base de datos Rutas'!CK293),'Base de datos Rutas'!CK293,"")</f>
        <v>280</v>
      </c>
      <c r="AU295" s="802">
        <f>IF(ISNUMBER('Base de datos Rutas'!CL293),'Base de datos Rutas'!CL293,"")</f>
        <v>327.02</v>
      </c>
      <c r="AV295" s="802">
        <f>IF(ISNUMBER('Base de datos Rutas'!CM293),'Base de datos Rutas'!CM293,"")</f>
        <v>47.019999999999982</v>
      </c>
      <c r="AW295" s="802">
        <f>IF(ISNUMBER('Base de datos Rutas'!CN293),'Base de datos Rutas'!CN293,"")</f>
        <v>3.42</v>
      </c>
      <c r="AX295" s="802">
        <f>IF(ISNUMBER('Base de datos Rutas'!CO293),'Base de datos Rutas'!CO293,"")</f>
        <v>9.4499999999999993</v>
      </c>
      <c r="AY295" s="802">
        <f>IF(ISNUMBER('Base de datos Rutas'!CP293),'Base de datos Rutas'!CP293,"")</f>
        <v>6.0299999999999994</v>
      </c>
      <c r="AZ295" s="802">
        <f>IF(ISNUMBER('Base de datos Rutas'!CQ293),'Base de datos Rutas'!CQ293,"")</f>
        <v>846.56</v>
      </c>
      <c r="BA295" s="802">
        <f>IF(ISNUMBER('Base de datos Rutas'!CR293),'Base de datos Rutas'!CR293,"")</f>
        <v>435.18</v>
      </c>
      <c r="BB295" s="803">
        <f>IF(ISNUMBER('Base de datos Rutas'!CS293),'Base de datos Rutas'!CS293,"")</f>
        <v>411.37999999999994</v>
      </c>
      <c r="BC295" s="804">
        <f t="shared" si="177"/>
        <v>0</v>
      </c>
      <c r="BD295" s="805" t="str">
        <f t="shared" si="178"/>
        <v>No saturada</v>
      </c>
      <c r="BE295" s="806">
        <f t="shared" si="179"/>
        <v>0.51405688905688907</v>
      </c>
      <c r="BF295" s="890">
        <f>IF(ISNUMBER('Base de datos Rutas'!CX293),'Base de datos Rutas'!CX293/100,"")</f>
        <v>-4.3873448697780132E-4</v>
      </c>
      <c r="BG295" s="891">
        <f>IF(ISNUMBER('Base de datos Rutas'!CZ293),'Base de datos Rutas'!CZ293/100,"")</f>
        <v>3.6706869428421605E-3</v>
      </c>
      <c r="BH295" s="892">
        <f>IF(ISNUMBER('Base de datos Rutas'!DA293),'Base de datos Rutas'!DA293,"")</f>
        <v>49.022417925984982</v>
      </c>
      <c r="BI295" s="893">
        <f>IF(ISNUMBER('Base de datos Rutas'!DC293),'Base de datos Rutas'!DC293,"")</f>
        <v>2.0711035405978926</v>
      </c>
      <c r="BJ295" s="805" t="str">
        <f t="shared" si="180"/>
        <v>Ruta (completo)</v>
      </c>
      <c r="BK295" s="783">
        <f t="shared" si="168"/>
        <v>1</v>
      </c>
      <c r="BL295" s="797">
        <f t="shared" si="169"/>
        <v>2</v>
      </c>
      <c r="BM295" s="797">
        <f t="shared" si="170"/>
        <v>2</v>
      </c>
      <c r="BN295" s="797">
        <f t="shared" si="171"/>
        <v>2</v>
      </c>
      <c r="BO295" s="798" cm="1">
        <f t="array" ref="BO295">SUMPRODUCT(--ISNUMBER($BF295:$BI295),$BK$3:$BN$3)</f>
        <v>1</v>
      </c>
      <c r="BP295" s="831">
        <f t="shared" si="181"/>
        <v>18.75</v>
      </c>
      <c r="BQ295" s="834" t="str">
        <f t="shared" si="182"/>
        <v>Bajo</v>
      </c>
      <c r="BR295" s="836">
        <f t="shared" si="172"/>
        <v>19.844915510315857</v>
      </c>
      <c r="BS295" s="836">
        <f t="shared" si="173"/>
        <v>18.75</v>
      </c>
      <c r="BT295" s="837" t="str">
        <f t="shared" si="174"/>
        <v>P4</v>
      </c>
      <c r="BU295" s="807" t="str">
        <f t="shared" si="183"/>
        <v>Con espacio</v>
      </c>
      <c r="BV295" s="807" t="str">
        <f t="shared" si="175"/>
        <v>Zona de bajo potencial</v>
      </c>
      <c r="BW295" s="808" t="str">
        <f t="shared" si="176"/>
        <v>P4 - Evaluar</v>
      </c>
    </row>
    <row r="296" spans="1:75">
      <c r="A296" s="780" t="str">
        <f>'Base de datos Rutas'!A294</f>
        <v>Occidente</v>
      </c>
      <c r="B296" s="781" t="str">
        <f>'Base de datos Rutas'!B294</f>
        <v>San Luis</v>
      </c>
      <c r="C296" s="781" t="str">
        <f>'Base de datos Rutas'!C294</f>
        <v>Suc. Río Verde</v>
      </c>
      <c r="D296" s="782">
        <f>IF(ISNUMBER('Base de datos Rutas'!D294),'Base de datos Rutas'!D294,"Sin código")</f>
        <v>921402</v>
      </c>
      <c r="E296" s="783" t="str">
        <f>'Base de datos Rutas'!F294</f>
        <v>Activa</v>
      </c>
      <c r="F296" s="784" t="str">
        <f>'Base de datos Rutas'!H294</f>
        <v>Sí</v>
      </c>
      <c r="G296" s="785">
        <f>IF(ISNUMBER('Base de datos Rutas'!BE294),'Base de datos Rutas'!BE294,"")</f>
        <v>67.002257336343106</v>
      </c>
      <c r="H296" s="786">
        <f>IF(ISNUMBER('Base de datos Rutas'!BH294),'Base de datos Rutas'!BH294,"")</f>
        <v>0.485277272420996</v>
      </c>
      <c r="I296" s="788">
        <f>IFERROR(IF(OR(NOT(ISNUMBER('Base de datos Rutas'!O294)),N('Base de datos Rutas'!BK294)=0),"",'Base de datos Rutas'!O294/('Base de datos Rutas'!L294/'Base de datos Rutas'!BK294)),"")</f>
        <v>2123.5823927765177</v>
      </c>
      <c r="J296" s="788">
        <f>IFERROR(IF(OR(NOT(ISNUMBER('Base de datos Rutas'!N294)),N('Base de datos Rutas'!BK294)=0),"",'Base de datos Rutas'!N294/('Base de datos Rutas'!L294/'Base de datos Rutas'!BK294)),"")</f>
        <v>5681.8893905191717</v>
      </c>
      <c r="K296" s="788">
        <f>IFERROR(IF(OR(NOT(ISNUMBER('Base de datos Rutas'!J294)),N('Base de datos Rutas'!BK294)=0),"",'Base de datos Rutas'!J294/('Base de datos Rutas'!L294/'Base de datos Rutas'!BK294)),"")</f>
        <v>386.16794762979578</v>
      </c>
      <c r="L296" s="788">
        <f>IFERROR(IF(OR(NOT(ISNUMBER('Base de datos Rutas'!K294)),N('Base de datos Rutas'!BK294)=0),"",'Base de datos Rutas'!K294/('Base de datos Rutas'!L294/'Base de datos Rutas'!BK294)),"")</f>
        <v>18.547729505643289</v>
      </c>
      <c r="M296" s="787">
        <f>IF(ISNUMBER('Base de datos Rutas'!AX294),'Base de datos Rutas'!AX294,"")</f>
        <v>240.05990697028599</v>
      </c>
      <c r="N296" s="790">
        <f>IFERROR(INDEX('Hoja de apoyo v2'!B$17:B$20,MATCH($A296,'Hoja de apoyo v2'!$A$17:$A$20,0)),"")</f>
        <v>89.41621024641401</v>
      </c>
      <c r="O296" s="791">
        <f>IFERROR(INDEX('Hoja de apoyo v2'!C$17:C$20,MATCH($A296,'Hoja de apoyo v2'!$A$17:$A$20,0)),"")</f>
        <v>0.54706375874806301</v>
      </c>
      <c r="P296" s="793">
        <f>IFERROR(INDEX('Hoja de apoyo v2'!D$17:D$20,MATCH($A296,'Hoja de apoyo v2'!$A$17:$A$20,0)),"")</f>
        <v>11095.153935793827</v>
      </c>
      <c r="Q296" s="793">
        <f>IFERROR(INDEX('Hoja de apoyo v2'!E$17:E$20,MATCH($A296,'Hoja de apoyo v2'!$A$17:$A$20,0)),"")</f>
        <v>6982.3202019701848</v>
      </c>
      <c r="R296" s="793">
        <f>IFERROR(INDEX('Hoja de apoyo v2'!F$17:F$20,MATCH($A296,'Hoja de apoyo v2'!$A$17:$A$20,0)),"")</f>
        <v>448.09513474485743</v>
      </c>
      <c r="S296" s="793">
        <f>IFERROR(INDEX('Hoja de apoyo v2'!G$17:G$20,MATCH($A296,'Hoja de apoyo v2'!$A$17:$A$20,0)),"")</f>
        <v>83.406300904207839</v>
      </c>
      <c r="T296" s="792">
        <f>IFERROR(INDEX('Hoja de apoyo v2'!H$17:H$20,MATCH($A296,'Hoja de apoyo v2'!$A$17:$A$20,0)),"")</f>
        <v>378.97014028925349</v>
      </c>
      <c r="U296" s="794">
        <f t="shared" si="148"/>
        <v>0.74933009519971461</v>
      </c>
      <c r="V296" s="795">
        <f t="shared" si="149"/>
        <v>0.88705797936887043</v>
      </c>
      <c r="W296" s="795">
        <f t="shared" si="150"/>
        <v>0.19139728975960182</v>
      </c>
      <c r="X296" s="843">
        <f t="shared" si="151"/>
        <v>0.81375377040370134</v>
      </c>
      <c r="Y296" s="843">
        <f t="shared" si="152"/>
        <v>0.86179901919639768</v>
      </c>
      <c r="Z296" s="843">
        <f t="shared" si="153"/>
        <v>0.22237803744522086</v>
      </c>
      <c r="AA296" s="843">
        <f t="shared" si="154"/>
        <v>0.63345335542018533</v>
      </c>
      <c r="AB296" s="796">
        <f t="shared" si="155"/>
        <v>2</v>
      </c>
      <c r="AC296" s="797">
        <f t="shared" si="156"/>
        <v>3</v>
      </c>
      <c r="AD296" s="797">
        <f t="shared" si="157"/>
        <v>1</v>
      </c>
      <c r="AE296" s="842">
        <f t="shared" si="158"/>
        <v>3</v>
      </c>
      <c r="AF296" s="842">
        <f t="shared" si="159"/>
        <v>3</v>
      </c>
      <c r="AG296" s="842">
        <f t="shared" si="160"/>
        <v>1</v>
      </c>
      <c r="AH296" s="842">
        <f t="shared" si="161"/>
        <v>2</v>
      </c>
      <c r="AI296" s="826" cm="1">
        <f t="array" ref="AI296">SUMPRODUCT(--ISNUMBER($U296:$AA296),$AB$3:$AH$3)</f>
        <v>1</v>
      </c>
      <c r="AJ296" s="829">
        <f t="shared" si="162"/>
        <v>24.215159506761246</v>
      </c>
      <c r="AK296" s="827" t="str">
        <f t="shared" si="163"/>
        <v>Inmadura</v>
      </c>
      <c r="AL296" s="784" t="str">
        <f t="shared" si="164"/>
        <v>Alta</v>
      </c>
      <c r="AM296" s="799">
        <f>IF(ISNUMBER('Base de datos Rutas'!W294),'Base de datos Rutas'!W294,"")</f>
        <v>2793.6211682944554</v>
      </c>
      <c r="AN296" s="787">
        <f>IFERROR(SUMIFS('Base de datos Rutas'!$W$6:$W$794,'Base de datos Rutas'!$C$6:$C$794,$C296)/'Base de datos Rutas'!I294,"")</f>
        <v>2793.6211682944554</v>
      </c>
      <c r="AO296" s="800">
        <f>IFERROR('Base de datos Rutas'!X294*AN296/AM296,"")</f>
        <v>0.43568579316241196</v>
      </c>
      <c r="AP296" s="800">
        <f t="shared" si="165"/>
        <v>0.56431420683758804</v>
      </c>
      <c r="AQ296" s="789">
        <f>IFERROR(INDEX('Hoja de apoyo v2'!$J$17:$J$20,MATCH($A296,'Hoja de apoyo v2'!$A$17:$A$20,0)),"")</f>
        <v>0.64320274048480885</v>
      </c>
      <c r="AR296" s="789">
        <f t="shared" si="166"/>
        <v>-7.8888533647220815E-2</v>
      </c>
      <c r="AS296" s="784" t="str">
        <f t="shared" si="167"/>
        <v>No</v>
      </c>
      <c r="AT296" s="801">
        <f>IF(ISNUMBER('Base de datos Rutas'!CK294),'Base de datos Rutas'!CK294,"")</f>
        <v>286</v>
      </c>
      <c r="AU296" s="802">
        <f>IF(ISNUMBER('Base de datos Rutas'!CL294),'Base de datos Rutas'!CL294,"")</f>
        <v>309.79000000000002</v>
      </c>
      <c r="AV296" s="802">
        <f>IF(ISNUMBER('Base de datos Rutas'!CM294),'Base de datos Rutas'!CM294,"")</f>
        <v>23.79000000000002</v>
      </c>
      <c r="AW296" s="802">
        <f>IF(ISNUMBER('Base de datos Rutas'!CN294),'Base de datos Rutas'!CN294,"")</f>
        <v>5.77</v>
      </c>
      <c r="AX296" s="802">
        <f>IF(ISNUMBER('Base de datos Rutas'!CO294),'Base de datos Rutas'!CO294,"")</f>
        <v>9.4499999999999993</v>
      </c>
      <c r="AY296" s="802">
        <f>IF(ISNUMBER('Base de datos Rutas'!CP294),'Base de datos Rutas'!CP294,"")</f>
        <v>3.6799999999999997</v>
      </c>
      <c r="AZ296" s="802">
        <f>IF(ISNUMBER('Base de datos Rutas'!CQ294),'Base de datos Rutas'!CQ294,"")</f>
        <v>564.37</v>
      </c>
      <c r="BA296" s="802">
        <f>IF(ISNUMBER('Base de datos Rutas'!CR294),'Base de datos Rutas'!CR294,"")</f>
        <v>404.72</v>
      </c>
      <c r="BB296" s="803">
        <f>IF(ISNUMBER('Base de datos Rutas'!CS294),'Base de datos Rutas'!CS294,"")</f>
        <v>159.64999999999998</v>
      </c>
      <c r="BC296" s="804">
        <f t="shared" si="177"/>
        <v>0</v>
      </c>
      <c r="BD296" s="805" t="str">
        <f t="shared" si="178"/>
        <v>No saturada</v>
      </c>
      <c r="BE296" s="806">
        <f t="shared" si="179"/>
        <v>0.71711820259758674</v>
      </c>
      <c r="BF296" s="890">
        <f>IF(ISNUMBER('Base de datos Rutas'!CX294),'Base de datos Rutas'!CX294/100,"")</f>
        <v>8.9137713202779523E-2</v>
      </c>
      <c r="BG296" s="891">
        <f>IF(ISNUMBER('Base de datos Rutas'!CZ294),'Base de datos Rutas'!CZ294/100,"")</f>
        <v>9.6651926721415038E-2</v>
      </c>
      <c r="BH296" s="892">
        <f>IF(ISNUMBER('Base de datos Rutas'!DA294),'Base de datos Rutas'!DA294,"")</f>
        <v>77.462494396182819</v>
      </c>
      <c r="BI296" s="893">
        <f>IF(ISNUMBER('Base de datos Rutas'!DC294),'Base de datos Rutas'!DC294,"")</f>
        <v>4.1492010445828722</v>
      </c>
      <c r="BJ296" s="805" t="str">
        <f t="shared" si="180"/>
        <v>Ruta (completo)</v>
      </c>
      <c r="BK296" s="783">
        <f t="shared" si="168"/>
        <v>4</v>
      </c>
      <c r="BL296" s="797">
        <f t="shared" si="169"/>
        <v>4</v>
      </c>
      <c r="BM296" s="797">
        <f t="shared" si="170"/>
        <v>3</v>
      </c>
      <c r="BN296" s="797">
        <f t="shared" si="171"/>
        <v>3</v>
      </c>
      <c r="BO296" s="798" cm="1">
        <f t="array" ref="BO296">SUMPRODUCT(--ISNUMBER($BF296:$BI296),$BK$3:$BN$3)</f>
        <v>1</v>
      </c>
      <c r="BP296" s="831">
        <f t="shared" si="181"/>
        <v>62.5</v>
      </c>
      <c r="BQ296" s="834" t="str">
        <f t="shared" si="182"/>
        <v>Alto</v>
      </c>
      <c r="BR296" s="836">
        <f t="shared" si="172"/>
        <v>18.161369630070936</v>
      </c>
      <c r="BS296" s="836">
        <f t="shared" si="173"/>
        <v>62.5</v>
      </c>
      <c r="BT296" s="837" t="str">
        <f t="shared" si="174"/>
        <v>P3</v>
      </c>
      <c r="BU296" s="807" t="str">
        <f t="shared" si="183"/>
        <v>Con espacio</v>
      </c>
      <c r="BV296" s="807" t="str">
        <f t="shared" si="175"/>
        <v>Zona atractiva</v>
      </c>
      <c r="BW296" s="808" t="str">
        <f t="shared" si="176"/>
        <v>P3 - Desarrollar</v>
      </c>
    </row>
    <row r="297" spans="1:75">
      <c r="A297" s="780" t="str">
        <f>'Base de datos Rutas'!A295</f>
        <v>Occidente</v>
      </c>
      <c r="B297" s="781" t="str">
        <f>'Base de datos Rutas'!B295</f>
        <v>San Luis</v>
      </c>
      <c r="C297" s="781" t="str">
        <f>'Base de datos Rutas'!C295</f>
        <v>Suc. Río Verde</v>
      </c>
      <c r="D297" s="782">
        <f>IF(ISNUMBER('Base de datos Rutas'!D295),'Base de datos Rutas'!D295,"Sin código")</f>
        <v>921403</v>
      </c>
      <c r="E297" s="783" t="str">
        <f>'Base de datos Rutas'!F295</f>
        <v>Activa</v>
      </c>
      <c r="F297" s="784" t="str">
        <f>'Base de datos Rutas'!H295</f>
        <v>Sí</v>
      </c>
      <c r="G297" s="785">
        <f>IF(ISNUMBER('Base de datos Rutas'!BE295),'Base de datos Rutas'!BE295,"")</f>
        <v>51.203196347031998</v>
      </c>
      <c r="H297" s="786">
        <f>IF(ISNUMBER('Base de datos Rutas'!BH295),'Base de datos Rutas'!BH295,"")</f>
        <v>0.57069603602800201</v>
      </c>
      <c r="I297" s="788">
        <f>IFERROR(IF(OR(NOT(ISNUMBER('Base de datos Rutas'!O295)),N('Base de datos Rutas'!BK295)=0),"",'Base de datos Rutas'!O295/('Base de datos Rutas'!L295/'Base de datos Rutas'!BK295)),"")</f>
        <v>2892.0547945205526</v>
      </c>
      <c r="J297" s="788">
        <f>IFERROR(IF(OR(NOT(ISNUMBER('Base de datos Rutas'!N295)),N('Base de datos Rutas'!BK295)=0),"",'Base de datos Rutas'!N295/('Base de datos Rutas'!L295/'Base de datos Rutas'!BK295)),"")</f>
        <v>4976.0981735159894</v>
      </c>
      <c r="K297" s="788">
        <f>IFERROR(IF(OR(NOT(ISNUMBER('Base de datos Rutas'!J295)),N('Base de datos Rutas'!BK295)=0),"",'Base de datos Rutas'!J295/('Base de datos Rutas'!L295/'Base de datos Rutas'!BK295)),"")</f>
        <v>343.14770447488638</v>
      </c>
      <c r="L297" s="788">
        <f>IFERROR(IF(OR(NOT(ISNUMBER('Base de datos Rutas'!K295)),N('Base de datos Rutas'!BK295)=0),"",'Base de datos Rutas'!K295/('Base de datos Rutas'!L295/'Base de datos Rutas'!BK295)),"")</f>
        <v>24.738788881278577</v>
      </c>
      <c r="M297" s="787">
        <f>IF(ISNUMBER('Base de datos Rutas'!AX295),'Base de datos Rutas'!AX295,"")</f>
        <v>269.438682709587</v>
      </c>
      <c r="N297" s="790">
        <f>IFERROR(INDEX('Hoja de apoyo v2'!B$17:B$20,MATCH($A297,'Hoja de apoyo v2'!$A$17:$A$20,0)),"")</f>
        <v>89.41621024641401</v>
      </c>
      <c r="O297" s="791">
        <f>IFERROR(INDEX('Hoja de apoyo v2'!C$17:C$20,MATCH($A297,'Hoja de apoyo v2'!$A$17:$A$20,0)),"")</f>
        <v>0.54706375874806301</v>
      </c>
      <c r="P297" s="793">
        <f>IFERROR(INDEX('Hoja de apoyo v2'!D$17:D$20,MATCH($A297,'Hoja de apoyo v2'!$A$17:$A$20,0)),"")</f>
        <v>11095.153935793827</v>
      </c>
      <c r="Q297" s="793">
        <f>IFERROR(INDEX('Hoja de apoyo v2'!E$17:E$20,MATCH($A297,'Hoja de apoyo v2'!$A$17:$A$20,0)),"")</f>
        <v>6982.3202019701848</v>
      </c>
      <c r="R297" s="793">
        <f>IFERROR(INDEX('Hoja de apoyo v2'!F$17:F$20,MATCH($A297,'Hoja de apoyo v2'!$A$17:$A$20,0)),"")</f>
        <v>448.09513474485743</v>
      </c>
      <c r="S297" s="793">
        <f>IFERROR(INDEX('Hoja de apoyo v2'!G$17:G$20,MATCH($A297,'Hoja de apoyo v2'!$A$17:$A$20,0)),"")</f>
        <v>83.406300904207839</v>
      </c>
      <c r="T297" s="792">
        <f>IFERROR(INDEX('Hoja de apoyo v2'!H$17:H$20,MATCH($A297,'Hoja de apoyo v2'!$A$17:$A$20,0)),"")</f>
        <v>378.97014028925349</v>
      </c>
      <c r="U297" s="794">
        <f t="shared" si="148"/>
        <v>0.57263885604104403</v>
      </c>
      <c r="V297" s="795">
        <f t="shared" si="149"/>
        <v>1.0431983967170859</v>
      </c>
      <c r="W297" s="795">
        <f t="shared" si="150"/>
        <v>0.26065927622604312</v>
      </c>
      <c r="X297" s="843">
        <f t="shared" si="151"/>
        <v>0.71267115078908805</v>
      </c>
      <c r="Y297" s="843">
        <f t="shared" si="152"/>
        <v>0.76579207821632012</v>
      </c>
      <c r="Z297" s="843">
        <f t="shared" si="153"/>
        <v>0.29660575535763278</v>
      </c>
      <c r="AA297" s="843">
        <f t="shared" si="154"/>
        <v>0.71097602176238661</v>
      </c>
      <c r="AB297" s="796">
        <f t="shared" si="155"/>
        <v>2</v>
      </c>
      <c r="AC297" s="797">
        <f t="shared" si="156"/>
        <v>4</v>
      </c>
      <c r="AD297" s="797">
        <f t="shared" si="157"/>
        <v>1</v>
      </c>
      <c r="AE297" s="842">
        <f t="shared" si="158"/>
        <v>2</v>
      </c>
      <c r="AF297" s="842">
        <f t="shared" si="159"/>
        <v>3</v>
      </c>
      <c r="AG297" s="842">
        <f t="shared" si="160"/>
        <v>1</v>
      </c>
      <c r="AH297" s="842">
        <f t="shared" si="161"/>
        <v>2</v>
      </c>
      <c r="AI297" s="826" cm="1">
        <f t="array" ref="AI297">SUMPRODUCT(--ISNUMBER($U297:$AA297),$AB$3:$AH$3)</f>
        <v>1</v>
      </c>
      <c r="AJ297" s="829">
        <f t="shared" si="162"/>
        <v>23.188617446433042</v>
      </c>
      <c r="AK297" s="827" t="str">
        <f t="shared" si="163"/>
        <v>Inmadura</v>
      </c>
      <c r="AL297" s="784" t="str">
        <f t="shared" si="164"/>
        <v>Alta</v>
      </c>
      <c r="AM297" s="799">
        <f>IF(ISNUMBER('Base de datos Rutas'!W295),'Base de datos Rutas'!W295,"")</f>
        <v>2793.6211682944554</v>
      </c>
      <c r="AN297" s="787">
        <f>IFERROR(SUMIFS('Base de datos Rutas'!$W$6:$W$794,'Base de datos Rutas'!$C$6:$C$794,$C297)/'Base de datos Rutas'!I295,"")</f>
        <v>2793.6211682944554</v>
      </c>
      <c r="AO297" s="800">
        <f>IFERROR('Base de datos Rutas'!X295*AN297/AM297,"")</f>
        <v>0.43568579316241196</v>
      </c>
      <c r="AP297" s="800">
        <f t="shared" si="165"/>
        <v>0.56431420683758804</v>
      </c>
      <c r="AQ297" s="789">
        <f>IFERROR(INDEX('Hoja de apoyo v2'!$J$17:$J$20,MATCH($A297,'Hoja de apoyo v2'!$A$17:$A$20,0)),"")</f>
        <v>0.64320274048480885</v>
      </c>
      <c r="AR297" s="789">
        <f t="shared" si="166"/>
        <v>-7.8888533647220815E-2</v>
      </c>
      <c r="AS297" s="784" t="str">
        <f t="shared" si="167"/>
        <v>No</v>
      </c>
      <c r="AT297" s="801">
        <f>IF(ISNUMBER('Base de datos Rutas'!CK295),'Base de datos Rutas'!CK295,"")</f>
        <v>275</v>
      </c>
      <c r="AU297" s="802">
        <f>IF(ISNUMBER('Base de datos Rutas'!CL295),'Base de datos Rutas'!CL295,"")</f>
        <v>369.08</v>
      </c>
      <c r="AV297" s="802">
        <f>IF(ISNUMBER('Base de datos Rutas'!CM295),'Base de datos Rutas'!CM295,"")</f>
        <v>94.079999999999984</v>
      </c>
      <c r="AW297" s="802">
        <f>IF(ISNUMBER('Base de datos Rutas'!CN295),'Base de datos Rutas'!CN295,"")</f>
        <v>5.62</v>
      </c>
      <c r="AX297" s="802">
        <f>IF(ISNUMBER('Base de datos Rutas'!CO295),'Base de datos Rutas'!CO295,"")</f>
        <v>9.4499999999999993</v>
      </c>
      <c r="AY297" s="802">
        <f>IF(ISNUMBER('Base de datos Rutas'!CP295),'Base de datos Rutas'!CP295,"")</f>
        <v>3.8299999999999992</v>
      </c>
      <c r="AZ297" s="802">
        <f>IF(ISNUMBER('Base de datos Rutas'!CQ295),'Base de datos Rutas'!CQ295,"")</f>
        <v>846.56</v>
      </c>
      <c r="BA297" s="802">
        <f>IF(ISNUMBER('Base de datos Rutas'!CR295),'Base de datos Rutas'!CR295,"")</f>
        <v>367.89</v>
      </c>
      <c r="BB297" s="803">
        <f>IF(ISNUMBER('Base de datos Rutas'!CS295),'Base de datos Rutas'!CS295,"")</f>
        <v>478.66999999999996</v>
      </c>
      <c r="BC297" s="804">
        <f t="shared" si="177"/>
        <v>0</v>
      </c>
      <c r="BD297" s="805" t="str">
        <f t="shared" si="178"/>
        <v>No saturada</v>
      </c>
      <c r="BE297" s="806">
        <f t="shared" si="179"/>
        <v>0.43457049707049711</v>
      </c>
      <c r="BF297" s="890">
        <f>IF(ISNUMBER('Base de datos Rutas'!CX295),'Base de datos Rutas'!CX295/100,"")</f>
        <v>3.7575472437857758E-3</v>
      </c>
      <c r="BG297" s="891">
        <f>IF(ISNUMBER('Base de datos Rutas'!CZ295),'Base de datos Rutas'!CZ295/100,"")</f>
        <v>1.1134634987845997E-2</v>
      </c>
      <c r="BH297" s="892">
        <f>IF(ISNUMBER('Base de datos Rutas'!DA295),'Base de datos Rutas'!DA295,"")</f>
        <v>119.30569981661203</v>
      </c>
      <c r="BI297" s="893">
        <f>IF(ISNUMBER('Base de datos Rutas'!DC295),'Base de datos Rutas'!DC295,"")</f>
        <v>6.4305663232423242</v>
      </c>
      <c r="BJ297" s="805" t="str">
        <f t="shared" si="180"/>
        <v>Ruta (completo)</v>
      </c>
      <c r="BK297" s="783">
        <f t="shared" si="168"/>
        <v>3</v>
      </c>
      <c r="BL297" s="797">
        <f t="shared" si="169"/>
        <v>3</v>
      </c>
      <c r="BM297" s="797">
        <f t="shared" si="170"/>
        <v>4</v>
      </c>
      <c r="BN297" s="797">
        <f t="shared" si="171"/>
        <v>4</v>
      </c>
      <c r="BO297" s="798" cm="1">
        <f t="array" ref="BO297">SUMPRODUCT(--ISNUMBER($BF297:$BI297),$BK$3:$BN$3)</f>
        <v>1</v>
      </c>
      <c r="BP297" s="831">
        <f t="shared" si="181"/>
        <v>62.5</v>
      </c>
      <c r="BQ297" s="834" t="str">
        <f t="shared" si="182"/>
        <v>Alto</v>
      </c>
      <c r="BR297" s="836">
        <f t="shared" si="172"/>
        <v>17.391463084824782</v>
      </c>
      <c r="BS297" s="836">
        <f t="shared" si="173"/>
        <v>62.5</v>
      </c>
      <c r="BT297" s="837" t="str">
        <f t="shared" si="174"/>
        <v>P3</v>
      </c>
      <c r="BU297" s="807" t="str">
        <f t="shared" si="183"/>
        <v>Con espacio</v>
      </c>
      <c r="BV297" s="807" t="str">
        <f t="shared" si="175"/>
        <v>Zona atractiva</v>
      </c>
      <c r="BW297" s="808" t="str">
        <f t="shared" si="176"/>
        <v>P3 - Desarrollar</v>
      </c>
    </row>
    <row r="298" spans="1:75">
      <c r="A298" s="780" t="str">
        <f>'Base de datos Rutas'!A296</f>
        <v>Occidente</v>
      </c>
      <c r="B298" s="781" t="str">
        <f>'Base de datos Rutas'!B296</f>
        <v>San Luis</v>
      </c>
      <c r="C298" s="781" t="str">
        <f>'Base de datos Rutas'!C296</f>
        <v>Suc. Río Verde</v>
      </c>
      <c r="D298" s="782">
        <f>IF(ISNUMBER('Base de datos Rutas'!D296),'Base de datos Rutas'!D296,"Sin código")</f>
        <v>921404</v>
      </c>
      <c r="E298" s="783" t="str">
        <f>'Base de datos Rutas'!F296</f>
        <v>Activa</v>
      </c>
      <c r="F298" s="784" t="str">
        <f>'Base de datos Rutas'!H296</f>
        <v>Sí</v>
      </c>
      <c r="G298" s="785">
        <f>IF(ISNUMBER('Base de datos Rutas'!BE296),'Base de datos Rutas'!BE296,"")</f>
        <v>70.182232346241506</v>
      </c>
      <c r="H298" s="786">
        <f>IF(ISNUMBER('Base de datos Rutas'!BH296),'Base de datos Rutas'!BH296,"")</f>
        <v>0.54654333008763401</v>
      </c>
      <c r="I298" s="788">
        <f>IFERROR(IF(OR(NOT(ISNUMBER('Base de datos Rutas'!O296)),N('Base de datos Rutas'!BK296)=0),"",'Base de datos Rutas'!O296/('Base de datos Rutas'!L296/'Base de datos Rutas'!BK296)),"")</f>
        <v>2786.0478359908861</v>
      </c>
      <c r="J298" s="788">
        <f>IFERROR(IF(OR(NOT(ISNUMBER('Base de datos Rutas'!N296)),N('Base de datos Rutas'!BK296)=0),"",'Base de datos Rutas'!N296/('Base de datos Rutas'!L296/'Base de datos Rutas'!BK296)),"")</f>
        <v>6210.3257403189018</v>
      </c>
      <c r="K298" s="788">
        <f>IFERROR(IF(OR(NOT(ISNUMBER('Base de datos Rutas'!J296)),N('Base de datos Rutas'!BK296)=0),"",'Base de datos Rutas'!J296/('Base de datos Rutas'!L296/'Base de datos Rutas'!BK296)),"")</f>
        <v>418.8125576309792</v>
      </c>
      <c r="L298" s="788">
        <f>IFERROR(IF(OR(NOT(ISNUMBER('Base de datos Rutas'!K296)),N('Base de datos Rutas'!BK296)=0),"",'Base de datos Rutas'!K296/('Base de datos Rutas'!L296/'Base de datos Rutas'!BK296)),"")</f>
        <v>23.170849432801806</v>
      </c>
      <c r="M298" s="787">
        <f>IF(ISNUMBER('Base de datos Rutas'!AX296),'Base de datos Rutas'!AX296,"")</f>
        <v>234.40266345982499</v>
      </c>
      <c r="N298" s="790">
        <f>IFERROR(INDEX('Hoja de apoyo v2'!B$17:B$20,MATCH($A298,'Hoja de apoyo v2'!$A$17:$A$20,0)),"")</f>
        <v>89.41621024641401</v>
      </c>
      <c r="O298" s="791">
        <f>IFERROR(INDEX('Hoja de apoyo v2'!C$17:C$20,MATCH($A298,'Hoja de apoyo v2'!$A$17:$A$20,0)),"")</f>
        <v>0.54706375874806301</v>
      </c>
      <c r="P298" s="793">
        <f>IFERROR(INDEX('Hoja de apoyo v2'!D$17:D$20,MATCH($A298,'Hoja de apoyo v2'!$A$17:$A$20,0)),"")</f>
        <v>11095.153935793827</v>
      </c>
      <c r="Q298" s="793">
        <f>IFERROR(INDEX('Hoja de apoyo v2'!E$17:E$20,MATCH($A298,'Hoja de apoyo v2'!$A$17:$A$20,0)),"")</f>
        <v>6982.3202019701848</v>
      </c>
      <c r="R298" s="793">
        <f>IFERROR(INDEX('Hoja de apoyo v2'!F$17:F$20,MATCH($A298,'Hoja de apoyo v2'!$A$17:$A$20,0)),"")</f>
        <v>448.09513474485743</v>
      </c>
      <c r="S298" s="793">
        <f>IFERROR(INDEX('Hoja de apoyo v2'!G$17:G$20,MATCH($A298,'Hoja de apoyo v2'!$A$17:$A$20,0)),"")</f>
        <v>83.406300904207839</v>
      </c>
      <c r="T298" s="792">
        <f>IFERROR(INDEX('Hoja de apoyo v2'!H$17:H$20,MATCH($A298,'Hoja de apoyo v2'!$A$17:$A$20,0)),"")</f>
        <v>378.97014028925349</v>
      </c>
      <c r="U298" s="794">
        <f t="shared" si="148"/>
        <v>0.78489383695453729</v>
      </c>
      <c r="V298" s="795">
        <f t="shared" si="149"/>
        <v>0.99904868737490493</v>
      </c>
      <c r="W298" s="795">
        <f t="shared" si="150"/>
        <v>0.25110492852225147</v>
      </c>
      <c r="X298" s="843">
        <f t="shared" si="151"/>
        <v>0.88943582658477172</v>
      </c>
      <c r="Y298" s="843">
        <f t="shared" si="152"/>
        <v>0.93465098180422879</v>
      </c>
      <c r="Z298" s="843">
        <f t="shared" si="153"/>
        <v>0.27780694242049569</v>
      </c>
      <c r="AA298" s="843">
        <f t="shared" si="154"/>
        <v>0.61852541543487927</v>
      </c>
      <c r="AB298" s="796">
        <f t="shared" si="155"/>
        <v>3</v>
      </c>
      <c r="AC298" s="797">
        <f t="shared" si="156"/>
        <v>3</v>
      </c>
      <c r="AD298" s="797">
        <f t="shared" si="157"/>
        <v>1</v>
      </c>
      <c r="AE298" s="842">
        <f t="shared" si="158"/>
        <v>3</v>
      </c>
      <c r="AF298" s="842">
        <f t="shared" si="159"/>
        <v>3</v>
      </c>
      <c r="AG298" s="842">
        <f t="shared" si="160"/>
        <v>1</v>
      </c>
      <c r="AH298" s="842">
        <f t="shared" si="161"/>
        <v>2</v>
      </c>
      <c r="AI298" s="826" cm="1">
        <f t="array" ref="AI298">SUMPRODUCT(--ISNUMBER($U298:$AA298),$AB$3:$AH$3)</f>
        <v>1</v>
      </c>
      <c r="AJ298" s="829">
        <f t="shared" si="162"/>
        <v>28.748795684897999</v>
      </c>
      <c r="AK298" s="827" t="str">
        <f t="shared" si="163"/>
        <v>Inmadura</v>
      </c>
      <c r="AL298" s="784" t="str">
        <f t="shared" si="164"/>
        <v>Alta</v>
      </c>
      <c r="AM298" s="799">
        <f>IF(ISNUMBER('Base de datos Rutas'!W296),'Base de datos Rutas'!W296,"")</f>
        <v>2793.6211682944554</v>
      </c>
      <c r="AN298" s="787">
        <f>IFERROR(SUMIFS('Base de datos Rutas'!$W$6:$W$794,'Base de datos Rutas'!$C$6:$C$794,$C298)/'Base de datos Rutas'!I296,"")</f>
        <v>2793.6211682944554</v>
      </c>
      <c r="AO298" s="800">
        <f>IFERROR('Base de datos Rutas'!X296*AN298/AM298,"")</f>
        <v>0.43568579316241196</v>
      </c>
      <c r="AP298" s="800">
        <f t="shared" si="165"/>
        <v>0.56431420683758804</v>
      </c>
      <c r="AQ298" s="789">
        <f>IFERROR(INDEX('Hoja de apoyo v2'!$J$17:$J$20,MATCH($A298,'Hoja de apoyo v2'!$A$17:$A$20,0)),"")</f>
        <v>0.64320274048480885</v>
      </c>
      <c r="AR298" s="789">
        <f t="shared" si="166"/>
        <v>-7.8888533647220815E-2</v>
      </c>
      <c r="AS298" s="784" t="str">
        <f t="shared" si="167"/>
        <v>No</v>
      </c>
      <c r="AT298" s="801">
        <f>IF(ISNUMBER('Base de datos Rutas'!CK296),'Base de datos Rutas'!CK296,"")</f>
        <v>262</v>
      </c>
      <c r="AU298" s="802">
        <f>IF(ISNUMBER('Base de datos Rutas'!CL296),'Base de datos Rutas'!CL296,"")</f>
        <v>262</v>
      </c>
      <c r="AV298" s="802">
        <f>IF(ISNUMBER('Base de datos Rutas'!CM296),'Base de datos Rutas'!CM296,"")</f>
        <v>0</v>
      </c>
      <c r="AW298" s="802" t="str">
        <f>IF(ISNUMBER('Base de datos Rutas'!CN296),'Base de datos Rutas'!CN296,"")</f>
        <v/>
      </c>
      <c r="AX298" s="802">
        <f>IF(ISNUMBER('Base de datos Rutas'!CO296),'Base de datos Rutas'!CO296,"")</f>
        <v>9.4499999999999993</v>
      </c>
      <c r="AY298" s="802">
        <f>IF(ISNUMBER('Base de datos Rutas'!CP296),'Base de datos Rutas'!CP296,"")</f>
        <v>9.4499999999999993</v>
      </c>
      <c r="AZ298" s="802" t="str">
        <f>IF(ISNUMBER('Base de datos Rutas'!CQ296),'Base de datos Rutas'!CQ296,"")</f>
        <v/>
      </c>
      <c r="BA298" s="802" t="str">
        <f>IF(ISNUMBER('Base de datos Rutas'!CR296),'Base de datos Rutas'!CR296,"")</f>
        <v/>
      </c>
      <c r="BB298" s="803">
        <f>IF(ISNUMBER('Base de datos Rutas'!CS296),'Base de datos Rutas'!CS296,"")</f>
        <v>0</v>
      </c>
      <c r="BC298" s="804" t="str">
        <f t="shared" si="177"/>
        <v/>
      </c>
      <c r="BD298" s="805" t="str">
        <f t="shared" si="178"/>
        <v>N/D</v>
      </c>
      <c r="BE298" s="806" t="str">
        <f t="shared" si="179"/>
        <v/>
      </c>
      <c r="BF298" s="890">
        <f>IF(ISNUMBER('Base de datos Rutas'!CX296),'Base de datos Rutas'!CX296/100,"")</f>
        <v>0</v>
      </c>
      <c r="BG298" s="891">
        <f>IF(ISNUMBER('Base de datos Rutas'!CZ296),'Base de datos Rutas'!CZ296/100,"")</f>
        <v>0</v>
      </c>
      <c r="BH298" s="892">
        <f>IF(ISNUMBER('Base de datos Rutas'!DA296),'Base de datos Rutas'!DA296,"")</f>
        <v>0</v>
      </c>
      <c r="BI298" s="893">
        <f>IF(ISNUMBER('Base de datos Rutas'!DC296),'Base de datos Rutas'!DC296,"")</f>
        <v>0</v>
      </c>
      <c r="BJ298" s="805" t="str">
        <f t="shared" si="180"/>
        <v>Ruta (completo)</v>
      </c>
      <c r="BK298" s="783">
        <f t="shared" si="168"/>
        <v>2</v>
      </c>
      <c r="BL298" s="797">
        <f t="shared" si="169"/>
        <v>1</v>
      </c>
      <c r="BM298" s="797">
        <f t="shared" si="170"/>
        <v>1</v>
      </c>
      <c r="BN298" s="797">
        <f t="shared" si="171"/>
        <v>1</v>
      </c>
      <c r="BO298" s="798" cm="1">
        <f t="array" ref="BO298">SUMPRODUCT(--ISNUMBER($BF298:$BI298),$BK$3:$BN$3)</f>
        <v>1</v>
      </c>
      <c r="BP298" s="831">
        <f t="shared" si="181"/>
        <v>6.25</v>
      </c>
      <c r="BQ298" s="834" t="str">
        <f t="shared" si="182"/>
        <v>Bajo</v>
      </c>
      <c r="BR298" s="836" t="str">
        <f t="shared" si="172"/>
        <v/>
      </c>
      <c r="BS298" s="836">
        <f t="shared" si="173"/>
        <v>6.25</v>
      </c>
      <c r="BT298" s="837" t="str">
        <f t="shared" si="174"/>
        <v>Sin datos</v>
      </c>
      <c r="BU298" s="807" t="str">
        <f t="shared" si="183"/>
        <v>Con espacio</v>
      </c>
      <c r="BV298" s="807" t="str">
        <f t="shared" si="175"/>
        <v>Zona de bajo potencial</v>
      </c>
      <c r="BW298" s="808" t="str">
        <f t="shared" si="176"/>
        <v>Sin datos</v>
      </c>
    </row>
    <row r="299" spans="1:75">
      <c r="A299" s="780" t="str">
        <f>'Base de datos Rutas'!A297</f>
        <v>Occidente</v>
      </c>
      <c r="B299" s="781" t="str">
        <f>'Base de datos Rutas'!B297</f>
        <v>San Luis</v>
      </c>
      <c r="C299" s="781" t="str">
        <f>'Base de datos Rutas'!C297</f>
        <v>Suc. Río Verde</v>
      </c>
      <c r="D299" s="782">
        <f>IF(ISNUMBER('Base de datos Rutas'!D297),'Base de datos Rutas'!D297,"Sin código")</f>
        <v>921405</v>
      </c>
      <c r="E299" s="783" t="str">
        <f>'Base de datos Rutas'!F297</f>
        <v>Inactiva</v>
      </c>
      <c r="F299" s="784" t="str">
        <f>'Base de datos Rutas'!H297</f>
        <v>No</v>
      </c>
      <c r="G299" s="785" t="str">
        <f>IF(ISNUMBER('Base de datos Rutas'!BE297),'Base de datos Rutas'!BE297,"")</f>
        <v/>
      </c>
      <c r="H299" s="786" t="str">
        <f>IF(ISNUMBER('Base de datos Rutas'!BH297),'Base de datos Rutas'!BH297,"")</f>
        <v/>
      </c>
      <c r="I299" s="788" t="str">
        <f>IFERROR(IF(OR(NOT(ISNUMBER('Base de datos Rutas'!O297)),N('Base de datos Rutas'!BK297)=0),"",'Base de datos Rutas'!O297/('Base de datos Rutas'!L297/'Base de datos Rutas'!BK297)),"")</f>
        <v/>
      </c>
      <c r="J299" s="788" t="str">
        <f>IFERROR(IF(OR(NOT(ISNUMBER('Base de datos Rutas'!N297)),N('Base de datos Rutas'!BK297)=0),"",'Base de datos Rutas'!N297/('Base de datos Rutas'!L297/'Base de datos Rutas'!BK297)),"")</f>
        <v/>
      </c>
      <c r="K299" s="788" t="str">
        <f>IFERROR(IF(OR(NOT(ISNUMBER('Base de datos Rutas'!J297)),N('Base de datos Rutas'!BK297)=0),"",'Base de datos Rutas'!J297/('Base de datos Rutas'!L297/'Base de datos Rutas'!BK297)),"")</f>
        <v/>
      </c>
      <c r="L299" s="788" t="str">
        <f>IFERROR(IF(OR(NOT(ISNUMBER('Base de datos Rutas'!K297)),N('Base de datos Rutas'!BK297)=0),"",'Base de datos Rutas'!K297/('Base de datos Rutas'!L297/'Base de datos Rutas'!BK297)),"")</f>
        <v/>
      </c>
      <c r="M299" s="787">
        <f>IF(ISNUMBER('Base de datos Rutas'!AX297),'Base de datos Rutas'!AX297,"")</f>
        <v>874.89929292929298</v>
      </c>
      <c r="N299" s="790">
        <f>IFERROR(INDEX('Hoja de apoyo v2'!B$17:B$20,MATCH($A299,'Hoja de apoyo v2'!$A$17:$A$20,0)),"")</f>
        <v>89.41621024641401</v>
      </c>
      <c r="O299" s="791">
        <f>IFERROR(INDEX('Hoja de apoyo v2'!C$17:C$20,MATCH($A299,'Hoja de apoyo v2'!$A$17:$A$20,0)),"")</f>
        <v>0.54706375874806301</v>
      </c>
      <c r="P299" s="793">
        <f>IFERROR(INDEX('Hoja de apoyo v2'!D$17:D$20,MATCH($A299,'Hoja de apoyo v2'!$A$17:$A$20,0)),"")</f>
        <v>11095.153935793827</v>
      </c>
      <c r="Q299" s="793">
        <f>IFERROR(INDEX('Hoja de apoyo v2'!E$17:E$20,MATCH($A299,'Hoja de apoyo v2'!$A$17:$A$20,0)),"")</f>
        <v>6982.3202019701848</v>
      </c>
      <c r="R299" s="793">
        <f>IFERROR(INDEX('Hoja de apoyo v2'!F$17:F$20,MATCH($A299,'Hoja de apoyo v2'!$A$17:$A$20,0)),"")</f>
        <v>448.09513474485743</v>
      </c>
      <c r="S299" s="793">
        <f>IFERROR(INDEX('Hoja de apoyo v2'!G$17:G$20,MATCH($A299,'Hoja de apoyo v2'!$A$17:$A$20,0)),"")</f>
        <v>83.406300904207839</v>
      </c>
      <c r="T299" s="792">
        <f>IFERROR(INDEX('Hoja de apoyo v2'!H$17:H$20,MATCH($A299,'Hoja de apoyo v2'!$A$17:$A$20,0)),"")</f>
        <v>378.97014028925349</v>
      </c>
      <c r="U299" s="794" t="str">
        <f t="shared" si="148"/>
        <v/>
      </c>
      <c r="V299" s="795" t="str">
        <f t="shared" si="149"/>
        <v/>
      </c>
      <c r="W299" s="795" t="str">
        <f t="shared" si="150"/>
        <v/>
      </c>
      <c r="X299" s="843" t="str">
        <f t="shared" si="151"/>
        <v/>
      </c>
      <c r="Y299" s="843" t="str">
        <f t="shared" si="152"/>
        <v/>
      </c>
      <c r="Z299" s="843" t="str">
        <f t="shared" si="153"/>
        <v/>
      </c>
      <c r="AA299" s="843">
        <f t="shared" si="154"/>
        <v>2.3086232922243308</v>
      </c>
      <c r="AB299" s="796">
        <f t="shared" si="155"/>
        <v>0</v>
      </c>
      <c r="AC299" s="797">
        <f t="shared" si="156"/>
        <v>0</v>
      </c>
      <c r="AD299" s="797">
        <f t="shared" si="157"/>
        <v>0</v>
      </c>
      <c r="AE299" s="842">
        <f t="shared" si="158"/>
        <v>0</v>
      </c>
      <c r="AF299" s="842">
        <f t="shared" si="159"/>
        <v>0</v>
      </c>
      <c r="AG299" s="842">
        <f t="shared" si="160"/>
        <v>0</v>
      </c>
      <c r="AH299" s="842">
        <f t="shared" si="161"/>
        <v>5</v>
      </c>
      <c r="AI299" s="826" cm="1">
        <f t="array" ref="AI299">SUMPRODUCT(--ISNUMBER($U299:$AA299),$AB$3:$AH$3)</f>
        <v>8.9789113613062493E-2</v>
      </c>
      <c r="AJ299" s="829" t="str">
        <f t="shared" si="162"/>
        <v/>
      </c>
      <c r="AK299" s="827" t="str">
        <f t="shared" si="163"/>
        <v>Ruta inactiva</v>
      </c>
      <c r="AL299" s="784" t="str">
        <f t="shared" si="164"/>
        <v>n/a</v>
      </c>
      <c r="AM299" s="799">
        <f>IF(ISNUMBER('Base de datos Rutas'!W297),'Base de datos Rutas'!W297,"")</f>
        <v>2793.6211682944554</v>
      </c>
      <c r="AN299" s="787">
        <f>IFERROR(SUMIFS('Base de datos Rutas'!$W$6:$W$794,'Base de datos Rutas'!$C$6:$C$794,$C299)/'Base de datos Rutas'!I297,"")</f>
        <v>2793.6211682944554</v>
      </c>
      <c r="AO299" s="800">
        <f>IFERROR('Base de datos Rutas'!X297*AN299/AM299,"")</f>
        <v>0.43568579316241196</v>
      </c>
      <c r="AP299" s="800">
        <f t="shared" si="165"/>
        <v>0.56431420683758804</v>
      </c>
      <c r="AQ299" s="789">
        <f>IFERROR(INDEX('Hoja de apoyo v2'!$J$17:$J$20,MATCH($A299,'Hoja de apoyo v2'!$A$17:$A$20,0)),"")</f>
        <v>0.64320274048480885</v>
      </c>
      <c r="AR299" s="789">
        <f t="shared" si="166"/>
        <v>-7.8888533647220815E-2</v>
      </c>
      <c r="AS299" s="784" t="str">
        <f t="shared" si="167"/>
        <v>No</v>
      </c>
      <c r="AT299" s="801" t="str">
        <f>IF(ISNUMBER('Base de datos Rutas'!CK297),'Base de datos Rutas'!CK297,"")</f>
        <v/>
      </c>
      <c r="AU299" s="802" t="str">
        <f>IF(ISNUMBER('Base de datos Rutas'!CL297),'Base de datos Rutas'!CL297,"")</f>
        <v/>
      </c>
      <c r="AV299" s="802">
        <f>IF(ISNUMBER('Base de datos Rutas'!CM297),'Base de datos Rutas'!CM297,"")</f>
        <v>0</v>
      </c>
      <c r="AW299" s="802" t="str">
        <f>IF(ISNUMBER('Base de datos Rutas'!CN297),'Base de datos Rutas'!CN297,"")</f>
        <v/>
      </c>
      <c r="AX299" s="802" t="str">
        <f>IF(ISNUMBER('Base de datos Rutas'!CO297),'Base de datos Rutas'!CO297,"")</f>
        <v/>
      </c>
      <c r="AY299" s="802">
        <f>IF(ISNUMBER('Base de datos Rutas'!CP297),'Base de datos Rutas'!CP297,"")</f>
        <v>0</v>
      </c>
      <c r="AZ299" s="802" t="str">
        <f>IF(ISNUMBER('Base de datos Rutas'!CQ297),'Base de datos Rutas'!CQ297,"")</f>
        <v/>
      </c>
      <c r="BA299" s="802" t="str">
        <f>IF(ISNUMBER('Base de datos Rutas'!CR297),'Base de datos Rutas'!CR297,"")</f>
        <v/>
      </c>
      <c r="BB299" s="803">
        <f>IF(ISNUMBER('Base de datos Rutas'!CS297),'Base de datos Rutas'!CS297,"")</f>
        <v>0</v>
      </c>
      <c r="BC299" s="804" t="str">
        <f t="shared" si="177"/>
        <v/>
      </c>
      <c r="BD299" s="805" t="str">
        <f t="shared" si="178"/>
        <v>N/D</v>
      </c>
      <c r="BE299" s="806" t="str">
        <f t="shared" si="179"/>
        <v/>
      </c>
      <c r="BF299" s="890" t="str">
        <f>IF(ISNUMBER('Base de datos Rutas'!CX297),'Base de datos Rutas'!CX297/100,"")</f>
        <v/>
      </c>
      <c r="BG299" s="891" t="str">
        <f>IF(ISNUMBER('Base de datos Rutas'!CZ297),'Base de datos Rutas'!CZ297/100,"")</f>
        <v/>
      </c>
      <c r="BH299" s="892" t="str">
        <f>IF(ISNUMBER('Base de datos Rutas'!DA297),'Base de datos Rutas'!DA297,"")</f>
        <v/>
      </c>
      <c r="BI299" s="893" t="str">
        <f>IF(ISNUMBER('Base de datos Rutas'!DC297),'Base de datos Rutas'!DC297,"")</f>
        <v/>
      </c>
      <c r="BJ299" s="805" t="str">
        <f t="shared" si="180"/>
        <v>Sin dato</v>
      </c>
      <c r="BK299" s="783">
        <f t="shared" si="168"/>
        <v>0</v>
      </c>
      <c r="BL299" s="797">
        <f t="shared" si="169"/>
        <v>0</v>
      </c>
      <c r="BM299" s="797">
        <f t="shared" si="170"/>
        <v>0</v>
      </c>
      <c r="BN299" s="797">
        <f t="shared" si="171"/>
        <v>0</v>
      </c>
      <c r="BO299" s="798" cm="1">
        <f t="array" ref="BO299">SUMPRODUCT(--ISNUMBER($BF299:$BI299),$BK$3:$BN$3)</f>
        <v>0</v>
      </c>
      <c r="BP299" s="831" t="str">
        <f t="shared" si="181"/>
        <v/>
      </c>
      <c r="BQ299" s="834" t="str">
        <f t="shared" si="182"/>
        <v>Sin datos</v>
      </c>
      <c r="BR299" s="836" t="str">
        <f t="shared" si="172"/>
        <v/>
      </c>
      <c r="BS299" s="836" t="str">
        <f t="shared" si="173"/>
        <v/>
      </c>
      <c r="BT299" s="837" t="str">
        <f t="shared" si="174"/>
        <v>Sin datos</v>
      </c>
      <c r="BU299" s="807" t="str">
        <f t="shared" si="183"/>
        <v>No evaluable</v>
      </c>
      <c r="BV299" s="807" t="str">
        <f t="shared" si="175"/>
        <v>No evaluable</v>
      </c>
      <c r="BW299" s="808" t="str">
        <f t="shared" si="176"/>
        <v>Sin datos</v>
      </c>
    </row>
    <row r="300" spans="1:75">
      <c r="A300" s="780" t="str">
        <f>'Base de datos Rutas'!A298</f>
        <v>Occidente</v>
      </c>
      <c r="B300" s="781" t="str">
        <f>'Base de datos Rutas'!B298</f>
        <v>Favorita</v>
      </c>
      <c r="C300" s="781" t="str">
        <f>'Base de datos Rutas'!C298</f>
        <v>Cedi Tonalá</v>
      </c>
      <c r="D300" s="782">
        <f>IF(ISNUMBER('Base de datos Rutas'!D298),'Base de datos Rutas'!D298,"Sin código")</f>
        <v>810320</v>
      </c>
      <c r="E300" s="783" t="str">
        <f>'Base de datos Rutas'!F298</f>
        <v>Activa</v>
      </c>
      <c r="F300" s="784" t="str">
        <f>'Base de datos Rutas'!H298</f>
        <v>Sí</v>
      </c>
      <c r="G300" s="785">
        <f>IF(ISNUMBER('Base de datos Rutas'!BE298),'Base de datos Rutas'!BE298,"")</f>
        <v>99.038929440389296</v>
      </c>
      <c r="H300" s="786">
        <f>IF(ISNUMBER('Base de datos Rutas'!BH298),'Base de datos Rutas'!BH298,"")</f>
        <v>0.34460140031937098</v>
      </c>
      <c r="I300" s="788">
        <f>IFERROR(IF(OR(NOT(ISNUMBER('Base de datos Rutas'!O298)),N('Base de datos Rutas'!BK298)=0),"",'Base de datos Rutas'!O298/('Base de datos Rutas'!L298/'Base de datos Rutas'!BK298)),"")</f>
        <v>3411.4334085778787</v>
      </c>
      <c r="J300" s="788">
        <f>IFERROR(IF(OR(NOT(ISNUMBER('Base de datos Rutas'!N298)),N('Base de datos Rutas'!BK298)=0),"",'Base de datos Rutas'!N298/('Base de datos Rutas'!L298/'Base de datos Rutas'!BK298)),"")</f>
        <v>5354.8510158013551</v>
      </c>
      <c r="K300" s="788">
        <f>IFERROR(IF(OR(NOT(ISNUMBER('Base de datos Rutas'!J298)),N('Base de datos Rutas'!BK298)=0),"",'Base de datos Rutas'!J298/('Base de datos Rutas'!L298/'Base de datos Rutas'!BK298)),"")</f>
        <v>366.36140496614001</v>
      </c>
      <c r="L300" s="788">
        <f>IFERROR(IF(OR(NOT(ISNUMBER('Base de datos Rutas'!K298)),N('Base de datos Rutas'!BK298)=0),"",'Base de datos Rutas'!K298/('Base de datos Rutas'!L298/'Base de datos Rutas'!BK298)),"")</f>
        <v>29.274264758465016</v>
      </c>
      <c r="M300" s="787">
        <f>IF(ISNUMBER('Base de datos Rutas'!AX298),'Base de datos Rutas'!AX298,"")</f>
        <v>259.29507978901</v>
      </c>
      <c r="N300" s="790">
        <f>IFERROR(INDEX('Hoja de apoyo v2'!B$17:B$20,MATCH($A300,'Hoja de apoyo v2'!$A$17:$A$20,0)),"")</f>
        <v>89.41621024641401</v>
      </c>
      <c r="O300" s="791">
        <f>IFERROR(INDEX('Hoja de apoyo v2'!C$17:C$20,MATCH($A300,'Hoja de apoyo v2'!$A$17:$A$20,0)),"")</f>
        <v>0.54706375874806301</v>
      </c>
      <c r="P300" s="793">
        <f>IFERROR(INDEX('Hoja de apoyo v2'!D$17:D$20,MATCH($A300,'Hoja de apoyo v2'!$A$17:$A$20,0)),"")</f>
        <v>11095.153935793827</v>
      </c>
      <c r="Q300" s="793">
        <f>IFERROR(INDEX('Hoja de apoyo v2'!E$17:E$20,MATCH($A300,'Hoja de apoyo v2'!$A$17:$A$20,0)),"")</f>
        <v>6982.3202019701848</v>
      </c>
      <c r="R300" s="793">
        <f>IFERROR(INDEX('Hoja de apoyo v2'!F$17:F$20,MATCH($A300,'Hoja de apoyo v2'!$A$17:$A$20,0)),"")</f>
        <v>448.09513474485743</v>
      </c>
      <c r="S300" s="793">
        <f>IFERROR(INDEX('Hoja de apoyo v2'!G$17:G$20,MATCH($A300,'Hoja de apoyo v2'!$A$17:$A$20,0)),"")</f>
        <v>83.406300904207839</v>
      </c>
      <c r="T300" s="792">
        <f>IFERROR(INDEX('Hoja de apoyo v2'!H$17:H$20,MATCH($A300,'Hoja de apoyo v2'!$A$17:$A$20,0)),"")</f>
        <v>378.97014028925349</v>
      </c>
      <c r="U300" s="794">
        <f t="shared" si="148"/>
        <v>1.1076171665904528</v>
      </c>
      <c r="V300" s="795">
        <f t="shared" si="149"/>
        <v>0.62991085556093074</v>
      </c>
      <c r="W300" s="795">
        <f t="shared" si="150"/>
        <v>0.30747057934656769</v>
      </c>
      <c r="X300" s="843">
        <f t="shared" si="151"/>
        <v>0.7669157043657765</v>
      </c>
      <c r="Y300" s="843">
        <f t="shared" si="152"/>
        <v>0.81759737287650736</v>
      </c>
      <c r="Z300" s="843">
        <f t="shared" si="153"/>
        <v>0.35098385183256742</v>
      </c>
      <c r="AA300" s="843">
        <f t="shared" si="154"/>
        <v>0.6842097891699328</v>
      </c>
      <c r="AB300" s="796">
        <f t="shared" si="155"/>
        <v>4</v>
      </c>
      <c r="AC300" s="797">
        <f t="shared" si="156"/>
        <v>2</v>
      </c>
      <c r="AD300" s="797">
        <f t="shared" si="157"/>
        <v>1</v>
      </c>
      <c r="AE300" s="842">
        <f t="shared" si="158"/>
        <v>3</v>
      </c>
      <c r="AF300" s="842">
        <f t="shared" si="159"/>
        <v>3</v>
      </c>
      <c r="AG300" s="842">
        <f t="shared" si="160"/>
        <v>1</v>
      </c>
      <c r="AH300" s="842">
        <f t="shared" si="161"/>
        <v>2</v>
      </c>
      <c r="AI300" s="826" cm="1">
        <f t="array" ref="AI300">SUMPRODUCT(--ISNUMBER($U300:$AA300),$AB$3:$AH$3)</f>
        <v>1</v>
      </c>
      <c r="AJ300" s="829">
        <f t="shared" si="162"/>
        <v>30.899526277144261</v>
      </c>
      <c r="AK300" s="827" t="str">
        <f t="shared" si="163"/>
        <v>Inmadura</v>
      </c>
      <c r="AL300" s="784" t="str">
        <f t="shared" si="164"/>
        <v>Alta</v>
      </c>
      <c r="AM300" s="799">
        <f>IF(ISNUMBER('Base de datos Rutas'!W298),'Base de datos Rutas'!W298,"")</f>
        <v>2982.1586443005776</v>
      </c>
      <c r="AN300" s="787">
        <f>IFERROR(SUMIFS('Base de datos Rutas'!$W$6:$W$794,'Base de datos Rutas'!$C$6:$C$794,$C300)/'Base de datos Rutas'!I298,"")</f>
        <v>2982.158644300579</v>
      </c>
      <c r="AO300" s="800">
        <f>IFERROR('Base de datos Rutas'!X298*AN300/AM300,"")</f>
        <v>0.51837289520136576</v>
      </c>
      <c r="AP300" s="800">
        <f t="shared" si="165"/>
        <v>0.48162710479863424</v>
      </c>
      <c r="AQ300" s="789">
        <f>IFERROR(INDEX('Hoja de apoyo v2'!$J$17:$J$20,MATCH($A300,'Hoja de apoyo v2'!$A$17:$A$20,0)),"")</f>
        <v>0.64320274048480885</v>
      </c>
      <c r="AR300" s="789">
        <f t="shared" si="166"/>
        <v>-0.16157563568617461</v>
      </c>
      <c r="AS300" s="784" t="str">
        <f t="shared" si="167"/>
        <v>No</v>
      </c>
      <c r="AT300" s="801">
        <f>IF(ISNUMBER('Base de datos Rutas'!CK298),'Base de datos Rutas'!CK298,"")</f>
        <v>296</v>
      </c>
      <c r="AU300" s="802">
        <f>IF(ISNUMBER('Base de datos Rutas'!CL298),'Base de datos Rutas'!CL298,"")</f>
        <v>428.81</v>
      </c>
      <c r="AV300" s="802">
        <f>IF(ISNUMBER('Base de datos Rutas'!CM298),'Base de datos Rutas'!CM298,"")</f>
        <v>132.81</v>
      </c>
      <c r="AW300" s="802">
        <f>IF(ISNUMBER('Base de datos Rutas'!CN298),'Base de datos Rutas'!CN298,"")</f>
        <v>9.06</v>
      </c>
      <c r="AX300" s="802">
        <f>IF(ISNUMBER('Base de datos Rutas'!CO298),'Base de datos Rutas'!CO298,"")</f>
        <v>9.4499999999999993</v>
      </c>
      <c r="AY300" s="802">
        <f>IF(ISNUMBER('Base de datos Rutas'!CP298),'Base de datos Rutas'!CP298,"")</f>
        <v>0.38999999999999879</v>
      </c>
      <c r="AZ300" s="802">
        <f>IF(ISNUMBER('Base de datos Rutas'!CQ298),'Base de datos Rutas'!CQ298,"")</f>
        <v>846.56</v>
      </c>
      <c r="BA300" s="802">
        <f>IF(ISNUMBER('Base de datos Rutas'!CR298),'Base de datos Rutas'!CR298,"")</f>
        <v>395.64</v>
      </c>
      <c r="BB300" s="803">
        <f>IF(ISNUMBER('Base de datos Rutas'!CS298),'Base de datos Rutas'!CS298,"")</f>
        <v>450.91999999999996</v>
      </c>
      <c r="BC300" s="804">
        <f t="shared" si="177"/>
        <v>0</v>
      </c>
      <c r="BD300" s="805" t="str">
        <f t="shared" si="178"/>
        <v>No saturada</v>
      </c>
      <c r="BE300" s="806">
        <f t="shared" si="179"/>
        <v>0.46735021735021737</v>
      </c>
      <c r="BF300" s="890">
        <f>IF(ISNUMBER('Base de datos Rutas'!CX298),'Base de datos Rutas'!CX298/100,"")</f>
        <v>0.16593588601959039</v>
      </c>
      <c r="BG300" s="891">
        <f>IF(ISNUMBER('Base de datos Rutas'!CZ298),'Base de datos Rutas'!CZ298/100,"")</f>
        <v>0.17382012466607302</v>
      </c>
      <c r="BH300" s="892">
        <f>IF(ISNUMBER('Base de datos Rutas'!DA298),'Base de datos Rutas'!DA298,"")</f>
        <v>118.34060046613784</v>
      </c>
      <c r="BI300" s="893">
        <f>IF(ISNUMBER('Base de datos Rutas'!DC298),'Base de datos Rutas'!DC298,"")</f>
        <v>5.3490944945196111</v>
      </c>
      <c r="BJ300" s="805" t="str">
        <f t="shared" si="180"/>
        <v>Ruta (completo)</v>
      </c>
      <c r="BK300" s="783">
        <f t="shared" si="168"/>
        <v>4</v>
      </c>
      <c r="BL300" s="797">
        <f t="shared" si="169"/>
        <v>4</v>
      </c>
      <c r="BM300" s="797">
        <f t="shared" si="170"/>
        <v>4</v>
      </c>
      <c r="BN300" s="797">
        <f t="shared" si="171"/>
        <v>4</v>
      </c>
      <c r="BO300" s="798" cm="1">
        <f t="array" ref="BO300">SUMPRODUCT(--ISNUMBER($BF300:$BI300),$BK$3:$BN$3)</f>
        <v>1</v>
      </c>
      <c r="BP300" s="831">
        <f t="shared" si="181"/>
        <v>75</v>
      </c>
      <c r="BQ300" s="834" t="str">
        <f t="shared" si="182"/>
        <v>Alto</v>
      </c>
      <c r="BR300" s="836">
        <f t="shared" si="172"/>
        <v>23.174644707858196</v>
      </c>
      <c r="BS300" s="836">
        <f t="shared" si="173"/>
        <v>75</v>
      </c>
      <c r="BT300" s="837" t="str">
        <f t="shared" si="174"/>
        <v>P3</v>
      </c>
      <c r="BU300" s="807" t="str">
        <f t="shared" si="183"/>
        <v>Con espacio</v>
      </c>
      <c r="BV300" s="807" t="str">
        <f t="shared" si="175"/>
        <v>Zona atractiva</v>
      </c>
      <c r="BW300" s="808" t="str">
        <f t="shared" si="176"/>
        <v>P3 - Desarrollar</v>
      </c>
    </row>
    <row r="301" spans="1:75">
      <c r="A301" s="780" t="str">
        <f>'Base de datos Rutas'!A299</f>
        <v>Occidente</v>
      </c>
      <c r="B301" s="781" t="str">
        <f>'Base de datos Rutas'!B299</f>
        <v>Favorita</v>
      </c>
      <c r="C301" s="781" t="str">
        <f>'Base de datos Rutas'!C299</f>
        <v>Cedi Tonalá</v>
      </c>
      <c r="D301" s="782">
        <f>IF(ISNUMBER('Base de datos Rutas'!D299),'Base de datos Rutas'!D299,"Sin código")</f>
        <v>810321</v>
      </c>
      <c r="E301" s="783" t="str">
        <f>'Base de datos Rutas'!F299</f>
        <v>Activa</v>
      </c>
      <c r="F301" s="784" t="str">
        <f>'Base de datos Rutas'!H299</f>
        <v>Sí</v>
      </c>
      <c r="G301" s="785">
        <f>IF(ISNUMBER('Base de datos Rutas'!BE299),'Base de datos Rutas'!BE299,"")</f>
        <v>93.179104477611901</v>
      </c>
      <c r="H301" s="786">
        <f>IF(ISNUMBER('Base de datos Rutas'!BH299),'Base de datos Rutas'!BH299,"")</f>
        <v>0.50563297559933795</v>
      </c>
      <c r="I301" s="788">
        <f>IFERROR(IF(OR(NOT(ISNUMBER('Base de datos Rutas'!O299)),N('Base de datos Rutas'!BK299)=0),"",'Base de datos Rutas'!O299/('Base de datos Rutas'!L299/'Base de datos Rutas'!BK299)),"")</f>
        <v>3796.1501154734501</v>
      </c>
      <c r="J301" s="788">
        <f>IFERROR(IF(OR(NOT(ISNUMBER('Base de datos Rutas'!N299)),N('Base de datos Rutas'!BK299)=0),"",'Base de datos Rutas'!N299/('Base de datos Rutas'!L299/'Base de datos Rutas'!BK299)),"")</f>
        <v>6434.9099307159504</v>
      </c>
      <c r="K301" s="788">
        <f>IFERROR(IF(OR(NOT(ISNUMBER('Base de datos Rutas'!J299)),N('Base de datos Rutas'!BK299)=0),"",'Base de datos Rutas'!J299/('Base de datos Rutas'!L299/'Base de datos Rutas'!BK299)),"")</f>
        <v>446.97059584295482</v>
      </c>
      <c r="L301" s="788">
        <f>IFERROR(IF(OR(NOT(ISNUMBER('Base de datos Rutas'!K299)),N('Base de datos Rutas'!BK299)=0),"",'Base de datos Rutas'!K299/('Base de datos Rutas'!L299/'Base de datos Rutas'!BK299)),"")</f>
        <v>32.880319034642113</v>
      </c>
      <c r="M301" s="787">
        <f>IF(ISNUMBER('Base de datos Rutas'!AX299),'Base de datos Rutas'!AX299,"")</f>
        <v>218.49824956843401</v>
      </c>
      <c r="N301" s="790">
        <f>IFERROR(INDEX('Hoja de apoyo v2'!B$17:B$20,MATCH($A301,'Hoja de apoyo v2'!$A$17:$A$20,0)),"")</f>
        <v>89.41621024641401</v>
      </c>
      <c r="O301" s="791">
        <f>IFERROR(INDEX('Hoja de apoyo v2'!C$17:C$20,MATCH($A301,'Hoja de apoyo v2'!$A$17:$A$20,0)),"")</f>
        <v>0.54706375874806301</v>
      </c>
      <c r="P301" s="793">
        <f>IFERROR(INDEX('Hoja de apoyo v2'!D$17:D$20,MATCH($A301,'Hoja de apoyo v2'!$A$17:$A$20,0)),"")</f>
        <v>11095.153935793827</v>
      </c>
      <c r="Q301" s="793">
        <f>IFERROR(INDEX('Hoja de apoyo v2'!E$17:E$20,MATCH($A301,'Hoja de apoyo v2'!$A$17:$A$20,0)),"")</f>
        <v>6982.3202019701848</v>
      </c>
      <c r="R301" s="793">
        <f>IFERROR(INDEX('Hoja de apoyo v2'!F$17:F$20,MATCH($A301,'Hoja de apoyo v2'!$A$17:$A$20,0)),"")</f>
        <v>448.09513474485743</v>
      </c>
      <c r="S301" s="793">
        <f>IFERROR(INDEX('Hoja de apoyo v2'!G$17:G$20,MATCH($A301,'Hoja de apoyo v2'!$A$17:$A$20,0)),"")</f>
        <v>83.406300904207839</v>
      </c>
      <c r="T301" s="792">
        <f>IFERROR(INDEX('Hoja de apoyo v2'!H$17:H$20,MATCH($A301,'Hoja de apoyo v2'!$A$17:$A$20,0)),"")</f>
        <v>378.97014028925349</v>
      </c>
      <c r="U301" s="794">
        <f t="shared" si="148"/>
        <v>1.0420829089135859</v>
      </c>
      <c r="V301" s="795">
        <f t="shared" si="149"/>
        <v>0.92426699358857545</v>
      </c>
      <c r="W301" s="795">
        <f t="shared" si="150"/>
        <v>0.34214488031813378</v>
      </c>
      <c r="X301" s="843">
        <f t="shared" si="151"/>
        <v>0.92160052025403061</v>
      </c>
      <c r="Y301" s="843">
        <f t="shared" si="152"/>
        <v>0.99749040144668633</v>
      </c>
      <c r="Z301" s="843">
        <f t="shared" si="153"/>
        <v>0.3942186462915454</v>
      </c>
      <c r="AA301" s="843">
        <f t="shared" si="154"/>
        <v>0.57655795625919926</v>
      </c>
      <c r="AB301" s="796">
        <f t="shared" si="155"/>
        <v>4</v>
      </c>
      <c r="AC301" s="797">
        <f t="shared" si="156"/>
        <v>3</v>
      </c>
      <c r="AD301" s="797">
        <f t="shared" si="157"/>
        <v>1</v>
      </c>
      <c r="AE301" s="842">
        <f t="shared" si="158"/>
        <v>3</v>
      </c>
      <c r="AF301" s="842">
        <f t="shared" si="159"/>
        <v>3</v>
      </c>
      <c r="AG301" s="842">
        <f t="shared" si="160"/>
        <v>1</v>
      </c>
      <c r="AH301" s="842">
        <f t="shared" si="161"/>
        <v>2</v>
      </c>
      <c r="AI301" s="826" cm="1">
        <f t="array" ref="AI301">SUMPRODUCT(--ISNUMBER($U301:$AA301),$AB$3:$AH$3)</f>
        <v>1</v>
      </c>
      <c r="AJ301" s="829">
        <f t="shared" si="162"/>
        <v>33.282431863034759</v>
      </c>
      <c r="AK301" s="827" t="str">
        <f t="shared" si="163"/>
        <v>Inmadura</v>
      </c>
      <c r="AL301" s="784" t="str">
        <f t="shared" si="164"/>
        <v>Alta</v>
      </c>
      <c r="AM301" s="799">
        <f>IF(ISNUMBER('Base de datos Rutas'!W299),'Base de datos Rutas'!W299,"")</f>
        <v>2982.1586443005776</v>
      </c>
      <c r="AN301" s="787">
        <f>IFERROR(SUMIFS('Base de datos Rutas'!$W$6:$W$794,'Base de datos Rutas'!$C$6:$C$794,$C301)/'Base de datos Rutas'!I299,"")</f>
        <v>2982.158644300579</v>
      </c>
      <c r="AO301" s="800">
        <f>IFERROR('Base de datos Rutas'!X299*AN301/AM301,"")</f>
        <v>0.51837289520136576</v>
      </c>
      <c r="AP301" s="800">
        <f t="shared" si="165"/>
        <v>0.48162710479863424</v>
      </c>
      <c r="AQ301" s="789">
        <f>IFERROR(INDEX('Hoja de apoyo v2'!$J$17:$J$20,MATCH($A301,'Hoja de apoyo v2'!$A$17:$A$20,0)),"")</f>
        <v>0.64320274048480885</v>
      </c>
      <c r="AR301" s="789">
        <f t="shared" si="166"/>
        <v>-0.16157563568617461</v>
      </c>
      <c r="AS301" s="784" t="str">
        <f t="shared" si="167"/>
        <v>No</v>
      </c>
      <c r="AT301" s="801">
        <f>IF(ISNUMBER('Base de datos Rutas'!CK299),'Base de datos Rutas'!CK299,"")</f>
        <v>368</v>
      </c>
      <c r="AU301" s="802">
        <f>IF(ISNUMBER('Base de datos Rutas'!CL299),'Base de datos Rutas'!CL299,"")</f>
        <v>368</v>
      </c>
      <c r="AV301" s="802">
        <f>IF(ISNUMBER('Base de datos Rutas'!CM299),'Base de datos Rutas'!CM299,"")</f>
        <v>0</v>
      </c>
      <c r="AW301" s="802" t="str">
        <f>IF(ISNUMBER('Base de datos Rutas'!CN299),'Base de datos Rutas'!CN299,"")</f>
        <v/>
      </c>
      <c r="AX301" s="802">
        <f>IF(ISNUMBER('Base de datos Rutas'!CO299),'Base de datos Rutas'!CO299,"")</f>
        <v>9.4499999999999993</v>
      </c>
      <c r="AY301" s="802">
        <f>IF(ISNUMBER('Base de datos Rutas'!CP299),'Base de datos Rutas'!CP299,"")</f>
        <v>9.4499999999999993</v>
      </c>
      <c r="AZ301" s="802" t="str">
        <f>IF(ISNUMBER('Base de datos Rutas'!CQ299),'Base de datos Rutas'!CQ299,"")</f>
        <v/>
      </c>
      <c r="BA301" s="802" t="str">
        <f>IF(ISNUMBER('Base de datos Rutas'!CR299),'Base de datos Rutas'!CR299,"")</f>
        <v/>
      </c>
      <c r="BB301" s="803">
        <f>IF(ISNUMBER('Base de datos Rutas'!CS299),'Base de datos Rutas'!CS299,"")</f>
        <v>0</v>
      </c>
      <c r="BC301" s="804" t="str">
        <f t="shared" si="177"/>
        <v/>
      </c>
      <c r="BD301" s="805" t="str">
        <f t="shared" si="178"/>
        <v>N/D</v>
      </c>
      <c r="BE301" s="806" t="str">
        <f t="shared" si="179"/>
        <v/>
      </c>
      <c r="BF301" s="890">
        <f>IF(ISNUMBER('Base de datos Rutas'!CX299),'Base de datos Rutas'!CX299/100,"")</f>
        <v>0</v>
      </c>
      <c r="BG301" s="891">
        <f>IF(ISNUMBER('Base de datos Rutas'!CZ299),'Base de datos Rutas'!CZ299/100,"")</f>
        <v>0</v>
      </c>
      <c r="BH301" s="892">
        <f>IF(ISNUMBER('Base de datos Rutas'!DA299),'Base de datos Rutas'!DA299,"")</f>
        <v>0</v>
      </c>
      <c r="BI301" s="893">
        <f>IF(ISNUMBER('Base de datos Rutas'!DC299),'Base de datos Rutas'!DC299,"")</f>
        <v>0</v>
      </c>
      <c r="BJ301" s="805" t="str">
        <f t="shared" si="180"/>
        <v>Ruta (completo)</v>
      </c>
      <c r="BK301" s="783">
        <f t="shared" si="168"/>
        <v>1</v>
      </c>
      <c r="BL301" s="797">
        <f t="shared" si="169"/>
        <v>1</v>
      </c>
      <c r="BM301" s="797">
        <f t="shared" si="170"/>
        <v>1</v>
      </c>
      <c r="BN301" s="797">
        <f t="shared" si="171"/>
        <v>1</v>
      </c>
      <c r="BO301" s="798" cm="1">
        <f t="array" ref="BO301">SUMPRODUCT(--ISNUMBER($BF301:$BI301),$BK$3:$BN$3)</f>
        <v>1</v>
      </c>
      <c r="BP301" s="831">
        <f t="shared" si="181"/>
        <v>0</v>
      </c>
      <c r="BQ301" s="834" t="str">
        <f t="shared" si="182"/>
        <v>Bajo</v>
      </c>
      <c r="BR301" s="836" t="str">
        <f t="shared" si="172"/>
        <v/>
      </c>
      <c r="BS301" s="836">
        <f t="shared" si="173"/>
        <v>0</v>
      </c>
      <c r="BT301" s="837" t="str">
        <f t="shared" si="174"/>
        <v>Sin datos</v>
      </c>
      <c r="BU301" s="807" t="str">
        <f t="shared" si="183"/>
        <v>Con espacio</v>
      </c>
      <c r="BV301" s="807" t="str">
        <f t="shared" si="175"/>
        <v>Zona de bajo potencial</v>
      </c>
      <c r="BW301" s="808" t="str">
        <f t="shared" si="176"/>
        <v>Sin datos</v>
      </c>
    </row>
    <row r="302" spans="1:75">
      <c r="A302" s="780" t="str">
        <f>'Base de datos Rutas'!A300</f>
        <v>Occidente</v>
      </c>
      <c r="B302" s="781" t="str">
        <f>'Base de datos Rutas'!B300</f>
        <v>Favorita</v>
      </c>
      <c r="C302" s="781" t="str">
        <f>'Base de datos Rutas'!C300</f>
        <v>Cedi Tonalá</v>
      </c>
      <c r="D302" s="782">
        <f>IF(ISNUMBER('Base de datos Rutas'!D300),'Base de datos Rutas'!D300,"Sin código")</f>
        <v>810322</v>
      </c>
      <c r="E302" s="783" t="str">
        <f>'Base de datos Rutas'!F300</f>
        <v>Activa</v>
      </c>
      <c r="F302" s="784" t="str">
        <f>'Base de datos Rutas'!H300</f>
        <v>Sí</v>
      </c>
      <c r="G302" s="785">
        <f>IF(ISNUMBER('Base de datos Rutas'!BE300),'Base de datos Rutas'!BE300,"")</f>
        <v>81.886977886977903</v>
      </c>
      <c r="H302" s="786">
        <f>IF(ISNUMBER('Base de datos Rutas'!BH300),'Base de datos Rutas'!BH300,"")</f>
        <v>0.57693230916946703</v>
      </c>
      <c r="I302" s="788">
        <f>IFERROR(IF(OR(NOT(ISNUMBER('Base de datos Rutas'!O300)),N('Base de datos Rutas'!BK300)=0),"",'Base de datos Rutas'!O300/('Base de datos Rutas'!L300/'Base de datos Rutas'!BK300)),"")</f>
        <v>3503.3630136986208</v>
      </c>
      <c r="J302" s="788">
        <f>IFERROR(IF(OR(NOT(ISNUMBER('Base de datos Rutas'!N300)),N('Base de datos Rutas'!BK300)=0),"",'Base de datos Rutas'!N300/('Base de datos Rutas'!L300/'Base de datos Rutas'!BK300)),"")</f>
        <v>7106.0707762556885</v>
      </c>
      <c r="K302" s="788">
        <f>IFERROR(IF(OR(NOT(ISNUMBER('Base de datos Rutas'!J300)),N('Base de datos Rutas'!BK300)=0),"",'Base de datos Rutas'!J300/('Base de datos Rutas'!L300/'Base de datos Rutas'!BK300)),"")</f>
        <v>489.32408767122928</v>
      </c>
      <c r="L302" s="788">
        <f>IFERROR(IF(OR(NOT(ISNUMBER('Base de datos Rutas'!K300)),N('Base de datos Rutas'!BK300)=0),"",'Base de datos Rutas'!K300/('Base de datos Rutas'!L300/'Base de datos Rutas'!BK300)),"")</f>
        <v>27.282238271689423</v>
      </c>
      <c r="M302" s="787">
        <f>IF(ISNUMBER('Base de datos Rutas'!AX300),'Base de datos Rutas'!AX300,"")</f>
        <v>223.45331169455699</v>
      </c>
      <c r="N302" s="790">
        <f>IFERROR(INDEX('Hoja de apoyo v2'!B$17:B$20,MATCH($A302,'Hoja de apoyo v2'!$A$17:$A$20,0)),"")</f>
        <v>89.41621024641401</v>
      </c>
      <c r="O302" s="791">
        <f>IFERROR(INDEX('Hoja de apoyo v2'!C$17:C$20,MATCH($A302,'Hoja de apoyo v2'!$A$17:$A$20,0)),"")</f>
        <v>0.54706375874806301</v>
      </c>
      <c r="P302" s="793">
        <f>IFERROR(INDEX('Hoja de apoyo v2'!D$17:D$20,MATCH($A302,'Hoja de apoyo v2'!$A$17:$A$20,0)),"")</f>
        <v>11095.153935793827</v>
      </c>
      <c r="Q302" s="793">
        <f>IFERROR(INDEX('Hoja de apoyo v2'!E$17:E$20,MATCH($A302,'Hoja de apoyo v2'!$A$17:$A$20,0)),"")</f>
        <v>6982.3202019701848</v>
      </c>
      <c r="R302" s="793">
        <f>IFERROR(INDEX('Hoja de apoyo v2'!F$17:F$20,MATCH($A302,'Hoja de apoyo v2'!$A$17:$A$20,0)),"")</f>
        <v>448.09513474485743</v>
      </c>
      <c r="S302" s="793">
        <f>IFERROR(INDEX('Hoja de apoyo v2'!G$17:G$20,MATCH($A302,'Hoja de apoyo v2'!$A$17:$A$20,0)),"")</f>
        <v>83.406300904207839</v>
      </c>
      <c r="T302" s="792">
        <f>IFERROR(INDEX('Hoja de apoyo v2'!H$17:H$20,MATCH($A302,'Hoja de apoyo v2'!$A$17:$A$20,0)),"")</f>
        <v>378.97014028925349</v>
      </c>
      <c r="U302" s="794">
        <f t="shared" si="148"/>
        <v>0.91579566681827629</v>
      </c>
      <c r="V302" s="795">
        <f t="shared" si="149"/>
        <v>1.0545979329534774</v>
      </c>
      <c r="W302" s="795">
        <f t="shared" si="150"/>
        <v>0.31575614308482014</v>
      </c>
      <c r="X302" s="843">
        <f t="shared" si="151"/>
        <v>1.0177234172461163</v>
      </c>
      <c r="Y302" s="843">
        <f t="shared" si="152"/>
        <v>1.0920093741920394</v>
      </c>
      <c r="Z302" s="843">
        <f t="shared" si="153"/>
        <v>0.3271004465600636</v>
      </c>
      <c r="AA302" s="843">
        <f t="shared" si="154"/>
        <v>0.58963302893469016</v>
      </c>
      <c r="AB302" s="796">
        <f t="shared" si="155"/>
        <v>3</v>
      </c>
      <c r="AC302" s="797">
        <f t="shared" si="156"/>
        <v>4</v>
      </c>
      <c r="AD302" s="797">
        <f t="shared" si="157"/>
        <v>1</v>
      </c>
      <c r="AE302" s="842">
        <f t="shared" si="158"/>
        <v>4</v>
      </c>
      <c r="AF302" s="842">
        <f t="shared" si="159"/>
        <v>4</v>
      </c>
      <c r="AG302" s="842">
        <f t="shared" si="160"/>
        <v>1</v>
      </c>
      <c r="AH302" s="842">
        <f t="shared" si="161"/>
        <v>2</v>
      </c>
      <c r="AI302" s="826" cm="1">
        <f t="array" ref="AI302">SUMPRODUCT(--ISNUMBER($U302:$AA302),$AB$3:$AH$3)</f>
        <v>1</v>
      </c>
      <c r="AJ302" s="829">
        <f t="shared" si="162"/>
        <v>37.467193429046965</v>
      </c>
      <c r="AK302" s="827" t="str">
        <f t="shared" si="163"/>
        <v>Inmadura</v>
      </c>
      <c r="AL302" s="784" t="str">
        <f t="shared" si="164"/>
        <v>Alta</v>
      </c>
      <c r="AM302" s="799">
        <f>IF(ISNUMBER('Base de datos Rutas'!W300),'Base de datos Rutas'!W300,"")</f>
        <v>2982.1586443005776</v>
      </c>
      <c r="AN302" s="787">
        <f>IFERROR(SUMIFS('Base de datos Rutas'!$W$6:$W$794,'Base de datos Rutas'!$C$6:$C$794,$C302)/'Base de datos Rutas'!I300,"")</f>
        <v>2982.158644300579</v>
      </c>
      <c r="AO302" s="800">
        <f>IFERROR('Base de datos Rutas'!X300*AN302/AM302,"")</f>
        <v>0.51837289520136576</v>
      </c>
      <c r="AP302" s="800">
        <f t="shared" si="165"/>
        <v>0.48162710479863424</v>
      </c>
      <c r="AQ302" s="789">
        <f>IFERROR(INDEX('Hoja de apoyo v2'!$J$17:$J$20,MATCH($A302,'Hoja de apoyo v2'!$A$17:$A$20,0)),"")</f>
        <v>0.64320274048480885</v>
      </c>
      <c r="AR302" s="789">
        <f t="shared" si="166"/>
        <v>-0.16157563568617461</v>
      </c>
      <c r="AS302" s="784" t="str">
        <f t="shared" si="167"/>
        <v>No</v>
      </c>
      <c r="AT302" s="801">
        <f>IF(ISNUMBER('Base de datos Rutas'!CK300),'Base de datos Rutas'!CK300,"")</f>
        <v>360</v>
      </c>
      <c r="AU302" s="802">
        <f>IF(ISNUMBER('Base de datos Rutas'!CL300),'Base de datos Rutas'!CL300,"")</f>
        <v>465.75</v>
      </c>
      <c r="AV302" s="802">
        <f>IF(ISNUMBER('Base de datos Rutas'!CM300),'Base de datos Rutas'!CM300,"")</f>
        <v>105.75</v>
      </c>
      <c r="AW302" s="802">
        <f>IF(ISNUMBER('Base de datos Rutas'!CN300),'Base de datos Rutas'!CN300,"")</f>
        <v>7.92</v>
      </c>
      <c r="AX302" s="802">
        <f>IF(ISNUMBER('Base de datos Rutas'!CO300),'Base de datos Rutas'!CO300,"")</f>
        <v>9.4499999999999993</v>
      </c>
      <c r="AY302" s="802">
        <f>IF(ISNUMBER('Base de datos Rutas'!CP300),'Base de datos Rutas'!CP300,"")</f>
        <v>1.5299999999999994</v>
      </c>
      <c r="AZ302" s="802">
        <f>IF(ISNUMBER('Base de datos Rutas'!CQ300),'Base de datos Rutas'!CQ300,"")</f>
        <v>846.56</v>
      </c>
      <c r="BA302" s="802">
        <f>IF(ISNUMBER('Base de datos Rutas'!CR300),'Base de datos Rutas'!CR300,"")</f>
        <v>516.61</v>
      </c>
      <c r="BB302" s="803">
        <f>IF(ISNUMBER('Base de datos Rutas'!CS300),'Base de datos Rutas'!CS300,"")</f>
        <v>329.94999999999993</v>
      </c>
      <c r="BC302" s="804">
        <f t="shared" si="177"/>
        <v>0</v>
      </c>
      <c r="BD302" s="805" t="str">
        <f t="shared" si="178"/>
        <v>No saturada</v>
      </c>
      <c r="BE302" s="806">
        <f t="shared" si="179"/>
        <v>0.61024617274617277</v>
      </c>
      <c r="BF302" s="890">
        <f>IF(ISNUMBER('Base de datos Rutas'!CX300),'Base de datos Rutas'!CX300/100,"")</f>
        <v>0.44428444838280901</v>
      </c>
      <c r="BG302" s="891">
        <f>IF(ISNUMBER('Base de datos Rutas'!CZ300),'Base de datos Rutas'!CZ300/100,"")</f>
        <v>0.45990252547629595</v>
      </c>
      <c r="BH302" s="892">
        <f>IF(ISNUMBER('Base de datos Rutas'!DA300),'Base de datos Rutas'!DA300,"")</f>
        <v>285.85460428254623</v>
      </c>
      <c r="BI302" s="893">
        <f>IF(ISNUMBER('Base de datos Rutas'!DC300),'Base de datos Rutas'!DC300,"")</f>
        <v>13.87904024430145</v>
      </c>
      <c r="BJ302" s="805" t="str">
        <f t="shared" si="180"/>
        <v>Ruta (completo)</v>
      </c>
      <c r="BK302" s="783">
        <f t="shared" si="168"/>
        <v>5</v>
      </c>
      <c r="BL302" s="797">
        <f t="shared" si="169"/>
        <v>5</v>
      </c>
      <c r="BM302" s="797">
        <f t="shared" si="170"/>
        <v>4</v>
      </c>
      <c r="BN302" s="797">
        <f t="shared" si="171"/>
        <v>4</v>
      </c>
      <c r="BO302" s="798" cm="1">
        <f t="array" ref="BO302">SUMPRODUCT(--ISNUMBER($BF302:$BI302),$BK$3:$BN$3)</f>
        <v>1</v>
      </c>
      <c r="BP302" s="831">
        <f t="shared" si="181"/>
        <v>87.5</v>
      </c>
      <c r="BQ302" s="834" t="str">
        <f t="shared" si="182"/>
        <v>Alto</v>
      </c>
      <c r="BR302" s="836">
        <f t="shared" si="172"/>
        <v>28.100395071785222</v>
      </c>
      <c r="BS302" s="836">
        <f t="shared" si="173"/>
        <v>87.5</v>
      </c>
      <c r="BT302" s="837" t="str">
        <f t="shared" si="174"/>
        <v>P3</v>
      </c>
      <c r="BU302" s="807" t="str">
        <f t="shared" si="183"/>
        <v>Con espacio</v>
      </c>
      <c r="BV302" s="807" t="str">
        <f t="shared" si="175"/>
        <v>Zona atractiva</v>
      </c>
      <c r="BW302" s="808" t="str">
        <f t="shared" si="176"/>
        <v>P3 - Desarrollar</v>
      </c>
    </row>
    <row r="303" spans="1:75">
      <c r="A303" s="780" t="str">
        <f>'Base de datos Rutas'!A301</f>
        <v>Occidente</v>
      </c>
      <c r="B303" s="781" t="str">
        <f>'Base de datos Rutas'!B301</f>
        <v>Favorita</v>
      </c>
      <c r="C303" s="781" t="str">
        <f>'Base de datos Rutas'!C301</f>
        <v>Cedi Tonalá</v>
      </c>
      <c r="D303" s="782">
        <f>IF(ISNUMBER('Base de datos Rutas'!D301),'Base de datos Rutas'!D301,"Sin código")</f>
        <v>810323</v>
      </c>
      <c r="E303" s="783" t="str">
        <f>'Base de datos Rutas'!F301</f>
        <v>Activa</v>
      </c>
      <c r="F303" s="784" t="str">
        <f>'Base de datos Rutas'!H301</f>
        <v>Sí</v>
      </c>
      <c r="G303" s="785">
        <f>IF(ISNUMBER('Base de datos Rutas'!BE301),'Base de datos Rutas'!BE301,"")</f>
        <v>86.858560794044706</v>
      </c>
      <c r="H303" s="786">
        <f>IF(ISNUMBER('Base de datos Rutas'!BH301),'Base de datos Rutas'!BH301,"")</f>
        <v>0.42952234030396502</v>
      </c>
      <c r="I303" s="788">
        <f>IFERROR(IF(OR(NOT(ISNUMBER('Base de datos Rutas'!O301)),N('Base de datos Rutas'!BK301)=0),"",'Base de datos Rutas'!O301/('Base de datos Rutas'!L301/'Base de datos Rutas'!BK301)),"")</f>
        <v>2781.039170506911</v>
      </c>
      <c r="J303" s="788">
        <f>IFERROR(IF(OR(NOT(ISNUMBER('Base de datos Rutas'!N301)),N('Base de datos Rutas'!BK301)=0),"",'Base de datos Rutas'!N301/('Base de datos Rutas'!L301/'Base de datos Rutas'!BK301)),"")</f>
        <v>7530.9470046082906</v>
      </c>
      <c r="K303" s="788">
        <f>IFERROR(IF(OR(NOT(ISNUMBER('Base de datos Rutas'!J301)),N('Base de datos Rutas'!BK301)=0),"",'Base de datos Rutas'!J301/('Base de datos Rutas'!L301/'Base de datos Rutas'!BK301)),"")</f>
        <v>519.9841548387094</v>
      </c>
      <c r="L303" s="788">
        <f>IFERROR(IF(OR(NOT(ISNUMBER('Base de datos Rutas'!K301)),N('Base de datos Rutas'!BK301)=0),"",'Base de datos Rutas'!K301/('Base de datos Rutas'!L301/'Base de datos Rutas'!BK301)),"")</f>
        <v>19.470000087557594</v>
      </c>
      <c r="M303" s="787">
        <f>IF(ISNUMBER('Base de datos Rutas'!AX301),'Base de datos Rutas'!AX301,"")</f>
        <v>271.18735805611101</v>
      </c>
      <c r="N303" s="790">
        <f>IFERROR(INDEX('Hoja de apoyo v2'!B$17:B$20,MATCH($A303,'Hoja de apoyo v2'!$A$17:$A$20,0)),"")</f>
        <v>89.41621024641401</v>
      </c>
      <c r="O303" s="791">
        <f>IFERROR(INDEX('Hoja de apoyo v2'!C$17:C$20,MATCH($A303,'Hoja de apoyo v2'!$A$17:$A$20,0)),"")</f>
        <v>0.54706375874806301</v>
      </c>
      <c r="P303" s="793">
        <f>IFERROR(INDEX('Hoja de apoyo v2'!D$17:D$20,MATCH($A303,'Hoja de apoyo v2'!$A$17:$A$20,0)),"")</f>
        <v>11095.153935793827</v>
      </c>
      <c r="Q303" s="793">
        <f>IFERROR(INDEX('Hoja de apoyo v2'!E$17:E$20,MATCH($A303,'Hoja de apoyo v2'!$A$17:$A$20,0)),"")</f>
        <v>6982.3202019701848</v>
      </c>
      <c r="R303" s="793">
        <f>IFERROR(INDEX('Hoja de apoyo v2'!F$17:F$20,MATCH($A303,'Hoja de apoyo v2'!$A$17:$A$20,0)),"")</f>
        <v>448.09513474485743</v>
      </c>
      <c r="S303" s="793">
        <f>IFERROR(INDEX('Hoja de apoyo v2'!G$17:G$20,MATCH($A303,'Hoja de apoyo v2'!$A$17:$A$20,0)),"")</f>
        <v>83.406300904207839</v>
      </c>
      <c r="T303" s="792">
        <f>IFERROR(INDEX('Hoja de apoyo v2'!H$17:H$20,MATCH($A303,'Hoja de apoyo v2'!$A$17:$A$20,0)),"")</f>
        <v>378.97014028925349</v>
      </c>
      <c r="U303" s="794">
        <f t="shared" si="148"/>
        <v>0.97139613225251986</v>
      </c>
      <c r="V303" s="795">
        <f t="shared" si="149"/>
        <v>0.78514128094851765</v>
      </c>
      <c r="W303" s="795">
        <f t="shared" si="150"/>
        <v>0.2506535003119752</v>
      </c>
      <c r="X303" s="843">
        <f t="shared" si="151"/>
        <v>1.0785737099944659</v>
      </c>
      <c r="Y303" s="843">
        <f t="shared" si="152"/>
        <v>1.1604324941728839</v>
      </c>
      <c r="Z303" s="843">
        <f t="shared" si="153"/>
        <v>0.23343560230442176</v>
      </c>
      <c r="AA303" s="843">
        <f t="shared" si="154"/>
        <v>0.71559030442114524</v>
      </c>
      <c r="AB303" s="796">
        <f t="shared" si="155"/>
        <v>3</v>
      </c>
      <c r="AC303" s="797">
        <f t="shared" si="156"/>
        <v>3</v>
      </c>
      <c r="AD303" s="797">
        <f t="shared" si="157"/>
        <v>1</v>
      </c>
      <c r="AE303" s="842">
        <f t="shared" si="158"/>
        <v>4</v>
      </c>
      <c r="AF303" s="842">
        <f t="shared" si="159"/>
        <v>4</v>
      </c>
      <c r="AG303" s="842">
        <f t="shared" si="160"/>
        <v>1</v>
      </c>
      <c r="AH303" s="842">
        <f t="shared" si="161"/>
        <v>2</v>
      </c>
      <c r="AI303" s="826" cm="1">
        <f t="array" ref="AI303">SUMPRODUCT(--ISNUMBER($U303:$AA303),$AB$3:$AH$3)</f>
        <v>1</v>
      </c>
      <c r="AJ303" s="829">
        <f t="shared" si="162"/>
        <v>35.084287843156481</v>
      </c>
      <c r="AK303" s="827" t="str">
        <f t="shared" si="163"/>
        <v>Inmadura</v>
      </c>
      <c r="AL303" s="784" t="str">
        <f t="shared" si="164"/>
        <v>Alta</v>
      </c>
      <c r="AM303" s="799">
        <f>IF(ISNUMBER('Base de datos Rutas'!W301),'Base de datos Rutas'!W301,"")</f>
        <v>2982.1586443005776</v>
      </c>
      <c r="AN303" s="787">
        <f>IFERROR(SUMIFS('Base de datos Rutas'!$W$6:$W$794,'Base de datos Rutas'!$C$6:$C$794,$C303)/'Base de datos Rutas'!I301,"")</f>
        <v>2982.158644300579</v>
      </c>
      <c r="AO303" s="800">
        <f>IFERROR('Base de datos Rutas'!X301*AN303/AM303,"")</f>
        <v>0.51837289520136576</v>
      </c>
      <c r="AP303" s="800">
        <f t="shared" si="165"/>
        <v>0.48162710479863424</v>
      </c>
      <c r="AQ303" s="789">
        <f>IFERROR(INDEX('Hoja de apoyo v2'!$J$17:$J$20,MATCH($A303,'Hoja de apoyo v2'!$A$17:$A$20,0)),"")</f>
        <v>0.64320274048480885</v>
      </c>
      <c r="AR303" s="789">
        <f t="shared" si="166"/>
        <v>-0.16157563568617461</v>
      </c>
      <c r="AS303" s="784" t="str">
        <f t="shared" si="167"/>
        <v>No</v>
      </c>
      <c r="AT303" s="801">
        <f>IF(ISNUMBER('Base de datos Rutas'!CK301),'Base de datos Rutas'!CK301,"")</f>
        <v>306</v>
      </c>
      <c r="AU303" s="802">
        <f>IF(ISNUMBER('Base de datos Rutas'!CL301),'Base de datos Rutas'!CL301,"")</f>
        <v>362.19</v>
      </c>
      <c r="AV303" s="802">
        <f>IF(ISNUMBER('Base de datos Rutas'!CM301),'Base de datos Rutas'!CM301,"")</f>
        <v>56.19</v>
      </c>
      <c r="AW303" s="802">
        <f>IF(ISNUMBER('Base de datos Rutas'!CN301),'Base de datos Rutas'!CN301,"")</f>
        <v>7.42</v>
      </c>
      <c r="AX303" s="802">
        <f>IF(ISNUMBER('Base de datos Rutas'!CO301),'Base de datos Rutas'!CO301,"")</f>
        <v>9.4499999999999993</v>
      </c>
      <c r="AY303" s="802">
        <f>IF(ISNUMBER('Base de datos Rutas'!CP301),'Base de datos Rutas'!CP301,"")</f>
        <v>2.0299999999999994</v>
      </c>
      <c r="AZ303" s="802">
        <f>IF(ISNUMBER('Base de datos Rutas'!CQ301),'Base de datos Rutas'!CQ301,"")</f>
        <v>846.56</v>
      </c>
      <c r="BA303" s="802">
        <f>IF(ISNUMBER('Base de datos Rutas'!CR301),'Base de datos Rutas'!CR301,"")</f>
        <v>539.45000000000005</v>
      </c>
      <c r="BB303" s="803">
        <f>IF(ISNUMBER('Base de datos Rutas'!CS301),'Base de datos Rutas'!CS301,"")</f>
        <v>307.1099999999999</v>
      </c>
      <c r="BC303" s="804">
        <f t="shared" si="177"/>
        <v>0</v>
      </c>
      <c r="BD303" s="805" t="str">
        <f t="shared" si="178"/>
        <v>No saturada</v>
      </c>
      <c r="BE303" s="806">
        <f t="shared" si="179"/>
        <v>0.63722594972594981</v>
      </c>
      <c r="BF303" s="890">
        <f>IF(ISNUMBER('Base de datos Rutas'!CX301),'Base de datos Rutas'!CX301/100,"")</f>
        <v>0.48145807833537335</v>
      </c>
      <c r="BG303" s="891">
        <f>IF(ISNUMBER('Base de datos Rutas'!CZ301),'Base de datos Rutas'!CZ301/100,"")</f>
        <v>0.4900550795593635</v>
      </c>
      <c r="BH303" s="892">
        <f>IF(ISNUMBER('Base de datos Rutas'!DA301),'Base de datos Rutas'!DA301,"")</f>
        <v>160.50068035053602</v>
      </c>
      <c r="BI303" s="893">
        <f>IF(ISNUMBER('Base de datos Rutas'!DC301),'Base de datos Rutas'!DC301,"")</f>
        <v>7.7172214393092435</v>
      </c>
      <c r="BJ303" s="805" t="str">
        <f t="shared" si="180"/>
        <v>Ruta (completo)</v>
      </c>
      <c r="BK303" s="783">
        <f t="shared" si="168"/>
        <v>5</v>
      </c>
      <c r="BL303" s="797">
        <f t="shared" si="169"/>
        <v>5</v>
      </c>
      <c r="BM303" s="797">
        <f t="shared" si="170"/>
        <v>4</v>
      </c>
      <c r="BN303" s="797">
        <f t="shared" si="171"/>
        <v>4</v>
      </c>
      <c r="BO303" s="798" cm="1">
        <f t="array" ref="BO303">SUMPRODUCT(--ISNUMBER($BF303:$BI303),$BK$3:$BN$3)</f>
        <v>1</v>
      </c>
      <c r="BP303" s="831">
        <f t="shared" si="181"/>
        <v>87.5</v>
      </c>
      <c r="BQ303" s="834" t="str">
        <f t="shared" si="182"/>
        <v>Alto</v>
      </c>
      <c r="BR303" s="836">
        <f t="shared" si="172"/>
        <v>26.313215882367359</v>
      </c>
      <c r="BS303" s="836">
        <f t="shared" si="173"/>
        <v>87.5</v>
      </c>
      <c r="BT303" s="837" t="str">
        <f t="shared" si="174"/>
        <v>P3</v>
      </c>
      <c r="BU303" s="807" t="str">
        <f t="shared" si="183"/>
        <v>Con espacio</v>
      </c>
      <c r="BV303" s="807" t="str">
        <f t="shared" si="175"/>
        <v>Zona atractiva</v>
      </c>
      <c r="BW303" s="808" t="str">
        <f t="shared" si="176"/>
        <v>P3 - Desarrollar</v>
      </c>
    </row>
    <row r="304" spans="1:75">
      <c r="A304" s="780" t="str">
        <f>'Base de datos Rutas'!A302</f>
        <v>Occidente</v>
      </c>
      <c r="B304" s="781" t="str">
        <f>'Base de datos Rutas'!B302</f>
        <v>Favorita</v>
      </c>
      <c r="C304" s="781" t="str">
        <f>'Base de datos Rutas'!C302</f>
        <v>Cedi Tonalá</v>
      </c>
      <c r="D304" s="782">
        <f>IF(ISNUMBER('Base de datos Rutas'!D302),'Base de datos Rutas'!D302,"Sin código")</f>
        <v>810324</v>
      </c>
      <c r="E304" s="783" t="str">
        <f>'Base de datos Rutas'!F302</f>
        <v>Activa</v>
      </c>
      <c r="F304" s="784" t="str">
        <f>'Base de datos Rutas'!H302</f>
        <v>Sí</v>
      </c>
      <c r="G304" s="785">
        <f>IF(ISNUMBER('Base de datos Rutas'!BE302),'Base de datos Rutas'!BE302,"")</f>
        <v>63.879310344827601</v>
      </c>
      <c r="H304" s="786">
        <f>IF(ISNUMBER('Base de datos Rutas'!BH302),'Base de datos Rutas'!BH302,"")</f>
        <v>0.61943319838056699</v>
      </c>
      <c r="I304" s="788">
        <f>IFERROR(IF(OR(NOT(ISNUMBER('Base de datos Rutas'!O302)),N('Base de datos Rutas'!BK302)=0),"",'Base de datos Rutas'!O302/('Base de datos Rutas'!L302/'Base de datos Rutas'!BK302)),"")</f>
        <v>3357.2283105022807</v>
      </c>
      <c r="J304" s="788">
        <f>IFERROR(IF(OR(NOT(ISNUMBER('Base de datos Rutas'!N302)),N('Base de datos Rutas'!BK302)=0),"",'Base de datos Rutas'!N302/('Base de datos Rutas'!L302/'Base de datos Rutas'!BK302)),"")</f>
        <v>5595.3013698630093</v>
      </c>
      <c r="K304" s="788">
        <f>IFERROR(IF(OR(NOT(ISNUMBER('Base de datos Rutas'!J302)),N('Base de datos Rutas'!BK302)=0),"",'Base de datos Rutas'!J302/('Base de datos Rutas'!L302/'Base de datos Rutas'!BK302)),"")</f>
        <v>388.20161307762521</v>
      </c>
      <c r="L304" s="788">
        <f>IFERROR(IF(OR(NOT(ISNUMBER('Base de datos Rutas'!K302)),N('Base de datos Rutas'!BK302)=0),"",'Base de datos Rutas'!K302/('Base de datos Rutas'!L302/'Base de datos Rutas'!BK302)),"")</f>
        <v>26.342632929223722</v>
      </c>
      <c r="M304" s="787">
        <f>IF(ISNUMBER('Base de datos Rutas'!AX302),'Base de datos Rutas'!AX302,"")</f>
        <v>226.071169789565</v>
      </c>
      <c r="N304" s="790">
        <f>IFERROR(INDEX('Hoja de apoyo v2'!B$17:B$20,MATCH($A304,'Hoja de apoyo v2'!$A$17:$A$20,0)),"")</f>
        <v>89.41621024641401</v>
      </c>
      <c r="O304" s="791">
        <f>IFERROR(INDEX('Hoja de apoyo v2'!C$17:C$20,MATCH($A304,'Hoja de apoyo v2'!$A$17:$A$20,0)),"")</f>
        <v>0.54706375874806301</v>
      </c>
      <c r="P304" s="793">
        <f>IFERROR(INDEX('Hoja de apoyo v2'!D$17:D$20,MATCH($A304,'Hoja de apoyo v2'!$A$17:$A$20,0)),"")</f>
        <v>11095.153935793827</v>
      </c>
      <c r="Q304" s="793">
        <f>IFERROR(INDEX('Hoja de apoyo v2'!E$17:E$20,MATCH($A304,'Hoja de apoyo v2'!$A$17:$A$20,0)),"")</f>
        <v>6982.3202019701848</v>
      </c>
      <c r="R304" s="793">
        <f>IFERROR(INDEX('Hoja de apoyo v2'!F$17:F$20,MATCH($A304,'Hoja de apoyo v2'!$A$17:$A$20,0)),"")</f>
        <v>448.09513474485743</v>
      </c>
      <c r="S304" s="793">
        <f>IFERROR(INDEX('Hoja de apoyo v2'!G$17:G$20,MATCH($A304,'Hoja de apoyo v2'!$A$17:$A$20,0)),"")</f>
        <v>83.406300904207839</v>
      </c>
      <c r="T304" s="792">
        <f>IFERROR(INDEX('Hoja de apoyo v2'!H$17:H$20,MATCH($A304,'Hoja de apoyo v2'!$A$17:$A$20,0)),"")</f>
        <v>378.97014028925349</v>
      </c>
      <c r="U304" s="794">
        <f t="shared" si="148"/>
        <v>0.71440413509796952</v>
      </c>
      <c r="V304" s="795">
        <f t="shared" si="149"/>
        <v>1.1322870295742475</v>
      </c>
      <c r="W304" s="795">
        <f t="shared" si="150"/>
        <v>0.30258510426534974</v>
      </c>
      <c r="X304" s="843">
        <f t="shared" si="151"/>
        <v>0.80135273204517266</v>
      </c>
      <c r="Y304" s="843">
        <f t="shared" si="152"/>
        <v>0.86633748723619775</v>
      </c>
      <c r="Z304" s="843">
        <f t="shared" si="153"/>
        <v>0.3158350465569531</v>
      </c>
      <c r="AA304" s="843">
        <f t="shared" si="154"/>
        <v>0.59654085046651295</v>
      </c>
      <c r="AB304" s="796">
        <f t="shared" si="155"/>
        <v>2</v>
      </c>
      <c r="AC304" s="797">
        <f t="shared" si="156"/>
        <v>4</v>
      </c>
      <c r="AD304" s="797">
        <f t="shared" si="157"/>
        <v>1</v>
      </c>
      <c r="AE304" s="842">
        <f t="shared" si="158"/>
        <v>3</v>
      </c>
      <c r="AF304" s="842">
        <f t="shared" si="159"/>
        <v>3</v>
      </c>
      <c r="AG304" s="842">
        <f t="shared" si="160"/>
        <v>1</v>
      </c>
      <c r="AH304" s="842">
        <f t="shared" si="161"/>
        <v>2</v>
      </c>
      <c r="AI304" s="826" cm="1">
        <f t="array" ref="AI304">SUMPRODUCT(--ISNUMBER($U304:$AA304),$AB$3:$AH$3)</f>
        <v>1</v>
      </c>
      <c r="AJ304" s="829">
        <f t="shared" si="162"/>
        <v>26.598065092651723</v>
      </c>
      <c r="AK304" s="827" t="str">
        <f t="shared" si="163"/>
        <v>Inmadura</v>
      </c>
      <c r="AL304" s="784" t="str">
        <f t="shared" si="164"/>
        <v>Alta</v>
      </c>
      <c r="AM304" s="799">
        <f>IF(ISNUMBER('Base de datos Rutas'!W302),'Base de datos Rutas'!W302,"")</f>
        <v>2982.1586443005776</v>
      </c>
      <c r="AN304" s="787">
        <f>IFERROR(SUMIFS('Base de datos Rutas'!$W$6:$W$794,'Base de datos Rutas'!$C$6:$C$794,$C304)/'Base de datos Rutas'!I302,"")</f>
        <v>2982.158644300579</v>
      </c>
      <c r="AO304" s="800">
        <f>IFERROR('Base de datos Rutas'!X302*AN304/AM304,"")</f>
        <v>0.51837289520136576</v>
      </c>
      <c r="AP304" s="800">
        <f t="shared" si="165"/>
        <v>0.48162710479863424</v>
      </c>
      <c r="AQ304" s="789">
        <f>IFERROR(INDEX('Hoja de apoyo v2'!$J$17:$J$20,MATCH($A304,'Hoja de apoyo v2'!$A$17:$A$20,0)),"")</f>
        <v>0.64320274048480885</v>
      </c>
      <c r="AR304" s="789">
        <f t="shared" si="166"/>
        <v>-0.16157563568617461</v>
      </c>
      <c r="AS304" s="784" t="str">
        <f t="shared" si="167"/>
        <v>No</v>
      </c>
      <c r="AT304" s="801">
        <f>IF(ISNUMBER('Base de datos Rutas'!CK302),'Base de datos Rutas'!CK302,"")</f>
        <v>378</v>
      </c>
      <c r="AU304" s="802">
        <f>IF(ISNUMBER('Base de datos Rutas'!CL302),'Base de datos Rutas'!CL302,"")</f>
        <v>431.38</v>
      </c>
      <c r="AV304" s="802">
        <f>IF(ISNUMBER('Base de datos Rutas'!CM302),'Base de datos Rutas'!CM302,"")</f>
        <v>53.379999999999995</v>
      </c>
      <c r="AW304" s="802">
        <f>IF(ISNUMBER('Base de datos Rutas'!CN302),'Base de datos Rutas'!CN302,"")</f>
        <v>9.8800000000000008</v>
      </c>
      <c r="AX304" s="802">
        <f>IF(ISNUMBER('Base de datos Rutas'!CO302),'Base de datos Rutas'!CO302,"")</f>
        <v>9.4499999999999993</v>
      </c>
      <c r="AY304" s="802">
        <f>IF(ISNUMBER('Base de datos Rutas'!CP302),'Base de datos Rutas'!CP302,"")</f>
        <v>-0.43000000000000149</v>
      </c>
      <c r="AZ304" s="802">
        <f>IF(ISNUMBER('Base de datos Rutas'!CQ302),'Base de datos Rutas'!CQ302,"")</f>
        <v>846.56</v>
      </c>
      <c r="BA304" s="802">
        <f>IF(ISNUMBER('Base de datos Rutas'!CR302),'Base de datos Rutas'!CR302,"")</f>
        <v>414.54</v>
      </c>
      <c r="BB304" s="803">
        <f>IF(ISNUMBER('Base de datos Rutas'!CS302),'Base de datos Rutas'!CS302,"")</f>
        <v>432.01999999999992</v>
      </c>
      <c r="BC304" s="804">
        <f t="shared" si="177"/>
        <v>1</v>
      </c>
      <c r="BD304" s="805" t="str">
        <f t="shared" si="178"/>
        <v>Saturada</v>
      </c>
      <c r="BE304" s="806">
        <f t="shared" si="179"/>
        <v>0.48967586467586471</v>
      </c>
      <c r="BF304" s="890">
        <f>IF(ISNUMBER('Base de datos Rutas'!CX302),'Base de datos Rutas'!CX302/100,"")</f>
        <v>0.22274736101337084</v>
      </c>
      <c r="BG304" s="891">
        <f>IF(ISNUMBER('Base de datos Rutas'!CZ302),'Base de datos Rutas'!CZ302/100,"")</f>
        <v>0.23026038001407462</v>
      </c>
      <c r="BH304" s="892">
        <f>IF(ISNUMBER('Base de datos Rutas'!DA302),'Base de datos Rutas'!DA302,"")</f>
        <v>355.96138511786182</v>
      </c>
      <c r="BI304" s="893">
        <f>IF(ISNUMBER('Base de datos Rutas'!DC302),'Base de datos Rutas'!DC302,"")</f>
        <v>16.346771196835036</v>
      </c>
      <c r="BJ304" s="805" t="str">
        <f t="shared" si="180"/>
        <v>Ruta (completo)</v>
      </c>
      <c r="BK304" s="783">
        <f t="shared" si="168"/>
        <v>4</v>
      </c>
      <c r="BL304" s="797">
        <f t="shared" si="169"/>
        <v>4</v>
      </c>
      <c r="BM304" s="797">
        <f t="shared" si="170"/>
        <v>5</v>
      </c>
      <c r="BN304" s="797">
        <f t="shared" si="171"/>
        <v>5</v>
      </c>
      <c r="BO304" s="798" cm="1">
        <f t="array" ref="BO304">SUMPRODUCT(--ISNUMBER($BF304:$BI304),$BK$3:$BN$3)</f>
        <v>1</v>
      </c>
      <c r="BP304" s="831">
        <f t="shared" si="181"/>
        <v>87.5</v>
      </c>
      <c r="BQ304" s="834" t="str">
        <f t="shared" si="182"/>
        <v>Alto</v>
      </c>
      <c r="BR304" s="836">
        <f t="shared" si="172"/>
        <v>44.948548819488792</v>
      </c>
      <c r="BS304" s="836">
        <f t="shared" si="173"/>
        <v>87.5</v>
      </c>
      <c r="BT304" s="837" t="str">
        <f t="shared" si="174"/>
        <v>P1</v>
      </c>
      <c r="BU304" s="807" t="str">
        <f t="shared" si="183"/>
        <v>Al tope</v>
      </c>
      <c r="BV304" s="807" t="str">
        <f t="shared" si="175"/>
        <v>Zona atractiva</v>
      </c>
      <c r="BW304" s="808" t="str">
        <f t="shared" si="176"/>
        <v>P1 - Ampliar cobertura</v>
      </c>
    </row>
    <row r="305" spans="1:75">
      <c r="A305" s="780" t="str">
        <f>'Base de datos Rutas'!A303</f>
        <v>Occidente</v>
      </c>
      <c r="B305" s="781" t="str">
        <f>'Base de datos Rutas'!B303</f>
        <v>Favorita</v>
      </c>
      <c r="C305" s="781" t="str">
        <f>'Base de datos Rutas'!C303</f>
        <v>Cedi Tonalá</v>
      </c>
      <c r="D305" s="782">
        <f>IF(ISNUMBER('Base de datos Rutas'!D303),'Base de datos Rutas'!D303,"Sin código")</f>
        <v>810325</v>
      </c>
      <c r="E305" s="783" t="str">
        <f>'Base de datos Rutas'!F303</f>
        <v>Activa</v>
      </c>
      <c r="F305" s="784" t="str">
        <f>'Base de datos Rutas'!H303</f>
        <v>Sí</v>
      </c>
      <c r="G305" s="785">
        <f>IF(ISNUMBER('Base de datos Rutas'!BE303),'Base de datos Rutas'!BE303,"")</f>
        <v>101.40648379052401</v>
      </c>
      <c r="H305" s="786">
        <f>IF(ISNUMBER('Base de datos Rutas'!BH303),'Base de datos Rutas'!BH303,"")</f>
        <v>0.44272575250836099</v>
      </c>
      <c r="I305" s="788">
        <f>IFERROR(IF(OR(NOT(ISNUMBER('Base de datos Rutas'!O303)),N('Base de datos Rutas'!BK303)=0),"",'Base de datos Rutas'!O303/('Base de datos Rutas'!L303/'Base de datos Rutas'!BK303)),"")</f>
        <v>2202.9422632794408</v>
      </c>
      <c r="J305" s="788">
        <f>IFERROR(IF(OR(NOT(ISNUMBER('Base de datos Rutas'!N303)),N('Base de datos Rutas'!BK303)=0),"",'Base de datos Rutas'!N303/('Base de datos Rutas'!L303/'Base de datos Rutas'!BK303)),"")</f>
        <v>5909.0831408775848</v>
      </c>
      <c r="K305" s="788">
        <f>IFERROR(IF(OR(NOT(ISNUMBER('Base de datos Rutas'!J303)),N('Base de datos Rutas'!BK303)=0),"",'Base de datos Rutas'!J303/('Base de datos Rutas'!L303/'Base de datos Rutas'!BK303)),"")</f>
        <v>410.33926281755106</v>
      </c>
      <c r="L305" s="788">
        <f>IFERROR(IF(OR(NOT(ISNUMBER('Base de datos Rutas'!K303)),N('Base de datos Rutas'!BK303)=0),"",'Base de datos Rutas'!K303/('Base de datos Rutas'!L303/'Base de datos Rutas'!BK303)),"")</f>
        <v>18.003189856812892</v>
      </c>
      <c r="M305" s="787">
        <f>IF(ISNUMBER('Base de datos Rutas'!AX303),'Base de datos Rutas'!AX303,"")</f>
        <v>180.49887307297001</v>
      </c>
      <c r="N305" s="790">
        <f>IFERROR(INDEX('Hoja de apoyo v2'!B$17:B$20,MATCH($A305,'Hoja de apoyo v2'!$A$17:$A$20,0)),"")</f>
        <v>89.41621024641401</v>
      </c>
      <c r="O305" s="791">
        <f>IFERROR(INDEX('Hoja de apoyo v2'!C$17:C$20,MATCH($A305,'Hoja de apoyo v2'!$A$17:$A$20,0)),"")</f>
        <v>0.54706375874806301</v>
      </c>
      <c r="P305" s="793">
        <f>IFERROR(INDEX('Hoja de apoyo v2'!D$17:D$20,MATCH($A305,'Hoja de apoyo v2'!$A$17:$A$20,0)),"")</f>
        <v>11095.153935793827</v>
      </c>
      <c r="Q305" s="793">
        <f>IFERROR(INDEX('Hoja de apoyo v2'!E$17:E$20,MATCH($A305,'Hoja de apoyo v2'!$A$17:$A$20,0)),"")</f>
        <v>6982.3202019701848</v>
      </c>
      <c r="R305" s="793">
        <f>IFERROR(INDEX('Hoja de apoyo v2'!F$17:F$20,MATCH($A305,'Hoja de apoyo v2'!$A$17:$A$20,0)),"")</f>
        <v>448.09513474485743</v>
      </c>
      <c r="S305" s="793">
        <f>IFERROR(INDEX('Hoja de apoyo v2'!G$17:G$20,MATCH($A305,'Hoja de apoyo v2'!$A$17:$A$20,0)),"")</f>
        <v>83.406300904207839</v>
      </c>
      <c r="T305" s="792">
        <f>IFERROR(INDEX('Hoja de apoyo v2'!H$17:H$20,MATCH($A305,'Hoja de apoyo v2'!$A$17:$A$20,0)),"")</f>
        <v>378.97014028925349</v>
      </c>
      <c r="U305" s="794">
        <f t="shared" si="148"/>
        <v>1.1340950763968534</v>
      </c>
      <c r="V305" s="795">
        <f t="shared" si="149"/>
        <v>0.80927633283828559</v>
      </c>
      <c r="W305" s="795">
        <f t="shared" si="150"/>
        <v>0.19854995036820339</v>
      </c>
      <c r="X305" s="843">
        <f t="shared" si="151"/>
        <v>0.84629220229834667</v>
      </c>
      <c r="Y305" s="843">
        <f t="shared" si="152"/>
        <v>0.91574139284327571</v>
      </c>
      <c r="Z305" s="843">
        <f t="shared" si="153"/>
        <v>0.21584927831159376</v>
      </c>
      <c r="AA305" s="843">
        <f t="shared" si="154"/>
        <v>0.47628784931499374</v>
      </c>
      <c r="AB305" s="796">
        <f t="shared" si="155"/>
        <v>4</v>
      </c>
      <c r="AC305" s="797">
        <f t="shared" si="156"/>
        <v>3</v>
      </c>
      <c r="AD305" s="797">
        <f t="shared" si="157"/>
        <v>1</v>
      </c>
      <c r="AE305" s="842">
        <f t="shared" si="158"/>
        <v>3</v>
      </c>
      <c r="AF305" s="842">
        <f t="shared" si="159"/>
        <v>3</v>
      </c>
      <c r="AG305" s="842">
        <f t="shared" si="160"/>
        <v>1</v>
      </c>
      <c r="AH305" s="842">
        <f t="shared" si="161"/>
        <v>1</v>
      </c>
      <c r="AI305" s="826" cm="1">
        <f t="array" ref="AI305">SUMPRODUCT(--ISNUMBER($U305:$AA305),$AB$3:$AH$3)</f>
        <v>1</v>
      </c>
      <c r="AJ305" s="829">
        <f t="shared" si="162"/>
        <v>31.037704022708201</v>
      </c>
      <c r="AK305" s="827" t="str">
        <f t="shared" si="163"/>
        <v>Inmadura</v>
      </c>
      <c r="AL305" s="784" t="str">
        <f t="shared" si="164"/>
        <v>Alta</v>
      </c>
      <c r="AM305" s="799">
        <f>IF(ISNUMBER('Base de datos Rutas'!W303),'Base de datos Rutas'!W303,"")</f>
        <v>2982.1586443005776</v>
      </c>
      <c r="AN305" s="787">
        <f>IFERROR(SUMIFS('Base de datos Rutas'!$W$6:$W$794,'Base de datos Rutas'!$C$6:$C$794,$C305)/'Base de datos Rutas'!I303,"")</f>
        <v>2982.158644300579</v>
      </c>
      <c r="AO305" s="800">
        <f>IFERROR('Base de datos Rutas'!X303*AN305/AM305,"")</f>
        <v>0.51837289520136576</v>
      </c>
      <c r="AP305" s="800">
        <f t="shared" si="165"/>
        <v>0.48162710479863424</v>
      </c>
      <c r="AQ305" s="789">
        <f>IFERROR(INDEX('Hoja de apoyo v2'!$J$17:$J$20,MATCH($A305,'Hoja de apoyo v2'!$A$17:$A$20,0)),"")</f>
        <v>0.64320274048480885</v>
      </c>
      <c r="AR305" s="789">
        <f t="shared" si="166"/>
        <v>-0.16157563568617461</v>
      </c>
      <c r="AS305" s="784" t="str">
        <f t="shared" si="167"/>
        <v>No</v>
      </c>
      <c r="AT305" s="801">
        <f>IF(ISNUMBER('Base de datos Rutas'!CK303),'Base de datos Rutas'!CK303,"")</f>
        <v>375</v>
      </c>
      <c r="AU305" s="802">
        <f>IF(ISNUMBER('Base de datos Rutas'!CL303),'Base de datos Rutas'!CL303,"")</f>
        <v>376.02</v>
      </c>
      <c r="AV305" s="802">
        <f>IF(ISNUMBER('Base de datos Rutas'!CM303),'Base de datos Rutas'!CM303,"")</f>
        <v>1.0199999999999818</v>
      </c>
      <c r="AW305" s="802">
        <f>IF(ISNUMBER('Base de datos Rutas'!CN303),'Base de datos Rutas'!CN303,"")</f>
        <v>9.77</v>
      </c>
      <c r="AX305" s="802">
        <f>IF(ISNUMBER('Base de datos Rutas'!CO303),'Base de datos Rutas'!CO303,"")</f>
        <v>9.4499999999999993</v>
      </c>
      <c r="AY305" s="802">
        <f>IF(ISNUMBER('Base de datos Rutas'!CP303),'Base de datos Rutas'!CP303,"")</f>
        <v>-0.32000000000000028</v>
      </c>
      <c r="AZ305" s="802">
        <f>IF(ISNUMBER('Base de datos Rutas'!CQ303),'Base de datos Rutas'!CQ303,"")</f>
        <v>846.56</v>
      </c>
      <c r="BA305" s="802">
        <f>IF(ISNUMBER('Base de datos Rutas'!CR303),'Base de datos Rutas'!CR303,"")</f>
        <v>428.34</v>
      </c>
      <c r="BB305" s="803">
        <f>IF(ISNUMBER('Base de datos Rutas'!CS303),'Base de datos Rutas'!CS303,"")</f>
        <v>418.21999999999997</v>
      </c>
      <c r="BC305" s="804">
        <f t="shared" si="177"/>
        <v>1</v>
      </c>
      <c r="BD305" s="805" t="str">
        <f t="shared" si="178"/>
        <v>Saturada</v>
      </c>
      <c r="BE305" s="806">
        <f t="shared" si="179"/>
        <v>0.50597713097713093</v>
      </c>
      <c r="BF305" s="890">
        <f>IF(ISNUMBER('Base de datos Rutas'!CX303),'Base de datos Rutas'!CX303/100,"")</f>
        <v>1.7535389004718531E-3</v>
      </c>
      <c r="BG305" s="891">
        <f>IF(ISNUMBER('Base de datos Rutas'!CZ303),'Base de datos Rutas'!CZ303/100,"")</f>
        <v>1.8654669153955886E-3</v>
      </c>
      <c r="BH305" s="892">
        <f>IF(ISNUMBER('Base de datos Rutas'!DA303),'Base de datos Rutas'!DA303,"")</f>
        <v>100.80767652473881</v>
      </c>
      <c r="BI305" s="893">
        <f>IF(ISNUMBER('Base de datos Rutas'!DC303),'Base de datos Rutas'!DC303,"")</f>
        <v>5.1298943825008063</v>
      </c>
      <c r="BJ305" s="805" t="str">
        <f t="shared" si="180"/>
        <v>Ruta (completo)</v>
      </c>
      <c r="BK305" s="783">
        <f t="shared" si="168"/>
        <v>2</v>
      </c>
      <c r="BL305" s="797">
        <f t="shared" si="169"/>
        <v>2</v>
      </c>
      <c r="BM305" s="797">
        <f t="shared" si="170"/>
        <v>3</v>
      </c>
      <c r="BN305" s="797">
        <f t="shared" si="171"/>
        <v>3</v>
      </c>
      <c r="BO305" s="798" cm="1">
        <f t="array" ref="BO305">SUMPRODUCT(--ISNUMBER($BF305:$BI305),$BK$3:$BN$3)</f>
        <v>1</v>
      </c>
      <c r="BP305" s="831">
        <f t="shared" si="181"/>
        <v>37.5</v>
      </c>
      <c r="BQ305" s="834" t="str">
        <f t="shared" si="182"/>
        <v>Medio</v>
      </c>
      <c r="BR305" s="836">
        <f t="shared" si="172"/>
        <v>48.278278017031155</v>
      </c>
      <c r="BS305" s="836">
        <f t="shared" si="173"/>
        <v>37.5</v>
      </c>
      <c r="BT305" s="837" t="str">
        <f t="shared" si="174"/>
        <v>P2</v>
      </c>
      <c r="BU305" s="807" t="str">
        <f t="shared" si="183"/>
        <v>Al tope</v>
      </c>
      <c r="BV305" s="807" t="str">
        <f t="shared" si="175"/>
        <v>Zona de bajo potencial</v>
      </c>
      <c r="BW305" s="808" t="str">
        <f t="shared" si="176"/>
        <v>P2 - Mantener</v>
      </c>
    </row>
    <row r="306" spans="1:75">
      <c r="A306" s="780" t="str">
        <f>'Base de datos Rutas'!A304</f>
        <v>Occidente</v>
      </c>
      <c r="B306" s="781" t="str">
        <f>'Base de datos Rutas'!B304</f>
        <v>Favorita</v>
      </c>
      <c r="C306" s="781" t="str">
        <f>'Base de datos Rutas'!C304</f>
        <v>Cedi Tonalá</v>
      </c>
      <c r="D306" s="782">
        <f>IF(ISNUMBER('Base de datos Rutas'!D304),'Base de datos Rutas'!D304,"Sin código")</f>
        <v>810326</v>
      </c>
      <c r="E306" s="783" t="str">
        <f>'Base de datos Rutas'!F304</f>
        <v>Activa</v>
      </c>
      <c r="F306" s="784" t="str">
        <f>'Base de datos Rutas'!H304</f>
        <v>Sí</v>
      </c>
      <c r="G306" s="785">
        <f>IF(ISNUMBER('Base de datos Rutas'!BE304),'Base de datos Rutas'!BE304,"")</f>
        <v>91.496277915632803</v>
      </c>
      <c r="H306" s="786">
        <f>IF(ISNUMBER('Base de datos Rutas'!BH304),'Base de datos Rutas'!BH304,"")</f>
        <v>0.55053833428253696</v>
      </c>
      <c r="I306" s="788">
        <f>IFERROR(IF(OR(NOT(ISNUMBER('Base de datos Rutas'!O304)),N('Base de datos Rutas'!BK304)=0),"",'Base de datos Rutas'!O304/('Base de datos Rutas'!L304/'Base de datos Rutas'!BK304)),"")</f>
        <v>4003.5080459770033</v>
      </c>
      <c r="J306" s="788">
        <f>IFERROR(IF(OR(NOT(ISNUMBER('Base de datos Rutas'!N304)),N('Base de datos Rutas'!BK304)=0),"",'Base de datos Rutas'!N304/('Base de datos Rutas'!L304/'Base de datos Rutas'!BK304)),"")</f>
        <v>8023.8597701149256</v>
      </c>
      <c r="K306" s="788">
        <f>IFERROR(IF(OR(NOT(ISNUMBER('Base de datos Rutas'!J304)),N('Base de datos Rutas'!BK304)=0),"",'Base de datos Rutas'!J304/('Base de datos Rutas'!L304/'Base de datos Rutas'!BK304)),"")</f>
        <v>554.56341701149313</v>
      </c>
      <c r="L306" s="788">
        <f>IFERROR(IF(OR(NOT(ISNUMBER('Base de datos Rutas'!K304)),N('Base de datos Rutas'!BK304)=0),"",'Base de datos Rutas'!K304/('Base de datos Rutas'!L304/'Base de datos Rutas'!BK304)),"")</f>
        <v>33.174227875862002</v>
      </c>
      <c r="M306" s="787">
        <f>IF(ISNUMBER('Base de datos Rutas'!AX304),'Base de datos Rutas'!AX304,"")</f>
        <v>235.554731889604</v>
      </c>
      <c r="N306" s="790">
        <f>IFERROR(INDEX('Hoja de apoyo v2'!B$17:B$20,MATCH($A306,'Hoja de apoyo v2'!$A$17:$A$20,0)),"")</f>
        <v>89.41621024641401</v>
      </c>
      <c r="O306" s="791">
        <f>IFERROR(INDEX('Hoja de apoyo v2'!C$17:C$20,MATCH($A306,'Hoja de apoyo v2'!$A$17:$A$20,0)),"")</f>
        <v>0.54706375874806301</v>
      </c>
      <c r="P306" s="793">
        <f>IFERROR(INDEX('Hoja de apoyo v2'!D$17:D$20,MATCH($A306,'Hoja de apoyo v2'!$A$17:$A$20,0)),"")</f>
        <v>11095.153935793827</v>
      </c>
      <c r="Q306" s="793">
        <f>IFERROR(INDEX('Hoja de apoyo v2'!E$17:E$20,MATCH($A306,'Hoja de apoyo v2'!$A$17:$A$20,0)),"")</f>
        <v>6982.3202019701848</v>
      </c>
      <c r="R306" s="793">
        <f>IFERROR(INDEX('Hoja de apoyo v2'!F$17:F$20,MATCH($A306,'Hoja de apoyo v2'!$A$17:$A$20,0)),"")</f>
        <v>448.09513474485743</v>
      </c>
      <c r="S306" s="793">
        <f>IFERROR(INDEX('Hoja de apoyo v2'!G$17:G$20,MATCH($A306,'Hoja de apoyo v2'!$A$17:$A$20,0)),"")</f>
        <v>83.406300904207839</v>
      </c>
      <c r="T306" s="792">
        <f>IFERROR(INDEX('Hoja de apoyo v2'!H$17:H$20,MATCH($A306,'Hoja de apoyo v2'!$A$17:$A$20,0)),"")</f>
        <v>378.97014028925349</v>
      </c>
      <c r="U306" s="794">
        <f t="shared" si="148"/>
        <v>1.0232627581004219</v>
      </c>
      <c r="V306" s="795">
        <f t="shared" si="149"/>
        <v>1.006351317335342</v>
      </c>
      <c r="W306" s="795">
        <f t="shared" si="150"/>
        <v>0.36083393426939087</v>
      </c>
      <c r="X306" s="843">
        <f t="shared" si="151"/>
        <v>1.1491681186220666</v>
      </c>
      <c r="Y306" s="843">
        <f t="shared" si="152"/>
        <v>1.2376019599660641</v>
      </c>
      <c r="Z306" s="843">
        <f t="shared" si="153"/>
        <v>0.39774246689063231</v>
      </c>
      <c r="AA306" s="843">
        <f t="shared" si="154"/>
        <v>0.62156541333260196</v>
      </c>
      <c r="AB306" s="796">
        <f t="shared" si="155"/>
        <v>4</v>
      </c>
      <c r="AC306" s="797">
        <f t="shared" si="156"/>
        <v>4</v>
      </c>
      <c r="AD306" s="797">
        <f t="shared" si="157"/>
        <v>1</v>
      </c>
      <c r="AE306" s="842">
        <f t="shared" si="158"/>
        <v>4</v>
      </c>
      <c r="AF306" s="842">
        <f t="shared" si="159"/>
        <v>4</v>
      </c>
      <c r="AG306" s="842">
        <f t="shared" si="160"/>
        <v>1</v>
      </c>
      <c r="AH306" s="842">
        <f t="shared" si="161"/>
        <v>2</v>
      </c>
      <c r="AI306" s="826" cm="1">
        <f t="array" ref="AI306">SUMPRODUCT(--ISNUMBER($U306:$AA306),$AB$3:$AH$3)</f>
        <v>1</v>
      </c>
      <c r="AJ306" s="829">
        <f t="shared" si="162"/>
        <v>42.000829607183711</v>
      </c>
      <c r="AK306" s="827" t="str">
        <f t="shared" si="163"/>
        <v>Inmadura</v>
      </c>
      <c r="AL306" s="784" t="str">
        <f t="shared" si="164"/>
        <v>Alta</v>
      </c>
      <c r="AM306" s="799">
        <f>IF(ISNUMBER('Base de datos Rutas'!W304),'Base de datos Rutas'!W304,"")</f>
        <v>2982.1586443005776</v>
      </c>
      <c r="AN306" s="787">
        <f>IFERROR(SUMIFS('Base de datos Rutas'!$W$6:$W$794,'Base de datos Rutas'!$C$6:$C$794,$C306)/'Base de datos Rutas'!I304,"")</f>
        <v>2982.158644300579</v>
      </c>
      <c r="AO306" s="800">
        <f>IFERROR('Base de datos Rutas'!X304*AN306/AM306,"")</f>
        <v>0.51837289520136576</v>
      </c>
      <c r="AP306" s="800">
        <f t="shared" si="165"/>
        <v>0.48162710479863424</v>
      </c>
      <c r="AQ306" s="789">
        <f>IFERROR(INDEX('Hoja de apoyo v2'!$J$17:$J$20,MATCH($A306,'Hoja de apoyo v2'!$A$17:$A$20,0)),"")</f>
        <v>0.64320274048480885</v>
      </c>
      <c r="AR306" s="789">
        <f t="shared" si="166"/>
        <v>-0.16157563568617461</v>
      </c>
      <c r="AS306" s="784" t="str">
        <f t="shared" si="167"/>
        <v>No</v>
      </c>
      <c r="AT306" s="801">
        <f>IF(ISNUMBER('Base de datos Rutas'!CK304),'Base de datos Rutas'!CK304,"")</f>
        <v>324</v>
      </c>
      <c r="AU306" s="802">
        <f>IF(ISNUMBER('Base de datos Rutas'!CL304),'Base de datos Rutas'!CL304,"")</f>
        <v>329.75</v>
      </c>
      <c r="AV306" s="802">
        <f>IF(ISNUMBER('Base de datos Rutas'!CM304),'Base de datos Rutas'!CM304,"")</f>
        <v>5.75</v>
      </c>
      <c r="AW306" s="802">
        <f>IF(ISNUMBER('Base de datos Rutas'!CN304),'Base de datos Rutas'!CN304,"")</f>
        <v>11.22</v>
      </c>
      <c r="AX306" s="802">
        <f>IF(ISNUMBER('Base de datos Rutas'!CO304),'Base de datos Rutas'!CO304,"")</f>
        <v>9.4499999999999993</v>
      </c>
      <c r="AY306" s="802">
        <f>IF(ISNUMBER('Base de datos Rutas'!CP304),'Base de datos Rutas'!CP304,"")</f>
        <v>-1.7700000000000014</v>
      </c>
      <c r="AZ306" s="802">
        <f>IF(ISNUMBER('Base de datos Rutas'!CQ304),'Base de datos Rutas'!CQ304,"")</f>
        <v>846.56</v>
      </c>
      <c r="BA306" s="802">
        <f>IF(ISNUMBER('Base de datos Rutas'!CR304),'Base de datos Rutas'!CR304,"")</f>
        <v>587.74</v>
      </c>
      <c r="BB306" s="803">
        <f>IF(ISNUMBER('Base de datos Rutas'!CS304),'Base de datos Rutas'!CS304,"")</f>
        <v>258.81999999999994</v>
      </c>
      <c r="BC306" s="804">
        <f t="shared" si="177"/>
        <v>1</v>
      </c>
      <c r="BD306" s="805" t="str">
        <f t="shared" si="178"/>
        <v>Saturada</v>
      </c>
      <c r="BE306" s="806">
        <f t="shared" si="179"/>
        <v>0.69426856926856928</v>
      </c>
      <c r="BF306" s="890">
        <f>IF(ISNUMBER('Base de datos Rutas'!CX304),'Base de datos Rutas'!CX304/100,"")</f>
        <v>0.48753501400560223</v>
      </c>
      <c r="BG306" s="891">
        <f>IF(ISNUMBER('Base de datos Rutas'!CZ304),'Base de datos Rutas'!CZ304/100,"")</f>
        <v>0.49075630252100838</v>
      </c>
      <c r="BH306" s="892">
        <f>IF(ISNUMBER('Base de datos Rutas'!DA304),'Base de datos Rutas'!DA304,"")</f>
        <v>446.69611615245009</v>
      </c>
      <c r="BI306" s="893">
        <f>IF(ISNUMBER('Base de datos Rutas'!DC304),'Base de datos Rutas'!DC304,"")</f>
        <v>20.187887756526596</v>
      </c>
      <c r="BJ306" s="805" t="str">
        <f t="shared" si="180"/>
        <v>Ruta (completo)</v>
      </c>
      <c r="BK306" s="783">
        <f t="shared" si="168"/>
        <v>5</v>
      </c>
      <c r="BL306" s="797">
        <f t="shared" si="169"/>
        <v>5</v>
      </c>
      <c r="BM306" s="797">
        <f t="shared" si="170"/>
        <v>5</v>
      </c>
      <c r="BN306" s="797">
        <f t="shared" si="171"/>
        <v>5</v>
      </c>
      <c r="BO306" s="798" cm="1">
        <f t="array" ref="BO306">SUMPRODUCT(--ISNUMBER($BF306:$BI306),$BK$3:$BN$3)</f>
        <v>1</v>
      </c>
      <c r="BP306" s="831">
        <f t="shared" si="181"/>
        <v>100</v>
      </c>
      <c r="BQ306" s="834" t="str">
        <f t="shared" si="182"/>
        <v>Alto</v>
      </c>
      <c r="BR306" s="836">
        <f t="shared" si="172"/>
        <v>56.500622205387785</v>
      </c>
      <c r="BS306" s="836">
        <f t="shared" si="173"/>
        <v>100</v>
      </c>
      <c r="BT306" s="837" t="str">
        <f t="shared" si="174"/>
        <v>P1</v>
      </c>
      <c r="BU306" s="807" t="str">
        <f t="shared" si="183"/>
        <v>Al tope</v>
      </c>
      <c r="BV306" s="807" t="str">
        <f t="shared" si="175"/>
        <v>Zona atractiva</v>
      </c>
      <c r="BW306" s="808" t="str">
        <f t="shared" si="176"/>
        <v>P1 - Ampliar cobertura</v>
      </c>
    </row>
    <row r="307" spans="1:75">
      <c r="A307" s="780" t="str">
        <f>'Base de datos Rutas'!A305</f>
        <v>Occidente</v>
      </c>
      <c r="B307" s="781" t="str">
        <f>'Base de datos Rutas'!B305</f>
        <v>Favorita</v>
      </c>
      <c r="C307" s="781" t="str">
        <f>'Base de datos Rutas'!C305</f>
        <v>Cedi Tonalá</v>
      </c>
      <c r="D307" s="782">
        <f>IF(ISNUMBER('Base de datos Rutas'!D305),'Base de datos Rutas'!D305,"Sin código")</f>
        <v>810327</v>
      </c>
      <c r="E307" s="783" t="str">
        <f>'Base de datos Rutas'!F305</f>
        <v>Activa</v>
      </c>
      <c r="F307" s="784" t="str">
        <f>'Base de datos Rutas'!H305</f>
        <v>Sí</v>
      </c>
      <c r="G307" s="785">
        <f>IF(ISNUMBER('Base de datos Rutas'!BE305),'Base de datos Rutas'!BE305,"")</f>
        <v>57.114143920595502</v>
      </c>
      <c r="H307" s="786">
        <f>IF(ISNUMBER('Base de datos Rutas'!BH305),'Base de datos Rutas'!BH305,"")</f>
        <v>0.81496285354303299</v>
      </c>
      <c r="I307" s="788">
        <f>IFERROR(IF(OR(NOT(ISNUMBER('Base de datos Rutas'!O305)),N('Base de datos Rutas'!BK305)=0),"",'Base de datos Rutas'!O305/('Base de datos Rutas'!L305/'Base de datos Rutas'!BK305)),"")</f>
        <v>6430.6528735632219</v>
      </c>
      <c r="J307" s="788">
        <f>IFERROR(IF(OR(NOT(ISNUMBER('Base de datos Rutas'!N305)),N('Base de datos Rutas'!BK305)=0),"",'Base de datos Rutas'!N305/('Base de datos Rutas'!L305/'Base de datos Rutas'!BK305)),"")</f>
        <v>8694.6252873563262</v>
      </c>
      <c r="K307" s="788">
        <f>IFERROR(IF(OR(NOT(ISNUMBER('Base de datos Rutas'!J305)),N('Base de datos Rutas'!BK305)=0),"",'Base de datos Rutas'!J305/('Base de datos Rutas'!L305/'Base de datos Rutas'!BK305)),"")</f>
        <v>601.86074666666696</v>
      </c>
      <c r="L307" s="788">
        <f>IFERROR(IF(OR(NOT(ISNUMBER('Base de datos Rutas'!K305)),N('Base de datos Rutas'!BK305)=0),"",'Base de datos Rutas'!K305/('Base de datos Rutas'!L305/'Base de datos Rutas'!BK305)),"")</f>
        <v>48.582671954023013</v>
      </c>
      <c r="M307" s="787">
        <f>IF(ISNUMBER('Base de datos Rutas'!AX305),'Base de datos Rutas'!AX305,"")</f>
        <v>318.18813763420098</v>
      </c>
      <c r="N307" s="790">
        <f>IFERROR(INDEX('Hoja de apoyo v2'!B$17:B$20,MATCH($A307,'Hoja de apoyo v2'!$A$17:$A$20,0)),"")</f>
        <v>89.41621024641401</v>
      </c>
      <c r="O307" s="791">
        <f>IFERROR(INDEX('Hoja de apoyo v2'!C$17:C$20,MATCH($A307,'Hoja de apoyo v2'!$A$17:$A$20,0)),"")</f>
        <v>0.54706375874806301</v>
      </c>
      <c r="P307" s="793">
        <f>IFERROR(INDEX('Hoja de apoyo v2'!D$17:D$20,MATCH($A307,'Hoja de apoyo v2'!$A$17:$A$20,0)),"")</f>
        <v>11095.153935793827</v>
      </c>
      <c r="Q307" s="793">
        <f>IFERROR(INDEX('Hoja de apoyo v2'!E$17:E$20,MATCH($A307,'Hoja de apoyo v2'!$A$17:$A$20,0)),"")</f>
        <v>6982.3202019701848</v>
      </c>
      <c r="R307" s="793">
        <f>IFERROR(INDEX('Hoja de apoyo v2'!F$17:F$20,MATCH($A307,'Hoja de apoyo v2'!$A$17:$A$20,0)),"")</f>
        <v>448.09513474485743</v>
      </c>
      <c r="S307" s="793">
        <f>IFERROR(INDEX('Hoja de apoyo v2'!G$17:G$20,MATCH($A307,'Hoja de apoyo v2'!$A$17:$A$20,0)),"")</f>
        <v>83.406300904207839</v>
      </c>
      <c r="T307" s="792">
        <f>IFERROR(INDEX('Hoja de apoyo v2'!H$17:H$20,MATCH($A307,'Hoja de apoyo v2'!$A$17:$A$20,0)),"")</f>
        <v>378.97014028925349</v>
      </c>
      <c r="U307" s="794">
        <f t="shared" si="148"/>
        <v>0.63874485133288272</v>
      </c>
      <c r="V307" s="795">
        <f t="shared" si="149"/>
        <v>1.4897036049473429</v>
      </c>
      <c r="W307" s="795">
        <f t="shared" si="150"/>
        <v>0.57959113598392153</v>
      </c>
      <c r="X307" s="843">
        <f t="shared" si="151"/>
        <v>1.2452343971425122</v>
      </c>
      <c r="Y307" s="843">
        <f t="shared" si="152"/>
        <v>1.3431539420961638</v>
      </c>
      <c r="Z307" s="843">
        <f t="shared" si="153"/>
        <v>0.5824820358574615</v>
      </c>
      <c r="AA307" s="843">
        <f t="shared" si="154"/>
        <v>0.8396126866125655</v>
      </c>
      <c r="AB307" s="796">
        <f t="shared" si="155"/>
        <v>2</v>
      </c>
      <c r="AC307" s="797">
        <f t="shared" si="156"/>
        <v>5</v>
      </c>
      <c r="AD307" s="797">
        <f t="shared" si="157"/>
        <v>2</v>
      </c>
      <c r="AE307" s="842">
        <f t="shared" si="158"/>
        <v>4</v>
      </c>
      <c r="AF307" s="842">
        <f t="shared" si="159"/>
        <v>5</v>
      </c>
      <c r="AG307" s="842">
        <f t="shared" si="160"/>
        <v>2</v>
      </c>
      <c r="AH307" s="842">
        <f t="shared" si="161"/>
        <v>3</v>
      </c>
      <c r="AI307" s="826" cm="1">
        <f t="array" ref="AI307">SUMPRODUCT(--ISNUMBER($U307:$AA307),$AB$3:$AH$3)</f>
        <v>1</v>
      </c>
      <c r="AJ307" s="829">
        <f t="shared" si="162"/>
        <v>49.990473426554772</v>
      </c>
      <c r="AK307" s="827" t="str">
        <f t="shared" si="163"/>
        <v>En desarrollo</v>
      </c>
      <c r="AL307" s="784" t="str">
        <f t="shared" si="164"/>
        <v>Alta</v>
      </c>
      <c r="AM307" s="799">
        <f>IF(ISNUMBER('Base de datos Rutas'!W305),'Base de datos Rutas'!W305,"")</f>
        <v>2982.1586443005776</v>
      </c>
      <c r="AN307" s="787">
        <f>IFERROR(SUMIFS('Base de datos Rutas'!$W$6:$W$794,'Base de datos Rutas'!$C$6:$C$794,$C307)/'Base de datos Rutas'!I305,"")</f>
        <v>2982.158644300579</v>
      </c>
      <c r="AO307" s="800">
        <f>IFERROR('Base de datos Rutas'!X305*AN307/AM307,"")</f>
        <v>0.51837289520136576</v>
      </c>
      <c r="AP307" s="800">
        <f t="shared" si="165"/>
        <v>0.48162710479863424</v>
      </c>
      <c r="AQ307" s="789">
        <f>IFERROR(INDEX('Hoja de apoyo v2'!$J$17:$J$20,MATCH($A307,'Hoja de apoyo v2'!$A$17:$A$20,0)),"")</f>
        <v>0.64320274048480885</v>
      </c>
      <c r="AR307" s="789">
        <f t="shared" si="166"/>
        <v>-0.16157563568617461</v>
      </c>
      <c r="AS307" s="784" t="str">
        <f t="shared" si="167"/>
        <v>No</v>
      </c>
      <c r="AT307" s="801">
        <f>IF(ISNUMBER('Base de datos Rutas'!CK305),'Base de datos Rutas'!CK305,"")</f>
        <v>325</v>
      </c>
      <c r="AU307" s="802">
        <f>IF(ISNUMBER('Base de datos Rutas'!CL305),'Base de datos Rutas'!CL305,"")</f>
        <v>457.42</v>
      </c>
      <c r="AV307" s="802">
        <f>IF(ISNUMBER('Base de datos Rutas'!CM305),'Base de datos Rutas'!CM305,"")</f>
        <v>132.42000000000002</v>
      </c>
      <c r="AW307" s="802">
        <f>IF(ISNUMBER('Base de datos Rutas'!CN305),'Base de datos Rutas'!CN305,"")</f>
        <v>8.74</v>
      </c>
      <c r="AX307" s="802">
        <f>IF(ISNUMBER('Base de datos Rutas'!CO305),'Base de datos Rutas'!CO305,"")</f>
        <v>9.4499999999999993</v>
      </c>
      <c r="AY307" s="802">
        <f>IF(ISNUMBER('Base de datos Rutas'!CP305),'Base de datos Rutas'!CP305,"")</f>
        <v>0.70999999999999908</v>
      </c>
      <c r="AZ307" s="802">
        <f>IF(ISNUMBER('Base de datos Rutas'!CQ305),'Base de datos Rutas'!CQ305,"")</f>
        <v>846.56</v>
      </c>
      <c r="BA307" s="802">
        <f>IF(ISNUMBER('Base de datos Rutas'!CR305),'Base de datos Rutas'!CR305,"")</f>
        <v>650.44000000000005</v>
      </c>
      <c r="BB307" s="803">
        <f>IF(ISNUMBER('Base de datos Rutas'!CS305),'Base de datos Rutas'!CS305,"")</f>
        <v>196.11999999999989</v>
      </c>
      <c r="BC307" s="804">
        <f t="shared" si="177"/>
        <v>0</v>
      </c>
      <c r="BD307" s="805" t="str">
        <f t="shared" si="178"/>
        <v>No saturada</v>
      </c>
      <c r="BE307" s="806">
        <f t="shared" si="179"/>
        <v>0.76833301833301848</v>
      </c>
      <c r="BF307" s="890">
        <f>IF(ISNUMBER('Base de datos Rutas'!CX305),'Base de datos Rutas'!CX305/100,"")</f>
        <v>0.76635858234885335</v>
      </c>
      <c r="BG307" s="891">
        <f>IF(ISNUMBER('Base de datos Rutas'!CZ305),'Base de datos Rutas'!CZ305/100,"")</f>
        <v>0.81236970118137597</v>
      </c>
      <c r="BH307" s="892">
        <f>IF(ISNUMBER('Base de datos Rutas'!DA305),'Base de datos Rutas'!DA305,"")</f>
        <v>667.04061891696176</v>
      </c>
      <c r="BI307" s="893">
        <f>IF(ISNUMBER('Base de datos Rutas'!DC305),'Base de datos Rutas'!DC305,"")</f>
        <v>29.64980966111041</v>
      </c>
      <c r="BJ307" s="805" t="str">
        <f t="shared" si="180"/>
        <v>Ruta (completo)</v>
      </c>
      <c r="BK307" s="783">
        <f t="shared" si="168"/>
        <v>5</v>
      </c>
      <c r="BL307" s="797">
        <f t="shared" si="169"/>
        <v>5</v>
      </c>
      <c r="BM307" s="797">
        <f t="shared" si="170"/>
        <v>5</v>
      </c>
      <c r="BN307" s="797">
        <f t="shared" si="171"/>
        <v>5</v>
      </c>
      <c r="BO307" s="798" cm="1">
        <f t="array" ref="BO307">SUMPRODUCT(--ISNUMBER($BF307:$BI307),$BK$3:$BN$3)</f>
        <v>1</v>
      </c>
      <c r="BP307" s="831">
        <f t="shared" si="181"/>
        <v>100</v>
      </c>
      <c r="BQ307" s="834" t="str">
        <f t="shared" si="182"/>
        <v>Alto</v>
      </c>
      <c r="BR307" s="836">
        <f t="shared" si="172"/>
        <v>37.492855069916075</v>
      </c>
      <c r="BS307" s="836">
        <f t="shared" si="173"/>
        <v>100</v>
      </c>
      <c r="BT307" s="837" t="str">
        <f t="shared" si="174"/>
        <v>P1</v>
      </c>
      <c r="BU307" s="807" t="str">
        <f t="shared" si="183"/>
        <v>Con espacio</v>
      </c>
      <c r="BV307" s="807" t="str">
        <f t="shared" si="175"/>
        <v>Zona atractiva</v>
      </c>
      <c r="BW307" s="808" t="str">
        <f t="shared" si="176"/>
        <v>P1 - Ampliar cobertura</v>
      </c>
    </row>
    <row r="308" spans="1:75">
      <c r="A308" s="780" t="str">
        <f>'Base de datos Rutas'!A306</f>
        <v>Occidente</v>
      </c>
      <c r="B308" s="781" t="str">
        <f>'Base de datos Rutas'!B306</f>
        <v>Favorita</v>
      </c>
      <c r="C308" s="781" t="str">
        <f>'Base de datos Rutas'!C306</f>
        <v>Cedi Tonalá</v>
      </c>
      <c r="D308" s="782">
        <f>IF(ISNUMBER('Base de datos Rutas'!D306),'Base de datos Rutas'!D306,"Sin código")</f>
        <v>810328</v>
      </c>
      <c r="E308" s="783" t="str">
        <f>'Base de datos Rutas'!F306</f>
        <v>Activa</v>
      </c>
      <c r="F308" s="784" t="str">
        <f>'Base de datos Rutas'!H306</f>
        <v>Sí</v>
      </c>
      <c r="G308" s="785">
        <f>IF(ISNUMBER('Base de datos Rutas'!BE306),'Base de datos Rutas'!BE306,"")</f>
        <v>52.3449131513648</v>
      </c>
      <c r="H308" s="786">
        <f>IF(ISNUMBER('Base de datos Rutas'!BH306),'Base de datos Rutas'!BH306,"")</f>
        <v>0.69637354823417896</v>
      </c>
      <c r="I308" s="788">
        <f>IFERROR(IF(OR(NOT(ISNUMBER('Base de datos Rutas'!O306)),N('Base de datos Rutas'!BK306)=0),"",'Base de datos Rutas'!O306/('Base de datos Rutas'!L306/'Base de datos Rutas'!BK306)),"")</f>
        <v>3227.1356321839094</v>
      </c>
      <c r="J308" s="788">
        <f>IFERROR(IF(OR(NOT(ISNUMBER('Base de datos Rutas'!N306)),N('Base de datos Rutas'!BK306)=0),"",'Base de datos Rutas'!N306/('Base de datos Rutas'!L306/'Base de datos Rutas'!BK306)),"")</f>
        <v>6902.3195402298879</v>
      </c>
      <c r="K308" s="788">
        <f>IFERROR(IF(OR(NOT(ISNUMBER('Base de datos Rutas'!J306)),N('Base de datos Rutas'!BK306)=0),"",'Base de datos Rutas'!J306/('Base de datos Rutas'!L306/'Base de datos Rutas'!BK306)),"")</f>
        <v>477.1839816091956</v>
      </c>
      <c r="L308" s="788">
        <f>IFERROR(IF(OR(NOT(ISNUMBER('Base de datos Rutas'!K306)),N('Base de datos Rutas'!BK306)=0),"",'Base de datos Rutas'!K306/('Base de datos Rutas'!L306/'Base de datos Rutas'!BK306)),"")</f>
        <v>23.833116825287366</v>
      </c>
      <c r="M308" s="787">
        <f>IF(ISNUMBER('Base de datos Rutas'!AX306),'Base de datos Rutas'!AX306,"")</f>
        <v>280.28193689968799</v>
      </c>
      <c r="N308" s="790">
        <f>IFERROR(INDEX('Hoja de apoyo v2'!B$17:B$20,MATCH($A308,'Hoja de apoyo v2'!$A$17:$A$20,0)),"")</f>
        <v>89.41621024641401</v>
      </c>
      <c r="O308" s="791">
        <f>IFERROR(INDEX('Hoja de apoyo v2'!C$17:C$20,MATCH($A308,'Hoja de apoyo v2'!$A$17:$A$20,0)),"")</f>
        <v>0.54706375874806301</v>
      </c>
      <c r="P308" s="793">
        <f>IFERROR(INDEX('Hoja de apoyo v2'!D$17:D$20,MATCH($A308,'Hoja de apoyo v2'!$A$17:$A$20,0)),"")</f>
        <v>11095.153935793827</v>
      </c>
      <c r="Q308" s="793">
        <f>IFERROR(INDEX('Hoja de apoyo v2'!E$17:E$20,MATCH($A308,'Hoja de apoyo v2'!$A$17:$A$20,0)),"")</f>
        <v>6982.3202019701848</v>
      </c>
      <c r="R308" s="793">
        <f>IFERROR(INDEX('Hoja de apoyo v2'!F$17:F$20,MATCH($A308,'Hoja de apoyo v2'!$A$17:$A$20,0)),"")</f>
        <v>448.09513474485743</v>
      </c>
      <c r="S308" s="793">
        <f>IFERROR(INDEX('Hoja de apoyo v2'!G$17:G$20,MATCH($A308,'Hoja de apoyo v2'!$A$17:$A$20,0)),"")</f>
        <v>83.406300904207839</v>
      </c>
      <c r="T308" s="792">
        <f>IFERROR(INDEX('Hoja de apoyo v2'!H$17:H$20,MATCH($A308,'Hoja de apoyo v2'!$A$17:$A$20,0)),"")</f>
        <v>378.97014028925349</v>
      </c>
      <c r="U308" s="794">
        <f t="shared" si="148"/>
        <v>0.58540742229079279</v>
      </c>
      <c r="V308" s="795">
        <f t="shared" si="149"/>
        <v>1.2729294110576916</v>
      </c>
      <c r="W308" s="795">
        <f t="shared" si="150"/>
        <v>0.2908599241487691</v>
      </c>
      <c r="X308" s="843">
        <f t="shared" si="151"/>
        <v>0.98854239573290792</v>
      </c>
      <c r="Y308" s="843">
        <f t="shared" si="152"/>
        <v>1.0649166764127023</v>
      </c>
      <c r="Z308" s="843">
        <f t="shared" si="153"/>
        <v>0.28574719855589459</v>
      </c>
      <c r="AA308" s="843">
        <f t="shared" si="154"/>
        <v>0.73958844537397972</v>
      </c>
      <c r="AB308" s="796">
        <f t="shared" si="155"/>
        <v>2</v>
      </c>
      <c r="AC308" s="797">
        <f t="shared" si="156"/>
        <v>5</v>
      </c>
      <c r="AD308" s="797">
        <f t="shared" si="157"/>
        <v>1</v>
      </c>
      <c r="AE308" s="842">
        <f t="shared" si="158"/>
        <v>3</v>
      </c>
      <c r="AF308" s="842">
        <f t="shared" si="159"/>
        <v>4</v>
      </c>
      <c r="AG308" s="842">
        <f t="shared" si="160"/>
        <v>1</v>
      </c>
      <c r="AH308" s="842">
        <f t="shared" si="161"/>
        <v>2</v>
      </c>
      <c r="AI308" s="826" cm="1">
        <f t="array" ref="AI308">SUMPRODUCT(--ISNUMBER($U308:$AA308),$AB$3:$AH$3)</f>
        <v>1</v>
      </c>
      <c r="AJ308" s="829">
        <f t="shared" si="162"/>
        <v>31.907015190582001</v>
      </c>
      <c r="AK308" s="827" t="str">
        <f t="shared" si="163"/>
        <v>Inmadura</v>
      </c>
      <c r="AL308" s="784" t="str">
        <f t="shared" si="164"/>
        <v>Alta</v>
      </c>
      <c r="AM308" s="799">
        <f>IF(ISNUMBER('Base de datos Rutas'!W306),'Base de datos Rutas'!W306,"")</f>
        <v>2982.1586443005776</v>
      </c>
      <c r="AN308" s="787">
        <f>IFERROR(SUMIFS('Base de datos Rutas'!$W$6:$W$794,'Base de datos Rutas'!$C$6:$C$794,$C308)/'Base de datos Rutas'!I306,"")</f>
        <v>2982.158644300579</v>
      </c>
      <c r="AO308" s="800">
        <f>IFERROR('Base de datos Rutas'!X306*AN308/AM308,"")</f>
        <v>0.51837289520136576</v>
      </c>
      <c r="AP308" s="800">
        <f t="shared" si="165"/>
        <v>0.48162710479863424</v>
      </c>
      <c r="AQ308" s="789">
        <f>IFERROR(INDEX('Hoja de apoyo v2'!$J$17:$J$20,MATCH($A308,'Hoja de apoyo v2'!$A$17:$A$20,0)),"")</f>
        <v>0.64320274048480885</v>
      </c>
      <c r="AR308" s="789">
        <f t="shared" si="166"/>
        <v>-0.16157563568617461</v>
      </c>
      <c r="AS308" s="784" t="str">
        <f t="shared" si="167"/>
        <v>No</v>
      </c>
      <c r="AT308" s="801">
        <f>IF(ISNUMBER('Base de datos Rutas'!CK306),'Base de datos Rutas'!CK306,"")</f>
        <v>298</v>
      </c>
      <c r="AU308" s="802">
        <f>IF(ISNUMBER('Base de datos Rutas'!CL306),'Base de datos Rutas'!CL306,"")</f>
        <v>387.78</v>
      </c>
      <c r="AV308" s="802">
        <f>IF(ISNUMBER('Base de datos Rutas'!CM306),'Base de datos Rutas'!CM306,"")</f>
        <v>89.779999999999973</v>
      </c>
      <c r="AW308" s="802">
        <f>IF(ISNUMBER('Base de datos Rutas'!CN306),'Base de datos Rutas'!CN306,"")</f>
        <v>6.96</v>
      </c>
      <c r="AX308" s="802">
        <f>IF(ISNUMBER('Base de datos Rutas'!CO306),'Base de datos Rutas'!CO306,"")</f>
        <v>9.4499999999999993</v>
      </c>
      <c r="AY308" s="802">
        <f>IF(ISNUMBER('Base de datos Rutas'!CP306),'Base de datos Rutas'!CP306,"")</f>
        <v>2.4899999999999993</v>
      </c>
      <c r="AZ308" s="802">
        <f>IF(ISNUMBER('Base de datos Rutas'!CQ306),'Base de datos Rutas'!CQ306,"")</f>
        <v>846.56</v>
      </c>
      <c r="BA308" s="802">
        <f>IF(ISNUMBER('Base de datos Rutas'!CR306),'Base de datos Rutas'!CR306,"")</f>
        <v>501.02</v>
      </c>
      <c r="BB308" s="803">
        <f>IF(ISNUMBER('Base de datos Rutas'!CS306),'Base de datos Rutas'!CS306,"")</f>
        <v>345.53999999999996</v>
      </c>
      <c r="BC308" s="804">
        <f t="shared" si="177"/>
        <v>0</v>
      </c>
      <c r="BD308" s="805" t="str">
        <f t="shared" si="178"/>
        <v>No saturada</v>
      </c>
      <c r="BE308" s="806">
        <f t="shared" si="179"/>
        <v>0.59183046683046681</v>
      </c>
      <c r="BF308" s="890">
        <f>IF(ISNUMBER('Base de datos Rutas'!CX306),'Base de datos Rutas'!CX306/100,"")</f>
        <v>0.74529668411867367</v>
      </c>
      <c r="BG308" s="891">
        <f>IF(ISNUMBER('Base de datos Rutas'!CZ306),'Base de datos Rutas'!CZ306/100,"")</f>
        <v>0.78446771378708546</v>
      </c>
      <c r="BH308" s="892">
        <f>IF(ISNUMBER('Base de datos Rutas'!DA306),'Base de datos Rutas'!DA306,"")</f>
        <v>857.6569540427746</v>
      </c>
      <c r="BI308" s="893">
        <f>IF(ISNUMBER('Base de datos Rutas'!DC306),'Base de datos Rutas'!DC306,"")</f>
        <v>43.068864462712753</v>
      </c>
      <c r="BJ308" s="805" t="str">
        <f t="shared" si="180"/>
        <v>Ruta (completo)</v>
      </c>
      <c r="BK308" s="783">
        <f t="shared" si="168"/>
        <v>5</v>
      </c>
      <c r="BL308" s="797">
        <f t="shared" si="169"/>
        <v>5</v>
      </c>
      <c r="BM308" s="797">
        <f t="shared" si="170"/>
        <v>5</v>
      </c>
      <c r="BN308" s="797">
        <f t="shared" si="171"/>
        <v>5</v>
      </c>
      <c r="BO308" s="798" cm="1">
        <f t="array" ref="BO308">SUMPRODUCT(--ISNUMBER($BF308:$BI308),$BK$3:$BN$3)</f>
        <v>1</v>
      </c>
      <c r="BP308" s="831">
        <f t="shared" si="181"/>
        <v>100</v>
      </c>
      <c r="BQ308" s="834" t="str">
        <f t="shared" si="182"/>
        <v>Alto</v>
      </c>
      <c r="BR308" s="836">
        <f t="shared" si="172"/>
        <v>23.930261392936501</v>
      </c>
      <c r="BS308" s="836">
        <f t="shared" si="173"/>
        <v>100</v>
      </c>
      <c r="BT308" s="837" t="str">
        <f t="shared" si="174"/>
        <v>P3</v>
      </c>
      <c r="BU308" s="807" t="str">
        <f t="shared" si="183"/>
        <v>Con espacio</v>
      </c>
      <c r="BV308" s="807" t="str">
        <f t="shared" si="175"/>
        <v>Zona atractiva</v>
      </c>
      <c r="BW308" s="808" t="str">
        <f t="shared" si="176"/>
        <v>P3 - Desarrollar</v>
      </c>
    </row>
    <row r="309" spans="1:75">
      <c r="A309" s="780" t="str">
        <f>'Base de datos Rutas'!A307</f>
        <v>Occidente</v>
      </c>
      <c r="B309" s="781" t="str">
        <f>'Base de datos Rutas'!B307</f>
        <v>Favorita</v>
      </c>
      <c r="C309" s="781" t="str">
        <f>'Base de datos Rutas'!C307</f>
        <v>Cedi Tonalá</v>
      </c>
      <c r="D309" s="782">
        <f>IF(ISNUMBER('Base de datos Rutas'!D307),'Base de datos Rutas'!D307,"Sin código")</f>
        <v>810329</v>
      </c>
      <c r="E309" s="783" t="str">
        <f>'Base de datos Rutas'!F307</f>
        <v>Activa</v>
      </c>
      <c r="F309" s="784" t="str">
        <f>'Base de datos Rutas'!H307</f>
        <v>Sí</v>
      </c>
      <c r="G309" s="785">
        <f>IF(ISNUMBER('Base de datos Rutas'!BE307),'Base de datos Rutas'!BE307,"")</f>
        <v>70.307881773399004</v>
      </c>
      <c r="H309" s="786">
        <f>IF(ISNUMBER('Base de datos Rutas'!BH307),'Base de datos Rutas'!BH307,"")</f>
        <v>0.49238045191802399</v>
      </c>
      <c r="I309" s="788">
        <f>IFERROR(IF(OR(NOT(ISNUMBER('Base de datos Rutas'!O307)),N('Base de datos Rutas'!BK307)=0),"",'Base de datos Rutas'!O307/('Base de datos Rutas'!L307/'Base de datos Rutas'!BK307)),"")</f>
        <v>4104.67808219178</v>
      </c>
      <c r="J309" s="788">
        <f>IFERROR(IF(OR(NOT(ISNUMBER('Base de datos Rutas'!N307)),N('Base de datos Rutas'!BK307)=0),"",'Base de datos Rutas'!N307/('Base de datos Rutas'!L307/'Base de datos Rutas'!BK307)),"")</f>
        <v>8211.6141552511399</v>
      </c>
      <c r="K309" s="788">
        <f>IFERROR(IF(OR(NOT(ISNUMBER('Base de datos Rutas'!J307)),N('Base de datos Rutas'!BK307)=0),"",'Base de datos Rutas'!J307/('Base de datos Rutas'!L307/'Base de datos Rutas'!BK307)),"")</f>
        <v>560.91405296803634</v>
      </c>
      <c r="L309" s="788">
        <f>IFERROR(IF(OR(NOT(ISNUMBER('Base de datos Rutas'!K307)),N('Base de datos Rutas'!BK307)=0),"",'Base de datos Rutas'!K307/('Base de datos Rutas'!L307/'Base de datos Rutas'!BK307)),"")</f>
        <v>32.701765646118716</v>
      </c>
      <c r="M309" s="787">
        <f>IF(ISNUMBER('Base de datos Rutas'!AX307),'Base de datos Rutas'!AX307,"")</f>
        <v>354.46054142847697</v>
      </c>
      <c r="N309" s="790">
        <f>IFERROR(INDEX('Hoja de apoyo v2'!B$17:B$20,MATCH($A309,'Hoja de apoyo v2'!$A$17:$A$20,0)),"")</f>
        <v>89.41621024641401</v>
      </c>
      <c r="O309" s="791">
        <f>IFERROR(INDEX('Hoja de apoyo v2'!C$17:C$20,MATCH($A309,'Hoja de apoyo v2'!$A$17:$A$20,0)),"")</f>
        <v>0.54706375874806301</v>
      </c>
      <c r="P309" s="793">
        <f>IFERROR(INDEX('Hoja de apoyo v2'!D$17:D$20,MATCH($A309,'Hoja de apoyo v2'!$A$17:$A$20,0)),"")</f>
        <v>11095.153935793827</v>
      </c>
      <c r="Q309" s="793">
        <f>IFERROR(INDEX('Hoja de apoyo v2'!E$17:E$20,MATCH($A309,'Hoja de apoyo v2'!$A$17:$A$20,0)),"")</f>
        <v>6982.3202019701848</v>
      </c>
      <c r="R309" s="793">
        <f>IFERROR(INDEX('Hoja de apoyo v2'!F$17:F$20,MATCH($A309,'Hoja de apoyo v2'!$A$17:$A$20,0)),"")</f>
        <v>448.09513474485743</v>
      </c>
      <c r="S309" s="793">
        <f>IFERROR(INDEX('Hoja de apoyo v2'!G$17:G$20,MATCH($A309,'Hoja de apoyo v2'!$A$17:$A$20,0)),"")</f>
        <v>83.406300904207839</v>
      </c>
      <c r="T309" s="792">
        <f>IFERROR(INDEX('Hoja de apoyo v2'!H$17:H$20,MATCH($A309,'Hoja de apoyo v2'!$A$17:$A$20,0)),"")</f>
        <v>378.97014028925349</v>
      </c>
      <c r="U309" s="794">
        <f t="shared" si="148"/>
        <v>0.78629905673304534</v>
      </c>
      <c r="V309" s="795">
        <f t="shared" si="149"/>
        <v>0.90004216884119703</v>
      </c>
      <c r="W309" s="795">
        <f t="shared" si="150"/>
        <v>0.3699523328783903</v>
      </c>
      <c r="X309" s="843">
        <f t="shared" si="151"/>
        <v>1.1760580892486265</v>
      </c>
      <c r="Y309" s="843">
        <f t="shared" si="152"/>
        <v>1.251774477059246</v>
      </c>
      <c r="Z309" s="843">
        <f t="shared" si="153"/>
        <v>0.39207788010736389</v>
      </c>
      <c r="AA309" s="843">
        <f t="shared" si="154"/>
        <v>0.93532577832631014</v>
      </c>
      <c r="AB309" s="796">
        <f t="shared" si="155"/>
        <v>3</v>
      </c>
      <c r="AC309" s="797">
        <f t="shared" si="156"/>
        <v>3</v>
      </c>
      <c r="AD309" s="797">
        <f t="shared" si="157"/>
        <v>1</v>
      </c>
      <c r="AE309" s="842">
        <f t="shared" si="158"/>
        <v>4</v>
      </c>
      <c r="AF309" s="842">
        <f t="shared" si="159"/>
        <v>5</v>
      </c>
      <c r="AG309" s="842">
        <f t="shared" si="160"/>
        <v>1</v>
      </c>
      <c r="AH309" s="842">
        <f t="shared" si="161"/>
        <v>3</v>
      </c>
      <c r="AI309" s="826" cm="1">
        <f t="array" ref="AI309">SUMPRODUCT(--ISNUMBER($U309:$AA309),$AB$3:$AH$3)</f>
        <v>1</v>
      </c>
      <c r="AJ309" s="829">
        <f t="shared" si="162"/>
        <v>40.255060195522837</v>
      </c>
      <c r="AK309" s="827" t="str">
        <f t="shared" si="163"/>
        <v>Inmadura</v>
      </c>
      <c r="AL309" s="784" t="str">
        <f t="shared" si="164"/>
        <v>Alta</v>
      </c>
      <c r="AM309" s="799">
        <f>IF(ISNUMBER('Base de datos Rutas'!W307),'Base de datos Rutas'!W307,"")</f>
        <v>2982.1586443005776</v>
      </c>
      <c r="AN309" s="787">
        <f>IFERROR(SUMIFS('Base de datos Rutas'!$W$6:$W$794,'Base de datos Rutas'!$C$6:$C$794,$C309)/'Base de datos Rutas'!I307,"")</f>
        <v>2982.158644300579</v>
      </c>
      <c r="AO309" s="800">
        <f>IFERROR('Base de datos Rutas'!X307*AN309/AM309,"")</f>
        <v>0.51837289520136576</v>
      </c>
      <c r="AP309" s="800">
        <f t="shared" si="165"/>
        <v>0.48162710479863424</v>
      </c>
      <c r="AQ309" s="789">
        <f>IFERROR(INDEX('Hoja de apoyo v2'!$J$17:$J$20,MATCH($A309,'Hoja de apoyo v2'!$A$17:$A$20,0)),"")</f>
        <v>0.64320274048480885</v>
      </c>
      <c r="AR309" s="789">
        <f t="shared" si="166"/>
        <v>-0.16157563568617461</v>
      </c>
      <c r="AS309" s="784" t="str">
        <f t="shared" si="167"/>
        <v>No</v>
      </c>
      <c r="AT309" s="801">
        <f>IF(ISNUMBER('Base de datos Rutas'!CK307),'Base de datos Rutas'!CK307,"")</f>
        <v>265</v>
      </c>
      <c r="AU309" s="802">
        <f>IF(ISNUMBER('Base de datos Rutas'!CL307),'Base de datos Rutas'!CL307,"")</f>
        <v>356.12</v>
      </c>
      <c r="AV309" s="802">
        <f>IF(ISNUMBER('Base de datos Rutas'!CM307),'Base de datos Rutas'!CM307,"")</f>
        <v>91.12</v>
      </c>
      <c r="AW309" s="802">
        <f>IF(ISNUMBER('Base de datos Rutas'!CN307),'Base de datos Rutas'!CN307,"")</f>
        <v>6.4</v>
      </c>
      <c r="AX309" s="802">
        <f>IF(ISNUMBER('Base de datos Rutas'!CO307),'Base de datos Rutas'!CO307,"")</f>
        <v>9.4499999999999993</v>
      </c>
      <c r="AY309" s="802">
        <f>IF(ISNUMBER('Base de datos Rutas'!CP307),'Base de datos Rutas'!CP307,"")</f>
        <v>3.0499999999999989</v>
      </c>
      <c r="AZ309" s="802">
        <f>IF(ISNUMBER('Base de datos Rutas'!CQ307),'Base de datos Rutas'!CQ307,"")</f>
        <v>846.56</v>
      </c>
      <c r="BA309" s="802">
        <f>IF(ISNUMBER('Base de datos Rutas'!CR307),'Base de datos Rutas'!CR307,"")</f>
        <v>593.62</v>
      </c>
      <c r="BB309" s="803">
        <f>IF(ISNUMBER('Base de datos Rutas'!CS307),'Base de datos Rutas'!CS307,"")</f>
        <v>252.93999999999994</v>
      </c>
      <c r="BC309" s="804">
        <f t="shared" si="177"/>
        <v>0</v>
      </c>
      <c r="BD309" s="805" t="str">
        <f t="shared" si="178"/>
        <v>No saturada</v>
      </c>
      <c r="BE309" s="806">
        <f t="shared" si="179"/>
        <v>0.70121432621432622</v>
      </c>
      <c r="BF309" s="890">
        <f>IF(ISNUMBER('Base de datos Rutas'!CX307),'Base de datos Rutas'!CX307/100,"")</f>
        <v>0.94056099151989569</v>
      </c>
      <c r="BG309" s="891">
        <f>IF(ISNUMBER('Base de datos Rutas'!CZ307),'Base de datos Rutas'!CZ307/100,"")</f>
        <v>1</v>
      </c>
      <c r="BH309" s="892">
        <f>IF(ISNUMBER('Base de datos Rutas'!DA307),'Base de datos Rutas'!DA307,"")</f>
        <v>828.75788734822561</v>
      </c>
      <c r="BI309" s="893">
        <f>IF(ISNUMBER('Base de datos Rutas'!DC307),'Base de datos Rutas'!DC307,"")</f>
        <v>39.418583602196883</v>
      </c>
      <c r="BJ309" s="805" t="str">
        <f t="shared" si="180"/>
        <v>Ruta (completo)</v>
      </c>
      <c r="BK309" s="783">
        <f t="shared" si="168"/>
        <v>5</v>
      </c>
      <c r="BL309" s="797">
        <f t="shared" si="169"/>
        <v>5</v>
      </c>
      <c r="BM309" s="797">
        <f t="shared" si="170"/>
        <v>5</v>
      </c>
      <c r="BN309" s="797">
        <f t="shared" si="171"/>
        <v>5</v>
      </c>
      <c r="BO309" s="798" cm="1">
        <f t="array" ref="BO309">SUMPRODUCT(--ISNUMBER($BF309:$BI309),$BK$3:$BN$3)</f>
        <v>1</v>
      </c>
      <c r="BP309" s="831">
        <f t="shared" si="181"/>
        <v>100</v>
      </c>
      <c r="BQ309" s="834" t="str">
        <f t="shared" si="182"/>
        <v>Alto</v>
      </c>
      <c r="BR309" s="836">
        <f t="shared" si="172"/>
        <v>30.191295146642126</v>
      </c>
      <c r="BS309" s="836">
        <f t="shared" si="173"/>
        <v>100</v>
      </c>
      <c r="BT309" s="837" t="str">
        <f t="shared" si="174"/>
        <v>P1</v>
      </c>
      <c r="BU309" s="807" t="str">
        <f t="shared" si="183"/>
        <v>Con espacio</v>
      </c>
      <c r="BV309" s="807" t="str">
        <f t="shared" si="175"/>
        <v>Zona atractiva</v>
      </c>
      <c r="BW309" s="808" t="str">
        <f t="shared" si="176"/>
        <v>P1 - Ampliar cobertura</v>
      </c>
    </row>
    <row r="310" spans="1:75">
      <c r="A310" s="780" t="str">
        <f>'Base de datos Rutas'!A308</f>
        <v>Occidente</v>
      </c>
      <c r="B310" s="781" t="str">
        <f>'Base de datos Rutas'!B308</f>
        <v>Favorita</v>
      </c>
      <c r="C310" s="781" t="str">
        <f>'Base de datos Rutas'!C308</f>
        <v>Cedi Tonalá</v>
      </c>
      <c r="D310" s="782">
        <f>IF(ISNUMBER('Base de datos Rutas'!D308),'Base de datos Rutas'!D308,"Sin código")</f>
        <v>810330</v>
      </c>
      <c r="E310" s="783" t="str">
        <f>'Base de datos Rutas'!F308</f>
        <v>Activa</v>
      </c>
      <c r="F310" s="784" t="str">
        <f>'Base de datos Rutas'!H308</f>
        <v>Sí</v>
      </c>
      <c r="G310" s="785">
        <f>IF(ISNUMBER('Base de datos Rutas'!BE308),'Base de datos Rutas'!BE308,"")</f>
        <v>57.860240963855397</v>
      </c>
      <c r="H310" s="786">
        <f>IF(ISNUMBER('Base de datos Rutas'!BH308),'Base de datos Rutas'!BH308,"")</f>
        <v>0.61894052973513303</v>
      </c>
      <c r="I310" s="788">
        <f>IFERROR(IF(OR(NOT(ISNUMBER('Base de datos Rutas'!O308)),N('Base de datos Rutas'!BK308)=0),"",'Base de datos Rutas'!O308/('Base de datos Rutas'!L308/'Base de datos Rutas'!BK308)),"")</f>
        <v>3065.6286353467544</v>
      </c>
      <c r="J310" s="788">
        <f>IFERROR(IF(OR(NOT(ISNUMBER('Base de datos Rutas'!N308)),N('Base de datos Rutas'!BK308)=0),"",'Base de datos Rutas'!N308/('Base de datos Rutas'!L308/'Base de datos Rutas'!BK308)),"")</f>
        <v>5182.447427293062</v>
      </c>
      <c r="K310" s="788">
        <f>IFERROR(IF(OR(NOT(ISNUMBER('Base de datos Rutas'!J308)),N('Base de datos Rutas'!BK308)=0),"",'Base de datos Rutas'!J308/('Base de datos Rutas'!L308/'Base de datos Rutas'!BK308)),"")</f>
        <v>366.58964295301996</v>
      </c>
      <c r="L310" s="788">
        <f>IFERROR(IF(OR(NOT(ISNUMBER('Base de datos Rutas'!K308)),N('Base de datos Rutas'!BK308)=0),"",'Base de datos Rutas'!K308/('Base de datos Rutas'!L308/'Base de datos Rutas'!BK308)),"")</f>
        <v>22.561932328859051</v>
      </c>
      <c r="M310" s="787">
        <f>IF(ISNUMBER('Base de datos Rutas'!AX308),'Base de datos Rutas'!AX308,"")</f>
        <v>232.39136779073399</v>
      </c>
      <c r="N310" s="790">
        <f>IFERROR(INDEX('Hoja de apoyo v2'!B$17:B$20,MATCH($A310,'Hoja de apoyo v2'!$A$17:$A$20,0)),"")</f>
        <v>89.41621024641401</v>
      </c>
      <c r="O310" s="791">
        <f>IFERROR(INDEX('Hoja de apoyo v2'!C$17:C$20,MATCH($A310,'Hoja de apoyo v2'!$A$17:$A$20,0)),"")</f>
        <v>0.54706375874806301</v>
      </c>
      <c r="P310" s="793">
        <f>IFERROR(INDEX('Hoja de apoyo v2'!D$17:D$20,MATCH($A310,'Hoja de apoyo v2'!$A$17:$A$20,0)),"")</f>
        <v>11095.153935793827</v>
      </c>
      <c r="Q310" s="793">
        <f>IFERROR(INDEX('Hoja de apoyo v2'!E$17:E$20,MATCH($A310,'Hoja de apoyo v2'!$A$17:$A$20,0)),"")</f>
        <v>6982.3202019701848</v>
      </c>
      <c r="R310" s="793">
        <f>IFERROR(INDEX('Hoja de apoyo v2'!F$17:F$20,MATCH($A310,'Hoja de apoyo v2'!$A$17:$A$20,0)),"")</f>
        <v>448.09513474485743</v>
      </c>
      <c r="S310" s="793">
        <f>IFERROR(INDEX('Hoja de apoyo v2'!G$17:G$20,MATCH($A310,'Hoja de apoyo v2'!$A$17:$A$20,0)),"")</f>
        <v>83.406300904207839</v>
      </c>
      <c r="T310" s="792">
        <f>IFERROR(INDEX('Hoja de apoyo v2'!H$17:H$20,MATCH($A310,'Hoja de apoyo v2'!$A$17:$A$20,0)),"")</f>
        <v>378.97014028925349</v>
      </c>
      <c r="U310" s="794">
        <f t="shared" si="148"/>
        <v>0.64708894287068996</v>
      </c>
      <c r="V310" s="795">
        <f t="shared" si="149"/>
        <v>1.131386460604807</v>
      </c>
      <c r="W310" s="795">
        <f t="shared" si="150"/>
        <v>0.27630338912710339</v>
      </c>
      <c r="X310" s="843">
        <f t="shared" si="151"/>
        <v>0.74222425746541143</v>
      </c>
      <c r="Y310" s="843">
        <f t="shared" si="152"/>
        <v>0.8181067245056205</v>
      </c>
      <c r="Z310" s="843">
        <f t="shared" si="153"/>
        <v>0.27050632966892318</v>
      </c>
      <c r="AA310" s="843">
        <f t="shared" si="154"/>
        <v>0.61321814856800727</v>
      </c>
      <c r="AB310" s="796">
        <f t="shared" si="155"/>
        <v>2</v>
      </c>
      <c r="AC310" s="797">
        <f t="shared" si="156"/>
        <v>4</v>
      </c>
      <c r="AD310" s="797">
        <f t="shared" si="157"/>
        <v>1</v>
      </c>
      <c r="AE310" s="842">
        <f t="shared" si="158"/>
        <v>2</v>
      </c>
      <c r="AF310" s="842">
        <f t="shared" si="159"/>
        <v>3</v>
      </c>
      <c r="AG310" s="842">
        <f t="shared" si="160"/>
        <v>1</v>
      </c>
      <c r="AH310" s="842">
        <f t="shared" si="161"/>
        <v>2</v>
      </c>
      <c r="AI310" s="826" cm="1">
        <f t="array" ref="AI310">SUMPRODUCT(--ISNUMBER($U310:$AA310),$AB$3:$AH$3)</f>
        <v>1</v>
      </c>
      <c r="AJ310" s="829">
        <f t="shared" si="162"/>
        <v>23.188617446433042</v>
      </c>
      <c r="AK310" s="827" t="str">
        <f t="shared" si="163"/>
        <v>Inmadura</v>
      </c>
      <c r="AL310" s="784" t="str">
        <f t="shared" si="164"/>
        <v>Alta</v>
      </c>
      <c r="AM310" s="799">
        <f>IF(ISNUMBER('Base de datos Rutas'!W308),'Base de datos Rutas'!W308,"")</f>
        <v>2982.1586443005776</v>
      </c>
      <c r="AN310" s="787">
        <f>IFERROR(SUMIFS('Base de datos Rutas'!$W$6:$W$794,'Base de datos Rutas'!$C$6:$C$794,$C310)/'Base de datos Rutas'!I308,"")</f>
        <v>2982.158644300579</v>
      </c>
      <c r="AO310" s="800">
        <f>IFERROR('Base de datos Rutas'!X308*AN310/AM310,"")</f>
        <v>0.51837289520136576</v>
      </c>
      <c r="AP310" s="800">
        <f t="shared" si="165"/>
        <v>0.48162710479863424</v>
      </c>
      <c r="AQ310" s="789">
        <f>IFERROR(INDEX('Hoja de apoyo v2'!$J$17:$J$20,MATCH($A310,'Hoja de apoyo v2'!$A$17:$A$20,0)),"")</f>
        <v>0.64320274048480885</v>
      </c>
      <c r="AR310" s="789">
        <f t="shared" si="166"/>
        <v>-0.16157563568617461</v>
      </c>
      <c r="AS310" s="784" t="str">
        <f t="shared" si="167"/>
        <v>No</v>
      </c>
      <c r="AT310" s="801">
        <f>IF(ISNUMBER('Base de datos Rutas'!CK308),'Base de datos Rutas'!CK308,"")</f>
        <v>322</v>
      </c>
      <c r="AU310" s="802">
        <f>IF(ISNUMBER('Base de datos Rutas'!CL308),'Base de datos Rutas'!CL308,"")</f>
        <v>370.8</v>
      </c>
      <c r="AV310" s="802">
        <f>IF(ISNUMBER('Base de datos Rutas'!CM308),'Base de datos Rutas'!CM308,"")</f>
        <v>48.800000000000011</v>
      </c>
      <c r="AW310" s="802">
        <f>IF(ISNUMBER('Base de datos Rutas'!CN308),'Base de datos Rutas'!CN308,"")</f>
        <v>9.31</v>
      </c>
      <c r="AX310" s="802">
        <f>IF(ISNUMBER('Base de datos Rutas'!CO308),'Base de datos Rutas'!CO308,"")</f>
        <v>9.4499999999999993</v>
      </c>
      <c r="AY310" s="802">
        <f>IF(ISNUMBER('Base de datos Rutas'!CP308),'Base de datos Rutas'!CP308,"")</f>
        <v>0.13999999999999879</v>
      </c>
      <c r="AZ310" s="802">
        <f>IF(ISNUMBER('Base de datos Rutas'!CQ308),'Base de datos Rutas'!CQ308,"")</f>
        <v>846.56</v>
      </c>
      <c r="BA310" s="802">
        <f>IF(ISNUMBER('Base de datos Rutas'!CR308),'Base de datos Rutas'!CR308,"")</f>
        <v>389.15</v>
      </c>
      <c r="BB310" s="803">
        <f>IF(ISNUMBER('Base de datos Rutas'!CS308),'Base de datos Rutas'!CS308,"")</f>
        <v>457.40999999999997</v>
      </c>
      <c r="BC310" s="804">
        <f t="shared" si="177"/>
        <v>0</v>
      </c>
      <c r="BD310" s="805" t="str">
        <f t="shared" si="178"/>
        <v>No saturada</v>
      </c>
      <c r="BE310" s="806">
        <f t="shared" si="179"/>
        <v>0.45968389718389718</v>
      </c>
      <c r="BF310" s="890">
        <f>IF(ISNUMBER('Base de datos Rutas'!CX308),'Base de datos Rutas'!CX308/100,"")</f>
        <v>0.46050343249427927</v>
      </c>
      <c r="BG310" s="891">
        <f>IF(ISNUMBER('Base de datos Rutas'!CZ308),'Base de datos Rutas'!CZ308/100,"")</f>
        <v>0.48283752860411899</v>
      </c>
      <c r="BH310" s="892">
        <f>IF(ISNUMBER('Base de datos Rutas'!DA308),'Base de datos Rutas'!DA308,"")</f>
        <v>910.99820485271732</v>
      </c>
      <c r="BI310" s="893">
        <f>IF(ISNUMBER('Base de datos Rutas'!DC308),'Base de datos Rutas'!DC308,"")</f>
        <v>40.193038768018624</v>
      </c>
      <c r="BJ310" s="805" t="str">
        <f t="shared" si="180"/>
        <v>Ruta (completo)</v>
      </c>
      <c r="BK310" s="783">
        <f t="shared" si="168"/>
        <v>5</v>
      </c>
      <c r="BL310" s="797">
        <f t="shared" si="169"/>
        <v>5</v>
      </c>
      <c r="BM310" s="797">
        <f t="shared" si="170"/>
        <v>5</v>
      </c>
      <c r="BN310" s="797">
        <f t="shared" si="171"/>
        <v>5</v>
      </c>
      <c r="BO310" s="798" cm="1">
        <f t="array" ref="BO310">SUMPRODUCT(--ISNUMBER($BF310:$BI310),$BK$3:$BN$3)</f>
        <v>1</v>
      </c>
      <c r="BP310" s="831">
        <f t="shared" si="181"/>
        <v>100</v>
      </c>
      <c r="BQ310" s="834" t="str">
        <f t="shared" si="182"/>
        <v>Alto</v>
      </c>
      <c r="BR310" s="836">
        <f t="shared" si="172"/>
        <v>17.391463084824782</v>
      </c>
      <c r="BS310" s="836">
        <f t="shared" si="173"/>
        <v>100</v>
      </c>
      <c r="BT310" s="837" t="str">
        <f t="shared" si="174"/>
        <v>P3</v>
      </c>
      <c r="BU310" s="807" t="str">
        <f t="shared" si="183"/>
        <v>Con espacio</v>
      </c>
      <c r="BV310" s="807" t="str">
        <f t="shared" si="175"/>
        <v>Zona atractiva</v>
      </c>
      <c r="BW310" s="808" t="str">
        <f t="shared" si="176"/>
        <v>P3 - Desarrollar</v>
      </c>
    </row>
    <row r="311" spans="1:75">
      <c r="A311" s="780" t="str">
        <f>'Base de datos Rutas'!A309</f>
        <v>Occidente</v>
      </c>
      <c r="B311" s="781" t="str">
        <f>'Base de datos Rutas'!B309</f>
        <v>Favorita</v>
      </c>
      <c r="C311" s="781" t="str">
        <f>'Base de datos Rutas'!C309</f>
        <v>Cedi Tonalá</v>
      </c>
      <c r="D311" s="782">
        <f>IF(ISNUMBER('Base de datos Rutas'!D309),'Base de datos Rutas'!D309,"Sin código")</f>
        <v>810331</v>
      </c>
      <c r="E311" s="783" t="str">
        <f>'Base de datos Rutas'!F309</f>
        <v>Activa</v>
      </c>
      <c r="F311" s="784" t="str">
        <f>'Base de datos Rutas'!H309</f>
        <v>Sí</v>
      </c>
      <c r="G311" s="785">
        <f>IF(ISNUMBER('Base de datos Rutas'!BE309),'Base de datos Rutas'!BE309,"")</f>
        <v>102.669154228856</v>
      </c>
      <c r="H311" s="786">
        <f>IF(ISNUMBER('Base de datos Rutas'!BH309),'Base de datos Rutas'!BH309,"")</f>
        <v>0.50434909020425001</v>
      </c>
      <c r="I311" s="788">
        <f>IFERROR(IF(OR(NOT(ISNUMBER('Base de datos Rutas'!O309)),N('Base de datos Rutas'!BK309)=0),"",'Base de datos Rutas'!O309/('Base de datos Rutas'!L309/'Base de datos Rutas'!BK309)),"")</f>
        <v>2598.4838709677424</v>
      </c>
      <c r="J311" s="788">
        <f>IFERROR(IF(OR(NOT(ISNUMBER('Base de datos Rutas'!N309)),N('Base de datos Rutas'!BK309)=0),"",'Base de datos Rutas'!N309/('Base de datos Rutas'!L309/'Base de datos Rutas'!BK309)),"")</f>
        <v>5697.7880184331807</v>
      </c>
      <c r="K311" s="788">
        <f>IFERROR(IF(OR(NOT(ISNUMBER('Base de datos Rutas'!J309)),N('Base de datos Rutas'!BK309)=0),"",'Base de datos Rutas'!J309/('Base de datos Rutas'!L309/'Base de datos Rutas'!BK309)),"")</f>
        <v>394.63054193548396</v>
      </c>
      <c r="L311" s="788">
        <f>IFERROR(IF(OR(NOT(ISNUMBER('Base de datos Rutas'!K309)),N('Base de datos Rutas'!BK309)=0),"",'Base de datos Rutas'!K309/('Base de datos Rutas'!L309/'Base de datos Rutas'!BK309)),"")</f>
        <v>22.049559656682028</v>
      </c>
      <c r="M311" s="787">
        <f>IF(ISNUMBER('Base de datos Rutas'!AX309),'Base de datos Rutas'!AX309,"")</f>
        <v>158.62993743942201</v>
      </c>
      <c r="N311" s="790">
        <f>IFERROR(INDEX('Hoja de apoyo v2'!B$17:B$20,MATCH($A311,'Hoja de apoyo v2'!$A$17:$A$20,0)),"")</f>
        <v>89.41621024641401</v>
      </c>
      <c r="O311" s="791">
        <f>IFERROR(INDEX('Hoja de apoyo v2'!C$17:C$20,MATCH($A311,'Hoja de apoyo v2'!$A$17:$A$20,0)),"")</f>
        <v>0.54706375874806301</v>
      </c>
      <c r="P311" s="793">
        <f>IFERROR(INDEX('Hoja de apoyo v2'!D$17:D$20,MATCH($A311,'Hoja de apoyo v2'!$A$17:$A$20,0)),"")</f>
        <v>11095.153935793827</v>
      </c>
      <c r="Q311" s="793">
        <f>IFERROR(INDEX('Hoja de apoyo v2'!E$17:E$20,MATCH($A311,'Hoja de apoyo v2'!$A$17:$A$20,0)),"")</f>
        <v>6982.3202019701848</v>
      </c>
      <c r="R311" s="793">
        <f>IFERROR(INDEX('Hoja de apoyo v2'!F$17:F$20,MATCH($A311,'Hoja de apoyo v2'!$A$17:$A$20,0)),"")</f>
        <v>448.09513474485743</v>
      </c>
      <c r="S311" s="793">
        <f>IFERROR(INDEX('Hoja de apoyo v2'!G$17:G$20,MATCH($A311,'Hoja de apoyo v2'!$A$17:$A$20,0)),"")</f>
        <v>83.406300904207839</v>
      </c>
      <c r="T311" s="792">
        <f>IFERROR(INDEX('Hoja de apoyo v2'!H$17:H$20,MATCH($A311,'Hoja de apoyo v2'!$A$17:$A$20,0)),"")</f>
        <v>378.97014028925349</v>
      </c>
      <c r="U311" s="794">
        <f t="shared" si="148"/>
        <v>1.1482163462969344</v>
      </c>
      <c r="V311" s="795">
        <f t="shared" si="149"/>
        <v>0.9219201274791734</v>
      </c>
      <c r="W311" s="795">
        <f t="shared" si="150"/>
        <v>0.23419989357559357</v>
      </c>
      <c r="X311" s="843">
        <f t="shared" si="151"/>
        <v>0.81603075390691038</v>
      </c>
      <c r="Y311" s="843">
        <f t="shared" si="152"/>
        <v>0.88068472816645094</v>
      </c>
      <c r="Z311" s="843">
        <f t="shared" si="153"/>
        <v>0.26436323656177912</v>
      </c>
      <c r="AA311" s="843">
        <f t="shared" si="154"/>
        <v>0.41858162576699531</v>
      </c>
      <c r="AB311" s="796">
        <f t="shared" si="155"/>
        <v>4</v>
      </c>
      <c r="AC311" s="797">
        <f t="shared" si="156"/>
        <v>3</v>
      </c>
      <c r="AD311" s="797">
        <f t="shared" si="157"/>
        <v>1</v>
      </c>
      <c r="AE311" s="842">
        <f t="shared" si="158"/>
        <v>3</v>
      </c>
      <c r="AF311" s="842">
        <f t="shared" si="159"/>
        <v>3</v>
      </c>
      <c r="AG311" s="842">
        <f t="shared" si="160"/>
        <v>1</v>
      </c>
      <c r="AH311" s="842">
        <f t="shared" si="161"/>
        <v>1</v>
      </c>
      <c r="AI311" s="826" cm="1">
        <f t="array" ref="AI311">SUMPRODUCT(--ISNUMBER($U311:$AA311),$AB$3:$AH$3)</f>
        <v>1</v>
      </c>
      <c r="AJ311" s="829">
        <f t="shared" si="162"/>
        <v>31.037704022708201</v>
      </c>
      <c r="AK311" s="827" t="str">
        <f t="shared" si="163"/>
        <v>Inmadura</v>
      </c>
      <c r="AL311" s="784" t="str">
        <f t="shared" si="164"/>
        <v>Alta</v>
      </c>
      <c r="AM311" s="799">
        <f>IF(ISNUMBER('Base de datos Rutas'!W309),'Base de datos Rutas'!W309,"")</f>
        <v>2982.1586443005776</v>
      </c>
      <c r="AN311" s="787">
        <f>IFERROR(SUMIFS('Base de datos Rutas'!$W$6:$W$794,'Base de datos Rutas'!$C$6:$C$794,$C311)/'Base de datos Rutas'!I309,"")</f>
        <v>2982.158644300579</v>
      </c>
      <c r="AO311" s="800">
        <f>IFERROR('Base de datos Rutas'!X309*AN311/AM311,"")</f>
        <v>0.51837289520136576</v>
      </c>
      <c r="AP311" s="800">
        <f t="shared" si="165"/>
        <v>0.48162710479863424</v>
      </c>
      <c r="AQ311" s="789">
        <f>IFERROR(INDEX('Hoja de apoyo v2'!$J$17:$J$20,MATCH($A311,'Hoja de apoyo v2'!$A$17:$A$20,0)),"")</f>
        <v>0.64320274048480885</v>
      </c>
      <c r="AR311" s="789">
        <f t="shared" si="166"/>
        <v>-0.16157563568617461</v>
      </c>
      <c r="AS311" s="784" t="str">
        <f t="shared" si="167"/>
        <v>No</v>
      </c>
      <c r="AT311" s="801">
        <f>IF(ISNUMBER('Base de datos Rutas'!CK309),'Base de datos Rutas'!CK309,"")</f>
        <v>377</v>
      </c>
      <c r="AU311" s="802">
        <f>IF(ISNUMBER('Base de datos Rutas'!CL309),'Base de datos Rutas'!CL309,"")</f>
        <v>377</v>
      </c>
      <c r="AV311" s="802">
        <f>IF(ISNUMBER('Base de datos Rutas'!CM309),'Base de datos Rutas'!CM309,"")</f>
        <v>0</v>
      </c>
      <c r="AW311" s="802">
        <f>IF(ISNUMBER('Base de datos Rutas'!CN309),'Base de datos Rutas'!CN309,"")</f>
        <v>15.62</v>
      </c>
      <c r="AX311" s="802">
        <f>IF(ISNUMBER('Base de datos Rutas'!CO309),'Base de datos Rutas'!CO309,"")</f>
        <v>9.4499999999999993</v>
      </c>
      <c r="AY311" s="802">
        <f>IF(ISNUMBER('Base de datos Rutas'!CP309),'Base de datos Rutas'!CP309,"")</f>
        <v>-6.17</v>
      </c>
      <c r="AZ311" s="802">
        <f>IF(ISNUMBER('Base de datos Rutas'!CQ309),'Base de datos Rutas'!CQ309,"")</f>
        <v>846.56</v>
      </c>
      <c r="BA311" s="802">
        <f>IF(ISNUMBER('Base de datos Rutas'!CR309),'Base de datos Rutas'!CR309,"")</f>
        <v>416.68</v>
      </c>
      <c r="BB311" s="803">
        <f>IF(ISNUMBER('Base de datos Rutas'!CS309),'Base de datos Rutas'!CS309,"")</f>
        <v>429.87999999999994</v>
      </c>
      <c r="BC311" s="804">
        <f t="shared" si="177"/>
        <v>2</v>
      </c>
      <c r="BD311" s="805" t="str">
        <f t="shared" si="178"/>
        <v>Saturada</v>
      </c>
      <c r="BE311" s="806">
        <f t="shared" si="179"/>
        <v>0.49220374220374224</v>
      </c>
      <c r="BF311" s="890">
        <f>IF(ISNUMBER('Base de datos Rutas'!CX309),'Base de datos Rutas'!CX309/100,"")</f>
        <v>1.1998500187476566E-2</v>
      </c>
      <c r="BG311" s="891">
        <f>IF(ISNUMBER('Base de datos Rutas'!CZ309),'Base de datos Rutas'!CZ309/100,"")</f>
        <v>1.1998500187476566E-2</v>
      </c>
      <c r="BH311" s="892">
        <f>IF(ISNUMBER('Base de datos Rutas'!DA309),'Base de datos Rutas'!DA309,"")</f>
        <v>224.68050993625798</v>
      </c>
      <c r="BI311" s="893">
        <f>IF(ISNUMBER('Base de datos Rutas'!DC309),'Base de datos Rutas'!DC309,"")</f>
        <v>10.898119610048743</v>
      </c>
      <c r="BJ311" s="805" t="str">
        <f t="shared" si="180"/>
        <v>Ruta (completo)</v>
      </c>
      <c r="BK311" s="783">
        <f t="shared" si="168"/>
        <v>3</v>
      </c>
      <c r="BL311" s="797">
        <f t="shared" si="169"/>
        <v>3</v>
      </c>
      <c r="BM311" s="797">
        <f t="shared" si="170"/>
        <v>4</v>
      </c>
      <c r="BN311" s="797">
        <f t="shared" si="171"/>
        <v>4</v>
      </c>
      <c r="BO311" s="798" cm="1">
        <f t="array" ref="BO311">SUMPRODUCT(--ISNUMBER($BF311:$BI311),$BK$3:$BN$3)</f>
        <v>1</v>
      </c>
      <c r="BP311" s="831">
        <f t="shared" si="181"/>
        <v>62.5</v>
      </c>
      <c r="BQ311" s="834" t="str">
        <f t="shared" si="182"/>
        <v>Alto</v>
      </c>
      <c r="BR311" s="836">
        <f t="shared" si="172"/>
        <v>48.278278017031155</v>
      </c>
      <c r="BS311" s="836">
        <f t="shared" si="173"/>
        <v>62.5</v>
      </c>
      <c r="BT311" s="837" t="str">
        <f t="shared" si="174"/>
        <v>P1</v>
      </c>
      <c r="BU311" s="807" t="str">
        <f t="shared" si="183"/>
        <v>Al tope</v>
      </c>
      <c r="BV311" s="807" t="str">
        <f t="shared" si="175"/>
        <v>Zona atractiva</v>
      </c>
      <c r="BW311" s="808" t="str">
        <f t="shared" si="176"/>
        <v>P1 - Ampliar cobertura</v>
      </c>
    </row>
    <row r="312" spans="1:75">
      <c r="A312" s="780" t="str">
        <f>'Base de datos Rutas'!A310</f>
        <v>Occidente</v>
      </c>
      <c r="B312" s="781" t="str">
        <f>'Base de datos Rutas'!B310</f>
        <v>Favorita</v>
      </c>
      <c r="C312" s="781" t="str">
        <f>'Base de datos Rutas'!C310</f>
        <v>Cedi Tonalá</v>
      </c>
      <c r="D312" s="782">
        <f>IF(ISNUMBER('Base de datos Rutas'!D310),'Base de datos Rutas'!D310,"Sin código")</f>
        <v>810332</v>
      </c>
      <c r="E312" s="783" t="str">
        <f>'Base de datos Rutas'!F310</f>
        <v>Activa</v>
      </c>
      <c r="F312" s="784" t="str">
        <f>'Base de datos Rutas'!H310</f>
        <v>Sí</v>
      </c>
      <c r="G312" s="785">
        <f>IF(ISNUMBER('Base de datos Rutas'!BE310),'Base de datos Rutas'!BE310,"")</f>
        <v>40.18</v>
      </c>
      <c r="H312" s="786">
        <f>IF(ISNUMBER('Base de datos Rutas'!BH310),'Base de datos Rutas'!BH310,"")</f>
        <v>0.41065206570433099</v>
      </c>
      <c r="I312" s="788">
        <f>IFERROR(IF(OR(NOT(ISNUMBER('Base de datos Rutas'!O310)),N('Base de datos Rutas'!BK310)=0),"",'Base de datos Rutas'!O310/('Base de datos Rutas'!L310/'Base de datos Rutas'!BK310)),"")</f>
        <v>1588.081018518518</v>
      </c>
      <c r="J312" s="788">
        <f>IFERROR(IF(OR(NOT(ISNUMBER('Base de datos Rutas'!N310)),N('Base de datos Rutas'!BK310)=0),"",'Base de datos Rutas'!N310/('Base de datos Rutas'!L310/'Base de datos Rutas'!BK310)),"")</f>
        <v>5230.3287037037026</v>
      </c>
      <c r="K312" s="788">
        <f>IFERROR(IF(OR(NOT(ISNUMBER('Base de datos Rutas'!J310)),N('Base de datos Rutas'!BK310)=0),"",'Base de datos Rutas'!J310/('Base de datos Rutas'!L310/'Base de datos Rutas'!BK310)),"")</f>
        <v>363.89979629629619</v>
      </c>
      <c r="L312" s="788">
        <f>IFERROR(IF(OR(NOT(ISNUMBER('Base de datos Rutas'!K310)),N('Base de datos Rutas'!BK310)=0),"",'Base de datos Rutas'!K310/('Base de datos Rutas'!L310/'Base de datos Rutas'!BK310)),"")</f>
        <v>13.671911689814811</v>
      </c>
      <c r="M312" s="787">
        <f>IF(ISNUMBER('Base de datos Rutas'!AX310),'Base de datos Rutas'!AX310,"")</f>
        <v>418.04603604882197</v>
      </c>
      <c r="N312" s="790">
        <f>IFERROR(INDEX('Hoja de apoyo v2'!B$17:B$20,MATCH($A312,'Hoja de apoyo v2'!$A$17:$A$20,0)),"")</f>
        <v>89.41621024641401</v>
      </c>
      <c r="O312" s="791">
        <f>IFERROR(INDEX('Hoja de apoyo v2'!C$17:C$20,MATCH($A312,'Hoja de apoyo v2'!$A$17:$A$20,0)),"")</f>
        <v>0.54706375874806301</v>
      </c>
      <c r="P312" s="793">
        <f>IFERROR(INDEX('Hoja de apoyo v2'!D$17:D$20,MATCH($A312,'Hoja de apoyo v2'!$A$17:$A$20,0)),"")</f>
        <v>11095.153935793827</v>
      </c>
      <c r="Q312" s="793">
        <f>IFERROR(INDEX('Hoja de apoyo v2'!E$17:E$20,MATCH($A312,'Hoja de apoyo v2'!$A$17:$A$20,0)),"")</f>
        <v>6982.3202019701848</v>
      </c>
      <c r="R312" s="793">
        <f>IFERROR(INDEX('Hoja de apoyo v2'!F$17:F$20,MATCH($A312,'Hoja de apoyo v2'!$A$17:$A$20,0)),"")</f>
        <v>448.09513474485743</v>
      </c>
      <c r="S312" s="793">
        <f>IFERROR(INDEX('Hoja de apoyo v2'!G$17:G$20,MATCH($A312,'Hoja de apoyo v2'!$A$17:$A$20,0)),"")</f>
        <v>83.406300904207839</v>
      </c>
      <c r="T312" s="792">
        <f>IFERROR(INDEX('Hoja de apoyo v2'!H$17:H$20,MATCH($A312,'Hoja de apoyo v2'!$A$17:$A$20,0)),"")</f>
        <v>378.97014028925349</v>
      </c>
      <c r="U312" s="794">
        <f t="shared" si="148"/>
        <v>0.44935923686847817</v>
      </c>
      <c r="V312" s="795">
        <f t="shared" si="149"/>
        <v>0.75064754178579551</v>
      </c>
      <c r="W312" s="795">
        <f t="shared" si="150"/>
        <v>0.14313285130684356</v>
      </c>
      <c r="X312" s="843">
        <f t="shared" si="151"/>
        <v>0.74908175970329649</v>
      </c>
      <c r="Y312" s="843">
        <f t="shared" si="152"/>
        <v>0.81210387723468247</v>
      </c>
      <c r="Z312" s="843">
        <f t="shared" si="153"/>
        <v>0.16391941066319446</v>
      </c>
      <c r="AA312" s="843">
        <f t="shared" si="154"/>
        <v>1.1031107509677236</v>
      </c>
      <c r="AB312" s="796">
        <f t="shared" si="155"/>
        <v>1</v>
      </c>
      <c r="AC312" s="797">
        <f t="shared" si="156"/>
        <v>3</v>
      </c>
      <c r="AD312" s="797">
        <f t="shared" si="157"/>
        <v>1</v>
      </c>
      <c r="AE312" s="842">
        <f t="shared" si="158"/>
        <v>2</v>
      </c>
      <c r="AF312" s="842">
        <f t="shared" si="159"/>
        <v>3</v>
      </c>
      <c r="AG312" s="842">
        <f t="shared" si="160"/>
        <v>1</v>
      </c>
      <c r="AH312" s="842">
        <f t="shared" si="161"/>
        <v>4</v>
      </c>
      <c r="AI312" s="826" cm="1">
        <f t="array" ref="AI312">SUMPRODUCT(--ISNUMBER($U312:$AA312),$AB$3:$AH$3)</f>
        <v>1</v>
      </c>
      <c r="AJ312" s="829">
        <f t="shared" si="162"/>
        <v>20.761531363058928</v>
      </c>
      <c r="AK312" s="827" t="str">
        <f t="shared" si="163"/>
        <v>Inmadura</v>
      </c>
      <c r="AL312" s="784" t="str">
        <f t="shared" si="164"/>
        <v>Alta</v>
      </c>
      <c r="AM312" s="799">
        <f>IF(ISNUMBER('Base de datos Rutas'!W310),'Base de datos Rutas'!W310,"")</f>
        <v>2982.1586443005776</v>
      </c>
      <c r="AN312" s="787">
        <f>IFERROR(SUMIFS('Base de datos Rutas'!$W$6:$W$794,'Base de datos Rutas'!$C$6:$C$794,$C312)/'Base de datos Rutas'!I310,"")</f>
        <v>2982.158644300579</v>
      </c>
      <c r="AO312" s="800">
        <f>IFERROR('Base de datos Rutas'!X310*AN312/AM312,"")</f>
        <v>0.51837289520136576</v>
      </c>
      <c r="AP312" s="800">
        <f t="shared" si="165"/>
        <v>0.48162710479863424</v>
      </c>
      <c r="AQ312" s="789">
        <f>IFERROR(INDEX('Hoja de apoyo v2'!$J$17:$J$20,MATCH($A312,'Hoja de apoyo v2'!$A$17:$A$20,0)),"")</f>
        <v>0.64320274048480885</v>
      </c>
      <c r="AR312" s="789">
        <f t="shared" si="166"/>
        <v>-0.16157563568617461</v>
      </c>
      <c r="AS312" s="784" t="str">
        <f t="shared" si="167"/>
        <v>No</v>
      </c>
      <c r="AT312" s="801">
        <f>IF(ISNUMBER('Base de datos Rutas'!CK310),'Base de datos Rutas'!CK310,"")</f>
        <v>215</v>
      </c>
      <c r="AU312" s="802">
        <f>IF(ISNUMBER('Base de datos Rutas'!CL310),'Base de datos Rutas'!CL310,"")</f>
        <v>217.94</v>
      </c>
      <c r="AV312" s="802">
        <f>IF(ISNUMBER('Base de datos Rutas'!CM310),'Base de datos Rutas'!CM310,"")</f>
        <v>2.9399999999999977</v>
      </c>
      <c r="AW312" s="802">
        <f>IF(ISNUMBER('Base de datos Rutas'!CN310),'Base de datos Rutas'!CN310,"")</f>
        <v>14.65</v>
      </c>
      <c r="AX312" s="802">
        <f>IF(ISNUMBER('Base de datos Rutas'!CO310),'Base de datos Rutas'!CO310,"")</f>
        <v>9.4499999999999993</v>
      </c>
      <c r="AY312" s="802">
        <f>IF(ISNUMBER('Base de datos Rutas'!CP310),'Base de datos Rutas'!CP310,"")</f>
        <v>-5.2000000000000011</v>
      </c>
      <c r="AZ312" s="802">
        <f>IF(ISNUMBER('Base de datos Rutas'!CQ310),'Base de datos Rutas'!CQ310,"")</f>
        <v>765.54</v>
      </c>
      <c r="BA312" s="802">
        <f>IF(ISNUMBER('Base de datos Rutas'!CR310),'Base de datos Rutas'!CR310,"")</f>
        <v>377.57</v>
      </c>
      <c r="BB312" s="803">
        <f>IF(ISNUMBER('Base de datos Rutas'!CS310),'Base de datos Rutas'!CS310,"")</f>
        <v>387.96999999999997</v>
      </c>
      <c r="BC312" s="804">
        <f t="shared" si="177"/>
        <v>1</v>
      </c>
      <c r="BD312" s="805" t="str">
        <f t="shared" si="178"/>
        <v>Saturada</v>
      </c>
      <c r="BE312" s="806">
        <f t="shared" si="179"/>
        <v>0.49320740914909739</v>
      </c>
      <c r="BF312" s="890">
        <f>IF(ISNUMBER('Base de datos Rutas'!CX310),'Base de datos Rutas'!CX310/100,"")</f>
        <v>0.10516865079365079</v>
      </c>
      <c r="BG312" s="891">
        <f>IF(ISNUMBER('Base de datos Rutas'!CZ310),'Base de datos Rutas'!CZ310/100,"")</f>
        <v>0.1056547619047619</v>
      </c>
      <c r="BH312" s="892">
        <f>IF(ISNUMBER('Base de datos Rutas'!DA310),'Base de datos Rutas'!DA310,"")</f>
        <v>5.8471229263552438</v>
      </c>
      <c r="BI312" s="893">
        <f>IF(ISNUMBER('Base de datos Rutas'!DC310),'Base de datos Rutas'!DC310,"")</f>
        <v>0.31033855896769758</v>
      </c>
      <c r="BJ312" s="805" t="str">
        <f t="shared" si="180"/>
        <v>Ruta (completo)</v>
      </c>
      <c r="BK312" s="783">
        <f t="shared" si="168"/>
        <v>3</v>
      </c>
      <c r="BL312" s="797">
        <f t="shared" si="169"/>
        <v>3</v>
      </c>
      <c r="BM312" s="797">
        <f t="shared" si="170"/>
        <v>3</v>
      </c>
      <c r="BN312" s="797">
        <f t="shared" si="171"/>
        <v>3</v>
      </c>
      <c r="BO312" s="798" cm="1">
        <f t="array" ref="BO312">SUMPRODUCT(--ISNUMBER($BF312:$BI312),$BK$3:$BN$3)</f>
        <v>1</v>
      </c>
      <c r="BP312" s="831">
        <f t="shared" si="181"/>
        <v>50</v>
      </c>
      <c r="BQ312" s="834" t="str">
        <f t="shared" si="182"/>
        <v>Alto</v>
      </c>
      <c r="BR312" s="836">
        <f t="shared" si="172"/>
        <v>40.571148522294195</v>
      </c>
      <c r="BS312" s="836">
        <f t="shared" si="173"/>
        <v>50</v>
      </c>
      <c r="BT312" s="837" t="str">
        <f t="shared" si="174"/>
        <v>P1</v>
      </c>
      <c r="BU312" s="807" t="str">
        <f t="shared" si="183"/>
        <v>Al tope</v>
      </c>
      <c r="BV312" s="807" t="str">
        <f t="shared" si="175"/>
        <v>Zona atractiva</v>
      </c>
      <c r="BW312" s="808" t="str">
        <f t="shared" si="176"/>
        <v>P1 - Ampliar cobertura</v>
      </c>
    </row>
    <row r="313" spans="1:75">
      <c r="A313" s="780" t="str">
        <f>'Base de datos Rutas'!A311</f>
        <v>Occidente</v>
      </c>
      <c r="B313" s="781" t="str">
        <f>'Base de datos Rutas'!B311</f>
        <v>Favorita</v>
      </c>
      <c r="C313" s="781" t="str">
        <f>'Base de datos Rutas'!C311</f>
        <v>Cedi Tonalá</v>
      </c>
      <c r="D313" s="782">
        <f>IF(ISNUMBER('Base de datos Rutas'!D311),'Base de datos Rutas'!D311,"Sin código")</f>
        <v>810333</v>
      </c>
      <c r="E313" s="783" t="str">
        <f>'Base de datos Rutas'!F311</f>
        <v>Activa</v>
      </c>
      <c r="F313" s="784" t="str">
        <f>'Base de datos Rutas'!H311</f>
        <v>Sí</v>
      </c>
      <c r="G313" s="785">
        <f>IF(ISNUMBER('Base de datos Rutas'!BE311),'Base de datos Rutas'!BE311,"")</f>
        <v>73.397530864197506</v>
      </c>
      <c r="H313" s="786">
        <f>IF(ISNUMBER('Base de datos Rutas'!BH311),'Base de datos Rutas'!BH311,"")</f>
        <v>0.46884881921550198</v>
      </c>
      <c r="I313" s="788">
        <f>IFERROR(IF(OR(NOT(ISNUMBER('Base de datos Rutas'!O311)),N('Base de datos Rutas'!BK311)=0),"",'Base de datos Rutas'!O311/('Base de datos Rutas'!L311/'Base de datos Rutas'!BK311)),"")</f>
        <v>3109.8463302752261</v>
      </c>
      <c r="J313" s="788">
        <f>IFERROR(IF(OR(NOT(ISNUMBER('Base de datos Rutas'!N311)),N('Base de datos Rutas'!BK311)=0),"",'Base de datos Rutas'!N311/('Base de datos Rutas'!L311/'Base de datos Rutas'!BK311)),"")</f>
        <v>7210.8463302752216</v>
      </c>
      <c r="K313" s="788">
        <f>IFERROR(IF(OR(NOT(ISNUMBER('Base de datos Rutas'!J311)),N('Base de datos Rutas'!BK311)=0),"",'Base de datos Rutas'!J311/('Base de datos Rutas'!L311/'Base de datos Rutas'!BK311)),"")</f>
        <v>495.00222568807288</v>
      </c>
      <c r="L313" s="788">
        <f>IFERROR(IF(OR(NOT(ISNUMBER('Base de datos Rutas'!K311)),N('Base de datos Rutas'!BK311)=0),"",'Base de datos Rutas'!K311/('Base de datos Rutas'!L311/'Base de datos Rutas'!BK311)),"")</f>
        <v>26.498230135321073</v>
      </c>
      <c r="M313" s="787">
        <f>IF(ISNUMBER('Base de datos Rutas'!AX311),'Base de datos Rutas'!AX311,"")</f>
        <v>308.86258699979402</v>
      </c>
      <c r="N313" s="790">
        <f>IFERROR(INDEX('Hoja de apoyo v2'!B$17:B$20,MATCH($A313,'Hoja de apoyo v2'!$A$17:$A$20,0)),"")</f>
        <v>89.41621024641401</v>
      </c>
      <c r="O313" s="791">
        <f>IFERROR(INDEX('Hoja de apoyo v2'!C$17:C$20,MATCH($A313,'Hoja de apoyo v2'!$A$17:$A$20,0)),"")</f>
        <v>0.54706375874806301</v>
      </c>
      <c r="P313" s="793">
        <f>IFERROR(INDEX('Hoja de apoyo v2'!D$17:D$20,MATCH($A313,'Hoja de apoyo v2'!$A$17:$A$20,0)),"")</f>
        <v>11095.153935793827</v>
      </c>
      <c r="Q313" s="793">
        <f>IFERROR(INDEX('Hoja de apoyo v2'!E$17:E$20,MATCH($A313,'Hoja de apoyo v2'!$A$17:$A$20,0)),"")</f>
        <v>6982.3202019701848</v>
      </c>
      <c r="R313" s="793">
        <f>IFERROR(INDEX('Hoja de apoyo v2'!F$17:F$20,MATCH($A313,'Hoja de apoyo v2'!$A$17:$A$20,0)),"")</f>
        <v>448.09513474485743</v>
      </c>
      <c r="S313" s="793">
        <f>IFERROR(INDEX('Hoja de apoyo v2'!G$17:G$20,MATCH($A313,'Hoja de apoyo v2'!$A$17:$A$20,0)),"")</f>
        <v>83.406300904207839</v>
      </c>
      <c r="T313" s="792">
        <f>IFERROR(INDEX('Hoja de apoyo v2'!H$17:H$20,MATCH($A313,'Hoja de apoyo v2'!$A$17:$A$20,0)),"")</f>
        <v>378.97014028925349</v>
      </c>
      <c r="U313" s="794">
        <f t="shared" si="148"/>
        <v>0.82085262461837649</v>
      </c>
      <c r="V313" s="795">
        <f t="shared" si="149"/>
        <v>0.85702774442314866</v>
      </c>
      <c r="W313" s="795">
        <f t="shared" si="150"/>
        <v>0.28028870516547055</v>
      </c>
      <c r="X313" s="843">
        <f t="shared" si="151"/>
        <v>1.0327292535567982</v>
      </c>
      <c r="Y313" s="843">
        <f t="shared" si="152"/>
        <v>1.1046810985125382</v>
      </c>
      <c r="Z313" s="843">
        <f t="shared" si="153"/>
        <v>0.31770057954919134</v>
      </c>
      <c r="AA313" s="843">
        <f t="shared" si="154"/>
        <v>0.81500507339193251</v>
      </c>
      <c r="AB313" s="796">
        <f t="shared" si="155"/>
        <v>3</v>
      </c>
      <c r="AC313" s="797">
        <f t="shared" si="156"/>
        <v>3</v>
      </c>
      <c r="AD313" s="797">
        <f t="shared" si="157"/>
        <v>1</v>
      </c>
      <c r="AE313" s="842">
        <f t="shared" si="158"/>
        <v>4</v>
      </c>
      <c r="AF313" s="842">
        <f t="shared" si="159"/>
        <v>4</v>
      </c>
      <c r="AG313" s="842">
        <f t="shared" si="160"/>
        <v>1</v>
      </c>
      <c r="AH313" s="842">
        <f t="shared" si="161"/>
        <v>3</v>
      </c>
      <c r="AI313" s="826" cm="1">
        <f t="array" ref="AI313">SUMPRODUCT(--ISNUMBER($U313:$AA313),$AB$3:$AH$3)</f>
        <v>1</v>
      </c>
      <c r="AJ313" s="829">
        <f t="shared" si="162"/>
        <v>37.32901568348305</v>
      </c>
      <c r="AK313" s="827" t="str">
        <f t="shared" si="163"/>
        <v>Inmadura</v>
      </c>
      <c r="AL313" s="784" t="str">
        <f t="shared" si="164"/>
        <v>Alta</v>
      </c>
      <c r="AM313" s="799">
        <f>IF(ISNUMBER('Base de datos Rutas'!W311),'Base de datos Rutas'!W311,"")</f>
        <v>2982.1586443005776</v>
      </c>
      <c r="AN313" s="787">
        <f>IFERROR(SUMIFS('Base de datos Rutas'!$W$6:$W$794,'Base de datos Rutas'!$C$6:$C$794,$C313)/'Base de datos Rutas'!I311,"")</f>
        <v>2982.158644300579</v>
      </c>
      <c r="AO313" s="800">
        <f>IFERROR('Base de datos Rutas'!X311*AN313/AM313,"")</f>
        <v>0.51837289520136576</v>
      </c>
      <c r="AP313" s="800">
        <f t="shared" si="165"/>
        <v>0.48162710479863424</v>
      </c>
      <c r="AQ313" s="789">
        <f>IFERROR(INDEX('Hoja de apoyo v2'!$J$17:$J$20,MATCH($A313,'Hoja de apoyo v2'!$A$17:$A$20,0)),"")</f>
        <v>0.64320274048480885</v>
      </c>
      <c r="AR313" s="789">
        <f t="shared" si="166"/>
        <v>-0.16157563568617461</v>
      </c>
      <c r="AS313" s="784" t="str">
        <f t="shared" si="167"/>
        <v>No</v>
      </c>
      <c r="AT313" s="801">
        <f>IF(ISNUMBER('Base de datos Rutas'!CK311),'Base de datos Rutas'!CK311,"")</f>
        <v>284</v>
      </c>
      <c r="AU313" s="802">
        <f>IF(ISNUMBER('Base de datos Rutas'!CL311),'Base de datos Rutas'!CL311,"")</f>
        <v>306.89999999999998</v>
      </c>
      <c r="AV313" s="802">
        <f>IF(ISNUMBER('Base de datos Rutas'!CM311),'Base de datos Rutas'!CM311,"")</f>
        <v>22.899999999999977</v>
      </c>
      <c r="AW313" s="802">
        <f>IF(ISNUMBER('Base de datos Rutas'!CN311),'Base de datos Rutas'!CN311,"")</f>
        <v>7.16</v>
      </c>
      <c r="AX313" s="802">
        <f>IF(ISNUMBER('Base de datos Rutas'!CO311),'Base de datos Rutas'!CO311,"")</f>
        <v>9.4499999999999993</v>
      </c>
      <c r="AY313" s="802">
        <f>IF(ISNUMBER('Base de datos Rutas'!CP311),'Base de datos Rutas'!CP311,"")</f>
        <v>2.2899999999999991</v>
      </c>
      <c r="AZ313" s="802">
        <f>IF(ISNUMBER('Base de datos Rutas'!CQ311),'Base de datos Rutas'!CQ311,"")</f>
        <v>564.37</v>
      </c>
      <c r="BA313" s="802">
        <f>IF(ISNUMBER('Base de datos Rutas'!CR311),'Base de datos Rutas'!CR311,"")</f>
        <v>521.5</v>
      </c>
      <c r="BB313" s="803">
        <f>IF(ISNUMBER('Base de datos Rutas'!CS311),'Base de datos Rutas'!CS311,"")</f>
        <v>42.870000000000005</v>
      </c>
      <c r="BC313" s="804">
        <f t="shared" si="177"/>
        <v>0</v>
      </c>
      <c r="BD313" s="805" t="str">
        <f t="shared" si="178"/>
        <v>No saturada</v>
      </c>
      <c r="BE313" s="806">
        <f t="shared" si="179"/>
        <v>0.92403919414568458</v>
      </c>
      <c r="BF313" s="890">
        <f>IF(ISNUMBER('Base de datos Rutas'!CX311),'Base de datos Rutas'!CX311/100,"")</f>
        <v>6.156794425087108E-2</v>
      </c>
      <c r="BG313" s="891">
        <f>IF(ISNUMBER('Base de datos Rutas'!CZ311),'Base de datos Rutas'!CZ311/100,"")</f>
        <v>6.4227642276422761E-2</v>
      </c>
      <c r="BH313" s="892">
        <f>IF(ISNUMBER('Base de datos Rutas'!DA311),'Base de datos Rutas'!DA311,"")</f>
        <v>29.530739380741121</v>
      </c>
      <c r="BI313" s="893">
        <f>IF(ISNUMBER('Base de datos Rutas'!DC311),'Base de datos Rutas'!DC311,"")</f>
        <v>1.4000011583592999</v>
      </c>
      <c r="BJ313" s="805" t="str">
        <f t="shared" si="180"/>
        <v>Ruta (completo)</v>
      </c>
      <c r="BK313" s="783">
        <f t="shared" si="168"/>
        <v>3</v>
      </c>
      <c r="BL313" s="797">
        <f t="shared" si="169"/>
        <v>3</v>
      </c>
      <c r="BM313" s="797">
        <f t="shared" si="170"/>
        <v>3</v>
      </c>
      <c r="BN313" s="797">
        <f t="shared" si="171"/>
        <v>3</v>
      </c>
      <c r="BO313" s="798" cm="1">
        <f t="array" ref="BO313">SUMPRODUCT(--ISNUMBER($BF313:$BI313),$BK$3:$BN$3)</f>
        <v>1</v>
      </c>
      <c r="BP313" s="831">
        <f t="shared" si="181"/>
        <v>50</v>
      </c>
      <c r="BQ313" s="834" t="str">
        <f t="shared" si="182"/>
        <v>Alto</v>
      </c>
      <c r="BR313" s="836">
        <f t="shared" si="172"/>
        <v>27.996761762612287</v>
      </c>
      <c r="BS313" s="836">
        <f t="shared" si="173"/>
        <v>50</v>
      </c>
      <c r="BT313" s="837" t="str">
        <f t="shared" si="174"/>
        <v>P3</v>
      </c>
      <c r="BU313" s="807" t="str">
        <f t="shared" si="183"/>
        <v>Con espacio</v>
      </c>
      <c r="BV313" s="807" t="str">
        <f t="shared" si="175"/>
        <v>Zona atractiva</v>
      </c>
      <c r="BW313" s="808" t="str">
        <f t="shared" si="176"/>
        <v>P3 - Desarrollar</v>
      </c>
    </row>
    <row r="314" spans="1:75">
      <c r="A314" s="780" t="str">
        <f>'Base de datos Rutas'!A312</f>
        <v>Occidente</v>
      </c>
      <c r="B314" s="781" t="str">
        <f>'Base de datos Rutas'!B312</f>
        <v>Favorita</v>
      </c>
      <c r="C314" s="781" t="str">
        <f>'Base de datos Rutas'!C312</f>
        <v>Cedi Tonalá</v>
      </c>
      <c r="D314" s="782">
        <f>IF(ISNUMBER('Base de datos Rutas'!D312),'Base de datos Rutas'!D312,"Sin código")</f>
        <v>810335</v>
      </c>
      <c r="E314" s="783" t="str">
        <f>'Base de datos Rutas'!F312</f>
        <v>Activa</v>
      </c>
      <c r="F314" s="784" t="str">
        <f>'Base de datos Rutas'!H312</f>
        <v>Sí</v>
      </c>
      <c r="G314" s="785">
        <f>IF(ISNUMBER('Base de datos Rutas'!BE312),'Base de datos Rutas'!BE312,"")</f>
        <v>45.148780487804899</v>
      </c>
      <c r="H314" s="786">
        <f>IF(ISNUMBER('Base de datos Rutas'!BH312),'Base de datos Rutas'!BH312,"")</f>
        <v>0.59299875749554298</v>
      </c>
      <c r="I314" s="788">
        <f>IFERROR(IF(OR(NOT(ISNUMBER('Base de datos Rutas'!O312)),N('Base de datos Rutas'!BK312)=0),"",'Base de datos Rutas'!O312/('Base de datos Rutas'!L312/'Base de datos Rutas'!BK312)),"")</f>
        <v>2197.6068181818196</v>
      </c>
      <c r="J314" s="788">
        <f>IFERROR(IF(OR(NOT(ISNUMBER('Base de datos Rutas'!N312)),N('Base de datos Rutas'!BK312)=0),"",'Base de datos Rutas'!N312/('Base de datos Rutas'!L312/'Base de datos Rutas'!BK312)),"")</f>
        <v>6457.6090909090954</v>
      </c>
      <c r="K314" s="788">
        <f>IFERROR(IF(OR(NOT(ISNUMBER('Base de datos Rutas'!J312)),N('Base de datos Rutas'!BK312)=0),"",'Base de datos Rutas'!J312/('Base de datos Rutas'!L312/'Base de datos Rutas'!BK312)),"")</f>
        <v>443.6863072727275</v>
      </c>
      <c r="L314" s="788">
        <f>IFERROR(IF(OR(NOT(ISNUMBER('Base de datos Rutas'!K312)),N('Base de datos Rutas'!BK312)=0),"",'Base de datos Rutas'!K312/('Base de datos Rutas'!L312/'Base de datos Rutas'!BK312)),"")</f>
        <v>17.032852838636373</v>
      </c>
      <c r="M314" s="787">
        <f>IF(ISNUMBER('Base de datos Rutas'!AX312),'Base de datos Rutas'!AX312,"")</f>
        <v>326.02439089119099</v>
      </c>
      <c r="N314" s="790">
        <f>IFERROR(INDEX('Hoja de apoyo v2'!B$17:B$20,MATCH($A314,'Hoja de apoyo v2'!$A$17:$A$20,0)),"")</f>
        <v>89.41621024641401</v>
      </c>
      <c r="O314" s="791">
        <f>IFERROR(INDEX('Hoja de apoyo v2'!C$17:C$20,MATCH($A314,'Hoja de apoyo v2'!$A$17:$A$20,0)),"")</f>
        <v>0.54706375874806301</v>
      </c>
      <c r="P314" s="793">
        <f>IFERROR(INDEX('Hoja de apoyo v2'!D$17:D$20,MATCH($A314,'Hoja de apoyo v2'!$A$17:$A$20,0)),"")</f>
        <v>11095.153935793827</v>
      </c>
      <c r="Q314" s="793">
        <f>IFERROR(INDEX('Hoja de apoyo v2'!E$17:E$20,MATCH($A314,'Hoja de apoyo v2'!$A$17:$A$20,0)),"")</f>
        <v>6982.3202019701848</v>
      </c>
      <c r="R314" s="793">
        <f>IFERROR(INDEX('Hoja de apoyo v2'!F$17:F$20,MATCH($A314,'Hoja de apoyo v2'!$A$17:$A$20,0)),"")</f>
        <v>448.09513474485743</v>
      </c>
      <c r="S314" s="793">
        <f>IFERROR(INDEX('Hoja de apoyo v2'!G$17:G$20,MATCH($A314,'Hoja de apoyo v2'!$A$17:$A$20,0)),"")</f>
        <v>83.406300904207839</v>
      </c>
      <c r="T314" s="792">
        <f>IFERROR(INDEX('Hoja de apoyo v2'!H$17:H$20,MATCH($A314,'Hoja de apoyo v2'!$A$17:$A$20,0)),"")</f>
        <v>378.97014028925349</v>
      </c>
      <c r="U314" s="794">
        <f t="shared" si="148"/>
        <v>0.50492836101399818</v>
      </c>
      <c r="V314" s="795">
        <f t="shared" si="149"/>
        <v>1.0839664445193751</v>
      </c>
      <c r="W314" s="795">
        <f t="shared" si="150"/>
        <v>0.19806906969466817</v>
      </c>
      <c r="X314" s="843">
        <f t="shared" si="151"/>
        <v>0.92485146829659393</v>
      </c>
      <c r="Y314" s="843">
        <f t="shared" si="152"/>
        <v>0.9901609566132864</v>
      </c>
      <c r="Z314" s="843">
        <f t="shared" si="153"/>
        <v>0.2042154208253236</v>
      </c>
      <c r="AA314" s="843">
        <f t="shared" si="154"/>
        <v>0.86029044568616664</v>
      </c>
      <c r="AB314" s="796">
        <f t="shared" si="155"/>
        <v>2</v>
      </c>
      <c r="AC314" s="797">
        <f t="shared" si="156"/>
        <v>4</v>
      </c>
      <c r="AD314" s="797">
        <f t="shared" si="157"/>
        <v>1</v>
      </c>
      <c r="AE314" s="842">
        <f t="shared" si="158"/>
        <v>3</v>
      </c>
      <c r="AF314" s="842">
        <f t="shared" si="159"/>
        <v>3</v>
      </c>
      <c r="AG314" s="842">
        <f t="shared" si="160"/>
        <v>1</v>
      </c>
      <c r="AH314" s="842">
        <f t="shared" si="161"/>
        <v>3</v>
      </c>
      <c r="AI314" s="826" cm="1">
        <f t="array" ref="AI314">SUMPRODUCT(--ISNUMBER($U314:$AA314),$AB$3:$AH$3)</f>
        <v>1</v>
      </c>
      <c r="AJ314" s="829">
        <f t="shared" si="162"/>
        <v>28.842792932978291</v>
      </c>
      <c r="AK314" s="827" t="str">
        <f t="shared" si="163"/>
        <v>Inmadura</v>
      </c>
      <c r="AL314" s="784" t="str">
        <f t="shared" si="164"/>
        <v>Alta</v>
      </c>
      <c r="AM314" s="799">
        <f>IF(ISNUMBER('Base de datos Rutas'!W312),'Base de datos Rutas'!W312,"")</f>
        <v>2982.1586443005776</v>
      </c>
      <c r="AN314" s="787">
        <f>IFERROR(SUMIFS('Base de datos Rutas'!$W$6:$W$794,'Base de datos Rutas'!$C$6:$C$794,$C314)/'Base de datos Rutas'!I312,"")</f>
        <v>2982.158644300579</v>
      </c>
      <c r="AO314" s="800">
        <f>IFERROR('Base de datos Rutas'!X312*AN314/AM314,"")</f>
        <v>0.51837289520136576</v>
      </c>
      <c r="AP314" s="800">
        <f t="shared" si="165"/>
        <v>0.48162710479863424</v>
      </c>
      <c r="AQ314" s="789">
        <f>IFERROR(INDEX('Hoja de apoyo v2'!$J$17:$J$20,MATCH($A314,'Hoja de apoyo v2'!$A$17:$A$20,0)),"")</f>
        <v>0.64320274048480885</v>
      </c>
      <c r="AR314" s="789">
        <f t="shared" si="166"/>
        <v>-0.16157563568617461</v>
      </c>
      <c r="AS314" s="784" t="str">
        <f t="shared" si="167"/>
        <v>No</v>
      </c>
      <c r="AT314" s="801">
        <f>IF(ISNUMBER('Base de datos Rutas'!CK312),'Base de datos Rutas'!CK312,"")</f>
        <v>242</v>
      </c>
      <c r="AU314" s="802">
        <f>IF(ISNUMBER('Base de datos Rutas'!CL312),'Base de datos Rutas'!CL312,"")</f>
        <v>253.75</v>
      </c>
      <c r="AV314" s="802">
        <f>IF(ISNUMBER('Base de datos Rutas'!CM312),'Base de datos Rutas'!CM312,"")</f>
        <v>11.75</v>
      </c>
      <c r="AW314" s="802">
        <f>IF(ISNUMBER('Base de datos Rutas'!CN312),'Base de datos Rutas'!CN312,"")</f>
        <v>16.45</v>
      </c>
      <c r="AX314" s="802">
        <f>IF(ISNUMBER('Base de datos Rutas'!CO312),'Base de datos Rutas'!CO312,"")</f>
        <v>9.4499999999999993</v>
      </c>
      <c r="AY314" s="802">
        <f>IF(ISNUMBER('Base de datos Rutas'!CP312),'Base de datos Rutas'!CP312,"")</f>
        <v>-7</v>
      </c>
      <c r="AZ314" s="802">
        <f>IF(ISNUMBER('Base de datos Rutas'!CQ312),'Base de datos Rutas'!CQ312,"")</f>
        <v>846.56</v>
      </c>
      <c r="BA314" s="802">
        <f>IF(ISNUMBER('Base de datos Rutas'!CR312),'Base de datos Rutas'!CR312,"")</f>
        <v>460.72</v>
      </c>
      <c r="BB314" s="803">
        <f>IF(ISNUMBER('Base de datos Rutas'!CS312),'Base de datos Rutas'!CS312,"")</f>
        <v>385.83999999999992</v>
      </c>
      <c r="BC314" s="804">
        <f t="shared" si="177"/>
        <v>1</v>
      </c>
      <c r="BD314" s="805" t="str">
        <f t="shared" si="178"/>
        <v>Saturada</v>
      </c>
      <c r="BE314" s="806">
        <f t="shared" si="179"/>
        <v>0.54422604422604426</v>
      </c>
      <c r="BF314" s="890">
        <f>IF(ISNUMBER('Base de datos Rutas'!CX312),'Base de datos Rutas'!CX312/100,"")</f>
        <v>0.15397418478260869</v>
      </c>
      <c r="BG314" s="891">
        <f>IF(ISNUMBER('Base de datos Rutas'!CZ312),'Base de datos Rutas'!CZ312/100,"")</f>
        <v>0.15557065217391305</v>
      </c>
      <c r="BH314" s="892">
        <f>IF(ISNUMBER('Base de datos Rutas'!DA312),'Base de datos Rutas'!DA312,"")</f>
        <v>17.920478855088685</v>
      </c>
      <c r="BI314" s="893">
        <f>IF(ISNUMBER('Base de datos Rutas'!DC312),'Base de datos Rutas'!DC312,"")</f>
        <v>0.89344728185302003</v>
      </c>
      <c r="BJ314" s="805" t="str">
        <f t="shared" si="180"/>
        <v>Ruta (completo)</v>
      </c>
      <c r="BK314" s="783">
        <f t="shared" si="168"/>
        <v>4</v>
      </c>
      <c r="BL314" s="797">
        <f t="shared" si="169"/>
        <v>4</v>
      </c>
      <c r="BM314" s="797">
        <f t="shared" si="170"/>
        <v>3</v>
      </c>
      <c r="BN314" s="797">
        <f t="shared" si="171"/>
        <v>3</v>
      </c>
      <c r="BO314" s="798" cm="1">
        <f t="array" ref="BO314">SUMPRODUCT(--ISNUMBER($BF314:$BI314),$BK$3:$BN$3)</f>
        <v>1</v>
      </c>
      <c r="BP314" s="831">
        <f t="shared" si="181"/>
        <v>62.5</v>
      </c>
      <c r="BQ314" s="834" t="str">
        <f t="shared" si="182"/>
        <v>Alto</v>
      </c>
      <c r="BR314" s="836">
        <f t="shared" si="172"/>
        <v>46.63209469973372</v>
      </c>
      <c r="BS314" s="836">
        <f t="shared" si="173"/>
        <v>62.5</v>
      </c>
      <c r="BT314" s="837" t="str">
        <f t="shared" si="174"/>
        <v>P1</v>
      </c>
      <c r="BU314" s="807" t="str">
        <f t="shared" si="183"/>
        <v>Al tope</v>
      </c>
      <c r="BV314" s="807" t="str">
        <f t="shared" si="175"/>
        <v>Zona atractiva</v>
      </c>
      <c r="BW314" s="808" t="str">
        <f t="shared" si="176"/>
        <v>P1 - Ampliar cobertura</v>
      </c>
    </row>
    <row r="315" spans="1:75">
      <c r="A315" s="780" t="str">
        <f>'Base de datos Rutas'!A313</f>
        <v>Occidente</v>
      </c>
      <c r="B315" s="781" t="str">
        <f>'Base de datos Rutas'!B313</f>
        <v>Favorita</v>
      </c>
      <c r="C315" s="781" t="str">
        <f>'Base de datos Rutas'!C313</f>
        <v>Cedi Tonalá</v>
      </c>
      <c r="D315" s="782">
        <f>IF(ISNUMBER('Base de datos Rutas'!D313),'Base de datos Rutas'!D313,"Sin código")</f>
        <v>810336</v>
      </c>
      <c r="E315" s="783" t="str">
        <f>'Base de datos Rutas'!F313</f>
        <v>Activa</v>
      </c>
      <c r="F315" s="784" t="str">
        <f>'Base de datos Rutas'!H313</f>
        <v>Sí</v>
      </c>
      <c r="G315" s="785">
        <f>IF(ISNUMBER('Base de datos Rutas'!BE313),'Base de datos Rutas'!BE313,"")</f>
        <v>59.328358208955201</v>
      </c>
      <c r="H315" s="786">
        <f>IF(ISNUMBER('Base de datos Rutas'!BH313),'Base de datos Rutas'!BH313,"")</f>
        <v>0.55094339622641497</v>
      </c>
      <c r="I315" s="788">
        <f>IFERROR(IF(OR(NOT(ISNUMBER('Base de datos Rutas'!O313)),N('Base de datos Rutas'!BK313)=0),"",'Base de datos Rutas'!O313/('Base de datos Rutas'!L313/'Base de datos Rutas'!BK313)),"")</f>
        <v>2152.3502304147419</v>
      </c>
      <c r="J315" s="788">
        <f>IFERROR(IF(OR(NOT(ISNUMBER('Base de datos Rutas'!N313)),N('Base de datos Rutas'!BK313)=0),"",'Base de datos Rutas'!N313/('Base de datos Rutas'!L313/'Base de datos Rutas'!BK313)),"")</f>
        <v>5869.7926267280973</v>
      </c>
      <c r="K315" s="788">
        <f>IFERROR(IF(OR(NOT(ISNUMBER('Base de datos Rutas'!J313)),N('Base de datos Rutas'!BK313)=0),"",'Base de datos Rutas'!J313/('Base de datos Rutas'!L313/'Base de datos Rutas'!BK313)),"")</f>
        <v>410.66801290322485</v>
      </c>
      <c r="L315" s="788">
        <f>IFERROR(IF(OR(NOT(ISNUMBER('Base de datos Rutas'!K313)),N('Base de datos Rutas'!BK313)=0),"",'Base de datos Rutas'!K313/('Base de datos Rutas'!L313/'Base de datos Rutas'!BK313)),"")</f>
        <v>17.918253502304108</v>
      </c>
      <c r="M315" s="787">
        <f>IF(ISNUMBER('Base de datos Rutas'!AX313),'Base de datos Rutas'!AX313,"")</f>
        <v>252.109616805505</v>
      </c>
      <c r="N315" s="790">
        <f>IFERROR(INDEX('Hoja de apoyo v2'!B$17:B$20,MATCH($A315,'Hoja de apoyo v2'!$A$17:$A$20,0)),"")</f>
        <v>89.41621024641401</v>
      </c>
      <c r="O315" s="791">
        <f>IFERROR(INDEX('Hoja de apoyo v2'!C$17:C$20,MATCH($A315,'Hoja de apoyo v2'!$A$17:$A$20,0)),"")</f>
        <v>0.54706375874806301</v>
      </c>
      <c r="P315" s="793">
        <f>IFERROR(INDEX('Hoja de apoyo v2'!D$17:D$20,MATCH($A315,'Hoja de apoyo v2'!$A$17:$A$20,0)),"")</f>
        <v>11095.153935793827</v>
      </c>
      <c r="Q315" s="793">
        <f>IFERROR(INDEX('Hoja de apoyo v2'!E$17:E$20,MATCH($A315,'Hoja de apoyo v2'!$A$17:$A$20,0)),"")</f>
        <v>6982.3202019701848</v>
      </c>
      <c r="R315" s="793">
        <f>IFERROR(INDEX('Hoja de apoyo v2'!F$17:F$20,MATCH($A315,'Hoja de apoyo v2'!$A$17:$A$20,0)),"")</f>
        <v>448.09513474485743</v>
      </c>
      <c r="S315" s="793">
        <f>IFERROR(INDEX('Hoja de apoyo v2'!G$17:G$20,MATCH($A315,'Hoja de apoyo v2'!$A$17:$A$20,0)),"")</f>
        <v>83.406300904207839</v>
      </c>
      <c r="T315" s="792">
        <f>IFERROR(INDEX('Hoja de apoyo v2'!H$17:H$20,MATCH($A315,'Hoja de apoyo v2'!$A$17:$A$20,0)),"")</f>
        <v>378.97014028925349</v>
      </c>
      <c r="U315" s="794">
        <f t="shared" si="148"/>
        <v>0.66350785887097619</v>
      </c>
      <c r="V315" s="795">
        <f t="shared" si="149"/>
        <v>1.0070917464670488</v>
      </c>
      <c r="W315" s="795">
        <f t="shared" si="150"/>
        <v>0.19399011882756245</v>
      </c>
      <c r="X315" s="843">
        <f t="shared" si="151"/>
        <v>0.84066505931249502</v>
      </c>
      <c r="Y315" s="843">
        <f t="shared" si="152"/>
        <v>0.91647505420262299</v>
      </c>
      <c r="Z315" s="843">
        <f t="shared" si="153"/>
        <v>0.21483093373105261</v>
      </c>
      <c r="AA315" s="843">
        <f t="shared" si="154"/>
        <v>0.66524929012370027</v>
      </c>
      <c r="AB315" s="796">
        <f t="shared" si="155"/>
        <v>2</v>
      </c>
      <c r="AC315" s="797">
        <f t="shared" si="156"/>
        <v>4</v>
      </c>
      <c r="AD315" s="797">
        <f t="shared" si="157"/>
        <v>1</v>
      </c>
      <c r="AE315" s="842">
        <f t="shared" si="158"/>
        <v>3</v>
      </c>
      <c r="AF315" s="842">
        <f t="shared" si="159"/>
        <v>3</v>
      </c>
      <c r="AG315" s="842">
        <f t="shared" si="160"/>
        <v>1</v>
      </c>
      <c r="AH315" s="842">
        <f t="shared" si="161"/>
        <v>2</v>
      </c>
      <c r="AI315" s="826" cm="1">
        <f t="array" ref="AI315">SUMPRODUCT(--ISNUMBER($U315:$AA315),$AB$3:$AH$3)</f>
        <v>1</v>
      </c>
      <c r="AJ315" s="829">
        <f t="shared" si="162"/>
        <v>26.598065092651723</v>
      </c>
      <c r="AK315" s="827" t="str">
        <f t="shared" si="163"/>
        <v>Inmadura</v>
      </c>
      <c r="AL315" s="784" t="str">
        <f t="shared" si="164"/>
        <v>Alta</v>
      </c>
      <c r="AM315" s="799">
        <f>IF(ISNUMBER('Base de datos Rutas'!W313),'Base de datos Rutas'!W313,"")</f>
        <v>2982.1586443005776</v>
      </c>
      <c r="AN315" s="787">
        <f>IFERROR(SUMIFS('Base de datos Rutas'!$W$6:$W$794,'Base de datos Rutas'!$C$6:$C$794,$C315)/'Base de datos Rutas'!I313,"")</f>
        <v>2982.158644300579</v>
      </c>
      <c r="AO315" s="800">
        <f>IFERROR('Base de datos Rutas'!X313*AN315/AM315,"")</f>
        <v>0.51837289520136576</v>
      </c>
      <c r="AP315" s="800">
        <f t="shared" si="165"/>
        <v>0.48162710479863424</v>
      </c>
      <c r="AQ315" s="789">
        <f>IFERROR(INDEX('Hoja de apoyo v2'!$J$17:$J$20,MATCH($A315,'Hoja de apoyo v2'!$A$17:$A$20,0)),"")</f>
        <v>0.64320274048480885</v>
      </c>
      <c r="AR315" s="789">
        <f t="shared" si="166"/>
        <v>-0.16157563568617461</v>
      </c>
      <c r="AS315" s="784" t="str">
        <f t="shared" si="167"/>
        <v>No</v>
      </c>
      <c r="AT315" s="801">
        <f>IF(ISNUMBER('Base de datos Rutas'!CK313),'Base de datos Rutas'!CK313,"")</f>
        <v>337</v>
      </c>
      <c r="AU315" s="802">
        <f>IF(ISNUMBER('Base de datos Rutas'!CL313),'Base de datos Rutas'!CL313,"")</f>
        <v>340.76</v>
      </c>
      <c r="AV315" s="802">
        <f>IF(ISNUMBER('Base de datos Rutas'!CM313),'Base de datos Rutas'!CM313,"")</f>
        <v>3.7599999999999909</v>
      </c>
      <c r="AW315" s="802">
        <f>IF(ISNUMBER('Base de datos Rutas'!CN313),'Base de datos Rutas'!CN313,"")</f>
        <v>16.3</v>
      </c>
      <c r="AX315" s="802">
        <f>IF(ISNUMBER('Base de datos Rutas'!CO313),'Base de datos Rutas'!CO313,"")</f>
        <v>9.4499999999999993</v>
      </c>
      <c r="AY315" s="802">
        <f>IF(ISNUMBER('Base de datos Rutas'!CP313),'Base de datos Rutas'!CP313,"")</f>
        <v>-6.8500000000000014</v>
      </c>
      <c r="AZ315" s="802">
        <f>IF(ISNUMBER('Base de datos Rutas'!CQ313),'Base de datos Rutas'!CQ313,"")</f>
        <v>846.56</v>
      </c>
      <c r="BA315" s="802">
        <f>IF(ISNUMBER('Base de datos Rutas'!CR313),'Base de datos Rutas'!CR313,"")</f>
        <v>428.59</v>
      </c>
      <c r="BB315" s="803">
        <f>IF(ISNUMBER('Base de datos Rutas'!CS313),'Base de datos Rutas'!CS313,"")</f>
        <v>417.96999999999997</v>
      </c>
      <c r="BC315" s="804">
        <f t="shared" si="177"/>
        <v>1</v>
      </c>
      <c r="BD315" s="805" t="str">
        <f t="shared" si="178"/>
        <v>Saturada</v>
      </c>
      <c r="BE315" s="806">
        <f t="shared" si="179"/>
        <v>0.50627244377244374</v>
      </c>
      <c r="BF315" s="890">
        <f>IF(ISNUMBER('Base de datos Rutas'!CX313),'Base de datos Rutas'!CX313/100,"")</f>
        <v>0.1129933878740334</v>
      </c>
      <c r="BG315" s="891">
        <f>IF(ISNUMBER('Base de datos Rutas'!CZ313),'Base de datos Rutas'!CZ313/100,"")</f>
        <v>0.11341477081698981</v>
      </c>
      <c r="BH315" s="892">
        <f>IF(ISNUMBER('Base de datos Rutas'!DA313),'Base de datos Rutas'!DA313,"")</f>
        <v>145.41902661211907</v>
      </c>
      <c r="BI315" s="893">
        <f>IF(ISNUMBER('Base de datos Rutas'!DC313),'Base de datos Rutas'!DC313,"")</f>
        <v>7.4430162791427126</v>
      </c>
      <c r="BJ315" s="805" t="str">
        <f t="shared" si="180"/>
        <v>Ruta (completo)</v>
      </c>
      <c r="BK315" s="783">
        <f t="shared" si="168"/>
        <v>3</v>
      </c>
      <c r="BL315" s="797">
        <f t="shared" si="169"/>
        <v>3</v>
      </c>
      <c r="BM315" s="797">
        <f t="shared" si="170"/>
        <v>4</v>
      </c>
      <c r="BN315" s="797">
        <f t="shared" si="171"/>
        <v>4</v>
      </c>
      <c r="BO315" s="798" cm="1">
        <f t="array" ref="BO315">SUMPRODUCT(--ISNUMBER($BF315:$BI315),$BK$3:$BN$3)</f>
        <v>1</v>
      </c>
      <c r="BP315" s="831">
        <f t="shared" si="181"/>
        <v>62.5</v>
      </c>
      <c r="BQ315" s="834" t="str">
        <f t="shared" si="182"/>
        <v>Alto</v>
      </c>
      <c r="BR315" s="836">
        <f t="shared" si="172"/>
        <v>44.948548819488792</v>
      </c>
      <c r="BS315" s="836">
        <f t="shared" si="173"/>
        <v>62.5</v>
      </c>
      <c r="BT315" s="837" t="str">
        <f t="shared" si="174"/>
        <v>P1</v>
      </c>
      <c r="BU315" s="807" t="str">
        <f t="shared" si="183"/>
        <v>Al tope</v>
      </c>
      <c r="BV315" s="807" t="str">
        <f t="shared" si="175"/>
        <v>Zona atractiva</v>
      </c>
      <c r="BW315" s="808" t="str">
        <f t="shared" si="176"/>
        <v>P1 - Ampliar cobertura</v>
      </c>
    </row>
    <row r="316" spans="1:75">
      <c r="A316" s="780" t="str">
        <f>'Base de datos Rutas'!A314</f>
        <v>Occidente</v>
      </c>
      <c r="B316" s="781" t="str">
        <f>'Base de datos Rutas'!B314</f>
        <v>Favorita</v>
      </c>
      <c r="C316" s="781" t="str">
        <f>'Base de datos Rutas'!C314</f>
        <v>Cedi Tonalá</v>
      </c>
      <c r="D316" s="782">
        <f>IF(ISNUMBER('Base de datos Rutas'!D314),'Base de datos Rutas'!D314,"Sin código")</f>
        <v>810338</v>
      </c>
      <c r="E316" s="783" t="str">
        <f>'Base de datos Rutas'!F314</f>
        <v>Activa</v>
      </c>
      <c r="F316" s="784" t="str">
        <f>'Base de datos Rutas'!H314</f>
        <v>Sí</v>
      </c>
      <c r="G316" s="785">
        <f>IF(ISNUMBER('Base de datos Rutas'!BE314),'Base de datos Rutas'!BE314,"")</f>
        <v>67.8333333333333</v>
      </c>
      <c r="H316" s="786">
        <f>IF(ISNUMBER('Base de datos Rutas'!BH314),'Base de datos Rutas'!BH314,"")</f>
        <v>0.46675712347354098</v>
      </c>
      <c r="I316" s="788">
        <f>IFERROR(IF(OR(NOT(ISNUMBER('Base de datos Rutas'!O314)),N('Base de datos Rutas'!BK314)=0),"",'Base de datos Rutas'!O314/('Base de datos Rutas'!L314/'Base de datos Rutas'!BK314)),"")</f>
        <v>2993.400921658987</v>
      </c>
      <c r="J316" s="788">
        <f>IFERROR(IF(OR(NOT(ISNUMBER('Base de datos Rutas'!N314)),N('Base de datos Rutas'!BK314)=0),"",'Base de datos Rutas'!N314/('Base de datos Rutas'!L314/'Base de datos Rutas'!BK314)),"")</f>
        <v>6490.8271889400939</v>
      </c>
      <c r="K316" s="788">
        <f>IFERROR(IF(OR(NOT(ISNUMBER('Base de datos Rutas'!J314)),N('Base de datos Rutas'!BK314)=0),"",'Base de datos Rutas'!J314/('Base de datos Rutas'!L314/'Base de datos Rutas'!BK314)),"")</f>
        <v>451.85128064516141</v>
      </c>
      <c r="L316" s="788">
        <f>IFERROR(IF(OR(NOT(ISNUMBER('Base de datos Rutas'!K314)),N('Base de datos Rutas'!BK314)=0),"",'Base de datos Rutas'!K314/('Base de datos Rutas'!L314/'Base de datos Rutas'!BK314)),"")</f>
        <v>30.674444633640562</v>
      </c>
      <c r="M316" s="787">
        <f>IF(ISNUMBER('Base de datos Rutas'!AX314),'Base de datos Rutas'!AX314,"")</f>
        <v>309.53877190343701</v>
      </c>
      <c r="N316" s="790">
        <f>IFERROR(INDEX('Hoja de apoyo v2'!B$17:B$20,MATCH($A316,'Hoja de apoyo v2'!$A$17:$A$20,0)),"")</f>
        <v>89.41621024641401</v>
      </c>
      <c r="O316" s="791">
        <f>IFERROR(INDEX('Hoja de apoyo v2'!C$17:C$20,MATCH($A316,'Hoja de apoyo v2'!$A$17:$A$20,0)),"")</f>
        <v>0.54706375874806301</v>
      </c>
      <c r="P316" s="793">
        <f>IFERROR(INDEX('Hoja de apoyo v2'!D$17:D$20,MATCH($A316,'Hoja de apoyo v2'!$A$17:$A$20,0)),"")</f>
        <v>11095.153935793827</v>
      </c>
      <c r="Q316" s="793">
        <f>IFERROR(INDEX('Hoja de apoyo v2'!E$17:E$20,MATCH($A316,'Hoja de apoyo v2'!$A$17:$A$20,0)),"")</f>
        <v>6982.3202019701848</v>
      </c>
      <c r="R316" s="793">
        <f>IFERROR(INDEX('Hoja de apoyo v2'!F$17:F$20,MATCH($A316,'Hoja de apoyo v2'!$A$17:$A$20,0)),"")</f>
        <v>448.09513474485743</v>
      </c>
      <c r="S316" s="793">
        <f>IFERROR(INDEX('Hoja de apoyo v2'!G$17:G$20,MATCH($A316,'Hoja de apoyo v2'!$A$17:$A$20,0)),"")</f>
        <v>83.406300904207839</v>
      </c>
      <c r="T316" s="792">
        <f>IFERROR(INDEX('Hoja de apoyo v2'!H$17:H$20,MATCH($A316,'Hoja de apoyo v2'!$A$17:$A$20,0)),"")</f>
        <v>378.97014028925349</v>
      </c>
      <c r="U316" s="794">
        <f t="shared" si="148"/>
        <v>0.75862456199382167</v>
      </c>
      <c r="V316" s="795">
        <f t="shared" si="149"/>
        <v>0.85320424906540859</v>
      </c>
      <c r="W316" s="795">
        <f t="shared" si="150"/>
        <v>0.26979354581120712</v>
      </c>
      <c r="X316" s="843">
        <f t="shared" si="151"/>
        <v>0.92960892671587769</v>
      </c>
      <c r="Y316" s="843">
        <f t="shared" si="152"/>
        <v>1.0083824741869662</v>
      </c>
      <c r="Z316" s="843">
        <f t="shared" si="153"/>
        <v>0.36777131105322808</v>
      </c>
      <c r="AA316" s="843">
        <f t="shared" si="154"/>
        <v>0.81678934299989392</v>
      </c>
      <c r="AB316" s="796">
        <f t="shared" si="155"/>
        <v>3</v>
      </c>
      <c r="AC316" s="797">
        <f t="shared" si="156"/>
        <v>3</v>
      </c>
      <c r="AD316" s="797">
        <f t="shared" si="157"/>
        <v>1</v>
      </c>
      <c r="AE316" s="842">
        <f t="shared" si="158"/>
        <v>3</v>
      </c>
      <c r="AF316" s="842">
        <f t="shared" si="159"/>
        <v>4</v>
      </c>
      <c r="AG316" s="842">
        <f t="shared" si="160"/>
        <v>1</v>
      </c>
      <c r="AH316" s="842">
        <f t="shared" si="161"/>
        <v>3</v>
      </c>
      <c r="AI316" s="826" cm="1">
        <f t="array" ref="AI316">SUMPRODUCT(--ISNUMBER($U316:$AA316),$AB$3:$AH$3)</f>
        <v>1</v>
      </c>
      <c r="AJ316" s="829">
        <f t="shared" si="162"/>
        <v>33.919568037264355</v>
      </c>
      <c r="AK316" s="827" t="str">
        <f t="shared" si="163"/>
        <v>Inmadura</v>
      </c>
      <c r="AL316" s="784" t="str">
        <f t="shared" si="164"/>
        <v>Alta</v>
      </c>
      <c r="AM316" s="799">
        <f>IF(ISNUMBER('Base de datos Rutas'!W314),'Base de datos Rutas'!W314,"")</f>
        <v>2982.1586443005776</v>
      </c>
      <c r="AN316" s="787">
        <f>IFERROR(SUMIFS('Base de datos Rutas'!$W$6:$W$794,'Base de datos Rutas'!$C$6:$C$794,$C316)/'Base de datos Rutas'!I314,"")</f>
        <v>2982.158644300579</v>
      </c>
      <c r="AO316" s="800">
        <f>IFERROR('Base de datos Rutas'!X314*AN316/AM316,"")</f>
        <v>0.51837289520136576</v>
      </c>
      <c r="AP316" s="800">
        <f t="shared" si="165"/>
        <v>0.48162710479863424</v>
      </c>
      <c r="AQ316" s="789">
        <f>IFERROR(INDEX('Hoja de apoyo v2'!$J$17:$J$20,MATCH($A316,'Hoja de apoyo v2'!$A$17:$A$20,0)),"")</f>
        <v>0.64320274048480885</v>
      </c>
      <c r="AR316" s="789">
        <f t="shared" si="166"/>
        <v>-0.16157563568617461</v>
      </c>
      <c r="AS316" s="784" t="str">
        <f t="shared" si="167"/>
        <v>No</v>
      </c>
      <c r="AT316" s="801">
        <f>IF(ISNUMBER('Base de datos Rutas'!CK314),'Base de datos Rutas'!CK314,"")</f>
        <v>250</v>
      </c>
      <c r="AU316" s="802">
        <f>IF(ISNUMBER('Base de datos Rutas'!CL314),'Base de datos Rutas'!CL314,"")</f>
        <v>250</v>
      </c>
      <c r="AV316" s="802">
        <f>IF(ISNUMBER('Base de datos Rutas'!CM314),'Base de datos Rutas'!CM314,"")</f>
        <v>0</v>
      </c>
      <c r="AW316" s="802" t="str">
        <f>IF(ISNUMBER('Base de datos Rutas'!CN314),'Base de datos Rutas'!CN314,"")</f>
        <v/>
      </c>
      <c r="AX316" s="802">
        <f>IF(ISNUMBER('Base de datos Rutas'!CO314),'Base de datos Rutas'!CO314,"")</f>
        <v>9.4499999999999993</v>
      </c>
      <c r="AY316" s="802">
        <f>IF(ISNUMBER('Base de datos Rutas'!CP314),'Base de datos Rutas'!CP314,"")</f>
        <v>9.4499999999999993</v>
      </c>
      <c r="AZ316" s="802" t="str">
        <f>IF(ISNUMBER('Base de datos Rutas'!CQ314),'Base de datos Rutas'!CQ314,"")</f>
        <v/>
      </c>
      <c r="BA316" s="802" t="str">
        <f>IF(ISNUMBER('Base de datos Rutas'!CR314),'Base de datos Rutas'!CR314,"")</f>
        <v/>
      </c>
      <c r="BB316" s="803">
        <f>IF(ISNUMBER('Base de datos Rutas'!CS314),'Base de datos Rutas'!CS314,"")</f>
        <v>0</v>
      </c>
      <c r="BC316" s="804" t="str">
        <f t="shared" si="177"/>
        <v/>
      </c>
      <c r="BD316" s="805" t="str">
        <f t="shared" si="178"/>
        <v>N/D</v>
      </c>
      <c r="BE316" s="806" t="str">
        <f t="shared" si="179"/>
        <v/>
      </c>
      <c r="BF316" s="890">
        <f>IF(ISNUMBER('Base de datos Rutas'!CX314),'Base de datos Rutas'!CX314/100,"")</f>
        <v>0</v>
      </c>
      <c r="BG316" s="891">
        <f>IF(ISNUMBER('Base de datos Rutas'!CZ314),'Base de datos Rutas'!CZ314/100,"")</f>
        <v>0</v>
      </c>
      <c r="BH316" s="892">
        <f>IF(ISNUMBER('Base de datos Rutas'!DA314),'Base de datos Rutas'!DA314,"")</f>
        <v>0</v>
      </c>
      <c r="BI316" s="893">
        <f>IF(ISNUMBER('Base de datos Rutas'!DC314),'Base de datos Rutas'!DC314,"")</f>
        <v>0</v>
      </c>
      <c r="BJ316" s="805" t="str">
        <f t="shared" si="180"/>
        <v>Ruta (completo)</v>
      </c>
      <c r="BK316" s="783">
        <f t="shared" si="168"/>
        <v>1</v>
      </c>
      <c r="BL316" s="797">
        <f t="shared" si="169"/>
        <v>1</v>
      </c>
      <c r="BM316" s="797">
        <f t="shared" si="170"/>
        <v>1</v>
      </c>
      <c r="BN316" s="797">
        <f t="shared" si="171"/>
        <v>1</v>
      </c>
      <c r="BO316" s="798" cm="1">
        <f t="array" ref="BO316">SUMPRODUCT(--ISNUMBER($BF316:$BI316),$BK$3:$BN$3)</f>
        <v>1</v>
      </c>
      <c r="BP316" s="831">
        <f t="shared" si="181"/>
        <v>0</v>
      </c>
      <c r="BQ316" s="834" t="str">
        <f t="shared" si="182"/>
        <v>Bajo</v>
      </c>
      <c r="BR316" s="836" t="str">
        <f t="shared" si="172"/>
        <v/>
      </c>
      <c r="BS316" s="836">
        <f t="shared" si="173"/>
        <v>0</v>
      </c>
      <c r="BT316" s="837" t="str">
        <f t="shared" si="174"/>
        <v>Sin datos</v>
      </c>
      <c r="BU316" s="807" t="str">
        <f t="shared" si="183"/>
        <v>Con espacio</v>
      </c>
      <c r="BV316" s="807" t="str">
        <f t="shared" si="175"/>
        <v>Zona de bajo potencial</v>
      </c>
      <c r="BW316" s="808" t="str">
        <f t="shared" si="176"/>
        <v>Sin datos</v>
      </c>
    </row>
    <row r="317" spans="1:75">
      <c r="A317" s="780" t="str">
        <f>'Base de datos Rutas'!A315</f>
        <v>Occidente</v>
      </c>
      <c r="B317" s="781" t="str">
        <f>'Base de datos Rutas'!B315</f>
        <v>Favorita</v>
      </c>
      <c r="C317" s="781" t="str">
        <f>'Base de datos Rutas'!C315</f>
        <v>Cedi Tonalá</v>
      </c>
      <c r="D317" s="782">
        <f>IF(ISNUMBER('Base de datos Rutas'!D315),'Base de datos Rutas'!D315,"Sin código")</f>
        <v>810339</v>
      </c>
      <c r="E317" s="783" t="str">
        <f>'Base de datos Rutas'!F315</f>
        <v>Activa</v>
      </c>
      <c r="F317" s="784" t="str">
        <f>'Base de datos Rutas'!H315</f>
        <v>Sí</v>
      </c>
      <c r="G317" s="785">
        <f>IF(ISNUMBER('Base de datos Rutas'!BE315),'Base de datos Rutas'!BE315,"")</f>
        <v>101.451127819549</v>
      </c>
      <c r="H317" s="786">
        <f>IF(ISNUMBER('Base de datos Rutas'!BH315),'Base de datos Rutas'!BH315,"")</f>
        <v>0.36863558882383501</v>
      </c>
      <c r="I317" s="788">
        <f>IFERROR(IF(OR(NOT(ISNUMBER('Base de datos Rutas'!O315)),N('Base de datos Rutas'!BK315)=0),"",'Base de datos Rutas'!O315/('Base de datos Rutas'!L315/'Base de datos Rutas'!BK315)),"")</f>
        <v>2201.1744186046485</v>
      </c>
      <c r="J317" s="788">
        <f>IFERROR(IF(OR(NOT(ISNUMBER('Base de datos Rutas'!N315)),N('Base de datos Rutas'!BK315)=0),"",'Base de datos Rutas'!N315/('Base de datos Rutas'!L315/'Base de datos Rutas'!BK315)),"")</f>
        <v>5674.2744186046448</v>
      </c>
      <c r="K317" s="788">
        <f>IFERROR(IF(OR(NOT(ISNUMBER('Base de datos Rutas'!J315)),N('Base de datos Rutas'!BK315)=0),"",'Base de datos Rutas'!J315/('Base de datos Rutas'!L315/'Base de datos Rutas'!BK315)),"")</f>
        <v>393.9353860465111</v>
      </c>
      <c r="L317" s="788">
        <f>IFERROR(IF(OR(NOT(ISNUMBER('Base de datos Rutas'!K315)),N('Base de datos Rutas'!BK315)=0),"",'Base de datos Rutas'!K315/('Base de datos Rutas'!L315/'Base de datos Rutas'!BK315)),"")</f>
        <v>18.162441895348817</v>
      </c>
      <c r="M317" s="787">
        <f>IF(ISNUMBER('Base de datos Rutas'!AX315),'Base de datos Rutas'!AX315,"")</f>
        <v>212.569662942506</v>
      </c>
      <c r="N317" s="790">
        <f>IFERROR(INDEX('Hoja de apoyo v2'!B$17:B$20,MATCH($A317,'Hoja de apoyo v2'!$A$17:$A$20,0)),"")</f>
        <v>89.41621024641401</v>
      </c>
      <c r="O317" s="791">
        <f>IFERROR(INDEX('Hoja de apoyo v2'!C$17:C$20,MATCH($A317,'Hoja de apoyo v2'!$A$17:$A$20,0)),"")</f>
        <v>0.54706375874806301</v>
      </c>
      <c r="P317" s="793">
        <f>IFERROR(INDEX('Hoja de apoyo v2'!D$17:D$20,MATCH($A317,'Hoja de apoyo v2'!$A$17:$A$20,0)),"")</f>
        <v>11095.153935793827</v>
      </c>
      <c r="Q317" s="793">
        <f>IFERROR(INDEX('Hoja de apoyo v2'!E$17:E$20,MATCH($A317,'Hoja de apoyo v2'!$A$17:$A$20,0)),"")</f>
        <v>6982.3202019701848</v>
      </c>
      <c r="R317" s="793">
        <f>IFERROR(INDEX('Hoja de apoyo v2'!F$17:F$20,MATCH($A317,'Hoja de apoyo v2'!$A$17:$A$20,0)),"")</f>
        <v>448.09513474485743</v>
      </c>
      <c r="S317" s="793">
        <f>IFERROR(INDEX('Hoja de apoyo v2'!G$17:G$20,MATCH($A317,'Hoja de apoyo v2'!$A$17:$A$20,0)),"")</f>
        <v>83.406300904207839</v>
      </c>
      <c r="T317" s="792">
        <f>IFERROR(INDEX('Hoja de apoyo v2'!H$17:H$20,MATCH($A317,'Hoja de apoyo v2'!$A$17:$A$20,0)),"")</f>
        <v>378.97014028925349</v>
      </c>
      <c r="U317" s="794">
        <f t="shared" si="148"/>
        <v>1.1345943597919108</v>
      </c>
      <c r="V317" s="795">
        <f t="shared" si="149"/>
        <v>0.67384392208221788</v>
      </c>
      <c r="W317" s="795">
        <f t="shared" si="150"/>
        <v>0.1983906155194016</v>
      </c>
      <c r="X317" s="843">
        <f t="shared" si="151"/>
        <v>0.81266316274116845</v>
      </c>
      <c r="Y317" s="843">
        <f t="shared" si="152"/>
        <v>0.87913337035184602</v>
      </c>
      <c r="Z317" s="843">
        <f t="shared" si="153"/>
        <v>0.21775863092415987</v>
      </c>
      <c r="AA317" s="843">
        <f t="shared" si="154"/>
        <v>0.56091401496766913</v>
      </c>
      <c r="AB317" s="796">
        <f t="shared" si="155"/>
        <v>4</v>
      </c>
      <c r="AC317" s="797">
        <f t="shared" si="156"/>
        <v>2</v>
      </c>
      <c r="AD317" s="797">
        <f t="shared" si="157"/>
        <v>1</v>
      </c>
      <c r="AE317" s="842">
        <f t="shared" si="158"/>
        <v>3</v>
      </c>
      <c r="AF317" s="842">
        <f t="shared" si="159"/>
        <v>3</v>
      </c>
      <c r="AG317" s="842">
        <f t="shared" si="160"/>
        <v>1</v>
      </c>
      <c r="AH317" s="842">
        <f t="shared" si="161"/>
        <v>2</v>
      </c>
      <c r="AI317" s="826" cm="1">
        <f t="array" ref="AI317">SUMPRODUCT(--ISNUMBER($U317:$AA317),$AB$3:$AH$3)</f>
        <v>1</v>
      </c>
      <c r="AJ317" s="829">
        <f t="shared" si="162"/>
        <v>30.899526277144261</v>
      </c>
      <c r="AK317" s="827" t="str">
        <f t="shared" si="163"/>
        <v>Inmadura</v>
      </c>
      <c r="AL317" s="784" t="str">
        <f t="shared" si="164"/>
        <v>Alta</v>
      </c>
      <c r="AM317" s="799">
        <f>IF(ISNUMBER('Base de datos Rutas'!W315),'Base de datos Rutas'!W315,"")</f>
        <v>2982.1586443005776</v>
      </c>
      <c r="AN317" s="787">
        <f>IFERROR(SUMIFS('Base de datos Rutas'!$W$6:$W$794,'Base de datos Rutas'!$C$6:$C$794,$C317)/'Base de datos Rutas'!I315,"")</f>
        <v>2982.158644300579</v>
      </c>
      <c r="AO317" s="800">
        <f>IFERROR('Base de datos Rutas'!X315*AN317/AM317,"")</f>
        <v>0.51837289520136576</v>
      </c>
      <c r="AP317" s="800">
        <f t="shared" si="165"/>
        <v>0.48162710479863424</v>
      </c>
      <c r="AQ317" s="789">
        <f>IFERROR(INDEX('Hoja de apoyo v2'!$J$17:$J$20,MATCH($A317,'Hoja de apoyo v2'!$A$17:$A$20,0)),"")</f>
        <v>0.64320274048480885</v>
      </c>
      <c r="AR317" s="789">
        <f t="shared" si="166"/>
        <v>-0.16157563568617461</v>
      </c>
      <c r="AS317" s="784" t="str">
        <f t="shared" si="167"/>
        <v>No</v>
      </c>
      <c r="AT317" s="801">
        <f>IF(ISNUMBER('Base de datos Rutas'!CK315),'Base de datos Rutas'!CK315,"")</f>
        <v>345</v>
      </c>
      <c r="AU317" s="802">
        <f>IF(ISNUMBER('Base de datos Rutas'!CL315),'Base de datos Rutas'!CL315,"")</f>
        <v>345</v>
      </c>
      <c r="AV317" s="802">
        <f>IF(ISNUMBER('Base de datos Rutas'!CM315),'Base de datos Rutas'!CM315,"")</f>
        <v>0</v>
      </c>
      <c r="AW317" s="802" t="str">
        <f>IF(ISNUMBER('Base de datos Rutas'!CN315),'Base de datos Rutas'!CN315,"")</f>
        <v/>
      </c>
      <c r="AX317" s="802">
        <f>IF(ISNUMBER('Base de datos Rutas'!CO315),'Base de datos Rutas'!CO315,"")</f>
        <v>9.4499999999999993</v>
      </c>
      <c r="AY317" s="802">
        <f>IF(ISNUMBER('Base de datos Rutas'!CP315),'Base de datos Rutas'!CP315,"")</f>
        <v>9.4499999999999993</v>
      </c>
      <c r="AZ317" s="802" t="str">
        <f>IF(ISNUMBER('Base de datos Rutas'!CQ315),'Base de datos Rutas'!CQ315,"")</f>
        <v/>
      </c>
      <c r="BA317" s="802" t="str">
        <f>IF(ISNUMBER('Base de datos Rutas'!CR315),'Base de datos Rutas'!CR315,"")</f>
        <v/>
      </c>
      <c r="BB317" s="803">
        <f>IF(ISNUMBER('Base de datos Rutas'!CS315),'Base de datos Rutas'!CS315,"")</f>
        <v>0</v>
      </c>
      <c r="BC317" s="804" t="str">
        <f t="shared" si="177"/>
        <v/>
      </c>
      <c r="BD317" s="805" t="str">
        <f t="shared" si="178"/>
        <v>N/D</v>
      </c>
      <c r="BE317" s="806" t="str">
        <f t="shared" si="179"/>
        <v/>
      </c>
      <c r="BF317" s="890">
        <f>IF(ISNUMBER('Base de datos Rutas'!CX315),'Base de datos Rutas'!CX315/100,"")</f>
        <v>0</v>
      </c>
      <c r="BG317" s="891">
        <f>IF(ISNUMBER('Base de datos Rutas'!CZ315),'Base de datos Rutas'!CZ315/100,"")</f>
        <v>0</v>
      </c>
      <c r="BH317" s="892">
        <f>IF(ISNUMBER('Base de datos Rutas'!DA315),'Base de datos Rutas'!DA315,"")</f>
        <v>0</v>
      </c>
      <c r="BI317" s="893">
        <f>IF(ISNUMBER('Base de datos Rutas'!DC315),'Base de datos Rutas'!DC315,"")</f>
        <v>0</v>
      </c>
      <c r="BJ317" s="805" t="str">
        <f t="shared" si="180"/>
        <v>Ruta (completo)</v>
      </c>
      <c r="BK317" s="783">
        <f t="shared" si="168"/>
        <v>1</v>
      </c>
      <c r="BL317" s="797">
        <f t="shared" si="169"/>
        <v>1</v>
      </c>
      <c r="BM317" s="797">
        <f t="shared" si="170"/>
        <v>1</v>
      </c>
      <c r="BN317" s="797">
        <f t="shared" si="171"/>
        <v>1</v>
      </c>
      <c r="BO317" s="798" cm="1">
        <f t="array" ref="BO317">SUMPRODUCT(--ISNUMBER($BF317:$BI317),$BK$3:$BN$3)</f>
        <v>1</v>
      </c>
      <c r="BP317" s="831">
        <f t="shared" si="181"/>
        <v>0</v>
      </c>
      <c r="BQ317" s="834" t="str">
        <f t="shared" si="182"/>
        <v>Bajo</v>
      </c>
      <c r="BR317" s="836" t="str">
        <f t="shared" si="172"/>
        <v/>
      </c>
      <c r="BS317" s="836">
        <f t="shared" si="173"/>
        <v>0</v>
      </c>
      <c r="BT317" s="837" t="str">
        <f t="shared" si="174"/>
        <v>Sin datos</v>
      </c>
      <c r="BU317" s="807" t="str">
        <f t="shared" si="183"/>
        <v>Con espacio</v>
      </c>
      <c r="BV317" s="807" t="str">
        <f t="shared" si="175"/>
        <v>Zona de bajo potencial</v>
      </c>
      <c r="BW317" s="808" t="str">
        <f t="shared" si="176"/>
        <v>Sin datos</v>
      </c>
    </row>
    <row r="318" spans="1:75">
      <c r="A318" s="780" t="str">
        <f>'Base de datos Rutas'!A316</f>
        <v>Occidente</v>
      </c>
      <c r="B318" s="781" t="str">
        <f>'Base de datos Rutas'!B316</f>
        <v>Favorita</v>
      </c>
      <c r="C318" s="781" t="str">
        <f>'Base de datos Rutas'!C316</f>
        <v>Cedi Tonalá</v>
      </c>
      <c r="D318" s="782">
        <f>IF(ISNUMBER('Base de datos Rutas'!D316),'Base de datos Rutas'!D316,"Sin código")</f>
        <v>810340</v>
      </c>
      <c r="E318" s="783" t="str">
        <f>'Base de datos Rutas'!F316</f>
        <v>Activa</v>
      </c>
      <c r="F318" s="784" t="str">
        <f>'Base de datos Rutas'!H316</f>
        <v>Sí</v>
      </c>
      <c r="G318" s="785">
        <f>IF(ISNUMBER('Base de datos Rutas'!BE316),'Base de datos Rutas'!BE316,"")</f>
        <v>72.650990099009903</v>
      </c>
      <c r="H318" s="786">
        <f>IF(ISNUMBER('Base de datos Rutas'!BH316),'Base de datos Rutas'!BH316,"")</f>
        <v>0.43933767162958698</v>
      </c>
      <c r="I318" s="788">
        <f>IFERROR(IF(OR(NOT(ISNUMBER('Base de datos Rutas'!O316)),N('Base de datos Rutas'!BK316)=0),"",'Base de datos Rutas'!O316/('Base de datos Rutas'!L316/'Base de datos Rutas'!BK316)),"")</f>
        <v>2693.8832951945064</v>
      </c>
      <c r="J318" s="788">
        <f>IFERROR(IF(OR(NOT(ISNUMBER('Base de datos Rutas'!N316)),N('Base de datos Rutas'!BK316)=0),"",'Base de datos Rutas'!N316/('Base de datos Rutas'!L316/'Base de datos Rutas'!BK316)),"")</f>
        <v>7212.7711670480512</v>
      </c>
      <c r="K318" s="788">
        <f>IFERROR(IF(OR(NOT(ISNUMBER('Base de datos Rutas'!J316)),N('Base de datos Rutas'!BK316)=0),"",'Base de datos Rutas'!J316/('Base de datos Rutas'!L316/'Base de datos Rutas'!BK316)),"")</f>
        <v>499.60045034324912</v>
      </c>
      <c r="L318" s="788">
        <f>IFERROR(IF(OR(NOT(ISNUMBER('Base de datos Rutas'!K316)),N('Base de datos Rutas'!BK316)=0),"",'Base de datos Rutas'!K316/('Base de datos Rutas'!L316/'Base de datos Rutas'!BK316)),"")</f>
        <v>22.824487693363835</v>
      </c>
      <c r="M318" s="787">
        <f>IF(ISNUMBER('Base de datos Rutas'!AX316),'Base de datos Rutas'!AX316,"")</f>
        <v>310.31512723102298</v>
      </c>
      <c r="N318" s="790">
        <f>IFERROR(INDEX('Hoja de apoyo v2'!B$17:B$20,MATCH($A318,'Hoja de apoyo v2'!$A$17:$A$20,0)),"")</f>
        <v>89.41621024641401</v>
      </c>
      <c r="O318" s="791">
        <f>IFERROR(INDEX('Hoja de apoyo v2'!C$17:C$20,MATCH($A318,'Hoja de apoyo v2'!$A$17:$A$20,0)),"")</f>
        <v>0.54706375874806301</v>
      </c>
      <c r="P318" s="793">
        <f>IFERROR(INDEX('Hoja de apoyo v2'!D$17:D$20,MATCH($A318,'Hoja de apoyo v2'!$A$17:$A$20,0)),"")</f>
        <v>11095.153935793827</v>
      </c>
      <c r="Q318" s="793">
        <f>IFERROR(INDEX('Hoja de apoyo v2'!E$17:E$20,MATCH($A318,'Hoja de apoyo v2'!$A$17:$A$20,0)),"")</f>
        <v>6982.3202019701848</v>
      </c>
      <c r="R318" s="793">
        <f>IFERROR(INDEX('Hoja de apoyo v2'!F$17:F$20,MATCH($A318,'Hoja de apoyo v2'!$A$17:$A$20,0)),"")</f>
        <v>448.09513474485743</v>
      </c>
      <c r="S318" s="793">
        <f>IFERROR(INDEX('Hoja de apoyo v2'!G$17:G$20,MATCH($A318,'Hoja de apoyo v2'!$A$17:$A$20,0)),"")</f>
        <v>83.406300904207839</v>
      </c>
      <c r="T318" s="792">
        <f>IFERROR(INDEX('Hoja de apoyo v2'!H$17:H$20,MATCH($A318,'Hoja de apoyo v2'!$A$17:$A$20,0)),"")</f>
        <v>378.97014028925349</v>
      </c>
      <c r="U318" s="794">
        <f t="shared" si="148"/>
        <v>0.81250357064784606</v>
      </c>
      <c r="V318" s="795">
        <f t="shared" si="149"/>
        <v>0.80308312258702064</v>
      </c>
      <c r="W318" s="795">
        <f t="shared" si="150"/>
        <v>0.24279819016334961</v>
      </c>
      <c r="X318" s="843">
        <f t="shared" si="151"/>
        <v>1.0330049265017724</v>
      </c>
      <c r="Y318" s="843">
        <f t="shared" si="152"/>
        <v>1.1149428137123572</v>
      </c>
      <c r="Z318" s="843">
        <f t="shared" si="153"/>
        <v>0.27365423770055175</v>
      </c>
      <c r="AA318" s="843">
        <f t="shared" si="154"/>
        <v>0.81883793534279836</v>
      </c>
      <c r="AB318" s="796">
        <f t="shared" si="155"/>
        <v>3</v>
      </c>
      <c r="AC318" s="797">
        <f t="shared" si="156"/>
        <v>3</v>
      </c>
      <c r="AD318" s="797">
        <f t="shared" si="157"/>
        <v>1</v>
      </c>
      <c r="AE318" s="842">
        <f t="shared" si="158"/>
        <v>4</v>
      </c>
      <c r="AF318" s="842">
        <f t="shared" si="159"/>
        <v>4</v>
      </c>
      <c r="AG318" s="842">
        <f t="shared" si="160"/>
        <v>1</v>
      </c>
      <c r="AH318" s="842">
        <f t="shared" si="161"/>
        <v>3</v>
      </c>
      <c r="AI318" s="826" cm="1">
        <f t="array" ref="AI318">SUMPRODUCT(--ISNUMBER($U318:$AA318),$AB$3:$AH$3)</f>
        <v>1</v>
      </c>
      <c r="AJ318" s="829">
        <f t="shared" si="162"/>
        <v>37.32901568348305</v>
      </c>
      <c r="AK318" s="827" t="str">
        <f t="shared" si="163"/>
        <v>Inmadura</v>
      </c>
      <c r="AL318" s="784" t="str">
        <f t="shared" si="164"/>
        <v>Alta</v>
      </c>
      <c r="AM318" s="799">
        <f>IF(ISNUMBER('Base de datos Rutas'!W316),'Base de datos Rutas'!W316,"")</f>
        <v>2982.1586443005776</v>
      </c>
      <c r="AN318" s="787">
        <f>IFERROR(SUMIFS('Base de datos Rutas'!$W$6:$W$794,'Base de datos Rutas'!$C$6:$C$794,$C318)/'Base de datos Rutas'!I316,"")</f>
        <v>2982.158644300579</v>
      </c>
      <c r="AO318" s="800">
        <f>IFERROR('Base de datos Rutas'!X316*AN318/AM318,"")</f>
        <v>0.51837289520136576</v>
      </c>
      <c r="AP318" s="800">
        <f t="shared" si="165"/>
        <v>0.48162710479863424</v>
      </c>
      <c r="AQ318" s="789">
        <f>IFERROR(INDEX('Hoja de apoyo v2'!$J$17:$J$20,MATCH($A318,'Hoja de apoyo v2'!$A$17:$A$20,0)),"")</f>
        <v>0.64320274048480885</v>
      </c>
      <c r="AR318" s="789">
        <f t="shared" si="166"/>
        <v>-0.16157563568617461</v>
      </c>
      <c r="AS318" s="784" t="str">
        <f t="shared" si="167"/>
        <v>No</v>
      </c>
      <c r="AT318" s="801">
        <f>IF(ISNUMBER('Base de datos Rutas'!CK316),'Base de datos Rutas'!CK316,"")</f>
        <v>330</v>
      </c>
      <c r="AU318" s="802">
        <f>IF(ISNUMBER('Base de datos Rutas'!CL316),'Base de datos Rutas'!CL316,"")</f>
        <v>377.11</v>
      </c>
      <c r="AV318" s="802">
        <f>IF(ISNUMBER('Base de datos Rutas'!CM316),'Base de datos Rutas'!CM316,"")</f>
        <v>47.110000000000014</v>
      </c>
      <c r="AW318" s="802">
        <f>IF(ISNUMBER('Base de datos Rutas'!CN316),'Base de datos Rutas'!CN316,"")</f>
        <v>8.93</v>
      </c>
      <c r="AX318" s="802">
        <f>IF(ISNUMBER('Base de datos Rutas'!CO316),'Base de datos Rutas'!CO316,"")</f>
        <v>9.4499999999999993</v>
      </c>
      <c r="AY318" s="802">
        <f>IF(ISNUMBER('Base de datos Rutas'!CP316),'Base de datos Rutas'!CP316,"")</f>
        <v>0.51999999999999957</v>
      </c>
      <c r="AZ318" s="802">
        <f>IF(ISNUMBER('Base de datos Rutas'!CQ316),'Base de datos Rutas'!CQ316,"")</f>
        <v>846.56</v>
      </c>
      <c r="BA318" s="802">
        <f>IF(ISNUMBER('Base de datos Rutas'!CR316),'Base de datos Rutas'!CR316,"")</f>
        <v>522.41999999999996</v>
      </c>
      <c r="BB318" s="803">
        <f>IF(ISNUMBER('Base de datos Rutas'!CS316),'Base de datos Rutas'!CS316,"")</f>
        <v>324.14</v>
      </c>
      <c r="BC318" s="804">
        <f t="shared" si="177"/>
        <v>0</v>
      </c>
      <c r="BD318" s="805" t="str">
        <f t="shared" si="178"/>
        <v>No saturada</v>
      </c>
      <c r="BE318" s="806">
        <f t="shared" si="179"/>
        <v>0.61710924210924212</v>
      </c>
      <c r="BF318" s="890">
        <f>IF(ISNUMBER('Base de datos Rutas'!CX316),'Base de datos Rutas'!CX316/100,"")</f>
        <v>1.9107164827953903E-2</v>
      </c>
      <c r="BG318" s="891">
        <f>IF(ISNUMBER('Base de datos Rutas'!CZ316),'Base de datos Rutas'!CZ316/100,"")</f>
        <v>2.1039248656851087E-2</v>
      </c>
      <c r="BH318" s="892">
        <f>IF(ISNUMBER('Base de datos Rutas'!DA316),'Base de datos Rutas'!DA316,"")</f>
        <v>31.154616168326704</v>
      </c>
      <c r="BI318" s="893">
        <f>IF(ISNUMBER('Base de datos Rutas'!DC316),'Base de datos Rutas'!DC316,"")</f>
        <v>1.535648836620056</v>
      </c>
      <c r="BJ318" s="805" t="str">
        <f t="shared" si="180"/>
        <v>Ruta (completo)</v>
      </c>
      <c r="BK318" s="783">
        <f t="shared" si="168"/>
        <v>3</v>
      </c>
      <c r="BL318" s="797">
        <f t="shared" si="169"/>
        <v>3</v>
      </c>
      <c r="BM318" s="797">
        <f t="shared" si="170"/>
        <v>3</v>
      </c>
      <c r="BN318" s="797">
        <f t="shared" si="171"/>
        <v>3</v>
      </c>
      <c r="BO318" s="798" cm="1">
        <f t="array" ref="BO318">SUMPRODUCT(--ISNUMBER($BF318:$BI318),$BK$3:$BN$3)</f>
        <v>1</v>
      </c>
      <c r="BP318" s="831">
        <f t="shared" si="181"/>
        <v>50</v>
      </c>
      <c r="BQ318" s="834" t="str">
        <f t="shared" si="182"/>
        <v>Alto</v>
      </c>
      <c r="BR318" s="836">
        <f t="shared" si="172"/>
        <v>27.996761762612287</v>
      </c>
      <c r="BS318" s="836">
        <f t="shared" si="173"/>
        <v>50</v>
      </c>
      <c r="BT318" s="837" t="str">
        <f t="shared" si="174"/>
        <v>P3</v>
      </c>
      <c r="BU318" s="807" t="str">
        <f t="shared" si="183"/>
        <v>Con espacio</v>
      </c>
      <c r="BV318" s="807" t="str">
        <f t="shared" si="175"/>
        <v>Zona atractiva</v>
      </c>
      <c r="BW318" s="808" t="str">
        <f t="shared" si="176"/>
        <v>P3 - Desarrollar</v>
      </c>
    </row>
    <row r="319" spans="1:75">
      <c r="A319" s="780" t="str">
        <f>'Base de datos Rutas'!A317</f>
        <v>Occidente</v>
      </c>
      <c r="B319" s="781" t="str">
        <f>'Base de datos Rutas'!B317</f>
        <v>Favorita</v>
      </c>
      <c r="C319" s="781" t="str">
        <f>'Base de datos Rutas'!C317</f>
        <v>Cedi Tonalá</v>
      </c>
      <c r="D319" s="782">
        <f>IF(ISNUMBER('Base de datos Rutas'!D317),'Base de datos Rutas'!D317,"Sin código")</f>
        <v>810342</v>
      </c>
      <c r="E319" s="783" t="str">
        <f>'Base de datos Rutas'!F317</f>
        <v>Activa</v>
      </c>
      <c r="F319" s="784" t="str">
        <f>'Base de datos Rutas'!H317</f>
        <v>Sí</v>
      </c>
      <c r="G319" s="785">
        <f>IF(ISNUMBER('Base de datos Rutas'!BE317),'Base de datos Rutas'!BE317,"")</f>
        <v>102.31172069825401</v>
      </c>
      <c r="H319" s="786">
        <f>IF(ISNUMBER('Base de datos Rutas'!BH317),'Base de datos Rutas'!BH317,"")</f>
        <v>0.45701611134131198</v>
      </c>
      <c r="I319" s="788">
        <f>IFERROR(IF(OR(NOT(ISNUMBER('Base de datos Rutas'!O317)),N('Base de datos Rutas'!BK317)=0),"",'Base de datos Rutas'!O317/('Base de datos Rutas'!L317/'Base de datos Rutas'!BK317)),"")</f>
        <v>2371.0069284064657</v>
      </c>
      <c r="J319" s="788">
        <f>IFERROR(IF(OR(NOT(ISNUMBER('Base de datos Rutas'!N317)),N('Base de datos Rutas'!BK317)=0),"",'Base de datos Rutas'!N317/('Base de datos Rutas'!L317/'Base de datos Rutas'!BK317)),"")</f>
        <v>5577.7690531177814</v>
      </c>
      <c r="K319" s="788">
        <f>IFERROR(IF(OR(NOT(ISNUMBER('Base de datos Rutas'!J317)),N('Base de datos Rutas'!BK317)=0),"",'Base de datos Rutas'!J317/('Base de datos Rutas'!L317/'Base de datos Rutas'!BK317)),"")</f>
        <v>385.60924896073897</v>
      </c>
      <c r="L319" s="788">
        <f>IFERROR(IF(OR(NOT(ISNUMBER('Base de datos Rutas'!K317)),N('Base de datos Rutas'!BK317)=0),"",'Base de datos Rutas'!K317/('Base de datos Rutas'!L317/'Base de datos Rutas'!BK317)),"")</f>
        <v>17.831868286374128</v>
      </c>
      <c r="M319" s="787">
        <f>IF(ISNUMBER('Base de datos Rutas'!AX317),'Base de datos Rutas'!AX317,"")</f>
        <v>165.38463600980299</v>
      </c>
      <c r="N319" s="790">
        <f>IFERROR(INDEX('Hoja de apoyo v2'!B$17:B$20,MATCH($A319,'Hoja de apoyo v2'!$A$17:$A$20,0)),"")</f>
        <v>89.41621024641401</v>
      </c>
      <c r="O319" s="791">
        <f>IFERROR(INDEX('Hoja de apoyo v2'!C$17:C$20,MATCH($A319,'Hoja de apoyo v2'!$A$17:$A$20,0)),"")</f>
        <v>0.54706375874806301</v>
      </c>
      <c r="P319" s="793">
        <f>IFERROR(INDEX('Hoja de apoyo v2'!D$17:D$20,MATCH($A319,'Hoja de apoyo v2'!$A$17:$A$20,0)),"")</f>
        <v>11095.153935793827</v>
      </c>
      <c r="Q319" s="793">
        <f>IFERROR(INDEX('Hoja de apoyo v2'!E$17:E$20,MATCH($A319,'Hoja de apoyo v2'!$A$17:$A$20,0)),"")</f>
        <v>6982.3202019701848</v>
      </c>
      <c r="R319" s="793">
        <f>IFERROR(INDEX('Hoja de apoyo v2'!F$17:F$20,MATCH($A319,'Hoja de apoyo v2'!$A$17:$A$20,0)),"")</f>
        <v>448.09513474485743</v>
      </c>
      <c r="S319" s="793">
        <f>IFERROR(INDEX('Hoja de apoyo v2'!G$17:G$20,MATCH($A319,'Hoja de apoyo v2'!$A$17:$A$20,0)),"")</f>
        <v>83.406300904207839</v>
      </c>
      <c r="T319" s="792">
        <f>IFERROR(INDEX('Hoja de apoyo v2'!H$17:H$20,MATCH($A319,'Hoja de apoyo v2'!$A$17:$A$20,0)),"")</f>
        <v>378.97014028925349</v>
      </c>
      <c r="U319" s="794">
        <f t="shared" si="148"/>
        <v>1.144218933192342</v>
      </c>
      <c r="V319" s="795">
        <f t="shared" si="149"/>
        <v>0.83539825849034122</v>
      </c>
      <c r="W319" s="795">
        <f t="shared" si="150"/>
        <v>0.21369752435407077</v>
      </c>
      <c r="X319" s="843">
        <f t="shared" si="151"/>
        <v>0.79884177347580188</v>
      </c>
      <c r="Y319" s="843">
        <f t="shared" si="152"/>
        <v>0.86055218872283101</v>
      </c>
      <c r="Z319" s="843">
        <f t="shared" si="153"/>
        <v>0.21379521802380413</v>
      </c>
      <c r="AA319" s="843">
        <f t="shared" si="154"/>
        <v>0.43640545369503569</v>
      </c>
      <c r="AB319" s="796">
        <f t="shared" si="155"/>
        <v>4</v>
      </c>
      <c r="AC319" s="797">
        <f t="shared" si="156"/>
        <v>3</v>
      </c>
      <c r="AD319" s="797">
        <f t="shared" si="157"/>
        <v>1</v>
      </c>
      <c r="AE319" s="842">
        <f t="shared" si="158"/>
        <v>3</v>
      </c>
      <c r="AF319" s="842">
        <f t="shared" si="159"/>
        <v>3</v>
      </c>
      <c r="AG319" s="842">
        <f t="shared" si="160"/>
        <v>1</v>
      </c>
      <c r="AH319" s="842">
        <f t="shared" si="161"/>
        <v>1</v>
      </c>
      <c r="AI319" s="826" cm="1">
        <f t="array" ref="AI319">SUMPRODUCT(--ISNUMBER($U319:$AA319),$AB$3:$AH$3)</f>
        <v>1</v>
      </c>
      <c r="AJ319" s="829">
        <f t="shared" si="162"/>
        <v>31.037704022708201</v>
      </c>
      <c r="AK319" s="827" t="str">
        <f t="shared" si="163"/>
        <v>Inmadura</v>
      </c>
      <c r="AL319" s="784" t="str">
        <f t="shared" si="164"/>
        <v>Alta</v>
      </c>
      <c r="AM319" s="799">
        <f>IF(ISNUMBER('Base de datos Rutas'!W317),'Base de datos Rutas'!W317,"")</f>
        <v>2982.1586443005776</v>
      </c>
      <c r="AN319" s="787">
        <f>IFERROR(SUMIFS('Base de datos Rutas'!$W$6:$W$794,'Base de datos Rutas'!$C$6:$C$794,$C319)/'Base de datos Rutas'!I317,"")</f>
        <v>2982.158644300579</v>
      </c>
      <c r="AO319" s="800">
        <f>IFERROR('Base de datos Rutas'!X317*AN319/AM319,"")</f>
        <v>0.51837289520136576</v>
      </c>
      <c r="AP319" s="800">
        <f t="shared" si="165"/>
        <v>0.48162710479863424</v>
      </c>
      <c r="AQ319" s="789">
        <f>IFERROR(INDEX('Hoja de apoyo v2'!$J$17:$J$20,MATCH($A319,'Hoja de apoyo v2'!$A$17:$A$20,0)),"")</f>
        <v>0.64320274048480885</v>
      </c>
      <c r="AR319" s="789">
        <f t="shared" si="166"/>
        <v>-0.16157563568617461</v>
      </c>
      <c r="AS319" s="784" t="str">
        <f t="shared" si="167"/>
        <v>No</v>
      </c>
      <c r="AT319" s="801">
        <f>IF(ISNUMBER('Base de datos Rutas'!CK317),'Base de datos Rutas'!CK317,"")</f>
        <v>351</v>
      </c>
      <c r="AU319" s="802">
        <f>IF(ISNUMBER('Base de datos Rutas'!CL317),'Base de datos Rutas'!CL317,"")</f>
        <v>351</v>
      </c>
      <c r="AV319" s="802">
        <f>IF(ISNUMBER('Base de datos Rutas'!CM317),'Base de datos Rutas'!CM317,"")</f>
        <v>0</v>
      </c>
      <c r="AW319" s="802" t="str">
        <f>IF(ISNUMBER('Base de datos Rutas'!CN317),'Base de datos Rutas'!CN317,"")</f>
        <v/>
      </c>
      <c r="AX319" s="802">
        <f>IF(ISNUMBER('Base de datos Rutas'!CO317),'Base de datos Rutas'!CO317,"")</f>
        <v>9.4499999999999993</v>
      </c>
      <c r="AY319" s="802">
        <f>IF(ISNUMBER('Base de datos Rutas'!CP317),'Base de datos Rutas'!CP317,"")</f>
        <v>9.4499999999999993</v>
      </c>
      <c r="AZ319" s="802" t="str">
        <f>IF(ISNUMBER('Base de datos Rutas'!CQ317),'Base de datos Rutas'!CQ317,"")</f>
        <v/>
      </c>
      <c r="BA319" s="802" t="str">
        <f>IF(ISNUMBER('Base de datos Rutas'!CR317),'Base de datos Rutas'!CR317,"")</f>
        <v/>
      </c>
      <c r="BB319" s="803">
        <f>IF(ISNUMBER('Base de datos Rutas'!CS317),'Base de datos Rutas'!CS317,"")</f>
        <v>0</v>
      </c>
      <c r="BC319" s="804" t="str">
        <f t="shared" si="177"/>
        <v/>
      </c>
      <c r="BD319" s="805" t="str">
        <f t="shared" si="178"/>
        <v>N/D</v>
      </c>
      <c r="BE319" s="806" t="str">
        <f t="shared" si="179"/>
        <v/>
      </c>
      <c r="BF319" s="890">
        <f>IF(ISNUMBER('Base de datos Rutas'!CX317),'Base de datos Rutas'!CX317/100,"")</f>
        <v>0</v>
      </c>
      <c r="BG319" s="891">
        <f>IF(ISNUMBER('Base de datos Rutas'!CZ317),'Base de datos Rutas'!CZ317/100,"")</f>
        <v>0</v>
      </c>
      <c r="BH319" s="892">
        <f>IF(ISNUMBER('Base de datos Rutas'!DA317),'Base de datos Rutas'!DA317,"")</f>
        <v>0</v>
      </c>
      <c r="BI319" s="893">
        <f>IF(ISNUMBER('Base de datos Rutas'!DC317),'Base de datos Rutas'!DC317,"")</f>
        <v>0</v>
      </c>
      <c r="BJ319" s="805" t="str">
        <f t="shared" si="180"/>
        <v>Ruta (completo)</v>
      </c>
      <c r="BK319" s="783">
        <f t="shared" si="168"/>
        <v>1</v>
      </c>
      <c r="BL319" s="797">
        <f t="shared" si="169"/>
        <v>1</v>
      </c>
      <c r="BM319" s="797">
        <f t="shared" si="170"/>
        <v>1</v>
      </c>
      <c r="BN319" s="797">
        <f t="shared" si="171"/>
        <v>1</v>
      </c>
      <c r="BO319" s="798" cm="1">
        <f t="array" ref="BO319">SUMPRODUCT(--ISNUMBER($BF319:$BI319),$BK$3:$BN$3)</f>
        <v>1</v>
      </c>
      <c r="BP319" s="831">
        <f t="shared" si="181"/>
        <v>0</v>
      </c>
      <c r="BQ319" s="834" t="str">
        <f t="shared" si="182"/>
        <v>Bajo</v>
      </c>
      <c r="BR319" s="836" t="str">
        <f t="shared" si="172"/>
        <v/>
      </c>
      <c r="BS319" s="836">
        <f t="shared" si="173"/>
        <v>0</v>
      </c>
      <c r="BT319" s="837" t="str">
        <f t="shared" si="174"/>
        <v>Sin datos</v>
      </c>
      <c r="BU319" s="807" t="str">
        <f t="shared" si="183"/>
        <v>Con espacio</v>
      </c>
      <c r="BV319" s="807" t="str">
        <f t="shared" si="175"/>
        <v>Zona de bajo potencial</v>
      </c>
      <c r="BW319" s="808" t="str">
        <f t="shared" si="176"/>
        <v>Sin datos</v>
      </c>
    </row>
    <row r="320" spans="1:75">
      <c r="A320" s="780" t="str">
        <f>'Base de datos Rutas'!A318</f>
        <v>Occidente</v>
      </c>
      <c r="B320" s="781" t="str">
        <f>'Base de datos Rutas'!B318</f>
        <v>Favorita</v>
      </c>
      <c r="C320" s="781" t="str">
        <f>'Base de datos Rutas'!C318</f>
        <v>Cedi Tonalá</v>
      </c>
      <c r="D320" s="782">
        <f>IF(ISNUMBER('Base de datos Rutas'!D318),'Base de datos Rutas'!D318,"Sin código")</f>
        <v>810343</v>
      </c>
      <c r="E320" s="783" t="str">
        <f>'Base de datos Rutas'!F318</f>
        <v>Activa</v>
      </c>
      <c r="F320" s="784" t="str">
        <f>'Base de datos Rutas'!H318</f>
        <v>Sí</v>
      </c>
      <c r="G320" s="785">
        <f>IF(ISNUMBER('Base de datos Rutas'!BE318),'Base de datos Rutas'!BE318,"")</f>
        <v>105.99754299754299</v>
      </c>
      <c r="H320" s="786">
        <f>IF(ISNUMBER('Base de datos Rutas'!BH318),'Base de datos Rutas'!BH318,"")</f>
        <v>0.54229155559676401</v>
      </c>
      <c r="I320" s="788">
        <f>IFERROR(IF(OR(NOT(ISNUMBER('Base de datos Rutas'!O318)),N('Base de datos Rutas'!BK318)=0),"",'Base de datos Rutas'!O318/('Base de datos Rutas'!L318/'Base de datos Rutas'!BK318)),"")</f>
        <v>3604.2596810933906</v>
      </c>
      <c r="J320" s="788">
        <f>IFERROR(IF(OR(NOT(ISNUMBER('Base de datos Rutas'!N318)),N('Base de datos Rutas'!BK318)=0),"",'Base de datos Rutas'!N318/('Base de datos Rutas'!L318/'Base de datos Rutas'!BK318)),"")</f>
        <v>6717.4054669703801</v>
      </c>
      <c r="K320" s="788">
        <f>IFERROR(IF(OR(NOT(ISNUMBER('Base de datos Rutas'!J318)),N('Base de datos Rutas'!BK318)=0),"",'Base de datos Rutas'!J318/('Base de datos Rutas'!L318/'Base de datos Rutas'!BK318)),"")</f>
        <v>463.06320911161458</v>
      </c>
      <c r="L320" s="788">
        <f>IFERROR(IF(OR(NOT(ISNUMBER('Base de datos Rutas'!K318)),N('Base de datos Rutas'!BK318)=0),"",'Base de datos Rutas'!K318/('Base de datos Rutas'!L318/'Base de datos Rutas'!BK318)),"")</f>
        <v>31.968683250569445</v>
      </c>
      <c r="M320" s="787">
        <f>IF(ISNUMBER('Base de datos Rutas'!AX318),'Base de datos Rutas'!AX318,"")</f>
        <v>180.23905887032601</v>
      </c>
      <c r="N320" s="790">
        <f>IFERROR(INDEX('Hoja de apoyo v2'!B$17:B$20,MATCH($A320,'Hoja de apoyo v2'!$A$17:$A$20,0)),"")</f>
        <v>89.41621024641401</v>
      </c>
      <c r="O320" s="791">
        <f>IFERROR(INDEX('Hoja de apoyo v2'!C$17:C$20,MATCH($A320,'Hoja de apoyo v2'!$A$17:$A$20,0)),"")</f>
        <v>0.54706375874806301</v>
      </c>
      <c r="P320" s="793">
        <f>IFERROR(INDEX('Hoja de apoyo v2'!D$17:D$20,MATCH($A320,'Hoja de apoyo v2'!$A$17:$A$20,0)),"")</f>
        <v>11095.153935793827</v>
      </c>
      <c r="Q320" s="793">
        <f>IFERROR(INDEX('Hoja de apoyo v2'!E$17:E$20,MATCH($A320,'Hoja de apoyo v2'!$A$17:$A$20,0)),"")</f>
        <v>6982.3202019701848</v>
      </c>
      <c r="R320" s="793">
        <f>IFERROR(INDEX('Hoja de apoyo v2'!F$17:F$20,MATCH($A320,'Hoja de apoyo v2'!$A$17:$A$20,0)),"")</f>
        <v>448.09513474485743</v>
      </c>
      <c r="S320" s="793">
        <f>IFERROR(INDEX('Hoja de apoyo v2'!G$17:G$20,MATCH($A320,'Hoja de apoyo v2'!$A$17:$A$20,0)),"")</f>
        <v>83.406300904207839</v>
      </c>
      <c r="T320" s="792">
        <f>IFERROR(INDEX('Hoja de apoyo v2'!H$17:H$20,MATCH($A320,'Hoja de apoyo v2'!$A$17:$A$20,0)),"")</f>
        <v>378.97014028925349</v>
      </c>
      <c r="U320" s="794">
        <f t="shared" si="148"/>
        <v>1.1854398962496173</v>
      </c>
      <c r="V320" s="795">
        <f t="shared" si="149"/>
        <v>0.99127669659160011</v>
      </c>
      <c r="W320" s="795">
        <f t="shared" si="150"/>
        <v>0.32484990311542855</v>
      </c>
      <c r="X320" s="843">
        <f t="shared" si="151"/>
        <v>0.96205921135999262</v>
      </c>
      <c r="Y320" s="843">
        <f t="shared" si="152"/>
        <v>1.0334037868437913</v>
      </c>
      <c r="Z320" s="843">
        <f t="shared" si="153"/>
        <v>0.38328858736086963</v>
      </c>
      <c r="AA320" s="843">
        <f t="shared" si="154"/>
        <v>0.47560226970060593</v>
      </c>
      <c r="AB320" s="796">
        <f t="shared" si="155"/>
        <v>4</v>
      </c>
      <c r="AC320" s="797">
        <f t="shared" si="156"/>
        <v>3</v>
      </c>
      <c r="AD320" s="797">
        <f t="shared" si="157"/>
        <v>1</v>
      </c>
      <c r="AE320" s="842">
        <f t="shared" si="158"/>
        <v>3</v>
      </c>
      <c r="AF320" s="842">
        <f t="shared" si="159"/>
        <v>4</v>
      </c>
      <c r="AG320" s="842">
        <f t="shared" si="160"/>
        <v>1</v>
      </c>
      <c r="AH320" s="842">
        <f t="shared" si="161"/>
        <v>1</v>
      </c>
      <c r="AI320" s="826" cm="1">
        <f t="array" ref="AI320">SUMPRODUCT(--ISNUMBER($U320:$AA320),$AB$3:$AH$3)</f>
        <v>1</v>
      </c>
      <c r="AJ320" s="829">
        <f t="shared" si="162"/>
        <v>33.963748534747985</v>
      </c>
      <c r="AK320" s="827" t="str">
        <f t="shared" si="163"/>
        <v>Inmadura</v>
      </c>
      <c r="AL320" s="784" t="str">
        <f t="shared" si="164"/>
        <v>Alta</v>
      </c>
      <c r="AM320" s="799">
        <f>IF(ISNUMBER('Base de datos Rutas'!W318),'Base de datos Rutas'!W318,"")</f>
        <v>2982.1586443005776</v>
      </c>
      <c r="AN320" s="787">
        <f>IFERROR(SUMIFS('Base de datos Rutas'!$W$6:$W$794,'Base de datos Rutas'!$C$6:$C$794,$C320)/'Base de datos Rutas'!I318,"")</f>
        <v>2982.158644300579</v>
      </c>
      <c r="AO320" s="800">
        <f>IFERROR('Base de datos Rutas'!X318*AN320/AM320,"")</f>
        <v>0.51837289520136576</v>
      </c>
      <c r="AP320" s="800">
        <f t="shared" si="165"/>
        <v>0.48162710479863424</v>
      </c>
      <c r="AQ320" s="789">
        <f>IFERROR(INDEX('Hoja de apoyo v2'!$J$17:$J$20,MATCH($A320,'Hoja de apoyo v2'!$A$17:$A$20,0)),"")</f>
        <v>0.64320274048480885</v>
      </c>
      <c r="AR320" s="789">
        <f t="shared" si="166"/>
        <v>-0.16157563568617461</v>
      </c>
      <c r="AS320" s="784" t="str">
        <f t="shared" si="167"/>
        <v>No</v>
      </c>
      <c r="AT320" s="801">
        <f>IF(ISNUMBER('Base de datos Rutas'!CK318),'Base de datos Rutas'!CK318,"")</f>
        <v>470</v>
      </c>
      <c r="AU320" s="802">
        <f>IF(ISNUMBER('Base de datos Rutas'!CL318),'Base de datos Rutas'!CL318,"")</f>
        <v>470</v>
      </c>
      <c r="AV320" s="802">
        <f>IF(ISNUMBER('Base de datos Rutas'!CM318),'Base de datos Rutas'!CM318,"")</f>
        <v>0</v>
      </c>
      <c r="AW320" s="802" t="str">
        <f>IF(ISNUMBER('Base de datos Rutas'!CN318),'Base de datos Rutas'!CN318,"")</f>
        <v/>
      </c>
      <c r="AX320" s="802">
        <f>IF(ISNUMBER('Base de datos Rutas'!CO318),'Base de datos Rutas'!CO318,"")</f>
        <v>9.4499999999999993</v>
      </c>
      <c r="AY320" s="802">
        <f>IF(ISNUMBER('Base de datos Rutas'!CP318),'Base de datos Rutas'!CP318,"")</f>
        <v>9.4499999999999993</v>
      </c>
      <c r="AZ320" s="802" t="str">
        <f>IF(ISNUMBER('Base de datos Rutas'!CQ318),'Base de datos Rutas'!CQ318,"")</f>
        <v/>
      </c>
      <c r="BA320" s="802" t="str">
        <f>IF(ISNUMBER('Base de datos Rutas'!CR318),'Base de datos Rutas'!CR318,"")</f>
        <v/>
      </c>
      <c r="BB320" s="803">
        <f>IF(ISNUMBER('Base de datos Rutas'!CS318),'Base de datos Rutas'!CS318,"")</f>
        <v>0</v>
      </c>
      <c r="BC320" s="804" t="str">
        <f t="shared" si="177"/>
        <v/>
      </c>
      <c r="BD320" s="805" t="str">
        <f t="shared" si="178"/>
        <v>N/D</v>
      </c>
      <c r="BE320" s="806" t="str">
        <f t="shared" si="179"/>
        <v/>
      </c>
      <c r="BF320" s="890">
        <f>IF(ISNUMBER('Base de datos Rutas'!CX318),'Base de datos Rutas'!CX318/100,"")</f>
        <v>0</v>
      </c>
      <c r="BG320" s="891">
        <f>IF(ISNUMBER('Base de datos Rutas'!CZ318),'Base de datos Rutas'!CZ318/100,"")</f>
        <v>0</v>
      </c>
      <c r="BH320" s="892">
        <f>IF(ISNUMBER('Base de datos Rutas'!DA318),'Base de datos Rutas'!DA318,"")</f>
        <v>0</v>
      </c>
      <c r="BI320" s="893">
        <f>IF(ISNUMBER('Base de datos Rutas'!DC318),'Base de datos Rutas'!DC318,"")</f>
        <v>0</v>
      </c>
      <c r="BJ320" s="805" t="str">
        <f t="shared" si="180"/>
        <v>Ruta (completo)</v>
      </c>
      <c r="BK320" s="783">
        <f t="shared" si="168"/>
        <v>1</v>
      </c>
      <c r="BL320" s="797">
        <f t="shared" si="169"/>
        <v>1</v>
      </c>
      <c r="BM320" s="797">
        <f t="shared" si="170"/>
        <v>1</v>
      </c>
      <c r="BN320" s="797">
        <f t="shared" si="171"/>
        <v>1</v>
      </c>
      <c r="BO320" s="798" cm="1">
        <f t="array" ref="BO320">SUMPRODUCT(--ISNUMBER($BF320:$BI320),$BK$3:$BN$3)</f>
        <v>1</v>
      </c>
      <c r="BP320" s="831">
        <f t="shared" si="181"/>
        <v>0</v>
      </c>
      <c r="BQ320" s="834" t="str">
        <f t="shared" si="182"/>
        <v>Bajo</v>
      </c>
      <c r="BR320" s="836" t="str">
        <f t="shared" si="172"/>
        <v/>
      </c>
      <c r="BS320" s="836">
        <f t="shared" si="173"/>
        <v>0</v>
      </c>
      <c r="BT320" s="837" t="str">
        <f t="shared" si="174"/>
        <v>Sin datos</v>
      </c>
      <c r="BU320" s="807" t="str">
        <f t="shared" si="183"/>
        <v>Con espacio</v>
      </c>
      <c r="BV320" s="807" t="str">
        <f t="shared" si="175"/>
        <v>Zona de bajo potencial</v>
      </c>
      <c r="BW320" s="808" t="str">
        <f t="shared" si="176"/>
        <v>Sin datos</v>
      </c>
    </row>
    <row r="321" spans="1:75">
      <c r="A321" s="780" t="str">
        <f>'Base de datos Rutas'!A319</f>
        <v>Occidente</v>
      </c>
      <c r="B321" s="781" t="str">
        <f>'Base de datos Rutas'!B319</f>
        <v>Favorita</v>
      </c>
      <c r="C321" s="781" t="str">
        <f>'Base de datos Rutas'!C319</f>
        <v>Cedi Tonalá</v>
      </c>
      <c r="D321" s="782">
        <f>IF(ISNUMBER('Base de datos Rutas'!D319),'Base de datos Rutas'!D319,"Sin código")</f>
        <v>810344</v>
      </c>
      <c r="E321" s="783" t="str">
        <f>'Base de datos Rutas'!F319</f>
        <v>Activa</v>
      </c>
      <c r="F321" s="784" t="str">
        <f>'Base de datos Rutas'!H319</f>
        <v>Sí</v>
      </c>
      <c r="G321" s="785">
        <f>IF(ISNUMBER('Base de datos Rutas'!BE319),'Base de datos Rutas'!BE319,"")</f>
        <v>53.425790754257903</v>
      </c>
      <c r="H321" s="786">
        <f>IF(ISNUMBER('Base de datos Rutas'!BH319),'Base de datos Rutas'!BH319,"")</f>
        <v>0.502686947809454</v>
      </c>
      <c r="I321" s="788">
        <f>IFERROR(IF(OR(NOT(ISNUMBER('Base de datos Rutas'!O319)),N('Base de datos Rutas'!BK319)=0),"",'Base de datos Rutas'!O319/('Base de datos Rutas'!L319/'Base de datos Rutas'!BK319)),"")</f>
        <v>4897.1399548532681</v>
      </c>
      <c r="J321" s="788">
        <f>IFERROR(IF(OR(NOT(ISNUMBER('Base de datos Rutas'!N319)),N('Base de datos Rutas'!BK319)=0),"",'Base de datos Rutas'!N319/('Base de datos Rutas'!L319/'Base de datos Rutas'!BK319)),"")</f>
        <v>8406.4808126410753</v>
      </c>
      <c r="K321" s="788">
        <f>IFERROR(IF(OR(NOT(ISNUMBER('Base de datos Rutas'!J319)),N('Base de datos Rutas'!BK319)=0),"",'Base de datos Rutas'!J319/('Base de datos Rutas'!L319/'Base de datos Rutas'!BK319)),"")</f>
        <v>576.95003702031545</v>
      </c>
      <c r="L321" s="788">
        <f>IFERROR(IF(OR(NOT(ISNUMBER('Base de datos Rutas'!K319)),N('Base de datos Rutas'!BK319)=0),"",'Base de datos Rutas'!K319/('Base de datos Rutas'!L319/'Base de datos Rutas'!BK319)),"")</f>
        <v>42.076175957110564</v>
      </c>
      <c r="M321" s="787">
        <f>IF(ISNUMBER('Base de datos Rutas'!AX319),'Base de datos Rutas'!AX319,"")</f>
        <v>500.50997282377898</v>
      </c>
      <c r="N321" s="790">
        <f>IFERROR(INDEX('Hoja de apoyo v2'!B$17:B$20,MATCH($A321,'Hoja de apoyo v2'!$A$17:$A$20,0)),"")</f>
        <v>89.41621024641401</v>
      </c>
      <c r="O321" s="791">
        <f>IFERROR(INDEX('Hoja de apoyo v2'!C$17:C$20,MATCH($A321,'Hoja de apoyo v2'!$A$17:$A$20,0)),"")</f>
        <v>0.54706375874806301</v>
      </c>
      <c r="P321" s="793">
        <f>IFERROR(INDEX('Hoja de apoyo v2'!D$17:D$20,MATCH($A321,'Hoja de apoyo v2'!$A$17:$A$20,0)),"")</f>
        <v>11095.153935793827</v>
      </c>
      <c r="Q321" s="793">
        <f>IFERROR(INDEX('Hoja de apoyo v2'!E$17:E$20,MATCH($A321,'Hoja de apoyo v2'!$A$17:$A$20,0)),"")</f>
        <v>6982.3202019701848</v>
      </c>
      <c r="R321" s="793">
        <f>IFERROR(INDEX('Hoja de apoyo v2'!F$17:F$20,MATCH($A321,'Hoja de apoyo v2'!$A$17:$A$20,0)),"")</f>
        <v>448.09513474485743</v>
      </c>
      <c r="S321" s="793">
        <f>IFERROR(INDEX('Hoja de apoyo v2'!G$17:G$20,MATCH($A321,'Hoja de apoyo v2'!$A$17:$A$20,0)),"")</f>
        <v>83.406300904207839</v>
      </c>
      <c r="T321" s="792">
        <f>IFERROR(INDEX('Hoja de apoyo v2'!H$17:H$20,MATCH($A321,'Hoja de apoyo v2'!$A$17:$A$20,0)),"")</f>
        <v>378.97014028925349</v>
      </c>
      <c r="U321" s="794">
        <f t="shared" si="148"/>
        <v>0.59749558393300972</v>
      </c>
      <c r="V321" s="795">
        <f t="shared" si="149"/>
        <v>0.91888183008107893</v>
      </c>
      <c r="W321" s="795">
        <f t="shared" si="150"/>
        <v>0.44137647690084902</v>
      </c>
      <c r="X321" s="843">
        <f t="shared" si="151"/>
        <v>1.2039666714610193</v>
      </c>
      <c r="Y321" s="843">
        <f t="shared" si="152"/>
        <v>1.2875614847923471</v>
      </c>
      <c r="Z321" s="843">
        <f t="shared" si="153"/>
        <v>0.5044723899868796</v>
      </c>
      <c r="AA321" s="843">
        <f t="shared" si="154"/>
        <v>1.3207108413390003</v>
      </c>
      <c r="AB321" s="796">
        <f t="shared" si="155"/>
        <v>2</v>
      </c>
      <c r="AC321" s="797">
        <f t="shared" si="156"/>
        <v>3</v>
      </c>
      <c r="AD321" s="797">
        <f t="shared" si="157"/>
        <v>1</v>
      </c>
      <c r="AE321" s="842">
        <f t="shared" si="158"/>
        <v>4</v>
      </c>
      <c r="AF321" s="842">
        <f t="shared" si="159"/>
        <v>5</v>
      </c>
      <c r="AG321" s="842">
        <f t="shared" si="160"/>
        <v>2</v>
      </c>
      <c r="AH321" s="842">
        <f t="shared" si="161"/>
        <v>5</v>
      </c>
      <c r="AI321" s="826" cm="1">
        <f t="array" ref="AI321">SUMPRODUCT(--ISNUMBER($U321:$AA321),$AB$3:$AH$3)</f>
        <v>1</v>
      </c>
      <c r="AJ321" s="829">
        <f t="shared" si="162"/>
        <v>44.599946466098906</v>
      </c>
      <c r="AK321" s="827" t="str">
        <f t="shared" si="163"/>
        <v>Inmadura</v>
      </c>
      <c r="AL321" s="784" t="str">
        <f t="shared" si="164"/>
        <v>Alta</v>
      </c>
      <c r="AM321" s="799">
        <f>IF(ISNUMBER('Base de datos Rutas'!W319),'Base de datos Rutas'!W319,"")</f>
        <v>2982.1586443005776</v>
      </c>
      <c r="AN321" s="787">
        <f>IFERROR(SUMIFS('Base de datos Rutas'!$W$6:$W$794,'Base de datos Rutas'!$C$6:$C$794,$C321)/'Base de datos Rutas'!I319,"")</f>
        <v>2982.158644300579</v>
      </c>
      <c r="AO321" s="800">
        <f>IFERROR('Base de datos Rutas'!X319*AN321/AM321,"")</f>
        <v>0.51837289520136576</v>
      </c>
      <c r="AP321" s="800">
        <f t="shared" si="165"/>
        <v>0.48162710479863424</v>
      </c>
      <c r="AQ321" s="789">
        <f>IFERROR(INDEX('Hoja de apoyo v2'!$J$17:$J$20,MATCH($A321,'Hoja de apoyo v2'!$A$17:$A$20,0)),"")</f>
        <v>0.64320274048480885</v>
      </c>
      <c r="AR321" s="789">
        <f t="shared" si="166"/>
        <v>-0.16157563568617461</v>
      </c>
      <c r="AS321" s="784" t="str">
        <f t="shared" si="167"/>
        <v>No</v>
      </c>
      <c r="AT321" s="801">
        <f>IF(ISNUMBER('Base de datos Rutas'!CK319),'Base de datos Rutas'!CK319,"")</f>
        <v>289</v>
      </c>
      <c r="AU321" s="802">
        <f>IF(ISNUMBER('Base de datos Rutas'!CL319),'Base de datos Rutas'!CL319,"")</f>
        <v>352.67</v>
      </c>
      <c r="AV321" s="802">
        <f>IF(ISNUMBER('Base de datos Rutas'!CM319),'Base de datos Rutas'!CM319,"")</f>
        <v>63.670000000000016</v>
      </c>
      <c r="AW321" s="802">
        <f>IF(ISNUMBER('Base de datos Rutas'!CN319),'Base de datos Rutas'!CN319,"")</f>
        <v>7.02</v>
      </c>
      <c r="AX321" s="802">
        <f>IF(ISNUMBER('Base de datos Rutas'!CO319),'Base de datos Rutas'!CO319,"")</f>
        <v>9.4499999999999993</v>
      </c>
      <c r="AY321" s="802">
        <f>IF(ISNUMBER('Base de datos Rutas'!CP319),'Base de datos Rutas'!CP319,"")</f>
        <v>2.4299999999999997</v>
      </c>
      <c r="AZ321" s="802">
        <f>IF(ISNUMBER('Base de datos Rutas'!CQ319),'Base de datos Rutas'!CQ319,"")</f>
        <v>846.56</v>
      </c>
      <c r="BA321" s="802">
        <f>IF(ISNUMBER('Base de datos Rutas'!CR319),'Base de datos Rutas'!CR319,"")</f>
        <v>619.03</v>
      </c>
      <c r="BB321" s="803">
        <f>IF(ISNUMBER('Base de datos Rutas'!CS319),'Base de datos Rutas'!CS319,"")</f>
        <v>227.52999999999997</v>
      </c>
      <c r="BC321" s="804">
        <f t="shared" si="177"/>
        <v>0</v>
      </c>
      <c r="BD321" s="805" t="str">
        <f t="shared" si="178"/>
        <v>No saturada</v>
      </c>
      <c r="BE321" s="806">
        <f t="shared" si="179"/>
        <v>0.73122991872991872</v>
      </c>
      <c r="BF321" s="890">
        <f>IF(ISNUMBER('Base de datos Rutas'!CX319),'Base de datos Rutas'!CX319/100,"")</f>
        <v>0.27147867482755272</v>
      </c>
      <c r="BG321" s="891">
        <f>IF(ISNUMBER('Base de datos Rutas'!CZ319),'Base de datos Rutas'!CZ319/100,"")</f>
        <v>0.27766443213834646</v>
      </c>
      <c r="BH321" s="892">
        <f>IF(ISNUMBER('Base de datos Rutas'!DA319),'Base de datos Rutas'!DA319,"")</f>
        <v>79.522002728676298</v>
      </c>
      <c r="BI321" s="893">
        <f>IF(ISNUMBER('Base de datos Rutas'!DC319),'Base de datos Rutas'!DC319,"")</f>
        <v>3.5824430053289329</v>
      </c>
      <c r="BJ321" s="805" t="str">
        <f t="shared" si="180"/>
        <v>Ruta (completo)</v>
      </c>
      <c r="BK321" s="783">
        <f t="shared" si="168"/>
        <v>4</v>
      </c>
      <c r="BL321" s="797">
        <f t="shared" si="169"/>
        <v>4</v>
      </c>
      <c r="BM321" s="797">
        <f t="shared" si="170"/>
        <v>3</v>
      </c>
      <c r="BN321" s="797">
        <f t="shared" si="171"/>
        <v>3</v>
      </c>
      <c r="BO321" s="798" cm="1">
        <f t="array" ref="BO321">SUMPRODUCT(--ISNUMBER($BF321:$BI321),$BK$3:$BN$3)</f>
        <v>1</v>
      </c>
      <c r="BP321" s="831">
        <f t="shared" si="181"/>
        <v>62.5</v>
      </c>
      <c r="BQ321" s="834" t="str">
        <f t="shared" si="182"/>
        <v>Alto</v>
      </c>
      <c r="BR321" s="836">
        <f t="shared" si="172"/>
        <v>33.449959849574178</v>
      </c>
      <c r="BS321" s="836">
        <f t="shared" si="173"/>
        <v>62.5</v>
      </c>
      <c r="BT321" s="837" t="str">
        <f t="shared" si="174"/>
        <v>P1</v>
      </c>
      <c r="BU321" s="807" t="str">
        <f t="shared" si="183"/>
        <v>Con espacio</v>
      </c>
      <c r="BV321" s="807" t="str">
        <f t="shared" si="175"/>
        <v>Zona atractiva</v>
      </c>
      <c r="BW321" s="808" t="str">
        <f t="shared" si="176"/>
        <v>P1 - Ampliar cobertura</v>
      </c>
    </row>
    <row r="322" spans="1:75">
      <c r="A322" s="780" t="str">
        <f>'Base de datos Rutas'!A320</f>
        <v>Occidente</v>
      </c>
      <c r="B322" s="781" t="str">
        <f>'Base de datos Rutas'!B320</f>
        <v>Favorita</v>
      </c>
      <c r="C322" s="781" t="str">
        <f>'Base de datos Rutas'!C320</f>
        <v>Cedi Tonalá</v>
      </c>
      <c r="D322" s="782">
        <f>IF(ISNUMBER('Base de datos Rutas'!D320),'Base de datos Rutas'!D320,"Sin código")</f>
        <v>810345</v>
      </c>
      <c r="E322" s="783" t="str">
        <f>'Base de datos Rutas'!F320</f>
        <v>Activa</v>
      </c>
      <c r="F322" s="784" t="str">
        <f>'Base de datos Rutas'!H320</f>
        <v>Sí</v>
      </c>
      <c r="G322" s="785">
        <f>IF(ISNUMBER('Base de datos Rutas'!BE320),'Base de datos Rutas'!BE320,"")</f>
        <v>94.755555555555603</v>
      </c>
      <c r="H322" s="786">
        <f>IF(ISNUMBER('Base de datos Rutas'!BH320),'Base de datos Rutas'!BH320,"")</f>
        <v>0.45458098811757403</v>
      </c>
      <c r="I322" s="788">
        <f>IFERROR(IF(OR(NOT(ISNUMBER('Base de datos Rutas'!O320)),N('Base de datos Rutas'!BK320)=0),"",'Base de datos Rutas'!O320/('Base de datos Rutas'!L320/'Base de datos Rutas'!BK320)),"")</f>
        <v>3335.8096330275152</v>
      </c>
      <c r="J322" s="788">
        <f>IFERROR(IF(OR(NOT(ISNUMBER('Base de datos Rutas'!N320)),N('Base de datos Rutas'!BK320)=0),"",'Base de datos Rutas'!N320/('Base de datos Rutas'!L320/'Base de datos Rutas'!BK320)),"")</f>
        <v>6103.2912844036555</v>
      </c>
      <c r="K322" s="788">
        <f>IFERROR(IF(OR(NOT(ISNUMBER('Base de datos Rutas'!J320)),N('Base de datos Rutas'!BK320)=0),"",'Base de datos Rutas'!J320/('Base de datos Rutas'!L320/'Base de datos Rutas'!BK320)),"")</f>
        <v>426.66281834862281</v>
      </c>
      <c r="L322" s="788">
        <f>IFERROR(IF(OR(NOT(ISNUMBER('Base de datos Rutas'!K320)),N('Base de datos Rutas'!BK320)=0),"",'Base de datos Rutas'!K320/('Base de datos Rutas'!L320/'Base de datos Rutas'!BK320)),"")</f>
        <v>32.994539064220106</v>
      </c>
      <c r="M322" s="787">
        <f>IF(ISNUMBER('Base de datos Rutas'!AX320),'Base de datos Rutas'!AX320,"")</f>
        <v>216.011423472601</v>
      </c>
      <c r="N322" s="790">
        <f>IFERROR(INDEX('Hoja de apoyo v2'!B$17:B$20,MATCH($A322,'Hoja de apoyo v2'!$A$17:$A$20,0)),"")</f>
        <v>89.41621024641401</v>
      </c>
      <c r="O322" s="791">
        <f>IFERROR(INDEX('Hoja de apoyo v2'!C$17:C$20,MATCH($A322,'Hoja de apoyo v2'!$A$17:$A$20,0)),"")</f>
        <v>0.54706375874806301</v>
      </c>
      <c r="P322" s="793">
        <f>IFERROR(INDEX('Hoja de apoyo v2'!D$17:D$20,MATCH($A322,'Hoja de apoyo v2'!$A$17:$A$20,0)),"")</f>
        <v>11095.153935793827</v>
      </c>
      <c r="Q322" s="793">
        <f>IFERROR(INDEX('Hoja de apoyo v2'!E$17:E$20,MATCH($A322,'Hoja de apoyo v2'!$A$17:$A$20,0)),"")</f>
        <v>6982.3202019701848</v>
      </c>
      <c r="R322" s="793">
        <f>IFERROR(INDEX('Hoja de apoyo v2'!F$17:F$20,MATCH($A322,'Hoja de apoyo v2'!$A$17:$A$20,0)),"")</f>
        <v>448.09513474485743</v>
      </c>
      <c r="S322" s="793">
        <f>IFERROR(INDEX('Hoja de apoyo v2'!G$17:G$20,MATCH($A322,'Hoja de apoyo v2'!$A$17:$A$20,0)),"")</f>
        <v>83.406300904207839</v>
      </c>
      <c r="T322" s="792">
        <f>IFERROR(INDEX('Hoja de apoyo v2'!H$17:H$20,MATCH($A322,'Hoja de apoyo v2'!$A$17:$A$20,0)),"")</f>
        <v>378.97014028925349</v>
      </c>
      <c r="U322" s="794">
        <f t="shared" si="148"/>
        <v>1.0597133930685205</v>
      </c>
      <c r="V322" s="795">
        <f t="shared" si="149"/>
        <v>0.83094699813028616</v>
      </c>
      <c r="W322" s="795">
        <f t="shared" si="150"/>
        <v>0.30065465088014098</v>
      </c>
      <c r="X322" s="843">
        <f t="shared" si="151"/>
        <v>0.87410647290015486</v>
      </c>
      <c r="Y322" s="843">
        <f t="shared" si="152"/>
        <v>0.95217016491723783</v>
      </c>
      <c r="Z322" s="843">
        <f t="shared" si="153"/>
        <v>0.39558808754885727</v>
      </c>
      <c r="AA322" s="843">
        <f t="shared" si="154"/>
        <v>0.5699958928366432</v>
      </c>
      <c r="AB322" s="796">
        <f t="shared" si="155"/>
        <v>4</v>
      </c>
      <c r="AC322" s="797">
        <f t="shared" si="156"/>
        <v>3</v>
      </c>
      <c r="AD322" s="797">
        <f t="shared" si="157"/>
        <v>1</v>
      </c>
      <c r="AE322" s="842">
        <f t="shared" si="158"/>
        <v>3</v>
      </c>
      <c r="AF322" s="842">
        <f t="shared" si="159"/>
        <v>3</v>
      </c>
      <c r="AG322" s="842">
        <f t="shared" si="160"/>
        <v>1</v>
      </c>
      <c r="AH322" s="842">
        <f t="shared" si="161"/>
        <v>2</v>
      </c>
      <c r="AI322" s="826" cm="1">
        <f t="array" ref="AI322">SUMPRODUCT(--ISNUMBER($U322:$AA322),$AB$3:$AH$3)</f>
        <v>1</v>
      </c>
      <c r="AJ322" s="829">
        <f t="shared" si="162"/>
        <v>33.282431863034759</v>
      </c>
      <c r="AK322" s="827" t="str">
        <f t="shared" si="163"/>
        <v>Inmadura</v>
      </c>
      <c r="AL322" s="784" t="str">
        <f t="shared" si="164"/>
        <v>Alta</v>
      </c>
      <c r="AM322" s="799">
        <f>IF(ISNUMBER('Base de datos Rutas'!W320),'Base de datos Rutas'!W320,"")</f>
        <v>2982.1586443005776</v>
      </c>
      <c r="AN322" s="787">
        <f>IFERROR(SUMIFS('Base de datos Rutas'!$W$6:$W$794,'Base de datos Rutas'!$C$6:$C$794,$C322)/'Base de datos Rutas'!I320,"")</f>
        <v>2982.158644300579</v>
      </c>
      <c r="AO322" s="800">
        <f>IFERROR('Base de datos Rutas'!X320*AN322/AM322,"")</f>
        <v>0.51837289520136576</v>
      </c>
      <c r="AP322" s="800">
        <f t="shared" si="165"/>
        <v>0.48162710479863424</v>
      </c>
      <c r="AQ322" s="789">
        <f>IFERROR(INDEX('Hoja de apoyo v2'!$J$17:$J$20,MATCH($A322,'Hoja de apoyo v2'!$A$17:$A$20,0)),"")</f>
        <v>0.64320274048480885</v>
      </c>
      <c r="AR322" s="789">
        <f t="shared" si="166"/>
        <v>-0.16157563568617461</v>
      </c>
      <c r="AS322" s="784" t="str">
        <f t="shared" si="167"/>
        <v>No</v>
      </c>
      <c r="AT322" s="801">
        <f>IF(ISNUMBER('Base de datos Rutas'!CK320),'Base de datos Rutas'!CK320,"")</f>
        <v>349</v>
      </c>
      <c r="AU322" s="802">
        <f>IF(ISNUMBER('Base de datos Rutas'!CL320),'Base de datos Rutas'!CL320,"")</f>
        <v>362.76</v>
      </c>
      <c r="AV322" s="802">
        <f>IF(ISNUMBER('Base de datos Rutas'!CM320),'Base de datos Rutas'!CM320,"")</f>
        <v>13.759999999999991</v>
      </c>
      <c r="AW322" s="802">
        <f>IF(ISNUMBER('Base de datos Rutas'!CN320),'Base de datos Rutas'!CN320,"")</f>
        <v>11.21</v>
      </c>
      <c r="AX322" s="802">
        <f>IF(ISNUMBER('Base de datos Rutas'!CO320),'Base de datos Rutas'!CO320,"")</f>
        <v>9.4499999999999993</v>
      </c>
      <c r="AY322" s="802">
        <f>IF(ISNUMBER('Base de datos Rutas'!CP320),'Base de datos Rutas'!CP320,"")</f>
        <v>-1.7600000000000016</v>
      </c>
      <c r="AZ322" s="802">
        <f>IF(ISNUMBER('Base de datos Rutas'!CQ320),'Base de datos Rutas'!CQ320,"")</f>
        <v>846.56</v>
      </c>
      <c r="BA322" s="802">
        <f>IF(ISNUMBER('Base de datos Rutas'!CR320),'Base de datos Rutas'!CR320,"")</f>
        <v>459.66</v>
      </c>
      <c r="BB322" s="803">
        <f>IF(ISNUMBER('Base de datos Rutas'!CS320),'Base de datos Rutas'!CS320,"")</f>
        <v>386.89999999999992</v>
      </c>
      <c r="BC322" s="804">
        <f t="shared" si="177"/>
        <v>1</v>
      </c>
      <c r="BD322" s="805" t="str">
        <f t="shared" si="178"/>
        <v>Saturada</v>
      </c>
      <c r="BE322" s="806">
        <f t="shared" si="179"/>
        <v>0.54297391797391803</v>
      </c>
      <c r="BF322" s="890">
        <f>IF(ISNUMBER('Base de datos Rutas'!CX320),'Base de datos Rutas'!CX320/100,"")</f>
        <v>0.16379195017875678</v>
      </c>
      <c r="BG322" s="891">
        <f>IF(ISNUMBER('Base de datos Rutas'!CZ320),'Base de datos Rutas'!CZ320/100,"")</f>
        <v>0.16537884903701996</v>
      </c>
      <c r="BH322" s="892">
        <f>IF(ISNUMBER('Base de datos Rutas'!DA320),'Base de datos Rutas'!DA320,"")</f>
        <v>122.07913978048904</v>
      </c>
      <c r="BI322" s="893">
        <f>IF(ISNUMBER('Base de datos Rutas'!DC320),'Base de datos Rutas'!DC320,"")</f>
        <v>6.0513117230643108</v>
      </c>
      <c r="BJ322" s="805" t="str">
        <f t="shared" si="180"/>
        <v>Ruta (completo)</v>
      </c>
      <c r="BK322" s="783">
        <f t="shared" si="168"/>
        <v>4</v>
      </c>
      <c r="BL322" s="797">
        <f t="shared" si="169"/>
        <v>4</v>
      </c>
      <c r="BM322" s="797">
        <f t="shared" si="170"/>
        <v>4</v>
      </c>
      <c r="BN322" s="797">
        <f t="shared" si="171"/>
        <v>4</v>
      </c>
      <c r="BO322" s="798" cm="1">
        <f t="array" ref="BO322">SUMPRODUCT(--ISNUMBER($BF322:$BI322),$BK$3:$BN$3)</f>
        <v>1</v>
      </c>
      <c r="BP322" s="831">
        <f t="shared" si="181"/>
        <v>75</v>
      </c>
      <c r="BQ322" s="834" t="str">
        <f t="shared" si="182"/>
        <v>Alto</v>
      </c>
      <c r="BR322" s="836">
        <f t="shared" si="172"/>
        <v>49.961823897276069</v>
      </c>
      <c r="BS322" s="836">
        <f t="shared" si="173"/>
        <v>75</v>
      </c>
      <c r="BT322" s="837" t="str">
        <f t="shared" si="174"/>
        <v>P1</v>
      </c>
      <c r="BU322" s="807" t="str">
        <f t="shared" si="183"/>
        <v>Al tope</v>
      </c>
      <c r="BV322" s="807" t="str">
        <f t="shared" si="175"/>
        <v>Zona atractiva</v>
      </c>
      <c r="BW322" s="808" t="str">
        <f t="shared" si="176"/>
        <v>P1 - Ampliar cobertura</v>
      </c>
    </row>
    <row r="323" spans="1:75">
      <c r="A323" s="780" t="str">
        <f>'Base de datos Rutas'!A321</f>
        <v>Occidente</v>
      </c>
      <c r="B323" s="781" t="str">
        <f>'Base de datos Rutas'!B321</f>
        <v>Favorita</v>
      </c>
      <c r="C323" s="781" t="str">
        <f>'Base de datos Rutas'!C321</f>
        <v>Cedi Tonalá</v>
      </c>
      <c r="D323" s="782">
        <f>IF(ISNUMBER('Base de datos Rutas'!D321),'Base de datos Rutas'!D321,"Sin código")</f>
        <v>810346</v>
      </c>
      <c r="E323" s="783" t="str">
        <f>'Base de datos Rutas'!F321</f>
        <v>Activa</v>
      </c>
      <c r="F323" s="784" t="str">
        <f>'Base de datos Rutas'!H321</f>
        <v>Sí</v>
      </c>
      <c r="G323" s="785">
        <f>IF(ISNUMBER('Base de datos Rutas'!BE321),'Base de datos Rutas'!BE321,"")</f>
        <v>44.905707196029802</v>
      </c>
      <c r="H323" s="786">
        <f>IF(ISNUMBER('Base de datos Rutas'!BH321),'Base de datos Rutas'!BH321,"")</f>
        <v>0.83129800519423103</v>
      </c>
      <c r="I323" s="788">
        <f>IFERROR(IF(OR(NOT(ISNUMBER('Base de datos Rutas'!O321)),N('Base de datos Rutas'!BK321)=0),"",'Base de datos Rutas'!O321/('Base de datos Rutas'!L321/'Base de datos Rutas'!BK321)),"")</f>
        <v>4841.519540229885</v>
      </c>
      <c r="J323" s="788">
        <f>IFERROR(IF(OR(NOT(ISNUMBER('Base de datos Rutas'!N321)),N('Base de datos Rutas'!BK321)=0),"",'Base de datos Rutas'!N321/('Base de datos Rutas'!L321/'Base de datos Rutas'!BK321)),"")</f>
        <v>7222.9080459770112</v>
      </c>
      <c r="K323" s="788">
        <f>IFERROR(IF(OR(NOT(ISNUMBER('Base de datos Rutas'!J321)),N('Base de datos Rutas'!BK321)=0),"",'Base de datos Rutas'!J321/('Base de datos Rutas'!L321/'Base de datos Rutas'!BK321)),"")</f>
        <v>491.45982344827587</v>
      </c>
      <c r="L323" s="788">
        <f>IFERROR(IF(OR(NOT(ISNUMBER('Base de datos Rutas'!K321)),N('Base de datos Rutas'!BK321)=0),"",'Base de datos Rutas'!K321/('Base de datos Rutas'!L321/'Base de datos Rutas'!BK321)),"")</f>
        <v>41.085312105747128</v>
      </c>
      <c r="M323" s="787">
        <f>IF(ISNUMBER('Base de datos Rutas'!AX321),'Base de datos Rutas'!AX321,"")</f>
        <v>315.56882557926298</v>
      </c>
      <c r="N323" s="790">
        <f>IFERROR(INDEX('Hoja de apoyo v2'!B$17:B$20,MATCH($A323,'Hoja de apoyo v2'!$A$17:$A$20,0)),"")</f>
        <v>89.41621024641401</v>
      </c>
      <c r="O323" s="791">
        <f>IFERROR(INDEX('Hoja de apoyo v2'!C$17:C$20,MATCH($A323,'Hoja de apoyo v2'!$A$17:$A$20,0)),"")</f>
        <v>0.54706375874806301</v>
      </c>
      <c r="P323" s="793">
        <f>IFERROR(INDEX('Hoja de apoyo v2'!D$17:D$20,MATCH($A323,'Hoja de apoyo v2'!$A$17:$A$20,0)),"")</f>
        <v>11095.153935793827</v>
      </c>
      <c r="Q323" s="793">
        <f>IFERROR(INDEX('Hoja de apoyo v2'!E$17:E$20,MATCH($A323,'Hoja de apoyo v2'!$A$17:$A$20,0)),"")</f>
        <v>6982.3202019701848</v>
      </c>
      <c r="R323" s="793">
        <f>IFERROR(INDEX('Hoja de apoyo v2'!F$17:F$20,MATCH($A323,'Hoja de apoyo v2'!$A$17:$A$20,0)),"")</f>
        <v>448.09513474485743</v>
      </c>
      <c r="S323" s="793">
        <f>IFERROR(INDEX('Hoja de apoyo v2'!G$17:G$20,MATCH($A323,'Hoja de apoyo v2'!$A$17:$A$20,0)),"")</f>
        <v>83.406300904207839</v>
      </c>
      <c r="T323" s="792">
        <f>IFERROR(INDEX('Hoja de apoyo v2'!H$17:H$20,MATCH($A323,'Hoja de apoyo v2'!$A$17:$A$20,0)),"")</f>
        <v>378.97014028925349</v>
      </c>
      <c r="U323" s="794">
        <f t="shared" si="148"/>
        <v>0.50220991330630371</v>
      </c>
      <c r="V323" s="795">
        <f t="shared" si="149"/>
        <v>1.5195632902033731</v>
      </c>
      <c r="W323" s="795">
        <f t="shared" si="150"/>
        <v>0.43636344013315287</v>
      </c>
      <c r="X323" s="843">
        <f t="shared" si="151"/>
        <v>1.0344567188337968</v>
      </c>
      <c r="Y323" s="843">
        <f t="shared" si="152"/>
        <v>1.0967756294165301</v>
      </c>
      <c r="Z323" s="843">
        <f t="shared" si="153"/>
        <v>0.49259242599589231</v>
      </c>
      <c r="AA323" s="843">
        <f t="shared" si="154"/>
        <v>0.83270102847258964</v>
      </c>
      <c r="AB323" s="796">
        <f t="shared" si="155"/>
        <v>2</v>
      </c>
      <c r="AC323" s="797">
        <f t="shared" si="156"/>
        <v>5</v>
      </c>
      <c r="AD323" s="797">
        <f t="shared" si="157"/>
        <v>1</v>
      </c>
      <c r="AE323" s="842">
        <f t="shared" si="158"/>
        <v>4</v>
      </c>
      <c r="AF323" s="842">
        <f t="shared" si="159"/>
        <v>4</v>
      </c>
      <c r="AG323" s="842">
        <f t="shared" si="160"/>
        <v>1</v>
      </c>
      <c r="AH323" s="842">
        <f t="shared" si="161"/>
        <v>3</v>
      </c>
      <c r="AI323" s="826" cm="1">
        <f t="array" ref="AI323">SUMPRODUCT(--ISNUMBER($U323:$AA323),$AB$3:$AH$3)</f>
        <v>1</v>
      </c>
      <c r="AJ323" s="829">
        <f t="shared" si="162"/>
        <v>37.561190677127243</v>
      </c>
      <c r="AK323" s="827" t="str">
        <f t="shared" si="163"/>
        <v>Inmadura</v>
      </c>
      <c r="AL323" s="784" t="str">
        <f t="shared" si="164"/>
        <v>Alta</v>
      </c>
      <c r="AM323" s="799">
        <f>IF(ISNUMBER('Base de datos Rutas'!W321),'Base de datos Rutas'!W321,"")</f>
        <v>2982.1586443005776</v>
      </c>
      <c r="AN323" s="787">
        <f>IFERROR(SUMIFS('Base de datos Rutas'!$W$6:$W$794,'Base de datos Rutas'!$C$6:$C$794,$C323)/'Base de datos Rutas'!I321,"")</f>
        <v>2982.158644300579</v>
      </c>
      <c r="AO323" s="800">
        <f>IFERROR('Base de datos Rutas'!X321*AN323/AM323,"")</f>
        <v>0.51837289520136576</v>
      </c>
      <c r="AP323" s="800">
        <f t="shared" si="165"/>
        <v>0.48162710479863424</v>
      </c>
      <c r="AQ323" s="789">
        <f>IFERROR(INDEX('Hoja de apoyo v2'!$J$17:$J$20,MATCH($A323,'Hoja de apoyo v2'!$A$17:$A$20,0)),"")</f>
        <v>0.64320274048480885</v>
      </c>
      <c r="AR323" s="789">
        <f t="shared" si="166"/>
        <v>-0.16157563568617461</v>
      </c>
      <c r="AS323" s="784" t="str">
        <f t="shared" si="167"/>
        <v>No</v>
      </c>
      <c r="AT323" s="801">
        <f>IF(ISNUMBER('Base de datos Rutas'!CK321),'Base de datos Rutas'!CK321,"")</f>
        <v>253</v>
      </c>
      <c r="AU323" s="802">
        <f>IF(ISNUMBER('Base de datos Rutas'!CL321),'Base de datos Rutas'!CL321,"")</f>
        <v>253</v>
      </c>
      <c r="AV323" s="802">
        <f>IF(ISNUMBER('Base de datos Rutas'!CM321),'Base de datos Rutas'!CM321,"")</f>
        <v>0</v>
      </c>
      <c r="AW323" s="802">
        <f>IF(ISNUMBER('Base de datos Rutas'!CN321),'Base de datos Rutas'!CN321,"")</f>
        <v>17.149999999999999</v>
      </c>
      <c r="AX323" s="802">
        <f>IF(ISNUMBER('Base de datos Rutas'!CO321),'Base de datos Rutas'!CO321,"")</f>
        <v>9.4499999999999993</v>
      </c>
      <c r="AY323" s="802">
        <f>IF(ISNUMBER('Base de datos Rutas'!CP321),'Base de datos Rutas'!CP321,"")</f>
        <v>-7.6999999999999993</v>
      </c>
      <c r="AZ323" s="802">
        <f>IF(ISNUMBER('Base de datos Rutas'!CQ321),'Base de datos Rutas'!CQ321,"")</f>
        <v>846.56</v>
      </c>
      <c r="BA323" s="802">
        <f>IF(ISNUMBER('Base de datos Rutas'!CR321),'Base de datos Rutas'!CR321,"")</f>
        <v>532.54999999999995</v>
      </c>
      <c r="BB323" s="803">
        <f>IF(ISNUMBER('Base de datos Rutas'!CS321),'Base de datos Rutas'!CS321,"")</f>
        <v>314.01</v>
      </c>
      <c r="BC323" s="804">
        <f t="shared" si="177"/>
        <v>2</v>
      </c>
      <c r="BD323" s="805" t="str">
        <f t="shared" si="178"/>
        <v>Saturada</v>
      </c>
      <c r="BE323" s="806">
        <f t="shared" si="179"/>
        <v>0.62907531657531657</v>
      </c>
      <c r="BF323" s="890">
        <f>IF(ISNUMBER('Base de datos Rutas'!CX321),'Base de datos Rutas'!CX321/100,"")</f>
        <v>6.0957025297165494E-4</v>
      </c>
      <c r="BG323" s="891">
        <f>IF(ISNUMBER('Base de datos Rutas'!CZ321),'Base de datos Rutas'!CZ321/100,"")</f>
        <v>6.0957025297165494E-4</v>
      </c>
      <c r="BH323" s="892">
        <f>IF(ISNUMBER('Base de datos Rutas'!DA321),'Base de datos Rutas'!DA321,"")</f>
        <v>0</v>
      </c>
      <c r="BI323" s="893">
        <f>IF(ISNUMBER('Base de datos Rutas'!DC321),'Base de datos Rutas'!DC321,"")</f>
        <v>0</v>
      </c>
      <c r="BJ323" s="805" t="str">
        <f t="shared" si="180"/>
        <v>Ruta (completo)</v>
      </c>
      <c r="BK323" s="783">
        <f t="shared" si="168"/>
        <v>2</v>
      </c>
      <c r="BL323" s="797">
        <f t="shared" si="169"/>
        <v>2</v>
      </c>
      <c r="BM323" s="797">
        <f t="shared" si="170"/>
        <v>1</v>
      </c>
      <c r="BN323" s="797">
        <f t="shared" si="171"/>
        <v>1</v>
      </c>
      <c r="BO323" s="798" cm="1">
        <f t="array" ref="BO323">SUMPRODUCT(--ISNUMBER($BF323:$BI323),$BK$3:$BN$3)</f>
        <v>1</v>
      </c>
      <c r="BP323" s="831">
        <f t="shared" si="181"/>
        <v>12.5</v>
      </c>
      <c r="BQ323" s="834" t="str">
        <f t="shared" si="182"/>
        <v>Bajo</v>
      </c>
      <c r="BR323" s="836">
        <f t="shared" si="172"/>
        <v>53.170893007845436</v>
      </c>
      <c r="BS323" s="836">
        <f t="shared" si="173"/>
        <v>12.5</v>
      </c>
      <c r="BT323" s="837" t="str">
        <f t="shared" si="174"/>
        <v>P2</v>
      </c>
      <c r="BU323" s="807" t="str">
        <f t="shared" si="183"/>
        <v>Al tope</v>
      </c>
      <c r="BV323" s="807" t="str">
        <f t="shared" si="175"/>
        <v>Zona de bajo potencial</v>
      </c>
      <c r="BW323" s="808" t="str">
        <f t="shared" si="176"/>
        <v>P2 - Mantener</v>
      </c>
    </row>
    <row r="324" spans="1:75">
      <c r="A324" s="780" t="str">
        <f>'Base de datos Rutas'!A322</f>
        <v>Occidente</v>
      </c>
      <c r="B324" s="781" t="str">
        <f>'Base de datos Rutas'!B322</f>
        <v>Favorita</v>
      </c>
      <c r="C324" s="781" t="str">
        <f>'Base de datos Rutas'!C322</f>
        <v>Cedi Tonalá</v>
      </c>
      <c r="D324" s="782">
        <f>IF(ISNUMBER('Base de datos Rutas'!D322),'Base de datos Rutas'!D322,"Sin código")</f>
        <v>810347</v>
      </c>
      <c r="E324" s="783" t="str">
        <f>'Base de datos Rutas'!F322</f>
        <v>Activa</v>
      </c>
      <c r="F324" s="784" t="str">
        <f>'Base de datos Rutas'!H322</f>
        <v>Sí</v>
      </c>
      <c r="G324" s="785">
        <f>IF(ISNUMBER('Base de datos Rutas'!BE322),'Base de datos Rutas'!BE322,"")</f>
        <v>104.753731343284</v>
      </c>
      <c r="H324" s="786">
        <f>IF(ISNUMBER('Base de datos Rutas'!BH322),'Base de datos Rutas'!BH322,"")</f>
        <v>0.51354752914915403</v>
      </c>
      <c r="I324" s="788">
        <f>IFERROR(IF(OR(NOT(ISNUMBER('Base de datos Rutas'!O322)),N('Base de datos Rutas'!BK322)=0),"",'Base de datos Rutas'!O322/('Base de datos Rutas'!L322/'Base de datos Rutas'!BK322)),"")</f>
        <v>4507.5276497695831</v>
      </c>
      <c r="J324" s="788">
        <f>IFERROR(IF(OR(NOT(ISNUMBER('Base de datos Rutas'!N322)),N('Base de datos Rutas'!BK322)=0),"",'Base de datos Rutas'!N322/('Base de datos Rutas'!L322/'Base de datos Rutas'!BK322)),"")</f>
        <v>9235.9377880184275</v>
      </c>
      <c r="K324" s="788">
        <f>IFERROR(IF(OR(NOT(ISNUMBER('Base de datos Rutas'!J322)),N('Base de datos Rutas'!BK322)=0),"",'Base de datos Rutas'!J322/('Base de datos Rutas'!L322/'Base de datos Rutas'!BK322)),"")</f>
        <v>635.25753548386831</v>
      </c>
      <c r="L324" s="788">
        <f>IFERROR(IF(OR(NOT(ISNUMBER('Base de datos Rutas'!K322)),N('Base de datos Rutas'!BK322)=0),"",'Base de datos Rutas'!K322/('Base de datos Rutas'!L322/'Base de datos Rutas'!BK322)),"")</f>
        <v>40.650275541474628</v>
      </c>
      <c r="M324" s="787">
        <f>IF(ISNUMBER('Base de datos Rutas'!AX322),'Base de datos Rutas'!AX322,"")</f>
        <v>249.64785553235899</v>
      </c>
      <c r="N324" s="790">
        <f>IFERROR(INDEX('Hoja de apoyo v2'!B$17:B$20,MATCH($A324,'Hoja de apoyo v2'!$A$17:$A$20,0)),"")</f>
        <v>89.41621024641401</v>
      </c>
      <c r="O324" s="791">
        <f>IFERROR(INDEX('Hoja de apoyo v2'!C$17:C$20,MATCH($A324,'Hoja de apoyo v2'!$A$17:$A$20,0)),"")</f>
        <v>0.54706375874806301</v>
      </c>
      <c r="P324" s="793">
        <f>IFERROR(INDEX('Hoja de apoyo v2'!D$17:D$20,MATCH($A324,'Hoja de apoyo v2'!$A$17:$A$20,0)),"")</f>
        <v>11095.153935793827</v>
      </c>
      <c r="Q324" s="793">
        <f>IFERROR(INDEX('Hoja de apoyo v2'!E$17:E$20,MATCH($A324,'Hoja de apoyo v2'!$A$17:$A$20,0)),"")</f>
        <v>6982.3202019701848</v>
      </c>
      <c r="R324" s="793">
        <f>IFERROR(INDEX('Hoja de apoyo v2'!F$17:F$20,MATCH($A324,'Hoja de apoyo v2'!$A$17:$A$20,0)),"")</f>
        <v>448.09513474485743</v>
      </c>
      <c r="S324" s="793">
        <f>IFERROR(INDEX('Hoja de apoyo v2'!G$17:G$20,MATCH($A324,'Hoja de apoyo v2'!$A$17:$A$20,0)),"")</f>
        <v>83.406300904207839</v>
      </c>
      <c r="T324" s="792">
        <f>IFERROR(INDEX('Hoja de apoyo v2'!H$17:H$20,MATCH($A324,'Hoja de apoyo v2'!$A$17:$A$20,0)),"")</f>
        <v>378.97014028925349</v>
      </c>
      <c r="U324" s="794">
        <f t="shared" si="148"/>
        <v>1.1715295364744571</v>
      </c>
      <c r="V324" s="795">
        <f t="shared" si="149"/>
        <v>0.93873432655160749</v>
      </c>
      <c r="W324" s="795">
        <f t="shared" si="150"/>
        <v>0.4062609384109534</v>
      </c>
      <c r="X324" s="843">
        <f t="shared" si="151"/>
        <v>1.3227605610828825</v>
      </c>
      <c r="Y324" s="843">
        <f t="shared" si="152"/>
        <v>1.41768451881447</v>
      </c>
      <c r="Z324" s="843">
        <f t="shared" si="153"/>
        <v>0.48737655429847537</v>
      </c>
      <c r="AA324" s="843">
        <f t="shared" si="154"/>
        <v>0.65875336600876333</v>
      </c>
      <c r="AB324" s="796">
        <f t="shared" si="155"/>
        <v>4</v>
      </c>
      <c r="AC324" s="797">
        <f t="shared" si="156"/>
        <v>3</v>
      </c>
      <c r="AD324" s="797">
        <f t="shared" si="157"/>
        <v>1</v>
      </c>
      <c r="AE324" s="842">
        <f t="shared" si="158"/>
        <v>5</v>
      </c>
      <c r="AF324" s="842">
        <f t="shared" si="159"/>
        <v>5</v>
      </c>
      <c r="AG324" s="842">
        <f t="shared" si="160"/>
        <v>1</v>
      </c>
      <c r="AH324" s="842">
        <f t="shared" si="161"/>
        <v>2</v>
      </c>
      <c r="AI324" s="826" cm="1">
        <f t="array" ref="AI324">SUMPRODUCT(--ISNUMBER($U324:$AA324),$AB$3:$AH$3)</f>
        <v>1</v>
      </c>
      <c r="AJ324" s="829">
        <f t="shared" si="162"/>
        <v>45.953416179551709</v>
      </c>
      <c r="AK324" s="827" t="str">
        <f t="shared" si="163"/>
        <v>En desarrollo</v>
      </c>
      <c r="AL324" s="784" t="str">
        <f t="shared" si="164"/>
        <v>Alta</v>
      </c>
      <c r="AM324" s="799">
        <f>IF(ISNUMBER('Base de datos Rutas'!W322),'Base de datos Rutas'!W322,"")</f>
        <v>2982.1586443005776</v>
      </c>
      <c r="AN324" s="787">
        <f>IFERROR(SUMIFS('Base de datos Rutas'!$W$6:$W$794,'Base de datos Rutas'!$C$6:$C$794,$C324)/'Base de datos Rutas'!I322,"")</f>
        <v>2982.158644300579</v>
      </c>
      <c r="AO324" s="800">
        <f>IFERROR('Base de datos Rutas'!X322*AN324/AM324,"")</f>
        <v>0.51837289520136576</v>
      </c>
      <c r="AP324" s="800">
        <f t="shared" si="165"/>
        <v>0.48162710479863424</v>
      </c>
      <c r="AQ324" s="789">
        <f>IFERROR(INDEX('Hoja de apoyo v2'!$J$17:$J$20,MATCH($A324,'Hoja de apoyo v2'!$A$17:$A$20,0)),"")</f>
        <v>0.64320274048480885</v>
      </c>
      <c r="AR324" s="789">
        <f t="shared" si="166"/>
        <v>-0.16157563568617461</v>
      </c>
      <c r="AS324" s="784" t="str">
        <f t="shared" si="167"/>
        <v>No</v>
      </c>
      <c r="AT324" s="801">
        <f>IF(ISNUMBER('Base de datos Rutas'!CK322),'Base de datos Rutas'!CK322,"")</f>
        <v>364</v>
      </c>
      <c r="AU324" s="802">
        <f>IF(ISNUMBER('Base de datos Rutas'!CL322),'Base de datos Rutas'!CL322,"")</f>
        <v>364</v>
      </c>
      <c r="AV324" s="802">
        <f>IF(ISNUMBER('Base de datos Rutas'!CM322),'Base de datos Rutas'!CM322,"")</f>
        <v>0</v>
      </c>
      <c r="AW324" s="802" t="str">
        <f>IF(ISNUMBER('Base de datos Rutas'!CN322),'Base de datos Rutas'!CN322,"")</f>
        <v/>
      </c>
      <c r="AX324" s="802">
        <f>IF(ISNUMBER('Base de datos Rutas'!CO322),'Base de datos Rutas'!CO322,"")</f>
        <v>9.4499999999999993</v>
      </c>
      <c r="AY324" s="802">
        <f>IF(ISNUMBER('Base de datos Rutas'!CP322),'Base de datos Rutas'!CP322,"")</f>
        <v>9.4499999999999993</v>
      </c>
      <c r="AZ324" s="802" t="str">
        <f>IF(ISNUMBER('Base de datos Rutas'!CQ322),'Base de datos Rutas'!CQ322,"")</f>
        <v/>
      </c>
      <c r="BA324" s="802" t="str">
        <f>IF(ISNUMBER('Base de datos Rutas'!CR322),'Base de datos Rutas'!CR322,"")</f>
        <v/>
      </c>
      <c r="BB324" s="803">
        <f>IF(ISNUMBER('Base de datos Rutas'!CS322),'Base de datos Rutas'!CS322,"")</f>
        <v>0</v>
      </c>
      <c r="BC324" s="804" t="str">
        <f t="shared" si="177"/>
        <v/>
      </c>
      <c r="BD324" s="805" t="str">
        <f t="shared" si="178"/>
        <v>N/D</v>
      </c>
      <c r="BE324" s="806" t="str">
        <f t="shared" si="179"/>
        <v/>
      </c>
      <c r="BF324" s="890">
        <f>IF(ISNUMBER('Base de datos Rutas'!CX322),'Base de datos Rutas'!CX322/100,"")</f>
        <v>0</v>
      </c>
      <c r="BG324" s="891">
        <f>IF(ISNUMBER('Base de datos Rutas'!CZ322),'Base de datos Rutas'!CZ322/100,"")</f>
        <v>0</v>
      </c>
      <c r="BH324" s="892">
        <f>IF(ISNUMBER('Base de datos Rutas'!DA322),'Base de datos Rutas'!DA322,"")</f>
        <v>0</v>
      </c>
      <c r="BI324" s="893">
        <f>IF(ISNUMBER('Base de datos Rutas'!DC322),'Base de datos Rutas'!DC322,"")</f>
        <v>0</v>
      </c>
      <c r="BJ324" s="805" t="str">
        <f t="shared" si="180"/>
        <v>Ruta (completo)</v>
      </c>
      <c r="BK324" s="783">
        <f t="shared" si="168"/>
        <v>1</v>
      </c>
      <c r="BL324" s="797">
        <f t="shared" si="169"/>
        <v>1</v>
      </c>
      <c r="BM324" s="797">
        <f t="shared" si="170"/>
        <v>1</v>
      </c>
      <c r="BN324" s="797">
        <f t="shared" si="171"/>
        <v>1</v>
      </c>
      <c r="BO324" s="798" cm="1">
        <f t="array" ref="BO324">SUMPRODUCT(--ISNUMBER($BF324:$BI324),$BK$3:$BN$3)</f>
        <v>1</v>
      </c>
      <c r="BP324" s="831">
        <f t="shared" si="181"/>
        <v>0</v>
      </c>
      <c r="BQ324" s="834" t="str">
        <f t="shared" si="182"/>
        <v>Bajo</v>
      </c>
      <c r="BR324" s="836" t="str">
        <f t="shared" si="172"/>
        <v/>
      </c>
      <c r="BS324" s="836">
        <f t="shared" si="173"/>
        <v>0</v>
      </c>
      <c r="BT324" s="837" t="str">
        <f t="shared" si="174"/>
        <v>Sin datos</v>
      </c>
      <c r="BU324" s="807" t="str">
        <f t="shared" si="183"/>
        <v>Con espacio</v>
      </c>
      <c r="BV324" s="807" t="str">
        <f t="shared" si="175"/>
        <v>Zona de bajo potencial</v>
      </c>
      <c r="BW324" s="808" t="str">
        <f t="shared" si="176"/>
        <v>Sin datos</v>
      </c>
    </row>
    <row r="325" spans="1:75">
      <c r="A325" s="780" t="str">
        <f>'Base de datos Rutas'!A323</f>
        <v>Occidente</v>
      </c>
      <c r="B325" s="781" t="str">
        <f>'Base de datos Rutas'!B323</f>
        <v>Favorita</v>
      </c>
      <c r="C325" s="781" t="str">
        <f>'Base de datos Rutas'!C323</f>
        <v>Cedi Tonalá</v>
      </c>
      <c r="D325" s="782">
        <f>IF(ISNUMBER('Base de datos Rutas'!D323),'Base de datos Rutas'!D323,"Sin código")</f>
        <v>810348</v>
      </c>
      <c r="E325" s="783" t="str">
        <f>'Base de datos Rutas'!F323</f>
        <v>Activa</v>
      </c>
      <c r="F325" s="784" t="str">
        <f>'Base de datos Rutas'!H323</f>
        <v>Sí</v>
      </c>
      <c r="G325" s="785">
        <f>IF(ISNUMBER('Base de datos Rutas'!BE323),'Base de datos Rutas'!BE323,"")</f>
        <v>74.565756823821403</v>
      </c>
      <c r="H325" s="786">
        <f>IF(ISNUMBER('Base de datos Rutas'!BH323),'Base de datos Rutas'!BH323,"")</f>
        <v>0.73663893510815304</v>
      </c>
      <c r="I325" s="788">
        <f>IFERROR(IF(OR(NOT(ISNUMBER('Base de datos Rutas'!O323)),N('Base de datos Rutas'!BK323)=0),"",'Base de datos Rutas'!O323/('Base de datos Rutas'!L323/'Base de datos Rutas'!BK323)),"")</f>
        <v>3092.6827586206846</v>
      </c>
      <c r="J325" s="788">
        <f>IFERROR(IF(OR(NOT(ISNUMBER('Base de datos Rutas'!N323)),N('Base de datos Rutas'!BK323)=0),"",'Base de datos Rutas'!N323/('Base de datos Rutas'!L323/'Base de datos Rutas'!BK323)),"")</f>
        <v>7861.9885057471129</v>
      </c>
      <c r="K325" s="788">
        <f>IFERROR(IF(OR(NOT(ISNUMBER('Base de datos Rutas'!J323)),N('Base de datos Rutas'!BK323)=0),"",'Base de datos Rutas'!J323/('Base de datos Rutas'!L323/'Base de datos Rutas'!BK323)),"")</f>
        <v>538.16603770114853</v>
      </c>
      <c r="L325" s="788">
        <f>IFERROR(IF(OR(NOT(ISNUMBER('Base de datos Rutas'!K323)),N('Base de datos Rutas'!BK323)=0),"",'Base de datos Rutas'!K323/('Base de datos Rutas'!L323/'Base de datos Rutas'!BK323)),"")</f>
        <v>27.194947160919494</v>
      </c>
      <c r="M325" s="787">
        <f>IF(ISNUMBER('Base de datos Rutas'!AX323),'Base de datos Rutas'!AX323,"")</f>
        <v>199.902693178958</v>
      </c>
      <c r="N325" s="790">
        <f>IFERROR(INDEX('Hoja de apoyo v2'!B$17:B$20,MATCH($A325,'Hoja de apoyo v2'!$A$17:$A$20,0)),"")</f>
        <v>89.41621024641401</v>
      </c>
      <c r="O325" s="791">
        <f>IFERROR(INDEX('Hoja de apoyo v2'!C$17:C$20,MATCH($A325,'Hoja de apoyo v2'!$A$17:$A$20,0)),"")</f>
        <v>0.54706375874806301</v>
      </c>
      <c r="P325" s="793">
        <f>IFERROR(INDEX('Hoja de apoyo v2'!D$17:D$20,MATCH($A325,'Hoja de apoyo v2'!$A$17:$A$20,0)),"")</f>
        <v>11095.153935793827</v>
      </c>
      <c r="Q325" s="793">
        <f>IFERROR(INDEX('Hoja de apoyo v2'!E$17:E$20,MATCH($A325,'Hoja de apoyo v2'!$A$17:$A$20,0)),"")</f>
        <v>6982.3202019701848</v>
      </c>
      <c r="R325" s="793">
        <f>IFERROR(INDEX('Hoja de apoyo v2'!F$17:F$20,MATCH($A325,'Hoja de apoyo v2'!$A$17:$A$20,0)),"")</f>
        <v>448.09513474485743</v>
      </c>
      <c r="S325" s="793">
        <f>IFERROR(INDEX('Hoja de apoyo v2'!G$17:G$20,MATCH($A325,'Hoja de apoyo v2'!$A$17:$A$20,0)),"")</f>
        <v>83.406300904207839</v>
      </c>
      <c r="T325" s="792">
        <f>IFERROR(INDEX('Hoja de apoyo v2'!H$17:H$20,MATCH($A325,'Hoja de apoyo v2'!$A$17:$A$20,0)),"")</f>
        <v>378.97014028925349</v>
      </c>
      <c r="U325" s="794">
        <f t="shared" si="148"/>
        <v>0.83391766010136648</v>
      </c>
      <c r="V325" s="795">
        <f t="shared" si="149"/>
        <v>1.3465321424214363</v>
      </c>
      <c r="W325" s="795">
        <f t="shared" si="150"/>
        <v>0.27874176208078105</v>
      </c>
      <c r="X325" s="843">
        <f t="shared" si="151"/>
        <v>1.1259850992695399</v>
      </c>
      <c r="Y325" s="843">
        <f t="shared" si="152"/>
        <v>1.2010084376559387</v>
      </c>
      <c r="Z325" s="843">
        <f t="shared" si="153"/>
        <v>0.32605386962494476</v>
      </c>
      <c r="AA325" s="843">
        <f t="shared" si="154"/>
        <v>0.52748929777522813</v>
      </c>
      <c r="AB325" s="796">
        <f t="shared" si="155"/>
        <v>3</v>
      </c>
      <c r="AC325" s="797">
        <f t="shared" si="156"/>
        <v>5</v>
      </c>
      <c r="AD325" s="797">
        <f t="shared" si="157"/>
        <v>1</v>
      </c>
      <c r="AE325" s="842">
        <f t="shared" si="158"/>
        <v>4</v>
      </c>
      <c r="AF325" s="842">
        <f t="shared" si="159"/>
        <v>4</v>
      </c>
      <c r="AG325" s="842">
        <f t="shared" si="160"/>
        <v>1</v>
      </c>
      <c r="AH325" s="842">
        <f t="shared" si="161"/>
        <v>2</v>
      </c>
      <c r="AI325" s="826" cm="1">
        <f t="array" ref="AI325">SUMPRODUCT(--ISNUMBER($U325:$AA325),$AB$3:$AH$3)</f>
        <v>1</v>
      </c>
      <c r="AJ325" s="829">
        <f t="shared" si="162"/>
        <v>39.850099014937435</v>
      </c>
      <c r="AK325" s="827" t="str">
        <f t="shared" si="163"/>
        <v>Inmadura</v>
      </c>
      <c r="AL325" s="784" t="str">
        <f t="shared" si="164"/>
        <v>Alta</v>
      </c>
      <c r="AM325" s="799">
        <f>IF(ISNUMBER('Base de datos Rutas'!W323),'Base de datos Rutas'!W323,"")</f>
        <v>2982.1586443005776</v>
      </c>
      <c r="AN325" s="787">
        <f>IFERROR(SUMIFS('Base de datos Rutas'!$W$6:$W$794,'Base de datos Rutas'!$C$6:$C$794,$C325)/'Base de datos Rutas'!I323,"")</f>
        <v>2982.158644300579</v>
      </c>
      <c r="AO325" s="800">
        <f>IFERROR('Base de datos Rutas'!X323*AN325/AM325,"")</f>
        <v>0.51837289520136576</v>
      </c>
      <c r="AP325" s="800">
        <f t="shared" si="165"/>
        <v>0.48162710479863424</v>
      </c>
      <c r="AQ325" s="789">
        <f>IFERROR(INDEX('Hoja de apoyo v2'!$J$17:$J$20,MATCH($A325,'Hoja de apoyo v2'!$A$17:$A$20,0)),"")</f>
        <v>0.64320274048480885</v>
      </c>
      <c r="AR325" s="789">
        <f t="shared" si="166"/>
        <v>-0.16157563568617461</v>
      </c>
      <c r="AS325" s="784" t="str">
        <f t="shared" si="167"/>
        <v>No</v>
      </c>
      <c r="AT325" s="801">
        <f>IF(ISNUMBER('Base de datos Rutas'!CK323),'Base de datos Rutas'!CK323,"")</f>
        <v>388</v>
      </c>
      <c r="AU325" s="802">
        <f>IF(ISNUMBER('Base de datos Rutas'!CL323),'Base de datos Rutas'!CL323,"")</f>
        <v>388</v>
      </c>
      <c r="AV325" s="802">
        <f>IF(ISNUMBER('Base de datos Rutas'!CM323),'Base de datos Rutas'!CM323,"")</f>
        <v>0</v>
      </c>
      <c r="AW325" s="802">
        <f>IF(ISNUMBER('Base de datos Rutas'!CN323),'Base de datos Rutas'!CN323,"")</f>
        <v>14.26</v>
      </c>
      <c r="AX325" s="802">
        <f>IF(ISNUMBER('Base de datos Rutas'!CO323),'Base de datos Rutas'!CO323,"")</f>
        <v>9.4499999999999993</v>
      </c>
      <c r="AY325" s="802">
        <f>IF(ISNUMBER('Base de datos Rutas'!CP323),'Base de datos Rutas'!CP323,"")</f>
        <v>-4.8100000000000005</v>
      </c>
      <c r="AZ325" s="802">
        <f>IF(ISNUMBER('Base de datos Rutas'!CQ323),'Base de datos Rutas'!CQ323,"")</f>
        <v>846.56</v>
      </c>
      <c r="BA325" s="802">
        <f>IF(ISNUMBER('Base de datos Rutas'!CR323),'Base de datos Rutas'!CR323,"")</f>
        <v>565.36</v>
      </c>
      <c r="BB325" s="803">
        <f>IF(ISNUMBER('Base de datos Rutas'!CS323),'Base de datos Rutas'!CS323,"")</f>
        <v>281.19999999999993</v>
      </c>
      <c r="BC325" s="804">
        <f t="shared" si="177"/>
        <v>2</v>
      </c>
      <c r="BD325" s="805" t="str">
        <f t="shared" si="178"/>
        <v>Saturada</v>
      </c>
      <c r="BE325" s="806">
        <f t="shared" si="179"/>
        <v>0.66783216783216792</v>
      </c>
      <c r="BF325" s="890">
        <f>IF(ISNUMBER('Base de datos Rutas'!CX323),'Base de datos Rutas'!CX323/100,"")</f>
        <v>0.14305750350631136</v>
      </c>
      <c r="BG325" s="891">
        <f>IF(ISNUMBER('Base de datos Rutas'!CZ323),'Base de datos Rutas'!CZ323/100,"")</f>
        <v>0.14305750350631136</v>
      </c>
      <c r="BH325" s="892">
        <f>IF(ISNUMBER('Base de datos Rutas'!DA323),'Base de datos Rutas'!DA323,"")</f>
        <v>252.32879943899019</v>
      </c>
      <c r="BI325" s="893">
        <f>IF(ISNUMBER('Base de datos Rutas'!DC323),'Base de datos Rutas'!DC323,"")</f>
        <v>12.406081346423562</v>
      </c>
      <c r="BJ325" s="805" t="str">
        <f t="shared" si="180"/>
        <v>Ruta (completo)</v>
      </c>
      <c r="BK325" s="783">
        <f t="shared" si="168"/>
        <v>3</v>
      </c>
      <c r="BL325" s="797">
        <f t="shared" si="169"/>
        <v>3</v>
      </c>
      <c r="BM325" s="797">
        <f t="shared" si="170"/>
        <v>4</v>
      </c>
      <c r="BN325" s="797">
        <f t="shared" si="171"/>
        <v>4</v>
      </c>
      <c r="BO325" s="798" cm="1">
        <f t="array" ref="BO325">SUMPRODUCT(--ISNUMBER($BF325:$BI325),$BK$3:$BN$3)</f>
        <v>1</v>
      </c>
      <c r="BP325" s="831">
        <f t="shared" si="181"/>
        <v>62.5</v>
      </c>
      <c r="BQ325" s="834" t="str">
        <f t="shared" si="182"/>
        <v>Alto</v>
      </c>
      <c r="BR325" s="836">
        <f t="shared" si="172"/>
        <v>54.887574261203078</v>
      </c>
      <c r="BS325" s="836">
        <f t="shared" si="173"/>
        <v>62.5</v>
      </c>
      <c r="BT325" s="837" t="str">
        <f t="shared" si="174"/>
        <v>P1</v>
      </c>
      <c r="BU325" s="807" t="str">
        <f t="shared" si="183"/>
        <v>Al tope</v>
      </c>
      <c r="BV325" s="807" t="str">
        <f t="shared" si="175"/>
        <v>Zona atractiva</v>
      </c>
      <c r="BW325" s="808" t="str">
        <f t="shared" si="176"/>
        <v>P1 - Ampliar cobertura</v>
      </c>
    </row>
    <row r="326" spans="1:75">
      <c r="A326" s="780" t="str">
        <f>'Base de datos Rutas'!A324</f>
        <v>Occidente</v>
      </c>
      <c r="B326" s="781" t="str">
        <f>'Base de datos Rutas'!B324</f>
        <v>Favorita</v>
      </c>
      <c r="C326" s="781" t="str">
        <f>'Base de datos Rutas'!C324</f>
        <v>Cedi Tonalá</v>
      </c>
      <c r="D326" s="782">
        <f>IF(ISNUMBER('Base de datos Rutas'!D324),'Base de datos Rutas'!D324,"Sin código")</f>
        <v>810349</v>
      </c>
      <c r="E326" s="783" t="str">
        <f>'Base de datos Rutas'!F324</f>
        <v>Activa</v>
      </c>
      <c r="F326" s="784" t="str">
        <f>'Base de datos Rutas'!H324</f>
        <v>Sí</v>
      </c>
      <c r="G326" s="785">
        <f>IF(ISNUMBER('Base de datos Rutas'!BE324),'Base de datos Rutas'!BE324,"")</f>
        <v>79.421182266009893</v>
      </c>
      <c r="H326" s="786">
        <f>IF(ISNUMBER('Base de datos Rutas'!BH324),'Base de datos Rutas'!BH324,"")</f>
        <v>0.48078771902620598</v>
      </c>
      <c r="I326" s="788">
        <f>IFERROR(IF(OR(NOT(ISNUMBER('Base de datos Rutas'!O324)),N('Base de datos Rutas'!BK324)=0),"",'Base de datos Rutas'!O324/('Base de datos Rutas'!L324/'Base de datos Rutas'!BK324)),"")</f>
        <v>2039.8219178082149</v>
      </c>
      <c r="J326" s="788">
        <f>IFERROR(IF(OR(NOT(ISNUMBER('Base de datos Rutas'!N324)),N('Base de datos Rutas'!BK324)=0),"",'Base de datos Rutas'!N324/('Base de datos Rutas'!L324/'Base de datos Rutas'!BK324)),"")</f>
        <v>5955.7762557077504</v>
      </c>
      <c r="K326" s="788">
        <f>IFERROR(IF(OR(NOT(ISNUMBER('Base de datos Rutas'!J324)),N('Base de datos Rutas'!BK324)=0),"",'Base de datos Rutas'!J324/('Base de datos Rutas'!L324/'Base de datos Rutas'!BK324)),"")</f>
        <v>411.42114520547864</v>
      </c>
      <c r="L326" s="788">
        <f>IFERROR(IF(OR(NOT(ISNUMBER('Base de datos Rutas'!K324)),N('Base de datos Rutas'!BK324)=0),"",'Base de datos Rutas'!K324/('Base de datos Rutas'!L324/'Base de datos Rutas'!BK324)),"")</f>
        <v>18.329337812785351</v>
      </c>
      <c r="M326" s="787">
        <f>IF(ISNUMBER('Base de datos Rutas'!AX324),'Base de datos Rutas'!AX324,"")</f>
        <v>210.57329446414599</v>
      </c>
      <c r="N326" s="790">
        <f>IFERROR(INDEX('Hoja de apoyo v2'!B$17:B$20,MATCH($A326,'Hoja de apoyo v2'!$A$17:$A$20,0)),"")</f>
        <v>89.41621024641401</v>
      </c>
      <c r="O326" s="791">
        <f>IFERROR(INDEX('Hoja de apoyo v2'!C$17:C$20,MATCH($A326,'Hoja de apoyo v2'!$A$17:$A$20,0)),"")</f>
        <v>0.54706375874806301</v>
      </c>
      <c r="P326" s="793">
        <f>IFERROR(INDEX('Hoja de apoyo v2'!D$17:D$20,MATCH($A326,'Hoja de apoyo v2'!$A$17:$A$20,0)),"")</f>
        <v>11095.153935793827</v>
      </c>
      <c r="Q326" s="793">
        <f>IFERROR(INDEX('Hoja de apoyo v2'!E$17:E$20,MATCH($A326,'Hoja de apoyo v2'!$A$17:$A$20,0)),"")</f>
        <v>6982.3202019701848</v>
      </c>
      <c r="R326" s="793">
        <f>IFERROR(INDEX('Hoja de apoyo v2'!F$17:F$20,MATCH($A326,'Hoja de apoyo v2'!$A$17:$A$20,0)),"")</f>
        <v>448.09513474485743</v>
      </c>
      <c r="S326" s="793">
        <f>IFERROR(INDEX('Hoja de apoyo v2'!G$17:G$20,MATCH($A326,'Hoja de apoyo v2'!$A$17:$A$20,0)),"")</f>
        <v>83.406300904207839</v>
      </c>
      <c r="T326" s="792">
        <f>IFERROR(INDEX('Hoja de apoyo v2'!H$17:H$20,MATCH($A326,'Hoja de apoyo v2'!$A$17:$A$20,0)),"")</f>
        <v>378.97014028925349</v>
      </c>
      <c r="U326" s="794">
        <f t="shared" si="148"/>
        <v>0.88821906058353706</v>
      </c>
      <c r="V326" s="795">
        <f t="shared" si="149"/>
        <v>0.87885134289734801</v>
      </c>
      <c r="W326" s="795">
        <f t="shared" si="150"/>
        <v>0.1838480051392159</v>
      </c>
      <c r="X326" s="843">
        <f t="shared" si="151"/>
        <v>0.85297953737888199</v>
      </c>
      <c r="Y326" s="843">
        <f t="shared" si="152"/>
        <v>0.91815579617872722</v>
      </c>
      <c r="Z326" s="843">
        <f t="shared" si="153"/>
        <v>0.21975962983703834</v>
      </c>
      <c r="AA326" s="843">
        <f t="shared" si="154"/>
        <v>0.55564613693158882</v>
      </c>
      <c r="AB326" s="796">
        <f t="shared" si="155"/>
        <v>3</v>
      </c>
      <c r="AC326" s="797">
        <f t="shared" si="156"/>
        <v>3</v>
      </c>
      <c r="AD326" s="797">
        <f t="shared" si="157"/>
        <v>1</v>
      </c>
      <c r="AE326" s="842">
        <f t="shared" si="158"/>
        <v>3</v>
      </c>
      <c r="AF326" s="842">
        <f t="shared" si="159"/>
        <v>3</v>
      </c>
      <c r="AG326" s="842">
        <f t="shared" si="160"/>
        <v>1</v>
      </c>
      <c r="AH326" s="842">
        <f t="shared" si="161"/>
        <v>2</v>
      </c>
      <c r="AI326" s="826" cm="1">
        <f t="array" ref="AI326">SUMPRODUCT(--ISNUMBER($U326:$AA326),$AB$3:$AH$3)</f>
        <v>1</v>
      </c>
      <c r="AJ326" s="829">
        <f t="shared" si="162"/>
        <v>28.748795684897999</v>
      </c>
      <c r="AK326" s="827" t="str">
        <f t="shared" si="163"/>
        <v>Inmadura</v>
      </c>
      <c r="AL326" s="784" t="str">
        <f t="shared" si="164"/>
        <v>Alta</v>
      </c>
      <c r="AM326" s="799">
        <f>IF(ISNUMBER('Base de datos Rutas'!W324),'Base de datos Rutas'!W324,"")</f>
        <v>2982.1586443005776</v>
      </c>
      <c r="AN326" s="787">
        <f>IFERROR(SUMIFS('Base de datos Rutas'!$W$6:$W$794,'Base de datos Rutas'!$C$6:$C$794,$C326)/'Base de datos Rutas'!I324,"")</f>
        <v>2982.158644300579</v>
      </c>
      <c r="AO326" s="800">
        <f>IFERROR('Base de datos Rutas'!X324*AN326/AM326,"")</f>
        <v>0.51837289520136576</v>
      </c>
      <c r="AP326" s="800">
        <f t="shared" si="165"/>
        <v>0.48162710479863424</v>
      </c>
      <c r="AQ326" s="789">
        <f>IFERROR(INDEX('Hoja de apoyo v2'!$J$17:$J$20,MATCH($A326,'Hoja de apoyo v2'!$A$17:$A$20,0)),"")</f>
        <v>0.64320274048480885</v>
      </c>
      <c r="AR326" s="789">
        <f t="shared" si="166"/>
        <v>-0.16157563568617461</v>
      </c>
      <c r="AS326" s="784" t="str">
        <f t="shared" si="167"/>
        <v>No</v>
      </c>
      <c r="AT326" s="801">
        <f>IF(ISNUMBER('Base de datos Rutas'!CK324),'Base de datos Rutas'!CK324,"")</f>
        <v>304</v>
      </c>
      <c r="AU326" s="802">
        <f>IF(ISNUMBER('Base de datos Rutas'!CL324),'Base de datos Rutas'!CL324,"")</f>
        <v>326.39</v>
      </c>
      <c r="AV326" s="802">
        <f>IF(ISNUMBER('Base de datos Rutas'!CM324),'Base de datos Rutas'!CM324,"")</f>
        <v>22.389999999999986</v>
      </c>
      <c r="AW326" s="802">
        <f>IF(ISNUMBER('Base de datos Rutas'!CN324),'Base de datos Rutas'!CN324,"")</f>
        <v>3.54</v>
      </c>
      <c r="AX326" s="802">
        <f>IF(ISNUMBER('Base de datos Rutas'!CO324),'Base de datos Rutas'!CO324,"")</f>
        <v>9.4499999999999993</v>
      </c>
      <c r="AY326" s="802">
        <f>IF(ISNUMBER('Base de datos Rutas'!CP324),'Base de datos Rutas'!CP324,"")</f>
        <v>5.9099999999999993</v>
      </c>
      <c r="AZ326" s="802">
        <f>IF(ISNUMBER('Base de datos Rutas'!CQ324),'Base de datos Rutas'!CQ324,"")</f>
        <v>564.37</v>
      </c>
      <c r="BA326" s="802">
        <f>IF(ISNUMBER('Base de datos Rutas'!CR324),'Base de datos Rutas'!CR324,"")</f>
        <v>429.75</v>
      </c>
      <c r="BB326" s="803">
        <f>IF(ISNUMBER('Base de datos Rutas'!CS324),'Base de datos Rutas'!CS324,"")</f>
        <v>134.62</v>
      </c>
      <c r="BC326" s="804">
        <f t="shared" si="177"/>
        <v>0</v>
      </c>
      <c r="BD326" s="805" t="str">
        <f t="shared" si="178"/>
        <v>No saturada</v>
      </c>
      <c r="BE326" s="806">
        <f t="shared" si="179"/>
        <v>0.7614685401421053</v>
      </c>
      <c r="BF326" s="890">
        <f>IF(ISNUMBER('Base de datos Rutas'!CX324),'Base de datos Rutas'!CX324/100,"")</f>
        <v>7.1421387864565875E-3</v>
      </c>
      <c r="BG326" s="891">
        <f>IF(ISNUMBER('Base de datos Rutas'!CZ324),'Base de datos Rutas'!CZ324/100,"")</f>
        <v>1.089507207509219E-2</v>
      </c>
      <c r="BH326" s="892">
        <f>IF(ISNUMBER('Base de datos Rutas'!DA324),'Base de datos Rutas'!DA324,"")</f>
        <v>91.22792937667721</v>
      </c>
      <c r="BI326" s="893">
        <f>IF(ISNUMBER('Base de datos Rutas'!DC324),'Base de datos Rutas'!DC324,"")</f>
        <v>4.6537115986099771</v>
      </c>
      <c r="BJ326" s="805" t="str">
        <f t="shared" si="180"/>
        <v>Ruta (completo)</v>
      </c>
      <c r="BK326" s="783">
        <f t="shared" si="168"/>
        <v>2</v>
      </c>
      <c r="BL326" s="797">
        <f t="shared" si="169"/>
        <v>2</v>
      </c>
      <c r="BM326" s="797">
        <f t="shared" si="170"/>
        <v>3</v>
      </c>
      <c r="BN326" s="797">
        <f t="shared" si="171"/>
        <v>3</v>
      </c>
      <c r="BO326" s="798" cm="1">
        <f t="array" ref="BO326">SUMPRODUCT(--ISNUMBER($BF326:$BI326),$BK$3:$BN$3)</f>
        <v>1</v>
      </c>
      <c r="BP326" s="831">
        <f t="shared" si="181"/>
        <v>37.5</v>
      </c>
      <c r="BQ326" s="834" t="str">
        <f t="shared" si="182"/>
        <v>Medio</v>
      </c>
      <c r="BR326" s="836">
        <f t="shared" si="172"/>
        <v>21.561596763673499</v>
      </c>
      <c r="BS326" s="836">
        <f t="shared" si="173"/>
        <v>37.5</v>
      </c>
      <c r="BT326" s="837" t="str">
        <f t="shared" si="174"/>
        <v>P4</v>
      </c>
      <c r="BU326" s="807" t="str">
        <f t="shared" si="183"/>
        <v>Con espacio</v>
      </c>
      <c r="BV326" s="807" t="str">
        <f t="shared" si="175"/>
        <v>Zona de bajo potencial</v>
      </c>
      <c r="BW326" s="808" t="str">
        <f t="shared" si="176"/>
        <v>P4 - Evaluar</v>
      </c>
    </row>
    <row r="327" spans="1:75">
      <c r="A327" s="780" t="str">
        <f>'Base de datos Rutas'!A325</f>
        <v>Occidente</v>
      </c>
      <c r="B327" s="781" t="str">
        <f>'Base de datos Rutas'!B325</f>
        <v>Favorita</v>
      </c>
      <c r="C327" s="781" t="str">
        <f>'Base de datos Rutas'!C325</f>
        <v>Cedi Tonalá</v>
      </c>
      <c r="D327" s="782">
        <f>IF(ISNUMBER('Base de datos Rutas'!D325),'Base de datos Rutas'!D325,"Sin código")</f>
        <v>810350</v>
      </c>
      <c r="E327" s="783" t="str">
        <f>'Base de datos Rutas'!F325</f>
        <v>Activa</v>
      </c>
      <c r="F327" s="784" t="str">
        <f>'Base de datos Rutas'!H325</f>
        <v>Sí</v>
      </c>
      <c r="G327" s="785">
        <f>IF(ISNUMBER('Base de datos Rutas'!BE325),'Base de datos Rutas'!BE325,"")</f>
        <v>115.946078431373</v>
      </c>
      <c r="H327" s="786">
        <f>IF(ISNUMBER('Base de datos Rutas'!BH325),'Base de datos Rutas'!BH325,"")</f>
        <v>0.56185261911808204</v>
      </c>
      <c r="I327" s="788">
        <f>IFERROR(IF(OR(NOT(ISNUMBER('Base de datos Rutas'!O325)),N('Base de datos Rutas'!BK325)=0),"",'Base de datos Rutas'!O325/('Base de datos Rutas'!L325/'Base de datos Rutas'!BK325)),"")</f>
        <v>4690.1020408163231</v>
      </c>
      <c r="J327" s="788">
        <f>IFERROR(IF(OR(NOT(ISNUMBER('Base de datos Rutas'!N325)),N('Base de datos Rutas'!BK325)=0),"",'Base de datos Rutas'!N325/('Base de datos Rutas'!L325/'Base de datos Rutas'!BK325)),"")</f>
        <v>9380.3537414965922</v>
      </c>
      <c r="K327" s="788">
        <f>IFERROR(IF(OR(NOT(ISNUMBER('Base de datos Rutas'!J325)),N('Base de datos Rutas'!BK325)=0),"",'Base de datos Rutas'!J325/('Base de datos Rutas'!L325/'Base de datos Rutas'!BK325)),"")</f>
        <v>648.64077460317185</v>
      </c>
      <c r="L327" s="788">
        <f>IFERROR(IF(OR(NOT(ISNUMBER('Base de datos Rutas'!K325)),N('Base de datos Rutas'!BK325)=0),"",'Base de datos Rutas'!K325/('Base de datos Rutas'!L325/'Base de datos Rutas'!BK325)),"")</f>
        <v>36.988338770975034</v>
      </c>
      <c r="M327" s="787">
        <f>IF(ISNUMBER('Base de datos Rutas'!AX325),'Base de datos Rutas'!AX325,"")</f>
        <v>213.982763983723</v>
      </c>
      <c r="N327" s="790">
        <f>IFERROR(INDEX('Hoja de apoyo v2'!B$17:B$20,MATCH($A327,'Hoja de apoyo v2'!$A$17:$A$20,0)),"")</f>
        <v>89.41621024641401</v>
      </c>
      <c r="O327" s="791">
        <f>IFERROR(INDEX('Hoja de apoyo v2'!C$17:C$20,MATCH($A327,'Hoja de apoyo v2'!$A$17:$A$20,0)),"")</f>
        <v>0.54706375874806301</v>
      </c>
      <c r="P327" s="793">
        <f>IFERROR(INDEX('Hoja de apoyo v2'!D$17:D$20,MATCH($A327,'Hoja de apoyo v2'!$A$17:$A$20,0)),"")</f>
        <v>11095.153935793827</v>
      </c>
      <c r="Q327" s="793">
        <f>IFERROR(INDEX('Hoja de apoyo v2'!E$17:E$20,MATCH($A327,'Hoja de apoyo v2'!$A$17:$A$20,0)),"")</f>
        <v>6982.3202019701848</v>
      </c>
      <c r="R327" s="793">
        <f>IFERROR(INDEX('Hoja de apoyo v2'!F$17:F$20,MATCH($A327,'Hoja de apoyo v2'!$A$17:$A$20,0)),"")</f>
        <v>448.09513474485743</v>
      </c>
      <c r="S327" s="793">
        <f>IFERROR(INDEX('Hoja de apoyo v2'!G$17:G$20,MATCH($A327,'Hoja de apoyo v2'!$A$17:$A$20,0)),"")</f>
        <v>83.406300904207839</v>
      </c>
      <c r="T327" s="792">
        <f>IFERROR(INDEX('Hoja de apoyo v2'!H$17:H$20,MATCH($A327,'Hoja de apoyo v2'!$A$17:$A$20,0)),"")</f>
        <v>378.97014028925349</v>
      </c>
      <c r="U327" s="794">
        <f t="shared" si="148"/>
        <v>1.2967008790894596</v>
      </c>
      <c r="V327" s="795">
        <f t="shared" si="149"/>
        <v>1.0270331568003386</v>
      </c>
      <c r="W327" s="795">
        <f t="shared" si="150"/>
        <v>0.42271626585420236</v>
      </c>
      <c r="X327" s="843">
        <f t="shared" si="151"/>
        <v>1.3434436505575553</v>
      </c>
      <c r="Y327" s="843">
        <f t="shared" si="152"/>
        <v>1.4475514780416079</v>
      </c>
      <c r="Z327" s="843">
        <f t="shared" si="153"/>
        <v>0.44347175656976023</v>
      </c>
      <c r="AA327" s="843">
        <f t="shared" si="154"/>
        <v>0.56464280753200791</v>
      </c>
      <c r="AB327" s="796">
        <f t="shared" si="155"/>
        <v>5</v>
      </c>
      <c r="AC327" s="797">
        <f t="shared" si="156"/>
        <v>4</v>
      </c>
      <c r="AD327" s="797">
        <f t="shared" si="157"/>
        <v>1</v>
      </c>
      <c r="AE327" s="842">
        <f t="shared" si="158"/>
        <v>5</v>
      </c>
      <c r="AF327" s="842">
        <f t="shared" si="159"/>
        <v>5</v>
      </c>
      <c r="AG327" s="842">
        <f t="shared" si="160"/>
        <v>1</v>
      </c>
      <c r="AH327" s="842">
        <f t="shared" si="161"/>
        <v>2</v>
      </c>
      <c r="AI327" s="826" cm="1">
        <f t="array" ref="AI327">SUMPRODUCT(--ISNUMBER($U327:$AA327),$AB$3:$AH$3)</f>
        <v>1</v>
      </c>
      <c r="AJ327" s="829">
        <f t="shared" si="162"/>
        <v>52.869957943578939</v>
      </c>
      <c r="AK327" s="827" t="str">
        <f t="shared" si="163"/>
        <v>En desarrollo</v>
      </c>
      <c r="AL327" s="784" t="str">
        <f t="shared" si="164"/>
        <v>Alta</v>
      </c>
      <c r="AM327" s="799">
        <f>IF(ISNUMBER('Base de datos Rutas'!W325),'Base de datos Rutas'!W325,"")</f>
        <v>2982.1586443005776</v>
      </c>
      <c r="AN327" s="787">
        <f>IFERROR(SUMIFS('Base de datos Rutas'!$W$6:$W$794,'Base de datos Rutas'!$C$6:$C$794,$C327)/'Base de datos Rutas'!I325,"")</f>
        <v>2982.158644300579</v>
      </c>
      <c r="AO327" s="800">
        <f>IFERROR('Base de datos Rutas'!X325*AN327/AM327,"")</f>
        <v>0.51837289520136576</v>
      </c>
      <c r="AP327" s="800">
        <f t="shared" si="165"/>
        <v>0.48162710479863424</v>
      </c>
      <c r="AQ327" s="789">
        <f>IFERROR(INDEX('Hoja de apoyo v2'!$J$17:$J$20,MATCH($A327,'Hoja de apoyo v2'!$A$17:$A$20,0)),"")</f>
        <v>0.64320274048480885</v>
      </c>
      <c r="AR327" s="789">
        <f t="shared" si="166"/>
        <v>-0.16157563568617461</v>
      </c>
      <c r="AS327" s="784" t="str">
        <f t="shared" si="167"/>
        <v>No</v>
      </c>
      <c r="AT327" s="801">
        <f>IF(ISNUMBER('Base de datos Rutas'!CK325),'Base de datos Rutas'!CK325,"")</f>
        <v>436</v>
      </c>
      <c r="AU327" s="802">
        <f>IF(ISNUMBER('Base de datos Rutas'!CL325),'Base de datos Rutas'!CL325,"")</f>
        <v>459.46</v>
      </c>
      <c r="AV327" s="802">
        <f>IF(ISNUMBER('Base de datos Rutas'!CM325),'Base de datos Rutas'!CM325,"")</f>
        <v>23.45999999999998</v>
      </c>
      <c r="AW327" s="802">
        <f>IF(ISNUMBER('Base de datos Rutas'!CN325),'Base de datos Rutas'!CN325,"")</f>
        <v>12.45</v>
      </c>
      <c r="AX327" s="802">
        <f>IF(ISNUMBER('Base de datos Rutas'!CO325),'Base de datos Rutas'!CO325,"")</f>
        <v>9.4499999999999993</v>
      </c>
      <c r="AY327" s="802">
        <f>IF(ISNUMBER('Base de datos Rutas'!CP325),'Base de datos Rutas'!CP325,"")</f>
        <v>-3</v>
      </c>
      <c r="AZ327" s="802">
        <f>IF(ISNUMBER('Base de datos Rutas'!CQ325),'Base de datos Rutas'!CQ325,"")</f>
        <v>846.56</v>
      </c>
      <c r="BA327" s="802">
        <f>IF(ISNUMBER('Base de datos Rutas'!CR325),'Base de datos Rutas'!CR325,"")</f>
        <v>685.63</v>
      </c>
      <c r="BB327" s="803">
        <f>IF(ISNUMBER('Base de datos Rutas'!CS325),'Base de datos Rutas'!CS325,"")</f>
        <v>160.92999999999995</v>
      </c>
      <c r="BC327" s="804">
        <f t="shared" si="177"/>
        <v>1</v>
      </c>
      <c r="BD327" s="805" t="str">
        <f t="shared" si="178"/>
        <v>Saturada</v>
      </c>
      <c r="BE327" s="806">
        <f t="shared" si="179"/>
        <v>0.80990124740124747</v>
      </c>
      <c r="BF327" s="890">
        <f>IF(ISNUMBER('Base de datos Rutas'!CX325),'Base de datos Rutas'!CX325/100,"")</f>
        <v>0.22736775285653826</v>
      </c>
      <c r="BG327" s="891">
        <f>IF(ISNUMBER('Base de datos Rutas'!CZ325),'Base de datos Rutas'!CZ325/100,"")</f>
        <v>0.23233178163351675</v>
      </c>
      <c r="BH327" s="892">
        <f>IF(ISNUMBER('Base de datos Rutas'!DA325),'Base de datos Rutas'!DA325,"")</f>
        <v>312.92093206385567</v>
      </c>
      <c r="BI327" s="893">
        <f>IF(ISNUMBER('Base de datos Rutas'!DC325),'Base de datos Rutas'!DC325,"")</f>
        <v>14.623361392663588</v>
      </c>
      <c r="BJ327" s="805" t="str">
        <f t="shared" si="180"/>
        <v>Ruta (completo)</v>
      </c>
      <c r="BK327" s="783">
        <f t="shared" si="168"/>
        <v>4</v>
      </c>
      <c r="BL327" s="797">
        <f t="shared" si="169"/>
        <v>4</v>
      </c>
      <c r="BM327" s="797">
        <f t="shared" si="170"/>
        <v>5</v>
      </c>
      <c r="BN327" s="797">
        <f t="shared" si="171"/>
        <v>5</v>
      </c>
      <c r="BO327" s="798" cm="1">
        <f t="array" ref="BO327">SUMPRODUCT(--ISNUMBER($BF327:$BI327),$BK$3:$BN$3)</f>
        <v>1</v>
      </c>
      <c r="BP327" s="831">
        <f t="shared" si="181"/>
        <v>87.5</v>
      </c>
      <c r="BQ327" s="834" t="str">
        <f t="shared" si="182"/>
        <v>Alto</v>
      </c>
      <c r="BR327" s="836">
        <f t="shared" si="172"/>
        <v>64.652468457684208</v>
      </c>
      <c r="BS327" s="836">
        <f t="shared" si="173"/>
        <v>87.5</v>
      </c>
      <c r="BT327" s="837" t="str">
        <f t="shared" si="174"/>
        <v>P1</v>
      </c>
      <c r="BU327" s="807" t="str">
        <f t="shared" si="183"/>
        <v>Al tope</v>
      </c>
      <c r="BV327" s="807" t="str">
        <f t="shared" si="175"/>
        <v>Zona atractiva</v>
      </c>
      <c r="BW327" s="808" t="str">
        <f t="shared" si="176"/>
        <v>P1 - Ampliar cobertura</v>
      </c>
    </row>
    <row r="328" spans="1:75">
      <c r="A328" s="780" t="str">
        <f>'Base de datos Rutas'!A326</f>
        <v>Occidente</v>
      </c>
      <c r="B328" s="781" t="str">
        <f>'Base de datos Rutas'!B326</f>
        <v>Favorita</v>
      </c>
      <c r="C328" s="781" t="str">
        <f>'Base de datos Rutas'!C326</f>
        <v>Cedi Tonalá</v>
      </c>
      <c r="D328" s="782">
        <f>IF(ISNUMBER('Base de datos Rutas'!D326),'Base de datos Rutas'!D326,"Sin código")</f>
        <v>810351</v>
      </c>
      <c r="E328" s="783" t="str">
        <f>'Base de datos Rutas'!F326</f>
        <v>Activa</v>
      </c>
      <c r="F328" s="784" t="str">
        <f>'Base de datos Rutas'!H326</f>
        <v>Sí</v>
      </c>
      <c r="G328" s="785">
        <f>IF(ISNUMBER('Base de datos Rutas'!BE326),'Base de datos Rutas'!BE326,"")</f>
        <v>37.6965174129353</v>
      </c>
      <c r="H328" s="786">
        <f>IF(ISNUMBER('Base de datos Rutas'!BH326),'Base de datos Rutas'!BH326,"")</f>
        <v>0.75386036689982805</v>
      </c>
      <c r="I328" s="788">
        <f>IFERROR(IF(OR(NOT(ISNUMBER('Base de datos Rutas'!O326)),N('Base de datos Rutas'!BK326)=0),"",'Base de datos Rutas'!O326/('Base de datos Rutas'!L326/'Base de datos Rutas'!BK326)),"")</f>
        <v>2856.1682027649731</v>
      </c>
      <c r="J328" s="788">
        <f>IFERROR(IF(OR(NOT(ISNUMBER('Base de datos Rutas'!N326)),N('Base de datos Rutas'!BK326)=0),"",'Base de datos Rutas'!N326/('Base de datos Rutas'!L326/'Base de datos Rutas'!BK326)),"")</f>
        <v>6257.12211981566</v>
      </c>
      <c r="K328" s="788">
        <f>IFERROR(IF(OR(NOT(ISNUMBER('Base de datos Rutas'!J326)),N('Base de datos Rutas'!BK326)=0),"",'Base de datos Rutas'!J326/('Base de datos Rutas'!L326/'Base de datos Rutas'!BK326)),"")</f>
        <v>430.5525290322575</v>
      </c>
      <c r="L328" s="788">
        <f>IFERROR(IF(OR(NOT(ISNUMBER('Base de datos Rutas'!K326)),N('Base de datos Rutas'!BK326)=0),"",'Base de datos Rutas'!K326/('Base de datos Rutas'!L326/'Base de datos Rutas'!BK326)),"")</f>
        <v>20.189671493087531</v>
      </c>
      <c r="M328" s="787">
        <f>IF(ISNUMBER('Base de datos Rutas'!AX326),'Base de datos Rutas'!AX326,"")</f>
        <v>323.84896749365402</v>
      </c>
      <c r="N328" s="790">
        <f>IFERROR(INDEX('Hoja de apoyo v2'!B$17:B$20,MATCH($A328,'Hoja de apoyo v2'!$A$17:$A$20,0)),"")</f>
        <v>89.41621024641401</v>
      </c>
      <c r="O328" s="791">
        <f>IFERROR(INDEX('Hoja de apoyo v2'!C$17:C$20,MATCH($A328,'Hoja de apoyo v2'!$A$17:$A$20,0)),"")</f>
        <v>0.54706375874806301</v>
      </c>
      <c r="P328" s="793">
        <f>IFERROR(INDEX('Hoja de apoyo v2'!D$17:D$20,MATCH($A328,'Hoja de apoyo v2'!$A$17:$A$20,0)),"")</f>
        <v>11095.153935793827</v>
      </c>
      <c r="Q328" s="793">
        <f>IFERROR(INDEX('Hoja de apoyo v2'!E$17:E$20,MATCH($A328,'Hoja de apoyo v2'!$A$17:$A$20,0)),"")</f>
        <v>6982.3202019701848</v>
      </c>
      <c r="R328" s="793">
        <f>IFERROR(INDEX('Hoja de apoyo v2'!F$17:F$20,MATCH($A328,'Hoja de apoyo v2'!$A$17:$A$20,0)),"")</f>
        <v>448.09513474485743</v>
      </c>
      <c r="S328" s="793">
        <f>IFERROR(INDEX('Hoja de apoyo v2'!G$17:G$20,MATCH($A328,'Hoja de apoyo v2'!$A$17:$A$20,0)),"")</f>
        <v>83.406300904207839</v>
      </c>
      <c r="T328" s="792">
        <f>IFERROR(INDEX('Hoja de apoyo v2'!H$17:H$20,MATCH($A328,'Hoja de apoyo v2'!$A$17:$A$20,0)),"")</f>
        <v>378.97014028925349</v>
      </c>
      <c r="U328" s="794">
        <f t="shared" ref="U328:U391" si="184">IFERROR(G328/N328,"")</f>
        <v>0.42158482571617489</v>
      </c>
      <c r="V328" s="795">
        <f t="shared" ref="V328:V391" si="185">IFERROR(H328/O328,"")</f>
        <v>1.3780118950394595</v>
      </c>
      <c r="W328" s="795">
        <f t="shared" ref="W328:W391" si="186">IFERROR(IF(N(P328)=0,"",I328/P328),"")</f>
        <v>0.25742483784301118</v>
      </c>
      <c r="X328" s="843">
        <f t="shared" ref="X328:X391" si="187">IFERROR(IF(N(Q328)=0,"",J328/Q328),"")</f>
        <v>0.89613795111402972</v>
      </c>
      <c r="Y328" s="843">
        <f t="shared" ref="Y328:Y391" si="188">IFERROR(IF(N(R328)=0,"",K328/R328),"")</f>
        <v>0.96085071148431778</v>
      </c>
      <c r="Z328" s="843">
        <f t="shared" ref="Z328:Z391" si="189">IFERROR(IF(N(S328)=0,"",L328/S328),"")</f>
        <v>0.24206410396110689</v>
      </c>
      <c r="AA328" s="843">
        <f t="shared" ref="AA328:AA391" si="190">IFERROR(IF(N(T328)=0,"",M328/T328),"")</f>
        <v>0.85455009000569915</v>
      </c>
      <c r="AB328" s="796">
        <f t="shared" ref="AB328:AB391" si="191">IF(NOT(ISNUMBER(U328)),0,IFERROR(MATCH(U328,$U$3:$X$3,1)+1,1))</f>
        <v>1</v>
      </c>
      <c r="AC328" s="797">
        <f t="shared" ref="AC328:AC391" si="192">IF(NOT(ISNUMBER(V328)),0,IFERROR(MATCH(V328,$U$3:$X$3,1)+1,1))</f>
        <v>5</v>
      </c>
      <c r="AD328" s="797">
        <f t="shared" ref="AD328:AD391" si="193">IF(NOT(ISNUMBER(W328)),0,IFERROR(MATCH(W328,$U$3:$X$3,1)+1,1))</f>
        <v>1</v>
      </c>
      <c r="AE328" s="842">
        <f t="shared" ref="AE328:AE391" si="194">IF(NOT(ISNUMBER(X328)),0,IFERROR(MATCH(X328,$U$3:$X$3,1)+1,1))</f>
        <v>3</v>
      </c>
      <c r="AF328" s="842">
        <f t="shared" ref="AF328:AF391" si="195">IF(NOT(ISNUMBER(Y328)),0,IFERROR(MATCH(Y328,$U$3:$X$3,1)+1,1))</f>
        <v>3</v>
      </c>
      <c r="AG328" s="842">
        <f t="shared" ref="AG328:AG391" si="196">IF(NOT(ISNUMBER(Z328)),0,IFERROR(MATCH(Z328,$U$3:$X$3,1)+1,1))</f>
        <v>1</v>
      </c>
      <c r="AH328" s="842">
        <f t="shared" ref="AH328:AH391" si="197">IF(NOT(ISNUMBER(AA328)),0,IFERROR(MATCH(AA328,$U$3:$X$3,1)+1,1))</f>
        <v>3</v>
      </c>
      <c r="AI328" s="826" cm="1">
        <f t="array" ref="AI328">SUMPRODUCT(--ISNUMBER($U328:$AA328),$AB$3:$AH$3)</f>
        <v>1</v>
      </c>
      <c r="AJ328" s="829">
        <f t="shared" ref="AJ328:AJ391" si="198">IF(OR($E328&lt;&gt;"Activa",$F328&lt;&gt;"Sí",AI328&lt;$AI$4),"",(SUMPRODUCT($AB328:$AH328,$AB$3:$AH$3)/AI328-1)/4*100)</f>
        <v>26.692062340732015</v>
      </c>
      <c r="AK328" s="827" t="str">
        <f t="shared" ref="AK328:AK391" si="199">IF($E328&lt;&gt;"Activa","Ruta inactiva",IF($F328&lt;&gt;"Sí","No elegible",IF(AJ328="","Sin datos",IF(AJ328&gt;=$AJ$4,"Madura",IF(AJ328&lt;$AK$4,"Inmadura","En desarrollo")))))</f>
        <v>Inmadura</v>
      </c>
      <c r="AL328" s="784" t="str">
        <f t="shared" ref="AL328:AL391" si="200">IF(AJ328="","n/a",IF(AI328&gt;=$AL$3,"Alta",IF(AI328&gt;=$AL$4,"Media","Baja")))</f>
        <v>Alta</v>
      </c>
      <c r="AM328" s="799">
        <f>IF(ISNUMBER('Base de datos Rutas'!W326),'Base de datos Rutas'!W326,"")</f>
        <v>2982.1586443005776</v>
      </c>
      <c r="AN328" s="787">
        <f>IFERROR(SUMIFS('Base de datos Rutas'!$W$6:$W$794,'Base de datos Rutas'!$C$6:$C$794,$C328)/'Base de datos Rutas'!I326,"")</f>
        <v>2982.158644300579</v>
      </c>
      <c r="AO328" s="800">
        <f>IFERROR('Base de datos Rutas'!X326*AN328/AM328,"")</f>
        <v>0.51837289520136576</v>
      </c>
      <c r="AP328" s="800">
        <f t="shared" ref="AP328:AP391" si="201">IF(ISNUMBER(AO328),1-AO328,"")</f>
        <v>0.48162710479863424</v>
      </c>
      <c r="AQ328" s="789">
        <f>IFERROR(INDEX('Hoja de apoyo v2'!$J$17:$J$20,MATCH($A328,'Hoja de apoyo v2'!$A$17:$A$20,0)),"")</f>
        <v>0.64320274048480885</v>
      </c>
      <c r="AR328" s="789">
        <f t="shared" ref="AR328:AR391" si="202">IF(AND(ISNUMBER($AP328),ISNUMBER($AQ328)),$AP328-$AQ328,"")</f>
        <v>-0.16157563568617461</v>
      </c>
      <c r="AS328" s="784" t="str">
        <f t="shared" ref="AS328:AS391" si="203">IF(NOT(ISNUMBER(AO328)),"n/d",IF(AO328&gt;=$AO$4,"Sí","No"))</f>
        <v>No</v>
      </c>
      <c r="AT328" s="801">
        <f>IF(ISNUMBER('Base de datos Rutas'!CK326),'Base de datos Rutas'!CK326,"")</f>
        <v>340</v>
      </c>
      <c r="AU328" s="802">
        <f>IF(ISNUMBER('Base de datos Rutas'!CL326),'Base de datos Rutas'!CL326,"")</f>
        <v>369.86</v>
      </c>
      <c r="AV328" s="802">
        <f>IF(ISNUMBER('Base de datos Rutas'!CM326),'Base de datos Rutas'!CM326,"")</f>
        <v>29.860000000000014</v>
      </c>
      <c r="AW328" s="802">
        <f>IF(ISNUMBER('Base de datos Rutas'!CN326),'Base de datos Rutas'!CN326,"")</f>
        <v>12.47</v>
      </c>
      <c r="AX328" s="802">
        <f>IF(ISNUMBER('Base de datos Rutas'!CO326),'Base de datos Rutas'!CO326,"")</f>
        <v>9.4499999999999993</v>
      </c>
      <c r="AY328" s="802">
        <f>IF(ISNUMBER('Base de datos Rutas'!CP326),'Base de datos Rutas'!CP326,"")</f>
        <v>-3.0200000000000014</v>
      </c>
      <c r="AZ328" s="802">
        <f>IF(ISNUMBER('Base de datos Rutas'!CQ326),'Base de datos Rutas'!CQ326,"")</f>
        <v>846.56</v>
      </c>
      <c r="BA328" s="802">
        <f>IF(ISNUMBER('Base de datos Rutas'!CR326),'Base de datos Rutas'!CR326,"")</f>
        <v>450.74</v>
      </c>
      <c r="BB328" s="803">
        <f>IF(ISNUMBER('Base de datos Rutas'!CS326),'Base de datos Rutas'!CS326,"")</f>
        <v>395.81999999999994</v>
      </c>
      <c r="BC328" s="804">
        <f t="shared" si="177"/>
        <v>1</v>
      </c>
      <c r="BD328" s="805" t="str">
        <f t="shared" si="178"/>
        <v>Saturada</v>
      </c>
      <c r="BE328" s="806">
        <f t="shared" si="179"/>
        <v>0.53243715743715747</v>
      </c>
      <c r="BF328" s="890">
        <f>IF(ISNUMBER('Base de datos Rutas'!CX326),'Base de datos Rutas'!CX326/100,"")</f>
        <v>1.3025616528333433E-2</v>
      </c>
      <c r="BG328" s="891">
        <f>IF(ISNUMBER('Base de datos Rutas'!CZ326),'Base de datos Rutas'!CZ326/100,"")</f>
        <v>1.480862243983997E-2</v>
      </c>
      <c r="BH328" s="892">
        <f>IF(ISNUMBER('Base de datos Rutas'!DA326),'Base de datos Rutas'!DA326,"")</f>
        <v>68.906419914095963</v>
      </c>
      <c r="BI328" s="893">
        <f>IF(ISNUMBER('Base de datos Rutas'!DC326),'Base de datos Rutas'!DC326,"")</f>
        <v>3.1305923754504716</v>
      </c>
      <c r="BJ328" s="805" t="str">
        <f t="shared" si="180"/>
        <v>Ruta (completo)</v>
      </c>
      <c r="BK328" s="783">
        <f t="shared" ref="BK328:BK391" si="204">IF(NOT(ISNUMBER($BF328)),0,MIN(5,1+INT(5*COUNTIFS($C$8:$C$796,$C328,$BF$8:$BF$796,"&lt;"&amp;$BF328)/COUNTIFS($C$8:$C$796,$C328,$BF$8:$BF$796,"&gt;=-1E+300"))))</f>
        <v>3</v>
      </c>
      <c r="BL328" s="797">
        <f t="shared" ref="BL328:BL391" si="205">IF(NOT(ISNUMBER($BG328)),0,MIN(5,1+INT(5*COUNTIFS($C$8:$C$796,$C328,$BG$8:$BG$796,"&lt;"&amp;$BG328)/COUNTIFS($C$8:$C$796,$C328,$BG$8:$BG$796,"&gt;=-1E+300"))))</f>
        <v>3</v>
      </c>
      <c r="BM328" s="797">
        <f t="shared" ref="BM328:BM391" si="206">IF(NOT(ISNUMBER($BH328)),0,MIN(5,1+INT(5*COUNTIFS($C$8:$C$796,$C328,$BH$8:$BH$796,"&lt;"&amp;$BH328)/COUNTIFS($C$8:$C$796,$C328,$BH$8:$BH$796,"&gt;=-1E+300"))))</f>
        <v>3</v>
      </c>
      <c r="BN328" s="797">
        <f t="shared" ref="BN328:BN391" si="207">IF(NOT(ISNUMBER($BI328)),0,MIN(5,1+INT(5*COUNTIFS($C$8:$C$796,$C328,$BI$8:$BI$796,"&lt;"&amp;$BI328)/COUNTIFS($C$8:$C$796,$C328,$BI$8:$BI$796,"&gt;=-1E+300"))))</f>
        <v>3</v>
      </c>
      <c r="BO328" s="798" cm="1">
        <f t="array" ref="BO328">SUMPRODUCT(--ISNUMBER($BF328:$BI328),$BK$3:$BN$3)</f>
        <v>1</v>
      </c>
      <c r="BP328" s="831">
        <f t="shared" si="181"/>
        <v>50</v>
      </c>
      <c r="BQ328" s="834" t="str">
        <f t="shared" si="182"/>
        <v>Alto</v>
      </c>
      <c r="BR328" s="836">
        <f t="shared" ref="BR328:BR391" si="208">IF(OR(NOT(ISNUMBER($AJ328)),$BD328="N/D"),"",$AJ328*$BS$3+IF($BD328="Saturada",100,0)*$BU$3)</f>
        <v>45.019046755549013</v>
      </c>
      <c r="BS328" s="836">
        <f t="shared" ref="BS328:BS391" si="209">IF(ISNUMBER($BP328),$BP328,"")</f>
        <v>50</v>
      </c>
      <c r="BT328" s="837" t="str">
        <f t="shared" ref="BT328:BT391" si="210">IF(OR(NOT(ISNUMBER($BR328)),NOT(ISNUMBER($BS328))),"Sin datos",IF($BR328&gt;=$BS$4,IF($BS328&gt;=$BU$4,"P1","P2"),IF($BS328&gt;=$BU$4,"P3","P4")))</f>
        <v>P1</v>
      </c>
      <c r="BU328" s="807" t="str">
        <f t="shared" si="183"/>
        <v>Al tope</v>
      </c>
      <c r="BV328" s="807" t="str">
        <f t="shared" ref="BV328:BV391" si="211">IF($BU328="No evaluable","No evaluable",IF($BQ328="Sin datos","Sin datos de zona",IF($BQ328="Alto","Zona atractiva","Zona de bajo potencial")))</f>
        <v>Zona atractiva</v>
      </c>
      <c r="BW328" s="808" t="str">
        <f t="shared" ref="BW328:BW391" si="212">IFERROR(IF($BT328="P1","P1 - Ampliar cobertura",IF($BT328="P2","P2 - Mantener",IF($BT328="P3","P3 - Desarrollar",IF($BT328="P4","P4 - Evaluar","Sin datos")))),"Sin datos")</f>
        <v>P1 - Ampliar cobertura</v>
      </c>
    </row>
    <row r="329" spans="1:75">
      <c r="A329" s="780" t="str">
        <f>'Base de datos Rutas'!A327</f>
        <v>Occidente</v>
      </c>
      <c r="B329" s="781" t="str">
        <f>'Base de datos Rutas'!B327</f>
        <v>Favorita</v>
      </c>
      <c r="C329" s="781" t="str">
        <f>'Base de datos Rutas'!C327</f>
        <v>Cedi Tonalá</v>
      </c>
      <c r="D329" s="782">
        <f>IF(ISNUMBER('Base de datos Rutas'!D327),'Base de datos Rutas'!D327,"Sin código")</f>
        <v>810352</v>
      </c>
      <c r="E329" s="783" t="str">
        <f>'Base de datos Rutas'!F327</f>
        <v>Activa</v>
      </c>
      <c r="F329" s="784" t="str">
        <f>'Base de datos Rutas'!H327</f>
        <v>Sí</v>
      </c>
      <c r="G329" s="785">
        <f>IF(ISNUMBER('Base de datos Rutas'!BE327),'Base de datos Rutas'!BE327,"")</f>
        <v>36.685785536159599</v>
      </c>
      <c r="H329" s="786">
        <f>IF(ISNUMBER('Base de datos Rutas'!BH327),'Base de datos Rutas'!BH327,"")</f>
        <v>0.44164230847664998</v>
      </c>
      <c r="I329" s="788">
        <f>IFERROR(IF(OR(NOT(ISNUMBER('Base de datos Rutas'!O327)),N('Base de datos Rutas'!BK327)=0),"",'Base de datos Rutas'!O327/('Base de datos Rutas'!L327/'Base de datos Rutas'!BK327)),"")</f>
        <v>2541.3810623556569</v>
      </c>
      <c r="J329" s="788">
        <f>IFERROR(IF(OR(NOT(ISNUMBER('Base de datos Rutas'!N327)),N('Base de datos Rutas'!BK327)=0),"",'Base de datos Rutas'!N327/('Base de datos Rutas'!L327/'Base de datos Rutas'!BK327)),"")</f>
        <v>5032.3718244803667</v>
      </c>
      <c r="K329" s="788">
        <f>IFERROR(IF(OR(NOT(ISNUMBER('Base de datos Rutas'!J327)),N('Base de datos Rutas'!BK327)=0),"",'Base de datos Rutas'!J327/('Base de datos Rutas'!L327/'Base de datos Rutas'!BK327)),"")</f>
        <v>346.24459861431853</v>
      </c>
      <c r="L329" s="788">
        <f>IFERROR(IF(OR(NOT(ISNUMBER('Base de datos Rutas'!K327)),N('Base de datos Rutas'!BK327)=0),"",'Base de datos Rutas'!K327/('Base de datos Rutas'!L327/'Base de datos Rutas'!BK327)),"")</f>
        <v>21.246188672055418</v>
      </c>
      <c r="M329" s="787">
        <f>IF(ISNUMBER('Base de datos Rutas'!AX327),'Base de datos Rutas'!AX327,"")</f>
        <v>483.62085238165503</v>
      </c>
      <c r="N329" s="790">
        <f>IFERROR(INDEX('Hoja de apoyo v2'!B$17:B$20,MATCH($A329,'Hoja de apoyo v2'!$A$17:$A$20,0)),"")</f>
        <v>89.41621024641401</v>
      </c>
      <c r="O329" s="791">
        <f>IFERROR(INDEX('Hoja de apoyo v2'!C$17:C$20,MATCH($A329,'Hoja de apoyo v2'!$A$17:$A$20,0)),"")</f>
        <v>0.54706375874806301</v>
      </c>
      <c r="P329" s="793">
        <f>IFERROR(INDEX('Hoja de apoyo v2'!D$17:D$20,MATCH($A329,'Hoja de apoyo v2'!$A$17:$A$20,0)),"")</f>
        <v>11095.153935793827</v>
      </c>
      <c r="Q329" s="793">
        <f>IFERROR(INDEX('Hoja de apoyo v2'!E$17:E$20,MATCH($A329,'Hoja de apoyo v2'!$A$17:$A$20,0)),"")</f>
        <v>6982.3202019701848</v>
      </c>
      <c r="R329" s="793">
        <f>IFERROR(INDEX('Hoja de apoyo v2'!F$17:F$20,MATCH($A329,'Hoja de apoyo v2'!$A$17:$A$20,0)),"")</f>
        <v>448.09513474485743</v>
      </c>
      <c r="S329" s="793">
        <f>IFERROR(INDEX('Hoja de apoyo v2'!G$17:G$20,MATCH($A329,'Hoja de apoyo v2'!$A$17:$A$20,0)),"")</f>
        <v>83.406300904207839</v>
      </c>
      <c r="T329" s="792">
        <f>IFERROR(INDEX('Hoja de apoyo v2'!H$17:H$20,MATCH($A329,'Hoja de apoyo v2'!$A$17:$A$20,0)),"")</f>
        <v>378.97014028925349</v>
      </c>
      <c r="U329" s="794">
        <f t="shared" si="184"/>
        <v>0.41028114963786294</v>
      </c>
      <c r="V329" s="795">
        <f t="shared" si="185"/>
        <v>0.80729586161461975</v>
      </c>
      <c r="W329" s="795">
        <f t="shared" si="186"/>
        <v>0.22905324946929889</v>
      </c>
      <c r="X329" s="843">
        <f t="shared" si="187"/>
        <v>0.72073059941599271</v>
      </c>
      <c r="Y329" s="843">
        <f t="shared" si="188"/>
        <v>0.77270332071663317</v>
      </c>
      <c r="Z329" s="843">
        <f t="shared" si="189"/>
        <v>0.25473121864565929</v>
      </c>
      <c r="AA329" s="843">
        <f t="shared" si="190"/>
        <v>1.2761450071304448</v>
      </c>
      <c r="AB329" s="796">
        <f t="shared" si="191"/>
        <v>1</v>
      </c>
      <c r="AC329" s="797">
        <f t="shared" si="192"/>
        <v>3</v>
      </c>
      <c r="AD329" s="797">
        <f t="shared" si="193"/>
        <v>1</v>
      </c>
      <c r="AE329" s="842">
        <f t="shared" si="194"/>
        <v>2</v>
      </c>
      <c r="AF329" s="842">
        <f t="shared" si="195"/>
        <v>3</v>
      </c>
      <c r="AG329" s="842">
        <f t="shared" si="196"/>
        <v>1</v>
      </c>
      <c r="AH329" s="842">
        <f t="shared" si="197"/>
        <v>5</v>
      </c>
      <c r="AI329" s="826" cm="1">
        <f t="array" ref="AI329">SUMPRODUCT(--ISNUMBER($U329:$AA329),$AB$3:$AH$3)</f>
        <v>1</v>
      </c>
      <c r="AJ329" s="829">
        <f t="shared" si="198"/>
        <v>23.006259203385493</v>
      </c>
      <c r="AK329" s="827" t="str">
        <f t="shared" si="199"/>
        <v>Inmadura</v>
      </c>
      <c r="AL329" s="784" t="str">
        <f t="shared" si="200"/>
        <v>Alta</v>
      </c>
      <c r="AM329" s="799">
        <f>IF(ISNUMBER('Base de datos Rutas'!W327),'Base de datos Rutas'!W327,"")</f>
        <v>2982.1586443005776</v>
      </c>
      <c r="AN329" s="787">
        <f>IFERROR(SUMIFS('Base de datos Rutas'!$W$6:$W$794,'Base de datos Rutas'!$C$6:$C$794,$C329)/'Base de datos Rutas'!I327,"")</f>
        <v>2982.158644300579</v>
      </c>
      <c r="AO329" s="800">
        <f>IFERROR('Base de datos Rutas'!X327*AN329/AM329,"")</f>
        <v>0.51837289520136576</v>
      </c>
      <c r="AP329" s="800">
        <f t="shared" si="201"/>
        <v>0.48162710479863424</v>
      </c>
      <c r="AQ329" s="789">
        <f>IFERROR(INDEX('Hoja de apoyo v2'!$J$17:$J$20,MATCH($A329,'Hoja de apoyo v2'!$A$17:$A$20,0)),"")</f>
        <v>0.64320274048480885</v>
      </c>
      <c r="AR329" s="789">
        <f t="shared" si="202"/>
        <v>-0.16157563568617461</v>
      </c>
      <c r="AS329" s="784" t="str">
        <f t="shared" si="203"/>
        <v>No</v>
      </c>
      <c r="AT329" s="801">
        <f>IF(ISNUMBER('Base de datos Rutas'!CK327),'Base de datos Rutas'!CK327,"")</f>
        <v>305</v>
      </c>
      <c r="AU329" s="802">
        <f>IF(ISNUMBER('Base de datos Rutas'!CL327),'Base de datos Rutas'!CL327,"")</f>
        <v>305</v>
      </c>
      <c r="AV329" s="802">
        <f>IF(ISNUMBER('Base de datos Rutas'!CM327),'Base de datos Rutas'!CM327,"")</f>
        <v>0</v>
      </c>
      <c r="AW329" s="802" t="str">
        <f>IF(ISNUMBER('Base de datos Rutas'!CN327),'Base de datos Rutas'!CN327,"")</f>
        <v/>
      </c>
      <c r="AX329" s="802">
        <f>IF(ISNUMBER('Base de datos Rutas'!CO327),'Base de datos Rutas'!CO327,"")</f>
        <v>9.4499999999999993</v>
      </c>
      <c r="AY329" s="802">
        <f>IF(ISNUMBER('Base de datos Rutas'!CP327),'Base de datos Rutas'!CP327,"")</f>
        <v>9.4499999999999993</v>
      </c>
      <c r="AZ329" s="802" t="str">
        <f>IF(ISNUMBER('Base de datos Rutas'!CQ327),'Base de datos Rutas'!CQ327,"")</f>
        <v/>
      </c>
      <c r="BA329" s="802" t="str">
        <f>IF(ISNUMBER('Base de datos Rutas'!CR327),'Base de datos Rutas'!CR327,"")</f>
        <v/>
      </c>
      <c r="BB329" s="803">
        <f>IF(ISNUMBER('Base de datos Rutas'!CS327),'Base de datos Rutas'!CS327,"")</f>
        <v>0</v>
      </c>
      <c r="BC329" s="804" t="str">
        <f t="shared" ref="BC329:BC392" si="213">IF(OR(COUNT($AV329,$AY329,$BB329)&lt;3,NOT(ISNUMBER($AT329)),N($AT329)&lt;=0,N($AZ329)&lt;=0),"",COUNTIF($AV329,"&lt;="&amp;$BC$4)+COUNTIF($AY329,"&lt;="&amp;$BC$4)+COUNTIF($BB329,"&lt;="&amp;$BC$4))</f>
        <v/>
      </c>
      <c r="BD329" s="805" t="str">
        <f t="shared" ref="BD329:BD392" si="214">IF(NOT(ISNUMBER($BC329)),"N/D",IF($BC329&gt;=1,"Saturada","No saturada"))</f>
        <v>N/D</v>
      </c>
      <c r="BE329" s="806" t="str">
        <f t="shared" ref="BE329:BE392" si="215">IF(AND(ISNUMBER($AZ329),ISNUMBER($BA329),$AZ329&lt;&gt;0),$BA329/$AZ329,"")</f>
        <v/>
      </c>
      <c r="BF329" s="890">
        <f>IF(ISNUMBER('Base de datos Rutas'!CX327),'Base de datos Rutas'!CX327/100,"")</f>
        <v>0</v>
      </c>
      <c r="BG329" s="891">
        <f>IF(ISNUMBER('Base de datos Rutas'!CZ327),'Base de datos Rutas'!CZ327/100,"")</f>
        <v>0</v>
      </c>
      <c r="BH329" s="892">
        <f>IF(ISNUMBER('Base de datos Rutas'!DA327),'Base de datos Rutas'!DA327,"")</f>
        <v>0</v>
      </c>
      <c r="BI329" s="893">
        <f>IF(ISNUMBER('Base de datos Rutas'!DC327),'Base de datos Rutas'!DC327,"")</f>
        <v>0</v>
      </c>
      <c r="BJ329" s="805" t="str">
        <f t="shared" ref="BJ329:BJ392" si="216">IF(COUNT($BF329:$BI329)=4,"Ruta (completo)",IF(COUNT($BF329:$BI329)=0,"Sin dato","Ruta (parcial)"))</f>
        <v>Ruta (completo)</v>
      </c>
      <c r="BK329" s="783">
        <f t="shared" si="204"/>
        <v>1</v>
      </c>
      <c r="BL329" s="797">
        <f t="shared" si="205"/>
        <v>1</v>
      </c>
      <c r="BM329" s="797">
        <f t="shared" si="206"/>
        <v>1</v>
      </c>
      <c r="BN329" s="797">
        <f t="shared" si="207"/>
        <v>1</v>
      </c>
      <c r="BO329" s="798" cm="1">
        <f t="array" ref="BO329">SUMPRODUCT(--ISNUMBER($BF329:$BI329),$BK$3:$BN$3)</f>
        <v>1</v>
      </c>
      <c r="BP329" s="831">
        <f t="shared" ref="BP329:BP392" si="217">IF(BO329&lt;$BO$4,"",(SUMPRODUCT($BK329:$BN329,$BK$3:$BN$3)/BO329-1)/4*100)</f>
        <v>0</v>
      </c>
      <c r="BQ329" s="834" t="str">
        <f t="shared" ref="BQ329:BQ392" si="218">IF(BP329="","Sin datos",IF(BP329&gt;=$BP$4,"Alto",IF(BP329&lt;$BQ$4,"Bajo","Medio")))</f>
        <v>Bajo</v>
      </c>
      <c r="BR329" s="836" t="str">
        <f t="shared" si="208"/>
        <v/>
      </c>
      <c r="BS329" s="836">
        <f t="shared" si="209"/>
        <v>0</v>
      </c>
      <c r="BT329" s="837" t="str">
        <f t="shared" si="210"/>
        <v>Sin datos</v>
      </c>
      <c r="BU329" s="807" t="str">
        <f t="shared" ref="BU329:BU392" si="219">IF(OR($AK329="Ruta inactiva",$AK329="No elegible",$AK329="Sin datos"),"No evaluable",IF($BD329="Saturada","Al tope","Con espacio"))</f>
        <v>Con espacio</v>
      </c>
      <c r="BV329" s="807" t="str">
        <f t="shared" si="211"/>
        <v>Zona de bajo potencial</v>
      </c>
      <c r="BW329" s="808" t="str">
        <f t="shared" si="212"/>
        <v>Sin datos</v>
      </c>
    </row>
    <row r="330" spans="1:75">
      <c r="A330" s="780" t="str">
        <f>'Base de datos Rutas'!A328</f>
        <v>Occidente</v>
      </c>
      <c r="B330" s="781" t="str">
        <f>'Base de datos Rutas'!B328</f>
        <v>Favorita</v>
      </c>
      <c r="C330" s="781" t="str">
        <f>'Base de datos Rutas'!C328</f>
        <v>Cedi Tonalá</v>
      </c>
      <c r="D330" s="782">
        <f>IF(ISNUMBER('Base de datos Rutas'!D328),'Base de datos Rutas'!D328,"Sin código")</f>
        <v>810353</v>
      </c>
      <c r="E330" s="783" t="str">
        <f>'Base de datos Rutas'!F328</f>
        <v>Activa</v>
      </c>
      <c r="F330" s="784" t="str">
        <f>'Base de datos Rutas'!H328</f>
        <v>Sí</v>
      </c>
      <c r="G330" s="785">
        <f>IF(ISNUMBER('Base de datos Rutas'!BE328),'Base de datos Rutas'!BE328,"")</f>
        <v>39.3349753694581</v>
      </c>
      <c r="H330" s="786">
        <f>IF(ISNUMBER('Base de datos Rutas'!BH328),'Base de datos Rutas'!BH328,"")</f>
        <v>0.81865998747651902</v>
      </c>
      <c r="I330" s="788">
        <f>IFERROR(IF(OR(NOT(ISNUMBER('Base de datos Rutas'!O328)),N('Base de datos Rutas'!BK328)=0),"",'Base de datos Rutas'!O328/('Base de datos Rutas'!L328/'Base de datos Rutas'!BK328)),"")</f>
        <v>3281.1484018264855</v>
      </c>
      <c r="J330" s="788">
        <f>IFERROR(IF(OR(NOT(ISNUMBER('Base de datos Rutas'!N328)),N('Base de datos Rutas'!BK328)=0),"",'Base de datos Rutas'!N328/('Base de datos Rutas'!L328/'Base de datos Rutas'!BK328)),"")</f>
        <v>5413.3995433789978</v>
      </c>
      <c r="K330" s="788">
        <f>IFERROR(IF(OR(NOT(ISNUMBER('Base de datos Rutas'!J328)),N('Base de datos Rutas'!BK328)=0),"",'Base de datos Rutas'!J328/('Base de datos Rutas'!L328/'Base de datos Rutas'!BK328)),"")</f>
        <v>376.5384480730595</v>
      </c>
      <c r="L330" s="788">
        <f>IFERROR(IF(OR(NOT(ISNUMBER('Base de datos Rutas'!K328)),N('Base de datos Rutas'!BK328)=0),"",'Base de datos Rutas'!K328/('Base de datos Rutas'!L328/'Base de datos Rutas'!BK328)),"")</f>
        <v>24.845148707762565</v>
      </c>
      <c r="M330" s="787">
        <f>IF(ISNUMBER('Base de datos Rutas'!AX328),'Base de datos Rutas'!AX328,"")</f>
        <v>279.481116248349</v>
      </c>
      <c r="N330" s="790">
        <f>IFERROR(INDEX('Hoja de apoyo v2'!B$17:B$20,MATCH($A330,'Hoja de apoyo v2'!$A$17:$A$20,0)),"")</f>
        <v>89.41621024641401</v>
      </c>
      <c r="O330" s="791">
        <f>IFERROR(INDEX('Hoja de apoyo v2'!C$17:C$20,MATCH($A330,'Hoja de apoyo v2'!$A$17:$A$20,0)),"")</f>
        <v>0.54706375874806301</v>
      </c>
      <c r="P330" s="793">
        <f>IFERROR(INDEX('Hoja de apoyo v2'!D$17:D$20,MATCH($A330,'Hoja de apoyo v2'!$A$17:$A$20,0)),"")</f>
        <v>11095.153935793827</v>
      </c>
      <c r="Q330" s="793">
        <f>IFERROR(INDEX('Hoja de apoyo v2'!E$17:E$20,MATCH($A330,'Hoja de apoyo v2'!$A$17:$A$20,0)),"")</f>
        <v>6982.3202019701848</v>
      </c>
      <c r="R330" s="793">
        <f>IFERROR(INDEX('Hoja de apoyo v2'!F$17:F$20,MATCH($A330,'Hoja de apoyo v2'!$A$17:$A$20,0)),"")</f>
        <v>448.09513474485743</v>
      </c>
      <c r="S330" s="793">
        <f>IFERROR(INDEX('Hoja de apoyo v2'!G$17:G$20,MATCH($A330,'Hoja de apoyo v2'!$A$17:$A$20,0)),"")</f>
        <v>83.406300904207839</v>
      </c>
      <c r="T330" s="792">
        <f>IFERROR(INDEX('Hoja de apoyo v2'!H$17:H$20,MATCH($A330,'Hoja de apoyo v2'!$A$17:$A$20,0)),"")</f>
        <v>378.97014028925349</v>
      </c>
      <c r="U330" s="794">
        <f t="shared" si="184"/>
        <v>0.43990877337630857</v>
      </c>
      <c r="V330" s="795">
        <f t="shared" si="185"/>
        <v>1.4964617457935705</v>
      </c>
      <c r="W330" s="795">
        <f t="shared" si="186"/>
        <v>0.29572806477621244</v>
      </c>
      <c r="X330" s="843">
        <f t="shared" si="187"/>
        <v>0.77530095824759104</v>
      </c>
      <c r="Y330" s="843">
        <f t="shared" si="188"/>
        <v>0.84030916400700961</v>
      </c>
      <c r="Z330" s="843">
        <f t="shared" si="189"/>
        <v>0.29788095669531284</v>
      </c>
      <c r="AA330" s="843">
        <f t="shared" si="190"/>
        <v>0.7374752956394709</v>
      </c>
      <c r="AB330" s="796">
        <f t="shared" si="191"/>
        <v>1</v>
      </c>
      <c r="AC330" s="797">
        <f t="shared" si="192"/>
        <v>5</v>
      </c>
      <c r="AD330" s="797">
        <f t="shared" si="193"/>
        <v>1</v>
      </c>
      <c r="AE330" s="842">
        <f t="shared" si="194"/>
        <v>3</v>
      </c>
      <c r="AF330" s="842">
        <f t="shared" si="195"/>
        <v>3</v>
      </c>
      <c r="AG330" s="842">
        <f t="shared" si="196"/>
        <v>1</v>
      </c>
      <c r="AH330" s="842">
        <f t="shared" si="197"/>
        <v>2</v>
      </c>
      <c r="AI330" s="826" cm="1">
        <f t="array" ref="AI330">SUMPRODUCT(--ISNUMBER($U330:$AA330),$AB$3:$AH$3)</f>
        <v>1</v>
      </c>
      <c r="AJ330" s="829">
        <f t="shared" si="198"/>
        <v>24.447334500405454</v>
      </c>
      <c r="AK330" s="827" t="str">
        <f t="shared" si="199"/>
        <v>Inmadura</v>
      </c>
      <c r="AL330" s="784" t="str">
        <f t="shared" si="200"/>
        <v>Alta</v>
      </c>
      <c r="AM330" s="799">
        <f>IF(ISNUMBER('Base de datos Rutas'!W328),'Base de datos Rutas'!W328,"")</f>
        <v>2982.1586443005776</v>
      </c>
      <c r="AN330" s="787">
        <f>IFERROR(SUMIFS('Base de datos Rutas'!$W$6:$W$794,'Base de datos Rutas'!$C$6:$C$794,$C330)/'Base de datos Rutas'!I328,"")</f>
        <v>2982.158644300579</v>
      </c>
      <c r="AO330" s="800">
        <f>IFERROR('Base de datos Rutas'!X328*AN330/AM330,"")</f>
        <v>0.51837289520136576</v>
      </c>
      <c r="AP330" s="800">
        <f t="shared" si="201"/>
        <v>0.48162710479863424</v>
      </c>
      <c r="AQ330" s="789">
        <f>IFERROR(INDEX('Hoja de apoyo v2'!$J$17:$J$20,MATCH($A330,'Hoja de apoyo v2'!$A$17:$A$20,0)),"")</f>
        <v>0.64320274048480885</v>
      </c>
      <c r="AR330" s="789">
        <f t="shared" si="202"/>
        <v>-0.16157563568617461</v>
      </c>
      <c r="AS330" s="784" t="str">
        <f t="shared" si="203"/>
        <v>No</v>
      </c>
      <c r="AT330" s="801">
        <f>IF(ISNUMBER('Base de datos Rutas'!CK328),'Base de datos Rutas'!CK328,"")</f>
        <v>282</v>
      </c>
      <c r="AU330" s="802">
        <f>IF(ISNUMBER('Base de datos Rutas'!CL328),'Base de datos Rutas'!CL328,"")</f>
        <v>282</v>
      </c>
      <c r="AV330" s="802">
        <f>IF(ISNUMBER('Base de datos Rutas'!CM328),'Base de datos Rutas'!CM328,"")</f>
        <v>0</v>
      </c>
      <c r="AW330" s="802" t="str">
        <f>IF(ISNUMBER('Base de datos Rutas'!CN328),'Base de datos Rutas'!CN328,"")</f>
        <v/>
      </c>
      <c r="AX330" s="802">
        <f>IF(ISNUMBER('Base de datos Rutas'!CO328),'Base de datos Rutas'!CO328,"")</f>
        <v>9.4499999999999993</v>
      </c>
      <c r="AY330" s="802">
        <f>IF(ISNUMBER('Base de datos Rutas'!CP328),'Base de datos Rutas'!CP328,"")</f>
        <v>9.4499999999999993</v>
      </c>
      <c r="AZ330" s="802" t="str">
        <f>IF(ISNUMBER('Base de datos Rutas'!CQ328),'Base de datos Rutas'!CQ328,"")</f>
        <v/>
      </c>
      <c r="BA330" s="802" t="str">
        <f>IF(ISNUMBER('Base de datos Rutas'!CR328),'Base de datos Rutas'!CR328,"")</f>
        <v/>
      </c>
      <c r="BB330" s="803">
        <f>IF(ISNUMBER('Base de datos Rutas'!CS328),'Base de datos Rutas'!CS328,"")</f>
        <v>0</v>
      </c>
      <c r="BC330" s="804" t="str">
        <f t="shared" si="213"/>
        <v/>
      </c>
      <c r="BD330" s="805" t="str">
        <f t="shared" si="214"/>
        <v>N/D</v>
      </c>
      <c r="BE330" s="806" t="str">
        <f t="shared" si="215"/>
        <v/>
      </c>
      <c r="BF330" s="890">
        <f>IF(ISNUMBER('Base de datos Rutas'!CX328),'Base de datos Rutas'!CX328/100,"")</f>
        <v>0</v>
      </c>
      <c r="BG330" s="891">
        <f>IF(ISNUMBER('Base de datos Rutas'!CZ328),'Base de datos Rutas'!CZ328/100,"")</f>
        <v>0</v>
      </c>
      <c r="BH330" s="892">
        <f>IF(ISNUMBER('Base de datos Rutas'!DA328),'Base de datos Rutas'!DA328,"")</f>
        <v>0</v>
      </c>
      <c r="BI330" s="893">
        <f>IF(ISNUMBER('Base de datos Rutas'!DC328),'Base de datos Rutas'!DC328,"")</f>
        <v>0</v>
      </c>
      <c r="BJ330" s="805" t="str">
        <f t="shared" si="216"/>
        <v>Ruta (completo)</v>
      </c>
      <c r="BK330" s="783">
        <f t="shared" si="204"/>
        <v>1</v>
      </c>
      <c r="BL330" s="797">
        <f t="shared" si="205"/>
        <v>1</v>
      </c>
      <c r="BM330" s="797">
        <f t="shared" si="206"/>
        <v>1</v>
      </c>
      <c r="BN330" s="797">
        <f t="shared" si="207"/>
        <v>1</v>
      </c>
      <c r="BO330" s="798" cm="1">
        <f t="array" ref="BO330">SUMPRODUCT(--ISNUMBER($BF330:$BI330),$BK$3:$BN$3)</f>
        <v>1</v>
      </c>
      <c r="BP330" s="831">
        <f t="shared" si="217"/>
        <v>0</v>
      </c>
      <c r="BQ330" s="834" t="str">
        <f t="shared" si="218"/>
        <v>Bajo</v>
      </c>
      <c r="BR330" s="836" t="str">
        <f t="shared" si="208"/>
        <v/>
      </c>
      <c r="BS330" s="836">
        <f t="shared" si="209"/>
        <v>0</v>
      </c>
      <c r="BT330" s="837" t="str">
        <f t="shared" si="210"/>
        <v>Sin datos</v>
      </c>
      <c r="BU330" s="807" t="str">
        <f t="shared" si="219"/>
        <v>Con espacio</v>
      </c>
      <c r="BV330" s="807" t="str">
        <f t="shared" si="211"/>
        <v>Zona de bajo potencial</v>
      </c>
      <c r="BW330" s="808" t="str">
        <f t="shared" si="212"/>
        <v>Sin datos</v>
      </c>
    </row>
    <row r="331" spans="1:75">
      <c r="A331" s="780" t="str">
        <f>'Base de datos Rutas'!A329</f>
        <v>Occidente</v>
      </c>
      <c r="B331" s="781" t="str">
        <f>'Base de datos Rutas'!B329</f>
        <v>Favorita</v>
      </c>
      <c r="C331" s="781" t="str">
        <f>'Base de datos Rutas'!C329</f>
        <v>Cedi Tonalá</v>
      </c>
      <c r="D331" s="782">
        <f>IF(ISNUMBER('Base de datos Rutas'!D329),'Base de datos Rutas'!D329,"Sin código")</f>
        <v>810354</v>
      </c>
      <c r="E331" s="783" t="str">
        <f>'Base de datos Rutas'!F329</f>
        <v>Activa</v>
      </c>
      <c r="F331" s="784" t="str">
        <f>'Base de datos Rutas'!H329</f>
        <v>Sí</v>
      </c>
      <c r="G331" s="785">
        <f>IF(ISNUMBER('Base de datos Rutas'!BE329),'Base de datos Rutas'!BE329,"")</f>
        <v>40.287841191067002</v>
      </c>
      <c r="H331" s="786">
        <f>IF(ISNUMBER('Base de datos Rutas'!BH329),'Base de datos Rutas'!BH329,"")</f>
        <v>0.61437546193643799</v>
      </c>
      <c r="I331" s="788">
        <f>IFERROR(IF(OR(NOT(ISNUMBER('Base de datos Rutas'!O329)),N('Base de datos Rutas'!BK329)=0),"",'Base de datos Rutas'!O329/('Base de datos Rutas'!L329/'Base de datos Rutas'!BK329)),"")</f>
        <v>4169.2919540229932</v>
      </c>
      <c r="J331" s="788">
        <f>IFERROR(IF(OR(NOT(ISNUMBER('Base de datos Rutas'!N329)),N('Base de datos Rutas'!BK329)=0),"",'Base de datos Rutas'!N329/('Base de datos Rutas'!L329/'Base de datos Rutas'!BK329)),"")</f>
        <v>5314.5057471264427</v>
      </c>
      <c r="K331" s="788">
        <f>IFERROR(IF(OR(NOT(ISNUMBER('Base de datos Rutas'!J329)),N('Base de datos Rutas'!BK329)=0),"",'Base de datos Rutas'!J329/('Base de datos Rutas'!L329/'Base de datos Rutas'!BK329)),"")</f>
        <v>369.05035034482802</v>
      </c>
      <c r="L331" s="788">
        <f>IFERROR(IF(OR(NOT(ISNUMBER('Base de datos Rutas'!K329)),N('Base de datos Rutas'!BK329)=0),"",'Base de datos Rutas'!K329/('Base de datos Rutas'!L329/'Base de datos Rutas'!BK329)),"")</f>
        <v>35.985895170114986</v>
      </c>
      <c r="M331" s="787">
        <f>IF(ISNUMBER('Base de datos Rutas'!AX329),'Base de datos Rutas'!AX329,"")</f>
        <v>401.11319105493402</v>
      </c>
      <c r="N331" s="790">
        <f>IFERROR(INDEX('Hoja de apoyo v2'!B$17:B$20,MATCH($A331,'Hoja de apoyo v2'!$A$17:$A$20,0)),"")</f>
        <v>89.41621024641401</v>
      </c>
      <c r="O331" s="791">
        <f>IFERROR(INDEX('Hoja de apoyo v2'!C$17:C$20,MATCH($A331,'Hoja de apoyo v2'!$A$17:$A$20,0)),"")</f>
        <v>0.54706375874806301</v>
      </c>
      <c r="P331" s="793">
        <f>IFERROR(INDEX('Hoja de apoyo v2'!D$17:D$20,MATCH($A331,'Hoja de apoyo v2'!$A$17:$A$20,0)),"")</f>
        <v>11095.153935793827</v>
      </c>
      <c r="Q331" s="793">
        <f>IFERROR(INDEX('Hoja de apoyo v2'!E$17:E$20,MATCH($A331,'Hoja de apoyo v2'!$A$17:$A$20,0)),"")</f>
        <v>6982.3202019701848</v>
      </c>
      <c r="R331" s="793">
        <f>IFERROR(INDEX('Hoja de apoyo v2'!F$17:F$20,MATCH($A331,'Hoja de apoyo v2'!$A$17:$A$20,0)),"")</f>
        <v>448.09513474485743</v>
      </c>
      <c r="S331" s="793">
        <f>IFERROR(INDEX('Hoja de apoyo v2'!G$17:G$20,MATCH($A331,'Hoja de apoyo v2'!$A$17:$A$20,0)),"")</f>
        <v>83.406300904207839</v>
      </c>
      <c r="T331" s="792">
        <f>IFERROR(INDEX('Hoja de apoyo v2'!H$17:H$20,MATCH($A331,'Hoja de apoyo v2'!$A$17:$A$20,0)),"")</f>
        <v>378.97014028925349</v>
      </c>
      <c r="U331" s="794">
        <f t="shared" si="184"/>
        <v>0.45056529548771301</v>
      </c>
      <c r="V331" s="795">
        <f t="shared" si="185"/>
        <v>1.1230417882961494</v>
      </c>
      <c r="W331" s="795">
        <f t="shared" si="186"/>
        <v>0.37577594489901883</v>
      </c>
      <c r="X331" s="843">
        <f t="shared" si="187"/>
        <v>0.76113750063007157</v>
      </c>
      <c r="Y331" s="843">
        <f t="shared" si="188"/>
        <v>0.82359820879323531</v>
      </c>
      <c r="Z331" s="843">
        <f t="shared" si="189"/>
        <v>0.43145295715062099</v>
      </c>
      <c r="AA331" s="843">
        <f t="shared" si="190"/>
        <v>1.0584295394586485</v>
      </c>
      <c r="AB331" s="796">
        <f t="shared" si="191"/>
        <v>1</v>
      </c>
      <c r="AC331" s="797">
        <f t="shared" si="192"/>
        <v>4</v>
      </c>
      <c r="AD331" s="797">
        <f t="shared" si="193"/>
        <v>1</v>
      </c>
      <c r="AE331" s="842">
        <f t="shared" si="194"/>
        <v>3</v>
      </c>
      <c r="AF331" s="842">
        <f t="shared" si="195"/>
        <v>3</v>
      </c>
      <c r="AG331" s="842">
        <f t="shared" si="196"/>
        <v>1</v>
      </c>
      <c r="AH331" s="842">
        <f t="shared" si="197"/>
        <v>4</v>
      </c>
      <c r="AI331" s="826" cm="1">
        <f t="array" ref="AI331">SUMPRODUCT(--ISNUMBER($U331:$AA331),$AB$3:$AH$3)</f>
        <v>1</v>
      </c>
      <c r="AJ331" s="829">
        <f t="shared" si="198"/>
        <v>26.5538845951681</v>
      </c>
      <c r="AK331" s="827" t="str">
        <f t="shared" si="199"/>
        <v>Inmadura</v>
      </c>
      <c r="AL331" s="784" t="str">
        <f t="shared" si="200"/>
        <v>Alta</v>
      </c>
      <c r="AM331" s="799">
        <f>IF(ISNUMBER('Base de datos Rutas'!W329),'Base de datos Rutas'!W329,"")</f>
        <v>2982.1586443005776</v>
      </c>
      <c r="AN331" s="787">
        <f>IFERROR(SUMIFS('Base de datos Rutas'!$W$6:$W$794,'Base de datos Rutas'!$C$6:$C$794,$C331)/'Base de datos Rutas'!I329,"")</f>
        <v>2982.158644300579</v>
      </c>
      <c r="AO331" s="800">
        <f>IFERROR('Base de datos Rutas'!X329*AN331/AM331,"")</f>
        <v>0.51837289520136576</v>
      </c>
      <c r="AP331" s="800">
        <f t="shared" si="201"/>
        <v>0.48162710479863424</v>
      </c>
      <c r="AQ331" s="789">
        <f>IFERROR(INDEX('Hoja de apoyo v2'!$J$17:$J$20,MATCH($A331,'Hoja de apoyo v2'!$A$17:$A$20,0)),"")</f>
        <v>0.64320274048480885</v>
      </c>
      <c r="AR331" s="789">
        <f t="shared" si="202"/>
        <v>-0.16157563568617461</v>
      </c>
      <c r="AS331" s="784" t="str">
        <f t="shared" si="203"/>
        <v>No</v>
      </c>
      <c r="AT331" s="801">
        <f>IF(ISNUMBER('Base de datos Rutas'!CK329),'Base de datos Rutas'!CK329,"")</f>
        <v>228</v>
      </c>
      <c r="AU331" s="802">
        <f>IF(ISNUMBER('Base de datos Rutas'!CL329),'Base de datos Rutas'!CL329,"")</f>
        <v>228</v>
      </c>
      <c r="AV331" s="802">
        <f>IF(ISNUMBER('Base de datos Rutas'!CM329),'Base de datos Rutas'!CM329,"")</f>
        <v>0</v>
      </c>
      <c r="AW331" s="802" t="str">
        <f>IF(ISNUMBER('Base de datos Rutas'!CN329),'Base de datos Rutas'!CN329,"")</f>
        <v/>
      </c>
      <c r="AX331" s="802">
        <f>IF(ISNUMBER('Base de datos Rutas'!CO329),'Base de datos Rutas'!CO329,"")</f>
        <v>9.4499999999999993</v>
      </c>
      <c r="AY331" s="802">
        <f>IF(ISNUMBER('Base de datos Rutas'!CP329),'Base de datos Rutas'!CP329,"")</f>
        <v>9.4499999999999993</v>
      </c>
      <c r="AZ331" s="802" t="str">
        <f>IF(ISNUMBER('Base de datos Rutas'!CQ329),'Base de datos Rutas'!CQ329,"")</f>
        <v/>
      </c>
      <c r="BA331" s="802" t="str">
        <f>IF(ISNUMBER('Base de datos Rutas'!CR329),'Base de datos Rutas'!CR329,"")</f>
        <v/>
      </c>
      <c r="BB331" s="803">
        <f>IF(ISNUMBER('Base de datos Rutas'!CS329),'Base de datos Rutas'!CS329,"")</f>
        <v>0</v>
      </c>
      <c r="BC331" s="804" t="str">
        <f t="shared" si="213"/>
        <v/>
      </c>
      <c r="BD331" s="805" t="str">
        <f t="shared" si="214"/>
        <v>N/D</v>
      </c>
      <c r="BE331" s="806" t="str">
        <f t="shared" si="215"/>
        <v/>
      </c>
      <c r="BF331" s="890">
        <f>IF(ISNUMBER('Base de datos Rutas'!CX329),'Base de datos Rutas'!CX329/100,"")</f>
        <v>0</v>
      </c>
      <c r="BG331" s="891">
        <f>IF(ISNUMBER('Base de datos Rutas'!CZ329),'Base de datos Rutas'!CZ329/100,"")</f>
        <v>0</v>
      </c>
      <c r="BH331" s="892">
        <f>IF(ISNUMBER('Base de datos Rutas'!DA329),'Base de datos Rutas'!DA329,"")</f>
        <v>0</v>
      </c>
      <c r="BI331" s="893">
        <f>IF(ISNUMBER('Base de datos Rutas'!DC329),'Base de datos Rutas'!DC329,"")</f>
        <v>0</v>
      </c>
      <c r="BJ331" s="805" t="str">
        <f t="shared" si="216"/>
        <v>Ruta (completo)</v>
      </c>
      <c r="BK331" s="783">
        <f t="shared" si="204"/>
        <v>1</v>
      </c>
      <c r="BL331" s="797">
        <f t="shared" si="205"/>
        <v>1</v>
      </c>
      <c r="BM331" s="797">
        <f t="shared" si="206"/>
        <v>1</v>
      </c>
      <c r="BN331" s="797">
        <f t="shared" si="207"/>
        <v>1</v>
      </c>
      <c r="BO331" s="798" cm="1">
        <f t="array" ref="BO331">SUMPRODUCT(--ISNUMBER($BF331:$BI331),$BK$3:$BN$3)</f>
        <v>1</v>
      </c>
      <c r="BP331" s="831">
        <f t="shared" si="217"/>
        <v>0</v>
      </c>
      <c r="BQ331" s="834" t="str">
        <f t="shared" si="218"/>
        <v>Bajo</v>
      </c>
      <c r="BR331" s="836" t="str">
        <f t="shared" si="208"/>
        <v/>
      </c>
      <c r="BS331" s="836">
        <f t="shared" si="209"/>
        <v>0</v>
      </c>
      <c r="BT331" s="837" t="str">
        <f t="shared" si="210"/>
        <v>Sin datos</v>
      </c>
      <c r="BU331" s="807" t="str">
        <f t="shared" si="219"/>
        <v>Con espacio</v>
      </c>
      <c r="BV331" s="807" t="str">
        <f t="shared" si="211"/>
        <v>Zona de bajo potencial</v>
      </c>
      <c r="BW331" s="808" t="str">
        <f t="shared" si="212"/>
        <v>Sin datos</v>
      </c>
    </row>
    <row r="332" spans="1:75">
      <c r="A332" s="780" t="str">
        <f>'Base de datos Rutas'!A330</f>
        <v>Occidente</v>
      </c>
      <c r="B332" s="781" t="str">
        <f>'Base de datos Rutas'!B330</f>
        <v>Favorita</v>
      </c>
      <c r="C332" s="781" t="str">
        <f>'Base de datos Rutas'!C330</f>
        <v>Cedi Tonalá</v>
      </c>
      <c r="D332" s="782">
        <f>IF(ISNUMBER('Base de datos Rutas'!D330),'Base de datos Rutas'!D330,"Sin código")</f>
        <v>810357</v>
      </c>
      <c r="E332" s="783" t="str">
        <f>'Base de datos Rutas'!F330</f>
        <v>Activa</v>
      </c>
      <c r="F332" s="784" t="str">
        <f>'Base de datos Rutas'!H330</f>
        <v>Sí</v>
      </c>
      <c r="G332" s="785">
        <f>IF(ISNUMBER('Base de datos Rutas'!BE330),'Base de datos Rutas'!BE330,"")</f>
        <v>69.471177944862205</v>
      </c>
      <c r="H332" s="786">
        <f>IF(ISNUMBER('Base de datos Rutas'!BH330),'Base de datos Rutas'!BH330,"")</f>
        <v>0.33753021393268201</v>
      </c>
      <c r="I332" s="788">
        <f>IFERROR(IF(OR(NOT(ISNUMBER('Base de datos Rutas'!O330)),N('Base de datos Rutas'!BK330)=0),"",'Base de datos Rutas'!O330/('Base de datos Rutas'!L330/'Base de datos Rutas'!BK330)),"")</f>
        <v>2926.9162790697656</v>
      </c>
      <c r="J332" s="788">
        <f>IFERROR(IF(OR(NOT(ISNUMBER('Base de datos Rutas'!N330)),N('Base de datos Rutas'!BK330)=0),"",'Base de datos Rutas'!N330/('Base de datos Rutas'!L330/'Base de datos Rutas'!BK330)),"")</f>
        <v>6736.913953488368</v>
      </c>
      <c r="K332" s="788">
        <f>IFERROR(IF(OR(NOT(ISNUMBER('Base de datos Rutas'!J330)),N('Base de datos Rutas'!BK330)=0),"",'Base de datos Rutas'!J330/('Base de datos Rutas'!L330/'Base de datos Rutas'!BK330)),"")</f>
        <v>471.54779200465083</v>
      </c>
      <c r="L332" s="788">
        <f>IFERROR(IF(OR(NOT(ISNUMBER('Base de datos Rutas'!K330)),N('Base de datos Rutas'!BK330)=0),"",'Base de datos Rutas'!K330/('Base de datos Rutas'!L330/'Base de datos Rutas'!BK330)),"")</f>
        <v>23.13317100465115</v>
      </c>
      <c r="M332" s="787">
        <f>IF(ISNUMBER('Base de datos Rutas'!AX330),'Base de datos Rutas'!AX330,"")</f>
        <v>438.47717526643498</v>
      </c>
      <c r="N332" s="790">
        <f>IFERROR(INDEX('Hoja de apoyo v2'!B$17:B$20,MATCH($A332,'Hoja de apoyo v2'!$A$17:$A$20,0)),"")</f>
        <v>89.41621024641401</v>
      </c>
      <c r="O332" s="791">
        <f>IFERROR(INDEX('Hoja de apoyo v2'!C$17:C$20,MATCH($A332,'Hoja de apoyo v2'!$A$17:$A$20,0)),"")</f>
        <v>0.54706375874806301</v>
      </c>
      <c r="P332" s="793">
        <f>IFERROR(INDEX('Hoja de apoyo v2'!D$17:D$20,MATCH($A332,'Hoja de apoyo v2'!$A$17:$A$20,0)),"")</f>
        <v>11095.153935793827</v>
      </c>
      <c r="Q332" s="793">
        <f>IFERROR(INDEX('Hoja de apoyo v2'!E$17:E$20,MATCH($A332,'Hoja de apoyo v2'!$A$17:$A$20,0)),"")</f>
        <v>6982.3202019701848</v>
      </c>
      <c r="R332" s="793">
        <f>IFERROR(INDEX('Hoja de apoyo v2'!F$17:F$20,MATCH($A332,'Hoja de apoyo v2'!$A$17:$A$20,0)),"")</f>
        <v>448.09513474485743</v>
      </c>
      <c r="S332" s="793">
        <f>IFERROR(INDEX('Hoja de apoyo v2'!G$17:G$20,MATCH($A332,'Hoja de apoyo v2'!$A$17:$A$20,0)),"")</f>
        <v>83.406300904207839</v>
      </c>
      <c r="T332" s="792">
        <f>IFERROR(INDEX('Hoja de apoyo v2'!H$17:H$20,MATCH($A332,'Hoja de apoyo v2'!$A$17:$A$20,0)),"")</f>
        <v>378.97014028925349</v>
      </c>
      <c r="U332" s="794">
        <f t="shared" si="184"/>
        <v>0.77694165021546868</v>
      </c>
      <c r="V332" s="795">
        <f t="shared" si="185"/>
        <v>0.61698514759067302</v>
      </c>
      <c r="W332" s="795">
        <f t="shared" si="186"/>
        <v>0.26380132227163666</v>
      </c>
      <c r="X332" s="843">
        <f t="shared" si="187"/>
        <v>0.96485319472851283</v>
      </c>
      <c r="Y332" s="843">
        <f t="shared" si="188"/>
        <v>1.0523385670615397</v>
      </c>
      <c r="Z332" s="843">
        <f t="shared" si="189"/>
        <v>0.27735519683602328</v>
      </c>
      <c r="AA332" s="843">
        <f t="shared" si="190"/>
        <v>1.1570230175173222</v>
      </c>
      <c r="AB332" s="796">
        <f t="shared" si="191"/>
        <v>3</v>
      </c>
      <c r="AC332" s="797">
        <f t="shared" si="192"/>
        <v>2</v>
      </c>
      <c r="AD332" s="797">
        <f t="shared" si="193"/>
        <v>1</v>
      </c>
      <c r="AE332" s="842">
        <f t="shared" si="194"/>
        <v>3</v>
      </c>
      <c r="AF332" s="842">
        <f t="shared" si="195"/>
        <v>4</v>
      </c>
      <c r="AG332" s="842">
        <f t="shared" si="196"/>
        <v>1</v>
      </c>
      <c r="AH332" s="842">
        <f t="shared" si="197"/>
        <v>4</v>
      </c>
      <c r="AI332" s="826" cm="1">
        <f t="array" ref="AI332">SUMPRODUCT(--ISNUMBER($U332:$AA332),$AB$3:$AH$3)</f>
        <v>1</v>
      </c>
      <c r="AJ332" s="829">
        <f t="shared" si="198"/>
        <v>33.78139029170044</v>
      </c>
      <c r="AK332" s="827" t="str">
        <f t="shared" si="199"/>
        <v>Inmadura</v>
      </c>
      <c r="AL332" s="784" t="str">
        <f t="shared" si="200"/>
        <v>Alta</v>
      </c>
      <c r="AM332" s="799">
        <f>IF(ISNUMBER('Base de datos Rutas'!W330),'Base de datos Rutas'!W330,"")</f>
        <v>2982.1586443005776</v>
      </c>
      <c r="AN332" s="787">
        <f>IFERROR(SUMIFS('Base de datos Rutas'!$W$6:$W$794,'Base de datos Rutas'!$C$6:$C$794,$C332)/'Base de datos Rutas'!I330,"")</f>
        <v>2982.158644300579</v>
      </c>
      <c r="AO332" s="800">
        <f>IFERROR('Base de datos Rutas'!X330*AN332/AM332,"")</f>
        <v>0.51837289520136576</v>
      </c>
      <c r="AP332" s="800">
        <f t="shared" si="201"/>
        <v>0.48162710479863424</v>
      </c>
      <c r="AQ332" s="789">
        <f>IFERROR(INDEX('Hoja de apoyo v2'!$J$17:$J$20,MATCH($A332,'Hoja de apoyo v2'!$A$17:$A$20,0)),"")</f>
        <v>0.64320274048480885</v>
      </c>
      <c r="AR332" s="789">
        <f t="shared" si="202"/>
        <v>-0.16157563568617461</v>
      </c>
      <c r="AS332" s="784" t="str">
        <f t="shared" si="203"/>
        <v>No</v>
      </c>
      <c r="AT332" s="801">
        <f>IF(ISNUMBER('Base de datos Rutas'!CK330),'Base de datos Rutas'!CK330,"")</f>
        <v>263</v>
      </c>
      <c r="AU332" s="802">
        <f>IF(ISNUMBER('Base de datos Rutas'!CL330),'Base de datos Rutas'!CL330,"")</f>
        <v>263</v>
      </c>
      <c r="AV332" s="802">
        <f>IF(ISNUMBER('Base de datos Rutas'!CM330),'Base de datos Rutas'!CM330,"")</f>
        <v>0</v>
      </c>
      <c r="AW332" s="802" t="str">
        <f>IF(ISNUMBER('Base de datos Rutas'!CN330),'Base de datos Rutas'!CN330,"")</f>
        <v/>
      </c>
      <c r="AX332" s="802">
        <f>IF(ISNUMBER('Base de datos Rutas'!CO330),'Base de datos Rutas'!CO330,"")</f>
        <v>9.4499999999999993</v>
      </c>
      <c r="AY332" s="802">
        <f>IF(ISNUMBER('Base de datos Rutas'!CP330),'Base de datos Rutas'!CP330,"")</f>
        <v>9.4499999999999993</v>
      </c>
      <c r="AZ332" s="802" t="str">
        <f>IF(ISNUMBER('Base de datos Rutas'!CQ330),'Base de datos Rutas'!CQ330,"")</f>
        <v/>
      </c>
      <c r="BA332" s="802" t="str">
        <f>IF(ISNUMBER('Base de datos Rutas'!CR330),'Base de datos Rutas'!CR330,"")</f>
        <v/>
      </c>
      <c r="BB332" s="803">
        <f>IF(ISNUMBER('Base de datos Rutas'!CS330),'Base de datos Rutas'!CS330,"")</f>
        <v>0</v>
      </c>
      <c r="BC332" s="804" t="str">
        <f t="shared" si="213"/>
        <v/>
      </c>
      <c r="BD332" s="805" t="str">
        <f t="shared" si="214"/>
        <v>N/D</v>
      </c>
      <c r="BE332" s="806" t="str">
        <f t="shared" si="215"/>
        <v/>
      </c>
      <c r="BF332" s="890">
        <f>IF(ISNUMBER('Base de datos Rutas'!CX330),'Base de datos Rutas'!CX330/100,"")</f>
        <v>0</v>
      </c>
      <c r="BG332" s="891">
        <f>IF(ISNUMBER('Base de datos Rutas'!CZ330),'Base de datos Rutas'!CZ330/100,"")</f>
        <v>0</v>
      </c>
      <c r="BH332" s="892">
        <f>IF(ISNUMBER('Base de datos Rutas'!DA330),'Base de datos Rutas'!DA330,"")</f>
        <v>0</v>
      </c>
      <c r="BI332" s="893">
        <f>IF(ISNUMBER('Base de datos Rutas'!DC330),'Base de datos Rutas'!DC330,"")</f>
        <v>0</v>
      </c>
      <c r="BJ332" s="805" t="str">
        <f t="shared" si="216"/>
        <v>Ruta (completo)</v>
      </c>
      <c r="BK332" s="783">
        <f t="shared" si="204"/>
        <v>1</v>
      </c>
      <c r="BL332" s="797">
        <f t="shared" si="205"/>
        <v>1</v>
      </c>
      <c r="BM332" s="797">
        <f t="shared" si="206"/>
        <v>1</v>
      </c>
      <c r="BN332" s="797">
        <f t="shared" si="207"/>
        <v>1</v>
      </c>
      <c r="BO332" s="798" cm="1">
        <f t="array" ref="BO332">SUMPRODUCT(--ISNUMBER($BF332:$BI332),$BK$3:$BN$3)</f>
        <v>1</v>
      </c>
      <c r="BP332" s="831">
        <f t="shared" si="217"/>
        <v>0</v>
      </c>
      <c r="BQ332" s="834" t="str">
        <f t="shared" si="218"/>
        <v>Bajo</v>
      </c>
      <c r="BR332" s="836" t="str">
        <f t="shared" si="208"/>
        <v/>
      </c>
      <c r="BS332" s="836">
        <f t="shared" si="209"/>
        <v>0</v>
      </c>
      <c r="BT332" s="837" t="str">
        <f t="shared" si="210"/>
        <v>Sin datos</v>
      </c>
      <c r="BU332" s="807" t="str">
        <f t="shared" si="219"/>
        <v>Con espacio</v>
      </c>
      <c r="BV332" s="807" t="str">
        <f t="shared" si="211"/>
        <v>Zona de bajo potencial</v>
      </c>
      <c r="BW332" s="808" t="str">
        <f t="shared" si="212"/>
        <v>Sin datos</v>
      </c>
    </row>
    <row r="333" spans="1:75">
      <c r="A333" s="780" t="str">
        <f>'Base de datos Rutas'!A331</f>
        <v>Occidente</v>
      </c>
      <c r="B333" s="781" t="str">
        <f>'Base de datos Rutas'!B331</f>
        <v>Favorita</v>
      </c>
      <c r="C333" s="781" t="str">
        <f>'Base de datos Rutas'!C331</f>
        <v>Cedi Tonalá</v>
      </c>
      <c r="D333" s="782">
        <f>IF(ISNUMBER('Base de datos Rutas'!D331),'Base de datos Rutas'!D331,"Sin código")</f>
        <v>810358</v>
      </c>
      <c r="E333" s="783" t="str">
        <f>'Base de datos Rutas'!F331</f>
        <v>Activa</v>
      </c>
      <c r="F333" s="784" t="str">
        <f>'Base de datos Rutas'!H331</f>
        <v>Sí</v>
      </c>
      <c r="G333" s="785">
        <f>IF(ISNUMBER('Base de datos Rutas'!BE331),'Base de datos Rutas'!BE331,"")</f>
        <v>63.8982630272953</v>
      </c>
      <c r="H333" s="786">
        <f>IF(ISNUMBER('Base de datos Rutas'!BH331),'Base de datos Rutas'!BH331,"")</f>
        <v>0.53679468758494797</v>
      </c>
      <c r="I333" s="788">
        <f>IFERROR(IF(OR(NOT(ISNUMBER('Base de datos Rutas'!O331)),N('Base de datos Rutas'!BK331)=0),"",'Base de datos Rutas'!O331/('Base de datos Rutas'!L331/'Base de datos Rutas'!BK331)),"")</f>
        <v>2694.6689655172408</v>
      </c>
      <c r="J333" s="788">
        <f>IFERROR(IF(OR(NOT(ISNUMBER('Base de datos Rutas'!N331)),N('Base de datos Rutas'!BK331)=0),"",'Base de datos Rutas'!N331/('Base de datos Rutas'!L331/'Base de datos Rutas'!BK331)),"")</f>
        <v>7601.9632183908034</v>
      </c>
      <c r="K333" s="788">
        <f>IFERROR(IF(OR(NOT(ISNUMBER('Base de datos Rutas'!J331)),N('Base de datos Rutas'!BK331)=0),"",'Base de datos Rutas'!J331/('Base de datos Rutas'!L331/'Base de datos Rutas'!BK331)),"")</f>
        <v>519.80907034482755</v>
      </c>
      <c r="L333" s="788">
        <f>IFERROR(IF(OR(NOT(ISNUMBER('Base de datos Rutas'!K331)),N('Base de datos Rutas'!BK331)=0),"",'Base de datos Rutas'!K331/('Base de datos Rutas'!L331/'Base de datos Rutas'!BK331)),"")</f>
        <v>23.337743039080458</v>
      </c>
      <c r="M333" s="787">
        <f>IF(ISNUMBER('Base de datos Rutas'!AX331),'Base de datos Rutas'!AX331,"")</f>
        <v>305.63187171613799</v>
      </c>
      <c r="N333" s="790">
        <f>IFERROR(INDEX('Hoja de apoyo v2'!B$17:B$20,MATCH($A333,'Hoja de apoyo v2'!$A$17:$A$20,0)),"")</f>
        <v>89.41621024641401</v>
      </c>
      <c r="O333" s="791">
        <f>IFERROR(INDEX('Hoja de apoyo v2'!C$17:C$20,MATCH($A333,'Hoja de apoyo v2'!$A$17:$A$20,0)),"")</f>
        <v>0.54706375874806301</v>
      </c>
      <c r="P333" s="793">
        <f>IFERROR(INDEX('Hoja de apoyo v2'!D$17:D$20,MATCH($A333,'Hoja de apoyo v2'!$A$17:$A$20,0)),"")</f>
        <v>11095.153935793827</v>
      </c>
      <c r="Q333" s="793">
        <f>IFERROR(INDEX('Hoja de apoyo v2'!E$17:E$20,MATCH($A333,'Hoja de apoyo v2'!$A$17:$A$20,0)),"")</f>
        <v>6982.3202019701848</v>
      </c>
      <c r="R333" s="793">
        <f>IFERROR(INDEX('Hoja de apoyo v2'!F$17:F$20,MATCH($A333,'Hoja de apoyo v2'!$A$17:$A$20,0)),"")</f>
        <v>448.09513474485743</v>
      </c>
      <c r="S333" s="793">
        <f>IFERROR(INDEX('Hoja de apoyo v2'!G$17:G$20,MATCH($A333,'Hoja de apoyo v2'!$A$17:$A$20,0)),"")</f>
        <v>83.406300904207839</v>
      </c>
      <c r="T333" s="792">
        <f>IFERROR(INDEX('Hoja de apoyo v2'!H$17:H$20,MATCH($A333,'Hoja de apoyo v2'!$A$17:$A$20,0)),"")</f>
        <v>378.97014028925349</v>
      </c>
      <c r="U333" s="794">
        <f t="shared" si="184"/>
        <v>0.71461609535009241</v>
      </c>
      <c r="V333" s="795">
        <f t="shared" si="185"/>
        <v>0.98122874893665879</v>
      </c>
      <c r="W333" s="795">
        <f t="shared" si="186"/>
        <v>0.2428690021887871</v>
      </c>
      <c r="X333" s="843">
        <f t="shared" si="187"/>
        <v>1.0887445717894426</v>
      </c>
      <c r="Y333" s="843">
        <f t="shared" si="188"/>
        <v>1.1600417635438143</v>
      </c>
      <c r="Z333" s="843">
        <f t="shared" si="189"/>
        <v>0.27980791362374241</v>
      </c>
      <c r="AA333" s="843">
        <f t="shared" si="190"/>
        <v>0.80648008701387608</v>
      </c>
      <c r="AB333" s="796">
        <f t="shared" si="191"/>
        <v>2</v>
      </c>
      <c r="AC333" s="797">
        <f t="shared" si="192"/>
        <v>3</v>
      </c>
      <c r="AD333" s="797">
        <f t="shared" si="193"/>
        <v>1</v>
      </c>
      <c r="AE333" s="842">
        <f t="shared" si="194"/>
        <v>4</v>
      </c>
      <c r="AF333" s="842">
        <f t="shared" si="195"/>
        <v>4</v>
      </c>
      <c r="AG333" s="842">
        <f t="shared" si="196"/>
        <v>1</v>
      </c>
      <c r="AH333" s="842">
        <f t="shared" si="197"/>
        <v>3</v>
      </c>
      <c r="AI333" s="826" cm="1">
        <f t="array" ref="AI333">SUMPRODUCT(--ISNUMBER($U333:$AA333),$AB$3:$AH$3)</f>
        <v>1</v>
      </c>
      <c r="AJ333" s="829">
        <f t="shared" si="198"/>
        <v>32.79537950534629</v>
      </c>
      <c r="AK333" s="827" t="str">
        <f t="shared" si="199"/>
        <v>Inmadura</v>
      </c>
      <c r="AL333" s="784" t="str">
        <f t="shared" si="200"/>
        <v>Alta</v>
      </c>
      <c r="AM333" s="799">
        <f>IF(ISNUMBER('Base de datos Rutas'!W331),'Base de datos Rutas'!W331,"")</f>
        <v>2982.1586443005776</v>
      </c>
      <c r="AN333" s="787">
        <f>IFERROR(SUMIFS('Base de datos Rutas'!$W$6:$W$794,'Base de datos Rutas'!$C$6:$C$794,$C333)/'Base de datos Rutas'!I331,"")</f>
        <v>2982.158644300579</v>
      </c>
      <c r="AO333" s="800">
        <f>IFERROR('Base de datos Rutas'!X331*AN333/AM333,"")</f>
        <v>0.51837289520136576</v>
      </c>
      <c r="AP333" s="800">
        <f t="shared" si="201"/>
        <v>0.48162710479863424</v>
      </c>
      <c r="AQ333" s="789">
        <f>IFERROR(INDEX('Hoja de apoyo v2'!$J$17:$J$20,MATCH($A333,'Hoja de apoyo v2'!$A$17:$A$20,0)),"")</f>
        <v>0.64320274048480885</v>
      </c>
      <c r="AR333" s="789">
        <f t="shared" si="202"/>
        <v>-0.16157563568617461</v>
      </c>
      <c r="AS333" s="784" t="str">
        <f t="shared" si="203"/>
        <v>No</v>
      </c>
      <c r="AT333" s="801">
        <f>IF(ISNUMBER('Base de datos Rutas'!CK331),'Base de datos Rutas'!CK331,"")</f>
        <v>295</v>
      </c>
      <c r="AU333" s="802">
        <f>IF(ISNUMBER('Base de datos Rutas'!CL331),'Base de datos Rutas'!CL331,"")</f>
        <v>295</v>
      </c>
      <c r="AV333" s="802">
        <f>IF(ISNUMBER('Base de datos Rutas'!CM331),'Base de datos Rutas'!CM331,"")</f>
        <v>0</v>
      </c>
      <c r="AW333" s="802">
        <f>IF(ISNUMBER('Base de datos Rutas'!CN331),'Base de datos Rutas'!CN331,"")</f>
        <v>10.1</v>
      </c>
      <c r="AX333" s="802">
        <f>IF(ISNUMBER('Base de datos Rutas'!CO331),'Base de datos Rutas'!CO331,"")</f>
        <v>9.4499999999999993</v>
      </c>
      <c r="AY333" s="802">
        <f>IF(ISNUMBER('Base de datos Rutas'!CP331),'Base de datos Rutas'!CP331,"")</f>
        <v>-0.65000000000000036</v>
      </c>
      <c r="AZ333" s="802">
        <f>IF(ISNUMBER('Base de datos Rutas'!CQ331),'Base de datos Rutas'!CQ331,"")</f>
        <v>846.56</v>
      </c>
      <c r="BA333" s="802">
        <f>IF(ISNUMBER('Base de datos Rutas'!CR331),'Base de datos Rutas'!CR331,"")</f>
        <v>543.15</v>
      </c>
      <c r="BB333" s="803">
        <f>IF(ISNUMBER('Base de datos Rutas'!CS331),'Base de datos Rutas'!CS331,"")</f>
        <v>303.40999999999997</v>
      </c>
      <c r="BC333" s="804">
        <f t="shared" si="213"/>
        <v>2</v>
      </c>
      <c r="BD333" s="805" t="str">
        <f t="shared" si="214"/>
        <v>Saturada</v>
      </c>
      <c r="BE333" s="806">
        <f t="shared" si="215"/>
        <v>0.64159657909657908</v>
      </c>
      <c r="BF333" s="890">
        <f>IF(ISNUMBER('Base de datos Rutas'!CX331),'Base de datos Rutas'!CX331/100,"")</f>
        <v>0.17207918230042696</v>
      </c>
      <c r="BG333" s="891">
        <f>IF(ISNUMBER('Base de datos Rutas'!CZ331),'Base de datos Rutas'!CZ331/100,"")</f>
        <v>0.17207918230042696</v>
      </c>
      <c r="BH333" s="892">
        <f>IF(ISNUMBER('Base de datos Rutas'!DA331),'Base de datos Rutas'!DA331,"")</f>
        <v>5.3613662828308963E-2</v>
      </c>
      <c r="BI333" s="893">
        <f>IF(ISNUMBER('Base de datos Rutas'!DC331),'Base de datos Rutas'!DC331,"")</f>
        <v>2.6497606417389056E-3</v>
      </c>
      <c r="BJ333" s="805" t="str">
        <f t="shared" si="216"/>
        <v>Ruta (completo)</v>
      </c>
      <c r="BK333" s="783">
        <f t="shared" si="204"/>
        <v>4</v>
      </c>
      <c r="BL333" s="797">
        <f t="shared" si="205"/>
        <v>4</v>
      </c>
      <c r="BM333" s="797">
        <f t="shared" si="206"/>
        <v>2</v>
      </c>
      <c r="BN333" s="797">
        <f t="shared" si="207"/>
        <v>2</v>
      </c>
      <c r="BO333" s="798" cm="1">
        <f t="array" ref="BO333">SUMPRODUCT(--ISNUMBER($BF333:$BI333),$BK$3:$BN$3)</f>
        <v>1</v>
      </c>
      <c r="BP333" s="831">
        <f t="shared" si="217"/>
        <v>50</v>
      </c>
      <c r="BQ333" s="834" t="str">
        <f t="shared" si="218"/>
        <v>Alto</v>
      </c>
      <c r="BR333" s="836">
        <f t="shared" si="208"/>
        <v>49.596534629009717</v>
      </c>
      <c r="BS333" s="836">
        <f t="shared" si="209"/>
        <v>50</v>
      </c>
      <c r="BT333" s="837" t="str">
        <f t="shared" si="210"/>
        <v>P1</v>
      </c>
      <c r="BU333" s="807" t="str">
        <f t="shared" si="219"/>
        <v>Al tope</v>
      </c>
      <c r="BV333" s="807" t="str">
        <f t="shared" si="211"/>
        <v>Zona atractiva</v>
      </c>
      <c r="BW333" s="808" t="str">
        <f t="shared" si="212"/>
        <v>P1 - Ampliar cobertura</v>
      </c>
    </row>
    <row r="334" spans="1:75">
      <c r="A334" s="780" t="str">
        <f>'Base de datos Rutas'!A332</f>
        <v>Occidente</v>
      </c>
      <c r="B334" s="781" t="str">
        <f>'Base de datos Rutas'!B332</f>
        <v>Favorita</v>
      </c>
      <c r="C334" s="781" t="str">
        <f>'Base de datos Rutas'!C332</f>
        <v>Cedi Tonalá</v>
      </c>
      <c r="D334" s="782">
        <f>IF(ISNUMBER('Base de datos Rutas'!D332),'Base de datos Rutas'!D332,"Sin código")</f>
        <v>810359</v>
      </c>
      <c r="E334" s="783" t="str">
        <f>'Base de datos Rutas'!F332</f>
        <v>Activa</v>
      </c>
      <c r="F334" s="784" t="str">
        <f>'Base de datos Rutas'!H332</f>
        <v>Sí</v>
      </c>
      <c r="G334" s="785">
        <f>IF(ISNUMBER('Base de datos Rutas'!BE332),'Base de datos Rutas'!BE332,"")</f>
        <v>82.306172839506203</v>
      </c>
      <c r="H334" s="786">
        <f>IF(ISNUMBER('Base de datos Rutas'!BH332),'Base de datos Rutas'!BH332,"")</f>
        <v>0.46889062218755601</v>
      </c>
      <c r="I334" s="788">
        <f>IFERROR(IF(OR(NOT(ISNUMBER('Base de datos Rutas'!O332)),N('Base de datos Rutas'!BK332)=0),"",'Base de datos Rutas'!O332/('Base de datos Rutas'!L332/'Base de datos Rutas'!BK332)),"")</f>
        <v>3240.9130434782564</v>
      </c>
      <c r="J334" s="788">
        <f>IFERROR(IF(OR(NOT(ISNUMBER('Base de datos Rutas'!N332)),N('Base de datos Rutas'!BK332)=0),"",'Base de datos Rutas'!N332/('Base de datos Rutas'!L332/'Base de datos Rutas'!BK332)),"")</f>
        <v>8083.3935926773347</v>
      </c>
      <c r="K334" s="788">
        <f>IFERROR(IF(OR(NOT(ISNUMBER('Base de datos Rutas'!J332)),N('Base de datos Rutas'!BK332)=0),"",'Base de datos Rutas'!J332/('Base de datos Rutas'!L332/'Base de datos Rutas'!BK332)),"")</f>
        <v>567.09833958809998</v>
      </c>
      <c r="L334" s="788">
        <f>IFERROR(IF(OR(NOT(ISNUMBER('Base de datos Rutas'!K332)),N('Base de datos Rutas'!BK332)=0),"",'Base de datos Rutas'!K332/('Base de datos Rutas'!L332/'Base de datos Rutas'!BK332)),"")</f>
        <v>28.320766528604079</v>
      </c>
      <c r="M334" s="787">
        <f>IF(ISNUMBER('Base de datos Rutas'!AX332),'Base de datos Rutas'!AX332,"")</f>
        <v>304.63046598953503</v>
      </c>
      <c r="N334" s="790">
        <f>IFERROR(INDEX('Hoja de apoyo v2'!B$17:B$20,MATCH($A334,'Hoja de apoyo v2'!$A$17:$A$20,0)),"")</f>
        <v>89.41621024641401</v>
      </c>
      <c r="O334" s="791">
        <f>IFERROR(INDEX('Hoja de apoyo v2'!C$17:C$20,MATCH($A334,'Hoja de apoyo v2'!$A$17:$A$20,0)),"")</f>
        <v>0.54706375874806301</v>
      </c>
      <c r="P334" s="793">
        <f>IFERROR(INDEX('Hoja de apoyo v2'!D$17:D$20,MATCH($A334,'Hoja de apoyo v2'!$A$17:$A$20,0)),"")</f>
        <v>11095.153935793827</v>
      </c>
      <c r="Q334" s="793">
        <f>IFERROR(INDEX('Hoja de apoyo v2'!E$17:E$20,MATCH($A334,'Hoja de apoyo v2'!$A$17:$A$20,0)),"")</f>
        <v>6982.3202019701848</v>
      </c>
      <c r="R334" s="793">
        <f>IFERROR(INDEX('Hoja de apoyo v2'!F$17:F$20,MATCH($A334,'Hoja de apoyo v2'!$A$17:$A$20,0)),"")</f>
        <v>448.09513474485743</v>
      </c>
      <c r="S334" s="793">
        <f>IFERROR(INDEX('Hoja de apoyo v2'!G$17:G$20,MATCH($A334,'Hoja de apoyo v2'!$A$17:$A$20,0)),"")</f>
        <v>83.406300904207839</v>
      </c>
      <c r="T334" s="792">
        <f>IFERROR(INDEX('Hoja de apoyo v2'!H$17:H$20,MATCH($A334,'Hoja de apoyo v2'!$A$17:$A$20,0)),"")</f>
        <v>378.97014028925349</v>
      </c>
      <c r="U334" s="794">
        <f t="shared" si="184"/>
        <v>0.92048379832567384</v>
      </c>
      <c r="V334" s="795">
        <f t="shared" si="185"/>
        <v>0.85710415776873317</v>
      </c>
      <c r="W334" s="795">
        <f t="shared" si="186"/>
        <v>0.29210167449978497</v>
      </c>
      <c r="X334" s="843">
        <f t="shared" si="187"/>
        <v>1.1576944853369031</v>
      </c>
      <c r="Y334" s="843">
        <f t="shared" si="188"/>
        <v>1.2655757575029289</v>
      </c>
      <c r="Z334" s="843">
        <f t="shared" si="189"/>
        <v>0.33955188303016204</v>
      </c>
      <c r="AA334" s="843">
        <f t="shared" si="190"/>
        <v>0.80383764735929375</v>
      </c>
      <c r="AB334" s="796">
        <f t="shared" si="191"/>
        <v>3</v>
      </c>
      <c r="AC334" s="797">
        <f t="shared" si="192"/>
        <v>3</v>
      </c>
      <c r="AD334" s="797">
        <f t="shared" si="193"/>
        <v>1</v>
      </c>
      <c r="AE334" s="842">
        <f t="shared" si="194"/>
        <v>4</v>
      </c>
      <c r="AF334" s="842">
        <f t="shared" si="195"/>
        <v>5</v>
      </c>
      <c r="AG334" s="842">
        <f t="shared" si="196"/>
        <v>1</v>
      </c>
      <c r="AH334" s="842">
        <f t="shared" si="197"/>
        <v>3</v>
      </c>
      <c r="AI334" s="826" cm="1">
        <f t="array" ref="AI334">SUMPRODUCT(--ISNUMBER($U334:$AA334),$AB$3:$AH$3)</f>
        <v>1</v>
      </c>
      <c r="AJ334" s="829">
        <f t="shared" si="198"/>
        <v>40.255060195522837</v>
      </c>
      <c r="AK334" s="827" t="str">
        <f t="shared" si="199"/>
        <v>Inmadura</v>
      </c>
      <c r="AL334" s="784" t="str">
        <f t="shared" si="200"/>
        <v>Alta</v>
      </c>
      <c r="AM334" s="799">
        <f>IF(ISNUMBER('Base de datos Rutas'!W332),'Base de datos Rutas'!W332,"")</f>
        <v>2982.1586443005776</v>
      </c>
      <c r="AN334" s="787">
        <f>IFERROR(SUMIFS('Base de datos Rutas'!$W$6:$W$794,'Base de datos Rutas'!$C$6:$C$794,$C334)/'Base de datos Rutas'!I332,"")</f>
        <v>2982.158644300579</v>
      </c>
      <c r="AO334" s="800">
        <f>IFERROR('Base de datos Rutas'!X332*AN334/AM334,"")</f>
        <v>0.51837289520136576</v>
      </c>
      <c r="AP334" s="800">
        <f t="shared" si="201"/>
        <v>0.48162710479863424</v>
      </c>
      <c r="AQ334" s="789">
        <f>IFERROR(INDEX('Hoja de apoyo v2'!$J$17:$J$20,MATCH($A334,'Hoja de apoyo v2'!$A$17:$A$20,0)),"")</f>
        <v>0.64320274048480885</v>
      </c>
      <c r="AR334" s="789">
        <f t="shared" si="202"/>
        <v>-0.16157563568617461</v>
      </c>
      <c r="AS334" s="784" t="str">
        <f t="shared" si="203"/>
        <v>No</v>
      </c>
      <c r="AT334" s="801">
        <f>IF(ISNUMBER('Base de datos Rutas'!CK332),'Base de datos Rutas'!CK332,"")</f>
        <v>350</v>
      </c>
      <c r="AU334" s="802">
        <f>IF(ISNUMBER('Base de datos Rutas'!CL332),'Base de datos Rutas'!CL332,"")</f>
        <v>350</v>
      </c>
      <c r="AV334" s="802">
        <f>IF(ISNUMBER('Base de datos Rutas'!CM332),'Base de datos Rutas'!CM332,"")</f>
        <v>0</v>
      </c>
      <c r="AW334" s="802" t="str">
        <f>IF(ISNUMBER('Base de datos Rutas'!CN332),'Base de datos Rutas'!CN332,"")</f>
        <v/>
      </c>
      <c r="AX334" s="802">
        <f>IF(ISNUMBER('Base de datos Rutas'!CO332),'Base de datos Rutas'!CO332,"")</f>
        <v>9.4499999999999993</v>
      </c>
      <c r="AY334" s="802">
        <f>IF(ISNUMBER('Base de datos Rutas'!CP332),'Base de datos Rutas'!CP332,"")</f>
        <v>9.4499999999999993</v>
      </c>
      <c r="AZ334" s="802" t="str">
        <f>IF(ISNUMBER('Base de datos Rutas'!CQ332),'Base de datos Rutas'!CQ332,"")</f>
        <v/>
      </c>
      <c r="BA334" s="802" t="str">
        <f>IF(ISNUMBER('Base de datos Rutas'!CR332),'Base de datos Rutas'!CR332,"")</f>
        <v/>
      </c>
      <c r="BB334" s="803">
        <f>IF(ISNUMBER('Base de datos Rutas'!CS332),'Base de datos Rutas'!CS332,"")</f>
        <v>0</v>
      </c>
      <c r="BC334" s="804" t="str">
        <f t="shared" si="213"/>
        <v/>
      </c>
      <c r="BD334" s="805" t="str">
        <f t="shared" si="214"/>
        <v>N/D</v>
      </c>
      <c r="BE334" s="806" t="str">
        <f t="shared" si="215"/>
        <v/>
      </c>
      <c r="BF334" s="890">
        <f>IF(ISNUMBER('Base de datos Rutas'!CX332),'Base de datos Rutas'!CX332/100,"")</f>
        <v>0</v>
      </c>
      <c r="BG334" s="891">
        <f>IF(ISNUMBER('Base de datos Rutas'!CZ332),'Base de datos Rutas'!CZ332/100,"")</f>
        <v>0</v>
      </c>
      <c r="BH334" s="892">
        <f>IF(ISNUMBER('Base de datos Rutas'!DA332),'Base de datos Rutas'!DA332,"")</f>
        <v>0</v>
      </c>
      <c r="BI334" s="893">
        <f>IF(ISNUMBER('Base de datos Rutas'!DC332),'Base de datos Rutas'!DC332,"")</f>
        <v>0</v>
      </c>
      <c r="BJ334" s="805" t="str">
        <f t="shared" si="216"/>
        <v>Ruta (completo)</v>
      </c>
      <c r="BK334" s="783">
        <f t="shared" si="204"/>
        <v>1</v>
      </c>
      <c r="BL334" s="797">
        <f t="shared" si="205"/>
        <v>1</v>
      </c>
      <c r="BM334" s="797">
        <f t="shared" si="206"/>
        <v>1</v>
      </c>
      <c r="BN334" s="797">
        <f t="shared" si="207"/>
        <v>1</v>
      </c>
      <c r="BO334" s="798" cm="1">
        <f t="array" ref="BO334">SUMPRODUCT(--ISNUMBER($BF334:$BI334),$BK$3:$BN$3)</f>
        <v>1</v>
      </c>
      <c r="BP334" s="831">
        <f t="shared" si="217"/>
        <v>0</v>
      </c>
      <c r="BQ334" s="834" t="str">
        <f t="shared" si="218"/>
        <v>Bajo</v>
      </c>
      <c r="BR334" s="836" t="str">
        <f t="shared" si="208"/>
        <v/>
      </c>
      <c r="BS334" s="836">
        <f t="shared" si="209"/>
        <v>0</v>
      </c>
      <c r="BT334" s="837" t="str">
        <f t="shared" si="210"/>
        <v>Sin datos</v>
      </c>
      <c r="BU334" s="807" t="str">
        <f t="shared" si="219"/>
        <v>Con espacio</v>
      </c>
      <c r="BV334" s="807" t="str">
        <f t="shared" si="211"/>
        <v>Zona de bajo potencial</v>
      </c>
      <c r="BW334" s="808" t="str">
        <f t="shared" si="212"/>
        <v>Sin datos</v>
      </c>
    </row>
    <row r="335" spans="1:75">
      <c r="A335" s="780" t="str">
        <f>'Base de datos Rutas'!A333</f>
        <v>Occidente</v>
      </c>
      <c r="B335" s="781" t="str">
        <f>'Base de datos Rutas'!B333</f>
        <v>Favorita</v>
      </c>
      <c r="C335" s="781" t="str">
        <f>'Base de datos Rutas'!C333</f>
        <v>Cedi Tonalá</v>
      </c>
      <c r="D335" s="782">
        <f>IF(ISNUMBER('Base de datos Rutas'!D333),'Base de datos Rutas'!D333,"Sin código")</f>
        <v>810360</v>
      </c>
      <c r="E335" s="783" t="str">
        <f>'Base de datos Rutas'!F333</f>
        <v>Activa</v>
      </c>
      <c r="F335" s="784" t="str">
        <f>'Base de datos Rutas'!H333</f>
        <v>Sí</v>
      </c>
      <c r="G335" s="785">
        <f>IF(ISNUMBER('Base de datos Rutas'!BE333),'Base de datos Rutas'!BE333,"")</f>
        <v>75.436090225563902</v>
      </c>
      <c r="H335" s="786">
        <f>IF(ISNUMBER('Base de datos Rutas'!BH333),'Base de datos Rutas'!BH333,"")</f>
        <v>0.39682381474467598</v>
      </c>
      <c r="I335" s="788">
        <f>IFERROR(IF(OR(NOT(ISNUMBER('Base de datos Rutas'!O333)),N('Base de datos Rutas'!BK333)=0),"",'Base de datos Rutas'!O333/('Base de datos Rutas'!L333/'Base de datos Rutas'!BK333)),"")</f>
        <v>3186.3069767441862</v>
      </c>
      <c r="J335" s="788">
        <f>IFERROR(IF(OR(NOT(ISNUMBER('Base de datos Rutas'!N333)),N('Base de datos Rutas'!BK333)=0),"",'Base de datos Rutas'!N333/('Base de datos Rutas'!L333/'Base de datos Rutas'!BK333)),"")</f>
        <v>7312.7558139534885</v>
      </c>
      <c r="K335" s="788">
        <f>IFERROR(IF(OR(NOT(ISNUMBER('Base de datos Rutas'!J333)),N('Base de datos Rutas'!BK333)=0),"",'Base de datos Rutas'!J333/('Base de datos Rutas'!L333/'Base de datos Rutas'!BK333)),"")</f>
        <v>498.16565953488373</v>
      </c>
      <c r="L335" s="788">
        <f>IFERROR(IF(OR(NOT(ISNUMBER('Base de datos Rutas'!K333)),N('Base de datos Rutas'!BK333)=0),"",'Base de datos Rutas'!K333/('Base de datos Rutas'!L333/'Base de datos Rutas'!BK333)),"")</f>
        <v>23.101432848837209</v>
      </c>
      <c r="M335" s="787">
        <f>IF(ISNUMBER('Base de datos Rutas'!AX333),'Base de datos Rutas'!AX333,"")</f>
        <v>359.12788004136502</v>
      </c>
      <c r="N335" s="790">
        <f>IFERROR(INDEX('Hoja de apoyo v2'!B$17:B$20,MATCH($A335,'Hoja de apoyo v2'!$A$17:$A$20,0)),"")</f>
        <v>89.41621024641401</v>
      </c>
      <c r="O335" s="791">
        <f>IFERROR(INDEX('Hoja de apoyo v2'!C$17:C$20,MATCH($A335,'Hoja de apoyo v2'!$A$17:$A$20,0)),"")</f>
        <v>0.54706375874806301</v>
      </c>
      <c r="P335" s="793">
        <f>IFERROR(INDEX('Hoja de apoyo v2'!D$17:D$20,MATCH($A335,'Hoja de apoyo v2'!$A$17:$A$20,0)),"")</f>
        <v>11095.153935793827</v>
      </c>
      <c r="Q335" s="793">
        <f>IFERROR(INDEX('Hoja de apoyo v2'!E$17:E$20,MATCH($A335,'Hoja de apoyo v2'!$A$17:$A$20,0)),"")</f>
        <v>6982.3202019701848</v>
      </c>
      <c r="R335" s="793">
        <f>IFERROR(INDEX('Hoja de apoyo v2'!F$17:F$20,MATCH($A335,'Hoja de apoyo v2'!$A$17:$A$20,0)),"")</f>
        <v>448.09513474485743</v>
      </c>
      <c r="S335" s="793">
        <f>IFERROR(INDEX('Hoja de apoyo v2'!G$17:G$20,MATCH($A335,'Hoja de apoyo v2'!$A$17:$A$20,0)),"")</f>
        <v>83.406300904207839</v>
      </c>
      <c r="T335" s="792">
        <f>IFERROR(INDEX('Hoja de apoyo v2'!H$17:H$20,MATCH($A335,'Hoja de apoyo v2'!$A$17:$A$20,0)),"")</f>
        <v>378.97014028925349</v>
      </c>
      <c r="U335" s="794">
        <f t="shared" si="184"/>
        <v>0.84365116814587016</v>
      </c>
      <c r="V335" s="795">
        <f t="shared" si="185"/>
        <v>0.72537032183011707</v>
      </c>
      <c r="W335" s="795">
        <f t="shared" si="186"/>
        <v>0.28718006033831694</v>
      </c>
      <c r="X335" s="843">
        <f t="shared" si="187"/>
        <v>1.0473246145156829</v>
      </c>
      <c r="Y335" s="843">
        <f t="shared" si="188"/>
        <v>1.1117408356119201</v>
      </c>
      <c r="Z335" s="843">
        <f t="shared" si="189"/>
        <v>0.27697467215779309</v>
      </c>
      <c r="AA335" s="843">
        <f t="shared" si="190"/>
        <v>0.94764162624331394</v>
      </c>
      <c r="AB335" s="796">
        <f t="shared" si="191"/>
        <v>3</v>
      </c>
      <c r="AC335" s="797">
        <f t="shared" si="192"/>
        <v>2</v>
      </c>
      <c r="AD335" s="797">
        <f t="shared" si="193"/>
        <v>1</v>
      </c>
      <c r="AE335" s="842">
        <f t="shared" si="194"/>
        <v>4</v>
      </c>
      <c r="AF335" s="842">
        <f t="shared" si="195"/>
        <v>4</v>
      </c>
      <c r="AG335" s="842">
        <f t="shared" si="196"/>
        <v>1</v>
      </c>
      <c r="AH335" s="842">
        <f t="shared" si="197"/>
        <v>3</v>
      </c>
      <c r="AI335" s="826" cm="1">
        <f t="array" ref="AI335">SUMPRODUCT(--ISNUMBER($U335:$AA335),$AB$3:$AH$3)</f>
        <v>1</v>
      </c>
      <c r="AJ335" s="829">
        <f t="shared" si="198"/>
        <v>34.946110097592566</v>
      </c>
      <c r="AK335" s="827" t="str">
        <f t="shared" si="199"/>
        <v>Inmadura</v>
      </c>
      <c r="AL335" s="784" t="str">
        <f t="shared" si="200"/>
        <v>Alta</v>
      </c>
      <c r="AM335" s="799">
        <f>IF(ISNUMBER('Base de datos Rutas'!W333),'Base de datos Rutas'!W333,"")</f>
        <v>2982.1586443005776</v>
      </c>
      <c r="AN335" s="787">
        <f>IFERROR(SUMIFS('Base de datos Rutas'!$W$6:$W$794,'Base de datos Rutas'!$C$6:$C$794,$C335)/'Base de datos Rutas'!I333,"")</f>
        <v>2982.158644300579</v>
      </c>
      <c r="AO335" s="800">
        <f>IFERROR('Base de datos Rutas'!X333*AN335/AM335,"")</f>
        <v>0.51837289520136576</v>
      </c>
      <c r="AP335" s="800">
        <f t="shared" si="201"/>
        <v>0.48162710479863424</v>
      </c>
      <c r="AQ335" s="789">
        <f>IFERROR(INDEX('Hoja de apoyo v2'!$J$17:$J$20,MATCH($A335,'Hoja de apoyo v2'!$A$17:$A$20,0)),"")</f>
        <v>0.64320274048480885</v>
      </c>
      <c r="AR335" s="789">
        <f t="shared" si="202"/>
        <v>-0.16157563568617461</v>
      </c>
      <c r="AS335" s="784" t="str">
        <f t="shared" si="203"/>
        <v>No</v>
      </c>
      <c r="AT335" s="801">
        <f>IF(ISNUMBER('Base de datos Rutas'!CK333),'Base de datos Rutas'!CK333,"")</f>
        <v>214</v>
      </c>
      <c r="AU335" s="802">
        <f>IF(ISNUMBER('Base de datos Rutas'!CL333),'Base de datos Rutas'!CL333,"")</f>
        <v>214</v>
      </c>
      <c r="AV335" s="802">
        <f>IF(ISNUMBER('Base de datos Rutas'!CM333),'Base de datos Rutas'!CM333,"")</f>
        <v>0</v>
      </c>
      <c r="AW335" s="802" t="str">
        <f>IF(ISNUMBER('Base de datos Rutas'!CN333),'Base de datos Rutas'!CN333,"")</f>
        <v/>
      </c>
      <c r="AX335" s="802">
        <f>IF(ISNUMBER('Base de datos Rutas'!CO333),'Base de datos Rutas'!CO333,"")</f>
        <v>9.4499999999999993</v>
      </c>
      <c r="AY335" s="802">
        <f>IF(ISNUMBER('Base de datos Rutas'!CP333),'Base de datos Rutas'!CP333,"")</f>
        <v>9.4499999999999993</v>
      </c>
      <c r="AZ335" s="802" t="str">
        <f>IF(ISNUMBER('Base de datos Rutas'!CQ333),'Base de datos Rutas'!CQ333,"")</f>
        <v/>
      </c>
      <c r="BA335" s="802" t="str">
        <f>IF(ISNUMBER('Base de datos Rutas'!CR333),'Base de datos Rutas'!CR333,"")</f>
        <v/>
      </c>
      <c r="BB335" s="803">
        <f>IF(ISNUMBER('Base de datos Rutas'!CS333),'Base de datos Rutas'!CS333,"")</f>
        <v>0</v>
      </c>
      <c r="BC335" s="804" t="str">
        <f t="shared" si="213"/>
        <v/>
      </c>
      <c r="BD335" s="805" t="str">
        <f t="shared" si="214"/>
        <v>N/D</v>
      </c>
      <c r="BE335" s="806" t="str">
        <f t="shared" si="215"/>
        <v/>
      </c>
      <c r="BF335" s="890">
        <f>IF(ISNUMBER('Base de datos Rutas'!CX333),'Base de datos Rutas'!CX333/100,"")</f>
        <v>0</v>
      </c>
      <c r="BG335" s="891">
        <f>IF(ISNUMBER('Base de datos Rutas'!CZ333),'Base de datos Rutas'!CZ333/100,"")</f>
        <v>0</v>
      </c>
      <c r="BH335" s="892">
        <f>IF(ISNUMBER('Base de datos Rutas'!DA333),'Base de datos Rutas'!DA333,"")</f>
        <v>0</v>
      </c>
      <c r="BI335" s="893">
        <f>IF(ISNUMBER('Base de datos Rutas'!DC333),'Base de datos Rutas'!DC333,"")</f>
        <v>0</v>
      </c>
      <c r="BJ335" s="805" t="str">
        <f t="shared" si="216"/>
        <v>Ruta (completo)</v>
      </c>
      <c r="BK335" s="783">
        <f t="shared" si="204"/>
        <v>1</v>
      </c>
      <c r="BL335" s="797">
        <f t="shared" si="205"/>
        <v>1</v>
      </c>
      <c r="BM335" s="797">
        <f t="shared" si="206"/>
        <v>1</v>
      </c>
      <c r="BN335" s="797">
        <f t="shared" si="207"/>
        <v>1</v>
      </c>
      <c r="BO335" s="798" cm="1">
        <f t="array" ref="BO335">SUMPRODUCT(--ISNUMBER($BF335:$BI335),$BK$3:$BN$3)</f>
        <v>1</v>
      </c>
      <c r="BP335" s="831">
        <f t="shared" si="217"/>
        <v>0</v>
      </c>
      <c r="BQ335" s="834" t="str">
        <f t="shared" si="218"/>
        <v>Bajo</v>
      </c>
      <c r="BR335" s="836" t="str">
        <f t="shared" si="208"/>
        <v/>
      </c>
      <c r="BS335" s="836">
        <f t="shared" si="209"/>
        <v>0</v>
      </c>
      <c r="BT335" s="837" t="str">
        <f t="shared" si="210"/>
        <v>Sin datos</v>
      </c>
      <c r="BU335" s="807" t="str">
        <f t="shared" si="219"/>
        <v>Con espacio</v>
      </c>
      <c r="BV335" s="807" t="str">
        <f t="shared" si="211"/>
        <v>Zona de bajo potencial</v>
      </c>
      <c r="BW335" s="808" t="str">
        <f t="shared" si="212"/>
        <v>Sin datos</v>
      </c>
    </row>
    <row r="336" spans="1:75">
      <c r="A336" s="780" t="str">
        <f>'Base de datos Rutas'!A334</f>
        <v>Occidente</v>
      </c>
      <c r="B336" s="781" t="str">
        <f>'Base de datos Rutas'!B334</f>
        <v>Favorita</v>
      </c>
      <c r="C336" s="781" t="str">
        <f>'Base de datos Rutas'!C334</f>
        <v>Cedi Tonalá</v>
      </c>
      <c r="D336" s="782">
        <f>IF(ISNUMBER('Base de datos Rutas'!D334),'Base de datos Rutas'!D334,"Sin código")</f>
        <v>810361</v>
      </c>
      <c r="E336" s="783" t="str">
        <f>'Base de datos Rutas'!F334</f>
        <v>Activa</v>
      </c>
      <c r="F336" s="784" t="str">
        <f>'Base de datos Rutas'!H334</f>
        <v>Sí</v>
      </c>
      <c r="G336" s="785">
        <f>IF(ISNUMBER('Base de datos Rutas'!BE334),'Base de datos Rutas'!BE334,"")</f>
        <v>77.405000000000001</v>
      </c>
      <c r="H336" s="786">
        <f>IF(ISNUMBER('Base de datos Rutas'!BH334),'Base de datos Rutas'!BH334,"")</f>
        <v>0.33877010529035601</v>
      </c>
      <c r="I336" s="788">
        <f>IFERROR(IF(OR(NOT(ISNUMBER('Base de datos Rutas'!O334)),N('Base de datos Rutas'!BK334)=0),"",'Base de datos Rutas'!O334/('Base de datos Rutas'!L334/'Base de datos Rutas'!BK334)),"")</f>
        <v>2734.7169373549882</v>
      </c>
      <c r="J336" s="788">
        <f>IFERROR(IF(OR(NOT(ISNUMBER('Base de datos Rutas'!N334)),N('Base de datos Rutas'!BK334)=0),"",'Base de datos Rutas'!N334/('Base de datos Rutas'!L334/'Base de datos Rutas'!BK334)),"")</f>
        <v>6034.445475638051</v>
      </c>
      <c r="K336" s="788">
        <f>IFERROR(IF(OR(NOT(ISNUMBER('Base de datos Rutas'!J334)),N('Base de datos Rutas'!BK334)=0),"",'Base de datos Rutas'!J334/('Base de datos Rutas'!L334/'Base de datos Rutas'!BK334)),"")</f>
        <v>423.62785150812061</v>
      </c>
      <c r="L336" s="788">
        <f>IFERROR(IF(OR(NOT(ISNUMBER('Base de datos Rutas'!K334)),N('Base de datos Rutas'!BK334)=0),"",'Base de datos Rutas'!K334/('Base de datos Rutas'!L334/'Base de datos Rutas'!BK334)),"")</f>
        <v>22.183588429234341</v>
      </c>
      <c r="M336" s="787">
        <f>IF(ISNUMBER('Base de datos Rutas'!AX334),'Base de datos Rutas'!AX334,"")</f>
        <v>348.98525484764502</v>
      </c>
      <c r="N336" s="790">
        <f>IFERROR(INDEX('Hoja de apoyo v2'!B$17:B$20,MATCH($A336,'Hoja de apoyo v2'!$A$17:$A$20,0)),"")</f>
        <v>89.41621024641401</v>
      </c>
      <c r="O336" s="791">
        <f>IFERROR(INDEX('Hoja de apoyo v2'!C$17:C$20,MATCH($A336,'Hoja de apoyo v2'!$A$17:$A$20,0)),"")</f>
        <v>0.54706375874806301</v>
      </c>
      <c r="P336" s="793">
        <f>IFERROR(INDEX('Hoja de apoyo v2'!D$17:D$20,MATCH($A336,'Hoja de apoyo v2'!$A$17:$A$20,0)),"")</f>
        <v>11095.153935793827</v>
      </c>
      <c r="Q336" s="793">
        <f>IFERROR(INDEX('Hoja de apoyo v2'!E$17:E$20,MATCH($A336,'Hoja de apoyo v2'!$A$17:$A$20,0)),"")</f>
        <v>6982.3202019701848</v>
      </c>
      <c r="R336" s="793">
        <f>IFERROR(INDEX('Hoja de apoyo v2'!F$17:F$20,MATCH($A336,'Hoja de apoyo v2'!$A$17:$A$20,0)),"")</f>
        <v>448.09513474485743</v>
      </c>
      <c r="S336" s="793">
        <f>IFERROR(INDEX('Hoja de apoyo v2'!G$17:G$20,MATCH($A336,'Hoja de apoyo v2'!$A$17:$A$20,0)),"")</f>
        <v>83.406300904207839</v>
      </c>
      <c r="T336" s="792">
        <f>IFERROR(INDEX('Hoja de apoyo v2'!H$17:H$20,MATCH($A336,'Hoja de apoyo v2'!$A$17:$A$20,0)),"")</f>
        <v>378.97014028925349</v>
      </c>
      <c r="U336" s="794">
        <f t="shared" si="184"/>
        <v>0.86567077475869969</v>
      </c>
      <c r="V336" s="795">
        <f t="shared" si="185"/>
        <v>0.61925159521738382</v>
      </c>
      <c r="W336" s="795">
        <f t="shared" si="186"/>
        <v>0.24647850342414621</v>
      </c>
      <c r="X336" s="843">
        <f t="shared" si="187"/>
        <v>0.86424645405624989</v>
      </c>
      <c r="Y336" s="843">
        <f t="shared" si="188"/>
        <v>0.94539712364726225</v>
      </c>
      <c r="Z336" s="843">
        <f t="shared" si="189"/>
        <v>0.26597017477986701</v>
      </c>
      <c r="AA336" s="843">
        <f t="shared" si="190"/>
        <v>0.92087797360836354</v>
      </c>
      <c r="AB336" s="796">
        <f t="shared" si="191"/>
        <v>3</v>
      </c>
      <c r="AC336" s="797">
        <f t="shared" si="192"/>
        <v>2</v>
      </c>
      <c r="AD336" s="797">
        <f t="shared" si="193"/>
        <v>1</v>
      </c>
      <c r="AE336" s="842">
        <f t="shared" si="194"/>
        <v>3</v>
      </c>
      <c r="AF336" s="842">
        <f t="shared" si="195"/>
        <v>3</v>
      </c>
      <c r="AG336" s="842">
        <f t="shared" si="196"/>
        <v>1</v>
      </c>
      <c r="AH336" s="842">
        <f t="shared" si="197"/>
        <v>3</v>
      </c>
      <c r="AI336" s="826" cm="1">
        <f t="array" ref="AI336">SUMPRODUCT(--ISNUMBER($U336:$AA336),$AB$3:$AH$3)</f>
        <v>1</v>
      </c>
      <c r="AJ336" s="829">
        <f t="shared" si="198"/>
        <v>28.610617939334084</v>
      </c>
      <c r="AK336" s="827" t="str">
        <f t="shared" si="199"/>
        <v>Inmadura</v>
      </c>
      <c r="AL336" s="784" t="str">
        <f t="shared" si="200"/>
        <v>Alta</v>
      </c>
      <c r="AM336" s="799">
        <f>IF(ISNUMBER('Base de datos Rutas'!W334),'Base de datos Rutas'!W334,"")</f>
        <v>2982.1586443005776</v>
      </c>
      <c r="AN336" s="787">
        <f>IFERROR(SUMIFS('Base de datos Rutas'!$W$6:$W$794,'Base de datos Rutas'!$C$6:$C$794,$C336)/'Base de datos Rutas'!I334,"")</f>
        <v>2982.158644300579</v>
      </c>
      <c r="AO336" s="800">
        <f>IFERROR('Base de datos Rutas'!X334*AN336/AM336,"")</f>
        <v>0.51837289520136576</v>
      </c>
      <c r="AP336" s="800">
        <f t="shared" si="201"/>
        <v>0.48162710479863424</v>
      </c>
      <c r="AQ336" s="789">
        <f>IFERROR(INDEX('Hoja de apoyo v2'!$J$17:$J$20,MATCH($A336,'Hoja de apoyo v2'!$A$17:$A$20,0)),"")</f>
        <v>0.64320274048480885</v>
      </c>
      <c r="AR336" s="789">
        <f t="shared" si="202"/>
        <v>-0.16157563568617461</v>
      </c>
      <c r="AS336" s="784" t="str">
        <f t="shared" si="203"/>
        <v>No</v>
      </c>
      <c r="AT336" s="801">
        <f>IF(ISNUMBER('Base de datos Rutas'!CK334),'Base de datos Rutas'!CK334,"")</f>
        <v>268</v>
      </c>
      <c r="AU336" s="802">
        <f>IF(ISNUMBER('Base de datos Rutas'!CL334),'Base de datos Rutas'!CL334,"")</f>
        <v>270.05</v>
      </c>
      <c r="AV336" s="802">
        <f>IF(ISNUMBER('Base de datos Rutas'!CM334),'Base de datos Rutas'!CM334,"")</f>
        <v>2.0500000000000114</v>
      </c>
      <c r="AW336" s="802">
        <f>IF(ISNUMBER('Base de datos Rutas'!CN334),'Base de datos Rutas'!CN334,"")</f>
        <v>7</v>
      </c>
      <c r="AX336" s="802">
        <f>IF(ISNUMBER('Base de datos Rutas'!CO334),'Base de datos Rutas'!CO334,"")</f>
        <v>9.4499999999999993</v>
      </c>
      <c r="AY336" s="802">
        <f>IF(ISNUMBER('Base de datos Rutas'!CP334),'Base de datos Rutas'!CP334,"")</f>
        <v>2.4499999999999993</v>
      </c>
      <c r="AZ336" s="802">
        <f>IF(ISNUMBER('Base de datos Rutas'!CQ334),'Base de datos Rutas'!CQ334,"")</f>
        <v>282.19</v>
      </c>
      <c r="BA336" s="802">
        <f>IF(ISNUMBER('Base de datos Rutas'!CR334),'Base de datos Rutas'!CR334,"")</f>
        <v>445.81</v>
      </c>
      <c r="BB336" s="803">
        <f>IF(ISNUMBER('Base de datos Rutas'!CS334),'Base de datos Rutas'!CS334,"")</f>
        <v>-163.62</v>
      </c>
      <c r="BC336" s="804">
        <f t="shared" si="213"/>
        <v>1</v>
      </c>
      <c r="BD336" s="805" t="str">
        <f t="shared" si="214"/>
        <v>Saturada</v>
      </c>
      <c r="BE336" s="806">
        <f t="shared" si="215"/>
        <v>1.5798221056734825</v>
      </c>
      <c r="BF336" s="890">
        <f>IF(ISNUMBER('Base de datos Rutas'!CX334),'Base de datos Rutas'!CX334/100,"")</f>
        <v>0.10736597086649648</v>
      </c>
      <c r="BG336" s="891">
        <f>IF(ISNUMBER('Base de datos Rutas'!CZ334),'Base de datos Rutas'!CZ334/100,"")</f>
        <v>0.10767382489863345</v>
      </c>
      <c r="BH336" s="892">
        <f>IF(ISNUMBER('Base de datos Rutas'!DA334),'Base de datos Rutas'!DA334,"")</f>
        <v>3.8185481267968262</v>
      </c>
      <c r="BI336" s="893">
        <f>IF(ISNUMBER('Base de datos Rutas'!DC334),'Base de datos Rutas'!DC334,"")</f>
        <v>0.17254036525772962</v>
      </c>
      <c r="BJ336" s="805" t="str">
        <f t="shared" si="216"/>
        <v>Ruta (completo)</v>
      </c>
      <c r="BK336" s="783">
        <f t="shared" si="204"/>
        <v>3</v>
      </c>
      <c r="BL336" s="797">
        <f t="shared" si="205"/>
        <v>3</v>
      </c>
      <c r="BM336" s="797">
        <f t="shared" si="206"/>
        <v>2</v>
      </c>
      <c r="BN336" s="797">
        <f t="shared" si="207"/>
        <v>2</v>
      </c>
      <c r="BO336" s="798" cm="1">
        <f t="array" ref="BO336">SUMPRODUCT(--ISNUMBER($BF336:$BI336),$BK$3:$BN$3)</f>
        <v>1</v>
      </c>
      <c r="BP336" s="831">
        <f t="shared" si="217"/>
        <v>37.5</v>
      </c>
      <c r="BQ336" s="834" t="str">
        <f t="shared" si="218"/>
        <v>Medio</v>
      </c>
      <c r="BR336" s="836">
        <f t="shared" si="208"/>
        <v>46.457963454500565</v>
      </c>
      <c r="BS336" s="836">
        <f t="shared" si="209"/>
        <v>37.5</v>
      </c>
      <c r="BT336" s="837" t="str">
        <f t="shared" si="210"/>
        <v>P2</v>
      </c>
      <c r="BU336" s="807" t="str">
        <f t="shared" si="219"/>
        <v>Al tope</v>
      </c>
      <c r="BV336" s="807" t="str">
        <f t="shared" si="211"/>
        <v>Zona de bajo potencial</v>
      </c>
      <c r="BW336" s="808" t="str">
        <f t="shared" si="212"/>
        <v>P2 - Mantener</v>
      </c>
    </row>
    <row r="337" spans="1:75">
      <c r="A337" s="780" t="str">
        <f>'Base de datos Rutas'!A335</f>
        <v>Occidente</v>
      </c>
      <c r="B337" s="781" t="str">
        <f>'Base de datos Rutas'!B335</f>
        <v>Zapopan</v>
      </c>
      <c r="C337" s="781" t="str">
        <f>'Base de datos Rutas'!C335</f>
        <v>Planta Zapopan</v>
      </c>
      <c r="D337" s="782">
        <f>IF(ISNUMBER('Base de datos Rutas'!D335),'Base de datos Rutas'!D335,"Sin código")</f>
        <v>816327</v>
      </c>
      <c r="E337" s="783" t="str">
        <f>'Base de datos Rutas'!F335</f>
        <v>Activa</v>
      </c>
      <c r="F337" s="784" t="str">
        <f>'Base de datos Rutas'!H335</f>
        <v>Sí</v>
      </c>
      <c r="G337" s="785">
        <f>IF(ISNUMBER('Base de datos Rutas'!BE335),'Base de datos Rutas'!BE335,"")</f>
        <v>81.526195899772205</v>
      </c>
      <c r="H337" s="786">
        <f>IF(ISNUMBER('Base de datos Rutas'!BH335),'Base de datos Rutas'!BH335,"")</f>
        <v>0.29773679798826502</v>
      </c>
      <c r="I337" s="788">
        <f>IFERROR(IF(OR(NOT(ISNUMBER('Base de datos Rutas'!O335)),N('Base de datos Rutas'!BK335)=0),"",'Base de datos Rutas'!O335/('Base de datos Rutas'!L335/'Base de datos Rutas'!BK335)),"")</f>
        <v>4087.0820045558021</v>
      </c>
      <c r="J337" s="788">
        <f>IFERROR(IF(OR(NOT(ISNUMBER('Base de datos Rutas'!N335)),N('Base de datos Rutas'!BK335)=0),"",'Base de datos Rutas'!N335/('Base de datos Rutas'!L335/'Base de datos Rutas'!BK335)),"")</f>
        <v>6138.2892938496489</v>
      </c>
      <c r="K337" s="788">
        <f>IFERROR(IF(OR(NOT(ISNUMBER('Base de datos Rutas'!J335)),N('Base de datos Rutas'!BK335)=0),"",'Base de datos Rutas'!J335/('Base de datos Rutas'!L335/'Base de datos Rutas'!BK335)),"")</f>
        <v>439.37727562642306</v>
      </c>
      <c r="L337" s="788">
        <f>IFERROR(IF(OR(NOT(ISNUMBER('Base de datos Rutas'!K335)),N('Base de datos Rutas'!BK335)=0),"",'Base de datos Rutas'!K335/('Base de datos Rutas'!L335/'Base de datos Rutas'!BK335)),"")</f>
        <v>28.470075619589934</v>
      </c>
      <c r="M337" s="787">
        <f>IF(ISNUMBER('Base de datos Rutas'!AX335),'Base de datos Rutas'!AX335,"")</f>
        <v>437.41795795795798</v>
      </c>
      <c r="N337" s="790">
        <f>IFERROR(INDEX('Hoja de apoyo v2'!B$17:B$20,MATCH($A337,'Hoja de apoyo v2'!$A$17:$A$20,0)),"")</f>
        <v>89.41621024641401</v>
      </c>
      <c r="O337" s="791">
        <f>IFERROR(INDEX('Hoja de apoyo v2'!C$17:C$20,MATCH($A337,'Hoja de apoyo v2'!$A$17:$A$20,0)),"")</f>
        <v>0.54706375874806301</v>
      </c>
      <c r="P337" s="793">
        <f>IFERROR(INDEX('Hoja de apoyo v2'!D$17:D$20,MATCH($A337,'Hoja de apoyo v2'!$A$17:$A$20,0)),"")</f>
        <v>11095.153935793827</v>
      </c>
      <c r="Q337" s="793">
        <f>IFERROR(INDEX('Hoja de apoyo v2'!E$17:E$20,MATCH($A337,'Hoja de apoyo v2'!$A$17:$A$20,0)),"")</f>
        <v>6982.3202019701848</v>
      </c>
      <c r="R337" s="793">
        <f>IFERROR(INDEX('Hoja de apoyo v2'!F$17:F$20,MATCH($A337,'Hoja de apoyo v2'!$A$17:$A$20,0)),"")</f>
        <v>448.09513474485743</v>
      </c>
      <c r="S337" s="793">
        <f>IFERROR(INDEX('Hoja de apoyo v2'!G$17:G$20,MATCH($A337,'Hoja de apoyo v2'!$A$17:$A$20,0)),"")</f>
        <v>83.406300904207839</v>
      </c>
      <c r="T337" s="792">
        <f>IFERROR(INDEX('Hoja de apoyo v2'!H$17:H$20,MATCH($A337,'Hoja de apoyo v2'!$A$17:$A$20,0)),"")</f>
        <v>378.97014028925349</v>
      </c>
      <c r="U337" s="794">
        <f t="shared" si="184"/>
        <v>0.91176080573199836</v>
      </c>
      <c r="V337" s="795">
        <f t="shared" si="185"/>
        <v>0.54424515100328641</v>
      </c>
      <c r="W337" s="795">
        <f t="shared" si="186"/>
        <v>0.368366408272224</v>
      </c>
      <c r="X337" s="843">
        <f t="shared" si="187"/>
        <v>0.87911884821862252</v>
      </c>
      <c r="Y337" s="843">
        <f t="shared" si="188"/>
        <v>0.98054462447266189</v>
      </c>
      <c r="Z337" s="843">
        <f t="shared" si="189"/>
        <v>0.34134202465456204</v>
      </c>
      <c r="AA337" s="843">
        <f t="shared" si="190"/>
        <v>1.1542280286887339</v>
      </c>
      <c r="AB337" s="796">
        <f t="shared" si="191"/>
        <v>3</v>
      </c>
      <c r="AC337" s="797">
        <f t="shared" si="192"/>
        <v>2</v>
      </c>
      <c r="AD337" s="797">
        <f t="shared" si="193"/>
        <v>1</v>
      </c>
      <c r="AE337" s="842">
        <f t="shared" si="194"/>
        <v>3</v>
      </c>
      <c r="AF337" s="842">
        <f t="shared" si="195"/>
        <v>3</v>
      </c>
      <c r="AG337" s="842">
        <f t="shared" si="196"/>
        <v>1</v>
      </c>
      <c r="AH337" s="842">
        <f t="shared" si="197"/>
        <v>4</v>
      </c>
      <c r="AI337" s="826" cm="1">
        <f t="array" ref="AI337">SUMPRODUCT(--ISNUMBER($U337:$AA337),$AB$3:$AH$3)</f>
        <v>1</v>
      </c>
      <c r="AJ337" s="829">
        <f t="shared" si="198"/>
        <v>30.855345779660649</v>
      </c>
      <c r="AK337" s="827" t="str">
        <f t="shared" si="199"/>
        <v>Inmadura</v>
      </c>
      <c r="AL337" s="784" t="str">
        <f t="shared" si="200"/>
        <v>Alta</v>
      </c>
      <c r="AM337" s="799">
        <f>IF(ISNUMBER('Base de datos Rutas'!W335),'Base de datos Rutas'!W335,"")</f>
        <v>3427.1365491869451</v>
      </c>
      <c r="AN337" s="787">
        <f>IFERROR(SUMIFS('Base de datos Rutas'!$W$6:$W$794,'Base de datos Rutas'!$C$6:$C$794,$C337)/'Base de datos Rutas'!I335,"")</f>
        <v>3427.1365491869487</v>
      </c>
      <c r="AO337" s="800">
        <f>IFERROR('Base de datos Rutas'!X335*AN337/AM337,"")</f>
        <v>0.3483939033672564</v>
      </c>
      <c r="AP337" s="800">
        <f t="shared" si="201"/>
        <v>0.6516060966327436</v>
      </c>
      <c r="AQ337" s="789">
        <f>IFERROR(INDEX('Hoja de apoyo v2'!$J$17:$J$20,MATCH($A337,'Hoja de apoyo v2'!$A$17:$A$20,0)),"")</f>
        <v>0.64320274048480885</v>
      </c>
      <c r="AR337" s="789">
        <f t="shared" si="202"/>
        <v>8.4033561479347485E-3</v>
      </c>
      <c r="AS337" s="784" t="str">
        <f t="shared" si="203"/>
        <v>No</v>
      </c>
      <c r="AT337" s="801">
        <f>IF(ISNUMBER('Base de datos Rutas'!CK335),'Base de datos Rutas'!CK335,"")</f>
        <v>264</v>
      </c>
      <c r="AU337" s="802">
        <f>IF(ISNUMBER('Base de datos Rutas'!CL335),'Base de datos Rutas'!CL335,"")</f>
        <v>383.88</v>
      </c>
      <c r="AV337" s="802">
        <f>IF(ISNUMBER('Base de datos Rutas'!CM335),'Base de datos Rutas'!CM335,"")</f>
        <v>119.88</v>
      </c>
      <c r="AW337" s="802">
        <f>IF(ISNUMBER('Base de datos Rutas'!CN335),'Base de datos Rutas'!CN335,"")</f>
        <v>6.6</v>
      </c>
      <c r="AX337" s="802">
        <f>IF(ISNUMBER('Base de datos Rutas'!CO335),'Base de datos Rutas'!CO335,"")</f>
        <v>9.4499999999999993</v>
      </c>
      <c r="AY337" s="802">
        <f>IF(ISNUMBER('Base de datos Rutas'!CP335),'Base de datos Rutas'!CP335,"")</f>
        <v>2.8499999999999996</v>
      </c>
      <c r="AZ337" s="802">
        <f>IF(ISNUMBER('Base de datos Rutas'!CQ335),'Base de datos Rutas'!CQ335,"")</f>
        <v>846.56</v>
      </c>
      <c r="BA337" s="802">
        <f>IF(ISNUMBER('Base de datos Rutas'!CR335),'Base de datos Rutas'!CR335,"")</f>
        <v>467.85</v>
      </c>
      <c r="BB337" s="803">
        <f>IF(ISNUMBER('Base de datos Rutas'!CS335),'Base de datos Rutas'!CS335,"")</f>
        <v>378.70999999999992</v>
      </c>
      <c r="BC337" s="804">
        <f t="shared" si="213"/>
        <v>0</v>
      </c>
      <c r="BD337" s="805" t="str">
        <f t="shared" si="214"/>
        <v>No saturada</v>
      </c>
      <c r="BE337" s="806">
        <f t="shared" si="215"/>
        <v>0.55264836514836524</v>
      </c>
      <c r="BF337" s="890">
        <f>IF(ISNUMBER('Base de datos Rutas'!CX335),'Base de datos Rutas'!CX335/100,"")</f>
        <v>0.82669497523000701</v>
      </c>
      <c r="BG337" s="891">
        <f>IF(ISNUMBER('Base de datos Rutas'!CZ335),'Base de datos Rutas'!CZ335/100,"")</f>
        <v>0.91153573956121714</v>
      </c>
      <c r="BH337" s="892">
        <f>IF(ISNUMBER('Base de datos Rutas'!DA335),'Base de datos Rutas'!DA335,"")</f>
        <v>1133.3460871040133</v>
      </c>
      <c r="BI337" s="893">
        <f>IF(ISNUMBER('Base de datos Rutas'!DC335),'Base de datos Rutas'!DC335,"")</f>
        <v>46.652993058817387</v>
      </c>
      <c r="BJ337" s="805" t="str">
        <f t="shared" si="216"/>
        <v>Ruta (completo)</v>
      </c>
      <c r="BK337" s="783">
        <f t="shared" si="204"/>
        <v>2</v>
      </c>
      <c r="BL337" s="797">
        <f t="shared" si="205"/>
        <v>2</v>
      </c>
      <c r="BM337" s="797">
        <f t="shared" si="206"/>
        <v>4</v>
      </c>
      <c r="BN337" s="797">
        <f t="shared" si="207"/>
        <v>4</v>
      </c>
      <c r="BO337" s="798" cm="1">
        <f t="array" ref="BO337">SUMPRODUCT(--ISNUMBER($BF337:$BI337),$BK$3:$BN$3)</f>
        <v>1</v>
      </c>
      <c r="BP337" s="831">
        <f t="shared" si="217"/>
        <v>50</v>
      </c>
      <c r="BQ337" s="834" t="str">
        <f t="shared" si="218"/>
        <v>Alto</v>
      </c>
      <c r="BR337" s="836">
        <f t="shared" si="208"/>
        <v>23.141509334745486</v>
      </c>
      <c r="BS337" s="836">
        <f t="shared" si="209"/>
        <v>50</v>
      </c>
      <c r="BT337" s="837" t="str">
        <f t="shared" si="210"/>
        <v>P3</v>
      </c>
      <c r="BU337" s="807" t="str">
        <f t="shared" si="219"/>
        <v>Con espacio</v>
      </c>
      <c r="BV337" s="807" t="str">
        <f t="shared" si="211"/>
        <v>Zona atractiva</v>
      </c>
      <c r="BW337" s="808" t="str">
        <f t="shared" si="212"/>
        <v>P3 - Desarrollar</v>
      </c>
    </row>
    <row r="338" spans="1:75">
      <c r="A338" s="780" t="str">
        <f>'Base de datos Rutas'!A336</f>
        <v>Occidente</v>
      </c>
      <c r="B338" s="781" t="str">
        <f>'Base de datos Rutas'!B336</f>
        <v>Zapopan</v>
      </c>
      <c r="C338" s="781" t="str">
        <f>'Base de datos Rutas'!C336</f>
        <v>Planta Zapopan</v>
      </c>
      <c r="D338" s="782">
        <f>IF(ISNUMBER('Base de datos Rutas'!D336),'Base de datos Rutas'!D336,"Sin código")</f>
        <v>816328</v>
      </c>
      <c r="E338" s="783" t="str">
        <f>'Base de datos Rutas'!F336</f>
        <v>Activa</v>
      </c>
      <c r="F338" s="784" t="str">
        <f>'Base de datos Rutas'!H336</f>
        <v>Sí</v>
      </c>
      <c r="G338" s="785">
        <f>IF(ISNUMBER('Base de datos Rutas'!BE336),'Base de datos Rutas'!BE336,"")</f>
        <v>3</v>
      </c>
      <c r="H338" s="786">
        <f>IF(ISNUMBER('Base de datos Rutas'!BH336),'Base de datos Rutas'!BH336,"")</f>
        <v>0.22222222222222199</v>
      </c>
      <c r="I338" s="788">
        <f>IFERROR(IF(OR(NOT(ISNUMBER('Base de datos Rutas'!O336)),N('Base de datos Rutas'!BK336)=0),"",'Base de datos Rutas'!O336/('Base de datos Rutas'!L336/'Base de datos Rutas'!BK336)),"")</f>
        <v>4344.9565217391255</v>
      </c>
      <c r="J338" s="788">
        <f>IFERROR(IF(OR(NOT(ISNUMBER('Base de datos Rutas'!N336)),N('Base de datos Rutas'!BK336)=0),"",'Base de datos Rutas'!N336/('Base de datos Rutas'!L336/'Base de datos Rutas'!BK336)),"")</f>
        <v>13.565217391304332</v>
      </c>
      <c r="K338" s="788">
        <f>IFERROR(IF(OR(NOT(ISNUMBER('Base de datos Rutas'!J336)),N('Base de datos Rutas'!BK336)=0),"",'Base de datos Rutas'!J336/('Base de datos Rutas'!L336/'Base de datos Rutas'!BK336)),"")</f>
        <v>0.91888695652173802</v>
      </c>
      <c r="L338" s="788">
        <f>IFERROR(IF(OR(NOT(ISNUMBER('Base de datos Rutas'!K336)),N('Base de datos Rutas'!BK336)=0),"",'Base de datos Rutas'!K336/('Base de datos Rutas'!L336/'Base de datos Rutas'!BK336)),"")</f>
        <v>46.044420652173855</v>
      </c>
      <c r="M338" s="787">
        <f>IF(ISNUMBER('Base de datos Rutas'!AX336),'Base de datos Rutas'!AX336,"")</f>
        <v>6265.3718749999998</v>
      </c>
      <c r="N338" s="790">
        <f>IFERROR(INDEX('Hoja de apoyo v2'!B$17:B$20,MATCH($A338,'Hoja de apoyo v2'!$A$17:$A$20,0)),"")</f>
        <v>89.41621024641401</v>
      </c>
      <c r="O338" s="791">
        <f>IFERROR(INDEX('Hoja de apoyo v2'!C$17:C$20,MATCH($A338,'Hoja de apoyo v2'!$A$17:$A$20,0)),"")</f>
        <v>0.54706375874806301</v>
      </c>
      <c r="P338" s="793">
        <f>IFERROR(INDEX('Hoja de apoyo v2'!D$17:D$20,MATCH($A338,'Hoja de apoyo v2'!$A$17:$A$20,0)),"")</f>
        <v>11095.153935793827</v>
      </c>
      <c r="Q338" s="793">
        <f>IFERROR(INDEX('Hoja de apoyo v2'!E$17:E$20,MATCH($A338,'Hoja de apoyo v2'!$A$17:$A$20,0)),"")</f>
        <v>6982.3202019701848</v>
      </c>
      <c r="R338" s="793">
        <f>IFERROR(INDEX('Hoja de apoyo v2'!F$17:F$20,MATCH($A338,'Hoja de apoyo v2'!$A$17:$A$20,0)),"")</f>
        <v>448.09513474485743</v>
      </c>
      <c r="S338" s="793">
        <f>IFERROR(INDEX('Hoja de apoyo v2'!G$17:G$20,MATCH($A338,'Hoja de apoyo v2'!$A$17:$A$20,0)),"")</f>
        <v>83.406300904207839</v>
      </c>
      <c r="T338" s="792">
        <f>IFERROR(INDEX('Hoja de apoyo v2'!H$17:H$20,MATCH($A338,'Hoja de apoyo v2'!$A$17:$A$20,0)),"")</f>
        <v>378.97014028925349</v>
      </c>
      <c r="U338" s="794">
        <f t="shared" si="184"/>
        <v>3.3550963429702207E-2</v>
      </c>
      <c r="V338" s="795">
        <f t="shared" si="185"/>
        <v>0.4062089997165414</v>
      </c>
      <c r="W338" s="795">
        <f t="shared" si="186"/>
        <v>0.39160849384179869</v>
      </c>
      <c r="X338" s="843">
        <f t="shared" si="187"/>
        <v>1.9427950880105251E-3</v>
      </c>
      <c r="Y338" s="843">
        <f t="shared" si="188"/>
        <v>2.0506514917751706E-3</v>
      </c>
      <c r="Z338" s="843">
        <f t="shared" si="189"/>
        <v>0.55204966714752024</v>
      </c>
      <c r="AA338" s="843">
        <f t="shared" si="190"/>
        <v>16.532626739979776</v>
      </c>
      <c r="AB338" s="796">
        <f t="shared" si="191"/>
        <v>1</v>
      </c>
      <c r="AC338" s="797">
        <f t="shared" si="192"/>
        <v>1</v>
      </c>
      <c r="AD338" s="797">
        <f t="shared" si="193"/>
        <v>1</v>
      </c>
      <c r="AE338" s="842">
        <f t="shared" si="194"/>
        <v>1</v>
      </c>
      <c r="AF338" s="842">
        <f t="shared" si="195"/>
        <v>1</v>
      </c>
      <c r="AG338" s="842">
        <f t="shared" si="196"/>
        <v>2</v>
      </c>
      <c r="AH338" s="842">
        <f t="shared" si="197"/>
        <v>5</v>
      </c>
      <c r="AI338" s="826" cm="1">
        <f t="array" ref="AI338">SUMPRODUCT(--ISNUMBER($U338:$AA338),$AB$3:$AH$3)</f>
        <v>1</v>
      </c>
      <c r="AJ338" s="829">
        <f t="shared" si="198"/>
        <v>13.367978129365943</v>
      </c>
      <c r="AK338" s="827" t="str">
        <f t="shared" si="199"/>
        <v>Inmadura</v>
      </c>
      <c r="AL338" s="784" t="str">
        <f t="shared" si="200"/>
        <v>Alta</v>
      </c>
      <c r="AM338" s="799">
        <f>IF(ISNUMBER('Base de datos Rutas'!W336),'Base de datos Rutas'!W336,"")</f>
        <v>3427.1365491869451</v>
      </c>
      <c r="AN338" s="787">
        <f>IFERROR(SUMIFS('Base de datos Rutas'!$W$6:$W$794,'Base de datos Rutas'!$C$6:$C$794,$C338)/'Base de datos Rutas'!I336,"")</f>
        <v>3427.1365491869487</v>
      </c>
      <c r="AO338" s="800">
        <f>IFERROR('Base de datos Rutas'!X336*AN338/AM338,"")</f>
        <v>0.3483939033672564</v>
      </c>
      <c r="AP338" s="800">
        <f t="shared" si="201"/>
        <v>0.6516060966327436</v>
      </c>
      <c r="AQ338" s="789">
        <f>IFERROR(INDEX('Hoja de apoyo v2'!$J$17:$J$20,MATCH($A338,'Hoja de apoyo v2'!$A$17:$A$20,0)),"")</f>
        <v>0.64320274048480885</v>
      </c>
      <c r="AR338" s="789">
        <f t="shared" si="202"/>
        <v>8.4033561479347485E-3</v>
      </c>
      <c r="AS338" s="784" t="str">
        <f t="shared" si="203"/>
        <v>No</v>
      </c>
      <c r="AT338" s="801" t="str">
        <f>IF(ISNUMBER('Base de datos Rutas'!CK336),'Base de datos Rutas'!CK336,"")</f>
        <v/>
      </c>
      <c r="AU338" s="802" t="str">
        <f>IF(ISNUMBER('Base de datos Rutas'!CL336),'Base de datos Rutas'!CL336,"")</f>
        <v/>
      </c>
      <c r="AV338" s="802">
        <f>IF(ISNUMBER('Base de datos Rutas'!CM336),'Base de datos Rutas'!CM336,"")</f>
        <v>0</v>
      </c>
      <c r="AW338" s="802" t="str">
        <f>IF(ISNUMBER('Base de datos Rutas'!CN336),'Base de datos Rutas'!CN336,"")</f>
        <v/>
      </c>
      <c r="AX338" s="802" t="str">
        <f>IF(ISNUMBER('Base de datos Rutas'!CO336),'Base de datos Rutas'!CO336,"")</f>
        <v/>
      </c>
      <c r="AY338" s="802">
        <f>IF(ISNUMBER('Base de datos Rutas'!CP336),'Base de datos Rutas'!CP336,"")</f>
        <v>0</v>
      </c>
      <c r="AZ338" s="802" t="str">
        <f>IF(ISNUMBER('Base de datos Rutas'!CQ336),'Base de datos Rutas'!CQ336,"")</f>
        <v/>
      </c>
      <c r="BA338" s="802" t="str">
        <f>IF(ISNUMBER('Base de datos Rutas'!CR336),'Base de datos Rutas'!CR336,"")</f>
        <v/>
      </c>
      <c r="BB338" s="803">
        <f>IF(ISNUMBER('Base de datos Rutas'!CS336),'Base de datos Rutas'!CS336,"")</f>
        <v>0</v>
      </c>
      <c r="BC338" s="804" t="str">
        <f t="shared" si="213"/>
        <v/>
      </c>
      <c r="BD338" s="805" t="str">
        <f t="shared" si="214"/>
        <v>N/D</v>
      </c>
      <c r="BE338" s="806" t="str">
        <f t="shared" si="215"/>
        <v/>
      </c>
      <c r="BF338" s="890" t="str">
        <f>IF(ISNUMBER('Base de datos Rutas'!CX336),'Base de datos Rutas'!CX336/100,"")</f>
        <v/>
      </c>
      <c r="BG338" s="891" t="str">
        <f>IF(ISNUMBER('Base de datos Rutas'!CZ336),'Base de datos Rutas'!CZ336/100,"")</f>
        <v/>
      </c>
      <c r="BH338" s="892" t="str">
        <f>IF(ISNUMBER('Base de datos Rutas'!DA336),'Base de datos Rutas'!DA336,"")</f>
        <v/>
      </c>
      <c r="BI338" s="893" t="str">
        <f>IF(ISNUMBER('Base de datos Rutas'!DC336),'Base de datos Rutas'!DC336,"")</f>
        <v/>
      </c>
      <c r="BJ338" s="805" t="str">
        <f t="shared" si="216"/>
        <v>Sin dato</v>
      </c>
      <c r="BK338" s="783">
        <f t="shared" si="204"/>
        <v>0</v>
      </c>
      <c r="BL338" s="797">
        <f t="shared" si="205"/>
        <v>0</v>
      </c>
      <c r="BM338" s="797">
        <f t="shared" si="206"/>
        <v>0</v>
      </c>
      <c r="BN338" s="797">
        <f t="shared" si="207"/>
        <v>0</v>
      </c>
      <c r="BO338" s="798" cm="1">
        <f t="array" ref="BO338">SUMPRODUCT(--ISNUMBER($BF338:$BI338),$BK$3:$BN$3)</f>
        <v>0</v>
      </c>
      <c r="BP338" s="831" t="str">
        <f t="shared" si="217"/>
        <v/>
      </c>
      <c r="BQ338" s="834" t="str">
        <f t="shared" si="218"/>
        <v>Sin datos</v>
      </c>
      <c r="BR338" s="836" t="str">
        <f t="shared" si="208"/>
        <v/>
      </c>
      <c r="BS338" s="836" t="str">
        <f t="shared" si="209"/>
        <v/>
      </c>
      <c r="BT338" s="837" t="str">
        <f t="shared" si="210"/>
        <v>Sin datos</v>
      </c>
      <c r="BU338" s="807" t="str">
        <f t="shared" si="219"/>
        <v>Con espacio</v>
      </c>
      <c r="BV338" s="807" t="str">
        <f t="shared" si="211"/>
        <v>Sin datos de zona</v>
      </c>
      <c r="BW338" s="808" t="str">
        <f t="shared" si="212"/>
        <v>Sin datos</v>
      </c>
    </row>
    <row r="339" spans="1:75">
      <c r="A339" s="780" t="str">
        <f>'Base de datos Rutas'!A337</f>
        <v>Occidente</v>
      </c>
      <c r="B339" s="781" t="str">
        <f>'Base de datos Rutas'!B337</f>
        <v>Zapopan</v>
      </c>
      <c r="C339" s="781" t="str">
        <f>'Base de datos Rutas'!C337</f>
        <v>Planta Zapopan</v>
      </c>
      <c r="D339" s="782">
        <f>IF(ISNUMBER('Base de datos Rutas'!D337),'Base de datos Rutas'!D337,"Sin código")</f>
        <v>816329</v>
      </c>
      <c r="E339" s="783" t="str">
        <f>'Base de datos Rutas'!F337</f>
        <v>Activa</v>
      </c>
      <c r="F339" s="784" t="str">
        <f>'Base de datos Rutas'!H337</f>
        <v>Sí</v>
      </c>
      <c r="G339" s="785">
        <f>IF(ISNUMBER('Base de datos Rutas'!BE337),'Base de datos Rutas'!BE337,"")</f>
        <v>76.855504587156005</v>
      </c>
      <c r="H339" s="786">
        <f>IF(ISNUMBER('Base de datos Rutas'!BH337),'Base de datos Rutas'!BH337,"")</f>
        <v>0.37971888149452399</v>
      </c>
      <c r="I339" s="788">
        <f>IFERROR(IF(OR(NOT(ISNUMBER('Base de datos Rutas'!O337)),N('Base de datos Rutas'!BK337)=0),"",'Base de datos Rutas'!O337/('Base de datos Rutas'!L337/'Base de datos Rutas'!BK337)),"")</f>
        <v>5092.7935779816453</v>
      </c>
      <c r="J339" s="788">
        <f>IFERROR(IF(OR(NOT(ISNUMBER('Base de datos Rutas'!N337)),N('Base de datos Rutas'!BK337)=0),"",'Base de datos Rutas'!N337/('Base de datos Rutas'!L337/'Base de datos Rutas'!BK337)),"")</f>
        <v>9173.3623853210902</v>
      </c>
      <c r="K339" s="788">
        <f>IFERROR(IF(OR(NOT(ISNUMBER('Base de datos Rutas'!J337)),N('Base de datos Rutas'!BK337)=0),"",'Base de datos Rutas'!J337/('Base de datos Rutas'!L337/'Base de datos Rutas'!BK337)),"")</f>
        <v>623.98992844036616</v>
      </c>
      <c r="L339" s="788">
        <f>IFERROR(IF(OR(NOT(ISNUMBER('Base de datos Rutas'!K337)),N('Base de datos Rutas'!BK337)=0),"",'Base de datos Rutas'!K337/('Base de datos Rutas'!L337/'Base de datos Rutas'!BK337)),"")</f>
        <v>31.551506729357762</v>
      </c>
      <c r="M339" s="787">
        <f>IF(ISNUMBER('Base de datos Rutas'!AX337),'Base de datos Rutas'!AX337,"")</f>
        <v>488.69646966362802</v>
      </c>
      <c r="N339" s="790">
        <f>IFERROR(INDEX('Hoja de apoyo v2'!B$17:B$20,MATCH($A339,'Hoja de apoyo v2'!$A$17:$A$20,0)),"")</f>
        <v>89.41621024641401</v>
      </c>
      <c r="O339" s="791">
        <f>IFERROR(INDEX('Hoja de apoyo v2'!C$17:C$20,MATCH($A339,'Hoja de apoyo v2'!$A$17:$A$20,0)),"")</f>
        <v>0.54706375874806301</v>
      </c>
      <c r="P339" s="793">
        <f>IFERROR(INDEX('Hoja de apoyo v2'!D$17:D$20,MATCH($A339,'Hoja de apoyo v2'!$A$17:$A$20,0)),"")</f>
        <v>11095.153935793827</v>
      </c>
      <c r="Q339" s="793">
        <f>IFERROR(INDEX('Hoja de apoyo v2'!E$17:E$20,MATCH($A339,'Hoja de apoyo v2'!$A$17:$A$20,0)),"")</f>
        <v>6982.3202019701848</v>
      </c>
      <c r="R339" s="793">
        <f>IFERROR(INDEX('Hoja de apoyo v2'!F$17:F$20,MATCH($A339,'Hoja de apoyo v2'!$A$17:$A$20,0)),"")</f>
        <v>448.09513474485743</v>
      </c>
      <c r="S339" s="793">
        <f>IFERROR(INDEX('Hoja de apoyo v2'!G$17:G$20,MATCH($A339,'Hoja de apoyo v2'!$A$17:$A$20,0)),"")</f>
        <v>83.406300904207839</v>
      </c>
      <c r="T339" s="792">
        <f>IFERROR(INDEX('Hoja de apoyo v2'!H$17:H$20,MATCH($A339,'Hoja de apoyo v2'!$A$17:$A$20,0)),"")</f>
        <v>378.97014028925349</v>
      </c>
      <c r="U339" s="794">
        <f t="shared" si="184"/>
        <v>0.85952540792499377</v>
      </c>
      <c r="V339" s="795">
        <f t="shared" si="185"/>
        <v>0.69410352161418598</v>
      </c>
      <c r="W339" s="795">
        <f t="shared" si="186"/>
        <v>0.45901062819434152</v>
      </c>
      <c r="X339" s="843">
        <f t="shared" si="187"/>
        <v>1.3137985827021603</v>
      </c>
      <c r="Y339" s="843">
        <f t="shared" si="188"/>
        <v>1.3925389500059226</v>
      </c>
      <c r="Z339" s="843">
        <f t="shared" si="189"/>
        <v>0.37828684868298712</v>
      </c>
      <c r="AA339" s="843">
        <f t="shared" si="190"/>
        <v>1.2895381923510507</v>
      </c>
      <c r="AB339" s="796">
        <f t="shared" si="191"/>
        <v>3</v>
      </c>
      <c r="AC339" s="797">
        <f t="shared" si="192"/>
        <v>2</v>
      </c>
      <c r="AD339" s="797">
        <f t="shared" si="193"/>
        <v>1</v>
      </c>
      <c r="AE339" s="842">
        <f t="shared" si="194"/>
        <v>5</v>
      </c>
      <c r="AF339" s="842">
        <f t="shared" si="195"/>
        <v>5</v>
      </c>
      <c r="AG339" s="842">
        <f t="shared" si="196"/>
        <v>1</v>
      </c>
      <c r="AH339" s="842">
        <f t="shared" si="197"/>
        <v>5</v>
      </c>
      <c r="AI339" s="826" cm="1">
        <f t="array" ref="AI339">SUMPRODUCT(--ISNUMBER($U339:$AA339),$AB$3:$AH$3)</f>
        <v>1</v>
      </c>
      <c r="AJ339" s="829">
        <f t="shared" si="198"/>
        <v>45.771057936504178</v>
      </c>
      <c r="AK339" s="827" t="str">
        <f t="shared" si="199"/>
        <v>En desarrollo</v>
      </c>
      <c r="AL339" s="784" t="str">
        <f t="shared" si="200"/>
        <v>Alta</v>
      </c>
      <c r="AM339" s="799">
        <f>IF(ISNUMBER('Base de datos Rutas'!W337),'Base de datos Rutas'!W337,"")</f>
        <v>3427.1365491869451</v>
      </c>
      <c r="AN339" s="787">
        <f>IFERROR(SUMIFS('Base de datos Rutas'!$W$6:$W$794,'Base de datos Rutas'!$C$6:$C$794,$C339)/'Base de datos Rutas'!I337,"")</f>
        <v>3427.1365491869487</v>
      </c>
      <c r="AO339" s="800">
        <f>IFERROR('Base de datos Rutas'!X337*AN339/AM339,"")</f>
        <v>0.3483939033672564</v>
      </c>
      <c r="AP339" s="800">
        <f t="shared" si="201"/>
        <v>0.6516060966327436</v>
      </c>
      <c r="AQ339" s="789">
        <f>IFERROR(INDEX('Hoja de apoyo v2'!$J$17:$J$20,MATCH($A339,'Hoja de apoyo v2'!$A$17:$A$20,0)),"")</f>
        <v>0.64320274048480885</v>
      </c>
      <c r="AR339" s="789">
        <f t="shared" si="202"/>
        <v>8.4033561479347485E-3</v>
      </c>
      <c r="AS339" s="784" t="str">
        <f t="shared" si="203"/>
        <v>No</v>
      </c>
      <c r="AT339" s="801">
        <f>IF(ISNUMBER('Base de datos Rutas'!CK337),'Base de datos Rutas'!CK337,"")</f>
        <v>264</v>
      </c>
      <c r="AU339" s="802">
        <f>IF(ISNUMBER('Base de datos Rutas'!CL337),'Base de datos Rutas'!CL337,"")</f>
        <v>264</v>
      </c>
      <c r="AV339" s="802">
        <f>IF(ISNUMBER('Base de datos Rutas'!CM337),'Base de datos Rutas'!CM337,"")</f>
        <v>0</v>
      </c>
      <c r="AW339" s="802">
        <f>IF(ISNUMBER('Base de datos Rutas'!CN337),'Base de datos Rutas'!CN337,"")</f>
        <v>6.78</v>
      </c>
      <c r="AX339" s="802">
        <f>IF(ISNUMBER('Base de datos Rutas'!CO337),'Base de datos Rutas'!CO337,"")</f>
        <v>9.4499999999999993</v>
      </c>
      <c r="AY339" s="802">
        <f>IF(ISNUMBER('Base de datos Rutas'!CP337),'Base de datos Rutas'!CP337,"")</f>
        <v>2.669999999999999</v>
      </c>
      <c r="AZ339" s="802">
        <f>IF(ISNUMBER('Base de datos Rutas'!CQ337),'Base de datos Rutas'!CQ337,"")</f>
        <v>564.37</v>
      </c>
      <c r="BA339" s="802">
        <f>IF(ISNUMBER('Base de datos Rutas'!CR337),'Base de datos Rutas'!CR337,"")</f>
        <v>655.54</v>
      </c>
      <c r="BB339" s="803">
        <f>IF(ISNUMBER('Base de datos Rutas'!CS337),'Base de datos Rutas'!CS337,"")</f>
        <v>-91.169999999999959</v>
      </c>
      <c r="BC339" s="804">
        <f t="shared" si="213"/>
        <v>2</v>
      </c>
      <c r="BD339" s="805" t="str">
        <f t="shared" si="214"/>
        <v>Saturada</v>
      </c>
      <c r="BE339" s="806">
        <f t="shared" si="215"/>
        <v>1.1615429594060633</v>
      </c>
      <c r="BF339" s="890">
        <f>IF(ISNUMBER('Base de datos Rutas'!CX337),'Base de datos Rutas'!CX337/100,"")</f>
        <v>0.73659827928524146</v>
      </c>
      <c r="BG339" s="891">
        <f>IF(ISNUMBER('Base de datos Rutas'!CZ337),'Base de datos Rutas'!CZ337/100,"")</f>
        <v>0.73659827928524146</v>
      </c>
      <c r="BH339" s="892">
        <f>IF(ISNUMBER('Base de datos Rutas'!DA337),'Base de datos Rutas'!DA337,"")</f>
        <v>46.412428855062871</v>
      </c>
      <c r="BI339" s="893">
        <f>IF(ISNUMBER('Base de datos Rutas'!DC337),'Base de datos Rutas'!DC337,"")</f>
        <v>1.9669755129053605</v>
      </c>
      <c r="BJ339" s="805" t="str">
        <f t="shared" si="216"/>
        <v>Ruta (completo)</v>
      </c>
      <c r="BK339" s="783">
        <f t="shared" si="204"/>
        <v>2</v>
      </c>
      <c r="BL339" s="797">
        <f t="shared" si="205"/>
        <v>2</v>
      </c>
      <c r="BM339" s="797">
        <f t="shared" si="206"/>
        <v>1</v>
      </c>
      <c r="BN339" s="797">
        <f t="shared" si="207"/>
        <v>1</v>
      </c>
      <c r="BO339" s="798" cm="1">
        <f t="array" ref="BO339">SUMPRODUCT(--ISNUMBER($BF339:$BI339),$BK$3:$BN$3)</f>
        <v>1</v>
      </c>
      <c r="BP339" s="831">
        <f t="shared" si="217"/>
        <v>12.5</v>
      </c>
      <c r="BQ339" s="834" t="str">
        <f t="shared" si="218"/>
        <v>Bajo</v>
      </c>
      <c r="BR339" s="836">
        <f t="shared" si="208"/>
        <v>59.328293452378134</v>
      </c>
      <c r="BS339" s="836">
        <f t="shared" si="209"/>
        <v>12.5</v>
      </c>
      <c r="BT339" s="837" t="str">
        <f t="shared" si="210"/>
        <v>P2</v>
      </c>
      <c r="BU339" s="807" t="str">
        <f t="shared" si="219"/>
        <v>Al tope</v>
      </c>
      <c r="BV339" s="807" t="str">
        <f t="shared" si="211"/>
        <v>Zona de bajo potencial</v>
      </c>
      <c r="BW339" s="808" t="str">
        <f t="shared" si="212"/>
        <v>P2 - Mantener</v>
      </c>
    </row>
    <row r="340" spans="1:75">
      <c r="A340" s="780" t="str">
        <f>'Base de datos Rutas'!A338</f>
        <v>Occidente</v>
      </c>
      <c r="B340" s="781" t="str">
        <f>'Base de datos Rutas'!B338</f>
        <v>Zapopan</v>
      </c>
      <c r="C340" s="781" t="str">
        <f>'Base de datos Rutas'!C338</f>
        <v>Planta Zapopan</v>
      </c>
      <c r="D340" s="782">
        <f>IF(ISNUMBER('Base de datos Rutas'!D338),'Base de datos Rutas'!D338,"Sin código")</f>
        <v>816330</v>
      </c>
      <c r="E340" s="783" t="str">
        <f>'Base de datos Rutas'!F338</f>
        <v>Activa</v>
      </c>
      <c r="F340" s="784" t="str">
        <f>'Base de datos Rutas'!H338</f>
        <v>Sí</v>
      </c>
      <c r="G340" s="785">
        <f>IF(ISNUMBER('Base de datos Rutas'!BE338),'Base de datos Rutas'!BE338,"")</f>
        <v>77.126146788990795</v>
      </c>
      <c r="H340" s="786">
        <f>IF(ISNUMBER('Base de datos Rutas'!BH338),'Base de datos Rutas'!BH338,"")</f>
        <v>0.58351919588426004</v>
      </c>
      <c r="I340" s="788">
        <f>IFERROR(IF(OR(NOT(ISNUMBER('Base de datos Rutas'!O338)),N('Base de datos Rutas'!BK338)=0),"",'Base de datos Rutas'!O338/('Base de datos Rutas'!L338/'Base de datos Rutas'!BK338)),"")</f>
        <v>6430.3738532110247</v>
      </c>
      <c r="J340" s="788">
        <f>IFERROR(IF(OR(NOT(ISNUMBER('Base de datos Rutas'!N338)),N('Base de datos Rutas'!BK338)=0),"",'Base de datos Rutas'!N338/('Base de datos Rutas'!L338/'Base de datos Rutas'!BK338)),"")</f>
        <v>7356.3738532110265</v>
      </c>
      <c r="K340" s="788">
        <f>IFERROR(IF(OR(NOT(ISNUMBER('Base de datos Rutas'!J338)),N('Base de datos Rutas'!BK338)=0),"",'Base de datos Rutas'!J338/('Base de datos Rutas'!L338/'Base de datos Rutas'!BK338)),"")</f>
        <v>501.90968440366862</v>
      </c>
      <c r="L340" s="788">
        <f>IFERROR(IF(OR(NOT(ISNUMBER('Base de datos Rutas'!K338)),N('Base de datos Rutas'!BK338)=0),"",'Base de datos Rutas'!K338/('Base de datos Rutas'!L338/'Base de datos Rutas'!BK338)),"")</f>
        <v>38.090807818807427</v>
      </c>
      <c r="M340" s="787">
        <f>IF(ISNUMBER('Base de datos Rutas'!AX338),'Base de datos Rutas'!AX338,"")</f>
        <v>306.09200795025998</v>
      </c>
      <c r="N340" s="790">
        <f>IFERROR(INDEX('Hoja de apoyo v2'!B$17:B$20,MATCH($A340,'Hoja de apoyo v2'!$A$17:$A$20,0)),"")</f>
        <v>89.41621024641401</v>
      </c>
      <c r="O340" s="791">
        <f>IFERROR(INDEX('Hoja de apoyo v2'!C$17:C$20,MATCH($A340,'Hoja de apoyo v2'!$A$17:$A$20,0)),"")</f>
        <v>0.54706375874806301</v>
      </c>
      <c r="P340" s="793">
        <f>IFERROR(INDEX('Hoja de apoyo v2'!D$17:D$20,MATCH($A340,'Hoja de apoyo v2'!$A$17:$A$20,0)),"")</f>
        <v>11095.153935793827</v>
      </c>
      <c r="Q340" s="793">
        <f>IFERROR(INDEX('Hoja de apoyo v2'!E$17:E$20,MATCH($A340,'Hoja de apoyo v2'!$A$17:$A$20,0)),"")</f>
        <v>6982.3202019701848</v>
      </c>
      <c r="R340" s="793">
        <f>IFERROR(INDEX('Hoja de apoyo v2'!F$17:F$20,MATCH($A340,'Hoja de apoyo v2'!$A$17:$A$20,0)),"")</f>
        <v>448.09513474485743</v>
      </c>
      <c r="S340" s="793">
        <f>IFERROR(INDEX('Hoja de apoyo v2'!G$17:G$20,MATCH($A340,'Hoja de apoyo v2'!$A$17:$A$20,0)),"")</f>
        <v>83.406300904207839</v>
      </c>
      <c r="T340" s="792">
        <f>IFERROR(INDEX('Hoja de apoyo v2'!H$17:H$20,MATCH($A340,'Hoja de apoyo v2'!$A$17:$A$20,0)),"")</f>
        <v>378.97014028925349</v>
      </c>
      <c r="U340" s="794">
        <f t="shared" si="184"/>
        <v>0.8625521767970914</v>
      </c>
      <c r="V340" s="795">
        <f t="shared" si="185"/>
        <v>1.0666383699399573</v>
      </c>
      <c r="W340" s="795">
        <f t="shared" si="186"/>
        <v>0.5795659880361046</v>
      </c>
      <c r="X340" s="843">
        <f t="shared" si="187"/>
        <v>1.0535715407516395</v>
      </c>
      <c r="Y340" s="843">
        <f t="shared" si="188"/>
        <v>1.1200962596691724</v>
      </c>
      <c r="Z340" s="843">
        <f t="shared" si="189"/>
        <v>0.45668981127162961</v>
      </c>
      <c r="AA340" s="843">
        <f t="shared" si="190"/>
        <v>0.8076942624467236</v>
      </c>
      <c r="AB340" s="796">
        <f t="shared" si="191"/>
        <v>3</v>
      </c>
      <c r="AC340" s="797">
        <f t="shared" si="192"/>
        <v>4</v>
      </c>
      <c r="AD340" s="797">
        <f t="shared" si="193"/>
        <v>2</v>
      </c>
      <c r="AE340" s="842">
        <f t="shared" si="194"/>
        <v>4</v>
      </c>
      <c r="AF340" s="842">
        <f t="shared" si="195"/>
        <v>4</v>
      </c>
      <c r="AG340" s="842">
        <f t="shared" si="196"/>
        <v>1</v>
      </c>
      <c r="AH340" s="842">
        <f t="shared" si="197"/>
        <v>3</v>
      </c>
      <c r="AI340" s="826" cm="1">
        <f t="array" ref="AI340">SUMPRODUCT(--ISNUMBER($U340:$AA340),$AB$3:$AH$3)</f>
        <v>1</v>
      </c>
      <c r="AJ340" s="829">
        <f t="shared" si="198"/>
        <v>44.826092738701561</v>
      </c>
      <c r="AK340" s="827" t="str">
        <f t="shared" si="199"/>
        <v>Inmadura</v>
      </c>
      <c r="AL340" s="784" t="str">
        <f t="shared" si="200"/>
        <v>Alta</v>
      </c>
      <c r="AM340" s="799">
        <f>IF(ISNUMBER('Base de datos Rutas'!W338),'Base de datos Rutas'!W338,"")</f>
        <v>3427.1365491869451</v>
      </c>
      <c r="AN340" s="787">
        <f>IFERROR(SUMIFS('Base de datos Rutas'!$W$6:$W$794,'Base de datos Rutas'!$C$6:$C$794,$C340)/'Base de datos Rutas'!I338,"")</f>
        <v>3427.1365491869487</v>
      </c>
      <c r="AO340" s="800">
        <f>IFERROR('Base de datos Rutas'!X338*AN340/AM340,"")</f>
        <v>0.3483939033672564</v>
      </c>
      <c r="AP340" s="800">
        <f t="shared" si="201"/>
        <v>0.6516060966327436</v>
      </c>
      <c r="AQ340" s="789">
        <f>IFERROR(INDEX('Hoja de apoyo v2'!$J$17:$J$20,MATCH($A340,'Hoja de apoyo v2'!$A$17:$A$20,0)),"")</f>
        <v>0.64320274048480885</v>
      </c>
      <c r="AR340" s="789">
        <f t="shared" si="202"/>
        <v>8.4033561479347485E-3</v>
      </c>
      <c r="AS340" s="784" t="str">
        <f t="shared" si="203"/>
        <v>No</v>
      </c>
      <c r="AT340" s="801">
        <f>IF(ISNUMBER('Base de datos Rutas'!CK338),'Base de datos Rutas'!CK338,"")</f>
        <v>295</v>
      </c>
      <c r="AU340" s="802">
        <f>IF(ISNUMBER('Base de datos Rutas'!CL338),'Base de datos Rutas'!CL338,"")</f>
        <v>295</v>
      </c>
      <c r="AV340" s="802">
        <f>IF(ISNUMBER('Base de datos Rutas'!CM338),'Base de datos Rutas'!CM338,"")</f>
        <v>0</v>
      </c>
      <c r="AW340" s="802">
        <f>IF(ISNUMBER('Base de datos Rutas'!CN338),'Base de datos Rutas'!CN338,"")</f>
        <v>10.119999999999999</v>
      </c>
      <c r="AX340" s="802">
        <f>IF(ISNUMBER('Base de datos Rutas'!CO338),'Base de datos Rutas'!CO338,"")</f>
        <v>9.4499999999999993</v>
      </c>
      <c r="AY340" s="802">
        <f>IF(ISNUMBER('Base de datos Rutas'!CP338),'Base de datos Rutas'!CP338,"")</f>
        <v>-0.66999999999999993</v>
      </c>
      <c r="AZ340" s="802">
        <f>IF(ISNUMBER('Base de datos Rutas'!CQ338),'Base de datos Rutas'!CQ338,"")</f>
        <v>846.56</v>
      </c>
      <c r="BA340" s="802">
        <f>IF(ISNUMBER('Base de datos Rutas'!CR338),'Base de datos Rutas'!CR338,"")</f>
        <v>540</v>
      </c>
      <c r="BB340" s="803">
        <f>IF(ISNUMBER('Base de datos Rutas'!CS338),'Base de datos Rutas'!CS338,"")</f>
        <v>306.55999999999995</v>
      </c>
      <c r="BC340" s="804">
        <f t="shared" si="213"/>
        <v>2</v>
      </c>
      <c r="BD340" s="805" t="str">
        <f t="shared" si="214"/>
        <v>Saturada</v>
      </c>
      <c r="BE340" s="806">
        <f t="shared" si="215"/>
        <v>0.63787563787563795</v>
      </c>
      <c r="BF340" s="890">
        <f>IF(ISNUMBER('Base de datos Rutas'!CX338),'Base de datos Rutas'!CX338/100,"")</f>
        <v>1</v>
      </c>
      <c r="BG340" s="891">
        <f>IF(ISNUMBER('Base de datos Rutas'!CZ338),'Base de datos Rutas'!CZ338/100,"")</f>
        <v>1</v>
      </c>
      <c r="BH340" s="892">
        <f>IF(ISNUMBER('Base de datos Rutas'!DA338),'Base de datos Rutas'!DA338,"")</f>
        <v>1111.8015615141956</v>
      </c>
      <c r="BI340" s="893">
        <f>IF(ISNUMBER('Base de datos Rutas'!DC338),'Base de datos Rutas'!DC338,"")</f>
        <v>40.345283911671928</v>
      </c>
      <c r="BJ340" s="805" t="str">
        <f t="shared" si="216"/>
        <v>Ruta (completo)</v>
      </c>
      <c r="BK340" s="783">
        <f t="shared" si="204"/>
        <v>5</v>
      </c>
      <c r="BL340" s="797">
        <f t="shared" si="205"/>
        <v>2</v>
      </c>
      <c r="BM340" s="797">
        <f t="shared" si="206"/>
        <v>4</v>
      </c>
      <c r="BN340" s="797">
        <f t="shared" si="207"/>
        <v>4</v>
      </c>
      <c r="BO340" s="798" cm="1">
        <f t="array" ref="BO340">SUMPRODUCT(--ISNUMBER($BF340:$BI340),$BK$3:$BN$3)</f>
        <v>1</v>
      </c>
      <c r="BP340" s="831">
        <f t="shared" si="217"/>
        <v>68.75</v>
      </c>
      <c r="BQ340" s="834" t="str">
        <f t="shared" si="218"/>
        <v>Alto</v>
      </c>
      <c r="BR340" s="836">
        <f t="shared" si="208"/>
        <v>58.619569554026171</v>
      </c>
      <c r="BS340" s="836">
        <f t="shared" si="209"/>
        <v>68.75</v>
      </c>
      <c r="BT340" s="837" t="str">
        <f t="shared" si="210"/>
        <v>P1</v>
      </c>
      <c r="BU340" s="807" t="str">
        <f t="shared" si="219"/>
        <v>Al tope</v>
      </c>
      <c r="BV340" s="807" t="str">
        <f t="shared" si="211"/>
        <v>Zona atractiva</v>
      </c>
      <c r="BW340" s="808" t="str">
        <f t="shared" si="212"/>
        <v>P1 - Ampliar cobertura</v>
      </c>
    </row>
    <row r="341" spans="1:75">
      <c r="A341" s="780" t="str">
        <f>'Base de datos Rutas'!A339</f>
        <v>Occidente</v>
      </c>
      <c r="B341" s="781" t="str">
        <f>'Base de datos Rutas'!B339</f>
        <v>Zapopan</v>
      </c>
      <c r="C341" s="781" t="str">
        <f>'Base de datos Rutas'!C339</f>
        <v>Planta Zapopan</v>
      </c>
      <c r="D341" s="782">
        <f>IF(ISNUMBER('Base de datos Rutas'!D339),'Base de datos Rutas'!D339,"Sin código")</f>
        <v>816331</v>
      </c>
      <c r="E341" s="783" t="str">
        <f>'Base de datos Rutas'!F339</f>
        <v>Activa</v>
      </c>
      <c r="F341" s="784" t="str">
        <f>'Base de datos Rutas'!H339</f>
        <v>Sí</v>
      </c>
      <c r="G341" s="785">
        <f>IF(ISNUMBER('Base de datos Rutas'!BE339),'Base de datos Rutas'!BE339,"")</f>
        <v>48.4</v>
      </c>
      <c r="H341" s="786">
        <f>IF(ISNUMBER('Base de datos Rutas'!BH339),'Base de datos Rutas'!BH339,"")</f>
        <v>0.56117602355846896</v>
      </c>
      <c r="I341" s="788">
        <f>IFERROR(IF(OR(NOT(ISNUMBER('Base de datos Rutas'!O339)),N('Base de datos Rutas'!BK339)=0),"",'Base de datos Rutas'!O339/('Base de datos Rutas'!L339/'Base de datos Rutas'!BK339)),"")</f>
        <v>3179.659770114939</v>
      </c>
      <c r="J341" s="788">
        <f>IFERROR(IF(OR(NOT(ISNUMBER('Base de datos Rutas'!N339)),N('Base de datos Rutas'!BK339)=0),"",'Base de datos Rutas'!N339/('Base de datos Rutas'!L339/'Base de datos Rutas'!BK339)),"")</f>
        <v>6738.3839080459693</v>
      </c>
      <c r="K341" s="788">
        <f>IFERROR(IF(OR(NOT(ISNUMBER('Base de datos Rutas'!J339)),N('Base de datos Rutas'!BK339)=0),"",'Base de datos Rutas'!J339/('Base de datos Rutas'!L339/'Base de datos Rutas'!BK339)),"")</f>
        <v>459.52339678160865</v>
      </c>
      <c r="L341" s="788">
        <f>IFERROR(IF(OR(NOT(ISNUMBER('Base de datos Rutas'!K339)),N('Base de datos Rutas'!BK339)=0),"",'Base de datos Rutas'!K339/('Base de datos Rutas'!L339/'Base de datos Rutas'!BK339)),"")</f>
        <v>19.732733333333311</v>
      </c>
      <c r="M341" s="787">
        <f>IF(ISNUMBER('Base de datos Rutas'!AX339),'Base de datos Rutas'!AX339,"")</f>
        <v>365.15847482014402</v>
      </c>
      <c r="N341" s="790">
        <f>IFERROR(INDEX('Hoja de apoyo v2'!B$17:B$20,MATCH($A341,'Hoja de apoyo v2'!$A$17:$A$20,0)),"")</f>
        <v>89.41621024641401</v>
      </c>
      <c r="O341" s="791">
        <f>IFERROR(INDEX('Hoja de apoyo v2'!C$17:C$20,MATCH($A341,'Hoja de apoyo v2'!$A$17:$A$20,0)),"")</f>
        <v>0.54706375874806301</v>
      </c>
      <c r="P341" s="793">
        <f>IFERROR(INDEX('Hoja de apoyo v2'!D$17:D$20,MATCH($A341,'Hoja de apoyo v2'!$A$17:$A$20,0)),"")</f>
        <v>11095.153935793827</v>
      </c>
      <c r="Q341" s="793">
        <f>IFERROR(INDEX('Hoja de apoyo v2'!E$17:E$20,MATCH($A341,'Hoja de apoyo v2'!$A$17:$A$20,0)),"")</f>
        <v>6982.3202019701848</v>
      </c>
      <c r="R341" s="793">
        <f>IFERROR(INDEX('Hoja de apoyo v2'!F$17:F$20,MATCH($A341,'Hoja de apoyo v2'!$A$17:$A$20,0)),"")</f>
        <v>448.09513474485743</v>
      </c>
      <c r="S341" s="793">
        <f>IFERROR(INDEX('Hoja de apoyo v2'!G$17:G$20,MATCH($A341,'Hoja de apoyo v2'!$A$17:$A$20,0)),"")</f>
        <v>83.406300904207839</v>
      </c>
      <c r="T341" s="792">
        <f>IFERROR(INDEX('Hoja de apoyo v2'!H$17:H$20,MATCH($A341,'Hoja de apoyo v2'!$A$17:$A$20,0)),"")</f>
        <v>378.97014028925349</v>
      </c>
      <c r="U341" s="794">
        <f t="shared" si="184"/>
        <v>0.54128887666586223</v>
      </c>
      <c r="V341" s="795">
        <f t="shared" si="185"/>
        <v>1.0257963803756649</v>
      </c>
      <c r="W341" s="795">
        <f t="shared" si="186"/>
        <v>0.286580951333817</v>
      </c>
      <c r="X341" s="843">
        <f t="shared" si="187"/>
        <v>0.96506371995724505</v>
      </c>
      <c r="Y341" s="843">
        <f t="shared" si="188"/>
        <v>1.0255040975690539</v>
      </c>
      <c r="Z341" s="843">
        <f t="shared" si="189"/>
        <v>0.23658564304387938</v>
      </c>
      <c r="AA341" s="843">
        <f t="shared" si="190"/>
        <v>0.96355473954077875</v>
      </c>
      <c r="AB341" s="796">
        <f t="shared" si="191"/>
        <v>2</v>
      </c>
      <c r="AC341" s="797">
        <f t="shared" si="192"/>
        <v>4</v>
      </c>
      <c r="AD341" s="797">
        <f t="shared" si="193"/>
        <v>1</v>
      </c>
      <c r="AE341" s="842">
        <f t="shared" si="194"/>
        <v>3</v>
      </c>
      <c r="AF341" s="842">
        <f t="shared" si="195"/>
        <v>4</v>
      </c>
      <c r="AG341" s="842">
        <f t="shared" si="196"/>
        <v>1</v>
      </c>
      <c r="AH341" s="842">
        <f t="shared" si="197"/>
        <v>3</v>
      </c>
      <c r="AI341" s="826" cm="1">
        <f t="array" ref="AI341">SUMPRODUCT(--ISNUMBER($U341:$AA341),$AB$3:$AH$3)</f>
        <v>1</v>
      </c>
      <c r="AJ341" s="829">
        <f t="shared" si="198"/>
        <v>31.768837445018082</v>
      </c>
      <c r="AK341" s="827" t="str">
        <f t="shared" si="199"/>
        <v>Inmadura</v>
      </c>
      <c r="AL341" s="784" t="str">
        <f t="shared" si="200"/>
        <v>Alta</v>
      </c>
      <c r="AM341" s="799">
        <f>IF(ISNUMBER('Base de datos Rutas'!W339),'Base de datos Rutas'!W339,"")</f>
        <v>3427.1365491869451</v>
      </c>
      <c r="AN341" s="787">
        <f>IFERROR(SUMIFS('Base de datos Rutas'!$W$6:$W$794,'Base de datos Rutas'!$C$6:$C$794,$C341)/'Base de datos Rutas'!I339,"")</f>
        <v>3427.1365491869487</v>
      </c>
      <c r="AO341" s="800">
        <f>IFERROR('Base de datos Rutas'!X339*AN341/AM341,"")</f>
        <v>0.3483939033672564</v>
      </c>
      <c r="AP341" s="800">
        <f t="shared" si="201"/>
        <v>0.6516060966327436</v>
      </c>
      <c r="AQ341" s="789">
        <f>IFERROR(INDEX('Hoja de apoyo v2'!$J$17:$J$20,MATCH($A341,'Hoja de apoyo v2'!$A$17:$A$20,0)),"")</f>
        <v>0.64320274048480885</v>
      </c>
      <c r="AR341" s="789">
        <f t="shared" si="202"/>
        <v>8.4033561479347485E-3</v>
      </c>
      <c r="AS341" s="784" t="str">
        <f t="shared" si="203"/>
        <v>No</v>
      </c>
      <c r="AT341" s="801">
        <f>IF(ISNUMBER('Base de datos Rutas'!CK339),'Base de datos Rutas'!CK339,"")</f>
        <v>297</v>
      </c>
      <c r="AU341" s="802">
        <f>IF(ISNUMBER('Base de datos Rutas'!CL339),'Base de datos Rutas'!CL339,"")</f>
        <v>312.47000000000003</v>
      </c>
      <c r="AV341" s="802">
        <f>IF(ISNUMBER('Base de datos Rutas'!CM339),'Base de datos Rutas'!CM339,"")</f>
        <v>15.470000000000027</v>
      </c>
      <c r="AW341" s="802">
        <f>IF(ISNUMBER('Base de datos Rutas'!CN339),'Base de datos Rutas'!CN339,"")</f>
        <v>8.74</v>
      </c>
      <c r="AX341" s="802">
        <f>IF(ISNUMBER('Base de datos Rutas'!CO339),'Base de datos Rutas'!CO339,"")</f>
        <v>9.4499999999999993</v>
      </c>
      <c r="AY341" s="802">
        <f>IF(ISNUMBER('Base de datos Rutas'!CP339),'Base de datos Rutas'!CP339,"")</f>
        <v>0.70999999999999908</v>
      </c>
      <c r="AZ341" s="802">
        <f>IF(ISNUMBER('Base de datos Rutas'!CQ339),'Base de datos Rutas'!CQ339,"")</f>
        <v>564.37</v>
      </c>
      <c r="BA341" s="802">
        <f>IF(ISNUMBER('Base de datos Rutas'!CR339),'Base de datos Rutas'!CR339,"")</f>
        <v>479.26</v>
      </c>
      <c r="BB341" s="803">
        <f>IF(ISNUMBER('Base de datos Rutas'!CS339),'Base de datos Rutas'!CS339,"")</f>
        <v>85.110000000000014</v>
      </c>
      <c r="BC341" s="804">
        <f t="shared" si="213"/>
        <v>0</v>
      </c>
      <c r="BD341" s="805" t="str">
        <f t="shared" si="214"/>
        <v>No saturada</v>
      </c>
      <c r="BE341" s="806">
        <f t="shared" si="215"/>
        <v>0.84919467725073972</v>
      </c>
      <c r="BF341" s="890">
        <f>IF(ISNUMBER('Base de datos Rutas'!CX339),'Base de datos Rutas'!CX339/100,"")</f>
        <v>0.18049819092680208</v>
      </c>
      <c r="BG341" s="891">
        <f>IF(ISNUMBER('Base de datos Rutas'!CZ339),'Base de datos Rutas'!CZ339/100,"")</f>
        <v>0.18480378513776788</v>
      </c>
      <c r="BH341" s="892">
        <f>IF(ISNUMBER('Base de datos Rutas'!DA339),'Base de datos Rutas'!DA339,"")</f>
        <v>99.703497604247801</v>
      </c>
      <c r="BI341" s="893">
        <f>IF(ISNUMBER('Base de datos Rutas'!DC339),'Base de datos Rutas'!DC339,"")</f>
        <v>4.858441389286873</v>
      </c>
      <c r="BJ341" s="805" t="str">
        <f t="shared" si="216"/>
        <v>Ruta (completo)</v>
      </c>
      <c r="BK341" s="783">
        <f t="shared" si="204"/>
        <v>1</v>
      </c>
      <c r="BL341" s="797">
        <f t="shared" si="205"/>
        <v>1</v>
      </c>
      <c r="BM341" s="797">
        <f t="shared" si="206"/>
        <v>1</v>
      </c>
      <c r="BN341" s="797">
        <f t="shared" si="207"/>
        <v>1</v>
      </c>
      <c r="BO341" s="798" cm="1">
        <f t="array" ref="BO341">SUMPRODUCT(--ISNUMBER($BF341:$BI341),$BK$3:$BN$3)</f>
        <v>1</v>
      </c>
      <c r="BP341" s="831">
        <f t="shared" si="217"/>
        <v>0</v>
      </c>
      <c r="BQ341" s="834" t="str">
        <f t="shared" si="218"/>
        <v>Bajo</v>
      </c>
      <c r="BR341" s="836">
        <f t="shared" si="208"/>
        <v>23.826628083763563</v>
      </c>
      <c r="BS341" s="836">
        <f t="shared" si="209"/>
        <v>0</v>
      </c>
      <c r="BT341" s="837" t="str">
        <f t="shared" si="210"/>
        <v>P4</v>
      </c>
      <c r="BU341" s="807" t="str">
        <f t="shared" si="219"/>
        <v>Con espacio</v>
      </c>
      <c r="BV341" s="807" t="str">
        <f t="shared" si="211"/>
        <v>Zona de bajo potencial</v>
      </c>
      <c r="BW341" s="808" t="str">
        <f t="shared" si="212"/>
        <v>P4 - Evaluar</v>
      </c>
    </row>
    <row r="342" spans="1:75">
      <c r="A342" s="780" t="str">
        <f>'Base de datos Rutas'!A340</f>
        <v>Occidente</v>
      </c>
      <c r="B342" s="781" t="str">
        <f>'Base de datos Rutas'!B340</f>
        <v>Zapopan</v>
      </c>
      <c r="C342" s="781" t="str">
        <f>'Base de datos Rutas'!C340</f>
        <v>Planta Zapopan</v>
      </c>
      <c r="D342" s="782">
        <f>IF(ISNUMBER('Base de datos Rutas'!D340),'Base de datos Rutas'!D340,"Sin código")</f>
        <v>816332</v>
      </c>
      <c r="E342" s="783" t="str">
        <f>'Base de datos Rutas'!F340</f>
        <v>Activa</v>
      </c>
      <c r="F342" s="784" t="str">
        <f>'Base de datos Rutas'!H340</f>
        <v>Sí</v>
      </c>
      <c r="G342" s="785">
        <f>IF(ISNUMBER('Base de datos Rutas'!BE340),'Base de datos Rutas'!BE340,"")</f>
        <v>75.782110091743107</v>
      </c>
      <c r="H342" s="786">
        <f>IF(ISNUMBER('Base de datos Rutas'!BH340),'Base de datos Rutas'!BH340,"")</f>
        <v>0.49033019581731802</v>
      </c>
      <c r="I342" s="788">
        <f>IFERROR(IF(OR(NOT(ISNUMBER('Base de datos Rutas'!O340)),N('Base de datos Rutas'!BK340)=0),"",'Base de datos Rutas'!O340/('Base de datos Rutas'!L340/'Base de datos Rutas'!BK340)),"")</f>
        <v>3594.2477064220211</v>
      </c>
      <c r="J342" s="788">
        <f>IFERROR(IF(OR(NOT(ISNUMBER('Base de datos Rutas'!N340)),N('Base de datos Rutas'!BK340)=0),"",'Base de datos Rutas'!N340/('Base de datos Rutas'!L340/'Base de datos Rutas'!BK340)),"")</f>
        <v>9126.5344036697315</v>
      </c>
      <c r="K342" s="788">
        <f>IFERROR(IF(OR(NOT(ISNUMBER('Base de datos Rutas'!J340)),N('Base de datos Rutas'!BK340)=0),"",'Base de datos Rutas'!J340/('Base de datos Rutas'!L340/'Base de datos Rutas'!BK340)),"")</f>
        <v>623.40016880733765</v>
      </c>
      <c r="L342" s="788">
        <f>IFERROR(IF(OR(NOT(ISNUMBER('Base de datos Rutas'!K340)),N('Base de datos Rutas'!BK340)=0),"",'Base de datos Rutas'!K340/('Base de datos Rutas'!L340/'Base de datos Rutas'!BK340)),"")</f>
        <v>26.316448699541304</v>
      </c>
      <c r="M342" s="787">
        <f>IF(ISNUMBER('Base de datos Rutas'!AX340),'Base de datos Rutas'!AX340,"")</f>
        <v>336.14181532004199</v>
      </c>
      <c r="N342" s="790">
        <f>IFERROR(INDEX('Hoja de apoyo v2'!B$17:B$20,MATCH($A342,'Hoja de apoyo v2'!$A$17:$A$20,0)),"")</f>
        <v>89.41621024641401</v>
      </c>
      <c r="O342" s="791">
        <f>IFERROR(INDEX('Hoja de apoyo v2'!C$17:C$20,MATCH($A342,'Hoja de apoyo v2'!$A$17:$A$20,0)),"")</f>
        <v>0.54706375874806301</v>
      </c>
      <c r="P342" s="793">
        <f>IFERROR(INDEX('Hoja de apoyo v2'!D$17:D$20,MATCH($A342,'Hoja de apoyo v2'!$A$17:$A$20,0)),"")</f>
        <v>11095.153935793827</v>
      </c>
      <c r="Q342" s="793">
        <f>IFERROR(INDEX('Hoja de apoyo v2'!E$17:E$20,MATCH($A342,'Hoja de apoyo v2'!$A$17:$A$20,0)),"")</f>
        <v>6982.3202019701848</v>
      </c>
      <c r="R342" s="793">
        <f>IFERROR(INDEX('Hoja de apoyo v2'!F$17:F$20,MATCH($A342,'Hoja de apoyo v2'!$A$17:$A$20,0)),"")</f>
        <v>448.09513474485743</v>
      </c>
      <c r="S342" s="793">
        <f>IFERROR(INDEX('Hoja de apoyo v2'!G$17:G$20,MATCH($A342,'Hoja de apoyo v2'!$A$17:$A$20,0)),"")</f>
        <v>83.406300904207839</v>
      </c>
      <c r="T342" s="792">
        <f>IFERROR(INDEX('Hoja de apoyo v2'!H$17:H$20,MATCH($A342,'Hoja de apoyo v2'!$A$17:$A$20,0)),"")</f>
        <v>378.97014028925349</v>
      </c>
      <c r="U342" s="794">
        <f t="shared" si="184"/>
        <v>0.84752093477124646</v>
      </c>
      <c r="V342" s="795">
        <f t="shared" si="185"/>
        <v>0.89629442268195969</v>
      </c>
      <c r="W342" s="795">
        <f t="shared" si="186"/>
        <v>0.32394752945488203</v>
      </c>
      <c r="X342" s="843">
        <f t="shared" si="187"/>
        <v>1.307091932148073</v>
      </c>
      <c r="Y342" s="843">
        <f t="shared" si="188"/>
        <v>1.3912228017434241</v>
      </c>
      <c r="Z342" s="843">
        <f t="shared" si="189"/>
        <v>0.31552111068641869</v>
      </c>
      <c r="AA342" s="843">
        <f t="shared" si="190"/>
        <v>0.88698760029874046</v>
      </c>
      <c r="AB342" s="796">
        <f t="shared" si="191"/>
        <v>3</v>
      </c>
      <c r="AC342" s="797">
        <f t="shared" si="192"/>
        <v>3</v>
      </c>
      <c r="AD342" s="797">
        <f t="shared" si="193"/>
        <v>1</v>
      </c>
      <c r="AE342" s="842">
        <f t="shared" si="194"/>
        <v>5</v>
      </c>
      <c r="AF342" s="842">
        <f t="shared" si="195"/>
        <v>5</v>
      </c>
      <c r="AG342" s="842">
        <f t="shared" si="196"/>
        <v>1</v>
      </c>
      <c r="AH342" s="842">
        <f t="shared" si="197"/>
        <v>3</v>
      </c>
      <c r="AI342" s="826" cm="1">
        <f t="array" ref="AI342">SUMPRODUCT(--ISNUMBER($U342:$AA342),$AB$3:$AH$3)</f>
        <v>1</v>
      </c>
      <c r="AJ342" s="829">
        <f t="shared" si="198"/>
        <v>43.664507841741532</v>
      </c>
      <c r="AK342" s="827" t="str">
        <f t="shared" si="199"/>
        <v>Inmadura</v>
      </c>
      <c r="AL342" s="784" t="str">
        <f t="shared" si="200"/>
        <v>Alta</v>
      </c>
      <c r="AM342" s="799">
        <f>IF(ISNUMBER('Base de datos Rutas'!W340),'Base de datos Rutas'!W340,"")</f>
        <v>3427.1365491869451</v>
      </c>
      <c r="AN342" s="787">
        <f>IFERROR(SUMIFS('Base de datos Rutas'!$W$6:$W$794,'Base de datos Rutas'!$C$6:$C$794,$C342)/'Base de datos Rutas'!I340,"")</f>
        <v>3427.1365491869487</v>
      </c>
      <c r="AO342" s="800">
        <f>IFERROR('Base de datos Rutas'!X340*AN342/AM342,"")</f>
        <v>0.3483939033672564</v>
      </c>
      <c r="AP342" s="800">
        <f t="shared" si="201"/>
        <v>0.6516060966327436</v>
      </c>
      <c r="AQ342" s="789">
        <f>IFERROR(INDEX('Hoja de apoyo v2'!$J$17:$J$20,MATCH($A342,'Hoja de apoyo v2'!$A$17:$A$20,0)),"")</f>
        <v>0.64320274048480885</v>
      </c>
      <c r="AR342" s="789">
        <f t="shared" si="202"/>
        <v>8.4033561479347485E-3</v>
      </c>
      <c r="AS342" s="784" t="str">
        <f t="shared" si="203"/>
        <v>No</v>
      </c>
      <c r="AT342" s="801">
        <f>IF(ISNUMBER('Base de datos Rutas'!CK340),'Base de datos Rutas'!CK340,"")</f>
        <v>312</v>
      </c>
      <c r="AU342" s="802">
        <f>IF(ISNUMBER('Base de datos Rutas'!CL340),'Base de datos Rutas'!CL340,"")</f>
        <v>379.47</v>
      </c>
      <c r="AV342" s="802">
        <f>IF(ISNUMBER('Base de datos Rutas'!CM340),'Base de datos Rutas'!CM340,"")</f>
        <v>67.470000000000027</v>
      </c>
      <c r="AW342" s="802">
        <f>IF(ISNUMBER('Base de datos Rutas'!CN340),'Base de datos Rutas'!CN340,"")</f>
        <v>7.88</v>
      </c>
      <c r="AX342" s="802">
        <f>IF(ISNUMBER('Base de datos Rutas'!CO340),'Base de datos Rutas'!CO340,"")</f>
        <v>9.4499999999999993</v>
      </c>
      <c r="AY342" s="802">
        <f>IF(ISNUMBER('Base de datos Rutas'!CP340),'Base de datos Rutas'!CP340,"")</f>
        <v>1.5699999999999994</v>
      </c>
      <c r="AZ342" s="802">
        <f>IF(ISNUMBER('Base de datos Rutas'!CQ340),'Base de datos Rutas'!CQ340,"")</f>
        <v>846.56</v>
      </c>
      <c r="BA342" s="802">
        <f>IF(ISNUMBER('Base de datos Rutas'!CR340),'Base de datos Rutas'!CR340,"")</f>
        <v>649.72</v>
      </c>
      <c r="BB342" s="803">
        <f>IF(ISNUMBER('Base de datos Rutas'!CS340),'Base de datos Rutas'!CS340,"")</f>
        <v>196.83999999999992</v>
      </c>
      <c r="BC342" s="804">
        <f t="shared" si="213"/>
        <v>0</v>
      </c>
      <c r="BD342" s="805" t="str">
        <f t="shared" si="214"/>
        <v>No saturada</v>
      </c>
      <c r="BE342" s="806">
        <f t="shared" si="215"/>
        <v>0.76748251748251761</v>
      </c>
      <c r="BF342" s="890">
        <f>IF(ISNUMBER('Base de datos Rutas'!CX340),'Base de datos Rutas'!CX340/100,"")</f>
        <v>0.85418357166611247</v>
      </c>
      <c r="BG342" s="891">
        <f>IF(ISNUMBER('Base de datos Rutas'!CZ340),'Base de datos Rutas'!CZ340/100,"")</f>
        <v>0.87662121715996011</v>
      </c>
      <c r="BH342" s="892">
        <f>IF(ISNUMBER('Base de datos Rutas'!DA340),'Base de datos Rutas'!DA340,"")</f>
        <v>358.16176446672114</v>
      </c>
      <c r="BI342" s="893">
        <f>IF(ISNUMBER('Base de datos Rutas'!DC340),'Base de datos Rutas'!DC340,"")</f>
        <v>17.740911441646855</v>
      </c>
      <c r="BJ342" s="805" t="str">
        <f t="shared" si="216"/>
        <v>Ruta (completo)</v>
      </c>
      <c r="BK342" s="783">
        <f t="shared" si="204"/>
        <v>2</v>
      </c>
      <c r="BL342" s="797">
        <f t="shared" si="205"/>
        <v>2</v>
      </c>
      <c r="BM342" s="797">
        <f t="shared" si="206"/>
        <v>1</v>
      </c>
      <c r="BN342" s="797">
        <f t="shared" si="207"/>
        <v>2</v>
      </c>
      <c r="BO342" s="798" cm="1">
        <f t="array" ref="BO342">SUMPRODUCT(--ISNUMBER($BF342:$BI342),$BK$3:$BN$3)</f>
        <v>1</v>
      </c>
      <c r="BP342" s="831">
        <f t="shared" si="217"/>
        <v>18.75</v>
      </c>
      <c r="BQ342" s="834" t="str">
        <f t="shared" si="218"/>
        <v>Bajo</v>
      </c>
      <c r="BR342" s="836">
        <f t="shared" si="208"/>
        <v>32.748380881306147</v>
      </c>
      <c r="BS342" s="836">
        <f t="shared" si="209"/>
        <v>18.75</v>
      </c>
      <c r="BT342" s="837" t="str">
        <f t="shared" si="210"/>
        <v>P2</v>
      </c>
      <c r="BU342" s="807" t="str">
        <f t="shared" si="219"/>
        <v>Con espacio</v>
      </c>
      <c r="BV342" s="807" t="str">
        <f t="shared" si="211"/>
        <v>Zona de bajo potencial</v>
      </c>
      <c r="BW342" s="808" t="str">
        <f t="shared" si="212"/>
        <v>P2 - Mantener</v>
      </c>
    </row>
    <row r="343" spans="1:75">
      <c r="A343" s="780" t="str">
        <f>'Base de datos Rutas'!A341</f>
        <v>Occidente</v>
      </c>
      <c r="B343" s="781" t="str">
        <f>'Base de datos Rutas'!B341</f>
        <v>Zapopan</v>
      </c>
      <c r="C343" s="781" t="str">
        <f>'Base de datos Rutas'!C341</f>
        <v>Planta Zapopan</v>
      </c>
      <c r="D343" s="782">
        <f>IF(ISNUMBER('Base de datos Rutas'!D341),'Base de datos Rutas'!D341,"Sin código")</f>
        <v>816333</v>
      </c>
      <c r="E343" s="783" t="str">
        <f>'Base de datos Rutas'!F341</f>
        <v>Activa</v>
      </c>
      <c r="F343" s="784" t="str">
        <f>'Base de datos Rutas'!H341</f>
        <v>Sí</v>
      </c>
      <c r="G343" s="785">
        <f>IF(ISNUMBER('Base de datos Rutas'!BE341),'Base de datos Rutas'!BE341,"")</f>
        <v>98.163218390804602</v>
      </c>
      <c r="H343" s="786">
        <f>IF(ISNUMBER('Base de datos Rutas'!BH341),'Base de datos Rutas'!BH341,"")</f>
        <v>0.47303341842111402</v>
      </c>
      <c r="I343" s="788">
        <f>IFERROR(IF(OR(NOT(ISNUMBER('Base de datos Rutas'!O341)),N('Base de datos Rutas'!BK341)=0),"",'Base de datos Rutas'!O341/('Base de datos Rutas'!L341/'Base de datos Rutas'!BK341)),"")</f>
        <v>4854.9448275862078</v>
      </c>
      <c r="J343" s="788">
        <f>IFERROR(IF(OR(NOT(ISNUMBER('Base de datos Rutas'!N341)),N('Base de datos Rutas'!BK341)=0),"",'Base de datos Rutas'!N341/('Base de datos Rutas'!L341/'Base de datos Rutas'!BK341)),"")</f>
        <v>7983.7379310344841</v>
      </c>
      <c r="K343" s="788">
        <f>IFERROR(IF(OR(NOT(ISNUMBER('Base de datos Rutas'!J341)),N('Base de datos Rutas'!BK341)=0),"",'Base de datos Rutas'!J341/('Base de datos Rutas'!L341/'Base de datos Rutas'!BK341)),"")</f>
        <v>544.88693885057251</v>
      </c>
      <c r="L343" s="788">
        <f>IFERROR(IF(OR(NOT(ISNUMBER('Base de datos Rutas'!K341)),N('Base de datos Rutas'!BK341)=0),"",'Base de datos Rutas'!K341/('Base de datos Rutas'!L341/'Base de datos Rutas'!BK341)),"")</f>
        <v>35.644372085057476</v>
      </c>
      <c r="M343" s="787">
        <f>IF(ISNUMBER('Base de datos Rutas'!AX341),'Base de datos Rutas'!AX341,"")</f>
        <v>276.49024753700701</v>
      </c>
      <c r="N343" s="790">
        <f>IFERROR(INDEX('Hoja de apoyo v2'!B$17:B$20,MATCH($A343,'Hoja de apoyo v2'!$A$17:$A$20,0)),"")</f>
        <v>89.41621024641401</v>
      </c>
      <c r="O343" s="791">
        <f>IFERROR(INDEX('Hoja de apoyo v2'!C$17:C$20,MATCH($A343,'Hoja de apoyo v2'!$A$17:$A$20,0)),"")</f>
        <v>0.54706375874806301</v>
      </c>
      <c r="P343" s="793">
        <f>IFERROR(INDEX('Hoja de apoyo v2'!D$17:D$20,MATCH($A343,'Hoja de apoyo v2'!$A$17:$A$20,0)),"")</f>
        <v>11095.153935793827</v>
      </c>
      <c r="Q343" s="793">
        <f>IFERROR(INDEX('Hoja de apoyo v2'!E$17:E$20,MATCH($A343,'Hoja de apoyo v2'!$A$17:$A$20,0)),"")</f>
        <v>6982.3202019701848</v>
      </c>
      <c r="R343" s="793">
        <f>IFERROR(INDEX('Hoja de apoyo v2'!F$17:F$20,MATCH($A343,'Hoja de apoyo v2'!$A$17:$A$20,0)),"")</f>
        <v>448.09513474485743</v>
      </c>
      <c r="S343" s="793">
        <f>IFERROR(INDEX('Hoja de apoyo v2'!G$17:G$20,MATCH($A343,'Hoja de apoyo v2'!$A$17:$A$20,0)),"")</f>
        <v>83.406300904207839</v>
      </c>
      <c r="T343" s="792">
        <f>IFERROR(INDEX('Hoja de apoyo v2'!H$17:H$20,MATCH($A343,'Hoja de apoyo v2'!$A$17:$A$20,0)),"")</f>
        <v>378.97014028925349</v>
      </c>
      <c r="U343" s="794">
        <f t="shared" si="184"/>
        <v>1.0978235167905854</v>
      </c>
      <c r="V343" s="795">
        <f t="shared" si="185"/>
        <v>0.86467694278201701</v>
      </c>
      <c r="W343" s="795">
        <f t="shared" si="186"/>
        <v>0.4375734537511714</v>
      </c>
      <c r="X343" s="843">
        <f t="shared" si="187"/>
        <v>1.1434219142201085</v>
      </c>
      <c r="Y343" s="843">
        <f t="shared" si="188"/>
        <v>1.2160072640842836</v>
      </c>
      <c r="Z343" s="843">
        <f t="shared" si="189"/>
        <v>0.42735826548638151</v>
      </c>
      <c r="AA343" s="843">
        <f t="shared" si="190"/>
        <v>0.72958319968420871</v>
      </c>
      <c r="AB343" s="796">
        <f t="shared" si="191"/>
        <v>4</v>
      </c>
      <c r="AC343" s="797">
        <f t="shared" si="192"/>
        <v>3</v>
      </c>
      <c r="AD343" s="797">
        <f t="shared" si="193"/>
        <v>1</v>
      </c>
      <c r="AE343" s="842">
        <f t="shared" si="194"/>
        <v>4</v>
      </c>
      <c r="AF343" s="842">
        <f t="shared" si="195"/>
        <v>4</v>
      </c>
      <c r="AG343" s="842">
        <f t="shared" si="196"/>
        <v>1</v>
      </c>
      <c r="AH343" s="842">
        <f t="shared" si="197"/>
        <v>2</v>
      </c>
      <c r="AI343" s="826" cm="1">
        <f t="array" ref="AI343">SUMPRODUCT(--ISNUMBER($U343:$AA343),$AB$3:$AH$3)</f>
        <v>1</v>
      </c>
      <c r="AJ343" s="829">
        <f t="shared" si="198"/>
        <v>39.617924021293227</v>
      </c>
      <c r="AK343" s="827" t="str">
        <f t="shared" si="199"/>
        <v>Inmadura</v>
      </c>
      <c r="AL343" s="784" t="str">
        <f t="shared" si="200"/>
        <v>Alta</v>
      </c>
      <c r="AM343" s="799">
        <f>IF(ISNUMBER('Base de datos Rutas'!W341),'Base de datos Rutas'!W341,"")</f>
        <v>3427.1365491869451</v>
      </c>
      <c r="AN343" s="787">
        <f>IFERROR(SUMIFS('Base de datos Rutas'!$W$6:$W$794,'Base de datos Rutas'!$C$6:$C$794,$C343)/'Base de datos Rutas'!I341,"")</f>
        <v>3427.1365491869487</v>
      </c>
      <c r="AO343" s="800">
        <f>IFERROR('Base de datos Rutas'!X341*AN343/AM343,"")</f>
        <v>0.3483939033672564</v>
      </c>
      <c r="AP343" s="800">
        <f t="shared" si="201"/>
        <v>0.6516060966327436</v>
      </c>
      <c r="AQ343" s="789">
        <f>IFERROR(INDEX('Hoja de apoyo v2'!$J$17:$J$20,MATCH($A343,'Hoja de apoyo v2'!$A$17:$A$20,0)),"")</f>
        <v>0.64320274048480885</v>
      </c>
      <c r="AR343" s="789">
        <f t="shared" si="202"/>
        <v>8.4033561479347485E-3</v>
      </c>
      <c r="AS343" s="784" t="str">
        <f t="shared" si="203"/>
        <v>No</v>
      </c>
      <c r="AT343" s="801">
        <f>IF(ISNUMBER('Base de datos Rutas'!CK341),'Base de datos Rutas'!CK341,"")</f>
        <v>380</v>
      </c>
      <c r="AU343" s="802">
        <f>IF(ISNUMBER('Base de datos Rutas'!CL341),'Base de datos Rutas'!CL341,"")</f>
        <v>532.03</v>
      </c>
      <c r="AV343" s="802">
        <f>IF(ISNUMBER('Base de datos Rutas'!CM341),'Base de datos Rutas'!CM341,"")</f>
        <v>152.02999999999997</v>
      </c>
      <c r="AW343" s="802">
        <f>IF(ISNUMBER('Base de datos Rutas'!CN341),'Base de datos Rutas'!CN341,"")</f>
        <v>8.77</v>
      </c>
      <c r="AX343" s="802">
        <f>IF(ISNUMBER('Base de datos Rutas'!CO341),'Base de datos Rutas'!CO341,"")</f>
        <v>9.4499999999999993</v>
      </c>
      <c r="AY343" s="802">
        <f>IF(ISNUMBER('Base de datos Rutas'!CP341),'Base de datos Rutas'!CP341,"")</f>
        <v>0.67999999999999972</v>
      </c>
      <c r="AZ343" s="802">
        <f>IF(ISNUMBER('Base de datos Rutas'!CQ341),'Base de datos Rutas'!CQ341,"")</f>
        <v>846.56</v>
      </c>
      <c r="BA343" s="802">
        <f>IF(ISNUMBER('Base de datos Rutas'!CR341),'Base de datos Rutas'!CR341,"")</f>
        <v>580.53</v>
      </c>
      <c r="BB343" s="803">
        <f>IF(ISNUMBER('Base de datos Rutas'!CS341),'Base de datos Rutas'!CS341,"")</f>
        <v>266.02999999999997</v>
      </c>
      <c r="BC343" s="804">
        <f t="shared" si="213"/>
        <v>0</v>
      </c>
      <c r="BD343" s="805" t="str">
        <f t="shared" si="214"/>
        <v>No saturada</v>
      </c>
      <c r="BE343" s="806">
        <f t="shared" si="215"/>
        <v>0.68575174825174823</v>
      </c>
      <c r="BF343" s="890">
        <f>IF(ISNUMBER('Base de datos Rutas'!CX341),'Base de datos Rutas'!CX341/100,"")</f>
        <v>0.95541642228738999</v>
      </c>
      <c r="BG343" s="891">
        <f>IF(ISNUMBER('Base de datos Rutas'!CZ341),'Base de datos Rutas'!CZ341/100,"")</f>
        <v>1</v>
      </c>
      <c r="BH343" s="892">
        <f>IF(ISNUMBER('Base de datos Rutas'!DA341),'Base de datos Rutas'!DA341,"")</f>
        <v>801.34140644520107</v>
      </c>
      <c r="BI343" s="893">
        <f>IF(ISNUMBER('Base de datos Rutas'!DC341),'Base de datos Rutas'!DC341,"")</f>
        <v>36.156635401723172</v>
      </c>
      <c r="BJ343" s="805" t="str">
        <f t="shared" si="216"/>
        <v>Ruta (completo)</v>
      </c>
      <c r="BK343" s="783">
        <f t="shared" si="204"/>
        <v>4</v>
      </c>
      <c r="BL343" s="797">
        <f t="shared" si="205"/>
        <v>2</v>
      </c>
      <c r="BM343" s="797">
        <f t="shared" si="206"/>
        <v>3</v>
      </c>
      <c r="BN343" s="797">
        <f t="shared" si="207"/>
        <v>3</v>
      </c>
      <c r="BO343" s="798" cm="1">
        <f t="array" ref="BO343">SUMPRODUCT(--ISNUMBER($BF343:$BI343),$BK$3:$BN$3)</f>
        <v>1</v>
      </c>
      <c r="BP343" s="831">
        <f t="shared" si="217"/>
        <v>50</v>
      </c>
      <c r="BQ343" s="834" t="str">
        <f t="shared" si="218"/>
        <v>Alto</v>
      </c>
      <c r="BR343" s="836">
        <f t="shared" si="208"/>
        <v>29.713443015969922</v>
      </c>
      <c r="BS343" s="836">
        <f t="shared" si="209"/>
        <v>50</v>
      </c>
      <c r="BT343" s="837" t="str">
        <f t="shared" si="210"/>
        <v>P1</v>
      </c>
      <c r="BU343" s="807" t="str">
        <f t="shared" si="219"/>
        <v>Con espacio</v>
      </c>
      <c r="BV343" s="807" t="str">
        <f t="shared" si="211"/>
        <v>Zona atractiva</v>
      </c>
      <c r="BW343" s="808" t="str">
        <f t="shared" si="212"/>
        <v>P1 - Ampliar cobertura</v>
      </c>
    </row>
    <row r="344" spans="1:75">
      <c r="A344" s="780" t="str">
        <f>'Base de datos Rutas'!A342</f>
        <v>Occidente</v>
      </c>
      <c r="B344" s="781" t="str">
        <f>'Base de datos Rutas'!B342</f>
        <v>Zapopan</v>
      </c>
      <c r="C344" s="781" t="str">
        <f>'Base de datos Rutas'!C342</f>
        <v>Planta Zapopan</v>
      </c>
      <c r="D344" s="782">
        <f>IF(ISNUMBER('Base de datos Rutas'!D342),'Base de datos Rutas'!D342,"Sin código")</f>
        <v>816334</v>
      </c>
      <c r="E344" s="783" t="str">
        <f>'Base de datos Rutas'!F342</f>
        <v>Activa</v>
      </c>
      <c r="F344" s="784" t="str">
        <f>'Base de datos Rutas'!H342</f>
        <v>Sí</v>
      </c>
      <c r="G344" s="785">
        <f>IF(ISNUMBER('Base de datos Rutas'!BE342),'Base de datos Rutas'!BE342,"")</f>
        <v>44.828859060402699</v>
      </c>
      <c r="H344" s="786">
        <f>IF(ISNUMBER('Base de datos Rutas'!BH342),'Base de datos Rutas'!BH342,"")</f>
        <v>0.46500486563365501</v>
      </c>
      <c r="I344" s="788">
        <f>IFERROR(IF(OR(NOT(ISNUMBER('Base de datos Rutas'!O342)),N('Base de datos Rutas'!BK342)=0),"",'Base de datos Rutas'!O342/('Base de datos Rutas'!L342/'Base de datos Rutas'!BK342)),"")</f>
        <v>3990.0305164319234</v>
      </c>
      <c r="J344" s="788">
        <f>IFERROR(IF(OR(NOT(ISNUMBER('Base de datos Rutas'!N342)),N('Base de datos Rutas'!BK342)=0),"",'Base de datos Rutas'!N342/('Base de datos Rutas'!L342/'Base de datos Rutas'!BK342)),"")</f>
        <v>6737.5281690140819</v>
      </c>
      <c r="K344" s="788">
        <f>IFERROR(IF(OR(NOT(ISNUMBER('Base de datos Rutas'!J342)),N('Base de datos Rutas'!BK342)=0),"",'Base de datos Rutas'!J342/('Base de datos Rutas'!L342/'Base de datos Rutas'!BK342)),"")</f>
        <v>458.17659342722988</v>
      </c>
      <c r="L344" s="788">
        <f>IFERROR(IF(OR(NOT(ISNUMBER('Base de datos Rutas'!K342)),N('Base de datos Rutas'!BK342)=0),"",'Base de datos Rutas'!K342/('Base de datos Rutas'!L342/'Base de datos Rutas'!BK342)),"")</f>
        <v>23.364010180751166</v>
      </c>
      <c r="M344" s="787">
        <f>IF(ISNUMBER('Base de datos Rutas'!AX342),'Base de datos Rutas'!AX342,"")</f>
        <v>540.87304778761097</v>
      </c>
      <c r="N344" s="790">
        <f>IFERROR(INDEX('Hoja de apoyo v2'!B$17:B$20,MATCH($A344,'Hoja de apoyo v2'!$A$17:$A$20,0)),"")</f>
        <v>89.41621024641401</v>
      </c>
      <c r="O344" s="791">
        <f>IFERROR(INDEX('Hoja de apoyo v2'!C$17:C$20,MATCH($A344,'Hoja de apoyo v2'!$A$17:$A$20,0)),"")</f>
        <v>0.54706375874806301</v>
      </c>
      <c r="P344" s="793">
        <f>IFERROR(INDEX('Hoja de apoyo v2'!D$17:D$20,MATCH($A344,'Hoja de apoyo v2'!$A$17:$A$20,0)),"")</f>
        <v>11095.153935793827</v>
      </c>
      <c r="Q344" s="793">
        <f>IFERROR(INDEX('Hoja de apoyo v2'!E$17:E$20,MATCH($A344,'Hoja de apoyo v2'!$A$17:$A$20,0)),"")</f>
        <v>6982.3202019701848</v>
      </c>
      <c r="R344" s="793">
        <f>IFERROR(INDEX('Hoja de apoyo v2'!F$17:F$20,MATCH($A344,'Hoja de apoyo v2'!$A$17:$A$20,0)),"")</f>
        <v>448.09513474485743</v>
      </c>
      <c r="S344" s="793">
        <f>IFERROR(INDEX('Hoja de apoyo v2'!G$17:G$20,MATCH($A344,'Hoja de apoyo v2'!$A$17:$A$20,0)),"")</f>
        <v>83.406300904207839</v>
      </c>
      <c r="T344" s="792">
        <f>IFERROR(INDEX('Hoja de apoyo v2'!H$17:H$20,MATCH($A344,'Hoja de apoyo v2'!$A$17:$A$20,0)),"")</f>
        <v>378.97014028925349</v>
      </c>
      <c r="U344" s="794">
        <f t="shared" si="184"/>
        <v>0.50135047031028179</v>
      </c>
      <c r="V344" s="795">
        <f t="shared" si="185"/>
        <v>0.85000122599567363</v>
      </c>
      <c r="W344" s="795">
        <f t="shared" si="186"/>
        <v>0.35961921209220682</v>
      </c>
      <c r="X344" s="843">
        <f t="shared" si="187"/>
        <v>0.96494116198122359</v>
      </c>
      <c r="Y344" s="843">
        <f t="shared" si="188"/>
        <v>1.022498478337893</v>
      </c>
      <c r="Z344" s="843">
        <f t="shared" si="189"/>
        <v>0.28012284356771483</v>
      </c>
      <c r="AA344" s="843">
        <f t="shared" si="190"/>
        <v>1.4272181111017959</v>
      </c>
      <c r="AB344" s="796">
        <f t="shared" si="191"/>
        <v>2</v>
      </c>
      <c r="AC344" s="797">
        <f t="shared" si="192"/>
        <v>3</v>
      </c>
      <c r="AD344" s="797">
        <f t="shared" si="193"/>
        <v>1</v>
      </c>
      <c r="AE344" s="842">
        <f t="shared" si="194"/>
        <v>3</v>
      </c>
      <c r="AF344" s="842">
        <f t="shared" si="195"/>
        <v>4</v>
      </c>
      <c r="AG344" s="842">
        <f t="shared" si="196"/>
        <v>1</v>
      </c>
      <c r="AH344" s="842">
        <f t="shared" si="197"/>
        <v>5</v>
      </c>
      <c r="AI344" s="826" cm="1">
        <f t="array" ref="AI344">SUMPRODUCT(--ISNUMBER($U344:$AA344),$AB$3:$AH$3)</f>
        <v>1</v>
      </c>
      <c r="AJ344" s="829">
        <f t="shared" si="198"/>
        <v>33.875387539780718</v>
      </c>
      <c r="AK344" s="827" t="str">
        <f t="shared" si="199"/>
        <v>Inmadura</v>
      </c>
      <c r="AL344" s="784" t="str">
        <f t="shared" si="200"/>
        <v>Alta</v>
      </c>
      <c r="AM344" s="799">
        <f>IF(ISNUMBER('Base de datos Rutas'!W342),'Base de datos Rutas'!W342,"")</f>
        <v>3427.1365491869451</v>
      </c>
      <c r="AN344" s="787">
        <f>IFERROR(SUMIFS('Base de datos Rutas'!$W$6:$W$794,'Base de datos Rutas'!$C$6:$C$794,$C344)/'Base de datos Rutas'!I342,"")</f>
        <v>3427.1365491869487</v>
      </c>
      <c r="AO344" s="800">
        <f>IFERROR('Base de datos Rutas'!X342*AN344/AM344,"")</f>
        <v>0.3483939033672564</v>
      </c>
      <c r="AP344" s="800">
        <f t="shared" si="201"/>
        <v>0.6516060966327436</v>
      </c>
      <c r="AQ344" s="789">
        <f>IFERROR(INDEX('Hoja de apoyo v2'!$J$17:$J$20,MATCH($A344,'Hoja de apoyo v2'!$A$17:$A$20,0)),"")</f>
        <v>0.64320274048480885</v>
      </c>
      <c r="AR344" s="789">
        <f t="shared" si="202"/>
        <v>8.4033561479347485E-3</v>
      </c>
      <c r="AS344" s="784" t="str">
        <f t="shared" si="203"/>
        <v>No</v>
      </c>
      <c r="AT344" s="801">
        <f>IF(ISNUMBER('Base de datos Rutas'!CK342),'Base de datos Rutas'!CK342,"")</f>
        <v>67</v>
      </c>
      <c r="AU344" s="802">
        <f>IF(ISNUMBER('Base de datos Rutas'!CL342),'Base de datos Rutas'!CL342,"")</f>
        <v>97.89</v>
      </c>
      <c r="AV344" s="802">
        <f>IF(ISNUMBER('Base de datos Rutas'!CM342),'Base de datos Rutas'!CM342,"")</f>
        <v>30.89</v>
      </c>
      <c r="AW344" s="802">
        <f>IF(ISNUMBER('Base de datos Rutas'!CN342),'Base de datos Rutas'!CN342,"")</f>
        <v>0.62</v>
      </c>
      <c r="AX344" s="802">
        <f>IF(ISNUMBER('Base de datos Rutas'!CO342),'Base de datos Rutas'!CO342,"")</f>
        <v>9.4499999999999993</v>
      </c>
      <c r="AY344" s="802">
        <f>IF(ISNUMBER('Base de datos Rutas'!CP342),'Base de datos Rutas'!CP342,"")</f>
        <v>8.83</v>
      </c>
      <c r="AZ344" s="802">
        <f>IF(ISNUMBER('Base de datos Rutas'!CQ342),'Base de datos Rutas'!CQ342,"")</f>
        <v>846.56</v>
      </c>
      <c r="BA344" s="802">
        <f>IF(ISNUMBER('Base de datos Rutas'!CR342),'Base de datos Rutas'!CR342,"")</f>
        <v>481.54</v>
      </c>
      <c r="BB344" s="803">
        <f>IF(ISNUMBER('Base de datos Rutas'!CS342),'Base de datos Rutas'!CS342,"")</f>
        <v>365.01999999999992</v>
      </c>
      <c r="BC344" s="804">
        <f t="shared" si="213"/>
        <v>0</v>
      </c>
      <c r="BD344" s="805" t="str">
        <f t="shared" si="214"/>
        <v>No saturada</v>
      </c>
      <c r="BE344" s="806">
        <f t="shared" si="215"/>
        <v>0.56881969381969388</v>
      </c>
      <c r="BF344" s="890">
        <f>IF(ISNUMBER('Base de datos Rutas'!CX342),'Base de datos Rutas'!CX342/100,"")</f>
        <v>4.0555555555555553E-3</v>
      </c>
      <c r="BG344" s="891">
        <f>IF(ISNUMBER('Base de datos Rutas'!CZ342),'Base de datos Rutas'!CZ342/100,"")</f>
        <v>2.8571428571428571E-2</v>
      </c>
      <c r="BH344" s="892">
        <f>IF(ISNUMBER('Base de datos Rutas'!DA342),'Base de datos Rutas'!DA342,"")</f>
        <v>524.59199467034375</v>
      </c>
      <c r="BI344" s="893">
        <f>IF(ISNUMBER('Base de datos Rutas'!DC342),'Base de datos Rutas'!DC342,"")</f>
        <v>12.307524266203936</v>
      </c>
      <c r="BJ344" s="805" t="str">
        <f t="shared" si="216"/>
        <v>Ruta (completo)</v>
      </c>
      <c r="BK344" s="783">
        <f t="shared" si="204"/>
        <v>1</v>
      </c>
      <c r="BL344" s="797">
        <f t="shared" si="205"/>
        <v>1</v>
      </c>
      <c r="BM344" s="797">
        <f t="shared" si="206"/>
        <v>2</v>
      </c>
      <c r="BN344" s="797">
        <f t="shared" si="207"/>
        <v>1</v>
      </c>
      <c r="BO344" s="798" cm="1">
        <f t="array" ref="BO344">SUMPRODUCT(--ISNUMBER($BF344:$BI344),$BK$3:$BN$3)</f>
        <v>1</v>
      </c>
      <c r="BP344" s="831">
        <f t="shared" si="217"/>
        <v>6.25</v>
      </c>
      <c r="BQ344" s="834" t="str">
        <f t="shared" si="218"/>
        <v>Bajo</v>
      </c>
      <c r="BR344" s="836">
        <f t="shared" si="208"/>
        <v>25.406540654835538</v>
      </c>
      <c r="BS344" s="836">
        <f t="shared" si="209"/>
        <v>6.25</v>
      </c>
      <c r="BT344" s="837" t="str">
        <f t="shared" si="210"/>
        <v>P4</v>
      </c>
      <c r="BU344" s="807" t="str">
        <f t="shared" si="219"/>
        <v>Con espacio</v>
      </c>
      <c r="BV344" s="807" t="str">
        <f t="shared" si="211"/>
        <v>Zona de bajo potencial</v>
      </c>
      <c r="BW344" s="808" t="str">
        <f t="shared" si="212"/>
        <v>P4 - Evaluar</v>
      </c>
    </row>
    <row r="345" spans="1:75">
      <c r="A345" s="780" t="str">
        <f>'Base de datos Rutas'!A343</f>
        <v>Occidente</v>
      </c>
      <c r="B345" s="781" t="str">
        <f>'Base de datos Rutas'!B343</f>
        <v>Zapopan</v>
      </c>
      <c r="C345" s="781" t="str">
        <f>'Base de datos Rutas'!C343</f>
        <v>Planta Zapopan</v>
      </c>
      <c r="D345" s="782">
        <f>IF(ISNUMBER('Base de datos Rutas'!D343),'Base de datos Rutas'!D343,"Sin código")</f>
        <v>816335</v>
      </c>
      <c r="E345" s="783" t="str">
        <f>'Base de datos Rutas'!F343</f>
        <v>Activa</v>
      </c>
      <c r="F345" s="784" t="str">
        <f>'Base de datos Rutas'!H343</f>
        <v>Sí</v>
      </c>
      <c r="G345" s="785">
        <f>IF(ISNUMBER('Base de datos Rutas'!BE343),'Base de datos Rutas'!BE343,"")</f>
        <v>84.304651162790705</v>
      </c>
      <c r="H345" s="786">
        <f>IF(ISNUMBER('Base de datos Rutas'!BH343),'Base de datos Rutas'!BH343,"")</f>
        <v>0.485669360845218</v>
      </c>
      <c r="I345" s="788">
        <f>IFERROR(IF(OR(NOT(ISNUMBER('Base de datos Rutas'!O343)),N('Base de datos Rutas'!BK343)=0),"",'Base de datos Rutas'!O343/('Base de datos Rutas'!L343/'Base de datos Rutas'!BK343)),"")</f>
        <v>3106.6534883720888</v>
      </c>
      <c r="J345" s="788">
        <f>IFERROR(IF(OR(NOT(ISNUMBER('Base de datos Rutas'!N343)),N('Base de datos Rutas'!BK343)=0),"",'Base de datos Rutas'!N343/('Base de datos Rutas'!L343/'Base de datos Rutas'!BK343)),"")</f>
        <v>7126.5953488371997</v>
      </c>
      <c r="K345" s="788">
        <f>IFERROR(IF(OR(NOT(ISNUMBER('Base de datos Rutas'!J343)),N('Base de datos Rutas'!BK343)=0),"",'Base de datos Rutas'!J343/('Base de datos Rutas'!L343/'Base de datos Rutas'!BK343)),"")</f>
        <v>488.6633711627901</v>
      </c>
      <c r="L345" s="788">
        <f>IFERROR(IF(OR(NOT(ISNUMBER('Base de datos Rutas'!K343)),N('Base de datos Rutas'!BK343)=0),"",'Base de datos Rutas'!K343/('Base de datos Rutas'!L343/'Base de datos Rutas'!BK343)),"")</f>
        <v>23.7145982837209</v>
      </c>
      <c r="M345" s="787">
        <f>IF(ISNUMBER('Base de datos Rutas'!AX343),'Base de datos Rutas'!AX343,"")</f>
        <v>249.931682381006</v>
      </c>
      <c r="N345" s="790">
        <f>IFERROR(INDEX('Hoja de apoyo v2'!B$17:B$20,MATCH($A345,'Hoja de apoyo v2'!$A$17:$A$20,0)),"")</f>
        <v>89.41621024641401</v>
      </c>
      <c r="O345" s="791">
        <f>IFERROR(INDEX('Hoja de apoyo v2'!C$17:C$20,MATCH($A345,'Hoja de apoyo v2'!$A$17:$A$20,0)),"")</f>
        <v>0.54706375874806301</v>
      </c>
      <c r="P345" s="793">
        <f>IFERROR(INDEX('Hoja de apoyo v2'!D$17:D$20,MATCH($A345,'Hoja de apoyo v2'!$A$17:$A$20,0)),"")</f>
        <v>11095.153935793827</v>
      </c>
      <c r="Q345" s="793">
        <f>IFERROR(INDEX('Hoja de apoyo v2'!E$17:E$20,MATCH($A345,'Hoja de apoyo v2'!$A$17:$A$20,0)),"")</f>
        <v>6982.3202019701848</v>
      </c>
      <c r="R345" s="793">
        <f>IFERROR(INDEX('Hoja de apoyo v2'!F$17:F$20,MATCH($A345,'Hoja de apoyo v2'!$A$17:$A$20,0)),"")</f>
        <v>448.09513474485743</v>
      </c>
      <c r="S345" s="793">
        <f>IFERROR(INDEX('Hoja de apoyo v2'!G$17:G$20,MATCH($A345,'Hoja de apoyo v2'!$A$17:$A$20,0)),"")</f>
        <v>83.406300904207839</v>
      </c>
      <c r="T345" s="792">
        <f>IFERROR(INDEX('Hoja de apoyo v2'!H$17:H$20,MATCH($A345,'Hoja de apoyo v2'!$A$17:$A$20,0)),"")</f>
        <v>378.97014028925349</v>
      </c>
      <c r="U345" s="794">
        <f t="shared" si="184"/>
        <v>0.94283408937219748</v>
      </c>
      <c r="V345" s="795">
        <f t="shared" si="185"/>
        <v>0.88777469367858686</v>
      </c>
      <c r="W345" s="795">
        <f t="shared" si="186"/>
        <v>0.28000093611588239</v>
      </c>
      <c r="X345" s="843">
        <f t="shared" si="187"/>
        <v>1.0206629233111231</v>
      </c>
      <c r="Y345" s="843">
        <f t="shared" si="188"/>
        <v>1.0905348736737166</v>
      </c>
      <c r="Z345" s="843">
        <f t="shared" si="189"/>
        <v>0.28432622028109272</v>
      </c>
      <c r="AA345" s="843">
        <f t="shared" si="190"/>
        <v>0.65950230852025082</v>
      </c>
      <c r="AB345" s="796">
        <f t="shared" si="191"/>
        <v>3</v>
      </c>
      <c r="AC345" s="797">
        <f t="shared" si="192"/>
        <v>3</v>
      </c>
      <c r="AD345" s="797">
        <f t="shared" si="193"/>
        <v>1</v>
      </c>
      <c r="AE345" s="842">
        <f t="shared" si="194"/>
        <v>4</v>
      </c>
      <c r="AF345" s="842">
        <f t="shared" si="195"/>
        <v>4</v>
      </c>
      <c r="AG345" s="842">
        <f t="shared" si="196"/>
        <v>1</v>
      </c>
      <c r="AH345" s="842">
        <f t="shared" si="197"/>
        <v>2</v>
      </c>
      <c r="AI345" s="826" cm="1">
        <f t="array" ref="AI345">SUMPRODUCT(--ISNUMBER($U345:$AA345),$AB$3:$AH$3)</f>
        <v>1</v>
      </c>
      <c r="AJ345" s="829">
        <f t="shared" si="198"/>
        <v>35.084287843156481</v>
      </c>
      <c r="AK345" s="827" t="str">
        <f t="shared" si="199"/>
        <v>Inmadura</v>
      </c>
      <c r="AL345" s="784" t="str">
        <f t="shared" si="200"/>
        <v>Alta</v>
      </c>
      <c r="AM345" s="799">
        <f>IF(ISNUMBER('Base de datos Rutas'!W343),'Base de datos Rutas'!W343,"")</f>
        <v>3427.1365491869451</v>
      </c>
      <c r="AN345" s="787">
        <f>IFERROR(SUMIFS('Base de datos Rutas'!$W$6:$W$794,'Base de datos Rutas'!$C$6:$C$794,$C345)/'Base de datos Rutas'!I343,"")</f>
        <v>3427.1365491869487</v>
      </c>
      <c r="AO345" s="800">
        <f>IFERROR('Base de datos Rutas'!X343*AN345/AM345,"")</f>
        <v>0.3483939033672564</v>
      </c>
      <c r="AP345" s="800">
        <f t="shared" si="201"/>
        <v>0.6516060966327436</v>
      </c>
      <c r="AQ345" s="789">
        <f>IFERROR(INDEX('Hoja de apoyo v2'!$J$17:$J$20,MATCH($A345,'Hoja de apoyo v2'!$A$17:$A$20,0)),"")</f>
        <v>0.64320274048480885</v>
      </c>
      <c r="AR345" s="789">
        <f t="shared" si="202"/>
        <v>8.4033561479347485E-3</v>
      </c>
      <c r="AS345" s="784" t="str">
        <f t="shared" si="203"/>
        <v>No</v>
      </c>
      <c r="AT345" s="801">
        <f>IF(ISNUMBER('Base de datos Rutas'!CK343),'Base de datos Rutas'!CK343,"")</f>
        <v>515</v>
      </c>
      <c r="AU345" s="802">
        <f>IF(ISNUMBER('Base de datos Rutas'!CL343),'Base de datos Rutas'!CL343,"")</f>
        <v>684.74</v>
      </c>
      <c r="AV345" s="802">
        <f>IF(ISNUMBER('Base de datos Rutas'!CM343),'Base de datos Rutas'!CM343,"")</f>
        <v>169.74</v>
      </c>
      <c r="AW345" s="802">
        <f>IF(ISNUMBER('Base de datos Rutas'!CN343),'Base de datos Rutas'!CN343,"")</f>
        <v>12.57</v>
      </c>
      <c r="AX345" s="802">
        <f>IF(ISNUMBER('Base de datos Rutas'!CO343),'Base de datos Rutas'!CO343,"")</f>
        <v>9.4499999999999993</v>
      </c>
      <c r="AY345" s="802">
        <f>IF(ISNUMBER('Base de datos Rutas'!CP343),'Base de datos Rutas'!CP343,"")</f>
        <v>-3.120000000000001</v>
      </c>
      <c r="AZ345" s="802">
        <f>IF(ISNUMBER('Base de datos Rutas'!CQ343),'Base de datos Rutas'!CQ343,"")</f>
        <v>564.37</v>
      </c>
      <c r="BA345" s="802">
        <f>IF(ISNUMBER('Base de datos Rutas'!CR343),'Base de datos Rutas'!CR343,"")</f>
        <v>512.38</v>
      </c>
      <c r="BB345" s="803">
        <f>IF(ISNUMBER('Base de datos Rutas'!CS343),'Base de datos Rutas'!CS343,"")</f>
        <v>51.990000000000009</v>
      </c>
      <c r="BC345" s="804">
        <f t="shared" si="213"/>
        <v>1</v>
      </c>
      <c r="BD345" s="805" t="str">
        <f t="shared" si="214"/>
        <v>Saturada</v>
      </c>
      <c r="BE345" s="806">
        <f t="shared" si="215"/>
        <v>0.90787958254336687</v>
      </c>
      <c r="BF345" s="890">
        <f>IF(ISNUMBER('Base de datos Rutas'!CX343),'Base de datos Rutas'!CX343/100,"")</f>
        <v>0.21778499704666274</v>
      </c>
      <c r="BG345" s="891">
        <f>IF(ISNUMBER('Base de datos Rutas'!CZ343),'Base de datos Rutas'!CZ343/100,"")</f>
        <v>0.2344949793266391</v>
      </c>
      <c r="BH345" s="892">
        <f>IF(ISNUMBER('Base de datos Rutas'!DA343),'Base de datos Rutas'!DA343,"")</f>
        <v>506.37763634638367</v>
      </c>
      <c r="BI345" s="893">
        <f>IF(ISNUMBER('Base de datos Rutas'!DC343),'Base de datos Rutas'!DC343,"")</f>
        <v>23.625946237995922</v>
      </c>
      <c r="BJ345" s="805" t="str">
        <f t="shared" si="216"/>
        <v>Ruta (completo)</v>
      </c>
      <c r="BK345" s="783">
        <f t="shared" si="204"/>
        <v>1</v>
      </c>
      <c r="BL345" s="797">
        <f t="shared" si="205"/>
        <v>1</v>
      </c>
      <c r="BM345" s="797">
        <f t="shared" si="206"/>
        <v>2</v>
      </c>
      <c r="BN345" s="797">
        <f t="shared" si="207"/>
        <v>2</v>
      </c>
      <c r="BO345" s="798" cm="1">
        <f t="array" ref="BO345">SUMPRODUCT(--ISNUMBER($BF345:$BI345),$BK$3:$BN$3)</f>
        <v>1</v>
      </c>
      <c r="BP345" s="831">
        <f t="shared" si="217"/>
        <v>12.5</v>
      </c>
      <c r="BQ345" s="834" t="str">
        <f t="shared" si="218"/>
        <v>Bajo</v>
      </c>
      <c r="BR345" s="836">
        <f t="shared" si="208"/>
        <v>51.313215882367359</v>
      </c>
      <c r="BS345" s="836">
        <f t="shared" si="209"/>
        <v>12.5</v>
      </c>
      <c r="BT345" s="837" t="str">
        <f t="shared" si="210"/>
        <v>P2</v>
      </c>
      <c r="BU345" s="807" t="str">
        <f t="shared" si="219"/>
        <v>Al tope</v>
      </c>
      <c r="BV345" s="807" t="str">
        <f t="shared" si="211"/>
        <v>Zona de bajo potencial</v>
      </c>
      <c r="BW345" s="808" t="str">
        <f t="shared" si="212"/>
        <v>P2 - Mantener</v>
      </c>
    </row>
    <row r="346" spans="1:75">
      <c r="A346" s="780" t="str">
        <f>'Base de datos Rutas'!A344</f>
        <v>Occidente</v>
      </c>
      <c r="B346" s="781" t="str">
        <f>'Base de datos Rutas'!B344</f>
        <v>Zapopan</v>
      </c>
      <c r="C346" s="781" t="str">
        <f>'Base de datos Rutas'!C344</f>
        <v>Planta Zapopan</v>
      </c>
      <c r="D346" s="782">
        <f>IF(ISNUMBER('Base de datos Rutas'!D344),'Base de datos Rutas'!D344,"Sin código")</f>
        <v>816336</v>
      </c>
      <c r="E346" s="783" t="str">
        <f>'Base de datos Rutas'!F344</f>
        <v>Inactiva</v>
      </c>
      <c r="F346" s="784" t="str">
        <f>'Base de datos Rutas'!H344</f>
        <v>No</v>
      </c>
      <c r="G346" s="785" t="str">
        <f>IF(ISNUMBER('Base de datos Rutas'!BE344),'Base de datos Rutas'!BE344,"")</f>
        <v/>
      </c>
      <c r="H346" s="786" t="str">
        <f>IF(ISNUMBER('Base de datos Rutas'!BH344),'Base de datos Rutas'!BH344,"")</f>
        <v/>
      </c>
      <c r="I346" s="788" t="str">
        <f>IFERROR(IF(OR(NOT(ISNUMBER('Base de datos Rutas'!O344)),N('Base de datos Rutas'!BK344)=0),"",'Base de datos Rutas'!O344/('Base de datos Rutas'!L344/'Base de datos Rutas'!BK344)),"")</f>
        <v/>
      </c>
      <c r="J346" s="788" t="str">
        <f>IFERROR(IF(OR(NOT(ISNUMBER('Base de datos Rutas'!N344)),N('Base de datos Rutas'!BK344)=0),"",'Base de datos Rutas'!N344/('Base de datos Rutas'!L344/'Base de datos Rutas'!BK344)),"")</f>
        <v/>
      </c>
      <c r="K346" s="788" t="str">
        <f>IFERROR(IF(OR(NOT(ISNUMBER('Base de datos Rutas'!J344)),N('Base de datos Rutas'!BK344)=0),"",'Base de datos Rutas'!J344/('Base de datos Rutas'!L344/'Base de datos Rutas'!BK344)),"")</f>
        <v/>
      </c>
      <c r="L346" s="788" t="str">
        <f>IFERROR(IF(OR(NOT(ISNUMBER('Base de datos Rutas'!K344)),N('Base de datos Rutas'!BK344)=0),"",'Base de datos Rutas'!K344/('Base de datos Rutas'!L344/'Base de datos Rutas'!BK344)),"")</f>
        <v/>
      </c>
      <c r="M346" s="787">
        <f>IF(ISNUMBER('Base de datos Rutas'!AX344),'Base de datos Rutas'!AX344,"")</f>
        <v>483.26988764045001</v>
      </c>
      <c r="N346" s="790">
        <f>IFERROR(INDEX('Hoja de apoyo v2'!B$17:B$20,MATCH($A346,'Hoja de apoyo v2'!$A$17:$A$20,0)),"")</f>
        <v>89.41621024641401</v>
      </c>
      <c r="O346" s="791">
        <f>IFERROR(INDEX('Hoja de apoyo v2'!C$17:C$20,MATCH($A346,'Hoja de apoyo v2'!$A$17:$A$20,0)),"")</f>
        <v>0.54706375874806301</v>
      </c>
      <c r="P346" s="793">
        <f>IFERROR(INDEX('Hoja de apoyo v2'!D$17:D$20,MATCH($A346,'Hoja de apoyo v2'!$A$17:$A$20,0)),"")</f>
        <v>11095.153935793827</v>
      </c>
      <c r="Q346" s="793">
        <f>IFERROR(INDEX('Hoja de apoyo v2'!E$17:E$20,MATCH($A346,'Hoja de apoyo v2'!$A$17:$A$20,0)),"")</f>
        <v>6982.3202019701848</v>
      </c>
      <c r="R346" s="793">
        <f>IFERROR(INDEX('Hoja de apoyo v2'!F$17:F$20,MATCH($A346,'Hoja de apoyo v2'!$A$17:$A$20,0)),"")</f>
        <v>448.09513474485743</v>
      </c>
      <c r="S346" s="793">
        <f>IFERROR(INDEX('Hoja de apoyo v2'!G$17:G$20,MATCH($A346,'Hoja de apoyo v2'!$A$17:$A$20,0)),"")</f>
        <v>83.406300904207839</v>
      </c>
      <c r="T346" s="792">
        <f>IFERROR(INDEX('Hoja de apoyo v2'!H$17:H$20,MATCH($A346,'Hoja de apoyo v2'!$A$17:$A$20,0)),"")</f>
        <v>378.97014028925349</v>
      </c>
      <c r="U346" s="794" t="str">
        <f t="shared" si="184"/>
        <v/>
      </c>
      <c r="V346" s="795" t="str">
        <f t="shared" si="185"/>
        <v/>
      </c>
      <c r="W346" s="795" t="str">
        <f t="shared" si="186"/>
        <v/>
      </c>
      <c r="X346" s="843" t="str">
        <f t="shared" si="187"/>
        <v/>
      </c>
      <c r="Y346" s="843" t="str">
        <f t="shared" si="188"/>
        <v/>
      </c>
      <c r="Z346" s="843" t="str">
        <f t="shared" si="189"/>
        <v/>
      </c>
      <c r="AA346" s="843">
        <f t="shared" si="190"/>
        <v>1.2752189058261647</v>
      </c>
      <c r="AB346" s="796">
        <f t="shared" si="191"/>
        <v>0</v>
      </c>
      <c r="AC346" s="797">
        <f t="shared" si="192"/>
        <v>0</v>
      </c>
      <c r="AD346" s="797">
        <f t="shared" si="193"/>
        <v>0</v>
      </c>
      <c r="AE346" s="842">
        <f t="shared" si="194"/>
        <v>0</v>
      </c>
      <c r="AF346" s="842">
        <f t="shared" si="195"/>
        <v>0</v>
      </c>
      <c r="AG346" s="842">
        <f t="shared" si="196"/>
        <v>0</v>
      </c>
      <c r="AH346" s="842">
        <f t="shared" si="197"/>
        <v>5</v>
      </c>
      <c r="AI346" s="826" cm="1">
        <f t="array" ref="AI346">SUMPRODUCT(--ISNUMBER($U346:$AA346),$AB$3:$AH$3)</f>
        <v>8.9789113613062493E-2</v>
      </c>
      <c r="AJ346" s="829" t="str">
        <f t="shared" si="198"/>
        <v/>
      </c>
      <c r="AK346" s="827" t="str">
        <f t="shared" si="199"/>
        <v>Ruta inactiva</v>
      </c>
      <c r="AL346" s="784" t="str">
        <f t="shared" si="200"/>
        <v>n/a</v>
      </c>
      <c r="AM346" s="799">
        <f>IF(ISNUMBER('Base de datos Rutas'!W344),'Base de datos Rutas'!W344,"")</f>
        <v>3427.1365491869451</v>
      </c>
      <c r="AN346" s="787">
        <f>IFERROR(SUMIFS('Base de datos Rutas'!$W$6:$W$794,'Base de datos Rutas'!$C$6:$C$794,$C346)/'Base de datos Rutas'!I344,"")</f>
        <v>3427.1365491869487</v>
      </c>
      <c r="AO346" s="800">
        <f>IFERROR('Base de datos Rutas'!X344*AN346/AM346,"")</f>
        <v>0.3483939033672564</v>
      </c>
      <c r="AP346" s="800">
        <f t="shared" si="201"/>
        <v>0.6516060966327436</v>
      </c>
      <c r="AQ346" s="789">
        <f>IFERROR(INDEX('Hoja de apoyo v2'!$J$17:$J$20,MATCH($A346,'Hoja de apoyo v2'!$A$17:$A$20,0)),"")</f>
        <v>0.64320274048480885</v>
      </c>
      <c r="AR346" s="789">
        <f t="shared" si="202"/>
        <v>8.4033561479347485E-3</v>
      </c>
      <c r="AS346" s="784" t="str">
        <f t="shared" si="203"/>
        <v>No</v>
      </c>
      <c r="AT346" s="801">
        <f>IF(ISNUMBER('Base de datos Rutas'!CK344),'Base de datos Rutas'!CK344,"")</f>
        <v>184</v>
      </c>
      <c r="AU346" s="802">
        <f>IF(ISNUMBER('Base de datos Rutas'!CL344),'Base de datos Rutas'!CL344,"")</f>
        <v>245.56</v>
      </c>
      <c r="AV346" s="802">
        <f>IF(ISNUMBER('Base de datos Rutas'!CM344),'Base de datos Rutas'!CM344,"")</f>
        <v>61.56</v>
      </c>
      <c r="AW346" s="802">
        <f>IF(ISNUMBER('Base de datos Rutas'!CN344),'Base de datos Rutas'!CN344,"")</f>
        <v>5.01</v>
      </c>
      <c r="AX346" s="802">
        <f>IF(ISNUMBER('Base de datos Rutas'!CO344),'Base de datos Rutas'!CO344,"")</f>
        <v>9.4499999999999993</v>
      </c>
      <c r="AY346" s="802">
        <f>IF(ISNUMBER('Base de datos Rutas'!CP344),'Base de datos Rutas'!CP344,"")</f>
        <v>4.4399999999999995</v>
      </c>
      <c r="AZ346" s="802">
        <f>IF(ISNUMBER('Base de datos Rutas'!CQ344),'Base de datos Rutas'!CQ344,"")</f>
        <v>564.37</v>
      </c>
      <c r="BA346" s="802">
        <f>IF(ISNUMBER('Base de datos Rutas'!CR344),'Base de datos Rutas'!CR344,"")</f>
        <v>514.29</v>
      </c>
      <c r="BB346" s="803">
        <f>IF(ISNUMBER('Base de datos Rutas'!CS344),'Base de datos Rutas'!CS344,"")</f>
        <v>50.080000000000041</v>
      </c>
      <c r="BC346" s="804">
        <f t="shared" si="213"/>
        <v>0</v>
      </c>
      <c r="BD346" s="805" t="str">
        <f t="shared" si="214"/>
        <v>No saturada</v>
      </c>
      <c r="BE346" s="806">
        <f t="shared" si="215"/>
        <v>0.91126388716622064</v>
      </c>
      <c r="BF346" s="890">
        <f>IF(ISNUMBER('Base de datos Rutas'!CX344),'Base de datos Rutas'!CX344/100,"")</f>
        <v>0.95840540540540542</v>
      </c>
      <c r="BG346" s="891">
        <f>IF(ISNUMBER('Base de datos Rutas'!CZ344),'Base de datos Rutas'!CZ344/100,"")</f>
        <v>1</v>
      </c>
      <c r="BH346" s="892">
        <f>IF(ISNUMBER('Base de datos Rutas'!DA344),'Base de datos Rutas'!DA344,"")</f>
        <v>621.74773605957603</v>
      </c>
      <c r="BI346" s="893">
        <f>IF(ISNUMBER('Base de datos Rutas'!DC344),'Base de datos Rutas'!DC344,"")</f>
        <v>31.205181763927452</v>
      </c>
      <c r="BJ346" s="805" t="str">
        <f t="shared" si="216"/>
        <v>Ruta (completo)</v>
      </c>
      <c r="BK346" s="783">
        <f t="shared" si="204"/>
        <v>4</v>
      </c>
      <c r="BL346" s="797">
        <f t="shared" si="205"/>
        <v>2</v>
      </c>
      <c r="BM346" s="797">
        <f t="shared" si="206"/>
        <v>3</v>
      </c>
      <c r="BN346" s="797">
        <f t="shared" si="207"/>
        <v>2</v>
      </c>
      <c r="BO346" s="798" cm="1">
        <f t="array" ref="BO346">SUMPRODUCT(--ISNUMBER($BF346:$BI346),$BK$3:$BN$3)</f>
        <v>1</v>
      </c>
      <c r="BP346" s="831">
        <f t="shared" si="217"/>
        <v>43.75</v>
      </c>
      <c r="BQ346" s="834" t="str">
        <f t="shared" si="218"/>
        <v>Medio</v>
      </c>
      <c r="BR346" s="836" t="str">
        <f t="shared" si="208"/>
        <v/>
      </c>
      <c r="BS346" s="836">
        <f t="shared" si="209"/>
        <v>43.75</v>
      </c>
      <c r="BT346" s="837" t="str">
        <f t="shared" si="210"/>
        <v>Sin datos</v>
      </c>
      <c r="BU346" s="807" t="str">
        <f t="shared" si="219"/>
        <v>No evaluable</v>
      </c>
      <c r="BV346" s="807" t="str">
        <f t="shared" si="211"/>
        <v>No evaluable</v>
      </c>
      <c r="BW346" s="808" t="str">
        <f t="shared" si="212"/>
        <v>Sin datos</v>
      </c>
    </row>
    <row r="347" spans="1:75">
      <c r="A347" s="780" t="str">
        <f>'Base de datos Rutas'!A345</f>
        <v>Occidente</v>
      </c>
      <c r="B347" s="781" t="str">
        <f>'Base de datos Rutas'!B345</f>
        <v>Zapopan</v>
      </c>
      <c r="C347" s="781" t="str">
        <f>'Base de datos Rutas'!C345</f>
        <v>Planta Zapopan</v>
      </c>
      <c r="D347" s="782">
        <f>IF(ISNUMBER('Base de datos Rutas'!D345),'Base de datos Rutas'!D345,"Sin código")</f>
        <v>816337</v>
      </c>
      <c r="E347" s="783" t="str">
        <f>'Base de datos Rutas'!F345</f>
        <v>Activa</v>
      </c>
      <c r="F347" s="784" t="str">
        <f>'Base de datos Rutas'!H345</f>
        <v>Sí</v>
      </c>
      <c r="G347" s="785">
        <f>IF(ISNUMBER('Base de datos Rutas'!BE345),'Base de datos Rutas'!BE345,"")</f>
        <v>68.7638888888889</v>
      </c>
      <c r="H347" s="786">
        <f>IF(ISNUMBER('Base de datos Rutas'!BH345),'Base de datos Rutas'!BH345,"")</f>
        <v>0.47424762674207199</v>
      </c>
      <c r="I347" s="788">
        <f>IFERROR(IF(OR(NOT(ISNUMBER('Base de datos Rutas'!O345)),N('Base de datos Rutas'!BK345)=0),"",'Base de datos Rutas'!O345/('Base de datos Rutas'!L345/'Base de datos Rutas'!BK345)),"")</f>
        <v>3716.2337962962952</v>
      </c>
      <c r="J347" s="788">
        <f>IFERROR(IF(OR(NOT(ISNUMBER('Base de datos Rutas'!N345)),N('Base de datos Rutas'!BK345)=0),"",'Base de datos Rutas'!N345/('Base de datos Rutas'!L345/'Base de datos Rutas'!BK345)),"")</f>
        <v>7202.8055555555538</v>
      </c>
      <c r="K347" s="788">
        <f>IFERROR(IF(OR(NOT(ISNUMBER('Base de datos Rutas'!J345)),N('Base de datos Rutas'!BK345)=0),"",'Base de datos Rutas'!J345/('Base de datos Rutas'!L345/'Base de datos Rutas'!BK345)),"")</f>
        <v>494.65258888888877</v>
      </c>
      <c r="L347" s="788">
        <f>IFERROR(IF(OR(NOT(ISNUMBER('Base de datos Rutas'!K345)),N('Base de datos Rutas'!BK345)=0),"",'Base de datos Rutas'!K345/('Base de datos Rutas'!L345/'Base de datos Rutas'!BK345)),"")</f>
        <v>21.542226708333327</v>
      </c>
      <c r="M347" s="787">
        <f>IF(ISNUMBER('Base de datos Rutas'!AX345),'Base de datos Rutas'!AX345,"")</f>
        <v>334.825635292448</v>
      </c>
      <c r="N347" s="790">
        <f>IFERROR(INDEX('Hoja de apoyo v2'!B$17:B$20,MATCH($A347,'Hoja de apoyo v2'!$A$17:$A$20,0)),"")</f>
        <v>89.41621024641401</v>
      </c>
      <c r="O347" s="791">
        <f>IFERROR(INDEX('Hoja de apoyo v2'!C$17:C$20,MATCH($A347,'Hoja de apoyo v2'!$A$17:$A$20,0)),"")</f>
        <v>0.54706375874806301</v>
      </c>
      <c r="P347" s="793">
        <f>IFERROR(INDEX('Hoja de apoyo v2'!D$17:D$20,MATCH($A347,'Hoja de apoyo v2'!$A$17:$A$20,0)),"")</f>
        <v>11095.153935793827</v>
      </c>
      <c r="Q347" s="793">
        <f>IFERROR(INDEX('Hoja de apoyo v2'!E$17:E$20,MATCH($A347,'Hoja de apoyo v2'!$A$17:$A$20,0)),"")</f>
        <v>6982.3202019701848</v>
      </c>
      <c r="R347" s="793">
        <f>IFERROR(INDEX('Hoja de apoyo v2'!F$17:F$20,MATCH($A347,'Hoja de apoyo v2'!$A$17:$A$20,0)),"")</f>
        <v>448.09513474485743</v>
      </c>
      <c r="S347" s="793">
        <f>IFERROR(INDEX('Hoja de apoyo v2'!G$17:G$20,MATCH($A347,'Hoja de apoyo v2'!$A$17:$A$20,0)),"")</f>
        <v>83.406300904207839</v>
      </c>
      <c r="T347" s="792">
        <f>IFERROR(INDEX('Hoja de apoyo v2'!H$17:H$20,MATCH($A347,'Hoja de apoyo v2'!$A$17:$A$20,0)),"")</f>
        <v>378.97014028925349</v>
      </c>
      <c r="U347" s="794">
        <f t="shared" si="184"/>
        <v>0.7690315737984057</v>
      </c>
      <c r="V347" s="795">
        <f t="shared" si="185"/>
        <v>0.86689644334578431</v>
      </c>
      <c r="W347" s="795">
        <f t="shared" si="186"/>
        <v>0.334942067302684</v>
      </c>
      <c r="X347" s="843">
        <f t="shared" si="187"/>
        <v>1.0315776628982376</v>
      </c>
      <c r="Y347" s="843">
        <f t="shared" si="188"/>
        <v>1.103900824923129</v>
      </c>
      <c r="Z347" s="843">
        <f t="shared" si="189"/>
        <v>0.25828056723285908</v>
      </c>
      <c r="AA347" s="843">
        <f t="shared" si="190"/>
        <v>0.88351455615180741</v>
      </c>
      <c r="AB347" s="796">
        <f t="shared" si="191"/>
        <v>3</v>
      </c>
      <c r="AC347" s="797">
        <f t="shared" si="192"/>
        <v>3</v>
      </c>
      <c r="AD347" s="797">
        <f t="shared" si="193"/>
        <v>1</v>
      </c>
      <c r="AE347" s="842">
        <f t="shared" si="194"/>
        <v>4</v>
      </c>
      <c r="AF347" s="842">
        <f t="shared" si="195"/>
        <v>4</v>
      </c>
      <c r="AG347" s="842">
        <f t="shared" si="196"/>
        <v>1</v>
      </c>
      <c r="AH347" s="842">
        <f t="shared" si="197"/>
        <v>3</v>
      </c>
      <c r="AI347" s="826" cm="1">
        <f t="array" ref="AI347">SUMPRODUCT(--ISNUMBER($U347:$AA347),$AB$3:$AH$3)</f>
        <v>1</v>
      </c>
      <c r="AJ347" s="829">
        <f t="shared" si="198"/>
        <v>37.32901568348305</v>
      </c>
      <c r="AK347" s="827" t="str">
        <f t="shared" si="199"/>
        <v>Inmadura</v>
      </c>
      <c r="AL347" s="784" t="str">
        <f t="shared" si="200"/>
        <v>Alta</v>
      </c>
      <c r="AM347" s="799">
        <f>IF(ISNUMBER('Base de datos Rutas'!W345),'Base de datos Rutas'!W345,"")</f>
        <v>3427.1365491869451</v>
      </c>
      <c r="AN347" s="787">
        <f>IFERROR(SUMIFS('Base de datos Rutas'!$W$6:$W$794,'Base de datos Rutas'!$C$6:$C$794,$C347)/'Base de datos Rutas'!I345,"")</f>
        <v>3427.1365491869487</v>
      </c>
      <c r="AO347" s="800">
        <f>IFERROR('Base de datos Rutas'!X345*AN347/AM347,"")</f>
        <v>0.3483939033672564</v>
      </c>
      <c r="AP347" s="800">
        <f t="shared" si="201"/>
        <v>0.6516060966327436</v>
      </c>
      <c r="AQ347" s="789">
        <f>IFERROR(INDEX('Hoja de apoyo v2'!$J$17:$J$20,MATCH($A347,'Hoja de apoyo v2'!$A$17:$A$20,0)),"")</f>
        <v>0.64320274048480885</v>
      </c>
      <c r="AR347" s="789">
        <f t="shared" si="202"/>
        <v>8.4033561479347485E-3</v>
      </c>
      <c r="AS347" s="784" t="str">
        <f t="shared" si="203"/>
        <v>No</v>
      </c>
      <c r="AT347" s="801">
        <f>IF(ISNUMBER('Base de datos Rutas'!CK345),'Base de datos Rutas'!CK345,"")</f>
        <v>299</v>
      </c>
      <c r="AU347" s="802">
        <f>IF(ISNUMBER('Base de datos Rutas'!CL345),'Base de datos Rutas'!CL345,"")</f>
        <v>383.95</v>
      </c>
      <c r="AV347" s="802">
        <f>IF(ISNUMBER('Base de datos Rutas'!CM345),'Base de datos Rutas'!CM345,"")</f>
        <v>84.949999999999989</v>
      </c>
      <c r="AW347" s="802">
        <f>IF(ISNUMBER('Base de datos Rutas'!CN345),'Base de datos Rutas'!CN345,"")</f>
        <v>7.11</v>
      </c>
      <c r="AX347" s="802">
        <f>IF(ISNUMBER('Base de datos Rutas'!CO345),'Base de datos Rutas'!CO345,"")</f>
        <v>9.4499999999999993</v>
      </c>
      <c r="AY347" s="802">
        <f>IF(ISNUMBER('Base de datos Rutas'!CP345),'Base de datos Rutas'!CP345,"")</f>
        <v>2.339999999999999</v>
      </c>
      <c r="AZ347" s="802">
        <f>IF(ISNUMBER('Base de datos Rutas'!CQ345),'Base de datos Rutas'!CQ345,"")</f>
        <v>846.56</v>
      </c>
      <c r="BA347" s="802">
        <f>IF(ISNUMBER('Base de datos Rutas'!CR345),'Base de datos Rutas'!CR345,"")</f>
        <v>516.19000000000005</v>
      </c>
      <c r="BB347" s="803">
        <f>IF(ISNUMBER('Base de datos Rutas'!CS345),'Base de datos Rutas'!CS345,"")</f>
        <v>330.36999999999989</v>
      </c>
      <c r="BC347" s="804">
        <f t="shared" si="213"/>
        <v>0</v>
      </c>
      <c r="BD347" s="805" t="str">
        <f t="shared" si="214"/>
        <v>No saturada</v>
      </c>
      <c r="BE347" s="806">
        <f t="shared" si="215"/>
        <v>0.60975004725004733</v>
      </c>
      <c r="BF347" s="890">
        <f>IF(ISNUMBER('Base de datos Rutas'!CX345),'Base de datos Rutas'!CX345/100,"")</f>
        <v>0.92346846846846842</v>
      </c>
      <c r="BG347" s="891">
        <f>IF(ISNUMBER('Base de datos Rutas'!CZ345),'Base de datos Rutas'!CZ345/100,"")</f>
        <v>1</v>
      </c>
      <c r="BH347" s="892">
        <f>IF(ISNUMBER('Base de datos Rutas'!DA345),'Base de datos Rutas'!DA345,"")</f>
        <v>1671.393154525294</v>
      </c>
      <c r="BI347" s="893">
        <f>IF(ISNUMBER('Base de datos Rutas'!DC345),'Base de datos Rutas'!DC345,"")</f>
        <v>78.325168417088577</v>
      </c>
      <c r="BJ347" s="805" t="str">
        <f t="shared" si="216"/>
        <v>Ruta (completo)</v>
      </c>
      <c r="BK347" s="783">
        <f t="shared" si="204"/>
        <v>3</v>
      </c>
      <c r="BL347" s="797">
        <f t="shared" si="205"/>
        <v>2</v>
      </c>
      <c r="BM347" s="797">
        <f t="shared" si="206"/>
        <v>5</v>
      </c>
      <c r="BN347" s="797">
        <f t="shared" si="207"/>
        <v>5</v>
      </c>
      <c r="BO347" s="798" cm="1">
        <f t="array" ref="BO347">SUMPRODUCT(--ISNUMBER($BF347:$BI347),$BK$3:$BN$3)</f>
        <v>1</v>
      </c>
      <c r="BP347" s="831">
        <f t="shared" si="217"/>
        <v>68.75</v>
      </c>
      <c r="BQ347" s="834" t="str">
        <f t="shared" si="218"/>
        <v>Alto</v>
      </c>
      <c r="BR347" s="836">
        <f t="shared" si="208"/>
        <v>27.996761762612287</v>
      </c>
      <c r="BS347" s="836">
        <f t="shared" si="209"/>
        <v>68.75</v>
      </c>
      <c r="BT347" s="837" t="str">
        <f t="shared" si="210"/>
        <v>P3</v>
      </c>
      <c r="BU347" s="807" t="str">
        <f t="shared" si="219"/>
        <v>Con espacio</v>
      </c>
      <c r="BV347" s="807" t="str">
        <f t="shared" si="211"/>
        <v>Zona atractiva</v>
      </c>
      <c r="BW347" s="808" t="str">
        <f t="shared" si="212"/>
        <v>P3 - Desarrollar</v>
      </c>
    </row>
    <row r="348" spans="1:75">
      <c r="A348" s="780" t="str">
        <f>'Base de datos Rutas'!A346</f>
        <v>Occidente</v>
      </c>
      <c r="B348" s="781" t="str">
        <f>'Base de datos Rutas'!B346</f>
        <v>Zapopan</v>
      </c>
      <c r="C348" s="781" t="str">
        <f>'Base de datos Rutas'!C346</f>
        <v>Planta Zapopan</v>
      </c>
      <c r="D348" s="782">
        <f>IF(ISNUMBER('Base de datos Rutas'!D346),'Base de datos Rutas'!D346,"Sin código")</f>
        <v>816338</v>
      </c>
      <c r="E348" s="783" t="str">
        <f>'Base de datos Rutas'!F346</f>
        <v>Activa</v>
      </c>
      <c r="F348" s="784" t="str">
        <f>'Base de datos Rutas'!H346</f>
        <v>Sí</v>
      </c>
      <c r="G348" s="785">
        <f>IF(ISNUMBER('Base de datos Rutas'!BE346),'Base de datos Rutas'!BE346,"")</f>
        <v>44.55</v>
      </c>
      <c r="H348" s="786">
        <f>IF(ISNUMBER('Base de datos Rutas'!BH346),'Base de datos Rutas'!BH346,"")</f>
        <v>0.68385241301907995</v>
      </c>
      <c r="I348" s="788">
        <f>IFERROR(IF(OR(NOT(ISNUMBER('Base de datos Rutas'!O346)),N('Base de datos Rutas'!BK346)=0),"",'Base de datos Rutas'!O346/('Base de datos Rutas'!L346/'Base de datos Rutas'!BK346)),"")</f>
        <v>5216.0207373271824</v>
      </c>
      <c r="J348" s="788">
        <f>IFERROR(IF(OR(NOT(ISNUMBER('Base de datos Rutas'!N346)),N('Base de datos Rutas'!BK346)=0),"",'Base de datos Rutas'!N346/('Base de datos Rutas'!L346/'Base de datos Rutas'!BK346)),"")</f>
        <v>8312.0645161290213</v>
      </c>
      <c r="K348" s="788">
        <f>IFERROR(IF(OR(NOT(ISNUMBER('Base de datos Rutas'!J346)),N('Base de datos Rutas'!BK346)=0),"",'Base de datos Rutas'!J346/('Base de datos Rutas'!L346/'Base de datos Rutas'!BK346)),"")</f>
        <v>567.07393548387017</v>
      </c>
      <c r="L348" s="788">
        <f>IFERROR(IF(OR(NOT(ISNUMBER('Base de datos Rutas'!K346)),N('Base de datos Rutas'!BK346)=0),"",'Base de datos Rutas'!K346/('Base de datos Rutas'!L346/'Base de datos Rutas'!BK346)),"")</f>
        <v>29.609869184331757</v>
      </c>
      <c r="M348" s="787">
        <f>IF(ISNUMBER('Base de datos Rutas'!AX346),'Base de datos Rutas'!AX346,"")</f>
        <v>446.54389495225098</v>
      </c>
      <c r="N348" s="790">
        <f>IFERROR(INDEX('Hoja de apoyo v2'!B$17:B$20,MATCH($A348,'Hoja de apoyo v2'!$A$17:$A$20,0)),"")</f>
        <v>89.41621024641401</v>
      </c>
      <c r="O348" s="791">
        <f>IFERROR(INDEX('Hoja de apoyo v2'!C$17:C$20,MATCH($A348,'Hoja de apoyo v2'!$A$17:$A$20,0)),"")</f>
        <v>0.54706375874806301</v>
      </c>
      <c r="P348" s="793">
        <f>IFERROR(INDEX('Hoja de apoyo v2'!D$17:D$20,MATCH($A348,'Hoja de apoyo v2'!$A$17:$A$20,0)),"")</f>
        <v>11095.153935793827</v>
      </c>
      <c r="Q348" s="793">
        <f>IFERROR(INDEX('Hoja de apoyo v2'!E$17:E$20,MATCH($A348,'Hoja de apoyo v2'!$A$17:$A$20,0)),"")</f>
        <v>6982.3202019701848</v>
      </c>
      <c r="R348" s="793">
        <f>IFERROR(INDEX('Hoja de apoyo v2'!F$17:F$20,MATCH($A348,'Hoja de apoyo v2'!$A$17:$A$20,0)),"")</f>
        <v>448.09513474485743</v>
      </c>
      <c r="S348" s="793">
        <f>IFERROR(INDEX('Hoja de apoyo v2'!G$17:G$20,MATCH($A348,'Hoja de apoyo v2'!$A$17:$A$20,0)),"")</f>
        <v>83.406300904207839</v>
      </c>
      <c r="T348" s="792">
        <f>IFERROR(INDEX('Hoja de apoyo v2'!H$17:H$20,MATCH($A348,'Hoja de apoyo v2'!$A$17:$A$20,0)),"")</f>
        <v>378.97014028925349</v>
      </c>
      <c r="U348" s="794">
        <f t="shared" si="184"/>
        <v>0.49823180693107771</v>
      </c>
      <c r="V348" s="795">
        <f t="shared" si="185"/>
        <v>1.2500415209080074</v>
      </c>
      <c r="W348" s="795">
        <f t="shared" si="186"/>
        <v>0.47011702293736501</v>
      </c>
      <c r="X348" s="843">
        <f t="shared" si="187"/>
        <v>1.1904444762907931</v>
      </c>
      <c r="Y348" s="843">
        <f t="shared" si="188"/>
        <v>1.2655212956212045</v>
      </c>
      <c r="Z348" s="843">
        <f t="shared" si="189"/>
        <v>0.35500758172141816</v>
      </c>
      <c r="AA348" s="843">
        <f t="shared" si="190"/>
        <v>1.1783089153446786</v>
      </c>
      <c r="AB348" s="796">
        <f t="shared" si="191"/>
        <v>1</v>
      </c>
      <c r="AC348" s="797">
        <f t="shared" si="192"/>
        <v>5</v>
      </c>
      <c r="AD348" s="797">
        <f t="shared" si="193"/>
        <v>1</v>
      </c>
      <c r="AE348" s="842">
        <f t="shared" si="194"/>
        <v>4</v>
      </c>
      <c r="AF348" s="842">
        <f t="shared" si="195"/>
        <v>5</v>
      </c>
      <c r="AG348" s="842">
        <f t="shared" si="196"/>
        <v>1</v>
      </c>
      <c r="AH348" s="842">
        <f t="shared" si="197"/>
        <v>4</v>
      </c>
      <c r="AI348" s="826" cm="1">
        <f t="array" ref="AI348">SUMPRODUCT(--ISNUMBER($U348:$AA348),$AB$3:$AH$3)</f>
        <v>1</v>
      </c>
      <c r="AJ348" s="829">
        <f t="shared" si="198"/>
        <v>38.198326851356853</v>
      </c>
      <c r="AK348" s="827" t="str">
        <f t="shared" si="199"/>
        <v>Inmadura</v>
      </c>
      <c r="AL348" s="784" t="str">
        <f t="shared" si="200"/>
        <v>Alta</v>
      </c>
      <c r="AM348" s="799">
        <f>IF(ISNUMBER('Base de datos Rutas'!W346),'Base de datos Rutas'!W346,"")</f>
        <v>3427.1365491869451</v>
      </c>
      <c r="AN348" s="787">
        <f>IFERROR(SUMIFS('Base de datos Rutas'!$W$6:$W$794,'Base de datos Rutas'!$C$6:$C$794,$C348)/'Base de datos Rutas'!I346,"")</f>
        <v>3427.1365491869487</v>
      </c>
      <c r="AO348" s="800">
        <f>IFERROR('Base de datos Rutas'!X346*AN348/AM348,"")</f>
        <v>0.3483939033672564</v>
      </c>
      <c r="AP348" s="800">
        <f t="shared" si="201"/>
        <v>0.6516060966327436</v>
      </c>
      <c r="AQ348" s="789">
        <f>IFERROR(INDEX('Hoja de apoyo v2'!$J$17:$J$20,MATCH($A348,'Hoja de apoyo v2'!$A$17:$A$20,0)),"")</f>
        <v>0.64320274048480885</v>
      </c>
      <c r="AR348" s="789">
        <f t="shared" si="202"/>
        <v>8.4033561479347485E-3</v>
      </c>
      <c r="AS348" s="784" t="str">
        <f t="shared" si="203"/>
        <v>No</v>
      </c>
      <c r="AT348" s="801">
        <f>IF(ISNUMBER('Base de datos Rutas'!CK346),'Base de datos Rutas'!CK346,"")</f>
        <v>168</v>
      </c>
      <c r="AU348" s="802">
        <f>IF(ISNUMBER('Base de datos Rutas'!CL346),'Base de datos Rutas'!CL346,"")</f>
        <v>201.74</v>
      </c>
      <c r="AV348" s="802">
        <f>IF(ISNUMBER('Base de datos Rutas'!CM346),'Base de datos Rutas'!CM346,"")</f>
        <v>33.740000000000009</v>
      </c>
      <c r="AW348" s="802">
        <f>IF(ISNUMBER('Base de datos Rutas'!CN346),'Base de datos Rutas'!CN346,"")</f>
        <v>4.84</v>
      </c>
      <c r="AX348" s="802">
        <f>IF(ISNUMBER('Base de datos Rutas'!CO346),'Base de datos Rutas'!CO346,"")</f>
        <v>9.4499999999999993</v>
      </c>
      <c r="AY348" s="802">
        <f>IF(ISNUMBER('Base de datos Rutas'!CP346),'Base de datos Rutas'!CP346,"")</f>
        <v>4.6099999999999994</v>
      </c>
      <c r="AZ348" s="802">
        <f>IF(ISNUMBER('Base de datos Rutas'!CQ346),'Base de datos Rutas'!CQ346,"")</f>
        <v>846.56</v>
      </c>
      <c r="BA348" s="802">
        <f>IF(ISNUMBER('Base de datos Rutas'!CR346),'Base de datos Rutas'!CR346,"")</f>
        <v>596.67999999999995</v>
      </c>
      <c r="BB348" s="803">
        <f>IF(ISNUMBER('Base de datos Rutas'!CS346),'Base de datos Rutas'!CS346,"")</f>
        <v>249.88</v>
      </c>
      <c r="BC348" s="804">
        <f t="shared" si="213"/>
        <v>0</v>
      </c>
      <c r="BD348" s="805" t="str">
        <f t="shared" si="214"/>
        <v>No saturada</v>
      </c>
      <c r="BE348" s="806">
        <f t="shared" si="215"/>
        <v>0.7048289548289548</v>
      </c>
      <c r="BF348" s="890">
        <f>IF(ISNUMBER('Base de datos Rutas'!CX346),'Base de datos Rutas'!CX346/100,"")</f>
        <v>0.3153763440860215</v>
      </c>
      <c r="BG348" s="891">
        <f>IF(ISNUMBER('Base de datos Rutas'!CZ346),'Base de datos Rutas'!CZ346/100,"")</f>
        <v>0.33186705767350927</v>
      </c>
      <c r="BH348" s="892">
        <f>IF(ISNUMBER('Base de datos Rutas'!DA346),'Base de datos Rutas'!DA346,"")</f>
        <v>410.6139902103148</v>
      </c>
      <c r="BI348" s="893">
        <f>IF(ISNUMBER('Base de datos Rutas'!DC346),'Base de datos Rutas'!DC346,"")</f>
        <v>18.18977853000856</v>
      </c>
      <c r="BJ348" s="805" t="str">
        <f t="shared" si="216"/>
        <v>Ruta (completo)</v>
      </c>
      <c r="BK348" s="783">
        <f t="shared" si="204"/>
        <v>1</v>
      </c>
      <c r="BL348" s="797">
        <f t="shared" si="205"/>
        <v>1</v>
      </c>
      <c r="BM348" s="797">
        <f t="shared" si="206"/>
        <v>2</v>
      </c>
      <c r="BN348" s="797">
        <f t="shared" si="207"/>
        <v>2</v>
      </c>
      <c r="BO348" s="798" cm="1">
        <f t="array" ref="BO348">SUMPRODUCT(--ISNUMBER($BF348:$BI348),$BK$3:$BN$3)</f>
        <v>1</v>
      </c>
      <c r="BP348" s="831">
        <f t="shared" si="217"/>
        <v>12.5</v>
      </c>
      <c r="BQ348" s="834" t="str">
        <f t="shared" si="218"/>
        <v>Bajo</v>
      </c>
      <c r="BR348" s="836">
        <f t="shared" si="208"/>
        <v>28.64874513851764</v>
      </c>
      <c r="BS348" s="836">
        <f t="shared" si="209"/>
        <v>12.5</v>
      </c>
      <c r="BT348" s="837" t="str">
        <f t="shared" si="210"/>
        <v>P4</v>
      </c>
      <c r="BU348" s="807" t="str">
        <f t="shared" si="219"/>
        <v>Con espacio</v>
      </c>
      <c r="BV348" s="807" t="str">
        <f t="shared" si="211"/>
        <v>Zona de bajo potencial</v>
      </c>
      <c r="BW348" s="808" t="str">
        <f t="shared" si="212"/>
        <v>P4 - Evaluar</v>
      </c>
    </row>
    <row r="349" spans="1:75">
      <c r="A349" s="780" t="str">
        <f>'Base de datos Rutas'!A347</f>
        <v>Occidente</v>
      </c>
      <c r="B349" s="781" t="str">
        <f>'Base de datos Rutas'!B347</f>
        <v>Zapopan</v>
      </c>
      <c r="C349" s="781" t="str">
        <f>'Base de datos Rutas'!C347</f>
        <v>Planta Zapopan</v>
      </c>
      <c r="D349" s="782">
        <f>IF(ISNUMBER('Base de datos Rutas'!D347),'Base de datos Rutas'!D347,"Sin código")</f>
        <v>816339</v>
      </c>
      <c r="E349" s="783" t="str">
        <f>'Base de datos Rutas'!F347</f>
        <v>Activa</v>
      </c>
      <c r="F349" s="784" t="str">
        <f>'Base de datos Rutas'!H347</f>
        <v>Sí</v>
      </c>
      <c r="G349" s="785">
        <f>IF(ISNUMBER('Base de datos Rutas'!BE347),'Base de datos Rutas'!BE347,"")</f>
        <v>84.673563218390797</v>
      </c>
      <c r="H349" s="786">
        <f>IF(ISNUMBER('Base de datos Rutas'!BH347),'Base de datos Rutas'!BH347,"")</f>
        <v>0.21252681019737699</v>
      </c>
      <c r="I349" s="788">
        <f>IFERROR(IF(OR(NOT(ISNUMBER('Base de datos Rutas'!O347)),N('Base de datos Rutas'!BK347)=0),"",'Base de datos Rutas'!O347/('Base de datos Rutas'!L347/'Base de datos Rutas'!BK347)),"")</f>
        <v>1342.6137931034473</v>
      </c>
      <c r="J349" s="788">
        <f>IFERROR(IF(OR(NOT(ISNUMBER('Base de datos Rutas'!N347)),N('Base de datos Rutas'!BK347)=0),"",'Base de datos Rutas'!N347/('Base de datos Rutas'!L347/'Base de datos Rutas'!BK347)),"")</f>
        <v>3694.5977011494224</v>
      </c>
      <c r="K349" s="788">
        <f>IFERROR(IF(OR(NOT(ISNUMBER('Base de datos Rutas'!J347)),N('Base de datos Rutas'!BK347)=0),"",'Base de datos Rutas'!J347/('Base de datos Rutas'!L347/'Base de datos Rutas'!BK347)),"")</f>
        <v>251.55604229885037</v>
      </c>
      <c r="L349" s="788">
        <f>IFERROR(IF(OR(NOT(ISNUMBER('Base de datos Rutas'!K347)),N('Base de datos Rutas'!BK347)=0),"",'Base de datos Rutas'!K347/('Base de datos Rutas'!L347/'Base de datos Rutas'!BK347)),"")</f>
        <v>9.2230905747126375</v>
      </c>
      <c r="M349" s="787">
        <f>IF(ISNUMBER('Base de datos Rutas'!AX347),'Base de datos Rutas'!AX347,"")</f>
        <v>279.16163898824698</v>
      </c>
      <c r="N349" s="790">
        <f>IFERROR(INDEX('Hoja de apoyo v2'!B$17:B$20,MATCH($A349,'Hoja de apoyo v2'!$A$17:$A$20,0)),"")</f>
        <v>89.41621024641401</v>
      </c>
      <c r="O349" s="791">
        <f>IFERROR(INDEX('Hoja de apoyo v2'!C$17:C$20,MATCH($A349,'Hoja de apoyo v2'!$A$17:$A$20,0)),"")</f>
        <v>0.54706375874806301</v>
      </c>
      <c r="P349" s="793">
        <f>IFERROR(INDEX('Hoja de apoyo v2'!D$17:D$20,MATCH($A349,'Hoja de apoyo v2'!$A$17:$A$20,0)),"")</f>
        <v>11095.153935793827</v>
      </c>
      <c r="Q349" s="793">
        <f>IFERROR(INDEX('Hoja de apoyo v2'!E$17:E$20,MATCH($A349,'Hoja de apoyo v2'!$A$17:$A$20,0)),"")</f>
        <v>6982.3202019701848</v>
      </c>
      <c r="R349" s="793">
        <f>IFERROR(INDEX('Hoja de apoyo v2'!F$17:F$20,MATCH($A349,'Hoja de apoyo v2'!$A$17:$A$20,0)),"")</f>
        <v>448.09513474485743</v>
      </c>
      <c r="S349" s="793">
        <f>IFERROR(INDEX('Hoja de apoyo v2'!G$17:G$20,MATCH($A349,'Hoja de apoyo v2'!$A$17:$A$20,0)),"")</f>
        <v>83.406300904207839</v>
      </c>
      <c r="T349" s="792">
        <f>IFERROR(INDEX('Hoja de apoyo v2'!H$17:H$20,MATCH($A349,'Hoja de apoyo v2'!$A$17:$A$20,0)),"")</f>
        <v>378.97014028925349</v>
      </c>
      <c r="U349" s="794">
        <f t="shared" si="184"/>
        <v>0.94695987433426909</v>
      </c>
      <c r="V349" s="795">
        <f t="shared" si="185"/>
        <v>0.38848636342450726</v>
      </c>
      <c r="W349" s="795">
        <f t="shared" si="186"/>
        <v>0.12100902798401661</v>
      </c>
      <c r="X349" s="843">
        <f t="shared" si="187"/>
        <v>0.52913610293995494</v>
      </c>
      <c r="Y349" s="843">
        <f t="shared" si="188"/>
        <v>0.56138980942536854</v>
      </c>
      <c r="Z349" s="843">
        <f t="shared" si="189"/>
        <v>0.11058026161962703</v>
      </c>
      <c r="AA349" s="843">
        <f t="shared" si="190"/>
        <v>0.73663228130631486</v>
      </c>
      <c r="AB349" s="796">
        <f t="shared" si="191"/>
        <v>3</v>
      </c>
      <c r="AC349" s="797">
        <f t="shared" si="192"/>
        <v>1</v>
      </c>
      <c r="AD349" s="797">
        <f t="shared" si="193"/>
        <v>1</v>
      </c>
      <c r="AE349" s="842">
        <f t="shared" si="194"/>
        <v>2</v>
      </c>
      <c r="AF349" s="842">
        <f t="shared" si="195"/>
        <v>2</v>
      </c>
      <c r="AG349" s="842">
        <f t="shared" si="196"/>
        <v>1</v>
      </c>
      <c r="AH349" s="842">
        <f t="shared" si="197"/>
        <v>2</v>
      </c>
      <c r="AI349" s="826" cm="1">
        <f t="array" ref="AI349">SUMPRODUCT(--ISNUMBER($U349:$AA349),$AB$3:$AH$3)</f>
        <v>1</v>
      </c>
      <c r="AJ349" s="829">
        <f t="shared" si="198"/>
        <v>17.647492354858556</v>
      </c>
      <c r="AK349" s="827" t="str">
        <f t="shared" si="199"/>
        <v>Inmadura</v>
      </c>
      <c r="AL349" s="784" t="str">
        <f t="shared" si="200"/>
        <v>Alta</v>
      </c>
      <c r="AM349" s="799">
        <f>IF(ISNUMBER('Base de datos Rutas'!W347),'Base de datos Rutas'!W347,"")</f>
        <v>3427.1365491869451</v>
      </c>
      <c r="AN349" s="787">
        <f>IFERROR(SUMIFS('Base de datos Rutas'!$W$6:$W$794,'Base de datos Rutas'!$C$6:$C$794,$C349)/'Base de datos Rutas'!I347,"")</f>
        <v>3427.1365491869487</v>
      </c>
      <c r="AO349" s="800">
        <f>IFERROR('Base de datos Rutas'!X347*AN349/AM349,"")</f>
        <v>0.3483939033672564</v>
      </c>
      <c r="AP349" s="800">
        <f t="shared" si="201"/>
        <v>0.6516060966327436</v>
      </c>
      <c r="AQ349" s="789">
        <f>IFERROR(INDEX('Hoja de apoyo v2'!$J$17:$J$20,MATCH($A349,'Hoja de apoyo v2'!$A$17:$A$20,0)),"")</f>
        <v>0.64320274048480885</v>
      </c>
      <c r="AR349" s="789">
        <f t="shared" si="202"/>
        <v>8.4033561479347485E-3</v>
      </c>
      <c r="AS349" s="784" t="str">
        <f t="shared" si="203"/>
        <v>No</v>
      </c>
      <c r="AT349" s="801">
        <f>IF(ISNUMBER('Base de datos Rutas'!CK347),'Base de datos Rutas'!CK347,"")</f>
        <v>282</v>
      </c>
      <c r="AU349" s="802">
        <f>IF(ISNUMBER('Base de datos Rutas'!CL347),'Base de datos Rutas'!CL347,"")</f>
        <v>294.51</v>
      </c>
      <c r="AV349" s="802">
        <f>IF(ISNUMBER('Base de datos Rutas'!CM347),'Base de datos Rutas'!CM347,"")</f>
        <v>12.509999999999991</v>
      </c>
      <c r="AW349" s="802">
        <f>IF(ISNUMBER('Base de datos Rutas'!CN347),'Base de datos Rutas'!CN347,"")</f>
        <v>7.47</v>
      </c>
      <c r="AX349" s="802">
        <f>IF(ISNUMBER('Base de datos Rutas'!CO347),'Base de datos Rutas'!CO347,"")</f>
        <v>9.4499999999999993</v>
      </c>
      <c r="AY349" s="802">
        <f>IF(ISNUMBER('Base de datos Rutas'!CP347),'Base de datos Rutas'!CP347,"")</f>
        <v>1.9799999999999995</v>
      </c>
      <c r="AZ349" s="802">
        <f>IF(ISNUMBER('Base de datos Rutas'!CQ347),'Base de datos Rutas'!CQ347,"")</f>
        <v>282.19</v>
      </c>
      <c r="BA349" s="802">
        <f>IF(ISNUMBER('Base de datos Rutas'!CR347),'Base de datos Rutas'!CR347,"")</f>
        <v>260.77999999999997</v>
      </c>
      <c r="BB349" s="803">
        <f>IF(ISNUMBER('Base de datos Rutas'!CS347),'Base de datos Rutas'!CS347,"")</f>
        <v>21.410000000000025</v>
      </c>
      <c r="BC349" s="804">
        <f t="shared" si="213"/>
        <v>0</v>
      </c>
      <c r="BD349" s="805" t="str">
        <f t="shared" si="214"/>
        <v>No saturada</v>
      </c>
      <c r="BE349" s="806">
        <f t="shared" si="215"/>
        <v>0.92412913285375098</v>
      </c>
      <c r="BF349" s="890">
        <f>IF(ISNUMBER('Base de datos Rutas'!CX347),'Base de datos Rutas'!CX347/100,"")</f>
        <v>0.58612763915547028</v>
      </c>
      <c r="BG349" s="891">
        <f>IF(ISNUMBER('Base de datos Rutas'!CZ347),'Base de datos Rutas'!CZ347/100,"")</f>
        <v>0.59213051823416507</v>
      </c>
      <c r="BH349" s="892">
        <f>IF(ISNUMBER('Base de datos Rutas'!DA347),'Base de datos Rutas'!DA347,"")</f>
        <v>467.90378295357516</v>
      </c>
      <c r="BI349" s="893">
        <f>IF(ISNUMBER('Base de datos Rutas'!DC347),'Base de datos Rutas'!DC347,"")</f>
        <v>24.687604638184407</v>
      </c>
      <c r="BJ349" s="805" t="str">
        <f t="shared" si="216"/>
        <v>Ruta (completo)</v>
      </c>
      <c r="BK349" s="783">
        <f t="shared" si="204"/>
        <v>2</v>
      </c>
      <c r="BL349" s="797">
        <f t="shared" si="205"/>
        <v>2</v>
      </c>
      <c r="BM349" s="797">
        <f t="shared" si="206"/>
        <v>2</v>
      </c>
      <c r="BN349" s="797">
        <f t="shared" si="207"/>
        <v>2</v>
      </c>
      <c r="BO349" s="798" cm="1">
        <f t="array" ref="BO349">SUMPRODUCT(--ISNUMBER($BF349:$BI349),$BK$3:$BN$3)</f>
        <v>1</v>
      </c>
      <c r="BP349" s="831">
        <f t="shared" si="217"/>
        <v>25</v>
      </c>
      <c r="BQ349" s="834" t="str">
        <f t="shared" si="218"/>
        <v>Medio</v>
      </c>
      <c r="BR349" s="836">
        <f t="shared" si="208"/>
        <v>13.235619266143917</v>
      </c>
      <c r="BS349" s="836">
        <f t="shared" si="209"/>
        <v>25</v>
      </c>
      <c r="BT349" s="837" t="str">
        <f t="shared" si="210"/>
        <v>P4</v>
      </c>
      <c r="BU349" s="807" t="str">
        <f t="shared" si="219"/>
        <v>Con espacio</v>
      </c>
      <c r="BV349" s="807" t="str">
        <f t="shared" si="211"/>
        <v>Zona de bajo potencial</v>
      </c>
      <c r="BW349" s="808" t="str">
        <f t="shared" si="212"/>
        <v>P4 - Evaluar</v>
      </c>
    </row>
    <row r="350" spans="1:75">
      <c r="A350" s="780" t="str">
        <f>'Base de datos Rutas'!A348</f>
        <v>Occidente</v>
      </c>
      <c r="B350" s="781" t="str">
        <f>'Base de datos Rutas'!B348</f>
        <v>Zapopan</v>
      </c>
      <c r="C350" s="781" t="str">
        <f>'Base de datos Rutas'!C348</f>
        <v>Planta Zapopan</v>
      </c>
      <c r="D350" s="782">
        <f>IF(ISNUMBER('Base de datos Rutas'!D348),'Base de datos Rutas'!D348,"Sin código")</f>
        <v>816340</v>
      </c>
      <c r="E350" s="783" t="str">
        <f>'Base de datos Rutas'!F348</f>
        <v>Activa</v>
      </c>
      <c r="F350" s="784" t="str">
        <f>'Base de datos Rutas'!H348</f>
        <v>Sí</v>
      </c>
      <c r="G350" s="785">
        <f>IF(ISNUMBER('Base de datos Rutas'!BE348),'Base de datos Rutas'!BE348,"")</f>
        <v>66.180778032036599</v>
      </c>
      <c r="H350" s="786">
        <f>IF(ISNUMBER('Base de datos Rutas'!BH348),'Base de datos Rutas'!BH348,"")</f>
        <v>0.54818298122471598</v>
      </c>
      <c r="I350" s="788">
        <f>IFERROR(IF(OR(NOT(ISNUMBER('Base de datos Rutas'!O348)),N('Base de datos Rutas'!BK348)=0),"",'Base de datos Rutas'!O348/('Base de datos Rutas'!L348/'Base de datos Rutas'!BK348)),"")</f>
        <v>4938.4691075514938</v>
      </c>
      <c r="J350" s="788">
        <f>IFERROR(IF(OR(NOT(ISNUMBER('Base de datos Rutas'!N348)),N('Base de datos Rutas'!BK348)=0),"",'Base de datos Rutas'!N348/('Base de datos Rutas'!L348/'Base de datos Rutas'!BK348)),"")</f>
        <v>12706.418764302076</v>
      </c>
      <c r="K350" s="788">
        <f>IFERROR(IF(OR(NOT(ISNUMBER('Base de datos Rutas'!J348)),N('Base de datos Rutas'!BK348)=0),"",'Base de datos Rutas'!J348/('Base de datos Rutas'!L348/'Base de datos Rutas'!BK348)),"")</f>
        <v>897.22056933638339</v>
      </c>
      <c r="L350" s="788">
        <f>IFERROR(IF(OR(NOT(ISNUMBER('Base de datos Rutas'!K348)),N('Base de datos Rutas'!BK348)=0),"",'Base de datos Rutas'!K348/('Base de datos Rutas'!L348/'Base de datos Rutas'!BK348)),"")</f>
        <v>29.059949185354728</v>
      </c>
      <c r="M350" s="787">
        <f>IF(ISNUMBER('Base de datos Rutas'!AX348),'Base de datos Rutas'!AX348,"")</f>
        <v>486.41645767629598</v>
      </c>
      <c r="N350" s="790">
        <f>IFERROR(INDEX('Hoja de apoyo v2'!B$17:B$20,MATCH($A350,'Hoja de apoyo v2'!$A$17:$A$20,0)),"")</f>
        <v>89.41621024641401</v>
      </c>
      <c r="O350" s="791">
        <f>IFERROR(INDEX('Hoja de apoyo v2'!C$17:C$20,MATCH($A350,'Hoja de apoyo v2'!$A$17:$A$20,0)),"")</f>
        <v>0.54706375874806301</v>
      </c>
      <c r="P350" s="793">
        <f>IFERROR(INDEX('Hoja de apoyo v2'!D$17:D$20,MATCH($A350,'Hoja de apoyo v2'!$A$17:$A$20,0)),"")</f>
        <v>11095.153935793827</v>
      </c>
      <c r="Q350" s="793">
        <f>IFERROR(INDEX('Hoja de apoyo v2'!E$17:E$20,MATCH($A350,'Hoja de apoyo v2'!$A$17:$A$20,0)),"")</f>
        <v>6982.3202019701848</v>
      </c>
      <c r="R350" s="793">
        <f>IFERROR(INDEX('Hoja de apoyo v2'!F$17:F$20,MATCH($A350,'Hoja de apoyo v2'!$A$17:$A$20,0)),"")</f>
        <v>448.09513474485743</v>
      </c>
      <c r="S350" s="793">
        <f>IFERROR(INDEX('Hoja de apoyo v2'!G$17:G$20,MATCH($A350,'Hoja de apoyo v2'!$A$17:$A$20,0)),"")</f>
        <v>83.406300904207839</v>
      </c>
      <c r="T350" s="792">
        <f>IFERROR(INDEX('Hoja de apoyo v2'!H$17:H$20,MATCH($A350,'Hoja de apoyo v2'!$A$17:$A$20,0)),"")</f>
        <v>378.97014028925349</v>
      </c>
      <c r="U350" s="794">
        <f t="shared" si="184"/>
        <v>0.74014295450069967</v>
      </c>
      <c r="V350" s="795">
        <f t="shared" si="185"/>
        <v>1.0020458720921566</v>
      </c>
      <c r="W350" s="795">
        <f t="shared" si="186"/>
        <v>0.44510145024843767</v>
      </c>
      <c r="X350" s="843">
        <f t="shared" si="187"/>
        <v>1.8197989202381089</v>
      </c>
      <c r="Y350" s="843">
        <f t="shared" si="188"/>
        <v>2.0022992881796298</v>
      </c>
      <c r="Z350" s="843">
        <f t="shared" si="189"/>
        <v>0.34841431486968938</v>
      </c>
      <c r="AA350" s="843">
        <f t="shared" si="190"/>
        <v>1.2835218555874424</v>
      </c>
      <c r="AB350" s="796">
        <f t="shared" si="191"/>
        <v>2</v>
      </c>
      <c r="AC350" s="797">
        <f t="shared" si="192"/>
        <v>4</v>
      </c>
      <c r="AD350" s="797">
        <f t="shared" si="193"/>
        <v>1</v>
      </c>
      <c r="AE350" s="842">
        <f t="shared" si="194"/>
        <v>5</v>
      </c>
      <c r="AF350" s="842">
        <f t="shared" si="195"/>
        <v>5</v>
      </c>
      <c r="AG350" s="842">
        <f t="shared" si="196"/>
        <v>1</v>
      </c>
      <c r="AH350" s="842">
        <f t="shared" si="197"/>
        <v>5</v>
      </c>
      <c r="AI350" s="826" cm="1">
        <f t="array" ref="AI350">SUMPRODUCT(--ISNUMBER($U350:$AA350),$AB$3:$AH$3)</f>
        <v>1</v>
      </c>
      <c r="AJ350" s="829">
        <f t="shared" si="198"/>
        <v>46.003232930148386</v>
      </c>
      <c r="AK350" s="827" t="str">
        <f t="shared" si="199"/>
        <v>En desarrollo</v>
      </c>
      <c r="AL350" s="784" t="str">
        <f t="shared" si="200"/>
        <v>Alta</v>
      </c>
      <c r="AM350" s="799">
        <f>IF(ISNUMBER('Base de datos Rutas'!W348),'Base de datos Rutas'!W348,"")</f>
        <v>3427.1365491869451</v>
      </c>
      <c r="AN350" s="787">
        <f>IFERROR(SUMIFS('Base de datos Rutas'!$W$6:$W$794,'Base de datos Rutas'!$C$6:$C$794,$C350)/'Base de datos Rutas'!I348,"")</f>
        <v>3427.1365491869487</v>
      </c>
      <c r="AO350" s="800">
        <f>IFERROR('Base de datos Rutas'!X348*AN350/AM350,"")</f>
        <v>0.3483939033672564</v>
      </c>
      <c r="AP350" s="800">
        <f t="shared" si="201"/>
        <v>0.6516060966327436</v>
      </c>
      <c r="AQ350" s="789">
        <f>IFERROR(INDEX('Hoja de apoyo v2'!$J$17:$J$20,MATCH($A350,'Hoja de apoyo v2'!$A$17:$A$20,0)),"")</f>
        <v>0.64320274048480885</v>
      </c>
      <c r="AR350" s="789">
        <f t="shared" si="202"/>
        <v>8.4033561479347485E-3</v>
      </c>
      <c r="AS350" s="784" t="str">
        <f t="shared" si="203"/>
        <v>No</v>
      </c>
      <c r="AT350" s="801">
        <f>IF(ISNUMBER('Base de datos Rutas'!CK348),'Base de datos Rutas'!CK348,"")</f>
        <v>319</v>
      </c>
      <c r="AU350" s="802">
        <f>IF(ISNUMBER('Base de datos Rutas'!CL348),'Base de datos Rutas'!CL348,"")</f>
        <v>319</v>
      </c>
      <c r="AV350" s="802">
        <f>IF(ISNUMBER('Base de datos Rutas'!CM348),'Base de datos Rutas'!CM348,"")</f>
        <v>0</v>
      </c>
      <c r="AW350" s="802">
        <f>IF(ISNUMBER('Base de datos Rutas'!CN348),'Base de datos Rutas'!CN348,"")</f>
        <v>8.69</v>
      </c>
      <c r="AX350" s="802">
        <f>IF(ISNUMBER('Base de datos Rutas'!CO348),'Base de datos Rutas'!CO348,"")</f>
        <v>9.4499999999999993</v>
      </c>
      <c r="AY350" s="802">
        <f>IF(ISNUMBER('Base de datos Rutas'!CP348),'Base de datos Rutas'!CP348,"")</f>
        <v>0.75999999999999979</v>
      </c>
      <c r="AZ350" s="802">
        <f>IF(ISNUMBER('Base de datos Rutas'!CQ348),'Base de datos Rutas'!CQ348,"")</f>
        <v>846.56</v>
      </c>
      <c r="BA350" s="802">
        <f>IF(ISNUMBER('Base de datos Rutas'!CR348),'Base de datos Rutas'!CR348,"")</f>
        <v>926.28</v>
      </c>
      <c r="BB350" s="803">
        <f>IF(ISNUMBER('Base de datos Rutas'!CS348),'Base de datos Rutas'!CS348,"")</f>
        <v>-79.720000000000027</v>
      </c>
      <c r="BC350" s="804">
        <f t="shared" si="213"/>
        <v>2</v>
      </c>
      <c r="BD350" s="805" t="str">
        <f t="shared" si="214"/>
        <v>Saturada</v>
      </c>
      <c r="BE350" s="806">
        <f t="shared" si="215"/>
        <v>1.0941693441693443</v>
      </c>
      <c r="BF350" s="890">
        <f>IF(ISNUMBER('Base de datos Rutas'!CX348),'Base de datos Rutas'!CX348/100,"")</f>
        <v>0.180623973727422</v>
      </c>
      <c r="BG350" s="891">
        <f>IF(ISNUMBER('Base de datos Rutas'!CZ348),'Base de datos Rutas'!CZ348/100,"")</f>
        <v>0.180623973727422</v>
      </c>
      <c r="BH350" s="892">
        <f>IF(ISNUMBER('Base de datos Rutas'!DA348),'Base de datos Rutas'!DA348,"")</f>
        <v>0</v>
      </c>
      <c r="BI350" s="893">
        <f>IF(ISNUMBER('Base de datos Rutas'!DC348),'Base de datos Rutas'!DC348,"")</f>
        <v>0</v>
      </c>
      <c r="BJ350" s="805" t="str">
        <f t="shared" si="216"/>
        <v>Ruta (completo)</v>
      </c>
      <c r="BK350" s="783">
        <f t="shared" si="204"/>
        <v>1</v>
      </c>
      <c r="BL350" s="797">
        <f t="shared" si="205"/>
        <v>1</v>
      </c>
      <c r="BM350" s="797">
        <f t="shared" si="206"/>
        <v>1</v>
      </c>
      <c r="BN350" s="797">
        <f t="shared" si="207"/>
        <v>1</v>
      </c>
      <c r="BO350" s="798" cm="1">
        <f t="array" ref="BO350">SUMPRODUCT(--ISNUMBER($BF350:$BI350),$BK$3:$BN$3)</f>
        <v>1</v>
      </c>
      <c r="BP350" s="831">
        <f t="shared" si="217"/>
        <v>0</v>
      </c>
      <c r="BQ350" s="834" t="str">
        <f t="shared" si="218"/>
        <v>Bajo</v>
      </c>
      <c r="BR350" s="836">
        <f t="shared" si="208"/>
        <v>59.502424697611289</v>
      </c>
      <c r="BS350" s="836">
        <f t="shared" si="209"/>
        <v>0</v>
      </c>
      <c r="BT350" s="837" t="str">
        <f t="shared" si="210"/>
        <v>P2</v>
      </c>
      <c r="BU350" s="807" t="str">
        <f t="shared" si="219"/>
        <v>Al tope</v>
      </c>
      <c r="BV350" s="807" t="str">
        <f t="shared" si="211"/>
        <v>Zona de bajo potencial</v>
      </c>
      <c r="BW350" s="808" t="str">
        <f t="shared" si="212"/>
        <v>P2 - Mantener</v>
      </c>
    </row>
    <row r="351" spans="1:75">
      <c r="A351" s="780" t="str">
        <f>'Base de datos Rutas'!A349</f>
        <v>Occidente</v>
      </c>
      <c r="B351" s="781" t="str">
        <f>'Base de datos Rutas'!B349</f>
        <v>Zapopan</v>
      </c>
      <c r="C351" s="781" t="str">
        <f>'Base de datos Rutas'!C349</f>
        <v>Planta Zapopan</v>
      </c>
      <c r="D351" s="782">
        <f>IF(ISNUMBER('Base de datos Rutas'!D349),'Base de datos Rutas'!D349,"Sin código")</f>
        <v>816341</v>
      </c>
      <c r="E351" s="783" t="str">
        <f>'Base de datos Rutas'!F349</f>
        <v>Activa</v>
      </c>
      <c r="F351" s="784" t="str">
        <f>'Base de datos Rutas'!H349</f>
        <v>Sí</v>
      </c>
      <c r="G351" s="785">
        <f>IF(ISNUMBER('Base de datos Rutas'!BE349),'Base de datos Rutas'!BE349,"")</f>
        <v>68.173553719008297</v>
      </c>
      <c r="H351" s="786">
        <f>IF(ISNUMBER('Base de datos Rutas'!BH349),'Base de datos Rutas'!BH349,"")</f>
        <v>0.34573887743969001</v>
      </c>
      <c r="I351" s="788">
        <f>IFERROR(IF(OR(NOT(ISNUMBER('Base de datos Rutas'!O349)),N('Base de datos Rutas'!BK349)=0),"",'Base de datos Rutas'!O349/('Base de datos Rutas'!L349/'Base de datos Rutas'!BK349)),"")</f>
        <v>2085.0446009389648</v>
      </c>
      <c r="J351" s="788">
        <f>IFERROR(IF(OR(NOT(ISNUMBER('Base de datos Rutas'!N349)),N('Base de datos Rutas'!BK349)=0),"",'Base de datos Rutas'!N349/('Base de datos Rutas'!L349/'Base de datos Rutas'!BK349)),"")</f>
        <v>4348.6619718309812</v>
      </c>
      <c r="K351" s="788">
        <f>IFERROR(IF(OR(NOT(ISNUMBER('Base de datos Rutas'!J349)),N('Base de datos Rutas'!BK349)=0),"",'Base de datos Rutas'!J349/('Base de datos Rutas'!L349/'Base de datos Rutas'!BK349)),"")</f>
        <v>300.33007699530486</v>
      </c>
      <c r="L351" s="788">
        <f>IFERROR(IF(OR(NOT(ISNUMBER('Base de datos Rutas'!K349)),N('Base de datos Rutas'!BK349)=0),"",'Base de datos Rutas'!K349/('Base de datos Rutas'!L349/'Base de datos Rutas'!BK349)),"")</f>
        <v>16.822317366197165</v>
      </c>
      <c r="M351" s="787">
        <f>IF(ISNUMBER('Base de datos Rutas'!AX349),'Base de datos Rutas'!AX349,"")</f>
        <v>226.054941176471</v>
      </c>
      <c r="N351" s="790">
        <f>IFERROR(INDEX('Hoja de apoyo v2'!B$17:B$20,MATCH($A351,'Hoja de apoyo v2'!$A$17:$A$20,0)),"")</f>
        <v>89.41621024641401</v>
      </c>
      <c r="O351" s="791">
        <f>IFERROR(INDEX('Hoja de apoyo v2'!C$17:C$20,MATCH($A351,'Hoja de apoyo v2'!$A$17:$A$20,0)),"")</f>
        <v>0.54706375874806301</v>
      </c>
      <c r="P351" s="793">
        <f>IFERROR(INDEX('Hoja de apoyo v2'!D$17:D$20,MATCH($A351,'Hoja de apoyo v2'!$A$17:$A$20,0)),"")</f>
        <v>11095.153935793827</v>
      </c>
      <c r="Q351" s="793">
        <f>IFERROR(INDEX('Hoja de apoyo v2'!E$17:E$20,MATCH($A351,'Hoja de apoyo v2'!$A$17:$A$20,0)),"")</f>
        <v>6982.3202019701848</v>
      </c>
      <c r="R351" s="793">
        <f>IFERROR(INDEX('Hoja de apoyo v2'!F$17:F$20,MATCH($A351,'Hoja de apoyo v2'!$A$17:$A$20,0)),"")</f>
        <v>448.09513474485743</v>
      </c>
      <c r="S351" s="793">
        <f>IFERROR(INDEX('Hoja de apoyo v2'!G$17:G$20,MATCH($A351,'Hoja de apoyo v2'!$A$17:$A$20,0)),"")</f>
        <v>83.406300904207839</v>
      </c>
      <c r="T351" s="792">
        <f>IFERROR(INDEX('Hoja de apoyo v2'!H$17:H$20,MATCH($A351,'Hoja de apoyo v2'!$A$17:$A$20,0)),"")</f>
        <v>378.97014028925349</v>
      </c>
      <c r="U351" s="794">
        <f t="shared" si="184"/>
        <v>0.7624294692330954</v>
      </c>
      <c r="V351" s="795">
        <f t="shared" si="185"/>
        <v>0.63199009605553436</v>
      </c>
      <c r="W351" s="795">
        <f t="shared" si="186"/>
        <v>0.18792390020046942</v>
      </c>
      <c r="X351" s="843">
        <f t="shared" si="187"/>
        <v>0.62281044782276374</v>
      </c>
      <c r="Y351" s="843">
        <f t="shared" si="188"/>
        <v>0.67023730834817241</v>
      </c>
      <c r="Z351" s="843">
        <f t="shared" si="189"/>
        <v>0.20169120538648036</v>
      </c>
      <c r="AA351" s="843">
        <f t="shared" si="190"/>
        <v>0.59649802753307124</v>
      </c>
      <c r="AB351" s="796">
        <f t="shared" si="191"/>
        <v>3</v>
      </c>
      <c r="AC351" s="797">
        <f t="shared" si="192"/>
        <v>2</v>
      </c>
      <c r="AD351" s="797">
        <f t="shared" si="193"/>
        <v>1</v>
      </c>
      <c r="AE351" s="842">
        <f t="shared" si="194"/>
        <v>2</v>
      </c>
      <c r="AF351" s="842">
        <f t="shared" si="195"/>
        <v>2</v>
      </c>
      <c r="AG351" s="842">
        <f t="shared" si="196"/>
        <v>1</v>
      </c>
      <c r="AH351" s="842">
        <f t="shared" si="197"/>
        <v>2</v>
      </c>
      <c r="AI351" s="826" cm="1">
        <f t="array" ref="AI351">SUMPRODUCT(--ISNUMBER($U351:$AA351),$AB$3:$AH$3)</f>
        <v>1</v>
      </c>
      <c r="AJ351" s="829">
        <f t="shared" si="198"/>
        <v>20.03039794074904</v>
      </c>
      <c r="AK351" s="827" t="str">
        <f t="shared" si="199"/>
        <v>Inmadura</v>
      </c>
      <c r="AL351" s="784" t="str">
        <f t="shared" si="200"/>
        <v>Alta</v>
      </c>
      <c r="AM351" s="799">
        <f>IF(ISNUMBER('Base de datos Rutas'!W349),'Base de datos Rutas'!W349,"")</f>
        <v>3427.1365491869451</v>
      </c>
      <c r="AN351" s="787">
        <f>IFERROR(SUMIFS('Base de datos Rutas'!$W$6:$W$794,'Base de datos Rutas'!$C$6:$C$794,$C351)/'Base de datos Rutas'!I349,"")</f>
        <v>3427.1365491869487</v>
      </c>
      <c r="AO351" s="800">
        <f>IFERROR('Base de datos Rutas'!X349*AN351/AM351,"")</f>
        <v>0.3483939033672564</v>
      </c>
      <c r="AP351" s="800">
        <f t="shared" si="201"/>
        <v>0.6516060966327436</v>
      </c>
      <c r="AQ351" s="789">
        <f>IFERROR(INDEX('Hoja de apoyo v2'!$J$17:$J$20,MATCH($A351,'Hoja de apoyo v2'!$A$17:$A$20,0)),"")</f>
        <v>0.64320274048480885</v>
      </c>
      <c r="AR351" s="789">
        <f t="shared" si="202"/>
        <v>8.4033561479347485E-3</v>
      </c>
      <c r="AS351" s="784" t="str">
        <f t="shared" si="203"/>
        <v>No</v>
      </c>
      <c r="AT351" s="801">
        <f>IF(ISNUMBER('Base de datos Rutas'!CK349),'Base de datos Rutas'!CK349,"")</f>
        <v>290</v>
      </c>
      <c r="AU351" s="802">
        <f>IF(ISNUMBER('Base de datos Rutas'!CL349),'Base de datos Rutas'!CL349,"")</f>
        <v>422.27</v>
      </c>
      <c r="AV351" s="802">
        <f>IF(ISNUMBER('Base de datos Rutas'!CM349),'Base de datos Rutas'!CM349,"")</f>
        <v>132.26999999999998</v>
      </c>
      <c r="AW351" s="802">
        <f>IF(ISNUMBER('Base de datos Rutas'!CN349),'Base de datos Rutas'!CN349,"")</f>
        <v>6.88</v>
      </c>
      <c r="AX351" s="802">
        <f>IF(ISNUMBER('Base de datos Rutas'!CO349),'Base de datos Rutas'!CO349,"")</f>
        <v>9.4499999999999993</v>
      </c>
      <c r="AY351" s="802">
        <f>IF(ISNUMBER('Base de datos Rutas'!CP349),'Base de datos Rutas'!CP349,"")</f>
        <v>2.5699999999999994</v>
      </c>
      <c r="AZ351" s="802">
        <f>IF(ISNUMBER('Base de datos Rutas'!CQ349),'Base de datos Rutas'!CQ349,"")</f>
        <v>564.37</v>
      </c>
      <c r="BA351" s="802">
        <f>IF(ISNUMBER('Base de datos Rutas'!CR349),'Base de datos Rutas'!CR349,"")</f>
        <v>317.14999999999998</v>
      </c>
      <c r="BB351" s="803">
        <f>IF(ISNUMBER('Base de datos Rutas'!CS349),'Base de datos Rutas'!CS349,"")</f>
        <v>247.22000000000003</v>
      </c>
      <c r="BC351" s="804">
        <f t="shared" si="213"/>
        <v>0</v>
      </c>
      <c r="BD351" s="805" t="str">
        <f t="shared" si="214"/>
        <v>No saturada</v>
      </c>
      <c r="BE351" s="806">
        <f t="shared" si="215"/>
        <v>0.56195403724506965</v>
      </c>
      <c r="BF351" s="890">
        <f>IF(ISNUMBER('Base de datos Rutas'!CX349),'Base de datos Rutas'!CX349/100,"")</f>
        <v>0.52658049040511723</v>
      </c>
      <c r="BG351" s="891">
        <f>IF(ISNUMBER('Base de datos Rutas'!CZ349),'Base de datos Rutas'!CZ349/100,"")</f>
        <v>0.56183368869936035</v>
      </c>
      <c r="BH351" s="892">
        <f>IF(ISNUMBER('Base de datos Rutas'!DA349),'Base de datos Rutas'!DA349,"")</f>
        <v>806.18595257281299</v>
      </c>
      <c r="BI351" s="893">
        <f>IF(ISNUMBER('Base de datos Rutas'!DC349),'Base de datos Rutas'!DC349,"")</f>
        <v>39.099413789463654</v>
      </c>
      <c r="BJ351" s="805" t="str">
        <f t="shared" si="216"/>
        <v>Ruta (completo)</v>
      </c>
      <c r="BK351" s="783">
        <f t="shared" si="204"/>
        <v>2</v>
      </c>
      <c r="BL351" s="797">
        <f t="shared" si="205"/>
        <v>2</v>
      </c>
      <c r="BM351" s="797">
        <f t="shared" si="206"/>
        <v>3</v>
      </c>
      <c r="BN351" s="797">
        <f t="shared" si="207"/>
        <v>4</v>
      </c>
      <c r="BO351" s="798" cm="1">
        <f t="array" ref="BO351">SUMPRODUCT(--ISNUMBER($BF351:$BI351),$BK$3:$BN$3)</f>
        <v>1</v>
      </c>
      <c r="BP351" s="831">
        <f t="shared" si="217"/>
        <v>43.75</v>
      </c>
      <c r="BQ351" s="834" t="str">
        <f t="shared" si="218"/>
        <v>Medio</v>
      </c>
      <c r="BR351" s="836">
        <f t="shared" si="208"/>
        <v>15.02279845556178</v>
      </c>
      <c r="BS351" s="836">
        <f t="shared" si="209"/>
        <v>43.75</v>
      </c>
      <c r="BT351" s="837" t="str">
        <f t="shared" si="210"/>
        <v>P4</v>
      </c>
      <c r="BU351" s="807" t="str">
        <f t="shared" si="219"/>
        <v>Con espacio</v>
      </c>
      <c r="BV351" s="807" t="str">
        <f t="shared" si="211"/>
        <v>Zona de bajo potencial</v>
      </c>
      <c r="BW351" s="808" t="str">
        <f t="shared" si="212"/>
        <v>P4 - Evaluar</v>
      </c>
    </row>
    <row r="352" spans="1:75">
      <c r="A352" s="780" t="str">
        <f>'Base de datos Rutas'!A350</f>
        <v>Occidente</v>
      </c>
      <c r="B352" s="781" t="str">
        <f>'Base de datos Rutas'!B350</f>
        <v>Zapopan</v>
      </c>
      <c r="C352" s="781" t="str">
        <f>'Base de datos Rutas'!C350</f>
        <v>Planta Zapopan</v>
      </c>
      <c r="D352" s="782">
        <f>IF(ISNUMBER('Base de datos Rutas'!D350),'Base de datos Rutas'!D350,"Sin código")</f>
        <v>816342</v>
      </c>
      <c r="E352" s="783" t="str">
        <f>'Base de datos Rutas'!F350</f>
        <v>Activa</v>
      </c>
      <c r="F352" s="784" t="str">
        <f>'Base de datos Rutas'!H350</f>
        <v>Sí</v>
      </c>
      <c r="G352" s="785">
        <f>IF(ISNUMBER('Base de datos Rutas'!BE350),'Base de datos Rutas'!BE350,"")</f>
        <v>52.694954128440401</v>
      </c>
      <c r="H352" s="786">
        <f>IF(ISNUMBER('Base de datos Rutas'!BH350),'Base de datos Rutas'!BH350,"")</f>
        <v>0.440130576713819</v>
      </c>
      <c r="I352" s="788">
        <f>IFERROR(IF(OR(NOT(ISNUMBER('Base de datos Rutas'!O350)),N('Base de datos Rutas'!BK350)=0),"",'Base de datos Rutas'!O350/('Base de datos Rutas'!L350/'Base de datos Rutas'!BK350)),"")</f>
        <v>4091.5389908256893</v>
      </c>
      <c r="J352" s="788">
        <f>IFERROR(IF(OR(NOT(ISNUMBER('Base de datos Rutas'!N350)),N('Base de datos Rutas'!BK350)=0),"",'Base de datos Rutas'!N350/('Base de datos Rutas'!L350/'Base de datos Rutas'!BK350)),"")</f>
        <v>7422.7339449541305</v>
      </c>
      <c r="K352" s="788">
        <f>IFERROR(IF(OR(NOT(ISNUMBER('Base de datos Rutas'!J350)),N('Base de datos Rutas'!BK350)=0),"",'Base de datos Rutas'!J350/('Base de datos Rutas'!L350/'Base de datos Rutas'!BK350)),"")</f>
        <v>505.60174128440383</v>
      </c>
      <c r="L352" s="788">
        <f>IFERROR(IF(OR(NOT(ISNUMBER('Base de datos Rutas'!K350)),N('Base de datos Rutas'!BK350)=0),"",'Base de datos Rutas'!K350/('Base de datos Rutas'!L350/'Base de datos Rutas'!BK350)),"")</f>
        <v>28.498860564220191</v>
      </c>
      <c r="M352" s="787">
        <f>IF(ISNUMBER('Base de datos Rutas'!AX350),'Base de datos Rutas'!AX350,"")</f>
        <v>496.46211234177201</v>
      </c>
      <c r="N352" s="790">
        <f>IFERROR(INDEX('Hoja de apoyo v2'!B$17:B$20,MATCH($A352,'Hoja de apoyo v2'!$A$17:$A$20,0)),"")</f>
        <v>89.41621024641401</v>
      </c>
      <c r="O352" s="791">
        <f>IFERROR(INDEX('Hoja de apoyo v2'!C$17:C$20,MATCH($A352,'Hoja de apoyo v2'!$A$17:$A$20,0)),"")</f>
        <v>0.54706375874806301</v>
      </c>
      <c r="P352" s="793">
        <f>IFERROR(INDEX('Hoja de apoyo v2'!D$17:D$20,MATCH($A352,'Hoja de apoyo v2'!$A$17:$A$20,0)),"")</f>
        <v>11095.153935793827</v>
      </c>
      <c r="Q352" s="793">
        <f>IFERROR(INDEX('Hoja de apoyo v2'!E$17:E$20,MATCH($A352,'Hoja de apoyo v2'!$A$17:$A$20,0)),"")</f>
        <v>6982.3202019701848</v>
      </c>
      <c r="R352" s="793">
        <f>IFERROR(INDEX('Hoja de apoyo v2'!F$17:F$20,MATCH($A352,'Hoja de apoyo v2'!$A$17:$A$20,0)),"")</f>
        <v>448.09513474485743</v>
      </c>
      <c r="S352" s="793">
        <f>IFERROR(INDEX('Hoja de apoyo v2'!G$17:G$20,MATCH($A352,'Hoja de apoyo v2'!$A$17:$A$20,0)),"")</f>
        <v>83.406300904207839</v>
      </c>
      <c r="T352" s="792">
        <f>IFERROR(INDEX('Hoja de apoyo v2'!H$17:H$20,MATCH($A352,'Hoja de apoyo v2'!$A$17:$A$20,0)),"")</f>
        <v>378.97014028925349</v>
      </c>
      <c r="U352" s="794">
        <f t="shared" si="184"/>
        <v>0.58932215963104639</v>
      </c>
      <c r="V352" s="795">
        <f t="shared" si="185"/>
        <v>0.80453250590213288</v>
      </c>
      <c r="W352" s="795">
        <f t="shared" si="186"/>
        <v>0.36876811394441922</v>
      </c>
      <c r="X352" s="843">
        <f t="shared" si="187"/>
        <v>1.0630755580157545</v>
      </c>
      <c r="Y352" s="843">
        <f t="shared" si="188"/>
        <v>1.1283357083809675</v>
      </c>
      <c r="Z352" s="843">
        <f t="shared" si="189"/>
        <v>0.34168714180180632</v>
      </c>
      <c r="AA352" s="843">
        <f t="shared" si="190"/>
        <v>1.3100296291492552</v>
      </c>
      <c r="AB352" s="796">
        <f t="shared" si="191"/>
        <v>2</v>
      </c>
      <c r="AC352" s="797">
        <f t="shared" si="192"/>
        <v>3</v>
      </c>
      <c r="AD352" s="797">
        <f t="shared" si="193"/>
        <v>1</v>
      </c>
      <c r="AE352" s="842">
        <f t="shared" si="194"/>
        <v>4</v>
      </c>
      <c r="AF352" s="842">
        <f t="shared" si="195"/>
        <v>4</v>
      </c>
      <c r="AG352" s="842">
        <f t="shared" si="196"/>
        <v>1</v>
      </c>
      <c r="AH352" s="842">
        <f t="shared" si="197"/>
        <v>5</v>
      </c>
      <c r="AI352" s="826" cm="1">
        <f t="array" ref="AI352">SUMPRODUCT(--ISNUMBER($U352:$AA352),$AB$3:$AH$3)</f>
        <v>1</v>
      </c>
      <c r="AJ352" s="829">
        <f t="shared" si="198"/>
        <v>37.284835185999412</v>
      </c>
      <c r="AK352" s="827" t="str">
        <f t="shared" si="199"/>
        <v>Inmadura</v>
      </c>
      <c r="AL352" s="784" t="str">
        <f t="shared" si="200"/>
        <v>Alta</v>
      </c>
      <c r="AM352" s="799">
        <f>IF(ISNUMBER('Base de datos Rutas'!W350),'Base de datos Rutas'!W350,"")</f>
        <v>3427.1365491869451</v>
      </c>
      <c r="AN352" s="787">
        <f>IFERROR(SUMIFS('Base de datos Rutas'!$W$6:$W$794,'Base de datos Rutas'!$C$6:$C$794,$C352)/'Base de datos Rutas'!I350,"")</f>
        <v>3427.1365491869487</v>
      </c>
      <c r="AO352" s="800">
        <f>IFERROR('Base de datos Rutas'!X350*AN352/AM352,"")</f>
        <v>0.3483939033672564</v>
      </c>
      <c r="AP352" s="800">
        <f t="shared" si="201"/>
        <v>0.6516060966327436</v>
      </c>
      <c r="AQ352" s="789">
        <f>IFERROR(INDEX('Hoja de apoyo v2'!$J$17:$J$20,MATCH($A352,'Hoja de apoyo v2'!$A$17:$A$20,0)),"")</f>
        <v>0.64320274048480885</v>
      </c>
      <c r="AR352" s="789">
        <f t="shared" si="202"/>
        <v>8.4033561479347485E-3</v>
      </c>
      <c r="AS352" s="784" t="str">
        <f t="shared" si="203"/>
        <v>No</v>
      </c>
      <c r="AT352" s="801">
        <f>IF(ISNUMBER('Base de datos Rutas'!CK350),'Base de datos Rutas'!CK350,"")</f>
        <v>303</v>
      </c>
      <c r="AU352" s="802">
        <f>IF(ISNUMBER('Base de datos Rutas'!CL350),'Base de datos Rutas'!CL350,"")</f>
        <v>474.84</v>
      </c>
      <c r="AV352" s="802">
        <f>IF(ISNUMBER('Base de datos Rutas'!CM350),'Base de datos Rutas'!CM350,"")</f>
        <v>171.83999999999997</v>
      </c>
      <c r="AW352" s="802">
        <f>IF(ISNUMBER('Base de datos Rutas'!CN350),'Base de datos Rutas'!CN350,"")</f>
        <v>3.82</v>
      </c>
      <c r="AX352" s="802">
        <f>IF(ISNUMBER('Base de datos Rutas'!CO350),'Base de datos Rutas'!CO350,"")</f>
        <v>9.4499999999999993</v>
      </c>
      <c r="AY352" s="802">
        <f>IF(ISNUMBER('Base de datos Rutas'!CP350),'Base de datos Rutas'!CP350,"")</f>
        <v>5.629999999999999</v>
      </c>
      <c r="AZ352" s="802">
        <f>IF(ISNUMBER('Base de datos Rutas'!CQ350),'Base de datos Rutas'!CQ350,"")</f>
        <v>846.56</v>
      </c>
      <c r="BA352" s="802">
        <f>IF(ISNUMBER('Base de datos Rutas'!CR350),'Base de datos Rutas'!CR350,"")</f>
        <v>534.1</v>
      </c>
      <c r="BB352" s="803">
        <f>IF(ISNUMBER('Base de datos Rutas'!CS350),'Base de datos Rutas'!CS350,"")</f>
        <v>312.45999999999992</v>
      </c>
      <c r="BC352" s="804">
        <f t="shared" si="213"/>
        <v>0</v>
      </c>
      <c r="BD352" s="805" t="str">
        <f t="shared" si="214"/>
        <v>No saturada</v>
      </c>
      <c r="BE352" s="806">
        <f t="shared" si="215"/>
        <v>0.63090625590625593</v>
      </c>
      <c r="BF352" s="890">
        <f>IF(ISNUMBER('Base de datos Rutas'!CX350),'Base de datos Rutas'!CX350/100,"")</f>
        <v>0.14542893081761007</v>
      </c>
      <c r="BG352" s="891">
        <f>IF(ISNUMBER('Base de datos Rutas'!CZ350),'Base de datos Rutas'!CZ350/100,"")</f>
        <v>0.16704402515723271</v>
      </c>
      <c r="BH352" s="892">
        <f>IF(ISNUMBER('Base de datos Rutas'!DA350),'Base de datos Rutas'!DA350,"")</f>
        <v>253.26199728140421</v>
      </c>
      <c r="BI352" s="893">
        <f>IF(ISNUMBER('Base de datos Rutas'!DC350),'Base de datos Rutas'!DC350,"")</f>
        <v>11.322397387784049</v>
      </c>
      <c r="BJ352" s="805" t="str">
        <f t="shared" si="216"/>
        <v>Ruta (completo)</v>
      </c>
      <c r="BK352" s="783">
        <f t="shared" si="204"/>
        <v>1</v>
      </c>
      <c r="BL352" s="797">
        <f t="shared" si="205"/>
        <v>1</v>
      </c>
      <c r="BM352" s="797">
        <f t="shared" si="206"/>
        <v>1</v>
      </c>
      <c r="BN352" s="797">
        <f t="shared" si="207"/>
        <v>1</v>
      </c>
      <c r="BO352" s="798" cm="1">
        <f t="array" ref="BO352">SUMPRODUCT(--ISNUMBER($BF352:$BI352),$BK$3:$BN$3)</f>
        <v>1</v>
      </c>
      <c r="BP352" s="831">
        <f t="shared" si="217"/>
        <v>0</v>
      </c>
      <c r="BQ352" s="834" t="str">
        <f t="shared" si="218"/>
        <v>Bajo</v>
      </c>
      <c r="BR352" s="836">
        <f t="shared" si="208"/>
        <v>27.963626389499559</v>
      </c>
      <c r="BS352" s="836">
        <f t="shared" si="209"/>
        <v>0</v>
      </c>
      <c r="BT352" s="837" t="str">
        <f t="shared" si="210"/>
        <v>P4</v>
      </c>
      <c r="BU352" s="807" t="str">
        <f t="shared" si="219"/>
        <v>Con espacio</v>
      </c>
      <c r="BV352" s="807" t="str">
        <f t="shared" si="211"/>
        <v>Zona de bajo potencial</v>
      </c>
      <c r="BW352" s="808" t="str">
        <f t="shared" si="212"/>
        <v>P4 - Evaluar</v>
      </c>
    </row>
    <row r="353" spans="1:75">
      <c r="A353" s="780" t="str">
        <f>'Base de datos Rutas'!A351</f>
        <v>Occidente</v>
      </c>
      <c r="B353" s="781" t="str">
        <f>'Base de datos Rutas'!B351</f>
        <v>Zapopan</v>
      </c>
      <c r="C353" s="781" t="str">
        <f>'Base de datos Rutas'!C351</f>
        <v>Planta Zapopan</v>
      </c>
      <c r="D353" s="782">
        <f>IF(ISNUMBER('Base de datos Rutas'!D351),'Base de datos Rutas'!D351,"Sin código")</f>
        <v>816343</v>
      </c>
      <c r="E353" s="783" t="str">
        <f>'Base de datos Rutas'!F351</f>
        <v>Activa</v>
      </c>
      <c r="F353" s="784" t="str">
        <f>'Base de datos Rutas'!H351</f>
        <v>Sí</v>
      </c>
      <c r="G353" s="785">
        <f>IF(ISNUMBER('Base de datos Rutas'!BE351),'Base de datos Rutas'!BE351,"")</f>
        <v>118.55936073059399</v>
      </c>
      <c r="H353" s="786">
        <f>IF(ISNUMBER('Base de datos Rutas'!BH351),'Base de datos Rutas'!BH351,"")</f>
        <v>0.37591711760288099</v>
      </c>
      <c r="I353" s="788">
        <f>IFERROR(IF(OR(NOT(ISNUMBER('Base de datos Rutas'!O351)),N('Base de datos Rutas'!BK351)=0),"",'Base de datos Rutas'!O351/('Base de datos Rutas'!L351/'Base de datos Rutas'!BK351)),"")</f>
        <v>2024.7739726027364</v>
      </c>
      <c r="J353" s="788">
        <f>IFERROR(IF(OR(NOT(ISNUMBER('Base de datos Rutas'!N351)),N('Base de datos Rutas'!BK351)=0),"",'Base de datos Rutas'!N351/('Base de datos Rutas'!L351/'Base de datos Rutas'!BK351)),"")</f>
        <v>6384.2283105022725</v>
      </c>
      <c r="K353" s="788">
        <f>IFERROR(IF(OR(NOT(ISNUMBER('Base de datos Rutas'!J351)),N('Base de datos Rutas'!BK351)=0),"",'Base de datos Rutas'!J351/('Base de datos Rutas'!L351/'Base de datos Rutas'!BK351)),"")</f>
        <v>439.02936255707687</v>
      </c>
      <c r="L353" s="788">
        <f>IFERROR(IF(OR(NOT(ISNUMBER('Base de datos Rutas'!K351)),N('Base de datos Rutas'!BK351)=0),"",'Base de datos Rutas'!K351/('Base de datos Rutas'!L351/'Base de datos Rutas'!BK351)),"")</f>
        <v>15.995000589041069</v>
      </c>
      <c r="M353" s="787">
        <f>IF(ISNUMBER('Base de datos Rutas'!AX351),'Base de datos Rutas'!AX351,"")</f>
        <v>188.40890169561001</v>
      </c>
      <c r="N353" s="790">
        <f>IFERROR(INDEX('Hoja de apoyo v2'!B$17:B$20,MATCH($A353,'Hoja de apoyo v2'!$A$17:$A$20,0)),"")</f>
        <v>89.41621024641401</v>
      </c>
      <c r="O353" s="791">
        <f>IFERROR(INDEX('Hoja de apoyo v2'!C$17:C$20,MATCH($A353,'Hoja de apoyo v2'!$A$17:$A$20,0)),"")</f>
        <v>0.54706375874806301</v>
      </c>
      <c r="P353" s="793">
        <f>IFERROR(INDEX('Hoja de apoyo v2'!D$17:D$20,MATCH($A353,'Hoja de apoyo v2'!$A$17:$A$20,0)),"")</f>
        <v>11095.153935793827</v>
      </c>
      <c r="Q353" s="793">
        <f>IFERROR(INDEX('Hoja de apoyo v2'!E$17:E$20,MATCH($A353,'Hoja de apoyo v2'!$A$17:$A$20,0)),"")</f>
        <v>6982.3202019701848</v>
      </c>
      <c r="R353" s="793">
        <f>IFERROR(INDEX('Hoja de apoyo v2'!F$17:F$20,MATCH($A353,'Hoja de apoyo v2'!$A$17:$A$20,0)),"")</f>
        <v>448.09513474485743</v>
      </c>
      <c r="S353" s="793">
        <f>IFERROR(INDEX('Hoja de apoyo v2'!G$17:G$20,MATCH($A353,'Hoja de apoyo v2'!$A$17:$A$20,0)),"")</f>
        <v>83.406300904207839</v>
      </c>
      <c r="T353" s="792">
        <f>IFERROR(INDEX('Hoja de apoyo v2'!H$17:H$20,MATCH($A353,'Hoja de apoyo v2'!$A$17:$A$20,0)),"")</f>
        <v>378.97014028925349</v>
      </c>
      <c r="U353" s="794">
        <f t="shared" si="184"/>
        <v>1.325926925373677</v>
      </c>
      <c r="V353" s="795">
        <f t="shared" si="185"/>
        <v>0.68715412343006355</v>
      </c>
      <c r="W353" s="795">
        <f t="shared" si="186"/>
        <v>0.18249174227954229</v>
      </c>
      <c r="X353" s="843">
        <f t="shared" si="187"/>
        <v>0.91434195594479462</v>
      </c>
      <c r="Y353" s="843">
        <f t="shared" si="188"/>
        <v>0.97976819767761469</v>
      </c>
      <c r="Z353" s="843">
        <f t="shared" si="189"/>
        <v>0.19177208934623935</v>
      </c>
      <c r="AA353" s="843">
        <f t="shared" si="190"/>
        <v>0.49716028168289106</v>
      </c>
      <c r="AB353" s="796">
        <f t="shared" si="191"/>
        <v>5</v>
      </c>
      <c r="AC353" s="797">
        <f t="shared" si="192"/>
        <v>2</v>
      </c>
      <c r="AD353" s="797">
        <f t="shared" si="193"/>
        <v>1</v>
      </c>
      <c r="AE353" s="842">
        <f t="shared" si="194"/>
        <v>3</v>
      </c>
      <c r="AF353" s="842">
        <f t="shared" si="195"/>
        <v>3</v>
      </c>
      <c r="AG353" s="842">
        <f t="shared" si="196"/>
        <v>1</v>
      </c>
      <c r="AH353" s="842">
        <f t="shared" si="197"/>
        <v>1</v>
      </c>
      <c r="AI353" s="826" cm="1">
        <f t="array" ref="AI353">SUMPRODUCT(--ISNUMBER($U353:$AA353),$AB$3:$AH$3)</f>
        <v>1</v>
      </c>
      <c r="AJ353" s="829">
        <f t="shared" si="198"/>
        <v>33.188434614954467</v>
      </c>
      <c r="AK353" s="827" t="str">
        <f t="shared" si="199"/>
        <v>Inmadura</v>
      </c>
      <c r="AL353" s="784" t="str">
        <f t="shared" si="200"/>
        <v>Alta</v>
      </c>
      <c r="AM353" s="799">
        <f>IF(ISNUMBER('Base de datos Rutas'!W351),'Base de datos Rutas'!W351,"")</f>
        <v>3427.1365491869451</v>
      </c>
      <c r="AN353" s="787">
        <f>IFERROR(SUMIFS('Base de datos Rutas'!$W$6:$W$794,'Base de datos Rutas'!$C$6:$C$794,$C353)/'Base de datos Rutas'!I351,"")</f>
        <v>3427.1365491869487</v>
      </c>
      <c r="AO353" s="800">
        <f>IFERROR('Base de datos Rutas'!X351*AN353/AM353,"")</f>
        <v>0.3483939033672564</v>
      </c>
      <c r="AP353" s="800">
        <f t="shared" si="201"/>
        <v>0.6516060966327436</v>
      </c>
      <c r="AQ353" s="789">
        <f>IFERROR(INDEX('Hoja de apoyo v2'!$J$17:$J$20,MATCH($A353,'Hoja de apoyo v2'!$A$17:$A$20,0)),"")</f>
        <v>0.64320274048480885</v>
      </c>
      <c r="AR353" s="789">
        <f t="shared" si="202"/>
        <v>8.4033561479347485E-3</v>
      </c>
      <c r="AS353" s="784" t="str">
        <f t="shared" si="203"/>
        <v>No</v>
      </c>
      <c r="AT353" s="801">
        <f>IF(ISNUMBER('Base de datos Rutas'!CK351),'Base de datos Rutas'!CK351,"")</f>
        <v>347</v>
      </c>
      <c r="AU353" s="802">
        <f>IF(ISNUMBER('Base de datos Rutas'!CL351),'Base de datos Rutas'!CL351,"")</f>
        <v>488.21</v>
      </c>
      <c r="AV353" s="802">
        <f>IF(ISNUMBER('Base de datos Rutas'!CM351),'Base de datos Rutas'!CM351,"")</f>
        <v>141.20999999999998</v>
      </c>
      <c r="AW353" s="802">
        <f>IF(ISNUMBER('Base de datos Rutas'!CN351),'Base de datos Rutas'!CN351,"")</f>
        <v>8.82</v>
      </c>
      <c r="AX353" s="802">
        <f>IF(ISNUMBER('Base de datos Rutas'!CO351),'Base de datos Rutas'!CO351,"")</f>
        <v>9.4499999999999993</v>
      </c>
      <c r="AY353" s="802">
        <f>IF(ISNUMBER('Base de datos Rutas'!CP351),'Base de datos Rutas'!CP351,"")</f>
        <v>0.62999999999999901</v>
      </c>
      <c r="AZ353" s="802">
        <f>IF(ISNUMBER('Base de datos Rutas'!CQ351),'Base de datos Rutas'!CQ351,"")</f>
        <v>846.56</v>
      </c>
      <c r="BA353" s="802">
        <f>IF(ISNUMBER('Base de datos Rutas'!CR351),'Base de datos Rutas'!CR351,"")</f>
        <v>455.02</v>
      </c>
      <c r="BB353" s="803">
        <f>IF(ISNUMBER('Base de datos Rutas'!CS351),'Base de datos Rutas'!CS351,"")</f>
        <v>391.53999999999996</v>
      </c>
      <c r="BC353" s="804">
        <f t="shared" si="213"/>
        <v>0</v>
      </c>
      <c r="BD353" s="805" t="str">
        <f t="shared" si="214"/>
        <v>No saturada</v>
      </c>
      <c r="BE353" s="806">
        <f t="shared" si="215"/>
        <v>0.53749291249291253</v>
      </c>
      <c r="BF353" s="890">
        <f>IF(ISNUMBER('Base de datos Rutas'!CX351),'Base de datos Rutas'!CX351/100,"")</f>
        <v>0.6638548318433376</v>
      </c>
      <c r="BG353" s="891">
        <f>IF(ISNUMBER('Base de datos Rutas'!CZ351),'Base de datos Rutas'!CZ351/100,"")</f>
        <v>0.69391230310770535</v>
      </c>
      <c r="BH353" s="892">
        <f>IF(ISNUMBER('Base de datos Rutas'!DA351),'Base de datos Rutas'!DA351,"")</f>
        <v>620.36823985733201</v>
      </c>
      <c r="BI353" s="893">
        <f>IF(ISNUMBER('Base de datos Rutas'!DC351),'Base de datos Rutas'!DC351,"")</f>
        <v>33.940986235356597</v>
      </c>
      <c r="BJ353" s="805" t="str">
        <f t="shared" si="216"/>
        <v>Ruta (completo)</v>
      </c>
      <c r="BK353" s="783">
        <f t="shared" si="204"/>
        <v>2</v>
      </c>
      <c r="BL353" s="797">
        <f t="shared" si="205"/>
        <v>2</v>
      </c>
      <c r="BM353" s="797">
        <f t="shared" si="206"/>
        <v>2</v>
      </c>
      <c r="BN353" s="797">
        <f t="shared" si="207"/>
        <v>3</v>
      </c>
      <c r="BO353" s="798" cm="1">
        <f t="array" ref="BO353">SUMPRODUCT(--ISNUMBER($BF353:$BI353),$BK$3:$BN$3)</f>
        <v>1</v>
      </c>
      <c r="BP353" s="831">
        <f t="shared" si="217"/>
        <v>31.25</v>
      </c>
      <c r="BQ353" s="834" t="str">
        <f t="shared" si="218"/>
        <v>Medio</v>
      </c>
      <c r="BR353" s="836">
        <f t="shared" si="208"/>
        <v>24.891325961215848</v>
      </c>
      <c r="BS353" s="836">
        <f t="shared" si="209"/>
        <v>31.25</v>
      </c>
      <c r="BT353" s="837" t="str">
        <f t="shared" si="210"/>
        <v>P4</v>
      </c>
      <c r="BU353" s="807" t="str">
        <f t="shared" si="219"/>
        <v>Con espacio</v>
      </c>
      <c r="BV353" s="807" t="str">
        <f t="shared" si="211"/>
        <v>Zona de bajo potencial</v>
      </c>
      <c r="BW353" s="808" t="str">
        <f t="shared" si="212"/>
        <v>P4 - Evaluar</v>
      </c>
    </row>
    <row r="354" spans="1:75">
      <c r="A354" s="780" t="str">
        <f>'Base de datos Rutas'!A352</f>
        <v>Occidente</v>
      </c>
      <c r="B354" s="781" t="str">
        <f>'Base de datos Rutas'!B352</f>
        <v>Zapopan</v>
      </c>
      <c r="C354" s="781" t="str">
        <f>'Base de datos Rutas'!C352</f>
        <v>Planta Zapopan</v>
      </c>
      <c r="D354" s="782">
        <f>IF(ISNUMBER('Base de datos Rutas'!D352),'Base de datos Rutas'!D352,"Sin código")</f>
        <v>816344</v>
      </c>
      <c r="E354" s="783" t="str">
        <f>'Base de datos Rutas'!F352</f>
        <v>Activa</v>
      </c>
      <c r="F354" s="784" t="str">
        <f>'Base de datos Rutas'!H352</f>
        <v>Sí</v>
      </c>
      <c r="G354" s="785">
        <f>IF(ISNUMBER('Base de datos Rutas'!BE352),'Base de datos Rutas'!BE352,"")</f>
        <v>87.611494252873598</v>
      </c>
      <c r="H354" s="786">
        <f>IF(ISNUMBER('Base de datos Rutas'!BH352),'Base de datos Rutas'!BH352,"")</f>
        <v>0.27215239694576399</v>
      </c>
      <c r="I354" s="788">
        <f>IFERROR(IF(OR(NOT(ISNUMBER('Base de datos Rutas'!O352)),N('Base de datos Rutas'!BK352)=0),"",'Base de datos Rutas'!O352/('Base de datos Rutas'!L352/'Base de datos Rutas'!BK352)),"")</f>
        <v>2301.3724137931044</v>
      </c>
      <c r="J354" s="788">
        <f>IFERROR(IF(OR(NOT(ISNUMBER('Base de datos Rutas'!N352)),N('Base de datos Rutas'!BK352)=0),"",'Base de datos Rutas'!N352/('Base de datos Rutas'!L352/'Base de datos Rutas'!BK352)),"")</f>
        <v>5733.9770114942548</v>
      </c>
      <c r="K354" s="788">
        <f>IFERROR(IF(OR(NOT(ISNUMBER('Base de datos Rutas'!J352)),N('Base de datos Rutas'!BK352)=0),"",'Base de datos Rutas'!J352/('Base de datos Rutas'!L352/'Base de datos Rutas'!BK352)),"")</f>
        <v>361.56828689655185</v>
      </c>
      <c r="L354" s="788">
        <f>IFERROR(IF(OR(NOT(ISNUMBER('Base de datos Rutas'!K352)),N('Base de datos Rutas'!BK352)=0),"",'Base de datos Rutas'!K352/('Base de datos Rutas'!L352/'Base de datos Rutas'!BK352)),"")</f>
        <v>18.347293013793109</v>
      </c>
      <c r="M354" s="787">
        <f>IF(ISNUMBER('Base de datos Rutas'!AX352),'Base de datos Rutas'!AX352,"")</f>
        <v>311.53182896259199</v>
      </c>
      <c r="N354" s="790">
        <f>IFERROR(INDEX('Hoja de apoyo v2'!B$17:B$20,MATCH($A354,'Hoja de apoyo v2'!$A$17:$A$20,0)),"")</f>
        <v>89.41621024641401</v>
      </c>
      <c r="O354" s="791">
        <f>IFERROR(INDEX('Hoja de apoyo v2'!C$17:C$20,MATCH($A354,'Hoja de apoyo v2'!$A$17:$A$20,0)),"")</f>
        <v>0.54706375874806301</v>
      </c>
      <c r="P354" s="793">
        <f>IFERROR(INDEX('Hoja de apoyo v2'!D$17:D$20,MATCH($A354,'Hoja de apoyo v2'!$A$17:$A$20,0)),"")</f>
        <v>11095.153935793827</v>
      </c>
      <c r="Q354" s="793">
        <f>IFERROR(INDEX('Hoja de apoyo v2'!E$17:E$20,MATCH($A354,'Hoja de apoyo v2'!$A$17:$A$20,0)),"")</f>
        <v>6982.3202019701848</v>
      </c>
      <c r="R354" s="793">
        <f>IFERROR(INDEX('Hoja de apoyo v2'!F$17:F$20,MATCH($A354,'Hoja de apoyo v2'!$A$17:$A$20,0)),"")</f>
        <v>448.09513474485743</v>
      </c>
      <c r="S354" s="793">
        <f>IFERROR(INDEX('Hoja de apoyo v2'!G$17:G$20,MATCH($A354,'Hoja de apoyo v2'!$A$17:$A$20,0)),"")</f>
        <v>83.406300904207839</v>
      </c>
      <c r="T354" s="792">
        <f>IFERROR(INDEX('Hoja de apoyo v2'!H$17:H$20,MATCH($A354,'Hoja de apoyo v2'!$A$17:$A$20,0)),"")</f>
        <v>378.97014028925349</v>
      </c>
      <c r="U354" s="794">
        <f t="shared" si="184"/>
        <v>0.97981667989990895</v>
      </c>
      <c r="V354" s="795">
        <f t="shared" si="185"/>
        <v>0.49747838820209106</v>
      </c>
      <c r="W354" s="795">
        <f t="shared" si="186"/>
        <v>0.20742140461600073</v>
      </c>
      <c r="X354" s="843">
        <f t="shared" si="187"/>
        <v>0.82121370055133136</v>
      </c>
      <c r="Y354" s="843">
        <f t="shared" si="188"/>
        <v>0.80690072009468827</v>
      </c>
      <c r="Z354" s="843">
        <f t="shared" si="189"/>
        <v>0.21997490375295484</v>
      </c>
      <c r="AA354" s="843">
        <f t="shared" si="190"/>
        <v>0.82204848309371181</v>
      </c>
      <c r="AB354" s="796">
        <f t="shared" si="191"/>
        <v>3</v>
      </c>
      <c r="AC354" s="797">
        <f t="shared" si="192"/>
        <v>1</v>
      </c>
      <c r="AD354" s="797">
        <f t="shared" si="193"/>
        <v>1</v>
      </c>
      <c r="AE354" s="842">
        <f t="shared" si="194"/>
        <v>3</v>
      </c>
      <c r="AF354" s="842">
        <f t="shared" si="195"/>
        <v>3</v>
      </c>
      <c r="AG354" s="842">
        <f t="shared" si="196"/>
        <v>1</v>
      </c>
      <c r="AH354" s="842">
        <f t="shared" si="197"/>
        <v>3</v>
      </c>
      <c r="AI354" s="826" cm="1">
        <f t="array" ref="AI354">SUMPRODUCT(--ISNUMBER($U354:$AA354),$AB$3:$AH$3)</f>
        <v>1</v>
      </c>
      <c r="AJ354" s="829">
        <f t="shared" si="198"/>
        <v>26.2277123534436</v>
      </c>
      <c r="AK354" s="827" t="str">
        <f t="shared" si="199"/>
        <v>Inmadura</v>
      </c>
      <c r="AL354" s="784" t="str">
        <f t="shared" si="200"/>
        <v>Alta</v>
      </c>
      <c r="AM354" s="799">
        <f>IF(ISNUMBER('Base de datos Rutas'!W352),'Base de datos Rutas'!W352,"")</f>
        <v>3427.1365491869451</v>
      </c>
      <c r="AN354" s="787">
        <f>IFERROR(SUMIFS('Base de datos Rutas'!$W$6:$W$794,'Base de datos Rutas'!$C$6:$C$794,$C354)/'Base de datos Rutas'!I352,"")</f>
        <v>3427.1365491869487</v>
      </c>
      <c r="AO354" s="800">
        <f>IFERROR('Base de datos Rutas'!X352*AN354/AM354,"")</f>
        <v>0.3483939033672564</v>
      </c>
      <c r="AP354" s="800">
        <f t="shared" si="201"/>
        <v>0.6516060966327436</v>
      </c>
      <c r="AQ354" s="789">
        <f>IFERROR(INDEX('Hoja de apoyo v2'!$J$17:$J$20,MATCH($A354,'Hoja de apoyo v2'!$A$17:$A$20,0)),"")</f>
        <v>0.64320274048480885</v>
      </c>
      <c r="AR354" s="789">
        <f t="shared" si="202"/>
        <v>8.4033561479347485E-3</v>
      </c>
      <c r="AS354" s="784" t="str">
        <f t="shared" si="203"/>
        <v>No</v>
      </c>
      <c r="AT354" s="801">
        <f>IF(ISNUMBER('Base de datos Rutas'!CK352),'Base de datos Rutas'!CK352,"")</f>
        <v>495</v>
      </c>
      <c r="AU354" s="802">
        <f>IF(ISNUMBER('Base de datos Rutas'!CL352),'Base de datos Rutas'!CL352,"")</f>
        <v>887.51</v>
      </c>
      <c r="AV354" s="802">
        <f>IF(ISNUMBER('Base de datos Rutas'!CM352),'Base de datos Rutas'!CM352,"")</f>
        <v>392.51</v>
      </c>
      <c r="AW354" s="802">
        <f>IF(ISNUMBER('Base de datos Rutas'!CN352),'Base de datos Rutas'!CN352,"")</f>
        <v>6.91</v>
      </c>
      <c r="AX354" s="802">
        <f>IF(ISNUMBER('Base de datos Rutas'!CO352),'Base de datos Rutas'!CO352,"")</f>
        <v>9.4499999999999993</v>
      </c>
      <c r="AY354" s="802">
        <f>IF(ISNUMBER('Base de datos Rutas'!CP352),'Base de datos Rutas'!CP352,"")</f>
        <v>2.5399999999999991</v>
      </c>
      <c r="AZ354" s="802">
        <f>IF(ISNUMBER('Base de datos Rutas'!CQ352),'Base de datos Rutas'!CQ352,"")</f>
        <v>846.56</v>
      </c>
      <c r="BA354" s="802">
        <f>IF(ISNUMBER('Base de datos Rutas'!CR352),'Base de datos Rutas'!CR352,"")</f>
        <v>379.92</v>
      </c>
      <c r="BB354" s="803">
        <f>IF(ISNUMBER('Base de datos Rutas'!CS352),'Base de datos Rutas'!CS352,"")</f>
        <v>466.63999999999993</v>
      </c>
      <c r="BC354" s="804">
        <f t="shared" si="213"/>
        <v>0</v>
      </c>
      <c r="BD354" s="805" t="str">
        <f t="shared" si="214"/>
        <v>No saturada</v>
      </c>
      <c r="BE354" s="806">
        <f t="shared" si="215"/>
        <v>0.44878094878094882</v>
      </c>
      <c r="BF354" s="890">
        <f>IF(ISNUMBER('Base de datos Rutas'!CX352),'Base de datos Rutas'!CX352/100,"")</f>
        <v>0.5172304005477576</v>
      </c>
      <c r="BG354" s="891">
        <f>IF(ISNUMBER('Base de datos Rutas'!CZ352),'Base de datos Rutas'!CZ352/100,"")</f>
        <v>0.56202213853703065</v>
      </c>
      <c r="BH354" s="892">
        <f>IF(ISNUMBER('Base de datos Rutas'!DA352),'Base de datos Rutas'!DA352,"")</f>
        <v>680.2788189844149</v>
      </c>
      <c r="BI354" s="893">
        <f>IF(ISNUMBER('Base de datos Rutas'!DC352),'Base de datos Rutas'!DC352,"")</f>
        <v>33.740070187242438</v>
      </c>
      <c r="BJ354" s="805" t="str">
        <f t="shared" si="216"/>
        <v>Ruta (completo)</v>
      </c>
      <c r="BK354" s="783">
        <f t="shared" si="204"/>
        <v>2</v>
      </c>
      <c r="BL354" s="797">
        <f t="shared" si="205"/>
        <v>2</v>
      </c>
      <c r="BM354" s="797">
        <f t="shared" si="206"/>
        <v>3</v>
      </c>
      <c r="BN354" s="797">
        <f t="shared" si="207"/>
        <v>3</v>
      </c>
      <c r="BO354" s="798" cm="1">
        <f t="array" ref="BO354">SUMPRODUCT(--ISNUMBER($BF354:$BI354),$BK$3:$BN$3)</f>
        <v>1</v>
      </c>
      <c r="BP354" s="831">
        <f t="shared" si="217"/>
        <v>37.5</v>
      </c>
      <c r="BQ354" s="834" t="str">
        <f t="shared" si="218"/>
        <v>Medio</v>
      </c>
      <c r="BR354" s="836">
        <f t="shared" si="208"/>
        <v>19.670784265082702</v>
      </c>
      <c r="BS354" s="836">
        <f t="shared" si="209"/>
        <v>37.5</v>
      </c>
      <c r="BT354" s="837" t="str">
        <f t="shared" si="210"/>
        <v>P4</v>
      </c>
      <c r="BU354" s="807" t="str">
        <f t="shared" si="219"/>
        <v>Con espacio</v>
      </c>
      <c r="BV354" s="807" t="str">
        <f t="shared" si="211"/>
        <v>Zona de bajo potencial</v>
      </c>
      <c r="BW354" s="808" t="str">
        <f t="shared" si="212"/>
        <v>P4 - Evaluar</v>
      </c>
    </row>
    <row r="355" spans="1:75">
      <c r="A355" s="780" t="str">
        <f>'Base de datos Rutas'!A353</f>
        <v>Occidente</v>
      </c>
      <c r="B355" s="781" t="str">
        <f>'Base de datos Rutas'!B353</f>
        <v>Zapopan</v>
      </c>
      <c r="C355" s="781" t="str">
        <f>'Base de datos Rutas'!C353</f>
        <v>Planta Zapopan</v>
      </c>
      <c r="D355" s="782">
        <f>IF(ISNUMBER('Base de datos Rutas'!D353),'Base de datos Rutas'!D353,"Sin código")</f>
        <v>816345</v>
      </c>
      <c r="E355" s="783" t="str">
        <f>'Base de datos Rutas'!F353</f>
        <v>Activa</v>
      </c>
      <c r="F355" s="784" t="str">
        <f>'Base de datos Rutas'!H353</f>
        <v>Sí</v>
      </c>
      <c r="G355" s="785">
        <f>IF(ISNUMBER('Base de datos Rutas'!BE353),'Base de datos Rutas'!BE353,"")</f>
        <v>82.350348027842202</v>
      </c>
      <c r="H355" s="786">
        <f>IF(ISNUMBER('Base de datos Rutas'!BH353),'Base de datos Rutas'!BH353,"")</f>
        <v>0.44298875834671603</v>
      </c>
      <c r="I355" s="788">
        <f>IFERROR(IF(OR(NOT(ISNUMBER('Base de datos Rutas'!O353)),N('Base de datos Rutas'!BK353)=0),"",'Base de datos Rutas'!O353/('Base de datos Rutas'!L353/'Base de datos Rutas'!BK353)),"")</f>
        <v>2434.7006960556791</v>
      </c>
      <c r="J355" s="788">
        <f>IFERROR(IF(OR(NOT(ISNUMBER('Base de datos Rutas'!N353)),N('Base de datos Rutas'!BK353)=0),"",'Base de datos Rutas'!N353/('Base de datos Rutas'!L353/'Base de datos Rutas'!BK353)),"")</f>
        <v>6560.3503480278287</v>
      </c>
      <c r="K355" s="788">
        <f>IFERROR(IF(OR(NOT(ISNUMBER('Base de datos Rutas'!J353)),N('Base de datos Rutas'!BK353)=0),"",'Base de datos Rutas'!J353/('Base de datos Rutas'!L353/'Base de datos Rutas'!BK353)),"")</f>
        <v>450.46674153132159</v>
      </c>
      <c r="L355" s="788">
        <f>IFERROR(IF(OR(NOT(ISNUMBER('Base de datos Rutas'!K353)),N('Base de datos Rutas'!BK353)=0),"",'Base de datos Rutas'!K353/('Base de datos Rutas'!L353/'Base de datos Rutas'!BK353)),"")</f>
        <v>18.438511468677458</v>
      </c>
      <c r="M355" s="787">
        <f>IF(ISNUMBER('Base de datos Rutas'!AX353),'Base de datos Rutas'!AX353,"")</f>
        <v>246.57295681485701</v>
      </c>
      <c r="N355" s="790">
        <f>IFERROR(INDEX('Hoja de apoyo v2'!B$17:B$20,MATCH($A355,'Hoja de apoyo v2'!$A$17:$A$20,0)),"")</f>
        <v>89.41621024641401</v>
      </c>
      <c r="O355" s="791">
        <f>IFERROR(INDEX('Hoja de apoyo v2'!C$17:C$20,MATCH($A355,'Hoja de apoyo v2'!$A$17:$A$20,0)),"")</f>
        <v>0.54706375874806301</v>
      </c>
      <c r="P355" s="793">
        <f>IFERROR(INDEX('Hoja de apoyo v2'!D$17:D$20,MATCH($A355,'Hoja de apoyo v2'!$A$17:$A$20,0)),"")</f>
        <v>11095.153935793827</v>
      </c>
      <c r="Q355" s="793">
        <f>IFERROR(INDEX('Hoja de apoyo v2'!E$17:E$20,MATCH($A355,'Hoja de apoyo v2'!$A$17:$A$20,0)),"")</f>
        <v>6982.3202019701848</v>
      </c>
      <c r="R355" s="793">
        <f>IFERROR(INDEX('Hoja de apoyo v2'!F$17:F$20,MATCH($A355,'Hoja de apoyo v2'!$A$17:$A$20,0)),"")</f>
        <v>448.09513474485743</v>
      </c>
      <c r="S355" s="793">
        <f>IFERROR(INDEX('Hoja de apoyo v2'!G$17:G$20,MATCH($A355,'Hoja de apoyo v2'!$A$17:$A$20,0)),"")</f>
        <v>83.406300904207839</v>
      </c>
      <c r="T355" s="792">
        <f>IFERROR(INDEX('Hoja de apoyo v2'!H$17:H$20,MATCH($A355,'Hoja de apoyo v2'!$A$17:$A$20,0)),"")</f>
        <v>378.97014028925349</v>
      </c>
      <c r="U355" s="794">
        <f t="shared" si="184"/>
        <v>0.92097783836846092</v>
      </c>
      <c r="V355" s="795">
        <f t="shared" si="185"/>
        <v>0.80975709186161571</v>
      </c>
      <c r="W355" s="795">
        <f t="shared" si="186"/>
        <v>0.21943820790094185</v>
      </c>
      <c r="X355" s="843">
        <f t="shared" si="187"/>
        <v>0.93956595490660966</v>
      </c>
      <c r="Y355" s="843">
        <f t="shared" si="188"/>
        <v>1.0052926412330152</v>
      </c>
      <c r="Z355" s="843">
        <f t="shared" si="189"/>
        <v>0.22106856758764656</v>
      </c>
      <c r="AA355" s="843">
        <f t="shared" si="190"/>
        <v>0.65063953752835846</v>
      </c>
      <c r="AB355" s="796">
        <f t="shared" si="191"/>
        <v>3</v>
      </c>
      <c r="AC355" s="797">
        <f t="shared" si="192"/>
        <v>3</v>
      </c>
      <c r="AD355" s="797">
        <f t="shared" si="193"/>
        <v>1</v>
      </c>
      <c r="AE355" s="842">
        <f t="shared" si="194"/>
        <v>3</v>
      </c>
      <c r="AF355" s="842">
        <f t="shared" si="195"/>
        <v>4</v>
      </c>
      <c r="AG355" s="842">
        <f t="shared" si="196"/>
        <v>1</v>
      </c>
      <c r="AH355" s="842">
        <f t="shared" si="197"/>
        <v>2</v>
      </c>
      <c r="AI355" s="826" cm="1">
        <f t="array" ref="AI355">SUMPRODUCT(--ISNUMBER($U355:$AA355),$AB$3:$AH$3)</f>
        <v>1</v>
      </c>
      <c r="AJ355" s="829">
        <f t="shared" si="198"/>
        <v>31.674840196937794</v>
      </c>
      <c r="AK355" s="827" t="str">
        <f t="shared" si="199"/>
        <v>Inmadura</v>
      </c>
      <c r="AL355" s="784" t="str">
        <f t="shared" si="200"/>
        <v>Alta</v>
      </c>
      <c r="AM355" s="799">
        <f>IF(ISNUMBER('Base de datos Rutas'!W353),'Base de datos Rutas'!W353,"")</f>
        <v>3427.1365491869451</v>
      </c>
      <c r="AN355" s="787">
        <f>IFERROR(SUMIFS('Base de datos Rutas'!$W$6:$W$794,'Base de datos Rutas'!$C$6:$C$794,$C355)/'Base de datos Rutas'!I353,"")</f>
        <v>3427.1365491869487</v>
      </c>
      <c r="AO355" s="800">
        <f>IFERROR('Base de datos Rutas'!X353*AN355/AM355,"")</f>
        <v>0.3483939033672564</v>
      </c>
      <c r="AP355" s="800">
        <f t="shared" si="201"/>
        <v>0.6516060966327436</v>
      </c>
      <c r="AQ355" s="789">
        <f>IFERROR(INDEX('Hoja de apoyo v2'!$J$17:$J$20,MATCH($A355,'Hoja de apoyo v2'!$A$17:$A$20,0)),"")</f>
        <v>0.64320274048480885</v>
      </c>
      <c r="AR355" s="789">
        <f t="shared" si="202"/>
        <v>8.4033561479347485E-3</v>
      </c>
      <c r="AS355" s="784" t="str">
        <f t="shared" si="203"/>
        <v>No</v>
      </c>
      <c r="AT355" s="801">
        <f>IF(ISNUMBER('Base de datos Rutas'!CK353),'Base de datos Rutas'!CK353,"")</f>
        <v>297</v>
      </c>
      <c r="AU355" s="802">
        <f>IF(ISNUMBER('Base de datos Rutas'!CL353),'Base de datos Rutas'!CL353,"")</f>
        <v>390.56</v>
      </c>
      <c r="AV355" s="802">
        <f>IF(ISNUMBER('Base de datos Rutas'!CM353),'Base de datos Rutas'!CM353,"")</f>
        <v>93.56</v>
      </c>
      <c r="AW355" s="802">
        <f>IF(ISNUMBER('Base de datos Rutas'!CN353),'Base de datos Rutas'!CN353,"")</f>
        <v>6.86</v>
      </c>
      <c r="AX355" s="802">
        <f>IF(ISNUMBER('Base de datos Rutas'!CO353),'Base de datos Rutas'!CO353,"")</f>
        <v>9.4499999999999993</v>
      </c>
      <c r="AY355" s="802">
        <f>IF(ISNUMBER('Base de datos Rutas'!CP353),'Base de datos Rutas'!CP353,"")</f>
        <v>2.589999999999999</v>
      </c>
      <c r="AZ355" s="802">
        <f>IF(ISNUMBER('Base de datos Rutas'!CQ353),'Base de datos Rutas'!CQ353,"")</f>
        <v>846.56</v>
      </c>
      <c r="BA355" s="802">
        <f>IF(ISNUMBER('Base de datos Rutas'!CR353),'Base de datos Rutas'!CR353,"")</f>
        <v>468.91</v>
      </c>
      <c r="BB355" s="803">
        <f>IF(ISNUMBER('Base de datos Rutas'!CS353),'Base de datos Rutas'!CS353,"")</f>
        <v>377.64999999999992</v>
      </c>
      <c r="BC355" s="804">
        <f t="shared" si="213"/>
        <v>0</v>
      </c>
      <c r="BD355" s="805" t="str">
        <f t="shared" si="214"/>
        <v>No saturada</v>
      </c>
      <c r="BE355" s="806">
        <f t="shared" si="215"/>
        <v>0.55390049140049147</v>
      </c>
      <c r="BF355" s="890">
        <f>IF(ISNUMBER('Base de datos Rutas'!CX353),'Base de datos Rutas'!CX353/100,"")</f>
        <v>0.42719052744886971</v>
      </c>
      <c r="BG355" s="891">
        <f>IF(ISNUMBER('Base de datos Rutas'!CZ353),'Base de datos Rutas'!CZ353/100,"")</f>
        <v>0.45236813778256191</v>
      </c>
      <c r="BH355" s="892">
        <f>IF(ISNUMBER('Base de datos Rutas'!DA353),'Base de datos Rutas'!DA353,"")</f>
        <v>324.1659194237655</v>
      </c>
      <c r="BI355" s="893">
        <f>IF(ISNUMBER('Base de datos Rutas'!DC353),'Base de datos Rutas'!DC353,"")</f>
        <v>16.995487667867156</v>
      </c>
      <c r="BJ355" s="805" t="str">
        <f t="shared" si="216"/>
        <v>Ruta (completo)</v>
      </c>
      <c r="BK355" s="783">
        <f t="shared" si="204"/>
        <v>1</v>
      </c>
      <c r="BL355" s="797">
        <f t="shared" si="205"/>
        <v>1</v>
      </c>
      <c r="BM355" s="797">
        <f t="shared" si="206"/>
        <v>1</v>
      </c>
      <c r="BN355" s="797">
        <f t="shared" si="207"/>
        <v>1</v>
      </c>
      <c r="BO355" s="798" cm="1">
        <f t="array" ref="BO355">SUMPRODUCT(--ISNUMBER($BF355:$BI355),$BK$3:$BN$3)</f>
        <v>1</v>
      </c>
      <c r="BP355" s="831">
        <f t="shared" si="217"/>
        <v>0</v>
      </c>
      <c r="BQ355" s="834" t="str">
        <f t="shared" si="218"/>
        <v>Bajo</v>
      </c>
      <c r="BR355" s="836">
        <f t="shared" si="208"/>
        <v>23.756130147703345</v>
      </c>
      <c r="BS355" s="836">
        <f t="shared" si="209"/>
        <v>0</v>
      </c>
      <c r="BT355" s="837" t="str">
        <f t="shared" si="210"/>
        <v>P4</v>
      </c>
      <c r="BU355" s="807" t="str">
        <f t="shared" si="219"/>
        <v>Con espacio</v>
      </c>
      <c r="BV355" s="807" t="str">
        <f t="shared" si="211"/>
        <v>Zona de bajo potencial</v>
      </c>
      <c r="BW355" s="808" t="str">
        <f t="shared" si="212"/>
        <v>P4 - Evaluar</v>
      </c>
    </row>
    <row r="356" spans="1:75">
      <c r="A356" s="780" t="str">
        <f>'Base de datos Rutas'!A354</f>
        <v>Occidente</v>
      </c>
      <c r="B356" s="781" t="str">
        <f>'Base de datos Rutas'!B354</f>
        <v>Zapopan</v>
      </c>
      <c r="C356" s="781" t="str">
        <f>'Base de datos Rutas'!C354</f>
        <v>Planta Zapopan</v>
      </c>
      <c r="D356" s="782">
        <f>IF(ISNUMBER('Base de datos Rutas'!D354),'Base de datos Rutas'!D354,"Sin código")</f>
        <v>816346</v>
      </c>
      <c r="E356" s="783" t="str">
        <f>'Base de datos Rutas'!F354</f>
        <v>Activa</v>
      </c>
      <c r="F356" s="784" t="str">
        <f>'Base de datos Rutas'!H354</f>
        <v>Sí</v>
      </c>
      <c r="G356" s="785">
        <f>IF(ISNUMBER('Base de datos Rutas'!BE354),'Base de datos Rutas'!BE354,"")</f>
        <v>101.190804597701</v>
      </c>
      <c r="H356" s="786">
        <f>IF(ISNUMBER('Base de datos Rutas'!BH354),'Base de datos Rutas'!BH354,"")</f>
        <v>0.493320914171475</v>
      </c>
      <c r="I356" s="788">
        <f>IFERROR(IF(OR(NOT(ISNUMBER('Base de datos Rutas'!O354)),N('Base de datos Rutas'!BK354)=0),"",'Base de datos Rutas'!O354/('Base de datos Rutas'!L354/'Base de datos Rutas'!BK354)),"")</f>
        <v>3632.282758620689</v>
      </c>
      <c r="J356" s="788">
        <f>IFERROR(IF(OR(NOT(ISNUMBER('Base de datos Rutas'!N354)),N('Base de datos Rutas'!BK354)=0),"",'Base de datos Rutas'!N354/('Base de datos Rutas'!L354/'Base de datos Rutas'!BK354)),"")</f>
        <v>7756.4574712643671</v>
      </c>
      <c r="K356" s="788">
        <f>IFERROR(IF(OR(NOT(ISNUMBER('Base de datos Rutas'!J354)),N('Base de datos Rutas'!BK354)=0),"",'Base de datos Rutas'!J354/('Base de datos Rutas'!L354/'Base de datos Rutas'!BK354)),"")</f>
        <v>532.18200643677926</v>
      </c>
      <c r="L356" s="788">
        <f>IFERROR(IF(OR(NOT(ISNUMBER('Base de datos Rutas'!K354)),N('Base de datos Rutas'!BK354)=0),"",'Base de datos Rutas'!K354/('Base de datos Rutas'!L354/'Base de datos Rutas'!BK354)),"")</f>
        <v>25.772139342528732</v>
      </c>
      <c r="M356" s="787">
        <f>IF(ISNUMBER('Base de datos Rutas'!AX354),'Base de datos Rutas'!AX354,"")</f>
        <v>228.14190237163299</v>
      </c>
      <c r="N356" s="790">
        <f>IFERROR(INDEX('Hoja de apoyo v2'!B$17:B$20,MATCH($A356,'Hoja de apoyo v2'!$A$17:$A$20,0)),"")</f>
        <v>89.41621024641401</v>
      </c>
      <c r="O356" s="791">
        <f>IFERROR(INDEX('Hoja de apoyo v2'!C$17:C$20,MATCH($A356,'Hoja de apoyo v2'!$A$17:$A$20,0)),"")</f>
        <v>0.54706375874806301</v>
      </c>
      <c r="P356" s="793">
        <f>IFERROR(INDEX('Hoja de apoyo v2'!D$17:D$20,MATCH($A356,'Hoja de apoyo v2'!$A$17:$A$20,0)),"")</f>
        <v>11095.153935793827</v>
      </c>
      <c r="Q356" s="793">
        <f>IFERROR(INDEX('Hoja de apoyo v2'!E$17:E$20,MATCH($A356,'Hoja de apoyo v2'!$A$17:$A$20,0)),"")</f>
        <v>6982.3202019701848</v>
      </c>
      <c r="R356" s="793">
        <f>IFERROR(INDEX('Hoja de apoyo v2'!F$17:F$20,MATCH($A356,'Hoja de apoyo v2'!$A$17:$A$20,0)),"")</f>
        <v>448.09513474485743</v>
      </c>
      <c r="S356" s="793">
        <f>IFERROR(INDEX('Hoja de apoyo v2'!G$17:G$20,MATCH($A356,'Hoja de apoyo v2'!$A$17:$A$20,0)),"")</f>
        <v>83.406300904207839</v>
      </c>
      <c r="T356" s="792">
        <f>IFERROR(INDEX('Hoja de apoyo v2'!H$17:H$20,MATCH($A356,'Hoja de apoyo v2'!$A$17:$A$20,0)),"")</f>
        <v>378.97014028925349</v>
      </c>
      <c r="U356" s="794">
        <f t="shared" si="184"/>
        <v>1.1316829948265361</v>
      </c>
      <c r="V356" s="795">
        <f t="shared" si="185"/>
        <v>0.90176127788180171</v>
      </c>
      <c r="W356" s="795">
        <f t="shared" si="186"/>
        <v>0.32737560737239191</v>
      </c>
      <c r="X356" s="843">
        <f t="shared" si="187"/>
        <v>1.1108710639016162</v>
      </c>
      <c r="Y356" s="843">
        <f t="shared" si="188"/>
        <v>1.1876540608721413</v>
      </c>
      <c r="Z356" s="843">
        <f t="shared" si="189"/>
        <v>0.30899511263697022</v>
      </c>
      <c r="AA356" s="843">
        <f t="shared" si="190"/>
        <v>0.60200495531785425</v>
      </c>
      <c r="AB356" s="796">
        <f t="shared" si="191"/>
        <v>4</v>
      </c>
      <c r="AC356" s="797">
        <f t="shared" si="192"/>
        <v>3</v>
      </c>
      <c r="AD356" s="797">
        <f t="shared" si="193"/>
        <v>1</v>
      </c>
      <c r="AE356" s="842">
        <f t="shared" si="194"/>
        <v>4</v>
      </c>
      <c r="AF356" s="842">
        <f t="shared" si="195"/>
        <v>4</v>
      </c>
      <c r="AG356" s="842">
        <f t="shared" si="196"/>
        <v>1</v>
      </c>
      <c r="AH356" s="842">
        <f t="shared" si="197"/>
        <v>2</v>
      </c>
      <c r="AI356" s="826" cm="1">
        <f t="array" ref="AI356">SUMPRODUCT(--ISNUMBER($U356:$AA356),$AB$3:$AH$3)</f>
        <v>1</v>
      </c>
      <c r="AJ356" s="829">
        <f t="shared" si="198"/>
        <v>39.617924021293227</v>
      </c>
      <c r="AK356" s="827" t="str">
        <f t="shared" si="199"/>
        <v>Inmadura</v>
      </c>
      <c r="AL356" s="784" t="str">
        <f t="shared" si="200"/>
        <v>Alta</v>
      </c>
      <c r="AM356" s="799">
        <f>IF(ISNUMBER('Base de datos Rutas'!W354),'Base de datos Rutas'!W354,"")</f>
        <v>3427.1365491869451</v>
      </c>
      <c r="AN356" s="787">
        <f>IFERROR(SUMIFS('Base de datos Rutas'!$W$6:$W$794,'Base de datos Rutas'!$C$6:$C$794,$C356)/'Base de datos Rutas'!I354,"")</f>
        <v>3427.1365491869487</v>
      </c>
      <c r="AO356" s="800">
        <f>IFERROR('Base de datos Rutas'!X354*AN356/AM356,"")</f>
        <v>0.3483939033672564</v>
      </c>
      <c r="AP356" s="800">
        <f t="shared" si="201"/>
        <v>0.6516060966327436</v>
      </c>
      <c r="AQ356" s="789">
        <f>IFERROR(INDEX('Hoja de apoyo v2'!$J$17:$J$20,MATCH($A356,'Hoja de apoyo v2'!$A$17:$A$20,0)),"")</f>
        <v>0.64320274048480885</v>
      </c>
      <c r="AR356" s="789">
        <f t="shared" si="202"/>
        <v>8.4033561479347485E-3</v>
      </c>
      <c r="AS356" s="784" t="str">
        <f t="shared" si="203"/>
        <v>No</v>
      </c>
      <c r="AT356" s="801">
        <f>IF(ISNUMBER('Base de datos Rutas'!CK354),'Base de datos Rutas'!CK354,"")</f>
        <v>363</v>
      </c>
      <c r="AU356" s="802">
        <f>IF(ISNUMBER('Base de datos Rutas'!CL354),'Base de datos Rutas'!CL354,"")</f>
        <v>458.24</v>
      </c>
      <c r="AV356" s="802">
        <f>IF(ISNUMBER('Base de datos Rutas'!CM354),'Base de datos Rutas'!CM354,"")</f>
        <v>95.240000000000009</v>
      </c>
      <c r="AW356" s="802">
        <f>IF(ISNUMBER('Base de datos Rutas'!CN354),'Base de datos Rutas'!CN354,"")</f>
        <v>10.92</v>
      </c>
      <c r="AX356" s="802">
        <f>IF(ISNUMBER('Base de datos Rutas'!CO354),'Base de datos Rutas'!CO354,"")</f>
        <v>9.4499999999999993</v>
      </c>
      <c r="AY356" s="802">
        <f>IF(ISNUMBER('Base de datos Rutas'!CP354),'Base de datos Rutas'!CP354,"")</f>
        <v>-1.4700000000000006</v>
      </c>
      <c r="AZ356" s="802">
        <f>IF(ISNUMBER('Base de datos Rutas'!CQ354),'Base de datos Rutas'!CQ354,"")</f>
        <v>846.56</v>
      </c>
      <c r="BA356" s="802">
        <f>IF(ISNUMBER('Base de datos Rutas'!CR354),'Base de datos Rutas'!CR354,"")</f>
        <v>557.95000000000005</v>
      </c>
      <c r="BB356" s="803">
        <f>IF(ISNUMBER('Base de datos Rutas'!CS354),'Base de datos Rutas'!CS354,"")</f>
        <v>288.6099999999999</v>
      </c>
      <c r="BC356" s="804">
        <f t="shared" si="213"/>
        <v>1</v>
      </c>
      <c r="BD356" s="805" t="str">
        <f t="shared" si="214"/>
        <v>Saturada</v>
      </c>
      <c r="BE356" s="806">
        <f t="shared" si="215"/>
        <v>0.65907909657909669</v>
      </c>
      <c r="BF356" s="890">
        <f>IF(ISNUMBER('Base de datos Rutas'!CX354),'Base de datos Rutas'!CX354/100,"")</f>
        <v>0.32948837209302329</v>
      </c>
      <c r="BG356" s="891">
        <f>IF(ISNUMBER('Base de datos Rutas'!CZ354),'Base de datos Rutas'!CZ354/100,"")</f>
        <v>0.3611295681063123</v>
      </c>
      <c r="BH356" s="892">
        <f>IF(ISNUMBER('Base de datos Rutas'!DA354),'Base de datos Rutas'!DA354,"")</f>
        <v>662.93306153469621</v>
      </c>
      <c r="BI356" s="893">
        <f>IF(ISNUMBER('Base de datos Rutas'!DC354),'Base de datos Rutas'!DC354,"")</f>
        <v>32.138008656335742</v>
      </c>
      <c r="BJ356" s="805" t="str">
        <f t="shared" si="216"/>
        <v>Ruta (completo)</v>
      </c>
      <c r="BK356" s="783">
        <f t="shared" si="204"/>
        <v>1</v>
      </c>
      <c r="BL356" s="797">
        <f t="shared" si="205"/>
        <v>1</v>
      </c>
      <c r="BM356" s="797">
        <f t="shared" si="206"/>
        <v>3</v>
      </c>
      <c r="BN356" s="797">
        <f t="shared" si="207"/>
        <v>3</v>
      </c>
      <c r="BO356" s="798" cm="1">
        <f t="array" ref="BO356">SUMPRODUCT(--ISNUMBER($BF356:$BI356),$BK$3:$BN$3)</f>
        <v>1</v>
      </c>
      <c r="BP356" s="831">
        <f t="shared" si="217"/>
        <v>25</v>
      </c>
      <c r="BQ356" s="834" t="str">
        <f t="shared" si="218"/>
        <v>Medio</v>
      </c>
      <c r="BR356" s="836">
        <f t="shared" si="208"/>
        <v>54.713443015969922</v>
      </c>
      <c r="BS356" s="836">
        <f t="shared" si="209"/>
        <v>25</v>
      </c>
      <c r="BT356" s="837" t="str">
        <f t="shared" si="210"/>
        <v>P2</v>
      </c>
      <c r="BU356" s="807" t="str">
        <f t="shared" si="219"/>
        <v>Al tope</v>
      </c>
      <c r="BV356" s="807" t="str">
        <f t="shared" si="211"/>
        <v>Zona de bajo potencial</v>
      </c>
      <c r="BW356" s="808" t="str">
        <f t="shared" si="212"/>
        <v>P2 - Mantener</v>
      </c>
    </row>
    <row r="357" spans="1:75">
      <c r="A357" s="780" t="str">
        <f>'Base de datos Rutas'!A355</f>
        <v>Occidente</v>
      </c>
      <c r="B357" s="781" t="str">
        <f>'Base de datos Rutas'!B355</f>
        <v>Zapopan</v>
      </c>
      <c r="C357" s="781" t="str">
        <f>'Base de datos Rutas'!C355</f>
        <v>Planta Zapopan</v>
      </c>
      <c r="D357" s="782">
        <f>IF(ISNUMBER('Base de datos Rutas'!D355),'Base de datos Rutas'!D355,"Sin código")</f>
        <v>816347</v>
      </c>
      <c r="E357" s="783" t="str">
        <f>'Base de datos Rutas'!F355</f>
        <v>Activa</v>
      </c>
      <c r="F357" s="784" t="str">
        <f>'Base de datos Rutas'!H355</f>
        <v>Sí</v>
      </c>
      <c r="G357" s="785">
        <f>IF(ISNUMBER('Base de datos Rutas'!BE355),'Base de datos Rutas'!BE355,"")</f>
        <v>59.668192219679597</v>
      </c>
      <c r="H357" s="786">
        <f>IF(ISNUMBER('Base de datos Rutas'!BH355),'Base de datos Rutas'!BH355,"")</f>
        <v>0.44046021093000998</v>
      </c>
      <c r="I357" s="788">
        <f>IFERROR(IF(OR(NOT(ISNUMBER('Base de datos Rutas'!O355)),N('Base de datos Rutas'!BK355)=0),"",'Base de datos Rutas'!O355/('Base de datos Rutas'!L355/'Base de datos Rutas'!BK355)),"")</f>
        <v>4351.6910755148692</v>
      </c>
      <c r="J357" s="788">
        <f>IFERROR(IF(OR(NOT(ISNUMBER('Base de datos Rutas'!N355)),N('Base de datos Rutas'!BK355)=0),"",'Base de datos Rutas'!N355/('Base de datos Rutas'!L355/'Base de datos Rutas'!BK355)),"")</f>
        <v>5383.5263157894669</v>
      </c>
      <c r="K357" s="788">
        <f>IFERROR(IF(OR(NOT(ISNUMBER('Base de datos Rutas'!J355)),N('Base de datos Rutas'!BK355)=0),"",'Base de datos Rutas'!J355/('Base de datos Rutas'!L355/'Base de datos Rutas'!BK355)),"")</f>
        <v>367.65150755148699</v>
      </c>
      <c r="L357" s="788">
        <f>IFERROR(IF(OR(NOT(ISNUMBER('Base de datos Rutas'!K355)),N('Base de datos Rutas'!BK355)=0),"",'Base de datos Rutas'!K355/('Base de datos Rutas'!L355/'Base de datos Rutas'!BK355)),"")</f>
        <v>26.094113389015988</v>
      </c>
      <c r="M357" s="787">
        <f>IF(ISNUMBER('Base de datos Rutas'!AX355),'Base de datos Rutas'!AX355,"")</f>
        <v>370.42109534175</v>
      </c>
      <c r="N357" s="790">
        <f>IFERROR(INDEX('Hoja de apoyo v2'!B$17:B$20,MATCH($A357,'Hoja de apoyo v2'!$A$17:$A$20,0)),"")</f>
        <v>89.41621024641401</v>
      </c>
      <c r="O357" s="791">
        <f>IFERROR(INDEX('Hoja de apoyo v2'!C$17:C$20,MATCH($A357,'Hoja de apoyo v2'!$A$17:$A$20,0)),"")</f>
        <v>0.54706375874806301</v>
      </c>
      <c r="P357" s="793">
        <f>IFERROR(INDEX('Hoja de apoyo v2'!D$17:D$20,MATCH($A357,'Hoja de apoyo v2'!$A$17:$A$20,0)),"")</f>
        <v>11095.153935793827</v>
      </c>
      <c r="Q357" s="793">
        <f>IFERROR(INDEX('Hoja de apoyo v2'!E$17:E$20,MATCH($A357,'Hoja de apoyo v2'!$A$17:$A$20,0)),"")</f>
        <v>6982.3202019701848</v>
      </c>
      <c r="R357" s="793">
        <f>IFERROR(INDEX('Hoja de apoyo v2'!F$17:F$20,MATCH($A357,'Hoja de apoyo v2'!$A$17:$A$20,0)),"")</f>
        <v>448.09513474485743</v>
      </c>
      <c r="S357" s="793">
        <f>IFERROR(INDEX('Hoja de apoyo v2'!G$17:G$20,MATCH($A357,'Hoja de apoyo v2'!$A$17:$A$20,0)),"")</f>
        <v>83.406300904207839</v>
      </c>
      <c r="T357" s="792">
        <f>IFERROR(INDEX('Hoja de apoyo v2'!H$17:H$20,MATCH($A357,'Hoja de apoyo v2'!$A$17:$A$20,0)),"")</f>
        <v>378.97014028925349</v>
      </c>
      <c r="U357" s="794">
        <f t="shared" si="184"/>
        <v>0.66730844502630393</v>
      </c>
      <c r="V357" s="795">
        <f t="shared" si="185"/>
        <v>0.80513505763567361</v>
      </c>
      <c r="W357" s="795">
        <f t="shared" si="186"/>
        <v>0.3922154753956118</v>
      </c>
      <c r="X357" s="843">
        <f t="shared" si="187"/>
        <v>0.77102254838877338</v>
      </c>
      <c r="Y357" s="843">
        <f t="shared" si="188"/>
        <v>0.82047645476183417</v>
      </c>
      <c r="Z357" s="843">
        <f t="shared" si="189"/>
        <v>0.31285542106686981</v>
      </c>
      <c r="AA357" s="843">
        <f t="shared" si="190"/>
        <v>0.9774413758799616</v>
      </c>
      <c r="AB357" s="796">
        <f t="shared" si="191"/>
        <v>2</v>
      </c>
      <c r="AC357" s="797">
        <f t="shared" si="192"/>
        <v>3</v>
      </c>
      <c r="AD357" s="797">
        <f t="shared" si="193"/>
        <v>1</v>
      </c>
      <c r="AE357" s="842">
        <f t="shared" si="194"/>
        <v>3</v>
      </c>
      <c r="AF357" s="842">
        <f t="shared" si="195"/>
        <v>3</v>
      </c>
      <c r="AG357" s="842">
        <f t="shared" si="196"/>
        <v>1</v>
      </c>
      <c r="AH357" s="842">
        <f t="shared" si="197"/>
        <v>3</v>
      </c>
      <c r="AI357" s="826" cm="1">
        <f t="array" ref="AI357">SUMPRODUCT(--ISNUMBER($U357:$AA357),$AB$3:$AH$3)</f>
        <v>1</v>
      </c>
      <c r="AJ357" s="829">
        <f t="shared" si="198"/>
        <v>26.459887347087808</v>
      </c>
      <c r="AK357" s="827" t="str">
        <f t="shared" si="199"/>
        <v>Inmadura</v>
      </c>
      <c r="AL357" s="784" t="str">
        <f t="shared" si="200"/>
        <v>Alta</v>
      </c>
      <c r="AM357" s="799">
        <f>IF(ISNUMBER('Base de datos Rutas'!W355),'Base de datos Rutas'!W355,"")</f>
        <v>3427.1365491869451</v>
      </c>
      <c r="AN357" s="787">
        <f>IFERROR(SUMIFS('Base de datos Rutas'!$W$6:$W$794,'Base de datos Rutas'!$C$6:$C$794,$C357)/'Base de datos Rutas'!I355,"")</f>
        <v>3427.1365491869487</v>
      </c>
      <c r="AO357" s="800">
        <f>IFERROR('Base de datos Rutas'!X355*AN357/AM357,"")</f>
        <v>0.3483939033672564</v>
      </c>
      <c r="AP357" s="800">
        <f t="shared" si="201"/>
        <v>0.6516060966327436</v>
      </c>
      <c r="AQ357" s="789">
        <f>IFERROR(INDEX('Hoja de apoyo v2'!$J$17:$J$20,MATCH($A357,'Hoja de apoyo v2'!$A$17:$A$20,0)),"")</f>
        <v>0.64320274048480885</v>
      </c>
      <c r="AR357" s="789">
        <f t="shared" si="202"/>
        <v>8.4033561479347485E-3</v>
      </c>
      <c r="AS357" s="784" t="str">
        <f t="shared" si="203"/>
        <v>No</v>
      </c>
      <c r="AT357" s="801">
        <f>IF(ISNUMBER('Base de datos Rutas'!CK355),'Base de datos Rutas'!CK355,"")</f>
        <v>340</v>
      </c>
      <c r="AU357" s="802">
        <f>IF(ISNUMBER('Base de datos Rutas'!CL355),'Base de datos Rutas'!CL355,"")</f>
        <v>451.8</v>
      </c>
      <c r="AV357" s="802">
        <f>IF(ISNUMBER('Base de datos Rutas'!CM355),'Base de datos Rutas'!CM355,"")</f>
        <v>111.80000000000001</v>
      </c>
      <c r="AW357" s="802">
        <f>IF(ISNUMBER('Base de datos Rutas'!CN355),'Base de datos Rutas'!CN355,"")</f>
        <v>5.59</v>
      </c>
      <c r="AX357" s="802">
        <f>IF(ISNUMBER('Base de datos Rutas'!CO355),'Base de datos Rutas'!CO355,"")</f>
        <v>9.4499999999999993</v>
      </c>
      <c r="AY357" s="802">
        <f>IF(ISNUMBER('Base de datos Rutas'!CP355),'Base de datos Rutas'!CP355,"")</f>
        <v>3.8599999999999994</v>
      </c>
      <c r="AZ357" s="802">
        <f>IF(ISNUMBER('Base de datos Rutas'!CQ355),'Base de datos Rutas'!CQ355,"")</f>
        <v>564.37</v>
      </c>
      <c r="BA357" s="802">
        <f>IF(ISNUMBER('Base de datos Rutas'!CR355),'Base de datos Rutas'!CR355,"")</f>
        <v>393.75</v>
      </c>
      <c r="BB357" s="803">
        <f>IF(ISNUMBER('Base de datos Rutas'!CS355),'Base de datos Rutas'!CS355,"")</f>
        <v>170.62</v>
      </c>
      <c r="BC357" s="804">
        <f t="shared" si="213"/>
        <v>0</v>
      </c>
      <c r="BD357" s="805" t="str">
        <f t="shared" si="214"/>
        <v>No saturada</v>
      </c>
      <c r="BE357" s="806">
        <f t="shared" si="215"/>
        <v>0.69768059960664108</v>
      </c>
      <c r="BF357" s="890">
        <f>IF(ISNUMBER('Base de datos Rutas'!CX355),'Base de datos Rutas'!CX355/100,"")</f>
        <v>0.92279005524861868</v>
      </c>
      <c r="BG357" s="891">
        <f>IF(ISNUMBER('Base de datos Rutas'!CZ355),'Base de datos Rutas'!CZ355/100,"")</f>
        <v>1</v>
      </c>
      <c r="BH357" s="892">
        <f>IF(ISNUMBER('Base de datos Rutas'!DA355),'Base de datos Rutas'!DA355,"")</f>
        <v>1413.8934094114629</v>
      </c>
      <c r="BI357" s="893">
        <f>IF(ISNUMBER('Base de datos Rutas'!DC355),'Base de datos Rutas'!DC355,"")</f>
        <v>55.564822413129889</v>
      </c>
      <c r="BJ357" s="805" t="str">
        <f t="shared" si="216"/>
        <v>Ruta (completo)</v>
      </c>
      <c r="BK357" s="783">
        <f t="shared" si="204"/>
        <v>3</v>
      </c>
      <c r="BL357" s="797">
        <f t="shared" si="205"/>
        <v>2</v>
      </c>
      <c r="BM357" s="797">
        <f t="shared" si="206"/>
        <v>5</v>
      </c>
      <c r="BN357" s="797">
        <f t="shared" si="207"/>
        <v>5</v>
      </c>
      <c r="BO357" s="798" cm="1">
        <f t="array" ref="BO357">SUMPRODUCT(--ISNUMBER($BF357:$BI357),$BK$3:$BN$3)</f>
        <v>1</v>
      </c>
      <c r="BP357" s="831">
        <f t="shared" si="217"/>
        <v>68.75</v>
      </c>
      <c r="BQ357" s="834" t="str">
        <f t="shared" si="218"/>
        <v>Alto</v>
      </c>
      <c r="BR357" s="836">
        <f t="shared" si="208"/>
        <v>19.844915510315857</v>
      </c>
      <c r="BS357" s="836">
        <f t="shared" si="209"/>
        <v>68.75</v>
      </c>
      <c r="BT357" s="837" t="str">
        <f t="shared" si="210"/>
        <v>P3</v>
      </c>
      <c r="BU357" s="807" t="str">
        <f t="shared" si="219"/>
        <v>Con espacio</v>
      </c>
      <c r="BV357" s="807" t="str">
        <f t="shared" si="211"/>
        <v>Zona atractiva</v>
      </c>
      <c r="BW357" s="808" t="str">
        <f t="shared" si="212"/>
        <v>P3 - Desarrollar</v>
      </c>
    </row>
    <row r="358" spans="1:75">
      <c r="A358" s="780" t="str">
        <f>'Base de datos Rutas'!A356</f>
        <v>Occidente</v>
      </c>
      <c r="B358" s="781" t="str">
        <f>'Base de datos Rutas'!B356</f>
        <v>Zapopan</v>
      </c>
      <c r="C358" s="781" t="str">
        <f>'Base de datos Rutas'!C356</f>
        <v>Planta Zapopan</v>
      </c>
      <c r="D358" s="782">
        <f>IF(ISNUMBER('Base de datos Rutas'!D356),'Base de datos Rutas'!D356,"Sin código")</f>
        <v>816348</v>
      </c>
      <c r="E358" s="783" t="str">
        <f>'Base de datos Rutas'!F356</f>
        <v>Activa</v>
      </c>
      <c r="F358" s="784" t="str">
        <f>'Base de datos Rutas'!H356</f>
        <v>Sí</v>
      </c>
      <c r="G358" s="785">
        <f>IF(ISNUMBER('Base de datos Rutas'!BE356),'Base de datos Rutas'!BE356,"")</f>
        <v>78.995423340961096</v>
      </c>
      <c r="H358" s="786">
        <f>IF(ISNUMBER('Base de datos Rutas'!BH356),'Base de datos Rutas'!BH356,"")</f>
        <v>0.41734016975174498</v>
      </c>
      <c r="I358" s="788">
        <f>IFERROR(IF(OR(NOT(ISNUMBER('Base de datos Rutas'!O356)),N('Base de datos Rutas'!BK356)=0),"",'Base de datos Rutas'!O356/('Base de datos Rutas'!L356/'Base de datos Rutas'!BK356)),"")</f>
        <v>7355.9107551487277</v>
      </c>
      <c r="J358" s="788">
        <f>IFERROR(IF(OR(NOT(ISNUMBER('Base de datos Rutas'!N356)),N('Base de datos Rutas'!BK356)=0),"",'Base de datos Rutas'!N356/('Base de datos Rutas'!L356/'Base de datos Rutas'!BK356)),"")</f>
        <v>8365.7139588100526</v>
      </c>
      <c r="K358" s="788">
        <f>IFERROR(IF(OR(NOT(ISNUMBER('Base de datos Rutas'!J356)),N('Base de datos Rutas'!BK356)=0),"",'Base de datos Rutas'!J356/('Base de datos Rutas'!L356/'Base de datos Rutas'!BK356)),"")</f>
        <v>569.08120091533078</v>
      </c>
      <c r="L358" s="788">
        <f>IFERROR(IF(OR(NOT(ISNUMBER('Base de datos Rutas'!K356)),N('Base de datos Rutas'!BK356)=0),"",'Base de datos Rutas'!K356/('Base de datos Rutas'!L356/'Base de datos Rutas'!BK356)),"")</f>
        <v>45.476978446224173</v>
      </c>
      <c r="M358" s="787">
        <f>IF(ISNUMBER('Base de datos Rutas'!AX356),'Base de datos Rutas'!AX356,"")</f>
        <v>476.87586589852202</v>
      </c>
      <c r="N358" s="790">
        <f>IFERROR(INDEX('Hoja de apoyo v2'!B$17:B$20,MATCH($A358,'Hoja de apoyo v2'!$A$17:$A$20,0)),"")</f>
        <v>89.41621024641401</v>
      </c>
      <c r="O358" s="791">
        <f>IFERROR(INDEX('Hoja de apoyo v2'!C$17:C$20,MATCH($A358,'Hoja de apoyo v2'!$A$17:$A$20,0)),"")</f>
        <v>0.54706375874806301</v>
      </c>
      <c r="P358" s="793">
        <f>IFERROR(INDEX('Hoja de apoyo v2'!D$17:D$20,MATCH($A358,'Hoja de apoyo v2'!$A$17:$A$20,0)),"")</f>
        <v>11095.153935793827</v>
      </c>
      <c r="Q358" s="793">
        <f>IFERROR(INDEX('Hoja de apoyo v2'!E$17:E$20,MATCH($A358,'Hoja de apoyo v2'!$A$17:$A$20,0)),"")</f>
        <v>6982.3202019701848</v>
      </c>
      <c r="R358" s="793">
        <f>IFERROR(INDEX('Hoja de apoyo v2'!F$17:F$20,MATCH($A358,'Hoja de apoyo v2'!$A$17:$A$20,0)),"")</f>
        <v>448.09513474485743</v>
      </c>
      <c r="S358" s="793">
        <f>IFERROR(INDEX('Hoja de apoyo v2'!G$17:G$20,MATCH($A358,'Hoja de apoyo v2'!$A$17:$A$20,0)),"")</f>
        <v>83.406300904207839</v>
      </c>
      <c r="T358" s="792">
        <f>IFERROR(INDEX('Hoja de apoyo v2'!H$17:H$20,MATCH($A358,'Hoja de apoyo v2'!$A$17:$A$20,0)),"")</f>
        <v>378.97014028925349</v>
      </c>
      <c r="U358" s="794">
        <f t="shared" si="184"/>
        <v>0.8834575198754766</v>
      </c>
      <c r="V358" s="795">
        <f t="shared" si="185"/>
        <v>0.76287299803374642</v>
      </c>
      <c r="W358" s="795">
        <f t="shared" si="186"/>
        <v>0.66298410979391542</v>
      </c>
      <c r="X358" s="843">
        <f t="shared" si="187"/>
        <v>1.1981280887762091</v>
      </c>
      <c r="Y358" s="843">
        <f t="shared" si="188"/>
        <v>1.2700008475641273</v>
      </c>
      <c r="Z358" s="843">
        <f t="shared" si="189"/>
        <v>0.54524631776266519</v>
      </c>
      <c r="AA358" s="843">
        <f t="shared" si="190"/>
        <v>1.2583468067815073</v>
      </c>
      <c r="AB358" s="796">
        <f t="shared" si="191"/>
        <v>3</v>
      </c>
      <c r="AC358" s="797">
        <f t="shared" si="192"/>
        <v>3</v>
      </c>
      <c r="AD358" s="797">
        <f t="shared" si="193"/>
        <v>2</v>
      </c>
      <c r="AE358" s="842">
        <f t="shared" si="194"/>
        <v>4</v>
      </c>
      <c r="AF358" s="842">
        <f t="shared" si="195"/>
        <v>5</v>
      </c>
      <c r="AG358" s="842">
        <f t="shared" si="196"/>
        <v>2</v>
      </c>
      <c r="AH358" s="842">
        <f t="shared" si="197"/>
        <v>5</v>
      </c>
      <c r="AI358" s="826" cm="1">
        <f t="array" ref="AI358">SUMPRODUCT(--ISNUMBER($U358:$AA358),$AB$3:$AH$3)</f>
        <v>1</v>
      </c>
      <c r="AJ358" s="829">
        <f t="shared" si="198"/>
        <v>54.247754113563687</v>
      </c>
      <c r="AK358" s="827" t="str">
        <f t="shared" si="199"/>
        <v>En desarrollo</v>
      </c>
      <c r="AL358" s="784" t="str">
        <f t="shared" si="200"/>
        <v>Alta</v>
      </c>
      <c r="AM358" s="799">
        <f>IF(ISNUMBER('Base de datos Rutas'!W356),'Base de datos Rutas'!W356,"")</f>
        <v>3427.1365491869451</v>
      </c>
      <c r="AN358" s="787">
        <f>IFERROR(SUMIFS('Base de datos Rutas'!$W$6:$W$794,'Base de datos Rutas'!$C$6:$C$794,$C358)/'Base de datos Rutas'!I356,"")</f>
        <v>3427.1365491869487</v>
      </c>
      <c r="AO358" s="800">
        <f>IFERROR('Base de datos Rutas'!X356*AN358/AM358,"")</f>
        <v>0.3483939033672564</v>
      </c>
      <c r="AP358" s="800">
        <f t="shared" si="201"/>
        <v>0.6516060966327436</v>
      </c>
      <c r="AQ358" s="789">
        <f>IFERROR(INDEX('Hoja de apoyo v2'!$J$17:$J$20,MATCH($A358,'Hoja de apoyo v2'!$A$17:$A$20,0)),"")</f>
        <v>0.64320274048480885</v>
      </c>
      <c r="AR358" s="789">
        <f t="shared" si="202"/>
        <v>8.4033561479347485E-3</v>
      </c>
      <c r="AS358" s="784" t="str">
        <f t="shared" si="203"/>
        <v>No</v>
      </c>
      <c r="AT358" s="801">
        <f>IF(ISNUMBER('Base de datos Rutas'!CK356),'Base de datos Rutas'!CK356,"")</f>
        <v>293</v>
      </c>
      <c r="AU358" s="802">
        <f>IF(ISNUMBER('Base de datos Rutas'!CL356),'Base de datos Rutas'!CL356,"")</f>
        <v>353.3</v>
      </c>
      <c r="AV358" s="802">
        <f>IF(ISNUMBER('Base de datos Rutas'!CM356),'Base de datos Rutas'!CM356,"")</f>
        <v>60.300000000000011</v>
      </c>
      <c r="AW358" s="802">
        <f>IF(ISNUMBER('Base de datos Rutas'!CN356),'Base de datos Rutas'!CN356,"")</f>
        <v>7.07</v>
      </c>
      <c r="AX358" s="802">
        <f>IF(ISNUMBER('Base de datos Rutas'!CO356),'Base de datos Rutas'!CO356,"")</f>
        <v>9.4499999999999993</v>
      </c>
      <c r="AY358" s="802">
        <f>IF(ISNUMBER('Base de datos Rutas'!CP356),'Base de datos Rutas'!CP356,"")</f>
        <v>2.379999999999999</v>
      </c>
      <c r="AZ358" s="802">
        <f>IF(ISNUMBER('Base de datos Rutas'!CQ356),'Base de datos Rutas'!CQ356,"")</f>
        <v>846.56</v>
      </c>
      <c r="BA358" s="802">
        <f>IF(ISNUMBER('Base de datos Rutas'!CR356),'Base de datos Rutas'!CR356,"")</f>
        <v>614.55999999999995</v>
      </c>
      <c r="BB358" s="803">
        <f>IF(ISNUMBER('Base de datos Rutas'!CS356),'Base de datos Rutas'!CS356,"")</f>
        <v>232</v>
      </c>
      <c r="BC358" s="804">
        <f t="shared" si="213"/>
        <v>0</v>
      </c>
      <c r="BD358" s="805" t="str">
        <f t="shared" si="214"/>
        <v>No saturada</v>
      </c>
      <c r="BE358" s="806">
        <f t="shared" si="215"/>
        <v>0.72594972594972595</v>
      </c>
      <c r="BF358" s="890">
        <f>IF(ISNUMBER('Base de datos Rutas'!CX356),'Base de datos Rutas'!CX356/100,"")</f>
        <v>0.94240687679083091</v>
      </c>
      <c r="BG358" s="891">
        <f>IF(ISNUMBER('Base de datos Rutas'!CZ356),'Base de datos Rutas'!CZ356/100,"")</f>
        <v>1</v>
      </c>
      <c r="BH358" s="892">
        <f>IF(ISNUMBER('Base de datos Rutas'!DA356),'Base de datos Rutas'!DA356,"")</f>
        <v>897.90155332791483</v>
      </c>
      <c r="BI358" s="893">
        <f>IF(ISNUMBER('Base de datos Rutas'!DC356),'Base de datos Rutas'!DC356,"")</f>
        <v>36.395051025015803</v>
      </c>
      <c r="BJ358" s="805" t="str">
        <f t="shared" si="216"/>
        <v>Ruta (completo)</v>
      </c>
      <c r="BK358" s="783">
        <f t="shared" si="204"/>
        <v>3</v>
      </c>
      <c r="BL358" s="797">
        <f t="shared" si="205"/>
        <v>2</v>
      </c>
      <c r="BM358" s="797">
        <f t="shared" si="206"/>
        <v>4</v>
      </c>
      <c r="BN358" s="797">
        <f t="shared" si="207"/>
        <v>3</v>
      </c>
      <c r="BO358" s="798" cm="1">
        <f t="array" ref="BO358">SUMPRODUCT(--ISNUMBER($BF358:$BI358),$BK$3:$BN$3)</f>
        <v>1</v>
      </c>
      <c r="BP358" s="831">
        <f t="shared" si="217"/>
        <v>50</v>
      </c>
      <c r="BQ358" s="834" t="str">
        <f t="shared" si="218"/>
        <v>Alto</v>
      </c>
      <c r="BR358" s="836">
        <f t="shared" si="208"/>
        <v>40.685815585172762</v>
      </c>
      <c r="BS358" s="836">
        <f t="shared" si="209"/>
        <v>50</v>
      </c>
      <c r="BT358" s="837" t="str">
        <f t="shared" si="210"/>
        <v>P1</v>
      </c>
      <c r="BU358" s="807" t="str">
        <f t="shared" si="219"/>
        <v>Con espacio</v>
      </c>
      <c r="BV358" s="807" t="str">
        <f t="shared" si="211"/>
        <v>Zona atractiva</v>
      </c>
      <c r="BW358" s="808" t="str">
        <f t="shared" si="212"/>
        <v>P1 - Ampliar cobertura</v>
      </c>
    </row>
    <row r="359" spans="1:75">
      <c r="A359" s="780" t="str">
        <f>'Base de datos Rutas'!A357</f>
        <v>Occidente</v>
      </c>
      <c r="B359" s="781" t="str">
        <f>'Base de datos Rutas'!B357</f>
        <v>Zapopan</v>
      </c>
      <c r="C359" s="781" t="str">
        <f>'Base de datos Rutas'!C357</f>
        <v>Planta Zapopan</v>
      </c>
      <c r="D359" s="782">
        <f>IF(ISNUMBER('Base de datos Rutas'!D357),'Base de datos Rutas'!D357,"Sin código")</f>
        <v>816349</v>
      </c>
      <c r="E359" s="783" t="str">
        <f>'Base de datos Rutas'!F357</f>
        <v>Activa</v>
      </c>
      <c r="F359" s="784" t="str">
        <f>'Base de datos Rutas'!H357</f>
        <v>Sí</v>
      </c>
      <c r="G359" s="785">
        <f>IF(ISNUMBER('Base de datos Rutas'!BE357),'Base de datos Rutas'!BE357,"")</f>
        <v>83.986175115207402</v>
      </c>
      <c r="H359" s="786">
        <f>IF(ISNUMBER('Base de datos Rutas'!BH357),'Base de datos Rutas'!BH357,"")</f>
        <v>0.49626886145404697</v>
      </c>
      <c r="I359" s="788">
        <f>IFERROR(IF(OR(NOT(ISNUMBER('Base de datos Rutas'!O357)),N('Base de datos Rutas'!BK357)=0),"",'Base de datos Rutas'!O357/('Base de datos Rutas'!L357/'Base de datos Rutas'!BK357)),"")</f>
        <v>6187.5253456221226</v>
      </c>
      <c r="J359" s="788">
        <f>IFERROR(IF(OR(NOT(ISNUMBER('Base de datos Rutas'!N357)),N('Base de datos Rutas'!BK357)=0),"",'Base de datos Rutas'!N357/('Base de datos Rutas'!L357/'Base de datos Rutas'!BK357)),"")</f>
        <v>9674.1152073732756</v>
      </c>
      <c r="K359" s="788">
        <f>IFERROR(IF(OR(NOT(ISNUMBER('Base de datos Rutas'!J357)),N('Base de datos Rutas'!BK357)=0),"",'Base de datos Rutas'!J357/('Base de datos Rutas'!L357/'Base de datos Rutas'!BK357)),"")</f>
        <v>658.69691612903023</v>
      </c>
      <c r="L359" s="788">
        <f>IFERROR(IF(OR(NOT(ISNUMBER('Base de datos Rutas'!K357)),N('Base de datos Rutas'!BK357)=0),"",'Base de datos Rutas'!K357/('Base de datos Rutas'!L357/'Base de datos Rutas'!BK357)),"")</f>
        <v>34.588670841013837</v>
      </c>
      <c r="M359" s="787">
        <f>IF(ISNUMBER('Base de datos Rutas'!AX357),'Base de datos Rutas'!AX357,"")</f>
        <v>380.60104980927599</v>
      </c>
      <c r="N359" s="790">
        <f>IFERROR(INDEX('Hoja de apoyo v2'!B$17:B$20,MATCH($A359,'Hoja de apoyo v2'!$A$17:$A$20,0)),"")</f>
        <v>89.41621024641401</v>
      </c>
      <c r="O359" s="791">
        <f>IFERROR(INDEX('Hoja de apoyo v2'!C$17:C$20,MATCH($A359,'Hoja de apoyo v2'!$A$17:$A$20,0)),"")</f>
        <v>0.54706375874806301</v>
      </c>
      <c r="P359" s="793">
        <f>IFERROR(INDEX('Hoja de apoyo v2'!D$17:D$20,MATCH($A359,'Hoja de apoyo v2'!$A$17:$A$20,0)),"")</f>
        <v>11095.153935793827</v>
      </c>
      <c r="Q359" s="793">
        <f>IFERROR(INDEX('Hoja de apoyo v2'!E$17:E$20,MATCH($A359,'Hoja de apoyo v2'!$A$17:$A$20,0)),"")</f>
        <v>6982.3202019701848</v>
      </c>
      <c r="R359" s="793">
        <f>IFERROR(INDEX('Hoja de apoyo v2'!F$17:F$20,MATCH($A359,'Hoja de apoyo v2'!$A$17:$A$20,0)),"")</f>
        <v>448.09513474485743</v>
      </c>
      <c r="S359" s="793">
        <f>IFERROR(INDEX('Hoja de apoyo v2'!G$17:G$20,MATCH($A359,'Hoja de apoyo v2'!$A$17:$A$20,0)),"")</f>
        <v>83.406300904207839</v>
      </c>
      <c r="T359" s="792">
        <f>IFERROR(INDEX('Hoja de apoyo v2'!H$17:H$20,MATCH($A359,'Hoja de apoyo v2'!$A$17:$A$20,0)),"")</f>
        <v>378.97014028925349</v>
      </c>
      <c r="U359" s="794">
        <f t="shared" si="184"/>
        <v>0.93927236329696295</v>
      </c>
      <c r="V359" s="795">
        <f t="shared" si="185"/>
        <v>0.9071499501077197</v>
      </c>
      <c r="W359" s="795">
        <f t="shared" si="186"/>
        <v>0.55767818828188453</v>
      </c>
      <c r="X359" s="843">
        <f t="shared" si="187"/>
        <v>1.3855158353585035</v>
      </c>
      <c r="Y359" s="843">
        <f t="shared" si="188"/>
        <v>1.4699934568673416</v>
      </c>
      <c r="Z359" s="843">
        <f t="shared" si="189"/>
        <v>0.41470093345512271</v>
      </c>
      <c r="AA359" s="843">
        <f t="shared" si="190"/>
        <v>1.0043035304015713</v>
      </c>
      <c r="AB359" s="796">
        <f t="shared" si="191"/>
        <v>3</v>
      </c>
      <c r="AC359" s="797">
        <f t="shared" si="192"/>
        <v>3</v>
      </c>
      <c r="AD359" s="797">
        <f t="shared" si="193"/>
        <v>2</v>
      </c>
      <c r="AE359" s="842">
        <f t="shared" si="194"/>
        <v>5</v>
      </c>
      <c r="AF359" s="842">
        <f t="shared" si="195"/>
        <v>5</v>
      </c>
      <c r="AG359" s="842">
        <f t="shared" si="196"/>
        <v>1</v>
      </c>
      <c r="AH359" s="842">
        <f t="shared" si="197"/>
        <v>4</v>
      </c>
      <c r="AI359" s="826" cm="1">
        <f t="array" ref="AI359">SUMPRODUCT(--ISNUMBER($U359:$AA359),$AB$3:$AH$3)</f>
        <v>1</v>
      </c>
      <c r="AJ359" s="829">
        <f t="shared" si="198"/>
        <v>51.023407151396128</v>
      </c>
      <c r="AK359" s="827" t="str">
        <f t="shared" si="199"/>
        <v>En desarrollo</v>
      </c>
      <c r="AL359" s="784" t="str">
        <f t="shared" si="200"/>
        <v>Alta</v>
      </c>
      <c r="AM359" s="799">
        <f>IF(ISNUMBER('Base de datos Rutas'!W357),'Base de datos Rutas'!W357,"")</f>
        <v>3427.1365491869451</v>
      </c>
      <c r="AN359" s="787">
        <f>IFERROR(SUMIFS('Base de datos Rutas'!$W$6:$W$794,'Base de datos Rutas'!$C$6:$C$794,$C359)/'Base de datos Rutas'!I357,"")</f>
        <v>3427.1365491869487</v>
      </c>
      <c r="AO359" s="800">
        <f>IFERROR('Base de datos Rutas'!X357*AN359/AM359,"")</f>
        <v>0.3483939033672564</v>
      </c>
      <c r="AP359" s="800">
        <f t="shared" si="201"/>
        <v>0.6516060966327436</v>
      </c>
      <c r="AQ359" s="789">
        <f>IFERROR(INDEX('Hoja de apoyo v2'!$J$17:$J$20,MATCH($A359,'Hoja de apoyo v2'!$A$17:$A$20,0)),"")</f>
        <v>0.64320274048480885</v>
      </c>
      <c r="AR359" s="789">
        <f t="shared" si="202"/>
        <v>8.4033561479347485E-3</v>
      </c>
      <c r="AS359" s="784" t="str">
        <f t="shared" si="203"/>
        <v>No</v>
      </c>
      <c r="AT359" s="801">
        <f>IF(ISNUMBER('Base de datos Rutas'!CK357),'Base de datos Rutas'!CK357,"")</f>
        <v>329</v>
      </c>
      <c r="AU359" s="802">
        <f>IF(ISNUMBER('Base de datos Rutas'!CL357),'Base de datos Rutas'!CL357,"")</f>
        <v>377.1</v>
      </c>
      <c r="AV359" s="802">
        <f>IF(ISNUMBER('Base de datos Rutas'!CM357),'Base de datos Rutas'!CM357,"")</f>
        <v>48.100000000000023</v>
      </c>
      <c r="AW359" s="802">
        <f>IF(ISNUMBER('Base de datos Rutas'!CN357),'Base de datos Rutas'!CN357,"")</f>
        <v>7.46</v>
      </c>
      <c r="AX359" s="802">
        <f>IF(ISNUMBER('Base de datos Rutas'!CO357),'Base de datos Rutas'!CO357,"")</f>
        <v>9.4499999999999993</v>
      </c>
      <c r="AY359" s="802">
        <f>IF(ISNUMBER('Base de datos Rutas'!CP357),'Base de datos Rutas'!CP357,"")</f>
        <v>1.9899999999999993</v>
      </c>
      <c r="AZ359" s="802">
        <f>IF(ISNUMBER('Base de datos Rutas'!CQ357),'Base de datos Rutas'!CQ357,"")</f>
        <v>846.56</v>
      </c>
      <c r="BA359" s="802">
        <f>IF(ISNUMBER('Base de datos Rutas'!CR357),'Base de datos Rutas'!CR357,"")</f>
        <v>693.29</v>
      </c>
      <c r="BB359" s="803">
        <f>IF(ISNUMBER('Base de datos Rutas'!CS357),'Base de datos Rutas'!CS357,"")</f>
        <v>153.26999999999998</v>
      </c>
      <c r="BC359" s="804">
        <f t="shared" si="213"/>
        <v>0</v>
      </c>
      <c r="BD359" s="805" t="str">
        <f t="shared" si="214"/>
        <v>No saturada</v>
      </c>
      <c r="BE359" s="806">
        <f t="shared" si="215"/>
        <v>0.81894963144963151</v>
      </c>
      <c r="BF359" s="890">
        <f>IF(ISNUMBER('Base de datos Rutas'!CX357),'Base de datos Rutas'!CX357/100,"")</f>
        <v>0.96347760060744125</v>
      </c>
      <c r="BG359" s="891">
        <f>IF(ISNUMBER('Base de datos Rutas'!CZ357),'Base de datos Rutas'!CZ357/100,"")</f>
        <v>1</v>
      </c>
      <c r="BH359" s="892">
        <f>IF(ISNUMBER('Base de datos Rutas'!DA357),'Base de datos Rutas'!DA357,"")</f>
        <v>441.56474250970632</v>
      </c>
      <c r="BI359" s="893">
        <f>IF(ISNUMBER('Base de datos Rutas'!DC357),'Base de datos Rutas'!DC357,"")</f>
        <v>18.122577100578713</v>
      </c>
      <c r="BJ359" s="805" t="str">
        <f t="shared" si="216"/>
        <v>Ruta (completo)</v>
      </c>
      <c r="BK359" s="783">
        <f t="shared" si="204"/>
        <v>4</v>
      </c>
      <c r="BL359" s="797">
        <f t="shared" si="205"/>
        <v>2</v>
      </c>
      <c r="BM359" s="797">
        <f t="shared" si="206"/>
        <v>2</v>
      </c>
      <c r="BN359" s="797">
        <f t="shared" si="207"/>
        <v>2</v>
      </c>
      <c r="BO359" s="798" cm="1">
        <f t="array" ref="BO359">SUMPRODUCT(--ISNUMBER($BF359:$BI359),$BK$3:$BN$3)</f>
        <v>1</v>
      </c>
      <c r="BP359" s="831">
        <f t="shared" si="217"/>
        <v>37.5</v>
      </c>
      <c r="BQ359" s="834" t="str">
        <f t="shared" si="218"/>
        <v>Medio</v>
      </c>
      <c r="BR359" s="836">
        <f t="shared" si="208"/>
        <v>38.267555363547096</v>
      </c>
      <c r="BS359" s="836">
        <f t="shared" si="209"/>
        <v>37.5</v>
      </c>
      <c r="BT359" s="837" t="str">
        <f t="shared" si="210"/>
        <v>P2</v>
      </c>
      <c r="BU359" s="807" t="str">
        <f t="shared" si="219"/>
        <v>Con espacio</v>
      </c>
      <c r="BV359" s="807" t="str">
        <f t="shared" si="211"/>
        <v>Zona de bajo potencial</v>
      </c>
      <c r="BW359" s="808" t="str">
        <f t="shared" si="212"/>
        <v>P2 - Mantener</v>
      </c>
    </row>
    <row r="360" spans="1:75">
      <c r="A360" s="780" t="str">
        <f>'Base de datos Rutas'!A358</f>
        <v>Occidente</v>
      </c>
      <c r="B360" s="781" t="str">
        <f>'Base de datos Rutas'!B358</f>
        <v>Zapopan</v>
      </c>
      <c r="C360" s="781" t="str">
        <f>'Base de datos Rutas'!C358</f>
        <v>Planta Zapopan</v>
      </c>
      <c r="D360" s="782">
        <f>IF(ISNUMBER('Base de datos Rutas'!D358),'Base de datos Rutas'!D358,"Sin código")</f>
        <v>816350</v>
      </c>
      <c r="E360" s="783" t="str">
        <f>'Base de datos Rutas'!F358</f>
        <v>Activa</v>
      </c>
      <c r="F360" s="784" t="str">
        <f>'Base de datos Rutas'!H358</f>
        <v>Sí</v>
      </c>
      <c r="G360" s="785">
        <f>IF(ISNUMBER('Base de datos Rutas'!BE358),'Base de datos Rutas'!BE358,"")</f>
        <v>98.041189931350104</v>
      </c>
      <c r="H360" s="786">
        <f>IF(ISNUMBER('Base de datos Rutas'!BH358),'Base de datos Rutas'!BH358,"")</f>
        <v>0.51678181308934801</v>
      </c>
      <c r="I360" s="788">
        <f>IFERROR(IF(OR(NOT(ISNUMBER('Base de datos Rutas'!O358)),N('Base de datos Rutas'!BK358)=0),"",'Base de datos Rutas'!O358/('Base de datos Rutas'!L358/'Base de datos Rutas'!BK358)),"")</f>
        <v>9088.6727688787087</v>
      </c>
      <c r="J360" s="788">
        <f>IFERROR(IF(OR(NOT(ISNUMBER('Base de datos Rutas'!N358)),N('Base de datos Rutas'!BK358)=0),"",'Base de datos Rutas'!N358/('Base de datos Rutas'!L358/'Base de datos Rutas'!BK358)),"")</f>
        <v>8686.6361556063966</v>
      </c>
      <c r="K360" s="788">
        <f>IFERROR(IF(OR(NOT(ISNUMBER('Base de datos Rutas'!J358)),N('Base de datos Rutas'!BK358)=0),"",'Base de datos Rutas'!J358/('Base de datos Rutas'!L358/'Base de datos Rutas'!BK358)),"")</f>
        <v>589.73197620137</v>
      </c>
      <c r="L360" s="788">
        <f>IFERROR(IF(OR(NOT(ISNUMBER('Base de datos Rutas'!K358)),N('Base de datos Rutas'!BK358)=0),"",'Base de datos Rutas'!K358/('Base de datos Rutas'!L358/'Base de datos Rutas'!BK358)),"")</f>
        <v>50.99998871395875</v>
      </c>
      <c r="M360" s="787">
        <f>IF(ISNUMBER('Base de datos Rutas'!AX358),'Base de datos Rutas'!AX358,"")</f>
        <v>350.20345151528898</v>
      </c>
      <c r="N360" s="790">
        <f>IFERROR(INDEX('Hoja de apoyo v2'!B$17:B$20,MATCH($A360,'Hoja de apoyo v2'!$A$17:$A$20,0)),"")</f>
        <v>89.41621024641401</v>
      </c>
      <c r="O360" s="791">
        <f>IFERROR(INDEX('Hoja de apoyo v2'!C$17:C$20,MATCH($A360,'Hoja de apoyo v2'!$A$17:$A$20,0)),"")</f>
        <v>0.54706375874806301</v>
      </c>
      <c r="P360" s="793">
        <f>IFERROR(INDEX('Hoja de apoyo v2'!D$17:D$20,MATCH($A360,'Hoja de apoyo v2'!$A$17:$A$20,0)),"")</f>
        <v>11095.153935793827</v>
      </c>
      <c r="Q360" s="793">
        <f>IFERROR(INDEX('Hoja de apoyo v2'!E$17:E$20,MATCH($A360,'Hoja de apoyo v2'!$A$17:$A$20,0)),"")</f>
        <v>6982.3202019701848</v>
      </c>
      <c r="R360" s="793">
        <f>IFERROR(INDEX('Hoja de apoyo v2'!F$17:F$20,MATCH($A360,'Hoja de apoyo v2'!$A$17:$A$20,0)),"")</f>
        <v>448.09513474485743</v>
      </c>
      <c r="S360" s="793">
        <f>IFERROR(INDEX('Hoja de apoyo v2'!G$17:G$20,MATCH($A360,'Hoja de apoyo v2'!$A$17:$A$20,0)),"")</f>
        <v>83.406300904207839</v>
      </c>
      <c r="T360" s="792">
        <f>IFERROR(INDEX('Hoja de apoyo v2'!H$17:H$20,MATCH($A360,'Hoja de apoyo v2'!$A$17:$A$20,0)),"")</f>
        <v>378.97014028925349</v>
      </c>
      <c r="U360" s="794">
        <f t="shared" si="184"/>
        <v>1.0964587926637384</v>
      </c>
      <c r="V360" s="795">
        <f t="shared" si="185"/>
        <v>0.94464640515026221</v>
      </c>
      <c r="W360" s="795">
        <f t="shared" si="186"/>
        <v>0.81915697803506315</v>
      </c>
      <c r="X360" s="843">
        <f t="shared" si="187"/>
        <v>1.2440902027316521</v>
      </c>
      <c r="Y360" s="843">
        <f t="shared" si="188"/>
        <v>1.3160865416161229</v>
      </c>
      <c r="Z360" s="843">
        <f t="shared" si="189"/>
        <v>0.61146445965194229</v>
      </c>
      <c r="AA360" s="843">
        <f t="shared" si="190"/>
        <v>0.92409246609242612</v>
      </c>
      <c r="AB360" s="796">
        <f t="shared" si="191"/>
        <v>4</v>
      </c>
      <c r="AC360" s="797">
        <f t="shared" si="192"/>
        <v>3</v>
      </c>
      <c r="AD360" s="797">
        <f t="shared" si="193"/>
        <v>3</v>
      </c>
      <c r="AE360" s="842">
        <f t="shared" si="194"/>
        <v>4</v>
      </c>
      <c r="AF360" s="842">
        <f t="shared" si="195"/>
        <v>5</v>
      </c>
      <c r="AG360" s="842">
        <f t="shared" si="196"/>
        <v>2</v>
      </c>
      <c r="AH360" s="842">
        <f t="shared" si="197"/>
        <v>3</v>
      </c>
      <c r="AI360" s="826" cm="1">
        <f t="array" ref="AI360">SUMPRODUCT(--ISNUMBER($U360:$AA360),$AB$3:$AH$3)</f>
        <v>1</v>
      </c>
      <c r="AJ360" s="829">
        <f t="shared" si="198"/>
        <v>59.406106080375352</v>
      </c>
      <c r="AK360" s="827" t="str">
        <f t="shared" si="199"/>
        <v>En desarrollo</v>
      </c>
      <c r="AL360" s="784" t="str">
        <f t="shared" si="200"/>
        <v>Alta</v>
      </c>
      <c r="AM360" s="799">
        <f>IF(ISNUMBER('Base de datos Rutas'!W358),'Base de datos Rutas'!W358,"")</f>
        <v>3427.1365491869451</v>
      </c>
      <c r="AN360" s="787">
        <f>IFERROR(SUMIFS('Base de datos Rutas'!$W$6:$W$794,'Base de datos Rutas'!$C$6:$C$794,$C360)/'Base de datos Rutas'!I358,"")</f>
        <v>3427.1365491869487</v>
      </c>
      <c r="AO360" s="800">
        <f>IFERROR('Base de datos Rutas'!X358*AN360/AM360,"")</f>
        <v>0.3483939033672564</v>
      </c>
      <c r="AP360" s="800">
        <f t="shared" si="201"/>
        <v>0.6516060966327436</v>
      </c>
      <c r="AQ360" s="789">
        <f>IFERROR(INDEX('Hoja de apoyo v2'!$J$17:$J$20,MATCH($A360,'Hoja de apoyo v2'!$A$17:$A$20,0)),"")</f>
        <v>0.64320274048480885</v>
      </c>
      <c r="AR360" s="789">
        <f t="shared" si="202"/>
        <v>8.4033561479347485E-3</v>
      </c>
      <c r="AS360" s="784" t="str">
        <f t="shared" si="203"/>
        <v>No</v>
      </c>
      <c r="AT360" s="801">
        <f>IF(ISNUMBER('Base de datos Rutas'!CK358),'Base de datos Rutas'!CK358,"")</f>
        <v>504</v>
      </c>
      <c r="AU360" s="802">
        <f>IF(ISNUMBER('Base de datos Rutas'!CL358),'Base de datos Rutas'!CL358,"")</f>
        <v>577.89</v>
      </c>
      <c r="AV360" s="802">
        <f>IF(ISNUMBER('Base de datos Rutas'!CM358),'Base de datos Rutas'!CM358,"")</f>
        <v>73.889999999999986</v>
      </c>
      <c r="AW360" s="802">
        <f>IF(ISNUMBER('Base de datos Rutas'!CN358),'Base de datos Rutas'!CN358,"")</f>
        <v>10.26</v>
      </c>
      <c r="AX360" s="802">
        <f>IF(ISNUMBER('Base de datos Rutas'!CO358),'Base de datos Rutas'!CO358,"")</f>
        <v>9.4499999999999993</v>
      </c>
      <c r="AY360" s="802">
        <f>IF(ISNUMBER('Base de datos Rutas'!CP358),'Base de datos Rutas'!CP358,"")</f>
        <v>-0.8100000000000005</v>
      </c>
      <c r="AZ360" s="802">
        <f>IF(ISNUMBER('Base de datos Rutas'!CQ358),'Base de datos Rutas'!CQ358,"")</f>
        <v>846.56</v>
      </c>
      <c r="BA360" s="802">
        <f>IF(ISNUMBER('Base de datos Rutas'!CR358),'Base de datos Rutas'!CR358,"")</f>
        <v>640.73</v>
      </c>
      <c r="BB360" s="803">
        <f>IF(ISNUMBER('Base de datos Rutas'!CS358),'Base de datos Rutas'!CS358,"")</f>
        <v>205.82999999999993</v>
      </c>
      <c r="BC360" s="804">
        <f t="shared" si="213"/>
        <v>1</v>
      </c>
      <c r="BD360" s="805" t="str">
        <f t="shared" si="214"/>
        <v>Saturada</v>
      </c>
      <c r="BE360" s="806">
        <f t="shared" si="215"/>
        <v>0.75686306936306946</v>
      </c>
      <c r="BF360" s="890">
        <f>IF(ISNUMBER('Base de datos Rutas'!CX358),'Base de datos Rutas'!CX358/100,"")</f>
        <v>0.95673887587822004</v>
      </c>
      <c r="BG360" s="891">
        <f>IF(ISNUMBER('Base de datos Rutas'!CZ358),'Base de datos Rutas'!CZ358/100,"")</f>
        <v>1</v>
      </c>
      <c r="BH360" s="892">
        <f>IF(ISNUMBER('Base de datos Rutas'!DA358),'Base de datos Rutas'!DA358,"")</f>
        <v>1841.9348837470327</v>
      </c>
      <c r="BI360" s="893">
        <f>IF(ISNUMBER('Base de datos Rutas'!DC358),'Base de datos Rutas'!DC358,"")</f>
        <v>62.264584233594661</v>
      </c>
      <c r="BJ360" s="805" t="str">
        <f t="shared" si="216"/>
        <v>Ruta (completo)</v>
      </c>
      <c r="BK360" s="783">
        <f t="shared" si="204"/>
        <v>4</v>
      </c>
      <c r="BL360" s="797">
        <f t="shared" si="205"/>
        <v>2</v>
      </c>
      <c r="BM360" s="797">
        <f t="shared" si="206"/>
        <v>5</v>
      </c>
      <c r="BN360" s="797">
        <f t="shared" si="207"/>
        <v>5</v>
      </c>
      <c r="BO360" s="798" cm="1">
        <f t="array" ref="BO360">SUMPRODUCT(--ISNUMBER($BF360:$BI360),$BK$3:$BN$3)</f>
        <v>1</v>
      </c>
      <c r="BP360" s="831">
        <f t="shared" si="217"/>
        <v>75</v>
      </c>
      <c r="BQ360" s="834" t="str">
        <f t="shared" si="218"/>
        <v>Alto</v>
      </c>
      <c r="BR360" s="836">
        <f t="shared" si="208"/>
        <v>69.55457956028151</v>
      </c>
      <c r="BS360" s="836">
        <f t="shared" si="209"/>
        <v>75</v>
      </c>
      <c r="BT360" s="837" t="str">
        <f t="shared" si="210"/>
        <v>P1</v>
      </c>
      <c r="BU360" s="807" t="str">
        <f t="shared" si="219"/>
        <v>Al tope</v>
      </c>
      <c r="BV360" s="807" t="str">
        <f t="shared" si="211"/>
        <v>Zona atractiva</v>
      </c>
      <c r="BW360" s="808" t="str">
        <f t="shared" si="212"/>
        <v>P1 - Ampliar cobertura</v>
      </c>
    </row>
    <row r="361" spans="1:75">
      <c r="A361" s="780" t="str">
        <f>'Base de datos Rutas'!A359</f>
        <v>Occidente</v>
      </c>
      <c r="B361" s="781" t="str">
        <f>'Base de datos Rutas'!B359</f>
        <v>Zapopan</v>
      </c>
      <c r="C361" s="781" t="str">
        <f>'Base de datos Rutas'!C359</f>
        <v>Planta Zapopan</v>
      </c>
      <c r="D361" s="782">
        <f>IF(ISNUMBER('Base de datos Rutas'!D359),'Base de datos Rutas'!D359,"Sin código")</f>
        <v>816351</v>
      </c>
      <c r="E361" s="783" t="str">
        <f>'Base de datos Rutas'!F359</f>
        <v>Activa</v>
      </c>
      <c r="F361" s="784" t="str">
        <f>'Base de datos Rutas'!H359</f>
        <v>Sí</v>
      </c>
      <c r="G361" s="785">
        <f>IF(ISNUMBER('Base de datos Rutas'!BE359),'Base de datos Rutas'!BE359,"")</f>
        <v>46.607888631090503</v>
      </c>
      <c r="H361" s="786">
        <f>IF(ISNUMBER('Base de datos Rutas'!BH359),'Base de datos Rutas'!BH359,"")</f>
        <v>0.57591596973317405</v>
      </c>
      <c r="I361" s="788">
        <f>IFERROR(IF(OR(NOT(ISNUMBER('Base de datos Rutas'!O359)),N('Base de datos Rutas'!BK359)=0),"",'Base de datos Rutas'!O359/('Base de datos Rutas'!L359/'Base de datos Rutas'!BK359)),"")</f>
        <v>3961.6867749419939</v>
      </c>
      <c r="J361" s="788">
        <f>IFERROR(IF(OR(NOT(ISNUMBER('Base de datos Rutas'!N359)),N('Base de datos Rutas'!BK359)=0),"",'Base de datos Rutas'!N359/('Base de datos Rutas'!L359/'Base de datos Rutas'!BK359)),"")</f>
        <v>7095.7076566125261</v>
      </c>
      <c r="K361" s="788">
        <f>IFERROR(IF(OR(NOT(ISNUMBER('Base de datos Rutas'!J359)),N('Base de datos Rutas'!BK359)=0),"",'Base de datos Rutas'!J359/('Base de datos Rutas'!L359/'Base de datos Rutas'!BK359)),"")</f>
        <v>485.45373549883971</v>
      </c>
      <c r="L361" s="788">
        <f>IFERROR(IF(OR(NOT(ISNUMBER('Base de datos Rutas'!K359)),N('Base de datos Rutas'!BK359)=0),"",'Base de datos Rutas'!K359/('Base de datos Rutas'!L359/'Base de datos Rutas'!BK359)),"")</f>
        <v>25.011795916473307</v>
      </c>
      <c r="M361" s="787">
        <f>IF(ISNUMBER('Base de datos Rutas'!AX359),'Base de datos Rutas'!AX359,"")</f>
        <v>414.27308756158698</v>
      </c>
      <c r="N361" s="790">
        <f>IFERROR(INDEX('Hoja de apoyo v2'!B$17:B$20,MATCH($A361,'Hoja de apoyo v2'!$A$17:$A$20,0)),"")</f>
        <v>89.41621024641401</v>
      </c>
      <c r="O361" s="791">
        <f>IFERROR(INDEX('Hoja de apoyo v2'!C$17:C$20,MATCH($A361,'Hoja de apoyo v2'!$A$17:$A$20,0)),"")</f>
        <v>0.54706375874806301</v>
      </c>
      <c r="P361" s="793">
        <f>IFERROR(INDEX('Hoja de apoyo v2'!D$17:D$20,MATCH($A361,'Hoja de apoyo v2'!$A$17:$A$20,0)),"")</f>
        <v>11095.153935793827</v>
      </c>
      <c r="Q361" s="793">
        <f>IFERROR(INDEX('Hoja de apoyo v2'!E$17:E$20,MATCH($A361,'Hoja de apoyo v2'!$A$17:$A$20,0)),"")</f>
        <v>6982.3202019701848</v>
      </c>
      <c r="R361" s="793">
        <f>IFERROR(INDEX('Hoja de apoyo v2'!F$17:F$20,MATCH($A361,'Hoja de apoyo v2'!$A$17:$A$20,0)),"")</f>
        <v>448.09513474485743</v>
      </c>
      <c r="S361" s="793">
        <f>IFERROR(INDEX('Hoja de apoyo v2'!G$17:G$20,MATCH($A361,'Hoja de apoyo v2'!$A$17:$A$20,0)),"")</f>
        <v>83.406300904207839</v>
      </c>
      <c r="T361" s="792">
        <f>IFERROR(INDEX('Hoja de apoyo v2'!H$17:H$20,MATCH($A361,'Hoja de apoyo v2'!$A$17:$A$20,0)),"")</f>
        <v>378.97014028925349</v>
      </c>
      <c r="U361" s="794">
        <f t="shared" si="184"/>
        <v>0.52124652233245017</v>
      </c>
      <c r="V361" s="795">
        <f t="shared" si="185"/>
        <v>1.0527401249374266</v>
      </c>
      <c r="W361" s="795">
        <f t="shared" si="186"/>
        <v>0.3570646065721797</v>
      </c>
      <c r="X361" s="843">
        <f t="shared" si="187"/>
        <v>1.0162392229749571</v>
      </c>
      <c r="Y361" s="843">
        <f t="shared" si="188"/>
        <v>1.0833720294134728</v>
      </c>
      <c r="Z361" s="843">
        <f t="shared" si="189"/>
        <v>0.29987897371446026</v>
      </c>
      <c r="AA361" s="843">
        <f t="shared" si="190"/>
        <v>1.0931549573942372</v>
      </c>
      <c r="AB361" s="796">
        <f t="shared" si="191"/>
        <v>2</v>
      </c>
      <c r="AC361" s="797">
        <f t="shared" si="192"/>
        <v>4</v>
      </c>
      <c r="AD361" s="797">
        <f t="shared" si="193"/>
        <v>1</v>
      </c>
      <c r="AE361" s="842">
        <f t="shared" si="194"/>
        <v>4</v>
      </c>
      <c r="AF361" s="842">
        <f t="shared" si="195"/>
        <v>4</v>
      </c>
      <c r="AG361" s="842">
        <f t="shared" si="196"/>
        <v>1</v>
      </c>
      <c r="AH361" s="842">
        <f t="shared" si="197"/>
        <v>4</v>
      </c>
      <c r="AI361" s="826" cm="1">
        <f t="array" ref="AI361">SUMPRODUCT(--ISNUMBER($U361:$AA361),$AB$3:$AH$3)</f>
        <v>1</v>
      </c>
      <c r="AJ361" s="829">
        <f t="shared" si="198"/>
        <v>37.423012931563335</v>
      </c>
      <c r="AK361" s="827" t="str">
        <f t="shared" si="199"/>
        <v>Inmadura</v>
      </c>
      <c r="AL361" s="784" t="str">
        <f t="shared" si="200"/>
        <v>Alta</v>
      </c>
      <c r="AM361" s="799">
        <f>IF(ISNUMBER('Base de datos Rutas'!W359),'Base de datos Rutas'!W359,"")</f>
        <v>3427.1365491869451</v>
      </c>
      <c r="AN361" s="787">
        <f>IFERROR(SUMIFS('Base de datos Rutas'!$W$6:$W$794,'Base de datos Rutas'!$C$6:$C$794,$C361)/'Base de datos Rutas'!I359,"")</f>
        <v>3427.1365491869487</v>
      </c>
      <c r="AO361" s="800">
        <f>IFERROR('Base de datos Rutas'!X359*AN361/AM361,"")</f>
        <v>0.3483939033672564</v>
      </c>
      <c r="AP361" s="800">
        <f t="shared" si="201"/>
        <v>0.6516060966327436</v>
      </c>
      <c r="AQ361" s="789">
        <f>IFERROR(INDEX('Hoja de apoyo v2'!$J$17:$J$20,MATCH($A361,'Hoja de apoyo v2'!$A$17:$A$20,0)),"")</f>
        <v>0.64320274048480885</v>
      </c>
      <c r="AR361" s="789">
        <f t="shared" si="202"/>
        <v>8.4033561479347485E-3</v>
      </c>
      <c r="AS361" s="784" t="str">
        <f t="shared" si="203"/>
        <v>No</v>
      </c>
      <c r="AT361" s="801">
        <f>IF(ISNUMBER('Base de datos Rutas'!CK359),'Base de datos Rutas'!CK359,"")</f>
        <v>171</v>
      </c>
      <c r="AU361" s="802">
        <f>IF(ISNUMBER('Base de datos Rutas'!CL359),'Base de datos Rutas'!CL359,"")</f>
        <v>197.24</v>
      </c>
      <c r="AV361" s="802">
        <f>IF(ISNUMBER('Base de datos Rutas'!CM359),'Base de datos Rutas'!CM359,"")</f>
        <v>26.240000000000009</v>
      </c>
      <c r="AW361" s="802">
        <f>IF(ISNUMBER('Base de datos Rutas'!CN359),'Base de datos Rutas'!CN359,"")</f>
        <v>4.63</v>
      </c>
      <c r="AX361" s="802">
        <f>IF(ISNUMBER('Base de datos Rutas'!CO359),'Base de datos Rutas'!CO359,"")</f>
        <v>9.4499999999999993</v>
      </c>
      <c r="AY361" s="802">
        <f>IF(ISNUMBER('Base de datos Rutas'!CP359),'Base de datos Rutas'!CP359,"")</f>
        <v>4.8199999999999994</v>
      </c>
      <c r="AZ361" s="802">
        <f>IF(ISNUMBER('Base de datos Rutas'!CQ359),'Base de datos Rutas'!CQ359,"")</f>
        <v>564.37</v>
      </c>
      <c r="BA361" s="802">
        <f>IF(ISNUMBER('Base de datos Rutas'!CR359),'Base de datos Rutas'!CR359,"")</f>
        <v>510.47</v>
      </c>
      <c r="BB361" s="803">
        <f>IF(ISNUMBER('Base de datos Rutas'!CS359),'Base de datos Rutas'!CS359,"")</f>
        <v>53.899999999999977</v>
      </c>
      <c r="BC361" s="804">
        <f t="shared" si="213"/>
        <v>0</v>
      </c>
      <c r="BD361" s="805" t="str">
        <f t="shared" si="214"/>
        <v>No saturada</v>
      </c>
      <c r="BE361" s="806">
        <f t="shared" si="215"/>
        <v>0.90449527792051321</v>
      </c>
      <c r="BF361" s="890">
        <f>IF(ISNUMBER('Base de datos Rutas'!CX359),'Base de datos Rutas'!CX359/100,"")</f>
        <v>0.98271409749670624</v>
      </c>
      <c r="BG361" s="891">
        <f>IF(ISNUMBER('Base de datos Rutas'!CZ359),'Base de datos Rutas'!CZ359/100,"")</f>
        <v>1</v>
      </c>
      <c r="BH361" s="892">
        <f>IF(ISNUMBER('Base de datos Rutas'!DA359),'Base de datos Rutas'!DA359,"")</f>
        <v>256.2523636222349</v>
      </c>
      <c r="BI361" s="893">
        <f>IF(ISNUMBER('Base de datos Rutas'!DC359),'Base de datos Rutas'!DC359,"")</f>
        <v>11.85758042791276</v>
      </c>
      <c r="BJ361" s="805" t="str">
        <f t="shared" si="216"/>
        <v>Ruta (completo)</v>
      </c>
      <c r="BK361" s="783">
        <f t="shared" si="204"/>
        <v>5</v>
      </c>
      <c r="BL361" s="797">
        <f t="shared" si="205"/>
        <v>2</v>
      </c>
      <c r="BM361" s="797">
        <f t="shared" si="206"/>
        <v>1</v>
      </c>
      <c r="BN361" s="797">
        <f t="shared" si="207"/>
        <v>1</v>
      </c>
      <c r="BO361" s="798" cm="1">
        <f t="array" ref="BO361">SUMPRODUCT(--ISNUMBER($BF361:$BI361),$BK$3:$BN$3)</f>
        <v>1</v>
      </c>
      <c r="BP361" s="831">
        <f t="shared" si="217"/>
        <v>31.25</v>
      </c>
      <c r="BQ361" s="834" t="str">
        <f t="shared" si="218"/>
        <v>Medio</v>
      </c>
      <c r="BR361" s="836">
        <f t="shared" si="208"/>
        <v>28.067259698672501</v>
      </c>
      <c r="BS361" s="836">
        <f t="shared" si="209"/>
        <v>31.25</v>
      </c>
      <c r="BT361" s="837" t="str">
        <f t="shared" si="210"/>
        <v>P4</v>
      </c>
      <c r="BU361" s="807" t="str">
        <f t="shared" si="219"/>
        <v>Con espacio</v>
      </c>
      <c r="BV361" s="807" t="str">
        <f t="shared" si="211"/>
        <v>Zona de bajo potencial</v>
      </c>
      <c r="BW361" s="808" t="str">
        <f t="shared" si="212"/>
        <v>P4 - Evaluar</v>
      </c>
    </row>
    <row r="362" spans="1:75">
      <c r="A362" s="780" t="str">
        <f>'Base de datos Rutas'!A360</f>
        <v>Occidente</v>
      </c>
      <c r="B362" s="781" t="str">
        <f>'Base de datos Rutas'!B360</f>
        <v>Zapopan</v>
      </c>
      <c r="C362" s="781" t="str">
        <f>'Base de datos Rutas'!C360</f>
        <v>Planta Zapopan</v>
      </c>
      <c r="D362" s="782">
        <f>IF(ISNUMBER('Base de datos Rutas'!D360),'Base de datos Rutas'!D360,"Sin código")</f>
        <v>816352</v>
      </c>
      <c r="E362" s="783" t="str">
        <f>'Base de datos Rutas'!F360</f>
        <v>Activa</v>
      </c>
      <c r="F362" s="784" t="str">
        <f>'Base de datos Rutas'!H360</f>
        <v>Sí</v>
      </c>
      <c r="G362" s="785">
        <f>IF(ISNUMBER('Base de datos Rutas'!BE360),'Base de datos Rutas'!BE360,"")</f>
        <v>96.912240184757493</v>
      </c>
      <c r="H362" s="786">
        <f>IF(ISNUMBER('Base de datos Rutas'!BH360),'Base de datos Rutas'!BH360,"")</f>
        <v>0.315516049853442</v>
      </c>
      <c r="I362" s="788">
        <f>IFERROR(IF(OR(NOT(ISNUMBER('Base de datos Rutas'!O360)),N('Base de datos Rutas'!BK360)=0),"",'Base de datos Rutas'!O360/('Base de datos Rutas'!L360/'Base de datos Rutas'!BK360)),"")</f>
        <v>4355.2725173210101</v>
      </c>
      <c r="J362" s="788">
        <f>IFERROR(IF(OR(NOT(ISNUMBER('Base de datos Rutas'!N360)),N('Base de datos Rutas'!BK360)=0),"",'Base de datos Rutas'!N360/('Base de datos Rutas'!L360/'Base de datos Rutas'!BK360)),"")</f>
        <v>6540.1824480369432</v>
      </c>
      <c r="K362" s="788">
        <f>IFERROR(IF(OR(NOT(ISNUMBER('Base de datos Rutas'!J360)),N('Base de datos Rutas'!BK360)=0),"",'Base de datos Rutas'!J360/('Base de datos Rutas'!L360/'Base de datos Rutas'!BK360)),"")</f>
        <v>455.08919907621186</v>
      </c>
      <c r="L362" s="788">
        <f>IFERROR(IF(OR(NOT(ISNUMBER('Base de datos Rutas'!K360)),N('Base de datos Rutas'!BK360)=0),"",'Base de datos Rutas'!K360/('Base de datos Rutas'!L360/'Base de datos Rutas'!BK360)),"")</f>
        <v>27.126289764434144</v>
      </c>
      <c r="M362" s="787">
        <f>IF(ISNUMBER('Base de datos Rutas'!AX360),'Base de datos Rutas'!AX360,"")</f>
        <v>362.67599546827802</v>
      </c>
      <c r="N362" s="790">
        <f>IFERROR(INDEX('Hoja de apoyo v2'!B$17:B$20,MATCH($A362,'Hoja de apoyo v2'!$A$17:$A$20,0)),"")</f>
        <v>89.41621024641401</v>
      </c>
      <c r="O362" s="791">
        <f>IFERROR(INDEX('Hoja de apoyo v2'!C$17:C$20,MATCH($A362,'Hoja de apoyo v2'!$A$17:$A$20,0)),"")</f>
        <v>0.54706375874806301</v>
      </c>
      <c r="P362" s="793">
        <f>IFERROR(INDEX('Hoja de apoyo v2'!D$17:D$20,MATCH($A362,'Hoja de apoyo v2'!$A$17:$A$20,0)),"")</f>
        <v>11095.153935793827</v>
      </c>
      <c r="Q362" s="793">
        <f>IFERROR(INDEX('Hoja de apoyo v2'!E$17:E$20,MATCH($A362,'Hoja de apoyo v2'!$A$17:$A$20,0)),"")</f>
        <v>6982.3202019701848</v>
      </c>
      <c r="R362" s="793">
        <f>IFERROR(INDEX('Hoja de apoyo v2'!F$17:F$20,MATCH($A362,'Hoja de apoyo v2'!$A$17:$A$20,0)),"")</f>
        <v>448.09513474485743</v>
      </c>
      <c r="S362" s="793">
        <f>IFERROR(INDEX('Hoja de apoyo v2'!G$17:G$20,MATCH($A362,'Hoja de apoyo v2'!$A$17:$A$20,0)),"")</f>
        <v>83.406300904207839</v>
      </c>
      <c r="T362" s="792">
        <f>IFERROR(INDEX('Hoja de apoyo v2'!H$17:H$20,MATCH($A362,'Hoja de apoyo v2'!$A$17:$A$20,0)),"")</f>
        <v>378.97014028925349</v>
      </c>
      <c r="U362" s="794">
        <f t="shared" si="184"/>
        <v>1.0838330087764383</v>
      </c>
      <c r="V362" s="795">
        <f t="shared" si="185"/>
        <v>0.57674456552466546</v>
      </c>
      <c r="W362" s="795">
        <f t="shared" si="186"/>
        <v>0.39253826873645825</v>
      </c>
      <c r="X362" s="843">
        <f t="shared" si="187"/>
        <v>0.93667753108651697</v>
      </c>
      <c r="Y362" s="843">
        <f t="shared" si="188"/>
        <v>1.0156084362204396</v>
      </c>
      <c r="Z362" s="843">
        <f t="shared" si="189"/>
        <v>0.32523070164193824</v>
      </c>
      <c r="AA362" s="843">
        <f t="shared" si="190"/>
        <v>0.95700414600332684</v>
      </c>
      <c r="AB362" s="796">
        <f t="shared" si="191"/>
        <v>4</v>
      </c>
      <c r="AC362" s="797">
        <f t="shared" si="192"/>
        <v>2</v>
      </c>
      <c r="AD362" s="797">
        <f t="shared" si="193"/>
        <v>1</v>
      </c>
      <c r="AE362" s="842">
        <f t="shared" si="194"/>
        <v>3</v>
      </c>
      <c r="AF362" s="842">
        <f t="shared" si="195"/>
        <v>4</v>
      </c>
      <c r="AG362" s="842">
        <f t="shared" si="196"/>
        <v>1</v>
      </c>
      <c r="AH362" s="842">
        <f t="shared" si="197"/>
        <v>3</v>
      </c>
      <c r="AI362" s="826" cm="1">
        <f t="array" ref="AI362">SUMPRODUCT(--ISNUMBER($U362:$AA362),$AB$3:$AH$3)</f>
        <v>1</v>
      </c>
      <c r="AJ362" s="829">
        <f t="shared" si="198"/>
        <v>36.070298629510624</v>
      </c>
      <c r="AK362" s="827" t="str">
        <f t="shared" si="199"/>
        <v>Inmadura</v>
      </c>
      <c r="AL362" s="784" t="str">
        <f t="shared" si="200"/>
        <v>Alta</v>
      </c>
      <c r="AM362" s="799">
        <f>IF(ISNUMBER('Base de datos Rutas'!W360),'Base de datos Rutas'!W360,"")</f>
        <v>3427.1365491869451</v>
      </c>
      <c r="AN362" s="787">
        <f>IFERROR(SUMIFS('Base de datos Rutas'!$W$6:$W$794,'Base de datos Rutas'!$C$6:$C$794,$C362)/'Base de datos Rutas'!I360,"")</f>
        <v>3427.1365491869487</v>
      </c>
      <c r="AO362" s="800">
        <f>IFERROR('Base de datos Rutas'!X360*AN362/AM362,"")</f>
        <v>0.3483939033672564</v>
      </c>
      <c r="AP362" s="800">
        <f t="shared" si="201"/>
        <v>0.6516060966327436</v>
      </c>
      <c r="AQ362" s="789">
        <f>IFERROR(INDEX('Hoja de apoyo v2'!$J$17:$J$20,MATCH($A362,'Hoja de apoyo v2'!$A$17:$A$20,0)),"")</f>
        <v>0.64320274048480885</v>
      </c>
      <c r="AR362" s="789">
        <f t="shared" si="202"/>
        <v>8.4033561479347485E-3</v>
      </c>
      <c r="AS362" s="784" t="str">
        <f t="shared" si="203"/>
        <v>No</v>
      </c>
      <c r="AT362" s="801">
        <f>IF(ISNUMBER('Base de datos Rutas'!CK360),'Base de datos Rutas'!CK360,"")</f>
        <v>268</v>
      </c>
      <c r="AU362" s="802">
        <f>IF(ISNUMBER('Base de datos Rutas'!CL360),'Base de datos Rutas'!CL360,"")</f>
        <v>424.28</v>
      </c>
      <c r="AV362" s="802">
        <f>IF(ISNUMBER('Base de datos Rutas'!CM360),'Base de datos Rutas'!CM360,"")</f>
        <v>156.27999999999997</v>
      </c>
      <c r="AW362" s="802">
        <f>IF(ISNUMBER('Base de datos Rutas'!CN360),'Base de datos Rutas'!CN360,"")</f>
        <v>6.88</v>
      </c>
      <c r="AX362" s="802">
        <f>IF(ISNUMBER('Base de datos Rutas'!CO360),'Base de datos Rutas'!CO360,"")</f>
        <v>9.4499999999999993</v>
      </c>
      <c r="AY362" s="802">
        <f>IF(ISNUMBER('Base de datos Rutas'!CP360),'Base de datos Rutas'!CP360,"")</f>
        <v>2.5699999999999994</v>
      </c>
      <c r="AZ362" s="802">
        <f>IF(ISNUMBER('Base de datos Rutas'!CQ360),'Base de datos Rutas'!CQ360,"")</f>
        <v>846.56</v>
      </c>
      <c r="BA362" s="802">
        <f>IF(ISNUMBER('Base de datos Rutas'!CR360),'Base de datos Rutas'!CR360,"")</f>
        <v>482.22</v>
      </c>
      <c r="BB362" s="803">
        <f>IF(ISNUMBER('Base de datos Rutas'!CS360),'Base de datos Rutas'!CS360,"")</f>
        <v>364.33999999999992</v>
      </c>
      <c r="BC362" s="804">
        <f t="shared" si="213"/>
        <v>0</v>
      </c>
      <c r="BD362" s="805" t="str">
        <f t="shared" si="214"/>
        <v>No saturada</v>
      </c>
      <c r="BE362" s="806">
        <f t="shared" si="215"/>
        <v>0.56962294462294472</v>
      </c>
      <c r="BF362" s="890">
        <f>IF(ISNUMBER('Base de datos Rutas'!CX360),'Base de datos Rutas'!CX360/100,"")</f>
        <v>0.93072695035460984</v>
      </c>
      <c r="BG362" s="891">
        <f>IF(ISNUMBER('Base de datos Rutas'!CZ360),'Base de datos Rutas'!CZ360/100,"")</f>
        <v>1</v>
      </c>
      <c r="BH362" s="892">
        <f>IF(ISNUMBER('Base de datos Rutas'!DA360),'Base de datos Rutas'!DA360,"")</f>
        <v>932.87658563682476</v>
      </c>
      <c r="BI362" s="893">
        <f>IF(ISNUMBER('Base de datos Rutas'!DC360),'Base de datos Rutas'!DC360,"")</f>
        <v>37.268132223456647</v>
      </c>
      <c r="BJ362" s="805" t="str">
        <f t="shared" si="216"/>
        <v>Ruta (completo)</v>
      </c>
      <c r="BK362" s="783">
        <f t="shared" si="204"/>
        <v>3</v>
      </c>
      <c r="BL362" s="797">
        <f t="shared" si="205"/>
        <v>2</v>
      </c>
      <c r="BM362" s="797">
        <f t="shared" si="206"/>
        <v>4</v>
      </c>
      <c r="BN362" s="797">
        <f t="shared" si="207"/>
        <v>4</v>
      </c>
      <c r="BO362" s="798" cm="1">
        <f t="array" ref="BO362">SUMPRODUCT(--ISNUMBER($BF362:$BI362),$BK$3:$BN$3)</f>
        <v>1</v>
      </c>
      <c r="BP362" s="831">
        <f t="shared" si="217"/>
        <v>56.25</v>
      </c>
      <c r="BQ362" s="834" t="str">
        <f t="shared" si="218"/>
        <v>Alto</v>
      </c>
      <c r="BR362" s="836">
        <f t="shared" si="208"/>
        <v>27.052723972132966</v>
      </c>
      <c r="BS362" s="836">
        <f t="shared" si="209"/>
        <v>56.25</v>
      </c>
      <c r="BT362" s="837" t="str">
        <f t="shared" si="210"/>
        <v>P3</v>
      </c>
      <c r="BU362" s="807" t="str">
        <f t="shared" si="219"/>
        <v>Con espacio</v>
      </c>
      <c r="BV362" s="807" t="str">
        <f t="shared" si="211"/>
        <v>Zona atractiva</v>
      </c>
      <c r="BW362" s="808" t="str">
        <f t="shared" si="212"/>
        <v>P3 - Desarrollar</v>
      </c>
    </row>
    <row r="363" spans="1:75">
      <c r="A363" s="780" t="str">
        <f>'Base de datos Rutas'!A361</f>
        <v>Occidente</v>
      </c>
      <c r="B363" s="781" t="str">
        <f>'Base de datos Rutas'!B361</f>
        <v>Zapopan</v>
      </c>
      <c r="C363" s="781" t="str">
        <f>'Base de datos Rutas'!C361</f>
        <v>Planta Zapopan</v>
      </c>
      <c r="D363" s="782">
        <f>IF(ISNUMBER('Base de datos Rutas'!D361),'Base de datos Rutas'!D361,"Sin código")</f>
        <v>816353</v>
      </c>
      <c r="E363" s="783" t="str">
        <f>'Base de datos Rutas'!F361</f>
        <v>Activa</v>
      </c>
      <c r="F363" s="784" t="str">
        <f>'Base de datos Rutas'!H361</f>
        <v>Sí</v>
      </c>
      <c r="G363" s="785">
        <f>IF(ISNUMBER('Base de datos Rutas'!BE361),'Base de datos Rutas'!BE361,"")</f>
        <v>129.03899082568799</v>
      </c>
      <c r="H363" s="786">
        <f>IF(ISNUMBER('Base de datos Rutas'!BH361),'Base de datos Rutas'!BH361,"")</f>
        <v>0.44293560370416502</v>
      </c>
      <c r="I363" s="788">
        <f>IFERROR(IF(OR(NOT(ISNUMBER('Base de datos Rutas'!O361)),N('Base de datos Rutas'!BK361)=0),"",'Base de datos Rutas'!O361/('Base de datos Rutas'!L361/'Base de datos Rutas'!BK361)),"")</f>
        <v>5894.7591743119156</v>
      </c>
      <c r="J363" s="788">
        <f>IFERROR(IF(OR(NOT(ISNUMBER('Base de datos Rutas'!N361)),N('Base de datos Rutas'!BK361)=0),"",'Base de datos Rutas'!N361/('Base de datos Rutas'!L361/'Base de datos Rutas'!BK361)),"")</f>
        <v>8437.6490825687924</v>
      </c>
      <c r="K363" s="788">
        <f>IFERROR(IF(OR(NOT(ISNUMBER('Base de datos Rutas'!J361)),N('Base de datos Rutas'!BK361)=0),"",'Base de datos Rutas'!J361/('Base de datos Rutas'!L361/'Base de datos Rutas'!BK361)),"")</f>
        <v>580.17805871559301</v>
      </c>
      <c r="L363" s="788">
        <f>IFERROR(IF(OR(NOT(ISNUMBER('Base de datos Rutas'!K361)),N('Base de datos Rutas'!BK361)=0),"",'Base de datos Rutas'!K361/('Base de datos Rutas'!L361/'Base de datos Rutas'!BK361)),"")</f>
        <v>38.891583119265988</v>
      </c>
      <c r="M363" s="787">
        <f>IF(ISNUMBER('Base de datos Rutas'!AX361),'Base de datos Rutas'!AX361,"")</f>
        <v>254.394584269663</v>
      </c>
      <c r="N363" s="790">
        <f>IFERROR(INDEX('Hoja de apoyo v2'!B$17:B$20,MATCH($A363,'Hoja de apoyo v2'!$A$17:$A$20,0)),"")</f>
        <v>89.41621024641401</v>
      </c>
      <c r="O363" s="791">
        <f>IFERROR(INDEX('Hoja de apoyo v2'!C$17:C$20,MATCH($A363,'Hoja de apoyo v2'!$A$17:$A$20,0)),"")</f>
        <v>0.54706375874806301</v>
      </c>
      <c r="P363" s="793">
        <f>IFERROR(INDEX('Hoja de apoyo v2'!D$17:D$20,MATCH($A363,'Hoja de apoyo v2'!$A$17:$A$20,0)),"")</f>
        <v>11095.153935793827</v>
      </c>
      <c r="Q363" s="793">
        <f>IFERROR(INDEX('Hoja de apoyo v2'!E$17:E$20,MATCH($A363,'Hoja de apoyo v2'!$A$17:$A$20,0)),"")</f>
        <v>6982.3202019701848</v>
      </c>
      <c r="R363" s="793">
        <f>IFERROR(INDEX('Hoja de apoyo v2'!F$17:F$20,MATCH($A363,'Hoja de apoyo v2'!$A$17:$A$20,0)),"")</f>
        <v>448.09513474485743</v>
      </c>
      <c r="S363" s="793">
        <f>IFERROR(INDEX('Hoja de apoyo v2'!G$17:G$20,MATCH($A363,'Hoja de apoyo v2'!$A$17:$A$20,0)),"")</f>
        <v>83.406300904207839</v>
      </c>
      <c r="T363" s="792">
        <f>IFERROR(INDEX('Hoja de apoyo v2'!H$17:H$20,MATCH($A363,'Hoja de apoyo v2'!$A$17:$A$20,0)),"")</f>
        <v>378.97014028925349</v>
      </c>
      <c r="U363" s="794">
        <f t="shared" si="184"/>
        <v>1.4431274873994453</v>
      </c>
      <c r="V363" s="795">
        <f t="shared" si="185"/>
        <v>0.80965992833780143</v>
      </c>
      <c r="W363" s="795">
        <f t="shared" si="186"/>
        <v>0.53129133749960555</v>
      </c>
      <c r="X363" s="843">
        <f t="shared" si="187"/>
        <v>1.2084305558183883</v>
      </c>
      <c r="Y363" s="843">
        <f t="shared" si="188"/>
        <v>1.2947653605878644</v>
      </c>
      <c r="Z363" s="843">
        <f t="shared" si="189"/>
        <v>0.46629070822758323</v>
      </c>
      <c r="AA363" s="843">
        <f t="shared" si="190"/>
        <v>0.67127870305426518</v>
      </c>
      <c r="AB363" s="796">
        <f t="shared" si="191"/>
        <v>5</v>
      </c>
      <c r="AC363" s="797">
        <f t="shared" si="192"/>
        <v>3</v>
      </c>
      <c r="AD363" s="797">
        <f t="shared" si="193"/>
        <v>2</v>
      </c>
      <c r="AE363" s="842">
        <f t="shared" si="194"/>
        <v>4</v>
      </c>
      <c r="AF363" s="842">
        <f t="shared" si="195"/>
        <v>5</v>
      </c>
      <c r="AG363" s="842">
        <f t="shared" si="196"/>
        <v>1</v>
      </c>
      <c r="AH363" s="842">
        <f t="shared" si="197"/>
        <v>2</v>
      </c>
      <c r="AI363" s="826" cm="1">
        <f t="array" ref="AI363">SUMPRODUCT(--ISNUMBER($U363:$AA363),$AB$3:$AH$3)</f>
        <v>1</v>
      </c>
      <c r="AJ363" s="829">
        <f t="shared" si="198"/>
        <v>52.19177618079781</v>
      </c>
      <c r="AK363" s="827" t="str">
        <f t="shared" si="199"/>
        <v>En desarrollo</v>
      </c>
      <c r="AL363" s="784" t="str">
        <f t="shared" si="200"/>
        <v>Alta</v>
      </c>
      <c r="AM363" s="799">
        <f>IF(ISNUMBER('Base de datos Rutas'!W361),'Base de datos Rutas'!W361,"")</f>
        <v>3427.1365491869451</v>
      </c>
      <c r="AN363" s="787">
        <f>IFERROR(SUMIFS('Base de datos Rutas'!$W$6:$W$794,'Base de datos Rutas'!$C$6:$C$794,$C363)/'Base de datos Rutas'!I361,"")</f>
        <v>3427.1365491869487</v>
      </c>
      <c r="AO363" s="800">
        <f>IFERROR('Base de datos Rutas'!X361*AN363/AM363,"")</f>
        <v>0.3483939033672564</v>
      </c>
      <c r="AP363" s="800">
        <f t="shared" si="201"/>
        <v>0.6516060966327436</v>
      </c>
      <c r="AQ363" s="789">
        <f>IFERROR(INDEX('Hoja de apoyo v2'!$J$17:$J$20,MATCH($A363,'Hoja de apoyo v2'!$A$17:$A$20,0)),"")</f>
        <v>0.64320274048480885</v>
      </c>
      <c r="AR363" s="789">
        <f t="shared" si="202"/>
        <v>8.4033561479347485E-3</v>
      </c>
      <c r="AS363" s="784" t="str">
        <f t="shared" si="203"/>
        <v>No</v>
      </c>
      <c r="AT363" s="801">
        <f>IF(ISNUMBER('Base de datos Rutas'!CK361),'Base de datos Rutas'!CK361,"")</f>
        <v>439</v>
      </c>
      <c r="AU363" s="802">
        <f>IF(ISNUMBER('Base de datos Rutas'!CL361),'Base de datos Rutas'!CL361,"")</f>
        <v>481.68</v>
      </c>
      <c r="AV363" s="802">
        <f>IF(ISNUMBER('Base de datos Rutas'!CM361),'Base de datos Rutas'!CM361,"")</f>
        <v>42.680000000000007</v>
      </c>
      <c r="AW363" s="802">
        <f>IF(ISNUMBER('Base de datos Rutas'!CN361),'Base de datos Rutas'!CN361,"")</f>
        <v>13.25</v>
      </c>
      <c r="AX363" s="802">
        <f>IF(ISNUMBER('Base de datos Rutas'!CO361),'Base de datos Rutas'!CO361,"")</f>
        <v>9.4499999999999993</v>
      </c>
      <c r="AY363" s="802">
        <f>IF(ISNUMBER('Base de datos Rutas'!CP361),'Base de datos Rutas'!CP361,"")</f>
        <v>-3.8000000000000007</v>
      </c>
      <c r="AZ363" s="802">
        <f>IF(ISNUMBER('Base de datos Rutas'!CQ361),'Base de datos Rutas'!CQ361,"")</f>
        <v>846.56</v>
      </c>
      <c r="BA363" s="802">
        <f>IF(ISNUMBER('Base de datos Rutas'!CR361),'Base de datos Rutas'!CR361,"")</f>
        <v>619.07000000000005</v>
      </c>
      <c r="BB363" s="803">
        <f>IF(ISNUMBER('Base de datos Rutas'!CS361),'Base de datos Rutas'!CS361,"")</f>
        <v>227.4899999999999</v>
      </c>
      <c r="BC363" s="804">
        <f t="shared" si="213"/>
        <v>1</v>
      </c>
      <c r="BD363" s="805" t="str">
        <f t="shared" si="214"/>
        <v>Saturada</v>
      </c>
      <c r="BE363" s="806">
        <f t="shared" si="215"/>
        <v>0.73127716877716886</v>
      </c>
      <c r="BF363" s="890">
        <f>IF(ISNUMBER('Base de datos Rutas'!CX361),'Base de datos Rutas'!CX361/100,"")</f>
        <v>0.97104477611940299</v>
      </c>
      <c r="BG363" s="891">
        <f>IF(ISNUMBER('Base de datos Rutas'!CZ361),'Base de datos Rutas'!CZ361/100,"")</f>
        <v>1</v>
      </c>
      <c r="BH363" s="892">
        <f>IF(ISNUMBER('Base de datos Rutas'!DA361),'Base de datos Rutas'!DA361,"")</f>
        <v>1278.5600851860643</v>
      </c>
      <c r="BI363" s="893">
        <f>IF(ISNUMBER('Base de datos Rutas'!DC361),'Base de datos Rutas'!DC361,"")</f>
        <v>56.303775351425479</v>
      </c>
      <c r="BJ363" s="805" t="str">
        <f t="shared" si="216"/>
        <v>Ruta (completo)</v>
      </c>
      <c r="BK363" s="783">
        <f t="shared" si="204"/>
        <v>5</v>
      </c>
      <c r="BL363" s="797">
        <f t="shared" si="205"/>
        <v>2</v>
      </c>
      <c r="BM363" s="797">
        <f t="shared" si="206"/>
        <v>4</v>
      </c>
      <c r="BN363" s="797">
        <f t="shared" si="207"/>
        <v>5</v>
      </c>
      <c r="BO363" s="798" cm="1">
        <f t="array" ref="BO363">SUMPRODUCT(--ISNUMBER($BF363:$BI363),$BK$3:$BN$3)</f>
        <v>1</v>
      </c>
      <c r="BP363" s="831">
        <f t="shared" si="217"/>
        <v>75</v>
      </c>
      <c r="BQ363" s="834" t="str">
        <f t="shared" si="218"/>
        <v>Alto</v>
      </c>
      <c r="BR363" s="836">
        <f t="shared" si="208"/>
        <v>64.143832135598359</v>
      </c>
      <c r="BS363" s="836">
        <f t="shared" si="209"/>
        <v>75</v>
      </c>
      <c r="BT363" s="837" t="str">
        <f t="shared" si="210"/>
        <v>P1</v>
      </c>
      <c r="BU363" s="807" t="str">
        <f t="shared" si="219"/>
        <v>Al tope</v>
      </c>
      <c r="BV363" s="807" t="str">
        <f t="shared" si="211"/>
        <v>Zona atractiva</v>
      </c>
      <c r="BW363" s="808" t="str">
        <f t="shared" si="212"/>
        <v>P1 - Ampliar cobertura</v>
      </c>
    </row>
    <row r="364" spans="1:75">
      <c r="A364" s="780" t="str">
        <f>'Base de datos Rutas'!A362</f>
        <v>Occidente</v>
      </c>
      <c r="B364" s="781" t="str">
        <f>'Base de datos Rutas'!B362</f>
        <v>Zapopan</v>
      </c>
      <c r="C364" s="781" t="str">
        <f>'Base de datos Rutas'!C362</f>
        <v>Planta Zapopan</v>
      </c>
      <c r="D364" s="782">
        <f>IF(ISNUMBER('Base de datos Rutas'!D362),'Base de datos Rutas'!D362,"Sin código")</f>
        <v>816354</v>
      </c>
      <c r="E364" s="783" t="str">
        <f>'Base de datos Rutas'!F362</f>
        <v>Activa</v>
      </c>
      <c r="F364" s="784" t="str">
        <f>'Base de datos Rutas'!H362</f>
        <v>Sí</v>
      </c>
      <c r="G364" s="785">
        <f>IF(ISNUMBER('Base de datos Rutas'!BE362),'Base de datos Rutas'!BE362,"")</f>
        <v>68.983908045977003</v>
      </c>
      <c r="H364" s="786">
        <f>IF(ISNUMBER('Base de datos Rutas'!BH362),'Base de datos Rutas'!BH362,"")</f>
        <v>0.60473873633697695</v>
      </c>
      <c r="I364" s="788">
        <f>IFERROR(IF(OR(NOT(ISNUMBER('Base de datos Rutas'!O362)),N('Base de datos Rutas'!BK362)=0),"",'Base de datos Rutas'!O362/('Base de datos Rutas'!L362/'Base de datos Rutas'!BK362)),"")</f>
        <v>3021.1816091954001</v>
      </c>
      <c r="J364" s="788">
        <f>IFERROR(IF(OR(NOT(ISNUMBER('Base de datos Rutas'!N362)),N('Base de datos Rutas'!BK362)=0),"",'Base de datos Rutas'!N362/('Base de datos Rutas'!L362/'Base de datos Rutas'!BK362)),"")</f>
        <v>8766.9678160919484</v>
      </c>
      <c r="K364" s="788">
        <f>IFERROR(IF(OR(NOT(ISNUMBER('Base de datos Rutas'!J362)),N('Base de datos Rutas'!BK362)=0),"",'Base de datos Rutas'!J362/('Base de datos Rutas'!L362/'Base de datos Rutas'!BK362)),"")</f>
        <v>598.32215172413521</v>
      </c>
      <c r="L364" s="788">
        <f>IFERROR(IF(OR(NOT(ISNUMBER('Base de datos Rutas'!K362)),N('Base de datos Rutas'!BK362)=0),"",'Base de datos Rutas'!K362/('Base de datos Rutas'!L362/'Base de datos Rutas'!BK362)),"")</f>
        <v>24.61142058850573</v>
      </c>
      <c r="M364" s="787">
        <f>IF(ISNUMBER('Base de datos Rutas'!AX362),'Base de datos Rutas'!AX362,"")</f>
        <v>282.57253485424599</v>
      </c>
      <c r="N364" s="790">
        <f>IFERROR(INDEX('Hoja de apoyo v2'!B$17:B$20,MATCH($A364,'Hoja de apoyo v2'!$A$17:$A$20,0)),"")</f>
        <v>89.41621024641401</v>
      </c>
      <c r="O364" s="791">
        <f>IFERROR(INDEX('Hoja de apoyo v2'!C$17:C$20,MATCH($A364,'Hoja de apoyo v2'!$A$17:$A$20,0)),"")</f>
        <v>0.54706375874806301</v>
      </c>
      <c r="P364" s="793">
        <f>IFERROR(INDEX('Hoja de apoyo v2'!D$17:D$20,MATCH($A364,'Hoja de apoyo v2'!$A$17:$A$20,0)),"")</f>
        <v>11095.153935793827</v>
      </c>
      <c r="Q364" s="793">
        <f>IFERROR(INDEX('Hoja de apoyo v2'!E$17:E$20,MATCH($A364,'Hoja de apoyo v2'!$A$17:$A$20,0)),"")</f>
        <v>6982.3202019701848</v>
      </c>
      <c r="R364" s="793">
        <f>IFERROR(INDEX('Hoja de apoyo v2'!F$17:F$20,MATCH($A364,'Hoja de apoyo v2'!$A$17:$A$20,0)),"")</f>
        <v>448.09513474485743</v>
      </c>
      <c r="S364" s="793">
        <f>IFERROR(INDEX('Hoja de apoyo v2'!G$17:G$20,MATCH($A364,'Hoja de apoyo v2'!$A$17:$A$20,0)),"")</f>
        <v>83.406300904207839</v>
      </c>
      <c r="T364" s="792">
        <f>IFERROR(INDEX('Hoja de apoyo v2'!H$17:H$20,MATCH($A364,'Hoja de apoyo v2'!$A$17:$A$20,0)),"")</f>
        <v>378.97014028925349</v>
      </c>
      <c r="U364" s="794">
        <f t="shared" si="184"/>
        <v>0.7714921920295047</v>
      </c>
      <c r="V364" s="795">
        <f t="shared" si="185"/>
        <v>1.1054264272978001</v>
      </c>
      <c r="W364" s="795">
        <f t="shared" si="186"/>
        <v>0.27229740359426957</v>
      </c>
      <c r="X364" s="843">
        <f t="shared" si="187"/>
        <v>1.2555952122645699</v>
      </c>
      <c r="Y364" s="843">
        <f t="shared" si="188"/>
        <v>1.3352569696272558</v>
      </c>
      <c r="Z364" s="843">
        <f t="shared" si="189"/>
        <v>0.2950786729742631</v>
      </c>
      <c r="AA364" s="843">
        <f t="shared" si="190"/>
        <v>0.7456327156502861</v>
      </c>
      <c r="AB364" s="796">
        <f t="shared" si="191"/>
        <v>3</v>
      </c>
      <c r="AC364" s="797">
        <f t="shared" si="192"/>
        <v>4</v>
      </c>
      <c r="AD364" s="797">
        <f t="shared" si="193"/>
        <v>1</v>
      </c>
      <c r="AE364" s="842">
        <f t="shared" si="194"/>
        <v>5</v>
      </c>
      <c r="AF364" s="842">
        <f t="shared" si="195"/>
        <v>5</v>
      </c>
      <c r="AG364" s="842">
        <f t="shared" si="196"/>
        <v>1</v>
      </c>
      <c r="AH364" s="842">
        <f t="shared" si="197"/>
        <v>2</v>
      </c>
      <c r="AI364" s="826" cm="1">
        <f t="array" ref="AI364">SUMPRODUCT(--ISNUMBER($U364:$AA364),$AB$3:$AH$3)</f>
        <v>1</v>
      </c>
      <c r="AJ364" s="829">
        <f t="shared" si="198"/>
        <v>43.802685587305447</v>
      </c>
      <c r="AK364" s="827" t="str">
        <f t="shared" si="199"/>
        <v>Inmadura</v>
      </c>
      <c r="AL364" s="784" t="str">
        <f t="shared" si="200"/>
        <v>Alta</v>
      </c>
      <c r="AM364" s="799">
        <f>IF(ISNUMBER('Base de datos Rutas'!W362),'Base de datos Rutas'!W362,"")</f>
        <v>3427.1365491869451</v>
      </c>
      <c r="AN364" s="787">
        <f>IFERROR(SUMIFS('Base de datos Rutas'!$W$6:$W$794,'Base de datos Rutas'!$C$6:$C$794,$C364)/'Base de datos Rutas'!I362,"")</f>
        <v>3427.1365491869487</v>
      </c>
      <c r="AO364" s="800">
        <f>IFERROR('Base de datos Rutas'!X362*AN364/AM364,"")</f>
        <v>0.3483939033672564</v>
      </c>
      <c r="AP364" s="800">
        <f t="shared" si="201"/>
        <v>0.6516060966327436</v>
      </c>
      <c r="AQ364" s="789">
        <f>IFERROR(INDEX('Hoja de apoyo v2'!$J$17:$J$20,MATCH($A364,'Hoja de apoyo v2'!$A$17:$A$20,0)),"")</f>
        <v>0.64320274048480885</v>
      </c>
      <c r="AR364" s="789">
        <f t="shared" si="202"/>
        <v>8.4033561479347485E-3</v>
      </c>
      <c r="AS364" s="784" t="str">
        <f t="shared" si="203"/>
        <v>No</v>
      </c>
      <c r="AT364" s="801">
        <f>IF(ISNUMBER('Base de datos Rutas'!CK362),'Base de datos Rutas'!CK362,"")</f>
        <v>282</v>
      </c>
      <c r="AU364" s="802">
        <f>IF(ISNUMBER('Base de datos Rutas'!CL362),'Base de datos Rutas'!CL362,"")</f>
        <v>327.48</v>
      </c>
      <c r="AV364" s="802">
        <f>IF(ISNUMBER('Base de datos Rutas'!CM362),'Base de datos Rutas'!CM362,"")</f>
        <v>45.480000000000018</v>
      </c>
      <c r="AW364" s="802">
        <f>IF(ISNUMBER('Base de datos Rutas'!CN362),'Base de datos Rutas'!CN362,"")</f>
        <v>4.96</v>
      </c>
      <c r="AX364" s="802">
        <f>IF(ISNUMBER('Base de datos Rutas'!CO362),'Base de datos Rutas'!CO362,"")</f>
        <v>9.4499999999999993</v>
      </c>
      <c r="AY364" s="802">
        <f>IF(ISNUMBER('Base de datos Rutas'!CP362),'Base de datos Rutas'!CP362,"")</f>
        <v>4.4899999999999993</v>
      </c>
      <c r="AZ364" s="802">
        <f>IF(ISNUMBER('Base de datos Rutas'!CQ362),'Base de datos Rutas'!CQ362,"")</f>
        <v>846.56</v>
      </c>
      <c r="BA364" s="802">
        <f>IF(ISNUMBER('Base de datos Rutas'!CR362),'Base de datos Rutas'!CR362,"")</f>
        <v>622.92999999999995</v>
      </c>
      <c r="BB364" s="803">
        <f>IF(ISNUMBER('Base de datos Rutas'!CS362),'Base de datos Rutas'!CS362,"")</f>
        <v>223.63</v>
      </c>
      <c r="BC364" s="804">
        <f t="shared" si="213"/>
        <v>0</v>
      </c>
      <c r="BD364" s="805" t="str">
        <f t="shared" si="214"/>
        <v>No saturada</v>
      </c>
      <c r="BE364" s="806">
        <f t="shared" si="215"/>
        <v>0.73583679833679827</v>
      </c>
      <c r="BF364" s="890">
        <f>IF(ISNUMBER('Base de datos Rutas'!CX362),'Base de datos Rutas'!CX362/100,"")</f>
        <v>7.6780516780516769E-2</v>
      </c>
      <c r="BG364" s="891">
        <f>IF(ISNUMBER('Base de datos Rutas'!CZ362),'Base de datos Rutas'!CZ362/100,"")</f>
        <v>9.0288090288090289E-2</v>
      </c>
      <c r="BH364" s="892">
        <f>IF(ISNUMBER('Base de datos Rutas'!DA362),'Base de datos Rutas'!DA362,"")</f>
        <v>160.87969746342836</v>
      </c>
      <c r="BI364" s="893">
        <f>IF(ISNUMBER('Base de datos Rutas'!DC362),'Base de datos Rutas'!DC362,"")</f>
        <v>7.988495170667667</v>
      </c>
      <c r="BJ364" s="805" t="str">
        <f t="shared" si="216"/>
        <v>Ruta (completo)</v>
      </c>
      <c r="BK364" s="783">
        <f t="shared" si="204"/>
        <v>1</v>
      </c>
      <c r="BL364" s="797">
        <f t="shared" si="205"/>
        <v>1</v>
      </c>
      <c r="BM364" s="797">
        <f t="shared" si="206"/>
        <v>1</v>
      </c>
      <c r="BN364" s="797">
        <f t="shared" si="207"/>
        <v>1</v>
      </c>
      <c r="BO364" s="798" cm="1">
        <f t="array" ref="BO364">SUMPRODUCT(--ISNUMBER($BF364:$BI364),$BK$3:$BN$3)</f>
        <v>1</v>
      </c>
      <c r="BP364" s="831">
        <f t="shared" si="217"/>
        <v>0</v>
      </c>
      <c r="BQ364" s="834" t="str">
        <f t="shared" si="218"/>
        <v>Bajo</v>
      </c>
      <c r="BR364" s="836">
        <f t="shared" si="208"/>
        <v>32.852014190479082</v>
      </c>
      <c r="BS364" s="836">
        <f t="shared" si="209"/>
        <v>0</v>
      </c>
      <c r="BT364" s="837" t="str">
        <f t="shared" si="210"/>
        <v>P2</v>
      </c>
      <c r="BU364" s="807" t="str">
        <f t="shared" si="219"/>
        <v>Con espacio</v>
      </c>
      <c r="BV364" s="807" t="str">
        <f t="shared" si="211"/>
        <v>Zona de bajo potencial</v>
      </c>
      <c r="BW364" s="808" t="str">
        <f t="shared" si="212"/>
        <v>P2 - Mantener</v>
      </c>
    </row>
    <row r="365" spans="1:75">
      <c r="A365" s="780" t="str">
        <f>'Base de datos Rutas'!A363</f>
        <v>Occidente</v>
      </c>
      <c r="B365" s="781" t="str">
        <f>'Base de datos Rutas'!B363</f>
        <v>Zapopan</v>
      </c>
      <c r="C365" s="781" t="str">
        <f>'Base de datos Rutas'!C363</f>
        <v>Planta Zapopan</v>
      </c>
      <c r="D365" s="782">
        <f>IF(ISNUMBER('Base de datos Rutas'!D363),'Base de datos Rutas'!D363,"Sin código")</f>
        <v>816355</v>
      </c>
      <c r="E365" s="783" t="str">
        <f>'Base de datos Rutas'!F363</f>
        <v>Activa</v>
      </c>
      <c r="F365" s="784" t="str">
        <f>'Base de datos Rutas'!H363</f>
        <v>Sí</v>
      </c>
      <c r="G365" s="785">
        <f>IF(ISNUMBER('Base de datos Rutas'!BE363),'Base de datos Rutas'!BE363,"")</f>
        <v>50.501154734411102</v>
      </c>
      <c r="H365" s="786">
        <f>IF(ISNUMBER('Base de datos Rutas'!BH363),'Base de datos Rutas'!BH363,"")</f>
        <v>0.61114922028627605</v>
      </c>
      <c r="I365" s="788">
        <f>IFERROR(IF(OR(NOT(ISNUMBER('Base de datos Rutas'!O363)),N('Base de datos Rutas'!BK363)=0),"",'Base de datos Rutas'!O363/('Base de datos Rutas'!L363/'Base de datos Rutas'!BK363)),"")</f>
        <v>2598.9769053117752</v>
      </c>
      <c r="J365" s="788">
        <f>IFERROR(IF(OR(NOT(ISNUMBER('Base de datos Rutas'!N363)),N('Base de datos Rutas'!BK363)=0),"",'Base de datos Rutas'!N363/('Base de datos Rutas'!L363/'Base de datos Rutas'!BK363)),"")</f>
        <v>6889.0161662817472</v>
      </c>
      <c r="K365" s="788">
        <f>IFERROR(IF(OR(NOT(ISNUMBER('Base de datos Rutas'!J363)),N('Base de datos Rutas'!BK363)=0),"",'Base de datos Rutas'!J363/('Base de datos Rutas'!L363/'Base de datos Rutas'!BK363)),"")</f>
        <v>485.84715381062301</v>
      </c>
      <c r="L365" s="788">
        <f>IFERROR(IF(OR(NOT(ISNUMBER('Base de datos Rutas'!K363)),N('Base de datos Rutas'!BK363)=0),"",'Base de datos Rutas'!K363/('Base de datos Rutas'!L363/'Base de datos Rutas'!BK363)),"")</f>
        <v>20.540010734411062</v>
      </c>
      <c r="M365" s="787">
        <f>IF(ISNUMBER('Base de datos Rutas'!AX363),'Base de datos Rutas'!AX363,"")</f>
        <v>307.41566372343601</v>
      </c>
      <c r="N365" s="790">
        <f>IFERROR(INDEX('Hoja de apoyo v2'!B$17:B$20,MATCH($A365,'Hoja de apoyo v2'!$A$17:$A$20,0)),"")</f>
        <v>89.41621024641401</v>
      </c>
      <c r="O365" s="791">
        <f>IFERROR(INDEX('Hoja de apoyo v2'!C$17:C$20,MATCH($A365,'Hoja de apoyo v2'!$A$17:$A$20,0)),"")</f>
        <v>0.54706375874806301</v>
      </c>
      <c r="P365" s="793">
        <f>IFERROR(INDEX('Hoja de apoyo v2'!D$17:D$20,MATCH($A365,'Hoja de apoyo v2'!$A$17:$A$20,0)),"")</f>
        <v>11095.153935793827</v>
      </c>
      <c r="Q365" s="793">
        <f>IFERROR(INDEX('Hoja de apoyo v2'!E$17:E$20,MATCH($A365,'Hoja de apoyo v2'!$A$17:$A$20,0)),"")</f>
        <v>6982.3202019701848</v>
      </c>
      <c r="R365" s="793">
        <f>IFERROR(INDEX('Hoja de apoyo v2'!F$17:F$20,MATCH($A365,'Hoja de apoyo v2'!$A$17:$A$20,0)),"")</f>
        <v>448.09513474485743</v>
      </c>
      <c r="S365" s="793">
        <f>IFERROR(INDEX('Hoja de apoyo v2'!G$17:G$20,MATCH($A365,'Hoja de apoyo v2'!$A$17:$A$20,0)),"")</f>
        <v>83.406300904207839</v>
      </c>
      <c r="T365" s="792">
        <f>IFERROR(INDEX('Hoja de apoyo v2'!H$17:H$20,MATCH($A365,'Hoja de apoyo v2'!$A$17:$A$20,0)),"")</f>
        <v>378.97014028925349</v>
      </c>
      <c r="U365" s="794">
        <f t="shared" si="184"/>
        <v>0.56478746521731971</v>
      </c>
      <c r="V365" s="795">
        <f t="shared" si="185"/>
        <v>1.1171444105251469</v>
      </c>
      <c r="W365" s="795">
        <f t="shared" si="186"/>
        <v>0.23424433048443558</v>
      </c>
      <c r="X365" s="843">
        <f t="shared" si="187"/>
        <v>0.98663710156659523</v>
      </c>
      <c r="Y365" s="843">
        <f t="shared" si="188"/>
        <v>1.0842500088452451</v>
      </c>
      <c r="Z365" s="843">
        <f t="shared" si="189"/>
        <v>0.24626449694731423</v>
      </c>
      <c r="AA365" s="843">
        <f t="shared" si="190"/>
        <v>0.81118703307019735</v>
      </c>
      <c r="AB365" s="796">
        <f t="shared" si="191"/>
        <v>2</v>
      </c>
      <c r="AC365" s="797">
        <f t="shared" si="192"/>
        <v>4</v>
      </c>
      <c r="AD365" s="797">
        <f t="shared" si="193"/>
        <v>1</v>
      </c>
      <c r="AE365" s="842">
        <f t="shared" si="194"/>
        <v>3</v>
      </c>
      <c r="AF365" s="842">
        <f t="shared" si="195"/>
        <v>4</v>
      </c>
      <c r="AG365" s="842">
        <f t="shared" si="196"/>
        <v>1</v>
      </c>
      <c r="AH365" s="842">
        <f t="shared" si="197"/>
        <v>3</v>
      </c>
      <c r="AI365" s="826" cm="1">
        <f t="array" ref="AI365">SUMPRODUCT(--ISNUMBER($U365:$AA365),$AB$3:$AH$3)</f>
        <v>1</v>
      </c>
      <c r="AJ365" s="829">
        <f t="shared" si="198"/>
        <v>31.768837445018082</v>
      </c>
      <c r="AK365" s="827" t="str">
        <f t="shared" si="199"/>
        <v>Inmadura</v>
      </c>
      <c r="AL365" s="784" t="str">
        <f t="shared" si="200"/>
        <v>Alta</v>
      </c>
      <c r="AM365" s="799">
        <f>IF(ISNUMBER('Base de datos Rutas'!W363),'Base de datos Rutas'!W363,"")</f>
        <v>3427.1365491869451</v>
      </c>
      <c r="AN365" s="787">
        <f>IFERROR(SUMIFS('Base de datos Rutas'!$W$6:$W$794,'Base de datos Rutas'!$C$6:$C$794,$C365)/'Base de datos Rutas'!I363,"")</f>
        <v>3427.1365491869487</v>
      </c>
      <c r="AO365" s="800">
        <f>IFERROR('Base de datos Rutas'!X363*AN365/AM365,"")</f>
        <v>0.3483939033672564</v>
      </c>
      <c r="AP365" s="800">
        <f t="shared" si="201"/>
        <v>0.6516060966327436</v>
      </c>
      <c r="AQ365" s="789">
        <f>IFERROR(INDEX('Hoja de apoyo v2'!$J$17:$J$20,MATCH($A365,'Hoja de apoyo v2'!$A$17:$A$20,0)),"")</f>
        <v>0.64320274048480885</v>
      </c>
      <c r="AR365" s="789">
        <f t="shared" si="202"/>
        <v>8.4033561479347485E-3</v>
      </c>
      <c r="AS365" s="784" t="str">
        <f t="shared" si="203"/>
        <v>No</v>
      </c>
      <c r="AT365" s="801">
        <f>IF(ISNUMBER('Base de datos Rutas'!CK363),'Base de datos Rutas'!CK363,"")</f>
        <v>251</v>
      </c>
      <c r="AU365" s="802">
        <f>IF(ISNUMBER('Base de datos Rutas'!CL363),'Base de datos Rutas'!CL363,"")</f>
        <v>251</v>
      </c>
      <c r="AV365" s="802">
        <f>IF(ISNUMBER('Base de datos Rutas'!CM363),'Base de datos Rutas'!CM363,"")</f>
        <v>0</v>
      </c>
      <c r="AW365" s="802" t="str">
        <f>IF(ISNUMBER('Base de datos Rutas'!CN363),'Base de datos Rutas'!CN363,"")</f>
        <v/>
      </c>
      <c r="AX365" s="802">
        <f>IF(ISNUMBER('Base de datos Rutas'!CO363),'Base de datos Rutas'!CO363,"")</f>
        <v>9.4499999999999993</v>
      </c>
      <c r="AY365" s="802">
        <f>IF(ISNUMBER('Base de datos Rutas'!CP363),'Base de datos Rutas'!CP363,"")</f>
        <v>9.4499999999999993</v>
      </c>
      <c r="AZ365" s="802" t="str">
        <f>IF(ISNUMBER('Base de datos Rutas'!CQ363),'Base de datos Rutas'!CQ363,"")</f>
        <v/>
      </c>
      <c r="BA365" s="802" t="str">
        <f>IF(ISNUMBER('Base de datos Rutas'!CR363),'Base de datos Rutas'!CR363,"")</f>
        <v/>
      </c>
      <c r="BB365" s="803">
        <f>IF(ISNUMBER('Base de datos Rutas'!CS363),'Base de datos Rutas'!CS363,"")</f>
        <v>0</v>
      </c>
      <c r="BC365" s="804" t="str">
        <f t="shared" si="213"/>
        <v/>
      </c>
      <c r="BD365" s="805" t="str">
        <f t="shared" si="214"/>
        <v>N/D</v>
      </c>
      <c r="BE365" s="806" t="str">
        <f t="shared" si="215"/>
        <v/>
      </c>
      <c r="BF365" s="890">
        <f>IF(ISNUMBER('Base de datos Rutas'!CX363),'Base de datos Rutas'!CX363/100,"")</f>
        <v>0</v>
      </c>
      <c r="BG365" s="891">
        <f>IF(ISNUMBER('Base de datos Rutas'!CZ363),'Base de datos Rutas'!CZ363/100,"")</f>
        <v>0</v>
      </c>
      <c r="BH365" s="892">
        <f>IF(ISNUMBER('Base de datos Rutas'!DA363),'Base de datos Rutas'!DA363,"")</f>
        <v>0</v>
      </c>
      <c r="BI365" s="893">
        <f>IF(ISNUMBER('Base de datos Rutas'!DC363),'Base de datos Rutas'!DC363,"")</f>
        <v>0</v>
      </c>
      <c r="BJ365" s="805" t="str">
        <f t="shared" si="216"/>
        <v>Ruta (completo)</v>
      </c>
      <c r="BK365" s="783">
        <f t="shared" si="204"/>
        <v>1</v>
      </c>
      <c r="BL365" s="797">
        <f t="shared" si="205"/>
        <v>1</v>
      </c>
      <c r="BM365" s="797">
        <f t="shared" si="206"/>
        <v>1</v>
      </c>
      <c r="BN365" s="797">
        <f t="shared" si="207"/>
        <v>1</v>
      </c>
      <c r="BO365" s="798" cm="1">
        <f t="array" ref="BO365">SUMPRODUCT(--ISNUMBER($BF365:$BI365),$BK$3:$BN$3)</f>
        <v>1</v>
      </c>
      <c r="BP365" s="831">
        <f t="shared" si="217"/>
        <v>0</v>
      </c>
      <c r="BQ365" s="834" t="str">
        <f t="shared" si="218"/>
        <v>Bajo</v>
      </c>
      <c r="BR365" s="836" t="str">
        <f t="shared" si="208"/>
        <v/>
      </c>
      <c r="BS365" s="836">
        <f t="shared" si="209"/>
        <v>0</v>
      </c>
      <c r="BT365" s="837" t="str">
        <f t="shared" si="210"/>
        <v>Sin datos</v>
      </c>
      <c r="BU365" s="807" t="str">
        <f t="shared" si="219"/>
        <v>Con espacio</v>
      </c>
      <c r="BV365" s="807" t="str">
        <f t="shared" si="211"/>
        <v>Zona de bajo potencial</v>
      </c>
      <c r="BW365" s="808" t="str">
        <f t="shared" si="212"/>
        <v>Sin datos</v>
      </c>
    </row>
    <row r="366" spans="1:75">
      <c r="A366" s="780" t="str">
        <f>'Base de datos Rutas'!A364</f>
        <v>Occidente</v>
      </c>
      <c r="B366" s="781" t="str">
        <f>'Base de datos Rutas'!B364</f>
        <v>Zapopan</v>
      </c>
      <c r="C366" s="781" t="str">
        <f>'Base de datos Rutas'!C364</f>
        <v>Planta Zapopan</v>
      </c>
      <c r="D366" s="782">
        <f>IF(ISNUMBER('Base de datos Rutas'!D364),'Base de datos Rutas'!D364,"Sin código")</f>
        <v>816356</v>
      </c>
      <c r="E366" s="783" t="str">
        <f>'Base de datos Rutas'!F364</f>
        <v>Activa</v>
      </c>
      <c r="F366" s="784" t="str">
        <f>'Base de datos Rutas'!H364</f>
        <v>Sí</v>
      </c>
      <c r="G366" s="785">
        <f>IF(ISNUMBER('Base de datos Rutas'!BE364),'Base de datos Rutas'!BE364,"")</f>
        <v>55.904872389791201</v>
      </c>
      <c r="H366" s="786">
        <f>IF(ISNUMBER('Base de datos Rutas'!BH364),'Base de datos Rutas'!BH364,"")</f>
        <v>0.40568582693504901</v>
      </c>
      <c r="I366" s="788">
        <f>IFERROR(IF(OR(NOT(ISNUMBER('Base de datos Rutas'!O364)),N('Base de datos Rutas'!BK364)=0),"",'Base de datos Rutas'!O364/('Base de datos Rutas'!L364/'Base de datos Rutas'!BK364)),"")</f>
        <v>4007.0765661252976</v>
      </c>
      <c r="J366" s="788">
        <f>IFERROR(IF(OR(NOT(ISNUMBER('Base de datos Rutas'!N364)),N('Base de datos Rutas'!BK364)=0),"",'Base de datos Rutas'!N364/('Base de datos Rutas'!L364/'Base de datos Rutas'!BK364)),"")</f>
        <v>4121.7772621809818</v>
      </c>
      <c r="K366" s="788">
        <f>IFERROR(IF(OR(NOT(ISNUMBER('Base de datos Rutas'!J364)),N('Base de datos Rutas'!BK364)=0),"",'Base de datos Rutas'!J364/('Base de datos Rutas'!L364/'Base de datos Rutas'!BK364)),"")</f>
        <v>281.105499767982</v>
      </c>
      <c r="L366" s="788">
        <f>IFERROR(IF(OR(NOT(ISNUMBER('Base de datos Rutas'!K364)),N('Base de datos Rutas'!BK364)=0),"",'Base de datos Rutas'!K364/('Base de datos Rutas'!L364/'Base de datos Rutas'!BK364)),"")</f>
        <v>22.402863837587049</v>
      </c>
      <c r="M366" s="787">
        <f>IF(ISNUMBER('Base de datos Rutas'!AX364),'Base de datos Rutas'!AX364,"")</f>
        <v>358.41807058823503</v>
      </c>
      <c r="N366" s="790">
        <f>IFERROR(INDEX('Hoja de apoyo v2'!B$17:B$20,MATCH($A366,'Hoja de apoyo v2'!$A$17:$A$20,0)),"")</f>
        <v>89.41621024641401</v>
      </c>
      <c r="O366" s="791">
        <f>IFERROR(INDEX('Hoja de apoyo v2'!C$17:C$20,MATCH($A366,'Hoja de apoyo v2'!$A$17:$A$20,0)),"")</f>
        <v>0.54706375874806301</v>
      </c>
      <c r="P366" s="793">
        <f>IFERROR(INDEX('Hoja de apoyo v2'!D$17:D$20,MATCH($A366,'Hoja de apoyo v2'!$A$17:$A$20,0)),"")</f>
        <v>11095.153935793827</v>
      </c>
      <c r="Q366" s="793">
        <f>IFERROR(INDEX('Hoja de apoyo v2'!E$17:E$20,MATCH($A366,'Hoja de apoyo v2'!$A$17:$A$20,0)),"")</f>
        <v>6982.3202019701848</v>
      </c>
      <c r="R366" s="793">
        <f>IFERROR(INDEX('Hoja de apoyo v2'!F$17:F$20,MATCH($A366,'Hoja de apoyo v2'!$A$17:$A$20,0)),"")</f>
        <v>448.09513474485743</v>
      </c>
      <c r="S366" s="793">
        <f>IFERROR(INDEX('Hoja de apoyo v2'!G$17:G$20,MATCH($A366,'Hoja de apoyo v2'!$A$17:$A$20,0)),"")</f>
        <v>83.406300904207839</v>
      </c>
      <c r="T366" s="792">
        <f>IFERROR(INDEX('Hoja de apoyo v2'!H$17:H$20,MATCH($A366,'Hoja de apoyo v2'!$A$17:$A$20,0)),"")</f>
        <v>378.97014028925349</v>
      </c>
      <c r="U366" s="794">
        <f t="shared" si="184"/>
        <v>0.62522077636401774</v>
      </c>
      <c r="V366" s="795">
        <f t="shared" si="185"/>
        <v>0.74156955281308956</v>
      </c>
      <c r="W366" s="795">
        <f t="shared" si="186"/>
        <v>0.36115556298846452</v>
      </c>
      <c r="X366" s="843">
        <f t="shared" si="187"/>
        <v>0.59031627638874962</v>
      </c>
      <c r="Y366" s="843">
        <f t="shared" si="188"/>
        <v>0.62733441622400499</v>
      </c>
      <c r="Z366" s="843">
        <f t="shared" si="189"/>
        <v>0.26859917769661962</v>
      </c>
      <c r="AA366" s="843">
        <f t="shared" si="190"/>
        <v>0.94576863051708548</v>
      </c>
      <c r="AB366" s="796">
        <f t="shared" si="191"/>
        <v>2</v>
      </c>
      <c r="AC366" s="797">
        <f t="shared" si="192"/>
        <v>2</v>
      </c>
      <c r="AD366" s="797">
        <f t="shared" si="193"/>
        <v>1</v>
      </c>
      <c r="AE366" s="842">
        <f t="shared" si="194"/>
        <v>2</v>
      </c>
      <c r="AF366" s="842">
        <f t="shared" si="195"/>
        <v>2</v>
      </c>
      <c r="AG366" s="842">
        <f t="shared" si="196"/>
        <v>1</v>
      </c>
      <c r="AH366" s="842">
        <f t="shared" si="197"/>
        <v>3</v>
      </c>
      <c r="AI366" s="826" cm="1">
        <f t="array" ref="AI366">SUMPRODUCT(--ISNUMBER($U366:$AA366),$AB$3:$AH$3)</f>
        <v>1</v>
      </c>
      <c r="AJ366" s="829">
        <f t="shared" si="198"/>
        <v>17.741489602938842</v>
      </c>
      <c r="AK366" s="827" t="str">
        <f t="shared" si="199"/>
        <v>Inmadura</v>
      </c>
      <c r="AL366" s="784" t="str">
        <f t="shared" si="200"/>
        <v>Alta</v>
      </c>
      <c r="AM366" s="799">
        <f>IF(ISNUMBER('Base de datos Rutas'!W364),'Base de datos Rutas'!W364,"")</f>
        <v>3427.1365491869451</v>
      </c>
      <c r="AN366" s="787">
        <f>IFERROR(SUMIFS('Base de datos Rutas'!$W$6:$W$794,'Base de datos Rutas'!$C$6:$C$794,$C366)/'Base de datos Rutas'!I364,"")</f>
        <v>3427.1365491869487</v>
      </c>
      <c r="AO366" s="800">
        <f>IFERROR('Base de datos Rutas'!X364*AN366/AM366,"")</f>
        <v>0.3483939033672564</v>
      </c>
      <c r="AP366" s="800">
        <f t="shared" si="201"/>
        <v>0.6516060966327436</v>
      </c>
      <c r="AQ366" s="789">
        <f>IFERROR(INDEX('Hoja de apoyo v2'!$J$17:$J$20,MATCH($A366,'Hoja de apoyo v2'!$A$17:$A$20,0)),"")</f>
        <v>0.64320274048480885</v>
      </c>
      <c r="AR366" s="789">
        <f t="shared" si="202"/>
        <v>8.4033561479347485E-3</v>
      </c>
      <c r="AS366" s="784" t="str">
        <f t="shared" si="203"/>
        <v>No</v>
      </c>
      <c r="AT366" s="801">
        <f>IF(ISNUMBER('Base de datos Rutas'!CK364),'Base de datos Rutas'!CK364,"")</f>
        <v>282</v>
      </c>
      <c r="AU366" s="802">
        <f>IF(ISNUMBER('Base de datos Rutas'!CL364),'Base de datos Rutas'!CL364,"")</f>
        <v>376.09</v>
      </c>
      <c r="AV366" s="802">
        <f>IF(ISNUMBER('Base de datos Rutas'!CM364),'Base de datos Rutas'!CM364,"")</f>
        <v>94.089999999999975</v>
      </c>
      <c r="AW366" s="802">
        <f>IF(ISNUMBER('Base de datos Rutas'!CN364),'Base de datos Rutas'!CN364,"")</f>
        <v>6.94</v>
      </c>
      <c r="AX366" s="802">
        <f>IF(ISNUMBER('Base de datos Rutas'!CO364),'Base de datos Rutas'!CO364,"")</f>
        <v>9.4499999999999993</v>
      </c>
      <c r="AY366" s="802">
        <f>IF(ISNUMBER('Base de datos Rutas'!CP364),'Base de datos Rutas'!CP364,"")</f>
        <v>2.5099999999999989</v>
      </c>
      <c r="AZ366" s="802">
        <f>IF(ISNUMBER('Base de datos Rutas'!CQ364),'Base de datos Rutas'!CQ364,"")</f>
        <v>564.37</v>
      </c>
      <c r="BA366" s="802">
        <f>IF(ISNUMBER('Base de datos Rutas'!CR364),'Base de datos Rutas'!CR364,"")</f>
        <v>303.51</v>
      </c>
      <c r="BB366" s="803">
        <f>IF(ISNUMBER('Base de datos Rutas'!CS364),'Base de datos Rutas'!CS364,"")</f>
        <v>260.86</v>
      </c>
      <c r="BC366" s="804">
        <f t="shared" si="213"/>
        <v>0</v>
      </c>
      <c r="BD366" s="805" t="str">
        <f t="shared" si="214"/>
        <v>No saturada</v>
      </c>
      <c r="BE366" s="806">
        <f t="shared" si="215"/>
        <v>0.53778549533107711</v>
      </c>
      <c r="BF366" s="890">
        <f>IF(ISNUMBER('Base de datos Rutas'!CX364),'Base de datos Rutas'!CX364/100,"")</f>
        <v>0.94037389100126745</v>
      </c>
      <c r="BG366" s="891">
        <f>IF(ISNUMBER('Base de datos Rutas'!CZ364),'Base de datos Rutas'!CZ364/100,"")</f>
        <v>1</v>
      </c>
      <c r="BH366" s="892">
        <f>IF(ISNUMBER('Base de datos Rutas'!DA364),'Base de datos Rutas'!DA364,"")</f>
        <v>880.77626204331102</v>
      </c>
      <c r="BI366" s="893">
        <f>IF(ISNUMBER('Base de datos Rutas'!DC364),'Base de datos Rutas'!DC364,"")</f>
        <v>40.336632597527647</v>
      </c>
      <c r="BJ366" s="805" t="str">
        <f t="shared" si="216"/>
        <v>Ruta (completo)</v>
      </c>
      <c r="BK366" s="783">
        <f t="shared" si="204"/>
        <v>3</v>
      </c>
      <c r="BL366" s="797">
        <f t="shared" si="205"/>
        <v>2</v>
      </c>
      <c r="BM366" s="797">
        <f t="shared" si="206"/>
        <v>4</v>
      </c>
      <c r="BN366" s="797">
        <f t="shared" si="207"/>
        <v>4</v>
      </c>
      <c r="BO366" s="798" cm="1">
        <f t="array" ref="BO366">SUMPRODUCT(--ISNUMBER($BF366:$BI366),$BK$3:$BN$3)</f>
        <v>1</v>
      </c>
      <c r="BP366" s="831">
        <f t="shared" si="217"/>
        <v>56.25</v>
      </c>
      <c r="BQ366" s="834" t="str">
        <f t="shared" si="218"/>
        <v>Alto</v>
      </c>
      <c r="BR366" s="836">
        <f t="shared" si="208"/>
        <v>13.306117202204131</v>
      </c>
      <c r="BS366" s="836">
        <f t="shared" si="209"/>
        <v>56.25</v>
      </c>
      <c r="BT366" s="837" t="str">
        <f t="shared" si="210"/>
        <v>P3</v>
      </c>
      <c r="BU366" s="807" t="str">
        <f t="shared" si="219"/>
        <v>Con espacio</v>
      </c>
      <c r="BV366" s="807" t="str">
        <f t="shared" si="211"/>
        <v>Zona atractiva</v>
      </c>
      <c r="BW366" s="808" t="str">
        <f t="shared" si="212"/>
        <v>P3 - Desarrollar</v>
      </c>
    </row>
    <row r="367" spans="1:75">
      <c r="A367" s="780" t="str">
        <f>'Base de datos Rutas'!A365</f>
        <v>Occidente</v>
      </c>
      <c r="B367" s="781" t="str">
        <f>'Base de datos Rutas'!B365</f>
        <v>Zapopan</v>
      </c>
      <c r="C367" s="781" t="str">
        <f>'Base de datos Rutas'!C365</f>
        <v>Planta Zapopan</v>
      </c>
      <c r="D367" s="782">
        <f>IF(ISNUMBER('Base de datos Rutas'!D365),'Base de datos Rutas'!D365,"Sin código")</f>
        <v>816357</v>
      </c>
      <c r="E367" s="783" t="str">
        <f>'Base de datos Rutas'!F365</f>
        <v>Activa</v>
      </c>
      <c r="F367" s="784" t="str">
        <f>'Base de datos Rutas'!H365</f>
        <v>Sí</v>
      </c>
      <c r="G367" s="785">
        <f>IF(ISNUMBER('Base de datos Rutas'!BE365),'Base de datos Rutas'!BE365,"")</f>
        <v>84.056306306306297</v>
      </c>
      <c r="H367" s="786">
        <f>IF(ISNUMBER('Base de datos Rutas'!BH365),'Base de datos Rutas'!BH365,"")</f>
        <v>0.776184989684092</v>
      </c>
      <c r="I367" s="788">
        <f>IFERROR(IF(OR(NOT(ISNUMBER('Base de datos Rutas'!O365)),N('Base de datos Rutas'!BK365)=0),"",'Base de datos Rutas'!O365/('Base de datos Rutas'!L365/'Base de datos Rutas'!BK365)),"")</f>
        <v>9060.8063063062982</v>
      </c>
      <c r="J367" s="788">
        <f>IFERROR(IF(OR(NOT(ISNUMBER('Base de datos Rutas'!N365)),N('Base de datos Rutas'!BK365)=0),"",'Base de datos Rutas'!N365/('Base de datos Rutas'!L365/'Base de datos Rutas'!BK365)),"")</f>
        <v>8632.3063063062982</v>
      </c>
      <c r="K367" s="788">
        <f>IFERROR(IF(OR(NOT(ISNUMBER('Base de datos Rutas'!J365)),N('Base de datos Rutas'!BK365)=0),"",'Base de datos Rutas'!J365/('Base de datos Rutas'!L365/'Base de datos Rutas'!BK365)),"")</f>
        <v>588.40739999999948</v>
      </c>
      <c r="L367" s="788">
        <f>IFERROR(IF(OR(NOT(ISNUMBER('Base de datos Rutas'!K365)),N('Base de datos Rutas'!BK365)=0),"",'Base de datos Rutas'!K365/('Base de datos Rutas'!L365/'Base de datos Rutas'!BK365)),"")</f>
        <v>51.299320022522473</v>
      </c>
      <c r="M367" s="787">
        <f>IF(ISNUMBER('Base de datos Rutas'!AX365),'Base de datos Rutas'!AX365,"")</f>
        <v>271.18689208782098</v>
      </c>
      <c r="N367" s="790">
        <f>IFERROR(INDEX('Hoja de apoyo v2'!B$17:B$20,MATCH($A367,'Hoja de apoyo v2'!$A$17:$A$20,0)),"")</f>
        <v>89.41621024641401</v>
      </c>
      <c r="O367" s="791">
        <f>IFERROR(INDEX('Hoja de apoyo v2'!C$17:C$20,MATCH($A367,'Hoja de apoyo v2'!$A$17:$A$20,0)),"")</f>
        <v>0.54706375874806301</v>
      </c>
      <c r="P367" s="793">
        <f>IFERROR(INDEX('Hoja de apoyo v2'!D$17:D$20,MATCH($A367,'Hoja de apoyo v2'!$A$17:$A$20,0)),"")</f>
        <v>11095.153935793827</v>
      </c>
      <c r="Q367" s="793">
        <f>IFERROR(INDEX('Hoja de apoyo v2'!E$17:E$20,MATCH($A367,'Hoja de apoyo v2'!$A$17:$A$20,0)),"")</f>
        <v>6982.3202019701848</v>
      </c>
      <c r="R367" s="793">
        <f>IFERROR(INDEX('Hoja de apoyo v2'!F$17:F$20,MATCH($A367,'Hoja de apoyo v2'!$A$17:$A$20,0)),"")</f>
        <v>448.09513474485743</v>
      </c>
      <c r="S367" s="793">
        <f>IFERROR(INDEX('Hoja de apoyo v2'!G$17:G$20,MATCH($A367,'Hoja de apoyo v2'!$A$17:$A$20,0)),"")</f>
        <v>83.406300904207839</v>
      </c>
      <c r="T367" s="792">
        <f>IFERROR(INDEX('Hoja de apoyo v2'!H$17:H$20,MATCH($A367,'Hoja de apoyo v2'!$A$17:$A$20,0)),"")</f>
        <v>378.97014028925349</v>
      </c>
      <c r="U367" s="794">
        <f t="shared" si="184"/>
        <v>0.94005668630624306</v>
      </c>
      <c r="V367" s="795">
        <f t="shared" si="185"/>
        <v>1.4188199771455621</v>
      </c>
      <c r="W367" s="795">
        <f t="shared" si="186"/>
        <v>0.81664538939612497</v>
      </c>
      <c r="X367" s="843">
        <f t="shared" si="187"/>
        <v>1.2363091431800193</v>
      </c>
      <c r="Y367" s="843">
        <f t="shared" si="188"/>
        <v>1.3131305260322341</v>
      </c>
      <c r="Z367" s="843">
        <f t="shared" si="189"/>
        <v>0.6150532929333451</v>
      </c>
      <c r="AA367" s="843">
        <f t="shared" si="190"/>
        <v>0.71558907485648959</v>
      </c>
      <c r="AB367" s="796">
        <f t="shared" si="191"/>
        <v>3</v>
      </c>
      <c r="AC367" s="797">
        <f t="shared" si="192"/>
        <v>5</v>
      </c>
      <c r="AD367" s="797">
        <f t="shared" si="193"/>
        <v>3</v>
      </c>
      <c r="AE367" s="842">
        <f t="shared" si="194"/>
        <v>4</v>
      </c>
      <c r="AF367" s="842">
        <f t="shared" si="195"/>
        <v>5</v>
      </c>
      <c r="AG367" s="842">
        <f t="shared" si="196"/>
        <v>2</v>
      </c>
      <c r="AH367" s="842">
        <f t="shared" si="197"/>
        <v>2</v>
      </c>
      <c r="AI367" s="826" cm="1">
        <f t="array" ref="AI367">SUMPRODUCT(--ISNUMBER($U367:$AA367),$AB$3:$AH$3)</f>
        <v>1</v>
      </c>
      <c r="AJ367" s="829">
        <f t="shared" si="198"/>
        <v>57.393553233692998</v>
      </c>
      <c r="AK367" s="827" t="str">
        <f t="shared" si="199"/>
        <v>En desarrollo</v>
      </c>
      <c r="AL367" s="784" t="str">
        <f t="shared" si="200"/>
        <v>Alta</v>
      </c>
      <c r="AM367" s="799">
        <f>IF(ISNUMBER('Base de datos Rutas'!W365),'Base de datos Rutas'!W365,"")</f>
        <v>3427.1365491869451</v>
      </c>
      <c r="AN367" s="787">
        <f>IFERROR(SUMIFS('Base de datos Rutas'!$W$6:$W$794,'Base de datos Rutas'!$C$6:$C$794,$C367)/'Base de datos Rutas'!I365,"")</f>
        <v>3427.1365491869487</v>
      </c>
      <c r="AO367" s="800">
        <f>IFERROR('Base de datos Rutas'!X365*AN367/AM367,"")</f>
        <v>0.3483939033672564</v>
      </c>
      <c r="AP367" s="800">
        <f t="shared" si="201"/>
        <v>0.6516060966327436</v>
      </c>
      <c r="AQ367" s="789">
        <f>IFERROR(INDEX('Hoja de apoyo v2'!$J$17:$J$20,MATCH($A367,'Hoja de apoyo v2'!$A$17:$A$20,0)),"")</f>
        <v>0.64320274048480885</v>
      </c>
      <c r="AR367" s="789">
        <f t="shared" si="202"/>
        <v>8.4033561479347485E-3</v>
      </c>
      <c r="AS367" s="784" t="str">
        <f t="shared" si="203"/>
        <v>No</v>
      </c>
      <c r="AT367" s="801">
        <f>IF(ISNUMBER('Base de datos Rutas'!CK365),'Base de datos Rutas'!CK365,"")</f>
        <v>305</v>
      </c>
      <c r="AU367" s="802">
        <f>IF(ISNUMBER('Base de datos Rutas'!CL365),'Base de datos Rutas'!CL365,"")</f>
        <v>353.92</v>
      </c>
      <c r="AV367" s="802">
        <f>IF(ISNUMBER('Base de datos Rutas'!CM365),'Base de datos Rutas'!CM365,"")</f>
        <v>48.920000000000016</v>
      </c>
      <c r="AW367" s="802">
        <f>IF(ISNUMBER('Base de datos Rutas'!CN365),'Base de datos Rutas'!CN365,"")</f>
        <v>9.2799999999999994</v>
      </c>
      <c r="AX367" s="802">
        <f>IF(ISNUMBER('Base de datos Rutas'!CO365),'Base de datos Rutas'!CO365,"")</f>
        <v>9.4499999999999993</v>
      </c>
      <c r="AY367" s="802">
        <f>IF(ISNUMBER('Base de datos Rutas'!CP365),'Base de datos Rutas'!CP365,"")</f>
        <v>0.16999999999999993</v>
      </c>
      <c r="AZ367" s="802">
        <f>IF(ISNUMBER('Base de datos Rutas'!CQ365),'Base de datos Rutas'!CQ365,"")</f>
        <v>846.56</v>
      </c>
      <c r="BA367" s="802">
        <f>IF(ISNUMBER('Base de datos Rutas'!CR365),'Base de datos Rutas'!CR365,"")</f>
        <v>639.71</v>
      </c>
      <c r="BB367" s="803">
        <f>IF(ISNUMBER('Base de datos Rutas'!CS365),'Base de datos Rutas'!CS365,"")</f>
        <v>206.84999999999991</v>
      </c>
      <c r="BC367" s="804">
        <f t="shared" si="213"/>
        <v>0</v>
      </c>
      <c r="BD367" s="805" t="str">
        <f t="shared" si="214"/>
        <v>No saturada</v>
      </c>
      <c r="BE367" s="806">
        <f t="shared" si="215"/>
        <v>0.75565819315819327</v>
      </c>
      <c r="BF367" s="890">
        <f>IF(ISNUMBER('Base de datos Rutas'!CX365),'Base de datos Rutas'!CX365/100,"")</f>
        <v>0.94310412573673874</v>
      </c>
      <c r="BG367" s="891">
        <f>IF(ISNUMBER('Base de datos Rutas'!CZ365),'Base de datos Rutas'!CZ365/100,"")</f>
        <v>0.99115913555992141</v>
      </c>
      <c r="BH367" s="892">
        <f>IF(ISNUMBER('Base de datos Rutas'!DA365),'Base de datos Rutas'!DA365,"")</f>
        <v>1460.5558617328384</v>
      </c>
      <c r="BI367" s="893">
        <f>IF(ISNUMBER('Base de datos Rutas'!DC365),'Base de datos Rutas'!DC365,"")</f>
        <v>53.422449668203804</v>
      </c>
      <c r="BJ367" s="805" t="str">
        <f t="shared" si="216"/>
        <v>Ruta (completo)</v>
      </c>
      <c r="BK367" s="783">
        <f t="shared" si="204"/>
        <v>3</v>
      </c>
      <c r="BL367" s="797">
        <f t="shared" si="205"/>
        <v>2</v>
      </c>
      <c r="BM367" s="797">
        <f t="shared" si="206"/>
        <v>5</v>
      </c>
      <c r="BN367" s="797">
        <f t="shared" si="207"/>
        <v>4</v>
      </c>
      <c r="BO367" s="798" cm="1">
        <f t="array" ref="BO367">SUMPRODUCT(--ISNUMBER($BF367:$BI367),$BK$3:$BN$3)</f>
        <v>1</v>
      </c>
      <c r="BP367" s="831">
        <f t="shared" si="217"/>
        <v>62.5</v>
      </c>
      <c r="BQ367" s="834" t="str">
        <f t="shared" si="218"/>
        <v>Alto</v>
      </c>
      <c r="BR367" s="836">
        <f t="shared" si="208"/>
        <v>43.045164925269745</v>
      </c>
      <c r="BS367" s="836">
        <f t="shared" si="209"/>
        <v>62.5</v>
      </c>
      <c r="BT367" s="837" t="str">
        <f t="shared" si="210"/>
        <v>P1</v>
      </c>
      <c r="BU367" s="807" t="str">
        <f t="shared" si="219"/>
        <v>Con espacio</v>
      </c>
      <c r="BV367" s="807" t="str">
        <f t="shared" si="211"/>
        <v>Zona atractiva</v>
      </c>
      <c r="BW367" s="808" t="str">
        <f t="shared" si="212"/>
        <v>P1 - Ampliar cobertura</v>
      </c>
    </row>
    <row r="368" spans="1:75">
      <c r="A368" s="780" t="str">
        <f>'Base de datos Rutas'!A366</f>
        <v>Occidente</v>
      </c>
      <c r="B368" s="781" t="str">
        <f>'Base de datos Rutas'!B366</f>
        <v>Zapopan</v>
      </c>
      <c r="C368" s="781" t="str">
        <f>'Base de datos Rutas'!C366</f>
        <v>Planta Zapopan</v>
      </c>
      <c r="D368" s="782">
        <f>IF(ISNUMBER('Base de datos Rutas'!D366),'Base de datos Rutas'!D366,"Sin código")</f>
        <v>816358</v>
      </c>
      <c r="E368" s="783" t="str">
        <f>'Base de datos Rutas'!F366</f>
        <v>Activa</v>
      </c>
      <c r="F368" s="784" t="str">
        <f>'Base de datos Rutas'!H366</f>
        <v>Sí</v>
      </c>
      <c r="G368" s="785">
        <f>IF(ISNUMBER('Base de datos Rutas'!BE366),'Base de datos Rutas'!BE366,"")</f>
        <v>58.963553530751703</v>
      </c>
      <c r="H368" s="786">
        <f>IF(ISNUMBER('Base de datos Rutas'!BH366),'Base de datos Rutas'!BH366,"")</f>
        <v>0.45559204172300599</v>
      </c>
      <c r="I368" s="788">
        <f>IFERROR(IF(OR(NOT(ISNUMBER('Base de datos Rutas'!O366)),N('Base de datos Rutas'!BK366)=0),"",'Base de datos Rutas'!O366/('Base de datos Rutas'!L366/'Base de datos Rutas'!BK366)),"")</f>
        <v>5016.0068337129815</v>
      </c>
      <c r="J368" s="788">
        <f>IFERROR(IF(OR(NOT(ISNUMBER('Base de datos Rutas'!N366)),N('Base de datos Rutas'!BK366)=0),"",'Base de datos Rutas'!N366/('Base de datos Rutas'!L366/'Base de datos Rutas'!BK366)),"")</f>
        <v>8162.9134396355312</v>
      </c>
      <c r="K368" s="788">
        <f>IFERROR(IF(OR(NOT(ISNUMBER('Base de datos Rutas'!J366)),N('Base de datos Rutas'!BK366)=0),"",'Base de datos Rutas'!J366/('Base de datos Rutas'!L366/'Base de datos Rutas'!BK366)),"")</f>
        <v>555.97754168564893</v>
      </c>
      <c r="L368" s="788">
        <f>IFERROR(IF(OR(NOT(ISNUMBER('Base de datos Rutas'!K366)),N('Base de datos Rutas'!BK366)=0),"",'Base de datos Rutas'!K366/('Base de datos Rutas'!L366/'Base de datos Rutas'!BK366)),"")</f>
        <v>34.155472448747133</v>
      </c>
      <c r="M368" s="787">
        <f>IF(ISNUMBER('Base de datos Rutas'!AX366),'Base de datos Rutas'!AX366,"")</f>
        <v>490.59142372593902</v>
      </c>
      <c r="N368" s="790">
        <f>IFERROR(INDEX('Hoja de apoyo v2'!B$17:B$20,MATCH($A368,'Hoja de apoyo v2'!$A$17:$A$20,0)),"")</f>
        <v>89.41621024641401</v>
      </c>
      <c r="O368" s="791">
        <f>IFERROR(INDEX('Hoja de apoyo v2'!C$17:C$20,MATCH($A368,'Hoja de apoyo v2'!$A$17:$A$20,0)),"")</f>
        <v>0.54706375874806301</v>
      </c>
      <c r="P368" s="793">
        <f>IFERROR(INDEX('Hoja de apoyo v2'!D$17:D$20,MATCH($A368,'Hoja de apoyo v2'!$A$17:$A$20,0)),"")</f>
        <v>11095.153935793827</v>
      </c>
      <c r="Q368" s="793">
        <f>IFERROR(INDEX('Hoja de apoyo v2'!E$17:E$20,MATCH($A368,'Hoja de apoyo v2'!$A$17:$A$20,0)),"")</f>
        <v>6982.3202019701848</v>
      </c>
      <c r="R368" s="793">
        <f>IFERROR(INDEX('Hoja de apoyo v2'!F$17:F$20,MATCH($A368,'Hoja de apoyo v2'!$A$17:$A$20,0)),"")</f>
        <v>448.09513474485743</v>
      </c>
      <c r="S368" s="793">
        <f>IFERROR(INDEX('Hoja de apoyo v2'!G$17:G$20,MATCH($A368,'Hoja de apoyo v2'!$A$17:$A$20,0)),"")</f>
        <v>83.406300904207839</v>
      </c>
      <c r="T368" s="792">
        <f>IFERROR(INDEX('Hoja de apoyo v2'!H$17:H$20,MATCH($A368,'Hoja de apoyo v2'!$A$17:$A$20,0)),"")</f>
        <v>378.97014028925349</v>
      </c>
      <c r="U368" s="794">
        <f t="shared" si="184"/>
        <v>0.65942800939851287</v>
      </c>
      <c r="V368" s="795">
        <f t="shared" si="185"/>
        <v>0.83279514396203658</v>
      </c>
      <c r="W368" s="795">
        <f t="shared" si="186"/>
        <v>0.45208988200974431</v>
      </c>
      <c r="X368" s="843">
        <f t="shared" si="187"/>
        <v>1.1690832278548642</v>
      </c>
      <c r="Y368" s="843">
        <f t="shared" si="188"/>
        <v>1.2407578180964163</v>
      </c>
      <c r="Z368" s="843">
        <f t="shared" si="189"/>
        <v>0.4095071005243921</v>
      </c>
      <c r="AA368" s="843">
        <f t="shared" si="190"/>
        <v>1.2945384650924985</v>
      </c>
      <c r="AB368" s="796">
        <f t="shared" si="191"/>
        <v>2</v>
      </c>
      <c r="AC368" s="797">
        <f t="shared" si="192"/>
        <v>3</v>
      </c>
      <c r="AD368" s="797">
        <f t="shared" si="193"/>
        <v>1</v>
      </c>
      <c r="AE368" s="842">
        <f t="shared" si="194"/>
        <v>4</v>
      </c>
      <c r="AF368" s="842">
        <f t="shared" si="195"/>
        <v>4</v>
      </c>
      <c r="AG368" s="842">
        <f t="shared" si="196"/>
        <v>1</v>
      </c>
      <c r="AH368" s="842">
        <f t="shared" si="197"/>
        <v>5</v>
      </c>
      <c r="AI368" s="826" cm="1">
        <f t="array" ref="AI368">SUMPRODUCT(--ISNUMBER($U368:$AA368),$AB$3:$AH$3)</f>
        <v>1</v>
      </c>
      <c r="AJ368" s="829">
        <f t="shared" si="198"/>
        <v>37.284835185999412</v>
      </c>
      <c r="AK368" s="827" t="str">
        <f t="shared" si="199"/>
        <v>Inmadura</v>
      </c>
      <c r="AL368" s="784" t="str">
        <f t="shared" si="200"/>
        <v>Alta</v>
      </c>
      <c r="AM368" s="799">
        <f>IF(ISNUMBER('Base de datos Rutas'!W366),'Base de datos Rutas'!W366,"")</f>
        <v>3427.1365491869451</v>
      </c>
      <c r="AN368" s="787">
        <f>IFERROR(SUMIFS('Base de datos Rutas'!$W$6:$W$794,'Base de datos Rutas'!$C$6:$C$794,$C368)/'Base de datos Rutas'!I366,"")</f>
        <v>3427.1365491869487</v>
      </c>
      <c r="AO368" s="800">
        <f>IFERROR('Base de datos Rutas'!X366*AN368/AM368,"")</f>
        <v>0.3483939033672564</v>
      </c>
      <c r="AP368" s="800">
        <f t="shared" si="201"/>
        <v>0.6516060966327436</v>
      </c>
      <c r="AQ368" s="789">
        <f>IFERROR(INDEX('Hoja de apoyo v2'!$J$17:$J$20,MATCH($A368,'Hoja de apoyo v2'!$A$17:$A$20,0)),"")</f>
        <v>0.64320274048480885</v>
      </c>
      <c r="AR368" s="789">
        <f t="shared" si="202"/>
        <v>8.4033561479347485E-3</v>
      </c>
      <c r="AS368" s="784" t="str">
        <f t="shared" si="203"/>
        <v>No</v>
      </c>
      <c r="AT368" s="801">
        <f>IF(ISNUMBER('Base de datos Rutas'!CK366),'Base de datos Rutas'!CK366,"")</f>
        <v>261</v>
      </c>
      <c r="AU368" s="802">
        <f>IF(ISNUMBER('Base de datos Rutas'!CL366),'Base de datos Rutas'!CL366,"")</f>
        <v>309.01</v>
      </c>
      <c r="AV368" s="802">
        <f>IF(ISNUMBER('Base de datos Rutas'!CM366),'Base de datos Rutas'!CM366,"")</f>
        <v>48.009999999999991</v>
      </c>
      <c r="AW368" s="802">
        <f>IF(ISNUMBER('Base de datos Rutas'!CN366),'Base de datos Rutas'!CN366,"")</f>
        <v>8.4499999999999993</v>
      </c>
      <c r="AX368" s="802">
        <f>IF(ISNUMBER('Base de datos Rutas'!CO366),'Base de datos Rutas'!CO366,"")</f>
        <v>9.4499999999999993</v>
      </c>
      <c r="AY368" s="802">
        <f>IF(ISNUMBER('Base de datos Rutas'!CP366),'Base de datos Rutas'!CP366,"")</f>
        <v>1</v>
      </c>
      <c r="AZ368" s="802">
        <f>IF(ISNUMBER('Base de datos Rutas'!CQ366),'Base de datos Rutas'!CQ366,"")</f>
        <v>846.56</v>
      </c>
      <c r="BA368" s="802">
        <f>IF(ISNUMBER('Base de datos Rutas'!CR366),'Base de datos Rutas'!CR366,"")</f>
        <v>590.13</v>
      </c>
      <c r="BB368" s="803">
        <f>IF(ISNUMBER('Base de datos Rutas'!CS366),'Base de datos Rutas'!CS366,"")</f>
        <v>256.42999999999995</v>
      </c>
      <c r="BC368" s="804">
        <f t="shared" si="213"/>
        <v>0</v>
      </c>
      <c r="BD368" s="805" t="str">
        <f t="shared" si="214"/>
        <v>No saturada</v>
      </c>
      <c r="BE368" s="806">
        <f t="shared" si="215"/>
        <v>0.69709175959175962</v>
      </c>
      <c r="BF368" s="890">
        <f>IF(ISNUMBER('Base de datos Rutas'!CX366),'Base de datos Rutas'!CX366/100,"")</f>
        <v>0.97107831325301208</v>
      </c>
      <c r="BG368" s="891">
        <f>IF(ISNUMBER('Base de datos Rutas'!CZ366),'Base de datos Rutas'!CZ366/100,"")</f>
        <v>1</v>
      </c>
      <c r="BH368" s="892">
        <f>IF(ISNUMBER('Base de datos Rutas'!DA366),'Base de datos Rutas'!DA366,"")</f>
        <v>347.09247603936745</v>
      </c>
      <c r="BI368" s="893">
        <f>IF(ISNUMBER('Base de datos Rutas'!DC366),'Base de datos Rutas'!DC366,"")</f>
        <v>16.232680136533158</v>
      </c>
      <c r="BJ368" s="805" t="str">
        <f t="shared" si="216"/>
        <v>Ruta (completo)</v>
      </c>
      <c r="BK368" s="783">
        <f t="shared" si="204"/>
        <v>5</v>
      </c>
      <c r="BL368" s="797">
        <f t="shared" si="205"/>
        <v>2</v>
      </c>
      <c r="BM368" s="797">
        <f t="shared" si="206"/>
        <v>1</v>
      </c>
      <c r="BN368" s="797">
        <f t="shared" si="207"/>
        <v>1</v>
      </c>
      <c r="BO368" s="798" cm="1">
        <f t="array" ref="BO368">SUMPRODUCT(--ISNUMBER($BF368:$BI368),$BK$3:$BN$3)</f>
        <v>1</v>
      </c>
      <c r="BP368" s="831">
        <f t="shared" si="217"/>
        <v>31.25</v>
      </c>
      <c r="BQ368" s="834" t="str">
        <f t="shared" si="218"/>
        <v>Medio</v>
      </c>
      <c r="BR368" s="836">
        <f t="shared" si="208"/>
        <v>27.963626389499559</v>
      </c>
      <c r="BS368" s="836">
        <f t="shared" si="209"/>
        <v>31.25</v>
      </c>
      <c r="BT368" s="837" t="str">
        <f t="shared" si="210"/>
        <v>P4</v>
      </c>
      <c r="BU368" s="807" t="str">
        <f t="shared" si="219"/>
        <v>Con espacio</v>
      </c>
      <c r="BV368" s="807" t="str">
        <f t="shared" si="211"/>
        <v>Zona de bajo potencial</v>
      </c>
      <c r="BW368" s="808" t="str">
        <f t="shared" si="212"/>
        <v>P4 - Evaluar</v>
      </c>
    </row>
    <row r="369" spans="1:75">
      <c r="A369" s="780" t="str">
        <f>'Base de datos Rutas'!A367</f>
        <v>Occidente</v>
      </c>
      <c r="B369" s="781" t="str">
        <f>'Base de datos Rutas'!B367</f>
        <v>Zapopan</v>
      </c>
      <c r="C369" s="781" t="str">
        <f>'Base de datos Rutas'!C367</f>
        <v>Planta Zapopan</v>
      </c>
      <c r="D369" s="782">
        <f>IF(ISNUMBER('Base de datos Rutas'!D367),'Base de datos Rutas'!D367,"Sin código")</f>
        <v>816359</v>
      </c>
      <c r="E369" s="783" t="str">
        <f>'Base de datos Rutas'!F367</f>
        <v>Activa</v>
      </c>
      <c r="F369" s="784" t="str">
        <f>'Base de datos Rutas'!H367</f>
        <v>Sí</v>
      </c>
      <c r="G369" s="785">
        <f>IF(ISNUMBER('Base de datos Rutas'!BE367),'Base de datos Rutas'!BE367,"")</f>
        <v>99.398617511520698</v>
      </c>
      <c r="H369" s="786">
        <f>IF(ISNUMBER('Base de datos Rutas'!BH367),'Base de datos Rutas'!BH367,"")</f>
        <v>0.37610978464962103</v>
      </c>
      <c r="I369" s="788">
        <f>IFERROR(IF(OR(NOT(ISNUMBER('Base de datos Rutas'!O367)),N('Base de datos Rutas'!BK367)=0),"",'Base de datos Rutas'!O367/('Base de datos Rutas'!L367/'Base de datos Rutas'!BK367)),"")</f>
        <v>4811.4516129032218</v>
      </c>
      <c r="J369" s="788">
        <f>IFERROR(IF(OR(NOT(ISNUMBER('Base de datos Rutas'!N367)),N('Base de datos Rutas'!BK367)=0),"",'Base de datos Rutas'!N367/('Base de datos Rutas'!L367/'Base de datos Rutas'!BK367)),"")</f>
        <v>6763.7027649769534</v>
      </c>
      <c r="K369" s="788">
        <f>IFERROR(IF(OR(NOT(ISNUMBER('Base de datos Rutas'!J367)),N('Base de datos Rutas'!BK367)=0),"",'Base de datos Rutas'!J367/('Base de datos Rutas'!L367/'Base de datos Rutas'!BK367)),"")</f>
        <v>461.83209032258026</v>
      </c>
      <c r="L369" s="788">
        <f>IFERROR(IF(OR(NOT(ISNUMBER('Base de datos Rutas'!K367)),N('Base de datos Rutas'!BK367)=0),"",'Base de datos Rutas'!K367/('Base de datos Rutas'!L367/'Base de datos Rutas'!BK367)),"")</f>
        <v>35.83671694930873</v>
      </c>
      <c r="M369" s="787">
        <f>IF(ISNUMBER('Base de datos Rutas'!AX367),'Base de datos Rutas'!AX367,"")</f>
        <v>309.62192850539299</v>
      </c>
      <c r="N369" s="790">
        <f>IFERROR(INDEX('Hoja de apoyo v2'!B$17:B$20,MATCH($A369,'Hoja de apoyo v2'!$A$17:$A$20,0)),"")</f>
        <v>89.41621024641401</v>
      </c>
      <c r="O369" s="791">
        <f>IFERROR(INDEX('Hoja de apoyo v2'!C$17:C$20,MATCH($A369,'Hoja de apoyo v2'!$A$17:$A$20,0)),"")</f>
        <v>0.54706375874806301</v>
      </c>
      <c r="P369" s="793">
        <f>IFERROR(INDEX('Hoja de apoyo v2'!D$17:D$20,MATCH($A369,'Hoja de apoyo v2'!$A$17:$A$20,0)),"")</f>
        <v>11095.153935793827</v>
      </c>
      <c r="Q369" s="793">
        <f>IFERROR(INDEX('Hoja de apoyo v2'!E$17:E$20,MATCH($A369,'Hoja de apoyo v2'!$A$17:$A$20,0)),"")</f>
        <v>6982.3202019701848</v>
      </c>
      <c r="R369" s="793">
        <f>IFERROR(INDEX('Hoja de apoyo v2'!F$17:F$20,MATCH($A369,'Hoja de apoyo v2'!$A$17:$A$20,0)),"")</f>
        <v>448.09513474485743</v>
      </c>
      <c r="S369" s="793">
        <f>IFERROR(INDEX('Hoja de apoyo v2'!G$17:G$20,MATCH($A369,'Hoja de apoyo v2'!$A$17:$A$20,0)),"")</f>
        <v>83.406300904207839</v>
      </c>
      <c r="T369" s="792">
        <f>IFERROR(INDEX('Hoja de apoyo v2'!H$17:H$20,MATCH($A369,'Hoja de apoyo v2'!$A$17:$A$20,0)),"")</f>
        <v>378.97014028925349</v>
      </c>
      <c r="U369" s="794">
        <f t="shared" si="184"/>
        <v>1.1116397936973295</v>
      </c>
      <c r="V369" s="795">
        <f t="shared" si="185"/>
        <v>0.68750630732756923</v>
      </c>
      <c r="W369" s="795">
        <f t="shared" si="186"/>
        <v>0.43365343471090612</v>
      </c>
      <c r="X369" s="843">
        <f t="shared" si="187"/>
        <v>0.96868985800285345</v>
      </c>
      <c r="Y369" s="843">
        <f t="shared" si="188"/>
        <v>1.0306563372653992</v>
      </c>
      <c r="Z369" s="843">
        <f t="shared" si="189"/>
        <v>0.42966438459448297</v>
      </c>
      <c r="AA369" s="843">
        <f t="shared" si="190"/>
        <v>0.81700877084688084</v>
      </c>
      <c r="AB369" s="796">
        <f t="shared" si="191"/>
        <v>4</v>
      </c>
      <c r="AC369" s="797">
        <f t="shared" si="192"/>
        <v>2</v>
      </c>
      <c r="AD369" s="797">
        <f t="shared" si="193"/>
        <v>1</v>
      </c>
      <c r="AE369" s="842">
        <f t="shared" si="194"/>
        <v>3</v>
      </c>
      <c r="AF369" s="842">
        <f t="shared" si="195"/>
        <v>4</v>
      </c>
      <c r="AG369" s="842">
        <f t="shared" si="196"/>
        <v>1</v>
      </c>
      <c r="AH369" s="842">
        <f t="shared" si="197"/>
        <v>3</v>
      </c>
      <c r="AI369" s="826" cm="1">
        <f t="array" ref="AI369">SUMPRODUCT(--ISNUMBER($U369:$AA369),$AB$3:$AH$3)</f>
        <v>1</v>
      </c>
      <c r="AJ369" s="829">
        <f t="shared" si="198"/>
        <v>36.070298629510624</v>
      </c>
      <c r="AK369" s="827" t="str">
        <f t="shared" si="199"/>
        <v>Inmadura</v>
      </c>
      <c r="AL369" s="784" t="str">
        <f t="shared" si="200"/>
        <v>Alta</v>
      </c>
      <c r="AM369" s="799">
        <f>IF(ISNUMBER('Base de datos Rutas'!W367),'Base de datos Rutas'!W367,"")</f>
        <v>3427.1365491869451</v>
      </c>
      <c r="AN369" s="787">
        <f>IFERROR(SUMIFS('Base de datos Rutas'!$W$6:$W$794,'Base de datos Rutas'!$C$6:$C$794,$C369)/'Base de datos Rutas'!I367,"")</f>
        <v>3427.1365491869487</v>
      </c>
      <c r="AO369" s="800">
        <f>IFERROR('Base de datos Rutas'!X367*AN369/AM369,"")</f>
        <v>0.3483939033672564</v>
      </c>
      <c r="AP369" s="800">
        <f t="shared" si="201"/>
        <v>0.6516060966327436</v>
      </c>
      <c r="AQ369" s="789">
        <f>IFERROR(INDEX('Hoja de apoyo v2'!$J$17:$J$20,MATCH($A369,'Hoja de apoyo v2'!$A$17:$A$20,0)),"")</f>
        <v>0.64320274048480885</v>
      </c>
      <c r="AR369" s="789">
        <f t="shared" si="202"/>
        <v>8.4033561479347485E-3</v>
      </c>
      <c r="AS369" s="784" t="str">
        <f t="shared" si="203"/>
        <v>No</v>
      </c>
      <c r="AT369" s="801">
        <f>IF(ISNUMBER('Base de datos Rutas'!CK367),'Base de datos Rutas'!CK367,"")</f>
        <v>385</v>
      </c>
      <c r="AU369" s="802">
        <f>IF(ISNUMBER('Base de datos Rutas'!CL367),'Base de datos Rutas'!CL367,"")</f>
        <v>471.73</v>
      </c>
      <c r="AV369" s="802">
        <f>IF(ISNUMBER('Base de datos Rutas'!CM367),'Base de datos Rutas'!CM367,"")</f>
        <v>86.730000000000018</v>
      </c>
      <c r="AW369" s="802">
        <f>IF(ISNUMBER('Base de datos Rutas'!CN367),'Base de datos Rutas'!CN367,"")</f>
        <v>12.87</v>
      </c>
      <c r="AX369" s="802">
        <f>IF(ISNUMBER('Base de datos Rutas'!CO367),'Base de datos Rutas'!CO367,"")</f>
        <v>9.4499999999999993</v>
      </c>
      <c r="AY369" s="802">
        <f>IF(ISNUMBER('Base de datos Rutas'!CP367),'Base de datos Rutas'!CP367,"")</f>
        <v>-3.42</v>
      </c>
      <c r="AZ369" s="802">
        <f>IF(ISNUMBER('Base de datos Rutas'!CQ367),'Base de datos Rutas'!CQ367,"")</f>
        <v>846.56</v>
      </c>
      <c r="BA369" s="802">
        <f>IF(ISNUMBER('Base de datos Rutas'!CR367),'Base de datos Rutas'!CR367,"")</f>
        <v>497.67</v>
      </c>
      <c r="BB369" s="803">
        <f>IF(ISNUMBER('Base de datos Rutas'!CS367),'Base de datos Rutas'!CS367,"")</f>
        <v>348.88999999999993</v>
      </c>
      <c r="BC369" s="804">
        <f t="shared" si="213"/>
        <v>1</v>
      </c>
      <c r="BD369" s="805" t="str">
        <f t="shared" si="214"/>
        <v>Saturada</v>
      </c>
      <c r="BE369" s="806">
        <f t="shared" si="215"/>
        <v>0.58787327537327538</v>
      </c>
      <c r="BF369" s="890">
        <f>IF(ISNUMBER('Base de datos Rutas'!CX367),'Base de datos Rutas'!CX367/100,"")</f>
        <v>0.96010579576816923</v>
      </c>
      <c r="BG369" s="891">
        <f>IF(ISNUMBER('Base de datos Rutas'!CZ367),'Base de datos Rutas'!CZ367/100,"")</f>
        <v>1</v>
      </c>
      <c r="BH369" s="892">
        <f>IF(ISNUMBER('Base de datos Rutas'!DA367),'Base de datos Rutas'!DA367,"")</f>
        <v>1489.8855944761206</v>
      </c>
      <c r="BI369" s="893">
        <f>IF(ISNUMBER('Base de datos Rutas'!DC367),'Base de datos Rutas'!DC367,"")</f>
        <v>63.266307785538302</v>
      </c>
      <c r="BJ369" s="805" t="str">
        <f t="shared" si="216"/>
        <v>Ruta (completo)</v>
      </c>
      <c r="BK369" s="783">
        <f t="shared" si="204"/>
        <v>4</v>
      </c>
      <c r="BL369" s="797">
        <f t="shared" si="205"/>
        <v>2</v>
      </c>
      <c r="BM369" s="797">
        <f t="shared" si="206"/>
        <v>5</v>
      </c>
      <c r="BN369" s="797">
        <f t="shared" si="207"/>
        <v>5</v>
      </c>
      <c r="BO369" s="798" cm="1">
        <f t="array" ref="BO369">SUMPRODUCT(--ISNUMBER($BF369:$BI369),$BK$3:$BN$3)</f>
        <v>1</v>
      </c>
      <c r="BP369" s="831">
        <f t="shared" si="217"/>
        <v>75</v>
      </c>
      <c r="BQ369" s="834" t="str">
        <f t="shared" si="218"/>
        <v>Alto</v>
      </c>
      <c r="BR369" s="836">
        <f t="shared" si="208"/>
        <v>52.052723972132966</v>
      </c>
      <c r="BS369" s="836">
        <f t="shared" si="209"/>
        <v>75</v>
      </c>
      <c r="BT369" s="837" t="str">
        <f t="shared" si="210"/>
        <v>P1</v>
      </c>
      <c r="BU369" s="807" t="str">
        <f t="shared" si="219"/>
        <v>Al tope</v>
      </c>
      <c r="BV369" s="807" t="str">
        <f t="shared" si="211"/>
        <v>Zona atractiva</v>
      </c>
      <c r="BW369" s="808" t="str">
        <f t="shared" si="212"/>
        <v>P1 - Ampliar cobertura</v>
      </c>
    </row>
    <row r="370" spans="1:75">
      <c r="A370" s="780" t="str">
        <f>'Base de datos Rutas'!A368</f>
        <v>Occidente</v>
      </c>
      <c r="B370" s="781" t="str">
        <f>'Base de datos Rutas'!B368</f>
        <v>Zapopan</v>
      </c>
      <c r="C370" s="781" t="str">
        <f>'Base de datos Rutas'!C368</f>
        <v>Planta Zapopan</v>
      </c>
      <c r="D370" s="782">
        <f>IF(ISNUMBER('Base de datos Rutas'!D368),'Base de datos Rutas'!D368,"Sin código")</f>
        <v>816360</v>
      </c>
      <c r="E370" s="783" t="str">
        <f>'Base de datos Rutas'!F368</f>
        <v>Activa</v>
      </c>
      <c r="F370" s="784" t="str">
        <f>'Base de datos Rutas'!H368</f>
        <v>Sí</v>
      </c>
      <c r="G370" s="785">
        <f>IF(ISNUMBER('Base de datos Rutas'!BE368),'Base de datos Rutas'!BE368,"")</f>
        <v>60.372685185185198</v>
      </c>
      <c r="H370" s="786">
        <f>IF(ISNUMBER('Base de datos Rutas'!BH368),'Base de datos Rutas'!BH368,"")</f>
        <v>0.431195122886392</v>
      </c>
      <c r="I370" s="788">
        <f>IFERROR(IF(OR(NOT(ISNUMBER('Base de datos Rutas'!O368)),N('Base de datos Rutas'!BK368)=0),"",'Base de datos Rutas'!O368/('Base de datos Rutas'!L368/'Base de datos Rutas'!BK368)),"")</f>
        <v>3346.0972222222199</v>
      </c>
      <c r="J370" s="788">
        <f>IFERROR(IF(OR(NOT(ISNUMBER('Base de datos Rutas'!N368)),N('Base de datos Rutas'!BK368)=0),"",'Base de datos Rutas'!N368/('Base de datos Rutas'!L368/'Base de datos Rutas'!BK368)),"")</f>
        <v>5897.9421296296259</v>
      </c>
      <c r="K370" s="788">
        <f>IFERROR(IF(OR(NOT(ISNUMBER('Base de datos Rutas'!J368)),N('Base de datos Rutas'!BK368)=0),"",'Base de datos Rutas'!J368/('Base de datos Rutas'!L368/'Base de datos Rutas'!BK368)),"")</f>
        <v>405.65491296296273</v>
      </c>
      <c r="L370" s="788">
        <f>IFERROR(IF(OR(NOT(ISNUMBER('Base de datos Rutas'!K368)),N('Base de datos Rutas'!BK368)=0),"",'Base de datos Rutas'!K368/('Base de datos Rutas'!L368/'Base de datos Rutas'!BK368)),"")</f>
        <v>22.720266145833317</v>
      </c>
      <c r="M370" s="787">
        <f>IF(ISNUMBER('Base de datos Rutas'!AX368),'Base de datos Rutas'!AX368,"")</f>
        <v>355.07300017784098</v>
      </c>
      <c r="N370" s="790">
        <f>IFERROR(INDEX('Hoja de apoyo v2'!B$17:B$20,MATCH($A370,'Hoja de apoyo v2'!$A$17:$A$20,0)),"")</f>
        <v>89.41621024641401</v>
      </c>
      <c r="O370" s="791">
        <f>IFERROR(INDEX('Hoja de apoyo v2'!C$17:C$20,MATCH($A370,'Hoja de apoyo v2'!$A$17:$A$20,0)),"")</f>
        <v>0.54706375874806301</v>
      </c>
      <c r="P370" s="793">
        <f>IFERROR(INDEX('Hoja de apoyo v2'!D$17:D$20,MATCH($A370,'Hoja de apoyo v2'!$A$17:$A$20,0)),"")</f>
        <v>11095.153935793827</v>
      </c>
      <c r="Q370" s="793">
        <f>IFERROR(INDEX('Hoja de apoyo v2'!E$17:E$20,MATCH($A370,'Hoja de apoyo v2'!$A$17:$A$20,0)),"")</f>
        <v>6982.3202019701848</v>
      </c>
      <c r="R370" s="793">
        <f>IFERROR(INDEX('Hoja de apoyo v2'!F$17:F$20,MATCH($A370,'Hoja de apoyo v2'!$A$17:$A$20,0)),"")</f>
        <v>448.09513474485743</v>
      </c>
      <c r="S370" s="793">
        <f>IFERROR(INDEX('Hoja de apoyo v2'!G$17:G$20,MATCH($A370,'Hoja de apoyo v2'!$A$17:$A$20,0)),"")</f>
        <v>83.406300904207839</v>
      </c>
      <c r="T370" s="792">
        <f>IFERROR(INDEX('Hoja de apoyo v2'!H$17:H$20,MATCH($A370,'Hoja de apoyo v2'!$A$17:$A$20,0)),"")</f>
        <v>378.97014028925349</v>
      </c>
      <c r="U370" s="794">
        <f t="shared" si="184"/>
        <v>0.67518725093369092</v>
      </c>
      <c r="V370" s="795">
        <f t="shared" si="185"/>
        <v>0.78819902797649677</v>
      </c>
      <c r="W370" s="795">
        <f t="shared" si="186"/>
        <v>0.30158186552305966</v>
      </c>
      <c r="X370" s="843">
        <f t="shared" si="187"/>
        <v>0.84469659927160279</v>
      </c>
      <c r="Y370" s="843">
        <f t="shared" si="188"/>
        <v>0.90528747470989634</v>
      </c>
      <c r="Z370" s="843">
        <f t="shared" si="189"/>
        <v>0.272404673262366</v>
      </c>
      <c r="AA370" s="843">
        <f t="shared" si="190"/>
        <v>0.936941891798724</v>
      </c>
      <c r="AB370" s="796">
        <f t="shared" si="191"/>
        <v>2</v>
      </c>
      <c r="AC370" s="797">
        <f t="shared" si="192"/>
        <v>3</v>
      </c>
      <c r="AD370" s="797">
        <f t="shared" si="193"/>
        <v>1</v>
      </c>
      <c r="AE370" s="842">
        <f t="shared" si="194"/>
        <v>3</v>
      </c>
      <c r="AF370" s="842">
        <f t="shared" si="195"/>
        <v>3</v>
      </c>
      <c r="AG370" s="842">
        <f t="shared" si="196"/>
        <v>1</v>
      </c>
      <c r="AH370" s="842">
        <f t="shared" si="197"/>
        <v>3</v>
      </c>
      <c r="AI370" s="826" cm="1">
        <f t="array" ref="AI370">SUMPRODUCT(--ISNUMBER($U370:$AA370),$AB$3:$AH$3)</f>
        <v>1</v>
      </c>
      <c r="AJ370" s="829">
        <f t="shared" si="198"/>
        <v>26.459887347087808</v>
      </c>
      <c r="AK370" s="827" t="str">
        <f t="shared" si="199"/>
        <v>Inmadura</v>
      </c>
      <c r="AL370" s="784" t="str">
        <f t="shared" si="200"/>
        <v>Alta</v>
      </c>
      <c r="AM370" s="799">
        <f>IF(ISNUMBER('Base de datos Rutas'!W368),'Base de datos Rutas'!W368,"")</f>
        <v>3427.1365491869451</v>
      </c>
      <c r="AN370" s="787">
        <f>IFERROR(SUMIFS('Base de datos Rutas'!$W$6:$W$794,'Base de datos Rutas'!$C$6:$C$794,$C370)/'Base de datos Rutas'!I368,"")</f>
        <v>3427.1365491869487</v>
      </c>
      <c r="AO370" s="800">
        <f>IFERROR('Base de datos Rutas'!X368*AN370/AM370,"")</f>
        <v>0.3483939033672564</v>
      </c>
      <c r="AP370" s="800">
        <f t="shared" si="201"/>
        <v>0.6516060966327436</v>
      </c>
      <c r="AQ370" s="789">
        <f>IFERROR(INDEX('Hoja de apoyo v2'!$J$17:$J$20,MATCH($A370,'Hoja de apoyo v2'!$A$17:$A$20,0)),"")</f>
        <v>0.64320274048480885</v>
      </c>
      <c r="AR370" s="789">
        <f t="shared" si="202"/>
        <v>8.4033561479347485E-3</v>
      </c>
      <c r="AS370" s="784" t="str">
        <f t="shared" si="203"/>
        <v>No</v>
      </c>
      <c r="AT370" s="801">
        <f>IF(ISNUMBER('Base de datos Rutas'!CK368),'Base de datos Rutas'!CK368,"")</f>
        <v>263</v>
      </c>
      <c r="AU370" s="802">
        <f>IF(ISNUMBER('Base de datos Rutas'!CL368),'Base de datos Rutas'!CL368,"")</f>
        <v>383.58</v>
      </c>
      <c r="AV370" s="802">
        <f>IF(ISNUMBER('Base de datos Rutas'!CM368),'Base de datos Rutas'!CM368,"")</f>
        <v>120.57999999999998</v>
      </c>
      <c r="AW370" s="802">
        <f>IF(ISNUMBER('Base de datos Rutas'!CN368),'Base de datos Rutas'!CN368,"")</f>
        <v>6.13</v>
      </c>
      <c r="AX370" s="802">
        <f>IF(ISNUMBER('Base de datos Rutas'!CO368),'Base de datos Rutas'!CO368,"")</f>
        <v>9.4499999999999993</v>
      </c>
      <c r="AY370" s="802">
        <f>IF(ISNUMBER('Base de datos Rutas'!CP368),'Base de datos Rutas'!CP368,"")</f>
        <v>3.3199999999999994</v>
      </c>
      <c r="AZ370" s="802">
        <f>IF(ISNUMBER('Base de datos Rutas'!CQ368),'Base de datos Rutas'!CQ368,"")</f>
        <v>846.56</v>
      </c>
      <c r="BA370" s="802">
        <f>IF(ISNUMBER('Base de datos Rutas'!CR368),'Base de datos Rutas'!CR368,"")</f>
        <v>428.38</v>
      </c>
      <c r="BB370" s="803">
        <f>IF(ISNUMBER('Base de datos Rutas'!CS368),'Base de datos Rutas'!CS368,"")</f>
        <v>418.17999999999995</v>
      </c>
      <c r="BC370" s="804">
        <f t="shared" si="213"/>
        <v>0</v>
      </c>
      <c r="BD370" s="805" t="str">
        <f t="shared" si="214"/>
        <v>No saturada</v>
      </c>
      <c r="BE370" s="806">
        <f t="shared" si="215"/>
        <v>0.50602438102438108</v>
      </c>
      <c r="BF370" s="890">
        <f>IF(ISNUMBER('Base de datos Rutas'!CX368),'Base de datos Rutas'!CX368/100,"")</f>
        <v>0.93700104493207947</v>
      </c>
      <c r="BG370" s="891">
        <f>IF(ISNUMBER('Base de datos Rutas'!CZ368),'Base de datos Rutas'!CZ368/100,"")</f>
        <v>1</v>
      </c>
      <c r="BH370" s="892">
        <f>IF(ISNUMBER('Base de datos Rutas'!DA368),'Base de datos Rutas'!DA368,"")</f>
        <v>1013.5579677378132</v>
      </c>
      <c r="BI370" s="893">
        <f>IF(ISNUMBER('Base de datos Rutas'!DC368),'Base de datos Rutas'!DC368,"")</f>
        <v>46.829940331665505</v>
      </c>
      <c r="BJ370" s="805" t="str">
        <f t="shared" si="216"/>
        <v>Ruta (completo)</v>
      </c>
      <c r="BK370" s="783">
        <f t="shared" si="204"/>
        <v>3</v>
      </c>
      <c r="BL370" s="797">
        <f t="shared" si="205"/>
        <v>2</v>
      </c>
      <c r="BM370" s="797">
        <f t="shared" si="206"/>
        <v>4</v>
      </c>
      <c r="BN370" s="797">
        <f t="shared" si="207"/>
        <v>4</v>
      </c>
      <c r="BO370" s="798" cm="1">
        <f t="array" ref="BO370">SUMPRODUCT(--ISNUMBER($BF370:$BI370),$BK$3:$BN$3)</f>
        <v>1</v>
      </c>
      <c r="BP370" s="831">
        <f t="shared" si="217"/>
        <v>56.25</v>
      </c>
      <c r="BQ370" s="834" t="str">
        <f t="shared" si="218"/>
        <v>Alto</v>
      </c>
      <c r="BR370" s="836">
        <f t="shared" si="208"/>
        <v>19.844915510315857</v>
      </c>
      <c r="BS370" s="836">
        <f t="shared" si="209"/>
        <v>56.25</v>
      </c>
      <c r="BT370" s="837" t="str">
        <f t="shared" si="210"/>
        <v>P3</v>
      </c>
      <c r="BU370" s="807" t="str">
        <f t="shared" si="219"/>
        <v>Con espacio</v>
      </c>
      <c r="BV370" s="807" t="str">
        <f t="shared" si="211"/>
        <v>Zona atractiva</v>
      </c>
      <c r="BW370" s="808" t="str">
        <f t="shared" si="212"/>
        <v>P3 - Desarrollar</v>
      </c>
    </row>
    <row r="371" spans="1:75">
      <c r="A371" s="780" t="str">
        <f>'Base de datos Rutas'!A369</f>
        <v>Occidente</v>
      </c>
      <c r="B371" s="781" t="str">
        <f>'Base de datos Rutas'!B369</f>
        <v>Zapopan</v>
      </c>
      <c r="C371" s="781" t="str">
        <f>'Base de datos Rutas'!C369</f>
        <v>Planta Zapopan</v>
      </c>
      <c r="D371" s="782">
        <f>IF(ISNUMBER('Base de datos Rutas'!D369),'Base de datos Rutas'!D369,"Sin código")</f>
        <v>816361</v>
      </c>
      <c r="E371" s="783" t="str">
        <f>'Base de datos Rutas'!F369</f>
        <v>Activa</v>
      </c>
      <c r="F371" s="784" t="str">
        <f>'Base de datos Rutas'!H369</f>
        <v>Sí</v>
      </c>
      <c r="G371" s="785">
        <f>IF(ISNUMBER('Base de datos Rutas'!BE369),'Base de datos Rutas'!BE369,"")</f>
        <v>79.754587155963307</v>
      </c>
      <c r="H371" s="786">
        <f>IF(ISNUMBER('Base de datos Rutas'!BH369),'Base de datos Rutas'!BH369,"")</f>
        <v>0.56656026227245304</v>
      </c>
      <c r="I371" s="788">
        <f>IFERROR(IF(OR(NOT(ISNUMBER('Base de datos Rutas'!O369)),N('Base de datos Rutas'!BK369)=0),"",'Base de datos Rutas'!O369/('Base de datos Rutas'!L369/'Base de datos Rutas'!BK369)),"")</f>
        <v>7445.9013761467868</v>
      </c>
      <c r="J371" s="788">
        <f>IFERROR(IF(OR(NOT(ISNUMBER('Base de datos Rutas'!N369)),N('Base de datos Rutas'!BK369)=0),"",'Base de datos Rutas'!N369/('Base de datos Rutas'!L369/'Base de datos Rutas'!BK369)),"")</f>
        <v>8694.2912844036673</v>
      </c>
      <c r="K371" s="788">
        <f>IFERROR(IF(OR(NOT(ISNUMBER('Base de datos Rutas'!J369)),N('Base de datos Rutas'!BK369)=0),"",'Base de datos Rutas'!J369/('Base de datos Rutas'!L369/'Base de datos Rutas'!BK369)),"")</f>
        <v>591.92477798164896</v>
      </c>
      <c r="L371" s="788">
        <f>IFERROR(IF(OR(NOT(ISNUMBER('Base de datos Rutas'!K369)),N('Base de datos Rutas'!BK369)=0),"",'Base de datos Rutas'!K369/('Base de datos Rutas'!L369/'Base de datos Rutas'!BK369)),"")</f>
        <v>46.078767298165126</v>
      </c>
      <c r="M371" s="787">
        <f>IF(ISNUMBER('Base de datos Rutas'!AX369),'Base de datos Rutas'!AX369,"")</f>
        <v>357.196206283945</v>
      </c>
      <c r="N371" s="790">
        <f>IFERROR(INDEX('Hoja de apoyo v2'!B$17:B$20,MATCH($A371,'Hoja de apoyo v2'!$A$17:$A$20,0)),"")</f>
        <v>89.41621024641401</v>
      </c>
      <c r="O371" s="791">
        <f>IFERROR(INDEX('Hoja de apoyo v2'!C$17:C$20,MATCH($A371,'Hoja de apoyo v2'!$A$17:$A$20,0)),"")</f>
        <v>0.54706375874806301</v>
      </c>
      <c r="P371" s="793">
        <f>IFERROR(INDEX('Hoja de apoyo v2'!D$17:D$20,MATCH($A371,'Hoja de apoyo v2'!$A$17:$A$20,0)),"")</f>
        <v>11095.153935793827</v>
      </c>
      <c r="Q371" s="793">
        <f>IFERROR(INDEX('Hoja de apoyo v2'!E$17:E$20,MATCH($A371,'Hoja de apoyo v2'!$A$17:$A$20,0)),"")</f>
        <v>6982.3202019701848</v>
      </c>
      <c r="R371" s="793">
        <f>IFERROR(INDEX('Hoja de apoyo v2'!F$17:F$20,MATCH($A371,'Hoja de apoyo v2'!$A$17:$A$20,0)),"")</f>
        <v>448.09513474485743</v>
      </c>
      <c r="S371" s="793">
        <f>IFERROR(INDEX('Hoja de apoyo v2'!G$17:G$20,MATCH($A371,'Hoja de apoyo v2'!$A$17:$A$20,0)),"")</f>
        <v>83.406300904207839</v>
      </c>
      <c r="T371" s="792">
        <f>IFERROR(INDEX('Hoja de apoyo v2'!H$17:H$20,MATCH($A371,'Hoja de apoyo v2'!$A$17:$A$20,0)),"")</f>
        <v>378.97014028925349</v>
      </c>
      <c r="U371" s="794">
        <f t="shared" si="184"/>
        <v>0.89194774567357404</v>
      </c>
      <c r="V371" s="795">
        <f t="shared" si="185"/>
        <v>1.0356384483757564</v>
      </c>
      <c r="W371" s="795">
        <f t="shared" si="186"/>
        <v>0.67109491398093468</v>
      </c>
      <c r="X371" s="843">
        <f t="shared" si="187"/>
        <v>1.2451865616175006</v>
      </c>
      <c r="Y371" s="843">
        <f t="shared" si="188"/>
        <v>1.3209801492682736</v>
      </c>
      <c r="Z371" s="843">
        <f t="shared" si="189"/>
        <v>0.55246146632358872</v>
      </c>
      <c r="AA371" s="843">
        <f t="shared" si="190"/>
        <v>0.94254446012899784</v>
      </c>
      <c r="AB371" s="796">
        <f t="shared" si="191"/>
        <v>3</v>
      </c>
      <c r="AC371" s="797">
        <f t="shared" si="192"/>
        <v>4</v>
      </c>
      <c r="AD371" s="797">
        <f t="shared" si="193"/>
        <v>2</v>
      </c>
      <c r="AE371" s="842">
        <f t="shared" si="194"/>
        <v>4</v>
      </c>
      <c r="AF371" s="842">
        <f t="shared" si="195"/>
        <v>5</v>
      </c>
      <c r="AG371" s="842">
        <f t="shared" si="196"/>
        <v>2</v>
      </c>
      <c r="AH371" s="842">
        <f t="shared" si="197"/>
        <v>3</v>
      </c>
      <c r="AI371" s="826" cm="1">
        <f t="array" ref="AI371">SUMPRODUCT(--ISNUMBER($U371:$AA371),$AB$3:$AH$3)</f>
        <v>1</v>
      </c>
      <c r="AJ371" s="829">
        <f t="shared" si="198"/>
        <v>52.141204018801048</v>
      </c>
      <c r="AK371" s="827" t="str">
        <f t="shared" si="199"/>
        <v>En desarrollo</v>
      </c>
      <c r="AL371" s="784" t="str">
        <f t="shared" si="200"/>
        <v>Alta</v>
      </c>
      <c r="AM371" s="799">
        <f>IF(ISNUMBER('Base de datos Rutas'!W369),'Base de datos Rutas'!W369,"")</f>
        <v>3427.1365491869451</v>
      </c>
      <c r="AN371" s="787">
        <f>IFERROR(SUMIFS('Base de datos Rutas'!$W$6:$W$794,'Base de datos Rutas'!$C$6:$C$794,$C371)/'Base de datos Rutas'!I369,"")</f>
        <v>3427.1365491869487</v>
      </c>
      <c r="AO371" s="800">
        <f>IFERROR('Base de datos Rutas'!X369*AN371/AM371,"")</f>
        <v>0.3483939033672564</v>
      </c>
      <c r="AP371" s="800">
        <f t="shared" si="201"/>
        <v>0.6516060966327436</v>
      </c>
      <c r="AQ371" s="789">
        <f>IFERROR(INDEX('Hoja de apoyo v2'!$J$17:$J$20,MATCH($A371,'Hoja de apoyo v2'!$A$17:$A$20,0)),"")</f>
        <v>0.64320274048480885</v>
      </c>
      <c r="AR371" s="789">
        <f t="shared" si="202"/>
        <v>8.4033561479347485E-3</v>
      </c>
      <c r="AS371" s="784" t="str">
        <f t="shared" si="203"/>
        <v>No</v>
      </c>
      <c r="AT371" s="801">
        <f>IF(ISNUMBER('Base de datos Rutas'!CK369),'Base de datos Rutas'!CK369,"")</f>
        <v>269</v>
      </c>
      <c r="AU371" s="802">
        <f>IF(ISNUMBER('Base de datos Rutas'!CL369),'Base de datos Rutas'!CL369,"")</f>
        <v>315.93</v>
      </c>
      <c r="AV371" s="802">
        <f>IF(ISNUMBER('Base de datos Rutas'!CM369),'Base de datos Rutas'!CM369,"")</f>
        <v>46.930000000000007</v>
      </c>
      <c r="AW371" s="802">
        <f>IF(ISNUMBER('Base de datos Rutas'!CN369),'Base de datos Rutas'!CN369,"")</f>
        <v>7.7</v>
      </c>
      <c r="AX371" s="802">
        <f>IF(ISNUMBER('Base de datos Rutas'!CO369),'Base de datos Rutas'!CO369,"")</f>
        <v>9.4499999999999993</v>
      </c>
      <c r="AY371" s="802">
        <f>IF(ISNUMBER('Base de datos Rutas'!CP369),'Base de datos Rutas'!CP369,"")</f>
        <v>1.7499999999999991</v>
      </c>
      <c r="AZ371" s="802">
        <f>IF(ISNUMBER('Base de datos Rutas'!CQ369),'Base de datos Rutas'!CQ369,"")</f>
        <v>846.56</v>
      </c>
      <c r="BA371" s="802">
        <f>IF(ISNUMBER('Base de datos Rutas'!CR369),'Base de datos Rutas'!CR369,"")</f>
        <v>638</v>
      </c>
      <c r="BB371" s="803">
        <f>IF(ISNUMBER('Base de datos Rutas'!CS369),'Base de datos Rutas'!CS369,"")</f>
        <v>208.55999999999995</v>
      </c>
      <c r="BC371" s="804">
        <f t="shared" si="213"/>
        <v>0</v>
      </c>
      <c r="BD371" s="805" t="str">
        <f t="shared" si="214"/>
        <v>No saturada</v>
      </c>
      <c r="BE371" s="806">
        <f t="shared" si="215"/>
        <v>0.75363825363825365</v>
      </c>
      <c r="BF371" s="890">
        <f>IF(ISNUMBER('Base de datos Rutas'!CX369),'Base de datos Rutas'!CX369/100,"")</f>
        <v>0.96725052337752959</v>
      </c>
      <c r="BG371" s="891">
        <f>IF(ISNUMBER('Base de datos Rutas'!CZ369),'Base de datos Rutas'!CZ369/100,"")</f>
        <v>1</v>
      </c>
      <c r="BH371" s="892">
        <f>IF(ISNUMBER('Base de datos Rutas'!DA369),'Base de datos Rutas'!DA369,"")</f>
        <v>588.20023920050278</v>
      </c>
      <c r="BI371" s="893">
        <f>IF(ISNUMBER('Base de datos Rutas'!DC369),'Base de datos Rutas'!DC369,"")</f>
        <v>23.070327650632123</v>
      </c>
      <c r="BJ371" s="805" t="str">
        <f t="shared" si="216"/>
        <v>Ruta (completo)</v>
      </c>
      <c r="BK371" s="783">
        <f t="shared" si="204"/>
        <v>4</v>
      </c>
      <c r="BL371" s="797">
        <f t="shared" si="205"/>
        <v>2</v>
      </c>
      <c r="BM371" s="797">
        <f t="shared" si="206"/>
        <v>2</v>
      </c>
      <c r="BN371" s="797">
        <f t="shared" si="207"/>
        <v>2</v>
      </c>
      <c r="BO371" s="798" cm="1">
        <f t="array" ref="BO371">SUMPRODUCT(--ISNUMBER($BF371:$BI371),$BK$3:$BN$3)</f>
        <v>1</v>
      </c>
      <c r="BP371" s="831">
        <f t="shared" si="217"/>
        <v>37.5</v>
      </c>
      <c r="BQ371" s="834" t="str">
        <f t="shared" si="218"/>
        <v>Medio</v>
      </c>
      <c r="BR371" s="836">
        <f t="shared" si="208"/>
        <v>39.10590301410079</v>
      </c>
      <c r="BS371" s="836">
        <f t="shared" si="209"/>
        <v>37.5</v>
      </c>
      <c r="BT371" s="837" t="str">
        <f t="shared" si="210"/>
        <v>P2</v>
      </c>
      <c r="BU371" s="807" t="str">
        <f t="shared" si="219"/>
        <v>Con espacio</v>
      </c>
      <c r="BV371" s="807" t="str">
        <f t="shared" si="211"/>
        <v>Zona de bajo potencial</v>
      </c>
      <c r="BW371" s="808" t="str">
        <f t="shared" si="212"/>
        <v>P2 - Mantener</v>
      </c>
    </row>
    <row r="372" spans="1:75">
      <c r="A372" s="780" t="str">
        <f>'Base de datos Rutas'!A370</f>
        <v>Occidente</v>
      </c>
      <c r="B372" s="781" t="str">
        <f>'Base de datos Rutas'!B370</f>
        <v>Zapopan</v>
      </c>
      <c r="C372" s="781" t="str">
        <f>'Base de datos Rutas'!C370</f>
        <v>Planta Zapopan</v>
      </c>
      <c r="D372" s="782">
        <f>IF(ISNUMBER('Base de datos Rutas'!D370),'Base de datos Rutas'!D370,"Sin código")</f>
        <v>816362</v>
      </c>
      <c r="E372" s="783" t="str">
        <f>'Base de datos Rutas'!F370</f>
        <v>Activa</v>
      </c>
      <c r="F372" s="784" t="str">
        <f>'Base de datos Rutas'!H370</f>
        <v>Sí</v>
      </c>
      <c r="G372" s="785">
        <f>IF(ISNUMBER('Base de datos Rutas'!BE370),'Base de datos Rutas'!BE370,"")</f>
        <v>58.853828306264496</v>
      </c>
      <c r="H372" s="786">
        <f>IF(ISNUMBER('Base de datos Rutas'!BH370),'Base de datos Rutas'!BH370,"")</f>
        <v>0.49885673736497699</v>
      </c>
      <c r="I372" s="788">
        <f>IFERROR(IF(OR(NOT(ISNUMBER('Base de datos Rutas'!O370)),N('Base de datos Rutas'!BK370)=0),"",'Base de datos Rutas'!O370/('Base de datos Rutas'!L370/'Base de datos Rutas'!BK370)),"")</f>
        <v>2989.1368909512776</v>
      </c>
      <c r="J372" s="788">
        <f>IFERROR(IF(OR(NOT(ISNUMBER('Base de datos Rutas'!N370)),N('Base de datos Rutas'!BK370)=0),"",'Base de datos Rutas'!N370/('Base de datos Rutas'!L370/'Base de datos Rutas'!BK370)),"")</f>
        <v>5491.3874709976826</v>
      </c>
      <c r="K372" s="788">
        <f>IFERROR(IF(OR(NOT(ISNUMBER('Base de datos Rutas'!J370)),N('Base de datos Rutas'!BK370)=0),"",'Base de datos Rutas'!J370/('Base de datos Rutas'!L370/'Base de datos Rutas'!BK370)),"")</f>
        <v>376.44869514617187</v>
      </c>
      <c r="L372" s="788">
        <f>IFERROR(IF(OR(NOT(ISNUMBER('Base de datos Rutas'!K370)),N('Base de datos Rutas'!BK370)=0),"",'Base de datos Rutas'!K370/('Base de datos Rutas'!L370/'Base de datos Rutas'!BK370)),"")</f>
        <v>18.573362925754072</v>
      </c>
      <c r="M372" s="787">
        <f>IF(ISNUMBER('Base de datos Rutas'!AX370),'Base de datos Rutas'!AX370,"")</f>
        <v>288.84971313418703</v>
      </c>
      <c r="N372" s="790">
        <f>IFERROR(INDEX('Hoja de apoyo v2'!B$17:B$20,MATCH($A372,'Hoja de apoyo v2'!$A$17:$A$20,0)),"")</f>
        <v>89.41621024641401</v>
      </c>
      <c r="O372" s="791">
        <f>IFERROR(INDEX('Hoja de apoyo v2'!C$17:C$20,MATCH($A372,'Hoja de apoyo v2'!$A$17:$A$20,0)),"")</f>
        <v>0.54706375874806301</v>
      </c>
      <c r="P372" s="793">
        <f>IFERROR(INDEX('Hoja de apoyo v2'!D$17:D$20,MATCH($A372,'Hoja de apoyo v2'!$A$17:$A$20,0)),"")</f>
        <v>11095.153935793827</v>
      </c>
      <c r="Q372" s="793">
        <f>IFERROR(INDEX('Hoja de apoyo v2'!E$17:E$20,MATCH($A372,'Hoja de apoyo v2'!$A$17:$A$20,0)),"")</f>
        <v>6982.3202019701848</v>
      </c>
      <c r="R372" s="793">
        <f>IFERROR(INDEX('Hoja de apoyo v2'!F$17:F$20,MATCH($A372,'Hoja de apoyo v2'!$A$17:$A$20,0)),"")</f>
        <v>448.09513474485743</v>
      </c>
      <c r="S372" s="793">
        <f>IFERROR(INDEX('Hoja de apoyo v2'!G$17:G$20,MATCH($A372,'Hoja de apoyo v2'!$A$17:$A$20,0)),"")</f>
        <v>83.406300904207839</v>
      </c>
      <c r="T372" s="792">
        <f>IFERROR(INDEX('Hoja de apoyo v2'!H$17:H$20,MATCH($A372,'Hoja de apoyo v2'!$A$17:$A$20,0)),"")</f>
        <v>378.97014028925349</v>
      </c>
      <c r="U372" s="794">
        <f t="shared" si="184"/>
        <v>0.65820088040048419</v>
      </c>
      <c r="V372" s="795">
        <f t="shared" si="185"/>
        <v>0.91188043329098212</v>
      </c>
      <c r="W372" s="795">
        <f t="shared" si="186"/>
        <v>0.26940923111558551</v>
      </c>
      <c r="X372" s="843">
        <f t="shared" si="187"/>
        <v>0.78647030101085746</v>
      </c>
      <c r="Y372" s="843">
        <f t="shared" si="188"/>
        <v>0.84010886518667383</v>
      </c>
      <c r="Z372" s="843">
        <f t="shared" si="189"/>
        <v>0.2226853693833705</v>
      </c>
      <c r="AA372" s="843">
        <f t="shared" si="190"/>
        <v>0.7621964963089678</v>
      </c>
      <c r="AB372" s="796">
        <f t="shared" si="191"/>
        <v>2</v>
      </c>
      <c r="AC372" s="797">
        <f t="shared" si="192"/>
        <v>3</v>
      </c>
      <c r="AD372" s="797">
        <f t="shared" si="193"/>
        <v>1</v>
      </c>
      <c r="AE372" s="842">
        <f t="shared" si="194"/>
        <v>3</v>
      </c>
      <c r="AF372" s="842">
        <f t="shared" si="195"/>
        <v>3</v>
      </c>
      <c r="AG372" s="842">
        <f t="shared" si="196"/>
        <v>1</v>
      </c>
      <c r="AH372" s="842">
        <f t="shared" si="197"/>
        <v>3</v>
      </c>
      <c r="AI372" s="826" cm="1">
        <f t="array" ref="AI372">SUMPRODUCT(--ISNUMBER($U372:$AA372),$AB$3:$AH$3)</f>
        <v>1</v>
      </c>
      <c r="AJ372" s="829">
        <f t="shared" si="198"/>
        <v>26.459887347087808</v>
      </c>
      <c r="AK372" s="827" t="str">
        <f t="shared" si="199"/>
        <v>Inmadura</v>
      </c>
      <c r="AL372" s="784" t="str">
        <f t="shared" si="200"/>
        <v>Alta</v>
      </c>
      <c r="AM372" s="799">
        <f>IF(ISNUMBER('Base de datos Rutas'!W370),'Base de datos Rutas'!W370,"")</f>
        <v>3427.1365491869451</v>
      </c>
      <c r="AN372" s="787">
        <f>IFERROR(SUMIFS('Base de datos Rutas'!$W$6:$W$794,'Base de datos Rutas'!$C$6:$C$794,$C372)/'Base de datos Rutas'!I370,"")</f>
        <v>3427.1365491869487</v>
      </c>
      <c r="AO372" s="800">
        <f>IFERROR('Base de datos Rutas'!X370*AN372/AM372,"")</f>
        <v>0.3483939033672564</v>
      </c>
      <c r="AP372" s="800">
        <f t="shared" si="201"/>
        <v>0.6516060966327436</v>
      </c>
      <c r="AQ372" s="789">
        <f>IFERROR(INDEX('Hoja de apoyo v2'!$J$17:$J$20,MATCH($A372,'Hoja de apoyo v2'!$A$17:$A$20,0)),"")</f>
        <v>0.64320274048480885</v>
      </c>
      <c r="AR372" s="789">
        <f t="shared" si="202"/>
        <v>8.4033561479347485E-3</v>
      </c>
      <c r="AS372" s="784" t="str">
        <f t="shared" si="203"/>
        <v>No</v>
      </c>
      <c r="AT372" s="801">
        <f>IF(ISNUMBER('Base de datos Rutas'!CK370),'Base de datos Rutas'!CK370,"")</f>
        <v>253</v>
      </c>
      <c r="AU372" s="802">
        <f>IF(ISNUMBER('Base de datos Rutas'!CL370),'Base de datos Rutas'!CL370,"")</f>
        <v>322.22000000000003</v>
      </c>
      <c r="AV372" s="802">
        <f>IF(ISNUMBER('Base de datos Rutas'!CM370),'Base de datos Rutas'!CM370,"")</f>
        <v>69.220000000000027</v>
      </c>
      <c r="AW372" s="802">
        <f>IF(ISNUMBER('Base de datos Rutas'!CN370),'Base de datos Rutas'!CN370,"")</f>
        <v>6</v>
      </c>
      <c r="AX372" s="802">
        <f>IF(ISNUMBER('Base de datos Rutas'!CO370),'Base de datos Rutas'!CO370,"")</f>
        <v>9.4499999999999993</v>
      </c>
      <c r="AY372" s="802">
        <f>IF(ISNUMBER('Base de datos Rutas'!CP370),'Base de datos Rutas'!CP370,"")</f>
        <v>3.4499999999999993</v>
      </c>
      <c r="AZ372" s="802">
        <f>IF(ISNUMBER('Base de datos Rutas'!CQ370),'Base de datos Rutas'!CQ370,"")</f>
        <v>564.37</v>
      </c>
      <c r="BA372" s="802">
        <f>IF(ISNUMBER('Base de datos Rutas'!CR370),'Base de datos Rutas'!CR370,"")</f>
        <v>395.02</v>
      </c>
      <c r="BB372" s="803">
        <f>IF(ISNUMBER('Base de datos Rutas'!CS370),'Base de datos Rutas'!CS370,"")</f>
        <v>169.35000000000002</v>
      </c>
      <c r="BC372" s="804">
        <f t="shared" si="213"/>
        <v>0</v>
      </c>
      <c r="BD372" s="805" t="str">
        <f t="shared" si="214"/>
        <v>No saturada</v>
      </c>
      <c r="BE372" s="806">
        <f t="shared" si="215"/>
        <v>0.69993089639775319</v>
      </c>
      <c r="BF372" s="890">
        <f>IF(ISNUMBER('Base de datos Rutas'!CX370),'Base de datos Rutas'!CX370/100,"")</f>
        <v>0.95968549796156077</v>
      </c>
      <c r="BG372" s="891">
        <f>IF(ISNUMBER('Base de datos Rutas'!CZ370),'Base de datos Rutas'!CZ370/100,"")</f>
        <v>1</v>
      </c>
      <c r="BH372" s="892">
        <f>IF(ISNUMBER('Base de datos Rutas'!DA370),'Base de datos Rutas'!DA370,"")</f>
        <v>1144.9602456584294</v>
      </c>
      <c r="BI372" s="893">
        <f>IF(ISNUMBER('Base de datos Rutas'!DC370),'Base de datos Rutas'!DC370,"")</f>
        <v>51.342578181858897</v>
      </c>
      <c r="BJ372" s="805" t="str">
        <f t="shared" si="216"/>
        <v>Ruta (completo)</v>
      </c>
      <c r="BK372" s="783">
        <f t="shared" si="204"/>
        <v>4</v>
      </c>
      <c r="BL372" s="797">
        <f t="shared" si="205"/>
        <v>2</v>
      </c>
      <c r="BM372" s="797">
        <f t="shared" si="206"/>
        <v>4</v>
      </c>
      <c r="BN372" s="797">
        <f t="shared" si="207"/>
        <v>4</v>
      </c>
      <c r="BO372" s="798" cm="1">
        <f t="array" ref="BO372">SUMPRODUCT(--ISNUMBER($BF372:$BI372),$BK$3:$BN$3)</f>
        <v>1</v>
      </c>
      <c r="BP372" s="831">
        <f t="shared" si="217"/>
        <v>62.5</v>
      </c>
      <c r="BQ372" s="834" t="str">
        <f t="shared" si="218"/>
        <v>Alto</v>
      </c>
      <c r="BR372" s="836">
        <f t="shared" si="208"/>
        <v>19.844915510315857</v>
      </c>
      <c r="BS372" s="836">
        <f t="shared" si="209"/>
        <v>62.5</v>
      </c>
      <c r="BT372" s="837" t="str">
        <f t="shared" si="210"/>
        <v>P3</v>
      </c>
      <c r="BU372" s="807" t="str">
        <f t="shared" si="219"/>
        <v>Con espacio</v>
      </c>
      <c r="BV372" s="807" t="str">
        <f t="shared" si="211"/>
        <v>Zona atractiva</v>
      </c>
      <c r="BW372" s="808" t="str">
        <f t="shared" si="212"/>
        <v>P3 - Desarrollar</v>
      </c>
    </row>
    <row r="373" spans="1:75">
      <c r="A373" s="780" t="str">
        <f>'Base de datos Rutas'!A371</f>
        <v>Occidente</v>
      </c>
      <c r="B373" s="781" t="str">
        <f>'Base de datos Rutas'!B371</f>
        <v>Zapopan</v>
      </c>
      <c r="C373" s="781" t="str">
        <f>'Base de datos Rutas'!C371</f>
        <v>Planta Zapopan</v>
      </c>
      <c r="D373" s="782">
        <f>IF(ISNUMBER('Base de datos Rutas'!D371),'Base de datos Rutas'!D371,"Sin código")</f>
        <v>816363</v>
      </c>
      <c r="E373" s="783" t="str">
        <f>'Base de datos Rutas'!F371</f>
        <v>Activa</v>
      </c>
      <c r="F373" s="784" t="str">
        <f>'Base de datos Rutas'!H371</f>
        <v>Sí</v>
      </c>
      <c r="G373" s="785">
        <f>IF(ISNUMBER('Base de datos Rutas'!BE371),'Base de datos Rutas'!BE371,"")</f>
        <v>59.188235294117703</v>
      </c>
      <c r="H373" s="786">
        <f>IF(ISNUMBER('Base de datos Rutas'!BH371),'Base de datos Rutas'!BH371,"")</f>
        <v>0.61991651759093602</v>
      </c>
      <c r="I373" s="788">
        <f>IFERROR(IF(OR(NOT(ISNUMBER('Base de datos Rutas'!O371)),N('Base de datos Rutas'!BK371)=0),"",'Base de datos Rutas'!O371/('Base de datos Rutas'!L371/'Base de datos Rutas'!BK371)),"")</f>
        <v>4126.0352941176561</v>
      </c>
      <c r="J373" s="788">
        <f>IFERROR(IF(OR(NOT(ISNUMBER('Base de datos Rutas'!N371)),N('Base de datos Rutas'!BK371)=0),"",'Base de datos Rutas'!N371/('Base de datos Rutas'!L371/'Base de datos Rutas'!BK371)),"")</f>
        <v>7234.7082352941334</v>
      </c>
      <c r="K373" s="788">
        <f>IFERROR(IF(OR(NOT(ISNUMBER('Base de datos Rutas'!J371)),N('Base de datos Rutas'!BK371)=0),"",'Base de datos Rutas'!J371/('Base de datos Rutas'!L371/'Base de datos Rutas'!BK371)),"")</f>
        <v>494.2631679999987</v>
      </c>
      <c r="L373" s="788">
        <f>IFERROR(IF(OR(NOT(ISNUMBER('Base de datos Rutas'!K371)),N('Base de datos Rutas'!BK371)=0),"",'Base de datos Rutas'!K371/('Base de datos Rutas'!L371/'Base de datos Rutas'!BK371)),"")</f>
        <v>27.406041432941233</v>
      </c>
      <c r="M373" s="787">
        <f>IF(ISNUMBER('Base de datos Rutas'!AX371),'Base de datos Rutas'!AX371,"")</f>
        <v>309.17771578812398</v>
      </c>
      <c r="N373" s="790">
        <f>IFERROR(INDEX('Hoja de apoyo v2'!B$17:B$20,MATCH($A373,'Hoja de apoyo v2'!$A$17:$A$20,0)),"")</f>
        <v>89.41621024641401</v>
      </c>
      <c r="O373" s="791">
        <f>IFERROR(INDEX('Hoja de apoyo v2'!C$17:C$20,MATCH($A373,'Hoja de apoyo v2'!$A$17:$A$20,0)),"")</f>
        <v>0.54706375874806301</v>
      </c>
      <c r="P373" s="793">
        <f>IFERROR(INDEX('Hoja de apoyo v2'!D$17:D$20,MATCH($A373,'Hoja de apoyo v2'!$A$17:$A$20,0)),"")</f>
        <v>11095.153935793827</v>
      </c>
      <c r="Q373" s="793">
        <f>IFERROR(INDEX('Hoja de apoyo v2'!E$17:E$20,MATCH($A373,'Hoja de apoyo v2'!$A$17:$A$20,0)),"")</f>
        <v>6982.3202019701848</v>
      </c>
      <c r="R373" s="793">
        <f>IFERROR(INDEX('Hoja de apoyo v2'!F$17:F$20,MATCH($A373,'Hoja de apoyo v2'!$A$17:$A$20,0)),"")</f>
        <v>448.09513474485743</v>
      </c>
      <c r="S373" s="793">
        <f>IFERROR(INDEX('Hoja de apoyo v2'!G$17:G$20,MATCH($A373,'Hoja de apoyo v2'!$A$17:$A$20,0)),"")</f>
        <v>83.406300904207839</v>
      </c>
      <c r="T373" s="792">
        <f>IFERROR(INDEX('Hoja de apoyo v2'!H$17:H$20,MATCH($A373,'Hoja de apoyo v2'!$A$17:$A$20,0)),"")</f>
        <v>378.97014028925349</v>
      </c>
      <c r="U373" s="794">
        <f t="shared" si="184"/>
        <v>0.66194077260718409</v>
      </c>
      <c r="V373" s="795">
        <f t="shared" si="185"/>
        <v>1.1331705083326926</v>
      </c>
      <c r="W373" s="795">
        <f t="shared" si="186"/>
        <v>0.371877246408159</v>
      </c>
      <c r="X373" s="843">
        <f t="shared" si="187"/>
        <v>1.0361467285978567</v>
      </c>
      <c r="Y373" s="843">
        <f t="shared" si="188"/>
        <v>1.1030317664159175</v>
      </c>
      <c r="Z373" s="843">
        <f t="shared" si="189"/>
        <v>0.32858478479242331</v>
      </c>
      <c r="AA373" s="843">
        <f t="shared" si="190"/>
        <v>0.81583661328077295</v>
      </c>
      <c r="AB373" s="796">
        <f t="shared" si="191"/>
        <v>2</v>
      </c>
      <c r="AC373" s="797">
        <f t="shared" si="192"/>
        <v>4</v>
      </c>
      <c r="AD373" s="797">
        <f t="shared" si="193"/>
        <v>1</v>
      </c>
      <c r="AE373" s="842">
        <f t="shared" si="194"/>
        <v>4</v>
      </c>
      <c r="AF373" s="842">
        <f t="shared" si="195"/>
        <v>4</v>
      </c>
      <c r="AG373" s="842">
        <f t="shared" si="196"/>
        <v>1</v>
      </c>
      <c r="AH373" s="842">
        <f t="shared" si="197"/>
        <v>3</v>
      </c>
      <c r="AI373" s="826" cm="1">
        <f t="array" ref="AI373">SUMPRODUCT(--ISNUMBER($U373:$AA373),$AB$3:$AH$3)</f>
        <v>1</v>
      </c>
      <c r="AJ373" s="829">
        <f t="shared" si="198"/>
        <v>35.178285091236773</v>
      </c>
      <c r="AK373" s="827" t="str">
        <f t="shared" si="199"/>
        <v>Inmadura</v>
      </c>
      <c r="AL373" s="784" t="str">
        <f t="shared" si="200"/>
        <v>Alta</v>
      </c>
      <c r="AM373" s="799">
        <f>IF(ISNUMBER('Base de datos Rutas'!W371),'Base de datos Rutas'!W371,"")</f>
        <v>3427.1365491869451</v>
      </c>
      <c r="AN373" s="787">
        <f>IFERROR(SUMIFS('Base de datos Rutas'!$W$6:$W$794,'Base de datos Rutas'!$C$6:$C$794,$C373)/'Base de datos Rutas'!I371,"")</f>
        <v>3427.1365491869487</v>
      </c>
      <c r="AO373" s="800">
        <f>IFERROR('Base de datos Rutas'!X371*AN373/AM373,"")</f>
        <v>0.3483939033672564</v>
      </c>
      <c r="AP373" s="800">
        <f t="shared" si="201"/>
        <v>0.6516060966327436</v>
      </c>
      <c r="AQ373" s="789">
        <f>IFERROR(INDEX('Hoja de apoyo v2'!$J$17:$J$20,MATCH($A373,'Hoja de apoyo v2'!$A$17:$A$20,0)),"")</f>
        <v>0.64320274048480885</v>
      </c>
      <c r="AR373" s="789">
        <f t="shared" si="202"/>
        <v>8.4033561479347485E-3</v>
      </c>
      <c r="AS373" s="784" t="str">
        <f t="shared" si="203"/>
        <v>No</v>
      </c>
      <c r="AT373" s="801">
        <f>IF(ISNUMBER('Base de datos Rutas'!CK371),'Base de datos Rutas'!CK371,"")</f>
        <v>205</v>
      </c>
      <c r="AU373" s="802">
        <f>IF(ISNUMBER('Base de datos Rutas'!CL371),'Base de datos Rutas'!CL371,"")</f>
        <v>226.76</v>
      </c>
      <c r="AV373" s="802">
        <f>IF(ISNUMBER('Base de datos Rutas'!CM371),'Base de datos Rutas'!CM371,"")</f>
        <v>21.759999999999991</v>
      </c>
      <c r="AW373" s="802">
        <f>IF(ISNUMBER('Base de datos Rutas'!CN371),'Base de datos Rutas'!CN371,"")</f>
        <v>4.72</v>
      </c>
      <c r="AX373" s="802">
        <f>IF(ISNUMBER('Base de datos Rutas'!CO371),'Base de datos Rutas'!CO371,"")</f>
        <v>9.4499999999999993</v>
      </c>
      <c r="AY373" s="802">
        <f>IF(ISNUMBER('Base de datos Rutas'!CP371),'Base de datos Rutas'!CP371,"")</f>
        <v>4.7299999999999995</v>
      </c>
      <c r="AZ373" s="802">
        <f>IF(ISNUMBER('Base de datos Rutas'!CQ371),'Base de datos Rutas'!CQ371,"")</f>
        <v>564.37</v>
      </c>
      <c r="BA373" s="802">
        <f>IF(ISNUMBER('Base de datos Rutas'!CR371),'Base de datos Rutas'!CR371,"")</f>
        <v>521.66999999999996</v>
      </c>
      <c r="BB373" s="803">
        <f>IF(ISNUMBER('Base de datos Rutas'!CS371),'Base de datos Rutas'!CS371,"")</f>
        <v>42.700000000000045</v>
      </c>
      <c r="BC373" s="804">
        <f t="shared" si="213"/>
        <v>0</v>
      </c>
      <c r="BD373" s="805" t="str">
        <f t="shared" si="214"/>
        <v>No saturada</v>
      </c>
      <c r="BE373" s="806">
        <f t="shared" si="215"/>
        <v>0.92434041497599084</v>
      </c>
      <c r="BF373" s="890">
        <f>IF(ISNUMBER('Base de datos Rutas'!CX371),'Base de datos Rutas'!CX371/100,"")</f>
        <v>0.9813379073756433</v>
      </c>
      <c r="BG373" s="891">
        <f>IF(ISNUMBER('Base de datos Rutas'!CZ371),'Base de datos Rutas'!CZ371/100,"")</f>
        <v>1</v>
      </c>
      <c r="BH373" s="892">
        <f>IF(ISNUMBER('Base de datos Rutas'!DA371),'Base de datos Rutas'!DA371,"")</f>
        <v>679.3196436990637</v>
      </c>
      <c r="BI373" s="893">
        <f>IF(ISNUMBER('Base de datos Rutas'!DC371),'Base de datos Rutas'!DC371,"")</f>
        <v>31.546617161716171</v>
      </c>
      <c r="BJ373" s="805" t="str">
        <f t="shared" si="216"/>
        <v>Ruta (completo)</v>
      </c>
      <c r="BK373" s="783">
        <f t="shared" si="204"/>
        <v>5</v>
      </c>
      <c r="BL373" s="797">
        <f t="shared" si="205"/>
        <v>2</v>
      </c>
      <c r="BM373" s="797">
        <f t="shared" si="206"/>
        <v>3</v>
      </c>
      <c r="BN373" s="797">
        <f t="shared" si="207"/>
        <v>3</v>
      </c>
      <c r="BO373" s="798" cm="1">
        <f t="array" ref="BO373">SUMPRODUCT(--ISNUMBER($BF373:$BI373),$BK$3:$BN$3)</f>
        <v>1</v>
      </c>
      <c r="BP373" s="831">
        <f t="shared" si="217"/>
        <v>56.25</v>
      </c>
      <c r="BQ373" s="834" t="str">
        <f t="shared" si="218"/>
        <v>Alto</v>
      </c>
      <c r="BR373" s="836">
        <f t="shared" si="208"/>
        <v>26.38371381842758</v>
      </c>
      <c r="BS373" s="836">
        <f t="shared" si="209"/>
        <v>56.25</v>
      </c>
      <c r="BT373" s="837" t="str">
        <f t="shared" si="210"/>
        <v>P3</v>
      </c>
      <c r="BU373" s="807" t="str">
        <f t="shared" si="219"/>
        <v>Con espacio</v>
      </c>
      <c r="BV373" s="807" t="str">
        <f t="shared" si="211"/>
        <v>Zona atractiva</v>
      </c>
      <c r="BW373" s="808" t="str">
        <f t="shared" si="212"/>
        <v>P3 - Desarrollar</v>
      </c>
    </row>
    <row r="374" spans="1:75">
      <c r="A374" s="780" t="str">
        <f>'Base de datos Rutas'!A372</f>
        <v>Occidente</v>
      </c>
      <c r="B374" s="781" t="str">
        <f>'Base de datos Rutas'!B372</f>
        <v>Zapopan</v>
      </c>
      <c r="C374" s="781" t="str">
        <f>'Base de datos Rutas'!C372</f>
        <v>Planta Zapopan</v>
      </c>
      <c r="D374" s="782">
        <f>IF(ISNUMBER('Base de datos Rutas'!D372),'Base de datos Rutas'!D372,"Sin código")</f>
        <v>816364</v>
      </c>
      <c r="E374" s="783" t="str">
        <f>'Base de datos Rutas'!F372</f>
        <v>Activa</v>
      </c>
      <c r="F374" s="784" t="str">
        <f>'Base de datos Rutas'!H372</f>
        <v>Sí</v>
      </c>
      <c r="G374" s="785">
        <f>IF(ISNUMBER('Base de datos Rutas'!BE372),'Base de datos Rutas'!BE372,"")</f>
        <v>71.002293577981703</v>
      </c>
      <c r="H374" s="786">
        <f>IF(ISNUMBER('Base de datos Rutas'!BH372),'Base de datos Rutas'!BH372,"")</f>
        <v>0.46438608392286101</v>
      </c>
      <c r="I374" s="788">
        <f>IFERROR(IF(OR(NOT(ISNUMBER('Base de datos Rutas'!O372)),N('Base de datos Rutas'!BK372)=0),"",'Base de datos Rutas'!O372/('Base de datos Rutas'!L372/'Base de datos Rutas'!BK372)),"")</f>
        <v>3947.8669724770584</v>
      </c>
      <c r="J374" s="788">
        <f>IFERROR(IF(OR(NOT(ISNUMBER('Base de datos Rutas'!N372)),N('Base de datos Rutas'!BK372)=0),"",'Base de datos Rutas'!N372/('Base de datos Rutas'!L372/'Base de datos Rutas'!BK372)),"")</f>
        <v>6706.8600917431095</v>
      </c>
      <c r="K374" s="788">
        <f>IFERROR(IF(OR(NOT(ISNUMBER('Base de datos Rutas'!J372)),N('Base de datos Rutas'!BK372)=0),"",'Base de datos Rutas'!J372/('Base de datos Rutas'!L372/'Base de datos Rutas'!BK372)),"")</f>
        <v>456.62745504587087</v>
      </c>
      <c r="L374" s="788">
        <f>IFERROR(IF(OR(NOT(ISNUMBER('Base de datos Rutas'!K372)),N('Base de datos Rutas'!BK372)=0),"",'Base de datos Rutas'!K372/('Base de datos Rutas'!L372/'Base de datos Rutas'!BK372)),"")</f>
        <v>28.052501075688031</v>
      </c>
      <c r="M374" s="787">
        <f>IF(ISNUMBER('Base de datos Rutas'!AX372),'Base de datos Rutas'!AX372,"")</f>
        <v>323.13988870339398</v>
      </c>
      <c r="N374" s="790">
        <f>IFERROR(INDEX('Hoja de apoyo v2'!B$17:B$20,MATCH($A374,'Hoja de apoyo v2'!$A$17:$A$20,0)),"")</f>
        <v>89.41621024641401</v>
      </c>
      <c r="O374" s="791">
        <f>IFERROR(INDEX('Hoja de apoyo v2'!C$17:C$20,MATCH($A374,'Hoja de apoyo v2'!$A$17:$A$20,0)),"")</f>
        <v>0.54706375874806301</v>
      </c>
      <c r="P374" s="793">
        <f>IFERROR(INDEX('Hoja de apoyo v2'!D$17:D$20,MATCH($A374,'Hoja de apoyo v2'!$A$17:$A$20,0)),"")</f>
        <v>11095.153935793827</v>
      </c>
      <c r="Q374" s="793">
        <f>IFERROR(INDEX('Hoja de apoyo v2'!E$17:E$20,MATCH($A374,'Hoja de apoyo v2'!$A$17:$A$20,0)),"")</f>
        <v>6982.3202019701848</v>
      </c>
      <c r="R374" s="793">
        <f>IFERROR(INDEX('Hoja de apoyo v2'!F$17:F$20,MATCH($A374,'Hoja de apoyo v2'!$A$17:$A$20,0)),"")</f>
        <v>448.09513474485743</v>
      </c>
      <c r="S374" s="793">
        <f>IFERROR(INDEX('Hoja de apoyo v2'!G$17:G$20,MATCH($A374,'Hoja de apoyo v2'!$A$17:$A$20,0)),"")</f>
        <v>83.406300904207839</v>
      </c>
      <c r="T374" s="792">
        <f>IFERROR(INDEX('Hoja de apoyo v2'!H$17:H$20,MATCH($A374,'Hoja de apoyo v2'!$A$17:$A$20,0)),"")</f>
        <v>378.97014028925349</v>
      </c>
      <c r="U374" s="794">
        <f t="shared" si="184"/>
        <v>0.79406511841994798</v>
      </c>
      <c r="V374" s="795">
        <f t="shared" si="185"/>
        <v>0.84887012984664334</v>
      </c>
      <c r="W374" s="795">
        <f t="shared" si="186"/>
        <v>0.35581903552873956</v>
      </c>
      <c r="X374" s="843">
        <f t="shared" si="187"/>
        <v>0.96054891465026915</v>
      </c>
      <c r="Y374" s="843">
        <f t="shared" si="188"/>
        <v>1.0190413143090065</v>
      </c>
      <c r="Z374" s="843">
        <f t="shared" si="189"/>
        <v>0.33633551388289401</v>
      </c>
      <c r="AA374" s="843">
        <f t="shared" si="190"/>
        <v>0.8526790223017402</v>
      </c>
      <c r="AB374" s="796">
        <f t="shared" si="191"/>
        <v>3</v>
      </c>
      <c r="AC374" s="797">
        <f t="shared" si="192"/>
        <v>3</v>
      </c>
      <c r="AD374" s="797">
        <f t="shared" si="193"/>
        <v>1</v>
      </c>
      <c r="AE374" s="842">
        <f t="shared" si="194"/>
        <v>3</v>
      </c>
      <c r="AF374" s="842">
        <f t="shared" si="195"/>
        <v>4</v>
      </c>
      <c r="AG374" s="842">
        <f t="shared" si="196"/>
        <v>1</v>
      </c>
      <c r="AH374" s="842">
        <f t="shared" si="197"/>
        <v>3</v>
      </c>
      <c r="AI374" s="826" cm="1">
        <f t="array" ref="AI374">SUMPRODUCT(--ISNUMBER($U374:$AA374),$AB$3:$AH$3)</f>
        <v>1</v>
      </c>
      <c r="AJ374" s="829">
        <f t="shared" si="198"/>
        <v>33.919568037264355</v>
      </c>
      <c r="AK374" s="827" t="str">
        <f t="shared" si="199"/>
        <v>Inmadura</v>
      </c>
      <c r="AL374" s="784" t="str">
        <f t="shared" si="200"/>
        <v>Alta</v>
      </c>
      <c r="AM374" s="799">
        <f>IF(ISNUMBER('Base de datos Rutas'!W372),'Base de datos Rutas'!W372,"")</f>
        <v>3427.1365491869451</v>
      </c>
      <c r="AN374" s="787">
        <f>IFERROR(SUMIFS('Base de datos Rutas'!$W$6:$W$794,'Base de datos Rutas'!$C$6:$C$794,$C374)/'Base de datos Rutas'!I372,"")</f>
        <v>3427.1365491869487</v>
      </c>
      <c r="AO374" s="800">
        <f>IFERROR('Base de datos Rutas'!X372*AN374/AM374,"")</f>
        <v>0.3483939033672564</v>
      </c>
      <c r="AP374" s="800">
        <f t="shared" si="201"/>
        <v>0.6516060966327436</v>
      </c>
      <c r="AQ374" s="789">
        <f>IFERROR(INDEX('Hoja de apoyo v2'!$J$17:$J$20,MATCH($A374,'Hoja de apoyo v2'!$A$17:$A$20,0)),"")</f>
        <v>0.64320274048480885</v>
      </c>
      <c r="AR374" s="789">
        <f t="shared" si="202"/>
        <v>8.4033561479347485E-3</v>
      </c>
      <c r="AS374" s="784" t="str">
        <f t="shared" si="203"/>
        <v>No</v>
      </c>
      <c r="AT374" s="801">
        <f>IF(ISNUMBER('Base de datos Rutas'!CK372),'Base de datos Rutas'!CK372,"")</f>
        <v>261</v>
      </c>
      <c r="AU374" s="802">
        <f>IF(ISNUMBER('Base de datos Rutas'!CL372),'Base de datos Rutas'!CL372,"")</f>
        <v>349.33</v>
      </c>
      <c r="AV374" s="802">
        <f>IF(ISNUMBER('Base de datos Rutas'!CM372),'Base de datos Rutas'!CM372,"")</f>
        <v>88.329999999999984</v>
      </c>
      <c r="AW374" s="802">
        <f>IF(ISNUMBER('Base de datos Rutas'!CN372),'Base de datos Rutas'!CN372,"")</f>
        <v>7.28</v>
      </c>
      <c r="AX374" s="802">
        <f>IF(ISNUMBER('Base de datos Rutas'!CO372),'Base de datos Rutas'!CO372,"")</f>
        <v>9.4499999999999993</v>
      </c>
      <c r="AY374" s="802">
        <f>IF(ISNUMBER('Base de datos Rutas'!CP372),'Base de datos Rutas'!CP372,"")</f>
        <v>2.169999999999999</v>
      </c>
      <c r="AZ374" s="802">
        <f>IF(ISNUMBER('Base de datos Rutas'!CQ372),'Base de datos Rutas'!CQ372,"")</f>
        <v>846.56</v>
      </c>
      <c r="BA374" s="802">
        <f>IF(ISNUMBER('Base de datos Rutas'!CR372),'Base de datos Rutas'!CR372,"")</f>
        <v>484.68</v>
      </c>
      <c r="BB374" s="803">
        <f>IF(ISNUMBER('Base de datos Rutas'!CS372),'Base de datos Rutas'!CS372,"")</f>
        <v>361.87999999999994</v>
      </c>
      <c r="BC374" s="804">
        <f t="shared" si="213"/>
        <v>0</v>
      </c>
      <c r="BD374" s="805" t="str">
        <f t="shared" si="214"/>
        <v>No saturada</v>
      </c>
      <c r="BE374" s="806">
        <f t="shared" si="215"/>
        <v>0.57252882252882253</v>
      </c>
      <c r="BF374" s="890">
        <f>IF(ISNUMBER('Base de datos Rutas'!CX372),'Base de datos Rutas'!CX372/100,"")</f>
        <v>0.95051540616246499</v>
      </c>
      <c r="BG374" s="891">
        <f>IF(ISNUMBER('Base de datos Rutas'!CZ372),'Base de datos Rutas'!CZ372/100,"")</f>
        <v>1</v>
      </c>
      <c r="BH374" s="892">
        <f>IF(ISNUMBER('Base de datos Rutas'!DA372),'Base de datos Rutas'!DA372,"")</f>
        <v>833.03975807786139</v>
      </c>
      <c r="BI374" s="893">
        <f>IF(ISNUMBER('Base de datos Rutas'!DC372),'Base de datos Rutas'!DC372,"")</f>
        <v>36.881537155760064</v>
      </c>
      <c r="BJ374" s="805" t="str">
        <f t="shared" si="216"/>
        <v>Ruta (completo)</v>
      </c>
      <c r="BK374" s="783">
        <f t="shared" si="204"/>
        <v>4</v>
      </c>
      <c r="BL374" s="797">
        <f t="shared" si="205"/>
        <v>2</v>
      </c>
      <c r="BM374" s="797">
        <f t="shared" si="206"/>
        <v>4</v>
      </c>
      <c r="BN374" s="797">
        <f t="shared" si="207"/>
        <v>3</v>
      </c>
      <c r="BO374" s="798" cm="1">
        <f t="array" ref="BO374">SUMPRODUCT(--ISNUMBER($BF374:$BI374),$BK$3:$BN$3)</f>
        <v>1</v>
      </c>
      <c r="BP374" s="831">
        <f t="shared" si="217"/>
        <v>56.25</v>
      </c>
      <c r="BQ374" s="834" t="str">
        <f t="shared" si="218"/>
        <v>Alto</v>
      </c>
      <c r="BR374" s="836">
        <f t="shared" si="208"/>
        <v>25.439676027948266</v>
      </c>
      <c r="BS374" s="836">
        <f t="shared" si="209"/>
        <v>56.25</v>
      </c>
      <c r="BT374" s="837" t="str">
        <f t="shared" si="210"/>
        <v>P3</v>
      </c>
      <c r="BU374" s="807" t="str">
        <f t="shared" si="219"/>
        <v>Con espacio</v>
      </c>
      <c r="BV374" s="807" t="str">
        <f t="shared" si="211"/>
        <v>Zona atractiva</v>
      </c>
      <c r="BW374" s="808" t="str">
        <f t="shared" si="212"/>
        <v>P3 - Desarrollar</v>
      </c>
    </row>
    <row r="375" spans="1:75">
      <c r="A375" s="780" t="str">
        <f>'Base de datos Rutas'!A373</f>
        <v>Occidente</v>
      </c>
      <c r="B375" s="781" t="str">
        <f>'Base de datos Rutas'!B373</f>
        <v>Zapopan</v>
      </c>
      <c r="C375" s="781" t="str">
        <f>'Base de datos Rutas'!C373</f>
        <v>Planta Zapopan</v>
      </c>
      <c r="D375" s="782">
        <f>IF(ISNUMBER('Base de datos Rutas'!D373),'Base de datos Rutas'!D373,"Sin código")</f>
        <v>816365</v>
      </c>
      <c r="E375" s="783" t="str">
        <f>'Base de datos Rutas'!F373</f>
        <v>Activa</v>
      </c>
      <c r="F375" s="784" t="str">
        <f>'Base de datos Rutas'!H373</f>
        <v>Sí</v>
      </c>
      <c r="G375" s="785">
        <f>IF(ISNUMBER('Base de datos Rutas'!BE373),'Base de datos Rutas'!BE373,"")</f>
        <v>67.022364217252402</v>
      </c>
      <c r="H375" s="786">
        <f>IF(ISNUMBER('Base de datos Rutas'!BH373),'Base de datos Rutas'!BH373,"")</f>
        <v>1.22032605586805E-2</v>
      </c>
      <c r="I375" s="788">
        <f>IFERROR(IF(OR(NOT(ISNUMBER('Base de datos Rutas'!O373)),N('Base de datos Rutas'!BK373)=0),"",'Base de datos Rutas'!O373/('Base de datos Rutas'!L373/'Base de datos Rutas'!BK373)),"")</f>
        <v>249.40303030303031</v>
      </c>
      <c r="J375" s="788">
        <f>IFERROR(IF(OR(NOT(ISNUMBER('Base de datos Rutas'!N373)),N('Base de datos Rutas'!BK373)=0),"",'Base de datos Rutas'!N373/('Base de datos Rutas'!L373/'Base de datos Rutas'!BK373)),"")</f>
        <v>260.15151515151513</v>
      </c>
      <c r="K375" s="788">
        <f>IFERROR(IF(OR(NOT(ISNUMBER('Base de datos Rutas'!J373)),N('Base de datos Rutas'!BK373)=0),"",'Base de datos Rutas'!J373/('Base de datos Rutas'!L373/'Base de datos Rutas'!BK373)),"")</f>
        <v>18.006935757575757</v>
      </c>
      <c r="L375" s="788">
        <f>IFERROR(IF(OR(NOT(ISNUMBER('Base de datos Rutas'!K373)),N('Base de datos Rutas'!BK373)=0),"",'Base de datos Rutas'!K373/('Base de datos Rutas'!L373/'Base de datos Rutas'!BK373)),"")</f>
        <v>1.6912767424242423</v>
      </c>
      <c r="M375" s="787">
        <f>IF(ISNUMBER('Base de datos Rutas'!AX373),'Base de datos Rutas'!AX373,"")</f>
        <v>598.39822064057</v>
      </c>
      <c r="N375" s="790">
        <f>IFERROR(INDEX('Hoja de apoyo v2'!B$17:B$20,MATCH($A375,'Hoja de apoyo v2'!$A$17:$A$20,0)),"")</f>
        <v>89.41621024641401</v>
      </c>
      <c r="O375" s="791">
        <f>IFERROR(INDEX('Hoja de apoyo v2'!C$17:C$20,MATCH($A375,'Hoja de apoyo v2'!$A$17:$A$20,0)),"")</f>
        <v>0.54706375874806301</v>
      </c>
      <c r="P375" s="793">
        <f>IFERROR(INDEX('Hoja de apoyo v2'!D$17:D$20,MATCH($A375,'Hoja de apoyo v2'!$A$17:$A$20,0)),"")</f>
        <v>11095.153935793827</v>
      </c>
      <c r="Q375" s="793">
        <f>IFERROR(INDEX('Hoja de apoyo v2'!E$17:E$20,MATCH($A375,'Hoja de apoyo v2'!$A$17:$A$20,0)),"")</f>
        <v>6982.3202019701848</v>
      </c>
      <c r="R375" s="793">
        <f>IFERROR(INDEX('Hoja de apoyo v2'!F$17:F$20,MATCH($A375,'Hoja de apoyo v2'!$A$17:$A$20,0)),"")</f>
        <v>448.09513474485743</v>
      </c>
      <c r="S375" s="793">
        <f>IFERROR(INDEX('Hoja de apoyo v2'!G$17:G$20,MATCH($A375,'Hoja de apoyo v2'!$A$17:$A$20,0)),"")</f>
        <v>83.406300904207839</v>
      </c>
      <c r="T375" s="792">
        <f>IFERROR(INDEX('Hoja de apoyo v2'!H$17:H$20,MATCH($A375,'Hoja de apoyo v2'!$A$17:$A$20,0)),"")</f>
        <v>378.97014028925349</v>
      </c>
      <c r="U375" s="794">
        <f t="shared" si="184"/>
        <v>0.74955496360840568</v>
      </c>
      <c r="V375" s="795">
        <f t="shared" si="185"/>
        <v>2.23068341916987E-2</v>
      </c>
      <c r="W375" s="795">
        <f t="shared" si="186"/>
        <v>2.2478555209444799E-2</v>
      </c>
      <c r="X375" s="843">
        <f t="shared" si="187"/>
        <v>3.7258605682121082E-2</v>
      </c>
      <c r="Y375" s="843">
        <f t="shared" si="188"/>
        <v>4.0185519460792171E-2</v>
      </c>
      <c r="Z375" s="843">
        <f t="shared" si="189"/>
        <v>2.0277565652583901E-2</v>
      </c>
      <c r="AA375" s="843">
        <f t="shared" si="190"/>
        <v>1.5790115289395503</v>
      </c>
      <c r="AB375" s="796">
        <f t="shared" si="191"/>
        <v>2</v>
      </c>
      <c r="AC375" s="797">
        <f t="shared" si="192"/>
        <v>1</v>
      </c>
      <c r="AD375" s="797">
        <f t="shared" si="193"/>
        <v>1</v>
      </c>
      <c r="AE375" s="842">
        <f t="shared" si="194"/>
        <v>1</v>
      </c>
      <c r="AF375" s="842">
        <f t="shared" si="195"/>
        <v>1</v>
      </c>
      <c r="AG375" s="842">
        <f t="shared" si="196"/>
        <v>1</v>
      </c>
      <c r="AH375" s="842">
        <f t="shared" si="197"/>
        <v>5</v>
      </c>
      <c r="AI375" s="826" cm="1">
        <f t="array" ref="AI375">SUMPRODUCT(--ISNUMBER($U375:$AA375),$AB$3:$AH$3)</f>
        <v>1</v>
      </c>
      <c r="AJ375" s="829">
        <f t="shared" si="198"/>
        <v>13.512547539443009</v>
      </c>
      <c r="AK375" s="827" t="str">
        <f t="shared" si="199"/>
        <v>Inmadura</v>
      </c>
      <c r="AL375" s="784" t="str">
        <f t="shared" si="200"/>
        <v>Alta</v>
      </c>
      <c r="AM375" s="799">
        <f>IF(ISNUMBER('Base de datos Rutas'!W373),'Base de datos Rutas'!W373,"")</f>
        <v>3427.1365491869451</v>
      </c>
      <c r="AN375" s="787">
        <f>IFERROR(SUMIFS('Base de datos Rutas'!$W$6:$W$794,'Base de datos Rutas'!$C$6:$C$794,$C375)/'Base de datos Rutas'!I373,"")</f>
        <v>3427.1365491869487</v>
      </c>
      <c r="AO375" s="800">
        <f>IFERROR('Base de datos Rutas'!X373*AN375/AM375,"")</f>
        <v>0.3483939033672564</v>
      </c>
      <c r="AP375" s="800">
        <f t="shared" si="201"/>
        <v>0.6516060966327436</v>
      </c>
      <c r="AQ375" s="789">
        <f>IFERROR(INDEX('Hoja de apoyo v2'!$J$17:$J$20,MATCH($A375,'Hoja de apoyo v2'!$A$17:$A$20,0)),"")</f>
        <v>0.64320274048480885</v>
      </c>
      <c r="AR375" s="789">
        <f t="shared" si="202"/>
        <v>8.4033561479347485E-3</v>
      </c>
      <c r="AS375" s="784" t="str">
        <f t="shared" si="203"/>
        <v>No</v>
      </c>
      <c r="AT375" s="801">
        <f>IF(ISNUMBER('Base de datos Rutas'!CK373),'Base de datos Rutas'!CK373,"")</f>
        <v>284</v>
      </c>
      <c r="AU375" s="802">
        <f>IF(ISNUMBER('Base de datos Rutas'!CL373),'Base de datos Rutas'!CL373,"")</f>
        <v>389.62</v>
      </c>
      <c r="AV375" s="802">
        <f>IF(ISNUMBER('Base de datos Rutas'!CM373),'Base de datos Rutas'!CM373,"")</f>
        <v>105.62</v>
      </c>
      <c r="AW375" s="802">
        <f>IF(ISNUMBER('Base de datos Rutas'!CN373),'Base de datos Rutas'!CN373,"")</f>
        <v>6.83</v>
      </c>
      <c r="AX375" s="802">
        <f>IF(ISNUMBER('Base de datos Rutas'!CO373),'Base de datos Rutas'!CO373,"")</f>
        <v>9.4499999999999993</v>
      </c>
      <c r="AY375" s="802">
        <f>IF(ISNUMBER('Base de datos Rutas'!CP373),'Base de datos Rutas'!CP373,"")</f>
        <v>2.6199999999999992</v>
      </c>
      <c r="AZ375" s="802">
        <f>IF(ISNUMBER('Base de datos Rutas'!CQ373),'Base de datos Rutas'!CQ373,"")</f>
        <v>846.56</v>
      </c>
      <c r="BA375" s="802">
        <f>IF(ISNUMBER('Base de datos Rutas'!CR373),'Base de datos Rutas'!CR373,"")</f>
        <v>19.7</v>
      </c>
      <c r="BB375" s="803">
        <f>IF(ISNUMBER('Base de datos Rutas'!CS373),'Base de datos Rutas'!CS373,"")</f>
        <v>826.8599999999999</v>
      </c>
      <c r="BC375" s="804">
        <f t="shared" si="213"/>
        <v>0</v>
      </c>
      <c r="BD375" s="805" t="str">
        <f t="shared" si="214"/>
        <v>No saturada</v>
      </c>
      <c r="BE375" s="806">
        <f t="shared" si="215"/>
        <v>2.3270648270648273E-2</v>
      </c>
      <c r="BF375" s="890">
        <f>IF(ISNUMBER('Base de datos Rutas'!CX373),'Base de datos Rutas'!CX373/100,"")</f>
        <v>0.937613703484938</v>
      </c>
      <c r="BG375" s="891">
        <f>IF(ISNUMBER('Base de datos Rutas'!CZ373),'Base de datos Rutas'!CZ373/100,"")</f>
        <v>1</v>
      </c>
      <c r="BH375" s="892">
        <f>IF(ISNUMBER('Base de datos Rutas'!DA373),'Base de datos Rutas'!DA373,"")</f>
        <v>1406.9503786236114</v>
      </c>
      <c r="BI375" s="893">
        <f>IF(ISNUMBER('Base de datos Rutas'!DC373),'Base de datos Rutas'!DC373,"")</f>
        <v>62.101399962193241</v>
      </c>
      <c r="BJ375" s="805" t="str">
        <f t="shared" si="216"/>
        <v>Ruta (completo)</v>
      </c>
      <c r="BK375" s="783">
        <f t="shared" si="204"/>
        <v>3</v>
      </c>
      <c r="BL375" s="797">
        <f t="shared" si="205"/>
        <v>2</v>
      </c>
      <c r="BM375" s="797">
        <f t="shared" si="206"/>
        <v>5</v>
      </c>
      <c r="BN375" s="797">
        <f t="shared" si="207"/>
        <v>5</v>
      </c>
      <c r="BO375" s="798" cm="1">
        <f t="array" ref="BO375">SUMPRODUCT(--ISNUMBER($BF375:$BI375),$BK$3:$BN$3)</f>
        <v>1</v>
      </c>
      <c r="BP375" s="831">
        <f t="shared" si="217"/>
        <v>68.75</v>
      </c>
      <c r="BQ375" s="834" t="str">
        <f t="shared" si="218"/>
        <v>Alto</v>
      </c>
      <c r="BR375" s="836">
        <f t="shared" si="208"/>
        <v>10.134410654582258</v>
      </c>
      <c r="BS375" s="836">
        <f t="shared" si="209"/>
        <v>68.75</v>
      </c>
      <c r="BT375" s="837" t="str">
        <f t="shared" si="210"/>
        <v>P3</v>
      </c>
      <c r="BU375" s="807" t="str">
        <f t="shared" si="219"/>
        <v>Con espacio</v>
      </c>
      <c r="BV375" s="807" t="str">
        <f t="shared" si="211"/>
        <v>Zona atractiva</v>
      </c>
      <c r="BW375" s="808" t="str">
        <f t="shared" si="212"/>
        <v>P3 - Desarrollar</v>
      </c>
    </row>
    <row r="376" spans="1:75">
      <c r="A376" s="780" t="str">
        <f>'Base de datos Rutas'!A374</f>
        <v>Occidente</v>
      </c>
      <c r="B376" s="781" t="str">
        <f>'Base de datos Rutas'!B374</f>
        <v>Zapopan</v>
      </c>
      <c r="C376" s="781" t="str">
        <f>'Base de datos Rutas'!C374</f>
        <v>Planta Zapopan</v>
      </c>
      <c r="D376" s="782">
        <f>IF(ISNUMBER('Base de datos Rutas'!D374),'Base de datos Rutas'!D374,"Sin código")</f>
        <v>816366</v>
      </c>
      <c r="E376" s="783" t="str">
        <f>'Base de datos Rutas'!F374</f>
        <v>Activa</v>
      </c>
      <c r="F376" s="784" t="str">
        <f>'Base de datos Rutas'!H374</f>
        <v>Sí</v>
      </c>
      <c r="G376" s="785">
        <f>IF(ISNUMBER('Base de datos Rutas'!BE374),'Base de datos Rutas'!BE374,"")</f>
        <v>75.795871559632999</v>
      </c>
      <c r="H376" s="786">
        <f>IF(ISNUMBER('Base de datos Rutas'!BH374),'Base de datos Rutas'!BH374,"")</f>
        <v>0.57294156806971897</v>
      </c>
      <c r="I376" s="788">
        <f>IFERROR(IF(OR(NOT(ISNUMBER('Base de datos Rutas'!O374)),N('Base de datos Rutas'!BK374)=0),"",'Base de datos Rutas'!O374/('Base de datos Rutas'!L374/'Base de datos Rutas'!BK374)),"")</f>
        <v>8708.1513761467759</v>
      </c>
      <c r="J376" s="788">
        <f>IFERROR(IF(OR(NOT(ISNUMBER('Base de datos Rutas'!N374)),N('Base de datos Rutas'!BK374)=0),"",'Base de datos Rutas'!N374/('Base de datos Rutas'!L374/'Base de datos Rutas'!BK374)),"")</f>
        <v>8417.9266055045737</v>
      </c>
      <c r="K376" s="788">
        <f>IFERROR(IF(OR(NOT(ISNUMBER('Base de datos Rutas'!J374)),N('Base de datos Rutas'!BK374)=0),"",'Base de datos Rutas'!J374/('Base de datos Rutas'!L374/'Base de datos Rutas'!BK374)),"")</f>
        <v>574.45011926605412</v>
      </c>
      <c r="L376" s="788">
        <f>IFERROR(IF(OR(NOT(ISNUMBER('Base de datos Rutas'!K374)),N('Base de datos Rutas'!BK374)=0),"",'Base de datos Rutas'!K374/('Base de datos Rutas'!L374/'Base de datos Rutas'!BK374)),"")</f>
        <v>53.098266467889829</v>
      </c>
      <c r="M376" s="787">
        <f>IF(ISNUMBER('Base de datos Rutas'!AX374),'Base de datos Rutas'!AX374,"")</f>
        <v>394.36835005809701</v>
      </c>
      <c r="N376" s="790">
        <f>IFERROR(INDEX('Hoja de apoyo v2'!B$17:B$20,MATCH($A376,'Hoja de apoyo v2'!$A$17:$A$20,0)),"")</f>
        <v>89.41621024641401</v>
      </c>
      <c r="O376" s="791">
        <f>IFERROR(INDEX('Hoja de apoyo v2'!C$17:C$20,MATCH($A376,'Hoja de apoyo v2'!$A$17:$A$20,0)),"")</f>
        <v>0.54706375874806301</v>
      </c>
      <c r="P376" s="793">
        <f>IFERROR(INDEX('Hoja de apoyo v2'!D$17:D$20,MATCH($A376,'Hoja de apoyo v2'!$A$17:$A$20,0)),"")</f>
        <v>11095.153935793827</v>
      </c>
      <c r="Q376" s="793">
        <f>IFERROR(INDEX('Hoja de apoyo v2'!E$17:E$20,MATCH($A376,'Hoja de apoyo v2'!$A$17:$A$20,0)),"")</f>
        <v>6982.3202019701848</v>
      </c>
      <c r="R376" s="793">
        <f>IFERROR(INDEX('Hoja de apoyo v2'!F$17:F$20,MATCH($A376,'Hoja de apoyo v2'!$A$17:$A$20,0)),"")</f>
        <v>448.09513474485743</v>
      </c>
      <c r="S376" s="793">
        <f>IFERROR(INDEX('Hoja de apoyo v2'!G$17:G$20,MATCH($A376,'Hoja de apoyo v2'!$A$17:$A$20,0)),"")</f>
        <v>83.406300904207839</v>
      </c>
      <c r="T376" s="792">
        <f>IFERROR(INDEX('Hoja de apoyo v2'!H$17:H$20,MATCH($A376,'Hoja de apoyo v2'!$A$17:$A$20,0)),"")</f>
        <v>378.97014028925349</v>
      </c>
      <c r="U376" s="794">
        <f t="shared" si="184"/>
        <v>0.84767483827321743</v>
      </c>
      <c r="V376" s="795">
        <f t="shared" si="185"/>
        <v>1.0473030956773237</v>
      </c>
      <c r="W376" s="795">
        <f t="shared" si="186"/>
        <v>0.78486079837555056</v>
      </c>
      <c r="X376" s="843">
        <f t="shared" si="187"/>
        <v>1.2056059249659314</v>
      </c>
      <c r="Y376" s="843">
        <f t="shared" si="188"/>
        <v>1.2819824959562269</v>
      </c>
      <c r="Z376" s="843">
        <f t="shared" si="189"/>
        <v>0.63662176468985487</v>
      </c>
      <c r="AA376" s="843">
        <f t="shared" si="190"/>
        <v>1.0406317230088118</v>
      </c>
      <c r="AB376" s="796">
        <f t="shared" si="191"/>
        <v>3</v>
      </c>
      <c r="AC376" s="797">
        <f t="shared" si="192"/>
        <v>4</v>
      </c>
      <c r="AD376" s="797">
        <f t="shared" si="193"/>
        <v>3</v>
      </c>
      <c r="AE376" s="842">
        <f t="shared" si="194"/>
        <v>4</v>
      </c>
      <c r="AF376" s="842">
        <f t="shared" si="195"/>
        <v>5</v>
      </c>
      <c r="AG376" s="842">
        <f t="shared" si="196"/>
        <v>2</v>
      </c>
      <c r="AH376" s="842">
        <f t="shared" si="197"/>
        <v>4</v>
      </c>
      <c r="AI376" s="826" cm="1">
        <f t="array" ref="AI376">SUMPRODUCT(--ISNUMBER($U376:$AA376),$AB$3:$AH$3)</f>
        <v>1</v>
      </c>
      <c r="AJ376" s="829">
        <f t="shared" si="198"/>
        <v>59.500103328455644</v>
      </c>
      <c r="AK376" s="827" t="str">
        <f t="shared" si="199"/>
        <v>En desarrollo</v>
      </c>
      <c r="AL376" s="784" t="str">
        <f t="shared" si="200"/>
        <v>Alta</v>
      </c>
      <c r="AM376" s="799">
        <f>IF(ISNUMBER('Base de datos Rutas'!W374),'Base de datos Rutas'!W374,"")</f>
        <v>3427.1365491869451</v>
      </c>
      <c r="AN376" s="787">
        <f>IFERROR(SUMIFS('Base de datos Rutas'!$W$6:$W$794,'Base de datos Rutas'!$C$6:$C$794,$C376)/'Base de datos Rutas'!I374,"")</f>
        <v>3427.1365491869487</v>
      </c>
      <c r="AO376" s="800">
        <f>IFERROR('Base de datos Rutas'!X374*AN376/AM376,"")</f>
        <v>0.3483939033672564</v>
      </c>
      <c r="AP376" s="800">
        <f t="shared" si="201"/>
        <v>0.6516060966327436</v>
      </c>
      <c r="AQ376" s="789">
        <f>IFERROR(INDEX('Hoja de apoyo v2'!$J$17:$J$20,MATCH($A376,'Hoja de apoyo v2'!$A$17:$A$20,0)),"")</f>
        <v>0.64320274048480885</v>
      </c>
      <c r="AR376" s="789">
        <f t="shared" si="202"/>
        <v>8.4033561479347485E-3</v>
      </c>
      <c r="AS376" s="784" t="str">
        <f t="shared" si="203"/>
        <v>No</v>
      </c>
      <c r="AT376" s="801">
        <f>IF(ISNUMBER('Base de datos Rutas'!CK374),'Base de datos Rutas'!CK374,"")</f>
        <v>369</v>
      </c>
      <c r="AU376" s="802">
        <f>IF(ISNUMBER('Base de datos Rutas'!CL374),'Base de datos Rutas'!CL374,"")</f>
        <v>569.73</v>
      </c>
      <c r="AV376" s="802">
        <f>IF(ISNUMBER('Base de datos Rutas'!CM374),'Base de datos Rutas'!CM374,"")</f>
        <v>200.73000000000002</v>
      </c>
      <c r="AW376" s="802">
        <f>IF(ISNUMBER('Base de datos Rutas'!CN374),'Base de datos Rutas'!CN374,"")</f>
        <v>4.9000000000000004</v>
      </c>
      <c r="AX376" s="802">
        <f>IF(ISNUMBER('Base de datos Rutas'!CO374),'Base de datos Rutas'!CO374,"")</f>
        <v>9.4499999999999993</v>
      </c>
      <c r="AY376" s="802">
        <f>IF(ISNUMBER('Base de datos Rutas'!CP374),'Base de datos Rutas'!CP374,"")</f>
        <v>4.5499999999999989</v>
      </c>
      <c r="AZ376" s="802">
        <f>IF(ISNUMBER('Base de datos Rutas'!CQ374),'Base de datos Rutas'!CQ374,"")</f>
        <v>846.56</v>
      </c>
      <c r="BA376" s="802">
        <f>IF(ISNUMBER('Base de datos Rutas'!CR374),'Base de datos Rutas'!CR374,"")</f>
        <v>627.54999999999995</v>
      </c>
      <c r="BB376" s="803">
        <f>IF(ISNUMBER('Base de datos Rutas'!CS374),'Base de datos Rutas'!CS374,"")</f>
        <v>219.01</v>
      </c>
      <c r="BC376" s="804">
        <f t="shared" si="213"/>
        <v>0</v>
      </c>
      <c r="BD376" s="805" t="str">
        <f t="shared" si="214"/>
        <v>No saturada</v>
      </c>
      <c r="BE376" s="806">
        <f t="shared" si="215"/>
        <v>0.7412941787941788</v>
      </c>
      <c r="BF376" s="890">
        <f>IF(ISNUMBER('Base de datos Rutas'!CX374),'Base de datos Rutas'!CX374/100,"")</f>
        <v>0.89846737481031869</v>
      </c>
      <c r="BG376" s="891">
        <f>IF(ISNUMBER('Base de datos Rutas'!CZ374),'Base de datos Rutas'!CZ374/100,"")</f>
        <v>1</v>
      </c>
      <c r="BH376" s="892">
        <f>IF(ISNUMBER('Base de datos Rutas'!DA374),'Base de datos Rutas'!DA374,"")</f>
        <v>2067.4442791346951</v>
      </c>
      <c r="BI376" s="893">
        <f>IF(ISNUMBER('Base de datos Rutas'!DC374),'Base de datos Rutas'!DC374,"")</f>
        <v>74.972994815702592</v>
      </c>
      <c r="BJ376" s="805" t="str">
        <f t="shared" si="216"/>
        <v>Ruta (completo)</v>
      </c>
      <c r="BK376" s="783">
        <f t="shared" si="204"/>
        <v>3</v>
      </c>
      <c r="BL376" s="797">
        <f t="shared" si="205"/>
        <v>2</v>
      </c>
      <c r="BM376" s="797">
        <f t="shared" si="206"/>
        <v>5</v>
      </c>
      <c r="BN376" s="797">
        <f t="shared" si="207"/>
        <v>5</v>
      </c>
      <c r="BO376" s="798" cm="1">
        <f t="array" ref="BO376">SUMPRODUCT(--ISNUMBER($BF376:$BI376),$BK$3:$BN$3)</f>
        <v>1</v>
      </c>
      <c r="BP376" s="831">
        <f t="shared" si="217"/>
        <v>68.75</v>
      </c>
      <c r="BQ376" s="834" t="str">
        <f t="shared" si="218"/>
        <v>Alto</v>
      </c>
      <c r="BR376" s="836">
        <f t="shared" si="208"/>
        <v>44.625077496341731</v>
      </c>
      <c r="BS376" s="836">
        <f t="shared" si="209"/>
        <v>68.75</v>
      </c>
      <c r="BT376" s="837" t="str">
        <f t="shared" si="210"/>
        <v>P1</v>
      </c>
      <c r="BU376" s="807" t="str">
        <f t="shared" si="219"/>
        <v>Con espacio</v>
      </c>
      <c r="BV376" s="807" t="str">
        <f t="shared" si="211"/>
        <v>Zona atractiva</v>
      </c>
      <c r="BW376" s="808" t="str">
        <f t="shared" si="212"/>
        <v>P1 - Ampliar cobertura</v>
      </c>
    </row>
    <row r="377" spans="1:75">
      <c r="A377" s="780" t="str">
        <f>'Base de datos Rutas'!A375</f>
        <v>Occidente</v>
      </c>
      <c r="B377" s="781" t="str">
        <f>'Base de datos Rutas'!B375</f>
        <v>Zapopan</v>
      </c>
      <c r="C377" s="781" t="str">
        <f>'Base de datos Rutas'!C375</f>
        <v>Planta Zapopan</v>
      </c>
      <c r="D377" s="782">
        <f>IF(ISNUMBER('Base de datos Rutas'!D375),'Base de datos Rutas'!D375,"Sin código")</f>
        <v>816367</v>
      </c>
      <c r="E377" s="783" t="str">
        <f>'Base de datos Rutas'!F375</f>
        <v>Activa</v>
      </c>
      <c r="F377" s="784" t="str">
        <f>'Base de datos Rutas'!H375</f>
        <v>Sí</v>
      </c>
      <c r="G377" s="785">
        <f>IF(ISNUMBER('Base de datos Rutas'!BE375),'Base de datos Rutas'!BE375,"")</f>
        <v>97.600917431192698</v>
      </c>
      <c r="H377" s="786">
        <f>IF(ISNUMBER('Base de datos Rutas'!BH375),'Base de datos Rutas'!BH375,"")</f>
        <v>0.38851811815575499</v>
      </c>
      <c r="I377" s="788">
        <f>IFERROR(IF(OR(NOT(ISNUMBER('Base de datos Rutas'!O375)),N('Base de datos Rutas'!BK375)=0),"",'Base de datos Rutas'!O375/('Base de datos Rutas'!L375/'Base de datos Rutas'!BK375)),"")</f>
        <v>5270.3188073394376</v>
      </c>
      <c r="J377" s="788">
        <f>IFERROR(IF(OR(NOT(ISNUMBER('Base de datos Rutas'!N375)),N('Base de datos Rutas'!BK375)=0),"",'Base de datos Rutas'!N375/('Base de datos Rutas'!L375/'Base de datos Rutas'!BK375)),"")</f>
        <v>8798.8715596330076</v>
      </c>
      <c r="K377" s="788">
        <f>IFERROR(IF(OR(NOT(ISNUMBER('Base de datos Rutas'!J375)),N('Base de datos Rutas'!BK375)=0),"",'Base de datos Rutas'!J375/('Base de datos Rutas'!L375/'Base de datos Rutas'!BK375)),"")</f>
        <v>598.96149908256507</v>
      </c>
      <c r="L377" s="788">
        <f>IFERROR(IF(OR(NOT(ISNUMBER('Base de datos Rutas'!K375)),N('Base de datos Rutas'!BK375)=0),"",'Base de datos Rutas'!K375/('Base de datos Rutas'!L375/'Base de datos Rutas'!BK375)),"")</f>
        <v>35.160698094036611</v>
      </c>
      <c r="M377" s="787">
        <f>IF(ISNUMBER('Base de datos Rutas'!AX375),'Base de datos Rutas'!AX375,"")</f>
        <v>370.84496098711702</v>
      </c>
      <c r="N377" s="790">
        <f>IFERROR(INDEX('Hoja de apoyo v2'!B$17:B$20,MATCH($A377,'Hoja de apoyo v2'!$A$17:$A$20,0)),"")</f>
        <v>89.41621024641401</v>
      </c>
      <c r="O377" s="791">
        <f>IFERROR(INDEX('Hoja de apoyo v2'!C$17:C$20,MATCH($A377,'Hoja de apoyo v2'!$A$17:$A$20,0)),"")</f>
        <v>0.54706375874806301</v>
      </c>
      <c r="P377" s="793">
        <f>IFERROR(INDEX('Hoja de apoyo v2'!D$17:D$20,MATCH($A377,'Hoja de apoyo v2'!$A$17:$A$20,0)),"")</f>
        <v>11095.153935793827</v>
      </c>
      <c r="Q377" s="793">
        <f>IFERROR(INDEX('Hoja de apoyo v2'!E$17:E$20,MATCH($A377,'Hoja de apoyo v2'!$A$17:$A$20,0)),"")</f>
        <v>6982.3202019701848</v>
      </c>
      <c r="R377" s="793">
        <f>IFERROR(INDEX('Hoja de apoyo v2'!F$17:F$20,MATCH($A377,'Hoja de apoyo v2'!$A$17:$A$20,0)),"")</f>
        <v>448.09513474485743</v>
      </c>
      <c r="S377" s="793">
        <f>IFERROR(INDEX('Hoja de apoyo v2'!G$17:G$20,MATCH($A377,'Hoja de apoyo v2'!$A$17:$A$20,0)),"")</f>
        <v>83.406300904207839</v>
      </c>
      <c r="T377" s="792">
        <f>IFERROR(INDEX('Hoja de apoyo v2'!H$17:H$20,MATCH($A377,'Hoja de apoyo v2'!$A$17:$A$20,0)),"")</f>
        <v>378.97014028925349</v>
      </c>
      <c r="U377" s="794">
        <f t="shared" si="184"/>
        <v>1.0915349371464436</v>
      </c>
      <c r="V377" s="795">
        <f t="shared" si="185"/>
        <v>0.71018800266511095</v>
      </c>
      <c r="W377" s="795">
        <f t="shared" si="186"/>
        <v>0.47501087752707788</v>
      </c>
      <c r="X377" s="843">
        <f t="shared" si="187"/>
        <v>1.2601644303207766</v>
      </c>
      <c r="Y377" s="843">
        <f t="shared" si="188"/>
        <v>1.3366837812769603</v>
      </c>
      <c r="Z377" s="843">
        <f t="shared" si="189"/>
        <v>0.42155925527039839</v>
      </c>
      <c r="AA377" s="843">
        <f t="shared" si="190"/>
        <v>0.97855984301049459</v>
      </c>
      <c r="AB377" s="796">
        <f t="shared" si="191"/>
        <v>4</v>
      </c>
      <c r="AC377" s="797">
        <f t="shared" si="192"/>
        <v>2</v>
      </c>
      <c r="AD377" s="797">
        <f t="shared" si="193"/>
        <v>1</v>
      </c>
      <c r="AE377" s="842">
        <f t="shared" si="194"/>
        <v>5</v>
      </c>
      <c r="AF377" s="842">
        <f t="shared" si="195"/>
        <v>5</v>
      </c>
      <c r="AG377" s="842">
        <f t="shared" si="196"/>
        <v>1</v>
      </c>
      <c r="AH377" s="842">
        <f t="shared" si="197"/>
        <v>3</v>
      </c>
      <c r="AI377" s="826" cm="1">
        <f t="array" ref="AI377">SUMPRODUCT(--ISNUMBER($U377:$AA377),$AB$3:$AH$3)</f>
        <v>1</v>
      </c>
      <c r="AJ377" s="829">
        <f t="shared" si="198"/>
        <v>45.815238433987801</v>
      </c>
      <c r="AK377" s="827" t="str">
        <f t="shared" si="199"/>
        <v>En desarrollo</v>
      </c>
      <c r="AL377" s="784" t="str">
        <f t="shared" si="200"/>
        <v>Alta</v>
      </c>
      <c r="AM377" s="799">
        <f>IF(ISNUMBER('Base de datos Rutas'!W375),'Base de datos Rutas'!W375,"")</f>
        <v>3427.1365491869451</v>
      </c>
      <c r="AN377" s="787">
        <f>IFERROR(SUMIFS('Base de datos Rutas'!$W$6:$W$794,'Base de datos Rutas'!$C$6:$C$794,$C377)/'Base de datos Rutas'!I375,"")</f>
        <v>3427.1365491869487</v>
      </c>
      <c r="AO377" s="800">
        <f>IFERROR('Base de datos Rutas'!X375*AN377/AM377,"")</f>
        <v>0.3483939033672564</v>
      </c>
      <c r="AP377" s="800">
        <f t="shared" si="201"/>
        <v>0.6516060966327436</v>
      </c>
      <c r="AQ377" s="789">
        <f>IFERROR(INDEX('Hoja de apoyo v2'!$J$17:$J$20,MATCH($A377,'Hoja de apoyo v2'!$A$17:$A$20,0)),"")</f>
        <v>0.64320274048480885</v>
      </c>
      <c r="AR377" s="789">
        <f t="shared" si="202"/>
        <v>8.4033561479347485E-3</v>
      </c>
      <c r="AS377" s="784" t="str">
        <f t="shared" si="203"/>
        <v>No</v>
      </c>
      <c r="AT377" s="801">
        <f>IF(ISNUMBER('Base de datos Rutas'!CK375),'Base de datos Rutas'!CK375,"")</f>
        <v>365</v>
      </c>
      <c r="AU377" s="802">
        <f>IF(ISNUMBER('Base de datos Rutas'!CL375),'Base de datos Rutas'!CL375,"")</f>
        <v>412.43</v>
      </c>
      <c r="AV377" s="802">
        <f>IF(ISNUMBER('Base de datos Rutas'!CM375),'Base de datos Rutas'!CM375,"")</f>
        <v>47.430000000000007</v>
      </c>
      <c r="AW377" s="802">
        <f>IF(ISNUMBER('Base de datos Rutas'!CN375),'Base de datos Rutas'!CN375,"")</f>
        <v>7.31</v>
      </c>
      <c r="AX377" s="802">
        <f>IF(ISNUMBER('Base de datos Rutas'!CO375),'Base de datos Rutas'!CO375,"")</f>
        <v>9.4499999999999993</v>
      </c>
      <c r="AY377" s="802">
        <f>IF(ISNUMBER('Base de datos Rutas'!CP375),'Base de datos Rutas'!CP375,"")</f>
        <v>2.1399999999999997</v>
      </c>
      <c r="AZ377" s="802">
        <f>IF(ISNUMBER('Base de datos Rutas'!CQ375),'Base de datos Rutas'!CQ375,"")</f>
        <v>564.37</v>
      </c>
      <c r="BA377" s="802">
        <f>IF(ISNUMBER('Base de datos Rutas'!CR375),'Base de datos Rutas'!CR375,"")</f>
        <v>634.12</v>
      </c>
      <c r="BB377" s="803">
        <f>IF(ISNUMBER('Base de datos Rutas'!CS375),'Base de datos Rutas'!CS375,"")</f>
        <v>-69.75</v>
      </c>
      <c r="BC377" s="804">
        <f t="shared" si="213"/>
        <v>1</v>
      </c>
      <c r="BD377" s="805" t="str">
        <f t="shared" si="214"/>
        <v>Saturada</v>
      </c>
      <c r="BE377" s="806">
        <f t="shared" si="215"/>
        <v>1.123589134787462</v>
      </c>
      <c r="BF377" s="890">
        <f>IF(ISNUMBER('Base de datos Rutas'!CX375),'Base de datos Rutas'!CX375/100,"")</f>
        <v>0.9811860372867911</v>
      </c>
      <c r="BG377" s="891">
        <f>IF(ISNUMBER('Base de datos Rutas'!CZ375),'Base de datos Rutas'!CZ375/100,"")</f>
        <v>1</v>
      </c>
      <c r="BH377" s="892">
        <f>IF(ISNUMBER('Base de datos Rutas'!DA375),'Base de datos Rutas'!DA375,"")</f>
        <v>482.13593518219301</v>
      </c>
      <c r="BI377" s="893">
        <f>IF(ISNUMBER('Base de datos Rutas'!DC375),'Base de datos Rutas'!DC375,"")</f>
        <v>20.878548373909354</v>
      </c>
      <c r="BJ377" s="805" t="str">
        <f t="shared" si="216"/>
        <v>Ruta (completo)</v>
      </c>
      <c r="BK377" s="783">
        <f t="shared" si="204"/>
        <v>5</v>
      </c>
      <c r="BL377" s="797">
        <f t="shared" si="205"/>
        <v>2</v>
      </c>
      <c r="BM377" s="797">
        <f t="shared" si="206"/>
        <v>2</v>
      </c>
      <c r="BN377" s="797">
        <f t="shared" si="207"/>
        <v>2</v>
      </c>
      <c r="BO377" s="798" cm="1">
        <f t="array" ref="BO377">SUMPRODUCT(--ISNUMBER($BF377:$BI377),$BK$3:$BN$3)</f>
        <v>1</v>
      </c>
      <c r="BP377" s="831">
        <f t="shared" si="217"/>
        <v>43.75</v>
      </c>
      <c r="BQ377" s="834" t="str">
        <f t="shared" si="218"/>
        <v>Medio</v>
      </c>
      <c r="BR377" s="836">
        <f t="shared" si="208"/>
        <v>59.361428825490847</v>
      </c>
      <c r="BS377" s="836">
        <f t="shared" si="209"/>
        <v>43.75</v>
      </c>
      <c r="BT377" s="837" t="str">
        <f t="shared" si="210"/>
        <v>P2</v>
      </c>
      <c r="BU377" s="807" t="str">
        <f t="shared" si="219"/>
        <v>Al tope</v>
      </c>
      <c r="BV377" s="807" t="str">
        <f t="shared" si="211"/>
        <v>Zona de bajo potencial</v>
      </c>
      <c r="BW377" s="808" t="str">
        <f t="shared" si="212"/>
        <v>P2 - Mantener</v>
      </c>
    </row>
    <row r="378" spans="1:75">
      <c r="A378" s="780" t="str">
        <f>'Base de datos Rutas'!A376</f>
        <v>Occidente</v>
      </c>
      <c r="B378" s="781" t="str">
        <f>'Base de datos Rutas'!B376</f>
        <v>Zapopan</v>
      </c>
      <c r="C378" s="781" t="str">
        <f>'Base de datos Rutas'!C376</f>
        <v>Planta Zapopan</v>
      </c>
      <c r="D378" s="782">
        <f>IF(ISNUMBER('Base de datos Rutas'!D376),'Base de datos Rutas'!D376,"Sin código")</f>
        <v>816368</v>
      </c>
      <c r="E378" s="783" t="str">
        <f>'Base de datos Rutas'!F376</f>
        <v>Activa</v>
      </c>
      <c r="F378" s="784" t="str">
        <f>'Base de datos Rutas'!H376</f>
        <v>Sí</v>
      </c>
      <c r="G378" s="785">
        <f>IF(ISNUMBER('Base de datos Rutas'!BE376),'Base de datos Rutas'!BE376,"")</f>
        <v>72.087155963302806</v>
      </c>
      <c r="H378" s="786">
        <f>IF(ISNUMBER('Base de datos Rutas'!BH376),'Base de datos Rutas'!BH376,"")</f>
        <v>0.654088450524976</v>
      </c>
      <c r="I378" s="788">
        <f>IFERROR(IF(OR(NOT(ISNUMBER('Base de datos Rutas'!O376)),N('Base de datos Rutas'!BK376)=0),"",'Base de datos Rutas'!O376/('Base de datos Rutas'!L376/'Base de datos Rutas'!BK376)),"")</f>
        <v>9116.8967889908163</v>
      </c>
      <c r="J378" s="788">
        <f>IFERROR(IF(OR(NOT(ISNUMBER('Base de datos Rutas'!N376)),N('Base de datos Rutas'!BK376)=0),"",'Base de datos Rutas'!N376/('Base de datos Rutas'!L376/'Base de datos Rutas'!BK376)),"")</f>
        <v>8576.0733944954045</v>
      </c>
      <c r="K378" s="788">
        <f>IFERROR(IF(OR(NOT(ISNUMBER('Base de datos Rutas'!J376)),N('Base de datos Rutas'!BK376)=0),"",'Base de datos Rutas'!J376/('Base de datos Rutas'!L376/'Base de datos Rutas'!BK376)),"")</f>
        <v>583.39346055045803</v>
      </c>
      <c r="L378" s="788">
        <f>IFERROR(IF(OR(NOT(ISNUMBER('Base de datos Rutas'!K376)),N('Base de datos Rutas'!BK376)=0),"",'Base de datos Rutas'!K376/('Base de datos Rutas'!L376/'Base de datos Rutas'!BK376)),"")</f>
        <v>52.284540821100862</v>
      </c>
      <c r="M378" s="787">
        <f>IF(ISNUMBER('Base de datos Rutas'!AX376),'Base de datos Rutas'!AX376,"")</f>
        <v>374.50060219865799</v>
      </c>
      <c r="N378" s="790">
        <f>IFERROR(INDEX('Hoja de apoyo v2'!B$17:B$20,MATCH($A378,'Hoja de apoyo v2'!$A$17:$A$20,0)),"")</f>
        <v>89.41621024641401</v>
      </c>
      <c r="O378" s="791">
        <f>IFERROR(INDEX('Hoja de apoyo v2'!C$17:C$20,MATCH($A378,'Hoja de apoyo v2'!$A$17:$A$20,0)),"")</f>
        <v>0.54706375874806301</v>
      </c>
      <c r="P378" s="793">
        <f>IFERROR(INDEX('Hoja de apoyo v2'!D$17:D$20,MATCH($A378,'Hoja de apoyo v2'!$A$17:$A$20,0)),"")</f>
        <v>11095.153935793827</v>
      </c>
      <c r="Q378" s="793">
        <f>IFERROR(INDEX('Hoja de apoyo v2'!E$17:E$20,MATCH($A378,'Hoja de apoyo v2'!$A$17:$A$20,0)),"")</f>
        <v>6982.3202019701848</v>
      </c>
      <c r="R378" s="793">
        <f>IFERROR(INDEX('Hoja de apoyo v2'!F$17:F$20,MATCH($A378,'Hoja de apoyo v2'!$A$17:$A$20,0)),"")</f>
        <v>448.09513474485743</v>
      </c>
      <c r="S378" s="793">
        <f>IFERROR(INDEX('Hoja de apoyo v2'!G$17:G$20,MATCH($A378,'Hoja de apoyo v2'!$A$17:$A$20,0)),"")</f>
        <v>83.406300904207839</v>
      </c>
      <c r="T378" s="792">
        <f>IFERROR(INDEX('Hoja de apoyo v2'!H$17:H$20,MATCH($A378,'Hoja de apoyo v2'!$A$17:$A$20,0)),"")</f>
        <v>378.97014028925349</v>
      </c>
      <c r="U378" s="794">
        <f t="shared" si="184"/>
        <v>0.80619784449200382</v>
      </c>
      <c r="V378" s="795">
        <f t="shared" si="185"/>
        <v>1.1956347684625195</v>
      </c>
      <c r="W378" s="795">
        <f t="shared" si="186"/>
        <v>0.82170079313446931</v>
      </c>
      <c r="X378" s="843">
        <f t="shared" si="187"/>
        <v>1.228255529168587</v>
      </c>
      <c r="Y378" s="843">
        <f t="shared" si="188"/>
        <v>1.3019410730327134</v>
      </c>
      <c r="Z378" s="843">
        <f t="shared" si="189"/>
        <v>0.62686559953245824</v>
      </c>
      <c r="AA378" s="843">
        <f t="shared" si="190"/>
        <v>0.98820609431871309</v>
      </c>
      <c r="AB378" s="796">
        <f t="shared" si="191"/>
        <v>3</v>
      </c>
      <c r="AC378" s="797">
        <f t="shared" si="192"/>
        <v>4</v>
      </c>
      <c r="AD378" s="797">
        <f t="shared" si="193"/>
        <v>3</v>
      </c>
      <c r="AE378" s="842">
        <f t="shared" si="194"/>
        <v>4</v>
      </c>
      <c r="AF378" s="842">
        <f t="shared" si="195"/>
        <v>5</v>
      </c>
      <c r="AG378" s="842">
        <f t="shared" si="196"/>
        <v>2</v>
      </c>
      <c r="AH378" s="842">
        <f t="shared" si="197"/>
        <v>3</v>
      </c>
      <c r="AI378" s="826" cm="1">
        <f t="array" ref="AI378">SUMPRODUCT(--ISNUMBER($U378:$AA378),$AB$3:$AH$3)</f>
        <v>1</v>
      </c>
      <c r="AJ378" s="829">
        <f t="shared" si="198"/>
        <v>57.255375488129076</v>
      </c>
      <c r="AK378" s="827" t="str">
        <f t="shared" si="199"/>
        <v>En desarrollo</v>
      </c>
      <c r="AL378" s="784" t="str">
        <f t="shared" si="200"/>
        <v>Alta</v>
      </c>
      <c r="AM378" s="799">
        <f>IF(ISNUMBER('Base de datos Rutas'!W376),'Base de datos Rutas'!W376,"")</f>
        <v>3427.1365491869451</v>
      </c>
      <c r="AN378" s="787">
        <f>IFERROR(SUMIFS('Base de datos Rutas'!$W$6:$W$794,'Base de datos Rutas'!$C$6:$C$794,$C378)/'Base de datos Rutas'!I376,"")</f>
        <v>3427.1365491869487</v>
      </c>
      <c r="AO378" s="800">
        <f>IFERROR('Base de datos Rutas'!X376*AN378/AM378,"")</f>
        <v>0.3483939033672564</v>
      </c>
      <c r="AP378" s="800">
        <f t="shared" si="201"/>
        <v>0.6516060966327436</v>
      </c>
      <c r="AQ378" s="789">
        <f>IFERROR(INDEX('Hoja de apoyo v2'!$J$17:$J$20,MATCH($A378,'Hoja de apoyo v2'!$A$17:$A$20,0)),"")</f>
        <v>0.64320274048480885</v>
      </c>
      <c r="AR378" s="789">
        <f t="shared" si="202"/>
        <v>8.4033561479347485E-3</v>
      </c>
      <c r="AS378" s="784" t="str">
        <f t="shared" si="203"/>
        <v>No</v>
      </c>
      <c r="AT378" s="801">
        <f>IF(ISNUMBER('Base de datos Rutas'!CK376),'Base de datos Rutas'!CK376,"")</f>
        <v>378</v>
      </c>
      <c r="AU378" s="802">
        <f>IF(ISNUMBER('Base de datos Rutas'!CL376),'Base de datos Rutas'!CL376,"")</f>
        <v>507.14</v>
      </c>
      <c r="AV378" s="802">
        <f>IF(ISNUMBER('Base de datos Rutas'!CM376),'Base de datos Rutas'!CM376,"")</f>
        <v>129.13999999999999</v>
      </c>
      <c r="AW378" s="802">
        <f>IF(ISNUMBER('Base de datos Rutas'!CN376),'Base de datos Rutas'!CN376,"")</f>
        <v>5.23</v>
      </c>
      <c r="AX378" s="802">
        <f>IF(ISNUMBER('Base de datos Rutas'!CO376),'Base de datos Rutas'!CO376,"")</f>
        <v>9.4499999999999993</v>
      </c>
      <c r="AY378" s="802">
        <f>IF(ISNUMBER('Base de datos Rutas'!CP376),'Base de datos Rutas'!CP376,"")</f>
        <v>4.2199999999999989</v>
      </c>
      <c r="AZ378" s="802">
        <f>IF(ISNUMBER('Base de datos Rutas'!CQ376),'Base de datos Rutas'!CQ376,"")</f>
        <v>846.56</v>
      </c>
      <c r="BA378" s="802">
        <f>IF(ISNUMBER('Base de datos Rutas'!CR376),'Base de datos Rutas'!CR376,"")</f>
        <v>635.67999999999995</v>
      </c>
      <c r="BB378" s="803">
        <f>IF(ISNUMBER('Base de datos Rutas'!CS376),'Base de datos Rutas'!CS376,"")</f>
        <v>210.88</v>
      </c>
      <c r="BC378" s="804">
        <f t="shared" si="213"/>
        <v>0</v>
      </c>
      <c r="BD378" s="805" t="str">
        <f t="shared" si="214"/>
        <v>No saturada</v>
      </c>
      <c r="BE378" s="806">
        <f t="shared" si="215"/>
        <v>0.7508977508977509</v>
      </c>
      <c r="BF378" s="890">
        <f>IF(ISNUMBER('Base de datos Rutas'!CX376),'Base de datos Rutas'!CX376/100,"")</f>
        <v>0.89517857142857149</v>
      </c>
      <c r="BG378" s="891">
        <f>IF(ISNUMBER('Base de datos Rutas'!CZ376),'Base de datos Rutas'!CZ376/100,"")</f>
        <v>1</v>
      </c>
      <c r="BH378" s="892">
        <f>IF(ISNUMBER('Base de datos Rutas'!DA376),'Base de datos Rutas'!DA376,"")</f>
        <v>2125.5056937567042</v>
      </c>
      <c r="BI378" s="893">
        <f>IF(ISNUMBER('Base de datos Rutas'!DC376),'Base de datos Rutas'!DC376,"")</f>
        <v>74.991213247718832</v>
      </c>
      <c r="BJ378" s="805" t="str">
        <f t="shared" si="216"/>
        <v>Ruta (completo)</v>
      </c>
      <c r="BK378" s="783">
        <f t="shared" si="204"/>
        <v>2</v>
      </c>
      <c r="BL378" s="797">
        <f t="shared" si="205"/>
        <v>2</v>
      </c>
      <c r="BM378" s="797">
        <f t="shared" si="206"/>
        <v>5</v>
      </c>
      <c r="BN378" s="797">
        <f t="shared" si="207"/>
        <v>5</v>
      </c>
      <c r="BO378" s="798" cm="1">
        <f t="array" ref="BO378">SUMPRODUCT(--ISNUMBER($BF378:$BI378),$BK$3:$BN$3)</f>
        <v>1</v>
      </c>
      <c r="BP378" s="831">
        <f t="shared" si="217"/>
        <v>62.5</v>
      </c>
      <c r="BQ378" s="834" t="str">
        <f t="shared" si="218"/>
        <v>Alto</v>
      </c>
      <c r="BR378" s="836">
        <f t="shared" si="208"/>
        <v>42.94153161609681</v>
      </c>
      <c r="BS378" s="836">
        <f t="shared" si="209"/>
        <v>62.5</v>
      </c>
      <c r="BT378" s="837" t="str">
        <f t="shared" si="210"/>
        <v>P1</v>
      </c>
      <c r="BU378" s="807" t="str">
        <f t="shared" si="219"/>
        <v>Con espacio</v>
      </c>
      <c r="BV378" s="807" t="str">
        <f t="shared" si="211"/>
        <v>Zona atractiva</v>
      </c>
      <c r="BW378" s="808" t="str">
        <f t="shared" si="212"/>
        <v>P1 - Ampliar cobertura</v>
      </c>
    </row>
    <row r="379" spans="1:75">
      <c r="A379" s="780" t="str">
        <f>'Base de datos Rutas'!A377</f>
        <v>Occidente</v>
      </c>
      <c r="B379" s="781" t="str">
        <f>'Base de datos Rutas'!B377</f>
        <v>Zapopan</v>
      </c>
      <c r="C379" s="781" t="str">
        <f>'Base de datos Rutas'!C377</f>
        <v>Planta Zapopan</v>
      </c>
      <c r="D379" s="782">
        <f>IF(ISNUMBER('Base de datos Rutas'!D377),'Base de datos Rutas'!D377,"Sin código")</f>
        <v>816369</v>
      </c>
      <c r="E379" s="783" t="str">
        <f>'Base de datos Rutas'!F377</f>
        <v>Activa</v>
      </c>
      <c r="F379" s="784" t="str">
        <f>'Base de datos Rutas'!H377</f>
        <v>Sí</v>
      </c>
      <c r="G379" s="785">
        <f>IF(ISNUMBER('Base de datos Rutas'!BE377),'Base de datos Rutas'!BE377,"")</f>
        <v>83.464367816091993</v>
      </c>
      <c r="H379" s="786">
        <f>IF(ISNUMBER('Base de datos Rutas'!BH377),'Base de datos Rutas'!BH377,"")</f>
        <v>0.650866224144104</v>
      </c>
      <c r="I379" s="788">
        <f>IFERROR(IF(OR(NOT(ISNUMBER('Base de datos Rutas'!O377)),N('Base de datos Rutas'!BK377)=0),"",'Base de datos Rutas'!O377/('Base de datos Rutas'!L377/'Base de datos Rutas'!BK377)),"")</f>
        <v>4740.9011494252863</v>
      </c>
      <c r="J379" s="788">
        <f>IFERROR(IF(OR(NOT(ISNUMBER('Base de datos Rutas'!N377)),N('Base de datos Rutas'!BK377)=0),"",'Base de datos Rutas'!N377/('Base de datos Rutas'!L377/'Base de datos Rutas'!BK377)),"")</f>
        <v>9529.6781609195386</v>
      </c>
      <c r="K379" s="788">
        <f>IFERROR(IF(OR(NOT(ISNUMBER('Base de datos Rutas'!J377)),N('Base de datos Rutas'!BK377)=0),"",'Base de datos Rutas'!J377/('Base de datos Rutas'!L377/'Base de datos Rutas'!BK377)),"")</f>
        <v>650.38889195402294</v>
      </c>
      <c r="L379" s="788">
        <f>IFERROR(IF(OR(NOT(ISNUMBER('Base de datos Rutas'!K377)),N('Base de datos Rutas'!BK377)=0),"",'Base de datos Rutas'!K377/('Base de datos Rutas'!L377/'Base de datos Rutas'!BK377)),"")</f>
        <v>30.603325289655171</v>
      </c>
      <c r="M379" s="787">
        <f>IF(ISNUMBER('Base de datos Rutas'!AX377),'Base de datos Rutas'!AX377,"")</f>
        <v>262.30458846430503</v>
      </c>
      <c r="N379" s="790">
        <f>IFERROR(INDEX('Hoja de apoyo v2'!B$17:B$20,MATCH($A379,'Hoja de apoyo v2'!$A$17:$A$20,0)),"")</f>
        <v>89.41621024641401</v>
      </c>
      <c r="O379" s="791">
        <f>IFERROR(INDEX('Hoja de apoyo v2'!C$17:C$20,MATCH($A379,'Hoja de apoyo v2'!$A$17:$A$20,0)),"")</f>
        <v>0.54706375874806301</v>
      </c>
      <c r="P379" s="793">
        <f>IFERROR(INDEX('Hoja de apoyo v2'!D$17:D$20,MATCH($A379,'Hoja de apoyo v2'!$A$17:$A$20,0)),"")</f>
        <v>11095.153935793827</v>
      </c>
      <c r="Q379" s="793">
        <f>IFERROR(INDEX('Hoja de apoyo v2'!E$17:E$20,MATCH($A379,'Hoja de apoyo v2'!$A$17:$A$20,0)),"")</f>
        <v>6982.3202019701848</v>
      </c>
      <c r="R379" s="793">
        <f>IFERROR(INDEX('Hoja de apoyo v2'!F$17:F$20,MATCH($A379,'Hoja de apoyo v2'!$A$17:$A$20,0)),"")</f>
        <v>448.09513474485743</v>
      </c>
      <c r="S379" s="793">
        <f>IFERROR(INDEX('Hoja de apoyo v2'!G$17:G$20,MATCH($A379,'Hoja de apoyo v2'!$A$17:$A$20,0)),"")</f>
        <v>83.406300904207839</v>
      </c>
      <c r="T379" s="792">
        <f>IFERROR(INDEX('Hoja de apoyo v2'!H$17:H$20,MATCH($A379,'Hoja de apoyo v2'!$A$17:$A$20,0)),"")</f>
        <v>378.97014028925349</v>
      </c>
      <c r="U379" s="794">
        <f t="shared" si="184"/>
        <v>0.93343665076030535</v>
      </c>
      <c r="V379" s="795">
        <f t="shared" si="185"/>
        <v>1.1897447303648654</v>
      </c>
      <c r="W379" s="795">
        <f t="shared" si="186"/>
        <v>0.42729476101550712</v>
      </c>
      <c r="X379" s="843">
        <f t="shared" si="187"/>
        <v>1.3648297249717325</v>
      </c>
      <c r="Y379" s="843">
        <f t="shared" si="188"/>
        <v>1.451452697258921</v>
      </c>
      <c r="Z379" s="843">
        <f t="shared" si="189"/>
        <v>0.36691862554608551</v>
      </c>
      <c r="AA379" s="843">
        <f t="shared" si="190"/>
        <v>0.69215107096326356</v>
      </c>
      <c r="AB379" s="796">
        <f t="shared" si="191"/>
        <v>3</v>
      </c>
      <c r="AC379" s="797">
        <f t="shared" si="192"/>
        <v>4</v>
      </c>
      <c r="AD379" s="797">
        <f t="shared" si="193"/>
        <v>1</v>
      </c>
      <c r="AE379" s="842">
        <f t="shared" si="194"/>
        <v>5</v>
      </c>
      <c r="AF379" s="842">
        <f t="shared" si="195"/>
        <v>5</v>
      </c>
      <c r="AG379" s="842">
        <f t="shared" si="196"/>
        <v>1</v>
      </c>
      <c r="AH379" s="842">
        <f t="shared" si="197"/>
        <v>2</v>
      </c>
      <c r="AI379" s="826" cm="1">
        <f t="array" ref="AI379">SUMPRODUCT(--ISNUMBER($U379:$AA379),$AB$3:$AH$3)</f>
        <v>1</v>
      </c>
      <c r="AJ379" s="829">
        <f t="shared" si="198"/>
        <v>43.802685587305447</v>
      </c>
      <c r="AK379" s="827" t="str">
        <f t="shared" si="199"/>
        <v>Inmadura</v>
      </c>
      <c r="AL379" s="784" t="str">
        <f t="shared" si="200"/>
        <v>Alta</v>
      </c>
      <c r="AM379" s="799">
        <f>IF(ISNUMBER('Base de datos Rutas'!W377),'Base de datos Rutas'!W377,"")</f>
        <v>3427.1365491869451</v>
      </c>
      <c r="AN379" s="787">
        <f>IFERROR(SUMIFS('Base de datos Rutas'!$W$6:$W$794,'Base de datos Rutas'!$C$6:$C$794,$C379)/'Base de datos Rutas'!I377,"")</f>
        <v>3427.1365491869487</v>
      </c>
      <c r="AO379" s="800">
        <f>IFERROR('Base de datos Rutas'!X377*AN379/AM379,"")</f>
        <v>0.3483939033672564</v>
      </c>
      <c r="AP379" s="800">
        <f t="shared" si="201"/>
        <v>0.6516060966327436</v>
      </c>
      <c r="AQ379" s="789">
        <f>IFERROR(INDEX('Hoja de apoyo v2'!$J$17:$J$20,MATCH($A379,'Hoja de apoyo v2'!$A$17:$A$20,0)),"")</f>
        <v>0.64320274048480885</v>
      </c>
      <c r="AR379" s="789">
        <f t="shared" si="202"/>
        <v>8.4033561479347485E-3</v>
      </c>
      <c r="AS379" s="784" t="str">
        <f t="shared" si="203"/>
        <v>No</v>
      </c>
      <c r="AT379" s="801">
        <f>IF(ISNUMBER('Base de datos Rutas'!CK377),'Base de datos Rutas'!CK377,"")</f>
        <v>298</v>
      </c>
      <c r="AU379" s="802">
        <f>IF(ISNUMBER('Base de datos Rutas'!CL377),'Base de datos Rutas'!CL377,"")</f>
        <v>352.79</v>
      </c>
      <c r="AV379" s="802">
        <f>IF(ISNUMBER('Base de datos Rutas'!CM377),'Base de datos Rutas'!CM377,"")</f>
        <v>54.79000000000002</v>
      </c>
      <c r="AW379" s="802">
        <f>IF(ISNUMBER('Base de datos Rutas'!CN377),'Base de datos Rutas'!CN377,"")</f>
        <v>6.93</v>
      </c>
      <c r="AX379" s="802">
        <f>IF(ISNUMBER('Base de datos Rutas'!CO377),'Base de datos Rutas'!CO377,"")</f>
        <v>9.4499999999999993</v>
      </c>
      <c r="AY379" s="802">
        <f>IF(ISNUMBER('Base de datos Rutas'!CP377),'Base de datos Rutas'!CP377,"")</f>
        <v>2.5199999999999996</v>
      </c>
      <c r="AZ379" s="802">
        <f>IF(ISNUMBER('Base de datos Rutas'!CQ377),'Base de datos Rutas'!CQ377,"")</f>
        <v>846.56</v>
      </c>
      <c r="BA379" s="802">
        <f>IF(ISNUMBER('Base de datos Rutas'!CR377),'Base de datos Rutas'!CR377,"")</f>
        <v>680.99</v>
      </c>
      <c r="BB379" s="803">
        <f>IF(ISNUMBER('Base de datos Rutas'!CS377),'Base de datos Rutas'!CS377,"")</f>
        <v>165.56999999999994</v>
      </c>
      <c r="BC379" s="804">
        <f t="shared" si="213"/>
        <v>0</v>
      </c>
      <c r="BD379" s="805" t="str">
        <f t="shared" si="214"/>
        <v>No saturada</v>
      </c>
      <c r="BE379" s="806">
        <f t="shared" si="215"/>
        <v>0.80442024192024197</v>
      </c>
      <c r="BF379" s="890">
        <f>IF(ISNUMBER('Base de datos Rutas'!CX377),'Base de datos Rutas'!CX377/100,"")</f>
        <v>0.96462879276952873</v>
      </c>
      <c r="BG379" s="891">
        <f>IF(ISNUMBER('Base de datos Rutas'!CZ377),'Base de datos Rutas'!CZ377/100,"")</f>
        <v>1</v>
      </c>
      <c r="BH379" s="892">
        <f>IF(ISNUMBER('Base de datos Rutas'!DA377),'Base de datos Rutas'!DA377,"")</f>
        <v>1650.5154851944458</v>
      </c>
      <c r="BI379" s="893">
        <f>IF(ISNUMBER('Base de datos Rutas'!DC377),'Base de datos Rutas'!DC377,"")</f>
        <v>76.156167578049491</v>
      </c>
      <c r="BJ379" s="805" t="str">
        <f t="shared" si="216"/>
        <v>Ruta (completo)</v>
      </c>
      <c r="BK379" s="783">
        <f t="shared" si="204"/>
        <v>4</v>
      </c>
      <c r="BL379" s="797">
        <f t="shared" si="205"/>
        <v>2</v>
      </c>
      <c r="BM379" s="797">
        <f t="shared" si="206"/>
        <v>5</v>
      </c>
      <c r="BN379" s="797">
        <f t="shared" si="207"/>
        <v>5</v>
      </c>
      <c r="BO379" s="798" cm="1">
        <f t="array" ref="BO379">SUMPRODUCT(--ISNUMBER($BF379:$BI379),$BK$3:$BN$3)</f>
        <v>1</v>
      </c>
      <c r="BP379" s="831">
        <f t="shared" si="217"/>
        <v>75</v>
      </c>
      <c r="BQ379" s="834" t="str">
        <f t="shared" si="218"/>
        <v>Alto</v>
      </c>
      <c r="BR379" s="836">
        <f t="shared" si="208"/>
        <v>32.852014190479082</v>
      </c>
      <c r="BS379" s="836">
        <f t="shared" si="209"/>
        <v>75</v>
      </c>
      <c r="BT379" s="837" t="str">
        <f t="shared" si="210"/>
        <v>P1</v>
      </c>
      <c r="BU379" s="807" t="str">
        <f t="shared" si="219"/>
        <v>Con espacio</v>
      </c>
      <c r="BV379" s="807" t="str">
        <f t="shared" si="211"/>
        <v>Zona atractiva</v>
      </c>
      <c r="BW379" s="808" t="str">
        <f t="shared" si="212"/>
        <v>P1 - Ampliar cobertura</v>
      </c>
    </row>
    <row r="380" spans="1:75">
      <c r="A380" s="780" t="str">
        <f>'Base de datos Rutas'!A378</f>
        <v>Occidente</v>
      </c>
      <c r="B380" s="781" t="str">
        <f>'Base de datos Rutas'!B378</f>
        <v>Zapopan</v>
      </c>
      <c r="C380" s="781" t="str">
        <f>'Base de datos Rutas'!C378</f>
        <v>Planta Zapopan</v>
      </c>
      <c r="D380" s="782">
        <f>IF(ISNUMBER('Base de datos Rutas'!D378),'Base de datos Rutas'!D378,"Sin código")</f>
        <v>816371</v>
      </c>
      <c r="E380" s="783" t="str">
        <f>'Base de datos Rutas'!F378</f>
        <v>Activa</v>
      </c>
      <c r="F380" s="784" t="str">
        <f>'Base de datos Rutas'!H378</f>
        <v>Sí</v>
      </c>
      <c r="G380" s="785">
        <f>IF(ISNUMBER('Base de datos Rutas'!BE378),'Base de datos Rutas'!BE378,"")</f>
        <v>111.59633027522899</v>
      </c>
      <c r="H380" s="786">
        <f>IF(ISNUMBER('Base de datos Rutas'!BH378),'Base de datos Rutas'!BH378,"")</f>
        <v>0.42765537652088098</v>
      </c>
      <c r="I380" s="788">
        <f>IFERROR(IF(OR(NOT(ISNUMBER('Base de datos Rutas'!O378)),N('Base de datos Rutas'!BK378)=0),"",'Base de datos Rutas'!O378/('Base de datos Rutas'!L378/'Base de datos Rutas'!BK378)),"")</f>
        <v>7814.1422018348721</v>
      </c>
      <c r="J380" s="788">
        <f>IFERROR(IF(OR(NOT(ISNUMBER('Base de datos Rutas'!N378)),N('Base de datos Rutas'!BK378)=0),"",'Base de datos Rutas'!N378/('Base de datos Rutas'!L378/'Base de datos Rutas'!BK378)),"")</f>
        <v>10918.089449541299</v>
      </c>
      <c r="K380" s="788">
        <f>IFERROR(IF(OR(NOT(ISNUMBER('Base de datos Rutas'!J378)),N('Base de datos Rutas'!BK378)=0),"",'Base de datos Rutas'!J378/('Base de datos Rutas'!L378/'Base de datos Rutas'!BK378)),"")</f>
        <v>749.28557431192519</v>
      </c>
      <c r="L380" s="788">
        <f>IFERROR(IF(OR(NOT(ISNUMBER('Base de datos Rutas'!K378)),N('Base de datos Rutas'!BK378)=0),"",'Base de datos Rutas'!K378/('Base de datos Rutas'!L378/'Base de datos Rutas'!BK378)),"")</f>
        <v>46.033359800458776</v>
      </c>
      <c r="M380" s="787">
        <f>IF(ISNUMBER('Base de datos Rutas'!AX378),'Base de datos Rutas'!AX378,"")</f>
        <v>394.12149173394897</v>
      </c>
      <c r="N380" s="790">
        <f>IFERROR(INDEX('Hoja de apoyo v2'!B$17:B$20,MATCH($A380,'Hoja de apoyo v2'!$A$17:$A$20,0)),"")</f>
        <v>89.41621024641401</v>
      </c>
      <c r="O380" s="791">
        <f>IFERROR(INDEX('Hoja de apoyo v2'!C$17:C$20,MATCH($A380,'Hoja de apoyo v2'!$A$17:$A$20,0)),"")</f>
        <v>0.54706375874806301</v>
      </c>
      <c r="P380" s="793">
        <f>IFERROR(INDEX('Hoja de apoyo v2'!D$17:D$20,MATCH($A380,'Hoja de apoyo v2'!$A$17:$A$20,0)),"")</f>
        <v>11095.153935793827</v>
      </c>
      <c r="Q380" s="793">
        <f>IFERROR(INDEX('Hoja de apoyo v2'!E$17:E$20,MATCH($A380,'Hoja de apoyo v2'!$A$17:$A$20,0)),"")</f>
        <v>6982.3202019701848</v>
      </c>
      <c r="R380" s="793">
        <f>IFERROR(INDEX('Hoja de apoyo v2'!F$17:F$20,MATCH($A380,'Hoja de apoyo v2'!$A$17:$A$20,0)),"")</f>
        <v>448.09513474485743</v>
      </c>
      <c r="S380" s="793">
        <f>IFERROR(INDEX('Hoja de apoyo v2'!G$17:G$20,MATCH($A380,'Hoja de apoyo v2'!$A$17:$A$20,0)),"")</f>
        <v>83.406300904207839</v>
      </c>
      <c r="T380" s="792">
        <f>IFERROR(INDEX('Hoja de apoyo v2'!H$17:H$20,MATCH($A380,'Hoja de apoyo v2'!$A$17:$A$20,0)),"")</f>
        <v>378.97014028925349</v>
      </c>
      <c r="U380" s="794">
        <f t="shared" si="184"/>
        <v>1.2480547986510591</v>
      </c>
      <c r="V380" s="795">
        <f t="shared" si="185"/>
        <v>0.7817285822397666</v>
      </c>
      <c r="W380" s="795">
        <f t="shared" si="186"/>
        <v>0.70428425302201925</v>
      </c>
      <c r="X380" s="843">
        <f t="shared" si="187"/>
        <v>1.5636764189732473</v>
      </c>
      <c r="Y380" s="843">
        <f t="shared" si="188"/>
        <v>1.672157352787514</v>
      </c>
      <c r="Z380" s="843">
        <f t="shared" si="189"/>
        <v>0.55191705304528615</v>
      </c>
      <c r="AA380" s="843">
        <f t="shared" si="190"/>
        <v>1.0399803304638489</v>
      </c>
      <c r="AB380" s="796">
        <f t="shared" si="191"/>
        <v>4</v>
      </c>
      <c r="AC380" s="797">
        <f t="shared" si="192"/>
        <v>3</v>
      </c>
      <c r="AD380" s="797">
        <f t="shared" si="193"/>
        <v>2</v>
      </c>
      <c r="AE380" s="842">
        <f t="shared" si="194"/>
        <v>5</v>
      </c>
      <c r="AF380" s="842">
        <f t="shared" si="195"/>
        <v>5</v>
      </c>
      <c r="AG380" s="842">
        <f t="shared" si="196"/>
        <v>2</v>
      </c>
      <c r="AH380" s="842">
        <f t="shared" si="197"/>
        <v>4</v>
      </c>
      <c r="AI380" s="826" cm="1">
        <f t="array" ref="AI380">SUMPRODUCT(--ISNUMBER($U380:$AA380),$AB$3:$AH$3)</f>
        <v>1</v>
      </c>
      <c r="AJ380" s="829">
        <f t="shared" si="198"/>
        <v>59.946110097592573</v>
      </c>
      <c r="AK380" s="827" t="str">
        <f t="shared" si="199"/>
        <v>En desarrollo</v>
      </c>
      <c r="AL380" s="784" t="str">
        <f t="shared" si="200"/>
        <v>Alta</v>
      </c>
      <c r="AM380" s="799">
        <f>IF(ISNUMBER('Base de datos Rutas'!W378),'Base de datos Rutas'!W378,"")</f>
        <v>3427.1365491869451</v>
      </c>
      <c r="AN380" s="787">
        <f>IFERROR(SUMIFS('Base de datos Rutas'!$W$6:$W$794,'Base de datos Rutas'!$C$6:$C$794,$C380)/'Base de datos Rutas'!I378,"")</f>
        <v>3427.1365491869487</v>
      </c>
      <c r="AO380" s="800">
        <f>IFERROR('Base de datos Rutas'!X378*AN380/AM380,"")</f>
        <v>0.3483939033672564</v>
      </c>
      <c r="AP380" s="800">
        <f t="shared" si="201"/>
        <v>0.6516060966327436</v>
      </c>
      <c r="AQ380" s="789">
        <f>IFERROR(INDEX('Hoja de apoyo v2'!$J$17:$J$20,MATCH($A380,'Hoja de apoyo v2'!$A$17:$A$20,0)),"")</f>
        <v>0.64320274048480885</v>
      </c>
      <c r="AR380" s="789">
        <f t="shared" si="202"/>
        <v>8.4033561479347485E-3</v>
      </c>
      <c r="AS380" s="784" t="str">
        <f t="shared" si="203"/>
        <v>No</v>
      </c>
      <c r="AT380" s="801">
        <f>IF(ISNUMBER('Base de datos Rutas'!CK378),'Base de datos Rutas'!CK378,"")</f>
        <v>343</v>
      </c>
      <c r="AU380" s="802">
        <f>IF(ISNUMBER('Base de datos Rutas'!CL378),'Base de datos Rutas'!CL378,"")</f>
        <v>425.27</v>
      </c>
      <c r="AV380" s="802">
        <f>IF(ISNUMBER('Base de datos Rutas'!CM378),'Base de datos Rutas'!CM378,"")</f>
        <v>82.269999999999982</v>
      </c>
      <c r="AW380" s="802">
        <f>IF(ISNUMBER('Base de datos Rutas'!CN378),'Base de datos Rutas'!CN378,"")</f>
        <v>7.18</v>
      </c>
      <c r="AX380" s="802">
        <f>IF(ISNUMBER('Base de datos Rutas'!CO378),'Base de datos Rutas'!CO378,"")</f>
        <v>9.4499999999999993</v>
      </c>
      <c r="AY380" s="802">
        <f>IF(ISNUMBER('Base de datos Rutas'!CP378),'Base de datos Rutas'!CP378,"")</f>
        <v>2.2699999999999996</v>
      </c>
      <c r="AZ380" s="802">
        <f>IF(ISNUMBER('Base de datos Rutas'!CQ378),'Base de datos Rutas'!CQ378,"")</f>
        <v>846.56</v>
      </c>
      <c r="BA380" s="802">
        <f>IF(ISNUMBER('Base de datos Rutas'!CR378),'Base de datos Rutas'!CR378,"")</f>
        <v>795.32</v>
      </c>
      <c r="BB380" s="803">
        <f>IF(ISNUMBER('Base de datos Rutas'!CS378),'Base de datos Rutas'!CS378,"")</f>
        <v>51.239999999999895</v>
      </c>
      <c r="BC380" s="804">
        <f t="shared" si="213"/>
        <v>0</v>
      </c>
      <c r="BD380" s="805" t="str">
        <f t="shared" si="214"/>
        <v>No saturada</v>
      </c>
      <c r="BE380" s="806">
        <f t="shared" si="215"/>
        <v>0.93947268947268958</v>
      </c>
      <c r="BF380" s="890">
        <f>IF(ISNUMBER('Base de datos Rutas'!CX378),'Base de datos Rutas'!CX378/100,"")</f>
        <v>0.96942772203641769</v>
      </c>
      <c r="BG380" s="891">
        <f>IF(ISNUMBER('Base de datos Rutas'!CZ378),'Base de datos Rutas'!CZ378/100,"")</f>
        <v>1</v>
      </c>
      <c r="BH380" s="892">
        <f>IF(ISNUMBER('Base de datos Rutas'!DA378),'Base de datos Rutas'!DA378,"")</f>
        <v>442.57757448787896</v>
      </c>
      <c r="BI380" s="893">
        <f>IF(ISNUMBER('Base de datos Rutas'!DC378),'Base de datos Rutas'!DC378,"")</f>
        <v>17.57818748264684</v>
      </c>
      <c r="BJ380" s="805" t="str">
        <f t="shared" si="216"/>
        <v>Ruta (completo)</v>
      </c>
      <c r="BK380" s="783">
        <f t="shared" si="204"/>
        <v>5</v>
      </c>
      <c r="BL380" s="797">
        <f t="shared" si="205"/>
        <v>2</v>
      </c>
      <c r="BM380" s="797">
        <f t="shared" si="206"/>
        <v>2</v>
      </c>
      <c r="BN380" s="797">
        <f t="shared" si="207"/>
        <v>2</v>
      </c>
      <c r="BO380" s="798" cm="1">
        <f t="array" ref="BO380">SUMPRODUCT(--ISNUMBER($BF380:$BI380),$BK$3:$BN$3)</f>
        <v>1</v>
      </c>
      <c r="BP380" s="831">
        <f t="shared" si="217"/>
        <v>43.75</v>
      </c>
      <c r="BQ380" s="834" t="str">
        <f t="shared" si="218"/>
        <v>Medio</v>
      </c>
      <c r="BR380" s="836">
        <f t="shared" si="208"/>
        <v>44.959582573194432</v>
      </c>
      <c r="BS380" s="836">
        <f t="shared" si="209"/>
        <v>43.75</v>
      </c>
      <c r="BT380" s="837" t="str">
        <f t="shared" si="210"/>
        <v>P2</v>
      </c>
      <c r="BU380" s="807" t="str">
        <f t="shared" si="219"/>
        <v>Con espacio</v>
      </c>
      <c r="BV380" s="807" t="str">
        <f t="shared" si="211"/>
        <v>Zona de bajo potencial</v>
      </c>
      <c r="BW380" s="808" t="str">
        <f t="shared" si="212"/>
        <v>P2 - Mantener</v>
      </c>
    </row>
    <row r="381" spans="1:75">
      <c r="A381" s="780" t="str">
        <f>'Base de datos Rutas'!A379</f>
        <v>Occidente</v>
      </c>
      <c r="B381" s="781" t="str">
        <f>'Base de datos Rutas'!B379</f>
        <v>Zapopan</v>
      </c>
      <c r="C381" s="781" t="str">
        <f>'Base de datos Rutas'!C379</f>
        <v>Planta Zapopan</v>
      </c>
      <c r="D381" s="782">
        <f>IF(ISNUMBER('Base de datos Rutas'!D379),'Base de datos Rutas'!D379,"Sin código")</f>
        <v>816372</v>
      </c>
      <c r="E381" s="783" t="str">
        <f>'Base de datos Rutas'!F379</f>
        <v>Activa</v>
      </c>
      <c r="F381" s="784" t="str">
        <f>'Base de datos Rutas'!H379</f>
        <v>Sí</v>
      </c>
      <c r="G381" s="785">
        <f>IF(ISNUMBER('Base de datos Rutas'!BE379),'Base de datos Rutas'!BE379,"")</f>
        <v>75.831018518518505</v>
      </c>
      <c r="H381" s="786">
        <f>IF(ISNUMBER('Base de datos Rutas'!BH379),'Base de datos Rutas'!BH379,"")</f>
        <v>0.56445556946182696</v>
      </c>
      <c r="I381" s="788">
        <f>IFERROR(IF(OR(NOT(ISNUMBER('Base de datos Rutas'!O379)),N('Base de datos Rutas'!BK379)=0),"",'Base de datos Rutas'!O379/('Base de datos Rutas'!L379/'Base de datos Rutas'!BK379)),"")</f>
        <v>4200.1157407407291</v>
      </c>
      <c r="J381" s="788">
        <f>IFERROR(IF(OR(NOT(ISNUMBER('Base de datos Rutas'!N379)),N('Base de datos Rutas'!BK379)=0),"",'Base de datos Rutas'!N379/('Base de datos Rutas'!L379/'Base de datos Rutas'!BK379)),"")</f>
        <v>7736.7523148147939</v>
      </c>
      <c r="K381" s="788">
        <f>IFERROR(IF(OR(NOT(ISNUMBER('Base de datos Rutas'!J379)),N('Base de datos Rutas'!BK379)=0),"",'Base de datos Rutas'!J379/('Base de datos Rutas'!L379/'Base de datos Rutas'!BK379)),"")</f>
        <v>527.02279259259114</v>
      </c>
      <c r="L381" s="788">
        <f>IFERROR(IF(OR(NOT(ISNUMBER('Base de datos Rutas'!K379)),N('Base de datos Rutas'!BK379)=0),"",'Base de datos Rutas'!K379/('Base de datos Rutas'!L379/'Base de datos Rutas'!BK379)),"")</f>
        <v>24.768560826388818</v>
      </c>
      <c r="M381" s="787">
        <f>IF(ISNUMBER('Base de datos Rutas'!AX379),'Base de datos Rutas'!AX379,"")</f>
        <v>278.87771240062699</v>
      </c>
      <c r="N381" s="790">
        <f>IFERROR(INDEX('Hoja de apoyo v2'!B$17:B$20,MATCH($A381,'Hoja de apoyo v2'!$A$17:$A$20,0)),"")</f>
        <v>89.41621024641401</v>
      </c>
      <c r="O381" s="791">
        <f>IFERROR(INDEX('Hoja de apoyo v2'!C$17:C$20,MATCH($A381,'Hoja de apoyo v2'!$A$17:$A$20,0)),"")</f>
        <v>0.54706375874806301</v>
      </c>
      <c r="P381" s="793">
        <f>IFERROR(INDEX('Hoja de apoyo v2'!D$17:D$20,MATCH($A381,'Hoja de apoyo v2'!$A$17:$A$20,0)),"")</f>
        <v>11095.153935793827</v>
      </c>
      <c r="Q381" s="793">
        <f>IFERROR(INDEX('Hoja de apoyo v2'!E$17:E$20,MATCH($A381,'Hoja de apoyo v2'!$A$17:$A$20,0)),"")</f>
        <v>6982.3202019701848</v>
      </c>
      <c r="R381" s="793">
        <f>IFERROR(INDEX('Hoja de apoyo v2'!F$17:F$20,MATCH($A381,'Hoja de apoyo v2'!$A$17:$A$20,0)),"")</f>
        <v>448.09513474485743</v>
      </c>
      <c r="S381" s="793">
        <f>IFERROR(INDEX('Hoja de apoyo v2'!G$17:G$20,MATCH($A381,'Hoja de apoyo v2'!$A$17:$A$20,0)),"")</f>
        <v>83.406300904207839</v>
      </c>
      <c r="T381" s="792">
        <f>IFERROR(INDEX('Hoja de apoyo v2'!H$17:H$20,MATCH($A381,'Hoja de apoyo v2'!$A$17:$A$20,0)),"")</f>
        <v>378.97014028925349</v>
      </c>
      <c r="U381" s="794">
        <f t="shared" si="184"/>
        <v>0.84806790971729495</v>
      </c>
      <c r="V381" s="795">
        <f t="shared" si="185"/>
        <v>1.0317911951498386</v>
      </c>
      <c r="W381" s="795">
        <f t="shared" si="186"/>
        <v>0.37855407550415593</v>
      </c>
      <c r="X381" s="843">
        <f t="shared" si="187"/>
        <v>1.1080489136879934</v>
      </c>
      <c r="Y381" s="843">
        <f t="shared" si="188"/>
        <v>1.1761404035164869</v>
      </c>
      <c r="Z381" s="843">
        <f t="shared" si="189"/>
        <v>0.29696270614896969</v>
      </c>
      <c r="AA381" s="843">
        <f t="shared" si="190"/>
        <v>0.73588307561057509</v>
      </c>
      <c r="AB381" s="796">
        <f t="shared" si="191"/>
        <v>3</v>
      </c>
      <c r="AC381" s="797">
        <f t="shared" si="192"/>
        <v>4</v>
      </c>
      <c r="AD381" s="797">
        <f t="shared" si="193"/>
        <v>1</v>
      </c>
      <c r="AE381" s="842">
        <f t="shared" si="194"/>
        <v>4</v>
      </c>
      <c r="AF381" s="842">
        <f t="shared" si="195"/>
        <v>4</v>
      </c>
      <c r="AG381" s="842">
        <f t="shared" si="196"/>
        <v>1</v>
      </c>
      <c r="AH381" s="842">
        <f t="shared" si="197"/>
        <v>2</v>
      </c>
      <c r="AI381" s="826" cm="1">
        <f t="array" ref="AI381">SUMPRODUCT(--ISNUMBER($U381:$AA381),$AB$3:$AH$3)</f>
        <v>1</v>
      </c>
      <c r="AJ381" s="829">
        <f t="shared" si="198"/>
        <v>37.467193429046965</v>
      </c>
      <c r="AK381" s="827" t="str">
        <f t="shared" si="199"/>
        <v>Inmadura</v>
      </c>
      <c r="AL381" s="784" t="str">
        <f t="shared" si="200"/>
        <v>Alta</v>
      </c>
      <c r="AM381" s="799">
        <f>IF(ISNUMBER('Base de datos Rutas'!W379),'Base de datos Rutas'!W379,"")</f>
        <v>3427.1365491869451</v>
      </c>
      <c r="AN381" s="787">
        <f>IFERROR(SUMIFS('Base de datos Rutas'!$W$6:$W$794,'Base de datos Rutas'!$C$6:$C$794,$C381)/'Base de datos Rutas'!I379,"")</f>
        <v>3427.1365491869487</v>
      </c>
      <c r="AO381" s="800">
        <f>IFERROR('Base de datos Rutas'!X379*AN381/AM381,"")</f>
        <v>0.3483939033672564</v>
      </c>
      <c r="AP381" s="800">
        <f t="shared" si="201"/>
        <v>0.6516060966327436</v>
      </c>
      <c r="AQ381" s="789">
        <f>IFERROR(INDEX('Hoja de apoyo v2'!$J$17:$J$20,MATCH($A381,'Hoja de apoyo v2'!$A$17:$A$20,0)),"")</f>
        <v>0.64320274048480885</v>
      </c>
      <c r="AR381" s="789">
        <f t="shared" si="202"/>
        <v>8.4033561479347485E-3</v>
      </c>
      <c r="AS381" s="784" t="str">
        <f t="shared" si="203"/>
        <v>No</v>
      </c>
      <c r="AT381" s="801">
        <f>IF(ISNUMBER('Base de datos Rutas'!CK379),'Base de datos Rutas'!CK379,"")</f>
        <v>310</v>
      </c>
      <c r="AU381" s="802">
        <f>IF(ISNUMBER('Base de datos Rutas'!CL379),'Base de datos Rutas'!CL379,"")</f>
        <v>389.18</v>
      </c>
      <c r="AV381" s="802">
        <f>IF(ISNUMBER('Base de datos Rutas'!CM379),'Base de datos Rutas'!CM379,"")</f>
        <v>79.180000000000007</v>
      </c>
      <c r="AW381" s="802">
        <f>IF(ISNUMBER('Base de datos Rutas'!CN379),'Base de datos Rutas'!CN379,"")</f>
        <v>7.25</v>
      </c>
      <c r="AX381" s="802">
        <f>IF(ISNUMBER('Base de datos Rutas'!CO379),'Base de datos Rutas'!CO379,"")</f>
        <v>9.4499999999999993</v>
      </c>
      <c r="AY381" s="802">
        <f>IF(ISNUMBER('Base de datos Rutas'!CP379),'Base de datos Rutas'!CP379,"")</f>
        <v>2.1999999999999993</v>
      </c>
      <c r="AZ381" s="802">
        <f>IF(ISNUMBER('Base de datos Rutas'!CQ379),'Base de datos Rutas'!CQ379,"")</f>
        <v>846.56</v>
      </c>
      <c r="BA381" s="802">
        <f>IF(ISNUMBER('Base de datos Rutas'!CR379),'Base de datos Rutas'!CR379,"")</f>
        <v>551.79</v>
      </c>
      <c r="BB381" s="803">
        <f>IF(ISNUMBER('Base de datos Rutas'!CS379),'Base de datos Rutas'!CS379,"")</f>
        <v>294.77</v>
      </c>
      <c r="BC381" s="804">
        <f t="shared" si="213"/>
        <v>0</v>
      </c>
      <c r="BD381" s="805" t="str">
        <f t="shared" si="214"/>
        <v>No saturada</v>
      </c>
      <c r="BE381" s="806">
        <f t="shared" si="215"/>
        <v>0.65180258930258927</v>
      </c>
      <c r="BF381" s="890">
        <f>IF(ISNUMBER('Base de datos Rutas'!CX379),'Base de datos Rutas'!CX379/100,"")</f>
        <v>0.96600257621296703</v>
      </c>
      <c r="BG381" s="891">
        <f>IF(ISNUMBER('Base de datos Rutas'!CZ379),'Base de datos Rutas'!CZ379/100,"")</f>
        <v>1</v>
      </c>
      <c r="BH381" s="892">
        <f>IF(ISNUMBER('Base de datos Rutas'!DA379),'Base de datos Rutas'!DA379,"")</f>
        <v>778.79786394704718</v>
      </c>
      <c r="BI381" s="893">
        <f>IF(ISNUMBER('Base de datos Rutas'!DC379),'Base de datos Rutas'!DC379,"")</f>
        <v>34.737187419545052</v>
      </c>
      <c r="BJ381" s="805" t="str">
        <f t="shared" si="216"/>
        <v>Ruta (completo)</v>
      </c>
      <c r="BK381" s="783">
        <f t="shared" si="204"/>
        <v>4</v>
      </c>
      <c r="BL381" s="797">
        <f t="shared" si="205"/>
        <v>2</v>
      </c>
      <c r="BM381" s="797">
        <f t="shared" si="206"/>
        <v>3</v>
      </c>
      <c r="BN381" s="797">
        <f t="shared" si="207"/>
        <v>3</v>
      </c>
      <c r="BO381" s="798" cm="1">
        <f t="array" ref="BO381">SUMPRODUCT(--ISNUMBER($BF381:$BI381),$BK$3:$BN$3)</f>
        <v>1</v>
      </c>
      <c r="BP381" s="831">
        <f t="shared" si="217"/>
        <v>50</v>
      </c>
      <c r="BQ381" s="834" t="str">
        <f t="shared" si="218"/>
        <v>Alto</v>
      </c>
      <c r="BR381" s="836">
        <f t="shared" si="208"/>
        <v>28.100395071785222</v>
      </c>
      <c r="BS381" s="836">
        <f t="shared" si="209"/>
        <v>50</v>
      </c>
      <c r="BT381" s="837" t="str">
        <f t="shared" si="210"/>
        <v>P3</v>
      </c>
      <c r="BU381" s="807" t="str">
        <f t="shared" si="219"/>
        <v>Con espacio</v>
      </c>
      <c r="BV381" s="807" t="str">
        <f t="shared" si="211"/>
        <v>Zona atractiva</v>
      </c>
      <c r="BW381" s="808" t="str">
        <f t="shared" si="212"/>
        <v>P3 - Desarrollar</v>
      </c>
    </row>
    <row r="382" spans="1:75">
      <c r="A382" s="780" t="str">
        <f>'Base de datos Rutas'!A380</f>
        <v>Occidente</v>
      </c>
      <c r="B382" s="781" t="str">
        <f>'Base de datos Rutas'!B380</f>
        <v>Zapopan</v>
      </c>
      <c r="C382" s="781" t="str">
        <f>'Base de datos Rutas'!C380</f>
        <v>Planta Zapopan</v>
      </c>
      <c r="D382" s="782">
        <f>IF(ISNUMBER('Base de datos Rutas'!D380),'Base de datos Rutas'!D380,"Sin código")</f>
        <v>816373</v>
      </c>
      <c r="E382" s="783" t="str">
        <f>'Base de datos Rutas'!F380</f>
        <v>Activa</v>
      </c>
      <c r="F382" s="784" t="str">
        <f>'Base de datos Rutas'!H380</f>
        <v>Sí</v>
      </c>
      <c r="G382" s="785">
        <f>IF(ISNUMBER('Base de datos Rutas'!BE380),'Base de datos Rutas'!BE380,"")</f>
        <v>70.529953917050705</v>
      </c>
      <c r="H382" s="786">
        <f>IF(ISNUMBER('Base de datos Rutas'!BH380),'Base de datos Rutas'!BH380,"")</f>
        <v>0.480594576935642</v>
      </c>
      <c r="I382" s="788">
        <f>IFERROR(IF(OR(NOT(ISNUMBER('Base de datos Rutas'!O380)),N('Base de datos Rutas'!BK380)=0),"",'Base de datos Rutas'!O380/('Base de datos Rutas'!L380/'Base de datos Rutas'!BK380)),"")</f>
        <v>4568.1497695852531</v>
      </c>
      <c r="J382" s="788">
        <f>IFERROR(IF(OR(NOT(ISNUMBER('Base de datos Rutas'!N380)),N('Base de datos Rutas'!BK380)=0),"",'Base de datos Rutas'!N380/('Base de datos Rutas'!L380/'Base de datos Rutas'!BK380)),"")</f>
        <v>5944.8847926267281</v>
      </c>
      <c r="K382" s="788">
        <f>IFERROR(IF(OR(NOT(ISNUMBER('Base de datos Rutas'!J380)),N('Base de datos Rutas'!BK380)=0),"",'Base de datos Rutas'!J380/('Base de datos Rutas'!L380/'Base de datos Rutas'!BK380)),"")</f>
        <v>407.8598322580645</v>
      </c>
      <c r="L382" s="788">
        <f>IFERROR(IF(OR(NOT(ISNUMBER('Base de datos Rutas'!K380)),N('Base de datos Rutas'!BK380)=0),"",'Base de datos Rutas'!K380/('Base de datos Rutas'!L380/'Base de datos Rutas'!BK380)),"")</f>
        <v>29.738946976958523</v>
      </c>
      <c r="M382" s="787">
        <f>IF(ISNUMBER('Base de datos Rutas'!AX380),'Base de datos Rutas'!AX380,"")</f>
        <v>310.15270885731798</v>
      </c>
      <c r="N382" s="790">
        <f>IFERROR(INDEX('Hoja de apoyo v2'!B$17:B$20,MATCH($A382,'Hoja de apoyo v2'!$A$17:$A$20,0)),"")</f>
        <v>89.41621024641401</v>
      </c>
      <c r="O382" s="791">
        <f>IFERROR(INDEX('Hoja de apoyo v2'!C$17:C$20,MATCH($A382,'Hoja de apoyo v2'!$A$17:$A$20,0)),"")</f>
        <v>0.54706375874806301</v>
      </c>
      <c r="P382" s="793">
        <f>IFERROR(INDEX('Hoja de apoyo v2'!D$17:D$20,MATCH($A382,'Hoja de apoyo v2'!$A$17:$A$20,0)),"")</f>
        <v>11095.153935793827</v>
      </c>
      <c r="Q382" s="793">
        <f>IFERROR(INDEX('Hoja de apoyo v2'!E$17:E$20,MATCH($A382,'Hoja de apoyo v2'!$A$17:$A$20,0)),"")</f>
        <v>6982.3202019701848</v>
      </c>
      <c r="R382" s="793">
        <f>IFERROR(INDEX('Hoja de apoyo v2'!F$17:F$20,MATCH($A382,'Hoja de apoyo v2'!$A$17:$A$20,0)),"")</f>
        <v>448.09513474485743</v>
      </c>
      <c r="S382" s="793">
        <f>IFERROR(INDEX('Hoja de apoyo v2'!G$17:G$20,MATCH($A382,'Hoja de apoyo v2'!$A$17:$A$20,0)),"")</f>
        <v>83.406300904207839</v>
      </c>
      <c r="T382" s="792">
        <f>IFERROR(INDEX('Hoja de apoyo v2'!H$17:H$20,MATCH($A382,'Hoja de apoyo v2'!$A$17:$A$20,0)),"")</f>
        <v>378.97014028925349</v>
      </c>
      <c r="U382" s="794">
        <f t="shared" si="184"/>
        <v>0.78878263485651667</v>
      </c>
      <c r="V382" s="795">
        <f t="shared" si="185"/>
        <v>0.87849829064799778</v>
      </c>
      <c r="W382" s="795">
        <f t="shared" si="186"/>
        <v>0.41172477606174057</v>
      </c>
      <c r="X382" s="843">
        <f t="shared" si="187"/>
        <v>0.85141967435828481</v>
      </c>
      <c r="Y382" s="843">
        <f t="shared" si="188"/>
        <v>0.9102081246436593</v>
      </c>
      <c r="Z382" s="843">
        <f t="shared" si="189"/>
        <v>0.3565551601564696</v>
      </c>
      <c r="AA382" s="843">
        <f t="shared" si="190"/>
        <v>0.81840935705538753</v>
      </c>
      <c r="AB382" s="796">
        <f t="shared" si="191"/>
        <v>3</v>
      </c>
      <c r="AC382" s="797">
        <f t="shared" si="192"/>
        <v>3</v>
      </c>
      <c r="AD382" s="797">
        <f t="shared" si="193"/>
        <v>1</v>
      </c>
      <c r="AE382" s="842">
        <f t="shared" si="194"/>
        <v>3</v>
      </c>
      <c r="AF382" s="842">
        <f t="shared" si="195"/>
        <v>3</v>
      </c>
      <c r="AG382" s="842">
        <f t="shared" si="196"/>
        <v>1</v>
      </c>
      <c r="AH382" s="842">
        <f t="shared" si="197"/>
        <v>3</v>
      </c>
      <c r="AI382" s="826" cm="1">
        <f t="array" ref="AI382">SUMPRODUCT(--ISNUMBER($U382:$AA382),$AB$3:$AH$3)</f>
        <v>1</v>
      </c>
      <c r="AJ382" s="829">
        <f t="shared" si="198"/>
        <v>30.993523525224564</v>
      </c>
      <c r="AK382" s="827" t="str">
        <f t="shared" si="199"/>
        <v>Inmadura</v>
      </c>
      <c r="AL382" s="784" t="str">
        <f t="shared" si="200"/>
        <v>Alta</v>
      </c>
      <c r="AM382" s="799">
        <f>IF(ISNUMBER('Base de datos Rutas'!W380),'Base de datos Rutas'!W380,"")</f>
        <v>3427.1365491869451</v>
      </c>
      <c r="AN382" s="787">
        <f>IFERROR(SUMIFS('Base de datos Rutas'!$W$6:$W$794,'Base de datos Rutas'!$C$6:$C$794,$C382)/'Base de datos Rutas'!I380,"")</f>
        <v>3427.1365491869487</v>
      </c>
      <c r="AO382" s="800">
        <f>IFERROR('Base de datos Rutas'!X380*AN382/AM382,"")</f>
        <v>0.3483939033672564</v>
      </c>
      <c r="AP382" s="800">
        <f t="shared" si="201"/>
        <v>0.6516060966327436</v>
      </c>
      <c r="AQ382" s="789">
        <f>IFERROR(INDEX('Hoja de apoyo v2'!$J$17:$J$20,MATCH($A382,'Hoja de apoyo v2'!$A$17:$A$20,0)),"")</f>
        <v>0.64320274048480885</v>
      </c>
      <c r="AR382" s="789">
        <f t="shared" si="202"/>
        <v>8.4033561479347485E-3</v>
      </c>
      <c r="AS382" s="784" t="str">
        <f t="shared" si="203"/>
        <v>No</v>
      </c>
      <c r="AT382" s="801">
        <f>IF(ISNUMBER('Base de datos Rutas'!CK380),'Base de datos Rutas'!CK380,"")</f>
        <v>317</v>
      </c>
      <c r="AU382" s="802">
        <f>IF(ISNUMBER('Base de datos Rutas'!CL380),'Base de datos Rutas'!CL380,"")</f>
        <v>473.69</v>
      </c>
      <c r="AV382" s="802">
        <f>IF(ISNUMBER('Base de datos Rutas'!CM380),'Base de datos Rutas'!CM380,"")</f>
        <v>156.69</v>
      </c>
      <c r="AW382" s="802">
        <f>IF(ISNUMBER('Base de datos Rutas'!CN380),'Base de datos Rutas'!CN380,"")</f>
        <v>8.01</v>
      </c>
      <c r="AX382" s="802">
        <f>IF(ISNUMBER('Base de datos Rutas'!CO380),'Base de datos Rutas'!CO380,"")</f>
        <v>9.4499999999999993</v>
      </c>
      <c r="AY382" s="802">
        <f>IF(ISNUMBER('Base de datos Rutas'!CP380),'Base de datos Rutas'!CP380,"")</f>
        <v>1.4399999999999995</v>
      </c>
      <c r="AZ382" s="802">
        <f>IF(ISNUMBER('Base de datos Rutas'!CQ380),'Base de datos Rutas'!CQ380,"")</f>
        <v>846.56</v>
      </c>
      <c r="BA382" s="802">
        <f>IF(ISNUMBER('Base de datos Rutas'!CR380),'Base de datos Rutas'!CR380,"")</f>
        <v>437.6</v>
      </c>
      <c r="BB382" s="803">
        <f>IF(ISNUMBER('Base de datos Rutas'!CS380),'Base de datos Rutas'!CS380,"")</f>
        <v>408.95999999999992</v>
      </c>
      <c r="BC382" s="804">
        <f t="shared" si="213"/>
        <v>0</v>
      </c>
      <c r="BD382" s="805" t="str">
        <f t="shared" si="214"/>
        <v>No saturada</v>
      </c>
      <c r="BE382" s="806">
        <f t="shared" si="215"/>
        <v>0.51691551691551696</v>
      </c>
      <c r="BF382" s="890">
        <f>IF(ISNUMBER('Base de datos Rutas'!CX380),'Base de datos Rutas'!CX380/100,"")</f>
        <v>0.84330999999999989</v>
      </c>
      <c r="BG382" s="891">
        <f>IF(ISNUMBER('Base de datos Rutas'!CZ380),'Base de datos Rutas'!CZ380/100,"")</f>
        <v>1</v>
      </c>
      <c r="BH382" s="892">
        <f>IF(ISNUMBER('Base de datos Rutas'!DA380),'Base de datos Rutas'!DA380,"")</f>
        <v>3595.9370185615853</v>
      </c>
      <c r="BI382" s="893">
        <f>IF(ISNUMBER('Base de datos Rutas'!DC380),'Base de datos Rutas'!DC380,"")</f>
        <v>137.93707907909638</v>
      </c>
      <c r="BJ382" s="805" t="str">
        <f t="shared" si="216"/>
        <v>Ruta (completo)</v>
      </c>
      <c r="BK382" s="783">
        <f t="shared" si="204"/>
        <v>2</v>
      </c>
      <c r="BL382" s="797">
        <f t="shared" si="205"/>
        <v>2</v>
      </c>
      <c r="BM382" s="797">
        <f t="shared" si="206"/>
        <v>5</v>
      </c>
      <c r="BN382" s="797">
        <f t="shared" si="207"/>
        <v>5</v>
      </c>
      <c r="BO382" s="798" cm="1">
        <f t="array" ref="BO382">SUMPRODUCT(--ISNUMBER($BF382:$BI382),$BK$3:$BN$3)</f>
        <v>1</v>
      </c>
      <c r="BP382" s="831">
        <f t="shared" si="217"/>
        <v>62.5</v>
      </c>
      <c r="BQ382" s="834" t="str">
        <f t="shared" si="218"/>
        <v>Alto</v>
      </c>
      <c r="BR382" s="836">
        <f t="shared" si="208"/>
        <v>23.245142643918424</v>
      </c>
      <c r="BS382" s="836">
        <f t="shared" si="209"/>
        <v>62.5</v>
      </c>
      <c r="BT382" s="837" t="str">
        <f t="shared" si="210"/>
        <v>P3</v>
      </c>
      <c r="BU382" s="807" t="str">
        <f t="shared" si="219"/>
        <v>Con espacio</v>
      </c>
      <c r="BV382" s="807" t="str">
        <f t="shared" si="211"/>
        <v>Zona atractiva</v>
      </c>
      <c r="BW382" s="808" t="str">
        <f t="shared" si="212"/>
        <v>P3 - Desarrollar</v>
      </c>
    </row>
    <row r="383" spans="1:75">
      <c r="A383" s="780" t="str">
        <f>'Base de datos Rutas'!A381</f>
        <v>Occidente</v>
      </c>
      <c r="B383" s="781" t="str">
        <f>'Base de datos Rutas'!B381</f>
        <v>Zapopan</v>
      </c>
      <c r="C383" s="781" t="str">
        <f>'Base de datos Rutas'!C381</f>
        <v>Planta Zapopan</v>
      </c>
      <c r="D383" s="782">
        <f>IF(ISNUMBER('Base de datos Rutas'!D381),'Base de datos Rutas'!D381,"Sin código")</f>
        <v>816374</v>
      </c>
      <c r="E383" s="783" t="str">
        <f>'Base de datos Rutas'!F381</f>
        <v>Activa</v>
      </c>
      <c r="F383" s="784" t="str">
        <f>'Base de datos Rutas'!H381</f>
        <v>Sí</v>
      </c>
      <c r="G383" s="785">
        <f>IF(ISNUMBER('Base de datos Rutas'!BE381),'Base de datos Rutas'!BE381,"")</f>
        <v>81.229357798165097</v>
      </c>
      <c r="H383" s="786">
        <f>IF(ISNUMBER('Base de datos Rutas'!BH381),'Base de datos Rutas'!BH381,"")</f>
        <v>0.53235825615540999</v>
      </c>
      <c r="I383" s="788">
        <f>IFERROR(IF(OR(NOT(ISNUMBER('Base de datos Rutas'!O381)),N('Base de datos Rutas'!BK381)=0),"",'Base de datos Rutas'!O381/('Base de datos Rutas'!L381/'Base de datos Rutas'!BK381)),"")</f>
        <v>4083.5206422018355</v>
      </c>
      <c r="J383" s="788">
        <f>IFERROR(IF(OR(NOT(ISNUMBER('Base de datos Rutas'!N381)),N('Base de datos Rutas'!BK381)=0),"",'Base de datos Rutas'!N381/('Base de datos Rutas'!L381/'Base de datos Rutas'!BK381)),"")</f>
        <v>9877.3073394495423</v>
      </c>
      <c r="K383" s="788">
        <f>IFERROR(IF(OR(NOT(ISNUMBER('Base de datos Rutas'!J381)),N('Base de datos Rutas'!BK381)=0),"",'Base de datos Rutas'!J381/('Base de datos Rutas'!L381/'Base de datos Rutas'!BK381)),"")</f>
        <v>686.36710825687862</v>
      </c>
      <c r="L383" s="788">
        <f>IFERROR(IF(OR(NOT(ISNUMBER('Base de datos Rutas'!K381)),N('Base de datos Rutas'!BK381)=0),"",'Base de datos Rutas'!K381/('Base de datos Rutas'!L381/'Base de datos Rutas'!BK381)),"")</f>
        <v>29.261868688073395</v>
      </c>
      <c r="M383" s="787">
        <f>IF(ISNUMBER('Base de datos Rutas'!AX381),'Base de datos Rutas'!AX381,"")</f>
        <v>326.83863795481102</v>
      </c>
      <c r="N383" s="790">
        <f>IFERROR(INDEX('Hoja de apoyo v2'!B$17:B$20,MATCH($A383,'Hoja de apoyo v2'!$A$17:$A$20,0)),"")</f>
        <v>89.41621024641401</v>
      </c>
      <c r="O383" s="791">
        <f>IFERROR(INDEX('Hoja de apoyo v2'!C$17:C$20,MATCH($A383,'Hoja de apoyo v2'!$A$17:$A$20,0)),"")</f>
        <v>0.54706375874806301</v>
      </c>
      <c r="P383" s="793">
        <f>IFERROR(INDEX('Hoja de apoyo v2'!D$17:D$20,MATCH($A383,'Hoja de apoyo v2'!$A$17:$A$20,0)),"")</f>
        <v>11095.153935793827</v>
      </c>
      <c r="Q383" s="793">
        <f>IFERROR(INDEX('Hoja de apoyo v2'!E$17:E$20,MATCH($A383,'Hoja de apoyo v2'!$A$17:$A$20,0)),"")</f>
        <v>6982.3202019701848</v>
      </c>
      <c r="R383" s="793">
        <f>IFERROR(INDEX('Hoja de apoyo v2'!F$17:F$20,MATCH($A383,'Hoja de apoyo v2'!$A$17:$A$20,0)),"")</f>
        <v>448.09513474485743</v>
      </c>
      <c r="S383" s="793">
        <f>IFERROR(INDEX('Hoja de apoyo v2'!G$17:G$20,MATCH($A383,'Hoja de apoyo v2'!$A$17:$A$20,0)),"")</f>
        <v>83.406300904207839</v>
      </c>
      <c r="T383" s="792">
        <f>IFERROR(INDEX('Hoja de apoyo v2'!H$17:H$20,MATCH($A383,'Hoja de apoyo v2'!$A$17:$A$20,0)),"")</f>
        <v>378.97014028925349</v>
      </c>
      <c r="U383" s="794">
        <f t="shared" si="184"/>
        <v>0.90844107096814419</v>
      </c>
      <c r="V383" s="795">
        <f t="shared" si="185"/>
        <v>0.97311921625679232</v>
      </c>
      <c r="W383" s="795">
        <f t="shared" si="186"/>
        <v>0.36804542468113771</v>
      </c>
      <c r="X383" s="843">
        <f t="shared" si="187"/>
        <v>1.4146167826365921</v>
      </c>
      <c r="Y383" s="843">
        <f t="shared" si="188"/>
        <v>1.531744165550228</v>
      </c>
      <c r="Z383" s="843">
        <f t="shared" si="189"/>
        <v>0.35083522912352461</v>
      </c>
      <c r="AA383" s="843">
        <f t="shared" si="190"/>
        <v>0.86243902410186601</v>
      </c>
      <c r="AB383" s="796">
        <f t="shared" si="191"/>
        <v>3</v>
      </c>
      <c r="AC383" s="797">
        <f t="shared" si="192"/>
        <v>3</v>
      </c>
      <c r="AD383" s="797">
        <f t="shared" si="193"/>
        <v>1</v>
      </c>
      <c r="AE383" s="842">
        <f t="shared" si="194"/>
        <v>5</v>
      </c>
      <c r="AF383" s="842">
        <f t="shared" si="195"/>
        <v>5</v>
      </c>
      <c r="AG383" s="842">
        <f t="shared" si="196"/>
        <v>1</v>
      </c>
      <c r="AH383" s="842">
        <f t="shared" si="197"/>
        <v>3</v>
      </c>
      <c r="AI383" s="826" cm="1">
        <f t="array" ref="AI383">SUMPRODUCT(--ISNUMBER($U383:$AA383),$AB$3:$AH$3)</f>
        <v>1</v>
      </c>
      <c r="AJ383" s="829">
        <f t="shared" si="198"/>
        <v>43.664507841741532</v>
      </c>
      <c r="AK383" s="827" t="str">
        <f t="shared" si="199"/>
        <v>Inmadura</v>
      </c>
      <c r="AL383" s="784" t="str">
        <f t="shared" si="200"/>
        <v>Alta</v>
      </c>
      <c r="AM383" s="799">
        <f>IF(ISNUMBER('Base de datos Rutas'!W381),'Base de datos Rutas'!W381,"")</f>
        <v>3427.1365491869451</v>
      </c>
      <c r="AN383" s="787">
        <f>IFERROR(SUMIFS('Base de datos Rutas'!$W$6:$W$794,'Base de datos Rutas'!$C$6:$C$794,$C383)/'Base de datos Rutas'!I381,"")</f>
        <v>3427.1365491869487</v>
      </c>
      <c r="AO383" s="800">
        <f>IFERROR('Base de datos Rutas'!X381*AN383/AM383,"")</f>
        <v>0.3483939033672564</v>
      </c>
      <c r="AP383" s="800">
        <f t="shared" si="201"/>
        <v>0.6516060966327436</v>
      </c>
      <c r="AQ383" s="789">
        <f>IFERROR(INDEX('Hoja de apoyo v2'!$J$17:$J$20,MATCH($A383,'Hoja de apoyo v2'!$A$17:$A$20,0)),"")</f>
        <v>0.64320274048480885</v>
      </c>
      <c r="AR383" s="789">
        <f t="shared" si="202"/>
        <v>8.4033561479347485E-3</v>
      </c>
      <c r="AS383" s="784" t="str">
        <f t="shared" si="203"/>
        <v>No</v>
      </c>
      <c r="AT383" s="801">
        <f>IF(ISNUMBER('Base de datos Rutas'!CK381),'Base de datos Rutas'!CK381,"")</f>
        <v>273</v>
      </c>
      <c r="AU383" s="802">
        <f>IF(ISNUMBER('Base de datos Rutas'!CL381),'Base de datos Rutas'!CL381,"")</f>
        <v>273</v>
      </c>
      <c r="AV383" s="802">
        <f>IF(ISNUMBER('Base de datos Rutas'!CM381),'Base de datos Rutas'!CM381,"")</f>
        <v>0</v>
      </c>
      <c r="AW383" s="802">
        <f>IF(ISNUMBER('Base de datos Rutas'!CN381),'Base de datos Rutas'!CN381,"")</f>
        <v>6.69</v>
      </c>
      <c r="AX383" s="802">
        <f>IF(ISNUMBER('Base de datos Rutas'!CO381),'Base de datos Rutas'!CO381,"")</f>
        <v>9.4499999999999993</v>
      </c>
      <c r="AY383" s="802">
        <f>IF(ISNUMBER('Base de datos Rutas'!CP381),'Base de datos Rutas'!CP381,"")</f>
        <v>2.7599999999999989</v>
      </c>
      <c r="AZ383" s="802">
        <f>IF(ISNUMBER('Base de datos Rutas'!CQ381),'Base de datos Rutas'!CQ381,"")</f>
        <v>564.37</v>
      </c>
      <c r="BA383" s="802">
        <f>IF(ISNUMBER('Base de datos Rutas'!CR381),'Base de datos Rutas'!CR381,"")</f>
        <v>715.63</v>
      </c>
      <c r="BB383" s="803">
        <f>IF(ISNUMBER('Base de datos Rutas'!CS381),'Base de datos Rutas'!CS381,"")</f>
        <v>-151.26</v>
      </c>
      <c r="BC383" s="804">
        <f t="shared" si="213"/>
        <v>2</v>
      </c>
      <c r="BD383" s="805" t="str">
        <f t="shared" si="214"/>
        <v>Saturada</v>
      </c>
      <c r="BE383" s="806">
        <f t="shared" si="215"/>
        <v>1.2680156634831758</v>
      </c>
      <c r="BF383" s="890">
        <f>IF(ISNUMBER('Base de datos Rutas'!CX381),'Base de datos Rutas'!CX381/100,"")</f>
        <v>1</v>
      </c>
      <c r="BG383" s="891">
        <f>IF(ISNUMBER('Base de datos Rutas'!CZ381),'Base de datos Rutas'!CZ381/100,"")</f>
        <v>1</v>
      </c>
      <c r="BH383" s="892">
        <f>IF(ISNUMBER('Base de datos Rutas'!DA381),'Base de datos Rutas'!DA381,"")</f>
        <v>1177.30353626943</v>
      </c>
      <c r="BI383" s="893">
        <f>IF(ISNUMBER('Base de datos Rutas'!DC381),'Base de datos Rutas'!DC381,"")</f>
        <v>52.179235751295337</v>
      </c>
      <c r="BJ383" s="805" t="str">
        <f t="shared" si="216"/>
        <v>Ruta (completo)</v>
      </c>
      <c r="BK383" s="783">
        <f t="shared" si="204"/>
        <v>5</v>
      </c>
      <c r="BL383" s="797">
        <f t="shared" si="205"/>
        <v>2</v>
      </c>
      <c r="BM383" s="797">
        <f t="shared" si="206"/>
        <v>4</v>
      </c>
      <c r="BN383" s="797">
        <f t="shared" si="207"/>
        <v>4</v>
      </c>
      <c r="BO383" s="798" cm="1">
        <f t="array" ref="BO383">SUMPRODUCT(--ISNUMBER($BF383:$BI383),$BK$3:$BN$3)</f>
        <v>1</v>
      </c>
      <c r="BP383" s="831">
        <f t="shared" si="217"/>
        <v>68.75</v>
      </c>
      <c r="BQ383" s="834" t="str">
        <f t="shared" si="218"/>
        <v>Alto</v>
      </c>
      <c r="BR383" s="836">
        <f t="shared" si="208"/>
        <v>57.748380881306147</v>
      </c>
      <c r="BS383" s="836">
        <f t="shared" si="209"/>
        <v>68.75</v>
      </c>
      <c r="BT383" s="837" t="str">
        <f t="shared" si="210"/>
        <v>P1</v>
      </c>
      <c r="BU383" s="807" t="str">
        <f t="shared" si="219"/>
        <v>Al tope</v>
      </c>
      <c r="BV383" s="807" t="str">
        <f t="shared" si="211"/>
        <v>Zona atractiva</v>
      </c>
      <c r="BW383" s="808" t="str">
        <f t="shared" si="212"/>
        <v>P1 - Ampliar cobertura</v>
      </c>
    </row>
    <row r="384" spans="1:75">
      <c r="A384" s="780" t="str">
        <f>'Base de datos Rutas'!A382</f>
        <v>Occidente</v>
      </c>
      <c r="B384" s="781" t="str">
        <f>'Base de datos Rutas'!B382</f>
        <v>Zapopan</v>
      </c>
      <c r="C384" s="781" t="str">
        <f>'Base de datos Rutas'!C382</f>
        <v>Planta Zapopan</v>
      </c>
      <c r="D384" s="782">
        <f>IF(ISNUMBER('Base de datos Rutas'!D382),'Base de datos Rutas'!D382,"Sin código")</f>
        <v>816375</v>
      </c>
      <c r="E384" s="783" t="str">
        <f>'Base de datos Rutas'!F382</f>
        <v>Activa</v>
      </c>
      <c r="F384" s="784" t="str">
        <f>'Base de datos Rutas'!H382</f>
        <v>Sí</v>
      </c>
      <c r="G384" s="785">
        <f>IF(ISNUMBER('Base de datos Rutas'!BE382),'Base de datos Rutas'!BE382,"")</f>
        <v>62.654377880184299</v>
      </c>
      <c r="H384" s="786">
        <f>IF(ISNUMBER('Base de datos Rutas'!BH382),'Base de datos Rutas'!BH382,"")</f>
        <v>0.577375698734922</v>
      </c>
      <c r="I384" s="788">
        <f>IFERROR(IF(OR(NOT(ISNUMBER('Base de datos Rutas'!O382)),N('Base de datos Rutas'!BK382)=0),"",'Base de datos Rutas'!O382/('Base de datos Rutas'!L382/'Base de datos Rutas'!BK382)),"")</f>
        <v>6227.0806451612934</v>
      </c>
      <c r="J384" s="788">
        <f>IFERROR(IF(OR(NOT(ISNUMBER('Base de datos Rutas'!N382)),N('Base de datos Rutas'!BK382)=0),"",'Base de datos Rutas'!N382/('Base de datos Rutas'!L382/'Base de datos Rutas'!BK382)),"")</f>
        <v>10118.500000000005</v>
      </c>
      <c r="K384" s="788">
        <f>IFERROR(IF(OR(NOT(ISNUMBER('Base de datos Rutas'!J382)),N('Base de datos Rutas'!BK382)=0),"",'Base de datos Rutas'!J382/('Base de datos Rutas'!L382/'Base de datos Rutas'!BK382)),"")</f>
        <v>694.55397419354642</v>
      </c>
      <c r="L384" s="788">
        <f>IFERROR(IF(OR(NOT(ISNUMBER('Base de datos Rutas'!K382)),N('Base de datos Rutas'!BK382)=0),"",'Base de datos Rutas'!K382/('Base de datos Rutas'!L382/'Base de datos Rutas'!BK382)),"")</f>
        <v>41.592610460829519</v>
      </c>
      <c r="M384" s="787">
        <f>IF(ISNUMBER('Base de datos Rutas'!AX382),'Base de datos Rutas'!AX382,"")</f>
        <v>453.22010509554099</v>
      </c>
      <c r="N384" s="790">
        <f>IFERROR(INDEX('Hoja de apoyo v2'!B$17:B$20,MATCH($A384,'Hoja de apoyo v2'!$A$17:$A$20,0)),"")</f>
        <v>89.41621024641401</v>
      </c>
      <c r="O384" s="791">
        <f>IFERROR(INDEX('Hoja de apoyo v2'!C$17:C$20,MATCH($A384,'Hoja de apoyo v2'!$A$17:$A$20,0)),"")</f>
        <v>0.54706375874806301</v>
      </c>
      <c r="P384" s="793">
        <f>IFERROR(INDEX('Hoja de apoyo v2'!D$17:D$20,MATCH($A384,'Hoja de apoyo v2'!$A$17:$A$20,0)),"")</f>
        <v>11095.153935793827</v>
      </c>
      <c r="Q384" s="793">
        <f>IFERROR(INDEX('Hoja de apoyo v2'!E$17:E$20,MATCH($A384,'Hoja de apoyo v2'!$A$17:$A$20,0)),"")</f>
        <v>6982.3202019701848</v>
      </c>
      <c r="R384" s="793">
        <f>IFERROR(INDEX('Hoja de apoyo v2'!F$17:F$20,MATCH($A384,'Hoja de apoyo v2'!$A$17:$A$20,0)),"")</f>
        <v>448.09513474485743</v>
      </c>
      <c r="S384" s="793">
        <f>IFERROR(INDEX('Hoja de apoyo v2'!G$17:G$20,MATCH($A384,'Hoja de apoyo v2'!$A$17:$A$20,0)),"")</f>
        <v>83.406300904207839</v>
      </c>
      <c r="T384" s="792">
        <f>IFERROR(INDEX('Hoja de apoyo v2'!H$17:H$20,MATCH($A384,'Hoja de apoyo v2'!$A$17:$A$20,0)),"")</f>
        <v>378.97014028925349</v>
      </c>
      <c r="U384" s="794">
        <f t="shared" si="184"/>
        <v>0.70070491365626875</v>
      </c>
      <c r="V384" s="795">
        <f t="shared" si="185"/>
        <v>1.0554084226968843</v>
      </c>
      <c r="W384" s="795">
        <f t="shared" si="186"/>
        <v>0.56124328523935552</v>
      </c>
      <c r="X384" s="843">
        <f t="shared" si="187"/>
        <v>1.4491601226115198</v>
      </c>
      <c r="Y384" s="843">
        <f t="shared" si="188"/>
        <v>1.5500145400798004</v>
      </c>
      <c r="Z384" s="843">
        <f t="shared" si="189"/>
        <v>0.49867468056878156</v>
      </c>
      <c r="AA384" s="843">
        <f t="shared" si="190"/>
        <v>1.195925633480293</v>
      </c>
      <c r="AB384" s="796">
        <f t="shared" si="191"/>
        <v>2</v>
      </c>
      <c r="AC384" s="797">
        <f t="shared" si="192"/>
        <v>4</v>
      </c>
      <c r="AD384" s="797">
        <f t="shared" si="193"/>
        <v>2</v>
      </c>
      <c r="AE384" s="842">
        <f t="shared" si="194"/>
        <v>5</v>
      </c>
      <c r="AF384" s="842">
        <f t="shared" si="195"/>
        <v>5</v>
      </c>
      <c r="AG384" s="842">
        <f t="shared" si="196"/>
        <v>1</v>
      </c>
      <c r="AH384" s="842">
        <f t="shared" si="197"/>
        <v>4</v>
      </c>
      <c r="AI384" s="826" cm="1">
        <f t="array" ref="AI384">SUMPRODUCT(--ISNUMBER($U384:$AA384),$AB$3:$AH$3)</f>
        <v>1</v>
      </c>
      <c r="AJ384" s="829">
        <f t="shared" si="198"/>
        <v>48.872676559149866</v>
      </c>
      <c r="AK384" s="827" t="str">
        <f t="shared" si="199"/>
        <v>En desarrollo</v>
      </c>
      <c r="AL384" s="784" t="str">
        <f t="shared" si="200"/>
        <v>Alta</v>
      </c>
      <c r="AM384" s="799">
        <f>IF(ISNUMBER('Base de datos Rutas'!W382),'Base de datos Rutas'!W382,"")</f>
        <v>3427.1365491869451</v>
      </c>
      <c r="AN384" s="787">
        <f>IFERROR(SUMIFS('Base de datos Rutas'!$W$6:$W$794,'Base de datos Rutas'!$C$6:$C$794,$C384)/'Base de datos Rutas'!I382,"")</f>
        <v>3427.1365491869487</v>
      </c>
      <c r="AO384" s="800">
        <f>IFERROR('Base de datos Rutas'!X382*AN384/AM384,"")</f>
        <v>0.3483939033672564</v>
      </c>
      <c r="AP384" s="800">
        <f t="shared" si="201"/>
        <v>0.6516060966327436</v>
      </c>
      <c r="AQ384" s="789">
        <f>IFERROR(INDEX('Hoja de apoyo v2'!$J$17:$J$20,MATCH($A384,'Hoja de apoyo v2'!$A$17:$A$20,0)),"")</f>
        <v>0.64320274048480885</v>
      </c>
      <c r="AR384" s="789">
        <f t="shared" si="202"/>
        <v>8.4033561479347485E-3</v>
      </c>
      <c r="AS384" s="784" t="str">
        <f t="shared" si="203"/>
        <v>No</v>
      </c>
      <c r="AT384" s="801">
        <f>IF(ISNUMBER('Base de datos Rutas'!CK382),'Base de datos Rutas'!CK382,"")</f>
        <v>234</v>
      </c>
      <c r="AU384" s="802">
        <f>IF(ISNUMBER('Base de datos Rutas'!CL382),'Base de datos Rutas'!CL382,"")</f>
        <v>394.25</v>
      </c>
      <c r="AV384" s="802">
        <f>IF(ISNUMBER('Base de datos Rutas'!CM382),'Base de datos Rutas'!CM382,"")</f>
        <v>160.25</v>
      </c>
      <c r="AW384" s="802">
        <f>IF(ISNUMBER('Base de datos Rutas'!CN382),'Base de datos Rutas'!CN382,"")</f>
        <v>5.89</v>
      </c>
      <c r="AX384" s="802">
        <f>IF(ISNUMBER('Base de datos Rutas'!CO382),'Base de datos Rutas'!CO382,"")</f>
        <v>9.4499999999999993</v>
      </c>
      <c r="AY384" s="802">
        <f>IF(ISNUMBER('Base de datos Rutas'!CP382),'Base de datos Rutas'!CP382,"")</f>
        <v>3.5599999999999996</v>
      </c>
      <c r="AZ384" s="802">
        <f>IF(ISNUMBER('Base de datos Rutas'!CQ382),'Base de datos Rutas'!CQ382,"")</f>
        <v>846.56</v>
      </c>
      <c r="BA384" s="802">
        <f>IF(ISNUMBER('Base de datos Rutas'!CR382),'Base de datos Rutas'!CR382,"")</f>
        <v>736.15</v>
      </c>
      <c r="BB384" s="803">
        <f>IF(ISNUMBER('Base de datos Rutas'!CS382),'Base de datos Rutas'!CS382,"")</f>
        <v>110.40999999999997</v>
      </c>
      <c r="BC384" s="804">
        <f t="shared" si="213"/>
        <v>0</v>
      </c>
      <c r="BD384" s="805" t="str">
        <f t="shared" si="214"/>
        <v>No saturada</v>
      </c>
      <c r="BE384" s="806">
        <f t="shared" si="215"/>
        <v>0.86957805707805713</v>
      </c>
      <c r="BF384" s="890">
        <f>IF(ISNUMBER('Base de datos Rutas'!CX382),'Base de datos Rutas'!CX382/100,"")</f>
        <v>0.94410533658876872</v>
      </c>
      <c r="BG384" s="891">
        <f>IF(ISNUMBER('Base de datos Rutas'!CZ382),'Base de datos Rutas'!CZ382/100,"")</f>
        <v>1</v>
      </c>
      <c r="BH384" s="892">
        <f>IF(ISNUMBER('Base de datos Rutas'!DA382),'Base de datos Rutas'!DA382,"")</f>
        <v>681.17087785944341</v>
      </c>
      <c r="BI384" s="893">
        <f>IF(ISNUMBER('Base de datos Rutas'!DC382),'Base de datos Rutas'!DC382,"")</f>
        <v>31.20486249896771</v>
      </c>
      <c r="BJ384" s="805" t="str">
        <f t="shared" si="216"/>
        <v>Ruta (completo)</v>
      </c>
      <c r="BK384" s="783">
        <f t="shared" si="204"/>
        <v>3</v>
      </c>
      <c r="BL384" s="797">
        <f t="shared" si="205"/>
        <v>2</v>
      </c>
      <c r="BM384" s="797">
        <f t="shared" si="206"/>
        <v>3</v>
      </c>
      <c r="BN384" s="797">
        <f t="shared" si="207"/>
        <v>2</v>
      </c>
      <c r="BO384" s="798" cm="1">
        <f t="array" ref="BO384">SUMPRODUCT(--ISNUMBER($BF384:$BI384),$BK$3:$BN$3)</f>
        <v>1</v>
      </c>
      <c r="BP384" s="831">
        <f t="shared" si="217"/>
        <v>37.5</v>
      </c>
      <c r="BQ384" s="834" t="str">
        <f t="shared" si="218"/>
        <v>Medio</v>
      </c>
      <c r="BR384" s="836">
        <f t="shared" si="208"/>
        <v>36.654507419362403</v>
      </c>
      <c r="BS384" s="836">
        <f t="shared" si="209"/>
        <v>37.5</v>
      </c>
      <c r="BT384" s="837" t="str">
        <f t="shared" si="210"/>
        <v>P2</v>
      </c>
      <c r="BU384" s="807" t="str">
        <f t="shared" si="219"/>
        <v>Con espacio</v>
      </c>
      <c r="BV384" s="807" t="str">
        <f t="shared" si="211"/>
        <v>Zona de bajo potencial</v>
      </c>
      <c r="BW384" s="808" t="str">
        <f t="shared" si="212"/>
        <v>P2 - Mantener</v>
      </c>
    </row>
    <row r="385" spans="1:75">
      <c r="A385" s="780" t="str">
        <f>'Base de datos Rutas'!A383</f>
        <v>Occidente</v>
      </c>
      <c r="B385" s="781" t="str">
        <f>'Base de datos Rutas'!B383</f>
        <v>Zapopan</v>
      </c>
      <c r="C385" s="781" t="str">
        <f>'Base de datos Rutas'!C383</f>
        <v>Planta Zapopan</v>
      </c>
      <c r="D385" s="782">
        <f>IF(ISNUMBER('Base de datos Rutas'!D383),'Base de datos Rutas'!D383,"Sin código")</f>
        <v>816376</v>
      </c>
      <c r="E385" s="783" t="str">
        <f>'Base de datos Rutas'!F383</f>
        <v>Activa</v>
      </c>
      <c r="F385" s="784" t="str">
        <f>'Base de datos Rutas'!H383</f>
        <v>Sí</v>
      </c>
      <c r="G385" s="785">
        <f>IF(ISNUMBER('Base de datos Rutas'!BE383),'Base de datos Rutas'!BE383,"")</f>
        <v>64.281464530892507</v>
      </c>
      <c r="H385" s="786">
        <f>IF(ISNUMBER('Base de datos Rutas'!BH383),'Base de datos Rutas'!BH383,"")</f>
        <v>0.55359367769036405</v>
      </c>
      <c r="I385" s="788">
        <f>IFERROR(IF(OR(NOT(ISNUMBER('Base de datos Rutas'!O383)),N('Base de datos Rutas'!BK383)=0),"",'Base de datos Rutas'!O383/('Base de datos Rutas'!L383/'Base de datos Rutas'!BK383)),"")</f>
        <v>3141.0251716247121</v>
      </c>
      <c r="J385" s="788">
        <f>IFERROR(IF(OR(NOT(ISNUMBER('Base de datos Rutas'!N383)),N('Base de datos Rutas'!BK383)=0),"",'Base de datos Rutas'!N383/('Base de datos Rutas'!L383/'Base de datos Rutas'!BK383)),"")</f>
        <v>6211.5308924485098</v>
      </c>
      <c r="K385" s="788">
        <f>IFERROR(IF(OR(NOT(ISNUMBER('Base de datos Rutas'!J383)),N('Base de datos Rutas'!BK383)=0),"",'Base de datos Rutas'!J383/('Base de datos Rutas'!L383/'Base de datos Rutas'!BK383)),"")</f>
        <v>425.34793592677323</v>
      </c>
      <c r="L385" s="788">
        <f>IFERROR(IF(OR(NOT(ISNUMBER('Base de datos Rutas'!K383)),N('Base de datos Rutas'!BK383)=0),"",'Base de datos Rutas'!K383/('Base de datos Rutas'!L383/'Base de datos Rutas'!BK383)),"")</f>
        <v>17.895932096109831</v>
      </c>
      <c r="M385" s="787">
        <f>IF(ISNUMBER('Base de datos Rutas'!AX383),'Base de datos Rutas'!AX383,"")</f>
        <v>262.816881229503</v>
      </c>
      <c r="N385" s="790">
        <f>IFERROR(INDEX('Hoja de apoyo v2'!B$17:B$20,MATCH($A385,'Hoja de apoyo v2'!$A$17:$A$20,0)),"")</f>
        <v>89.41621024641401</v>
      </c>
      <c r="O385" s="791">
        <f>IFERROR(INDEX('Hoja de apoyo v2'!C$17:C$20,MATCH($A385,'Hoja de apoyo v2'!$A$17:$A$20,0)),"")</f>
        <v>0.54706375874806301</v>
      </c>
      <c r="P385" s="793">
        <f>IFERROR(INDEX('Hoja de apoyo v2'!D$17:D$20,MATCH($A385,'Hoja de apoyo v2'!$A$17:$A$20,0)),"")</f>
        <v>11095.153935793827</v>
      </c>
      <c r="Q385" s="793">
        <f>IFERROR(INDEX('Hoja de apoyo v2'!E$17:E$20,MATCH($A385,'Hoja de apoyo v2'!$A$17:$A$20,0)),"")</f>
        <v>6982.3202019701848</v>
      </c>
      <c r="R385" s="793">
        <f>IFERROR(INDEX('Hoja de apoyo v2'!F$17:F$20,MATCH($A385,'Hoja de apoyo v2'!$A$17:$A$20,0)),"")</f>
        <v>448.09513474485743</v>
      </c>
      <c r="S385" s="793">
        <f>IFERROR(INDEX('Hoja de apoyo v2'!G$17:G$20,MATCH($A385,'Hoja de apoyo v2'!$A$17:$A$20,0)),"")</f>
        <v>83.406300904207839</v>
      </c>
      <c r="T385" s="792">
        <f>IFERROR(INDEX('Hoja de apoyo v2'!H$17:H$20,MATCH($A385,'Hoja de apoyo v2'!$A$17:$A$20,0)),"")</f>
        <v>378.97014028925349</v>
      </c>
      <c r="U385" s="794">
        <f t="shared" si="184"/>
        <v>0.71890168856122461</v>
      </c>
      <c r="V385" s="795">
        <f t="shared" si="185"/>
        <v>1.01193630328802</v>
      </c>
      <c r="W385" s="795">
        <f t="shared" si="186"/>
        <v>0.28309883664538638</v>
      </c>
      <c r="X385" s="843">
        <f t="shared" si="187"/>
        <v>0.8896084271093464</v>
      </c>
      <c r="Y385" s="843">
        <f t="shared" si="188"/>
        <v>0.94923578264013886</v>
      </c>
      <c r="Z385" s="843">
        <f t="shared" si="189"/>
        <v>0.21456331118992214</v>
      </c>
      <c r="AA385" s="843">
        <f t="shared" si="190"/>
        <v>0.69350287341610839</v>
      </c>
      <c r="AB385" s="796">
        <f t="shared" si="191"/>
        <v>2</v>
      </c>
      <c r="AC385" s="797">
        <f t="shared" si="192"/>
        <v>4</v>
      </c>
      <c r="AD385" s="797">
        <f t="shared" si="193"/>
        <v>1</v>
      </c>
      <c r="AE385" s="842">
        <f t="shared" si="194"/>
        <v>3</v>
      </c>
      <c r="AF385" s="842">
        <f t="shared" si="195"/>
        <v>3</v>
      </c>
      <c r="AG385" s="842">
        <f t="shared" si="196"/>
        <v>1</v>
      </c>
      <c r="AH385" s="842">
        <f t="shared" si="197"/>
        <v>2</v>
      </c>
      <c r="AI385" s="826" cm="1">
        <f t="array" ref="AI385">SUMPRODUCT(--ISNUMBER($U385:$AA385),$AB$3:$AH$3)</f>
        <v>1</v>
      </c>
      <c r="AJ385" s="829">
        <f t="shared" si="198"/>
        <v>26.598065092651723</v>
      </c>
      <c r="AK385" s="827" t="str">
        <f t="shared" si="199"/>
        <v>Inmadura</v>
      </c>
      <c r="AL385" s="784" t="str">
        <f t="shared" si="200"/>
        <v>Alta</v>
      </c>
      <c r="AM385" s="799">
        <f>IF(ISNUMBER('Base de datos Rutas'!W383),'Base de datos Rutas'!W383,"")</f>
        <v>3427.1365491869451</v>
      </c>
      <c r="AN385" s="787">
        <f>IFERROR(SUMIFS('Base de datos Rutas'!$W$6:$W$794,'Base de datos Rutas'!$C$6:$C$794,$C385)/'Base de datos Rutas'!I383,"")</f>
        <v>3427.1365491869487</v>
      </c>
      <c r="AO385" s="800">
        <f>IFERROR('Base de datos Rutas'!X383*AN385/AM385,"")</f>
        <v>0.3483939033672564</v>
      </c>
      <c r="AP385" s="800">
        <f t="shared" si="201"/>
        <v>0.6516060966327436</v>
      </c>
      <c r="AQ385" s="789">
        <f>IFERROR(INDEX('Hoja de apoyo v2'!$J$17:$J$20,MATCH($A385,'Hoja de apoyo v2'!$A$17:$A$20,0)),"")</f>
        <v>0.64320274048480885</v>
      </c>
      <c r="AR385" s="789">
        <f t="shared" si="202"/>
        <v>8.4033561479347485E-3</v>
      </c>
      <c r="AS385" s="784" t="str">
        <f t="shared" si="203"/>
        <v>No</v>
      </c>
      <c r="AT385" s="801">
        <f>IF(ISNUMBER('Base de datos Rutas'!CK383),'Base de datos Rutas'!CK383,"")</f>
        <v>305</v>
      </c>
      <c r="AU385" s="802">
        <f>IF(ISNUMBER('Base de datos Rutas'!CL383),'Base de datos Rutas'!CL383,"")</f>
        <v>460.64</v>
      </c>
      <c r="AV385" s="802">
        <f>IF(ISNUMBER('Base de datos Rutas'!CM383),'Base de datos Rutas'!CM383,"")</f>
        <v>155.63999999999999</v>
      </c>
      <c r="AW385" s="802">
        <f>IF(ISNUMBER('Base de datos Rutas'!CN383),'Base de datos Rutas'!CN383,"")</f>
        <v>6.32</v>
      </c>
      <c r="AX385" s="802">
        <f>IF(ISNUMBER('Base de datos Rutas'!CO383),'Base de datos Rutas'!CO383,"")</f>
        <v>9.4499999999999993</v>
      </c>
      <c r="AY385" s="802">
        <f>IF(ISNUMBER('Base de datos Rutas'!CP383),'Base de datos Rutas'!CP383,"")</f>
        <v>3.129999999999999</v>
      </c>
      <c r="AZ385" s="802">
        <f>IF(ISNUMBER('Base de datos Rutas'!CQ383),'Base de datos Rutas'!CQ383,"")</f>
        <v>846.56</v>
      </c>
      <c r="BA385" s="802">
        <f>IF(ISNUMBER('Base de datos Rutas'!CR383),'Base de datos Rutas'!CR383,"")</f>
        <v>443.24</v>
      </c>
      <c r="BB385" s="803">
        <f>IF(ISNUMBER('Base de datos Rutas'!CS383),'Base de datos Rutas'!CS383,"")</f>
        <v>403.31999999999994</v>
      </c>
      <c r="BC385" s="804">
        <f t="shared" si="213"/>
        <v>0</v>
      </c>
      <c r="BD385" s="805" t="str">
        <f t="shared" si="214"/>
        <v>No saturada</v>
      </c>
      <c r="BE385" s="806">
        <f t="shared" si="215"/>
        <v>0.52357777357777358</v>
      </c>
      <c r="BF385" s="890">
        <f>IF(ISNUMBER('Base de datos Rutas'!CX383),'Base de datos Rutas'!CX383/100,"")</f>
        <v>0.89325102880658447</v>
      </c>
      <c r="BG385" s="891">
        <f>IF(ISNUMBER('Base de datos Rutas'!CZ383),'Base de datos Rutas'!CZ383/100,"")</f>
        <v>1</v>
      </c>
      <c r="BH385" s="892">
        <f>IF(ISNUMBER('Base de datos Rutas'!DA383),'Base de datos Rutas'!DA383,"")</f>
        <v>1727.6841674722987</v>
      </c>
      <c r="BI385" s="893">
        <f>IF(ISNUMBER('Base de datos Rutas'!DC383),'Base de datos Rutas'!DC383,"")</f>
        <v>79.201860390173778</v>
      </c>
      <c r="BJ385" s="805" t="str">
        <f t="shared" si="216"/>
        <v>Ruta (completo)</v>
      </c>
      <c r="BK385" s="783">
        <f t="shared" si="204"/>
        <v>2</v>
      </c>
      <c r="BL385" s="797">
        <f t="shared" si="205"/>
        <v>2</v>
      </c>
      <c r="BM385" s="797">
        <f t="shared" si="206"/>
        <v>5</v>
      </c>
      <c r="BN385" s="797">
        <f t="shared" si="207"/>
        <v>5</v>
      </c>
      <c r="BO385" s="798" cm="1">
        <f t="array" ref="BO385">SUMPRODUCT(--ISNUMBER($BF385:$BI385),$BK$3:$BN$3)</f>
        <v>1</v>
      </c>
      <c r="BP385" s="831">
        <f t="shared" si="217"/>
        <v>62.5</v>
      </c>
      <c r="BQ385" s="834" t="str">
        <f t="shared" si="218"/>
        <v>Alto</v>
      </c>
      <c r="BR385" s="836">
        <f t="shared" si="208"/>
        <v>19.948548819488792</v>
      </c>
      <c r="BS385" s="836">
        <f t="shared" si="209"/>
        <v>62.5</v>
      </c>
      <c r="BT385" s="837" t="str">
        <f t="shared" si="210"/>
        <v>P3</v>
      </c>
      <c r="BU385" s="807" t="str">
        <f t="shared" si="219"/>
        <v>Con espacio</v>
      </c>
      <c r="BV385" s="807" t="str">
        <f t="shared" si="211"/>
        <v>Zona atractiva</v>
      </c>
      <c r="BW385" s="808" t="str">
        <f t="shared" si="212"/>
        <v>P3 - Desarrollar</v>
      </c>
    </row>
    <row r="386" spans="1:75">
      <c r="A386" s="780" t="str">
        <f>'Base de datos Rutas'!A384</f>
        <v>Occidente</v>
      </c>
      <c r="B386" s="781" t="str">
        <f>'Base de datos Rutas'!B384</f>
        <v>Zapopan</v>
      </c>
      <c r="C386" s="781" t="str">
        <f>'Base de datos Rutas'!C384</f>
        <v>Planta Zapopan</v>
      </c>
      <c r="D386" s="782">
        <f>IF(ISNUMBER('Base de datos Rutas'!D384),'Base de datos Rutas'!D384,"Sin código")</f>
        <v>816381</v>
      </c>
      <c r="E386" s="783" t="str">
        <f>'Base de datos Rutas'!F384</f>
        <v>Activa</v>
      </c>
      <c r="F386" s="784" t="str">
        <f>'Base de datos Rutas'!H384</f>
        <v>No</v>
      </c>
      <c r="G386" s="785" t="str">
        <f>IF(ISNUMBER('Base de datos Rutas'!BE384),'Base de datos Rutas'!BE384,"")</f>
        <v/>
      </c>
      <c r="H386" s="786" t="str">
        <f>IF(ISNUMBER('Base de datos Rutas'!BH384),'Base de datos Rutas'!BH384,"")</f>
        <v/>
      </c>
      <c r="I386" s="788" t="str">
        <f>IFERROR(IF(OR(NOT(ISNUMBER('Base de datos Rutas'!O384)),N('Base de datos Rutas'!BK384)=0),"",'Base de datos Rutas'!O384/('Base de datos Rutas'!L384/'Base de datos Rutas'!BK384)),"")</f>
        <v/>
      </c>
      <c r="J386" s="788" t="str">
        <f>IFERROR(IF(OR(NOT(ISNUMBER('Base de datos Rutas'!N384)),N('Base de datos Rutas'!BK384)=0),"",'Base de datos Rutas'!N384/('Base de datos Rutas'!L384/'Base de datos Rutas'!BK384)),"")</f>
        <v/>
      </c>
      <c r="K386" s="788" t="str">
        <f>IFERROR(IF(OR(NOT(ISNUMBER('Base de datos Rutas'!J384)),N('Base de datos Rutas'!BK384)=0),"",'Base de datos Rutas'!J384/('Base de datos Rutas'!L384/'Base de datos Rutas'!BK384)),"")</f>
        <v/>
      </c>
      <c r="L386" s="788" t="str">
        <f>IFERROR(IF(OR(NOT(ISNUMBER('Base de datos Rutas'!K384)),N('Base de datos Rutas'!BK384)=0),"",'Base de datos Rutas'!K384/('Base de datos Rutas'!L384/'Base de datos Rutas'!BK384)),"")</f>
        <v/>
      </c>
      <c r="M386" s="787">
        <f>IF(ISNUMBER('Base de datos Rutas'!AX384),'Base de datos Rutas'!AX384,"")</f>
        <v>195.38</v>
      </c>
      <c r="N386" s="790">
        <f>IFERROR(INDEX('Hoja de apoyo v2'!B$17:B$20,MATCH($A386,'Hoja de apoyo v2'!$A$17:$A$20,0)),"")</f>
        <v>89.41621024641401</v>
      </c>
      <c r="O386" s="791">
        <f>IFERROR(INDEX('Hoja de apoyo v2'!C$17:C$20,MATCH($A386,'Hoja de apoyo v2'!$A$17:$A$20,0)),"")</f>
        <v>0.54706375874806301</v>
      </c>
      <c r="P386" s="793">
        <f>IFERROR(INDEX('Hoja de apoyo v2'!D$17:D$20,MATCH($A386,'Hoja de apoyo v2'!$A$17:$A$20,0)),"")</f>
        <v>11095.153935793827</v>
      </c>
      <c r="Q386" s="793">
        <f>IFERROR(INDEX('Hoja de apoyo v2'!E$17:E$20,MATCH($A386,'Hoja de apoyo v2'!$A$17:$A$20,0)),"")</f>
        <v>6982.3202019701848</v>
      </c>
      <c r="R386" s="793">
        <f>IFERROR(INDEX('Hoja de apoyo v2'!F$17:F$20,MATCH($A386,'Hoja de apoyo v2'!$A$17:$A$20,0)),"")</f>
        <v>448.09513474485743</v>
      </c>
      <c r="S386" s="793">
        <f>IFERROR(INDEX('Hoja de apoyo v2'!G$17:G$20,MATCH($A386,'Hoja de apoyo v2'!$A$17:$A$20,0)),"")</f>
        <v>83.406300904207839</v>
      </c>
      <c r="T386" s="792">
        <f>IFERROR(INDEX('Hoja de apoyo v2'!H$17:H$20,MATCH($A386,'Hoja de apoyo v2'!$A$17:$A$20,0)),"")</f>
        <v>378.97014028925349</v>
      </c>
      <c r="U386" s="794" t="str">
        <f t="shared" si="184"/>
        <v/>
      </c>
      <c r="V386" s="795" t="str">
        <f t="shared" si="185"/>
        <v/>
      </c>
      <c r="W386" s="795" t="str">
        <f t="shared" si="186"/>
        <v/>
      </c>
      <c r="X386" s="843" t="str">
        <f t="shared" si="187"/>
        <v/>
      </c>
      <c r="Y386" s="843" t="str">
        <f t="shared" si="188"/>
        <v/>
      </c>
      <c r="Z386" s="843" t="str">
        <f t="shared" si="189"/>
        <v/>
      </c>
      <c r="AA386" s="843">
        <f t="shared" si="190"/>
        <v>0.51555513015055454</v>
      </c>
      <c r="AB386" s="796">
        <f t="shared" si="191"/>
        <v>0</v>
      </c>
      <c r="AC386" s="797">
        <f t="shared" si="192"/>
        <v>0</v>
      </c>
      <c r="AD386" s="797">
        <f t="shared" si="193"/>
        <v>0</v>
      </c>
      <c r="AE386" s="842">
        <f t="shared" si="194"/>
        <v>0</v>
      </c>
      <c r="AF386" s="842">
        <f t="shared" si="195"/>
        <v>0</v>
      </c>
      <c r="AG386" s="842">
        <f t="shared" si="196"/>
        <v>0</v>
      </c>
      <c r="AH386" s="842">
        <f t="shared" si="197"/>
        <v>2</v>
      </c>
      <c r="AI386" s="826" cm="1">
        <f t="array" ref="AI386">SUMPRODUCT(--ISNUMBER($U386:$AA386),$AB$3:$AH$3)</f>
        <v>8.9789113613062493E-2</v>
      </c>
      <c r="AJ386" s="829" t="str">
        <f t="shared" si="198"/>
        <v/>
      </c>
      <c r="AK386" s="827" t="str">
        <f t="shared" si="199"/>
        <v>No elegible</v>
      </c>
      <c r="AL386" s="784" t="str">
        <f t="shared" si="200"/>
        <v>n/a</v>
      </c>
      <c r="AM386" s="799">
        <f>IF(ISNUMBER('Base de datos Rutas'!W384),'Base de datos Rutas'!W384,"")</f>
        <v>3427.1365491869451</v>
      </c>
      <c r="AN386" s="787">
        <f>IFERROR(SUMIFS('Base de datos Rutas'!$W$6:$W$794,'Base de datos Rutas'!$C$6:$C$794,$C386)/'Base de datos Rutas'!I384,"")</f>
        <v>3427.1365491869487</v>
      </c>
      <c r="AO386" s="800">
        <f>IFERROR('Base de datos Rutas'!X384*AN386/AM386,"")</f>
        <v>0.3483939033672564</v>
      </c>
      <c r="AP386" s="800">
        <f t="shared" si="201"/>
        <v>0.6516060966327436</v>
      </c>
      <c r="AQ386" s="789">
        <f>IFERROR(INDEX('Hoja de apoyo v2'!$J$17:$J$20,MATCH($A386,'Hoja de apoyo v2'!$A$17:$A$20,0)),"")</f>
        <v>0.64320274048480885</v>
      </c>
      <c r="AR386" s="789">
        <f t="shared" si="202"/>
        <v>8.4033561479347485E-3</v>
      </c>
      <c r="AS386" s="784" t="str">
        <f t="shared" si="203"/>
        <v>No</v>
      </c>
      <c r="AT386" s="801" t="str">
        <f>IF(ISNUMBER('Base de datos Rutas'!CK384),'Base de datos Rutas'!CK384,"")</f>
        <v/>
      </c>
      <c r="AU386" s="802" t="str">
        <f>IF(ISNUMBER('Base de datos Rutas'!CL384),'Base de datos Rutas'!CL384,"")</f>
        <v/>
      </c>
      <c r="AV386" s="802">
        <f>IF(ISNUMBER('Base de datos Rutas'!CM384),'Base de datos Rutas'!CM384,"")</f>
        <v>0</v>
      </c>
      <c r="AW386" s="802" t="str">
        <f>IF(ISNUMBER('Base de datos Rutas'!CN384),'Base de datos Rutas'!CN384,"")</f>
        <v/>
      </c>
      <c r="AX386" s="802" t="str">
        <f>IF(ISNUMBER('Base de datos Rutas'!CO384),'Base de datos Rutas'!CO384,"")</f>
        <v/>
      </c>
      <c r="AY386" s="802">
        <f>IF(ISNUMBER('Base de datos Rutas'!CP384),'Base de datos Rutas'!CP384,"")</f>
        <v>0</v>
      </c>
      <c r="AZ386" s="802" t="str">
        <f>IF(ISNUMBER('Base de datos Rutas'!CQ384),'Base de datos Rutas'!CQ384,"")</f>
        <v/>
      </c>
      <c r="BA386" s="802" t="str">
        <f>IF(ISNUMBER('Base de datos Rutas'!CR384),'Base de datos Rutas'!CR384,"")</f>
        <v/>
      </c>
      <c r="BB386" s="803">
        <f>IF(ISNUMBER('Base de datos Rutas'!CS384),'Base de datos Rutas'!CS384,"")</f>
        <v>0</v>
      </c>
      <c r="BC386" s="804" t="str">
        <f t="shared" si="213"/>
        <v/>
      </c>
      <c r="BD386" s="805" t="str">
        <f t="shared" si="214"/>
        <v>N/D</v>
      </c>
      <c r="BE386" s="806" t="str">
        <f t="shared" si="215"/>
        <v/>
      </c>
      <c r="BF386" s="890" t="str">
        <f>IF(ISNUMBER('Base de datos Rutas'!CX384),'Base de datos Rutas'!CX384/100,"")</f>
        <v/>
      </c>
      <c r="BG386" s="891" t="str">
        <f>IF(ISNUMBER('Base de datos Rutas'!CZ384),'Base de datos Rutas'!CZ384/100,"")</f>
        <v/>
      </c>
      <c r="BH386" s="892" t="str">
        <f>IF(ISNUMBER('Base de datos Rutas'!DA384),'Base de datos Rutas'!DA384,"")</f>
        <v/>
      </c>
      <c r="BI386" s="893" t="str">
        <f>IF(ISNUMBER('Base de datos Rutas'!DC384),'Base de datos Rutas'!DC384,"")</f>
        <v/>
      </c>
      <c r="BJ386" s="805" t="str">
        <f t="shared" si="216"/>
        <v>Sin dato</v>
      </c>
      <c r="BK386" s="783">
        <f t="shared" si="204"/>
        <v>0</v>
      </c>
      <c r="BL386" s="797">
        <f t="shared" si="205"/>
        <v>0</v>
      </c>
      <c r="BM386" s="797">
        <f t="shared" si="206"/>
        <v>0</v>
      </c>
      <c r="BN386" s="797">
        <f t="shared" si="207"/>
        <v>0</v>
      </c>
      <c r="BO386" s="798" cm="1">
        <f t="array" ref="BO386">SUMPRODUCT(--ISNUMBER($BF386:$BI386),$BK$3:$BN$3)</f>
        <v>0</v>
      </c>
      <c r="BP386" s="831" t="str">
        <f t="shared" si="217"/>
        <v/>
      </c>
      <c r="BQ386" s="834" t="str">
        <f t="shared" si="218"/>
        <v>Sin datos</v>
      </c>
      <c r="BR386" s="836" t="str">
        <f t="shared" si="208"/>
        <v/>
      </c>
      <c r="BS386" s="836" t="str">
        <f t="shared" si="209"/>
        <v/>
      </c>
      <c r="BT386" s="837" t="str">
        <f t="shared" si="210"/>
        <v>Sin datos</v>
      </c>
      <c r="BU386" s="807" t="str">
        <f t="shared" si="219"/>
        <v>No evaluable</v>
      </c>
      <c r="BV386" s="807" t="str">
        <f t="shared" si="211"/>
        <v>No evaluable</v>
      </c>
      <c r="BW386" s="808" t="str">
        <f t="shared" si="212"/>
        <v>Sin datos</v>
      </c>
    </row>
    <row r="387" spans="1:75">
      <c r="A387" s="780" t="str">
        <f>'Base de datos Rutas'!A385</f>
        <v>Occidente</v>
      </c>
      <c r="B387" s="781" t="str">
        <f>'Base de datos Rutas'!B385</f>
        <v>Zapopan</v>
      </c>
      <c r="C387" s="781" t="str">
        <f>'Base de datos Rutas'!C385</f>
        <v>Planta Zapopan</v>
      </c>
      <c r="D387" s="782">
        <f>IF(ISNUMBER('Base de datos Rutas'!D385),'Base de datos Rutas'!D385,"Sin código")</f>
        <v>816382</v>
      </c>
      <c r="E387" s="783" t="str">
        <f>'Base de datos Rutas'!F385</f>
        <v>Activa</v>
      </c>
      <c r="F387" s="784" t="str">
        <f>'Base de datos Rutas'!H385</f>
        <v>Sí</v>
      </c>
      <c r="G387" s="785">
        <f>IF(ISNUMBER('Base de datos Rutas'!BE385),'Base de datos Rutas'!BE385,"")</f>
        <v>82.990846681922207</v>
      </c>
      <c r="H387" s="786">
        <f>IF(ISNUMBER('Base de datos Rutas'!BH385),'Base de datos Rutas'!BH385,"")</f>
        <v>0.402183803457689</v>
      </c>
      <c r="I387" s="788">
        <f>IFERROR(IF(OR(NOT(ISNUMBER('Base de datos Rutas'!O385)),N('Base de datos Rutas'!BK385)=0),"",'Base de datos Rutas'!O385/('Base de datos Rutas'!L385/'Base de datos Rutas'!BK385)),"")</f>
        <v>3832.7391304347752</v>
      </c>
      <c r="J387" s="788">
        <f>IFERROR(IF(OR(NOT(ISNUMBER('Base de datos Rutas'!N385)),N('Base de datos Rutas'!BK385)=0),"",'Base de datos Rutas'!N385/('Base de datos Rutas'!L385/'Base de datos Rutas'!BK385)),"")</f>
        <v>9036.7345537757265</v>
      </c>
      <c r="K387" s="788">
        <f>IFERROR(IF(OR(NOT(ISNUMBER('Base de datos Rutas'!J385)),N('Base de datos Rutas'!BK385)=0),"",'Base de datos Rutas'!J385/('Base de datos Rutas'!L385/'Base de datos Rutas'!BK385)),"")</f>
        <v>617.16155789473567</v>
      </c>
      <c r="L387" s="788">
        <f>IFERROR(IF(OR(NOT(ISNUMBER('Base de datos Rutas'!K385)),N('Base de datos Rutas'!BK385)=0),"",'Base de datos Rutas'!K385/('Base de datos Rutas'!L385/'Base de datos Rutas'!BK385)),"")</f>
        <v>26.475620565217337</v>
      </c>
      <c r="M387" s="787">
        <f>IF(ISNUMBER('Base de datos Rutas'!AX385),'Base de datos Rutas'!AX385,"")</f>
        <v>383.88769984917002</v>
      </c>
      <c r="N387" s="790">
        <f>IFERROR(INDEX('Hoja de apoyo v2'!B$17:B$20,MATCH($A387,'Hoja de apoyo v2'!$A$17:$A$20,0)),"")</f>
        <v>89.41621024641401</v>
      </c>
      <c r="O387" s="791">
        <f>IFERROR(INDEX('Hoja de apoyo v2'!C$17:C$20,MATCH($A387,'Hoja de apoyo v2'!$A$17:$A$20,0)),"")</f>
        <v>0.54706375874806301</v>
      </c>
      <c r="P387" s="793">
        <f>IFERROR(INDEX('Hoja de apoyo v2'!D$17:D$20,MATCH($A387,'Hoja de apoyo v2'!$A$17:$A$20,0)),"")</f>
        <v>11095.153935793827</v>
      </c>
      <c r="Q387" s="793">
        <f>IFERROR(INDEX('Hoja de apoyo v2'!E$17:E$20,MATCH($A387,'Hoja de apoyo v2'!$A$17:$A$20,0)),"")</f>
        <v>6982.3202019701848</v>
      </c>
      <c r="R387" s="793">
        <f>IFERROR(INDEX('Hoja de apoyo v2'!F$17:F$20,MATCH($A387,'Hoja de apoyo v2'!$A$17:$A$20,0)),"")</f>
        <v>448.09513474485743</v>
      </c>
      <c r="S387" s="793">
        <f>IFERROR(INDEX('Hoja de apoyo v2'!G$17:G$20,MATCH($A387,'Hoja de apoyo v2'!$A$17:$A$20,0)),"")</f>
        <v>83.406300904207839</v>
      </c>
      <c r="T387" s="792">
        <f>IFERROR(INDEX('Hoja de apoyo v2'!H$17:H$20,MATCH($A387,'Hoja de apoyo v2'!$A$17:$A$20,0)),"")</f>
        <v>378.97014028925349</v>
      </c>
      <c r="U387" s="794">
        <f t="shared" si="184"/>
        <v>0.92814095400839813</v>
      </c>
      <c r="V387" s="795">
        <f t="shared" si="185"/>
        <v>0.73516806227133946</v>
      </c>
      <c r="W387" s="795">
        <f t="shared" si="186"/>
        <v>0.34544262771064954</v>
      </c>
      <c r="X387" s="843">
        <f t="shared" si="187"/>
        <v>1.2942308992397473</v>
      </c>
      <c r="Y387" s="843">
        <f t="shared" si="188"/>
        <v>1.3773002874627138</v>
      </c>
      <c r="Z387" s="843">
        <f t="shared" si="189"/>
        <v>0.31742950206633186</v>
      </c>
      <c r="AA387" s="843">
        <f t="shared" si="190"/>
        <v>1.0129761135169202</v>
      </c>
      <c r="AB387" s="796">
        <f t="shared" si="191"/>
        <v>3</v>
      </c>
      <c r="AC387" s="797">
        <f t="shared" si="192"/>
        <v>2</v>
      </c>
      <c r="AD387" s="797">
        <f t="shared" si="193"/>
        <v>1</v>
      </c>
      <c r="AE387" s="842">
        <f t="shared" si="194"/>
        <v>5</v>
      </c>
      <c r="AF387" s="842">
        <f t="shared" si="195"/>
        <v>5</v>
      </c>
      <c r="AG387" s="842">
        <f t="shared" si="196"/>
        <v>1</v>
      </c>
      <c r="AH387" s="842">
        <f t="shared" si="197"/>
        <v>4</v>
      </c>
      <c r="AI387" s="826" cm="1">
        <f t="array" ref="AI387">SUMPRODUCT(--ISNUMBER($U387:$AA387),$AB$3:$AH$3)</f>
        <v>1</v>
      </c>
      <c r="AJ387" s="829">
        <f t="shared" si="198"/>
        <v>43.52633009617761</v>
      </c>
      <c r="AK387" s="827" t="str">
        <f t="shared" si="199"/>
        <v>Inmadura</v>
      </c>
      <c r="AL387" s="784" t="str">
        <f t="shared" si="200"/>
        <v>Alta</v>
      </c>
      <c r="AM387" s="799">
        <f>IF(ISNUMBER('Base de datos Rutas'!W385),'Base de datos Rutas'!W385,"")</f>
        <v>3427.1365491869451</v>
      </c>
      <c r="AN387" s="787">
        <f>IFERROR(SUMIFS('Base de datos Rutas'!$W$6:$W$794,'Base de datos Rutas'!$C$6:$C$794,$C387)/'Base de datos Rutas'!I385,"")</f>
        <v>3427.1365491869487</v>
      </c>
      <c r="AO387" s="800">
        <f>IFERROR('Base de datos Rutas'!X385*AN387/AM387,"")</f>
        <v>0.3483939033672564</v>
      </c>
      <c r="AP387" s="800">
        <f t="shared" si="201"/>
        <v>0.6516060966327436</v>
      </c>
      <c r="AQ387" s="789">
        <f>IFERROR(INDEX('Hoja de apoyo v2'!$J$17:$J$20,MATCH($A387,'Hoja de apoyo v2'!$A$17:$A$20,0)),"")</f>
        <v>0.64320274048480885</v>
      </c>
      <c r="AR387" s="789">
        <f t="shared" si="202"/>
        <v>8.4033561479347485E-3</v>
      </c>
      <c r="AS387" s="784" t="str">
        <f t="shared" si="203"/>
        <v>No</v>
      </c>
      <c r="AT387" s="801">
        <f>IF(ISNUMBER('Base de datos Rutas'!CK385),'Base de datos Rutas'!CK385,"")</f>
        <v>284</v>
      </c>
      <c r="AU387" s="802">
        <f>IF(ISNUMBER('Base de datos Rutas'!CL385),'Base de datos Rutas'!CL385,"")</f>
        <v>284</v>
      </c>
      <c r="AV387" s="802">
        <f>IF(ISNUMBER('Base de datos Rutas'!CM385),'Base de datos Rutas'!CM385,"")</f>
        <v>0</v>
      </c>
      <c r="AW387" s="802">
        <f>IF(ISNUMBER('Base de datos Rutas'!CN385),'Base de datos Rutas'!CN385,"")</f>
        <v>6.87</v>
      </c>
      <c r="AX387" s="802">
        <f>IF(ISNUMBER('Base de datos Rutas'!CO385),'Base de datos Rutas'!CO385,"")</f>
        <v>9.4499999999999993</v>
      </c>
      <c r="AY387" s="802">
        <f>IF(ISNUMBER('Base de datos Rutas'!CP385),'Base de datos Rutas'!CP385,"")</f>
        <v>2.5799999999999992</v>
      </c>
      <c r="AZ387" s="802">
        <f>IF(ISNUMBER('Base de datos Rutas'!CQ385),'Base de datos Rutas'!CQ385,"")</f>
        <v>564.37</v>
      </c>
      <c r="BA387" s="802">
        <f>IF(ISNUMBER('Base de datos Rutas'!CR385),'Base de datos Rutas'!CR385,"")</f>
        <v>643.64</v>
      </c>
      <c r="BB387" s="803">
        <f>IF(ISNUMBER('Base de datos Rutas'!CS385),'Base de datos Rutas'!CS385,"")</f>
        <v>-79.269999999999982</v>
      </c>
      <c r="BC387" s="804">
        <f t="shared" si="213"/>
        <v>2</v>
      </c>
      <c r="BD387" s="805" t="str">
        <f t="shared" si="214"/>
        <v>Saturada</v>
      </c>
      <c r="BE387" s="806">
        <f t="shared" si="215"/>
        <v>1.1404575012846183</v>
      </c>
      <c r="BF387" s="890">
        <f>IF(ISNUMBER('Base de datos Rutas'!CX385),'Base de datos Rutas'!CX385/100,"")</f>
        <v>1</v>
      </c>
      <c r="BG387" s="891">
        <f>IF(ISNUMBER('Base de datos Rutas'!CZ385),'Base de datos Rutas'!CZ385/100,"")</f>
        <v>1</v>
      </c>
      <c r="BH387" s="892">
        <f>IF(ISNUMBER('Base de datos Rutas'!DA385),'Base de datos Rutas'!DA385,"")</f>
        <v>992.36212949640299</v>
      </c>
      <c r="BI387" s="893">
        <f>IF(ISNUMBER('Base de datos Rutas'!DC385),'Base de datos Rutas'!DC385,"")</f>
        <v>46.784575539568344</v>
      </c>
      <c r="BJ387" s="805" t="str">
        <f t="shared" si="216"/>
        <v>Ruta (completo)</v>
      </c>
      <c r="BK387" s="783">
        <f t="shared" si="204"/>
        <v>5</v>
      </c>
      <c r="BL387" s="797">
        <f t="shared" si="205"/>
        <v>2</v>
      </c>
      <c r="BM387" s="797">
        <f t="shared" si="206"/>
        <v>4</v>
      </c>
      <c r="BN387" s="797">
        <f t="shared" si="207"/>
        <v>4</v>
      </c>
      <c r="BO387" s="798" cm="1">
        <f t="array" ref="BO387">SUMPRODUCT(--ISNUMBER($BF387:$BI387),$BK$3:$BN$3)</f>
        <v>1</v>
      </c>
      <c r="BP387" s="831">
        <f t="shared" si="217"/>
        <v>68.75</v>
      </c>
      <c r="BQ387" s="834" t="str">
        <f t="shared" si="218"/>
        <v>Alto</v>
      </c>
      <c r="BR387" s="836">
        <f t="shared" si="208"/>
        <v>57.644747572133205</v>
      </c>
      <c r="BS387" s="836">
        <f t="shared" si="209"/>
        <v>68.75</v>
      </c>
      <c r="BT387" s="837" t="str">
        <f t="shared" si="210"/>
        <v>P1</v>
      </c>
      <c r="BU387" s="807" t="str">
        <f t="shared" si="219"/>
        <v>Al tope</v>
      </c>
      <c r="BV387" s="807" t="str">
        <f t="shared" si="211"/>
        <v>Zona atractiva</v>
      </c>
      <c r="BW387" s="808" t="str">
        <f t="shared" si="212"/>
        <v>P1 - Ampliar cobertura</v>
      </c>
    </row>
    <row r="388" spans="1:75">
      <c r="A388" s="780" t="str">
        <f>'Base de datos Rutas'!A386</f>
        <v>Occidente</v>
      </c>
      <c r="B388" s="781" t="str">
        <f>'Base de datos Rutas'!B386</f>
        <v>Zapopan</v>
      </c>
      <c r="C388" s="781" t="str">
        <f>'Base de datos Rutas'!C386</f>
        <v>Planta Zapopan</v>
      </c>
      <c r="D388" s="782">
        <f>IF(ISNUMBER('Base de datos Rutas'!D386),'Base de datos Rutas'!D386,"Sin código")</f>
        <v>816383</v>
      </c>
      <c r="E388" s="783" t="str">
        <f>'Base de datos Rutas'!F386</f>
        <v>Activa</v>
      </c>
      <c r="F388" s="784" t="str">
        <f>'Base de datos Rutas'!H386</f>
        <v>Sí</v>
      </c>
      <c r="G388" s="785">
        <f>IF(ISNUMBER('Base de datos Rutas'!BE386),'Base de datos Rutas'!BE386,"")</f>
        <v>45.259090909090901</v>
      </c>
      <c r="H388" s="786">
        <f>IF(ISNUMBER('Base de datos Rutas'!BH386),'Base de datos Rutas'!BH386,"")</f>
        <v>0.51847946168524695</v>
      </c>
      <c r="I388" s="788">
        <f>IFERROR(IF(OR(NOT(ISNUMBER('Base de datos Rutas'!O386)),N('Base de datos Rutas'!BK386)=0),"",'Base de datos Rutas'!O386/('Base de datos Rutas'!L386/'Base de datos Rutas'!BK386)),"")</f>
        <v>7520.972727272725</v>
      </c>
      <c r="J388" s="788">
        <f>IFERROR(IF(OR(NOT(ISNUMBER('Base de datos Rutas'!N386)),N('Base de datos Rutas'!BK386)=0),"",'Base de datos Rutas'!N386/('Base de datos Rutas'!L386/'Base de datos Rutas'!BK386)),"")</f>
        <v>8283.9613636363611</v>
      </c>
      <c r="K388" s="788">
        <f>IFERROR(IF(OR(NOT(ISNUMBER('Base de datos Rutas'!J386)),N('Base de datos Rutas'!BK386)=0),"",'Base de datos Rutas'!J386/('Base de datos Rutas'!L386/'Base de datos Rutas'!BK386)),"")</f>
        <v>565.22511818181806</v>
      </c>
      <c r="L388" s="788">
        <f>IFERROR(IF(OR(NOT(ISNUMBER('Base de datos Rutas'!K386)),N('Base de datos Rutas'!BK386)=0),"",'Base de datos Rutas'!K386/('Base de datos Rutas'!L386/'Base de datos Rutas'!BK386)),"")</f>
        <v>47.0479121340909</v>
      </c>
      <c r="M388" s="787">
        <f>IF(ISNUMBER('Base de datos Rutas'!AX386),'Base de datos Rutas'!AX386,"")</f>
        <v>673.52760871670705</v>
      </c>
      <c r="N388" s="790">
        <f>IFERROR(INDEX('Hoja de apoyo v2'!B$17:B$20,MATCH($A388,'Hoja de apoyo v2'!$A$17:$A$20,0)),"")</f>
        <v>89.41621024641401</v>
      </c>
      <c r="O388" s="791">
        <f>IFERROR(INDEX('Hoja de apoyo v2'!C$17:C$20,MATCH($A388,'Hoja de apoyo v2'!$A$17:$A$20,0)),"")</f>
        <v>0.54706375874806301</v>
      </c>
      <c r="P388" s="793">
        <f>IFERROR(INDEX('Hoja de apoyo v2'!D$17:D$20,MATCH($A388,'Hoja de apoyo v2'!$A$17:$A$20,0)),"")</f>
        <v>11095.153935793827</v>
      </c>
      <c r="Q388" s="793">
        <f>IFERROR(INDEX('Hoja de apoyo v2'!E$17:E$20,MATCH($A388,'Hoja de apoyo v2'!$A$17:$A$20,0)),"")</f>
        <v>6982.3202019701848</v>
      </c>
      <c r="R388" s="793">
        <f>IFERROR(INDEX('Hoja de apoyo v2'!F$17:F$20,MATCH($A388,'Hoja de apoyo v2'!$A$17:$A$20,0)),"")</f>
        <v>448.09513474485743</v>
      </c>
      <c r="S388" s="793">
        <f>IFERROR(INDEX('Hoja de apoyo v2'!G$17:G$20,MATCH($A388,'Hoja de apoyo v2'!$A$17:$A$20,0)),"")</f>
        <v>83.406300904207839</v>
      </c>
      <c r="T388" s="792">
        <f>IFERROR(INDEX('Hoja de apoyo v2'!H$17:H$20,MATCH($A388,'Hoja de apoyo v2'!$A$17:$A$20,0)),"")</f>
        <v>378.97014028925349</v>
      </c>
      <c r="U388" s="794">
        <f t="shared" si="184"/>
        <v>0.50616203465082543</v>
      </c>
      <c r="V388" s="795">
        <f t="shared" si="185"/>
        <v>0.94774960577130851</v>
      </c>
      <c r="W388" s="795">
        <f t="shared" si="186"/>
        <v>0.67786105274389064</v>
      </c>
      <c r="X388" s="843">
        <f t="shared" si="187"/>
        <v>1.1864195745848056</v>
      </c>
      <c r="Y388" s="843">
        <f t="shared" si="188"/>
        <v>1.2613953474492725</v>
      </c>
      <c r="Z388" s="843">
        <f t="shared" si="189"/>
        <v>0.5640810301385436</v>
      </c>
      <c r="AA388" s="843">
        <f t="shared" si="190"/>
        <v>1.7772577232671394</v>
      </c>
      <c r="AB388" s="796">
        <f t="shared" si="191"/>
        <v>2</v>
      </c>
      <c r="AC388" s="797">
        <f t="shared" si="192"/>
        <v>3</v>
      </c>
      <c r="AD388" s="797">
        <f t="shared" si="193"/>
        <v>2</v>
      </c>
      <c r="AE388" s="842">
        <f t="shared" si="194"/>
        <v>4</v>
      </c>
      <c r="AF388" s="842">
        <f t="shared" si="195"/>
        <v>5</v>
      </c>
      <c r="AG388" s="842">
        <f t="shared" si="196"/>
        <v>2</v>
      </c>
      <c r="AH388" s="842">
        <f t="shared" si="197"/>
        <v>5</v>
      </c>
      <c r="AI388" s="826" cm="1">
        <f t="array" ref="AI388">SUMPRODUCT(--ISNUMBER($U388:$AA388),$AB$3:$AH$3)</f>
        <v>1</v>
      </c>
      <c r="AJ388" s="829">
        <f t="shared" si="198"/>
        <v>49.714117935426927</v>
      </c>
      <c r="AK388" s="827" t="str">
        <f t="shared" si="199"/>
        <v>En desarrollo</v>
      </c>
      <c r="AL388" s="784" t="str">
        <f t="shared" si="200"/>
        <v>Alta</v>
      </c>
      <c r="AM388" s="799">
        <f>IF(ISNUMBER('Base de datos Rutas'!W386),'Base de datos Rutas'!W386,"")</f>
        <v>3427.1365491869451</v>
      </c>
      <c r="AN388" s="787">
        <f>IFERROR(SUMIFS('Base de datos Rutas'!$W$6:$W$794,'Base de datos Rutas'!$C$6:$C$794,$C388)/'Base de datos Rutas'!I386,"")</f>
        <v>3427.1365491869487</v>
      </c>
      <c r="AO388" s="800">
        <f>IFERROR('Base de datos Rutas'!X386*AN388/AM388,"")</f>
        <v>0.3483939033672564</v>
      </c>
      <c r="AP388" s="800">
        <f t="shared" si="201"/>
        <v>0.6516060966327436</v>
      </c>
      <c r="AQ388" s="789">
        <f>IFERROR(INDEX('Hoja de apoyo v2'!$J$17:$J$20,MATCH($A388,'Hoja de apoyo v2'!$A$17:$A$20,0)),"")</f>
        <v>0.64320274048480885</v>
      </c>
      <c r="AR388" s="789">
        <f t="shared" si="202"/>
        <v>8.4033561479347485E-3</v>
      </c>
      <c r="AS388" s="784" t="str">
        <f t="shared" si="203"/>
        <v>No</v>
      </c>
      <c r="AT388" s="801">
        <f>IF(ISNUMBER('Base de datos Rutas'!CK386),'Base de datos Rutas'!CK386,"")</f>
        <v>255</v>
      </c>
      <c r="AU388" s="802">
        <f>IF(ISNUMBER('Base de datos Rutas'!CL386),'Base de datos Rutas'!CL386,"")</f>
        <v>270.79000000000002</v>
      </c>
      <c r="AV388" s="802">
        <f>IF(ISNUMBER('Base de datos Rutas'!CM386),'Base de datos Rutas'!CM386,"")</f>
        <v>15.79000000000002</v>
      </c>
      <c r="AW388" s="802">
        <f>IF(ISNUMBER('Base de datos Rutas'!CN386),'Base de datos Rutas'!CN386,"")</f>
        <v>6.66</v>
      </c>
      <c r="AX388" s="802">
        <f>IF(ISNUMBER('Base de datos Rutas'!CO386),'Base de datos Rutas'!CO386,"")</f>
        <v>9.4499999999999993</v>
      </c>
      <c r="AY388" s="802">
        <f>IF(ISNUMBER('Base de datos Rutas'!CP386),'Base de datos Rutas'!CP386,"")</f>
        <v>2.7899999999999991</v>
      </c>
      <c r="AZ388" s="802">
        <f>IF(ISNUMBER('Base de datos Rutas'!CQ386),'Base de datos Rutas'!CQ386,"")</f>
        <v>846.56</v>
      </c>
      <c r="BA388" s="802">
        <f>IF(ISNUMBER('Base de datos Rutas'!CR386),'Base de datos Rutas'!CR386,"")</f>
        <v>612.27</v>
      </c>
      <c r="BB388" s="803">
        <f>IF(ISNUMBER('Base de datos Rutas'!CS386),'Base de datos Rutas'!CS386,"")</f>
        <v>234.28999999999996</v>
      </c>
      <c r="BC388" s="804">
        <f t="shared" si="213"/>
        <v>0</v>
      </c>
      <c r="BD388" s="805" t="str">
        <f t="shared" si="214"/>
        <v>No saturada</v>
      </c>
      <c r="BE388" s="806">
        <f t="shared" si="215"/>
        <v>0.72324466074466076</v>
      </c>
      <c r="BF388" s="890">
        <f>IF(ISNUMBER('Base de datos Rutas'!CX386),'Base de datos Rutas'!CX386/100,"")</f>
        <v>4.0752324598478447E-2</v>
      </c>
      <c r="BG388" s="891">
        <f>IF(ISNUMBER('Base de datos Rutas'!CZ386),'Base de datos Rutas'!CZ386/100,"")</f>
        <v>5.4099746407438712E-2</v>
      </c>
      <c r="BH388" s="892">
        <f>IF(ISNUMBER('Base de datos Rutas'!DA386),'Base de datos Rutas'!DA386,"")</f>
        <v>197.72711650914673</v>
      </c>
      <c r="BI388" s="893">
        <f>IF(ISNUMBER('Base de datos Rutas'!DC386),'Base de datos Rutas'!DC386,"")</f>
        <v>6.7744892766873264</v>
      </c>
      <c r="BJ388" s="805" t="str">
        <f t="shared" si="216"/>
        <v>Ruta (completo)</v>
      </c>
      <c r="BK388" s="783">
        <f t="shared" si="204"/>
        <v>1</v>
      </c>
      <c r="BL388" s="797">
        <f t="shared" si="205"/>
        <v>1</v>
      </c>
      <c r="BM388" s="797">
        <f t="shared" si="206"/>
        <v>1</v>
      </c>
      <c r="BN388" s="797">
        <f t="shared" si="207"/>
        <v>1</v>
      </c>
      <c r="BO388" s="798" cm="1">
        <f t="array" ref="BO388">SUMPRODUCT(--ISNUMBER($BF388:$BI388),$BK$3:$BN$3)</f>
        <v>1</v>
      </c>
      <c r="BP388" s="831">
        <f t="shared" si="217"/>
        <v>0</v>
      </c>
      <c r="BQ388" s="834" t="str">
        <f t="shared" si="218"/>
        <v>Bajo</v>
      </c>
      <c r="BR388" s="836">
        <f t="shared" si="208"/>
        <v>37.285588451570192</v>
      </c>
      <c r="BS388" s="836">
        <f t="shared" si="209"/>
        <v>0</v>
      </c>
      <c r="BT388" s="837" t="str">
        <f t="shared" si="210"/>
        <v>P2</v>
      </c>
      <c r="BU388" s="807" t="str">
        <f t="shared" si="219"/>
        <v>Con espacio</v>
      </c>
      <c r="BV388" s="807" t="str">
        <f t="shared" si="211"/>
        <v>Zona de bajo potencial</v>
      </c>
      <c r="BW388" s="808" t="str">
        <f t="shared" si="212"/>
        <v>P2 - Mantener</v>
      </c>
    </row>
    <row r="389" spans="1:75">
      <c r="A389" s="780" t="str">
        <f>'Base de datos Rutas'!A387</f>
        <v>Occidente</v>
      </c>
      <c r="B389" s="781" t="str">
        <f>'Base de datos Rutas'!B387</f>
        <v>Zapopan</v>
      </c>
      <c r="C389" s="781" t="str">
        <f>'Base de datos Rutas'!C387</f>
        <v>Planta Zapopan</v>
      </c>
      <c r="D389" s="782">
        <f>IF(ISNUMBER('Base de datos Rutas'!D387),'Base de datos Rutas'!D387,"Sin código")</f>
        <v>816384</v>
      </c>
      <c r="E389" s="783" t="str">
        <f>'Base de datos Rutas'!F387</f>
        <v>Activa</v>
      </c>
      <c r="F389" s="784" t="str">
        <f>'Base de datos Rutas'!H387</f>
        <v>Sí</v>
      </c>
      <c r="G389" s="785">
        <f>IF(ISNUMBER('Base de datos Rutas'!BE387),'Base de datos Rutas'!BE387,"")</f>
        <v>51.084862385321102</v>
      </c>
      <c r="H389" s="786">
        <f>IF(ISNUMBER('Base de datos Rutas'!BH387),'Base de datos Rutas'!BH387,"")</f>
        <v>0.66421227495173496</v>
      </c>
      <c r="I389" s="788">
        <f>IFERROR(IF(OR(NOT(ISNUMBER('Base de datos Rutas'!O387)),N('Base de datos Rutas'!BK387)=0),"",'Base de datos Rutas'!O387/('Base de datos Rutas'!L387/'Base de datos Rutas'!BK387)),"")</f>
        <v>3499.8440366972445</v>
      </c>
      <c r="J389" s="788">
        <f>IFERROR(IF(OR(NOT(ISNUMBER('Base de datos Rutas'!N387)),N('Base de datos Rutas'!BK387)=0),"",'Base de datos Rutas'!N387/('Base de datos Rutas'!L387/'Base de datos Rutas'!BK387)),"")</f>
        <v>8397.0573394495332</v>
      </c>
      <c r="K389" s="788">
        <f>IFERROR(IF(OR(NOT(ISNUMBER('Base de datos Rutas'!J387)),N('Base de datos Rutas'!BK387)=0),"",'Base de datos Rutas'!J387/('Base de datos Rutas'!L387/'Base de datos Rutas'!BK387)),"")</f>
        <v>574.59553944954075</v>
      </c>
      <c r="L389" s="788">
        <f>IFERROR(IF(OR(NOT(ISNUMBER('Base de datos Rutas'!K387)),N('Base de datos Rutas'!BK387)=0),"",'Base de datos Rutas'!K387/('Base de datos Rutas'!L387/'Base de datos Rutas'!BK387)),"")</f>
        <v>27.045790449541261</v>
      </c>
      <c r="M389" s="787">
        <f>IF(ISNUMBER('Base de datos Rutas'!AX387),'Base de datos Rutas'!AX387,"")</f>
        <v>350.618374340949</v>
      </c>
      <c r="N389" s="790">
        <f>IFERROR(INDEX('Hoja de apoyo v2'!B$17:B$20,MATCH($A389,'Hoja de apoyo v2'!$A$17:$A$20,0)),"")</f>
        <v>89.41621024641401</v>
      </c>
      <c r="O389" s="791">
        <f>IFERROR(INDEX('Hoja de apoyo v2'!C$17:C$20,MATCH($A389,'Hoja de apoyo v2'!$A$17:$A$20,0)),"")</f>
        <v>0.54706375874806301</v>
      </c>
      <c r="P389" s="793">
        <f>IFERROR(INDEX('Hoja de apoyo v2'!D$17:D$20,MATCH($A389,'Hoja de apoyo v2'!$A$17:$A$20,0)),"")</f>
        <v>11095.153935793827</v>
      </c>
      <c r="Q389" s="793">
        <f>IFERROR(INDEX('Hoja de apoyo v2'!E$17:E$20,MATCH($A389,'Hoja de apoyo v2'!$A$17:$A$20,0)),"")</f>
        <v>6982.3202019701848</v>
      </c>
      <c r="R389" s="793">
        <f>IFERROR(INDEX('Hoja de apoyo v2'!F$17:F$20,MATCH($A389,'Hoja de apoyo v2'!$A$17:$A$20,0)),"")</f>
        <v>448.09513474485743</v>
      </c>
      <c r="S389" s="793">
        <f>IFERROR(INDEX('Hoja de apoyo v2'!G$17:G$20,MATCH($A389,'Hoja de apoyo v2'!$A$17:$A$20,0)),"")</f>
        <v>83.406300904207839</v>
      </c>
      <c r="T389" s="792">
        <f>IFERROR(INDEX('Hoja de apoyo v2'!H$17:H$20,MATCH($A389,'Hoja de apoyo v2'!$A$17:$A$20,0)),"")</f>
        <v>378.97014028925349</v>
      </c>
      <c r="U389" s="794">
        <f t="shared" si="184"/>
        <v>0.57131544990042604</v>
      </c>
      <c r="V389" s="795">
        <f t="shared" si="185"/>
        <v>1.2141405171341679</v>
      </c>
      <c r="W389" s="795">
        <f t="shared" si="186"/>
        <v>0.31543897966178513</v>
      </c>
      <c r="X389" s="843">
        <f t="shared" si="187"/>
        <v>1.2026170522916086</v>
      </c>
      <c r="Y389" s="843">
        <f t="shared" si="188"/>
        <v>1.2823070256647884</v>
      </c>
      <c r="Z389" s="843">
        <f t="shared" si="189"/>
        <v>0.32426555495613407</v>
      </c>
      <c r="AA389" s="843">
        <f t="shared" si="190"/>
        <v>0.92518733553344157</v>
      </c>
      <c r="AB389" s="796">
        <f t="shared" si="191"/>
        <v>2</v>
      </c>
      <c r="AC389" s="797">
        <f t="shared" si="192"/>
        <v>4</v>
      </c>
      <c r="AD389" s="797">
        <f t="shared" si="193"/>
        <v>1</v>
      </c>
      <c r="AE389" s="842">
        <f t="shared" si="194"/>
        <v>4</v>
      </c>
      <c r="AF389" s="842">
        <f t="shared" si="195"/>
        <v>5</v>
      </c>
      <c r="AG389" s="842">
        <f t="shared" si="196"/>
        <v>1</v>
      </c>
      <c r="AH389" s="842">
        <f t="shared" si="197"/>
        <v>3</v>
      </c>
      <c r="AI389" s="826" cm="1">
        <f t="array" ref="AI389">SUMPRODUCT(--ISNUMBER($U389:$AA389),$AB$3:$AH$3)</f>
        <v>1</v>
      </c>
      <c r="AJ389" s="829">
        <f t="shared" si="198"/>
        <v>38.104329603276568</v>
      </c>
      <c r="AK389" s="827" t="str">
        <f t="shared" si="199"/>
        <v>Inmadura</v>
      </c>
      <c r="AL389" s="784" t="str">
        <f t="shared" si="200"/>
        <v>Alta</v>
      </c>
      <c r="AM389" s="799">
        <f>IF(ISNUMBER('Base de datos Rutas'!W387),'Base de datos Rutas'!W387,"")</f>
        <v>3427.1365491869451</v>
      </c>
      <c r="AN389" s="787">
        <f>IFERROR(SUMIFS('Base de datos Rutas'!$W$6:$W$794,'Base de datos Rutas'!$C$6:$C$794,$C389)/'Base de datos Rutas'!I387,"")</f>
        <v>3427.1365491869487</v>
      </c>
      <c r="AO389" s="800">
        <f>IFERROR('Base de datos Rutas'!X387*AN389/AM389,"")</f>
        <v>0.3483939033672564</v>
      </c>
      <c r="AP389" s="800">
        <f t="shared" si="201"/>
        <v>0.6516060966327436</v>
      </c>
      <c r="AQ389" s="789">
        <f>IFERROR(INDEX('Hoja de apoyo v2'!$J$17:$J$20,MATCH($A389,'Hoja de apoyo v2'!$A$17:$A$20,0)),"")</f>
        <v>0.64320274048480885</v>
      </c>
      <c r="AR389" s="789">
        <f t="shared" si="202"/>
        <v>8.4033561479347485E-3</v>
      </c>
      <c r="AS389" s="784" t="str">
        <f t="shared" si="203"/>
        <v>No</v>
      </c>
      <c r="AT389" s="801">
        <f>IF(ISNUMBER('Base de datos Rutas'!CK387),'Base de datos Rutas'!CK387,"")</f>
        <v>239</v>
      </c>
      <c r="AU389" s="802">
        <f>IF(ISNUMBER('Base de datos Rutas'!CL387),'Base de datos Rutas'!CL387,"")</f>
        <v>317.83999999999997</v>
      </c>
      <c r="AV389" s="802">
        <f>IF(ISNUMBER('Base de datos Rutas'!CM387),'Base de datos Rutas'!CM387,"")</f>
        <v>78.839999999999975</v>
      </c>
      <c r="AW389" s="802">
        <f>IF(ISNUMBER('Base de datos Rutas'!CN387),'Base de datos Rutas'!CN387,"")</f>
        <v>5.55</v>
      </c>
      <c r="AX389" s="802">
        <f>IF(ISNUMBER('Base de datos Rutas'!CO387),'Base de datos Rutas'!CO387,"")</f>
        <v>9.4499999999999993</v>
      </c>
      <c r="AY389" s="802">
        <f>IF(ISNUMBER('Base de datos Rutas'!CP387),'Base de datos Rutas'!CP387,"")</f>
        <v>3.8999999999999995</v>
      </c>
      <c r="AZ389" s="802">
        <f>IF(ISNUMBER('Base de datos Rutas'!CQ387),'Base de datos Rutas'!CQ387,"")</f>
        <v>564.37</v>
      </c>
      <c r="BA389" s="802">
        <f>IF(ISNUMBER('Base de datos Rutas'!CR387),'Base de datos Rutas'!CR387,"")</f>
        <v>601.64</v>
      </c>
      <c r="BB389" s="803">
        <f>IF(ISNUMBER('Base de datos Rutas'!CS387),'Base de datos Rutas'!CS387,"")</f>
        <v>-37.269999999999982</v>
      </c>
      <c r="BC389" s="804">
        <f t="shared" si="213"/>
        <v>1</v>
      </c>
      <c r="BD389" s="805" t="str">
        <f t="shared" si="214"/>
        <v>Saturada</v>
      </c>
      <c r="BE389" s="806">
        <f t="shared" si="215"/>
        <v>1.0660382373265764</v>
      </c>
      <c r="BF389" s="890">
        <f>IF(ISNUMBER('Base de datos Rutas'!CX387),'Base de datos Rutas'!CX387/100,"")</f>
        <v>0.96302063789868664</v>
      </c>
      <c r="BG389" s="891">
        <f>IF(ISNUMBER('Base de datos Rutas'!CZ387),'Base de datos Rutas'!CZ387/100,"")</f>
        <v>1</v>
      </c>
      <c r="BH389" s="892">
        <f>IF(ISNUMBER('Base de datos Rutas'!DA387),'Base de datos Rutas'!DA387,"")</f>
        <v>608.59726167429562</v>
      </c>
      <c r="BI389" s="893">
        <f>IF(ISNUMBER('Base de datos Rutas'!DC387),'Base de datos Rutas'!DC387,"")</f>
        <v>31.356330625463624</v>
      </c>
      <c r="BJ389" s="805" t="str">
        <f t="shared" si="216"/>
        <v>Ruta (completo)</v>
      </c>
      <c r="BK389" s="783">
        <f t="shared" si="204"/>
        <v>4</v>
      </c>
      <c r="BL389" s="797">
        <f t="shared" si="205"/>
        <v>2</v>
      </c>
      <c r="BM389" s="797">
        <f t="shared" si="206"/>
        <v>2</v>
      </c>
      <c r="BN389" s="797">
        <f t="shared" si="207"/>
        <v>2</v>
      </c>
      <c r="BO389" s="798" cm="1">
        <f t="array" ref="BO389">SUMPRODUCT(--ISNUMBER($BF389:$BI389),$BK$3:$BN$3)</f>
        <v>1</v>
      </c>
      <c r="BP389" s="831">
        <f t="shared" si="217"/>
        <v>37.5</v>
      </c>
      <c r="BQ389" s="834" t="str">
        <f t="shared" si="218"/>
        <v>Medio</v>
      </c>
      <c r="BR389" s="836">
        <f t="shared" si="208"/>
        <v>53.578247202457426</v>
      </c>
      <c r="BS389" s="836">
        <f t="shared" si="209"/>
        <v>37.5</v>
      </c>
      <c r="BT389" s="837" t="str">
        <f t="shared" si="210"/>
        <v>P2</v>
      </c>
      <c r="BU389" s="807" t="str">
        <f t="shared" si="219"/>
        <v>Al tope</v>
      </c>
      <c r="BV389" s="807" t="str">
        <f t="shared" si="211"/>
        <v>Zona de bajo potencial</v>
      </c>
      <c r="BW389" s="808" t="str">
        <f t="shared" si="212"/>
        <v>P2 - Mantener</v>
      </c>
    </row>
    <row r="390" spans="1:75">
      <c r="A390" s="780" t="str">
        <f>'Base de datos Rutas'!A388</f>
        <v>Occidente</v>
      </c>
      <c r="B390" s="781" t="str">
        <f>'Base de datos Rutas'!B388</f>
        <v>Zapopan</v>
      </c>
      <c r="C390" s="781" t="str">
        <f>'Base de datos Rutas'!C388</f>
        <v>Planta Zapopan</v>
      </c>
      <c r="D390" s="782">
        <f>IF(ISNUMBER('Base de datos Rutas'!D388),'Base de datos Rutas'!D388,"Sin código")</f>
        <v>816385</v>
      </c>
      <c r="E390" s="783" t="str">
        <f>'Base de datos Rutas'!F388</f>
        <v>Activa</v>
      </c>
      <c r="F390" s="784" t="str">
        <f>'Base de datos Rutas'!H388</f>
        <v>Sí</v>
      </c>
      <c r="G390" s="785">
        <f>IF(ISNUMBER('Base de datos Rutas'!BE388),'Base de datos Rutas'!BE388,"")</f>
        <v>70.016129032258107</v>
      </c>
      <c r="H390" s="786">
        <f>IF(ISNUMBER('Base de datos Rutas'!BH388),'Base de datos Rutas'!BH388,"")</f>
        <v>1.26698917300161E-2</v>
      </c>
      <c r="I390" s="788">
        <f>IFERROR(IF(OR(NOT(ISNUMBER('Base de datos Rutas'!O388)),N('Base de datos Rutas'!BK388)=0),"",'Base de datos Rutas'!O388/('Base de datos Rutas'!L388/'Base de datos Rutas'!BK388)),"")</f>
        <v>201.63235294117618</v>
      </c>
      <c r="J390" s="788">
        <f>IFERROR(IF(OR(NOT(ISNUMBER('Base de datos Rutas'!N388)),N('Base de datos Rutas'!BK388)=0),"",'Base de datos Rutas'!N388/('Base de datos Rutas'!L388/'Base de datos Rutas'!BK388)),"")</f>
        <v>208.08823529411734</v>
      </c>
      <c r="K390" s="788">
        <f>IFERROR(IF(OR(NOT(ISNUMBER('Base de datos Rutas'!J388)),N('Base de datos Rutas'!BK388)=0),"",'Base de datos Rutas'!J388/('Base de datos Rutas'!L388/'Base de datos Rutas'!BK388)),"")</f>
        <v>14.659399999999978</v>
      </c>
      <c r="L390" s="788">
        <f>IFERROR(IF(OR(NOT(ISNUMBER('Base de datos Rutas'!K388)),N('Base de datos Rutas'!BK388)=0),"",'Base de datos Rutas'!K388/('Base de datos Rutas'!L388/'Base de datos Rutas'!BK388)),"")</f>
        <v>1.2866926470588216</v>
      </c>
      <c r="M390" s="787">
        <f>IF(ISNUMBER('Base de datos Rutas'!AX388),'Base de datos Rutas'!AX388,"")</f>
        <v>456.73721311475401</v>
      </c>
      <c r="N390" s="790">
        <f>IFERROR(INDEX('Hoja de apoyo v2'!B$17:B$20,MATCH($A390,'Hoja de apoyo v2'!$A$17:$A$20,0)),"")</f>
        <v>89.41621024641401</v>
      </c>
      <c r="O390" s="791">
        <f>IFERROR(INDEX('Hoja de apoyo v2'!C$17:C$20,MATCH($A390,'Hoja de apoyo v2'!$A$17:$A$20,0)),"")</f>
        <v>0.54706375874806301</v>
      </c>
      <c r="P390" s="793">
        <f>IFERROR(INDEX('Hoja de apoyo v2'!D$17:D$20,MATCH($A390,'Hoja de apoyo v2'!$A$17:$A$20,0)),"")</f>
        <v>11095.153935793827</v>
      </c>
      <c r="Q390" s="793">
        <f>IFERROR(INDEX('Hoja de apoyo v2'!E$17:E$20,MATCH($A390,'Hoja de apoyo v2'!$A$17:$A$20,0)),"")</f>
        <v>6982.3202019701848</v>
      </c>
      <c r="R390" s="793">
        <f>IFERROR(INDEX('Hoja de apoyo v2'!F$17:F$20,MATCH($A390,'Hoja de apoyo v2'!$A$17:$A$20,0)),"")</f>
        <v>448.09513474485743</v>
      </c>
      <c r="S390" s="793">
        <f>IFERROR(INDEX('Hoja de apoyo v2'!G$17:G$20,MATCH($A390,'Hoja de apoyo v2'!$A$17:$A$20,0)),"")</f>
        <v>83.406300904207839</v>
      </c>
      <c r="T390" s="792">
        <f>IFERROR(INDEX('Hoja de apoyo v2'!H$17:H$20,MATCH($A390,'Hoja de apoyo v2'!$A$17:$A$20,0)),"")</f>
        <v>378.97014028925349</v>
      </c>
      <c r="U390" s="794">
        <f t="shared" si="184"/>
        <v>0.78303619488353415</v>
      </c>
      <c r="V390" s="795">
        <f t="shared" si="185"/>
        <v>2.3159808207750265E-2</v>
      </c>
      <c r="W390" s="795">
        <f t="shared" si="186"/>
        <v>1.8173010857532545E-2</v>
      </c>
      <c r="X390" s="843">
        <f t="shared" si="187"/>
        <v>2.9802161641828109E-2</v>
      </c>
      <c r="Y390" s="843">
        <f t="shared" si="188"/>
        <v>3.2714927843050447E-2</v>
      </c>
      <c r="Z390" s="843">
        <f t="shared" si="189"/>
        <v>1.5426803887833228E-2</v>
      </c>
      <c r="AA390" s="843">
        <f t="shared" si="190"/>
        <v>1.2052063330534271</v>
      </c>
      <c r="AB390" s="796">
        <f t="shared" si="191"/>
        <v>3</v>
      </c>
      <c r="AC390" s="797">
        <f t="shared" si="192"/>
        <v>1</v>
      </c>
      <c r="AD390" s="797">
        <f t="shared" si="193"/>
        <v>1</v>
      </c>
      <c r="AE390" s="842">
        <f t="shared" si="194"/>
        <v>1</v>
      </c>
      <c r="AF390" s="842">
        <f t="shared" si="195"/>
        <v>1</v>
      </c>
      <c r="AG390" s="842">
        <f t="shared" si="196"/>
        <v>1</v>
      </c>
      <c r="AH390" s="842">
        <f t="shared" si="197"/>
        <v>4</v>
      </c>
      <c r="AI390" s="826" cm="1">
        <f t="array" ref="AI390">SUMPRODUCT(--ISNUMBER($U390:$AA390),$AB$3:$AH$3)</f>
        <v>1</v>
      </c>
      <c r="AJ390" s="829">
        <f t="shared" si="198"/>
        <v>15.801455877253201</v>
      </c>
      <c r="AK390" s="827" t="str">
        <f t="shared" si="199"/>
        <v>Inmadura</v>
      </c>
      <c r="AL390" s="784" t="str">
        <f t="shared" si="200"/>
        <v>Alta</v>
      </c>
      <c r="AM390" s="799">
        <f>IF(ISNUMBER('Base de datos Rutas'!W388),'Base de datos Rutas'!W388,"")</f>
        <v>3427.1365491869451</v>
      </c>
      <c r="AN390" s="787">
        <f>IFERROR(SUMIFS('Base de datos Rutas'!$W$6:$W$794,'Base de datos Rutas'!$C$6:$C$794,$C390)/'Base de datos Rutas'!I388,"")</f>
        <v>3427.1365491869487</v>
      </c>
      <c r="AO390" s="800">
        <f>IFERROR('Base de datos Rutas'!X388*AN390/AM390,"")</f>
        <v>0.3483939033672564</v>
      </c>
      <c r="AP390" s="800">
        <f t="shared" si="201"/>
        <v>0.6516060966327436</v>
      </c>
      <c r="AQ390" s="789">
        <f>IFERROR(INDEX('Hoja de apoyo v2'!$J$17:$J$20,MATCH($A390,'Hoja de apoyo v2'!$A$17:$A$20,0)),"")</f>
        <v>0.64320274048480885</v>
      </c>
      <c r="AR390" s="789">
        <f t="shared" si="202"/>
        <v>8.4033561479347485E-3</v>
      </c>
      <c r="AS390" s="784" t="str">
        <f t="shared" si="203"/>
        <v>No</v>
      </c>
      <c r="AT390" s="801" t="str">
        <f>IF(ISNUMBER('Base de datos Rutas'!CK388),'Base de datos Rutas'!CK388,"")</f>
        <v/>
      </c>
      <c r="AU390" s="802" t="str">
        <f>IF(ISNUMBER('Base de datos Rutas'!CL388),'Base de datos Rutas'!CL388,"")</f>
        <v/>
      </c>
      <c r="AV390" s="802">
        <f>IF(ISNUMBER('Base de datos Rutas'!CM388),'Base de datos Rutas'!CM388,"")</f>
        <v>0</v>
      </c>
      <c r="AW390" s="802" t="str">
        <f>IF(ISNUMBER('Base de datos Rutas'!CN388),'Base de datos Rutas'!CN388,"")</f>
        <v/>
      </c>
      <c r="AX390" s="802" t="str">
        <f>IF(ISNUMBER('Base de datos Rutas'!CO388),'Base de datos Rutas'!CO388,"")</f>
        <v/>
      </c>
      <c r="AY390" s="802">
        <f>IF(ISNUMBER('Base de datos Rutas'!CP388),'Base de datos Rutas'!CP388,"")</f>
        <v>0</v>
      </c>
      <c r="AZ390" s="802" t="str">
        <f>IF(ISNUMBER('Base de datos Rutas'!CQ388),'Base de datos Rutas'!CQ388,"")</f>
        <v/>
      </c>
      <c r="BA390" s="802" t="str">
        <f>IF(ISNUMBER('Base de datos Rutas'!CR388),'Base de datos Rutas'!CR388,"")</f>
        <v/>
      </c>
      <c r="BB390" s="803">
        <f>IF(ISNUMBER('Base de datos Rutas'!CS388),'Base de datos Rutas'!CS388,"")</f>
        <v>0</v>
      </c>
      <c r="BC390" s="804" t="str">
        <f t="shared" si="213"/>
        <v/>
      </c>
      <c r="BD390" s="805" t="str">
        <f t="shared" si="214"/>
        <v>N/D</v>
      </c>
      <c r="BE390" s="806" t="str">
        <f t="shared" si="215"/>
        <v/>
      </c>
      <c r="BF390" s="890" t="str">
        <f>IF(ISNUMBER('Base de datos Rutas'!CX388),'Base de datos Rutas'!CX388/100,"")</f>
        <v/>
      </c>
      <c r="BG390" s="891" t="str">
        <f>IF(ISNUMBER('Base de datos Rutas'!CZ388),'Base de datos Rutas'!CZ388/100,"")</f>
        <v/>
      </c>
      <c r="BH390" s="892" t="str">
        <f>IF(ISNUMBER('Base de datos Rutas'!DA388),'Base de datos Rutas'!DA388,"")</f>
        <v/>
      </c>
      <c r="BI390" s="893" t="str">
        <f>IF(ISNUMBER('Base de datos Rutas'!DC388),'Base de datos Rutas'!DC388,"")</f>
        <v/>
      </c>
      <c r="BJ390" s="805" t="str">
        <f t="shared" si="216"/>
        <v>Sin dato</v>
      </c>
      <c r="BK390" s="783">
        <f t="shared" si="204"/>
        <v>0</v>
      </c>
      <c r="BL390" s="797">
        <f t="shared" si="205"/>
        <v>0</v>
      </c>
      <c r="BM390" s="797">
        <f t="shared" si="206"/>
        <v>0</v>
      </c>
      <c r="BN390" s="797">
        <f t="shared" si="207"/>
        <v>0</v>
      </c>
      <c r="BO390" s="798" cm="1">
        <f t="array" ref="BO390">SUMPRODUCT(--ISNUMBER($BF390:$BI390),$BK$3:$BN$3)</f>
        <v>0</v>
      </c>
      <c r="BP390" s="831" t="str">
        <f t="shared" si="217"/>
        <v/>
      </c>
      <c r="BQ390" s="834" t="str">
        <f t="shared" si="218"/>
        <v>Sin datos</v>
      </c>
      <c r="BR390" s="836" t="str">
        <f t="shared" si="208"/>
        <v/>
      </c>
      <c r="BS390" s="836" t="str">
        <f t="shared" si="209"/>
        <v/>
      </c>
      <c r="BT390" s="837" t="str">
        <f t="shared" si="210"/>
        <v>Sin datos</v>
      </c>
      <c r="BU390" s="807" t="str">
        <f t="shared" si="219"/>
        <v>Con espacio</v>
      </c>
      <c r="BV390" s="807" t="str">
        <f t="shared" si="211"/>
        <v>Sin datos de zona</v>
      </c>
      <c r="BW390" s="808" t="str">
        <f t="shared" si="212"/>
        <v>Sin datos</v>
      </c>
    </row>
    <row r="391" spans="1:75">
      <c r="A391" s="780" t="str">
        <f>'Base de datos Rutas'!A389</f>
        <v>Occidente</v>
      </c>
      <c r="B391" s="781" t="str">
        <f>'Base de datos Rutas'!B389</f>
        <v>Zapopan</v>
      </c>
      <c r="C391" s="781" t="str">
        <f>'Base de datos Rutas'!C389</f>
        <v>Planta Zapopan</v>
      </c>
      <c r="D391" s="782">
        <f>IF(ISNUMBER('Base de datos Rutas'!D389),'Base de datos Rutas'!D389,"Sin código")</f>
        <v>816386</v>
      </c>
      <c r="E391" s="783" t="str">
        <f>'Base de datos Rutas'!F389</f>
        <v>Activa</v>
      </c>
      <c r="F391" s="784" t="str">
        <f>'Base de datos Rutas'!H389</f>
        <v>Sí</v>
      </c>
      <c r="G391" s="785">
        <f>IF(ISNUMBER('Base de datos Rutas'!BE389),'Base de datos Rutas'!BE389,"")</f>
        <v>78.403263403263395</v>
      </c>
      <c r="H391" s="786">
        <f>IF(ISNUMBER('Base de datos Rutas'!BH389),'Base de datos Rutas'!BH389,"")</f>
        <v>0.41780883008770597</v>
      </c>
      <c r="I391" s="788">
        <f>IFERROR(IF(OR(NOT(ISNUMBER('Base de datos Rutas'!O389)),N('Base de datos Rutas'!BK389)=0),"",'Base de datos Rutas'!O389/('Base de datos Rutas'!L389/'Base de datos Rutas'!BK389)),"")</f>
        <v>3873.5687645687599</v>
      </c>
      <c r="J391" s="788">
        <f>IFERROR(IF(OR(NOT(ISNUMBER('Base de datos Rutas'!N389)),N('Base de datos Rutas'!BK389)=0),"",'Base de datos Rutas'!N389/('Base de datos Rutas'!L389/'Base de datos Rutas'!BK389)),"")</f>
        <v>6494.7272727272648</v>
      </c>
      <c r="K391" s="788">
        <f>IFERROR(IF(OR(NOT(ISNUMBER('Base de datos Rutas'!J389)),N('Base de datos Rutas'!BK389)=0),"",'Base de datos Rutas'!J389/('Base de datos Rutas'!L389/'Base de datos Rutas'!BK389)),"")</f>
        <v>441.87645874125826</v>
      </c>
      <c r="L391" s="788">
        <f>IFERROR(IF(OR(NOT(ISNUMBER('Base de datos Rutas'!K389)),N('Base de datos Rutas'!BK389)=0),"",'Base de datos Rutas'!K389/('Base de datos Rutas'!L389/'Base de datos Rutas'!BK389)),"")</f>
        <v>27.314162799533769</v>
      </c>
      <c r="M391" s="787">
        <f>IF(ISNUMBER('Base de datos Rutas'!AX389),'Base de datos Rutas'!AX389,"")</f>
        <v>316.51590123105399</v>
      </c>
      <c r="N391" s="790">
        <f>IFERROR(INDEX('Hoja de apoyo v2'!B$17:B$20,MATCH($A391,'Hoja de apoyo v2'!$A$17:$A$20,0)),"")</f>
        <v>89.41621024641401</v>
      </c>
      <c r="O391" s="791">
        <f>IFERROR(INDEX('Hoja de apoyo v2'!C$17:C$20,MATCH($A391,'Hoja de apoyo v2'!$A$17:$A$20,0)),"")</f>
        <v>0.54706375874806301</v>
      </c>
      <c r="P391" s="793">
        <f>IFERROR(INDEX('Hoja de apoyo v2'!D$17:D$20,MATCH($A391,'Hoja de apoyo v2'!$A$17:$A$20,0)),"")</f>
        <v>11095.153935793827</v>
      </c>
      <c r="Q391" s="793">
        <f>IFERROR(INDEX('Hoja de apoyo v2'!E$17:E$20,MATCH($A391,'Hoja de apoyo v2'!$A$17:$A$20,0)),"")</f>
        <v>6982.3202019701848</v>
      </c>
      <c r="R391" s="793">
        <f>IFERROR(INDEX('Hoja de apoyo v2'!F$17:F$20,MATCH($A391,'Hoja de apoyo v2'!$A$17:$A$20,0)),"")</f>
        <v>448.09513474485743</v>
      </c>
      <c r="S391" s="793">
        <f>IFERROR(INDEX('Hoja de apoyo v2'!G$17:G$20,MATCH($A391,'Hoja de apoyo v2'!$A$17:$A$20,0)),"")</f>
        <v>83.406300904207839</v>
      </c>
      <c r="T391" s="792">
        <f>IFERROR(INDEX('Hoja de apoyo v2'!H$17:H$20,MATCH($A391,'Hoja de apoyo v2'!$A$17:$A$20,0)),"")</f>
        <v>378.97014028925349</v>
      </c>
      <c r="U391" s="794">
        <f t="shared" si="184"/>
        <v>0.87683500773739975</v>
      </c>
      <c r="V391" s="795">
        <f t="shared" si="185"/>
        <v>0.76372968124199525</v>
      </c>
      <c r="W391" s="795">
        <f t="shared" si="186"/>
        <v>0.34912257973026645</v>
      </c>
      <c r="X391" s="843">
        <f t="shared" si="187"/>
        <v>0.93016749230358453</v>
      </c>
      <c r="Y391" s="843">
        <f t="shared" si="188"/>
        <v>0.98612197383678346</v>
      </c>
      <c r="Z391" s="843">
        <f t="shared" si="189"/>
        <v>0.32748320574609935</v>
      </c>
      <c r="AA391" s="843">
        <f t="shared" si="190"/>
        <v>0.83520010571141423</v>
      </c>
      <c r="AB391" s="796">
        <f t="shared" si="191"/>
        <v>3</v>
      </c>
      <c r="AC391" s="797">
        <f t="shared" si="192"/>
        <v>3</v>
      </c>
      <c r="AD391" s="797">
        <f t="shared" si="193"/>
        <v>1</v>
      </c>
      <c r="AE391" s="842">
        <f t="shared" si="194"/>
        <v>3</v>
      </c>
      <c r="AF391" s="842">
        <f t="shared" si="195"/>
        <v>3</v>
      </c>
      <c r="AG391" s="842">
        <f t="shared" si="196"/>
        <v>1</v>
      </c>
      <c r="AH391" s="842">
        <f t="shared" si="197"/>
        <v>3</v>
      </c>
      <c r="AI391" s="826" cm="1">
        <f t="array" ref="AI391">SUMPRODUCT(--ISNUMBER($U391:$AA391),$AB$3:$AH$3)</f>
        <v>1</v>
      </c>
      <c r="AJ391" s="829">
        <f t="shared" si="198"/>
        <v>30.993523525224564</v>
      </c>
      <c r="AK391" s="827" t="str">
        <f t="shared" si="199"/>
        <v>Inmadura</v>
      </c>
      <c r="AL391" s="784" t="str">
        <f t="shared" si="200"/>
        <v>Alta</v>
      </c>
      <c r="AM391" s="799">
        <f>IF(ISNUMBER('Base de datos Rutas'!W389),'Base de datos Rutas'!W389,"")</f>
        <v>3427.1365491869451</v>
      </c>
      <c r="AN391" s="787">
        <f>IFERROR(SUMIFS('Base de datos Rutas'!$W$6:$W$794,'Base de datos Rutas'!$C$6:$C$794,$C391)/'Base de datos Rutas'!I389,"")</f>
        <v>3427.1365491869487</v>
      </c>
      <c r="AO391" s="800">
        <f>IFERROR('Base de datos Rutas'!X389*AN391/AM391,"")</f>
        <v>0.3483939033672564</v>
      </c>
      <c r="AP391" s="800">
        <f t="shared" si="201"/>
        <v>0.6516060966327436</v>
      </c>
      <c r="AQ391" s="789">
        <f>IFERROR(INDEX('Hoja de apoyo v2'!$J$17:$J$20,MATCH($A391,'Hoja de apoyo v2'!$A$17:$A$20,0)),"")</f>
        <v>0.64320274048480885</v>
      </c>
      <c r="AR391" s="789">
        <f t="shared" si="202"/>
        <v>8.4033561479347485E-3</v>
      </c>
      <c r="AS391" s="784" t="str">
        <f t="shared" si="203"/>
        <v>No</v>
      </c>
      <c r="AT391" s="801">
        <f>IF(ISNUMBER('Base de datos Rutas'!CK389),'Base de datos Rutas'!CK389,"")</f>
        <v>281</v>
      </c>
      <c r="AU391" s="802">
        <f>IF(ISNUMBER('Base de datos Rutas'!CL389),'Base de datos Rutas'!CL389,"")</f>
        <v>309.73</v>
      </c>
      <c r="AV391" s="802">
        <f>IF(ISNUMBER('Base de datos Rutas'!CM389),'Base de datos Rutas'!CM389,"")</f>
        <v>28.730000000000018</v>
      </c>
      <c r="AW391" s="802">
        <f>IF(ISNUMBER('Base de datos Rutas'!CN389),'Base de datos Rutas'!CN389,"")</f>
        <v>7.92</v>
      </c>
      <c r="AX391" s="802">
        <f>IF(ISNUMBER('Base de datos Rutas'!CO389),'Base de datos Rutas'!CO389,"")</f>
        <v>9.4499999999999993</v>
      </c>
      <c r="AY391" s="802">
        <f>IF(ISNUMBER('Base de datos Rutas'!CP389),'Base de datos Rutas'!CP389,"")</f>
        <v>1.5299999999999994</v>
      </c>
      <c r="AZ391" s="802">
        <f>IF(ISNUMBER('Base de datos Rutas'!CQ389),'Base de datos Rutas'!CQ389,"")</f>
        <v>564.37</v>
      </c>
      <c r="BA391" s="802">
        <f>IF(ISNUMBER('Base de datos Rutas'!CR389),'Base de datos Rutas'!CR389,"")</f>
        <v>469.19</v>
      </c>
      <c r="BB391" s="803">
        <f>IF(ISNUMBER('Base de datos Rutas'!CS389),'Base de datos Rutas'!CS389,"")</f>
        <v>95.18</v>
      </c>
      <c r="BC391" s="804">
        <f t="shared" si="213"/>
        <v>0</v>
      </c>
      <c r="BD391" s="805" t="str">
        <f t="shared" si="214"/>
        <v>No saturada</v>
      </c>
      <c r="BE391" s="806">
        <f t="shared" si="215"/>
        <v>0.83135177277318073</v>
      </c>
      <c r="BF391" s="890">
        <f>IF(ISNUMBER('Base de datos Rutas'!CX389),'Base de datos Rutas'!CX389/100,"")</f>
        <v>0.97821834723275203</v>
      </c>
      <c r="BG391" s="891">
        <f>IF(ISNUMBER('Base de datos Rutas'!CZ389),'Base de datos Rutas'!CZ389/100,"")</f>
        <v>1</v>
      </c>
      <c r="BH391" s="892">
        <f>IF(ISNUMBER('Base de datos Rutas'!DA389),'Base de datos Rutas'!DA389,"")</f>
        <v>732.03307784200092</v>
      </c>
      <c r="BI391" s="893">
        <f>IF(ISNUMBER('Base de datos Rutas'!DC389),'Base de datos Rutas'!DC389,"")</f>
        <v>32.345061696333836</v>
      </c>
      <c r="BJ391" s="805" t="str">
        <f t="shared" si="216"/>
        <v>Ruta (completo)</v>
      </c>
      <c r="BK391" s="783">
        <f t="shared" si="204"/>
        <v>5</v>
      </c>
      <c r="BL391" s="797">
        <f t="shared" si="205"/>
        <v>2</v>
      </c>
      <c r="BM391" s="797">
        <f t="shared" si="206"/>
        <v>3</v>
      </c>
      <c r="BN391" s="797">
        <f t="shared" si="207"/>
        <v>3</v>
      </c>
      <c r="BO391" s="798" cm="1">
        <f t="array" ref="BO391">SUMPRODUCT(--ISNUMBER($BF391:$BI391),$BK$3:$BN$3)</f>
        <v>1</v>
      </c>
      <c r="BP391" s="831">
        <f t="shared" si="217"/>
        <v>56.25</v>
      </c>
      <c r="BQ391" s="834" t="str">
        <f t="shared" si="218"/>
        <v>Alto</v>
      </c>
      <c r="BR391" s="836">
        <f t="shared" si="208"/>
        <v>23.245142643918424</v>
      </c>
      <c r="BS391" s="836">
        <f t="shared" si="209"/>
        <v>56.25</v>
      </c>
      <c r="BT391" s="837" t="str">
        <f t="shared" si="210"/>
        <v>P3</v>
      </c>
      <c r="BU391" s="807" t="str">
        <f t="shared" si="219"/>
        <v>Con espacio</v>
      </c>
      <c r="BV391" s="807" t="str">
        <f t="shared" si="211"/>
        <v>Zona atractiva</v>
      </c>
      <c r="BW391" s="808" t="str">
        <f t="shared" si="212"/>
        <v>P3 - Desarrollar</v>
      </c>
    </row>
    <row r="392" spans="1:75">
      <c r="A392" s="780" t="str">
        <f>'Base de datos Rutas'!A390</f>
        <v>Occidente</v>
      </c>
      <c r="B392" s="781" t="str">
        <f>'Base de datos Rutas'!B390</f>
        <v>Zapopan</v>
      </c>
      <c r="C392" s="781" t="str">
        <f>'Base de datos Rutas'!C390</f>
        <v>Planta Zapopan</v>
      </c>
      <c r="D392" s="782">
        <f>IF(ISNUMBER('Base de datos Rutas'!D390),'Base de datos Rutas'!D390,"Sin código")</f>
        <v>816387</v>
      </c>
      <c r="E392" s="783" t="str">
        <f>'Base de datos Rutas'!F390</f>
        <v>Activa</v>
      </c>
      <c r="F392" s="784" t="str">
        <f>'Base de datos Rutas'!H390</f>
        <v>Sí</v>
      </c>
      <c r="G392" s="785">
        <f>IF(ISNUMBER('Base de datos Rutas'!BE390),'Base de datos Rutas'!BE390,"")</f>
        <v>35.629032258064498</v>
      </c>
      <c r="H392" s="786">
        <f>IF(ISNUMBER('Base de datos Rutas'!BH390),'Base de datos Rutas'!BH390,"")</f>
        <v>2.35400633770937E-2</v>
      </c>
      <c r="I392" s="788">
        <f>IFERROR(IF(OR(NOT(ISNUMBER('Base de datos Rutas'!O390)),N('Base de datos Rutas'!BK390)=0),"",'Base de datos Rutas'!O390/('Base de datos Rutas'!L390/'Base de datos Rutas'!BK390)),"")</f>
        <v>166.7640449438201</v>
      </c>
      <c r="J392" s="788">
        <f>IFERROR(IF(OR(NOT(ISNUMBER('Base de datos Rutas'!N390)),N('Base de datos Rutas'!BK390)=0),"",'Base de datos Rutas'!N390/('Base de datos Rutas'!L390/'Base de datos Rutas'!BK390)),"")</f>
        <v>108.06741573033699</v>
      </c>
      <c r="K392" s="788">
        <f>IFERROR(IF(OR(NOT(ISNUMBER('Base de datos Rutas'!J390)),N('Base de datos Rutas'!BK390)=0),"",'Base de datos Rutas'!J390/('Base de datos Rutas'!L390/'Base de datos Rutas'!BK390)),"")</f>
        <v>7.717617977528084</v>
      </c>
      <c r="L392" s="788">
        <f>IFERROR(IF(OR(NOT(ISNUMBER('Base de datos Rutas'!K390)),N('Base de datos Rutas'!BK390)=0),"",'Base de datos Rutas'!K390/('Base de datos Rutas'!L390/'Base de datos Rutas'!BK390)),"")</f>
        <v>0.87655730337078575</v>
      </c>
      <c r="M392" s="787">
        <f>IF(ISNUMBER('Base de datos Rutas'!AX390),'Base de datos Rutas'!AX390,"")</f>
        <v>309.605189873418</v>
      </c>
      <c r="N392" s="790">
        <f>IFERROR(INDEX('Hoja de apoyo v2'!B$17:B$20,MATCH($A392,'Hoja de apoyo v2'!$A$17:$A$20,0)),"")</f>
        <v>89.41621024641401</v>
      </c>
      <c r="O392" s="791">
        <f>IFERROR(INDEX('Hoja de apoyo v2'!C$17:C$20,MATCH($A392,'Hoja de apoyo v2'!$A$17:$A$20,0)),"")</f>
        <v>0.54706375874806301</v>
      </c>
      <c r="P392" s="793">
        <f>IFERROR(INDEX('Hoja de apoyo v2'!D$17:D$20,MATCH($A392,'Hoja de apoyo v2'!$A$17:$A$20,0)),"")</f>
        <v>11095.153935793827</v>
      </c>
      <c r="Q392" s="793">
        <f>IFERROR(INDEX('Hoja de apoyo v2'!E$17:E$20,MATCH($A392,'Hoja de apoyo v2'!$A$17:$A$20,0)),"")</f>
        <v>6982.3202019701848</v>
      </c>
      <c r="R392" s="793">
        <f>IFERROR(INDEX('Hoja de apoyo v2'!F$17:F$20,MATCH($A392,'Hoja de apoyo v2'!$A$17:$A$20,0)),"")</f>
        <v>448.09513474485743</v>
      </c>
      <c r="S392" s="793">
        <f>IFERROR(INDEX('Hoja de apoyo v2'!G$17:G$20,MATCH($A392,'Hoja de apoyo v2'!$A$17:$A$20,0)),"")</f>
        <v>83.406300904207839</v>
      </c>
      <c r="T392" s="792">
        <f>IFERROR(INDEX('Hoja de apoyo v2'!H$17:H$20,MATCH($A392,'Hoja de apoyo v2'!$A$17:$A$20,0)),"")</f>
        <v>378.97014028925349</v>
      </c>
      <c r="U392" s="794">
        <f t="shared" ref="U392:U455" si="220">IFERROR(G392/N392,"")</f>
        <v>0.39846278610866737</v>
      </c>
      <c r="V392" s="795">
        <f t="shared" ref="V392:V455" si="221">IFERROR(H392/O392,"")</f>
        <v>4.302983518952954E-2</v>
      </c>
      <c r="W392" s="795">
        <f t="shared" ref="W392:W455" si="222">IFERROR(IF(N(P392)=0,"",I392/P392),"")</f>
        <v>1.5030349818385696E-2</v>
      </c>
      <c r="X392" s="843">
        <f t="shared" ref="X392:X455" si="223">IFERROR(IF(N(Q392)=0,"",J392/Q392),"")</f>
        <v>1.5477293020713066E-2</v>
      </c>
      <c r="Y392" s="843">
        <f t="shared" ref="Y392:Y455" si="224">IFERROR(IF(N(R392)=0,"",K392/R392),"")</f>
        <v>1.7223168428111696E-2</v>
      </c>
      <c r="Z392" s="843">
        <f t="shared" ref="Z392:Z455" si="225">IFERROR(IF(N(S392)=0,"",L392/S392),"")</f>
        <v>1.0509485420981709E-2</v>
      </c>
      <c r="AA392" s="843">
        <f t="shared" ref="AA392:AA455" si="226">IFERROR(IF(N(T392)=0,"",M392/T392),"")</f>
        <v>0.81696460211115352</v>
      </c>
      <c r="AB392" s="796">
        <f t="shared" ref="AB392:AB455" si="227">IF(NOT(ISNUMBER(U392)),0,IFERROR(MATCH(U392,$U$3:$X$3,1)+1,1))</f>
        <v>1</v>
      </c>
      <c r="AC392" s="797">
        <f t="shared" ref="AC392:AC455" si="228">IF(NOT(ISNUMBER(V392)),0,IFERROR(MATCH(V392,$U$3:$X$3,1)+1,1))</f>
        <v>1</v>
      </c>
      <c r="AD392" s="797">
        <f t="shared" ref="AD392:AD455" si="229">IF(NOT(ISNUMBER(W392)),0,IFERROR(MATCH(W392,$U$3:$X$3,1)+1,1))</f>
        <v>1</v>
      </c>
      <c r="AE392" s="842">
        <f t="shared" ref="AE392:AE455" si="230">IF(NOT(ISNUMBER(X392)),0,IFERROR(MATCH(X392,$U$3:$X$3,1)+1,1))</f>
        <v>1</v>
      </c>
      <c r="AF392" s="842">
        <f t="shared" ref="AF392:AF455" si="231">IF(NOT(ISNUMBER(Y392)),0,IFERROR(MATCH(Y392,$U$3:$X$3,1)+1,1))</f>
        <v>1</v>
      </c>
      <c r="AG392" s="842">
        <f t="shared" ref="AG392:AG455" si="232">IF(NOT(ISNUMBER(Z392)),0,IFERROR(MATCH(Z392,$U$3:$X$3,1)+1,1))</f>
        <v>1</v>
      </c>
      <c r="AH392" s="842">
        <f t="shared" ref="AH392:AH455" si="233">IF(NOT(ISNUMBER(AA392)),0,IFERROR(MATCH(AA392,$U$3:$X$3,1)+1,1))</f>
        <v>3</v>
      </c>
      <c r="AI392" s="826" cm="1">
        <f t="array" ref="AI392">SUMPRODUCT(--ISNUMBER($U392:$AA392),$AB$3:$AH$3)</f>
        <v>1</v>
      </c>
      <c r="AJ392" s="829">
        <f t="shared" ref="AJ392:AJ455" si="234">IF(OR($E392&lt;&gt;"Activa",$F392&lt;&gt;"Sí",AI392&lt;$AI$4),"",(SUMPRODUCT($AB392:$AH392,$AB$3:$AH$3)/AI392-1)/4*100)</f>
        <v>4.4894556806531263</v>
      </c>
      <c r="AK392" s="827" t="str">
        <f t="shared" ref="AK392:AK455" si="235">IF($E392&lt;&gt;"Activa","Ruta inactiva",IF($F392&lt;&gt;"Sí","No elegible",IF(AJ392="","Sin datos",IF(AJ392&gt;=$AJ$4,"Madura",IF(AJ392&lt;$AK$4,"Inmadura","En desarrollo")))))</f>
        <v>Inmadura</v>
      </c>
      <c r="AL392" s="784" t="str">
        <f t="shared" ref="AL392:AL455" si="236">IF(AJ392="","n/a",IF(AI392&gt;=$AL$3,"Alta",IF(AI392&gt;=$AL$4,"Media","Baja")))</f>
        <v>Alta</v>
      </c>
      <c r="AM392" s="799">
        <f>IF(ISNUMBER('Base de datos Rutas'!W390),'Base de datos Rutas'!W390,"")</f>
        <v>3427.1365491869451</v>
      </c>
      <c r="AN392" s="787">
        <f>IFERROR(SUMIFS('Base de datos Rutas'!$W$6:$W$794,'Base de datos Rutas'!$C$6:$C$794,$C392)/'Base de datos Rutas'!I390,"")</f>
        <v>3427.1365491869487</v>
      </c>
      <c r="AO392" s="800">
        <f>IFERROR('Base de datos Rutas'!X390*AN392/AM392,"")</f>
        <v>0.3483939033672564</v>
      </c>
      <c r="AP392" s="800">
        <f t="shared" ref="AP392:AP455" si="237">IF(ISNUMBER(AO392),1-AO392,"")</f>
        <v>0.6516060966327436</v>
      </c>
      <c r="AQ392" s="789">
        <f>IFERROR(INDEX('Hoja de apoyo v2'!$J$17:$J$20,MATCH($A392,'Hoja de apoyo v2'!$A$17:$A$20,0)),"")</f>
        <v>0.64320274048480885</v>
      </c>
      <c r="AR392" s="789">
        <f t="shared" ref="AR392:AR455" si="238">IF(AND(ISNUMBER($AP392),ISNUMBER($AQ392)),$AP392-$AQ392,"")</f>
        <v>8.4033561479347485E-3</v>
      </c>
      <c r="AS392" s="784" t="str">
        <f t="shared" ref="AS392:AS455" si="239">IF(NOT(ISNUMBER(AO392)),"n/d",IF(AO392&gt;=$AO$4,"Sí","No"))</f>
        <v>No</v>
      </c>
      <c r="AT392" s="801" t="str">
        <f>IF(ISNUMBER('Base de datos Rutas'!CK390),'Base de datos Rutas'!CK390,"")</f>
        <v/>
      </c>
      <c r="AU392" s="802" t="str">
        <f>IF(ISNUMBER('Base de datos Rutas'!CL390),'Base de datos Rutas'!CL390,"")</f>
        <v/>
      </c>
      <c r="AV392" s="802">
        <f>IF(ISNUMBER('Base de datos Rutas'!CM390),'Base de datos Rutas'!CM390,"")</f>
        <v>0</v>
      </c>
      <c r="AW392" s="802" t="str">
        <f>IF(ISNUMBER('Base de datos Rutas'!CN390),'Base de datos Rutas'!CN390,"")</f>
        <v/>
      </c>
      <c r="AX392" s="802" t="str">
        <f>IF(ISNUMBER('Base de datos Rutas'!CO390),'Base de datos Rutas'!CO390,"")</f>
        <v/>
      </c>
      <c r="AY392" s="802">
        <f>IF(ISNUMBER('Base de datos Rutas'!CP390),'Base de datos Rutas'!CP390,"")</f>
        <v>0</v>
      </c>
      <c r="AZ392" s="802" t="str">
        <f>IF(ISNUMBER('Base de datos Rutas'!CQ390),'Base de datos Rutas'!CQ390,"")</f>
        <v/>
      </c>
      <c r="BA392" s="802" t="str">
        <f>IF(ISNUMBER('Base de datos Rutas'!CR390),'Base de datos Rutas'!CR390,"")</f>
        <v/>
      </c>
      <c r="BB392" s="803">
        <f>IF(ISNUMBER('Base de datos Rutas'!CS390),'Base de datos Rutas'!CS390,"")</f>
        <v>0</v>
      </c>
      <c r="BC392" s="804" t="str">
        <f t="shared" si="213"/>
        <v/>
      </c>
      <c r="BD392" s="805" t="str">
        <f t="shared" si="214"/>
        <v>N/D</v>
      </c>
      <c r="BE392" s="806" t="str">
        <f t="shared" si="215"/>
        <v/>
      </c>
      <c r="BF392" s="890" t="str">
        <f>IF(ISNUMBER('Base de datos Rutas'!CX390),'Base de datos Rutas'!CX390/100,"")</f>
        <v/>
      </c>
      <c r="BG392" s="891" t="str">
        <f>IF(ISNUMBER('Base de datos Rutas'!CZ390),'Base de datos Rutas'!CZ390/100,"")</f>
        <v/>
      </c>
      <c r="BH392" s="892" t="str">
        <f>IF(ISNUMBER('Base de datos Rutas'!DA390),'Base de datos Rutas'!DA390,"")</f>
        <v/>
      </c>
      <c r="BI392" s="893" t="str">
        <f>IF(ISNUMBER('Base de datos Rutas'!DC390),'Base de datos Rutas'!DC390,"")</f>
        <v/>
      </c>
      <c r="BJ392" s="805" t="str">
        <f t="shared" si="216"/>
        <v>Sin dato</v>
      </c>
      <c r="BK392" s="783">
        <f t="shared" ref="BK392:BK455" si="240">IF(NOT(ISNUMBER($BF392)),0,MIN(5,1+INT(5*COUNTIFS($C$8:$C$796,$C392,$BF$8:$BF$796,"&lt;"&amp;$BF392)/COUNTIFS($C$8:$C$796,$C392,$BF$8:$BF$796,"&gt;=-1E+300"))))</f>
        <v>0</v>
      </c>
      <c r="BL392" s="797">
        <f t="shared" ref="BL392:BL455" si="241">IF(NOT(ISNUMBER($BG392)),0,MIN(5,1+INT(5*COUNTIFS($C$8:$C$796,$C392,$BG$8:$BG$796,"&lt;"&amp;$BG392)/COUNTIFS($C$8:$C$796,$C392,$BG$8:$BG$796,"&gt;=-1E+300"))))</f>
        <v>0</v>
      </c>
      <c r="BM392" s="797">
        <f t="shared" ref="BM392:BM455" si="242">IF(NOT(ISNUMBER($BH392)),0,MIN(5,1+INT(5*COUNTIFS($C$8:$C$796,$C392,$BH$8:$BH$796,"&lt;"&amp;$BH392)/COUNTIFS($C$8:$C$796,$C392,$BH$8:$BH$796,"&gt;=-1E+300"))))</f>
        <v>0</v>
      </c>
      <c r="BN392" s="797">
        <f t="shared" ref="BN392:BN455" si="243">IF(NOT(ISNUMBER($BI392)),0,MIN(5,1+INT(5*COUNTIFS($C$8:$C$796,$C392,$BI$8:$BI$796,"&lt;"&amp;$BI392)/COUNTIFS($C$8:$C$796,$C392,$BI$8:$BI$796,"&gt;=-1E+300"))))</f>
        <v>0</v>
      </c>
      <c r="BO392" s="798" cm="1">
        <f t="array" ref="BO392">SUMPRODUCT(--ISNUMBER($BF392:$BI392),$BK$3:$BN$3)</f>
        <v>0</v>
      </c>
      <c r="BP392" s="831" t="str">
        <f t="shared" si="217"/>
        <v/>
      </c>
      <c r="BQ392" s="834" t="str">
        <f t="shared" si="218"/>
        <v>Sin datos</v>
      </c>
      <c r="BR392" s="836" t="str">
        <f t="shared" ref="BR392:BR455" si="244">IF(OR(NOT(ISNUMBER($AJ392)),$BD392="N/D"),"",$AJ392*$BS$3+IF($BD392="Saturada",100,0)*$BU$3)</f>
        <v/>
      </c>
      <c r="BS392" s="836" t="str">
        <f t="shared" ref="BS392:BS455" si="245">IF(ISNUMBER($BP392),$BP392,"")</f>
        <v/>
      </c>
      <c r="BT392" s="837" t="str">
        <f t="shared" ref="BT392:BT455" si="246">IF(OR(NOT(ISNUMBER($BR392)),NOT(ISNUMBER($BS392))),"Sin datos",IF($BR392&gt;=$BS$4,IF($BS392&gt;=$BU$4,"P1","P2"),IF($BS392&gt;=$BU$4,"P3","P4")))</f>
        <v>Sin datos</v>
      </c>
      <c r="BU392" s="807" t="str">
        <f t="shared" si="219"/>
        <v>Con espacio</v>
      </c>
      <c r="BV392" s="807" t="str">
        <f t="shared" ref="BV392:BV455" si="247">IF($BU392="No evaluable","No evaluable",IF($BQ392="Sin datos","Sin datos de zona",IF($BQ392="Alto","Zona atractiva","Zona de bajo potencial")))</f>
        <v>Sin datos de zona</v>
      </c>
      <c r="BW392" s="808" t="str">
        <f t="shared" ref="BW392:BW455" si="248">IFERROR(IF($BT392="P1","P1 - Ampliar cobertura",IF($BT392="P2","P2 - Mantener",IF($BT392="P3","P3 - Desarrollar",IF($BT392="P4","P4 - Evaluar","Sin datos")))),"Sin datos")</f>
        <v>Sin datos</v>
      </c>
    </row>
    <row r="393" spans="1:75">
      <c r="A393" s="780" t="str">
        <f>'Base de datos Rutas'!A391</f>
        <v>Occidente</v>
      </c>
      <c r="B393" s="781" t="str">
        <f>'Base de datos Rutas'!B391</f>
        <v>Zapopan</v>
      </c>
      <c r="C393" s="781" t="str">
        <f>'Base de datos Rutas'!C391</f>
        <v>Planta Zapopan</v>
      </c>
      <c r="D393" s="782">
        <f>IF(ISNUMBER('Base de datos Rutas'!D391),'Base de datos Rutas'!D391,"Sin código")</f>
        <v>816388</v>
      </c>
      <c r="E393" s="783" t="str">
        <f>'Base de datos Rutas'!F391</f>
        <v>Activa</v>
      </c>
      <c r="F393" s="784" t="str">
        <f>'Base de datos Rutas'!H391</f>
        <v>Sí</v>
      </c>
      <c r="G393" s="785">
        <f>IF(ISNUMBER('Base de datos Rutas'!BE391),'Base de datos Rutas'!BE391,"")</f>
        <v>58.306451612903203</v>
      </c>
      <c r="H393" s="786">
        <f>IF(ISNUMBER('Base de datos Rutas'!BH391),'Base de datos Rutas'!BH391,"")</f>
        <v>0.49298557597312798</v>
      </c>
      <c r="I393" s="788">
        <f>IFERROR(IF(OR(NOT(ISNUMBER('Base de datos Rutas'!O391)),N('Base de datos Rutas'!BK391)=0),"",'Base de datos Rutas'!O391/('Base de datos Rutas'!L391/'Base de datos Rutas'!BK391)),"")</f>
        <v>4747.504608294922</v>
      </c>
      <c r="J393" s="788">
        <f>IFERROR(IF(OR(NOT(ISNUMBER('Base de datos Rutas'!N391)),N('Base de datos Rutas'!BK391)=0),"",'Base de datos Rutas'!N391/('Base de datos Rutas'!L391/'Base de datos Rutas'!BK391)),"")</f>
        <v>5420.8663594469945</v>
      </c>
      <c r="K393" s="788">
        <f>IFERROR(IF(OR(NOT(ISNUMBER('Base de datos Rutas'!J391)),N('Base de datos Rutas'!BK391)=0),"",'Base de datos Rutas'!J391/('Base de datos Rutas'!L391/'Base de datos Rutas'!BK391)),"")</f>
        <v>373.93441290322517</v>
      </c>
      <c r="L393" s="788">
        <f>IFERROR(IF(OR(NOT(ISNUMBER('Base de datos Rutas'!K391)),N('Base de datos Rutas'!BK391)=0),"",'Base de datos Rutas'!K391/('Base de datos Rutas'!L391/'Base de datos Rutas'!BK391)),"")</f>
        <v>29.910375513824828</v>
      </c>
      <c r="M393" s="787">
        <f>IF(ISNUMBER('Base de datos Rutas'!AX391),'Base de datos Rutas'!AX391,"")</f>
        <v>353.75290901803601</v>
      </c>
      <c r="N393" s="790">
        <f>IFERROR(INDEX('Hoja de apoyo v2'!B$17:B$20,MATCH($A393,'Hoja de apoyo v2'!$A$17:$A$20,0)),"")</f>
        <v>89.41621024641401</v>
      </c>
      <c r="O393" s="791">
        <f>IFERROR(INDEX('Hoja de apoyo v2'!C$17:C$20,MATCH($A393,'Hoja de apoyo v2'!$A$17:$A$20,0)),"")</f>
        <v>0.54706375874806301</v>
      </c>
      <c r="P393" s="793">
        <f>IFERROR(INDEX('Hoja de apoyo v2'!D$17:D$20,MATCH($A393,'Hoja de apoyo v2'!$A$17:$A$20,0)),"")</f>
        <v>11095.153935793827</v>
      </c>
      <c r="Q393" s="793">
        <f>IFERROR(INDEX('Hoja de apoyo v2'!E$17:E$20,MATCH($A393,'Hoja de apoyo v2'!$A$17:$A$20,0)),"")</f>
        <v>6982.3202019701848</v>
      </c>
      <c r="R393" s="793">
        <f>IFERROR(INDEX('Hoja de apoyo v2'!F$17:F$20,MATCH($A393,'Hoja de apoyo v2'!$A$17:$A$20,0)),"")</f>
        <v>448.09513474485743</v>
      </c>
      <c r="S393" s="793">
        <f>IFERROR(INDEX('Hoja de apoyo v2'!G$17:G$20,MATCH($A393,'Hoja de apoyo v2'!$A$17:$A$20,0)),"")</f>
        <v>83.406300904207839</v>
      </c>
      <c r="T393" s="792">
        <f>IFERROR(INDEX('Hoja de apoyo v2'!H$17:H$20,MATCH($A393,'Hoja de apoyo v2'!$A$17:$A$20,0)),"")</f>
        <v>378.97014028925349</v>
      </c>
      <c r="U393" s="794">
        <f t="shared" si="220"/>
        <v>0.65207920859340551</v>
      </c>
      <c r="V393" s="795">
        <f t="shared" si="221"/>
        <v>0.90114829960827392</v>
      </c>
      <c r="W393" s="795">
        <f t="shared" si="222"/>
        <v>0.42788992705897516</v>
      </c>
      <c r="X393" s="843">
        <f t="shared" si="223"/>
        <v>0.77637034719739739</v>
      </c>
      <c r="Y393" s="843">
        <f t="shared" si="224"/>
        <v>0.8344978195671352</v>
      </c>
      <c r="Z393" s="843">
        <f t="shared" si="225"/>
        <v>0.35861050291844143</v>
      </c>
      <c r="AA393" s="843">
        <f t="shared" si="226"/>
        <v>0.93345852722863565</v>
      </c>
      <c r="AB393" s="796">
        <f t="shared" si="227"/>
        <v>2</v>
      </c>
      <c r="AC393" s="797">
        <f t="shared" si="228"/>
        <v>3</v>
      </c>
      <c r="AD393" s="797">
        <f t="shared" si="229"/>
        <v>1</v>
      </c>
      <c r="AE393" s="842">
        <f t="shared" si="230"/>
        <v>3</v>
      </c>
      <c r="AF393" s="842">
        <f t="shared" si="231"/>
        <v>3</v>
      </c>
      <c r="AG393" s="842">
        <f t="shared" si="232"/>
        <v>1</v>
      </c>
      <c r="AH393" s="842">
        <f t="shared" si="233"/>
        <v>3</v>
      </c>
      <c r="AI393" s="826" cm="1">
        <f t="array" ref="AI393">SUMPRODUCT(--ISNUMBER($U393:$AA393),$AB$3:$AH$3)</f>
        <v>1</v>
      </c>
      <c r="AJ393" s="829">
        <f t="shared" si="234"/>
        <v>26.459887347087808</v>
      </c>
      <c r="AK393" s="827" t="str">
        <f t="shared" si="235"/>
        <v>Inmadura</v>
      </c>
      <c r="AL393" s="784" t="str">
        <f t="shared" si="236"/>
        <v>Alta</v>
      </c>
      <c r="AM393" s="799">
        <f>IF(ISNUMBER('Base de datos Rutas'!W391),'Base de datos Rutas'!W391,"")</f>
        <v>3427.1365491869451</v>
      </c>
      <c r="AN393" s="787">
        <f>IFERROR(SUMIFS('Base de datos Rutas'!$W$6:$W$794,'Base de datos Rutas'!$C$6:$C$794,$C393)/'Base de datos Rutas'!I391,"")</f>
        <v>3427.1365491869487</v>
      </c>
      <c r="AO393" s="800">
        <f>IFERROR('Base de datos Rutas'!X391*AN393/AM393,"")</f>
        <v>0.3483939033672564</v>
      </c>
      <c r="AP393" s="800">
        <f t="shared" si="237"/>
        <v>0.6516060966327436</v>
      </c>
      <c r="AQ393" s="789">
        <f>IFERROR(INDEX('Hoja de apoyo v2'!$J$17:$J$20,MATCH($A393,'Hoja de apoyo v2'!$A$17:$A$20,0)),"")</f>
        <v>0.64320274048480885</v>
      </c>
      <c r="AR393" s="789">
        <f t="shared" si="238"/>
        <v>8.4033561479347485E-3</v>
      </c>
      <c r="AS393" s="784" t="str">
        <f t="shared" si="239"/>
        <v>No</v>
      </c>
      <c r="AT393" s="801">
        <f>IF(ISNUMBER('Base de datos Rutas'!CK391),'Base de datos Rutas'!CK391,"")</f>
        <v>244</v>
      </c>
      <c r="AU393" s="802">
        <f>IF(ISNUMBER('Base de datos Rutas'!CL391),'Base de datos Rutas'!CL391,"")</f>
        <v>285.72000000000003</v>
      </c>
      <c r="AV393" s="802">
        <f>IF(ISNUMBER('Base de datos Rutas'!CM391),'Base de datos Rutas'!CM391,"")</f>
        <v>41.720000000000027</v>
      </c>
      <c r="AW393" s="802">
        <f>IF(ISNUMBER('Base de datos Rutas'!CN391),'Base de datos Rutas'!CN391,"")</f>
        <v>8.2100000000000009</v>
      </c>
      <c r="AX393" s="802">
        <f>IF(ISNUMBER('Base de datos Rutas'!CO391),'Base de datos Rutas'!CO391,"")</f>
        <v>9.4499999999999993</v>
      </c>
      <c r="AY393" s="802">
        <f>IF(ISNUMBER('Base de datos Rutas'!CP391),'Base de datos Rutas'!CP391,"")</f>
        <v>1.2399999999999984</v>
      </c>
      <c r="AZ393" s="802">
        <f>IF(ISNUMBER('Base de datos Rutas'!CQ391),'Base de datos Rutas'!CQ391,"")</f>
        <v>564.37</v>
      </c>
      <c r="BA393" s="802">
        <f>IF(ISNUMBER('Base de datos Rutas'!CR391),'Base de datos Rutas'!CR391,"")</f>
        <v>403.84</v>
      </c>
      <c r="BB393" s="803">
        <f>IF(ISNUMBER('Base de datos Rutas'!CS391),'Base de datos Rutas'!CS391,"")</f>
        <v>160.53000000000003</v>
      </c>
      <c r="BC393" s="804">
        <f t="shared" ref="BC393:BC456" si="249">IF(OR(COUNT($AV393,$AY393,$BB393)&lt;3,NOT(ISNUMBER($AT393)),N($AT393)&lt;=0,N($AZ393)&lt;=0),"",COUNTIF($AV393,"&lt;="&amp;$BC$4)+COUNTIF($AY393,"&lt;="&amp;$BC$4)+COUNTIF($BB393,"&lt;="&amp;$BC$4))</f>
        <v>0</v>
      </c>
      <c r="BD393" s="805" t="str">
        <f t="shared" ref="BD393:BD456" si="250">IF(NOT(ISNUMBER($BC393)),"N/D",IF($BC393&gt;=1,"Saturada","No saturada"))</f>
        <v>No saturada</v>
      </c>
      <c r="BE393" s="806">
        <f t="shared" ref="BE393:BE456" si="251">IF(AND(ISNUMBER($AZ393),ISNUMBER($BA393),$AZ393&lt;&gt;0),$BA393/$AZ393,"")</f>
        <v>0.71555894182894197</v>
      </c>
      <c r="BF393" s="890">
        <f>IF(ISNUMBER('Base de datos Rutas'!CX391),'Base de datos Rutas'!CX391/100,"")</f>
        <v>0.97438919582565986</v>
      </c>
      <c r="BG393" s="891">
        <f>IF(ISNUMBER('Base de datos Rutas'!CZ391),'Base de datos Rutas'!CZ391/100,"")</f>
        <v>1</v>
      </c>
      <c r="BH393" s="892">
        <f>IF(ISNUMBER('Base de datos Rutas'!DA391),'Base de datos Rutas'!DA391,"")</f>
        <v>604.65381990997889</v>
      </c>
      <c r="BI393" s="893">
        <f>IF(ISNUMBER('Base de datos Rutas'!DC391),'Base de datos Rutas'!DC391,"")</f>
        <v>26.430969881248803</v>
      </c>
      <c r="BJ393" s="805" t="str">
        <f t="shared" ref="BJ393:BJ456" si="252">IF(COUNT($BF393:$BI393)=4,"Ruta (completo)",IF(COUNT($BF393:$BI393)=0,"Sin dato","Ruta (parcial)"))</f>
        <v>Ruta (completo)</v>
      </c>
      <c r="BK393" s="783">
        <f t="shared" si="240"/>
        <v>5</v>
      </c>
      <c r="BL393" s="797">
        <f t="shared" si="241"/>
        <v>2</v>
      </c>
      <c r="BM393" s="797">
        <f t="shared" si="242"/>
        <v>2</v>
      </c>
      <c r="BN393" s="797">
        <f t="shared" si="243"/>
        <v>2</v>
      </c>
      <c r="BO393" s="798" cm="1">
        <f t="array" ref="BO393">SUMPRODUCT(--ISNUMBER($BF393:$BI393),$BK$3:$BN$3)</f>
        <v>1</v>
      </c>
      <c r="BP393" s="831">
        <f t="shared" ref="BP393:BP456" si="253">IF(BO393&lt;$BO$4,"",(SUMPRODUCT($BK393:$BN393,$BK$3:$BN$3)/BO393-1)/4*100)</f>
        <v>43.75</v>
      </c>
      <c r="BQ393" s="834" t="str">
        <f t="shared" ref="BQ393:BQ456" si="254">IF(BP393="","Sin datos",IF(BP393&gt;=$BP$4,"Alto",IF(BP393&lt;$BQ$4,"Bajo","Medio")))</f>
        <v>Medio</v>
      </c>
      <c r="BR393" s="836">
        <f t="shared" si="244"/>
        <v>19.844915510315857</v>
      </c>
      <c r="BS393" s="836">
        <f t="shared" si="245"/>
        <v>43.75</v>
      </c>
      <c r="BT393" s="837" t="str">
        <f t="shared" si="246"/>
        <v>P4</v>
      </c>
      <c r="BU393" s="807" t="str">
        <f t="shared" ref="BU393:BU456" si="255">IF(OR($AK393="Ruta inactiva",$AK393="No elegible",$AK393="Sin datos"),"No evaluable",IF($BD393="Saturada","Al tope","Con espacio"))</f>
        <v>Con espacio</v>
      </c>
      <c r="BV393" s="807" t="str">
        <f t="shared" si="247"/>
        <v>Zona de bajo potencial</v>
      </c>
      <c r="BW393" s="808" t="str">
        <f t="shared" si="248"/>
        <v>P4 - Evaluar</v>
      </c>
    </row>
    <row r="394" spans="1:75">
      <c r="A394" s="780" t="str">
        <f>'Base de datos Rutas'!A392</f>
        <v>Occidente</v>
      </c>
      <c r="B394" s="781" t="str">
        <f>'Base de datos Rutas'!B392</f>
        <v>Zapopan</v>
      </c>
      <c r="C394" s="781" t="str">
        <f>'Base de datos Rutas'!C392</f>
        <v>Planta Zapopan</v>
      </c>
      <c r="D394" s="782">
        <f>IF(ISNUMBER('Base de datos Rutas'!D392),'Base de datos Rutas'!D392,"Sin código")</f>
        <v>816389</v>
      </c>
      <c r="E394" s="783" t="str">
        <f>'Base de datos Rutas'!F392</f>
        <v>Inactiva</v>
      </c>
      <c r="F394" s="784" t="str">
        <f>'Base de datos Rutas'!H392</f>
        <v>No</v>
      </c>
      <c r="G394" s="785" t="str">
        <f>IF(ISNUMBER('Base de datos Rutas'!BE392),'Base de datos Rutas'!BE392,"")</f>
        <v/>
      </c>
      <c r="H394" s="786" t="str">
        <f>IF(ISNUMBER('Base de datos Rutas'!BH392),'Base de datos Rutas'!BH392,"")</f>
        <v/>
      </c>
      <c r="I394" s="788" t="str">
        <f>IFERROR(IF(OR(NOT(ISNUMBER('Base de datos Rutas'!O392)),N('Base de datos Rutas'!BK392)=0),"",'Base de datos Rutas'!O392/('Base de datos Rutas'!L392/'Base de datos Rutas'!BK392)),"")</f>
        <v/>
      </c>
      <c r="J394" s="788" t="str">
        <f>IFERROR(IF(OR(NOT(ISNUMBER('Base de datos Rutas'!N392)),N('Base de datos Rutas'!BK392)=0),"",'Base de datos Rutas'!N392/('Base de datos Rutas'!L392/'Base de datos Rutas'!BK392)),"")</f>
        <v/>
      </c>
      <c r="K394" s="788" t="str">
        <f>IFERROR(IF(OR(NOT(ISNUMBER('Base de datos Rutas'!J392)),N('Base de datos Rutas'!BK392)=0),"",'Base de datos Rutas'!J392/('Base de datos Rutas'!L392/'Base de datos Rutas'!BK392)),"")</f>
        <v/>
      </c>
      <c r="L394" s="788" t="str">
        <f>IFERROR(IF(OR(NOT(ISNUMBER('Base de datos Rutas'!K392)),N('Base de datos Rutas'!BK392)=0),"",'Base de datos Rutas'!K392/('Base de datos Rutas'!L392/'Base de datos Rutas'!BK392)),"")</f>
        <v/>
      </c>
      <c r="M394" s="787">
        <f>IF(ISNUMBER('Base de datos Rutas'!AX392),'Base de datos Rutas'!AX392,"")</f>
        <v>100</v>
      </c>
      <c r="N394" s="790">
        <f>IFERROR(INDEX('Hoja de apoyo v2'!B$17:B$20,MATCH($A394,'Hoja de apoyo v2'!$A$17:$A$20,0)),"")</f>
        <v>89.41621024641401</v>
      </c>
      <c r="O394" s="791">
        <f>IFERROR(INDEX('Hoja de apoyo v2'!C$17:C$20,MATCH($A394,'Hoja de apoyo v2'!$A$17:$A$20,0)),"")</f>
        <v>0.54706375874806301</v>
      </c>
      <c r="P394" s="793">
        <f>IFERROR(INDEX('Hoja de apoyo v2'!D$17:D$20,MATCH($A394,'Hoja de apoyo v2'!$A$17:$A$20,0)),"")</f>
        <v>11095.153935793827</v>
      </c>
      <c r="Q394" s="793">
        <f>IFERROR(INDEX('Hoja de apoyo v2'!E$17:E$20,MATCH($A394,'Hoja de apoyo v2'!$A$17:$A$20,0)),"")</f>
        <v>6982.3202019701848</v>
      </c>
      <c r="R394" s="793">
        <f>IFERROR(INDEX('Hoja de apoyo v2'!F$17:F$20,MATCH($A394,'Hoja de apoyo v2'!$A$17:$A$20,0)),"")</f>
        <v>448.09513474485743</v>
      </c>
      <c r="S394" s="793">
        <f>IFERROR(INDEX('Hoja de apoyo v2'!G$17:G$20,MATCH($A394,'Hoja de apoyo v2'!$A$17:$A$20,0)),"")</f>
        <v>83.406300904207839</v>
      </c>
      <c r="T394" s="792">
        <f>IFERROR(INDEX('Hoja de apoyo v2'!H$17:H$20,MATCH($A394,'Hoja de apoyo v2'!$A$17:$A$20,0)),"")</f>
        <v>378.97014028925349</v>
      </c>
      <c r="U394" s="794" t="str">
        <f t="shared" si="220"/>
        <v/>
      </c>
      <c r="V394" s="795" t="str">
        <f t="shared" si="221"/>
        <v/>
      </c>
      <c r="W394" s="795" t="str">
        <f t="shared" si="222"/>
        <v/>
      </c>
      <c r="X394" s="843" t="str">
        <f t="shared" si="223"/>
        <v/>
      </c>
      <c r="Y394" s="843" t="str">
        <f t="shared" si="224"/>
        <v/>
      </c>
      <c r="Z394" s="843" t="str">
        <f t="shared" si="225"/>
        <v/>
      </c>
      <c r="AA394" s="843">
        <f t="shared" si="226"/>
        <v>0.26387303211718421</v>
      </c>
      <c r="AB394" s="796">
        <f t="shared" si="227"/>
        <v>0</v>
      </c>
      <c r="AC394" s="797">
        <f t="shared" si="228"/>
        <v>0</v>
      </c>
      <c r="AD394" s="797">
        <f t="shared" si="229"/>
        <v>0</v>
      </c>
      <c r="AE394" s="842">
        <f t="shared" si="230"/>
        <v>0</v>
      </c>
      <c r="AF394" s="842">
        <f t="shared" si="231"/>
        <v>0</v>
      </c>
      <c r="AG394" s="842">
        <f t="shared" si="232"/>
        <v>0</v>
      </c>
      <c r="AH394" s="842">
        <f t="shared" si="233"/>
        <v>1</v>
      </c>
      <c r="AI394" s="826" cm="1">
        <f t="array" ref="AI394">SUMPRODUCT(--ISNUMBER($U394:$AA394),$AB$3:$AH$3)</f>
        <v>8.9789113613062493E-2</v>
      </c>
      <c r="AJ394" s="829" t="str">
        <f t="shared" si="234"/>
        <v/>
      </c>
      <c r="AK394" s="827" t="str">
        <f t="shared" si="235"/>
        <v>Ruta inactiva</v>
      </c>
      <c r="AL394" s="784" t="str">
        <f t="shared" si="236"/>
        <v>n/a</v>
      </c>
      <c r="AM394" s="799">
        <f>IF(ISNUMBER('Base de datos Rutas'!W392),'Base de datos Rutas'!W392,"")</f>
        <v>3427.1365491869451</v>
      </c>
      <c r="AN394" s="787">
        <f>IFERROR(SUMIFS('Base de datos Rutas'!$W$6:$W$794,'Base de datos Rutas'!$C$6:$C$794,$C394)/'Base de datos Rutas'!I392,"")</f>
        <v>3427.1365491869487</v>
      </c>
      <c r="AO394" s="800">
        <f>IFERROR('Base de datos Rutas'!X392*AN394/AM394,"")</f>
        <v>0.3483939033672564</v>
      </c>
      <c r="AP394" s="800">
        <f t="shared" si="237"/>
        <v>0.6516060966327436</v>
      </c>
      <c r="AQ394" s="789">
        <f>IFERROR(INDEX('Hoja de apoyo v2'!$J$17:$J$20,MATCH($A394,'Hoja de apoyo v2'!$A$17:$A$20,0)),"")</f>
        <v>0.64320274048480885</v>
      </c>
      <c r="AR394" s="789">
        <f t="shared" si="238"/>
        <v>8.4033561479347485E-3</v>
      </c>
      <c r="AS394" s="784" t="str">
        <f t="shared" si="239"/>
        <v>No</v>
      </c>
      <c r="AT394" s="801">
        <f>IF(ISNUMBER('Base de datos Rutas'!CK392),'Base de datos Rutas'!CK392,"")</f>
        <v>168</v>
      </c>
      <c r="AU394" s="802">
        <f>IF(ISNUMBER('Base de datos Rutas'!CL392),'Base de datos Rutas'!CL392,"")</f>
        <v>331.74</v>
      </c>
      <c r="AV394" s="802">
        <f>IF(ISNUMBER('Base de datos Rutas'!CM392),'Base de datos Rutas'!CM392,"")</f>
        <v>163.74</v>
      </c>
      <c r="AW394" s="802">
        <f>IF(ISNUMBER('Base de datos Rutas'!CN392),'Base de datos Rutas'!CN392,"")</f>
        <v>4.3</v>
      </c>
      <c r="AX394" s="802">
        <f>IF(ISNUMBER('Base de datos Rutas'!CO392),'Base de datos Rutas'!CO392,"")</f>
        <v>9.4499999999999993</v>
      </c>
      <c r="AY394" s="802">
        <f>IF(ISNUMBER('Base de datos Rutas'!CP392),'Base de datos Rutas'!CP392,"")</f>
        <v>5.1499999999999995</v>
      </c>
      <c r="AZ394" s="802">
        <f>IF(ISNUMBER('Base de datos Rutas'!CQ392),'Base de datos Rutas'!CQ392,"")</f>
        <v>686.09</v>
      </c>
      <c r="BA394" s="802">
        <f>IF(ISNUMBER('Base de datos Rutas'!CR392),'Base de datos Rutas'!CR392,"")</f>
        <v>514.29</v>
      </c>
      <c r="BB394" s="803">
        <f>IF(ISNUMBER('Base de datos Rutas'!CS392),'Base de datos Rutas'!CS392,"")</f>
        <v>171.80000000000007</v>
      </c>
      <c r="BC394" s="804">
        <f t="shared" si="249"/>
        <v>0</v>
      </c>
      <c r="BD394" s="805" t="str">
        <f t="shared" si="250"/>
        <v>No saturada</v>
      </c>
      <c r="BE394" s="806">
        <f t="shared" si="251"/>
        <v>0.74959553411360014</v>
      </c>
      <c r="BF394" s="890">
        <f>IF(ISNUMBER('Base de datos Rutas'!CX392),'Base de datos Rutas'!CX392/100,"")</f>
        <v>0.93418810289389076</v>
      </c>
      <c r="BG394" s="891">
        <f>IF(ISNUMBER('Base de datos Rutas'!CZ392),'Base de datos Rutas'!CZ392/100,"")</f>
        <v>1</v>
      </c>
      <c r="BH394" s="892">
        <f>IF(ISNUMBER('Base de datos Rutas'!DA392),'Base de datos Rutas'!DA392,"")</f>
        <v>768.11307292570166</v>
      </c>
      <c r="BI394" s="893">
        <f>IF(ISNUMBER('Base de datos Rutas'!DC392),'Base de datos Rutas'!DC392,"")</f>
        <v>41.247309313884472</v>
      </c>
      <c r="BJ394" s="805" t="str">
        <f t="shared" si="252"/>
        <v>Ruta (completo)</v>
      </c>
      <c r="BK394" s="783">
        <f t="shared" si="240"/>
        <v>3</v>
      </c>
      <c r="BL394" s="797">
        <f t="shared" si="241"/>
        <v>2</v>
      </c>
      <c r="BM394" s="797">
        <f t="shared" si="242"/>
        <v>3</v>
      </c>
      <c r="BN394" s="797">
        <f t="shared" si="243"/>
        <v>4</v>
      </c>
      <c r="BO394" s="798" cm="1">
        <f t="array" ref="BO394">SUMPRODUCT(--ISNUMBER($BF394:$BI394),$BK$3:$BN$3)</f>
        <v>1</v>
      </c>
      <c r="BP394" s="831">
        <f t="shared" si="253"/>
        <v>50</v>
      </c>
      <c r="BQ394" s="834" t="str">
        <f t="shared" si="254"/>
        <v>Alto</v>
      </c>
      <c r="BR394" s="836" t="str">
        <f t="shared" si="244"/>
        <v/>
      </c>
      <c r="BS394" s="836">
        <f t="shared" si="245"/>
        <v>50</v>
      </c>
      <c r="BT394" s="837" t="str">
        <f t="shared" si="246"/>
        <v>Sin datos</v>
      </c>
      <c r="BU394" s="807" t="str">
        <f t="shared" si="255"/>
        <v>No evaluable</v>
      </c>
      <c r="BV394" s="807" t="str">
        <f t="shared" si="247"/>
        <v>No evaluable</v>
      </c>
      <c r="BW394" s="808" t="str">
        <f t="shared" si="248"/>
        <v>Sin datos</v>
      </c>
    </row>
    <row r="395" spans="1:75">
      <c r="A395" s="780" t="str">
        <f>'Base de datos Rutas'!A393</f>
        <v>Occidente</v>
      </c>
      <c r="B395" s="781" t="str">
        <f>'Base de datos Rutas'!B393</f>
        <v>Zapopan</v>
      </c>
      <c r="C395" s="781" t="str">
        <f>'Base de datos Rutas'!C393</f>
        <v>Planta Zapopan</v>
      </c>
      <c r="D395" s="782">
        <f>IF(ISNUMBER('Base de datos Rutas'!D393),'Base de datos Rutas'!D393,"Sin código")</f>
        <v>816390</v>
      </c>
      <c r="E395" s="783" t="str">
        <f>'Base de datos Rutas'!F393</f>
        <v>Activa</v>
      </c>
      <c r="F395" s="784" t="str">
        <f>'Base de datos Rutas'!H393</f>
        <v>Sí</v>
      </c>
      <c r="G395" s="785">
        <f>IF(ISNUMBER('Base de datos Rutas'!BE393),'Base de datos Rutas'!BE393,"")</f>
        <v>48.013986013985999</v>
      </c>
      <c r="H395" s="786">
        <f>IF(ISNUMBER('Base de datos Rutas'!BH393),'Base de datos Rutas'!BH393,"")</f>
        <v>0.39513545004369399</v>
      </c>
      <c r="I395" s="788">
        <f>IFERROR(IF(OR(NOT(ISNUMBER('Base de datos Rutas'!O393)),N('Base de datos Rutas'!BK393)=0),"",'Base de datos Rutas'!O393/('Base de datos Rutas'!L393/'Base de datos Rutas'!BK393)),"")</f>
        <v>2119.9487179487201</v>
      </c>
      <c r="J395" s="788">
        <f>IFERROR(IF(OR(NOT(ISNUMBER('Base de datos Rutas'!N393)),N('Base de datos Rutas'!BK393)=0),"",'Base de datos Rutas'!N393/('Base de datos Rutas'!L393/'Base de datos Rutas'!BK393)),"")</f>
        <v>5946.0815850815916</v>
      </c>
      <c r="K395" s="788">
        <f>IFERROR(IF(OR(NOT(ISNUMBER('Base de datos Rutas'!J393)),N('Base de datos Rutas'!BK393)=0),"",'Base de datos Rutas'!J393/('Base de datos Rutas'!L393/'Base de datos Rutas'!BK393)),"")</f>
        <v>404.39451002331043</v>
      </c>
      <c r="L395" s="788">
        <f>IFERROR(IF(OR(NOT(ISNUMBER('Base de datos Rutas'!K393)),N('Base de datos Rutas'!BK393)=0),"",'Base de datos Rutas'!K393/('Base de datos Rutas'!L393/'Base de datos Rutas'!BK393)),"")</f>
        <v>14.482099578088594</v>
      </c>
      <c r="M395" s="787">
        <f>IF(ISNUMBER('Base de datos Rutas'!AX393),'Base de datos Rutas'!AX393,"")</f>
        <v>423.26232706720702</v>
      </c>
      <c r="N395" s="790">
        <f>IFERROR(INDEX('Hoja de apoyo v2'!B$17:B$20,MATCH($A395,'Hoja de apoyo v2'!$A$17:$A$20,0)),"")</f>
        <v>89.41621024641401</v>
      </c>
      <c r="O395" s="791">
        <f>IFERROR(INDEX('Hoja de apoyo v2'!C$17:C$20,MATCH($A395,'Hoja de apoyo v2'!$A$17:$A$20,0)),"")</f>
        <v>0.54706375874806301</v>
      </c>
      <c r="P395" s="793">
        <f>IFERROR(INDEX('Hoja de apoyo v2'!D$17:D$20,MATCH($A395,'Hoja de apoyo v2'!$A$17:$A$20,0)),"")</f>
        <v>11095.153935793827</v>
      </c>
      <c r="Q395" s="793">
        <f>IFERROR(INDEX('Hoja de apoyo v2'!E$17:E$20,MATCH($A395,'Hoja de apoyo v2'!$A$17:$A$20,0)),"")</f>
        <v>6982.3202019701848</v>
      </c>
      <c r="R395" s="793">
        <f>IFERROR(INDEX('Hoja de apoyo v2'!F$17:F$20,MATCH($A395,'Hoja de apoyo v2'!$A$17:$A$20,0)),"")</f>
        <v>448.09513474485743</v>
      </c>
      <c r="S395" s="793">
        <f>IFERROR(INDEX('Hoja de apoyo v2'!G$17:G$20,MATCH($A395,'Hoja de apoyo v2'!$A$17:$A$20,0)),"")</f>
        <v>83.406300904207839</v>
      </c>
      <c r="T395" s="792">
        <f>IFERROR(INDEX('Hoja de apoyo v2'!H$17:H$20,MATCH($A395,'Hoja de apoyo v2'!$A$17:$A$20,0)),"")</f>
        <v>378.97014028925349</v>
      </c>
      <c r="U395" s="794">
        <f t="shared" si="220"/>
        <v>0.53697182962315915</v>
      </c>
      <c r="V395" s="795">
        <f t="shared" si="221"/>
        <v>0.72228409161657525</v>
      </c>
      <c r="W395" s="795">
        <f t="shared" si="222"/>
        <v>0.19106978868581545</v>
      </c>
      <c r="X395" s="843">
        <f t="shared" si="223"/>
        <v>0.8515910776197001</v>
      </c>
      <c r="Y395" s="843">
        <f t="shared" si="224"/>
        <v>0.90247467260176828</v>
      </c>
      <c r="Z395" s="843">
        <f t="shared" si="225"/>
        <v>0.17363315985828565</v>
      </c>
      <c r="AA395" s="843">
        <f t="shared" si="226"/>
        <v>1.1168751362419926</v>
      </c>
      <c r="AB395" s="796">
        <f t="shared" si="227"/>
        <v>2</v>
      </c>
      <c r="AC395" s="797">
        <f t="shared" si="228"/>
        <v>2</v>
      </c>
      <c r="AD395" s="797">
        <f t="shared" si="229"/>
        <v>1</v>
      </c>
      <c r="AE395" s="842">
        <f t="shared" si="230"/>
        <v>3</v>
      </c>
      <c r="AF395" s="842">
        <f t="shared" si="231"/>
        <v>3</v>
      </c>
      <c r="AG395" s="842">
        <f t="shared" si="232"/>
        <v>1</v>
      </c>
      <c r="AH395" s="842">
        <f t="shared" si="233"/>
        <v>4</v>
      </c>
      <c r="AI395" s="826" cm="1">
        <f t="array" ref="AI395">SUMPRODUCT(--ISNUMBER($U395:$AA395),$AB$3:$AH$3)</f>
        <v>1</v>
      </c>
      <c r="AJ395" s="829">
        <f t="shared" si="234"/>
        <v>26.321709601523892</v>
      </c>
      <c r="AK395" s="827" t="str">
        <f t="shared" si="235"/>
        <v>Inmadura</v>
      </c>
      <c r="AL395" s="784" t="str">
        <f t="shared" si="236"/>
        <v>Alta</v>
      </c>
      <c r="AM395" s="799">
        <f>IF(ISNUMBER('Base de datos Rutas'!W393),'Base de datos Rutas'!W393,"")</f>
        <v>3427.1365491869451</v>
      </c>
      <c r="AN395" s="787">
        <f>IFERROR(SUMIFS('Base de datos Rutas'!$W$6:$W$794,'Base de datos Rutas'!$C$6:$C$794,$C395)/'Base de datos Rutas'!I393,"")</f>
        <v>3427.1365491869487</v>
      </c>
      <c r="AO395" s="800">
        <f>IFERROR('Base de datos Rutas'!X393*AN395/AM395,"")</f>
        <v>0.3483939033672564</v>
      </c>
      <c r="AP395" s="800">
        <f t="shared" si="237"/>
        <v>0.6516060966327436</v>
      </c>
      <c r="AQ395" s="789">
        <f>IFERROR(INDEX('Hoja de apoyo v2'!$J$17:$J$20,MATCH($A395,'Hoja de apoyo v2'!$A$17:$A$20,0)),"")</f>
        <v>0.64320274048480885</v>
      </c>
      <c r="AR395" s="789">
        <f t="shared" si="238"/>
        <v>8.4033561479347485E-3</v>
      </c>
      <c r="AS395" s="784" t="str">
        <f t="shared" si="239"/>
        <v>No</v>
      </c>
      <c r="AT395" s="801">
        <f>IF(ISNUMBER('Base de datos Rutas'!CK393),'Base de datos Rutas'!CK393,"")</f>
        <v>272</v>
      </c>
      <c r="AU395" s="802">
        <f>IF(ISNUMBER('Base de datos Rutas'!CL393),'Base de datos Rutas'!CL393,"")</f>
        <v>317.02999999999997</v>
      </c>
      <c r="AV395" s="802">
        <f>IF(ISNUMBER('Base de datos Rutas'!CM393),'Base de datos Rutas'!CM393,"")</f>
        <v>45.029999999999973</v>
      </c>
      <c r="AW395" s="802">
        <f>IF(ISNUMBER('Base de datos Rutas'!CN393),'Base de datos Rutas'!CN393,"")</f>
        <v>7.02</v>
      </c>
      <c r="AX395" s="802">
        <f>IF(ISNUMBER('Base de datos Rutas'!CO393),'Base de datos Rutas'!CO393,"")</f>
        <v>9.4499999999999993</v>
      </c>
      <c r="AY395" s="802">
        <f>IF(ISNUMBER('Base de datos Rutas'!CP393),'Base de datos Rutas'!CP393,"")</f>
        <v>2.4299999999999997</v>
      </c>
      <c r="AZ395" s="802">
        <f>IF(ISNUMBER('Base de datos Rutas'!CQ393),'Base de datos Rutas'!CQ393,"")</f>
        <v>564.37</v>
      </c>
      <c r="BA395" s="802">
        <f>IF(ISNUMBER('Base de datos Rutas'!CR393),'Base de datos Rutas'!CR393,"")</f>
        <v>418.88</v>
      </c>
      <c r="BB395" s="803">
        <f>IF(ISNUMBER('Base de datos Rutas'!CS393),'Base de datos Rutas'!CS393,"")</f>
        <v>145.49</v>
      </c>
      <c r="BC395" s="804">
        <f t="shared" si="249"/>
        <v>0</v>
      </c>
      <c r="BD395" s="805" t="str">
        <f t="shared" si="250"/>
        <v>No saturada</v>
      </c>
      <c r="BE395" s="806">
        <f t="shared" si="251"/>
        <v>0.74220812587486928</v>
      </c>
      <c r="BF395" s="890">
        <f>IF(ISNUMBER('Base de datos Rutas'!CX393),'Base de datos Rutas'!CX393/100,"")</f>
        <v>0.96131443298969077</v>
      </c>
      <c r="BG395" s="891">
        <f>IF(ISNUMBER('Base de datos Rutas'!CZ393),'Base de datos Rutas'!CZ393/100,"")</f>
        <v>1</v>
      </c>
      <c r="BH395" s="892">
        <f>IF(ISNUMBER('Base de datos Rutas'!DA393),'Base de datos Rutas'!DA393,"")</f>
        <v>1386.1115687782767</v>
      </c>
      <c r="BI395" s="893">
        <f>IF(ISNUMBER('Base de datos Rutas'!DC393),'Base de datos Rutas'!DC393,"")</f>
        <v>68.87934956121849</v>
      </c>
      <c r="BJ395" s="805" t="str">
        <f t="shared" si="252"/>
        <v>Ruta (completo)</v>
      </c>
      <c r="BK395" s="783">
        <f t="shared" si="240"/>
        <v>4</v>
      </c>
      <c r="BL395" s="797">
        <f t="shared" si="241"/>
        <v>2</v>
      </c>
      <c r="BM395" s="797">
        <f t="shared" si="242"/>
        <v>5</v>
      </c>
      <c r="BN395" s="797">
        <f t="shared" si="243"/>
        <v>5</v>
      </c>
      <c r="BO395" s="798" cm="1">
        <f t="array" ref="BO395">SUMPRODUCT(--ISNUMBER($BF395:$BI395),$BK$3:$BN$3)</f>
        <v>1</v>
      </c>
      <c r="BP395" s="831">
        <f t="shared" si="253"/>
        <v>75</v>
      </c>
      <c r="BQ395" s="834" t="str">
        <f t="shared" si="254"/>
        <v>Alto</v>
      </c>
      <c r="BR395" s="836">
        <f t="shared" si="244"/>
        <v>19.741282201142919</v>
      </c>
      <c r="BS395" s="836">
        <f t="shared" si="245"/>
        <v>75</v>
      </c>
      <c r="BT395" s="837" t="str">
        <f t="shared" si="246"/>
        <v>P3</v>
      </c>
      <c r="BU395" s="807" t="str">
        <f t="shared" si="255"/>
        <v>Con espacio</v>
      </c>
      <c r="BV395" s="807" t="str">
        <f t="shared" si="247"/>
        <v>Zona atractiva</v>
      </c>
      <c r="BW395" s="808" t="str">
        <f t="shared" si="248"/>
        <v>P3 - Desarrollar</v>
      </c>
    </row>
    <row r="396" spans="1:75">
      <c r="A396" s="780" t="str">
        <f>'Base de datos Rutas'!A394</f>
        <v>Occidente</v>
      </c>
      <c r="B396" s="781" t="str">
        <f>'Base de datos Rutas'!B394</f>
        <v>Zapopan</v>
      </c>
      <c r="C396" s="781" t="str">
        <f>'Base de datos Rutas'!C394</f>
        <v>Planta Zapopan</v>
      </c>
      <c r="D396" s="782">
        <f>IF(ISNUMBER('Base de datos Rutas'!D394),'Base de datos Rutas'!D394,"Sin código")</f>
        <v>816391</v>
      </c>
      <c r="E396" s="783" t="str">
        <f>'Base de datos Rutas'!F394</f>
        <v>Activa</v>
      </c>
      <c r="F396" s="784" t="str">
        <f>'Base de datos Rutas'!H394</f>
        <v>Sí</v>
      </c>
      <c r="G396" s="785">
        <f>IF(ISNUMBER('Base de datos Rutas'!BE394),'Base de datos Rutas'!BE394,"")</f>
        <v>91.847727272727298</v>
      </c>
      <c r="H396" s="786">
        <f>IF(ISNUMBER('Base de datos Rutas'!BH394),'Base de datos Rutas'!BH394,"")</f>
        <v>0.34649741419840202</v>
      </c>
      <c r="I396" s="788">
        <f>IFERROR(IF(OR(NOT(ISNUMBER('Base de datos Rutas'!O394)),N('Base de datos Rutas'!BK394)=0),"",'Base de datos Rutas'!O394/('Base de datos Rutas'!L394/'Base de datos Rutas'!BK394)),"")</f>
        <v>2885.7227272727214</v>
      </c>
      <c r="J396" s="788">
        <f>IFERROR(IF(OR(NOT(ISNUMBER('Base de datos Rutas'!N394)),N('Base de datos Rutas'!BK394)=0),"",'Base de datos Rutas'!N394/('Base de datos Rutas'!L394/'Base de datos Rutas'!BK394)),"")</f>
        <v>7116.8090909090761</v>
      </c>
      <c r="K396" s="788">
        <f>IFERROR(IF(OR(NOT(ISNUMBER('Base de datos Rutas'!J394)),N('Base de datos Rutas'!BK394)=0),"",'Base de datos Rutas'!J394/('Base de datos Rutas'!L394/'Base de datos Rutas'!BK394)),"")</f>
        <v>488.30871090908988</v>
      </c>
      <c r="L396" s="788">
        <f>IFERROR(IF(OR(NOT(ISNUMBER('Base de datos Rutas'!K394)),N('Base de datos Rutas'!BK394)=0),"",'Base de datos Rutas'!K394/('Base de datos Rutas'!L394/'Base de datos Rutas'!BK394)),"")</f>
        <v>20.311300106818138</v>
      </c>
      <c r="M396" s="787">
        <f>IF(ISNUMBER('Base de datos Rutas'!AX394),'Base de datos Rutas'!AX394,"")</f>
        <v>314.48753481396898</v>
      </c>
      <c r="N396" s="790">
        <f>IFERROR(INDEX('Hoja de apoyo v2'!B$17:B$20,MATCH($A396,'Hoja de apoyo v2'!$A$17:$A$20,0)),"")</f>
        <v>89.41621024641401</v>
      </c>
      <c r="O396" s="791">
        <f>IFERROR(INDEX('Hoja de apoyo v2'!C$17:C$20,MATCH($A396,'Hoja de apoyo v2'!$A$17:$A$20,0)),"")</f>
        <v>0.54706375874806301</v>
      </c>
      <c r="P396" s="793">
        <f>IFERROR(INDEX('Hoja de apoyo v2'!D$17:D$20,MATCH($A396,'Hoja de apoyo v2'!$A$17:$A$20,0)),"")</f>
        <v>11095.153935793827</v>
      </c>
      <c r="Q396" s="793">
        <f>IFERROR(INDEX('Hoja de apoyo v2'!E$17:E$20,MATCH($A396,'Hoja de apoyo v2'!$A$17:$A$20,0)),"")</f>
        <v>6982.3202019701848</v>
      </c>
      <c r="R396" s="793">
        <f>IFERROR(INDEX('Hoja de apoyo v2'!F$17:F$20,MATCH($A396,'Hoja de apoyo v2'!$A$17:$A$20,0)),"")</f>
        <v>448.09513474485743</v>
      </c>
      <c r="S396" s="793">
        <f>IFERROR(INDEX('Hoja de apoyo v2'!G$17:G$20,MATCH($A396,'Hoja de apoyo v2'!$A$17:$A$20,0)),"")</f>
        <v>83.406300904207839</v>
      </c>
      <c r="T396" s="792">
        <f>IFERROR(INDEX('Hoja de apoyo v2'!H$17:H$20,MATCH($A396,'Hoja de apoyo v2'!$A$17:$A$20,0)),"")</f>
        <v>378.97014028925349</v>
      </c>
      <c r="U396" s="794">
        <f t="shared" si="220"/>
        <v>1.0271932462761784</v>
      </c>
      <c r="V396" s="795">
        <f t="shared" si="221"/>
        <v>0.63337665611655525</v>
      </c>
      <c r="W396" s="795">
        <f t="shared" si="222"/>
        <v>0.26008857055720119</v>
      </c>
      <c r="X396" s="843">
        <f t="shared" si="223"/>
        <v>1.0192613465221694</v>
      </c>
      <c r="Y396" s="843">
        <f t="shared" si="224"/>
        <v>1.0897433893968294</v>
      </c>
      <c r="Z396" s="843">
        <f t="shared" si="225"/>
        <v>0.24352237045191191</v>
      </c>
      <c r="AA396" s="843">
        <f t="shared" si="226"/>
        <v>0.82984779374420525</v>
      </c>
      <c r="AB396" s="796">
        <f t="shared" si="227"/>
        <v>4</v>
      </c>
      <c r="AC396" s="797">
        <f t="shared" si="228"/>
        <v>2</v>
      </c>
      <c r="AD396" s="797">
        <f t="shared" si="229"/>
        <v>1</v>
      </c>
      <c r="AE396" s="842">
        <f t="shared" si="230"/>
        <v>4</v>
      </c>
      <c r="AF396" s="842">
        <f t="shared" si="231"/>
        <v>4</v>
      </c>
      <c r="AG396" s="842">
        <f t="shared" si="232"/>
        <v>1</v>
      </c>
      <c r="AH396" s="842">
        <f t="shared" si="233"/>
        <v>3</v>
      </c>
      <c r="AI396" s="826" cm="1">
        <f t="array" ref="AI396">SUMPRODUCT(--ISNUMBER($U396:$AA396),$AB$3:$AH$3)</f>
        <v>1</v>
      </c>
      <c r="AJ396" s="829">
        <f t="shared" si="234"/>
        <v>39.479746275729319</v>
      </c>
      <c r="AK396" s="827" t="str">
        <f t="shared" si="235"/>
        <v>Inmadura</v>
      </c>
      <c r="AL396" s="784" t="str">
        <f t="shared" si="236"/>
        <v>Alta</v>
      </c>
      <c r="AM396" s="799">
        <f>IF(ISNUMBER('Base de datos Rutas'!W394),'Base de datos Rutas'!W394,"")</f>
        <v>3427.1365491869451</v>
      </c>
      <c r="AN396" s="787">
        <f>IFERROR(SUMIFS('Base de datos Rutas'!$W$6:$W$794,'Base de datos Rutas'!$C$6:$C$794,$C396)/'Base de datos Rutas'!I394,"")</f>
        <v>3427.1365491869487</v>
      </c>
      <c r="AO396" s="800">
        <f>IFERROR('Base de datos Rutas'!X394*AN396/AM396,"")</f>
        <v>0.3483939033672564</v>
      </c>
      <c r="AP396" s="800">
        <f t="shared" si="237"/>
        <v>0.6516060966327436</v>
      </c>
      <c r="AQ396" s="789">
        <f>IFERROR(INDEX('Hoja de apoyo v2'!$J$17:$J$20,MATCH($A396,'Hoja de apoyo v2'!$A$17:$A$20,0)),"")</f>
        <v>0.64320274048480885</v>
      </c>
      <c r="AR396" s="789">
        <f t="shared" si="238"/>
        <v>8.4033561479347485E-3</v>
      </c>
      <c r="AS396" s="784" t="str">
        <f t="shared" si="239"/>
        <v>No</v>
      </c>
      <c r="AT396" s="801">
        <f>IF(ISNUMBER('Base de datos Rutas'!CK394),'Base de datos Rutas'!CK394,"")</f>
        <v>407</v>
      </c>
      <c r="AU396" s="802">
        <f>IF(ISNUMBER('Base de datos Rutas'!CL394),'Base de datos Rutas'!CL394,"")</f>
        <v>455.12</v>
      </c>
      <c r="AV396" s="802">
        <f>IF(ISNUMBER('Base de datos Rutas'!CM394),'Base de datos Rutas'!CM394,"")</f>
        <v>48.120000000000005</v>
      </c>
      <c r="AW396" s="802">
        <f>IF(ISNUMBER('Base de datos Rutas'!CN394),'Base de datos Rutas'!CN394,"")</f>
        <v>9.6199999999999992</v>
      </c>
      <c r="AX396" s="802">
        <f>IF(ISNUMBER('Base de datos Rutas'!CO394),'Base de datos Rutas'!CO394,"")</f>
        <v>9.4499999999999993</v>
      </c>
      <c r="AY396" s="802">
        <f>IF(ISNUMBER('Base de datos Rutas'!CP394),'Base de datos Rutas'!CP394,"")</f>
        <v>-0.16999999999999993</v>
      </c>
      <c r="AZ396" s="802">
        <f>IF(ISNUMBER('Base de datos Rutas'!CQ394),'Base de datos Rutas'!CQ394,"")</f>
        <v>846.56</v>
      </c>
      <c r="BA396" s="802">
        <f>IF(ISNUMBER('Base de datos Rutas'!CR394),'Base de datos Rutas'!CR394,"")</f>
        <v>508.62</v>
      </c>
      <c r="BB396" s="803">
        <f>IF(ISNUMBER('Base de datos Rutas'!CS394),'Base de datos Rutas'!CS394,"")</f>
        <v>337.93999999999994</v>
      </c>
      <c r="BC396" s="804">
        <f t="shared" si="249"/>
        <v>1</v>
      </c>
      <c r="BD396" s="805" t="str">
        <f t="shared" si="250"/>
        <v>Saturada</v>
      </c>
      <c r="BE396" s="806">
        <f t="shared" si="251"/>
        <v>0.60080797580797585</v>
      </c>
      <c r="BF396" s="890">
        <f>IF(ISNUMBER('Base de datos Rutas'!CX394),'Base de datos Rutas'!CX394/100,"")</f>
        <v>0.98489642184557458</v>
      </c>
      <c r="BG396" s="891">
        <f>IF(ISNUMBER('Base de datos Rutas'!CZ394),'Base de datos Rutas'!CZ394/100,"")</f>
        <v>1</v>
      </c>
      <c r="BH396" s="892">
        <f>IF(ISNUMBER('Base de datos Rutas'!DA394),'Base de datos Rutas'!DA394,"")</f>
        <v>695.49415606099967</v>
      </c>
      <c r="BI396" s="893">
        <f>IF(ISNUMBER('Base de datos Rutas'!DC394),'Base de datos Rutas'!DC394,"")</f>
        <v>35.357265654954055</v>
      </c>
      <c r="BJ396" s="805" t="str">
        <f t="shared" si="252"/>
        <v>Ruta (completo)</v>
      </c>
      <c r="BK396" s="783">
        <f t="shared" si="240"/>
        <v>5</v>
      </c>
      <c r="BL396" s="797">
        <f t="shared" si="241"/>
        <v>2</v>
      </c>
      <c r="BM396" s="797">
        <f t="shared" si="242"/>
        <v>3</v>
      </c>
      <c r="BN396" s="797">
        <f t="shared" si="243"/>
        <v>3</v>
      </c>
      <c r="BO396" s="798" cm="1">
        <f t="array" ref="BO396">SUMPRODUCT(--ISNUMBER($BF396:$BI396),$BK$3:$BN$3)</f>
        <v>1</v>
      </c>
      <c r="BP396" s="831">
        <f t="shared" si="253"/>
        <v>56.25</v>
      </c>
      <c r="BQ396" s="834" t="str">
        <f t="shared" si="254"/>
        <v>Alto</v>
      </c>
      <c r="BR396" s="836">
        <f t="shared" si="244"/>
        <v>54.609809706796987</v>
      </c>
      <c r="BS396" s="836">
        <f t="shared" si="245"/>
        <v>56.25</v>
      </c>
      <c r="BT396" s="837" t="str">
        <f t="shared" si="246"/>
        <v>P1</v>
      </c>
      <c r="BU396" s="807" t="str">
        <f t="shared" si="255"/>
        <v>Al tope</v>
      </c>
      <c r="BV396" s="807" t="str">
        <f t="shared" si="247"/>
        <v>Zona atractiva</v>
      </c>
      <c r="BW396" s="808" t="str">
        <f t="shared" si="248"/>
        <v>P1 - Ampliar cobertura</v>
      </c>
    </row>
    <row r="397" spans="1:75">
      <c r="A397" s="780" t="str">
        <f>'Base de datos Rutas'!A395</f>
        <v>Occidente</v>
      </c>
      <c r="B397" s="781" t="str">
        <f>'Base de datos Rutas'!B395</f>
        <v>Zapopan</v>
      </c>
      <c r="C397" s="781" t="str">
        <f>'Base de datos Rutas'!C395</f>
        <v>Planta Zapopan</v>
      </c>
      <c r="D397" s="782">
        <f>IF(ISNUMBER('Base de datos Rutas'!D395),'Base de datos Rutas'!D395,"Sin código")</f>
        <v>816392</v>
      </c>
      <c r="E397" s="783" t="str">
        <f>'Base de datos Rutas'!F395</f>
        <v>Activa</v>
      </c>
      <c r="F397" s="784" t="str">
        <f>'Base de datos Rutas'!H395</f>
        <v>Sí</v>
      </c>
      <c r="G397" s="785">
        <f>IF(ISNUMBER('Base de datos Rutas'!BE395),'Base de datos Rutas'!BE395,"")</f>
        <v>89.919724770642205</v>
      </c>
      <c r="H397" s="786">
        <f>IF(ISNUMBER('Base de datos Rutas'!BH395),'Base de datos Rutas'!BH395,"")</f>
        <v>0.484147430174723</v>
      </c>
      <c r="I397" s="788">
        <f>IFERROR(IF(OR(NOT(ISNUMBER('Base de datos Rutas'!O395)),N('Base de datos Rutas'!BK395)=0),"",'Base de datos Rutas'!O395/('Base de datos Rutas'!L395/'Base de datos Rutas'!BK395)),"")</f>
        <v>3171.5022935779753</v>
      </c>
      <c r="J397" s="788">
        <f>IFERROR(IF(OR(NOT(ISNUMBER('Base de datos Rutas'!N395)),N('Base de datos Rutas'!BK395)=0),"",'Base de datos Rutas'!N395/('Base de datos Rutas'!L395/'Base de datos Rutas'!BK395)),"")</f>
        <v>6798.9288990825553</v>
      </c>
      <c r="K397" s="788">
        <f>IFERROR(IF(OR(NOT(ISNUMBER('Base de datos Rutas'!J395)),N('Base de datos Rutas'!BK395)=0),"",'Base de datos Rutas'!J395/('Base de datos Rutas'!L395/'Base de datos Rutas'!BK395)),"")</f>
        <v>452.93539816513675</v>
      </c>
      <c r="L397" s="788">
        <f>IFERROR(IF(OR(NOT(ISNUMBER('Base de datos Rutas'!K395)),N('Base de datos Rutas'!BK395)=0),"",'Base de datos Rutas'!K395/('Base de datos Rutas'!L395/'Base de datos Rutas'!BK395)),"")</f>
        <v>24.85653477522931</v>
      </c>
      <c r="M397" s="787">
        <f>IF(ISNUMBER('Base de datos Rutas'!AX395),'Base de datos Rutas'!AX395,"")</f>
        <v>224.701250197566</v>
      </c>
      <c r="N397" s="790">
        <f>IFERROR(INDEX('Hoja de apoyo v2'!B$17:B$20,MATCH($A397,'Hoja de apoyo v2'!$A$17:$A$20,0)),"")</f>
        <v>89.41621024641401</v>
      </c>
      <c r="O397" s="791">
        <f>IFERROR(INDEX('Hoja de apoyo v2'!C$17:C$20,MATCH($A397,'Hoja de apoyo v2'!$A$17:$A$20,0)),"")</f>
        <v>0.54706375874806301</v>
      </c>
      <c r="P397" s="793">
        <f>IFERROR(INDEX('Hoja de apoyo v2'!D$17:D$20,MATCH($A397,'Hoja de apoyo v2'!$A$17:$A$20,0)),"")</f>
        <v>11095.153935793827</v>
      </c>
      <c r="Q397" s="793">
        <f>IFERROR(INDEX('Hoja de apoyo v2'!E$17:E$20,MATCH($A397,'Hoja de apoyo v2'!$A$17:$A$20,0)),"")</f>
        <v>6982.3202019701848</v>
      </c>
      <c r="R397" s="793">
        <f>IFERROR(INDEX('Hoja de apoyo v2'!F$17:F$20,MATCH($A397,'Hoja de apoyo v2'!$A$17:$A$20,0)),"")</f>
        <v>448.09513474485743</v>
      </c>
      <c r="S397" s="793">
        <f>IFERROR(INDEX('Hoja de apoyo v2'!G$17:G$20,MATCH($A397,'Hoja de apoyo v2'!$A$17:$A$20,0)),"")</f>
        <v>83.406300904207839</v>
      </c>
      <c r="T397" s="792">
        <f>IFERROR(INDEX('Hoja de apoyo v2'!H$17:H$20,MATCH($A397,'Hoja de apoyo v2'!$A$17:$A$20,0)),"")</f>
        <v>378.97014028925349</v>
      </c>
      <c r="U397" s="794">
        <f t="shared" si="220"/>
        <v>1.0056311324629013</v>
      </c>
      <c r="V397" s="795">
        <f t="shared" si="221"/>
        <v>0.8849926949697382</v>
      </c>
      <c r="W397" s="795">
        <f t="shared" si="222"/>
        <v>0.2858457225497758</v>
      </c>
      <c r="X397" s="843">
        <f t="shared" si="223"/>
        <v>0.97373490507698535</v>
      </c>
      <c r="Y397" s="843">
        <f t="shared" si="224"/>
        <v>1.0108018655972137</v>
      </c>
      <c r="Z397" s="843">
        <f t="shared" si="225"/>
        <v>0.29801746997240708</v>
      </c>
      <c r="AA397" s="843">
        <f t="shared" si="226"/>
        <v>0.59292600210153779</v>
      </c>
      <c r="AB397" s="796">
        <f t="shared" si="227"/>
        <v>4</v>
      </c>
      <c r="AC397" s="797">
        <f t="shared" si="228"/>
        <v>3</v>
      </c>
      <c r="AD397" s="797">
        <f t="shared" si="229"/>
        <v>1</v>
      </c>
      <c r="AE397" s="842">
        <f t="shared" si="230"/>
        <v>3</v>
      </c>
      <c r="AF397" s="842">
        <f t="shared" si="231"/>
        <v>4</v>
      </c>
      <c r="AG397" s="842">
        <f t="shared" si="232"/>
        <v>1</v>
      </c>
      <c r="AH397" s="842">
        <f t="shared" si="233"/>
        <v>2</v>
      </c>
      <c r="AI397" s="826" cm="1">
        <f t="array" ref="AI397">SUMPRODUCT(--ISNUMBER($U397:$AA397),$AB$3:$AH$3)</f>
        <v>1</v>
      </c>
      <c r="AJ397" s="829">
        <f t="shared" si="234"/>
        <v>36.20847637507454</v>
      </c>
      <c r="AK397" s="827" t="str">
        <f t="shared" si="235"/>
        <v>Inmadura</v>
      </c>
      <c r="AL397" s="784" t="str">
        <f t="shared" si="236"/>
        <v>Alta</v>
      </c>
      <c r="AM397" s="799">
        <f>IF(ISNUMBER('Base de datos Rutas'!W395),'Base de datos Rutas'!W395,"")</f>
        <v>3427.1365491869451</v>
      </c>
      <c r="AN397" s="787">
        <f>IFERROR(SUMIFS('Base de datos Rutas'!$W$6:$W$794,'Base de datos Rutas'!$C$6:$C$794,$C397)/'Base de datos Rutas'!I395,"")</f>
        <v>3427.1365491869487</v>
      </c>
      <c r="AO397" s="800">
        <f>IFERROR('Base de datos Rutas'!X395*AN397/AM397,"")</f>
        <v>0.3483939033672564</v>
      </c>
      <c r="AP397" s="800">
        <f t="shared" si="237"/>
        <v>0.6516060966327436</v>
      </c>
      <c r="AQ397" s="789">
        <f>IFERROR(INDEX('Hoja de apoyo v2'!$J$17:$J$20,MATCH($A397,'Hoja de apoyo v2'!$A$17:$A$20,0)),"")</f>
        <v>0.64320274048480885</v>
      </c>
      <c r="AR397" s="789">
        <f t="shared" si="238"/>
        <v>8.4033561479347485E-3</v>
      </c>
      <c r="AS397" s="784" t="str">
        <f t="shared" si="239"/>
        <v>No</v>
      </c>
      <c r="AT397" s="801">
        <f>IF(ISNUMBER('Base de datos Rutas'!CK395),'Base de datos Rutas'!CK395,"")</f>
        <v>361</v>
      </c>
      <c r="AU397" s="802">
        <f>IF(ISNUMBER('Base de datos Rutas'!CL395),'Base de datos Rutas'!CL395,"")</f>
        <v>747.39</v>
      </c>
      <c r="AV397" s="802">
        <f>IF(ISNUMBER('Base de datos Rutas'!CM395),'Base de datos Rutas'!CM395,"")</f>
        <v>386.39</v>
      </c>
      <c r="AW397" s="802">
        <f>IF(ISNUMBER('Base de datos Rutas'!CN395),'Base de datos Rutas'!CN395,"")</f>
        <v>9.1199999999999992</v>
      </c>
      <c r="AX397" s="802">
        <f>IF(ISNUMBER('Base de datos Rutas'!CO395),'Base de datos Rutas'!CO395,"")</f>
        <v>9.4499999999999993</v>
      </c>
      <c r="AY397" s="802">
        <f>IF(ISNUMBER('Base de datos Rutas'!CP395),'Base de datos Rutas'!CP395,"")</f>
        <v>0.33000000000000007</v>
      </c>
      <c r="AZ397" s="802">
        <f>IF(ISNUMBER('Base de datos Rutas'!CQ395),'Base de datos Rutas'!CQ395,"")</f>
        <v>564.37</v>
      </c>
      <c r="BA397" s="802">
        <f>IF(ISNUMBER('Base de datos Rutas'!CR395),'Base de datos Rutas'!CR395,"")</f>
        <v>477.79</v>
      </c>
      <c r="BB397" s="803">
        <f>IF(ISNUMBER('Base de datos Rutas'!CS395),'Base de datos Rutas'!CS395,"")</f>
        <v>86.579999999999984</v>
      </c>
      <c r="BC397" s="804">
        <f t="shared" si="249"/>
        <v>0</v>
      </c>
      <c r="BD397" s="805" t="str">
        <f t="shared" si="250"/>
        <v>No saturada</v>
      </c>
      <c r="BE397" s="806">
        <f t="shared" si="251"/>
        <v>0.84659000301220833</v>
      </c>
      <c r="BF397" s="890">
        <f>IF(ISNUMBER('Base de datos Rutas'!CX395),'Base de datos Rutas'!CX395/100,"")</f>
        <v>0.92754734670916927</v>
      </c>
      <c r="BG397" s="891">
        <f>IF(ISNUMBER('Base de datos Rutas'!CZ395),'Base de datos Rutas'!CZ395/100,"")</f>
        <v>1</v>
      </c>
      <c r="BH397" s="892">
        <f>IF(ISNUMBER('Base de datos Rutas'!DA395),'Base de datos Rutas'!DA395,"")</f>
        <v>1013.3988484785965</v>
      </c>
      <c r="BI397" s="893">
        <f>IF(ISNUMBER('Base de datos Rutas'!DC395),'Base de datos Rutas'!DC395,"")</f>
        <v>48.896945303607552</v>
      </c>
      <c r="BJ397" s="805" t="str">
        <f t="shared" si="252"/>
        <v>Ruta (completo)</v>
      </c>
      <c r="BK397" s="783">
        <f t="shared" si="240"/>
        <v>3</v>
      </c>
      <c r="BL397" s="797">
        <f t="shared" si="241"/>
        <v>2</v>
      </c>
      <c r="BM397" s="797">
        <f t="shared" si="242"/>
        <v>4</v>
      </c>
      <c r="BN397" s="797">
        <f t="shared" si="243"/>
        <v>4</v>
      </c>
      <c r="BO397" s="798" cm="1">
        <f t="array" ref="BO397">SUMPRODUCT(--ISNUMBER($BF397:$BI397),$BK$3:$BN$3)</f>
        <v>1</v>
      </c>
      <c r="BP397" s="831">
        <f t="shared" si="253"/>
        <v>56.25</v>
      </c>
      <c r="BQ397" s="834" t="str">
        <f t="shared" si="254"/>
        <v>Alto</v>
      </c>
      <c r="BR397" s="836">
        <f t="shared" si="244"/>
        <v>27.156357281305905</v>
      </c>
      <c r="BS397" s="836">
        <f t="shared" si="245"/>
        <v>56.25</v>
      </c>
      <c r="BT397" s="837" t="str">
        <f t="shared" si="246"/>
        <v>P3</v>
      </c>
      <c r="BU397" s="807" t="str">
        <f t="shared" si="255"/>
        <v>Con espacio</v>
      </c>
      <c r="BV397" s="807" t="str">
        <f t="shared" si="247"/>
        <v>Zona atractiva</v>
      </c>
      <c r="BW397" s="808" t="str">
        <f t="shared" si="248"/>
        <v>P3 - Desarrollar</v>
      </c>
    </row>
    <row r="398" spans="1:75">
      <c r="A398" s="780" t="str">
        <f>'Base de datos Rutas'!A396</f>
        <v>Occidente</v>
      </c>
      <c r="B398" s="781" t="str">
        <f>'Base de datos Rutas'!B396</f>
        <v>Zapopan</v>
      </c>
      <c r="C398" s="781" t="str">
        <f>'Base de datos Rutas'!C396</f>
        <v>Planta Zapopan</v>
      </c>
      <c r="D398" s="782">
        <f>IF(ISNUMBER('Base de datos Rutas'!D396),'Base de datos Rutas'!D396,"Sin código")</f>
        <v>816393</v>
      </c>
      <c r="E398" s="783" t="str">
        <f>'Base de datos Rutas'!F396</f>
        <v>Inactiva</v>
      </c>
      <c r="F398" s="784" t="str">
        <f>'Base de datos Rutas'!H396</f>
        <v>No</v>
      </c>
      <c r="G398" s="785" t="str">
        <f>IF(ISNUMBER('Base de datos Rutas'!BE396),'Base de datos Rutas'!BE396,"")</f>
        <v/>
      </c>
      <c r="H398" s="786" t="str">
        <f>IF(ISNUMBER('Base de datos Rutas'!BH396),'Base de datos Rutas'!BH396,"")</f>
        <v/>
      </c>
      <c r="I398" s="788" t="str">
        <f>IFERROR(IF(OR(NOT(ISNUMBER('Base de datos Rutas'!O396)),N('Base de datos Rutas'!BK396)=0),"",'Base de datos Rutas'!O396/('Base de datos Rutas'!L396/'Base de datos Rutas'!BK396)),"")</f>
        <v/>
      </c>
      <c r="J398" s="788" t="str">
        <f>IFERROR(IF(OR(NOT(ISNUMBER('Base de datos Rutas'!N396)),N('Base de datos Rutas'!BK396)=0),"",'Base de datos Rutas'!N396/('Base de datos Rutas'!L396/'Base de datos Rutas'!BK396)),"")</f>
        <v/>
      </c>
      <c r="K398" s="788" t="str">
        <f>IFERROR(IF(OR(NOT(ISNUMBER('Base de datos Rutas'!J396)),N('Base de datos Rutas'!BK396)=0),"",'Base de datos Rutas'!J396/('Base de datos Rutas'!L396/'Base de datos Rutas'!BK396)),"")</f>
        <v/>
      </c>
      <c r="L398" s="788" t="str">
        <f>IFERROR(IF(OR(NOT(ISNUMBER('Base de datos Rutas'!K396)),N('Base de datos Rutas'!BK396)=0),"",'Base de datos Rutas'!K396/('Base de datos Rutas'!L396/'Base de datos Rutas'!BK396)),"")</f>
        <v/>
      </c>
      <c r="M398" s="787">
        <f>IF(ISNUMBER('Base de datos Rutas'!AX396),'Base de datos Rutas'!AX396,"")</f>
        <v>231.91076923076901</v>
      </c>
      <c r="N398" s="790">
        <f>IFERROR(INDEX('Hoja de apoyo v2'!B$17:B$20,MATCH($A398,'Hoja de apoyo v2'!$A$17:$A$20,0)),"")</f>
        <v>89.41621024641401</v>
      </c>
      <c r="O398" s="791">
        <f>IFERROR(INDEX('Hoja de apoyo v2'!C$17:C$20,MATCH($A398,'Hoja de apoyo v2'!$A$17:$A$20,0)),"")</f>
        <v>0.54706375874806301</v>
      </c>
      <c r="P398" s="793">
        <f>IFERROR(INDEX('Hoja de apoyo v2'!D$17:D$20,MATCH($A398,'Hoja de apoyo v2'!$A$17:$A$20,0)),"")</f>
        <v>11095.153935793827</v>
      </c>
      <c r="Q398" s="793">
        <f>IFERROR(INDEX('Hoja de apoyo v2'!E$17:E$20,MATCH($A398,'Hoja de apoyo v2'!$A$17:$A$20,0)),"")</f>
        <v>6982.3202019701848</v>
      </c>
      <c r="R398" s="793">
        <f>IFERROR(INDEX('Hoja de apoyo v2'!F$17:F$20,MATCH($A398,'Hoja de apoyo v2'!$A$17:$A$20,0)),"")</f>
        <v>448.09513474485743</v>
      </c>
      <c r="S398" s="793">
        <f>IFERROR(INDEX('Hoja de apoyo v2'!G$17:G$20,MATCH($A398,'Hoja de apoyo v2'!$A$17:$A$20,0)),"")</f>
        <v>83.406300904207839</v>
      </c>
      <c r="T398" s="792">
        <f>IFERROR(INDEX('Hoja de apoyo v2'!H$17:H$20,MATCH($A398,'Hoja de apoyo v2'!$A$17:$A$20,0)),"")</f>
        <v>378.97014028925349</v>
      </c>
      <c r="U398" s="794" t="str">
        <f t="shared" si="220"/>
        <v/>
      </c>
      <c r="V398" s="795" t="str">
        <f t="shared" si="221"/>
        <v/>
      </c>
      <c r="W398" s="795" t="str">
        <f t="shared" si="222"/>
        <v/>
      </c>
      <c r="X398" s="843" t="str">
        <f t="shared" si="223"/>
        <v/>
      </c>
      <c r="Y398" s="843" t="str">
        <f t="shared" si="224"/>
        <v/>
      </c>
      <c r="Z398" s="843" t="str">
        <f t="shared" si="225"/>
        <v/>
      </c>
      <c r="AA398" s="843">
        <f t="shared" si="226"/>
        <v>0.61194997857551614</v>
      </c>
      <c r="AB398" s="796">
        <f t="shared" si="227"/>
        <v>0</v>
      </c>
      <c r="AC398" s="797">
        <f t="shared" si="228"/>
        <v>0</v>
      </c>
      <c r="AD398" s="797">
        <f t="shared" si="229"/>
        <v>0</v>
      </c>
      <c r="AE398" s="842">
        <f t="shared" si="230"/>
        <v>0</v>
      </c>
      <c r="AF398" s="842">
        <f t="shared" si="231"/>
        <v>0</v>
      </c>
      <c r="AG398" s="842">
        <f t="shared" si="232"/>
        <v>0</v>
      </c>
      <c r="AH398" s="842">
        <f t="shared" si="233"/>
        <v>2</v>
      </c>
      <c r="AI398" s="826" cm="1">
        <f t="array" ref="AI398">SUMPRODUCT(--ISNUMBER($U398:$AA398),$AB$3:$AH$3)</f>
        <v>8.9789113613062493E-2</v>
      </c>
      <c r="AJ398" s="829" t="str">
        <f t="shared" si="234"/>
        <v/>
      </c>
      <c r="AK398" s="827" t="str">
        <f t="shared" si="235"/>
        <v>Ruta inactiva</v>
      </c>
      <c r="AL398" s="784" t="str">
        <f t="shared" si="236"/>
        <v>n/a</v>
      </c>
      <c r="AM398" s="799">
        <f>IF(ISNUMBER('Base de datos Rutas'!W396),'Base de datos Rutas'!W396,"")</f>
        <v>3427.1365491869451</v>
      </c>
      <c r="AN398" s="787">
        <f>IFERROR(SUMIFS('Base de datos Rutas'!$W$6:$W$794,'Base de datos Rutas'!$C$6:$C$794,$C398)/'Base de datos Rutas'!I396,"")</f>
        <v>3427.1365491869487</v>
      </c>
      <c r="AO398" s="800">
        <f>IFERROR('Base de datos Rutas'!X396*AN398/AM398,"")</f>
        <v>0.3483939033672564</v>
      </c>
      <c r="AP398" s="800">
        <f t="shared" si="237"/>
        <v>0.6516060966327436</v>
      </c>
      <c r="AQ398" s="789">
        <f>IFERROR(INDEX('Hoja de apoyo v2'!$J$17:$J$20,MATCH($A398,'Hoja de apoyo v2'!$A$17:$A$20,0)),"")</f>
        <v>0.64320274048480885</v>
      </c>
      <c r="AR398" s="789">
        <f t="shared" si="238"/>
        <v>8.4033561479347485E-3</v>
      </c>
      <c r="AS398" s="784" t="str">
        <f t="shared" si="239"/>
        <v>No</v>
      </c>
      <c r="AT398" s="801" t="str">
        <f>IF(ISNUMBER('Base de datos Rutas'!CK396),'Base de datos Rutas'!CK396,"")</f>
        <v/>
      </c>
      <c r="AU398" s="802" t="str">
        <f>IF(ISNUMBER('Base de datos Rutas'!CL396),'Base de datos Rutas'!CL396,"")</f>
        <v/>
      </c>
      <c r="AV398" s="802">
        <f>IF(ISNUMBER('Base de datos Rutas'!CM396),'Base de datos Rutas'!CM396,"")</f>
        <v>0</v>
      </c>
      <c r="AW398" s="802" t="str">
        <f>IF(ISNUMBER('Base de datos Rutas'!CN396),'Base de datos Rutas'!CN396,"")</f>
        <v/>
      </c>
      <c r="AX398" s="802" t="str">
        <f>IF(ISNUMBER('Base de datos Rutas'!CO396),'Base de datos Rutas'!CO396,"")</f>
        <v/>
      </c>
      <c r="AY398" s="802">
        <f>IF(ISNUMBER('Base de datos Rutas'!CP396),'Base de datos Rutas'!CP396,"")</f>
        <v>0</v>
      </c>
      <c r="AZ398" s="802" t="str">
        <f>IF(ISNUMBER('Base de datos Rutas'!CQ396),'Base de datos Rutas'!CQ396,"")</f>
        <v/>
      </c>
      <c r="BA398" s="802" t="str">
        <f>IF(ISNUMBER('Base de datos Rutas'!CR396),'Base de datos Rutas'!CR396,"")</f>
        <v/>
      </c>
      <c r="BB398" s="803">
        <f>IF(ISNUMBER('Base de datos Rutas'!CS396),'Base de datos Rutas'!CS396,"")</f>
        <v>0</v>
      </c>
      <c r="BC398" s="804" t="str">
        <f t="shared" si="249"/>
        <v/>
      </c>
      <c r="BD398" s="805" t="str">
        <f t="shared" si="250"/>
        <v>N/D</v>
      </c>
      <c r="BE398" s="806" t="str">
        <f t="shared" si="251"/>
        <v/>
      </c>
      <c r="BF398" s="890" t="str">
        <f>IF(ISNUMBER('Base de datos Rutas'!CX396),'Base de datos Rutas'!CX396/100,"")</f>
        <v/>
      </c>
      <c r="BG398" s="891" t="str">
        <f>IF(ISNUMBER('Base de datos Rutas'!CZ396),'Base de datos Rutas'!CZ396/100,"")</f>
        <v/>
      </c>
      <c r="BH398" s="892" t="str">
        <f>IF(ISNUMBER('Base de datos Rutas'!DA396),'Base de datos Rutas'!DA396,"")</f>
        <v/>
      </c>
      <c r="BI398" s="893" t="str">
        <f>IF(ISNUMBER('Base de datos Rutas'!DC396),'Base de datos Rutas'!DC396,"")</f>
        <v/>
      </c>
      <c r="BJ398" s="805" t="str">
        <f t="shared" si="252"/>
        <v>Sin dato</v>
      </c>
      <c r="BK398" s="783">
        <f t="shared" si="240"/>
        <v>0</v>
      </c>
      <c r="BL398" s="797">
        <f t="shared" si="241"/>
        <v>0</v>
      </c>
      <c r="BM398" s="797">
        <f t="shared" si="242"/>
        <v>0</v>
      </c>
      <c r="BN398" s="797">
        <f t="shared" si="243"/>
        <v>0</v>
      </c>
      <c r="BO398" s="798" cm="1">
        <f t="array" ref="BO398">SUMPRODUCT(--ISNUMBER($BF398:$BI398),$BK$3:$BN$3)</f>
        <v>0</v>
      </c>
      <c r="BP398" s="831" t="str">
        <f t="shared" si="253"/>
        <v/>
      </c>
      <c r="BQ398" s="834" t="str">
        <f t="shared" si="254"/>
        <v>Sin datos</v>
      </c>
      <c r="BR398" s="836" t="str">
        <f t="shared" si="244"/>
        <v/>
      </c>
      <c r="BS398" s="836" t="str">
        <f t="shared" si="245"/>
        <v/>
      </c>
      <c r="BT398" s="837" t="str">
        <f t="shared" si="246"/>
        <v>Sin datos</v>
      </c>
      <c r="BU398" s="807" t="str">
        <f t="shared" si="255"/>
        <v>No evaluable</v>
      </c>
      <c r="BV398" s="807" t="str">
        <f t="shared" si="247"/>
        <v>No evaluable</v>
      </c>
      <c r="BW398" s="808" t="str">
        <f t="shared" si="248"/>
        <v>Sin datos</v>
      </c>
    </row>
    <row r="399" spans="1:75">
      <c r="A399" s="780" t="str">
        <f>'Base de datos Rutas'!A397</f>
        <v>Occidente</v>
      </c>
      <c r="B399" s="781" t="str">
        <f>'Base de datos Rutas'!B397</f>
        <v>Zapopan</v>
      </c>
      <c r="C399" s="781" t="str">
        <f>'Base de datos Rutas'!C397</f>
        <v>Planta Zapopan</v>
      </c>
      <c r="D399" s="782">
        <f>IF(ISNUMBER('Base de datos Rutas'!D397),'Base de datos Rutas'!D397,"Sin código")</f>
        <v>816394</v>
      </c>
      <c r="E399" s="783" t="str">
        <f>'Base de datos Rutas'!F397</f>
        <v>Activa</v>
      </c>
      <c r="F399" s="784" t="str">
        <f>'Base de datos Rutas'!H397</f>
        <v>Sí</v>
      </c>
      <c r="G399" s="785">
        <f>IF(ISNUMBER('Base de datos Rutas'!BE397),'Base de datos Rutas'!BE397,"")</f>
        <v>76.027842227378201</v>
      </c>
      <c r="H399" s="786">
        <f>IF(ISNUMBER('Base de datos Rutas'!BH397),'Base de datos Rutas'!BH397,"")</f>
        <v>0.344207763671875</v>
      </c>
      <c r="I399" s="788">
        <f>IFERROR(IF(OR(NOT(ISNUMBER('Base de datos Rutas'!O397)),N('Base de datos Rutas'!BK397)=0),"",'Base de datos Rutas'!O397/('Base de datos Rutas'!L397/'Base de datos Rutas'!BK397)),"")</f>
        <v>2809.4199535962889</v>
      </c>
      <c r="J399" s="788">
        <f>IFERROR(IF(OR(NOT(ISNUMBER('Base de datos Rutas'!N397)),N('Base de datos Rutas'!BK397)=0),"",'Base de datos Rutas'!N397/('Base de datos Rutas'!L397/'Base de datos Rutas'!BK397)),"")</f>
        <v>6203.6426914153153</v>
      </c>
      <c r="K399" s="788">
        <f>IFERROR(IF(OR(NOT(ISNUMBER('Base de datos Rutas'!J397)),N('Base de datos Rutas'!BK397)=0),"",'Base de datos Rutas'!J397/('Base de datos Rutas'!L397/'Base de datos Rutas'!BK397)),"")</f>
        <v>423.94658375870091</v>
      </c>
      <c r="L399" s="788">
        <f>IFERROR(IF(OR(NOT(ISNUMBER('Base de datos Rutas'!K397)),N('Base de datos Rutas'!BK397)=0),"",'Base de datos Rutas'!K397/('Base de datos Rutas'!L397/'Base de datos Rutas'!BK397)),"")</f>
        <v>18.856522651972163</v>
      </c>
      <c r="M399" s="787">
        <f>IF(ISNUMBER('Base de datos Rutas'!AX397),'Base de datos Rutas'!AX397,"")</f>
        <v>344.41262700594001</v>
      </c>
      <c r="N399" s="790">
        <f>IFERROR(INDEX('Hoja de apoyo v2'!B$17:B$20,MATCH($A399,'Hoja de apoyo v2'!$A$17:$A$20,0)),"")</f>
        <v>89.41621024641401</v>
      </c>
      <c r="O399" s="791">
        <f>IFERROR(INDEX('Hoja de apoyo v2'!C$17:C$20,MATCH($A399,'Hoja de apoyo v2'!$A$17:$A$20,0)),"")</f>
        <v>0.54706375874806301</v>
      </c>
      <c r="P399" s="793">
        <f>IFERROR(INDEX('Hoja de apoyo v2'!D$17:D$20,MATCH($A399,'Hoja de apoyo v2'!$A$17:$A$20,0)),"")</f>
        <v>11095.153935793827</v>
      </c>
      <c r="Q399" s="793">
        <f>IFERROR(INDEX('Hoja de apoyo v2'!E$17:E$20,MATCH($A399,'Hoja de apoyo v2'!$A$17:$A$20,0)),"")</f>
        <v>6982.3202019701848</v>
      </c>
      <c r="R399" s="793">
        <f>IFERROR(INDEX('Hoja de apoyo v2'!F$17:F$20,MATCH($A399,'Hoja de apoyo v2'!$A$17:$A$20,0)),"")</f>
        <v>448.09513474485743</v>
      </c>
      <c r="S399" s="793">
        <f>IFERROR(INDEX('Hoja de apoyo v2'!G$17:G$20,MATCH($A399,'Hoja de apoyo v2'!$A$17:$A$20,0)),"")</f>
        <v>83.406300904207839</v>
      </c>
      <c r="T399" s="792">
        <f>IFERROR(INDEX('Hoja de apoyo v2'!H$17:H$20,MATCH($A399,'Hoja de apoyo v2'!$A$17:$A$20,0)),"")</f>
        <v>378.97014028925349</v>
      </c>
      <c r="U399" s="794">
        <f t="shared" si="220"/>
        <v>0.85026911806997829</v>
      </c>
      <c r="V399" s="795">
        <f t="shared" si="221"/>
        <v>0.62919131119119076</v>
      </c>
      <c r="W399" s="795">
        <f t="shared" si="222"/>
        <v>0.25321144437058074</v>
      </c>
      <c r="X399" s="843">
        <f t="shared" si="223"/>
        <v>0.88847868788155093</v>
      </c>
      <c r="Y399" s="843">
        <f t="shared" si="224"/>
        <v>0.9461084285150595</v>
      </c>
      <c r="Z399" s="843">
        <f t="shared" si="225"/>
        <v>0.22608031344812768</v>
      </c>
      <c r="AA399" s="843">
        <f t="shared" si="226"/>
        <v>0.90881204187502196</v>
      </c>
      <c r="AB399" s="796">
        <f t="shared" si="227"/>
        <v>3</v>
      </c>
      <c r="AC399" s="797">
        <f t="shared" si="228"/>
        <v>2</v>
      </c>
      <c r="AD399" s="797">
        <f t="shared" si="229"/>
        <v>1</v>
      </c>
      <c r="AE399" s="842">
        <f t="shared" si="230"/>
        <v>3</v>
      </c>
      <c r="AF399" s="842">
        <f t="shared" si="231"/>
        <v>3</v>
      </c>
      <c r="AG399" s="842">
        <f t="shared" si="232"/>
        <v>1</v>
      </c>
      <c r="AH399" s="842">
        <f t="shared" si="233"/>
        <v>3</v>
      </c>
      <c r="AI399" s="826" cm="1">
        <f t="array" ref="AI399">SUMPRODUCT(--ISNUMBER($U399:$AA399),$AB$3:$AH$3)</f>
        <v>1</v>
      </c>
      <c r="AJ399" s="829">
        <f t="shared" si="234"/>
        <v>28.610617939334084</v>
      </c>
      <c r="AK399" s="827" t="str">
        <f t="shared" si="235"/>
        <v>Inmadura</v>
      </c>
      <c r="AL399" s="784" t="str">
        <f t="shared" si="236"/>
        <v>Alta</v>
      </c>
      <c r="AM399" s="799">
        <f>IF(ISNUMBER('Base de datos Rutas'!W397),'Base de datos Rutas'!W397,"")</f>
        <v>3427.1365491869451</v>
      </c>
      <c r="AN399" s="787">
        <f>IFERROR(SUMIFS('Base de datos Rutas'!$W$6:$W$794,'Base de datos Rutas'!$C$6:$C$794,$C399)/'Base de datos Rutas'!I397,"")</f>
        <v>3427.1365491869487</v>
      </c>
      <c r="AO399" s="800">
        <f>IFERROR('Base de datos Rutas'!X397*AN399/AM399,"")</f>
        <v>0.3483939033672564</v>
      </c>
      <c r="AP399" s="800">
        <f t="shared" si="237"/>
        <v>0.6516060966327436</v>
      </c>
      <c r="AQ399" s="789">
        <f>IFERROR(INDEX('Hoja de apoyo v2'!$J$17:$J$20,MATCH($A399,'Hoja de apoyo v2'!$A$17:$A$20,0)),"")</f>
        <v>0.64320274048480885</v>
      </c>
      <c r="AR399" s="789">
        <f t="shared" si="238"/>
        <v>8.4033561479347485E-3</v>
      </c>
      <c r="AS399" s="784" t="str">
        <f t="shared" si="239"/>
        <v>No</v>
      </c>
      <c r="AT399" s="801">
        <f>IF(ISNUMBER('Base de datos Rutas'!CK397),'Base de datos Rutas'!CK397,"")</f>
        <v>422</v>
      </c>
      <c r="AU399" s="802">
        <f>IF(ISNUMBER('Base de datos Rutas'!CL397),'Base de datos Rutas'!CL397,"")</f>
        <v>440.79</v>
      </c>
      <c r="AV399" s="802">
        <f>IF(ISNUMBER('Base de datos Rutas'!CM397),'Base de datos Rutas'!CM397,"")</f>
        <v>18.79000000000002</v>
      </c>
      <c r="AW399" s="802">
        <f>IF(ISNUMBER('Base de datos Rutas'!CN397),'Base de datos Rutas'!CN397,"")</f>
        <v>6.74</v>
      </c>
      <c r="AX399" s="802">
        <f>IF(ISNUMBER('Base de datos Rutas'!CO397),'Base de datos Rutas'!CO397,"")</f>
        <v>9.4499999999999993</v>
      </c>
      <c r="AY399" s="802">
        <f>IF(ISNUMBER('Base de datos Rutas'!CP397),'Base de datos Rutas'!CP397,"")</f>
        <v>2.7099999999999991</v>
      </c>
      <c r="AZ399" s="802">
        <f>IF(ISNUMBER('Base de datos Rutas'!CQ397),'Base de datos Rutas'!CQ397,"")</f>
        <v>564.37</v>
      </c>
      <c r="BA399" s="802">
        <f>IF(ISNUMBER('Base de datos Rutas'!CR397),'Base de datos Rutas'!CR397,"")</f>
        <v>442.8</v>
      </c>
      <c r="BB399" s="803">
        <f>IF(ISNUMBER('Base de datos Rutas'!CS397),'Base de datos Rutas'!CS397,"")</f>
        <v>121.57</v>
      </c>
      <c r="BC399" s="804">
        <f t="shared" si="249"/>
        <v>0</v>
      </c>
      <c r="BD399" s="805" t="str">
        <f t="shared" si="250"/>
        <v>No saturada</v>
      </c>
      <c r="BE399" s="806">
        <f t="shared" si="251"/>
        <v>0.78459166858621121</v>
      </c>
      <c r="BF399" s="890">
        <f>IF(ISNUMBER('Base de datos Rutas'!CX397),'Base de datos Rutas'!CX397/100,"")</f>
        <v>0.13509461009174312</v>
      </c>
      <c r="BG399" s="891">
        <f>IF(ISNUMBER('Base de datos Rutas'!CZ397),'Base de datos Rutas'!CZ397/100,"")</f>
        <v>0.14048165137614679</v>
      </c>
      <c r="BH399" s="892">
        <f>IF(ISNUMBER('Base de datos Rutas'!DA397),'Base de datos Rutas'!DA397,"")</f>
        <v>62.524642194143368</v>
      </c>
      <c r="BI399" s="893">
        <f>IF(ISNUMBER('Base de datos Rutas'!DC397),'Base de datos Rutas'!DC397,"")</f>
        <v>2.7570513204383493</v>
      </c>
      <c r="BJ399" s="805" t="str">
        <f t="shared" si="252"/>
        <v>Ruta (completo)</v>
      </c>
      <c r="BK399" s="783">
        <f t="shared" si="240"/>
        <v>1</v>
      </c>
      <c r="BL399" s="797">
        <f t="shared" si="241"/>
        <v>1</v>
      </c>
      <c r="BM399" s="797">
        <f t="shared" si="242"/>
        <v>1</v>
      </c>
      <c r="BN399" s="797">
        <f t="shared" si="243"/>
        <v>1</v>
      </c>
      <c r="BO399" s="798" cm="1">
        <f t="array" ref="BO399">SUMPRODUCT(--ISNUMBER($BF399:$BI399),$BK$3:$BN$3)</f>
        <v>1</v>
      </c>
      <c r="BP399" s="831">
        <f t="shared" si="253"/>
        <v>0</v>
      </c>
      <c r="BQ399" s="834" t="str">
        <f t="shared" si="254"/>
        <v>Bajo</v>
      </c>
      <c r="BR399" s="836">
        <f t="shared" si="244"/>
        <v>21.457963454500565</v>
      </c>
      <c r="BS399" s="836">
        <f t="shared" si="245"/>
        <v>0</v>
      </c>
      <c r="BT399" s="837" t="str">
        <f t="shared" si="246"/>
        <v>P4</v>
      </c>
      <c r="BU399" s="807" t="str">
        <f t="shared" si="255"/>
        <v>Con espacio</v>
      </c>
      <c r="BV399" s="807" t="str">
        <f t="shared" si="247"/>
        <v>Zona de bajo potencial</v>
      </c>
      <c r="BW399" s="808" t="str">
        <f t="shared" si="248"/>
        <v>P4 - Evaluar</v>
      </c>
    </row>
    <row r="400" spans="1:75">
      <c r="A400" s="780" t="str">
        <f>'Base de datos Rutas'!A398</f>
        <v>Occidente</v>
      </c>
      <c r="B400" s="781" t="str">
        <f>'Base de datos Rutas'!B398</f>
        <v>Zapopan</v>
      </c>
      <c r="C400" s="781" t="str">
        <f>'Base de datos Rutas'!C398</f>
        <v>Planta Zapopan</v>
      </c>
      <c r="D400" s="782">
        <f>IF(ISNUMBER('Base de datos Rutas'!D398),'Base de datos Rutas'!D398,"Sin código")</f>
        <v>816395</v>
      </c>
      <c r="E400" s="783" t="str">
        <f>'Base de datos Rutas'!F398</f>
        <v>Activa</v>
      </c>
      <c r="F400" s="784" t="str">
        <f>'Base de datos Rutas'!H398</f>
        <v>Sí</v>
      </c>
      <c r="G400" s="785">
        <f>IF(ISNUMBER('Base de datos Rutas'!BE398),'Base de datos Rutas'!BE398,"")</f>
        <v>44.997690531177803</v>
      </c>
      <c r="H400" s="786">
        <f>IF(ISNUMBER('Base de datos Rutas'!BH398),'Base de datos Rutas'!BH398,"")</f>
        <v>0.44277355779100802</v>
      </c>
      <c r="I400" s="788">
        <f>IFERROR(IF(OR(NOT(ISNUMBER('Base de datos Rutas'!O398)),N('Base de datos Rutas'!BK398)=0),"",'Base de datos Rutas'!O398/('Base de datos Rutas'!L398/'Base de datos Rutas'!BK398)),"")</f>
        <v>2103.8290993071569</v>
      </c>
      <c r="J400" s="788">
        <f>IFERROR(IF(OR(NOT(ISNUMBER('Base de datos Rutas'!N398)),N('Base de datos Rutas'!BK398)=0),"",'Base de datos Rutas'!N398/('Base de datos Rutas'!L398/'Base de datos Rutas'!BK398)),"")</f>
        <v>5828.3556581986077</v>
      </c>
      <c r="K400" s="788">
        <f>IFERROR(IF(OR(NOT(ISNUMBER('Base de datos Rutas'!J398)),N('Base de datos Rutas'!BK398)=0),"",'Base de datos Rutas'!J398/('Base de datos Rutas'!L398/'Base de datos Rutas'!BK398)),"")</f>
        <v>397.86036766743604</v>
      </c>
      <c r="L400" s="788">
        <f>IFERROR(IF(OR(NOT(ISNUMBER('Base de datos Rutas'!K398)),N('Base de datos Rutas'!BK398)=0),"",'Base de datos Rutas'!K398/('Base de datos Rutas'!L398/'Base de datos Rutas'!BK398)),"")</f>
        <v>15.00801963048497</v>
      </c>
      <c r="M400" s="787">
        <f>IF(ISNUMBER('Base de datos Rutas'!AX398),'Base de datos Rutas'!AX398,"")</f>
        <v>398.12645415555801</v>
      </c>
      <c r="N400" s="790">
        <f>IFERROR(INDEX('Hoja de apoyo v2'!B$17:B$20,MATCH($A400,'Hoja de apoyo v2'!$A$17:$A$20,0)),"")</f>
        <v>89.41621024641401</v>
      </c>
      <c r="O400" s="791">
        <f>IFERROR(INDEX('Hoja de apoyo v2'!C$17:C$20,MATCH($A400,'Hoja de apoyo v2'!$A$17:$A$20,0)),"")</f>
        <v>0.54706375874806301</v>
      </c>
      <c r="P400" s="793">
        <f>IFERROR(INDEX('Hoja de apoyo v2'!D$17:D$20,MATCH($A400,'Hoja de apoyo v2'!$A$17:$A$20,0)),"")</f>
        <v>11095.153935793827</v>
      </c>
      <c r="Q400" s="793">
        <f>IFERROR(INDEX('Hoja de apoyo v2'!E$17:E$20,MATCH($A400,'Hoja de apoyo v2'!$A$17:$A$20,0)),"")</f>
        <v>6982.3202019701848</v>
      </c>
      <c r="R400" s="793">
        <f>IFERROR(INDEX('Hoja de apoyo v2'!F$17:F$20,MATCH($A400,'Hoja de apoyo v2'!$A$17:$A$20,0)),"")</f>
        <v>448.09513474485743</v>
      </c>
      <c r="S400" s="793">
        <f>IFERROR(INDEX('Hoja de apoyo v2'!G$17:G$20,MATCH($A400,'Hoja de apoyo v2'!$A$17:$A$20,0)),"")</f>
        <v>83.406300904207839</v>
      </c>
      <c r="T400" s="792">
        <f>IFERROR(INDEX('Hoja de apoyo v2'!H$17:H$20,MATCH($A400,'Hoja de apoyo v2'!$A$17:$A$20,0)),"")</f>
        <v>378.97014028925349</v>
      </c>
      <c r="U400" s="794">
        <f t="shared" si="220"/>
        <v>0.5032386231442012</v>
      </c>
      <c r="V400" s="795">
        <f t="shared" si="221"/>
        <v>0.80936371805048901</v>
      </c>
      <c r="W400" s="795">
        <f t="shared" si="222"/>
        <v>0.18961693650054201</v>
      </c>
      <c r="X400" s="843">
        <f t="shared" si="223"/>
        <v>0.83473050355869305</v>
      </c>
      <c r="Y400" s="843">
        <f t="shared" si="224"/>
        <v>0.88789262997460405</v>
      </c>
      <c r="Z400" s="843">
        <f t="shared" si="225"/>
        <v>0.17993867930579591</v>
      </c>
      <c r="AA400" s="843">
        <f t="shared" si="226"/>
        <v>1.0505483462409024</v>
      </c>
      <c r="AB400" s="796">
        <f t="shared" si="227"/>
        <v>2</v>
      </c>
      <c r="AC400" s="797">
        <f t="shared" si="228"/>
        <v>3</v>
      </c>
      <c r="AD400" s="797">
        <f t="shared" si="229"/>
        <v>1</v>
      </c>
      <c r="AE400" s="842">
        <f t="shared" si="230"/>
        <v>3</v>
      </c>
      <c r="AF400" s="842">
        <f t="shared" si="231"/>
        <v>3</v>
      </c>
      <c r="AG400" s="842">
        <f t="shared" si="232"/>
        <v>1</v>
      </c>
      <c r="AH400" s="842">
        <f t="shared" si="233"/>
        <v>4</v>
      </c>
      <c r="AI400" s="826" cm="1">
        <f t="array" ref="AI400">SUMPRODUCT(--ISNUMBER($U400:$AA400),$AB$3:$AH$3)</f>
        <v>1</v>
      </c>
      <c r="AJ400" s="829">
        <f t="shared" si="234"/>
        <v>28.704615187414372</v>
      </c>
      <c r="AK400" s="827" t="str">
        <f t="shared" si="235"/>
        <v>Inmadura</v>
      </c>
      <c r="AL400" s="784" t="str">
        <f t="shared" si="236"/>
        <v>Alta</v>
      </c>
      <c r="AM400" s="799">
        <f>IF(ISNUMBER('Base de datos Rutas'!W398),'Base de datos Rutas'!W398,"")</f>
        <v>3427.1365491869451</v>
      </c>
      <c r="AN400" s="787">
        <f>IFERROR(SUMIFS('Base de datos Rutas'!$W$6:$W$794,'Base de datos Rutas'!$C$6:$C$794,$C400)/'Base de datos Rutas'!I398,"")</f>
        <v>3427.1365491869487</v>
      </c>
      <c r="AO400" s="800">
        <f>IFERROR('Base de datos Rutas'!X398*AN400/AM400,"")</f>
        <v>0.3483939033672564</v>
      </c>
      <c r="AP400" s="800">
        <f t="shared" si="237"/>
        <v>0.6516060966327436</v>
      </c>
      <c r="AQ400" s="789">
        <f>IFERROR(INDEX('Hoja de apoyo v2'!$J$17:$J$20,MATCH($A400,'Hoja de apoyo v2'!$A$17:$A$20,0)),"")</f>
        <v>0.64320274048480885</v>
      </c>
      <c r="AR400" s="789">
        <f t="shared" si="238"/>
        <v>8.4033561479347485E-3</v>
      </c>
      <c r="AS400" s="784" t="str">
        <f t="shared" si="239"/>
        <v>No</v>
      </c>
      <c r="AT400" s="801">
        <f>IF(ISNUMBER('Base de datos Rutas'!CK398),'Base de datos Rutas'!CK398,"")</f>
        <v>319</v>
      </c>
      <c r="AU400" s="802">
        <f>IF(ISNUMBER('Base de datos Rutas'!CL398),'Base de datos Rutas'!CL398,"")</f>
        <v>470.75</v>
      </c>
      <c r="AV400" s="802">
        <f>IF(ISNUMBER('Base de datos Rutas'!CM398),'Base de datos Rutas'!CM398,"")</f>
        <v>151.75</v>
      </c>
      <c r="AW400" s="802">
        <f>IF(ISNUMBER('Base de datos Rutas'!CN398),'Base de datos Rutas'!CN398,"")</f>
        <v>7.56</v>
      </c>
      <c r="AX400" s="802">
        <f>IF(ISNUMBER('Base de datos Rutas'!CO398),'Base de datos Rutas'!CO398,"")</f>
        <v>9.4499999999999993</v>
      </c>
      <c r="AY400" s="802">
        <f>IF(ISNUMBER('Base de datos Rutas'!CP398),'Base de datos Rutas'!CP398,"")</f>
        <v>1.8899999999999997</v>
      </c>
      <c r="AZ400" s="802">
        <f>IF(ISNUMBER('Base de datos Rutas'!CQ398),'Base de datos Rutas'!CQ398,"")</f>
        <v>564.37</v>
      </c>
      <c r="BA400" s="802">
        <f>IF(ISNUMBER('Base de datos Rutas'!CR398),'Base de datos Rutas'!CR398,"")</f>
        <v>412.87</v>
      </c>
      <c r="BB400" s="803">
        <f>IF(ISNUMBER('Base de datos Rutas'!CS398),'Base de datos Rutas'!CS398,"")</f>
        <v>151.5</v>
      </c>
      <c r="BC400" s="804">
        <f t="shared" si="249"/>
        <v>0</v>
      </c>
      <c r="BD400" s="805" t="str">
        <f t="shared" si="250"/>
        <v>No saturada</v>
      </c>
      <c r="BE400" s="806">
        <f t="shared" si="251"/>
        <v>0.73155908357992094</v>
      </c>
      <c r="BF400" s="890">
        <f>IF(ISNUMBER('Base de datos Rutas'!CX398),'Base de datos Rutas'!CX398/100,"")</f>
        <v>0.6805113937466879</v>
      </c>
      <c r="BG400" s="891">
        <f>IF(ISNUMBER('Base de datos Rutas'!CZ398),'Base de datos Rutas'!CZ398/100,"")</f>
        <v>0.7207207207207208</v>
      </c>
      <c r="BH400" s="892">
        <f>IF(ISNUMBER('Base de datos Rutas'!DA398),'Base de datos Rutas'!DA398,"")</f>
        <v>619.27724638604082</v>
      </c>
      <c r="BI400" s="893">
        <f>IF(ISNUMBER('Base de datos Rutas'!DC398),'Base de datos Rutas'!DC398,"")</f>
        <v>31.57760427943705</v>
      </c>
      <c r="BJ400" s="805" t="str">
        <f t="shared" si="252"/>
        <v>Ruta (completo)</v>
      </c>
      <c r="BK400" s="783">
        <f t="shared" si="240"/>
        <v>2</v>
      </c>
      <c r="BL400" s="797">
        <f t="shared" si="241"/>
        <v>2</v>
      </c>
      <c r="BM400" s="797">
        <f t="shared" si="242"/>
        <v>2</v>
      </c>
      <c r="BN400" s="797">
        <f t="shared" si="243"/>
        <v>3</v>
      </c>
      <c r="BO400" s="798" cm="1">
        <f t="array" ref="BO400">SUMPRODUCT(--ISNUMBER($BF400:$BI400),$BK$3:$BN$3)</f>
        <v>1</v>
      </c>
      <c r="BP400" s="831">
        <f t="shared" si="253"/>
        <v>31.25</v>
      </c>
      <c r="BQ400" s="834" t="str">
        <f t="shared" si="254"/>
        <v>Medio</v>
      </c>
      <c r="BR400" s="836">
        <f t="shared" si="244"/>
        <v>21.528461390560778</v>
      </c>
      <c r="BS400" s="836">
        <f t="shared" si="245"/>
        <v>31.25</v>
      </c>
      <c r="BT400" s="837" t="str">
        <f t="shared" si="246"/>
        <v>P4</v>
      </c>
      <c r="BU400" s="807" t="str">
        <f t="shared" si="255"/>
        <v>Con espacio</v>
      </c>
      <c r="BV400" s="807" t="str">
        <f t="shared" si="247"/>
        <v>Zona de bajo potencial</v>
      </c>
      <c r="BW400" s="808" t="str">
        <f t="shared" si="248"/>
        <v>P4 - Evaluar</v>
      </c>
    </row>
    <row r="401" spans="1:75">
      <c r="A401" s="780" t="str">
        <f>'Base de datos Rutas'!A399</f>
        <v>Occidente</v>
      </c>
      <c r="B401" s="781" t="str">
        <f>'Base de datos Rutas'!B399</f>
        <v>Zapopan</v>
      </c>
      <c r="C401" s="781" t="str">
        <f>'Base de datos Rutas'!C399</f>
        <v>Planta Zapopan</v>
      </c>
      <c r="D401" s="782">
        <f>IF(ISNUMBER('Base de datos Rutas'!D399),'Base de datos Rutas'!D399,"Sin código")</f>
        <v>816396</v>
      </c>
      <c r="E401" s="783" t="str">
        <f>'Base de datos Rutas'!F399</f>
        <v>Inactiva</v>
      </c>
      <c r="F401" s="784" t="str">
        <f>'Base de datos Rutas'!H399</f>
        <v>No</v>
      </c>
      <c r="G401" s="785" t="str">
        <f>IF(ISNUMBER('Base de datos Rutas'!BE399),'Base de datos Rutas'!BE399,"")</f>
        <v/>
      </c>
      <c r="H401" s="786" t="str">
        <f>IF(ISNUMBER('Base de datos Rutas'!BH399),'Base de datos Rutas'!BH399,"")</f>
        <v/>
      </c>
      <c r="I401" s="788" t="str">
        <f>IFERROR(IF(OR(NOT(ISNUMBER('Base de datos Rutas'!O399)),N('Base de datos Rutas'!BK399)=0),"",'Base de datos Rutas'!O399/('Base de datos Rutas'!L399/'Base de datos Rutas'!BK399)),"")</f>
        <v/>
      </c>
      <c r="J401" s="788" t="str">
        <f>IFERROR(IF(OR(NOT(ISNUMBER('Base de datos Rutas'!N399)),N('Base de datos Rutas'!BK399)=0),"",'Base de datos Rutas'!N399/('Base de datos Rutas'!L399/'Base de datos Rutas'!BK399)),"")</f>
        <v/>
      </c>
      <c r="K401" s="788" t="str">
        <f>IFERROR(IF(OR(NOT(ISNUMBER('Base de datos Rutas'!J399)),N('Base de datos Rutas'!BK399)=0),"",'Base de datos Rutas'!J399/('Base de datos Rutas'!L399/'Base de datos Rutas'!BK399)),"")</f>
        <v/>
      </c>
      <c r="L401" s="788" t="str">
        <f>IFERROR(IF(OR(NOT(ISNUMBER('Base de datos Rutas'!K399)),N('Base de datos Rutas'!BK399)=0),"",'Base de datos Rutas'!K399/('Base de datos Rutas'!L399/'Base de datos Rutas'!BK399)),"")</f>
        <v/>
      </c>
      <c r="M401" s="787">
        <f>IF(ISNUMBER('Base de datos Rutas'!AX399),'Base de datos Rutas'!AX399,"")</f>
        <v>1593.84585858586</v>
      </c>
      <c r="N401" s="790">
        <f>IFERROR(INDEX('Hoja de apoyo v2'!B$17:B$20,MATCH($A401,'Hoja de apoyo v2'!$A$17:$A$20,0)),"")</f>
        <v>89.41621024641401</v>
      </c>
      <c r="O401" s="791">
        <f>IFERROR(INDEX('Hoja de apoyo v2'!C$17:C$20,MATCH($A401,'Hoja de apoyo v2'!$A$17:$A$20,0)),"")</f>
        <v>0.54706375874806301</v>
      </c>
      <c r="P401" s="793">
        <f>IFERROR(INDEX('Hoja de apoyo v2'!D$17:D$20,MATCH($A401,'Hoja de apoyo v2'!$A$17:$A$20,0)),"")</f>
        <v>11095.153935793827</v>
      </c>
      <c r="Q401" s="793">
        <f>IFERROR(INDEX('Hoja de apoyo v2'!E$17:E$20,MATCH($A401,'Hoja de apoyo v2'!$A$17:$A$20,0)),"")</f>
        <v>6982.3202019701848</v>
      </c>
      <c r="R401" s="793">
        <f>IFERROR(INDEX('Hoja de apoyo v2'!F$17:F$20,MATCH($A401,'Hoja de apoyo v2'!$A$17:$A$20,0)),"")</f>
        <v>448.09513474485743</v>
      </c>
      <c r="S401" s="793">
        <f>IFERROR(INDEX('Hoja de apoyo v2'!G$17:G$20,MATCH($A401,'Hoja de apoyo v2'!$A$17:$A$20,0)),"")</f>
        <v>83.406300904207839</v>
      </c>
      <c r="T401" s="792">
        <f>IFERROR(INDEX('Hoja de apoyo v2'!H$17:H$20,MATCH($A401,'Hoja de apoyo v2'!$A$17:$A$20,0)),"")</f>
        <v>378.97014028925349</v>
      </c>
      <c r="U401" s="794" t="str">
        <f t="shared" si="220"/>
        <v/>
      </c>
      <c r="V401" s="795" t="str">
        <f t="shared" si="221"/>
        <v/>
      </c>
      <c r="W401" s="795" t="str">
        <f t="shared" si="222"/>
        <v/>
      </c>
      <c r="X401" s="843" t="str">
        <f t="shared" si="223"/>
        <v/>
      </c>
      <c r="Y401" s="843" t="str">
        <f t="shared" si="224"/>
        <v/>
      </c>
      <c r="Z401" s="843" t="str">
        <f t="shared" si="225"/>
        <v/>
      </c>
      <c r="AA401" s="843">
        <f t="shared" si="226"/>
        <v>4.2057293943246767</v>
      </c>
      <c r="AB401" s="796">
        <f t="shared" si="227"/>
        <v>0</v>
      </c>
      <c r="AC401" s="797">
        <f t="shared" si="228"/>
        <v>0</v>
      </c>
      <c r="AD401" s="797">
        <f t="shared" si="229"/>
        <v>0</v>
      </c>
      <c r="AE401" s="842">
        <f t="shared" si="230"/>
        <v>0</v>
      </c>
      <c r="AF401" s="842">
        <f t="shared" si="231"/>
        <v>0</v>
      </c>
      <c r="AG401" s="842">
        <f t="shared" si="232"/>
        <v>0</v>
      </c>
      <c r="AH401" s="842">
        <f t="shared" si="233"/>
        <v>5</v>
      </c>
      <c r="AI401" s="826" cm="1">
        <f t="array" ref="AI401">SUMPRODUCT(--ISNUMBER($U401:$AA401),$AB$3:$AH$3)</f>
        <v>8.9789113613062493E-2</v>
      </c>
      <c r="AJ401" s="829" t="str">
        <f t="shared" si="234"/>
        <v/>
      </c>
      <c r="AK401" s="827" t="str">
        <f t="shared" si="235"/>
        <v>Ruta inactiva</v>
      </c>
      <c r="AL401" s="784" t="str">
        <f t="shared" si="236"/>
        <v>n/a</v>
      </c>
      <c r="AM401" s="799">
        <f>IF(ISNUMBER('Base de datos Rutas'!W399),'Base de datos Rutas'!W399,"")</f>
        <v>3427.1365491869451</v>
      </c>
      <c r="AN401" s="787">
        <f>IFERROR(SUMIFS('Base de datos Rutas'!$W$6:$W$794,'Base de datos Rutas'!$C$6:$C$794,$C401)/'Base de datos Rutas'!I399,"")</f>
        <v>3427.1365491869487</v>
      </c>
      <c r="AO401" s="800">
        <f>IFERROR('Base de datos Rutas'!X399*AN401/AM401,"")</f>
        <v>0.3483939033672564</v>
      </c>
      <c r="AP401" s="800">
        <f t="shared" si="237"/>
        <v>0.6516060966327436</v>
      </c>
      <c r="AQ401" s="789">
        <f>IFERROR(INDEX('Hoja de apoyo v2'!$J$17:$J$20,MATCH($A401,'Hoja de apoyo v2'!$A$17:$A$20,0)),"")</f>
        <v>0.64320274048480885</v>
      </c>
      <c r="AR401" s="789">
        <f t="shared" si="238"/>
        <v>8.4033561479347485E-3</v>
      </c>
      <c r="AS401" s="784" t="str">
        <f t="shared" si="239"/>
        <v>No</v>
      </c>
      <c r="AT401" s="801" t="str">
        <f>IF(ISNUMBER('Base de datos Rutas'!CK399),'Base de datos Rutas'!CK399,"")</f>
        <v/>
      </c>
      <c r="AU401" s="802" t="str">
        <f>IF(ISNUMBER('Base de datos Rutas'!CL399),'Base de datos Rutas'!CL399,"")</f>
        <v/>
      </c>
      <c r="AV401" s="802">
        <f>IF(ISNUMBER('Base de datos Rutas'!CM399),'Base de datos Rutas'!CM399,"")</f>
        <v>0</v>
      </c>
      <c r="AW401" s="802" t="str">
        <f>IF(ISNUMBER('Base de datos Rutas'!CN399),'Base de datos Rutas'!CN399,"")</f>
        <v/>
      </c>
      <c r="AX401" s="802" t="str">
        <f>IF(ISNUMBER('Base de datos Rutas'!CO399),'Base de datos Rutas'!CO399,"")</f>
        <v/>
      </c>
      <c r="AY401" s="802">
        <f>IF(ISNUMBER('Base de datos Rutas'!CP399),'Base de datos Rutas'!CP399,"")</f>
        <v>0</v>
      </c>
      <c r="AZ401" s="802" t="str">
        <f>IF(ISNUMBER('Base de datos Rutas'!CQ399),'Base de datos Rutas'!CQ399,"")</f>
        <v/>
      </c>
      <c r="BA401" s="802" t="str">
        <f>IF(ISNUMBER('Base de datos Rutas'!CR399),'Base de datos Rutas'!CR399,"")</f>
        <v/>
      </c>
      <c r="BB401" s="803">
        <f>IF(ISNUMBER('Base de datos Rutas'!CS399),'Base de datos Rutas'!CS399,"")</f>
        <v>0</v>
      </c>
      <c r="BC401" s="804" t="str">
        <f t="shared" si="249"/>
        <v/>
      </c>
      <c r="BD401" s="805" t="str">
        <f t="shared" si="250"/>
        <v>N/D</v>
      </c>
      <c r="BE401" s="806" t="str">
        <f t="shared" si="251"/>
        <v/>
      </c>
      <c r="BF401" s="890" t="str">
        <f>IF(ISNUMBER('Base de datos Rutas'!CX399),'Base de datos Rutas'!CX399/100,"")</f>
        <v/>
      </c>
      <c r="BG401" s="891" t="str">
        <f>IF(ISNUMBER('Base de datos Rutas'!CZ399),'Base de datos Rutas'!CZ399/100,"")</f>
        <v/>
      </c>
      <c r="BH401" s="892" t="str">
        <f>IF(ISNUMBER('Base de datos Rutas'!DA399),'Base de datos Rutas'!DA399,"")</f>
        <v/>
      </c>
      <c r="BI401" s="893" t="str">
        <f>IF(ISNUMBER('Base de datos Rutas'!DC399),'Base de datos Rutas'!DC399,"")</f>
        <v/>
      </c>
      <c r="BJ401" s="805" t="str">
        <f t="shared" si="252"/>
        <v>Sin dato</v>
      </c>
      <c r="BK401" s="783">
        <f t="shared" si="240"/>
        <v>0</v>
      </c>
      <c r="BL401" s="797">
        <f t="shared" si="241"/>
        <v>0</v>
      </c>
      <c r="BM401" s="797">
        <f t="shared" si="242"/>
        <v>0</v>
      </c>
      <c r="BN401" s="797">
        <f t="shared" si="243"/>
        <v>0</v>
      </c>
      <c r="BO401" s="798" cm="1">
        <f t="array" ref="BO401">SUMPRODUCT(--ISNUMBER($BF401:$BI401),$BK$3:$BN$3)</f>
        <v>0</v>
      </c>
      <c r="BP401" s="831" t="str">
        <f t="shared" si="253"/>
        <v/>
      </c>
      <c r="BQ401" s="834" t="str">
        <f t="shared" si="254"/>
        <v>Sin datos</v>
      </c>
      <c r="BR401" s="836" t="str">
        <f t="shared" si="244"/>
        <v/>
      </c>
      <c r="BS401" s="836" t="str">
        <f t="shared" si="245"/>
        <v/>
      </c>
      <c r="BT401" s="837" t="str">
        <f t="shared" si="246"/>
        <v>Sin datos</v>
      </c>
      <c r="BU401" s="807" t="str">
        <f t="shared" si="255"/>
        <v>No evaluable</v>
      </c>
      <c r="BV401" s="807" t="str">
        <f t="shared" si="247"/>
        <v>No evaluable</v>
      </c>
      <c r="BW401" s="808" t="str">
        <f t="shared" si="248"/>
        <v>Sin datos</v>
      </c>
    </row>
    <row r="402" spans="1:75">
      <c r="A402" s="780" t="str">
        <f>'Base de datos Rutas'!A400</f>
        <v>Occidente</v>
      </c>
      <c r="B402" s="781" t="str">
        <f>'Base de datos Rutas'!B400</f>
        <v>Zapopan</v>
      </c>
      <c r="C402" s="781" t="str">
        <f>'Base de datos Rutas'!C400</f>
        <v>Planta Zapopan</v>
      </c>
      <c r="D402" s="782">
        <f>IF(ISNUMBER('Base de datos Rutas'!D400),'Base de datos Rutas'!D400,"Sin código")</f>
        <v>816397</v>
      </c>
      <c r="E402" s="783" t="str">
        <f>'Base de datos Rutas'!F400</f>
        <v>Activa</v>
      </c>
      <c r="F402" s="784" t="str">
        <f>'Base de datos Rutas'!H400</f>
        <v>Sí</v>
      </c>
      <c r="G402" s="785">
        <f>IF(ISNUMBER('Base de datos Rutas'!BE400),'Base de datos Rutas'!BE400,"")</f>
        <v>76.356321839080493</v>
      </c>
      <c r="H402" s="786">
        <f>IF(ISNUMBER('Base de datos Rutas'!BH400),'Base de datos Rutas'!BH400,"")</f>
        <v>0.43341863615836201</v>
      </c>
      <c r="I402" s="788">
        <f>IFERROR(IF(OR(NOT(ISNUMBER('Base de datos Rutas'!O400)),N('Base de datos Rutas'!BK400)=0),"",'Base de datos Rutas'!O400/('Base de datos Rutas'!L400/'Base de datos Rutas'!BK400)),"")</f>
        <v>2557.4919540229903</v>
      </c>
      <c r="J402" s="788">
        <f>IFERROR(IF(OR(NOT(ISNUMBER('Base de datos Rutas'!N400)),N('Base de datos Rutas'!BK400)=0),"",'Base de datos Rutas'!N400/('Base de datos Rutas'!L400/'Base de datos Rutas'!BK400)),"")</f>
        <v>7312.0367816092012</v>
      </c>
      <c r="K402" s="788">
        <f>IFERROR(IF(OR(NOT(ISNUMBER('Base de datos Rutas'!J400)),N('Base de datos Rutas'!BK400)=0),"",'Base de datos Rutas'!J400/('Base de datos Rutas'!L400/'Base de datos Rutas'!BK400)),"")</f>
        <v>503.89753931034295</v>
      </c>
      <c r="L402" s="788">
        <f>IFERROR(IF(OR(NOT(ISNUMBER('Base de datos Rutas'!K400)),N('Base de datos Rutas'!BK400)=0),"",'Base de datos Rutas'!K400/('Base de datos Rutas'!L400/'Base de datos Rutas'!BK400)),"")</f>
        <v>19.083598045977027</v>
      </c>
      <c r="M402" s="787">
        <f>IF(ISNUMBER('Base de datos Rutas'!AX400),'Base de datos Rutas'!AX400,"")</f>
        <v>298.22485829397101</v>
      </c>
      <c r="N402" s="790">
        <f>IFERROR(INDEX('Hoja de apoyo v2'!B$17:B$20,MATCH($A402,'Hoja de apoyo v2'!$A$17:$A$20,0)),"")</f>
        <v>89.41621024641401</v>
      </c>
      <c r="O402" s="791">
        <f>IFERROR(INDEX('Hoja de apoyo v2'!C$17:C$20,MATCH($A402,'Hoja de apoyo v2'!$A$17:$A$20,0)),"")</f>
        <v>0.54706375874806301</v>
      </c>
      <c r="P402" s="793">
        <f>IFERROR(INDEX('Hoja de apoyo v2'!D$17:D$20,MATCH($A402,'Hoja de apoyo v2'!$A$17:$A$20,0)),"")</f>
        <v>11095.153935793827</v>
      </c>
      <c r="Q402" s="793">
        <f>IFERROR(INDEX('Hoja de apoyo v2'!E$17:E$20,MATCH($A402,'Hoja de apoyo v2'!$A$17:$A$20,0)),"")</f>
        <v>6982.3202019701848</v>
      </c>
      <c r="R402" s="793">
        <f>IFERROR(INDEX('Hoja de apoyo v2'!F$17:F$20,MATCH($A402,'Hoja de apoyo v2'!$A$17:$A$20,0)),"")</f>
        <v>448.09513474485743</v>
      </c>
      <c r="S402" s="793">
        <f>IFERROR(INDEX('Hoja de apoyo v2'!G$17:G$20,MATCH($A402,'Hoja de apoyo v2'!$A$17:$A$20,0)),"")</f>
        <v>83.406300904207839</v>
      </c>
      <c r="T402" s="792">
        <f>IFERROR(INDEX('Hoja de apoyo v2'!H$17:H$20,MATCH($A402,'Hoja de apoyo v2'!$A$17:$A$20,0)),"")</f>
        <v>378.97014028925349</v>
      </c>
      <c r="U402" s="794">
        <f t="shared" si="220"/>
        <v>0.85394272054985376</v>
      </c>
      <c r="V402" s="795">
        <f t="shared" si="221"/>
        <v>0.792263477935782</v>
      </c>
      <c r="W402" s="795">
        <f t="shared" si="222"/>
        <v>0.2305053150972807</v>
      </c>
      <c r="X402" s="843">
        <f t="shared" si="223"/>
        <v>1.0472216355167987</v>
      </c>
      <c r="Y402" s="843">
        <f t="shared" si="224"/>
        <v>1.124532493746577</v>
      </c>
      <c r="Z402" s="843">
        <f t="shared" si="225"/>
        <v>0.22880283430738099</v>
      </c>
      <c r="AA402" s="843">
        <f t="shared" si="226"/>
        <v>0.78693497610747731</v>
      </c>
      <c r="AB402" s="796">
        <f t="shared" si="227"/>
        <v>3</v>
      </c>
      <c r="AC402" s="797">
        <f t="shared" si="228"/>
        <v>3</v>
      </c>
      <c r="AD402" s="797">
        <f t="shared" si="229"/>
        <v>1</v>
      </c>
      <c r="AE402" s="842">
        <f t="shared" si="230"/>
        <v>4</v>
      </c>
      <c r="AF402" s="842">
        <f t="shared" si="231"/>
        <v>4</v>
      </c>
      <c r="AG402" s="842">
        <f t="shared" si="232"/>
        <v>1</v>
      </c>
      <c r="AH402" s="842">
        <f t="shared" si="233"/>
        <v>3</v>
      </c>
      <c r="AI402" s="826" cm="1">
        <f t="array" ref="AI402">SUMPRODUCT(--ISNUMBER($U402:$AA402),$AB$3:$AH$3)</f>
        <v>1</v>
      </c>
      <c r="AJ402" s="829">
        <f t="shared" si="234"/>
        <v>37.32901568348305</v>
      </c>
      <c r="AK402" s="827" t="str">
        <f t="shared" si="235"/>
        <v>Inmadura</v>
      </c>
      <c r="AL402" s="784" t="str">
        <f t="shared" si="236"/>
        <v>Alta</v>
      </c>
      <c r="AM402" s="799">
        <f>IF(ISNUMBER('Base de datos Rutas'!W400),'Base de datos Rutas'!W400,"")</f>
        <v>3427.1365491869451</v>
      </c>
      <c r="AN402" s="787">
        <f>IFERROR(SUMIFS('Base de datos Rutas'!$W$6:$W$794,'Base de datos Rutas'!$C$6:$C$794,$C402)/'Base de datos Rutas'!I400,"")</f>
        <v>3427.1365491869487</v>
      </c>
      <c r="AO402" s="800">
        <f>IFERROR('Base de datos Rutas'!X400*AN402/AM402,"")</f>
        <v>0.3483939033672564</v>
      </c>
      <c r="AP402" s="800">
        <f t="shared" si="237"/>
        <v>0.6516060966327436</v>
      </c>
      <c r="AQ402" s="789">
        <f>IFERROR(INDEX('Hoja de apoyo v2'!$J$17:$J$20,MATCH($A402,'Hoja de apoyo v2'!$A$17:$A$20,0)),"")</f>
        <v>0.64320274048480885</v>
      </c>
      <c r="AR402" s="789">
        <f t="shared" si="238"/>
        <v>8.4033561479347485E-3</v>
      </c>
      <c r="AS402" s="784" t="str">
        <f t="shared" si="239"/>
        <v>No</v>
      </c>
      <c r="AT402" s="801">
        <f>IF(ISNUMBER('Base de datos Rutas'!CK400),'Base de datos Rutas'!CK400,"")</f>
        <v>284</v>
      </c>
      <c r="AU402" s="802">
        <f>IF(ISNUMBER('Base de datos Rutas'!CL400),'Base de datos Rutas'!CL400,"")</f>
        <v>399.47</v>
      </c>
      <c r="AV402" s="802">
        <f>IF(ISNUMBER('Base de datos Rutas'!CM400),'Base de datos Rutas'!CM400,"")</f>
        <v>115.47000000000003</v>
      </c>
      <c r="AW402" s="802">
        <f>IF(ISNUMBER('Base de datos Rutas'!CN400),'Base de datos Rutas'!CN400,"")</f>
        <v>8.01</v>
      </c>
      <c r="AX402" s="802">
        <f>IF(ISNUMBER('Base de datos Rutas'!CO400),'Base de datos Rutas'!CO400,"")</f>
        <v>9.4499999999999993</v>
      </c>
      <c r="AY402" s="802">
        <f>IF(ISNUMBER('Base de datos Rutas'!CP400),'Base de datos Rutas'!CP400,"")</f>
        <v>1.4399999999999995</v>
      </c>
      <c r="AZ402" s="802">
        <f>IF(ISNUMBER('Base de datos Rutas'!CQ400),'Base de datos Rutas'!CQ400,"")</f>
        <v>846.56</v>
      </c>
      <c r="BA402" s="802">
        <f>IF(ISNUMBER('Base de datos Rutas'!CR400),'Base de datos Rutas'!CR400,"")</f>
        <v>522.98</v>
      </c>
      <c r="BB402" s="803">
        <f>IF(ISNUMBER('Base de datos Rutas'!CS400),'Base de datos Rutas'!CS400,"")</f>
        <v>323.57999999999993</v>
      </c>
      <c r="BC402" s="804">
        <f t="shared" si="249"/>
        <v>0</v>
      </c>
      <c r="BD402" s="805" t="str">
        <f t="shared" si="250"/>
        <v>No saturada</v>
      </c>
      <c r="BE402" s="806">
        <f t="shared" si="251"/>
        <v>0.61777074277074284</v>
      </c>
      <c r="BF402" s="890">
        <f>IF(ISNUMBER('Base de datos Rutas'!CX400),'Base de datos Rutas'!CX400/100,"")</f>
        <v>0.32577692307692308</v>
      </c>
      <c r="BG402" s="891">
        <f>IF(ISNUMBER('Base de datos Rutas'!CZ400),'Base de datos Rutas'!CZ400/100,"")</f>
        <v>0.35538461538461541</v>
      </c>
      <c r="BH402" s="892">
        <f>IF(ISNUMBER('Base de datos Rutas'!DA400),'Base de datos Rutas'!DA400,"")</f>
        <v>310.11516460090598</v>
      </c>
      <c r="BI402" s="893">
        <f>IF(ISNUMBER('Base de datos Rutas'!DC400),'Base de datos Rutas'!DC400,"")</f>
        <v>16.354234996152382</v>
      </c>
      <c r="BJ402" s="805" t="str">
        <f t="shared" si="252"/>
        <v>Ruta (completo)</v>
      </c>
      <c r="BK402" s="783">
        <f t="shared" si="240"/>
        <v>1</v>
      </c>
      <c r="BL402" s="797">
        <f t="shared" si="241"/>
        <v>1</v>
      </c>
      <c r="BM402" s="797">
        <f t="shared" si="242"/>
        <v>1</v>
      </c>
      <c r="BN402" s="797">
        <f t="shared" si="243"/>
        <v>1</v>
      </c>
      <c r="BO402" s="798" cm="1">
        <f t="array" ref="BO402">SUMPRODUCT(--ISNUMBER($BF402:$BI402),$BK$3:$BN$3)</f>
        <v>1</v>
      </c>
      <c r="BP402" s="831">
        <f t="shared" si="253"/>
        <v>0</v>
      </c>
      <c r="BQ402" s="834" t="str">
        <f t="shared" si="254"/>
        <v>Bajo</v>
      </c>
      <c r="BR402" s="836">
        <f t="shared" si="244"/>
        <v>27.996761762612287</v>
      </c>
      <c r="BS402" s="836">
        <f t="shared" si="245"/>
        <v>0</v>
      </c>
      <c r="BT402" s="837" t="str">
        <f t="shared" si="246"/>
        <v>P4</v>
      </c>
      <c r="BU402" s="807" t="str">
        <f t="shared" si="255"/>
        <v>Con espacio</v>
      </c>
      <c r="BV402" s="807" t="str">
        <f t="shared" si="247"/>
        <v>Zona de bajo potencial</v>
      </c>
      <c r="BW402" s="808" t="str">
        <f t="shared" si="248"/>
        <v>P4 - Evaluar</v>
      </c>
    </row>
    <row r="403" spans="1:75">
      <c r="A403" s="780" t="str">
        <f>'Base de datos Rutas'!A401</f>
        <v>Occidente</v>
      </c>
      <c r="B403" s="781" t="str">
        <f>'Base de datos Rutas'!B401</f>
        <v>Zapopan</v>
      </c>
      <c r="C403" s="781" t="str">
        <f>'Base de datos Rutas'!C401</f>
        <v>Planta Zapopan</v>
      </c>
      <c r="D403" s="782">
        <f>IF(ISNUMBER('Base de datos Rutas'!D401),'Base de datos Rutas'!D401,"Sin código")</f>
        <v>816398</v>
      </c>
      <c r="E403" s="783" t="str">
        <f>'Base de datos Rutas'!F401</f>
        <v>Activa</v>
      </c>
      <c r="F403" s="784" t="str">
        <f>'Base de datos Rutas'!H401</f>
        <v>Sí</v>
      </c>
      <c r="G403" s="785">
        <f>IF(ISNUMBER('Base de datos Rutas'!BE401),'Base de datos Rutas'!BE401,"")</f>
        <v>91.312785388127907</v>
      </c>
      <c r="H403" s="786">
        <f>IF(ISNUMBER('Base de datos Rutas'!BH401),'Base de datos Rutas'!BH401,"")</f>
        <v>0.43565445680710102</v>
      </c>
      <c r="I403" s="788">
        <f>IFERROR(IF(OR(NOT(ISNUMBER('Base de datos Rutas'!O401)),N('Base de datos Rutas'!BK401)=0),"",'Base de datos Rutas'!O401/('Base de datos Rutas'!L401/'Base de datos Rutas'!BK401)),"")</f>
        <v>2718.7009132420026</v>
      </c>
      <c r="J403" s="788">
        <f>IFERROR(IF(OR(NOT(ISNUMBER('Base de datos Rutas'!N401)),N('Base de datos Rutas'!BK401)=0),"",'Base de datos Rutas'!N401/('Base de datos Rutas'!L401/'Base de datos Rutas'!BK401)),"")</f>
        <v>8587.7511415524896</v>
      </c>
      <c r="K403" s="788">
        <f>IFERROR(IF(OR(NOT(ISNUMBER('Base de datos Rutas'!J401)),N('Base de datos Rutas'!BK401)=0),"",'Base de datos Rutas'!J401/('Base de datos Rutas'!L401/'Base de datos Rutas'!BK401)),"")</f>
        <v>585.48239086757849</v>
      </c>
      <c r="L403" s="788">
        <f>IFERROR(IF(OR(NOT(ISNUMBER('Base de datos Rutas'!K401)),N('Base de datos Rutas'!BK401)=0),"",'Base de datos Rutas'!K401/('Base de datos Rutas'!L401/'Base de datos Rutas'!BK401)),"")</f>
        <v>20.499168618721413</v>
      </c>
      <c r="M403" s="787">
        <f>IF(ISNUMBER('Base de datos Rutas'!AX401),'Base de datos Rutas'!AX401,"")</f>
        <v>284.21873737373699</v>
      </c>
      <c r="N403" s="790">
        <f>IFERROR(INDEX('Hoja de apoyo v2'!B$17:B$20,MATCH($A403,'Hoja de apoyo v2'!$A$17:$A$20,0)),"")</f>
        <v>89.41621024641401</v>
      </c>
      <c r="O403" s="791">
        <f>IFERROR(INDEX('Hoja de apoyo v2'!C$17:C$20,MATCH($A403,'Hoja de apoyo v2'!$A$17:$A$20,0)),"")</f>
        <v>0.54706375874806301</v>
      </c>
      <c r="P403" s="793">
        <f>IFERROR(INDEX('Hoja de apoyo v2'!D$17:D$20,MATCH($A403,'Hoja de apoyo v2'!$A$17:$A$20,0)),"")</f>
        <v>11095.153935793827</v>
      </c>
      <c r="Q403" s="793">
        <f>IFERROR(INDEX('Hoja de apoyo v2'!E$17:E$20,MATCH($A403,'Hoja de apoyo v2'!$A$17:$A$20,0)),"")</f>
        <v>6982.3202019701848</v>
      </c>
      <c r="R403" s="793">
        <f>IFERROR(INDEX('Hoja de apoyo v2'!F$17:F$20,MATCH($A403,'Hoja de apoyo v2'!$A$17:$A$20,0)),"")</f>
        <v>448.09513474485743</v>
      </c>
      <c r="S403" s="793">
        <f>IFERROR(INDEX('Hoja de apoyo v2'!G$17:G$20,MATCH($A403,'Hoja de apoyo v2'!$A$17:$A$20,0)),"")</f>
        <v>83.406300904207839</v>
      </c>
      <c r="T403" s="792">
        <f>IFERROR(INDEX('Hoja de apoyo v2'!H$17:H$20,MATCH($A403,'Hoja de apoyo v2'!$A$17:$A$20,0)),"")</f>
        <v>378.97014028925349</v>
      </c>
      <c r="U403" s="794">
        <f t="shared" si="220"/>
        <v>1.0212106410737751</v>
      </c>
      <c r="V403" s="795">
        <f t="shared" si="221"/>
        <v>0.79635042504749642</v>
      </c>
      <c r="W403" s="795">
        <f t="shared" si="222"/>
        <v>0.24503498815561833</v>
      </c>
      <c r="X403" s="843">
        <f t="shared" si="223"/>
        <v>1.2299280028906872</v>
      </c>
      <c r="Y403" s="843">
        <f t="shared" si="224"/>
        <v>1.3066028739654771</v>
      </c>
      <c r="Z403" s="843">
        <f t="shared" si="225"/>
        <v>0.24577482032520198</v>
      </c>
      <c r="AA403" s="843">
        <f t="shared" si="226"/>
        <v>0.74997660015325651</v>
      </c>
      <c r="AB403" s="796">
        <f t="shared" si="227"/>
        <v>4</v>
      </c>
      <c r="AC403" s="797">
        <f t="shared" si="228"/>
        <v>3</v>
      </c>
      <c r="AD403" s="797">
        <f t="shared" si="229"/>
        <v>1</v>
      </c>
      <c r="AE403" s="842">
        <f t="shared" si="230"/>
        <v>4</v>
      </c>
      <c r="AF403" s="842">
        <f t="shared" si="231"/>
        <v>5</v>
      </c>
      <c r="AG403" s="842">
        <f t="shared" si="232"/>
        <v>1</v>
      </c>
      <c r="AH403" s="842">
        <f t="shared" si="233"/>
        <v>2</v>
      </c>
      <c r="AI403" s="826" cm="1">
        <f t="array" ref="AI403">SUMPRODUCT(--ISNUMBER($U403:$AA403),$AB$3:$AH$3)</f>
        <v>1</v>
      </c>
      <c r="AJ403" s="829">
        <f t="shared" si="234"/>
        <v>42.543968533333022</v>
      </c>
      <c r="AK403" s="827" t="str">
        <f t="shared" si="235"/>
        <v>Inmadura</v>
      </c>
      <c r="AL403" s="784" t="str">
        <f t="shared" si="236"/>
        <v>Alta</v>
      </c>
      <c r="AM403" s="799">
        <f>IF(ISNUMBER('Base de datos Rutas'!W401),'Base de datos Rutas'!W401,"")</f>
        <v>3427.1365491869451</v>
      </c>
      <c r="AN403" s="787">
        <f>IFERROR(SUMIFS('Base de datos Rutas'!$W$6:$W$794,'Base de datos Rutas'!$C$6:$C$794,$C403)/'Base de datos Rutas'!I401,"")</f>
        <v>3427.1365491869487</v>
      </c>
      <c r="AO403" s="800">
        <f>IFERROR('Base de datos Rutas'!X401*AN403/AM403,"")</f>
        <v>0.3483939033672564</v>
      </c>
      <c r="AP403" s="800">
        <f t="shared" si="237"/>
        <v>0.6516060966327436</v>
      </c>
      <c r="AQ403" s="789">
        <f>IFERROR(INDEX('Hoja de apoyo v2'!$J$17:$J$20,MATCH($A403,'Hoja de apoyo v2'!$A$17:$A$20,0)),"")</f>
        <v>0.64320274048480885</v>
      </c>
      <c r="AR403" s="789">
        <f t="shared" si="238"/>
        <v>8.4033561479347485E-3</v>
      </c>
      <c r="AS403" s="784" t="str">
        <f t="shared" si="239"/>
        <v>No</v>
      </c>
      <c r="AT403" s="801">
        <f>IF(ISNUMBER('Base de datos Rutas'!CK401),'Base de datos Rutas'!CK401,"")</f>
        <v>242</v>
      </c>
      <c r="AU403" s="802">
        <f>IF(ISNUMBER('Base de datos Rutas'!CL401),'Base de datos Rutas'!CL401,"")</f>
        <v>340.91</v>
      </c>
      <c r="AV403" s="802">
        <f>IF(ISNUMBER('Base de datos Rutas'!CM401),'Base de datos Rutas'!CM401,"")</f>
        <v>98.910000000000025</v>
      </c>
      <c r="AW403" s="802">
        <f>IF(ISNUMBER('Base de datos Rutas'!CN401),'Base de datos Rutas'!CN401,"")</f>
        <v>5.56</v>
      </c>
      <c r="AX403" s="802">
        <f>IF(ISNUMBER('Base de datos Rutas'!CO401),'Base de datos Rutas'!CO401,"")</f>
        <v>9.4499999999999993</v>
      </c>
      <c r="AY403" s="802">
        <f>IF(ISNUMBER('Base de datos Rutas'!CP401),'Base de datos Rutas'!CP401,"")</f>
        <v>3.8899999999999997</v>
      </c>
      <c r="AZ403" s="802">
        <f>IF(ISNUMBER('Base de datos Rutas'!CQ401),'Base de datos Rutas'!CQ401,"")</f>
        <v>846.56</v>
      </c>
      <c r="BA403" s="802">
        <f>IF(ISNUMBER('Base de datos Rutas'!CR401),'Base de datos Rutas'!CR401,"")</f>
        <v>605.98</v>
      </c>
      <c r="BB403" s="803">
        <f>IF(ISNUMBER('Base de datos Rutas'!CS401),'Base de datos Rutas'!CS401,"")</f>
        <v>240.57999999999993</v>
      </c>
      <c r="BC403" s="804">
        <f t="shared" si="249"/>
        <v>0</v>
      </c>
      <c r="BD403" s="805" t="str">
        <f t="shared" si="250"/>
        <v>No saturada</v>
      </c>
      <c r="BE403" s="806">
        <f t="shared" si="251"/>
        <v>0.71581459081459087</v>
      </c>
      <c r="BF403" s="890">
        <f>IF(ISNUMBER('Base de datos Rutas'!CX401),'Base de datos Rutas'!CX401/100,"")</f>
        <v>0.59743473895582322</v>
      </c>
      <c r="BG403" s="891">
        <f>IF(ISNUMBER('Base de datos Rutas'!CZ401),'Base de datos Rutas'!CZ401/100,"")</f>
        <v>0.64708835341365467</v>
      </c>
      <c r="BH403" s="892">
        <f>IF(ISNUMBER('Base de datos Rutas'!DA401),'Base de datos Rutas'!DA401,"")</f>
        <v>634.59861017451738</v>
      </c>
      <c r="BI403" s="893">
        <f>IF(ISNUMBER('Base de datos Rutas'!DC401),'Base de datos Rutas'!DC401,"")</f>
        <v>33.366849840500073</v>
      </c>
      <c r="BJ403" s="805" t="str">
        <f t="shared" si="252"/>
        <v>Ruta (completo)</v>
      </c>
      <c r="BK403" s="783">
        <f t="shared" si="240"/>
        <v>2</v>
      </c>
      <c r="BL403" s="797">
        <f t="shared" si="241"/>
        <v>2</v>
      </c>
      <c r="BM403" s="797">
        <f t="shared" si="242"/>
        <v>3</v>
      </c>
      <c r="BN403" s="797">
        <f t="shared" si="243"/>
        <v>3</v>
      </c>
      <c r="BO403" s="798" cm="1">
        <f t="array" ref="BO403">SUMPRODUCT(--ISNUMBER($BF403:$BI403),$BK$3:$BN$3)</f>
        <v>1</v>
      </c>
      <c r="BP403" s="831">
        <f t="shared" si="253"/>
        <v>37.5</v>
      </c>
      <c r="BQ403" s="834" t="str">
        <f t="shared" si="254"/>
        <v>Medio</v>
      </c>
      <c r="BR403" s="836">
        <f t="shared" si="244"/>
        <v>31.907976399999768</v>
      </c>
      <c r="BS403" s="836">
        <f t="shared" si="245"/>
        <v>37.5</v>
      </c>
      <c r="BT403" s="837" t="str">
        <f t="shared" si="246"/>
        <v>P2</v>
      </c>
      <c r="BU403" s="807" t="str">
        <f t="shared" si="255"/>
        <v>Con espacio</v>
      </c>
      <c r="BV403" s="807" t="str">
        <f t="shared" si="247"/>
        <v>Zona de bajo potencial</v>
      </c>
      <c r="BW403" s="808" t="str">
        <f t="shared" si="248"/>
        <v>P2 - Mantener</v>
      </c>
    </row>
    <row r="404" spans="1:75">
      <c r="A404" s="780" t="str">
        <f>'Base de datos Rutas'!A402</f>
        <v>Occidente</v>
      </c>
      <c r="B404" s="781" t="str">
        <f>'Base de datos Rutas'!B402</f>
        <v>Zapopan</v>
      </c>
      <c r="C404" s="781" t="str">
        <f>'Base de datos Rutas'!C402</f>
        <v>Planta Zapopan</v>
      </c>
      <c r="D404" s="782">
        <f>IF(ISNUMBER('Base de datos Rutas'!D402),'Base de datos Rutas'!D402,"Sin código")</f>
        <v>816399</v>
      </c>
      <c r="E404" s="783" t="str">
        <f>'Base de datos Rutas'!F402</f>
        <v>Inactiva</v>
      </c>
      <c r="F404" s="784" t="str">
        <f>'Base de datos Rutas'!H402</f>
        <v>No</v>
      </c>
      <c r="G404" s="785" t="str">
        <f>IF(ISNUMBER('Base de datos Rutas'!BE402),'Base de datos Rutas'!BE402,"")</f>
        <v/>
      </c>
      <c r="H404" s="786" t="str">
        <f>IF(ISNUMBER('Base de datos Rutas'!BH402),'Base de datos Rutas'!BH402,"")</f>
        <v/>
      </c>
      <c r="I404" s="788" t="str">
        <f>IFERROR(IF(OR(NOT(ISNUMBER('Base de datos Rutas'!O402)),N('Base de datos Rutas'!BK402)=0),"",'Base de datos Rutas'!O402/('Base de datos Rutas'!L402/'Base de datos Rutas'!BK402)),"")</f>
        <v/>
      </c>
      <c r="J404" s="788" t="str">
        <f>IFERROR(IF(OR(NOT(ISNUMBER('Base de datos Rutas'!N402)),N('Base de datos Rutas'!BK402)=0),"",'Base de datos Rutas'!N402/('Base de datos Rutas'!L402/'Base de datos Rutas'!BK402)),"")</f>
        <v/>
      </c>
      <c r="K404" s="788" t="str">
        <f>IFERROR(IF(OR(NOT(ISNUMBER('Base de datos Rutas'!J402)),N('Base de datos Rutas'!BK402)=0),"",'Base de datos Rutas'!J402/('Base de datos Rutas'!L402/'Base de datos Rutas'!BK402)),"")</f>
        <v/>
      </c>
      <c r="L404" s="788" t="str">
        <f>IFERROR(IF(OR(NOT(ISNUMBER('Base de datos Rutas'!K402)),N('Base de datos Rutas'!BK402)=0),"",'Base de datos Rutas'!K402/('Base de datos Rutas'!L402/'Base de datos Rutas'!BK402)),"")</f>
        <v/>
      </c>
      <c r="M404" s="787">
        <f>IF(ISNUMBER('Base de datos Rutas'!AX402),'Base de datos Rutas'!AX402,"")</f>
        <v>346.800555555556</v>
      </c>
      <c r="N404" s="790">
        <f>IFERROR(INDEX('Hoja de apoyo v2'!B$17:B$20,MATCH($A404,'Hoja de apoyo v2'!$A$17:$A$20,0)),"")</f>
        <v>89.41621024641401</v>
      </c>
      <c r="O404" s="791">
        <f>IFERROR(INDEX('Hoja de apoyo v2'!C$17:C$20,MATCH($A404,'Hoja de apoyo v2'!$A$17:$A$20,0)),"")</f>
        <v>0.54706375874806301</v>
      </c>
      <c r="P404" s="793">
        <f>IFERROR(INDEX('Hoja de apoyo v2'!D$17:D$20,MATCH($A404,'Hoja de apoyo v2'!$A$17:$A$20,0)),"")</f>
        <v>11095.153935793827</v>
      </c>
      <c r="Q404" s="793">
        <f>IFERROR(INDEX('Hoja de apoyo v2'!E$17:E$20,MATCH($A404,'Hoja de apoyo v2'!$A$17:$A$20,0)),"")</f>
        <v>6982.3202019701848</v>
      </c>
      <c r="R404" s="793">
        <f>IFERROR(INDEX('Hoja de apoyo v2'!F$17:F$20,MATCH($A404,'Hoja de apoyo v2'!$A$17:$A$20,0)),"")</f>
        <v>448.09513474485743</v>
      </c>
      <c r="S404" s="793">
        <f>IFERROR(INDEX('Hoja de apoyo v2'!G$17:G$20,MATCH($A404,'Hoja de apoyo v2'!$A$17:$A$20,0)),"")</f>
        <v>83.406300904207839</v>
      </c>
      <c r="T404" s="792">
        <f>IFERROR(INDEX('Hoja de apoyo v2'!H$17:H$20,MATCH($A404,'Hoja de apoyo v2'!$A$17:$A$20,0)),"")</f>
        <v>378.97014028925349</v>
      </c>
      <c r="U404" s="794" t="str">
        <f t="shared" si="220"/>
        <v/>
      </c>
      <c r="V404" s="795" t="str">
        <f t="shared" si="221"/>
        <v/>
      </c>
      <c r="W404" s="795" t="str">
        <f t="shared" si="222"/>
        <v/>
      </c>
      <c r="X404" s="843" t="str">
        <f t="shared" si="223"/>
        <v/>
      </c>
      <c r="Y404" s="843" t="str">
        <f t="shared" si="224"/>
        <v/>
      </c>
      <c r="Z404" s="843" t="str">
        <f t="shared" si="225"/>
        <v/>
      </c>
      <c r="AA404" s="843">
        <f t="shared" si="226"/>
        <v>0.9151131413436856</v>
      </c>
      <c r="AB404" s="796">
        <f t="shared" si="227"/>
        <v>0</v>
      </c>
      <c r="AC404" s="797">
        <f t="shared" si="228"/>
        <v>0</v>
      </c>
      <c r="AD404" s="797">
        <f t="shared" si="229"/>
        <v>0</v>
      </c>
      <c r="AE404" s="842">
        <f t="shared" si="230"/>
        <v>0</v>
      </c>
      <c r="AF404" s="842">
        <f t="shared" si="231"/>
        <v>0</v>
      </c>
      <c r="AG404" s="842">
        <f t="shared" si="232"/>
        <v>0</v>
      </c>
      <c r="AH404" s="842">
        <f t="shared" si="233"/>
        <v>3</v>
      </c>
      <c r="AI404" s="826" cm="1">
        <f t="array" ref="AI404">SUMPRODUCT(--ISNUMBER($U404:$AA404),$AB$3:$AH$3)</f>
        <v>8.9789113613062493E-2</v>
      </c>
      <c r="AJ404" s="829" t="str">
        <f t="shared" si="234"/>
        <v/>
      </c>
      <c r="AK404" s="827" t="str">
        <f t="shared" si="235"/>
        <v>Ruta inactiva</v>
      </c>
      <c r="AL404" s="784" t="str">
        <f t="shared" si="236"/>
        <v>n/a</v>
      </c>
      <c r="AM404" s="799">
        <f>IF(ISNUMBER('Base de datos Rutas'!W402),'Base de datos Rutas'!W402,"")</f>
        <v>3427.1365491869451</v>
      </c>
      <c r="AN404" s="787">
        <f>IFERROR(SUMIFS('Base de datos Rutas'!$W$6:$W$794,'Base de datos Rutas'!$C$6:$C$794,$C404)/'Base de datos Rutas'!I402,"")</f>
        <v>3427.1365491869487</v>
      </c>
      <c r="AO404" s="800">
        <f>IFERROR('Base de datos Rutas'!X402*AN404/AM404,"")</f>
        <v>0.3483939033672564</v>
      </c>
      <c r="AP404" s="800">
        <f t="shared" si="237"/>
        <v>0.6516060966327436</v>
      </c>
      <c r="AQ404" s="789">
        <f>IFERROR(INDEX('Hoja de apoyo v2'!$J$17:$J$20,MATCH($A404,'Hoja de apoyo v2'!$A$17:$A$20,0)),"")</f>
        <v>0.64320274048480885</v>
      </c>
      <c r="AR404" s="789">
        <f t="shared" si="238"/>
        <v>8.4033561479347485E-3</v>
      </c>
      <c r="AS404" s="784" t="str">
        <f t="shared" si="239"/>
        <v>No</v>
      </c>
      <c r="AT404" s="801" t="str">
        <f>IF(ISNUMBER('Base de datos Rutas'!CK402),'Base de datos Rutas'!CK402,"")</f>
        <v/>
      </c>
      <c r="AU404" s="802" t="str">
        <f>IF(ISNUMBER('Base de datos Rutas'!CL402),'Base de datos Rutas'!CL402,"")</f>
        <v/>
      </c>
      <c r="AV404" s="802">
        <f>IF(ISNUMBER('Base de datos Rutas'!CM402),'Base de datos Rutas'!CM402,"")</f>
        <v>0</v>
      </c>
      <c r="AW404" s="802" t="str">
        <f>IF(ISNUMBER('Base de datos Rutas'!CN402),'Base de datos Rutas'!CN402,"")</f>
        <v/>
      </c>
      <c r="AX404" s="802" t="str">
        <f>IF(ISNUMBER('Base de datos Rutas'!CO402),'Base de datos Rutas'!CO402,"")</f>
        <v/>
      </c>
      <c r="AY404" s="802">
        <f>IF(ISNUMBER('Base de datos Rutas'!CP402),'Base de datos Rutas'!CP402,"")</f>
        <v>0</v>
      </c>
      <c r="AZ404" s="802" t="str">
        <f>IF(ISNUMBER('Base de datos Rutas'!CQ402),'Base de datos Rutas'!CQ402,"")</f>
        <v/>
      </c>
      <c r="BA404" s="802" t="str">
        <f>IF(ISNUMBER('Base de datos Rutas'!CR402),'Base de datos Rutas'!CR402,"")</f>
        <v/>
      </c>
      <c r="BB404" s="803">
        <f>IF(ISNUMBER('Base de datos Rutas'!CS402),'Base de datos Rutas'!CS402,"")</f>
        <v>0</v>
      </c>
      <c r="BC404" s="804" t="str">
        <f t="shared" si="249"/>
        <v/>
      </c>
      <c r="BD404" s="805" t="str">
        <f t="shared" si="250"/>
        <v>N/D</v>
      </c>
      <c r="BE404" s="806" t="str">
        <f t="shared" si="251"/>
        <v/>
      </c>
      <c r="BF404" s="890" t="str">
        <f>IF(ISNUMBER('Base de datos Rutas'!CX402),'Base de datos Rutas'!CX402/100,"")</f>
        <v/>
      </c>
      <c r="BG404" s="891" t="str">
        <f>IF(ISNUMBER('Base de datos Rutas'!CZ402),'Base de datos Rutas'!CZ402/100,"")</f>
        <v/>
      </c>
      <c r="BH404" s="892" t="str">
        <f>IF(ISNUMBER('Base de datos Rutas'!DA402),'Base de datos Rutas'!DA402,"")</f>
        <v/>
      </c>
      <c r="BI404" s="893" t="str">
        <f>IF(ISNUMBER('Base de datos Rutas'!DC402),'Base de datos Rutas'!DC402,"")</f>
        <v/>
      </c>
      <c r="BJ404" s="805" t="str">
        <f t="shared" si="252"/>
        <v>Sin dato</v>
      </c>
      <c r="BK404" s="783">
        <f t="shared" si="240"/>
        <v>0</v>
      </c>
      <c r="BL404" s="797">
        <f t="shared" si="241"/>
        <v>0</v>
      </c>
      <c r="BM404" s="797">
        <f t="shared" si="242"/>
        <v>0</v>
      </c>
      <c r="BN404" s="797">
        <f t="shared" si="243"/>
        <v>0</v>
      </c>
      <c r="BO404" s="798" cm="1">
        <f t="array" ref="BO404">SUMPRODUCT(--ISNUMBER($BF404:$BI404),$BK$3:$BN$3)</f>
        <v>0</v>
      </c>
      <c r="BP404" s="831" t="str">
        <f t="shared" si="253"/>
        <v/>
      </c>
      <c r="BQ404" s="834" t="str">
        <f t="shared" si="254"/>
        <v>Sin datos</v>
      </c>
      <c r="BR404" s="836" t="str">
        <f t="shared" si="244"/>
        <v/>
      </c>
      <c r="BS404" s="836" t="str">
        <f t="shared" si="245"/>
        <v/>
      </c>
      <c r="BT404" s="837" t="str">
        <f t="shared" si="246"/>
        <v>Sin datos</v>
      </c>
      <c r="BU404" s="807" t="str">
        <f t="shared" si="255"/>
        <v>No evaluable</v>
      </c>
      <c r="BV404" s="807" t="str">
        <f t="shared" si="247"/>
        <v>No evaluable</v>
      </c>
      <c r="BW404" s="808" t="str">
        <f t="shared" si="248"/>
        <v>Sin datos</v>
      </c>
    </row>
    <row r="405" spans="1:75">
      <c r="A405" s="780" t="str">
        <f>'Base de datos Rutas'!A403</f>
        <v>Occidente</v>
      </c>
      <c r="B405" s="781" t="str">
        <f>'Base de datos Rutas'!B403</f>
        <v>Zapopan</v>
      </c>
      <c r="C405" s="781" t="str">
        <f>'Base de datos Rutas'!C403</f>
        <v>Planta Zapopan</v>
      </c>
      <c r="D405" s="782">
        <f>IF(ISNUMBER('Base de datos Rutas'!D403),'Base de datos Rutas'!D403,"Sin código")</f>
        <v>1300000276</v>
      </c>
      <c r="E405" s="783" t="str">
        <f>'Base de datos Rutas'!F403</f>
        <v>Activa</v>
      </c>
      <c r="F405" s="784" t="str">
        <f>'Base de datos Rutas'!H403</f>
        <v>No</v>
      </c>
      <c r="G405" s="785" t="str">
        <f>IF(ISNUMBER('Base de datos Rutas'!BE403),'Base de datos Rutas'!BE403,"")</f>
        <v/>
      </c>
      <c r="H405" s="786" t="str">
        <f>IF(ISNUMBER('Base de datos Rutas'!BH403),'Base de datos Rutas'!BH403,"")</f>
        <v/>
      </c>
      <c r="I405" s="788" t="str">
        <f>IFERROR(IF(OR(NOT(ISNUMBER('Base de datos Rutas'!O403)),N('Base de datos Rutas'!BK403)=0),"",'Base de datos Rutas'!O403/('Base de datos Rutas'!L403/'Base de datos Rutas'!BK403)),"")</f>
        <v/>
      </c>
      <c r="J405" s="788" t="str">
        <f>IFERROR(IF(OR(NOT(ISNUMBER('Base de datos Rutas'!N403)),N('Base de datos Rutas'!BK403)=0),"",'Base de datos Rutas'!N403/('Base de datos Rutas'!L403/'Base de datos Rutas'!BK403)),"")</f>
        <v/>
      </c>
      <c r="K405" s="788" t="str">
        <f>IFERROR(IF(OR(NOT(ISNUMBER('Base de datos Rutas'!J403)),N('Base de datos Rutas'!BK403)=0),"",'Base de datos Rutas'!J403/('Base de datos Rutas'!L403/'Base de datos Rutas'!BK403)),"")</f>
        <v/>
      </c>
      <c r="L405" s="788" t="str">
        <f>IFERROR(IF(OR(NOT(ISNUMBER('Base de datos Rutas'!K403)),N('Base de datos Rutas'!BK403)=0),"",'Base de datos Rutas'!K403/('Base de datos Rutas'!L403/'Base de datos Rutas'!BK403)),"")</f>
        <v/>
      </c>
      <c r="M405" s="787">
        <f>IF(ISNUMBER('Base de datos Rutas'!AX403),'Base de datos Rutas'!AX403,"")</f>
        <v>177.30769230769201</v>
      </c>
      <c r="N405" s="790">
        <f>IFERROR(INDEX('Hoja de apoyo v2'!B$17:B$20,MATCH($A405,'Hoja de apoyo v2'!$A$17:$A$20,0)),"")</f>
        <v>89.41621024641401</v>
      </c>
      <c r="O405" s="791">
        <f>IFERROR(INDEX('Hoja de apoyo v2'!C$17:C$20,MATCH($A405,'Hoja de apoyo v2'!$A$17:$A$20,0)),"")</f>
        <v>0.54706375874806301</v>
      </c>
      <c r="P405" s="793">
        <f>IFERROR(INDEX('Hoja de apoyo v2'!D$17:D$20,MATCH($A405,'Hoja de apoyo v2'!$A$17:$A$20,0)),"")</f>
        <v>11095.153935793827</v>
      </c>
      <c r="Q405" s="793">
        <f>IFERROR(INDEX('Hoja de apoyo v2'!E$17:E$20,MATCH($A405,'Hoja de apoyo v2'!$A$17:$A$20,0)),"")</f>
        <v>6982.3202019701848</v>
      </c>
      <c r="R405" s="793">
        <f>IFERROR(INDEX('Hoja de apoyo v2'!F$17:F$20,MATCH($A405,'Hoja de apoyo v2'!$A$17:$A$20,0)),"")</f>
        <v>448.09513474485743</v>
      </c>
      <c r="S405" s="793">
        <f>IFERROR(INDEX('Hoja de apoyo v2'!G$17:G$20,MATCH($A405,'Hoja de apoyo v2'!$A$17:$A$20,0)),"")</f>
        <v>83.406300904207839</v>
      </c>
      <c r="T405" s="792">
        <f>IFERROR(INDEX('Hoja de apoyo v2'!H$17:H$20,MATCH($A405,'Hoja de apoyo v2'!$A$17:$A$20,0)),"")</f>
        <v>378.97014028925349</v>
      </c>
      <c r="U405" s="794" t="str">
        <f t="shared" si="220"/>
        <v/>
      </c>
      <c r="V405" s="795" t="str">
        <f t="shared" si="221"/>
        <v/>
      </c>
      <c r="W405" s="795" t="str">
        <f t="shared" si="222"/>
        <v/>
      </c>
      <c r="X405" s="843" t="str">
        <f t="shared" si="223"/>
        <v/>
      </c>
      <c r="Y405" s="843" t="str">
        <f t="shared" si="224"/>
        <v/>
      </c>
      <c r="Z405" s="843" t="str">
        <f t="shared" si="225"/>
        <v/>
      </c>
      <c r="AA405" s="843">
        <f t="shared" si="226"/>
        <v>0.46786718386931431</v>
      </c>
      <c r="AB405" s="796">
        <f t="shared" si="227"/>
        <v>0</v>
      </c>
      <c r="AC405" s="797">
        <f t="shared" si="228"/>
        <v>0</v>
      </c>
      <c r="AD405" s="797">
        <f t="shared" si="229"/>
        <v>0</v>
      </c>
      <c r="AE405" s="842">
        <f t="shared" si="230"/>
        <v>0</v>
      </c>
      <c r="AF405" s="842">
        <f t="shared" si="231"/>
        <v>0</v>
      </c>
      <c r="AG405" s="842">
        <f t="shared" si="232"/>
        <v>0</v>
      </c>
      <c r="AH405" s="842">
        <f t="shared" si="233"/>
        <v>1</v>
      </c>
      <c r="AI405" s="826" cm="1">
        <f t="array" ref="AI405">SUMPRODUCT(--ISNUMBER($U405:$AA405),$AB$3:$AH$3)</f>
        <v>8.9789113613062493E-2</v>
      </c>
      <c r="AJ405" s="829" t="str">
        <f t="shared" si="234"/>
        <v/>
      </c>
      <c r="AK405" s="827" t="str">
        <f t="shared" si="235"/>
        <v>No elegible</v>
      </c>
      <c r="AL405" s="784" t="str">
        <f t="shared" si="236"/>
        <v>n/a</v>
      </c>
      <c r="AM405" s="799">
        <f>IF(ISNUMBER('Base de datos Rutas'!W403),'Base de datos Rutas'!W403,"")</f>
        <v>3427.1365491869451</v>
      </c>
      <c r="AN405" s="787">
        <f>IFERROR(SUMIFS('Base de datos Rutas'!$W$6:$W$794,'Base de datos Rutas'!$C$6:$C$794,$C405)/'Base de datos Rutas'!I403,"")</f>
        <v>3427.1365491869487</v>
      </c>
      <c r="AO405" s="800">
        <f>IFERROR('Base de datos Rutas'!X403*AN405/AM405,"")</f>
        <v>0.3483939033672564</v>
      </c>
      <c r="AP405" s="800">
        <f t="shared" si="237"/>
        <v>0.6516060966327436</v>
      </c>
      <c r="AQ405" s="789">
        <f>IFERROR(INDEX('Hoja de apoyo v2'!$J$17:$J$20,MATCH($A405,'Hoja de apoyo v2'!$A$17:$A$20,0)),"")</f>
        <v>0.64320274048480885</v>
      </c>
      <c r="AR405" s="789">
        <f t="shared" si="238"/>
        <v>8.4033561479347485E-3</v>
      </c>
      <c r="AS405" s="784" t="str">
        <f t="shared" si="239"/>
        <v>No</v>
      </c>
      <c r="AT405" s="801" t="str">
        <f>IF(ISNUMBER('Base de datos Rutas'!CK403),'Base de datos Rutas'!CK403,"")</f>
        <v/>
      </c>
      <c r="AU405" s="802" t="str">
        <f>IF(ISNUMBER('Base de datos Rutas'!CL403),'Base de datos Rutas'!CL403,"")</f>
        <v/>
      </c>
      <c r="AV405" s="802">
        <f>IF(ISNUMBER('Base de datos Rutas'!CM403),'Base de datos Rutas'!CM403,"")</f>
        <v>0</v>
      </c>
      <c r="AW405" s="802" t="str">
        <f>IF(ISNUMBER('Base de datos Rutas'!CN403),'Base de datos Rutas'!CN403,"")</f>
        <v/>
      </c>
      <c r="AX405" s="802" t="str">
        <f>IF(ISNUMBER('Base de datos Rutas'!CO403),'Base de datos Rutas'!CO403,"")</f>
        <v/>
      </c>
      <c r="AY405" s="802">
        <f>IF(ISNUMBER('Base de datos Rutas'!CP403),'Base de datos Rutas'!CP403,"")</f>
        <v>0</v>
      </c>
      <c r="AZ405" s="802" t="str">
        <f>IF(ISNUMBER('Base de datos Rutas'!CQ403),'Base de datos Rutas'!CQ403,"")</f>
        <v/>
      </c>
      <c r="BA405" s="802" t="str">
        <f>IF(ISNUMBER('Base de datos Rutas'!CR403),'Base de datos Rutas'!CR403,"")</f>
        <v/>
      </c>
      <c r="BB405" s="803">
        <f>IF(ISNUMBER('Base de datos Rutas'!CS403),'Base de datos Rutas'!CS403,"")</f>
        <v>0</v>
      </c>
      <c r="BC405" s="804" t="str">
        <f t="shared" si="249"/>
        <v/>
      </c>
      <c r="BD405" s="805" t="str">
        <f t="shared" si="250"/>
        <v>N/D</v>
      </c>
      <c r="BE405" s="806" t="str">
        <f t="shared" si="251"/>
        <v/>
      </c>
      <c r="BF405" s="890" t="str">
        <f>IF(ISNUMBER('Base de datos Rutas'!CX403),'Base de datos Rutas'!CX403/100,"")</f>
        <v/>
      </c>
      <c r="BG405" s="891" t="str">
        <f>IF(ISNUMBER('Base de datos Rutas'!CZ403),'Base de datos Rutas'!CZ403/100,"")</f>
        <v/>
      </c>
      <c r="BH405" s="892" t="str">
        <f>IF(ISNUMBER('Base de datos Rutas'!DA403),'Base de datos Rutas'!DA403,"")</f>
        <v/>
      </c>
      <c r="BI405" s="893" t="str">
        <f>IF(ISNUMBER('Base de datos Rutas'!DC403),'Base de datos Rutas'!DC403,"")</f>
        <v/>
      </c>
      <c r="BJ405" s="805" t="str">
        <f t="shared" si="252"/>
        <v>Sin dato</v>
      </c>
      <c r="BK405" s="783">
        <f t="shared" si="240"/>
        <v>0</v>
      </c>
      <c r="BL405" s="797">
        <f t="shared" si="241"/>
        <v>0</v>
      </c>
      <c r="BM405" s="797">
        <f t="shared" si="242"/>
        <v>0</v>
      </c>
      <c r="BN405" s="797">
        <f t="shared" si="243"/>
        <v>0</v>
      </c>
      <c r="BO405" s="798" cm="1">
        <f t="array" ref="BO405">SUMPRODUCT(--ISNUMBER($BF405:$BI405),$BK$3:$BN$3)</f>
        <v>0</v>
      </c>
      <c r="BP405" s="831" t="str">
        <f t="shared" si="253"/>
        <v/>
      </c>
      <c r="BQ405" s="834" t="str">
        <f t="shared" si="254"/>
        <v>Sin datos</v>
      </c>
      <c r="BR405" s="836" t="str">
        <f t="shared" si="244"/>
        <v/>
      </c>
      <c r="BS405" s="836" t="str">
        <f t="shared" si="245"/>
        <v/>
      </c>
      <c r="BT405" s="837" t="str">
        <f t="shared" si="246"/>
        <v>Sin datos</v>
      </c>
      <c r="BU405" s="807" t="str">
        <f t="shared" si="255"/>
        <v>No evaluable</v>
      </c>
      <c r="BV405" s="807" t="str">
        <f t="shared" si="247"/>
        <v>No evaluable</v>
      </c>
      <c r="BW405" s="808" t="str">
        <f t="shared" si="248"/>
        <v>Sin datos</v>
      </c>
    </row>
    <row r="406" spans="1:75">
      <c r="A406" s="780" t="str">
        <f>'Base de datos Rutas'!A404</f>
        <v>Occidente</v>
      </c>
      <c r="B406" s="781" t="str">
        <f>'Base de datos Rutas'!B404</f>
        <v>Favorita</v>
      </c>
      <c r="C406" s="781" t="str">
        <f>'Base de datos Rutas'!C404</f>
        <v>Suc. Alamo</v>
      </c>
      <c r="D406" s="782">
        <f>IF(ISNUMBER('Base de datos Rutas'!D404),'Base de datos Rutas'!D404,"Sin código")</f>
        <v>802340</v>
      </c>
      <c r="E406" s="783" t="str">
        <f>'Base de datos Rutas'!F404</f>
        <v>Activa</v>
      </c>
      <c r="F406" s="784" t="str">
        <f>'Base de datos Rutas'!H404</f>
        <v>Sí</v>
      </c>
      <c r="G406" s="785">
        <f>IF(ISNUMBER('Base de datos Rutas'!BE404),'Base de datos Rutas'!BE404,"")</f>
        <v>111.966367713005</v>
      </c>
      <c r="H406" s="786">
        <f>IF(ISNUMBER('Base de datos Rutas'!BH404),'Base de datos Rutas'!BH404,"")</f>
        <v>0.34080941986903501</v>
      </c>
      <c r="I406" s="788">
        <f>IFERROR(IF(OR(NOT(ISNUMBER('Base de datos Rutas'!O404)),N('Base de datos Rutas'!BK404)=0),"",'Base de datos Rutas'!O404/('Base de datos Rutas'!L404/'Base de datos Rutas'!BK404)),"")</f>
        <v>3525.874439461877</v>
      </c>
      <c r="J406" s="788">
        <f>IFERROR(IF(OR(NOT(ISNUMBER('Base de datos Rutas'!N404)),N('Base de datos Rutas'!BK404)=0),"",'Base de datos Rutas'!N404/('Base de datos Rutas'!L404/'Base de datos Rutas'!BK404)),"")</f>
        <v>7163.6255605381039</v>
      </c>
      <c r="K406" s="788">
        <f>IFERROR(IF(OR(NOT(ISNUMBER('Base de datos Rutas'!J404)),N('Base de datos Rutas'!BK404)=0),"",'Base de datos Rutas'!J404/('Base de datos Rutas'!L404/'Base de datos Rutas'!BK404)),"")</f>
        <v>489.85053273542513</v>
      </c>
      <c r="L406" s="788">
        <f>IFERROR(IF(OR(NOT(ISNUMBER('Base de datos Rutas'!K404)),N('Base de datos Rutas'!BK404)=0),"",'Base de datos Rutas'!K404/('Base de datos Rutas'!L404/'Base de datos Rutas'!BK404)),"")</f>
        <v>24.451839733183814</v>
      </c>
      <c r="M406" s="787">
        <f>IF(ISNUMBER('Base de datos Rutas'!AX404),'Base de datos Rutas'!AX404,"")</f>
        <v>280.12884952112398</v>
      </c>
      <c r="N406" s="790">
        <f>IFERROR(INDEX('Hoja de apoyo v2'!B$17:B$20,MATCH($A406,'Hoja de apoyo v2'!$A$17:$A$20,0)),"")</f>
        <v>89.41621024641401</v>
      </c>
      <c r="O406" s="791">
        <f>IFERROR(INDEX('Hoja de apoyo v2'!C$17:C$20,MATCH($A406,'Hoja de apoyo v2'!$A$17:$A$20,0)),"")</f>
        <v>0.54706375874806301</v>
      </c>
      <c r="P406" s="793">
        <f>IFERROR(INDEX('Hoja de apoyo v2'!D$17:D$20,MATCH($A406,'Hoja de apoyo v2'!$A$17:$A$20,0)),"")</f>
        <v>11095.153935793827</v>
      </c>
      <c r="Q406" s="793">
        <f>IFERROR(INDEX('Hoja de apoyo v2'!E$17:E$20,MATCH($A406,'Hoja de apoyo v2'!$A$17:$A$20,0)),"")</f>
        <v>6982.3202019701848</v>
      </c>
      <c r="R406" s="793">
        <f>IFERROR(INDEX('Hoja de apoyo v2'!F$17:F$20,MATCH($A406,'Hoja de apoyo v2'!$A$17:$A$20,0)),"")</f>
        <v>448.09513474485743</v>
      </c>
      <c r="S406" s="793">
        <f>IFERROR(INDEX('Hoja de apoyo v2'!G$17:G$20,MATCH($A406,'Hoja de apoyo v2'!$A$17:$A$20,0)),"")</f>
        <v>83.406300904207839</v>
      </c>
      <c r="T406" s="792">
        <f>IFERROR(INDEX('Hoja de apoyo v2'!H$17:H$20,MATCH($A406,'Hoja de apoyo v2'!$A$17:$A$20,0)),"")</f>
        <v>378.97014028925349</v>
      </c>
      <c r="U406" s="794">
        <f t="shared" si="220"/>
        <v>1.2521931694985402</v>
      </c>
      <c r="V406" s="795">
        <f t="shared" si="221"/>
        <v>0.62297934092539031</v>
      </c>
      <c r="W406" s="795">
        <f t="shared" si="222"/>
        <v>0.31778508526025334</v>
      </c>
      <c r="X406" s="843">
        <f t="shared" si="223"/>
        <v>1.0259663483374424</v>
      </c>
      <c r="Y406" s="843">
        <f t="shared" si="224"/>
        <v>1.0931842252970299</v>
      </c>
      <c r="Z406" s="843">
        <f t="shared" si="225"/>
        <v>0.29316537801222908</v>
      </c>
      <c r="AA406" s="843">
        <f t="shared" si="226"/>
        <v>0.73918448906637413</v>
      </c>
      <c r="AB406" s="796">
        <f t="shared" si="227"/>
        <v>5</v>
      </c>
      <c r="AC406" s="797">
        <f t="shared" si="228"/>
        <v>2</v>
      </c>
      <c r="AD406" s="797">
        <f t="shared" si="229"/>
        <v>1</v>
      </c>
      <c r="AE406" s="842">
        <f t="shared" si="230"/>
        <v>4</v>
      </c>
      <c r="AF406" s="842">
        <f t="shared" si="231"/>
        <v>4</v>
      </c>
      <c r="AG406" s="842">
        <f t="shared" si="232"/>
        <v>1</v>
      </c>
      <c r="AH406" s="842">
        <f t="shared" si="233"/>
        <v>2</v>
      </c>
      <c r="AI406" s="826" cm="1">
        <f t="array" ref="AI406">SUMPRODUCT(--ISNUMBER($U406:$AA406),$AB$3:$AH$3)</f>
        <v>1</v>
      </c>
      <c r="AJ406" s="829">
        <f t="shared" si="234"/>
        <v>41.768654613539503</v>
      </c>
      <c r="AK406" s="827" t="str">
        <f t="shared" si="235"/>
        <v>Inmadura</v>
      </c>
      <c r="AL406" s="784" t="str">
        <f t="shared" si="236"/>
        <v>Alta</v>
      </c>
      <c r="AM406" s="799">
        <f>IF(ISNUMBER('Base de datos Rutas'!W404),'Base de datos Rutas'!W404,"")</f>
        <v>3158.6335789532814</v>
      </c>
      <c r="AN406" s="787">
        <f>IFERROR(SUMIFS('Base de datos Rutas'!$W$6:$W$794,'Base de datos Rutas'!$C$6:$C$794,$C406)/'Base de datos Rutas'!I404,"")</f>
        <v>3158.6335789532818</v>
      </c>
      <c r="AO406" s="800">
        <f>IFERROR('Base de datos Rutas'!X404*AN406/AM406,"")</f>
        <v>0.49398988020337881</v>
      </c>
      <c r="AP406" s="800">
        <f t="shared" si="237"/>
        <v>0.50601011979662114</v>
      </c>
      <c r="AQ406" s="789">
        <f>IFERROR(INDEX('Hoja de apoyo v2'!$J$17:$J$20,MATCH($A406,'Hoja de apoyo v2'!$A$17:$A$20,0)),"")</f>
        <v>0.64320274048480885</v>
      </c>
      <c r="AR406" s="789">
        <f t="shared" si="238"/>
        <v>-0.13719262068818772</v>
      </c>
      <c r="AS406" s="784" t="str">
        <f t="shared" si="239"/>
        <v>No</v>
      </c>
      <c r="AT406" s="801">
        <f>IF(ISNUMBER('Base de datos Rutas'!CK404),'Base de datos Rutas'!CK404,"")</f>
        <v>382</v>
      </c>
      <c r="AU406" s="802">
        <f>IF(ISNUMBER('Base de datos Rutas'!CL404),'Base de datos Rutas'!CL404,"")</f>
        <v>781.63</v>
      </c>
      <c r="AV406" s="802">
        <f>IF(ISNUMBER('Base de datos Rutas'!CM404),'Base de datos Rutas'!CM404,"")</f>
        <v>399.63</v>
      </c>
      <c r="AW406" s="802">
        <f>IF(ISNUMBER('Base de datos Rutas'!CN404),'Base de datos Rutas'!CN404,"")</f>
        <v>8.7899999999999991</v>
      </c>
      <c r="AX406" s="802">
        <f>IF(ISNUMBER('Base de datos Rutas'!CO404),'Base de datos Rutas'!CO404,"")</f>
        <v>9.4499999999999993</v>
      </c>
      <c r="AY406" s="802">
        <f>IF(ISNUMBER('Base de datos Rutas'!CP404),'Base de datos Rutas'!CP404,"")</f>
        <v>0.66000000000000014</v>
      </c>
      <c r="AZ406" s="802">
        <f>IF(ISNUMBER('Base de datos Rutas'!CQ404),'Base de datos Rutas'!CQ404,"")</f>
        <v>846.56</v>
      </c>
      <c r="BA406" s="802">
        <f>IF(ISNUMBER('Base de datos Rutas'!CR404),'Base de datos Rutas'!CR404,"")</f>
        <v>514.29999999999995</v>
      </c>
      <c r="BB406" s="803">
        <f>IF(ISNUMBER('Base de datos Rutas'!CS404),'Base de datos Rutas'!CS404,"")</f>
        <v>332.26</v>
      </c>
      <c r="BC406" s="804">
        <f t="shared" si="249"/>
        <v>0</v>
      </c>
      <c r="BD406" s="805" t="str">
        <f t="shared" si="250"/>
        <v>No saturada</v>
      </c>
      <c r="BE406" s="806">
        <f t="shared" si="251"/>
        <v>0.6075174825174825</v>
      </c>
      <c r="BF406" s="890">
        <f>IF(ISNUMBER('Base de datos Rutas'!CX404),'Base de datos Rutas'!CX404/100,"")</f>
        <v>0.77587834151663937</v>
      </c>
      <c r="BG406" s="891">
        <f>IF(ISNUMBER('Base de datos Rutas'!CZ404),'Base de datos Rutas'!CZ404/100,"")</f>
        <v>0.88488816148390614</v>
      </c>
      <c r="BH406" s="892">
        <f>IF(ISNUMBER('Base de datos Rutas'!DA404),'Base de datos Rutas'!DA404,"")</f>
        <v>960.17707464771763</v>
      </c>
      <c r="BI406" s="893">
        <f>IF(ISNUMBER('Base de datos Rutas'!DC404),'Base de datos Rutas'!DC404,"")</f>
        <v>44.599188809606382</v>
      </c>
      <c r="BJ406" s="805" t="str">
        <f t="shared" si="252"/>
        <v>Ruta (completo)</v>
      </c>
      <c r="BK406" s="783">
        <f t="shared" si="240"/>
        <v>5</v>
      </c>
      <c r="BL406" s="797">
        <f t="shared" si="241"/>
        <v>4</v>
      </c>
      <c r="BM406" s="797">
        <f t="shared" si="242"/>
        <v>5</v>
      </c>
      <c r="BN406" s="797">
        <f t="shared" si="243"/>
        <v>5</v>
      </c>
      <c r="BO406" s="798" cm="1">
        <f t="array" ref="BO406">SUMPRODUCT(--ISNUMBER($BF406:$BI406),$BK$3:$BN$3)</f>
        <v>1</v>
      </c>
      <c r="BP406" s="831">
        <f t="shared" si="253"/>
        <v>93.75</v>
      </c>
      <c r="BQ406" s="834" t="str">
        <f t="shared" si="254"/>
        <v>Alto</v>
      </c>
      <c r="BR406" s="836">
        <f t="shared" si="244"/>
        <v>31.326490960154629</v>
      </c>
      <c r="BS406" s="836">
        <f t="shared" si="245"/>
        <v>93.75</v>
      </c>
      <c r="BT406" s="837" t="str">
        <f t="shared" si="246"/>
        <v>P1</v>
      </c>
      <c r="BU406" s="807" t="str">
        <f t="shared" si="255"/>
        <v>Con espacio</v>
      </c>
      <c r="BV406" s="807" t="str">
        <f t="shared" si="247"/>
        <v>Zona atractiva</v>
      </c>
      <c r="BW406" s="808" t="str">
        <f t="shared" si="248"/>
        <v>P1 - Ampliar cobertura</v>
      </c>
    </row>
    <row r="407" spans="1:75">
      <c r="A407" s="780" t="str">
        <f>'Base de datos Rutas'!A405</f>
        <v>Occidente</v>
      </c>
      <c r="B407" s="781" t="str">
        <f>'Base de datos Rutas'!B405</f>
        <v>Favorita</v>
      </c>
      <c r="C407" s="781" t="str">
        <f>'Base de datos Rutas'!C405</f>
        <v>Suc. Alamo</v>
      </c>
      <c r="D407" s="782">
        <f>IF(ISNUMBER('Base de datos Rutas'!D405),'Base de datos Rutas'!D405,"Sin código")</f>
        <v>802341</v>
      </c>
      <c r="E407" s="783" t="str">
        <f>'Base de datos Rutas'!F405</f>
        <v>Activa</v>
      </c>
      <c r="F407" s="784" t="str">
        <f>'Base de datos Rutas'!H405</f>
        <v>Sí</v>
      </c>
      <c r="G407" s="785">
        <f>IF(ISNUMBER('Base de datos Rutas'!BE405),'Base de datos Rutas'!BE405,"")</f>
        <v>70.240384615384599</v>
      </c>
      <c r="H407" s="786">
        <f>IF(ISNUMBER('Base de datos Rutas'!BH405),'Base de datos Rutas'!BH405,"")</f>
        <v>0.43507871321012997</v>
      </c>
      <c r="I407" s="788">
        <f>IFERROR(IF(OR(NOT(ISNUMBER('Base de datos Rutas'!O405)),N('Base de datos Rutas'!BK405)=0),"",'Base de datos Rutas'!O405/('Base de datos Rutas'!L405/'Base de datos Rutas'!BK405)),"")</f>
        <v>2838.2193995381031</v>
      </c>
      <c r="J407" s="788">
        <f>IFERROR(IF(OR(NOT(ISNUMBER('Base de datos Rutas'!N405)),N('Base de datos Rutas'!BK405)=0),"",'Base de datos Rutas'!N405/('Base de datos Rutas'!L405/'Base de datos Rutas'!BK405)),"")</f>
        <v>6298.7274826789762</v>
      </c>
      <c r="K407" s="788">
        <f>IFERROR(IF(OR(NOT(ISNUMBER('Base de datos Rutas'!J405)),N('Base de datos Rutas'!BK405)=0),"",'Base de datos Rutas'!J405/('Base de datos Rutas'!L405/'Base de datos Rutas'!BK405)),"")</f>
        <v>439.64921016166232</v>
      </c>
      <c r="L407" s="788">
        <f>IFERROR(IF(OR(NOT(ISNUMBER('Base de datos Rutas'!K405)),N('Base de datos Rutas'!BK405)=0),"",'Base de datos Rutas'!K405/('Base de datos Rutas'!L405/'Base de datos Rutas'!BK405)),"")</f>
        <v>20.28725461893762</v>
      </c>
      <c r="M407" s="787">
        <f>IF(ISNUMBER('Base de datos Rutas'!AX405),'Base de datos Rutas'!AX405,"")</f>
        <v>299.67431298288102</v>
      </c>
      <c r="N407" s="790">
        <f>IFERROR(INDEX('Hoja de apoyo v2'!B$17:B$20,MATCH($A407,'Hoja de apoyo v2'!$A$17:$A$20,0)),"")</f>
        <v>89.41621024641401</v>
      </c>
      <c r="O407" s="791">
        <f>IFERROR(INDEX('Hoja de apoyo v2'!C$17:C$20,MATCH($A407,'Hoja de apoyo v2'!$A$17:$A$20,0)),"")</f>
        <v>0.54706375874806301</v>
      </c>
      <c r="P407" s="793">
        <f>IFERROR(INDEX('Hoja de apoyo v2'!D$17:D$20,MATCH($A407,'Hoja de apoyo v2'!$A$17:$A$20,0)),"")</f>
        <v>11095.153935793827</v>
      </c>
      <c r="Q407" s="793">
        <f>IFERROR(INDEX('Hoja de apoyo v2'!E$17:E$20,MATCH($A407,'Hoja de apoyo v2'!$A$17:$A$20,0)),"")</f>
        <v>6982.3202019701848</v>
      </c>
      <c r="R407" s="793">
        <f>IFERROR(INDEX('Hoja de apoyo v2'!F$17:F$20,MATCH($A407,'Hoja de apoyo v2'!$A$17:$A$20,0)),"")</f>
        <v>448.09513474485743</v>
      </c>
      <c r="S407" s="793">
        <f>IFERROR(INDEX('Hoja de apoyo v2'!G$17:G$20,MATCH($A407,'Hoja de apoyo v2'!$A$17:$A$20,0)),"")</f>
        <v>83.406300904207839</v>
      </c>
      <c r="T407" s="792">
        <f>IFERROR(INDEX('Hoja de apoyo v2'!H$17:H$20,MATCH($A407,'Hoja de apoyo v2'!$A$17:$A$20,0)),"")</f>
        <v>378.97014028925349</v>
      </c>
      <c r="U407" s="794">
        <f t="shared" si="220"/>
        <v>0.78554419183966195</v>
      </c>
      <c r="V407" s="795">
        <f t="shared" si="221"/>
        <v>0.79529800000971174</v>
      </c>
      <c r="W407" s="795">
        <f t="shared" si="222"/>
        <v>0.25580712227721214</v>
      </c>
      <c r="X407" s="843">
        <f t="shared" si="223"/>
        <v>0.90209662411381231</v>
      </c>
      <c r="Y407" s="843">
        <f t="shared" si="224"/>
        <v>0.98115149233208221</v>
      </c>
      <c r="Z407" s="843">
        <f t="shared" si="225"/>
        <v>0.2432340770301939</v>
      </c>
      <c r="AA407" s="843">
        <f t="shared" si="226"/>
        <v>0.79075969614426878</v>
      </c>
      <c r="AB407" s="796">
        <f t="shared" si="227"/>
        <v>3</v>
      </c>
      <c r="AC407" s="797">
        <f t="shared" si="228"/>
        <v>3</v>
      </c>
      <c r="AD407" s="797">
        <f t="shared" si="229"/>
        <v>1</v>
      </c>
      <c r="AE407" s="842">
        <f t="shared" si="230"/>
        <v>3</v>
      </c>
      <c r="AF407" s="842">
        <f t="shared" si="231"/>
        <v>3</v>
      </c>
      <c r="AG407" s="842">
        <f t="shared" si="232"/>
        <v>1</v>
      </c>
      <c r="AH407" s="842">
        <f t="shared" si="233"/>
        <v>3</v>
      </c>
      <c r="AI407" s="826" cm="1">
        <f t="array" ref="AI407">SUMPRODUCT(--ISNUMBER($U407:$AA407),$AB$3:$AH$3)</f>
        <v>1</v>
      </c>
      <c r="AJ407" s="829">
        <f t="shared" si="234"/>
        <v>30.993523525224564</v>
      </c>
      <c r="AK407" s="827" t="str">
        <f t="shared" si="235"/>
        <v>Inmadura</v>
      </c>
      <c r="AL407" s="784" t="str">
        <f t="shared" si="236"/>
        <v>Alta</v>
      </c>
      <c r="AM407" s="799">
        <f>IF(ISNUMBER('Base de datos Rutas'!W405),'Base de datos Rutas'!W405,"")</f>
        <v>3158.6335789532814</v>
      </c>
      <c r="AN407" s="787">
        <f>IFERROR(SUMIFS('Base de datos Rutas'!$W$6:$W$794,'Base de datos Rutas'!$C$6:$C$794,$C407)/'Base de datos Rutas'!I405,"")</f>
        <v>3158.6335789532818</v>
      </c>
      <c r="AO407" s="800">
        <f>IFERROR('Base de datos Rutas'!X405*AN407/AM407,"")</f>
        <v>0.49398988020337881</v>
      </c>
      <c r="AP407" s="800">
        <f t="shared" si="237"/>
        <v>0.50601011979662114</v>
      </c>
      <c r="AQ407" s="789">
        <f>IFERROR(INDEX('Hoja de apoyo v2'!$J$17:$J$20,MATCH($A407,'Hoja de apoyo v2'!$A$17:$A$20,0)),"")</f>
        <v>0.64320274048480885</v>
      </c>
      <c r="AR407" s="789">
        <f t="shared" si="238"/>
        <v>-0.13719262068818772</v>
      </c>
      <c r="AS407" s="784" t="str">
        <f t="shared" si="239"/>
        <v>No</v>
      </c>
      <c r="AT407" s="801">
        <f>IF(ISNUMBER('Base de datos Rutas'!CK405),'Base de datos Rutas'!CK405,"")</f>
        <v>253</v>
      </c>
      <c r="AU407" s="802">
        <f>IF(ISNUMBER('Base de datos Rutas'!CL405),'Base de datos Rutas'!CL405,"")</f>
        <v>383.83</v>
      </c>
      <c r="AV407" s="802">
        <f>IF(ISNUMBER('Base de datos Rutas'!CM405),'Base de datos Rutas'!CM405,"")</f>
        <v>130.82999999999998</v>
      </c>
      <c r="AW407" s="802">
        <f>IF(ISNUMBER('Base de datos Rutas'!CN405),'Base de datos Rutas'!CN405,"")</f>
        <v>7.31</v>
      </c>
      <c r="AX407" s="802">
        <f>IF(ISNUMBER('Base de datos Rutas'!CO405),'Base de datos Rutas'!CO405,"")</f>
        <v>9.4499999999999993</v>
      </c>
      <c r="AY407" s="802">
        <f>IF(ISNUMBER('Base de datos Rutas'!CP405),'Base de datos Rutas'!CP405,"")</f>
        <v>2.1399999999999997</v>
      </c>
      <c r="AZ407" s="802">
        <f>IF(ISNUMBER('Base de datos Rutas'!CQ405),'Base de datos Rutas'!CQ405,"")</f>
        <v>846.56</v>
      </c>
      <c r="BA407" s="802">
        <f>IF(ISNUMBER('Base de datos Rutas'!CR405),'Base de datos Rutas'!CR405,"")</f>
        <v>459.94</v>
      </c>
      <c r="BB407" s="803">
        <f>IF(ISNUMBER('Base de datos Rutas'!CS405),'Base de datos Rutas'!CS405,"")</f>
        <v>386.61999999999995</v>
      </c>
      <c r="BC407" s="804">
        <f t="shared" si="249"/>
        <v>0</v>
      </c>
      <c r="BD407" s="805" t="str">
        <f t="shared" si="250"/>
        <v>No saturada</v>
      </c>
      <c r="BE407" s="806">
        <f t="shared" si="251"/>
        <v>0.54330466830466839</v>
      </c>
      <c r="BF407" s="890">
        <f>IF(ISNUMBER('Base de datos Rutas'!CX405),'Base de datos Rutas'!CX405/100,"")</f>
        <v>0.6908311855670104</v>
      </c>
      <c r="BG407" s="891">
        <f>IF(ISNUMBER('Base de datos Rutas'!CZ405),'Base de datos Rutas'!CZ405/100,"")</f>
        <v>0.77512886597938147</v>
      </c>
      <c r="BH407" s="892">
        <f>IF(ISNUMBER('Base de datos Rutas'!DA405),'Base de datos Rutas'!DA405,"")</f>
        <v>782.91090009091829</v>
      </c>
      <c r="BI407" s="893">
        <f>IF(ISNUMBER('Base de datos Rutas'!DC405),'Base de datos Rutas'!DC405,"")</f>
        <v>37.924650737151111</v>
      </c>
      <c r="BJ407" s="805" t="str">
        <f t="shared" si="252"/>
        <v>Ruta (completo)</v>
      </c>
      <c r="BK407" s="783">
        <f t="shared" si="240"/>
        <v>4</v>
      </c>
      <c r="BL407" s="797">
        <f t="shared" si="241"/>
        <v>4</v>
      </c>
      <c r="BM407" s="797">
        <f t="shared" si="242"/>
        <v>4</v>
      </c>
      <c r="BN407" s="797">
        <f t="shared" si="243"/>
        <v>4</v>
      </c>
      <c r="BO407" s="798" cm="1">
        <f t="array" ref="BO407">SUMPRODUCT(--ISNUMBER($BF407:$BI407),$BK$3:$BN$3)</f>
        <v>1</v>
      </c>
      <c r="BP407" s="831">
        <f t="shared" si="253"/>
        <v>75</v>
      </c>
      <c r="BQ407" s="834" t="str">
        <f t="shared" si="254"/>
        <v>Alto</v>
      </c>
      <c r="BR407" s="836">
        <f t="shared" si="244"/>
        <v>23.245142643918424</v>
      </c>
      <c r="BS407" s="836">
        <f t="shared" si="245"/>
        <v>75</v>
      </c>
      <c r="BT407" s="837" t="str">
        <f t="shared" si="246"/>
        <v>P3</v>
      </c>
      <c r="BU407" s="807" t="str">
        <f t="shared" si="255"/>
        <v>Con espacio</v>
      </c>
      <c r="BV407" s="807" t="str">
        <f t="shared" si="247"/>
        <v>Zona atractiva</v>
      </c>
      <c r="BW407" s="808" t="str">
        <f t="shared" si="248"/>
        <v>P3 - Desarrollar</v>
      </c>
    </row>
    <row r="408" spans="1:75">
      <c r="A408" s="780" t="str">
        <f>'Base de datos Rutas'!A406</f>
        <v>Occidente</v>
      </c>
      <c r="B408" s="781" t="str">
        <f>'Base de datos Rutas'!B406</f>
        <v>Favorita</v>
      </c>
      <c r="C408" s="781" t="str">
        <f>'Base de datos Rutas'!C406</f>
        <v>Suc. Alamo</v>
      </c>
      <c r="D408" s="782">
        <f>IF(ISNUMBER('Base de datos Rutas'!D406),'Base de datos Rutas'!D406,"Sin código")</f>
        <v>802342</v>
      </c>
      <c r="E408" s="783" t="str">
        <f>'Base de datos Rutas'!F406</f>
        <v>Activa</v>
      </c>
      <c r="F408" s="784" t="str">
        <f>'Base de datos Rutas'!H406</f>
        <v>Sí</v>
      </c>
      <c r="G408" s="785">
        <f>IF(ISNUMBER('Base de datos Rutas'!BE406),'Base de datos Rutas'!BE406,"")</f>
        <v>115.827188940092</v>
      </c>
      <c r="H408" s="786">
        <f>IF(ISNUMBER('Base de datos Rutas'!BH406),'Base de datos Rutas'!BH406,"")</f>
        <v>0.39288627185740699</v>
      </c>
      <c r="I408" s="788">
        <f>IFERROR(IF(OR(NOT(ISNUMBER('Base de datos Rutas'!O406)),N('Base de datos Rutas'!BK406)=0),"",'Base de datos Rutas'!O406/('Base de datos Rutas'!L406/'Base de datos Rutas'!BK406)),"")</f>
        <v>2734.403225806444</v>
      </c>
      <c r="J408" s="788">
        <f>IFERROR(IF(OR(NOT(ISNUMBER('Base de datos Rutas'!N406)),N('Base de datos Rutas'!BK406)=0),"",'Base de datos Rutas'!N406/('Base de datos Rutas'!L406/'Base de datos Rutas'!BK406)),"")</f>
        <v>7008.2534562211786</v>
      </c>
      <c r="K408" s="788">
        <f>IFERROR(IF(OR(NOT(ISNUMBER('Base de datos Rutas'!J406)),N('Base de datos Rutas'!BK406)=0),"",'Base de datos Rutas'!J406/('Base de datos Rutas'!L406/'Base de datos Rutas'!BK406)),"")</f>
        <v>481.49747096773831</v>
      </c>
      <c r="L408" s="788">
        <f>IFERROR(IF(OR(NOT(ISNUMBER('Base de datos Rutas'!K406)),N('Base de datos Rutas'!BK406)=0),"",'Base de datos Rutas'!K406/('Base de datos Rutas'!L406/'Base de datos Rutas'!BK406)),"")</f>
        <v>21.323470679723446</v>
      </c>
      <c r="M408" s="787">
        <f>IF(ISNUMBER('Base de datos Rutas'!AX406),'Base de datos Rutas'!AX406,"")</f>
        <v>214.09174278481001</v>
      </c>
      <c r="N408" s="790">
        <f>IFERROR(INDEX('Hoja de apoyo v2'!B$17:B$20,MATCH($A408,'Hoja de apoyo v2'!$A$17:$A$20,0)),"")</f>
        <v>89.41621024641401</v>
      </c>
      <c r="O408" s="791">
        <f>IFERROR(INDEX('Hoja de apoyo v2'!C$17:C$20,MATCH($A408,'Hoja de apoyo v2'!$A$17:$A$20,0)),"")</f>
        <v>0.54706375874806301</v>
      </c>
      <c r="P408" s="793">
        <f>IFERROR(INDEX('Hoja de apoyo v2'!D$17:D$20,MATCH($A408,'Hoja de apoyo v2'!$A$17:$A$20,0)),"")</f>
        <v>11095.153935793827</v>
      </c>
      <c r="Q408" s="793">
        <f>IFERROR(INDEX('Hoja de apoyo v2'!E$17:E$20,MATCH($A408,'Hoja de apoyo v2'!$A$17:$A$20,0)),"")</f>
        <v>6982.3202019701848</v>
      </c>
      <c r="R408" s="793">
        <f>IFERROR(INDEX('Hoja de apoyo v2'!F$17:F$20,MATCH($A408,'Hoja de apoyo v2'!$A$17:$A$20,0)),"")</f>
        <v>448.09513474485743</v>
      </c>
      <c r="S408" s="793">
        <f>IFERROR(INDEX('Hoja de apoyo v2'!G$17:G$20,MATCH($A408,'Hoja de apoyo v2'!$A$17:$A$20,0)),"")</f>
        <v>83.406300904207839</v>
      </c>
      <c r="T408" s="792">
        <f>IFERROR(INDEX('Hoja de apoyo v2'!H$17:H$20,MATCH($A408,'Hoja de apoyo v2'!$A$17:$A$20,0)),"")</f>
        <v>378.97014028925349</v>
      </c>
      <c r="U408" s="794">
        <f t="shared" si="220"/>
        <v>1.295371260098078</v>
      </c>
      <c r="V408" s="795">
        <f t="shared" si="221"/>
        <v>0.7181727277210137</v>
      </c>
      <c r="W408" s="795">
        <f t="shared" si="222"/>
        <v>0.24645022877826392</v>
      </c>
      <c r="X408" s="843">
        <f t="shared" si="223"/>
        <v>1.0037141313346924</v>
      </c>
      <c r="Y408" s="843">
        <f t="shared" si="224"/>
        <v>1.0745429566913285</v>
      </c>
      <c r="Z408" s="843">
        <f t="shared" si="225"/>
        <v>0.25565779142050021</v>
      </c>
      <c r="AA408" s="843">
        <f t="shared" si="226"/>
        <v>0.56493037319880113</v>
      </c>
      <c r="AB408" s="796">
        <f t="shared" si="227"/>
        <v>5</v>
      </c>
      <c r="AC408" s="797">
        <f t="shared" si="228"/>
        <v>2</v>
      </c>
      <c r="AD408" s="797">
        <f t="shared" si="229"/>
        <v>1</v>
      </c>
      <c r="AE408" s="842">
        <f t="shared" si="230"/>
        <v>4</v>
      </c>
      <c r="AF408" s="842">
        <f t="shared" si="231"/>
        <v>4</v>
      </c>
      <c r="AG408" s="842">
        <f t="shared" si="232"/>
        <v>1</v>
      </c>
      <c r="AH408" s="842">
        <f t="shared" si="233"/>
        <v>2</v>
      </c>
      <c r="AI408" s="826" cm="1">
        <f t="array" ref="AI408">SUMPRODUCT(--ISNUMBER($U408:$AA408),$AB$3:$AH$3)</f>
        <v>1</v>
      </c>
      <c r="AJ408" s="829">
        <f t="shared" si="234"/>
        <v>41.768654613539503</v>
      </c>
      <c r="AK408" s="827" t="str">
        <f t="shared" si="235"/>
        <v>Inmadura</v>
      </c>
      <c r="AL408" s="784" t="str">
        <f t="shared" si="236"/>
        <v>Alta</v>
      </c>
      <c r="AM408" s="799">
        <f>IF(ISNUMBER('Base de datos Rutas'!W406),'Base de datos Rutas'!W406,"")</f>
        <v>3158.6335789532814</v>
      </c>
      <c r="AN408" s="787">
        <f>IFERROR(SUMIFS('Base de datos Rutas'!$W$6:$W$794,'Base de datos Rutas'!$C$6:$C$794,$C408)/'Base de datos Rutas'!I406,"")</f>
        <v>3158.6335789532818</v>
      </c>
      <c r="AO408" s="800">
        <f>IFERROR('Base de datos Rutas'!X406*AN408/AM408,"")</f>
        <v>0.49398988020337881</v>
      </c>
      <c r="AP408" s="800">
        <f t="shared" si="237"/>
        <v>0.50601011979662114</v>
      </c>
      <c r="AQ408" s="789">
        <f>IFERROR(INDEX('Hoja de apoyo v2'!$J$17:$J$20,MATCH($A408,'Hoja de apoyo v2'!$A$17:$A$20,0)),"")</f>
        <v>0.64320274048480885</v>
      </c>
      <c r="AR408" s="789">
        <f t="shared" si="238"/>
        <v>-0.13719262068818772</v>
      </c>
      <c r="AS408" s="784" t="str">
        <f t="shared" si="239"/>
        <v>No</v>
      </c>
      <c r="AT408" s="801">
        <f>IF(ISNUMBER('Base de datos Rutas'!CK406),'Base de datos Rutas'!CK406,"")</f>
        <v>433</v>
      </c>
      <c r="AU408" s="802">
        <f>IF(ISNUMBER('Base de datos Rutas'!CL406),'Base de datos Rutas'!CL406,"")</f>
        <v>745.16</v>
      </c>
      <c r="AV408" s="802">
        <f>IF(ISNUMBER('Base de datos Rutas'!CM406),'Base de datos Rutas'!CM406,"")</f>
        <v>312.15999999999997</v>
      </c>
      <c r="AW408" s="802">
        <f>IF(ISNUMBER('Base de datos Rutas'!CN406),'Base de datos Rutas'!CN406,"")</f>
        <v>11.55</v>
      </c>
      <c r="AX408" s="802">
        <f>IF(ISNUMBER('Base de datos Rutas'!CO406),'Base de datos Rutas'!CO406,"")</f>
        <v>9.4499999999999993</v>
      </c>
      <c r="AY408" s="802">
        <f>IF(ISNUMBER('Base de datos Rutas'!CP406),'Base de datos Rutas'!CP406,"")</f>
        <v>-2.1000000000000014</v>
      </c>
      <c r="AZ408" s="802">
        <f>IF(ISNUMBER('Base de datos Rutas'!CQ406),'Base de datos Rutas'!CQ406,"")</f>
        <v>846.56</v>
      </c>
      <c r="BA408" s="802">
        <f>IF(ISNUMBER('Base de datos Rutas'!CR406),'Base de datos Rutas'!CR406,"")</f>
        <v>502.82</v>
      </c>
      <c r="BB408" s="803">
        <f>IF(ISNUMBER('Base de datos Rutas'!CS406),'Base de datos Rutas'!CS406,"")</f>
        <v>343.73999999999995</v>
      </c>
      <c r="BC408" s="804">
        <f t="shared" si="249"/>
        <v>1</v>
      </c>
      <c r="BD408" s="805" t="str">
        <f t="shared" si="250"/>
        <v>Saturada</v>
      </c>
      <c r="BE408" s="806">
        <f t="shared" si="251"/>
        <v>0.59395671895671898</v>
      </c>
      <c r="BF408" s="890">
        <f>IF(ISNUMBER('Base de datos Rutas'!CX406),'Base de datos Rutas'!CX406/100,"")</f>
        <v>0.56952226194345146</v>
      </c>
      <c r="BG408" s="891">
        <f>IF(ISNUMBER('Base de datos Rutas'!CZ406),'Base de datos Rutas'!CZ406/100,"")</f>
        <v>0.62024699382515436</v>
      </c>
      <c r="BH408" s="892">
        <f>IF(ISNUMBER('Base de datos Rutas'!DA406),'Base de datos Rutas'!DA406,"")</f>
        <v>624.12628515223878</v>
      </c>
      <c r="BI408" s="893">
        <f>IF(ISNUMBER('Base de datos Rutas'!DC406),'Base de datos Rutas'!DC406,"")</f>
        <v>31.949800190530389</v>
      </c>
      <c r="BJ408" s="805" t="str">
        <f t="shared" si="252"/>
        <v>Ruta (completo)</v>
      </c>
      <c r="BK408" s="783">
        <f t="shared" si="240"/>
        <v>3</v>
      </c>
      <c r="BL408" s="797">
        <f t="shared" si="241"/>
        <v>3</v>
      </c>
      <c r="BM408" s="797">
        <f t="shared" si="242"/>
        <v>4</v>
      </c>
      <c r="BN408" s="797">
        <f t="shared" si="243"/>
        <v>4</v>
      </c>
      <c r="BO408" s="798" cm="1">
        <f t="array" ref="BO408">SUMPRODUCT(--ISNUMBER($BF408:$BI408),$BK$3:$BN$3)</f>
        <v>1</v>
      </c>
      <c r="BP408" s="831">
        <f t="shared" si="253"/>
        <v>62.5</v>
      </c>
      <c r="BQ408" s="834" t="str">
        <f t="shared" si="254"/>
        <v>Alto</v>
      </c>
      <c r="BR408" s="836">
        <f t="shared" si="244"/>
        <v>56.326490960154629</v>
      </c>
      <c r="BS408" s="836">
        <f t="shared" si="245"/>
        <v>62.5</v>
      </c>
      <c r="BT408" s="837" t="str">
        <f t="shared" si="246"/>
        <v>P1</v>
      </c>
      <c r="BU408" s="807" t="str">
        <f t="shared" si="255"/>
        <v>Al tope</v>
      </c>
      <c r="BV408" s="807" t="str">
        <f t="shared" si="247"/>
        <v>Zona atractiva</v>
      </c>
      <c r="BW408" s="808" t="str">
        <f t="shared" si="248"/>
        <v>P1 - Ampliar cobertura</v>
      </c>
    </row>
    <row r="409" spans="1:75">
      <c r="A409" s="780" t="str">
        <f>'Base de datos Rutas'!A407</f>
        <v>Occidente</v>
      </c>
      <c r="B409" s="781" t="str">
        <f>'Base de datos Rutas'!B407</f>
        <v>Favorita</v>
      </c>
      <c r="C409" s="781" t="str">
        <f>'Base de datos Rutas'!C407</f>
        <v>Suc. Alamo</v>
      </c>
      <c r="D409" s="782">
        <f>IF(ISNUMBER('Base de datos Rutas'!D407),'Base de datos Rutas'!D407,"Sin código")</f>
        <v>802343</v>
      </c>
      <c r="E409" s="783" t="str">
        <f>'Base de datos Rutas'!F407</f>
        <v>Activa</v>
      </c>
      <c r="F409" s="784" t="str">
        <f>'Base de datos Rutas'!H407</f>
        <v>Sí</v>
      </c>
      <c r="G409" s="785">
        <f>IF(ISNUMBER('Base de datos Rutas'!BE407),'Base de datos Rutas'!BE407,"")</f>
        <v>96.165394402035602</v>
      </c>
      <c r="H409" s="786">
        <f>IF(ISNUMBER('Base de datos Rutas'!BH407),'Base de datos Rutas'!BH407,"")</f>
        <v>0.41044637895906699</v>
      </c>
      <c r="I409" s="788">
        <f>IFERROR(IF(OR(NOT(ISNUMBER('Base de datos Rutas'!O407)),N('Base de datos Rutas'!BK407)=0),"",'Base de datos Rutas'!O407/('Base de datos Rutas'!L407/'Base de datos Rutas'!BK407)),"")</f>
        <v>3330.1843317972302</v>
      </c>
      <c r="J409" s="788">
        <f>IFERROR(IF(OR(NOT(ISNUMBER('Base de datos Rutas'!N407)),N('Base de datos Rutas'!BK407)=0),"",'Base de datos Rutas'!N407/('Base de datos Rutas'!L407/'Base de datos Rutas'!BK407)),"")</f>
        <v>6241.8179723502217</v>
      </c>
      <c r="K409" s="788">
        <f>IFERROR(IF(OR(NOT(ISNUMBER('Base de datos Rutas'!J407)),N('Base de datos Rutas'!BK407)=0),"",'Base de datos Rutas'!J407/('Base de datos Rutas'!L407/'Base de datos Rutas'!BK407)),"")</f>
        <v>427.29796129031962</v>
      </c>
      <c r="L409" s="788">
        <f>IFERROR(IF(OR(NOT(ISNUMBER('Base de datos Rutas'!K407)),N('Base de datos Rutas'!BK407)=0),"",'Base de datos Rutas'!K407/('Base de datos Rutas'!L407/'Base de datos Rutas'!BK407)),"")</f>
        <v>24.423585251152041</v>
      </c>
      <c r="M409" s="787">
        <f>IF(ISNUMBER('Base de datos Rutas'!AX407),'Base de datos Rutas'!AX407,"")</f>
        <v>249.36943393961201</v>
      </c>
      <c r="N409" s="790">
        <f>IFERROR(INDEX('Hoja de apoyo v2'!B$17:B$20,MATCH($A409,'Hoja de apoyo v2'!$A$17:$A$20,0)),"")</f>
        <v>89.41621024641401</v>
      </c>
      <c r="O409" s="791">
        <f>IFERROR(INDEX('Hoja de apoyo v2'!C$17:C$20,MATCH($A409,'Hoja de apoyo v2'!$A$17:$A$20,0)),"")</f>
        <v>0.54706375874806301</v>
      </c>
      <c r="P409" s="793">
        <f>IFERROR(INDEX('Hoja de apoyo v2'!D$17:D$20,MATCH($A409,'Hoja de apoyo v2'!$A$17:$A$20,0)),"")</f>
        <v>11095.153935793827</v>
      </c>
      <c r="Q409" s="793">
        <f>IFERROR(INDEX('Hoja de apoyo v2'!E$17:E$20,MATCH($A409,'Hoja de apoyo v2'!$A$17:$A$20,0)),"")</f>
        <v>6982.3202019701848</v>
      </c>
      <c r="R409" s="793">
        <f>IFERROR(INDEX('Hoja de apoyo v2'!F$17:F$20,MATCH($A409,'Hoja de apoyo v2'!$A$17:$A$20,0)),"")</f>
        <v>448.09513474485743</v>
      </c>
      <c r="S409" s="793">
        <f>IFERROR(INDEX('Hoja de apoyo v2'!G$17:G$20,MATCH($A409,'Hoja de apoyo v2'!$A$17:$A$20,0)),"")</f>
        <v>83.406300904207839</v>
      </c>
      <c r="T409" s="792">
        <f>IFERROR(INDEX('Hoja de apoyo v2'!H$17:H$20,MATCH($A409,'Hoja de apoyo v2'!$A$17:$A$20,0)),"")</f>
        <v>378.97014028925349</v>
      </c>
      <c r="U409" s="794">
        <f t="shared" si="220"/>
        <v>1.0754805435951953</v>
      </c>
      <c r="V409" s="795">
        <f t="shared" si="221"/>
        <v>0.75027155865407669</v>
      </c>
      <c r="W409" s="795">
        <f t="shared" si="222"/>
        <v>0.30014764563597424</v>
      </c>
      <c r="X409" s="843">
        <f t="shared" si="223"/>
        <v>0.89394610842810995</v>
      </c>
      <c r="Y409" s="843">
        <f t="shared" si="224"/>
        <v>0.9535875937006556</v>
      </c>
      <c r="Z409" s="843">
        <f t="shared" si="225"/>
        <v>0.2928266208472971</v>
      </c>
      <c r="AA409" s="843">
        <f t="shared" si="226"/>
        <v>0.65801868650991291</v>
      </c>
      <c r="AB409" s="796">
        <f t="shared" si="227"/>
        <v>4</v>
      </c>
      <c r="AC409" s="797">
        <f t="shared" si="228"/>
        <v>3</v>
      </c>
      <c r="AD409" s="797">
        <f t="shared" si="229"/>
        <v>1</v>
      </c>
      <c r="AE409" s="842">
        <f t="shared" si="230"/>
        <v>3</v>
      </c>
      <c r="AF409" s="842">
        <f t="shared" si="231"/>
        <v>3</v>
      </c>
      <c r="AG409" s="842">
        <f t="shared" si="232"/>
        <v>1</v>
      </c>
      <c r="AH409" s="842">
        <f t="shared" si="233"/>
        <v>2</v>
      </c>
      <c r="AI409" s="826" cm="1">
        <f t="array" ref="AI409">SUMPRODUCT(--ISNUMBER($U409:$AA409),$AB$3:$AH$3)</f>
        <v>1</v>
      </c>
      <c r="AJ409" s="829">
        <f t="shared" si="234"/>
        <v>33.282431863034759</v>
      </c>
      <c r="AK409" s="827" t="str">
        <f t="shared" si="235"/>
        <v>Inmadura</v>
      </c>
      <c r="AL409" s="784" t="str">
        <f t="shared" si="236"/>
        <v>Alta</v>
      </c>
      <c r="AM409" s="799">
        <f>IF(ISNUMBER('Base de datos Rutas'!W407),'Base de datos Rutas'!W407,"")</f>
        <v>3158.6335789532814</v>
      </c>
      <c r="AN409" s="787">
        <f>IFERROR(SUMIFS('Base de datos Rutas'!$W$6:$W$794,'Base de datos Rutas'!$C$6:$C$794,$C409)/'Base de datos Rutas'!I407,"")</f>
        <v>3158.6335789532818</v>
      </c>
      <c r="AO409" s="800">
        <f>IFERROR('Base de datos Rutas'!X407*AN409/AM409,"")</f>
        <v>0.49398988020337881</v>
      </c>
      <c r="AP409" s="800">
        <f t="shared" si="237"/>
        <v>0.50601011979662114</v>
      </c>
      <c r="AQ409" s="789">
        <f>IFERROR(INDEX('Hoja de apoyo v2'!$J$17:$J$20,MATCH($A409,'Hoja de apoyo v2'!$A$17:$A$20,0)),"")</f>
        <v>0.64320274048480885</v>
      </c>
      <c r="AR409" s="789">
        <f t="shared" si="238"/>
        <v>-0.13719262068818772</v>
      </c>
      <c r="AS409" s="784" t="str">
        <f t="shared" si="239"/>
        <v>No</v>
      </c>
      <c r="AT409" s="801">
        <f>IF(ISNUMBER('Base de datos Rutas'!CK407),'Base de datos Rutas'!CK407,"")</f>
        <v>377</v>
      </c>
      <c r="AU409" s="802">
        <f>IF(ISNUMBER('Base de datos Rutas'!CL407),'Base de datos Rutas'!CL407,"")</f>
        <v>598.42999999999995</v>
      </c>
      <c r="AV409" s="802">
        <f>IF(ISNUMBER('Base de datos Rutas'!CM407),'Base de datos Rutas'!CM407,"")</f>
        <v>221.42999999999995</v>
      </c>
      <c r="AW409" s="802">
        <f>IF(ISNUMBER('Base de datos Rutas'!CN407),'Base de datos Rutas'!CN407,"")</f>
        <v>8.68</v>
      </c>
      <c r="AX409" s="802">
        <f>IF(ISNUMBER('Base de datos Rutas'!CO407),'Base de datos Rutas'!CO407,"")</f>
        <v>9.4499999999999993</v>
      </c>
      <c r="AY409" s="802">
        <f>IF(ISNUMBER('Base de datos Rutas'!CP407),'Base de datos Rutas'!CP407,"")</f>
        <v>0.76999999999999957</v>
      </c>
      <c r="AZ409" s="802">
        <f>IF(ISNUMBER('Base de datos Rutas'!CQ407),'Base de datos Rutas'!CQ407,"")</f>
        <v>846.56</v>
      </c>
      <c r="BA409" s="802">
        <f>IF(ISNUMBER('Base de datos Rutas'!CR407),'Base de datos Rutas'!CR407,"")</f>
        <v>451.72</v>
      </c>
      <c r="BB409" s="803">
        <f>IF(ISNUMBER('Base de datos Rutas'!CS407),'Base de datos Rutas'!CS407,"")</f>
        <v>394.83999999999992</v>
      </c>
      <c r="BC409" s="804">
        <f t="shared" si="249"/>
        <v>0</v>
      </c>
      <c r="BD409" s="805" t="str">
        <f t="shared" si="250"/>
        <v>No saturada</v>
      </c>
      <c r="BE409" s="806">
        <f t="shared" si="251"/>
        <v>0.53359478359478363</v>
      </c>
      <c r="BF409" s="890">
        <f>IF(ISNUMBER('Base de datos Rutas'!CX407),'Base de datos Rutas'!CX407/100,"")</f>
        <v>0.76064293598234001</v>
      </c>
      <c r="BG409" s="891">
        <f>IF(ISNUMBER('Base de datos Rutas'!CZ407),'Base de datos Rutas'!CZ407/100,"")</f>
        <v>0.82174392935982343</v>
      </c>
      <c r="BH409" s="892">
        <f>IF(ISNUMBER('Base de datos Rutas'!DA407),'Base de datos Rutas'!DA407,"")</f>
        <v>848.56973342383037</v>
      </c>
      <c r="BI409" s="893">
        <f>IF(ISNUMBER('Base de datos Rutas'!DC407),'Base de datos Rutas'!DC407,"")</f>
        <v>39.137914355481698</v>
      </c>
      <c r="BJ409" s="805" t="str">
        <f t="shared" si="252"/>
        <v>Ruta (completo)</v>
      </c>
      <c r="BK409" s="783">
        <f t="shared" si="240"/>
        <v>4</v>
      </c>
      <c r="BL409" s="797">
        <f t="shared" si="241"/>
        <v>4</v>
      </c>
      <c r="BM409" s="797">
        <f t="shared" si="242"/>
        <v>4</v>
      </c>
      <c r="BN409" s="797">
        <f t="shared" si="243"/>
        <v>4</v>
      </c>
      <c r="BO409" s="798" cm="1">
        <f t="array" ref="BO409">SUMPRODUCT(--ISNUMBER($BF409:$BI409),$BK$3:$BN$3)</f>
        <v>1</v>
      </c>
      <c r="BP409" s="831">
        <f t="shared" si="253"/>
        <v>75</v>
      </c>
      <c r="BQ409" s="834" t="str">
        <f t="shared" si="254"/>
        <v>Alto</v>
      </c>
      <c r="BR409" s="836">
        <f t="shared" si="244"/>
        <v>24.961823897276069</v>
      </c>
      <c r="BS409" s="836">
        <f t="shared" si="245"/>
        <v>75</v>
      </c>
      <c r="BT409" s="837" t="str">
        <f t="shared" si="246"/>
        <v>P3</v>
      </c>
      <c r="BU409" s="807" t="str">
        <f t="shared" si="255"/>
        <v>Con espacio</v>
      </c>
      <c r="BV409" s="807" t="str">
        <f t="shared" si="247"/>
        <v>Zona atractiva</v>
      </c>
      <c r="BW409" s="808" t="str">
        <f t="shared" si="248"/>
        <v>P3 - Desarrollar</v>
      </c>
    </row>
    <row r="410" spans="1:75">
      <c r="A410" s="780" t="str">
        <f>'Base de datos Rutas'!A408</f>
        <v>Occidente</v>
      </c>
      <c r="B410" s="781" t="str">
        <f>'Base de datos Rutas'!B408</f>
        <v>Favorita</v>
      </c>
      <c r="C410" s="781" t="str">
        <f>'Base de datos Rutas'!C408</f>
        <v>Suc. Alamo</v>
      </c>
      <c r="D410" s="782">
        <f>IF(ISNUMBER('Base de datos Rutas'!D408),'Base de datos Rutas'!D408,"Sin código")</f>
        <v>802344</v>
      </c>
      <c r="E410" s="783" t="str">
        <f>'Base de datos Rutas'!F408</f>
        <v>Activa</v>
      </c>
      <c r="F410" s="784" t="str">
        <f>'Base de datos Rutas'!H408</f>
        <v>Sí</v>
      </c>
      <c r="G410" s="785">
        <f>IF(ISNUMBER('Base de datos Rutas'!BE408),'Base de datos Rutas'!BE408,"")</f>
        <v>84.195061728395103</v>
      </c>
      <c r="H410" s="786">
        <f>IF(ISNUMBER('Base de datos Rutas'!BH408),'Base de datos Rutas'!BH408,"")</f>
        <v>0.60726121000615896</v>
      </c>
      <c r="I410" s="788">
        <f>IFERROR(IF(OR(NOT(ISNUMBER('Base de datos Rutas'!O408)),N('Base de datos Rutas'!BK408)=0),"",'Base de datos Rutas'!O408/('Base de datos Rutas'!L408/'Base de datos Rutas'!BK408)),"")</f>
        <v>5167.8094170403565</v>
      </c>
      <c r="J410" s="788">
        <f>IFERROR(IF(OR(NOT(ISNUMBER('Base de datos Rutas'!N408)),N('Base de datos Rutas'!BK408)=0),"",'Base de datos Rutas'!N408/('Base de datos Rutas'!L408/'Base de datos Rutas'!BK408)),"")</f>
        <v>9488.4798206277974</v>
      </c>
      <c r="K410" s="788">
        <f>IFERROR(IF(OR(NOT(ISNUMBER('Base de datos Rutas'!J408)),N('Base de datos Rutas'!BK408)=0),"",'Base de datos Rutas'!J408/('Base de datos Rutas'!L408/'Base de datos Rutas'!BK408)),"")</f>
        <v>651.05166816143458</v>
      </c>
      <c r="L410" s="788">
        <f>IFERROR(IF(OR(NOT(ISNUMBER('Base de datos Rutas'!K408)),N('Base de datos Rutas'!BK408)=0),"",'Base de datos Rutas'!K408/('Base de datos Rutas'!L408/'Base de datos Rutas'!BK408)),"")</f>
        <v>42.102119506726439</v>
      </c>
      <c r="M410" s="787">
        <f>IF(ISNUMBER('Base de datos Rutas'!AX408),'Base de datos Rutas'!AX408,"")</f>
        <v>286.24962072439001</v>
      </c>
      <c r="N410" s="790">
        <f>IFERROR(INDEX('Hoja de apoyo v2'!B$17:B$20,MATCH($A410,'Hoja de apoyo v2'!$A$17:$A$20,0)),"")</f>
        <v>89.41621024641401</v>
      </c>
      <c r="O410" s="791">
        <f>IFERROR(INDEX('Hoja de apoyo v2'!C$17:C$20,MATCH($A410,'Hoja de apoyo v2'!$A$17:$A$20,0)),"")</f>
        <v>0.54706375874806301</v>
      </c>
      <c r="P410" s="793">
        <f>IFERROR(INDEX('Hoja de apoyo v2'!D$17:D$20,MATCH($A410,'Hoja de apoyo v2'!$A$17:$A$20,0)),"")</f>
        <v>11095.153935793827</v>
      </c>
      <c r="Q410" s="793">
        <f>IFERROR(INDEX('Hoja de apoyo v2'!E$17:E$20,MATCH($A410,'Hoja de apoyo v2'!$A$17:$A$20,0)),"")</f>
        <v>6982.3202019701848</v>
      </c>
      <c r="R410" s="793">
        <f>IFERROR(INDEX('Hoja de apoyo v2'!F$17:F$20,MATCH($A410,'Hoja de apoyo v2'!$A$17:$A$20,0)),"")</f>
        <v>448.09513474485743</v>
      </c>
      <c r="S410" s="793">
        <f>IFERROR(INDEX('Hoja de apoyo v2'!G$17:G$20,MATCH($A410,'Hoja de apoyo v2'!$A$17:$A$20,0)),"")</f>
        <v>83.406300904207839</v>
      </c>
      <c r="T410" s="792">
        <f>IFERROR(INDEX('Hoja de apoyo v2'!H$17:H$20,MATCH($A410,'Hoja de apoyo v2'!$A$17:$A$20,0)),"")</f>
        <v>378.97014028925349</v>
      </c>
      <c r="U410" s="794">
        <f t="shared" si="220"/>
        <v>0.94160847900363465</v>
      </c>
      <c r="V410" s="795">
        <f t="shared" si="221"/>
        <v>1.1100373590746639</v>
      </c>
      <c r="W410" s="795">
        <f t="shared" si="222"/>
        <v>0.46577176368581985</v>
      </c>
      <c r="X410" s="843">
        <f t="shared" si="223"/>
        <v>1.3589293452841729</v>
      </c>
      <c r="Y410" s="843">
        <f t="shared" si="224"/>
        <v>1.4529317943434921</v>
      </c>
      <c r="Z410" s="843">
        <f t="shared" si="225"/>
        <v>0.50478344022330801</v>
      </c>
      <c r="AA410" s="843">
        <f t="shared" si="226"/>
        <v>0.75533555362938776</v>
      </c>
      <c r="AB410" s="796">
        <f t="shared" si="227"/>
        <v>3</v>
      </c>
      <c r="AC410" s="797">
        <f t="shared" si="228"/>
        <v>4</v>
      </c>
      <c r="AD410" s="797">
        <f t="shared" si="229"/>
        <v>1</v>
      </c>
      <c r="AE410" s="842">
        <f t="shared" si="230"/>
        <v>5</v>
      </c>
      <c r="AF410" s="842">
        <f t="shared" si="231"/>
        <v>5</v>
      </c>
      <c r="AG410" s="842">
        <f t="shared" si="232"/>
        <v>2</v>
      </c>
      <c r="AH410" s="842">
        <f t="shared" si="233"/>
        <v>3</v>
      </c>
      <c r="AI410" s="826" cm="1">
        <f t="array" ref="AI410">SUMPRODUCT(--ISNUMBER($U410:$AA410),$AB$3:$AH$3)</f>
        <v>1</v>
      </c>
      <c r="AJ410" s="829">
        <f t="shared" si="234"/>
        <v>50.436480195691701</v>
      </c>
      <c r="AK410" s="827" t="str">
        <f t="shared" si="235"/>
        <v>En desarrollo</v>
      </c>
      <c r="AL410" s="784" t="str">
        <f t="shared" si="236"/>
        <v>Alta</v>
      </c>
      <c r="AM410" s="799">
        <f>IF(ISNUMBER('Base de datos Rutas'!W408),'Base de datos Rutas'!W408,"")</f>
        <v>3158.6335789532814</v>
      </c>
      <c r="AN410" s="787">
        <f>IFERROR(SUMIFS('Base de datos Rutas'!$W$6:$W$794,'Base de datos Rutas'!$C$6:$C$794,$C410)/'Base de datos Rutas'!I408,"")</f>
        <v>3158.6335789532818</v>
      </c>
      <c r="AO410" s="800">
        <f>IFERROR('Base de datos Rutas'!X408*AN410/AM410,"")</f>
        <v>0.49398988020337881</v>
      </c>
      <c r="AP410" s="800">
        <f t="shared" si="237"/>
        <v>0.50601011979662114</v>
      </c>
      <c r="AQ410" s="789">
        <f>IFERROR(INDEX('Hoja de apoyo v2'!$J$17:$J$20,MATCH($A410,'Hoja de apoyo v2'!$A$17:$A$20,0)),"")</f>
        <v>0.64320274048480885</v>
      </c>
      <c r="AR410" s="789">
        <f t="shared" si="238"/>
        <v>-0.13719262068818772</v>
      </c>
      <c r="AS410" s="784" t="str">
        <f t="shared" si="239"/>
        <v>No</v>
      </c>
      <c r="AT410" s="801">
        <f>IF(ISNUMBER('Base de datos Rutas'!CK408),'Base de datos Rutas'!CK408,"")</f>
        <v>415</v>
      </c>
      <c r="AU410" s="802">
        <f>IF(ISNUMBER('Base de datos Rutas'!CL408),'Base de datos Rutas'!CL408,"")</f>
        <v>415</v>
      </c>
      <c r="AV410" s="802">
        <f>IF(ISNUMBER('Base de datos Rutas'!CM408),'Base de datos Rutas'!CM408,"")</f>
        <v>0</v>
      </c>
      <c r="AW410" s="802" t="str">
        <f>IF(ISNUMBER('Base de datos Rutas'!CN408),'Base de datos Rutas'!CN408,"")</f>
        <v/>
      </c>
      <c r="AX410" s="802">
        <f>IF(ISNUMBER('Base de datos Rutas'!CO408),'Base de datos Rutas'!CO408,"")</f>
        <v>9.4499999999999993</v>
      </c>
      <c r="AY410" s="802">
        <f>IF(ISNUMBER('Base de datos Rutas'!CP408),'Base de datos Rutas'!CP408,"")</f>
        <v>9.4499999999999993</v>
      </c>
      <c r="AZ410" s="802" t="str">
        <f>IF(ISNUMBER('Base de datos Rutas'!CQ408),'Base de datos Rutas'!CQ408,"")</f>
        <v/>
      </c>
      <c r="BA410" s="802" t="str">
        <f>IF(ISNUMBER('Base de datos Rutas'!CR408),'Base de datos Rutas'!CR408,"")</f>
        <v/>
      </c>
      <c r="BB410" s="803">
        <f>IF(ISNUMBER('Base de datos Rutas'!CS408),'Base de datos Rutas'!CS408,"")</f>
        <v>0</v>
      </c>
      <c r="BC410" s="804" t="str">
        <f t="shared" si="249"/>
        <v/>
      </c>
      <c r="BD410" s="805" t="str">
        <f t="shared" si="250"/>
        <v>N/D</v>
      </c>
      <c r="BE410" s="806" t="str">
        <f t="shared" si="251"/>
        <v/>
      </c>
      <c r="BF410" s="890">
        <f>IF(ISNUMBER('Base de datos Rutas'!CX408),'Base de datos Rutas'!CX408/100,"")</f>
        <v>0</v>
      </c>
      <c r="BG410" s="891">
        <f>IF(ISNUMBER('Base de datos Rutas'!CZ408),'Base de datos Rutas'!CZ408/100,"")</f>
        <v>0</v>
      </c>
      <c r="BH410" s="892">
        <f>IF(ISNUMBER('Base de datos Rutas'!DA408),'Base de datos Rutas'!DA408,"")</f>
        <v>0</v>
      </c>
      <c r="BI410" s="893">
        <f>IF(ISNUMBER('Base de datos Rutas'!DC408),'Base de datos Rutas'!DC408,"")</f>
        <v>0</v>
      </c>
      <c r="BJ410" s="805" t="str">
        <f t="shared" si="252"/>
        <v>Ruta (completo)</v>
      </c>
      <c r="BK410" s="783">
        <f t="shared" si="240"/>
        <v>1</v>
      </c>
      <c r="BL410" s="797">
        <f t="shared" si="241"/>
        <v>1</v>
      </c>
      <c r="BM410" s="797">
        <f t="shared" si="242"/>
        <v>1</v>
      </c>
      <c r="BN410" s="797">
        <f t="shared" si="243"/>
        <v>1</v>
      </c>
      <c r="BO410" s="798" cm="1">
        <f t="array" ref="BO410">SUMPRODUCT(--ISNUMBER($BF410:$BI410),$BK$3:$BN$3)</f>
        <v>1</v>
      </c>
      <c r="BP410" s="831">
        <f t="shared" si="253"/>
        <v>0</v>
      </c>
      <c r="BQ410" s="834" t="str">
        <f t="shared" si="254"/>
        <v>Bajo</v>
      </c>
      <c r="BR410" s="836" t="str">
        <f t="shared" si="244"/>
        <v/>
      </c>
      <c r="BS410" s="836">
        <f t="shared" si="245"/>
        <v>0</v>
      </c>
      <c r="BT410" s="837" t="str">
        <f t="shared" si="246"/>
        <v>Sin datos</v>
      </c>
      <c r="BU410" s="807" t="str">
        <f t="shared" si="255"/>
        <v>Con espacio</v>
      </c>
      <c r="BV410" s="807" t="str">
        <f t="shared" si="247"/>
        <v>Zona de bajo potencial</v>
      </c>
      <c r="BW410" s="808" t="str">
        <f t="shared" si="248"/>
        <v>Sin datos</v>
      </c>
    </row>
    <row r="411" spans="1:75">
      <c r="A411" s="780" t="str">
        <f>'Base de datos Rutas'!A409</f>
        <v>Occidente</v>
      </c>
      <c r="B411" s="781" t="str">
        <f>'Base de datos Rutas'!B409</f>
        <v>Favorita</v>
      </c>
      <c r="C411" s="781" t="str">
        <f>'Base de datos Rutas'!C409</f>
        <v>Suc. Alamo</v>
      </c>
      <c r="D411" s="782">
        <f>IF(ISNUMBER('Base de datos Rutas'!D409),'Base de datos Rutas'!D409,"Sin código")</f>
        <v>802345</v>
      </c>
      <c r="E411" s="783" t="str">
        <f>'Base de datos Rutas'!F409</f>
        <v>Activa</v>
      </c>
      <c r="F411" s="784" t="str">
        <f>'Base de datos Rutas'!H409</f>
        <v>Sí</v>
      </c>
      <c r="G411" s="785">
        <f>IF(ISNUMBER('Base de datos Rutas'!BE409),'Base de datos Rutas'!BE409,"")</f>
        <v>93.672018348623894</v>
      </c>
      <c r="H411" s="786">
        <f>IF(ISNUMBER('Base de datos Rutas'!BH409),'Base de datos Rutas'!BH409,"")</f>
        <v>0.41450992874807202</v>
      </c>
      <c r="I411" s="788">
        <f>IFERROR(IF(OR(NOT(ISNUMBER('Base de datos Rutas'!O409)),N('Base de datos Rutas'!BK409)=0),"",'Base de datos Rutas'!O409/('Base de datos Rutas'!L409/'Base de datos Rutas'!BK409)),"")</f>
        <v>3281.832568807336</v>
      </c>
      <c r="J411" s="788">
        <f>IFERROR(IF(OR(NOT(ISNUMBER('Base de datos Rutas'!N409)),N('Base de datos Rutas'!BK409)=0),"",'Base de datos Rutas'!N409/('Base de datos Rutas'!L409/'Base de datos Rutas'!BK409)),"")</f>
        <v>6917.4977064220111</v>
      </c>
      <c r="K411" s="788">
        <f>IFERROR(IF(OR(NOT(ISNUMBER('Base de datos Rutas'!J409)),N('Base de datos Rutas'!BK409)=0),"",'Base de datos Rutas'!J409/('Base de datos Rutas'!L409/'Base de datos Rutas'!BK409)),"")</f>
        <v>479.61224609174263</v>
      </c>
      <c r="L411" s="788">
        <f>IFERROR(IF(OR(NOT(ISNUMBER('Base de datos Rutas'!K409)),N('Base de datos Rutas'!BK409)=0),"",'Base de datos Rutas'!K409/('Base de datos Rutas'!L409/'Base de datos Rutas'!BK409)),"")</f>
        <v>24.318364644495386</v>
      </c>
      <c r="M411" s="787">
        <f>IF(ISNUMBER('Base de datos Rutas'!AX409),'Base de datos Rutas'!AX409,"")</f>
        <v>262.68002185598698</v>
      </c>
      <c r="N411" s="790">
        <f>IFERROR(INDEX('Hoja de apoyo v2'!B$17:B$20,MATCH($A411,'Hoja de apoyo v2'!$A$17:$A$20,0)),"")</f>
        <v>89.41621024641401</v>
      </c>
      <c r="O411" s="791">
        <f>IFERROR(INDEX('Hoja de apoyo v2'!C$17:C$20,MATCH($A411,'Hoja de apoyo v2'!$A$17:$A$20,0)),"")</f>
        <v>0.54706375874806301</v>
      </c>
      <c r="P411" s="793">
        <f>IFERROR(INDEX('Hoja de apoyo v2'!D$17:D$20,MATCH($A411,'Hoja de apoyo v2'!$A$17:$A$20,0)),"")</f>
        <v>11095.153935793827</v>
      </c>
      <c r="Q411" s="793">
        <f>IFERROR(INDEX('Hoja de apoyo v2'!E$17:E$20,MATCH($A411,'Hoja de apoyo v2'!$A$17:$A$20,0)),"")</f>
        <v>6982.3202019701848</v>
      </c>
      <c r="R411" s="793">
        <f>IFERROR(INDEX('Hoja de apoyo v2'!F$17:F$20,MATCH($A411,'Hoja de apoyo v2'!$A$17:$A$20,0)),"")</f>
        <v>448.09513474485743</v>
      </c>
      <c r="S411" s="793">
        <f>IFERROR(INDEX('Hoja de apoyo v2'!G$17:G$20,MATCH($A411,'Hoja de apoyo v2'!$A$17:$A$20,0)),"")</f>
        <v>83.406300904207839</v>
      </c>
      <c r="T411" s="792">
        <f>IFERROR(INDEX('Hoja de apoyo v2'!H$17:H$20,MATCH($A411,'Hoja de apoyo v2'!$A$17:$A$20,0)),"")</f>
        <v>378.97014028925349</v>
      </c>
      <c r="U411" s="794">
        <f t="shared" si="220"/>
        <v>1.0475954873336915</v>
      </c>
      <c r="V411" s="795">
        <f t="shared" si="221"/>
        <v>0.7576994858819821</v>
      </c>
      <c r="W411" s="795">
        <f t="shared" si="222"/>
        <v>0.29578972836238798</v>
      </c>
      <c r="X411" s="843">
        <f t="shared" si="223"/>
        <v>0.99071619552339019</v>
      </c>
      <c r="Y411" s="843">
        <f t="shared" si="224"/>
        <v>1.0703357588669888</v>
      </c>
      <c r="Z411" s="843">
        <f t="shared" si="225"/>
        <v>0.29156507818785821</v>
      </c>
      <c r="AA411" s="843">
        <f t="shared" si="226"/>
        <v>0.69314173843747506</v>
      </c>
      <c r="AB411" s="796">
        <f t="shared" si="227"/>
        <v>4</v>
      </c>
      <c r="AC411" s="797">
        <f t="shared" si="228"/>
        <v>3</v>
      </c>
      <c r="AD411" s="797">
        <f t="shared" si="229"/>
        <v>1</v>
      </c>
      <c r="AE411" s="842">
        <f t="shared" si="230"/>
        <v>3</v>
      </c>
      <c r="AF411" s="842">
        <f t="shared" si="231"/>
        <v>4</v>
      </c>
      <c r="AG411" s="842">
        <f t="shared" si="232"/>
        <v>1</v>
      </c>
      <c r="AH411" s="842">
        <f t="shared" si="233"/>
        <v>2</v>
      </c>
      <c r="AI411" s="826" cm="1">
        <f t="array" ref="AI411">SUMPRODUCT(--ISNUMBER($U411:$AA411),$AB$3:$AH$3)</f>
        <v>1</v>
      </c>
      <c r="AJ411" s="829">
        <f t="shared" si="234"/>
        <v>36.20847637507454</v>
      </c>
      <c r="AK411" s="827" t="str">
        <f t="shared" si="235"/>
        <v>Inmadura</v>
      </c>
      <c r="AL411" s="784" t="str">
        <f t="shared" si="236"/>
        <v>Alta</v>
      </c>
      <c r="AM411" s="799">
        <f>IF(ISNUMBER('Base de datos Rutas'!W409),'Base de datos Rutas'!W409,"")</f>
        <v>3158.6335789532814</v>
      </c>
      <c r="AN411" s="787">
        <f>IFERROR(SUMIFS('Base de datos Rutas'!$W$6:$W$794,'Base de datos Rutas'!$C$6:$C$794,$C411)/'Base de datos Rutas'!I409,"")</f>
        <v>3158.6335789532818</v>
      </c>
      <c r="AO411" s="800">
        <f>IFERROR('Base de datos Rutas'!X409*AN411/AM411,"")</f>
        <v>0.49398988020337881</v>
      </c>
      <c r="AP411" s="800">
        <f t="shared" si="237"/>
        <v>0.50601011979662114</v>
      </c>
      <c r="AQ411" s="789">
        <f>IFERROR(INDEX('Hoja de apoyo v2'!$J$17:$J$20,MATCH($A411,'Hoja de apoyo v2'!$A$17:$A$20,0)),"")</f>
        <v>0.64320274048480885</v>
      </c>
      <c r="AR411" s="789">
        <f t="shared" si="238"/>
        <v>-0.13719262068818772</v>
      </c>
      <c r="AS411" s="784" t="str">
        <f t="shared" si="239"/>
        <v>No</v>
      </c>
      <c r="AT411" s="801">
        <f>IF(ISNUMBER('Base de datos Rutas'!CK409),'Base de datos Rutas'!CK409,"")</f>
        <v>381</v>
      </c>
      <c r="AU411" s="802">
        <f>IF(ISNUMBER('Base de datos Rutas'!CL409),'Base de datos Rutas'!CL409,"")</f>
        <v>505.49</v>
      </c>
      <c r="AV411" s="802">
        <f>IF(ISNUMBER('Base de datos Rutas'!CM409),'Base de datos Rutas'!CM409,"")</f>
        <v>124.49000000000001</v>
      </c>
      <c r="AW411" s="802">
        <f>IF(ISNUMBER('Base de datos Rutas'!CN409),'Base de datos Rutas'!CN409,"")</f>
        <v>5.95</v>
      </c>
      <c r="AX411" s="802">
        <f>IF(ISNUMBER('Base de datos Rutas'!CO409),'Base de datos Rutas'!CO409,"")</f>
        <v>9.4499999999999993</v>
      </c>
      <c r="AY411" s="802">
        <f>IF(ISNUMBER('Base de datos Rutas'!CP409),'Base de datos Rutas'!CP409,"")</f>
        <v>3.4999999999999991</v>
      </c>
      <c r="AZ411" s="802">
        <f>IF(ISNUMBER('Base de datos Rutas'!CQ409),'Base de datos Rutas'!CQ409,"")</f>
        <v>564.37</v>
      </c>
      <c r="BA411" s="802">
        <f>IF(ISNUMBER('Base de datos Rutas'!CR409),'Base de datos Rutas'!CR409,"")</f>
        <v>503.93</v>
      </c>
      <c r="BB411" s="803">
        <f>IF(ISNUMBER('Base de datos Rutas'!CS409),'Base de datos Rutas'!CS409,"")</f>
        <v>60.44</v>
      </c>
      <c r="BC411" s="804">
        <f t="shared" si="249"/>
        <v>0</v>
      </c>
      <c r="BD411" s="805" t="str">
        <f t="shared" si="250"/>
        <v>No saturada</v>
      </c>
      <c r="BE411" s="806">
        <f t="shared" si="251"/>
        <v>0.89290713538990374</v>
      </c>
      <c r="BF411" s="890">
        <f>IF(ISNUMBER('Base de datos Rutas'!CX409),'Base de datos Rutas'!CX409/100,"")</f>
        <v>0.42633203631647215</v>
      </c>
      <c r="BG411" s="891">
        <f>IF(ISNUMBER('Base de datos Rutas'!CZ409),'Base de datos Rutas'!CZ409/100,"")</f>
        <v>0.45862516212710763</v>
      </c>
      <c r="BH411" s="892">
        <f>IF(ISNUMBER('Base de datos Rutas'!DA409),'Base de datos Rutas'!DA409,"")</f>
        <v>492.25245948601457</v>
      </c>
      <c r="BI411" s="893">
        <f>IF(ISNUMBER('Base de datos Rutas'!DC409),'Base de datos Rutas'!DC409,"")</f>
        <v>24.295836903723842</v>
      </c>
      <c r="BJ411" s="805" t="str">
        <f t="shared" si="252"/>
        <v>Ruta (completo)</v>
      </c>
      <c r="BK411" s="783">
        <f t="shared" si="240"/>
        <v>3</v>
      </c>
      <c r="BL411" s="797">
        <f t="shared" si="241"/>
        <v>3</v>
      </c>
      <c r="BM411" s="797">
        <f t="shared" si="242"/>
        <v>3</v>
      </c>
      <c r="BN411" s="797">
        <f t="shared" si="243"/>
        <v>3</v>
      </c>
      <c r="BO411" s="798" cm="1">
        <f t="array" ref="BO411">SUMPRODUCT(--ISNUMBER($BF411:$BI411),$BK$3:$BN$3)</f>
        <v>1</v>
      </c>
      <c r="BP411" s="831">
        <f t="shared" si="253"/>
        <v>50</v>
      </c>
      <c r="BQ411" s="834" t="str">
        <f t="shared" si="254"/>
        <v>Alto</v>
      </c>
      <c r="BR411" s="836">
        <f t="shared" si="244"/>
        <v>27.156357281305905</v>
      </c>
      <c r="BS411" s="836">
        <f t="shared" si="245"/>
        <v>50</v>
      </c>
      <c r="BT411" s="837" t="str">
        <f t="shared" si="246"/>
        <v>P3</v>
      </c>
      <c r="BU411" s="807" t="str">
        <f t="shared" si="255"/>
        <v>Con espacio</v>
      </c>
      <c r="BV411" s="807" t="str">
        <f t="shared" si="247"/>
        <v>Zona atractiva</v>
      </c>
      <c r="BW411" s="808" t="str">
        <f t="shared" si="248"/>
        <v>P3 - Desarrollar</v>
      </c>
    </row>
    <row r="412" spans="1:75">
      <c r="A412" s="780" t="str">
        <f>'Base de datos Rutas'!A410</f>
        <v>Occidente</v>
      </c>
      <c r="B412" s="781" t="str">
        <f>'Base de datos Rutas'!B410</f>
        <v>Favorita</v>
      </c>
      <c r="C412" s="781" t="str">
        <f>'Base de datos Rutas'!C410</f>
        <v>Suc. Alamo</v>
      </c>
      <c r="D412" s="782">
        <f>IF(ISNUMBER('Base de datos Rutas'!D410),'Base de datos Rutas'!D410,"Sin código")</f>
        <v>802346</v>
      </c>
      <c r="E412" s="783" t="str">
        <f>'Base de datos Rutas'!F410</f>
        <v>Activa</v>
      </c>
      <c r="F412" s="784" t="str">
        <f>'Base de datos Rutas'!H410</f>
        <v>Sí</v>
      </c>
      <c r="G412" s="785">
        <f>IF(ISNUMBER('Base de datos Rutas'!BE410),'Base de datos Rutas'!BE410,"")</f>
        <v>174.49770642201801</v>
      </c>
      <c r="H412" s="786">
        <f>IF(ISNUMBER('Base de datos Rutas'!BH410),'Base de datos Rutas'!BH410,"")</f>
        <v>0.473508497522377</v>
      </c>
      <c r="I412" s="788">
        <f>IFERROR(IF(OR(NOT(ISNUMBER('Base de datos Rutas'!O410)),N('Base de datos Rutas'!BK410)=0),"",'Base de datos Rutas'!O410/('Base de datos Rutas'!L410/'Base de datos Rutas'!BK410)),"")</f>
        <v>5767.236238532103</v>
      </c>
      <c r="J412" s="788">
        <f>IFERROR(IF(OR(NOT(ISNUMBER('Base de datos Rutas'!N410)),N('Base de datos Rutas'!BK410)=0),"",'Base de datos Rutas'!N410/('Base de datos Rutas'!L410/'Base de datos Rutas'!BK410)),"")</f>
        <v>10730.651376146776</v>
      </c>
      <c r="K412" s="788">
        <f>IFERROR(IF(OR(NOT(ISNUMBER('Base de datos Rutas'!J410)),N('Base de datos Rutas'!BK410)=0),"",'Base de datos Rutas'!J410/('Base de datos Rutas'!L410/'Base de datos Rutas'!BK410)),"")</f>
        <v>736.94101651375831</v>
      </c>
      <c r="L412" s="788">
        <f>IFERROR(IF(OR(NOT(ISNUMBER('Base de datos Rutas'!K410)),N('Base de datos Rutas'!BK410)=0),"",'Base de datos Rutas'!K410/('Base de datos Rutas'!L410/'Base de datos Rutas'!BK410)),"")</f>
        <v>43.571780376146741</v>
      </c>
      <c r="M412" s="787">
        <f>IF(ISNUMBER('Base de datos Rutas'!AX410),'Base de datos Rutas'!AX410,"")</f>
        <v>199.669066759195</v>
      </c>
      <c r="N412" s="790">
        <f>IFERROR(INDEX('Hoja de apoyo v2'!B$17:B$20,MATCH($A412,'Hoja de apoyo v2'!$A$17:$A$20,0)),"")</f>
        <v>89.41621024641401</v>
      </c>
      <c r="O412" s="791">
        <f>IFERROR(INDEX('Hoja de apoyo v2'!C$17:C$20,MATCH($A412,'Hoja de apoyo v2'!$A$17:$A$20,0)),"")</f>
        <v>0.54706375874806301</v>
      </c>
      <c r="P412" s="793">
        <f>IFERROR(INDEX('Hoja de apoyo v2'!D$17:D$20,MATCH($A412,'Hoja de apoyo v2'!$A$17:$A$20,0)),"")</f>
        <v>11095.153935793827</v>
      </c>
      <c r="Q412" s="793">
        <f>IFERROR(INDEX('Hoja de apoyo v2'!E$17:E$20,MATCH($A412,'Hoja de apoyo v2'!$A$17:$A$20,0)),"")</f>
        <v>6982.3202019701848</v>
      </c>
      <c r="R412" s="793">
        <f>IFERROR(INDEX('Hoja de apoyo v2'!F$17:F$20,MATCH($A412,'Hoja de apoyo v2'!$A$17:$A$20,0)),"")</f>
        <v>448.09513474485743</v>
      </c>
      <c r="S412" s="793">
        <f>IFERROR(INDEX('Hoja de apoyo v2'!G$17:G$20,MATCH($A412,'Hoja de apoyo v2'!$A$17:$A$20,0)),"")</f>
        <v>83.406300904207839</v>
      </c>
      <c r="T412" s="792">
        <f>IFERROR(INDEX('Hoja de apoyo v2'!H$17:H$20,MATCH($A412,'Hoja de apoyo v2'!$A$17:$A$20,0)),"")</f>
        <v>378.97014028925349</v>
      </c>
      <c r="U412" s="794">
        <f t="shared" si="220"/>
        <v>1.951522055577346</v>
      </c>
      <c r="V412" s="795">
        <f t="shared" si="221"/>
        <v>0.86554535911131314</v>
      </c>
      <c r="W412" s="795">
        <f t="shared" si="222"/>
        <v>0.51979776683643397</v>
      </c>
      <c r="X412" s="843">
        <f t="shared" si="223"/>
        <v>1.5368317501564785</v>
      </c>
      <c r="Y412" s="843">
        <f t="shared" si="224"/>
        <v>1.6446083864163532</v>
      </c>
      <c r="Z412" s="843">
        <f t="shared" si="225"/>
        <v>0.52240394195384521</v>
      </c>
      <c r="AA412" s="843">
        <f t="shared" si="226"/>
        <v>0.52687282065757268</v>
      </c>
      <c r="AB412" s="796">
        <f t="shared" si="227"/>
        <v>5</v>
      </c>
      <c r="AC412" s="797">
        <f t="shared" si="228"/>
        <v>3</v>
      </c>
      <c r="AD412" s="797">
        <f t="shared" si="229"/>
        <v>2</v>
      </c>
      <c r="AE412" s="842">
        <f t="shared" si="230"/>
        <v>5</v>
      </c>
      <c r="AF412" s="842">
        <f t="shared" si="231"/>
        <v>5</v>
      </c>
      <c r="AG412" s="842">
        <f t="shared" si="232"/>
        <v>2</v>
      </c>
      <c r="AH412" s="842">
        <f t="shared" si="233"/>
        <v>2</v>
      </c>
      <c r="AI412" s="826" cm="1">
        <f t="array" ref="AI412">SUMPRODUCT(--ISNUMBER($U412:$AA412),$AB$3:$AH$3)</f>
        <v>1</v>
      </c>
      <c r="AJ412" s="829">
        <f t="shared" si="234"/>
        <v>59.990290595076189</v>
      </c>
      <c r="AK412" s="827" t="str">
        <f t="shared" si="235"/>
        <v>En desarrollo</v>
      </c>
      <c r="AL412" s="784" t="str">
        <f t="shared" si="236"/>
        <v>Alta</v>
      </c>
      <c r="AM412" s="799">
        <f>IF(ISNUMBER('Base de datos Rutas'!W410),'Base de datos Rutas'!W410,"")</f>
        <v>3158.6335789532814</v>
      </c>
      <c r="AN412" s="787">
        <f>IFERROR(SUMIFS('Base de datos Rutas'!$W$6:$W$794,'Base de datos Rutas'!$C$6:$C$794,$C412)/'Base de datos Rutas'!I410,"")</f>
        <v>3158.6335789532818</v>
      </c>
      <c r="AO412" s="800">
        <f>IFERROR('Base de datos Rutas'!X410*AN412/AM412,"")</f>
        <v>0.49398988020337881</v>
      </c>
      <c r="AP412" s="800">
        <f t="shared" si="237"/>
        <v>0.50601011979662114</v>
      </c>
      <c r="AQ412" s="789">
        <f>IFERROR(INDEX('Hoja de apoyo v2'!$J$17:$J$20,MATCH($A412,'Hoja de apoyo v2'!$A$17:$A$20,0)),"")</f>
        <v>0.64320274048480885</v>
      </c>
      <c r="AR412" s="789">
        <f t="shared" si="238"/>
        <v>-0.13719262068818772</v>
      </c>
      <c r="AS412" s="784" t="str">
        <f t="shared" si="239"/>
        <v>No</v>
      </c>
      <c r="AT412" s="801">
        <f>IF(ISNUMBER('Base de datos Rutas'!CK410),'Base de datos Rutas'!CK410,"")</f>
        <v>706</v>
      </c>
      <c r="AU412" s="802">
        <f>IF(ISNUMBER('Base de datos Rutas'!CL410),'Base de datos Rutas'!CL410,"")</f>
        <v>760</v>
      </c>
      <c r="AV412" s="802">
        <f>IF(ISNUMBER('Base de datos Rutas'!CM410),'Base de datos Rutas'!CM410,"")</f>
        <v>54</v>
      </c>
      <c r="AW412" s="802">
        <f>IF(ISNUMBER('Base de datos Rutas'!CN410),'Base de datos Rutas'!CN410,"")</f>
        <v>16.309999999999999</v>
      </c>
      <c r="AX412" s="802">
        <f>IF(ISNUMBER('Base de datos Rutas'!CO410),'Base de datos Rutas'!CO410,"")</f>
        <v>9.4499999999999993</v>
      </c>
      <c r="AY412" s="802">
        <f>IF(ISNUMBER('Base de datos Rutas'!CP410),'Base de datos Rutas'!CP410,"")</f>
        <v>-6.8599999999999994</v>
      </c>
      <c r="AZ412" s="802">
        <f>IF(ISNUMBER('Base de datos Rutas'!CQ410),'Base de datos Rutas'!CQ410,"")</f>
        <v>846.56</v>
      </c>
      <c r="BA412" s="802">
        <f>IF(ISNUMBER('Base de datos Rutas'!CR410),'Base de datos Rutas'!CR410,"")</f>
        <v>780.51</v>
      </c>
      <c r="BB412" s="803">
        <f>IF(ISNUMBER('Base de datos Rutas'!CS410),'Base de datos Rutas'!CS410,"")</f>
        <v>66.049999999999955</v>
      </c>
      <c r="BC412" s="804">
        <f t="shared" si="249"/>
        <v>1</v>
      </c>
      <c r="BD412" s="805" t="str">
        <f t="shared" si="250"/>
        <v>Saturada</v>
      </c>
      <c r="BE412" s="806">
        <f t="shared" si="251"/>
        <v>0.92197835947835949</v>
      </c>
      <c r="BF412" s="890">
        <f>IF(ISNUMBER('Base de datos Rutas'!CX410),'Base de datos Rutas'!CX410/100,"")</f>
        <v>0.29722609638927633</v>
      </c>
      <c r="BG412" s="891">
        <f>IF(ISNUMBER('Base de datos Rutas'!CZ410),'Base de datos Rutas'!CZ410/100,"")</f>
        <v>0.30559429722609638</v>
      </c>
      <c r="BH412" s="892">
        <f>IF(ISNUMBER('Base de datos Rutas'!DA410),'Base de datos Rutas'!DA410,"")</f>
        <v>146.54330259720302</v>
      </c>
      <c r="BI412" s="893">
        <f>IF(ISNUMBER('Base de datos Rutas'!DC410),'Base de datos Rutas'!DC410,"")</f>
        <v>6.6869555862916856</v>
      </c>
      <c r="BJ412" s="805" t="str">
        <f t="shared" si="252"/>
        <v>Ruta (completo)</v>
      </c>
      <c r="BK412" s="783">
        <f t="shared" si="240"/>
        <v>2</v>
      </c>
      <c r="BL412" s="797">
        <f t="shared" si="241"/>
        <v>2</v>
      </c>
      <c r="BM412" s="797">
        <f t="shared" si="242"/>
        <v>1</v>
      </c>
      <c r="BN412" s="797">
        <f t="shared" si="243"/>
        <v>1</v>
      </c>
      <c r="BO412" s="798" cm="1">
        <f t="array" ref="BO412">SUMPRODUCT(--ISNUMBER($BF412:$BI412),$BK$3:$BN$3)</f>
        <v>1</v>
      </c>
      <c r="BP412" s="831">
        <f t="shared" si="253"/>
        <v>12.5</v>
      </c>
      <c r="BQ412" s="834" t="str">
        <f t="shared" si="254"/>
        <v>Bajo</v>
      </c>
      <c r="BR412" s="836">
        <f t="shared" si="244"/>
        <v>69.992717946307138</v>
      </c>
      <c r="BS412" s="836">
        <f t="shared" si="245"/>
        <v>12.5</v>
      </c>
      <c r="BT412" s="837" t="str">
        <f t="shared" si="246"/>
        <v>P2</v>
      </c>
      <c r="BU412" s="807" t="str">
        <f t="shared" si="255"/>
        <v>Al tope</v>
      </c>
      <c r="BV412" s="807" t="str">
        <f t="shared" si="247"/>
        <v>Zona de bajo potencial</v>
      </c>
      <c r="BW412" s="808" t="str">
        <f t="shared" si="248"/>
        <v>P2 - Mantener</v>
      </c>
    </row>
    <row r="413" spans="1:75">
      <c r="A413" s="780" t="str">
        <f>'Base de datos Rutas'!A411</f>
        <v>Occidente</v>
      </c>
      <c r="B413" s="781" t="str">
        <f>'Base de datos Rutas'!B411</f>
        <v>Favorita</v>
      </c>
      <c r="C413" s="781" t="str">
        <f>'Base de datos Rutas'!C411</f>
        <v>Suc. Alamo</v>
      </c>
      <c r="D413" s="782">
        <f>IF(ISNUMBER('Base de datos Rutas'!D411),'Base de datos Rutas'!D411,"Sin código")</f>
        <v>802347</v>
      </c>
      <c r="E413" s="783" t="str">
        <f>'Base de datos Rutas'!F411</f>
        <v>Activa</v>
      </c>
      <c r="F413" s="784" t="str">
        <f>'Base de datos Rutas'!H411</f>
        <v>Sí</v>
      </c>
      <c r="G413" s="785">
        <f>IF(ISNUMBER('Base de datos Rutas'!BE411),'Base de datos Rutas'!BE411,"")</f>
        <v>70.329326923076906</v>
      </c>
      <c r="H413" s="786">
        <f>IF(ISNUMBER('Base de datos Rutas'!BH411),'Base de datos Rutas'!BH411,"")</f>
        <v>0.354684349044673</v>
      </c>
      <c r="I413" s="788">
        <f>IFERROR(IF(OR(NOT(ISNUMBER('Base de datos Rutas'!O411)),N('Base de datos Rutas'!BK411)=0),"",'Base de datos Rutas'!O411/('Base de datos Rutas'!L411/'Base de datos Rutas'!BK411)),"")</f>
        <v>2925.1589861751131</v>
      </c>
      <c r="J413" s="788">
        <f>IFERROR(IF(OR(NOT(ISNUMBER('Base de datos Rutas'!N411)),N('Base de datos Rutas'!BK411)=0),"",'Base de datos Rutas'!N411/('Base de datos Rutas'!L411/'Base de datos Rutas'!BK411)),"")</f>
        <v>6369.5576036866314</v>
      </c>
      <c r="K413" s="788">
        <f>IFERROR(IF(OR(NOT(ISNUMBER('Base de datos Rutas'!J411)),N('Base de datos Rutas'!BK411)=0),"",'Base de datos Rutas'!J411/('Base de datos Rutas'!L411/'Base de datos Rutas'!BK411)),"")</f>
        <v>436.56658064516103</v>
      </c>
      <c r="L413" s="788">
        <f>IFERROR(IF(OR(NOT(ISNUMBER('Base de datos Rutas'!K411)),N('Base de datos Rutas'!BK411)=0),"",'Base de datos Rutas'!K411/('Base de datos Rutas'!L411/'Base de datos Rutas'!BK411)),"")</f>
        <v>22.108242281105976</v>
      </c>
      <c r="M413" s="787">
        <f>IF(ISNUMBER('Base de datos Rutas'!AX411),'Base de datos Rutas'!AX411,"")</f>
        <v>380.66515711993998</v>
      </c>
      <c r="N413" s="790">
        <f>IFERROR(INDEX('Hoja de apoyo v2'!B$17:B$20,MATCH($A413,'Hoja de apoyo v2'!$A$17:$A$20,0)),"")</f>
        <v>89.41621024641401</v>
      </c>
      <c r="O413" s="791">
        <f>IFERROR(INDEX('Hoja de apoyo v2'!C$17:C$20,MATCH($A413,'Hoja de apoyo v2'!$A$17:$A$20,0)),"")</f>
        <v>0.54706375874806301</v>
      </c>
      <c r="P413" s="793">
        <f>IFERROR(INDEX('Hoja de apoyo v2'!D$17:D$20,MATCH($A413,'Hoja de apoyo v2'!$A$17:$A$20,0)),"")</f>
        <v>11095.153935793827</v>
      </c>
      <c r="Q413" s="793">
        <f>IFERROR(INDEX('Hoja de apoyo v2'!E$17:E$20,MATCH($A413,'Hoja de apoyo v2'!$A$17:$A$20,0)),"")</f>
        <v>6982.3202019701848</v>
      </c>
      <c r="R413" s="793">
        <f>IFERROR(INDEX('Hoja de apoyo v2'!F$17:F$20,MATCH($A413,'Hoja de apoyo v2'!$A$17:$A$20,0)),"")</f>
        <v>448.09513474485743</v>
      </c>
      <c r="S413" s="793">
        <f>IFERROR(INDEX('Hoja de apoyo v2'!G$17:G$20,MATCH($A413,'Hoja de apoyo v2'!$A$17:$A$20,0)),"")</f>
        <v>83.406300904207839</v>
      </c>
      <c r="T413" s="792">
        <f>IFERROR(INDEX('Hoja de apoyo v2'!H$17:H$20,MATCH($A413,'Hoja de apoyo v2'!$A$17:$A$20,0)),"")</f>
        <v>378.97014028925349</v>
      </c>
      <c r="U413" s="794">
        <f t="shared" si="220"/>
        <v>0.78653889187724135</v>
      </c>
      <c r="V413" s="795">
        <f t="shared" si="221"/>
        <v>0.64834188588247221</v>
      </c>
      <c r="W413" s="795">
        <f t="shared" si="222"/>
        <v>0.2636429384488595</v>
      </c>
      <c r="X413" s="843">
        <f t="shared" si="223"/>
        <v>0.91224083391210675</v>
      </c>
      <c r="Y413" s="843">
        <f t="shared" si="224"/>
        <v>0.97427208374788377</v>
      </c>
      <c r="Z413" s="843">
        <f t="shared" si="225"/>
        <v>0.26506681199658166</v>
      </c>
      <c r="AA413" s="843">
        <f t="shared" si="226"/>
        <v>1.004472692306029</v>
      </c>
      <c r="AB413" s="796">
        <f t="shared" si="227"/>
        <v>3</v>
      </c>
      <c r="AC413" s="797">
        <f t="shared" si="228"/>
        <v>2</v>
      </c>
      <c r="AD413" s="797">
        <f t="shared" si="229"/>
        <v>1</v>
      </c>
      <c r="AE413" s="842">
        <f t="shared" si="230"/>
        <v>3</v>
      </c>
      <c r="AF413" s="842">
        <f t="shared" si="231"/>
        <v>3</v>
      </c>
      <c r="AG413" s="842">
        <f t="shared" si="232"/>
        <v>1</v>
      </c>
      <c r="AH413" s="842">
        <f t="shared" si="233"/>
        <v>4</v>
      </c>
      <c r="AI413" s="826" cm="1">
        <f t="array" ref="AI413">SUMPRODUCT(--ISNUMBER($U413:$AA413),$AB$3:$AH$3)</f>
        <v>1</v>
      </c>
      <c r="AJ413" s="829">
        <f t="shared" si="234"/>
        <v>30.855345779660649</v>
      </c>
      <c r="AK413" s="827" t="str">
        <f t="shared" si="235"/>
        <v>Inmadura</v>
      </c>
      <c r="AL413" s="784" t="str">
        <f t="shared" si="236"/>
        <v>Alta</v>
      </c>
      <c r="AM413" s="799">
        <f>IF(ISNUMBER('Base de datos Rutas'!W411),'Base de datos Rutas'!W411,"")</f>
        <v>3158.6335789532814</v>
      </c>
      <c r="AN413" s="787">
        <f>IFERROR(SUMIFS('Base de datos Rutas'!$W$6:$W$794,'Base de datos Rutas'!$C$6:$C$794,$C413)/'Base de datos Rutas'!I411,"")</f>
        <v>3158.6335789532818</v>
      </c>
      <c r="AO413" s="800">
        <f>IFERROR('Base de datos Rutas'!X411*AN413/AM413,"")</f>
        <v>0.49398988020337881</v>
      </c>
      <c r="AP413" s="800">
        <f t="shared" si="237"/>
        <v>0.50601011979662114</v>
      </c>
      <c r="AQ413" s="789">
        <f>IFERROR(INDEX('Hoja de apoyo v2'!$J$17:$J$20,MATCH($A413,'Hoja de apoyo v2'!$A$17:$A$20,0)),"")</f>
        <v>0.64320274048480885</v>
      </c>
      <c r="AR413" s="789">
        <f t="shared" si="238"/>
        <v>-0.13719262068818772</v>
      </c>
      <c r="AS413" s="784" t="str">
        <f t="shared" si="239"/>
        <v>No</v>
      </c>
      <c r="AT413" s="801">
        <f>IF(ISNUMBER('Base de datos Rutas'!CK411),'Base de datos Rutas'!CK411,"")</f>
        <v>245</v>
      </c>
      <c r="AU413" s="802">
        <f>IF(ISNUMBER('Base de datos Rutas'!CL411),'Base de datos Rutas'!CL411,"")</f>
        <v>485.34</v>
      </c>
      <c r="AV413" s="802">
        <f>IF(ISNUMBER('Base de datos Rutas'!CM411),'Base de datos Rutas'!CM411,"")</f>
        <v>240.33999999999997</v>
      </c>
      <c r="AW413" s="802">
        <f>IF(ISNUMBER('Base de datos Rutas'!CN411),'Base de datos Rutas'!CN411,"")</f>
        <v>5.41</v>
      </c>
      <c r="AX413" s="802">
        <f>IF(ISNUMBER('Base de datos Rutas'!CO411),'Base de datos Rutas'!CO411,"")</f>
        <v>9.4499999999999993</v>
      </c>
      <c r="AY413" s="802">
        <f>IF(ISNUMBER('Base de datos Rutas'!CP411),'Base de datos Rutas'!CP411,"")</f>
        <v>4.0399999999999991</v>
      </c>
      <c r="AZ413" s="802">
        <f>IF(ISNUMBER('Base de datos Rutas'!CQ411),'Base de datos Rutas'!CQ411,"")</f>
        <v>846.56</v>
      </c>
      <c r="BA413" s="802">
        <f>IF(ISNUMBER('Base de datos Rutas'!CR411),'Base de datos Rutas'!CR411,"")</f>
        <v>458.67</v>
      </c>
      <c r="BB413" s="803">
        <f>IF(ISNUMBER('Base de datos Rutas'!CS411),'Base de datos Rutas'!CS411,"")</f>
        <v>387.88999999999993</v>
      </c>
      <c r="BC413" s="804">
        <f t="shared" si="249"/>
        <v>0</v>
      </c>
      <c r="BD413" s="805" t="str">
        <f t="shared" si="250"/>
        <v>No saturada</v>
      </c>
      <c r="BE413" s="806">
        <f t="shared" si="251"/>
        <v>0.54180447930447939</v>
      </c>
      <c r="BF413" s="890">
        <f>IF(ISNUMBER('Base de datos Rutas'!CX411),'Base de datos Rutas'!CX411/100,"")</f>
        <v>0.76356651376146789</v>
      </c>
      <c r="BG413" s="891">
        <f>IF(ISNUMBER('Base de datos Rutas'!CZ411),'Base de datos Rutas'!CZ411/100,"")</f>
        <v>0.90137614678899081</v>
      </c>
      <c r="BH413" s="892">
        <f>IF(ISNUMBER('Base de datos Rutas'!DA411),'Base de datos Rutas'!DA411,"")</f>
        <v>1508.9866151969925</v>
      </c>
      <c r="BI413" s="893">
        <f>IF(ISNUMBER('Base de datos Rutas'!DC411),'Base de datos Rutas'!DC411,"")</f>
        <v>72.529652176542328</v>
      </c>
      <c r="BJ413" s="805" t="str">
        <f t="shared" si="252"/>
        <v>Ruta (completo)</v>
      </c>
      <c r="BK413" s="783">
        <f t="shared" si="240"/>
        <v>4</v>
      </c>
      <c r="BL413" s="797">
        <f t="shared" si="241"/>
        <v>5</v>
      </c>
      <c r="BM413" s="797">
        <f t="shared" si="242"/>
        <v>5</v>
      </c>
      <c r="BN413" s="797">
        <f t="shared" si="243"/>
        <v>5</v>
      </c>
      <c r="BO413" s="798" cm="1">
        <f t="array" ref="BO413">SUMPRODUCT(--ISNUMBER($BF413:$BI413),$BK$3:$BN$3)</f>
        <v>1</v>
      </c>
      <c r="BP413" s="831">
        <f t="shared" si="253"/>
        <v>93.75</v>
      </c>
      <c r="BQ413" s="834" t="str">
        <f t="shared" si="254"/>
        <v>Alto</v>
      </c>
      <c r="BR413" s="836">
        <f t="shared" si="244"/>
        <v>23.141509334745486</v>
      </c>
      <c r="BS413" s="836">
        <f t="shared" si="245"/>
        <v>93.75</v>
      </c>
      <c r="BT413" s="837" t="str">
        <f t="shared" si="246"/>
        <v>P3</v>
      </c>
      <c r="BU413" s="807" t="str">
        <f t="shared" si="255"/>
        <v>Con espacio</v>
      </c>
      <c r="BV413" s="807" t="str">
        <f t="shared" si="247"/>
        <v>Zona atractiva</v>
      </c>
      <c r="BW413" s="808" t="str">
        <f t="shared" si="248"/>
        <v>P3 - Desarrollar</v>
      </c>
    </row>
    <row r="414" spans="1:75">
      <c r="A414" s="780" t="str">
        <f>'Base de datos Rutas'!A412</f>
        <v>Occidente</v>
      </c>
      <c r="B414" s="781" t="str">
        <f>'Base de datos Rutas'!B412</f>
        <v>Favorita</v>
      </c>
      <c r="C414" s="781" t="str">
        <f>'Base de datos Rutas'!C412</f>
        <v>Suc. Alamo</v>
      </c>
      <c r="D414" s="782">
        <f>IF(ISNUMBER('Base de datos Rutas'!D412),'Base de datos Rutas'!D412,"Sin código")</f>
        <v>802348</v>
      </c>
      <c r="E414" s="783" t="str">
        <f>'Base de datos Rutas'!F412</f>
        <v>Activa</v>
      </c>
      <c r="F414" s="784" t="str">
        <f>'Base de datos Rutas'!H412</f>
        <v>Sí</v>
      </c>
      <c r="G414" s="785">
        <f>IF(ISNUMBER('Base de datos Rutas'!BE412),'Base de datos Rutas'!BE412,"")</f>
        <v>86.354838709677395</v>
      </c>
      <c r="H414" s="786">
        <f>IF(ISNUMBER('Base de datos Rutas'!BH412),'Base de datos Rutas'!BH412,"")</f>
        <v>0.29190458402262698</v>
      </c>
      <c r="I414" s="788">
        <f>IFERROR(IF(OR(NOT(ISNUMBER('Base de datos Rutas'!O412)),N('Base de datos Rutas'!BK412)=0),"",'Base de datos Rutas'!O412/('Base de datos Rutas'!L412/'Base de datos Rutas'!BK412)),"")</f>
        <v>2836.2304147465429</v>
      </c>
      <c r="J414" s="788">
        <f>IFERROR(IF(OR(NOT(ISNUMBER('Base de datos Rutas'!N412)),N('Base de datos Rutas'!BK412)=0),"",'Base de datos Rutas'!N412/('Base de datos Rutas'!L412/'Base de datos Rutas'!BK412)),"")</f>
        <v>5529.0345622119803</v>
      </c>
      <c r="K414" s="788">
        <f>IFERROR(IF(OR(NOT(ISNUMBER('Base de datos Rutas'!J412)),N('Base de datos Rutas'!BK412)=0),"",'Base de datos Rutas'!J412/('Base de datos Rutas'!L412/'Base de datos Rutas'!BK412)),"")</f>
        <v>382.67548387096764</v>
      </c>
      <c r="L414" s="788">
        <f>IFERROR(IF(OR(NOT(ISNUMBER('Base de datos Rutas'!K412)),N('Base de datos Rutas'!BK412)=0),"",'Base de datos Rutas'!K412/('Base de datos Rutas'!L412/'Base de datos Rutas'!BK412)),"")</f>
        <v>21.647435599078335</v>
      </c>
      <c r="M414" s="787">
        <f>IF(ISNUMBER('Base de datos Rutas'!AX412),'Base de datos Rutas'!AX412,"")</f>
        <v>330.76724405850098</v>
      </c>
      <c r="N414" s="790">
        <f>IFERROR(INDEX('Hoja de apoyo v2'!B$17:B$20,MATCH($A414,'Hoja de apoyo v2'!$A$17:$A$20,0)),"")</f>
        <v>89.41621024641401</v>
      </c>
      <c r="O414" s="791">
        <f>IFERROR(INDEX('Hoja de apoyo v2'!C$17:C$20,MATCH($A414,'Hoja de apoyo v2'!$A$17:$A$20,0)),"")</f>
        <v>0.54706375874806301</v>
      </c>
      <c r="P414" s="793">
        <f>IFERROR(INDEX('Hoja de apoyo v2'!D$17:D$20,MATCH($A414,'Hoja de apoyo v2'!$A$17:$A$20,0)),"")</f>
        <v>11095.153935793827</v>
      </c>
      <c r="Q414" s="793">
        <f>IFERROR(INDEX('Hoja de apoyo v2'!E$17:E$20,MATCH($A414,'Hoja de apoyo v2'!$A$17:$A$20,0)),"")</f>
        <v>6982.3202019701848</v>
      </c>
      <c r="R414" s="793">
        <f>IFERROR(INDEX('Hoja de apoyo v2'!F$17:F$20,MATCH($A414,'Hoja de apoyo v2'!$A$17:$A$20,0)),"")</f>
        <v>448.09513474485743</v>
      </c>
      <c r="S414" s="793">
        <f>IFERROR(INDEX('Hoja de apoyo v2'!G$17:G$20,MATCH($A414,'Hoja de apoyo v2'!$A$17:$A$20,0)),"")</f>
        <v>83.406300904207839</v>
      </c>
      <c r="T414" s="792">
        <f>IFERROR(INDEX('Hoja de apoyo v2'!H$17:H$20,MATCH($A414,'Hoja de apoyo v2'!$A$17:$A$20,0)),"")</f>
        <v>378.97014028925349</v>
      </c>
      <c r="U414" s="794">
        <f t="shared" si="220"/>
        <v>0.96576267850873954</v>
      </c>
      <c r="V414" s="795">
        <f t="shared" si="221"/>
        <v>0.53358421089827046</v>
      </c>
      <c r="W414" s="795">
        <f t="shared" si="222"/>
        <v>0.25562785619374273</v>
      </c>
      <c r="X414" s="843">
        <f t="shared" si="223"/>
        <v>0.79186207482318927</v>
      </c>
      <c r="Y414" s="843">
        <f t="shared" si="224"/>
        <v>0.85400499625790549</v>
      </c>
      <c r="Z414" s="843">
        <f t="shared" si="225"/>
        <v>0.25954196942435348</v>
      </c>
      <c r="AA414" s="843">
        <f t="shared" si="226"/>
        <v>0.87280555614761346</v>
      </c>
      <c r="AB414" s="796">
        <f t="shared" si="227"/>
        <v>3</v>
      </c>
      <c r="AC414" s="797">
        <f t="shared" si="228"/>
        <v>2</v>
      </c>
      <c r="AD414" s="797">
        <f t="shared" si="229"/>
        <v>1</v>
      </c>
      <c r="AE414" s="842">
        <f t="shared" si="230"/>
        <v>3</v>
      </c>
      <c r="AF414" s="842">
        <f t="shared" si="231"/>
        <v>3</v>
      </c>
      <c r="AG414" s="842">
        <f t="shared" si="232"/>
        <v>1</v>
      </c>
      <c r="AH414" s="842">
        <f t="shared" si="233"/>
        <v>3</v>
      </c>
      <c r="AI414" s="826" cm="1">
        <f t="array" ref="AI414">SUMPRODUCT(--ISNUMBER($U414:$AA414),$AB$3:$AH$3)</f>
        <v>1</v>
      </c>
      <c r="AJ414" s="829">
        <f t="shared" si="234"/>
        <v>28.610617939334084</v>
      </c>
      <c r="AK414" s="827" t="str">
        <f t="shared" si="235"/>
        <v>Inmadura</v>
      </c>
      <c r="AL414" s="784" t="str">
        <f t="shared" si="236"/>
        <v>Alta</v>
      </c>
      <c r="AM414" s="799">
        <f>IF(ISNUMBER('Base de datos Rutas'!W412),'Base de datos Rutas'!W412,"")</f>
        <v>3158.6335789532814</v>
      </c>
      <c r="AN414" s="787">
        <f>IFERROR(SUMIFS('Base de datos Rutas'!$W$6:$W$794,'Base de datos Rutas'!$C$6:$C$794,$C414)/'Base de datos Rutas'!I412,"")</f>
        <v>3158.6335789532818</v>
      </c>
      <c r="AO414" s="800">
        <f>IFERROR('Base de datos Rutas'!X412*AN414/AM414,"")</f>
        <v>0.49398988020337881</v>
      </c>
      <c r="AP414" s="800">
        <f t="shared" si="237"/>
        <v>0.50601011979662114</v>
      </c>
      <c r="AQ414" s="789">
        <f>IFERROR(INDEX('Hoja de apoyo v2'!$J$17:$J$20,MATCH($A414,'Hoja de apoyo v2'!$A$17:$A$20,0)),"")</f>
        <v>0.64320274048480885</v>
      </c>
      <c r="AR414" s="789">
        <f t="shared" si="238"/>
        <v>-0.13719262068818772</v>
      </c>
      <c r="AS414" s="784" t="str">
        <f t="shared" si="239"/>
        <v>No</v>
      </c>
      <c r="AT414" s="801">
        <f>IF(ISNUMBER('Base de datos Rutas'!CK412),'Base de datos Rutas'!CK412,"")</f>
        <v>300</v>
      </c>
      <c r="AU414" s="802">
        <f>IF(ISNUMBER('Base de datos Rutas'!CL412),'Base de datos Rutas'!CL412,"")</f>
        <v>438.3</v>
      </c>
      <c r="AV414" s="802">
        <f>IF(ISNUMBER('Base de datos Rutas'!CM412),'Base de datos Rutas'!CM412,"")</f>
        <v>138.30000000000001</v>
      </c>
      <c r="AW414" s="802">
        <f>IF(ISNUMBER('Base de datos Rutas'!CN412),'Base de datos Rutas'!CN412,"")</f>
        <v>7.2</v>
      </c>
      <c r="AX414" s="802">
        <f>IF(ISNUMBER('Base de datos Rutas'!CO412),'Base de datos Rutas'!CO412,"")</f>
        <v>9.4499999999999993</v>
      </c>
      <c r="AY414" s="802">
        <f>IF(ISNUMBER('Base de datos Rutas'!CP412),'Base de datos Rutas'!CP412,"")</f>
        <v>2.2499999999999991</v>
      </c>
      <c r="AZ414" s="802">
        <f>IF(ISNUMBER('Base de datos Rutas'!CQ412),'Base de datos Rutas'!CQ412,"")</f>
        <v>846.56</v>
      </c>
      <c r="BA414" s="802">
        <f>IF(ISNUMBER('Base de datos Rutas'!CR412),'Base de datos Rutas'!CR412,"")</f>
        <v>404.32</v>
      </c>
      <c r="BB414" s="803">
        <f>IF(ISNUMBER('Base de datos Rutas'!CS412),'Base de datos Rutas'!CS412,"")</f>
        <v>442.23999999999995</v>
      </c>
      <c r="BC414" s="804">
        <f t="shared" si="249"/>
        <v>0</v>
      </c>
      <c r="BD414" s="805" t="str">
        <f t="shared" si="250"/>
        <v>No saturada</v>
      </c>
      <c r="BE414" s="806">
        <f t="shared" si="251"/>
        <v>0.4776034776034776</v>
      </c>
      <c r="BF414" s="890">
        <f>IF(ISNUMBER('Base de datos Rutas'!CX412),'Base de datos Rutas'!CX412/100,"")</f>
        <v>0.36587689930466133</v>
      </c>
      <c r="BG414" s="891">
        <f>IF(ISNUMBER('Base de datos Rutas'!CZ412),'Base de datos Rutas'!CZ412/100,"")</f>
        <v>0.40149369044553185</v>
      </c>
      <c r="BH414" s="892">
        <f>IF(ISNUMBER('Base de datos Rutas'!DA412),'Base de datos Rutas'!DA412,"")</f>
        <v>294.19227861636779</v>
      </c>
      <c r="BI414" s="893">
        <f>IF(ISNUMBER('Base de datos Rutas'!DC412),'Base de datos Rutas'!DC412,"")</f>
        <v>13.602203267600029</v>
      </c>
      <c r="BJ414" s="805" t="str">
        <f t="shared" si="252"/>
        <v>Ruta (completo)</v>
      </c>
      <c r="BK414" s="783">
        <f t="shared" si="240"/>
        <v>2</v>
      </c>
      <c r="BL414" s="797">
        <f t="shared" si="241"/>
        <v>2</v>
      </c>
      <c r="BM414" s="797">
        <f t="shared" si="242"/>
        <v>3</v>
      </c>
      <c r="BN414" s="797">
        <f t="shared" si="243"/>
        <v>3</v>
      </c>
      <c r="BO414" s="798" cm="1">
        <f t="array" ref="BO414">SUMPRODUCT(--ISNUMBER($BF414:$BI414),$BK$3:$BN$3)</f>
        <v>1</v>
      </c>
      <c r="BP414" s="831">
        <f t="shared" si="253"/>
        <v>37.5</v>
      </c>
      <c r="BQ414" s="834" t="str">
        <f t="shared" si="254"/>
        <v>Medio</v>
      </c>
      <c r="BR414" s="836">
        <f t="shared" si="244"/>
        <v>21.457963454500565</v>
      </c>
      <c r="BS414" s="836">
        <f t="shared" si="245"/>
        <v>37.5</v>
      </c>
      <c r="BT414" s="837" t="str">
        <f t="shared" si="246"/>
        <v>P4</v>
      </c>
      <c r="BU414" s="807" t="str">
        <f t="shared" si="255"/>
        <v>Con espacio</v>
      </c>
      <c r="BV414" s="807" t="str">
        <f t="shared" si="247"/>
        <v>Zona de bajo potencial</v>
      </c>
      <c r="BW414" s="808" t="str">
        <f t="shared" si="248"/>
        <v>P4 - Evaluar</v>
      </c>
    </row>
    <row r="415" spans="1:75">
      <c r="A415" s="780" t="str">
        <f>'Base de datos Rutas'!A413</f>
        <v>Occidente</v>
      </c>
      <c r="B415" s="781" t="str">
        <f>'Base de datos Rutas'!B413</f>
        <v>Favorita</v>
      </c>
      <c r="C415" s="781" t="str">
        <f>'Base de datos Rutas'!C413</f>
        <v>Suc. Alamo</v>
      </c>
      <c r="D415" s="782">
        <f>IF(ISNUMBER('Base de datos Rutas'!D413),'Base de datos Rutas'!D413,"Sin código")</f>
        <v>802349</v>
      </c>
      <c r="E415" s="783" t="str">
        <f>'Base de datos Rutas'!F413</f>
        <v>Activa</v>
      </c>
      <c r="F415" s="784" t="str">
        <f>'Base de datos Rutas'!H413</f>
        <v>Sí</v>
      </c>
      <c r="G415" s="785">
        <f>IF(ISNUMBER('Base de datos Rutas'!BE413),'Base de datos Rutas'!BE413,"")</f>
        <v>54.936842105263203</v>
      </c>
      <c r="H415" s="786">
        <f>IF(ISNUMBER('Base de datos Rutas'!BH413),'Base de datos Rutas'!BH413,"")</f>
        <v>0.29914734623491102</v>
      </c>
      <c r="I415" s="788">
        <f>IFERROR(IF(OR(NOT(ISNUMBER('Base de datos Rutas'!O413)),N('Base de datos Rutas'!BK413)=0),"",'Base de datos Rutas'!O413/('Base de datos Rutas'!L413/'Base de datos Rutas'!BK413)),"")</f>
        <v>3227.5785876993145</v>
      </c>
      <c r="J415" s="788">
        <f>IFERROR(IF(OR(NOT(ISNUMBER('Base de datos Rutas'!N413)),N('Base de datos Rutas'!BK413)=0),"",'Base de datos Rutas'!N413/('Base de datos Rutas'!L413/'Base de datos Rutas'!BK413)),"")</f>
        <v>6552.3029612756218</v>
      </c>
      <c r="K415" s="788">
        <f>IFERROR(IF(OR(NOT(ISNUMBER('Base de datos Rutas'!J413)),N('Base de datos Rutas'!BK413)=0),"",'Base de datos Rutas'!J413/('Base de datos Rutas'!L413/'Base de datos Rutas'!BK413)),"")</f>
        <v>452.20715626423657</v>
      </c>
      <c r="L415" s="788">
        <f>IFERROR(IF(OR(NOT(ISNUMBER('Base de datos Rutas'!K413)),N('Base de datos Rutas'!BK413)=0),"",'Base de datos Rutas'!K413/('Base de datos Rutas'!L413/'Base de datos Rutas'!BK413)),"")</f>
        <v>26.30856637129839</v>
      </c>
      <c r="M415" s="787">
        <f>IF(ISNUMBER('Base de datos Rutas'!AX413),'Base de datos Rutas'!AX413,"")</f>
        <v>613.59396884378998</v>
      </c>
      <c r="N415" s="790">
        <f>IFERROR(INDEX('Hoja de apoyo v2'!B$17:B$20,MATCH($A415,'Hoja de apoyo v2'!$A$17:$A$20,0)),"")</f>
        <v>89.41621024641401</v>
      </c>
      <c r="O415" s="791">
        <f>IFERROR(INDEX('Hoja de apoyo v2'!C$17:C$20,MATCH($A415,'Hoja de apoyo v2'!$A$17:$A$20,0)),"")</f>
        <v>0.54706375874806301</v>
      </c>
      <c r="P415" s="793">
        <f>IFERROR(INDEX('Hoja de apoyo v2'!D$17:D$20,MATCH($A415,'Hoja de apoyo v2'!$A$17:$A$20,0)),"")</f>
        <v>11095.153935793827</v>
      </c>
      <c r="Q415" s="793">
        <f>IFERROR(INDEX('Hoja de apoyo v2'!E$17:E$20,MATCH($A415,'Hoja de apoyo v2'!$A$17:$A$20,0)),"")</f>
        <v>6982.3202019701848</v>
      </c>
      <c r="R415" s="793">
        <f>IFERROR(INDEX('Hoja de apoyo v2'!F$17:F$20,MATCH($A415,'Hoja de apoyo v2'!$A$17:$A$20,0)),"")</f>
        <v>448.09513474485743</v>
      </c>
      <c r="S415" s="793">
        <f>IFERROR(INDEX('Hoja de apoyo v2'!G$17:G$20,MATCH($A415,'Hoja de apoyo v2'!$A$17:$A$20,0)),"")</f>
        <v>83.406300904207839</v>
      </c>
      <c r="T415" s="792">
        <f>IFERROR(INDEX('Hoja de apoyo v2'!H$17:H$20,MATCH($A415,'Hoja de apoyo v2'!$A$17:$A$20,0)),"")</f>
        <v>378.97014028925349</v>
      </c>
      <c r="U415" s="794">
        <f t="shared" si="220"/>
        <v>0.61439466013900335</v>
      </c>
      <c r="V415" s="795">
        <f t="shared" si="221"/>
        <v>0.54682354926873544</v>
      </c>
      <c r="W415" s="795">
        <f t="shared" si="222"/>
        <v>0.29089984748088044</v>
      </c>
      <c r="X415" s="843">
        <f t="shared" si="223"/>
        <v>0.93841341728022931</v>
      </c>
      <c r="Y415" s="843">
        <f t="shared" si="224"/>
        <v>1.0091766707570269</v>
      </c>
      <c r="Z415" s="843">
        <f t="shared" si="225"/>
        <v>0.31542660549727275</v>
      </c>
      <c r="AA415" s="843">
        <f t="shared" si="226"/>
        <v>1.6191090104762793</v>
      </c>
      <c r="AB415" s="796">
        <f t="shared" si="227"/>
        <v>2</v>
      </c>
      <c r="AC415" s="797">
        <f t="shared" si="228"/>
        <v>2</v>
      </c>
      <c r="AD415" s="797">
        <f t="shared" si="229"/>
        <v>1</v>
      </c>
      <c r="AE415" s="842">
        <f t="shared" si="230"/>
        <v>3</v>
      </c>
      <c r="AF415" s="842">
        <f t="shared" si="231"/>
        <v>4</v>
      </c>
      <c r="AG415" s="842">
        <f t="shared" si="232"/>
        <v>1</v>
      </c>
      <c r="AH415" s="842">
        <f t="shared" si="233"/>
        <v>5</v>
      </c>
      <c r="AI415" s="826" cm="1">
        <f t="array" ref="AI415">SUMPRODUCT(--ISNUMBER($U415:$AA415),$AB$3:$AH$3)</f>
        <v>1</v>
      </c>
      <c r="AJ415" s="829">
        <f t="shared" si="234"/>
        <v>31.492481953890248</v>
      </c>
      <c r="AK415" s="827" t="str">
        <f t="shared" si="235"/>
        <v>Inmadura</v>
      </c>
      <c r="AL415" s="784" t="str">
        <f t="shared" si="236"/>
        <v>Alta</v>
      </c>
      <c r="AM415" s="799">
        <f>IF(ISNUMBER('Base de datos Rutas'!W413),'Base de datos Rutas'!W413,"")</f>
        <v>3158.6335789532814</v>
      </c>
      <c r="AN415" s="787">
        <f>IFERROR(SUMIFS('Base de datos Rutas'!$W$6:$W$794,'Base de datos Rutas'!$C$6:$C$794,$C415)/'Base de datos Rutas'!I413,"")</f>
        <v>3158.6335789532818</v>
      </c>
      <c r="AO415" s="800">
        <f>IFERROR('Base de datos Rutas'!X413*AN415/AM415,"")</f>
        <v>0.49398988020337881</v>
      </c>
      <c r="AP415" s="800">
        <f t="shared" si="237"/>
        <v>0.50601011979662114</v>
      </c>
      <c r="AQ415" s="789">
        <f>IFERROR(INDEX('Hoja de apoyo v2'!$J$17:$J$20,MATCH($A415,'Hoja de apoyo v2'!$A$17:$A$20,0)),"")</f>
        <v>0.64320274048480885</v>
      </c>
      <c r="AR415" s="789">
        <f t="shared" si="238"/>
        <v>-0.13719262068818772</v>
      </c>
      <c r="AS415" s="784" t="str">
        <f t="shared" si="239"/>
        <v>No</v>
      </c>
      <c r="AT415" s="801">
        <f>IF(ISNUMBER('Base de datos Rutas'!CK413),'Base de datos Rutas'!CK413,"")</f>
        <v>301</v>
      </c>
      <c r="AU415" s="802">
        <f>IF(ISNUMBER('Base de datos Rutas'!CL413),'Base de datos Rutas'!CL413,"")</f>
        <v>338.62</v>
      </c>
      <c r="AV415" s="802">
        <f>IF(ISNUMBER('Base de datos Rutas'!CM413),'Base de datos Rutas'!CM413,"")</f>
        <v>37.620000000000005</v>
      </c>
      <c r="AW415" s="802">
        <f>IF(ISNUMBER('Base de datos Rutas'!CN413),'Base de datos Rutas'!CN413,"")</f>
        <v>6.63</v>
      </c>
      <c r="AX415" s="802">
        <f>IF(ISNUMBER('Base de datos Rutas'!CO413),'Base de datos Rutas'!CO413,"")</f>
        <v>9.4499999999999993</v>
      </c>
      <c r="AY415" s="802">
        <f>IF(ISNUMBER('Base de datos Rutas'!CP413),'Base de datos Rutas'!CP413,"")</f>
        <v>2.8199999999999994</v>
      </c>
      <c r="AZ415" s="802">
        <f>IF(ISNUMBER('Base de datos Rutas'!CQ413),'Base de datos Rutas'!CQ413,"")</f>
        <v>564.37</v>
      </c>
      <c r="BA415" s="802">
        <f>IF(ISNUMBER('Base de datos Rutas'!CR413),'Base de datos Rutas'!CR413,"")</f>
        <v>478.52</v>
      </c>
      <c r="BB415" s="803">
        <f>IF(ISNUMBER('Base de datos Rutas'!CS413),'Base de datos Rutas'!CS413,"")</f>
        <v>85.850000000000023</v>
      </c>
      <c r="BC415" s="804">
        <f t="shared" si="249"/>
        <v>0</v>
      </c>
      <c r="BD415" s="805" t="str">
        <f t="shared" si="250"/>
        <v>No saturada</v>
      </c>
      <c r="BE415" s="806">
        <f t="shared" si="251"/>
        <v>0.84788348069528852</v>
      </c>
      <c r="BF415" s="890">
        <f>IF(ISNUMBER('Base de datos Rutas'!CX413),'Base de datos Rutas'!CX413/100,"")</f>
        <v>0.18660959792477302</v>
      </c>
      <c r="BG415" s="891">
        <f>IF(ISNUMBER('Base de datos Rutas'!CZ413),'Base de datos Rutas'!CZ413/100,"")</f>
        <v>0.19636835278858628</v>
      </c>
      <c r="BH415" s="892">
        <f>IF(ISNUMBER('Base de datos Rutas'!DA413),'Base de datos Rutas'!DA413,"")</f>
        <v>107.34770154805761</v>
      </c>
      <c r="BI415" s="893">
        <f>IF(ISNUMBER('Base de datos Rutas'!DC413),'Base de datos Rutas'!DC413,"")</f>
        <v>5.6954364926450562</v>
      </c>
      <c r="BJ415" s="805" t="str">
        <f t="shared" si="252"/>
        <v>Ruta (completo)</v>
      </c>
      <c r="BK415" s="783">
        <f t="shared" si="240"/>
        <v>1</v>
      </c>
      <c r="BL415" s="797">
        <f t="shared" si="241"/>
        <v>1</v>
      </c>
      <c r="BM415" s="797">
        <f t="shared" si="242"/>
        <v>1</v>
      </c>
      <c r="BN415" s="797">
        <f t="shared" si="243"/>
        <v>1</v>
      </c>
      <c r="BO415" s="798" cm="1">
        <f t="array" ref="BO415">SUMPRODUCT(--ISNUMBER($BF415:$BI415),$BK$3:$BN$3)</f>
        <v>1</v>
      </c>
      <c r="BP415" s="831">
        <f t="shared" si="253"/>
        <v>0</v>
      </c>
      <c r="BQ415" s="834" t="str">
        <f t="shared" si="254"/>
        <v>Bajo</v>
      </c>
      <c r="BR415" s="836">
        <f t="shared" si="244"/>
        <v>23.619361465417686</v>
      </c>
      <c r="BS415" s="836">
        <f t="shared" si="245"/>
        <v>0</v>
      </c>
      <c r="BT415" s="837" t="str">
        <f t="shared" si="246"/>
        <v>P4</v>
      </c>
      <c r="BU415" s="807" t="str">
        <f t="shared" si="255"/>
        <v>Con espacio</v>
      </c>
      <c r="BV415" s="807" t="str">
        <f t="shared" si="247"/>
        <v>Zona de bajo potencial</v>
      </c>
      <c r="BW415" s="808" t="str">
        <f t="shared" si="248"/>
        <v>P4 - Evaluar</v>
      </c>
    </row>
    <row r="416" spans="1:75">
      <c r="A416" s="780" t="str">
        <f>'Base de datos Rutas'!A414</f>
        <v>Occidente</v>
      </c>
      <c r="B416" s="781" t="str">
        <f>'Base de datos Rutas'!B414</f>
        <v>Favorita</v>
      </c>
      <c r="C416" s="781" t="str">
        <f>'Base de datos Rutas'!C414</f>
        <v>Suc. Alamo</v>
      </c>
      <c r="D416" s="782">
        <f>IF(ISNUMBER('Base de datos Rutas'!D414),'Base de datos Rutas'!D414,"Sin código")</f>
        <v>802350</v>
      </c>
      <c r="E416" s="783" t="str">
        <f>'Base de datos Rutas'!F414</f>
        <v>Activa</v>
      </c>
      <c r="F416" s="784" t="str">
        <f>'Base de datos Rutas'!H414</f>
        <v>Sí</v>
      </c>
      <c r="G416" s="785">
        <f>IF(ISNUMBER('Base de datos Rutas'!BE414),'Base de datos Rutas'!BE414,"")</f>
        <v>76.014423076923094</v>
      </c>
      <c r="H416" s="786">
        <f>IF(ISNUMBER('Base de datos Rutas'!BH414),'Base de datos Rutas'!BH414,"")</f>
        <v>0.40715324773891598</v>
      </c>
      <c r="I416" s="788">
        <f>IFERROR(IF(OR(NOT(ISNUMBER('Base de datos Rutas'!O414)),N('Base de datos Rutas'!BK414)=0),"",'Base de datos Rutas'!O414/('Base de datos Rutas'!L414/'Base de datos Rutas'!BK414)),"")</f>
        <v>4620.7367205542723</v>
      </c>
      <c r="J416" s="788">
        <f>IFERROR(IF(OR(NOT(ISNUMBER('Base de datos Rutas'!N414)),N('Base de datos Rutas'!BK414)=0),"",'Base de datos Rutas'!N414/('Base de datos Rutas'!L414/'Base de datos Rutas'!BK414)),"")</f>
        <v>6778.2217090069271</v>
      </c>
      <c r="K416" s="788">
        <f>IFERROR(IF(OR(NOT(ISNUMBER('Base de datos Rutas'!J414)),N('Base de datos Rutas'!BK414)=0),"",'Base de datos Rutas'!J414/('Base de datos Rutas'!L414/'Base de datos Rutas'!BK414)),"")</f>
        <v>461.90622263279437</v>
      </c>
      <c r="L416" s="788">
        <f>IFERROR(IF(OR(NOT(ISNUMBER('Base de datos Rutas'!K414)),N('Base de datos Rutas'!BK414)=0),"",'Base de datos Rutas'!K414/('Base de datos Rutas'!L414/'Base de datos Rutas'!BK414)),"")</f>
        <v>29.067850288683598</v>
      </c>
      <c r="M416" s="787">
        <f>IF(ISNUMBER('Base de datos Rutas'!AX414),'Base de datos Rutas'!AX414,"")</f>
        <v>372.84738177972503</v>
      </c>
      <c r="N416" s="790">
        <f>IFERROR(INDEX('Hoja de apoyo v2'!B$17:B$20,MATCH($A416,'Hoja de apoyo v2'!$A$17:$A$20,0)),"")</f>
        <v>89.41621024641401</v>
      </c>
      <c r="O416" s="791">
        <f>IFERROR(INDEX('Hoja de apoyo v2'!C$17:C$20,MATCH($A416,'Hoja de apoyo v2'!$A$17:$A$20,0)),"")</f>
        <v>0.54706375874806301</v>
      </c>
      <c r="P416" s="793">
        <f>IFERROR(INDEX('Hoja de apoyo v2'!D$17:D$20,MATCH($A416,'Hoja de apoyo v2'!$A$17:$A$20,0)),"")</f>
        <v>11095.153935793827</v>
      </c>
      <c r="Q416" s="793">
        <f>IFERROR(INDEX('Hoja de apoyo v2'!E$17:E$20,MATCH($A416,'Hoja de apoyo v2'!$A$17:$A$20,0)),"")</f>
        <v>6982.3202019701848</v>
      </c>
      <c r="R416" s="793">
        <f>IFERROR(INDEX('Hoja de apoyo v2'!F$17:F$20,MATCH($A416,'Hoja de apoyo v2'!$A$17:$A$20,0)),"")</f>
        <v>448.09513474485743</v>
      </c>
      <c r="S416" s="793">
        <f>IFERROR(INDEX('Hoja de apoyo v2'!G$17:G$20,MATCH($A416,'Hoja de apoyo v2'!$A$17:$A$20,0)),"")</f>
        <v>83.406300904207839</v>
      </c>
      <c r="T416" s="792">
        <f>IFERROR(INDEX('Hoja de apoyo v2'!H$17:H$20,MATCH($A416,'Hoja de apoyo v2'!$A$17:$A$20,0)),"")</f>
        <v>378.97014028925349</v>
      </c>
      <c r="U416" s="794">
        <f t="shared" si="220"/>
        <v>0.8501190429279194</v>
      </c>
      <c r="V416" s="795">
        <f t="shared" si="221"/>
        <v>0.74425191072914876</v>
      </c>
      <c r="W416" s="795">
        <f t="shared" si="222"/>
        <v>0.4164644084520015</v>
      </c>
      <c r="X416" s="843">
        <f t="shared" si="223"/>
        <v>0.97076924474107218</v>
      </c>
      <c r="Y416" s="843">
        <f t="shared" si="224"/>
        <v>1.030821776040485</v>
      </c>
      <c r="Z416" s="843">
        <f t="shared" si="225"/>
        <v>0.34850904516276332</v>
      </c>
      <c r="AA416" s="843">
        <f t="shared" si="226"/>
        <v>0.98384369147169437</v>
      </c>
      <c r="AB416" s="796">
        <f t="shared" si="227"/>
        <v>3</v>
      </c>
      <c r="AC416" s="797">
        <f t="shared" si="228"/>
        <v>2</v>
      </c>
      <c r="AD416" s="797">
        <f t="shared" si="229"/>
        <v>1</v>
      </c>
      <c r="AE416" s="842">
        <f t="shared" si="230"/>
        <v>3</v>
      </c>
      <c r="AF416" s="842">
        <f t="shared" si="231"/>
        <v>4</v>
      </c>
      <c r="AG416" s="842">
        <f t="shared" si="232"/>
        <v>1</v>
      </c>
      <c r="AH416" s="842">
        <f t="shared" si="233"/>
        <v>3</v>
      </c>
      <c r="AI416" s="826" cm="1">
        <f t="array" ref="AI416">SUMPRODUCT(--ISNUMBER($U416:$AA416),$AB$3:$AH$3)</f>
        <v>1</v>
      </c>
      <c r="AJ416" s="829">
        <f t="shared" si="234"/>
        <v>31.536662451373875</v>
      </c>
      <c r="AK416" s="827" t="str">
        <f t="shared" si="235"/>
        <v>Inmadura</v>
      </c>
      <c r="AL416" s="784" t="str">
        <f t="shared" si="236"/>
        <v>Alta</v>
      </c>
      <c r="AM416" s="799">
        <f>IF(ISNUMBER('Base de datos Rutas'!W414),'Base de datos Rutas'!W414,"")</f>
        <v>3158.6335789532814</v>
      </c>
      <c r="AN416" s="787">
        <f>IFERROR(SUMIFS('Base de datos Rutas'!$W$6:$W$794,'Base de datos Rutas'!$C$6:$C$794,$C416)/'Base de datos Rutas'!I414,"")</f>
        <v>3158.6335789532818</v>
      </c>
      <c r="AO416" s="800">
        <f>IFERROR('Base de datos Rutas'!X414*AN416/AM416,"")</f>
        <v>0.49398988020337881</v>
      </c>
      <c r="AP416" s="800">
        <f t="shared" si="237"/>
        <v>0.50601011979662114</v>
      </c>
      <c r="AQ416" s="789">
        <f>IFERROR(INDEX('Hoja de apoyo v2'!$J$17:$J$20,MATCH($A416,'Hoja de apoyo v2'!$A$17:$A$20,0)),"")</f>
        <v>0.64320274048480885</v>
      </c>
      <c r="AR416" s="789">
        <f t="shared" si="238"/>
        <v>-0.13719262068818772</v>
      </c>
      <c r="AS416" s="784" t="str">
        <f t="shared" si="239"/>
        <v>No</v>
      </c>
      <c r="AT416" s="801">
        <f>IF(ISNUMBER('Base de datos Rutas'!CK414),'Base de datos Rutas'!CK414,"")</f>
        <v>249</v>
      </c>
      <c r="AU416" s="802">
        <f>IF(ISNUMBER('Base de datos Rutas'!CL414),'Base de datos Rutas'!CL414,"")</f>
        <v>279.68</v>
      </c>
      <c r="AV416" s="802">
        <f>IF(ISNUMBER('Base de datos Rutas'!CM414),'Base de datos Rutas'!CM414,"")</f>
        <v>30.680000000000007</v>
      </c>
      <c r="AW416" s="802">
        <f>IF(ISNUMBER('Base de datos Rutas'!CN414),'Base de datos Rutas'!CN414,"")</f>
        <v>6</v>
      </c>
      <c r="AX416" s="802">
        <f>IF(ISNUMBER('Base de datos Rutas'!CO414),'Base de datos Rutas'!CO414,"")</f>
        <v>9.4499999999999993</v>
      </c>
      <c r="AY416" s="802">
        <f>IF(ISNUMBER('Base de datos Rutas'!CP414),'Base de datos Rutas'!CP414,"")</f>
        <v>3.4499999999999993</v>
      </c>
      <c r="AZ416" s="802">
        <f>IF(ISNUMBER('Base de datos Rutas'!CQ414),'Base de datos Rutas'!CQ414,"")</f>
        <v>564.37</v>
      </c>
      <c r="BA416" s="802">
        <f>IF(ISNUMBER('Base de datos Rutas'!CR414),'Base de datos Rutas'!CR414,"")</f>
        <v>490.97</v>
      </c>
      <c r="BB416" s="803">
        <f>IF(ISNUMBER('Base de datos Rutas'!CS414),'Base de datos Rutas'!CS414,"")</f>
        <v>73.399999999999977</v>
      </c>
      <c r="BC416" s="804">
        <f t="shared" si="249"/>
        <v>0</v>
      </c>
      <c r="BD416" s="805" t="str">
        <f t="shared" si="250"/>
        <v>No saturada</v>
      </c>
      <c r="BE416" s="806">
        <f t="shared" si="251"/>
        <v>0.86994347679713668</v>
      </c>
      <c r="BF416" s="890">
        <f>IF(ISNUMBER('Base de datos Rutas'!CX414),'Base de datos Rutas'!CX414/100,"")</f>
        <v>0.96124223602484482</v>
      </c>
      <c r="BG416" s="891">
        <f>IF(ISNUMBER('Base de datos Rutas'!CZ414),'Base de datos Rutas'!CZ414/100,"")</f>
        <v>0.98846495119787048</v>
      </c>
      <c r="BH416" s="892">
        <f>IF(ISNUMBER('Base de datos Rutas'!DA414),'Base de datos Rutas'!DA414,"")</f>
        <v>279.22393061986043</v>
      </c>
      <c r="BI416" s="893">
        <f>IF(ISNUMBER('Base de datos Rutas'!DC414),'Base de datos Rutas'!DC414,"")</f>
        <v>11.929488286918664</v>
      </c>
      <c r="BJ416" s="805" t="str">
        <f t="shared" si="252"/>
        <v>Ruta (completo)</v>
      </c>
      <c r="BK416" s="783">
        <f t="shared" si="240"/>
        <v>5</v>
      </c>
      <c r="BL416" s="797">
        <f t="shared" si="241"/>
        <v>5</v>
      </c>
      <c r="BM416" s="797">
        <f t="shared" si="242"/>
        <v>3</v>
      </c>
      <c r="BN416" s="797">
        <f t="shared" si="243"/>
        <v>2</v>
      </c>
      <c r="BO416" s="798" cm="1">
        <f t="array" ref="BO416">SUMPRODUCT(--ISNUMBER($BF416:$BI416),$BK$3:$BN$3)</f>
        <v>1</v>
      </c>
      <c r="BP416" s="831">
        <f t="shared" si="253"/>
        <v>68.75</v>
      </c>
      <c r="BQ416" s="834" t="str">
        <f t="shared" si="254"/>
        <v>Alto</v>
      </c>
      <c r="BR416" s="836">
        <f t="shared" si="244"/>
        <v>23.652496838530407</v>
      </c>
      <c r="BS416" s="836">
        <f t="shared" si="245"/>
        <v>68.75</v>
      </c>
      <c r="BT416" s="837" t="str">
        <f t="shared" si="246"/>
        <v>P3</v>
      </c>
      <c r="BU416" s="807" t="str">
        <f t="shared" si="255"/>
        <v>Con espacio</v>
      </c>
      <c r="BV416" s="807" t="str">
        <f t="shared" si="247"/>
        <v>Zona atractiva</v>
      </c>
      <c r="BW416" s="808" t="str">
        <f t="shared" si="248"/>
        <v>P3 - Desarrollar</v>
      </c>
    </row>
    <row r="417" spans="1:75">
      <c r="A417" s="780" t="str">
        <f>'Base de datos Rutas'!A415</f>
        <v>Occidente</v>
      </c>
      <c r="B417" s="781" t="str">
        <f>'Base de datos Rutas'!B415</f>
        <v>Favorita</v>
      </c>
      <c r="C417" s="781" t="str">
        <f>'Base de datos Rutas'!C415</f>
        <v>Suc. Alamo</v>
      </c>
      <c r="D417" s="782">
        <f>IF(ISNUMBER('Base de datos Rutas'!D415),'Base de datos Rutas'!D415,"Sin código")</f>
        <v>802399</v>
      </c>
      <c r="E417" s="783" t="str">
        <f>'Base de datos Rutas'!F415</f>
        <v>Inactiva</v>
      </c>
      <c r="F417" s="784" t="str">
        <f>'Base de datos Rutas'!H415</f>
        <v>No</v>
      </c>
      <c r="G417" s="785" t="str">
        <f>IF(ISNUMBER('Base de datos Rutas'!BE415),'Base de datos Rutas'!BE415,"")</f>
        <v/>
      </c>
      <c r="H417" s="786" t="str">
        <f>IF(ISNUMBER('Base de datos Rutas'!BH415),'Base de datos Rutas'!BH415,"")</f>
        <v/>
      </c>
      <c r="I417" s="788" t="str">
        <f>IFERROR(IF(OR(NOT(ISNUMBER('Base de datos Rutas'!O415)),N('Base de datos Rutas'!BK415)=0),"",'Base de datos Rutas'!O415/('Base de datos Rutas'!L415/'Base de datos Rutas'!BK415)),"")</f>
        <v/>
      </c>
      <c r="J417" s="788" t="str">
        <f>IFERROR(IF(OR(NOT(ISNUMBER('Base de datos Rutas'!N415)),N('Base de datos Rutas'!BK415)=0),"",'Base de datos Rutas'!N415/('Base de datos Rutas'!L415/'Base de datos Rutas'!BK415)),"")</f>
        <v/>
      </c>
      <c r="K417" s="788" t="str">
        <f>IFERROR(IF(OR(NOT(ISNUMBER('Base de datos Rutas'!J415)),N('Base de datos Rutas'!BK415)=0),"",'Base de datos Rutas'!J415/('Base de datos Rutas'!L415/'Base de datos Rutas'!BK415)),"")</f>
        <v/>
      </c>
      <c r="L417" s="788" t="str">
        <f>IFERROR(IF(OR(NOT(ISNUMBER('Base de datos Rutas'!K415)),N('Base de datos Rutas'!BK415)=0),"",'Base de datos Rutas'!K415/('Base de datos Rutas'!L415/'Base de datos Rutas'!BK415)),"")</f>
        <v/>
      </c>
      <c r="M417" s="787">
        <f>IF(ISNUMBER('Base de datos Rutas'!AX415),'Base de datos Rutas'!AX415,"")</f>
        <v>277.5</v>
      </c>
      <c r="N417" s="790">
        <f>IFERROR(INDEX('Hoja de apoyo v2'!B$17:B$20,MATCH($A417,'Hoja de apoyo v2'!$A$17:$A$20,0)),"")</f>
        <v>89.41621024641401</v>
      </c>
      <c r="O417" s="791">
        <f>IFERROR(INDEX('Hoja de apoyo v2'!C$17:C$20,MATCH($A417,'Hoja de apoyo v2'!$A$17:$A$20,0)),"")</f>
        <v>0.54706375874806301</v>
      </c>
      <c r="P417" s="793">
        <f>IFERROR(INDEX('Hoja de apoyo v2'!D$17:D$20,MATCH($A417,'Hoja de apoyo v2'!$A$17:$A$20,0)),"")</f>
        <v>11095.153935793827</v>
      </c>
      <c r="Q417" s="793">
        <f>IFERROR(INDEX('Hoja de apoyo v2'!E$17:E$20,MATCH($A417,'Hoja de apoyo v2'!$A$17:$A$20,0)),"")</f>
        <v>6982.3202019701848</v>
      </c>
      <c r="R417" s="793">
        <f>IFERROR(INDEX('Hoja de apoyo v2'!F$17:F$20,MATCH($A417,'Hoja de apoyo v2'!$A$17:$A$20,0)),"")</f>
        <v>448.09513474485743</v>
      </c>
      <c r="S417" s="793">
        <f>IFERROR(INDEX('Hoja de apoyo v2'!G$17:G$20,MATCH($A417,'Hoja de apoyo v2'!$A$17:$A$20,0)),"")</f>
        <v>83.406300904207839</v>
      </c>
      <c r="T417" s="792">
        <f>IFERROR(INDEX('Hoja de apoyo v2'!H$17:H$20,MATCH($A417,'Hoja de apoyo v2'!$A$17:$A$20,0)),"")</f>
        <v>378.97014028925349</v>
      </c>
      <c r="U417" s="794" t="str">
        <f t="shared" si="220"/>
        <v/>
      </c>
      <c r="V417" s="795" t="str">
        <f t="shared" si="221"/>
        <v/>
      </c>
      <c r="W417" s="795" t="str">
        <f t="shared" si="222"/>
        <v/>
      </c>
      <c r="X417" s="843" t="str">
        <f t="shared" si="223"/>
        <v/>
      </c>
      <c r="Y417" s="843" t="str">
        <f t="shared" si="224"/>
        <v/>
      </c>
      <c r="Z417" s="843" t="str">
        <f t="shared" si="225"/>
        <v/>
      </c>
      <c r="AA417" s="843">
        <f t="shared" si="226"/>
        <v>0.73224766412518627</v>
      </c>
      <c r="AB417" s="796">
        <f t="shared" si="227"/>
        <v>0</v>
      </c>
      <c r="AC417" s="797">
        <f t="shared" si="228"/>
        <v>0</v>
      </c>
      <c r="AD417" s="797">
        <f t="shared" si="229"/>
        <v>0</v>
      </c>
      <c r="AE417" s="842">
        <f t="shared" si="230"/>
        <v>0</v>
      </c>
      <c r="AF417" s="842">
        <f t="shared" si="231"/>
        <v>0</v>
      </c>
      <c r="AG417" s="842">
        <f t="shared" si="232"/>
        <v>0</v>
      </c>
      <c r="AH417" s="842">
        <f t="shared" si="233"/>
        <v>2</v>
      </c>
      <c r="AI417" s="826" cm="1">
        <f t="array" ref="AI417">SUMPRODUCT(--ISNUMBER($U417:$AA417),$AB$3:$AH$3)</f>
        <v>8.9789113613062493E-2</v>
      </c>
      <c r="AJ417" s="829" t="str">
        <f t="shared" si="234"/>
        <v/>
      </c>
      <c r="AK417" s="827" t="str">
        <f t="shared" si="235"/>
        <v>Ruta inactiva</v>
      </c>
      <c r="AL417" s="784" t="str">
        <f t="shared" si="236"/>
        <v>n/a</v>
      </c>
      <c r="AM417" s="799">
        <f>IF(ISNUMBER('Base de datos Rutas'!W415),'Base de datos Rutas'!W415,"")</f>
        <v>3158.6335789532814</v>
      </c>
      <c r="AN417" s="787">
        <f>IFERROR(SUMIFS('Base de datos Rutas'!$W$6:$W$794,'Base de datos Rutas'!$C$6:$C$794,$C417)/'Base de datos Rutas'!I415,"")</f>
        <v>3158.6335789532818</v>
      </c>
      <c r="AO417" s="800">
        <f>IFERROR('Base de datos Rutas'!X415*AN417/AM417,"")</f>
        <v>0.49398988020337881</v>
      </c>
      <c r="AP417" s="800">
        <f t="shared" si="237"/>
        <v>0.50601011979662114</v>
      </c>
      <c r="AQ417" s="789">
        <f>IFERROR(INDEX('Hoja de apoyo v2'!$J$17:$J$20,MATCH($A417,'Hoja de apoyo v2'!$A$17:$A$20,0)),"")</f>
        <v>0.64320274048480885</v>
      </c>
      <c r="AR417" s="789">
        <f t="shared" si="238"/>
        <v>-0.13719262068818772</v>
      </c>
      <c r="AS417" s="784" t="str">
        <f t="shared" si="239"/>
        <v>No</v>
      </c>
      <c r="AT417" s="801" t="str">
        <f>IF(ISNUMBER('Base de datos Rutas'!CK415),'Base de datos Rutas'!CK415,"")</f>
        <v/>
      </c>
      <c r="AU417" s="802" t="str">
        <f>IF(ISNUMBER('Base de datos Rutas'!CL415),'Base de datos Rutas'!CL415,"")</f>
        <v/>
      </c>
      <c r="AV417" s="802">
        <f>IF(ISNUMBER('Base de datos Rutas'!CM415),'Base de datos Rutas'!CM415,"")</f>
        <v>0</v>
      </c>
      <c r="AW417" s="802" t="str">
        <f>IF(ISNUMBER('Base de datos Rutas'!CN415),'Base de datos Rutas'!CN415,"")</f>
        <v/>
      </c>
      <c r="AX417" s="802" t="str">
        <f>IF(ISNUMBER('Base de datos Rutas'!CO415),'Base de datos Rutas'!CO415,"")</f>
        <v/>
      </c>
      <c r="AY417" s="802">
        <f>IF(ISNUMBER('Base de datos Rutas'!CP415),'Base de datos Rutas'!CP415,"")</f>
        <v>0</v>
      </c>
      <c r="AZ417" s="802" t="str">
        <f>IF(ISNUMBER('Base de datos Rutas'!CQ415),'Base de datos Rutas'!CQ415,"")</f>
        <v/>
      </c>
      <c r="BA417" s="802" t="str">
        <f>IF(ISNUMBER('Base de datos Rutas'!CR415),'Base de datos Rutas'!CR415,"")</f>
        <v/>
      </c>
      <c r="BB417" s="803">
        <f>IF(ISNUMBER('Base de datos Rutas'!CS415),'Base de datos Rutas'!CS415,"")</f>
        <v>0</v>
      </c>
      <c r="BC417" s="804" t="str">
        <f t="shared" si="249"/>
        <v/>
      </c>
      <c r="BD417" s="805" t="str">
        <f t="shared" si="250"/>
        <v>N/D</v>
      </c>
      <c r="BE417" s="806" t="str">
        <f t="shared" si="251"/>
        <v/>
      </c>
      <c r="BF417" s="890" t="str">
        <f>IF(ISNUMBER('Base de datos Rutas'!CX415),'Base de datos Rutas'!CX415/100,"")</f>
        <v/>
      </c>
      <c r="BG417" s="891" t="str">
        <f>IF(ISNUMBER('Base de datos Rutas'!CZ415),'Base de datos Rutas'!CZ415/100,"")</f>
        <v/>
      </c>
      <c r="BH417" s="892" t="str">
        <f>IF(ISNUMBER('Base de datos Rutas'!DA415),'Base de datos Rutas'!DA415,"")</f>
        <v/>
      </c>
      <c r="BI417" s="893" t="str">
        <f>IF(ISNUMBER('Base de datos Rutas'!DC415),'Base de datos Rutas'!DC415,"")</f>
        <v/>
      </c>
      <c r="BJ417" s="805" t="str">
        <f t="shared" si="252"/>
        <v>Sin dato</v>
      </c>
      <c r="BK417" s="783">
        <f t="shared" si="240"/>
        <v>0</v>
      </c>
      <c r="BL417" s="797">
        <f t="shared" si="241"/>
        <v>0</v>
      </c>
      <c r="BM417" s="797">
        <f t="shared" si="242"/>
        <v>0</v>
      </c>
      <c r="BN417" s="797">
        <f t="shared" si="243"/>
        <v>0</v>
      </c>
      <c r="BO417" s="798" cm="1">
        <f t="array" ref="BO417">SUMPRODUCT(--ISNUMBER($BF417:$BI417),$BK$3:$BN$3)</f>
        <v>0</v>
      </c>
      <c r="BP417" s="831" t="str">
        <f t="shared" si="253"/>
        <v/>
      </c>
      <c r="BQ417" s="834" t="str">
        <f t="shared" si="254"/>
        <v>Sin datos</v>
      </c>
      <c r="BR417" s="836" t="str">
        <f t="shared" si="244"/>
        <v/>
      </c>
      <c r="BS417" s="836" t="str">
        <f t="shared" si="245"/>
        <v/>
      </c>
      <c r="BT417" s="837" t="str">
        <f t="shared" si="246"/>
        <v>Sin datos</v>
      </c>
      <c r="BU417" s="807" t="str">
        <f t="shared" si="255"/>
        <v>No evaluable</v>
      </c>
      <c r="BV417" s="807" t="str">
        <f t="shared" si="247"/>
        <v>No evaluable</v>
      </c>
      <c r="BW417" s="808" t="str">
        <f t="shared" si="248"/>
        <v>Sin datos</v>
      </c>
    </row>
    <row r="418" spans="1:75">
      <c r="A418" s="780" t="str">
        <f>'Base de datos Rutas'!A416</f>
        <v>Occidente</v>
      </c>
      <c r="B418" s="781" t="str">
        <f>'Base de datos Rutas'!B416</f>
        <v>Favorita</v>
      </c>
      <c r="C418" s="781" t="str">
        <f>'Base de datos Rutas'!C416</f>
        <v>Suc. Alamo</v>
      </c>
      <c r="D418" s="782">
        <f>IF(ISNUMBER('Base de datos Rutas'!D416),'Base de datos Rutas'!D416,"Sin código")</f>
        <v>802401</v>
      </c>
      <c r="E418" s="783" t="str">
        <f>'Base de datos Rutas'!F416</f>
        <v>Activa</v>
      </c>
      <c r="F418" s="784" t="str">
        <f>'Base de datos Rutas'!H416</f>
        <v>Sí</v>
      </c>
      <c r="G418" s="785">
        <f>IF(ISNUMBER('Base de datos Rutas'!BE416),'Base de datos Rutas'!BE416,"")</f>
        <v>82.174712643678205</v>
      </c>
      <c r="H418" s="786">
        <f>IF(ISNUMBER('Base de datos Rutas'!BH416),'Base de datos Rutas'!BH416,"")</f>
        <v>0.39288311978962698</v>
      </c>
      <c r="I418" s="788">
        <f>IFERROR(IF(OR(NOT(ISNUMBER('Base de datos Rutas'!O416)),N('Base de datos Rutas'!BK416)=0),"",'Base de datos Rutas'!O416/('Base de datos Rutas'!L416/'Base de datos Rutas'!BK416)),"")</f>
        <v>3323.7356321839038</v>
      </c>
      <c r="J418" s="788">
        <f>IFERROR(IF(OR(NOT(ISNUMBER('Base de datos Rutas'!N416)),N('Base de datos Rutas'!BK416)=0),"",'Base de datos Rutas'!N416/('Base de datos Rutas'!L416/'Base de datos Rutas'!BK416)),"")</f>
        <v>5992.234482758613</v>
      </c>
      <c r="K418" s="788">
        <f>IFERROR(IF(OR(NOT(ISNUMBER('Base de datos Rutas'!J416)),N('Base de datos Rutas'!BK416)=0),"",'Base de datos Rutas'!J416/('Base de datos Rutas'!L416/'Base de datos Rutas'!BK416)),"")</f>
        <v>414.78648754022936</v>
      </c>
      <c r="L418" s="788">
        <f>IFERROR(IF(OR(NOT(ISNUMBER('Base de datos Rutas'!K416)),N('Base de datos Rutas'!BK416)=0),"",'Base de datos Rutas'!K416/('Base de datos Rutas'!L416/'Base de datos Rutas'!BK416)),"")</f>
        <v>25.261600712643645</v>
      </c>
      <c r="M418" s="787">
        <f>IF(ISNUMBER('Base de datos Rutas'!AX416),'Base de datos Rutas'!AX416,"")</f>
        <v>288.55370549700899</v>
      </c>
      <c r="N418" s="790">
        <f>IFERROR(INDEX('Hoja de apoyo v2'!B$17:B$20,MATCH($A418,'Hoja de apoyo v2'!$A$17:$A$20,0)),"")</f>
        <v>89.41621024641401</v>
      </c>
      <c r="O418" s="791">
        <f>IFERROR(INDEX('Hoja de apoyo v2'!C$17:C$20,MATCH($A418,'Hoja de apoyo v2'!$A$17:$A$20,0)),"")</f>
        <v>0.54706375874806301</v>
      </c>
      <c r="P418" s="793">
        <f>IFERROR(INDEX('Hoja de apoyo v2'!D$17:D$20,MATCH($A418,'Hoja de apoyo v2'!$A$17:$A$20,0)),"")</f>
        <v>11095.153935793827</v>
      </c>
      <c r="Q418" s="793">
        <f>IFERROR(INDEX('Hoja de apoyo v2'!E$17:E$20,MATCH($A418,'Hoja de apoyo v2'!$A$17:$A$20,0)),"")</f>
        <v>6982.3202019701848</v>
      </c>
      <c r="R418" s="793">
        <f>IFERROR(INDEX('Hoja de apoyo v2'!F$17:F$20,MATCH($A418,'Hoja de apoyo v2'!$A$17:$A$20,0)),"")</f>
        <v>448.09513474485743</v>
      </c>
      <c r="S418" s="793">
        <f>IFERROR(INDEX('Hoja de apoyo v2'!G$17:G$20,MATCH($A418,'Hoja de apoyo v2'!$A$17:$A$20,0)),"")</f>
        <v>83.406300904207839</v>
      </c>
      <c r="T418" s="792">
        <f>IFERROR(INDEX('Hoja de apoyo v2'!H$17:H$20,MATCH($A418,'Hoja de apoyo v2'!$A$17:$A$20,0)),"")</f>
        <v>378.97014028925349</v>
      </c>
      <c r="U418" s="794">
        <f t="shared" si="220"/>
        <v>0.91901359291811158</v>
      </c>
      <c r="V418" s="795">
        <f t="shared" si="221"/>
        <v>0.71816696592866391</v>
      </c>
      <c r="W418" s="795">
        <f t="shared" si="222"/>
        <v>0.29956642795745941</v>
      </c>
      <c r="X418" s="843">
        <f t="shared" si="223"/>
        <v>0.85820104341072734</v>
      </c>
      <c r="Y418" s="843">
        <f t="shared" si="224"/>
        <v>0.92566612618190147</v>
      </c>
      <c r="Z418" s="843">
        <f t="shared" si="225"/>
        <v>0.30287400878330045</v>
      </c>
      <c r="AA418" s="843">
        <f t="shared" si="226"/>
        <v>0.76141541198144769</v>
      </c>
      <c r="AB418" s="796">
        <f t="shared" si="227"/>
        <v>3</v>
      </c>
      <c r="AC418" s="797">
        <f t="shared" si="228"/>
        <v>2</v>
      </c>
      <c r="AD418" s="797">
        <f t="shared" si="229"/>
        <v>1</v>
      </c>
      <c r="AE418" s="842">
        <f t="shared" si="230"/>
        <v>3</v>
      </c>
      <c r="AF418" s="842">
        <f t="shared" si="231"/>
        <v>3</v>
      </c>
      <c r="AG418" s="842">
        <f t="shared" si="232"/>
        <v>1</v>
      </c>
      <c r="AH418" s="842">
        <f t="shared" si="233"/>
        <v>3</v>
      </c>
      <c r="AI418" s="826" cm="1">
        <f t="array" ref="AI418">SUMPRODUCT(--ISNUMBER($U418:$AA418),$AB$3:$AH$3)</f>
        <v>1</v>
      </c>
      <c r="AJ418" s="829">
        <f t="shared" si="234"/>
        <v>28.610617939334084</v>
      </c>
      <c r="AK418" s="827" t="str">
        <f t="shared" si="235"/>
        <v>Inmadura</v>
      </c>
      <c r="AL418" s="784" t="str">
        <f t="shared" si="236"/>
        <v>Alta</v>
      </c>
      <c r="AM418" s="799">
        <f>IF(ISNUMBER('Base de datos Rutas'!W416),'Base de datos Rutas'!W416,"")</f>
        <v>3158.6335789532814</v>
      </c>
      <c r="AN418" s="787">
        <f>IFERROR(SUMIFS('Base de datos Rutas'!$W$6:$W$794,'Base de datos Rutas'!$C$6:$C$794,$C418)/'Base de datos Rutas'!I416,"")</f>
        <v>3158.6335789532818</v>
      </c>
      <c r="AO418" s="800">
        <f>IFERROR('Base de datos Rutas'!X416*AN418/AM418,"")</f>
        <v>0.49398988020337881</v>
      </c>
      <c r="AP418" s="800">
        <f t="shared" si="237"/>
        <v>0.50601011979662114</v>
      </c>
      <c r="AQ418" s="789">
        <f>IFERROR(INDEX('Hoja de apoyo v2'!$J$17:$J$20,MATCH($A418,'Hoja de apoyo v2'!$A$17:$A$20,0)),"")</f>
        <v>0.64320274048480885</v>
      </c>
      <c r="AR418" s="789">
        <f t="shared" si="238"/>
        <v>-0.13719262068818772</v>
      </c>
      <c r="AS418" s="784" t="str">
        <f t="shared" si="239"/>
        <v>No</v>
      </c>
      <c r="AT418" s="801">
        <f>IF(ISNUMBER('Base de datos Rutas'!CK416),'Base de datos Rutas'!CK416,"")</f>
        <v>406</v>
      </c>
      <c r="AU418" s="802">
        <f>IF(ISNUMBER('Base de datos Rutas'!CL416),'Base de datos Rutas'!CL416,"")</f>
        <v>473.05</v>
      </c>
      <c r="AV418" s="802">
        <f>IF(ISNUMBER('Base de datos Rutas'!CM416),'Base de datos Rutas'!CM416,"")</f>
        <v>67.050000000000011</v>
      </c>
      <c r="AW418" s="802">
        <f>IF(ISNUMBER('Base de datos Rutas'!CN416),'Base de datos Rutas'!CN416,"")</f>
        <v>9.52</v>
      </c>
      <c r="AX418" s="802">
        <f>IF(ISNUMBER('Base de datos Rutas'!CO416),'Base de datos Rutas'!CO416,"")</f>
        <v>9.4499999999999993</v>
      </c>
      <c r="AY418" s="802">
        <f>IF(ISNUMBER('Base de datos Rutas'!CP416),'Base de datos Rutas'!CP416,"")</f>
        <v>-7.0000000000000284E-2</v>
      </c>
      <c r="AZ418" s="802">
        <f>IF(ISNUMBER('Base de datos Rutas'!CQ416),'Base de datos Rutas'!CQ416,"")</f>
        <v>846.56</v>
      </c>
      <c r="BA418" s="802">
        <f>IF(ISNUMBER('Base de datos Rutas'!CR416),'Base de datos Rutas'!CR416,"")</f>
        <v>440.05</v>
      </c>
      <c r="BB418" s="803">
        <f>IF(ISNUMBER('Base de datos Rutas'!CS416),'Base de datos Rutas'!CS416,"")</f>
        <v>406.50999999999993</v>
      </c>
      <c r="BC418" s="804">
        <f t="shared" si="249"/>
        <v>1</v>
      </c>
      <c r="BD418" s="805" t="str">
        <f t="shared" si="250"/>
        <v>Saturada</v>
      </c>
      <c r="BE418" s="806">
        <f t="shared" si="251"/>
        <v>0.51980958230958241</v>
      </c>
      <c r="BF418" s="890">
        <f>IF(ISNUMBER('Base de datos Rutas'!CX416),'Base de datos Rutas'!CX416/100,"")</f>
        <v>0.47465333333333332</v>
      </c>
      <c r="BG418" s="891">
        <f>IF(ISNUMBER('Base de datos Rutas'!CZ416),'Base de datos Rutas'!CZ416/100,"")</f>
        <v>0.49253333333333332</v>
      </c>
      <c r="BH418" s="892">
        <f>IF(ISNUMBER('Base de datos Rutas'!DA416),'Base de datos Rutas'!DA416,"")</f>
        <v>258.81790387864976</v>
      </c>
      <c r="BI418" s="893">
        <f>IF(ISNUMBER('Base de datos Rutas'!DC416),'Base de datos Rutas'!DC416,"")</f>
        <v>13.225731913388611</v>
      </c>
      <c r="BJ418" s="805" t="str">
        <f t="shared" si="252"/>
        <v>Ruta (completo)</v>
      </c>
      <c r="BK418" s="783">
        <f t="shared" si="240"/>
        <v>3</v>
      </c>
      <c r="BL418" s="797">
        <f t="shared" si="241"/>
        <v>3</v>
      </c>
      <c r="BM418" s="797">
        <f t="shared" si="242"/>
        <v>2</v>
      </c>
      <c r="BN418" s="797">
        <f t="shared" si="243"/>
        <v>3</v>
      </c>
      <c r="BO418" s="798" cm="1">
        <f t="array" ref="BO418">SUMPRODUCT(--ISNUMBER($BF418:$BI418),$BK$3:$BN$3)</f>
        <v>1</v>
      </c>
      <c r="BP418" s="831">
        <f t="shared" si="253"/>
        <v>43.75</v>
      </c>
      <c r="BQ418" s="834" t="str">
        <f t="shared" si="254"/>
        <v>Medio</v>
      </c>
      <c r="BR418" s="836">
        <f t="shared" si="244"/>
        <v>46.457963454500565</v>
      </c>
      <c r="BS418" s="836">
        <f t="shared" si="245"/>
        <v>43.75</v>
      </c>
      <c r="BT418" s="837" t="str">
        <f t="shared" si="246"/>
        <v>P2</v>
      </c>
      <c r="BU418" s="807" t="str">
        <f t="shared" si="255"/>
        <v>Al tope</v>
      </c>
      <c r="BV418" s="807" t="str">
        <f t="shared" si="247"/>
        <v>Zona de bajo potencial</v>
      </c>
      <c r="BW418" s="808" t="str">
        <f t="shared" si="248"/>
        <v>P2 - Mantener</v>
      </c>
    </row>
    <row r="419" spans="1:75">
      <c r="A419" s="780" t="str">
        <f>'Base de datos Rutas'!A417</f>
        <v>Occidente</v>
      </c>
      <c r="B419" s="781" t="str">
        <f>'Base de datos Rutas'!B417</f>
        <v>Favorita</v>
      </c>
      <c r="C419" s="781" t="str">
        <f>'Base de datos Rutas'!C417</f>
        <v>Suc. Alamo</v>
      </c>
      <c r="D419" s="782">
        <f>IF(ISNUMBER('Base de datos Rutas'!D417),'Base de datos Rutas'!D417,"Sin código")</f>
        <v>802402</v>
      </c>
      <c r="E419" s="783" t="str">
        <f>'Base de datos Rutas'!F417</f>
        <v>Activa</v>
      </c>
      <c r="F419" s="784" t="str">
        <f>'Base de datos Rutas'!H417</f>
        <v>Sí</v>
      </c>
      <c r="G419" s="785">
        <f>IF(ISNUMBER('Base de datos Rutas'!BE417),'Base de datos Rutas'!BE417,"")</f>
        <v>101.056947608201</v>
      </c>
      <c r="H419" s="786">
        <f>IF(ISNUMBER('Base de datos Rutas'!BH417),'Base de datos Rutas'!BH417,"")</f>
        <v>0.45379136236588202</v>
      </c>
      <c r="I419" s="788">
        <f>IFERROR(IF(OR(NOT(ISNUMBER('Base de datos Rutas'!O417)),N('Base de datos Rutas'!BK417)=0),"",'Base de datos Rutas'!O417/('Base de datos Rutas'!L417/'Base de datos Rutas'!BK417)),"")</f>
        <v>3305.1845102505654</v>
      </c>
      <c r="J419" s="788">
        <f>IFERROR(IF(OR(NOT(ISNUMBER('Base de datos Rutas'!N417)),N('Base de datos Rutas'!BK417)=0),"",'Base de datos Rutas'!N417/('Base de datos Rutas'!L417/'Base de datos Rutas'!BK417)),"")</f>
        <v>6440.3644646924749</v>
      </c>
      <c r="K419" s="788">
        <f>IFERROR(IF(OR(NOT(ISNUMBER('Base de datos Rutas'!J417)),N('Base de datos Rutas'!BK417)=0),"",'Base de datos Rutas'!J417/('Base de datos Rutas'!L417/'Base de datos Rutas'!BK417)),"")</f>
        <v>447.72191343963499</v>
      </c>
      <c r="L419" s="788">
        <f>IFERROR(IF(OR(NOT(ISNUMBER('Base de datos Rutas'!K417)),N('Base de datos Rutas'!BK417)=0),"",'Base de datos Rutas'!K417/('Base de datos Rutas'!L417/'Base de datos Rutas'!BK417)),"")</f>
        <v>24.599785307517053</v>
      </c>
      <c r="M419" s="787">
        <f>IF(ISNUMBER('Base de datos Rutas'!AX417),'Base de datos Rutas'!AX417,"")</f>
        <v>212.512232267038</v>
      </c>
      <c r="N419" s="790">
        <f>IFERROR(INDEX('Hoja de apoyo v2'!B$17:B$20,MATCH($A419,'Hoja de apoyo v2'!$A$17:$A$20,0)),"")</f>
        <v>89.41621024641401</v>
      </c>
      <c r="O419" s="791">
        <f>IFERROR(INDEX('Hoja de apoyo v2'!C$17:C$20,MATCH($A419,'Hoja de apoyo v2'!$A$17:$A$20,0)),"")</f>
        <v>0.54706375874806301</v>
      </c>
      <c r="P419" s="793">
        <f>IFERROR(INDEX('Hoja de apoyo v2'!D$17:D$20,MATCH($A419,'Hoja de apoyo v2'!$A$17:$A$20,0)),"")</f>
        <v>11095.153935793827</v>
      </c>
      <c r="Q419" s="793">
        <f>IFERROR(INDEX('Hoja de apoyo v2'!E$17:E$20,MATCH($A419,'Hoja de apoyo v2'!$A$17:$A$20,0)),"")</f>
        <v>6982.3202019701848</v>
      </c>
      <c r="R419" s="793">
        <f>IFERROR(INDEX('Hoja de apoyo v2'!F$17:F$20,MATCH($A419,'Hoja de apoyo v2'!$A$17:$A$20,0)),"")</f>
        <v>448.09513474485743</v>
      </c>
      <c r="S419" s="793">
        <f>IFERROR(INDEX('Hoja de apoyo v2'!G$17:G$20,MATCH($A419,'Hoja de apoyo v2'!$A$17:$A$20,0)),"")</f>
        <v>83.406300904207839</v>
      </c>
      <c r="T419" s="792">
        <f>IFERROR(INDEX('Hoja de apoyo v2'!H$17:H$20,MATCH($A419,'Hoja de apoyo v2'!$A$17:$A$20,0)),"")</f>
        <v>378.97014028925349</v>
      </c>
      <c r="U419" s="794">
        <f t="shared" si="220"/>
        <v>1.1301859845066944</v>
      </c>
      <c r="V419" s="795">
        <f t="shared" si="221"/>
        <v>0.8295036092399326</v>
      </c>
      <c r="W419" s="795">
        <f t="shared" si="222"/>
        <v>0.29789442574453912</v>
      </c>
      <c r="X419" s="843">
        <f t="shared" si="223"/>
        <v>0.9223817124392566</v>
      </c>
      <c r="Y419" s="843">
        <f t="shared" si="224"/>
        <v>0.99916709360070388</v>
      </c>
      <c r="Z419" s="843">
        <f t="shared" si="225"/>
        <v>0.29493917175118356</v>
      </c>
      <c r="AA419" s="843">
        <f t="shared" si="226"/>
        <v>0.56076247090294629</v>
      </c>
      <c r="AB419" s="796">
        <f t="shared" si="227"/>
        <v>4</v>
      </c>
      <c r="AC419" s="797">
        <f t="shared" si="228"/>
        <v>3</v>
      </c>
      <c r="AD419" s="797">
        <f t="shared" si="229"/>
        <v>1</v>
      </c>
      <c r="AE419" s="842">
        <f t="shared" si="230"/>
        <v>3</v>
      </c>
      <c r="AF419" s="842">
        <f t="shared" si="231"/>
        <v>3</v>
      </c>
      <c r="AG419" s="842">
        <f t="shared" si="232"/>
        <v>1</v>
      </c>
      <c r="AH419" s="842">
        <f t="shared" si="233"/>
        <v>2</v>
      </c>
      <c r="AI419" s="826" cm="1">
        <f t="array" ref="AI419">SUMPRODUCT(--ISNUMBER($U419:$AA419),$AB$3:$AH$3)</f>
        <v>1</v>
      </c>
      <c r="AJ419" s="829">
        <f t="shared" si="234"/>
        <v>33.282431863034759</v>
      </c>
      <c r="AK419" s="827" t="str">
        <f t="shared" si="235"/>
        <v>Inmadura</v>
      </c>
      <c r="AL419" s="784" t="str">
        <f t="shared" si="236"/>
        <v>Alta</v>
      </c>
      <c r="AM419" s="799">
        <f>IF(ISNUMBER('Base de datos Rutas'!W417),'Base de datos Rutas'!W417,"")</f>
        <v>3158.6335789532814</v>
      </c>
      <c r="AN419" s="787">
        <f>IFERROR(SUMIFS('Base de datos Rutas'!$W$6:$W$794,'Base de datos Rutas'!$C$6:$C$794,$C419)/'Base de datos Rutas'!I417,"")</f>
        <v>3158.6335789532818</v>
      </c>
      <c r="AO419" s="800">
        <f>IFERROR('Base de datos Rutas'!X417*AN419/AM419,"")</f>
        <v>0.49398988020337881</v>
      </c>
      <c r="AP419" s="800">
        <f t="shared" si="237"/>
        <v>0.50601011979662114</v>
      </c>
      <c r="AQ419" s="789">
        <f>IFERROR(INDEX('Hoja de apoyo v2'!$J$17:$J$20,MATCH($A419,'Hoja de apoyo v2'!$A$17:$A$20,0)),"")</f>
        <v>0.64320274048480885</v>
      </c>
      <c r="AR419" s="789">
        <f t="shared" si="238"/>
        <v>-0.13719262068818772</v>
      </c>
      <c r="AS419" s="784" t="str">
        <f t="shared" si="239"/>
        <v>No</v>
      </c>
      <c r="AT419" s="801">
        <f>IF(ISNUMBER('Base de datos Rutas'!CK417),'Base de datos Rutas'!CK417,"")</f>
        <v>352</v>
      </c>
      <c r="AU419" s="802">
        <f>IF(ISNUMBER('Base de datos Rutas'!CL417),'Base de datos Rutas'!CL417,"")</f>
        <v>408.78</v>
      </c>
      <c r="AV419" s="802">
        <f>IF(ISNUMBER('Base de datos Rutas'!CM417),'Base de datos Rutas'!CM417,"")</f>
        <v>56.779999999999973</v>
      </c>
      <c r="AW419" s="802">
        <f>IF(ISNUMBER('Base de datos Rutas'!CN417),'Base de datos Rutas'!CN417,"")</f>
        <v>8.06</v>
      </c>
      <c r="AX419" s="802">
        <f>IF(ISNUMBER('Base de datos Rutas'!CO417),'Base de datos Rutas'!CO417,"")</f>
        <v>9.4499999999999993</v>
      </c>
      <c r="AY419" s="802">
        <f>IF(ISNUMBER('Base de datos Rutas'!CP417),'Base de datos Rutas'!CP417,"")</f>
        <v>1.3899999999999988</v>
      </c>
      <c r="AZ419" s="802">
        <f>IF(ISNUMBER('Base de datos Rutas'!CQ417),'Base de datos Rutas'!CQ417,"")</f>
        <v>846.56</v>
      </c>
      <c r="BA419" s="802">
        <f>IF(ISNUMBER('Base de datos Rutas'!CR417),'Base de datos Rutas'!CR417,"")</f>
        <v>472.32</v>
      </c>
      <c r="BB419" s="803">
        <f>IF(ISNUMBER('Base de datos Rutas'!CS417),'Base de datos Rutas'!CS417,"")</f>
        <v>374.23999999999995</v>
      </c>
      <c r="BC419" s="804">
        <f t="shared" si="249"/>
        <v>0</v>
      </c>
      <c r="BD419" s="805" t="str">
        <f t="shared" si="250"/>
        <v>No saturada</v>
      </c>
      <c r="BE419" s="806">
        <f t="shared" si="251"/>
        <v>0.557928557928558</v>
      </c>
      <c r="BF419" s="890">
        <f>IF(ISNUMBER('Base de datos Rutas'!CX417),'Base de datos Rutas'!CX417/100,"")</f>
        <v>0.39711344721857211</v>
      </c>
      <c r="BG419" s="891">
        <f>IF(ISNUMBER('Base de datos Rutas'!CZ417),'Base de datos Rutas'!CZ417/100,"")</f>
        <v>0.40954883924660535</v>
      </c>
      <c r="BH419" s="892">
        <f>IF(ISNUMBER('Base de datos Rutas'!DA417),'Base de datos Rutas'!DA417,"")</f>
        <v>173.55329693387961</v>
      </c>
      <c r="BI419" s="893">
        <f>IF(ISNUMBER('Base de datos Rutas'!DC417),'Base de datos Rutas'!DC417,"")</f>
        <v>8.1479629140906553</v>
      </c>
      <c r="BJ419" s="805" t="str">
        <f t="shared" si="252"/>
        <v>Ruta (completo)</v>
      </c>
      <c r="BK419" s="783">
        <f t="shared" si="240"/>
        <v>2</v>
      </c>
      <c r="BL419" s="797">
        <f t="shared" si="241"/>
        <v>2</v>
      </c>
      <c r="BM419" s="797">
        <f t="shared" si="242"/>
        <v>2</v>
      </c>
      <c r="BN419" s="797">
        <f t="shared" si="243"/>
        <v>2</v>
      </c>
      <c r="BO419" s="798" cm="1">
        <f t="array" ref="BO419">SUMPRODUCT(--ISNUMBER($BF419:$BI419),$BK$3:$BN$3)</f>
        <v>1</v>
      </c>
      <c r="BP419" s="831">
        <f t="shared" si="253"/>
        <v>25</v>
      </c>
      <c r="BQ419" s="834" t="str">
        <f t="shared" si="254"/>
        <v>Medio</v>
      </c>
      <c r="BR419" s="836">
        <f t="shared" si="244"/>
        <v>24.961823897276069</v>
      </c>
      <c r="BS419" s="836">
        <f t="shared" si="245"/>
        <v>25</v>
      </c>
      <c r="BT419" s="837" t="str">
        <f t="shared" si="246"/>
        <v>P4</v>
      </c>
      <c r="BU419" s="807" t="str">
        <f t="shared" si="255"/>
        <v>Con espacio</v>
      </c>
      <c r="BV419" s="807" t="str">
        <f t="shared" si="247"/>
        <v>Zona de bajo potencial</v>
      </c>
      <c r="BW419" s="808" t="str">
        <f t="shared" si="248"/>
        <v>P4 - Evaluar</v>
      </c>
    </row>
    <row r="420" spans="1:75">
      <c r="A420" s="780" t="str">
        <f>'Base de datos Rutas'!A418</f>
        <v>Occidente</v>
      </c>
      <c r="B420" s="781" t="str">
        <f>'Base de datos Rutas'!B418</f>
        <v>Favorita</v>
      </c>
      <c r="C420" s="781" t="str">
        <f>'Base de datos Rutas'!C418</f>
        <v>Suc. Alamo</v>
      </c>
      <c r="D420" s="782">
        <f>IF(ISNUMBER('Base de datos Rutas'!D418),'Base de datos Rutas'!D418,"Sin código")</f>
        <v>802403</v>
      </c>
      <c r="E420" s="783" t="str">
        <f>'Base de datos Rutas'!F418</f>
        <v>Activa</v>
      </c>
      <c r="F420" s="784" t="str">
        <f>'Base de datos Rutas'!H418</f>
        <v>Sí</v>
      </c>
      <c r="G420" s="785">
        <f>IF(ISNUMBER('Base de datos Rutas'!BE418),'Base de datos Rutas'!BE418,"")</f>
        <v>41.261421319797002</v>
      </c>
      <c r="H420" s="786">
        <f>IF(ISNUMBER('Base de datos Rutas'!BH418),'Base de datos Rutas'!BH418,"")</f>
        <v>0.577166758934613</v>
      </c>
      <c r="I420" s="788">
        <f>IFERROR(IF(OR(NOT(ISNUMBER('Base de datos Rutas'!O418)),N('Base de datos Rutas'!BK418)=0),"",'Base de datos Rutas'!O418/('Base de datos Rutas'!L418/'Base de datos Rutas'!BK418)),"")</f>
        <v>2259.8341013824906</v>
      </c>
      <c r="J420" s="788">
        <f>IFERROR(IF(OR(NOT(ISNUMBER('Base de datos Rutas'!N418)),N('Base de datos Rutas'!BK418)=0),"",'Base de datos Rutas'!N418/('Base de datos Rutas'!L418/'Base de datos Rutas'!BK418)),"")</f>
        <v>6001.6981566820341</v>
      </c>
      <c r="K420" s="788">
        <f>IFERROR(IF(OR(NOT(ISNUMBER('Base de datos Rutas'!J418)),N('Base de datos Rutas'!BK418)=0),"",'Base de datos Rutas'!J418/('Base de datos Rutas'!L418/'Base de datos Rutas'!BK418)),"")</f>
        <v>414.79912258064559</v>
      </c>
      <c r="L420" s="788">
        <f>IFERROR(IF(OR(NOT(ISNUMBER('Base de datos Rutas'!K418)),N('Base de datos Rutas'!BK418)=0),"",'Base de datos Rutas'!K418/('Base de datos Rutas'!L418/'Base de datos Rutas'!BK418)),"")</f>
        <v>17.156440552995409</v>
      </c>
      <c r="M420" s="787">
        <f>IF(ISNUMBER('Base de datos Rutas'!AX418),'Base de datos Rutas'!AX418,"")</f>
        <v>350.48922287390002</v>
      </c>
      <c r="N420" s="790">
        <f>IFERROR(INDEX('Hoja de apoyo v2'!B$17:B$20,MATCH($A420,'Hoja de apoyo v2'!$A$17:$A$20,0)),"")</f>
        <v>89.41621024641401</v>
      </c>
      <c r="O420" s="791">
        <f>IFERROR(INDEX('Hoja de apoyo v2'!C$17:C$20,MATCH($A420,'Hoja de apoyo v2'!$A$17:$A$20,0)),"")</f>
        <v>0.54706375874806301</v>
      </c>
      <c r="P420" s="793">
        <f>IFERROR(INDEX('Hoja de apoyo v2'!D$17:D$20,MATCH($A420,'Hoja de apoyo v2'!$A$17:$A$20,0)),"")</f>
        <v>11095.153935793827</v>
      </c>
      <c r="Q420" s="793">
        <f>IFERROR(INDEX('Hoja de apoyo v2'!E$17:E$20,MATCH($A420,'Hoja de apoyo v2'!$A$17:$A$20,0)),"")</f>
        <v>6982.3202019701848</v>
      </c>
      <c r="R420" s="793">
        <f>IFERROR(INDEX('Hoja de apoyo v2'!F$17:F$20,MATCH($A420,'Hoja de apoyo v2'!$A$17:$A$20,0)),"")</f>
        <v>448.09513474485743</v>
      </c>
      <c r="S420" s="793">
        <f>IFERROR(INDEX('Hoja de apoyo v2'!G$17:G$20,MATCH($A420,'Hoja de apoyo v2'!$A$17:$A$20,0)),"")</f>
        <v>83.406300904207839</v>
      </c>
      <c r="T420" s="792">
        <f>IFERROR(INDEX('Hoja de apoyo v2'!H$17:H$20,MATCH($A420,'Hoja de apoyo v2'!$A$17:$A$20,0)),"")</f>
        <v>378.97014028925349</v>
      </c>
      <c r="U420" s="794">
        <f t="shared" si="220"/>
        <v>0.46145347925268138</v>
      </c>
      <c r="V420" s="795">
        <f t="shared" si="221"/>
        <v>1.055026493174104</v>
      </c>
      <c r="W420" s="795">
        <f t="shared" si="222"/>
        <v>0.20367757982087031</v>
      </c>
      <c r="X420" s="843">
        <f t="shared" si="223"/>
        <v>0.85955642008347732</v>
      </c>
      <c r="Y420" s="843">
        <f t="shared" si="224"/>
        <v>0.92569432340931268</v>
      </c>
      <c r="Z420" s="843">
        <f t="shared" si="225"/>
        <v>0.20569717595676118</v>
      </c>
      <c r="AA420" s="843">
        <f t="shared" si="226"/>
        <v>0.92484653964131558</v>
      </c>
      <c r="AB420" s="796">
        <f t="shared" si="227"/>
        <v>1</v>
      </c>
      <c r="AC420" s="797">
        <f t="shared" si="228"/>
        <v>4</v>
      </c>
      <c r="AD420" s="797">
        <f t="shared" si="229"/>
        <v>1</v>
      </c>
      <c r="AE420" s="842">
        <f t="shared" si="230"/>
        <v>3</v>
      </c>
      <c r="AF420" s="842">
        <f t="shared" si="231"/>
        <v>3</v>
      </c>
      <c r="AG420" s="842">
        <f t="shared" si="232"/>
        <v>1</v>
      </c>
      <c r="AH420" s="842">
        <f t="shared" si="233"/>
        <v>3</v>
      </c>
      <c r="AI420" s="826" cm="1">
        <f t="array" ref="AI420">SUMPRODUCT(--ISNUMBER($U420:$AA420),$AB$3:$AH$3)</f>
        <v>1</v>
      </c>
      <c r="AJ420" s="829">
        <f t="shared" si="234"/>
        <v>24.309156754841538</v>
      </c>
      <c r="AK420" s="827" t="str">
        <f t="shared" si="235"/>
        <v>Inmadura</v>
      </c>
      <c r="AL420" s="784" t="str">
        <f t="shared" si="236"/>
        <v>Alta</v>
      </c>
      <c r="AM420" s="799">
        <f>IF(ISNUMBER('Base de datos Rutas'!W418),'Base de datos Rutas'!W418,"")</f>
        <v>3158.6335789532814</v>
      </c>
      <c r="AN420" s="787">
        <f>IFERROR(SUMIFS('Base de datos Rutas'!$W$6:$W$794,'Base de datos Rutas'!$C$6:$C$794,$C420)/'Base de datos Rutas'!I418,"")</f>
        <v>3158.6335789532818</v>
      </c>
      <c r="AO420" s="800">
        <f>IFERROR('Base de datos Rutas'!X418*AN420/AM420,"")</f>
        <v>0.49398988020337881</v>
      </c>
      <c r="AP420" s="800">
        <f t="shared" si="237"/>
        <v>0.50601011979662114</v>
      </c>
      <c r="AQ420" s="789">
        <f>IFERROR(INDEX('Hoja de apoyo v2'!$J$17:$J$20,MATCH($A420,'Hoja de apoyo v2'!$A$17:$A$20,0)),"")</f>
        <v>0.64320274048480885</v>
      </c>
      <c r="AR420" s="789">
        <f t="shared" si="238"/>
        <v>-0.13719262068818772</v>
      </c>
      <c r="AS420" s="784" t="str">
        <f t="shared" si="239"/>
        <v>No</v>
      </c>
      <c r="AT420" s="801">
        <f>IF(ISNUMBER('Base de datos Rutas'!CK418),'Base de datos Rutas'!CK418,"")</f>
        <v>204</v>
      </c>
      <c r="AU420" s="802">
        <f>IF(ISNUMBER('Base de datos Rutas'!CL418),'Base de datos Rutas'!CL418,"")</f>
        <v>294.02999999999997</v>
      </c>
      <c r="AV420" s="802">
        <f>IF(ISNUMBER('Base de datos Rutas'!CM418),'Base de datos Rutas'!CM418,"")</f>
        <v>90.029999999999973</v>
      </c>
      <c r="AW420" s="802">
        <f>IF(ISNUMBER('Base de datos Rutas'!CN418),'Base de datos Rutas'!CN418,"")</f>
        <v>4.75</v>
      </c>
      <c r="AX420" s="802">
        <f>IF(ISNUMBER('Base de datos Rutas'!CO418),'Base de datos Rutas'!CO418,"")</f>
        <v>9.4499999999999993</v>
      </c>
      <c r="AY420" s="802">
        <f>IF(ISNUMBER('Base de datos Rutas'!CP418),'Base de datos Rutas'!CP418,"")</f>
        <v>4.6999999999999993</v>
      </c>
      <c r="AZ420" s="802">
        <f>IF(ISNUMBER('Base de datos Rutas'!CQ418),'Base de datos Rutas'!CQ418,"")</f>
        <v>564.37</v>
      </c>
      <c r="BA420" s="802">
        <f>IF(ISNUMBER('Base de datos Rutas'!CR418),'Base de datos Rutas'!CR418,"")</f>
        <v>431.96</v>
      </c>
      <c r="BB420" s="803">
        <f>IF(ISNUMBER('Base de datos Rutas'!CS418),'Base de datos Rutas'!CS418,"")</f>
        <v>132.41000000000003</v>
      </c>
      <c r="BC420" s="804">
        <f t="shared" si="249"/>
        <v>0</v>
      </c>
      <c r="BD420" s="805" t="str">
        <f t="shared" si="250"/>
        <v>No saturada</v>
      </c>
      <c r="BE420" s="806">
        <f t="shared" si="251"/>
        <v>0.765384410936088</v>
      </c>
      <c r="BF420" s="890">
        <f>IF(ISNUMBER('Base de datos Rutas'!CX418),'Base de datos Rutas'!CX418/100,"")</f>
        <v>0.17273203911010346</v>
      </c>
      <c r="BG420" s="891">
        <f>IF(ISNUMBER('Base de datos Rutas'!CZ418),'Base de datos Rutas'!CZ418/100,"")</f>
        <v>0.18548958480940911</v>
      </c>
      <c r="BH420" s="892">
        <f>IF(ISNUMBER('Base de datos Rutas'!DA418),'Base de datos Rutas'!DA418,"")</f>
        <v>160.23505428128888</v>
      </c>
      <c r="BI420" s="893">
        <f>IF(ISNUMBER('Base de datos Rutas'!DC418),'Base de datos Rutas'!DC418,"")</f>
        <v>7.9708634215891081</v>
      </c>
      <c r="BJ420" s="805" t="str">
        <f t="shared" si="252"/>
        <v>Ruta (completo)</v>
      </c>
      <c r="BK420" s="783">
        <f t="shared" si="240"/>
        <v>1</v>
      </c>
      <c r="BL420" s="797">
        <f t="shared" si="241"/>
        <v>1</v>
      </c>
      <c r="BM420" s="797">
        <f t="shared" si="242"/>
        <v>2</v>
      </c>
      <c r="BN420" s="797">
        <f t="shared" si="243"/>
        <v>2</v>
      </c>
      <c r="BO420" s="798" cm="1">
        <f t="array" ref="BO420">SUMPRODUCT(--ISNUMBER($BF420:$BI420),$BK$3:$BN$3)</f>
        <v>1</v>
      </c>
      <c r="BP420" s="831">
        <f t="shared" si="253"/>
        <v>12.5</v>
      </c>
      <c r="BQ420" s="834" t="str">
        <f t="shared" si="254"/>
        <v>Bajo</v>
      </c>
      <c r="BR420" s="836">
        <f t="shared" si="244"/>
        <v>18.231867566131154</v>
      </c>
      <c r="BS420" s="836">
        <f t="shared" si="245"/>
        <v>12.5</v>
      </c>
      <c r="BT420" s="837" t="str">
        <f t="shared" si="246"/>
        <v>P4</v>
      </c>
      <c r="BU420" s="807" t="str">
        <f t="shared" si="255"/>
        <v>Con espacio</v>
      </c>
      <c r="BV420" s="807" t="str">
        <f t="shared" si="247"/>
        <v>Zona de bajo potencial</v>
      </c>
      <c r="BW420" s="808" t="str">
        <f t="shared" si="248"/>
        <v>P4 - Evaluar</v>
      </c>
    </row>
    <row r="421" spans="1:75">
      <c r="A421" s="780" t="str">
        <f>'Base de datos Rutas'!A419</f>
        <v>Occidente</v>
      </c>
      <c r="B421" s="781" t="str">
        <f>'Base de datos Rutas'!B419</f>
        <v>Favorita</v>
      </c>
      <c r="C421" s="781" t="str">
        <f>'Base de datos Rutas'!C419</f>
        <v>Suc. Alamo</v>
      </c>
      <c r="D421" s="782">
        <f>IF(ISNUMBER('Base de datos Rutas'!D419),'Base de datos Rutas'!D419,"Sin código")</f>
        <v>802404</v>
      </c>
      <c r="E421" s="783" t="str">
        <f>'Base de datos Rutas'!F419</f>
        <v>Inactiva</v>
      </c>
      <c r="F421" s="784" t="str">
        <f>'Base de datos Rutas'!H419</f>
        <v>No</v>
      </c>
      <c r="G421" s="785" t="str">
        <f>IF(ISNUMBER('Base de datos Rutas'!BE419),'Base de datos Rutas'!BE419,"")</f>
        <v/>
      </c>
      <c r="H421" s="786" t="str">
        <f>IF(ISNUMBER('Base de datos Rutas'!BH419),'Base de datos Rutas'!BH419,"")</f>
        <v/>
      </c>
      <c r="I421" s="788" t="str">
        <f>IFERROR(IF(OR(NOT(ISNUMBER('Base de datos Rutas'!O419)),N('Base de datos Rutas'!BK419)=0),"",'Base de datos Rutas'!O419/('Base de datos Rutas'!L419/'Base de datos Rutas'!BK419)),"")</f>
        <v/>
      </c>
      <c r="J421" s="788" t="str">
        <f>IFERROR(IF(OR(NOT(ISNUMBER('Base de datos Rutas'!N419)),N('Base de datos Rutas'!BK419)=0),"",'Base de datos Rutas'!N419/('Base de datos Rutas'!L419/'Base de datos Rutas'!BK419)),"")</f>
        <v/>
      </c>
      <c r="K421" s="788" t="str">
        <f>IFERROR(IF(OR(NOT(ISNUMBER('Base de datos Rutas'!J419)),N('Base de datos Rutas'!BK419)=0),"",'Base de datos Rutas'!J419/('Base de datos Rutas'!L419/'Base de datos Rutas'!BK419)),"")</f>
        <v/>
      </c>
      <c r="L421" s="788" t="str">
        <f>IFERROR(IF(OR(NOT(ISNUMBER('Base de datos Rutas'!K419)),N('Base de datos Rutas'!BK419)=0),"",'Base de datos Rutas'!K419/('Base de datos Rutas'!L419/'Base de datos Rutas'!BK419)),"")</f>
        <v/>
      </c>
      <c r="M421" s="787">
        <f>IF(ISNUMBER('Base de datos Rutas'!AX419),'Base de datos Rutas'!AX419,"")</f>
        <v>131</v>
      </c>
      <c r="N421" s="790">
        <f>IFERROR(INDEX('Hoja de apoyo v2'!B$17:B$20,MATCH($A421,'Hoja de apoyo v2'!$A$17:$A$20,0)),"")</f>
        <v>89.41621024641401</v>
      </c>
      <c r="O421" s="791">
        <f>IFERROR(INDEX('Hoja de apoyo v2'!C$17:C$20,MATCH($A421,'Hoja de apoyo v2'!$A$17:$A$20,0)),"")</f>
        <v>0.54706375874806301</v>
      </c>
      <c r="P421" s="793">
        <f>IFERROR(INDEX('Hoja de apoyo v2'!D$17:D$20,MATCH($A421,'Hoja de apoyo v2'!$A$17:$A$20,0)),"")</f>
        <v>11095.153935793827</v>
      </c>
      <c r="Q421" s="793">
        <f>IFERROR(INDEX('Hoja de apoyo v2'!E$17:E$20,MATCH($A421,'Hoja de apoyo v2'!$A$17:$A$20,0)),"")</f>
        <v>6982.3202019701848</v>
      </c>
      <c r="R421" s="793">
        <f>IFERROR(INDEX('Hoja de apoyo v2'!F$17:F$20,MATCH($A421,'Hoja de apoyo v2'!$A$17:$A$20,0)),"")</f>
        <v>448.09513474485743</v>
      </c>
      <c r="S421" s="793">
        <f>IFERROR(INDEX('Hoja de apoyo v2'!G$17:G$20,MATCH($A421,'Hoja de apoyo v2'!$A$17:$A$20,0)),"")</f>
        <v>83.406300904207839</v>
      </c>
      <c r="T421" s="792">
        <f>IFERROR(INDEX('Hoja de apoyo v2'!H$17:H$20,MATCH($A421,'Hoja de apoyo v2'!$A$17:$A$20,0)),"")</f>
        <v>378.97014028925349</v>
      </c>
      <c r="U421" s="794" t="str">
        <f t="shared" si="220"/>
        <v/>
      </c>
      <c r="V421" s="795" t="str">
        <f t="shared" si="221"/>
        <v/>
      </c>
      <c r="W421" s="795" t="str">
        <f t="shared" si="222"/>
        <v/>
      </c>
      <c r="X421" s="843" t="str">
        <f t="shared" si="223"/>
        <v/>
      </c>
      <c r="Y421" s="843" t="str">
        <f t="shared" si="224"/>
        <v/>
      </c>
      <c r="Z421" s="843" t="str">
        <f t="shared" si="225"/>
        <v/>
      </c>
      <c r="AA421" s="843">
        <f t="shared" si="226"/>
        <v>0.34567367207351135</v>
      </c>
      <c r="AB421" s="796">
        <f t="shared" si="227"/>
        <v>0</v>
      </c>
      <c r="AC421" s="797">
        <f t="shared" si="228"/>
        <v>0</v>
      </c>
      <c r="AD421" s="797">
        <f t="shared" si="229"/>
        <v>0</v>
      </c>
      <c r="AE421" s="842">
        <f t="shared" si="230"/>
        <v>0</v>
      </c>
      <c r="AF421" s="842">
        <f t="shared" si="231"/>
        <v>0</v>
      </c>
      <c r="AG421" s="842">
        <f t="shared" si="232"/>
        <v>0</v>
      </c>
      <c r="AH421" s="842">
        <f t="shared" si="233"/>
        <v>1</v>
      </c>
      <c r="AI421" s="826" cm="1">
        <f t="array" ref="AI421">SUMPRODUCT(--ISNUMBER($U421:$AA421),$AB$3:$AH$3)</f>
        <v>8.9789113613062493E-2</v>
      </c>
      <c r="AJ421" s="829" t="str">
        <f t="shared" si="234"/>
        <v/>
      </c>
      <c r="AK421" s="827" t="str">
        <f t="shared" si="235"/>
        <v>Ruta inactiva</v>
      </c>
      <c r="AL421" s="784" t="str">
        <f t="shared" si="236"/>
        <v>n/a</v>
      </c>
      <c r="AM421" s="799">
        <f>IF(ISNUMBER('Base de datos Rutas'!W419),'Base de datos Rutas'!W419,"")</f>
        <v>3158.6335789532814</v>
      </c>
      <c r="AN421" s="787">
        <f>IFERROR(SUMIFS('Base de datos Rutas'!$W$6:$W$794,'Base de datos Rutas'!$C$6:$C$794,$C421)/'Base de datos Rutas'!I419,"")</f>
        <v>3158.6335789532818</v>
      </c>
      <c r="AO421" s="800">
        <f>IFERROR('Base de datos Rutas'!X419*AN421/AM421,"")</f>
        <v>0.49398988020337881</v>
      </c>
      <c r="AP421" s="800">
        <f t="shared" si="237"/>
        <v>0.50601011979662114</v>
      </c>
      <c r="AQ421" s="789">
        <f>IFERROR(INDEX('Hoja de apoyo v2'!$J$17:$J$20,MATCH($A421,'Hoja de apoyo v2'!$A$17:$A$20,0)),"")</f>
        <v>0.64320274048480885</v>
      </c>
      <c r="AR421" s="789">
        <f t="shared" si="238"/>
        <v>-0.13719262068818772</v>
      </c>
      <c r="AS421" s="784" t="str">
        <f t="shared" si="239"/>
        <v>No</v>
      </c>
      <c r="AT421" s="801" t="str">
        <f>IF(ISNUMBER('Base de datos Rutas'!CK419),'Base de datos Rutas'!CK419,"")</f>
        <v/>
      </c>
      <c r="AU421" s="802" t="str">
        <f>IF(ISNUMBER('Base de datos Rutas'!CL419),'Base de datos Rutas'!CL419,"")</f>
        <v/>
      </c>
      <c r="AV421" s="802">
        <f>IF(ISNUMBER('Base de datos Rutas'!CM419),'Base de datos Rutas'!CM419,"")</f>
        <v>0</v>
      </c>
      <c r="AW421" s="802" t="str">
        <f>IF(ISNUMBER('Base de datos Rutas'!CN419),'Base de datos Rutas'!CN419,"")</f>
        <v/>
      </c>
      <c r="AX421" s="802" t="str">
        <f>IF(ISNUMBER('Base de datos Rutas'!CO419),'Base de datos Rutas'!CO419,"")</f>
        <v/>
      </c>
      <c r="AY421" s="802">
        <f>IF(ISNUMBER('Base de datos Rutas'!CP419),'Base de datos Rutas'!CP419,"")</f>
        <v>0</v>
      </c>
      <c r="AZ421" s="802" t="str">
        <f>IF(ISNUMBER('Base de datos Rutas'!CQ419),'Base de datos Rutas'!CQ419,"")</f>
        <v/>
      </c>
      <c r="BA421" s="802" t="str">
        <f>IF(ISNUMBER('Base de datos Rutas'!CR419),'Base de datos Rutas'!CR419,"")</f>
        <v/>
      </c>
      <c r="BB421" s="803">
        <f>IF(ISNUMBER('Base de datos Rutas'!CS419),'Base de datos Rutas'!CS419,"")</f>
        <v>0</v>
      </c>
      <c r="BC421" s="804" t="str">
        <f t="shared" si="249"/>
        <v/>
      </c>
      <c r="BD421" s="805" t="str">
        <f t="shared" si="250"/>
        <v>N/D</v>
      </c>
      <c r="BE421" s="806" t="str">
        <f t="shared" si="251"/>
        <v/>
      </c>
      <c r="BF421" s="890" t="str">
        <f>IF(ISNUMBER('Base de datos Rutas'!CX419),'Base de datos Rutas'!CX419/100,"")</f>
        <v/>
      </c>
      <c r="BG421" s="891" t="str">
        <f>IF(ISNUMBER('Base de datos Rutas'!CZ419),'Base de datos Rutas'!CZ419/100,"")</f>
        <v/>
      </c>
      <c r="BH421" s="892" t="str">
        <f>IF(ISNUMBER('Base de datos Rutas'!DA419),'Base de datos Rutas'!DA419,"")</f>
        <v/>
      </c>
      <c r="BI421" s="893" t="str">
        <f>IF(ISNUMBER('Base de datos Rutas'!DC419),'Base de datos Rutas'!DC419,"")</f>
        <v/>
      </c>
      <c r="BJ421" s="805" t="str">
        <f t="shared" si="252"/>
        <v>Sin dato</v>
      </c>
      <c r="BK421" s="783">
        <f t="shared" si="240"/>
        <v>0</v>
      </c>
      <c r="BL421" s="797">
        <f t="shared" si="241"/>
        <v>0</v>
      </c>
      <c r="BM421" s="797">
        <f t="shared" si="242"/>
        <v>0</v>
      </c>
      <c r="BN421" s="797">
        <f t="shared" si="243"/>
        <v>0</v>
      </c>
      <c r="BO421" s="798" cm="1">
        <f t="array" ref="BO421">SUMPRODUCT(--ISNUMBER($BF421:$BI421),$BK$3:$BN$3)</f>
        <v>0</v>
      </c>
      <c r="BP421" s="831" t="str">
        <f t="shared" si="253"/>
        <v/>
      </c>
      <c r="BQ421" s="834" t="str">
        <f t="shared" si="254"/>
        <v>Sin datos</v>
      </c>
      <c r="BR421" s="836" t="str">
        <f t="shared" si="244"/>
        <v/>
      </c>
      <c r="BS421" s="836" t="str">
        <f t="shared" si="245"/>
        <v/>
      </c>
      <c r="BT421" s="837" t="str">
        <f t="shared" si="246"/>
        <v>Sin datos</v>
      </c>
      <c r="BU421" s="807" t="str">
        <f t="shared" si="255"/>
        <v>No evaluable</v>
      </c>
      <c r="BV421" s="807" t="str">
        <f t="shared" si="247"/>
        <v>No evaluable</v>
      </c>
      <c r="BW421" s="808" t="str">
        <f t="shared" si="248"/>
        <v>Sin datos</v>
      </c>
    </row>
    <row r="422" spans="1:75">
      <c r="A422" s="780" t="str">
        <f>'Base de datos Rutas'!A420</f>
        <v>Occidente</v>
      </c>
      <c r="B422" s="781" t="str">
        <f>'Base de datos Rutas'!B420</f>
        <v>Favorita</v>
      </c>
      <c r="C422" s="781" t="str">
        <f>'Base de datos Rutas'!C420</f>
        <v>Suc. Alamo</v>
      </c>
      <c r="D422" s="782">
        <f>IF(ISNUMBER('Base de datos Rutas'!D420),'Base de datos Rutas'!D420,"Sin código")</f>
        <v>802407</v>
      </c>
      <c r="E422" s="783" t="str">
        <f>'Base de datos Rutas'!F420</f>
        <v>Inactiva</v>
      </c>
      <c r="F422" s="784" t="str">
        <f>'Base de datos Rutas'!H420</f>
        <v>No</v>
      </c>
      <c r="G422" s="785" t="str">
        <f>IF(ISNUMBER('Base de datos Rutas'!BE420),'Base de datos Rutas'!BE420,"")</f>
        <v/>
      </c>
      <c r="H422" s="786" t="str">
        <f>IF(ISNUMBER('Base de datos Rutas'!BH420),'Base de datos Rutas'!BH420,"")</f>
        <v/>
      </c>
      <c r="I422" s="788" t="str">
        <f>IFERROR(IF(OR(NOT(ISNUMBER('Base de datos Rutas'!O420)),N('Base de datos Rutas'!BK420)=0),"",'Base de datos Rutas'!O420/('Base de datos Rutas'!L420/'Base de datos Rutas'!BK420)),"")</f>
        <v/>
      </c>
      <c r="J422" s="788" t="str">
        <f>IFERROR(IF(OR(NOT(ISNUMBER('Base de datos Rutas'!N420)),N('Base de datos Rutas'!BK420)=0),"",'Base de datos Rutas'!N420/('Base de datos Rutas'!L420/'Base de datos Rutas'!BK420)),"")</f>
        <v/>
      </c>
      <c r="K422" s="788" t="str">
        <f>IFERROR(IF(OR(NOT(ISNUMBER('Base de datos Rutas'!J420)),N('Base de datos Rutas'!BK420)=0),"",'Base de datos Rutas'!J420/('Base de datos Rutas'!L420/'Base de datos Rutas'!BK420)),"")</f>
        <v/>
      </c>
      <c r="L422" s="788" t="str">
        <f>IFERROR(IF(OR(NOT(ISNUMBER('Base de datos Rutas'!K420)),N('Base de datos Rutas'!BK420)=0),"",'Base de datos Rutas'!K420/('Base de datos Rutas'!L420/'Base de datos Rutas'!BK420)),"")</f>
        <v/>
      </c>
      <c r="M422" s="787">
        <f>IF(ISNUMBER('Base de datos Rutas'!AX420),'Base de datos Rutas'!AX420,"")</f>
        <v>312</v>
      </c>
      <c r="N422" s="790">
        <f>IFERROR(INDEX('Hoja de apoyo v2'!B$17:B$20,MATCH($A422,'Hoja de apoyo v2'!$A$17:$A$20,0)),"")</f>
        <v>89.41621024641401</v>
      </c>
      <c r="O422" s="791">
        <f>IFERROR(INDEX('Hoja de apoyo v2'!C$17:C$20,MATCH($A422,'Hoja de apoyo v2'!$A$17:$A$20,0)),"")</f>
        <v>0.54706375874806301</v>
      </c>
      <c r="P422" s="793">
        <f>IFERROR(INDEX('Hoja de apoyo v2'!D$17:D$20,MATCH($A422,'Hoja de apoyo v2'!$A$17:$A$20,0)),"")</f>
        <v>11095.153935793827</v>
      </c>
      <c r="Q422" s="793">
        <f>IFERROR(INDEX('Hoja de apoyo v2'!E$17:E$20,MATCH($A422,'Hoja de apoyo v2'!$A$17:$A$20,0)),"")</f>
        <v>6982.3202019701848</v>
      </c>
      <c r="R422" s="793">
        <f>IFERROR(INDEX('Hoja de apoyo v2'!F$17:F$20,MATCH($A422,'Hoja de apoyo v2'!$A$17:$A$20,0)),"")</f>
        <v>448.09513474485743</v>
      </c>
      <c r="S422" s="793">
        <f>IFERROR(INDEX('Hoja de apoyo v2'!G$17:G$20,MATCH($A422,'Hoja de apoyo v2'!$A$17:$A$20,0)),"")</f>
        <v>83.406300904207839</v>
      </c>
      <c r="T422" s="792">
        <f>IFERROR(INDEX('Hoja de apoyo v2'!H$17:H$20,MATCH($A422,'Hoja de apoyo v2'!$A$17:$A$20,0)),"")</f>
        <v>378.97014028925349</v>
      </c>
      <c r="U422" s="794" t="str">
        <f t="shared" si="220"/>
        <v/>
      </c>
      <c r="V422" s="795" t="str">
        <f t="shared" si="221"/>
        <v/>
      </c>
      <c r="W422" s="795" t="str">
        <f t="shared" si="222"/>
        <v/>
      </c>
      <c r="X422" s="843" t="str">
        <f t="shared" si="223"/>
        <v/>
      </c>
      <c r="Y422" s="843" t="str">
        <f t="shared" si="224"/>
        <v/>
      </c>
      <c r="Z422" s="843" t="str">
        <f t="shared" si="225"/>
        <v/>
      </c>
      <c r="AA422" s="843">
        <f t="shared" si="226"/>
        <v>0.82328386020561484</v>
      </c>
      <c r="AB422" s="796">
        <f t="shared" si="227"/>
        <v>0</v>
      </c>
      <c r="AC422" s="797">
        <f t="shared" si="228"/>
        <v>0</v>
      </c>
      <c r="AD422" s="797">
        <f t="shared" si="229"/>
        <v>0</v>
      </c>
      <c r="AE422" s="842">
        <f t="shared" si="230"/>
        <v>0</v>
      </c>
      <c r="AF422" s="842">
        <f t="shared" si="231"/>
        <v>0</v>
      </c>
      <c r="AG422" s="842">
        <f t="shared" si="232"/>
        <v>0</v>
      </c>
      <c r="AH422" s="842">
        <f t="shared" si="233"/>
        <v>3</v>
      </c>
      <c r="AI422" s="826" cm="1">
        <f t="array" ref="AI422">SUMPRODUCT(--ISNUMBER($U422:$AA422),$AB$3:$AH$3)</f>
        <v>8.9789113613062493E-2</v>
      </c>
      <c r="AJ422" s="829" t="str">
        <f t="shared" si="234"/>
        <v/>
      </c>
      <c r="AK422" s="827" t="str">
        <f t="shared" si="235"/>
        <v>Ruta inactiva</v>
      </c>
      <c r="AL422" s="784" t="str">
        <f t="shared" si="236"/>
        <v>n/a</v>
      </c>
      <c r="AM422" s="799">
        <f>IF(ISNUMBER('Base de datos Rutas'!W420),'Base de datos Rutas'!W420,"")</f>
        <v>3158.6335789532814</v>
      </c>
      <c r="AN422" s="787">
        <f>IFERROR(SUMIFS('Base de datos Rutas'!$W$6:$W$794,'Base de datos Rutas'!$C$6:$C$794,$C422)/'Base de datos Rutas'!I420,"")</f>
        <v>3158.6335789532818</v>
      </c>
      <c r="AO422" s="800">
        <f>IFERROR('Base de datos Rutas'!X420*AN422/AM422,"")</f>
        <v>0.49398988020337881</v>
      </c>
      <c r="AP422" s="800">
        <f t="shared" si="237"/>
        <v>0.50601011979662114</v>
      </c>
      <c r="AQ422" s="789">
        <f>IFERROR(INDEX('Hoja de apoyo v2'!$J$17:$J$20,MATCH($A422,'Hoja de apoyo v2'!$A$17:$A$20,0)),"")</f>
        <v>0.64320274048480885</v>
      </c>
      <c r="AR422" s="789">
        <f t="shared" si="238"/>
        <v>-0.13719262068818772</v>
      </c>
      <c r="AS422" s="784" t="str">
        <f t="shared" si="239"/>
        <v>No</v>
      </c>
      <c r="AT422" s="801" t="str">
        <f>IF(ISNUMBER('Base de datos Rutas'!CK420),'Base de datos Rutas'!CK420,"")</f>
        <v/>
      </c>
      <c r="AU422" s="802" t="str">
        <f>IF(ISNUMBER('Base de datos Rutas'!CL420),'Base de datos Rutas'!CL420,"")</f>
        <v/>
      </c>
      <c r="AV422" s="802">
        <f>IF(ISNUMBER('Base de datos Rutas'!CM420),'Base de datos Rutas'!CM420,"")</f>
        <v>0</v>
      </c>
      <c r="AW422" s="802" t="str">
        <f>IF(ISNUMBER('Base de datos Rutas'!CN420),'Base de datos Rutas'!CN420,"")</f>
        <v/>
      </c>
      <c r="AX422" s="802" t="str">
        <f>IF(ISNUMBER('Base de datos Rutas'!CO420),'Base de datos Rutas'!CO420,"")</f>
        <v/>
      </c>
      <c r="AY422" s="802">
        <f>IF(ISNUMBER('Base de datos Rutas'!CP420),'Base de datos Rutas'!CP420,"")</f>
        <v>0</v>
      </c>
      <c r="AZ422" s="802" t="str">
        <f>IF(ISNUMBER('Base de datos Rutas'!CQ420),'Base de datos Rutas'!CQ420,"")</f>
        <v/>
      </c>
      <c r="BA422" s="802" t="str">
        <f>IF(ISNUMBER('Base de datos Rutas'!CR420),'Base de datos Rutas'!CR420,"")</f>
        <v/>
      </c>
      <c r="BB422" s="803">
        <f>IF(ISNUMBER('Base de datos Rutas'!CS420),'Base de datos Rutas'!CS420,"")</f>
        <v>0</v>
      </c>
      <c r="BC422" s="804" t="str">
        <f t="shared" si="249"/>
        <v/>
      </c>
      <c r="BD422" s="805" t="str">
        <f t="shared" si="250"/>
        <v>N/D</v>
      </c>
      <c r="BE422" s="806" t="str">
        <f t="shared" si="251"/>
        <v/>
      </c>
      <c r="BF422" s="890" t="str">
        <f>IF(ISNUMBER('Base de datos Rutas'!CX420),'Base de datos Rutas'!CX420/100,"")</f>
        <v/>
      </c>
      <c r="BG422" s="891" t="str">
        <f>IF(ISNUMBER('Base de datos Rutas'!CZ420),'Base de datos Rutas'!CZ420/100,"")</f>
        <v/>
      </c>
      <c r="BH422" s="892" t="str">
        <f>IF(ISNUMBER('Base de datos Rutas'!DA420),'Base de datos Rutas'!DA420,"")</f>
        <v/>
      </c>
      <c r="BI422" s="893" t="str">
        <f>IF(ISNUMBER('Base de datos Rutas'!DC420),'Base de datos Rutas'!DC420,"")</f>
        <v/>
      </c>
      <c r="BJ422" s="805" t="str">
        <f t="shared" si="252"/>
        <v>Sin dato</v>
      </c>
      <c r="BK422" s="783">
        <f t="shared" si="240"/>
        <v>0</v>
      </c>
      <c r="BL422" s="797">
        <f t="shared" si="241"/>
        <v>0</v>
      </c>
      <c r="BM422" s="797">
        <f t="shared" si="242"/>
        <v>0</v>
      </c>
      <c r="BN422" s="797">
        <f t="shared" si="243"/>
        <v>0</v>
      </c>
      <c r="BO422" s="798" cm="1">
        <f t="array" ref="BO422">SUMPRODUCT(--ISNUMBER($BF422:$BI422),$BK$3:$BN$3)</f>
        <v>0</v>
      </c>
      <c r="BP422" s="831" t="str">
        <f t="shared" si="253"/>
        <v/>
      </c>
      <c r="BQ422" s="834" t="str">
        <f t="shared" si="254"/>
        <v>Sin datos</v>
      </c>
      <c r="BR422" s="836" t="str">
        <f t="shared" si="244"/>
        <v/>
      </c>
      <c r="BS422" s="836" t="str">
        <f t="shared" si="245"/>
        <v/>
      </c>
      <c r="BT422" s="837" t="str">
        <f t="shared" si="246"/>
        <v>Sin datos</v>
      </c>
      <c r="BU422" s="807" t="str">
        <f t="shared" si="255"/>
        <v>No evaluable</v>
      </c>
      <c r="BV422" s="807" t="str">
        <f t="shared" si="247"/>
        <v>No evaluable</v>
      </c>
      <c r="BW422" s="808" t="str">
        <f t="shared" si="248"/>
        <v>Sin datos</v>
      </c>
    </row>
    <row r="423" spans="1:75">
      <c r="A423" s="780" t="str">
        <f>'Base de datos Rutas'!A421</f>
        <v>Occidente</v>
      </c>
      <c r="B423" s="781" t="str">
        <f>'Base de datos Rutas'!B421</f>
        <v>Favorita</v>
      </c>
      <c r="C423" s="781" t="str">
        <f>'Base de datos Rutas'!C421</f>
        <v>Suc. Alamo</v>
      </c>
      <c r="D423" s="782">
        <f>IF(ISNUMBER('Base de datos Rutas'!D421),'Base de datos Rutas'!D421,"Sin código")</f>
        <v>802414</v>
      </c>
      <c r="E423" s="783" t="str">
        <f>'Base de datos Rutas'!F421</f>
        <v>Activa</v>
      </c>
      <c r="F423" s="784" t="str">
        <f>'Base de datos Rutas'!H421</f>
        <v>Sí</v>
      </c>
      <c r="G423" s="785">
        <f>IF(ISNUMBER('Base de datos Rutas'!BE421),'Base de datos Rutas'!BE421,"")</f>
        <v>98.866666666666703</v>
      </c>
      <c r="H423" s="786">
        <f>IF(ISNUMBER('Base de datos Rutas'!BH421),'Base de datos Rutas'!BH421,"")</f>
        <v>3.8210833895257401E-3</v>
      </c>
      <c r="I423" s="788">
        <f>IFERROR(IF(OR(NOT(ISNUMBER('Base de datos Rutas'!O421)),N('Base de datos Rutas'!BK421)=0),"",'Base de datos Rutas'!O421/('Base de datos Rutas'!L421/'Base de datos Rutas'!BK421)),"")</f>
        <v>12.35</v>
      </c>
      <c r="J423" s="788">
        <f>IFERROR(IF(OR(NOT(ISNUMBER('Base de datos Rutas'!N421)),N('Base de datos Rutas'!BK421)=0),"",'Base de datos Rutas'!N421/('Base de datos Rutas'!L421/'Base de datos Rutas'!BK421)),"")</f>
        <v>70.099999999999994</v>
      </c>
      <c r="K423" s="788">
        <f>IFERROR(IF(OR(NOT(ISNUMBER('Base de datos Rutas'!J421)),N('Base de datos Rutas'!BK421)=0),"",'Base de datos Rutas'!J421/('Base de datos Rutas'!L421/'Base de datos Rutas'!BK421)),"")</f>
        <v>5.7532533333333333</v>
      </c>
      <c r="L423" s="788">
        <f>IFERROR(IF(OR(NOT(ISNUMBER('Base de datos Rutas'!K421)),N('Base de datos Rutas'!BK421)=0),"",'Base de datos Rutas'!K421/('Base de datos Rutas'!L421/'Base de datos Rutas'!BK421)),"")</f>
        <v>0.15263666666666667</v>
      </c>
      <c r="M423" s="787">
        <f>IF(ISNUMBER('Base de datos Rutas'!AX421),'Base de datos Rutas'!AX421,"")</f>
        <v>154.6171875</v>
      </c>
      <c r="N423" s="790">
        <f>IFERROR(INDEX('Hoja de apoyo v2'!B$17:B$20,MATCH($A423,'Hoja de apoyo v2'!$A$17:$A$20,0)),"")</f>
        <v>89.41621024641401</v>
      </c>
      <c r="O423" s="791">
        <f>IFERROR(INDEX('Hoja de apoyo v2'!C$17:C$20,MATCH($A423,'Hoja de apoyo v2'!$A$17:$A$20,0)),"")</f>
        <v>0.54706375874806301</v>
      </c>
      <c r="P423" s="793">
        <f>IFERROR(INDEX('Hoja de apoyo v2'!D$17:D$20,MATCH($A423,'Hoja de apoyo v2'!$A$17:$A$20,0)),"")</f>
        <v>11095.153935793827</v>
      </c>
      <c r="Q423" s="793">
        <f>IFERROR(INDEX('Hoja de apoyo v2'!E$17:E$20,MATCH($A423,'Hoja de apoyo v2'!$A$17:$A$20,0)),"")</f>
        <v>6982.3202019701848</v>
      </c>
      <c r="R423" s="793">
        <f>IFERROR(INDEX('Hoja de apoyo v2'!F$17:F$20,MATCH($A423,'Hoja de apoyo v2'!$A$17:$A$20,0)),"")</f>
        <v>448.09513474485743</v>
      </c>
      <c r="S423" s="793">
        <f>IFERROR(INDEX('Hoja de apoyo v2'!G$17:G$20,MATCH($A423,'Hoja de apoyo v2'!$A$17:$A$20,0)),"")</f>
        <v>83.406300904207839</v>
      </c>
      <c r="T423" s="792">
        <f>IFERROR(INDEX('Hoja de apoyo v2'!H$17:H$20,MATCH($A423,'Hoja de apoyo v2'!$A$17:$A$20,0)),"")</f>
        <v>378.97014028925349</v>
      </c>
      <c r="U423" s="794">
        <f t="shared" si="220"/>
        <v>1.1056906392499641</v>
      </c>
      <c r="V423" s="795">
        <f t="shared" si="221"/>
        <v>6.9847130767173478E-3</v>
      </c>
      <c r="W423" s="795">
        <f t="shared" si="222"/>
        <v>1.1130985718150284E-3</v>
      </c>
      <c r="X423" s="843">
        <f t="shared" si="223"/>
        <v>1.0039642693587734E-2</v>
      </c>
      <c r="Y423" s="843">
        <f t="shared" si="224"/>
        <v>1.2839356840170112E-2</v>
      </c>
      <c r="Z423" s="843">
        <f t="shared" si="225"/>
        <v>1.8300375992213098E-3</v>
      </c>
      <c r="AA423" s="843">
        <f t="shared" si="226"/>
        <v>0.40799306083056197</v>
      </c>
      <c r="AB423" s="796">
        <f t="shared" si="227"/>
        <v>4</v>
      </c>
      <c r="AC423" s="797">
        <f t="shared" si="228"/>
        <v>1</v>
      </c>
      <c r="AD423" s="797">
        <f t="shared" si="229"/>
        <v>1</v>
      </c>
      <c r="AE423" s="842">
        <f t="shared" si="230"/>
        <v>1</v>
      </c>
      <c r="AF423" s="842">
        <f t="shared" si="231"/>
        <v>1</v>
      </c>
      <c r="AG423" s="842">
        <f t="shared" si="232"/>
        <v>1</v>
      </c>
      <c r="AH423" s="842">
        <f t="shared" si="233"/>
        <v>1</v>
      </c>
      <c r="AI423" s="826" cm="1">
        <f t="array" ref="AI423">SUMPRODUCT(--ISNUMBER($U423:$AA423),$AB$3:$AH$3)</f>
        <v>1</v>
      </c>
      <c r="AJ423" s="829">
        <f t="shared" si="234"/>
        <v>13.600908534410255</v>
      </c>
      <c r="AK423" s="827" t="str">
        <f t="shared" si="235"/>
        <v>Inmadura</v>
      </c>
      <c r="AL423" s="784" t="str">
        <f t="shared" si="236"/>
        <v>Alta</v>
      </c>
      <c r="AM423" s="799">
        <f>IF(ISNUMBER('Base de datos Rutas'!W421),'Base de datos Rutas'!W421,"")</f>
        <v>3158.6335789532814</v>
      </c>
      <c r="AN423" s="787">
        <f>IFERROR(SUMIFS('Base de datos Rutas'!$W$6:$W$794,'Base de datos Rutas'!$C$6:$C$794,$C423)/'Base de datos Rutas'!I421,"")</f>
        <v>3158.6335789532818</v>
      </c>
      <c r="AO423" s="800">
        <f>IFERROR('Base de datos Rutas'!X421*AN423/AM423,"")</f>
        <v>0.49398988020337881</v>
      </c>
      <c r="AP423" s="800">
        <f t="shared" si="237"/>
        <v>0.50601011979662114</v>
      </c>
      <c r="AQ423" s="789">
        <f>IFERROR(INDEX('Hoja de apoyo v2'!$J$17:$J$20,MATCH($A423,'Hoja de apoyo v2'!$A$17:$A$20,0)),"")</f>
        <v>0.64320274048480885</v>
      </c>
      <c r="AR423" s="789">
        <f t="shared" si="238"/>
        <v>-0.13719262068818772</v>
      </c>
      <c r="AS423" s="784" t="str">
        <f t="shared" si="239"/>
        <v>No</v>
      </c>
      <c r="AT423" s="801" t="str">
        <f>IF(ISNUMBER('Base de datos Rutas'!CK421),'Base de datos Rutas'!CK421,"")</f>
        <v/>
      </c>
      <c r="AU423" s="802" t="str">
        <f>IF(ISNUMBER('Base de datos Rutas'!CL421),'Base de datos Rutas'!CL421,"")</f>
        <v/>
      </c>
      <c r="AV423" s="802">
        <f>IF(ISNUMBER('Base de datos Rutas'!CM421),'Base de datos Rutas'!CM421,"")</f>
        <v>0</v>
      </c>
      <c r="AW423" s="802" t="str">
        <f>IF(ISNUMBER('Base de datos Rutas'!CN421),'Base de datos Rutas'!CN421,"")</f>
        <v/>
      </c>
      <c r="AX423" s="802" t="str">
        <f>IF(ISNUMBER('Base de datos Rutas'!CO421),'Base de datos Rutas'!CO421,"")</f>
        <v/>
      </c>
      <c r="AY423" s="802">
        <f>IF(ISNUMBER('Base de datos Rutas'!CP421),'Base de datos Rutas'!CP421,"")</f>
        <v>0</v>
      </c>
      <c r="AZ423" s="802" t="str">
        <f>IF(ISNUMBER('Base de datos Rutas'!CQ421),'Base de datos Rutas'!CQ421,"")</f>
        <v/>
      </c>
      <c r="BA423" s="802" t="str">
        <f>IF(ISNUMBER('Base de datos Rutas'!CR421),'Base de datos Rutas'!CR421,"")</f>
        <v/>
      </c>
      <c r="BB423" s="803">
        <f>IF(ISNUMBER('Base de datos Rutas'!CS421),'Base de datos Rutas'!CS421,"")</f>
        <v>0</v>
      </c>
      <c r="BC423" s="804" t="str">
        <f t="shared" si="249"/>
        <v/>
      </c>
      <c r="BD423" s="805" t="str">
        <f t="shared" si="250"/>
        <v>N/D</v>
      </c>
      <c r="BE423" s="806" t="str">
        <f t="shared" si="251"/>
        <v/>
      </c>
      <c r="BF423" s="890" t="str">
        <f>IF(ISNUMBER('Base de datos Rutas'!CX421),'Base de datos Rutas'!CX421/100,"")</f>
        <v/>
      </c>
      <c r="BG423" s="891" t="str">
        <f>IF(ISNUMBER('Base de datos Rutas'!CZ421),'Base de datos Rutas'!CZ421/100,"")</f>
        <v/>
      </c>
      <c r="BH423" s="892" t="str">
        <f>IF(ISNUMBER('Base de datos Rutas'!DA421),'Base de datos Rutas'!DA421,"")</f>
        <v/>
      </c>
      <c r="BI423" s="893" t="str">
        <f>IF(ISNUMBER('Base de datos Rutas'!DC421),'Base de datos Rutas'!DC421,"")</f>
        <v/>
      </c>
      <c r="BJ423" s="805" t="str">
        <f t="shared" si="252"/>
        <v>Sin dato</v>
      </c>
      <c r="BK423" s="783">
        <f t="shared" si="240"/>
        <v>0</v>
      </c>
      <c r="BL423" s="797">
        <f t="shared" si="241"/>
        <v>0</v>
      </c>
      <c r="BM423" s="797">
        <f t="shared" si="242"/>
        <v>0</v>
      </c>
      <c r="BN423" s="797">
        <f t="shared" si="243"/>
        <v>0</v>
      </c>
      <c r="BO423" s="798" cm="1">
        <f t="array" ref="BO423">SUMPRODUCT(--ISNUMBER($BF423:$BI423),$BK$3:$BN$3)</f>
        <v>0</v>
      </c>
      <c r="BP423" s="831" t="str">
        <f t="shared" si="253"/>
        <v/>
      </c>
      <c r="BQ423" s="834" t="str">
        <f t="shared" si="254"/>
        <v>Sin datos</v>
      </c>
      <c r="BR423" s="836" t="str">
        <f t="shared" si="244"/>
        <v/>
      </c>
      <c r="BS423" s="836" t="str">
        <f t="shared" si="245"/>
        <v/>
      </c>
      <c r="BT423" s="837" t="str">
        <f t="shared" si="246"/>
        <v>Sin datos</v>
      </c>
      <c r="BU423" s="807" t="str">
        <f t="shared" si="255"/>
        <v>Con espacio</v>
      </c>
      <c r="BV423" s="807" t="str">
        <f t="shared" si="247"/>
        <v>Sin datos de zona</v>
      </c>
      <c r="BW423" s="808" t="str">
        <f t="shared" si="248"/>
        <v>Sin datos</v>
      </c>
    </row>
    <row r="424" spans="1:75">
      <c r="A424" s="780" t="str">
        <f>'Base de datos Rutas'!A422</f>
        <v>Occidente</v>
      </c>
      <c r="B424" s="781" t="str">
        <f>'Base de datos Rutas'!B422</f>
        <v>Zapopan</v>
      </c>
      <c r="C424" s="781" t="str">
        <f>'Base de datos Rutas'!C422</f>
        <v>Suc. Belenes</v>
      </c>
      <c r="D424" s="782">
        <f>IF(ISNUMBER('Base de datos Rutas'!D422),'Base de datos Rutas'!D422,"Sin código")</f>
        <v>820340</v>
      </c>
      <c r="E424" s="783" t="str">
        <f>'Base de datos Rutas'!F422</f>
        <v>Activa</v>
      </c>
      <c r="F424" s="784" t="str">
        <f>'Base de datos Rutas'!H422</f>
        <v>Sí</v>
      </c>
      <c r="G424" s="785">
        <f>IF(ISNUMBER('Base de datos Rutas'!BE422),'Base de datos Rutas'!BE422,"")</f>
        <v>104.301843317972</v>
      </c>
      <c r="H424" s="786">
        <f>IF(ISNUMBER('Base de datos Rutas'!BH422),'Base de datos Rutas'!BH422,"")</f>
        <v>0.299710605960192</v>
      </c>
      <c r="I424" s="788">
        <f>IFERROR(IF(OR(NOT(ISNUMBER('Base de datos Rutas'!O422)),N('Base de datos Rutas'!BK422)=0),"",'Base de datos Rutas'!O422/('Base de datos Rutas'!L422/'Base de datos Rutas'!BK422)),"")</f>
        <v>2605.633640552991</v>
      </c>
      <c r="J424" s="788">
        <f>IFERROR(IF(OR(NOT(ISNUMBER('Base de datos Rutas'!N422)),N('Base de datos Rutas'!BK422)=0),"",'Base de datos Rutas'!N422/('Base de datos Rutas'!L422/'Base de datos Rutas'!BK422)),"")</f>
        <v>4738.8317972350151</v>
      </c>
      <c r="K424" s="788">
        <f>IFERROR(IF(OR(NOT(ISNUMBER('Base de datos Rutas'!J422)),N('Base de datos Rutas'!BK422)=0),"",'Base de datos Rutas'!J422/('Base de datos Rutas'!L422/'Base de datos Rutas'!BK422)),"")</f>
        <v>335.65063225806392</v>
      </c>
      <c r="L424" s="788">
        <f>IFERROR(IF(OR(NOT(ISNUMBER('Base de datos Rutas'!K422)),N('Base de datos Rutas'!BK422)=0),"",'Base de datos Rutas'!K422/('Base de datos Rutas'!L422/'Base de datos Rutas'!BK422)),"")</f>
        <v>18.356300610599046</v>
      </c>
      <c r="M424" s="787">
        <f>IF(ISNUMBER('Base de datos Rutas'!AX422),'Base de datos Rutas'!AX422,"")</f>
        <v>238.431502911476</v>
      </c>
      <c r="N424" s="790">
        <f>IFERROR(INDEX('Hoja de apoyo v2'!B$17:B$20,MATCH($A424,'Hoja de apoyo v2'!$A$17:$A$20,0)),"")</f>
        <v>89.41621024641401</v>
      </c>
      <c r="O424" s="791">
        <f>IFERROR(INDEX('Hoja de apoyo v2'!C$17:C$20,MATCH($A424,'Hoja de apoyo v2'!$A$17:$A$20,0)),"")</f>
        <v>0.54706375874806301</v>
      </c>
      <c r="P424" s="793">
        <f>IFERROR(INDEX('Hoja de apoyo v2'!D$17:D$20,MATCH($A424,'Hoja de apoyo v2'!$A$17:$A$20,0)),"")</f>
        <v>11095.153935793827</v>
      </c>
      <c r="Q424" s="793">
        <f>IFERROR(INDEX('Hoja de apoyo v2'!E$17:E$20,MATCH($A424,'Hoja de apoyo v2'!$A$17:$A$20,0)),"")</f>
        <v>6982.3202019701848</v>
      </c>
      <c r="R424" s="793">
        <f>IFERROR(INDEX('Hoja de apoyo v2'!F$17:F$20,MATCH($A424,'Hoja de apoyo v2'!$A$17:$A$20,0)),"")</f>
        <v>448.09513474485743</v>
      </c>
      <c r="S424" s="793">
        <f>IFERROR(INDEX('Hoja de apoyo v2'!G$17:G$20,MATCH($A424,'Hoja de apoyo v2'!$A$17:$A$20,0)),"")</f>
        <v>83.406300904207839</v>
      </c>
      <c r="T424" s="792">
        <f>IFERROR(INDEX('Hoja de apoyo v2'!H$17:H$20,MATCH($A424,'Hoja de apoyo v2'!$A$17:$A$20,0)),"")</f>
        <v>378.97014028925349</v>
      </c>
      <c r="U424" s="794">
        <f t="shared" si="220"/>
        <v>1.1664757769372693</v>
      </c>
      <c r="V424" s="795">
        <f t="shared" si="221"/>
        <v>0.54785315453187688</v>
      </c>
      <c r="W424" s="795">
        <f t="shared" si="222"/>
        <v>0.23484429829738682</v>
      </c>
      <c r="X424" s="843">
        <f t="shared" si="223"/>
        <v>0.67869012880530311</v>
      </c>
      <c r="Y424" s="843">
        <f t="shared" si="224"/>
        <v>0.74906109491499229</v>
      </c>
      <c r="Z424" s="843">
        <f t="shared" si="225"/>
        <v>0.22008290035163247</v>
      </c>
      <c r="AA424" s="843">
        <f t="shared" si="226"/>
        <v>0.62915643625508411</v>
      </c>
      <c r="AB424" s="796">
        <f t="shared" si="227"/>
        <v>4</v>
      </c>
      <c r="AC424" s="797">
        <f t="shared" si="228"/>
        <v>2</v>
      </c>
      <c r="AD424" s="797">
        <f t="shared" si="229"/>
        <v>1</v>
      </c>
      <c r="AE424" s="842">
        <f t="shared" si="230"/>
        <v>2</v>
      </c>
      <c r="AF424" s="842">
        <f t="shared" si="231"/>
        <v>2</v>
      </c>
      <c r="AG424" s="842">
        <f t="shared" si="232"/>
        <v>1</v>
      </c>
      <c r="AH424" s="842">
        <f t="shared" si="233"/>
        <v>2</v>
      </c>
      <c r="AI424" s="826" cm="1">
        <f t="array" ref="AI424">SUMPRODUCT(--ISNUMBER($U424:$AA424),$AB$3:$AH$3)</f>
        <v>1</v>
      </c>
      <c r="AJ424" s="829">
        <f t="shared" si="234"/>
        <v>24.564034118885786</v>
      </c>
      <c r="AK424" s="827" t="str">
        <f t="shared" si="235"/>
        <v>Inmadura</v>
      </c>
      <c r="AL424" s="784" t="str">
        <f t="shared" si="236"/>
        <v>Alta</v>
      </c>
      <c r="AM424" s="799">
        <f>IF(ISNUMBER('Base de datos Rutas'!W422),'Base de datos Rutas'!W422,"")</f>
        <v>3116.1708958203221</v>
      </c>
      <c r="AN424" s="787">
        <f>IFERROR(SUMIFS('Base de datos Rutas'!$W$6:$W$794,'Base de datos Rutas'!$C$6:$C$794,$C424)/'Base de datos Rutas'!I422,"")</f>
        <v>3116.1708958203185</v>
      </c>
      <c r="AO424" s="800">
        <f>IFERROR('Base de datos Rutas'!X422*AN424/AM424,"")</f>
        <v>0.37418782761251823</v>
      </c>
      <c r="AP424" s="800">
        <f t="shared" si="237"/>
        <v>0.62581217238748177</v>
      </c>
      <c r="AQ424" s="789">
        <f>IFERROR(INDEX('Hoja de apoyo v2'!$J$17:$J$20,MATCH($A424,'Hoja de apoyo v2'!$A$17:$A$20,0)),"")</f>
        <v>0.64320274048480885</v>
      </c>
      <c r="AR424" s="789">
        <f t="shared" si="238"/>
        <v>-1.7390568097327086E-2</v>
      </c>
      <c r="AS424" s="784" t="str">
        <f t="shared" si="239"/>
        <v>No</v>
      </c>
      <c r="AT424" s="801">
        <f>IF(ISNUMBER('Base de datos Rutas'!CK422),'Base de datos Rutas'!CK422,"")</f>
        <v>411</v>
      </c>
      <c r="AU424" s="802">
        <f>IF(ISNUMBER('Base de datos Rutas'!CL422),'Base de datos Rutas'!CL422,"")</f>
        <v>577.96</v>
      </c>
      <c r="AV424" s="802">
        <f>IF(ISNUMBER('Base de datos Rutas'!CM422),'Base de datos Rutas'!CM422,"")</f>
        <v>166.96000000000004</v>
      </c>
      <c r="AW424" s="802">
        <f>IF(ISNUMBER('Base de datos Rutas'!CN422),'Base de datos Rutas'!CN422,"")</f>
        <v>9.48</v>
      </c>
      <c r="AX424" s="802">
        <f>IF(ISNUMBER('Base de datos Rutas'!CO422),'Base de datos Rutas'!CO422,"")</f>
        <v>9.4499999999999993</v>
      </c>
      <c r="AY424" s="802">
        <f>IF(ISNUMBER('Base de datos Rutas'!CP422),'Base de datos Rutas'!CP422,"")</f>
        <v>-3.0000000000001137E-2</v>
      </c>
      <c r="AZ424" s="802">
        <f>IF(ISNUMBER('Base de datos Rutas'!CQ422),'Base de datos Rutas'!CQ422,"")</f>
        <v>564.37</v>
      </c>
      <c r="BA424" s="802">
        <f>IF(ISNUMBER('Base de datos Rutas'!CR422),'Base de datos Rutas'!CR422,"")</f>
        <v>354.01</v>
      </c>
      <c r="BB424" s="803">
        <f>IF(ISNUMBER('Base de datos Rutas'!CS422),'Base de datos Rutas'!CS422,"")</f>
        <v>210.36</v>
      </c>
      <c r="BC424" s="804">
        <f t="shared" si="249"/>
        <v>1</v>
      </c>
      <c r="BD424" s="805" t="str">
        <f t="shared" si="250"/>
        <v>Saturada</v>
      </c>
      <c r="BE424" s="806">
        <f t="shared" si="251"/>
        <v>0.62726580080443683</v>
      </c>
      <c r="BF424" s="890">
        <f>IF(ISNUMBER('Base de datos Rutas'!CX422),'Base de datos Rutas'!CX422/100,"")</f>
        <v>0.92919423240033927</v>
      </c>
      <c r="BG424" s="891">
        <f>IF(ISNUMBER('Base de datos Rutas'!CZ422),'Base de datos Rutas'!CZ422/100,"")</f>
        <v>1</v>
      </c>
      <c r="BH424" s="892">
        <f>IF(ISNUMBER('Base de datos Rutas'!DA422),'Base de datos Rutas'!DA422,"")</f>
        <v>618.35001346555987</v>
      </c>
      <c r="BI424" s="893">
        <f>IF(ISNUMBER('Base de datos Rutas'!DC422),'Base de datos Rutas'!DC422,"")</f>
        <v>27.832908244090994</v>
      </c>
      <c r="BJ424" s="805" t="str">
        <f t="shared" si="252"/>
        <v>Ruta (completo)</v>
      </c>
      <c r="BK424" s="783">
        <f t="shared" si="240"/>
        <v>4</v>
      </c>
      <c r="BL424" s="797">
        <f t="shared" si="241"/>
        <v>4</v>
      </c>
      <c r="BM424" s="797">
        <f t="shared" si="242"/>
        <v>3</v>
      </c>
      <c r="BN424" s="797">
        <f t="shared" si="243"/>
        <v>3</v>
      </c>
      <c r="BO424" s="798" cm="1">
        <f t="array" ref="BO424">SUMPRODUCT(--ISNUMBER($BF424:$BI424),$BK$3:$BN$3)</f>
        <v>1</v>
      </c>
      <c r="BP424" s="831">
        <f t="shared" si="253"/>
        <v>62.5</v>
      </c>
      <c r="BQ424" s="834" t="str">
        <f t="shared" si="254"/>
        <v>Alto</v>
      </c>
      <c r="BR424" s="836">
        <f t="shared" si="244"/>
        <v>43.42302558916434</v>
      </c>
      <c r="BS424" s="836">
        <f t="shared" si="245"/>
        <v>62.5</v>
      </c>
      <c r="BT424" s="837" t="str">
        <f t="shared" si="246"/>
        <v>P1</v>
      </c>
      <c r="BU424" s="807" t="str">
        <f t="shared" si="255"/>
        <v>Al tope</v>
      </c>
      <c r="BV424" s="807" t="str">
        <f t="shared" si="247"/>
        <v>Zona atractiva</v>
      </c>
      <c r="BW424" s="808" t="str">
        <f t="shared" si="248"/>
        <v>P1 - Ampliar cobertura</v>
      </c>
    </row>
    <row r="425" spans="1:75">
      <c r="A425" s="780" t="str">
        <f>'Base de datos Rutas'!A423</f>
        <v>Occidente</v>
      </c>
      <c r="B425" s="781" t="str">
        <f>'Base de datos Rutas'!B423</f>
        <v>Zapopan</v>
      </c>
      <c r="C425" s="781" t="str">
        <f>'Base de datos Rutas'!C423</f>
        <v>Suc. Belenes</v>
      </c>
      <c r="D425" s="782">
        <f>IF(ISNUMBER('Base de datos Rutas'!D423),'Base de datos Rutas'!D423,"Sin código")</f>
        <v>820341</v>
      </c>
      <c r="E425" s="783" t="str">
        <f>'Base de datos Rutas'!F423</f>
        <v>Activa</v>
      </c>
      <c r="F425" s="784" t="str">
        <f>'Base de datos Rutas'!H423</f>
        <v>Sí</v>
      </c>
      <c r="G425" s="785">
        <f>IF(ISNUMBER('Base de datos Rutas'!BE423),'Base de datos Rutas'!BE423,"")</f>
        <v>174.08715596330299</v>
      </c>
      <c r="H425" s="786">
        <f>IF(ISNUMBER('Base de datos Rutas'!BH423),'Base de datos Rutas'!BH423,"")</f>
        <v>0.45245184580116499</v>
      </c>
      <c r="I425" s="788">
        <f>IFERROR(IF(OR(NOT(ISNUMBER('Base de datos Rutas'!O423)),N('Base de datos Rutas'!BK423)=0),"",'Base de datos Rutas'!O423/('Base de datos Rutas'!L423/'Base de datos Rutas'!BK423)),"")</f>
        <v>4529.9954128440359</v>
      </c>
      <c r="J425" s="788">
        <f>IFERROR(IF(OR(NOT(ISNUMBER('Base de datos Rutas'!N423)),N('Base de datos Rutas'!BK423)=0),"",'Base de datos Rutas'!N423/('Base de datos Rutas'!L423/'Base de datos Rutas'!BK423)),"")</f>
        <v>10958.651376146787</v>
      </c>
      <c r="K425" s="788">
        <f>IFERROR(IF(OR(NOT(ISNUMBER('Base de datos Rutas'!J423)),N('Base de datos Rutas'!BK423)=0),"",'Base de datos Rutas'!J423/('Base de datos Rutas'!L423/'Base de datos Rutas'!BK423)),"")</f>
        <v>747.99295045870872</v>
      </c>
      <c r="L425" s="788">
        <f>IFERROR(IF(OR(NOT(ISNUMBER('Base de datos Rutas'!K423)),N('Base de datos Rutas'!BK423)=0),"",'Base de datos Rutas'!K423/('Base de datos Rutas'!L423/'Base de datos Rutas'!BK423)),"")</f>
        <v>30.553875807339448</v>
      </c>
      <c r="M425" s="787">
        <f>IF(ISNUMBER('Base de datos Rutas'!AX423),'Base de datos Rutas'!AX423,"")</f>
        <v>196.473752547901</v>
      </c>
      <c r="N425" s="790">
        <f>IFERROR(INDEX('Hoja de apoyo v2'!B$17:B$20,MATCH($A425,'Hoja de apoyo v2'!$A$17:$A$20,0)),"")</f>
        <v>89.41621024641401</v>
      </c>
      <c r="O425" s="791">
        <f>IFERROR(INDEX('Hoja de apoyo v2'!C$17:C$20,MATCH($A425,'Hoja de apoyo v2'!$A$17:$A$20,0)),"")</f>
        <v>0.54706375874806301</v>
      </c>
      <c r="P425" s="793">
        <f>IFERROR(INDEX('Hoja de apoyo v2'!D$17:D$20,MATCH($A425,'Hoja de apoyo v2'!$A$17:$A$20,0)),"")</f>
        <v>11095.153935793827</v>
      </c>
      <c r="Q425" s="793">
        <f>IFERROR(INDEX('Hoja de apoyo v2'!E$17:E$20,MATCH($A425,'Hoja de apoyo v2'!$A$17:$A$20,0)),"")</f>
        <v>6982.3202019701848</v>
      </c>
      <c r="R425" s="793">
        <f>IFERROR(INDEX('Hoja de apoyo v2'!F$17:F$20,MATCH($A425,'Hoja de apoyo v2'!$A$17:$A$20,0)),"")</f>
        <v>448.09513474485743</v>
      </c>
      <c r="S425" s="793">
        <f>IFERROR(INDEX('Hoja de apoyo v2'!G$17:G$20,MATCH($A425,'Hoja de apoyo v2'!$A$17:$A$20,0)),"")</f>
        <v>83.406300904207839</v>
      </c>
      <c r="T425" s="792">
        <f>IFERROR(INDEX('Hoja de apoyo v2'!H$17:H$20,MATCH($A425,'Hoja de apoyo v2'!$A$17:$A$20,0)),"")</f>
        <v>378.97014028925349</v>
      </c>
      <c r="U425" s="794">
        <f t="shared" si="220"/>
        <v>1.946930601101881</v>
      </c>
      <c r="V425" s="795">
        <f t="shared" si="221"/>
        <v>0.82705505266257406</v>
      </c>
      <c r="W425" s="795">
        <f t="shared" si="222"/>
        <v>0.40828594529273893</v>
      </c>
      <c r="X425" s="843">
        <f t="shared" si="223"/>
        <v>1.569485652212657</v>
      </c>
      <c r="Y425" s="843">
        <f t="shared" si="224"/>
        <v>1.6692726442669619</v>
      </c>
      <c r="Z425" s="843">
        <f t="shared" si="225"/>
        <v>0.3663257508857824</v>
      </c>
      <c r="AA425" s="843">
        <f t="shared" si="226"/>
        <v>0.51844124816255988</v>
      </c>
      <c r="AB425" s="796">
        <f t="shared" si="227"/>
        <v>5</v>
      </c>
      <c r="AC425" s="797">
        <f t="shared" si="228"/>
        <v>3</v>
      </c>
      <c r="AD425" s="797">
        <f t="shared" si="229"/>
        <v>1</v>
      </c>
      <c r="AE425" s="842">
        <f t="shared" si="230"/>
        <v>5</v>
      </c>
      <c r="AF425" s="842">
        <f t="shared" si="231"/>
        <v>5</v>
      </c>
      <c r="AG425" s="842">
        <f t="shared" si="232"/>
        <v>1</v>
      </c>
      <c r="AH425" s="842">
        <f t="shared" si="233"/>
        <v>2</v>
      </c>
      <c r="AI425" s="826" cm="1">
        <f t="array" ref="AI425">SUMPRODUCT(--ISNUMBER($U425:$AA425),$AB$3:$AH$3)</f>
        <v>1</v>
      </c>
      <c r="AJ425" s="829">
        <f t="shared" si="234"/>
        <v>50.487052357688469</v>
      </c>
      <c r="AK425" s="827" t="str">
        <f t="shared" si="235"/>
        <v>En desarrollo</v>
      </c>
      <c r="AL425" s="784" t="str">
        <f t="shared" si="236"/>
        <v>Alta</v>
      </c>
      <c r="AM425" s="799">
        <f>IF(ISNUMBER('Base de datos Rutas'!W423),'Base de datos Rutas'!W423,"")</f>
        <v>3116.1708958203221</v>
      </c>
      <c r="AN425" s="787">
        <f>IFERROR(SUMIFS('Base de datos Rutas'!$W$6:$W$794,'Base de datos Rutas'!$C$6:$C$794,$C425)/'Base de datos Rutas'!I423,"")</f>
        <v>3116.1708958203185</v>
      </c>
      <c r="AO425" s="800">
        <f>IFERROR('Base de datos Rutas'!X423*AN425/AM425,"")</f>
        <v>0.37418782761251823</v>
      </c>
      <c r="AP425" s="800">
        <f t="shared" si="237"/>
        <v>0.62581217238748177</v>
      </c>
      <c r="AQ425" s="789">
        <f>IFERROR(INDEX('Hoja de apoyo v2'!$J$17:$J$20,MATCH($A425,'Hoja de apoyo v2'!$A$17:$A$20,0)),"")</f>
        <v>0.64320274048480885</v>
      </c>
      <c r="AR425" s="789">
        <f t="shared" si="238"/>
        <v>-1.7390568097327086E-2</v>
      </c>
      <c r="AS425" s="784" t="str">
        <f t="shared" si="239"/>
        <v>No</v>
      </c>
      <c r="AT425" s="801">
        <f>IF(ISNUMBER('Base de datos Rutas'!CK423),'Base de datos Rutas'!CK423,"")</f>
        <v>550</v>
      </c>
      <c r="AU425" s="802">
        <f>IF(ISNUMBER('Base de datos Rutas'!CL423),'Base de datos Rutas'!CL423,"")</f>
        <v>550</v>
      </c>
      <c r="AV425" s="802">
        <f>IF(ISNUMBER('Base de datos Rutas'!CM423),'Base de datos Rutas'!CM423,"")</f>
        <v>0</v>
      </c>
      <c r="AW425" s="802">
        <f>IF(ISNUMBER('Base de datos Rutas'!CN423),'Base de datos Rutas'!CN423,"")</f>
        <v>12.39</v>
      </c>
      <c r="AX425" s="802">
        <f>IF(ISNUMBER('Base de datos Rutas'!CO423),'Base de datos Rutas'!CO423,"")</f>
        <v>9.4499999999999993</v>
      </c>
      <c r="AY425" s="802">
        <f>IF(ISNUMBER('Base de datos Rutas'!CP423),'Base de datos Rutas'!CP423,"")</f>
        <v>-2.9400000000000013</v>
      </c>
      <c r="AZ425" s="802">
        <f>IF(ISNUMBER('Base de datos Rutas'!CQ423),'Base de datos Rutas'!CQ423,"")</f>
        <v>846.56</v>
      </c>
      <c r="BA425" s="802">
        <f>IF(ISNUMBER('Base de datos Rutas'!CR423),'Base de datos Rutas'!CR423,"")</f>
        <v>778.55</v>
      </c>
      <c r="BB425" s="803">
        <f>IF(ISNUMBER('Base de datos Rutas'!CS423),'Base de datos Rutas'!CS423,"")</f>
        <v>68.009999999999991</v>
      </c>
      <c r="BC425" s="804">
        <f t="shared" si="249"/>
        <v>2</v>
      </c>
      <c r="BD425" s="805" t="str">
        <f t="shared" si="250"/>
        <v>Saturada</v>
      </c>
      <c r="BE425" s="806">
        <f t="shared" si="251"/>
        <v>0.91966310716310717</v>
      </c>
      <c r="BF425" s="890">
        <f>IF(ISNUMBER('Base de datos Rutas'!CX423),'Base de datos Rutas'!CX423/100,"")</f>
        <v>0.96563380281690148</v>
      </c>
      <c r="BG425" s="891">
        <f>IF(ISNUMBER('Base de datos Rutas'!CZ423),'Base de datos Rutas'!CZ423/100,"")</f>
        <v>0.96563380281690148</v>
      </c>
      <c r="BH425" s="892">
        <f>IF(ISNUMBER('Base de datos Rutas'!DA423),'Base de datos Rutas'!DA423,"")</f>
        <v>436.94320000000005</v>
      </c>
      <c r="BI425" s="893">
        <f>IF(ISNUMBER('Base de datos Rutas'!DC423),'Base de datos Rutas'!DC423,"")</f>
        <v>22.03967323943662</v>
      </c>
      <c r="BJ425" s="805" t="str">
        <f t="shared" si="252"/>
        <v>Ruta (completo)</v>
      </c>
      <c r="BK425" s="783">
        <f t="shared" si="240"/>
        <v>5</v>
      </c>
      <c r="BL425" s="797">
        <f t="shared" si="241"/>
        <v>3</v>
      </c>
      <c r="BM425" s="797">
        <f t="shared" si="242"/>
        <v>2</v>
      </c>
      <c r="BN425" s="797">
        <f t="shared" si="243"/>
        <v>2</v>
      </c>
      <c r="BO425" s="798" cm="1">
        <f t="array" ref="BO425">SUMPRODUCT(--ISNUMBER($BF425:$BI425),$BK$3:$BN$3)</f>
        <v>1</v>
      </c>
      <c r="BP425" s="831">
        <f t="shared" si="253"/>
        <v>50</v>
      </c>
      <c r="BQ425" s="834" t="str">
        <f t="shared" si="254"/>
        <v>Alto</v>
      </c>
      <c r="BR425" s="836">
        <f t="shared" si="244"/>
        <v>62.865289268266352</v>
      </c>
      <c r="BS425" s="836">
        <f t="shared" si="245"/>
        <v>50</v>
      </c>
      <c r="BT425" s="837" t="str">
        <f t="shared" si="246"/>
        <v>P1</v>
      </c>
      <c r="BU425" s="807" t="str">
        <f t="shared" si="255"/>
        <v>Al tope</v>
      </c>
      <c r="BV425" s="807" t="str">
        <f t="shared" si="247"/>
        <v>Zona atractiva</v>
      </c>
      <c r="BW425" s="808" t="str">
        <f t="shared" si="248"/>
        <v>P1 - Ampliar cobertura</v>
      </c>
    </row>
    <row r="426" spans="1:75">
      <c r="A426" s="780" t="str">
        <f>'Base de datos Rutas'!A424</f>
        <v>Occidente</v>
      </c>
      <c r="B426" s="781" t="str">
        <f>'Base de datos Rutas'!B424</f>
        <v>Zapopan</v>
      </c>
      <c r="C426" s="781" t="str">
        <f>'Base de datos Rutas'!C424</f>
        <v>Suc. Belenes</v>
      </c>
      <c r="D426" s="782">
        <f>IF(ISNUMBER('Base de datos Rutas'!D424),'Base de datos Rutas'!D424,"Sin código")</f>
        <v>820342</v>
      </c>
      <c r="E426" s="783" t="str">
        <f>'Base de datos Rutas'!F424</f>
        <v>Activa</v>
      </c>
      <c r="F426" s="784" t="str">
        <f>'Base de datos Rutas'!H424</f>
        <v>Sí</v>
      </c>
      <c r="G426" s="785">
        <f>IF(ISNUMBER('Base de datos Rutas'!BE424),'Base de datos Rutas'!BE424,"")</f>
        <v>110.818390804598</v>
      </c>
      <c r="H426" s="786">
        <f>IF(ISNUMBER('Base de datos Rutas'!BH424),'Base de datos Rutas'!BH424,"")</f>
        <v>0.496473468033025</v>
      </c>
      <c r="I426" s="788">
        <f>IFERROR(IF(OR(NOT(ISNUMBER('Base de datos Rutas'!O424)),N('Base de datos Rutas'!BK424)=0),"",'Base de datos Rutas'!O424/('Base de datos Rutas'!L424/'Base de datos Rutas'!BK424)),"")</f>
        <v>3982.9402298850587</v>
      </c>
      <c r="J426" s="788">
        <f>IFERROR(IF(OR(NOT(ISNUMBER('Base de datos Rutas'!N424)),N('Base de datos Rutas'!BK424)=0),"",'Base de datos Rutas'!N424/('Base de datos Rutas'!L424/'Base de datos Rutas'!BK424)),"")</f>
        <v>8865.5724137931065</v>
      </c>
      <c r="K426" s="788">
        <f>IFERROR(IF(OR(NOT(ISNUMBER('Base de datos Rutas'!J424)),N('Base de datos Rutas'!BK424)=0),"",'Base de datos Rutas'!J424/('Base de datos Rutas'!L424/'Base de datos Rutas'!BK424)),"")</f>
        <v>608.64642758620482</v>
      </c>
      <c r="L426" s="788">
        <f>IFERROR(IF(OR(NOT(ISNUMBER('Base de datos Rutas'!K424)),N('Base de datos Rutas'!BK424)=0),"",'Base de datos Rutas'!K424/('Base de datos Rutas'!L424/'Base de datos Rutas'!BK424)),"")</f>
        <v>27.599486349425291</v>
      </c>
      <c r="M426" s="787">
        <f>IF(ISNUMBER('Base de datos Rutas'!AX424),'Base de datos Rutas'!AX424,"")</f>
        <v>232.998996782685</v>
      </c>
      <c r="N426" s="790">
        <f>IFERROR(INDEX('Hoja de apoyo v2'!B$17:B$20,MATCH($A426,'Hoja de apoyo v2'!$A$17:$A$20,0)),"")</f>
        <v>89.41621024641401</v>
      </c>
      <c r="O426" s="791">
        <f>IFERROR(INDEX('Hoja de apoyo v2'!C$17:C$20,MATCH($A426,'Hoja de apoyo v2'!$A$17:$A$20,0)),"")</f>
        <v>0.54706375874806301</v>
      </c>
      <c r="P426" s="793">
        <f>IFERROR(INDEX('Hoja de apoyo v2'!D$17:D$20,MATCH($A426,'Hoja de apoyo v2'!$A$17:$A$20,0)),"")</f>
        <v>11095.153935793827</v>
      </c>
      <c r="Q426" s="793">
        <f>IFERROR(INDEX('Hoja de apoyo v2'!E$17:E$20,MATCH($A426,'Hoja de apoyo v2'!$A$17:$A$20,0)),"")</f>
        <v>6982.3202019701848</v>
      </c>
      <c r="R426" s="793">
        <f>IFERROR(INDEX('Hoja de apoyo v2'!F$17:F$20,MATCH($A426,'Hoja de apoyo v2'!$A$17:$A$20,0)),"")</f>
        <v>448.09513474485743</v>
      </c>
      <c r="S426" s="793">
        <f>IFERROR(INDEX('Hoja de apoyo v2'!G$17:G$20,MATCH($A426,'Hoja de apoyo v2'!$A$17:$A$20,0)),"")</f>
        <v>83.406300904207839</v>
      </c>
      <c r="T426" s="792">
        <f>IFERROR(INDEX('Hoja de apoyo v2'!H$17:H$20,MATCH($A426,'Hoja de apoyo v2'!$A$17:$A$20,0)),"")</f>
        <v>378.97014028925349</v>
      </c>
      <c r="U426" s="794">
        <f t="shared" si="220"/>
        <v>1.2393545924078382</v>
      </c>
      <c r="V426" s="795">
        <f t="shared" si="221"/>
        <v>0.90752395875973912</v>
      </c>
      <c r="W426" s="795">
        <f t="shared" si="222"/>
        <v>0.3589801685432939</v>
      </c>
      <c r="X426" s="843">
        <f t="shared" si="223"/>
        <v>1.2697172511927379</v>
      </c>
      <c r="Y426" s="843">
        <f t="shared" si="224"/>
        <v>1.3582973355262256</v>
      </c>
      <c r="Z426" s="843">
        <f t="shared" si="225"/>
        <v>0.33090409297881834</v>
      </c>
      <c r="AA426" s="843">
        <f t="shared" si="226"/>
        <v>0.61482151761309145</v>
      </c>
      <c r="AB426" s="796">
        <f t="shared" si="227"/>
        <v>4</v>
      </c>
      <c r="AC426" s="797">
        <f t="shared" si="228"/>
        <v>3</v>
      </c>
      <c r="AD426" s="797">
        <f t="shared" si="229"/>
        <v>1</v>
      </c>
      <c r="AE426" s="842">
        <f t="shared" si="230"/>
        <v>5</v>
      </c>
      <c r="AF426" s="842">
        <f t="shared" si="231"/>
        <v>5</v>
      </c>
      <c r="AG426" s="842">
        <f t="shared" si="232"/>
        <v>1</v>
      </c>
      <c r="AH426" s="842">
        <f t="shared" si="233"/>
        <v>2</v>
      </c>
      <c r="AI426" s="826" cm="1">
        <f t="array" ref="AI426">SUMPRODUCT(--ISNUMBER($U426:$AA426),$AB$3:$AH$3)</f>
        <v>1</v>
      </c>
      <c r="AJ426" s="829">
        <f t="shared" si="234"/>
        <v>45.953416179551709</v>
      </c>
      <c r="AK426" s="827" t="str">
        <f t="shared" si="235"/>
        <v>En desarrollo</v>
      </c>
      <c r="AL426" s="784" t="str">
        <f t="shared" si="236"/>
        <v>Alta</v>
      </c>
      <c r="AM426" s="799">
        <f>IF(ISNUMBER('Base de datos Rutas'!W424),'Base de datos Rutas'!W424,"")</f>
        <v>3116.1708958203221</v>
      </c>
      <c r="AN426" s="787">
        <f>IFERROR(SUMIFS('Base de datos Rutas'!$W$6:$W$794,'Base de datos Rutas'!$C$6:$C$794,$C426)/'Base de datos Rutas'!I424,"")</f>
        <v>3116.1708958203185</v>
      </c>
      <c r="AO426" s="800">
        <f>IFERROR('Base de datos Rutas'!X424*AN426/AM426,"")</f>
        <v>0.37418782761251823</v>
      </c>
      <c r="AP426" s="800">
        <f t="shared" si="237"/>
        <v>0.62581217238748177</v>
      </c>
      <c r="AQ426" s="789">
        <f>IFERROR(INDEX('Hoja de apoyo v2'!$J$17:$J$20,MATCH($A426,'Hoja de apoyo v2'!$A$17:$A$20,0)),"")</f>
        <v>0.64320274048480885</v>
      </c>
      <c r="AR426" s="789">
        <f t="shared" si="238"/>
        <v>-1.7390568097327086E-2</v>
      </c>
      <c r="AS426" s="784" t="str">
        <f t="shared" si="239"/>
        <v>No</v>
      </c>
      <c r="AT426" s="801">
        <f>IF(ISNUMBER('Base de datos Rutas'!CK424),'Base de datos Rutas'!CK424,"")</f>
        <v>345</v>
      </c>
      <c r="AU426" s="802">
        <f>IF(ISNUMBER('Base de datos Rutas'!CL424),'Base de datos Rutas'!CL424,"")</f>
        <v>406.57</v>
      </c>
      <c r="AV426" s="802">
        <f>IF(ISNUMBER('Base de datos Rutas'!CM424),'Base de datos Rutas'!CM424,"")</f>
        <v>61.569999999999993</v>
      </c>
      <c r="AW426" s="802">
        <f>IF(ISNUMBER('Base de datos Rutas'!CN424),'Base de datos Rutas'!CN424,"")</f>
        <v>8.15</v>
      </c>
      <c r="AX426" s="802">
        <f>IF(ISNUMBER('Base de datos Rutas'!CO424),'Base de datos Rutas'!CO424,"")</f>
        <v>9.4499999999999993</v>
      </c>
      <c r="AY426" s="802">
        <f>IF(ISNUMBER('Base de datos Rutas'!CP424),'Base de datos Rutas'!CP424,"")</f>
        <v>1.2999999999999989</v>
      </c>
      <c r="AZ426" s="802">
        <f>IF(ISNUMBER('Base de datos Rutas'!CQ424),'Base de datos Rutas'!CQ424,"")</f>
        <v>846.56</v>
      </c>
      <c r="BA426" s="802">
        <f>IF(ISNUMBER('Base de datos Rutas'!CR424),'Base de datos Rutas'!CR424,"")</f>
        <v>636.25</v>
      </c>
      <c r="BB426" s="803">
        <f>IF(ISNUMBER('Base de datos Rutas'!CS424),'Base de datos Rutas'!CS424,"")</f>
        <v>210.30999999999995</v>
      </c>
      <c r="BC426" s="804">
        <f t="shared" si="249"/>
        <v>0</v>
      </c>
      <c r="BD426" s="805" t="str">
        <f t="shared" si="250"/>
        <v>No saturada</v>
      </c>
      <c r="BE426" s="806">
        <f t="shared" si="251"/>
        <v>0.75157106407106411</v>
      </c>
      <c r="BF426" s="890">
        <f>IF(ISNUMBER('Base de datos Rutas'!CX424),'Base de datos Rutas'!CX424/100,"")</f>
        <v>0.92101028433151844</v>
      </c>
      <c r="BG426" s="891">
        <f>IF(ISNUMBER('Base de datos Rutas'!CZ424),'Base de datos Rutas'!CZ424/100,"")</f>
        <v>0.95825771324863884</v>
      </c>
      <c r="BH426" s="892">
        <f>IF(ISNUMBER('Base de datos Rutas'!DA424),'Base de datos Rutas'!DA424,"")</f>
        <v>330.28918620995358</v>
      </c>
      <c r="BI426" s="893">
        <f>IF(ISNUMBER('Base de datos Rutas'!DC424),'Base de datos Rutas'!DC424,"")</f>
        <v>15.237301480837761</v>
      </c>
      <c r="BJ426" s="805" t="str">
        <f t="shared" si="252"/>
        <v>Ruta (completo)</v>
      </c>
      <c r="BK426" s="783">
        <f t="shared" si="240"/>
        <v>4</v>
      </c>
      <c r="BL426" s="797">
        <f t="shared" si="241"/>
        <v>3</v>
      </c>
      <c r="BM426" s="797">
        <f t="shared" si="242"/>
        <v>1</v>
      </c>
      <c r="BN426" s="797">
        <f t="shared" si="243"/>
        <v>1</v>
      </c>
      <c r="BO426" s="798" cm="1">
        <f t="array" ref="BO426">SUMPRODUCT(--ISNUMBER($BF426:$BI426),$BK$3:$BN$3)</f>
        <v>1</v>
      </c>
      <c r="BP426" s="831">
        <f t="shared" si="253"/>
        <v>31.25</v>
      </c>
      <c r="BQ426" s="834" t="str">
        <f t="shared" si="254"/>
        <v>Medio</v>
      </c>
      <c r="BR426" s="836">
        <f t="shared" si="244"/>
        <v>34.465062134663782</v>
      </c>
      <c r="BS426" s="836">
        <f t="shared" si="245"/>
        <v>31.25</v>
      </c>
      <c r="BT426" s="837" t="str">
        <f t="shared" si="246"/>
        <v>P2</v>
      </c>
      <c r="BU426" s="807" t="str">
        <f t="shared" si="255"/>
        <v>Con espacio</v>
      </c>
      <c r="BV426" s="807" t="str">
        <f t="shared" si="247"/>
        <v>Zona de bajo potencial</v>
      </c>
      <c r="BW426" s="808" t="str">
        <f t="shared" si="248"/>
        <v>P2 - Mantener</v>
      </c>
    </row>
    <row r="427" spans="1:75">
      <c r="A427" s="780" t="str">
        <f>'Base de datos Rutas'!A425</f>
        <v>Occidente</v>
      </c>
      <c r="B427" s="781" t="str">
        <f>'Base de datos Rutas'!B425</f>
        <v>Zapopan</v>
      </c>
      <c r="C427" s="781" t="str">
        <f>'Base de datos Rutas'!C425</f>
        <v>Suc. Belenes</v>
      </c>
      <c r="D427" s="782">
        <f>IF(ISNUMBER('Base de datos Rutas'!D425),'Base de datos Rutas'!D425,"Sin código")</f>
        <v>820343</v>
      </c>
      <c r="E427" s="783" t="str">
        <f>'Base de datos Rutas'!F425</f>
        <v>Activa</v>
      </c>
      <c r="F427" s="784" t="str">
        <f>'Base de datos Rutas'!H425</f>
        <v>Sí</v>
      </c>
      <c r="G427" s="785">
        <f>IF(ISNUMBER('Base de datos Rutas'!BE425),'Base de datos Rutas'!BE425,"")</f>
        <v>101.066513761468</v>
      </c>
      <c r="H427" s="786">
        <f>IF(ISNUMBER('Base de datos Rutas'!BH425),'Base de datos Rutas'!BH425,"")</f>
        <v>0.45582661976625399</v>
      </c>
      <c r="I427" s="788">
        <f>IFERROR(IF(OR(NOT(ISNUMBER('Base de datos Rutas'!O425)),N('Base de datos Rutas'!BK425)=0),"",'Base de datos Rutas'!O425/('Base de datos Rutas'!L425/'Base de datos Rutas'!BK425)),"")</f>
        <v>3304.3302752293562</v>
      </c>
      <c r="J427" s="788">
        <f>IFERROR(IF(OR(NOT(ISNUMBER('Base de datos Rutas'!N425)),N('Base de datos Rutas'!BK425)=0),"",'Base de datos Rutas'!N425/('Base de datos Rutas'!L425/'Base de datos Rutas'!BK425)),"")</f>
        <v>5990.3692660550423</v>
      </c>
      <c r="K427" s="788">
        <f>IFERROR(IF(OR(NOT(ISNUMBER('Base de datos Rutas'!J425)),N('Base de datos Rutas'!BK425)=0),"",'Base de datos Rutas'!J425/('Base de datos Rutas'!L425/'Base de datos Rutas'!BK425)),"")</f>
        <v>414.43136513761442</v>
      </c>
      <c r="L427" s="788">
        <f>IFERROR(IF(OR(NOT(ISNUMBER('Base de datos Rutas'!K425)),N('Base de datos Rutas'!BK425)=0),"",'Base de datos Rutas'!K425/('Base de datos Rutas'!L425/'Base de datos Rutas'!BK425)),"")</f>
        <v>22.417184089449528</v>
      </c>
      <c r="M427" s="787">
        <f>IF(ISNUMBER('Base de datos Rutas'!AX425),'Base de datos Rutas'!AX425,"")</f>
        <v>201.75714427959801</v>
      </c>
      <c r="N427" s="790">
        <f>IFERROR(INDEX('Hoja de apoyo v2'!B$17:B$20,MATCH($A427,'Hoja de apoyo v2'!$A$17:$A$20,0)),"")</f>
        <v>89.41621024641401</v>
      </c>
      <c r="O427" s="791">
        <f>IFERROR(INDEX('Hoja de apoyo v2'!C$17:C$20,MATCH($A427,'Hoja de apoyo v2'!$A$17:$A$20,0)),"")</f>
        <v>0.54706375874806301</v>
      </c>
      <c r="P427" s="793">
        <f>IFERROR(INDEX('Hoja de apoyo v2'!D$17:D$20,MATCH($A427,'Hoja de apoyo v2'!$A$17:$A$20,0)),"")</f>
        <v>11095.153935793827</v>
      </c>
      <c r="Q427" s="793">
        <f>IFERROR(INDEX('Hoja de apoyo v2'!E$17:E$20,MATCH($A427,'Hoja de apoyo v2'!$A$17:$A$20,0)),"")</f>
        <v>6982.3202019701848</v>
      </c>
      <c r="R427" s="793">
        <f>IFERROR(INDEX('Hoja de apoyo v2'!F$17:F$20,MATCH($A427,'Hoja de apoyo v2'!$A$17:$A$20,0)),"")</f>
        <v>448.09513474485743</v>
      </c>
      <c r="S427" s="793">
        <f>IFERROR(INDEX('Hoja de apoyo v2'!G$17:G$20,MATCH($A427,'Hoja de apoyo v2'!$A$17:$A$20,0)),"")</f>
        <v>83.406300904207839</v>
      </c>
      <c r="T427" s="792">
        <f>IFERROR(INDEX('Hoja de apoyo v2'!H$17:H$20,MATCH($A427,'Hoja de apoyo v2'!$A$17:$A$20,0)),"")</f>
        <v>378.97014028925349</v>
      </c>
      <c r="U427" s="794">
        <f t="shared" si="220"/>
        <v>1.1302929690595025</v>
      </c>
      <c r="V427" s="795">
        <f t="shared" si="221"/>
        <v>0.83322393866740119</v>
      </c>
      <c r="W427" s="795">
        <f t="shared" si="222"/>
        <v>0.29781743402129196</v>
      </c>
      <c r="X427" s="843">
        <f t="shared" si="223"/>
        <v>0.85793390918462231</v>
      </c>
      <c r="Y427" s="843">
        <f t="shared" si="224"/>
        <v>0.92487361054162986</v>
      </c>
      <c r="Z427" s="843">
        <f t="shared" si="225"/>
        <v>0.26877087038299025</v>
      </c>
      <c r="AA427" s="843">
        <f t="shared" si="226"/>
        <v>0.53238269412361738</v>
      </c>
      <c r="AB427" s="796">
        <f t="shared" si="227"/>
        <v>4</v>
      </c>
      <c r="AC427" s="797">
        <f t="shared" si="228"/>
        <v>3</v>
      </c>
      <c r="AD427" s="797">
        <f t="shared" si="229"/>
        <v>1</v>
      </c>
      <c r="AE427" s="842">
        <f t="shared" si="230"/>
        <v>3</v>
      </c>
      <c r="AF427" s="842">
        <f t="shared" si="231"/>
        <v>3</v>
      </c>
      <c r="AG427" s="842">
        <f t="shared" si="232"/>
        <v>1</v>
      </c>
      <c r="AH427" s="842">
        <f t="shared" si="233"/>
        <v>2</v>
      </c>
      <c r="AI427" s="826" cm="1">
        <f t="array" ref="AI427">SUMPRODUCT(--ISNUMBER($U427:$AA427),$AB$3:$AH$3)</f>
        <v>1</v>
      </c>
      <c r="AJ427" s="829">
        <f t="shared" si="234"/>
        <v>33.282431863034759</v>
      </c>
      <c r="AK427" s="827" t="str">
        <f t="shared" si="235"/>
        <v>Inmadura</v>
      </c>
      <c r="AL427" s="784" t="str">
        <f t="shared" si="236"/>
        <v>Alta</v>
      </c>
      <c r="AM427" s="799">
        <f>IF(ISNUMBER('Base de datos Rutas'!W425),'Base de datos Rutas'!W425,"")</f>
        <v>3116.1708958203221</v>
      </c>
      <c r="AN427" s="787">
        <f>IFERROR(SUMIFS('Base de datos Rutas'!$W$6:$W$794,'Base de datos Rutas'!$C$6:$C$794,$C427)/'Base de datos Rutas'!I425,"")</f>
        <v>3116.1708958203185</v>
      </c>
      <c r="AO427" s="800">
        <f>IFERROR('Base de datos Rutas'!X425*AN427/AM427,"")</f>
        <v>0.37418782761251823</v>
      </c>
      <c r="AP427" s="800">
        <f t="shared" si="237"/>
        <v>0.62581217238748177</v>
      </c>
      <c r="AQ427" s="789">
        <f>IFERROR(INDEX('Hoja de apoyo v2'!$J$17:$J$20,MATCH($A427,'Hoja de apoyo v2'!$A$17:$A$20,0)),"")</f>
        <v>0.64320274048480885</v>
      </c>
      <c r="AR427" s="789">
        <f t="shared" si="238"/>
        <v>-1.7390568097327086E-2</v>
      </c>
      <c r="AS427" s="784" t="str">
        <f t="shared" si="239"/>
        <v>No</v>
      </c>
      <c r="AT427" s="801">
        <f>IF(ISNUMBER('Base de datos Rutas'!CK425),'Base de datos Rutas'!CK425,"")</f>
        <v>424</v>
      </c>
      <c r="AU427" s="802">
        <f>IF(ISNUMBER('Base de datos Rutas'!CL425),'Base de datos Rutas'!CL425,"")</f>
        <v>619.91999999999996</v>
      </c>
      <c r="AV427" s="802">
        <f>IF(ISNUMBER('Base de datos Rutas'!CM425),'Base de datos Rutas'!CM425,"")</f>
        <v>195.91999999999996</v>
      </c>
      <c r="AW427" s="802">
        <f>IF(ISNUMBER('Base de datos Rutas'!CN425),'Base de datos Rutas'!CN425,"")</f>
        <v>11.17</v>
      </c>
      <c r="AX427" s="802">
        <f>IF(ISNUMBER('Base de datos Rutas'!CO425),'Base de datos Rutas'!CO425,"")</f>
        <v>9.4499999999999993</v>
      </c>
      <c r="AY427" s="802">
        <f>IF(ISNUMBER('Base de datos Rutas'!CP425),'Base de datos Rutas'!CP425,"")</f>
        <v>-1.7200000000000006</v>
      </c>
      <c r="AZ427" s="802">
        <f>IF(ISNUMBER('Base de datos Rutas'!CQ425),'Base de datos Rutas'!CQ425,"")</f>
        <v>846.56</v>
      </c>
      <c r="BA427" s="802">
        <f>IF(ISNUMBER('Base de datos Rutas'!CR425),'Base de datos Rutas'!CR425,"")</f>
        <v>436.85</v>
      </c>
      <c r="BB427" s="803">
        <f>IF(ISNUMBER('Base de datos Rutas'!CS425),'Base de datos Rutas'!CS425,"")</f>
        <v>409.70999999999992</v>
      </c>
      <c r="BC427" s="804">
        <f t="shared" si="249"/>
        <v>1</v>
      </c>
      <c r="BD427" s="805" t="str">
        <f t="shared" si="250"/>
        <v>Saturada</v>
      </c>
      <c r="BE427" s="806">
        <f t="shared" si="251"/>
        <v>0.51602957852957854</v>
      </c>
      <c r="BF427" s="890">
        <f>IF(ISNUMBER('Base de datos Rutas'!CX425),'Base de datos Rutas'!CX425/100,"")</f>
        <v>0.91591416309012874</v>
      </c>
      <c r="BG427" s="891">
        <f>IF(ISNUMBER('Base de datos Rutas'!CZ425),'Base de datos Rutas'!CZ425/100,"")</f>
        <v>1</v>
      </c>
      <c r="BH427" s="892">
        <f>IF(ISNUMBER('Base de datos Rutas'!DA425),'Base de datos Rutas'!DA425,"")</f>
        <v>1356.3275479825172</v>
      </c>
      <c r="BI427" s="893">
        <f>IF(ISNUMBER('Base de datos Rutas'!DC425),'Base de datos Rutas'!DC425,"")</f>
        <v>63.501072876417304</v>
      </c>
      <c r="BJ427" s="805" t="str">
        <f t="shared" si="252"/>
        <v>Ruta (completo)</v>
      </c>
      <c r="BK427" s="783">
        <f t="shared" si="240"/>
        <v>4</v>
      </c>
      <c r="BL427" s="797">
        <f t="shared" si="241"/>
        <v>4</v>
      </c>
      <c r="BM427" s="797">
        <f t="shared" si="242"/>
        <v>5</v>
      </c>
      <c r="BN427" s="797">
        <f t="shared" si="243"/>
        <v>5</v>
      </c>
      <c r="BO427" s="798" cm="1">
        <f t="array" ref="BO427">SUMPRODUCT(--ISNUMBER($BF427:$BI427),$BK$3:$BN$3)</f>
        <v>1</v>
      </c>
      <c r="BP427" s="831">
        <f t="shared" si="253"/>
        <v>87.5</v>
      </c>
      <c r="BQ427" s="834" t="str">
        <f t="shared" si="254"/>
        <v>Alto</v>
      </c>
      <c r="BR427" s="836">
        <f t="shared" si="244"/>
        <v>49.961823897276069</v>
      </c>
      <c r="BS427" s="836">
        <f t="shared" si="245"/>
        <v>87.5</v>
      </c>
      <c r="BT427" s="837" t="str">
        <f t="shared" si="246"/>
        <v>P1</v>
      </c>
      <c r="BU427" s="807" t="str">
        <f t="shared" si="255"/>
        <v>Al tope</v>
      </c>
      <c r="BV427" s="807" t="str">
        <f t="shared" si="247"/>
        <v>Zona atractiva</v>
      </c>
      <c r="BW427" s="808" t="str">
        <f t="shared" si="248"/>
        <v>P1 - Ampliar cobertura</v>
      </c>
    </row>
    <row r="428" spans="1:75">
      <c r="A428" s="780" t="str">
        <f>'Base de datos Rutas'!A426</f>
        <v>Occidente</v>
      </c>
      <c r="B428" s="781" t="str">
        <f>'Base de datos Rutas'!B426</f>
        <v>Zapopan</v>
      </c>
      <c r="C428" s="781" t="str">
        <f>'Base de datos Rutas'!C426</f>
        <v>Suc. Belenes</v>
      </c>
      <c r="D428" s="782">
        <f>IF(ISNUMBER('Base de datos Rutas'!D426),'Base de datos Rutas'!D426,"Sin código")</f>
        <v>820344</v>
      </c>
      <c r="E428" s="783" t="str">
        <f>'Base de datos Rutas'!F426</f>
        <v>Activa</v>
      </c>
      <c r="F428" s="784" t="str">
        <f>'Base de datos Rutas'!H426</f>
        <v>Sí</v>
      </c>
      <c r="G428" s="785">
        <f>IF(ISNUMBER('Base de datos Rutas'!BE426),'Base de datos Rutas'!BE426,"")</f>
        <v>92.599537037036995</v>
      </c>
      <c r="H428" s="786">
        <f>IF(ISNUMBER('Base de datos Rutas'!BH426),'Base de datos Rutas'!BH426,"")</f>
        <v>0.48876334274929401</v>
      </c>
      <c r="I428" s="788">
        <f>IFERROR(IF(OR(NOT(ISNUMBER('Base de datos Rutas'!O426)),N('Base de datos Rutas'!BK426)=0),"",'Base de datos Rutas'!O426/('Base de datos Rutas'!L426/'Base de datos Rutas'!BK426)),"")</f>
        <v>6213.7430555555411</v>
      </c>
      <c r="J428" s="788">
        <f>IFERROR(IF(OR(NOT(ISNUMBER('Base de datos Rutas'!N426)),N('Base de datos Rutas'!BK426)=0),"",'Base de datos Rutas'!N426/('Base de datos Rutas'!L426/'Base de datos Rutas'!BK426)),"")</f>
        <v>7615.6041666666488</v>
      </c>
      <c r="K428" s="788">
        <f>IFERROR(IF(OR(NOT(ISNUMBER('Base de datos Rutas'!J426)),N('Base de datos Rutas'!BK426)=0),"",'Base de datos Rutas'!J426/('Base de datos Rutas'!L426/'Base de datos Rutas'!BK426)),"")</f>
        <v>522.03272592592236</v>
      </c>
      <c r="L428" s="788">
        <f>IFERROR(IF(OR(NOT(ISNUMBER('Base de datos Rutas'!K426)),N('Base de datos Rutas'!BK426)=0),"",'Base de datos Rutas'!K426/('Base de datos Rutas'!L426/'Base de datos Rutas'!BK426)),"")</f>
        <v>35.931464958333251</v>
      </c>
      <c r="M428" s="787">
        <f>IF(ISNUMBER('Base de datos Rutas'!AX426),'Base de datos Rutas'!AX426,"")</f>
        <v>305.55827434533597</v>
      </c>
      <c r="N428" s="790">
        <f>IFERROR(INDEX('Hoja de apoyo v2'!B$17:B$20,MATCH($A428,'Hoja de apoyo v2'!$A$17:$A$20,0)),"")</f>
        <v>89.41621024641401</v>
      </c>
      <c r="O428" s="791">
        <f>IFERROR(INDEX('Hoja de apoyo v2'!C$17:C$20,MATCH($A428,'Hoja de apoyo v2'!$A$17:$A$20,0)),"")</f>
        <v>0.54706375874806301</v>
      </c>
      <c r="P428" s="793">
        <f>IFERROR(INDEX('Hoja de apoyo v2'!D$17:D$20,MATCH($A428,'Hoja de apoyo v2'!$A$17:$A$20,0)),"")</f>
        <v>11095.153935793827</v>
      </c>
      <c r="Q428" s="793">
        <f>IFERROR(INDEX('Hoja de apoyo v2'!E$17:E$20,MATCH($A428,'Hoja de apoyo v2'!$A$17:$A$20,0)),"")</f>
        <v>6982.3202019701848</v>
      </c>
      <c r="R428" s="793">
        <f>IFERROR(INDEX('Hoja de apoyo v2'!F$17:F$20,MATCH($A428,'Hoja de apoyo v2'!$A$17:$A$20,0)),"")</f>
        <v>448.09513474485743</v>
      </c>
      <c r="S428" s="793">
        <f>IFERROR(INDEX('Hoja de apoyo v2'!G$17:G$20,MATCH($A428,'Hoja de apoyo v2'!$A$17:$A$20,0)),"")</f>
        <v>83.406300904207839</v>
      </c>
      <c r="T428" s="792">
        <f>IFERROR(INDEX('Hoja de apoyo v2'!H$17:H$20,MATCH($A428,'Hoja de apoyo v2'!$A$17:$A$20,0)),"")</f>
        <v>378.97014028925349</v>
      </c>
      <c r="U428" s="794">
        <f t="shared" si="220"/>
        <v>1.0356012269123276</v>
      </c>
      <c r="V428" s="795">
        <f t="shared" si="221"/>
        <v>0.89343030850336802</v>
      </c>
      <c r="W428" s="795">
        <f t="shared" si="222"/>
        <v>0.56004117577039869</v>
      </c>
      <c r="X428" s="843">
        <f t="shared" si="223"/>
        <v>1.0906982129690603</v>
      </c>
      <c r="Y428" s="843">
        <f t="shared" si="224"/>
        <v>1.1650042266653142</v>
      </c>
      <c r="Z428" s="843">
        <f t="shared" si="225"/>
        <v>0.43080036602511063</v>
      </c>
      <c r="AA428" s="843">
        <f t="shared" si="226"/>
        <v>0.80628588339998231</v>
      </c>
      <c r="AB428" s="796">
        <f t="shared" si="227"/>
        <v>4</v>
      </c>
      <c r="AC428" s="797">
        <f t="shared" si="228"/>
        <v>3</v>
      </c>
      <c r="AD428" s="797">
        <f t="shared" si="229"/>
        <v>2</v>
      </c>
      <c r="AE428" s="842">
        <f t="shared" si="230"/>
        <v>4</v>
      </c>
      <c r="AF428" s="842">
        <f t="shared" si="231"/>
        <v>4</v>
      </c>
      <c r="AG428" s="842">
        <f t="shared" si="232"/>
        <v>1</v>
      </c>
      <c r="AH428" s="842">
        <f t="shared" si="233"/>
        <v>3</v>
      </c>
      <c r="AI428" s="826" cm="1">
        <f t="array" ref="AI428">SUMPRODUCT(--ISNUMBER($U428:$AA428),$AB$3:$AH$3)</f>
        <v>1</v>
      </c>
      <c r="AJ428" s="829">
        <f t="shared" si="234"/>
        <v>46.976823330947838</v>
      </c>
      <c r="AK428" s="827" t="str">
        <f t="shared" si="235"/>
        <v>En desarrollo</v>
      </c>
      <c r="AL428" s="784" t="str">
        <f t="shared" si="236"/>
        <v>Alta</v>
      </c>
      <c r="AM428" s="799">
        <f>IF(ISNUMBER('Base de datos Rutas'!W426),'Base de datos Rutas'!W426,"")</f>
        <v>3116.1708958203221</v>
      </c>
      <c r="AN428" s="787">
        <f>IFERROR(SUMIFS('Base de datos Rutas'!$W$6:$W$794,'Base de datos Rutas'!$C$6:$C$794,$C428)/'Base de datos Rutas'!I426,"")</f>
        <v>3116.1708958203185</v>
      </c>
      <c r="AO428" s="800">
        <f>IFERROR('Base de datos Rutas'!X426*AN428/AM428,"")</f>
        <v>0.37418782761251823</v>
      </c>
      <c r="AP428" s="800">
        <f t="shared" si="237"/>
        <v>0.62581217238748177</v>
      </c>
      <c r="AQ428" s="789">
        <f>IFERROR(INDEX('Hoja de apoyo v2'!$J$17:$J$20,MATCH($A428,'Hoja de apoyo v2'!$A$17:$A$20,0)),"")</f>
        <v>0.64320274048480885</v>
      </c>
      <c r="AR428" s="789">
        <f t="shared" si="238"/>
        <v>-1.7390568097327086E-2</v>
      </c>
      <c r="AS428" s="784" t="str">
        <f t="shared" si="239"/>
        <v>No</v>
      </c>
      <c r="AT428" s="801">
        <f>IF(ISNUMBER('Base de datos Rutas'!CK426),'Base de datos Rutas'!CK426,"")</f>
        <v>445</v>
      </c>
      <c r="AU428" s="802">
        <f>IF(ISNUMBER('Base de datos Rutas'!CL426),'Base de datos Rutas'!CL426,"")</f>
        <v>461.06</v>
      </c>
      <c r="AV428" s="802">
        <f>IF(ISNUMBER('Base de datos Rutas'!CM426),'Base de datos Rutas'!CM426,"")</f>
        <v>16.060000000000002</v>
      </c>
      <c r="AW428" s="802">
        <f>IF(ISNUMBER('Base de datos Rutas'!CN426),'Base de datos Rutas'!CN426,"")</f>
        <v>10.35</v>
      </c>
      <c r="AX428" s="802">
        <f>IF(ISNUMBER('Base de datos Rutas'!CO426),'Base de datos Rutas'!CO426,"")</f>
        <v>9.4499999999999993</v>
      </c>
      <c r="AY428" s="802">
        <f>IF(ISNUMBER('Base de datos Rutas'!CP426),'Base de datos Rutas'!CP426,"")</f>
        <v>-0.90000000000000036</v>
      </c>
      <c r="AZ428" s="802">
        <f>IF(ISNUMBER('Base de datos Rutas'!CQ426),'Base de datos Rutas'!CQ426,"")</f>
        <v>846.56</v>
      </c>
      <c r="BA428" s="802">
        <f>IF(ISNUMBER('Base de datos Rutas'!CR426),'Base de datos Rutas'!CR426,"")</f>
        <v>557.96</v>
      </c>
      <c r="BB428" s="803">
        <f>IF(ISNUMBER('Base de datos Rutas'!CS426),'Base de datos Rutas'!CS426,"")</f>
        <v>288.59999999999991</v>
      </c>
      <c r="BC428" s="804">
        <f t="shared" si="249"/>
        <v>1</v>
      </c>
      <c r="BD428" s="805" t="str">
        <f t="shared" si="250"/>
        <v>Saturada</v>
      </c>
      <c r="BE428" s="806">
        <f t="shared" si="251"/>
        <v>0.65909090909090917</v>
      </c>
      <c r="BF428" s="890">
        <f>IF(ISNUMBER('Base de datos Rutas'!CX426),'Base de datos Rutas'!CX426/100,"")</f>
        <v>0.98132558139534898</v>
      </c>
      <c r="BG428" s="891">
        <f>IF(ISNUMBER('Base de datos Rutas'!CZ426),'Base de datos Rutas'!CZ426/100,"")</f>
        <v>1</v>
      </c>
      <c r="BH428" s="892">
        <f>IF(ISNUMBER('Base de datos Rutas'!DA426),'Base de datos Rutas'!DA426,"")</f>
        <v>1566.3235965573135</v>
      </c>
      <c r="BI428" s="893">
        <f>IF(ISNUMBER('Base de datos Rutas'!DC426),'Base de datos Rutas'!DC426,"")</f>
        <v>64.268223637650394</v>
      </c>
      <c r="BJ428" s="805" t="str">
        <f t="shared" si="252"/>
        <v>Ruta (completo)</v>
      </c>
      <c r="BK428" s="783">
        <f t="shared" si="240"/>
        <v>5</v>
      </c>
      <c r="BL428" s="797">
        <f t="shared" si="241"/>
        <v>4</v>
      </c>
      <c r="BM428" s="797">
        <f t="shared" si="242"/>
        <v>5</v>
      </c>
      <c r="BN428" s="797">
        <f t="shared" si="243"/>
        <v>5</v>
      </c>
      <c r="BO428" s="798" cm="1">
        <f t="array" ref="BO428">SUMPRODUCT(--ISNUMBER($BF428:$BI428),$BK$3:$BN$3)</f>
        <v>1</v>
      </c>
      <c r="BP428" s="831">
        <f t="shared" si="253"/>
        <v>93.75</v>
      </c>
      <c r="BQ428" s="834" t="str">
        <f t="shared" si="254"/>
        <v>Alto</v>
      </c>
      <c r="BR428" s="836">
        <f t="shared" si="244"/>
        <v>60.232617498210878</v>
      </c>
      <c r="BS428" s="836">
        <f t="shared" si="245"/>
        <v>93.75</v>
      </c>
      <c r="BT428" s="837" t="str">
        <f t="shared" si="246"/>
        <v>P1</v>
      </c>
      <c r="BU428" s="807" t="str">
        <f t="shared" si="255"/>
        <v>Al tope</v>
      </c>
      <c r="BV428" s="807" t="str">
        <f t="shared" si="247"/>
        <v>Zona atractiva</v>
      </c>
      <c r="BW428" s="808" t="str">
        <f t="shared" si="248"/>
        <v>P1 - Ampliar cobertura</v>
      </c>
    </row>
    <row r="429" spans="1:75">
      <c r="A429" s="780" t="str">
        <f>'Base de datos Rutas'!A427</f>
        <v>Occidente</v>
      </c>
      <c r="B429" s="781" t="str">
        <f>'Base de datos Rutas'!B427</f>
        <v>Zapopan</v>
      </c>
      <c r="C429" s="781" t="str">
        <f>'Base de datos Rutas'!C427</f>
        <v>Suc. Belenes</v>
      </c>
      <c r="D429" s="782">
        <f>IF(ISNUMBER('Base de datos Rutas'!D427),'Base de datos Rutas'!D427,"Sin código")</f>
        <v>820345</v>
      </c>
      <c r="E429" s="783" t="str">
        <f>'Base de datos Rutas'!F427</f>
        <v>Activa</v>
      </c>
      <c r="F429" s="784" t="str">
        <f>'Base de datos Rutas'!H427</f>
        <v>Sí</v>
      </c>
      <c r="G429" s="785">
        <f>IF(ISNUMBER('Base de datos Rutas'!BE427),'Base de datos Rutas'!BE427,"")</f>
        <v>63.155963302752298</v>
      </c>
      <c r="H429" s="786">
        <f>IF(ISNUMBER('Base de datos Rutas'!BH427),'Base de datos Rutas'!BH427,"")</f>
        <v>0.48540092969204002</v>
      </c>
      <c r="I429" s="788">
        <f>IFERROR(IF(OR(NOT(ISNUMBER('Base de datos Rutas'!O427)),N('Base de datos Rutas'!BK427)=0),"",'Base de datos Rutas'!O427/('Base de datos Rutas'!L427/'Base de datos Rutas'!BK427)),"")</f>
        <v>3383.2110091743102</v>
      </c>
      <c r="J429" s="788">
        <f>IFERROR(IF(OR(NOT(ISNUMBER('Base de datos Rutas'!N427)),N('Base de datos Rutas'!BK427)=0),"",'Base de datos Rutas'!N427/('Base de datos Rutas'!L427/'Base de datos Rutas'!BK427)),"")</f>
        <v>5789.584862385318</v>
      </c>
      <c r="K429" s="788">
        <f>IFERROR(IF(OR(NOT(ISNUMBER('Base de datos Rutas'!J427)),N('Base de datos Rutas'!BK427)=0),"",'Base de datos Rutas'!J427/('Base de datos Rutas'!L427/'Base de datos Rutas'!BK427)),"")</f>
        <v>395.81758165137592</v>
      </c>
      <c r="L429" s="788">
        <f>IFERROR(IF(OR(NOT(ISNUMBER('Base de datos Rutas'!K427)),N('Base de datos Rutas'!BK427)=0),"",'Base de datos Rutas'!K427/('Base de datos Rutas'!L427/'Base de datos Rutas'!BK427)),"")</f>
        <v>19.845826282110078</v>
      </c>
      <c r="M429" s="787">
        <f>IF(ISNUMBER('Base de datos Rutas'!AX427),'Base de datos Rutas'!AX427,"")</f>
        <v>299.20946431243499</v>
      </c>
      <c r="N429" s="790">
        <f>IFERROR(INDEX('Hoja de apoyo v2'!B$17:B$20,MATCH($A429,'Hoja de apoyo v2'!$A$17:$A$20,0)),"")</f>
        <v>89.41621024641401</v>
      </c>
      <c r="O429" s="791">
        <f>IFERROR(INDEX('Hoja de apoyo v2'!C$17:C$20,MATCH($A429,'Hoja de apoyo v2'!$A$17:$A$20,0)),"")</f>
        <v>0.54706375874806301</v>
      </c>
      <c r="P429" s="793">
        <f>IFERROR(INDEX('Hoja de apoyo v2'!D$17:D$20,MATCH($A429,'Hoja de apoyo v2'!$A$17:$A$20,0)),"")</f>
        <v>11095.153935793827</v>
      </c>
      <c r="Q429" s="793">
        <f>IFERROR(INDEX('Hoja de apoyo v2'!E$17:E$20,MATCH($A429,'Hoja de apoyo v2'!$A$17:$A$20,0)),"")</f>
        <v>6982.3202019701848</v>
      </c>
      <c r="R429" s="793">
        <f>IFERROR(INDEX('Hoja de apoyo v2'!F$17:F$20,MATCH($A429,'Hoja de apoyo v2'!$A$17:$A$20,0)),"")</f>
        <v>448.09513474485743</v>
      </c>
      <c r="S429" s="793">
        <f>IFERROR(INDEX('Hoja de apoyo v2'!G$17:G$20,MATCH($A429,'Hoja de apoyo v2'!$A$17:$A$20,0)),"")</f>
        <v>83.406300904207839</v>
      </c>
      <c r="T429" s="792">
        <f>IFERROR(INDEX('Hoja de apoyo v2'!H$17:H$20,MATCH($A429,'Hoja de apoyo v2'!$A$17:$A$20,0)),"")</f>
        <v>378.97014028925349</v>
      </c>
      <c r="U429" s="794">
        <f t="shared" si="220"/>
        <v>0.7063144717127523</v>
      </c>
      <c r="V429" s="795">
        <f t="shared" si="221"/>
        <v>0.88728401750257357</v>
      </c>
      <c r="W429" s="795">
        <f t="shared" si="222"/>
        <v>0.30492691032071301</v>
      </c>
      <c r="X429" s="843">
        <f t="shared" si="223"/>
        <v>0.82917779404497727</v>
      </c>
      <c r="Y429" s="843">
        <f t="shared" si="224"/>
        <v>0.88333380784585391</v>
      </c>
      <c r="Z429" s="843">
        <f t="shared" si="225"/>
        <v>0.23794157116382628</v>
      </c>
      <c r="AA429" s="843">
        <f t="shared" si="226"/>
        <v>0.78953308586280646</v>
      </c>
      <c r="AB429" s="796">
        <f t="shared" si="227"/>
        <v>2</v>
      </c>
      <c r="AC429" s="797">
        <f t="shared" si="228"/>
        <v>3</v>
      </c>
      <c r="AD429" s="797">
        <f t="shared" si="229"/>
        <v>1</v>
      </c>
      <c r="AE429" s="842">
        <f t="shared" si="230"/>
        <v>3</v>
      </c>
      <c r="AF429" s="842">
        <f t="shared" si="231"/>
        <v>3</v>
      </c>
      <c r="AG429" s="842">
        <f t="shared" si="232"/>
        <v>1</v>
      </c>
      <c r="AH429" s="842">
        <f t="shared" si="233"/>
        <v>3</v>
      </c>
      <c r="AI429" s="826" cm="1">
        <f t="array" ref="AI429">SUMPRODUCT(--ISNUMBER($U429:$AA429),$AB$3:$AH$3)</f>
        <v>1</v>
      </c>
      <c r="AJ429" s="829">
        <f t="shared" si="234"/>
        <v>26.459887347087808</v>
      </c>
      <c r="AK429" s="827" t="str">
        <f t="shared" si="235"/>
        <v>Inmadura</v>
      </c>
      <c r="AL429" s="784" t="str">
        <f t="shared" si="236"/>
        <v>Alta</v>
      </c>
      <c r="AM429" s="799">
        <f>IF(ISNUMBER('Base de datos Rutas'!W427),'Base de datos Rutas'!W427,"")</f>
        <v>3116.1708958203221</v>
      </c>
      <c r="AN429" s="787">
        <f>IFERROR(SUMIFS('Base de datos Rutas'!$W$6:$W$794,'Base de datos Rutas'!$C$6:$C$794,$C429)/'Base de datos Rutas'!I427,"")</f>
        <v>3116.1708958203185</v>
      </c>
      <c r="AO429" s="800">
        <f>IFERROR('Base de datos Rutas'!X427*AN429/AM429,"")</f>
        <v>0.37418782761251823</v>
      </c>
      <c r="AP429" s="800">
        <f t="shared" si="237"/>
        <v>0.62581217238748177</v>
      </c>
      <c r="AQ429" s="789">
        <f>IFERROR(INDEX('Hoja de apoyo v2'!$J$17:$J$20,MATCH($A429,'Hoja de apoyo v2'!$A$17:$A$20,0)),"")</f>
        <v>0.64320274048480885</v>
      </c>
      <c r="AR429" s="789">
        <f t="shared" si="238"/>
        <v>-1.7390568097327086E-2</v>
      </c>
      <c r="AS429" s="784" t="str">
        <f t="shared" si="239"/>
        <v>No</v>
      </c>
      <c r="AT429" s="801">
        <f>IF(ISNUMBER('Base de datos Rutas'!CK427),'Base de datos Rutas'!CK427,"")</f>
        <v>313</v>
      </c>
      <c r="AU429" s="802">
        <f>IF(ISNUMBER('Base de datos Rutas'!CL427),'Base de datos Rutas'!CL427,"")</f>
        <v>448.08</v>
      </c>
      <c r="AV429" s="802">
        <f>IF(ISNUMBER('Base de datos Rutas'!CM427),'Base de datos Rutas'!CM427,"")</f>
        <v>135.07999999999998</v>
      </c>
      <c r="AW429" s="802">
        <f>IF(ISNUMBER('Base de datos Rutas'!CN427),'Base de datos Rutas'!CN427,"")</f>
        <v>7.26</v>
      </c>
      <c r="AX429" s="802">
        <f>IF(ISNUMBER('Base de datos Rutas'!CO427),'Base de datos Rutas'!CO427,"")</f>
        <v>9.4499999999999993</v>
      </c>
      <c r="AY429" s="802">
        <f>IF(ISNUMBER('Base de datos Rutas'!CP427),'Base de datos Rutas'!CP427,"")</f>
        <v>2.1899999999999995</v>
      </c>
      <c r="AZ429" s="802">
        <f>IF(ISNUMBER('Base de datos Rutas'!CQ427),'Base de datos Rutas'!CQ427,"")</f>
        <v>846.56</v>
      </c>
      <c r="BA429" s="802">
        <f>IF(ISNUMBER('Base de datos Rutas'!CR427),'Base de datos Rutas'!CR427,"")</f>
        <v>415.66</v>
      </c>
      <c r="BB429" s="803">
        <f>IF(ISNUMBER('Base de datos Rutas'!CS427),'Base de datos Rutas'!CS427,"")</f>
        <v>430.89999999999992</v>
      </c>
      <c r="BC429" s="804">
        <f t="shared" si="249"/>
        <v>0</v>
      </c>
      <c r="BD429" s="805" t="str">
        <f t="shared" si="250"/>
        <v>No saturada</v>
      </c>
      <c r="BE429" s="806">
        <f t="shared" si="251"/>
        <v>0.49099886599886605</v>
      </c>
      <c r="BF429" s="890">
        <f>IF(ISNUMBER('Base de datos Rutas'!CX427),'Base de datos Rutas'!CX427/100,"")</f>
        <v>0.92975559022360899</v>
      </c>
      <c r="BG429" s="891">
        <f>IF(ISNUMBER('Base de datos Rutas'!CZ427),'Base de datos Rutas'!CZ427/100,"")</f>
        <v>1</v>
      </c>
      <c r="BH429" s="892">
        <f>IF(ISNUMBER('Base de datos Rutas'!DA427),'Base de datos Rutas'!DA427,"")</f>
        <v>979.98637565109232</v>
      </c>
      <c r="BI429" s="893">
        <f>IF(ISNUMBER('Base de datos Rutas'!DC427),'Base de datos Rutas'!DC427,"")</f>
        <v>43.077941576615103</v>
      </c>
      <c r="BJ429" s="805" t="str">
        <f t="shared" si="252"/>
        <v>Ruta (completo)</v>
      </c>
      <c r="BK429" s="783">
        <f t="shared" si="240"/>
        <v>4</v>
      </c>
      <c r="BL429" s="797">
        <f t="shared" si="241"/>
        <v>4</v>
      </c>
      <c r="BM429" s="797">
        <f t="shared" si="242"/>
        <v>4</v>
      </c>
      <c r="BN429" s="797">
        <f t="shared" si="243"/>
        <v>4</v>
      </c>
      <c r="BO429" s="798" cm="1">
        <f t="array" ref="BO429">SUMPRODUCT(--ISNUMBER($BF429:$BI429),$BK$3:$BN$3)</f>
        <v>1</v>
      </c>
      <c r="BP429" s="831">
        <f t="shared" si="253"/>
        <v>75</v>
      </c>
      <c r="BQ429" s="834" t="str">
        <f t="shared" si="254"/>
        <v>Alto</v>
      </c>
      <c r="BR429" s="836">
        <f t="shared" si="244"/>
        <v>19.844915510315857</v>
      </c>
      <c r="BS429" s="836">
        <f t="shared" si="245"/>
        <v>75</v>
      </c>
      <c r="BT429" s="837" t="str">
        <f t="shared" si="246"/>
        <v>P3</v>
      </c>
      <c r="BU429" s="807" t="str">
        <f t="shared" si="255"/>
        <v>Con espacio</v>
      </c>
      <c r="BV429" s="807" t="str">
        <f t="shared" si="247"/>
        <v>Zona atractiva</v>
      </c>
      <c r="BW429" s="808" t="str">
        <f t="shared" si="248"/>
        <v>P3 - Desarrollar</v>
      </c>
    </row>
    <row r="430" spans="1:75">
      <c r="A430" s="780" t="str">
        <f>'Base de datos Rutas'!A428</f>
        <v>Occidente</v>
      </c>
      <c r="B430" s="781" t="str">
        <f>'Base de datos Rutas'!B428</f>
        <v>Zapopan</v>
      </c>
      <c r="C430" s="781" t="str">
        <f>'Base de datos Rutas'!C428</f>
        <v>Suc. Belenes</v>
      </c>
      <c r="D430" s="782">
        <f>IF(ISNUMBER('Base de datos Rutas'!D428),'Base de datos Rutas'!D428,"Sin código")</f>
        <v>820346</v>
      </c>
      <c r="E430" s="783" t="str">
        <f>'Base de datos Rutas'!F428</f>
        <v>Activa</v>
      </c>
      <c r="F430" s="784" t="str">
        <f>'Base de datos Rutas'!H428</f>
        <v>Sí</v>
      </c>
      <c r="G430" s="785">
        <f>IF(ISNUMBER('Base de datos Rutas'!BE428),'Base de datos Rutas'!BE428,"")</f>
        <v>77.839285714285694</v>
      </c>
      <c r="H430" s="786">
        <f>IF(ISNUMBER('Base de datos Rutas'!BH428),'Base de datos Rutas'!BH428,"")</f>
        <v>1.58293186510668E-2</v>
      </c>
      <c r="I430" s="788">
        <f>IFERROR(IF(OR(NOT(ISNUMBER('Base de datos Rutas'!O428)),N('Base de datos Rutas'!BK428)=0),"",'Base de datos Rutas'!O428/('Base de datos Rutas'!L428/'Base de datos Rutas'!BK428)),"")</f>
        <v>240.03846153846254</v>
      </c>
      <c r="J430" s="788">
        <f>IFERROR(IF(OR(NOT(ISNUMBER('Base de datos Rutas'!N428)),N('Base de datos Rutas'!BK428)=0),"",'Base de datos Rutas'!N428/('Base de datos Rutas'!L428/'Base de datos Rutas'!BK428)),"")</f>
        <v>142.92307692307753</v>
      </c>
      <c r="K430" s="788">
        <f>IFERROR(IF(OR(NOT(ISNUMBER('Base de datos Rutas'!J428)),N('Base de datos Rutas'!BK428)=0),"",'Base de datos Rutas'!J428/('Base de datos Rutas'!L428/'Base de datos Rutas'!BK428)),"")</f>
        <v>10.070451282051323</v>
      </c>
      <c r="L430" s="788">
        <f>IFERROR(IF(OR(NOT(ISNUMBER('Base de datos Rutas'!K428)),N('Base de datos Rutas'!BK428)=0),"",'Base de datos Rutas'!K428/('Base de datos Rutas'!L428/'Base de datos Rutas'!BK428)),"")</f>
        <v>1.5116682692307755</v>
      </c>
      <c r="M430" s="787">
        <f>IF(ISNUMBER('Base de datos Rutas'!AX428),'Base de datos Rutas'!AX428,"")</f>
        <v>324.68641304347801</v>
      </c>
      <c r="N430" s="790">
        <f>IFERROR(INDEX('Hoja de apoyo v2'!B$17:B$20,MATCH($A430,'Hoja de apoyo v2'!$A$17:$A$20,0)),"")</f>
        <v>89.41621024641401</v>
      </c>
      <c r="O430" s="791">
        <f>IFERROR(INDEX('Hoja de apoyo v2'!C$17:C$20,MATCH($A430,'Hoja de apoyo v2'!$A$17:$A$20,0)),"")</f>
        <v>0.54706375874806301</v>
      </c>
      <c r="P430" s="793">
        <f>IFERROR(INDEX('Hoja de apoyo v2'!D$17:D$20,MATCH($A430,'Hoja de apoyo v2'!$A$17:$A$20,0)),"")</f>
        <v>11095.153935793827</v>
      </c>
      <c r="Q430" s="793">
        <f>IFERROR(INDEX('Hoja de apoyo v2'!E$17:E$20,MATCH($A430,'Hoja de apoyo v2'!$A$17:$A$20,0)),"")</f>
        <v>6982.3202019701848</v>
      </c>
      <c r="R430" s="793">
        <f>IFERROR(INDEX('Hoja de apoyo v2'!F$17:F$20,MATCH($A430,'Hoja de apoyo v2'!$A$17:$A$20,0)),"")</f>
        <v>448.09513474485743</v>
      </c>
      <c r="S430" s="793">
        <f>IFERROR(INDEX('Hoja de apoyo v2'!G$17:G$20,MATCH($A430,'Hoja de apoyo v2'!$A$17:$A$20,0)),"")</f>
        <v>83.406300904207839</v>
      </c>
      <c r="T430" s="792">
        <f>IFERROR(INDEX('Hoja de apoyo v2'!H$17:H$20,MATCH($A430,'Hoja de apoyo v2'!$A$17:$A$20,0)),"")</f>
        <v>378.97014028925349</v>
      </c>
      <c r="U430" s="794">
        <f t="shared" si="220"/>
        <v>0.87052767613138016</v>
      </c>
      <c r="V430" s="795">
        <f t="shared" si="221"/>
        <v>2.8935052629499095E-2</v>
      </c>
      <c r="W430" s="795">
        <f t="shared" si="222"/>
        <v>2.1634531880092248E-2</v>
      </c>
      <c r="X430" s="843">
        <f t="shared" si="223"/>
        <v>2.0469281383393052E-2</v>
      </c>
      <c r="Y430" s="843">
        <f t="shared" si="224"/>
        <v>2.2473913464348089E-2</v>
      </c>
      <c r="Z430" s="843">
        <f t="shared" si="225"/>
        <v>1.8124149528785924E-2</v>
      </c>
      <c r="AA430" s="843">
        <f t="shared" si="226"/>
        <v>0.85675988297035022</v>
      </c>
      <c r="AB430" s="796">
        <f t="shared" si="227"/>
        <v>3</v>
      </c>
      <c r="AC430" s="797">
        <f t="shared" si="228"/>
        <v>1</v>
      </c>
      <c r="AD430" s="797">
        <f t="shared" si="229"/>
        <v>1</v>
      </c>
      <c r="AE430" s="842">
        <f t="shared" si="230"/>
        <v>1</v>
      </c>
      <c r="AF430" s="842">
        <f t="shared" si="231"/>
        <v>1</v>
      </c>
      <c r="AG430" s="842">
        <f t="shared" si="232"/>
        <v>1</v>
      </c>
      <c r="AH430" s="842">
        <f t="shared" si="233"/>
        <v>3</v>
      </c>
      <c r="AI430" s="826" cm="1">
        <f t="array" ref="AI430">SUMPRODUCT(--ISNUMBER($U430:$AA430),$AB$3:$AH$3)</f>
        <v>1</v>
      </c>
      <c r="AJ430" s="829">
        <f t="shared" si="234"/>
        <v>13.556728036926636</v>
      </c>
      <c r="AK430" s="827" t="str">
        <f t="shared" si="235"/>
        <v>Inmadura</v>
      </c>
      <c r="AL430" s="784" t="str">
        <f t="shared" si="236"/>
        <v>Alta</v>
      </c>
      <c r="AM430" s="799">
        <f>IF(ISNUMBER('Base de datos Rutas'!W428),'Base de datos Rutas'!W428,"")</f>
        <v>3116.1708958203221</v>
      </c>
      <c r="AN430" s="787">
        <f>IFERROR(SUMIFS('Base de datos Rutas'!$W$6:$W$794,'Base de datos Rutas'!$C$6:$C$794,$C430)/'Base de datos Rutas'!I428,"")</f>
        <v>3116.1708958203185</v>
      </c>
      <c r="AO430" s="800">
        <f>IFERROR('Base de datos Rutas'!X428*AN430/AM430,"")</f>
        <v>0.37418782761251823</v>
      </c>
      <c r="AP430" s="800">
        <f t="shared" si="237"/>
        <v>0.62581217238748177</v>
      </c>
      <c r="AQ430" s="789">
        <f>IFERROR(INDEX('Hoja de apoyo v2'!$J$17:$J$20,MATCH($A430,'Hoja de apoyo v2'!$A$17:$A$20,0)),"")</f>
        <v>0.64320274048480885</v>
      </c>
      <c r="AR430" s="789">
        <f t="shared" si="238"/>
        <v>-1.7390568097327086E-2</v>
      </c>
      <c r="AS430" s="784" t="str">
        <f t="shared" si="239"/>
        <v>No</v>
      </c>
      <c r="AT430" s="801" t="str">
        <f>IF(ISNUMBER('Base de datos Rutas'!CK428),'Base de datos Rutas'!CK428,"")</f>
        <v/>
      </c>
      <c r="AU430" s="802" t="str">
        <f>IF(ISNUMBER('Base de datos Rutas'!CL428),'Base de datos Rutas'!CL428,"")</f>
        <v/>
      </c>
      <c r="AV430" s="802">
        <f>IF(ISNUMBER('Base de datos Rutas'!CM428),'Base de datos Rutas'!CM428,"")</f>
        <v>0</v>
      </c>
      <c r="AW430" s="802" t="str">
        <f>IF(ISNUMBER('Base de datos Rutas'!CN428),'Base de datos Rutas'!CN428,"")</f>
        <v/>
      </c>
      <c r="AX430" s="802" t="str">
        <f>IF(ISNUMBER('Base de datos Rutas'!CO428),'Base de datos Rutas'!CO428,"")</f>
        <v/>
      </c>
      <c r="AY430" s="802">
        <f>IF(ISNUMBER('Base de datos Rutas'!CP428),'Base de datos Rutas'!CP428,"")</f>
        <v>0</v>
      </c>
      <c r="AZ430" s="802" t="str">
        <f>IF(ISNUMBER('Base de datos Rutas'!CQ428),'Base de datos Rutas'!CQ428,"")</f>
        <v/>
      </c>
      <c r="BA430" s="802" t="str">
        <f>IF(ISNUMBER('Base de datos Rutas'!CR428),'Base de datos Rutas'!CR428,"")</f>
        <v/>
      </c>
      <c r="BB430" s="803">
        <f>IF(ISNUMBER('Base de datos Rutas'!CS428),'Base de datos Rutas'!CS428,"")</f>
        <v>0</v>
      </c>
      <c r="BC430" s="804" t="str">
        <f t="shared" si="249"/>
        <v/>
      </c>
      <c r="BD430" s="805" t="str">
        <f t="shared" si="250"/>
        <v>N/D</v>
      </c>
      <c r="BE430" s="806" t="str">
        <f t="shared" si="251"/>
        <v/>
      </c>
      <c r="BF430" s="890" t="str">
        <f>IF(ISNUMBER('Base de datos Rutas'!CX428),'Base de datos Rutas'!CX428/100,"")</f>
        <v/>
      </c>
      <c r="BG430" s="891" t="str">
        <f>IF(ISNUMBER('Base de datos Rutas'!CZ428),'Base de datos Rutas'!CZ428/100,"")</f>
        <v/>
      </c>
      <c r="BH430" s="892" t="str">
        <f>IF(ISNUMBER('Base de datos Rutas'!DA428),'Base de datos Rutas'!DA428,"")</f>
        <v/>
      </c>
      <c r="BI430" s="893" t="str">
        <f>IF(ISNUMBER('Base de datos Rutas'!DC428),'Base de datos Rutas'!DC428,"")</f>
        <v/>
      </c>
      <c r="BJ430" s="805" t="str">
        <f t="shared" si="252"/>
        <v>Sin dato</v>
      </c>
      <c r="BK430" s="783">
        <f t="shared" si="240"/>
        <v>0</v>
      </c>
      <c r="BL430" s="797">
        <f t="shared" si="241"/>
        <v>0</v>
      </c>
      <c r="BM430" s="797">
        <f t="shared" si="242"/>
        <v>0</v>
      </c>
      <c r="BN430" s="797">
        <f t="shared" si="243"/>
        <v>0</v>
      </c>
      <c r="BO430" s="798" cm="1">
        <f t="array" ref="BO430">SUMPRODUCT(--ISNUMBER($BF430:$BI430),$BK$3:$BN$3)</f>
        <v>0</v>
      </c>
      <c r="BP430" s="831" t="str">
        <f t="shared" si="253"/>
        <v/>
      </c>
      <c r="BQ430" s="834" t="str">
        <f t="shared" si="254"/>
        <v>Sin datos</v>
      </c>
      <c r="BR430" s="836" t="str">
        <f t="shared" si="244"/>
        <v/>
      </c>
      <c r="BS430" s="836" t="str">
        <f t="shared" si="245"/>
        <v/>
      </c>
      <c r="BT430" s="837" t="str">
        <f t="shared" si="246"/>
        <v>Sin datos</v>
      </c>
      <c r="BU430" s="807" t="str">
        <f t="shared" si="255"/>
        <v>Con espacio</v>
      </c>
      <c r="BV430" s="807" t="str">
        <f t="shared" si="247"/>
        <v>Sin datos de zona</v>
      </c>
      <c r="BW430" s="808" t="str">
        <f t="shared" si="248"/>
        <v>Sin datos</v>
      </c>
    </row>
    <row r="431" spans="1:75">
      <c r="A431" s="780" t="str">
        <f>'Base de datos Rutas'!A429</f>
        <v>Occidente</v>
      </c>
      <c r="B431" s="781" t="str">
        <f>'Base de datos Rutas'!B429</f>
        <v>Zapopan</v>
      </c>
      <c r="C431" s="781" t="str">
        <f>'Base de datos Rutas'!C429</f>
        <v>Suc. Belenes</v>
      </c>
      <c r="D431" s="782">
        <f>IF(ISNUMBER('Base de datos Rutas'!D429),'Base de datos Rutas'!D429,"Sin código")</f>
        <v>820347</v>
      </c>
      <c r="E431" s="783" t="str">
        <f>'Base de datos Rutas'!F429</f>
        <v>Activa</v>
      </c>
      <c r="F431" s="784" t="str">
        <f>'Base de datos Rutas'!H429</f>
        <v>Sí</v>
      </c>
      <c r="G431" s="785">
        <f>IF(ISNUMBER('Base de datos Rutas'!BE429),'Base de datos Rutas'!BE429,"")</f>
        <v>83.628504672897193</v>
      </c>
      <c r="H431" s="786">
        <f>IF(ISNUMBER('Base de datos Rutas'!BH429),'Base de datos Rutas'!BH429,"")</f>
        <v>0.45103791244098002</v>
      </c>
      <c r="I431" s="788">
        <f>IFERROR(IF(OR(NOT(ISNUMBER('Base de datos Rutas'!O429)),N('Base de datos Rutas'!BK429)=0),"",'Base de datos Rutas'!O429/('Base de datos Rutas'!L429/'Base de datos Rutas'!BK429)),"")</f>
        <v>9780.6635514018635</v>
      </c>
      <c r="J431" s="788">
        <f>IFERROR(IF(OR(NOT(ISNUMBER('Base de datos Rutas'!N429)),N('Base de datos Rutas'!BK429)=0),"",'Base de datos Rutas'!N429/('Base de datos Rutas'!L429/'Base de datos Rutas'!BK429)),"")</f>
        <v>8858.4976635513958</v>
      </c>
      <c r="K431" s="788">
        <f>IFERROR(IF(OR(NOT(ISNUMBER('Base de datos Rutas'!J429)),N('Base de datos Rutas'!BK429)=0),"",'Base de datos Rutas'!J429/('Base de datos Rutas'!L429/'Base de datos Rutas'!BK429)),"")</f>
        <v>608.18186355140142</v>
      </c>
      <c r="L431" s="788">
        <f>IFERROR(IF(OR(NOT(ISNUMBER('Base de datos Rutas'!K429)),N('Base de datos Rutas'!BK429)=0),"",'Base de datos Rutas'!K429/('Base de datos Rutas'!L429/'Base de datos Rutas'!BK429)),"")</f>
        <v>51.512124768691557</v>
      </c>
      <c r="M431" s="787">
        <f>IF(ISNUMBER('Base de datos Rutas'!AX429),'Base de datos Rutas'!AX429,"")</f>
        <v>494.14993743805798</v>
      </c>
      <c r="N431" s="790">
        <f>IFERROR(INDEX('Hoja de apoyo v2'!B$17:B$20,MATCH($A431,'Hoja de apoyo v2'!$A$17:$A$20,0)),"")</f>
        <v>89.41621024641401</v>
      </c>
      <c r="O431" s="791">
        <f>IFERROR(INDEX('Hoja de apoyo v2'!C$17:C$20,MATCH($A431,'Hoja de apoyo v2'!$A$17:$A$20,0)),"")</f>
        <v>0.54706375874806301</v>
      </c>
      <c r="P431" s="793">
        <f>IFERROR(INDEX('Hoja de apoyo v2'!D$17:D$20,MATCH($A431,'Hoja de apoyo v2'!$A$17:$A$20,0)),"")</f>
        <v>11095.153935793827</v>
      </c>
      <c r="Q431" s="793">
        <f>IFERROR(INDEX('Hoja de apoyo v2'!E$17:E$20,MATCH($A431,'Hoja de apoyo v2'!$A$17:$A$20,0)),"")</f>
        <v>6982.3202019701848</v>
      </c>
      <c r="R431" s="793">
        <f>IFERROR(INDEX('Hoja de apoyo v2'!F$17:F$20,MATCH($A431,'Hoja de apoyo v2'!$A$17:$A$20,0)),"")</f>
        <v>448.09513474485743</v>
      </c>
      <c r="S431" s="793">
        <f>IFERROR(INDEX('Hoja de apoyo v2'!G$17:G$20,MATCH($A431,'Hoja de apoyo v2'!$A$17:$A$20,0)),"")</f>
        <v>83.406300904207839</v>
      </c>
      <c r="T431" s="792">
        <f>IFERROR(INDEX('Hoja de apoyo v2'!H$17:H$20,MATCH($A431,'Hoja de apoyo v2'!$A$17:$A$20,0)),"")</f>
        <v>378.97014028925349</v>
      </c>
      <c r="U431" s="794">
        <f t="shared" si="220"/>
        <v>0.9352723006536845</v>
      </c>
      <c r="V431" s="795">
        <f t="shared" si="221"/>
        <v>0.82447046661099443</v>
      </c>
      <c r="W431" s="795">
        <f t="shared" si="222"/>
        <v>0.88152571906629296</v>
      </c>
      <c r="X431" s="843">
        <f t="shared" si="223"/>
        <v>1.2687040134670156</v>
      </c>
      <c r="Y431" s="843">
        <f t="shared" si="224"/>
        <v>1.3572605823932822</v>
      </c>
      <c r="Z431" s="843">
        <f t="shared" si="225"/>
        <v>0.61760471583379828</v>
      </c>
      <c r="AA431" s="843">
        <f t="shared" si="226"/>
        <v>1.3039284231229724</v>
      </c>
      <c r="AB431" s="796">
        <f t="shared" si="227"/>
        <v>3</v>
      </c>
      <c r="AC431" s="797">
        <f t="shared" si="228"/>
        <v>3</v>
      </c>
      <c r="AD431" s="797">
        <f t="shared" si="229"/>
        <v>3</v>
      </c>
      <c r="AE431" s="842">
        <f t="shared" si="230"/>
        <v>5</v>
      </c>
      <c r="AF431" s="842">
        <f t="shared" si="231"/>
        <v>5</v>
      </c>
      <c r="AG431" s="842">
        <f t="shared" si="232"/>
        <v>2</v>
      </c>
      <c r="AH431" s="842">
        <f t="shared" si="233"/>
        <v>5</v>
      </c>
      <c r="AI431" s="826" cm="1">
        <f t="array" ref="AI431">SUMPRODUCT(--ISNUMBER($U431:$AA431),$AB$3:$AH$3)</f>
        <v>1</v>
      </c>
      <c r="AJ431" s="829">
        <f t="shared" si="234"/>
        <v>62.771373229110417</v>
      </c>
      <c r="AK431" s="827" t="str">
        <f t="shared" si="235"/>
        <v>En desarrollo</v>
      </c>
      <c r="AL431" s="784" t="str">
        <f t="shared" si="236"/>
        <v>Alta</v>
      </c>
      <c r="AM431" s="799">
        <f>IF(ISNUMBER('Base de datos Rutas'!W429),'Base de datos Rutas'!W429,"")</f>
        <v>3116.1708958203221</v>
      </c>
      <c r="AN431" s="787">
        <f>IFERROR(SUMIFS('Base de datos Rutas'!$W$6:$W$794,'Base de datos Rutas'!$C$6:$C$794,$C431)/'Base de datos Rutas'!I429,"")</f>
        <v>3116.1708958203185</v>
      </c>
      <c r="AO431" s="800">
        <f>IFERROR('Base de datos Rutas'!X429*AN431/AM431,"")</f>
        <v>0.37418782761251823</v>
      </c>
      <c r="AP431" s="800">
        <f t="shared" si="237"/>
        <v>0.62581217238748177</v>
      </c>
      <c r="AQ431" s="789">
        <f>IFERROR(INDEX('Hoja de apoyo v2'!$J$17:$J$20,MATCH($A431,'Hoja de apoyo v2'!$A$17:$A$20,0)),"")</f>
        <v>0.64320274048480885</v>
      </c>
      <c r="AR431" s="789">
        <f t="shared" si="238"/>
        <v>-1.7390568097327086E-2</v>
      </c>
      <c r="AS431" s="784" t="str">
        <f t="shared" si="239"/>
        <v>No</v>
      </c>
      <c r="AT431" s="801">
        <f>IF(ISNUMBER('Base de datos Rutas'!CK429),'Base de datos Rutas'!CK429,"")</f>
        <v>375</v>
      </c>
      <c r="AU431" s="802">
        <f>IF(ISNUMBER('Base de datos Rutas'!CL429),'Base de datos Rutas'!CL429,"")</f>
        <v>417.64</v>
      </c>
      <c r="AV431" s="802">
        <f>IF(ISNUMBER('Base de datos Rutas'!CM429),'Base de datos Rutas'!CM429,"")</f>
        <v>42.639999999999986</v>
      </c>
      <c r="AW431" s="802">
        <f>IF(ISNUMBER('Base de datos Rutas'!CN429),'Base de datos Rutas'!CN429,"")</f>
        <v>10.78</v>
      </c>
      <c r="AX431" s="802">
        <f>IF(ISNUMBER('Base de datos Rutas'!CO429),'Base de datos Rutas'!CO429,"")</f>
        <v>9.4499999999999993</v>
      </c>
      <c r="AY431" s="802">
        <f>IF(ISNUMBER('Base de datos Rutas'!CP429),'Base de datos Rutas'!CP429,"")</f>
        <v>-1.33</v>
      </c>
      <c r="AZ431" s="802">
        <f>IF(ISNUMBER('Base de datos Rutas'!CQ429),'Base de datos Rutas'!CQ429,"")</f>
        <v>846.56</v>
      </c>
      <c r="BA431" s="802">
        <f>IF(ISNUMBER('Base de datos Rutas'!CR429),'Base de datos Rutas'!CR429,"")</f>
        <v>659.69</v>
      </c>
      <c r="BB431" s="803">
        <f>IF(ISNUMBER('Base de datos Rutas'!CS429),'Base de datos Rutas'!CS429,"")</f>
        <v>186.86999999999989</v>
      </c>
      <c r="BC431" s="804">
        <f t="shared" si="249"/>
        <v>1</v>
      </c>
      <c r="BD431" s="805" t="str">
        <f t="shared" si="250"/>
        <v>Saturada</v>
      </c>
      <c r="BE431" s="806">
        <f t="shared" si="251"/>
        <v>0.77925959175959192</v>
      </c>
      <c r="BF431" s="890">
        <f>IF(ISNUMBER('Base de datos Rutas'!CX429),'Base de datos Rutas'!CX429/100,"")</f>
        <v>0.96836795252225516</v>
      </c>
      <c r="BG431" s="891">
        <f>IF(ISNUMBER('Base de datos Rutas'!CZ429),'Base de datos Rutas'!CZ429/100,"")</f>
        <v>1</v>
      </c>
      <c r="BH431" s="892">
        <f>IF(ISNUMBER('Base de datos Rutas'!DA429),'Base de datos Rutas'!DA429,"")</f>
        <v>778.23597767934189</v>
      </c>
      <c r="BI431" s="893">
        <f>IF(ISNUMBER('Base de datos Rutas'!DC429),'Base de datos Rutas'!DC429,"")</f>
        <v>15.282380774319737</v>
      </c>
      <c r="BJ431" s="805" t="str">
        <f t="shared" si="252"/>
        <v>Ruta (completo)</v>
      </c>
      <c r="BK431" s="783">
        <f t="shared" si="240"/>
        <v>5</v>
      </c>
      <c r="BL431" s="797">
        <f t="shared" si="241"/>
        <v>4</v>
      </c>
      <c r="BM431" s="797">
        <f t="shared" si="242"/>
        <v>3</v>
      </c>
      <c r="BN431" s="797">
        <f t="shared" si="243"/>
        <v>1</v>
      </c>
      <c r="BO431" s="798" cm="1">
        <f t="array" ref="BO431">SUMPRODUCT(--ISNUMBER($BF431:$BI431),$BK$3:$BN$3)</f>
        <v>1</v>
      </c>
      <c r="BP431" s="831">
        <f t="shared" si="253"/>
        <v>56.25</v>
      </c>
      <c r="BQ431" s="834" t="str">
        <f t="shared" si="254"/>
        <v>Alto</v>
      </c>
      <c r="BR431" s="836">
        <f t="shared" si="244"/>
        <v>72.078529921832811</v>
      </c>
      <c r="BS431" s="836">
        <f t="shared" si="245"/>
        <v>56.25</v>
      </c>
      <c r="BT431" s="837" t="str">
        <f t="shared" si="246"/>
        <v>P1</v>
      </c>
      <c r="BU431" s="807" t="str">
        <f t="shared" si="255"/>
        <v>Al tope</v>
      </c>
      <c r="BV431" s="807" t="str">
        <f t="shared" si="247"/>
        <v>Zona atractiva</v>
      </c>
      <c r="BW431" s="808" t="str">
        <f t="shared" si="248"/>
        <v>P1 - Ampliar cobertura</v>
      </c>
    </row>
    <row r="432" spans="1:75">
      <c r="A432" s="780" t="str">
        <f>'Base de datos Rutas'!A430</f>
        <v>Occidente</v>
      </c>
      <c r="B432" s="781" t="str">
        <f>'Base de datos Rutas'!B430</f>
        <v>Zapopan</v>
      </c>
      <c r="C432" s="781" t="str">
        <f>'Base de datos Rutas'!C430</f>
        <v>Suc. Belenes</v>
      </c>
      <c r="D432" s="782">
        <f>IF(ISNUMBER('Base de datos Rutas'!D430),'Base de datos Rutas'!D430,"Sin código")</f>
        <v>820348</v>
      </c>
      <c r="E432" s="783" t="str">
        <f>'Base de datos Rutas'!F430</f>
        <v>Activa</v>
      </c>
      <c r="F432" s="784" t="str">
        <f>'Base de datos Rutas'!H430</f>
        <v>Sí</v>
      </c>
      <c r="G432" s="785">
        <f>IF(ISNUMBER('Base de datos Rutas'!BE430),'Base de datos Rutas'!BE430,"")</f>
        <v>105.185779816514</v>
      </c>
      <c r="H432" s="786">
        <f>IF(ISNUMBER('Base de datos Rutas'!BH430),'Base de datos Rutas'!BH430,"")</f>
        <v>0.50417566123721702</v>
      </c>
      <c r="I432" s="788">
        <f>IFERROR(IF(OR(NOT(ISNUMBER('Base de datos Rutas'!O430)),N('Base de datos Rutas'!BK430)=0),"",'Base de datos Rutas'!O430/('Base de datos Rutas'!L430/'Base de datos Rutas'!BK430)),"")</f>
        <v>4499.1261467889844</v>
      </c>
      <c r="J432" s="788">
        <f>IFERROR(IF(OR(NOT(ISNUMBER('Base de datos Rutas'!N430)),N('Base de datos Rutas'!BK430)=0),"",'Base de datos Rutas'!N430/('Base de datos Rutas'!L430/'Base de datos Rutas'!BK430)),"")</f>
        <v>6010.4564220183402</v>
      </c>
      <c r="K432" s="788">
        <f>IFERROR(IF(OR(NOT(ISNUMBER('Base de datos Rutas'!J430)),N('Base de datos Rutas'!BK430)=0),"",'Base de datos Rutas'!J430/('Base de datos Rutas'!L430/'Base de datos Rutas'!BK430)),"")</f>
        <v>413.13066238532053</v>
      </c>
      <c r="L432" s="788">
        <f>IFERROR(IF(OR(NOT(ISNUMBER('Base de datos Rutas'!K430)),N('Base de datos Rutas'!BK430)=0),"",'Base de datos Rutas'!K430/('Base de datos Rutas'!L430/'Base de datos Rutas'!BK430)),"")</f>
        <v>32.530561442660506</v>
      </c>
      <c r="M432" s="787">
        <f>IF(ISNUMBER('Base de datos Rutas'!AX430),'Base de datos Rutas'!AX430,"")</f>
        <v>198.173989274284</v>
      </c>
      <c r="N432" s="790">
        <f>IFERROR(INDEX('Hoja de apoyo v2'!B$17:B$20,MATCH($A432,'Hoja de apoyo v2'!$A$17:$A$20,0)),"")</f>
        <v>89.41621024641401</v>
      </c>
      <c r="O432" s="791">
        <f>IFERROR(INDEX('Hoja de apoyo v2'!C$17:C$20,MATCH($A432,'Hoja de apoyo v2'!$A$17:$A$20,0)),"")</f>
        <v>0.54706375874806301</v>
      </c>
      <c r="P432" s="793">
        <f>IFERROR(INDEX('Hoja de apoyo v2'!D$17:D$20,MATCH($A432,'Hoja de apoyo v2'!$A$17:$A$20,0)),"")</f>
        <v>11095.153935793827</v>
      </c>
      <c r="Q432" s="793">
        <f>IFERROR(INDEX('Hoja de apoyo v2'!E$17:E$20,MATCH($A432,'Hoja de apoyo v2'!$A$17:$A$20,0)),"")</f>
        <v>6982.3202019701848</v>
      </c>
      <c r="R432" s="793">
        <f>IFERROR(INDEX('Hoja de apoyo v2'!F$17:F$20,MATCH($A432,'Hoja de apoyo v2'!$A$17:$A$20,0)),"")</f>
        <v>448.09513474485743</v>
      </c>
      <c r="S432" s="793">
        <f>IFERROR(INDEX('Hoja de apoyo v2'!G$17:G$20,MATCH($A432,'Hoja de apoyo v2'!$A$17:$A$20,0)),"")</f>
        <v>83.406300904207839</v>
      </c>
      <c r="T432" s="792">
        <f>IFERROR(INDEX('Hoja de apoyo v2'!H$17:H$20,MATCH($A432,'Hoja de apoyo v2'!$A$17:$A$20,0)),"")</f>
        <v>378.97014028925349</v>
      </c>
      <c r="U432" s="794">
        <f t="shared" si="220"/>
        <v>1.1763614173161898</v>
      </c>
      <c r="V432" s="795">
        <f t="shared" si="221"/>
        <v>0.9216031096466818</v>
      </c>
      <c r="W432" s="795">
        <f t="shared" si="222"/>
        <v>0.40550371566044291</v>
      </c>
      <c r="X432" s="843">
        <f t="shared" si="223"/>
        <v>0.86081076893643227</v>
      </c>
      <c r="Y432" s="843">
        <f t="shared" si="224"/>
        <v>0.92197087259283583</v>
      </c>
      <c r="Z432" s="843">
        <f t="shared" si="225"/>
        <v>0.39002522699120618</v>
      </c>
      <c r="AA432" s="843">
        <f t="shared" si="226"/>
        <v>0.52292771436563668</v>
      </c>
      <c r="AB432" s="796">
        <f t="shared" si="227"/>
        <v>4</v>
      </c>
      <c r="AC432" s="797">
        <f t="shared" si="228"/>
        <v>3</v>
      </c>
      <c r="AD432" s="797">
        <f t="shared" si="229"/>
        <v>1</v>
      </c>
      <c r="AE432" s="842">
        <f t="shared" si="230"/>
        <v>3</v>
      </c>
      <c r="AF432" s="842">
        <f t="shared" si="231"/>
        <v>3</v>
      </c>
      <c r="AG432" s="842">
        <f t="shared" si="232"/>
        <v>1</v>
      </c>
      <c r="AH432" s="842">
        <f t="shared" si="233"/>
        <v>2</v>
      </c>
      <c r="AI432" s="826" cm="1">
        <f t="array" ref="AI432">SUMPRODUCT(--ISNUMBER($U432:$AA432),$AB$3:$AH$3)</f>
        <v>1</v>
      </c>
      <c r="AJ432" s="829">
        <f t="shared" si="234"/>
        <v>33.282431863034759</v>
      </c>
      <c r="AK432" s="827" t="str">
        <f t="shared" si="235"/>
        <v>Inmadura</v>
      </c>
      <c r="AL432" s="784" t="str">
        <f t="shared" si="236"/>
        <v>Alta</v>
      </c>
      <c r="AM432" s="799">
        <f>IF(ISNUMBER('Base de datos Rutas'!W430),'Base de datos Rutas'!W430,"")</f>
        <v>3116.1708958203221</v>
      </c>
      <c r="AN432" s="787">
        <f>IFERROR(SUMIFS('Base de datos Rutas'!$W$6:$W$794,'Base de datos Rutas'!$C$6:$C$794,$C432)/'Base de datos Rutas'!I430,"")</f>
        <v>3116.1708958203185</v>
      </c>
      <c r="AO432" s="800">
        <f>IFERROR('Base de datos Rutas'!X430*AN432/AM432,"")</f>
        <v>0.37418782761251823</v>
      </c>
      <c r="AP432" s="800">
        <f t="shared" si="237"/>
        <v>0.62581217238748177</v>
      </c>
      <c r="AQ432" s="789">
        <f>IFERROR(INDEX('Hoja de apoyo v2'!$J$17:$J$20,MATCH($A432,'Hoja de apoyo v2'!$A$17:$A$20,0)),"")</f>
        <v>0.64320274048480885</v>
      </c>
      <c r="AR432" s="789">
        <f t="shared" si="238"/>
        <v>-1.7390568097327086E-2</v>
      </c>
      <c r="AS432" s="784" t="str">
        <f t="shared" si="239"/>
        <v>No</v>
      </c>
      <c r="AT432" s="801">
        <f>IF(ISNUMBER('Base de datos Rutas'!CK430),'Base de datos Rutas'!CK430,"")</f>
        <v>407</v>
      </c>
      <c r="AU432" s="802">
        <f>IF(ISNUMBER('Base de datos Rutas'!CL430),'Base de datos Rutas'!CL430,"")</f>
        <v>436.2</v>
      </c>
      <c r="AV432" s="802">
        <f>IF(ISNUMBER('Base de datos Rutas'!CM430),'Base de datos Rutas'!CM430,"")</f>
        <v>29.199999999999989</v>
      </c>
      <c r="AW432" s="802">
        <f>IF(ISNUMBER('Base de datos Rutas'!CN430),'Base de datos Rutas'!CN430,"")</f>
        <v>9.51</v>
      </c>
      <c r="AX432" s="802">
        <f>IF(ISNUMBER('Base de datos Rutas'!CO430),'Base de datos Rutas'!CO430,"")</f>
        <v>9.4499999999999993</v>
      </c>
      <c r="AY432" s="802">
        <f>IF(ISNUMBER('Base de datos Rutas'!CP430),'Base de datos Rutas'!CP430,"")</f>
        <v>-6.0000000000000497E-2</v>
      </c>
      <c r="AZ432" s="802">
        <f>IF(ISNUMBER('Base de datos Rutas'!CQ430),'Base de datos Rutas'!CQ430,"")</f>
        <v>846.56</v>
      </c>
      <c r="BA432" s="802">
        <f>IF(ISNUMBER('Base de datos Rutas'!CR430),'Base de datos Rutas'!CR430,"")</f>
        <v>445.66</v>
      </c>
      <c r="BB432" s="803">
        <f>IF(ISNUMBER('Base de datos Rutas'!CS430),'Base de datos Rutas'!CS430,"")</f>
        <v>400.89999999999992</v>
      </c>
      <c r="BC432" s="804">
        <f t="shared" si="249"/>
        <v>1</v>
      </c>
      <c r="BD432" s="805" t="str">
        <f t="shared" si="250"/>
        <v>Saturada</v>
      </c>
      <c r="BE432" s="806">
        <f t="shared" si="251"/>
        <v>0.52643640143640147</v>
      </c>
      <c r="BF432" s="890">
        <f>IF(ISNUMBER('Base de datos Rutas'!CX430),'Base de datos Rutas'!CX430/100,"")</f>
        <v>0.97940761636107188</v>
      </c>
      <c r="BG432" s="891">
        <f>IF(ISNUMBER('Base de datos Rutas'!CZ430),'Base de datos Rutas'!CZ430/100,"")</f>
        <v>1</v>
      </c>
      <c r="BH432" s="892">
        <f>IF(ISNUMBER('Base de datos Rutas'!DA430),'Base de datos Rutas'!DA430,"")</f>
        <v>1305.6024461028192</v>
      </c>
      <c r="BI432" s="893">
        <f>IF(ISNUMBER('Base de datos Rutas'!DC430),'Base de datos Rutas'!DC430,"")</f>
        <v>55.432593974571589</v>
      </c>
      <c r="BJ432" s="805" t="str">
        <f t="shared" si="252"/>
        <v>Ruta (completo)</v>
      </c>
      <c r="BK432" s="783">
        <f t="shared" si="240"/>
        <v>5</v>
      </c>
      <c r="BL432" s="797">
        <f t="shared" si="241"/>
        <v>4</v>
      </c>
      <c r="BM432" s="797">
        <f t="shared" si="242"/>
        <v>5</v>
      </c>
      <c r="BN432" s="797">
        <f t="shared" si="243"/>
        <v>5</v>
      </c>
      <c r="BO432" s="798" cm="1">
        <f t="array" ref="BO432">SUMPRODUCT(--ISNUMBER($BF432:$BI432),$BK$3:$BN$3)</f>
        <v>1</v>
      </c>
      <c r="BP432" s="831">
        <f t="shared" si="253"/>
        <v>93.75</v>
      </c>
      <c r="BQ432" s="834" t="str">
        <f t="shared" si="254"/>
        <v>Alto</v>
      </c>
      <c r="BR432" s="836">
        <f t="shared" si="244"/>
        <v>49.961823897276069</v>
      </c>
      <c r="BS432" s="836">
        <f t="shared" si="245"/>
        <v>93.75</v>
      </c>
      <c r="BT432" s="837" t="str">
        <f t="shared" si="246"/>
        <v>P1</v>
      </c>
      <c r="BU432" s="807" t="str">
        <f t="shared" si="255"/>
        <v>Al tope</v>
      </c>
      <c r="BV432" s="807" t="str">
        <f t="shared" si="247"/>
        <v>Zona atractiva</v>
      </c>
      <c r="BW432" s="808" t="str">
        <f t="shared" si="248"/>
        <v>P1 - Ampliar cobertura</v>
      </c>
    </row>
    <row r="433" spans="1:75">
      <c r="A433" s="780" t="str">
        <f>'Base de datos Rutas'!A431</f>
        <v>Occidente</v>
      </c>
      <c r="B433" s="781" t="str">
        <f>'Base de datos Rutas'!B431</f>
        <v>Zapopan</v>
      </c>
      <c r="C433" s="781" t="str">
        <f>'Base de datos Rutas'!C431</f>
        <v>Suc. Belenes</v>
      </c>
      <c r="D433" s="782">
        <f>IF(ISNUMBER('Base de datos Rutas'!D431),'Base de datos Rutas'!D431,"Sin código")</f>
        <v>820349</v>
      </c>
      <c r="E433" s="783" t="str">
        <f>'Base de datos Rutas'!F431</f>
        <v>Activa</v>
      </c>
      <c r="F433" s="784" t="str">
        <f>'Base de datos Rutas'!H431</f>
        <v>Sí</v>
      </c>
      <c r="G433" s="785">
        <f>IF(ISNUMBER('Base de datos Rutas'!BE431),'Base de datos Rutas'!BE431,"")</f>
        <v>86.211981566820299</v>
      </c>
      <c r="H433" s="786">
        <f>IF(ISNUMBER('Base de datos Rutas'!BH431),'Base de datos Rutas'!BH431,"")</f>
        <v>0.50791105409450499</v>
      </c>
      <c r="I433" s="788">
        <f>IFERROR(IF(OR(NOT(ISNUMBER('Base de datos Rutas'!O431)),N('Base de datos Rutas'!BK431)=0),"",'Base de datos Rutas'!O431/('Base de datos Rutas'!L431/'Base de datos Rutas'!BK431)),"")</f>
        <v>4338.5806451612907</v>
      </c>
      <c r="J433" s="788">
        <f>IFERROR(IF(OR(NOT(ISNUMBER('Base de datos Rutas'!N431)),N('Base de datos Rutas'!BK431)=0),"",'Base de datos Rutas'!N431/('Base de datos Rutas'!L431/'Base de datos Rutas'!BK431)),"")</f>
        <v>5616.322580645161</v>
      </c>
      <c r="K433" s="788">
        <f>IFERROR(IF(OR(NOT(ISNUMBER('Base de datos Rutas'!J431)),N('Base de datos Rutas'!BK431)=0),"",'Base de datos Rutas'!J431/('Base de datos Rutas'!L431/'Base de datos Rutas'!BK431)),"")</f>
        <v>385.15901935483868</v>
      </c>
      <c r="L433" s="788">
        <f>IFERROR(IF(OR(NOT(ISNUMBER('Base de datos Rutas'!K431)),N('Base de datos Rutas'!BK431)=0),"",'Base de datos Rutas'!K431/('Base de datos Rutas'!L431/'Base de datos Rutas'!BK431)),"")</f>
        <v>32.728182582949309</v>
      </c>
      <c r="M433" s="787">
        <f>IF(ISNUMBER('Base de datos Rutas'!AX431),'Base de datos Rutas'!AX431,"")</f>
        <v>227.34324826352301</v>
      </c>
      <c r="N433" s="790">
        <f>IFERROR(INDEX('Hoja de apoyo v2'!B$17:B$20,MATCH($A433,'Hoja de apoyo v2'!$A$17:$A$20,0)),"")</f>
        <v>89.41621024641401</v>
      </c>
      <c r="O433" s="791">
        <f>IFERROR(INDEX('Hoja de apoyo v2'!C$17:C$20,MATCH($A433,'Hoja de apoyo v2'!$A$17:$A$20,0)),"")</f>
        <v>0.54706375874806301</v>
      </c>
      <c r="P433" s="793">
        <f>IFERROR(INDEX('Hoja de apoyo v2'!D$17:D$20,MATCH($A433,'Hoja de apoyo v2'!$A$17:$A$20,0)),"")</f>
        <v>11095.153935793827</v>
      </c>
      <c r="Q433" s="793">
        <f>IFERROR(INDEX('Hoja de apoyo v2'!E$17:E$20,MATCH($A433,'Hoja de apoyo v2'!$A$17:$A$20,0)),"")</f>
        <v>6982.3202019701848</v>
      </c>
      <c r="R433" s="793">
        <f>IFERROR(INDEX('Hoja de apoyo v2'!F$17:F$20,MATCH($A433,'Hoja de apoyo v2'!$A$17:$A$20,0)),"")</f>
        <v>448.09513474485743</v>
      </c>
      <c r="S433" s="793">
        <f>IFERROR(INDEX('Hoja de apoyo v2'!G$17:G$20,MATCH($A433,'Hoja de apoyo v2'!$A$17:$A$20,0)),"")</f>
        <v>83.406300904207839</v>
      </c>
      <c r="T433" s="792">
        <f>IFERROR(INDEX('Hoja de apoyo v2'!H$17:H$20,MATCH($A433,'Hoja de apoyo v2'!$A$17:$A$20,0)),"")</f>
        <v>378.97014028925349</v>
      </c>
      <c r="U433" s="794">
        <f t="shared" si="220"/>
        <v>0.96416501358351614</v>
      </c>
      <c r="V433" s="795">
        <f t="shared" si="221"/>
        <v>0.92843118552916448</v>
      </c>
      <c r="W433" s="795">
        <f t="shared" si="222"/>
        <v>0.39103383966262001</v>
      </c>
      <c r="X433" s="843">
        <f t="shared" si="223"/>
        <v>0.80436336607141223</v>
      </c>
      <c r="Y433" s="843">
        <f t="shared" si="224"/>
        <v>0.85954742528982331</v>
      </c>
      <c r="Z433" s="843">
        <f t="shared" si="225"/>
        <v>0.39239460602068466</v>
      </c>
      <c r="AA433" s="843">
        <f t="shared" si="226"/>
        <v>0.59989752250665596</v>
      </c>
      <c r="AB433" s="796">
        <f t="shared" si="227"/>
        <v>3</v>
      </c>
      <c r="AC433" s="797">
        <f t="shared" si="228"/>
        <v>3</v>
      </c>
      <c r="AD433" s="797">
        <f t="shared" si="229"/>
        <v>1</v>
      </c>
      <c r="AE433" s="842">
        <f t="shared" si="230"/>
        <v>3</v>
      </c>
      <c r="AF433" s="842">
        <f t="shared" si="231"/>
        <v>3</v>
      </c>
      <c r="AG433" s="842">
        <f t="shared" si="232"/>
        <v>1</v>
      </c>
      <c r="AH433" s="842">
        <f t="shared" si="233"/>
        <v>2</v>
      </c>
      <c r="AI433" s="826" cm="1">
        <f t="array" ref="AI433">SUMPRODUCT(--ISNUMBER($U433:$AA433),$AB$3:$AH$3)</f>
        <v>1</v>
      </c>
      <c r="AJ433" s="829">
        <f t="shared" si="234"/>
        <v>28.748795684897999</v>
      </c>
      <c r="AK433" s="827" t="str">
        <f t="shared" si="235"/>
        <v>Inmadura</v>
      </c>
      <c r="AL433" s="784" t="str">
        <f t="shared" si="236"/>
        <v>Alta</v>
      </c>
      <c r="AM433" s="799">
        <f>IF(ISNUMBER('Base de datos Rutas'!W431),'Base de datos Rutas'!W431,"")</f>
        <v>3116.1708958203221</v>
      </c>
      <c r="AN433" s="787">
        <f>IFERROR(SUMIFS('Base de datos Rutas'!$W$6:$W$794,'Base de datos Rutas'!$C$6:$C$794,$C433)/'Base de datos Rutas'!I431,"")</f>
        <v>3116.1708958203185</v>
      </c>
      <c r="AO433" s="800">
        <f>IFERROR('Base de datos Rutas'!X431*AN433/AM433,"")</f>
        <v>0.37418782761251823</v>
      </c>
      <c r="AP433" s="800">
        <f t="shared" si="237"/>
        <v>0.62581217238748177</v>
      </c>
      <c r="AQ433" s="789">
        <f>IFERROR(INDEX('Hoja de apoyo v2'!$J$17:$J$20,MATCH($A433,'Hoja de apoyo v2'!$A$17:$A$20,0)),"")</f>
        <v>0.64320274048480885</v>
      </c>
      <c r="AR433" s="789">
        <f t="shared" si="238"/>
        <v>-1.7390568097327086E-2</v>
      </c>
      <c r="AS433" s="784" t="str">
        <f t="shared" si="239"/>
        <v>No</v>
      </c>
      <c r="AT433" s="801">
        <f>IF(ISNUMBER('Base de datos Rutas'!CK431),'Base de datos Rutas'!CK431,"")</f>
        <v>319</v>
      </c>
      <c r="AU433" s="802">
        <f>IF(ISNUMBER('Base de datos Rutas'!CL431),'Base de datos Rutas'!CL431,"")</f>
        <v>499.56</v>
      </c>
      <c r="AV433" s="802">
        <f>IF(ISNUMBER('Base de datos Rutas'!CM431),'Base de datos Rutas'!CM431,"")</f>
        <v>180.56</v>
      </c>
      <c r="AW433" s="802">
        <f>IF(ISNUMBER('Base de datos Rutas'!CN431),'Base de datos Rutas'!CN431,"")</f>
        <v>9.76</v>
      </c>
      <c r="AX433" s="802">
        <f>IF(ISNUMBER('Base de datos Rutas'!CO431),'Base de datos Rutas'!CO431,"")</f>
        <v>9.4499999999999993</v>
      </c>
      <c r="AY433" s="802">
        <f>IF(ISNUMBER('Base de datos Rutas'!CP431),'Base de datos Rutas'!CP431,"")</f>
        <v>-0.3100000000000005</v>
      </c>
      <c r="AZ433" s="802">
        <f>IF(ISNUMBER('Base de datos Rutas'!CQ431),'Base de datos Rutas'!CQ431,"")</f>
        <v>846.56</v>
      </c>
      <c r="BA433" s="802">
        <f>IF(ISNUMBER('Base de datos Rutas'!CR431),'Base de datos Rutas'!CR431,"")</f>
        <v>417.89</v>
      </c>
      <c r="BB433" s="803">
        <f>IF(ISNUMBER('Base de datos Rutas'!CS431),'Base de datos Rutas'!CS431,"")</f>
        <v>428.66999999999996</v>
      </c>
      <c r="BC433" s="804">
        <f t="shared" si="249"/>
        <v>1</v>
      </c>
      <c r="BD433" s="805" t="str">
        <f t="shared" si="250"/>
        <v>Saturada</v>
      </c>
      <c r="BE433" s="806">
        <f t="shared" si="251"/>
        <v>0.49363305613305614</v>
      </c>
      <c r="BF433" s="890">
        <f>IF(ISNUMBER('Base de datos Rutas'!CX431),'Base de datos Rutas'!CX431/100,"")</f>
        <v>0.89968888888888887</v>
      </c>
      <c r="BG433" s="891">
        <f>IF(ISNUMBER('Base de datos Rutas'!CZ431),'Base de datos Rutas'!CZ431/100,"")</f>
        <v>1</v>
      </c>
      <c r="BH433" s="892">
        <f>IF(ISNUMBER('Base de datos Rutas'!DA431),'Base de datos Rutas'!DA431,"")</f>
        <v>1170.0944783293614</v>
      </c>
      <c r="BI433" s="893">
        <f>IF(ISNUMBER('Base de datos Rutas'!DC431),'Base de datos Rutas'!DC431,"")</f>
        <v>50.921517146665586</v>
      </c>
      <c r="BJ433" s="805" t="str">
        <f t="shared" si="252"/>
        <v>Ruta (completo)</v>
      </c>
      <c r="BK433" s="783">
        <f t="shared" si="240"/>
        <v>3</v>
      </c>
      <c r="BL433" s="797">
        <f t="shared" si="241"/>
        <v>4</v>
      </c>
      <c r="BM433" s="797">
        <f t="shared" si="242"/>
        <v>5</v>
      </c>
      <c r="BN433" s="797">
        <f t="shared" si="243"/>
        <v>5</v>
      </c>
      <c r="BO433" s="798" cm="1">
        <f t="array" ref="BO433">SUMPRODUCT(--ISNUMBER($BF433:$BI433),$BK$3:$BN$3)</f>
        <v>1</v>
      </c>
      <c r="BP433" s="831">
        <f t="shared" si="253"/>
        <v>81.25</v>
      </c>
      <c r="BQ433" s="834" t="str">
        <f t="shared" si="254"/>
        <v>Alto</v>
      </c>
      <c r="BR433" s="836">
        <f t="shared" si="244"/>
        <v>46.561596763673499</v>
      </c>
      <c r="BS433" s="836">
        <f t="shared" si="245"/>
        <v>81.25</v>
      </c>
      <c r="BT433" s="837" t="str">
        <f t="shared" si="246"/>
        <v>P1</v>
      </c>
      <c r="BU433" s="807" t="str">
        <f t="shared" si="255"/>
        <v>Al tope</v>
      </c>
      <c r="BV433" s="807" t="str">
        <f t="shared" si="247"/>
        <v>Zona atractiva</v>
      </c>
      <c r="BW433" s="808" t="str">
        <f t="shared" si="248"/>
        <v>P1 - Ampliar cobertura</v>
      </c>
    </row>
    <row r="434" spans="1:75">
      <c r="A434" s="780" t="str">
        <f>'Base de datos Rutas'!A432</f>
        <v>Occidente</v>
      </c>
      <c r="B434" s="781" t="str">
        <f>'Base de datos Rutas'!B432</f>
        <v>Zapopan</v>
      </c>
      <c r="C434" s="781" t="str">
        <f>'Base de datos Rutas'!C432</f>
        <v>Suc. Belenes</v>
      </c>
      <c r="D434" s="782">
        <f>IF(ISNUMBER('Base de datos Rutas'!D432),'Base de datos Rutas'!D432,"Sin código")</f>
        <v>820350</v>
      </c>
      <c r="E434" s="783" t="str">
        <f>'Base de datos Rutas'!F432</f>
        <v>Activa</v>
      </c>
      <c r="F434" s="784" t="str">
        <f>'Base de datos Rutas'!H432</f>
        <v>Sí</v>
      </c>
      <c r="G434" s="785">
        <f>IF(ISNUMBER('Base de datos Rutas'!BE432),'Base de datos Rutas'!BE432,"")</f>
        <v>64.755980861243998</v>
      </c>
      <c r="H434" s="786">
        <f>IF(ISNUMBER('Base de datos Rutas'!BH432),'Base de datos Rutas'!BH432,"")</f>
        <v>0.28417319343874697</v>
      </c>
      <c r="I434" s="788">
        <f>IFERROR(IF(OR(NOT(ISNUMBER('Base de datos Rutas'!O432)),N('Base de datos Rutas'!BK432)=0),"",'Base de datos Rutas'!O432/('Base de datos Rutas'!L432/'Base de datos Rutas'!BK432)),"")</f>
        <v>1714.1615925058575</v>
      </c>
      <c r="J434" s="788">
        <f>IFERROR(IF(OR(NOT(ISNUMBER('Base de datos Rutas'!N432)),N('Base de datos Rutas'!BK432)=0),"",'Base de datos Rutas'!N432/('Base de datos Rutas'!L432/'Base de datos Rutas'!BK432)),"")</f>
        <v>2976.3138173302154</v>
      </c>
      <c r="K434" s="788">
        <f>IFERROR(IF(OR(NOT(ISNUMBER('Base de datos Rutas'!J432)),N('Base de datos Rutas'!BK432)=0),"",'Base de datos Rutas'!J432/('Base de datos Rutas'!L432/'Base de datos Rutas'!BK432)),"")</f>
        <v>202.9380852459017</v>
      </c>
      <c r="L434" s="788">
        <f>IFERROR(IF(OR(NOT(ISNUMBER('Base de datos Rutas'!K432)),N('Base de datos Rutas'!BK432)=0),"",'Base de datos Rutas'!K432/('Base de datos Rutas'!L432/'Base de datos Rutas'!BK432)),"")</f>
        <v>12.626853463700254</v>
      </c>
      <c r="M434" s="787">
        <f>IF(ISNUMBER('Base de datos Rutas'!AX432),'Base de datos Rutas'!AX432,"")</f>
        <v>285.58868815057798</v>
      </c>
      <c r="N434" s="790">
        <f>IFERROR(INDEX('Hoja de apoyo v2'!B$17:B$20,MATCH($A434,'Hoja de apoyo v2'!$A$17:$A$20,0)),"")</f>
        <v>89.41621024641401</v>
      </c>
      <c r="O434" s="791">
        <f>IFERROR(INDEX('Hoja de apoyo v2'!C$17:C$20,MATCH($A434,'Hoja de apoyo v2'!$A$17:$A$20,0)),"")</f>
        <v>0.54706375874806301</v>
      </c>
      <c r="P434" s="793">
        <f>IFERROR(INDEX('Hoja de apoyo v2'!D$17:D$20,MATCH($A434,'Hoja de apoyo v2'!$A$17:$A$20,0)),"")</f>
        <v>11095.153935793827</v>
      </c>
      <c r="Q434" s="793">
        <f>IFERROR(INDEX('Hoja de apoyo v2'!E$17:E$20,MATCH($A434,'Hoja de apoyo v2'!$A$17:$A$20,0)),"")</f>
        <v>6982.3202019701848</v>
      </c>
      <c r="R434" s="793">
        <f>IFERROR(INDEX('Hoja de apoyo v2'!F$17:F$20,MATCH($A434,'Hoja de apoyo v2'!$A$17:$A$20,0)),"")</f>
        <v>448.09513474485743</v>
      </c>
      <c r="S434" s="793">
        <f>IFERROR(INDEX('Hoja de apoyo v2'!G$17:G$20,MATCH($A434,'Hoja de apoyo v2'!$A$17:$A$20,0)),"")</f>
        <v>83.406300904207839</v>
      </c>
      <c r="T434" s="792">
        <f>IFERROR(INDEX('Hoja de apoyo v2'!H$17:H$20,MATCH($A434,'Hoja de apoyo v2'!$A$17:$A$20,0)),"")</f>
        <v>378.97014028925349</v>
      </c>
      <c r="U434" s="794">
        <f t="shared" si="220"/>
        <v>0.72420851524336438</v>
      </c>
      <c r="V434" s="795">
        <f t="shared" si="221"/>
        <v>0.51945168893853932</v>
      </c>
      <c r="W434" s="795">
        <f t="shared" si="222"/>
        <v>0.15449642271080524</v>
      </c>
      <c r="X434" s="843">
        <f t="shared" si="223"/>
        <v>0.42626429771731122</v>
      </c>
      <c r="Y434" s="843">
        <f t="shared" si="224"/>
        <v>0.4528906241337643</v>
      </c>
      <c r="Z434" s="843">
        <f t="shared" si="225"/>
        <v>0.1513896831152145</v>
      </c>
      <c r="AA434" s="843">
        <f t="shared" si="226"/>
        <v>0.75359153080661978</v>
      </c>
      <c r="AB434" s="796">
        <f t="shared" si="227"/>
        <v>2</v>
      </c>
      <c r="AC434" s="797">
        <f t="shared" si="228"/>
        <v>2</v>
      </c>
      <c r="AD434" s="797">
        <f t="shared" si="229"/>
        <v>1</v>
      </c>
      <c r="AE434" s="842">
        <f t="shared" si="230"/>
        <v>1</v>
      </c>
      <c r="AF434" s="842">
        <f t="shared" si="231"/>
        <v>1</v>
      </c>
      <c r="AG434" s="842">
        <f t="shared" si="232"/>
        <v>1</v>
      </c>
      <c r="AH434" s="842">
        <f t="shared" si="233"/>
        <v>3</v>
      </c>
      <c r="AI434" s="826" cm="1">
        <f t="array" ref="AI434">SUMPRODUCT(--ISNUMBER($U434:$AA434),$AB$3:$AH$3)</f>
        <v>1</v>
      </c>
      <c r="AJ434" s="829">
        <f t="shared" si="234"/>
        <v>11.405997444680359</v>
      </c>
      <c r="AK434" s="827" t="str">
        <f t="shared" si="235"/>
        <v>Inmadura</v>
      </c>
      <c r="AL434" s="784" t="str">
        <f t="shared" si="236"/>
        <v>Alta</v>
      </c>
      <c r="AM434" s="799">
        <f>IF(ISNUMBER('Base de datos Rutas'!W432),'Base de datos Rutas'!W432,"")</f>
        <v>3116.1708958203221</v>
      </c>
      <c r="AN434" s="787">
        <f>IFERROR(SUMIFS('Base de datos Rutas'!$W$6:$W$794,'Base de datos Rutas'!$C$6:$C$794,$C434)/'Base de datos Rutas'!I432,"")</f>
        <v>3116.1708958203185</v>
      </c>
      <c r="AO434" s="800">
        <f>IFERROR('Base de datos Rutas'!X432*AN434/AM434,"")</f>
        <v>0.37418782761251823</v>
      </c>
      <c r="AP434" s="800">
        <f t="shared" si="237"/>
        <v>0.62581217238748177</v>
      </c>
      <c r="AQ434" s="789">
        <f>IFERROR(INDEX('Hoja de apoyo v2'!$J$17:$J$20,MATCH($A434,'Hoja de apoyo v2'!$A$17:$A$20,0)),"")</f>
        <v>0.64320274048480885</v>
      </c>
      <c r="AR434" s="789">
        <f t="shared" si="238"/>
        <v>-1.7390568097327086E-2</v>
      </c>
      <c r="AS434" s="784" t="str">
        <f t="shared" si="239"/>
        <v>No</v>
      </c>
      <c r="AT434" s="801" t="str">
        <f>IF(ISNUMBER('Base de datos Rutas'!CK432),'Base de datos Rutas'!CK432,"")</f>
        <v/>
      </c>
      <c r="AU434" s="802" t="str">
        <f>IF(ISNUMBER('Base de datos Rutas'!CL432),'Base de datos Rutas'!CL432,"")</f>
        <v/>
      </c>
      <c r="AV434" s="802">
        <f>IF(ISNUMBER('Base de datos Rutas'!CM432),'Base de datos Rutas'!CM432,"")</f>
        <v>0</v>
      </c>
      <c r="AW434" s="802" t="str">
        <f>IF(ISNUMBER('Base de datos Rutas'!CN432),'Base de datos Rutas'!CN432,"")</f>
        <v/>
      </c>
      <c r="AX434" s="802" t="str">
        <f>IF(ISNUMBER('Base de datos Rutas'!CO432),'Base de datos Rutas'!CO432,"")</f>
        <v/>
      </c>
      <c r="AY434" s="802">
        <f>IF(ISNUMBER('Base de datos Rutas'!CP432),'Base de datos Rutas'!CP432,"")</f>
        <v>0</v>
      </c>
      <c r="AZ434" s="802" t="str">
        <f>IF(ISNUMBER('Base de datos Rutas'!CQ432),'Base de datos Rutas'!CQ432,"")</f>
        <v/>
      </c>
      <c r="BA434" s="802" t="str">
        <f>IF(ISNUMBER('Base de datos Rutas'!CR432),'Base de datos Rutas'!CR432,"")</f>
        <v/>
      </c>
      <c r="BB434" s="803">
        <f>IF(ISNUMBER('Base de datos Rutas'!CS432),'Base de datos Rutas'!CS432,"")</f>
        <v>0</v>
      </c>
      <c r="BC434" s="804" t="str">
        <f t="shared" si="249"/>
        <v/>
      </c>
      <c r="BD434" s="805" t="str">
        <f t="shared" si="250"/>
        <v>N/D</v>
      </c>
      <c r="BE434" s="806" t="str">
        <f t="shared" si="251"/>
        <v/>
      </c>
      <c r="BF434" s="890" t="str">
        <f>IF(ISNUMBER('Base de datos Rutas'!CX432),'Base de datos Rutas'!CX432/100,"")</f>
        <v/>
      </c>
      <c r="BG434" s="891" t="str">
        <f>IF(ISNUMBER('Base de datos Rutas'!CZ432),'Base de datos Rutas'!CZ432/100,"")</f>
        <v/>
      </c>
      <c r="BH434" s="892" t="str">
        <f>IF(ISNUMBER('Base de datos Rutas'!DA432),'Base de datos Rutas'!DA432,"")</f>
        <v/>
      </c>
      <c r="BI434" s="893" t="str">
        <f>IF(ISNUMBER('Base de datos Rutas'!DC432),'Base de datos Rutas'!DC432,"")</f>
        <v/>
      </c>
      <c r="BJ434" s="805" t="str">
        <f t="shared" si="252"/>
        <v>Sin dato</v>
      </c>
      <c r="BK434" s="783">
        <f t="shared" si="240"/>
        <v>0</v>
      </c>
      <c r="BL434" s="797">
        <f t="shared" si="241"/>
        <v>0</v>
      </c>
      <c r="BM434" s="797">
        <f t="shared" si="242"/>
        <v>0</v>
      </c>
      <c r="BN434" s="797">
        <f t="shared" si="243"/>
        <v>0</v>
      </c>
      <c r="BO434" s="798" cm="1">
        <f t="array" ref="BO434">SUMPRODUCT(--ISNUMBER($BF434:$BI434),$BK$3:$BN$3)</f>
        <v>0</v>
      </c>
      <c r="BP434" s="831" t="str">
        <f t="shared" si="253"/>
        <v/>
      </c>
      <c r="BQ434" s="834" t="str">
        <f t="shared" si="254"/>
        <v>Sin datos</v>
      </c>
      <c r="BR434" s="836" t="str">
        <f t="shared" si="244"/>
        <v/>
      </c>
      <c r="BS434" s="836" t="str">
        <f t="shared" si="245"/>
        <v/>
      </c>
      <c r="BT434" s="837" t="str">
        <f t="shared" si="246"/>
        <v>Sin datos</v>
      </c>
      <c r="BU434" s="807" t="str">
        <f t="shared" si="255"/>
        <v>Con espacio</v>
      </c>
      <c r="BV434" s="807" t="str">
        <f t="shared" si="247"/>
        <v>Sin datos de zona</v>
      </c>
      <c r="BW434" s="808" t="str">
        <f t="shared" si="248"/>
        <v>Sin datos</v>
      </c>
    </row>
    <row r="435" spans="1:75">
      <c r="A435" s="780" t="str">
        <f>'Base de datos Rutas'!A433</f>
        <v>Occidente</v>
      </c>
      <c r="B435" s="781" t="str">
        <f>'Base de datos Rutas'!B433</f>
        <v>Zapopan</v>
      </c>
      <c r="C435" s="781" t="str">
        <f>'Base de datos Rutas'!C433</f>
        <v>Suc. Belenes</v>
      </c>
      <c r="D435" s="782">
        <f>IF(ISNUMBER('Base de datos Rutas'!D433),'Base de datos Rutas'!D433,"Sin código")</f>
        <v>820351</v>
      </c>
      <c r="E435" s="783" t="str">
        <f>'Base de datos Rutas'!F433</f>
        <v>Activa</v>
      </c>
      <c r="F435" s="784" t="str">
        <f>'Base de datos Rutas'!H433</f>
        <v>Sí</v>
      </c>
      <c r="G435" s="785">
        <f>IF(ISNUMBER('Base de datos Rutas'!BE433),'Base de datos Rutas'!BE433,"")</f>
        <v>73.354022988505804</v>
      </c>
      <c r="H435" s="786">
        <f>IF(ISNUMBER('Base de datos Rutas'!BH433),'Base de datos Rutas'!BH433,"")</f>
        <v>0.57037199536181005</v>
      </c>
      <c r="I435" s="788">
        <f>IFERROR(IF(OR(NOT(ISNUMBER('Base de datos Rutas'!O433)),N('Base de datos Rutas'!BK433)=0),"",'Base de datos Rutas'!O433/('Base de datos Rutas'!L433/'Base de datos Rutas'!BK433)),"")</f>
        <v>3565.9448275861987</v>
      </c>
      <c r="J435" s="788">
        <f>IFERROR(IF(OR(NOT(ISNUMBER('Base de datos Rutas'!N433)),N('Base de datos Rutas'!BK433)=0),"",'Base de datos Rutas'!N433/('Base de datos Rutas'!L433/'Base de datos Rutas'!BK433)),"")</f>
        <v>6236.1402298850426</v>
      </c>
      <c r="K435" s="788">
        <f>IFERROR(IF(OR(NOT(ISNUMBER('Base de datos Rutas'!J433)),N('Base de datos Rutas'!BK433)=0),"",'Base de datos Rutas'!J433/('Base de datos Rutas'!L433/'Base de datos Rutas'!BK433)),"")</f>
        <v>433.16612781609098</v>
      </c>
      <c r="L435" s="788">
        <f>IFERROR(IF(OR(NOT(ISNUMBER('Base de datos Rutas'!K433)),N('Base de datos Rutas'!BK433)=0),"",'Base de datos Rutas'!K433/('Base de datos Rutas'!L433/'Base de datos Rutas'!BK433)),"")</f>
        <v>26.636256705747066</v>
      </c>
      <c r="M435" s="787">
        <f>IF(ISNUMBER('Base de datos Rutas'!AX433),'Base de datos Rutas'!AX433,"")</f>
        <v>234.280819230769</v>
      </c>
      <c r="N435" s="790">
        <f>IFERROR(INDEX('Hoja de apoyo v2'!B$17:B$20,MATCH($A435,'Hoja de apoyo v2'!$A$17:$A$20,0)),"")</f>
        <v>89.41621024641401</v>
      </c>
      <c r="O435" s="791">
        <f>IFERROR(INDEX('Hoja de apoyo v2'!C$17:C$20,MATCH($A435,'Hoja de apoyo v2'!$A$17:$A$20,0)),"")</f>
        <v>0.54706375874806301</v>
      </c>
      <c r="P435" s="793">
        <f>IFERROR(INDEX('Hoja de apoyo v2'!D$17:D$20,MATCH($A435,'Hoja de apoyo v2'!$A$17:$A$20,0)),"")</f>
        <v>11095.153935793827</v>
      </c>
      <c r="Q435" s="793">
        <f>IFERROR(INDEX('Hoja de apoyo v2'!E$17:E$20,MATCH($A435,'Hoja de apoyo v2'!$A$17:$A$20,0)),"")</f>
        <v>6982.3202019701848</v>
      </c>
      <c r="R435" s="793">
        <f>IFERROR(INDEX('Hoja de apoyo v2'!F$17:F$20,MATCH($A435,'Hoja de apoyo v2'!$A$17:$A$20,0)),"")</f>
        <v>448.09513474485743</v>
      </c>
      <c r="S435" s="793">
        <f>IFERROR(INDEX('Hoja de apoyo v2'!G$17:G$20,MATCH($A435,'Hoja de apoyo v2'!$A$17:$A$20,0)),"")</f>
        <v>83.406300904207839</v>
      </c>
      <c r="T435" s="792">
        <f>IFERROR(INDEX('Hoja de apoyo v2'!H$17:H$20,MATCH($A435,'Hoja de apoyo v2'!$A$17:$A$20,0)),"")</f>
        <v>378.97014028925349</v>
      </c>
      <c r="U435" s="794">
        <f t="shared" si="220"/>
        <v>0.82036604756963105</v>
      </c>
      <c r="V435" s="795">
        <f t="shared" si="221"/>
        <v>1.04260606966012</v>
      </c>
      <c r="W435" s="795">
        <f t="shared" si="222"/>
        <v>0.32139660686294619</v>
      </c>
      <c r="X435" s="843">
        <f t="shared" si="223"/>
        <v>0.89313294857566194</v>
      </c>
      <c r="Y435" s="843">
        <f t="shared" si="224"/>
        <v>0.96668339874462827</v>
      </c>
      <c r="Z435" s="843">
        <f t="shared" si="225"/>
        <v>0.31935544937232996</v>
      </c>
      <c r="AA435" s="843">
        <f t="shared" si="226"/>
        <v>0.61820390137320935</v>
      </c>
      <c r="AB435" s="796">
        <f t="shared" si="227"/>
        <v>3</v>
      </c>
      <c r="AC435" s="797">
        <f t="shared" si="228"/>
        <v>4</v>
      </c>
      <c r="AD435" s="797">
        <f t="shared" si="229"/>
        <v>1</v>
      </c>
      <c r="AE435" s="842">
        <f t="shared" si="230"/>
        <v>3</v>
      </c>
      <c r="AF435" s="842">
        <f t="shared" si="231"/>
        <v>3</v>
      </c>
      <c r="AG435" s="842">
        <f t="shared" si="232"/>
        <v>1</v>
      </c>
      <c r="AH435" s="842">
        <f t="shared" si="233"/>
        <v>2</v>
      </c>
      <c r="AI435" s="826" cm="1">
        <f t="array" ref="AI435">SUMPRODUCT(--ISNUMBER($U435:$AA435),$AB$3:$AH$3)</f>
        <v>1</v>
      </c>
      <c r="AJ435" s="829">
        <f t="shared" si="234"/>
        <v>31.131701270788469</v>
      </c>
      <c r="AK435" s="827" t="str">
        <f t="shared" si="235"/>
        <v>Inmadura</v>
      </c>
      <c r="AL435" s="784" t="str">
        <f t="shared" si="236"/>
        <v>Alta</v>
      </c>
      <c r="AM435" s="799">
        <f>IF(ISNUMBER('Base de datos Rutas'!W433),'Base de datos Rutas'!W433,"")</f>
        <v>3116.1708958203221</v>
      </c>
      <c r="AN435" s="787">
        <f>IFERROR(SUMIFS('Base de datos Rutas'!$W$6:$W$794,'Base de datos Rutas'!$C$6:$C$794,$C435)/'Base de datos Rutas'!I433,"")</f>
        <v>3116.1708958203185</v>
      </c>
      <c r="AO435" s="800">
        <f>IFERROR('Base de datos Rutas'!X433*AN435/AM435,"")</f>
        <v>0.37418782761251823</v>
      </c>
      <c r="AP435" s="800">
        <f t="shared" si="237"/>
        <v>0.62581217238748177</v>
      </c>
      <c r="AQ435" s="789">
        <f>IFERROR(INDEX('Hoja de apoyo v2'!$J$17:$J$20,MATCH($A435,'Hoja de apoyo v2'!$A$17:$A$20,0)),"")</f>
        <v>0.64320274048480885</v>
      </c>
      <c r="AR435" s="789">
        <f t="shared" si="238"/>
        <v>-1.7390568097327086E-2</v>
      </c>
      <c r="AS435" s="784" t="str">
        <f t="shared" si="239"/>
        <v>No</v>
      </c>
      <c r="AT435" s="801">
        <f>IF(ISNUMBER('Base de datos Rutas'!CK433),'Base de datos Rutas'!CK433,"")</f>
        <v>312</v>
      </c>
      <c r="AU435" s="802">
        <f>IF(ISNUMBER('Base de datos Rutas'!CL433),'Base de datos Rutas'!CL433,"")</f>
        <v>462.53</v>
      </c>
      <c r="AV435" s="802">
        <f>IF(ISNUMBER('Base de datos Rutas'!CM433),'Base de datos Rutas'!CM433,"")</f>
        <v>150.52999999999997</v>
      </c>
      <c r="AW435" s="802">
        <f>IF(ISNUMBER('Base de datos Rutas'!CN433),'Base de datos Rutas'!CN433,"")</f>
        <v>7.59</v>
      </c>
      <c r="AX435" s="802">
        <f>IF(ISNUMBER('Base de datos Rutas'!CO433),'Base de datos Rutas'!CO433,"")</f>
        <v>9.4499999999999993</v>
      </c>
      <c r="AY435" s="802">
        <f>IF(ISNUMBER('Base de datos Rutas'!CP433),'Base de datos Rutas'!CP433,"")</f>
        <v>1.8599999999999994</v>
      </c>
      <c r="AZ435" s="802">
        <f>IF(ISNUMBER('Base de datos Rutas'!CQ433),'Base de datos Rutas'!CQ433,"")</f>
        <v>846.56</v>
      </c>
      <c r="BA435" s="802">
        <f>IF(ISNUMBER('Base de datos Rutas'!CR433),'Base de datos Rutas'!CR433,"")</f>
        <v>459.8</v>
      </c>
      <c r="BB435" s="803">
        <f>IF(ISNUMBER('Base de datos Rutas'!CS433),'Base de datos Rutas'!CS433,"")</f>
        <v>386.75999999999993</v>
      </c>
      <c r="BC435" s="804">
        <f t="shared" si="249"/>
        <v>0</v>
      </c>
      <c r="BD435" s="805" t="str">
        <f t="shared" si="250"/>
        <v>No saturada</v>
      </c>
      <c r="BE435" s="806">
        <f t="shared" si="251"/>
        <v>0.54313929313929321</v>
      </c>
      <c r="BF435" s="890">
        <f>IF(ISNUMBER('Base de datos Rutas'!CX433),'Base de datos Rutas'!CX433/100,"")</f>
        <v>0.94990682196339415</v>
      </c>
      <c r="BG435" s="891">
        <f>IF(ISNUMBER('Base de datos Rutas'!CZ433),'Base de datos Rutas'!CZ433/100,"")</f>
        <v>1</v>
      </c>
      <c r="BH435" s="892">
        <f>IF(ISNUMBER('Base de datos Rutas'!DA433),'Base de datos Rutas'!DA433,"")</f>
        <v>481.82212813695315</v>
      </c>
      <c r="BI435" s="893">
        <f>IF(ISNUMBER('Base de datos Rutas'!DC433),'Base de datos Rutas'!DC433,"")</f>
        <v>22.414412158971711</v>
      </c>
      <c r="BJ435" s="805" t="str">
        <f t="shared" si="252"/>
        <v>Ruta (completo)</v>
      </c>
      <c r="BK435" s="783">
        <f t="shared" si="240"/>
        <v>5</v>
      </c>
      <c r="BL435" s="797">
        <f t="shared" si="241"/>
        <v>4</v>
      </c>
      <c r="BM435" s="797">
        <f t="shared" si="242"/>
        <v>2</v>
      </c>
      <c r="BN435" s="797">
        <f t="shared" si="243"/>
        <v>2</v>
      </c>
      <c r="BO435" s="798" cm="1">
        <f t="array" ref="BO435">SUMPRODUCT(--ISNUMBER($BF435:$BI435),$BK$3:$BN$3)</f>
        <v>1</v>
      </c>
      <c r="BP435" s="831">
        <f t="shared" si="253"/>
        <v>56.25</v>
      </c>
      <c r="BQ435" s="834" t="str">
        <f t="shared" si="254"/>
        <v>Alto</v>
      </c>
      <c r="BR435" s="836">
        <f t="shared" si="244"/>
        <v>23.348775953091351</v>
      </c>
      <c r="BS435" s="836">
        <f t="shared" si="245"/>
        <v>56.25</v>
      </c>
      <c r="BT435" s="837" t="str">
        <f t="shared" si="246"/>
        <v>P3</v>
      </c>
      <c r="BU435" s="807" t="str">
        <f t="shared" si="255"/>
        <v>Con espacio</v>
      </c>
      <c r="BV435" s="807" t="str">
        <f t="shared" si="247"/>
        <v>Zona atractiva</v>
      </c>
      <c r="BW435" s="808" t="str">
        <f t="shared" si="248"/>
        <v>P3 - Desarrollar</v>
      </c>
    </row>
    <row r="436" spans="1:75">
      <c r="A436" s="780" t="str">
        <f>'Base de datos Rutas'!A434</f>
        <v>Occidente</v>
      </c>
      <c r="B436" s="781" t="str">
        <f>'Base de datos Rutas'!B434</f>
        <v>Zapopan</v>
      </c>
      <c r="C436" s="781" t="str">
        <f>'Base de datos Rutas'!C434</f>
        <v>Suc. Belenes</v>
      </c>
      <c r="D436" s="782">
        <f>IF(ISNUMBER('Base de datos Rutas'!D434),'Base de datos Rutas'!D434,"Sin código")</f>
        <v>820352</v>
      </c>
      <c r="E436" s="783" t="str">
        <f>'Base de datos Rutas'!F434</f>
        <v>Activa</v>
      </c>
      <c r="F436" s="784" t="str">
        <f>'Base de datos Rutas'!H434</f>
        <v>Sí</v>
      </c>
      <c r="G436" s="785">
        <f>IF(ISNUMBER('Base de datos Rutas'!BE434),'Base de datos Rutas'!BE434,"")</f>
        <v>82.949425287356306</v>
      </c>
      <c r="H436" s="786">
        <f>IF(ISNUMBER('Base de datos Rutas'!BH434),'Base de datos Rutas'!BH434,"")</f>
        <v>0.41565280048776398</v>
      </c>
      <c r="I436" s="788">
        <f>IFERROR(IF(OR(NOT(ISNUMBER('Base de datos Rutas'!O434)),N('Base de datos Rutas'!BK434)=0),"",'Base de datos Rutas'!O434/('Base de datos Rutas'!L434/'Base de datos Rutas'!BK434)),"")</f>
        <v>3354.7747126436698</v>
      </c>
      <c r="J436" s="788">
        <f>IFERROR(IF(OR(NOT(ISNUMBER('Base de datos Rutas'!N434)),N('Base de datos Rutas'!BK434)=0),"",'Base de datos Rutas'!N434/('Base de datos Rutas'!L434/'Base de datos Rutas'!BK434)),"")</f>
        <v>6335.2712643678005</v>
      </c>
      <c r="K436" s="788">
        <f>IFERROR(IF(OR(NOT(ISNUMBER('Base de datos Rutas'!J434)),N('Base de datos Rutas'!BK434)=0),"",'Base de datos Rutas'!J434/('Base de datos Rutas'!L434/'Base de datos Rutas'!BK434)),"")</f>
        <v>437.73310160919436</v>
      </c>
      <c r="L436" s="788">
        <f>IFERROR(IF(OR(NOT(ISNUMBER('Base de datos Rutas'!K434)),N('Base de datos Rutas'!BK434)=0),"",'Base de datos Rutas'!K434/('Base de datos Rutas'!L434/'Base de datos Rutas'!BK434)),"")</f>
        <v>23.226906096551666</v>
      </c>
      <c r="M436" s="787">
        <f>IF(ISNUMBER('Base de datos Rutas'!AX434),'Base de datos Rutas'!AX434,"")</f>
        <v>281.04866315508701</v>
      </c>
      <c r="N436" s="790">
        <f>IFERROR(INDEX('Hoja de apoyo v2'!B$17:B$20,MATCH($A436,'Hoja de apoyo v2'!$A$17:$A$20,0)),"")</f>
        <v>89.41621024641401</v>
      </c>
      <c r="O436" s="791">
        <f>IFERROR(INDEX('Hoja de apoyo v2'!C$17:C$20,MATCH($A436,'Hoja de apoyo v2'!$A$17:$A$20,0)),"")</f>
        <v>0.54706375874806301</v>
      </c>
      <c r="P436" s="793">
        <f>IFERROR(INDEX('Hoja de apoyo v2'!D$17:D$20,MATCH($A436,'Hoja de apoyo v2'!$A$17:$A$20,0)),"")</f>
        <v>11095.153935793827</v>
      </c>
      <c r="Q436" s="793">
        <f>IFERROR(INDEX('Hoja de apoyo v2'!E$17:E$20,MATCH($A436,'Hoja de apoyo v2'!$A$17:$A$20,0)),"")</f>
        <v>6982.3202019701848</v>
      </c>
      <c r="R436" s="793">
        <f>IFERROR(INDEX('Hoja de apoyo v2'!F$17:F$20,MATCH($A436,'Hoja de apoyo v2'!$A$17:$A$20,0)),"")</f>
        <v>448.09513474485743</v>
      </c>
      <c r="S436" s="793">
        <f>IFERROR(INDEX('Hoja de apoyo v2'!G$17:G$20,MATCH($A436,'Hoja de apoyo v2'!$A$17:$A$20,0)),"")</f>
        <v>83.406300904207839</v>
      </c>
      <c r="T436" s="792">
        <f>IFERROR(INDEX('Hoja de apoyo v2'!H$17:H$20,MATCH($A436,'Hoja de apoyo v2'!$A$17:$A$20,0)),"")</f>
        <v>378.97014028925349</v>
      </c>
      <c r="U436" s="794">
        <f t="shared" si="220"/>
        <v>0.92767771144363553</v>
      </c>
      <c r="V436" s="795">
        <f t="shared" si="221"/>
        <v>0.7597885874198127</v>
      </c>
      <c r="W436" s="795">
        <f t="shared" si="222"/>
        <v>0.30236396286678874</v>
      </c>
      <c r="X436" s="843">
        <f t="shared" si="223"/>
        <v>0.90733038318411574</v>
      </c>
      <c r="Y436" s="843">
        <f t="shared" si="224"/>
        <v>0.97687537236581878</v>
      </c>
      <c r="Z436" s="843">
        <f t="shared" si="225"/>
        <v>0.27847903389490652</v>
      </c>
      <c r="AA436" s="843">
        <f t="shared" si="226"/>
        <v>0.74161162919213963</v>
      </c>
      <c r="AB436" s="796">
        <f t="shared" si="227"/>
        <v>3</v>
      </c>
      <c r="AC436" s="797">
        <f t="shared" si="228"/>
        <v>3</v>
      </c>
      <c r="AD436" s="797">
        <f t="shared" si="229"/>
        <v>1</v>
      </c>
      <c r="AE436" s="842">
        <f t="shared" si="230"/>
        <v>3</v>
      </c>
      <c r="AF436" s="842">
        <f t="shared" si="231"/>
        <v>3</v>
      </c>
      <c r="AG436" s="842">
        <f t="shared" si="232"/>
        <v>1</v>
      </c>
      <c r="AH436" s="842">
        <f t="shared" si="233"/>
        <v>2</v>
      </c>
      <c r="AI436" s="826" cm="1">
        <f t="array" ref="AI436">SUMPRODUCT(--ISNUMBER($U436:$AA436),$AB$3:$AH$3)</f>
        <v>1</v>
      </c>
      <c r="AJ436" s="829">
        <f t="shared" si="234"/>
        <v>28.748795684897999</v>
      </c>
      <c r="AK436" s="827" t="str">
        <f t="shared" si="235"/>
        <v>Inmadura</v>
      </c>
      <c r="AL436" s="784" t="str">
        <f t="shared" si="236"/>
        <v>Alta</v>
      </c>
      <c r="AM436" s="799">
        <f>IF(ISNUMBER('Base de datos Rutas'!W434),'Base de datos Rutas'!W434,"")</f>
        <v>3116.1708958203221</v>
      </c>
      <c r="AN436" s="787">
        <f>IFERROR(SUMIFS('Base de datos Rutas'!$W$6:$W$794,'Base de datos Rutas'!$C$6:$C$794,$C436)/'Base de datos Rutas'!I434,"")</f>
        <v>3116.1708958203185</v>
      </c>
      <c r="AO436" s="800">
        <f>IFERROR('Base de datos Rutas'!X434*AN436/AM436,"")</f>
        <v>0.37418782761251823</v>
      </c>
      <c r="AP436" s="800">
        <f t="shared" si="237"/>
        <v>0.62581217238748177</v>
      </c>
      <c r="AQ436" s="789">
        <f>IFERROR(INDEX('Hoja de apoyo v2'!$J$17:$J$20,MATCH($A436,'Hoja de apoyo v2'!$A$17:$A$20,0)),"")</f>
        <v>0.64320274048480885</v>
      </c>
      <c r="AR436" s="789">
        <f t="shared" si="238"/>
        <v>-1.7390568097327086E-2</v>
      </c>
      <c r="AS436" s="784" t="str">
        <f t="shared" si="239"/>
        <v>No</v>
      </c>
      <c r="AT436" s="801">
        <f>IF(ISNUMBER('Base de datos Rutas'!CK434),'Base de datos Rutas'!CK434,"")</f>
        <v>346</v>
      </c>
      <c r="AU436" s="802">
        <f>IF(ISNUMBER('Base de datos Rutas'!CL434),'Base de datos Rutas'!CL434,"")</f>
        <v>478.08</v>
      </c>
      <c r="AV436" s="802">
        <f>IF(ISNUMBER('Base de datos Rutas'!CM434),'Base de datos Rutas'!CM434,"")</f>
        <v>132.07999999999998</v>
      </c>
      <c r="AW436" s="802">
        <f>IF(ISNUMBER('Base de datos Rutas'!CN434),'Base de datos Rutas'!CN434,"")</f>
        <v>8.33</v>
      </c>
      <c r="AX436" s="802">
        <f>IF(ISNUMBER('Base de datos Rutas'!CO434),'Base de datos Rutas'!CO434,"")</f>
        <v>9.4499999999999993</v>
      </c>
      <c r="AY436" s="802">
        <f>IF(ISNUMBER('Base de datos Rutas'!CP434),'Base de datos Rutas'!CP434,"")</f>
        <v>1.1199999999999992</v>
      </c>
      <c r="AZ436" s="802">
        <f>IF(ISNUMBER('Base de datos Rutas'!CQ434),'Base de datos Rutas'!CQ434,"")</f>
        <v>846.56</v>
      </c>
      <c r="BA436" s="802">
        <f>IF(ISNUMBER('Base de datos Rutas'!CR434),'Base de datos Rutas'!CR434,"")</f>
        <v>460.96</v>
      </c>
      <c r="BB436" s="803">
        <f>IF(ISNUMBER('Base de datos Rutas'!CS434),'Base de datos Rutas'!CS434,"")</f>
        <v>385.59999999999997</v>
      </c>
      <c r="BC436" s="804">
        <f t="shared" si="249"/>
        <v>0</v>
      </c>
      <c r="BD436" s="805" t="str">
        <f t="shared" si="250"/>
        <v>No saturada</v>
      </c>
      <c r="BE436" s="806">
        <f t="shared" si="251"/>
        <v>0.54450954450954447</v>
      </c>
      <c r="BF436" s="890">
        <f>IF(ISNUMBER('Base de datos Rutas'!CX434),'Base de datos Rutas'!CX434/100,"")</f>
        <v>0.93819372952737501</v>
      </c>
      <c r="BG436" s="891">
        <f>IF(ISNUMBER('Base de datos Rutas'!CZ434),'Base de datos Rutas'!CZ434/100,"")</f>
        <v>1</v>
      </c>
      <c r="BH436" s="892">
        <f>IF(ISNUMBER('Base de datos Rutas'!DA434),'Base de datos Rutas'!DA434,"")</f>
        <v>759.73179879069937</v>
      </c>
      <c r="BI436" s="893">
        <f>IF(ISNUMBER('Base de datos Rutas'!DC434),'Base de datos Rutas'!DC434,"")</f>
        <v>35.000647839653077</v>
      </c>
      <c r="BJ436" s="805" t="str">
        <f t="shared" si="252"/>
        <v>Ruta (completo)</v>
      </c>
      <c r="BK436" s="783">
        <f t="shared" si="240"/>
        <v>4</v>
      </c>
      <c r="BL436" s="797">
        <f t="shared" si="241"/>
        <v>4</v>
      </c>
      <c r="BM436" s="797">
        <f t="shared" si="242"/>
        <v>3</v>
      </c>
      <c r="BN436" s="797">
        <f t="shared" si="243"/>
        <v>3</v>
      </c>
      <c r="BO436" s="798" cm="1">
        <f t="array" ref="BO436">SUMPRODUCT(--ISNUMBER($BF436:$BI436),$BK$3:$BN$3)</f>
        <v>1</v>
      </c>
      <c r="BP436" s="831">
        <f t="shared" si="253"/>
        <v>62.5</v>
      </c>
      <c r="BQ436" s="834" t="str">
        <f t="shared" si="254"/>
        <v>Alto</v>
      </c>
      <c r="BR436" s="836">
        <f t="shared" si="244"/>
        <v>21.561596763673499</v>
      </c>
      <c r="BS436" s="836">
        <f t="shared" si="245"/>
        <v>62.5</v>
      </c>
      <c r="BT436" s="837" t="str">
        <f t="shared" si="246"/>
        <v>P3</v>
      </c>
      <c r="BU436" s="807" t="str">
        <f t="shared" si="255"/>
        <v>Con espacio</v>
      </c>
      <c r="BV436" s="807" t="str">
        <f t="shared" si="247"/>
        <v>Zona atractiva</v>
      </c>
      <c r="BW436" s="808" t="str">
        <f t="shared" si="248"/>
        <v>P3 - Desarrollar</v>
      </c>
    </row>
    <row r="437" spans="1:75">
      <c r="A437" s="780" t="str">
        <f>'Base de datos Rutas'!A435</f>
        <v>Occidente</v>
      </c>
      <c r="B437" s="781" t="str">
        <f>'Base de datos Rutas'!B435</f>
        <v>Zapopan</v>
      </c>
      <c r="C437" s="781" t="str">
        <f>'Base de datos Rutas'!C435</f>
        <v>Suc. Belenes</v>
      </c>
      <c r="D437" s="782">
        <f>IF(ISNUMBER('Base de datos Rutas'!D435),'Base de datos Rutas'!D435,"Sin código")</f>
        <v>820353</v>
      </c>
      <c r="E437" s="783" t="str">
        <f>'Base de datos Rutas'!F435</f>
        <v>Activa</v>
      </c>
      <c r="F437" s="784" t="str">
        <f>'Base de datos Rutas'!H435</f>
        <v>Sí</v>
      </c>
      <c r="G437" s="785">
        <f>IF(ISNUMBER('Base de datos Rutas'!BE435),'Base de datos Rutas'!BE435,"")</f>
        <v>76.066820276497694</v>
      </c>
      <c r="H437" s="786">
        <f>IF(ISNUMBER('Base de datos Rutas'!BH435),'Base de datos Rutas'!BH435,"")</f>
        <v>0.53009420531305895</v>
      </c>
      <c r="I437" s="788">
        <f>IFERROR(IF(OR(NOT(ISNUMBER('Base de datos Rutas'!O435)),N('Base de datos Rutas'!BK435)=0),"",'Base de datos Rutas'!O435/('Base de datos Rutas'!L435/'Base de datos Rutas'!BK435)),"")</f>
        <v>3781.6682027649686</v>
      </c>
      <c r="J437" s="788">
        <f>IFERROR(IF(OR(NOT(ISNUMBER('Base de datos Rutas'!N435)),N('Base de datos Rutas'!BK435)=0),"",'Base de datos Rutas'!N435/('Base de datos Rutas'!L435/'Base de datos Rutas'!BK435)),"")</f>
        <v>5611.228110599066</v>
      </c>
      <c r="K437" s="788">
        <f>IFERROR(IF(OR(NOT(ISNUMBER('Base de datos Rutas'!J435)),N('Base de datos Rutas'!BK435)=0),"",'Base de datos Rutas'!J435/('Base de datos Rutas'!L435/'Base de datos Rutas'!BK435)),"")</f>
        <v>387.46399999999909</v>
      </c>
      <c r="L437" s="788">
        <f>IFERROR(IF(OR(NOT(ISNUMBER('Base de datos Rutas'!K435)),N('Base de datos Rutas'!BK435)=0),"",'Base de datos Rutas'!K435/('Base de datos Rutas'!L435/'Base de datos Rutas'!BK435)),"")</f>
        <v>36.130054562211903</v>
      </c>
      <c r="M437" s="787">
        <f>IF(ISNUMBER('Base de datos Rutas'!AX435),'Base de datos Rutas'!AX435,"")</f>
        <v>232.943901714286</v>
      </c>
      <c r="N437" s="790">
        <f>IFERROR(INDEX('Hoja de apoyo v2'!B$17:B$20,MATCH($A437,'Hoja de apoyo v2'!$A$17:$A$20,0)),"")</f>
        <v>89.41621024641401</v>
      </c>
      <c r="O437" s="791">
        <f>IFERROR(INDEX('Hoja de apoyo v2'!C$17:C$20,MATCH($A437,'Hoja de apoyo v2'!$A$17:$A$20,0)),"")</f>
        <v>0.54706375874806301</v>
      </c>
      <c r="P437" s="793">
        <f>IFERROR(INDEX('Hoja de apoyo v2'!D$17:D$20,MATCH($A437,'Hoja de apoyo v2'!$A$17:$A$20,0)),"")</f>
        <v>11095.153935793827</v>
      </c>
      <c r="Q437" s="793">
        <f>IFERROR(INDEX('Hoja de apoyo v2'!E$17:E$20,MATCH($A437,'Hoja de apoyo v2'!$A$17:$A$20,0)),"")</f>
        <v>6982.3202019701848</v>
      </c>
      <c r="R437" s="793">
        <f>IFERROR(INDEX('Hoja de apoyo v2'!F$17:F$20,MATCH($A437,'Hoja de apoyo v2'!$A$17:$A$20,0)),"")</f>
        <v>448.09513474485743</v>
      </c>
      <c r="S437" s="793">
        <f>IFERROR(INDEX('Hoja de apoyo v2'!G$17:G$20,MATCH($A437,'Hoja de apoyo v2'!$A$17:$A$20,0)),"")</f>
        <v>83.406300904207839</v>
      </c>
      <c r="T437" s="792">
        <f>IFERROR(INDEX('Hoja de apoyo v2'!H$17:H$20,MATCH($A437,'Hoja de apoyo v2'!$A$17:$A$20,0)),"")</f>
        <v>378.97014028925349</v>
      </c>
      <c r="U437" s="794">
        <f t="shared" si="220"/>
        <v>0.85070503510350137</v>
      </c>
      <c r="V437" s="795">
        <f t="shared" si="221"/>
        <v>0.96898066603088773</v>
      </c>
      <c r="W437" s="795">
        <f t="shared" si="222"/>
        <v>0.34083963364987785</v>
      </c>
      <c r="X437" s="843">
        <f t="shared" si="223"/>
        <v>0.8036337418349504</v>
      </c>
      <c r="Y437" s="843">
        <f t="shared" si="224"/>
        <v>0.86469137903186266</v>
      </c>
      <c r="Z437" s="843">
        <f t="shared" si="225"/>
        <v>0.43318135645060296</v>
      </c>
      <c r="AA437" s="843">
        <f t="shared" si="226"/>
        <v>0.61467613658555997</v>
      </c>
      <c r="AB437" s="796">
        <f t="shared" si="227"/>
        <v>3</v>
      </c>
      <c r="AC437" s="797">
        <f t="shared" si="228"/>
        <v>3</v>
      </c>
      <c r="AD437" s="797">
        <f t="shared" si="229"/>
        <v>1</v>
      </c>
      <c r="AE437" s="842">
        <f t="shared" si="230"/>
        <v>3</v>
      </c>
      <c r="AF437" s="842">
        <f t="shared" si="231"/>
        <v>3</v>
      </c>
      <c r="AG437" s="842">
        <f t="shared" si="232"/>
        <v>1</v>
      </c>
      <c r="AH437" s="842">
        <f t="shared" si="233"/>
        <v>2</v>
      </c>
      <c r="AI437" s="826" cm="1">
        <f t="array" ref="AI437">SUMPRODUCT(--ISNUMBER($U437:$AA437),$AB$3:$AH$3)</f>
        <v>1</v>
      </c>
      <c r="AJ437" s="829">
        <f t="shared" si="234"/>
        <v>28.748795684897999</v>
      </c>
      <c r="AK437" s="827" t="str">
        <f t="shared" si="235"/>
        <v>Inmadura</v>
      </c>
      <c r="AL437" s="784" t="str">
        <f t="shared" si="236"/>
        <v>Alta</v>
      </c>
      <c r="AM437" s="799">
        <f>IF(ISNUMBER('Base de datos Rutas'!W435),'Base de datos Rutas'!W435,"")</f>
        <v>3116.1708958203221</v>
      </c>
      <c r="AN437" s="787">
        <f>IFERROR(SUMIFS('Base de datos Rutas'!$W$6:$W$794,'Base de datos Rutas'!$C$6:$C$794,$C437)/'Base de datos Rutas'!I435,"")</f>
        <v>3116.1708958203185</v>
      </c>
      <c r="AO437" s="800">
        <f>IFERROR('Base de datos Rutas'!X435*AN437/AM437,"")</f>
        <v>0.37418782761251823</v>
      </c>
      <c r="AP437" s="800">
        <f t="shared" si="237"/>
        <v>0.62581217238748177</v>
      </c>
      <c r="AQ437" s="789">
        <f>IFERROR(INDEX('Hoja de apoyo v2'!$J$17:$J$20,MATCH($A437,'Hoja de apoyo v2'!$A$17:$A$20,0)),"")</f>
        <v>0.64320274048480885</v>
      </c>
      <c r="AR437" s="789">
        <f t="shared" si="238"/>
        <v>-1.7390568097327086E-2</v>
      </c>
      <c r="AS437" s="784" t="str">
        <f t="shared" si="239"/>
        <v>No</v>
      </c>
      <c r="AT437" s="801">
        <f>IF(ISNUMBER('Base de datos Rutas'!CK435),'Base de datos Rutas'!CK435,"")</f>
        <v>377</v>
      </c>
      <c r="AU437" s="802">
        <f>IF(ISNUMBER('Base de datos Rutas'!CL435),'Base de datos Rutas'!CL435,"")</f>
        <v>628.74</v>
      </c>
      <c r="AV437" s="802">
        <f>IF(ISNUMBER('Base de datos Rutas'!CM435),'Base de datos Rutas'!CM435,"")</f>
        <v>251.74</v>
      </c>
      <c r="AW437" s="802">
        <f>IF(ISNUMBER('Base de datos Rutas'!CN435),'Base de datos Rutas'!CN435,"")</f>
        <v>8.7799999999999994</v>
      </c>
      <c r="AX437" s="802">
        <f>IF(ISNUMBER('Base de datos Rutas'!CO435),'Base de datos Rutas'!CO435,"")</f>
        <v>9.4499999999999993</v>
      </c>
      <c r="AY437" s="802">
        <f>IF(ISNUMBER('Base de datos Rutas'!CP435),'Base de datos Rutas'!CP435,"")</f>
        <v>0.66999999999999993</v>
      </c>
      <c r="AZ437" s="802">
        <f>IF(ISNUMBER('Base de datos Rutas'!CQ435),'Base de datos Rutas'!CQ435,"")</f>
        <v>564.37</v>
      </c>
      <c r="BA437" s="802">
        <f>IF(ISNUMBER('Base de datos Rutas'!CR435),'Base de datos Rutas'!CR435,"")</f>
        <v>423.59</v>
      </c>
      <c r="BB437" s="803">
        <f>IF(ISNUMBER('Base de datos Rutas'!CS435),'Base de datos Rutas'!CS435,"")</f>
        <v>140.78000000000003</v>
      </c>
      <c r="BC437" s="804">
        <f t="shared" si="249"/>
        <v>0</v>
      </c>
      <c r="BD437" s="805" t="str">
        <f t="shared" si="250"/>
        <v>No saturada</v>
      </c>
      <c r="BE437" s="806">
        <f t="shared" si="251"/>
        <v>0.75055371476159249</v>
      </c>
      <c r="BF437" s="890">
        <f>IF(ISNUMBER('Base de datos Rutas'!CX435),'Base de datos Rutas'!CX435/100,"")</f>
        <v>0.86013067400275101</v>
      </c>
      <c r="BG437" s="891">
        <f>IF(ISNUMBER('Base de datos Rutas'!CZ435),'Base de datos Rutas'!CZ435/100,"")</f>
        <v>0.94669876203576342</v>
      </c>
      <c r="BH437" s="892">
        <f>IF(ISNUMBER('Base de datos Rutas'!DA435),'Base de datos Rutas'!DA435,"")</f>
        <v>1075.2335255432408</v>
      </c>
      <c r="BI437" s="893">
        <f>IF(ISNUMBER('Base de datos Rutas'!DC435),'Base de datos Rutas'!DC435,"")</f>
        <v>50.688692740541946</v>
      </c>
      <c r="BJ437" s="805" t="str">
        <f t="shared" si="252"/>
        <v>Ruta (completo)</v>
      </c>
      <c r="BK437" s="783">
        <f t="shared" si="240"/>
        <v>3</v>
      </c>
      <c r="BL437" s="797">
        <f t="shared" si="241"/>
        <v>3</v>
      </c>
      <c r="BM437" s="797">
        <f t="shared" si="242"/>
        <v>4</v>
      </c>
      <c r="BN437" s="797">
        <f t="shared" si="243"/>
        <v>4</v>
      </c>
      <c r="BO437" s="798" cm="1">
        <f t="array" ref="BO437">SUMPRODUCT(--ISNUMBER($BF437:$BI437),$BK$3:$BN$3)</f>
        <v>1</v>
      </c>
      <c r="BP437" s="831">
        <f t="shared" si="253"/>
        <v>62.5</v>
      </c>
      <c r="BQ437" s="834" t="str">
        <f t="shared" si="254"/>
        <v>Alto</v>
      </c>
      <c r="BR437" s="836">
        <f t="shared" si="244"/>
        <v>21.561596763673499</v>
      </c>
      <c r="BS437" s="836">
        <f t="shared" si="245"/>
        <v>62.5</v>
      </c>
      <c r="BT437" s="837" t="str">
        <f t="shared" si="246"/>
        <v>P3</v>
      </c>
      <c r="BU437" s="807" t="str">
        <f t="shared" si="255"/>
        <v>Con espacio</v>
      </c>
      <c r="BV437" s="807" t="str">
        <f t="shared" si="247"/>
        <v>Zona atractiva</v>
      </c>
      <c r="BW437" s="808" t="str">
        <f t="shared" si="248"/>
        <v>P3 - Desarrollar</v>
      </c>
    </row>
    <row r="438" spans="1:75">
      <c r="A438" s="780" t="str">
        <f>'Base de datos Rutas'!A436</f>
        <v>Occidente</v>
      </c>
      <c r="B438" s="781" t="str">
        <f>'Base de datos Rutas'!B436</f>
        <v>Zapopan</v>
      </c>
      <c r="C438" s="781" t="str">
        <f>'Base de datos Rutas'!C436</f>
        <v>Suc. Belenes</v>
      </c>
      <c r="D438" s="782">
        <f>IF(ISNUMBER('Base de datos Rutas'!D436),'Base de datos Rutas'!D436,"Sin código")</f>
        <v>820354</v>
      </c>
      <c r="E438" s="783" t="str">
        <f>'Base de datos Rutas'!F436</f>
        <v>Activa</v>
      </c>
      <c r="F438" s="784" t="str">
        <f>'Base de datos Rutas'!H436</f>
        <v>Sí</v>
      </c>
      <c r="G438" s="785">
        <f>IF(ISNUMBER('Base de datos Rutas'!BE436),'Base de datos Rutas'!BE436,"")</f>
        <v>39.490654205607498</v>
      </c>
      <c r="H438" s="786">
        <f>IF(ISNUMBER('Base de datos Rutas'!BH436),'Base de datos Rutas'!BH436,"")</f>
        <v>0.32215122470713498</v>
      </c>
      <c r="I438" s="788">
        <f>IFERROR(IF(OR(NOT(ISNUMBER('Base de datos Rutas'!O436)),N('Base de datos Rutas'!BK436)=0),"",'Base de datos Rutas'!O436/('Base de datos Rutas'!L436/'Base de datos Rutas'!BK436)),"")</f>
        <v>2887.163551401869</v>
      </c>
      <c r="J438" s="788">
        <f>IFERROR(IF(OR(NOT(ISNUMBER('Base de datos Rutas'!N436)),N('Base de datos Rutas'!BK436)=0),"",'Base de datos Rutas'!N436/('Base de datos Rutas'!L436/'Base de datos Rutas'!BK436)),"")</f>
        <v>4148.4719626168217</v>
      </c>
      <c r="K438" s="788">
        <f>IFERROR(IF(OR(NOT(ISNUMBER('Base de datos Rutas'!J436)),N('Base de datos Rutas'!BK436)=0),"",'Base de datos Rutas'!J436/('Base de datos Rutas'!L436/'Base de datos Rutas'!BK436)),"")</f>
        <v>288.21955700934575</v>
      </c>
      <c r="L438" s="788">
        <f>IFERROR(IF(OR(NOT(ISNUMBER('Base de datos Rutas'!K436)),N('Base de datos Rutas'!BK436)=0),"",'Base de datos Rutas'!K436/('Base de datos Rutas'!L436/'Base de datos Rutas'!BK436)),"")</f>
        <v>20.245886011682241</v>
      </c>
      <c r="M438" s="787">
        <f>IF(ISNUMBER('Base de datos Rutas'!AX436),'Base de datos Rutas'!AX436,"")</f>
        <v>552.27015794306703</v>
      </c>
      <c r="N438" s="790">
        <f>IFERROR(INDEX('Hoja de apoyo v2'!B$17:B$20,MATCH($A438,'Hoja de apoyo v2'!$A$17:$A$20,0)),"")</f>
        <v>89.41621024641401</v>
      </c>
      <c r="O438" s="791">
        <f>IFERROR(INDEX('Hoja de apoyo v2'!C$17:C$20,MATCH($A438,'Hoja de apoyo v2'!$A$17:$A$20,0)),"")</f>
        <v>0.54706375874806301</v>
      </c>
      <c r="P438" s="793">
        <f>IFERROR(INDEX('Hoja de apoyo v2'!D$17:D$20,MATCH($A438,'Hoja de apoyo v2'!$A$17:$A$20,0)),"")</f>
        <v>11095.153935793827</v>
      </c>
      <c r="Q438" s="793">
        <f>IFERROR(INDEX('Hoja de apoyo v2'!E$17:E$20,MATCH($A438,'Hoja de apoyo v2'!$A$17:$A$20,0)),"")</f>
        <v>6982.3202019701848</v>
      </c>
      <c r="R438" s="793">
        <f>IFERROR(INDEX('Hoja de apoyo v2'!F$17:F$20,MATCH($A438,'Hoja de apoyo v2'!$A$17:$A$20,0)),"")</f>
        <v>448.09513474485743</v>
      </c>
      <c r="S438" s="793">
        <f>IFERROR(INDEX('Hoja de apoyo v2'!G$17:G$20,MATCH($A438,'Hoja de apoyo v2'!$A$17:$A$20,0)),"")</f>
        <v>83.406300904207839</v>
      </c>
      <c r="T438" s="792">
        <f>IFERROR(INDEX('Hoja de apoyo v2'!H$17:H$20,MATCH($A438,'Hoja de apoyo v2'!$A$17:$A$20,0)),"")</f>
        <v>378.97014028925349</v>
      </c>
      <c r="U438" s="794">
        <f t="shared" si="220"/>
        <v>0.44164983168911759</v>
      </c>
      <c r="V438" s="795">
        <f t="shared" si="221"/>
        <v>0.5888732703558488</v>
      </c>
      <c r="W438" s="795">
        <f t="shared" si="222"/>
        <v>0.26021843122767818</v>
      </c>
      <c r="X438" s="843">
        <f t="shared" si="223"/>
        <v>0.59413946118458694</v>
      </c>
      <c r="Y438" s="843">
        <f t="shared" si="224"/>
        <v>0.64321063689623892</v>
      </c>
      <c r="Z438" s="843">
        <f t="shared" si="225"/>
        <v>0.24273808803647398</v>
      </c>
      <c r="AA438" s="843">
        <f t="shared" si="226"/>
        <v>1.4572920112427334</v>
      </c>
      <c r="AB438" s="796">
        <f t="shared" si="227"/>
        <v>1</v>
      </c>
      <c r="AC438" s="797">
        <f t="shared" si="228"/>
        <v>2</v>
      </c>
      <c r="AD438" s="797">
        <f t="shared" si="229"/>
        <v>1</v>
      </c>
      <c r="AE438" s="842">
        <f t="shared" si="230"/>
        <v>2</v>
      </c>
      <c r="AF438" s="842">
        <f t="shared" si="231"/>
        <v>2</v>
      </c>
      <c r="AG438" s="842">
        <f t="shared" si="232"/>
        <v>1</v>
      </c>
      <c r="AH438" s="842">
        <f t="shared" si="233"/>
        <v>5</v>
      </c>
      <c r="AI438" s="826" cm="1">
        <f t="array" ref="AI438">SUMPRODUCT(--ISNUMBER($U438:$AA438),$AB$3:$AH$3)</f>
        <v>1</v>
      </c>
      <c r="AJ438" s="829">
        <f t="shared" si="234"/>
        <v>17.697309105455222</v>
      </c>
      <c r="AK438" s="827" t="str">
        <f t="shared" si="235"/>
        <v>Inmadura</v>
      </c>
      <c r="AL438" s="784" t="str">
        <f t="shared" si="236"/>
        <v>Alta</v>
      </c>
      <c r="AM438" s="799">
        <f>IF(ISNUMBER('Base de datos Rutas'!W436),'Base de datos Rutas'!W436,"")</f>
        <v>3116.1708958203221</v>
      </c>
      <c r="AN438" s="787">
        <f>IFERROR(SUMIFS('Base de datos Rutas'!$W$6:$W$794,'Base de datos Rutas'!$C$6:$C$794,$C438)/'Base de datos Rutas'!I436,"")</f>
        <v>3116.1708958203185</v>
      </c>
      <c r="AO438" s="800">
        <f>IFERROR('Base de datos Rutas'!X436*AN438/AM438,"")</f>
        <v>0.37418782761251823</v>
      </c>
      <c r="AP438" s="800">
        <f t="shared" si="237"/>
        <v>0.62581217238748177</v>
      </c>
      <c r="AQ438" s="789">
        <f>IFERROR(INDEX('Hoja de apoyo v2'!$J$17:$J$20,MATCH($A438,'Hoja de apoyo v2'!$A$17:$A$20,0)),"")</f>
        <v>0.64320274048480885</v>
      </c>
      <c r="AR438" s="789">
        <f t="shared" si="238"/>
        <v>-1.7390568097327086E-2</v>
      </c>
      <c r="AS438" s="784" t="str">
        <f t="shared" si="239"/>
        <v>No</v>
      </c>
      <c r="AT438" s="801">
        <f>IF(ISNUMBER('Base de datos Rutas'!CK436),'Base de datos Rutas'!CK436,"")</f>
        <v>237</v>
      </c>
      <c r="AU438" s="802">
        <f>IF(ISNUMBER('Base de datos Rutas'!CL436),'Base de datos Rutas'!CL436,"")</f>
        <v>266.49</v>
      </c>
      <c r="AV438" s="802">
        <f>IF(ISNUMBER('Base de datos Rutas'!CM436),'Base de datos Rutas'!CM436,"")</f>
        <v>29.490000000000009</v>
      </c>
      <c r="AW438" s="802">
        <f>IF(ISNUMBER('Base de datos Rutas'!CN436),'Base de datos Rutas'!CN436,"")</f>
        <v>9.0399999999999991</v>
      </c>
      <c r="AX438" s="802">
        <f>IF(ISNUMBER('Base de datos Rutas'!CO436),'Base de datos Rutas'!CO436,"")</f>
        <v>9.4499999999999993</v>
      </c>
      <c r="AY438" s="802">
        <f>IF(ISNUMBER('Base de datos Rutas'!CP436),'Base de datos Rutas'!CP436,"")</f>
        <v>0.41000000000000014</v>
      </c>
      <c r="AZ438" s="802">
        <f>IF(ISNUMBER('Base de datos Rutas'!CQ436),'Base de datos Rutas'!CQ436,"")</f>
        <v>564.37</v>
      </c>
      <c r="BA438" s="802">
        <f>IF(ISNUMBER('Base de datos Rutas'!CR436),'Base de datos Rutas'!CR436,"")</f>
        <v>308.47000000000003</v>
      </c>
      <c r="BB438" s="803">
        <f>IF(ISNUMBER('Base de datos Rutas'!CS436),'Base de datos Rutas'!CS436,"")</f>
        <v>255.89999999999998</v>
      </c>
      <c r="BC438" s="804">
        <f t="shared" si="249"/>
        <v>0</v>
      </c>
      <c r="BD438" s="805" t="str">
        <f t="shared" si="250"/>
        <v>No saturada</v>
      </c>
      <c r="BE438" s="806">
        <f t="shared" si="251"/>
        <v>0.54657405602707443</v>
      </c>
      <c r="BF438" s="890">
        <f>IF(ISNUMBER('Base de datos Rutas'!CX436),'Base de datos Rutas'!CX436/100,"")</f>
        <v>0.93567510548523203</v>
      </c>
      <c r="BG438" s="891">
        <f>IF(ISNUMBER('Base de datos Rutas'!CZ436),'Base de datos Rutas'!CZ436/100,"")</f>
        <v>0.99789029535864981</v>
      </c>
      <c r="BH438" s="892">
        <f>IF(ISNUMBER('Base de datos Rutas'!DA436),'Base de datos Rutas'!DA436,"")</f>
        <v>1896.3433236012631</v>
      </c>
      <c r="BI438" s="893">
        <f>IF(ISNUMBER('Base de datos Rutas'!DC436),'Base de datos Rutas'!DC436,"")</f>
        <v>72.495580845697035</v>
      </c>
      <c r="BJ438" s="805" t="str">
        <f t="shared" si="252"/>
        <v>Ruta (completo)</v>
      </c>
      <c r="BK438" s="783">
        <f t="shared" si="240"/>
        <v>4</v>
      </c>
      <c r="BL438" s="797">
        <f t="shared" si="241"/>
        <v>3</v>
      </c>
      <c r="BM438" s="797">
        <f t="shared" si="242"/>
        <v>5</v>
      </c>
      <c r="BN438" s="797">
        <f t="shared" si="243"/>
        <v>5</v>
      </c>
      <c r="BO438" s="798" cm="1">
        <f t="array" ref="BO438">SUMPRODUCT(--ISNUMBER($BF438:$BI438),$BK$3:$BN$3)</f>
        <v>1</v>
      </c>
      <c r="BP438" s="831">
        <f t="shared" si="253"/>
        <v>81.25</v>
      </c>
      <c r="BQ438" s="834" t="str">
        <f t="shared" si="254"/>
        <v>Alto</v>
      </c>
      <c r="BR438" s="836">
        <f t="shared" si="244"/>
        <v>13.272981829091417</v>
      </c>
      <c r="BS438" s="836">
        <f t="shared" si="245"/>
        <v>81.25</v>
      </c>
      <c r="BT438" s="837" t="str">
        <f t="shared" si="246"/>
        <v>P3</v>
      </c>
      <c r="BU438" s="807" t="str">
        <f t="shared" si="255"/>
        <v>Con espacio</v>
      </c>
      <c r="BV438" s="807" t="str">
        <f t="shared" si="247"/>
        <v>Zona atractiva</v>
      </c>
      <c r="BW438" s="808" t="str">
        <f t="shared" si="248"/>
        <v>P3 - Desarrollar</v>
      </c>
    </row>
    <row r="439" spans="1:75">
      <c r="A439" s="780" t="str">
        <f>'Base de datos Rutas'!A437</f>
        <v>Occidente</v>
      </c>
      <c r="B439" s="781" t="str">
        <f>'Base de datos Rutas'!B437</f>
        <v>Zapopan</v>
      </c>
      <c r="C439" s="781" t="str">
        <f>'Base de datos Rutas'!C437</f>
        <v>Suc. Belenes</v>
      </c>
      <c r="D439" s="782">
        <f>IF(ISNUMBER('Base de datos Rutas'!D437),'Base de datos Rutas'!D437,"Sin código")</f>
        <v>820355</v>
      </c>
      <c r="E439" s="783" t="str">
        <f>'Base de datos Rutas'!F437</f>
        <v>Activa</v>
      </c>
      <c r="F439" s="784" t="str">
        <f>'Base de datos Rutas'!H437</f>
        <v>Sí</v>
      </c>
      <c r="G439" s="785">
        <f>IF(ISNUMBER('Base de datos Rutas'!BE437),'Base de datos Rutas'!BE437,"")</f>
        <v>98.349425287356297</v>
      </c>
      <c r="H439" s="786">
        <f>IF(ISNUMBER('Base de datos Rutas'!BH437),'Base de datos Rutas'!BH437,"")</f>
        <v>0.44450937310083699</v>
      </c>
      <c r="I439" s="788">
        <f>IFERROR(IF(OR(NOT(ISNUMBER('Base de datos Rutas'!O437)),N('Base de datos Rutas'!BK437)=0),"",'Base de datos Rutas'!O437/('Base de datos Rutas'!L437/'Base de datos Rutas'!BK437)),"")</f>
        <v>2592.7241379310312</v>
      </c>
      <c r="J439" s="788">
        <f>IFERROR(IF(OR(NOT(ISNUMBER('Base de datos Rutas'!N437)),N('Base de datos Rutas'!BK437)=0),"",'Base de datos Rutas'!N437/('Base de datos Rutas'!L437/'Base de datos Rutas'!BK437)),"")</f>
        <v>5923.9954022988441</v>
      </c>
      <c r="K439" s="788">
        <f>IFERROR(IF(OR(NOT(ISNUMBER('Base de datos Rutas'!J437)),N('Base de datos Rutas'!BK437)=0),"",'Base de datos Rutas'!J437/('Base de datos Rutas'!L437/'Base de datos Rutas'!BK437)),"")</f>
        <v>412.69572045976963</v>
      </c>
      <c r="L439" s="788">
        <f>IFERROR(IF(OR(NOT(ISNUMBER('Base de datos Rutas'!K437)),N('Base de datos Rutas'!BK437)=0),"",'Base de datos Rutas'!K437/('Base de datos Rutas'!L437/'Base de datos Rutas'!BK437)),"")</f>
        <v>19.01392480919538</v>
      </c>
      <c r="M439" s="787">
        <f>IF(ISNUMBER('Base de datos Rutas'!AX437),'Base de datos Rutas'!AX437,"")</f>
        <v>194.814003786086</v>
      </c>
      <c r="N439" s="790">
        <f>IFERROR(INDEX('Hoja de apoyo v2'!B$17:B$20,MATCH($A439,'Hoja de apoyo v2'!$A$17:$A$20,0)),"")</f>
        <v>89.41621024641401</v>
      </c>
      <c r="O439" s="791">
        <f>IFERROR(INDEX('Hoja de apoyo v2'!C$17:C$20,MATCH($A439,'Hoja de apoyo v2'!$A$17:$A$20,0)),"")</f>
        <v>0.54706375874806301</v>
      </c>
      <c r="P439" s="793">
        <f>IFERROR(INDEX('Hoja de apoyo v2'!D$17:D$20,MATCH($A439,'Hoja de apoyo v2'!$A$17:$A$20,0)),"")</f>
        <v>11095.153935793827</v>
      </c>
      <c r="Q439" s="793">
        <f>IFERROR(INDEX('Hoja de apoyo v2'!E$17:E$20,MATCH($A439,'Hoja de apoyo v2'!$A$17:$A$20,0)),"")</f>
        <v>6982.3202019701848</v>
      </c>
      <c r="R439" s="793">
        <f>IFERROR(INDEX('Hoja de apoyo v2'!F$17:F$20,MATCH($A439,'Hoja de apoyo v2'!$A$17:$A$20,0)),"")</f>
        <v>448.09513474485743</v>
      </c>
      <c r="S439" s="793">
        <f>IFERROR(INDEX('Hoja de apoyo v2'!G$17:G$20,MATCH($A439,'Hoja de apoyo v2'!$A$17:$A$20,0)),"")</f>
        <v>83.406300904207839</v>
      </c>
      <c r="T439" s="792">
        <f>IFERROR(INDEX('Hoja de apoyo v2'!H$17:H$20,MATCH($A439,'Hoja de apoyo v2'!$A$17:$A$20,0)),"")</f>
        <v>378.97014028925349</v>
      </c>
      <c r="U439" s="794">
        <f t="shared" si="220"/>
        <v>1.0999059903827735</v>
      </c>
      <c r="V439" s="795">
        <f t="shared" si="221"/>
        <v>0.81253668515363131</v>
      </c>
      <c r="W439" s="795">
        <f t="shared" si="222"/>
        <v>0.23368077206812807</v>
      </c>
      <c r="X439" s="843">
        <f t="shared" si="223"/>
        <v>0.8484279195083726</v>
      </c>
      <c r="Y439" s="843">
        <f t="shared" si="224"/>
        <v>0.92100022620142041</v>
      </c>
      <c r="Z439" s="843">
        <f t="shared" si="225"/>
        <v>0.22796748690525045</v>
      </c>
      <c r="AA439" s="843">
        <f t="shared" si="226"/>
        <v>0.51406161877923118</v>
      </c>
      <c r="AB439" s="796">
        <f t="shared" si="227"/>
        <v>4</v>
      </c>
      <c r="AC439" s="797">
        <f t="shared" si="228"/>
        <v>3</v>
      </c>
      <c r="AD439" s="797">
        <f t="shared" si="229"/>
        <v>1</v>
      </c>
      <c r="AE439" s="842">
        <f t="shared" si="230"/>
        <v>3</v>
      </c>
      <c r="AF439" s="842">
        <f t="shared" si="231"/>
        <v>3</v>
      </c>
      <c r="AG439" s="842">
        <f t="shared" si="232"/>
        <v>1</v>
      </c>
      <c r="AH439" s="842">
        <f t="shared" si="233"/>
        <v>2</v>
      </c>
      <c r="AI439" s="826" cm="1">
        <f t="array" ref="AI439">SUMPRODUCT(--ISNUMBER($U439:$AA439),$AB$3:$AH$3)</f>
        <v>1</v>
      </c>
      <c r="AJ439" s="829">
        <f t="shared" si="234"/>
        <v>33.282431863034759</v>
      </c>
      <c r="AK439" s="827" t="str">
        <f t="shared" si="235"/>
        <v>Inmadura</v>
      </c>
      <c r="AL439" s="784" t="str">
        <f t="shared" si="236"/>
        <v>Alta</v>
      </c>
      <c r="AM439" s="799">
        <f>IF(ISNUMBER('Base de datos Rutas'!W437),'Base de datos Rutas'!W437,"")</f>
        <v>3116.1708958203221</v>
      </c>
      <c r="AN439" s="787">
        <f>IFERROR(SUMIFS('Base de datos Rutas'!$W$6:$W$794,'Base de datos Rutas'!$C$6:$C$794,$C439)/'Base de datos Rutas'!I437,"")</f>
        <v>3116.1708958203185</v>
      </c>
      <c r="AO439" s="800">
        <f>IFERROR('Base de datos Rutas'!X437*AN439/AM439,"")</f>
        <v>0.37418782761251823</v>
      </c>
      <c r="AP439" s="800">
        <f t="shared" si="237"/>
        <v>0.62581217238748177</v>
      </c>
      <c r="AQ439" s="789">
        <f>IFERROR(INDEX('Hoja de apoyo v2'!$J$17:$J$20,MATCH($A439,'Hoja de apoyo v2'!$A$17:$A$20,0)),"")</f>
        <v>0.64320274048480885</v>
      </c>
      <c r="AR439" s="789">
        <f t="shared" si="238"/>
        <v>-1.7390568097327086E-2</v>
      </c>
      <c r="AS439" s="784" t="str">
        <f t="shared" si="239"/>
        <v>No</v>
      </c>
      <c r="AT439" s="801">
        <f>IF(ISNUMBER('Base de datos Rutas'!CK437),'Base de datos Rutas'!CK437,"")</f>
        <v>444</v>
      </c>
      <c r="AU439" s="802">
        <f>IF(ISNUMBER('Base de datos Rutas'!CL437),'Base de datos Rutas'!CL437,"")</f>
        <v>684.18</v>
      </c>
      <c r="AV439" s="802">
        <f>IF(ISNUMBER('Base de datos Rutas'!CM437),'Base de datos Rutas'!CM437,"")</f>
        <v>240.17999999999995</v>
      </c>
      <c r="AW439" s="802">
        <f>IF(ISNUMBER('Base de datos Rutas'!CN437),'Base de datos Rutas'!CN437,"")</f>
        <v>12.09</v>
      </c>
      <c r="AX439" s="802">
        <f>IF(ISNUMBER('Base de datos Rutas'!CO437),'Base de datos Rutas'!CO437,"")</f>
        <v>9.4499999999999993</v>
      </c>
      <c r="AY439" s="802">
        <f>IF(ISNUMBER('Base de datos Rutas'!CP437),'Base de datos Rutas'!CP437,"")</f>
        <v>-2.6400000000000006</v>
      </c>
      <c r="AZ439" s="802">
        <f>IF(ISNUMBER('Base de datos Rutas'!CQ437),'Base de datos Rutas'!CQ437,"")</f>
        <v>846.56</v>
      </c>
      <c r="BA439" s="802">
        <f>IF(ISNUMBER('Base de datos Rutas'!CR437),'Base de datos Rutas'!CR437,"")</f>
        <v>431.71</v>
      </c>
      <c r="BB439" s="803">
        <f>IF(ISNUMBER('Base de datos Rutas'!CS437),'Base de datos Rutas'!CS437,"")</f>
        <v>414.84999999999997</v>
      </c>
      <c r="BC439" s="804">
        <f t="shared" si="249"/>
        <v>1</v>
      </c>
      <c r="BD439" s="805" t="str">
        <f t="shared" si="250"/>
        <v>Saturada</v>
      </c>
      <c r="BE439" s="806">
        <f t="shared" si="251"/>
        <v>0.50995794745794742</v>
      </c>
      <c r="BF439" s="890">
        <f>IF(ISNUMBER('Base de datos Rutas'!CX437),'Base de datos Rutas'!CX437/100,"")</f>
        <v>0.65980956239870348</v>
      </c>
      <c r="BG439" s="891">
        <f>IF(ISNUMBER('Base de datos Rutas'!CZ437),'Base de datos Rutas'!CZ437/100,"")</f>
        <v>0.70846839546191243</v>
      </c>
      <c r="BH439" s="892">
        <f>IF(ISNUMBER('Base de datos Rutas'!DA437),'Base de datos Rutas'!DA437,"")</f>
        <v>725.99375214926829</v>
      </c>
      <c r="BI439" s="893">
        <f>IF(ISNUMBER('Base de datos Rutas'!DC437),'Base de datos Rutas'!DC437,"")</f>
        <v>35.47856141015189</v>
      </c>
      <c r="BJ439" s="805" t="str">
        <f t="shared" si="252"/>
        <v>Ruta (completo)</v>
      </c>
      <c r="BK439" s="783">
        <f t="shared" si="240"/>
        <v>2</v>
      </c>
      <c r="BL439" s="797">
        <f t="shared" si="241"/>
        <v>2</v>
      </c>
      <c r="BM439" s="797">
        <f t="shared" si="242"/>
        <v>3</v>
      </c>
      <c r="BN439" s="797">
        <f t="shared" si="243"/>
        <v>3</v>
      </c>
      <c r="BO439" s="798" cm="1">
        <f t="array" ref="BO439">SUMPRODUCT(--ISNUMBER($BF439:$BI439),$BK$3:$BN$3)</f>
        <v>1</v>
      </c>
      <c r="BP439" s="831">
        <f t="shared" si="253"/>
        <v>37.5</v>
      </c>
      <c r="BQ439" s="834" t="str">
        <f t="shared" si="254"/>
        <v>Medio</v>
      </c>
      <c r="BR439" s="836">
        <f t="shared" si="244"/>
        <v>49.961823897276069</v>
      </c>
      <c r="BS439" s="836">
        <f t="shared" si="245"/>
        <v>37.5</v>
      </c>
      <c r="BT439" s="837" t="str">
        <f t="shared" si="246"/>
        <v>P2</v>
      </c>
      <c r="BU439" s="807" t="str">
        <f t="shared" si="255"/>
        <v>Al tope</v>
      </c>
      <c r="BV439" s="807" t="str">
        <f t="shared" si="247"/>
        <v>Zona de bajo potencial</v>
      </c>
      <c r="BW439" s="808" t="str">
        <f t="shared" si="248"/>
        <v>P2 - Mantener</v>
      </c>
    </row>
    <row r="440" spans="1:75">
      <c r="A440" s="780" t="str">
        <f>'Base de datos Rutas'!A438</f>
        <v>Occidente</v>
      </c>
      <c r="B440" s="781" t="str">
        <f>'Base de datos Rutas'!B438</f>
        <v>Zapopan</v>
      </c>
      <c r="C440" s="781" t="str">
        <f>'Base de datos Rutas'!C438</f>
        <v>Suc. Belenes</v>
      </c>
      <c r="D440" s="782">
        <f>IF(ISNUMBER('Base de datos Rutas'!D438),'Base de datos Rutas'!D438,"Sin código")</f>
        <v>820356</v>
      </c>
      <c r="E440" s="783" t="str">
        <f>'Base de datos Rutas'!F438</f>
        <v>Activa</v>
      </c>
      <c r="F440" s="784" t="str">
        <f>'Base de datos Rutas'!H438</f>
        <v>Sí</v>
      </c>
      <c r="G440" s="785">
        <f>IF(ISNUMBER('Base de datos Rutas'!BE438),'Base de datos Rutas'!BE438,"")</f>
        <v>139.780320366133</v>
      </c>
      <c r="H440" s="786">
        <f>IF(ISNUMBER('Base de datos Rutas'!BH438),'Base de datos Rutas'!BH438,"")</f>
        <v>0.54649335341496996</v>
      </c>
      <c r="I440" s="788">
        <f>IFERROR(IF(OR(NOT(ISNUMBER('Base de datos Rutas'!O438)),N('Base de datos Rutas'!BK438)=0),"",'Base de datos Rutas'!O438/('Base de datos Rutas'!L438/'Base de datos Rutas'!BK438)),"")</f>
        <v>4096.5583524027379</v>
      </c>
      <c r="J440" s="788">
        <f>IFERROR(IF(OR(NOT(ISNUMBER('Base de datos Rutas'!N438)),N('Base de datos Rutas'!BK438)=0),"",'Base de datos Rutas'!N438/('Base de datos Rutas'!L438/'Base de datos Rutas'!BK438)),"")</f>
        <v>7858.2791762013567</v>
      </c>
      <c r="K440" s="788">
        <f>IFERROR(IF(OR(NOT(ISNUMBER('Base de datos Rutas'!J438)),N('Base de datos Rutas'!BK438)=0),"",'Base de datos Rutas'!J438/('Base de datos Rutas'!L438/'Base de datos Rutas'!BK438)),"")</f>
        <v>543.84405125857779</v>
      </c>
      <c r="L440" s="788">
        <f>IFERROR(IF(OR(NOT(ISNUMBER('Base de datos Rutas'!K438)),N('Base de datos Rutas'!BK438)=0),"",'Base de datos Rutas'!K438/('Base de datos Rutas'!L438/'Base de datos Rutas'!BK438)),"")</f>
        <v>27.598850661327173</v>
      </c>
      <c r="M440" s="787">
        <f>IF(ISNUMBER('Base de datos Rutas'!AX438),'Base de datos Rutas'!AX438,"")</f>
        <v>156.62388173266999</v>
      </c>
      <c r="N440" s="790">
        <f>IFERROR(INDEX('Hoja de apoyo v2'!B$17:B$20,MATCH($A440,'Hoja de apoyo v2'!$A$17:$A$20,0)),"")</f>
        <v>89.41621024641401</v>
      </c>
      <c r="O440" s="791">
        <f>IFERROR(INDEX('Hoja de apoyo v2'!C$17:C$20,MATCH($A440,'Hoja de apoyo v2'!$A$17:$A$20,0)),"")</f>
        <v>0.54706375874806301</v>
      </c>
      <c r="P440" s="793">
        <f>IFERROR(INDEX('Hoja de apoyo v2'!D$17:D$20,MATCH($A440,'Hoja de apoyo v2'!$A$17:$A$20,0)),"")</f>
        <v>11095.153935793827</v>
      </c>
      <c r="Q440" s="793">
        <f>IFERROR(INDEX('Hoja de apoyo v2'!E$17:E$20,MATCH($A440,'Hoja de apoyo v2'!$A$17:$A$20,0)),"")</f>
        <v>6982.3202019701848</v>
      </c>
      <c r="R440" s="793">
        <f>IFERROR(INDEX('Hoja de apoyo v2'!F$17:F$20,MATCH($A440,'Hoja de apoyo v2'!$A$17:$A$20,0)),"")</f>
        <v>448.09513474485743</v>
      </c>
      <c r="S440" s="793">
        <f>IFERROR(INDEX('Hoja de apoyo v2'!G$17:G$20,MATCH($A440,'Hoja de apoyo v2'!$A$17:$A$20,0)),"")</f>
        <v>83.406300904207839</v>
      </c>
      <c r="T440" s="792">
        <f>IFERROR(INDEX('Hoja de apoyo v2'!H$17:H$20,MATCH($A440,'Hoja de apoyo v2'!$A$17:$A$20,0)),"")</f>
        <v>378.97014028925349</v>
      </c>
      <c r="U440" s="794">
        <f t="shared" si="220"/>
        <v>1.5632548055987288</v>
      </c>
      <c r="V440" s="795">
        <f t="shared" si="221"/>
        <v>0.9989573329909508</v>
      </c>
      <c r="W440" s="795">
        <f t="shared" si="222"/>
        <v>0.3692205061875638</v>
      </c>
      <c r="X440" s="843">
        <f t="shared" si="223"/>
        <v>1.1254538532884821</v>
      </c>
      <c r="Y440" s="843">
        <f t="shared" si="224"/>
        <v>1.2136798842242267</v>
      </c>
      <c r="Z440" s="843">
        <f t="shared" si="225"/>
        <v>0.33089647139518225</v>
      </c>
      <c r="AA440" s="843">
        <f t="shared" si="226"/>
        <v>0.41328818574762893</v>
      </c>
      <c r="AB440" s="796">
        <f t="shared" si="227"/>
        <v>5</v>
      </c>
      <c r="AC440" s="797">
        <f t="shared" si="228"/>
        <v>3</v>
      </c>
      <c r="AD440" s="797">
        <f t="shared" si="229"/>
        <v>1</v>
      </c>
      <c r="AE440" s="842">
        <f t="shared" si="230"/>
        <v>4</v>
      </c>
      <c r="AF440" s="842">
        <f t="shared" si="231"/>
        <v>4</v>
      </c>
      <c r="AG440" s="842">
        <f t="shared" si="232"/>
        <v>1</v>
      </c>
      <c r="AH440" s="842">
        <f t="shared" si="233"/>
        <v>1</v>
      </c>
      <c r="AI440" s="826" cm="1">
        <f t="array" ref="AI440">SUMPRODUCT(--ISNUMBER($U440:$AA440),$AB$3:$AH$3)</f>
        <v>1</v>
      </c>
      <c r="AJ440" s="829">
        <f t="shared" si="234"/>
        <v>41.906832359103433</v>
      </c>
      <c r="AK440" s="827" t="str">
        <f t="shared" si="235"/>
        <v>Inmadura</v>
      </c>
      <c r="AL440" s="784" t="str">
        <f t="shared" si="236"/>
        <v>Alta</v>
      </c>
      <c r="AM440" s="799">
        <f>IF(ISNUMBER('Base de datos Rutas'!W438),'Base de datos Rutas'!W438,"")</f>
        <v>3116.1708958203221</v>
      </c>
      <c r="AN440" s="787">
        <f>IFERROR(SUMIFS('Base de datos Rutas'!$W$6:$W$794,'Base de datos Rutas'!$C$6:$C$794,$C440)/'Base de datos Rutas'!I438,"")</f>
        <v>3116.1708958203185</v>
      </c>
      <c r="AO440" s="800">
        <f>IFERROR('Base de datos Rutas'!X438*AN440/AM440,"")</f>
        <v>0.37418782761251823</v>
      </c>
      <c r="AP440" s="800">
        <f t="shared" si="237"/>
        <v>0.62581217238748177</v>
      </c>
      <c r="AQ440" s="789">
        <f>IFERROR(INDEX('Hoja de apoyo v2'!$J$17:$J$20,MATCH($A440,'Hoja de apoyo v2'!$A$17:$A$20,0)),"")</f>
        <v>0.64320274048480885</v>
      </c>
      <c r="AR440" s="789">
        <f t="shared" si="238"/>
        <v>-1.7390568097327086E-2</v>
      </c>
      <c r="AS440" s="784" t="str">
        <f t="shared" si="239"/>
        <v>No</v>
      </c>
      <c r="AT440" s="801">
        <f>IF(ISNUMBER('Base de datos Rutas'!CK438),'Base de datos Rutas'!CK438,"")</f>
        <v>575</v>
      </c>
      <c r="AU440" s="802">
        <f>IF(ISNUMBER('Base de datos Rutas'!CL438),'Base de datos Rutas'!CL438,"")</f>
        <v>575</v>
      </c>
      <c r="AV440" s="802">
        <f>IF(ISNUMBER('Base de datos Rutas'!CM438),'Base de datos Rutas'!CM438,"")</f>
        <v>0</v>
      </c>
      <c r="AW440" s="802">
        <f>IF(ISNUMBER('Base de datos Rutas'!CN438),'Base de datos Rutas'!CN438,"")</f>
        <v>13.73</v>
      </c>
      <c r="AX440" s="802">
        <f>IF(ISNUMBER('Base de datos Rutas'!CO438),'Base de datos Rutas'!CO438,"")</f>
        <v>9.4499999999999993</v>
      </c>
      <c r="AY440" s="802">
        <f>IF(ISNUMBER('Base de datos Rutas'!CP438),'Base de datos Rutas'!CP438,"")</f>
        <v>-4.2800000000000011</v>
      </c>
      <c r="AZ440" s="802">
        <f>IF(ISNUMBER('Base de datos Rutas'!CQ438),'Base de datos Rutas'!CQ438,"")</f>
        <v>846.56</v>
      </c>
      <c r="BA440" s="802">
        <f>IF(ISNUMBER('Base de datos Rutas'!CR438),'Base de datos Rutas'!CR438,"")</f>
        <v>571.44000000000005</v>
      </c>
      <c r="BB440" s="803">
        <f>IF(ISNUMBER('Base de datos Rutas'!CS438),'Base de datos Rutas'!CS438,"")</f>
        <v>275.11999999999989</v>
      </c>
      <c r="BC440" s="804">
        <f t="shared" si="249"/>
        <v>2</v>
      </c>
      <c r="BD440" s="805" t="str">
        <f t="shared" si="250"/>
        <v>Saturada</v>
      </c>
      <c r="BE440" s="806">
        <f t="shared" si="251"/>
        <v>0.67501417501417516</v>
      </c>
      <c r="BF440" s="890">
        <f>IF(ISNUMBER('Base de datos Rutas'!CX438),'Base de datos Rutas'!CX438/100,"")</f>
        <v>0.81034482758620685</v>
      </c>
      <c r="BG440" s="891">
        <f>IF(ISNUMBER('Base de datos Rutas'!CZ438),'Base de datos Rutas'!CZ438/100,"")</f>
        <v>0.81034482758620685</v>
      </c>
      <c r="BH440" s="892">
        <f>IF(ISNUMBER('Base de datos Rutas'!DA438),'Base de datos Rutas'!DA438,"")</f>
        <v>439.16455375253548</v>
      </c>
      <c r="BI440" s="893">
        <f>IF(ISNUMBER('Base de datos Rutas'!DC438),'Base de datos Rutas'!DC438,"")</f>
        <v>20.613604462474648</v>
      </c>
      <c r="BJ440" s="805" t="str">
        <f t="shared" si="252"/>
        <v>Ruta (completo)</v>
      </c>
      <c r="BK440" s="783">
        <f t="shared" si="240"/>
        <v>3</v>
      </c>
      <c r="BL440" s="797">
        <f t="shared" si="241"/>
        <v>3</v>
      </c>
      <c r="BM440" s="797">
        <f t="shared" si="242"/>
        <v>2</v>
      </c>
      <c r="BN440" s="797">
        <f t="shared" si="243"/>
        <v>2</v>
      </c>
      <c r="BO440" s="798" cm="1">
        <f t="array" ref="BO440">SUMPRODUCT(--ISNUMBER($BF440:$BI440),$BK$3:$BN$3)</f>
        <v>1</v>
      </c>
      <c r="BP440" s="831">
        <f t="shared" si="253"/>
        <v>37.5</v>
      </c>
      <c r="BQ440" s="834" t="str">
        <f t="shared" si="254"/>
        <v>Medio</v>
      </c>
      <c r="BR440" s="836">
        <f t="shared" si="244"/>
        <v>56.430124269327578</v>
      </c>
      <c r="BS440" s="836">
        <f t="shared" si="245"/>
        <v>37.5</v>
      </c>
      <c r="BT440" s="837" t="str">
        <f t="shared" si="246"/>
        <v>P2</v>
      </c>
      <c r="BU440" s="807" t="str">
        <f t="shared" si="255"/>
        <v>Al tope</v>
      </c>
      <c r="BV440" s="807" t="str">
        <f t="shared" si="247"/>
        <v>Zona de bajo potencial</v>
      </c>
      <c r="BW440" s="808" t="str">
        <f t="shared" si="248"/>
        <v>P2 - Mantener</v>
      </c>
    </row>
    <row r="441" spans="1:75">
      <c r="A441" s="780" t="str">
        <f>'Base de datos Rutas'!A439</f>
        <v>Occidente</v>
      </c>
      <c r="B441" s="781" t="str">
        <f>'Base de datos Rutas'!B439</f>
        <v>Zapopan</v>
      </c>
      <c r="C441" s="781" t="str">
        <f>'Base de datos Rutas'!C439</f>
        <v>Suc. Belenes</v>
      </c>
      <c r="D441" s="782">
        <f>IF(ISNUMBER('Base de datos Rutas'!D439),'Base de datos Rutas'!D439,"Sin código")</f>
        <v>820357</v>
      </c>
      <c r="E441" s="783" t="str">
        <f>'Base de datos Rutas'!F439</f>
        <v>Activa</v>
      </c>
      <c r="F441" s="784" t="str">
        <f>'Base de datos Rutas'!H439</f>
        <v>Sí</v>
      </c>
      <c r="G441" s="785">
        <f>IF(ISNUMBER('Base de datos Rutas'!BE439),'Base de datos Rutas'!BE439,"")</f>
        <v>126.122119815668</v>
      </c>
      <c r="H441" s="786">
        <f>IF(ISNUMBER('Base de datos Rutas'!BH439),'Base de datos Rutas'!BH439,"")</f>
        <v>0.33956921278111701</v>
      </c>
      <c r="I441" s="788">
        <f>IFERROR(IF(OR(NOT(ISNUMBER('Base de datos Rutas'!O439)),N('Base de datos Rutas'!BK439)=0),"",'Base de datos Rutas'!O439/('Base de datos Rutas'!L439/'Base de datos Rutas'!BK439)),"")</f>
        <v>4779.6290322580644</v>
      </c>
      <c r="J441" s="788">
        <f>IFERROR(IF(OR(NOT(ISNUMBER('Base de datos Rutas'!N439)),N('Base de datos Rutas'!BK439)=0),"",'Base de datos Rutas'!N439/('Base de datos Rutas'!L439/'Base de datos Rutas'!BK439)),"")</f>
        <v>6679.3202764976959</v>
      </c>
      <c r="K441" s="788">
        <f>IFERROR(IF(OR(NOT(ISNUMBER('Base de datos Rutas'!J439)),N('Base de datos Rutas'!BK439)=0),"",'Base de datos Rutas'!J439/('Base de datos Rutas'!L439/'Base de datos Rutas'!BK439)),"")</f>
        <v>460.46046451612671</v>
      </c>
      <c r="L441" s="788">
        <f>IFERROR(IF(OR(NOT(ISNUMBER('Base de datos Rutas'!K439)),N('Base de datos Rutas'!BK439)=0),"",'Base de datos Rutas'!K439/('Base de datos Rutas'!L439/'Base de datos Rutas'!BK439)),"")</f>
        <v>33.977325410138249</v>
      </c>
      <c r="M441" s="787">
        <f>IF(ISNUMBER('Base de datos Rutas'!AX439),'Base de datos Rutas'!AX439,"")</f>
        <v>268.55731478990702</v>
      </c>
      <c r="N441" s="790">
        <f>IFERROR(INDEX('Hoja de apoyo v2'!B$17:B$20,MATCH($A441,'Hoja de apoyo v2'!$A$17:$A$20,0)),"")</f>
        <v>89.41621024641401</v>
      </c>
      <c r="O441" s="791">
        <f>IFERROR(INDEX('Hoja de apoyo v2'!C$17:C$20,MATCH($A441,'Hoja de apoyo v2'!$A$17:$A$20,0)),"")</f>
        <v>0.54706375874806301</v>
      </c>
      <c r="P441" s="793">
        <f>IFERROR(INDEX('Hoja de apoyo v2'!D$17:D$20,MATCH($A441,'Hoja de apoyo v2'!$A$17:$A$20,0)),"")</f>
        <v>11095.153935793827</v>
      </c>
      <c r="Q441" s="793">
        <f>IFERROR(INDEX('Hoja de apoyo v2'!E$17:E$20,MATCH($A441,'Hoja de apoyo v2'!$A$17:$A$20,0)),"")</f>
        <v>6982.3202019701848</v>
      </c>
      <c r="R441" s="793">
        <f>IFERROR(INDEX('Hoja de apoyo v2'!F$17:F$20,MATCH($A441,'Hoja de apoyo v2'!$A$17:$A$20,0)),"")</f>
        <v>448.09513474485743</v>
      </c>
      <c r="S441" s="793">
        <f>IFERROR(INDEX('Hoja de apoyo v2'!G$17:G$20,MATCH($A441,'Hoja de apoyo v2'!$A$17:$A$20,0)),"")</f>
        <v>83.406300904207839</v>
      </c>
      <c r="T441" s="792">
        <f>IFERROR(INDEX('Hoja de apoyo v2'!H$17:H$20,MATCH($A441,'Hoja de apoyo v2'!$A$17:$A$20,0)),"")</f>
        <v>378.97014028925349</v>
      </c>
      <c r="U441" s="794">
        <f t="shared" si="220"/>
        <v>1.4105062098706656</v>
      </c>
      <c r="V441" s="795">
        <f t="shared" si="221"/>
        <v>0.62071231616257994</v>
      </c>
      <c r="W441" s="795">
        <f t="shared" si="222"/>
        <v>0.43078528336940064</v>
      </c>
      <c r="X441" s="843">
        <f t="shared" si="223"/>
        <v>0.95660469346751065</v>
      </c>
      <c r="Y441" s="843">
        <f t="shared" si="224"/>
        <v>1.0275953225386167</v>
      </c>
      <c r="Z441" s="843">
        <f t="shared" si="225"/>
        <v>0.40737120627326728</v>
      </c>
      <c r="AA441" s="843">
        <f t="shared" si="226"/>
        <v>0.70865032950861895</v>
      </c>
      <c r="AB441" s="796">
        <f t="shared" si="227"/>
        <v>5</v>
      </c>
      <c r="AC441" s="797">
        <f t="shared" si="228"/>
        <v>2</v>
      </c>
      <c r="AD441" s="797">
        <f t="shared" si="229"/>
        <v>1</v>
      </c>
      <c r="AE441" s="842">
        <f t="shared" si="230"/>
        <v>3</v>
      </c>
      <c r="AF441" s="842">
        <f t="shared" si="231"/>
        <v>4</v>
      </c>
      <c r="AG441" s="842">
        <f t="shared" si="232"/>
        <v>1</v>
      </c>
      <c r="AH441" s="842">
        <f t="shared" si="233"/>
        <v>2</v>
      </c>
      <c r="AI441" s="826" cm="1">
        <f t="array" ref="AI441">SUMPRODUCT(--ISNUMBER($U441:$AA441),$AB$3:$AH$3)</f>
        <v>1</v>
      </c>
      <c r="AJ441" s="829">
        <f t="shared" si="234"/>
        <v>38.359206967320816</v>
      </c>
      <c r="AK441" s="827" t="str">
        <f t="shared" si="235"/>
        <v>Inmadura</v>
      </c>
      <c r="AL441" s="784" t="str">
        <f t="shared" si="236"/>
        <v>Alta</v>
      </c>
      <c r="AM441" s="799">
        <f>IF(ISNUMBER('Base de datos Rutas'!W439),'Base de datos Rutas'!W439,"")</f>
        <v>3116.1708958203221</v>
      </c>
      <c r="AN441" s="787">
        <f>IFERROR(SUMIFS('Base de datos Rutas'!$W$6:$W$794,'Base de datos Rutas'!$C$6:$C$794,$C441)/'Base de datos Rutas'!I439,"")</f>
        <v>3116.1708958203185</v>
      </c>
      <c r="AO441" s="800">
        <f>IFERROR('Base de datos Rutas'!X439*AN441/AM441,"")</f>
        <v>0.37418782761251823</v>
      </c>
      <c r="AP441" s="800">
        <f t="shared" si="237"/>
        <v>0.62581217238748177</v>
      </c>
      <c r="AQ441" s="789">
        <f>IFERROR(INDEX('Hoja de apoyo v2'!$J$17:$J$20,MATCH($A441,'Hoja de apoyo v2'!$A$17:$A$20,0)),"")</f>
        <v>0.64320274048480885</v>
      </c>
      <c r="AR441" s="789">
        <f t="shared" si="238"/>
        <v>-1.7390568097327086E-2</v>
      </c>
      <c r="AS441" s="784" t="str">
        <f t="shared" si="239"/>
        <v>No</v>
      </c>
      <c r="AT441" s="801">
        <f>IF(ISNUMBER('Base de datos Rutas'!CK439),'Base de datos Rutas'!CK439,"")</f>
        <v>368</v>
      </c>
      <c r="AU441" s="802">
        <f>IF(ISNUMBER('Base de datos Rutas'!CL439),'Base de datos Rutas'!CL439,"")</f>
        <v>368</v>
      </c>
      <c r="AV441" s="802">
        <f>IF(ISNUMBER('Base de datos Rutas'!CM439),'Base de datos Rutas'!CM439,"")</f>
        <v>0</v>
      </c>
      <c r="AW441" s="802">
        <f>IF(ISNUMBER('Base de datos Rutas'!CN439),'Base de datos Rutas'!CN439,"")</f>
        <v>12.61</v>
      </c>
      <c r="AX441" s="802">
        <f>IF(ISNUMBER('Base de datos Rutas'!CO439),'Base de datos Rutas'!CO439,"")</f>
        <v>9.4499999999999993</v>
      </c>
      <c r="AY441" s="802">
        <f>IF(ISNUMBER('Base de datos Rutas'!CP439),'Base de datos Rutas'!CP439,"")</f>
        <v>-3.16</v>
      </c>
      <c r="AZ441" s="802">
        <f>IF(ISNUMBER('Base de datos Rutas'!CQ439),'Base de datos Rutas'!CQ439,"")</f>
        <v>846.56</v>
      </c>
      <c r="BA441" s="802">
        <f>IF(ISNUMBER('Base de datos Rutas'!CR439),'Base de datos Rutas'!CR439,"")</f>
        <v>494.44</v>
      </c>
      <c r="BB441" s="803">
        <f>IF(ISNUMBER('Base de datos Rutas'!CS439),'Base de datos Rutas'!CS439,"")</f>
        <v>352.11999999999995</v>
      </c>
      <c r="BC441" s="804">
        <f t="shared" si="249"/>
        <v>2</v>
      </c>
      <c r="BD441" s="805" t="str">
        <f t="shared" si="250"/>
        <v>Saturada</v>
      </c>
      <c r="BE441" s="806">
        <f t="shared" si="251"/>
        <v>0.58405783405783407</v>
      </c>
      <c r="BF441" s="890">
        <f>IF(ISNUMBER('Base de datos Rutas'!CX439),'Base de datos Rutas'!CX439/100,"")</f>
        <v>1</v>
      </c>
      <c r="BG441" s="891">
        <f>IF(ISNUMBER('Base de datos Rutas'!CZ439),'Base de datos Rutas'!CZ439/100,"")</f>
        <v>1</v>
      </c>
      <c r="BH441" s="892">
        <f>IF(ISNUMBER('Base de datos Rutas'!DA439),'Base de datos Rutas'!DA439,"")</f>
        <v>151.03091383812009</v>
      </c>
      <c r="BI441" s="893">
        <f>IF(ISNUMBER('Base de datos Rutas'!DC439),'Base de datos Rutas'!DC439,"")</f>
        <v>6.6952915578764145</v>
      </c>
      <c r="BJ441" s="805" t="str">
        <f t="shared" si="252"/>
        <v>Ruta (completo)</v>
      </c>
      <c r="BK441" s="783">
        <f t="shared" si="240"/>
        <v>5</v>
      </c>
      <c r="BL441" s="797">
        <f t="shared" si="241"/>
        <v>4</v>
      </c>
      <c r="BM441" s="797">
        <f t="shared" si="242"/>
        <v>1</v>
      </c>
      <c r="BN441" s="797">
        <f t="shared" si="243"/>
        <v>1</v>
      </c>
      <c r="BO441" s="798" cm="1">
        <f t="array" ref="BO441">SUMPRODUCT(--ISNUMBER($BF441:$BI441),$BK$3:$BN$3)</f>
        <v>1</v>
      </c>
      <c r="BP441" s="831">
        <f t="shared" si="253"/>
        <v>43.75</v>
      </c>
      <c r="BQ441" s="834" t="str">
        <f t="shared" si="254"/>
        <v>Medio</v>
      </c>
      <c r="BR441" s="836">
        <f t="shared" si="244"/>
        <v>53.769405225490615</v>
      </c>
      <c r="BS441" s="836">
        <f t="shared" si="245"/>
        <v>43.75</v>
      </c>
      <c r="BT441" s="837" t="str">
        <f t="shared" si="246"/>
        <v>P2</v>
      </c>
      <c r="BU441" s="807" t="str">
        <f t="shared" si="255"/>
        <v>Al tope</v>
      </c>
      <c r="BV441" s="807" t="str">
        <f t="shared" si="247"/>
        <v>Zona de bajo potencial</v>
      </c>
      <c r="BW441" s="808" t="str">
        <f t="shared" si="248"/>
        <v>P2 - Mantener</v>
      </c>
    </row>
    <row r="442" spans="1:75">
      <c r="A442" s="780" t="str">
        <f>'Base de datos Rutas'!A440</f>
        <v>Occidente</v>
      </c>
      <c r="B442" s="781" t="str">
        <f>'Base de datos Rutas'!B440</f>
        <v>Zapopan</v>
      </c>
      <c r="C442" s="781" t="str">
        <f>'Base de datos Rutas'!C440</f>
        <v>Suc. Belenes</v>
      </c>
      <c r="D442" s="782">
        <f>IF(ISNUMBER('Base de datos Rutas'!D440),'Base de datos Rutas'!D440,"Sin código")</f>
        <v>820358</v>
      </c>
      <c r="E442" s="783" t="str">
        <f>'Base de datos Rutas'!F440</f>
        <v>Activa</v>
      </c>
      <c r="F442" s="784" t="str">
        <f>'Base de datos Rutas'!H440</f>
        <v>Sí</v>
      </c>
      <c r="G442" s="785">
        <f>IF(ISNUMBER('Base de datos Rutas'!BE440),'Base de datos Rutas'!BE440,"")</f>
        <v>116.06349206349201</v>
      </c>
      <c r="H442" s="786">
        <f>IF(ISNUMBER('Base de datos Rutas'!BH440),'Base de datos Rutas'!BH440,"")</f>
        <v>0.52821194123163495</v>
      </c>
      <c r="I442" s="788">
        <f>IFERROR(IF(OR(NOT(ISNUMBER('Base de datos Rutas'!O440)),N('Base de datos Rutas'!BK440)=0),"",'Base de datos Rutas'!O440/('Base de datos Rutas'!L440/'Base de datos Rutas'!BK440)),"")</f>
        <v>3226.1156462584954</v>
      </c>
      <c r="J442" s="788">
        <f>IFERROR(IF(OR(NOT(ISNUMBER('Base de datos Rutas'!N440)),N('Base de datos Rutas'!BK440)=0),"",'Base de datos Rutas'!N440/('Base de datos Rutas'!L440/'Base de datos Rutas'!BK440)),"")</f>
        <v>7417.4126984126806</v>
      </c>
      <c r="K442" s="788">
        <f>IFERROR(IF(OR(NOT(ISNUMBER('Base de datos Rutas'!J440)),N('Base de datos Rutas'!BK440)=0),"",'Base de datos Rutas'!J440/('Base de datos Rutas'!L440/'Base de datos Rutas'!BK440)),"")</f>
        <v>514.02279365079016</v>
      </c>
      <c r="L442" s="788">
        <f>IFERROR(IF(OR(NOT(ISNUMBER('Base de datos Rutas'!K440)),N('Base de datos Rutas'!BK440)=0),"",'Base de datos Rutas'!K440/('Base de datos Rutas'!L440/'Base de datos Rutas'!BK440)),"")</f>
        <v>24.69734904308384</v>
      </c>
      <c r="M442" s="787">
        <f>IF(ISNUMBER('Base de datos Rutas'!AX440),'Base de datos Rutas'!AX440,"")</f>
        <v>173.459142254771</v>
      </c>
      <c r="N442" s="790">
        <f>IFERROR(INDEX('Hoja de apoyo v2'!B$17:B$20,MATCH($A442,'Hoja de apoyo v2'!$A$17:$A$20,0)),"")</f>
        <v>89.41621024641401</v>
      </c>
      <c r="O442" s="791">
        <f>IFERROR(INDEX('Hoja de apoyo v2'!C$17:C$20,MATCH($A442,'Hoja de apoyo v2'!$A$17:$A$20,0)),"")</f>
        <v>0.54706375874806301</v>
      </c>
      <c r="P442" s="793">
        <f>IFERROR(INDEX('Hoja de apoyo v2'!D$17:D$20,MATCH($A442,'Hoja de apoyo v2'!$A$17:$A$20,0)),"")</f>
        <v>11095.153935793827</v>
      </c>
      <c r="Q442" s="793">
        <f>IFERROR(INDEX('Hoja de apoyo v2'!E$17:E$20,MATCH($A442,'Hoja de apoyo v2'!$A$17:$A$20,0)),"")</f>
        <v>6982.3202019701848</v>
      </c>
      <c r="R442" s="793">
        <f>IFERROR(INDEX('Hoja de apoyo v2'!F$17:F$20,MATCH($A442,'Hoja de apoyo v2'!$A$17:$A$20,0)),"")</f>
        <v>448.09513474485743</v>
      </c>
      <c r="S442" s="793">
        <f>IFERROR(INDEX('Hoja de apoyo v2'!G$17:G$20,MATCH($A442,'Hoja de apoyo v2'!$A$17:$A$20,0)),"")</f>
        <v>83.406300904207839</v>
      </c>
      <c r="T442" s="792">
        <f>IFERROR(INDEX('Hoja de apoyo v2'!H$17:H$20,MATCH($A442,'Hoja de apoyo v2'!$A$17:$A$20,0)),"")</f>
        <v>378.97014028925349</v>
      </c>
      <c r="U442" s="794">
        <f t="shared" si="220"/>
        <v>1.2980139925819174</v>
      </c>
      <c r="V442" s="795">
        <f t="shared" si="221"/>
        <v>0.96553999928715839</v>
      </c>
      <c r="W442" s="795">
        <f t="shared" si="222"/>
        <v>0.29076799338950998</v>
      </c>
      <c r="X442" s="843">
        <f t="shared" si="223"/>
        <v>1.0623134551061877</v>
      </c>
      <c r="Y442" s="843">
        <f t="shared" si="224"/>
        <v>1.1471287094948521</v>
      </c>
      <c r="Z442" s="843">
        <f t="shared" si="225"/>
        <v>0.29610891234043279</v>
      </c>
      <c r="AA442" s="843">
        <f t="shared" si="226"/>
        <v>0.45771189815212415</v>
      </c>
      <c r="AB442" s="796">
        <f t="shared" si="227"/>
        <v>5</v>
      </c>
      <c r="AC442" s="797">
        <f t="shared" si="228"/>
        <v>3</v>
      </c>
      <c r="AD442" s="797">
        <f t="shared" si="229"/>
        <v>1</v>
      </c>
      <c r="AE442" s="842">
        <f t="shared" si="230"/>
        <v>4</v>
      </c>
      <c r="AF442" s="842">
        <f t="shared" si="231"/>
        <v>4</v>
      </c>
      <c r="AG442" s="842">
        <f t="shared" si="232"/>
        <v>1</v>
      </c>
      <c r="AH442" s="842">
        <f t="shared" si="233"/>
        <v>1</v>
      </c>
      <c r="AI442" s="826" cm="1">
        <f t="array" ref="AI442">SUMPRODUCT(--ISNUMBER($U442:$AA442),$AB$3:$AH$3)</f>
        <v>1</v>
      </c>
      <c r="AJ442" s="829">
        <f t="shared" si="234"/>
        <v>41.906832359103433</v>
      </c>
      <c r="AK442" s="827" t="str">
        <f t="shared" si="235"/>
        <v>Inmadura</v>
      </c>
      <c r="AL442" s="784" t="str">
        <f t="shared" si="236"/>
        <v>Alta</v>
      </c>
      <c r="AM442" s="799">
        <f>IF(ISNUMBER('Base de datos Rutas'!W440),'Base de datos Rutas'!W440,"")</f>
        <v>3116.1708958203221</v>
      </c>
      <c r="AN442" s="787">
        <f>IFERROR(SUMIFS('Base de datos Rutas'!$W$6:$W$794,'Base de datos Rutas'!$C$6:$C$794,$C442)/'Base de datos Rutas'!I440,"")</f>
        <v>3116.1708958203185</v>
      </c>
      <c r="AO442" s="800">
        <f>IFERROR('Base de datos Rutas'!X440*AN442/AM442,"")</f>
        <v>0.37418782761251823</v>
      </c>
      <c r="AP442" s="800">
        <f t="shared" si="237"/>
        <v>0.62581217238748177</v>
      </c>
      <c r="AQ442" s="789">
        <f>IFERROR(INDEX('Hoja de apoyo v2'!$J$17:$J$20,MATCH($A442,'Hoja de apoyo v2'!$A$17:$A$20,0)),"")</f>
        <v>0.64320274048480885</v>
      </c>
      <c r="AR442" s="789">
        <f t="shared" si="238"/>
        <v>-1.7390568097327086E-2</v>
      </c>
      <c r="AS442" s="784" t="str">
        <f t="shared" si="239"/>
        <v>No</v>
      </c>
      <c r="AT442" s="801">
        <f>IF(ISNUMBER('Base de datos Rutas'!CK440),'Base de datos Rutas'!CK440,"")</f>
        <v>558</v>
      </c>
      <c r="AU442" s="802">
        <f>IF(ISNUMBER('Base de datos Rutas'!CL440),'Base de datos Rutas'!CL440,"")</f>
        <v>739.92</v>
      </c>
      <c r="AV442" s="802">
        <f>IF(ISNUMBER('Base de datos Rutas'!CM440),'Base de datos Rutas'!CM440,"")</f>
        <v>181.91999999999996</v>
      </c>
      <c r="AW442" s="802">
        <f>IF(ISNUMBER('Base de datos Rutas'!CN440),'Base de datos Rutas'!CN440,"")</f>
        <v>12.95</v>
      </c>
      <c r="AX442" s="802">
        <f>IF(ISNUMBER('Base de datos Rutas'!CO440),'Base de datos Rutas'!CO440,"")</f>
        <v>9.4499999999999993</v>
      </c>
      <c r="AY442" s="802">
        <f>IF(ISNUMBER('Base de datos Rutas'!CP440),'Base de datos Rutas'!CP440,"")</f>
        <v>-3.5</v>
      </c>
      <c r="AZ442" s="802">
        <f>IF(ISNUMBER('Base de datos Rutas'!CQ440),'Base de datos Rutas'!CQ440,"")</f>
        <v>846.56</v>
      </c>
      <c r="BA442" s="802">
        <f>IF(ISNUMBER('Base de datos Rutas'!CR440),'Base de datos Rutas'!CR440,"")</f>
        <v>538.72</v>
      </c>
      <c r="BB442" s="803">
        <f>IF(ISNUMBER('Base de datos Rutas'!CS440),'Base de datos Rutas'!CS440,"")</f>
        <v>307.83999999999992</v>
      </c>
      <c r="BC442" s="804">
        <f t="shared" si="249"/>
        <v>1</v>
      </c>
      <c r="BD442" s="805" t="str">
        <f t="shared" si="250"/>
        <v>Saturada</v>
      </c>
      <c r="BE442" s="806">
        <f t="shared" si="251"/>
        <v>0.63636363636363646</v>
      </c>
      <c r="BF442" s="890">
        <f>IF(ISNUMBER('Base de datos Rutas'!CX440),'Base de datos Rutas'!CX440/100,"")</f>
        <v>0.44743645981163721</v>
      </c>
      <c r="BG442" s="891">
        <f>IF(ISNUMBER('Base de datos Rutas'!CZ440),'Base de datos Rutas'!CZ440/100,"")</f>
        <v>0.47090697974454909</v>
      </c>
      <c r="BH442" s="892">
        <f>IF(ISNUMBER('Base de datos Rutas'!DA440),'Base de datos Rutas'!DA440,"")</f>
        <v>503.12250974420516</v>
      </c>
      <c r="BI442" s="893">
        <f>IF(ISNUMBER('Base de datos Rutas'!DC440),'Base de datos Rutas'!DC440,"")</f>
        <v>24.763486837129332</v>
      </c>
      <c r="BJ442" s="805" t="str">
        <f t="shared" si="252"/>
        <v>Ruta (completo)</v>
      </c>
      <c r="BK442" s="783">
        <f t="shared" si="240"/>
        <v>1</v>
      </c>
      <c r="BL442" s="797">
        <f t="shared" si="241"/>
        <v>2</v>
      </c>
      <c r="BM442" s="797">
        <f t="shared" si="242"/>
        <v>2</v>
      </c>
      <c r="BN442" s="797">
        <f t="shared" si="243"/>
        <v>2</v>
      </c>
      <c r="BO442" s="798" cm="1">
        <f t="array" ref="BO442">SUMPRODUCT(--ISNUMBER($BF442:$BI442),$BK$3:$BN$3)</f>
        <v>1</v>
      </c>
      <c r="BP442" s="831">
        <f t="shared" si="253"/>
        <v>18.75</v>
      </c>
      <c r="BQ442" s="834" t="str">
        <f t="shared" si="254"/>
        <v>Bajo</v>
      </c>
      <c r="BR442" s="836">
        <f t="shared" si="244"/>
        <v>56.430124269327578</v>
      </c>
      <c r="BS442" s="836">
        <f t="shared" si="245"/>
        <v>18.75</v>
      </c>
      <c r="BT442" s="837" t="str">
        <f t="shared" si="246"/>
        <v>P2</v>
      </c>
      <c r="BU442" s="807" t="str">
        <f t="shared" si="255"/>
        <v>Al tope</v>
      </c>
      <c r="BV442" s="807" t="str">
        <f t="shared" si="247"/>
        <v>Zona de bajo potencial</v>
      </c>
      <c r="BW442" s="808" t="str">
        <f t="shared" si="248"/>
        <v>P2 - Mantener</v>
      </c>
    </row>
    <row r="443" spans="1:75">
      <c r="A443" s="780" t="str">
        <f>'Base de datos Rutas'!A441</f>
        <v>Occidente</v>
      </c>
      <c r="B443" s="781" t="str">
        <f>'Base de datos Rutas'!B441</f>
        <v>Zapopan</v>
      </c>
      <c r="C443" s="781" t="str">
        <f>'Base de datos Rutas'!C441</f>
        <v>Suc. Belenes</v>
      </c>
      <c r="D443" s="782">
        <f>IF(ISNUMBER('Base de datos Rutas'!D441),'Base de datos Rutas'!D441,"Sin código")</f>
        <v>820359</v>
      </c>
      <c r="E443" s="783" t="str">
        <f>'Base de datos Rutas'!F441</f>
        <v>Activa</v>
      </c>
      <c r="F443" s="784" t="str">
        <f>'Base de datos Rutas'!H441</f>
        <v>Sí</v>
      </c>
      <c r="G443" s="785">
        <f>IF(ISNUMBER('Base de datos Rutas'!BE441),'Base de datos Rutas'!BE441,"")</f>
        <v>97.166281755196295</v>
      </c>
      <c r="H443" s="786">
        <f>IF(ISNUMBER('Base de datos Rutas'!BH441),'Base de datos Rutas'!BH441,"")</f>
        <v>0.406174981579635</v>
      </c>
      <c r="I443" s="788">
        <f>IFERROR(IF(OR(NOT(ISNUMBER('Base de datos Rutas'!O441)),N('Base de datos Rutas'!BK441)=0),"",'Base de datos Rutas'!O441/('Base de datos Rutas'!L441/'Base de datos Rutas'!BK441)),"")</f>
        <v>2853.5080831408832</v>
      </c>
      <c r="J443" s="788">
        <f>IFERROR(IF(OR(NOT(ISNUMBER('Base de datos Rutas'!N441)),N('Base de datos Rutas'!BK441)=0),"",'Base de datos Rutas'!N441/('Base de datos Rutas'!L441/'Base de datos Rutas'!BK441)),"")</f>
        <v>6859.7806004619069</v>
      </c>
      <c r="K443" s="788">
        <f>IFERROR(IF(OR(NOT(ISNUMBER('Base de datos Rutas'!J441)),N('Base de datos Rutas'!BK441)=0),"",'Base de datos Rutas'!J441/('Base de datos Rutas'!L441/'Base de datos Rutas'!BK441)),"")</f>
        <v>472.74187344110715</v>
      </c>
      <c r="L443" s="788">
        <f>IFERROR(IF(OR(NOT(ISNUMBER('Base de datos Rutas'!K441)),N('Base de datos Rutas'!BK441)=0),"",'Base de datos Rutas'!K441/('Base de datos Rutas'!L441/'Base de datos Rutas'!BK441)),"")</f>
        <v>22.565856496535844</v>
      </c>
      <c r="M443" s="787">
        <f>IF(ISNUMBER('Base de datos Rutas'!AX441),'Base de datos Rutas'!AX441,"")</f>
        <v>246.11471999531901</v>
      </c>
      <c r="N443" s="790">
        <f>IFERROR(INDEX('Hoja de apoyo v2'!B$17:B$20,MATCH($A443,'Hoja de apoyo v2'!$A$17:$A$20,0)),"")</f>
        <v>89.41621024641401</v>
      </c>
      <c r="O443" s="791">
        <f>IFERROR(INDEX('Hoja de apoyo v2'!C$17:C$20,MATCH($A443,'Hoja de apoyo v2'!$A$17:$A$20,0)),"")</f>
        <v>0.54706375874806301</v>
      </c>
      <c r="P443" s="793">
        <f>IFERROR(INDEX('Hoja de apoyo v2'!D$17:D$20,MATCH($A443,'Hoja de apoyo v2'!$A$17:$A$20,0)),"")</f>
        <v>11095.153935793827</v>
      </c>
      <c r="Q443" s="793">
        <f>IFERROR(INDEX('Hoja de apoyo v2'!E$17:E$20,MATCH($A443,'Hoja de apoyo v2'!$A$17:$A$20,0)),"")</f>
        <v>6982.3202019701848</v>
      </c>
      <c r="R443" s="793">
        <f>IFERROR(INDEX('Hoja de apoyo v2'!F$17:F$20,MATCH($A443,'Hoja de apoyo v2'!$A$17:$A$20,0)),"")</f>
        <v>448.09513474485743</v>
      </c>
      <c r="S443" s="793">
        <f>IFERROR(INDEX('Hoja de apoyo v2'!G$17:G$20,MATCH($A443,'Hoja de apoyo v2'!$A$17:$A$20,0)),"")</f>
        <v>83.406300904207839</v>
      </c>
      <c r="T443" s="792">
        <f>IFERROR(INDEX('Hoja de apoyo v2'!H$17:H$20,MATCH($A443,'Hoja de apoyo v2'!$A$17:$A$20,0)),"")</f>
        <v>378.97014028925349</v>
      </c>
      <c r="U443" s="794">
        <f t="shared" si="220"/>
        <v>1.0866741219229106</v>
      </c>
      <c r="V443" s="795">
        <f t="shared" si="221"/>
        <v>0.74246369839806747</v>
      </c>
      <c r="W443" s="795">
        <f t="shared" si="222"/>
        <v>0.25718508275358348</v>
      </c>
      <c r="X443" s="843">
        <f t="shared" si="223"/>
        <v>0.9824500169050252</v>
      </c>
      <c r="Y443" s="843">
        <f t="shared" si="224"/>
        <v>1.0550033615300987</v>
      </c>
      <c r="Z443" s="843">
        <f t="shared" si="225"/>
        <v>0.27055337848459121</v>
      </c>
      <c r="AA443" s="843">
        <f t="shared" si="226"/>
        <v>0.64943037413836613</v>
      </c>
      <c r="AB443" s="796">
        <f t="shared" si="227"/>
        <v>4</v>
      </c>
      <c r="AC443" s="797">
        <f t="shared" si="228"/>
        <v>2</v>
      </c>
      <c r="AD443" s="797">
        <f t="shared" si="229"/>
        <v>1</v>
      </c>
      <c r="AE443" s="842">
        <f t="shared" si="230"/>
        <v>3</v>
      </c>
      <c r="AF443" s="842">
        <f t="shared" si="231"/>
        <v>4</v>
      </c>
      <c r="AG443" s="842">
        <f t="shared" si="232"/>
        <v>1</v>
      </c>
      <c r="AH443" s="842">
        <f t="shared" si="233"/>
        <v>2</v>
      </c>
      <c r="AI443" s="826" cm="1">
        <f t="array" ref="AI443">SUMPRODUCT(--ISNUMBER($U443:$AA443),$AB$3:$AH$3)</f>
        <v>1</v>
      </c>
      <c r="AJ443" s="829">
        <f t="shared" si="234"/>
        <v>33.825570789184056</v>
      </c>
      <c r="AK443" s="827" t="str">
        <f t="shared" si="235"/>
        <v>Inmadura</v>
      </c>
      <c r="AL443" s="784" t="str">
        <f t="shared" si="236"/>
        <v>Alta</v>
      </c>
      <c r="AM443" s="799">
        <f>IF(ISNUMBER('Base de datos Rutas'!W441),'Base de datos Rutas'!W441,"")</f>
        <v>3116.1708958203221</v>
      </c>
      <c r="AN443" s="787">
        <f>IFERROR(SUMIFS('Base de datos Rutas'!$W$6:$W$794,'Base de datos Rutas'!$C$6:$C$794,$C443)/'Base de datos Rutas'!I441,"")</f>
        <v>3116.1708958203185</v>
      </c>
      <c r="AO443" s="800">
        <f>IFERROR('Base de datos Rutas'!X441*AN443/AM443,"")</f>
        <v>0.37418782761251823</v>
      </c>
      <c r="AP443" s="800">
        <f t="shared" si="237"/>
        <v>0.62581217238748177</v>
      </c>
      <c r="AQ443" s="789">
        <f>IFERROR(INDEX('Hoja de apoyo v2'!$J$17:$J$20,MATCH($A443,'Hoja de apoyo v2'!$A$17:$A$20,0)),"")</f>
        <v>0.64320274048480885</v>
      </c>
      <c r="AR443" s="789">
        <f t="shared" si="238"/>
        <v>-1.7390568097327086E-2</v>
      </c>
      <c r="AS443" s="784" t="str">
        <f t="shared" si="239"/>
        <v>No</v>
      </c>
      <c r="AT443" s="801">
        <f>IF(ISNUMBER('Base de datos Rutas'!CK441),'Base de datos Rutas'!CK441,"")</f>
        <v>472</v>
      </c>
      <c r="AU443" s="802">
        <f>IF(ISNUMBER('Base de datos Rutas'!CL441),'Base de datos Rutas'!CL441,"")</f>
        <v>719.2</v>
      </c>
      <c r="AV443" s="802">
        <f>IF(ISNUMBER('Base de datos Rutas'!CM441),'Base de datos Rutas'!CM441,"")</f>
        <v>247.20000000000005</v>
      </c>
      <c r="AW443" s="802">
        <f>IF(ISNUMBER('Base de datos Rutas'!CN441),'Base de datos Rutas'!CN441,"")</f>
        <v>16.170000000000002</v>
      </c>
      <c r="AX443" s="802">
        <f>IF(ISNUMBER('Base de datos Rutas'!CO441),'Base de datos Rutas'!CO441,"")</f>
        <v>9.4499999999999993</v>
      </c>
      <c r="AY443" s="802">
        <f>IF(ISNUMBER('Base de datos Rutas'!CP441),'Base de datos Rutas'!CP441,"")</f>
        <v>-6.7200000000000024</v>
      </c>
      <c r="AZ443" s="802">
        <f>IF(ISNUMBER('Base de datos Rutas'!CQ441),'Base de datos Rutas'!CQ441,"")</f>
        <v>846.56</v>
      </c>
      <c r="BA443" s="802">
        <f>IF(ISNUMBER('Base de datos Rutas'!CR441),'Base de datos Rutas'!CR441,"")</f>
        <v>495.31</v>
      </c>
      <c r="BB443" s="803">
        <f>IF(ISNUMBER('Base de datos Rutas'!CS441),'Base de datos Rutas'!CS441,"")</f>
        <v>351.24999999999994</v>
      </c>
      <c r="BC443" s="804">
        <f t="shared" si="249"/>
        <v>1</v>
      </c>
      <c r="BD443" s="805" t="str">
        <f t="shared" si="250"/>
        <v>Saturada</v>
      </c>
      <c r="BE443" s="806">
        <f t="shared" si="251"/>
        <v>0.5850855225855226</v>
      </c>
      <c r="BF443" s="890">
        <f>IF(ISNUMBER('Base de datos Rutas'!CX441),'Base de datos Rutas'!CX441/100,"")</f>
        <v>0.16280974157183878</v>
      </c>
      <c r="BG443" s="891">
        <f>IF(ISNUMBER('Base de datos Rutas'!CZ441),'Base de datos Rutas'!CZ441/100,"")</f>
        <v>0.17595448261193236</v>
      </c>
      <c r="BH443" s="892">
        <f>IF(ISNUMBER('Base de datos Rutas'!DA441),'Base de datos Rutas'!DA441,"")</f>
        <v>133.83115592131503</v>
      </c>
      <c r="BI443" s="893">
        <f>IF(ISNUMBER('Base de datos Rutas'!DC441),'Base de datos Rutas'!DC441,"")</f>
        <v>6.2962431507568279</v>
      </c>
      <c r="BJ443" s="805" t="str">
        <f t="shared" si="252"/>
        <v>Ruta (completo)</v>
      </c>
      <c r="BK443" s="783">
        <f t="shared" si="240"/>
        <v>1</v>
      </c>
      <c r="BL443" s="797">
        <f t="shared" si="241"/>
        <v>1</v>
      </c>
      <c r="BM443" s="797">
        <f t="shared" si="242"/>
        <v>1</v>
      </c>
      <c r="BN443" s="797">
        <f t="shared" si="243"/>
        <v>1</v>
      </c>
      <c r="BO443" s="798" cm="1">
        <f t="array" ref="BO443">SUMPRODUCT(--ISNUMBER($BF443:$BI443),$BK$3:$BN$3)</f>
        <v>1</v>
      </c>
      <c r="BP443" s="831">
        <f t="shared" si="253"/>
        <v>0</v>
      </c>
      <c r="BQ443" s="834" t="str">
        <f t="shared" si="254"/>
        <v>Bajo</v>
      </c>
      <c r="BR443" s="836">
        <f t="shared" si="244"/>
        <v>50.369178091888045</v>
      </c>
      <c r="BS443" s="836">
        <f t="shared" si="245"/>
        <v>0</v>
      </c>
      <c r="BT443" s="837" t="str">
        <f t="shared" si="246"/>
        <v>P2</v>
      </c>
      <c r="BU443" s="807" t="str">
        <f t="shared" si="255"/>
        <v>Al tope</v>
      </c>
      <c r="BV443" s="807" t="str">
        <f t="shared" si="247"/>
        <v>Zona de bajo potencial</v>
      </c>
      <c r="BW443" s="808" t="str">
        <f t="shared" si="248"/>
        <v>P2 - Mantener</v>
      </c>
    </row>
    <row r="444" spans="1:75">
      <c r="A444" s="780" t="str">
        <f>'Base de datos Rutas'!A442</f>
        <v>Occidente</v>
      </c>
      <c r="B444" s="781" t="str">
        <f>'Base de datos Rutas'!B442</f>
        <v>Zapopan</v>
      </c>
      <c r="C444" s="781" t="str">
        <f>'Base de datos Rutas'!C442</f>
        <v>Suc. Belenes</v>
      </c>
      <c r="D444" s="782">
        <f>IF(ISNUMBER('Base de datos Rutas'!D442),'Base de datos Rutas'!D442,"Sin código")</f>
        <v>820360</v>
      </c>
      <c r="E444" s="783" t="str">
        <f>'Base de datos Rutas'!F442</f>
        <v>Activa</v>
      </c>
      <c r="F444" s="784" t="str">
        <f>'Base de datos Rutas'!H442</f>
        <v>Sí</v>
      </c>
      <c r="G444" s="785">
        <f>IF(ISNUMBER('Base de datos Rutas'!BE442),'Base de datos Rutas'!BE442,"")</f>
        <v>112.95161290322601</v>
      </c>
      <c r="H444" s="786">
        <f>IF(ISNUMBER('Base de datos Rutas'!BH442),'Base de datos Rutas'!BH442,"")</f>
        <v>0.49750107096958501</v>
      </c>
      <c r="I444" s="788">
        <f>IFERROR(IF(OR(NOT(ISNUMBER('Base de datos Rutas'!O442)),N('Base de datos Rutas'!BK442)=0),"",'Base de datos Rutas'!O442/('Base de datos Rutas'!L442/'Base de datos Rutas'!BK442)),"")</f>
        <v>3701.7004608294851</v>
      </c>
      <c r="J444" s="788">
        <f>IFERROR(IF(OR(NOT(ISNUMBER('Base de datos Rutas'!N442)),N('Base de datos Rutas'!BK442)=0),"",'Base de datos Rutas'!N442/('Base de datos Rutas'!L442/'Base de datos Rutas'!BK442)),"")</f>
        <v>7719.6497695852377</v>
      </c>
      <c r="K444" s="788">
        <f>IFERROR(IF(OR(NOT(ISNUMBER('Base de datos Rutas'!J442)),N('Base de datos Rutas'!BK442)=0),"",'Base de datos Rutas'!J442/('Base de datos Rutas'!L442/'Base de datos Rutas'!BK442)),"")</f>
        <v>530.91658064515786</v>
      </c>
      <c r="L444" s="788">
        <f>IFERROR(IF(OR(NOT(ISNUMBER('Base de datos Rutas'!K442)),N('Base de datos Rutas'!BK442)=0),"",'Base de datos Rutas'!K442/('Base de datos Rutas'!L442/'Base de datos Rutas'!BK442)),"")</f>
        <v>28.685969080645101</v>
      </c>
      <c r="M444" s="787">
        <f>IF(ISNUMBER('Base de datos Rutas'!AX442),'Base de datos Rutas'!AX442,"")</f>
        <v>202.831234623585</v>
      </c>
      <c r="N444" s="790">
        <f>IFERROR(INDEX('Hoja de apoyo v2'!B$17:B$20,MATCH($A444,'Hoja de apoyo v2'!$A$17:$A$20,0)),"")</f>
        <v>89.41621024641401</v>
      </c>
      <c r="O444" s="791">
        <f>IFERROR(INDEX('Hoja de apoyo v2'!C$17:C$20,MATCH($A444,'Hoja de apoyo v2'!$A$17:$A$20,0)),"")</f>
        <v>0.54706375874806301</v>
      </c>
      <c r="P444" s="793">
        <f>IFERROR(INDEX('Hoja de apoyo v2'!D$17:D$20,MATCH($A444,'Hoja de apoyo v2'!$A$17:$A$20,0)),"")</f>
        <v>11095.153935793827</v>
      </c>
      <c r="Q444" s="793">
        <f>IFERROR(INDEX('Hoja de apoyo v2'!E$17:E$20,MATCH($A444,'Hoja de apoyo v2'!$A$17:$A$20,0)),"")</f>
        <v>6982.3202019701848</v>
      </c>
      <c r="R444" s="793">
        <f>IFERROR(INDEX('Hoja de apoyo v2'!F$17:F$20,MATCH($A444,'Hoja de apoyo v2'!$A$17:$A$20,0)),"")</f>
        <v>448.09513474485743</v>
      </c>
      <c r="S444" s="793">
        <f>IFERROR(INDEX('Hoja de apoyo v2'!G$17:G$20,MATCH($A444,'Hoja de apoyo v2'!$A$17:$A$20,0)),"")</f>
        <v>83.406300904207839</v>
      </c>
      <c r="T444" s="792">
        <f>IFERROR(INDEX('Hoja de apoyo v2'!H$17:H$20,MATCH($A444,'Hoja de apoyo v2'!$A$17:$A$20,0)),"")</f>
        <v>378.97014028925349</v>
      </c>
      <c r="U444" s="794">
        <f t="shared" si="220"/>
        <v>1.2632118112806718</v>
      </c>
      <c r="V444" s="795">
        <f t="shared" si="221"/>
        <v>0.90940235578408535</v>
      </c>
      <c r="W444" s="795">
        <f t="shared" si="222"/>
        <v>0.33363218593006738</v>
      </c>
      <c r="X444" s="843">
        <f t="shared" si="223"/>
        <v>1.1055995065088826</v>
      </c>
      <c r="Y444" s="843">
        <f t="shared" si="224"/>
        <v>1.1848300494212205</v>
      </c>
      <c r="Z444" s="843">
        <f t="shared" si="225"/>
        <v>0.34393047970789337</v>
      </c>
      <c r="AA444" s="843">
        <f t="shared" si="226"/>
        <v>0.53521692888197381</v>
      </c>
      <c r="AB444" s="796">
        <f t="shared" si="227"/>
        <v>5</v>
      </c>
      <c r="AC444" s="797">
        <f t="shared" si="228"/>
        <v>3</v>
      </c>
      <c r="AD444" s="797">
        <f t="shared" si="229"/>
        <v>1</v>
      </c>
      <c r="AE444" s="842">
        <f t="shared" si="230"/>
        <v>4</v>
      </c>
      <c r="AF444" s="842">
        <f t="shared" si="231"/>
        <v>4</v>
      </c>
      <c r="AG444" s="842">
        <f t="shared" si="232"/>
        <v>1</v>
      </c>
      <c r="AH444" s="842">
        <f t="shared" si="233"/>
        <v>2</v>
      </c>
      <c r="AI444" s="826" cm="1">
        <f t="array" ref="AI444">SUMPRODUCT(--ISNUMBER($U444:$AA444),$AB$3:$AH$3)</f>
        <v>1</v>
      </c>
      <c r="AJ444" s="829">
        <f t="shared" si="234"/>
        <v>44.151560199429987</v>
      </c>
      <c r="AK444" s="827" t="str">
        <f t="shared" si="235"/>
        <v>Inmadura</v>
      </c>
      <c r="AL444" s="784" t="str">
        <f t="shared" si="236"/>
        <v>Alta</v>
      </c>
      <c r="AM444" s="799">
        <f>IF(ISNUMBER('Base de datos Rutas'!W442),'Base de datos Rutas'!W442,"")</f>
        <v>3116.1708958203221</v>
      </c>
      <c r="AN444" s="787">
        <f>IFERROR(SUMIFS('Base de datos Rutas'!$W$6:$W$794,'Base de datos Rutas'!$C$6:$C$794,$C444)/'Base de datos Rutas'!I442,"")</f>
        <v>3116.1708958203185</v>
      </c>
      <c r="AO444" s="800">
        <f>IFERROR('Base de datos Rutas'!X442*AN444/AM444,"")</f>
        <v>0.37418782761251823</v>
      </c>
      <c r="AP444" s="800">
        <f t="shared" si="237"/>
        <v>0.62581217238748177</v>
      </c>
      <c r="AQ444" s="789">
        <f>IFERROR(INDEX('Hoja de apoyo v2'!$J$17:$J$20,MATCH($A444,'Hoja de apoyo v2'!$A$17:$A$20,0)),"")</f>
        <v>0.64320274048480885</v>
      </c>
      <c r="AR444" s="789">
        <f t="shared" si="238"/>
        <v>-1.7390568097327086E-2</v>
      </c>
      <c r="AS444" s="784" t="str">
        <f t="shared" si="239"/>
        <v>No</v>
      </c>
      <c r="AT444" s="801">
        <f>IF(ISNUMBER('Base de datos Rutas'!CK442),'Base de datos Rutas'!CK442,"")</f>
        <v>395</v>
      </c>
      <c r="AU444" s="802">
        <f>IF(ISNUMBER('Base de datos Rutas'!CL442),'Base de datos Rutas'!CL442,"")</f>
        <v>505.38</v>
      </c>
      <c r="AV444" s="802">
        <f>IF(ISNUMBER('Base de datos Rutas'!CM442),'Base de datos Rutas'!CM442,"")</f>
        <v>110.38</v>
      </c>
      <c r="AW444" s="802">
        <f>IF(ISNUMBER('Base de datos Rutas'!CN442),'Base de datos Rutas'!CN442,"")</f>
        <v>9.0500000000000007</v>
      </c>
      <c r="AX444" s="802">
        <f>IF(ISNUMBER('Base de datos Rutas'!CO442),'Base de datos Rutas'!CO442,"")</f>
        <v>9.4499999999999993</v>
      </c>
      <c r="AY444" s="802">
        <f>IF(ISNUMBER('Base de datos Rutas'!CP442),'Base de datos Rutas'!CP442,"")</f>
        <v>0.39999999999999858</v>
      </c>
      <c r="AZ444" s="802">
        <f>IF(ISNUMBER('Base de datos Rutas'!CQ442),'Base de datos Rutas'!CQ442,"")</f>
        <v>846.56</v>
      </c>
      <c r="BA444" s="802">
        <f>IF(ISNUMBER('Base de datos Rutas'!CR442),'Base de datos Rutas'!CR442,"")</f>
        <v>559.6</v>
      </c>
      <c r="BB444" s="803">
        <f>IF(ISNUMBER('Base de datos Rutas'!CS442),'Base de datos Rutas'!CS442,"")</f>
        <v>286.95999999999992</v>
      </c>
      <c r="BC444" s="804">
        <f t="shared" si="249"/>
        <v>0</v>
      </c>
      <c r="BD444" s="805" t="str">
        <f t="shared" si="250"/>
        <v>No saturada</v>
      </c>
      <c r="BE444" s="806">
        <f t="shared" si="251"/>
        <v>0.66102816102816109</v>
      </c>
      <c r="BF444" s="890">
        <f>IF(ISNUMBER('Base de datos Rutas'!CX442),'Base de datos Rutas'!CX442/100,"")</f>
        <v>0.94159788359788354</v>
      </c>
      <c r="BG444" s="891">
        <f>IF(ISNUMBER('Base de datos Rutas'!CZ442),'Base de datos Rutas'!CZ442/100,"")</f>
        <v>1</v>
      </c>
      <c r="BH444" s="892">
        <f>IF(ISNUMBER('Base de datos Rutas'!DA442),'Base de datos Rutas'!DA442,"")</f>
        <v>778.69721252961938</v>
      </c>
      <c r="BI444" s="893">
        <f>IF(ISNUMBER('Base de datos Rutas'!DC442),'Base de datos Rutas'!DC442,"")</f>
        <v>37.550270448614761</v>
      </c>
      <c r="BJ444" s="805" t="str">
        <f t="shared" si="252"/>
        <v>Ruta (completo)</v>
      </c>
      <c r="BK444" s="783">
        <f t="shared" si="240"/>
        <v>5</v>
      </c>
      <c r="BL444" s="797">
        <f t="shared" si="241"/>
        <v>4</v>
      </c>
      <c r="BM444" s="797">
        <f t="shared" si="242"/>
        <v>3</v>
      </c>
      <c r="BN444" s="797">
        <f t="shared" si="243"/>
        <v>4</v>
      </c>
      <c r="BO444" s="798" cm="1">
        <f t="array" ref="BO444">SUMPRODUCT(--ISNUMBER($BF444:$BI444),$BK$3:$BN$3)</f>
        <v>1</v>
      </c>
      <c r="BP444" s="831">
        <f t="shared" si="253"/>
        <v>75</v>
      </c>
      <c r="BQ444" s="834" t="str">
        <f t="shared" si="254"/>
        <v>Alto</v>
      </c>
      <c r="BR444" s="836">
        <f t="shared" si="244"/>
        <v>33.113670149572492</v>
      </c>
      <c r="BS444" s="836">
        <f t="shared" si="245"/>
        <v>75</v>
      </c>
      <c r="BT444" s="837" t="str">
        <f t="shared" si="246"/>
        <v>P1</v>
      </c>
      <c r="BU444" s="807" t="str">
        <f t="shared" si="255"/>
        <v>Con espacio</v>
      </c>
      <c r="BV444" s="807" t="str">
        <f t="shared" si="247"/>
        <v>Zona atractiva</v>
      </c>
      <c r="BW444" s="808" t="str">
        <f t="shared" si="248"/>
        <v>P1 - Ampliar cobertura</v>
      </c>
    </row>
    <row r="445" spans="1:75">
      <c r="A445" s="780" t="str">
        <f>'Base de datos Rutas'!A443</f>
        <v>Occidente</v>
      </c>
      <c r="B445" s="781" t="str">
        <f>'Base de datos Rutas'!B443</f>
        <v>Zapopan</v>
      </c>
      <c r="C445" s="781" t="str">
        <f>'Base de datos Rutas'!C443</f>
        <v>Suc. Belenes</v>
      </c>
      <c r="D445" s="782">
        <f>IF(ISNUMBER('Base de datos Rutas'!D443),'Base de datos Rutas'!D443,"Sin código")</f>
        <v>820361</v>
      </c>
      <c r="E445" s="783" t="str">
        <f>'Base de datos Rutas'!F443</f>
        <v>Activa</v>
      </c>
      <c r="F445" s="784" t="str">
        <f>'Base de datos Rutas'!H443</f>
        <v>Sí</v>
      </c>
      <c r="G445" s="785">
        <f>IF(ISNUMBER('Base de datos Rutas'!BE443),'Base de datos Rutas'!BE443,"")</f>
        <v>77.451834862385297</v>
      </c>
      <c r="H445" s="786">
        <f>IF(ISNUMBER('Base de datos Rutas'!BH443),'Base de datos Rutas'!BH443,"")</f>
        <v>0.40421688530901101</v>
      </c>
      <c r="I445" s="788">
        <f>IFERROR(IF(OR(NOT(ISNUMBER('Base de datos Rutas'!O443)),N('Base de datos Rutas'!BK443)=0),"",'Base de datos Rutas'!O443/('Base de datos Rutas'!L443/'Base de datos Rutas'!BK443)),"")</f>
        <v>2276.9243119266066</v>
      </c>
      <c r="J445" s="788">
        <f>IFERROR(IF(OR(NOT(ISNUMBER('Base de datos Rutas'!N443)),N('Base de datos Rutas'!BK443)=0),"",'Base de datos Rutas'!N443/('Base de datos Rutas'!L443/'Base de datos Rutas'!BK443)),"")</f>
        <v>6158.4426605504614</v>
      </c>
      <c r="K445" s="788">
        <f>IFERROR(IF(OR(NOT(ISNUMBER('Base de datos Rutas'!J443)),N('Base de datos Rutas'!BK443)=0),"",'Base de datos Rutas'!J443/('Base de datos Rutas'!L443/'Base de datos Rutas'!BK443)),"")</f>
        <v>434.72862961467905</v>
      </c>
      <c r="L445" s="788">
        <f>IFERROR(IF(OR(NOT(ISNUMBER('Base de datos Rutas'!K443)),N('Base de datos Rutas'!BK443)=0),"",'Base de datos Rutas'!K443/('Base de datos Rutas'!L443/'Base de datos Rutas'!BK443)),"")</f>
        <v>17.158322277522942</v>
      </c>
      <c r="M445" s="787">
        <f>IF(ISNUMBER('Base de datos Rutas'!AX443),'Base de datos Rutas'!AX443,"")</f>
        <v>269.437157509158</v>
      </c>
      <c r="N445" s="790">
        <f>IFERROR(INDEX('Hoja de apoyo v2'!B$17:B$20,MATCH($A445,'Hoja de apoyo v2'!$A$17:$A$20,0)),"")</f>
        <v>89.41621024641401</v>
      </c>
      <c r="O445" s="791">
        <f>IFERROR(INDEX('Hoja de apoyo v2'!C$17:C$20,MATCH($A445,'Hoja de apoyo v2'!$A$17:$A$20,0)),"")</f>
        <v>0.54706375874806301</v>
      </c>
      <c r="P445" s="793">
        <f>IFERROR(INDEX('Hoja de apoyo v2'!D$17:D$20,MATCH($A445,'Hoja de apoyo v2'!$A$17:$A$20,0)),"")</f>
        <v>11095.153935793827</v>
      </c>
      <c r="Q445" s="793">
        <f>IFERROR(INDEX('Hoja de apoyo v2'!E$17:E$20,MATCH($A445,'Hoja de apoyo v2'!$A$17:$A$20,0)),"")</f>
        <v>6982.3202019701848</v>
      </c>
      <c r="R445" s="793">
        <f>IFERROR(INDEX('Hoja de apoyo v2'!F$17:F$20,MATCH($A445,'Hoja de apoyo v2'!$A$17:$A$20,0)),"")</f>
        <v>448.09513474485743</v>
      </c>
      <c r="S445" s="793">
        <f>IFERROR(INDEX('Hoja de apoyo v2'!G$17:G$20,MATCH($A445,'Hoja de apoyo v2'!$A$17:$A$20,0)),"")</f>
        <v>83.406300904207839</v>
      </c>
      <c r="T445" s="792">
        <f>IFERROR(INDEX('Hoja de apoyo v2'!H$17:H$20,MATCH($A445,'Hoja de apoyo v2'!$A$17:$A$20,0)),"")</f>
        <v>378.97014028925349</v>
      </c>
      <c r="U445" s="794">
        <f t="shared" si="220"/>
        <v>0.86619455967707448</v>
      </c>
      <c r="V445" s="795">
        <f t="shared" si="221"/>
        <v>0.73888441492459256</v>
      </c>
      <c r="W445" s="795">
        <f t="shared" si="222"/>
        <v>0.20521791090983174</v>
      </c>
      <c r="X445" s="843">
        <f t="shared" si="223"/>
        <v>0.88200519059735305</v>
      </c>
      <c r="Y445" s="843">
        <f t="shared" si="224"/>
        <v>0.97017038549684498</v>
      </c>
      <c r="Z445" s="843">
        <f t="shared" si="225"/>
        <v>0.20571973689648795</v>
      </c>
      <c r="AA445" s="843">
        <f t="shared" si="226"/>
        <v>0.71097199716976878</v>
      </c>
      <c r="AB445" s="796">
        <f t="shared" si="227"/>
        <v>3</v>
      </c>
      <c r="AC445" s="797">
        <f t="shared" si="228"/>
        <v>2</v>
      </c>
      <c r="AD445" s="797">
        <f t="shared" si="229"/>
        <v>1</v>
      </c>
      <c r="AE445" s="842">
        <f t="shared" si="230"/>
        <v>3</v>
      </c>
      <c r="AF445" s="842">
        <f t="shared" si="231"/>
        <v>3</v>
      </c>
      <c r="AG445" s="842">
        <f t="shared" si="232"/>
        <v>1</v>
      </c>
      <c r="AH445" s="842">
        <f t="shared" si="233"/>
        <v>2</v>
      </c>
      <c r="AI445" s="826" cm="1">
        <f t="array" ref="AI445">SUMPRODUCT(--ISNUMBER($U445:$AA445),$AB$3:$AH$3)</f>
        <v>1</v>
      </c>
      <c r="AJ445" s="829">
        <f t="shared" si="234"/>
        <v>26.365890099007515</v>
      </c>
      <c r="AK445" s="827" t="str">
        <f t="shared" si="235"/>
        <v>Inmadura</v>
      </c>
      <c r="AL445" s="784" t="str">
        <f t="shared" si="236"/>
        <v>Alta</v>
      </c>
      <c r="AM445" s="799">
        <f>IF(ISNUMBER('Base de datos Rutas'!W443),'Base de datos Rutas'!W443,"")</f>
        <v>3116.1708958203221</v>
      </c>
      <c r="AN445" s="787">
        <f>IFERROR(SUMIFS('Base de datos Rutas'!$W$6:$W$794,'Base de datos Rutas'!$C$6:$C$794,$C445)/'Base de datos Rutas'!I443,"")</f>
        <v>3116.1708958203185</v>
      </c>
      <c r="AO445" s="800">
        <f>IFERROR('Base de datos Rutas'!X443*AN445/AM445,"")</f>
        <v>0.37418782761251823</v>
      </c>
      <c r="AP445" s="800">
        <f t="shared" si="237"/>
        <v>0.62581217238748177</v>
      </c>
      <c r="AQ445" s="789">
        <f>IFERROR(INDEX('Hoja de apoyo v2'!$J$17:$J$20,MATCH($A445,'Hoja de apoyo v2'!$A$17:$A$20,0)),"")</f>
        <v>0.64320274048480885</v>
      </c>
      <c r="AR445" s="789">
        <f t="shared" si="238"/>
        <v>-1.7390568097327086E-2</v>
      </c>
      <c r="AS445" s="784" t="str">
        <f t="shared" si="239"/>
        <v>No</v>
      </c>
      <c r="AT445" s="801">
        <f>IF(ISNUMBER('Base de datos Rutas'!CK443),'Base de datos Rutas'!CK443,"")</f>
        <v>368</v>
      </c>
      <c r="AU445" s="802">
        <f>IF(ISNUMBER('Base de datos Rutas'!CL443),'Base de datos Rutas'!CL443,"")</f>
        <v>470.51</v>
      </c>
      <c r="AV445" s="802">
        <f>IF(ISNUMBER('Base de datos Rutas'!CM443),'Base de datos Rutas'!CM443,"")</f>
        <v>102.50999999999999</v>
      </c>
      <c r="AW445" s="802">
        <f>IF(ISNUMBER('Base de datos Rutas'!CN443),'Base de datos Rutas'!CN443,"")</f>
        <v>11.75</v>
      </c>
      <c r="AX445" s="802">
        <f>IF(ISNUMBER('Base de datos Rutas'!CO443),'Base de datos Rutas'!CO443,"")</f>
        <v>9.4499999999999993</v>
      </c>
      <c r="AY445" s="802">
        <f>IF(ISNUMBER('Base de datos Rutas'!CP443),'Base de datos Rutas'!CP443,"")</f>
        <v>-2.3000000000000007</v>
      </c>
      <c r="AZ445" s="802">
        <f>IF(ISNUMBER('Base de datos Rutas'!CQ443),'Base de datos Rutas'!CQ443,"")</f>
        <v>846.56</v>
      </c>
      <c r="BA445" s="802">
        <f>IF(ISNUMBER('Base de datos Rutas'!CR443),'Base de datos Rutas'!CR443,"")</f>
        <v>451.89</v>
      </c>
      <c r="BB445" s="803">
        <f>IF(ISNUMBER('Base de datos Rutas'!CS443),'Base de datos Rutas'!CS443,"")</f>
        <v>394.66999999999996</v>
      </c>
      <c r="BC445" s="804">
        <f t="shared" si="249"/>
        <v>1</v>
      </c>
      <c r="BD445" s="805" t="str">
        <f t="shared" si="250"/>
        <v>Saturada</v>
      </c>
      <c r="BE445" s="806">
        <f t="shared" si="251"/>
        <v>0.53379559629559636</v>
      </c>
      <c r="BF445" s="890">
        <f>IF(ISNUMBER('Base de datos Rutas'!CX443),'Base de datos Rutas'!CX443/100,"")</f>
        <v>0.68427478753541071</v>
      </c>
      <c r="BG445" s="891">
        <f>IF(ISNUMBER('Base de datos Rutas'!CZ443),'Base de datos Rutas'!CZ443/100,"")</f>
        <v>0.71331444759206808</v>
      </c>
      <c r="BH445" s="892">
        <f>IF(ISNUMBER('Base de datos Rutas'!DA443),'Base de datos Rutas'!DA443,"")</f>
        <v>408.86926945830839</v>
      </c>
      <c r="BI445" s="893">
        <f>IF(ISNUMBER('Base de datos Rutas'!DC443),'Base de datos Rutas'!DC443,"")</f>
        <v>21.514655155801357</v>
      </c>
      <c r="BJ445" s="805" t="str">
        <f t="shared" si="252"/>
        <v>Ruta (completo)</v>
      </c>
      <c r="BK445" s="783">
        <f t="shared" si="240"/>
        <v>2</v>
      </c>
      <c r="BL445" s="797">
        <f t="shared" si="241"/>
        <v>2</v>
      </c>
      <c r="BM445" s="797">
        <f t="shared" si="242"/>
        <v>2</v>
      </c>
      <c r="BN445" s="797">
        <f t="shared" si="243"/>
        <v>2</v>
      </c>
      <c r="BO445" s="798" cm="1">
        <f t="array" ref="BO445">SUMPRODUCT(--ISNUMBER($BF445:$BI445),$BK$3:$BN$3)</f>
        <v>1</v>
      </c>
      <c r="BP445" s="831">
        <f t="shared" si="253"/>
        <v>25</v>
      </c>
      <c r="BQ445" s="834" t="str">
        <f t="shared" si="254"/>
        <v>Medio</v>
      </c>
      <c r="BR445" s="836">
        <f t="shared" si="244"/>
        <v>44.774417574255637</v>
      </c>
      <c r="BS445" s="836">
        <f t="shared" si="245"/>
        <v>25</v>
      </c>
      <c r="BT445" s="837" t="str">
        <f t="shared" si="246"/>
        <v>P2</v>
      </c>
      <c r="BU445" s="807" t="str">
        <f t="shared" si="255"/>
        <v>Al tope</v>
      </c>
      <c r="BV445" s="807" t="str">
        <f t="shared" si="247"/>
        <v>Zona de bajo potencial</v>
      </c>
      <c r="BW445" s="808" t="str">
        <f t="shared" si="248"/>
        <v>P2 - Mantener</v>
      </c>
    </row>
    <row r="446" spans="1:75">
      <c r="A446" s="780" t="str">
        <f>'Base de datos Rutas'!A444</f>
        <v>Occidente</v>
      </c>
      <c r="B446" s="781" t="str">
        <f>'Base de datos Rutas'!B444</f>
        <v>Zapopan</v>
      </c>
      <c r="C446" s="781" t="str">
        <f>'Base de datos Rutas'!C444</f>
        <v>Suc. Belenes</v>
      </c>
      <c r="D446" s="782">
        <f>IF(ISNUMBER('Base de datos Rutas'!D444),'Base de datos Rutas'!D444,"Sin código")</f>
        <v>820362</v>
      </c>
      <c r="E446" s="783" t="str">
        <f>'Base de datos Rutas'!F444</f>
        <v>Activa</v>
      </c>
      <c r="F446" s="784" t="str">
        <f>'Base de datos Rutas'!H444</f>
        <v>Sí</v>
      </c>
      <c r="G446" s="785">
        <f>IF(ISNUMBER('Base de datos Rutas'!BE444),'Base de datos Rutas'!BE444,"")</f>
        <v>104.289351851852</v>
      </c>
      <c r="H446" s="786">
        <f>IF(ISNUMBER('Base de datos Rutas'!BH444),'Base de datos Rutas'!BH444,"")</f>
        <v>0.33529398708188102</v>
      </c>
      <c r="I446" s="788">
        <f>IFERROR(IF(OR(NOT(ISNUMBER('Base de datos Rutas'!O444)),N('Base de datos Rutas'!BK444)=0),"",'Base de datos Rutas'!O444/('Base de datos Rutas'!L444/'Base de datos Rutas'!BK444)),"")</f>
        <v>2803.8055555555534</v>
      </c>
      <c r="J446" s="788">
        <f>IFERROR(IF(OR(NOT(ISNUMBER('Base de datos Rutas'!N444)),N('Base de datos Rutas'!BK444)=0),"",'Base de datos Rutas'!N444/('Base de datos Rutas'!L444/'Base de datos Rutas'!BK444)),"")</f>
        <v>6614.712962962958</v>
      </c>
      <c r="K446" s="788">
        <f>IFERROR(IF(OR(NOT(ISNUMBER('Base de datos Rutas'!J444)),N('Base de datos Rutas'!BK444)=0),"",'Base de datos Rutas'!J444/('Base de datos Rutas'!L444/'Base de datos Rutas'!BK444)),"")</f>
        <v>451.14442592592553</v>
      </c>
      <c r="L446" s="788">
        <f>IFERROR(IF(OR(NOT(ISNUMBER('Base de datos Rutas'!K444)),N('Base de datos Rutas'!BK444)=0),"",'Base de datos Rutas'!K444/('Base de datos Rutas'!L444/'Base de datos Rutas'!BK444)),"")</f>
        <v>21.749674256944427</v>
      </c>
      <c r="M446" s="787">
        <f>IF(ISNUMBER('Base de datos Rutas'!AX444),'Base de datos Rutas'!AX444,"")</f>
        <v>269.34998676022798</v>
      </c>
      <c r="N446" s="790">
        <f>IFERROR(INDEX('Hoja de apoyo v2'!B$17:B$20,MATCH($A446,'Hoja de apoyo v2'!$A$17:$A$20,0)),"")</f>
        <v>89.41621024641401</v>
      </c>
      <c r="O446" s="791">
        <f>IFERROR(INDEX('Hoja de apoyo v2'!C$17:C$20,MATCH($A446,'Hoja de apoyo v2'!$A$17:$A$20,0)),"")</f>
        <v>0.54706375874806301</v>
      </c>
      <c r="P446" s="793">
        <f>IFERROR(INDEX('Hoja de apoyo v2'!D$17:D$20,MATCH($A446,'Hoja de apoyo v2'!$A$17:$A$20,0)),"")</f>
        <v>11095.153935793827</v>
      </c>
      <c r="Q446" s="793">
        <f>IFERROR(INDEX('Hoja de apoyo v2'!E$17:E$20,MATCH($A446,'Hoja de apoyo v2'!$A$17:$A$20,0)),"")</f>
        <v>6982.3202019701848</v>
      </c>
      <c r="R446" s="793">
        <f>IFERROR(INDEX('Hoja de apoyo v2'!F$17:F$20,MATCH($A446,'Hoja de apoyo v2'!$A$17:$A$20,0)),"")</f>
        <v>448.09513474485743</v>
      </c>
      <c r="S446" s="793">
        <f>IFERROR(INDEX('Hoja de apoyo v2'!G$17:G$20,MATCH($A446,'Hoja de apoyo v2'!$A$17:$A$20,0)),"")</f>
        <v>83.406300904207839</v>
      </c>
      <c r="T446" s="792">
        <f>IFERROR(INDEX('Hoja de apoyo v2'!H$17:H$20,MATCH($A446,'Hoja de apoyo v2'!$A$17:$A$20,0)),"")</f>
        <v>378.97014028925349</v>
      </c>
      <c r="U446" s="794">
        <f t="shared" si="220"/>
        <v>1.1663360766962776</v>
      </c>
      <c r="V446" s="795">
        <f t="shared" si="221"/>
        <v>0.6128974579657589</v>
      </c>
      <c r="W446" s="795">
        <f t="shared" si="222"/>
        <v>0.25270542182477157</v>
      </c>
      <c r="X446" s="843">
        <f t="shared" si="223"/>
        <v>0.94735170711542271</v>
      </c>
      <c r="Y446" s="843">
        <f t="shared" si="224"/>
        <v>1.0068050084560822</v>
      </c>
      <c r="Z446" s="843">
        <f t="shared" si="225"/>
        <v>0.26076776000321528</v>
      </c>
      <c r="AA446" s="843">
        <f t="shared" si="226"/>
        <v>0.71074197707144782</v>
      </c>
      <c r="AB446" s="796">
        <f t="shared" si="227"/>
        <v>4</v>
      </c>
      <c r="AC446" s="797">
        <f t="shared" si="228"/>
        <v>2</v>
      </c>
      <c r="AD446" s="797">
        <f t="shared" si="229"/>
        <v>1</v>
      </c>
      <c r="AE446" s="842">
        <f t="shared" si="230"/>
        <v>3</v>
      </c>
      <c r="AF446" s="842">
        <f t="shared" si="231"/>
        <v>4</v>
      </c>
      <c r="AG446" s="842">
        <f t="shared" si="232"/>
        <v>1</v>
      </c>
      <c r="AH446" s="842">
        <f t="shared" si="233"/>
        <v>2</v>
      </c>
      <c r="AI446" s="826" cm="1">
        <f t="array" ref="AI446">SUMPRODUCT(--ISNUMBER($U446:$AA446),$AB$3:$AH$3)</f>
        <v>1</v>
      </c>
      <c r="AJ446" s="829">
        <f t="shared" si="234"/>
        <v>33.825570789184056</v>
      </c>
      <c r="AK446" s="827" t="str">
        <f t="shared" si="235"/>
        <v>Inmadura</v>
      </c>
      <c r="AL446" s="784" t="str">
        <f t="shared" si="236"/>
        <v>Alta</v>
      </c>
      <c r="AM446" s="799">
        <f>IF(ISNUMBER('Base de datos Rutas'!W444),'Base de datos Rutas'!W444,"")</f>
        <v>3116.1708958203221</v>
      </c>
      <c r="AN446" s="787">
        <f>IFERROR(SUMIFS('Base de datos Rutas'!$W$6:$W$794,'Base de datos Rutas'!$C$6:$C$794,$C446)/'Base de datos Rutas'!I444,"")</f>
        <v>3116.1708958203185</v>
      </c>
      <c r="AO446" s="800">
        <f>IFERROR('Base de datos Rutas'!X444*AN446/AM446,"")</f>
        <v>0.37418782761251823</v>
      </c>
      <c r="AP446" s="800">
        <f t="shared" si="237"/>
        <v>0.62581217238748177</v>
      </c>
      <c r="AQ446" s="789">
        <f>IFERROR(INDEX('Hoja de apoyo v2'!$J$17:$J$20,MATCH($A446,'Hoja de apoyo v2'!$A$17:$A$20,0)),"")</f>
        <v>0.64320274048480885</v>
      </c>
      <c r="AR446" s="789">
        <f t="shared" si="238"/>
        <v>-1.7390568097327086E-2</v>
      </c>
      <c r="AS446" s="784" t="str">
        <f t="shared" si="239"/>
        <v>No</v>
      </c>
      <c r="AT446" s="801">
        <f>IF(ISNUMBER('Base de datos Rutas'!CK444),'Base de datos Rutas'!CK444,"")</f>
        <v>402</v>
      </c>
      <c r="AU446" s="802">
        <f>IF(ISNUMBER('Base de datos Rutas'!CL444),'Base de datos Rutas'!CL444,"")</f>
        <v>442.54</v>
      </c>
      <c r="AV446" s="802">
        <f>IF(ISNUMBER('Base de datos Rutas'!CM444),'Base de datos Rutas'!CM444,"")</f>
        <v>40.54000000000002</v>
      </c>
      <c r="AW446" s="802">
        <f>IF(ISNUMBER('Base de datos Rutas'!CN444),'Base de datos Rutas'!CN444,"")</f>
        <v>9.93</v>
      </c>
      <c r="AX446" s="802">
        <f>IF(ISNUMBER('Base de datos Rutas'!CO444),'Base de datos Rutas'!CO444,"")</f>
        <v>9.4499999999999993</v>
      </c>
      <c r="AY446" s="802">
        <f>IF(ISNUMBER('Base de datos Rutas'!CP444),'Base de datos Rutas'!CP444,"")</f>
        <v>-0.48000000000000043</v>
      </c>
      <c r="AZ446" s="802">
        <f>IF(ISNUMBER('Base de datos Rutas'!CQ444),'Base de datos Rutas'!CQ444,"")</f>
        <v>846.56</v>
      </c>
      <c r="BA446" s="802">
        <f>IF(ISNUMBER('Base de datos Rutas'!CR444),'Base de datos Rutas'!CR444,"")</f>
        <v>472.89</v>
      </c>
      <c r="BB446" s="803">
        <f>IF(ISNUMBER('Base de datos Rutas'!CS444),'Base de datos Rutas'!CS444,"")</f>
        <v>373.66999999999996</v>
      </c>
      <c r="BC446" s="804">
        <f t="shared" si="249"/>
        <v>1</v>
      </c>
      <c r="BD446" s="805" t="str">
        <f t="shared" si="250"/>
        <v>Saturada</v>
      </c>
      <c r="BE446" s="806">
        <f t="shared" si="251"/>
        <v>0.55860187110187109</v>
      </c>
      <c r="BF446" s="890">
        <f>IF(ISNUMBER('Base de datos Rutas'!CX444),'Base de datos Rutas'!CX444/100,"")</f>
        <v>0.4702387934645999</v>
      </c>
      <c r="BG446" s="891">
        <f>IF(ISNUMBER('Base de datos Rutas'!CZ444),'Base de datos Rutas'!CZ444/100,"")</f>
        <v>0.48722245496439043</v>
      </c>
      <c r="BH446" s="892">
        <f>IF(ISNUMBER('Base de datos Rutas'!DA444),'Base de datos Rutas'!DA444,"")</f>
        <v>556.26629839261147</v>
      </c>
      <c r="BI446" s="893">
        <f>IF(ISNUMBER('Base de datos Rutas'!DC444),'Base de datos Rutas'!DC444,"")</f>
        <v>27.811978381406693</v>
      </c>
      <c r="BJ446" s="805" t="str">
        <f t="shared" si="252"/>
        <v>Ruta (completo)</v>
      </c>
      <c r="BK446" s="783">
        <f t="shared" si="240"/>
        <v>2</v>
      </c>
      <c r="BL446" s="797">
        <f t="shared" si="241"/>
        <v>2</v>
      </c>
      <c r="BM446" s="797">
        <f t="shared" si="242"/>
        <v>2</v>
      </c>
      <c r="BN446" s="797">
        <f t="shared" si="243"/>
        <v>3</v>
      </c>
      <c r="BO446" s="798" cm="1">
        <f t="array" ref="BO446">SUMPRODUCT(--ISNUMBER($BF446:$BI446),$BK$3:$BN$3)</f>
        <v>1</v>
      </c>
      <c r="BP446" s="831">
        <f t="shared" si="253"/>
        <v>31.25</v>
      </c>
      <c r="BQ446" s="834" t="str">
        <f t="shared" si="254"/>
        <v>Medio</v>
      </c>
      <c r="BR446" s="836">
        <f t="shared" si="244"/>
        <v>50.369178091888045</v>
      </c>
      <c r="BS446" s="836">
        <f t="shared" si="245"/>
        <v>31.25</v>
      </c>
      <c r="BT446" s="837" t="str">
        <f t="shared" si="246"/>
        <v>P2</v>
      </c>
      <c r="BU446" s="807" t="str">
        <f t="shared" si="255"/>
        <v>Al tope</v>
      </c>
      <c r="BV446" s="807" t="str">
        <f t="shared" si="247"/>
        <v>Zona de bajo potencial</v>
      </c>
      <c r="BW446" s="808" t="str">
        <f t="shared" si="248"/>
        <v>P2 - Mantener</v>
      </c>
    </row>
    <row r="447" spans="1:75">
      <c r="A447" s="780" t="str">
        <f>'Base de datos Rutas'!A445</f>
        <v>Occidente</v>
      </c>
      <c r="B447" s="781" t="str">
        <f>'Base de datos Rutas'!B445</f>
        <v>Zapopan</v>
      </c>
      <c r="C447" s="781" t="str">
        <f>'Base de datos Rutas'!C445</f>
        <v>Suc. Belenes</v>
      </c>
      <c r="D447" s="782">
        <f>IF(ISNUMBER('Base de datos Rutas'!D445),'Base de datos Rutas'!D445,"Sin código")</f>
        <v>820363</v>
      </c>
      <c r="E447" s="783" t="str">
        <f>'Base de datos Rutas'!F445</f>
        <v>Activa</v>
      </c>
      <c r="F447" s="784" t="str">
        <f>'Base de datos Rutas'!H445</f>
        <v>Sí</v>
      </c>
      <c r="G447" s="785">
        <f>IF(ISNUMBER('Base de datos Rutas'!BE445),'Base de datos Rutas'!BE445,"")</f>
        <v>83.942528735632195</v>
      </c>
      <c r="H447" s="786">
        <f>IF(ISNUMBER('Base de datos Rutas'!BH445),'Base de datos Rutas'!BH445,"")</f>
        <v>0.45737368204847301</v>
      </c>
      <c r="I447" s="788">
        <f>IFERROR(IF(OR(NOT(ISNUMBER('Base de datos Rutas'!O445)),N('Base de datos Rutas'!BK445)=0),"",'Base de datos Rutas'!O445/('Base de datos Rutas'!L445/'Base de datos Rutas'!BK445)),"")</f>
        <v>2961.3057471264324</v>
      </c>
      <c r="J447" s="788">
        <f>IFERROR(IF(OR(NOT(ISNUMBER('Base de datos Rutas'!N445)),N('Base de datos Rutas'!BK445)=0),"",'Base de datos Rutas'!N445/('Base de datos Rutas'!L445/'Base de datos Rutas'!BK445)),"")</f>
        <v>5937.9678160919457</v>
      </c>
      <c r="K447" s="788">
        <f>IFERROR(IF(OR(NOT(ISNUMBER('Base de datos Rutas'!J445)),N('Base de datos Rutas'!BK445)=0),"",'Base de datos Rutas'!J445/('Base de datos Rutas'!L445/'Base de datos Rutas'!BK445)),"")</f>
        <v>409.4243420689649</v>
      </c>
      <c r="L447" s="788">
        <f>IFERROR(IF(OR(NOT(ISNUMBER('Base de datos Rutas'!K445)),N('Base de datos Rutas'!BK445)=0),"",'Base de datos Rutas'!K445/('Base de datos Rutas'!L445/'Base de datos Rutas'!BK445)),"")</f>
        <v>22.67453056781606</v>
      </c>
      <c r="M447" s="787">
        <f>IF(ISNUMBER('Base de datos Rutas'!AX445),'Base de datos Rutas'!AX445,"")</f>
        <v>231.793203999761</v>
      </c>
      <c r="N447" s="790">
        <f>IFERROR(INDEX('Hoja de apoyo v2'!B$17:B$20,MATCH($A447,'Hoja de apoyo v2'!$A$17:$A$20,0)),"")</f>
        <v>89.41621024641401</v>
      </c>
      <c r="O447" s="791">
        <f>IFERROR(INDEX('Hoja de apoyo v2'!C$17:C$20,MATCH($A447,'Hoja de apoyo v2'!$A$17:$A$20,0)),"")</f>
        <v>0.54706375874806301</v>
      </c>
      <c r="P447" s="793">
        <f>IFERROR(INDEX('Hoja de apoyo v2'!D$17:D$20,MATCH($A447,'Hoja de apoyo v2'!$A$17:$A$20,0)),"")</f>
        <v>11095.153935793827</v>
      </c>
      <c r="Q447" s="793">
        <f>IFERROR(INDEX('Hoja de apoyo v2'!E$17:E$20,MATCH($A447,'Hoja de apoyo v2'!$A$17:$A$20,0)),"")</f>
        <v>6982.3202019701848</v>
      </c>
      <c r="R447" s="793">
        <f>IFERROR(INDEX('Hoja de apoyo v2'!F$17:F$20,MATCH($A447,'Hoja de apoyo v2'!$A$17:$A$20,0)),"")</f>
        <v>448.09513474485743</v>
      </c>
      <c r="S447" s="793">
        <f>IFERROR(INDEX('Hoja de apoyo v2'!G$17:G$20,MATCH($A447,'Hoja de apoyo v2'!$A$17:$A$20,0)),"")</f>
        <v>83.406300904207839</v>
      </c>
      <c r="T447" s="792">
        <f>IFERROR(INDEX('Hoja de apoyo v2'!H$17:H$20,MATCH($A447,'Hoja de apoyo v2'!$A$17:$A$20,0)),"")</f>
        <v>378.97014028925349</v>
      </c>
      <c r="U447" s="794">
        <f t="shared" si="220"/>
        <v>0.93878423726864069</v>
      </c>
      <c r="V447" s="795">
        <f t="shared" si="221"/>
        <v>0.83605187646711832</v>
      </c>
      <c r="W447" s="795">
        <f t="shared" si="222"/>
        <v>0.26690082573555202</v>
      </c>
      <c r="X447" s="843">
        <f t="shared" si="223"/>
        <v>0.85042903280437399</v>
      </c>
      <c r="Y447" s="843">
        <f t="shared" si="224"/>
        <v>0.91369959261460976</v>
      </c>
      <c r="Z447" s="843">
        <f t="shared" si="225"/>
        <v>0.27185632646456487</v>
      </c>
      <c r="AA447" s="843">
        <f t="shared" si="226"/>
        <v>0.61163975563573969</v>
      </c>
      <c r="AB447" s="796">
        <f t="shared" si="227"/>
        <v>3</v>
      </c>
      <c r="AC447" s="797">
        <f t="shared" si="228"/>
        <v>3</v>
      </c>
      <c r="AD447" s="797">
        <f t="shared" si="229"/>
        <v>1</v>
      </c>
      <c r="AE447" s="842">
        <f t="shared" si="230"/>
        <v>3</v>
      </c>
      <c r="AF447" s="842">
        <f t="shared" si="231"/>
        <v>3</v>
      </c>
      <c r="AG447" s="842">
        <f t="shared" si="232"/>
        <v>1</v>
      </c>
      <c r="AH447" s="842">
        <f t="shared" si="233"/>
        <v>2</v>
      </c>
      <c r="AI447" s="826" cm="1">
        <f t="array" ref="AI447">SUMPRODUCT(--ISNUMBER($U447:$AA447),$AB$3:$AH$3)</f>
        <v>1</v>
      </c>
      <c r="AJ447" s="829">
        <f t="shared" si="234"/>
        <v>28.748795684897999</v>
      </c>
      <c r="AK447" s="827" t="str">
        <f t="shared" si="235"/>
        <v>Inmadura</v>
      </c>
      <c r="AL447" s="784" t="str">
        <f t="shared" si="236"/>
        <v>Alta</v>
      </c>
      <c r="AM447" s="799">
        <f>IF(ISNUMBER('Base de datos Rutas'!W445),'Base de datos Rutas'!W445,"")</f>
        <v>3116.1708958203221</v>
      </c>
      <c r="AN447" s="787">
        <f>IFERROR(SUMIFS('Base de datos Rutas'!$W$6:$W$794,'Base de datos Rutas'!$C$6:$C$794,$C447)/'Base de datos Rutas'!I445,"")</f>
        <v>3116.1708958203185</v>
      </c>
      <c r="AO447" s="800">
        <f>IFERROR('Base de datos Rutas'!X445*AN447/AM447,"")</f>
        <v>0.37418782761251823</v>
      </c>
      <c r="AP447" s="800">
        <f t="shared" si="237"/>
        <v>0.62581217238748177</v>
      </c>
      <c r="AQ447" s="789">
        <f>IFERROR(INDEX('Hoja de apoyo v2'!$J$17:$J$20,MATCH($A447,'Hoja de apoyo v2'!$A$17:$A$20,0)),"")</f>
        <v>0.64320274048480885</v>
      </c>
      <c r="AR447" s="789">
        <f t="shared" si="238"/>
        <v>-1.7390568097327086E-2</v>
      </c>
      <c r="AS447" s="784" t="str">
        <f t="shared" si="239"/>
        <v>No</v>
      </c>
      <c r="AT447" s="801">
        <f>IF(ISNUMBER('Base de datos Rutas'!CK445),'Base de datos Rutas'!CK445,"")</f>
        <v>339</v>
      </c>
      <c r="AU447" s="802">
        <f>IF(ISNUMBER('Base de datos Rutas'!CL445),'Base de datos Rutas'!CL445,"")</f>
        <v>541.32000000000005</v>
      </c>
      <c r="AV447" s="802">
        <f>IF(ISNUMBER('Base de datos Rutas'!CM445),'Base de datos Rutas'!CM445,"")</f>
        <v>202.32000000000005</v>
      </c>
      <c r="AW447" s="802">
        <f>IF(ISNUMBER('Base de datos Rutas'!CN445),'Base de datos Rutas'!CN445,"")</f>
        <v>8.0500000000000007</v>
      </c>
      <c r="AX447" s="802">
        <f>IF(ISNUMBER('Base de datos Rutas'!CO445),'Base de datos Rutas'!CO445,"")</f>
        <v>9.4499999999999993</v>
      </c>
      <c r="AY447" s="802">
        <f>IF(ISNUMBER('Base de datos Rutas'!CP445),'Base de datos Rutas'!CP445,"")</f>
        <v>1.3999999999999986</v>
      </c>
      <c r="AZ447" s="802">
        <f>IF(ISNUMBER('Base de datos Rutas'!CQ445),'Base de datos Rutas'!CQ445,"")</f>
        <v>846.56</v>
      </c>
      <c r="BA447" s="802">
        <f>IF(ISNUMBER('Base de datos Rutas'!CR445),'Base de datos Rutas'!CR445,"")</f>
        <v>432.1</v>
      </c>
      <c r="BB447" s="803">
        <f>IF(ISNUMBER('Base de datos Rutas'!CS445),'Base de datos Rutas'!CS445,"")</f>
        <v>414.45999999999992</v>
      </c>
      <c r="BC447" s="804">
        <f t="shared" si="249"/>
        <v>0</v>
      </c>
      <c r="BD447" s="805" t="str">
        <f t="shared" si="250"/>
        <v>No saturada</v>
      </c>
      <c r="BE447" s="806">
        <f t="shared" si="251"/>
        <v>0.51041863541863552</v>
      </c>
      <c r="BF447" s="890">
        <f>IF(ISNUMBER('Base de datos Rutas'!CX445),'Base de datos Rutas'!CX445/100,"")</f>
        <v>0.91401614959625999</v>
      </c>
      <c r="BG447" s="891">
        <f>IF(ISNUMBER('Base de datos Rutas'!CZ445),'Base de datos Rutas'!CZ445/100,"")</f>
        <v>1</v>
      </c>
      <c r="BH447" s="892">
        <f>IF(ISNUMBER('Base de datos Rutas'!DA445),'Base de datos Rutas'!DA445,"")</f>
        <v>996.8688344316954</v>
      </c>
      <c r="BI447" s="893">
        <f>IF(ISNUMBER('Base de datos Rutas'!DC445),'Base de datos Rutas'!DC445,"")</f>
        <v>44.925657060563836</v>
      </c>
      <c r="BJ447" s="805" t="str">
        <f t="shared" si="252"/>
        <v>Ruta (completo)</v>
      </c>
      <c r="BK447" s="783">
        <f t="shared" si="240"/>
        <v>3</v>
      </c>
      <c r="BL447" s="797">
        <f t="shared" si="241"/>
        <v>4</v>
      </c>
      <c r="BM447" s="797">
        <f t="shared" si="242"/>
        <v>4</v>
      </c>
      <c r="BN447" s="797">
        <f t="shared" si="243"/>
        <v>4</v>
      </c>
      <c r="BO447" s="798" cm="1">
        <f t="array" ref="BO447">SUMPRODUCT(--ISNUMBER($BF447:$BI447),$BK$3:$BN$3)</f>
        <v>1</v>
      </c>
      <c r="BP447" s="831">
        <f t="shared" si="253"/>
        <v>68.75</v>
      </c>
      <c r="BQ447" s="834" t="str">
        <f t="shared" si="254"/>
        <v>Alto</v>
      </c>
      <c r="BR447" s="836">
        <f t="shared" si="244"/>
        <v>21.561596763673499</v>
      </c>
      <c r="BS447" s="836">
        <f t="shared" si="245"/>
        <v>68.75</v>
      </c>
      <c r="BT447" s="837" t="str">
        <f t="shared" si="246"/>
        <v>P3</v>
      </c>
      <c r="BU447" s="807" t="str">
        <f t="shared" si="255"/>
        <v>Con espacio</v>
      </c>
      <c r="BV447" s="807" t="str">
        <f t="shared" si="247"/>
        <v>Zona atractiva</v>
      </c>
      <c r="BW447" s="808" t="str">
        <f t="shared" si="248"/>
        <v>P3 - Desarrollar</v>
      </c>
    </row>
    <row r="448" spans="1:75">
      <c r="A448" s="780" t="str">
        <f>'Base de datos Rutas'!A446</f>
        <v>Occidente</v>
      </c>
      <c r="B448" s="781" t="str">
        <f>'Base de datos Rutas'!B446</f>
        <v>Zapopan</v>
      </c>
      <c r="C448" s="781" t="str">
        <f>'Base de datos Rutas'!C446</f>
        <v>Suc. Belenes</v>
      </c>
      <c r="D448" s="782">
        <f>IF(ISNUMBER('Base de datos Rutas'!D446),'Base de datos Rutas'!D446,"Sin código")</f>
        <v>820364</v>
      </c>
      <c r="E448" s="783" t="str">
        <f>'Base de datos Rutas'!F446</f>
        <v>Activa</v>
      </c>
      <c r="F448" s="784" t="str">
        <f>'Base de datos Rutas'!H446</f>
        <v>Sí</v>
      </c>
      <c r="G448" s="785">
        <f>IF(ISNUMBER('Base de datos Rutas'!BE446),'Base de datos Rutas'!BE446,"")</f>
        <v>90.162844036697294</v>
      </c>
      <c r="H448" s="786">
        <f>IF(ISNUMBER('Base de datos Rutas'!BH446),'Base de datos Rutas'!BH446,"")</f>
        <v>0.50146269491999695</v>
      </c>
      <c r="I448" s="788">
        <f>IFERROR(IF(OR(NOT(ISNUMBER('Base de datos Rutas'!O446)),N('Base de datos Rutas'!BK446)=0),"",'Base de datos Rutas'!O446/('Base de datos Rutas'!L446/'Base de datos Rutas'!BK446)),"")</f>
        <v>2706.2316513761407</v>
      </c>
      <c r="J448" s="788">
        <f>IFERROR(IF(OR(NOT(ISNUMBER('Base de datos Rutas'!N446)),N('Base de datos Rutas'!BK446)=0),"",'Base de datos Rutas'!N446/('Base de datos Rutas'!L446/'Base de datos Rutas'!BK446)),"")</f>
        <v>6153.6376146788853</v>
      </c>
      <c r="K448" s="788">
        <f>IFERROR(IF(OR(NOT(ISNUMBER('Base de datos Rutas'!J446)),N('Base de datos Rutas'!BK446)=0),"",'Base de datos Rutas'!J446/('Base de datos Rutas'!L446/'Base de datos Rutas'!BK446)),"")</f>
        <v>420.19162018348527</v>
      </c>
      <c r="L448" s="788">
        <f>IFERROR(IF(OR(NOT(ISNUMBER('Base de datos Rutas'!K446)),N('Base de datos Rutas'!BK446)=0),"",'Base de datos Rutas'!K446/('Base de datos Rutas'!L446/'Base de datos Rutas'!BK446)),"")</f>
        <v>21.160565110091696</v>
      </c>
      <c r="M448" s="787">
        <f>IF(ISNUMBER('Base de datos Rutas'!AX446),'Base de datos Rutas'!AX446,"")</f>
        <v>195.957223659514</v>
      </c>
      <c r="N448" s="790">
        <f>IFERROR(INDEX('Hoja de apoyo v2'!B$17:B$20,MATCH($A448,'Hoja de apoyo v2'!$A$17:$A$20,0)),"")</f>
        <v>89.41621024641401</v>
      </c>
      <c r="O448" s="791">
        <f>IFERROR(INDEX('Hoja de apoyo v2'!C$17:C$20,MATCH($A448,'Hoja de apoyo v2'!$A$17:$A$20,0)),"")</f>
        <v>0.54706375874806301</v>
      </c>
      <c r="P448" s="793">
        <f>IFERROR(INDEX('Hoja de apoyo v2'!D$17:D$20,MATCH($A448,'Hoja de apoyo v2'!$A$17:$A$20,0)),"")</f>
        <v>11095.153935793827</v>
      </c>
      <c r="Q448" s="793">
        <f>IFERROR(INDEX('Hoja de apoyo v2'!E$17:E$20,MATCH($A448,'Hoja de apoyo v2'!$A$17:$A$20,0)),"")</f>
        <v>6982.3202019701848</v>
      </c>
      <c r="R448" s="793">
        <f>IFERROR(INDEX('Hoja de apoyo v2'!F$17:F$20,MATCH($A448,'Hoja de apoyo v2'!$A$17:$A$20,0)),"")</f>
        <v>448.09513474485743</v>
      </c>
      <c r="S448" s="793">
        <f>IFERROR(INDEX('Hoja de apoyo v2'!G$17:G$20,MATCH($A448,'Hoja de apoyo v2'!$A$17:$A$20,0)),"")</f>
        <v>83.406300904207839</v>
      </c>
      <c r="T448" s="792">
        <f>IFERROR(INDEX('Hoja de apoyo v2'!H$17:H$20,MATCH($A448,'Hoja de apoyo v2'!$A$17:$A$20,0)),"")</f>
        <v>378.97014028925349</v>
      </c>
      <c r="U448" s="794">
        <f t="shared" si="220"/>
        <v>1.0083500943310582</v>
      </c>
      <c r="V448" s="795">
        <f t="shared" si="221"/>
        <v>0.91664396864375997</v>
      </c>
      <c r="W448" s="795">
        <f t="shared" si="222"/>
        <v>0.24391114057873747</v>
      </c>
      <c r="X448" s="843">
        <f t="shared" si="223"/>
        <v>0.88131701736373069</v>
      </c>
      <c r="Y448" s="843">
        <f t="shared" si="224"/>
        <v>0.93772859288628463</v>
      </c>
      <c r="Z448" s="843">
        <f t="shared" si="225"/>
        <v>0.25370463479005756</v>
      </c>
      <c r="AA448" s="843">
        <f t="shared" si="226"/>
        <v>0.51707826772301191</v>
      </c>
      <c r="AB448" s="796">
        <f t="shared" si="227"/>
        <v>4</v>
      </c>
      <c r="AC448" s="797">
        <f t="shared" si="228"/>
        <v>3</v>
      </c>
      <c r="AD448" s="797">
        <f t="shared" si="229"/>
        <v>1</v>
      </c>
      <c r="AE448" s="842">
        <f t="shared" si="230"/>
        <v>3</v>
      </c>
      <c r="AF448" s="842">
        <f t="shared" si="231"/>
        <v>3</v>
      </c>
      <c r="AG448" s="842">
        <f t="shared" si="232"/>
        <v>1</v>
      </c>
      <c r="AH448" s="842">
        <f t="shared" si="233"/>
        <v>2</v>
      </c>
      <c r="AI448" s="826" cm="1">
        <f t="array" ref="AI448">SUMPRODUCT(--ISNUMBER($U448:$AA448),$AB$3:$AH$3)</f>
        <v>1</v>
      </c>
      <c r="AJ448" s="829">
        <f t="shared" si="234"/>
        <v>33.282431863034759</v>
      </c>
      <c r="AK448" s="827" t="str">
        <f t="shared" si="235"/>
        <v>Inmadura</v>
      </c>
      <c r="AL448" s="784" t="str">
        <f t="shared" si="236"/>
        <v>Alta</v>
      </c>
      <c r="AM448" s="799">
        <f>IF(ISNUMBER('Base de datos Rutas'!W446),'Base de datos Rutas'!W446,"")</f>
        <v>3116.1708958203221</v>
      </c>
      <c r="AN448" s="787">
        <f>IFERROR(SUMIFS('Base de datos Rutas'!$W$6:$W$794,'Base de datos Rutas'!$C$6:$C$794,$C448)/'Base de datos Rutas'!I446,"")</f>
        <v>3116.1708958203185</v>
      </c>
      <c r="AO448" s="800">
        <f>IFERROR('Base de datos Rutas'!X446*AN448/AM448,"")</f>
        <v>0.37418782761251823</v>
      </c>
      <c r="AP448" s="800">
        <f t="shared" si="237"/>
        <v>0.62581217238748177</v>
      </c>
      <c r="AQ448" s="789">
        <f>IFERROR(INDEX('Hoja de apoyo v2'!$J$17:$J$20,MATCH($A448,'Hoja de apoyo v2'!$A$17:$A$20,0)),"")</f>
        <v>0.64320274048480885</v>
      </c>
      <c r="AR448" s="789">
        <f t="shared" si="238"/>
        <v>-1.7390568097327086E-2</v>
      </c>
      <c r="AS448" s="784" t="str">
        <f t="shared" si="239"/>
        <v>No</v>
      </c>
      <c r="AT448" s="801">
        <f>IF(ISNUMBER('Base de datos Rutas'!CK446),'Base de datos Rutas'!CK446,"")</f>
        <v>325</v>
      </c>
      <c r="AU448" s="802">
        <f>IF(ISNUMBER('Base de datos Rutas'!CL446),'Base de datos Rutas'!CL446,"")</f>
        <v>395.3</v>
      </c>
      <c r="AV448" s="802">
        <f>IF(ISNUMBER('Base de datos Rutas'!CM446),'Base de datos Rutas'!CM446,"")</f>
        <v>70.300000000000011</v>
      </c>
      <c r="AW448" s="802">
        <f>IF(ISNUMBER('Base de datos Rutas'!CN446),'Base de datos Rutas'!CN446,"")</f>
        <v>10.98</v>
      </c>
      <c r="AX448" s="802">
        <f>IF(ISNUMBER('Base de datos Rutas'!CO446),'Base de datos Rutas'!CO446,"")</f>
        <v>9.4499999999999993</v>
      </c>
      <c r="AY448" s="802">
        <f>IF(ISNUMBER('Base de datos Rutas'!CP446),'Base de datos Rutas'!CP446,"")</f>
        <v>-1.5300000000000011</v>
      </c>
      <c r="AZ448" s="802">
        <f>IF(ISNUMBER('Base de datos Rutas'!CQ446),'Base de datos Rutas'!CQ446,"")</f>
        <v>846.56</v>
      </c>
      <c r="BA448" s="802">
        <f>IF(ISNUMBER('Base de datos Rutas'!CR446),'Base de datos Rutas'!CR446,"")</f>
        <v>441.35</v>
      </c>
      <c r="BB448" s="803">
        <f>IF(ISNUMBER('Base de datos Rutas'!CS446),'Base de datos Rutas'!CS446,"")</f>
        <v>405.20999999999992</v>
      </c>
      <c r="BC448" s="804">
        <f t="shared" si="249"/>
        <v>1</v>
      </c>
      <c r="BD448" s="805" t="str">
        <f t="shared" si="250"/>
        <v>Saturada</v>
      </c>
      <c r="BE448" s="806">
        <f t="shared" si="251"/>
        <v>0.52134520884520885</v>
      </c>
      <c r="BF448" s="890">
        <f>IF(ISNUMBER('Base de datos Rutas'!CX446),'Base de datos Rutas'!CX446/100,"")</f>
        <v>0.36038324420677365</v>
      </c>
      <c r="BG448" s="891">
        <f>IF(ISNUMBER('Base de datos Rutas'!CZ446),'Base de datos Rutas'!CZ446/100,"")</f>
        <v>0.39171122994652408</v>
      </c>
      <c r="BH448" s="892">
        <f>IF(ISNUMBER('Base de datos Rutas'!DA446),'Base de datos Rutas'!DA446,"")</f>
        <v>290.59749816359158</v>
      </c>
      <c r="BI448" s="893">
        <f>IF(ISNUMBER('Base de datos Rutas'!DC446),'Base de datos Rutas'!DC446,"")</f>
        <v>15.483835284967375</v>
      </c>
      <c r="BJ448" s="805" t="str">
        <f t="shared" si="252"/>
        <v>Ruta (completo)</v>
      </c>
      <c r="BK448" s="783">
        <f t="shared" si="240"/>
        <v>1</v>
      </c>
      <c r="BL448" s="797">
        <f t="shared" si="241"/>
        <v>1</v>
      </c>
      <c r="BM448" s="797">
        <f t="shared" si="242"/>
        <v>1</v>
      </c>
      <c r="BN448" s="797">
        <f t="shared" si="243"/>
        <v>1</v>
      </c>
      <c r="BO448" s="798" cm="1">
        <f t="array" ref="BO448">SUMPRODUCT(--ISNUMBER($BF448:$BI448),$BK$3:$BN$3)</f>
        <v>1</v>
      </c>
      <c r="BP448" s="831">
        <f t="shared" si="253"/>
        <v>0</v>
      </c>
      <c r="BQ448" s="834" t="str">
        <f t="shared" si="254"/>
        <v>Bajo</v>
      </c>
      <c r="BR448" s="836">
        <f t="shared" si="244"/>
        <v>49.961823897276069</v>
      </c>
      <c r="BS448" s="836">
        <f t="shared" si="245"/>
        <v>0</v>
      </c>
      <c r="BT448" s="837" t="str">
        <f t="shared" si="246"/>
        <v>P2</v>
      </c>
      <c r="BU448" s="807" t="str">
        <f t="shared" si="255"/>
        <v>Al tope</v>
      </c>
      <c r="BV448" s="807" t="str">
        <f t="shared" si="247"/>
        <v>Zona de bajo potencial</v>
      </c>
      <c r="BW448" s="808" t="str">
        <f t="shared" si="248"/>
        <v>P2 - Mantener</v>
      </c>
    </row>
    <row r="449" spans="1:75">
      <c r="A449" s="780" t="str">
        <f>'Base de datos Rutas'!A447</f>
        <v>Occidente</v>
      </c>
      <c r="B449" s="781" t="str">
        <f>'Base de datos Rutas'!B447</f>
        <v>Zapopan</v>
      </c>
      <c r="C449" s="781" t="str">
        <f>'Base de datos Rutas'!C447</f>
        <v>Suc. Belenes</v>
      </c>
      <c r="D449" s="782">
        <f>IF(ISNUMBER('Base de datos Rutas'!D447),'Base de datos Rutas'!D447,"Sin código")</f>
        <v>820365</v>
      </c>
      <c r="E449" s="783" t="str">
        <f>'Base de datos Rutas'!F447</f>
        <v>Activa</v>
      </c>
      <c r="F449" s="784" t="str">
        <f>'Base de datos Rutas'!H447</f>
        <v>Sí</v>
      </c>
      <c r="G449" s="785">
        <f>IF(ISNUMBER('Base de datos Rutas'!BE447),'Base de datos Rutas'!BE447,"")</f>
        <v>44.149425287356301</v>
      </c>
      <c r="H449" s="786">
        <f>IF(ISNUMBER('Base de datos Rutas'!BH447),'Base de datos Rutas'!BH447,"")</f>
        <v>0.53194480604009398</v>
      </c>
      <c r="I449" s="788">
        <f>IFERROR(IF(OR(NOT(ISNUMBER('Base de datos Rutas'!O447)),N('Base de datos Rutas'!BK447)=0),"",'Base de datos Rutas'!O447/('Base de datos Rutas'!L447/'Base de datos Rutas'!BK447)),"")</f>
        <v>3656.7195402298807</v>
      </c>
      <c r="J449" s="788">
        <f>IFERROR(IF(OR(NOT(ISNUMBER('Base de datos Rutas'!N447)),N('Base de datos Rutas'!BK447)=0),"",'Base de datos Rutas'!N447/('Base de datos Rutas'!L447/'Base de datos Rutas'!BK447)),"")</f>
        <v>6254.3333333333258</v>
      </c>
      <c r="K449" s="788">
        <f>IFERROR(IF(OR(NOT(ISNUMBER('Base de datos Rutas'!J447)),N('Base de datos Rutas'!BK447)=0),"",'Base de datos Rutas'!J447/('Base de datos Rutas'!L447/'Base de datos Rutas'!BK447)),"")</f>
        <v>429.04451494252822</v>
      </c>
      <c r="L449" s="788">
        <f>IFERROR(IF(OR(NOT(ISNUMBER('Base de datos Rutas'!K447)),N('Base de datos Rutas'!BK447)=0),"",'Base de datos Rutas'!K447/('Base de datos Rutas'!L447/'Base de datos Rutas'!BK447)),"")</f>
        <v>28.667577110344794</v>
      </c>
      <c r="M449" s="787">
        <f>IF(ISNUMBER('Base de datos Rutas'!AX447),'Base de datos Rutas'!AX447,"")</f>
        <v>422.015491386061</v>
      </c>
      <c r="N449" s="790">
        <f>IFERROR(INDEX('Hoja de apoyo v2'!B$17:B$20,MATCH($A449,'Hoja de apoyo v2'!$A$17:$A$20,0)),"")</f>
        <v>89.41621024641401</v>
      </c>
      <c r="O449" s="791">
        <f>IFERROR(INDEX('Hoja de apoyo v2'!C$17:C$20,MATCH($A449,'Hoja de apoyo v2'!$A$17:$A$20,0)),"")</f>
        <v>0.54706375874806301</v>
      </c>
      <c r="P449" s="793">
        <f>IFERROR(INDEX('Hoja de apoyo v2'!D$17:D$20,MATCH($A449,'Hoja de apoyo v2'!$A$17:$A$20,0)),"")</f>
        <v>11095.153935793827</v>
      </c>
      <c r="Q449" s="793">
        <f>IFERROR(INDEX('Hoja de apoyo v2'!E$17:E$20,MATCH($A449,'Hoja de apoyo v2'!$A$17:$A$20,0)),"")</f>
        <v>6982.3202019701848</v>
      </c>
      <c r="R449" s="793">
        <f>IFERROR(INDEX('Hoja de apoyo v2'!F$17:F$20,MATCH($A449,'Hoja de apoyo v2'!$A$17:$A$20,0)),"")</f>
        <v>448.09513474485743</v>
      </c>
      <c r="S449" s="793">
        <f>IFERROR(INDEX('Hoja de apoyo v2'!G$17:G$20,MATCH($A449,'Hoja de apoyo v2'!$A$17:$A$20,0)),"")</f>
        <v>83.406300904207839</v>
      </c>
      <c r="T449" s="792">
        <f>IFERROR(INDEX('Hoja de apoyo v2'!H$17:H$20,MATCH($A449,'Hoja de apoyo v2'!$A$17:$A$20,0)),"")</f>
        <v>378.97014028925349</v>
      </c>
      <c r="U449" s="794">
        <f t="shared" si="220"/>
        <v>0.49375191775282035</v>
      </c>
      <c r="V449" s="795">
        <f t="shared" si="221"/>
        <v>0.97236345404680391</v>
      </c>
      <c r="W449" s="795">
        <f t="shared" si="222"/>
        <v>0.32957808079012046</v>
      </c>
      <c r="X449" s="843">
        <f t="shared" si="223"/>
        <v>0.89573854426907484</v>
      </c>
      <c r="Y449" s="843">
        <f t="shared" si="224"/>
        <v>0.95748532326025693</v>
      </c>
      <c r="Z449" s="843">
        <f t="shared" si="225"/>
        <v>0.34370996914573054</v>
      </c>
      <c r="AA449" s="843">
        <f t="shared" si="226"/>
        <v>1.1135850731246335</v>
      </c>
      <c r="AB449" s="796">
        <f t="shared" si="227"/>
        <v>1</v>
      </c>
      <c r="AC449" s="797">
        <f t="shared" si="228"/>
        <v>3</v>
      </c>
      <c r="AD449" s="797">
        <f t="shared" si="229"/>
        <v>1</v>
      </c>
      <c r="AE449" s="842">
        <f t="shared" si="230"/>
        <v>3</v>
      </c>
      <c r="AF449" s="842">
        <f t="shared" si="231"/>
        <v>3</v>
      </c>
      <c r="AG449" s="842">
        <f t="shared" si="232"/>
        <v>1</v>
      </c>
      <c r="AH449" s="842">
        <f t="shared" si="233"/>
        <v>4</v>
      </c>
      <c r="AI449" s="826" cm="1">
        <f t="array" ref="AI449">SUMPRODUCT(--ISNUMBER($U449:$AA449),$AB$3:$AH$3)</f>
        <v>1</v>
      </c>
      <c r="AJ449" s="829">
        <f t="shared" si="234"/>
        <v>24.170979009277616</v>
      </c>
      <c r="AK449" s="827" t="str">
        <f t="shared" si="235"/>
        <v>Inmadura</v>
      </c>
      <c r="AL449" s="784" t="str">
        <f t="shared" si="236"/>
        <v>Alta</v>
      </c>
      <c r="AM449" s="799">
        <f>IF(ISNUMBER('Base de datos Rutas'!W447),'Base de datos Rutas'!W447,"")</f>
        <v>3116.1708958203221</v>
      </c>
      <c r="AN449" s="787">
        <f>IFERROR(SUMIFS('Base de datos Rutas'!$W$6:$W$794,'Base de datos Rutas'!$C$6:$C$794,$C449)/'Base de datos Rutas'!I447,"")</f>
        <v>3116.1708958203185</v>
      </c>
      <c r="AO449" s="800">
        <f>IFERROR('Base de datos Rutas'!X447*AN449/AM449,"")</f>
        <v>0.37418782761251823</v>
      </c>
      <c r="AP449" s="800">
        <f t="shared" si="237"/>
        <v>0.62581217238748177</v>
      </c>
      <c r="AQ449" s="789">
        <f>IFERROR(INDEX('Hoja de apoyo v2'!$J$17:$J$20,MATCH($A449,'Hoja de apoyo v2'!$A$17:$A$20,0)),"")</f>
        <v>0.64320274048480885</v>
      </c>
      <c r="AR449" s="789">
        <f t="shared" si="238"/>
        <v>-1.7390568097327086E-2</v>
      </c>
      <c r="AS449" s="784" t="str">
        <f t="shared" si="239"/>
        <v>No</v>
      </c>
      <c r="AT449" s="801">
        <f>IF(ISNUMBER('Base de datos Rutas'!CK447),'Base de datos Rutas'!CK447,"")</f>
        <v>252</v>
      </c>
      <c r="AU449" s="802">
        <f>IF(ISNUMBER('Base de datos Rutas'!CL447),'Base de datos Rutas'!CL447,"")</f>
        <v>418.54</v>
      </c>
      <c r="AV449" s="802">
        <f>IF(ISNUMBER('Base de datos Rutas'!CM447),'Base de datos Rutas'!CM447,"")</f>
        <v>166.54000000000002</v>
      </c>
      <c r="AW449" s="802">
        <f>IF(ISNUMBER('Base de datos Rutas'!CN447),'Base de datos Rutas'!CN447,"")</f>
        <v>7.72</v>
      </c>
      <c r="AX449" s="802">
        <f>IF(ISNUMBER('Base de datos Rutas'!CO447),'Base de datos Rutas'!CO447,"")</f>
        <v>9.4499999999999993</v>
      </c>
      <c r="AY449" s="802">
        <f>IF(ISNUMBER('Base de datos Rutas'!CP447),'Base de datos Rutas'!CP447,"")</f>
        <v>1.7299999999999995</v>
      </c>
      <c r="AZ449" s="802">
        <f>IF(ISNUMBER('Base de datos Rutas'!CQ447),'Base de datos Rutas'!CQ447,"")</f>
        <v>846.56</v>
      </c>
      <c r="BA449" s="802">
        <f>IF(ISNUMBER('Base de datos Rutas'!CR447),'Base de datos Rutas'!CR447,"")</f>
        <v>457.71</v>
      </c>
      <c r="BB449" s="803">
        <f>IF(ISNUMBER('Base de datos Rutas'!CS447),'Base de datos Rutas'!CS447,"")</f>
        <v>388.84999999999997</v>
      </c>
      <c r="BC449" s="804">
        <f t="shared" si="249"/>
        <v>0</v>
      </c>
      <c r="BD449" s="805" t="str">
        <f t="shared" si="250"/>
        <v>No saturada</v>
      </c>
      <c r="BE449" s="806">
        <f t="shared" si="251"/>
        <v>0.5406704781704782</v>
      </c>
      <c r="BF449" s="890">
        <f>IF(ISNUMBER('Base de datos Rutas'!CX447),'Base de datos Rutas'!CX447/100,"")</f>
        <v>0.7892015855039638</v>
      </c>
      <c r="BG449" s="891">
        <f>IF(ISNUMBER('Base de datos Rutas'!CZ447),'Base de datos Rutas'!CZ447/100,"")</f>
        <v>0.83635334088335223</v>
      </c>
      <c r="BH449" s="892">
        <f>IF(ISNUMBER('Base de datos Rutas'!DA447),'Base de datos Rutas'!DA447,"")</f>
        <v>424.77935888215347</v>
      </c>
      <c r="BI449" s="893">
        <f>IF(ISNUMBER('Base de datos Rutas'!DC447),'Base de datos Rutas'!DC447,"")</f>
        <v>19.326591033218513</v>
      </c>
      <c r="BJ449" s="805" t="str">
        <f t="shared" si="252"/>
        <v>Ruta (completo)</v>
      </c>
      <c r="BK449" s="783">
        <f t="shared" si="240"/>
        <v>3</v>
      </c>
      <c r="BL449" s="797">
        <f t="shared" si="241"/>
        <v>3</v>
      </c>
      <c r="BM449" s="797">
        <f t="shared" si="242"/>
        <v>2</v>
      </c>
      <c r="BN449" s="797">
        <f t="shared" si="243"/>
        <v>2</v>
      </c>
      <c r="BO449" s="798" cm="1">
        <f t="array" ref="BO449">SUMPRODUCT(--ISNUMBER($BF449:$BI449),$BK$3:$BN$3)</f>
        <v>1</v>
      </c>
      <c r="BP449" s="831">
        <f t="shared" si="253"/>
        <v>37.5</v>
      </c>
      <c r="BQ449" s="834" t="str">
        <f t="shared" si="254"/>
        <v>Medio</v>
      </c>
      <c r="BR449" s="836">
        <f t="shared" si="244"/>
        <v>18.128234256958212</v>
      </c>
      <c r="BS449" s="836">
        <f t="shared" si="245"/>
        <v>37.5</v>
      </c>
      <c r="BT449" s="837" t="str">
        <f t="shared" si="246"/>
        <v>P4</v>
      </c>
      <c r="BU449" s="807" t="str">
        <f t="shared" si="255"/>
        <v>Con espacio</v>
      </c>
      <c r="BV449" s="807" t="str">
        <f t="shared" si="247"/>
        <v>Zona de bajo potencial</v>
      </c>
      <c r="BW449" s="808" t="str">
        <f t="shared" si="248"/>
        <v>P4 - Evaluar</v>
      </c>
    </row>
    <row r="450" spans="1:75">
      <c r="A450" s="780" t="str">
        <f>'Base de datos Rutas'!A448</f>
        <v>Occidente</v>
      </c>
      <c r="B450" s="781" t="str">
        <f>'Base de datos Rutas'!B448</f>
        <v>Zapopan</v>
      </c>
      <c r="C450" s="781" t="str">
        <f>'Base de datos Rutas'!C448</f>
        <v>Suc. Belenes</v>
      </c>
      <c r="D450" s="782">
        <f>IF(ISNUMBER('Base de datos Rutas'!D448),'Base de datos Rutas'!D448,"Sin código")</f>
        <v>820366</v>
      </c>
      <c r="E450" s="783" t="str">
        <f>'Base de datos Rutas'!F448</f>
        <v>Activa</v>
      </c>
      <c r="F450" s="784" t="str">
        <f>'Base de datos Rutas'!H448</f>
        <v>Sí</v>
      </c>
      <c r="G450" s="785">
        <f>IF(ISNUMBER('Base de datos Rutas'!BE448),'Base de datos Rutas'!BE448,"")</f>
        <v>92.864678899082605</v>
      </c>
      <c r="H450" s="786">
        <f>IF(ISNUMBER('Base de datos Rutas'!BH448),'Base de datos Rutas'!BH448,"")</f>
        <v>0.52582182815085599</v>
      </c>
      <c r="I450" s="788">
        <f>IFERROR(IF(OR(NOT(ISNUMBER('Base de datos Rutas'!O448)),N('Base de datos Rutas'!BK448)=0),"",'Base de datos Rutas'!O448/('Base de datos Rutas'!L448/'Base de datos Rutas'!BK448)),"")</f>
        <v>3441.1192660550441</v>
      </c>
      <c r="J450" s="788">
        <f>IFERROR(IF(OR(NOT(ISNUMBER('Base de datos Rutas'!N448)),N('Base de datos Rutas'!BK448)=0),"",'Base de datos Rutas'!N448/('Base de datos Rutas'!L448/'Base de datos Rutas'!BK448)),"")</f>
        <v>5574.0779816513732</v>
      </c>
      <c r="K450" s="788">
        <f>IFERROR(IF(OR(NOT(ISNUMBER('Base de datos Rutas'!J448)),N('Base de datos Rutas'!BK448)=0),"",'Base de datos Rutas'!J448/('Base de datos Rutas'!L448/'Base de datos Rutas'!BK448)),"")</f>
        <v>381.67142935779793</v>
      </c>
      <c r="L450" s="788">
        <f>IFERROR(IF(OR(NOT(ISNUMBER('Base de datos Rutas'!K448)),N('Base de datos Rutas'!BK448)=0),"",'Base de datos Rutas'!K448/('Base de datos Rutas'!L448/'Base de datos Rutas'!BK448)),"")</f>
        <v>24.085873635321086</v>
      </c>
      <c r="M450" s="787">
        <f>IF(ISNUMBER('Base de datos Rutas'!AX448),'Base de datos Rutas'!AX448,"")</f>
        <v>184.623028651949</v>
      </c>
      <c r="N450" s="790">
        <f>IFERROR(INDEX('Hoja de apoyo v2'!B$17:B$20,MATCH($A450,'Hoja de apoyo v2'!$A$17:$A$20,0)),"")</f>
        <v>89.41621024641401</v>
      </c>
      <c r="O450" s="791">
        <f>IFERROR(INDEX('Hoja de apoyo v2'!C$17:C$20,MATCH($A450,'Hoja de apoyo v2'!$A$17:$A$20,0)),"")</f>
        <v>0.54706375874806301</v>
      </c>
      <c r="P450" s="793">
        <f>IFERROR(INDEX('Hoja de apoyo v2'!D$17:D$20,MATCH($A450,'Hoja de apoyo v2'!$A$17:$A$20,0)),"")</f>
        <v>11095.153935793827</v>
      </c>
      <c r="Q450" s="793">
        <f>IFERROR(INDEX('Hoja de apoyo v2'!E$17:E$20,MATCH($A450,'Hoja de apoyo v2'!$A$17:$A$20,0)),"")</f>
        <v>6982.3202019701848</v>
      </c>
      <c r="R450" s="793">
        <f>IFERROR(INDEX('Hoja de apoyo v2'!F$17:F$20,MATCH($A450,'Hoja de apoyo v2'!$A$17:$A$20,0)),"")</f>
        <v>448.09513474485743</v>
      </c>
      <c r="S450" s="793">
        <f>IFERROR(INDEX('Hoja de apoyo v2'!G$17:G$20,MATCH($A450,'Hoja de apoyo v2'!$A$17:$A$20,0)),"")</f>
        <v>83.406300904207839</v>
      </c>
      <c r="T450" s="792">
        <f>IFERROR(INDEX('Hoja de apoyo v2'!H$17:H$20,MATCH($A450,'Hoja de apoyo v2'!$A$17:$A$20,0)),"")</f>
        <v>378.97014028925349</v>
      </c>
      <c r="U450" s="794">
        <f t="shared" si="220"/>
        <v>1.0385664818847196</v>
      </c>
      <c r="V450" s="795">
        <f t="shared" si="221"/>
        <v>0.96117101479027145</v>
      </c>
      <c r="W450" s="795">
        <f t="shared" si="222"/>
        <v>0.31014614902761523</v>
      </c>
      <c r="X450" s="843">
        <f t="shared" si="223"/>
        <v>0.79831314239621221</v>
      </c>
      <c r="Y450" s="843">
        <f t="shared" si="224"/>
        <v>0.85176427897419427</v>
      </c>
      <c r="Z450" s="843">
        <f t="shared" si="225"/>
        <v>0.28877762680044661</v>
      </c>
      <c r="AA450" s="843">
        <f t="shared" si="226"/>
        <v>0.48717038369047561</v>
      </c>
      <c r="AB450" s="796">
        <f t="shared" si="227"/>
        <v>4</v>
      </c>
      <c r="AC450" s="797">
        <f t="shared" si="228"/>
        <v>3</v>
      </c>
      <c r="AD450" s="797">
        <f t="shared" si="229"/>
        <v>1</v>
      </c>
      <c r="AE450" s="842">
        <f t="shared" si="230"/>
        <v>3</v>
      </c>
      <c r="AF450" s="842">
        <f t="shared" si="231"/>
        <v>3</v>
      </c>
      <c r="AG450" s="842">
        <f t="shared" si="232"/>
        <v>1</v>
      </c>
      <c r="AH450" s="842">
        <f t="shared" si="233"/>
        <v>1</v>
      </c>
      <c r="AI450" s="826" cm="1">
        <f t="array" ref="AI450">SUMPRODUCT(--ISNUMBER($U450:$AA450),$AB$3:$AH$3)</f>
        <v>1</v>
      </c>
      <c r="AJ450" s="829">
        <f t="shared" si="234"/>
        <v>31.037704022708201</v>
      </c>
      <c r="AK450" s="827" t="str">
        <f t="shared" si="235"/>
        <v>Inmadura</v>
      </c>
      <c r="AL450" s="784" t="str">
        <f t="shared" si="236"/>
        <v>Alta</v>
      </c>
      <c r="AM450" s="799">
        <f>IF(ISNUMBER('Base de datos Rutas'!W448),'Base de datos Rutas'!W448,"")</f>
        <v>3116.1708958203221</v>
      </c>
      <c r="AN450" s="787">
        <f>IFERROR(SUMIFS('Base de datos Rutas'!$W$6:$W$794,'Base de datos Rutas'!$C$6:$C$794,$C450)/'Base de datos Rutas'!I448,"")</f>
        <v>3116.1708958203185</v>
      </c>
      <c r="AO450" s="800">
        <f>IFERROR('Base de datos Rutas'!X448*AN450/AM450,"")</f>
        <v>0.37418782761251823</v>
      </c>
      <c r="AP450" s="800">
        <f t="shared" si="237"/>
        <v>0.62581217238748177</v>
      </c>
      <c r="AQ450" s="789">
        <f>IFERROR(INDEX('Hoja de apoyo v2'!$J$17:$J$20,MATCH($A450,'Hoja de apoyo v2'!$A$17:$A$20,0)),"")</f>
        <v>0.64320274048480885</v>
      </c>
      <c r="AR450" s="789">
        <f t="shared" si="238"/>
        <v>-1.7390568097327086E-2</v>
      </c>
      <c r="AS450" s="784" t="str">
        <f t="shared" si="239"/>
        <v>No</v>
      </c>
      <c r="AT450" s="801">
        <f>IF(ISNUMBER('Base de datos Rutas'!CK448),'Base de datos Rutas'!CK448,"")</f>
        <v>443</v>
      </c>
      <c r="AU450" s="802">
        <f>IF(ISNUMBER('Base de datos Rutas'!CL448),'Base de datos Rutas'!CL448,"")</f>
        <v>487.21</v>
      </c>
      <c r="AV450" s="802">
        <f>IF(ISNUMBER('Base de datos Rutas'!CM448),'Base de datos Rutas'!CM448,"")</f>
        <v>44.20999999999998</v>
      </c>
      <c r="AW450" s="802">
        <f>IF(ISNUMBER('Base de datos Rutas'!CN448),'Base de datos Rutas'!CN448,"")</f>
        <v>10.88</v>
      </c>
      <c r="AX450" s="802">
        <f>IF(ISNUMBER('Base de datos Rutas'!CO448),'Base de datos Rutas'!CO448,"")</f>
        <v>9.4499999999999993</v>
      </c>
      <c r="AY450" s="802">
        <f>IF(ISNUMBER('Base de datos Rutas'!CP448),'Base de datos Rutas'!CP448,"")</f>
        <v>-1.4300000000000015</v>
      </c>
      <c r="AZ450" s="802">
        <f>IF(ISNUMBER('Base de datos Rutas'!CQ448),'Base de datos Rutas'!CQ448,"")</f>
        <v>846.56</v>
      </c>
      <c r="BA450" s="802">
        <f>IF(ISNUMBER('Base de datos Rutas'!CR448),'Base de datos Rutas'!CR448,"")</f>
        <v>405.76</v>
      </c>
      <c r="BB450" s="803">
        <f>IF(ISNUMBER('Base de datos Rutas'!CS448),'Base de datos Rutas'!CS448,"")</f>
        <v>440.79999999999995</v>
      </c>
      <c r="BC450" s="804">
        <f t="shared" si="249"/>
        <v>1</v>
      </c>
      <c r="BD450" s="805" t="str">
        <f t="shared" si="250"/>
        <v>Saturada</v>
      </c>
      <c r="BE450" s="806">
        <f t="shared" si="251"/>
        <v>0.47930447930447934</v>
      </c>
      <c r="BF450" s="890">
        <f>IF(ISNUMBER('Base de datos Rutas'!CX448),'Base de datos Rutas'!CX448/100,"")</f>
        <v>0.63522578421234055</v>
      </c>
      <c r="BG450" s="891">
        <f>IF(ISNUMBER('Base de datos Rutas'!CZ448),'Base de datos Rutas'!CZ448/100,"")</f>
        <v>0.65046535677352635</v>
      </c>
      <c r="BH450" s="892">
        <f>IF(ISNUMBER('Base de datos Rutas'!DA448),'Base de datos Rutas'!DA448,"")</f>
        <v>813.14105276024463</v>
      </c>
      <c r="BI450" s="893">
        <f>IF(ISNUMBER('Base de datos Rutas'!DC448),'Base de datos Rutas'!DC448,"")</f>
        <v>35.596456619392164</v>
      </c>
      <c r="BJ450" s="805" t="str">
        <f t="shared" si="252"/>
        <v>Ruta (completo)</v>
      </c>
      <c r="BK450" s="783">
        <f t="shared" si="240"/>
        <v>2</v>
      </c>
      <c r="BL450" s="797">
        <f t="shared" si="241"/>
        <v>2</v>
      </c>
      <c r="BM450" s="797">
        <f t="shared" si="242"/>
        <v>4</v>
      </c>
      <c r="BN450" s="797">
        <f t="shared" si="243"/>
        <v>3</v>
      </c>
      <c r="BO450" s="798" cm="1">
        <f t="array" ref="BO450">SUMPRODUCT(--ISNUMBER($BF450:$BI450),$BK$3:$BN$3)</f>
        <v>1</v>
      </c>
      <c r="BP450" s="831">
        <f t="shared" si="253"/>
        <v>43.75</v>
      </c>
      <c r="BQ450" s="834" t="str">
        <f t="shared" si="254"/>
        <v>Medio</v>
      </c>
      <c r="BR450" s="836">
        <f t="shared" si="244"/>
        <v>48.278278017031155</v>
      </c>
      <c r="BS450" s="836">
        <f t="shared" si="245"/>
        <v>43.75</v>
      </c>
      <c r="BT450" s="837" t="str">
        <f t="shared" si="246"/>
        <v>P2</v>
      </c>
      <c r="BU450" s="807" t="str">
        <f t="shared" si="255"/>
        <v>Al tope</v>
      </c>
      <c r="BV450" s="807" t="str">
        <f t="shared" si="247"/>
        <v>Zona de bajo potencial</v>
      </c>
      <c r="BW450" s="808" t="str">
        <f t="shared" si="248"/>
        <v>P2 - Mantener</v>
      </c>
    </row>
    <row r="451" spans="1:75">
      <c r="A451" s="780" t="str">
        <f>'Base de datos Rutas'!A449</f>
        <v>Occidente</v>
      </c>
      <c r="B451" s="781" t="str">
        <f>'Base de datos Rutas'!B449</f>
        <v>Zapopan</v>
      </c>
      <c r="C451" s="781" t="str">
        <f>'Base de datos Rutas'!C449</f>
        <v>Suc. Belenes</v>
      </c>
      <c r="D451" s="782">
        <f>IF(ISNUMBER('Base de datos Rutas'!D449),'Base de datos Rutas'!D449,"Sin código")</f>
        <v>820367</v>
      </c>
      <c r="E451" s="783" t="str">
        <f>'Base de datos Rutas'!F449</f>
        <v>Activa</v>
      </c>
      <c r="F451" s="784" t="str">
        <f>'Base de datos Rutas'!H449</f>
        <v>Sí</v>
      </c>
      <c r="G451" s="785">
        <f>IF(ISNUMBER('Base de datos Rutas'!BE449),'Base de datos Rutas'!BE449,"")</f>
        <v>127.432183908046</v>
      </c>
      <c r="H451" s="786">
        <f>IF(ISNUMBER('Base de datos Rutas'!BH449),'Base de datos Rutas'!BH449,"")</f>
        <v>0.52625692277163405</v>
      </c>
      <c r="I451" s="788">
        <f>IFERROR(IF(OR(NOT(ISNUMBER('Base de datos Rutas'!O449)),N('Base de datos Rutas'!BK449)=0),"",'Base de datos Rutas'!O449/('Base de datos Rutas'!L449/'Base de datos Rutas'!BK449)),"")</f>
        <v>5129.1770114942474</v>
      </c>
      <c r="J451" s="788">
        <f>IFERROR(IF(OR(NOT(ISNUMBER('Base de datos Rutas'!N449)),N('Base de datos Rutas'!BK449)=0),"",'Base de datos Rutas'!N449/('Base de datos Rutas'!L449/'Base de datos Rutas'!BK449)),"")</f>
        <v>8988.728735632174</v>
      </c>
      <c r="K451" s="788">
        <f>IFERROR(IF(OR(NOT(ISNUMBER('Base de datos Rutas'!J449)),N('Base de datos Rutas'!BK449)=0),"",'Base de datos Rutas'!J449/('Base de datos Rutas'!L449/'Base de datos Rutas'!BK449)),"")</f>
        <v>619.4646491953971</v>
      </c>
      <c r="L451" s="788">
        <f>IFERROR(IF(OR(NOT(ISNUMBER('Base de datos Rutas'!K449)),N('Base de datos Rutas'!BK449)=0),"",'Base de datos Rutas'!K449/('Base de datos Rutas'!L449/'Base de datos Rutas'!BK449)),"")</f>
        <v>38.104242370114903</v>
      </c>
      <c r="M451" s="787">
        <f>IF(ISNUMBER('Base de datos Rutas'!AX449),'Base de datos Rutas'!AX449,"")</f>
        <v>210.52007267242601</v>
      </c>
      <c r="N451" s="790">
        <f>IFERROR(INDEX('Hoja de apoyo v2'!B$17:B$20,MATCH($A451,'Hoja de apoyo v2'!$A$17:$A$20,0)),"")</f>
        <v>89.41621024641401</v>
      </c>
      <c r="O451" s="791">
        <f>IFERROR(INDEX('Hoja de apoyo v2'!C$17:C$20,MATCH($A451,'Hoja de apoyo v2'!$A$17:$A$20,0)),"")</f>
        <v>0.54706375874806301</v>
      </c>
      <c r="P451" s="793">
        <f>IFERROR(INDEX('Hoja de apoyo v2'!D$17:D$20,MATCH($A451,'Hoja de apoyo v2'!$A$17:$A$20,0)),"")</f>
        <v>11095.153935793827</v>
      </c>
      <c r="Q451" s="793">
        <f>IFERROR(INDEX('Hoja de apoyo v2'!E$17:E$20,MATCH($A451,'Hoja de apoyo v2'!$A$17:$A$20,0)),"")</f>
        <v>6982.3202019701848</v>
      </c>
      <c r="R451" s="793">
        <f>IFERROR(INDEX('Hoja de apoyo v2'!F$17:F$20,MATCH($A451,'Hoja de apoyo v2'!$A$17:$A$20,0)),"")</f>
        <v>448.09513474485743</v>
      </c>
      <c r="S451" s="793">
        <f>IFERROR(INDEX('Hoja de apoyo v2'!G$17:G$20,MATCH($A451,'Hoja de apoyo v2'!$A$17:$A$20,0)),"")</f>
        <v>83.406300904207839</v>
      </c>
      <c r="T451" s="792">
        <f>IFERROR(INDEX('Hoja de apoyo v2'!H$17:H$20,MATCH($A451,'Hoja de apoyo v2'!$A$17:$A$20,0)),"")</f>
        <v>378.97014028925349</v>
      </c>
      <c r="U451" s="794">
        <f t="shared" si="220"/>
        <v>1.425157514021979</v>
      </c>
      <c r="V451" s="795">
        <f t="shared" si="221"/>
        <v>0.96196634186836882</v>
      </c>
      <c r="W451" s="795">
        <f t="shared" si="222"/>
        <v>0.46228984664621231</v>
      </c>
      <c r="X451" s="843">
        <f t="shared" si="223"/>
        <v>1.2873555602757727</v>
      </c>
      <c r="Y451" s="843">
        <f t="shared" si="224"/>
        <v>1.3824400248132942</v>
      </c>
      <c r="Z451" s="843">
        <f t="shared" si="225"/>
        <v>0.45685088484954678</v>
      </c>
      <c r="AA451" s="843">
        <f t="shared" si="226"/>
        <v>0.5555056989760303</v>
      </c>
      <c r="AB451" s="796">
        <f t="shared" si="227"/>
        <v>5</v>
      </c>
      <c r="AC451" s="797">
        <f t="shared" si="228"/>
        <v>3</v>
      </c>
      <c r="AD451" s="797">
        <f t="shared" si="229"/>
        <v>1</v>
      </c>
      <c r="AE451" s="842">
        <f t="shared" si="230"/>
        <v>5</v>
      </c>
      <c r="AF451" s="842">
        <f t="shared" si="231"/>
        <v>5</v>
      </c>
      <c r="AG451" s="842">
        <f t="shared" si="232"/>
        <v>1</v>
      </c>
      <c r="AH451" s="842">
        <f t="shared" si="233"/>
        <v>2</v>
      </c>
      <c r="AI451" s="826" cm="1">
        <f t="array" ref="AI451">SUMPRODUCT(--ISNUMBER($U451:$AA451),$AB$3:$AH$3)</f>
        <v>1</v>
      </c>
      <c r="AJ451" s="829">
        <f t="shared" si="234"/>
        <v>50.487052357688469</v>
      </c>
      <c r="AK451" s="827" t="str">
        <f t="shared" si="235"/>
        <v>En desarrollo</v>
      </c>
      <c r="AL451" s="784" t="str">
        <f t="shared" si="236"/>
        <v>Alta</v>
      </c>
      <c r="AM451" s="799">
        <f>IF(ISNUMBER('Base de datos Rutas'!W449),'Base de datos Rutas'!W449,"")</f>
        <v>3116.1708958203221</v>
      </c>
      <c r="AN451" s="787">
        <f>IFERROR(SUMIFS('Base de datos Rutas'!$W$6:$W$794,'Base de datos Rutas'!$C$6:$C$794,$C451)/'Base de datos Rutas'!I449,"")</f>
        <v>3116.1708958203185</v>
      </c>
      <c r="AO451" s="800">
        <f>IFERROR('Base de datos Rutas'!X449*AN451/AM451,"")</f>
        <v>0.37418782761251823</v>
      </c>
      <c r="AP451" s="800">
        <f t="shared" si="237"/>
        <v>0.62581217238748177</v>
      </c>
      <c r="AQ451" s="789">
        <f>IFERROR(INDEX('Hoja de apoyo v2'!$J$17:$J$20,MATCH($A451,'Hoja de apoyo v2'!$A$17:$A$20,0)),"")</f>
        <v>0.64320274048480885</v>
      </c>
      <c r="AR451" s="789">
        <f t="shared" si="238"/>
        <v>-1.7390568097327086E-2</v>
      </c>
      <c r="AS451" s="784" t="str">
        <f t="shared" si="239"/>
        <v>No</v>
      </c>
      <c r="AT451" s="801">
        <f>IF(ISNUMBER('Base de datos Rutas'!CK449),'Base de datos Rutas'!CK449,"")</f>
        <v>488</v>
      </c>
      <c r="AU451" s="802">
        <f>IF(ISNUMBER('Base de datos Rutas'!CL449),'Base de datos Rutas'!CL449,"")</f>
        <v>523.87</v>
      </c>
      <c r="AV451" s="802">
        <f>IF(ISNUMBER('Base de datos Rutas'!CM449),'Base de datos Rutas'!CM449,"")</f>
        <v>35.870000000000005</v>
      </c>
      <c r="AW451" s="802">
        <f>IF(ISNUMBER('Base de datos Rutas'!CN449),'Base de datos Rutas'!CN449,"")</f>
        <v>12.87</v>
      </c>
      <c r="AX451" s="802">
        <f>IF(ISNUMBER('Base de datos Rutas'!CO449),'Base de datos Rutas'!CO449,"")</f>
        <v>9.4499999999999993</v>
      </c>
      <c r="AY451" s="802">
        <f>IF(ISNUMBER('Base de datos Rutas'!CP449),'Base de datos Rutas'!CP449,"")</f>
        <v>-3.42</v>
      </c>
      <c r="AZ451" s="802">
        <f>IF(ISNUMBER('Base de datos Rutas'!CQ449),'Base de datos Rutas'!CQ449,"")</f>
        <v>846.56</v>
      </c>
      <c r="BA451" s="802">
        <f>IF(ISNUMBER('Base de datos Rutas'!CR449),'Base de datos Rutas'!CR449,"")</f>
        <v>657.57</v>
      </c>
      <c r="BB451" s="803">
        <f>IF(ISNUMBER('Base de datos Rutas'!CS449),'Base de datos Rutas'!CS449,"")</f>
        <v>188.9899999999999</v>
      </c>
      <c r="BC451" s="804">
        <f t="shared" si="249"/>
        <v>1</v>
      </c>
      <c r="BD451" s="805" t="str">
        <f t="shared" si="250"/>
        <v>Saturada</v>
      </c>
      <c r="BE451" s="806">
        <f t="shared" si="251"/>
        <v>0.77675533925533935</v>
      </c>
      <c r="BF451" s="890">
        <f>IF(ISNUMBER('Base de datos Rutas'!CX449),'Base de datos Rutas'!CX449/100,"")</f>
        <v>0.41212620281273132</v>
      </c>
      <c r="BG451" s="891">
        <f>IF(ISNUMBER('Base de datos Rutas'!CZ449),'Base de datos Rutas'!CZ449/100,"")</f>
        <v>0.41876387860843811</v>
      </c>
      <c r="BH451" s="892">
        <f>IF(ISNUMBER('Base de datos Rutas'!DA449),'Base de datos Rutas'!DA449,"")</f>
        <v>215.05980657626009</v>
      </c>
      <c r="BI451" s="893">
        <f>IF(ISNUMBER('Base de datos Rutas'!DC449),'Base de datos Rutas'!DC449,"")</f>
        <v>9.2798890414660651</v>
      </c>
      <c r="BJ451" s="805" t="str">
        <f t="shared" si="252"/>
        <v>Ruta (completo)</v>
      </c>
      <c r="BK451" s="783">
        <f t="shared" si="240"/>
        <v>1</v>
      </c>
      <c r="BL451" s="797">
        <f t="shared" si="241"/>
        <v>1</v>
      </c>
      <c r="BM451" s="797">
        <f t="shared" si="242"/>
        <v>1</v>
      </c>
      <c r="BN451" s="797">
        <f t="shared" si="243"/>
        <v>1</v>
      </c>
      <c r="BO451" s="798" cm="1">
        <f t="array" ref="BO451">SUMPRODUCT(--ISNUMBER($BF451:$BI451),$BK$3:$BN$3)</f>
        <v>1</v>
      </c>
      <c r="BP451" s="831">
        <f t="shared" si="253"/>
        <v>0</v>
      </c>
      <c r="BQ451" s="834" t="str">
        <f t="shared" si="254"/>
        <v>Bajo</v>
      </c>
      <c r="BR451" s="836">
        <f t="shared" si="244"/>
        <v>62.865289268266352</v>
      </c>
      <c r="BS451" s="836">
        <f t="shared" si="245"/>
        <v>0</v>
      </c>
      <c r="BT451" s="837" t="str">
        <f t="shared" si="246"/>
        <v>P2</v>
      </c>
      <c r="BU451" s="807" t="str">
        <f t="shared" si="255"/>
        <v>Al tope</v>
      </c>
      <c r="BV451" s="807" t="str">
        <f t="shared" si="247"/>
        <v>Zona de bajo potencial</v>
      </c>
      <c r="BW451" s="808" t="str">
        <f t="shared" si="248"/>
        <v>P2 - Mantener</v>
      </c>
    </row>
    <row r="452" spans="1:75">
      <c r="A452" s="780" t="str">
        <f>'Base de datos Rutas'!A450</f>
        <v>Occidente</v>
      </c>
      <c r="B452" s="781" t="str">
        <f>'Base de datos Rutas'!B450</f>
        <v>Zapopan</v>
      </c>
      <c r="C452" s="781" t="str">
        <f>'Base de datos Rutas'!C450</f>
        <v>Suc. Belenes</v>
      </c>
      <c r="D452" s="782">
        <f>IF(ISNUMBER('Base de datos Rutas'!D450),'Base de datos Rutas'!D450,"Sin código")</f>
        <v>820368</v>
      </c>
      <c r="E452" s="783" t="str">
        <f>'Base de datos Rutas'!F450</f>
        <v>Activa</v>
      </c>
      <c r="F452" s="784" t="str">
        <f>'Base de datos Rutas'!H450</f>
        <v>Sí</v>
      </c>
      <c r="G452" s="785">
        <f>IF(ISNUMBER('Base de datos Rutas'!BE450),'Base de datos Rutas'!BE450,"")</f>
        <v>100.367816091954</v>
      </c>
      <c r="H452" s="786">
        <f>IF(ISNUMBER('Base de datos Rutas'!BH450),'Base de datos Rutas'!BH450,"")</f>
        <v>0.53124141090242805</v>
      </c>
      <c r="I452" s="788">
        <f>IFERROR(IF(OR(NOT(ISNUMBER('Base de datos Rutas'!O450)),N('Base de datos Rutas'!BK450)=0),"",'Base de datos Rutas'!O450/('Base de datos Rutas'!L450/'Base de datos Rutas'!BK450)),"")</f>
        <v>4006.119540229884</v>
      </c>
      <c r="J452" s="788">
        <f>IFERROR(IF(OR(NOT(ISNUMBER('Base de datos Rutas'!N450)),N('Base de datos Rutas'!BK450)=0),"",'Base de datos Rutas'!N450/('Base de datos Rutas'!L450/'Base de datos Rutas'!BK450)),"")</f>
        <v>8124.9402298850555</v>
      </c>
      <c r="K452" s="788">
        <f>IFERROR(IF(OR(NOT(ISNUMBER('Base de datos Rutas'!J450)),N('Base de datos Rutas'!BK450)=0),"",'Base de datos Rutas'!J450/('Base de datos Rutas'!L450/'Base de datos Rutas'!BK450)),"")</f>
        <v>558.62025011494006</v>
      </c>
      <c r="L452" s="788">
        <f>IFERROR(IF(OR(NOT(ISNUMBER('Base de datos Rutas'!K450)),N('Base de datos Rutas'!BK450)=0),"",'Base de datos Rutas'!K450/('Base de datos Rutas'!L450/'Base de datos Rutas'!BK450)),"")</f>
        <v>29.029772124137924</v>
      </c>
      <c r="M452" s="787">
        <f>IF(ISNUMBER('Base de datos Rutas'!AX450),'Base de datos Rutas'!AX450,"")</f>
        <v>227.516149435199</v>
      </c>
      <c r="N452" s="790">
        <f>IFERROR(INDEX('Hoja de apoyo v2'!B$17:B$20,MATCH($A452,'Hoja de apoyo v2'!$A$17:$A$20,0)),"")</f>
        <v>89.41621024641401</v>
      </c>
      <c r="O452" s="791">
        <f>IFERROR(INDEX('Hoja de apoyo v2'!C$17:C$20,MATCH($A452,'Hoja de apoyo v2'!$A$17:$A$20,0)),"")</f>
        <v>0.54706375874806301</v>
      </c>
      <c r="P452" s="793">
        <f>IFERROR(INDEX('Hoja de apoyo v2'!D$17:D$20,MATCH($A452,'Hoja de apoyo v2'!$A$17:$A$20,0)),"")</f>
        <v>11095.153935793827</v>
      </c>
      <c r="Q452" s="793">
        <f>IFERROR(INDEX('Hoja de apoyo v2'!E$17:E$20,MATCH($A452,'Hoja de apoyo v2'!$A$17:$A$20,0)),"")</f>
        <v>6982.3202019701848</v>
      </c>
      <c r="R452" s="793">
        <f>IFERROR(INDEX('Hoja de apoyo v2'!F$17:F$20,MATCH($A452,'Hoja de apoyo v2'!$A$17:$A$20,0)),"")</f>
        <v>448.09513474485743</v>
      </c>
      <c r="S452" s="793">
        <f>IFERROR(INDEX('Hoja de apoyo v2'!G$17:G$20,MATCH($A452,'Hoja de apoyo v2'!$A$17:$A$20,0)),"")</f>
        <v>83.406300904207839</v>
      </c>
      <c r="T452" s="792">
        <f>IFERROR(INDEX('Hoja de apoyo v2'!H$17:H$20,MATCH($A452,'Hoja de apoyo v2'!$A$17:$A$20,0)),"")</f>
        <v>378.97014028925349</v>
      </c>
      <c r="U452" s="794">
        <f t="shared" si="220"/>
        <v>1.122478975740075</v>
      </c>
      <c r="V452" s="795">
        <f t="shared" si="221"/>
        <v>0.97107768958805851</v>
      </c>
      <c r="W452" s="795">
        <f t="shared" si="222"/>
        <v>0.36106930678138965</v>
      </c>
      <c r="X452" s="843">
        <f t="shared" si="223"/>
        <v>1.1636447477147296</v>
      </c>
      <c r="Y452" s="843">
        <f t="shared" si="224"/>
        <v>1.2466554684487146</v>
      </c>
      <c r="Z452" s="843">
        <f t="shared" si="225"/>
        <v>0.34805250693803846</v>
      </c>
      <c r="AA452" s="843">
        <f t="shared" si="226"/>
        <v>0.6003537620709235</v>
      </c>
      <c r="AB452" s="796">
        <f t="shared" si="227"/>
        <v>4</v>
      </c>
      <c r="AC452" s="797">
        <f t="shared" si="228"/>
        <v>3</v>
      </c>
      <c r="AD452" s="797">
        <f t="shared" si="229"/>
        <v>1</v>
      </c>
      <c r="AE452" s="842">
        <f t="shared" si="230"/>
        <v>4</v>
      </c>
      <c r="AF452" s="842">
        <f t="shared" si="231"/>
        <v>4</v>
      </c>
      <c r="AG452" s="842">
        <f t="shared" si="232"/>
        <v>1</v>
      </c>
      <c r="AH452" s="842">
        <f t="shared" si="233"/>
        <v>2</v>
      </c>
      <c r="AI452" s="826" cm="1">
        <f t="array" ref="AI452">SUMPRODUCT(--ISNUMBER($U452:$AA452),$AB$3:$AH$3)</f>
        <v>1</v>
      </c>
      <c r="AJ452" s="829">
        <f t="shared" si="234"/>
        <v>39.617924021293227</v>
      </c>
      <c r="AK452" s="827" t="str">
        <f t="shared" si="235"/>
        <v>Inmadura</v>
      </c>
      <c r="AL452" s="784" t="str">
        <f t="shared" si="236"/>
        <v>Alta</v>
      </c>
      <c r="AM452" s="799">
        <f>IF(ISNUMBER('Base de datos Rutas'!W450),'Base de datos Rutas'!W450,"")</f>
        <v>3116.1708958203221</v>
      </c>
      <c r="AN452" s="787">
        <f>IFERROR(SUMIFS('Base de datos Rutas'!$W$6:$W$794,'Base de datos Rutas'!$C$6:$C$794,$C452)/'Base de datos Rutas'!I450,"")</f>
        <v>3116.1708958203185</v>
      </c>
      <c r="AO452" s="800">
        <f>IFERROR('Base de datos Rutas'!X450*AN452/AM452,"")</f>
        <v>0.37418782761251823</v>
      </c>
      <c r="AP452" s="800">
        <f t="shared" si="237"/>
        <v>0.62581217238748177</v>
      </c>
      <c r="AQ452" s="789">
        <f>IFERROR(INDEX('Hoja de apoyo v2'!$J$17:$J$20,MATCH($A452,'Hoja de apoyo v2'!$A$17:$A$20,0)),"")</f>
        <v>0.64320274048480885</v>
      </c>
      <c r="AR452" s="789">
        <f t="shared" si="238"/>
        <v>-1.7390568097327086E-2</v>
      </c>
      <c r="AS452" s="784" t="str">
        <f t="shared" si="239"/>
        <v>No</v>
      </c>
      <c r="AT452" s="801">
        <f>IF(ISNUMBER('Base de datos Rutas'!CK450),'Base de datos Rutas'!CK450,"")</f>
        <v>438</v>
      </c>
      <c r="AU452" s="802">
        <f>IF(ISNUMBER('Base de datos Rutas'!CL450),'Base de datos Rutas'!CL450,"")</f>
        <v>514.99</v>
      </c>
      <c r="AV452" s="802">
        <f>IF(ISNUMBER('Base de datos Rutas'!CM450),'Base de datos Rutas'!CM450,"")</f>
        <v>76.990000000000009</v>
      </c>
      <c r="AW452" s="802">
        <f>IF(ISNUMBER('Base de datos Rutas'!CN450),'Base de datos Rutas'!CN450,"")</f>
        <v>11.14</v>
      </c>
      <c r="AX452" s="802">
        <f>IF(ISNUMBER('Base de datos Rutas'!CO450),'Base de datos Rutas'!CO450,"")</f>
        <v>9.4499999999999993</v>
      </c>
      <c r="AY452" s="802">
        <f>IF(ISNUMBER('Base de datos Rutas'!CP450),'Base de datos Rutas'!CP450,"")</f>
        <v>-1.6900000000000013</v>
      </c>
      <c r="AZ452" s="802">
        <f>IF(ISNUMBER('Base de datos Rutas'!CQ450),'Base de datos Rutas'!CQ450,"")</f>
        <v>846.56</v>
      </c>
      <c r="BA452" s="802">
        <f>IF(ISNUMBER('Base de datos Rutas'!CR450),'Base de datos Rutas'!CR450,"")</f>
        <v>587.65</v>
      </c>
      <c r="BB452" s="803">
        <f>IF(ISNUMBER('Base de datos Rutas'!CS450),'Base de datos Rutas'!CS450,"")</f>
        <v>258.90999999999997</v>
      </c>
      <c r="BC452" s="804">
        <f t="shared" si="249"/>
        <v>1</v>
      </c>
      <c r="BD452" s="805" t="str">
        <f t="shared" si="250"/>
        <v>Saturada</v>
      </c>
      <c r="BE452" s="806">
        <f t="shared" si="251"/>
        <v>0.69416225666225673</v>
      </c>
      <c r="BF452" s="890">
        <f>IF(ISNUMBER('Base de datos Rutas'!CX450),'Base de datos Rutas'!CX450/100,"")</f>
        <v>0.27522752253242472</v>
      </c>
      <c r="BG452" s="891">
        <f>IF(ISNUMBER('Base de datos Rutas'!CZ450),'Base de datos Rutas'!CZ450/100,"")</f>
        <v>0.29215212134535062</v>
      </c>
      <c r="BH452" s="892">
        <f>IF(ISNUMBER('Base de datos Rutas'!DA450),'Base de datos Rutas'!DA450,"")</f>
        <v>209.53097823384832</v>
      </c>
      <c r="BI452" s="893">
        <f>IF(ISNUMBER('Base de datos Rutas'!DC450),'Base de datos Rutas'!DC450,"")</f>
        <v>10.456099126889596</v>
      </c>
      <c r="BJ452" s="805" t="str">
        <f t="shared" si="252"/>
        <v>Ruta (completo)</v>
      </c>
      <c r="BK452" s="783">
        <f t="shared" si="240"/>
        <v>1</v>
      </c>
      <c r="BL452" s="797">
        <f t="shared" si="241"/>
        <v>1</v>
      </c>
      <c r="BM452" s="797">
        <f t="shared" si="242"/>
        <v>1</v>
      </c>
      <c r="BN452" s="797">
        <f t="shared" si="243"/>
        <v>1</v>
      </c>
      <c r="BO452" s="798" cm="1">
        <f t="array" ref="BO452">SUMPRODUCT(--ISNUMBER($BF452:$BI452),$BK$3:$BN$3)</f>
        <v>1</v>
      </c>
      <c r="BP452" s="831">
        <f t="shared" si="253"/>
        <v>0</v>
      </c>
      <c r="BQ452" s="834" t="str">
        <f t="shared" si="254"/>
        <v>Bajo</v>
      </c>
      <c r="BR452" s="836">
        <f t="shared" si="244"/>
        <v>54.713443015969922</v>
      </c>
      <c r="BS452" s="836">
        <f t="shared" si="245"/>
        <v>0</v>
      </c>
      <c r="BT452" s="837" t="str">
        <f t="shared" si="246"/>
        <v>P2</v>
      </c>
      <c r="BU452" s="807" t="str">
        <f t="shared" si="255"/>
        <v>Al tope</v>
      </c>
      <c r="BV452" s="807" t="str">
        <f t="shared" si="247"/>
        <v>Zona de bajo potencial</v>
      </c>
      <c r="BW452" s="808" t="str">
        <f t="shared" si="248"/>
        <v>P2 - Mantener</v>
      </c>
    </row>
    <row r="453" spans="1:75">
      <c r="A453" s="780" t="str">
        <f>'Base de datos Rutas'!A451</f>
        <v>Occidente</v>
      </c>
      <c r="B453" s="781" t="str">
        <f>'Base de datos Rutas'!B451</f>
        <v>Zapopan</v>
      </c>
      <c r="C453" s="781" t="str">
        <f>'Base de datos Rutas'!C451</f>
        <v>Suc. Belenes</v>
      </c>
      <c r="D453" s="782">
        <f>IF(ISNUMBER('Base de datos Rutas'!D451),'Base de datos Rutas'!D451,"Sin código")</f>
        <v>820369</v>
      </c>
      <c r="E453" s="783" t="str">
        <f>'Base de datos Rutas'!F451</f>
        <v>Activa</v>
      </c>
      <c r="F453" s="784" t="str">
        <f>'Base de datos Rutas'!H451</f>
        <v>Sí</v>
      </c>
      <c r="G453" s="785">
        <f>IF(ISNUMBER('Base de datos Rutas'!BE451),'Base de datos Rutas'!BE451,"")</f>
        <v>145.894252873563</v>
      </c>
      <c r="H453" s="786">
        <f>IF(ISNUMBER('Base de datos Rutas'!BH451),'Base de datos Rutas'!BH451,"")</f>
        <v>0.48370729862599299</v>
      </c>
      <c r="I453" s="788">
        <f>IFERROR(IF(OR(NOT(ISNUMBER('Base de datos Rutas'!O451)),N('Base de datos Rutas'!BK451)=0),"",'Base de datos Rutas'!O451/('Base de datos Rutas'!L451/'Base de datos Rutas'!BK451)),"")</f>
        <v>8054.5977011494197</v>
      </c>
      <c r="J453" s="788">
        <f>IFERROR(IF(OR(NOT(ISNUMBER('Base de datos Rutas'!N451)),N('Base de datos Rutas'!BK451)=0),"",'Base de datos Rutas'!N451/('Base de datos Rutas'!L451/'Base de datos Rutas'!BK451)),"")</f>
        <v>11426.379310344821</v>
      </c>
      <c r="K453" s="788">
        <f>IFERROR(IF(OR(NOT(ISNUMBER('Base de datos Rutas'!J451)),N('Base de datos Rutas'!BK451)=0),"",'Base de datos Rutas'!J451/('Base de datos Rutas'!L451/'Base de datos Rutas'!BK451)),"")</f>
        <v>783.19551816091212</v>
      </c>
      <c r="L453" s="788">
        <f>IFERROR(IF(OR(NOT(ISNUMBER('Base de datos Rutas'!K451)),N('Base de datos Rutas'!BK451)=0),"",'Base de datos Rutas'!K451/('Base de datos Rutas'!L451/'Base de datos Rutas'!BK451)),"")</f>
        <v>52.002704262068931</v>
      </c>
      <c r="M453" s="787">
        <f>IF(ISNUMBER('Base de datos Rutas'!AX451),'Base de datos Rutas'!AX451,"")</f>
        <v>276.05143950745997</v>
      </c>
      <c r="N453" s="790">
        <f>IFERROR(INDEX('Hoja de apoyo v2'!B$17:B$20,MATCH($A453,'Hoja de apoyo v2'!$A$17:$A$20,0)),"")</f>
        <v>89.41621024641401</v>
      </c>
      <c r="O453" s="791">
        <f>IFERROR(INDEX('Hoja de apoyo v2'!C$17:C$20,MATCH($A453,'Hoja de apoyo v2'!$A$17:$A$20,0)),"")</f>
        <v>0.54706375874806301</v>
      </c>
      <c r="P453" s="793">
        <f>IFERROR(INDEX('Hoja de apoyo v2'!D$17:D$20,MATCH($A453,'Hoja de apoyo v2'!$A$17:$A$20,0)),"")</f>
        <v>11095.153935793827</v>
      </c>
      <c r="Q453" s="793">
        <f>IFERROR(INDEX('Hoja de apoyo v2'!E$17:E$20,MATCH($A453,'Hoja de apoyo v2'!$A$17:$A$20,0)),"")</f>
        <v>6982.3202019701848</v>
      </c>
      <c r="R453" s="793">
        <f>IFERROR(INDEX('Hoja de apoyo v2'!F$17:F$20,MATCH($A453,'Hoja de apoyo v2'!$A$17:$A$20,0)),"")</f>
        <v>448.09513474485743</v>
      </c>
      <c r="S453" s="793">
        <f>IFERROR(INDEX('Hoja de apoyo v2'!G$17:G$20,MATCH($A453,'Hoja de apoyo v2'!$A$17:$A$20,0)),"")</f>
        <v>83.406300904207839</v>
      </c>
      <c r="T453" s="792">
        <f>IFERROR(INDEX('Hoja de apoyo v2'!H$17:H$20,MATCH($A453,'Hoja de apoyo v2'!$A$17:$A$20,0)),"")</f>
        <v>378.97014028925349</v>
      </c>
      <c r="U453" s="794">
        <f t="shared" si="220"/>
        <v>1.6316309142548793</v>
      </c>
      <c r="V453" s="795">
        <f t="shared" si="221"/>
        <v>0.88418816068704831</v>
      </c>
      <c r="W453" s="795">
        <f t="shared" si="222"/>
        <v>0.72595637228291743</v>
      </c>
      <c r="X453" s="843">
        <f t="shared" si="223"/>
        <v>1.6364731177926595</v>
      </c>
      <c r="Y453" s="843">
        <f t="shared" si="224"/>
        <v>1.7478331216581022</v>
      </c>
      <c r="Z453" s="843">
        <f t="shared" si="225"/>
        <v>0.62348651958314338</v>
      </c>
      <c r="AA453" s="843">
        <f t="shared" si="226"/>
        <v>0.72842530363146929</v>
      </c>
      <c r="AB453" s="796">
        <f t="shared" si="227"/>
        <v>5</v>
      </c>
      <c r="AC453" s="797">
        <f t="shared" si="228"/>
        <v>3</v>
      </c>
      <c r="AD453" s="797">
        <f t="shared" si="229"/>
        <v>2</v>
      </c>
      <c r="AE453" s="842">
        <f t="shared" si="230"/>
        <v>5</v>
      </c>
      <c r="AF453" s="842">
        <f t="shared" si="231"/>
        <v>5</v>
      </c>
      <c r="AG453" s="842">
        <f t="shared" si="232"/>
        <v>2</v>
      </c>
      <c r="AH453" s="842">
        <f t="shared" si="233"/>
        <v>2</v>
      </c>
      <c r="AI453" s="826" cm="1">
        <f t="array" ref="AI453">SUMPRODUCT(--ISNUMBER($U453:$AA453),$AB$3:$AH$3)</f>
        <v>1</v>
      </c>
      <c r="AJ453" s="829">
        <f t="shared" si="234"/>
        <v>59.990290595076189</v>
      </c>
      <c r="AK453" s="827" t="str">
        <f t="shared" si="235"/>
        <v>En desarrollo</v>
      </c>
      <c r="AL453" s="784" t="str">
        <f t="shared" si="236"/>
        <v>Alta</v>
      </c>
      <c r="AM453" s="799">
        <f>IF(ISNUMBER('Base de datos Rutas'!W451),'Base de datos Rutas'!W451,"")</f>
        <v>3116.1708958203221</v>
      </c>
      <c r="AN453" s="787">
        <f>IFERROR(SUMIFS('Base de datos Rutas'!$W$6:$W$794,'Base de datos Rutas'!$C$6:$C$794,$C453)/'Base de datos Rutas'!I451,"")</f>
        <v>3116.1708958203185</v>
      </c>
      <c r="AO453" s="800">
        <f>IFERROR('Base de datos Rutas'!X451*AN453/AM453,"")</f>
        <v>0.37418782761251823</v>
      </c>
      <c r="AP453" s="800">
        <f t="shared" si="237"/>
        <v>0.62581217238748177</v>
      </c>
      <c r="AQ453" s="789">
        <f>IFERROR(INDEX('Hoja de apoyo v2'!$J$17:$J$20,MATCH($A453,'Hoja de apoyo v2'!$A$17:$A$20,0)),"")</f>
        <v>0.64320274048480885</v>
      </c>
      <c r="AR453" s="789">
        <f t="shared" si="238"/>
        <v>-1.7390568097327086E-2</v>
      </c>
      <c r="AS453" s="784" t="str">
        <f t="shared" si="239"/>
        <v>No</v>
      </c>
      <c r="AT453" s="801">
        <f>IF(ISNUMBER('Base de datos Rutas'!CK451),'Base de datos Rutas'!CK451,"")</f>
        <v>518</v>
      </c>
      <c r="AU453" s="802">
        <f>IF(ISNUMBER('Base de datos Rutas'!CL451),'Base de datos Rutas'!CL451,"")</f>
        <v>588.87</v>
      </c>
      <c r="AV453" s="802">
        <f>IF(ISNUMBER('Base de datos Rutas'!CM451),'Base de datos Rutas'!CM451,"")</f>
        <v>70.87</v>
      </c>
      <c r="AW453" s="802">
        <f>IF(ISNUMBER('Base de datos Rutas'!CN451),'Base de datos Rutas'!CN451,"")</f>
        <v>12.36</v>
      </c>
      <c r="AX453" s="802">
        <f>IF(ISNUMBER('Base de datos Rutas'!CO451),'Base de datos Rutas'!CO451,"")</f>
        <v>9.4499999999999993</v>
      </c>
      <c r="AY453" s="802">
        <f>IF(ISNUMBER('Base de datos Rutas'!CP451),'Base de datos Rutas'!CP451,"")</f>
        <v>-2.91</v>
      </c>
      <c r="AZ453" s="802">
        <f>IF(ISNUMBER('Base de datos Rutas'!CQ451),'Base de datos Rutas'!CQ451,"")</f>
        <v>846.56</v>
      </c>
      <c r="BA453" s="802">
        <f>IF(ISNUMBER('Base de datos Rutas'!CR451),'Base de datos Rutas'!CR451,"")</f>
        <v>835.2</v>
      </c>
      <c r="BB453" s="803">
        <f>IF(ISNUMBER('Base de datos Rutas'!CS451),'Base de datos Rutas'!CS451,"")</f>
        <v>11.3599999999999</v>
      </c>
      <c r="BC453" s="804">
        <f t="shared" si="249"/>
        <v>1</v>
      </c>
      <c r="BD453" s="805" t="str">
        <f t="shared" si="250"/>
        <v>Saturada</v>
      </c>
      <c r="BE453" s="806">
        <f t="shared" si="251"/>
        <v>0.9865809865809867</v>
      </c>
      <c r="BF453" s="890">
        <f>IF(ISNUMBER('Base de datos Rutas'!CX451),'Base de datos Rutas'!CX451/100,"")</f>
        <v>0.92655370177267993</v>
      </c>
      <c r="BG453" s="891">
        <f>IF(ISNUMBER('Base de datos Rutas'!CZ451),'Base de datos Rutas'!CZ451/100,"")</f>
        <v>0.96350364963503654</v>
      </c>
      <c r="BH453" s="892">
        <f>IF(ISNUMBER('Base de datos Rutas'!DA451),'Base de datos Rutas'!DA451,"")</f>
        <v>353.55283653531905</v>
      </c>
      <c r="BI453" s="893">
        <f>IF(ISNUMBER('Base de datos Rutas'!DC451),'Base de datos Rutas'!DC451,"")</f>
        <v>14.849975111495473</v>
      </c>
      <c r="BJ453" s="805" t="str">
        <f t="shared" si="252"/>
        <v>Ruta (completo)</v>
      </c>
      <c r="BK453" s="783">
        <f t="shared" si="240"/>
        <v>4</v>
      </c>
      <c r="BL453" s="797">
        <f t="shared" si="241"/>
        <v>3</v>
      </c>
      <c r="BM453" s="797">
        <f t="shared" si="242"/>
        <v>1</v>
      </c>
      <c r="BN453" s="797">
        <f t="shared" si="243"/>
        <v>1</v>
      </c>
      <c r="BO453" s="798" cm="1">
        <f t="array" ref="BO453">SUMPRODUCT(--ISNUMBER($BF453:$BI453),$BK$3:$BN$3)</f>
        <v>1</v>
      </c>
      <c r="BP453" s="831">
        <f t="shared" si="253"/>
        <v>31.25</v>
      </c>
      <c r="BQ453" s="834" t="str">
        <f t="shared" si="254"/>
        <v>Medio</v>
      </c>
      <c r="BR453" s="836">
        <f t="shared" si="244"/>
        <v>69.992717946307138</v>
      </c>
      <c r="BS453" s="836">
        <f t="shared" si="245"/>
        <v>31.25</v>
      </c>
      <c r="BT453" s="837" t="str">
        <f t="shared" si="246"/>
        <v>P2</v>
      </c>
      <c r="BU453" s="807" t="str">
        <f t="shared" si="255"/>
        <v>Al tope</v>
      </c>
      <c r="BV453" s="807" t="str">
        <f t="shared" si="247"/>
        <v>Zona de bajo potencial</v>
      </c>
      <c r="BW453" s="808" t="str">
        <f t="shared" si="248"/>
        <v>P2 - Mantener</v>
      </c>
    </row>
    <row r="454" spans="1:75">
      <c r="A454" s="780" t="str">
        <f>'Base de datos Rutas'!A452</f>
        <v>Occidente</v>
      </c>
      <c r="B454" s="781" t="str">
        <f>'Base de datos Rutas'!B452</f>
        <v>Zapopan</v>
      </c>
      <c r="C454" s="781" t="str">
        <f>'Base de datos Rutas'!C452</f>
        <v>Suc. Belenes</v>
      </c>
      <c r="D454" s="782">
        <f>IF(ISNUMBER('Base de datos Rutas'!D452),'Base de datos Rutas'!D452,"Sin código")</f>
        <v>820370</v>
      </c>
      <c r="E454" s="783" t="str">
        <f>'Base de datos Rutas'!F452</f>
        <v>Activa</v>
      </c>
      <c r="F454" s="784" t="str">
        <f>'Base de datos Rutas'!H452</f>
        <v>Sí</v>
      </c>
      <c r="G454" s="785">
        <f>IF(ISNUMBER('Base de datos Rutas'!BE452),'Base de datos Rutas'!BE452,"")</f>
        <v>85.383908045976995</v>
      </c>
      <c r="H454" s="786">
        <f>IF(ISNUMBER('Base de datos Rutas'!BH452),'Base de datos Rutas'!BH452,"")</f>
        <v>0.321442033277691</v>
      </c>
      <c r="I454" s="788">
        <f>IFERROR(IF(OR(NOT(ISNUMBER('Base de datos Rutas'!O452)),N('Base de datos Rutas'!BK452)=0),"",'Base de datos Rutas'!O452/('Base de datos Rutas'!L452/'Base de datos Rutas'!BK452)),"")</f>
        <v>3307.4160919540172</v>
      </c>
      <c r="J454" s="788">
        <f>IFERROR(IF(OR(NOT(ISNUMBER('Base de datos Rutas'!N452)),N('Base de datos Rutas'!BK452)=0),"",'Base de datos Rutas'!N452/('Base de datos Rutas'!L452/'Base de datos Rutas'!BK452)),"")</f>
        <v>5715.1885057471163</v>
      </c>
      <c r="K454" s="788">
        <f>IFERROR(IF(OR(NOT(ISNUMBER('Base de datos Rutas'!J452)),N('Base de datos Rutas'!BK452)=0),"",'Base de datos Rutas'!J452/('Base de datos Rutas'!L452/'Base de datos Rutas'!BK452)),"")</f>
        <v>391.01878988505683</v>
      </c>
      <c r="L454" s="788">
        <f>IFERROR(IF(OR(NOT(ISNUMBER('Base de datos Rutas'!K452)),N('Base de datos Rutas'!BK452)=0),"",'Base de datos Rutas'!K452/('Base de datos Rutas'!L452/'Base de datos Rutas'!BK452)),"")</f>
        <v>24.289631119540186</v>
      </c>
      <c r="M454" s="787">
        <f>IF(ISNUMBER('Base de datos Rutas'!AX452),'Base de datos Rutas'!AX452,"")</f>
        <v>328.74037189044299</v>
      </c>
      <c r="N454" s="790">
        <f>IFERROR(INDEX('Hoja de apoyo v2'!B$17:B$20,MATCH($A454,'Hoja de apoyo v2'!$A$17:$A$20,0)),"")</f>
        <v>89.41621024641401</v>
      </c>
      <c r="O454" s="791">
        <f>IFERROR(INDEX('Hoja de apoyo v2'!C$17:C$20,MATCH($A454,'Hoja de apoyo v2'!$A$17:$A$20,0)),"")</f>
        <v>0.54706375874806301</v>
      </c>
      <c r="P454" s="793">
        <f>IFERROR(INDEX('Hoja de apoyo v2'!D$17:D$20,MATCH($A454,'Hoja de apoyo v2'!$A$17:$A$20,0)),"")</f>
        <v>11095.153935793827</v>
      </c>
      <c r="Q454" s="793">
        <f>IFERROR(INDEX('Hoja de apoyo v2'!E$17:E$20,MATCH($A454,'Hoja de apoyo v2'!$A$17:$A$20,0)),"")</f>
        <v>6982.3202019701848</v>
      </c>
      <c r="R454" s="793">
        <f>IFERROR(INDEX('Hoja de apoyo v2'!F$17:F$20,MATCH($A454,'Hoja de apoyo v2'!$A$17:$A$20,0)),"")</f>
        <v>448.09513474485743</v>
      </c>
      <c r="S454" s="793">
        <f>IFERROR(INDEX('Hoja de apoyo v2'!G$17:G$20,MATCH($A454,'Hoja de apoyo v2'!$A$17:$A$20,0)),"")</f>
        <v>83.406300904207839</v>
      </c>
      <c r="T454" s="792">
        <f>IFERROR(INDEX('Hoja de apoyo v2'!H$17:H$20,MATCH($A454,'Hoja de apoyo v2'!$A$17:$A$20,0)),"")</f>
        <v>378.97014028925349</v>
      </c>
      <c r="U454" s="794">
        <f t="shared" si="220"/>
        <v>0.95490412544520997</v>
      </c>
      <c r="V454" s="795">
        <f t="shared" si="221"/>
        <v>0.5875769106206199</v>
      </c>
      <c r="W454" s="795">
        <f t="shared" si="222"/>
        <v>0.29809555695158374</v>
      </c>
      <c r="X454" s="843">
        <f t="shared" si="223"/>
        <v>0.81852283201427445</v>
      </c>
      <c r="Y454" s="843">
        <f t="shared" si="224"/>
        <v>0.87262449325119429</v>
      </c>
      <c r="Z454" s="843">
        <f t="shared" si="225"/>
        <v>0.29122057753690378</v>
      </c>
      <c r="AA454" s="843">
        <f t="shared" si="226"/>
        <v>0.86745718710061948</v>
      </c>
      <c r="AB454" s="796">
        <f t="shared" si="227"/>
        <v>3</v>
      </c>
      <c r="AC454" s="797">
        <f t="shared" si="228"/>
        <v>2</v>
      </c>
      <c r="AD454" s="797">
        <f t="shared" si="229"/>
        <v>1</v>
      </c>
      <c r="AE454" s="842">
        <f t="shared" si="230"/>
        <v>3</v>
      </c>
      <c r="AF454" s="842">
        <f t="shared" si="231"/>
        <v>3</v>
      </c>
      <c r="AG454" s="842">
        <f t="shared" si="232"/>
        <v>1</v>
      </c>
      <c r="AH454" s="842">
        <f t="shared" si="233"/>
        <v>3</v>
      </c>
      <c r="AI454" s="826" cm="1">
        <f t="array" ref="AI454">SUMPRODUCT(--ISNUMBER($U454:$AA454),$AB$3:$AH$3)</f>
        <v>1</v>
      </c>
      <c r="AJ454" s="829">
        <f t="shared" si="234"/>
        <v>28.610617939334084</v>
      </c>
      <c r="AK454" s="827" t="str">
        <f t="shared" si="235"/>
        <v>Inmadura</v>
      </c>
      <c r="AL454" s="784" t="str">
        <f t="shared" si="236"/>
        <v>Alta</v>
      </c>
      <c r="AM454" s="799">
        <f>IF(ISNUMBER('Base de datos Rutas'!W452),'Base de datos Rutas'!W452,"")</f>
        <v>3116.1708958203221</v>
      </c>
      <c r="AN454" s="787">
        <f>IFERROR(SUMIFS('Base de datos Rutas'!$W$6:$W$794,'Base de datos Rutas'!$C$6:$C$794,$C454)/'Base de datos Rutas'!I452,"")</f>
        <v>3116.1708958203185</v>
      </c>
      <c r="AO454" s="800">
        <f>IFERROR('Base de datos Rutas'!X452*AN454/AM454,"")</f>
        <v>0.37418782761251823</v>
      </c>
      <c r="AP454" s="800">
        <f t="shared" si="237"/>
        <v>0.62581217238748177</v>
      </c>
      <c r="AQ454" s="789">
        <f>IFERROR(INDEX('Hoja de apoyo v2'!$J$17:$J$20,MATCH($A454,'Hoja de apoyo v2'!$A$17:$A$20,0)),"")</f>
        <v>0.64320274048480885</v>
      </c>
      <c r="AR454" s="789">
        <f t="shared" si="238"/>
        <v>-1.7390568097327086E-2</v>
      </c>
      <c r="AS454" s="784" t="str">
        <f t="shared" si="239"/>
        <v>No</v>
      </c>
      <c r="AT454" s="801">
        <f>IF(ISNUMBER('Base de datos Rutas'!CK452),'Base de datos Rutas'!CK452,"")</f>
        <v>469</v>
      </c>
      <c r="AU454" s="802">
        <f>IF(ISNUMBER('Base de datos Rutas'!CL452),'Base de datos Rutas'!CL452,"")</f>
        <v>919.81</v>
      </c>
      <c r="AV454" s="802">
        <f>IF(ISNUMBER('Base de datos Rutas'!CM452),'Base de datos Rutas'!CM452,"")</f>
        <v>450.80999999999995</v>
      </c>
      <c r="AW454" s="802">
        <f>IF(ISNUMBER('Base de datos Rutas'!CN452),'Base de datos Rutas'!CN452,"")</f>
        <v>8.77</v>
      </c>
      <c r="AX454" s="802">
        <f>IF(ISNUMBER('Base de datos Rutas'!CO452),'Base de datos Rutas'!CO452,"")</f>
        <v>9.4499999999999993</v>
      </c>
      <c r="AY454" s="802">
        <f>IF(ISNUMBER('Base de datos Rutas'!CP452),'Base de datos Rutas'!CP452,"")</f>
        <v>0.67999999999999972</v>
      </c>
      <c r="AZ454" s="802">
        <f>IF(ISNUMBER('Base de datos Rutas'!CQ452),'Base de datos Rutas'!CQ452,"")</f>
        <v>846.56</v>
      </c>
      <c r="BA454" s="802">
        <f>IF(ISNUMBER('Base de datos Rutas'!CR452),'Base de datos Rutas'!CR452,"")</f>
        <v>415.31</v>
      </c>
      <c r="BB454" s="803">
        <f>IF(ISNUMBER('Base de datos Rutas'!CS452),'Base de datos Rutas'!CS452,"")</f>
        <v>431.24999999999994</v>
      </c>
      <c r="BC454" s="804">
        <f t="shared" si="249"/>
        <v>0</v>
      </c>
      <c r="BD454" s="805" t="str">
        <f t="shared" si="250"/>
        <v>No saturada</v>
      </c>
      <c r="BE454" s="806">
        <f t="shared" si="251"/>
        <v>0.4905854280854281</v>
      </c>
      <c r="BF454" s="890">
        <f>IF(ISNUMBER('Base de datos Rutas'!CX452),'Base de datos Rutas'!CX452/100,"")</f>
        <v>0.10217685783010508</v>
      </c>
      <c r="BG454" s="891">
        <f>IF(ISNUMBER('Base de datos Rutas'!CZ452),'Base de datos Rutas'!CZ452/100,"")</f>
        <v>0.13071274844917077</v>
      </c>
      <c r="BH454" s="892">
        <f>IF(ISNUMBER('Base de datos Rutas'!DA452),'Base de datos Rutas'!DA452,"")</f>
        <v>247.91940886748014</v>
      </c>
      <c r="BI454" s="893">
        <f>IF(ISNUMBER('Base de datos Rutas'!DC452),'Base de datos Rutas'!DC452,"")</f>
        <v>11.809503588262771</v>
      </c>
      <c r="BJ454" s="805" t="str">
        <f t="shared" si="252"/>
        <v>Ruta (completo)</v>
      </c>
      <c r="BK454" s="783">
        <f t="shared" si="240"/>
        <v>1</v>
      </c>
      <c r="BL454" s="797">
        <f t="shared" si="241"/>
        <v>1</v>
      </c>
      <c r="BM454" s="797">
        <f t="shared" si="242"/>
        <v>1</v>
      </c>
      <c r="BN454" s="797">
        <f t="shared" si="243"/>
        <v>1</v>
      </c>
      <c r="BO454" s="798" cm="1">
        <f t="array" ref="BO454">SUMPRODUCT(--ISNUMBER($BF454:$BI454),$BK$3:$BN$3)</f>
        <v>1</v>
      </c>
      <c r="BP454" s="831">
        <f t="shared" si="253"/>
        <v>0</v>
      </c>
      <c r="BQ454" s="834" t="str">
        <f t="shared" si="254"/>
        <v>Bajo</v>
      </c>
      <c r="BR454" s="836">
        <f t="shared" si="244"/>
        <v>21.457963454500565</v>
      </c>
      <c r="BS454" s="836">
        <f t="shared" si="245"/>
        <v>0</v>
      </c>
      <c r="BT454" s="837" t="str">
        <f t="shared" si="246"/>
        <v>P4</v>
      </c>
      <c r="BU454" s="807" t="str">
        <f t="shared" si="255"/>
        <v>Con espacio</v>
      </c>
      <c r="BV454" s="807" t="str">
        <f t="shared" si="247"/>
        <v>Zona de bajo potencial</v>
      </c>
      <c r="BW454" s="808" t="str">
        <f t="shared" si="248"/>
        <v>P4 - Evaluar</v>
      </c>
    </row>
    <row r="455" spans="1:75">
      <c r="A455" s="780" t="str">
        <f>'Base de datos Rutas'!A453</f>
        <v>Occidente</v>
      </c>
      <c r="B455" s="781" t="str">
        <f>'Base de datos Rutas'!B453</f>
        <v>Zapopan</v>
      </c>
      <c r="C455" s="781" t="str">
        <f>'Base de datos Rutas'!C453</f>
        <v>Suc. Belenes</v>
      </c>
      <c r="D455" s="782">
        <f>IF(ISNUMBER('Base de datos Rutas'!D453),'Base de datos Rutas'!D453,"Sin código")</f>
        <v>820371</v>
      </c>
      <c r="E455" s="783" t="str">
        <f>'Base de datos Rutas'!F453</f>
        <v>Activa</v>
      </c>
      <c r="F455" s="784" t="str">
        <f>'Base de datos Rutas'!H453</f>
        <v>Sí</v>
      </c>
      <c r="G455" s="785">
        <f>IF(ISNUMBER('Base de datos Rutas'!BE453),'Base de datos Rutas'!BE453,"")</f>
        <v>129.44724770642199</v>
      </c>
      <c r="H455" s="786">
        <f>IF(ISNUMBER('Base de datos Rutas'!BH453),'Base de datos Rutas'!BH453,"")</f>
        <v>0.41831003384184701</v>
      </c>
      <c r="I455" s="788">
        <f>IFERROR(IF(OR(NOT(ISNUMBER('Base de datos Rutas'!O453)),N('Base de datos Rutas'!BK453)=0),"",'Base de datos Rutas'!O453/('Base de datos Rutas'!L453/'Base de datos Rutas'!BK453)),"")</f>
        <v>3418.346330275228</v>
      </c>
      <c r="J455" s="788">
        <f>IFERROR(IF(OR(NOT(ISNUMBER('Base de datos Rutas'!N453)),N('Base de datos Rutas'!BK453)=0),"",'Base de datos Rutas'!N453/('Base de datos Rutas'!L453/'Base de datos Rutas'!BK453)),"")</f>
        <v>7554.9403669724743</v>
      </c>
      <c r="K455" s="788">
        <f>IFERROR(IF(OR(NOT(ISNUMBER('Base de datos Rutas'!J453)),N('Base de datos Rutas'!BK453)=0),"",'Base de datos Rutas'!J453/('Base de datos Rutas'!L453/'Base de datos Rutas'!BK453)),"")</f>
        <v>519.52976330274987</v>
      </c>
      <c r="L455" s="788">
        <f>IFERROR(IF(OR(NOT(ISNUMBER('Base de datos Rutas'!K453)),N('Base de datos Rutas'!BK453)=0),"",'Base de datos Rutas'!K453/('Base de datos Rutas'!L453/'Base de datos Rutas'!BK453)),"")</f>
        <v>22.675207743119255</v>
      </c>
      <c r="M455" s="787">
        <f>IF(ISNUMBER('Base de datos Rutas'!AX453),'Base de datos Rutas'!AX453,"")</f>
        <v>202.64942818416699</v>
      </c>
      <c r="N455" s="790">
        <f>IFERROR(INDEX('Hoja de apoyo v2'!B$17:B$20,MATCH($A455,'Hoja de apoyo v2'!$A$17:$A$20,0)),"")</f>
        <v>89.41621024641401</v>
      </c>
      <c r="O455" s="791">
        <f>IFERROR(INDEX('Hoja de apoyo v2'!C$17:C$20,MATCH($A455,'Hoja de apoyo v2'!$A$17:$A$20,0)),"")</f>
        <v>0.54706375874806301</v>
      </c>
      <c r="P455" s="793">
        <f>IFERROR(INDEX('Hoja de apoyo v2'!D$17:D$20,MATCH($A455,'Hoja de apoyo v2'!$A$17:$A$20,0)),"")</f>
        <v>11095.153935793827</v>
      </c>
      <c r="Q455" s="793">
        <f>IFERROR(INDEX('Hoja de apoyo v2'!E$17:E$20,MATCH($A455,'Hoja de apoyo v2'!$A$17:$A$20,0)),"")</f>
        <v>6982.3202019701848</v>
      </c>
      <c r="R455" s="793">
        <f>IFERROR(INDEX('Hoja de apoyo v2'!F$17:F$20,MATCH($A455,'Hoja de apoyo v2'!$A$17:$A$20,0)),"")</f>
        <v>448.09513474485743</v>
      </c>
      <c r="S455" s="793">
        <f>IFERROR(INDEX('Hoja de apoyo v2'!G$17:G$20,MATCH($A455,'Hoja de apoyo v2'!$A$17:$A$20,0)),"")</f>
        <v>83.406300904207839</v>
      </c>
      <c r="T455" s="792">
        <f>IFERROR(INDEX('Hoja de apoyo v2'!H$17:H$20,MATCH($A455,'Hoja de apoyo v2'!$A$17:$A$20,0)),"")</f>
        <v>378.97014028925349</v>
      </c>
      <c r="U455" s="794">
        <f t="shared" si="220"/>
        <v>1.4476932912912557</v>
      </c>
      <c r="V455" s="795">
        <f t="shared" si="221"/>
        <v>0.76464585188230239</v>
      </c>
      <c r="W455" s="795">
        <f t="shared" si="222"/>
        <v>0.30809363710109305</v>
      </c>
      <c r="X455" s="843">
        <f t="shared" si="223"/>
        <v>1.0820100122077922</v>
      </c>
      <c r="Y455" s="843">
        <f t="shared" si="224"/>
        <v>1.1594184426897802</v>
      </c>
      <c r="Z455" s="843">
        <f t="shared" si="225"/>
        <v>0.27186444545912353</v>
      </c>
      <c r="AA455" s="843">
        <f t="shared" si="226"/>
        <v>0.53473719071769721</v>
      </c>
      <c r="AB455" s="796">
        <f t="shared" si="227"/>
        <v>5</v>
      </c>
      <c r="AC455" s="797">
        <f t="shared" si="228"/>
        <v>3</v>
      </c>
      <c r="AD455" s="797">
        <f t="shared" si="229"/>
        <v>1</v>
      </c>
      <c r="AE455" s="842">
        <f t="shared" si="230"/>
        <v>4</v>
      </c>
      <c r="AF455" s="842">
        <f t="shared" si="231"/>
        <v>4</v>
      </c>
      <c r="AG455" s="842">
        <f t="shared" si="232"/>
        <v>1</v>
      </c>
      <c r="AH455" s="842">
        <f t="shared" si="233"/>
        <v>2</v>
      </c>
      <c r="AI455" s="826" cm="1">
        <f t="array" ref="AI455">SUMPRODUCT(--ISNUMBER($U455:$AA455),$AB$3:$AH$3)</f>
        <v>1</v>
      </c>
      <c r="AJ455" s="829">
        <f t="shared" si="234"/>
        <v>44.151560199429987</v>
      </c>
      <c r="AK455" s="827" t="str">
        <f t="shared" si="235"/>
        <v>Inmadura</v>
      </c>
      <c r="AL455" s="784" t="str">
        <f t="shared" si="236"/>
        <v>Alta</v>
      </c>
      <c r="AM455" s="799">
        <f>IF(ISNUMBER('Base de datos Rutas'!W453),'Base de datos Rutas'!W453,"")</f>
        <v>3116.1708958203221</v>
      </c>
      <c r="AN455" s="787">
        <f>IFERROR(SUMIFS('Base de datos Rutas'!$W$6:$W$794,'Base de datos Rutas'!$C$6:$C$794,$C455)/'Base de datos Rutas'!I453,"")</f>
        <v>3116.1708958203185</v>
      </c>
      <c r="AO455" s="800">
        <f>IFERROR('Base de datos Rutas'!X453*AN455/AM455,"")</f>
        <v>0.37418782761251823</v>
      </c>
      <c r="AP455" s="800">
        <f t="shared" si="237"/>
        <v>0.62581217238748177</v>
      </c>
      <c r="AQ455" s="789">
        <f>IFERROR(INDEX('Hoja de apoyo v2'!$J$17:$J$20,MATCH($A455,'Hoja de apoyo v2'!$A$17:$A$20,0)),"")</f>
        <v>0.64320274048480885</v>
      </c>
      <c r="AR455" s="789">
        <f t="shared" si="238"/>
        <v>-1.7390568097327086E-2</v>
      </c>
      <c r="AS455" s="784" t="str">
        <f t="shared" si="239"/>
        <v>No</v>
      </c>
      <c r="AT455" s="801">
        <f>IF(ISNUMBER('Base de datos Rutas'!CK453),'Base de datos Rutas'!CK453,"")</f>
        <v>596</v>
      </c>
      <c r="AU455" s="802">
        <f>IF(ISNUMBER('Base de datos Rutas'!CL453),'Base de datos Rutas'!CL453,"")</f>
        <v>609.5</v>
      </c>
      <c r="AV455" s="802">
        <f>IF(ISNUMBER('Base de datos Rutas'!CM453),'Base de datos Rutas'!CM453,"")</f>
        <v>13.5</v>
      </c>
      <c r="AW455" s="802">
        <f>IF(ISNUMBER('Base de datos Rutas'!CN453),'Base de datos Rutas'!CN453,"")</f>
        <v>15.23</v>
      </c>
      <c r="AX455" s="802">
        <f>IF(ISNUMBER('Base de datos Rutas'!CO453),'Base de datos Rutas'!CO453,"")</f>
        <v>9.4499999999999993</v>
      </c>
      <c r="AY455" s="802">
        <f>IF(ISNUMBER('Base de datos Rutas'!CP453),'Base de datos Rutas'!CP453,"")</f>
        <v>-5.7800000000000011</v>
      </c>
      <c r="AZ455" s="802">
        <f>IF(ISNUMBER('Base de datos Rutas'!CQ453),'Base de datos Rutas'!CQ453,"")</f>
        <v>846.56</v>
      </c>
      <c r="BA455" s="802">
        <f>IF(ISNUMBER('Base de datos Rutas'!CR453),'Base de datos Rutas'!CR453,"")</f>
        <v>542.20000000000005</v>
      </c>
      <c r="BB455" s="803">
        <f>IF(ISNUMBER('Base de datos Rutas'!CS453),'Base de datos Rutas'!CS453,"")</f>
        <v>304.3599999999999</v>
      </c>
      <c r="BC455" s="804">
        <f t="shared" si="249"/>
        <v>1</v>
      </c>
      <c r="BD455" s="805" t="str">
        <f t="shared" si="250"/>
        <v>Saturada</v>
      </c>
      <c r="BE455" s="806">
        <f t="shared" si="251"/>
        <v>0.64047439047439059</v>
      </c>
      <c r="BF455" s="890">
        <f>IF(ISNUMBER('Base de datos Rutas'!CX453),'Base de datos Rutas'!CX453/100,"")</f>
        <v>0.44791876131107983</v>
      </c>
      <c r="BG455" s="891">
        <f>IF(ISNUMBER('Base de datos Rutas'!CZ453),'Base de datos Rutas'!CZ453/100,"")</f>
        <v>0.45063342047054095</v>
      </c>
      <c r="BH455" s="892">
        <f>IF(ISNUMBER('Base de datos Rutas'!DA453),'Base de datos Rutas'!DA453,"")</f>
        <v>305.27248571142081</v>
      </c>
      <c r="BI455" s="893">
        <f>IF(ISNUMBER('Base de datos Rutas'!DC453),'Base de datos Rutas'!DC453,"")</f>
        <v>14.972973027173367</v>
      </c>
      <c r="BJ455" s="805" t="str">
        <f t="shared" si="252"/>
        <v>Ruta (completo)</v>
      </c>
      <c r="BK455" s="783">
        <f t="shared" si="240"/>
        <v>2</v>
      </c>
      <c r="BL455" s="797">
        <f t="shared" si="241"/>
        <v>1</v>
      </c>
      <c r="BM455" s="797">
        <f t="shared" si="242"/>
        <v>1</v>
      </c>
      <c r="BN455" s="797">
        <f t="shared" si="243"/>
        <v>1</v>
      </c>
      <c r="BO455" s="798" cm="1">
        <f t="array" ref="BO455">SUMPRODUCT(--ISNUMBER($BF455:$BI455),$BK$3:$BN$3)</f>
        <v>1</v>
      </c>
      <c r="BP455" s="831">
        <f t="shared" si="253"/>
        <v>6.25</v>
      </c>
      <c r="BQ455" s="834" t="str">
        <f t="shared" si="254"/>
        <v>Bajo</v>
      </c>
      <c r="BR455" s="836">
        <f t="shared" si="244"/>
        <v>58.113670149572492</v>
      </c>
      <c r="BS455" s="836">
        <f t="shared" si="245"/>
        <v>6.25</v>
      </c>
      <c r="BT455" s="837" t="str">
        <f t="shared" si="246"/>
        <v>P2</v>
      </c>
      <c r="BU455" s="807" t="str">
        <f t="shared" si="255"/>
        <v>Al tope</v>
      </c>
      <c r="BV455" s="807" t="str">
        <f t="shared" si="247"/>
        <v>Zona de bajo potencial</v>
      </c>
      <c r="BW455" s="808" t="str">
        <f t="shared" si="248"/>
        <v>P2 - Mantener</v>
      </c>
    </row>
    <row r="456" spans="1:75">
      <c r="A456" s="780" t="str">
        <f>'Base de datos Rutas'!A454</f>
        <v>Occidente</v>
      </c>
      <c r="B456" s="781" t="str">
        <f>'Base de datos Rutas'!B454</f>
        <v>Zapopan</v>
      </c>
      <c r="C456" s="781" t="str">
        <f>'Base de datos Rutas'!C454</f>
        <v>Suc. Belenes</v>
      </c>
      <c r="D456" s="782">
        <f>IF(ISNUMBER('Base de datos Rutas'!D454),'Base de datos Rutas'!D454,"Sin código")</f>
        <v>820372</v>
      </c>
      <c r="E456" s="783" t="str">
        <f>'Base de datos Rutas'!F454</f>
        <v>Activa</v>
      </c>
      <c r="F456" s="784" t="str">
        <f>'Base de datos Rutas'!H454</f>
        <v>Sí</v>
      </c>
      <c r="G456" s="785">
        <f>IF(ISNUMBER('Base de datos Rutas'!BE454),'Base de datos Rutas'!BE454,"")</f>
        <v>116.942922374429</v>
      </c>
      <c r="H456" s="786">
        <f>IF(ISNUMBER('Base de datos Rutas'!BH454),'Base de datos Rutas'!BH454,"")</f>
        <v>0.49409421916791901</v>
      </c>
      <c r="I456" s="788">
        <f>IFERROR(IF(OR(NOT(ISNUMBER('Base de datos Rutas'!O454)),N('Base de datos Rutas'!BK454)=0),"",'Base de datos Rutas'!O454/('Base de datos Rutas'!L454/'Base de datos Rutas'!BK454)),"")</f>
        <v>4192.8470319634735</v>
      </c>
      <c r="J456" s="788">
        <f>IFERROR(IF(OR(NOT(ISNUMBER('Base de datos Rutas'!N454)),N('Base de datos Rutas'!BK454)=0),"",'Base de datos Rutas'!N454/('Base de datos Rutas'!L454/'Base de datos Rutas'!BK454)),"")</f>
        <v>8990.0844748858526</v>
      </c>
      <c r="K456" s="788">
        <f>IFERROR(IF(OR(NOT(ISNUMBER('Base de datos Rutas'!J454)),N('Base de datos Rutas'!BK454)=0),"",'Base de datos Rutas'!J454/('Base de datos Rutas'!L454/'Base de datos Rutas'!BK454)),"")</f>
        <v>615.62384109588629</v>
      </c>
      <c r="L456" s="788">
        <f>IFERROR(IF(OR(NOT(ISNUMBER('Base de datos Rutas'!K454)),N('Base de datos Rutas'!BK454)=0),"",'Base de datos Rutas'!K454/('Base de datos Rutas'!L454/'Base de datos Rutas'!BK454)),"")</f>
        <v>31.47894375342468</v>
      </c>
      <c r="M456" s="787">
        <f>IF(ISNUMBER('Base de datos Rutas'!AX454),'Base de datos Rutas'!AX454,"")</f>
        <v>227.671865813182</v>
      </c>
      <c r="N456" s="790">
        <f>IFERROR(INDEX('Hoja de apoyo v2'!B$17:B$20,MATCH($A456,'Hoja de apoyo v2'!$A$17:$A$20,0)),"")</f>
        <v>89.41621024641401</v>
      </c>
      <c r="O456" s="791">
        <f>IFERROR(INDEX('Hoja de apoyo v2'!C$17:C$20,MATCH($A456,'Hoja de apoyo v2'!$A$17:$A$20,0)),"")</f>
        <v>0.54706375874806301</v>
      </c>
      <c r="P456" s="793">
        <f>IFERROR(INDEX('Hoja de apoyo v2'!D$17:D$20,MATCH($A456,'Hoja de apoyo v2'!$A$17:$A$20,0)),"")</f>
        <v>11095.153935793827</v>
      </c>
      <c r="Q456" s="793">
        <f>IFERROR(INDEX('Hoja de apoyo v2'!E$17:E$20,MATCH($A456,'Hoja de apoyo v2'!$A$17:$A$20,0)),"")</f>
        <v>6982.3202019701848</v>
      </c>
      <c r="R456" s="793">
        <f>IFERROR(INDEX('Hoja de apoyo v2'!F$17:F$20,MATCH($A456,'Hoja de apoyo v2'!$A$17:$A$20,0)),"")</f>
        <v>448.09513474485743</v>
      </c>
      <c r="S456" s="793">
        <f>IFERROR(INDEX('Hoja de apoyo v2'!G$17:G$20,MATCH($A456,'Hoja de apoyo v2'!$A$17:$A$20,0)),"")</f>
        <v>83.406300904207839</v>
      </c>
      <c r="T456" s="792">
        <f>IFERROR(INDEX('Hoja de apoyo v2'!H$17:H$20,MATCH($A456,'Hoja de apoyo v2'!$A$17:$A$20,0)),"")</f>
        <v>378.97014028925349</v>
      </c>
      <c r="U456" s="794">
        <f t="shared" ref="U456:U519" si="256">IFERROR(G456/N456,"")</f>
        <v>1.3078492373156569</v>
      </c>
      <c r="V456" s="795">
        <f t="shared" ref="V456:V519" si="257">IFERROR(H456/O456,"")</f>
        <v>0.90317483340266769</v>
      </c>
      <c r="W456" s="795">
        <f t="shared" ref="W456:W519" si="258">IFERROR(IF(N(P456)=0,"",I456/P456),"")</f>
        <v>0.37789895085971037</v>
      </c>
      <c r="X456" s="843">
        <f t="shared" ref="X456:X519" si="259">IFERROR(IF(N(Q456)=0,"",J456/Q456),"")</f>
        <v>1.2875497277178927</v>
      </c>
      <c r="Y456" s="843">
        <f t="shared" ref="Y456:Y519" si="260">IFERROR(IF(N(R456)=0,"",K456/R456),"")</f>
        <v>1.3738686126249031</v>
      </c>
      <c r="Z456" s="843">
        <f t="shared" ref="Z456:Z519" si="261">IFERROR(IF(N(S456)=0,"",L456/S456),"")</f>
        <v>0.37741685474791953</v>
      </c>
      <c r="AA456" s="843">
        <f t="shared" ref="AA456:AA519" si="262">IFERROR(IF(N(T456)=0,"",M456/T456),"")</f>
        <v>0.60076465559901027</v>
      </c>
      <c r="AB456" s="796">
        <f t="shared" ref="AB456:AB519" si="263">IF(NOT(ISNUMBER(U456)),0,IFERROR(MATCH(U456,$U$3:$X$3,1)+1,1))</f>
        <v>5</v>
      </c>
      <c r="AC456" s="797">
        <f t="shared" ref="AC456:AC519" si="264">IF(NOT(ISNUMBER(V456)),0,IFERROR(MATCH(V456,$U$3:$X$3,1)+1,1))</f>
        <v>3</v>
      </c>
      <c r="AD456" s="797">
        <f t="shared" ref="AD456:AD519" si="265">IF(NOT(ISNUMBER(W456)),0,IFERROR(MATCH(W456,$U$3:$X$3,1)+1,1))</f>
        <v>1</v>
      </c>
      <c r="AE456" s="842">
        <f t="shared" ref="AE456:AE519" si="266">IF(NOT(ISNUMBER(X456)),0,IFERROR(MATCH(X456,$U$3:$X$3,1)+1,1))</f>
        <v>5</v>
      </c>
      <c r="AF456" s="842">
        <f t="shared" ref="AF456:AF519" si="267">IF(NOT(ISNUMBER(Y456)),0,IFERROR(MATCH(Y456,$U$3:$X$3,1)+1,1))</f>
        <v>5</v>
      </c>
      <c r="AG456" s="842">
        <f t="shared" ref="AG456:AG519" si="268">IF(NOT(ISNUMBER(Z456)),0,IFERROR(MATCH(Z456,$U$3:$X$3,1)+1,1))</f>
        <v>1</v>
      </c>
      <c r="AH456" s="842">
        <f t="shared" ref="AH456:AH519" si="269">IF(NOT(ISNUMBER(AA456)),0,IFERROR(MATCH(AA456,$U$3:$X$3,1)+1,1))</f>
        <v>2</v>
      </c>
      <c r="AI456" s="826" cm="1">
        <f t="array" ref="AI456">SUMPRODUCT(--ISNUMBER($U456:$AA456),$AB$3:$AH$3)</f>
        <v>1</v>
      </c>
      <c r="AJ456" s="829">
        <f t="shared" ref="AJ456:AJ519" si="270">IF(OR($E456&lt;&gt;"Activa",$F456&lt;&gt;"Sí",AI456&lt;$AI$4),"",(SUMPRODUCT($AB456:$AH456,$AB$3:$AH$3)/AI456-1)/4*100)</f>
        <v>50.487052357688469</v>
      </c>
      <c r="AK456" s="827" t="str">
        <f t="shared" ref="AK456:AK519" si="271">IF($E456&lt;&gt;"Activa","Ruta inactiva",IF($F456&lt;&gt;"Sí","No elegible",IF(AJ456="","Sin datos",IF(AJ456&gt;=$AJ$4,"Madura",IF(AJ456&lt;$AK$4,"Inmadura","En desarrollo")))))</f>
        <v>En desarrollo</v>
      </c>
      <c r="AL456" s="784" t="str">
        <f t="shared" ref="AL456:AL519" si="272">IF(AJ456="","n/a",IF(AI456&gt;=$AL$3,"Alta",IF(AI456&gt;=$AL$4,"Media","Baja")))</f>
        <v>Alta</v>
      </c>
      <c r="AM456" s="799">
        <f>IF(ISNUMBER('Base de datos Rutas'!W454),'Base de datos Rutas'!W454,"")</f>
        <v>3116.1708958203221</v>
      </c>
      <c r="AN456" s="787">
        <f>IFERROR(SUMIFS('Base de datos Rutas'!$W$6:$W$794,'Base de datos Rutas'!$C$6:$C$794,$C456)/'Base de datos Rutas'!I454,"")</f>
        <v>3116.1708958203185</v>
      </c>
      <c r="AO456" s="800">
        <f>IFERROR('Base de datos Rutas'!X454*AN456/AM456,"")</f>
        <v>0.37418782761251823</v>
      </c>
      <c r="AP456" s="800">
        <f t="shared" ref="AP456:AP519" si="273">IF(ISNUMBER(AO456),1-AO456,"")</f>
        <v>0.62581217238748177</v>
      </c>
      <c r="AQ456" s="789">
        <f>IFERROR(INDEX('Hoja de apoyo v2'!$J$17:$J$20,MATCH($A456,'Hoja de apoyo v2'!$A$17:$A$20,0)),"")</f>
        <v>0.64320274048480885</v>
      </c>
      <c r="AR456" s="789">
        <f t="shared" ref="AR456:AR519" si="274">IF(AND(ISNUMBER($AP456),ISNUMBER($AQ456)),$AP456-$AQ456,"")</f>
        <v>-1.7390568097327086E-2</v>
      </c>
      <c r="AS456" s="784" t="str">
        <f t="shared" ref="AS456:AS519" si="275">IF(NOT(ISNUMBER(AO456)),"n/d",IF(AO456&gt;=$AO$4,"Sí","No"))</f>
        <v>No</v>
      </c>
      <c r="AT456" s="801">
        <f>IF(ISNUMBER('Base de datos Rutas'!CK454),'Base de datos Rutas'!CK454,"")</f>
        <v>286</v>
      </c>
      <c r="AU456" s="802">
        <f>IF(ISNUMBER('Base de datos Rutas'!CL454),'Base de datos Rutas'!CL454,"")</f>
        <v>404.24</v>
      </c>
      <c r="AV456" s="802">
        <f>IF(ISNUMBER('Base de datos Rutas'!CM454),'Base de datos Rutas'!CM454,"")</f>
        <v>118.24000000000001</v>
      </c>
      <c r="AW456" s="802">
        <f>IF(ISNUMBER('Base de datos Rutas'!CN454),'Base de datos Rutas'!CN454,"")</f>
        <v>10.94</v>
      </c>
      <c r="AX456" s="802">
        <f>IF(ISNUMBER('Base de datos Rutas'!CO454),'Base de datos Rutas'!CO454,"")</f>
        <v>9.4499999999999993</v>
      </c>
      <c r="AY456" s="802">
        <f>IF(ISNUMBER('Base de datos Rutas'!CP454),'Base de datos Rutas'!CP454,"")</f>
        <v>-1.4900000000000002</v>
      </c>
      <c r="AZ456" s="802">
        <f>IF(ISNUMBER('Base de datos Rutas'!CQ454),'Base de datos Rutas'!CQ454,"")</f>
        <v>846.56</v>
      </c>
      <c r="BA456" s="802">
        <f>IF(ISNUMBER('Base de datos Rutas'!CR454),'Base de datos Rutas'!CR454,"")</f>
        <v>647.1</v>
      </c>
      <c r="BB456" s="803">
        <f>IF(ISNUMBER('Base de datos Rutas'!CS454),'Base de datos Rutas'!CS454,"")</f>
        <v>199.45999999999992</v>
      </c>
      <c r="BC456" s="804">
        <f t="shared" si="249"/>
        <v>1</v>
      </c>
      <c r="BD456" s="805" t="str">
        <f t="shared" si="250"/>
        <v>Saturada</v>
      </c>
      <c r="BE456" s="806">
        <f t="shared" si="251"/>
        <v>0.76438763938763943</v>
      </c>
      <c r="BF456" s="890">
        <f>IF(ISNUMBER('Base de datos Rutas'!CX454),'Base de datos Rutas'!CX454/100,"")</f>
        <v>0.83614213197969545</v>
      </c>
      <c r="BG456" s="891">
        <f>IF(ISNUMBER('Base de datos Rutas'!CZ454),'Base de datos Rutas'!CZ454/100,"")</f>
        <v>0.91116751269035534</v>
      </c>
      <c r="BH456" s="892">
        <f>IF(ISNUMBER('Base de datos Rutas'!DA454),'Base de datos Rutas'!DA454,"")</f>
        <v>792.97734677495509</v>
      </c>
      <c r="BI456" s="893">
        <f>IF(ISNUMBER('Base de datos Rutas'!DC454),'Base de datos Rutas'!DC454,"")</f>
        <v>38.219130701671546</v>
      </c>
      <c r="BJ456" s="805" t="str">
        <f t="shared" si="252"/>
        <v>Ruta (completo)</v>
      </c>
      <c r="BK456" s="783">
        <f t="shared" ref="BK456:BK519" si="276">IF(NOT(ISNUMBER($BF456)),0,MIN(5,1+INT(5*COUNTIFS($C$8:$C$796,$C456,$BF$8:$BF$796,"&lt;"&amp;$BF456)/COUNTIFS($C$8:$C$796,$C456,$BF$8:$BF$796,"&gt;=-1E+300"))))</f>
        <v>3</v>
      </c>
      <c r="BL456" s="797">
        <f t="shared" ref="BL456:BL519" si="277">IF(NOT(ISNUMBER($BG456)),0,MIN(5,1+INT(5*COUNTIFS($C$8:$C$796,$C456,$BG$8:$BG$796,"&lt;"&amp;$BG456)/COUNTIFS($C$8:$C$796,$C456,$BG$8:$BG$796,"&gt;=-1E+300"))))</f>
        <v>3</v>
      </c>
      <c r="BM456" s="797">
        <f t="shared" ref="BM456:BM519" si="278">IF(NOT(ISNUMBER($BH456)),0,MIN(5,1+INT(5*COUNTIFS($C$8:$C$796,$C456,$BH$8:$BH$796,"&lt;"&amp;$BH456)/COUNTIFS($C$8:$C$796,$C456,$BH$8:$BH$796,"&gt;=-1E+300"))))</f>
        <v>3</v>
      </c>
      <c r="BN456" s="797">
        <f t="shared" ref="BN456:BN519" si="279">IF(NOT(ISNUMBER($BI456)),0,MIN(5,1+INT(5*COUNTIFS($C$8:$C$796,$C456,$BI$8:$BI$796,"&lt;"&amp;$BI456)/COUNTIFS($C$8:$C$796,$C456,$BI$8:$BI$796,"&gt;=-1E+300"))))</f>
        <v>4</v>
      </c>
      <c r="BO456" s="798" cm="1">
        <f t="array" ref="BO456">SUMPRODUCT(--ISNUMBER($BF456:$BI456),$BK$3:$BN$3)</f>
        <v>1</v>
      </c>
      <c r="BP456" s="831">
        <f t="shared" si="253"/>
        <v>56.25</v>
      </c>
      <c r="BQ456" s="834" t="str">
        <f t="shared" si="254"/>
        <v>Alto</v>
      </c>
      <c r="BR456" s="836">
        <f t="shared" ref="BR456:BR519" si="280">IF(OR(NOT(ISNUMBER($AJ456)),$BD456="N/D"),"",$AJ456*$BS$3+IF($BD456="Saturada",100,0)*$BU$3)</f>
        <v>62.865289268266352</v>
      </c>
      <c r="BS456" s="836">
        <f t="shared" ref="BS456:BS519" si="281">IF(ISNUMBER($BP456),$BP456,"")</f>
        <v>56.25</v>
      </c>
      <c r="BT456" s="837" t="str">
        <f t="shared" ref="BT456:BT519" si="282">IF(OR(NOT(ISNUMBER($BR456)),NOT(ISNUMBER($BS456))),"Sin datos",IF($BR456&gt;=$BS$4,IF($BS456&gt;=$BU$4,"P1","P2"),IF($BS456&gt;=$BU$4,"P3","P4")))</f>
        <v>P1</v>
      </c>
      <c r="BU456" s="807" t="str">
        <f t="shared" si="255"/>
        <v>Al tope</v>
      </c>
      <c r="BV456" s="807" t="str">
        <f t="shared" ref="BV456:BV519" si="283">IF($BU456="No evaluable","No evaluable",IF($BQ456="Sin datos","Sin datos de zona",IF($BQ456="Alto","Zona atractiva","Zona de bajo potencial")))</f>
        <v>Zona atractiva</v>
      </c>
      <c r="BW456" s="808" t="str">
        <f t="shared" ref="BW456:BW519" si="284">IFERROR(IF($BT456="P1","P1 - Ampliar cobertura",IF($BT456="P2","P2 - Mantener",IF($BT456="P3","P3 - Desarrollar",IF($BT456="P4","P4 - Evaluar","Sin datos")))),"Sin datos")</f>
        <v>P1 - Ampliar cobertura</v>
      </c>
    </row>
    <row r="457" spans="1:75">
      <c r="A457" s="780" t="str">
        <f>'Base de datos Rutas'!A455</f>
        <v>Occidente</v>
      </c>
      <c r="B457" s="781" t="str">
        <f>'Base de datos Rutas'!B455</f>
        <v>Zapopan</v>
      </c>
      <c r="C457" s="781" t="str">
        <f>'Base de datos Rutas'!C455</f>
        <v>Suc. Belenes</v>
      </c>
      <c r="D457" s="782">
        <f>IF(ISNUMBER('Base de datos Rutas'!D455),'Base de datos Rutas'!D455,"Sin código")</f>
        <v>820373</v>
      </c>
      <c r="E457" s="783" t="str">
        <f>'Base de datos Rutas'!F455</f>
        <v>Activa</v>
      </c>
      <c r="F457" s="784" t="str">
        <f>'Base de datos Rutas'!H455</f>
        <v>Sí</v>
      </c>
      <c r="G457" s="785">
        <f>IF(ISNUMBER('Base de datos Rutas'!BE455),'Base de datos Rutas'!BE455,"")</f>
        <v>166.030023094688</v>
      </c>
      <c r="H457" s="786">
        <f>IF(ISNUMBER('Base de datos Rutas'!BH455),'Base de datos Rutas'!BH455,"")</f>
        <v>0.47150547356414602</v>
      </c>
      <c r="I457" s="788">
        <f>IFERROR(IF(OR(NOT(ISNUMBER('Base de datos Rutas'!O455)),N('Base de datos Rutas'!BK455)=0),"",'Base de datos Rutas'!O455/('Base de datos Rutas'!L455/'Base de datos Rutas'!BK455)),"")</f>
        <v>4910.5080831408732</v>
      </c>
      <c r="J457" s="788">
        <f>IFERROR(IF(OR(NOT(ISNUMBER('Base de datos Rutas'!N455)),N('Base de datos Rutas'!BK455)=0),"",'Base de datos Rutas'!N455/('Base de datos Rutas'!L455/'Base de datos Rutas'!BK455)),"")</f>
        <v>10942.508083140867</v>
      </c>
      <c r="K457" s="788">
        <f>IFERROR(IF(OR(NOT(ISNUMBER('Base de datos Rutas'!J455)),N('Base de datos Rutas'!BK455)=0),"",'Base de datos Rutas'!J455/('Base de datos Rutas'!L455/'Base de datos Rutas'!BK455)),"")</f>
        <v>754.92434734410551</v>
      </c>
      <c r="L457" s="788">
        <f>IFERROR(IF(OR(NOT(ISNUMBER('Base de datos Rutas'!K455)),N('Base de datos Rutas'!BK455)=0),"",'Base de datos Rutas'!K455/('Base de datos Rutas'!L455/'Base de datos Rutas'!BK455)),"")</f>
        <v>38.234507332563474</v>
      </c>
      <c r="M457" s="787">
        <f>IF(ISNUMBER('Base de datos Rutas'!AX455),'Base de datos Rutas'!AX455,"")</f>
        <v>202.50626987639001</v>
      </c>
      <c r="N457" s="790">
        <f>IFERROR(INDEX('Hoja de apoyo v2'!B$17:B$20,MATCH($A457,'Hoja de apoyo v2'!$A$17:$A$20,0)),"")</f>
        <v>89.41621024641401</v>
      </c>
      <c r="O457" s="791">
        <f>IFERROR(INDEX('Hoja de apoyo v2'!C$17:C$20,MATCH($A457,'Hoja de apoyo v2'!$A$17:$A$20,0)),"")</f>
        <v>0.54706375874806301</v>
      </c>
      <c r="P457" s="793">
        <f>IFERROR(INDEX('Hoja de apoyo v2'!D$17:D$20,MATCH($A457,'Hoja de apoyo v2'!$A$17:$A$20,0)),"")</f>
        <v>11095.153935793827</v>
      </c>
      <c r="Q457" s="793">
        <f>IFERROR(INDEX('Hoja de apoyo v2'!E$17:E$20,MATCH($A457,'Hoja de apoyo v2'!$A$17:$A$20,0)),"")</f>
        <v>6982.3202019701848</v>
      </c>
      <c r="R457" s="793">
        <f>IFERROR(INDEX('Hoja de apoyo v2'!F$17:F$20,MATCH($A457,'Hoja de apoyo v2'!$A$17:$A$20,0)),"")</f>
        <v>448.09513474485743</v>
      </c>
      <c r="S457" s="793">
        <f>IFERROR(INDEX('Hoja de apoyo v2'!G$17:G$20,MATCH($A457,'Hoja de apoyo v2'!$A$17:$A$20,0)),"")</f>
        <v>83.406300904207839</v>
      </c>
      <c r="T457" s="792">
        <f>IFERROR(INDEX('Hoja de apoyo v2'!H$17:H$20,MATCH($A457,'Hoja de apoyo v2'!$A$17:$A$20,0)),"")</f>
        <v>378.97014028925349</v>
      </c>
      <c r="U457" s="794">
        <f t="shared" si="256"/>
        <v>1.8568224110274965</v>
      </c>
      <c r="V457" s="795">
        <f t="shared" si="257"/>
        <v>0.86188395049814748</v>
      </c>
      <c r="W457" s="795">
        <f t="shared" si="258"/>
        <v>0.44258133880406952</v>
      </c>
      <c r="X457" s="843">
        <f t="shared" si="259"/>
        <v>1.5671736280517821</v>
      </c>
      <c r="Y457" s="843">
        <f t="shared" si="260"/>
        <v>1.684741227493922</v>
      </c>
      <c r="Z457" s="843">
        <f t="shared" si="261"/>
        <v>0.45841269685938735</v>
      </c>
      <c r="AA457" s="843">
        <f t="shared" si="262"/>
        <v>0.53435943455023838</v>
      </c>
      <c r="AB457" s="796">
        <f t="shared" si="263"/>
        <v>5</v>
      </c>
      <c r="AC457" s="797">
        <f t="shared" si="264"/>
        <v>3</v>
      </c>
      <c r="AD457" s="797">
        <f t="shared" si="265"/>
        <v>1</v>
      </c>
      <c r="AE457" s="842">
        <f t="shared" si="266"/>
        <v>5</v>
      </c>
      <c r="AF457" s="842">
        <f t="shared" si="267"/>
        <v>5</v>
      </c>
      <c r="AG457" s="842">
        <f t="shared" si="268"/>
        <v>1</v>
      </c>
      <c r="AH457" s="842">
        <f t="shared" si="269"/>
        <v>2</v>
      </c>
      <c r="AI457" s="826" cm="1">
        <f t="array" ref="AI457">SUMPRODUCT(--ISNUMBER($U457:$AA457),$AB$3:$AH$3)</f>
        <v>1</v>
      </c>
      <c r="AJ457" s="829">
        <f t="shared" si="270"/>
        <v>50.487052357688469</v>
      </c>
      <c r="AK457" s="827" t="str">
        <f t="shared" si="271"/>
        <v>En desarrollo</v>
      </c>
      <c r="AL457" s="784" t="str">
        <f t="shared" si="272"/>
        <v>Alta</v>
      </c>
      <c r="AM457" s="799">
        <f>IF(ISNUMBER('Base de datos Rutas'!W455),'Base de datos Rutas'!W455,"")</f>
        <v>3116.1708958203221</v>
      </c>
      <c r="AN457" s="787">
        <f>IFERROR(SUMIFS('Base de datos Rutas'!$W$6:$W$794,'Base de datos Rutas'!$C$6:$C$794,$C457)/'Base de datos Rutas'!I455,"")</f>
        <v>3116.1708958203185</v>
      </c>
      <c r="AO457" s="800">
        <f>IFERROR('Base de datos Rutas'!X455*AN457/AM457,"")</f>
        <v>0.37418782761251823</v>
      </c>
      <c r="AP457" s="800">
        <f t="shared" si="273"/>
        <v>0.62581217238748177</v>
      </c>
      <c r="AQ457" s="789">
        <f>IFERROR(INDEX('Hoja de apoyo v2'!$J$17:$J$20,MATCH($A457,'Hoja de apoyo v2'!$A$17:$A$20,0)),"")</f>
        <v>0.64320274048480885</v>
      </c>
      <c r="AR457" s="789">
        <f t="shared" si="274"/>
        <v>-1.7390568097327086E-2</v>
      </c>
      <c r="AS457" s="784" t="str">
        <f t="shared" si="275"/>
        <v>No</v>
      </c>
      <c r="AT457" s="801">
        <f>IF(ISNUMBER('Base de datos Rutas'!CK455),'Base de datos Rutas'!CK455,"")</f>
        <v>635</v>
      </c>
      <c r="AU457" s="802">
        <f>IF(ISNUMBER('Base de datos Rutas'!CL455),'Base de datos Rutas'!CL455,"")</f>
        <v>731.17</v>
      </c>
      <c r="AV457" s="802">
        <f>IF(ISNUMBER('Base de datos Rutas'!CM455),'Base de datos Rutas'!CM455,"")</f>
        <v>96.169999999999959</v>
      </c>
      <c r="AW457" s="802">
        <f>IF(ISNUMBER('Base de datos Rutas'!CN455),'Base de datos Rutas'!CN455,"")</f>
        <v>15.69</v>
      </c>
      <c r="AX457" s="802">
        <f>IF(ISNUMBER('Base de datos Rutas'!CO455),'Base de datos Rutas'!CO455,"")</f>
        <v>9.4499999999999993</v>
      </c>
      <c r="AY457" s="802">
        <f>IF(ISNUMBER('Base de datos Rutas'!CP455),'Base de datos Rutas'!CP455,"")</f>
        <v>-6.24</v>
      </c>
      <c r="AZ457" s="802">
        <f>IF(ISNUMBER('Base de datos Rutas'!CQ455),'Base de datos Rutas'!CQ455,"")</f>
        <v>846.56</v>
      </c>
      <c r="BA457" s="802">
        <f>IF(ISNUMBER('Base de datos Rutas'!CR455),'Base de datos Rutas'!CR455,"")</f>
        <v>793.16</v>
      </c>
      <c r="BB457" s="803">
        <f>IF(ISNUMBER('Base de datos Rutas'!CS455),'Base de datos Rutas'!CS455,"")</f>
        <v>53.399999999999977</v>
      </c>
      <c r="BC457" s="804">
        <f t="shared" ref="BC457:BC520" si="285">IF(OR(COUNT($AV457,$AY457,$BB457)&lt;3,NOT(ISNUMBER($AT457)),N($AT457)&lt;=0,N($AZ457)&lt;=0),"",COUNTIF($AV457,"&lt;="&amp;$BC$4)+COUNTIF($AY457,"&lt;="&amp;$BC$4)+COUNTIF($BB457,"&lt;="&amp;$BC$4))</f>
        <v>1</v>
      </c>
      <c r="BD457" s="805" t="str">
        <f t="shared" ref="BD457:BD520" si="286">IF(NOT(ISNUMBER($BC457)),"N/D",IF($BC457&gt;=1,"Saturada","No saturada"))</f>
        <v>Saturada</v>
      </c>
      <c r="BE457" s="806">
        <f t="shared" ref="BE457:BE520" si="287">IF(AND(ISNUMBER($AZ457),ISNUMBER($BA457),$AZ457&lt;&gt;0),$BA457/$AZ457,"")</f>
        <v>0.93692118692118698</v>
      </c>
      <c r="BF457" s="890">
        <f>IF(ISNUMBER('Base de datos Rutas'!CX455),'Base de datos Rutas'!CX455/100,"")</f>
        <v>0.96601766784452292</v>
      </c>
      <c r="BG457" s="891">
        <f>IF(ISNUMBER('Base de datos Rutas'!CZ455),'Base de datos Rutas'!CZ455/100,"")</f>
        <v>1</v>
      </c>
      <c r="BH457" s="892">
        <f>IF(ISNUMBER('Base de datos Rutas'!DA455),'Base de datos Rutas'!DA455,"")</f>
        <v>668.15195972892889</v>
      </c>
      <c r="BI457" s="893">
        <f>IF(ISNUMBER('Base de datos Rutas'!DC455),'Base de datos Rutas'!DC455,"")</f>
        <v>31.887682533824076</v>
      </c>
      <c r="BJ457" s="805" t="str">
        <f t="shared" ref="BJ457:BJ520" si="288">IF(COUNT($BF457:$BI457)=4,"Ruta (completo)",IF(COUNT($BF457:$BI457)=0,"Sin dato","Ruta (parcial)"))</f>
        <v>Ruta (completo)</v>
      </c>
      <c r="BK457" s="783">
        <f t="shared" si="276"/>
        <v>5</v>
      </c>
      <c r="BL457" s="797">
        <f t="shared" si="277"/>
        <v>4</v>
      </c>
      <c r="BM457" s="797">
        <f t="shared" si="278"/>
        <v>3</v>
      </c>
      <c r="BN457" s="797">
        <f t="shared" si="279"/>
        <v>3</v>
      </c>
      <c r="BO457" s="798" cm="1">
        <f t="array" ref="BO457">SUMPRODUCT(--ISNUMBER($BF457:$BI457),$BK$3:$BN$3)</f>
        <v>1</v>
      </c>
      <c r="BP457" s="831">
        <f t="shared" ref="BP457:BP520" si="289">IF(BO457&lt;$BO$4,"",(SUMPRODUCT($BK457:$BN457,$BK$3:$BN$3)/BO457-1)/4*100)</f>
        <v>68.75</v>
      </c>
      <c r="BQ457" s="834" t="str">
        <f t="shared" ref="BQ457:BQ520" si="290">IF(BP457="","Sin datos",IF(BP457&gt;=$BP$4,"Alto",IF(BP457&lt;$BQ$4,"Bajo","Medio")))</f>
        <v>Alto</v>
      </c>
      <c r="BR457" s="836">
        <f t="shared" si="280"/>
        <v>62.865289268266352</v>
      </c>
      <c r="BS457" s="836">
        <f t="shared" si="281"/>
        <v>68.75</v>
      </c>
      <c r="BT457" s="837" t="str">
        <f t="shared" si="282"/>
        <v>P1</v>
      </c>
      <c r="BU457" s="807" t="str">
        <f t="shared" ref="BU457:BU520" si="291">IF(OR($AK457="Ruta inactiva",$AK457="No elegible",$AK457="Sin datos"),"No evaluable",IF($BD457="Saturada","Al tope","Con espacio"))</f>
        <v>Al tope</v>
      </c>
      <c r="BV457" s="807" t="str">
        <f t="shared" si="283"/>
        <v>Zona atractiva</v>
      </c>
      <c r="BW457" s="808" t="str">
        <f t="shared" si="284"/>
        <v>P1 - Ampliar cobertura</v>
      </c>
    </row>
    <row r="458" spans="1:75">
      <c r="A458" s="780" t="str">
        <f>'Base de datos Rutas'!A456</f>
        <v>Occidente</v>
      </c>
      <c r="B458" s="781" t="str">
        <f>'Base de datos Rutas'!B456</f>
        <v>Zapopan</v>
      </c>
      <c r="C458" s="781" t="str">
        <f>'Base de datos Rutas'!C456</f>
        <v>Suc. Belenes</v>
      </c>
      <c r="D458" s="782">
        <f>IF(ISNUMBER('Base de datos Rutas'!D456),'Base de datos Rutas'!D456,"Sin código")</f>
        <v>820374</v>
      </c>
      <c r="E458" s="783" t="str">
        <f>'Base de datos Rutas'!F456</f>
        <v>Activa</v>
      </c>
      <c r="F458" s="784" t="str">
        <f>'Base de datos Rutas'!H456</f>
        <v>Sí</v>
      </c>
      <c r="G458" s="785">
        <f>IF(ISNUMBER('Base de datos Rutas'!BE456),'Base de datos Rutas'!BE456,"")</f>
        <v>74.7747126436782</v>
      </c>
      <c r="H458" s="786">
        <f>IF(ISNUMBER('Base de datos Rutas'!BH456),'Base de datos Rutas'!BH456,"")</f>
        <v>0.57376948381344695</v>
      </c>
      <c r="I458" s="788">
        <f>IFERROR(IF(OR(NOT(ISNUMBER('Base de datos Rutas'!O456)),N('Base de datos Rutas'!BK456)=0),"",'Base de datos Rutas'!O456/('Base de datos Rutas'!L456/'Base de datos Rutas'!BK456)),"")</f>
        <v>2241.1770114942501</v>
      </c>
      <c r="J458" s="788">
        <f>IFERROR(IF(OR(NOT(ISNUMBER('Base de datos Rutas'!N456)),N('Base de datos Rutas'!BK456)=0),"",'Base de datos Rutas'!N456/('Base de datos Rutas'!L456/'Base de datos Rutas'!BK456)),"")</f>
        <v>6994.8091954022902</v>
      </c>
      <c r="K458" s="788">
        <f>IFERROR(IF(OR(NOT(ISNUMBER('Base de datos Rutas'!J456)),N('Base de datos Rutas'!BK456)=0),"",'Base de datos Rutas'!J456/('Base de datos Rutas'!L456/'Base de datos Rutas'!BK456)),"")</f>
        <v>482.22060873563157</v>
      </c>
      <c r="L458" s="788">
        <f>IFERROR(IF(OR(NOT(ISNUMBER('Base de datos Rutas'!K456)),N('Base de datos Rutas'!BK456)=0),"",'Base de datos Rutas'!K456/('Base de datos Rutas'!L456/'Base de datos Rutas'!BK456)),"")</f>
        <v>16.582244347126416</v>
      </c>
      <c r="M458" s="787">
        <f>IF(ISNUMBER('Base de datos Rutas'!AX456),'Base de datos Rutas'!AX456,"")</f>
        <v>215.27360070728199</v>
      </c>
      <c r="N458" s="790">
        <f>IFERROR(INDEX('Hoja de apoyo v2'!B$17:B$20,MATCH($A458,'Hoja de apoyo v2'!$A$17:$A$20,0)),"")</f>
        <v>89.41621024641401</v>
      </c>
      <c r="O458" s="791">
        <f>IFERROR(INDEX('Hoja de apoyo v2'!C$17:C$20,MATCH($A458,'Hoja de apoyo v2'!$A$17:$A$20,0)),"")</f>
        <v>0.54706375874806301</v>
      </c>
      <c r="P458" s="793">
        <f>IFERROR(INDEX('Hoja de apoyo v2'!D$17:D$20,MATCH($A458,'Hoja de apoyo v2'!$A$17:$A$20,0)),"")</f>
        <v>11095.153935793827</v>
      </c>
      <c r="Q458" s="793">
        <f>IFERROR(INDEX('Hoja de apoyo v2'!E$17:E$20,MATCH($A458,'Hoja de apoyo v2'!$A$17:$A$20,0)),"")</f>
        <v>6982.3202019701848</v>
      </c>
      <c r="R458" s="793">
        <f>IFERROR(INDEX('Hoja de apoyo v2'!F$17:F$20,MATCH($A458,'Hoja de apoyo v2'!$A$17:$A$20,0)),"")</f>
        <v>448.09513474485743</v>
      </c>
      <c r="S458" s="793">
        <f>IFERROR(INDEX('Hoja de apoyo v2'!G$17:G$20,MATCH($A458,'Hoja de apoyo v2'!$A$17:$A$20,0)),"")</f>
        <v>83.406300904207839</v>
      </c>
      <c r="T458" s="792">
        <f>IFERROR(INDEX('Hoja de apoyo v2'!H$17:H$20,MATCH($A458,'Hoja de apoyo v2'!$A$17:$A$20,0)),"")</f>
        <v>378.97014028925349</v>
      </c>
      <c r="U458" s="794">
        <f t="shared" si="256"/>
        <v>0.83625454979151281</v>
      </c>
      <c r="V458" s="795">
        <f t="shared" si="257"/>
        <v>1.0488164763948156</v>
      </c>
      <c r="W458" s="795">
        <f t="shared" si="258"/>
        <v>0.20199602677562131</v>
      </c>
      <c r="X458" s="843">
        <f t="shared" si="259"/>
        <v>1.0017886595101413</v>
      </c>
      <c r="Y458" s="843">
        <f t="shared" si="260"/>
        <v>1.076156760796354</v>
      </c>
      <c r="Z458" s="843">
        <f t="shared" si="261"/>
        <v>0.19881284947729702</v>
      </c>
      <c r="AA458" s="843">
        <f t="shared" si="262"/>
        <v>0.56804897753414518</v>
      </c>
      <c r="AB458" s="796">
        <f t="shared" si="263"/>
        <v>3</v>
      </c>
      <c r="AC458" s="797">
        <f t="shared" si="264"/>
        <v>4</v>
      </c>
      <c r="AD458" s="797">
        <f t="shared" si="265"/>
        <v>1</v>
      </c>
      <c r="AE458" s="842">
        <f t="shared" si="266"/>
        <v>4</v>
      </c>
      <c r="AF458" s="842">
        <f t="shared" si="267"/>
        <v>4</v>
      </c>
      <c r="AG458" s="842">
        <f t="shared" si="268"/>
        <v>1</v>
      </c>
      <c r="AH458" s="842">
        <f t="shared" si="269"/>
        <v>2</v>
      </c>
      <c r="AI458" s="826" cm="1">
        <f t="array" ref="AI458">SUMPRODUCT(--ISNUMBER($U458:$AA458),$AB$3:$AH$3)</f>
        <v>1</v>
      </c>
      <c r="AJ458" s="829">
        <f t="shared" si="270"/>
        <v>37.467193429046965</v>
      </c>
      <c r="AK458" s="827" t="str">
        <f t="shared" si="271"/>
        <v>Inmadura</v>
      </c>
      <c r="AL458" s="784" t="str">
        <f t="shared" si="272"/>
        <v>Alta</v>
      </c>
      <c r="AM458" s="799">
        <f>IF(ISNUMBER('Base de datos Rutas'!W456),'Base de datos Rutas'!W456,"")</f>
        <v>3116.1708958203221</v>
      </c>
      <c r="AN458" s="787">
        <f>IFERROR(SUMIFS('Base de datos Rutas'!$W$6:$W$794,'Base de datos Rutas'!$C$6:$C$794,$C458)/'Base de datos Rutas'!I456,"")</f>
        <v>3116.1708958203185</v>
      </c>
      <c r="AO458" s="800">
        <f>IFERROR('Base de datos Rutas'!X456*AN458/AM458,"")</f>
        <v>0.37418782761251823</v>
      </c>
      <c r="AP458" s="800">
        <f t="shared" si="273"/>
        <v>0.62581217238748177</v>
      </c>
      <c r="AQ458" s="789">
        <f>IFERROR(INDEX('Hoja de apoyo v2'!$J$17:$J$20,MATCH($A458,'Hoja de apoyo v2'!$A$17:$A$20,0)),"")</f>
        <v>0.64320274048480885</v>
      </c>
      <c r="AR458" s="789">
        <f t="shared" si="274"/>
        <v>-1.7390568097327086E-2</v>
      </c>
      <c r="AS458" s="784" t="str">
        <f t="shared" si="275"/>
        <v>No</v>
      </c>
      <c r="AT458" s="801">
        <f>IF(ISNUMBER('Base de datos Rutas'!CK456),'Base de datos Rutas'!CK456,"")</f>
        <v>327</v>
      </c>
      <c r="AU458" s="802">
        <f>IF(ISNUMBER('Base de datos Rutas'!CL456),'Base de datos Rutas'!CL456,"")</f>
        <v>534.42999999999995</v>
      </c>
      <c r="AV458" s="802">
        <f>IF(ISNUMBER('Base de datos Rutas'!CM456),'Base de datos Rutas'!CM456,"")</f>
        <v>207.42999999999995</v>
      </c>
      <c r="AW458" s="802">
        <f>IF(ISNUMBER('Base de datos Rutas'!CN456),'Base de datos Rutas'!CN456,"")</f>
        <v>7.44</v>
      </c>
      <c r="AX458" s="802">
        <f>IF(ISNUMBER('Base de datos Rutas'!CO456),'Base de datos Rutas'!CO456,"")</f>
        <v>9.4499999999999993</v>
      </c>
      <c r="AY458" s="802">
        <f>IF(ISNUMBER('Base de datos Rutas'!CP456),'Base de datos Rutas'!CP456,"")</f>
        <v>2.0099999999999989</v>
      </c>
      <c r="AZ458" s="802">
        <f>IF(ISNUMBER('Base de datos Rutas'!CQ456),'Base de datos Rutas'!CQ456,"")</f>
        <v>846.56</v>
      </c>
      <c r="BA458" s="802">
        <f>IF(ISNUMBER('Base de datos Rutas'!CR456),'Base de datos Rutas'!CR456,"")</f>
        <v>498.8</v>
      </c>
      <c r="BB458" s="803">
        <f>IF(ISNUMBER('Base de datos Rutas'!CS456),'Base de datos Rutas'!CS456,"")</f>
        <v>347.75999999999993</v>
      </c>
      <c r="BC458" s="804">
        <f t="shared" si="285"/>
        <v>0</v>
      </c>
      <c r="BD458" s="805" t="str">
        <f t="shared" si="286"/>
        <v>No saturada</v>
      </c>
      <c r="BE458" s="806">
        <f t="shared" si="287"/>
        <v>0.58920808920808931</v>
      </c>
      <c r="BF458" s="890">
        <f>IF(ISNUMBER('Base de datos Rutas'!CX456),'Base de datos Rutas'!CX456/100,"")</f>
        <v>0.41152976465159197</v>
      </c>
      <c r="BG458" s="891">
        <f>IF(ISNUMBER('Base de datos Rutas'!CZ456),'Base de datos Rutas'!CZ456/100,"")</f>
        <v>0.45939086294416243</v>
      </c>
      <c r="BH458" s="892">
        <f>IF(ISNUMBER('Base de datos Rutas'!DA456),'Base de datos Rutas'!DA456,"")</f>
        <v>380.46655568840646</v>
      </c>
      <c r="BI458" s="893">
        <f>IF(ISNUMBER('Base de datos Rutas'!DC456),'Base de datos Rutas'!DC456,"")</f>
        <v>19.999231519587443</v>
      </c>
      <c r="BJ458" s="805" t="str">
        <f t="shared" si="288"/>
        <v>Ruta (completo)</v>
      </c>
      <c r="BK458" s="783">
        <f t="shared" si="276"/>
        <v>1</v>
      </c>
      <c r="BL458" s="797">
        <f t="shared" si="277"/>
        <v>1</v>
      </c>
      <c r="BM458" s="797">
        <f t="shared" si="278"/>
        <v>1</v>
      </c>
      <c r="BN458" s="797">
        <f t="shared" si="279"/>
        <v>2</v>
      </c>
      <c r="BO458" s="798" cm="1">
        <f t="array" ref="BO458">SUMPRODUCT(--ISNUMBER($BF458:$BI458),$BK$3:$BN$3)</f>
        <v>1</v>
      </c>
      <c r="BP458" s="831">
        <f t="shared" si="289"/>
        <v>6.25</v>
      </c>
      <c r="BQ458" s="834" t="str">
        <f t="shared" si="290"/>
        <v>Bajo</v>
      </c>
      <c r="BR458" s="836">
        <f t="shared" si="280"/>
        <v>28.100395071785222</v>
      </c>
      <c r="BS458" s="836">
        <f t="shared" si="281"/>
        <v>6.25</v>
      </c>
      <c r="BT458" s="837" t="str">
        <f t="shared" si="282"/>
        <v>P4</v>
      </c>
      <c r="BU458" s="807" t="str">
        <f t="shared" si="291"/>
        <v>Con espacio</v>
      </c>
      <c r="BV458" s="807" t="str">
        <f t="shared" si="283"/>
        <v>Zona de bajo potencial</v>
      </c>
      <c r="BW458" s="808" t="str">
        <f t="shared" si="284"/>
        <v>P4 - Evaluar</v>
      </c>
    </row>
    <row r="459" spans="1:75">
      <c r="A459" s="780" t="str">
        <f>'Base de datos Rutas'!A457</f>
        <v>Occidente</v>
      </c>
      <c r="B459" s="781" t="str">
        <f>'Base de datos Rutas'!B457</f>
        <v>Zapopan</v>
      </c>
      <c r="C459" s="781" t="str">
        <f>'Base de datos Rutas'!C457</f>
        <v>Suc. Belenes</v>
      </c>
      <c r="D459" s="782">
        <f>IF(ISNUMBER('Base de datos Rutas'!D457),'Base de datos Rutas'!D457,"Sin código")</f>
        <v>820375</v>
      </c>
      <c r="E459" s="783" t="str">
        <f>'Base de datos Rutas'!F457</f>
        <v>Activa</v>
      </c>
      <c r="F459" s="784" t="str">
        <f>'Base de datos Rutas'!H457</f>
        <v>Sí</v>
      </c>
      <c r="G459" s="785">
        <f>IF(ISNUMBER('Base de datos Rutas'!BE457),'Base de datos Rutas'!BE457,"")</f>
        <v>119.31105990783399</v>
      </c>
      <c r="H459" s="786">
        <f>IF(ISNUMBER('Base de datos Rutas'!BH457),'Base de datos Rutas'!BH457,"")</f>
        <v>0.47980919642339898</v>
      </c>
      <c r="I459" s="788">
        <f>IFERROR(IF(OR(NOT(ISNUMBER('Base de datos Rutas'!O457)),N('Base de datos Rutas'!BK457)=0),"",'Base de datos Rutas'!O457/('Base de datos Rutas'!L457/'Base de datos Rutas'!BK457)),"")</f>
        <v>3227.4746543778783</v>
      </c>
      <c r="J459" s="788">
        <f>IFERROR(IF(OR(NOT(ISNUMBER('Base de datos Rutas'!N457)),N('Base de datos Rutas'!BK457)=0),"",'Base de datos Rutas'!N457/('Base de datos Rutas'!L457/'Base de datos Rutas'!BK457)),"")</f>
        <v>9119.6359447004561</v>
      </c>
      <c r="K459" s="788">
        <f>IFERROR(IF(OR(NOT(ISNUMBER('Base de datos Rutas'!J457)),N('Base de datos Rutas'!BK457)=0),"",'Base de datos Rutas'!J457/('Base de datos Rutas'!L457/'Base de datos Rutas'!BK457)),"")</f>
        <v>623.2131999999973</v>
      </c>
      <c r="L459" s="788">
        <f>IFERROR(IF(OR(NOT(ISNUMBER('Base de datos Rutas'!K457)),N('Base de datos Rutas'!BK457)=0),"",'Base de datos Rutas'!K457/('Base de datos Rutas'!L457/'Base de datos Rutas'!BK457)),"")</f>
        <v>24.552925914746531</v>
      </c>
      <c r="M459" s="787">
        <f>IF(ISNUMBER('Base de datos Rutas'!AX457),'Base de datos Rutas'!AX457,"")</f>
        <v>215.56131455021099</v>
      </c>
      <c r="N459" s="790">
        <f>IFERROR(INDEX('Hoja de apoyo v2'!B$17:B$20,MATCH($A459,'Hoja de apoyo v2'!$A$17:$A$20,0)),"")</f>
        <v>89.41621024641401</v>
      </c>
      <c r="O459" s="791">
        <f>IFERROR(INDEX('Hoja de apoyo v2'!C$17:C$20,MATCH($A459,'Hoja de apoyo v2'!$A$17:$A$20,0)),"")</f>
        <v>0.54706375874806301</v>
      </c>
      <c r="P459" s="793">
        <f>IFERROR(INDEX('Hoja de apoyo v2'!D$17:D$20,MATCH($A459,'Hoja de apoyo v2'!$A$17:$A$20,0)),"")</f>
        <v>11095.153935793827</v>
      </c>
      <c r="Q459" s="793">
        <f>IFERROR(INDEX('Hoja de apoyo v2'!E$17:E$20,MATCH($A459,'Hoja de apoyo v2'!$A$17:$A$20,0)),"")</f>
        <v>6982.3202019701848</v>
      </c>
      <c r="R459" s="793">
        <f>IFERROR(INDEX('Hoja de apoyo v2'!F$17:F$20,MATCH($A459,'Hoja de apoyo v2'!$A$17:$A$20,0)),"")</f>
        <v>448.09513474485743</v>
      </c>
      <c r="S459" s="793">
        <f>IFERROR(INDEX('Hoja de apoyo v2'!G$17:G$20,MATCH($A459,'Hoja de apoyo v2'!$A$17:$A$20,0)),"")</f>
        <v>83.406300904207839</v>
      </c>
      <c r="T459" s="792">
        <f>IFERROR(INDEX('Hoja de apoyo v2'!H$17:H$20,MATCH($A459,'Hoja de apoyo v2'!$A$17:$A$20,0)),"")</f>
        <v>378.97014028925349</v>
      </c>
      <c r="U459" s="794">
        <f t="shared" si="256"/>
        <v>1.3343336692422489</v>
      </c>
      <c r="V459" s="795">
        <f t="shared" si="257"/>
        <v>0.87706266180275982</v>
      </c>
      <c r="W459" s="795">
        <f t="shared" si="258"/>
        <v>0.29089048002892459</v>
      </c>
      <c r="X459" s="843">
        <f t="shared" si="259"/>
        <v>1.3061039426589445</v>
      </c>
      <c r="Y459" s="843">
        <f t="shared" si="260"/>
        <v>1.3908055492609868</v>
      </c>
      <c r="Z459" s="843">
        <f t="shared" si="261"/>
        <v>0.29437735097430556</v>
      </c>
      <c r="AA459" s="843">
        <f t="shared" si="262"/>
        <v>0.56880817677530282</v>
      </c>
      <c r="AB459" s="796">
        <f t="shared" si="263"/>
        <v>5</v>
      </c>
      <c r="AC459" s="797">
        <f t="shared" si="264"/>
        <v>3</v>
      </c>
      <c r="AD459" s="797">
        <f t="shared" si="265"/>
        <v>1</v>
      </c>
      <c r="AE459" s="842">
        <f t="shared" si="266"/>
        <v>5</v>
      </c>
      <c r="AF459" s="842">
        <f t="shared" si="267"/>
        <v>5</v>
      </c>
      <c r="AG459" s="842">
        <f t="shared" si="268"/>
        <v>1</v>
      </c>
      <c r="AH459" s="842">
        <f t="shared" si="269"/>
        <v>2</v>
      </c>
      <c r="AI459" s="826" cm="1">
        <f t="array" ref="AI459">SUMPRODUCT(--ISNUMBER($U459:$AA459),$AB$3:$AH$3)</f>
        <v>1</v>
      </c>
      <c r="AJ459" s="829">
        <f t="shared" si="270"/>
        <v>50.487052357688469</v>
      </c>
      <c r="AK459" s="827" t="str">
        <f t="shared" si="271"/>
        <v>En desarrollo</v>
      </c>
      <c r="AL459" s="784" t="str">
        <f t="shared" si="272"/>
        <v>Alta</v>
      </c>
      <c r="AM459" s="799">
        <f>IF(ISNUMBER('Base de datos Rutas'!W457),'Base de datos Rutas'!W457,"")</f>
        <v>3116.1708958203221</v>
      </c>
      <c r="AN459" s="787">
        <f>IFERROR(SUMIFS('Base de datos Rutas'!$W$6:$W$794,'Base de datos Rutas'!$C$6:$C$794,$C459)/'Base de datos Rutas'!I457,"")</f>
        <v>3116.1708958203185</v>
      </c>
      <c r="AO459" s="800">
        <f>IFERROR('Base de datos Rutas'!X457*AN459/AM459,"")</f>
        <v>0.37418782761251823</v>
      </c>
      <c r="AP459" s="800">
        <f t="shared" si="273"/>
        <v>0.62581217238748177</v>
      </c>
      <c r="AQ459" s="789">
        <f>IFERROR(INDEX('Hoja de apoyo v2'!$J$17:$J$20,MATCH($A459,'Hoja de apoyo v2'!$A$17:$A$20,0)),"")</f>
        <v>0.64320274048480885</v>
      </c>
      <c r="AR459" s="789">
        <f t="shared" si="274"/>
        <v>-1.7390568097327086E-2</v>
      </c>
      <c r="AS459" s="784" t="str">
        <f t="shared" si="275"/>
        <v>No</v>
      </c>
      <c r="AT459" s="801">
        <f>IF(ISNUMBER('Base de datos Rutas'!CK457),'Base de datos Rutas'!CK457,"")</f>
        <v>489</v>
      </c>
      <c r="AU459" s="802">
        <f>IF(ISNUMBER('Base de datos Rutas'!CL457),'Base de datos Rutas'!CL457,"")</f>
        <v>643.79999999999995</v>
      </c>
      <c r="AV459" s="802">
        <f>IF(ISNUMBER('Base de datos Rutas'!CM457),'Base de datos Rutas'!CM457,"")</f>
        <v>154.79999999999995</v>
      </c>
      <c r="AW459" s="802">
        <f>IF(ISNUMBER('Base de datos Rutas'!CN457),'Base de datos Rutas'!CN457,"")</f>
        <v>13.16</v>
      </c>
      <c r="AX459" s="802">
        <f>IF(ISNUMBER('Base de datos Rutas'!CO457),'Base de datos Rutas'!CO457,"")</f>
        <v>9.4499999999999993</v>
      </c>
      <c r="AY459" s="802">
        <f>IF(ISNUMBER('Base de datos Rutas'!CP457),'Base de datos Rutas'!CP457,"")</f>
        <v>-3.7100000000000009</v>
      </c>
      <c r="AZ459" s="802">
        <f>IF(ISNUMBER('Base de datos Rutas'!CQ457),'Base de datos Rutas'!CQ457,"")</f>
        <v>846.56</v>
      </c>
      <c r="BA459" s="802">
        <f>IF(ISNUMBER('Base de datos Rutas'!CR457),'Base de datos Rutas'!CR457,"")</f>
        <v>647.77</v>
      </c>
      <c r="BB459" s="803">
        <f>IF(ISNUMBER('Base de datos Rutas'!CS457),'Base de datos Rutas'!CS457,"")</f>
        <v>198.78999999999996</v>
      </c>
      <c r="BC459" s="804">
        <f t="shared" si="285"/>
        <v>1</v>
      </c>
      <c r="BD459" s="805" t="str">
        <f t="shared" si="286"/>
        <v>Saturada</v>
      </c>
      <c r="BE459" s="806">
        <f t="shared" si="287"/>
        <v>0.76517907767907767</v>
      </c>
      <c r="BF459" s="890">
        <f>IF(ISNUMBER('Base de datos Rutas'!CX457),'Base de datos Rutas'!CX457/100,"")</f>
        <v>0.50045224793828147</v>
      </c>
      <c r="BG459" s="891">
        <f>IF(ISNUMBER('Base de datos Rutas'!CZ457),'Base de datos Rutas'!CZ457/100,"")</f>
        <v>0.54163341314179303</v>
      </c>
      <c r="BH459" s="892">
        <f>IF(ISNUMBER('Base de datos Rutas'!DA457),'Base de datos Rutas'!DA457,"")</f>
        <v>419.63562777862944</v>
      </c>
      <c r="BI459" s="893">
        <f>IF(ISNUMBER('Base de datos Rutas'!DC457),'Base de datos Rutas'!DC457,"")</f>
        <v>21.653973120752212</v>
      </c>
      <c r="BJ459" s="805" t="str">
        <f t="shared" si="288"/>
        <v>Ruta (completo)</v>
      </c>
      <c r="BK459" s="783">
        <f t="shared" si="276"/>
        <v>2</v>
      </c>
      <c r="BL459" s="797">
        <f t="shared" si="277"/>
        <v>2</v>
      </c>
      <c r="BM459" s="797">
        <f t="shared" si="278"/>
        <v>2</v>
      </c>
      <c r="BN459" s="797">
        <f t="shared" si="279"/>
        <v>2</v>
      </c>
      <c r="BO459" s="798" cm="1">
        <f t="array" ref="BO459">SUMPRODUCT(--ISNUMBER($BF459:$BI459),$BK$3:$BN$3)</f>
        <v>1</v>
      </c>
      <c r="BP459" s="831">
        <f t="shared" si="289"/>
        <v>25</v>
      </c>
      <c r="BQ459" s="834" t="str">
        <f t="shared" si="290"/>
        <v>Medio</v>
      </c>
      <c r="BR459" s="836">
        <f t="shared" si="280"/>
        <v>62.865289268266352</v>
      </c>
      <c r="BS459" s="836">
        <f t="shared" si="281"/>
        <v>25</v>
      </c>
      <c r="BT459" s="837" t="str">
        <f t="shared" si="282"/>
        <v>P2</v>
      </c>
      <c r="BU459" s="807" t="str">
        <f t="shared" si="291"/>
        <v>Al tope</v>
      </c>
      <c r="BV459" s="807" t="str">
        <f t="shared" si="283"/>
        <v>Zona de bajo potencial</v>
      </c>
      <c r="BW459" s="808" t="str">
        <f t="shared" si="284"/>
        <v>P2 - Mantener</v>
      </c>
    </row>
    <row r="460" spans="1:75">
      <c r="A460" s="780" t="str">
        <f>'Base de datos Rutas'!A458</f>
        <v>Occidente</v>
      </c>
      <c r="B460" s="781" t="str">
        <f>'Base de datos Rutas'!B458</f>
        <v>Zapopan</v>
      </c>
      <c r="C460" s="781" t="str">
        <f>'Base de datos Rutas'!C458</f>
        <v>Suc. Belenes</v>
      </c>
      <c r="D460" s="782">
        <f>IF(ISNUMBER('Base de datos Rutas'!D458),'Base de datos Rutas'!D458,"Sin código")</f>
        <v>820376</v>
      </c>
      <c r="E460" s="783" t="str">
        <f>'Base de datos Rutas'!F458</f>
        <v>Activa</v>
      </c>
      <c r="F460" s="784" t="str">
        <f>'Base de datos Rutas'!H458</f>
        <v>Sí</v>
      </c>
      <c r="G460" s="785">
        <f>IF(ISNUMBER('Base de datos Rutas'!BE458),'Base de datos Rutas'!BE458,"")</f>
        <v>157.67126436781601</v>
      </c>
      <c r="H460" s="786">
        <f>IF(ISNUMBER('Base de datos Rutas'!BH458),'Base de datos Rutas'!BH458,"")</f>
        <v>0.54243515535013898</v>
      </c>
      <c r="I460" s="788">
        <f>IFERROR(IF(OR(NOT(ISNUMBER('Base de datos Rutas'!O458)),N('Base de datos Rutas'!BK458)=0),"",'Base de datos Rutas'!O458/('Base de datos Rutas'!L458/'Base de datos Rutas'!BK458)),"")</f>
        <v>4891.8712643678246</v>
      </c>
      <c r="J460" s="788">
        <f>IFERROR(IF(OR(NOT(ISNUMBER('Base de datos Rutas'!N458)),N('Base de datos Rutas'!BK458)=0),"",'Base de datos Rutas'!N458/('Base de datos Rutas'!L458/'Base de datos Rutas'!BK458)),"")</f>
        <v>10109.685057471281</v>
      </c>
      <c r="K460" s="788">
        <f>IFERROR(IF(OR(NOT(ISNUMBER('Base de datos Rutas'!J458)),N('Base de datos Rutas'!BK458)=0),"",'Base de datos Rutas'!J458/('Base de datos Rutas'!L458/'Base de datos Rutas'!BK458)),"")</f>
        <v>690.08269609194599</v>
      </c>
      <c r="L460" s="788">
        <f>IFERROR(IF(OR(NOT(ISNUMBER('Base de datos Rutas'!K458)),N('Base de datos Rutas'!BK458)=0),"",'Base de datos Rutas'!K458/('Base de datos Rutas'!L458/'Base de datos Rutas'!BK458)),"")</f>
        <v>36.403919140229945</v>
      </c>
      <c r="M460" s="787">
        <f>IF(ISNUMBER('Base de datos Rutas'!AX458),'Base de datos Rutas'!AX458,"")</f>
        <v>175.40247688420601</v>
      </c>
      <c r="N460" s="790">
        <f>IFERROR(INDEX('Hoja de apoyo v2'!B$17:B$20,MATCH($A460,'Hoja de apoyo v2'!$A$17:$A$20,0)),"")</f>
        <v>89.41621024641401</v>
      </c>
      <c r="O460" s="791">
        <f>IFERROR(INDEX('Hoja de apoyo v2'!C$17:C$20,MATCH($A460,'Hoja de apoyo v2'!$A$17:$A$20,0)),"")</f>
        <v>0.54706375874806301</v>
      </c>
      <c r="P460" s="793">
        <f>IFERROR(INDEX('Hoja de apoyo v2'!D$17:D$20,MATCH($A460,'Hoja de apoyo v2'!$A$17:$A$20,0)),"")</f>
        <v>11095.153935793827</v>
      </c>
      <c r="Q460" s="793">
        <f>IFERROR(INDEX('Hoja de apoyo v2'!E$17:E$20,MATCH($A460,'Hoja de apoyo v2'!$A$17:$A$20,0)),"")</f>
        <v>6982.3202019701848</v>
      </c>
      <c r="R460" s="793">
        <f>IFERROR(INDEX('Hoja de apoyo v2'!F$17:F$20,MATCH($A460,'Hoja de apoyo v2'!$A$17:$A$20,0)),"")</f>
        <v>448.09513474485743</v>
      </c>
      <c r="S460" s="793">
        <f>IFERROR(INDEX('Hoja de apoyo v2'!G$17:G$20,MATCH($A460,'Hoja de apoyo v2'!$A$17:$A$20,0)),"")</f>
        <v>83.406300904207839</v>
      </c>
      <c r="T460" s="792">
        <f>IFERROR(INDEX('Hoja de apoyo v2'!H$17:H$20,MATCH($A460,'Hoja de apoyo v2'!$A$17:$A$20,0)),"")</f>
        <v>378.97014028925349</v>
      </c>
      <c r="U460" s="794">
        <f t="shared" si="256"/>
        <v>1.7633409415731678</v>
      </c>
      <c r="V460" s="795">
        <f t="shared" si="257"/>
        <v>0.99153918839640109</v>
      </c>
      <c r="W460" s="795">
        <f t="shared" si="258"/>
        <v>0.44090161278306095</v>
      </c>
      <c r="X460" s="843">
        <f t="shared" si="259"/>
        <v>1.4478976565151873</v>
      </c>
      <c r="Y460" s="843">
        <f t="shared" si="260"/>
        <v>1.5400361275622303</v>
      </c>
      <c r="Z460" s="843">
        <f t="shared" si="261"/>
        <v>0.43646485631870735</v>
      </c>
      <c r="AA460" s="843">
        <f t="shared" si="262"/>
        <v>0.46283983416299757</v>
      </c>
      <c r="AB460" s="796">
        <f t="shared" si="263"/>
        <v>5</v>
      </c>
      <c r="AC460" s="797">
        <f t="shared" si="264"/>
        <v>3</v>
      </c>
      <c r="AD460" s="797">
        <f t="shared" si="265"/>
        <v>1</v>
      </c>
      <c r="AE460" s="842">
        <f t="shared" si="266"/>
        <v>5</v>
      </c>
      <c r="AF460" s="842">
        <f t="shared" si="267"/>
        <v>5</v>
      </c>
      <c r="AG460" s="842">
        <f t="shared" si="268"/>
        <v>1</v>
      </c>
      <c r="AH460" s="842">
        <f t="shared" si="269"/>
        <v>1</v>
      </c>
      <c r="AI460" s="826" cm="1">
        <f t="array" ref="AI460">SUMPRODUCT(--ISNUMBER($U460:$AA460),$AB$3:$AH$3)</f>
        <v>1</v>
      </c>
      <c r="AJ460" s="829">
        <f t="shared" si="270"/>
        <v>48.242324517361915</v>
      </c>
      <c r="AK460" s="827" t="str">
        <f t="shared" si="271"/>
        <v>En desarrollo</v>
      </c>
      <c r="AL460" s="784" t="str">
        <f t="shared" si="272"/>
        <v>Alta</v>
      </c>
      <c r="AM460" s="799">
        <f>IF(ISNUMBER('Base de datos Rutas'!W458),'Base de datos Rutas'!W458,"")</f>
        <v>3116.1708958203221</v>
      </c>
      <c r="AN460" s="787">
        <f>IFERROR(SUMIFS('Base de datos Rutas'!$W$6:$W$794,'Base de datos Rutas'!$C$6:$C$794,$C460)/'Base de datos Rutas'!I458,"")</f>
        <v>3116.1708958203185</v>
      </c>
      <c r="AO460" s="800">
        <f>IFERROR('Base de datos Rutas'!X458*AN460/AM460,"")</f>
        <v>0.37418782761251823</v>
      </c>
      <c r="AP460" s="800">
        <f t="shared" si="273"/>
        <v>0.62581217238748177</v>
      </c>
      <c r="AQ460" s="789">
        <f>IFERROR(INDEX('Hoja de apoyo v2'!$J$17:$J$20,MATCH($A460,'Hoja de apoyo v2'!$A$17:$A$20,0)),"")</f>
        <v>0.64320274048480885</v>
      </c>
      <c r="AR460" s="789">
        <f t="shared" si="274"/>
        <v>-1.7390568097327086E-2</v>
      </c>
      <c r="AS460" s="784" t="str">
        <f t="shared" si="275"/>
        <v>No</v>
      </c>
      <c r="AT460" s="801">
        <f>IF(ISNUMBER('Base de datos Rutas'!CK458),'Base de datos Rutas'!CK458,"")</f>
        <v>623</v>
      </c>
      <c r="AU460" s="802">
        <f>IF(ISNUMBER('Base de datos Rutas'!CL458),'Base de datos Rutas'!CL458,"")</f>
        <v>919.87</v>
      </c>
      <c r="AV460" s="802">
        <f>IF(ISNUMBER('Base de datos Rutas'!CM458),'Base de datos Rutas'!CM458,"")</f>
        <v>296.87</v>
      </c>
      <c r="AW460" s="802">
        <f>IF(ISNUMBER('Base de datos Rutas'!CN458),'Base de datos Rutas'!CN458,"")</f>
        <v>15.35</v>
      </c>
      <c r="AX460" s="802">
        <f>IF(ISNUMBER('Base de datos Rutas'!CO458),'Base de datos Rutas'!CO458,"")</f>
        <v>9.4499999999999993</v>
      </c>
      <c r="AY460" s="802">
        <f>IF(ISNUMBER('Base de datos Rutas'!CP458),'Base de datos Rutas'!CP458,"")</f>
        <v>-5.9</v>
      </c>
      <c r="AZ460" s="802">
        <f>IF(ISNUMBER('Base de datos Rutas'!CQ458),'Base de datos Rutas'!CQ458,"")</f>
        <v>846.56</v>
      </c>
      <c r="BA460" s="802">
        <f>IF(ISNUMBER('Base de datos Rutas'!CR458),'Base de datos Rutas'!CR458,"")</f>
        <v>726.49</v>
      </c>
      <c r="BB460" s="803">
        <f>IF(ISNUMBER('Base de datos Rutas'!CS458),'Base de datos Rutas'!CS458,"")</f>
        <v>120.06999999999994</v>
      </c>
      <c r="BC460" s="804">
        <f t="shared" si="285"/>
        <v>1</v>
      </c>
      <c r="BD460" s="805" t="str">
        <f t="shared" si="286"/>
        <v>Saturada</v>
      </c>
      <c r="BE460" s="806">
        <f t="shared" si="287"/>
        <v>0.85816717066717074</v>
      </c>
      <c r="BF460" s="890">
        <f>IF(ISNUMBER('Base de datos Rutas'!CX458),'Base de datos Rutas'!CX458/100,"")</f>
        <v>0.58405453573338084</v>
      </c>
      <c r="BG460" s="891">
        <f>IF(ISNUMBER('Base de datos Rutas'!CZ458),'Base de datos Rutas'!CZ458/100,"")</f>
        <v>0.63696310818036006</v>
      </c>
      <c r="BH460" s="892">
        <f>IF(ISNUMBER('Base de datos Rutas'!DA458),'Base de datos Rutas'!DA458,"")</f>
        <v>652.76192604102664</v>
      </c>
      <c r="BI460" s="893">
        <f>IF(ISNUMBER('Base de datos Rutas'!DC458),'Base de datos Rutas'!DC458,"")</f>
        <v>31.91206475430231</v>
      </c>
      <c r="BJ460" s="805" t="str">
        <f t="shared" si="288"/>
        <v>Ruta (completo)</v>
      </c>
      <c r="BK460" s="783">
        <f t="shared" si="276"/>
        <v>2</v>
      </c>
      <c r="BL460" s="797">
        <f t="shared" si="277"/>
        <v>2</v>
      </c>
      <c r="BM460" s="797">
        <f t="shared" si="278"/>
        <v>3</v>
      </c>
      <c r="BN460" s="797">
        <f t="shared" si="279"/>
        <v>3</v>
      </c>
      <c r="BO460" s="798" cm="1">
        <f t="array" ref="BO460">SUMPRODUCT(--ISNUMBER($BF460:$BI460),$BK$3:$BN$3)</f>
        <v>1</v>
      </c>
      <c r="BP460" s="831">
        <f t="shared" si="289"/>
        <v>37.5</v>
      </c>
      <c r="BQ460" s="834" t="str">
        <f t="shared" si="290"/>
        <v>Medio</v>
      </c>
      <c r="BR460" s="836">
        <f t="shared" si="280"/>
        <v>61.181743388021438</v>
      </c>
      <c r="BS460" s="836">
        <f t="shared" si="281"/>
        <v>37.5</v>
      </c>
      <c r="BT460" s="837" t="str">
        <f t="shared" si="282"/>
        <v>P2</v>
      </c>
      <c r="BU460" s="807" t="str">
        <f t="shared" si="291"/>
        <v>Al tope</v>
      </c>
      <c r="BV460" s="807" t="str">
        <f t="shared" si="283"/>
        <v>Zona de bajo potencial</v>
      </c>
      <c r="BW460" s="808" t="str">
        <f t="shared" si="284"/>
        <v>P2 - Mantener</v>
      </c>
    </row>
    <row r="461" spans="1:75">
      <c r="A461" s="780" t="str">
        <f>'Base de datos Rutas'!A459</f>
        <v>Occidente</v>
      </c>
      <c r="B461" s="781" t="str">
        <f>'Base de datos Rutas'!B459</f>
        <v>Zapopan</v>
      </c>
      <c r="C461" s="781" t="str">
        <f>'Base de datos Rutas'!C459</f>
        <v>Suc. Belenes</v>
      </c>
      <c r="D461" s="782">
        <f>IF(ISNUMBER('Base de datos Rutas'!D459),'Base de datos Rutas'!D459,"Sin código")</f>
        <v>820377</v>
      </c>
      <c r="E461" s="783" t="str">
        <f>'Base de datos Rutas'!F459</f>
        <v>Activa</v>
      </c>
      <c r="F461" s="784" t="str">
        <f>'Base de datos Rutas'!H459</f>
        <v>Sí</v>
      </c>
      <c r="G461" s="785">
        <f>IF(ISNUMBER('Base de datos Rutas'!BE459),'Base de datos Rutas'!BE459,"")</f>
        <v>90.852534562212</v>
      </c>
      <c r="H461" s="786">
        <f>IF(ISNUMBER('Base de datos Rutas'!BH459),'Base de datos Rutas'!BH459,"")</f>
        <v>0.43804209992391602</v>
      </c>
      <c r="I461" s="788">
        <f>IFERROR(IF(OR(NOT(ISNUMBER('Base de datos Rutas'!O459)),N('Base de datos Rutas'!BK459)=0),"",'Base de datos Rutas'!O459/('Base de datos Rutas'!L459/'Base de datos Rutas'!BK459)),"")</f>
        <v>3151.059907834092</v>
      </c>
      <c r="J461" s="788">
        <f>IFERROR(IF(OR(NOT(ISNUMBER('Base de datos Rutas'!N459)),N('Base de datos Rutas'!BK459)=0),"",'Base de datos Rutas'!N459/('Base de datos Rutas'!L459/'Base de datos Rutas'!BK459)),"")</f>
        <v>7026.9723502303932</v>
      </c>
      <c r="K461" s="788">
        <f>IFERROR(IF(OR(NOT(ISNUMBER('Base de datos Rutas'!J459)),N('Base de datos Rutas'!BK459)=0),"",'Base de datos Rutas'!J459/('Base de datos Rutas'!L459/'Base de datos Rutas'!BK459)),"")</f>
        <v>485.35263225806307</v>
      </c>
      <c r="L461" s="788">
        <f>IFERROR(IF(OR(NOT(ISNUMBER('Base de datos Rutas'!K459)),N('Base de datos Rutas'!BK459)=0),"",'Base de datos Rutas'!K459/('Base de datos Rutas'!L459/'Base de datos Rutas'!BK459)),"")</f>
        <v>22.618598640552925</v>
      </c>
      <c r="M461" s="787">
        <f>IF(ISNUMBER('Base de datos Rutas'!AX459),'Base de datos Rutas'!AX459,"")</f>
        <v>255.49892774432601</v>
      </c>
      <c r="N461" s="790">
        <f>IFERROR(INDEX('Hoja de apoyo v2'!B$17:B$20,MATCH($A461,'Hoja de apoyo v2'!$A$17:$A$20,0)),"")</f>
        <v>89.41621024641401</v>
      </c>
      <c r="O461" s="791">
        <f>IFERROR(INDEX('Hoja de apoyo v2'!C$17:C$20,MATCH($A461,'Hoja de apoyo v2'!$A$17:$A$20,0)),"")</f>
        <v>0.54706375874806301</v>
      </c>
      <c r="P461" s="793">
        <f>IFERROR(INDEX('Hoja de apoyo v2'!D$17:D$20,MATCH($A461,'Hoja de apoyo v2'!$A$17:$A$20,0)),"")</f>
        <v>11095.153935793827</v>
      </c>
      <c r="Q461" s="793">
        <f>IFERROR(INDEX('Hoja de apoyo v2'!E$17:E$20,MATCH($A461,'Hoja de apoyo v2'!$A$17:$A$20,0)),"")</f>
        <v>6982.3202019701848</v>
      </c>
      <c r="R461" s="793">
        <f>IFERROR(INDEX('Hoja de apoyo v2'!F$17:F$20,MATCH($A461,'Hoja de apoyo v2'!$A$17:$A$20,0)),"")</f>
        <v>448.09513474485743</v>
      </c>
      <c r="S461" s="793">
        <f>IFERROR(INDEX('Hoja de apoyo v2'!G$17:G$20,MATCH($A461,'Hoja de apoyo v2'!$A$17:$A$20,0)),"")</f>
        <v>83.406300904207839</v>
      </c>
      <c r="T461" s="792">
        <f>IFERROR(INDEX('Hoja de apoyo v2'!H$17:H$20,MATCH($A461,'Hoja de apoyo v2'!$A$17:$A$20,0)),"")</f>
        <v>378.97014028925349</v>
      </c>
      <c r="U461" s="794">
        <f t="shared" si="256"/>
        <v>1.0160633548641769</v>
      </c>
      <c r="V461" s="795">
        <f t="shared" si="257"/>
        <v>0.80071489459722323</v>
      </c>
      <c r="W461" s="795">
        <f t="shared" si="258"/>
        <v>0.28400326179058483</v>
      </c>
      <c r="X461" s="843">
        <f t="shared" si="259"/>
        <v>1.0063950301573981</v>
      </c>
      <c r="Y461" s="843">
        <f t="shared" si="260"/>
        <v>1.0831464004500291</v>
      </c>
      <c r="Z461" s="843">
        <f t="shared" si="261"/>
        <v>0.27118573051849393</v>
      </c>
      <c r="AA461" s="843">
        <f t="shared" si="262"/>
        <v>0.67419276766584668</v>
      </c>
      <c r="AB461" s="796">
        <f t="shared" si="263"/>
        <v>4</v>
      </c>
      <c r="AC461" s="797">
        <f t="shared" si="264"/>
        <v>3</v>
      </c>
      <c r="AD461" s="797">
        <f t="shared" si="265"/>
        <v>1</v>
      </c>
      <c r="AE461" s="842">
        <f t="shared" si="266"/>
        <v>4</v>
      </c>
      <c r="AF461" s="842">
        <f t="shared" si="267"/>
        <v>4</v>
      </c>
      <c r="AG461" s="842">
        <f t="shared" si="268"/>
        <v>1</v>
      </c>
      <c r="AH461" s="842">
        <f t="shared" si="269"/>
        <v>2</v>
      </c>
      <c r="AI461" s="826" cm="1">
        <f t="array" ref="AI461">SUMPRODUCT(--ISNUMBER($U461:$AA461),$AB$3:$AH$3)</f>
        <v>1</v>
      </c>
      <c r="AJ461" s="829">
        <f t="shared" si="270"/>
        <v>39.617924021293227</v>
      </c>
      <c r="AK461" s="827" t="str">
        <f t="shared" si="271"/>
        <v>Inmadura</v>
      </c>
      <c r="AL461" s="784" t="str">
        <f t="shared" si="272"/>
        <v>Alta</v>
      </c>
      <c r="AM461" s="799">
        <f>IF(ISNUMBER('Base de datos Rutas'!W459),'Base de datos Rutas'!W459,"")</f>
        <v>3116.1708958203221</v>
      </c>
      <c r="AN461" s="787">
        <f>IFERROR(SUMIFS('Base de datos Rutas'!$W$6:$W$794,'Base de datos Rutas'!$C$6:$C$794,$C461)/'Base de datos Rutas'!I459,"")</f>
        <v>3116.1708958203185</v>
      </c>
      <c r="AO461" s="800">
        <f>IFERROR('Base de datos Rutas'!X459*AN461/AM461,"")</f>
        <v>0.37418782761251823</v>
      </c>
      <c r="AP461" s="800">
        <f t="shared" si="273"/>
        <v>0.62581217238748177</v>
      </c>
      <c r="AQ461" s="789">
        <f>IFERROR(INDEX('Hoja de apoyo v2'!$J$17:$J$20,MATCH($A461,'Hoja de apoyo v2'!$A$17:$A$20,0)),"")</f>
        <v>0.64320274048480885</v>
      </c>
      <c r="AR461" s="789">
        <f t="shared" si="274"/>
        <v>-1.7390568097327086E-2</v>
      </c>
      <c r="AS461" s="784" t="str">
        <f t="shared" si="275"/>
        <v>No</v>
      </c>
      <c r="AT461" s="801">
        <f>IF(ISNUMBER('Base de datos Rutas'!CK459),'Base de datos Rutas'!CK459,"")</f>
        <v>355</v>
      </c>
      <c r="AU461" s="802">
        <f>IF(ISNUMBER('Base de datos Rutas'!CL459),'Base de datos Rutas'!CL459,"")</f>
        <v>623.82000000000005</v>
      </c>
      <c r="AV461" s="802">
        <f>IF(ISNUMBER('Base de datos Rutas'!CM459),'Base de datos Rutas'!CM459,"")</f>
        <v>268.82000000000005</v>
      </c>
      <c r="AW461" s="802">
        <f>IF(ISNUMBER('Base de datos Rutas'!CN459),'Base de datos Rutas'!CN459,"")</f>
        <v>8.76</v>
      </c>
      <c r="AX461" s="802">
        <f>IF(ISNUMBER('Base de datos Rutas'!CO459),'Base de datos Rutas'!CO459,"")</f>
        <v>9.4499999999999993</v>
      </c>
      <c r="AY461" s="802">
        <f>IF(ISNUMBER('Base de datos Rutas'!CP459),'Base de datos Rutas'!CP459,"")</f>
        <v>0.6899999999999995</v>
      </c>
      <c r="AZ461" s="802">
        <f>IF(ISNUMBER('Base de datos Rutas'!CQ459),'Base de datos Rutas'!CQ459,"")</f>
        <v>846.56</v>
      </c>
      <c r="BA461" s="802">
        <f>IF(ISNUMBER('Base de datos Rutas'!CR459),'Base de datos Rutas'!CR459,"")</f>
        <v>507.97</v>
      </c>
      <c r="BB461" s="803">
        <f>IF(ISNUMBER('Base de datos Rutas'!CS459),'Base de datos Rutas'!CS459,"")</f>
        <v>338.58999999999992</v>
      </c>
      <c r="BC461" s="804">
        <f t="shared" si="285"/>
        <v>0</v>
      </c>
      <c r="BD461" s="805" t="str">
        <f t="shared" si="286"/>
        <v>No saturada</v>
      </c>
      <c r="BE461" s="806">
        <f t="shared" si="287"/>
        <v>0.60004016254016257</v>
      </c>
      <c r="BF461" s="890">
        <f>IF(ISNUMBER('Base de datos Rutas'!CX459),'Base de datos Rutas'!CX459/100,"")</f>
        <v>0.66829251928882927</v>
      </c>
      <c r="BG461" s="891">
        <f>IF(ISNUMBER('Base de datos Rutas'!CZ459),'Base de datos Rutas'!CZ459/100,"")</f>
        <v>0.75847031197584702</v>
      </c>
      <c r="BH461" s="892">
        <f>IF(ISNUMBER('Base de datos Rutas'!DA459),'Base de datos Rutas'!DA459,"")</f>
        <v>841.16392907914894</v>
      </c>
      <c r="BI461" s="893">
        <f>IF(ISNUMBER('Base de datos Rutas'!DC459),'Base de datos Rutas'!DC459,"")</f>
        <v>42.353087247909116</v>
      </c>
      <c r="BJ461" s="805" t="str">
        <f t="shared" si="288"/>
        <v>Ruta (completo)</v>
      </c>
      <c r="BK461" s="783">
        <f t="shared" si="276"/>
        <v>2</v>
      </c>
      <c r="BL461" s="797">
        <f t="shared" si="277"/>
        <v>2</v>
      </c>
      <c r="BM461" s="797">
        <f t="shared" si="278"/>
        <v>4</v>
      </c>
      <c r="BN461" s="797">
        <f t="shared" si="279"/>
        <v>4</v>
      </c>
      <c r="BO461" s="798" cm="1">
        <f t="array" ref="BO461">SUMPRODUCT(--ISNUMBER($BF461:$BI461),$BK$3:$BN$3)</f>
        <v>1</v>
      </c>
      <c r="BP461" s="831">
        <f t="shared" si="289"/>
        <v>50</v>
      </c>
      <c r="BQ461" s="834" t="str">
        <f t="shared" si="290"/>
        <v>Alto</v>
      </c>
      <c r="BR461" s="836">
        <f t="shared" si="280"/>
        <v>29.713443015969922</v>
      </c>
      <c r="BS461" s="836">
        <f t="shared" si="281"/>
        <v>50</v>
      </c>
      <c r="BT461" s="837" t="str">
        <f t="shared" si="282"/>
        <v>P1</v>
      </c>
      <c r="BU461" s="807" t="str">
        <f t="shared" si="291"/>
        <v>Con espacio</v>
      </c>
      <c r="BV461" s="807" t="str">
        <f t="shared" si="283"/>
        <v>Zona atractiva</v>
      </c>
      <c r="BW461" s="808" t="str">
        <f t="shared" si="284"/>
        <v>P1 - Ampliar cobertura</v>
      </c>
    </row>
    <row r="462" spans="1:75">
      <c r="A462" s="780" t="str">
        <f>'Base de datos Rutas'!A460</f>
        <v>Occidente</v>
      </c>
      <c r="B462" s="781" t="str">
        <f>'Base de datos Rutas'!B460</f>
        <v>Zapopan</v>
      </c>
      <c r="C462" s="781" t="str">
        <f>'Base de datos Rutas'!C460</f>
        <v>Suc. Belenes</v>
      </c>
      <c r="D462" s="782">
        <f>IF(ISNUMBER('Base de datos Rutas'!D460),'Base de datos Rutas'!D460,"Sin código")</f>
        <v>820378</v>
      </c>
      <c r="E462" s="783" t="str">
        <f>'Base de datos Rutas'!F460</f>
        <v>Inactiva</v>
      </c>
      <c r="F462" s="784" t="str">
        <f>'Base de datos Rutas'!H460</f>
        <v>No</v>
      </c>
      <c r="G462" s="785" t="str">
        <f>IF(ISNUMBER('Base de datos Rutas'!BE460),'Base de datos Rutas'!BE460,"")</f>
        <v/>
      </c>
      <c r="H462" s="786" t="str">
        <f>IF(ISNUMBER('Base de datos Rutas'!BH460),'Base de datos Rutas'!BH460,"")</f>
        <v/>
      </c>
      <c r="I462" s="788" t="str">
        <f>IFERROR(IF(OR(NOT(ISNUMBER('Base de datos Rutas'!O460)),N('Base de datos Rutas'!BK460)=0),"",'Base de datos Rutas'!O460/('Base de datos Rutas'!L460/'Base de datos Rutas'!BK460)),"")</f>
        <v/>
      </c>
      <c r="J462" s="788" t="str">
        <f>IFERROR(IF(OR(NOT(ISNUMBER('Base de datos Rutas'!N460)),N('Base de datos Rutas'!BK460)=0),"",'Base de datos Rutas'!N460/('Base de datos Rutas'!L460/'Base de datos Rutas'!BK460)),"")</f>
        <v/>
      </c>
      <c r="K462" s="788" t="str">
        <f>IFERROR(IF(OR(NOT(ISNUMBER('Base de datos Rutas'!J460)),N('Base de datos Rutas'!BK460)=0),"",'Base de datos Rutas'!J460/('Base de datos Rutas'!L460/'Base de datos Rutas'!BK460)),"")</f>
        <v/>
      </c>
      <c r="L462" s="788" t="str">
        <f>IFERROR(IF(OR(NOT(ISNUMBER('Base de datos Rutas'!K460)),N('Base de datos Rutas'!BK460)=0),"",'Base de datos Rutas'!K460/('Base de datos Rutas'!L460/'Base de datos Rutas'!BK460)),"")</f>
        <v/>
      </c>
      <c r="M462" s="787">
        <f>IF(ISNUMBER('Base de datos Rutas'!AX460),'Base de datos Rutas'!AX460,"")</f>
        <v>18332.888888888901</v>
      </c>
      <c r="N462" s="790">
        <f>IFERROR(INDEX('Hoja de apoyo v2'!B$17:B$20,MATCH($A462,'Hoja de apoyo v2'!$A$17:$A$20,0)),"")</f>
        <v>89.41621024641401</v>
      </c>
      <c r="O462" s="791">
        <f>IFERROR(INDEX('Hoja de apoyo v2'!C$17:C$20,MATCH($A462,'Hoja de apoyo v2'!$A$17:$A$20,0)),"")</f>
        <v>0.54706375874806301</v>
      </c>
      <c r="P462" s="793">
        <f>IFERROR(INDEX('Hoja de apoyo v2'!D$17:D$20,MATCH($A462,'Hoja de apoyo v2'!$A$17:$A$20,0)),"")</f>
        <v>11095.153935793827</v>
      </c>
      <c r="Q462" s="793">
        <f>IFERROR(INDEX('Hoja de apoyo v2'!E$17:E$20,MATCH($A462,'Hoja de apoyo v2'!$A$17:$A$20,0)),"")</f>
        <v>6982.3202019701848</v>
      </c>
      <c r="R462" s="793">
        <f>IFERROR(INDEX('Hoja de apoyo v2'!F$17:F$20,MATCH($A462,'Hoja de apoyo v2'!$A$17:$A$20,0)),"")</f>
        <v>448.09513474485743</v>
      </c>
      <c r="S462" s="793">
        <f>IFERROR(INDEX('Hoja de apoyo v2'!G$17:G$20,MATCH($A462,'Hoja de apoyo v2'!$A$17:$A$20,0)),"")</f>
        <v>83.406300904207839</v>
      </c>
      <c r="T462" s="792">
        <f>IFERROR(INDEX('Hoja de apoyo v2'!H$17:H$20,MATCH($A462,'Hoja de apoyo v2'!$A$17:$A$20,0)),"")</f>
        <v>378.97014028925349</v>
      </c>
      <c r="U462" s="794" t="str">
        <f t="shared" si="256"/>
        <v/>
      </c>
      <c r="V462" s="795" t="str">
        <f t="shared" si="257"/>
        <v/>
      </c>
      <c r="W462" s="795" t="str">
        <f t="shared" si="258"/>
        <v/>
      </c>
      <c r="X462" s="843" t="str">
        <f t="shared" si="259"/>
        <v/>
      </c>
      <c r="Y462" s="843" t="str">
        <f t="shared" si="260"/>
        <v/>
      </c>
      <c r="Z462" s="843" t="str">
        <f t="shared" si="261"/>
        <v/>
      </c>
      <c r="AA462" s="843">
        <f t="shared" si="262"/>
        <v>48.375549785785509</v>
      </c>
      <c r="AB462" s="796">
        <f t="shared" si="263"/>
        <v>0</v>
      </c>
      <c r="AC462" s="797">
        <f t="shared" si="264"/>
        <v>0</v>
      </c>
      <c r="AD462" s="797">
        <f t="shared" si="265"/>
        <v>0</v>
      </c>
      <c r="AE462" s="842">
        <f t="shared" si="266"/>
        <v>0</v>
      </c>
      <c r="AF462" s="842">
        <f t="shared" si="267"/>
        <v>0</v>
      </c>
      <c r="AG462" s="842">
        <f t="shared" si="268"/>
        <v>0</v>
      </c>
      <c r="AH462" s="842">
        <f t="shared" si="269"/>
        <v>5</v>
      </c>
      <c r="AI462" s="826" cm="1">
        <f t="array" ref="AI462">SUMPRODUCT(--ISNUMBER($U462:$AA462),$AB$3:$AH$3)</f>
        <v>8.9789113613062493E-2</v>
      </c>
      <c r="AJ462" s="829" t="str">
        <f t="shared" si="270"/>
        <v/>
      </c>
      <c r="AK462" s="827" t="str">
        <f t="shared" si="271"/>
        <v>Ruta inactiva</v>
      </c>
      <c r="AL462" s="784" t="str">
        <f t="shared" si="272"/>
        <v>n/a</v>
      </c>
      <c r="AM462" s="799">
        <f>IF(ISNUMBER('Base de datos Rutas'!W460),'Base de datos Rutas'!W460,"")</f>
        <v>3116.1708958203221</v>
      </c>
      <c r="AN462" s="787">
        <f>IFERROR(SUMIFS('Base de datos Rutas'!$W$6:$W$794,'Base de datos Rutas'!$C$6:$C$794,$C462)/'Base de datos Rutas'!I460,"")</f>
        <v>3116.1708958203185</v>
      </c>
      <c r="AO462" s="800">
        <f>IFERROR('Base de datos Rutas'!X460*AN462/AM462,"")</f>
        <v>0.37418782761251823</v>
      </c>
      <c r="AP462" s="800">
        <f t="shared" si="273"/>
        <v>0.62581217238748177</v>
      </c>
      <c r="AQ462" s="789">
        <f>IFERROR(INDEX('Hoja de apoyo v2'!$J$17:$J$20,MATCH($A462,'Hoja de apoyo v2'!$A$17:$A$20,0)),"")</f>
        <v>0.64320274048480885</v>
      </c>
      <c r="AR462" s="789">
        <f t="shared" si="274"/>
        <v>-1.7390568097327086E-2</v>
      </c>
      <c r="AS462" s="784" t="str">
        <f t="shared" si="275"/>
        <v>No</v>
      </c>
      <c r="AT462" s="801" t="str">
        <f>IF(ISNUMBER('Base de datos Rutas'!CK460),'Base de datos Rutas'!CK460,"")</f>
        <v/>
      </c>
      <c r="AU462" s="802" t="str">
        <f>IF(ISNUMBER('Base de datos Rutas'!CL460),'Base de datos Rutas'!CL460,"")</f>
        <v/>
      </c>
      <c r="AV462" s="802">
        <f>IF(ISNUMBER('Base de datos Rutas'!CM460),'Base de datos Rutas'!CM460,"")</f>
        <v>0</v>
      </c>
      <c r="AW462" s="802" t="str">
        <f>IF(ISNUMBER('Base de datos Rutas'!CN460),'Base de datos Rutas'!CN460,"")</f>
        <v/>
      </c>
      <c r="AX462" s="802" t="str">
        <f>IF(ISNUMBER('Base de datos Rutas'!CO460),'Base de datos Rutas'!CO460,"")</f>
        <v/>
      </c>
      <c r="AY462" s="802">
        <f>IF(ISNUMBER('Base de datos Rutas'!CP460),'Base de datos Rutas'!CP460,"")</f>
        <v>0</v>
      </c>
      <c r="AZ462" s="802" t="str">
        <f>IF(ISNUMBER('Base de datos Rutas'!CQ460),'Base de datos Rutas'!CQ460,"")</f>
        <v/>
      </c>
      <c r="BA462" s="802" t="str">
        <f>IF(ISNUMBER('Base de datos Rutas'!CR460),'Base de datos Rutas'!CR460,"")</f>
        <v/>
      </c>
      <c r="BB462" s="803">
        <f>IF(ISNUMBER('Base de datos Rutas'!CS460),'Base de datos Rutas'!CS460,"")</f>
        <v>0</v>
      </c>
      <c r="BC462" s="804" t="str">
        <f t="shared" si="285"/>
        <v/>
      </c>
      <c r="BD462" s="805" t="str">
        <f t="shared" si="286"/>
        <v>N/D</v>
      </c>
      <c r="BE462" s="806" t="str">
        <f t="shared" si="287"/>
        <v/>
      </c>
      <c r="BF462" s="890" t="str">
        <f>IF(ISNUMBER('Base de datos Rutas'!CX460),'Base de datos Rutas'!CX460/100,"")</f>
        <v/>
      </c>
      <c r="BG462" s="891" t="str">
        <f>IF(ISNUMBER('Base de datos Rutas'!CZ460),'Base de datos Rutas'!CZ460/100,"")</f>
        <v/>
      </c>
      <c r="BH462" s="892" t="str">
        <f>IF(ISNUMBER('Base de datos Rutas'!DA460),'Base de datos Rutas'!DA460,"")</f>
        <v/>
      </c>
      <c r="BI462" s="893" t="str">
        <f>IF(ISNUMBER('Base de datos Rutas'!DC460),'Base de datos Rutas'!DC460,"")</f>
        <v/>
      </c>
      <c r="BJ462" s="805" t="str">
        <f t="shared" si="288"/>
        <v>Sin dato</v>
      </c>
      <c r="BK462" s="783">
        <f t="shared" si="276"/>
        <v>0</v>
      </c>
      <c r="BL462" s="797">
        <f t="shared" si="277"/>
        <v>0</v>
      </c>
      <c r="BM462" s="797">
        <f t="shared" si="278"/>
        <v>0</v>
      </c>
      <c r="BN462" s="797">
        <f t="shared" si="279"/>
        <v>0</v>
      </c>
      <c r="BO462" s="798" cm="1">
        <f t="array" ref="BO462">SUMPRODUCT(--ISNUMBER($BF462:$BI462),$BK$3:$BN$3)</f>
        <v>0</v>
      </c>
      <c r="BP462" s="831" t="str">
        <f t="shared" si="289"/>
        <v/>
      </c>
      <c r="BQ462" s="834" t="str">
        <f t="shared" si="290"/>
        <v>Sin datos</v>
      </c>
      <c r="BR462" s="836" t="str">
        <f t="shared" si="280"/>
        <v/>
      </c>
      <c r="BS462" s="836" t="str">
        <f t="shared" si="281"/>
        <v/>
      </c>
      <c r="BT462" s="837" t="str">
        <f t="shared" si="282"/>
        <v>Sin datos</v>
      </c>
      <c r="BU462" s="807" t="str">
        <f t="shared" si="291"/>
        <v>No evaluable</v>
      </c>
      <c r="BV462" s="807" t="str">
        <f t="shared" si="283"/>
        <v>No evaluable</v>
      </c>
      <c r="BW462" s="808" t="str">
        <f t="shared" si="284"/>
        <v>Sin datos</v>
      </c>
    </row>
    <row r="463" spans="1:75">
      <c r="A463" s="780" t="str">
        <f>'Base de datos Rutas'!A461</f>
        <v>Occidente</v>
      </c>
      <c r="B463" s="781" t="str">
        <f>'Base de datos Rutas'!B461</f>
        <v>Zapopan</v>
      </c>
      <c r="C463" s="781" t="str">
        <f>'Base de datos Rutas'!C461</f>
        <v>Suc. Belenes</v>
      </c>
      <c r="D463" s="782">
        <f>IF(ISNUMBER('Base de datos Rutas'!D461),'Base de datos Rutas'!D461,"Sin código")</f>
        <v>820379</v>
      </c>
      <c r="E463" s="783" t="str">
        <f>'Base de datos Rutas'!F461</f>
        <v>Activa</v>
      </c>
      <c r="F463" s="784" t="str">
        <f>'Base de datos Rutas'!H461</f>
        <v>Sí</v>
      </c>
      <c r="G463" s="785">
        <f>IF(ISNUMBER('Base de datos Rutas'!BE461),'Base de datos Rutas'!BE461,"")</f>
        <v>64.519540229885095</v>
      </c>
      <c r="H463" s="786">
        <f>IF(ISNUMBER('Base de datos Rutas'!BH461),'Base de datos Rutas'!BH461,"")</f>
        <v>0.36581629017316297</v>
      </c>
      <c r="I463" s="788">
        <f>IFERROR(IF(OR(NOT(ISNUMBER('Base de datos Rutas'!O461)),N('Base de datos Rutas'!BK461)=0),"",'Base de datos Rutas'!O461/('Base de datos Rutas'!L461/'Base de datos Rutas'!BK461)),"")</f>
        <v>3613.9011494252868</v>
      </c>
      <c r="J463" s="788">
        <f>IFERROR(IF(OR(NOT(ISNUMBER('Base de datos Rutas'!N461)),N('Base de datos Rutas'!BK461)=0),"",'Base de datos Rutas'!N461/('Base de datos Rutas'!L461/'Base de datos Rutas'!BK461)),"")</f>
        <v>5096.7172413793096</v>
      </c>
      <c r="K463" s="788">
        <f>IFERROR(IF(OR(NOT(ISNUMBER('Base de datos Rutas'!J461)),N('Base de datos Rutas'!BK461)=0),"",'Base de datos Rutas'!J461/('Base de datos Rutas'!L461/'Base de datos Rutas'!BK461)),"")</f>
        <v>352.20761011494244</v>
      </c>
      <c r="L463" s="788">
        <f>IFERROR(IF(OR(NOT(ISNUMBER('Base de datos Rutas'!K461)),N('Base de datos Rutas'!BK461)=0),"",'Base de datos Rutas'!K461/('Base de datos Rutas'!L461/'Base de datos Rutas'!BK461)),"")</f>
        <v>26.422913160919538</v>
      </c>
      <c r="M463" s="787">
        <f>IF(ISNUMBER('Base de datos Rutas'!AX461),'Base de datos Rutas'!AX461,"")</f>
        <v>369.05818252654097</v>
      </c>
      <c r="N463" s="790">
        <f>IFERROR(INDEX('Hoja de apoyo v2'!B$17:B$20,MATCH($A463,'Hoja de apoyo v2'!$A$17:$A$20,0)),"")</f>
        <v>89.41621024641401</v>
      </c>
      <c r="O463" s="791">
        <f>IFERROR(INDEX('Hoja de apoyo v2'!C$17:C$20,MATCH($A463,'Hoja de apoyo v2'!$A$17:$A$20,0)),"")</f>
        <v>0.54706375874806301</v>
      </c>
      <c r="P463" s="793">
        <f>IFERROR(INDEX('Hoja de apoyo v2'!D$17:D$20,MATCH($A463,'Hoja de apoyo v2'!$A$17:$A$20,0)),"")</f>
        <v>11095.153935793827</v>
      </c>
      <c r="Q463" s="793">
        <f>IFERROR(INDEX('Hoja de apoyo v2'!E$17:E$20,MATCH($A463,'Hoja de apoyo v2'!$A$17:$A$20,0)),"")</f>
        <v>6982.3202019701848</v>
      </c>
      <c r="R463" s="793">
        <f>IFERROR(INDEX('Hoja de apoyo v2'!F$17:F$20,MATCH($A463,'Hoja de apoyo v2'!$A$17:$A$20,0)),"")</f>
        <v>448.09513474485743</v>
      </c>
      <c r="S463" s="793">
        <f>IFERROR(INDEX('Hoja de apoyo v2'!G$17:G$20,MATCH($A463,'Hoja de apoyo v2'!$A$17:$A$20,0)),"")</f>
        <v>83.406300904207839</v>
      </c>
      <c r="T463" s="792">
        <f>IFERROR(INDEX('Hoja de apoyo v2'!H$17:H$20,MATCH($A463,'Hoja de apoyo v2'!$A$17:$A$20,0)),"")</f>
        <v>378.97014028925349</v>
      </c>
      <c r="U463" s="794">
        <f t="shared" si="256"/>
        <v>0.72156424491802496</v>
      </c>
      <c r="V463" s="795">
        <f t="shared" si="257"/>
        <v>0.66869041190065526</v>
      </c>
      <c r="W463" s="795">
        <f t="shared" si="258"/>
        <v>0.32571888324744747</v>
      </c>
      <c r="X463" s="843">
        <f t="shared" si="259"/>
        <v>0.72994607722819427</v>
      </c>
      <c r="Y463" s="843">
        <f t="shared" si="260"/>
        <v>0.78601078834629001</v>
      </c>
      <c r="Z463" s="843">
        <f t="shared" si="261"/>
        <v>0.31679756654435809</v>
      </c>
      <c r="AA463" s="843">
        <f t="shared" si="262"/>
        <v>0.97384501650935584</v>
      </c>
      <c r="AB463" s="796">
        <f t="shared" si="263"/>
        <v>2</v>
      </c>
      <c r="AC463" s="797">
        <f t="shared" si="264"/>
        <v>2</v>
      </c>
      <c r="AD463" s="797">
        <f t="shared" si="265"/>
        <v>1</v>
      </c>
      <c r="AE463" s="842">
        <f t="shared" si="266"/>
        <v>2</v>
      </c>
      <c r="AF463" s="842">
        <f t="shared" si="267"/>
        <v>3</v>
      </c>
      <c r="AG463" s="842">
        <f t="shared" si="268"/>
        <v>1</v>
      </c>
      <c r="AH463" s="842">
        <f t="shared" si="269"/>
        <v>3</v>
      </c>
      <c r="AI463" s="826" cm="1">
        <f t="array" ref="AI463">SUMPRODUCT(--ISNUMBER($U463:$AA463),$AB$3:$AH$3)</f>
        <v>1</v>
      </c>
      <c r="AJ463" s="829">
        <f t="shared" si="270"/>
        <v>20.667534114978636</v>
      </c>
      <c r="AK463" s="827" t="str">
        <f t="shared" si="271"/>
        <v>Inmadura</v>
      </c>
      <c r="AL463" s="784" t="str">
        <f t="shared" si="272"/>
        <v>Alta</v>
      </c>
      <c r="AM463" s="799">
        <f>IF(ISNUMBER('Base de datos Rutas'!W461),'Base de datos Rutas'!W461,"")</f>
        <v>3116.1708958203221</v>
      </c>
      <c r="AN463" s="787">
        <f>IFERROR(SUMIFS('Base de datos Rutas'!$W$6:$W$794,'Base de datos Rutas'!$C$6:$C$794,$C463)/'Base de datos Rutas'!I461,"")</f>
        <v>3116.1708958203185</v>
      </c>
      <c r="AO463" s="800">
        <f>IFERROR('Base de datos Rutas'!X461*AN463/AM463,"")</f>
        <v>0.37418782761251823</v>
      </c>
      <c r="AP463" s="800">
        <f t="shared" si="273"/>
        <v>0.62581217238748177</v>
      </c>
      <c r="AQ463" s="789">
        <f>IFERROR(INDEX('Hoja de apoyo v2'!$J$17:$J$20,MATCH($A463,'Hoja de apoyo v2'!$A$17:$A$20,0)),"")</f>
        <v>0.64320274048480885</v>
      </c>
      <c r="AR463" s="789">
        <f t="shared" si="274"/>
        <v>-1.7390568097327086E-2</v>
      </c>
      <c r="AS463" s="784" t="str">
        <f t="shared" si="275"/>
        <v>No</v>
      </c>
      <c r="AT463" s="801">
        <f>IF(ISNUMBER('Base de datos Rutas'!CK461),'Base de datos Rutas'!CK461,"")</f>
        <v>243</v>
      </c>
      <c r="AU463" s="802">
        <f>IF(ISNUMBER('Base de datos Rutas'!CL461),'Base de datos Rutas'!CL461,"")</f>
        <v>373.08</v>
      </c>
      <c r="AV463" s="802">
        <f>IF(ISNUMBER('Base de datos Rutas'!CM461),'Base de datos Rutas'!CM461,"")</f>
        <v>130.07999999999998</v>
      </c>
      <c r="AW463" s="802">
        <f>IF(ISNUMBER('Base de datos Rutas'!CN461),'Base de datos Rutas'!CN461,"")</f>
        <v>6</v>
      </c>
      <c r="AX463" s="802">
        <f>IF(ISNUMBER('Base de datos Rutas'!CO461),'Base de datos Rutas'!CO461,"")</f>
        <v>9.4499999999999993</v>
      </c>
      <c r="AY463" s="802">
        <f>IF(ISNUMBER('Base de datos Rutas'!CP461),'Base de datos Rutas'!CP461,"")</f>
        <v>3.4499999999999993</v>
      </c>
      <c r="AZ463" s="802">
        <f>IF(ISNUMBER('Base de datos Rutas'!CQ461),'Base de datos Rutas'!CQ461,"")</f>
        <v>846.56</v>
      </c>
      <c r="BA463" s="802">
        <f>IF(ISNUMBER('Base de datos Rutas'!CR461),'Base de datos Rutas'!CR461,"")</f>
        <v>378.63</v>
      </c>
      <c r="BB463" s="803">
        <f>IF(ISNUMBER('Base de datos Rutas'!CS461),'Base de datos Rutas'!CS461,"")</f>
        <v>467.92999999999995</v>
      </c>
      <c r="BC463" s="804">
        <f t="shared" si="285"/>
        <v>0</v>
      </c>
      <c r="BD463" s="805" t="str">
        <f t="shared" si="286"/>
        <v>No saturada</v>
      </c>
      <c r="BE463" s="806">
        <f t="shared" si="287"/>
        <v>0.4472571347571348</v>
      </c>
      <c r="BF463" s="890">
        <f>IF(ISNUMBER('Base de datos Rutas'!CX461),'Base de datos Rutas'!CX461/100,"")</f>
        <v>0.7606380368098159</v>
      </c>
      <c r="BG463" s="891">
        <f>IF(ISNUMBER('Base de datos Rutas'!CZ461),'Base de datos Rutas'!CZ461/100,"")</f>
        <v>0.92024539877300615</v>
      </c>
      <c r="BH463" s="892">
        <f>IF(ISNUMBER('Base de datos Rutas'!DA461),'Base de datos Rutas'!DA461,"")</f>
        <v>1610.6807995090362</v>
      </c>
      <c r="BI463" s="893">
        <f>IF(ISNUMBER('Base de datos Rutas'!DC461),'Base de datos Rutas'!DC461,"")</f>
        <v>71.3021014094045</v>
      </c>
      <c r="BJ463" s="805" t="str">
        <f t="shared" si="288"/>
        <v>Ruta (completo)</v>
      </c>
      <c r="BK463" s="783">
        <f t="shared" si="276"/>
        <v>3</v>
      </c>
      <c r="BL463" s="797">
        <f t="shared" si="277"/>
        <v>3</v>
      </c>
      <c r="BM463" s="797">
        <f t="shared" si="278"/>
        <v>5</v>
      </c>
      <c r="BN463" s="797">
        <f t="shared" si="279"/>
        <v>5</v>
      </c>
      <c r="BO463" s="798" cm="1">
        <f t="array" ref="BO463">SUMPRODUCT(--ISNUMBER($BF463:$BI463),$BK$3:$BN$3)</f>
        <v>1</v>
      </c>
      <c r="BP463" s="831">
        <f t="shared" si="289"/>
        <v>75</v>
      </c>
      <c r="BQ463" s="834" t="str">
        <f t="shared" si="290"/>
        <v>Alto</v>
      </c>
      <c r="BR463" s="836">
        <f t="shared" si="280"/>
        <v>15.500650586233977</v>
      </c>
      <c r="BS463" s="836">
        <f t="shared" si="281"/>
        <v>75</v>
      </c>
      <c r="BT463" s="837" t="str">
        <f t="shared" si="282"/>
        <v>P3</v>
      </c>
      <c r="BU463" s="807" t="str">
        <f t="shared" si="291"/>
        <v>Con espacio</v>
      </c>
      <c r="BV463" s="807" t="str">
        <f t="shared" si="283"/>
        <v>Zona atractiva</v>
      </c>
      <c r="BW463" s="808" t="str">
        <f t="shared" si="284"/>
        <v>P3 - Desarrollar</v>
      </c>
    </row>
    <row r="464" spans="1:75">
      <c r="A464" s="780" t="str">
        <f>'Base de datos Rutas'!A462</f>
        <v>Occidente</v>
      </c>
      <c r="B464" s="781" t="str">
        <f>'Base de datos Rutas'!B462</f>
        <v>Zapopan</v>
      </c>
      <c r="C464" s="781" t="str">
        <f>'Base de datos Rutas'!C462</f>
        <v>Suc. Belenes</v>
      </c>
      <c r="D464" s="782">
        <f>IF(ISNUMBER('Base de datos Rutas'!D462),'Base de datos Rutas'!D462,"Sin código")</f>
        <v>820399</v>
      </c>
      <c r="E464" s="783" t="str">
        <f>'Base de datos Rutas'!F462</f>
        <v>Inactiva</v>
      </c>
      <c r="F464" s="784" t="str">
        <f>'Base de datos Rutas'!H462</f>
        <v>No</v>
      </c>
      <c r="G464" s="785" t="str">
        <f>IF(ISNUMBER('Base de datos Rutas'!BE462),'Base de datos Rutas'!BE462,"")</f>
        <v/>
      </c>
      <c r="H464" s="786" t="str">
        <f>IF(ISNUMBER('Base de datos Rutas'!BH462),'Base de datos Rutas'!BH462,"")</f>
        <v/>
      </c>
      <c r="I464" s="788" t="str">
        <f>IFERROR(IF(OR(NOT(ISNUMBER('Base de datos Rutas'!O462)),N('Base de datos Rutas'!BK462)=0),"",'Base de datos Rutas'!O462/('Base de datos Rutas'!L462/'Base de datos Rutas'!BK462)),"")</f>
        <v/>
      </c>
      <c r="J464" s="788" t="str">
        <f>IFERROR(IF(OR(NOT(ISNUMBER('Base de datos Rutas'!N462)),N('Base de datos Rutas'!BK462)=0),"",'Base de datos Rutas'!N462/('Base de datos Rutas'!L462/'Base de datos Rutas'!BK462)),"")</f>
        <v/>
      </c>
      <c r="K464" s="788" t="str">
        <f>IFERROR(IF(OR(NOT(ISNUMBER('Base de datos Rutas'!J462)),N('Base de datos Rutas'!BK462)=0),"",'Base de datos Rutas'!J462/('Base de datos Rutas'!L462/'Base de datos Rutas'!BK462)),"")</f>
        <v/>
      </c>
      <c r="L464" s="788" t="str">
        <f>IFERROR(IF(OR(NOT(ISNUMBER('Base de datos Rutas'!K462)),N('Base de datos Rutas'!BK462)=0),"",'Base de datos Rutas'!K462/('Base de datos Rutas'!L462/'Base de datos Rutas'!BK462)),"")</f>
        <v/>
      </c>
      <c r="M464" s="787">
        <f>IF(ISNUMBER('Base de datos Rutas'!AX462),'Base de datos Rutas'!AX462,"")</f>
        <v>0</v>
      </c>
      <c r="N464" s="790">
        <f>IFERROR(INDEX('Hoja de apoyo v2'!B$17:B$20,MATCH($A464,'Hoja de apoyo v2'!$A$17:$A$20,0)),"")</f>
        <v>89.41621024641401</v>
      </c>
      <c r="O464" s="791">
        <f>IFERROR(INDEX('Hoja de apoyo v2'!C$17:C$20,MATCH($A464,'Hoja de apoyo v2'!$A$17:$A$20,0)),"")</f>
        <v>0.54706375874806301</v>
      </c>
      <c r="P464" s="793">
        <f>IFERROR(INDEX('Hoja de apoyo v2'!D$17:D$20,MATCH($A464,'Hoja de apoyo v2'!$A$17:$A$20,0)),"")</f>
        <v>11095.153935793827</v>
      </c>
      <c r="Q464" s="793">
        <f>IFERROR(INDEX('Hoja de apoyo v2'!E$17:E$20,MATCH($A464,'Hoja de apoyo v2'!$A$17:$A$20,0)),"")</f>
        <v>6982.3202019701848</v>
      </c>
      <c r="R464" s="793">
        <f>IFERROR(INDEX('Hoja de apoyo v2'!F$17:F$20,MATCH($A464,'Hoja de apoyo v2'!$A$17:$A$20,0)),"")</f>
        <v>448.09513474485743</v>
      </c>
      <c r="S464" s="793">
        <f>IFERROR(INDEX('Hoja de apoyo v2'!G$17:G$20,MATCH($A464,'Hoja de apoyo v2'!$A$17:$A$20,0)),"")</f>
        <v>83.406300904207839</v>
      </c>
      <c r="T464" s="792">
        <f>IFERROR(INDEX('Hoja de apoyo v2'!H$17:H$20,MATCH($A464,'Hoja de apoyo v2'!$A$17:$A$20,0)),"")</f>
        <v>378.97014028925349</v>
      </c>
      <c r="U464" s="794" t="str">
        <f t="shared" si="256"/>
        <v/>
      </c>
      <c r="V464" s="795" t="str">
        <f t="shared" si="257"/>
        <v/>
      </c>
      <c r="W464" s="795" t="str">
        <f t="shared" si="258"/>
        <v/>
      </c>
      <c r="X464" s="843" t="str">
        <f t="shared" si="259"/>
        <v/>
      </c>
      <c r="Y464" s="843" t="str">
        <f t="shared" si="260"/>
        <v/>
      </c>
      <c r="Z464" s="843" t="str">
        <f t="shared" si="261"/>
        <v/>
      </c>
      <c r="AA464" s="843">
        <f t="shared" si="262"/>
        <v>0</v>
      </c>
      <c r="AB464" s="796">
        <f t="shared" si="263"/>
        <v>0</v>
      </c>
      <c r="AC464" s="797">
        <f t="shared" si="264"/>
        <v>0</v>
      </c>
      <c r="AD464" s="797">
        <f t="shared" si="265"/>
        <v>0</v>
      </c>
      <c r="AE464" s="842">
        <f t="shared" si="266"/>
        <v>0</v>
      </c>
      <c r="AF464" s="842">
        <f t="shared" si="267"/>
        <v>0</v>
      </c>
      <c r="AG464" s="842">
        <f t="shared" si="268"/>
        <v>0</v>
      </c>
      <c r="AH464" s="842">
        <f t="shared" si="269"/>
        <v>1</v>
      </c>
      <c r="AI464" s="826" cm="1">
        <f t="array" ref="AI464">SUMPRODUCT(--ISNUMBER($U464:$AA464),$AB$3:$AH$3)</f>
        <v>8.9789113613062493E-2</v>
      </c>
      <c r="AJ464" s="829" t="str">
        <f t="shared" si="270"/>
        <v/>
      </c>
      <c r="AK464" s="827" t="str">
        <f t="shared" si="271"/>
        <v>Ruta inactiva</v>
      </c>
      <c r="AL464" s="784" t="str">
        <f t="shared" si="272"/>
        <v>n/a</v>
      </c>
      <c r="AM464" s="799">
        <f>IF(ISNUMBER('Base de datos Rutas'!W462),'Base de datos Rutas'!W462,"")</f>
        <v>3116.1708958203221</v>
      </c>
      <c r="AN464" s="787">
        <f>IFERROR(SUMIFS('Base de datos Rutas'!$W$6:$W$794,'Base de datos Rutas'!$C$6:$C$794,$C464)/'Base de datos Rutas'!I462,"")</f>
        <v>3116.1708958203185</v>
      </c>
      <c r="AO464" s="800">
        <f>IFERROR('Base de datos Rutas'!X462*AN464/AM464,"")</f>
        <v>0.37418782761251823</v>
      </c>
      <c r="AP464" s="800">
        <f t="shared" si="273"/>
        <v>0.62581217238748177</v>
      </c>
      <c r="AQ464" s="789">
        <f>IFERROR(INDEX('Hoja de apoyo v2'!$J$17:$J$20,MATCH($A464,'Hoja de apoyo v2'!$A$17:$A$20,0)),"")</f>
        <v>0.64320274048480885</v>
      </c>
      <c r="AR464" s="789">
        <f t="shared" si="274"/>
        <v>-1.7390568097327086E-2</v>
      </c>
      <c r="AS464" s="784" t="str">
        <f t="shared" si="275"/>
        <v>No</v>
      </c>
      <c r="AT464" s="801" t="str">
        <f>IF(ISNUMBER('Base de datos Rutas'!CK462),'Base de datos Rutas'!CK462,"")</f>
        <v/>
      </c>
      <c r="AU464" s="802" t="str">
        <f>IF(ISNUMBER('Base de datos Rutas'!CL462),'Base de datos Rutas'!CL462,"")</f>
        <v/>
      </c>
      <c r="AV464" s="802">
        <f>IF(ISNUMBER('Base de datos Rutas'!CM462),'Base de datos Rutas'!CM462,"")</f>
        <v>0</v>
      </c>
      <c r="AW464" s="802" t="str">
        <f>IF(ISNUMBER('Base de datos Rutas'!CN462),'Base de datos Rutas'!CN462,"")</f>
        <v/>
      </c>
      <c r="AX464" s="802" t="str">
        <f>IF(ISNUMBER('Base de datos Rutas'!CO462),'Base de datos Rutas'!CO462,"")</f>
        <v/>
      </c>
      <c r="AY464" s="802">
        <f>IF(ISNUMBER('Base de datos Rutas'!CP462),'Base de datos Rutas'!CP462,"")</f>
        <v>0</v>
      </c>
      <c r="AZ464" s="802" t="str">
        <f>IF(ISNUMBER('Base de datos Rutas'!CQ462),'Base de datos Rutas'!CQ462,"")</f>
        <v/>
      </c>
      <c r="BA464" s="802" t="str">
        <f>IF(ISNUMBER('Base de datos Rutas'!CR462),'Base de datos Rutas'!CR462,"")</f>
        <v/>
      </c>
      <c r="BB464" s="803">
        <f>IF(ISNUMBER('Base de datos Rutas'!CS462),'Base de datos Rutas'!CS462,"")</f>
        <v>0</v>
      </c>
      <c r="BC464" s="804" t="str">
        <f t="shared" si="285"/>
        <v/>
      </c>
      <c r="BD464" s="805" t="str">
        <f t="shared" si="286"/>
        <v>N/D</v>
      </c>
      <c r="BE464" s="806" t="str">
        <f t="shared" si="287"/>
        <v/>
      </c>
      <c r="BF464" s="890" t="str">
        <f>IF(ISNUMBER('Base de datos Rutas'!CX462),'Base de datos Rutas'!CX462/100,"")</f>
        <v/>
      </c>
      <c r="BG464" s="891" t="str">
        <f>IF(ISNUMBER('Base de datos Rutas'!CZ462),'Base de datos Rutas'!CZ462/100,"")</f>
        <v/>
      </c>
      <c r="BH464" s="892" t="str">
        <f>IF(ISNUMBER('Base de datos Rutas'!DA462),'Base de datos Rutas'!DA462,"")</f>
        <v/>
      </c>
      <c r="BI464" s="893" t="str">
        <f>IF(ISNUMBER('Base de datos Rutas'!DC462),'Base de datos Rutas'!DC462,"")</f>
        <v/>
      </c>
      <c r="BJ464" s="805" t="str">
        <f t="shared" si="288"/>
        <v>Sin dato</v>
      </c>
      <c r="BK464" s="783">
        <f t="shared" si="276"/>
        <v>0</v>
      </c>
      <c r="BL464" s="797">
        <f t="shared" si="277"/>
        <v>0</v>
      </c>
      <c r="BM464" s="797">
        <f t="shared" si="278"/>
        <v>0</v>
      </c>
      <c r="BN464" s="797">
        <f t="shared" si="279"/>
        <v>0</v>
      </c>
      <c r="BO464" s="798" cm="1">
        <f t="array" ref="BO464">SUMPRODUCT(--ISNUMBER($BF464:$BI464),$BK$3:$BN$3)</f>
        <v>0</v>
      </c>
      <c r="BP464" s="831" t="str">
        <f t="shared" si="289"/>
        <v/>
      </c>
      <c r="BQ464" s="834" t="str">
        <f t="shared" si="290"/>
        <v>Sin datos</v>
      </c>
      <c r="BR464" s="836" t="str">
        <f t="shared" si="280"/>
        <v/>
      </c>
      <c r="BS464" s="836" t="str">
        <f t="shared" si="281"/>
        <v/>
      </c>
      <c r="BT464" s="837" t="str">
        <f t="shared" si="282"/>
        <v>Sin datos</v>
      </c>
      <c r="BU464" s="807" t="str">
        <f t="shared" si="291"/>
        <v>No evaluable</v>
      </c>
      <c r="BV464" s="807" t="str">
        <f t="shared" si="283"/>
        <v>No evaluable</v>
      </c>
      <c r="BW464" s="808" t="str">
        <f t="shared" si="284"/>
        <v>Sin datos</v>
      </c>
    </row>
    <row r="465" spans="1:75">
      <c r="A465" s="780" t="str">
        <f>'Base de datos Rutas'!A463</f>
        <v>Occidente</v>
      </c>
      <c r="B465" s="781" t="str">
        <f>'Base de datos Rutas'!B463</f>
        <v>Zapopan</v>
      </c>
      <c r="C465" s="781" t="str">
        <f>'Base de datos Rutas'!C463</f>
        <v>Suc. Belenes</v>
      </c>
      <c r="D465" s="782">
        <f>IF(ISNUMBER('Base de datos Rutas'!D463),'Base de datos Rutas'!D463,"Sin código")</f>
        <v>820401</v>
      </c>
      <c r="E465" s="783" t="str">
        <f>'Base de datos Rutas'!F463</f>
        <v>Activa</v>
      </c>
      <c r="F465" s="784" t="str">
        <f>'Base de datos Rutas'!H463</f>
        <v>Sí</v>
      </c>
      <c r="G465" s="785">
        <f>IF(ISNUMBER('Base de datos Rutas'!BE463),'Base de datos Rutas'!BE463,"")</f>
        <v>86.553488372093</v>
      </c>
      <c r="H465" s="786">
        <f>IF(ISNUMBER('Base de datos Rutas'!BH463),'Base de datos Rutas'!BH463,"")</f>
        <v>0.60594336073942701</v>
      </c>
      <c r="I465" s="788">
        <f>IFERROR(IF(OR(NOT(ISNUMBER('Base de datos Rutas'!O463)),N('Base de datos Rutas'!BK463)=0),"",'Base de datos Rutas'!O463/('Base de datos Rutas'!L463/'Base de datos Rutas'!BK463)),"")</f>
        <v>3390.8744186046524</v>
      </c>
      <c r="J465" s="788">
        <f>IFERROR(IF(OR(NOT(ISNUMBER('Base de datos Rutas'!N463)),N('Base de datos Rutas'!BK463)=0),"",'Base de datos Rutas'!N463/('Base de datos Rutas'!L463/'Base de datos Rutas'!BK463)),"")</f>
        <v>7252.6046511627937</v>
      </c>
      <c r="K465" s="788">
        <f>IFERROR(IF(OR(NOT(ISNUMBER('Base de datos Rutas'!J463)),N('Base de datos Rutas'!BK463)=0),"",'Base de datos Rutas'!J463/('Base de datos Rutas'!L463/'Base de datos Rutas'!BK463)),"")</f>
        <v>497.86256930232344</v>
      </c>
      <c r="L465" s="788">
        <f>IFERROR(IF(OR(NOT(ISNUMBER('Base de datos Rutas'!K463)),N('Base de datos Rutas'!BK463)=0),"",'Base de datos Rutas'!K463/('Base de datos Rutas'!L463/'Base de datos Rutas'!BK463)),"")</f>
        <v>28.001916358139546</v>
      </c>
      <c r="M465" s="787">
        <f>IF(ISNUMBER('Base de datos Rutas'!AX463),'Base de datos Rutas'!AX463,"")</f>
        <v>202.93969093650199</v>
      </c>
      <c r="N465" s="790">
        <f>IFERROR(INDEX('Hoja de apoyo v2'!B$17:B$20,MATCH($A465,'Hoja de apoyo v2'!$A$17:$A$20,0)),"")</f>
        <v>89.41621024641401</v>
      </c>
      <c r="O465" s="791">
        <f>IFERROR(INDEX('Hoja de apoyo v2'!C$17:C$20,MATCH($A465,'Hoja de apoyo v2'!$A$17:$A$20,0)),"")</f>
        <v>0.54706375874806301</v>
      </c>
      <c r="P465" s="793">
        <f>IFERROR(INDEX('Hoja de apoyo v2'!D$17:D$20,MATCH($A465,'Hoja de apoyo v2'!$A$17:$A$20,0)),"")</f>
        <v>11095.153935793827</v>
      </c>
      <c r="Q465" s="793">
        <f>IFERROR(INDEX('Hoja de apoyo v2'!E$17:E$20,MATCH($A465,'Hoja de apoyo v2'!$A$17:$A$20,0)),"")</f>
        <v>6982.3202019701848</v>
      </c>
      <c r="R465" s="793">
        <f>IFERROR(INDEX('Hoja de apoyo v2'!F$17:F$20,MATCH($A465,'Hoja de apoyo v2'!$A$17:$A$20,0)),"")</f>
        <v>448.09513474485743</v>
      </c>
      <c r="S465" s="793">
        <f>IFERROR(INDEX('Hoja de apoyo v2'!G$17:G$20,MATCH($A465,'Hoja de apoyo v2'!$A$17:$A$20,0)),"")</f>
        <v>83.406300904207839</v>
      </c>
      <c r="T465" s="792">
        <f>IFERROR(INDEX('Hoja de apoyo v2'!H$17:H$20,MATCH($A465,'Hoja de apoyo v2'!$A$17:$A$20,0)),"")</f>
        <v>378.97014028925349</v>
      </c>
      <c r="U465" s="794">
        <f t="shared" si="256"/>
        <v>0.96798430769508237</v>
      </c>
      <c r="V465" s="795">
        <f t="shared" si="257"/>
        <v>1.1076284090287902</v>
      </c>
      <c r="W465" s="795">
        <f t="shared" si="258"/>
        <v>0.30561760911359948</v>
      </c>
      <c r="X465" s="843">
        <f t="shared" si="259"/>
        <v>1.0387098330317683</v>
      </c>
      <c r="Y465" s="843">
        <f t="shared" si="260"/>
        <v>1.1110644385500934</v>
      </c>
      <c r="Z465" s="843">
        <f t="shared" si="261"/>
        <v>0.33572902831765378</v>
      </c>
      <c r="AA465" s="843">
        <f t="shared" si="262"/>
        <v>0.53550311584339028</v>
      </c>
      <c r="AB465" s="796">
        <f t="shared" si="263"/>
        <v>3</v>
      </c>
      <c r="AC465" s="797">
        <f t="shared" si="264"/>
        <v>4</v>
      </c>
      <c r="AD465" s="797">
        <f t="shared" si="265"/>
        <v>1</v>
      </c>
      <c r="AE465" s="842">
        <f t="shared" si="266"/>
        <v>4</v>
      </c>
      <c r="AF465" s="842">
        <f t="shared" si="267"/>
        <v>4</v>
      </c>
      <c r="AG465" s="842">
        <f t="shared" si="268"/>
        <v>1</v>
      </c>
      <c r="AH465" s="842">
        <f t="shared" si="269"/>
        <v>2</v>
      </c>
      <c r="AI465" s="826" cm="1">
        <f t="array" ref="AI465">SUMPRODUCT(--ISNUMBER($U465:$AA465),$AB$3:$AH$3)</f>
        <v>1</v>
      </c>
      <c r="AJ465" s="829">
        <f t="shared" si="270"/>
        <v>37.467193429046965</v>
      </c>
      <c r="AK465" s="827" t="str">
        <f t="shared" si="271"/>
        <v>Inmadura</v>
      </c>
      <c r="AL465" s="784" t="str">
        <f t="shared" si="272"/>
        <v>Alta</v>
      </c>
      <c r="AM465" s="799">
        <f>IF(ISNUMBER('Base de datos Rutas'!W463),'Base de datos Rutas'!W463,"")</f>
        <v>3116.1708958203221</v>
      </c>
      <c r="AN465" s="787">
        <f>IFERROR(SUMIFS('Base de datos Rutas'!$W$6:$W$794,'Base de datos Rutas'!$C$6:$C$794,$C465)/'Base de datos Rutas'!I463,"")</f>
        <v>3116.1708958203185</v>
      </c>
      <c r="AO465" s="800">
        <f>IFERROR('Base de datos Rutas'!X463*AN465/AM465,"")</f>
        <v>0.37418782761251823</v>
      </c>
      <c r="AP465" s="800">
        <f t="shared" si="273"/>
        <v>0.62581217238748177</v>
      </c>
      <c r="AQ465" s="789">
        <f>IFERROR(INDEX('Hoja de apoyo v2'!$J$17:$J$20,MATCH($A465,'Hoja de apoyo v2'!$A$17:$A$20,0)),"")</f>
        <v>0.64320274048480885</v>
      </c>
      <c r="AR465" s="789">
        <f t="shared" si="274"/>
        <v>-1.7390568097327086E-2</v>
      </c>
      <c r="AS465" s="784" t="str">
        <f t="shared" si="275"/>
        <v>No</v>
      </c>
      <c r="AT465" s="801">
        <f>IF(ISNUMBER('Base de datos Rutas'!CK463),'Base de datos Rutas'!CK463,"")</f>
        <v>372</v>
      </c>
      <c r="AU465" s="802">
        <f>IF(ISNUMBER('Base de datos Rutas'!CL463),'Base de datos Rutas'!CL463,"")</f>
        <v>511.06</v>
      </c>
      <c r="AV465" s="802">
        <f>IF(ISNUMBER('Base de datos Rutas'!CM463),'Base de datos Rutas'!CM463,"")</f>
        <v>139.06</v>
      </c>
      <c r="AW465" s="802">
        <f>IF(ISNUMBER('Base de datos Rutas'!CN463),'Base de datos Rutas'!CN463,"")</f>
        <v>9.57</v>
      </c>
      <c r="AX465" s="802">
        <f>IF(ISNUMBER('Base de datos Rutas'!CO463),'Base de datos Rutas'!CO463,"")</f>
        <v>9.4499999999999993</v>
      </c>
      <c r="AY465" s="802">
        <f>IF(ISNUMBER('Base de datos Rutas'!CP463),'Base de datos Rutas'!CP463,"")</f>
        <v>-0.12000000000000099</v>
      </c>
      <c r="AZ465" s="802">
        <f>IF(ISNUMBER('Base de datos Rutas'!CQ463),'Base de datos Rutas'!CQ463,"")</f>
        <v>846.56</v>
      </c>
      <c r="BA465" s="802">
        <f>IF(ISNUMBER('Base de datos Rutas'!CR463),'Base de datos Rutas'!CR463,"")</f>
        <v>525.86</v>
      </c>
      <c r="BB465" s="803">
        <f>IF(ISNUMBER('Base de datos Rutas'!CS463),'Base de datos Rutas'!CS463,"")</f>
        <v>320.69999999999993</v>
      </c>
      <c r="BC465" s="804">
        <f t="shared" si="285"/>
        <v>1</v>
      </c>
      <c r="BD465" s="805" t="str">
        <f t="shared" si="286"/>
        <v>Saturada</v>
      </c>
      <c r="BE465" s="806">
        <f t="shared" si="287"/>
        <v>0.6211727461727462</v>
      </c>
      <c r="BF465" s="890">
        <f>IF(ISNUMBER('Base de datos Rutas'!CX463),'Base de datos Rutas'!CX463/100,"")</f>
        <v>0.95726490473263681</v>
      </c>
      <c r="BG465" s="891">
        <f>IF(ISNUMBER('Base de datos Rutas'!CZ463),'Base de datos Rutas'!CZ463/100,"")</f>
        <v>1</v>
      </c>
      <c r="BH465" s="892">
        <f>IF(ISNUMBER('Base de datos Rutas'!DA463),'Base de datos Rutas'!DA463,"")</f>
        <v>449.88217420263715</v>
      </c>
      <c r="BI465" s="893">
        <f>IF(ISNUMBER('Base de datos Rutas'!DC463),'Base de datos Rutas'!DC463,"")</f>
        <v>21.370727308093581</v>
      </c>
      <c r="BJ465" s="805" t="str">
        <f t="shared" si="288"/>
        <v>Ruta (completo)</v>
      </c>
      <c r="BK465" s="783">
        <f t="shared" si="276"/>
        <v>5</v>
      </c>
      <c r="BL465" s="797">
        <f t="shared" si="277"/>
        <v>4</v>
      </c>
      <c r="BM465" s="797">
        <f t="shared" si="278"/>
        <v>2</v>
      </c>
      <c r="BN465" s="797">
        <f t="shared" si="279"/>
        <v>2</v>
      </c>
      <c r="BO465" s="798" cm="1">
        <f t="array" ref="BO465">SUMPRODUCT(--ISNUMBER($BF465:$BI465),$BK$3:$BN$3)</f>
        <v>1</v>
      </c>
      <c r="BP465" s="831">
        <f t="shared" si="289"/>
        <v>56.25</v>
      </c>
      <c r="BQ465" s="834" t="str">
        <f t="shared" si="290"/>
        <v>Alto</v>
      </c>
      <c r="BR465" s="836">
        <f t="shared" si="280"/>
        <v>53.100395071785222</v>
      </c>
      <c r="BS465" s="836">
        <f t="shared" si="281"/>
        <v>56.25</v>
      </c>
      <c r="BT465" s="837" t="str">
        <f t="shared" si="282"/>
        <v>P1</v>
      </c>
      <c r="BU465" s="807" t="str">
        <f t="shared" si="291"/>
        <v>Al tope</v>
      </c>
      <c r="BV465" s="807" t="str">
        <f t="shared" si="283"/>
        <v>Zona atractiva</v>
      </c>
      <c r="BW465" s="808" t="str">
        <f t="shared" si="284"/>
        <v>P1 - Ampliar cobertura</v>
      </c>
    </row>
    <row r="466" spans="1:75">
      <c r="A466" s="780" t="str">
        <f>'Base de datos Rutas'!A464</f>
        <v>Occidente</v>
      </c>
      <c r="B466" s="781" t="str">
        <f>'Base de datos Rutas'!B464</f>
        <v>Zapopan</v>
      </c>
      <c r="C466" s="781" t="str">
        <f>'Base de datos Rutas'!C464</f>
        <v>Suc. Belenes</v>
      </c>
      <c r="D466" s="782">
        <f>IF(ISNUMBER('Base de datos Rutas'!D464),'Base de datos Rutas'!D464,"Sin código")</f>
        <v>820404</v>
      </c>
      <c r="E466" s="783" t="str">
        <f>'Base de datos Rutas'!F464</f>
        <v>Activa</v>
      </c>
      <c r="F466" s="784" t="str">
        <f>'Base de datos Rutas'!H464</f>
        <v>Sí</v>
      </c>
      <c r="G466" s="785">
        <f>IF(ISNUMBER('Base de datos Rutas'!BE464),'Base de datos Rutas'!BE464,"")</f>
        <v>69.2013888888889</v>
      </c>
      <c r="H466" s="786">
        <f>IF(ISNUMBER('Base de datos Rutas'!BH464),'Base de datos Rutas'!BH464,"")</f>
        <v>0.42997156715169799</v>
      </c>
      <c r="I466" s="788">
        <f>IFERROR(IF(OR(NOT(ISNUMBER('Base de datos Rutas'!O464)),N('Base de datos Rutas'!BK464)=0),"",'Base de datos Rutas'!O464/('Base de datos Rutas'!L464/'Base de datos Rutas'!BK464)),"")</f>
        <v>2064.8888888888901</v>
      </c>
      <c r="J466" s="788">
        <f>IFERROR(IF(OR(NOT(ISNUMBER('Base de datos Rutas'!N464)),N('Base de datos Rutas'!BK464)=0),"",'Base de datos Rutas'!N464/('Base de datos Rutas'!L464/'Base de datos Rutas'!BK464)),"")</f>
        <v>5008.9722222222244</v>
      </c>
      <c r="K466" s="788">
        <f>IFERROR(IF(OR(NOT(ISNUMBER('Base de datos Rutas'!J464)),N('Base de datos Rutas'!BK464)=0),"",'Base de datos Rutas'!J464/('Base de datos Rutas'!L464/'Base de datos Rutas'!BK464)),"")</f>
        <v>349.52481666666688</v>
      </c>
      <c r="L466" s="788">
        <f>IFERROR(IF(OR(NOT(ISNUMBER('Base de datos Rutas'!K464)),N('Base de datos Rutas'!BK464)=0),"",'Base de datos Rutas'!K464/('Base de datos Rutas'!L464/'Base de datos Rutas'!BK464)),"")</f>
        <v>18.644683023148158</v>
      </c>
      <c r="M466" s="787">
        <f>IF(ISNUMBER('Base de datos Rutas'!AX464),'Base de datos Rutas'!AX464,"")</f>
        <v>237.739782946943</v>
      </c>
      <c r="N466" s="790">
        <f>IFERROR(INDEX('Hoja de apoyo v2'!B$17:B$20,MATCH($A466,'Hoja de apoyo v2'!$A$17:$A$20,0)),"")</f>
        <v>89.41621024641401</v>
      </c>
      <c r="O466" s="791">
        <f>IFERROR(INDEX('Hoja de apoyo v2'!C$17:C$20,MATCH($A466,'Hoja de apoyo v2'!$A$17:$A$20,0)),"")</f>
        <v>0.54706375874806301</v>
      </c>
      <c r="P466" s="793">
        <f>IFERROR(INDEX('Hoja de apoyo v2'!D$17:D$20,MATCH($A466,'Hoja de apoyo v2'!$A$17:$A$20,0)),"")</f>
        <v>11095.153935793827</v>
      </c>
      <c r="Q466" s="793">
        <f>IFERROR(INDEX('Hoja de apoyo v2'!E$17:E$20,MATCH($A466,'Hoja de apoyo v2'!$A$17:$A$20,0)),"")</f>
        <v>6982.3202019701848</v>
      </c>
      <c r="R466" s="793">
        <f>IFERROR(INDEX('Hoja de apoyo v2'!F$17:F$20,MATCH($A466,'Hoja de apoyo v2'!$A$17:$A$20,0)),"")</f>
        <v>448.09513474485743</v>
      </c>
      <c r="S466" s="793">
        <f>IFERROR(INDEX('Hoja de apoyo v2'!G$17:G$20,MATCH($A466,'Hoja de apoyo v2'!$A$17:$A$20,0)),"")</f>
        <v>83.406300904207839</v>
      </c>
      <c r="T466" s="792">
        <f>IFERROR(INDEX('Hoja de apoyo v2'!H$17:H$20,MATCH($A466,'Hoja de apoyo v2'!$A$17:$A$20,0)),"")</f>
        <v>378.97014028925349</v>
      </c>
      <c r="U466" s="794">
        <f t="shared" si="256"/>
        <v>0.77392442263190397</v>
      </c>
      <c r="V466" s="795">
        <f t="shared" si="257"/>
        <v>0.78596244089660305</v>
      </c>
      <c r="W466" s="795">
        <f t="shared" si="258"/>
        <v>0.18610727718048131</v>
      </c>
      <c r="X466" s="843">
        <f t="shared" si="259"/>
        <v>0.7173793348533134</v>
      </c>
      <c r="Y466" s="843">
        <f t="shared" si="260"/>
        <v>0.78002368150166179</v>
      </c>
      <c r="Z466" s="843">
        <f t="shared" si="261"/>
        <v>0.22354046182388046</v>
      </c>
      <c r="AA466" s="843">
        <f t="shared" si="262"/>
        <v>0.62733117381091097</v>
      </c>
      <c r="AB466" s="796">
        <f t="shared" si="263"/>
        <v>3</v>
      </c>
      <c r="AC466" s="797">
        <f t="shared" si="264"/>
        <v>3</v>
      </c>
      <c r="AD466" s="797">
        <f t="shared" si="265"/>
        <v>1</v>
      </c>
      <c r="AE466" s="842">
        <f t="shared" si="266"/>
        <v>2</v>
      </c>
      <c r="AF466" s="842">
        <f t="shared" si="267"/>
        <v>3</v>
      </c>
      <c r="AG466" s="842">
        <f t="shared" si="268"/>
        <v>1</v>
      </c>
      <c r="AH466" s="842">
        <f t="shared" si="269"/>
        <v>2</v>
      </c>
      <c r="AI466" s="826" cm="1">
        <f t="array" ref="AI466">SUMPRODUCT(--ISNUMBER($U466:$AA466),$AB$3:$AH$3)</f>
        <v>1</v>
      </c>
      <c r="AJ466" s="829">
        <f t="shared" si="270"/>
        <v>25.339348038679312</v>
      </c>
      <c r="AK466" s="827" t="str">
        <f t="shared" si="271"/>
        <v>Inmadura</v>
      </c>
      <c r="AL466" s="784" t="str">
        <f t="shared" si="272"/>
        <v>Alta</v>
      </c>
      <c r="AM466" s="799">
        <f>IF(ISNUMBER('Base de datos Rutas'!W464),'Base de datos Rutas'!W464,"")</f>
        <v>3116.1708958203221</v>
      </c>
      <c r="AN466" s="787">
        <f>IFERROR(SUMIFS('Base de datos Rutas'!$W$6:$W$794,'Base de datos Rutas'!$C$6:$C$794,$C466)/'Base de datos Rutas'!I464,"")</f>
        <v>3116.1708958203185</v>
      </c>
      <c r="AO466" s="800">
        <f>IFERROR('Base de datos Rutas'!X464*AN466/AM466,"")</f>
        <v>0.37418782761251823</v>
      </c>
      <c r="AP466" s="800">
        <f t="shared" si="273"/>
        <v>0.62581217238748177</v>
      </c>
      <c r="AQ466" s="789">
        <f>IFERROR(INDEX('Hoja de apoyo v2'!$J$17:$J$20,MATCH($A466,'Hoja de apoyo v2'!$A$17:$A$20,0)),"")</f>
        <v>0.64320274048480885</v>
      </c>
      <c r="AR466" s="789">
        <f t="shared" si="274"/>
        <v>-1.7390568097327086E-2</v>
      </c>
      <c r="AS466" s="784" t="str">
        <f t="shared" si="275"/>
        <v>No</v>
      </c>
      <c r="AT466" s="801">
        <f>IF(ISNUMBER('Base de datos Rutas'!CK464),'Base de datos Rutas'!CK464,"")</f>
        <v>329</v>
      </c>
      <c r="AU466" s="802">
        <f>IF(ISNUMBER('Base de datos Rutas'!CL464),'Base de datos Rutas'!CL464,"")</f>
        <v>394.32</v>
      </c>
      <c r="AV466" s="802">
        <f>IF(ISNUMBER('Base de datos Rutas'!CM464),'Base de datos Rutas'!CM464,"")</f>
        <v>65.319999999999993</v>
      </c>
      <c r="AW466" s="802">
        <f>IF(ISNUMBER('Base de datos Rutas'!CN464),'Base de datos Rutas'!CN464,"")</f>
        <v>13.17</v>
      </c>
      <c r="AX466" s="802">
        <f>IF(ISNUMBER('Base de datos Rutas'!CO464),'Base de datos Rutas'!CO464,"")</f>
        <v>9.4499999999999993</v>
      </c>
      <c r="AY466" s="802">
        <f>IF(ISNUMBER('Base de datos Rutas'!CP464),'Base de datos Rutas'!CP464,"")</f>
        <v>-3.7200000000000006</v>
      </c>
      <c r="AZ466" s="802">
        <f>IF(ISNUMBER('Base de datos Rutas'!CQ464),'Base de datos Rutas'!CQ464,"")</f>
        <v>282.19</v>
      </c>
      <c r="BA466" s="802">
        <f>IF(ISNUMBER('Base de datos Rutas'!CR464),'Base de datos Rutas'!CR464,"")</f>
        <v>368.17</v>
      </c>
      <c r="BB466" s="803">
        <f>IF(ISNUMBER('Base de datos Rutas'!CS464),'Base de datos Rutas'!CS464,"")</f>
        <v>-85.980000000000018</v>
      </c>
      <c r="BC466" s="804">
        <f t="shared" si="285"/>
        <v>2</v>
      </c>
      <c r="BD466" s="805" t="str">
        <f t="shared" si="286"/>
        <v>Saturada</v>
      </c>
      <c r="BE466" s="806">
        <f t="shared" si="287"/>
        <v>1.3046883305574259</v>
      </c>
      <c r="BF466" s="890">
        <f>IF(ISNUMBER('Base de datos Rutas'!CX464),'Base de datos Rutas'!CX464/100,"")</f>
        <v>0.23387820120083325</v>
      </c>
      <c r="BG466" s="891">
        <f>IF(ISNUMBER('Base de datos Rutas'!CZ464),'Base de datos Rutas'!CZ464/100,"")</f>
        <v>0.24188212228893519</v>
      </c>
      <c r="BH466" s="892">
        <f>IF(ISNUMBER('Base de datos Rutas'!DA464),'Base de datos Rutas'!DA464,"")</f>
        <v>131.17646164992368</v>
      </c>
      <c r="BI466" s="893">
        <f>IF(ISNUMBER('Base de datos Rutas'!DC464),'Base de datos Rutas'!DC464,"")</f>
        <v>6.7336998803839387</v>
      </c>
      <c r="BJ466" s="805" t="str">
        <f t="shared" si="288"/>
        <v>Ruta (completo)</v>
      </c>
      <c r="BK466" s="783">
        <f t="shared" si="276"/>
        <v>1</v>
      </c>
      <c r="BL466" s="797">
        <f t="shared" si="277"/>
        <v>1</v>
      </c>
      <c r="BM466" s="797">
        <f t="shared" si="278"/>
        <v>1</v>
      </c>
      <c r="BN466" s="797">
        <f t="shared" si="279"/>
        <v>1</v>
      </c>
      <c r="BO466" s="798" cm="1">
        <f t="array" ref="BO466">SUMPRODUCT(--ISNUMBER($BF466:$BI466),$BK$3:$BN$3)</f>
        <v>1</v>
      </c>
      <c r="BP466" s="831">
        <f t="shared" si="289"/>
        <v>0</v>
      </c>
      <c r="BQ466" s="834" t="str">
        <f t="shared" si="290"/>
        <v>Bajo</v>
      </c>
      <c r="BR466" s="836">
        <f t="shared" si="280"/>
        <v>44.004511029009485</v>
      </c>
      <c r="BS466" s="836">
        <f t="shared" si="281"/>
        <v>0</v>
      </c>
      <c r="BT466" s="837" t="str">
        <f t="shared" si="282"/>
        <v>P2</v>
      </c>
      <c r="BU466" s="807" t="str">
        <f t="shared" si="291"/>
        <v>Al tope</v>
      </c>
      <c r="BV466" s="807" t="str">
        <f t="shared" si="283"/>
        <v>Zona de bajo potencial</v>
      </c>
      <c r="BW466" s="808" t="str">
        <f t="shared" si="284"/>
        <v>P2 - Mantener</v>
      </c>
    </row>
    <row r="467" spans="1:75">
      <c r="A467" s="780" t="str">
        <f>'Base de datos Rutas'!A465</f>
        <v>Occidente</v>
      </c>
      <c r="B467" s="781" t="str">
        <f>'Base de datos Rutas'!B465</f>
        <v>Zapopan</v>
      </c>
      <c r="C467" s="781" t="str">
        <f>'Base de datos Rutas'!C465</f>
        <v>Suc. Belenes</v>
      </c>
      <c r="D467" s="782">
        <f>IF(ISNUMBER('Base de datos Rutas'!D465),'Base de datos Rutas'!D465,"Sin código")</f>
        <v>820409</v>
      </c>
      <c r="E467" s="783" t="str">
        <f>'Base de datos Rutas'!F465</f>
        <v>Activa</v>
      </c>
      <c r="F467" s="784" t="str">
        <f>'Base de datos Rutas'!H465</f>
        <v>Sí</v>
      </c>
      <c r="G467" s="785">
        <f>IF(ISNUMBER('Base de datos Rutas'!BE465),'Base de datos Rutas'!BE465,"")</f>
        <v>89.311778290993104</v>
      </c>
      <c r="H467" s="786">
        <f>IF(ISNUMBER('Base de datos Rutas'!BH465),'Base de datos Rutas'!BH465,"")</f>
        <v>0.46690111708729798</v>
      </c>
      <c r="I467" s="788">
        <f>IFERROR(IF(OR(NOT(ISNUMBER('Base de datos Rutas'!O465)),N('Base de datos Rutas'!BK465)=0),"",'Base de datos Rutas'!O465/('Base de datos Rutas'!L465/'Base de datos Rutas'!BK465)),"")</f>
        <v>2608.6766743648959</v>
      </c>
      <c r="J467" s="788">
        <f>IFERROR(IF(OR(NOT(ISNUMBER('Base de datos Rutas'!N465)),N('Base de datos Rutas'!BK465)=0),"",'Base de datos Rutas'!N465/('Base de datos Rutas'!L465/'Base de datos Rutas'!BK465)),"")</f>
        <v>8151.9699769053104</v>
      </c>
      <c r="K467" s="788">
        <f>IFERROR(IF(OR(NOT(ISNUMBER('Base de datos Rutas'!J465)),N('Base de datos Rutas'!BK465)=0),"",'Base de datos Rutas'!J465/('Base de datos Rutas'!L465/'Base de datos Rutas'!BK465)),"")</f>
        <v>558.18244434179894</v>
      </c>
      <c r="L467" s="788">
        <f>IFERROR(IF(OR(NOT(ISNUMBER('Base de datos Rutas'!K465)),N('Base de datos Rutas'!BK465)=0),"",'Base de datos Rutas'!K465/('Base de datos Rutas'!L465/'Base de datos Rutas'!BK465)),"")</f>
        <v>18.450485595842956</v>
      </c>
      <c r="M467" s="787">
        <f>IF(ISNUMBER('Base de datos Rutas'!AX465),'Base de datos Rutas'!AX465,"")</f>
        <v>258.05043143553399</v>
      </c>
      <c r="N467" s="790">
        <f>IFERROR(INDEX('Hoja de apoyo v2'!B$17:B$20,MATCH($A467,'Hoja de apoyo v2'!$A$17:$A$20,0)),"")</f>
        <v>89.41621024641401</v>
      </c>
      <c r="O467" s="791">
        <f>IFERROR(INDEX('Hoja de apoyo v2'!C$17:C$20,MATCH($A467,'Hoja de apoyo v2'!$A$17:$A$20,0)),"")</f>
        <v>0.54706375874806301</v>
      </c>
      <c r="P467" s="793">
        <f>IFERROR(INDEX('Hoja de apoyo v2'!D$17:D$20,MATCH($A467,'Hoja de apoyo v2'!$A$17:$A$20,0)),"")</f>
        <v>11095.153935793827</v>
      </c>
      <c r="Q467" s="793">
        <f>IFERROR(INDEX('Hoja de apoyo v2'!E$17:E$20,MATCH($A467,'Hoja de apoyo v2'!$A$17:$A$20,0)),"")</f>
        <v>6982.3202019701848</v>
      </c>
      <c r="R467" s="793">
        <f>IFERROR(INDEX('Hoja de apoyo v2'!F$17:F$20,MATCH($A467,'Hoja de apoyo v2'!$A$17:$A$20,0)),"")</f>
        <v>448.09513474485743</v>
      </c>
      <c r="S467" s="793">
        <f>IFERROR(INDEX('Hoja de apoyo v2'!G$17:G$20,MATCH($A467,'Hoja de apoyo v2'!$A$17:$A$20,0)),"")</f>
        <v>83.406300904207839</v>
      </c>
      <c r="T467" s="792">
        <f>IFERROR(INDEX('Hoja de apoyo v2'!H$17:H$20,MATCH($A467,'Hoja de apoyo v2'!$A$17:$A$20,0)),"")</f>
        <v>378.97014028925349</v>
      </c>
      <c r="U467" s="794">
        <f t="shared" si="256"/>
        <v>0.99883206909426026</v>
      </c>
      <c r="V467" s="795">
        <f t="shared" si="257"/>
        <v>0.85346746082355274</v>
      </c>
      <c r="W467" s="795">
        <f t="shared" si="258"/>
        <v>0.23511856522775251</v>
      </c>
      <c r="X467" s="843">
        <f t="shared" si="259"/>
        <v>1.1675159175033376</v>
      </c>
      <c r="Y467" s="843">
        <f t="shared" si="260"/>
        <v>1.245678430897547</v>
      </c>
      <c r="Z467" s="843">
        <f t="shared" si="261"/>
        <v>0.22121213140759405</v>
      </c>
      <c r="AA467" s="843">
        <f t="shared" si="262"/>
        <v>0.68092549782041911</v>
      </c>
      <c r="AB467" s="796">
        <f t="shared" si="263"/>
        <v>3</v>
      </c>
      <c r="AC467" s="797">
        <f t="shared" si="264"/>
        <v>3</v>
      </c>
      <c r="AD467" s="797">
        <f t="shared" si="265"/>
        <v>1</v>
      </c>
      <c r="AE467" s="842">
        <f t="shared" si="266"/>
        <v>4</v>
      </c>
      <c r="AF467" s="842">
        <f t="shared" si="267"/>
        <v>4</v>
      </c>
      <c r="AG467" s="842">
        <f t="shared" si="268"/>
        <v>1</v>
      </c>
      <c r="AH467" s="842">
        <f t="shared" si="269"/>
        <v>2</v>
      </c>
      <c r="AI467" s="826" cm="1">
        <f t="array" ref="AI467">SUMPRODUCT(--ISNUMBER($U467:$AA467),$AB$3:$AH$3)</f>
        <v>1</v>
      </c>
      <c r="AJ467" s="829">
        <f t="shared" si="270"/>
        <v>35.084287843156481</v>
      </c>
      <c r="AK467" s="827" t="str">
        <f t="shared" si="271"/>
        <v>Inmadura</v>
      </c>
      <c r="AL467" s="784" t="str">
        <f t="shared" si="272"/>
        <v>Alta</v>
      </c>
      <c r="AM467" s="799">
        <f>IF(ISNUMBER('Base de datos Rutas'!W465),'Base de datos Rutas'!W465,"")</f>
        <v>3116.1708958203221</v>
      </c>
      <c r="AN467" s="787">
        <f>IFERROR(SUMIFS('Base de datos Rutas'!$W$6:$W$794,'Base de datos Rutas'!$C$6:$C$794,$C467)/'Base de datos Rutas'!I465,"")</f>
        <v>3116.1708958203185</v>
      </c>
      <c r="AO467" s="800">
        <f>IFERROR('Base de datos Rutas'!X465*AN467/AM467,"")</f>
        <v>0.37418782761251823</v>
      </c>
      <c r="AP467" s="800">
        <f t="shared" si="273"/>
        <v>0.62581217238748177</v>
      </c>
      <c r="AQ467" s="789">
        <f>IFERROR(INDEX('Hoja de apoyo v2'!$J$17:$J$20,MATCH($A467,'Hoja de apoyo v2'!$A$17:$A$20,0)),"")</f>
        <v>0.64320274048480885</v>
      </c>
      <c r="AR467" s="789">
        <f t="shared" si="274"/>
        <v>-1.7390568097327086E-2</v>
      </c>
      <c r="AS467" s="784" t="str">
        <f t="shared" si="275"/>
        <v>No</v>
      </c>
      <c r="AT467" s="801">
        <f>IF(ISNUMBER('Base de datos Rutas'!CK465),'Base de datos Rutas'!CK465,"")</f>
        <v>322</v>
      </c>
      <c r="AU467" s="802">
        <f>IF(ISNUMBER('Base de datos Rutas'!CL465),'Base de datos Rutas'!CL465,"")</f>
        <v>511.82</v>
      </c>
      <c r="AV467" s="802">
        <f>IF(ISNUMBER('Base de datos Rutas'!CM465),'Base de datos Rutas'!CM465,"")</f>
        <v>189.82</v>
      </c>
      <c r="AW467" s="802">
        <f>IF(ISNUMBER('Base de datos Rutas'!CN465),'Base de datos Rutas'!CN465,"")</f>
        <v>7.61</v>
      </c>
      <c r="AX467" s="802">
        <f>IF(ISNUMBER('Base de datos Rutas'!CO465),'Base de datos Rutas'!CO465,"")</f>
        <v>9.4499999999999993</v>
      </c>
      <c r="AY467" s="802">
        <f>IF(ISNUMBER('Base de datos Rutas'!CP465),'Base de datos Rutas'!CP465,"")</f>
        <v>1.839999999999999</v>
      </c>
      <c r="AZ467" s="802">
        <f>IF(ISNUMBER('Base de datos Rutas'!CQ465),'Base de datos Rutas'!CQ465,"")</f>
        <v>846.56</v>
      </c>
      <c r="BA467" s="802">
        <f>IF(ISNUMBER('Base de datos Rutas'!CR465),'Base de datos Rutas'!CR465,"")</f>
        <v>576.63</v>
      </c>
      <c r="BB467" s="803">
        <f>IF(ISNUMBER('Base de datos Rutas'!CS465),'Base de datos Rutas'!CS465,"")</f>
        <v>269.92999999999995</v>
      </c>
      <c r="BC467" s="804">
        <f t="shared" si="285"/>
        <v>0</v>
      </c>
      <c r="BD467" s="805" t="str">
        <f t="shared" si="286"/>
        <v>No saturada</v>
      </c>
      <c r="BE467" s="806">
        <f t="shared" si="287"/>
        <v>0.68114486864486867</v>
      </c>
      <c r="BF467" s="890">
        <f>IF(ISNUMBER('Base de datos Rutas'!CX465),'Base de datos Rutas'!CX465/100,"")</f>
        <v>0.28154604250076998</v>
      </c>
      <c r="BG467" s="891">
        <f>IF(ISNUMBER('Base de datos Rutas'!CZ465),'Base de datos Rutas'!CZ465/100,"")</f>
        <v>0.34000615953187557</v>
      </c>
      <c r="BH467" s="892">
        <f>IF(ISNUMBER('Base de datos Rutas'!DA465),'Base de datos Rutas'!DA465,"")</f>
        <v>507.36645794659012</v>
      </c>
      <c r="BI467" s="893">
        <f>IF(ISNUMBER('Base de datos Rutas'!DC465),'Base de datos Rutas'!DC465,"")</f>
        <v>24.87610640068435</v>
      </c>
      <c r="BJ467" s="805" t="str">
        <f t="shared" si="288"/>
        <v>Ruta (completo)</v>
      </c>
      <c r="BK467" s="783">
        <f t="shared" si="276"/>
        <v>1</v>
      </c>
      <c r="BL467" s="797">
        <f t="shared" si="277"/>
        <v>1</v>
      </c>
      <c r="BM467" s="797">
        <f t="shared" si="278"/>
        <v>2</v>
      </c>
      <c r="BN467" s="797">
        <f t="shared" si="279"/>
        <v>2</v>
      </c>
      <c r="BO467" s="798" cm="1">
        <f t="array" ref="BO467">SUMPRODUCT(--ISNUMBER($BF467:$BI467),$BK$3:$BN$3)</f>
        <v>1</v>
      </c>
      <c r="BP467" s="831">
        <f t="shared" si="289"/>
        <v>12.5</v>
      </c>
      <c r="BQ467" s="834" t="str">
        <f t="shared" si="290"/>
        <v>Bajo</v>
      </c>
      <c r="BR467" s="836">
        <f t="shared" si="280"/>
        <v>26.313215882367359</v>
      </c>
      <c r="BS467" s="836">
        <f t="shared" si="281"/>
        <v>12.5</v>
      </c>
      <c r="BT467" s="837" t="str">
        <f t="shared" si="282"/>
        <v>P4</v>
      </c>
      <c r="BU467" s="807" t="str">
        <f t="shared" si="291"/>
        <v>Con espacio</v>
      </c>
      <c r="BV467" s="807" t="str">
        <f t="shared" si="283"/>
        <v>Zona de bajo potencial</v>
      </c>
      <c r="BW467" s="808" t="str">
        <f t="shared" si="284"/>
        <v>P4 - Evaluar</v>
      </c>
    </row>
    <row r="468" spans="1:75">
      <c r="A468" s="780" t="str">
        <f>'Base de datos Rutas'!A466</f>
        <v>Occidente</v>
      </c>
      <c r="B468" s="781" t="str">
        <f>'Base de datos Rutas'!B466</f>
        <v>Zapopan</v>
      </c>
      <c r="C468" s="781" t="str">
        <f>'Base de datos Rutas'!C466</f>
        <v>Suc. Belenes</v>
      </c>
      <c r="D468" s="782">
        <f>IF(ISNUMBER('Base de datos Rutas'!D466),'Base de datos Rutas'!D466,"Sin código")</f>
        <v>820410</v>
      </c>
      <c r="E468" s="783" t="str">
        <f>'Base de datos Rutas'!F466</f>
        <v>Activa</v>
      </c>
      <c r="F468" s="784" t="str">
        <f>'Base de datos Rutas'!H466</f>
        <v>Sí</v>
      </c>
      <c r="G468" s="785">
        <f>IF(ISNUMBER('Base de datos Rutas'!BE466),'Base de datos Rutas'!BE466,"")</f>
        <v>87.803695150115502</v>
      </c>
      <c r="H468" s="786">
        <f>IF(ISNUMBER('Base de datos Rutas'!BH466),'Base de datos Rutas'!BH466,"")</f>
        <v>0.54096635892580003</v>
      </c>
      <c r="I468" s="788">
        <f>IFERROR(IF(OR(NOT(ISNUMBER('Base de datos Rutas'!O466)),N('Base de datos Rutas'!BK466)=0),"",'Base de datos Rutas'!O466/('Base de datos Rutas'!L466/'Base de datos Rutas'!BK466)),"")</f>
        <v>3226.9099307159263</v>
      </c>
      <c r="J468" s="788">
        <f>IFERROR(IF(OR(NOT(ISNUMBER('Base de datos Rutas'!N466)),N('Base de datos Rutas'!BK466)=0),"",'Base de datos Rutas'!N466/('Base de datos Rutas'!L466/'Base de datos Rutas'!BK466)),"")</f>
        <v>6701.2378752886652</v>
      </c>
      <c r="K468" s="788">
        <f>IFERROR(IF(OR(NOT(ISNUMBER('Base de datos Rutas'!J466)),N('Base de datos Rutas'!BK466)=0),"",'Base de datos Rutas'!J466/('Base de datos Rutas'!L466/'Base de datos Rutas'!BK466)),"")</f>
        <v>457.74116766743293</v>
      </c>
      <c r="L468" s="788">
        <f>IFERROR(IF(OR(NOT(ISNUMBER('Base de datos Rutas'!K466)),N('Base de datos Rutas'!BK466)=0),"",'Base de datos Rutas'!K466/('Base de datos Rutas'!L466/'Base de datos Rutas'!BK466)),"")</f>
        <v>25.358386309468752</v>
      </c>
      <c r="M468" s="787">
        <f>IF(ISNUMBER('Base de datos Rutas'!AX466),'Base de datos Rutas'!AX466,"")</f>
        <v>209.01864054067201</v>
      </c>
      <c r="N468" s="790">
        <f>IFERROR(INDEX('Hoja de apoyo v2'!B$17:B$20,MATCH($A468,'Hoja de apoyo v2'!$A$17:$A$20,0)),"")</f>
        <v>89.41621024641401</v>
      </c>
      <c r="O468" s="791">
        <f>IFERROR(INDEX('Hoja de apoyo v2'!C$17:C$20,MATCH($A468,'Hoja de apoyo v2'!$A$17:$A$20,0)),"")</f>
        <v>0.54706375874806301</v>
      </c>
      <c r="P468" s="793">
        <f>IFERROR(INDEX('Hoja de apoyo v2'!D$17:D$20,MATCH($A468,'Hoja de apoyo v2'!$A$17:$A$20,0)),"")</f>
        <v>11095.153935793827</v>
      </c>
      <c r="Q468" s="793">
        <f>IFERROR(INDEX('Hoja de apoyo v2'!E$17:E$20,MATCH($A468,'Hoja de apoyo v2'!$A$17:$A$20,0)),"")</f>
        <v>6982.3202019701848</v>
      </c>
      <c r="R468" s="793">
        <f>IFERROR(INDEX('Hoja de apoyo v2'!F$17:F$20,MATCH($A468,'Hoja de apoyo v2'!$A$17:$A$20,0)),"")</f>
        <v>448.09513474485743</v>
      </c>
      <c r="S468" s="793">
        <f>IFERROR(INDEX('Hoja de apoyo v2'!G$17:G$20,MATCH($A468,'Hoja de apoyo v2'!$A$17:$A$20,0)),"")</f>
        <v>83.406300904207839</v>
      </c>
      <c r="T468" s="792">
        <f>IFERROR(INDEX('Hoja de apoyo v2'!H$17:H$20,MATCH($A468,'Hoja de apoyo v2'!$A$17:$A$20,0)),"")</f>
        <v>378.97014028925349</v>
      </c>
      <c r="U468" s="794">
        <f t="shared" si="256"/>
        <v>0.98196618832474869</v>
      </c>
      <c r="V468" s="795">
        <f t="shared" si="257"/>
        <v>0.98885431592797035</v>
      </c>
      <c r="W468" s="795">
        <f t="shared" si="258"/>
        <v>0.29083958180207525</v>
      </c>
      <c r="X468" s="843">
        <f t="shared" si="259"/>
        <v>0.95974370717026025</v>
      </c>
      <c r="Y468" s="843">
        <f t="shared" si="260"/>
        <v>1.0215267521886127</v>
      </c>
      <c r="Z468" s="843">
        <f t="shared" si="261"/>
        <v>0.30403441987665736</v>
      </c>
      <c r="AA468" s="843">
        <f t="shared" si="262"/>
        <v>0.55154382448478934</v>
      </c>
      <c r="AB468" s="796">
        <f t="shared" si="263"/>
        <v>3</v>
      </c>
      <c r="AC468" s="797">
        <f t="shared" si="264"/>
        <v>3</v>
      </c>
      <c r="AD468" s="797">
        <f t="shared" si="265"/>
        <v>1</v>
      </c>
      <c r="AE468" s="842">
        <f t="shared" si="266"/>
        <v>3</v>
      </c>
      <c r="AF468" s="842">
        <f t="shared" si="267"/>
        <v>4</v>
      </c>
      <c r="AG468" s="842">
        <f t="shared" si="268"/>
        <v>1</v>
      </c>
      <c r="AH468" s="842">
        <f t="shared" si="269"/>
        <v>2</v>
      </c>
      <c r="AI468" s="826" cm="1">
        <f t="array" ref="AI468">SUMPRODUCT(--ISNUMBER($U468:$AA468),$AB$3:$AH$3)</f>
        <v>1</v>
      </c>
      <c r="AJ468" s="829">
        <f t="shared" si="270"/>
        <v>31.674840196937794</v>
      </c>
      <c r="AK468" s="827" t="str">
        <f t="shared" si="271"/>
        <v>Inmadura</v>
      </c>
      <c r="AL468" s="784" t="str">
        <f t="shared" si="272"/>
        <v>Alta</v>
      </c>
      <c r="AM468" s="799">
        <f>IF(ISNUMBER('Base de datos Rutas'!W466),'Base de datos Rutas'!W466,"")</f>
        <v>3116.1708958203221</v>
      </c>
      <c r="AN468" s="787">
        <f>IFERROR(SUMIFS('Base de datos Rutas'!$W$6:$W$794,'Base de datos Rutas'!$C$6:$C$794,$C468)/'Base de datos Rutas'!I466,"")</f>
        <v>3116.1708958203185</v>
      </c>
      <c r="AO468" s="800">
        <f>IFERROR('Base de datos Rutas'!X466*AN468/AM468,"")</f>
        <v>0.37418782761251823</v>
      </c>
      <c r="AP468" s="800">
        <f t="shared" si="273"/>
        <v>0.62581217238748177</v>
      </c>
      <c r="AQ468" s="789">
        <f>IFERROR(INDEX('Hoja de apoyo v2'!$J$17:$J$20,MATCH($A468,'Hoja de apoyo v2'!$A$17:$A$20,0)),"")</f>
        <v>0.64320274048480885</v>
      </c>
      <c r="AR468" s="789">
        <f t="shared" si="274"/>
        <v>-1.7390568097327086E-2</v>
      </c>
      <c r="AS468" s="784" t="str">
        <f t="shared" si="275"/>
        <v>No</v>
      </c>
      <c r="AT468" s="801">
        <f>IF(ISNUMBER('Base de datos Rutas'!CK466),'Base de datos Rutas'!CK466,"")</f>
        <v>333</v>
      </c>
      <c r="AU468" s="802">
        <f>IF(ISNUMBER('Base de datos Rutas'!CL466),'Base de datos Rutas'!CL466,"")</f>
        <v>448.32</v>
      </c>
      <c r="AV468" s="802">
        <f>IF(ISNUMBER('Base de datos Rutas'!CM466),'Base de datos Rutas'!CM466,"")</f>
        <v>115.32</v>
      </c>
      <c r="AW468" s="802">
        <f>IF(ISNUMBER('Base de datos Rutas'!CN466),'Base de datos Rutas'!CN466,"")</f>
        <v>8.18</v>
      </c>
      <c r="AX468" s="802">
        <f>IF(ISNUMBER('Base de datos Rutas'!CO466),'Base de datos Rutas'!CO466,"")</f>
        <v>9.4499999999999993</v>
      </c>
      <c r="AY468" s="802">
        <f>IF(ISNUMBER('Base de datos Rutas'!CP466),'Base de datos Rutas'!CP466,"")</f>
        <v>1.2699999999999996</v>
      </c>
      <c r="AZ468" s="802">
        <f>IF(ISNUMBER('Base de datos Rutas'!CQ466),'Base de datos Rutas'!CQ466,"")</f>
        <v>846.56</v>
      </c>
      <c r="BA468" s="802">
        <f>IF(ISNUMBER('Base de datos Rutas'!CR466),'Base de datos Rutas'!CR466,"")</f>
        <v>483.1</v>
      </c>
      <c r="BB468" s="803">
        <f>IF(ISNUMBER('Base de datos Rutas'!CS466),'Base de datos Rutas'!CS466,"")</f>
        <v>363.45999999999992</v>
      </c>
      <c r="BC468" s="804">
        <f t="shared" si="285"/>
        <v>0</v>
      </c>
      <c r="BD468" s="805" t="str">
        <f t="shared" si="286"/>
        <v>No saturada</v>
      </c>
      <c r="BE468" s="806">
        <f t="shared" si="287"/>
        <v>0.57066244566244573</v>
      </c>
      <c r="BF468" s="890">
        <f>IF(ISNUMBER('Base de datos Rutas'!CX466),'Base de datos Rutas'!CX466/100,"")</f>
        <v>0.33224500062885171</v>
      </c>
      <c r="BG468" s="891">
        <f>IF(ISNUMBER('Base de datos Rutas'!CZ466),'Base de datos Rutas'!CZ466/100,"")</f>
        <v>0.34674883662432399</v>
      </c>
      <c r="BH468" s="892">
        <f>IF(ISNUMBER('Base de datos Rutas'!DA466),'Base de datos Rutas'!DA466,"")</f>
        <v>176.68140986224202</v>
      </c>
      <c r="BI468" s="893">
        <f>IF(ISNUMBER('Base de datos Rutas'!DC466),'Base de datos Rutas'!DC466,"")</f>
        <v>8.2503409237421774</v>
      </c>
      <c r="BJ468" s="805" t="str">
        <f t="shared" si="288"/>
        <v>Ruta (completo)</v>
      </c>
      <c r="BK468" s="783">
        <f t="shared" si="276"/>
        <v>1</v>
      </c>
      <c r="BL468" s="797">
        <f t="shared" si="277"/>
        <v>1</v>
      </c>
      <c r="BM468" s="797">
        <f t="shared" si="278"/>
        <v>1</v>
      </c>
      <c r="BN468" s="797">
        <f t="shared" si="279"/>
        <v>1</v>
      </c>
      <c r="BO468" s="798" cm="1">
        <f t="array" ref="BO468">SUMPRODUCT(--ISNUMBER($BF468:$BI468),$BK$3:$BN$3)</f>
        <v>1</v>
      </c>
      <c r="BP468" s="831">
        <f t="shared" si="289"/>
        <v>0</v>
      </c>
      <c r="BQ468" s="834" t="str">
        <f t="shared" si="290"/>
        <v>Bajo</v>
      </c>
      <c r="BR468" s="836">
        <f t="shared" si="280"/>
        <v>23.756130147703345</v>
      </c>
      <c r="BS468" s="836">
        <f t="shared" si="281"/>
        <v>0</v>
      </c>
      <c r="BT468" s="837" t="str">
        <f t="shared" si="282"/>
        <v>P4</v>
      </c>
      <c r="BU468" s="807" t="str">
        <f t="shared" si="291"/>
        <v>Con espacio</v>
      </c>
      <c r="BV468" s="807" t="str">
        <f t="shared" si="283"/>
        <v>Zona de bajo potencial</v>
      </c>
      <c r="BW468" s="808" t="str">
        <f t="shared" si="284"/>
        <v>P4 - Evaluar</v>
      </c>
    </row>
    <row r="469" spans="1:75">
      <c r="A469" s="780" t="str">
        <f>'Base de datos Rutas'!A467</f>
        <v>Occidente</v>
      </c>
      <c r="B469" s="781" t="str">
        <f>'Base de datos Rutas'!B467</f>
        <v>Zapopan</v>
      </c>
      <c r="C469" s="781" t="str">
        <f>'Base de datos Rutas'!C467</f>
        <v>Suc. Belenes</v>
      </c>
      <c r="D469" s="782">
        <f>IF(ISNUMBER('Base de datos Rutas'!D467),'Base de datos Rutas'!D467,"Sin código")</f>
        <v>820411</v>
      </c>
      <c r="E469" s="783" t="str">
        <f>'Base de datos Rutas'!F467</f>
        <v>Activa</v>
      </c>
      <c r="F469" s="784" t="str">
        <f>'Base de datos Rutas'!H467</f>
        <v>Sí</v>
      </c>
      <c r="G469" s="785">
        <f>IF(ISNUMBER('Base de datos Rutas'!BE467),'Base de datos Rutas'!BE467,"")</f>
        <v>69.091428571428594</v>
      </c>
      <c r="H469" s="786">
        <f>IF(ISNUMBER('Base de datos Rutas'!BH467),'Base de datos Rutas'!BH467,"")</f>
        <v>0.34720039698949601</v>
      </c>
      <c r="I469" s="788">
        <f>IFERROR(IF(OR(NOT(ISNUMBER('Base de datos Rutas'!O467)),N('Base de datos Rutas'!BK467)=0),"",'Base de datos Rutas'!O467/('Base de datos Rutas'!L467/'Base de datos Rutas'!BK467)),"")</f>
        <v>2766.4870588235271</v>
      </c>
      <c r="J469" s="788">
        <f>IFERROR(IF(OR(NOT(ISNUMBER('Base de datos Rutas'!N467)),N('Base de datos Rutas'!BK467)=0),"",'Base de datos Rutas'!N467/('Base de datos Rutas'!L467/'Base de datos Rutas'!BK467)),"")</f>
        <v>3924.7035294117613</v>
      </c>
      <c r="K469" s="788">
        <f>IFERROR(IF(OR(NOT(ISNUMBER('Base de datos Rutas'!J467)),N('Base de datos Rutas'!BK467)=0),"",'Base de datos Rutas'!J467/('Base de datos Rutas'!L467/'Base de datos Rutas'!BK467)),"")</f>
        <v>268.14166399999982</v>
      </c>
      <c r="L469" s="788">
        <f>IFERROR(IF(OR(NOT(ISNUMBER('Base de datos Rutas'!K467)),N('Base de datos Rutas'!BK467)=0),"",'Base de datos Rutas'!K467/('Base de datos Rutas'!L467/'Base de datos Rutas'!BK467)),"")</f>
        <v>17.966671950588221</v>
      </c>
      <c r="M469" s="787">
        <f>IF(ISNUMBER('Base de datos Rutas'!AX467),'Base de datos Rutas'!AX467,"")</f>
        <v>315.88566514017703</v>
      </c>
      <c r="N469" s="790">
        <f>IFERROR(INDEX('Hoja de apoyo v2'!B$17:B$20,MATCH($A469,'Hoja de apoyo v2'!$A$17:$A$20,0)),"")</f>
        <v>89.41621024641401</v>
      </c>
      <c r="O469" s="791">
        <f>IFERROR(INDEX('Hoja de apoyo v2'!C$17:C$20,MATCH($A469,'Hoja de apoyo v2'!$A$17:$A$20,0)),"")</f>
        <v>0.54706375874806301</v>
      </c>
      <c r="P469" s="793">
        <f>IFERROR(INDEX('Hoja de apoyo v2'!D$17:D$20,MATCH($A469,'Hoja de apoyo v2'!$A$17:$A$20,0)),"")</f>
        <v>11095.153935793827</v>
      </c>
      <c r="Q469" s="793">
        <f>IFERROR(INDEX('Hoja de apoyo v2'!E$17:E$20,MATCH($A469,'Hoja de apoyo v2'!$A$17:$A$20,0)),"")</f>
        <v>6982.3202019701848</v>
      </c>
      <c r="R469" s="793">
        <f>IFERROR(INDEX('Hoja de apoyo v2'!F$17:F$20,MATCH($A469,'Hoja de apoyo v2'!$A$17:$A$20,0)),"")</f>
        <v>448.09513474485743</v>
      </c>
      <c r="S469" s="793">
        <f>IFERROR(INDEX('Hoja de apoyo v2'!G$17:G$20,MATCH($A469,'Hoja de apoyo v2'!$A$17:$A$20,0)),"")</f>
        <v>83.406300904207839</v>
      </c>
      <c r="T469" s="792">
        <f>IFERROR(INDEX('Hoja de apoyo v2'!H$17:H$20,MATCH($A469,'Hoja de apoyo v2'!$A$17:$A$20,0)),"")</f>
        <v>378.97014028925349</v>
      </c>
      <c r="U469" s="794">
        <f t="shared" si="256"/>
        <v>0.77269466443529422</v>
      </c>
      <c r="V469" s="795">
        <f t="shared" si="257"/>
        <v>0.63466166683030223</v>
      </c>
      <c r="W469" s="795">
        <f t="shared" si="258"/>
        <v>0.24934192664949201</v>
      </c>
      <c r="X469" s="843">
        <f t="shared" si="259"/>
        <v>0.56209159933747199</v>
      </c>
      <c r="Y469" s="843">
        <f t="shared" si="260"/>
        <v>0.59840342643460753</v>
      </c>
      <c r="Z469" s="843">
        <f t="shared" si="261"/>
        <v>0.2154114468069139</v>
      </c>
      <c r="AA469" s="843">
        <f t="shared" si="262"/>
        <v>0.83353708262892034</v>
      </c>
      <c r="AB469" s="796">
        <f t="shared" si="263"/>
        <v>3</v>
      </c>
      <c r="AC469" s="797">
        <f t="shared" si="264"/>
        <v>2</v>
      </c>
      <c r="AD469" s="797">
        <f t="shared" si="265"/>
        <v>1</v>
      </c>
      <c r="AE469" s="842">
        <f t="shared" si="266"/>
        <v>2</v>
      </c>
      <c r="AF469" s="842">
        <f t="shared" si="267"/>
        <v>2</v>
      </c>
      <c r="AG469" s="842">
        <f t="shared" si="268"/>
        <v>1</v>
      </c>
      <c r="AH469" s="842">
        <f t="shared" si="269"/>
        <v>3</v>
      </c>
      <c r="AI469" s="826" cm="1">
        <f t="array" ref="AI469">SUMPRODUCT(--ISNUMBER($U469:$AA469),$AB$3:$AH$3)</f>
        <v>1</v>
      </c>
      <c r="AJ469" s="829">
        <f t="shared" si="270"/>
        <v>22.275125781075602</v>
      </c>
      <c r="AK469" s="827" t="str">
        <f t="shared" si="271"/>
        <v>Inmadura</v>
      </c>
      <c r="AL469" s="784" t="str">
        <f t="shared" si="272"/>
        <v>Alta</v>
      </c>
      <c r="AM469" s="799">
        <f>IF(ISNUMBER('Base de datos Rutas'!W467),'Base de datos Rutas'!W467,"")</f>
        <v>3116.1708958203221</v>
      </c>
      <c r="AN469" s="787">
        <f>IFERROR(SUMIFS('Base de datos Rutas'!$W$6:$W$794,'Base de datos Rutas'!$C$6:$C$794,$C469)/'Base de datos Rutas'!I467,"")</f>
        <v>3116.1708958203185</v>
      </c>
      <c r="AO469" s="800">
        <f>IFERROR('Base de datos Rutas'!X467*AN469/AM469,"")</f>
        <v>0.37418782761251823</v>
      </c>
      <c r="AP469" s="800">
        <f t="shared" si="273"/>
        <v>0.62581217238748177</v>
      </c>
      <c r="AQ469" s="789">
        <f>IFERROR(INDEX('Hoja de apoyo v2'!$J$17:$J$20,MATCH($A469,'Hoja de apoyo v2'!$A$17:$A$20,0)),"")</f>
        <v>0.64320274048480885</v>
      </c>
      <c r="AR469" s="789">
        <f t="shared" si="274"/>
        <v>-1.7390568097327086E-2</v>
      </c>
      <c r="AS469" s="784" t="str">
        <f t="shared" si="275"/>
        <v>No</v>
      </c>
      <c r="AT469" s="801" t="str">
        <f>IF(ISNUMBER('Base de datos Rutas'!CK467),'Base de datos Rutas'!CK467,"")</f>
        <v/>
      </c>
      <c r="AU469" s="802" t="str">
        <f>IF(ISNUMBER('Base de datos Rutas'!CL467),'Base de datos Rutas'!CL467,"")</f>
        <v/>
      </c>
      <c r="AV469" s="802">
        <f>IF(ISNUMBER('Base de datos Rutas'!CM467),'Base de datos Rutas'!CM467,"")</f>
        <v>0</v>
      </c>
      <c r="AW469" s="802" t="str">
        <f>IF(ISNUMBER('Base de datos Rutas'!CN467),'Base de datos Rutas'!CN467,"")</f>
        <v/>
      </c>
      <c r="AX469" s="802" t="str">
        <f>IF(ISNUMBER('Base de datos Rutas'!CO467),'Base de datos Rutas'!CO467,"")</f>
        <v/>
      </c>
      <c r="AY469" s="802">
        <f>IF(ISNUMBER('Base de datos Rutas'!CP467),'Base de datos Rutas'!CP467,"")</f>
        <v>0</v>
      </c>
      <c r="AZ469" s="802" t="str">
        <f>IF(ISNUMBER('Base de datos Rutas'!CQ467),'Base de datos Rutas'!CQ467,"")</f>
        <v/>
      </c>
      <c r="BA469" s="802" t="str">
        <f>IF(ISNUMBER('Base de datos Rutas'!CR467),'Base de datos Rutas'!CR467,"")</f>
        <v/>
      </c>
      <c r="BB469" s="803">
        <f>IF(ISNUMBER('Base de datos Rutas'!CS467),'Base de datos Rutas'!CS467,"")</f>
        <v>0</v>
      </c>
      <c r="BC469" s="804" t="str">
        <f t="shared" si="285"/>
        <v/>
      </c>
      <c r="BD469" s="805" t="str">
        <f t="shared" si="286"/>
        <v>N/D</v>
      </c>
      <c r="BE469" s="806" t="str">
        <f t="shared" si="287"/>
        <v/>
      </c>
      <c r="BF469" s="890" t="str">
        <f>IF(ISNUMBER('Base de datos Rutas'!CX467),'Base de datos Rutas'!CX467/100,"")</f>
        <v/>
      </c>
      <c r="BG469" s="891" t="str">
        <f>IF(ISNUMBER('Base de datos Rutas'!CZ467),'Base de datos Rutas'!CZ467/100,"")</f>
        <v/>
      </c>
      <c r="BH469" s="892" t="str">
        <f>IF(ISNUMBER('Base de datos Rutas'!DA467),'Base de datos Rutas'!DA467,"")</f>
        <v/>
      </c>
      <c r="BI469" s="893" t="str">
        <f>IF(ISNUMBER('Base de datos Rutas'!DC467),'Base de datos Rutas'!DC467,"")</f>
        <v/>
      </c>
      <c r="BJ469" s="805" t="str">
        <f t="shared" si="288"/>
        <v>Sin dato</v>
      </c>
      <c r="BK469" s="783">
        <f t="shared" si="276"/>
        <v>0</v>
      </c>
      <c r="BL469" s="797">
        <f t="shared" si="277"/>
        <v>0</v>
      </c>
      <c r="BM469" s="797">
        <f t="shared" si="278"/>
        <v>0</v>
      </c>
      <c r="BN469" s="797">
        <f t="shared" si="279"/>
        <v>0</v>
      </c>
      <c r="BO469" s="798" cm="1">
        <f t="array" ref="BO469">SUMPRODUCT(--ISNUMBER($BF469:$BI469),$BK$3:$BN$3)</f>
        <v>0</v>
      </c>
      <c r="BP469" s="831" t="str">
        <f t="shared" si="289"/>
        <v/>
      </c>
      <c r="BQ469" s="834" t="str">
        <f t="shared" si="290"/>
        <v>Sin datos</v>
      </c>
      <c r="BR469" s="836" t="str">
        <f t="shared" si="280"/>
        <v/>
      </c>
      <c r="BS469" s="836" t="str">
        <f t="shared" si="281"/>
        <v/>
      </c>
      <c r="BT469" s="837" t="str">
        <f t="shared" si="282"/>
        <v>Sin datos</v>
      </c>
      <c r="BU469" s="807" t="str">
        <f t="shared" si="291"/>
        <v>Con espacio</v>
      </c>
      <c r="BV469" s="807" t="str">
        <f t="shared" si="283"/>
        <v>Sin datos de zona</v>
      </c>
      <c r="BW469" s="808" t="str">
        <f t="shared" si="284"/>
        <v>Sin datos</v>
      </c>
    </row>
    <row r="470" spans="1:75">
      <c r="A470" s="780" t="str">
        <f>'Base de datos Rutas'!A468</f>
        <v>Occidente</v>
      </c>
      <c r="B470" s="781" t="str">
        <f>'Base de datos Rutas'!B468</f>
        <v>Zapopan</v>
      </c>
      <c r="C470" s="781" t="str">
        <f>'Base de datos Rutas'!C468</f>
        <v>Suc. Belenes</v>
      </c>
      <c r="D470" s="782">
        <f>IF(ISNUMBER('Base de datos Rutas'!D468),'Base de datos Rutas'!D468,"Sin código")</f>
        <v>820412</v>
      </c>
      <c r="E470" s="783" t="str">
        <f>'Base de datos Rutas'!F468</f>
        <v>Activa</v>
      </c>
      <c r="F470" s="784" t="str">
        <f>'Base de datos Rutas'!H468</f>
        <v>Sí</v>
      </c>
      <c r="G470" s="785">
        <f>IF(ISNUMBER('Base de datos Rutas'!BE468),'Base de datos Rutas'!BE468,"")</f>
        <v>94.351039260969998</v>
      </c>
      <c r="H470" s="786">
        <f>IF(ISNUMBER('Base de datos Rutas'!BH468),'Base de datos Rutas'!BH468,"")</f>
        <v>0.485117736329368</v>
      </c>
      <c r="I470" s="788">
        <f>IFERROR(IF(OR(NOT(ISNUMBER('Base de datos Rutas'!O468)),N('Base de datos Rutas'!BK468)=0),"",'Base de datos Rutas'!O468/('Base de datos Rutas'!L468/'Base de datos Rutas'!BK468)),"")</f>
        <v>2822.7066974595814</v>
      </c>
      <c r="J470" s="788">
        <f>IFERROR(IF(OR(NOT(ISNUMBER('Base de datos Rutas'!N468)),N('Base de datos Rutas'!BK468)=0),"",'Base de datos Rutas'!N468/('Base de datos Rutas'!L468/'Base de datos Rutas'!BK468)),"")</f>
        <v>6503.3210161662746</v>
      </c>
      <c r="K470" s="788">
        <f>IFERROR(IF(OR(NOT(ISNUMBER('Base de datos Rutas'!J468)),N('Base de datos Rutas'!BK468)=0),"",'Base de datos Rutas'!J468/('Base de datos Rutas'!L468/'Base de datos Rutas'!BK468)),"")</f>
        <v>446.47436859122359</v>
      </c>
      <c r="L470" s="788">
        <f>IFERROR(IF(OR(NOT(ISNUMBER('Base de datos Rutas'!K468)),N('Base de datos Rutas'!BK468)=0),"",'Base de datos Rutas'!K468/('Base de datos Rutas'!L468/'Base de datos Rutas'!BK468)),"")</f>
        <v>19.498391558891434</v>
      </c>
      <c r="M470" s="787">
        <f>IF(ISNUMBER('Base de datos Rutas'!AX468),'Base de datos Rutas'!AX468,"")</f>
        <v>203.75252636358999</v>
      </c>
      <c r="N470" s="790">
        <f>IFERROR(INDEX('Hoja de apoyo v2'!B$17:B$20,MATCH($A470,'Hoja de apoyo v2'!$A$17:$A$20,0)),"")</f>
        <v>89.41621024641401</v>
      </c>
      <c r="O470" s="791">
        <f>IFERROR(INDEX('Hoja de apoyo v2'!C$17:C$20,MATCH($A470,'Hoja de apoyo v2'!$A$17:$A$20,0)),"")</f>
        <v>0.54706375874806301</v>
      </c>
      <c r="P470" s="793">
        <f>IFERROR(INDEX('Hoja de apoyo v2'!D$17:D$20,MATCH($A470,'Hoja de apoyo v2'!$A$17:$A$20,0)),"")</f>
        <v>11095.153935793827</v>
      </c>
      <c r="Q470" s="793">
        <f>IFERROR(INDEX('Hoja de apoyo v2'!E$17:E$20,MATCH($A470,'Hoja de apoyo v2'!$A$17:$A$20,0)),"")</f>
        <v>6982.3202019701848</v>
      </c>
      <c r="R470" s="793">
        <f>IFERROR(INDEX('Hoja de apoyo v2'!F$17:F$20,MATCH($A470,'Hoja de apoyo v2'!$A$17:$A$20,0)),"")</f>
        <v>448.09513474485743</v>
      </c>
      <c r="S470" s="793">
        <f>IFERROR(INDEX('Hoja de apoyo v2'!G$17:G$20,MATCH($A470,'Hoja de apoyo v2'!$A$17:$A$20,0)),"")</f>
        <v>83.406300904207839</v>
      </c>
      <c r="T470" s="792">
        <f>IFERROR(INDEX('Hoja de apoyo v2'!H$17:H$20,MATCH($A470,'Hoja de apoyo v2'!$A$17:$A$20,0)),"")</f>
        <v>378.97014028925349</v>
      </c>
      <c r="U470" s="794">
        <f t="shared" si="256"/>
        <v>1.0551894225997338</v>
      </c>
      <c r="V470" s="795">
        <f t="shared" si="257"/>
        <v>0.88676635688597538</v>
      </c>
      <c r="W470" s="795">
        <f t="shared" si="258"/>
        <v>0.25440897114129357</v>
      </c>
      <c r="X470" s="843">
        <f t="shared" si="259"/>
        <v>0.93139827851653778</v>
      </c>
      <c r="Y470" s="843">
        <f t="shared" si="260"/>
        <v>0.99638298649558721</v>
      </c>
      <c r="Z470" s="843">
        <f t="shared" si="261"/>
        <v>0.23377600190284595</v>
      </c>
      <c r="AA470" s="843">
        <f t="shared" si="262"/>
        <v>0.53764796933097003</v>
      </c>
      <c r="AB470" s="796">
        <f t="shared" si="263"/>
        <v>4</v>
      </c>
      <c r="AC470" s="797">
        <f t="shared" si="264"/>
        <v>3</v>
      </c>
      <c r="AD470" s="797">
        <f t="shared" si="265"/>
        <v>1</v>
      </c>
      <c r="AE470" s="842">
        <f t="shared" si="266"/>
        <v>3</v>
      </c>
      <c r="AF470" s="842">
        <f t="shared" si="267"/>
        <v>3</v>
      </c>
      <c r="AG470" s="842">
        <f t="shared" si="268"/>
        <v>1</v>
      </c>
      <c r="AH470" s="842">
        <f t="shared" si="269"/>
        <v>2</v>
      </c>
      <c r="AI470" s="826" cm="1">
        <f t="array" ref="AI470">SUMPRODUCT(--ISNUMBER($U470:$AA470),$AB$3:$AH$3)</f>
        <v>1</v>
      </c>
      <c r="AJ470" s="829">
        <f t="shared" si="270"/>
        <v>33.282431863034759</v>
      </c>
      <c r="AK470" s="827" t="str">
        <f t="shared" si="271"/>
        <v>Inmadura</v>
      </c>
      <c r="AL470" s="784" t="str">
        <f t="shared" si="272"/>
        <v>Alta</v>
      </c>
      <c r="AM470" s="799">
        <f>IF(ISNUMBER('Base de datos Rutas'!W468),'Base de datos Rutas'!W468,"")</f>
        <v>3116.1708958203221</v>
      </c>
      <c r="AN470" s="787">
        <f>IFERROR(SUMIFS('Base de datos Rutas'!$W$6:$W$794,'Base de datos Rutas'!$C$6:$C$794,$C470)/'Base de datos Rutas'!I468,"")</f>
        <v>3116.1708958203185</v>
      </c>
      <c r="AO470" s="800">
        <f>IFERROR('Base de datos Rutas'!X468*AN470/AM470,"")</f>
        <v>0.37418782761251823</v>
      </c>
      <c r="AP470" s="800">
        <f t="shared" si="273"/>
        <v>0.62581217238748177</v>
      </c>
      <c r="AQ470" s="789">
        <f>IFERROR(INDEX('Hoja de apoyo v2'!$J$17:$J$20,MATCH($A470,'Hoja de apoyo v2'!$A$17:$A$20,0)),"")</f>
        <v>0.64320274048480885</v>
      </c>
      <c r="AR470" s="789">
        <f t="shared" si="274"/>
        <v>-1.7390568097327086E-2</v>
      </c>
      <c r="AS470" s="784" t="str">
        <f t="shared" si="275"/>
        <v>No</v>
      </c>
      <c r="AT470" s="801">
        <f>IF(ISNUMBER('Base de datos Rutas'!CK468),'Base de datos Rutas'!CK468,"")</f>
        <v>429</v>
      </c>
      <c r="AU470" s="802">
        <f>IF(ISNUMBER('Base de datos Rutas'!CL468),'Base de datos Rutas'!CL468,"")</f>
        <v>532.29</v>
      </c>
      <c r="AV470" s="802">
        <f>IF(ISNUMBER('Base de datos Rutas'!CM468),'Base de datos Rutas'!CM468,"")</f>
        <v>103.28999999999996</v>
      </c>
      <c r="AW470" s="802">
        <f>IF(ISNUMBER('Base de datos Rutas'!CN468),'Base de datos Rutas'!CN468,"")</f>
        <v>10.92</v>
      </c>
      <c r="AX470" s="802">
        <f>IF(ISNUMBER('Base de datos Rutas'!CO468),'Base de datos Rutas'!CO468,"")</f>
        <v>9.4499999999999993</v>
      </c>
      <c r="AY470" s="802">
        <f>IF(ISNUMBER('Base de datos Rutas'!CP468),'Base de datos Rutas'!CP468,"")</f>
        <v>-1.4700000000000006</v>
      </c>
      <c r="AZ470" s="802">
        <f>IF(ISNUMBER('Base de datos Rutas'!CQ468),'Base de datos Rutas'!CQ468,"")</f>
        <v>846.56</v>
      </c>
      <c r="BA470" s="802">
        <f>IF(ISNUMBER('Base de datos Rutas'!CR468),'Base de datos Rutas'!CR468,"")</f>
        <v>465.97</v>
      </c>
      <c r="BB470" s="803">
        <f>IF(ISNUMBER('Base de datos Rutas'!CS468),'Base de datos Rutas'!CS468,"")</f>
        <v>380.58999999999992</v>
      </c>
      <c r="BC470" s="804">
        <f t="shared" si="285"/>
        <v>1</v>
      </c>
      <c r="BD470" s="805" t="str">
        <f t="shared" si="286"/>
        <v>Saturada</v>
      </c>
      <c r="BE470" s="806">
        <f t="shared" si="287"/>
        <v>0.550427612927613</v>
      </c>
      <c r="BF470" s="890">
        <f>IF(ISNUMBER('Base de datos Rutas'!CX468),'Base de datos Rutas'!CX468/100,"")</f>
        <v>0.73202883885656467</v>
      </c>
      <c r="BG470" s="891">
        <f>IF(ISNUMBER('Base de datos Rutas'!CZ468),'Base de datos Rutas'!CZ468/100,"")</f>
        <v>0.75815836073867937</v>
      </c>
      <c r="BH470" s="892">
        <f>IF(ISNUMBER('Base de datos Rutas'!DA468),'Base de datos Rutas'!DA468,"")</f>
        <v>511.92627252982402</v>
      </c>
      <c r="BI470" s="893">
        <f>IF(ISNUMBER('Base de datos Rutas'!DC468),'Base de datos Rutas'!DC468,"")</f>
        <v>26.223445562324191</v>
      </c>
      <c r="BJ470" s="805" t="str">
        <f t="shared" si="288"/>
        <v>Ruta (completo)</v>
      </c>
      <c r="BK470" s="783">
        <f t="shared" si="276"/>
        <v>2</v>
      </c>
      <c r="BL470" s="797">
        <f t="shared" si="277"/>
        <v>2</v>
      </c>
      <c r="BM470" s="797">
        <f t="shared" si="278"/>
        <v>2</v>
      </c>
      <c r="BN470" s="797">
        <f t="shared" si="279"/>
        <v>3</v>
      </c>
      <c r="BO470" s="798" cm="1">
        <f t="array" ref="BO470">SUMPRODUCT(--ISNUMBER($BF470:$BI470),$BK$3:$BN$3)</f>
        <v>1</v>
      </c>
      <c r="BP470" s="831">
        <f t="shared" si="289"/>
        <v>31.25</v>
      </c>
      <c r="BQ470" s="834" t="str">
        <f t="shared" si="290"/>
        <v>Medio</v>
      </c>
      <c r="BR470" s="836">
        <f t="shared" si="280"/>
        <v>49.961823897276069</v>
      </c>
      <c r="BS470" s="836">
        <f t="shared" si="281"/>
        <v>31.25</v>
      </c>
      <c r="BT470" s="837" t="str">
        <f t="shared" si="282"/>
        <v>P2</v>
      </c>
      <c r="BU470" s="807" t="str">
        <f t="shared" si="291"/>
        <v>Al tope</v>
      </c>
      <c r="BV470" s="807" t="str">
        <f t="shared" si="283"/>
        <v>Zona de bajo potencial</v>
      </c>
      <c r="BW470" s="808" t="str">
        <f t="shared" si="284"/>
        <v>P2 - Mantener</v>
      </c>
    </row>
    <row r="471" spans="1:75">
      <c r="A471" s="780" t="str">
        <f>'Base de datos Rutas'!A469</f>
        <v>Occidente</v>
      </c>
      <c r="B471" s="781" t="str">
        <f>'Base de datos Rutas'!B469</f>
        <v>Zapopan</v>
      </c>
      <c r="C471" s="781" t="str">
        <f>'Base de datos Rutas'!C469</f>
        <v>Suc. Belenes</v>
      </c>
      <c r="D471" s="782">
        <f>IF(ISNUMBER('Base de datos Rutas'!D469),'Base de datos Rutas'!D469,"Sin código")</f>
        <v>820413</v>
      </c>
      <c r="E471" s="783" t="str">
        <f>'Base de datos Rutas'!F469</f>
        <v>Inactiva</v>
      </c>
      <c r="F471" s="784" t="str">
        <f>'Base de datos Rutas'!H469</f>
        <v>No</v>
      </c>
      <c r="G471" s="785" t="str">
        <f>IF(ISNUMBER('Base de datos Rutas'!BE469),'Base de datos Rutas'!BE469,"")</f>
        <v/>
      </c>
      <c r="H471" s="786" t="str">
        <f>IF(ISNUMBER('Base de datos Rutas'!BH469),'Base de datos Rutas'!BH469,"")</f>
        <v/>
      </c>
      <c r="I471" s="788" t="str">
        <f>IFERROR(IF(OR(NOT(ISNUMBER('Base de datos Rutas'!O469)),N('Base de datos Rutas'!BK469)=0),"",'Base de datos Rutas'!O469/('Base de datos Rutas'!L469/'Base de datos Rutas'!BK469)),"")</f>
        <v/>
      </c>
      <c r="J471" s="788" t="str">
        <f>IFERROR(IF(OR(NOT(ISNUMBER('Base de datos Rutas'!N469)),N('Base de datos Rutas'!BK469)=0),"",'Base de datos Rutas'!N469/('Base de datos Rutas'!L469/'Base de datos Rutas'!BK469)),"")</f>
        <v/>
      </c>
      <c r="K471" s="788" t="str">
        <f>IFERROR(IF(OR(NOT(ISNUMBER('Base de datos Rutas'!J469)),N('Base de datos Rutas'!BK469)=0),"",'Base de datos Rutas'!J469/('Base de datos Rutas'!L469/'Base de datos Rutas'!BK469)),"")</f>
        <v/>
      </c>
      <c r="L471" s="788" t="str">
        <f>IFERROR(IF(OR(NOT(ISNUMBER('Base de datos Rutas'!K469)),N('Base de datos Rutas'!BK469)=0),"",'Base de datos Rutas'!K469/('Base de datos Rutas'!L469/'Base de datos Rutas'!BK469)),"")</f>
        <v/>
      </c>
      <c r="M471" s="787">
        <f>IF(ISNUMBER('Base de datos Rutas'!AX469),'Base de datos Rutas'!AX469,"")</f>
        <v>686.91547619047606</v>
      </c>
      <c r="N471" s="790">
        <f>IFERROR(INDEX('Hoja de apoyo v2'!B$17:B$20,MATCH($A471,'Hoja de apoyo v2'!$A$17:$A$20,0)),"")</f>
        <v>89.41621024641401</v>
      </c>
      <c r="O471" s="791">
        <f>IFERROR(INDEX('Hoja de apoyo v2'!C$17:C$20,MATCH($A471,'Hoja de apoyo v2'!$A$17:$A$20,0)),"")</f>
        <v>0.54706375874806301</v>
      </c>
      <c r="P471" s="793">
        <f>IFERROR(INDEX('Hoja de apoyo v2'!D$17:D$20,MATCH($A471,'Hoja de apoyo v2'!$A$17:$A$20,0)),"")</f>
        <v>11095.153935793827</v>
      </c>
      <c r="Q471" s="793">
        <f>IFERROR(INDEX('Hoja de apoyo v2'!E$17:E$20,MATCH($A471,'Hoja de apoyo v2'!$A$17:$A$20,0)),"")</f>
        <v>6982.3202019701848</v>
      </c>
      <c r="R471" s="793">
        <f>IFERROR(INDEX('Hoja de apoyo v2'!F$17:F$20,MATCH($A471,'Hoja de apoyo v2'!$A$17:$A$20,0)),"")</f>
        <v>448.09513474485743</v>
      </c>
      <c r="S471" s="793">
        <f>IFERROR(INDEX('Hoja de apoyo v2'!G$17:G$20,MATCH($A471,'Hoja de apoyo v2'!$A$17:$A$20,0)),"")</f>
        <v>83.406300904207839</v>
      </c>
      <c r="T471" s="792">
        <f>IFERROR(INDEX('Hoja de apoyo v2'!H$17:H$20,MATCH($A471,'Hoja de apoyo v2'!$A$17:$A$20,0)),"")</f>
        <v>378.97014028925349</v>
      </c>
      <c r="U471" s="794" t="str">
        <f t="shared" si="256"/>
        <v/>
      </c>
      <c r="V471" s="795" t="str">
        <f t="shared" si="257"/>
        <v/>
      </c>
      <c r="W471" s="795" t="str">
        <f t="shared" si="258"/>
        <v/>
      </c>
      <c r="X471" s="843" t="str">
        <f t="shared" si="259"/>
        <v/>
      </c>
      <c r="Y471" s="843" t="str">
        <f t="shared" si="260"/>
        <v/>
      </c>
      <c r="Z471" s="843" t="str">
        <f t="shared" si="261"/>
        <v/>
      </c>
      <c r="AA471" s="843">
        <f t="shared" si="262"/>
        <v>1.8125846951060038</v>
      </c>
      <c r="AB471" s="796">
        <f t="shared" si="263"/>
        <v>0</v>
      </c>
      <c r="AC471" s="797">
        <f t="shared" si="264"/>
        <v>0</v>
      </c>
      <c r="AD471" s="797">
        <f t="shared" si="265"/>
        <v>0</v>
      </c>
      <c r="AE471" s="842">
        <f t="shared" si="266"/>
        <v>0</v>
      </c>
      <c r="AF471" s="842">
        <f t="shared" si="267"/>
        <v>0</v>
      </c>
      <c r="AG471" s="842">
        <f t="shared" si="268"/>
        <v>0</v>
      </c>
      <c r="AH471" s="842">
        <f t="shared" si="269"/>
        <v>5</v>
      </c>
      <c r="AI471" s="826" cm="1">
        <f t="array" ref="AI471">SUMPRODUCT(--ISNUMBER($U471:$AA471),$AB$3:$AH$3)</f>
        <v>8.9789113613062493E-2</v>
      </c>
      <c r="AJ471" s="829" t="str">
        <f t="shared" si="270"/>
        <v/>
      </c>
      <c r="AK471" s="827" t="str">
        <f t="shared" si="271"/>
        <v>Ruta inactiva</v>
      </c>
      <c r="AL471" s="784" t="str">
        <f t="shared" si="272"/>
        <v>n/a</v>
      </c>
      <c r="AM471" s="799">
        <f>IF(ISNUMBER('Base de datos Rutas'!W469),'Base de datos Rutas'!W469,"")</f>
        <v>3116.1708958203221</v>
      </c>
      <c r="AN471" s="787">
        <f>IFERROR(SUMIFS('Base de datos Rutas'!$W$6:$W$794,'Base de datos Rutas'!$C$6:$C$794,$C471)/'Base de datos Rutas'!I469,"")</f>
        <v>3116.1708958203185</v>
      </c>
      <c r="AO471" s="800">
        <f>IFERROR('Base de datos Rutas'!X469*AN471/AM471,"")</f>
        <v>0.37418782761251823</v>
      </c>
      <c r="AP471" s="800">
        <f t="shared" si="273"/>
        <v>0.62581217238748177</v>
      </c>
      <c r="AQ471" s="789">
        <f>IFERROR(INDEX('Hoja de apoyo v2'!$J$17:$J$20,MATCH($A471,'Hoja de apoyo v2'!$A$17:$A$20,0)),"")</f>
        <v>0.64320274048480885</v>
      </c>
      <c r="AR471" s="789">
        <f t="shared" si="274"/>
        <v>-1.7390568097327086E-2</v>
      </c>
      <c r="AS471" s="784" t="str">
        <f t="shared" si="275"/>
        <v>No</v>
      </c>
      <c r="AT471" s="801" t="str">
        <f>IF(ISNUMBER('Base de datos Rutas'!CK469),'Base de datos Rutas'!CK469,"")</f>
        <v/>
      </c>
      <c r="AU471" s="802" t="str">
        <f>IF(ISNUMBER('Base de datos Rutas'!CL469),'Base de datos Rutas'!CL469,"")</f>
        <v/>
      </c>
      <c r="AV471" s="802">
        <f>IF(ISNUMBER('Base de datos Rutas'!CM469),'Base de datos Rutas'!CM469,"")</f>
        <v>0</v>
      </c>
      <c r="AW471" s="802" t="str">
        <f>IF(ISNUMBER('Base de datos Rutas'!CN469),'Base de datos Rutas'!CN469,"")</f>
        <v/>
      </c>
      <c r="AX471" s="802" t="str">
        <f>IF(ISNUMBER('Base de datos Rutas'!CO469),'Base de datos Rutas'!CO469,"")</f>
        <v/>
      </c>
      <c r="AY471" s="802">
        <f>IF(ISNUMBER('Base de datos Rutas'!CP469),'Base de datos Rutas'!CP469,"")</f>
        <v>0</v>
      </c>
      <c r="AZ471" s="802" t="str">
        <f>IF(ISNUMBER('Base de datos Rutas'!CQ469),'Base de datos Rutas'!CQ469,"")</f>
        <v/>
      </c>
      <c r="BA471" s="802" t="str">
        <f>IF(ISNUMBER('Base de datos Rutas'!CR469),'Base de datos Rutas'!CR469,"")</f>
        <v/>
      </c>
      <c r="BB471" s="803">
        <f>IF(ISNUMBER('Base de datos Rutas'!CS469),'Base de datos Rutas'!CS469,"")</f>
        <v>0</v>
      </c>
      <c r="BC471" s="804" t="str">
        <f t="shared" si="285"/>
        <v/>
      </c>
      <c r="BD471" s="805" t="str">
        <f t="shared" si="286"/>
        <v>N/D</v>
      </c>
      <c r="BE471" s="806" t="str">
        <f t="shared" si="287"/>
        <v/>
      </c>
      <c r="BF471" s="890" t="str">
        <f>IF(ISNUMBER('Base de datos Rutas'!CX469),'Base de datos Rutas'!CX469/100,"")</f>
        <v/>
      </c>
      <c r="BG471" s="891" t="str">
        <f>IF(ISNUMBER('Base de datos Rutas'!CZ469),'Base de datos Rutas'!CZ469/100,"")</f>
        <v/>
      </c>
      <c r="BH471" s="892" t="str">
        <f>IF(ISNUMBER('Base de datos Rutas'!DA469),'Base de datos Rutas'!DA469,"")</f>
        <v/>
      </c>
      <c r="BI471" s="893" t="str">
        <f>IF(ISNUMBER('Base de datos Rutas'!DC469),'Base de datos Rutas'!DC469,"")</f>
        <v/>
      </c>
      <c r="BJ471" s="805" t="str">
        <f t="shared" si="288"/>
        <v>Sin dato</v>
      </c>
      <c r="BK471" s="783">
        <f t="shared" si="276"/>
        <v>0</v>
      </c>
      <c r="BL471" s="797">
        <f t="shared" si="277"/>
        <v>0</v>
      </c>
      <c r="BM471" s="797">
        <f t="shared" si="278"/>
        <v>0</v>
      </c>
      <c r="BN471" s="797">
        <f t="shared" si="279"/>
        <v>0</v>
      </c>
      <c r="BO471" s="798" cm="1">
        <f t="array" ref="BO471">SUMPRODUCT(--ISNUMBER($BF471:$BI471),$BK$3:$BN$3)</f>
        <v>0</v>
      </c>
      <c r="BP471" s="831" t="str">
        <f t="shared" si="289"/>
        <v/>
      </c>
      <c r="BQ471" s="834" t="str">
        <f t="shared" si="290"/>
        <v>Sin datos</v>
      </c>
      <c r="BR471" s="836" t="str">
        <f t="shared" si="280"/>
        <v/>
      </c>
      <c r="BS471" s="836" t="str">
        <f t="shared" si="281"/>
        <v/>
      </c>
      <c r="BT471" s="837" t="str">
        <f t="shared" si="282"/>
        <v>Sin datos</v>
      </c>
      <c r="BU471" s="807" t="str">
        <f t="shared" si="291"/>
        <v>No evaluable</v>
      </c>
      <c r="BV471" s="807" t="str">
        <f t="shared" si="283"/>
        <v>No evaluable</v>
      </c>
      <c r="BW471" s="808" t="str">
        <f t="shared" si="284"/>
        <v>Sin datos</v>
      </c>
    </row>
    <row r="472" spans="1:75">
      <c r="A472" s="780" t="str">
        <f>'Base de datos Rutas'!A470</f>
        <v>Occidente</v>
      </c>
      <c r="B472" s="781" t="str">
        <f>'Base de datos Rutas'!B470</f>
        <v>Zapopan</v>
      </c>
      <c r="C472" s="781" t="str">
        <f>'Base de datos Rutas'!C470</f>
        <v>Suc. Belenes</v>
      </c>
      <c r="D472" s="782">
        <f>IF(ISNUMBER('Base de datos Rutas'!D470),'Base de datos Rutas'!D470,"Sin código")</f>
        <v>820414</v>
      </c>
      <c r="E472" s="783" t="str">
        <f>'Base de datos Rutas'!F470</f>
        <v>Activa</v>
      </c>
      <c r="F472" s="784" t="str">
        <f>'Base de datos Rutas'!H470</f>
        <v>Sí</v>
      </c>
      <c r="G472" s="785">
        <f>IF(ISNUMBER('Base de datos Rutas'!BE470),'Base de datos Rutas'!BE470,"")</f>
        <v>82.525114155251202</v>
      </c>
      <c r="H472" s="786">
        <f>IF(ISNUMBER('Base de datos Rutas'!BH470),'Base de datos Rutas'!BH470,"")</f>
        <v>0.49900403917445901</v>
      </c>
      <c r="I472" s="788">
        <f>IFERROR(IF(OR(NOT(ISNUMBER('Base de datos Rutas'!O470)),N('Base de datos Rutas'!BK470)=0),"",'Base de datos Rutas'!O470/('Base de datos Rutas'!L470/'Base de datos Rutas'!BK470)),"")</f>
        <v>3586.5114155251035</v>
      </c>
      <c r="J472" s="788">
        <f>IFERROR(IF(OR(NOT(ISNUMBER('Base de datos Rutas'!N470)),N('Base de datos Rutas'!BK470)=0),"",'Base de datos Rutas'!N470/('Base de datos Rutas'!L470/'Base de datos Rutas'!BK470)),"")</f>
        <v>6352.5388127853694</v>
      </c>
      <c r="K472" s="788">
        <f>IFERROR(IF(OR(NOT(ISNUMBER('Base de datos Rutas'!J470)),N('Base de datos Rutas'!BK470)=0),"",'Base de datos Rutas'!J470/('Base de datos Rutas'!L470/'Base de datos Rutas'!BK470)),"")</f>
        <v>433.31953607305809</v>
      </c>
      <c r="L472" s="788">
        <f>IFERROR(IF(OR(NOT(ISNUMBER('Base de datos Rutas'!K470)),N('Base de datos Rutas'!BK470)=0),"",'Base de datos Rutas'!K470/('Base de datos Rutas'!L470/'Base de datos Rutas'!BK470)),"")</f>
        <v>26.507086652967956</v>
      </c>
      <c r="M472" s="787">
        <f>IF(ISNUMBER('Base de datos Rutas'!AX470),'Base de datos Rutas'!AX470,"")</f>
        <v>241.35395021344999</v>
      </c>
      <c r="N472" s="790">
        <f>IFERROR(INDEX('Hoja de apoyo v2'!B$17:B$20,MATCH($A472,'Hoja de apoyo v2'!$A$17:$A$20,0)),"")</f>
        <v>89.41621024641401</v>
      </c>
      <c r="O472" s="791">
        <f>IFERROR(INDEX('Hoja de apoyo v2'!C$17:C$20,MATCH($A472,'Hoja de apoyo v2'!$A$17:$A$20,0)),"")</f>
        <v>0.54706375874806301</v>
      </c>
      <c r="P472" s="793">
        <f>IFERROR(INDEX('Hoja de apoyo v2'!D$17:D$20,MATCH($A472,'Hoja de apoyo v2'!$A$17:$A$20,0)),"")</f>
        <v>11095.153935793827</v>
      </c>
      <c r="Q472" s="793">
        <f>IFERROR(INDEX('Hoja de apoyo v2'!E$17:E$20,MATCH($A472,'Hoja de apoyo v2'!$A$17:$A$20,0)),"")</f>
        <v>6982.3202019701848</v>
      </c>
      <c r="R472" s="793">
        <f>IFERROR(INDEX('Hoja de apoyo v2'!F$17:F$20,MATCH($A472,'Hoja de apoyo v2'!$A$17:$A$20,0)),"")</f>
        <v>448.09513474485743</v>
      </c>
      <c r="S472" s="793">
        <f>IFERROR(INDEX('Hoja de apoyo v2'!G$17:G$20,MATCH($A472,'Hoja de apoyo v2'!$A$17:$A$20,0)),"")</f>
        <v>83.406300904207839</v>
      </c>
      <c r="T472" s="792">
        <f>IFERROR(INDEX('Hoja de apoyo v2'!H$17:H$20,MATCH($A472,'Hoja de apoyo v2'!$A$17:$A$20,0)),"")</f>
        <v>378.97014028925349</v>
      </c>
      <c r="U472" s="794">
        <f t="shared" si="256"/>
        <v>0.92293236235161091</v>
      </c>
      <c r="V472" s="795">
        <f t="shared" si="257"/>
        <v>0.91214969223406972</v>
      </c>
      <c r="W472" s="795">
        <f t="shared" si="258"/>
        <v>0.32325026189629869</v>
      </c>
      <c r="X472" s="843">
        <f t="shared" si="259"/>
        <v>0.90980342193314023</v>
      </c>
      <c r="Y472" s="843">
        <f t="shared" si="260"/>
        <v>0.9670257551887671</v>
      </c>
      <c r="Z472" s="843">
        <f t="shared" si="261"/>
        <v>0.31780676478401015</v>
      </c>
      <c r="AA472" s="843">
        <f t="shared" si="262"/>
        <v>0.63686798656282972</v>
      </c>
      <c r="AB472" s="796">
        <f t="shared" si="263"/>
        <v>3</v>
      </c>
      <c r="AC472" s="797">
        <f t="shared" si="264"/>
        <v>3</v>
      </c>
      <c r="AD472" s="797">
        <f t="shared" si="265"/>
        <v>1</v>
      </c>
      <c r="AE472" s="842">
        <f t="shared" si="266"/>
        <v>3</v>
      </c>
      <c r="AF472" s="842">
        <f t="shared" si="267"/>
        <v>3</v>
      </c>
      <c r="AG472" s="842">
        <f t="shared" si="268"/>
        <v>1</v>
      </c>
      <c r="AH472" s="842">
        <f t="shared" si="269"/>
        <v>2</v>
      </c>
      <c r="AI472" s="826" cm="1">
        <f t="array" ref="AI472">SUMPRODUCT(--ISNUMBER($U472:$AA472),$AB$3:$AH$3)</f>
        <v>1</v>
      </c>
      <c r="AJ472" s="829">
        <f t="shared" si="270"/>
        <v>28.748795684897999</v>
      </c>
      <c r="AK472" s="827" t="str">
        <f t="shared" si="271"/>
        <v>Inmadura</v>
      </c>
      <c r="AL472" s="784" t="str">
        <f t="shared" si="272"/>
        <v>Alta</v>
      </c>
      <c r="AM472" s="799">
        <f>IF(ISNUMBER('Base de datos Rutas'!W470),'Base de datos Rutas'!W470,"")</f>
        <v>3116.1708958203221</v>
      </c>
      <c r="AN472" s="787">
        <f>IFERROR(SUMIFS('Base de datos Rutas'!$W$6:$W$794,'Base de datos Rutas'!$C$6:$C$794,$C472)/'Base de datos Rutas'!I470,"")</f>
        <v>3116.1708958203185</v>
      </c>
      <c r="AO472" s="800">
        <f>IFERROR('Base de datos Rutas'!X470*AN472/AM472,"")</f>
        <v>0.37418782761251823</v>
      </c>
      <c r="AP472" s="800">
        <f t="shared" si="273"/>
        <v>0.62581217238748177</v>
      </c>
      <c r="AQ472" s="789">
        <f>IFERROR(INDEX('Hoja de apoyo v2'!$J$17:$J$20,MATCH($A472,'Hoja de apoyo v2'!$A$17:$A$20,0)),"")</f>
        <v>0.64320274048480885</v>
      </c>
      <c r="AR472" s="789">
        <f t="shared" si="274"/>
        <v>-1.7390568097327086E-2</v>
      </c>
      <c r="AS472" s="784" t="str">
        <f t="shared" si="275"/>
        <v>No</v>
      </c>
      <c r="AT472" s="801">
        <f>IF(ISNUMBER('Base de datos Rutas'!CK470),'Base de datos Rutas'!CK470,"")</f>
        <v>331</v>
      </c>
      <c r="AU472" s="802">
        <f>IF(ISNUMBER('Base de datos Rutas'!CL470),'Base de datos Rutas'!CL470,"")</f>
        <v>455.64</v>
      </c>
      <c r="AV472" s="802">
        <f>IF(ISNUMBER('Base de datos Rutas'!CM470),'Base de datos Rutas'!CM470,"")</f>
        <v>124.63999999999999</v>
      </c>
      <c r="AW472" s="802">
        <f>IF(ISNUMBER('Base de datos Rutas'!CN470),'Base de datos Rutas'!CN470,"")</f>
        <v>8.23</v>
      </c>
      <c r="AX472" s="802">
        <f>IF(ISNUMBER('Base de datos Rutas'!CO470),'Base de datos Rutas'!CO470,"")</f>
        <v>9.4499999999999993</v>
      </c>
      <c r="AY472" s="802">
        <f>IF(ISNUMBER('Base de datos Rutas'!CP470),'Base de datos Rutas'!CP470,"")</f>
        <v>1.2199999999999989</v>
      </c>
      <c r="AZ472" s="802">
        <f>IF(ISNUMBER('Base de datos Rutas'!CQ470),'Base de datos Rutas'!CQ470,"")</f>
        <v>846.56</v>
      </c>
      <c r="BA472" s="802">
        <f>IF(ISNUMBER('Base de datos Rutas'!CR470),'Base de datos Rutas'!CR470,"")</f>
        <v>459.83</v>
      </c>
      <c r="BB472" s="803">
        <f>IF(ISNUMBER('Base de datos Rutas'!CS470),'Base de datos Rutas'!CS470,"")</f>
        <v>386.72999999999996</v>
      </c>
      <c r="BC472" s="804">
        <f t="shared" si="285"/>
        <v>0</v>
      </c>
      <c r="BD472" s="805" t="str">
        <f t="shared" si="286"/>
        <v>No saturada</v>
      </c>
      <c r="BE472" s="806">
        <f t="shared" si="287"/>
        <v>0.54317473067473065</v>
      </c>
      <c r="BF472" s="890">
        <f>IF(ISNUMBER('Base de datos Rutas'!CX470),'Base de datos Rutas'!CX470/100,"")</f>
        <v>0.64792849631966343</v>
      </c>
      <c r="BG472" s="891">
        <f>IF(ISNUMBER('Base de datos Rutas'!CZ470),'Base de datos Rutas'!CZ470/100,"")</f>
        <v>0.71345951629863302</v>
      </c>
      <c r="BH472" s="892">
        <f>IF(ISNUMBER('Base de datos Rutas'!DA470),'Base de datos Rutas'!DA470,"")</f>
        <v>810.01348537480749</v>
      </c>
      <c r="BI472" s="893">
        <f>IF(ISNUMBER('Base de datos Rutas'!DC470),'Base de datos Rutas'!DC470,"")</f>
        <v>36.847639442624242</v>
      </c>
      <c r="BJ472" s="805" t="str">
        <f t="shared" si="288"/>
        <v>Ruta (completo)</v>
      </c>
      <c r="BK472" s="783">
        <f t="shared" si="276"/>
        <v>2</v>
      </c>
      <c r="BL472" s="797">
        <f t="shared" si="277"/>
        <v>2</v>
      </c>
      <c r="BM472" s="797">
        <f t="shared" si="278"/>
        <v>3</v>
      </c>
      <c r="BN472" s="797">
        <f t="shared" si="279"/>
        <v>3</v>
      </c>
      <c r="BO472" s="798" cm="1">
        <f t="array" ref="BO472">SUMPRODUCT(--ISNUMBER($BF472:$BI472),$BK$3:$BN$3)</f>
        <v>1</v>
      </c>
      <c r="BP472" s="831">
        <f t="shared" si="289"/>
        <v>37.5</v>
      </c>
      <c r="BQ472" s="834" t="str">
        <f t="shared" si="290"/>
        <v>Medio</v>
      </c>
      <c r="BR472" s="836">
        <f t="shared" si="280"/>
        <v>21.561596763673499</v>
      </c>
      <c r="BS472" s="836">
        <f t="shared" si="281"/>
        <v>37.5</v>
      </c>
      <c r="BT472" s="837" t="str">
        <f t="shared" si="282"/>
        <v>P4</v>
      </c>
      <c r="BU472" s="807" t="str">
        <f t="shared" si="291"/>
        <v>Con espacio</v>
      </c>
      <c r="BV472" s="807" t="str">
        <f t="shared" si="283"/>
        <v>Zona de bajo potencial</v>
      </c>
      <c r="BW472" s="808" t="str">
        <f t="shared" si="284"/>
        <v>P4 - Evaluar</v>
      </c>
    </row>
    <row r="473" spans="1:75">
      <c r="A473" s="780" t="str">
        <f>'Base de datos Rutas'!A471</f>
        <v>Occidente</v>
      </c>
      <c r="B473" s="781" t="str">
        <f>'Base de datos Rutas'!B471</f>
        <v>Zapopan</v>
      </c>
      <c r="C473" s="781" t="str">
        <f>'Base de datos Rutas'!C471</f>
        <v>Suc. Belenes</v>
      </c>
      <c r="D473" s="782">
        <f>IF(ISNUMBER('Base de datos Rutas'!D471),'Base de datos Rutas'!D471,"Sin código")</f>
        <v>820418</v>
      </c>
      <c r="E473" s="783" t="str">
        <f>'Base de datos Rutas'!F471</f>
        <v>Activa</v>
      </c>
      <c r="F473" s="784" t="str">
        <f>'Base de datos Rutas'!H471</f>
        <v>Sí</v>
      </c>
      <c r="G473" s="785">
        <f>IF(ISNUMBER('Base de datos Rutas'!BE471),'Base de datos Rutas'!BE471,"")</f>
        <v>51.891203703703702</v>
      </c>
      <c r="H473" s="786">
        <f>IF(ISNUMBER('Base de datos Rutas'!BH471),'Base de datos Rutas'!BH471,"")</f>
        <v>0.330731141544364</v>
      </c>
      <c r="I473" s="788">
        <f>IFERROR(IF(OR(NOT(ISNUMBER('Base de datos Rutas'!O471)),N('Base de datos Rutas'!BK471)=0),"",'Base de datos Rutas'!O471/('Base de datos Rutas'!L471/'Base de datos Rutas'!BK471)),"")</f>
        <v>5207.3101851851816</v>
      </c>
      <c r="J473" s="788">
        <f>IFERROR(IF(OR(NOT(ISNUMBER('Base de datos Rutas'!N471)),N('Base de datos Rutas'!BK471)=0),"",'Base de datos Rutas'!N471/('Base de datos Rutas'!L471/'Base de datos Rutas'!BK471)),"")</f>
        <v>7430.379629629625</v>
      </c>
      <c r="K473" s="788">
        <f>IFERROR(IF(OR(NOT(ISNUMBER('Base de datos Rutas'!J471)),N('Base de datos Rutas'!BK471)=0),"",'Base de datos Rutas'!J471/('Base de datos Rutas'!L471/'Base de datos Rutas'!BK471)),"")</f>
        <v>509.76955555555526</v>
      </c>
      <c r="L473" s="788">
        <f>IFERROR(IF(OR(NOT(ISNUMBER('Base de datos Rutas'!K471)),N('Base de datos Rutas'!BK471)=0),"",'Base de datos Rutas'!K471/('Base de datos Rutas'!L471/'Base de datos Rutas'!BK471)),"")</f>
        <v>32.652924664351829</v>
      </c>
      <c r="M473" s="787">
        <f>IF(ISNUMBER('Base de datos Rutas'!AX471),'Base de datos Rutas'!AX471,"")</f>
        <v>735.77300647423795</v>
      </c>
      <c r="N473" s="790">
        <f>IFERROR(INDEX('Hoja de apoyo v2'!B$17:B$20,MATCH($A473,'Hoja de apoyo v2'!$A$17:$A$20,0)),"")</f>
        <v>89.41621024641401</v>
      </c>
      <c r="O473" s="791">
        <f>IFERROR(INDEX('Hoja de apoyo v2'!C$17:C$20,MATCH($A473,'Hoja de apoyo v2'!$A$17:$A$20,0)),"")</f>
        <v>0.54706375874806301</v>
      </c>
      <c r="P473" s="793">
        <f>IFERROR(INDEX('Hoja de apoyo v2'!D$17:D$20,MATCH($A473,'Hoja de apoyo v2'!$A$17:$A$20,0)),"")</f>
        <v>11095.153935793827</v>
      </c>
      <c r="Q473" s="793">
        <f>IFERROR(INDEX('Hoja de apoyo v2'!E$17:E$20,MATCH($A473,'Hoja de apoyo v2'!$A$17:$A$20,0)),"")</f>
        <v>6982.3202019701848</v>
      </c>
      <c r="R473" s="793">
        <f>IFERROR(INDEX('Hoja de apoyo v2'!F$17:F$20,MATCH($A473,'Hoja de apoyo v2'!$A$17:$A$20,0)),"")</f>
        <v>448.09513474485743</v>
      </c>
      <c r="S473" s="793">
        <f>IFERROR(INDEX('Hoja de apoyo v2'!G$17:G$20,MATCH($A473,'Hoja de apoyo v2'!$A$17:$A$20,0)),"")</f>
        <v>83.406300904207839</v>
      </c>
      <c r="T473" s="792">
        <f>IFERROR(INDEX('Hoja de apoyo v2'!H$17:H$20,MATCH($A473,'Hoja de apoyo v2'!$A$17:$A$20,0)),"")</f>
        <v>378.97014028925349</v>
      </c>
      <c r="U473" s="794">
        <f t="shared" si="256"/>
        <v>0.58033329259539679</v>
      </c>
      <c r="V473" s="795">
        <f t="shared" si="257"/>
        <v>0.60455684781830743</v>
      </c>
      <c r="W473" s="795">
        <f t="shared" si="258"/>
        <v>0.46933194575930981</v>
      </c>
      <c r="X473" s="843">
        <f t="shared" si="259"/>
        <v>1.0641705643251669</v>
      </c>
      <c r="Y473" s="843">
        <f t="shared" si="260"/>
        <v>1.1376368900899021</v>
      </c>
      <c r="Z473" s="843">
        <f t="shared" si="261"/>
        <v>0.39149230106552407</v>
      </c>
      <c r="AA473" s="843">
        <f t="shared" si="262"/>
        <v>1.9415065416833379</v>
      </c>
      <c r="AB473" s="796">
        <f t="shared" si="263"/>
        <v>2</v>
      </c>
      <c r="AC473" s="797">
        <f t="shared" si="264"/>
        <v>2</v>
      </c>
      <c r="AD473" s="797">
        <f t="shared" si="265"/>
        <v>1</v>
      </c>
      <c r="AE473" s="842">
        <f t="shared" si="266"/>
        <v>4</v>
      </c>
      <c r="AF473" s="842">
        <f t="shared" si="267"/>
        <v>4</v>
      </c>
      <c r="AG473" s="842">
        <f t="shared" si="268"/>
        <v>1</v>
      </c>
      <c r="AH473" s="842">
        <f t="shared" si="269"/>
        <v>5</v>
      </c>
      <c r="AI473" s="826" cm="1">
        <f t="array" ref="AI473">SUMPRODUCT(--ISNUMBER($U473:$AA473),$AB$3:$AH$3)</f>
        <v>1</v>
      </c>
      <c r="AJ473" s="829">
        <f t="shared" si="270"/>
        <v>34.901929600108936</v>
      </c>
      <c r="AK473" s="827" t="str">
        <f t="shared" si="271"/>
        <v>Inmadura</v>
      </c>
      <c r="AL473" s="784" t="str">
        <f t="shared" si="272"/>
        <v>Alta</v>
      </c>
      <c r="AM473" s="799">
        <f>IF(ISNUMBER('Base de datos Rutas'!W471),'Base de datos Rutas'!W471,"")</f>
        <v>3116.1708958203221</v>
      </c>
      <c r="AN473" s="787">
        <f>IFERROR(SUMIFS('Base de datos Rutas'!$W$6:$W$794,'Base de datos Rutas'!$C$6:$C$794,$C473)/'Base de datos Rutas'!I471,"")</f>
        <v>3116.1708958203185</v>
      </c>
      <c r="AO473" s="800">
        <f>IFERROR('Base de datos Rutas'!X471*AN473/AM473,"")</f>
        <v>0.37418782761251823</v>
      </c>
      <c r="AP473" s="800">
        <f t="shared" si="273"/>
        <v>0.62581217238748177</v>
      </c>
      <c r="AQ473" s="789">
        <f>IFERROR(INDEX('Hoja de apoyo v2'!$J$17:$J$20,MATCH($A473,'Hoja de apoyo v2'!$A$17:$A$20,0)),"")</f>
        <v>0.64320274048480885</v>
      </c>
      <c r="AR473" s="789">
        <f t="shared" si="274"/>
        <v>-1.7390568097327086E-2</v>
      </c>
      <c r="AS473" s="784" t="str">
        <f t="shared" si="275"/>
        <v>No</v>
      </c>
      <c r="AT473" s="801">
        <f>IF(ISNUMBER('Base de datos Rutas'!CK471),'Base de datos Rutas'!CK471,"")</f>
        <v>273</v>
      </c>
      <c r="AU473" s="802">
        <f>IF(ISNUMBER('Base de datos Rutas'!CL471),'Base de datos Rutas'!CL471,"")</f>
        <v>353.01</v>
      </c>
      <c r="AV473" s="802">
        <f>IF(ISNUMBER('Base de datos Rutas'!CM471),'Base de datos Rutas'!CM471,"")</f>
        <v>80.009999999999991</v>
      </c>
      <c r="AW473" s="802">
        <f>IF(ISNUMBER('Base de datos Rutas'!CN471),'Base de datos Rutas'!CN471,"")</f>
        <v>6.67</v>
      </c>
      <c r="AX473" s="802">
        <f>IF(ISNUMBER('Base de datos Rutas'!CO471),'Base de datos Rutas'!CO471,"")</f>
        <v>9.4499999999999993</v>
      </c>
      <c r="AY473" s="802">
        <f>IF(ISNUMBER('Base de datos Rutas'!CP471),'Base de datos Rutas'!CP471,"")</f>
        <v>2.7799999999999994</v>
      </c>
      <c r="AZ473" s="802">
        <f>IF(ISNUMBER('Base de datos Rutas'!CQ471),'Base de datos Rutas'!CQ471,"")</f>
        <v>846.56</v>
      </c>
      <c r="BA473" s="802">
        <f>IF(ISNUMBER('Base de datos Rutas'!CR471),'Base de datos Rutas'!CR471,"")</f>
        <v>542.41999999999996</v>
      </c>
      <c r="BB473" s="803">
        <f>IF(ISNUMBER('Base de datos Rutas'!CS471),'Base de datos Rutas'!CS471,"")</f>
        <v>304.14</v>
      </c>
      <c r="BC473" s="804">
        <f t="shared" si="285"/>
        <v>0</v>
      </c>
      <c r="BD473" s="805" t="str">
        <f t="shared" si="286"/>
        <v>No saturada</v>
      </c>
      <c r="BE473" s="806">
        <f t="shared" si="287"/>
        <v>0.64073426573426573</v>
      </c>
      <c r="BF473" s="890">
        <f>IF(ISNUMBER('Base de datos Rutas'!CX471),'Base de datos Rutas'!CX471/100,"")</f>
        <v>0.93108527131782948</v>
      </c>
      <c r="BG473" s="891">
        <f>IF(ISNUMBER('Base de datos Rutas'!CZ471),'Base de datos Rutas'!CZ471/100,"")</f>
        <v>1</v>
      </c>
      <c r="BH473" s="892">
        <f>IF(ISNUMBER('Base de datos Rutas'!DA471),'Base de datos Rutas'!DA471,"")</f>
        <v>1020.1737294622928</v>
      </c>
      <c r="BI473" s="893">
        <f>IF(ISNUMBER('Base de datos Rutas'!DC471),'Base de datos Rutas'!DC471,"")</f>
        <v>45.397982288619751</v>
      </c>
      <c r="BJ473" s="805" t="str">
        <f t="shared" si="288"/>
        <v>Ruta (completo)</v>
      </c>
      <c r="BK473" s="783">
        <f t="shared" si="276"/>
        <v>4</v>
      </c>
      <c r="BL473" s="797">
        <f t="shared" si="277"/>
        <v>4</v>
      </c>
      <c r="BM473" s="797">
        <f t="shared" si="278"/>
        <v>4</v>
      </c>
      <c r="BN473" s="797">
        <f t="shared" si="279"/>
        <v>4</v>
      </c>
      <c r="BO473" s="798" cm="1">
        <f t="array" ref="BO473">SUMPRODUCT(--ISNUMBER($BF473:$BI473),$BK$3:$BN$3)</f>
        <v>1</v>
      </c>
      <c r="BP473" s="831">
        <f t="shared" si="289"/>
        <v>75</v>
      </c>
      <c r="BQ473" s="834" t="str">
        <f t="shared" si="290"/>
        <v>Alto</v>
      </c>
      <c r="BR473" s="836">
        <f t="shared" si="280"/>
        <v>26.176447200081704</v>
      </c>
      <c r="BS473" s="836">
        <f t="shared" si="281"/>
        <v>75</v>
      </c>
      <c r="BT473" s="837" t="str">
        <f t="shared" si="282"/>
        <v>P3</v>
      </c>
      <c r="BU473" s="807" t="str">
        <f t="shared" si="291"/>
        <v>Con espacio</v>
      </c>
      <c r="BV473" s="807" t="str">
        <f t="shared" si="283"/>
        <v>Zona atractiva</v>
      </c>
      <c r="BW473" s="808" t="str">
        <f t="shared" si="284"/>
        <v>P3 - Desarrollar</v>
      </c>
    </row>
    <row r="474" spans="1:75">
      <c r="A474" s="780" t="str">
        <f>'Base de datos Rutas'!A472</f>
        <v>Occidente</v>
      </c>
      <c r="B474" s="781" t="str">
        <f>'Base de datos Rutas'!B472</f>
        <v>Zapopan</v>
      </c>
      <c r="C474" s="781" t="str">
        <f>'Base de datos Rutas'!C472</f>
        <v>Suc. Belenes</v>
      </c>
      <c r="D474" s="782">
        <f>IF(ISNUMBER('Base de datos Rutas'!D472),'Base de datos Rutas'!D472,"Sin código")</f>
        <v>820422</v>
      </c>
      <c r="E474" s="783" t="str">
        <f>'Base de datos Rutas'!F472</f>
        <v>Activa</v>
      </c>
      <c r="F474" s="784" t="str">
        <f>'Base de datos Rutas'!H472</f>
        <v>Sí</v>
      </c>
      <c r="G474" s="785">
        <f>IF(ISNUMBER('Base de datos Rutas'!BE472),'Base de datos Rutas'!BE472,"")</f>
        <v>140.08101851851899</v>
      </c>
      <c r="H474" s="786">
        <f>IF(ISNUMBER('Base de datos Rutas'!BH472),'Base de datos Rutas'!BH472,"")</f>
        <v>0.40546971825167299</v>
      </c>
      <c r="I474" s="788">
        <f>IFERROR(IF(OR(NOT(ISNUMBER('Base de datos Rutas'!O472)),N('Base de datos Rutas'!BK472)=0),"",'Base de datos Rutas'!O472/('Base de datos Rutas'!L472/'Base de datos Rutas'!BK472)),"")</f>
        <v>4198.212962962968</v>
      </c>
      <c r="J474" s="788">
        <f>IFERROR(IF(OR(NOT(ISNUMBER('Base de datos Rutas'!N472)),N('Base de datos Rutas'!BK472)=0),"",'Base de datos Rutas'!N472/('Base de datos Rutas'!L472/'Base de datos Rutas'!BK472)),"")</f>
        <v>7469.7916666666752</v>
      </c>
      <c r="K474" s="788">
        <f>IFERROR(IF(OR(NOT(ISNUMBER('Base de datos Rutas'!J472)),N('Base de datos Rutas'!BK472)=0),"",'Base de datos Rutas'!J472/('Base de datos Rutas'!L472/'Base de datos Rutas'!BK472)),"")</f>
        <v>514.18886296296125</v>
      </c>
      <c r="L474" s="788">
        <f>IFERROR(IF(OR(NOT(ISNUMBER('Base de datos Rutas'!K472)),N('Base de datos Rutas'!BK472)=0),"",'Base de datos Rutas'!K472/('Base de datos Rutas'!L472/'Base de datos Rutas'!BK472)),"")</f>
        <v>31.310038490740776</v>
      </c>
      <c r="M474" s="787">
        <f>IF(ISNUMBER('Base de datos Rutas'!AX472),'Base de datos Rutas'!AX472,"")</f>
        <v>205.427544117048</v>
      </c>
      <c r="N474" s="790">
        <f>IFERROR(INDEX('Hoja de apoyo v2'!B$17:B$20,MATCH($A474,'Hoja de apoyo v2'!$A$17:$A$20,0)),"")</f>
        <v>89.41621024641401</v>
      </c>
      <c r="O474" s="791">
        <f>IFERROR(INDEX('Hoja de apoyo v2'!C$17:C$20,MATCH($A474,'Hoja de apoyo v2'!$A$17:$A$20,0)),"")</f>
        <v>0.54706375874806301</v>
      </c>
      <c r="P474" s="793">
        <f>IFERROR(INDEX('Hoja de apoyo v2'!D$17:D$20,MATCH($A474,'Hoja de apoyo v2'!$A$17:$A$20,0)),"")</f>
        <v>11095.153935793827</v>
      </c>
      <c r="Q474" s="793">
        <f>IFERROR(INDEX('Hoja de apoyo v2'!E$17:E$20,MATCH($A474,'Hoja de apoyo v2'!$A$17:$A$20,0)),"")</f>
        <v>6982.3202019701848</v>
      </c>
      <c r="R474" s="793">
        <f>IFERROR(INDEX('Hoja de apoyo v2'!F$17:F$20,MATCH($A474,'Hoja de apoyo v2'!$A$17:$A$20,0)),"")</f>
        <v>448.09513474485743</v>
      </c>
      <c r="S474" s="793">
        <f>IFERROR(INDEX('Hoja de apoyo v2'!G$17:G$20,MATCH($A474,'Hoja de apoyo v2'!$A$17:$A$20,0)),"")</f>
        <v>83.406300904207839</v>
      </c>
      <c r="T474" s="792">
        <f>IFERROR(INDEX('Hoja de apoyo v2'!H$17:H$20,MATCH($A474,'Hoja de apoyo v2'!$A$17:$A$20,0)),"")</f>
        <v>378.97014028925349</v>
      </c>
      <c r="U474" s="794">
        <f t="shared" si="256"/>
        <v>1.566617709836756</v>
      </c>
      <c r="V474" s="795">
        <f t="shared" si="257"/>
        <v>0.74117451899862052</v>
      </c>
      <c r="W474" s="795">
        <f t="shared" si="258"/>
        <v>0.37838257921047919</v>
      </c>
      <c r="X474" s="843">
        <f t="shared" si="259"/>
        <v>1.0698151116814927</v>
      </c>
      <c r="Y474" s="843">
        <f t="shared" si="260"/>
        <v>1.1474993212227962</v>
      </c>
      <c r="Z474" s="843">
        <f t="shared" si="261"/>
        <v>0.37539176478645619</v>
      </c>
      <c r="AA474" s="843">
        <f t="shared" si="262"/>
        <v>0.54206788946552087</v>
      </c>
      <c r="AB474" s="796">
        <f t="shared" si="263"/>
        <v>5</v>
      </c>
      <c r="AC474" s="797">
        <f t="shared" si="264"/>
        <v>2</v>
      </c>
      <c r="AD474" s="797">
        <f t="shared" si="265"/>
        <v>1</v>
      </c>
      <c r="AE474" s="842">
        <f t="shared" si="266"/>
        <v>4</v>
      </c>
      <c r="AF474" s="842">
        <f t="shared" si="267"/>
        <v>4</v>
      </c>
      <c r="AG474" s="842">
        <f t="shared" si="268"/>
        <v>1</v>
      </c>
      <c r="AH474" s="842">
        <f t="shared" si="269"/>
        <v>2</v>
      </c>
      <c r="AI474" s="826" cm="1">
        <f t="array" ref="AI474">SUMPRODUCT(--ISNUMBER($U474:$AA474),$AB$3:$AH$3)</f>
        <v>1</v>
      </c>
      <c r="AJ474" s="829">
        <f t="shared" si="270"/>
        <v>41.768654613539503</v>
      </c>
      <c r="AK474" s="827" t="str">
        <f t="shared" si="271"/>
        <v>Inmadura</v>
      </c>
      <c r="AL474" s="784" t="str">
        <f t="shared" si="272"/>
        <v>Alta</v>
      </c>
      <c r="AM474" s="799">
        <f>IF(ISNUMBER('Base de datos Rutas'!W472),'Base de datos Rutas'!W472,"")</f>
        <v>3116.1708958203221</v>
      </c>
      <c r="AN474" s="787">
        <f>IFERROR(SUMIFS('Base de datos Rutas'!$W$6:$W$794,'Base de datos Rutas'!$C$6:$C$794,$C474)/'Base de datos Rutas'!I472,"")</f>
        <v>3116.1708958203185</v>
      </c>
      <c r="AO474" s="800">
        <f>IFERROR('Base de datos Rutas'!X472*AN474/AM474,"")</f>
        <v>0.37418782761251823</v>
      </c>
      <c r="AP474" s="800">
        <f t="shared" si="273"/>
        <v>0.62581217238748177</v>
      </c>
      <c r="AQ474" s="789">
        <f>IFERROR(INDEX('Hoja de apoyo v2'!$J$17:$J$20,MATCH($A474,'Hoja de apoyo v2'!$A$17:$A$20,0)),"")</f>
        <v>0.64320274048480885</v>
      </c>
      <c r="AR474" s="789">
        <f t="shared" si="274"/>
        <v>-1.7390568097327086E-2</v>
      </c>
      <c r="AS474" s="784" t="str">
        <f t="shared" si="275"/>
        <v>No</v>
      </c>
      <c r="AT474" s="801">
        <f>IF(ISNUMBER('Base de datos Rutas'!CK472),'Base de datos Rutas'!CK472,"")</f>
        <v>436</v>
      </c>
      <c r="AU474" s="802">
        <f>IF(ISNUMBER('Base de datos Rutas'!CL472),'Base de datos Rutas'!CL472,"")</f>
        <v>739.84</v>
      </c>
      <c r="AV474" s="802">
        <f>IF(ISNUMBER('Base de datos Rutas'!CM472),'Base de datos Rutas'!CM472,"")</f>
        <v>303.84000000000003</v>
      </c>
      <c r="AW474" s="802">
        <f>IF(ISNUMBER('Base de datos Rutas'!CN472),'Base de datos Rutas'!CN472,"")</f>
        <v>9.7799999999999994</v>
      </c>
      <c r="AX474" s="802">
        <f>IF(ISNUMBER('Base de datos Rutas'!CO472),'Base de datos Rutas'!CO472,"")</f>
        <v>9.4499999999999993</v>
      </c>
      <c r="AY474" s="802">
        <f>IF(ISNUMBER('Base de datos Rutas'!CP472),'Base de datos Rutas'!CP472,"")</f>
        <v>-0.33000000000000007</v>
      </c>
      <c r="AZ474" s="802">
        <f>IF(ISNUMBER('Base de datos Rutas'!CQ472),'Base de datos Rutas'!CQ472,"")</f>
        <v>846.56</v>
      </c>
      <c r="BA474" s="802">
        <f>IF(ISNUMBER('Base de datos Rutas'!CR472),'Base de datos Rutas'!CR472,"")</f>
        <v>545.5</v>
      </c>
      <c r="BB474" s="803">
        <f>IF(ISNUMBER('Base de datos Rutas'!CS472),'Base de datos Rutas'!CS472,"")</f>
        <v>301.05999999999995</v>
      </c>
      <c r="BC474" s="804">
        <f t="shared" si="285"/>
        <v>1</v>
      </c>
      <c r="BD474" s="805" t="str">
        <f t="shared" si="286"/>
        <v>Saturada</v>
      </c>
      <c r="BE474" s="806">
        <f t="shared" si="287"/>
        <v>0.64437251937251938</v>
      </c>
      <c r="BF474" s="890">
        <f>IF(ISNUMBER('Base de datos Rutas'!CX472),'Base de datos Rutas'!CX472/100,"")</f>
        <v>0.61202233250620353</v>
      </c>
      <c r="BG474" s="891">
        <f>IF(ISNUMBER('Base de datos Rutas'!CZ472),'Base de datos Rutas'!CZ472/100,"")</f>
        <v>0.70626550868486349</v>
      </c>
      <c r="BH474" s="892">
        <f>IF(ISNUMBER('Base de datos Rutas'!DA472),'Base de datos Rutas'!DA472,"")</f>
        <v>985.8836880357386</v>
      </c>
      <c r="BI474" s="893">
        <f>IF(ISNUMBER('Base de datos Rutas'!DC472),'Base de datos Rutas'!DC472,"")</f>
        <v>44.064739330581887</v>
      </c>
      <c r="BJ474" s="805" t="str">
        <f t="shared" si="288"/>
        <v>Ruta (completo)</v>
      </c>
      <c r="BK474" s="783">
        <f t="shared" si="276"/>
        <v>2</v>
      </c>
      <c r="BL474" s="797">
        <f t="shared" si="277"/>
        <v>2</v>
      </c>
      <c r="BM474" s="797">
        <f t="shared" si="278"/>
        <v>4</v>
      </c>
      <c r="BN474" s="797">
        <f t="shared" si="279"/>
        <v>4</v>
      </c>
      <c r="BO474" s="798" cm="1">
        <f t="array" ref="BO474">SUMPRODUCT(--ISNUMBER($BF474:$BI474),$BK$3:$BN$3)</f>
        <v>1</v>
      </c>
      <c r="BP474" s="831">
        <f t="shared" si="289"/>
        <v>50</v>
      </c>
      <c r="BQ474" s="834" t="str">
        <f t="shared" si="290"/>
        <v>Alto</v>
      </c>
      <c r="BR474" s="836">
        <f t="shared" si="280"/>
        <v>56.326490960154629</v>
      </c>
      <c r="BS474" s="836">
        <f t="shared" si="281"/>
        <v>50</v>
      </c>
      <c r="BT474" s="837" t="str">
        <f t="shared" si="282"/>
        <v>P1</v>
      </c>
      <c r="BU474" s="807" t="str">
        <f t="shared" si="291"/>
        <v>Al tope</v>
      </c>
      <c r="BV474" s="807" t="str">
        <f t="shared" si="283"/>
        <v>Zona atractiva</v>
      </c>
      <c r="BW474" s="808" t="str">
        <f t="shared" si="284"/>
        <v>P1 - Ampliar cobertura</v>
      </c>
    </row>
    <row r="475" spans="1:75">
      <c r="A475" s="780" t="str">
        <f>'Base de datos Rutas'!A473</f>
        <v>Occidente</v>
      </c>
      <c r="B475" s="781" t="str">
        <f>'Base de datos Rutas'!B473</f>
        <v>Zapopan</v>
      </c>
      <c r="C475" s="781" t="str">
        <f>'Base de datos Rutas'!C473</f>
        <v>Suc. Belenes</v>
      </c>
      <c r="D475" s="782">
        <f>IF(ISNUMBER('Base de datos Rutas'!D473),'Base de datos Rutas'!D473,"Sin código")</f>
        <v>820423</v>
      </c>
      <c r="E475" s="783" t="str">
        <f>'Base de datos Rutas'!F473</f>
        <v>Activa</v>
      </c>
      <c r="F475" s="784" t="str">
        <f>'Base de datos Rutas'!H473</f>
        <v>Sí</v>
      </c>
      <c r="G475" s="785">
        <f>IF(ISNUMBER('Base de datos Rutas'!BE473),'Base de datos Rutas'!BE473,"")</f>
        <v>59.593967517401403</v>
      </c>
      <c r="H475" s="786">
        <f>IF(ISNUMBER('Base de datos Rutas'!BH473),'Base de datos Rutas'!BH473,"")</f>
        <v>0.31753941989487999</v>
      </c>
      <c r="I475" s="788">
        <f>IFERROR(IF(OR(NOT(ISNUMBER('Base de datos Rutas'!O473)),N('Base de datos Rutas'!BK473)=0),"",'Base de datos Rutas'!O473/('Base de datos Rutas'!L473/'Base de datos Rutas'!BK473)),"")</f>
        <v>2836.5475638051016</v>
      </c>
      <c r="J475" s="788">
        <f>IFERROR(IF(OR(NOT(ISNUMBER('Base de datos Rutas'!N473)),N('Base de datos Rutas'!BK473)=0),"",'Base de datos Rutas'!N473/('Base de datos Rutas'!L473/'Base de datos Rutas'!BK473)),"")</f>
        <v>5172.8190255220361</v>
      </c>
      <c r="K475" s="788">
        <f>IFERROR(IF(OR(NOT(ISNUMBER('Base de datos Rutas'!J473)),N('Base de datos Rutas'!BK473)=0),"",'Base de datos Rutas'!J473/('Base de datos Rutas'!L473/'Base de datos Rutas'!BK473)),"")</f>
        <v>353.89086960556801</v>
      </c>
      <c r="L475" s="788">
        <f>IFERROR(IF(OR(NOT(ISNUMBER('Base de datos Rutas'!K473)),N('Base de datos Rutas'!BK473)=0),"",'Base de datos Rutas'!K473/('Base de datos Rutas'!L473/'Base de datos Rutas'!BK473)),"")</f>
        <v>14.613900624129915</v>
      </c>
      <c r="M475" s="787">
        <f>IF(ISNUMBER('Base de datos Rutas'!AX473),'Base de datos Rutas'!AX473,"")</f>
        <v>423.25147743992102</v>
      </c>
      <c r="N475" s="790">
        <f>IFERROR(INDEX('Hoja de apoyo v2'!B$17:B$20,MATCH($A475,'Hoja de apoyo v2'!$A$17:$A$20,0)),"")</f>
        <v>89.41621024641401</v>
      </c>
      <c r="O475" s="791">
        <f>IFERROR(INDEX('Hoja de apoyo v2'!C$17:C$20,MATCH($A475,'Hoja de apoyo v2'!$A$17:$A$20,0)),"")</f>
        <v>0.54706375874806301</v>
      </c>
      <c r="P475" s="793">
        <f>IFERROR(INDEX('Hoja de apoyo v2'!D$17:D$20,MATCH($A475,'Hoja de apoyo v2'!$A$17:$A$20,0)),"")</f>
        <v>11095.153935793827</v>
      </c>
      <c r="Q475" s="793">
        <f>IFERROR(INDEX('Hoja de apoyo v2'!E$17:E$20,MATCH($A475,'Hoja de apoyo v2'!$A$17:$A$20,0)),"")</f>
        <v>6982.3202019701848</v>
      </c>
      <c r="R475" s="793">
        <f>IFERROR(INDEX('Hoja de apoyo v2'!F$17:F$20,MATCH($A475,'Hoja de apoyo v2'!$A$17:$A$20,0)),"")</f>
        <v>448.09513474485743</v>
      </c>
      <c r="S475" s="793">
        <f>IFERROR(INDEX('Hoja de apoyo v2'!G$17:G$20,MATCH($A475,'Hoja de apoyo v2'!$A$17:$A$20,0)),"")</f>
        <v>83.406300904207839</v>
      </c>
      <c r="T475" s="792">
        <f>IFERROR(INDEX('Hoja de apoyo v2'!H$17:H$20,MATCH($A475,'Hoja de apoyo v2'!$A$17:$A$20,0)),"")</f>
        <v>378.97014028925349</v>
      </c>
      <c r="U475" s="794">
        <f t="shared" si="256"/>
        <v>0.66647834160239849</v>
      </c>
      <c r="V475" s="795">
        <f t="shared" si="257"/>
        <v>0.58044316556731568</v>
      </c>
      <c r="W475" s="795">
        <f t="shared" si="258"/>
        <v>0.25565644066047422</v>
      </c>
      <c r="X475" s="843">
        <f t="shared" si="259"/>
        <v>0.74084528865668953</v>
      </c>
      <c r="Y475" s="843">
        <f t="shared" si="260"/>
        <v>0.78976726629060867</v>
      </c>
      <c r="Z475" s="843">
        <f t="shared" si="261"/>
        <v>0.17521338874522183</v>
      </c>
      <c r="AA475" s="843">
        <f t="shared" si="262"/>
        <v>1.1168465070014995</v>
      </c>
      <c r="AB475" s="796">
        <f t="shared" si="263"/>
        <v>2</v>
      </c>
      <c r="AC475" s="797">
        <f t="shared" si="264"/>
        <v>2</v>
      </c>
      <c r="AD475" s="797">
        <f t="shared" si="265"/>
        <v>1</v>
      </c>
      <c r="AE475" s="842">
        <f t="shared" si="266"/>
        <v>2</v>
      </c>
      <c r="AF475" s="842">
        <f t="shared" si="267"/>
        <v>3</v>
      </c>
      <c r="AG475" s="842">
        <f t="shared" si="268"/>
        <v>1</v>
      </c>
      <c r="AH475" s="842">
        <f t="shared" si="269"/>
        <v>4</v>
      </c>
      <c r="AI475" s="826" cm="1">
        <f t="array" ref="AI475">SUMPRODUCT(--ISNUMBER($U475:$AA475),$AB$3:$AH$3)</f>
        <v>1</v>
      </c>
      <c r="AJ475" s="829">
        <f t="shared" si="270"/>
        <v>22.912261955305201</v>
      </c>
      <c r="AK475" s="827" t="str">
        <f t="shared" si="271"/>
        <v>Inmadura</v>
      </c>
      <c r="AL475" s="784" t="str">
        <f t="shared" si="272"/>
        <v>Alta</v>
      </c>
      <c r="AM475" s="799">
        <f>IF(ISNUMBER('Base de datos Rutas'!W473),'Base de datos Rutas'!W473,"")</f>
        <v>3116.1708958203221</v>
      </c>
      <c r="AN475" s="787">
        <f>IFERROR(SUMIFS('Base de datos Rutas'!$W$6:$W$794,'Base de datos Rutas'!$C$6:$C$794,$C475)/'Base de datos Rutas'!I473,"")</f>
        <v>3116.1708958203185</v>
      </c>
      <c r="AO475" s="800">
        <f>IFERROR('Base de datos Rutas'!X473*AN475/AM475,"")</f>
        <v>0.37418782761251823</v>
      </c>
      <c r="AP475" s="800">
        <f t="shared" si="273"/>
        <v>0.62581217238748177</v>
      </c>
      <c r="AQ475" s="789">
        <f>IFERROR(INDEX('Hoja de apoyo v2'!$J$17:$J$20,MATCH($A475,'Hoja de apoyo v2'!$A$17:$A$20,0)),"")</f>
        <v>0.64320274048480885</v>
      </c>
      <c r="AR475" s="789">
        <f t="shared" si="274"/>
        <v>-1.7390568097327086E-2</v>
      </c>
      <c r="AS475" s="784" t="str">
        <f t="shared" si="275"/>
        <v>No</v>
      </c>
      <c r="AT475" s="801">
        <f>IF(ISNUMBER('Base de datos Rutas'!CK473),'Base de datos Rutas'!CK473,"")</f>
        <v>278</v>
      </c>
      <c r="AU475" s="802">
        <f>IF(ISNUMBER('Base de datos Rutas'!CL473),'Base de datos Rutas'!CL473,"")</f>
        <v>385.22</v>
      </c>
      <c r="AV475" s="802">
        <f>IF(ISNUMBER('Base de datos Rutas'!CM473),'Base de datos Rutas'!CM473,"")</f>
        <v>107.22000000000003</v>
      </c>
      <c r="AW475" s="802">
        <f>IF(ISNUMBER('Base de datos Rutas'!CN473),'Base de datos Rutas'!CN473,"")</f>
        <v>7.35</v>
      </c>
      <c r="AX475" s="802">
        <f>IF(ISNUMBER('Base de datos Rutas'!CO473),'Base de datos Rutas'!CO473,"")</f>
        <v>9.4499999999999993</v>
      </c>
      <c r="AY475" s="802">
        <f>IF(ISNUMBER('Base de datos Rutas'!CP473),'Base de datos Rutas'!CP473,"")</f>
        <v>2.0999999999999996</v>
      </c>
      <c r="AZ475" s="802">
        <f>IF(ISNUMBER('Base de datos Rutas'!CQ473),'Base de datos Rutas'!CQ473,"")</f>
        <v>846.56</v>
      </c>
      <c r="BA475" s="802">
        <f>IF(ISNUMBER('Base de datos Rutas'!CR473),'Base de datos Rutas'!CR473,"")</f>
        <v>368.5</v>
      </c>
      <c r="BB475" s="803">
        <f>IF(ISNUMBER('Base de datos Rutas'!CS473),'Base de datos Rutas'!CS473,"")</f>
        <v>478.05999999999995</v>
      </c>
      <c r="BC475" s="804">
        <f t="shared" si="285"/>
        <v>0</v>
      </c>
      <c r="BD475" s="805" t="str">
        <f t="shared" si="286"/>
        <v>No saturada</v>
      </c>
      <c r="BE475" s="806">
        <f t="shared" si="287"/>
        <v>0.43529106029106029</v>
      </c>
      <c r="BF475" s="890">
        <f>IF(ISNUMBER('Base de datos Rutas'!CX473),'Base de datos Rutas'!CX473/100,"")</f>
        <v>0.89620522749273956</v>
      </c>
      <c r="BG475" s="891">
        <f>IF(ISNUMBER('Base de datos Rutas'!CZ473),'Base de datos Rutas'!CZ473/100,"")</f>
        <v>1</v>
      </c>
      <c r="BH475" s="892">
        <f>IF(ISNUMBER('Base de datos Rutas'!DA473),'Base de datos Rutas'!DA473,"")</f>
        <v>1344.0205837469962</v>
      </c>
      <c r="BI475" s="893">
        <f>IF(ISNUMBER('Base de datos Rutas'!DC473),'Base de datos Rutas'!DC473,"")</f>
        <v>61.152505656803072</v>
      </c>
      <c r="BJ475" s="805" t="str">
        <f t="shared" si="288"/>
        <v>Ruta (completo)</v>
      </c>
      <c r="BK475" s="783">
        <f t="shared" si="276"/>
        <v>3</v>
      </c>
      <c r="BL475" s="797">
        <f t="shared" si="277"/>
        <v>4</v>
      </c>
      <c r="BM475" s="797">
        <f t="shared" si="278"/>
        <v>5</v>
      </c>
      <c r="BN475" s="797">
        <f t="shared" si="279"/>
        <v>5</v>
      </c>
      <c r="BO475" s="798" cm="1">
        <f t="array" ref="BO475">SUMPRODUCT(--ISNUMBER($BF475:$BI475),$BK$3:$BN$3)</f>
        <v>1</v>
      </c>
      <c r="BP475" s="831">
        <f t="shared" si="289"/>
        <v>81.25</v>
      </c>
      <c r="BQ475" s="834" t="str">
        <f t="shared" si="290"/>
        <v>Alto</v>
      </c>
      <c r="BR475" s="836">
        <f t="shared" si="280"/>
        <v>17.184196466478902</v>
      </c>
      <c r="BS475" s="836">
        <f t="shared" si="281"/>
        <v>81.25</v>
      </c>
      <c r="BT475" s="837" t="str">
        <f t="shared" si="282"/>
        <v>P3</v>
      </c>
      <c r="BU475" s="807" t="str">
        <f t="shared" si="291"/>
        <v>Con espacio</v>
      </c>
      <c r="BV475" s="807" t="str">
        <f t="shared" si="283"/>
        <v>Zona atractiva</v>
      </c>
      <c r="BW475" s="808" t="str">
        <f t="shared" si="284"/>
        <v>P3 - Desarrollar</v>
      </c>
    </row>
    <row r="476" spans="1:75">
      <c r="A476" s="780" t="str">
        <f>'Base de datos Rutas'!A474</f>
        <v>Occidente</v>
      </c>
      <c r="B476" s="781" t="str">
        <f>'Base de datos Rutas'!B474</f>
        <v>Zapopan</v>
      </c>
      <c r="C476" s="781" t="str">
        <f>'Base de datos Rutas'!C474</f>
        <v>Suc. Belenes</v>
      </c>
      <c r="D476" s="782">
        <f>IF(ISNUMBER('Base de datos Rutas'!D474),'Base de datos Rutas'!D474,"Sin código")</f>
        <v>820424</v>
      </c>
      <c r="E476" s="783" t="str">
        <f>'Base de datos Rutas'!F474</f>
        <v>Activa</v>
      </c>
      <c r="F476" s="784" t="str">
        <f>'Base de datos Rutas'!H474</f>
        <v>Sí</v>
      </c>
      <c r="G476" s="785">
        <f>IF(ISNUMBER('Base de datos Rutas'!BE474),'Base de datos Rutas'!BE474,"")</f>
        <v>94.558746736292406</v>
      </c>
      <c r="H476" s="786">
        <f>IF(ISNUMBER('Base de datos Rutas'!BH474),'Base de datos Rutas'!BH474,"")</f>
        <v>0.33949083278109099</v>
      </c>
      <c r="I476" s="788">
        <f>IFERROR(IF(OR(NOT(ISNUMBER('Base de datos Rutas'!O474)),N('Base de datos Rutas'!BK474)=0),"",'Base de datos Rutas'!O474/('Base de datos Rutas'!L474/'Base de datos Rutas'!BK474)),"")</f>
        <v>3595.2950819672105</v>
      </c>
      <c r="J476" s="788">
        <f>IFERROR(IF(OR(NOT(ISNUMBER('Base de datos Rutas'!N474)),N('Base de datos Rutas'!BK474)=0),"",'Base de datos Rutas'!N474/('Base de datos Rutas'!L474/'Base de datos Rutas'!BK474)),"")</f>
        <v>5390.3653395784504</v>
      </c>
      <c r="K476" s="788">
        <f>IFERROR(IF(OR(NOT(ISNUMBER('Base de datos Rutas'!J474)),N('Base de datos Rutas'!BK474)=0),"",'Base de datos Rutas'!J474/('Base de datos Rutas'!L474/'Base de datos Rutas'!BK474)),"")</f>
        <v>380.22946885245875</v>
      </c>
      <c r="L476" s="788">
        <f>IFERROR(IF(OR(NOT(ISNUMBER('Base de datos Rutas'!K474)),N('Base de datos Rutas'!BK474)=0),"",'Base de datos Rutas'!K474/('Base de datos Rutas'!L474/'Base de datos Rutas'!BK474)),"")</f>
        <v>29.032437639344245</v>
      </c>
      <c r="M476" s="787">
        <f>IF(ISNUMBER('Base de datos Rutas'!AX474),'Base de datos Rutas'!AX474,"")</f>
        <v>291.42298192313501</v>
      </c>
      <c r="N476" s="790">
        <f>IFERROR(INDEX('Hoja de apoyo v2'!B$17:B$20,MATCH($A476,'Hoja de apoyo v2'!$A$17:$A$20,0)),"")</f>
        <v>89.41621024641401</v>
      </c>
      <c r="O476" s="791">
        <f>IFERROR(INDEX('Hoja de apoyo v2'!C$17:C$20,MATCH($A476,'Hoja de apoyo v2'!$A$17:$A$20,0)),"")</f>
        <v>0.54706375874806301</v>
      </c>
      <c r="P476" s="793">
        <f>IFERROR(INDEX('Hoja de apoyo v2'!D$17:D$20,MATCH($A476,'Hoja de apoyo v2'!$A$17:$A$20,0)),"")</f>
        <v>11095.153935793827</v>
      </c>
      <c r="Q476" s="793">
        <f>IFERROR(INDEX('Hoja de apoyo v2'!E$17:E$20,MATCH($A476,'Hoja de apoyo v2'!$A$17:$A$20,0)),"")</f>
        <v>6982.3202019701848</v>
      </c>
      <c r="R476" s="793">
        <f>IFERROR(INDEX('Hoja de apoyo v2'!F$17:F$20,MATCH($A476,'Hoja de apoyo v2'!$A$17:$A$20,0)),"")</f>
        <v>448.09513474485743</v>
      </c>
      <c r="S476" s="793">
        <f>IFERROR(INDEX('Hoja de apoyo v2'!G$17:G$20,MATCH($A476,'Hoja de apoyo v2'!$A$17:$A$20,0)),"")</f>
        <v>83.406300904207839</v>
      </c>
      <c r="T476" s="792">
        <f>IFERROR(INDEX('Hoja de apoyo v2'!H$17:H$20,MATCH($A476,'Hoja de apoyo v2'!$A$17:$A$20,0)),"")</f>
        <v>378.97014028925349</v>
      </c>
      <c r="U476" s="794">
        <f t="shared" si="256"/>
        <v>1.0575123512359397</v>
      </c>
      <c r="V476" s="795">
        <f t="shared" si="257"/>
        <v>0.62056904218624231</v>
      </c>
      <c r="W476" s="795">
        <f t="shared" si="258"/>
        <v>0.32404192882520627</v>
      </c>
      <c r="X476" s="843">
        <f t="shared" si="259"/>
        <v>0.7720020256386213</v>
      </c>
      <c r="Y476" s="843">
        <f t="shared" si="260"/>
        <v>0.84854630048362167</v>
      </c>
      <c r="Z476" s="843">
        <f t="shared" si="261"/>
        <v>0.34808446513756808</v>
      </c>
      <c r="AA476" s="843">
        <f t="shared" si="262"/>
        <v>0.76898665868689009</v>
      </c>
      <c r="AB476" s="796">
        <f t="shared" si="263"/>
        <v>4</v>
      </c>
      <c r="AC476" s="797">
        <f t="shared" si="264"/>
        <v>2</v>
      </c>
      <c r="AD476" s="797">
        <f t="shared" si="265"/>
        <v>1</v>
      </c>
      <c r="AE476" s="842">
        <f t="shared" si="266"/>
        <v>3</v>
      </c>
      <c r="AF476" s="842">
        <f t="shared" si="267"/>
        <v>3</v>
      </c>
      <c r="AG476" s="842">
        <f t="shared" si="268"/>
        <v>1</v>
      </c>
      <c r="AH476" s="842">
        <f t="shared" si="269"/>
        <v>3</v>
      </c>
      <c r="AI476" s="826" cm="1">
        <f t="array" ref="AI476">SUMPRODUCT(--ISNUMBER($U476:$AA476),$AB$3:$AH$3)</f>
        <v>1</v>
      </c>
      <c r="AJ476" s="829">
        <f t="shared" si="270"/>
        <v>33.14425411747083</v>
      </c>
      <c r="AK476" s="827" t="str">
        <f t="shared" si="271"/>
        <v>Inmadura</v>
      </c>
      <c r="AL476" s="784" t="str">
        <f t="shared" si="272"/>
        <v>Alta</v>
      </c>
      <c r="AM476" s="799">
        <f>IF(ISNUMBER('Base de datos Rutas'!W474),'Base de datos Rutas'!W474,"")</f>
        <v>3116.1708958203221</v>
      </c>
      <c r="AN476" s="787">
        <f>IFERROR(SUMIFS('Base de datos Rutas'!$W$6:$W$794,'Base de datos Rutas'!$C$6:$C$794,$C476)/'Base de datos Rutas'!I474,"")</f>
        <v>3116.1708958203185</v>
      </c>
      <c r="AO476" s="800">
        <f>IFERROR('Base de datos Rutas'!X474*AN476/AM476,"")</f>
        <v>0.37418782761251823</v>
      </c>
      <c r="AP476" s="800">
        <f t="shared" si="273"/>
        <v>0.62581217238748177</v>
      </c>
      <c r="AQ476" s="789">
        <f>IFERROR(INDEX('Hoja de apoyo v2'!$J$17:$J$20,MATCH($A476,'Hoja de apoyo v2'!$A$17:$A$20,0)),"")</f>
        <v>0.64320274048480885</v>
      </c>
      <c r="AR476" s="789">
        <f t="shared" si="274"/>
        <v>-1.7390568097327086E-2</v>
      </c>
      <c r="AS476" s="784" t="str">
        <f t="shared" si="275"/>
        <v>No</v>
      </c>
      <c r="AT476" s="801">
        <f>IF(ISNUMBER('Base de datos Rutas'!CK474),'Base de datos Rutas'!CK474,"")</f>
        <v>356</v>
      </c>
      <c r="AU476" s="802">
        <f>IF(ISNUMBER('Base de datos Rutas'!CL474),'Base de datos Rutas'!CL474,"")</f>
        <v>398.6</v>
      </c>
      <c r="AV476" s="802">
        <f>IF(ISNUMBER('Base de datos Rutas'!CM474),'Base de datos Rutas'!CM474,"")</f>
        <v>42.600000000000023</v>
      </c>
      <c r="AW476" s="802">
        <f>IF(ISNUMBER('Base de datos Rutas'!CN474),'Base de datos Rutas'!CN474,"")</f>
        <v>10.39</v>
      </c>
      <c r="AX476" s="802">
        <f>IF(ISNUMBER('Base de datos Rutas'!CO474),'Base de datos Rutas'!CO474,"")</f>
        <v>9.4499999999999993</v>
      </c>
      <c r="AY476" s="802">
        <f>IF(ISNUMBER('Base de datos Rutas'!CP474),'Base de datos Rutas'!CP474,"")</f>
        <v>-0.94000000000000128</v>
      </c>
      <c r="AZ476" s="802">
        <f>IF(ISNUMBER('Base de datos Rutas'!CQ474),'Base de datos Rutas'!CQ474,"")</f>
        <v>846.56</v>
      </c>
      <c r="BA476" s="802">
        <f>IF(ISNUMBER('Base de datos Rutas'!CR474),'Base de datos Rutas'!CR474,"")</f>
        <v>409.26</v>
      </c>
      <c r="BB476" s="803">
        <f>IF(ISNUMBER('Base de datos Rutas'!CS474),'Base de datos Rutas'!CS474,"")</f>
        <v>437.29999999999995</v>
      </c>
      <c r="BC476" s="804">
        <f t="shared" si="285"/>
        <v>1</v>
      </c>
      <c r="BD476" s="805" t="str">
        <f t="shared" si="286"/>
        <v>Saturada</v>
      </c>
      <c r="BE476" s="806">
        <f t="shared" si="287"/>
        <v>0.48343885843885848</v>
      </c>
      <c r="BF476" s="890">
        <f>IF(ISNUMBER('Base de datos Rutas'!CX474),'Base de datos Rutas'!CX474/100,"")</f>
        <v>0.26458072590738424</v>
      </c>
      <c r="BG476" s="891">
        <f>IF(ISNUMBER('Base de datos Rutas'!CZ474),'Base de datos Rutas'!CZ474/100,"")</f>
        <v>0.31789737171464333</v>
      </c>
      <c r="BH476" s="892">
        <f>IF(ISNUMBER('Base de datos Rutas'!DA474),'Base de datos Rutas'!DA474,"")</f>
        <v>1131.6404348859314</v>
      </c>
      <c r="BI476" s="893">
        <f>IF(ISNUMBER('Base de datos Rutas'!DC474),'Base de datos Rutas'!DC474,"")</f>
        <v>50.883959125475286</v>
      </c>
      <c r="BJ476" s="805" t="str">
        <f t="shared" si="288"/>
        <v>Ruta (completo)</v>
      </c>
      <c r="BK476" s="783">
        <f t="shared" si="276"/>
        <v>1</v>
      </c>
      <c r="BL476" s="797">
        <f t="shared" si="277"/>
        <v>1</v>
      </c>
      <c r="BM476" s="797">
        <f t="shared" si="278"/>
        <v>5</v>
      </c>
      <c r="BN476" s="797">
        <f t="shared" si="279"/>
        <v>5</v>
      </c>
      <c r="BO476" s="798" cm="1">
        <f t="array" ref="BO476">SUMPRODUCT(--ISNUMBER($BF476:$BI476),$BK$3:$BN$3)</f>
        <v>1</v>
      </c>
      <c r="BP476" s="831">
        <f t="shared" si="289"/>
        <v>50</v>
      </c>
      <c r="BQ476" s="834" t="str">
        <f t="shared" si="290"/>
        <v>Alto</v>
      </c>
      <c r="BR476" s="836">
        <f t="shared" si="280"/>
        <v>49.85819058810312</v>
      </c>
      <c r="BS476" s="836">
        <f t="shared" si="281"/>
        <v>50</v>
      </c>
      <c r="BT476" s="837" t="str">
        <f t="shared" si="282"/>
        <v>P1</v>
      </c>
      <c r="BU476" s="807" t="str">
        <f t="shared" si="291"/>
        <v>Al tope</v>
      </c>
      <c r="BV476" s="807" t="str">
        <f t="shared" si="283"/>
        <v>Zona atractiva</v>
      </c>
      <c r="BW476" s="808" t="str">
        <f t="shared" si="284"/>
        <v>P1 - Ampliar cobertura</v>
      </c>
    </row>
    <row r="477" spans="1:75">
      <c r="A477" s="780" t="str">
        <f>'Base de datos Rutas'!A475</f>
        <v>Occidente</v>
      </c>
      <c r="B477" s="781" t="str">
        <f>'Base de datos Rutas'!B475</f>
        <v>Zapopan</v>
      </c>
      <c r="C477" s="781" t="str">
        <f>'Base de datos Rutas'!C475</f>
        <v>Suc. Belenes</v>
      </c>
      <c r="D477" s="782">
        <f>IF(ISNUMBER('Base de datos Rutas'!D475),'Base de datos Rutas'!D475,"Sin código")</f>
        <v>820425</v>
      </c>
      <c r="E477" s="783" t="str">
        <f>'Base de datos Rutas'!F475</f>
        <v>Activa</v>
      </c>
      <c r="F477" s="784" t="str">
        <f>'Base de datos Rutas'!H475</f>
        <v>Sí</v>
      </c>
      <c r="G477" s="785">
        <f>IF(ISNUMBER('Base de datos Rutas'!BE475),'Base de datos Rutas'!BE475,"")</f>
        <v>79.944999999999993</v>
      </c>
      <c r="H477" s="786">
        <f>IF(ISNUMBER('Base de datos Rutas'!BH475),'Base de datos Rutas'!BH475,"")</f>
        <v>0.42920132591156401</v>
      </c>
      <c r="I477" s="788">
        <f>IFERROR(IF(OR(NOT(ISNUMBER('Base de datos Rutas'!O475)),N('Base de datos Rutas'!BK475)=0),"",'Base de datos Rutas'!O475/('Base de datos Rutas'!L475/'Base de datos Rutas'!BK475)),"")</f>
        <v>4477.2359550561887</v>
      </c>
      <c r="J477" s="788">
        <f>IFERROR(IF(OR(NOT(ISNUMBER('Base de datos Rutas'!N475)),N('Base de datos Rutas'!BK475)=0),"",'Base de datos Rutas'!N475/('Base de datos Rutas'!L475/'Base de datos Rutas'!BK475)),"")</f>
        <v>6868.6112359550698</v>
      </c>
      <c r="K477" s="788">
        <f>IFERROR(IF(OR(NOT(ISNUMBER('Base de datos Rutas'!J475)),N('Base de datos Rutas'!BK475)=0),"",'Base de datos Rutas'!J475/('Base de datos Rutas'!L475/'Base de datos Rutas'!BK475)),"")</f>
        <v>477.18625617977398</v>
      </c>
      <c r="L477" s="788">
        <f>IFERROR(IF(OR(NOT(ISNUMBER('Base de datos Rutas'!K475)),N('Base de datos Rutas'!BK475)=0),"",'Base de datos Rutas'!K475/('Base de datos Rutas'!L475/'Base de datos Rutas'!BK475)),"")</f>
        <v>36.625045858427036</v>
      </c>
      <c r="M477" s="787">
        <f>IF(ISNUMBER('Base de datos Rutas'!AX475),'Base de datos Rutas'!AX475,"")</f>
        <v>344.42338085817602</v>
      </c>
      <c r="N477" s="790">
        <f>IFERROR(INDEX('Hoja de apoyo v2'!B$17:B$20,MATCH($A477,'Hoja de apoyo v2'!$A$17:$A$20,0)),"")</f>
        <v>89.41621024641401</v>
      </c>
      <c r="O477" s="791">
        <f>IFERROR(INDEX('Hoja de apoyo v2'!C$17:C$20,MATCH($A477,'Hoja de apoyo v2'!$A$17:$A$20,0)),"")</f>
        <v>0.54706375874806301</v>
      </c>
      <c r="P477" s="793">
        <f>IFERROR(INDEX('Hoja de apoyo v2'!D$17:D$20,MATCH($A477,'Hoja de apoyo v2'!$A$17:$A$20,0)),"")</f>
        <v>11095.153935793827</v>
      </c>
      <c r="Q477" s="793">
        <f>IFERROR(INDEX('Hoja de apoyo v2'!E$17:E$20,MATCH($A477,'Hoja de apoyo v2'!$A$17:$A$20,0)),"")</f>
        <v>6982.3202019701848</v>
      </c>
      <c r="R477" s="793">
        <f>IFERROR(INDEX('Hoja de apoyo v2'!F$17:F$20,MATCH($A477,'Hoja de apoyo v2'!$A$17:$A$20,0)),"")</f>
        <v>448.09513474485743</v>
      </c>
      <c r="S477" s="793">
        <f>IFERROR(INDEX('Hoja de apoyo v2'!G$17:G$20,MATCH($A477,'Hoja de apoyo v2'!$A$17:$A$20,0)),"")</f>
        <v>83.406300904207839</v>
      </c>
      <c r="T477" s="792">
        <f>IFERROR(INDEX('Hoja de apoyo v2'!H$17:H$20,MATCH($A477,'Hoja de apoyo v2'!$A$17:$A$20,0)),"")</f>
        <v>378.97014028925349</v>
      </c>
      <c r="U477" s="794">
        <f t="shared" si="256"/>
        <v>0.89407725712918085</v>
      </c>
      <c r="V477" s="795">
        <f t="shared" si="257"/>
        <v>0.78455448573997444</v>
      </c>
      <c r="W477" s="795">
        <f t="shared" si="258"/>
        <v>0.40353076495967111</v>
      </c>
      <c r="X477" s="843">
        <f t="shared" si="259"/>
        <v>0.98371473052997049</v>
      </c>
      <c r="Y477" s="843">
        <f t="shared" si="260"/>
        <v>1.0649217525012424</v>
      </c>
      <c r="Z477" s="843">
        <f t="shared" si="261"/>
        <v>0.43911605551828647</v>
      </c>
      <c r="AA477" s="843">
        <f t="shared" si="262"/>
        <v>0.90884041839098662</v>
      </c>
      <c r="AB477" s="796">
        <f t="shared" si="263"/>
        <v>3</v>
      </c>
      <c r="AC477" s="797">
        <f t="shared" si="264"/>
        <v>3</v>
      </c>
      <c r="AD477" s="797">
        <f t="shared" si="265"/>
        <v>1</v>
      </c>
      <c r="AE477" s="842">
        <f t="shared" si="266"/>
        <v>3</v>
      </c>
      <c r="AF477" s="842">
        <f t="shared" si="267"/>
        <v>4</v>
      </c>
      <c r="AG477" s="842">
        <f t="shared" si="268"/>
        <v>1</v>
      </c>
      <c r="AH477" s="842">
        <f t="shared" si="269"/>
        <v>3</v>
      </c>
      <c r="AI477" s="826" cm="1">
        <f t="array" ref="AI477">SUMPRODUCT(--ISNUMBER($U477:$AA477),$AB$3:$AH$3)</f>
        <v>1</v>
      </c>
      <c r="AJ477" s="829">
        <f t="shared" si="270"/>
        <v>33.919568037264355</v>
      </c>
      <c r="AK477" s="827" t="str">
        <f t="shared" si="271"/>
        <v>Inmadura</v>
      </c>
      <c r="AL477" s="784" t="str">
        <f t="shared" si="272"/>
        <v>Alta</v>
      </c>
      <c r="AM477" s="799">
        <f>IF(ISNUMBER('Base de datos Rutas'!W475),'Base de datos Rutas'!W475,"")</f>
        <v>3116.1708958203221</v>
      </c>
      <c r="AN477" s="787">
        <f>IFERROR(SUMIFS('Base de datos Rutas'!$W$6:$W$794,'Base de datos Rutas'!$C$6:$C$794,$C477)/'Base de datos Rutas'!I475,"")</f>
        <v>3116.1708958203185</v>
      </c>
      <c r="AO477" s="800">
        <f>IFERROR('Base de datos Rutas'!X475*AN477/AM477,"")</f>
        <v>0.37418782761251823</v>
      </c>
      <c r="AP477" s="800">
        <f t="shared" si="273"/>
        <v>0.62581217238748177</v>
      </c>
      <c r="AQ477" s="789">
        <f>IFERROR(INDEX('Hoja de apoyo v2'!$J$17:$J$20,MATCH($A477,'Hoja de apoyo v2'!$A$17:$A$20,0)),"")</f>
        <v>0.64320274048480885</v>
      </c>
      <c r="AR477" s="789">
        <f t="shared" si="274"/>
        <v>-1.7390568097327086E-2</v>
      </c>
      <c r="AS477" s="784" t="str">
        <f t="shared" si="275"/>
        <v>No</v>
      </c>
      <c r="AT477" s="801">
        <f>IF(ISNUMBER('Base de datos Rutas'!CK475),'Base de datos Rutas'!CK475,"")</f>
        <v>364</v>
      </c>
      <c r="AU477" s="802">
        <f>IF(ISNUMBER('Base de datos Rutas'!CL475),'Base de datos Rutas'!CL475,"")</f>
        <v>412.16</v>
      </c>
      <c r="AV477" s="802">
        <f>IF(ISNUMBER('Base de datos Rutas'!CM475),'Base de datos Rutas'!CM475,"")</f>
        <v>48.160000000000025</v>
      </c>
      <c r="AW477" s="802">
        <f>IF(ISNUMBER('Base de datos Rutas'!CN475),'Base de datos Rutas'!CN475,"")</f>
        <v>9.2799999999999994</v>
      </c>
      <c r="AX477" s="802">
        <f>IF(ISNUMBER('Base de datos Rutas'!CO475),'Base de datos Rutas'!CO475,"")</f>
        <v>9.4499999999999993</v>
      </c>
      <c r="AY477" s="802">
        <f>IF(ISNUMBER('Base de datos Rutas'!CP475),'Base de datos Rutas'!CP475,"")</f>
        <v>0.16999999999999993</v>
      </c>
      <c r="AZ477" s="802">
        <f>IF(ISNUMBER('Base de datos Rutas'!CQ475),'Base de datos Rutas'!CQ475,"")</f>
        <v>846.56</v>
      </c>
      <c r="BA477" s="802">
        <f>IF(ISNUMBER('Base de datos Rutas'!CR475),'Base de datos Rutas'!CR475,"")</f>
        <v>513.80999999999995</v>
      </c>
      <c r="BB477" s="803">
        <f>IF(ISNUMBER('Base de datos Rutas'!CS475),'Base de datos Rutas'!CS475,"")</f>
        <v>332.75</v>
      </c>
      <c r="BC477" s="804">
        <f t="shared" si="285"/>
        <v>0</v>
      </c>
      <c r="BD477" s="805" t="str">
        <f t="shared" si="286"/>
        <v>No saturada</v>
      </c>
      <c r="BE477" s="806">
        <f t="shared" si="287"/>
        <v>0.60693866943866936</v>
      </c>
      <c r="BF477" s="890">
        <f>IF(ISNUMBER('Base de datos Rutas'!CX475),'Base de datos Rutas'!CX475/100,"")</f>
        <v>0.38911618669314796</v>
      </c>
      <c r="BG477" s="891">
        <f>IF(ISNUMBER('Base de datos Rutas'!CZ475),'Base de datos Rutas'!CZ475/100,"")</f>
        <v>0.43694141012909632</v>
      </c>
      <c r="BH477" s="892">
        <f>IF(ISNUMBER('Base de datos Rutas'!DA475),'Base de datos Rutas'!DA475,"")</f>
        <v>744.01514462261639</v>
      </c>
      <c r="BI477" s="893">
        <f>IF(ISNUMBER('Base de datos Rutas'!DC475),'Base de datos Rutas'!DC475,"")</f>
        <v>36.414136244740128</v>
      </c>
      <c r="BJ477" s="805" t="str">
        <f t="shared" si="288"/>
        <v>Ruta (completo)</v>
      </c>
      <c r="BK477" s="783">
        <f t="shared" si="276"/>
        <v>1</v>
      </c>
      <c r="BL477" s="797">
        <f t="shared" si="277"/>
        <v>1</v>
      </c>
      <c r="BM477" s="797">
        <f t="shared" si="278"/>
        <v>3</v>
      </c>
      <c r="BN477" s="797">
        <f t="shared" si="279"/>
        <v>3</v>
      </c>
      <c r="BO477" s="798" cm="1">
        <f t="array" ref="BO477">SUMPRODUCT(--ISNUMBER($BF477:$BI477),$BK$3:$BN$3)</f>
        <v>1</v>
      </c>
      <c r="BP477" s="831">
        <f t="shared" si="289"/>
        <v>25</v>
      </c>
      <c r="BQ477" s="834" t="str">
        <f t="shared" si="290"/>
        <v>Medio</v>
      </c>
      <c r="BR477" s="836">
        <f t="shared" si="280"/>
        <v>25.439676027948266</v>
      </c>
      <c r="BS477" s="836">
        <f t="shared" si="281"/>
        <v>25</v>
      </c>
      <c r="BT477" s="837" t="str">
        <f t="shared" si="282"/>
        <v>P4</v>
      </c>
      <c r="BU477" s="807" t="str">
        <f t="shared" si="291"/>
        <v>Con espacio</v>
      </c>
      <c r="BV477" s="807" t="str">
        <f t="shared" si="283"/>
        <v>Zona de bajo potencial</v>
      </c>
      <c r="BW477" s="808" t="str">
        <f t="shared" si="284"/>
        <v>P4 - Evaluar</v>
      </c>
    </row>
    <row r="478" spans="1:75">
      <c r="A478" s="780" t="str">
        <f>'Base de datos Rutas'!A476</f>
        <v>Occidente</v>
      </c>
      <c r="B478" s="781" t="str">
        <f>'Base de datos Rutas'!B476</f>
        <v>Zapopan</v>
      </c>
      <c r="C478" s="781" t="str">
        <f>'Base de datos Rutas'!C476</f>
        <v>Suc. Belenes</v>
      </c>
      <c r="D478" s="782">
        <f>IF(ISNUMBER('Base de datos Rutas'!D476),'Base de datos Rutas'!D476,"Sin código")</f>
        <v>820426</v>
      </c>
      <c r="E478" s="783" t="str">
        <f>'Base de datos Rutas'!F476</f>
        <v>Activa</v>
      </c>
      <c r="F478" s="784" t="str">
        <f>'Base de datos Rutas'!H476</f>
        <v>Sí</v>
      </c>
      <c r="G478" s="785">
        <f>IF(ISNUMBER('Base de datos Rutas'!BE476),'Base de datos Rutas'!BE476,"")</f>
        <v>69.319559228650107</v>
      </c>
      <c r="H478" s="786">
        <f>IF(ISNUMBER('Base de datos Rutas'!BH476),'Base de datos Rutas'!BH476,"")</f>
        <v>0.37976393911695699</v>
      </c>
      <c r="I478" s="788">
        <f>IFERROR(IF(OR(NOT(ISNUMBER('Base de datos Rutas'!O476)),N('Base de datos Rutas'!BK476)=0),"",'Base de datos Rutas'!O476/('Base de datos Rutas'!L476/'Base de datos Rutas'!BK476)),"")</f>
        <v>2654.8964705882345</v>
      </c>
      <c r="J478" s="788">
        <f>IFERROR(IF(OR(NOT(ISNUMBER('Base de datos Rutas'!N476)),N('Base de datos Rutas'!BK476)=0),"",'Base de datos Rutas'!N476/('Base de datos Rutas'!L476/'Base de datos Rutas'!BK476)),"")</f>
        <v>4377.2870588235282</v>
      </c>
      <c r="K478" s="788">
        <f>IFERROR(IF(OR(NOT(ISNUMBER('Base de datos Rutas'!J476)),N('Base de datos Rutas'!BK476)=0),"",'Base de datos Rutas'!J476/('Base de datos Rutas'!L476/'Base de datos Rutas'!BK476)),"")</f>
        <v>299.54489599999994</v>
      </c>
      <c r="L478" s="788">
        <f>IFERROR(IF(OR(NOT(ISNUMBER('Base de datos Rutas'!K476)),N('Base de datos Rutas'!BK476)=0),"",'Base de datos Rutas'!K476/('Base de datos Rutas'!L476/'Base de datos Rutas'!BK476)),"")</f>
        <v>16.917384277647056</v>
      </c>
      <c r="M478" s="787">
        <f>IF(ISNUMBER('Base de datos Rutas'!AX476),'Base de datos Rutas'!AX476,"")</f>
        <v>283.769679657795</v>
      </c>
      <c r="N478" s="790">
        <f>IFERROR(INDEX('Hoja de apoyo v2'!B$17:B$20,MATCH($A478,'Hoja de apoyo v2'!$A$17:$A$20,0)),"")</f>
        <v>89.41621024641401</v>
      </c>
      <c r="O478" s="791">
        <f>IFERROR(INDEX('Hoja de apoyo v2'!C$17:C$20,MATCH($A478,'Hoja de apoyo v2'!$A$17:$A$20,0)),"")</f>
        <v>0.54706375874806301</v>
      </c>
      <c r="P478" s="793">
        <f>IFERROR(INDEX('Hoja de apoyo v2'!D$17:D$20,MATCH($A478,'Hoja de apoyo v2'!$A$17:$A$20,0)),"")</f>
        <v>11095.153935793827</v>
      </c>
      <c r="Q478" s="793">
        <f>IFERROR(INDEX('Hoja de apoyo v2'!E$17:E$20,MATCH($A478,'Hoja de apoyo v2'!$A$17:$A$20,0)),"")</f>
        <v>6982.3202019701848</v>
      </c>
      <c r="R478" s="793">
        <f>IFERROR(INDEX('Hoja de apoyo v2'!F$17:F$20,MATCH($A478,'Hoja de apoyo v2'!$A$17:$A$20,0)),"")</f>
        <v>448.09513474485743</v>
      </c>
      <c r="S478" s="793">
        <f>IFERROR(INDEX('Hoja de apoyo v2'!G$17:G$20,MATCH($A478,'Hoja de apoyo v2'!$A$17:$A$20,0)),"")</f>
        <v>83.406300904207839</v>
      </c>
      <c r="T478" s="792">
        <f>IFERROR(INDEX('Hoja de apoyo v2'!H$17:H$20,MATCH($A478,'Hoja de apoyo v2'!$A$17:$A$20,0)),"")</f>
        <v>378.97014028925349</v>
      </c>
      <c r="U478" s="794">
        <f t="shared" si="256"/>
        <v>0.77524599888117185</v>
      </c>
      <c r="V478" s="795">
        <f t="shared" si="257"/>
        <v>0.69418588426700756</v>
      </c>
      <c r="W478" s="795">
        <f t="shared" si="258"/>
        <v>0.23928432953267395</v>
      </c>
      <c r="X478" s="843">
        <f t="shared" si="259"/>
        <v>0.62691010039734352</v>
      </c>
      <c r="Y478" s="843">
        <f t="shared" si="260"/>
        <v>0.66848504429881594</v>
      </c>
      <c r="Z478" s="843">
        <f t="shared" si="261"/>
        <v>0.20283101029833078</v>
      </c>
      <c r="AA478" s="843">
        <f t="shared" si="262"/>
        <v>0.74879165794224423</v>
      </c>
      <c r="AB478" s="796">
        <f t="shared" si="263"/>
        <v>3</v>
      </c>
      <c r="AC478" s="797">
        <f t="shared" si="264"/>
        <v>2</v>
      </c>
      <c r="AD478" s="797">
        <f t="shared" si="265"/>
        <v>1</v>
      </c>
      <c r="AE478" s="842">
        <f t="shared" si="266"/>
        <v>2</v>
      </c>
      <c r="AF478" s="842">
        <f t="shared" si="267"/>
        <v>2</v>
      </c>
      <c r="AG478" s="842">
        <f t="shared" si="268"/>
        <v>1</v>
      </c>
      <c r="AH478" s="842">
        <f t="shared" si="269"/>
        <v>2</v>
      </c>
      <c r="AI478" s="826" cm="1">
        <f t="array" ref="AI478">SUMPRODUCT(--ISNUMBER($U478:$AA478),$AB$3:$AH$3)</f>
        <v>1</v>
      </c>
      <c r="AJ478" s="829">
        <f t="shared" si="270"/>
        <v>20.03039794074904</v>
      </c>
      <c r="AK478" s="827" t="str">
        <f t="shared" si="271"/>
        <v>Inmadura</v>
      </c>
      <c r="AL478" s="784" t="str">
        <f t="shared" si="272"/>
        <v>Alta</v>
      </c>
      <c r="AM478" s="799">
        <f>IF(ISNUMBER('Base de datos Rutas'!W476),'Base de datos Rutas'!W476,"")</f>
        <v>3116.1708958203221</v>
      </c>
      <c r="AN478" s="787">
        <f>IFERROR(SUMIFS('Base de datos Rutas'!$W$6:$W$794,'Base de datos Rutas'!$C$6:$C$794,$C478)/'Base de datos Rutas'!I476,"")</f>
        <v>3116.1708958203185</v>
      </c>
      <c r="AO478" s="800">
        <f>IFERROR('Base de datos Rutas'!X476*AN478/AM478,"")</f>
        <v>0.37418782761251823</v>
      </c>
      <c r="AP478" s="800">
        <f t="shared" si="273"/>
        <v>0.62581217238748177</v>
      </c>
      <c r="AQ478" s="789">
        <f>IFERROR(INDEX('Hoja de apoyo v2'!$J$17:$J$20,MATCH($A478,'Hoja de apoyo v2'!$A$17:$A$20,0)),"")</f>
        <v>0.64320274048480885</v>
      </c>
      <c r="AR478" s="789">
        <f t="shared" si="274"/>
        <v>-1.7390568097327086E-2</v>
      </c>
      <c r="AS478" s="784" t="str">
        <f t="shared" si="275"/>
        <v>No</v>
      </c>
      <c r="AT478" s="801">
        <f>IF(ISNUMBER('Base de datos Rutas'!CK476),'Base de datos Rutas'!CK476,"")</f>
        <v>262</v>
      </c>
      <c r="AU478" s="802">
        <f>IF(ISNUMBER('Base de datos Rutas'!CL476),'Base de datos Rutas'!CL476,"")</f>
        <v>428.29</v>
      </c>
      <c r="AV478" s="802">
        <f>IF(ISNUMBER('Base de datos Rutas'!CM476),'Base de datos Rutas'!CM476,"")</f>
        <v>166.29000000000002</v>
      </c>
      <c r="AW478" s="802">
        <f>IF(ISNUMBER('Base de datos Rutas'!CN476),'Base de datos Rutas'!CN476,"")</f>
        <v>6.5</v>
      </c>
      <c r="AX478" s="802">
        <f>IF(ISNUMBER('Base de datos Rutas'!CO476),'Base de datos Rutas'!CO476,"")</f>
        <v>9.4499999999999993</v>
      </c>
      <c r="AY478" s="802">
        <f>IF(ISNUMBER('Base de datos Rutas'!CP476),'Base de datos Rutas'!CP476,"")</f>
        <v>2.9499999999999993</v>
      </c>
      <c r="AZ478" s="802">
        <f>IF(ISNUMBER('Base de datos Rutas'!CQ476),'Base de datos Rutas'!CQ476,"")</f>
        <v>564.37</v>
      </c>
      <c r="BA478" s="802">
        <f>IF(ISNUMBER('Base de datos Rutas'!CR476),'Base de datos Rutas'!CR476,"")</f>
        <v>316.45999999999998</v>
      </c>
      <c r="BB478" s="803">
        <f>IF(ISNUMBER('Base de datos Rutas'!CS476),'Base de datos Rutas'!CS476,"")</f>
        <v>247.91000000000003</v>
      </c>
      <c r="BC478" s="804">
        <f t="shared" si="285"/>
        <v>0</v>
      </c>
      <c r="BD478" s="805" t="str">
        <f t="shared" si="286"/>
        <v>No saturada</v>
      </c>
      <c r="BE478" s="806">
        <f t="shared" si="287"/>
        <v>0.56073143505147327</v>
      </c>
      <c r="BF478" s="890">
        <f>IF(ISNUMBER('Base de datos Rutas'!CX476),'Base de datos Rutas'!CX476/100,"")</f>
        <v>0.80444917833231899</v>
      </c>
      <c r="BG478" s="891">
        <f>IF(ISNUMBER('Base de datos Rutas'!CZ476),'Base de datos Rutas'!CZ476/100,"")</f>
        <v>0.9056603773584907</v>
      </c>
      <c r="BH478" s="892">
        <f>IF(ISNUMBER('Base de datos Rutas'!DA476),'Base de datos Rutas'!DA476,"")</f>
        <v>1220.210496935262</v>
      </c>
      <c r="BI478" s="893">
        <f>IF(ISNUMBER('Base de datos Rutas'!DC476),'Base de datos Rutas'!DC476,"")</f>
        <v>56.951074730971818</v>
      </c>
      <c r="BJ478" s="805" t="str">
        <f t="shared" si="288"/>
        <v>Ruta (completo)</v>
      </c>
      <c r="BK478" s="783">
        <f t="shared" si="276"/>
        <v>3</v>
      </c>
      <c r="BL478" s="797">
        <f t="shared" si="277"/>
        <v>3</v>
      </c>
      <c r="BM478" s="797">
        <f t="shared" si="278"/>
        <v>5</v>
      </c>
      <c r="BN478" s="797">
        <f t="shared" si="279"/>
        <v>5</v>
      </c>
      <c r="BO478" s="798" cm="1">
        <f t="array" ref="BO478">SUMPRODUCT(--ISNUMBER($BF478:$BI478),$BK$3:$BN$3)</f>
        <v>1</v>
      </c>
      <c r="BP478" s="831">
        <f t="shared" si="289"/>
        <v>75</v>
      </c>
      <c r="BQ478" s="834" t="str">
        <f t="shared" si="290"/>
        <v>Alto</v>
      </c>
      <c r="BR478" s="836">
        <f t="shared" si="280"/>
        <v>15.02279845556178</v>
      </c>
      <c r="BS478" s="836">
        <f t="shared" si="281"/>
        <v>75</v>
      </c>
      <c r="BT478" s="837" t="str">
        <f t="shared" si="282"/>
        <v>P3</v>
      </c>
      <c r="BU478" s="807" t="str">
        <f t="shared" si="291"/>
        <v>Con espacio</v>
      </c>
      <c r="BV478" s="807" t="str">
        <f t="shared" si="283"/>
        <v>Zona atractiva</v>
      </c>
      <c r="BW478" s="808" t="str">
        <f t="shared" si="284"/>
        <v>P3 - Desarrollar</v>
      </c>
    </row>
    <row r="479" spans="1:75">
      <c r="A479" s="780" t="str">
        <f>'Base de datos Rutas'!A477</f>
        <v>Occidente</v>
      </c>
      <c r="B479" s="781" t="str">
        <f>'Base de datos Rutas'!B477</f>
        <v>Zapopan</v>
      </c>
      <c r="C479" s="781" t="str">
        <f>'Base de datos Rutas'!C477</f>
        <v>Suc. Belenes</v>
      </c>
      <c r="D479" s="782">
        <f>IF(ISNUMBER('Base de datos Rutas'!D477),'Base de datos Rutas'!D477,"Sin código")</f>
        <v>820427</v>
      </c>
      <c r="E479" s="783" t="str">
        <f>'Base de datos Rutas'!F477</f>
        <v>Activa</v>
      </c>
      <c r="F479" s="784" t="str">
        <f>'Base de datos Rutas'!H477</f>
        <v>Sí</v>
      </c>
      <c r="G479" s="785">
        <f>IF(ISNUMBER('Base de datos Rutas'!BE477),'Base de datos Rutas'!BE477,"")</f>
        <v>85.767379679144398</v>
      </c>
      <c r="H479" s="786">
        <f>IF(ISNUMBER('Base de datos Rutas'!BH477),'Base de datos Rutas'!BH477,"")</f>
        <v>0.40253140879758098</v>
      </c>
      <c r="I479" s="788">
        <f>IFERROR(IF(OR(NOT(ISNUMBER('Base de datos Rutas'!O477)),N('Base de datos Rutas'!BK477)=0),"",'Base de datos Rutas'!O477/('Base de datos Rutas'!L477/'Base de datos Rutas'!BK477)),"")</f>
        <v>3270.3967889908204</v>
      </c>
      <c r="J479" s="788">
        <f>IFERROR(IF(OR(NOT(ISNUMBER('Base de datos Rutas'!N477)),N('Base de datos Rutas'!BK477)=0),"",'Base de datos Rutas'!N477/('Base de datos Rutas'!L477/'Base de datos Rutas'!BK477)),"")</f>
        <v>6546.667431192649</v>
      </c>
      <c r="K479" s="788">
        <f>IFERROR(IF(OR(NOT(ISNUMBER('Base de datos Rutas'!J477)),N('Base de datos Rutas'!BK477)=0),"",'Base de datos Rutas'!J477/('Base de datos Rutas'!L477/'Base de datos Rutas'!BK477)),"")</f>
        <v>442.89332660550389</v>
      </c>
      <c r="L479" s="788">
        <f>IFERROR(IF(OR(NOT(ISNUMBER('Base de datos Rutas'!K477)),N('Base de datos Rutas'!BK477)=0),"",'Base de datos Rutas'!K477/('Base de datos Rutas'!L477/'Base de datos Rutas'!BK477)),"")</f>
        <v>22.009559873853174</v>
      </c>
      <c r="M479" s="787">
        <f>IF(ISNUMBER('Base de datos Rutas'!AX477),'Base de datos Rutas'!AX477,"")</f>
        <v>278.84598071372301</v>
      </c>
      <c r="N479" s="790">
        <f>IFERROR(INDEX('Hoja de apoyo v2'!B$17:B$20,MATCH($A479,'Hoja de apoyo v2'!$A$17:$A$20,0)),"")</f>
        <v>89.41621024641401</v>
      </c>
      <c r="O479" s="791">
        <f>IFERROR(INDEX('Hoja de apoyo v2'!C$17:C$20,MATCH($A479,'Hoja de apoyo v2'!$A$17:$A$20,0)),"")</f>
        <v>0.54706375874806301</v>
      </c>
      <c r="P479" s="793">
        <f>IFERROR(INDEX('Hoja de apoyo v2'!D$17:D$20,MATCH($A479,'Hoja de apoyo v2'!$A$17:$A$20,0)),"")</f>
        <v>11095.153935793827</v>
      </c>
      <c r="Q479" s="793">
        <f>IFERROR(INDEX('Hoja de apoyo v2'!E$17:E$20,MATCH($A479,'Hoja de apoyo v2'!$A$17:$A$20,0)),"")</f>
        <v>6982.3202019701848</v>
      </c>
      <c r="R479" s="793">
        <f>IFERROR(INDEX('Hoja de apoyo v2'!F$17:F$20,MATCH($A479,'Hoja de apoyo v2'!$A$17:$A$20,0)),"")</f>
        <v>448.09513474485743</v>
      </c>
      <c r="S479" s="793">
        <f>IFERROR(INDEX('Hoja de apoyo v2'!G$17:G$20,MATCH($A479,'Hoja de apoyo v2'!$A$17:$A$20,0)),"")</f>
        <v>83.406300904207839</v>
      </c>
      <c r="T479" s="792">
        <f>IFERROR(INDEX('Hoja de apoyo v2'!H$17:H$20,MATCH($A479,'Hoja de apoyo v2'!$A$17:$A$20,0)),"")</f>
        <v>378.97014028925349</v>
      </c>
      <c r="U479" s="794">
        <f t="shared" si="256"/>
        <v>0.95919273969211927</v>
      </c>
      <c r="V479" s="795">
        <f t="shared" si="257"/>
        <v>0.73580346414970088</v>
      </c>
      <c r="W479" s="795">
        <f t="shared" si="258"/>
        <v>0.29475902794284509</v>
      </c>
      <c r="X479" s="843">
        <f t="shared" si="259"/>
        <v>0.93760630303740455</v>
      </c>
      <c r="Y479" s="843">
        <f t="shared" si="260"/>
        <v>0.988391286278269</v>
      </c>
      <c r="Z479" s="843">
        <f t="shared" si="261"/>
        <v>0.26388365909106987</v>
      </c>
      <c r="AA479" s="843">
        <f t="shared" si="262"/>
        <v>0.73579934424619964</v>
      </c>
      <c r="AB479" s="796">
        <f t="shared" si="263"/>
        <v>3</v>
      </c>
      <c r="AC479" s="797">
        <f t="shared" si="264"/>
        <v>2</v>
      </c>
      <c r="AD479" s="797">
        <f t="shared" si="265"/>
        <v>1</v>
      </c>
      <c r="AE479" s="842">
        <f t="shared" si="266"/>
        <v>3</v>
      </c>
      <c r="AF479" s="842">
        <f t="shared" si="267"/>
        <v>3</v>
      </c>
      <c r="AG479" s="842">
        <f t="shared" si="268"/>
        <v>1</v>
      </c>
      <c r="AH479" s="842">
        <f t="shared" si="269"/>
        <v>2</v>
      </c>
      <c r="AI479" s="826" cm="1">
        <f t="array" ref="AI479">SUMPRODUCT(--ISNUMBER($U479:$AA479),$AB$3:$AH$3)</f>
        <v>1</v>
      </c>
      <c r="AJ479" s="829">
        <f t="shared" si="270"/>
        <v>26.365890099007515</v>
      </c>
      <c r="AK479" s="827" t="str">
        <f t="shared" si="271"/>
        <v>Inmadura</v>
      </c>
      <c r="AL479" s="784" t="str">
        <f t="shared" si="272"/>
        <v>Alta</v>
      </c>
      <c r="AM479" s="799">
        <f>IF(ISNUMBER('Base de datos Rutas'!W477),'Base de datos Rutas'!W477,"")</f>
        <v>3116.1708958203221</v>
      </c>
      <c r="AN479" s="787">
        <f>IFERROR(SUMIFS('Base de datos Rutas'!$W$6:$W$794,'Base de datos Rutas'!$C$6:$C$794,$C479)/'Base de datos Rutas'!I477,"")</f>
        <v>3116.1708958203185</v>
      </c>
      <c r="AO479" s="800">
        <f>IFERROR('Base de datos Rutas'!X477*AN479/AM479,"")</f>
        <v>0.37418782761251823</v>
      </c>
      <c r="AP479" s="800">
        <f t="shared" si="273"/>
        <v>0.62581217238748177</v>
      </c>
      <c r="AQ479" s="789">
        <f>IFERROR(INDEX('Hoja de apoyo v2'!$J$17:$J$20,MATCH($A479,'Hoja de apoyo v2'!$A$17:$A$20,0)),"")</f>
        <v>0.64320274048480885</v>
      </c>
      <c r="AR479" s="789">
        <f t="shared" si="274"/>
        <v>-1.7390568097327086E-2</v>
      </c>
      <c r="AS479" s="784" t="str">
        <f t="shared" si="275"/>
        <v>No</v>
      </c>
      <c r="AT479" s="801">
        <f>IF(ISNUMBER('Base de datos Rutas'!CK477),'Base de datos Rutas'!CK477,"")</f>
        <v>292</v>
      </c>
      <c r="AU479" s="802">
        <f>IF(ISNUMBER('Base de datos Rutas'!CL477),'Base de datos Rutas'!CL477,"")</f>
        <v>388.46</v>
      </c>
      <c r="AV479" s="802">
        <f>IF(ISNUMBER('Base de datos Rutas'!CM477),'Base de datos Rutas'!CM477,"")</f>
        <v>96.45999999999998</v>
      </c>
      <c r="AW479" s="802">
        <f>IF(ISNUMBER('Base de datos Rutas'!CN477),'Base de datos Rutas'!CN477,"")</f>
        <v>6.79</v>
      </c>
      <c r="AX479" s="802">
        <f>IF(ISNUMBER('Base de datos Rutas'!CO477),'Base de datos Rutas'!CO477,"")</f>
        <v>9.4499999999999993</v>
      </c>
      <c r="AY479" s="802">
        <f>IF(ISNUMBER('Base de datos Rutas'!CP477),'Base de datos Rutas'!CP477,"")</f>
        <v>2.6599999999999993</v>
      </c>
      <c r="AZ479" s="802">
        <f>IF(ISNUMBER('Base de datos Rutas'!CQ477),'Base de datos Rutas'!CQ477,"")</f>
        <v>846.56</v>
      </c>
      <c r="BA479" s="802">
        <f>IF(ISNUMBER('Base de datos Rutas'!CR477),'Base de datos Rutas'!CR477,"")</f>
        <v>464.9</v>
      </c>
      <c r="BB479" s="803">
        <f>IF(ISNUMBER('Base de datos Rutas'!CS477),'Base de datos Rutas'!CS477,"")</f>
        <v>381.65999999999997</v>
      </c>
      <c r="BC479" s="804">
        <f t="shared" si="285"/>
        <v>0</v>
      </c>
      <c r="BD479" s="805" t="str">
        <f t="shared" si="286"/>
        <v>No saturada</v>
      </c>
      <c r="BE479" s="806">
        <f t="shared" si="287"/>
        <v>0.54916367416367418</v>
      </c>
      <c r="BF479" s="890">
        <f>IF(ISNUMBER('Base de datos Rutas'!CX477),'Base de datos Rutas'!CX477/100,"")</f>
        <v>0.91546012269938648</v>
      </c>
      <c r="BG479" s="891">
        <f>IF(ISNUMBER('Base de datos Rutas'!CZ477),'Base de datos Rutas'!CZ477/100,"")</f>
        <v>1</v>
      </c>
      <c r="BH479" s="892">
        <f>IF(ISNUMBER('Base de datos Rutas'!DA477),'Base de datos Rutas'!DA477,"")</f>
        <v>1187.9190761721591</v>
      </c>
      <c r="BI479" s="893">
        <f>IF(ISNUMBER('Base de datos Rutas'!DC477),'Base de datos Rutas'!DC477,"")</f>
        <v>56.598419342847443</v>
      </c>
      <c r="BJ479" s="805" t="str">
        <f t="shared" si="288"/>
        <v>Ruta (completo)</v>
      </c>
      <c r="BK479" s="783">
        <f t="shared" si="276"/>
        <v>4</v>
      </c>
      <c r="BL479" s="797">
        <f t="shared" si="277"/>
        <v>4</v>
      </c>
      <c r="BM479" s="797">
        <f t="shared" si="278"/>
        <v>5</v>
      </c>
      <c r="BN479" s="797">
        <f t="shared" si="279"/>
        <v>5</v>
      </c>
      <c r="BO479" s="798" cm="1">
        <f t="array" ref="BO479">SUMPRODUCT(--ISNUMBER($BF479:$BI479),$BK$3:$BN$3)</f>
        <v>1</v>
      </c>
      <c r="BP479" s="831">
        <f t="shared" si="289"/>
        <v>87.5</v>
      </c>
      <c r="BQ479" s="834" t="str">
        <f t="shared" si="290"/>
        <v>Alto</v>
      </c>
      <c r="BR479" s="836">
        <f t="shared" si="280"/>
        <v>19.774417574255637</v>
      </c>
      <c r="BS479" s="836">
        <f t="shared" si="281"/>
        <v>87.5</v>
      </c>
      <c r="BT479" s="837" t="str">
        <f t="shared" si="282"/>
        <v>P3</v>
      </c>
      <c r="BU479" s="807" t="str">
        <f t="shared" si="291"/>
        <v>Con espacio</v>
      </c>
      <c r="BV479" s="807" t="str">
        <f t="shared" si="283"/>
        <v>Zona atractiva</v>
      </c>
      <c r="BW479" s="808" t="str">
        <f t="shared" si="284"/>
        <v>P3 - Desarrollar</v>
      </c>
    </row>
    <row r="480" spans="1:75">
      <c r="A480" s="780" t="str">
        <f>'Base de datos Rutas'!A478</f>
        <v>Occidente</v>
      </c>
      <c r="B480" s="781" t="str">
        <f>'Base de datos Rutas'!B478</f>
        <v>Zapopan</v>
      </c>
      <c r="C480" s="781" t="str">
        <f>'Base de datos Rutas'!C478</f>
        <v>Suc. Belenes</v>
      </c>
      <c r="D480" s="782">
        <f>IF(ISNUMBER('Base de datos Rutas'!D478),'Base de datos Rutas'!D478,"Sin código")</f>
        <v>820428</v>
      </c>
      <c r="E480" s="783" t="str">
        <f>'Base de datos Rutas'!F478</f>
        <v>Activa</v>
      </c>
      <c r="F480" s="784" t="str">
        <f>'Base de datos Rutas'!H478</f>
        <v>Sí</v>
      </c>
      <c r="G480" s="785">
        <f>IF(ISNUMBER('Base de datos Rutas'!BE478),'Base de datos Rutas'!BE478,"")</f>
        <v>58.9677419354839</v>
      </c>
      <c r="H480" s="786">
        <f>IF(ISNUMBER('Base de datos Rutas'!BH478),'Base de datos Rutas'!BH478,"")</f>
        <v>0.46270970094821301</v>
      </c>
      <c r="I480" s="788">
        <f>IFERROR(IF(OR(NOT(ISNUMBER('Base de datos Rutas'!O478)),N('Base de datos Rutas'!BK478)=0),"",'Base de datos Rutas'!O478/('Base de datos Rutas'!L478/'Base de datos Rutas'!BK478)),"")</f>
        <v>3954.4516129032236</v>
      </c>
      <c r="J480" s="788">
        <f>IFERROR(IF(OR(NOT(ISNUMBER('Base de datos Rutas'!N478)),N('Base de datos Rutas'!BK478)=0),"",'Base de datos Rutas'!N478/('Base de datos Rutas'!L478/'Base de datos Rutas'!BK478)),"")</f>
        <v>6083.4493087557576</v>
      </c>
      <c r="K480" s="788">
        <f>IFERROR(IF(OR(NOT(ISNUMBER('Base de datos Rutas'!J478)),N('Base de datos Rutas'!BK478)=0),"",'Base de datos Rutas'!J478/('Base de datos Rutas'!L478/'Base de datos Rutas'!BK478)),"")</f>
        <v>418.51630967741914</v>
      </c>
      <c r="L480" s="788">
        <f>IFERROR(IF(OR(NOT(ISNUMBER('Base de datos Rutas'!K478)),N('Base de datos Rutas'!BK478)=0),"",'Base de datos Rutas'!K478/('Base de datos Rutas'!L478/'Base de datos Rutas'!BK478)),"")</f>
        <v>25.131242778801827</v>
      </c>
      <c r="M480" s="787">
        <f>IF(ISNUMBER('Base de datos Rutas'!AX478),'Base de datos Rutas'!AX478,"")</f>
        <v>403.15850629653499</v>
      </c>
      <c r="N480" s="790">
        <f>IFERROR(INDEX('Hoja de apoyo v2'!B$17:B$20,MATCH($A480,'Hoja de apoyo v2'!$A$17:$A$20,0)),"")</f>
        <v>89.41621024641401</v>
      </c>
      <c r="O480" s="791">
        <f>IFERROR(INDEX('Hoja de apoyo v2'!C$17:C$20,MATCH($A480,'Hoja de apoyo v2'!$A$17:$A$20,0)),"")</f>
        <v>0.54706375874806301</v>
      </c>
      <c r="P480" s="793">
        <f>IFERROR(INDEX('Hoja de apoyo v2'!D$17:D$20,MATCH($A480,'Hoja de apoyo v2'!$A$17:$A$20,0)),"")</f>
        <v>11095.153935793827</v>
      </c>
      <c r="Q480" s="793">
        <f>IFERROR(INDEX('Hoja de apoyo v2'!E$17:E$20,MATCH($A480,'Hoja de apoyo v2'!$A$17:$A$20,0)),"")</f>
        <v>6982.3202019701848</v>
      </c>
      <c r="R480" s="793">
        <f>IFERROR(INDEX('Hoja de apoyo v2'!F$17:F$20,MATCH($A480,'Hoja de apoyo v2'!$A$17:$A$20,0)),"")</f>
        <v>448.09513474485743</v>
      </c>
      <c r="S480" s="793">
        <f>IFERROR(INDEX('Hoja de apoyo v2'!G$17:G$20,MATCH($A480,'Hoja de apoyo v2'!$A$17:$A$20,0)),"")</f>
        <v>83.406300904207839</v>
      </c>
      <c r="T480" s="792">
        <f>IFERROR(INDEX('Hoja de apoyo v2'!H$17:H$20,MATCH($A480,'Hoja de apoyo v2'!$A$17:$A$20,0)),"")</f>
        <v>378.97014028925349</v>
      </c>
      <c r="U480" s="794">
        <f t="shared" si="256"/>
        <v>0.65947485106984582</v>
      </c>
      <c r="V480" s="795">
        <f t="shared" si="257"/>
        <v>0.84580580151591211</v>
      </c>
      <c r="W480" s="795">
        <f t="shared" si="258"/>
        <v>0.35641250547645453</v>
      </c>
      <c r="X480" s="843">
        <f t="shared" si="259"/>
        <v>0.87126472759573603</v>
      </c>
      <c r="Y480" s="843">
        <f t="shared" si="260"/>
        <v>0.93398985444401161</v>
      </c>
      <c r="Z480" s="843">
        <f t="shared" si="261"/>
        <v>0.30131108209276741</v>
      </c>
      <c r="AA480" s="843">
        <f t="shared" si="262"/>
        <v>1.063826574803016</v>
      </c>
      <c r="AB480" s="796">
        <f t="shared" si="263"/>
        <v>2</v>
      </c>
      <c r="AC480" s="797">
        <f t="shared" si="264"/>
        <v>3</v>
      </c>
      <c r="AD480" s="797">
        <f t="shared" si="265"/>
        <v>1</v>
      </c>
      <c r="AE480" s="842">
        <f t="shared" si="266"/>
        <v>3</v>
      </c>
      <c r="AF480" s="842">
        <f t="shared" si="267"/>
        <v>3</v>
      </c>
      <c r="AG480" s="842">
        <f t="shared" si="268"/>
        <v>1</v>
      </c>
      <c r="AH480" s="842">
        <f t="shared" si="269"/>
        <v>4</v>
      </c>
      <c r="AI480" s="826" cm="1">
        <f t="array" ref="AI480">SUMPRODUCT(--ISNUMBER($U480:$AA480),$AB$3:$AH$3)</f>
        <v>1</v>
      </c>
      <c r="AJ480" s="829">
        <f t="shared" si="270"/>
        <v>28.704615187414372</v>
      </c>
      <c r="AK480" s="827" t="str">
        <f t="shared" si="271"/>
        <v>Inmadura</v>
      </c>
      <c r="AL480" s="784" t="str">
        <f t="shared" si="272"/>
        <v>Alta</v>
      </c>
      <c r="AM480" s="799">
        <f>IF(ISNUMBER('Base de datos Rutas'!W478),'Base de datos Rutas'!W478,"")</f>
        <v>3116.1708958203221</v>
      </c>
      <c r="AN480" s="787">
        <f>IFERROR(SUMIFS('Base de datos Rutas'!$W$6:$W$794,'Base de datos Rutas'!$C$6:$C$794,$C480)/'Base de datos Rutas'!I478,"")</f>
        <v>3116.1708958203185</v>
      </c>
      <c r="AO480" s="800">
        <f>IFERROR('Base de datos Rutas'!X478*AN480/AM480,"")</f>
        <v>0.37418782761251823</v>
      </c>
      <c r="AP480" s="800">
        <f t="shared" si="273"/>
        <v>0.62581217238748177</v>
      </c>
      <c r="AQ480" s="789">
        <f>IFERROR(INDEX('Hoja de apoyo v2'!$J$17:$J$20,MATCH($A480,'Hoja de apoyo v2'!$A$17:$A$20,0)),"")</f>
        <v>0.64320274048480885</v>
      </c>
      <c r="AR480" s="789">
        <f t="shared" si="274"/>
        <v>-1.7390568097327086E-2</v>
      </c>
      <c r="AS480" s="784" t="str">
        <f t="shared" si="275"/>
        <v>No</v>
      </c>
      <c r="AT480" s="801">
        <f>IF(ISNUMBER('Base de datos Rutas'!CK478),'Base de datos Rutas'!CK478,"")</f>
        <v>284</v>
      </c>
      <c r="AU480" s="802">
        <f>IF(ISNUMBER('Base de datos Rutas'!CL478),'Base de datos Rutas'!CL478,"")</f>
        <v>328.91</v>
      </c>
      <c r="AV480" s="802">
        <f>IF(ISNUMBER('Base de datos Rutas'!CM478),'Base de datos Rutas'!CM478,"")</f>
        <v>44.910000000000025</v>
      </c>
      <c r="AW480" s="802">
        <f>IF(ISNUMBER('Base de datos Rutas'!CN478),'Base de datos Rutas'!CN478,"")</f>
        <v>6.91</v>
      </c>
      <c r="AX480" s="802">
        <f>IF(ISNUMBER('Base de datos Rutas'!CO478),'Base de datos Rutas'!CO478,"")</f>
        <v>9.4499999999999993</v>
      </c>
      <c r="AY480" s="802">
        <f>IF(ISNUMBER('Base de datos Rutas'!CP478),'Base de datos Rutas'!CP478,"")</f>
        <v>2.5399999999999991</v>
      </c>
      <c r="AZ480" s="802">
        <f>IF(ISNUMBER('Base de datos Rutas'!CQ478),'Base de datos Rutas'!CQ478,"")</f>
        <v>564.37</v>
      </c>
      <c r="BA480" s="802">
        <f>IF(ISNUMBER('Base de datos Rutas'!CR478),'Base de datos Rutas'!CR478,"")</f>
        <v>443.65</v>
      </c>
      <c r="BB480" s="803">
        <f>IF(ISNUMBER('Base de datos Rutas'!CS478),'Base de datos Rutas'!CS478,"")</f>
        <v>120.72000000000003</v>
      </c>
      <c r="BC480" s="804">
        <f t="shared" si="285"/>
        <v>0</v>
      </c>
      <c r="BD480" s="805" t="str">
        <f t="shared" si="286"/>
        <v>No saturada</v>
      </c>
      <c r="BE480" s="806">
        <f t="shared" si="287"/>
        <v>0.78609777273774295</v>
      </c>
      <c r="BF480" s="890">
        <f>IF(ISNUMBER('Base de datos Rutas'!CX478),'Base de datos Rutas'!CX478/100,"")</f>
        <v>0.95935746606334826</v>
      </c>
      <c r="BG480" s="891">
        <f>IF(ISNUMBER('Base de datos Rutas'!CZ478),'Base de datos Rutas'!CZ478/100,"")</f>
        <v>1</v>
      </c>
      <c r="BH480" s="892">
        <f>IF(ISNUMBER('Base de datos Rutas'!DA478),'Base de datos Rutas'!DA478,"")</f>
        <v>556.31771182092507</v>
      </c>
      <c r="BI480" s="893">
        <f>IF(ISNUMBER('Base de datos Rutas'!DC478),'Base de datos Rutas'!DC478,"")</f>
        <v>23.445269629797114</v>
      </c>
      <c r="BJ480" s="805" t="str">
        <f t="shared" si="288"/>
        <v>Ruta (completo)</v>
      </c>
      <c r="BK480" s="783">
        <f t="shared" si="276"/>
        <v>5</v>
      </c>
      <c r="BL480" s="797">
        <f t="shared" si="277"/>
        <v>4</v>
      </c>
      <c r="BM480" s="797">
        <f t="shared" si="278"/>
        <v>3</v>
      </c>
      <c r="BN480" s="797">
        <f t="shared" si="279"/>
        <v>2</v>
      </c>
      <c r="BO480" s="798" cm="1">
        <f t="array" ref="BO480">SUMPRODUCT(--ISNUMBER($BF480:$BI480),$BK$3:$BN$3)</f>
        <v>1</v>
      </c>
      <c r="BP480" s="831">
        <f t="shared" si="289"/>
        <v>62.5</v>
      </c>
      <c r="BQ480" s="834" t="str">
        <f t="shared" si="290"/>
        <v>Alto</v>
      </c>
      <c r="BR480" s="836">
        <f t="shared" si="280"/>
        <v>21.528461390560778</v>
      </c>
      <c r="BS480" s="836">
        <f t="shared" si="281"/>
        <v>62.5</v>
      </c>
      <c r="BT480" s="837" t="str">
        <f t="shared" si="282"/>
        <v>P3</v>
      </c>
      <c r="BU480" s="807" t="str">
        <f t="shared" si="291"/>
        <v>Con espacio</v>
      </c>
      <c r="BV480" s="807" t="str">
        <f t="shared" si="283"/>
        <v>Zona atractiva</v>
      </c>
      <c r="BW480" s="808" t="str">
        <f t="shared" si="284"/>
        <v>P3 - Desarrollar</v>
      </c>
    </row>
    <row r="481" spans="1:75">
      <c r="A481" s="780" t="str">
        <f>'Base de datos Rutas'!A479</f>
        <v>Occidente</v>
      </c>
      <c r="B481" s="781" t="str">
        <f>'Base de datos Rutas'!B479</f>
        <v>Zapopan</v>
      </c>
      <c r="C481" s="781" t="str">
        <f>'Base de datos Rutas'!C479</f>
        <v>Suc. Belenes</v>
      </c>
      <c r="D481" s="782">
        <f>IF(ISNUMBER('Base de datos Rutas'!D479),'Base de datos Rutas'!D479,"Sin código")</f>
        <v>820429</v>
      </c>
      <c r="E481" s="783" t="str">
        <f>'Base de datos Rutas'!F479</f>
        <v>Activa</v>
      </c>
      <c r="F481" s="784" t="str">
        <f>'Base de datos Rutas'!H479</f>
        <v>Sí</v>
      </c>
      <c r="G481" s="785">
        <f>IF(ISNUMBER('Base de datos Rutas'!BE479),'Base de datos Rutas'!BE479,"")</f>
        <v>71.555256064689999</v>
      </c>
      <c r="H481" s="786">
        <f>IF(ISNUMBER('Base de datos Rutas'!BH479),'Base de datos Rutas'!BH479,"")</f>
        <v>0.34934267525520801</v>
      </c>
      <c r="I481" s="788">
        <f>IFERROR(IF(OR(NOT(ISNUMBER('Base de datos Rutas'!O479)),N('Base de datos Rutas'!BK479)=0),"",'Base de datos Rutas'!O479/('Base de datos Rutas'!L479/'Base de datos Rutas'!BK479)),"")</f>
        <v>3279.6004618937627</v>
      </c>
      <c r="J481" s="788">
        <f>IFERROR(IF(OR(NOT(ISNUMBER('Base de datos Rutas'!N479)),N('Base de datos Rutas'!BK479)=0),"",'Base de datos Rutas'!N479/('Base de datos Rutas'!L479/'Base de datos Rutas'!BK479)),"")</f>
        <v>5557.7043879907596</v>
      </c>
      <c r="K481" s="788">
        <f>IFERROR(IF(OR(NOT(ISNUMBER('Base de datos Rutas'!J479)),N('Base de datos Rutas'!BK479)=0),"",'Base de datos Rutas'!J479/('Base de datos Rutas'!L479/'Base de datos Rutas'!BK479)),"")</f>
        <v>381.91601662817527</v>
      </c>
      <c r="L481" s="788">
        <f>IFERROR(IF(OR(NOT(ISNUMBER('Base de datos Rutas'!K479)),N('Base de datos Rutas'!BK479)=0),"",'Base de datos Rutas'!K479/('Base de datos Rutas'!L479/'Base de datos Rutas'!BK479)),"")</f>
        <v>20.01886731408775</v>
      </c>
      <c r="M481" s="787">
        <f>IF(ISNUMBER('Base de datos Rutas'!AX479),'Base de datos Rutas'!AX479,"")</f>
        <v>366.95012658227898</v>
      </c>
      <c r="N481" s="790">
        <f>IFERROR(INDEX('Hoja de apoyo v2'!B$17:B$20,MATCH($A481,'Hoja de apoyo v2'!$A$17:$A$20,0)),"")</f>
        <v>89.41621024641401</v>
      </c>
      <c r="O481" s="791">
        <f>IFERROR(INDEX('Hoja de apoyo v2'!C$17:C$20,MATCH($A481,'Hoja de apoyo v2'!$A$17:$A$20,0)),"")</f>
        <v>0.54706375874806301</v>
      </c>
      <c r="P481" s="793">
        <f>IFERROR(INDEX('Hoja de apoyo v2'!D$17:D$20,MATCH($A481,'Hoja de apoyo v2'!$A$17:$A$20,0)),"")</f>
        <v>11095.153935793827</v>
      </c>
      <c r="Q481" s="793">
        <f>IFERROR(INDEX('Hoja de apoyo v2'!E$17:E$20,MATCH($A481,'Hoja de apoyo v2'!$A$17:$A$20,0)),"")</f>
        <v>6982.3202019701848</v>
      </c>
      <c r="R481" s="793">
        <f>IFERROR(INDEX('Hoja de apoyo v2'!F$17:F$20,MATCH($A481,'Hoja de apoyo v2'!$A$17:$A$20,0)),"")</f>
        <v>448.09513474485743</v>
      </c>
      <c r="S481" s="793">
        <f>IFERROR(INDEX('Hoja de apoyo v2'!G$17:G$20,MATCH($A481,'Hoja de apoyo v2'!$A$17:$A$20,0)),"")</f>
        <v>83.406300904207839</v>
      </c>
      <c r="T481" s="792">
        <f>IFERROR(INDEX('Hoja de apoyo v2'!H$17:H$20,MATCH($A481,'Hoja de apoyo v2'!$A$17:$A$20,0)),"")</f>
        <v>378.97014028925349</v>
      </c>
      <c r="U481" s="794">
        <f t="shared" si="256"/>
        <v>0.800249259809797</v>
      </c>
      <c r="V481" s="795">
        <f t="shared" si="257"/>
        <v>0.63857762403173435</v>
      </c>
      <c r="W481" s="795">
        <f t="shared" si="258"/>
        <v>0.29558854981844979</v>
      </c>
      <c r="X481" s="843">
        <f t="shared" si="259"/>
        <v>0.79596813483611872</v>
      </c>
      <c r="Y481" s="843">
        <f t="shared" si="260"/>
        <v>0.852310116791685</v>
      </c>
      <c r="Z481" s="843">
        <f t="shared" si="261"/>
        <v>0.24001624693893839</v>
      </c>
      <c r="AA481" s="843">
        <f t="shared" si="262"/>
        <v>0.96828242537050524</v>
      </c>
      <c r="AB481" s="796">
        <f t="shared" si="263"/>
        <v>3</v>
      </c>
      <c r="AC481" s="797">
        <f t="shared" si="264"/>
        <v>2</v>
      </c>
      <c r="AD481" s="797">
        <f t="shared" si="265"/>
        <v>1</v>
      </c>
      <c r="AE481" s="842">
        <f t="shared" si="266"/>
        <v>3</v>
      </c>
      <c r="AF481" s="842">
        <f t="shared" si="267"/>
        <v>3</v>
      </c>
      <c r="AG481" s="842">
        <f t="shared" si="268"/>
        <v>1</v>
      </c>
      <c r="AH481" s="842">
        <f t="shared" si="269"/>
        <v>3</v>
      </c>
      <c r="AI481" s="826" cm="1">
        <f t="array" ref="AI481">SUMPRODUCT(--ISNUMBER($U481:$AA481),$AB$3:$AH$3)</f>
        <v>1</v>
      </c>
      <c r="AJ481" s="829">
        <f t="shared" si="270"/>
        <v>28.610617939334084</v>
      </c>
      <c r="AK481" s="827" t="str">
        <f t="shared" si="271"/>
        <v>Inmadura</v>
      </c>
      <c r="AL481" s="784" t="str">
        <f t="shared" si="272"/>
        <v>Alta</v>
      </c>
      <c r="AM481" s="799">
        <f>IF(ISNUMBER('Base de datos Rutas'!W479),'Base de datos Rutas'!W479,"")</f>
        <v>3116.1708958203221</v>
      </c>
      <c r="AN481" s="787">
        <f>IFERROR(SUMIFS('Base de datos Rutas'!$W$6:$W$794,'Base de datos Rutas'!$C$6:$C$794,$C481)/'Base de datos Rutas'!I479,"")</f>
        <v>3116.1708958203185</v>
      </c>
      <c r="AO481" s="800">
        <f>IFERROR('Base de datos Rutas'!X479*AN481/AM481,"")</f>
        <v>0.37418782761251823</v>
      </c>
      <c r="AP481" s="800">
        <f t="shared" si="273"/>
        <v>0.62581217238748177</v>
      </c>
      <c r="AQ481" s="789">
        <f>IFERROR(INDEX('Hoja de apoyo v2'!$J$17:$J$20,MATCH($A481,'Hoja de apoyo v2'!$A$17:$A$20,0)),"")</f>
        <v>0.64320274048480885</v>
      </c>
      <c r="AR481" s="789">
        <f t="shared" si="274"/>
        <v>-1.7390568097327086E-2</v>
      </c>
      <c r="AS481" s="784" t="str">
        <f t="shared" si="275"/>
        <v>No</v>
      </c>
      <c r="AT481" s="801">
        <f>IF(ISNUMBER('Base de datos Rutas'!CK479),'Base de datos Rutas'!CK479,"")</f>
        <v>330</v>
      </c>
      <c r="AU481" s="802">
        <f>IF(ISNUMBER('Base de datos Rutas'!CL479),'Base de datos Rutas'!CL479,"")</f>
        <v>388.65</v>
      </c>
      <c r="AV481" s="802">
        <f>IF(ISNUMBER('Base de datos Rutas'!CM479),'Base de datos Rutas'!CM479,"")</f>
        <v>58.649999999999977</v>
      </c>
      <c r="AW481" s="802">
        <f>IF(ISNUMBER('Base de datos Rutas'!CN479),'Base de datos Rutas'!CN479,"")</f>
        <v>7.73</v>
      </c>
      <c r="AX481" s="802">
        <f>IF(ISNUMBER('Base de datos Rutas'!CO479),'Base de datos Rutas'!CO479,"")</f>
        <v>9.4499999999999993</v>
      </c>
      <c r="AY481" s="802">
        <f>IF(ISNUMBER('Base de datos Rutas'!CP479),'Base de datos Rutas'!CP479,"")</f>
        <v>1.7199999999999989</v>
      </c>
      <c r="AZ481" s="802">
        <f>IF(ISNUMBER('Base de datos Rutas'!CQ479),'Base de datos Rutas'!CQ479,"")</f>
        <v>564.37</v>
      </c>
      <c r="BA481" s="802">
        <f>IF(ISNUMBER('Base de datos Rutas'!CR479),'Base de datos Rutas'!CR479,"")</f>
        <v>401.93</v>
      </c>
      <c r="BB481" s="803">
        <f>IF(ISNUMBER('Base de datos Rutas'!CS479),'Base de datos Rutas'!CS479,"")</f>
        <v>162.44</v>
      </c>
      <c r="BC481" s="804">
        <f t="shared" si="285"/>
        <v>0</v>
      </c>
      <c r="BD481" s="805" t="str">
        <f t="shared" si="286"/>
        <v>No saturada</v>
      </c>
      <c r="BE481" s="806">
        <f t="shared" si="287"/>
        <v>0.7121746372060882</v>
      </c>
      <c r="BF481" s="890">
        <f>IF(ISNUMBER('Base de datos Rutas'!CX479),'Base de datos Rutas'!CX479/100,"")</f>
        <v>0.84300902061855665</v>
      </c>
      <c r="BG481" s="891">
        <f>IF(ISNUMBER('Base de datos Rutas'!CZ479),'Base de datos Rutas'!CZ479/100,"")</f>
        <v>0.88079896907216493</v>
      </c>
      <c r="BH481" s="892">
        <f>IF(ISNUMBER('Base de datos Rutas'!DA479),'Base de datos Rutas'!DA479,"")</f>
        <v>1071.2166144103312</v>
      </c>
      <c r="BI481" s="893">
        <f>IF(ISNUMBER('Base de datos Rutas'!DC479),'Base de datos Rutas'!DC479,"")</f>
        <v>46.194716418837118</v>
      </c>
      <c r="BJ481" s="805" t="str">
        <f t="shared" si="288"/>
        <v>Ruta (completo)</v>
      </c>
      <c r="BK481" s="783">
        <f t="shared" si="276"/>
        <v>3</v>
      </c>
      <c r="BL481" s="797">
        <f t="shared" si="277"/>
        <v>3</v>
      </c>
      <c r="BM481" s="797">
        <f t="shared" si="278"/>
        <v>4</v>
      </c>
      <c r="BN481" s="797">
        <f t="shared" si="279"/>
        <v>4</v>
      </c>
      <c r="BO481" s="798" cm="1">
        <f t="array" ref="BO481">SUMPRODUCT(--ISNUMBER($BF481:$BI481),$BK$3:$BN$3)</f>
        <v>1</v>
      </c>
      <c r="BP481" s="831">
        <f t="shared" si="289"/>
        <v>62.5</v>
      </c>
      <c r="BQ481" s="834" t="str">
        <f t="shared" si="290"/>
        <v>Alto</v>
      </c>
      <c r="BR481" s="836">
        <f t="shared" si="280"/>
        <v>21.457963454500565</v>
      </c>
      <c r="BS481" s="836">
        <f t="shared" si="281"/>
        <v>62.5</v>
      </c>
      <c r="BT481" s="837" t="str">
        <f t="shared" si="282"/>
        <v>P3</v>
      </c>
      <c r="BU481" s="807" t="str">
        <f t="shared" si="291"/>
        <v>Con espacio</v>
      </c>
      <c r="BV481" s="807" t="str">
        <f t="shared" si="283"/>
        <v>Zona atractiva</v>
      </c>
      <c r="BW481" s="808" t="str">
        <f t="shared" si="284"/>
        <v>P3 - Desarrollar</v>
      </c>
    </row>
    <row r="482" spans="1:75">
      <c r="A482" s="780" t="str">
        <f>'Base de datos Rutas'!A480</f>
        <v>Occidente</v>
      </c>
      <c r="B482" s="781" t="str">
        <f>'Base de datos Rutas'!B480</f>
        <v>Zapopan</v>
      </c>
      <c r="C482" s="781" t="str">
        <f>'Base de datos Rutas'!C480</f>
        <v>Suc. Belenes</v>
      </c>
      <c r="D482" s="782">
        <f>IF(ISNUMBER('Base de datos Rutas'!D480),'Base de datos Rutas'!D480,"Sin código")</f>
        <v>820430</v>
      </c>
      <c r="E482" s="783" t="str">
        <f>'Base de datos Rutas'!F480</f>
        <v>Activa</v>
      </c>
      <c r="F482" s="784" t="str">
        <f>'Base de datos Rutas'!H480</f>
        <v>Sí</v>
      </c>
      <c r="G482" s="785">
        <f>IF(ISNUMBER('Base de datos Rutas'!BE480),'Base de datos Rutas'!BE480,"")</f>
        <v>87.890374331550802</v>
      </c>
      <c r="H482" s="786">
        <f>IF(ISNUMBER('Base de datos Rutas'!BH480),'Base de datos Rutas'!BH480,"")</f>
        <v>0.42703294697453698</v>
      </c>
      <c r="I482" s="788">
        <f>IFERROR(IF(OR(NOT(ISNUMBER('Base de datos Rutas'!O480)),N('Base de datos Rutas'!BK480)=0),"",'Base de datos Rutas'!O480/('Base de datos Rutas'!L480/'Base de datos Rutas'!BK480)),"")</f>
        <v>3890.405034324941</v>
      </c>
      <c r="J482" s="788">
        <f>IFERROR(IF(OR(NOT(ISNUMBER('Base de datos Rutas'!N480)),N('Base de datos Rutas'!BK480)=0),"",'Base de datos Rutas'!N480/('Base de datos Rutas'!L480/'Base de datos Rutas'!BK480)),"")</f>
        <v>5986.8649885583491</v>
      </c>
      <c r="K482" s="788">
        <f>IFERROR(IF(OR(NOT(ISNUMBER('Base de datos Rutas'!J480)),N('Base de datos Rutas'!BK480)=0),"",'Base de datos Rutas'!J480/('Base de datos Rutas'!L480/'Base de datos Rutas'!BK480)),"")</f>
        <v>414.38577574370686</v>
      </c>
      <c r="L482" s="788">
        <f>IFERROR(IF(OR(NOT(ISNUMBER('Base de datos Rutas'!K480)),N('Base de datos Rutas'!BK480)=0),"",'Base de datos Rutas'!K480/('Base de datos Rutas'!L480/'Base de datos Rutas'!BK480)),"")</f>
        <v>23.467442112128136</v>
      </c>
      <c r="M482" s="787">
        <f>IF(ISNUMBER('Base de datos Rutas'!AX480),'Base de datos Rutas'!AX480,"")</f>
        <v>274.05512825396801</v>
      </c>
      <c r="N482" s="790">
        <f>IFERROR(INDEX('Hoja de apoyo v2'!B$17:B$20,MATCH($A482,'Hoja de apoyo v2'!$A$17:$A$20,0)),"")</f>
        <v>89.41621024641401</v>
      </c>
      <c r="O482" s="791">
        <f>IFERROR(INDEX('Hoja de apoyo v2'!C$17:C$20,MATCH($A482,'Hoja de apoyo v2'!$A$17:$A$20,0)),"")</f>
        <v>0.54706375874806301</v>
      </c>
      <c r="P482" s="793">
        <f>IFERROR(INDEX('Hoja de apoyo v2'!D$17:D$20,MATCH($A482,'Hoja de apoyo v2'!$A$17:$A$20,0)),"")</f>
        <v>11095.153935793827</v>
      </c>
      <c r="Q482" s="793">
        <f>IFERROR(INDEX('Hoja de apoyo v2'!E$17:E$20,MATCH($A482,'Hoja de apoyo v2'!$A$17:$A$20,0)),"")</f>
        <v>6982.3202019701848</v>
      </c>
      <c r="R482" s="793">
        <f>IFERROR(INDEX('Hoja de apoyo v2'!F$17:F$20,MATCH($A482,'Hoja de apoyo v2'!$A$17:$A$20,0)),"")</f>
        <v>448.09513474485743</v>
      </c>
      <c r="S482" s="793">
        <f>IFERROR(INDEX('Hoja de apoyo v2'!G$17:G$20,MATCH($A482,'Hoja de apoyo v2'!$A$17:$A$20,0)),"")</f>
        <v>83.406300904207839</v>
      </c>
      <c r="T482" s="792">
        <f>IFERROR(INDEX('Hoja de apoyo v2'!H$17:H$20,MATCH($A482,'Hoja de apoyo v2'!$A$17:$A$20,0)),"")</f>
        <v>378.97014028925349</v>
      </c>
      <c r="U482" s="794">
        <f t="shared" si="256"/>
        <v>0.98293557834023282</v>
      </c>
      <c r="V482" s="795">
        <f t="shared" si="257"/>
        <v>0.78059081806440167</v>
      </c>
      <c r="W482" s="795">
        <f t="shared" si="258"/>
        <v>0.35064002327846866</v>
      </c>
      <c r="X482" s="843">
        <f t="shared" si="259"/>
        <v>0.8574320305260491</v>
      </c>
      <c r="Y482" s="843">
        <f t="shared" si="260"/>
        <v>0.9247718701066806</v>
      </c>
      <c r="Z482" s="843">
        <f t="shared" si="261"/>
        <v>0.28136294090155733</v>
      </c>
      <c r="AA482" s="843">
        <f t="shared" si="262"/>
        <v>0.72315757659638347</v>
      </c>
      <c r="AB482" s="796">
        <f t="shared" si="263"/>
        <v>3</v>
      </c>
      <c r="AC482" s="797">
        <f t="shared" si="264"/>
        <v>3</v>
      </c>
      <c r="AD482" s="797">
        <f t="shared" si="265"/>
        <v>1</v>
      </c>
      <c r="AE482" s="842">
        <f t="shared" si="266"/>
        <v>3</v>
      </c>
      <c r="AF482" s="842">
        <f t="shared" si="267"/>
        <v>3</v>
      </c>
      <c r="AG482" s="842">
        <f t="shared" si="268"/>
        <v>1</v>
      </c>
      <c r="AH482" s="842">
        <f t="shared" si="269"/>
        <v>2</v>
      </c>
      <c r="AI482" s="826" cm="1">
        <f t="array" ref="AI482">SUMPRODUCT(--ISNUMBER($U482:$AA482),$AB$3:$AH$3)</f>
        <v>1</v>
      </c>
      <c r="AJ482" s="829">
        <f t="shared" si="270"/>
        <v>28.748795684897999</v>
      </c>
      <c r="AK482" s="827" t="str">
        <f t="shared" si="271"/>
        <v>Inmadura</v>
      </c>
      <c r="AL482" s="784" t="str">
        <f t="shared" si="272"/>
        <v>Alta</v>
      </c>
      <c r="AM482" s="799">
        <f>IF(ISNUMBER('Base de datos Rutas'!W480),'Base de datos Rutas'!W480,"")</f>
        <v>3116.1708958203221</v>
      </c>
      <c r="AN482" s="787">
        <f>IFERROR(SUMIFS('Base de datos Rutas'!$W$6:$W$794,'Base de datos Rutas'!$C$6:$C$794,$C482)/'Base de datos Rutas'!I480,"")</f>
        <v>3116.1708958203185</v>
      </c>
      <c r="AO482" s="800">
        <f>IFERROR('Base de datos Rutas'!X480*AN482/AM482,"")</f>
        <v>0.37418782761251823</v>
      </c>
      <c r="AP482" s="800">
        <f t="shared" si="273"/>
        <v>0.62581217238748177</v>
      </c>
      <c r="AQ482" s="789">
        <f>IFERROR(INDEX('Hoja de apoyo v2'!$J$17:$J$20,MATCH($A482,'Hoja de apoyo v2'!$A$17:$A$20,0)),"")</f>
        <v>0.64320274048480885</v>
      </c>
      <c r="AR482" s="789">
        <f t="shared" si="274"/>
        <v>-1.7390568097327086E-2</v>
      </c>
      <c r="AS482" s="784" t="str">
        <f t="shared" si="275"/>
        <v>No</v>
      </c>
      <c r="AT482" s="801">
        <f>IF(ISNUMBER('Base de datos Rutas'!CK480),'Base de datos Rutas'!CK480,"")</f>
        <v>390</v>
      </c>
      <c r="AU482" s="802">
        <f>IF(ISNUMBER('Base de datos Rutas'!CL480),'Base de datos Rutas'!CL480,"")</f>
        <v>422.59</v>
      </c>
      <c r="AV482" s="802">
        <f>IF(ISNUMBER('Base de datos Rutas'!CM480),'Base de datos Rutas'!CM480,"")</f>
        <v>32.589999999999975</v>
      </c>
      <c r="AW482" s="802">
        <f>IF(ISNUMBER('Base de datos Rutas'!CN480),'Base de datos Rutas'!CN480,"")</f>
        <v>9.24</v>
      </c>
      <c r="AX482" s="802">
        <f>IF(ISNUMBER('Base de datos Rutas'!CO480),'Base de datos Rutas'!CO480,"")</f>
        <v>9.4499999999999993</v>
      </c>
      <c r="AY482" s="802">
        <f>IF(ISNUMBER('Base de datos Rutas'!CP480),'Base de datos Rutas'!CP480,"")</f>
        <v>0.20999999999999908</v>
      </c>
      <c r="AZ482" s="802">
        <f>IF(ISNUMBER('Base de datos Rutas'!CQ480),'Base de datos Rutas'!CQ480,"")</f>
        <v>846.56</v>
      </c>
      <c r="BA482" s="802">
        <f>IF(ISNUMBER('Base de datos Rutas'!CR480),'Base de datos Rutas'!CR480,"")</f>
        <v>437.85</v>
      </c>
      <c r="BB482" s="803">
        <f>IF(ISNUMBER('Base de datos Rutas'!CS480),'Base de datos Rutas'!CS480,"")</f>
        <v>408.70999999999992</v>
      </c>
      <c r="BC482" s="804">
        <f t="shared" si="285"/>
        <v>0</v>
      </c>
      <c r="BD482" s="805" t="str">
        <f t="shared" si="286"/>
        <v>No saturada</v>
      </c>
      <c r="BE482" s="806">
        <f t="shared" si="287"/>
        <v>0.51721082971082977</v>
      </c>
      <c r="BF482" s="890">
        <f>IF(ISNUMBER('Base de datos Rutas'!CX480),'Base de datos Rutas'!CX480/100,"")</f>
        <v>0.97920229738353559</v>
      </c>
      <c r="BG482" s="891">
        <f>IF(ISNUMBER('Base de datos Rutas'!CZ480),'Base de datos Rutas'!CZ480/100,"")</f>
        <v>1</v>
      </c>
      <c r="BH482" s="892">
        <f>IF(ISNUMBER('Base de datos Rutas'!DA480),'Base de datos Rutas'!DA480,"")</f>
        <v>1313.8662657305933</v>
      </c>
      <c r="BI482" s="893">
        <f>IF(ISNUMBER('Base de datos Rutas'!DC480),'Base de datos Rutas'!DC480,"")</f>
        <v>54.562600416356688</v>
      </c>
      <c r="BJ482" s="805" t="str">
        <f t="shared" si="288"/>
        <v>Ruta (completo)</v>
      </c>
      <c r="BK482" s="783">
        <f t="shared" si="276"/>
        <v>5</v>
      </c>
      <c r="BL482" s="797">
        <f t="shared" si="277"/>
        <v>4</v>
      </c>
      <c r="BM482" s="797">
        <f t="shared" si="278"/>
        <v>5</v>
      </c>
      <c r="BN482" s="797">
        <f t="shared" si="279"/>
        <v>5</v>
      </c>
      <c r="BO482" s="798" cm="1">
        <f t="array" ref="BO482">SUMPRODUCT(--ISNUMBER($BF482:$BI482),$BK$3:$BN$3)</f>
        <v>1</v>
      </c>
      <c r="BP482" s="831">
        <f t="shared" si="289"/>
        <v>93.75</v>
      </c>
      <c r="BQ482" s="834" t="str">
        <f t="shared" si="290"/>
        <v>Alto</v>
      </c>
      <c r="BR482" s="836">
        <f t="shared" si="280"/>
        <v>21.561596763673499</v>
      </c>
      <c r="BS482" s="836">
        <f t="shared" si="281"/>
        <v>93.75</v>
      </c>
      <c r="BT482" s="837" t="str">
        <f t="shared" si="282"/>
        <v>P3</v>
      </c>
      <c r="BU482" s="807" t="str">
        <f t="shared" si="291"/>
        <v>Con espacio</v>
      </c>
      <c r="BV482" s="807" t="str">
        <f t="shared" si="283"/>
        <v>Zona atractiva</v>
      </c>
      <c r="BW482" s="808" t="str">
        <f t="shared" si="284"/>
        <v>P3 - Desarrollar</v>
      </c>
    </row>
    <row r="483" spans="1:75">
      <c r="A483" s="780" t="str">
        <f>'Base de datos Rutas'!A481</f>
        <v>Occidente</v>
      </c>
      <c r="B483" s="781" t="str">
        <f>'Base de datos Rutas'!B481</f>
        <v>Zapopan</v>
      </c>
      <c r="C483" s="781" t="str">
        <f>'Base de datos Rutas'!C481</f>
        <v>Suc. Belenes</v>
      </c>
      <c r="D483" s="782">
        <f>IF(ISNUMBER('Base de datos Rutas'!D481),'Base de datos Rutas'!D481,"Sin código")</f>
        <v>820431</v>
      </c>
      <c r="E483" s="783" t="str">
        <f>'Base de datos Rutas'!F481</f>
        <v>Activa</v>
      </c>
      <c r="F483" s="784" t="str">
        <f>'Base de datos Rutas'!H481</f>
        <v>Sí</v>
      </c>
      <c r="G483" s="785">
        <f>IF(ISNUMBER('Base de datos Rutas'!BE481),'Base de datos Rutas'!BE481,"")</f>
        <v>80.785907859078605</v>
      </c>
      <c r="H483" s="786">
        <f>IF(ISNUMBER('Base de datos Rutas'!BH481),'Base de datos Rutas'!BH481,"")</f>
        <v>0.39996645420999699</v>
      </c>
      <c r="I483" s="788">
        <f>IFERROR(IF(OR(NOT(ISNUMBER('Base de datos Rutas'!O481)),N('Base de datos Rutas'!BK481)=0),"",'Base de datos Rutas'!O481/('Base de datos Rutas'!L481/'Base de datos Rutas'!BK481)),"")</f>
        <v>3106.8078703703695</v>
      </c>
      <c r="J483" s="788">
        <f>IFERROR(IF(OR(NOT(ISNUMBER('Base de datos Rutas'!N481)),N('Base de datos Rutas'!BK481)=0),"",'Base de datos Rutas'!N481/('Base de datos Rutas'!L481/'Base de datos Rutas'!BK481)),"")</f>
        <v>5823.1550925925912</v>
      </c>
      <c r="K483" s="788">
        <f>IFERROR(IF(OR(NOT(ISNUMBER('Base de datos Rutas'!J481)),N('Base de datos Rutas'!BK481)=0),"",'Base de datos Rutas'!J481/('Base de datos Rutas'!L481/'Base de datos Rutas'!BK481)),"")</f>
        <v>404.21986111111102</v>
      </c>
      <c r="L483" s="788">
        <f>IFERROR(IF(OR(NOT(ISNUMBER('Base de datos Rutas'!K481)),N('Base de datos Rutas'!BK481)=0),"",'Base de datos Rutas'!K481/('Base de datos Rutas'!L481/'Base de datos Rutas'!BK481)),"")</f>
        <v>19.665359224537031</v>
      </c>
      <c r="M483" s="787">
        <f>IF(ISNUMBER('Base de datos Rutas'!AX481),'Base de datos Rutas'!AX481,"")</f>
        <v>279.02067481556497</v>
      </c>
      <c r="N483" s="790">
        <f>IFERROR(INDEX('Hoja de apoyo v2'!B$17:B$20,MATCH($A483,'Hoja de apoyo v2'!$A$17:$A$20,0)),"")</f>
        <v>89.41621024641401</v>
      </c>
      <c r="O483" s="791">
        <f>IFERROR(INDEX('Hoja de apoyo v2'!C$17:C$20,MATCH($A483,'Hoja de apoyo v2'!$A$17:$A$20,0)),"")</f>
        <v>0.54706375874806301</v>
      </c>
      <c r="P483" s="793">
        <f>IFERROR(INDEX('Hoja de apoyo v2'!D$17:D$20,MATCH($A483,'Hoja de apoyo v2'!$A$17:$A$20,0)),"")</f>
        <v>11095.153935793827</v>
      </c>
      <c r="Q483" s="793">
        <f>IFERROR(INDEX('Hoja de apoyo v2'!E$17:E$20,MATCH($A483,'Hoja de apoyo v2'!$A$17:$A$20,0)),"")</f>
        <v>6982.3202019701848</v>
      </c>
      <c r="R483" s="793">
        <f>IFERROR(INDEX('Hoja de apoyo v2'!F$17:F$20,MATCH($A483,'Hoja de apoyo v2'!$A$17:$A$20,0)),"")</f>
        <v>448.09513474485743</v>
      </c>
      <c r="S483" s="793">
        <f>IFERROR(INDEX('Hoja de apoyo v2'!G$17:G$20,MATCH($A483,'Hoja de apoyo v2'!$A$17:$A$20,0)),"")</f>
        <v>83.406300904207839</v>
      </c>
      <c r="T483" s="792">
        <f>IFERROR(INDEX('Hoja de apoyo v2'!H$17:H$20,MATCH($A483,'Hoja de apoyo v2'!$A$17:$A$20,0)),"")</f>
        <v>378.97014028925349</v>
      </c>
      <c r="U483" s="794">
        <f t="shared" si="256"/>
        <v>0.90348168007174612</v>
      </c>
      <c r="V483" s="795">
        <f t="shared" si="257"/>
        <v>0.731114879781667</v>
      </c>
      <c r="W483" s="795">
        <f t="shared" si="258"/>
        <v>0.28001485047878122</v>
      </c>
      <c r="X483" s="843">
        <f t="shared" si="259"/>
        <v>0.83398568443616861</v>
      </c>
      <c r="Y483" s="843">
        <f t="shared" si="260"/>
        <v>0.90208491404681568</v>
      </c>
      <c r="Z483" s="843">
        <f t="shared" si="261"/>
        <v>0.23577786104101059</v>
      </c>
      <c r="AA483" s="843">
        <f t="shared" si="262"/>
        <v>0.73626031486965993</v>
      </c>
      <c r="AB483" s="796">
        <f t="shared" si="263"/>
        <v>3</v>
      </c>
      <c r="AC483" s="797">
        <f t="shared" si="264"/>
        <v>2</v>
      </c>
      <c r="AD483" s="797">
        <f t="shared" si="265"/>
        <v>1</v>
      </c>
      <c r="AE483" s="842">
        <f t="shared" si="266"/>
        <v>3</v>
      </c>
      <c r="AF483" s="842">
        <f t="shared" si="267"/>
        <v>3</v>
      </c>
      <c r="AG483" s="842">
        <f t="shared" si="268"/>
        <v>1</v>
      </c>
      <c r="AH483" s="842">
        <f t="shared" si="269"/>
        <v>2</v>
      </c>
      <c r="AI483" s="826" cm="1">
        <f t="array" ref="AI483">SUMPRODUCT(--ISNUMBER($U483:$AA483),$AB$3:$AH$3)</f>
        <v>1</v>
      </c>
      <c r="AJ483" s="829">
        <f t="shared" si="270"/>
        <v>26.365890099007515</v>
      </c>
      <c r="AK483" s="827" t="str">
        <f t="shared" si="271"/>
        <v>Inmadura</v>
      </c>
      <c r="AL483" s="784" t="str">
        <f t="shared" si="272"/>
        <v>Alta</v>
      </c>
      <c r="AM483" s="799">
        <f>IF(ISNUMBER('Base de datos Rutas'!W481),'Base de datos Rutas'!W481,"")</f>
        <v>3116.1708958203221</v>
      </c>
      <c r="AN483" s="787">
        <f>IFERROR(SUMIFS('Base de datos Rutas'!$W$6:$W$794,'Base de datos Rutas'!$C$6:$C$794,$C483)/'Base de datos Rutas'!I481,"")</f>
        <v>3116.1708958203185</v>
      </c>
      <c r="AO483" s="800">
        <f>IFERROR('Base de datos Rutas'!X481*AN483/AM483,"")</f>
        <v>0.37418782761251823</v>
      </c>
      <c r="AP483" s="800">
        <f t="shared" si="273"/>
        <v>0.62581217238748177</v>
      </c>
      <c r="AQ483" s="789">
        <f>IFERROR(INDEX('Hoja de apoyo v2'!$J$17:$J$20,MATCH($A483,'Hoja de apoyo v2'!$A$17:$A$20,0)),"")</f>
        <v>0.64320274048480885</v>
      </c>
      <c r="AR483" s="789">
        <f t="shared" si="274"/>
        <v>-1.7390568097327086E-2</v>
      </c>
      <c r="AS483" s="784" t="str">
        <f t="shared" si="275"/>
        <v>No</v>
      </c>
      <c r="AT483" s="801">
        <f>IF(ISNUMBER('Base de datos Rutas'!CK481),'Base de datos Rutas'!CK481,"")</f>
        <v>300</v>
      </c>
      <c r="AU483" s="802">
        <f>IF(ISNUMBER('Base de datos Rutas'!CL481),'Base de datos Rutas'!CL481,"")</f>
        <v>377.78</v>
      </c>
      <c r="AV483" s="802">
        <f>IF(ISNUMBER('Base de datos Rutas'!CM481),'Base de datos Rutas'!CM481,"")</f>
        <v>77.779999999999973</v>
      </c>
      <c r="AW483" s="802">
        <f>IF(ISNUMBER('Base de datos Rutas'!CN481),'Base de datos Rutas'!CN481,"")</f>
        <v>7.01</v>
      </c>
      <c r="AX483" s="802">
        <f>IF(ISNUMBER('Base de datos Rutas'!CO481),'Base de datos Rutas'!CO481,"")</f>
        <v>9.4499999999999993</v>
      </c>
      <c r="AY483" s="802">
        <f>IF(ISNUMBER('Base de datos Rutas'!CP481),'Base de datos Rutas'!CP481,"")</f>
        <v>2.4399999999999995</v>
      </c>
      <c r="AZ483" s="802">
        <f>IF(ISNUMBER('Base de datos Rutas'!CQ481),'Base de datos Rutas'!CQ481,"")</f>
        <v>564.37</v>
      </c>
      <c r="BA483" s="802">
        <f>IF(ISNUMBER('Base de datos Rutas'!CR481),'Base de datos Rutas'!CR481,"")</f>
        <v>423.89</v>
      </c>
      <c r="BB483" s="803">
        <f>IF(ISNUMBER('Base de datos Rutas'!CS481),'Base de datos Rutas'!CS481,"")</f>
        <v>140.48000000000002</v>
      </c>
      <c r="BC483" s="804">
        <f t="shared" si="285"/>
        <v>0</v>
      </c>
      <c r="BD483" s="805" t="str">
        <f t="shared" si="286"/>
        <v>No saturada</v>
      </c>
      <c r="BE483" s="806">
        <f t="shared" si="287"/>
        <v>0.75108528093272142</v>
      </c>
      <c r="BF483" s="890">
        <f>IF(ISNUMBER('Base de datos Rutas'!CX481),'Base de datos Rutas'!CX481/100,"")</f>
        <v>0.92504273504273504</v>
      </c>
      <c r="BG483" s="891">
        <f>IF(ISNUMBER('Base de datos Rutas'!CZ481),'Base de datos Rutas'!CZ481/100,"")</f>
        <v>0.97252747252747251</v>
      </c>
      <c r="BH483" s="892">
        <f>IF(ISNUMBER('Base de datos Rutas'!DA481),'Base de datos Rutas'!DA481,"")</f>
        <v>760.20228700649261</v>
      </c>
      <c r="BI483" s="893">
        <f>IF(ISNUMBER('Base de datos Rutas'!DC481),'Base de datos Rutas'!DC481,"")</f>
        <v>34.311100490738909</v>
      </c>
      <c r="BJ483" s="805" t="str">
        <f t="shared" si="288"/>
        <v>Ruta (completo)</v>
      </c>
      <c r="BK483" s="783">
        <f t="shared" si="276"/>
        <v>4</v>
      </c>
      <c r="BL483" s="797">
        <f t="shared" si="277"/>
        <v>3</v>
      </c>
      <c r="BM483" s="797">
        <f t="shared" si="278"/>
        <v>3</v>
      </c>
      <c r="BN483" s="797">
        <f t="shared" si="279"/>
        <v>3</v>
      </c>
      <c r="BO483" s="798" cm="1">
        <f t="array" ref="BO483">SUMPRODUCT(--ISNUMBER($BF483:$BI483),$BK$3:$BN$3)</f>
        <v>1</v>
      </c>
      <c r="BP483" s="831">
        <f t="shared" si="289"/>
        <v>56.25</v>
      </c>
      <c r="BQ483" s="834" t="str">
        <f t="shared" si="290"/>
        <v>Alto</v>
      </c>
      <c r="BR483" s="836">
        <f t="shared" si="280"/>
        <v>19.774417574255637</v>
      </c>
      <c r="BS483" s="836">
        <f t="shared" si="281"/>
        <v>56.25</v>
      </c>
      <c r="BT483" s="837" t="str">
        <f t="shared" si="282"/>
        <v>P3</v>
      </c>
      <c r="BU483" s="807" t="str">
        <f t="shared" si="291"/>
        <v>Con espacio</v>
      </c>
      <c r="BV483" s="807" t="str">
        <f t="shared" si="283"/>
        <v>Zona atractiva</v>
      </c>
      <c r="BW483" s="808" t="str">
        <f t="shared" si="284"/>
        <v>P3 - Desarrollar</v>
      </c>
    </row>
    <row r="484" spans="1:75">
      <c r="A484" s="780" t="str">
        <f>'Base de datos Rutas'!A482</f>
        <v>Occidente</v>
      </c>
      <c r="B484" s="781" t="str">
        <f>'Base de datos Rutas'!B482</f>
        <v>Zapopan</v>
      </c>
      <c r="C484" s="781" t="str">
        <f>'Base de datos Rutas'!C482</f>
        <v>Suc. Belenes</v>
      </c>
      <c r="D484" s="782">
        <f>IF(ISNUMBER('Base de datos Rutas'!D482),'Base de datos Rutas'!D482,"Sin código")</f>
        <v>820432</v>
      </c>
      <c r="E484" s="783" t="str">
        <f>'Base de datos Rutas'!F482</f>
        <v>Activa</v>
      </c>
      <c r="F484" s="784" t="str">
        <f>'Base de datos Rutas'!H482</f>
        <v>Sí</v>
      </c>
      <c r="G484" s="785">
        <f>IF(ISNUMBER('Base de datos Rutas'!BE482),'Base de datos Rutas'!BE482,"")</f>
        <v>43.399463806970502</v>
      </c>
      <c r="H484" s="786">
        <f>IF(ISNUMBER('Base de datos Rutas'!BH482),'Base de datos Rutas'!BH482,"")</f>
        <v>0.54898690387941695</v>
      </c>
      <c r="I484" s="788">
        <f>IFERROR(IF(OR(NOT(ISNUMBER('Base de datos Rutas'!O482)),N('Base de datos Rutas'!BK482)=0),"",'Base de datos Rutas'!O482/('Base de datos Rutas'!L482/'Base de datos Rutas'!BK482)),"")</f>
        <v>6742.7862068965478</v>
      </c>
      <c r="J484" s="788">
        <f>IFERROR(IF(OR(NOT(ISNUMBER('Base de datos Rutas'!N482)),N('Base de datos Rutas'!BK482)=0),"",'Base de datos Rutas'!N482/('Base de datos Rutas'!L482/'Base de datos Rutas'!BK482)),"")</f>
        <v>7110.3632183908012</v>
      </c>
      <c r="K484" s="788">
        <f>IFERROR(IF(OR(NOT(ISNUMBER('Base de datos Rutas'!J482)),N('Base de datos Rutas'!BK482)=0),"",'Base de datos Rutas'!J482/('Base de datos Rutas'!L482/'Base de datos Rutas'!BK482)),"")</f>
        <v>490.77153839080432</v>
      </c>
      <c r="L484" s="788">
        <f>IFERROR(IF(OR(NOT(ISNUMBER('Base de datos Rutas'!K482)),N('Base de datos Rutas'!BK482)=0),"",'Base de datos Rutas'!K482/('Base de datos Rutas'!L482/'Base de datos Rutas'!BK482)),"")</f>
        <v>38.713956404597681</v>
      </c>
      <c r="M484" s="787">
        <f>IF(ISNUMBER('Base de datos Rutas'!AX482),'Base de datos Rutas'!AX482,"")</f>
        <v>599.73366540605105</v>
      </c>
      <c r="N484" s="790">
        <f>IFERROR(INDEX('Hoja de apoyo v2'!B$17:B$20,MATCH($A484,'Hoja de apoyo v2'!$A$17:$A$20,0)),"")</f>
        <v>89.41621024641401</v>
      </c>
      <c r="O484" s="791">
        <f>IFERROR(INDEX('Hoja de apoyo v2'!C$17:C$20,MATCH($A484,'Hoja de apoyo v2'!$A$17:$A$20,0)),"")</f>
        <v>0.54706375874806301</v>
      </c>
      <c r="P484" s="793">
        <f>IFERROR(INDEX('Hoja de apoyo v2'!D$17:D$20,MATCH($A484,'Hoja de apoyo v2'!$A$17:$A$20,0)),"")</f>
        <v>11095.153935793827</v>
      </c>
      <c r="Q484" s="793">
        <f>IFERROR(INDEX('Hoja de apoyo v2'!E$17:E$20,MATCH($A484,'Hoja de apoyo v2'!$A$17:$A$20,0)),"")</f>
        <v>6982.3202019701848</v>
      </c>
      <c r="R484" s="793">
        <f>IFERROR(INDEX('Hoja de apoyo v2'!F$17:F$20,MATCH($A484,'Hoja de apoyo v2'!$A$17:$A$20,0)),"")</f>
        <v>448.09513474485743</v>
      </c>
      <c r="S484" s="793">
        <f>IFERROR(INDEX('Hoja de apoyo v2'!G$17:G$20,MATCH($A484,'Hoja de apoyo v2'!$A$17:$A$20,0)),"")</f>
        <v>83.406300904207839</v>
      </c>
      <c r="T484" s="792">
        <f>IFERROR(INDEX('Hoja de apoyo v2'!H$17:H$20,MATCH($A484,'Hoja de apoyo v2'!$A$17:$A$20,0)),"")</f>
        <v>378.97014028925349</v>
      </c>
      <c r="U484" s="794">
        <f t="shared" si="256"/>
        <v>0.48536460768545059</v>
      </c>
      <c r="V484" s="795">
        <f t="shared" si="257"/>
        <v>1.0035153948705267</v>
      </c>
      <c r="W484" s="795">
        <f t="shared" si="258"/>
        <v>0.6077235382146251</v>
      </c>
      <c r="X484" s="843">
        <f t="shared" si="259"/>
        <v>1.0183381759525274</v>
      </c>
      <c r="Y484" s="843">
        <f t="shared" si="260"/>
        <v>1.0952396050232649</v>
      </c>
      <c r="Z484" s="843">
        <f t="shared" si="261"/>
        <v>0.46416105240131283</v>
      </c>
      <c r="AA484" s="843">
        <f t="shared" si="262"/>
        <v>1.5825354075344753</v>
      </c>
      <c r="AB484" s="796">
        <f t="shared" si="263"/>
        <v>1</v>
      </c>
      <c r="AC484" s="797">
        <f t="shared" si="264"/>
        <v>4</v>
      </c>
      <c r="AD484" s="797">
        <f t="shared" si="265"/>
        <v>2</v>
      </c>
      <c r="AE484" s="842">
        <f t="shared" si="266"/>
        <v>4</v>
      </c>
      <c r="AF484" s="842">
        <f t="shared" si="267"/>
        <v>4</v>
      </c>
      <c r="AG484" s="842">
        <f t="shared" si="268"/>
        <v>1</v>
      </c>
      <c r="AH484" s="842">
        <f t="shared" si="269"/>
        <v>5</v>
      </c>
      <c r="AI484" s="826" cm="1">
        <f t="array" ref="AI484">SUMPRODUCT(--ISNUMBER($U484:$AA484),$AB$3:$AH$3)</f>
        <v>1</v>
      </c>
      <c r="AJ484" s="829">
        <f t="shared" si="270"/>
        <v>40.248276063081164</v>
      </c>
      <c r="AK484" s="827" t="str">
        <f t="shared" si="271"/>
        <v>Inmadura</v>
      </c>
      <c r="AL484" s="784" t="str">
        <f t="shared" si="272"/>
        <v>Alta</v>
      </c>
      <c r="AM484" s="799">
        <f>IF(ISNUMBER('Base de datos Rutas'!W482),'Base de datos Rutas'!W482,"")</f>
        <v>3116.1708958203221</v>
      </c>
      <c r="AN484" s="787">
        <f>IFERROR(SUMIFS('Base de datos Rutas'!$W$6:$W$794,'Base de datos Rutas'!$C$6:$C$794,$C484)/'Base de datos Rutas'!I482,"")</f>
        <v>3116.1708958203185</v>
      </c>
      <c r="AO484" s="800">
        <f>IFERROR('Base de datos Rutas'!X482*AN484/AM484,"")</f>
        <v>0.37418782761251823</v>
      </c>
      <c r="AP484" s="800">
        <f t="shared" si="273"/>
        <v>0.62581217238748177</v>
      </c>
      <c r="AQ484" s="789">
        <f>IFERROR(INDEX('Hoja de apoyo v2'!$J$17:$J$20,MATCH($A484,'Hoja de apoyo v2'!$A$17:$A$20,0)),"")</f>
        <v>0.64320274048480885</v>
      </c>
      <c r="AR484" s="789">
        <f t="shared" si="274"/>
        <v>-1.7390568097327086E-2</v>
      </c>
      <c r="AS484" s="784" t="str">
        <f t="shared" si="275"/>
        <v>No</v>
      </c>
      <c r="AT484" s="801">
        <f>IF(ISNUMBER('Base de datos Rutas'!CK482),'Base de datos Rutas'!CK482,"")</f>
        <v>299</v>
      </c>
      <c r="AU484" s="802">
        <f>IF(ISNUMBER('Base de datos Rutas'!CL482),'Base de datos Rutas'!CL482,"")</f>
        <v>438.82</v>
      </c>
      <c r="AV484" s="802">
        <f>IF(ISNUMBER('Base de datos Rutas'!CM482),'Base de datos Rutas'!CM482,"")</f>
        <v>139.82</v>
      </c>
      <c r="AW484" s="802">
        <f>IF(ISNUMBER('Base de datos Rutas'!CN482),'Base de datos Rutas'!CN482,"")</f>
        <v>7.39</v>
      </c>
      <c r="AX484" s="802">
        <f>IF(ISNUMBER('Base de datos Rutas'!CO482),'Base de datos Rutas'!CO482,"")</f>
        <v>9.4499999999999993</v>
      </c>
      <c r="AY484" s="802">
        <f>IF(ISNUMBER('Base de datos Rutas'!CP482),'Base de datos Rutas'!CP482,"")</f>
        <v>2.0599999999999996</v>
      </c>
      <c r="AZ484" s="802">
        <f>IF(ISNUMBER('Base de datos Rutas'!CQ482),'Base de datos Rutas'!CQ482,"")</f>
        <v>846.56</v>
      </c>
      <c r="BA484" s="802">
        <f>IF(ISNUMBER('Base de datos Rutas'!CR482),'Base de datos Rutas'!CR482,"")</f>
        <v>529.49</v>
      </c>
      <c r="BB484" s="803">
        <f>IF(ISNUMBER('Base de datos Rutas'!CS482),'Base de datos Rutas'!CS482,"")</f>
        <v>317.06999999999994</v>
      </c>
      <c r="BC484" s="804">
        <f t="shared" si="285"/>
        <v>0</v>
      </c>
      <c r="BD484" s="805" t="str">
        <f t="shared" si="286"/>
        <v>No saturada</v>
      </c>
      <c r="BE484" s="806">
        <f t="shared" si="287"/>
        <v>0.62546068796068799</v>
      </c>
      <c r="BF484" s="890">
        <f>IF(ISNUMBER('Base de datos Rutas'!CX482),'Base de datos Rutas'!CX482/100,"")</f>
        <v>0.91411547911547908</v>
      </c>
      <c r="BG484" s="891">
        <f>IF(ISNUMBER('Base de datos Rutas'!CZ482),'Base de datos Rutas'!CZ482/100,"")</f>
        <v>1</v>
      </c>
      <c r="BH484" s="892">
        <f>IF(ISNUMBER('Base de datos Rutas'!DA482),'Base de datos Rutas'!DA482,"")</f>
        <v>894.10373793712029</v>
      </c>
      <c r="BI484" s="893">
        <f>IF(ISNUMBER('Base de datos Rutas'!DC482),'Base de datos Rutas'!DC482,"")</f>
        <v>32.960505028792525</v>
      </c>
      <c r="BJ484" s="805" t="str">
        <f t="shared" si="288"/>
        <v>Ruta (completo)</v>
      </c>
      <c r="BK484" s="783">
        <f t="shared" si="276"/>
        <v>4</v>
      </c>
      <c r="BL484" s="797">
        <f t="shared" si="277"/>
        <v>4</v>
      </c>
      <c r="BM484" s="797">
        <f t="shared" si="278"/>
        <v>4</v>
      </c>
      <c r="BN484" s="797">
        <f t="shared" si="279"/>
        <v>3</v>
      </c>
      <c r="BO484" s="798" cm="1">
        <f t="array" ref="BO484">SUMPRODUCT(--ISNUMBER($BF484:$BI484),$BK$3:$BN$3)</f>
        <v>1</v>
      </c>
      <c r="BP484" s="831">
        <f t="shared" si="289"/>
        <v>68.75</v>
      </c>
      <c r="BQ484" s="834" t="str">
        <f t="shared" si="290"/>
        <v>Alto</v>
      </c>
      <c r="BR484" s="836">
        <f t="shared" si="280"/>
        <v>30.186207047310873</v>
      </c>
      <c r="BS484" s="836">
        <f t="shared" si="281"/>
        <v>68.75</v>
      </c>
      <c r="BT484" s="837" t="str">
        <f t="shared" si="282"/>
        <v>P1</v>
      </c>
      <c r="BU484" s="807" t="str">
        <f t="shared" si="291"/>
        <v>Con espacio</v>
      </c>
      <c r="BV484" s="807" t="str">
        <f t="shared" si="283"/>
        <v>Zona atractiva</v>
      </c>
      <c r="BW484" s="808" t="str">
        <f t="shared" si="284"/>
        <v>P1 - Ampliar cobertura</v>
      </c>
    </row>
    <row r="485" spans="1:75">
      <c r="A485" s="780" t="str">
        <f>'Base de datos Rutas'!A483</f>
        <v>Occidente</v>
      </c>
      <c r="B485" s="781" t="str">
        <f>'Base de datos Rutas'!B483</f>
        <v>Zapopan</v>
      </c>
      <c r="C485" s="781" t="str">
        <f>'Base de datos Rutas'!C483</f>
        <v>Suc. Belenes</v>
      </c>
      <c r="D485" s="782">
        <f>IF(ISNUMBER('Base de datos Rutas'!D483),'Base de datos Rutas'!D483,"Sin código")</f>
        <v>820433</v>
      </c>
      <c r="E485" s="783" t="str">
        <f>'Base de datos Rutas'!F483</f>
        <v>Activa</v>
      </c>
      <c r="F485" s="784" t="str">
        <f>'Base de datos Rutas'!H483</f>
        <v>Sí</v>
      </c>
      <c r="G485" s="785">
        <f>IF(ISNUMBER('Base de datos Rutas'!BE483),'Base de datos Rutas'!BE483,"")</f>
        <v>37.113513513513503</v>
      </c>
      <c r="H485" s="786">
        <f>IF(ISNUMBER('Base de datos Rutas'!BH483),'Base de datos Rutas'!BH483,"")</f>
        <v>0.411957471599184</v>
      </c>
      <c r="I485" s="788">
        <f>IFERROR(IF(OR(NOT(ISNUMBER('Base de datos Rutas'!O483)),N('Base de datos Rutas'!BK483)=0),"",'Base de datos Rutas'!O483/('Base de datos Rutas'!L483/'Base de datos Rutas'!BK483)),"")</f>
        <v>3384.9373549883953</v>
      </c>
      <c r="J485" s="788">
        <f>IFERROR(IF(OR(NOT(ISNUMBER('Base de datos Rutas'!N483)),N('Base de datos Rutas'!BK483)=0),"",'Base de datos Rutas'!N483/('Base de datos Rutas'!L483/'Base de datos Rutas'!BK483)),"")</f>
        <v>5870.0533642691353</v>
      </c>
      <c r="K485" s="788">
        <f>IFERROR(IF(OR(NOT(ISNUMBER('Base de datos Rutas'!J483)),N('Base de datos Rutas'!BK483)=0),"",'Base de datos Rutas'!J483/('Base de datos Rutas'!L483/'Base de datos Rutas'!BK483)),"")</f>
        <v>405.29666078886265</v>
      </c>
      <c r="L485" s="788">
        <f>IFERROR(IF(OR(NOT(ISNUMBER('Base de datos Rutas'!K483)),N('Base de datos Rutas'!BK483)=0),"",'Base de datos Rutas'!K483/('Base de datos Rutas'!L483/'Base de datos Rutas'!BK483)),"")</f>
        <v>23.781339491879322</v>
      </c>
      <c r="M485" s="787">
        <f>IF(ISNUMBER('Base de datos Rutas'!AX483),'Base de datos Rutas'!AX483,"")</f>
        <v>647.82803774812896</v>
      </c>
      <c r="N485" s="790">
        <f>IFERROR(INDEX('Hoja de apoyo v2'!B$17:B$20,MATCH($A485,'Hoja de apoyo v2'!$A$17:$A$20,0)),"")</f>
        <v>89.41621024641401</v>
      </c>
      <c r="O485" s="791">
        <f>IFERROR(INDEX('Hoja de apoyo v2'!C$17:C$20,MATCH($A485,'Hoja de apoyo v2'!$A$17:$A$20,0)),"")</f>
        <v>0.54706375874806301</v>
      </c>
      <c r="P485" s="793">
        <f>IFERROR(INDEX('Hoja de apoyo v2'!D$17:D$20,MATCH($A485,'Hoja de apoyo v2'!$A$17:$A$20,0)),"")</f>
        <v>11095.153935793827</v>
      </c>
      <c r="Q485" s="793">
        <f>IFERROR(INDEX('Hoja de apoyo v2'!E$17:E$20,MATCH($A485,'Hoja de apoyo v2'!$A$17:$A$20,0)),"")</f>
        <v>6982.3202019701848</v>
      </c>
      <c r="R485" s="793">
        <f>IFERROR(INDEX('Hoja de apoyo v2'!F$17:F$20,MATCH($A485,'Hoja de apoyo v2'!$A$17:$A$20,0)),"")</f>
        <v>448.09513474485743</v>
      </c>
      <c r="S485" s="793">
        <f>IFERROR(INDEX('Hoja de apoyo v2'!G$17:G$20,MATCH($A485,'Hoja de apoyo v2'!$A$17:$A$20,0)),"")</f>
        <v>83.406300904207839</v>
      </c>
      <c r="T485" s="792">
        <f>IFERROR(INDEX('Hoja de apoyo v2'!H$17:H$20,MATCH($A485,'Hoja de apoyo v2'!$A$17:$A$20,0)),"")</f>
        <v>378.97014028925349</v>
      </c>
      <c r="U485" s="794">
        <f t="shared" si="256"/>
        <v>0.41506471154655006</v>
      </c>
      <c r="V485" s="795">
        <f t="shared" si="257"/>
        <v>0.75303374608827101</v>
      </c>
      <c r="W485" s="795">
        <f t="shared" si="258"/>
        <v>0.30508250490047956</v>
      </c>
      <c r="X485" s="843">
        <f t="shared" si="259"/>
        <v>0.8407024018481416</v>
      </c>
      <c r="Y485" s="843">
        <f t="shared" si="260"/>
        <v>0.90448797445577278</v>
      </c>
      <c r="Z485" s="843">
        <f t="shared" si="261"/>
        <v>0.28512641412058543</v>
      </c>
      <c r="AA485" s="843">
        <f t="shared" si="262"/>
        <v>1.7094434861112446</v>
      </c>
      <c r="AB485" s="796">
        <f t="shared" si="263"/>
        <v>1</v>
      </c>
      <c r="AC485" s="797">
        <f t="shared" si="264"/>
        <v>3</v>
      </c>
      <c r="AD485" s="797">
        <f t="shared" si="265"/>
        <v>1</v>
      </c>
      <c r="AE485" s="842">
        <f t="shared" si="266"/>
        <v>3</v>
      </c>
      <c r="AF485" s="842">
        <f t="shared" si="267"/>
        <v>3</v>
      </c>
      <c r="AG485" s="842">
        <f t="shared" si="268"/>
        <v>1</v>
      </c>
      <c r="AH485" s="842">
        <f t="shared" si="269"/>
        <v>5</v>
      </c>
      <c r="AI485" s="826" cm="1">
        <f t="array" ref="AI485">SUMPRODUCT(--ISNUMBER($U485:$AA485),$AB$3:$AH$3)</f>
        <v>1</v>
      </c>
      <c r="AJ485" s="829">
        <f t="shared" si="270"/>
        <v>26.415706849604181</v>
      </c>
      <c r="AK485" s="827" t="str">
        <f t="shared" si="271"/>
        <v>Inmadura</v>
      </c>
      <c r="AL485" s="784" t="str">
        <f t="shared" si="272"/>
        <v>Alta</v>
      </c>
      <c r="AM485" s="799">
        <f>IF(ISNUMBER('Base de datos Rutas'!W483),'Base de datos Rutas'!W483,"")</f>
        <v>3116.1708958203221</v>
      </c>
      <c r="AN485" s="787">
        <f>IFERROR(SUMIFS('Base de datos Rutas'!$W$6:$W$794,'Base de datos Rutas'!$C$6:$C$794,$C485)/'Base de datos Rutas'!I483,"")</f>
        <v>3116.1708958203185</v>
      </c>
      <c r="AO485" s="800">
        <f>IFERROR('Base de datos Rutas'!X483*AN485/AM485,"")</f>
        <v>0.37418782761251823</v>
      </c>
      <c r="AP485" s="800">
        <f t="shared" si="273"/>
        <v>0.62581217238748177</v>
      </c>
      <c r="AQ485" s="789">
        <f>IFERROR(INDEX('Hoja de apoyo v2'!$J$17:$J$20,MATCH($A485,'Hoja de apoyo v2'!$A$17:$A$20,0)),"")</f>
        <v>0.64320274048480885</v>
      </c>
      <c r="AR485" s="789">
        <f t="shared" si="274"/>
        <v>-1.7390568097327086E-2</v>
      </c>
      <c r="AS485" s="784" t="str">
        <f t="shared" si="275"/>
        <v>No</v>
      </c>
      <c r="AT485" s="801">
        <f>IF(ISNUMBER('Base de datos Rutas'!CK483),'Base de datos Rutas'!CK483,"")</f>
        <v>241</v>
      </c>
      <c r="AU485" s="802">
        <f>IF(ISNUMBER('Base de datos Rutas'!CL483),'Base de datos Rutas'!CL483,"")</f>
        <v>431.16</v>
      </c>
      <c r="AV485" s="802">
        <f>IF(ISNUMBER('Base de datos Rutas'!CM483),'Base de datos Rutas'!CM483,"")</f>
        <v>190.16000000000003</v>
      </c>
      <c r="AW485" s="802">
        <f>IF(ISNUMBER('Base de datos Rutas'!CN483),'Base de datos Rutas'!CN483,"")</f>
        <v>4.18</v>
      </c>
      <c r="AX485" s="802">
        <f>IF(ISNUMBER('Base de datos Rutas'!CO483),'Base de datos Rutas'!CO483,"")</f>
        <v>9.4499999999999993</v>
      </c>
      <c r="AY485" s="802">
        <f>IF(ISNUMBER('Base de datos Rutas'!CP483),'Base de datos Rutas'!CP483,"")</f>
        <v>5.27</v>
      </c>
      <c r="AZ485" s="802">
        <f>IF(ISNUMBER('Base de datos Rutas'!CQ483),'Base de datos Rutas'!CQ483,"")</f>
        <v>846.56</v>
      </c>
      <c r="BA485" s="802">
        <f>IF(ISNUMBER('Base de datos Rutas'!CR483),'Base de datos Rutas'!CR483,"")</f>
        <v>429.08</v>
      </c>
      <c r="BB485" s="803">
        <f>IF(ISNUMBER('Base de datos Rutas'!CS483),'Base de datos Rutas'!CS483,"")</f>
        <v>417.47999999999996</v>
      </c>
      <c r="BC485" s="804">
        <f t="shared" si="285"/>
        <v>0</v>
      </c>
      <c r="BD485" s="805" t="str">
        <f t="shared" si="286"/>
        <v>No saturada</v>
      </c>
      <c r="BE485" s="806">
        <f t="shared" si="287"/>
        <v>0.50685125685125687</v>
      </c>
      <c r="BF485" s="890">
        <f>IF(ISNUMBER('Base de datos Rutas'!CX483),'Base de datos Rutas'!CX483/100,"")</f>
        <v>0.88188819875776392</v>
      </c>
      <c r="BG485" s="891">
        <f>IF(ISNUMBER('Base de datos Rutas'!CZ483),'Base de datos Rutas'!CZ483/100,"")</f>
        <v>1</v>
      </c>
      <c r="BH485" s="892">
        <f>IF(ISNUMBER('Base de datos Rutas'!DA483),'Base de datos Rutas'!DA483,"")</f>
        <v>1037.8619344947115</v>
      </c>
      <c r="BI485" s="893">
        <f>IF(ISNUMBER('Base de datos Rutas'!DC483),'Base de datos Rutas'!DC483,"")</f>
        <v>47.88207159363612</v>
      </c>
      <c r="BJ485" s="805" t="str">
        <f t="shared" si="288"/>
        <v>Ruta (completo)</v>
      </c>
      <c r="BK485" s="783">
        <f t="shared" si="276"/>
        <v>3</v>
      </c>
      <c r="BL485" s="797">
        <f t="shared" si="277"/>
        <v>4</v>
      </c>
      <c r="BM485" s="797">
        <f t="shared" si="278"/>
        <v>4</v>
      </c>
      <c r="BN485" s="797">
        <f t="shared" si="279"/>
        <v>4</v>
      </c>
      <c r="BO485" s="798" cm="1">
        <f t="array" ref="BO485">SUMPRODUCT(--ISNUMBER($BF485:$BI485),$BK$3:$BN$3)</f>
        <v>1</v>
      </c>
      <c r="BP485" s="831">
        <f t="shared" si="289"/>
        <v>68.75</v>
      </c>
      <c r="BQ485" s="834" t="str">
        <f t="shared" si="290"/>
        <v>Alto</v>
      </c>
      <c r="BR485" s="836">
        <f t="shared" si="280"/>
        <v>19.811780137203137</v>
      </c>
      <c r="BS485" s="836">
        <f t="shared" si="281"/>
        <v>68.75</v>
      </c>
      <c r="BT485" s="837" t="str">
        <f t="shared" si="282"/>
        <v>P3</v>
      </c>
      <c r="BU485" s="807" t="str">
        <f t="shared" si="291"/>
        <v>Con espacio</v>
      </c>
      <c r="BV485" s="807" t="str">
        <f t="shared" si="283"/>
        <v>Zona atractiva</v>
      </c>
      <c r="BW485" s="808" t="str">
        <f t="shared" si="284"/>
        <v>P3 - Desarrollar</v>
      </c>
    </row>
    <row r="486" spans="1:75">
      <c r="A486" s="780" t="str">
        <f>'Base de datos Rutas'!A484</f>
        <v>Occidente</v>
      </c>
      <c r="B486" s="781" t="str">
        <f>'Base de datos Rutas'!B484</f>
        <v>Zapopan</v>
      </c>
      <c r="C486" s="781" t="str">
        <f>'Base de datos Rutas'!C484</f>
        <v>Suc. Belenes</v>
      </c>
      <c r="D486" s="782">
        <f>IF(ISNUMBER('Base de datos Rutas'!D484),'Base de datos Rutas'!D484,"Sin código")</f>
        <v>820434</v>
      </c>
      <c r="E486" s="783" t="str">
        <f>'Base de datos Rutas'!F484</f>
        <v>Activa</v>
      </c>
      <c r="F486" s="784" t="str">
        <f>'Base de datos Rutas'!H484</f>
        <v>Sí</v>
      </c>
      <c r="G486" s="785">
        <f>IF(ISNUMBER('Base de datos Rutas'!BE484),'Base de datos Rutas'!BE484,"")</f>
        <v>28.948087431693999</v>
      </c>
      <c r="H486" s="786">
        <f>IF(ISNUMBER('Base de datos Rutas'!BH484),'Base de datos Rutas'!BH484,"")</f>
        <v>0.38395469561113699</v>
      </c>
      <c r="I486" s="788">
        <f>IFERROR(IF(OR(NOT(ISNUMBER('Base de datos Rutas'!O484)),N('Base de datos Rutas'!BK484)=0),"",'Base de datos Rutas'!O484/('Base de datos Rutas'!L484/'Base de datos Rutas'!BK484)),"")</f>
        <v>3661.3981264636973</v>
      </c>
      <c r="J486" s="788">
        <f>IFERROR(IF(OR(NOT(ISNUMBER('Base de datos Rutas'!N484)),N('Base de datos Rutas'!BK484)=0),"",'Base de datos Rutas'!N484/('Base de datos Rutas'!L484/'Base de datos Rutas'!BK484)),"")</f>
        <v>4441.8290398126428</v>
      </c>
      <c r="K486" s="788">
        <f>IFERROR(IF(OR(NOT(ISNUMBER('Base de datos Rutas'!J484)),N('Base de datos Rutas'!BK484)=0),"",'Base de datos Rutas'!J484/('Base de datos Rutas'!L484/'Base de datos Rutas'!BK484)),"")</f>
        <v>304.13078032786859</v>
      </c>
      <c r="L486" s="788">
        <f>IFERROR(IF(OR(NOT(ISNUMBER('Base de datos Rutas'!K484)),N('Base de datos Rutas'!BK484)=0),"",'Base de datos Rutas'!K484/('Base de datos Rutas'!L484/'Base de datos Rutas'!BK484)),"")</f>
        <v>19.93227398829038</v>
      </c>
      <c r="M486" s="787">
        <f>IF(ISNUMBER('Base de datos Rutas'!AX484),'Base de datos Rutas'!AX484,"")</f>
        <v>723.86626569037696</v>
      </c>
      <c r="N486" s="790">
        <f>IFERROR(INDEX('Hoja de apoyo v2'!B$17:B$20,MATCH($A486,'Hoja de apoyo v2'!$A$17:$A$20,0)),"")</f>
        <v>89.41621024641401</v>
      </c>
      <c r="O486" s="791">
        <f>IFERROR(INDEX('Hoja de apoyo v2'!C$17:C$20,MATCH($A486,'Hoja de apoyo v2'!$A$17:$A$20,0)),"")</f>
        <v>0.54706375874806301</v>
      </c>
      <c r="P486" s="793">
        <f>IFERROR(INDEX('Hoja de apoyo v2'!D$17:D$20,MATCH($A486,'Hoja de apoyo v2'!$A$17:$A$20,0)),"")</f>
        <v>11095.153935793827</v>
      </c>
      <c r="Q486" s="793">
        <f>IFERROR(INDEX('Hoja de apoyo v2'!E$17:E$20,MATCH($A486,'Hoja de apoyo v2'!$A$17:$A$20,0)),"")</f>
        <v>6982.3202019701848</v>
      </c>
      <c r="R486" s="793">
        <f>IFERROR(INDEX('Hoja de apoyo v2'!F$17:F$20,MATCH($A486,'Hoja de apoyo v2'!$A$17:$A$20,0)),"")</f>
        <v>448.09513474485743</v>
      </c>
      <c r="S486" s="793">
        <f>IFERROR(INDEX('Hoja de apoyo v2'!G$17:G$20,MATCH($A486,'Hoja de apoyo v2'!$A$17:$A$20,0)),"")</f>
        <v>83.406300904207839</v>
      </c>
      <c r="T486" s="792">
        <f>IFERROR(INDEX('Hoja de apoyo v2'!H$17:H$20,MATCH($A486,'Hoja de apoyo v2'!$A$17:$A$20,0)),"")</f>
        <v>378.97014028925349</v>
      </c>
      <c r="U486" s="794">
        <f t="shared" si="256"/>
        <v>0.3237454075935291</v>
      </c>
      <c r="V486" s="795">
        <f t="shared" si="257"/>
        <v>0.70184633778301153</v>
      </c>
      <c r="W486" s="795">
        <f t="shared" si="258"/>
        <v>0.32999975914274998</v>
      </c>
      <c r="X486" s="843">
        <f t="shared" si="259"/>
        <v>0.63615372989616004</v>
      </c>
      <c r="Y486" s="843">
        <f t="shared" si="260"/>
        <v>0.6787192199733183</v>
      </c>
      <c r="Z486" s="843">
        <f t="shared" si="261"/>
        <v>0.23897803609804735</v>
      </c>
      <c r="AA486" s="843">
        <f t="shared" si="262"/>
        <v>1.9100878637506304</v>
      </c>
      <c r="AB486" s="796">
        <f t="shared" si="263"/>
        <v>1</v>
      </c>
      <c r="AC486" s="797">
        <f t="shared" si="264"/>
        <v>2</v>
      </c>
      <c r="AD486" s="797">
        <f t="shared" si="265"/>
        <v>1</v>
      </c>
      <c r="AE486" s="842">
        <f t="shared" si="266"/>
        <v>2</v>
      </c>
      <c r="AF486" s="842">
        <f t="shared" si="267"/>
        <v>2</v>
      </c>
      <c r="AG486" s="842">
        <f t="shared" si="268"/>
        <v>1</v>
      </c>
      <c r="AH486" s="842">
        <f t="shared" si="269"/>
        <v>5</v>
      </c>
      <c r="AI486" s="826" cm="1">
        <f t="array" ref="AI486">SUMPRODUCT(--ISNUMBER($U486:$AA486),$AB$3:$AH$3)</f>
        <v>1</v>
      </c>
      <c r="AJ486" s="829">
        <f t="shared" si="270"/>
        <v>17.697309105455222</v>
      </c>
      <c r="AK486" s="827" t="str">
        <f t="shared" si="271"/>
        <v>Inmadura</v>
      </c>
      <c r="AL486" s="784" t="str">
        <f t="shared" si="272"/>
        <v>Alta</v>
      </c>
      <c r="AM486" s="799">
        <f>IF(ISNUMBER('Base de datos Rutas'!W484),'Base de datos Rutas'!W484,"")</f>
        <v>3116.1708958203221</v>
      </c>
      <c r="AN486" s="787">
        <f>IFERROR(SUMIFS('Base de datos Rutas'!$W$6:$W$794,'Base de datos Rutas'!$C$6:$C$794,$C486)/'Base de datos Rutas'!I484,"")</f>
        <v>3116.1708958203185</v>
      </c>
      <c r="AO486" s="800">
        <f>IFERROR('Base de datos Rutas'!X484*AN486/AM486,"")</f>
        <v>0.37418782761251823</v>
      </c>
      <c r="AP486" s="800">
        <f t="shared" si="273"/>
        <v>0.62581217238748177</v>
      </c>
      <c r="AQ486" s="789">
        <f>IFERROR(INDEX('Hoja de apoyo v2'!$J$17:$J$20,MATCH($A486,'Hoja de apoyo v2'!$A$17:$A$20,0)),"")</f>
        <v>0.64320274048480885</v>
      </c>
      <c r="AR486" s="789">
        <f t="shared" si="274"/>
        <v>-1.7390568097327086E-2</v>
      </c>
      <c r="AS486" s="784" t="str">
        <f t="shared" si="275"/>
        <v>No</v>
      </c>
      <c r="AT486" s="801">
        <f>IF(ISNUMBER('Base de datos Rutas'!CK484),'Base de datos Rutas'!CK484,"")</f>
        <v>126</v>
      </c>
      <c r="AU486" s="802">
        <f>IF(ISNUMBER('Base de datos Rutas'!CL484),'Base de datos Rutas'!CL484,"")</f>
        <v>183.96</v>
      </c>
      <c r="AV486" s="802">
        <f>IF(ISNUMBER('Base de datos Rutas'!CM484),'Base de datos Rutas'!CM484,"")</f>
        <v>57.960000000000008</v>
      </c>
      <c r="AW486" s="802">
        <f>IF(ISNUMBER('Base de datos Rutas'!CN484),'Base de datos Rutas'!CN484,"")</f>
        <v>3.2</v>
      </c>
      <c r="AX486" s="802">
        <f>IF(ISNUMBER('Base de datos Rutas'!CO484),'Base de datos Rutas'!CO484,"")</f>
        <v>9.4499999999999993</v>
      </c>
      <c r="AY486" s="802">
        <f>IF(ISNUMBER('Base de datos Rutas'!CP484),'Base de datos Rutas'!CP484,"")</f>
        <v>6.2499999999999991</v>
      </c>
      <c r="AZ486" s="802">
        <f>IF(ISNUMBER('Base de datos Rutas'!CQ484),'Base de datos Rutas'!CQ484,"")</f>
        <v>564.37</v>
      </c>
      <c r="BA486" s="802">
        <f>IF(ISNUMBER('Base de datos Rutas'!CR484),'Base de datos Rutas'!CR484,"")</f>
        <v>324.06</v>
      </c>
      <c r="BB486" s="803">
        <f>IF(ISNUMBER('Base de datos Rutas'!CS484),'Base de datos Rutas'!CS484,"")</f>
        <v>240.31</v>
      </c>
      <c r="BC486" s="804">
        <f t="shared" si="285"/>
        <v>0</v>
      </c>
      <c r="BD486" s="805" t="str">
        <f t="shared" si="286"/>
        <v>No saturada</v>
      </c>
      <c r="BE486" s="806">
        <f t="shared" si="287"/>
        <v>0.57419777805340466</v>
      </c>
      <c r="BF486" s="890">
        <f>IF(ISNUMBER('Base de datos Rutas'!CX484),'Base de datos Rutas'!CX484/100,"")</f>
        <v>0.88789168278529984</v>
      </c>
      <c r="BG486" s="891">
        <f>IF(ISNUMBER('Base de datos Rutas'!CZ484),'Base de datos Rutas'!CZ484/100,"")</f>
        <v>1</v>
      </c>
      <c r="BH486" s="892">
        <f>IF(ISNUMBER('Base de datos Rutas'!DA484),'Base de datos Rutas'!DA484,"")</f>
        <v>919.01213997495472</v>
      </c>
      <c r="BI486" s="893">
        <f>IF(ISNUMBER('Base de datos Rutas'!DC484),'Base de datos Rutas'!DC484,"")</f>
        <v>42.010313760957281</v>
      </c>
      <c r="BJ486" s="805" t="str">
        <f t="shared" si="288"/>
        <v>Ruta (completo)</v>
      </c>
      <c r="BK486" s="783">
        <f t="shared" si="276"/>
        <v>3</v>
      </c>
      <c r="BL486" s="797">
        <f t="shared" si="277"/>
        <v>4</v>
      </c>
      <c r="BM486" s="797">
        <f t="shared" si="278"/>
        <v>4</v>
      </c>
      <c r="BN486" s="797">
        <f t="shared" si="279"/>
        <v>4</v>
      </c>
      <c r="BO486" s="798" cm="1">
        <f t="array" ref="BO486">SUMPRODUCT(--ISNUMBER($BF486:$BI486),$BK$3:$BN$3)</f>
        <v>1</v>
      </c>
      <c r="BP486" s="831">
        <f t="shared" si="289"/>
        <v>68.75</v>
      </c>
      <c r="BQ486" s="834" t="str">
        <f t="shared" si="290"/>
        <v>Alto</v>
      </c>
      <c r="BR486" s="836">
        <f t="shared" si="280"/>
        <v>13.272981829091417</v>
      </c>
      <c r="BS486" s="836">
        <f t="shared" si="281"/>
        <v>68.75</v>
      </c>
      <c r="BT486" s="837" t="str">
        <f t="shared" si="282"/>
        <v>P3</v>
      </c>
      <c r="BU486" s="807" t="str">
        <f t="shared" si="291"/>
        <v>Con espacio</v>
      </c>
      <c r="BV486" s="807" t="str">
        <f t="shared" si="283"/>
        <v>Zona atractiva</v>
      </c>
      <c r="BW486" s="808" t="str">
        <f t="shared" si="284"/>
        <v>P3 - Desarrollar</v>
      </c>
    </row>
    <row r="487" spans="1:75">
      <c r="A487" s="780" t="str">
        <f>'Base de datos Rutas'!A485</f>
        <v>Occidente</v>
      </c>
      <c r="B487" s="781" t="str">
        <f>'Base de datos Rutas'!B485</f>
        <v>Zapopan</v>
      </c>
      <c r="C487" s="781" t="str">
        <f>'Base de datos Rutas'!C485</f>
        <v>Suc. Huentitán</v>
      </c>
      <c r="D487" s="782">
        <f>IF(ISNUMBER('Base de datos Rutas'!D485),'Base de datos Rutas'!D485,"Sin código")</f>
        <v>819340</v>
      </c>
      <c r="E487" s="783" t="str">
        <f>'Base de datos Rutas'!F485</f>
        <v>Activa</v>
      </c>
      <c r="F487" s="784" t="str">
        <f>'Base de datos Rutas'!H485</f>
        <v>Sí</v>
      </c>
      <c r="G487" s="785">
        <f>IF(ISNUMBER('Base de datos Rutas'!BE485),'Base de datos Rutas'!BE485,"")</f>
        <v>77.887096774193594</v>
      </c>
      <c r="H487" s="786">
        <f>IF(ISNUMBER('Base de datos Rutas'!BH485),'Base de datos Rutas'!BH485,"")</f>
        <v>0.49823980120107703</v>
      </c>
      <c r="I487" s="788">
        <f>IFERROR(IF(OR(NOT(ISNUMBER('Base de datos Rutas'!O485)),N('Base de datos Rutas'!BK485)=0),"",'Base de datos Rutas'!O485/('Base de datos Rutas'!L485/'Base de datos Rutas'!BK485)),"")</f>
        <v>3397.4354838709737</v>
      </c>
      <c r="J487" s="788">
        <f>IFERROR(IF(OR(NOT(ISNUMBER('Base de datos Rutas'!N485)),N('Base de datos Rutas'!BK485)=0),"",'Base de datos Rutas'!N485/('Base de datos Rutas'!L485/'Base de datos Rutas'!BK485)),"")</f>
        <v>7361.2580645161415</v>
      </c>
      <c r="K487" s="788">
        <f>IFERROR(IF(OR(NOT(ISNUMBER('Base de datos Rutas'!J485)),N('Base de datos Rutas'!BK485)=0),"",'Base de datos Rutas'!J485/('Base de datos Rutas'!L485/'Base de datos Rutas'!BK485)),"")</f>
        <v>506.80356129032117</v>
      </c>
      <c r="L487" s="788">
        <f>IFERROR(IF(OR(NOT(ISNUMBER('Base de datos Rutas'!K485)),N('Base de datos Rutas'!BK485)=0),"",'Base de datos Rutas'!K485/('Base de datos Rutas'!L485/'Base de datos Rutas'!BK485)),"")</f>
        <v>26.019727919354885</v>
      </c>
      <c r="M487" s="787">
        <f>IF(ISNUMBER('Base de datos Rutas'!AX485),'Base de datos Rutas'!AX485,"")</f>
        <v>276.04605806911297</v>
      </c>
      <c r="N487" s="790">
        <f>IFERROR(INDEX('Hoja de apoyo v2'!B$17:B$20,MATCH($A487,'Hoja de apoyo v2'!$A$17:$A$20,0)),"")</f>
        <v>89.41621024641401</v>
      </c>
      <c r="O487" s="791">
        <f>IFERROR(INDEX('Hoja de apoyo v2'!C$17:C$20,MATCH($A487,'Hoja de apoyo v2'!$A$17:$A$20,0)),"")</f>
        <v>0.54706375874806301</v>
      </c>
      <c r="P487" s="793">
        <f>IFERROR(INDEX('Hoja de apoyo v2'!D$17:D$20,MATCH($A487,'Hoja de apoyo v2'!$A$17:$A$20,0)),"")</f>
        <v>11095.153935793827</v>
      </c>
      <c r="Q487" s="793">
        <f>IFERROR(INDEX('Hoja de apoyo v2'!E$17:E$20,MATCH($A487,'Hoja de apoyo v2'!$A$17:$A$20,0)),"")</f>
        <v>6982.3202019701848</v>
      </c>
      <c r="R487" s="793">
        <f>IFERROR(INDEX('Hoja de apoyo v2'!F$17:F$20,MATCH($A487,'Hoja de apoyo v2'!$A$17:$A$20,0)),"")</f>
        <v>448.09513474485743</v>
      </c>
      <c r="S487" s="793">
        <f>IFERROR(INDEX('Hoja de apoyo v2'!G$17:G$20,MATCH($A487,'Hoja de apoyo v2'!$A$17:$A$20,0)),"")</f>
        <v>83.406300904207839</v>
      </c>
      <c r="T487" s="792">
        <f>IFERROR(INDEX('Hoja de apoyo v2'!H$17:H$20,MATCH($A487,'Hoja de apoyo v2'!$A$17:$A$20,0)),"")</f>
        <v>378.97014028925349</v>
      </c>
      <c r="U487" s="794">
        <f t="shared" si="256"/>
        <v>0.87106237850554857</v>
      </c>
      <c r="V487" s="795">
        <f t="shared" si="257"/>
        <v>0.91075271069186159</v>
      </c>
      <c r="W487" s="795">
        <f t="shared" si="258"/>
        <v>0.30620895424538302</v>
      </c>
      <c r="X487" s="843">
        <f t="shared" si="259"/>
        <v>1.0542710519690908</v>
      </c>
      <c r="Y487" s="843">
        <f t="shared" si="260"/>
        <v>1.1310177727747299</v>
      </c>
      <c r="Z487" s="843">
        <f t="shared" si="261"/>
        <v>0.3119635763398565</v>
      </c>
      <c r="AA487" s="843">
        <f t="shared" si="262"/>
        <v>0.7284111034669315</v>
      </c>
      <c r="AB487" s="796">
        <f t="shared" si="263"/>
        <v>3</v>
      </c>
      <c r="AC487" s="797">
        <f t="shared" si="264"/>
        <v>3</v>
      </c>
      <c r="AD487" s="797">
        <f t="shared" si="265"/>
        <v>1</v>
      </c>
      <c r="AE487" s="842">
        <f t="shared" si="266"/>
        <v>4</v>
      </c>
      <c r="AF487" s="842">
        <f t="shared" si="267"/>
        <v>4</v>
      </c>
      <c r="AG487" s="842">
        <f t="shared" si="268"/>
        <v>1</v>
      </c>
      <c r="AH487" s="842">
        <f t="shared" si="269"/>
        <v>2</v>
      </c>
      <c r="AI487" s="826" cm="1">
        <f t="array" ref="AI487">SUMPRODUCT(--ISNUMBER($U487:$AA487),$AB$3:$AH$3)</f>
        <v>1</v>
      </c>
      <c r="AJ487" s="829">
        <f t="shared" si="270"/>
        <v>35.084287843156481</v>
      </c>
      <c r="AK487" s="827" t="str">
        <f t="shared" si="271"/>
        <v>Inmadura</v>
      </c>
      <c r="AL487" s="784" t="str">
        <f t="shared" si="272"/>
        <v>Alta</v>
      </c>
      <c r="AM487" s="799">
        <f>IF(ISNUMBER('Base de datos Rutas'!W485),'Base de datos Rutas'!W485,"")</f>
        <v>2866.2444123371242</v>
      </c>
      <c r="AN487" s="787">
        <f>IFERROR(SUMIFS('Base de datos Rutas'!$W$6:$W$794,'Base de datos Rutas'!$C$6:$C$794,$C487)/'Base de datos Rutas'!I485,"")</f>
        <v>2866.2444123371242</v>
      </c>
      <c r="AO487" s="800">
        <f>IFERROR('Base de datos Rutas'!X485*AN487/AM487,"")</f>
        <v>0.40462988446513853</v>
      </c>
      <c r="AP487" s="800">
        <f t="shared" si="273"/>
        <v>0.59537011553486141</v>
      </c>
      <c r="AQ487" s="789">
        <f>IFERROR(INDEX('Hoja de apoyo v2'!$J$17:$J$20,MATCH($A487,'Hoja de apoyo v2'!$A$17:$A$20,0)),"")</f>
        <v>0.64320274048480885</v>
      </c>
      <c r="AR487" s="789">
        <f t="shared" si="274"/>
        <v>-4.7832624949947444E-2</v>
      </c>
      <c r="AS487" s="784" t="str">
        <f t="shared" si="275"/>
        <v>No</v>
      </c>
      <c r="AT487" s="801">
        <f>IF(ISNUMBER('Base de datos Rutas'!CK485),'Base de datos Rutas'!CK485,"")</f>
        <v>318</v>
      </c>
      <c r="AU487" s="802">
        <f>IF(ISNUMBER('Base de datos Rutas'!CL485),'Base de datos Rutas'!CL485,"")</f>
        <v>400.92</v>
      </c>
      <c r="AV487" s="802">
        <f>IF(ISNUMBER('Base de datos Rutas'!CM485),'Base de datos Rutas'!CM485,"")</f>
        <v>82.920000000000016</v>
      </c>
      <c r="AW487" s="802">
        <f>IF(ISNUMBER('Base de datos Rutas'!CN485),'Base de datos Rutas'!CN485,"")</f>
        <v>9.23</v>
      </c>
      <c r="AX487" s="802">
        <f>IF(ISNUMBER('Base de datos Rutas'!CO485),'Base de datos Rutas'!CO485,"")</f>
        <v>9.4499999999999993</v>
      </c>
      <c r="AY487" s="802">
        <f>IF(ISNUMBER('Base de datos Rutas'!CP485),'Base de datos Rutas'!CP485,"")</f>
        <v>0.21999999999999886</v>
      </c>
      <c r="AZ487" s="802">
        <f>IF(ISNUMBER('Base de datos Rutas'!CQ485),'Base de datos Rutas'!CQ485,"")</f>
        <v>846.56</v>
      </c>
      <c r="BA487" s="802">
        <f>IF(ISNUMBER('Base de datos Rutas'!CR485),'Base de datos Rutas'!CR485,"")</f>
        <v>532.82000000000005</v>
      </c>
      <c r="BB487" s="803">
        <f>IF(ISNUMBER('Base de datos Rutas'!CS485),'Base de datos Rutas'!CS485,"")</f>
        <v>313.7399999999999</v>
      </c>
      <c r="BC487" s="804">
        <f t="shared" si="285"/>
        <v>0</v>
      </c>
      <c r="BD487" s="805" t="str">
        <f t="shared" si="286"/>
        <v>No saturada</v>
      </c>
      <c r="BE487" s="806">
        <f t="shared" si="287"/>
        <v>0.62939425439425445</v>
      </c>
      <c r="BF487" s="890">
        <f>IF(ISNUMBER('Base de datos Rutas'!CX485),'Base de datos Rutas'!CX485/100,"")</f>
        <v>0.89273131014063656</v>
      </c>
      <c r="BG487" s="891">
        <f>IF(ISNUMBER('Base de datos Rutas'!CZ485),'Base de datos Rutas'!CZ485/100,"")</f>
        <v>0.95410806809770543</v>
      </c>
      <c r="BH487" s="892">
        <f>IF(ISNUMBER('Base de datos Rutas'!DA485),'Base de datos Rutas'!DA485,"")</f>
        <v>680.50463763668813</v>
      </c>
      <c r="BI487" s="893">
        <f>IF(ISNUMBER('Base de datos Rutas'!DC485),'Base de datos Rutas'!DC485,"")</f>
        <v>33.270077828609679</v>
      </c>
      <c r="BJ487" s="805" t="str">
        <f t="shared" si="288"/>
        <v>Ruta (completo)</v>
      </c>
      <c r="BK487" s="783">
        <f t="shared" si="276"/>
        <v>4</v>
      </c>
      <c r="BL487" s="797">
        <f t="shared" si="277"/>
        <v>4</v>
      </c>
      <c r="BM487" s="797">
        <f t="shared" si="278"/>
        <v>4</v>
      </c>
      <c r="BN487" s="797">
        <f t="shared" si="279"/>
        <v>4</v>
      </c>
      <c r="BO487" s="798" cm="1">
        <f t="array" ref="BO487">SUMPRODUCT(--ISNUMBER($BF487:$BI487),$BK$3:$BN$3)</f>
        <v>1</v>
      </c>
      <c r="BP487" s="831">
        <f t="shared" si="289"/>
        <v>75</v>
      </c>
      <c r="BQ487" s="834" t="str">
        <f t="shared" si="290"/>
        <v>Alto</v>
      </c>
      <c r="BR487" s="836">
        <f t="shared" si="280"/>
        <v>26.313215882367359</v>
      </c>
      <c r="BS487" s="836">
        <f t="shared" si="281"/>
        <v>75</v>
      </c>
      <c r="BT487" s="837" t="str">
        <f t="shared" si="282"/>
        <v>P3</v>
      </c>
      <c r="BU487" s="807" t="str">
        <f t="shared" si="291"/>
        <v>Con espacio</v>
      </c>
      <c r="BV487" s="807" t="str">
        <f t="shared" si="283"/>
        <v>Zona atractiva</v>
      </c>
      <c r="BW487" s="808" t="str">
        <f t="shared" si="284"/>
        <v>P3 - Desarrollar</v>
      </c>
    </row>
    <row r="488" spans="1:75">
      <c r="A488" s="780" t="str">
        <f>'Base de datos Rutas'!A486</f>
        <v>Occidente</v>
      </c>
      <c r="B488" s="781" t="str">
        <f>'Base de datos Rutas'!B486</f>
        <v>Zapopan</v>
      </c>
      <c r="C488" s="781" t="str">
        <f>'Base de datos Rutas'!C486</f>
        <v>Suc. Huentitán</v>
      </c>
      <c r="D488" s="782">
        <f>IF(ISNUMBER('Base de datos Rutas'!D486),'Base de datos Rutas'!D486,"Sin código")</f>
        <v>819341</v>
      </c>
      <c r="E488" s="783" t="str">
        <f>'Base de datos Rutas'!F486</f>
        <v>Activa</v>
      </c>
      <c r="F488" s="784" t="str">
        <f>'Base de datos Rutas'!H486</f>
        <v>Sí</v>
      </c>
      <c r="G488" s="785">
        <f>IF(ISNUMBER('Base de datos Rutas'!BE486),'Base de datos Rutas'!BE486,"")</f>
        <v>61.049411764705901</v>
      </c>
      <c r="H488" s="786">
        <f>IF(ISNUMBER('Base de datos Rutas'!BH486),'Base de datos Rutas'!BH486,"")</f>
        <v>0.55376551298851495</v>
      </c>
      <c r="I488" s="788">
        <f>IFERROR(IF(OR(NOT(ISNUMBER('Base de datos Rutas'!O486)),N('Base de datos Rutas'!BK486)=0),"",'Base de datos Rutas'!O486/('Base de datos Rutas'!L486/'Base de datos Rutas'!BK486)),"")</f>
        <v>2504.6823529411745</v>
      </c>
      <c r="J488" s="788">
        <f>IFERROR(IF(OR(NOT(ISNUMBER('Base de datos Rutas'!N486)),N('Base de datos Rutas'!BK486)=0),"",'Base de datos Rutas'!N486/('Base de datos Rutas'!L486/'Base de datos Rutas'!BK486)),"")</f>
        <v>6294.1152941176424</v>
      </c>
      <c r="K488" s="788">
        <f>IFERROR(IF(OR(NOT(ISNUMBER('Base de datos Rutas'!J486)),N('Base de datos Rutas'!BK486)=0),"",'Base de datos Rutas'!J486/('Base de datos Rutas'!L486/'Base de datos Rutas'!BK486)),"")</f>
        <v>429.66649599999965</v>
      </c>
      <c r="L488" s="788">
        <f>IFERROR(IF(OR(NOT(ISNUMBER('Base de datos Rutas'!K486)),N('Base de datos Rutas'!BK486)=0),"",'Base de datos Rutas'!K486/('Base de datos Rutas'!L486/'Base de datos Rutas'!BK486)),"")</f>
        <v>16.968787705882338</v>
      </c>
      <c r="M488" s="787">
        <f>IF(ISNUMBER('Base de datos Rutas'!AX486),'Base de datos Rutas'!AX486,"")</f>
        <v>260.20385648663699</v>
      </c>
      <c r="N488" s="790">
        <f>IFERROR(INDEX('Hoja de apoyo v2'!B$17:B$20,MATCH($A488,'Hoja de apoyo v2'!$A$17:$A$20,0)),"")</f>
        <v>89.41621024641401</v>
      </c>
      <c r="O488" s="791">
        <f>IFERROR(INDEX('Hoja de apoyo v2'!C$17:C$20,MATCH($A488,'Hoja de apoyo v2'!$A$17:$A$20,0)),"")</f>
        <v>0.54706375874806301</v>
      </c>
      <c r="P488" s="793">
        <f>IFERROR(INDEX('Hoja de apoyo v2'!D$17:D$20,MATCH($A488,'Hoja de apoyo v2'!$A$17:$A$20,0)),"")</f>
        <v>11095.153935793827</v>
      </c>
      <c r="Q488" s="793">
        <f>IFERROR(INDEX('Hoja de apoyo v2'!E$17:E$20,MATCH($A488,'Hoja de apoyo v2'!$A$17:$A$20,0)),"")</f>
        <v>6982.3202019701848</v>
      </c>
      <c r="R488" s="793">
        <f>IFERROR(INDEX('Hoja de apoyo v2'!F$17:F$20,MATCH($A488,'Hoja de apoyo v2'!$A$17:$A$20,0)),"")</f>
        <v>448.09513474485743</v>
      </c>
      <c r="S488" s="793">
        <f>IFERROR(INDEX('Hoja de apoyo v2'!G$17:G$20,MATCH($A488,'Hoja de apoyo v2'!$A$17:$A$20,0)),"")</f>
        <v>83.406300904207839</v>
      </c>
      <c r="T488" s="792">
        <f>IFERROR(INDEX('Hoja de apoyo v2'!H$17:H$20,MATCH($A488,'Hoja de apoyo v2'!$A$17:$A$20,0)),"")</f>
        <v>378.97014028925349</v>
      </c>
      <c r="U488" s="794">
        <f t="shared" si="256"/>
        <v>0.68275552717415977</v>
      </c>
      <c r="V488" s="795">
        <f t="shared" si="257"/>
        <v>1.0122504079886203</v>
      </c>
      <c r="W488" s="795">
        <f t="shared" si="258"/>
        <v>0.22574561537725718</v>
      </c>
      <c r="X488" s="843">
        <f t="shared" si="259"/>
        <v>0.90143607168597717</v>
      </c>
      <c r="Y488" s="843">
        <f t="shared" si="260"/>
        <v>0.9588733790752918</v>
      </c>
      <c r="Z488" s="843">
        <f t="shared" si="261"/>
        <v>0.20344731179687486</v>
      </c>
      <c r="AA488" s="843">
        <f t="shared" si="262"/>
        <v>0.68660780579713554</v>
      </c>
      <c r="AB488" s="796">
        <f t="shared" si="263"/>
        <v>2</v>
      </c>
      <c r="AC488" s="797">
        <f t="shared" si="264"/>
        <v>4</v>
      </c>
      <c r="AD488" s="797">
        <f t="shared" si="265"/>
        <v>1</v>
      </c>
      <c r="AE488" s="842">
        <f t="shared" si="266"/>
        <v>3</v>
      </c>
      <c r="AF488" s="842">
        <f t="shared" si="267"/>
        <v>3</v>
      </c>
      <c r="AG488" s="842">
        <f t="shared" si="268"/>
        <v>1</v>
      </c>
      <c r="AH488" s="842">
        <f t="shared" si="269"/>
        <v>2</v>
      </c>
      <c r="AI488" s="826" cm="1">
        <f t="array" ref="AI488">SUMPRODUCT(--ISNUMBER($U488:$AA488),$AB$3:$AH$3)</f>
        <v>1</v>
      </c>
      <c r="AJ488" s="829">
        <f t="shared" si="270"/>
        <v>26.598065092651723</v>
      </c>
      <c r="AK488" s="827" t="str">
        <f t="shared" si="271"/>
        <v>Inmadura</v>
      </c>
      <c r="AL488" s="784" t="str">
        <f t="shared" si="272"/>
        <v>Alta</v>
      </c>
      <c r="AM488" s="799">
        <f>IF(ISNUMBER('Base de datos Rutas'!W486),'Base de datos Rutas'!W486,"")</f>
        <v>2866.2444123371242</v>
      </c>
      <c r="AN488" s="787">
        <f>IFERROR(SUMIFS('Base de datos Rutas'!$W$6:$W$794,'Base de datos Rutas'!$C$6:$C$794,$C488)/'Base de datos Rutas'!I486,"")</f>
        <v>2866.2444123371242</v>
      </c>
      <c r="AO488" s="800">
        <f>IFERROR('Base de datos Rutas'!X486*AN488/AM488,"")</f>
        <v>0.40462988446513853</v>
      </c>
      <c r="AP488" s="800">
        <f t="shared" si="273"/>
        <v>0.59537011553486141</v>
      </c>
      <c r="AQ488" s="789">
        <f>IFERROR(INDEX('Hoja de apoyo v2'!$J$17:$J$20,MATCH($A488,'Hoja de apoyo v2'!$A$17:$A$20,0)),"")</f>
        <v>0.64320274048480885</v>
      </c>
      <c r="AR488" s="789">
        <f t="shared" si="274"/>
        <v>-4.7832624949947444E-2</v>
      </c>
      <c r="AS488" s="784" t="str">
        <f t="shared" si="275"/>
        <v>No</v>
      </c>
      <c r="AT488" s="801">
        <f>IF(ISNUMBER('Base de datos Rutas'!CK486),'Base de datos Rutas'!CK486,"")</f>
        <v>286</v>
      </c>
      <c r="AU488" s="802">
        <f>IF(ISNUMBER('Base de datos Rutas'!CL486),'Base de datos Rutas'!CL486,"")</f>
        <v>376.8</v>
      </c>
      <c r="AV488" s="802">
        <f>IF(ISNUMBER('Base de datos Rutas'!CM486),'Base de datos Rutas'!CM486,"")</f>
        <v>90.800000000000011</v>
      </c>
      <c r="AW488" s="802">
        <f>IF(ISNUMBER('Base de datos Rutas'!CN486),'Base de datos Rutas'!CN486,"")</f>
        <v>7</v>
      </c>
      <c r="AX488" s="802">
        <f>IF(ISNUMBER('Base de datos Rutas'!CO486),'Base de datos Rutas'!CO486,"")</f>
        <v>9.4499999999999993</v>
      </c>
      <c r="AY488" s="802">
        <f>IF(ISNUMBER('Base de datos Rutas'!CP486),'Base de datos Rutas'!CP486,"")</f>
        <v>2.4499999999999993</v>
      </c>
      <c r="AZ488" s="802">
        <f>IF(ISNUMBER('Base de datos Rutas'!CQ486),'Base de datos Rutas'!CQ486,"")</f>
        <v>846.56</v>
      </c>
      <c r="BA488" s="802">
        <f>IF(ISNUMBER('Base de datos Rutas'!CR486),'Base de datos Rutas'!CR486,"")</f>
        <v>446.64</v>
      </c>
      <c r="BB488" s="803">
        <f>IF(ISNUMBER('Base de datos Rutas'!CS486),'Base de datos Rutas'!CS486,"")</f>
        <v>399.91999999999996</v>
      </c>
      <c r="BC488" s="804">
        <f t="shared" si="285"/>
        <v>0</v>
      </c>
      <c r="BD488" s="805" t="str">
        <f t="shared" si="286"/>
        <v>No saturada</v>
      </c>
      <c r="BE488" s="806">
        <f t="shared" si="287"/>
        <v>0.52759402759402763</v>
      </c>
      <c r="BF488" s="890">
        <f>IF(ISNUMBER('Base de datos Rutas'!CX486),'Base de datos Rutas'!CX486/100,"")</f>
        <v>0.73349753694581277</v>
      </c>
      <c r="BG488" s="891">
        <f>IF(ISNUMBER('Base de datos Rutas'!CZ486),'Base de datos Rutas'!CZ486/100,"")</f>
        <v>0.78940886699507384</v>
      </c>
      <c r="BH488" s="892">
        <f>IF(ISNUMBER('Base de datos Rutas'!DA486),'Base de datos Rutas'!DA486,"")</f>
        <v>804.49696174480982</v>
      </c>
      <c r="BI488" s="893">
        <f>IF(ISNUMBER('Base de datos Rutas'!DC486),'Base de datos Rutas'!DC486,"")</f>
        <v>42.417255656636343</v>
      </c>
      <c r="BJ488" s="805" t="str">
        <f t="shared" si="288"/>
        <v>Ruta (completo)</v>
      </c>
      <c r="BK488" s="783">
        <f t="shared" si="276"/>
        <v>4</v>
      </c>
      <c r="BL488" s="797">
        <f t="shared" si="277"/>
        <v>4</v>
      </c>
      <c r="BM488" s="797">
        <f t="shared" si="278"/>
        <v>4</v>
      </c>
      <c r="BN488" s="797">
        <f t="shared" si="279"/>
        <v>5</v>
      </c>
      <c r="BO488" s="798" cm="1">
        <f t="array" ref="BO488">SUMPRODUCT(--ISNUMBER($BF488:$BI488),$BK$3:$BN$3)</f>
        <v>1</v>
      </c>
      <c r="BP488" s="831">
        <f t="shared" si="289"/>
        <v>81.25</v>
      </c>
      <c r="BQ488" s="834" t="str">
        <f t="shared" si="290"/>
        <v>Alto</v>
      </c>
      <c r="BR488" s="836">
        <f t="shared" si="280"/>
        <v>19.948548819488792</v>
      </c>
      <c r="BS488" s="836">
        <f t="shared" si="281"/>
        <v>81.25</v>
      </c>
      <c r="BT488" s="837" t="str">
        <f t="shared" si="282"/>
        <v>P3</v>
      </c>
      <c r="BU488" s="807" t="str">
        <f t="shared" si="291"/>
        <v>Con espacio</v>
      </c>
      <c r="BV488" s="807" t="str">
        <f t="shared" si="283"/>
        <v>Zona atractiva</v>
      </c>
      <c r="BW488" s="808" t="str">
        <f t="shared" si="284"/>
        <v>P3 - Desarrollar</v>
      </c>
    </row>
    <row r="489" spans="1:75">
      <c r="A489" s="780" t="str">
        <f>'Base de datos Rutas'!A487</f>
        <v>Occidente</v>
      </c>
      <c r="B489" s="781" t="str">
        <f>'Base de datos Rutas'!B487</f>
        <v>Zapopan</v>
      </c>
      <c r="C489" s="781" t="str">
        <f>'Base de datos Rutas'!C487</f>
        <v>Suc. Huentitán</v>
      </c>
      <c r="D489" s="782">
        <f>IF(ISNUMBER('Base de datos Rutas'!D487),'Base de datos Rutas'!D487,"Sin código")</f>
        <v>819343</v>
      </c>
      <c r="E489" s="783" t="str">
        <f>'Base de datos Rutas'!F487</f>
        <v>Activa</v>
      </c>
      <c r="F489" s="784" t="str">
        <f>'Base de datos Rutas'!H487</f>
        <v>Sí</v>
      </c>
      <c r="G489" s="785">
        <f>IF(ISNUMBER('Base de datos Rutas'!BE487),'Base de datos Rutas'!BE487,"")</f>
        <v>67.862385321100902</v>
      </c>
      <c r="H489" s="786">
        <f>IF(ISNUMBER('Base de datos Rutas'!BH487),'Base de datos Rutas'!BH487,"")</f>
        <v>0.45322428011355997</v>
      </c>
      <c r="I489" s="788">
        <f>IFERROR(IF(OR(NOT(ISNUMBER('Base de datos Rutas'!O487)),N('Base de datos Rutas'!BK487)=0),"",'Base de datos Rutas'!O487/('Base de datos Rutas'!L487/'Base de datos Rutas'!BK487)),"")</f>
        <v>3056.2155963302739</v>
      </c>
      <c r="J489" s="788">
        <f>IFERROR(IF(OR(NOT(ISNUMBER('Base de datos Rutas'!N487)),N('Base de datos Rutas'!BK487)=0),"",'Base de datos Rutas'!N487/('Base de datos Rutas'!L487/'Base de datos Rutas'!BK487)),"")</f>
        <v>6191.334862385319</v>
      </c>
      <c r="K489" s="788">
        <f>IFERROR(IF(OR(NOT(ISNUMBER('Base de datos Rutas'!J487)),N('Base de datos Rutas'!BK487)=0),"",'Base de datos Rutas'!J487/('Base de datos Rutas'!L487/'Base de datos Rutas'!BK487)),"")</f>
        <v>428.09278348623837</v>
      </c>
      <c r="L489" s="788">
        <f>IFERROR(IF(OR(NOT(ISNUMBER('Base de datos Rutas'!K487)),N('Base de datos Rutas'!BK487)=0),"",'Base de datos Rutas'!K487/('Base de datos Rutas'!L487/'Base de datos Rutas'!BK487)),"")</f>
        <v>24.587633887614668</v>
      </c>
      <c r="M489" s="787">
        <f>IF(ISNUMBER('Base de datos Rutas'!AX487),'Base de datos Rutas'!AX487,"")</f>
        <v>300.66569276659197</v>
      </c>
      <c r="N489" s="790">
        <f>IFERROR(INDEX('Hoja de apoyo v2'!B$17:B$20,MATCH($A489,'Hoja de apoyo v2'!$A$17:$A$20,0)),"")</f>
        <v>89.41621024641401</v>
      </c>
      <c r="O489" s="791">
        <f>IFERROR(INDEX('Hoja de apoyo v2'!C$17:C$20,MATCH($A489,'Hoja de apoyo v2'!$A$17:$A$20,0)),"")</f>
        <v>0.54706375874806301</v>
      </c>
      <c r="P489" s="793">
        <f>IFERROR(INDEX('Hoja de apoyo v2'!D$17:D$20,MATCH($A489,'Hoja de apoyo v2'!$A$17:$A$20,0)),"")</f>
        <v>11095.153935793827</v>
      </c>
      <c r="Q489" s="793">
        <f>IFERROR(INDEX('Hoja de apoyo v2'!E$17:E$20,MATCH($A489,'Hoja de apoyo v2'!$A$17:$A$20,0)),"")</f>
        <v>6982.3202019701848</v>
      </c>
      <c r="R489" s="793">
        <f>IFERROR(INDEX('Hoja de apoyo v2'!F$17:F$20,MATCH($A489,'Hoja de apoyo v2'!$A$17:$A$20,0)),"")</f>
        <v>448.09513474485743</v>
      </c>
      <c r="S489" s="793">
        <f>IFERROR(INDEX('Hoja de apoyo v2'!G$17:G$20,MATCH($A489,'Hoja de apoyo v2'!$A$17:$A$20,0)),"")</f>
        <v>83.406300904207839</v>
      </c>
      <c r="T489" s="792">
        <f>IFERROR(INDEX('Hoja de apoyo v2'!H$17:H$20,MATCH($A489,'Hoja de apoyo v2'!$A$17:$A$20,0)),"")</f>
        <v>378.97014028925349</v>
      </c>
      <c r="U489" s="794">
        <f t="shared" si="256"/>
        <v>0.75894946938687202</v>
      </c>
      <c r="V489" s="795">
        <f t="shared" si="257"/>
        <v>0.82846701662480526</v>
      </c>
      <c r="W489" s="795">
        <f t="shared" si="258"/>
        <v>0.27545499720113709</v>
      </c>
      <c r="X489" s="843">
        <f t="shared" si="259"/>
        <v>0.88671597453212248</v>
      </c>
      <c r="Y489" s="843">
        <f t="shared" si="260"/>
        <v>0.95536137371808716</v>
      </c>
      <c r="Z489" s="843">
        <f t="shared" si="261"/>
        <v>0.29479348227963703</v>
      </c>
      <c r="AA489" s="843">
        <f t="shared" si="262"/>
        <v>0.79337568003934367</v>
      </c>
      <c r="AB489" s="796">
        <f t="shared" si="263"/>
        <v>3</v>
      </c>
      <c r="AC489" s="797">
        <f t="shared" si="264"/>
        <v>3</v>
      </c>
      <c r="AD489" s="797">
        <f t="shared" si="265"/>
        <v>1</v>
      </c>
      <c r="AE489" s="842">
        <f t="shared" si="266"/>
        <v>3</v>
      </c>
      <c r="AF489" s="842">
        <f t="shared" si="267"/>
        <v>3</v>
      </c>
      <c r="AG489" s="842">
        <f t="shared" si="268"/>
        <v>1</v>
      </c>
      <c r="AH489" s="842">
        <f t="shared" si="269"/>
        <v>3</v>
      </c>
      <c r="AI489" s="826" cm="1">
        <f t="array" ref="AI489">SUMPRODUCT(--ISNUMBER($U489:$AA489),$AB$3:$AH$3)</f>
        <v>1</v>
      </c>
      <c r="AJ489" s="829">
        <f t="shared" si="270"/>
        <v>30.993523525224564</v>
      </c>
      <c r="AK489" s="827" t="str">
        <f t="shared" si="271"/>
        <v>Inmadura</v>
      </c>
      <c r="AL489" s="784" t="str">
        <f t="shared" si="272"/>
        <v>Alta</v>
      </c>
      <c r="AM489" s="799">
        <f>IF(ISNUMBER('Base de datos Rutas'!W487),'Base de datos Rutas'!W487,"")</f>
        <v>2866.2444123371242</v>
      </c>
      <c r="AN489" s="787">
        <f>IFERROR(SUMIFS('Base de datos Rutas'!$W$6:$W$794,'Base de datos Rutas'!$C$6:$C$794,$C489)/'Base de datos Rutas'!I487,"")</f>
        <v>2866.2444123371242</v>
      </c>
      <c r="AO489" s="800">
        <f>IFERROR('Base de datos Rutas'!X487*AN489/AM489,"")</f>
        <v>0.40462988446513853</v>
      </c>
      <c r="AP489" s="800">
        <f t="shared" si="273"/>
        <v>0.59537011553486141</v>
      </c>
      <c r="AQ489" s="789">
        <f>IFERROR(INDEX('Hoja de apoyo v2'!$J$17:$J$20,MATCH($A489,'Hoja de apoyo v2'!$A$17:$A$20,0)),"")</f>
        <v>0.64320274048480885</v>
      </c>
      <c r="AR489" s="789">
        <f t="shared" si="274"/>
        <v>-4.7832624949947444E-2</v>
      </c>
      <c r="AS489" s="784" t="str">
        <f t="shared" si="275"/>
        <v>No</v>
      </c>
      <c r="AT489" s="801">
        <f>IF(ISNUMBER('Base de datos Rutas'!CK487),'Base de datos Rutas'!CK487,"")</f>
        <v>248</v>
      </c>
      <c r="AU489" s="802">
        <f>IF(ISNUMBER('Base de datos Rutas'!CL487),'Base de datos Rutas'!CL487,"")</f>
        <v>419.62</v>
      </c>
      <c r="AV489" s="802">
        <f>IF(ISNUMBER('Base de datos Rutas'!CM487),'Base de datos Rutas'!CM487,"")</f>
        <v>171.62</v>
      </c>
      <c r="AW489" s="802">
        <f>IF(ISNUMBER('Base de datos Rutas'!CN487),'Base de datos Rutas'!CN487,"")</f>
        <v>5.86</v>
      </c>
      <c r="AX489" s="802">
        <f>IF(ISNUMBER('Base de datos Rutas'!CO487),'Base de datos Rutas'!CO487,"")</f>
        <v>9.4499999999999993</v>
      </c>
      <c r="AY489" s="802">
        <f>IF(ISNUMBER('Base de datos Rutas'!CP487),'Base de datos Rutas'!CP487,"")</f>
        <v>3.589999999999999</v>
      </c>
      <c r="AZ489" s="802">
        <f>IF(ISNUMBER('Base de datos Rutas'!CQ487),'Base de datos Rutas'!CQ487,"")</f>
        <v>846.56</v>
      </c>
      <c r="BA489" s="802">
        <f>IF(ISNUMBER('Base de datos Rutas'!CR487),'Base de datos Rutas'!CR487,"")</f>
        <v>452.68</v>
      </c>
      <c r="BB489" s="803">
        <f>IF(ISNUMBER('Base de datos Rutas'!CS487),'Base de datos Rutas'!CS487,"")</f>
        <v>393.87999999999994</v>
      </c>
      <c r="BC489" s="804">
        <f t="shared" si="285"/>
        <v>0</v>
      </c>
      <c r="BD489" s="805" t="str">
        <f t="shared" si="286"/>
        <v>No saturada</v>
      </c>
      <c r="BE489" s="806">
        <f t="shared" si="287"/>
        <v>0.53472878472878482</v>
      </c>
      <c r="BF489" s="890">
        <f>IF(ISNUMBER('Base de datos Rutas'!CX487),'Base de datos Rutas'!CX487/100,"")</f>
        <v>0.90677892449755571</v>
      </c>
      <c r="BG489" s="891">
        <f>IF(ISNUMBER('Base de datos Rutas'!CZ487),'Base de datos Rutas'!CZ487/100,"")</f>
        <v>1</v>
      </c>
      <c r="BH489" s="892">
        <f>IF(ISNUMBER('Base de datos Rutas'!DA487),'Base de datos Rutas'!DA487,"")</f>
        <v>928.36502171299105</v>
      </c>
      <c r="BI489" s="893">
        <f>IF(ISNUMBER('Base de datos Rutas'!DC487),'Base de datos Rutas'!DC487,"")</f>
        <v>44.710844570758518</v>
      </c>
      <c r="BJ489" s="805" t="str">
        <f t="shared" si="288"/>
        <v>Ruta (completo)</v>
      </c>
      <c r="BK489" s="783">
        <f t="shared" si="276"/>
        <v>4</v>
      </c>
      <c r="BL489" s="797">
        <f t="shared" si="277"/>
        <v>4</v>
      </c>
      <c r="BM489" s="797">
        <f t="shared" si="278"/>
        <v>5</v>
      </c>
      <c r="BN489" s="797">
        <f t="shared" si="279"/>
        <v>5</v>
      </c>
      <c r="BO489" s="798" cm="1">
        <f t="array" ref="BO489">SUMPRODUCT(--ISNUMBER($BF489:$BI489),$BK$3:$BN$3)</f>
        <v>1</v>
      </c>
      <c r="BP489" s="831">
        <f t="shared" si="289"/>
        <v>87.5</v>
      </c>
      <c r="BQ489" s="834" t="str">
        <f t="shared" si="290"/>
        <v>Alto</v>
      </c>
      <c r="BR489" s="836">
        <f t="shared" si="280"/>
        <v>23.245142643918424</v>
      </c>
      <c r="BS489" s="836">
        <f t="shared" si="281"/>
        <v>87.5</v>
      </c>
      <c r="BT489" s="837" t="str">
        <f t="shared" si="282"/>
        <v>P3</v>
      </c>
      <c r="BU489" s="807" t="str">
        <f t="shared" si="291"/>
        <v>Con espacio</v>
      </c>
      <c r="BV489" s="807" t="str">
        <f t="shared" si="283"/>
        <v>Zona atractiva</v>
      </c>
      <c r="BW489" s="808" t="str">
        <f t="shared" si="284"/>
        <v>P3 - Desarrollar</v>
      </c>
    </row>
    <row r="490" spans="1:75">
      <c r="A490" s="780" t="str">
        <f>'Base de datos Rutas'!A488</f>
        <v>Occidente</v>
      </c>
      <c r="B490" s="781" t="str">
        <f>'Base de datos Rutas'!B488</f>
        <v>Zapopan</v>
      </c>
      <c r="C490" s="781" t="str">
        <f>'Base de datos Rutas'!C488</f>
        <v>Suc. Huentitán</v>
      </c>
      <c r="D490" s="782">
        <f>IF(ISNUMBER('Base de datos Rutas'!D488),'Base de datos Rutas'!D488,"Sin código")</f>
        <v>819344</v>
      </c>
      <c r="E490" s="783" t="str">
        <f>'Base de datos Rutas'!F488</f>
        <v>Activa</v>
      </c>
      <c r="F490" s="784" t="str">
        <f>'Base de datos Rutas'!H488</f>
        <v>Sí</v>
      </c>
      <c r="G490" s="785">
        <f>IF(ISNUMBER('Base de datos Rutas'!BE488),'Base de datos Rutas'!BE488,"")</f>
        <v>86.156682027649794</v>
      </c>
      <c r="H490" s="786">
        <f>IF(ISNUMBER('Base de datos Rutas'!BH488),'Base de datos Rutas'!BH488,"")</f>
        <v>0.47117030380830099</v>
      </c>
      <c r="I490" s="788">
        <f>IFERROR(IF(OR(NOT(ISNUMBER('Base de datos Rutas'!O488)),N('Base de datos Rutas'!BK488)=0),"",'Base de datos Rutas'!O488/('Base de datos Rutas'!L488/'Base de datos Rutas'!BK488)),"")</f>
        <v>2514.7281105990714</v>
      </c>
      <c r="J490" s="788">
        <f>IFERROR(IF(OR(NOT(ISNUMBER('Base de datos Rutas'!N488)),N('Base de datos Rutas'!BK488)=0),"",'Base de datos Rutas'!N488/('Base de datos Rutas'!L488/'Base de datos Rutas'!BK488)),"")</f>
        <v>6543.1036866359264</v>
      </c>
      <c r="K490" s="788">
        <f>IFERROR(IF(OR(NOT(ISNUMBER('Base de datos Rutas'!J488)),N('Base de datos Rutas'!BK488)=0),"",'Base de datos Rutas'!J488/('Base de datos Rutas'!L488/'Base de datos Rutas'!BK488)),"")</f>
        <v>449.7309419354803</v>
      </c>
      <c r="L490" s="788">
        <f>IFERROR(IF(OR(NOT(ISNUMBER('Base de datos Rutas'!K488)),N('Base de datos Rutas'!BK488)=0),"",'Base de datos Rutas'!K488/('Base de datos Rutas'!L488/'Base de datos Rutas'!BK488)),"")</f>
        <v>18.744171601382437</v>
      </c>
      <c r="M490" s="787">
        <f>IF(ISNUMBER('Base de datos Rutas'!AX488),'Base de datos Rutas'!AX488,"")</f>
        <v>223.832768759224</v>
      </c>
      <c r="N490" s="790">
        <f>IFERROR(INDEX('Hoja de apoyo v2'!B$17:B$20,MATCH($A490,'Hoja de apoyo v2'!$A$17:$A$20,0)),"")</f>
        <v>89.41621024641401</v>
      </c>
      <c r="O490" s="791">
        <f>IFERROR(INDEX('Hoja de apoyo v2'!C$17:C$20,MATCH($A490,'Hoja de apoyo v2'!$A$17:$A$20,0)),"")</f>
        <v>0.54706375874806301</v>
      </c>
      <c r="P490" s="793">
        <f>IFERROR(INDEX('Hoja de apoyo v2'!D$17:D$20,MATCH($A490,'Hoja de apoyo v2'!$A$17:$A$20,0)),"")</f>
        <v>11095.153935793827</v>
      </c>
      <c r="Q490" s="793">
        <f>IFERROR(INDEX('Hoja de apoyo v2'!E$17:E$20,MATCH($A490,'Hoja de apoyo v2'!$A$17:$A$20,0)),"")</f>
        <v>6982.3202019701848</v>
      </c>
      <c r="R490" s="793">
        <f>IFERROR(INDEX('Hoja de apoyo v2'!F$17:F$20,MATCH($A490,'Hoja de apoyo v2'!$A$17:$A$20,0)),"")</f>
        <v>448.09513474485743</v>
      </c>
      <c r="S490" s="793">
        <f>IFERROR(INDEX('Hoja de apoyo v2'!G$17:G$20,MATCH($A490,'Hoja de apoyo v2'!$A$17:$A$20,0)),"")</f>
        <v>83.406300904207839</v>
      </c>
      <c r="T490" s="792">
        <f>IFERROR(INDEX('Hoja de apoyo v2'!H$17:H$20,MATCH($A490,'Hoja de apoyo v2'!$A$17:$A$20,0)),"")</f>
        <v>378.97014028925349</v>
      </c>
      <c r="U490" s="794">
        <f t="shared" si="256"/>
        <v>0.96354656264471983</v>
      </c>
      <c r="V490" s="795">
        <f t="shared" si="257"/>
        <v>0.86127128012749077</v>
      </c>
      <c r="W490" s="795">
        <f t="shared" si="258"/>
        <v>0.22665103387942762</v>
      </c>
      <c r="X490" s="843">
        <f t="shared" si="259"/>
        <v>0.93709590757377104</v>
      </c>
      <c r="Y490" s="843">
        <f t="shared" si="260"/>
        <v>1.0036505801196756</v>
      </c>
      <c r="Z490" s="843">
        <f t="shared" si="261"/>
        <v>0.22473328031787579</v>
      </c>
      <c r="AA490" s="843">
        <f t="shared" si="262"/>
        <v>0.59063431379680986</v>
      </c>
      <c r="AB490" s="796">
        <f t="shared" si="263"/>
        <v>3</v>
      </c>
      <c r="AC490" s="797">
        <f t="shared" si="264"/>
        <v>3</v>
      </c>
      <c r="AD490" s="797">
        <f t="shared" si="265"/>
        <v>1</v>
      </c>
      <c r="AE490" s="842">
        <f t="shared" si="266"/>
        <v>3</v>
      </c>
      <c r="AF490" s="842">
        <f t="shared" si="267"/>
        <v>4</v>
      </c>
      <c r="AG490" s="842">
        <f t="shared" si="268"/>
        <v>1</v>
      </c>
      <c r="AH490" s="842">
        <f t="shared" si="269"/>
        <v>2</v>
      </c>
      <c r="AI490" s="826" cm="1">
        <f t="array" ref="AI490">SUMPRODUCT(--ISNUMBER($U490:$AA490),$AB$3:$AH$3)</f>
        <v>1</v>
      </c>
      <c r="AJ490" s="829">
        <f t="shared" si="270"/>
        <v>31.674840196937794</v>
      </c>
      <c r="AK490" s="827" t="str">
        <f t="shared" si="271"/>
        <v>Inmadura</v>
      </c>
      <c r="AL490" s="784" t="str">
        <f t="shared" si="272"/>
        <v>Alta</v>
      </c>
      <c r="AM490" s="799">
        <f>IF(ISNUMBER('Base de datos Rutas'!W488),'Base de datos Rutas'!W488,"")</f>
        <v>2866.2444123371242</v>
      </c>
      <c r="AN490" s="787">
        <f>IFERROR(SUMIFS('Base de datos Rutas'!$W$6:$W$794,'Base de datos Rutas'!$C$6:$C$794,$C490)/'Base de datos Rutas'!I488,"")</f>
        <v>2866.2444123371242</v>
      </c>
      <c r="AO490" s="800">
        <f>IFERROR('Base de datos Rutas'!X488*AN490/AM490,"")</f>
        <v>0.40462988446513853</v>
      </c>
      <c r="AP490" s="800">
        <f t="shared" si="273"/>
        <v>0.59537011553486141</v>
      </c>
      <c r="AQ490" s="789">
        <f>IFERROR(INDEX('Hoja de apoyo v2'!$J$17:$J$20,MATCH($A490,'Hoja de apoyo v2'!$A$17:$A$20,0)),"")</f>
        <v>0.64320274048480885</v>
      </c>
      <c r="AR490" s="789">
        <f t="shared" si="274"/>
        <v>-4.7832624949947444E-2</v>
      </c>
      <c r="AS490" s="784" t="str">
        <f t="shared" si="275"/>
        <v>No</v>
      </c>
      <c r="AT490" s="801">
        <f>IF(ISNUMBER('Base de datos Rutas'!CK488),'Base de datos Rutas'!CK488,"")</f>
        <v>288</v>
      </c>
      <c r="AU490" s="802">
        <f>IF(ISNUMBER('Base de datos Rutas'!CL488),'Base de datos Rutas'!CL488,"")</f>
        <v>397.6</v>
      </c>
      <c r="AV490" s="802">
        <f>IF(ISNUMBER('Base de datos Rutas'!CM488),'Base de datos Rutas'!CM488,"")</f>
        <v>109.60000000000002</v>
      </c>
      <c r="AW490" s="802">
        <f>IF(ISNUMBER('Base de datos Rutas'!CN488),'Base de datos Rutas'!CN488,"")</f>
        <v>7.01</v>
      </c>
      <c r="AX490" s="802">
        <f>IF(ISNUMBER('Base de datos Rutas'!CO488),'Base de datos Rutas'!CO488,"")</f>
        <v>9.4499999999999993</v>
      </c>
      <c r="AY490" s="802">
        <f>IF(ISNUMBER('Base de datos Rutas'!CP488),'Base de datos Rutas'!CP488,"")</f>
        <v>2.4399999999999995</v>
      </c>
      <c r="AZ490" s="802">
        <f>IF(ISNUMBER('Base de datos Rutas'!CQ488),'Base de datos Rutas'!CQ488,"")</f>
        <v>846.56</v>
      </c>
      <c r="BA490" s="802">
        <f>IF(ISNUMBER('Base de datos Rutas'!CR488),'Base de datos Rutas'!CR488,"")</f>
        <v>468.48</v>
      </c>
      <c r="BB490" s="803">
        <f>IF(ISNUMBER('Base de datos Rutas'!CS488),'Base de datos Rutas'!CS488,"")</f>
        <v>378.07999999999993</v>
      </c>
      <c r="BC490" s="804">
        <f t="shared" si="285"/>
        <v>0</v>
      </c>
      <c r="BD490" s="805" t="str">
        <f t="shared" si="286"/>
        <v>No saturada</v>
      </c>
      <c r="BE490" s="806">
        <f t="shared" si="287"/>
        <v>0.55339255339255344</v>
      </c>
      <c r="BF490" s="890">
        <f>IF(ISNUMBER('Base de datos Rutas'!CX488),'Base de datos Rutas'!CX488/100,"")</f>
        <v>0.94107526881720427</v>
      </c>
      <c r="BG490" s="891">
        <f>IF(ISNUMBER('Base de datos Rutas'!CZ488),'Base de datos Rutas'!CZ488/100,"")</f>
        <v>1</v>
      </c>
      <c r="BH490" s="892">
        <f>IF(ISNUMBER('Base de datos Rutas'!DA488),'Base de datos Rutas'!DA488,"")</f>
        <v>749.32127335499592</v>
      </c>
      <c r="BI490" s="893">
        <f>IF(ISNUMBER('Base de datos Rutas'!DC488),'Base de datos Rutas'!DC488,"")</f>
        <v>37.047461413484967</v>
      </c>
      <c r="BJ490" s="805" t="str">
        <f t="shared" si="288"/>
        <v>Ruta (completo)</v>
      </c>
      <c r="BK490" s="783">
        <f t="shared" si="276"/>
        <v>5</v>
      </c>
      <c r="BL490" s="797">
        <f t="shared" si="277"/>
        <v>4</v>
      </c>
      <c r="BM490" s="797">
        <f t="shared" si="278"/>
        <v>4</v>
      </c>
      <c r="BN490" s="797">
        <f t="shared" si="279"/>
        <v>4</v>
      </c>
      <c r="BO490" s="798" cm="1">
        <f t="array" ref="BO490">SUMPRODUCT(--ISNUMBER($BF490:$BI490),$BK$3:$BN$3)</f>
        <v>1</v>
      </c>
      <c r="BP490" s="831">
        <f t="shared" si="289"/>
        <v>81.25</v>
      </c>
      <c r="BQ490" s="834" t="str">
        <f t="shared" si="290"/>
        <v>Alto</v>
      </c>
      <c r="BR490" s="836">
        <f t="shared" si="280"/>
        <v>23.756130147703345</v>
      </c>
      <c r="BS490" s="836">
        <f t="shared" si="281"/>
        <v>81.25</v>
      </c>
      <c r="BT490" s="837" t="str">
        <f t="shared" si="282"/>
        <v>P3</v>
      </c>
      <c r="BU490" s="807" t="str">
        <f t="shared" si="291"/>
        <v>Con espacio</v>
      </c>
      <c r="BV490" s="807" t="str">
        <f t="shared" si="283"/>
        <v>Zona atractiva</v>
      </c>
      <c r="BW490" s="808" t="str">
        <f t="shared" si="284"/>
        <v>P3 - Desarrollar</v>
      </c>
    </row>
    <row r="491" spans="1:75">
      <c r="A491" s="780" t="str">
        <f>'Base de datos Rutas'!A489</f>
        <v>Occidente</v>
      </c>
      <c r="B491" s="781" t="str">
        <f>'Base de datos Rutas'!B489</f>
        <v>Zapopan</v>
      </c>
      <c r="C491" s="781" t="str">
        <f>'Base de datos Rutas'!C489</f>
        <v>Suc. Huentitán</v>
      </c>
      <c r="D491" s="782">
        <f>IF(ISNUMBER('Base de datos Rutas'!D489),'Base de datos Rutas'!D489,"Sin código")</f>
        <v>819345</v>
      </c>
      <c r="E491" s="783" t="str">
        <f>'Base de datos Rutas'!F489</f>
        <v>Activa</v>
      </c>
      <c r="F491" s="784" t="str">
        <f>'Base de datos Rutas'!H489</f>
        <v>Sí</v>
      </c>
      <c r="G491" s="785">
        <f>IF(ISNUMBER('Base de datos Rutas'!BE489),'Base de datos Rutas'!BE489,"")</f>
        <v>100.87703016241301</v>
      </c>
      <c r="H491" s="786">
        <f>IF(ISNUMBER('Base de datos Rutas'!BH489),'Base de datos Rutas'!BH489,"")</f>
        <v>0.216845301071806</v>
      </c>
      <c r="I491" s="788">
        <f>IFERROR(IF(OR(NOT(ISNUMBER('Base de datos Rutas'!O489)),N('Base de datos Rutas'!BK489)=0),"",'Base de datos Rutas'!O489/('Base de datos Rutas'!L489/'Base de datos Rutas'!BK489)),"")</f>
        <v>3730.6032482598575</v>
      </c>
      <c r="J491" s="788">
        <f>IFERROR(IF(OR(NOT(ISNUMBER('Base de datos Rutas'!N489)),N('Base de datos Rutas'!BK489)=0),"",'Base de datos Rutas'!N489/('Base de datos Rutas'!L489/'Base de datos Rutas'!BK489)),"")</f>
        <v>6683.9628770301561</v>
      </c>
      <c r="K491" s="788">
        <f>IFERROR(IF(OR(NOT(ISNUMBER('Base de datos Rutas'!J489)),N('Base de datos Rutas'!BK489)=0),"",'Base de datos Rutas'!J489/('Base de datos Rutas'!L489/'Base de datos Rutas'!BK489)),"")</f>
        <v>464.9649726218093</v>
      </c>
      <c r="L491" s="788">
        <f>IFERROR(IF(OR(NOT(ISNUMBER('Base de datos Rutas'!K489)),N('Base de datos Rutas'!BK489)=0),"",'Base de datos Rutas'!K489/('Base de datos Rutas'!L489/'Base de datos Rutas'!BK489)),"")</f>
        <v>29.149967245939649</v>
      </c>
      <c r="M491" s="787">
        <f>IF(ISNUMBER('Base de datos Rutas'!AX489),'Base de datos Rutas'!AX489,"")</f>
        <v>475.96153691132798</v>
      </c>
      <c r="N491" s="790">
        <f>IFERROR(INDEX('Hoja de apoyo v2'!B$17:B$20,MATCH($A491,'Hoja de apoyo v2'!$A$17:$A$20,0)),"")</f>
        <v>89.41621024641401</v>
      </c>
      <c r="O491" s="791">
        <f>IFERROR(INDEX('Hoja de apoyo v2'!C$17:C$20,MATCH($A491,'Hoja de apoyo v2'!$A$17:$A$20,0)),"")</f>
        <v>0.54706375874806301</v>
      </c>
      <c r="P491" s="793">
        <f>IFERROR(INDEX('Hoja de apoyo v2'!D$17:D$20,MATCH($A491,'Hoja de apoyo v2'!$A$17:$A$20,0)),"")</f>
        <v>11095.153935793827</v>
      </c>
      <c r="Q491" s="793">
        <f>IFERROR(INDEX('Hoja de apoyo v2'!E$17:E$20,MATCH($A491,'Hoja de apoyo v2'!$A$17:$A$20,0)),"")</f>
        <v>6982.3202019701848</v>
      </c>
      <c r="R491" s="793">
        <f>IFERROR(INDEX('Hoja de apoyo v2'!F$17:F$20,MATCH($A491,'Hoja de apoyo v2'!$A$17:$A$20,0)),"")</f>
        <v>448.09513474485743</v>
      </c>
      <c r="S491" s="793">
        <f>IFERROR(INDEX('Hoja de apoyo v2'!G$17:G$20,MATCH($A491,'Hoja de apoyo v2'!$A$17:$A$20,0)),"")</f>
        <v>83.406300904207839</v>
      </c>
      <c r="T491" s="792">
        <f>IFERROR(INDEX('Hoja de apoyo v2'!H$17:H$20,MATCH($A491,'Hoja de apoyo v2'!$A$17:$A$20,0)),"")</f>
        <v>378.97014028925349</v>
      </c>
      <c r="U491" s="794">
        <f t="shared" si="256"/>
        <v>1.1281738499586951</v>
      </c>
      <c r="V491" s="795">
        <f t="shared" si="257"/>
        <v>0.39638030778724798</v>
      </c>
      <c r="W491" s="795">
        <f t="shared" si="258"/>
        <v>0.33623717794708929</v>
      </c>
      <c r="X491" s="843">
        <f t="shared" si="259"/>
        <v>0.95726960146344453</v>
      </c>
      <c r="Y491" s="843">
        <f t="shared" si="260"/>
        <v>1.0376478934245903</v>
      </c>
      <c r="Z491" s="843">
        <f t="shared" si="261"/>
        <v>0.34949358657469293</v>
      </c>
      <c r="AA491" s="843">
        <f t="shared" si="262"/>
        <v>1.2559341391594721</v>
      </c>
      <c r="AB491" s="796">
        <f t="shared" si="263"/>
        <v>4</v>
      </c>
      <c r="AC491" s="797">
        <f t="shared" si="264"/>
        <v>1</v>
      </c>
      <c r="AD491" s="797">
        <f t="shared" si="265"/>
        <v>1</v>
      </c>
      <c r="AE491" s="842">
        <f t="shared" si="266"/>
        <v>3</v>
      </c>
      <c r="AF491" s="842">
        <f t="shared" si="267"/>
        <v>4</v>
      </c>
      <c r="AG491" s="842">
        <f t="shared" si="268"/>
        <v>1</v>
      </c>
      <c r="AH491" s="842">
        <f t="shared" si="269"/>
        <v>5</v>
      </c>
      <c r="AI491" s="826" cm="1">
        <f t="array" ref="AI491">SUMPRODUCT(--ISNUMBER($U491:$AA491),$AB$3:$AH$3)</f>
        <v>1</v>
      </c>
      <c r="AJ491" s="829">
        <f t="shared" si="270"/>
        <v>38.17684872427327</v>
      </c>
      <c r="AK491" s="827" t="str">
        <f t="shared" si="271"/>
        <v>Inmadura</v>
      </c>
      <c r="AL491" s="784" t="str">
        <f t="shared" si="272"/>
        <v>Alta</v>
      </c>
      <c r="AM491" s="799">
        <f>IF(ISNUMBER('Base de datos Rutas'!W489),'Base de datos Rutas'!W489,"")</f>
        <v>2866.2444123371242</v>
      </c>
      <c r="AN491" s="787">
        <f>IFERROR(SUMIFS('Base de datos Rutas'!$W$6:$W$794,'Base de datos Rutas'!$C$6:$C$794,$C491)/'Base de datos Rutas'!I489,"")</f>
        <v>2866.2444123371242</v>
      </c>
      <c r="AO491" s="800">
        <f>IFERROR('Base de datos Rutas'!X489*AN491/AM491,"")</f>
        <v>0.40462988446513853</v>
      </c>
      <c r="AP491" s="800">
        <f t="shared" si="273"/>
        <v>0.59537011553486141</v>
      </c>
      <c r="AQ491" s="789">
        <f>IFERROR(INDEX('Hoja de apoyo v2'!$J$17:$J$20,MATCH($A491,'Hoja de apoyo v2'!$A$17:$A$20,0)),"")</f>
        <v>0.64320274048480885</v>
      </c>
      <c r="AR491" s="789">
        <f t="shared" si="274"/>
        <v>-4.7832624949947444E-2</v>
      </c>
      <c r="AS491" s="784" t="str">
        <f t="shared" si="275"/>
        <v>No</v>
      </c>
      <c r="AT491" s="801">
        <f>IF(ISNUMBER('Base de datos Rutas'!CK489),'Base de datos Rutas'!CK489,"")</f>
        <v>366</v>
      </c>
      <c r="AU491" s="802">
        <f>IF(ISNUMBER('Base de datos Rutas'!CL489),'Base de datos Rutas'!CL489,"")</f>
        <v>509.19</v>
      </c>
      <c r="AV491" s="802">
        <f>IF(ISNUMBER('Base de datos Rutas'!CM489),'Base de datos Rutas'!CM489,"")</f>
        <v>143.19</v>
      </c>
      <c r="AW491" s="802">
        <f>IF(ISNUMBER('Base de datos Rutas'!CN489),'Base de datos Rutas'!CN489,"")</f>
        <v>9.98</v>
      </c>
      <c r="AX491" s="802">
        <f>IF(ISNUMBER('Base de datos Rutas'!CO489),'Base de datos Rutas'!CO489,"")</f>
        <v>9.4499999999999993</v>
      </c>
      <c r="AY491" s="802">
        <f>IF(ISNUMBER('Base de datos Rutas'!CP489),'Base de datos Rutas'!CP489,"")</f>
        <v>-0.53000000000000114</v>
      </c>
      <c r="AZ491" s="802">
        <f>IF(ISNUMBER('Base de datos Rutas'!CQ489),'Base de datos Rutas'!CQ489,"")</f>
        <v>846.56</v>
      </c>
      <c r="BA491" s="802">
        <f>IF(ISNUMBER('Base de datos Rutas'!CR489),'Base de datos Rutas'!CR489,"")</f>
        <v>494.11</v>
      </c>
      <c r="BB491" s="803">
        <f>IF(ISNUMBER('Base de datos Rutas'!CS489),'Base de datos Rutas'!CS489,"")</f>
        <v>352.44999999999993</v>
      </c>
      <c r="BC491" s="804">
        <f t="shared" si="285"/>
        <v>1</v>
      </c>
      <c r="BD491" s="805" t="str">
        <f t="shared" si="286"/>
        <v>Saturada</v>
      </c>
      <c r="BE491" s="806">
        <f t="shared" si="287"/>
        <v>0.58366802116802119</v>
      </c>
      <c r="BF491" s="890">
        <f>IF(ISNUMBER('Base de datos Rutas'!CX489),'Base de datos Rutas'!CX489/100,"")</f>
        <v>0.79780805205368044</v>
      </c>
      <c r="BG491" s="891">
        <f>IF(ISNUMBER('Base de datos Rutas'!CZ489),'Base de datos Rutas'!CZ489/100,"")</f>
        <v>0.85603904026026845</v>
      </c>
      <c r="BH491" s="892">
        <f>IF(ISNUMBER('Base de datos Rutas'!DA489),'Base de datos Rutas'!DA489,"")</f>
        <v>847.42472302176247</v>
      </c>
      <c r="BI491" s="893">
        <f>IF(ISNUMBER('Base de datos Rutas'!DC489),'Base de datos Rutas'!DC489,"")</f>
        <v>40.330955848727413</v>
      </c>
      <c r="BJ491" s="805" t="str">
        <f t="shared" si="288"/>
        <v>Ruta (completo)</v>
      </c>
      <c r="BK491" s="783">
        <f t="shared" si="276"/>
        <v>4</v>
      </c>
      <c r="BL491" s="797">
        <f t="shared" si="277"/>
        <v>4</v>
      </c>
      <c r="BM491" s="797">
        <f t="shared" si="278"/>
        <v>5</v>
      </c>
      <c r="BN491" s="797">
        <f t="shared" si="279"/>
        <v>4</v>
      </c>
      <c r="BO491" s="798" cm="1">
        <f t="array" ref="BO491">SUMPRODUCT(--ISNUMBER($BF491:$BI491),$BK$3:$BN$3)</f>
        <v>1</v>
      </c>
      <c r="BP491" s="831">
        <f t="shared" si="289"/>
        <v>81.25</v>
      </c>
      <c r="BQ491" s="834" t="str">
        <f t="shared" si="290"/>
        <v>Alto</v>
      </c>
      <c r="BR491" s="836">
        <f t="shared" si="280"/>
        <v>53.632636543204953</v>
      </c>
      <c r="BS491" s="836">
        <f t="shared" si="281"/>
        <v>81.25</v>
      </c>
      <c r="BT491" s="837" t="str">
        <f t="shared" si="282"/>
        <v>P1</v>
      </c>
      <c r="BU491" s="807" t="str">
        <f t="shared" si="291"/>
        <v>Al tope</v>
      </c>
      <c r="BV491" s="807" t="str">
        <f t="shared" si="283"/>
        <v>Zona atractiva</v>
      </c>
      <c r="BW491" s="808" t="str">
        <f t="shared" si="284"/>
        <v>P1 - Ampliar cobertura</v>
      </c>
    </row>
    <row r="492" spans="1:75">
      <c r="A492" s="780" t="str">
        <f>'Base de datos Rutas'!A490</f>
        <v>Occidente</v>
      </c>
      <c r="B492" s="781" t="str">
        <f>'Base de datos Rutas'!B490</f>
        <v>Zapopan</v>
      </c>
      <c r="C492" s="781" t="str">
        <f>'Base de datos Rutas'!C490</f>
        <v>Suc. Huentitán</v>
      </c>
      <c r="D492" s="782">
        <f>IF(ISNUMBER('Base de datos Rutas'!D490),'Base de datos Rutas'!D490,"Sin código")</f>
        <v>819346</v>
      </c>
      <c r="E492" s="783" t="str">
        <f>'Base de datos Rutas'!F490</f>
        <v>Activa</v>
      </c>
      <c r="F492" s="784" t="str">
        <f>'Base de datos Rutas'!H490</f>
        <v>Sí</v>
      </c>
      <c r="G492" s="785">
        <f>IF(ISNUMBER('Base de datos Rutas'!BE490),'Base de datos Rutas'!BE490,"")</f>
        <v>77.825688073394502</v>
      </c>
      <c r="H492" s="786">
        <f>IF(ISNUMBER('Base de datos Rutas'!BH490),'Base de datos Rutas'!BH490,"")</f>
        <v>0.51187669456560203</v>
      </c>
      <c r="I492" s="788">
        <f>IFERROR(IF(OR(NOT(ISNUMBER('Base de datos Rutas'!O490)),N('Base de datos Rutas'!BK490)=0),"",'Base de datos Rutas'!O490/('Base de datos Rutas'!L490/'Base de datos Rutas'!BK490)),"")</f>
        <v>4754.9288990825735</v>
      </c>
      <c r="J492" s="788">
        <f>IFERROR(IF(OR(NOT(ISNUMBER('Base de datos Rutas'!N490)),N('Base de datos Rutas'!BK490)=0),"",'Base de datos Rutas'!N490/('Base de datos Rutas'!L490/'Base de datos Rutas'!BK490)),"")</f>
        <v>8823.1353211009264</v>
      </c>
      <c r="K492" s="788">
        <f>IFERROR(IF(OR(NOT(ISNUMBER('Base de datos Rutas'!J490)),N('Base de datos Rutas'!BK490)=0),"",'Base de datos Rutas'!J490/('Base de datos Rutas'!L490/'Base de datos Rutas'!BK490)),"")</f>
        <v>608.46228440366804</v>
      </c>
      <c r="L492" s="788">
        <f>IFERROR(IF(OR(NOT(ISNUMBER('Base de datos Rutas'!K490)),N('Base de datos Rutas'!BK490)=0),"",'Base de datos Rutas'!K490/('Base de datos Rutas'!L490/'Base de datos Rutas'!BK490)),"")</f>
        <v>36.085705940367014</v>
      </c>
      <c r="M492" s="787">
        <f>IF(ISNUMBER('Base de datos Rutas'!AX490),'Base de datos Rutas'!AX490,"")</f>
        <v>336.67204041683499</v>
      </c>
      <c r="N492" s="790">
        <f>IFERROR(INDEX('Hoja de apoyo v2'!B$17:B$20,MATCH($A492,'Hoja de apoyo v2'!$A$17:$A$20,0)),"")</f>
        <v>89.41621024641401</v>
      </c>
      <c r="O492" s="791">
        <f>IFERROR(INDEX('Hoja de apoyo v2'!C$17:C$20,MATCH($A492,'Hoja de apoyo v2'!$A$17:$A$20,0)),"")</f>
        <v>0.54706375874806301</v>
      </c>
      <c r="P492" s="793">
        <f>IFERROR(INDEX('Hoja de apoyo v2'!D$17:D$20,MATCH($A492,'Hoja de apoyo v2'!$A$17:$A$20,0)),"")</f>
        <v>11095.153935793827</v>
      </c>
      <c r="Q492" s="793">
        <f>IFERROR(INDEX('Hoja de apoyo v2'!E$17:E$20,MATCH($A492,'Hoja de apoyo v2'!$A$17:$A$20,0)),"")</f>
        <v>6982.3202019701848</v>
      </c>
      <c r="R492" s="793">
        <f>IFERROR(INDEX('Hoja de apoyo v2'!F$17:F$20,MATCH($A492,'Hoja de apoyo v2'!$A$17:$A$20,0)),"")</f>
        <v>448.09513474485743</v>
      </c>
      <c r="S492" s="793">
        <f>IFERROR(INDEX('Hoja de apoyo v2'!G$17:G$20,MATCH($A492,'Hoja de apoyo v2'!$A$17:$A$20,0)),"")</f>
        <v>83.406300904207839</v>
      </c>
      <c r="T492" s="792">
        <f>IFERROR(INDEX('Hoja de apoyo v2'!H$17:H$20,MATCH($A492,'Hoja de apoyo v2'!$A$17:$A$20,0)),"")</f>
        <v>378.97014028925349</v>
      </c>
      <c r="U492" s="794">
        <f t="shared" si="256"/>
        <v>0.8703756048139567</v>
      </c>
      <c r="V492" s="795">
        <f t="shared" si="257"/>
        <v>0.93568014034966351</v>
      </c>
      <c r="W492" s="795">
        <f t="shared" si="258"/>
        <v>0.42855907422273826</v>
      </c>
      <c r="X492" s="843">
        <f t="shared" si="259"/>
        <v>1.2636394587878286</v>
      </c>
      <c r="Y492" s="843">
        <f t="shared" si="260"/>
        <v>1.3578863889029338</v>
      </c>
      <c r="Z492" s="843">
        <f t="shared" si="261"/>
        <v>0.43264963856641309</v>
      </c>
      <c r="AA492" s="843">
        <f t="shared" si="262"/>
        <v>0.88838672133869445</v>
      </c>
      <c r="AB492" s="796">
        <f t="shared" si="263"/>
        <v>3</v>
      </c>
      <c r="AC492" s="797">
        <f t="shared" si="264"/>
        <v>3</v>
      </c>
      <c r="AD492" s="797">
        <f t="shared" si="265"/>
        <v>1</v>
      </c>
      <c r="AE492" s="842">
        <f t="shared" si="266"/>
        <v>5</v>
      </c>
      <c r="AF492" s="842">
        <f t="shared" si="267"/>
        <v>5</v>
      </c>
      <c r="AG492" s="842">
        <f t="shared" si="268"/>
        <v>1</v>
      </c>
      <c r="AH492" s="842">
        <f t="shared" si="269"/>
        <v>3</v>
      </c>
      <c r="AI492" s="826" cm="1">
        <f t="array" ref="AI492">SUMPRODUCT(--ISNUMBER($U492:$AA492),$AB$3:$AH$3)</f>
        <v>1</v>
      </c>
      <c r="AJ492" s="829">
        <f t="shared" si="270"/>
        <v>43.664507841741532</v>
      </c>
      <c r="AK492" s="827" t="str">
        <f t="shared" si="271"/>
        <v>Inmadura</v>
      </c>
      <c r="AL492" s="784" t="str">
        <f t="shared" si="272"/>
        <v>Alta</v>
      </c>
      <c r="AM492" s="799">
        <f>IF(ISNUMBER('Base de datos Rutas'!W490),'Base de datos Rutas'!W490,"")</f>
        <v>2866.2444123371242</v>
      </c>
      <c r="AN492" s="787">
        <f>IFERROR(SUMIFS('Base de datos Rutas'!$W$6:$W$794,'Base de datos Rutas'!$C$6:$C$794,$C492)/'Base de datos Rutas'!I490,"")</f>
        <v>2866.2444123371242</v>
      </c>
      <c r="AO492" s="800">
        <f>IFERROR('Base de datos Rutas'!X490*AN492/AM492,"")</f>
        <v>0.40462988446513853</v>
      </c>
      <c r="AP492" s="800">
        <f t="shared" si="273"/>
        <v>0.59537011553486141</v>
      </c>
      <c r="AQ492" s="789">
        <f>IFERROR(INDEX('Hoja de apoyo v2'!$J$17:$J$20,MATCH($A492,'Hoja de apoyo v2'!$A$17:$A$20,0)),"")</f>
        <v>0.64320274048480885</v>
      </c>
      <c r="AR492" s="789">
        <f t="shared" si="274"/>
        <v>-4.7832624949947444E-2</v>
      </c>
      <c r="AS492" s="784" t="str">
        <f t="shared" si="275"/>
        <v>No</v>
      </c>
      <c r="AT492" s="801">
        <f>IF(ISNUMBER('Base de datos Rutas'!CK490),'Base de datos Rutas'!CK490,"")</f>
        <v>308</v>
      </c>
      <c r="AU492" s="802">
        <f>IF(ISNUMBER('Base de datos Rutas'!CL490),'Base de datos Rutas'!CL490,"")</f>
        <v>333.54</v>
      </c>
      <c r="AV492" s="802">
        <f>IF(ISNUMBER('Base de datos Rutas'!CM490),'Base de datos Rutas'!CM490,"")</f>
        <v>25.54000000000002</v>
      </c>
      <c r="AW492" s="802">
        <f>IF(ISNUMBER('Base de datos Rutas'!CN490),'Base de datos Rutas'!CN490,"")</f>
        <v>8.58</v>
      </c>
      <c r="AX492" s="802">
        <f>IF(ISNUMBER('Base de datos Rutas'!CO490),'Base de datos Rutas'!CO490,"")</f>
        <v>9.4499999999999993</v>
      </c>
      <c r="AY492" s="802">
        <f>IF(ISNUMBER('Base de datos Rutas'!CP490),'Base de datos Rutas'!CP490,"")</f>
        <v>0.86999999999999922</v>
      </c>
      <c r="AZ492" s="802">
        <f>IF(ISNUMBER('Base de datos Rutas'!CQ490),'Base de datos Rutas'!CQ490,"")</f>
        <v>846.56</v>
      </c>
      <c r="BA492" s="802">
        <f>IF(ISNUMBER('Base de datos Rutas'!CR490),'Base de datos Rutas'!CR490,"")</f>
        <v>644.54999999999995</v>
      </c>
      <c r="BB492" s="803">
        <f>IF(ISNUMBER('Base de datos Rutas'!CS490),'Base de datos Rutas'!CS490,"")</f>
        <v>202.01</v>
      </c>
      <c r="BC492" s="804">
        <f t="shared" si="285"/>
        <v>0</v>
      </c>
      <c r="BD492" s="805" t="str">
        <f t="shared" si="286"/>
        <v>No saturada</v>
      </c>
      <c r="BE492" s="806">
        <f t="shared" si="287"/>
        <v>0.76137544887544883</v>
      </c>
      <c r="BF492" s="890">
        <f>IF(ISNUMBER('Base de datos Rutas'!CX490),'Base de datos Rutas'!CX490/100,"")</f>
        <v>0.35733042937149972</v>
      </c>
      <c r="BG492" s="891">
        <f>IF(ISNUMBER('Base de datos Rutas'!CZ490),'Base de datos Rutas'!CZ490/100,"")</f>
        <v>0.36527691350342251</v>
      </c>
      <c r="BH492" s="892">
        <f>IF(ISNUMBER('Base de datos Rutas'!DA490),'Base de datos Rutas'!DA490,"")</f>
        <v>78.689434302400954</v>
      </c>
      <c r="BI492" s="893">
        <f>IF(ISNUMBER('Base de datos Rutas'!DC490),'Base de datos Rutas'!DC490,"")</f>
        <v>3.5807182501219308</v>
      </c>
      <c r="BJ492" s="805" t="str">
        <f t="shared" si="288"/>
        <v>Ruta (completo)</v>
      </c>
      <c r="BK492" s="783">
        <f t="shared" si="276"/>
        <v>3</v>
      </c>
      <c r="BL492" s="797">
        <f t="shared" si="277"/>
        <v>3</v>
      </c>
      <c r="BM492" s="797">
        <f t="shared" si="278"/>
        <v>1</v>
      </c>
      <c r="BN492" s="797">
        <f t="shared" si="279"/>
        <v>1</v>
      </c>
      <c r="BO492" s="798" cm="1">
        <f t="array" ref="BO492">SUMPRODUCT(--ISNUMBER($BF492:$BI492),$BK$3:$BN$3)</f>
        <v>1</v>
      </c>
      <c r="BP492" s="831">
        <f t="shared" si="289"/>
        <v>25</v>
      </c>
      <c r="BQ492" s="834" t="str">
        <f t="shared" si="290"/>
        <v>Medio</v>
      </c>
      <c r="BR492" s="836">
        <f t="shared" si="280"/>
        <v>32.748380881306147</v>
      </c>
      <c r="BS492" s="836">
        <f t="shared" si="281"/>
        <v>25</v>
      </c>
      <c r="BT492" s="837" t="str">
        <f t="shared" si="282"/>
        <v>P2</v>
      </c>
      <c r="BU492" s="807" t="str">
        <f t="shared" si="291"/>
        <v>Con espacio</v>
      </c>
      <c r="BV492" s="807" t="str">
        <f t="shared" si="283"/>
        <v>Zona de bajo potencial</v>
      </c>
      <c r="BW492" s="808" t="str">
        <f t="shared" si="284"/>
        <v>P2 - Mantener</v>
      </c>
    </row>
    <row r="493" spans="1:75">
      <c r="A493" s="780" t="str">
        <f>'Base de datos Rutas'!A491</f>
        <v>Occidente</v>
      </c>
      <c r="B493" s="781" t="str">
        <f>'Base de datos Rutas'!B491</f>
        <v>Zapopan</v>
      </c>
      <c r="C493" s="781" t="str">
        <f>'Base de datos Rutas'!C491</f>
        <v>Suc. Huentitán</v>
      </c>
      <c r="D493" s="782">
        <f>IF(ISNUMBER('Base de datos Rutas'!D491),'Base de datos Rutas'!D491,"Sin código")</f>
        <v>819347</v>
      </c>
      <c r="E493" s="783" t="str">
        <f>'Base de datos Rutas'!F491</f>
        <v>Activa</v>
      </c>
      <c r="F493" s="784" t="str">
        <f>'Base de datos Rutas'!H491</f>
        <v>Sí</v>
      </c>
      <c r="G493" s="785">
        <f>IF(ISNUMBER('Base de datos Rutas'!BE491),'Base de datos Rutas'!BE491,"")</f>
        <v>69.108545034642006</v>
      </c>
      <c r="H493" s="786">
        <f>IF(ISNUMBER('Base de datos Rutas'!BH491),'Base de datos Rutas'!BH491,"")</f>
        <v>0.46831974334982002</v>
      </c>
      <c r="I493" s="788">
        <f>IFERROR(IF(OR(NOT(ISNUMBER('Base de datos Rutas'!O491)),N('Base de datos Rutas'!BK491)=0),"",'Base de datos Rutas'!O491/('Base de datos Rutas'!L491/'Base de datos Rutas'!BK491)),"")</f>
        <v>3319.1224018475727</v>
      </c>
      <c r="J493" s="788">
        <f>IFERROR(IF(OR(NOT(ISNUMBER('Base de datos Rutas'!N491)),N('Base de datos Rutas'!BK491)=0),"",'Base de datos Rutas'!N491/('Base de datos Rutas'!L491/'Base de datos Rutas'!BK491)),"")</f>
        <v>6268.7413394919131</v>
      </c>
      <c r="K493" s="788">
        <f>IFERROR(IF(OR(NOT(ISNUMBER('Base de datos Rutas'!J491)),N('Base de datos Rutas'!BK491)=0),"",'Base de datos Rutas'!J491/('Base de datos Rutas'!L491/'Base de datos Rutas'!BK491)),"")</f>
        <v>427.48757505773642</v>
      </c>
      <c r="L493" s="788">
        <f>IFERROR(IF(OR(NOT(ISNUMBER('Base de datos Rutas'!K491)),N('Base de datos Rutas'!BK491)=0),"",'Base de datos Rutas'!K491/('Base de datos Rutas'!L491/'Base de datos Rutas'!BK491)),"")</f>
        <v>24.71129740184756</v>
      </c>
      <c r="M493" s="787">
        <f>IF(ISNUMBER('Base de datos Rutas'!AX491),'Base de datos Rutas'!AX491,"")</f>
        <v>295.59696874553998</v>
      </c>
      <c r="N493" s="790">
        <f>IFERROR(INDEX('Hoja de apoyo v2'!B$17:B$20,MATCH($A493,'Hoja de apoyo v2'!$A$17:$A$20,0)),"")</f>
        <v>89.41621024641401</v>
      </c>
      <c r="O493" s="791">
        <f>IFERROR(INDEX('Hoja de apoyo v2'!C$17:C$20,MATCH($A493,'Hoja de apoyo v2'!$A$17:$A$20,0)),"")</f>
        <v>0.54706375874806301</v>
      </c>
      <c r="P493" s="793">
        <f>IFERROR(INDEX('Hoja de apoyo v2'!D$17:D$20,MATCH($A493,'Hoja de apoyo v2'!$A$17:$A$20,0)),"")</f>
        <v>11095.153935793827</v>
      </c>
      <c r="Q493" s="793">
        <f>IFERROR(INDEX('Hoja de apoyo v2'!E$17:E$20,MATCH($A493,'Hoja de apoyo v2'!$A$17:$A$20,0)),"")</f>
        <v>6982.3202019701848</v>
      </c>
      <c r="R493" s="793">
        <f>IFERROR(INDEX('Hoja de apoyo v2'!F$17:F$20,MATCH($A493,'Hoja de apoyo v2'!$A$17:$A$20,0)),"")</f>
        <v>448.09513474485743</v>
      </c>
      <c r="S493" s="793">
        <f>IFERROR(INDEX('Hoja de apoyo v2'!G$17:G$20,MATCH($A493,'Hoja de apoyo v2'!$A$17:$A$20,0)),"")</f>
        <v>83.406300904207839</v>
      </c>
      <c r="T493" s="792">
        <f>IFERROR(INDEX('Hoja de apoyo v2'!H$17:H$20,MATCH($A493,'Hoja de apoyo v2'!$A$17:$A$20,0)),"")</f>
        <v>378.97014028925349</v>
      </c>
      <c r="U493" s="794">
        <f t="shared" si="256"/>
        <v>0.77288608904573397</v>
      </c>
      <c r="V493" s="795">
        <f t="shared" si="257"/>
        <v>0.85606062522137083</v>
      </c>
      <c r="W493" s="795">
        <f t="shared" si="258"/>
        <v>0.29915064009520648</v>
      </c>
      <c r="X493" s="843">
        <f t="shared" si="259"/>
        <v>0.89780204261086127</v>
      </c>
      <c r="Y493" s="843">
        <f t="shared" si="260"/>
        <v>0.95401074885837622</v>
      </c>
      <c r="Z493" s="843">
        <f t="shared" si="261"/>
        <v>0.29627614621380333</v>
      </c>
      <c r="AA493" s="843">
        <f t="shared" si="262"/>
        <v>0.78000068427534175</v>
      </c>
      <c r="AB493" s="796">
        <f t="shared" si="263"/>
        <v>3</v>
      </c>
      <c r="AC493" s="797">
        <f t="shared" si="264"/>
        <v>3</v>
      </c>
      <c r="AD493" s="797">
        <f t="shared" si="265"/>
        <v>1</v>
      </c>
      <c r="AE493" s="842">
        <f t="shared" si="266"/>
        <v>3</v>
      </c>
      <c r="AF493" s="842">
        <f t="shared" si="267"/>
        <v>3</v>
      </c>
      <c r="AG493" s="842">
        <f t="shared" si="268"/>
        <v>1</v>
      </c>
      <c r="AH493" s="842">
        <f t="shared" si="269"/>
        <v>3</v>
      </c>
      <c r="AI493" s="826" cm="1">
        <f t="array" ref="AI493">SUMPRODUCT(--ISNUMBER($U493:$AA493),$AB$3:$AH$3)</f>
        <v>1</v>
      </c>
      <c r="AJ493" s="829">
        <f t="shared" si="270"/>
        <v>30.993523525224564</v>
      </c>
      <c r="AK493" s="827" t="str">
        <f t="shared" si="271"/>
        <v>Inmadura</v>
      </c>
      <c r="AL493" s="784" t="str">
        <f t="shared" si="272"/>
        <v>Alta</v>
      </c>
      <c r="AM493" s="799">
        <f>IF(ISNUMBER('Base de datos Rutas'!W491),'Base de datos Rutas'!W491,"")</f>
        <v>2866.2444123371242</v>
      </c>
      <c r="AN493" s="787">
        <f>IFERROR(SUMIFS('Base de datos Rutas'!$W$6:$W$794,'Base de datos Rutas'!$C$6:$C$794,$C493)/'Base de datos Rutas'!I491,"")</f>
        <v>2866.2444123371242</v>
      </c>
      <c r="AO493" s="800">
        <f>IFERROR('Base de datos Rutas'!X491*AN493/AM493,"")</f>
        <v>0.40462988446513853</v>
      </c>
      <c r="AP493" s="800">
        <f t="shared" si="273"/>
        <v>0.59537011553486141</v>
      </c>
      <c r="AQ493" s="789">
        <f>IFERROR(INDEX('Hoja de apoyo v2'!$J$17:$J$20,MATCH($A493,'Hoja de apoyo v2'!$A$17:$A$20,0)),"")</f>
        <v>0.64320274048480885</v>
      </c>
      <c r="AR493" s="789">
        <f t="shared" si="274"/>
        <v>-4.7832624949947444E-2</v>
      </c>
      <c r="AS493" s="784" t="str">
        <f t="shared" si="275"/>
        <v>No</v>
      </c>
      <c r="AT493" s="801">
        <f>IF(ISNUMBER('Base de datos Rutas'!CK491),'Base de datos Rutas'!CK491,"")</f>
        <v>263</v>
      </c>
      <c r="AU493" s="802">
        <f>IF(ISNUMBER('Base de datos Rutas'!CL491),'Base de datos Rutas'!CL491,"")</f>
        <v>331.5</v>
      </c>
      <c r="AV493" s="802">
        <f>IF(ISNUMBER('Base de datos Rutas'!CM491),'Base de datos Rutas'!CM491,"")</f>
        <v>68.5</v>
      </c>
      <c r="AW493" s="802">
        <f>IF(ISNUMBER('Base de datos Rutas'!CN491),'Base de datos Rutas'!CN491,"")</f>
        <v>6.65</v>
      </c>
      <c r="AX493" s="802">
        <f>IF(ISNUMBER('Base de datos Rutas'!CO491),'Base de datos Rutas'!CO491,"")</f>
        <v>9.4499999999999993</v>
      </c>
      <c r="AY493" s="802">
        <f>IF(ISNUMBER('Base de datos Rutas'!CP491),'Base de datos Rutas'!CP491,"")</f>
        <v>2.7999999999999989</v>
      </c>
      <c r="AZ493" s="802">
        <f>IF(ISNUMBER('Base de datos Rutas'!CQ491),'Base de datos Rutas'!CQ491,"")</f>
        <v>846.56</v>
      </c>
      <c r="BA493" s="802">
        <f>IF(ISNUMBER('Base de datos Rutas'!CR491),'Base de datos Rutas'!CR491,"")</f>
        <v>452.2</v>
      </c>
      <c r="BB493" s="803">
        <f>IF(ISNUMBER('Base de datos Rutas'!CS491),'Base de datos Rutas'!CS491,"")</f>
        <v>394.35999999999996</v>
      </c>
      <c r="BC493" s="804">
        <f t="shared" si="285"/>
        <v>0</v>
      </c>
      <c r="BD493" s="805" t="str">
        <f t="shared" si="286"/>
        <v>No saturada</v>
      </c>
      <c r="BE493" s="806">
        <f t="shared" si="287"/>
        <v>0.53416178416178417</v>
      </c>
      <c r="BF493" s="890">
        <f>IF(ISNUMBER('Base de datos Rutas'!CX491),'Base de datos Rutas'!CX491/100,"")</f>
        <v>0.4195244627343393</v>
      </c>
      <c r="BG493" s="891">
        <f>IF(ISNUMBER('Base de datos Rutas'!CZ491),'Base de datos Rutas'!CZ491/100,"")</f>
        <v>0.45084590763603111</v>
      </c>
      <c r="BH493" s="892">
        <f>IF(ISNUMBER('Base de datos Rutas'!DA491),'Base de datos Rutas'!DA491,"")</f>
        <v>448.30400354688544</v>
      </c>
      <c r="BI493" s="893">
        <f>IF(ISNUMBER('Base de datos Rutas'!DC491),'Base de datos Rutas'!DC491,"")</f>
        <v>21.513531367767676</v>
      </c>
      <c r="BJ493" s="805" t="str">
        <f t="shared" si="288"/>
        <v>Ruta (completo)</v>
      </c>
      <c r="BK493" s="783">
        <f t="shared" si="276"/>
        <v>3</v>
      </c>
      <c r="BL493" s="797">
        <f t="shared" si="277"/>
        <v>3</v>
      </c>
      <c r="BM493" s="797">
        <f t="shared" si="278"/>
        <v>3</v>
      </c>
      <c r="BN493" s="797">
        <f t="shared" si="279"/>
        <v>3</v>
      </c>
      <c r="BO493" s="798" cm="1">
        <f t="array" ref="BO493">SUMPRODUCT(--ISNUMBER($BF493:$BI493),$BK$3:$BN$3)</f>
        <v>1</v>
      </c>
      <c r="BP493" s="831">
        <f t="shared" si="289"/>
        <v>50</v>
      </c>
      <c r="BQ493" s="834" t="str">
        <f t="shared" si="290"/>
        <v>Alto</v>
      </c>
      <c r="BR493" s="836">
        <f t="shared" si="280"/>
        <v>23.245142643918424</v>
      </c>
      <c r="BS493" s="836">
        <f t="shared" si="281"/>
        <v>50</v>
      </c>
      <c r="BT493" s="837" t="str">
        <f t="shared" si="282"/>
        <v>P3</v>
      </c>
      <c r="BU493" s="807" t="str">
        <f t="shared" si="291"/>
        <v>Con espacio</v>
      </c>
      <c r="BV493" s="807" t="str">
        <f t="shared" si="283"/>
        <v>Zona atractiva</v>
      </c>
      <c r="BW493" s="808" t="str">
        <f t="shared" si="284"/>
        <v>P3 - Desarrollar</v>
      </c>
    </row>
    <row r="494" spans="1:75">
      <c r="A494" s="780" t="str">
        <f>'Base de datos Rutas'!A492</f>
        <v>Occidente</v>
      </c>
      <c r="B494" s="781" t="str">
        <f>'Base de datos Rutas'!B492</f>
        <v>Zapopan</v>
      </c>
      <c r="C494" s="781" t="str">
        <f>'Base de datos Rutas'!C492</f>
        <v>Suc. Huentitán</v>
      </c>
      <c r="D494" s="782">
        <f>IF(ISNUMBER('Base de datos Rutas'!D492),'Base de datos Rutas'!D492,"Sin código")</f>
        <v>819348</v>
      </c>
      <c r="E494" s="783" t="str">
        <f>'Base de datos Rutas'!F492</f>
        <v>Activa</v>
      </c>
      <c r="F494" s="784" t="str">
        <f>'Base de datos Rutas'!H492</f>
        <v>Sí</v>
      </c>
      <c r="G494" s="785">
        <f>IF(ISNUMBER('Base de datos Rutas'!BE492),'Base de datos Rutas'!BE492,"")</f>
        <v>70.220183486238497</v>
      </c>
      <c r="H494" s="786">
        <f>IF(ISNUMBER('Base de datos Rutas'!BH492),'Base de datos Rutas'!BH492,"")</f>
        <v>0.38721583485759098</v>
      </c>
      <c r="I494" s="788">
        <f>IFERROR(IF(OR(NOT(ISNUMBER('Base de datos Rutas'!O492)),N('Base de datos Rutas'!BK492)=0),"",'Base de datos Rutas'!O492/('Base de datos Rutas'!L492/'Base de datos Rutas'!BK492)),"")</f>
        <v>3754.8623853211025</v>
      </c>
      <c r="J494" s="788">
        <f>IFERROR(IF(OR(NOT(ISNUMBER('Base de datos Rutas'!N492)),N('Base de datos Rutas'!BK492)=0),"",'Base de datos Rutas'!N492/('Base de datos Rutas'!L492/'Base de datos Rutas'!BK492)),"")</f>
        <v>6106.5252293578005</v>
      </c>
      <c r="K494" s="788">
        <f>IFERROR(IF(OR(NOT(ISNUMBER('Base de datos Rutas'!J492)),N('Base de datos Rutas'!BK492)=0),"",'Base de datos Rutas'!J492/('Base de datos Rutas'!L492/'Base de datos Rutas'!BK492)),"")</f>
        <v>420.77330091743136</v>
      </c>
      <c r="L494" s="788">
        <f>IFERROR(IF(OR(NOT(ISNUMBER('Base de datos Rutas'!K492)),N('Base de datos Rutas'!BK492)=0),"",'Base de datos Rutas'!K492/('Base de datos Rutas'!L492/'Base de datos Rutas'!BK492)),"")</f>
        <v>26.953453371559643</v>
      </c>
      <c r="M494" s="787">
        <f>IF(ISNUMBER('Base de datos Rutas'!AX492),'Base de datos Rutas'!AX492,"")</f>
        <v>362.67914972585402</v>
      </c>
      <c r="N494" s="790">
        <f>IFERROR(INDEX('Hoja de apoyo v2'!B$17:B$20,MATCH($A494,'Hoja de apoyo v2'!$A$17:$A$20,0)),"")</f>
        <v>89.41621024641401</v>
      </c>
      <c r="O494" s="791">
        <f>IFERROR(INDEX('Hoja de apoyo v2'!C$17:C$20,MATCH($A494,'Hoja de apoyo v2'!$A$17:$A$20,0)),"")</f>
        <v>0.54706375874806301</v>
      </c>
      <c r="P494" s="793">
        <f>IFERROR(INDEX('Hoja de apoyo v2'!D$17:D$20,MATCH($A494,'Hoja de apoyo v2'!$A$17:$A$20,0)),"")</f>
        <v>11095.153935793827</v>
      </c>
      <c r="Q494" s="793">
        <f>IFERROR(INDEX('Hoja de apoyo v2'!E$17:E$20,MATCH($A494,'Hoja de apoyo v2'!$A$17:$A$20,0)),"")</f>
        <v>6982.3202019701848</v>
      </c>
      <c r="R494" s="793">
        <f>IFERROR(INDEX('Hoja de apoyo v2'!F$17:F$20,MATCH($A494,'Hoja de apoyo v2'!$A$17:$A$20,0)),"")</f>
        <v>448.09513474485743</v>
      </c>
      <c r="S494" s="793">
        <f>IFERROR(INDEX('Hoja de apoyo v2'!G$17:G$20,MATCH($A494,'Hoja de apoyo v2'!$A$17:$A$20,0)),"")</f>
        <v>83.406300904207839</v>
      </c>
      <c r="T494" s="792">
        <f>IFERROR(INDEX('Hoja de apoyo v2'!H$17:H$20,MATCH($A494,'Hoja de apoyo v2'!$A$17:$A$20,0)),"")</f>
        <v>378.97014028925349</v>
      </c>
      <c r="U494" s="794">
        <f t="shared" si="256"/>
        <v>0.78531826939125549</v>
      </c>
      <c r="V494" s="795">
        <f t="shared" si="257"/>
        <v>0.70780750628358458</v>
      </c>
      <c r="W494" s="795">
        <f t="shared" si="258"/>
        <v>0.33842364036136763</v>
      </c>
      <c r="X494" s="843">
        <f t="shared" si="259"/>
        <v>0.87456963483782035</v>
      </c>
      <c r="Y494" s="843">
        <f t="shared" si="260"/>
        <v>0.9390267117205302</v>
      </c>
      <c r="Z494" s="843">
        <f t="shared" si="261"/>
        <v>0.32315847938773468</v>
      </c>
      <c r="AA494" s="843">
        <f t="shared" si="262"/>
        <v>0.95701246923843342</v>
      </c>
      <c r="AB494" s="796">
        <f t="shared" si="263"/>
        <v>3</v>
      </c>
      <c r="AC494" s="797">
        <f t="shared" si="264"/>
        <v>2</v>
      </c>
      <c r="AD494" s="797">
        <f t="shared" si="265"/>
        <v>1</v>
      </c>
      <c r="AE494" s="842">
        <f t="shared" si="266"/>
        <v>3</v>
      </c>
      <c r="AF494" s="842">
        <f t="shared" si="267"/>
        <v>3</v>
      </c>
      <c r="AG494" s="842">
        <f t="shared" si="268"/>
        <v>1</v>
      </c>
      <c r="AH494" s="842">
        <f t="shared" si="269"/>
        <v>3</v>
      </c>
      <c r="AI494" s="826" cm="1">
        <f t="array" ref="AI494">SUMPRODUCT(--ISNUMBER($U494:$AA494),$AB$3:$AH$3)</f>
        <v>1</v>
      </c>
      <c r="AJ494" s="829">
        <f t="shared" si="270"/>
        <v>28.610617939334084</v>
      </c>
      <c r="AK494" s="827" t="str">
        <f t="shared" si="271"/>
        <v>Inmadura</v>
      </c>
      <c r="AL494" s="784" t="str">
        <f t="shared" si="272"/>
        <v>Alta</v>
      </c>
      <c r="AM494" s="799">
        <f>IF(ISNUMBER('Base de datos Rutas'!W492),'Base de datos Rutas'!W492,"")</f>
        <v>2866.2444123371242</v>
      </c>
      <c r="AN494" s="787">
        <f>IFERROR(SUMIFS('Base de datos Rutas'!$W$6:$W$794,'Base de datos Rutas'!$C$6:$C$794,$C494)/'Base de datos Rutas'!I492,"")</f>
        <v>2866.2444123371242</v>
      </c>
      <c r="AO494" s="800">
        <f>IFERROR('Base de datos Rutas'!X492*AN494/AM494,"")</f>
        <v>0.40462988446513853</v>
      </c>
      <c r="AP494" s="800">
        <f t="shared" si="273"/>
        <v>0.59537011553486141</v>
      </c>
      <c r="AQ494" s="789">
        <f>IFERROR(INDEX('Hoja de apoyo v2'!$J$17:$J$20,MATCH($A494,'Hoja de apoyo v2'!$A$17:$A$20,0)),"")</f>
        <v>0.64320274048480885</v>
      </c>
      <c r="AR494" s="789">
        <f t="shared" si="274"/>
        <v>-4.7832624949947444E-2</v>
      </c>
      <c r="AS494" s="784" t="str">
        <f t="shared" si="275"/>
        <v>No</v>
      </c>
      <c r="AT494" s="801">
        <f>IF(ISNUMBER('Base de datos Rutas'!CK492),'Base de datos Rutas'!CK492,"")</f>
        <v>268</v>
      </c>
      <c r="AU494" s="802">
        <f>IF(ISNUMBER('Base de datos Rutas'!CL492),'Base de datos Rutas'!CL492,"")</f>
        <v>376.82</v>
      </c>
      <c r="AV494" s="802">
        <f>IF(ISNUMBER('Base de datos Rutas'!CM492),'Base de datos Rutas'!CM492,"")</f>
        <v>108.82</v>
      </c>
      <c r="AW494" s="802">
        <f>IF(ISNUMBER('Base de datos Rutas'!CN492),'Base de datos Rutas'!CN492,"")</f>
        <v>6.67</v>
      </c>
      <c r="AX494" s="802">
        <f>IF(ISNUMBER('Base de datos Rutas'!CO492),'Base de datos Rutas'!CO492,"")</f>
        <v>9.4499999999999993</v>
      </c>
      <c r="AY494" s="802">
        <f>IF(ISNUMBER('Base de datos Rutas'!CP492),'Base de datos Rutas'!CP492,"")</f>
        <v>2.7799999999999994</v>
      </c>
      <c r="AZ494" s="802">
        <f>IF(ISNUMBER('Base de datos Rutas'!CQ492),'Base de datos Rutas'!CQ492,"")</f>
        <v>846.56</v>
      </c>
      <c r="BA494" s="802">
        <f>IF(ISNUMBER('Base de datos Rutas'!CR492),'Base de datos Rutas'!CR492,"")</f>
        <v>447.73</v>
      </c>
      <c r="BB494" s="803">
        <f>IF(ISNUMBER('Base de datos Rutas'!CS492),'Base de datos Rutas'!CS492,"")</f>
        <v>398.82999999999993</v>
      </c>
      <c r="BC494" s="804">
        <f t="shared" si="285"/>
        <v>0</v>
      </c>
      <c r="BD494" s="805" t="str">
        <f t="shared" si="286"/>
        <v>No saturada</v>
      </c>
      <c r="BE494" s="806">
        <f t="shared" si="287"/>
        <v>0.52888159138159141</v>
      </c>
      <c r="BF494" s="890">
        <f>IF(ISNUMBER('Base de datos Rutas'!CX492),'Base de datos Rutas'!CX492/100,"")</f>
        <v>0.9292457737321197</v>
      </c>
      <c r="BG494" s="891">
        <f>IF(ISNUMBER('Base de datos Rutas'!CZ492),'Base de datos Rutas'!CZ492/100,"")</f>
        <v>1</v>
      </c>
      <c r="BH494" s="892">
        <f>IF(ISNUMBER('Base de datos Rutas'!DA492),'Base de datos Rutas'!DA492,"")</f>
        <v>938.19175744768711</v>
      </c>
      <c r="BI494" s="893">
        <f>IF(ISNUMBER('Base de datos Rutas'!DC492),'Base de datos Rutas'!DC492,"")</f>
        <v>43.071216040611603</v>
      </c>
      <c r="BJ494" s="805" t="str">
        <f t="shared" si="288"/>
        <v>Ruta (completo)</v>
      </c>
      <c r="BK494" s="783">
        <f t="shared" si="276"/>
        <v>5</v>
      </c>
      <c r="BL494" s="797">
        <f t="shared" si="277"/>
        <v>4</v>
      </c>
      <c r="BM494" s="797">
        <f t="shared" si="278"/>
        <v>5</v>
      </c>
      <c r="BN494" s="797">
        <f t="shared" si="279"/>
        <v>5</v>
      </c>
      <c r="BO494" s="798" cm="1">
        <f t="array" ref="BO494">SUMPRODUCT(--ISNUMBER($BF494:$BI494),$BK$3:$BN$3)</f>
        <v>1</v>
      </c>
      <c r="BP494" s="831">
        <f t="shared" si="289"/>
        <v>93.75</v>
      </c>
      <c r="BQ494" s="834" t="str">
        <f t="shared" si="290"/>
        <v>Alto</v>
      </c>
      <c r="BR494" s="836">
        <f t="shared" si="280"/>
        <v>21.457963454500565</v>
      </c>
      <c r="BS494" s="836">
        <f t="shared" si="281"/>
        <v>93.75</v>
      </c>
      <c r="BT494" s="837" t="str">
        <f t="shared" si="282"/>
        <v>P3</v>
      </c>
      <c r="BU494" s="807" t="str">
        <f t="shared" si="291"/>
        <v>Con espacio</v>
      </c>
      <c r="BV494" s="807" t="str">
        <f t="shared" si="283"/>
        <v>Zona atractiva</v>
      </c>
      <c r="BW494" s="808" t="str">
        <f t="shared" si="284"/>
        <v>P3 - Desarrollar</v>
      </c>
    </row>
    <row r="495" spans="1:75">
      <c r="A495" s="780" t="str">
        <f>'Base de datos Rutas'!A493</f>
        <v>Occidente</v>
      </c>
      <c r="B495" s="781" t="str">
        <f>'Base de datos Rutas'!B493</f>
        <v>Zapopan</v>
      </c>
      <c r="C495" s="781" t="str">
        <f>'Base de datos Rutas'!C493</f>
        <v>Suc. Huentitán</v>
      </c>
      <c r="D495" s="782">
        <f>IF(ISNUMBER('Base de datos Rutas'!D493),'Base de datos Rutas'!D493,"Sin código")</f>
        <v>819349</v>
      </c>
      <c r="E495" s="783" t="str">
        <f>'Base de datos Rutas'!F493</f>
        <v>Activa</v>
      </c>
      <c r="F495" s="784" t="str">
        <f>'Base de datos Rutas'!H493</f>
        <v>Sí</v>
      </c>
      <c r="G495" s="785">
        <f>IF(ISNUMBER('Base de datos Rutas'!BE493),'Base de datos Rutas'!BE493,"")</f>
        <v>77.743648960738994</v>
      </c>
      <c r="H495" s="786">
        <f>IF(ISNUMBER('Base de datos Rutas'!BH493),'Base de datos Rutas'!BH493,"")</f>
        <v>0.28918991177256897</v>
      </c>
      <c r="I495" s="788">
        <f>IFERROR(IF(OR(NOT(ISNUMBER('Base de datos Rutas'!O493)),N('Base de datos Rutas'!BK493)=0),"",'Base de datos Rutas'!O493/('Base de datos Rutas'!L493/'Base de datos Rutas'!BK493)),"")</f>
        <v>3295.0207852194012</v>
      </c>
      <c r="J495" s="788">
        <f>IFERROR(IF(OR(NOT(ISNUMBER('Base de datos Rutas'!N493)),N('Base de datos Rutas'!BK493)=0),"",'Base de datos Rutas'!N493/('Base de datos Rutas'!L493/'Base de datos Rutas'!BK493)),"")</f>
        <v>5531.1454965357998</v>
      </c>
      <c r="K495" s="788">
        <f>IFERROR(IF(OR(NOT(ISNUMBER('Base de datos Rutas'!J493)),N('Base de datos Rutas'!BK493)=0),"",'Base de datos Rutas'!J493/('Base de datos Rutas'!L493/'Base de datos Rutas'!BK493)),"")</f>
        <v>384.77949191685929</v>
      </c>
      <c r="L495" s="788">
        <f>IFERROR(IF(OR(NOT(ISNUMBER('Base de datos Rutas'!K493)),N('Base de datos Rutas'!BK493)=0),"",'Base de datos Rutas'!K493/('Base de datos Rutas'!L493/'Base de datos Rutas'!BK493)),"")</f>
        <v>23.935738510392621</v>
      </c>
      <c r="M495" s="787">
        <f>IF(ISNUMBER('Base de datos Rutas'!AX493),'Base de datos Rutas'!AX493,"")</f>
        <v>392.55293888032901</v>
      </c>
      <c r="N495" s="790">
        <f>IFERROR(INDEX('Hoja de apoyo v2'!B$17:B$20,MATCH($A495,'Hoja de apoyo v2'!$A$17:$A$20,0)),"")</f>
        <v>89.41621024641401</v>
      </c>
      <c r="O495" s="791">
        <f>IFERROR(INDEX('Hoja de apoyo v2'!C$17:C$20,MATCH($A495,'Hoja de apoyo v2'!$A$17:$A$20,0)),"")</f>
        <v>0.54706375874806301</v>
      </c>
      <c r="P495" s="793">
        <f>IFERROR(INDEX('Hoja de apoyo v2'!D$17:D$20,MATCH($A495,'Hoja de apoyo v2'!$A$17:$A$20,0)),"")</f>
        <v>11095.153935793827</v>
      </c>
      <c r="Q495" s="793">
        <f>IFERROR(INDEX('Hoja de apoyo v2'!E$17:E$20,MATCH($A495,'Hoja de apoyo v2'!$A$17:$A$20,0)),"")</f>
        <v>6982.3202019701848</v>
      </c>
      <c r="R495" s="793">
        <f>IFERROR(INDEX('Hoja de apoyo v2'!F$17:F$20,MATCH($A495,'Hoja de apoyo v2'!$A$17:$A$20,0)),"")</f>
        <v>448.09513474485743</v>
      </c>
      <c r="S495" s="793">
        <f>IFERROR(INDEX('Hoja de apoyo v2'!G$17:G$20,MATCH($A495,'Hoja de apoyo v2'!$A$17:$A$20,0)),"")</f>
        <v>83.406300904207839</v>
      </c>
      <c r="T495" s="792">
        <f>IFERROR(INDEX('Hoja de apoyo v2'!H$17:H$20,MATCH($A495,'Hoja de apoyo v2'!$A$17:$A$20,0)),"")</f>
        <v>378.97014028925349</v>
      </c>
      <c r="U495" s="794">
        <f t="shared" si="256"/>
        <v>0.86945810772445331</v>
      </c>
      <c r="V495" s="795">
        <f t="shared" si="257"/>
        <v>0.52862195155162595</v>
      </c>
      <c r="W495" s="795">
        <f t="shared" si="258"/>
        <v>0.29697837490919421</v>
      </c>
      <c r="X495" s="843">
        <f t="shared" si="259"/>
        <v>0.79216440044887793</v>
      </c>
      <c r="Y495" s="843">
        <f t="shared" si="260"/>
        <v>0.85870044568984294</v>
      </c>
      <c r="Z495" s="843">
        <f t="shared" si="261"/>
        <v>0.28697758144055358</v>
      </c>
      <c r="AA495" s="843">
        <f t="shared" si="262"/>
        <v>1.0358413424886412</v>
      </c>
      <c r="AB495" s="796">
        <f t="shared" si="263"/>
        <v>3</v>
      </c>
      <c r="AC495" s="797">
        <f t="shared" si="264"/>
        <v>2</v>
      </c>
      <c r="AD495" s="797">
        <f t="shared" si="265"/>
        <v>1</v>
      </c>
      <c r="AE495" s="842">
        <f t="shared" si="266"/>
        <v>3</v>
      </c>
      <c r="AF495" s="842">
        <f t="shared" si="267"/>
        <v>3</v>
      </c>
      <c r="AG495" s="842">
        <f t="shared" si="268"/>
        <v>1</v>
      </c>
      <c r="AH495" s="842">
        <f t="shared" si="269"/>
        <v>4</v>
      </c>
      <c r="AI495" s="826" cm="1">
        <f t="array" ref="AI495">SUMPRODUCT(--ISNUMBER($U495:$AA495),$AB$3:$AH$3)</f>
        <v>1</v>
      </c>
      <c r="AJ495" s="829">
        <f t="shared" si="270"/>
        <v>30.855345779660649</v>
      </c>
      <c r="AK495" s="827" t="str">
        <f t="shared" si="271"/>
        <v>Inmadura</v>
      </c>
      <c r="AL495" s="784" t="str">
        <f t="shared" si="272"/>
        <v>Alta</v>
      </c>
      <c r="AM495" s="799">
        <f>IF(ISNUMBER('Base de datos Rutas'!W493),'Base de datos Rutas'!W493,"")</f>
        <v>2866.2444123371242</v>
      </c>
      <c r="AN495" s="787">
        <f>IFERROR(SUMIFS('Base de datos Rutas'!$W$6:$W$794,'Base de datos Rutas'!$C$6:$C$794,$C495)/'Base de datos Rutas'!I493,"")</f>
        <v>2866.2444123371242</v>
      </c>
      <c r="AO495" s="800">
        <f>IFERROR('Base de datos Rutas'!X493*AN495/AM495,"")</f>
        <v>0.40462988446513853</v>
      </c>
      <c r="AP495" s="800">
        <f t="shared" si="273"/>
        <v>0.59537011553486141</v>
      </c>
      <c r="AQ495" s="789">
        <f>IFERROR(INDEX('Hoja de apoyo v2'!$J$17:$J$20,MATCH($A495,'Hoja de apoyo v2'!$A$17:$A$20,0)),"")</f>
        <v>0.64320274048480885</v>
      </c>
      <c r="AR495" s="789">
        <f t="shared" si="274"/>
        <v>-4.7832624949947444E-2</v>
      </c>
      <c r="AS495" s="784" t="str">
        <f t="shared" si="275"/>
        <v>No</v>
      </c>
      <c r="AT495" s="801">
        <f>IF(ISNUMBER('Base de datos Rutas'!CK493),'Base de datos Rutas'!CK493,"")</f>
        <v>277</v>
      </c>
      <c r="AU495" s="802">
        <f>IF(ISNUMBER('Base de datos Rutas'!CL493),'Base de datos Rutas'!CL493,"")</f>
        <v>371.22</v>
      </c>
      <c r="AV495" s="802">
        <f>IF(ISNUMBER('Base de datos Rutas'!CM493),'Base de datos Rutas'!CM493,"")</f>
        <v>94.220000000000027</v>
      </c>
      <c r="AW495" s="802">
        <f>IF(ISNUMBER('Base de datos Rutas'!CN493),'Base de datos Rutas'!CN493,"")</f>
        <v>6.27</v>
      </c>
      <c r="AX495" s="802">
        <f>IF(ISNUMBER('Base de datos Rutas'!CO493),'Base de datos Rutas'!CO493,"")</f>
        <v>9.4499999999999993</v>
      </c>
      <c r="AY495" s="802">
        <f>IF(ISNUMBER('Base de datos Rutas'!CP493),'Base de datos Rutas'!CP493,"")</f>
        <v>3.1799999999999997</v>
      </c>
      <c r="AZ495" s="802">
        <f>IF(ISNUMBER('Base de datos Rutas'!CQ493),'Base de datos Rutas'!CQ493,"")</f>
        <v>846.56</v>
      </c>
      <c r="BA495" s="802">
        <f>IF(ISNUMBER('Base de datos Rutas'!CR493),'Base de datos Rutas'!CR493,"")</f>
        <v>408.72</v>
      </c>
      <c r="BB495" s="803">
        <f>IF(ISNUMBER('Base de datos Rutas'!CS493),'Base de datos Rutas'!CS493,"")</f>
        <v>437.83999999999992</v>
      </c>
      <c r="BC495" s="804">
        <f t="shared" si="285"/>
        <v>0</v>
      </c>
      <c r="BD495" s="805" t="str">
        <f t="shared" si="286"/>
        <v>No saturada</v>
      </c>
      <c r="BE495" s="806">
        <f t="shared" si="287"/>
        <v>0.48280098280098288</v>
      </c>
      <c r="BF495" s="890">
        <f>IF(ISNUMBER('Base de datos Rutas'!CX493),'Base de datos Rutas'!CX493/100,"")</f>
        <v>0.35869393139841693</v>
      </c>
      <c r="BG495" s="891">
        <f>IF(ISNUMBER('Base de datos Rutas'!CZ493),'Base de datos Rutas'!CZ493/100,"")</f>
        <v>0.420844327176781</v>
      </c>
      <c r="BH495" s="892">
        <f>IF(ISNUMBER('Base de datos Rutas'!DA493),'Base de datos Rutas'!DA493,"")</f>
        <v>1089.1496068860156</v>
      </c>
      <c r="BI495" s="893">
        <f>IF(ISNUMBER('Base de datos Rutas'!DC493),'Base de datos Rutas'!DC493,"")</f>
        <v>52.12967172187652</v>
      </c>
      <c r="BJ495" s="805" t="str">
        <f t="shared" si="288"/>
        <v>Ruta (completo)</v>
      </c>
      <c r="BK495" s="783">
        <f t="shared" si="276"/>
        <v>3</v>
      </c>
      <c r="BL495" s="797">
        <f t="shared" si="277"/>
        <v>3</v>
      </c>
      <c r="BM495" s="797">
        <f t="shared" si="278"/>
        <v>5</v>
      </c>
      <c r="BN495" s="797">
        <f t="shared" si="279"/>
        <v>5</v>
      </c>
      <c r="BO495" s="798" cm="1">
        <f t="array" ref="BO495">SUMPRODUCT(--ISNUMBER($BF495:$BI495),$BK$3:$BN$3)</f>
        <v>1</v>
      </c>
      <c r="BP495" s="831">
        <f t="shared" si="289"/>
        <v>75</v>
      </c>
      <c r="BQ495" s="834" t="str">
        <f t="shared" si="290"/>
        <v>Alto</v>
      </c>
      <c r="BR495" s="836">
        <f t="shared" si="280"/>
        <v>23.141509334745486</v>
      </c>
      <c r="BS495" s="836">
        <f t="shared" si="281"/>
        <v>75</v>
      </c>
      <c r="BT495" s="837" t="str">
        <f t="shared" si="282"/>
        <v>P3</v>
      </c>
      <c r="BU495" s="807" t="str">
        <f t="shared" si="291"/>
        <v>Con espacio</v>
      </c>
      <c r="BV495" s="807" t="str">
        <f t="shared" si="283"/>
        <v>Zona atractiva</v>
      </c>
      <c r="BW495" s="808" t="str">
        <f t="shared" si="284"/>
        <v>P3 - Desarrollar</v>
      </c>
    </row>
    <row r="496" spans="1:75">
      <c r="A496" s="780" t="str">
        <f>'Base de datos Rutas'!A494</f>
        <v>Occidente</v>
      </c>
      <c r="B496" s="781" t="str">
        <f>'Base de datos Rutas'!B494</f>
        <v>Zapopan</v>
      </c>
      <c r="C496" s="781" t="str">
        <f>'Base de datos Rutas'!C494</f>
        <v>Suc. Huentitán</v>
      </c>
      <c r="D496" s="782">
        <f>IF(ISNUMBER('Base de datos Rutas'!D494),'Base de datos Rutas'!D494,"Sin código")</f>
        <v>819350</v>
      </c>
      <c r="E496" s="783" t="str">
        <f>'Base de datos Rutas'!F494</f>
        <v>Activa</v>
      </c>
      <c r="F496" s="784" t="str">
        <f>'Base de datos Rutas'!H494</f>
        <v>Sí</v>
      </c>
      <c r="G496" s="785">
        <f>IF(ISNUMBER('Base de datos Rutas'!BE494),'Base de datos Rutas'!BE494,"")</f>
        <v>64.207459207459195</v>
      </c>
      <c r="H496" s="786">
        <f>IF(ISNUMBER('Base de datos Rutas'!BH494),'Base de datos Rutas'!BH494,"")</f>
        <v>0.38359048829188602</v>
      </c>
      <c r="I496" s="788">
        <f>IFERROR(IF(OR(NOT(ISNUMBER('Base de datos Rutas'!O494)),N('Base de datos Rutas'!BK494)=0),"",'Base de datos Rutas'!O494/('Base de datos Rutas'!L494/'Base de datos Rutas'!BK494)),"")</f>
        <v>2559.9160839160836</v>
      </c>
      <c r="J496" s="788">
        <f>IFERROR(IF(OR(NOT(ISNUMBER('Base de datos Rutas'!N494)),N('Base de datos Rutas'!BK494)=0),"",'Base de datos Rutas'!N494/('Base de datos Rutas'!L494/'Base de datos Rutas'!BK494)),"")</f>
        <v>4968.4032634032628</v>
      </c>
      <c r="K496" s="788">
        <f>IFERROR(IF(OR(NOT(ISNUMBER('Base de datos Rutas'!J494)),N('Base de datos Rutas'!BK494)=0),"",'Base de datos Rutas'!J494/('Base de datos Rutas'!L494/'Base de datos Rutas'!BK494)),"")</f>
        <v>346.45948706759901</v>
      </c>
      <c r="L496" s="788">
        <f>IFERROR(IF(OR(NOT(ISNUMBER('Base de datos Rutas'!K494)),N('Base de datos Rutas'!BK494)=0),"",'Base de datos Rutas'!K494/('Base de datos Rutas'!L494/'Base de datos Rutas'!BK494)),"")</f>
        <v>19.479461986013984</v>
      </c>
      <c r="M496" s="787">
        <f>IF(ISNUMBER('Base de datos Rutas'!AX494),'Base de datos Rutas'!AX494,"")</f>
        <v>305.66462332008302</v>
      </c>
      <c r="N496" s="790">
        <f>IFERROR(INDEX('Hoja de apoyo v2'!B$17:B$20,MATCH($A496,'Hoja de apoyo v2'!$A$17:$A$20,0)),"")</f>
        <v>89.41621024641401</v>
      </c>
      <c r="O496" s="791">
        <f>IFERROR(INDEX('Hoja de apoyo v2'!C$17:C$20,MATCH($A496,'Hoja de apoyo v2'!$A$17:$A$20,0)),"")</f>
        <v>0.54706375874806301</v>
      </c>
      <c r="P496" s="793">
        <f>IFERROR(INDEX('Hoja de apoyo v2'!D$17:D$20,MATCH($A496,'Hoja de apoyo v2'!$A$17:$A$20,0)),"")</f>
        <v>11095.153935793827</v>
      </c>
      <c r="Q496" s="793">
        <f>IFERROR(INDEX('Hoja de apoyo v2'!E$17:E$20,MATCH($A496,'Hoja de apoyo v2'!$A$17:$A$20,0)),"")</f>
        <v>6982.3202019701848</v>
      </c>
      <c r="R496" s="793">
        <f>IFERROR(INDEX('Hoja de apoyo v2'!F$17:F$20,MATCH($A496,'Hoja de apoyo v2'!$A$17:$A$20,0)),"")</f>
        <v>448.09513474485743</v>
      </c>
      <c r="S496" s="793">
        <f>IFERROR(INDEX('Hoja de apoyo v2'!G$17:G$20,MATCH($A496,'Hoja de apoyo v2'!$A$17:$A$20,0)),"")</f>
        <v>83.406300904207839</v>
      </c>
      <c r="T496" s="792">
        <f>IFERROR(INDEX('Hoja de apoyo v2'!H$17:H$20,MATCH($A496,'Hoja de apoyo v2'!$A$17:$A$20,0)),"")</f>
        <v>378.97014028925349</v>
      </c>
      <c r="U496" s="794">
        <f t="shared" si="256"/>
        <v>0.71807403859451979</v>
      </c>
      <c r="V496" s="795">
        <f t="shared" si="257"/>
        <v>0.70118058847422093</v>
      </c>
      <c r="W496" s="795">
        <f t="shared" si="258"/>
        <v>0.23072380056464073</v>
      </c>
      <c r="X496" s="843">
        <f t="shared" si="259"/>
        <v>0.71156909446824568</v>
      </c>
      <c r="Y496" s="843">
        <f t="shared" si="260"/>
        <v>0.77318288060608131</v>
      </c>
      <c r="Z496" s="843">
        <f t="shared" si="261"/>
        <v>0.23354904575358343</v>
      </c>
      <c r="AA496" s="843">
        <f t="shared" si="262"/>
        <v>0.8065665096642729</v>
      </c>
      <c r="AB496" s="796">
        <f t="shared" si="263"/>
        <v>2</v>
      </c>
      <c r="AC496" s="797">
        <f t="shared" si="264"/>
        <v>2</v>
      </c>
      <c r="AD496" s="797">
        <f t="shared" si="265"/>
        <v>1</v>
      </c>
      <c r="AE496" s="842">
        <f t="shared" si="266"/>
        <v>2</v>
      </c>
      <c r="AF496" s="842">
        <f t="shared" si="267"/>
        <v>3</v>
      </c>
      <c r="AG496" s="842">
        <f t="shared" si="268"/>
        <v>1</v>
      </c>
      <c r="AH496" s="842">
        <f t="shared" si="269"/>
        <v>3</v>
      </c>
      <c r="AI496" s="826" cm="1">
        <f t="array" ref="AI496">SUMPRODUCT(--ISNUMBER($U496:$AA496),$AB$3:$AH$3)</f>
        <v>1</v>
      </c>
      <c r="AJ496" s="829">
        <f t="shared" si="270"/>
        <v>20.667534114978636</v>
      </c>
      <c r="AK496" s="827" t="str">
        <f t="shared" si="271"/>
        <v>Inmadura</v>
      </c>
      <c r="AL496" s="784" t="str">
        <f t="shared" si="272"/>
        <v>Alta</v>
      </c>
      <c r="AM496" s="799">
        <f>IF(ISNUMBER('Base de datos Rutas'!W494),'Base de datos Rutas'!W494,"")</f>
        <v>2866.2444123371242</v>
      </c>
      <c r="AN496" s="787">
        <f>IFERROR(SUMIFS('Base de datos Rutas'!$W$6:$W$794,'Base de datos Rutas'!$C$6:$C$794,$C496)/'Base de datos Rutas'!I494,"")</f>
        <v>2866.2444123371242</v>
      </c>
      <c r="AO496" s="800">
        <f>IFERROR('Base de datos Rutas'!X494*AN496/AM496,"")</f>
        <v>0.40462988446513853</v>
      </c>
      <c r="AP496" s="800">
        <f t="shared" si="273"/>
        <v>0.59537011553486141</v>
      </c>
      <c r="AQ496" s="789">
        <f>IFERROR(INDEX('Hoja de apoyo v2'!$J$17:$J$20,MATCH($A496,'Hoja de apoyo v2'!$A$17:$A$20,0)),"")</f>
        <v>0.64320274048480885</v>
      </c>
      <c r="AR496" s="789">
        <f t="shared" si="274"/>
        <v>-4.7832624949947444E-2</v>
      </c>
      <c r="AS496" s="784" t="str">
        <f t="shared" si="275"/>
        <v>No</v>
      </c>
      <c r="AT496" s="801">
        <f>IF(ISNUMBER('Base de datos Rutas'!CK494),'Base de datos Rutas'!CK494,"")</f>
        <v>255</v>
      </c>
      <c r="AU496" s="802">
        <f>IF(ISNUMBER('Base de datos Rutas'!CL494),'Base de datos Rutas'!CL494,"")</f>
        <v>333.98</v>
      </c>
      <c r="AV496" s="802">
        <f>IF(ISNUMBER('Base de datos Rutas'!CM494),'Base de datos Rutas'!CM494,"")</f>
        <v>78.980000000000018</v>
      </c>
      <c r="AW496" s="802">
        <f>IF(ISNUMBER('Base de datos Rutas'!CN494),'Base de datos Rutas'!CN494,"")</f>
        <v>6.41</v>
      </c>
      <c r="AX496" s="802">
        <f>IF(ISNUMBER('Base de datos Rutas'!CO494),'Base de datos Rutas'!CO494,"")</f>
        <v>9.4499999999999993</v>
      </c>
      <c r="AY496" s="802">
        <f>IF(ISNUMBER('Base de datos Rutas'!CP494),'Base de datos Rutas'!CP494,"")</f>
        <v>3.0399999999999991</v>
      </c>
      <c r="AZ496" s="802">
        <f>IF(ISNUMBER('Base de datos Rutas'!CQ494),'Base de datos Rutas'!CQ494,"")</f>
        <v>564.37</v>
      </c>
      <c r="BA496" s="802">
        <f>IF(ISNUMBER('Base de datos Rutas'!CR494),'Base de datos Rutas'!CR494,"")</f>
        <v>365.94</v>
      </c>
      <c r="BB496" s="803">
        <f>IF(ISNUMBER('Base de datos Rutas'!CS494),'Base de datos Rutas'!CS494,"")</f>
        <v>198.43</v>
      </c>
      <c r="BC496" s="804">
        <f t="shared" si="285"/>
        <v>0</v>
      </c>
      <c r="BD496" s="805" t="str">
        <f t="shared" si="286"/>
        <v>No saturada</v>
      </c>
      <c r="BE496" s="806">
        <f t="shared" si="287"/>
        <v>0.64840441554299488</v>
      </c>
      <c r="BF496" s="890">
        <f>IF(ISNUMBER('Base de datos Rutas'!CX494),'Base de datos Rutas'!CX494/100,"")</f>
        <v>0.94667116812964214</v>
      </c>
      <c r="BG496" s="891">
        <f>IF(ISNUMBER('Base de datos Rutas'!CZ494),'Base de datos Rutas'!CZ494/100,"")</f>
        <v>1</v>
      </c>
      <c r="BH496" s="892">
        <f>IF(ISNUMBER('Base de datos Rutas'!DA494),'Base de datos Rutas'!DA494,"")</f>
        <v>881.54662239259483</v>
      </c>
      <c r="BI496" s="893">
        <f>IF(ISNUMBER('Base de datos Rutas'!DC494),'Base de datos Rutas'!DC494,"")</f>
        <v>44.934229926024692</v>
      </c>
      <c r="BJ496" s="805" t="str">
        <f t="shared" si="288"/>
        <v>Ruta (completo)</v>
      </c>
      <c r="BK496" s="783">
        <f t="shared" si="276"/>
        <v>5</v>
      </c>
      <c r="BL496" s="797">
        <f t="shared" si="277"/>
        <v>4</v>
      </c>
      <c r="BM496" s="797">
        <f t="shared" si="278"/>
        <v>5</v>
      </c>
      <c r="BN496" s="797">
        <f t="shared" si="279"/>
        <v>5</v>
      </c>
      <c r="BO496" s="798" cm="1">
        <f t="array" ref="BO496">SUMPRODUCT(--ISNUMBER($BF496:$BI496),$BK$3:$BN$3)</f>
        <v>1</v>
      </c>
      <c r="BP496" s="831">
        <f t="shared" si="289"/>
        <v>93.75</v>
      </c>
      <c r="BQ496" s="834" t="str">
        <f t="shared" si="290"/>
        <v>Alto</v>
      </c>
      <c r="BR496" s="836">
        <f t="shared" si="280"/>
        <v>15.500650586233977</v>
      </c>
      <c r="BS496" s="836">
        <f t="shared" si="281"/>
        <v>93.75</v>
      </c>
      <c r="BT496" s="837" t="str">
        <f t="shared" si="282"/>
        <v>P3</v>
      </c>
      <c r="BU496" s="807" t="str">
        <f t="shared" si="291"/>
        <v>Con espacio</v>
      </c>
      <c r="BV496" s="807" t="str">
        <f t="shared" si="283"/>
        <v>Zona atractiva</v>
      </c>
      <c r="BW496" s="808" t="str">
        <f t="shared" si="284"/>
        <v>P3 - Desarrollar</v>
      </c>
    </row>
    <row r="497" spans="1:75">
      <c r="A497" s="780" t="str">
        <f>'Base de datos Rutas'!A495</f>
        <v>Occidente</v>
      </c>
      <c r="B497" s="781" t="str">
        <f>'Base de datos Rutas'!B495</f>
        <v>Zapopan</v>
      </c>
      <c r="C497" s="781" t="str">
        <f>'Base de datos Rutas'!C495</f>
        <v>Suc. Huentitán</v>
      </c>
      <c r="D497" s="782">
        <f>IF(ISNUMBER('Base de datos Rutas'!D495),'Base de datos Rutas'!D495,"Sin código")</f>
        <v>819351</v>
      </c>
      <c r="E497" s="783" t="str">
        <f>'Base de datos Rutas'!F495</f>
        <v>Activa</v>
      </c>
      <c r="F497" s="784" t="str">
        <f>'Base de datos Rutas'!H495</f>
        <v>Sí</v>
      </c>
      <c r="G497" s="785">
        <f>IF(ISNUMBER('Base de datos Rutas'!BE495),'Base de datos Rutas'!BE495,"")</f>
        <v>84.022883295194504</v>
      </c>
      <c r="H497" s="786">
        <f>IF(ISNUMBER('Base de datos Rutas'!BH495),'Base de datos Rutas'!BH495,"")</f>
        <v>0.40827387112587799</v>
      </c>
      <c r="I497" s="788">
        <f>IFERROR(IF(OR(NOT(ISNUMBER('Base de datos Rutas'!O495)),N('Base de datos Rutas'!BK495)=0),"",'Base de datos Rutas'!O495/('Base de datos Rutas'!L495/'Base de datos Rutas'!BK495)),"")</f>
        <v>4641.6521739130339</v>
      </c>
      <c r="J497" s="788">
        <f>IFERROR(IF(OR(NOT(ISNUMBER('Base de datos Rutas'!N495)),N('Base de datos Rutas'!BK495)=0),"",'Base de datos Rutas'!N495/('Base de datos Rutas'!L495/'Base de datos Rutas'!BK495)),"")</f>
        <v>7295.0983981693216</v>
      </c>
      <c r="K497" s="788">
        <f>IFERROR(IF(OR(NOT(ISNUMBER('Base de datos Rutas'!J495)),N('Base de datos Rutas'!BK495)=0),"",'Base de datos Rutas'!J495/('Base de datos Rutas'!L495/'Base de datos Rutas'!BK495)),"")</f>
        <v>500.0840750572072</v>
      </c>
      <c r="L497" s="788">
        <f>IFERROR(IF(OR(NOT(ISNUMBER('Base de datos Rutas'!K495)),N('Base de datos Rutas'!BK495)=0),"",'Base de datos Rutas'!K495/('Base de datos Rutas'!L495/'Base de datos Rutas'!BK495)),"")</f>
        <v>35.373950290617778</v>
      </c>
      <c r="M497" s="787">
        <f>IF(ISNUMBER('Base de datos Rutas'!AX495),'Base de datos Rutas'!AX495,"")</f>
        <v>347.91847908745302</v>
      </c>
      <c r="N497" s="790">
        <f>IFERROR(INDEX('Hoja de apoyo v2'!B$17:B$20,MATCH($A497,'Hoja de apoyo v2'!$A$17:$A$20,0)),"")</f>
        <v>89.41621024641401</v>
      </c>
      <c r="O497" s="791">
        <f>IFERROR(INDEX('Hoja de apoyo v2'!C$17:C$20,MATCH($A497,'Hoja de apoyo v2'!$A$17:$A$20,0)),"")</f>
        <v>0.54706375874806301</v>
      </c>
      <c r="P497" s="793">
        <f>IFERROR(INDEX('Hoja de apoyo v2'!D$17:D$20,MATCH($A497,'Hoja de apoyo v2'!$A$17:$A$20,0)),"")</f>
        <v>11095.153935793827</v>
      </c>
      <c r="Q497" s="793">
        <f>IFERROR(INDEX('Hoja de apoyo v2'!E$17:E$20,MATCH($A497,'Hoja de apoyo v2'!$A$17:$A$20,0)),"")</f>
        <v>6982.3202019701848</v>
      </c>
      <c r="R497" s="793">
        <f>IFERROR(INDEX('Hoja de apoyo v2'!F$17:F$20,MATCH($A497,'Hoja de apoyo v2'!$A$17:$A$20,0)),"")</f>
        <v>448.09513474485743</v>
      </c>
      <c r="S497" s="793">
        <f>IFERROR(INDEX('Hoja de apoyo v2'!G$17:G$20,MATCH($A497,'Hoja de apoyo v2'!$A$17:$A$20,0)),"")</f>
        <v>83.406300904207839</v>
      </c>
      <c r="T497" s="792">
        <f>IFERROR(INDEX('Hoja de apoyo v2'!H$17:H$20,MATCH($A497,'Hoja de apoyo v2'!$A$17:$A$20,0)),"")</f>
        <v>378.97014028925349</v>
      </c>
      <c r="U497" s="794">
        <f t="shared" si="256"/>
        <v>0.9396828948984024</v>
      </c>
      <c r="V497" s="795">
        <f t="shared" si="257"/>
        <v>0.74630034360199438</v>
      </c>
      <c r="W497" s="795">
        <f t="shared" si="258"/>
        <v>0.4183495065299368</v>
      </c>
      <c r="X497" s="843">
        <f t="shared" si="259"/>
        <v>1.0447957394034839</v>
      </c>
      <c r="Y497" s="843">
        <f t="shared" si="260"/>
        <v>1.1160221039711844</v>
      </c>
      <c r="Z497" s="843">
        <f t="shared" si="261"/>
        <v>0.42411604287840038</v>
      </c>
      <c r="AA497" s="843">
        <f t="shared" si="262"/>
        <v>0.91806304006405381</v>
      </c>
      <c r="AB497" s="796">
        <f t="shared" si="263"/>
        <v>3</v>
      </c>
      <c r="AC497" s="797">
        <f t="shared" si="264"/>
        <v>2</v>
      </c>
      <c r="AD497" s="797">
        <f t="shared" si="265"/>
        <v>1</v>
      </c>
      <c r="AE497" s="842">
        <f t="shared" si="266"/>
        <v>4</v>
      </c>
      <c r="AF497" s="842">
        <f t="shared" si="267"/>
        <v>4</v>
      </c>
      <c r="AG497" s="842">
        <f t="shared" si="268"/>
        <v>1</v>
      </c>
      <c r="AH497" s="842">
        <f t="shared" si="269"/>
        <v>3</v>
      </c>
      <c r="AI497" s="826" cm="1">
        <f t="array" ref="AI497">SUMPRODUCT(--ISNUMBER($U497:$AA497),$AB$3:$AH$3)</f>
        <v>1</v>
      </c>
      <c r="AJ497" s="829">
        <f t="shared" si="270"/>
        <v>34.946110097592566</v>
      </c>
      <c r="AK497" s="827" t="str">
        <f t="shared" si="271"/>
        <v>Inmadura</v>
      </c>
      <c r="AL497" s="784" t="str">
        <f t="shared" si="272"/>
        <v>Alta</v>
      </c>
      <c r="AM497" s="799">
        <f>IF(ISNUMBER('Base de datos Rutas'!W495),'Base de datos Rutas'!W495,"")</f>
        <v>2866.2444123371242</v>
      </c>
      <c r="AN497" s="787">
        <f>IFERROR(SUMIFS('Base de datos Rutas'!$W$6:$W$794,'Base de datos Rutas'!$C$6:$C$794,$C497)/'Base de datos Rutas'!I495,"")</f>
        <v>2866.2444123371242</v>
      </c>
      <c r="AO497" s="800">
        <f>IFERROR('Base de datos Rutas'!X495*AN497/AM497,"")</f>
        <v>0.40462988446513853</v>
      </c>
      <c r="AP497" s="800">
        <f t="shared" si="273"/>
        <v>0.59537011553486141</v>
      </c>
      <c r="AQ497" s="789">
        <f>IFERROR(INDEX('Hoja de apoyo v2'!$J$17:$J$20,MATCH($A497,'Hoja de apoyo v2'!$A$17:$A$20,0)),"")</f>
        <v>0.64320274048480885</v>
      </c>
      <c r="AR497" s="789">
        <f t="shared" si="274"/>
        <v>-4.7832624949947444E-2</v>
      </c>
      <c r="AS497" s="784" t="str">
        <f t="shared" si="275"/>
        <v>No</v>
      </c>
      <c r="AT497" s="801">
        <f>IF(ISNUMBER('Base de datos Rutas'!CK495),'Base de datos Rutas'!CK495,"")</f>
        <v>326</v>
      </c>
      <c r="AU497" s="802">
        <f>IF(ISNUMBER('Base de datos Rutas'!CL495),'Base de datos Rutas'!CL495,"")</f>
        <v>430.27</v>
      </c>
      <c r="AV497" s="802">
        <f>IF(ISNUMBER('Base de datos Rutas'!CM495),'Base de datos Rutas'!CM495,"")</f>
        <v>104.26999999999998</v>
      </c>
      <c r="AW497" s="802">
        <f>IF(ISNUMBER('Base de datos Rutas'!CN495),'Base de datos Rutas'!CN495,"")</f>
        <v>7.96</v>
      </c>
      <c r="AX497" s="802">
        <f>IF(ISNUMBER('Base de datos Rutas'!CO495),'Base de datos Rutas'!CO495,"")</f>
        <v>9.4499999999999993</v>
      </c>
      <c r="AY497" s="802">
        <f>IF(ISNUMBER('Base de datos Rutas'!CP495),'Base de datos Rutas'!CP495,"")</f>
        <v>1.4899999999999993</v>
      </c>
      <c r="AZ497" s="802">
        <f>IF(ISNUMBER('Base de datos Rutas'!CQ495),'Base de datos Rutas'!CQ495,"")</f>
        <v>846.56</v>
      </c>
      <c r="BA497" s="802">
        <f>IF(ISNUMBER('Base de datos Rutas'!CR495),'Base de datos Rutas'!CR495,"")</f>
        <v>535.46</v>
      </c>
      <c r="BB497" s="803">
        <f>IF(ISNUMBER('Base de datos Rutas'!CS495),'Base de datos Rutas'!CS495,"")</f>
        <v>311.09999999999991</v>
      </c>
      <c r="BC497" s="804">
        <f t="shared" si="285"/>
        <v>0</v>
      </c>
      <c r="BD497" s="805" t="str">
        <f t="shared" si="286"/>
        <v>No saturada</v>
      </c>
      <c r="BE497" s="806">
        <f t="shared" si="287"/>
        <v>0.6325127575127576</v>
      </c>
      <c r="BF497" s="890">
        <f>IF(ISNUMBER('Base de datos Rutas'!CX495),'Base de datos Rutas'!CX495/100,"")</f>
        <v>0.94540837696335078</v>
      </c>
      <c r="BG497" s="891">
        <f>IF(ISNUMBER('Base de datos Rutas'!CZ495),'Base de datos Rutas'!CZ495/100,"")</f>
        <v>1</v>
      </c>
      <c r="BH497" s="892">
        <f>IF(ISNUMBER('Base de datos Rutas'!DA495),'Base de datos Rutas'!DA495,"")</f>
        <v>681.62050271314172</v>
      </c>
      <c r="BI497" s="893">
        <f>IF(ISNUMBER('Base de datos Rutas'!DC495),'Base de datos Rutas'!DC495,"")</f>
        <v>29.991575111578882</v>
      </c>
      <c r="BJ497" s="805" t="str">
        <f t="shared" si="288"/>
        <v>Ruta (completo)</v>
      </c>
      <c r="BK497" s="783">
        <f t="shared" si="276"/>
        <v>5</v>
      </c>
      <c r="BL497" s="797">
        <f t="shared" si="277"/>
        <v>4</v>
      </c>
      <c r="BM497" s="797">
        <f t="shared" si="278"/>
        <v>4</v>
      </c>
      <c r="BN497" s="797">
        <f t="shared" si="279"/>
        <v>4</v>
      </c>
      <c r="BO497" s="798" cm="1">
        <f t="array" ref="BO497">SUMPRODUCT(--ISNUMBER($BF497:$BI497),$BK$3:$BN$3)</f>
        <v>1</v>
      </c>
      <c r="BP497" s="831">
        <f t="shared" si="289"/>
        <v>81.25</v>
      </c>
      <c r="BQ497" s="834" t="str">
        <f t="shared" si="290"/>
        <v>Alto</v>
      </c>
      <c r="BR497" s="836">
        <f t="shared" si="280"/>
        <v>26.209582573194425</v>
      </c>
      <c r="BS497" s="836">
        <f t="shared" si="281"/>
        <v>81.25</v>
      </c>
      <c r="BT497" s="837" t="str">
        <f t="shared" si="282"/>
        <v>P3</v>
      </c>
      <c r="BU497" s="807" t="str">
        <f t="shared" si="291"/>
        <v>Con espacio</v>
      </c>
      <c r="BV497" s="807" t="str">
        <f t="shared" si="283"/>
        <v>Zona atractiva</v>
      </c>
      <c r="BW497" s="808" t="str">
        <f t="shared" si="284"/>
        <v>P3 - Desarrollar</v>
      </c>
    </row>
    <row r="498" spans="1:75">
      <c r="A498" s="780" t="str">
        <f>'Base de datos Rutas'!A496</f>
        <v>Occidente</v>
      </c>
      <c r="B498" s="781" t="str">
        <f>'Base de datos Rutas'!B496</f>
        <v>Zapopan</v>
      </c>
      <c r="C498" s="781" t="str">
        <f>'Base de datos Rutas'!C496</f>
        <v>Suc. Huentitán</v>
      </c>
      <c r="D498" s="782">
        <f>IF(ISNUMBER('Base de datos Rutas'!D496),'Base de datos Rutas'!D496,"Sin código")</f>
        <v>819352</v>
      </c>
      <c r="E498" s="783" t="str">
        <f>'Base de datos Rutas'!F496</f>
        <v>Activa</v>
      </c>
      <c r="F498" s="784" t="str">
        <f>'Base de datos Rutas'!H496</f>
        <v>Sí</v>
      </c>
      <c r="G498" s="785">
        <f>IF(ISNUMBER('Base de datos Rutas'!BE496),'Base de datos Rutas'!BE496,"")</f>
        <v>63.112107623318401</v>
      </c>
      <c r="H498" s="786">
        <f>IF(ISNUMBER('Base de datos Rutas'!BH496),'Base de datos Rutas'!BH496,"")</f>
        <v>0.82972147221827497</v>
      </c>
      <c r="I498" s="788">
        <f>IFERROR(IF(OR(NOT(ISNUMBER('Base de datos Rutas'!O496)),N('Base de datos Rutas'!BK496)=0),"",'Base de datos Rutas'!O496/('Base de datos Rutas'!L496/'Base de datos Rutas'!BK496)),"")</f>
        <v>5403.6143497757785</v>
      </c>
      <c r="J498" s="788">
        <f>IFERROR(IF(OR(NOT(ISNUMBER('Base de datos Rutas'!N496)),N('Base de datos Rutas'!BK496)=0),"",'Base de datos Rutas'!N496/('Base de datos Rutas'!L496/'Base de datos Rutas'!BK496)),"")</f>
        <v>8339.8744394618734</v>
      </c>
      <c r="K498" s="788">
        <f>IFERROR(IF(OR(NOT(ISNUMBER('Base de datos Rutas'!J496)),N('Base de datos Rutas'!BK496)=0),"",'Base de datos Rutas'!J496/('Base de datos Rutas'!L496/'Base de datos Rutas'!BK496)),"")</f>
        <v>580.02934321076168</v>
      </c>
      <c r="L498" s="788">
        <f>IFERROR(IF(OR(NOT(ISNUMBER('Base de datos Rutas'!K496)),N('Base de datos Rutas'!BK496)=0),"",'Base de datos Rutas'!K496/('Base de datos Rutas'!L496/'Base de datos Rutas'!BK496)),"")</f>
        <v>42.269049607623273</v>
      </c>
      <c r="M498" s="787">
        <f>IF(ISNUMBER('Base de datos Rutas'!AX496),'Base de datos Rutas'!AX496,"")</f>
        <v>262.453168058232</v>
      </c>
      <c r="N498" s="790">
        <f>IFERROR(INDEX('Hoja de apoyo v2'!B$17:B$20,MATCH($A498,'Hoja de apoyo v2'!$A$17:$A$20,0)),"")</f>
        <v>89.41621024641401</v>
      </c>
      <c r="O498" s="791">
        <f>IFERROR(INDEX('Hoja de apoyo v2'!C$17:C$20,MATCH($A498,'Hoja de apoyo v2'!$A$17:$A$20,0)),"")</f>
        <v>0.54706375874806301</v>
      </c>
      <c r="P498" s="793">
        <f>IFERROR(INDEX('Hoja de apoyo v2'!D$17:D$20,MATCH($A498,'Hoja de apoyo v2'!$A$17:$A$20,0)),"")</f>
        <v>11095.153935793827</v>
      </c>
      <c r="Q498" s="793">
        <f>IFERROR(INDEX('Hoja de apoyo v2'!E$17:E$20,MATCH($A498,'Hoja de apoyo v2'!$A$17:$A$20,0)),"")</f>
        <v>6982.3202019701848</v>
      </c>
      <c r="R498" s="793">
        <f>IFERROR(INDEX('Hoja de apoyo v2'!F$17:F$20,MATCH($A498,'Hoja de apoyo v2'!$A$17:$A$20,0)),"")</f>
        <v>448.09513474485743</v>
      </c>
      <c r="S498" s="793">
        <f>IFERROR(INDEX('Hoja de apoyo v2'!G$17:G$20,MATCH($A498,'Hoja de apoyo v2'!$A$17:$A$20,0)),"")</f>
        <v>83.406300904207839</v>
      </c>
      <c r="T498" s="792">
        <f>IFERROR(INDEX('Hoja de apoyo v2'!H$17:H$20,MATCH($A498,'Hoja de apoyo v2'!$A$17:$A$20,0)),"")</f>
        <v>378.97014028925349</v>
      </c>
      <c r="U498" s="794">
        <f t="shared" si="256"/>
        <v>0.70582400494712849</v>
      </c>
      <c r="V498" s="795">
        <f t="shared" si="257"/>
        <v>1.5166814817290486</v>
      </c>
      <c r="W498" s="795">
        <f t="shared" si="258"/>
        <v>0.48702472998984714</v>
      </c>
      <c r="X498" s="843">
        <f t="shared" si="259"/>
        <v>1.1944273820482525</v>
      </c>
      <c r="Y498" s="843">
        <f t="shared" si="260"/>
        <v>1.2944334768129691</v>
      </c>
      <c r="Z498" s="843">
        <f t="shared" si="261"/>
        <v>0.50678484897884746</v>
      </c>
      <c r="AA498" s="843">
        <f t="shared" si="262"/>
        <v>0.69254313244286603</v>
      </c>
      <c r="AB498" s="796">
        <f t="shared" si="263"/>
        <v>2</v>
      </c>
      <c r="AC498" s="797">
        <f t="shared" si="264"/>
        <v>5</v>
      </c>
      <c r="AD498" s="797">
        <f t="shared" si="265"/>
        <v>1</v>
      </c>
      <c r="AE498" s="842">
        <f t="shared" si="266"/>
        <v>4</v>
      </c>
      <c r="AF498" s="842">
        <f t="shared" si="267"/>
        <v>5</v>
      </c>
      <c r="AG498" s="842">
        <f t="shared" si="268"/>
        <v>2</v>
      </c>
      <c r="AH498" s="842">
        <f t="shared" si="269"/>
        <v>2</v>
      </c>
      <c r="AI498" s="826" cm="1">
        <f t="array" ref="AI498">SUMPRODUCT(--ISNUMBER($U498:$AA498),$AB$3:$AH$3)</f>
        <v>1</v>
      </c>
      <c r="AJ498" s="829">
        <f t="shared" si="270"/>
        <v>42.631574116900161</v>
      </c>
      <c r="AK498" s="827" t="str">
        <f t="shared" si="271"/>
        <v>Inmadura</v>
      </c>
      <c r="AL498" s="784" t="str">
        <f t="shared" si="272"/>
        <v>Alta</v>
      </c>
      <c r="AM498" s="799">
        <f>IF(ISNUMBER('Base de datos Rutas'!W496),'Base de datos Rutas'!W496,"")</f>
        <v>2866.2444123371242</v>
      </c>
      <c r="AN498" s="787">
        <f>IFERROR(SUMIFS('Base de datos Rutas'!$W$6:$W$794,'Base de datos Rutas'!$C$6:$C$794,$C498)/'Base de datos Rutas'!I496,"")</f>
        <v>2866.2444123371242</v>
      </c>
      <c r="AO498" s="800">
        <f>IFERROR('Base de datos Rutas'!X496*AN498/AM498,"")</f>
        <v>0.40462988446513853</v>
      </c>
      <c r="AP498" s="800">
        <f t="shared" si="273"/>
        <v>0.59537011553486141</v>
      </c>
      <c r="AQ498" s="789">
        <f>IFERROR(INDEX('Hoja de apoyo v2'!$J$17:$J$20,MATCH($A498,'Hoja de apoyo v2'!$A$17:$A$20,0)),"")</f>
        <v>0.64320274048480885</v>
      </c>
      <c r="AR498" s="789">
        <f t="shared" si="274"/>
        <v>-4.7832624949947444E-2</v>
      </c>
      <c r="AS498" s="784" t="str">
        <f t="shared" si="275"/>
        <v>No</v>
      </c>
      <c r="AT498" s="801">
        <f>IF(ISNUMBER('Base de datos Rutas'!CK496),'Base de datos Rutas'!CK496,"")</f>
        <v>360</v>
      </c>
      <c r="AU498" s="802">
        <f>IF(ISNUMBER('Base de datos Rutas'!CL496),'Base de datos Rutas'!CL496,"")</f>
        <v>449.99</v>
      </c>
      <c r="AV498" s="802">
        <f>IF(ISNUMBER('Base de datos Rutas'!CM496),'Base de datos Rutas'!CM496,"")</f>
        <v>89.990000000000009</v>
      </c>
      <c r="AW498" s="802">
        <f>IF(ISNUMBER('Base de datos Rutas'!CN496),'Base de datos Rutas'!CN496,"")</f>
        <v>8.6</v>
      </c>
      <c r="AX498" s="802">
        <f>IF(ISNUMBER('Base de datos Rutas'!CO496),'Base de datos Rutas'!CO496,"")</f>
        <v>9.4499999999999993</v>
      </c>
      <c r="AY498" s="802">
        <f>IF(ISNUMBER('Base de datos Rutas'!CP496),'Base de datos Rutas'!CP496,"")</f>
        <v>0.84999999999999964</v>
      </c>
      <c r="AZ498" s="802">
        <f>IF(ISNUMBER('Base de datos Rutas'!CQ496),'Base de datos Rutas'!CQ496,"")</f>
        <v>846.56</v>
      </c>
      <c r="BA498" s="802">
        <f>IF(ISNUMBER('Base de datos Rutas'!CR496),'Base de datos Rutas'!CR496,"")</f>
        <v>622.29999999999995</v>
      </c>
      <c r="BB498" s="803">
        <f>IF(ISNUMBER('Base de datos Rutas'!CS496),'Base de datos Rutas'!CS496,"")</f>
        <v>224.26</v>
      </c>
      <c r="BC498" s="804">
        <f t="shared" si="285"/>
        <v>0</v>
      </c>
      <c r="BD498" s="805" t="str">
        <f t="shared" si="286"/>
        <v>No saturada</v>
      </c>
      <c r="BE498" s="806">
        <f t="shared" si="287"/>
        <v>0.73509261009261007</v>
      </c>
      <c r="BF498" s="890">
        <f>IF(ISNUMBER('Base de datos Rutas'!CX496),'Base de datos Rutas'!CX496/100,"")</f>
        <v>0.95151400862068969</v>
      </c>
      <c r="BG498" s="891">
        <f>IF(ISNUMBER('Base de datos Rutas'!CZ496),'Base de datos Rutas'!CZ496/100,"")</f>
        <v>1</v>
      </c>
      <c r="BH498" s="892">
        <f>IF(ISNUMBER('Base de datos Rutas'!DA496),'Base de datos Rutas'!DA496,"")</f>
        <v>685.90374565131378</v>
      </c>
      <c r="BI498" s="893">
        <f>IF(ISNUMBER('Base de datos Rutas'!DC496),'Base de datos Rutas'!DC496,"")</f>
        <v>30.978422294050841</v>
      </c>
      <c r="BJ498" s="805" t="str">
        <f t="shared" si="288"/>
        <v>Ruta (completo)</v>
      </c>
      <c r="BK498" s="783">
        <f t="shared" si="276"/>
        <v>5</v>
      </c>
      <c r="BL498" s="797">
        <f t="shared" si="277"/>
        <v>4</v>
      </c>
      <c r="BM498" s="797">
        <f t="shared" si="278"/>
        <v>4</v>
      </c>
      <c r="BN498" s="797">
        <f t="shared" si="279"/>
        <v>4</v>
      </c>
      <c r="BO498" s="798" cm="1">
        <f t="array" ref="BO498">SUMPRODUCT(--ISNUMBER($BF498:$BI498),$BK$3:$BN$3)</f>
        <v>1</v>
      </c>
      <c r="BP498" s="831">
        <f t="shared" si="289"/>
        <v>81.25</v>
      </c>
      <c r="BQ498" s="834" t="str">
        <f t="shared" si="290"/>
        <v>Alto</v>
      </c>
      <c r="BR498" s="836">
        <f t="shared" si="280"/>
        <v>31.973680587675119</v>
      </c>
      <c r="BS498" s="836">
        <f t="shared" si="281"/>
        <v>81.25</v>
      </c>
      <c r="BT498" s="837" t="str">
        <f t="shared" si="282"/>
        <v>P1</v>
      </c>
      <c r="BU498" s="807" t="str">
        <f t="shared" si="291"/>
        <v>Con espacio</v>
      </c>
      <c r="BV498" s="807" t="str">
        <f t="shared" si="283"/>
        <v>Zona atractiva</v>
      </c>
      <c r="BW498" s="808" t="str">
        <f t="shared" si="284"/>
        <v>P1 - Ampliar cobertura</v>
      </c>
    </row>
    <row r="499" spans="1:75">
      <c r="A499" s="780" t="str">
        <f>'Base de datos Rutas'!A497</f>
        <v>Occidente</v>
      </c>
      <c r="B499" s="781" t="str">
        <f>'Base de datos Rutas'!B497</f>
        <v>Zapopan</v>
      </c>
      <c r="C499" s="781" t="str">
        <f>'Base de datos Rutas'!C497</f>
        <v>Suc. Huentitán</v>
      </c>
      <c r="D499" s="782">
        <f>IF(ISNUMBER('Base de datos Rutas'!D497),'Base de datos Rutas'!D497,"Sin código")</f>
        <v>819353</v>
      </c>
      <c r="E499" s="783" t="str">
        <f>'Base de datos Rutas'!F497</f>
        <v>Activa</v>
      </c>
      <c r="F499" s="784" t="str">
        <f>'Base de datos Rutas'!H497</f>
        <v>Sí</v>
      </c>
      <c r="G499" s="785">
        <f>IF(ISNUMBER('Base de datos Rutas'!BE497),'Base de datos Rutas'!BE497,"")</f>
        <v>57.175925925925903</v>
      </c>
      <c r="H499" s="786">
        <f>IF(ISNUMBER('Base de datos Rutas'!BH497),'Base de datos Rutas'!BH497,"")</f>
        <v>0.62805668016194305</v>
      </c>
      <c r="I499" s="788">
        <f>IFERROR(IF(OR(NOT(ISNUMBER('Base de datos Rutas'!O497)),N('Base de datos Rutas'!BK497)=0),"",'Base de datos Rutas'!O497/('Base de datos Rutas'!L497/'Base de datos Rutas'!BK497)),"")</f>
        <v>2407.0578703703686</v>
      </c>
      <c r="J499" s="788">
        <f>IFERROR(IF(OR(NOT(ISNUMBER('Base de datos Rutas'!N497)),N('Base de datos Rutas'!BK497)=0),"",'Base de datos Rutas'!N497/('Base de datos Rutas'!L497/'Base de datos Rutas'!BK497)),"")</f>
        <v>6191.0949074074033</v>
      </c>
      <c r="K499" s="788">
        <f>IFERROR(IF(OR(NOT(ISNUMBER('Base de datos Rutas'!J497)),N('Base de datos Rutas'!BK497)=0),"",'Base de datos Rutas'!J497/('Base de datos Rutas'!L497/'Base de datos Rutas'!BK497)),"")</f>
        <v>429.43111296296269</v>
      </c>
      <c r="L499" s="788">
        <f>IFERROR(IF(OR(NOT(ISNUMBER('Base de datos Rutas'!K497)),N('Base de datos Rutas'!BK497)=0),"",'Base de datos Rutas'!K497/('Base de datos Rutas'!L497/'Base de datos Rutas'!BK497)),"")</f>
        <v>17.94278505787036</v>
      </c>
      <c r="M499" s="787">
        <f>IF(ISNUMBER('Base de datos Rutas'!AX497),'Base de datos Rutas'!AX497,"")</f>
        <v>238.62390704570399</v>
      </c>
      <c r="N499" s="790">
        <f>IFERROR(INDEX('Hoja de apoyo v2'!B$17:B$20,MATCH($A499,'Hoja de apoyo v2'!$A$17:$A$20,0)),"")</f>
        <v>89.41621024641401</v>
      </c>
      <c r="O499" s="791">
        <f>IFERROR(INDEX('Hoja de apoyo v2'!C$17:C$20,MATCH($A499,'Hoja de apoyo v2'!$A$17:$A$20,0)),"")</f>
        <v>0.54706375874806301</v>
      </c>
      <c r="P499" s="793">
        <f>IFERROR(INDEX('Hoja de apoyo v2'!D$17:D$20,MATCH($A499,'Hoja de apoyo v2'!$A$17:$A$20,0)),"")</f>
        <v>11095.153935793827</v>
      </c>
      <c r="Q499" s="793">
        <f>IFERROR(INDEX('Hoja de apoyo v2'!E$17:E$20,MATCH($A499,'Hoja de apoyo v2'!$A$17:$A$20,0)),"")</f>
        <v>6982.3202019701848</v>
      </c>
      <c r="R499" s="793">
        <f>IFERROR(INDEX('Hoja de apoyo v2'!F$17:F$20,MATCH($A499,'Hoja de apoyo v2'!$A$17:$A$20,0)),"")</f>
        <v>448.09513474485743</v>
      </c>
      <c r="S499" s="793">
        <f>IFERROR(INDEX('Hoja de apoyo v2'!G$17:G$20,MATCH($A499,'Hoja de apoyo v2'!$A$17:$A$20,0)),"")</f>
        <v>83.406300904207839</v>
      </c>
      <c r="T499" s="792">
        <f>IFERROR(INDEX('Hoja de apoyo v2'!H$17:H$20,MATCH($A499,'Hoja de apoyo v2'!$A$17:$A$20,0)),"")</f>
        <v>378.97014028925349</v>
      </c>
      <c r="U499" s="794">
        <f t="shared" si="256"/>
        <v>0.63943579993336741</v>
      </c>
      <c r="V499" s="795">
        <f t="shared" si="257"/>
        <v>1.1480502411624371</v>
      </c>
      <c r="W499" s="795">
        <f t="shared" si="258"/>
        <v>0.21694677552918065</v>
      </c>
      <c r="X499" s="843">
        <f t="shared" si="259"/>
        <v>0.88668160845165434</v>
      </c>
      <c r="Y499" s="843">
        <f t="shared" si="260"/>
        <v>0.95834808205957889</v>
      </c>
      <c r="Z499" s="843">
        <f t="shared" si="261"/>
        <v>0.21512505486219385</v>
      </c>
      <c r="AA499" s="843">
        <f t="shared" si="262"/>
        <v>0.62966413887799033</v>
      </c>
      <c r="AB499" s="796">
        <f t="shared" si="263"/>
        <v>2</v>
      </c>
      <c r="AC499" s="797">
        <f t="shared" si="264"/>
        <v>4</v>
      </c>
      <c r="AD499" s="797">
        <f t="shared" si="265"/>
        <v>1</v>
      </c>
      <c r="AE499" s="842">
        <f t="shared" si="266"/>
        <v>3</v>
      </c>
      <c r="AF499" s="842">
        <f t="shared" si="267"/>
        <v>3</v>
      </c>
      <c r="AG499" s="842">
        <f t="shared" si="268"/>
        <v>1</v>
      </c>
      <c r="AH499" s="842">
        <f t="shared" si="269"/>
        <v>2</v>
      </c>
      <c r="AI499" s="826" cm="1">
        <f t="array" ref="AI499">SUMPRODUCT(--ISNUMBER($U499:$AA499),$AB$3:$AH$3)</f>
        <v>1</v>
      </c>
      <c r="AJ499" s="829">
        <f t="shared" si="270"/>
        <v>26.598065092651723</v>
      </c>
      <c r="AK499" s="827" t="str">
        <f t="shared" si="271"/>
        <v>Inmadura</v>
      </c>
      <c r="AL499" s="784" t="str">
        <f t="shared" si="272"/>
        <v>Alta</v>
      </c>
      <c r="AM499" s="799">
        <f>IF(ISNUMBER('Base de datos Rutas'!W497),'Base de datos Rutas'!W497,"")</f>
        <v>2866.2444123371242</v>
      </c>
      <c r="AN499" s="787">
        <f>IFERROR(SUMIFS('Base de datos Rutas'!$W$6:$W$794,'Base de datos Rutas'!$C$6:$C$794,$C499)/'Base de datos Rutas'!I497,"")</f>
        <v>2866.2444123371242</v>
      </c>
      <c r="AO499" s="800">
        <f>IFERROR('Base de datos Rutas'!X497*AN499/AM499,"")</f>
        <v>0.40462988446513853</v>
      </c>
      <c r="AP499" s="800">
        <f t="shared" si="273"/>
        <v>0.59537011553486141</v>
      </c>
      <c r="AQ499" s="789">
        <f>IFERROR(INDEX('Hoja de apoyo v2'!$J$17:$J$20,MATCH($A499,'Hoja de apoyo v2'!$A$17:$A$20,0)),"")</f>
        <v>0.64320274048480885</v>
      </c>
      <c r="AR499" s="789">
        <f t="shared" si="274"/>
        <v>-4.7832624949947444E-2</v>
      </c>
      <c r="AS499" s="784" t="str">
        <f t="shared" si="275"/>
        <v>No</v>
      </c>
      <c r="AT499" s="801">
        <f>IF(ISNUMBER('Base de datos Rutas'!CK497),'Base de datos Rutas'!CK497,"")</f>
        <v>265</v>
      </c>
      <c r="AU499" s="802">
        <f>IF(ISNUMBER('Base de datos Rutas'!CL497),'Base de datos Rutas'!CL497,"")</f>
        <v>473.25</v>
      </c>
      <c r="AV499" s="802">
        <f>IF(ISNUMBER('Base de datos Rutas'!CM497),'Base de datos Rutas'!CM497,"")</f>
        <v>208.25</v>
      </c>
      <c r="AW499" s="802">
        <f>IF(ISNUMBER('Base de datos Rutas'!CN497),'Base de datos Rutas'!CN497,"")</f>
        <v>5.98</v>
      </c>
      <c r="AX499" s="802">
        <f>IF(ISNUMBER('Base de datos Rutas'!CO497),'Base de datos Rutas'!CO497,"")</f>
        <v>9.4499999999999993</v>
      </c>
      <c r="AY499" s="802">
        <f>IF(ISNUMBER('Base de datos Rutas'!CP497),'Base de datos Rutas'!CP497,"")</f>
        <v>3.4699999999999989</v>
      </c>
      <c r="AZ499" s="802">
        <f>IF(ISNUMBER('Base de datos Rutas'!CQ497),'Base de datos Rutas'!CQ497,"")</f>
        <v>846.56</v>
      </c>
      <c r="BA499" s="802">
        <f>IF(ISNUMBER('Base de datos Rutas'!CR497),'Base de datos Rutas'!CR497,"")</f>
        <v>447.37</v>
      </c>
      <c r="BB499" s="803">
        <f>IF(ISNUMBER('Base de datos Rutas'!CS497),'Base de datos Rutas'!CS497,"")</f>
        <v>399.18999999999994</v>
      </c>
      <c r="BC499" s="804">
        <f t="shared" si="285"/>
        <v>0</v>
      </c>
      <c r="BD499" s="805" t="str">
        <f t="shared" si="286"/>
        <v>No saturada</v>
      </c>
      <c r="BE499" s="806">
        <f t="shared" si="287"/>
        <v>0.52845634095634098</v>
      </c>
      <c r="BF499" s="890">
        <f>IF(ISNUMBER('Base de datos Rutas'!CX497),'Base de datos Rutas'!CX497/100,"")</f>
        <v>0.63175455729166663</v>
      </c>
      <c r="BG499" s="891">
        <f>IF(ISNUMBER('Base de datos Rutas'!CZ497),'Base de datos Rutas'!CZ497/100,"")</f>
        <v>0.69954427083333348</v>
      </c>
      <c r="BH499" s="892">
        <f>IF(ISNUMBER('Base de datos Rutas'!DA497),'Base de datos Rutas'!DA497,"")</f>
        <v>711.75150064781644</v>
      </c>
      <c r="BI499" s="893">
        <f>IF(ISNUMBER('Base de datos Rutas'!DC497),'Base de datos Rutas'!DC497,"")</f>
        <v>36.048005487386632</v>
      </c>
      <c r="BJ499" s="805" t="str">
        <f t="shared" si="288"/>
        <v>Ruta (completo)</v>
      </c>
      <c r="BK499" s="783">
        <f t="shared" si="276"/>
        <v>4</v>
      </c>
      <c r="BL499" s="797">
        <f t="shared" si="277"/>
        <v>4</v>
      </c>
      <c r="BM499" s="797">
        <f t="shared" si="278"/>
        <v>4</v>
      </c>
      <c r="BN499" s="797">
        <f t="shared" si="279"/>
        <v>4</v>
      </c>
      <c r="BO499" s="798" cm="1">
        <f t="array" ref="BO499">SUMPRODUCT(--ISNUMBER($BF499:$BI499),$BK$3:$BN$3)</f>
        <v>1</v>
      </c>
      <c r="BP499" s="831">
        <f t="shared" si="289"/>
        <v>75</v>
      </c>
      <c r="BQ499" s="834" t="str">
        <f t="shared" si="290"/>
        <v>Alto</v>
      </c>
      <c r="BR499" s="836">
        <f t="shared" si="280"/>
        <v>19.948548819488792</v>
      </c>
      <c r="BS499" s="836">
        <f t="shared" si="281"/>
        <v>75</v>
      </c>
      <c r="BT499" s="837" t="str">
        <f t="shared" si="282"/>
        <v>P3</v>
      </c>
      <c r="BU499" s="807" t="str">
        <f t="shared" si="291"/>
        <v>Con espacio</v>
      </c>
      <c r="BV499" s="807" t="str">
        <f t="shared" si="283"/>
        <v>Zona atractiva</v>
      </c>
      <c r="BW499" s="808" t="str">
        <f t="shared" si="284"/>
        <v>P3 - Desarrollar</v>
      </c>
    </row>
    <row r="500" spans="1:75">
      <c r="A500" s="780" t="str">
        <f>'Base de datos Rutas'!A498</f>
        <v>Occidente</v>
      </c>
      <c r="B500" s="781" t="str">
        <f>'Base de datos Rutas'!B498</f>
        <v>Zapopan</v>
      </c>
      <c r="C500" s="781" t="str">
        <f>'Base de datos Rutas'!C498</f>
        <v>Suc. Huentitán</v>
      </c>
      <c r="D500" s="782">
        <f>IF(ISNUMBER('Base de datos Rutas'!D498),'Base de datos Rutas'!D498,"Sin código")</f>
        <v>819354</v>
      </c>
      <c r="E500" s="783" t="str">
        <f>'Base de datos Rutas'!F498</f>
        <v>Activa</v>
      </c>
      <c r="F500" s="784" t="str">
        <f>'Base de datos Rutas'!H498</f>
        <v>Sí</v>
      </c>
      <c r="G500" s="785">
        <f>IF(ISNUMBER('Base de datos Rutas'!BE498),'Base de datos Rutas'!BE498,"")</f>
        <v>85.658256880733902</v>
      </c>
      <c r="H500" s="786">
        <f>IF(ISNUMBER('Base de datos Rutas'!BH498),'Base de datos Rutas'!BH498,"")</f>
        <v>0.47521889308378201</v>
      </c>
      <c r="I500" s="788">
        <f>IFERROR(IF(OR(NOT(ISNUMBER('Base de datos Rutas'!O498)),N('Base de datos Rutas'!BK498)=0),"",'Base de datos Rutas'!O498/('Base de datos Rutas'!L498/'Base de datos Rutas'!BK498)),"")</f>
        <v>4645.9013761467995</v>
      </c>
      <c r="J500" s="788">
        <f>IFERROR(IF(OR(NOT(ISNUMBER('Base de datos Rutas'!N498)),N('Base de datos Rutas'!BK498)=0),"",'Base de datos Rutas'!N498/('Base de datos Rutas'!L498/'Base de datos Rutas'!BK498)),"")</f>
        <v>7597.4862385321276</v>
      </c>
      <c r="K500" s="788">
        <f>IFERROR(IF(OR(NOT(ISNUMBER('Base de datos Rutas'!J498)),N('Base de datos Rutas'!BK498)=0),"",'Base de datos Rutas'!J498/('Base de datos Rutas'!L498/'Base de datos Rutas'!BK498)),"")</f>
        <v>525.45159633027413</v>
      </c>
      <c r="L500" s="788">
        <f>IFERROR(IF(OR(NOT(ISNUMBER('Base de datos Rutas'!K498)),N('Base de datos Rutas'!BK498)=0),"",'Base de datos Rutas'!K498/('Base de datos Rutas'!L498/'Base de datos Rutas'!BK498)),"")</f>
        <v>34.736000860091828</v>
      </c>
      <c r="M500" s="787">
        <f>IF(ISNUMBER('Base de datos Rutas'!AX498),'Base de datos Rutas'!AX498,"")</f>
        <v>300.77274284426397</v>
      </c>
      <c r="N500" s="790">
        <f>IFERROR(INDEX('Hoja de apoyo v2'!B$17:B$20,MATCH($A500,'Hoja de apoyo v2'!$A$17:$A$20,0)),"")</f>
        <v>89.41621024641401</v>
      </c>
      <c r="O500" s="791">
        <f>IFERROR(INDEX('Hoja de apoyo v2'!C$17:C$20,MATCH($A500,'Hoja de apoyo v2'!$A$17:$A$20,0)),"")</f>
        <v>0.54706375874806301</v>
      </c>
      <c r="P500" s="793">
        <f>IFERROR(INDEX('Hoja de apoyo v2'!D$17:D$20,MATCH($A500,'Hoja de apoyo v2'!$A$17:$A$20,0)),"")</f>
        <v>11095.153935793827</v>
      </c>
      <c r="Q500" s="793">
        <f>IFERROR(INDEX('Hoja de apoyo v2'!E$17:E$20,MATCH($A500,'Hoja de apoyo v2'!$A$17:$A$20,0)),"")</f>
        <v>6982.3202019701848</v>
      </c>
      <c r="R500" s="793">
        <f>IFERROR(INDEX('Hoja de apoyo v2'!F$17:F$20,MATCH($A500,'Hoja de apoyo v2'!$A$17:$A$20,0)),"")</f>
        <v>448.09513474485743</v>
      </c>
      <c r="S500" s="793">
        <f>IFERROR(INDEX('Hoja de apoyo v2'!G$17:G$20,MATCH($A500,'Hoja de apoyo v2'!$A$17:$A$20,0)),"")</f>
        <v>83.406300904207839</v>
      </c>
      <c r="T500" s="792">
        <f>IFERROR(INDEX('Hoja de apoyo v2'!H$17:H$20,MATCH($A500,'Hoja de apoyo v2'!$A$17:$A$20,0)),"")</f>
        <v>378.97014028925349</v>
      </c>
      <c r="U500" s="794">
        <f t="shared" si="256"/>
        <v>0.95797234801918008</v>
      </c>
      <c r="V500" s="795">
        <f t="shared" si="257"/>
        <v>0.86867186042684397</v>
      </c>
      <c r="W500" s="795">
        <f t="shared" si="258"/>
        <v>0.41873248474352043</v>
      </c>
      <c r="X500" s="843">
        <f t="shared" si="259"/>
        <v>1.0881033837990362</v>
      </c>
      <c r="Y500" s="843">
        <f t="shared" si="260"/>
        <v>1.172634013599507</v>
      </c>
      <c r="Z500" s="843">
        <f t="shared" si="261"/>
        <v>0.41646734699319821</v>
      </c>
      <c r="AA500" s="843">
        <f t="shared" si="262"/>
        <v>0.79365815632518055</v>
      </c>
      <c r="AB500" s="796">
        <f t="shared" si="263"/>
        <v>3</v>
      </c>
      <c r="AC500" s="797">
        <f t="shared" si="264"/>
        <v>3</v>
      </c>
      <c r="AD500" s="797">
        <f t="shared" si="265"/>
        <v>1</v>
      </c>
      <c r="AE500" s="842">
        <f t="shared" si="266"/>
        <v>4</v>
      </c>
      <c r="AF500" s="842">
        <f t="shared" si="267"/>
        <v>4</v>
      </c>
      <c r="AG500" s="842">
        <f t="shared" si="268"/>
        <v>1</v>
      </c>
      <c r="AH500" s="842">
        <f t="shared" si="269"/>
        <v>3</v>
      </c>
      <c r="AI500" s="826" cm="1">
        <f t="array" ref="AI500">SUMPRODUCT(--ISNUMBER($U500:$AA500),$AB$3:$AH$3)</f>
        <v>1</v>
      </c>
      <c r="AJ500" s="829">
        <f t="shared" si="270"/>
        <v>37.32901568348305</v>
      </c>
      <c r="AK500" s="827" t="str">
        <f t="shared" si="271"/>
        <v>Inmadura</v>
      </c>
      <c r="AL500" s="784" t="str">
        <f t="shared" si="272"/>
        <v>Alta</v>
      </c>
      <c r="AM500" s="799">
        <f>IF(ISNUMBER('Base de datos Rutas'!W498),'Base de datos Rutas'!W498,"")</f>
        <v>2866.2444123371242</v>
      </c>
      <c r="AN500" s="787">
        <f>IFERROR(SUMIFS('Base de datos Rutas'!$W$6:$W$794,'Base de datos Rutas'!$C$6:$C$794,$C500)/'Base de datos Rutas'!I498,"")</f>
        <v>2866.2444123371242</v>
      </c>
      <c r="AO500" s="800">
        <f>IFERROR('Base de datos Rutas'!X498*AN500/AM500,"")</f>
        <v>0.40462988446513853</v>
      </c>
      <c r="AP500" s="800">
        <f t="shared" si="273"/>
        <v>0.59537011553486141</v>
      </c>
      <c r="AQ500" s="789">
        <f>IFERROR(INDEX('Hoja de apoyo v2'!$J$17:$J$20,MATCH($A500,'Hoja de apoyo v2'!$A$17:$A$20,0)),"")</f>
        <v>0.64320274048480885</v>
      </c>
      <c r="AR500" s="789">
        <f t="shared" si="274"/>
        <v>-4.7832624949947444E-2</v>
      </c>
      <c r="AS500" s="784" t="str">
        <f t="shared" si="275"/>
        <v>No</v>
      </c>
      <c r="AT500" s="801">
        <f>IF(ISNUMBER('Base de datos Rutas'!CK498),'Base de datos Rutas'!CK498,"")</f>
        <v>313</v>
      </c>
      <c r="AU500" s="802">
        <f>IF(ISNUMBER('Base de datos Rutas'!CL498),'Base de datos Rutas'!CL498,"")</f>
        <v>401.57</v>
      </c>
      <c r="AV500" s="802">
        <f>IF(ISNUMBER('Base de datos Rutas'!CM498),'Base de datos Rutas'!CM498,"")</f>
        <v>88.57</v>
      </c>
      <c r="AW500" s="802">
        <f>IF(ISNUMBER('Base de datos Rutas'!CN498),'Base de datos Rutas'!CN498,"")</f>
        <v>7.08</v>
      </c>
      <c r="AX500" s="802">
        <f>IF(ISNUMBER('Base de datos Rutas'!CO498),'Base de datos Rutas'!CO498,"")</f>
        <v>9.4499999999999993</v>
      </c>
      <c r="AY500" s="802">
        <f>IF(ISNUMBER('Base de datos Rutas'!CP498),'Base de datos Rutas'!CP498,"")</f>
        <v>2.3699999999999992</v>
      </c>
      <c r="AZ500" s="802">
        <f>IF(ISNUMBER('Base de datos Rutas'!CQ498),'Base de datos Rutas'!CQ498,"")</f>
        <v>846.56</v>
      </c>
      <c r="BA500" s="802">
        <f>IF(ISNUMBER('Base de datos Rutas'!CR498),'Base de datos Rutas'!CR498,"")</f>
        <v>560.19000000000005</v>
      </c>
      <c r="BB500" s="803">
        <f>IF(ISNUMBER('Base de datos Rutas'!CS498),'Base de datos Rutas'!CS498,"")</f>
        <v>286.36999999999989</v>
      </c>
      <c r="BC500" s="804">
        <f t="shared" si="285"/>
        <v>0</v>
      </c>
      <c r="BD500" s="805" t="str">
        <f t="shared" si="286"/>
        <v>No saturada</v>
      </c>
      <c r="BE500" s="806">
        <f t="shared" si="287"/>
        <v>0.66172509922509937</v>
      </c>
      <c r="BF500" s="890">
        <f>IF(ISNUMBER('Base de datos Rutas'!CX498),'Base de datos Rutas'!CX498/100,"")</f>
        <v>0.82011296076099882</v>
      </c>
      <c r="BG500" s="891">
        <f>IF(ISNUMBER('Base de datos Rutas'!CZ498),'Base de datos Rutas'!CZ498/100,"")</f>
        <v>0.87277051129607619</v>
      </c>
      <c r="BH500" s="892">
        <f>IF(ISNUMBER('Base de datos Rutas'!DA498),'Base de datos Rutas'!DA498,"")</f>
        <v>663.33996961430512</v>
      </c>
      <c r="BI500" s="893">
        <f>IF(ISNUMBER('Base de datos Rutas'!DC498),'Base de datos Rutas'!DC498,"")</f>
        <v>29.586494744630262</v>
      </c>
      <c r="BJ500" s="805" t="str">
        <f t="shared" si="288"/>
        <v>Ruta (completo)</v>
      </c>
      <c r="BK500" s="783">
        <f t="shared" si="276"/>
        <v>4</v>
      </c>
      <c r="BL500" s="797">
        <f t="shared" si="277"/>
        <v>4</v>
      </c>
      <c r="BM500" s="797">
        <f t="shared" si="278"/>
        <v>3</v>
      </c>
      <c r="BN500" s="797">
        <f t="shared" si="279"/>
        <v>3</v>
      </c>
      <c r="BO500" s="798" cm="1">
        <f t="array" ref="BO500">SUMPRODUCT(--ISNUMBER($BF500:$BI500),$BK$3:$BN$3)</f>
        <v>1</v>
      </c>
      <c r="BP500" s="831">
        <f t="shared" si="289"/>
        <v>62.5</v>
      </c>
      <c r="BQ500" s="834" t="str">
        <f t="shared" si="290"/>
        <v>Alto</v>
      </c>
      <c r="BR500" s="836">
        <f t="shared" si="280"/>
        <v>27.996761762612287</v>
      </c>
      <c r="BS500" s="836">
        <f t="shared" si="281"/>
        <v>62.5</v>
      </c>
      <c r="BT500" s="837" t="str">
        <f t="shared" si="282"/>
        <v>P3</v>
      </c>
      <c r="BU500" s="807" t="str">
        <f t="shared" si="291"/>
        <v>Con espacio</v>
      </c>
      <c r="BV500" s="807" t="str">
        <f t="shared" si="283"/>
        <v>Zona atractiva</v>
      </c>
      <c r="BW500" s="808" t="str">
        <f t="shared" si="284"/>
        <v>P3 - Desarrollar</v>
      </c>
    </row>
    <row r="501" spans="1:75">
      <c r="A501" s="780" t="str">
        <f>'Base de datos Rutas'!A499</f>
        <v>Occidente</v>
      </c>
      <c r="B501" s="781" t="str">
        <f>'Base de datos Rutas'!B499</f>
        <v>Zapopan</v>
      </c>
      <c r="C501" s="781" t="str">
        <f>'Base de datos Rutas'!C499</f>
        <v>Suc. Huentitán</v>
      </c>
      <c r="D501" s="782">
        <f>IF(ISNUMBER('Base de datos Rutas'!D499),'Base de datos Rutas'!D499,"Sin código")</f>
        <v>819355</v>
      </c>
      <c r="E501" s="783" t="str">
        <f>'Base de datos Rutas'!F499</f>
        <v>Activa</v>
      </c>
      <c r="F501" s="784" t="str">
        <f>'Base de datos Rutas'!H499</f>
        <v>Sí</v>
      </c>
      <c r="G501" s="785">
        <f>IF(ISNUMBER('Base de datos Rutas'!BE499),'Base de datos Rutas'!BE499,"")</f>
        <v>53.054794520547901</v>
      </c>
      <c r="H501" s="786">
        <f>IF(ISNUMBER('Base de datos Rutas'!BH499),'Base de datos Rutas'!BH499,"")</f>
        <v>0.54397968844134603</v>
      </c>
      <c r="I501" s="788">
        <f>IFERROR(IF(OR(NOT(ISNUMBER('Base de datos Rutas'!O499)),N('Base de datos Rutas'!BK499)=0),"",'Base de datos Rutas'!O499/('Base de datos Rutas'!L499/'Base de datos Rutas'!BK499)),"")</f>
        <v>2691.8630136986289</v>
      </c>
      <c r="J501" s="788">
        <f>IFERROR(IF(OR(NOT(ISNUMBER('Base de datos Rutas'!N499)),N('Base de datos Rutas'!BK499)=0),"",'Base de datos Rutas'!N499/('Base de datos Rutas'!L499/'Base de datos Rutas'!BK499)),"")</f>
        <v>7564.9794520547903</v>
      </c>
      <c r="K501" s="788">
        <f>IFERROR(IF(OR(NOT(ISNUMBER('Base de datos Rutas'!J499)),N('Base de datos Rutas'!BK499)=0),"",'Base de datos Rutas'!J499/('Base de datos Rutas'!L499/'Base de datos Rutas'!BK499)),"")</f>
        <v>520.21344474885814</v>
      </c>
      <c r="L501" s="788">
        <f>IFERROR(IF(OR(NOT(ISNUMBER('Base de datos Rutas'!K499)),N('Base de datos Rutas'!BK499)=0),"",'Base de datos Rutas'!K499/('Base de datos Rutas'!L499/'Base de datos Rutas'!BK499)),"")</f>
        <v>21.873128018264826</v>
      </c>
      <c r="M501" s="787">
        <f>IF(ISNUMBER('Base de datos Rutas'!AX499),'Base de datos Rutas'!AX499,"")</f>
        <v>354.34066845977401</v>
      </c>
      <c r="N501" s="790">
        <f>IFERROR(INDEX('Hoja de apoyo v2'!B$17:B$20,MATCH($A501,'Hoja de apoyo v2'!$A$17:$A$20,0)),"")</f>
        <v>89.41621024641401</v>
      </c>
      <c r="O501" s="791">
        <f>IFERROR(INDEX('Hoja de apoyo v2'!C$17:C$20,MATCH($A501,'Hoja de apoyo v2'!$A$17:$A$20,0)),"")</f>
        <v>0.54706375874806301</v>
      </c>
      <c r="P501" s="793">
        <f>IFERROR(INDEX('Hoja de apoyo v2'!D$17:D$20,MATCH($A501,'Hoja de apoyo v2'!$A$17:$A$20,0)),"")</f>
        <v>11095.153935793827</v>
      </c>
      <c r="Q501" s="793">
        <f>IFERROR(INDEX('Hoja de apoyo v2'!E$17:E$20,MATCH($A501,'Hoja de apoyo v2'!$A$17:$A$20,0)),"")</f>
        <v>6982.3202019701848</v>
      </c>
      <c r="R501" s="793">
        <f>IFERROR(INDEX('Hoja de apoyo v2'!F$17:F$20,MATCH($A501,'Hoja de apoyo v2'!$A$17:$A$20,0)),"")</f>
        <v>448.09513474485743</v>
      </c>
      <c r="S501" s="793">
        <f>IFERROR(INDEX('Hoja de apoyo v2'!G$17:G$20,MATCH($A501,'Hoja de apoyo v2'!$A$17:$A$20,0)),"")</f>
        <v>83.406300904207839</v>
      </c>
      <c r="T501" s="792">
        <f>IFERROR(INDEX('Hoja de apoyo v2'!H$17:H$20,MATCH($A501,'Hoja de apoyo v2'!$A$17:$A$20,0)),"")</f>
        <v>378.97014028925349</v>
      </c>
      <c r="U501" s="794">
        <f t="shared" si="256"/>
        <v>0.59334649024308916</v>
      </c>
      <c r="V501" s="795">
        <f t="shared" si="257"/>
        <v>0.99436250298543849</v>
      </c>
      <c r="W501" s="795">
        <f t="shared" si="258"/>
        <v>0.24261610332547709</v>
      </c>
      <c r="X501" s="843">
        <f t="shared" si="259"/>
        <v>1.0834477986157378</v>
      </c>
      <c r="Y501" s="843">
        <f t="shared" si="260"/>
        <v>1.1609441933464963</v>
      </c>
      <c r="Z501" s="843">
        <f t="shared" si="261"/>
        <v>0.26224790910444667</v>
      </c>
      <c r="AA501" s="843">
        <f t="shared" si="262"/>
        <v>0.93500946588910472</v>
      </c>
      <c r="AB501" s="796">
        <f t="shared" si="263"/>
        <v>2</v>
      </c>
      <c r="AC501" s="797">
        <f t="shared" si="264"/>
        <v>3</v>
      </c>
      <c r="AD501" s="797">
        <f t="shared" si="265"/>
        <v>1</v>
      </c>
      <c r="AE501" s="842">
        <f t="shared" si="266"/>
        <v>4</v>
      </c>
      <c r="AF501" s="842">
        <f t="shared" si="267"/>
        <v>4</v>
      </c>
      <c r="AG501" s="842">
        <f t="shared" si="268"/>
        <v>1</v>
      </c>
      <c r="AH501" s="842">
        <f t="shared" si="269"/>
        <v>3</v>
      </c>
      <c r="AI501" s="826" cm="1">
        <f t="array" ref="AI501">SUMPRODUCT(--ISNUMBER($U501:$AA501),$AB$3:$AH$3)</f>
        <v>1</v>
      </c>
      <c r="AJ501" s="829">
        <f t="shared" si="270"/>
        <v>32.79537950534629</v>
      </c>
      <c r="AK501" s="827" t="str">
        <f t="shared" si="271"/>
        <v>Inmadura</v>
      </c>
      <c r="AL501" s="784" t="str">
        <f t="shared" si="272"/>
        <v>Alta</v>
      </c>
      <c r="AM501" s="799">
        <f>IF(ISNUMBER('Base de datos Rutas'!W499),'Base de datos Rutas'!W499,"")</f>
        <v>2866.2444123371242</v>
      </c>
      <c r="AN501" s="787">
        <f>IFERROR(SUMIFS('Base de datos Rutas'!$W$6:$W$794,'Base de datos Rutas'!$C$6:$C$794,$C501)/'Base de datos Rutas'!I499,"")</f>
        <v>2866.2444123371242</v>
      </c>
      <c r="AO501" s="800">
        <f>IFERROR('Base de datos Rutas'!X499*AN501/AM501,"")</f>
        <v>0.40462988446513853</v>
      </c>
      <c r="AP501" s="800">
        <f t="shared" si="273"/>
        <v>0.59537011553486141</v>
      </c>
      <c r="AQ501" s="789">
        <f>IFERROR(INDEX('Hoja de apoyo v2'!$J$17:$J$20,MATCH($A501,'Hoja de apoyo v2'!$A$17:$A$20,0)),"")</f>
        <v>0.64320274048480885</v>
      </c>
      <c r="AR501" s="789">
        <f t="shared" si="274"/>
        <v>-4.7832624949947444E-2</v>
      </c>
      <c r="AS501" s="784" t="str">
        <f t="shared" si="275"/>
        <v>No</v>
      </c>
      <c r="AT501" s="801">
        <f>IF(ISNUMBER('Base de datos Rutas'!CK499),'Base de datos Rutas'!CK499,"")</f>
        <v>324</v>
      </c>
      <c r="AU501" s="802">
        <f>IF(ISNUMBER('Base de datos Rutas'!CL499),'Base de datos Rutas'!CL499,"")</f>
        <v>481.34</v>
      </c>
      <c r="AV501" s="802">
        <f>IF(ISNUMBER('Base de datos Rutas'!CM499),'Base de datos Rutas'!CM499,"")</f>
        <v>157.33999999999997</v>
      </c>
      <c r="AW501" s="802">
        <f>IF(ISNUMBER('Base de datos Rutas'!CN499),'Base de datos Rutas'!CN499,"")</f>
        <v>8.73</v>
      </c>
      <c r="AX501" s="802">
        <f>IF(ISNUMBER('Base de datos Rutas'!CO499),'Base de datos Rutas'!CO499,"")</f>
        <v>9.4499999999999993</v>
      </c>
      <c r="AY501" s="802">
        <f>IF(ISNUMBER('Base de datos Rutas'!CP499),'Base de datos Rutas'!CP499,"")</f>
        <v>0.71999999999999886</v>
      </c>
      <c r="AZ501" s="802">
        <f>IF(ISNUMBER('Base de datos Rutas'!CQ499),'Base de datos Rutas'!CQ499,"")</f>
        <v>846.56</v>
      </c>
      <c r="BA501" s="802">
        <f>IF(ISNUMBER('Base de datos Rutas'!CR499),'Base de datos Rutas'!CR499,"")</f>
        <v>542.09</v>
      </c>
      <c r="BB501" s="803">
        <f>IF(ISNUMBER('Base de datos Rutas'!CS499),'Base de datos Rutas'!CS499,"")</f>
        <v>304.46999999999991</v>
      </c>
      <c r="BC501" s="804">
        <f t="shared" si="285"/>
        <v>0</v>
      </c>
      <c r="BD501" s="805" t="str">
        <f t="shared" si="286"/>
        <v>No saturada</v>
      </c>
      <c r="BE501" s="806">
        <f t="shared" si="287"/>
        <v>0.64034445284445296</v>
      </c>
      <c r="BF501" s="890">
        <f>IF(ISNUMBER('Base de datos Rutas'!CX499),'Base de datos Rutas'!CX499/100,"")</f>
        <v>0.12392807505211953</v>
      </c>
      <c r="BG501" s="891">
        <f>IF(ISNUMBER('Base de datos Rutas'!CZ499),'Base de datos Rutas'!CZ499/100,"")</f>
        <v>0.13759555246699096</v>
      </c>
      <c r="BH501" s="892">
        <f>IF(ISNUMBER('Base de datos Rutas'!DA499),'Base de datos Rutas'!DA499,"")</f>
        <v>122.78629382638607</v>
      </c>
      <c r="BI501" s="893">
        <f>IF(ISNUMBER('Base de datos Rutas'!DC499),'Base de datos Rutas'!DC499,"")</f>
        <v>6.5494269598794794</v>
      </c>
      <c r="BJ501" s="805" t="str">
        <f t="shared" si="288"/>
        <v>Ruta (completo)</v>
      </c>
      <c r="BK501" s="783">
        <f t="shared" si="276"/>
        <v>2</v>
      </c>
      <c r="BL501" s="797">
        <f t="shared" si="277"/>
        <v>2</v>
      </c>
      <c r="BM501" s="797">
        <f t="shared" si="278"/>
        <v>2</v>
      </c>
      <c r="BN501" s="797">
        <f t="shared" si="279"/>
        <v>2</v>
      </c>
      <c r="BO501" s="798" cm="1">
        <f t="array" ref="BO501">SUMPRODUCT(--ISNUMBER($BF501:$BI501),$BK$3:$BN$3)</f>
        <v>1</v>
      </c>
      <c r="BP501" s="831">
        <f t="shared" si="289"/>
        <v>25</v>
      </c>
      <c r="BQ501" s="834" t="str">
        <f t="shared" si="290"/>
        <v>Medio</v>
      </c>
      <c r="BR501" s="836">
        <f t="shared" si="280"/>
        <v>24.596534629009717</v>
      </c>
      <c r="BS501" s="836">
        <f t="shared" si="281"/>
        <v>25</v>
      </c>
      <c r="BT501" s="837" t="str">
        <f t="shared" si="282"/>
        <v>P4</v>
      </c>
      <c r="BU501" s="807" t="str">
        <f t="shared" si="291"/>
        <v>Con espacio</v>
      </c>
      <c r="BV501" s="807" t="str">
        <f t="shared" si="283"/>
        <v>Zona de bajo potencial</v>
      </c>
      <c r="BW501" s="808" t="str">
        <f t="shared" si="284"/>
        <v>P4 - Evaluar</v>
      </c>
    </row>
    <row r="502" spans="1:75">
      <c r="A502" s="780" t="str">
        <f>'Base de datos Rutas'!A500</f>
        <v>Occidente</v>
      </c>
      <c r="B502" s="781" t="str">
        <f>'Base de datos Rutas'!B500</f>
        <v>Zapopan</v>
      </c>
      <c r="C502" s="781" t="str">
        <f>'Base de datos Rutas'!C500</f>
        <v>Suc. Huentitán</v>
      </c>
      <c r="D502" s="782">
        <f>IF(ISNUMBER('Base de datos Rutas'!D500),'Base de datos Rutas'!D500,"Sin código")</f>
        <v>819357</v>
      </c>
      <c r="E502" s="783" t="str">
        <f>'Base de datos Rutas'!F500</f>
        <v>Activa</v>
      </c>
      <c r="F502" s="784" t="str">
        <f>'Base de datos Rutas'!H500</f>
        <v>Sí</v>
      </c>
      <c r="G502" s="785">
        <f>IF(ISNUMBER('Base de datos Rutas'!BE500),'Base de datos Rutas'!BE500,"")</f>
        <v>69.981609195402299</v>
      </c>
      <c r="H502" s="786">
        <f>IF(ISNUMBER('Base de datos Rutas'!BH500),'Base de datos Rutas'!BH500,"")</f>
        <v>0.45269693187044202</v>
      </c>
      <c r="I502" s="788">
        <f>IFERROR(IF(OR(NOT(ISNUMBER('Base de datos Rutas'!O500)),N('Base de datos Rutas'!BK500)=0),"",'Base de datos Rutas'!O500/('Base de datos Rutas'!L500/'Base de datos Rutas'!BK500)),"")</f>
        <v>2215.3080459770081</v>
      </c>
      <c r="J502" s="788">
        <f>IFERROR(IF(OR(NOT(ISNUMBER('Base de datos Rutas'!N500)),N('Base de datos Rutas'!BK500)=0),"",'Base de datos Rutas'!N500/('Base de datos Rutas'!L500/'Base de datos Rutas'!BK500)),"")</f>
        <v>6035.3356321838983</v>
      </c>
      <c r="K502" s="788">
        <f>IFERROR(IF(OR(NOT(ISNUMBER('Base de datos Rutas'!J500)),N('Base de datos Rutas'!BK500)=0),"",'Base de datos Rutas'!J500/('Base de datos Rutas'!L500/'Base de datos Rutas'!BK500)),"")</f>
        <v>415.57032275862002</v>
      </c>
      <c r="L502" s="788">
        <f>IFERROR(IF(OR(NOT(ISNUMBER('Base de datos Rutas'!K500)),N('Base de datos Rutas'!BK500)=0),"",'Base de datos Rutas'!K500/('Base de datos Rutas'!L500/'Base de datos Rutas'!BK500)),"")</f>
        <v>17.457442954022962</v>
      </c>
      <c r="M502" s="787">
        <f>IF(ISNUMBER('Base de datos Rutas'!AX500),'Base de datos Rutas'!AX500,"")</f>
        <v>256.51925041724098</v>
      </c>
      <c r="N502" s="790">
        <f>IFERROR(INDEX('Hoja de apoyo v2'!B$17:B$20,MATCH($A502,'Hoja de apoyo v2'!$A$17:$A$20,0)),"")</f>
        <v>89.41621024641401</v>
      </c>
      <c r="O502" s="791">
        <f>IFERROR(INDEX('Hoja de apoyo v2'!C$17:C$20,MATCH($A502,'Hoja de apoyo v2'!$A$17:$A$20,0)),"")</f>
        <v>0.54706375874806301</v>
      </c>
      <c r="P502" s="793">
        <f>IFERROR(INDEX('Hoja de apoyo v2'!D$17:D$20,MATCH($A502,'Hoja de apoyo v2'!$A$17:$A$20,0)),"")</f>
        <v>11095.153935793827</v>
      </c>
      <c r="Q502" s="793">
        <f>IFERROR(INDEX('Hoja de apoyo v2'!E$17:E$20,MATCH($A502,'Hoja de apoyo v2'!$A$17:$A$20,0)),"")</f>
        <v>6982.3202019701848</v>
      </c>
      <c r="R502" s="793">
        <f>IFERROR(INDEX('Hoja de apoyo v2'!F$17:F$20,MATCH($A502,'Hoja de apoyo v2'!$A$17:$A$20,0)),"")</f>
        <v>448.09513474485743</v>
      </c>
      <c r="S502" s="793">
        <f>IFERROR(INDEX('Hoja de apoyo v2'!G$17:G$20,MATCH($A502,'Hoja de apoyo v2'!$A$17:$A$20,0)),"")</f>
        <v>83.406300904207839</v>
      </c>
      <c r="T502" s="792">
        <f>IFERROR(INDEX('Hoja de apoyo v2'!H$17:H$20,MATCH($A502,'Hoja de apoyo v2'!$A$17:$A$20,0)),"")</f>
        <v>378.97014028925349</v>
      </c>
      <c r="U502" s="794">
        <f t="shared" si="256"/>
        <v>0.7826501369555513</v>
      </c>
      <c r="V502" s="795">
        <f t="shared" si="257"/>
        <v>0.82750305541427882</v>
      </c>
      <c r="W502" s="795">
        <f t="shared" si="258"/>
        <v>0.19966447142569627</v>
      </c>
      <c r="X502" s="843">
        <f t="shared" si="259"/>
        <v>0.86437394126968303</v>
      </c>
      <c r="Y502" s="843">
        <f t="shared" si="260"/>
        <v>0.92741538690270131</v>
      </c>
      <c r="Z502" s="843">
        <f t="shared" si="261"/>
        <v>0.20930604480437084</v>
      </c>
      <c r="AA502" s="843">
        <f t="shared" si="262"/>
        <v>0.67688512404024659</v>
      </c>
      <c r="AB502" s="796">
        <f t="shared" si="263"/>
        <v>3</v>
      </c>
      <c r="AC502" s="797">
        <f t="shared" si="264"/>
        <v>3</v>
      </c>
      <c r="AD502" s="797">
        <f t="shared" si="265"/>
        <v>1</v>
      </c>
      <c r="AE502" s="842">
        <f t="shared" si="266"/>
        <v>3</v>
      </c>
      <c r="AF502" s="842">
        <f t="shared" si="267"/>
        <v>3</v>
      </c>
      <c r="AG502" s="842">
        <f t="shared" si="268"/>
        <v>1</v>
      </c>
      <c r="AH502" s="842">
        <f t="shared" si="269"/>
        <v>2</v>
      </c>
      <c r="AI502" s="826" cm="1">
        <f t="array" ref="AI502">SUMPRODUCT(--ISNUMBER($U502:$AA502),$AB$3:$AH$3)</f>
        <v>1</v>
      </c>
      <c r="AJ502" s="829">
        <f t="shared" si="270"/>
        <v>28.748795684897999</v>
      </c>
      <c r="AK502" s="827" t="str">
        <f t="shared" si="271"/>
        <v>Inmadura</v>
      </c>
      <c r="AL502" s="784" t="str">
        <f t="shared" si="272"/>
        <v>Alta</v>
      </c>
      <c r="AM502" s="799">
        <f>IF(ISNUMBER('Base de datos Rutas'!W500),'Base de datos Rutas'!W500,"")</f>
        <v>2866.2444123371242</v>
      </c>
      <c r="AN502" s="787">
        <f>IFERROR(SUMIFS('Base de datos Rutas'!$W$6:$W$794,'Base de datos Rutas'!$C$6:$C$794,$C502)/'Base de datos Rutas'!I500,"")</f>
        <v>2866.2444123371242</v>
      </c>
      <c r="AO502" s="800">
        <f>IFERROR('Base de datos Rutas'!X500*AN502/AM502,"")</f>
        <v>0.40462988446513853</v>
      </c>
      <c r="AP502" s="800">
        <f t="shared" si="273"/>
        <v>0.59537011553486141</v>
      </c>
      <c r="AQ502" s="789">
        <f>IFERROR(INDEX('Hoja de apoyo v2'!$J$17:$J$20,MATCH($A502,'Hoja de apoyo v2'!$A$17:$A$20,0)),"")</f>
        <v>0.64320274048480885</v>
      </c>
      <c r="AR502" s="789">
        <f t="shared" si="274"/>
        <v>-4.7832624949947444E-2</v>
      </c>
      <c r="AS502" s="784" t="str">
        <f t="shared" si="275"/>
        <v>No</v>
      </c>
      <c r="AT502" s="801">
        <f>IF(ISNUMBER('Base de datos Rutas'!CK500),'Base de datos Rutas'!CK500,"")</f>
        <v>328</v>
      </c>
      <c r="AU502" s="802">
        <f>IF(ISNUMBER('Base de datos Rutas'!CL500),'Base de datos Rutas'!CL500,"")</f>
        <v>343.96</v>
      </c>
      <c r="AV502" s="802">
        <f>IF(ISNUMBER('Base de datos Rutas'!CM500),'Base de datos Rutas'!CM500,"")</f>
        <v>15.95999999999998</v>
      </c>
      <c r="AW502" s="802">
        <f>IF(ISNUMBER('Base de datos Rutas'!CN500),'Base de datos Rutas'!CN500,"")</f>
        <v>9.82</v>
      </c>
      <c r="AX502" s="802">
        <f>IF(ISNUMBER('Base de datos Rutas'!CO500),'Base de datos Rutas'!CO500,"")</f>
        <v>9.4499999999999993</v>
      </c>
      <c r="AY502" s="802">
        <f>IF(ISNUMBER('Base de datos Rutas'!CP500),'Base de datos Rutas'!CP500,"")</f>
        <v>-0.37000000000000099</v>
      </c>
      <c r="AZ502" s="802">
        <f>IF(ISNUMBER('Base de datos Rutas'!CQ500),'Base de datos Rutas'!CQ500,"")</f>
        <v>846.56</v>
      </c>
      <c r="BA502" s="802">
        <f>IF(ISNUMBER('Base de datos Rutas'!CR500),'Base de datos Rutas'!CR500,"")</f>
        <v>433.03</v>
      </c>
      <c r="BB502" s="803">
        <f>IF(ISNUMBER('Base de datos Rutas'!CS500),'Base de datos Rutas'!CS500,"")</f>
        <v>413.53</v>
      </c>
      <c r="BC502" s="804">
        <f t="shared" si="285"/>
        <v>1</v>
      </c>
      <c r="BD502" s="805" t="str">
        <f t="shared" si="286"/>
        <v>Saturada</v>
      </c>
      <c r="BE502" s="806">
        <f t="shared" si="287"/>
        <v>0.51151719901719905</v>
      </c>
      <c r="BF502" s="890">
        <f>IF(ISNUMBER('Base de datos Rutas'!CX500),'Base de datos Rutas'!CX500/100,"")</f>
        <v>6.5125132181882261E-2</v>
      </c>
      <c r="BG502" s="891">
        <f>IF(ISNUMBER('Base de datos Rutas'!CZ500),'Base de datos Rutas'!CZ500/100,"")</f>
        <v>6.6531547409235101E-2</v>
      </c>
      <c r="BH502" s="892">
        <f>IF(ISNUMBER('Base de datos Rutas'!DA500),'Base de datos Rutas'!DA500,"")</f>
        <v>14.987347720336926</v>
      </c>
      <c r="BI502" s="893">
        <f>IF(ISNUMBER('Base de datos Rutas'!DC500),'Base de datos Rutas'!DC500,"")</f>
        <v>0.83521237315161267</v>
      </c>
      <c r="BJ502" s="805" t="str">
        <f t="shared" si="288"/>
        <v>Ruta (completo)</v>
      </c>
      <c r="BK502" s="783">
        <f t="shared" si="276"/>
        <v>1</v>
      </c>
      <c r="BL502" s="797">
        <f t="shared" si="277"/>
        <v>1</v>
      </c>
      <c r="BM502" s="797">
        <f t="shared" si="278"/>
        <v>1</v>
      </c>
      <c r="BN502" s="797">
        <f t="shared" si="279"/>
        <v>1</v>
      </c>
      <c r="BO502" s="798" cm="1">
        <f t="array" ref="BO502">SUMPRODUCT(--ISNUMBER($BF502:$BI502),$BK$3:$BN$3)</f>
        <v>1</v>
      </c>
      <c r="BP502" s="831">
        <f t="shared" si="289"/>
        <v>0</v>
      </c>
      <c r="BQ502" s="834" t="str">
        <f t="shared" si="290"/>
        <v>Bajo</v>
      </c>
      <c r="BR502" s="836">
        <f t="shared" si="280"/>
        <v>46.561596763673499</v>
      </c>
      <c r="BS502" s="836">
        <f t="shared" si="281"/>
        <v>0</v>
      </c>
      <c r="BT502" s="837" t="str">
        <f t="shared" si="282"/>
        <v>P2</v>
      </c>
      <c r="BU502" s="807" t="str">
        <f t="shared" si="291"/>
        <v>Al tope</v>
      </c>
      <c r="BV502" s="807" t="str">
        <f t="shared" si="283"/>
        <v>Zona de bajo potencial</v>
      </c>
      <c r="BW502" s="808" t="str">
        <f t="shared" si="284"/>
        <v>P2 - Mantener</v>
      </c>
    </row>
    <row r="503" spans="1:75">
      <c r="A503" s="780" t="str">
        <f>'Base de datos Rutas'!A501</f>
        <v>Occidente</v>
      </c>
      <c r="B503" s="781" t="str">
        <f>'Base de datos Rutas'!B501</f>
        <v>Zapopan</v>
      </c>
      <c r="C503" s="781" t="str">
        <f>'Base de datos Rutas'!C501</f>
        <v>Suc. Huentitán</v>
      </c>
      <c r="D503" s="782">
        <f>IF(ISNUMBER('Base de datos Rutas'!D501),'Base de datos Rutas'!D501,"Sin código")</f>
        <v>819358</v>
      </c>
      <c r="E503" s="783" t="str">
        <f>'Base de datos Rutas'!F501</f>
        <v>Activa</v>
      </c>
      <c r="F503" s="784" t="str">
        <f>'Base de datos Rutas'!H501</f>
        <v>Sí</v>
      </c>
      <c r="G503" s="785">
        <f>IF(ISNUMBER('Base de datos Rutas'!BE501),'Base de datos Rutas'!BE501,"")</f>
        <v>82.094036697247702</v>
      </c>
      <c r="H503" s="786">
        <f>IF(ISNUMBER('Base de datos Rutas'!BH501),'Base de datos Rutas'!BH501,"")</f>
        <v>0.52057664906545997</v>
      </c>
      <c r="I503" s="788">
        <f>IFERROR(IF(OR(NOT(ISNUMBER('Base de datos Rutas'!O501)),N('Base de datos Rutas'!BK501)=0),"",'Base de datos Rutas'!O501/('Base de datos Rutas'!L501/'Base de datos Rutas'!BK501)),"")</f>
        <v>3724.4357798165183</v>
      </c>
      <c r="J503" s="788">
        <f>IFERROR(IF(OR(NOT(ISNUMBER('Base de datos Rutas'!N501)),N('Base de datos Rutas'!BK501)=0),"",'Base de datos Rutas'!N501/('Base de datos Rutas'!L501/'Base de datos Rutas'!BK501)),"")</f>
        <v>7701.0688073394585</v>
      </c>
      <c r="K503" s="788">
        <f>IFERROR(IF(OR(NOT(ISNUMBER('Base de datos Rutas'!J501)),N('Base de datos Rutas'!BK501)=0),"",'Base de datos Rutas'!J501/('Base de datos Rutas'!L501/'Base de datos Rutas'!BK501)),"")</f>
        <v>531.51884954128275</v>
      </c>
      <c r="L503" s="788">
        <f>IFERROR(IF(OR(NOT(ISNUMBER('Base de datos Rutas'!K501)),N('Base de datos Rutas'!BK501)=0),"",'Base de datos Rutas'!K501/('Base de datos Rutas'!L501/'Base de datos Rutas'!BK501)),"")</f>
        <v>32.575688814220221</v>
      </c>
      <c r="M503" s="787">
        <f>IF(ISNUMBER('Base de datos Rutas'!AX501),'Base de datos Rutas'!AX501,"")</f>
        <v>267.34920141684103</v>
      </c>
      <c r="N503" s="790">
        <f>IFERROR(INDEX('Hoja de apoyo v2'!B$17:B$20,MATCH($A503,'Hoja de apoyo v2'!$A$17:$A$20,0)),"")</f>
        <v>89.41621024641401</v>
      </c>
      <c r="O503" s="791">
        <f>IFERROR(INDEX('Hoja de apoyo v2'!C$17:C$20,MATCH($A503,'Hoja de apoyo v2'!$A$17:$A$20,0)),"")</f>
        <v>0.54706375874806301</v>
      </c>
      <c r="P503" s="793">
        <f>IFERROR(INDEX('Hoja de apoyo v2'!D$17:D$20,MATCH($A503,'Hoja de apoyo v2'!$A$17:$A$20,0)),"")</f>
        <v>11095.153935793827</v>
      </c>
      <c r="Q503" s="793">
        <f>IFERROR(INDEX('Hoja de apoyo v2'!E$17:E$20,MATCH($A503,'Hoja de apoyo v2'!$A$17:$A$20,0)),"")</f>
        <v>6982.3202019701848</v>
      </c>
      <c r="R503" s="793">
        <f>IFERROR(INDEX('Hoja de apoyo v2'!F$17:F$20,MATCH($A503,'Hoja de apoyo v2'!$A$17:$A$20,0)),"")</f>
        <v>448.09513474485743</v>
      </c>
      <c r="S503" s="793">
        <f>IFERROR(INDEX('Hoja de apoyo v2'!G$17:G$20,MATCH($A503,'Hoja de apoyo v2'!$A$17:$A$20,0)),"")</f>
        <v>83.406300904207839</v>
      </c>
      <c r="T503" s="792">
        <f>IFERROR(INDEX('Hoja de apoyo v2'!H$17:H$20,MATCH($A503,'Hoja de apoyo v2'!$A$17:$A$20,0)),"")</f>
        <v>378.97014028925349</v>
      </c>
      <c r="U503" s="794">
        <f t="shared" si="256"/>
        <v>0.91811134100866276</v>
      </c>
      <c r="V503" s="795">
        <f t="shared" si="257"/>
        <v>0.95158313951701368</v>
      </c>
      <c r="W503" s="795">
        <f t="shared" si="258"/>
        <v>0.33568130747615854</v>
      </c>
      <c r="X503" s="843">
        <f t="shared" si="259"/>
        <v>1.1029383621172897</v>
      </c>
      <c r="Y503" s="843">
        <f t="shared" si="260"/>
        <v>1.1861741142177904</v>
      </c>
      <c r="Z503" s="843">
        <f t="shared" si="261"/>
        <v>0.39056628169655205</v>
      </c>
      <c r="AA503" s="843">
        <f t="shared" si="262"/>
        <v>0.7054624441196965</v>
      </c>
      <c r="AB503" s="796">
        <f t="shared" si="263"/>
        <v>3</v>
      </c>
      <c r="AC503" s="797">
        <f t="shared" si="264"/>
        <v>3</v>
      </c>
      <c r="AD503" s="797">
        <f t="shared" si="265"/>
        <v>1</v>
      </c>
      <c r="AE503" s="842">
        <f t="shared" si="266"/>
        <v>4</v>
      </c>
      <c r="AF503" s="842">
        <f t="shared" si="267"/>
        <v>4</v>
      </c>
      <c r="AG503" s="842">
        <f t="shared" si="268"/>
        <v>1</v>
      </c>
      <c r="AH503" s="842">
        <f t="shared" si="269"/>
        <v>2</v>
      </c>
      <c r="AI503" s="826" cm="1">
        <f t="array" ref="AI503">SUMPRODUCT(--ISNUMBER($U503:$AA503),$AB$3:$AH$3)</f>
        <v>1</v>
      </c>
      <c r="AJ503" s="829">
        <f t="shared" si="270"/>
        <v>35.084287843156481</v>
      </c>
      <c r="AK503" s="827" t="str">
        <f t="shared" si="271"/>
        <v>Inmadura</v>
      </c>
      <c r="AL503" s="784" t="str">
        <f t="shared" si="272"/>
        <v>Alta</v>
      </c>
      <c r="AM503" s="799">
        <f>IF(ISNUMBER('Base de datos Rutas'!W501),'Base de datos Rutas'!W501,"")</f>
        <v>2866.2444123371242</v>
      </c>
      <c r="AN503" s="787">
        <f>IFERROR(SUMIFS('Base de datos Rutas'!$W$6:$W$794,'Base de datos Rutas'!$C$6:$C$794,$C503)/'Base de datos Rutas'!I501,"")</f>
        <v>2866.2444123371242</v>
      </c>
      <c r="AO503" s="800">
        <f>IFERROR('Base de datos Rutas'!X501*AN503/AM503,"")</f>
        <v>0.40462988446513853</v>
      </c>
      <c r="AP503" s="800">
        <f t="shared" si="273"/>
        <v>0.59537011553486141</v>
      </c>
      <c r="AQ503" s="789">
        <f>IFERROR(INDEX('Hoja de apoyo v2'!$J$17:$J$20,MATCH($A503,'Hoja de apoyo v2'!$A$17:$A$20,0)),"")</f>
        <v>0.64320274048480885</v>
      </c>
      <c r="AR503" s="789">
        <f t="shared" si="274"/>
        <v>-4.7832624949947444E-2</v>
      </c>
      <c r="AS503" s="784" t="str">
        <f t="shared" si="275"/>
        <v>No</v>
      </c>
      <c r="AT503" s="801">
        <f>IF(ISNUMBER('Base de datos Rutas'!CK501),'Base de datos Rutas'!CK501,"")</f>
        <v>313</v>
      </c>
      <c r="AU503" s="802">
        <f>IF(ISNUMBER('Base de datos Rutas'!CL501),'Base de datos Rutas'!CL501,"")</f>
        <v>313</v>
      </c>
      <c r="AV503" s="802">
        <f>IF(ISNUMBER('Base de datos Rutas'!CM501),'Base de datos Rutas'!CM501,"")</f>
        <v>0</v>
      </c>
      <c r="AW503" s="802" t="str">
        <f>IF(ISNUMBER('Base de datos Rutas'!CN501),'Base de datos Rutas'!CN501,"")</f>
        <v/>
      </c>
      <c r="AX503" s="802">
        <f>IF(ISNUMBER('Base de datos Rutas'!CO501),'Base de datos Rutas'!CO501,"")</f>
        <v>9.4499999999999993</v>
      </c>
      <c r="AY503" s="802">
        <f>IF(ISNUMBER('Base de datos Rutas'!CP501),'Base de datos Rutas'!CP501,"")</f>
        <v>9.4499999999999993</v>
      </c>
      <c r="AZ503" s="802" t="str">
        <f>IF(ISNUMBER('Base de datos Rutas'!CQ501),'Base de datos Rutas'!CQ501,"")</f>
        <v/>
      </c>
      <c r="BA503" s="802" t="str">
        <f>IF(ISNUMBER('Base de datos Rutas'!CR501),'Base de datos Rutas'!CR501,"")</f>
        <v/>
      </c>
      <c r="BB503" s="803">
        <f>IF(ISNUMBER('Base de datos Rutas'!CS501),'Base de datos Rutas'!CS501,"")</f>
        <v>0</v>
      </c>
      <c r="BC503" s="804" t="str">
        <f t="shared" si="285"/>
        <v/>
      </c>
      <c r="BD503" s="805" t="str">
        <f t="shared" si="286"/>
        <v>N/D</v>
      </c>
      <c r="BE503" s="806" t="str">
        <f t="shared" si="287"/>
        <v/>
      </c>
      <c r="BF503" s="890">
        <f>IF(ISNUMBER('Base de datos Rutas'!CX501),'Base de datos Rutas'!CX501/100,"")</f>
        <v>0</v>
      </c>
      <c r="BG503" s="891">
        <f>IF(ISNUMBER('Base de datos Rutas'!CZ501),'Base de datos Rutas'!CZ501/100,"")</f>
        <v>0</v>
      </c>
      <c r="BH503" s="892">
        <f>IF(ISNUMBER('Base de datos Rutas'!DA501),'Base de datos Rutas'!DA501,"")</f>
        <v>0</v>
      </c>
      <c r="BI503" s="893">
        <f>IF(ISNUMBER('Base de datos Rutas'!DC501),'Base de datos Rutas'!DC501,"")</f>
        <v>0</v>
      </c>
      <c r="BJ503" s="805" t="str">
        <f t="shared" si="288"/>
        <v>Ruta (completo)</v>
      </c>
      <c r="BK503" s="783">
        <f t="shared" si="276"/>
        <v>1</v>
      </c>
      <c r="BL503" s="797">
        <f t="shared" si="277"/>
        <v>1</v>
      </c>
      <c r="BM503" s="797">
        <f t="shared" si="278"/>
        <v>1</v>
      </c>
      <c r="BN503" s="797">
        <f t="shared" si="279"/>
        <v>1</v>
      </c>
      <c r="BO503" s="798" cm="1">
        <f t="array" ref="BO503">SUMPRODUCT(--ISNUMBER($BF503:$BI503),$BK$3:$BN$3)</f>
        <v>1</v>
      </c>
      <c r="BP503" s="831">
        <f t="shared" si="289"/>
        <v>0</v>
      </c>
      <c r="BQ503" s="834" t="str">
        <f t="shared" si="290"/>
        <v>Bajo</v>
      </c>
      <c r="BR503" s="836" t="str">
        <f t="shared" si="280"/>
        <v/>
      </c>
      <c r="BS503" s="836">
        <f t="shared" si="281"/>
        <v>0</v>
      </c>
      <c r="BT503" s="837" t="str">
        <f t="shared" si="282"/>
        <v>Sin datos</v>
      </c>
      <c r="BU503" s="807" t="str">
        <f t="shared" si="291"/>
        <v>Con espacio</v>
      </c>
      <c r="BV503" s="807" t="str">
        <f t="shared" si="283"/>
        <v>Zona de bajo potencial</v>
      </c>
      <c r="BW503" s="808" t="str">
        <f t="shared" si="284"/>
        <v>Sin datos</v>
      </c>
    </row>
    <row r="504" spans="1:75">
      <c r="A504" s="780" t="str">
        <f>'Base de datos Rutas'!A502</f>
        <v>Occidente</v>
      </c>
      <c r="B504" s="781" t="str">
        <f>'Base de datos Rutas'!B502</f>
        <v>Zapopan</v>
      </c>
      <c r="C504" s="781" t="str">
        <f>'Base de datos Rutas'!C502</f>
        <v>Suc. Huentitán</v>
      </c>
      <c r="D504" s="782">
        <f>IF(ISNUMBER('Base de datos Rutas'!D502),'Base de datos Rutas'!D502,"Sin código")</f>
        <v>819359</v>
      </c>
      <c r="E504" s="783" t="str">
        <f>'Base de datos Rutas'!F502</f>
        <v>Activa</v>
      </c>
      <c r="F504" s="784" t="str">
        <f>'Base de datos Rutas'!H502</f>
        <v>Sí</v>
      </c>
      <c r="G504" s="785">
        <f>IF(ISNUMBER('Base de datos Rutas'!BE502),'Base de datos Rutas'!BE502,"")</f>
        <v>65.281464530892507</v>
      </c>
      <c r="H504" s="786">
        <f>IF(ISNUMBER('Base de datos Rutas'!BH502),'Base de datos Rutas'!BH502,"")</f>
        <v>0.47279865395401</v>
      </c>
      <c r="I504" s="788">
        <f>IFERROR(IF(OR(NOT(ISNUMBER('Base de datos Rutas'!O502)),N('Base de datos Rutas'!BK502)=0),"",'Base de datos Rutas'!O502/('Base de datos Rutas'!L502/'Base de datos Rutas'!BK502)),"")</f>
        <v>2988.5319634703133</v>
      </c>
      <c r="J504" s="788">
        <f>IFERROR(IF(OR(NOT(ISNUMBER('Base de datos Rutas'!N502)),N('Base de datos Rutas'!BK502)=0),"",'Base de datos Rutas'!N502/('Base de datos Rutas'!L502/'Base de datos Rutas'!BK502)),"")</f>
        <v>7755.662100456605</v>
      </c>
      <c r="K504" s="788">
        <f>IFERROR(IF(OR(NOT(ISNUMBER('Base de datos Rutas'!J502)),N('Base de datos Rutas'!BK502)=0),"",'Base de datos Rutas'!J502/('Base de datos Rutas'!L502/'Base de datos Rutas'!BK502)),"")</f>
        <v>533.79639817351483</v>
      </c>
      <c r="L504" s="788">
        <f>IFERROR(IF(OR(NOT(ISNUMBER('Base de datos Rutas'!K502)),N('Base de datos Rutas'!BK502)=0),"",'Base de datos Rutas'!K502/('Base de datos Rutas'!L502/'Base de datos Rutas'!BK502)),"")</f>
        <v>24.100555394977118</v>
      </c>
      <c r="M504" s="787">
        <f>IF(ISNUMBER('Base de datos Rutas'!AX502),'Base de datos Rutas'!AX502,"")</f>
        <v>348.84780800593001</v>
      </c>
      <c r="N504" s="790">
        <f>IFERROR(INDEX('Hoja de apoyo v2'!B$17:B$20,MATCH($A504,'Hoja de apoyo v2'!$A$17:$A$20,0)),"")</f>
        <v>89.41621024641401</v>
      </c>
      <c r="O504" s="791">
        <f>IFERROR(INDEX('Hoja de apoyo v2'!C$17:C$20,MATCH($A504,'Hoja de apoyo v2'!$A$17:$A$20,0)),"")</f>
        <v>0.54706375874806301</v>
      </c>
      <c r="P504" s="793">
        <f>IFERROR(INDEX('Hoja de apoyo v2'!D$17:D$20,MATCH($A504,'Hoja de apoyo v2'!$A$17:$A$20,0)),"")</f>
        <v>11095.153935793827</v>
      </c>
      <c r="Q504" s="793">
        <f>IFERROR(INDEX('Hoja de apoyo v2'!E$17:E$20,MATCH($A504,'Hoja de apoyo v2'!$A$17:$A$20,0)),"")</f>
        <v>6982.3202019701848</v>
      </c>
      <c r="R504" s="793">
        <f>IFERROR(INDEX('Hoja de apoyo v2'!F$17:F$20,MATCH($A504,'Hoja de apoyo v2'!$A$17:$A$20,0)),"")</f>
        <v>448.09513474485743</v>
      </c>
      <c r="S504" s="793">
        <f>IFERROR(INDEX('Hoja de apoyo v2'!G$17:G$20,MATCH($A504,'Hoja de apoyo v2'!$A$17:$A$20,0)),"")</f>
        <v>83.406300904207839</v>
      </c>
      <c r="T504" s="792">
        <f>IFERROR(INDEX('Hoja de apoyo v2'!H$17:H$20,MATCH($A504,'Hoja de apoyo v2'!$A$17:$A$20,0)),"")</f>
        <v>378.97014028925349</v>
      </c>
      <c r="U504" s="794">
        <f t="shared" si="256"/>
        <v>0.73008534303779204</v>
      </c>
      <c r="V504" s="795">
        <f t="shared" si="257"/>
        <v>0.86424780730493611</v>
      </c>
      <c r="W504" s="795">
        <f t="shared" si="258"/>
        <v>0.26935470934108247</v>
      </c>
      <c r="X504" s="843">
        <f t="shared" si="259"/>
        <v>1.1107571517943575</v>
      </c>
      <c r="Y504" s="843">
        <f t="shared" si="260"/>
        <v>1.1912568487882715</v>
      </c>
      <c r="Z504" s="843">
        <f t="shared" si="261"/>
        <v>0.28895365378518117</v>
      </c>
      <c r="AA504" s="843">
        <f t="shared" si="262"/>
        <v>0.92051528845958086</v>
      </c>
      <c r="AB504" s="796">
        <f t="shared" si="263"/>
        <v>2</v>
      </c>
      <c r="AC504" s="797">
        <f t="shared" si="264"/>
        <v>3</v>
      </c>
      <c r="AD504" s="797">
        <f t="shared" si="265"/>
        <v>1</v>
      </c>
      <c r="AE504" s="842">
        <f t="shared" si="266"/>
        <v>4</v>
      </c>
      <c r="AF504" s="842">
        <f t="shared" si="267"/>
        <v>4</v>
      </c>
      <c r="AG504" s="842">
        <f t="shared" si="268"/>
        <v>1</v>
      </c>
      <c r="AH504" s="842">
        <f t="shared" si="269"/>
        <v>3</v>
      </c>
      <c r="AI504" s="826" cm="1">
        <f t="array" ref="AI504">SUMPRODUCT(--ISNUMBER($U504:$AA504),$AB$3:$AH$3)</f>
        <v>1</v>
      </c>
      <c r="AJ504" s="829">
        <f t="shared" si="270"/>
        <v>32.79537950534629</v>
      </c>
      <c r="AK504" s="827" t="str">
        <f t="shared" si="271"/>
        <v>Inmadura</v>
      </c>
      <c r="AL504" s="784" t="str">
        <f t="shared" si="272"/>
        <v>Alta</v>
      </c>
      <c r="AM504" s="799">
        <f>IF(ISNUMBER('Base de datos Rutas'!W502),'Base de datos Rutas'!W502,"")</f>
        <v>2866.2444123371242</v>
      </c>
      <c r="AN504" s="787">
        <f>IFERROR(SUMIFS('Base de datos Rutas'!$W$6:$W$794,'Base de datos Rutas'!$C$6:$C$794,$C504)/'Base de datos Rutas'!I502,"")</f>
        <v>2866.2444123371242</v>
      </c>
      <c r="AO504" s="800">
        <f>IFERROR('Base de datos Rutas'!X502*AN504/AM504,"")</f>
        <v>0.40462988446513853</v>
      </c>
      <c r="AP504" s="800">
        <f t="shared" si="273"/>
        <v>0.59537011553486141</v>
      </c>
      <c r="AQ504" s="789">
        <f>IFERROR(INDEX('Hoja de apoyo v2'!$J$17:$J$20,MATCH($A504,'Hoja de apoyo v2'!$A$17:$A$20,0)),"")</f>
        <v>0.64320274048480885</v>
      </c>
      <c r="AR504" s="789">
        <f t="shared" si="274"/>
        <v>-4.7832624949947444E-2</v>
      </c>
      <c r="AS504" s="784" t="str">
        <f t="shared" si="275"/>
        <v>No</v>
      </c>
      <c r="AT504" s="801">
        <f>IF(ISNUMBER('Base de datos Rutas'!CK502),'Base de datos Rutas'!CK502,"")</f>
        <v>373</v>
      </c>
      <c r="AU504" s="802">
        <f>IF(ISNUMBER('Base de datos Rutas'!CL502),'Base de datos Rutas'!CL502,"")</f>
        <v>413.31</v>
      </c>
      <c r="AV504" s="802">
        <f>IF(ISNUMBER('Base de datos Rutas'!CM502),'Base de datos Rutas'!CM502,"")</f>
        <v>40.31</v>
      </c>
      <c r="AW504" s="802">
        <f>IF(ISNUMBER('Base de datos Rutas'!CN502),'Base de datos Rutas'!CN502,"")</f>
        <v>9.4499999999999993</v>
      </c>
      <c r="AX504" s="802">
        <f>IF(ISNUMBER('Base de datos Rutas'!CO502),'Base de datos Rutas'!CO502,"")</f>
        <v>9.4499999999999993</v>
      </c>
      <c r="AY504" s="802">
        <f>IF(ISNUMBER('Base de datos Rutas'!CP502),'Base de datos Rutas'!CP502,"")</f>
        <v>0</v>
      </c>
      <c r="AZ504" s="802">
        <f>IF(ISNUMBER('Base de datos Rutas'!CQ502),'Base de datos Rutas'!CQ502,"")</f>
        <v>846.56</v>
      </c>
      <c r="BA504" s="802">
        <f>IF(ISNUMBER('Base de datos Rutas'!CR502),'Base de datos Rutas'!CR502,"")</f>
        <v>557.9</v>
      </c>
      <c r="BB504" s="803">
        <f>IF(ISNUMBER('Base de datos Rutas'!CS502),'Base de datos Rutas'!CS502,"")</f>
        <v>288.65999999999997</v>
      </c>
      <c r="BC504" s="804">
        <f t="shared" si="285"/>
        <v>1</v>
      </c>
      <c r="BD504" s="805" t="str">
        <f t="shared" si="286"/>
        <v>Saturada</v>
      </c>
      <c r="BE504" s="806">
        <f t="shared" si="287"/>
        <v>0.65902003402003406</v>
      </c>
      <c r="BF504" s="890">
        <f>IF(ISNUMBER('Base de datos Rutas'!CX502),'Base de datos Rutas'!CX502/100,"")</f>
        <v>0.24929346571230662</v>
      </c>
      <c r="BG504" s="891">
        <f>IF(ISNUMBER('Base de datos Rutas'!CZ502),'Base de datos Rutas'!CZ502/100,"")</f>
        <v>0.25860078503809741</v>
      </c>
      <c r="BH504" s="892">
        <f>IF(ISNUMBER('Base de datos Rutas'!DA502),'Base de datos Rutas'!DA502,"")</f>
        <v>144.43486963862091</v>
      </c>
      <c r="BI504" s="893">
        <f>IF(ISNUMBER('Base de datos Rutas'!DC502),'Base de datos Rutas'!DC502,"")</f>
        <v>7.0424449421340505</v>
      </c>
      <c r="BJ504" s="805" t="str">
        <f t="shared" si="288"/>
        <v>Ruta (completo)</v>
      </c>
      <c r="BK504" s="783">
        <f t="shared" si="276"/>
        <v>2</v>
      </c>
      <c r="BL504" s="797">
        <f t="shared" si="277"/>
        <v>2</v>
      </c>
      <c r="BM504" s="797">
        <f t="shared" si="278"/>
        <v>2</v>
      </c>
      <c r="BN504" s="797">
        <f t="shared" si="279"/>
        <v>2</v>
      </c>
      <c r="BO504" s="798" cm="1">
        <f t="array" ref="BO504">SUMPRODUCT(--ISNUMBER($BF504:$BI504),$BK$3:$BN$3)</f>
        <v>1</v>
      </c>
      <c r="BP504" s="831">
        <f t="shared" si="289"/>
        <v>25</v>
      </c>
      <c r="BQ504" s="834" t="str">
        <f t="shared" si="290"/>
        <v>Medio</v>
      </c>
      <c r="BR504" s="836">
        <f t="shared" si="280"/>
        <v>49.596534629009717</v>
      </c>
      <c r="BS504" s="836">
        <f t="shared" si="281"/>
        <v>25</v>
      </c>
      <c r="BT504" s="837" t="str">
        <f t="shared" si="282"/>
        <v>P2</v>
      </c>
      <c r="BU504" s="807" t="str">
        <f t="shared" si="291"/>
        <v>Al tope</v>
      </c>
      <c r="BV504" s="807" t="str">
        <f t="shared" si="283"/>
        <v>Zona de bajo potencial</v>
      </c>
      <c r="BW504" s="808" t="str">
        <f t="shared" si="284"/>
        <v>P2 - Mantener</v>
      </c>
    </row>
    <row r="505" spans="1:75">
      <c r="A505" s="780" t="str">
        <f>'Base de datos Rutas'!A503</f>
        <v>Occidente</v>
      </c>
      <c r="B505" s="781" t="str">
        <f>'Base de datos Rutas'!B503</f>
        <v>Zapopan</v>
      </c>
      <c r="C505" s="781" t="str">
        <f>'Base de datos Rutas'!C503</f>
        <v>Suc. Huentitán</v>
      </c>
      <c r="D505" s="782">
        <f>IF(ISNUMBER('Base de datos Rutas'!D503),'Base de datos Rutas'!D503,"Sin código")</f>
        <v>819401</v>
      </c>
      <c r="E505" s="783" t="str">
        <f>'Base de datos Rutas'!F503</f>
        <v>Activa</v>
      </c>
      <c r="F505" s="784" t="str">
        <f>'Base de datos Rutas'!H503</f>
        <v>No</v>
      </c>
      <c r="G505" s="785" t="str">
        <f>IF(ISNUMBER('Base de datos Rutas'!BE503),'Base de datos Rutas'!BE503,"")</f>
        <v/>
      </c>
      <c r="H505" s="786" t="str">
        <f>IF(ISNUMBER('Base de datos Rutas'!BH503),'Base de datos Rutas'!BH503,"")</f>
        <v/>
      </c>
      <c r="I505" s="788" t="str">
        <f>IFERROR(IF(OR(NOT(ISNUMBER('Base de datos Rutas'!O503)),N('Base de datos Rutas'!BK503)=0),"",'Base de datos Rutas'!O503/('Base de datos Rutas'!L503/'Base de datos Rutas'!BK503)),"")</f>
        <v/>
      </c>
      <c r="J505" s="788" t="str">
        <f>IFERROR(IF(OR(NOT(ISNUMBER('Base de datos Rutas'!N503)),N('Base de datos Rutas'!BK503)=0),"",'Base de datos Rutas'!N503/('Base de datos Rutas'!L503/'Base de datos Rutas'!BK503)),"")</f>
        <v/>
      </c>
      <c r="K505" s="788" t="str">
        <f>IFERROR(IF(OR(NOT(ISNUMBER('Base de datos Rutas'!J503)),N('Base de datos Rutas'!BK503)=0),"",'Base de datos Rutas'!J503/('Base de datos Rutas'!L503/'Base de datos Rutas'!BK503)),"")</f>
        <v/>
      </c>
      <c r="L505" s="788" t="str">
        <f>IFERROR(IF(OR(NOT(ISNUMBER('Base de datos Rutas'!K503)),N('Base de datos Rutas'!BK503)=0),"",'Base de datos Rutas'!K503/('Base de datos Rutas'!L503/'Base de datos Rutas'!BK503)),"")</f>
        <v/>
      </c>
      <c r="M505" s="787">
        <f>IF(ISNUMBER('Base de datos Rutas'!AX503),'Base de datos Rutas'!AX503,"")</f>
        <v>909.68208000000004</v>
      </c>
      <c r="N505" s="790">
        <f>IFERROR(INDEX('Hoja de apoyo v2'!B$17:B$20,MATCH($A505,'Hoja de apoyo v2'!$A$17:$A$20,0)),"")</f>
        <v>89.41621024641401</v>
      </c>
      <c r="O505" s="791">
        <f>IFERROR(INDEX('Hoja de apoyo v2'!C$17:C$20,MATCH($A505,'Hoja de apoyo v2'!$A$17:$A$20,0)),"")</f>
        <v>0.54706375874806301</v>
      </c>
      <c r="P505" s="793">
        <f>IFERROR(INDEX('Hoja de apoyo v2'!D$17:D$20,MATCH($A505,'Hoja de apoyo v2'!$A$17:$A$20,0)),"")</f>
        <v>11095.153935793827</v>
      </c>
      <c r="Q505" s="793">
        <f>IFERROR(INDEX('Hoja de apoyo v2'!E$17:E$20,MATCH($A505,'Hoja de apoyo v2'!$A$17:$A$20,0)),"")</f>
        <v>6982.3202019701848</v>
      </c>
      <c r="R505" s="793">
        <f>IFERROR(INDEX('Hoja de apoyo v2'!F$17:F$20,MATCH($A505,'Hoja de apoyo v2'!$A$17:$A$20,0)),"")</f>
        <v>448.09513474485743</v>
      </c>
      <c r="S505" s="793">
        <f>IFERROR(INDEX('Hoja de apoyo v2'!G$17:G$20,MATCH($A505,'Hoja de apoyo v2'!$A$17:$A$20,0)),"")</f>
        <v>83.406300904207839</v>
      </c>
      <c r="T505" s="792">
        <f>IFERROR(INDEX('Hoja de apoyo v2'!H$17:H$20,MATCH($A505,'Hoja de apoyo v2'!$A$17:$A$20,0)),"")</f>
        <v>378.97014028925349</v>
      </c>
      <c r="U505" s="794" t="str">
        <f t="shared" si="256"/>
        <v/>
      </c>
      <c r="V505" s="795" t="str">
        <f t="shared" si="257"/>
        <v/>
      </c>
      <c r="W505" s="795" t="str">
        <f t="shared" si="258"/>
        <v/>
      </c>
      <c r="X505" s="843" t="str">
        <f t="shared" si="259"/>
        <v/>
      </c>
      <c r="Y505" s="843" t="str">
        <f t="shared" si="260"/>
        <v/>
      </c>
      <c r="Z505" s="843" t="str">
        <f t="shared" si="261"/>
        <v/>
      </c>
      <c r="AA505" s="843">
        <f t="shared" si="262"/>
        <v>2.4004056871226696</v>
      </c>
      <c r="AB505" s="796">
        <f t="shared" si="263"/>
        <v>0</v>
      </c>
      <c r="AC505" s="797">
        <f t="shared" si="264"/>
        <v>0</v>
      </c>
      <c r="AD505" s="797">
        <f t="shared" si="265"/>
        <v>0</v>
      </c>
      <c r="AE505" s="842">
        <f t="shared" si="266"/>
        <v>0</v>
      </c>
      <c r="AF505" s="842">
        <f t="shared" si="267"/>
        <v>0</v>
      </c>
      <c r="AG505" s="842">
        <f t="shared" si="268"/>
        <v>0</v>
      </c>
      <c r="AH505" s="842">
        <f t="shared" si="269"/>
        <v>5</v>
      </c>
      <c r="AI505" s="826" cm="1">
        <f t="array" ref="AI505">SUMPRODUCT(--ISNUMBER($U505:$AA505),$AB$3:$AH$3)</f>
        <v>8.9789113613062493E-2</v>
      </c>
      <c r="AJ505" s="829" t="str">
        <f t="shared" si="270"/>
        <v/>
      </c>
      <c r="AK505" s="827" t="str">
        <f t="shared" si="271"/>
        <v>No elegible</v>
      </c>
      <c r="AL505" s="784" t="str">
        <f t="shared" si="272"/>
        <v>n/a</v>
      </c>
      <c r="AM505" s="799">
        <f>IF(ISNUMBER('Base de datos Rutas'!W503),'Base de datos Rutas'!W503,"")</f>
        <v>2866.2444123371242</v>
      </c>
      <c r="AN505" s="787">
        <f>IFERROR(SUMIFS('Base de datos Rutas'!$W$6:$W$794,'Base de datos Rutas'!$C$6:$C$794,$C505)/'Base de datos Rutas'!I503,"")</f>
        <v>2866.2444123371242</v>
      </c>
      <c r="AO505" s="800">
        <f>IFERROR('Base de datos Rutas'!X503*AN505/AM505,"")</f>
        <v>0.40462988446513853</v>
      </c>
      <c r="AP505" s="800">
        <f t="shared" si="273"/>
        <v>0.59537011553486141</v>
      </c>
      <c r="AQ505" s="789">
        <f>IFERROR(INDEX('Hoja de apoyo v2'!$J$17:$J$20,MATCH($A505,'Hoja de apoyo v2'!$A$17:$A$20,0)),"")</f>
        <v>0.64320274048480885</v>
      </c>
      <c r="AR505" s="789">
        <f t="shared" si="274"/>
        <v>-4.7832624949947444E-2</v>
      </c>
      <c r="AS505" s="784" t="str">
        <f t="shared" si="275"/>
        <v>No</v>
      </c>
      <c r="AT505" s="801" t="str">
        <f>IF(ISNUMBER('Base de datos Rutas'!CK503),'Base de datos Rutas'!CK503,"")</f>
        <v/>
      </c>
      <c r="AU505" s="802" t="str">
        <f>IF(ISNUMBER('Base de datos Rutas'!CL503),'Base de datos Rutas'!CL503,"")</f>
        <v/>
      </c>
      <c r="AV505" s="802">
        <f>IF(ISNUMBER('Base de datos Rutas'!CM503),'Base de datos Rutas'!CM503,"")</f>
        <v>0</v>
      </c>
      <c r="AW505" s="802" t="str">
        <f>IF(ISNUMBER('Base de datos Rutas'!CN503),'Base de datos Rutas'!CN503,"")</f>
        <v/>
      </c>
      <c r="AX505" s="802" t="str">
        <f>IF(ISNUMBER('Base de datos Rutas'!CO503),'Base de datos Rutas'!CO503,"")</f>
        <v/>
      </c>
      <c r="AY505" s="802">
        <f>IF(ISNUMBER('Base de datos Rutas'!CP503),'Base de datos Rutas'!CP503,"")</f>
        <v>0</v>
      </c>
      <c r="AZ505" s="802" t="str">
        <f>IF(ISNUMBER('Base de datos Rutas'!CQ503),'Base de datos Rutas'!CQ503,"")</f>
        <v/>
      </c>
      <c r="BA505" s="802" t="str">
        <f>IF(ISNUMBER('Base de datos Rutas'!CR503),'Base de datos Rutas'!CR503,"")</f>
        <v/>
      </c>
      <c r="BB505" s="803">
        <f>IF(ISNUMBER('Base de datos Rutas'!CS503),'Base de datos Rutas'!CS503,"")</f>
        <v>0</v>
      </c>
      <c r="BC505" s="804" t="str">
        <f t="shared" si="285"/>
        <v/>
      </c>
      <c r="BD505" s="805" t="str">
        <f t="shared" si="286"/>
        <v>N/D</v>
      </c>
      <c r="BE505" s="806" t="str">
        <f t="shared" si="287"/>
        <v/>
      </c>
      <c r="BF505" s="890" t="str">
        <f>IF(ISNUMBER('Base de datos Rutas'!CX503),'Base de datos Rutas'!CX503/100,"")</f>
        <v/>
      </c>
      <c r="BG505" s="891" t="str">
        <f>IF(ISNUMBER('Base de datos Rutas'!CZ503),'Base de datos Rutas'!CZ503/100,"")</f>
        <v/>
      </c>
      <c r="BH505" s="892" t="str">
        <f>IF(ISNUMBER('Base de datos Rutas'!DA503),'Base de datos Rutas'!DA503,"")</f>
        <v/>
      </c>
      <c r="BI505" s="893" t="str">
        <f>IF(ISNUMBER('Base de datos Rutas'!DC503),'Base de datos Rutas'!DC503,"")</f>
        <v/>
      </c>
      <c r="BJ505" s="805" t="str">
        <f t="shared" si="288"/>
        <v>Sin dato</v>
      </c>
      <c r="BK505" s="783">
        <f t="shared" si="276"/>
        <v>0</v>
      </c>
      <c r="BL505" s="797">
        <f t="shared" si="277"/>
        <v>0</v>
      </c>
      <c r="BM505" s="797">
        <f t="shared" si="278"/>
        <v>0</v>
      </c>
      <c r="BN505" s="797">
        <f t="shared" si="279"/>
        <v>0</v>
      </c>
      <c r="BO505" s="798" cm="1">
        <f t="array" ref="BO505">SUMPRODUCT(--ISNUMBER($BF505:$BI505),$BK$3:$BN$3)</f>
        <v>0</v>
      </c>
      <c r="BP505" s="831" t="str">
        <f t="shared" si="289"/>
        <v/>
      </c>
      <c r="BQ505" s="834" t="str">
        <f t="shared" si="290"/>
        <v>Sin datos</v>
      </c>
      <c r="BR505" s="836" t="str">
        <f t="shared" si="280"/>
        <v/>
      </c>
      <c r="BS505" s="836" t="str">
        <f t="shared" si="281"/>
        <v/>
      </c>
      <c r="BT505" s="837" t="str">
        <f t="shared" si="282"/>
        <v>Sin datos</v>
      </c>
      <c r="BU505" s="807" t="str">
        <f t="shared" si="291"/>
        <v>No evaluable</v>
      </c>
      <c r="BV505" s="807" t="str">
        <f t="shared" si="283"/>
        <v>No evaluable</v>
      </c>
      <c r="BW505" s="808" t="str">
        <f t="shared" si="284"/>
        <v>Sin datos</v>
      </c>
    </row>
    <row r="506" spans="1:75">
      <c r="A506" s="780" t="str">
        <f>'Base de datos Rutas'!A504</f>
        <v>Occidente</v>
      </c>
      <c r="B506" s="781" t="str">
        <f>'Base de datos Rutas'!B504</f>
        <v>Zapopan</v>
      </c>
      <c r="C506" s="781" t="str">
        <f>'Base de datos Rutas'!C504</f>
        <v>Suc. Huentitán</v>
      </c>
      <c r="D506" s="782">
        <f>IF(ISNUMBER('Base de datos Rutas'!D504),'Base de datos Rutas'!D504,"Sin código")</f>
        <v>819402</v>
      </c>
      <c r="E506" s="783" t="str">
        <f>'Base de datos Rutas'!F504</f>
        <v>Activa</v>
      </c>
      <c r="F506" s="784" t="str">
        <f>'Base de datos Rutas'!H504</f>
        <v>No</v>
      </c>
      <c r="G506" s="785" t="str">
        <f>IF(ISNUMBER('Base de datos Rutas'!BE504),'Base de datos Rutas'!BE504,"")</f>
        <v/>
      </c>
      <c r="H506" s="786" t="str">
        <f>IF(ISNUMBER('Base de datos Rutas'!BH504),'Base de datos Rutas'!BH504,"")</f>
        <v/>
      </c>
      <c r="I506" s="788" t="str">
        <f>IFERROR(IF(OR(NOT(ISNUMBER('Base de datos Rutas'!O504)),N('Base de datos Rutas'!BK504)=0),"",'Base de datos Rutas'!O504/('Base de datos Rutas'!L504/'Base de datos Rutas'!BK504)),"")</f>
        <v/>
      </c>
      <c r="J506" s="788" t="str">
        <f>IFERROR(IF(OR(NOT(ISNUMBER('Base de datos Rutas'!N504)),N('Base de datos Rutas'!BK504)=0),"",'Base de datos Rutas'!N504/('Base de datos Rutas'!L504/'Base de datos Rutas'!BK504)),"")</f>
        <v/>
      </c>
      <c r="K506" s="788" t="str">
        <f>IFERROR(IF(OR(NOT(ISNUMBER('Base de datos Rutas'!J504)),N('Base de datos Rutas'!BK504)=0),"",'Base de datos Rutas'!J504/('Base de datos Rutas'!L504/'Base de datos Rutas'!BK504)),"")</f>
        <v/>
      </c>
      <c r="L506" s="788" t="str">
        <f>IFERROR(IF(OR(NOT(ISNUMBER('Base de datos Rutas'!K504)),N('Base de datos Rutas'!BK504)=0),"",'Base de datos Rutas'!K504/('Base de datos Rutas'!L504/'Base de datos Rutas'!BK504)),"")</f>
        <v/>
      </c>
      <c r="M506" s="787">
        <f>IF(ISNUMBER('Base de datos Rutas'!AX504),'Base de datos Rutas'!AX504,"")</f>
        <v>283.28461538461499</v>
      </c>
      <c r="N506" s="790">
        <f>IFERROR(INDEX('Hoja de apoyo v2'!B$17:B$20,MATCH($A506,'Hoja de apoyo v2'!$A$17:$A$20,0)),"")</f>
        <v>89.41621024641401</v>
      </c>
      <c r="O506" s="791">
        <f>IFERROR(INDEX('Hoja de apoyo v2'!C$17:C$20,MATCH($A506,'Hoja de apoyo v2'!$A$17:$A$20,0)),"")</f>
        <v>0.54706375874806301</v>
      </c>
      <c r="P506" s="793">
        <f>IFERROR(INDEX('Hoja de apoyo v2'!D$17:D$20,MATCH($A506,'Hoja de apoyo v2'!$A$17:$A$20,0)),"")</f>
        <v>11095.153935793827</v>
      </c>
      <c r="Q506" s="793">
        <f>IFERROR(INDEX('Hoja de apoyo v2'!E$17:E$20,MATCH($A506,'Hoja de apoyo v2'!$A$17:$A$20,0)),"")</f>
        <v>6982.3202019701848</v>
      </c>
      <c r="R506" s="793">
        <f>IFERROR(INDEX('Hoja de apoyo v2'!F$17:F$20,MATCH($A506,'Hoja de apoyo v2'!$A$17:$A$20,0)),"")</f>
        <v>448.09513474485743</v>
      </c>
      <c r="S506" s="793">
        <f>IFERROR(INDEX('Hoja de apoyo v2'!G$17:G$20,MATCH($A506,'Hoja de apoyo v2'!$A$17:$A$20,0)),"")</f>
        <v>83.406300904207839</v>
      </c>
      <c r="T506" s="792">
        <f>IFERROR(INDEX('Hoja de apoyo v2'!H$17:H$20,MATCH($A506,'Hoja de apoyo v2'!$A$17:$A$20,0)),"")</f>
        <v>378.97014028925349</v>
      </c>
      <c r="U506" s="794" t="str">
        <f t="shared" si="256"/>
        <v/>
      </c>
      <c r="V506" s="795" t="str">
        <f t="shared" si="257"/>
        <v/>
      </c>
      <c r="W506" s="795" t="str">
        <f t="shared" si="258"/>
        <v/>
      </c>
      <c r="X506" s="843" t="str">
        <f t="shared" si="259"/>
        <v/>
      </c>
      <c r="Y506" s="843" t="str">
        <f t="shared" si="260"/>
        <v/>
      </c>
      <c r="Z506" s="843" t="str">
        <f t="shared" si="261"/>
        <v/>
      </c>
      <c r="AA506" s="843">
        <f t="shared" si="262"/>
        <v>0.74751170413688695</v>
      </c>
      <c r="AB506" s="796">
        <f t="shared" si="263"/>
        <v>0</v>
      </c>
      <c r="AC506" s="797">
        <f t="shared" si="264"/>
        <v>0</v>
      </c>
      <c r="AD506" s="797">
        <f t="shared" si="265"/>
        <v>0</v>
      </c>
      <c r="AE506" s="842">
        <f t="shared" si="266"/>
        <v>0</v>
      </c>
      <c r="AF506" s="842">
        <f t="shared" si="267"/>
        <v>0</v>
      </c>
      <c r="AG506" s="842">
        <f t="shared" si="268"/>
        <v>0</v>
      </c>
      <c r="AH506" s="842">
        <f t="shared" si="269"/>
        <v>2</v>
      </c>
      <c r="AI506" s="826" cm="1">
        <f t="array" ref="AI506">SUMPRODUCT(--ISNUMBER($U506:$AA506),$AB$3:$AH$3)</f>
        <v>8.9789113613062493E-2</v>
      </c>
      <c r="AJ506" s="829" t="str">
        <f t="shared" si="270"/>
        <v/>
      </c>
      <c r="AK506" s="827" t="str">
        <f t="shared" si="271"/>
        <v>No elegible</v>
      </c>
      <c r="AL506" s="784" t="str">
        <f t="shared" si="272"/>
        <v>n/a</v>
      </c>
      <c r="AM506" s="799">
        <f>IF(ISNUMBER('Base de datos Rutas'!W504),'Base de datos Rutas'!W504,"")</f>
        <v>2866.2444123371242</v>
      </c>
      <c r="AN506" s="787">
        <f>IFERROR(SUMIFS('Base de datos Rutas'!$W$6:$W$794,'Base de datos Rutas'!$C$6:$C$794,$C506)/'Base de datos Rutas'!I504,"")</f>
        <v>2866.2444123371242</v>
      </c>
      <c r="AO506" s="800">
        <f>IFERROR('Base de datos Rutas'!X504*AN506/AM506,"")</f>
        <v>0.40462988446513853</v>
      </c>
      <c r="AP506" s="800">
        <f t="shared" si="273"/>
        <v>0.59537011553486141</v>
      </c>
      <c r="AQ506" s="789">
        <f>IFERROR(INDEX('Hoja de apoyo v2'!$J$17:$J$20,MATCH($A506,'Hoja de apoyo v2'!$A$17:$A$20,0)),"")</f>
        <v>0.64320274048480885</v>
      </c>
      <c r="AR506" s="789">
        <f t="shared" si="274"/>
        <v>-4.7832624949947444E-2</v>
      </c>
      <c r="AS506" s="784" t="str">
        <f t="shared" si="275"/>
        <v>No</v>
      </c>
      <c r="AT506" s="801" t="str">
        <f>IF(ISNUMBER('Base de datos Rutas'!CK504),'Base de datos Rutas'!CK504,"")</f>
        <v/>
      </c>
      <c r="AU506" s="802" t="str">
        <f>IF(ISNUMBER('Base de datos Rutas'!CL504),'Base de datos Rutas'!CL504,"")</f>
        <v/>
      </c>
      <c r="AV506" s="802">
        <f>IF(ISNUMBER('Base de datos Rutas'!CM504),'Base de datos Rutas'!CM504,"")</f>
        <v>0</v>
      </c>
      <c r="AW506" s="802" t="str">
        <f>IF(ISNUMBER('Base de datos Rutas'!CN504),'Base de datos Rutas'!CN504,"")</f>
        <v/>
      </c>
      <c r="AX506" s="802" t="str">
        <f>IF(ISNUMBER('Base de datos Rutas'!CO504),'Base de datos Rutas'!CO504,"")</f>
        <v/>
      </c>
      <c r="AY506" s="802">
        <f>IF(ISNUMBER('Base de datos Rutas'!CP504),'Base de datos Rutas'!CP504,"")</f>
        <v>0</v>
      </c>
      <c r="AZ506" s="802" t="str">
        <f>IF(ISNUMBER('Base de datos Rutas'!CQ504),'Base de datos Rutas'!CQ504,"")</f>
        <v/>
      </c>
      <c r="BA506" s="802" t="str">
        <f>IF(ISNUMBER('Base de datos Rutas'!CR504),'Base de datos Rutas'!CR504,"")</f>
        <v/>
      </c>
      <c r="BB506" s="803">
        <f>IF(ISNUMBER('Base de datos Rutas'!CS504),'Base de datos Rutas'!CS504,"")</f>
        <v>0</v>
      </c>
      <c r="BC506" s="804" t="str">
        <f t="shared" si="285"/>
        <v/>
      </c>
      <c r="BD506" s="805" t="str">
        <f t="shared" si="286"/>
        <v>N/D</v>
      </c>
      <c r="BE506" s="806" t="str">
        <f t="shared" si="287"/>
        <v/>
      </c>
      <c r="BF506" s="890" t="str">
        <f>IF(ISNUMBER('Base de datos Rutas'!CX504),'Base de datos Rutas'!CX504/100,"")</f>
        <v/>
      </c>
      <c r="BG506" s="891" t="str">
        <f>IF(ISNUMBER('Base de datos Rutas'!CZ504),'Base de datos Rutas'!CZ504/100,"")</f>
        <v/>
      </c>
      <c r="BH506" s="892" t="str">
        <f>IF(ISNUMBER('Base de datos Rutas'!DA504),'Base de datos Rutas'!DA504,"")</f>
        <v/>
      </c>
      <c r="BI506" s="893" t="str">
        <f>IF(ISNUMBER('Base de datos Rutas'!DC504),'Base de datos Rutas'!DC504,"")</f>
        <v/>
      </c>
      <c r="BJ506" s="805" t="str">
        <f t="shared" si="288"/>
        <v>Sin dato</v>
      </c>
      <c r="BK506" s="783">
        <f t="shared" si="276"/>
        <v>0</v>
      </c>
      <c r="BL506" s="797">
        <f t="shared" si="277"/>
        <v>0</v>
      </c>
      <c r="BM506" s="797">
        <f t="shared" si="278"/>
        <v>0</v>
      </c>
      <c r="BN506" s="797">
        <f t="shared" si="279"/>
        <v>0</v>
      </c>
      <c r="BO506" s="798" cm="1">
        <f t="array" ref="BO506">SUMPRODUCT(--ISNUMBER($BF506:$BI506),$BK$3:$BN$3)</f>
        <v>0</v>
      </c>
      <c r="BP506" s="831" t="str">
        <f t="shared" si="289"/>
        <v/>
      </c>
      <c r="BQ506" s="834" t="str">
        <f t="shared" si="290"/>
        <v>Sin datos</v>
      </c>
      <c r="BR506" s="836" t="str">
        <f t="shared" si="280"/>
        <v/>
      </c>
      <c r="BS506" s="836" t="str">
        <f t="shared" si="281"/>
        <v/>
      </c>
      <c r="BT506" s="837" t="str">
        <f t="shared" si="282"/>
        <v>Sin datos</v>
      </c>
      <c r="BU506" s="807" t="str">
        <f t="shared" si="291"/>
        <v>No evaluable</v>
      </c>
      <c r="BV506" s="807" t="str">
        <f t="shared" si="283"/>
        <v>No evaluable</v>
      </c>
      <c r="BW506" s="808" t="str">
        <f t="shared" si="284"/>
        <v>Sin datos</v>
      </c>
    </row>
    <row r="507" spans="1:75">
      <c r="A507" s="780" t="str">
        <f>'Base de datos Rutas'!A505</f>
        <v>Occidente</v>
      </c>
      <c r="B507" s="781" t="str">
        <f>'Base de datos Rutas'!B505</f>
        <v>Zapopan</v>
      </c>
      <c r="C507" s="781" t="str">
        <f>'Base de datos Rutas'!C505</f>
        <v>Suc. Huentitán</v>
      </c>
      <c r="D507" s="782">
        <f>IF(ISNUMBER('Base de datos Rutas'!D505),'Base de datos Rutas'!D505,"Sin código")</f>
        <v>819403</v>
      </c>
      <c r="E507" s="783" t="str">
        <f>'Base de datos Rutas'!F505</f>
        <v>Inactiva</v>
      </c>
      <c r="F507" s="784" t="str">
        <f>'Base de datos Rutas'!H505</f>
        <v>No</v>
      </c>
      <c r="G507" s="785" t="str">
        <f>IF(ISNUMBER('Base de datos Rutas'!BE505),'Base de datos Rutas'!BE505,"")</f>
        <v/>
      </c>
      <c r="H507" s="786" t="str">
        <f>IF(ISNUMBER('Base de datos Rutas'!BH505),'Base de datos Rutas'!BH505,"")</f>
        <v/>
      </c>
      <c r="I507" s="788" t="str">
        <f>IFERROR(IF(OR(NOT(ISNUMBER('Base de datos Rutas'!O505)),N('Base de datos Rutas'!BK505)=0),"",'Base de datos Rutas'!O505/('Base de datos Rutas'!L505/'Base de datos Rutas'!BK505)),"")</f>
        <v/>
      </c>
      <c r="J507" s="788" t="str">
        <f>IFERROR(IF(OR(NOT(ISNUMBER('Base de datos Rutas'!N505)),N('Base de datos Rutas'!BK505)=0),"",'Base de datos Rutas'!N505/('Base de datos Rutas'!L505/'Base de datos Rutas'!BK505)),"")</f>
        <v/>
      </c>
      <c r="K507" s="788" t="str">
        <f>IFERROR(IF(OR(NOT(ISNUMBER('Base de datos Rutas'!J505)),N('Base de datos Rutas'!BK505)=0),"",'Base de datos Rutas'!J505/('Base de datos Rutas'!L505/'Base de datos Rutas'!BK505)),"")</f>
        <v/>
      </c>
      <c r="L507" s="788" t="str">
        <f>IFERROR(IF(OR(NOT(ISNUMBER('Base de datos Rutas'!K505)),N('Base de datos Rutas'!BK505)=0),"",'Base de datos Rutas'!K505/('Base de datos Rutas'!L505/'Base de datos Rutas'!BK505)),"")</f>
        <v/>
      </c>
      <c r="M507" s="787">
        <f>IF(ISNUMBER('Base de datos Rutas'!AX505),'Base de datos Rutas'!AX505,"")</f>
        <v>0</v>
      </c>
      <c r="N507" s="790">
        <f>IFERROR(INDEX('Hoja de apoyo v2'!B$17:B$20,MATCH($A507,'Hoja de apoyo v2'!$A$17:$A$20,0)),"")</f>
        <v>89.41621024641401</v>
      </c>
      <c r="O507" s="791">
        <f>IFERROR(INDEX('Hoja de apoyo v2'!C$17:C$20,MATCH($A507,'Hoja de apoyo v2'!$A$17:$A$20,0)),"")</f>
        <v>0.54706375874806301</v>
      </c>
      <c r="P507" s="793">
        <f>IFERROR(INDEX('Hoja de apoyo v2'!D$17:D$20,MATCH($A507,'Hoja de apoyo v2'!$A$17:$A$20,0)),"")</f>
        <v>11095.153935793827</v>
      </c>
      <c r="Q507" s="793">
        <f>IFERROR(INDEX('Hoja de apoyo v2'!E$17:E$20,MATCH($A507,'Hoja de apoyo v2'!$A$17:$A$20,0)),"")</f>
        <v>6982.3202019701848</v>
      </c>
      <c r="R507" s="793">
        <f>IFERROR(INDEX('Hoja de apoyo v2'!F$17:F$20,MATCH($A507,'Hoja de apoyo v2'!$A$17:$A$20,0)),"")</f>
        <v>448.09513474485743</v>
      </c>
      <c r="S507" s="793">
        <f>IFERROR(INDEX('Hoja de apoyo v2'!G$17:G$20,MATCH($A507,'Hoja de apoyo v2'!$A$17:$A$20,0)),"")</f>
        <v>83.406300904207839</v>
      </c>
      <c r="T507" s="792">
        <f>IFERROR(INDEX('Hoja de apoyo v2'!H$17:H$20,MATCH($A507,'Hoja de apoyo v2'!$A$17:$A$20,0)),"")</f>
        <v>378.97014028925349</v>
      </c>
      <c r="U507" s="794" t="str">
        <f t="shared" si="256"/>
        <v/>
      </c>
      <c r="V507" s="795" t="str">
        <f t="shared" si="257"/>
        <v/>
      </c>
      <c r="W507" s="795" t="str">
        <f t="shared" si="258"/>
        <v/>
      </c>
      <c r="X507" s="843" t="str">
        <f t="shared" si="259"/>
        <v/>
      </c>
      <c r="Y507" s="843" t="str">
        <f t="shared" si="260"/>
        <v/>
      </c>
      <c r="Z507" s="843" t="str">
        <f t="shared" si="261"/>
        <v/>
      </c>
      <c r="AA507" s="843">
        <f t="shared" si="262"/>
        <v>0</v>
      </c>
      <c r="AB507" s="796">
        <f t="shared" si="263"/>
        <v>0</v>
      </c>
      <c r="AC507" s="797">
        <f t="shared" si="264"/>
        <v>0</v>
      </c>
      <c r="AD507" s="797">
        <f t="shared" si="265"/>
        <v>0</v>
      </c>
      <c r="AE507" s="842">
        <f t="shared" si="266"/>
        <v>0</v>
      </c>
      <c r="AF507" s="842">
        <f t="shared" si="267"/>
        <v>0</v>
      </c>
      <c r="AG507" s="842">
        <f t="shared" si="268"/>
        <v>0</v>
      </c>
      <c r="AH507" s="842">
        <f t="shared" si="269"/>
        <v>1</v>
      </c>
      <c r="AI507" s="826" cm="1">
        <f t="array" ref="AI507">SUMPRODUCT(--ISNUMBER($U507:$AA507),$AB$3:$AH$3)</f>
        <v>8.9789113613062493E-2</v>
      </c>
      <c r="AJ507" s="829" t="str">
        <f t="shared" si="270"/>
        <v/>
      </c>
      <c r="AK507" s="827" t="str">
        <f t="shared" si="271"/>
        <v>Ruta inactiva</v>
      </c>
      <c r="AL507" s="784" t="str">
        <f t="shared" si="272"/>
        <v>n/a</v>
      </c>
      <c r="AM507" s="799">
        <f>IF(ISNUMBER('Base de datos Rutas'!W505),'Base de datos Rutas'!W505,"")</f>
        <v>2866.2444123371242</v>
      </c>
      <c r="AN507" s="787">
        <f>IFERROR(SUMIFS('Base de datos Rutas'!$W$6:$W$794,'Base de datos Rutas'!$C$6:$C$794,$C507)/'Base de datos Rutas'!I505,"")</f>
        <v>2866.2444123371242</v>
      </c>
      <c r="AO507" s="800">
        <f>IFERROR('Base de datos Rutas'!X505*AN507/AM507,"")</f>
        <v>0.40462988446513853</v>
      </c>
      <c r="AP507" s="800">
        <f t="shared" si="273"/>
        <v>0.59537011553486141</v>
      </c>
      <c r="AQ507" s="789">
        <f>IFERROR(INDEX('Hoja de apoyo v2'!$J$17:$J$20,MATCH($A507,'Hoja de apoyo v2'!$A$17:$A$20,0)),"")</f>
        <v>0.64320274048480885</v>
      </c>
      <c r="AR507" s="789">
        <f t="shared" si="274"/>
        <v>-4.7832624949947444E-2</v>
      </c>
      <c r="AS507" s="784" t="str">
        <f t="shared" si="275"/>
        <v>No</v>
      </c>
      <c r="AT507" s="801" t="str">
        <f>IF(ISNUMBER('Base de datos Rutas'!CK505),'Base de datos Rutas'!CK505,"")</f>
        <v/>
      </c>
      <c r="AU507" s="802" t="str">
        <f>IF(ISNUMBER('Base de datos Rutas'!CL505),'Base de datos Rutas'!CL505,"")</f>
        <v/>
      </c>
      <c r="AV507" s="802">
        <f>IF(ISNUMBER('Base de datos Rutas'!CM505),'Base de datos Rutas'!CM505,"")</f>
        <v>0</v>
      </c>
      <c r="AW507" s="802" t="str">
        <f>IF(ISNUMBER('Base de datos Rutas'!CN505),'Base de datos Rutas'!CN505,"")</f>
        <v/>
      </c>
      <c r="AX507" s="802" t="str">
        <f>IF(ISNUMBER('Base de datos Rutas'!CO505),'Base de datos Rutas'!CO505,"")</f>
        <v/>
      </c>
      <c r="AY507" s="802">
        <f>IF(ISNUMBER('Base de datos Rutas'!CP505),'Base de datos Rutas'!CP505,"")</f>
        <v>0</v>
      </c>
      <c r="AZ507" s="802" t="str">
        <f>IF(ISNUMBER('Base de datos Rutas'!CQ505),'Base de datos Rutas'!CQ505,"")</f>
        <v/>
      </c>
      <c r="BA507" s="802" t="str">
        <f>IF(ISNUMBER('Base de datos Rutas'!CR505),'Base de datos Rutas'!CR505,"")</f>
        <v/>
      </c>
      <c r="BB507" s="803">
        <f>IF(ISNUMBER('Base de datos Rutas'!CS505),'Base de datos Rutas'!CS505,"")</f>
        <v>0</v>
      </c>
      <c r="BC507" s="804" t="str">
        <f t="shared" si="285"/>
        <v/>
      </c>
      <c r="BD507" s="805" t="str">
        <f t="shared" si="286"/>
        <v>N/D</v>
      </c>
      <c r="BE507" s="806" t="str">
        <f t="shared" si="287"/>
        <v/>
      </c>
      <c r="BF507" s="890" t="str">
        <f>IF(ISNUMBER('Base de datos Rutas'!CX505),'Base de datos Rutas'!CX505/100,"")</f>
        <v/>
      </c>
      <c r="BG507" s="891" t="str">
        <f>IF(ISNUMBER('Base de datos Rutas'!CZ505),'Base de datos Rutas'!CZ505/100,"")</f>
        <v/>
      </c>
      <c r="BH507" s="892" t="str">
        <f>IF(ISNUMBER('Base de datos Rutas'!DA505),'Base de datos Rutas'!DA505,"")</f>
        <v/>
      </c>
      <c r="BI507" s="893" t="str">
        <f>IF(ISNUMBER('Base de datos Rutas'!DC505),'Base de datos Rutas'!DC505,"")</f>
        <v/>
      </c>
      <c r="BJ507" s="805" t="str">
        <f t="shared" si="288"/>
        <v>Sin dato</v>
      </c>
      <c r="BK507" s="783">
        <f t="shared" si="276"/>
        <v>0</v>
      </c>
      <c r="BL507" s="797">
        <f t="shared" si="277"/>
        <v>0</v>
      </c>
      <c r="BM507" s="797">
        <f t="shared" si="278"/>
        <v>0</v>
      </c>
      <c r="BN507" s="797">
        <f t="shared" si="279"/>
        <v>0</v>
      </c>
      <c r="BO507" s="798" cm="1">
        <f t="array" ref="BO507">SUMPRODUCT(--ISNUMBER($BF507:$BI507),$BK$3:$BN$3)</f>
        <v>0</v>
      </c>
      <c r="BP507" s="831" t="str">
        <f t="shared" si="289"/>
        <v/>
      </c>
      <c r="BQ507" s="834" t="str">
        <f t="shared" si="290"/>
        <v>Sin datos</v>
      </c>
      <c r="BR507" s="836" t="str">
        <f t="shared" si="280"/>
        <v/>
      </c>
      <c r="BS507" s="836" t="str">
        <f t="shared" si="281"/>
        <v/>
      </c>
      <c r="BT507" s="837" t="str">
        <f t="shared" si="282"/>
        <v>Sin datos</v>
      </c>
      <c r="BU507" s="807" t="str">
        <f t="shared" si="291"/>
        <v>No evaluable</v>
      </c>
      <c r="BV507" s="807" t="str">
        <f t="shared" si="283"/>
        <v>No evaluable</v>
      </c>
      <c r="BW507" s="808" t="str">
        <f t="shared" si="284"/>
        <v>Sin datos</v>
      </c>
    </row>
    <row r="508" spans="1:75">
      <c r="A508" s="780" t="str">
        <f>'Base de datos Rutas'!A506</f>
        <v>Occidente</v>
      </c>
      <c r="B508" s="781" t="str">
        <f>'Base de datos Rutas'!B506</f>
        <v>Zapopan</v>
      </c>
      <c r="C508" s="781" t="str">
        <f>'Base de datos Rutas'!C506</f>
        <v>Suc. Huentitán</v>
      </c>
      <c r="D508" s="782">
        <f>IF(ISNUMBER('Base de datos Rutas'!D506),'Base de datos Rutas'!D506,"Sin código")</f>
        <v>819404</v>
      </c>
      <c r="E508" s="783" t="str">
        <f>'Base de datos Rutas'!F506</f>
        <v>Activa</v>
      </c>
      <c r="F508" s="784" t="str">
        <f>'Base de datos Rutas'!H506</f>
        <v>Sí</v>
      </c>
      <c r="G508" s="785">
        <f>IF(ISNUMBER('Base de datos Rutas'!BE506),'Base de datos Rutas'!BE506,"")</f>
        <v>88.047619047619094</v>
      </c>
      <c r="H508" s="786">
        <f>IF(ISNUMBER('Base de datos Rutas'!BH506),'Base de datos Rutas'!BH506,"")</f>
        <v>6.4899945916711702E-3</v>
      </c>
      <c r="I508" s="788">
        <f>IFERROR(IF(OR(NOT(ISNUMBER('Base de datos Rutas'!O506)),N('Base de datos Rutas'!BK506)=0),"",'Base de datos Rutas'!O506/('Base de datos Rutas'!L506/'Base de datos Rutas'!BK506)),"")</f>
        <v>406.07692307692264</v>
      </c>
      <c r="J508" s="788">
        <f>IFERROR(IF(OR(NOT(ISNUMBER('Base de datos Rutas'!N506)),N('Base de datos Rutas'!BK506)=0),"",'Base de datos Rutas'!N506/('Base de datos Rutas'!L506/'Base de datos Rutas'!BK506)),"")</f>
        <v>73.846153846153769</v>
      </c>
      <c r="K508" s="788">
        <f>IFERROR(IF(OR(NOT(ISNUMBER('Base de datos Rutas'!J506)),N('Base de datos Rutas'!BK506)=0),"",'Base de datos Rutas'!J506/('Base de datos Rutas'!L506/'Base de datos Rutas'!BK506)),"")</f>
        <v>6.0513025641025573</v>
      </c>
      <c r="L508" s="788">
        <f>IFERROR(IF(OR(NOT(ISNUMBER('Base de datos Rutas'!K506)),N('Base de datos Rutas'!BK506)=0),"",'Base de datos Rutas'!K506/('Base de datos Rutas'!L506/'Base de datos Rutas'!BK506)),"")</f>
        <v>5.5677179487179425</v>
      </c>
      <c r="M508" s="787">
        <f>IF(ISNUMBER('Base de datos Rutas'!AX506),'Base de datos Rutas'!AX506,"")</f>
        <v>603.73741935483895</v>
      </c>
      <c r="N508" s="790">
        <f>IFERROR(INDEX('Hoja de apoyo v2'!B$17:B$20,MATCH($A508,'Hoja de apoyo v2'!$A$17:$A$20,0)),"")</f>
        <v>89.41621024641401</v>
      </c>
      <c r="O508" s="791">
        <f>IFERROR(INDEX('Hoja de apoyo v2'!C$17:C$20,MATCH($A508,'Hoja de apoyo v2'!$A$17:$A$20,0)),"")</f>
        <v>0.54706375874806301</v>
      </c>
      <c r="P508" s="793">
        <f>IFERROR(INDEX('Hoja de apoyo v2'!D$17:D$20,MATCH($A508,'Hoja de apoyo v2'!$A$17:$A$20,0)),"")</f>
        <v>11095.153935793827</v>
      </c>
      <c r="Q508" s="793">
        <f>IFERROR(INDEX('Hoja de apoyo v2'!E$17:E$20,MATCH($A508,'Hoja de apoyo v2'!$A$17:$A$20,0)),"")</f>
        <v>6982.3202019701848</v>
      </c>
      <c r="R508" s="793">
        <f>IFERROR(INDEX('Hoja de apoyo v2'!F$17:F$20,MATCH($A508,'Hoja de apoyo v2'!$A$17:$A$20,0)),"")</f>
        <v>448.09513474485743</v>
      </c>
      <c r="S508" s="793">
        <f>IFERROR(INDEX('Hoja de apoyo v2'!G$17:G$20,MATCH($A508,'Hoja de apoyo v2'!$A$17:$A$20,0)),"")</f>
        <v>83.406300904207839</v>
      </c>
      <c r="T508" s="792">
        <f>IFERROR(INDEX('Hoja de apoyo v2'!H$17:H$20,MATCH($A508,'Hoja de apoyo v2'!$A$17:$A$20,0)),"")</f>
        <v>378.97014028925349</v>
      </c>
      <c r="U508" s="794">
        <f t="shared" si="256"/>
        <v>0.98469414891300644</v>
      </c>
      <c r="V508" s="795">
        <f t="shared" si="257"/>
        <v>1.1863323950618305E-2</v>
      </c>
      <c r="W508" s="795">
        <f t="shared" si="258"/>
        <v>3.6599485273195446E-2</v>
      </c>
      <c r="X508" s="843">
        <f t="shared" si="259"/>
        <v>1.0576162609288066E-2</v>
      </c>
      <c r="Y508" s="843">
        <f t="shared" si="260"/>
        <v>1.3504504054809992E-2</v>
      </c>
      <c r="Z508" s="843">
        <f t="shared" si="261"/>
        <v>6.6754164713676345E-2</v>
      </c>
      <c r="AA508" s="843">
        <f t="shared" si="262"/>
        <v>1.5931002344776535</v>
      </c>
      <c r="AB508" s="796">
        <f t="shared" si="263"/>
        <v>3</v>
      </c>
      <c r="AC508" s="797">
        <f t="shared" si="264"/>
        <v>1</v>
      </c>
      <c r="AD508" s="797">
        <f t="shared" si="265"/>
        <v>1</v>
      </c>
      <c r="AE508" s="842">
        <f t="shared" si="266"/>
        <v>1</v>
      </c>
      <c r="AF508" s="842">
        <f t="shared" si="267"/>
        <v>1</v>
      </c>
      <c r="AG508" s="842">
        <f t="shared" si="268"/>
        <v>1</v>
      </c>
      <c r="AH508" s="842">
        <f t="shared" si="269"/>
        <v>5</v>
      </c>
      <c r="AI508" s="826" cm="1">
        <f t="array" ref="AI508">SUMPRODUCT(--ISNUMBER($U508:$AA508),$AB$3:$AH$3)</f>
        <v>1</v>
      </c>
      <c r="AJ508" s="829">
        <f t="shared" si="270"/>
        <v>18.046183717579762</v>
      </c>
      <c r="AK508" s="827" t="str">
        <f t="shared" si="271"/>
        <v>Inmadura</v>
      </c>
      <c r="AL508" s="784" t="str">
        <f t="shared" si="272"/>
        <v>Alta</v>
      </c>
      <c r="AM508" s="799">
        <f>IF(ISNUMBER('Base de datos Rutas'!W506),'Base de datos Rutas'!W506,"")</f>
        <v>2866.2444123371242</v>
      </c>
      <c r="AN508" s="787">
        <f>IFERROR(SUMIFS('Base de datos Rutas'!$W$6:$W$794,'Base de datos Rutas'!$C$6:$C$794,$C508)/'Base de datos Rutas'!I506,"")</f>
        <v>2866.2444123371242</v>
      </c>
      <c r="AO508" s="800">
        <f>IFERROR('Base de datos Rutas'!X506*AN508/AM508,"")</f>
        <v>0.40462988446513853</v>
      </c>
      <c r="AP508" s="800">
        <f t="shared" si="273"/>
        <v>0.59537011553486141</v>
      </c>
      <c r="AQ508" s="789">
        <f>IFERROR(INDEX('Hoja de apoyo v2'!$J$17:$J$20,MATCH($A508,'Hoja de apoyo v2'!$A$17:$A$20,0)),"")</f>
        <v>0.64320274048480885</v>
      </c>
      <c r="AR508" s="789">
        <f t="shared" si="274"/>
        <v>-4.7832624949947444E-2</v>
      </c>
      <c r="AS508" s="784" t="str">
        <f t="shared" si="275"/>
        <v>No</v>
      </c>
      <c r="AT508" s="801" t="str">
        <f>IF(ISNUMBER('Base de datos Rutas'!CK506),'Base de datos Rutas'!CK506,"")</f>
        <v/>
      </c>
      <c r="AU508" s="802" t="str">
        <f>IF(ISNUMBER('Base de datos Rutas'!CL506),'Base de datos Rutas'!CL506,"")</f>
        <v/>
      </c>
      <c r="AV508" s="802">
        <f>IF(ISNUMBER('Base de datos Rutas'!CM506),'Base de datos Rutas'!CM506,"")</f>
        <v>0</v>
      </c>
      <c r="AW508" s="802" t="str">
        <f>IF(ISNUMBER('Base de datos Rutas'!CN506),'Base de datos Rutas'!CN506,"")</f>
        <v/>
      </c>
      <c r="AX508" s="802" t="str">
        <f>IF(ISNUMBER('Base de datos Rutas'!CO506),'Base de datos Rutas'!CO506,"")</f>
        <v/>
      </c>
      <c r="AY508" s="802">
        <f>IF(ISNUMBER('Base de datos Rutas'!CP506),'Base de datos Rutas'!CP506,"")</f>
        <v>0</v>
      </c>
      <c r="AZ508" s="802" t="str">
        <f>IF(ISNUMBER('Base de datos Rutas'!CQ506),'Base de datos Rutas'!CQ506,"")</f>
        <v/>
      </c>
      <c r="BA508" s="802" t="str">
        <f>IF(ISNUMBER('Base de datos Rutas'!CR506),'Base de datos Rutas'!CR506,"")</f>
        <v/>
      </c>
      <c r="BB508" s="803">
        <f>IF(ISNUMBER('Base de datos Rutas'!CS506),'Base de datos Rutas'!CS506,"")</f>
        <v>0</v>
      </c>
      <c r="BC508" s="804" t="str">
        <f t="shared" si="285"/>
        <v/>
      </c>
      <c r="BD508" s="805" t="str">
        <f t="shared" si="286"/>
        <v>N/D</v>
      </c>
      <c r="BE508" s="806" t="str">
        <f t="shared" si="287"/>
        <v/>
      </c>
      <c r="BF508" s="890" t="str">
        <f>IF(ISNUMBER('Base de datos Rutas'!CX506),'Base de datos Rutas'!CX506/100,"")</f>
        <v/>
      </c>
      <c r="BG508" s="891" t="str">
        <f>IF(ISNUMBER('Base de datos Rutas'!CZ506),'Base de datos Rutas'!CZ506/100,"")</f>
        <v/>
      </c>
      <c r="BH508" s="892" t="str">
        <f>IF(ISNUMBER('Base de datos Rutas'!DA506),'Base de datos Rutas'!DA506,"")</f>
        <v/>
      </c>
      <c r="BI508" s="893" t="str">
        <f>IF(ISNUMBER('Base de datos Rutas'!DC506),'Base de datos Rutas'!DC506,"")</f>
        <v/>
      </c>
      <c r="BJ508" s="805" t="str">
        <f t="shared" si="288"/>
        <v>Sin dato</v>
      </c>
      <c r="BK508" s="783">
        <f t="shared" si="276"/>
        <v>0</v>
      </c>
      <c r="BL508" s="797">
        <f t="shared" si="277"/>
        <v>0</v>
      </c>
      <c r="BM508" s="797">
        <f t="shared" si="278"/>
        <v>0</v>
      </c>
      <c r="BN508" s="797">
        <f t="shared" si="279"/>
        <v>0</v>
      </c>
      <c r="BO508" s="798" cm="1">
        <f t="array" ref="BO508">SUMPRODUCT(--ISNUMBER($BF508:$BI508),$BK$3:$BN$3)</f>
        <v>0</v>
      </c>
      <c r="BP508" s="831" t="str">
        <f t="shared" si="289"/>
        <v/>
      </c>
      <c r="BQ508" s="834" t="str">
        <f t="shared" si="290"/>
        <v>Sin datos</v>
      </c>
      <c r="BR508" s="836" t="str">
        <f t="shared" si="280"/>
        <v/>
      </c>
      <c r="BS508" s="836" t="str">
        <f t="shared" si="281"/>
        <v/>
      </c>
      <c r="BT508" s="837" t="str">
        <f t="shared" si="282"/>
        <v>Sin datos</v>
      </c>
      <c r="BU508" s="807" t="str">
        <f t="shared" si="291"/>
        <v>Con espacio</v>
      </c>
      <c r="BV508" s="807" t="str">
        <f t="shared" si="283"/>
        <v>Sin datos de zona</v>
      </c>
      <c r="BW508" s="808" t="str">
        <f t="shared" si="284"/>
        <v>Sin datos</v>
      </c>
    </row>
    <row r="509" spans="1:75">
      <c r="A509" s="780" t="str">
        <f>'Base de datos Rutas'!A507</f>
        <v>Occidente</v>
      </c>
      <c r="B509" s="781" t="str">
        <f>'Base de datos Rutas'!B507</f>
        <v>Zapopan</v>
      </c>
      <c r="C509" s="781" t="str">
        <f>'Base de datos Rutas'!C507</f>
        <v>Suc. Huentitán</v>
      </c>
      <c r="D509" s="782">
        <f>IF(ISNUMBER('Base de datos Rutas'!D507),'Base de datos Rutas'!D507,"Sin código")</f>
        <v>819406</v>
      </c>
      <c r="E509" s="783" t="str">
        <f>'Base de datos Rutas'!F507</f>
        <v>Activa</v>
      </c>
      <c r="F509" s="784" t="str">
        <f>'Base de datos Rutas'!H507</f>
        <v>Sí</v>
      </c>
      <c r="G509" s="785">
        <f>IF(ISNUMBER('Base de datos Rutas'!BE507),'Base de datos Rutas'!BE507,"")</f>
        <v>84.488038277512004</v>
      </c>
      <c r="H509" s="786">
        <f>IF(ISNUMBER('Base de datos Rutas'!BH507),'Base de datos Rutas'!BH507,"")</f>
        <v>0.42017782308302198</v>
      </c>
      <c r="I509" s="788">
        <f>IFERROR(IF(OR(NOT(ISNUMBER('Base de datos Rutas'!O507)),N('Base de datos Rutas'!BK507)=0),"",'Base de datos Rutas'!O507/('Base de datos Rutas'!L507/'Base de datos Rutas'!BK507)),"")</f>
        <v>1354.7583732057426</v>
      </c>
      <c r="J509" s="788">
        <f>IFERROR(IF(OR(NOT(ISNUMBER('Base de datos Rutas'!N507)),N('Base de datos Rutas'!BK507)=0),"",'Base de datos Rutas'!N507/('Base de datos Rutas'!L507/'Base de datos Rutas'!BK507)),"")</f>
        <v>4945.9856459330176</v>
      </c>
      <c r="K509" s="788">
        <f>IFERROR(IF(OR(NOT(ISNUMBER('Base de datos Rutas'!J507)),N('Base de datos Rutas'!BK507)=0),"",'Base de datos Rutas'!J507/('Base de datos Rutas'!L507/'Base de datos Rutas'!BK507)),"")</f>
        <v>338.54645933014382</v>
      </c>
      <c r="L509" s="788">
        <f>IFERROR(IF(OR(NOT(ISNUMBER('Base de datos Rutas'!K507)),N('Base de datos Rutas'!BK507)=0),"",'Base de datos Rutas'!K507/('Base de datos Rutas'!L507/'Base de datos Rutas'!BK507)),"")</f>
        <v>10.098613411483262</v>
      </c>
      <c r="M509" s="787">
        <f>IF(ISNUMBER('Base de datos Rutas'!AX507),'Base de datos Rutas'!AX507,"")</f>
        <v>176.29198396118301</v>
      </c>
      <c r="N509" s="790">
        <f>IFERROR(INDEX('Hoja de apoyo v2'!B$17:B$20,MATCH($A509,'Hoja de apoyo v2'!$A$17:$A$20,0)),"")</f>
        <v>89.41621024641401</v>
      </c>
      <c r="O509" s="791">
        <f>IFERROR(INDEX('Hoja de apoyo v2'!C$17:C$20,MATCH($A509,'Hoja de apoyo v2'!$A$17:$A$20,0)),"")</f>
        <v>0.54706375874806301</v>
      </c>
      <c r="P509" s="793">
        <f>IFERROR(INDEX('Hoja de apoyo v2'!D$17:D$20,MATCH($A509,'Hoja de apoyo v2'!$A$17:$A$20,0)),"")</f>
        <v>11095.153935793827</v>
      </c>
      <c r="Q509" s="793">
        <f>IFERROR(INDEX('Hoja de apoyo v2'!E$17:E$20,MATCH($A509,'Hoja de apoyo v2'!$A$17:$A$20,0)),"")</f>
        <v>6982.3202019701848</v>
      </c>
      <c r="R509" s="793">
        <f>IFERROR(INDEX('Hoja de apoyo v2'!F$17:F$20,MATCH($A509,'Hoja de apoyo v2'!$A$17:$A$20,0)),"")</f>
        <v>448.09513474485743</v>
      </c>
      <c r="S509" s="793">
        <f>IFERROR(INDEX('Hoja de apoyo v2'!G$17:G$20,MATCH($A509,'Hoja de apoyo v2'!$A$17:$A$20,0)),"")</f>
        <v>83.406300904207839</v>
      </c>
      <c r="T509" s="792">
        <f>IFERROR(INDEX('Hoja de apoyo v2'!H$17:H$20,MATCH($A509,'Hoja de apoyo v2'!$A$17:$A$20,0)),"")</f>
        <v>378.97014028925349</v>
      </c>
      <c r="U509" s="794">
        <f t="shared" si="256"/>
        <v>0.94488502749869507</v>
      </c>
      <c r="V509" s="795">
        <f t="shared" si="257"/>
        <v>0.76806005947932798</v>
      </c>
      <c r="W509" s="795">
        <f t="shared" si="258"/>
        <v>0.12210361217568934</v>
      </c>
      <c r="X509" s="843">
        <f t="shared" si="259"/>
        <v>0.70835846865593766</v>
      </c>
      <c r="Y509" s="843">
        <f t="shared" si="260"/>
        <v>0.7555236222837145</v>
      </c>
      <c r="Z509" s="843">
        <f t="shared" si="261"/>
        <v>0.12107734430137986</v>
      </c>
      <c r="AA509" s="843">
        <f t="shared" si="262"/>
        <v>0.46518700345791369</v>
      </c>
      <c r="AB509" s="796">
        <f t="shared" si="263"/>
        <v>3</v>
      </c>
      <c r="AC509" s="797">
        <f t="shared" si="264"/>
        <v>3</v>
      </c>
      <c r="AD509" s="797">
        <f t="shared" si="265"/>
        <v>1</v>
      </c>
      <c r="AE509" s="842">
        <f t="shared" si="266"/>
        <v>2</v>
      </c>
      <c r="AF509" s="842">
        <f t="shared" si="267"/>
        <v>3</v>
      </c>
      <c r="AG509" s="842">
        <f t="shared" si="268"/>
        <v>1</v>
      </c>
      <c r="AH509" s="842">
        <f t="shared" si="269"/>
        <v>1</v>
      </c>
      <c r="AI509" s="826" cm="1">
        <f t="array" ref="AI509">SUMPRODUCT(--ISNUMBER($U509:$AA509),$AB$3:$AH$3)</f>
        <v>1</v>
      </c>
      <c r="AJ509" s="829">
        <f t="shared" si="270"/>
        <v>23.09462019835275</v>
      </c>
      <c r="AK509" s="827" t="str">
        <f t="shared" si="271"/>
        <v>Inmadura</v>
      </c>
      <c r="AL509" s="784" t="str">
        <f t="shared" si="272"/>
        <v>Alta</v>
      </c>
      <c r="AM509" s="799">
        <f>IF(ISNUMBER('Base de datos Rutas'!W507),'Base de datos Rutas'!W507,"")</f>
        <v>2866.2444123371242</v>
      </c>
      <c r="AN509" s="787">
        <f>IFERROR(SUMIFS('Base de datos Rutas'!$W$6:$W$794,'Base de datos Rutas'!$C$6:$C$794,$C509)/'Base de datos Rutas'!I507,"")</f>
        <v>2866.2444123371242</v>
      </c>
      <c r="AO509" s="800">
        <f>IFERROR('Base de datos Rutas'!X507*AN509/AM509,"")</f>
        <v>0.40462988446513853</v>
      </c>
      <c r="AP509" s="800">
        <f t="shared" si="273"/>
        <v>0.59537011553486141</v>
      </c>
      <c r="AQ509" s="789">
        <f>IFERROR(INDEX('Hoja de apoyo v2'!$J$17:$J$20,MATCH($A509,'Hoja de apoyo v2'!$A$17:$A$20,0)),"")</f>
        <v>0.64320274048480885</v>
      </c>
      <c r="AR509" s="789">
        <f t="shared" si="274"/>
        <v>-4.7832624949947444E-2</v>
      </c>
      <c r="AS509" s="784" t="str">
        <f t="shared" si="275"/>
        <v>No</v>
      </c>
      <c r="AT509" s="801">
        <f>IF(ISNUMBER('Base de datos Rutas'!CK507),'Base de datos Rutas'!CK507,"")</f>
        <v>277</v>
      </c>
      <c r="AU509" s="802">
        <f>IF(ISNUMBER('Base de datos Rutas'!CL507),'Base de datos Rutas'!CL507,"")</f>
        <v>277</v>
      </c>
      <c r="AV509" s="802">
        <f>IF(ISNUMBER('Base de datos Rutas'!CM507),'Base de datos Rutas'!CM507,"")</f>
        <v>0</v>
      </c>
      <c r="AW509" s="802" t="str">
        <f>IF(ISNUMBER('Base de datos Rutas'!CN507),'Base de datos Rutas'!CN507,"")</f>
        <v/>
      </c>
      <c r="AX509" s="802">
        <f>IF(ISNUMBER('Base de datos Rutas'!CO507),'Base de datos Rutas'!CO507,"")</f>
        <v>9.4499999999999993</v>
      </c>
      <c r="AY509" s="802">
        <f>IF(ISNUMBER('Base de datos Rutas'!CP507),'Base de datos Rutas'!CP507,"")</f>
        <v>9.4499999999999993</v>
      </c>
      <c r="AZ509" s="802" t="str">
        <f>IF(ISNUMBER('Base de datos Rutas'!CQ507),'Base de datos Rutas'!CQ507,"")</f>
        <v/>
      </c>
      <c r="BA509" s="802" t="str">
        <f>IF(ISNUMBER('Base de datos Rutas'!CR507),'Base de datos Rutas'!CR507,"")</f>
        <v/>
      </c>
      <c r="BB509" s="803">
        <f>IF(ISNUMBER('Base de datos Rutas'!CS507),'Base de datos Rutas'!CS507,"")</f>
        <v>0</v>
      </c>
      <c r="BC509" s="804" t="str">
        <f t="shared" si="285"/>
        <v/>
      </c>
      <c r="BD509" s="805" t="str">
        <f t="shared" si="286"/>
        <v>N/D</v>
      </c>
      <c r="BE509" s="806" t="str">
        <f t="shared" si="287"/>
        <v/>
      </c>
      <c r="BF509" s="890">
        <f>IF(ISNUMBER('Base de datos Rutas'!CX507),'Base de datos Rutas'!CX507/100,"")</f>
        <v>0</v>
      </c>
      <c r="BG509" s="891">
        <f>IF(ISNUMBER('Base de datos Rutas'!CZ507),'Base de datos Rutas'!CZ507/100,"")</f>
        <v>0</v>
      </c>
      <c r="BH509" s="892">
        <f>IF(ISNUMBER('Base de datos Rutas'!DA507),'Base de datos Rutas'!DA507,"")</f>
        <v>0</v>
      </c>
      <c r="BI509" s="893">
        <f>IF(ISNUMBER('Base de datos Rutas'!DC507),'Base de datos Rutas'!DC507,"")</f>
        <v>0</v>
      </c>
      <c r="BJ509" s="805" t="str">
        <f t="shared" si="288"/>
        <v>Ruta (completo)</v>
      </c>
      <c r="BK509" s="783">
        <f t="shared" si="276"/>
        <v>1</v>
      </c>
      <c r="BL509" s="797">
        <f t="shared" si="277"/>
        <v>1</v>
      </c>
      <c r="BM509" s="797">
        <f t="shared" si="278"/>
        <v>1</v>
      </c>
      <c r="BN509" s="797">
        <f t="shared" si="279"/>
        <v>1</v>
      </c>
      <c r="BO509" s="798" cm="1">
        <f t="array" ref="BO509">SUMPRODUCT(--ISNUMBER($BF509:$BI509),$BK$3:$BN$3)</f>
        <v>1</v>
      </c>
      <c r="BP509" s="831">
        <f t="shared" si="289"/>
        <v>0</v>
      </c>
      <c r="BQ509" s="834" t="str">
        <f t="shared" si="290"/>
        <v>Bajo</v>
      </c>
      <c r="BR509" s="836" t="str">
        <f t="shared" si="280"/>
        <v/>
      </c>
      <c r="BS509" s="836">
        <f t="shared" si="281"/>
        <v>0</v>
      </c>
      <c r="BT509" s="837" t="str">
        <f t="shared" si="282"/>
        <v>Sin datos</v>
      </c>
      <c r="BU509" s="807" t="str">
        <f t="shared" si="291"/>
        <v>Con espacio</v>
      </c>
      <c r="BV509" s="807" t="str">
        <f t="shared" si="283"/>
        <v>Zona de bajo potencial</v>
      </c>
      <c r="BW509" s="808" t="str">
        <f t="shared" si="284"/>
        <v>Sin datos</v>
      </c>
    </row>
    <row r="510" spans="1:75">
      <c r="A510" s="780" t="str">
        <f>'Base de datos Rutas'!A508</f>
        <v>Occidente</v>
      </c>
      <c r="B510" s="781" t="str">
        <f>'Base de datos Rutas'!B508</f>
        <v>Zapopan</v>
      </c>
      <c r="C510" s="781" t="str">
        <f>'Base de datos Rutas'!C508</f>
        <v>Suc. Huentitán</v>
      </c>
      <c r="D510" s="782">
        <f>IF(ISNUMBER('Base de datos Rutas'!D508),'Base de datos Rutas'!D508,"Sin código")</f>
        <v>819407</v>
      </c>
      <c r="E510" s="783" t="str">
        <f>'Base de datos Rutas'!F508</f>
        <v>Activa</v>
      </c>
      <c r="F510" s="784" t="str">
        <f>'Base de datos Rutas'!H508</f>
        <v>Sí</v>
      </c>
      <c r="G510" s="785">
        <f>IF(ISNUMBER('Base de datos Rutas'!BE508),'Base de datos Rutas'!BE508,"")</f>
        <v>111.571428571429</v>
      </c>
      <c r="H510" s="786">
        <f>IF(ISNUMBER('Base de datos Rutas'!BH508),'Base de datos Rutas'!BH508,"")</f>
        <v>4.2253521126760597E-2</v>
      </c>
      <c r="I510" s="788">
        <f>IFERROR(IF(OR(NOT(ISNUMBER('Base de datos Rutas'!O508)),N('Base de datos Rutas'!BK508)=0),"",'Base de datos Rutas'!O508/('Base de datos Rutas'!L508/'Base de datos Rutas'!BK508)),"")</f>
        <v>560.85714285714346</v>
      </c>
      <c r="J510" s="788">
        <f>IFERROR(IF(OR(NOT(ISNUMBER('Base de datos Rutas'!N508)),N('Base de datos Rutas'!BK508)=0),"",'Base de datos Rutas'!N508/('Base de datos Rutas'!L508/'Base de datos Rutas'!BK508)),"")</f>
        <v>686.60714285714357</v>
      </c>
      <c r="K510" s="788">
        <f>IFERROR(IF(OR(NOT(ISNUMBER('Base de datos Rutas'!J508)),N('Base de datos Rutas'!BK508)=0),"",'Base de datos Rutas'!J508/('Base de datos Rutas'!L508/'Base de datos Rutas'!BK508)),"")</f>
        <v>49.942600000000056</v>
      </c>
      <c r="L510" s="788">
        <f>IFERROR(IF(OR(NOT(ISNUMBER('Base de datos Rutas'!K508)),N('Base de datos Rutas'!BK508)=0),"",'Base de datos Rutas'!K508/('Base de datos Rutas'!L508/'Base de datos Rutas'!BK508)),"")</f>
        <v>5.594844642857149</v>
      </c>
      <c r="M510" s="787">
        <f>IF(ISNUMBER('Base de datos Rutas'!AX508),'Base de datos Rutas'!AX508,"")</f>
        <v>329.52141509434</v>
      </c>
      <c r="N510" s="790">
        <f>IFERROR(INDEX('Hoja de apoyo v2'!B$17:B$20,MATCH($A510,'Hoja de apoyo v2'!$A$17:$A$20,0)),"")</f>
        <v>89.41621024641401</v>
      </c>
      <c r="O510" s="791">
        <f>IFERROR(INDEX('Hoja de apoyo v2'!C$17:C$20,MATCH($A510,'Hoja de apoyo v2'!$A$17:$A$20,0)),"")</f>
        <v>0.54706375874806301</v>
      </c>
      <c r="P510" s="793">
        <f>IFERROR(INDEX('Hoja de apoyo v2'!D$17:D$20,MATCH($A510,'Hoja de apoyo v2'!$A$17:$A$20,0)),"")</f>
        <v>11095.153935793827</v>
      </c>
      <c r="Q510" s="793">
        <f>IFERROR(INDEX('Hoja de apoyo v2'!E$17:E$20,MATCH($A510,'Hoja de apoyo v2'!$A$17:$A$20,0)),"")</f>
        <v>6982.3202019701848</v>
      </c>
      <c r="R510" s="793">
        <f>IFERROR(INDEX('Hoja de apoyo v2'!F$17:F$20,MATCH($A510,'Hoja de apoyo v2'!$A$17:$A$20,0)),"")</f>
        <v>448.09513474485743</v>
      </c>
      <c r="S510" s="793">
        <f>IFERROR(INDEX('Hoja de apoyo v2'!G$17:G$20,MATCH($A510,'Hoja de apoyo v2'!$A$17:$A$20,0)),"")</f>
        <v>83.406300904207839</v>
      </c>
      <c r="T510" s="792">
        <f>IFERROR(INDEX('Hoja de apoyo v2'!H$17:H$20,MATCH($A510,'Hoja de apoyo v2'!$A$17:$A$20,0)),"")</f>
        <v>378.97014028925349</v>
      </c>
      <c r="U510" s="794">
        <f t="shared" si="256"/>
        <v>1.2477763065998819</v>
      </c>
      <c r="V510" s="795">
        <f t="shared" si="257"/>
        <v>7.7236922481314349E-2</v>
      </c>
      <c r="W510" s="795">
        <f t="shared" si="258"/>
        <v>5.0549739652351718E-2</v>
      </c>
      <c r="X510" s="843">
        <f t="shared" si="259"/>
        <v>9.8335098218985326E-2</v>
      </c>
      <c r="Y510" s="843">
        <f t="shared" si="260"/>
        <v>0.1114553498297567</v>
      </c>
      <c r="Z510" s="843">
        <f t="shared" si="261"/>
        <v>6.7079400263570371E-2</v>
      </c>
      <c r="AA510" s="843">
        <f t="shared" si="262"/>
        <v>0.8695181494848877</v>
      </c>
      <c r="AB510" s="796">
        <f t="shared" si="263"/>
        <v>4</v>
      </c>
      <c r="AC510" s="797">
        <f t="shared" si="264"/>
        <v>1</v>
      </c>
      <c r="AD510" s="797">
        <f t="shared" si="265"/>
        <v>1</v>
      </c>
      <c r="AE510" s="842">
        <f t="shared" si="266"/>
        <v>1</v>
      </c>
      <c r="AF510" s="842">
        <f t="shared" si="267"/>
        <v>1</v>
      </c>
      <c r="AG510" s="842">
        <f t="shared" si="268"/>
        <v>1</v>
      </c>
      <c r="AH510" s="842">
        <f t="shared" si="269"/>
        <v>3</v>
      </c>
      <c r="AI510" s="826" cm="1">
        <f t="array" ref="AI510">SUMPRODUCT(--ISNUMBER($U510:$AA510),$AB$3:$AH$3)</f>
        <v>1</v>
      </c>
      <c r="AJ510" s="829">
        <f t="shared" si="270"/>
        <v>18.090364215063381</v>
      </c>
      <c r="AK510" s="827" t="str">
        <f t="shared" si="271"/>
        <v>Inmadura</v>
      </c>
      <c r="AL510" s="784" t="str">
        <f t="shared" si="272"/>
        <v>Alta</v>
      </c>
      <c r="AM510" s="799">
        <f>IF(ISNUMBER('Base de datos Rutas'!W508),'Base de datos Rutas'!W508,"")</f>
        <v>2866.2444123371242</v>
      </c>
      <c r="AN510" s="787">
        <f>IFERROR(SUMIFS('Base de datos Rutas'!$W$6:$W$794,'Base de datos Rutas'!$C$6:$C$794,$C510)/'Base de datos Rutas'!I508,"")</f>
        <v>2866.2444123371242</v>
      </c>
      <c r="AO510" s="800">
        <f>IFERROR('Base de datos Rutas'!X508*AN510/AM510,"")</f>
        <v>0.40462988446513853</v>
      </c>
      <c r="AP510" s="800">
        <f t="shared" si="273"/>
        <v>0.59537011553486141</v>
      </c>
      <c r="AQ510" s="789">
        <f>IFERROR(INDEX('Hoja de apoyo v2'!$J$17:$J$20,MATCH($A510,'Hoja de apoyo v2'!$A$17:$A$20,0)),"")</f>
        <v>0.64320274048480885</v>
      </c>
      <c r="AR510" s="789">
        <f t="shared" si="274"/>
        <v>-4.7832624949947444E-2</v>
      </c>
      <c r="AS510" s="784" t="str">
        <f t="shared" si="275"/>
        <v>No</v>
      </c>
      <c r="AT510" s="801" t="str">
        <f>IF(ISNUMBER('Base de datos Rutas'!CK508),'Base de datos Rutas'!CK508,"")</f>
        <v/>
      </c>
      <c r="AU510" s="802" t="str">
        <f>IF(ISNUMBER('Base de datos Rutas'!CL508),'Base de datos Rutas'!CL508,"")</f>
        <v/>
      </c>
      <c r="AV510" s="802">
        <f>IF(ISNUMBER('Base de datos Rutas'!CM508),'Base de datos Rutas'!CM508,"")</f>
        <v>0</v>
      </c>
      <c r="AW510" s="802" t="str">
        <f>IF(ISNUMBER('Base de datos Rutas'!CN508),'Base de datos Rutas'!CN508,"")</f>
        <v/>
      </c>
      <c r="AX510" s="802" t="str">
        <f>IF(ISNUMBER('Base de datos Rutas'!CO508),'Base de datos Rutas'!CO508,"")</f>
        <v/>
      </c>
      <c r="AY510" s="802">
        <f>IF(ISNUMBER('Base de datos Rutas'!CP508),'Base de datos Rutas'!CP508,"")</f>
        <v>0</v>
      </c>
      <c r="AZ510" s="802" t="str">
        <f>IF(ISNUMBER('Base de datos Rutas'!CQ508),'Base de datos Rutas'!CQ508,"")</f>
        <v/>
      </c>
      <c r="BA510" s="802" t="str">
        <f>IF(ISNUMBER('Base de datos Rutas'!CR508),'Base de datos Rutas'!CR508,"")</f>
        <v/>
      </c>
      <c r="BB510" s="803">
        <f>IF(ISNUMBER('Base de datos Rutas'!CS508),'Base de datos Rutas'!CS508,"")</f>
        <v>0</v>
      </c>
      <c r="BC510" s="804" t="str">
        <f t="shared" si="285"/>
        <v/>
      </c>
      <c r="BD510" s="805" t="str">
        <f t="shared" si="286"/>
        <v>N/D</v>
      </c>
      <c r="BE510" s="806" t="str">
        <f t="shared" si="287"/>
        <v/>
      </c>
      <c r="BF510" s="890" t="str">
        <f>IF(ISNUMBER('Base de datos Rutas'!CX508),'Base de datos Rutas'!CX508/100,"")</f>
        <v/>
      </c>
      <c r="BG510" s="891" t="str">
        <f>IF(ISNUMBER('Base de datos Rutas'!CZ508),'Base de datos Rutas'!CZ508/100,"")</f>
        <v/>
      </c>
      <c r="BH510" s="892" t="str">
        <f>IF(ISNUMBER('Base de datos Rutas'!DA508),'Base de datos Rutas'!DA508,"")</f>
        <v/>
      </c>
      <c r="BI510" s="893" t="str">
        <f>IF(ISNUMBER('Base de datos Rutas'!DC508),'Base de datos Rutas'!DC508,"")</f>
        <v/>
      </c>
      <c r="BJ510" s="805" t="str">
        <f t="shared" si="288"/>
        <v>Sin dato</v>
      </c>
      <c r="BK510" s="783">
        <f t="shared" si="276"/>
        <v>0</v>
      </c>
      <c r="BL510" s="797">
        <f t="shared" si="277"/>
        <v>0</v>
      </c>
      <c r="BM510" s="797">
        <f t="shared" si="278"/>
        <v>0</v>
      </c>
      <c r="BN510" s="797">
        <f t="shared" si="279"/>
        <v>0</v>
      </c>
      <c r="BO510" s="798" cm="1">
        <f t="array" ref="BO510">SUMPRODUCT(--ISNUMBER($BF510:$BI510),$BK$3:$BN$3)</f>
        <v>0</v>
      </c>
      <c r="BP510" s="831" t="str">
        <f t="shared" si="289"/>
        <v/>
      </c>
      <c r="BQ510" s="834" t="str">
        <f t="shared" si="290"/>
        <v>Sin datos</v>
      </c>
      <c r="BR510" s="836" t="str">
        <f t="shared" si="280"/>
        <v/>
      </c>
      <c r="BS510" s="836" t="str">
        <f t="shared" si="281"/>
        <v/>
      </c>
      <c r="BT510" s="837" t="str">
        <f t="shared" si="282"/>
        <v>Sin datos</v>
      </c>
      <c r="BU510" s="807" t="str">
        <f t="shared" si="291"/>
        <v>Con espacio</v>
      </c>
      <c r="BV510" s="807" t="str">
        <f t="shared" si="283"/>
        <v>Sin datos de zona</v>
      </c>
      <c r="BW510" s="808" t="str">
        <f t="shared" si="284"/>
        <v>Sin datos</v>
      </c>
    </row>
    <row r="511" spans="1:75">
      <c r="A511" s="780" t="str">
        <f>'Base de datos Rutas'!A509</f>
        <v>Occidente</v>
      </c>
      <c r="B511" s="781" t="str">
        <f>'Base de datos Rutas'!B509</f>
        <v>Zapopan</v>
      </c>
      <c r="C511" s="781" t="str">
        <f>'Base de datos Rutas'!C509</f>
        <v>Suc. Huentitán</v>
      </c>
      <c r="D511" s="782">
        <f>IF(ISNUMBER('Base de datos Rutas'!D509),'Base de datos Rutas'!D509,"Sin código")</f>
        <v>819408</v>
      </c>
      <c r="E511" s="783" t="str">
        <f>'Base de datos Rutas'!F509</f>
        <v>Inactiva</v>
      </c>
      <c r="F511" s="784" t="str">
        <f>'Base de datos Rutas'!H509</f>
        <v>No</v>
      </c>
      <c r="G511" s="785" t="str">
        <f>IF(ISNUMBER('Base de datos Rutas'!BE509),'Base de datos Rutas'!BE509,"")</f>
        <v/>
      </c>
      <c r="H511" s="786" t="str">
        <f>IF(ISNUMBER('Base de datos Rutas'!BH509),'Base de datos Rutas'!BH509,"")</f>
        <v/>
      </c>
      <c r="I511" s="788" t="str">
        <f>IFERROR(IF(OR(NOT(ISNUMBER('Base de datos Rutas'!O509)),N('Base de datos Rutas'!BK509)=0),"",'Base de datos Rutas'!O509/('Base de datos Rutas'!L509/'Base de datos Rutas'!BK509)),"")</f>
        <v/>
      </c>
      <c r="J511" s="788" t="str">
        <f>IFERROR(IF(OR(NOT(ISNUMBER('Base de datos Rutas'!N509)),N('Base de datos Rutas'!BK509)=0),"",'Base de datos Rutas'!N509/('Base de datos Rutas'!L509/'Base de datos Rutas'!BK509)),"")</f>
        <v/>
      </c>
      <c r="K511" s="788" t="str">
        <f>IFERROR(IF(OR(NOT(ISNUMBER('Base de datos Rutas'!J509)),N('Base de datos Rutas'!BK509)=0),"",'Base de datos Rutas'!J509/('Base de datos Rutas'!L509/'Base de datos Rutas'!BK509)),"")</f>
        <v/>
      </c>
      <c r="L511" s="788" t="str">
        <f>IFERROR(IF(OR(NOT(ISNUMBER('Base de datos Rutas'!K509)),N('Base de datos Rutas'!BK509)=0),"",'Base de datos Rutas'!K509/('Base de datos Rutas'!L509/'Base de datos Rutas'!BK509)),"")</f>
        <v/>
      </c>
      <c r="M511" s="787">
        <f>IF(ISNUMBER('Base de datos Rutas'!AX509),'Base de datos Rutas'!AX509,"")</f>
        <v>648.105217391304</v>
      </c>
      <c r="N511" s="790">
        <f>IFERROR(INDEX('Hoja de apoyo v2'!B$17:B$20,MATCH($A511,'Hoja de apoyo v2'!$A$17:$A$20,0)),"")</f>
        <v>89.41621024641401</v>
      </c>
      <c r="O511" s="791">
        <f>IFERROR(INDEX('Hoja de apoyo v2'!C$17:C$20,MATCH($A511,'Hoja de apoyo v2'!$A$17:$A$20,0)),"")</f>
        <v>0.54706375874806301</v>
      </c>
      <c r="P511" s="793">
        <f>IFERROR(INDEX('Hoja de apoyo v2'!D$17:D$20,MATCH($A511,'Hoja de apoyo v2'!$A$17:$A$20,0)),"")</f>
        <v>11095.153935793827</v>
      </c>
      <c r="Q511" s="793">
        <f>IFERROR(INDEX('Hoja de apoyo v2'!E$17:E$20,MATCH($A511,'Hoja de apoyo v2'!$A$17:$A$20,0)),"")</f>
        <v>6982.3202019701848</v>
      </c>
      <c r="R511" s="793">
        <f>IFERROR(INDEX('Hoja de apoyo v2'!F$17:F$20,MATCH($A511,'Hoja de apoyo v2'!$A$17:$A$20,0)),"")</f>
        <v>448.09513474485743</v>
      </c>
      <c r="S511" s="793">
        <f>IFERROR(INDEX('Hoja de apoyo v2'!G$17:G$20,MATCH($A511,'Hoja de apoyo v2'!$A$17:$A$20,0)),"")</f>
        <v>83.406300904207839</v>
      </c>
      <c r="T511" s="792">
        <f>IFERROR(INDEX('Hoja de apoyo v2'!H$17:H$20,MATCH($A511,'Hoja de apoyo v2'!$A$17:$A$20,0)),"")</f>
        <v>378.97014028925349</v>
      </c>
      <c r="U511" s="794" t="str">
        <f t="shared" si="256"/>
        <v/>
      </c>
      <c r="V511" s="795" t="str">
        <f t="shared" si="257"/>
        <v/>
      </c>
      <c r="W511" s="795" t="str">
        <f t="shared" si="258"/>
        <v/>
      </c>
      <c r="X511" s="843" t="str">
        <f t="shared" si="259"/>
        <v/>
      </c>
      <c r="Y511" s="843" t="str">
        <f t="shared" si="260"/>
        <v/>
      </c>
      <c r="Z511" s="843" t="str">
        <f t="shared" si="261"/>
        <v/>
      </c>
      <c r="AA511" s="843">
        <f t="shared" si="262"/>
        <v>1.7101748884401022</v>
      </c>
      <c r="AB511" s="796">
        <f t="shared" si="263"/>
        <v>0</v>
      </c>
      <c r="AC511" s="797">
        <f t="shared" si="264"/>
        <v>0</v>
      </c>
      <c r="AD511" s="797">
        <f t="shared" si="265"/>
        <v>0</v>
      </c>
      <c r="AE511" s="842">
        <f t="shared" si="266"/>
        <v>0</v>
      </c>
      <c r="AF511" s="842">
        <f t="shared" si="267"/>
        <v>0</v>
      </c>
      <c r="AG511" s="842">
        <f t="shared" si="268"/>
        <v>0</v>
      </c>
      <c r="AH511" s="842">
        <f t="shared" si="269"/>
        <v>5</v>
      </c>
      <c r="AI511" s="826" cm="1">
        <f t="array" ref="AI511">SUMPRODUCT(--ISNUMBER($U511:$AA511),$AB$3:$AH$3)</f>
        <v>8.9789113613062493E-2</v>
      </c>
      <c r="AJ511" s="829" t="str">
        <f t="shared" si="270"/>
        <v/>
      </c>
      <c r="AK511" s="827" t="str">
        <f t="shared" si="271"/>
        <v>Ruta inactiva</v>
      </c>
      <c r="AL511" s="784" t="str">
        <f t="shared" si="272"/>
        <v>n/a</v>
      </c>
      <c r="AM511" s="799">
        <f>IF(ISNUMBER('Base de datos Rutas'!W509),'Base de datos Rutas'!W509,"")</f>
        <v>2866.2444123371242</v>
      </c>
      <c r="AN511" s="787">
        <f>IFERROR(SUMIFS('Base de datos Rutas'!$W$6:$W$794,'Base de datos Rutas'!$C$6:$C$794,$C511)/'Base de datos Rutas'!I509,"")</f>
        <v>2866.2444123371242</v>
      </c>
      <c r="AO511" s="800">
        <f>IFERROR('Base de datos Rutas'!X509*AN511/AM511,"")</f>
        <v>0.40462988446513853</v>
      </c>
      <c r="AP511" s="800">
        <f t="shared" si="273"/>
        <v>0.59537011553486141</v>
      </c>
      <c r="AQ511" s="789">
        <f>IFERROR(INDEX('Hoja de apoyo v2'!$J$17:$J$20,MATCH($A511,'Hoja de apoyo v2'!$A$17:$A$20,0)),"")</f>
        <v>0.64320274048480885</v>
      </c>
      <c r="AR511" s="789">
        <f t="shared" si="274"/>
        <v>-4.7832624949947444E-2</v>
      </c>
      <c r="AS511" s="784" t="str">
        <f t="shared" si="275"/>
        <v>No</v>
      </c>
      <c r="AT511" s="801" t="str">
        <f>IF(ISNUMBER('Base de datos Rutas'!CK509),'Base de datos Rutas'!CK509,"")</f>
        <v/>
      </c>
      <c r="AU511" s="802" t="str">
        <f>IF(ISNUMBER('Base de datos Rutas'!CL509),'Base de datos Rutas'!CL509,"")</f>
        <v/>
      </c>
      <c r="AV511" s="802">
        <f>IF(ISNUMBER('Base de datos Rutas'!CM509),'Base de datos Rutas'!CM509,"")</f>
        <v>0</v>
      </c>
      <c r="AW511" s="802" t="str">
        <f>IF(ISNUMBER('Base de datos Rutas'!CN509),'Base de datos Rutas'!CN509,"")</f>
        <v/>
      </c>
      <c r="AX511" s="802" t="str">
        <f>IF(ISNUMBER('Base de datos Rutas'!CO509),'Base de datos Rutas'!CO509,"")</f>
        <v/>
      </c>
      <c r="AY511" s="802">
        <f>IF(ISNUMBER('Base de datos Rutas'!CP509),'Base de datos Rutas'!CP509,"")</f>
        <v>0</v>
      </c>
      <c r="AZ511" s="802" t="str">
        <f>IF(ISNUMBER('Base de datos Rutas'!CQ509),'Base de datos Rutas'!CQ509,"")</f>
        <v/>
      </c>
      <c r="BA511" s="802" t="str">
        <f>IF(ISNUMBER('Base de datos Rutas'!CR509),'Base de datos Rutas'!CR509,"")</f>
        <v/>
      </c>
      <c r="BB511" s="803">
        <f>IF(ISNUMBER('Base de datos Rutas'!CS509),'Base de datos Rutas'!CS509,"")</f>
        <v>0</v>
      </c>
      <c r="BC511" s="804" t="str">
        <f t="shared" si="285"/>
        <v/>
      </c>
      <c r="BD511" s="805" t="str">
        <f t="shared" si="286"/>
        <v>N/D</v>
      </c>
      <c r="BE511" s="806" t="str">
        <f t="shared" si="287"/>
        <v/>
      </c>
      <c r="BF511" s="890" t="str">
        <f>IF(ISNUMBER('Base de datos Rutas'!CX509),'Base de datos Rutas'!CX509/100,"")</f>
        <v/>
      </c>
      <c r="BG511" s="891" t="str">
        <f>IF(ISNUMBER('Base de datos Rutas'!CZ509),'Base de datos Rutas'!CZ509/100,"")</f>
        <v/>
      </c>
      <c r="BH511" s="892" t="str">
        <f>IF(ISNUMBER('Base de datos Rutas'!DA509),'Base de datos Rutas'!DA509,"")</f>
        <v/>
      </c>
      <c r="BI511" s="893" t="str">
        <f>IF(ISNUMBER('Base de datos Rutas'!DC509),'Base de datos Rutas'!DC509,"")</f>
        <v/>
      </c>
      <c r="BJ511" s="805" t="str">
        <f t="shared" si="288"/>
        <v>Sin dato</v>
      </c>
      <c r="BK511" s="783">
        <f t="shared" si="276"/>
        <v>0</v>
      </c>
      <c r="BL511" s="797">
        <f t="shared" si="277"/>
        <v>0</v>
      </c>
      <c r="BM511" s="797">
        <f t="shared" si="278"/>
        <v>0</v>
      </c>
      <c r="BN511" s="797">
        <f t="shared" si="279"/>
        <v>0</v>
      </c>
      <c r="BO511" s="798" cm="1">
        <f t="array" ref="BO511">SUMPRODUCT(--ISNUMBER($BF511:$BI511),$BK$3:$BN$3)</f>
        <v>0</v>
      </c>
      <c r="BP511" s="831" t="str">
        <f t="shared" si="289"/>
        <v/>
      </c>
      <c r="BQ511" s="834" t="str">
        <f t="shared" si="290"/>
        <v>Sin datos</v>
      </c>
      <c r="BR511" s="836" t="str">
        <f t="shared" si="280"/>
        <v/>
      </c>
      <c r="BS511" s="836" t="str">
        <f t="shared" si="281"/>
        <v/>
      </c>
      <c r="BT511" s="837" t="str">
        <f t="shared" si="282"/>
        <v>Sin datos</v>
      </c>
      <c r="BU511" s="807" t="str">
        <f t="shared" si="291"/>
        <v>No evaluable</v>
      </c>
      <c r="BV511" s="807" t="str">
        <f t="shared" si="283"/>
        <v>No evaluable</v>
      </c>
      <c r="BW511" s="808" t="str">
        <f t="shared" si="284"/>
        <v>Sin datos</v>
      </c>
    </row>
    <row r="512" spans="1:75">
      <c r="A512" s="780" t="str">
        <f>'Base de datos Rutas'!A510</f>
        <v>Occidente</v>
      </c>
      <c r="B512" s="781" t="str">
        <f>'Base de datos Rutas'!B510</f>
        <v>Zapopan</v>
      </c>
      <c r="C512" s="781" t="str">
        <f>'Base de datos Rutas'!C510</f>
        <v>Suc. Huentitán</v>
      </c>
      <c r="D512" s="782">
        <f>IF(ISNUMBER('Base de datos Rutas'!D510),'Base de datos Rutas'!D510,"Sin código")</f>
        <v>819409</v>
      </c>
      <c r="E512" s="783" t="str">
        <f>'Base de datos Rutas'!F510</f>
        <v>Inactiva</v>
      </c>
      <c r="F512" s="784" t="str">
        <f>'Base de datos Rutas'!H510</f>
        <v>No</v>
      </c>
      <c r="G512" s="785" t="str">
        <f>IF(ISNUMBER('Base de datos Rutas'!BE510),'Base de datos Rutas'!BE510,"")</f>
        <v/>
      </c>
      <c r="H512" s="786" t="str">
        <f>IF(ISNUMBER('Base de datos Rutas'!BH510),'Base de datos Rutas'!BH510,"")</f>
        <v/>
      </c>
      <c r="I512" s="788" t="str">
        <f>IFERROR(IF(OR(NOT(ISNUMBER('Base de datos Rutas'!O510)),N('Base de datos Rutas'!BK510)=0),"",'Base de datos Rutas'!O510/('Base de datos Rutas'!L510/'Base de datos Rutas'!BK510)),"")</f>
        <v/>
      </c>
      <c r="J512" s="788" t="str">
        <f>IFERROR(IF(OR(NOT(ISNUMBER('Base de datos Rutas'!N510)),N('Base de datos Rutas'!BK510)=0),"",'Base de datos Rutas'!N510/('Base de datos Rutas'!L510/'Base de datos Rutas'!BK510)),"")</f>
        <v/>
      </c>
      <c r="K512" s="788" t="str">
        <f>IFERROR(IF(OR(NOT(ISNUMBER('Base de datos Rutas'!J510)),N('Base de datos Rutas'!BK510)=0),"",'Base de datos Rutas'!J510/('Base de datos Rutas'!L510/'Base de datos Rutas'!BK510)),"")</f>
        <v/>
      </c>
      <c r="L512" s="788" t="str">
        <f>IFERROR(IF(OR(NOT(ISNUMBER('Base de datos Rutas'!K510)),N('Base de datos Rutas'!BK510)=0),"",'Base de datos Rutas'!K510/('Base de datos Rutas'!L510/'Base de datos Rutas'!BK510)),"")</f>
        <v/>
      </c>
      <c r="M512" s="787">
        <f>IF(ISNUMBER('Base de datos Rutas'!AX510),'Base de datos Rutas'!AX510,"")</f>
        <v>942.80450980392197</v>
      </c>
      <c r="N512" s="790">
        <f>IFERROR(INDEX('Hoja de apoyo v2'!B$17:B$20,MATCH($A512,'Hoja de apoyo v2'!$A$17:$A$20,0)),"")</f>
        <v>89.41621024641401</v>
      </c>
      <c r="O512" s="791">
        <f>IFERROR(INDEX('Hoja de apoyo v2'!C$17:C$20,MATCH($A512,'Hoja de apoyo v2'!$A$17:$A$20,0)),"")</f>
        <v>0.54706375874806301</v>
      </c>
      <c r="P512" s="793">
        <f>IFERROR(INDEX('Hoja de apoyo v2'!D$17:D$20,MATCH($A512,'Hoja de apoyo v2'!$A$17:$A$20,0)),"")</f>
        <v>11095.153935793827</v>
      </c>
      <c r="Q512" s="793">
        <f>IFERROR(INDEX('Hoja de apoyo v2'!E$17:E$20,MATCH($A512,'Hoja de apoyo v2'!$A$17:$A$20,0)),"")</f>
        <v>6982.3202019701848</v>
      </c>
      <c r="R512" s="793">
        <f>IFERROR(INDEX('Hoja de apoyo v2'!F$17:F$20,MATCH($A512,'Hoja de apoyo v2'!$A$17:$A$20,0)),"")</f>
        <v>448.09513474485743</v>
      </c>
      <c r="S512" s="793">
        <f>IFERROR(INDEX('Hoja de apoyo v2'!G$17:G$20,MATCH($A512,'Hoja de apoyo v2'!$A$17:$A$20,0)),"")</f>
        <v>83.406300904207839</v>
      </c>
      <c r="T512" s="792">
        <f>IFERROR(INDEX('Hoja de apoyo v2'!H$17:H$20,MATCH($A512,'Hoja de apoyo v2'!$A$17:$A$20,0)),"")</f>
        <v>378.97014028925349</v>
      </c>
      <c r="U512" s="794" t="str">
        <f t="shared" si="256"/>
        <v/>
      </c>
      <c r="V512" s="795" t="str">
        <f t="shared" si="257"/>
        <v/>
      </c>
      <c r="W512" s="795" t="str">
        <f t="shared" si="258"/>
        <v/>
      </c>
      <c r="X512" s="843" t="str">
        <f t="shared" si="259"/>
        <v/>
      </c>
      <c r="Y512" s="843" t="str">
        <f t="shared" si="260"/>
        <v/>
      </c>
      <c r="Z512" s="843" t="str">
        <f t="shared" si="261"/>
        <v/>
      </c>
      <c r="AA512" s="843">
        <f t="shared" si="262"/>
        <v>2.4878068469571644</v>
      </c>
      <c r="AB512" s="796">
        <f t="shared" si="263"/>
        <v>0</v>
      </c>
      <c r="AC512" s="797">
        <f t="shared" si="264"/>
        <v>0</v>
      </c>
      <c r="AD512" s="797">
        <f t="shared" si="265"/>
        <v>0</v>
      </c>
      <c r="AE512" s="842">
        <f t="shared" si="266"/>
        <v>0</v>
      </c>
      <c r="AF512" s="842">
        <f t="shared" si="267"/>
        <v>0</v>
      </c>
      <c r="AG512" s="842">
        <f t="shared" si="268"/>
        <v>0</v>
      </c>
      <c r="AH512" s="842">
        <f t="shared" si="269"/>
        <v>5</v>
      </c>
      <c r="AI512" s="826" cm="1">
        <f t="array" ref="AI512">SUMPRODUCT(--ISNUMBER($U512:$AA512),$AB$3:$AH$3)</f>
        <v>8.9789113613062493E-2</v>
      </c>
      <c r="AJ512" s="829" t="str">
        <f t="shared" si="270"/>
        <v/>
      </c>
      <c r="AK512" s="827" t="str">
        <f t="shared" si="271"/>
        <v>Ruta inactiva</v>
      </c>
      <c r="AL512" s="784" t="str">
        <f t="shared" si="272"/>
        <v>n/a</v>
      </c>
      <c r="AM512" s="799">
        <f>IF(ISNUMBER('Base de datos Rutas'!W510),'Base de datos Rutas'!W510,"")</f>
        <v>2866.2444123371242</v>
      </c>
      <c r="AN512" s="787">
        <f>IFERROR(SUMIFS('Base de datos Rutas'!$W$6:$W$794,'Base de datos Rutas'!$C$6:$C$794,$C512)/'Base de datos Rutas'!I510,"")</f>
        <v>2866.2444123371242</v>
      </c>
      <c r="AO512" s="800">
        <f>IFERROR('Base de datos Rutas'!X510*AN512/AM512,"")</f>
        <v>0.40462988446513853</v>
      </c>
      <c r="AP512" s="800">
        <f t="shared" si="273"/>
        <v>0.59537011553486141</v>
      </c>
      <c r="AQ512" s="789">
        <f>IFERROR(INDEX('Hoja de apoyo v2'!$J$17:$J$20,MATCH($A512,'Hoja de apoyo v2'!$A$17:$A$20,0)),"")</f>
        <v>0.64320274048480885</v>
      </c>
      <c r="AR512" s="789">
        <f t="shared" si="274"/>
        <v>-4.7832624949947444E-2</v>
      </c>
      <c r="AS512" s="784" t="str">
        <f t="shared" si="275"/>
        <v>No</v>
      </c>
      <c r="AT512" s="801" t="str">
        <f>IF(ISNUMBER('Base de datos Rutas'!CK510),'Base de datos Rutas'!CK510,"")</f>
        <v/>
      </c>
      <c r="AU512" s="802" t="str">
        <f>IF(ISNUMBER('Base de datos Rutas'!CL510),'Base de datos Rutas'!CL510,"")</f>
        <v/>
      </c>
      <c r="AV512" s="802">
        <f>IF(ISNUMBER('Base de datos Rutas'!CM510),'Base de datos Rutas'!CM510,"")</f>
        <v>0</v>
      </c>
      <c r="AW512" s="802" t="str">
        <f>IF(ISNUMBER('Base de datos Rutas'!CN510),'Base de datos Rutas'!CN510,"")</f>
        <v/>
      </c>
      <c r="AX512" s="802" t="str">
        <f>IF(ISNUMBER('Base de datos Rutas'!CO510),'Base de datos Rutas'!CO510,"")</f>
        <v/>
      </c>
      <c r="AY512" s="802">
        <f>IF(ISNUMBER('Base de datos Rutas'!CP510),'Base de datos Rutas'!CP510,"")</f>
        <v>0</v>
      </c>
      <c r="AZ512" s="802" t="str">
        <f>IF(ISNUMBER('Base de datos Rutas'!CQ510),'Base de datos Rutas'!CQ510,"")</f>
        <v/>
      </c>
      <c r="BA512" s="802" t="str">
        <f>IF(ISNUMBER('Base de datos Rutas'!CR510),'Base de datos Rutas'!CR510,"")</f>
        <v/>
      </c>
      <c r="BB512" s="803">
        <f>IF(ISNUMBER('Base de datos Rutas'!CS510),'Base de datos Rutas'!CS510,"")</f>
        <v>0</v>
      </c>
      <c r="BC512" s="804" t="str">
        <f t="shared" si="285"/>
        <v/>
      </c>
      <c r="BD512" s="805" t="str">
        <f t="shared" si="286"/>
        <v>N/D</v>
      </c>
      <c r="BE512" s="806" t="str">
        <f t="shared" si="287"/>
        <v/>
      </c>
      <c r="BF512" s="890" t="str">
        <f>IF(ISNUMBER('Base de datos Rutas'!CX510),'Base de datos Rutas'!CX510/100,"")</f>
        <v/>
      </c>
      <c r="BG512" s="891" t="str">
        <f>IF(ISNUMBER('Base de datos Rutas'!CZ510),'Base de datos Rutas'!CZ510/100,"")</f>
        <v/>
      </c>
      <c r="BH512" s="892" t="str">
        <f>IF(ISNUMBER('Base de datos Rutas'!DA510),'Base de datos Rutas'!DA510,"")</f>
        <v/>
      </c>
      <c r="BI512" s="893" t="str">
        <f>IF(ISNUMBER('Base de datos Rutas'!DC510),'Base de datos Rutas'!DC510,"")</f>
        <v/>
      </c>
      <c r="BJ512" s="805" t="str">
        <f t="shared" si="288"/>
        <v>Sin dato</v>
      </c>
      <c r="BK512" s="783">
        <f t="shared" si="276"/>
        <v>0</v>
      </c>
      <c r="BL512" s="797">
        <f t="shared" si="277"/>
        <v>0</v>
      </c>
      <c r="BM512" s="797">
        <f t="shared" si="278"/>
        <v>0</v>
      </c>
      <c r="BN512" s="797">
        <f t="shared" si="279"/>
        <v>0</v>
      </c>
      <c r="BO512" s="798" cm="1">
        <f t="array" ref="BO512">SUMPRODUCT(--ISNUMBER($BF512:$BI512),$BK$3:$BN$3)</f>
        <v>0</v>
      </c>
      <c r="BP512" s="831" t="str">
        <f t="shared" si="289"/>
        <v/>
      </c>
      <c r="BQ512" s="834" t="str">
        <f t="shared" si="290"/>
        <v>Sin datos</v>
      </c>
      <c r="BR512" s="836" t="str">
        <f t="shared" si="280"/>
        <v/>
      </c>
      <c r="BS512" s="836" t="str">
        <f t="shared" si="281"/>
        <v/>
      </c>
      <c r="BT512" s="837" t="str">
        <f t="shared" si="282"/>
        <v>Sin datos</v>
      </c>
      <c r="BU512" s="807" t="str">
        <f t="shared" si="291"/>
        <v>No evaluable</v>
      </c>
      <c r="BV512" s="807" t="str">
        <f t="shared" si="283"/>
        <v>No evaluable</v>
      </c>
      <c r="BW512" s="808" t="str">
        <f t="shared" si="284"/>
        <v>Sin datos</v>
      </c>
    </row>
    <row r="513" spans="1:75">
      <c r="A513" s="780" t="str">
        <f>'Base de datos Rutas'!A511</f>
        <v>Occidente</v>
      </c>
      <c r="B513" s="781" t="str">
        <f>'Base de datos Rutas'!B511</f>
        <v>Zapopan</v>
      </c>
      <c r="C513" s="781" t="str">
        <f>'Base de datos Rutas'!C511</f>
        <v>Suc. Huentitán</v>
      </c>
      <c r="D513" s="782">
        <f>IF(ISNUMBER('Base de datos Rutas'!D511),'Base de datos Rutas'!D511,"Sin código")</f>
        <v>819410</v>
      </c>
      <c r="E513" s="783" t="str">
        <f>'Base de datos Rutas'!F511</f>
        <v>Activa</v>
      </c>
      <c r="F513" s="784" t="str">
        <f>'Base de datos Rutas'!H511</f>
        <v>Sí</v>
      </c>
      <c r="G513" s="785">
        <f>IF(ISNUMBER('Base de datos Rutas'!BE511),'Base de datos Rutas'!BE511,"")</f>
        <v>136.833333333333</v>
      </c>
      <c r="H513" s="786">
        <f>IF(ISNUMBER('Base de datos Rutas'!BH511),'Base de datos Rutas'!BH511,"")</f>
        <v>1.62403572878603E-3</v>
      </c>
      <c r="I513" s="788">
        <f>IFERROR(IF(OR(NOT(ISNUMBER('Base de datos Rutas'!O511)),N('Base de datos Rutas'!BK511)=0),"",'Base de datos Rutas'!O511/('Base de datos Rutas'!L511/'Base de datos Rutas'!BK511)),"")</f>
        <v>251.37037037037032</v>
      </c>
      <c r="J513" s="788">
        <f>IFERROR(IF(OR(NOT(ISNUMBER('Base de datos Rutas'!N511)),N('Base de datos Rutas'!BK511)=0),"",'Base de datos Rutas'!N511/('Base de datos Rutas'!L511/'Base de datos Rutas'!BK511)),"")</f>
        <v>49.481481481481474</v>
      </c>
      <c r="K513" s="788">
        <f>IFERROR(IF(OR(NOT(ISNUMBER('Base de datos Rutas'!J511)),N('Base de datos Rutas'!BK511)=0),"",'Base de datos Rutas'!J511/('Base de datos Rutas'!L511/'Base de datos Rutas'!BK511)),"")</f>
        <v>4.2399259259259248</v>
      </c>
      <c r="L513" s="788">
        <f>IFERROR(IF(OR(NOT(ISNUMBER('Base de datos Rutas'!K511)),N('Base de datos Rutas'!BK511)=0),"",'Base de datos Rutas'!K511/('Base de datos Rutas'!L511/'Base de datos Rutas'!BK511)),"")</f>
        <v>2.7985851851851851</v>
      </c>
      <c r="M513" s="787">
        <f>IF(ISNUMBER('Base de datos Rutas'!AX511),'Base de datos Rutas'!AX511,"")</f>
        <v>427.569210526316</v>
      </c>
      <c r="N513" s="790">
        <f>IFERROR(INDEX('Hoja de apoyo v2'!B$17:B$20,MATCH($A513,'Hoja de apoyo v2'!$A$17:$A$20,0)),"")</f>
        <v>89.41621024641401</v>
      </c>
      <c r="O513" s="791">
        <f>IFERROR(INDEX('Hoja de apoyo v2'!C$17:C$20,MATCH($A513,'Hoja de apoyo v2'!$A$17:$A$20,0)),"")</f>
        <v>0.54706375874806301</v>
      </c>
      <c r="P513" s="793">
        <f>IFERROR(INDEX('Hoja de apoyo v2'!D$17:D$20,MATCH($A513,'Hoja de apoyo v2'!$A$17:$A$20,0)),"")</f>
        <v>11095.153935793827</v>
      </c>
      <c r="Q513" s="793">
        <f>IFERROR(INDEX('Hoja de apoyo v2'!E$17:E$20,MATCH($A513,'Hoja de apoyo v2'!$A$17:$A$20,0)),"")</f>
        <v>6982.3202019701848</v>
      </c>
      <c r="R513" s="793">
        <f>IFERROR(INDEX('Hoja de apoyo v2'!F$17:F$20,MATCH($A513,'Hoja de apoyo v2'!$A$17:$A$20,0)),"")</f>
        <v>448.09513474485743</v>
      </c>
      <c r="S513" s="793">
        <f>IFERROR(INDEX('Hoja de apoyo v2'!G$17:G$20,MATCH($A513,'Hoja de apoyo v2'!$A$17:$A$20,0)),"")</f>
        <v>83.406300904207839</v>
      </c>
      <c r="T513" s="792">
        <f>IFERROR(INDEX('Hoja de apoyo v2'!H$17:H$20,MATCH($A513,'Hoja de apoyo v2'!$A$17:$A$20,0)),"")</f>
        <v>378.97014028925349</v>
      </c>
      <c r="U513" s="794">
        <f t="shared" si="256"/>
        <v>1.5302967208769691</v>
      </c>
      <c r="V513" s="795">
        <f t="shared" si="257"/>
        <v>2.9686406800234419E-3</v>
      </c>
      <c r="W513" s="795">
        <f t="shared" si="258"/>
        <v>2.2655870466062666E-2</v>
      </c>
      <c r="X513" s="843">
        <f t="shared" si="259"/>
        <v>7.0866817977667937E-3</v>
      </c>
      <c r="Y513" s="843">
        <f t="shared" si="260"/>
        <v>9.4621110500119846E-3</v>
      </c>
      <c r="Z513" s="843">
        <f t="shared" si="261"/>
        <v>3.3553642288960413E-2</v>
      </c>
      <c r="AA513" s="843">
        <f t="shared" si="262"/>
        <v>1.1282398402152969</v>
      </c>
      <c r="AB513" s="796">
        <f t="shared" si="263"/>
        <v>5</v>
      </c>
      <c r="AC513" s="797">
        <f t="shared" si="264"/>
        <v>1</v>
      </c>
      <c r="AD513" s="797">
        <f t="shared" si="265"/>
        <v>1</v>
      </c>
      <c r="AE513" s="842">
        <f t="shared" si="266"/>
        <v>1</v>
      </c>
      <c r="AF513" s="842">
        <f t="shared" si="267"/>
        <v>1</v>
      </c>
      <c r="AG513" s="842">
        <f t="shared" si="268"/>
        <v>1</v>
      </c>
      <c r="AH513" s="842">
        <f t="shared" si="269"/>
        <v>4</v>
      </c>
      <c r="AI513" s="826" cm="1">
        <f t="array" ref="AI513">SUMPRODUCT(--ISNUMBER($U513:$AA513),$AB$3:$AH$3)</f>
        <v>1</v>
      </c>
      <c r="AJ513" s="829">
        <f t="shared" si="270"/>
        <v>24.868728233526692</v>
      </c>
      <c r="AK513" s="827" t="str">
        <f t="shared" si="271"/>
        <v>Inmadura</v>
      </c>
      <c r="AL513" s="784" t="str">
        <f t="shared" si="272"/>
        <v>Alta</v>
      </c>
      <c r="AM513" s="799">
        <f>IF(ISNUMBER('Base de datos Rutas'!W511),'Base de datos Rutas'!W511,"")</f>
        <v>2866.2444123371242</v>
      </c>
      <c r="AN513" s="787">
        <f>IFERROR(SUMIFS('Base de datos Rutas'!$W$6:$W$794,'Base de datos Rutas'!$C$6:$C$794,$C513)/'Base de datos Rutas'!I511,"")</f>
        <v>2866.2444123371242</v>
      </c>
      <c r="AO513" s="800">
        <f>IFERROR('Base de datos Rutas'!X511*AN513/AM513,"")</f>
        <v>0.40462988446513853</v>
      </c>
      <c r="AP513" s="800">
        <f t="shared" si="273"/>
        <v>0.59537011553486141</v>
      </c>
      <c r="AQ513" s="789">
        <f>IFERROR(INDEX('Hoja de apoyo v2'!$J$17:$J$20,MATCH($A513,'Hoja de apoyo v2'!$A$17:$A$20,0)),"")</f>
        <v>0.64320274048480885</v>
      </c>
      <c r="AR513" s="789">
        <f t="shared" si="274"/>
        <v>-4.7832624949947444E-2</v>
      </c>
      <c r="AS513" s="784" t="str">
        <f t="shared" si="275"/>
        <v>No</v>
      </c>
      <c r="AT513" s="801" t="str">
        <f>IF(ISNUMBER('Base de datos Rutas'!CK511),'Base de datos Rutas'!CK511,"")</f>
        <v/>
      </c>
      <c r="AU513" s="802" t="str">
        <f>IF(ISNUMBER('Base de datos Rutas'!CL511),'Base de datos Rutas'!CL511,"")</f>
        <v/>
      </c>
      <c r="AV513" s="802">
        <f>IF(ISNUMBER('Base de datos Rutas'!CM511),'Base de datos Rutas'!CM511,"")</f>
        <v>0</v>
      </c>
      <c r="AW513" s="802" t="str">
        <f>IF(ISNUMBER('Base de datos Rutas'!CN511),'Base de datos Rutas'!CN511,"")</f>
        <v/>
      </c>
      <c r="AX513" s="802" t="str">
        <f>IF(ISNUMBER('Base de datos Rutas'!CO511),'Base de datos Rutas'!CO511,"")</f>
        <v/>
      </c>
      <c r="AY513" s="802">
        <f>IF(ISNUMBER('Base de datos Rutas'!CP511),'Base de datos Rutas'!CP511,"")</f>
        <v>0</v>
      </c>
      <c r="AZ513" s="802" t="str">
        <f>IF(ISNUMBER('Base de datos Rutas'!CQ511),'Base de datos Rutas'!CQ511,"")</f>
        <v/>
      </c>
      <c r="BA513" s="802" t="str">
        <f>IF(ISNUMBER('Base de datos Rutas'!CR511),'Base de datos Rutas'!CR511,"")</f>
        <v/>
      </c>
      <c r="BB513" s="803">
        <f>IF(ISNUMBER('Base de datos Rutas'!CS511),'Base de datos Rutas'!CS511,"")</f>
        <v>0</v>
      </c>
      <c r="BC513" s="804" t="str">
        <f t="shared" si="285"/>
        <v/>
      </c>
      <c r="BD513" s="805" t="str">
        <f t="shared" si="286"/>
        <v>N/D</v>
      </c>
      <c r="BE513" s="806" t="str">
        <f t="shared" si="287"/>
        <v/>
      </c>
      <c r="BF513" s="890" t="str">
        <f>IF(ISNUMBER('Base de datos Rutas'!CX511),'Base de datos Rutas'!CX511/100,"")</f>
        <v/>
      </c>
      <c r="BG513" s="891" t="str">
        <f>IF(ISNUMBER('Base de datos Rutas'!CZ511),'Base de datos Rutas'!CZ511/100,"")</f>
        <v/>
      </c>
      <c r="BH513" s="892" t="str">
        <f>IF(ISNUMBER('Base de datos Rutas'!DA511),'Base de datos Rutas'!DA511,"")</f>
        <v/>
      </c>
      <c r="BI513" s="893" t="str">
        <f>IF(ISNUMBER('Base de datos Rutas'!DC511),'Base de datos Rutas'!DC511,"")</f>
        <v/>
      </c>
      <c r="BJ513" s="805" t="str">
        <f t="shared" si="288"/>
        <v>Sin dato</v>
      </c>
      <c r="BK513" s="783">
        <f t="shared" si="276"/>
        <v>0</v>
      </c>
      <c r="BL513" s="797">
        <f t="shared" si="277"/>
        <v>0</v>
      </c>
      <c r="BM513" s="797">
        <f t="shared" si="278"/>
        <v>0</v>
      </c>
      <c r="BN513" s="797">
        <f t="shared" si="279"/>
        <v>0</v>
      </c>
      <c r="BO513" s="798" cm="1">
        <f t="array" ref="BO513">SUMPRODUCT(--ISNUMBER($BF513:$BI513),$BK$3:$BN$3)</f>
        <v>0</v>
      </c>
      <c r="BP513" s="831" t="str">
        <f t="shared" si="289"/>
        <v/>
      </c>
      <c r="BQ513" s="834" t="str">
        <f t="shared" si="290"/>
        <v>Sin datos</v>
      </c>
      <c r="BR513" s="836" t="str">
        <f t="shared" si="280"/>
        <v/>
      </c>
      <c r="BS513" s="836" t="str">
        <f t="shared" si="281"/>
        <v/>
      </c>
      <c r="BT513" s="837" t="str">
        <f t="shared" si="282"/>
        <v>Sin datos</v>
      </c>
      <c r="BU513" s="807" t="str">
        <f t="shared" si="291"/>
        <v>Con espacio</v>
      </c>
      <c r="BV513" s="807" t="str">
        <f t="shared" si="283"/>
        <v>Sin datos de zona</v>
      </c>
      <c r="BW513" s="808" t="str">
        <f t="shared" si="284"/>
        <v>Sin datos</v>
      </c>
    </row>
    <row r="514" spans="1:75">
      <c r="A514" s="780" t="str">
        <f>'Base de datos Rutas'!A512</f>
        <v>Occidente</v>
      </c>
      <c r="B514" s="781" t="str">
        <f>'Base de datos Rutas'!B512</f>
        <v>Zapopan</v>
      </c>
      <c r="C514" s="781" t="str">
        <f>'Base de datos Rutas'!C512</f>
        <v>Suc. Huentitán</v>
      </c>
      <c r="D514" s="782">
        <f>IF(ISNUMBER('Base de datos Rutas'!D512),'Base de datos Rutas'!D512,"Sin código")</f>
        <v>819411</v>
      </c>
      <c r="E514" s="783" t="str">
        <f>'Base de datos Rutas'!F512</f>
        <v>Activa</v>
      </c>
      <c r="F514" s="784" t="str">
        <f>'Base de datos Rutas'!H512</f>
        <v>Sí</v>
      </c>
      <c r="G514" s="785">
        <f>IF(ISNUMBER('Base de datos Rutas'!BE512),'Base de datos Rutas'!BE512,"")</f>
        <v>93.6450116009281</v>
      </c>
      <c r="H514" s="786">
        <f>IF(ISNUMBER('Base de datos Rutas'!BH512),'Base de datos Rutas'!BH512,"")</f>
        <v>0.44389385793216202</v>
      </c>
      <c r="I514" s="788">
        <f>IFERROR(IF(OR(NOT(ISNUMBER('Base de datos Rutas'!O512)),N('Base de datos Rutas'!BK512)=0),"",'Base de datos Rutas'!O512/('Base de datos Rutas'!L512/'Base de datos Rutas'!BK512)),"")</f>
        <v>2737.5406032482551</v>
      </c>
      <c r="J514" s="788">
        <f>IFERROR(IF(OR(NOT(ISNUMBER('Base de datos Rutas'!N512)),N('Base de datos Rutas'!BK512)=0),"",'Base de datos Rutas'!N512/('Base de datos Rutas'!L512/'Base de datos Rutas'!BK512)),"")</f>
        <v>6127.1693735498739</v>
      </c>
      <c r="K514" s="788">
        <f>IFERROR(IF(OR(NOT(ISNUMBER('Base de datos Rutas'!J512)),N('Base de datos Rutas'!BK512)=0),"",'Base de datos Rutas'!J512/('Base de datos Rutas'!L512/'Base de datos Rutas'!BK512)),"")</f>
        <v>425.2133401392104</v>
      </c>
      <c r="L514" s="788">
        <f>IFERROR(IF(OR(NOT(ISNUMBER('Base de datos Rutas'!K512)),N('Base de datos Rutas'!BK512)=0),"",'Base de datos Rutas'!K512/('Base de datos Rutas'!L512/'Base de datos Rutas'!BK512)),"")</f>
        <v>21.269246120649612</v>
      </c>
      <c r="M514" s="787">
        <f>IF(ISNUMBER('Base de datos Rutas'!AX512),'Base de datos Rutas'!AX512,"")</f>
        <v>212.908301518196</v>
      </c>
      <c r="N514" s="790">
        <f>IFERROR(INDEX('Hoja de apoyo v2'!B$17:B$20,MATCH($A514,'Hoja de apoyo v2'!$A$17:$A$20,0)),"")</f>
        <v>89.41621024641401</v>
      </c>
      <c r="O514" s="791">
        <f>IFERROR(INDEX('Hoja de apoyo v2'!C$17:C$20,MATCH($A514,'Hoja de apoyo v2'!$A$17:$A$20,0)),"")</f>
        <v>0.54706375874806301</v>
      </c>
      <c r="P514" s="793">
        <f>IFERROR(INDEX('Hoja de apoyo v2'!D$17:D$20,MATCH($A514,'Hoja de apoyo v2'!$A$17:$A$20,0)),"")</f>
        <v>11095.153935793827</v>
      </c>
      <c r="Q514" s="793">
        <f>IFERROR(INDEX('Hoja de apoyo v2'!E$17:E$20,MATCH($A514,'Hoja de apoyo v2'!$A$17:$A$20,0)),"")</f>
        <v>6982.3202019701848</v>
      </c>
      <c r="R514" s="793">
        <f>IFERROR(INDEX('Hoja de apoyo v2'!F$17:F$20,MATCH($A514,'Hoja de apoyo v2'!$A$17:$A$20,0)),"")</f>
        <v>448.09513474485743</v>
      </c>
      <c r="S514" s="793">
        <f>IFERROR(INDEX('Hoja de apoyo v2'!G$17:G$20,MATCH($A514,'Hoja de apoyo v2'!$A$17:$A$20,0)),"")</f>
        <v>83.406300904207839</v>
      </c>
      <c r="T514" s="792">
        <f>IFERROR(INDEX('Hoja de apoyo v2'!H$17:H$20,MATCH($A514,'Hoja de apoyo v2'!$A$17:$A$20,0)),"")</f>
        <v>378.97014028925349</v>
      </c>
      <c r="U514" s="794">
        <f t="shared" si="256"/>
        <v>1.0472934531989258</v>
      </c>
      <c r="V514" s="795">
        <f t="shared" si="257"/>
        <v>0.8114115600492311</v>
      </c>
      <c r="W514" s="795">
        <f t="shared" si="258"/>
        <v>0.24673299884706754</v>
      </c>
      <c r="X514" s="843">
        <f t="shared" si="259"/>
        <v>0.87752626581361659</v>
      </c>
      <c r="Y514" s="843">
        <f t="shared" si="260"/>
        <v>0.94893540939989052</v>
      </c>
      <c r="Z514" s="843">
        <f t="shared" si="261"/>
        <v>0.25500766596851415</v>
      </c>
      <c r="AA514" s="843">
        <f t="shared" si="262"/>
        <v>0.56180759084526077</v>
      </c>
      <c r="AB514" s="796">
        <f t="shared" si="263"/>
        <v>4</v>
      </c>
      <c r="AC514" s="797">
        <f t="shared" si="264"/>
        <v>3</v>
      </c>
      <c r="AD514" s="797">
        <f t="shared" si="265"/>
        <v>1</v>
      </c>
      <c r="AE514" s="842">
        <f t="shared" si="266"/>
        <v>3</v>
      </c>
      <c r="AF514" s="842">
        <f t="shared" si="267"/>
        <v>3</v>
      </c>
      <c r="AG514" s="842">
        <f t="shared" si="268"/>
        <v>1</v>
      </c>
      <c r="AH514" s="842">
        <f t="shared" si="269"/>
        <v>2</v>
      </c>
      <c r="AI514" s="826" cm="1">
        <f t="array" ref="AI514">SUMPRODUCT(--ISNUMBER($U514:$AA514),$AB$3:$AH$3)</f>
        <v>1</v>
      </c>
      <c r="AJ514" s="829">
        <f t="shared" si="270"/>
        <v>33.282431863034759</v>
      </c>
      <c r="AK514" s="827" t="str">
        <f t="shared" si="271"/>
        <v>Inmadura</v>
      </c>
      <c r="AL514" s="784" t="str">
        <f t="shared" si="272"/>
        <v>Alta</v>
      </c>
      <c r="AM514" s="799">
        <f>IF(ISNUMBER('Base de datos Rutas'!W512),'Base de datos Rutas'!W512,"")</f>
        <v>2866.2444123371242</v>
      </c>
      <c r="AN514" s="787">
        <f>IFERROR(SUMIFS('Base de datos Rutas'!$W$6:$W$794,'Base de datos Rutas'!$C$6:$C$794,$C514)/'Base de datos Rutas'!I512,"")</f>
        <v>2866.2444123371242</v>
      </c>
      <c r="AO514" s="800">
        <f>IFERROR('Base de datos Rutas'!X512*AN514/AM514,"")</f>
        <v>0.40462988446513853</v>
      </c>
      <c r="AP514" s="800">
        <f t="shared" si="273"/>
        <v>0.59537011553486141</v>
      </c>
      <c r="AQ514" s="789">
        <f>IFERROR(INDEX('Hoja de apoyo v2'!$J$17:$J$20,MATCH($A514,'Hoja de apoyo v2'!$A$17:$A$20,0)),"")</f>
        <v>0.64320274048480885</v>
      </c>
      <c r="AR514" s="789">
        <f t="shared" si="274"/>
        <v>-4.7832624949947444E-2</v>
      </c>
      <c r="AS514" s="784" t="str">
        <f t="shared" si="275"/>
        <v>No</v>
      </c>
      <c r="AT514" s="801">
        <f>IF(ISNUMBER('Base de datos Rutas'!CK512),'Base de datos Rutas'!CK512,"")</f>
        <v>302</v>
      </c>
      <c r="AU514" s="802">
        <f>IF(ISNUMBER('Base de datos Rutas'!CL512),'Base de datos Rutas'!CL512,"")</f>
        <v>302</v>
      </c>
      <c r="AV514" s="802">
        <f>IF(ISNUMBER('Base de datos Rutas'!CM512),'Base de datos Rutas'!CM512,"")</f>
        <v>0</v>
      </c>
      <c r="AW514" s="802">
        <f>IF(ISNUMBER('Base de datos Rutas'!CN512),'Base de datos Rutas'!CN512,"")</f>
        <v>12.74</v>
      </c>
      <c r="AX514" s="802">
        <f>IF(ISNUMBER('Base de datos Rutas'!CO512),'Base de datos Rutas'!CO512,"")</f>
        <v>9.4499999999999993</v>
      </c>
      <c r="AY514" s="802">
        <f>IF(ISNUMBER('Base de datos Rutas'!CP512),'Base de datos Rutas'!CP512,"")</f>
        <v>-3.2900000000000009</v>
      </c>
      <c r="AZ514" s="802">
        <f>IF(ISNUMBER('Base de datos Rutas'!CQ512),'Base de datos Rutas'!CQ512,"")</f>
        <v>846.56</v>
      </c>
      <c r="BA514" s="802">
        <f>IF(ISNUMBER('Base de datos Rutas'!CR512),'Base de datos Rutas'!CR512,"")</f>
        <v>446.48</v>
      </c>
      <c r="BB514" s="803">
        <f>IF(ISNUMBER('Base de datos Rutas'!CS512),'Base de datos Rutas'!CS512,"")</f>
        <v>400.07999999999993</v>
      </c>
      <c r="BC514" s="804">
        <f t="shared" si="285"/>
        <v>2</v>
      </c>
      <c r="BD514" s="805" t="str">
        <f t="shared" si="286"/>
        <v>Saturada</v>
      </c>
      <c r="BE514" s="806">
        <f t="shared" si="287"/>
        <v>0.52740502740502748</v>
      </c>
      <c r="BF514" s="890">
        <f>IF(ISNUMBER('Base de datos Rutas'!CX512),'Base de datos Rutas'!CX512/100,"")</f>
        <v>0.12929246370131367</v>
      </c>
      <c r="BG514" s="891">
        <f>IF(ISNUMBER('Base de datos Rutas'!CZ512),'Base de datos Rutas'!CZ512/100,"")</f>
        <v>0.12929246370131367</v>
      </c>
      <c r="BH514" s="892">
        <f>IF(ISNUMBER('Base de datos Rutas'!DA512),'Base de datos Rutas'!DA512,"")</f>
        <v>103.60497349619727</v>
      </c>
      <c r="BI514" s="893">
        <f>IF(ISNUMBER('Base de datos Rutas'!DC512),'Base de datos Rutas'!DC512,"")</f>
        <v>4.9182023507720674</v>
      </c>
      <c r="BJ514" s="805" t="str">
        <f t="shared" si="288"/>
        <v>Ruta (completo)</v>
      </c>
      <c r="BK514" s="783">
        <f t="shared" si="276"/>
        <v>2</v>
      </c>
      <c r="BL514" s="797">
        <f t="shared" si="277"/>
        <v>2</v>
      </c>
      <c r="BM514" s="797">
        <f t="shared" si="278"/>
        <v>2</v>
      </c>
      <c r="BN514" s="797">
        <f t="shared" si="279"/>
        <v>2</v>
      </c>
      <c r="BO514" s="798" cm="1">
        <f t="array" ref="BO514">SUMPRODUCT(--ISNUMBER($BF514:$BI514),$BK$3:$BN$3)</f>
        <v>1</v>
      </c>
      <c r="BP514" s="831">
        <f t="shared" si="289"/>
        <v>25</v>
      </c>
      <c r="BQ514" s="834" t="str">
        <f t="shared" si="290"/>
        <v>Medio</v>
      </c>
      <c r="BR514" s="836">
        <f t="shared" si="280"/>
        <v>49.961823897276069</v>
      </c>
      <c r="BS514" s="836">
        <f t="shared" si="281"/>
        <v>25</v>
      </c>
      <c r="BT514" s="837" t="str">
        <f t="shared" si="282"/>
        <v>P2</v>
      </c>
      <c r="BU514" s="807" t="str">
        <f t="shared" si="291"/>
        <v>Al tope</v>
      </c>
      <c r="BV514" s="807" t="str">
        <f t="shared" si="283"/>
        <v>Zona de bajo potencial</v>
      </c>
      <c r="BW514" s="808" t="str">
        <f t="shared" si="284"/>
        <v>P2 - Mantener</v>
      </c>
    </row>
    <row r="515" spans="1:75">
      <c r="A515" s="780" t="str">
        <f>'Base de datos Rutas'!A513</f>
        <v>Occidente</v>
      </c>
      <c r="B515" s="781" t="str">
        <f>'Base de datos Rutas'!B513</f>
        <v>Zapopan</v>
      </c>
      <c r="C515" s="781" t="str">
        <f>'Base de datos Rutas'!C513</f>
        <v>Suc. Huentitán</v>
      </c>
      <c r="D515" s="782">
        <f>IF(ISNUMBER('Base de datos Rutas'!D513),'Base de datos Rutas'!D513,"Sin código")</f>
        <v>819413</v>
      </c>
      <c r="E515" s="783" t="str">
        <f>'Base de datos Rutas'!F513</f>
        <v>Activa</v>
      </c>
      <c r="F515" s="784" t="str">
        <f>'Base de datos Rutas'!H513</f>
        <v>Sí</v>
      </c>
      <c r="G515" s="785">
        <f>IF(ISNUMBER('Base de datos Rutas'!BE513),'Base de datos Rutas'!BE513,"")</f>
        <v>88.157043879907604</v>
      </c>
      <c r="H515" s="786">
        <f>IF(ISNUMBER('Base de datos Rutas'!BH513),'Base de datos Rutas'!BH513,"")</f>
        <v>0.37844493345907998</v>
      </c>
      <c r="I515" s="788">
        <f>IFERROR(IF(OR(NOT(ISNUMBER('Base de datos Rutas'!O513)),N('Base de datos Rutas'!BK513)=0),"",'Base de datos Rutas'!O513/('Base de datos Rutas'!L513/'Base de datos Rutas'!BK513)),"")</f>
        <v>1719.5311778290948</v>
      </c>
      <c r="J515" s="788">
        <f>IFERROR(IF(OR(NOT(ISNUMBER('Base de datos Rutas'!N513)),N('Base de datos Rutas'!BK513)=0),"",'Base de datos Rutas'!N513/('Base de datos Rutas'!L513/'Base de datos Rutas'!BK513)),"")</f>
        <v>6143.4757505773514</v>
      </c>
      <c r="K515" s="788">
        <f>IFERROR(IF(OR(NOT(ISNUMBER('Base de datos Rutas'!J513)),N('Base de datos Rutas'!BK513)=0),"",'Base de datos Rutas'!J513/('Base de datos Rutas'!L513/'Base de datos Rutas'!BK513)),"")</f>
        <v>421.66300600461784</v>
      </c>
      <c r="L515" s="788">
        <f>IFERROR(IF(OR(NOT(ISNUMBER('Base de datos Rutas'!K513)),N('Base de datos Rutas'!BK513)=0),"",'Base de datos Rutas'!K513/('Base de datos Rutas'!L513/'Base de datos Rutas'!BK513)),"")</f>
        <v>14.025530429561163</v>
      </c>
      <c r="M515" s="787">
        <f>IF(ISNUMBER('Base de datos Rutas'!AX513),'Base de datos Rutas'!AX513,"")</f>
        <v>235.332090544095</v>
      </c>
      <c r="N515" s="790">
        <f>IFERROR(INDEX('Hoja de apoyo v2'!B$17:B$20,MATCH($A515,'Hoja de apoyo v2'!$A$17:$A$20,0)),"")</f>
        <v>89.41621024641401</v>
      </c>
      <c r="O515" s="791">
        <f>IFERROR(INDEX('Hoja de apoyo v2'!C$17:C$20,MATCH($A515,'Hoja de apoyo v2'!$A$17:$A$20,0)),"")</f>
        <v>0.54706375874806301</v>
      </c>
      <c r="P515" s="793">
        <f>IFERROR(INDEX('Hoja de apoyo v2'!D$17:D$20,MATCH($A515,'Hoja de apoyo v2'!$A$17:$A$20,0)),"")</f>
        <v>11095.153935793827</v>
      </c>
      <c r="Q515" s="793">
        <f>IFERROR(INDEX('Hoja de apoyo v2'!E$17:E$20,MATCH($A515,'Hoja de apoyo v2'!$A$17:$A$20,0)),"")</f>
        <v>6982.3202019701848</v>
      </c>
      <c r="R515" s="793">
        <f>IFERROR(INDEX('Hoja de apoyo v2'!F$17:F$20,MATCH($A515,'Hoja de apoyo v2'!$A$17:$A$20,0)),"")</f>
        <v>448.09513474485743</v>
      </c>
      <c r="S515" s="793">
        <f>IFERROR(INDEX('Hoja de apoyo v2'!G$17:G$20,MATCH($A515,'Hoja de apoyo v2'!$A$17:$A$20,0)),"")</f>
        <v>83.406300904207839</v>
      </c>
      <c r="T515" s="792">
        <f>IFERROR(INDEX('Hoja de apoyo v2'!H$17:H$20,MATCH($A515,'Hoja de apoyo v2'!$A$17:$A$20,0)),"")</f>
        <v>378.97014028925349</v>
      </c>
      <c r="U515" s="794">
        <f t="shared" si="256"/>
        <v>0.98591791842847754</v>
      </c>
      <c r="V515" s="795">
        <f t="shared" si="257"/>
        <v>0.6917748204069275</v>
      </c>
      <c r="W515" s="795">
        <f t="shared" si="258"/>
        <v>0.154980380423723</v>
      </c>
      <c r="X515" s="843">
        <f t="shared" si="259"/>
        <v>0.87986164668355671</v>
      </c>
      <c r="Y515" s="843">
        <f t="shared" si="260"/>
        <v>0.94101223894053243</v>
      </c>
      <c r="Z515" s="843">
        <f t="shared" si="261"/>
        <v>0.16815912320184886</v>
      </c>
      <c r="AA515" s="843">
        <f t="shared" si="262"/>
        <v>0.62097792286346087</v>
      </c>
      <c r="AB515" s="796">
        <f t="shared" si="263"/>
        <v>3</v>
      </c>
      <c r="AC515" s="797">
        <f t="shared" si="264"/>
        <v>2</v>
      </c>
      <c r="AD515" s="797">
        <f t="shared" si="265"/>
        <v>1</v>
      </c>
      <c r="AE515" s="842">
        <f t="shared" si="266"/>
        <v>3</v>
      </c>
      <c r="AF515" s="842">
        <f t="shared" si="267"/>
        <v>3</v>
      </c>
      <c r="AG515" s="842">
        <f t="shared" si="268"/>
        <v>1</v>
      </c>
      <c r="AH515" s="842">
        <f t="shared" si="269"/>
        <v>2</v>
      </c>
      <c r="AI515" s="826" cm="1">
        <f t="array" ref="AI515">SUMPRODUCT(--ISNUMBER($U515:$AA515),$AB$3:$AH$3)</f>
        <v>1</v>
      </c>
      <c r="AJ515" s="829">
        <f t="shared" si="270"/>
        <v>26.365890099007515</v>
      </c>
      <c r="AK515" s="827" t="str">
        <f t="shared" si="271"/>
        <v>Inmadura</v>
      </c>
      <c r="AL515" s="784" t="str">
        <f t="shared" si="272"/>
        <v>Alta</v>
      </c>
      <c r="AM515" s="799">
        <f>IF(ISNUMBER('Base de datos Rutas'!W513),'Base de datos Rutas'!W513,"")</f>
        <v>2866.2444123371242</v>
      </c>
      <c r="AN515" s="787">
        <f>IFERROR(SUMIFS('Base de datos Rutas'!$W$6:$W$794,'Base de datos Rutas'!$C$6:$C$794,$C515)/'Base de datos Rutas'!I513,"")</f>
        <v>2866.2444123371242</v>
      </c>
      <c r="AO515" s="800">
        <f>IFERROR('Base de datos Rutas'!X513*AN515/AM515,"")</f>
        <v>0.40462988446513853</v>
      </c>
      <c r="AP515" s="800">
        <f t="shared" si="273"/>
        <v>0.59537011553486141</v>
      </c>
      <c r="AQ515" s="789">
        <f>IFERROR(INDEX('Hoja de apoyo v2'!$J$17:$J$20,MATCH($A515,'Hoja de apoyo v2'!$A$17:$A$20,0)),"")</f>
        <v>0.64320274048480885</v>
      </c>
      <c r="AR515" s="789">
        <f t="shared" si="274"/>
        <v>-4.7832624949947444E-2</v>
      </c>
      <c r="AS515" s="784" t="str">
        <f t="shared" si="275"/>
        <v>No</v>
      </c>
      <c r="AT515" s="801">
        <f>IF(ISNUMBER('Base de datos Rutas'!CK513),'Base de datos Rutas'!CK513,"")</f>
        <v>331</v>
      </c>
      <c r="AU515" s="802">
        <f>IF(ISNUMBER('Base de datos Rutas'!CL513),'Base de datos Rutas'!CL513,"")</f>
        <v>331</v>
      </c>
      <c r="AV515" s="802">
        <f>IF(ISNUMBER('Base de datos Rutas'!CM513),'Base de datos Rutas'!CM513,"")</f>
        <v>0</v>
      </c>
      <c r="AW515" s="802" t="str">
        <f>IF(ISNUMBER('Base de datos Rutas'!CN513),'Base de datos Rutas'!CN513,"")</f>
        <v/>
      </c>
      <c r="AX515" s="802">
        <f>IF(ISNUMBER('Base de datos Rutas'!CO513),'Base de datos Rutas'!CO513,"")</f>
        <v>9.4499999999999993</v>
      </c>
      <c r="AY515" s="802">
        <f>IF(ISNUMBER('Base de datos Rutas'!CP513),'Base de datos Rutas'!CP513,"")</f>
        <v>9.4499999999999993</v>
      </c>
      <c r="AZ515" s="802" t="str">
        <f>IF(ISNUMBER('Base de datos Rutas'!CQ513),'Base de datos Rutas'!CQ513,"")</f>
        <v/>
      </c>
      <c r="BA515" s="802" t="str">
        <f>IF(ISNUMBER('Base de datos Rutas'!CR513),'Base de datos Rutas'!CR513,"")</f>
        <v/>
      </c>
      <c r="BB515" s="803">
        <f>IF(ISNUMBER('Base de datos Rutas'!CS513),'Base de datos Rutas'!CS513,"")</f>
        <v>0</v>
      </c>
      <c r="BC515" s="804" t="str">
        <f t="shared" si="285"/>
        <v/>
      </c>
      <c r="BD515" s="805" t="str">
        <f t="shared" si="286"/>
        <v>N/D</v>
      </c>
      <c r="BE515" s="806" t="str">
        <f t="shared" si="287"/>
        <v/>
      </c>
      <c r="BF515" s="890">
        <f>IF(ISNUMBER('Base de datos Rutas'!CX513),'Base de datos Rutas'!CX513/100,"")</f>
        <v>0</v>
      </c>
      <c r="BG515" s="891">
        <f>IF(ISNUMBER('Base de datos Rutas'!CZ513),'Base de datos Rutas'!CZ513/100,"")</f>
        <v>0</v>
      </c>
      <c r="BH515" s="892">
        <f>IF(ISNUMBER('Base de datos Rutas'!DA513),'Base de datos Rutas'!DA513,"")</f>
        <v>0</v>
      </c>
      <c r="BI515" s="893">
        <f>IF(ISNUMBER('Base de datos Rutas'!DC513),'Base de datos Rutas'!DC513,"")</f>
        <v>0</v>
      </c>
      <c r="BJ515" s="805" t="str">
        <f t="shared" si="288"/>
        <v>Ruta (completo)</v>
      </c>
      <c r="BK515" s="783">
        <f t="shared" si="276"/>
        <v>1</v>
      </c>
      <c r="BL515" s="797">
        <f t="shared" si="277"/>
        <v>1</v>
      </c>
      <c r="BM515" s="797">
        <f t="shared" si="278"/>
        <v>1</v>
      </c>
      <c r="BN515" s="797">
        <f t="shared" si="279"/>
        <v>1</v>
      </c>
      <c r="BO515" s="798" cm="1">
        <f t="array" ref="BO515">SUMPRODUCT(--ISNUMBER($BF515:$BI515),$BK$3:$BN$3)</f>
        <v>1</v>
      </c>
      <c r="BP515" s="831">
        <f t="shared" si="289"/>
        <v>0</v>
      </c>
      <c r="BQ515" s="834" t="str">
        <f t="shared" si="290"/>
        <v>Bajo</v>
      </c>
      <c r="BR515" s="836" t="str">
        <f t="shared" si="280"/>
        <v/>
      </c>
      <c r="BS515" s="836">
        <f t="shared" si="281"/>
        <v>0</v>
      </c>
      <c r="BT515" s="837" t="str">
        <f t="shared" si="282"/>
        <v>Sin datos</v>
      </c>
      <c r="BU515" s="807" t="str">
        <f t="shared" si="291"/>
        <v>Con espacio</v>
      </c>
      <c r="BV515" s="807" t="str">
        <f t="shared" si="283"/>
        <v>Zona de bajo potencial</v>
      </c>
      <c r="BW515" s="808" t="str">
        <f t="shared" si="284"/>
        <v>Sin datos</v>
      </c>
    </row>
    <row r="516" spans="1:75">
      <c r="A516" s="780" t="str">
        <f>'Base de datos Rutas'!A514</f>
        <v>Occidente</v>
      </c>
      <c r="B516" s="781" t="str">
        <f>'Base de datos Rutas'!B514</f>
        <v>Zapopan</v>
      </c>
      <c r="C516" s="781" t="str">
        <f>'Base de datos Rutas'!C514</f>
        <v>Suc. Huentitán</v>
      </c>
      <c r="D516" s="782">
        <f>IF(ISNUMBER('Base de datos Rutas'!D514),'Base de datos Rutas'!D514,"Sin código")</f>
        <v>819415</v>
      </c>
      <c r="E516" s="783" t="str">
        <f>'Base de datos Rutas'!F514</f>
        <v>Inactiva</v>
      </c>
      <c r="F516" s="784" t="str">
        <f>'Base de datos Rutas'!H514</f>
        <v>No</v>
      </c>
      <c r="G516" s="785" t="str">
        <f>IF(ISNUMBER('Base de datos Rutas'!BE514),'Base de datos Rutas'!BE514,"")</f>
        <v/>
      </c>
      <c r="H516" s="786" t="str">
        <f>IF(ISNUMBER('Base de datos Rutas'!BH514),'Base de datos Rutas'!BH514,"")</f>
        <v/>
      </c>
      <c r="I516" s="788" t="str">
        <f>IFERROR(IF(OR(NOT(ISNUMBER('Base de datos Rutas'!O514)),N('Base de datos Rutas'!BK514)=0),"",'Base de datos Rutas'!O514/('Base de datos Rutas'!L514/'Base de datos Rutas'!BK514)),"")</f>
        <v/>
      </c>
      <c r="J516" s="788" t="str">
        <f>IFERROR(IF(OR(NOT(ISNUMBER('Base de datos Rutas'!N514)),N('Base de datos Rutas'!BK514)=0),"",'Base de datos Rutas'!N514/('Base de datos Rutas'!L514/'Base de datos Rutas'!BK514)),"")</f>
        <v/>
      </c>
      <c r="K516" s="788" t="str">
        <f>IFERROR(IF(OR(NOT(ISNUMBER('Base de datos Rutas'!J514)),N('Base de datos Rutas'!BK514)=0),"",'Base de datos Rutas'!J514/('Base de datos Rutas'!L514/'Base de datos Rutas'!BK514)),"")</f>
        <v/>
      </c>
      <c r="L516" s="788" t="str">
        <f>IFERROR(IF(OR(NOT(ISNUMBER('Base de datos Rutas'!K514)),N('Base de datos Rutas'!BK514)=0),"",'Base de datos Rutas'!K514/('Base de datos Rutas'!L514/'Base de datos Rutas'!BK514)),"")</f>
        <v/>
      </c>
      <c r="M516" s="787">
        <f>IF(ISNUMBER('Base de datos Rutas'!AX514),'Base de datos Rutas'!AX514,"")</f>
        <v>436.967755102041</v>
      </c>
      <c r="N516" s="790">
        <f>IFERROR(INDEX('Hoja de apoyo v2'!B$17:B$20,MATCH($A516,'Hoja de apoyo v2'!$A$17:$A$20,0)),"")</f>
        <v>89.41621024641401</v>
      </c>
      <c r="O516" s="791">
        <f>IFERROR(INDEX('Hoja de apoyo v2'!C$17:C$20,MATCH($A516,'Hoja de apoyo v2'!$A$17:$A$20,0)),"")</f>
        <v>0.54706375874806301</v>
      </c>
      <c r="P516" s="793">
        <f>IFERROR(INDEX('Hoja de apoyo v2'!D$17:D$20,MATCH($A516,'Hoja de apoyo v2'!$A$17:$A$20,0)),"")</f>
        <v>11095.153935793827</v>
      </c>
      <c r="Q516" s="793">
        <f>IFERROR(INDEX('Hoja de apoyo v2'!E$17:E$20,MATCH($A516,'Hoja de apoyo v2'!$A$17:$A$20,0)),"")</f>
        <v>6982.3202019701848</v>
      </c>
      <c r="R516" s="793">
        <f>IFERROR(INDEX('Hoja de apoyo v2'!F$17:F$20,MATCH($A516,'Hoja de apoyo v2'!$A$17:$A$20,0)),"")</f>
        <v>448.09513474485743</v>
      </c>
      <c r="S516" s="793">
        <f>IFERROR(INDEX('Hoja de apoyo v2'!G$17:G$20,MATCH($A516,'Hoja de apoyo v2'!$A$17:$A$20,0)),"")</f>
        <v>83.406300904207839</v>
      </c>
      <c r="T516" s="792">
        <f>IFERROR(INDEX('Hoja de apoyo v2'!H$17:H$20,MATCH($A516,'Hoja de apoyo v2'!$A$17:$A$20,0)),"")</f>
        <v>378.97014028925349</v>
      </c>
      <c r="U516" s="794" t="str">
        <f t="shared" si="256"/>
        <v/>
      </c>
      <c r="V516" s="795" t="str">
        <f t="shared" si="257"/>
        <v/>
      </c>
      <c r="W516" s="795" t="str">
        <f t="shared" si="258"/>
        <v/>
      </c>
      <c r="X516" s="843" t="str">
        <f t="shared" si="259"/>
        <v/>
      </c>
      <c r="Y516" s="843" t="str">
        <f t="shared" si="260"/>
        <v/>
      </c>
      <c r="Z516" s="843" t="str">
        <f t="shared" si="261"/>
        <v/>
      </c>
      <c r="AA516" s="843">
        <f t="shared" si="262"/>
        <v>1.1530400647621475</v>
      </c>
      <c r="AB516" s="796">
        <f t="shared" si="263"/>
        <v>0</v>
      </c>
      <c r="AC516" s="797">
        <f t="shared" si="264"/>
        <v>0</v>
      </c>
      <c r="AD516" s="797">
        <f t="shared" si="265"/>
        <v>0</v>
      </c>
      <c r="AE516" s="842">
        <f t="shared" si="266"/>
        <v>0</v>
      </c>
      <c r="AF516" s="842">
        <f t="shared" si="267"/>
        <v>0</v>
      </c>
      <c r="AG516" s="842">
        <f t="shared" si="268"/>
        <v>0</v>
      </c>
      <c r="AH516" s="842">
        <f t="shared" si="269"/>
        <v>4</v>
      </c>
      <c r="AI516" s="826" cm="1">
        <f t="array" ref="AI516">SUMPRODUCT(--ISNUMBER($U516:$AA516),$AB$3:$AH$3)</f>
        <v>8.9789113613062493E-2</v>
      </c>
      <c r="AJ516" s="829" t="str">
        <f t="shared" si="270"/>
        <v/>
      </c>
      <c r="AK516" s="827" t="str">
        <f t="shared" si="271"/>
        <v>Ruta inactiva</v>
      </c>
      <c r="AL516" s="784" t="str">
        <f t="shared" si="272"/>
        <v>n/a</v>
      </c>
      <c r="AM516" s="799">
        <f>IF(ISNUMBER('Base de datos Rutas'!W514),'Base de datos Rutas'!W514,"")</f>
        <v>2866.2444123371242</v>
      </c>
      <c r="AN516" s="787">
        <f>IFERROR(SUMIFS('Base de datos Rutas'!$W$6:$W$794,'Base de datos Rutas'!$C$6:$C$794,$C516)/'Base de datos Rutas'!I514,"")</f>
        <v>2866.2444123371242</v>
      </c>
      <c r="AO516" s="800">
        <f>IFERROR('Base de datos Rutas'!X514*AN516/AM516,"")</f>
        <v>0.40462988446513853</v>
      </c>
      <c r="AP516" s="800">
        <f t="shared" si="273"/>
        <v>0.59537011553486141</v>
      </c>
      <c r="AQ516" s="789">
        <f>IFERROR(INDEX('Hoja de apoyo v2'!$J$17:$J$20,MATCH($A516,'Hoja de apoyo v2'!$A$17:$A$20,0)),"")</f>
        <v>0.64320274048480885</v>
      </c>
      <c r="AR516" s="789">
        <f t="shared" si="274"/>
        <v>-4.7832624949947444E-2</v>
      </c>
      <c r="AS516" s="784" t="str">
        <f t="shared" si="275"/>
        <v>No</v>
      </c>
      <c r="AT516" s="801" t="str">
        <f>IF(ISNUMBER('Base de datos Rutas'!CK514),'Base de datos Rutas'!CK514,"")</f>
        <v/>
      </c>
      <c r="AU516" s="802" t="str">
        <f>IF(ISNUMBER('Base de datos Rutas'!CL514),'Base de datos Rutas'!CL514,"")</f>
        <v/>
      </c>
      <c r="AV516" s="802">
        <f>IF(ISNUMBER('Base de datos Rutas'!CM514),'Base de datos Rutas'!CM514,"")</f>
        <v>0</v>
      </c>
      <c r="AW516" s="802" t="str">
        <f>IF(ISNUMBER('Base de datos Rutas'!CN514),'Base de datos Rutas'!CN514,"")</f>
        <v/>
      </c>
      <c r="AX516" s="802" t="str">
        <f>IF(ISNUMBER('Base de datos Rutas'!CO514),'Base de datos Rutas'!CO514,"")</f>
        <v/>
      </c>
      <c r="AY516" s="802">
        <f>IF(ISNUMBER('Base de datos Rutas'!CP514),'Base de datos Rutas'!CP514,"")</f>
        <v>0</v>
      </c>
      <c r="AZ516" s="802" t="str">
        <f>IF(ISNUMBER('Base de datos Rutas'!CQ514),'Base de datos Rutas'!CQ514,"")</f>
        <v/>
      </c>
      <c r="BA516" s="802" t="str">
        <f>IF(ISNUMBER('Base de datos Rutas'!CR514),'Base de datos Rutas'!CR514,"")</f>
        <v/>
      </c>
      <c r="BB516" s="803">
        <f>IF(ISNUMBER('Base de datos Rutas'!CS514),'Base de datos Rutas'!CS514,"")</f>
        <v>0</v>
      </c>
      <c r="BC516" s="804" t="str">
        <f t="shared" si="285"/>
        <v/>
      </c>
      <c r="BD516" s="805" t="str">
        <f t="shared" si="286"/>
        <v>N/D</v>
      </c>
      <c r="BE516" s="806" t="str">
        <f t="shared" si="287"/>
        <v/>
      </c>
      <c r="BF516" s="890" t="str">
        <f>IF(ISNUMBER('Base de datos Rutas'!CX514),'Base de datos Rutas'!CX514/100,"")</f>
        <v/>
      </c>
      <c r="BG516" s="891" t="str">
        <f>IF(ISNUMBER('Base de datos Rutas'!CZ514),'Base de datos Rutas'!CZ514/100,"")</f>
        <v/>
      </c>
      <c r="BH516" s="892" t="str">
        <f>IF(ISNUMBER('Base de datos Rutas'!DA514),'Base de datos Rutas'!DA514,"")</f>
        <v/>
      </c>
      <c r="BI516" s="893" t="str">
        <f>IF(ISNUMBER('Base de datos Rutas'!DC514),'Base de datos Rutas'!DC514,"")</f>
        <v/>
      </c>
      <c r="BJ516" s="805" t="str">
        <f t="shared" si="288"/>
        <v>Sin dato</v>
      </c>
      <c r="BK516" s="783">
        <f t="shared" si="276"/>
        <v>0</v>
      </c>
      <c r="BL516" s="797">
        <f t="shared" si="277"/>
        <v>0</v>
      </c>
      <c r="BM516" s="797">
        <f t="shared" si="278"/>
        <v>0</v>
      </c>
      <c r="BN516" s="797">
        <f t="shared" si="279"/>
        <v>0</v>
      </c>
      <c r="BO516" s="798" cm="1">
        <f t="array" ref="BO516">SUMPRODUCT(--ISNUMBER($BF516:$BI516),$BK$3:$BN$3)</f>
        <v>0</v>
      </c>
      <c r="BP516" s="831" t="str">
        <f t="shared" si="289"/>
        <v/>
      </c>
      <c r="BQ516" s="834" t="str">
        <f t="shared" si="290"/>
        <v>Sin datos</v>
      </c>
      <c r="BR516" s="836" t="str">
        <f t="shared" si="280"/>
        <v/>
      </c>
      <c r="BS516" s="836" t="str">
        <f t="shared" si="281"/>
        <v/>
      </c>
      <c r="BT516" s="837" t="str">
        <f t="shared" si="282"/>
        <v>Sin datos</v>
      </c>
      <c r="BU516" s="807" t="str">
        <f t="shared" si="291"/>
        <v>No evaluable</v>
      </c>
      <c r="BV516" s="807" t="str">
        <f t="shared" si="283"/>
        <v>No evaluable</v>
      </c>
      <c r="BW516" s="808" t="str">
        <f t="shared" si="284"/>
        <v>Sin datos</v>
      </c>
    </row>
    <row r="517" spans="1:75">
      <c r="A517" s="780" t="str">
        <f>'Base de datos Rutas'!A515</f>
        <v>Occidente</v>
      </c>
      <c r="B517" s="781" t="str">
        <f>'Base de datos Rutas'!B515</f>
        <v>Zapopan</v>
      </c>
      <c r="C517" s="781" t="str">
        <f>'Base de datos Rutas'!C515</f>
        <v>Suc. Huentitán</v>
      </c>
      <c r="D517" s="782">
        <f>IF(ISNUMBER('Base de datos Rutas'!D515),'Base de datos Rutas'!D515,"Sin código")</f>
        <v>819416</v>
      </c>
      <c r="E517" s="783" t="str">
        <f>'Base de datos Rutas'!F515</f>
        <v>Activa</v>
      </c>
      <c r="F517" s="784" t="str">
        <f>'Base de datos Rutas'!H515</f>
        <v>Sí</v>
      </c>
      <c r="G517" s="785">
        <f>IF(ISNUMBER('Base de datos Rutas'!BE515),'Base de datos Rutas'!BE515,"")</f>
        <v>156.59016393442599</v>
      </c>
      <c r="H517" s="786">
        <f>IF(ISNUMBER('Base de datos Rutas'!BH515),'Base de datos Rutas'!BH515,"")</f>
        <v>2.8266331658291502E-3</v>
      </c>
      <c r="I517" s="788">
        <f>IFERROR(IF(OR(NOT(ISNUMBER('Base de datos Rutas'!O515)),N('Base de datos Rutas'!BK515)=0),"",'Base de datos Rutas'!O515/('Base de datos Rutas'!L515/'Base de datos Rutas'!BK515)),"")</f>
        <v>197.81308411214951</v>
      </c>
      <c r="J517" s="788">
        <f>IFERROR(IF(OR(NOT(ISNUMBER('Base de datos Rutas'!N515)),N('Base de datos Rutas'!BK515)=0),"",'Base de datos Rutas'!N515/('Base de datos Rutas'!L515/'Base de datos Rutas'!BK515)),"")</f>
        <v>91.028037383177562</v>
      </c>
      <c r="K517" s="788">
        <f>IFERROR(IF(OR(NOT(ISNUMBER('Base de datos Rutas'!J515)),N('Base de datos Rutas'!BK515)=0),"",'Base de datos Rutas'!J515/('Base de datos Rutas'!L515/'Base de datos Rutas'!BK515)),"")</f>
        <v>7.604433644859812</v>
      </c>
      <c r="L517" s="788">
        <f>IFERROR(IF(OR(NOT(ISNUMBER('Base de datos Rutas'!K515)),N('Base de datos Rutas'!BK515)=0),"",'Base de datos Rutas'!K515/('Base de datos Rutas'!L515/'Base de datos Rutas'!BK515)),"")</f>
        <v>1.8458025700934577</v>
      </c>
      <c r="M517" s="787">
        <f>IF(ISNUMBER('Base de datos Rutas'!AX515),'Base de datos Rutas'!AX515,"")</f>
        <v>417.67283783783802</v>
      </c>
      <c r="N517" s="790">
        <f>IFERROR(INDEX('Hoja de apoyo v2'!B$17:B$20,MATCH($A517,'Hoja de apoyo v2'!$A$17:$A$20,0)),"")</f>
        <v>89.41621024641401</v>
      </c>
      <c r="O517" s="791">
        <f>IFERROR(INDEX('Hoja de apoyo v2'!C$17:C$20,MATCH($A517,'Hoja de apoyo v2'!$A$17:$A$20,0)),"")</f>
        <v>0.54706375874806301</v>
      </c>
      <c r="P517" s="793">
        <f>IFERROR(INDEX('Hoja de apoyo v2'!D$17:D$20,MATCH($A517,'Hoja de apoyo v2'!$A$17:$A$20,0)),"")</f>
        <v>11095.153935793827</v>
      </c>
      <c r="Q517" s="793">
        <f>IFERROR(INDEX('Hoja de apoyo v2'!E$17:E$20,MATCH($A517,'Hoja de apoyo v2'!$A$17:$A$20,0)),"")</f>
        <v>6982.3202019701848</v>
      </c>
      <c r="R517" s="793">
        <f>IFERROR(INDEX('Hoja de apoyo v2'!F$17:F$20,MATCH($A517,'Hoja de apoyo v2'!$A$17:$A$20,0)),"")</f>
        <v>448.09513474485743</v>
      </c>
      <c r="S517" s="793">
        <f>IFERROR(INDEX('Hoja de apoyo v2'!G$17:G$20,MATCH($A517,'Hoja de apoyo v2'!$A$17:$A$20,0)),"")</f>
        <v>83.406300904207839</v>
      </c>
      <c r="T517" s="792">
        <f>IFERROR(INDEX('Hoja de apoyo v2'!H$17:H$20,MATCH($A517,'Hoja de apoyo v2'!$A$17:$A$20,0)),"")</f>
        <v>378.97014028925349</v>
      </c>
      <c r="U517" s="794">
        <f t="shared" si="256"/>
        <v>1.7512502878716665</v>
      </c>
      <c r="V517" s="795">
        <f t="shared" si="257"/>
        <v>5.1669172388567738E-3</v>
      </c>
      <c r="W517" s="795">
        <f t="shared" si="258"/>
        <v>1.782878230053115E-2</v>
      </c>
      <c r="X517" s="843">
        <f t="shared" si="259"/>
        <v>1.3036932531036374E-2</v>
      </c>
      <c r="Y517" s="843">
        <f t="shared" si="260"/>
        <v>1.697057846698052E-2</v>
      </c>
      <c r="Z517" s="843">
        <f t="shared" si="261"/>
        <v>2.2130253351163032E-2</v>
      </c>
      <c r="AA517" s="843">
        <f t="shared" si="262"/>
        <v>1.1021259815325932</v>
      </c>
      <c r="AB517" s="796">
        <f t="shared" si="263"/>
        <v>5</v>
      </c>
      <c r="AC517" s="797">
        <f t="shared" si="264"/>
        <v>1</v>
      </c>
      <c r="AD517" s="797">
        <f t="shared" si="265"/>
        <v>1</v>
      </c>
      <c r="AE517" s="842">
        <f t="shared" si="266"/>
        <v>1</v>
      </c>
      <c r="AF517" s="842">
        <f t="shared" si="267"/>
        <v>1</v>
      </c>
      <c r="AG517" s="842">
        <f t="shared" si="268"/>
        <v>1</v>
      </c>
      <c r="AH517" s="842">
        <f t="shared" si="269"/>
        <v>4</v>
      </c>
      <c r="AI517" s="826" cm="1">
        <f t="array" ref="AI517">SUMPRODUCT(--ISNUMBER($U517:$AA517),$AB$3:$AH$3)</f>
        <v>1</v>
      </c>
      <c r="AJ517" s="829">
        <f t="shared" si="270"/>
        <v>24.868728233526692</v>
      </c>
      <c r="AK517" s="827" t="str">
        <f t="shared" si="271"/>
        <v>Inmadura</v>
      </c>
      <c r="AL517" s="784" t="str">
        <f t="shared" si="272"/>
        <v>Alta</v>
      </c>
      <c r="AM517" s="799">
        <f>IF(ISNUMBER('Base de datos Rutas'!W515),'Base de datos Rutas'!W515,"")</f>
        <v>2866.2444123371242</v>
      </c>
      <c r="AN517" s="787">
        <f>IFERROR(SUMIFS('Base de datos Rutas'!$W$6:$W$794,'Base de datos Rutas'!$C$6:$C$794,$C517)/'Base de datos Rutas'!I515,"")</f>
        <v>2866.2444123371242</v>
      </c>
      <c r="AO517" s="800">
        <f>IFERROR('Base de datos Rutas'!X515*AN517/AM517,"")</f>
        <v>0.40462988446513853</v>
      </c>
      <c r="AP517" s="800">
        <f t="shared" si="273"/>
        <v>0.59537011553486141</v>
      </c>
      <c r="AQ517" s="789">
        <f>IFERROR(INDEX('Hoja de apoyo v2'!$J$17:$J$20,MATCH($A517,'Hoja de apoyo v2'!$A$17:$A$20,0)),"")</f>
        <v>0.64320274048480885</v>
      </c>
      <c r="AR517" s="789">
        <f t="shared" si="274"/>
        <v>-4.7832624949947444E-2</v>
      </c>
      <c r="AS517" s="784" t="str">
        <f t="shared" si="275"/>
        <v>No</v>
      </c>
      <c r="AT517" s="801" t="str">
        <f>IF(ISNUMBER('Base de datos Rutas'!CK515),'Base de datos Rutas'!CK515,"")</f>
        <v/>
      </c>
      <c r="AU517" s="802" t="str">
        <f>IF(ISNUMBER('Base de datos Rutas'!CL515),'Base de datos Rutas'!CL515,"")</f>
        <v/>
      </c>
      <c r="AV517" s="802">
        <f>IF(ISNUMBER('Base de datos Rutas'!CM515),'Base de datos Rutas'!CM515,"")</f>
        <v>0</v>
      </c>
      <c r="AW517" s="802" t="str">
        <f>IF(ISNUMBER('Base de datos Rutas'!CN515),'Base de datos Rutas'!CN515,"")</f>
        <v/>
      </c>
      <c r="AX517" s="802" t="str">
        <f>IF(ISNUMBER('Base de datos Rutas'!CO515),'Base de datos Rutas'!CO515,"")</f>
        <v/>
      </c>
      <c r="AY517" s="802">
        <f>IF(ISNUMBER('Base de datos Rutas'!CP515),'Base de datos Rutas'!CP515,"")</f>
        <v>0</v>
      </c>
      <c r="AZ517" s="802" t="str">
        <f>IF(ISNUMBER('Base de datos Rutas'!CQ515),'Base de datos Rutas'!CQ515,"")</f>
        <v/>
      </c>
      <c r="BA517" s="802" t="str">
        <f>IF(ISNUMBER('Base de datos Rutas'!CR515),'Base de datos Rutas'!CR515,"")</f>
        <v/>
      </c>
      <c r="BB517" s="803">
        <f>IF(ISNUMBER('Base de datos Rutas'!CS515),'Base de datos Rutas'!CS515,"")</f>
        <v>0</v>
      </c>
      <c r="BC517" s="804" t="str">
        <f t="shared" si="285"/>
        <v/>
      </c>
      <c r="BD517" s="805" t="str">
        <f t="shared" si="286"/>
        <v>N/D</v>
      </c>
      <c r="BE517" s="806" t="str">
        <f t="shared" si="287"/>
        <v/>
      </c>
      <c r="BF517" s="890" t="str">
        <f>IF(ISNUMBER('Base de datos Rutas'!CX515),'Base de datos Rutas'!CX515/100,"")</f>
        <v/>
      </c>
      <c r="BG517" s="891" t="str">
        <f>IF(ISNUMBER('Base de datos Rutas'!CZ515),'Base de datos Rutas'!CZ515/100,"")</f>
        <v/>
      </c>
      <c r="BH517" s="892" t="str">
        <f>IF(ISNUMBER('Base de datos Rutas'!DA515),'Base de datos Rutas'!DA515,"")</f>
        <v/>
      </c>
      <c r="BI517" s="893" t="str">
        <f>IF(ISNUMBER('Base de datos Rutas'!DC515),'Base de datos Rutas'!DC515,"")</f>
        <v/>
      </c>
      <c r="BJ517" s="805" t="str">
        <f t="shared" si="288"/>
        <v>Sin dato</v>
      </c>
      <c r="BK517" s="783">
        <f t="shared" si="276"/>
        <v>0</v>
      </c>
      <c r="BL517" s="797">
        <f t="shared" si="277"/>
        <v>0</v>
      </c>
      <c r="BM517" s="797">
        <f t="shared" si="278"/>
        <v>0</v>
      </c>
      <c r="BN517" s="797">
        <f t="shared" si="279"/>
        <v>0</v>
      </c>
      <c r="BO517" s="798" cm="1">
        <f t="array" ref="BO517">SUMPRODUCT(--ISNUMBER($BF517:$BI517),$BK$3:$BN$3)</f>
        <v>0</v>
      </c>
      <c r="BP517" s="831" t="str">
        <f t="shared" si="289"/>
        <v/>
      </c>
      <c r="BQ517" s="834" t="str">
        <f t="shared" si="290"/>
        <v>Sin datos</v>
      </c>
      <c r="BR517" s="836" t="str">
        <f t="shared" si="280"/>
        <v/>
      </c>
      <c r="BS517" s="836" t="str">
        <f t="shared" si="281"/>
        <v/>
      </c>
      <c r="BT517" s="837" t="str">
        <f t="shared" si="282"/>
        <v>Sin datos</v>
      </c>
      <c r="BU517" s="807" t="str">
        <f t="shared" si="291"/>
        <v>Con espacio</v>
      </c>
      <c r="BV517" s="807" t="str">
        <f t="shared" si="283"/>
        <v>Sin datos de zona</v>
      </c>
      <c r="BW517" s="808" t="str">
        <f t="shared" si="284"/>
        <v>Sin datos</v>
      </c>
    </row>
    <row r="518" spans="1:75">
      <c r="A518" s="780" t="str">
        <f>'Base de datos Rutas'!A516</f>
        <v>Occidente</v>
      </c>
      <c r="B518" s="781" t="str">
        <f>'Base de datos Rutas'!B516</f>
        <v>Zapopan</v>
      </c>
      <c r="C518" s="781" t="str">
        <f>'Base de datos Rutas'!C516</f>
        <v>Suc. Huentitán</v>
      </c>
      <c r="D518" s="782">
        <f>IF(ISNUMBER('Base de datos Rutas'!D516),'Base de datos Rutas'!D516,"Sin código")</f>
        <v>819418</v>
      </c>
      <c r="E518" s="783" t="str">
        <f>'Base de datos Rutas'!F516</f>
        <v>Activa</v>
      </c>
      <c r="F518" s="784" t="str">
        <f>'Base de datos Rutas'!H516</f>
        <v>Sí</v>
      </c>
      <c r="G518" s="785">
        <f>IF(ISNUMBER('Base de datos Rutas'!BE516),'Base de datos Rutas'!BE516,"")</f>
        <v>95.9097222222222</v>
      </c>
      <c r="H518" s="786">
        <f>IF(ISNUMBER('Base de datos Rutas'!BH516),'Base de datos Rutas'!BH516,"")</f>
        <v>0.34009123162696397</v>
      </c>
      <c r="I518" s="788">
        <f>IFERROR(IF(OR(NOT(ISNUMBER('Base de datos Rutas'!O516)),N('Base de datos Rutas'!BK516)=0),"",'Base de datos Rutas'!O516/('Base de datos Rutas'!L516/'Base de datos Rutas'!BK516)),"")</f>
        <v>1416.3726851851839</v>
      </c>
      <c r="J518" s="788">
        <f>IFERROR(IF(OR(NOT(ISNUMBER('Base de datos Rutas'!N516)),N('Base de datos Rutas'!BK516)=0),"",'Base de datos Rutas'!N516/('Base de datos Rutas'!L516/'Base de datos Rutas'!BK516)),"")</f>
        <v>5240.2523148148102</v>
      </c>
      <c r="K518" s="788">
        <f>IFERROR(IF(OR(NOT(ISNUMBER('Base de datos Rutas'!J516)),N('Base de datos Rutas'!BK516)=0),"",'Base de datos Rutas'!J516/('Base de datos Rutas'!L516/'Base de datos Rutas'!BK516)),"")</f>
        <v>365.70991851851818</v>
      </c>
      <c r="L518" s="788">
        <f>IFERROR(IF(OR(NOT(ISNUMBER('Base de datos Rutas'!K516)),N('Base de datos Rutas'!BK516)=0),"",'Base de datos Rutas'!K516/('Base de datos Rutas'!L516/'Base de datos Rutas'!BK516)),"")</f>
        <v>10.979795601851842</v>
      </c>
      <c r="M518" s="787">
        <f>IF(ISNUMBER('Base de datos Rutas'!AX516),'Base de datos Rutas'!AX516,"")</f>
        <v>204.078009367682</v>
      </c>
      <c r="N518" s="790">
        <f>IFERROR(INDEX('Hoja de apoyo v2'!B$17:B$20,MATCH($A518,'Hoja de apoyo v2'!$A$17:$A$20,0)),"")</f>
        <v>89.41621024641401</v>
      </c>
      <c r="O518" s="791">
        <f>IFERROR(INDEX('Hoja de apoyo v2'!C$17:C$20,MATCH($A518,'Hoja de apoyo v2'!$A$17:$A$20,0)),"")</f>
        <v>0.54706375874806301</v>
      </c>
      <c r="P518" s="793">
        <f>IFERROR(INDEX('Hoja de apoyo v2'!D$17:D$20,MATCH($A518,'Hoja de apoyo v2'!$A$17:$A$20,0)),"")</f>
        <v>11095.153935793827</v>
      </c>
      <c r="Q518" s="793">
        <f>IFERROR(INDEX('Hoja de apoyo v2'!E$17:E$20,MATCH($A518,'Hoja de apoyo v2'!$A$17:$A$20,0)),"")</f>
        <v>6982.3202019701848</v>
      </c>
      <c r="R518" s="793">
        <f>IFERROR(INDEX('Hoja de apoyo v2'!F$17:F$20,MATCH($A518,'Hoja de apoyo v2'!$A$17:$A$20,0)),"")</f>
        <v>448.09513474485743</v>
      </c>
      <c r="S518" s="793">
        <f>IFERROR(INDEX('Hoja de apoyo v2'!G$17:G$20,MATCH($A518,'Hoja de apoyo v2'!$A$17:$A$20,0)),"")</f>
        <v>83.406300904207839</v>
      </c>
      <c r="T518" s="792">
        <f>IFERROR(INDEX('Hoja de apoyo v2'!H$17:H$20,MATCH($A518,'Hoja de apoyo v2'!$A$17:$A$20,0)),"")</f>
        <v>378.97014028925349</v>
      </c>
      <c r="U518" s="794">
        <f t="shared" si="256"/>
        <v>1.0726211942768913</v>
      </c>
      <c r="V518" s="795">
        <f t="shared" si="257"/>
        <v>0.62166653555200091</v>
      </c>
      <c r="W518" s="795">
        <f t="shared" si="258"/>
        <v>0.12765687554959068</v>
      </c>
      <c r="X518" s="843">
        <f t="shared" si="259"/>
        <v>0.75050300805972503</v>
      </c>
      <c r="Y518" s="843">
        <f t="shared" si="260"/>
        <v>0.81614347079834093</v>
      </c>
      <c r="Z518" s="843">
        <f t="shared" si="261"/>
        <v>0.13164227981363352</v>
      </c>
      <c r="AA518" s="843">
        <f t="shared" si="262"/>
        <v>0.53850683120289378</v>
      </c>
      <c r="AB518" s="796">
        <f t="shared" si="263"/>
        <v>4</v>
      </c>
      <c r="AC518" s="797">
        <f t="shared" si="264"/>
        <v>2</v>
      </c>
      <c r="AD518" s="797">
        <f t="shared" si="265"/>
        <v>1</v>
      </c>
      <c r="AE518" s="842">
        <f t="shared" si="266"/>
        <v>3</v>
      </c>
      <c r="AF518" s="842">
        <f t="shared" si="267"/>
        <v>3</v>
      </c>
      <c r="AG518" s="842">
        <f t="shared" si="268"/>
        <v>1</v>
      </c>
      <c r="AH518" s="842">
        <f t="shared" si="269"/>
        <v>2</v>
      </c>
      <c r="AI518" s="826" cm="1">
        <f t="array" ref="AI518">SUMPRODUCT(--ISNUMBER($U518:$AA518),$AB$3:$AH$3)</f>
        <v>1</v>
      </c>
      <c r="AJ518" s="829">
        <f t="shared" si="270"/>
        <v>30.899526277144261</v>
      </c>
      <c r="AK518" s="827" t="str">
        <f t="shared" si="271"/>
        <v>Inmadura</v>
      </c>
      <c r="AL518" s="784" t="str">
        <f t="shared" si="272"/>
        <v>Alta</v>
      </c>
      <c r="AM518" s="799">
        <f>IF(ISNUMBER('Base de datos Rutas'!W516),'Base de datos Rutas'!W516,"")</f>
        <v>2866.2444123371242</v>
      </c>
      <c r="AN518" s="787">
        <f>IFERROR(SUMIFS('Base de datos Rutas'!$W$6:$W$794,'Base de datos Rutas'!$C$6:$C$794,$C518)/'Base de datos Rutas'!I516,"")</f>
        <v>2866.2444123371242</v>
      </c>
      <c r="AO518" s="800">
        <f>IFERROR('Base de datos Rutas'!X516*AN518/AM518,"")</f>
        <v>0.40462988446513853</v>
      </c>
      <c r="AP518" s="800">
        <f t="shared" si="273"/>
        <v>0.59537011553486141</v>
      </c>
      <c r="AQ518" s="789">
        <f>IFERROR(INDEX('Hoja de apoyo v2'!$J$17:$J$20,MATCH($A518,'Hoja de apoyo v2'!$A$17:$A$20,0)),"")</f>
        <v>0.64320274048480885</v>
      </c>
      <c r="AR518" s="789">
        <f t="shared" si="274"/>
        <v>-4.7832624949947444E-2</v>
      </c>
      <c r="AS518" s="784" t="str">
        <f t="shared" si="275"/>
        <v>No</v>
      </c>
      <c r="AT518" s="801">
        <f>IF(ISNUMBER('Base de datos Rutas'!CK516),'Base de datos Rutas'!CK516,"")</f>
        <v>319</v>
      </c>
      <c r="AU518" s="802">
        <f>IF(ISNUMBER('Base de datos Rutas'!CL516),'Base de datos Rutas'!CL516,"")</f>
        <v>342.27</v>
      </c>
      <c r="AV518" s="802">
        <f>IF(ISNUMBER('Base de datos Rutas'!CM516),'Base de datos Rutas'!CM516,"")</f>
        <v>23.269999999999982</v>
      </c>
      <c r="AW518" s="802">
        <f>IF(ISNUMBER('Base de datos Rutas'!CN516),'Base de datos Rutas'!CN516,"")</f>
        <v>9.52</v>
      </c>
      <c r="AX518" s="802">
        <f>IF(ISNUMBER('Base de datos Rutas'!CO516),'Base de datos Rutas'!CO516,"")</f>
        <v>9.4499999999999993</v>
      </c>
      <c r="AY518" s="802">
        <f>IF(ISNUMBER('Base de datos Rutas'!CP516),'Base de datos Rutas'!CP516,"")</f>
        <v>-7.0000000000000284E-2</v>
      </c>
      <c r="AZ518" s="802">
        <f>IF(ISNUMBER('Base de datos Rutas'!CQ516),'Base de datos Rutas'!CQ516,"")</f>
        <v>564.37</v>
      </c>
      <c r="BA518" s="802">
        <f>IF(ISNUMBER('Base de datos Rutas'!CR516),'Base de datos Rutas'!CR516,"")</f>
        <v>376.69</v>
      </c>
      <c r="BB518" s="803">
        <f>IF(ISNUMBER('Base de datos Rutas'!CS516),'Base de datos Rutas'!CS516,"")</f>
        <v>187.68</v>
      </c>
      <c r="BC518" s="804">
        <f t="shared" si="285"/>
        <v>1</v>
      </c>
      <c r="BD518" s="805" t="str">
        <f t="shared" si="286"/>
        <v>Saturada</v>
      </c>
      <c r="BE518" s="806">
        <f t="shared" si="287"/>
        <v>0.66745220334177935</v>
      </c>
      <c r="BF518" s="890">
        <f>IF(ISNUMBER('Base de datos Rutas'!CX516),'Base de datos Rutas'!CX516/100,"")</f>
        <v>0.15629708599857853</v>
      </c>
      <c r="BG518" s="891">
        <f>IF(ISNUMBER('Base de datos Rutas'!CZ516),'Base de datos Rutas'!CZ516/100,"")</f>
        <v>0.16180999763089315</v>
      </c>
      <c r="BH518" s="892">
        <f>IF(ISNUMBER('Base de datos Rutas'!DA516),'Base de datos Rutas'!DA516,"")</f>
        <v>184.1485343769364</v>
      </c>
      <c r="BI518" s="893">
        <f>IF(ISNUMBER('Base de datos Rutas'!DC516),'Base de datos Rutas'!DC516,"")</f>
        <v>10.108002082808113</v>
      </c>
      <c r="BJ518" s="805" t="str">
        <f t="shared" si="288"/>
        <v>Ruta (completo)</v>
      </c>
      <c r="BK518" s="783">
        <f t="shared" si="276"/>
        <v>2</v>
      </c>
      <c r="BL518" s="797">
        <f t="shared" si="277"/>
        <v>2</v>
      </c>
      <c r="BM518" s="797">
        <f t="shared" si="278"/>
        <v>3</v>
      </c>
      <c r="BN518" s="797">
        <f t="shared" si="279"/>
        <v>3</v>
      </c>
      <c r="BO518" s="798" cm="1">
        <f t="array" ref="BO518">SUMPRODUCT(--ISNUMBER($BF518:$BI518),$BK$3:$BN$3)</f>
        <v>1</v>
      </c>
      <c r="BP518" s="831">
        <f t="shared" si="289"/>
        <v>37.5</v>
      </c>
      <c r="BQ518" s="834" t="str">
        <f t="shared" si="290"/>
        <v>Medio</v>
      </c>
      <c r="BR518" s="836">
        <f t="shared" si="280"/>
        <v>48.174644707858192</v>
      </c>
      <c r="BS518" s="836">
        <f t="shared" si="281"/>
        <v>37.5</v>
      </c>
      <c r="BT518" s="837" t="str">
        <f t="shared" si="282"/>
        <v>P2</v>
      </c>
      <c r="BU518" s="807" t="str">
        <f t="shared" si="291"/>
        <v>Al tope</v>
      </c>
      <c r="BV518" s="807" t="str">
        <f t="shared" si="283"/>
        <v>Zona de bajo potencial</v>
      </c>
      <c r="BW518" s="808" t="str">
        <f t="shared" si="284"/>
        <v>P2 - Mantener</v>
      </c>
    </row>
    <row r="519" spans="1:75">
      <c r="A519" s="780" t="str">
        <f>'Base de datos Rutas'!A517</f>
        <v>Occidente</v>
      </c>
      <c r="B519" s="781" t="str">
        <f>'Base de datos Rutas'!B517</f>
        <v>Zapopan</v>
      </c>
      <c r="C519" s="781" t="str">
        <f>'Base de datos Rutas'!C517</f>
        <v>Suc. Huentitán</v>
      </c>
      <c r="D519" s="782">
        <f>IF(ISNUMBER('Base de datos Rutas'!D517),'Base de datos Rutas'!D517,"Sin código")</f>
        <v>819419</v>
      </c>
      <c r="E519" s="783" t="str">
        <f>'Base de datos Rutas'!F517</f>
        <v>Activa</v>
      </c>
      <c r="F519" s="784" t="str">
        <f>'Base de datos Rutas'!H517</f>
        <v>Sí</v>
      </c>
      <c r="G519" s="785">
        <f>IF(ISNUMBER('Base de datos Rutas'!BE517),'Base de datos Rutas'!BE517,"")</f>
        <v>81.451834862385297</v>
      </c>
      <c r="H519" s="786">
        <f>IF(ISNUMBER('Base de datos Rutas'!BH517),'Base de datos Rutas'!BH517,"")</f>
        <v>0.508292737870639</v>
      </c>
      <c r="I519" s="788">
        <f>IFERROR(IF(OR(NOT(ISNUMBER('Base de datos Rutas'!O517)),N('Base de datos Rutas'!BK517)=0),"",'Base de datos Rutas'!O517/('Base de datos Rutas'!L517/'Base de datos Rutas'!BK517)),"")</f>
        <v>2811.1284403669661</v>
      </c>
      <c r="J519" s="788">
        <f>IFERROR(IF(OR(NOT(ISNUMBER('Base de datos Rutas'!N517)),N('Base de datos Rutas'!BK517)=0),"",'Base de datos Rutas'!N517/('Base de datos Rutas'!L517/'Base de datos Rutas'!BK517)),"")</f>
        <v>6947.1123853210856</v>
      </c>
      <c r="K519" s="788">
        <f>IFERROR(IF(OR(NOT(ISNUMBER('Base de datos Rutas'!J517)),N('Base de datos Rutas'!BK517)=0),"",'Base de datos Rutas'!J517/('Base de datos Rutas'!L517/'Base de datos Rutas'!BK517)),"")</f>
        <v>486.72943302752185</v>
      </c>
      <c r="L519" s="788">
        <f>IFERROR(IF(OR(NOT(ISNUMBER('Base de datos Rutas'!K517)),N('Base de datos Rutas'!BK517)=0),"",'Base de datos Rutas'!K517/('Base de datos Rutas'!L517/'Base de datos Rutas'!BK517)),"")</f>
        <v>22.83833058027518</v>
      </c>
      <c r="M519" s="787">
        <f>IF(ISNUMBER('Base de datos Rutas'!AX517),'Base de datos Rutas'!AX517,"")</f>
        <v>236.10004210293101</v>
      </c>
      <c r="N519" s="790">
        <f>IFERROR(INDEX('Hoja de apoyo v2'!B$17:B$20,MATCH($A519,'Hoja de apoyo v2'!$A$17:$A$20,0)),"")</f>
        <v>89.41621024641401</v>
      </c>
      <c r="O519" s="791">
        <f>IFERROR(INDEX('Hoja de apoyo v2'!C$17:C$20,MATCH($A519,'Hoja de apoyo v2'!$A$17:$A$20,0)),"")</f>
        <v>0.54706375874806301</v>
      </c>
      <c r="P519" s="793">
        <f>IFERROR(INDEX('Hoja de apoyo v2'!D$17:D$20,MATCH($A519,'Hoja de apoyo v2'!$A$17:$A$20,0)),"")</f>
        <v>11095.153935793827</v>
      </c>
      <c r="Q519" s="793">
        <f>IFERROR(INDEX('Hoja de apoyo v2'!E$17:E$20,MATCH($A519,'Hoja de apoyo v2'!$A$17:$A$20,0)),"")</f>
        <v>6982.3202019701848</v>
      </c>
      <c r="R519" s="793">
        <f>IFERROR(INDEX('Hoja de apoyo v2'!F$17:F$20,MATCH($A519,'Hoja de apoyo v2'!$A$17:$A$20,0)),"")</f>
        <v>448.09513474485743</v>
      </c>
      <c r="S519" s="793">
        <f>IFERROR(INDEX('Hoja de apoyo v2'!G$17:G$20,MATCH($A519,'Hoja de apoyo v2'!$A$17:$A$20,0)),"")</f>
        <v>83.406300904207839</v>
      </c>
      <c r="T519" s="792">
        <f>IFERROR(INDEX('Hoja de apoyo v2'!H$17:H$20,MATCH($A519,'Hoja de apoyo v2'!$A$17:$A$20,0)),"")</f>
        <v>378.97014028925349</v>
      </c>
      <c r="U519" s="794">
        <f t="shared" si="256"/>
        <v>0.91092917758334402</v>
      </c>
      <c r="V519" s="795">
        <f t="shared" si="257"/>
        <v>0.92912888076126599</v>
      </c>
      <c r="W519" s="795">
        <f t="shared" si="258"/>
        <v>0.25336542932478362</v>
      </c>
      <c r="X519" s="843">
        <f t="shared" si="259"/>
        <v>0.99495757633126525</v>
      </c>
      <c r="Y519" s="843">
        <f t="shared" si="260"/>
        <v>1.0862189639810809</v>
      </c>
      <c r="Z519" s="843">
        <f t="shared" si="261"/>
        <v>0.27382020701895182</v>
      </c>
      <c r="AA519" s="843">
        <f t="shared" si="262"/>
        <v>0.62300433992695259</v>
      </c>
      <c r="AB519" s="796">
        <f t="shared" si="263"/>
        <v>3</v>
      </c>
      <c r="AC519" s="797">
        <f t="shared" si="264"/>
        <v>3</v>
      </c>
      <c r="AD519" s="797">
        <f t="shared" si="265"/>
        <v>1</v>
      </c>
      <c r="AE519" s="842">
        <f t="shared" si="266"/>
        <v>3</v>
      </c>
      <c r="AF519" s="842">
        <f t="shared" si="267"/>
        <v>4</v>
      </c>
      <c r="AG519" s="842">
        <f t="shared" si="268"/>
        <v>1</v>
      </c>
      <c r="AH519" s="842">
        <f t="shared" si="269"/>
        <v>2</v>
      </c>
      <c r="AI519" s="826" cm="1">
        <f t="array" ref="AI519">SUMPRODUCT(--ISNUMBER($U519:$AA519),$AB$3:$AH$3)</f>
        <v>1</v>
      </c>
      <c r="AJ519" s="829">
        <f t="shared" si="270"/>
        <v>31.674840196937794</v>
      </c>
      <c r="AK519" s="827" t="str">
        <f t="shared" si="271"/>
        <v>Inmadura</v>
      </c>
      <c r="AL519" s="784" t="str">
        <f t="shared" si="272"/>
        <v>Alta</v>
      </c>
      <c r="AM519" s="799">
        <f>IF(ISNUMBER('Base de datos Rutas'!W517),'Base de datos Rutas'!W517,"")</f>
        <v>2866.2444123371242</v>
      </c>
      <c r="AN519" s="787">
        <f>IFERROR(SUMIFS('Base de datos Rutas'!$W$6:$W$794,'Base de datos Rutas'!$C$6:$C$794,$C519)/'Base de datos Rutas'!I517,"")</f>
        <v>2866.2444123371242</v>
      </c>
      <c r="AO519" s="800">
        <f>IFERROR('Base de datos Rutas'!X517*AN519/AM519,"")</f>
        <v>0.40462988446513853</v>
      </c>
      <c r="AP519" s="800">
        <f t="shared" si="273"/>
        <v>0.59537011553486141</v>
      </c>
      <c r="AQ519" s="789">
        <f>IFERROR(INDEX('Hoja de apoyo v2'!$J$17:$J$20,MATCH($A519,'Hoja de apoyo v2'!$A$17:$A$20,0)),"")</f>
        <v>0.64320274048480885</v>
      </c>
      <c r="AR519" s="789">
        <f t="shared" si="274"/>
        <v>-4.7832624949947444E-2</v>
      </c>
      <c r="AS519" s="784" t="str">
        <f t="shared" si="275"/>
        <v>No</v>
      </c>
      <c r="AT519" s="801">
        <f>IF(ISNUMBER('Base de datos Rutas'!CK517),'Base de datos Rutas'!CK517,"")</f>
        <v>407</v>
      </c>
      <c r="AU519" s="802">
        <f>IF(ISNUMBER('Base de datos Rutas'!CL517),'Base de datos Rutas'!CL517,"")</f>
        <v>471.65</v>
      </c>
      <c r="AV519" s="802">
        <f>IF(ISNUMBER('Base de datos Rutas'!CM517),'Base de datos Rutas'!CM517,"")</f>
        <v>64.649999999999977</v>
      </c>
      <c r="AW519" s="802">
        <f>IF(ISNUMBER('Base de datos Rutas'!CN517),'Base de datos Rutas'!CN517,"")</f>
        <v>13.48</v>
      </c>
      <c r="AX519" s="802">
        <f>IF(ISNUMBER('Base de datos Rutas'!CO517),'Base de datos Rutas'!CO517,"")</f>
        <v>9.4499999999999993</v>
      </c>
      <c r="AY519" s="802">
        <f>IF(ISNUMBER('Base de datos Rutas'!CP517),'Base de datos Rutas'!CP517,"")</f>
        <v>-4.0300000000000011</v>
      </c>
      <c r="AZ519" s="802">
        <f>IF(ISNUMBER('Base de datos Rutas'!CQ517),'Base de datos Rutas'!CQ517,"")</f>
        <v>846.56</v>
      </c>
      <c r="BA519" s="802">
        <f>IF(ISNUMBER('Base de datos Rutas'!CR517),'Base de datos Rutas'!CR517,"")</f>
        <v>509.57</v>
      </c>
      <c r="BB519" s="803">
        <f>IF(ISNUMBER('Base de datos Rutas'!CS517),'Base de datos Rutas'!CS517,"")</f>
        <v>336.98999999999995</v>
      </c>
      <c r="BC519" s="804">
        <f t="shared" si="285"/>
        <v>1</v>
      </c>
      <c r="BD519" s="805" t="str">
        <f t="shared" si="286"/>
        <v>Saturada</v>
      </c>
      <c r="BE519" s="806">
        <f t="shared" si="287"/>
        <v>0.60193016443016445</v>
      </c>
      <c r="BF519" s="890">
        <f>IF(ISNUMBER('Base de datos Rutas'!CX517),'Base de datos Rutas'!CX517/100,"")</f>
        <v>0.17657868596565912</v>
      </c>
      <c r="BG519" s="891">
        <f>IF(ISNUMBER('Base de datos Rutas'!CZ517),'Base de datos Rutas'!CZ517/100,"")</f>
        <v>0.18575280261104016</v>
      </c>
      <c r="BH519" s="892">
        <f>IF(ISNUMBER('Base de datos Rutas'!DA517),'Base de datos Rutas'!DA517,"")</f>
        <v>104.48430532998673</v>
      </c>
      <c r="BI519" s="893">
        <f>IF(ISNUMBER('Base de datos Rutas'!DC517),'Base de datos Rutas'!DC517,"")</f>
        <v>5.4047232358172863</v>
      </c>
      <c r="BJ519" s="805" t="str">
        <f t="shared" si="288"/>
        <v>Ruta (completo)</v>
      </c>
      <c r="BK519" s="783">
        <f t="shared" si="276"/>
        <v>2</v>
      </c>
      <c r="BL519" s="797">
        <f t="shared" si="277"/>
        <v>2</v>
      </c>
      <c r="BM519" s="797">
        <f t="shared" si="278"/>
        <v>2</v>
      </c>
      <c r="BN519" s="797">
        <f t="shared" si="279"/>
        <v>2</v>
      </c>
      <c r="BO519" s="798" cm="1">
        <f t="array" ref="BO519">SUMPRODUCT(--ISNUMBER($BF519:$BI519),$BK$3:$BN$3)</f>
        <v>1</v>
      </c>
      <c r="BP519" s="831">
        <f t="shared" si="289"/>
        <v>25</v>
      </c>
      <c r="BQ519" s="834" t="str">
        <f t="shared" si="290"/>
        <v>Medio</v>
      </c>
      <c r="BR519" s="836">
        <f t="shared" si="280"/>
        <v>48.756130147703345</v>
      </c>
      <c r="BS519" s="836">
        <f t="shared" si="281"/>
        <v>25</v>
      </c>
      <c r="BT519" s="837" t="str">
        <f t="shared" si="282"/>
        <v>P2</v>
      </c>
      <c r="BU519" s="807" t="str">
        <f t="shared" si="291"/>
        <v>Al tope</v>
      </c>
      <c r="BV519" s="807" t="str">
        <f t="shared" si="283"/>
        <v>Zona de bajo potencial</v>
      </c>
      <c r="BW519" s="808" t="str">
        <f t="shared" si="284"/>
        <v>P2 - Mantener</v>
      </c>
    </row>
    <row r="520" spans="1:75">
      <c r="A520" s="780" t="str">
        <f>'Base de datos Rutas'!A518</f>
        <v>Occidente</v>
      </c>
      <c r="B520" s="781" t="str">
        <f>'Base de datos Rutas'!B518</f>
        <v>Zapopan</v>
      </c>
      <c r="C520" s="781" t="str">
        <f>'Base de datos Rutas'!C518</f>
        <v>Suc. Huentitán</v>
      </c>
      <c r="D520" s="782">
        <f>IF(ISNUMBER('Base de datos Rutas'!D518),'Base de datos Rutas'!D518,"Sin código")</f>
        <v>819420</v>
      </c>
      <c r="E520" s="783" t="str">
        <f>'Base de datos Rutas'!F518</f>
        <v>Activa</v>
      </c>
      <c r="F520" s="784" t="str">
        <f>'Base de datos Rutas'!H518</f>
        <v>Sí</v>
      </c>
      <c r="G520" s="785">
        <f>IF(ISNUMBER('Base de datos Rutas'!BE518),'Base de datos Rutas'!BE518,"")</f>
        <v>66.416091954023003</v>
      </c>
      <c r="H520" s="786">
        <f>IF(ISNUMBER('Base de datos Rutas'!BH518),'Base de datos Rutas'!BH518,"")</f>
        <v>0.58443806029559398</v>
      </c>
      <c r="I520" s="788">
        <f>IFERROR(IF(OR(NOT(ISNUMBER('Base de datos Rutas'!O518)),N('Base de datos Rutas'!BK518)=0),"",'Base de datos Rutas'!O518/('Base de datos Rutas'!L518/'Base de datos Rutas'!BK518)),"")</f>
        <v>2547.7310344827652</v>
      </c>
      <c r="J520" s="788">
        <f>IFERROR(IF(OR(NOT(ISNUMBER('Base de datos Rutas'!N518)),N('Base de datos Rutas'!BK518)=0),"",'Base de datos Rutas'!N518/('Base de datos Rutas'!L518/'Base de datos Rutas'!BK518)),"")</f>
        <v>7108.2850574712829</v>
      </c>
      <c r="K520" s="788">
        <f>IFERROR(IF(OR(NOT(ISNUMBER('Base de datos Rutas'!J518)),N('Base de datos Rutas'!BK518)=0),"",'Base de datos Rutas'!J518/('Base de datos Rutas'!L518/'Base de datos Rutas'!BK518)),"")</f>
        <v>489.52452781609321</v>
      </c>
      <c r="L520" s="788">
        <f>IFERROR(IF(OR(NOT(ISNUMBER('Base de datos Rutas'!K518)),N('Base de datos Rutas'!BK518)=0),"",'Base de datos Rutas'!K518/('Base de datos Rutas'!L518/'Base de datos Rutas'!BK518)),"")</f>
        <v>19.208964137931087</v>
      </c>
      <c r="M520" s="787">
        <f>IF(ISNUMBER('Base de datos Rutas'!AX518),'Base de datos Rutas'!AX518,"")</f>
        <v>248.763090316849</v>
      </c>
      <c r="N520" s="790">
        <f>IFERROR(INDEX('Hoja de apoyo v2'!B$17:B$20,MATCH($A520,'Hoja de apoyo v2'!$A$17:$A$20,0)),"")</f>
        <v>89.41621024641401</v>
      </c>
      <c r="O520" s="791">
        <f>IFERROR(INDEX('Hoja de apoyo v2'!C$17:C$20,MATCH($A520,'Hoja de apoyo v2'!$A$17:$A$20,0)),"")</f>
        <v>0.54706375874806301</v>
      </c>
      <c r="P520" s="793">
        <f>IFERROR(INDEX('Hoja de apoyo v2'!D$17:D$20,MATCH($A520,'Hoja de apoyo v2'!$A$17:$A$20,0)),"")</f>
        <v>11095.153935793827</v>
      </c>
      <c r="Q520" s="793">
        <f>IFERROR(INDEX('Hoja de apoyo v2'!E$17:E$20,MATCH($A520,'Hoja de apoyo v2'!$A$17:$A$20,0)),"")</f>
        <v>6982.3202019701848</v>
      </c>
      <c r="R520" s="793">
        <f>IFERROR(INDEX('Hoja de apoyo v2'!F$17:F$20,MATCH($A520,'Hoja de apoyo v2'!$A$17:$A$20,0)),"")</f>
        <v>448.09513474485743</v>
      </c>
      <c r="S520" s="793">
        <f>IFERROR(INDEX('Hoja de apoyo v2'!G$17:G$20,MATCH($A520,'Hoja de apoyo v2'!$A$17:$A$20,0)),"")</f>
        <v>83.406300904207839</v>
      </c>
      <c r="T520" s="792">
        <f>IFERROR(INDEX('Hoja de apoyo v2'!H$17:H$20,MATCH($A520,'Hoja de apoyo v2'!$A$17:$A$20,0)),"")</f>
        <v>378.97014028925349</v>
      </c>
      <c r="U520" s="794">
        <f t="shared" ref="U520:U583" si="292">IFERROR(G520/N520,"")</f>
        <v>0.74277462409772155</v>
      </c>
      <c r="V520" s="795">
        <f t="shared" ref="V520:V583" si="293">IFERROR(H520/O520,"")</f>
        <v>1.0683179994102714</v>
      </c>
      <c r="W520" s="795">
        <f t="shared" ref="W520:W583" si="294">IFERROR(IF(N(P520)=0,"",I520/P520),"")</f>
        <v>0.22962556889486563</v>
      </c>
      <c r="X520" s="843">
        <f t="shared" ref="X520:X583" si="295">IFERROR(IF(N(Q520)=0,"",J520/Q520),"")</f>
        <v>1.0180405440967251</v>
      </c>
      <c r="Y520" s="843">
        <f t="shared" ref="Y520:Y583" si="296">IFERROR(IF(N(R520)=0,"",K520/R520),"")</f>
        <v>1.0924566902401773</v>
      </c>
      <c r="Z520" s="843">
        <f t="shared" ref="Z520:Z583" si="297">IFERROR(IF(N(S520)=0,"",L520/S520),"")</f>
        <v>0.23030591130030556</v>
      </c>
      <c r="AA520" s="843">
        <f t="shared" ref="AA520:AA583" si="298">IFERROR(IF(N(T520)=0,"",M520/T520),"")</f>
        <v>0.65641870920747902</v>
      </c>
      <c r="AB520" s="796">
        <f t="shared" ref="AB520:AB583" si="299">IF(NOT(ISNUMBER(U520)),0,IFERROR(MATCH(U520,$U$3:$X$3,1)+1,1))</f>
        <v>2</v>
      </c>
      <c r="AC520" s="797">
        <f t="shared" ref="AC520:AC583" si="300">IF(NOT(ISNUMBER(V520)),0,IFERROR(MATCH(V520,$U$3:$X$3,1)+1,1))</f>
        <v>4</v>
      </c>
      <c r="AD520" s="797">
        <f t="shared" ref="AD520:AD583" si="301">IF(NOT(ISNUMBER(W520)),0,IFERROR(MATCH(W520,$U$3:$X$3,1)+1,1))</f>
        <v>1</v>
      </c>
      <c r="AE520" s="842">
        <f t="shared" ref="AE520:AE583" si="302">IF(NOT(ISNUMBER(X520)),0,IFERROR(MATCH(X520,$U$3:$X$3,1)+1,1))</f>
        <v>4</v>
      </c>
      <c r="AF520" s="842">
        <f t="shared" ref="AF520:AF583" si="303">IF(NOT(ISNUMBER(Y520)),0,IFERROR(MATCH(Y520,$U$3:$X$3,1)+1,1))</f>
        <v>4</v>
      </c>
      <c r="AG520" s="842">
        <f t="shared" ref="AG520:AG583" si="304">IF(NOT(ISNUMBER(Z520)),0,IFERROR(MATCH(Z520,$U$3:$X$3,1)+1,1))</f>
        <v>1</v>
      </c>
      <c r="AH520" s="842">
        <f t="shared" ref="AH520:AH583" si="305">IF(NOT(ISNUMBER(AA520)),0,IFERROR(MATCH(AA520,$U$3:$X$3,1)+1,1))</f>
        <v>2</v>
      </c>
      <c r="AI520" s="826" cm="1">
        <f t="array" ref="AI520">SUMPRODUCT(--ISNUMBER($U520:$AA520),$AB$3:$AH$3)</f>
        <v>1</v>
      </c>
      <c r="AJ520" s="829">
        <f t="shared" ref="AJ520:AJ583" si="306">IF(OR($E520&lt;&gt;"Activa",$F520&lt;&gt;"Sí",AI520&lt;$AI$4),"",(SUMPRODUCT($AB520:$AH520,$AB$3:$AH$3)/AI520-1)/4*100)</f>
        <v>32.933557250910205</v>
      </c>
      <c r="AK520" s="827" t="str">
        <f t="shared" ref="AK520:AK583" si="307">IF($E520&lt;&gt;"Activa","Ruta inactiva",IF($F520&lt;&gt;"Sí","No elegible",IF(AJ520="","Sin datos",IF(AJ520&gt;=$AJ$4,"Madura",IF(AJ520&lt;$AK$4,"Inmadura","En desarrollo")))))</f>
        <v>Inmadura</v>
      </c>
      <c r="AL520" s="784" t="str">
        <f t="shared" ref="AL520:AL583" si="308">IF(AJ520="","n/a",IF(AI520&gt;=$AL$3,"Alta",IF(AI520&gt;=$AL$4,"Media","Baja")))</f>
        <v>Alta</v>
      </c>
      <c r="AM520" s="799">
        <f>IF(ISNUMBER('Base de datos Rutas'!W518),'Base de datos Rutas'!W518,"")</f>
        <v>2866.2444123371242</v>
      </c>
      <c r="AN520" s="787">
        <f>IFERROR(SUMIFS('Base de datos Rutas'!$W$6:$W$794,'Base de datos Rutas'!$C$6:$C$794,$C520)/'Base de datos Rutas'!I518,"")</f>
        <v>2866.2444123371242</v>
      </c>
      <c r="AO520" s="800">
        <f>IFERROR('Base de datos Rutas'!X518*AN520/AM520,"")</f>
        <v>0.40462988446513853</v>
      </c>
      <c r="AP520" s="800">
        <f t="shared" ref="AP520:AP583" si="309">IF(ISNUMBER(AO520),1-AO520,"")</f>
        <v>0.59537011553486141</v>
      </c>
      <c r="AQ520" s="789">
        <f>IFERROR(INDEX('Hoja de apoyo v2'!$J$17:$J$20,MATCH($A520,'Hoja de apoyo v2'!$A$17:$A$20,0)),"")</f>
        <v>0.64320274048480885</v>
      </c>
      <c r="AR520" s="789">
        <f t="shared" ref="AR520:AR583" si="310">IF(AND(ISNUMBER($AP520),ISNUMBER($AQ520)),$AP520-$AQ520,"")</f>
        <v>-4.7832624949947444E-2</v>
      </c>
      <c r="AS520" s="784" t="str">
        <f t="shared" ref="AS520:AS583" si="311">IF(NOT(ISNUMBER(AO520)),"n/d",IF(AO520&gt;=$AO$4,"Sí","No"))</f>
        <v>No</v>
      </c>
      <c r="AT520" s="801">
        <f>IF(ISNUMBER('Base de datos Rutas'!CK518),'Base de datos Rutas'!CK518,"")</f>
        <v>339</v>
      </c>
      <c r="AU520" s="802">
        <f>IF(ISNUMBER('Base de datos Rutas'!CL518),'Base de datos Rutas'!CL518,"")</f>
        <v>432.44</v>
      </c>
      <c r="AV520" s="802">
        <f>IF(ISNUMBER('Base de datos Rutas'!CM518),'Base de datos Rutas'!CM518,"")</f>
        <v>93.44</v>
      </c>
      <c r="AW520" s="802">
        <f>IF(ISNUMBER('Base de datos Rutas'!CN518),'Base de datos Rutas'!CN518,"")</f>
        <v>10.74</v>
      </c>
      <c r="AX520" s="802">
        <f>IF(ISNUMBER('Base de datos Rutas'!CO518),'Base de datos Rutas'!CO518,"")</f>
        <v>9.4499999999999993</v>
      </c>
      <c r="AY520" s="802">
        <f>IF(ISNUMBER('Base de datos Rutas'!CP518),'Base de datos Rutas'!CP518,"")</f>
        <v>-1.2900000000000009</v>
      </c>
      <c r="AZ520" s="802">
        <f>IF(ISNUMBER('Base de datos Rutas'!CQ518),'Base de datos Rutas'!CQ518,"")</f>
        <v>846.56</v>
      </c>
      <c r="BA520" s="802">
        <f>IF(ISNUMBER('Base de datos Rutas'!CR518),'Base de datos Rutas'!CR518,"")</f>
        <v>508.73</v>
      </c>
      <c r="BB520" s="803">
        <f>IF(ISNUMBER('Base de datos Rutas'!CS518),'Base de datos Rutas'!CS518,"")</f>
        <v>337.82999999999993</v>
      </c>
      <c r="BC520" s="804">
        <f t="shared" si="285"/>
        <v>1</v>
      </c>
      <c r="BD520" s="805" t="str">
        <f t="shared" si="286"/>
        <v>Saturada</v>
      </c>
      <c r="BE520" s="806">
        <f t="shared" si="287"/>
        <v>0.60093791343791347</v>
      </c>
      <c r="BF520" s="890">
        <f>IF(ISNUMBER('Base de datos Rutas'!CX518),'Base de datos Rutas'!CX518/100,"")</f>
        <v>0.27579059829059827</v>
      </c>
      <c r="BG520" s="891">
        <f>IF(ISNUMBER('Base de datos Rutas'!CZ518),'Base de datos Rutas'!CZ518/100,"")</f>
        <v>0.30074786324786323</v>
      </c>
      <c r="BH520" s="892">
        <f>IF(ISNUMBER('Base de datos Rutas'!DA518),'Base de datos Rutas'!DA518,"")</f>
        <v>345.37028070797197</v>
      </c>
      <c r="BI520" s="893">
        <f>IF(ISNUMBER('Base de datos Rutas'!DC518),'Base de datos Rutas'!DC518,"")</f>
        <v>17.803361094896598</v>
      </c>
      <c r="BJ520" s="805" t="str">
        <f t="shared" si="288"/>
        <v>Ruta (completo)</v>
      </c>
      <c r="BK520" s="783">
        <f t="shared" ref="BK520:BK583" si="312">IF(NOT(ISNUMBER($BF520)),0,MIN(5,1+INT(5*COUNTIFS($C$8:$C$796,$C520,$BF$8:$BF$796,"&lt;"&amp;$BF520)/COUNTIFS($C$8:$C$796,$C520,$BF$8:$BF$796,"&gt;=-1E+300"))))</f>
        <v>2</v>
      </c>
      <c r="BL520" s="797">
        <f t="shared" ref="BL520:BL583" si="313">IF(NOT(ISNUMBER($BG520)),0,MIN(5,1+INT(5*COUNTIFS($C$8:$C$796,$C520,$BG$8:$BG$796,"&lt;"&amp;$BG520)/COUNTIFS($C$8:$C$796,$C520,$BG$8:$BG$796,"&gt;=-1E+300"))))</f>
        <v>2</v>
      </c>
      <c r="BM520" s="797">
        <f t="shared" ref="BM520:BM583" si="314">IF(NOT(ISNUMBER($BH520)),0,MIN(5,1+INT(5*COUNTIFS($C$8:$C$796,$C520,$BH$8:$BH$796,"&lt;"&amp;$BH520)/COUNTIFS($C$8:$C$796,$C520,$BH$8:$BH$796,"&gt;=-1E+300"))))</f>
        <v>3</v>
      </c>
      <c r="BN520" s="797">
        <f t="shared" ref="BN520:BN583" si="315">IF(NOT(ISNUMBER($BI520)),0,MIN(5,1+INT(5*COUNTIFS($C$8:$C$796,$C520,$BI$8:$BI$796,"&lt;"&amp;$BI520)/COUNTIFS($C$8:$C$796,$C520,$BI$8:$BI$796,"&gt;=-1E+300"))))</f>
        <v>3</v>
      </c>
      <c r="BO520" s="798" cm="1">
        <f t="array" ref="BO520">SUMPRODUCT(--ISNUMBER($BF520:$BI520),$BK$3:$BN$3)</f>
        <v>1</v>
      </c>
      <c r="BP520" s="831">
        <f t="shared" si="289"/>
        <v>37.5</v>
      </c>
      <c r="BQ520" s="834" t="str">
        <f t="shared" si="290"/>
        <v>Medio</v>
      </c>
      <c r="BR520" s="836">
        <f t="shared" ref="BR520:BR583" si="316">IF(OR(NOT(ISNUMBER($AJ520)),$BD520="N/D"),"",$AJ520*$BS$3+IF($BD520="Saturada",100,0)*$BU$3)</f>
        <v>49.700167938182652</v>
      </c>
      <c r="BS520" s="836">
        <f t="shared" ref="BS520:BS583" si="317">IF(ISNUMBER($BP520),$BP520,"")</f>
        <v>37.5</v>
      </c>
      <c r="BT520" s="837" t="str">
        <f t="shared" ref="BT520:BT583" si="318">IF(OR(NOT(ISNUMBER($BR520)),NOT(ISNUMBER($BS520))),"Sin datos",IF($BR520&gt;=$BS$4,IF($BS520&gt;=$BU$4,"P1","P2"),IF($BS520&gt;=$BU$4,"P3","P4")))</f>
        <v>P2</v>
      </c>
      <c r="BU520" s="807" t="str">
        <f t="shared" si="291"/>
        <v>Al tope</v>
      </c>
      <c r="BV520" s="807" t="str">
        <f t="shared" ref="BV520:BV583" si="319">IF($BU520="No evaluable","No evaluable",IF($BQ520="Sin datos","Sin datos de zona",IF($BQ520="Alto","Zona atractiva","Zona de bajo potencial")))</f>
        <v>Zona de bajo potencial</v>
      </c>
      <c r="BW520" s="808" t="str">
        <f t="shared" ref="BW520:BW583" si="320">IFERROR(IF($BT520="P1","P1 - Ampliar cobertura",IF($BT520="P2","P2 - Mantener",IF($BT520="P3","P3 - Desarrollar",IF($BT520="P4","P4 - Evaluar","Sin datos")))),"Sin datos")</f>
        <v>P2 - Mantener</v>
      </c>
    </row>
    <row r="521" spans="1:75">
      <c r="A521" s="780" t="str">
        <f>'Base de datos Rutas'!A519</f>
        <v>Occidente</v>
      </c>
      <c r="B521" s="781" t="str">
        <f>'Base de datos Rutas'!B519</f>
        <v>Zapopan</v>
      </c>
      <c r="C521" s="781" t="str">
        <f>'Base de datos Rutas'!C519</f>
        <v>Suc. Huentitán</v>
      </c>
      <c r="D521" s="782">
        <f>IF(ISNUMBER('Base de datos Rutas'!D519),'Base de datos Rutas'!D519,"Sin código")</f>
        <v>819421</v>
      </c>
      <c r="E521" s="783" t="str">
        <f>'Base de datos Rutas'!F519</f>
        <v>Activa</v>
      </c>
      <c r="F521" s="784" t="str">
        <f>'Base de datos Rutas'!H519</f>
        <v>Sí</v>
      </c>
      <c r="G521" s="785">
        <f>IF(ISNUMBER('Base de datos Rutas'!BE519),'Base de datos Rutas'!BE519,"")</f>
        <v>92.709302325581405</v>
      </c>
      <c r="H521" s="786">
        <f>IF(ISNUMBER('Base de datos Rutas'!BH519),'Base de datos Rutas'!BH519,"")</f>
        <v>0.40431456164555402</v>
      </c>
      <c r="I521" s="788">
        <f>IFERROR(IF(OR(NOT(ISNUMBER('Base de datos Rutas'!O519)),N('Base de datos Rutas'!BK519)=0),"",'Base de datos Rutas'!O519/('Base de datos Rutas'!L519/'Base de datos Rutas'!BK519)),"")</f>
        <v>1780.7883720930217</v>
      </c>
      <c r="J521" s="788">
        <f>IFERROR(IF(OR(NOT(ISNUMBER('Base de datos Rutas'!N519)),N('Base de datos Rutas'!BK519)=0),"",'Base de datos Rutas'!N519/('Base de datos Rutas'!L519/'Base de datos Rutas'!BK519)),"")</f>
        <v>6440.0767441860417</v>
      </c>
      <c r="K521" s="788">
        <f>IFERROR(IF(OR(NOT(ISNUMBER('Base de datos Rutas'!J519)),N('Base de datos Rutas'!BK519)=0),"",'Base de datos Rutas'!J519/('Base de datos Rutas'!L519/'Base de datos Rutas'!BK519)),"")</f>
        <v>440.10340093023217</v>
      </c>
      <c r="L521" s="788">
        <f>IFERROR(IF(OR(NOT(ISNUMBER('Base de datos Rutas'!K519)),N('Base de datos Rutas'!BK519)=0),"",'Base de datos Rutas'!K519/('Base de datos Rutas'!L519/'Base de datos Rutas'!BK519)),"")</f>
        <v>12.927667495348828</v>
      </c>
      <c r="M521" s="787">
        <f>IF(ISNUMBER('Base de datos Rutas'!AX519),'Base de datos Rutas'!AX519,"")</f>
        <v>219.19970529842399</v>
      </c>
      <c r="N521" s="790">
        <f>IFERROR(INDEX('Hoja de apoyo v2'!B$17:B$20,MATCH($A521,'Hoja de apoyo v2'!$A$17:$A$20,0)),"")</f>
        <v>89.41621024641401</v>
      </c>
      <c r="O521" s="791">
        <f>IFERROR(INDEX('Hoja de apoyo v2'!C$17:C$20,MATCH($A521,'Hoja de apoyo v2'!$A$17:$A$20,0)),"")</f>
        <v>0.54706375874806301</v>
      </c>
      <c r="P521" s="793">
        <f>IFERROR(INDEX('Hoja de apoyo v2'!D$17:D$20,MATCH($A521,'Hoja de apoyo v2'!$A$17:$A$20,0)),"")</f>
        <v>11095.153935793827</v>
      </c>
      <c r="Q521" s="793">
        <f>IFERROR(INDEX('Hoja de apoyo v2'!E$17:E$20,MATCH($A521,'Hoja de apoyo v2'!$A$17:$A$20,0)),"")</f>
        <v>6982.3202019701848</v>
      </c>
      <c r="R521" s="793">
        <f>IFERROR(INDEX('Hoja de apoyo v2'!F$17:F$20,MATCH($A521,'Hoja de apoyo v2'!$A$17:$A$20,0)),"")</f>
        <v>448.09513474485743</v>
      </c>
      <c r="S521" s="793">
        <f>IFERROR(INDEX('Hoja de apoyo v2'!G$17:G$20,MATCH($A521,'Hoja de apoyo v2'!$A$17:$A$20,0)),"")</f>
        <v>83.406300904207839</v>
      </c>
      <c r="T521" s="792">
        <f>IFERROR(INDEX('Hoja de apoyo v2'!H$17:H$20,MATCH($A521,'Hoja de apoyo v2'!$A$17:$A$20,0)),"")</f>
        <v>378.97014028925349</v>
      </c>
      <c r="U521" s="794">
        <f t="shared" si="292"/>
        <v>1.036828803972929</v>
      </c>
      <c r="V521" s="795">
        <f t="shared" si="293"/>
        <v>0.73906296145592654</v>
      </c>
      <c r="W521" s="795">
        <f t="shared" si="294"/>
        <v>0.16050145697826329</v>
      </c>
      <c r="X521" s="843">
        <f t="shared" si="295"/>
        <v>0.92234050543383272</v>
      </c>
      <c r="Y521" s="843">
        <f t="shared" si="296"/>
        <v>0.98216509576883559</v>
      </c>
      <c r="Z521" s="843">
        <f t="shared" si="297"/>
        <v>0.15499629350780414</v>
      </c>
      <c r="AA521" s="843">
        <f t="shared" si="298"/>
        <v>0.57840890876288353</v>
      </c>
      <c r="AB521" s="796">
        <f t="shared" si="299"/>
        <v>4</v>
      </c>
      <c r="AC521" s="797">
        <f t="shared" si="300"/>
        <v>2</v>
      </c>
      <c r="AD521" s="797">
        <f t="shared" si="301"/>
        <v>1</v>
      </c>
      <c r="AE521" s="842">
        <f t="shared" si="302"/>
        <v>3</v>
      </c>
      <c r="AF521" s="842">
        <f t="shared" si="303"/>
        <v>3</v>
      </c>
      <c r="AG521" s="842">
        <f t="shared" si="304"/>
        <v>1</v>
      </c>
      <c r="AH521" s="842">
        <f t="shared" si="305"/>
        <v>2</v>
      </c>
      <c r="AI521" s="826" cm="1">
        <f t="array" ref="AI521">SUMPRODUCT(--ISNUMBER($U521:$AA521),$AB$3:$AH$3)</f>
        <v>1</v>
      </c>
      <c r="AJ521" s="829">
        <f t="shared" si="306"/>
        <v>30.899526277144261</v>
      </c>
      <c r="AK521" s="827" t="str">
        <f t="shared" si="307"/>
        <v>Inmadura</v>
      </c>
      <c r="AL521" s="784" t="str">
        <f t="shared" si="308"/>
        <v>Alta</v>
      </c>
      <c r="AM521" s="799">
        <f>IF(ISNUMBER('Base de datos Rutas'!W519),'Base de datos Rutas'!W519,"")</f>
        <v>2866.2444123371242</v>
      </c>
      <c r="AN521" s="787">
        <f>IFERROR(SUMIFS('Base de datos Rutas'!$W$6:$W$794,'Base de datos Rutas'!$C$6:$C$794,$C521)/'Base de datos Rutas'!I519,"")</f>
        <v>2866.2444123371242</v>
      </c>
      <c r="AO521" s="800">
        <f>IFERROR('Base de datos Rutas'!X519*AN521/AM521,"")</f>
        <v>0.40462988446513853</v>
      </c>
      <c r="AP521" s="800">
        <f t="shared" si="309"/>
        <v>0.59537011553486141</v>
      </c>
      <c r="AQ521" s="789">
        <f>IFERROR(INDEX('Hoja de apoyo v2'!$J$17:$J$20,MATCH($A521,'Hoja de apoyo v2'!$A$17:$A$20,0)),"")</f>
        <v>0.64320274048480885</v>
      </c>
      <c r="AR521" s="789">
        <f t="shared" si="310"/>
        <v>-4.7832624949947444E-2</v>
      </c>
      <c r="AS521" s="784" t="str">
        <f t="shared" si="311"/>
        <v>No</v>
      </c>
      <c r="AT521" s="801">
        <f>IF(ISNUMBER('Base de datos Rutas'!CK519),'Base de datos Rutas'!CK519,"")</f>
        <v>333</v>
      </c>
      <c r="AU521" s="802">
        <f>IF(ISNUMBER('Base de datos Rutas'!CL519),'Base de datos Rutas'!CL519,"")</f>
        <v>415.55</v>
      </c>
      <c r="AV521" s="802">
        <f>IF(ISNUMBER('Base de datos Rutas'!CM519),'Base de datos Rutas'!CM519,"")</f>
        <v>82.550000000000011</v>
      </c>
      <c r="AW521" s="802">
        <f>IF(ISNUMBER('Base de datos Rutas'!CN519),'Base de datos Rutas'!CN519,"")</f>
        <v>7.55</v>
      </c>
      <c r="AX521" s="802">
        <f>IF(ISNUMBER('Base de datos Rutas'!CO519),'Base de datos Rutas'!CO519,"")</f>
        <v>9.4499999999999993</v>
      </c>
      <c r="AY521" s="802">
        <f>IF(ISNUMBER('Base de datos Rutas'!CP519),'Base de datos Rutas'!CP519,"")</f>
        <v>1.8999999999999995</v>
      </c>
      <c r="AZ521" s="802">
        <f>IF(ISNUMBER('Base de datos Rutas'!CQ519),'Base de datos Rutas'!CQ519,"")</f>
        <v>846.56</v>
      </c>
      <c r="BA521" s="802">
        <f>IF(ISNUMBER('Base de datos Rutas'!CR519),'Base de datos Rutas'!CR519,"")</f>
        <v>453.03</v>
      </c>
      <c r="BB521" s="803">
        <f>IF(ISNUMBER('Base de datos Rutas'!CS519),'Base de datos Rutas'!CS519,"")</f>
        <v>393.53</v>
      </c>
      <c r="BC521" s="804">
        <f t="shared" ref="BC521:BC584" si="321">IF(OR(COUNT($AV521,$AY521,$BB521)&lt;3,NOT(ISNUMBER($AT521)),N($AT521)&lt;=0,N($AZ521)&lt;=0),"",COUNTIF($AV521,"&lt;="&amp;$BC$4)+COUNTIF($AY521,"&lt;="&amp;$BC$4)+COUNTIF($BB521,"&lt;="&amp;$BC$4))</f>
        <v>0</v>
      </c>
      <c r="BD521" s="805" t="str">
        <f t="shared" ref="BD521:BD584" si="322">IF(NOT(ISNUMBER($BC521)),"N/D",IF($BC521&gt;=1,"Saturada","No saturada"))</f>
        <v>No saturada</v>
      </c>
      <c r="BE521" s="806">
        <f t="shared" ref="BE521:BE584" si="323">IF(AND(ISNUMBER($AZ521),ISNUMBER($BA521),$AZ521&lt;&gt;0),$BA521/$AZ521,"")</f>
        <v>0.53514222264222266</v>
      </c>
      <c r="BF521" s="890">
        <f>IF(ISNUMBER('Base de datos Rutas'!CX519),'Base de datos Rutas'!CX519/100,"")</f>
        <v>0.31078508341511285</v>
      </c>
      <c r="BG521" s="891">
        <f>IF(ISNUMBER('Base de datos Rutas'!CZ519),'Base de datos Rutas'!CZ519/100,"")</f>
        <v>0.32698724239450444</v>
      </c>
      <c r="BH521" s="892">
        <f>IF(ISNUMBER('Base de datos Rutas'!DA519),'Base de datos Rutas'!DA519,"")</f>
        <v>219.21729775666097</v>
      </c>
      <c r="BI521" s="893">
        <f>IF(ISNUMBER('Base de datos Rutas'!DC519),'Base de datos Rutas'!DC519,"")</f>
        <v>11.6006335042636</v>
      </c>
      <c r="BJ521" s="805" t="str">
        <f t="shared" ref="BJ521:BJ584" si="324">IF(COUNT($BF521:$BI521)=4,"Ruta (completo)",IF(COUNT($BF521:$BI521)=0,"Sin dato","Ruta (parcial)"))</f>
        <v>Ruta (completo)</v>
      </c>
      <c r="BK521" s="783">
        <f t="shared" si="312"/>
        <v>3</v>
      </c>
      <c r="BL521" s="797">
        <f t="shared" si="313"/>
        <v>3</v>
      </c>
      <c r="BM521" s="797">
        <f t="shared" si="314"/>
        <v>3</v>
      </c>
      <c r="BN521" s="797">
        <f t="shared" si="315"/>
        <v>3</v>
      </c>
      <c r="BO521" s="798" cm="1">
        <f t="array" ref="BO521">SUMPRODUCT(--ISNUMBER($BF521:$BI521),$BK$3:$BN$3)</f>
        <v>1</v>
      </c>
      <c r="BP521" s="831">
        <f t="shared" ref="BP521:BP584" si="325">IF(BO521&lt;$BO$4,"",(SUMPRODUCT($BK521:$BN521,$BK$3:$BN$3)/BO521-1)/4*100)</f>
        <v>50</v>
      </c>
      <c r="BQ521" s="834" t="str">
        <f t="shared" ref="BQ521:BQ584" si="326">IF(BP521="","Sin datos",IF(BP521&gt;=$BP$4,"Alto",IF(BP521&lt;$BQ$4,"Bajo","Medio")))</f>
        <v>Alto</v>
      </c>
      <c r="BR521" s="836">
        <f t="shared" si="316"/>
        <v>23.174644707858196</v>
      </c>
      <c r="BS521" s="836">
        <f t="shared" si="317"/>
        <v>50</v>
      </c>
      <c r="BT521" s="837" t="str">
        <f t="shared" si="318"/>
        <v>P3</v>
      </c>
      <c r="BU521" s="807" t="str">
        <f t="shared" ref="BU521:BU584" si="327">IF(OR($AK521="Ruta inactiva",$AK521="No elegible",$AK521="Sin datos"),"No evaluable",IF($BD521="Saturada","Al tope","Con espacio"))</f>
        <v>Con espacio</v>
      </c>
      <c r="BV521" s="807" t="str">
        <f t="shared" si="319"/>
        <v>Zona atractiva</v>
      </c>
      <c r="BW521" s="808" t="str">
        <f t="shared" si="320"/>
        <v>P3 - Desarrollar</v>
      </c>
    </row>
    <row r="522" spans="1:75">
      <c r="A522" s="780" t="str">
        <f>'Base de datos Rutas'!A520</f>
        <v>Occidente</v>
      </c>
      <c r="B522" s="781" t="str">
        <f>'Base de datos Rutas'!B520</f>
        <v>Zapopan</v>
      </c>
      <c r="C522" s="781" t="str">
        <f>'Base de datos Rutas'!C520</f>
        <v>Suc. Huentitán</v>
      </c>
      <c r="D522" s="782">
        <f>IF(ISNUMBER('Base de datos Rutas'!D520),'Base de datos Rutas'!D520,"Sin código")</f>
        <v>819422</v>
      </c>
      <c r="E522" s="783" t="str">
        <f>'Base de datos Rutas'!F520</f>
        <v>Activa</v>
      </c>
      <c r="F522" s="784" t="str">
        <f>'Base de datos Rutas'!H520</f>
        <v>Sí</v>
      </c>
      <c r="G522" s="785">
        <f>IF(ISNUMBER('Base de datos Rutas'!BE520),'Base de datos Rutas'!BE520,"")</f>
        <v>71.479357798165097</v>
      </c>
      <c r="H522" s="786">
        <f>IF(ISNUMBER('Base de datos Rutas'!BH520),'Base de datos Rutas'!BH520,"")</f>
        <v>0.42900689876463999</v>
      </c>
      <c r="I522" s="788">
        <f>IFERROR(IF(OR(NOT(ISNUMBER('Base de datos Rutas'!O520)),N('Base de datos Rutas'!BK520)=0),"",'Base de datos Rutas'!O520/('Base de datos Rutas'!L520/'Base de datos Rutas'!BK520)),"")</f>
        <v>2741.7591743119228</v>
      </c>
      <c r="J522" s="788">
        <f>IFERROR(IF(OR(NOT(ISNUMBER('Base de datos Rutas'!N520)),N('Base de datos Rutas'!BK520)=0),"",'Base de datos Rutas'!N520/('Base de datos Rutas'!L520/'Base de datos Rutas'!BK520)),"")</f>
        <v>5280.0596330275157</v>
      </c>
      <c r="K522" s="788">
        <f>IFERROR(IF(OR(NOT(ISNUMBER('Base de datos Rutas'!J520)),N('Base de datos Rutas'!BK520)=0),"",'Base de datos Rutas'!J520/('Base de datos Rutas'!L520/'Base de datos Rutas'!BK520)),"")</f>
        <v>369.35918715596279</v>
      </c>
      <c r="L522" s="788">
        <f>IFERROR(IF(OR(NOT(ISNUMBER('Base de datos Rutas'!K520)),N('Base de datos Rutas'!BK520)=0),"",'Base de datos Rutas'!K520/('Base de datos Rutas'!L520/'Base de datos Rutas'!BK520)),"")</f>
        <v>21.976195699541254</v>
      </c>
      <c r="M522" s="787">
        <f>IF(ISNUMBER('Base de datos Rutas'!AX520),'Base de datos Rutas'!AX520,"")</f>
        <v>261.59399775617101</v>
      </c>
      <c r="N522" s="790">
        <f>IFERROR(INDEX('Hoja de apoyo v2'!B$17:B$20,MATCH($A522,'Hoja de apoyo v2'!$A$17:$A$20,0)),"")</f>
        <v>89.41621024641401</v>
      </c>
      <c r="O522" s="791">
        <f>IFERROR(INDEX('Hoja de apoyo v2'!C$17:C$20,MATCH($A522,'Hoja de apoyo v2'!$A$17:$A$20,0)),"")</f>
        <v>0.54706375874806301</v>
      </c>
      <c r="P522" s="793">
        <f>IFERROR(INDEX('Hoja de apoyo v2'!D$17:D$20,MATCH($A522,'Hoja de apoyo v2'!$A$17:$A$20,0)),"")</f>
        <v>11095.153935793827</v>
      </c>
      <c r="Q522" s="793">
        <f>IFERROR(INDEX('Hoja de apoyo v2'!E$17:E$20,MATCH($A522,'Hoja de apoyo v2'!$A$17:$A$20,0)),"")</f>
        <v>6982.3202019701848</v>
      </c>
      <c r="R522" s="793">
        <f>IFERROR(INDEX('Hoja de apoyo v2'!F$17:F$20,MATCH($A522,'Hoja de apoyo v2'!$A$17:$A$20,0)),"")</f>
        <v>448.09513474485743</v>
      </c>
      <c r="S522" s="793">
        <f>IFERROR(INDEX('Hoja de apoyo v2'!G$17:G$20,MATCH($A522,'Hoja de apoyo v2'!$A$17:$A$20,0)),"")</f>
        <v>83.406300904207839</v>
      </c>
      <c r="T522" s="792">
        <f>IFERROR(INDEX('Hoja de apoyo v2'!H$17:H$20,MATCH($A522,'Hoja de apoyo v2'!$A$17:$A$20,0)),"")</f>
        <v>378.97014028925349</v>
      </c>
      <c r="U522" s="794">
        <f t="shared" si="292"/>
        <v>0.79940043982161213</v>
      </c>
      <c r="V522" s="795">
        <f t="shared" si="293"/>
        <v>0.7841990844840605</v>
      </c>
      <c r="W522" s="795">
        <f t="shared" si="294"/>
        <v>0.24711321629047389</v>
      </c>
      <c r="X522" s="843">
        <f t="shared" si="295"/>
        <v>0.75620416713883354</v>
      </c>
      <c r="Y522" s="843">
        <f t="shared" si="296"/>
        <v>0.82428743031605023</v>
      </c>
      <c r="Z522" s="843">
        <f t="shared" si="297"/>
        <v>0.26348363926103041</v>
      </c>
      <c r="AA522" s="843">
        <f t="shared" si="298"/>
        <v>0.6902760137157673</v>
      </c>
      <c r="AB522" s="796">
        <f t="shared" si="299"/>
        <v>3</v>
      </c>
      <c r="AC522" s="797">
        <f t="shared" si="300"/>
        <v>3</v>
      </c>
      <c r="AD522" s="797">
        <f t="shared" si="301"/>
        <v>1</v>
      </c>
      <c r="AE522" s="842">
        <f t="shared" si="302"/>
        <v>3</v>
      </c>
      <c r="AF522" s="842">
        <f t="shared" si="303"/>
        <v>3</v>
      </c>
      <c r="AG522" s="842">
        <f t="shared" si="304"/>
        <v>1</v>
      </c>
      <c r="AH522" s="842">
        <f t="shared" si="305"/>
        <v>2</v>
      </c>
      <c r="AI522" s="826" cm="1">
        <f t="array" ref="AI522">SUMPRODUCT(--ISNUMBER($U522:$AA522),$AB$3:$AH$3)</f>
        <v>1</v>
      </c>
      <c r="AJ522" s="829">
        <f t="shared" si="306"/>
        <v>28.748795684897999</v>
      </c>
      <c r="AK522" s="827" t="str">
        <f t="shared" si="307"/>
        <v>Inmadura</v>
      </c>
      <c r="AL522" s="784" t="str">
        <f t="shared" si="308"/>
        <v>Alta</v>
      </c>
      <c r="AM522" s="799">
        <f>IF(ISNUMBER('Base de datos Rutas'!W520),'Base de datos Rutas'!W520,"")</f>
        <v>2866.2444123371242</v>
      </c>
      <c r="AN522" s="787">
        <f>IFERROR(SUMIFS('Base de datos Rutas'!$W$6:$W$794,'Base de datos Rutas'!$C$6:$C$794,$C522)/'Base de datos Rutas'!I520,"")</f>
        <v>2866.2444123371242</v>
      </c>
      <c r="AO522" s="800">
        <f>IFERROR('Base de datos Rutas'!X520*AN522/AM522,"")</f>
        <v>0.40462988446513853</v>
      </c>
      <c r="AP522" s="800">
        <f t="shared" si="309"/>
        <v>0.59537011553486141</v>
      </c>
      <c r="AQ522" s="789">
        <f>IFERROR(INDEX('Hoja de apoyo v2'!$J$17:$J$20,MATCH($A522,'Hoja de apoyo v2'!$A$17:$A$20,0)),"")</f>
        <v>0.64320274048480885</v>
      </c>
      <c r="AR522" s="789">
        <f t="shared" si="310"/>
        <v>-4.7832624949947444E-2</v>
      </c>
      <c r="AS522" s="784" t="str">
        <f t="shared" si="311"/>
        <v>No</v>
      </c>
      <c r="AT522" s="801">
        <f>IF(ISNUMBER('Base de datos Rutas'!CK520),'Base de datos Rutas'!CK520,"")</f>
        <v>307</v>
      </c>
      <c r="AU522" s="802">
        <f>IF(ISNUMBER('Base de datos Rutas'!CL520),'Base de datos Rutas'!CL520,"")</f>
        <v>404.52</v>
      </c>
      <c r="AV522" s="802">
        <f>IF(ISNUMBER('Base de datos Rutas'!CM520),'Base de datos Rutas'!CM520,"")</f>
        <v>97.519999999999982</v>
      </c>
      <c r="AW522" s="802">
        <f>IF(ISNUMBER('Base de datos Rutas'!CN520),'Base de datos Rutas'!CN520,"")</f>
        <v>6.87</v>
      </c>
      <c r="AX522" s="802">
        <f>IF(ISNUMBER('Base de datos Rutas'!CO520),'Base de datos Rutas'!CO520,"")</f>
        <v>9.4499999999999993</v>
      </c>
      <c r="AY522" s="802">
        <f>IF(ISNUMBER('Base de datos Rutas'!CP520),'Base de datos Rutas'!CP520,"")</f>
        <v>2.5799999999999992</v>
      </c>
      <c r="AZ522" s="802">
        <f>IF(ISNUMBER('Base de datos Rutas'!CQ520),'Base de datos Rutas'!CQ520,"")</f>
        <v>564.37</v>
      </c>
      <c r="BA522" s="802">
        <f>IF(ISNUMBER('Base de datos Rutas'!CR520),'Base de datos Rutas'!CR520,"")</f>
        <v>391.34</v>
      </c>
      <c r="BB522" s="803">
        <f>IF(ISNUMBER('Base de datos Rutas'!CS520),'Base de datos Rutas'!CS520,"")</f>
        <v>173.03000000000003</v>
      </c>
      <c r="BC522" s="804">
        <f t="shared" si="321"/>
        <v>0</v>
      </c>
      <c r="BD522" s="805" t="str">
        <f t="shared" si="322"/>
        <v>No saturada</v>
      </c>
      <c r="BE522" s="806">
        <f t="shared" si="323"/>
        <v>0.6934103513652391</v>
      </c>
      <c r="BF522" s="890">
        <f>IF(ISNUMBER('Base de datos Rutas'!CX520),'Base de datos Rutas'!CX520/100,"")</f>
        <v>0.34463125322331101</v>
      </c>
      <c r="BG522" s="891">
        <f>IF(ISNUMBER('Base de datos Rutas'!CZ520),'Base de datos Rutas'!CZ520/100,"")</f>
        <v>0.369778236204229</v>
      </c>
      <c r="BH522" s="892">
        <f>IF(ISNUMBER('Base de datos Rutas'!DA520),'Base de datos Rutas'!DA520,"")</f>
        <v>381.10894675413533</v>
      </c>
      <c r="BI522" s="893">
        <f>IF(ISNUMBER('Base de datos Rutas'!DC520),'Base de datos Rutas'!DC520,"")</f>
        <v>18.098701553507464</v>
      </c>
      <c r="BJ522" s="805" t="str">
        <f t="shared" si="324"/>
        <v>Ruta (completo)</v>
      </c>
      <c r="BK522" s="783">
        <f t="shared" si="312"/>
        <v>3</v>
      </c>
      <c r="BL522" s="797">
        <f t="shared" si="313"/>
        <v>3</v>
      </c>
      <c r="BM522" s="797">
        <f t="shared" si="314"/>
        <v>3</v>
      </c>
      <c r="BN522" s="797">
        <f t="shared" si="315"/>
        <v>3</v>
      </c>
      <c r="BO522" s="798" cm="1">
        <f t="array" ref="BO522">SUMPRODUCT(--ISNUMBER($BF522:$BI522),$BK$3:$BN$3)</f>
        <v>1</v>
      </c>
      <c r="BP522" s="831">
        <f t="shared" si="325"/>
        <v>50</v>
      </c>
      <c r="BQ522" s="834" t="str">
        <f t="shared" si="326"/>
        <v>Alto</v>
      </c>
      <c r="BR522" s="836">
        <f t="shared" si="316"/>
        <v>21.561596763673499</v>
      </c>
      <c r="BS522" s="836">
        <f t="shared" si="317"/>
        <v>50</v>
      </c>
      <c r="BT522" s="837" t="str">
        <f t="shared" si="318"/>
        <v>P3</v>
      </c>
      <c r="BU522" s="807" t="str">
        <f t="shared" si="327"/>
        <v>Con espacio</v>
      </c>
      <c r="BV522" s="807" t="str">
        <f t="shared" si="319"/>
        <v>Zona atractiva</v>
      </c>
      <c r="BW522" s="808" t="str">
        <f t="shared" si="320"/>
        <v>P3 - Desarrollar</v>
      </c>
    </row>
    <row r="523" spans="1:75">
      <c r="A523" s="780" t="str">
        <f>'Base de datos Rutas'!A521</f>
        <v>Occidente</v>
      </c>
      <c r="B523" s="781" t="str">
        <f>'Base de datos Rutas'!B521</f>
        <v>Zapopan</v>
      </c>
      <c r="C523" s="781" t="str">
        <f>'Base de datos Rutas'!C521</f>
        <v>Suc. Huentitán</v>
      </c>
      <c r="D523" s="782">
        <f>IF(ISNUMBER('Base de datos Rutas'!D521),'Base de datos Rutas'!D521,"Sin código")</f>
        <v>819423</v>
      </c>
      <c r="E523" s="783" t="str">
        <f>'Base de datos Rutas'!F521</f>
        <v>Activa</v>
      </c>
      <c r="F523" s="784" t="str">
        <f>'Base de datos Rutas'!H521</f>
        <v>Sí</v>
      </c>
      <c r="G523" s="785">
        <f>IF(ISNUMBER('Base de datos Rutas'!BE521),'Base de datos Rutas'!BE521,"")</f>
        <v>142.508196721312</v>
      </c>
      <c r="H523" s="786">
        <f>IF(ISNUMBER('Base de datos Rutas'!BH521),'Base de datos Rutas'!BH521,"")</f>
        <v>5.4066490279535296E-3</v>
      </c>
      <c r="I523" s="788">
        <f>IFERROR(IF(OR(NOT(ISNUMBER('Base de datos Rutas'!O521)),N('Base de datos Rutas'!BK521)=0),"",'Base de datos Rutas'!O521/('Base de datos Rutas'!L521/'Base de datos Rutas'!BK521)),"")</f>
        <v>209.38571428571436</v>
      </c>
      <c r="J523" s="788">
        <f>IFERROR(IF(OR(NOT(ISNUMBER('Base de datos Rutas'!N521)),N('Base de datos Rutas'!BK521)=0),"",'Base de datos Rutas'!N521/('Base de datos Rutas'!L521/'Base de datos Rutas'!BK521)),"")</f>
        <v>111.10000000000005</v>
      </c>
      <c r="K523" s="788">
        <f>IFERROR(IF(OR(NOT(ISNUMBER('Base de datos Rutas'!J521)),N('Base de datos Rutas'!BK521)=0),"",'Base de datos Rutas'!J521/('Base de datos Rutas'!L521/'Base de datos Rutas'!BK521)),"")</f>
        <v>7.8499200000000036</v>
      </c>
      <c r="L523" s="788">
        <f>IFERROR(IF(OR(NOT(ISNUMBER('Base de datos Rutas'!K521)),N('Base de datos Rutas'!BK521)=0),"",'Base de datos Rutas'!K521/('Base de datos Rutas'!L521/'Base de datos Rutas'!BK521)),"")</f>
        <v>1.9362542857142866</v>
      </c>
      <c r="M523" s="787">
        <f>IF(ISNUMBER('Base de datos Rutas'!AX521),'Base de datos Rutas'!AX521,"")</f>
        <v>400.61</v>
      </c>
      <c r="N523" s="790">
        <f>IFERROR(INDEX('Hoja de apoyo v2'!B$17:B$20,MATCH($A523,'Hoja de apoyo v2'!$A$17:$A$20,0)),"")</f>
        <v>89.41621024641401</v>
      </c>
      <c r="O523" s="791">
        <f>IFERROR(INDEX('Hoja de apoyo v2'!C$17:C$20,MATCH($A523,'Hoja de apoyo v2'!$A$17:$A$20,0)),"")</f>
        <v>0.54706375874806301</v>
      </c>
      <c r="P523" s="793">
        <f>IFERROR(INDEX('Hoja de apoyo v2'!D$17:D$20,MATCH($A523,'Hoja de apoyo v2'!$A$17:$A$20,0)),"")</f>
        <v>11095.153935793827</v>
      </c>
      <c r="Q523" s="793">
        <f>IFERROR(INDEX('Hoja de apoyo v2'!E$17:E$20,MATCH($A523,'Hoja de apoyo v2'!$A$17:$A$20,0)),"")</f>
        <v>6982.3202019701848</v>
      </c>
      <c r="R523" s="793">
        <f>IFERROR(INDEX('Hoja de apoyo v2'!F$17:F$20,MATCH($A523,'Hoja de apoyo v2'!$A$17:$A$20,0)),"")</f>
        <v>448.09513474485743</v>
      </c>
      <c r="S523" s="793">
        <f>IFERROR(INDEX('Hoja de apoyo v2'!G$17:G$20,MATCH($A523,'Hoja de apoyo v2'!$A$17:$A$20,0)),"")</f>
        <v>83.406300904207839</v>
      </c>
      <c r="T523" s="792">
        <f>IFERROR(INDEX('Hoja de apoyo v2'!H$17:H$20,MATCH($A523,'Hoja de apoyo v2'!$A$17:$A$20,0)),"")</f>
        <v>378.97014028925349</v>
      </c>
      <c r="U523" s="794">
        <f t="shared" si="292"/>
        <v>1.5937624322098489</v>
      </c>
      <c r="V523" s="795">
        <f t="shared" si="293"/>
        <v>9.8830327205853743E-3</v>
      </c>
      <c r="W523" s="795">
        <f t="shared" si="294"/>
        <v>1.8871816965983664E-2</v>
      </c>
      <c r="X523" s="843">
        <f t="shared" si="295"/>
        <v>1.5911616308952894E-2</v>
      </c>
      <c r="Y523" s="843">
        <f t="shared" si="296"/>
        <v>1.75184227440222E-2</v>
      </c>
      <c r="Z523" s="843">
        <f t="shared" si="297"/>
        <v>2.3214724364027068E-2</v>
      </c>
      <c r="AA523" s="843">
        <f t="shared" si="298"/>
        <v>1.0571017539646517</v>
      </c>
      <c r="AB523" s="796">
        <f t="shared" si="299"/>
        <v>5</v>
      </c>
      <c r="AC523" s="797">
        <f t="shared" si="300"/>
        <v>1</v>
      </c>
      <c r="AD523" s="797">
        <f t="shared" si="301"/>
        <v>1</v>
      </c>
      <c r="AE523" s="842">
        <f t="shared" si="302"/>
        <v>1</v>
      </c>
      <c r="AF523" s="842">
        <f t="shared" si="303"/>
        <v>1</v>
      </c>
      <c r="AG523" s="842">
        <f t="shared" si="304"/>
        <v>1</v>
      </c>
      <c r="AH523" s="842">
        <f t="shared" si="305"/>
        <v>4</v>
      </c>
      <c r="AI523" s="826" cm="1">
        <f t="array" ref="AI523">SUMPRODUCT(--ISNUMBER($U523:$AA523),$AB$3:$AH$3)</f>
        <v>1</v>
      </c>
      <c r="AJ523" s="829">
        <f t="shared" si="306"/>
        <v>24.868728233526692</v>
      </c>
      <c r="AK523" s="827" t="str">
        <f t="shared" si="307"/>
        <v>Inmadura</v>
      </c>
      <c r="AL523" s="784" t="str">
        <f t="shared" si="308"/>
        <v>Alta</v>
      </c>
      <c r="AM523" s="799">
        <f>IF(ISNUMBER('Base de datos Rutas'!W521),'Base de datos Rutas'!W521,"")</f>
        <v>2866.2444123371242</v>
      </c>
      <c r="AN523" s="787">
        <f>IFERROR(SUMIFS('Base de datos Rutas'!$W$6:$W$794,'Base de datos Rutas'!$C$6:$C$794,$C523)/'Base de datos Rutas'!I521,"")</f>
        <v>2866.2444123371242</v>
      </c>
      <c r="AO523" s="800">
        <f>IFERROR('Base de datos Rutas'!X521*AN523/AM523,"")</f>
        <v>0.40462988446513853</v>
      </c>
      <c r="AP523" s="800">
        <f t="shared" si="309"/>
        <v>0.59537011553486141</v>
      </c>
      <c r="AQ523" s="789">
        <f>IFERROR(INDEX('Hoja de apoyo v2'!$J$17:$J$20,MATCH($A523,'Hoja de apoyo v2'!$A$17:$A$20,0)),"")</f>
        <v>0.64320274048480885</v>
      </c>
      <c r="AR523" s="789">
        <f t="shared" si="310"/>
        <v>-4.7832624949947444E-2</v>
      </c>
      <c r="AS523" s="784" t="str">
        <f t="shared" si="311"/>
        <v>No</v>
      </c>
      <c r="AT523" s="801" t="str">
        <f>IF(ISNUMBER('Base de datos Rutas'!CK521),'Base de datos Rutas'!CK521,"")</f>
        <v/>
      </c>
      <c r="AU523" s="802" t="str">
        <f>IF(ISNUMBER('Base de datos Rutas'!CL521),'Base de datos Rutas'!CL521,"")</f>
        <v/>
      </c>
      <c r="AV523" s="802">
        <f>IF(ISNUMBER('Base de datos Rutas'!CM521),'Base de datos Rutas'!CM521,"")</f>
        <v>0</v>
      </c>
      <c r="AW523" s="802" t="str">
        <f>IF(ISNUMBER('Base de datos Rutas'!CN521),'Base de datos Rutas'!CN521,"")</f>
        <v/>
      </c>
      <c r="AX523" s="802" t="str">
        <f>IF(ISNUMBER('Base de datos Rutas'!CO521),'Base de datos Rutas'!CO521,"")</f>
        <v/>
      </c>
      <c r="AY523" s="802">
        <f>IF(ISNUMBER('Base de datos Rutas'!CP521),'Base de datos Rutas'!CP521,"")</f>
        <v>0</v>
      </c>
      <c r="AZ523" s="802" t="str">
        <f>IF(ISNUMBER('Base de datos Rutas'!CQ521),'Base de datos Rutas'!CQ521,"")</f>
        <v/>
      </c>
      <c r="BA523" s="802" t="str">
        <f>IF(ISNUMBER('Base de datos Rutas'!CR521),'Base de datos Rutas'!CR521,"")</f>
        <v/>
      </c>
      <c r="BB523" s="803">
        <f>IF(ISNUMBER('Base de datos Rutas'!CS521),'Base de datos Rutas'!CS521,"")</f>
        <v>0</v>
      </c>
      <c r="BC523" s="804" t="str">
        <f t="shared" si="321"/>
        <v/>
      </c>
      <c r="BD523" s="805" t="str">
        <f t="shared" si="322"/>
        <v>N/D</v>
      </c>
      <c r="BE523" s="806" t="str">
        <f t="shared" si="323"/>
        <v/>
      </c>
      <c r="BF523" s="890" t="str">
        <f>IF(ISNUMBER('Base de datos Rutas'!CX521),'Base de datos Rutas'!CX521/100,"")</f>
        <v/>
      </c>
      <c r="BG523" s="891" t="str">
        <f>IF(ISNUMBER('Base de datos Rutas'!CZ521),'Base de datos Rutas'!CZ521/100,"")</f>
        <v/>
      </c>
      <c r="BH523" s="892" t="str">
        <f>IF(ISNUMBER('Base de datos Rutas'!DA521),'Base de datos Rutas'!DA521,"")</f>
        <v/>
      </c>
      <c r="BI523" s="893" t="str">
        <f>IF(ISNUMBER('Base de datos Rutas'!DC521),'Base de datos Rutas'!DC521,"")</f>
        <v/>
      </c>
      <c r="BJ523" s="805" t="str">
        <f t="shared" si="324"/>
        <v>Sin dato</v>
      </c>
      <c r="BK523" s="783">
        <f t="shared" si="312"/>
        <v>0</v>
      </c>
      <c r="BL523" s="797">
        <f t="shared" si="313"/>
        <v>0</v>
      </c>
      <c r="BM523" s="797">
        <f t="shared" si="314"/>
        <v>0</v>
      </c>
      <c r="BN523" s="797">
        <f t="shared" si="315"/>
        <v>0</v>
      </c>
      <c r="BO523" s="798" cm="1">
        <f t="array" ref="BO523">SUMPRODUCT(--ISNUMBER($BF523:$BI523),$BK$3:$BN$3)</f>
        <v>0</v>
      </c>
      <c r="BP523" s="831" t="str">
        <f t="shared" si="325"/>
        <v/>
      </c>
      <c r="BQ523" s="834" t="str">
        <f t="shared" si="326"/>
        <v>Sin datos</v>
      </c>
      <c r="BR523" s="836" t="str">
        <f t="shared" si="316"/>
        <v/>
      </c>
      <c r="BS523" s="836" t="str">
        <f t="shared" si="317"/>
        <v/>
      </c>
      <c r="BT523" s="837" t="str">
        <f t="shared" si="318"/>
        <v>Sin datos</v>
      </c>
      <c r="BU523" s="807" t="str">
        <f t="shared" si="327"/>
        <v>Con espacio</v>
      </c>
      <c r="BV523" s="807" t="str">
        <f t="shared" si="319"/>
        <v>Sin datos de zona</v>
      </c>
      <c r="BW523" s="808" t="str">
        <f t="shared" si="320"/>
        <v>Sin datos</v>
      </c>
    </row>
    <row r="524" spans="1:75">
      <c r="A524" s="780" t="str">
        <f>'Base de datos Rutas'!A522</f>
        <v>Occidente</v>
      </c>
      <c r="B524" s="781" t="str">
        <f>'Base de datos Rutas'!B522</f>
        <v>Zapopan</v>
      </c>
      <c r="C524" s="781" t="str">
        <f>'Base de datos Rutas'!C522</f>
        <v>Suc. Huentitán</v>
      </c>
      <c r="D524" s="782">
        <f>IF(ISNUMBER('Base de datos Rutas'!D522),'Base de datos Rutas'!D522,"Sin código")</f>
        <v>819424</v>
      </c>
      <c r="E524" s="783" t="str">
        <f>'Base de datos Rutas'!F522</f>
        <v>Activa</v>
      </c>
      <c r="F524" s="784" t="str">
        <f>'Base de datos Rutas'!H522</f>
        <v>Sí</v>
      </c>
      <c r="G524" s="785">
        <f>IF(ISNUMBER('Base de datos Rutas'!BE522),'Base de datos Rutas'!BE522,"")</f>
        <v>73.963048498845296</v>
      </c>
      <c r="H524" s="786">
        <f>IF(ISNUMBER('Base de datos Rutas'!BH522),'Base de datos Rutas'!BH522,"")</f>
        <v>0.50359083244863601</v>
      </c>
      <c r="I524" s="788">
        <f>IFERROR(IF(OR(NOT(ISNUMBER('Base de datos Rutas'!O522)),N('Base de datos Rutas'!BK522)=0),"",'Base de datos Rutas'!O522/('Base de datos Rutas'!L522/'Base de datos Rutas'!BK522)),"")</f>
        <v>1614.7459584295586</v>
      </c>
      <c r="J524" s="788">
        <f>IFERROR(IF(OR(NOT(ISNUMBER('Base de datos Rutas'!N522)),N('Base de datos Rutas'!BK522)=0),"",'Base de datos Rutas'!N522/('Base de datos Rutas'!L522/'Base de datos Rutas'!BK522)),"")</f>
        <v>5172.0115473441028</v>
      </c>
      <c r="K524" s="788">
        <f>IFERROR(IF(OR(NOT(ISNUMBER('Base de datos Rutas'!J522)),N('Base de datos Rutas'!BK522)=0),"",'Base de datos Rutas'!J522/('Base de datos Rutas'!L522/'Base de datos Rutas'!BK522)),"")</f>
        <v>359.81375384526501</v>
      </c>
      <c r="L524" s="788">
        <f>IFERROR(IF(OR(NOT(ISNUMBER('Base de datos Rutas'!K522)),N('Base de datos Rutas'!BK522)=0),"",'Base de datos Rutas'!K522/('Base de datos Rutas'!L522/'Base de datos Rutas'!BK522)),"")</f>
        <v>14.236868595842934</v>
      </c>
      <c r="M524" s="787">
        <f>IF(ISNUMBER('Base de datos Rutas'!AX522),'Base de datos Rutas'!AX522,"")</f>
        <v>182.18079799107099</v>
      </c>
      <c r="N524" s="790">
        <f>IFERROR(INDEX('Hoja de apoyo v2'!B$17:B$20,MATCH($A524,'Hoja de apoyo v2'!$A$17:$A$20,0)),"")</f>
        <v>89.41621024641401</v>
      </c>
      <c r="O524" s="791">
        <f>IFERROR(INDEX('Hoja de apoyo v2'!C$17:C$20,MATCH($A524,'Hoja de apoyo v2'!$A$17:$A$20,0)),"")</f>
        <v>0.54706375874806301</v>
      </c>
      <c r="P524" s="793">
        <f>IFERROR(INDEX('Hoja de apoyo v2'!D$17:D$20,MATCH($A524,'Hoja de apoyo v2'!$A$17:$A$20,0)),"")</f>
        <v>11095.153935793827</v>
      </c>
      <c r="Q524" s="793">
        <f>IFERROR(INDEX('Hoja de apoyo v2'!E$17:E$20,MATCH($A524,'Hoja de apoyo v2'!$A$17:$A$20,0)),"")</f>
        <v>6982.3202019701848</v>
      </c>
      <c r="R524" s="793">
        <f>IFERROR(INDEX('Hoja de apoyo v2'!F$17:F$20,MATCH($A524,'Hoja de apoyo v2'!$A$17:$A$20,0)),"")</f>
        <v>448.09513474485743</v>
      </c>
      <c r="S524" s="793">
        <f>IFERROR(INDEX('Hoja de apoyo v2'!G$17:G$20,MATCH($A524,'Hoja de apoyo v2'!$A$17:$A$20,0)),"")</f>
        <v>83.406300904207839</v>
      </c>
      <c r="T524" s="792">
        <f>IFERROR(INDEX('Hoja de apoyo v2'!H$17:H$20,MATCH($A524,'Hoja de apoyo v2'!$A$17:$A$20,0)),"")</f>
        <v>378.97014028925349</v>
      </c>
      <c r="U524" s="794">
        <f t="shared" si="292"/>
        <v>0.82717717844468297</v>
      </c>
      <c r="V524" s="795">
        <f t="shared" si="293"/>
        <v>0.92053407741921467</v>
      </c>
      <c r="W524" s="795">
        <f t="shared" si="294"/>
        <v>0.14553614738235068</v>
      </c>
      <c r="X524" s="843">
        <f t="shared" si="295"/>
        <v>0.74072964254557228</v>
      </c>
      <c r="Y524" s="843">
        <f t="shared" si="296"/>
        <v>0.80298518315790401</v>
      </c>
      <c r="Z524" s="843">
        <f t="shared" si="297"/>
        <v>0.17069296254001218</v>
      </c>
      <c r="AA524" s="843">
        <f t="shared" si="298"/>
        <v>0.48072599559432128</v>
      </c>
      <c r="AB524" s="796">
        <f t="shared" si="299"/>
        <v>3</v>
      </c>
      <c r="AC524" s="797">
        <f t="shared" si="300"/>
        <v>3</v>
      </c>
      <c r="AD524" s="797">
        <f t="shared" si="301"/>
        <v>1</v>
      </c>
      <c r="AE524" s="842">
        <f t="shared" si="302"/>
        <v>2</v>
      </c>
      <c r="AF524" s="842">
        <f t="shared" si="303"/>
        <v>3</v>
      </c>
      <c r="AG524" s="842">
        <f t="shared" si="304"/>
        <v>1</v>
      </c>
      <c r="AH524" s="842">
        <f t="shared" si="305"/>
        <v>1</v>
      </c>
      <c r="AI524" s="826" cm="1">
        <f t="array" ref="AI524">SUMPRODUCT(--ISNUMBER($U524:$AA524),$AB$3:$AH$3)</f>
        <v>1</v>
      </c>
      <c r="AJ524" s="829">
        <f t="shared" si="306"/>
        <v>23.09462019835275</v>
      </c>
      <c r="AK524" s="827" t="str">
        <f t="shared" si="307"/>
        <v>Inmadura</v>
      </c>
      <c r="AL524" s="784" t="str">
        <f t="shared" si="308"/>
        <v>Alta</v>
      </c>
      <c r="AM524" s="799">
        <f>IF(ISNUMBER('Base de datos Rutas'!W522),'Base de datos Rutas'!W522,"")</f>
        <v>2866.2444123371242</v>
      </c>
      <c r="AN524" s="787">
        <f>IFERROR(SUMIFS('Base de datos Rutas'!$W$6:$W$794,'Base de datos Rutas'!$C$6:$C$794,$C524)/'Base de datos Rutas'!I522,"")</f>
        <v>2866.2444123371242</v>
      </c>
      <c r="AO524" s="800">
        <f>IFERROR('Base de datos Rutas'!X522*AN524/AM524,"")</f>
        <v>0.40462988446513853</v>
      </c>
      <c r="AP524" s="800">
        <f t="shared" si="309"/>
        <v>0.59537011553486141</v>
      </c>
      <c r="AQ524" s="789">
        <f>IFERROR(INDEX('Hoja de apoyo v2'!$J$17:$J$20,MATCH($A524,'Hoja de apoyo v2'!$A$17:$A$20,0)),"")</f>
        <v>0.64320274048480885</v>
      </c>
      <c r="AR524" s="789">
        <f t="shared" si="310"/>
        <v>-4.7832624949947444E-2</v>
      </c>
      <c r="AS524" s="784" t="str">
        <f t="shared" si="311"/>
        <v>No</v>
      </c>
      <c r="AT524" s="801">
        <f>IF(ISNUMBER('Base de datos Rutas'!CK522),'Base de datos Rutas'!CK522,"")</f>
        <v>324</v>
      </c>
      <c r="AU524" s="802">
        <f>IF(ISNUMBER('Base de datos Rutas'!CL522),'Base de datos Rutas'!CL522,"")</f>
        <v>324</v>
      </c>
      <c r="AV524" s="802">
        <f>IF(ISNUMBER('Base de datos Rutas'!CM522),'Base de datos Rutas'!CM522,"")</f>
        <v>0</v>
      </c>
      <c r="AW524" s="802" t="str">
        <f>IF(ISNUMBER('Base de datos Rutas'!CN522),'Base de datos Rutas'!CN522,"")</f>
        <v/>
      </c>
      <c r="AX524" s="802">
        <f>IF(ISNUMBER('Base de datos Rutas'!CO522),'Base de datos Rutas'!CO522,"")</f>
        <v>9.4499999999999993</v>
      </c>
      <c r="AY524" s="802">
        <f>IF(ISNUMBER('Base de datos Rutas'!CP522),'Base de datos Rutas'!CP522,"")</f>
        <v>9.4499999999999993</v>
      </c>
      <c r="AZ524" s="802" t="str">
        <f>IF(ISNUMBER('Base de datos Rutas'!CQ522),'Base de datos Rutas'!CQ522,"")</f>
        <v/>
      </c>
      <c r="BA524" s="802" t="str">
        <f>IF(ISNUMBER('Base de datos Rutas'!CR522),'Base de datos Rutas'!CR522,"")</f>
        <v/>
      </c>
      <c r="BB524" s="803">
        <f>IF(ISNUMBER('Base de datos Rutas'!CS522),'Base de datos Rutas'!CS522,"")</f>
        <v>0</v>
      </c>
      <c r="BC524" s="804" t="str">
        <f t="shared" si="321"/>
        <v/>
      </c>
      <c r="BD524" s="805" t="str">
        <f t="shared" si="322"/>
        <v>N/D</v>
      </c>
      <c r="BE524" s="806" t="str">
        <f t="shared" si="323"/>
        <v/>
      </c>
      <c r="BF524" s="890">
        <f>IF(ISNUMBER('Base de datos Rutas'!CX522),'Base de datos Rutas'!CX522/100,"")</f>
        <v>0</v>
      </c>
      <c r="BG524" s="891">
        <f>IF(ISNUMBER('Base de datos Rutas'!CZ522),'Base de datos Rutas'!CZ522/100,"")</f>
        <v>0</v>
      </c>
      <c r="BH524" s="892">
        <f>IF(ISNUMBER('Base de datos Rutas'!DA522),'Base de datos Rutas'!DA522,"")</f>
        <v>0</v>
      </c>
      <c r="BI524" s="893">
        <f>IF(ISNUMBER('Base de datos Rutas'!DC522),'Base de datos Rutas'!DC522,"")</f>
        <v>0</v>
      </c>
      <c r="BJ524" s="805" t="str">
        <f t="shared" si="324"/>
        <v>Ruta (completo)</v>
      </c>
      <c r="BK524" s="783">
        <f t="shared" si="312"/>
        <v>1</v>
      </c>
      <c r="BL524" s="797">
        <f t="shared" si="313"/>
        <v>1</v>
      </c>
      <c r="BM524" s="797">
        <f t="shared" si="314"/>
        <v>1</v>
      </c>
      <c r="BN524" s="797">
        <f t="shared" si="315"/>
        <v>1</v>
      </c>
      <c r="BO524" s="798" cm="1">
        <f t="array" ref="BO524">SUMPRODUCT(--ISNUMBER($BF524:$BI524),$BK$3:$BN$3)</f>
        <v>1</v>
      </c>
      <c r="BP524" s="831">
        <f t="shared" si="325"/>
        <v>0</v>
      </c>
      <c r="BQ524" s="834" t="str">
        <f t="shared" si="326"/>
        <v>Bajo</v>
      </c>
      <c r="BR524" s="836" t="str">
        <f t="shared" si="316"/>
        <v/>
      </c>
      <c r="BS524" s="836">
        <f t="shared" si="317"/>
        <v>0</v>
      </c>
      <c r="BT524" s="837" t="str">
        <f t="shared" si="318"/>
        <v>Sin datos</v>
      </c>
      <c r="BU524" s="807" t="str">
        <f t="shared" si="327"/>
        <v>Con espacio</v>
      </c>
      <c r="BV524" s="807" t="str">
        <f t="shared" si="319"/>
        <v>Zona de bajo potencial</v>
      </c>
      <c r="BW524" s="808" t="str">
        <f t="shared" si="320"/>
        <v>Sin datos</v>
      </c>
    </row>
    <row r="525" spans="1:75">
      <c r="A525" s="780" t="str">
        <f>'Base de datos Rutas'!A523</f>
        <v>Occidente</v>
      </c>
      <c r="B525" s="781" t="str">
        <f>'Base de datos Rutas'!B523</f>
        <v>Zapopan</v>
      </c>
      <c r="C525" s="781" t="str">
        <f>'Base de datos Rutas'!C523</f>
        <v>Suc. Huentitán</v>
      </c>
      <c r="D525" s="782">
        <f>IF(ISNUMBER('Base de datos Rutas'!D523),'Base de datos Rutas'!D523,"Sin código")</f>
        <v>819425</v>
      </c>
      <c r="E525" s="783" t="str">
        <f>'Base de datos Rutas'!F523</f>
        <v>Activa</v>
      </c>
      <c r="F525" s="784" t="str">
        <f>'Base de datos Rutas'!H523</f>
        <v>No</v>
      </c>
      <c r="G525" s="785" t="str">
        <f>IF(ISNUMBER('Base de datos Rutas'!BE523),'Base de datos Rutas'!BE523,"")</f>
        <v/>
      </c>
      <c r="H525" s="786" t="str">
        <f>IF(ISNUMBER('Base de datos Rutas'!BH523),'Base de datos Rutas'!BH523,"")</f>
        <v/>
      </c>
      <c r="I525" s="788" t="str">
        <f>IFERROR(IF(OR(NOT(ISNUMBER('Base de datos Rutas'!O523)),N('Base de datos Rutas'!BK523)=0),"",'Base de datos Rutas'!O523/('Base de datos Rutas'!L523/'Base de datos Rutas'!BK523)),"")</f>
        <v/>
      </c>
      <c r="J525" s="788" t="str">
        <f>IFERROR(IF(OR(NOT(ISNUMBER('Base de datos Rutas'!N523)),N('Base de datos Rutas'!BK523)=0),"",'Base de datos Rutas'!N523/('Base de datos Rutas'!L523/'Base de datos Rutas'!BK523)),"")</f>
        <v/>
      </c>
      <c r="K525" s="788" t="str">
        <f>IFERROR(IF(OR(NOT(ISNUMBER('Base de datos Rutas'!J523)),N('Base de datos Rutas'!BK523)=0),"",'Base de datos Rutas'!J523/('Base de datos Rutas'!L523/'Base de datos Rutas'!BK523)),"")</f>
        <v/>
      </c>
      <c r="L525" s="788" t="str">
        <f>IFERROR(IF(OR(NOT(ISNUMBER('Base de datos Rutas'!K523)),N('Base de datos Rutas'!BK523)=0),"",'Base de datos Rutas'!K523/('Base de datos Rutas'!L523/'Base de datos Rutas'!BK523)),"")</f>
        <v/>
      </c>
      <c r="M525" s="787">
        <f>IF(ISNUMBER('Base de datos Rutas'!AX523),'Base de datos Rutas'!AX523,"")</f>
        <v>485.28764227642301</v>
      </c>
      <c r="N525" s="790">
        <f>IFERROR(INDEX('Hoja de apoyo v2'!B$17:B$20,MATCH($A525,'Hoja de apoyo v2'!$A$17:$A$20,0)),"")</f>
        <v>89.41621024641401</v>
      </c>
      <c r="O525" s="791">
        <f>IFERROR(INDEX('Hoja de apoyo v2'!C$17:C$20,MATCH($A525,'Hoja de apoyo v2'!$A$17:$A$20,0)),"")</f>
        <v>0.54706375874806301</v>
      </c>
      <c r="P525" s="793">
        <f>IFERROR(INDEX('Hoja de apoyo v2'!D$17:D$20,MATCH($A525,'Hoja de apoyo v2'!$A$17:$A$20,0)),"")</f>
        <v>11095.153935793827</v>
      </c>
      <c r="Q525" s="793">
        <f>IFERROR(INDEX('Hoja de apoyo v2'!E$17:E$20,MATCH($A525,'Hoja de apoyo v2'!$A$17:$A$20,0)),"")</f>
        <v>6982.3202019701848</v>
      </c>
      <c r="R525" s="793">
        <f>IFERROR(INDEX('Hoja de apoyo v2'!F$17:F$20,MATCH($A525,'Hoja de apoyo v2'!$A$17:$A$20,0)),"")</f>
        <v>448.09513474485743</v>
      </c>
      <c r="S525" s="793">
        <f>IFERROR(INDEX('Hoja de apoyo v2'!G$17:G$20,MATCH($A525,'Hoja de apoyo v2'!$A$17:$A$20,0)),"")</f>
        <v>83.406300904207839</v>
      </c>
      <c r="T525" s="792">
        <f>IFERROR(INDEX('Hoja de apoyo v2'!H$17:H$20,MATCH($A525,'Hoja de apoyo v2'!$A$17:$A$20,0)),"")</f>
        <v>378.97014028925349</v>
      </c>
      <c r="U525" s="794" t="str">
        <f t="shared" si="292"/>
        <v/>
      </c>
      <c r="V525" s="795" t="str">
        <f t="shared" si="293"/>
        <v/>
      </c>
      <c r="W525" s="795" t="str">
        <f t="shared" si="294"/>
        <v/>
      </c>
      <c r="X525" s="843" t="str">
        <f t="shared" si="295"/>
        <v/>
      </c>
      <c r="Y525" s="843" t="str">
        <f t="shared" si="296"/>
        <v/>
      </c>
      <c r="Z525" s="843" t="str">
        <f t="shared" si="297"/>
        <v/>
      </c>
      <c r="AA525" s="843">
        <f t="shared" si="298"/>
        <v>1.2805432161647918</v>
      </c>
      <c r="AB525" s="796">
        <f t="shared" si="299"/>
        <v>0</v>
      </c>
      <c r="AC525" s="797">
        <f t="shared" si="300"/>
        <v>0</v>
      </c>
      <c r="AD525" s="797">
        <f t="shared" si="301"/>
        <v>0</v>
      </c>
      <c r="AE525" s="842">
        <f t="shared" si="302"/>
        <v>0</v>
      </c>
      <c r="AF525" s="842">
        <f t="shared" si="303"/>
        <v>0</v>
      </c>
      <c r="AG525" s="842">
        <f t="shared" si="304"/>
        <v>0</v>
      </c>
      <c r="AH525" s="842">
        <f t="shared" si="305"/>
        <v>5</v>
      </c>
      <c r="AI525" s="826" cm="1">
        <f t="array" ref="AI525">SUMPRODUCT(--ISNUMBER($U525:$AA525),$AB$3:$AH$3)</f>
        <v>8.9789113613062493E-2</v>
      </c>
      <c r="AJ525" s="829" t="str">
        <f t="shared" si="306"/>
        <v/>
      </c>
      <c r="AK525" s="827" t="str">
        <f t="shared" si="307"/>
        <v>No elegible</v>
      </c>
      <c r="AL525" s="784" t="str">
        <f t="shared" si="308"/>
        <v>n/a</v>
      </c>
      <c r="AM525" s="799">
        <f>IF(ISNUMBER('Base de datos Rutas'!W523),'Base de datos Rutas'!W523,"")</f>
        <v>2866.2444123371242</v>
      </c>
      <c r="AN525" s="787">
        <f>IFERROR(SUMIFS('Base de datos Rutas'!$W$6:$W$794,'Base de datos Rutas'!$C$6:$C$794,$C525)/'Base de datos Rutas'!I523,"")</f>
        <v>2866.2444123371242</v>
      </c>
      <c r="AO525" s="800">
        <f>IFERROR('Base de datos Rutas'!X523*AN525/AM525,"")</f>
        <v>0.40462988446513853</v>
      </c>
      <c r="AP525" s="800">
        <f t="shared" si="309"/>
        <v>0.59537011553486141</v>
      </c>
      <c r="AQ525" s="789">
        <f>IFERROR(INDEX('Hoja de apoyo v2'!$J$17:$J$20,MATCH($A525,'Hoja de apoyo v2'!$A$17:$A$20,0)),"")</f>
        <v>0.64320274048480885</v>
      </c>
      <c r="AR525" s="789">
        <f t="shared" si="310"/>
        <v>-4.7832624949947444E-2</v>
      </c>
      <c r="AS525" s="784" t="str">
        <f t="shared" si="311"/>
        <v>No</v>
      </c>
      <c r="AT525" s="801" t="str">
        <f>IF(ISNUMBER('Base de datos Rutas'!CK523),'Base de datos Rutas'!CK523,"")</f>
        <v/>
      </c>
      <c r="AU525" s="802" t="str">
        <f>IF(ISNUMBER('Base de datos Rutas'!CL523),'Base de datos Rutas'!CL523,"")</f>
        <v/>
      </c>
      <c r="AV525" s="802">
        <f>IF(ISNUMBER('Base de datos Rutas'!CM523),'Base de datos Rutas'!CM523,"")</f>
        <v>0</v>
      </c>
      <c r="AW525" s="802" t="str">
        <f>IF(ISNUMBER('Base de datos Rutas'!CN523),'Base de datos Rutas'!CN523,"")</f>
        <v/>
      </c>
      <c r="AX525" s="802" t="str">
        <f>IF(ISNUMBER('Base de datos Rutas'!CO523),'Base de datos Rutas'!CO523,"")</f>
        <v/>
      </c>
      <c r="AY525" s="802">
        <f>IF(ISNUMBER('Base de datos Rutas'!CP523),'Base de datos Rutas'!CP523,"")</f>
        <v>0</v>
      </c>
      <c r="AZ525" s="802" t="str">
        <f>IF(ISNUMBER('Base de datos Rutas'!CQ523),'Base de datos Rutas'!CQ523,"")</f>
        <v/>
      </c>
      <c r="BA525" s="802" t="str">
        <f>IF(ISNUMBER('Base de datos Rutas'!CR523),'Base de datos Rutas'!CR523,"")</f>
        <v/>
      </c>
      <c r="BB525" s="803">
        <f>IF(ISNUMBER('Base de datos Rutas'!CS523),'Base de datos Rutas'!CS523,"")</f>
        <v>0</v>
      </c>
      <c r="BC525" s="804" t="str">
        <f t="shared" si="321"/>
        <v/>
      </c>
      <c r="BD525" s="805" t="str">
        <f t="shared" si="322"/>
        <v>N/D</v>
      </c>
      <c r="BE525" s="806" t="str">
        <f t="shared" si="323"/>
        <v/>
      </c>
      <c r="BF525" s="890" t="str">
        <f>IF(ISNUMBER('Base de datos Rutas'!CX523),'Base de datos Rutas'!CX523/100,"")</f>
        <v/>
      </c>
      <c r="BG525" s="891" t="str">
        <f>IF(ISNUMBER('Base de datos Rutas'!CZ523),'Base de datos Rutas'!CZ523/100,"")</f>
        <v/>
      </c>
      <c r="BH525" s="892" t="str">
        <f>IF(ISNUMBER('Base de datos Rutas'!DA523),'Base de datos Rutas'!DA523,"")</f>
        <v/>
      </c>
      <c r="BI525" s="893" t="str">
        <f>IF(ISNUMBER('Base de datos Rutas'!DC523),'Base de datos Rutas'!DC523,"")</f>
        <v/>
      </c>
      <c r="BJ525" s="805" t="str">
        <f t="shared" si="324"/>
        <v>Sin dato</v>
      </c>
      <c r="BK525" s="783">
        <f t="shared" si="312"/>
        <v>0</v>
      </c>
      <c r="BL525" s="797">
        <f t="shared" si="313"/>
        <v>0</v>
      </c>
      <c r="BM525" s="797">
        <f t="shared" si="314"/>
        <v>0</v>
      </c>
      <c r="BN525" s="797">
        <f t="shared" si="315"/>
        <v>0</v>
      </c>
      <c r="BO525" s="798" cm="1">
        <f t="array" ref="BO525">SUMPRODUCT(--ISNUMBER($BF525:$BI525),$BK$3:$BN$3)</f>
        <v>0</v>
      </c>
      <c r="BP525" s="831" t="str">
        <f t="shared" si="325"/>
        <v/>
      </c>
      <c r="BQ525" s="834" t="str">
        <f t="shared" si="326"/>
        <v>Sin datos</v>
      </c>
      <c r="BR525" s="836" t="str">
        <f t="shared" si="316"/>
        <v/>
      </c>
      <c r="BS525" s="836" t="str">
        <f t="shared" si="317"/>
        <v/>
      </c>
      <c r="BT525" s="837" t="str">
        <f t="shared" si="318"/>
        <v>Sin datos</v>
      </c>
      <c r="BU525" s="807" t="str">
        <f t="shared" si="327"/>
        <v>No evaluable</v>
      </c>
      <c r="BV525" s="807" t="str">
        <f t="shared" si="319"/>
        <v>No evaluable</v>
      </c>
      <c r="BW525" s="808" t="str">
        <f t="shared" si="320"/>
        <v>Sin datos</v>
      </c>
    </row>
    <row r="526" spans="1:75">
      <c r="A526" s="780" t="str">
        <f>'Base de datos Rutas'!A524</f>
        <v>Occidente</v>
      </c>
      <c r="B526" s="781" t="str">
        <f>'Base de datos Rutas'!B524</f>
        <v>Zapopan</v>
      </c>
      <c r="C526" s="781" t="str">
        <f>'Base de datos Rutas'!C524</f>
        <v>Suc. Huentitán</v>
      </c>
      <c r="D526" s="782">
        <f>IF(ISNUMBER('Base de datos Rutas'!D524),'Base de datos Rutas'!D524,"Sin código")</f>
        <v>819426</v>
      </c>
      <c r="E526" s="783" t="str">
        <f>'Base de datos Rutas'!F524</f>
        <v>Activa</v>
      </c>
      <c r="F526" s="784" t="str">
        <f>'Base de datos Rutas'!H524</f>
        <v>Sí</v>
      </c>
      <c r="G526" s="785">
        <f>IF(ISNUMBER('Base de datos Rutas'!BE524),'Base de datos Rutas'!BE524,"")</f>
        <v>84.705069124424</v>
      </c>
      <c r="H526" s="786">
        <f>IF(ISNUMBER('Base de datos Rutas'!BH524),'Base de datos Rutas'!BH524,"")</f>
        <v>0.593683695119961</v>
      </c>
      <c r="I526" s="788">
        <f>IFERROR(IF(OR(NOT(ISNUMBER('Base de datos Rutas'!O524)),N('Base de datos Rutas'!BK524)=0),"",'Base de datos Rutas'!O524/('Base de datos Rutas'!L524/'Base de datos Rutas'!BK524)),"")</f>
        <v>5037.4032258064599</v>
      </c>
      <c r="J526" s="788">
        <f>IFERROR(IF(OR(NOT(ISNUMBER('Base de datos Rutas'!N524)),N('Base de datos Rutas'!BK524)=0),"",'Base de datos Rutas'!N524/('Base de datos Rutas'!L524/'Base de datos Rutas'!BK524)),"")</f>
        <v>8120.4447004608419</v>
      </c>
      <c r="K526" s="788">
        <f>IFERROR(IF(OR(NOT(ISNUMBER('Base de datos Rutas'!J524)),N('Base de datos Rutas'!BK524)=0),"",'Base de datos Rutas'!J524/('Base de datos Rutas'!L524/'Base de datos Rutas'!BK524)),"")</f>
        <v>560.01809754838564</v>
      </c>
      <c r="L526" s="788">
        <f>IFERROR(IF(OR(NOT(ISNUMBER('Base de datos Rutas'!K524)),N('Base de datos Rutas'!BK524)=0),"",'Base de datos Rutas'!K524/('Base de datos Rutas'!L524/'Base de datos Rutas'!BK524)),"")</f>
        <v>46.143261191244314</v>
      </c>
      <c r="M526" s="787">
        <f>IF(ISNUMBER('Base de datos Rutas'!AX524),'Base de datos Rutas'!AX524,"")</f>
        <v>261.649750286369</v>
      </c>
      <c r="N526" s="790">
        <f>IFERROR(INDEX('Hoja de apoyo v2'!B$17:B$20,MATCH($A526,'Hoja de apoyo v2'!$A$17:$A$20,0)),"")</f>
        <v>89.41621024641401</v>
      </c>
      <c r="O526" s="791">
        <f>IFERROR(INDEX('Hoja de apoyo v2'!C$17:C$20,MATCH($A526,'Hoja de apoyo v2'!$A$17:$A$20,0)),"")</f>
        <v>0.54706375874806301</v>
      </c>
      <c r="P526" s="793">
        <f>IFERROR(INDEX('Hoja de apoyo v2'!D$17:D$20,MATCH($A526,'Hoja de apoyo v2'!$A$17:$A$20,0)),"")</f>
        <v>11095.153935793827</v>
      </c>
      <c r="Q526" s="793">
        <f>IFERROR(INDEX('Hoja de apoyo v2'!E$17:E$20,MATCH($A526,'Hoja de apoyo v2'!$A$17:$A$20,0)),"")</f>
        <v>6982.3202019701848</v>
      </c>
      <c r="R526" s="793">
        <f>IFERROR(INDEX('Hoja de apoyo v2'!F$17:F$20,MATCH($A526,'Hoja de apoyo v2'!$A$17:$A$20,0)),"")</f>
        <v>448.09513474485743</v>
      </c>
      <c r="S526" s="793">
        <f>IFERROR(INDEX('Hoja de apoyo v2'!G$17:G$20,MATCH($A526,'Hoja de apoyo v2'!$A$17:$A$20,0)),"")</f>
        <v>83.406300904207839</v>
      </c>
      <c r="T526" s="792">
        <f>IFERROR(INDEX('Hoja de apoyo v2'!H$17:H$20,MATCH($A526,'Hoja de apoyo v2'!$A$17:$A$20,0)),"")</f>
        <v>378.97014028925349</v>
      </c>
      <c r="U526" s="794">
        <f t="shared" si="292"/>
        <v>0.94731222550131566</v>
      </c>
      <c r="V526" s="795">
        <f t="shared" si="293"/>
        <v>1.0852184697421488</v>
      </c>
      <c r="W526" s="795">
        <f t="shared" si="294"/>
        <v>0.45401832682603943</v>
      </c>
      <c r="X526" s="843">
        <f t="shared" si="295"/>
        <v>1.1630009030765325</v>
      </c>
      <c r="Y526" s="843">
        <f t="shared" si="296"/>
        <v>1.2497750011663404</v>
      </c>
      <c r="Z526" s="843">
        <f t="shared" si="297"/>
        <v>0.55323471597475427</v>
      </c>
      <c r="AA526" s="843">
        <f t="shared" si="298"/>
        <v>0.69042312960768282</v>
      </c>
      <c r="AB526" s="796">
        <f t="shared" si="299"/>
        <v>3</v>
      </c>
      <c r="AC526" s="797">
        <f t="shared" si="300"/>
        <v>4</v>
      </c>
      <c r="AD526" s="797">
        <f t="shared" si="301"/>
        <v>1</v>
      </c>
      <c r="AE526" s="842">
        <f t="shared" si="302"/>
        <v>4</v>
      </c>
      <c r="AF526" s="842">
        <f t="shared" si="303"/>
        <v>4</v>
      </c>
      <c r="AG526" s="842">
        <f t="shared" si="304"/>
        <v>2</v>
      </c>
      <c r="AH526" s="842">
        <f t="shared" si="305"/>
        <v>2</v>
      </c>
      <c r="AI526" s="826" cm="1">
        <f t="array" ref="AI526">SUMPRODUCT(--ISNUMBER($U526:$AA526),$AB$3:$AH$3)</f>
        <v>1</v>
      </c>
      <c r="AJ526" s="829">
        <f t="shared" si="306"/>
        <v>41.856260197106657</v>
      </c>
      <c r="AK526" s="827" t="str">
        <f t="shared" si="307"/>
        <v>Inmadura</v>
      </c>
      <c r="AL526" s="784" t="str">
        <f t="shared" si="308"/>
        <v>Alta</v>
      </c>
      <c r="AM526" s="799">
        <f>IF(ISNUMBER('Base de datos Rutas'!W524),'Base de datos Rutas'!W524,"")</f>
        <v>2866.2444123371242</v>
      </c>
      <c r="AN526" s="787">
        <f>IFERROR(SUMIFS('Base de datos Rutas'!$W$6:$W$794,'Base de datos Rutas'!$C$6:$C$794,$C526)/'Base de datos Rutas'!I524,"")</f>
        <v>2866.2444123371242</v>
      </c>
      <c r="AO526" s="800">
        <f>IFERROR('Base de datos Rutas'!X524*AN526/AM526,"")</f>
        <v>0.40462988446513853</v>
      </c>
      <c r="AP526" s="800">
        <f t="shared" si="309"/>
        <v>0.59537011553486141</v>
      </c>
      <c r="AQ526" s="789">
        <f>IFERROR(INDEX('Hoja de apoyo v2'!$J$17:$J$20,MATCH($A526,'Hoja de apoyo v2'!$A$17:$A$20,0)),"")</f>
        <v>0.64320274048480885</v>
      </c>
      <c r="AR526" s="789">
        <f t="shared" si="310"/>
        <v>-4.7832624949947444E-2</v>
      </c>
      <c r="AS526" s="784" t="str">
        <f t="shared" si="311"/>
        <v>No</v>
      </c>
      <c r="AT526" s="801">
        <f>IF(ISNUMBER('Base de datos Rutas'!CK524),'Base de datos Rutas'!CK524,"")</f>
        <v>361</v>
      </c>
      <c r="AU526" s="802">
        <f>IF(ISNUMBER('Base de datos Rutas'!CL524),'Base de datos Rutas'!CL524,"")</f>
        <v>395.82</v>
      </c>
      <c r="AV526" s="802">
        <f>IF(ISNUMBER('Base de datos Rutas'!CM524),'Base de datos Rutas'!CM524,"")</f>
        <v>34.819999999999993</v>
      </c>
      <c r="AW526" s="802">
        <f>IF(ISNUMBER('Base de datos Rutas'!CN524),'Base de datos Rutas'!CN524,"")</f>
        <v>8.08</v>
      </c>
      <c r="AX526" s="802">
        <f>IF(ISNUMBER('Base de datos Rutas'!CO524),'Base de datos Rutas'!CO524,"")</f>
        <v>9.4499999999999993</v>
      </c>
      <c r="AY526" s="802">
        <f>IF(ISNUMBER('Base de datos Rutas'!CP524),'Base de datos Rutas'!CP524,"")</f>
        <v>1.3699999999999992</v>
      </c>
      <c r="AZ526" s="802">
        <f>IF(ISNUMBER('Base de datos Rutas'!CQ524),'Base de datos Rutas'!CQ524,"")</f>
        <v>846.56</v>
      </c>
      <c r="BA526" s="802">
        <f>IF(ISNUMBER('Base de datos Rutas'!CR524),'Base de datos Rutas'!CR524,"")</f>
        <v>606.16</v>
      </c>
      <c r="BB526" s="803">
        <f>IF(ISNUMBER('Base de datos Rutas'!CS524),'Base de datos Rutas'!CS524,"")</f>
        <v>240.39999999999998</v>
      </c>
      <c r="BC526" s="804">
        <f t="shared" si="321"/>
        <v>0</v>
      </c>
      <c r="BD526" s="805" t="str">
        <f t="shared" si="322"/>
        <v>No saturada</v>
      </c>
      <c r="BE526" s="806">
        <f t="shared" si="323"/>
        <v>0.71602721602721608</v>
      </c>
      <c r="BF526" s="890">
        <f>IF(ISNUMBER('Base de datos Rutas'!CX524),'Base de datos Rutas'!CX524/100,"")</f>
        <v>7.516748768472907E-2</v>
      </c>
      <c r="BG526" s="891">
        <f>IF(ISNUMBER('Base de datos Rutas'!CZ524),'Base de datos Rutas'!CZ524/100,"")</f>
        <v>8.3743842364532015E-2</v>
      </c>
      <c r="BH526" s="892">
        <f>IF(ISNUMBER('Base de datos Rutas'!DA524),'Base de datos Rutas'!DA524,"")</f>
        <v>97.282842713477024</v>
      </c>
      <c r="BI526" s="893">
        <f>IF(ISNUMBER('Base de datos Rutas'!DC524),'Base de datos Rutas'!DC524,"")</f>
        <v>4.9744262263054297</v>
      </c>
      <c r="BJ526" s="805" t="str">
        <f t="shared" si="324"/>
        <v>Ruta (completo)</v>
      </c>
      <c r="BK526" s="783">
        <f t="shared" si="312"/>
        <v>1</v>
      </c>
      <c r="BL526" s="797">
        <f t="shared" si="313"/>
        <v>1</v>
      </c>
      <c r="BM526" s="797">
        <f t="shared" si="314"/>
        <v>2</v>
      </c>
      <c r="BN526" s="797">
        <f t="shared" si="315"/>
        <v>2</v>
      </c>
      <c r="BO526" s="798" cm="1">
        <f t="array" ref="BO526">SUMPRODUCT(--ISNUMBER($BF526:$BI526),$BK$3:$BN$3)</f>
        <v>1</v>
      </c>
      <c r="BP526" s="831">
        <f t="shared" si="325"/>
        <v>12.5</v>
      </c>
      <c r="BQ526" s="834" t="str">
        <f t="shared" si="326"/>
        <v>Bajo</v>
      </c>
      <c r="BR526" s="836">
        <f t="shared" si="316"/>
        <v>31.392195147829995</v>
      </c>
      <c r="BS526" s="836">
        <f t="shared" si="317"/>
        <v>12.5</v>
      </c>
      <c r="BT526" s="837" t="str">
        <f t="shared" si="318"/>
        <v>P2</v>
      </c>
      <c r="BU526" s="807" t="str">
        <f t="shared" si="327"/>
        <v>Con espacio</v>
      </c>
      <c r="BV526" s="807" t="str">
        <f t="shared" si="319"/>
        <v>Zona de bajo potencial</v>
      </c>
      <c r="BW526" s="808" t="str">
        <f t="shared" si="320"/>
        <v>P2 - Mantener</v>
      </c>
    </row>
    <row r="527" spans="1:75">
      <c r="A527" s="780" t="str">
        <f>'Base de datos Rutas'!A525</f>
        <v>Occidente</v>
      </c>
      <c r="B527" s="781" t="str">
        <f>'Base de datos Rutas'!B525</f>
        <v>Zapopan</v>
      </c>
      <c r="C527" s="781" t="str">
        <f>'Base de datos Rutas'!C525</f>
        <v>Suc. Huentitán</v>
      </c>
      <c r="D527" s="782">
        <f>IF(ISNUMBER('Base de datos Rutas'!D525),'Base de datos Rutas'!D525,"Sin código")</f>
        <v>819427</v>
      </c>
      <c r="E527" s="783" t="str">
        <f>'Base de datos Rutas'!F525</f>
        <v>Activa</v>
      </c>
      <c r="F527" s="784" t="str">
        <f>'Base de datos Rutas'!H525</f>
        <v>Sí</v>
      </c>
      <c r="G527" s="785">
        <f>IF(ISNUMBER('Base de datos Rutas'!BE525),'Base de datos Rutas'!BE525,"")</f>
        <v>67.096774193548399</v>
      </c>
      <c r="H527" s="786">
        <f>IF(ISNUMBER('Base de datos Rutas'!BH525),'Base de datos Rutas'!BH525,"")</f>
        <v>2.5961538461538501E-2</v>
      </c>
      <c r="I527" s="788">
        <f>IFERROR(IF(OR(NOT(ISNUMBER('Base de datos Rutas'!O525)),N('Base de datos Rutas'!BK525)=0),"",'Base de datos Rutas'!O525/('Base de datos Rutas'!L525/'Base de datos Rutas'!BK525)),"")</f>
        <v>395.93939393939354</v>
      </c>
      <c r="J527" s="788">
        <f>IFERROR(IF(OR(NOT(ISNUMBER('Base de datos Rutas'!N525)),N('Base de datos Rutas'!BK525)=0),"",'Base de datos Rutas'!N525/('Base de datos Rutas'!L525/'Base de datos Rutas'!BK525)),"")</f>
        <v>298.16161616161588</v>
      </c>
      <c r="K527" s="788">
        <f>IFERROR(IF(OR(NOT(ISNUMBER('Base de datos Rutas'!J525)),N('Base de datos Rutas'!BK525)=0),"",'Base de datos Rutas'!J525/('Base de datos Rutas'!L525/'Base de datos Rutas'!BK525)),"")</f>
        <v>23.553826262626238</v>
      </c>
      <c r="L527" s="788">
        <f>IFERROR(IF(OR(NOT(ISNUMBER('Base de datos Rutas'!K525)),N('Base de datos Rutas'!BK525)=0),"",'Base de datos Rutas'!K525/('Base de datos Rutas'!L525/'Base de datos Rutas'!BK525)),"")</f>
        <v>2.9832911616161586</v>
      </c>
      <c r="M527" s="787">
        <f>IF(ISNUMBER('Base de datos Rutas'!AX525),'Base de datos Rutas'!AX525,"")</f>
        <v>479.14824324324297</v>
      </c>
      <c r="N527" s="790">
        <f>IFERROR(INDEX('Hoja de apoyo v2'!B$17:B$20,MATCH($A527,'Hoja de apoyo v2'!$A$17:$A$20,0)),"")</f>
        <v>89.41621024641401</v>
      </c>
      <c r="O527" s="791">
        <f>IFERROR(INDEX('Hoja de apoyo v2'!C$17:C$20,MATCH($A527,'Hoja de apoyo v2'!$A$17:$A$20,0)),"")</f>
        <v>0.54706375874806301</v>
      </c>
      <c r="P527" s="793">
        <f>IFERROR(INDEX('Hoja de apoyo v2'!D$17:D$20,MATCH($A527,'Hoja de apoyo v2'!$A$17:$A$20,0)),"")</f>
        <v>11095.153935793827</v>
      </c>
      <c r="Q527" s="793">
        <f>IFERROR(INDEX('Hoja de apoyo v2'!E$17:E$20,MATCH($A527,'Hoja de apoyo v2'!$A$17:$A$20,0)),"")</f>
        <v>6982.3202019701848</v>
      </c>
      <c r="R527" s="793">
        <f>IFERROR(INDEX('Hoja de apoyo v2'!F$17:F$20,MATCH($A527,'Hoja de apoyo v2'!$A$17:$A$20,0)),"")</f>
        <v>448.09513474485743</v>
      </c>
      <c r="S527" s="793">
        <f>IFERROR(INDEX('Hoja de apoyo v2'!G$17:G$20,MATCH($A527,'Hoja de apoyo v2'!$A$17:$A$20,0)),"")</f>
        <v>83.406300904207839</v>
      </c>
      <c r="T527" s="792">
        <f>IFERROR(INDEX('Hoja de apoyo v2'!H$17:H$20,MATCH($A527,'Hoja de apoyo v2'!$A$17:$A$20,0)),"")</f>
        <v>378.97014028925349</v>
      </c>
      <c r="U527" s="794">
        <f t="shared" si="292"/>
        <v>0.75038713907290966</v>
      </c>
      <c r="V527" s="795">
        <f t="shared" si="293"/>
        <v>4.745614756303837E-2</v>
      </c>
      <c r="W527" s="795">
        <f t="shared" si="294"/>
        <v>3.5685795459048326E-2</v>
      </c>
      <c r="X527" s="843">
        <f t="shared" si="295"/>
        <v>4.2702369346722932E-2</v>
      </c>
      <c r="Y527" s="843">
        <f t="shared" si="296"/>
        <v>5.2564342784122482E-2</v>
      </c>
      <c r="Z527" s="843">
        <f t="shared" si="297"/>
        <v>3.5768174937316419E-2</v>
      </c>
      <c r="AA527" s="843">
        <f t="shared" si="298"/>
        <v>1.2643429977821665</v>
      </c>
      <c r="AB527" s="796">
        <f t="shared" si="299"/>
        <v>3</v>
      </c>
      <c r="AC527" s="797">
        <f t="shared" si="300"/>
        <v>1</v>
      </c>
      <c r="AD527" s="797">
        <f t="shared" si="301"/>
        <v>1</v>
      </c>
      <c r="AE527" s="842">
        <f t="shared" si="302"/>
        <v>1</v>
      </c>
      <c r="AF527" s="842">
        <f t="shared" si="303"/>
        <v>1</v>
      </c>
      <c r="AG527" s="842">
        <f t="shared" si="304"/>
        <v>1</v>
      </c>
      <c r="AH527" s="842">
        <f t="shared" si="305"/>
        <v>5</v>
      </c>
      <c r="AI527" s="826" cm="1">
        <f t="array" ref="AI527">SUMPRODUCT(--ISNUMBER($U527:$AA527),$AB$3:$AH$3)</f>
        <v>1</v>
      </c>
      <c r="AJ527" s="829">
        <f t="shared" si="306"/>
        <v>18.046183717579762</v>
      </c>
      <c r="AK527" s="827" t="str">
        <f t="shared" si="307"/>
        <v>Inmadura</v>
      </c>
      <c r="AL527" s="784" t="str">
        <f t="shared" si="308"/>
        <v>Alta</v>
      </c>
      <c r="AM527" s="799">
        <f>IF(ISNUMBER('Base de datos Rutas'!W525),'Base de datos Rutas'!W525,"")</f>
        <v>2866.2444123371242</v>
      </c>
      <c r="AN527" s="787">
        <f>IFERROR(SUMIFS('Base de datos Rutas'!$W$6:$W$794,'Base de datos Rutas'!$C$6:$C$794,$C527)/'Base de datos Rutas'!I525,"")</f>
        <v>2866.2444123371242</v>
      </c>
      <c r="AO527" s="800">
        <f>IFERROR('Base de datos Rutas'!X525*AN527/AM527,"")</f>
        <v>0.40462988446513853</v>
      </c>
      <c r="AP527" s="800">
        <f t="shared" si="309"/>
        <v>0.59537011553486141</v>
      </c>
      <c r="AQ527" s="789">
        <f>IFERROR(INDEX('Hoja de apoyo v2'!$J$17:$J$20,MATCH($A527,'Hoja de apoyo v2'!$A$17:$A$20,0)),"")</f>
        <v>0.64320274048480885</v>
      </c>
      <c r="AR527" s="789">
        <f t="shared" si="310"/>
        <v>-4.7832624949947444E-2</v>
      </c>
      <c r="AS527" s="784" t="str">
        <f t="shared" si="311"/>
        <v>No</v>
      </c>
      <c r="AT527" s="801" t="str">
        <f>IF(ISNUMBER('Base de datos Rutas'!CK525),'Base de datos Rutas'!CK525,"")</f>
        <v/>
      </c>
      <c r="AU527" s="802" t="str">
        <f>IF(ISNUMBER('Base de datos Rutas'!CL525),'Base de datos Rutas'!CL525,"")</f>
        <v/>
      </c>
      <c r="AV527" s="802">
        <f>IF(ISNUMBER('Base de datos Rutas'!CM525),'Base de datos Rutas'!CM525,"")</f>
        <v>0</v>
      </c>
      <c r="AW527" s="802" t="str">
        <f>IF(ISNUMBER('Base de datos Rutas'!CN525),'Base de datos Rutas'!CN525,"")</f>
        <v/>
      </c>
      <c r="AX527" s="802" t="str">
        <f>IF(ISNUMBER('Base de datos Rutas'!CO525),'Base de datos Rutas'!CO525,"")</f>
        <v/>
      </c>
      <c r="AY527" s="802">
        <f>IF(ISNUMBER('Base de datos Rutas'!CP525),'Base de datos Rutas'!CP525,"")</f>
        <v>0</v>
      </c>
      <c r="AZ527" s="802" t="str">
        <f>IF(ISNUMBER('Base de datos Rutas'!CQ525),'Base de datos Rutas'!CQ525,"")</f>
        <v/>
      </c>
      <c r="BA527" s="802" t="str">
        <f>IF(ISNUMBER('Base de datos Rutas'!CR525),'Base de datos Rutas'!CR525,"")</f>
        <v/>
      </c>
      <c r="BB527" s="803">
        <f>IF(ISNUMBER('Base de datos Rutas'!CS525),'Base de datos Rutas'!CS525,"")</f>
        <v>0</v>
      </c>
      <c r="BC527" s="804" t="str">
        <f t="shared" si="321"/>
        <v/>
      </c>
      <c r="BD527" s="805" t="str">
        <f t="shared" si="322"/>
        <v>N/D</v>
      </c>
      <c r="BE527" s="806" t="str">
        <f t="shared" si="323"/>
        <v/>
      </c>
      <c r="BF527" s="890" t="str">
        <f>IF(ISNUMBER('Base de datos Rutas'!CX525),'Base de datos Rutas'!CX525/100,"")</f>
        <v/>
      </c>
      <c r="BG527" s="891" t="str">
        <f>IF(ISNUMBER('Base de datos Rutas'!CZ525),'Base de datos Rutas'!CZ525/100,"")</f>
        <v/>
      </c>
      <c r="BH527" s="892" t="str">
        <f>IF(ISNUMBER('Base de datos Rutas'!DA525),'Base de datos Rutas'!DA525,"")</f>
        <v/>
      </c>
      <c r="BI527" s="893" t="str">
        <f>IF(ISNUMBER('Base de datos Rutas'!DC525),'Base de datos Rutas'!DC525,"")</f>
        <v/>
      </c>
      <c r="BJ527" s="805" t="str">
        <f t="shared" si="324"/>
        <v>Sin dato</v>
      </c>
      <c r="BK527" s="783">
        <f t="shared" si="312"/>
        <v>0</v>
      </c>
      <c r="BL527" s="797">
        <f t="shared" si="313"/>
        <v>0</v>
      </c>
      <c r="BM527" s="797">
        <f t="shared" si="314"/>
        <v>0</v>
      </c>
      <c r="BN527" s="797">
        <f t="shared" si="315"/>
        <v>0</v>
      </c>
      <c r="BO527" s="798" cm="1">
        <f t="array" ref="BO527">SUMPRODUCT(--ISNUMBER($BF527:$BI527),$BK$3:$BN$3)</f>
        <v>0</v>
      </c>
      <c r="BP527" s="831" t="str">
        <f t="shared" si="325"/>
        <v/>
      </c>
      <c r="BQ527" s="834" t="str">
        <f t="shared" si="326"/>
        <v>Sin datos</v>
      </c>
      <c r="BR527" s="836" t="str">
        <f t="shared" si="316"/>
        <v/>
      </c>
      <c r="BS527" s="836" t="str">
        <f t="shared" si="317"/>
        <v/>
      </c>
      <c r="BT527" s="837" t="str">
        <f t="shared" si="318"/>
        <v>Sin datos</v>
      </c>
      <c r="BU527" s="807" t="str">
        <f t="shared" si="327"/>
        <v>Con espacio</v>
      </c>
      <c r="BV527" s="807" t="str">
        <f t="shared" si="319"/>
        <v>Sin datos de zona</v>
      </c>
      <c r="BW527" s="808" t="str">
        <f t="shared" si="320"/>
        <v>Sin datos</v>
      </c>
    </row>
    <row r="528" spans="1:75">
      <c r="A528" s="780" t="str">
        <f>'Base de datos Rutas'!A526</f>
        <v>Occidente</v>
      </c>
      <c r="B528" s="781" t="str">
        <f>'Base de datos Rutas'!B526</f>
        <v>Zapopan</v>
      </c>
      <c r="C528" s="781" t="str">
        <f>'Base de datos Rutas'!C526</f>
        <v>Suc. Huentitán</v>
      </c>
      <c r="D528" s="782">
        <f>IF(ISNUMBER('Base de datos Rutas'!D526),'Base de datos Rutas'!D526,"Sin código")</f>
        <v>819428</v>
      </c>
      <c r="E528" s="783" t="str">
        <f>'Base de datos Rutas'!F526</f>
        <v>Activa</v>
      </c>
      <c r="F528" s="784" t="str">
        <f>'Base de datos Rutas'!H526</f>
        <v>Sí</v>
      </c>
      <c r="G528" s="785">
        <f>IF(ISNUMBER('Base de datos Rutas'!BE526),'Base de datos Rutas'!BE526,"")</f>
        <v>106.111111111111</v>
      </c>
      <c r="H528" s="786">
        <f>IF(ISNUMBER('Base de datos Rutas'!BH526),'Base de datos Rutas'!BH526,"")</f>
        <v>1.61256544502618E-2</v>
      </c>
      <c r="I528" s="788">
        <f>IFERROR(IF(OR(NOT(ISNUMBER('Base de datos Rutas'!O526)),N('Base de datos Rutas'!BK526)=0),"",'Base de datos Rutas'!O526/('Base de datos Rutas'!L526/'Base de datos Rutas'!BK526)),"")</f>
        <v>276.01063829787307</v>
      </c>
      <c r="J528" s="788">
        <f>IFERROR(IF(OR(NOT(ISNUMBER('Base de datos Rutas'!N526)),N('Base de datos Rutas'!BK526)=0),"",'Base de datos Rutas'!N526/('Base de datos Rutas'!L526/'Base de datos Rutas'!BK526)),"")</f>
        <v>245.84042553191557</v>
      </c>
      <c r="K528" s="788">
        <f>IFERROR(IF(OR(NOT(ISNUMBER('Base de datos Rutas'!J526)),N('Base de datos Rutas'!BK526)=0),"",'Base de datos Rutas'!J526/('Base de datos Rutas'!L526/'Base de datos Rutas'!BK526)),"")</f>
        <v>17.649472340425582</v>
      </c>
      <c r="L528" s="788">
        <f>IFERROR(IF(OR(NOT(ISNUMBER('Base de datos Rutas'!K526)),N('Base de datos Rutas'!BK526)=0),"",'Base de datos Rutas'!K526/('Base de datos Rutas'!L526/'Base de datos Rutas'!BK526)),"")</f>
        <v>2.1842779255319207</v>
      </c>
      <c r="M528" s="787">
        <f>IF(ISNUMBER('Base de datos Rutas'!AX526),'Base de datos Rutas'!AX526,"")</f>
        <v>377.33923076923099</v>
      </c>
      <c r="N528" s="790">
        <f>IFERROR(INDEX('Hoja de apoyo v2'!B$17:B$20,MATCH($A528,'Hoja de apoyo v2'!$A$17:$A$20,0)),"")</f>
        <v>89.41621024641401</v>
      </c>
      <c r="O528" s="791">
        <f>IFERROR(INDEX('Hoja de apoyo v2'!C$17:C$20,MATCH($A528,'Hoja de apoyo v2'!$A$17:$A$20,0)),"")</f>
        <v>0.54706375874806301</v>
      </c>
      <c r="P528" s="793">
        <f>IFERROR(INDEX('Hoja de apoyo v2'!D$17:D$20,MATCH($A528,'Hoja de apoyo v2'!$A$17:$A$20,0)),"")</f>
        <v>11095.153935793827</v>
      </c>
      <c r="Q528" s="793">
        <f>IFERROR(INDEX('Hoja de apoyo v2'!E$17:E$20,MATCH($A528,'Hoja de apoyo v2'!$A$17:$A$20,0)),"")</f>
        <v>6982.3202019701848</v>
      </c>
      <c r="R528" s="793">
        <f>IFERROR(INDEX('Hoja de apoyo v2'!F$17:F$20,MATCH($A528,'Hoja de apoyo v2'!$A$17:$A$20,0)),"")</f>
        <v>448.09513474485743</v>
      </c>
      <c r="S528" s="793">
        <f>IFERROR(INDEX('Hoja de apoyo v2'!G$17:G$20,MATCH($A528,'Hoja de apoyo v2'!$A$17:$A$20,0)),"")</f>
        <v>83.406300904207839</v>
      </c>
      <c r="T528" s="792">
        <f>IFERROR(INDEX('Hoja de apoyo v2'!H$17:H$20,MATCH($A528,'Hoja de apoyo v2'!$A$17:$A$20,0)),"")</f>
        <v>378.97014028925349</v>
      </c>
      <c r="U528" s="794">
        <f t="shared" si="292"/>
        <v>1.1867100027913176</v>
      </c>
      <c r="V528" s="795">
        <f t="shared" si="293"/>
        <v>2.947673683806951E-2</v>
      </c>
      <c r="W528" s="795">
        <f t="shared" si="294"/>
        <v>2.4876683991507439E-2</v>
      </c>
      <c r="X528" s="843">
        <f t="shared" si="295"/>
        <v>3.5208987617403646E-2</v>
      </c>
      <c r="Y528" s="843">
        <f t="shared" si="296"/>
        <v>3.9387779451064739E-2</v>
      </c>
      <c r="Z528" s="843">
        <f t="shared" si="297"/>
        <v>2.6188404255459843E-2</v>
      </c>
      <c r="AA528" s="843">
        <f t="shared" si="298"/>
        <v>0.99569646959842883</v>
      </c>
      <c r="AB528" s="796">
        <f t="shared" si="299"/>
        <v>4</v>
      </c>
      <c r="AC528" s="797">
        <f t="shared" si="300"/>
        <v>1</v>
      </c>
      <c r="AD528" s="797">
        <f t="shared" si="301"/>
        <v>1</v>
      </c>
      <c r="AE528" s="842">
        <f t="shared" si="302"/>
        <v>1</v>
      </c>
      <c r="AF528" s="842">
        <f t="shared" si="303"/>
        <v>1</v>
      </c>
      <c r="AG528" s="842">
        <f t="shared" si="304"/>
        <v>1</v>
      </c>
      <c r="AH528" s="842">
        <f t="shared" si="305"/>
        <v>3</v>
      </c>
      <c r="AI528" s="826" cm="1">
        <f t="array" ref="AI528">SUMPRODUCT(--ISNUMBER($U528:$AA528),$AB$3:$AH$3)</f>
        <v>1</v>
      </c>
      <c r="AJ528" s="829">
        <f t="shared" si="306"/>
        <v>18.090364215063381</v>
      </c>
      <c r="AK528" s="827" t="str">
        <f t="shared" si="307"/>
        <v>Inmadura</v>
      </c>
      <c r="AL528" s="784" t="str">
        <f t="shared" si="308"/>
        <v>Alta</v>
      </c>
      <c r="AM528" s="799">
        <f>IF(ISNUMBER('Base de datos Rutas'!W526),'Base de datos Rutas'!W526,"")</f>
        <v>2866.2444123371242</v>
      </c>
      <c r="AN528" s="787">
        <f>IFERROR(SUMIFS('Base de datos Rutas'!$W$6:$W$794,'Base de datos Rutas'!$C$6:$C$794,$C528)/'Base de datos Rutas'!I526,"")</f>
        <v>2866.2444123371242</v>
      </c>
      <c r="AO528" s="800">
        <f>IFERROR('Base de datos Rutas'!X526*AN528/AM528,"")</f>
        <v>0.40462988446513853</v>
      </c>
      <c r="AP528" s="800">
        <f t="shared" si="309"/>
        <v>0.59537011553486141</v>
      </c>
      <c r="AQ528" s="789">
        <f>IFERROR(INDEX('Hoja de apoyo v2'!$J$17:$J$20,MATCH($A528,'Hoja de apoyo v2'!$A$17:$A$20,0)),"")</f>
        <v>0.64320274048480885</v>
      </c>
      <c r="AR528" s="789">
        <f t="shared" si="310"/>
        <v>-4.7832624949947444E-2</v>
      </c>
      <c r="AS528" s="784" t="str">
        <f t="shared" si="311"/>
        <v>No</v>
      </c>
      <c r="AT528" s="801" t="str">
        <f>IF(ISNUMBER('Base de datos Rutas'!CK526),'Base de datos Rutas'!CK526,"")</f>
        <v/>
      </c>
      <c r="AU528" s="802" t="str">
        <f>IF(ISNUMBER('Base de datos Rutas'!CL526),'Base de datos Rutas'!CL526,"")</f>
        <v/>
      </c>
      <c r="AV528" s="802">
        <f>IF(ISNUMBER('Base de datos Rutas'!CM526),'Base de datos Rutas'!CM526,"")</f>
        <v>0</v>
      </c>
      <c r="AW528" s="802" t="str">
        <f>IF(ISNUMBER('Base de datos Rutas'!CN526),'Base de datos Rutas'!CN526,"")</f>
        <v/>
      </c>
      <c r="AX528" s="802" t="str">
        <f>IF(ISNUMBER('Base de datos Rutas'!CO526),'Base de datos Rutas'!CO526,"")</f>
        <v/>
      </c>
      <c r="AY528" s="802">
        <f>IF(ISNUMBER('Base de datos Rutas'!CP526),'Base de datos Rutas'!CP526,"")</f>
        <v>0</v>
      </c>
      <c r="AZ528" s="802" t="str">
        <f>IF(ISNUMBER('Base de datos Rutas'!CQ526),'Base de datos Rutas'!CQ526,"")</f>
        <v/>
      </c>
      <c r="BA528" s="802" t="str">
        <f>IF(ISNUMBER('Base de datos Rutas'!CR526),'Base de datos Rutas'!CR526,"")</f>
        <v/>
      </c>
      <c r="BB528" s="803">
        <f>IF(ISNUMBER('Base de datos Rutas'!CS526),'Base de datos Rutas'!CS526,"")</f>
        <v>0</v>
      </c>
      <c r="BC528" s="804" t="str">
        <f t="shared" si="321"/>
        <v/>
      </c>
      <c r="BD528" s="805" t="str">
        <f t="shared" si="322"/>
        <v>N/D</v>
      </c>
      <c r="BE528" s="806" t="str">
        <f t="shared" si="323"/>
        <v/>
      </c>
      <c r="BF528" s="890" t="str">
        <f>IF(ISNUMBER('Base de datos Rutas'!CX526),'Base de datos Rutas'!CX526/100,"")</f>
        <v/>
      </c>
      <c r="BG528" s="891" t="str">
        <f>IF(ISNUMBER('Base de datos Rutas'!CZ526),'Base de datos Rutas'!CZ526/100,"")</f>
        <v/>
      </c>
      <c r="BH528" s="892" t="str">
        <f>IF(ISNUMBER('Base de datos Rutas'!DA526),'Base de datos Rutas'!DA526,"")</f>
        <v/>
      </c>
      <c r="BI528" s="893" t="str">
        <f>IF(ISNUMBER('Base de datos Rutas'!DC526),'Base de datos Rutas'!DC526,"")</f>
        <v/>
      </c>
      <c r="BJ528" s="805" t="str">
        <f t="shared" si="324"/>
        <v>Sin dato</v>
      </c>
      <c r="BK528" s="783">
        <f t="shared" si="312"/>
        <v>0</v>
      </c>
      <c r="BL528" s="797">
        <f t="shared" si="313"/>
        <v>0</v>
      </c>
      <c r="BM528" s="797">
        <f t="shared" si="314"/>
        <v>0</v>
      </c>
      <c r="BN528" s="797">
        <f t="shared" si="315"/>
        <v>0</v>
      </c>
      <c r="BO528" s="798" cm="1">
        <f t="array" ref="BO528">SUMPRODUCT(--ISNUMBER($BF528:$BI528),$BK$3:$BN$3)</f>
        <v>0</v>
      </c>
      <c r="BP528" s="831" t="str">
        <f t="shared" si="325"/>
        <v/>
      </c>
      <c r="BQ528" s="834" t="str">
        <f t="shared" si="326"/>
        <v>Sin datos</v>
      </c>
      <c r="BR528" s="836" t="str">
        <f t="shared" si="316"/>
        <v/>
      </c>
      <c r="BS528" s="836" t="str">
        <f t="shared" si="317"/>
        <v/>
      </c>
      <c r="BT528" s="837" t="str">
        <f t="shared" si="318"/>
        <v>Sin datos</v>
      </c>
      <c r="BU528" s="807" t="str">
        <f t="shared" si="327"/>
        <v>Con espacio</v>
      </c>
      <c r="BV528" s="807" t="str">
        <f t="shared" si="319"/>
        <v>Sin datos de zona</v>
      </c>
      <c r="BW528" s="808" t="str">
        <f t="shared" si="320"/>
        <v>Sin datos</v>
      </c>
    </row>
    <row r="529" spans="1:75">
      <c r="A529" s="780" t="str">
        <f>'Base de datos Rutas'!A527</f>
        <v>Occidente</v>
      </c>
      <c r="B529" s="781" t="str">
        <f>'Base de datos Rutas'!B527</f>
        <v>Zapopan</v>
      </c>
      <c r="C529" s="781" t="str">
        <f>'Base de datos Rutas'!C527</f>
        <v>Suc. Huentitán</v>
      </c>
      <c r="D529" s="782">
        <f>IF(ISNUMBER('Base de datos Rutas'!D527),'Base de datos Rutas'!D527,"Sin código")</f>
        <v>819429</v>
      </c>
      <c r="E529" s="783" t="str">
        <f>'Base de datos Rutas'!F527</f>
        <v>Activa</v>
      </c>
      <c r="F529" s="784" t="str">
        <f>'Base de datos Rutas'!H527</f>
        <v>Sí</v>
      </c>
      <c r="G529" s="785">
        <f>IF(ISNUMBER('Base de datos Rutas'!BE527),'Base de datos Rutas'!BE527,"")</f>
        <v>67.512585812357003</v>
      </c>
      <c r="H529" s="786">
        <f>IF(ISNUMBER('Base de datos Rutas'!BH527),'Base de datos Rutas'!BH527,"")</f>
        <v>0.26180388435074398</v>
      </c>
      <c r="I529" s="788">
        <f>IFERROR(IF(OR(NOT(ISNUMBER('Base de datos Rutas'!O527)),N('Base de datos Rutas'!BK527)=0),"",'Base de datos Rutas'!O527/('Base de datos Rutas'!L527/'Base de datos Rutas'!BK527)),"")</f>
        <v>2968.7505720823779</v>
      </c>
      <c r="J529" s="788">
        <f>IFERROR(IF(OR(NOT(ISNUMBER('Base de datos Rutas'!N527)),N('Base de datos Rutas'!BK527)=0),"",'Base de datos Rutas'!N527/('Base de datos Rutas'!L527/'Base de datos Rutas'!BK527)),"")</f>
        <v>6550.070938215099</v>
      </c>
      <c r="K529" s="788">
        <f>IFERROR(IF(OR(NOT(ISNUMBER('Base de datos Rutas'!J527)),N('Base de datos Rutas'!BK527)=0),"",'Base de datos Rutas'!J527/('Base de datos Rutas'!L527/'Base de datos Rutas'!BK527)),"")</f>
        <v>462.78048878718505</v>
      </c>
      <c r="L529" s="788">
        <f>IFERROR(IF(OR(NOT(ISNUMBER('Base de datos Rutas'!K527)),N('Base de datos Rutas'!BK527)=0),"",'Base de datos Rutas'!K527/('Base de datos Rutas'!L527/'Base de datos Rutas'!BK527)),"")</f>
        <v>28.143548993134992</v>
      </c>
      <c r="M529" s="787">
        <f>IF(ISNUMBER('Base de datos Rutas'!AX527),'Base de datos Rutas'!AX527,"")</f>
        <v>537.64780424650405</v>
      </c>
      <c r="N529" s="790">
        <f>IFERROR(INDEX('Hoja de apoyo v2'!B$17:B$20,MATCH($A529,'Hoja de apoyo v2'!$A$17:$A$20,0)),"")</f>
        <v>89.41621024641401</v>
      </c>
      <c r="O529" s="791">
        <f>IFERROR(INDEX('Hoja de apoyo v2'!C$17:C$20,MATCH($A529,'Hoja de apoyo v2'!$A$17:$A$20,0)),"")</f>
        <v>0.54706375874806301</v>
      </c>
      <c r="P529" s="793">
        <f>IFERROR(INDEX('Hoja de apoyo v2'!D$17:D$20,MATCH($A529,'Hoja de apoyo v2'!$A$17:$A$20,0)),"")</f>
        <v>11095.153935793827</v>
      </c>
      <c r="Q529" s="793">
        <f>IFERROR(INDEX('Hoja de apoyo v2'!E$17:E$20,MATCH($A529,'Hoja de apoyo v2'!$A$17:$A$20,0)),"")</f>
        <v>6982.3202019701848</v>
      </c>
      <c r="R529" s="793">
        <f>IFERROR(INDEX('Hoja de apoyo v2'!F$17:F$20,MATCH($A529,'Hoja de apoyo v2'!$A$17:$A$20,0)),"")</f>
        <v>448.09513474485743</v>
      </c>
      <c r="S529" s="793">
        <f>IFERROR(INDEX('Hoja de apoyo v2'!G$17:G$20,MATCH($A529,'Hoja de apoyo v2'!$A$17:$A$20,0)),"")</f>
        <v>83.406300904207839</v>
      </c>
      <c r="T529" s="792">
        <f>IFERROR(INDEX('Hoja de apoyo v2'!H$17:H$20,MATCH($A529,'Hoja de apoyo v2'!$A$17:$A$20,0)),"")</f>
        <v>378.97014028925349</v>
      </c>
      <c r="U529" s="794">
        <f t="shared" si="292"/>
        <v>0.75503743254500721</v>
      </c>
      <c r="V529" s="795">
        <f t="shared" si="293"/>
        <v>0.47856192292809407</v>
      </c>
      <c r="W529" s="795">
        <f t="shared" si="294"/>
        <v>0.26757182363238408</v>
      </c>
      <c r="X529" s="843">
        <f t="shared" si="295"/>
        <v>0.93809374946266155</v>
      </c>
      <c r="Y529" s="843">
        <f t="shared" si="296"/>
        <v>1.0327728486735064</v>
      </c>
      <c r="Z529" s="843">
        <f t="shared" si="297"/>
        <v>0.33742713305866262</v>
      </c>
      <c r="AA529" s="843">
        <f t="shared" si="298"/>
        <v>1.4187075631767134</v>
      </c>
      <c r="AB529" s="796">
        <f t="shared" si="299"/>
        <v>3</v>
      </c>
      <c r="AC529" s="797">
        <f t="shared" si="300"/>
        <v>1</v>
      </c>
      <c r="AD529" s="797">
        <f t="shared" si="301"/>
        <v>1</v>
      </c>
      <c r="AE529" s="842">
        <f t="shared" si="302"/>
        <v>3</v>
      </c>
      <c r="AF529" s="842">
        <f t="shared" si="303"/>
        <v>4</v>
      </c>
      <c r="AG529" s="842">
        <f t="shared" si="304"/>
        <v>1</v>
      </c>
      <c r="AH529" s="842">
        <f t="shared" si="305"/>
        <v>5</v>
      </c>
      <c r="AI529" s="826" cm="1">
        <f t="array" ref="AI529">SUMPRODUCT(--ISNUMBER($U529:$AA529),$AB$3:$AH$3)</f>
        <v>1</v>
      </c>
      <c r="AJ529" s="829">
        <f t="shared" si="306"/>
        <v>33.64321254613651</v>
      </c>
      <c r="AK529" s="827" t="str">
        <f t="shared" si="307"/>
        <v>Inmadura</v>
      </c>
      <c r="AL529" s="784" t="str">
        <f t="shared" si="308"/>
        <v>Alta</v>
      </c>
      <c r="AM529" s="799">
        <f>IF(ISNUMBER('Base de datos Rutas'!W527),'Base de datos Rutas'!W527,"")</f>
        <v>2866.2444123371242</v>
      </c>
      <c r="AN529" s="787">
        <f>IFERROR(SUMIFS('Base de datos Rutas'!$W$6:$W$794,'Base de datos Rutas'!$C$6:$C$794,$C529)/'Base de datos Rutas'!I527,"")</f>
        <v>2866.2444123371242</v>
      </c>
      <c r="AO529" s="800">
        <f>IFERROR('Base de datos Rutas'!X527*AN529/AM529,"")</f>
        <v>0.40462988446513853</v>
      </c>
      <c r="AP529" s="800">
        <f t="shared" si="309"/>
        <v>0.59537011553486141</v>
      </c>
      <c r="AQ529" s="789">
        <f>IFERROR(INDEX('Hoja de apoyo v2'!$J$17:$J$20,MATCH($A529,'Hoja de apoyo v2'!$A$17:$A$20,0)),"")</f>
        <v>0.64320274048480885</v>
      </c>
      <c r="AR529" s="789">
        <f t="shared" si="310"/>
        <v>-4.7832624949947444E-2</v>
      </c>
      <c r="AS529" s="784" t="str">
        <f t="shared" si="311"/>
        <v>No</v>
      </c>
      <c r="AT529" s="801">
        <f>IF(ISNUMBER('Base de datos Rutas'!CK527),'Base de datos Rutas'!CK527,"")</f>
        <v>344</v>
      </c>
      <c r="AU529" s="802">
        <f>IF(ISNUMBER('Base de datos Rutas'!CL527),'Base de datos Rutas'!CL527,"")</f>
        <v>399.58</v>
      </c>
      <c r="AV529" s="802">
        <f>IF(ISNUMBER('Base de datos Rutas'!CM527),'Base de datos Rutas'!CM527,"")</f>
        <v>55.579999999999984</v>
      </c>
      <c r="AW529" s="802">
        <f>IF(ISNUMBER('Base de datos Rutas'!CN527),'Base de datos Rutas'!CN527,"")</f>
        <v>8.39</v>
      </c>
      <c r="AX529" s="802">
        <f>IF(ISNUMBER('Base de datos Rutas'!CO527),'Base de datos Rutas'!CO527,"")</f>
        <v>9.4499999999999993</v>
      </c>
      <c r="AY529" s="802">
        <f>IF(ISNUMBER('Base de datos Rutas'!CP527),'Base de datos Rutas'!CP527,"")</f>
        <v>1.0599999999999987</v>
      </c>
      <c r="AZ529" s="802">
        <f>IF(ISNUMBER('Base de datos Rutas'!CQ527),'Base de datos Rutas'!CQ527,"")</f>
        <v>282.19</v>
      </c>
      <c r="BA529" s="802">
        <f>IF(ISNUMBER('Base de datos Rutas'!CR527),'Base de datos Rutas'!CR527,"")</f>
        <v>490.92</v>
      </c>
      <c r="BB529" s="803">
        <f>IF(ISNUMBER('Base de datos Rutas'!CS527),'Base de datos Rutas'!CS527,"")</f>
        <v>-208.73000000000002</v>
      </c>
      <c r="BC529" s="804">
        <f t="shared" si="321"/>
        <v>1</v>
      </c>
      <c r="BD529" s="805" t="str">
        <f t="shared" si="322"/>
        <v>Saturada</v>
      </c>
      <c r="BE529" s="806">
        <f t="shared" si="323"/>
        <v>1.7396789397214643</v>
      </c>
      <c r="BF529" s="890">
        <f>IF(ISNUMBER('Base de datos Rutas'!CX527),'Base de datos Rutas'!CX527/100,"")</f>
        <v>0.32208176795580118</v>
      </c>
      <c r="BG529" s="891">
        <f>IF(ISNUMBER('Base de datos Rutas'!CZ527),'Base de datos Rutas'!CZ527/100,"")</f>
        <v>0.33436464088397794</v>
      </c>
      <c r="BH529" s="892">
        <f>IF(ISNUMBER('Base de datos Rutas'!DA527),'Base de datos Rutas'!DA527,"")</f>
        <v>165.45356919866046</v>
      </c>
      <c r="BI529" s="893">
        <f>IF(ISNUMBER('Base de datos Rutas'!DC527),'Base de datos Rutas'!DC527,"")</f>
        <v>8.928471940234644</v>
      </c>
      <c r="BJ529" s="805" t="str">
        <f t="shared" si="324"/>
        <v>Ruta (completo)</v>
      </c>
      <c r="BK529" s="783">
        <f t="shared" si="312"/>
        <v>3</v>
      </c>
      <c r="BL529" s="797">
        <f t="shared" si="313"/>
        <v>3</v>
      </c>
      <c r="BM529" s="797">
        <f t="shared" si="314"/>
        <v>2</v>
      </c>
      <c r="BN529" s="797">
        <f t="shared" si="315"/>
        <v>2</v>
      </c>
      <c r="BO529" s="798" cm="1">
        <f t="array" ref="BO529">SUMPRODUCT(--ISNUMBER($BF529:$BI529),$BK$3:$BN$3)</f>
        <v>1</v>
      </c>
      <c r="BP529" s="831">
        <f t="shared" si="325"/>
        <v>37.5</v>
      </c>
      <c r="BQ529" s="834" t="str">
        <f t="shared" si="326"/>
        <v>Medio</v>
      </c>
      <c r="BR529" s="836">
        <f t="shared" si="316"/>
        <v>50.232409409602383</v>
      </c>
      <c r="BS529" s="836">
        <f t="shared" si="317"/>
        <v>37.5</v>
      </c>
      <c r="BT529" s="837" t="str">
        <f t="shared" si="318"/>
        <v>P2</v>
      </c>
      <c r="BU529" s="807" t="str">
        <f t="shared" si="327"/>
        <v>Al tope</v>
      </c>
      <c r="BV529" s="807" t="str">
        <f t="shared" si="319"/>
        <v>Zona de bajo potencial</v>
      </c>
      <c r="BW529" s="808" t="str">
        <f t="shared" si="320"/>
        <v>P2 - Mantener</v>
      </c>
    </row>
    <row r="530" spans="1:75">
      <c r="A530" s="780" t="str">
        <f>'Base de datos Rutas'!A528</f>
        <v>Occidente</v>
      </c>
      <c r="B530" s="781" t="str">
        <f>'Base de datos Rutas'!B528</f>
        <v>Zapopan</v>
      </c>
      <c r="C530" s="781" t="str">
        <f>'Base de datos Rutas'!C528</f>
        <v>Suc. Huentitán</v>
      </c>
      <c r="D530" s="782">
        <f>IF(ISNUMBER('Base de datos Rutas'!D528),'Base de datos Rutas'!D528,"Sin código")</f>
        <v>819430</v>
      </c>
      <c r="E530" s="783" t="str">
        <f>'Base de datos Rutas'!F528</f>
        <v>Activa</v>
      </c>
      <c r="F530" s="784" t="str">
        <f>'Base de datos Rutas'!H528</f>
        <v>Sí</v>
      </c>
      <c r="G530" s="785">
        <f>IF(ISNUMBER('Base de datos Rutas'!BE528),'Base de datos Rutas'!BE528,"")</f>
        <v>64.266666666666694</v>
      </c>
      <c r="H530" s="786">
        <f>IF(ISNUMBER('Base de datos Rutas'!BH528),'Base de datos Rutas'!BH528,"")</f>
        <v>5.1867219917012498E-3</v>
      </c>
      <c r="I530" s="788">
        <f>IFERROR(IF(OR(NOT(ISNUMBER('Base de datos Rutas'!O528)),N('Base de datos Rutas'!BK528)=0),"",'Base de datos Rutas'!O528/('Base de datos Rutas'!L528/'Base de datos Rutas'!BK528)),"")</f>
        <v>310.92957746478857</v>
      </c>
      <c r="J530" s="788">
        <f>IFERROR(IF(OR(NOT(ISNUMBER('Base de datos Rutas'!N528)),N('Base de datos Rutas'!BK528)=0),"",'Base de datos Rutas'!N528/('Base de datos Rutas'!L528/'Base de datos Rutas'!BK528)),"")</f>
        <v>77.014084507042213</v>
      </c>
      <c r="K530" s="788">
        <f>IFERROR(IF(OR(NOT(ISNUMBER('Base de datos Rutas'!J528)),N('Base de datos Rutas'!BK528)=0),"",'Base de datos Rutas'!J528/('Base de datos Rutas'!L528/'Base de datos Rutas'!BK528)),"")</f>
        <v>6.5486873239436578</v>
      </c>
      <c r="L530" s="788">
        <f>IFERROR(IF(OR(NOT(ISNUMBER('Base de datos Rutas'!K528)),N('Base de datos Rutas'!BK528)=0),"",'Base de datos Rutas'!K528/('Base de datos Rutas'!L528/'Base de datos Rutas'!BK528)),"")</f>
        <v>3.2140387042253504</v>
      </c>
      <c r="M530" s="787">
        <f>IF(ISNUMBER('Base de datos Rutas'!AX528),'Base de datos Rutas'!AX528,"")</f>
        <v>688.54224999999997</v>
      </c>
      <c r="N530" s="790">
        <f>IFERROR(INDEX('Hoja de apoyo v2'!B$17:B$20,MATCH($A530,'Hoja de apoyo v2'!$A$17:$A$20,0)),"")</f>
        <v>89.41621024641401</v>
      </c>
      <c r="O530" s="791">
        <f>IFERROR(INDEX('Hoja de apoyo v2'!C$17:C$20,MATCH($A530,'Hoja de apoyo v2'!$A$17:$A$20,0)),"")</f>
        <v>0.54706375874806301</v>
      </c>
      <c r="P530" s="793">
        <f>IFERROR(INDEX('Hoja de apoyo v2'!D$17:D$20,MATCH($A530,'Hoja de apoyo v2'!$A$17:$A$20,0)),"")</f>
        <v>11095.153935793827</v>
      </c>
      <c r="Q530" s="793">
        <f>IFERROR(INDEX('Hoja de apoyo v2'!E$17:E$20,MATCH($A530,'Hoja de apoyo v2'!$A$17:$A$20,0)),"")</f>
        <v>6982.3202019701848</v>
      </c>
      <c r="R530" s="793">
        <f>IFERROR(INDEX('Hoja de apoyo v2'!F$17:F$20,MATCH($A530,'Hoja de apoyo v2'!$A$17:$A$20,0)),"")</f>
        <v>448.09513474485743</v>
      </c>
      <c r="S530" s="793">
        <f>IFERROR(INDEX('Hoja de apoyo v2'!G$17:G$20,MATCH($A530,'Hoja de apoyo v2'!$A$17:$A$20,0)),"")</f>
        <v>83.406300904207839</v>
      </c>
      <c r="T530" s="792">
        <f>IFERROR(INDEX('Hoja de apoyo v2'!H$17:H$20,MATCH($A530,'Hoja de apoyo v2'!$A$17:$A$20,0)),"")</f>
        <v>378.97014028925349</v>
      </c>
      <c r="U530" s="794">
        <f t="shared" si="292"/>
        <v>0.71873619436073199</v>
      </c>
      <c r="V530" s="795">
        <f t="shared" si="293"/>
        <v>9.4810191842553942E-3</v>
      </c>
      <c r="W530" s="795">
        <f t="shared" si="294"/>
        <v>2.8023908389563271E-2</v>
      </c>
      <c r="X530" s="843">
        <f t="shared" si="295"/>
        <v>1.1029870054557413E-2</v>
      </c>
      <c r="Y530" s="843">
        <f t="shared" si="296"/>
        <v>1.4614502180820239E-2</v>
      </c>
      <c r="Z530" s="843">
        <f t="shared" si="297"/>
        <v>3.853472302909914E-2</v>
      </c>
      <c r="AA530" s="843">
        <f t="shared" si="298"/>
        <v>1.8168773124828828</v>
      </c>
      <c r="AB530" s="796">
        <f t="shared" si="299"/>
        <v>2</v>
      </c>
      <c r="AC530" s="797">
        <f t="shared" si="300"/>
        <v>1</v>
      </c>
      <c r="AD530" s="797">
        <f t="shared" si="301"/>
        <v>1</v>
      </c>
      <c r="AE530" s="842">
        <f t="shared" si="302"/>
        <v>1</v>
      </c>
      <c r="AF530" s="842">
        <f t="shared" si="303"/>
        <v>1</v>
      </c>
      <c r="AG530" s="842">
        <f t="shared" si="304"/>
        <v>1</v>
      </c>
      <c r="AH530" s="842">
        <f t="shared" si="305"/>
        <v>5</v>
      </c>
      <c r="AI530" s="826" cm="1">
        <f t="array" ref="AI530">SUMPRODUCT(--ISNUMBER($U530:$AA530),$AB$3:$AH$3)</f>
        <v>1</v>
      </c>
      <c r="AJ530" s="829">
        <f t="shared" si="306"/>
        <v>13.512547539443009</v>
      </c>
      <c r="AK530" s="827" t="str">
        <f t="shared" si="307"/>
        <v>Inmadura</v>
      </c>
      <c r="AL530" s="784" t="str">
        <f t="shared" si="308"/>
        <v>Alta</v>
      </c>
      <c r="AM530" s="799">
        <f>IF(ISNUMBER('Base de datos Rutas'!W528),'Base de datos Rutas'!W528,"")</f>
        <v>2866.2444123371242</v>
      </c>
      <c r="AN530" s="787">
        <f>IFERROR(SUMIFS('Base de datos Rutas'!$W$6:$W$794,'Base de datos Rutas'!$C$6:$C$794,$C530)/'Base de datos Rutas'!I528,"")</f>
        <v>2866.2444123371242</v>
      </c>
      <c r="AO530" s="800">
        <f>IFERROR('Base de datos Rutas'!X528*AN530/AM530,"")</f>
        <v>0.40462988446513853</v>
      </c>
      <c r="AP530" s="800">
        <f t="shared" si="309"/>
        <v>0.59537011553486141</v>
      </c>
      <c r="AQ530" s="789">
        <f>IFERROR(INDEX('Hoja de apoyo v2'!$J$17:$J$20,MATCH($A530,'Hoja de apoyo v2'!$A$17:$A$20,0)),"")</f>
        <v>0.64320274048480885</v>
      </c>
      <c r="AR530" s="789">
        <f t="shared" si="310"/>
        <v>-4.7832624949947444E-2</v>
      </c>
      <c r="AS530" s="784" t="str">
        <f t="shared" si="311"/>
        <v>No</v>
      </c>
      <c r="AT530" s="801" t="str">
        <f>IF(ISNUMBER('Base de datos Rutas'!CK528),'Base de datos Rutas'!CK528,"")</f>
        <v/>
      </c>
      <c r="AU530" s="802" t="str">
        <f>IF(ISNUMBER('Base de datos Rutas'!CL528),'Base de datos Rutas'!CL528,"")</f>
        <v/>
      </c>
      <c r="AV530" s="802">
        <f>IF(ISNUMBER('Base de datos Rutas'!CM528),'Base de datos Rutas'!CM528,"")</f>
        <v>0</v>
      </c>
      <c r="AW530" s="802" t="str">
        <f>IF(ISNUMBER('Base de datos Rutas'!CN528),'Base de datos Rutas'!CN528,"")</f>
        <v/>
      </c>
      <c r="AX530" s="802" t="str">
        <f>IF(ISNUMBER('Base de datos Rutas'!CO528),'Base de datos Rutas'!CO528,"")</f>
        <v/>
      </c>
      <c r="AY530" s="802">
        <f>IF(ISNUMBER('Base de datos Rutas'!CP528),'Base de datos Rutas'!CP528,"")</f>
        <v>0</v>
      </c>
      <c r="AZ530" s="802" t="str">
        <f>IF(ISNUMBER('Base de datos Rutas'!CQ528),'Base de datos Rutas'!CQ528,"")</f>
        <v/>
      </c>
      <c r="BA530" s="802" t="str">
        <f>IF(ISNUMBER('Base de datos Rutas'!CR528),'Base de datos Rutas'!CR528,"")</f>
        <v/>
      </c>
      <c r="BB530" s="803">
        <f>IF(ISNUMBER('Base de datos Rutas'!CS528),'Base de datos Rutas'!CS528,"")</f>
        <v>0</v>
      </c>
      <c r="BC530" s="804" t="str">
        <f t="shared" si="321"/>
        <v/>
      </c>
      <c r="BD530" s="805" t="str">
        <f t="shared" si="322"/>
        <v>N/D</v>
      </c>
      <c r="BE530" s="806" t="str">
        <f t="shared" si="323"/>
        <v/>
      </c>
      <c r="BF530" s="890" t="str">
        <f>IF(ISNUMBER('Base de datos Rutas'!CX528),'Base de datos Rutas'!CX528/100,"")</f>
        <v/>
      </c>
      <c r="BG530" s="891" t="str">
        <f>IF(ISNUMBER('Base de datos Rutas'!CZ528),'Base de datos Rutas'!CZ528/100,"")</f>
        <v/>
      </c>
      <c r="BH530" s="892" t="str">
        <f>IF(ISNUMBER('Base de datos Rutas'!DA528),'Base de datos Rutas'!DA528,"")</f>
        <v/>
      </c>
      <c r="BI530" s="893" t="str">
        <f>IF(ISNUMBER('Base de datos Rutas'!DC528),'Base de datos Rutas'!DC528,"")</f>
        <v/>
      </c>
      <c r="BJ530" s="805" t="str">
        <f t="shared" si="324"/>
        <v>Sin dato</v>
      </c>
      <c r="BK530" s="783">
        <f t="shared" si="312"/>
        <v>0</v>
      </c>
      <c r="BL530" s="797">
        <f t="shared" si="313"/>
        <v>0</v>
      </c>
      <c r="BM530" s="797">
        <f t="shared" si="314"/>
        <v>0</v>
      </c>
      <c r="BN530" s="797">
        <f t="shared" si="315"/>
        <v>0</v>
      </c>
      <c r="BO530" s="798" cm="1">
        <f t="array" ref="BO530">SUMPRODUCT(--ISNUMBER($BF530:$BI530),$BK$3:$BN$3)</f>
        <v>0</v>
      </c>
      <c r="BP530" s="831" t="str">
        <f t="shared" si="325"/>
        <v/>
      </c>
      <c r="BQ530" s="834" t="str">
        <f t="shared" si="326"/>
        <v>Sin datos</v>
      </c>
      <c r="BR530" s="836" t="str">
        <f t="shared" si="316"/>
        <v/>
      </c>
      <c r="BS530" s="836" t="str">
        <f t="shared" si="317"/>
        <v/>
      </c>
      <c r="BT530" s="837" t="str">
        <f t="shared" si="318"/>
        <v>Sin datos</v>
      </c>
      <c r="BU530" s="807" t="str">
        <f t="shared" si="327"/>
        <v>Con espacio</v>
      </c>
      <c r="BV530" s="807" t="str">
        <f t="shared" si="319"/>
        <v>Sin datos de zona</v>
      </c>
      <c r="BW530" s="808" t="str">
        <f t="shared" si="320"/>
        <v>Sin datos</v>
      </c>
    </row>
    <row r="531" spans="1:75">
      <c r="A531" s="780" t="str">
        <f>'Base de datos Rutas'!A529</f>
        <v>Occidente</v>
      </c>
      <c r="B531" s="781" t="str">
        <f>'Base de datos Rutas'!B529</f>
        <v>Zapopan</v>
      </c>
      <c r="C531" s="781" t="str">
        <f>'Base de datos Rutas'!C529</f>
        <v>Suc. Huentitán</v>
      </c>
      <c r="D531" s="782">
        <f>IF(ISNUMBER('Base de datos Rutas'!D529),'Base de datos Rutas'!D529,"Sin código")</f>
        <v>819431</v>
      </c>
      <c r="E531" s="783" t="str">
        <f>'Base de datos Rutas'!F529</f>
        <v>Inactiva</v>
      </c>
      <c r="F531" s="784" t="str">
        <f>'Base de datos Rutas'!H529</f>
        <v>No</v>
      </c>
      <c r="G531" s="785" t="str">
        <f>IF(ISNUMBER('Base de datos Rutas'!BE529),'Base de datos Rutas'!BE529,"")</f>
        <v/>
      </c>
      <c r="H531" s="786" t="str">
        <f>IF(ISNUMBER('Base de datos Rutas'!BH529),'Base de datos Rutas'!BH529,"")</f>
        <v/>
      </c>
      <c r="I531" s="788" t="str">
        <f>IFERROR(IF(OR(NOT(ISNUMBER('Base de datos Rutas'!O529)),N('Base de datos Rutas'!BK529)=0),"",'Base de datos Rutas'!O529/('Base de datos Rutas'!L529/'Base de datos Rutas'!BK529)),"")</f>
        <v/>
      </c>
      <c r="J531" s="788" t="str">
        <f>IFERROR(IF(OR(NOT(ISNUMBER('Base de datos Rutas'!N529)),N('Base de datos Rutas'!BK529)=0),"",'Base de datos Rutas'!N529/('Base de datos Rutas'!L529/'Base de datos Rutas'!BK529)),"")</f>
        <v/>
      </c>
      <c r="K531" s="788" t="str">
        <f>IFERROR(IF(OR(NOT(ISNUMBER('Base de datos Rutas'!J529)),N('Base de datos Rutas'!BK529)=0),"",'Base de datos Rutas'!J529/('Base de datos Rutas'!L529/'Base de datos Rutas'!BK529)),"")</f>
        <v/>
      </c>
      <c r="L531" s="788" t="str">
        <f>IFERROR(IF(OR(NOT(ISNUMBER('Base de datos Rutas'!K529)),N('Base de datos Rutas'!BK529)=0),"",'Base de datos Rutas'!K529/('Base de datos Rutas'!L529/'Base de datos Rutas'!BK529)),"")</f>
        <v/>
      </c>
      <c r="M531" s="787">
        <f>IF(ISNUMBER('Base de datos Rutas'!AX529),'Base de datos Rutas'!AX529,"")</f>
        <v>344.4332</v>
      </c>
      <c r="N531" s="790">
        <f>IFERROR(INDEX('Hoja de apoyo v2'!B$17:B$20,MATCH($A531,'Hoja de apoyo v2'!$A$17:$A$20,0)),"")</f>
        <v>89.41621024641401</v>
      </c>
      <c r="O531" s="791">
        <f>IFERROR(INDEX('Hoja de apoyo v2'!C$17:C$20,MATCH($A531,'Hoja de apoyo v2'!$A$17:$A$20,0)),"")</f>
        <v>0.54706375874806301</v>
      </c>
      <c r="P531" s="793">
        <f>IFERROR(INDEX('Hoja de apoyo v2'!D$17:D$20,MATCH($A531,'Hoja de apoyo v2'!$A$17:$A$20,0)),"")</f>
        <v>11095.153935793827</v>
      </c>
      <c r="Q531" s="793">
        <f>IFERROR(INDEX('Hoja de apoyo v2'!E$17:E$20,MATCH($A531,'Hoja de apoyo v2'!$A$17:$A$20,0)),"")</f>
        <v>6982.3202019701848</v>
      </c>
      <c r="R531" s="793">
        <f>IFERROR(INDEX('Hoja de apoyo v2'!F$17:F$20,MATCH($A531,'Hoja de apoyo v2'!$A$17:$A$20,0)),"")</f>
        <v>448.09513474485743</v>
      </c>
      <c r="S531" s="793">
        <f>IFERROR(INDEX('Hoja de apoyo v2'!G$17:G$20,MATCH($A531,'Hoja de apoyo v2'!$A$17:$A$20,0)),"")</f>
        <v>83.406300904207839</v>
      </c>
      <c r="T531" s="792">
        <f>IFERROR(INDEX('Hoja de apoyo v2'!H$17:H$20,MATCH($A531,'Hoja de apoyo v2'!$A$17:$A$20,0)),"")</f>
        <v>378.97014028925349</v>
      </c>
      <c r="U531" s="794" t="str">
        <f t="shared" si="292"/>
        <v/>
      </c>
      <c r="V531" s="795" t="str">
        <f t="shared" si="293"/>
        <v/>
      </c>
      <c r="W531" s="795" t="str">
        <f t="shared" si="294"/>
        <v/>
      </c>
      <c r="X531" s="843" t="str">
        <f t="shared" si="295"/>
        <v/>
      </c>
      <c r="Y531" s="843" t="str">
        <f t="shared" si="296"/>
        <v/>
      </c>
      <c r="Z531" s="843" t="str">
        <f t="shared" si="297"/>
        <v/>
      </c>
      <c r="AA531" s="843">
        <f t="shared" si="298"/>
        <v>0.90886632845824544</v>
      </c>
      <c r="AB531" s="796">
        <f t="shared" si="299"/>
        <v>0</v>
      </c>
      <c r="AC531" s="797">
        <f t="shared" si="300"/>
        <v>0</v>
      </c>
      <c r="AD531" s="797">
        <f t="shared" si="301"/>
        <v>0</v>
      </c>
      <c r="AE531" s="842">
        <f t="shared" si="302"/>
        <v>0</v>
      </c>
      <c r="AF531" s="842">
        <f t="shared" si="303"/>
        <v>0</v>
      </c>
      <c r="AG531" s="842">
        <f t="shared" si="304"/>
        <v>0</v>
      </c>
      <c r="AH531" s="842">
        <f t="shared" si="305"/>
        <v>3</v>
      </c>
      <c r="AI531" s="826" cm="1">
        <f t="array" ref="AI531">SUMPRODUCT(--ISNUMBER($U531:$AA531),$AB$3:$AH$3)</f>
        <v>8.9789113613062493E-2</v>
      </c>
      <c r="AJ531" s="829" t="str">
        <f t="shared" si="306"/>
        <v/>
      </c>
      <c r="AK531" s="827" t="str">
        <f t="shared" si="307"/>
        <v>Ruta inactiva</v>
      </c>
      <c r="AL531" s="784" t="str">
        <f t="shared" si="308"/>
        <v>n/a</v>
      </c>
      <c r="AM531" s="799">
        <f>IF(ISNUMBER('Base de datos Rutas'!W529),'Base de datos Rutas'!W529,"")</f>
        <v>2866.2444123371242</v>
      </c>
      <c r="AN531" s="787">
        <f>IFERROR(SUMIFS('Base de datos Rutas'!$W$6:$W$794,'Base de datos Rutas'!$C$6:$C$794,$C531)/'Base de datos Rutas'!I529,"")</f>
        <v>2866.2444123371242</v>
      </c>
      <c r="AO531" s="800">
        <f>IFERROR('Base de datos Rutas'!X529*AN531/AM531,"")</f>
        <v>0.40462988446513853</v>
      </c>
      <c r="AP531" s="800">
        <f t="shared" si="309"/>
        <v>0.59537011553486141</v>
      </c>
      <c r="AQ531" s="789">
        <f>IFERROR(INDEX('Hoja de apoyo v2'!$J$17:$J$20,MATCH($A531,'Hoja de apoyo v2'!$A$17:$A$20,0)),"")</f>
        <v>0.64320274048480885</v>
      </c>
      <c r="AR531" s="789">
        <f t="shared" si="310"/>
        <v>-4.7832624949947444E-2</v>
      </c>
      <c r="AS531" s="784" t="str">
        <f t="shared" si="311"/>
        <v>No</v>
      </c>
      <c r="AT531" s="801" t="str">
        <f>IF(ISNUMBER('Base de datos Rutas'!CK529),'Base de datos Rutas'!CK529,"")</f>
        <v/>
      </c>
      <c r="AU531" s="802" t="str">
        <f>IF(ISNUMBER('Base de datos Rutas'!CL529),'Base de datos Rutas'!CL529,"")</f>
        <v/>
      </c>
      <c r="AV531" s="802">
        <f>IF(ISNUMBER('Base de datos Rutas'!CM529),'Base de datos Rutas'!CM529,"")</f>
        <v>0</v>
      </c>
      <c r="AW531" s="802" t="str">
        <f>IF(ISNUMBER('Base de datos Rutas'!CN529),'Base de datos Rutas'!CN529,"")</f>
        <v/>
      </c>
      <c r="AX531" s="802" t="str">
        <f>IF(ISNUMBER('Base de datos Rutas'!CO529),'Base de datos Rutas'!CO529,"")</f>
        <v/>
      </c>
      <c r="AY531" s="802">
        <f>IF(ISNUMBER('Base de datos Rutas'!CP529),'Base de datos Rutas'!CP529,"")</f>
        <v>0</v>
      </c>
      <c r="AZ531" s="802" t="str">
        <f>IF(ISNUMBER('Base de datos Rutas'!CQ529),'Base de datos Rutas'!CQ529,"")</f>
        <v/>
      </c>
      <c r="BA531" s="802" t="str">
        <f>IF(ISNUMBER('Base de datos Rutas'!CR529),'Base de datos Rutas'!CR529,"")</f>
        <v/>
      </c>
      <c r="BB531" s="803">
        <f>IF(ISNUMBER('Base de datos Rutas'!CS529),'Base de datos Rutas'!CS529,"")</f>
        <v>0</v>
      </c>
      <c r="BC531" s="804" t="str">
        <f t="shared" si="321"/>
        <v/>
      </c>
      <c r="BD531" s="805" t="str">
        <f t="shared" si="322"/>
        <v>N/D</v>
      </c>
      <c r="BE531" s="806" t="str">
        <f t="shared" si="323"/>
        <v/>
      </c>
      <c r="BF531" s="890" t="str">
        <f>IF(ISNUMBER('Base de datos Rutas'!CX529),'Base de datos Rutas'!CX529/100,"")</f>
        <v/>
      </c>
      <c r="BG531" s="891" t="str">
        <f>IF(ISNUMBER('Base de datos Rutas'!CZ529),'Base de datos Rutas'!CZ529/100,"")</f>
        <v/>
      </c>
      <c r="BH531" s="892" t="str">
        <f>IF(ISNUMBER('Base de datos Rutas'!DA529),'Base de datos Rutas'!DA529,"")</f>
        <v/>
      </c>
      <c r="BI531" s="893" t="str">
        <f>IF(ISNUMBER('Base de datos Rutas'!DC529),'Base de datos Rutas'!DC529,"")</f>
        <v/>
      </c>
      <c r="BJ531" s="805" t="str">
        <f t="shared" si="324"/>
        <v>Sin dato</v>
      </c>
      <c r="BK531" s="783">
        <f t="shared" si="312"/>
        <v>0</v>
      </c>
      <c r="BL531" s="797">
        <f t="shared" si="313"/>
        <v>0</v>
      </c>
      <c r="BM531" s="797">
        <f t="shared" si="314"/>
        <v>0</v>
      </c>
      <c r="BN531" s="797">
        <f t="shared" si="315"/>
        <v>0</v>
      </c>
      <c r="BO531" s="798" cm="1">
        <f t="array" ref="BO531">SUMPRODUCT(--ISNUMBER($BF531:$BI531),$BK$3:$BN$3)</f>
        <v>0</v>
      </c>
      <c r="BP531" s="831" t="str">
        <f t="shared" si="325"/>
        <v/>
      </c>
      <c r="BQ531" s="834" t="str">
        <f t="shared" si="326"/>
        <v>Sin datos</v>
      </c>
      <c r="BR531" s="836" t="str">
        <f t="shared" si="316"/>
        <v/>
      </c>
      <c r="BS531" s="836" t="str">
        <f t="shared" si="317"/>
        <v/>
      </c>
      <c r="BT531" s="837" t="str">
        <f t="shared" si="318"/>
        <v>Sin datos</v>
      </c>
      <c r="BU531" s="807" t="str">
        <f t="shared" si="327"/>
        <v>No evaluable</v>
      </c>
      <c r="BV531" s="807" t="str">
        <f t="shared" si="319"/>
        <v>No evaluable</v>
      </c>
      <c r="BW531" s="808" t="str">
        <f t="shared" si="320"/>
        <v>Sin datos</v>
      </c>
    </row>
    <row r="532" spans="1:75">
      <c r="A532" s="780" t="str">
        <f>'Base de datos Rutas'!A530</f>
        <v>Occidente</v>
      </c>
      <c r="B532" s="781" t="str">
        <f>'Base de datos Rutas'!B530</f>
        <v>Zapopan</v>
      </c>
      <c r="C532" s="781" t="str">
        <f>'Base de datos Rutas'!C530</f>
        <v>Suc. Huentitán</v>
      </c>
      <c r="D532" s="782">
        <f>IF(ISNUMBER('Base de datos Rutas'!D530),'Base de datos Rutas'!D530,"Sin código")</f>
        <v>819432</v>
      </c>
      <c r="E532" s="783" t="str">
        <f>'Base de datos Rutas'!F530</f>
        <v>Activa</v>
      </c>
      <c r="F532" s="784" t="str">
        <f>'Base de datos Rutas'!H530</f>
        <v>Sí</v>
      </c>
      <c r="G532" s="785">
        <f>IF(ISNUMBER('Base de datos Rutas'!BE530),'Base de datos Rutas'!BE530,"")</f>
        <v>76.786885245901601</v>
      </c>
      <c r="H532" s="786">
        <f>IF(ISNUMBER('Base de datos Rutas'!BH530),'Base de datos Rutas'!BH530,"")</f>
        <v>2.8181041844577301E-2</v>
      </c>
      <c r="I532" s="788">
        <f>IFERROR(IF(OR(NOT(ISNUMBER('Base de datos Rutas'!O530)),N('Base de datos Rutas'!BK530)=0),"",'Base de datos Rutas'!O530/('Base de datos Rutas'!L530/'Base de datos Rutas'!BK530)),"")</f>
        <v>332.296875</v>
      </c>
      <c r="J532" s="788">
        <f>IFERROR(IF(OR(NOT(ISNUMBER('Base de datos Rutas'!N530)),N('Base de datos Rutas'!BK530)=0),"",'Base de datos Rutas'!N530/('Base de datos Rutas'!L530/'Base de datos Rutas'!BK530)),"")</f>
        <v>1224.90625</v>
      </c>
      <c r="K532" s="788">
        <f>IFERROR(IF(OR(NOT(ISNUMBER('Base de datos Rutas'!J530)),N('Base de datos Rutas'!BK530)=0),"",'Base de datos Rutas'!J530/('Base de datos Rutas'!L530/'Base de datos Rutas'!BK530)),"")</f>
        <v>96.976074999999994</v>
      </c>
      <c r="L532" s="788">
        <f>IFERROR(IF(OR(NOT(ISNUMBER('Base de datos Rutas'!K530)),N('Base de datos Rutas'!BK530)=0),"",'Base de datos Rutas'!K530/('Base de datos Rutas'!L530/'Base de datos Rutas'!BK530)),"")</f>
        <v>3.381731640625</v>
      </c>
      <c r="M532" s="787">
        <f>IF(ISNUMBER('Base de datos Rutas'!AX530),'Base de datos Rutas'!AX530,"")</f>
        <v>738.22962962963004</v>
      </c>
      <c r="N532" s="790">
        <f>IFERROR(INDEX('Hoja de apoyo v2'!B$17:B$20,MATCH($A532,'Hoja de apoyo v2'!$A$17:$A$20,0)),"")</f>
        <v>89.41621024641401</v>
      </c>
      <c r="O532" s="791">
        <f>IFERROR(INDEX('Hoja de apoyo v2'!C$17:C$20,MATCH($A532,'Hoja de apoyo v2'!$A$17:$A$20,0)),"")</f>
        <v>0.54706375874806301</v>
      </c>
      <c r="P532" s="793">
        <f>IFERROR(INDEX('Hoja de apoyo v2'!D$17:D$20,MATCH($A532,'Hoja de apoyo v2'!$A$17:$A$20,0)),"")</f>
        <v>11095.153935793827</v>
      </c>
      <c r="Q532" s="793">
        <f>IFERROR(INDEX('Hoja de apoyo v2'!E$17:E$20,MATCH($A532,'Hoja de apoyo v2'!$A$17:$A$20,0)),"")</f>
        <v>6982.3202019701848</v>
      </c>
      <c r="R532" s="793">
        <f>IFERROR(INDEX('Hoja de apoyo v2'!F$17:F$20,MATCH($A532,'Hoja de apoyo v2'!$A$17:$A$20,0)),"")</f>
        <v>448.09513474485743</v>
      </c>
      <c r="S532" s="793">
        <f>IFERROR(INDEX('Hoja de apoyo v2'!G$17:G$20,MATCH($A532,'Hoja de apoyo v2'!$A$17:$A$20,0)),"")</f>
        <v>83.406300904207839</v>
      </c>
      <c r="T532" s="792">
        <f>IFERROR(INDEX('Hoja de apoyo v2'!H$17:H$20,MATCH($A532,'Hoja de apoyo v2'!$A$17:$A$20,0)),"")</f>
        <v>378.97014028925349</v>
      </c>
      <c r="U532" s="794">
        <f t="shared" si="292"/>
        <v>0.85875799292199484</v>
      </c>
      <c r="V532" s="795">
        <f t="shared" si="293"/>
        <v>5.151326768395089E-2</v>
      </c>
      <c r="W532" s="795">
        <f t="shared" si="294"/>
        <v>2.9949730929643481E-2</v>
      </c>
      <c r="X532" s="843">
        <f t="shared" si="295"/>
        <v>0.17542968734867975</v>
      </c>
      <c r="Y532" s="843">
        <f t="shared" si="296"/>
        <v>0.21641849571791841</v>
      </c>
      <c r="Z532" s="843">
        <f t="shared" si="297"/>
        <v>4.0545277802319993E-2</v>
      </c>
      <c r="AA532" s="843">
        <f t="shared" si="298"/>
        <v>1.9479889076911638</v>
      </c>
      <c r="AB532" s="796">
        <f t="shared" si="299"/>
        <v>3</v>
      </c>
      <c r="AC532" s="797">
        <f t="shared" si="300"/>
        <v>1</v>
      </c>
      <c r="AD532" s="797">
        <f t="shared" si="301"/>
        <v>1</v>
      </c>
      <c r="AE532" s="842">
        <f t="shared" si="302"/>
        <v>1</v>
      </c>
      <c r="AF532" s="842">
        <f t="shared" si="303"/>
        <v>1</v>
      </c>
      <c r="AG532" s="842">
        <f t="shared" si="304"/>
        <v>1</v>
      </c>
      <c r="AH532" s="842">
        <f t="shared" si="305"/>
        <v>5</v>
      </c>
      <c r="AI532" s="826" cm="1">
        <f t="array" ref="AI532">SUMPRODUCT(--ISNUMBER($U532:$AA532),$AB$3:$AH$3)</f>
        <v>1</v>
      </c>
      <c r="AJ532" s="829">
        <f t="shared" si="306"/>
        <v>18.046183717579762</v>
      </c>
      <c r="AK532" s="827" t="str">
        <f t="shared" si="307"/>
        <v>Inmadura</v>
      </c>
      <c r="AL532" s="784" t="str">
        <f t="shared" si="308"/>
        <v>Alta</v>
      </c>
      <c r="AM532" s="799">
        <f>IF(ISNUMBER('Base de datos Rutas'!W530),'Base de datos Rutas'!W530,"")</f>
        <v>2866.2444123371242</v>
      </c>
      <c r="AN532" s="787">
        <f>IFERROR(SUMIFS('Base de datos Rutas'!$W$6:$W$794,'Base de datos Rutas'!$C$6:$C$794,$C532)/'Base de datos Rutas'!I530,"")</f>
        <v>2866.2444123371242</v>
      </c>
      <c r="AO532" s="800">
        <f>IFERROR('Base de datos Rutas'!X530*AN532/AM532,"")</f>
        <v>0.40462988446513853</v>
      </c>
      <c r="AP532" s="800">
        <f t="shared" si="309"/>
        <v>0.59537011553486141</v>
      </c>
      <c r="AQ532" s="789">
        <f>IFERROR(INDEX('Hoja de apoyo v2'!$J$17:$J$20,MATCH($A532,'Hoja de apoyo v2'!$A$17:$A$20,0)),"")</f>
        <v>0.64320274048480885</v>
      </c>
      <c r="AR532" s="789">
        <f t="shared" si="310"/>
        <v>-4.7832624949947444E-2</v>
      </c>
      <c r="AS532" s="784" t="str">
        <f t="shared" si="311"/>
        <v>No</v>
      </c>
      <c r="AT532" s="801" t="str">
        <f>IF(ISNUMBER('Base de datos Rutas'!CK530),'Base de datos Rutas'!CK530,"")</f>
        <v/>
      </c>
      <c r="AU532" s="802" t="str">
        <f>IF(ISNUMBER('Base de datos Rutas'!CL530),'Base de datos Rutas'!CL530,"")</f>
        <v/>
      </c>
      <c r="AV532" s="802">
        <f>IF(ISNUMBER('Base de datos Rutas'!CM530),'Base de datos Rutas'!CM530,"")</f>
        <v>0</v>
      </c>
      <c r="AW532" s="802" t="str">
        <f>IF(ISNUMBER('Base de datos Rutas'!CN530),'Base de datos Rutas'!CN530,"")</f>
        <v/>
      </c>
      <c r="AX532" s="802" t="str">
        <f>IF(ISNUMBER('Base de datos Rutas'!CO530),'Base de datos Rutas'!CO530,"")</f>
        <v/>
      </c>
      <c r="AY532" s="802">
        <f>IF(ISNUMBER('Base de datos Rutas'!CP530),'Base de datos Rutas'!CP530,"")</f>
        <v>0</v>
      </c>
      <c r="AZ532" s="802" t="str">
        <f>IF(ISNUMBER('Base de datos Rutas'!CQ530),'Base de datos Rutas'!CQ530,"")</f>
        <v/>
      </c>
      <c r="BA532" s="802" t="str">
        <f>IF(ISNUMBER('Base de datos Rutas'!CR530),'Base de datos Rutas'!CR530,"")</f>
        <v/>
      </c>
      <c r="BB532" s="803">
        <f>IF(ISNUMBER('Base de datos Rutas'!CS530),'Base de datos Rutas'!CS530,"")</f>
        <v>0</v>
      </c>
      <c r="BC532" s="804" t="str">
        <f t="shared" si="321"/>
        <v/>
      </c>
      <c r="BD532" s="805" t="str">
        <f t="shared" si="322"/>
        <v>N/D</v>
      </c>
      <c r="BE532" s="806" t="str">
        <f t="shared" si="323"/>
        <v/>
      </c>
      <c r="BF532" s="890" t="str">
        <f>IF(ISNUMBER('Base de datos Rutas'!CX530),'Base de datos Rutas'!CX530/100,"")</f>
        <v/>
      </c>
      <c r="BG532" s="891" t="str">
        <f>IF(ISNUMBER('Base de datos Rutas'!CZ530),'Base de datos Rutas'!CZ530/100,"")</f>
        <v/>
      </c>
      <c r="BH532" s="892" t="str">
        <f>IF(ISNUMBER('Base de datos Rutas'!DA530),'Base de datos Rutas'!DA530,"")</f>
        <v/>
      </c>
      <c r="BI532" s="893" t="str">
        <f>IF(ISNUMBER('Base de datos Rutas'!DC530),'Base de datos Rutas'!DC530,"")</f>
        <v/>
      </c>
      <c r="BJ532" s="805" t="str">
        <f t="shared" si="324"/>
        <v>Sin dato</v>
      </c>
      <c r="BK532" s="783">
        <f t="shared" si="312"/>
        <v>0</v>
      </c>
      <c r="BL532" s="797">
        <f t="shared" si="313"/>
        <v>0</v>
      </c>
      <c r="BM532" s="797">
        <f t="shared" si="314"/>
        <v>0</v>
      </c>
      <c r="BN532" s="797">
        <f t="shared" si="315"/>
        <v>0</v>
      </c>
      <c r="BO532" s="798" cm="1">
        <f t="array" ref="BO532">SUMPRODUCT(--ISNUMBER($BF532:$BI532),$BK$3:$BN$3)</f>
        <v>0</v>
      </c>
      <c r="BP532" s="831" t="str">
        <f t="shared" si="325"/>
        <v/>
      </c>
      <c r="BQ532" s="834" t="str">
        <f t="shared" si="326"/>
        <v>Sin datos</v>
      </c>
      <c r="BR532" s="836" t="str">
        <f t="shared" si="316"/>
        <v/>
      </c>
      <c r="BS532" s="836" t="str">
        <f t="shared" si="317"/>
        <v/>
      </c>
      <c r="BT532" s="837" t="str">
        <f t="shared" si="318"/>
        <v>Sin datos</v>
      </c>
      <c r="BU532" s="807" t="str">
        <f t="shared" si="327"/>
        <v>Con espacio</v>
      </c>
      <c r="BV532" s="807" t="str">
        <f t="shared" si="319"/>
        <v>Sin datos de zona</v>
      </c>
      <c r="BW532" s="808" t="str">
        <f t="shared" si="320"/>
        <v>Sin datos</v>
      </c>
    </row>
    <row r="533" spans="1:75">
      <c r="A533" s="780" t="str">
        <f>'Base de datos Rutas'!A531</f>
        <v>Occidente</v>
      </c>
      <c r="B533" s="781" t="str">
        <f>'Base de datos Rutas'!B531</f>
        <v>Favorita</v>
      </c>
      <c r="C533" s="781" t="str">
        <f>'Base de datos Rutas'!C531</f>
        <v>Suc. San Rafael</v>
      </c>
      <c r="D533" s="782">
        <f>IF(ISNUMBER('Base de datos Rutas'!D531),'Base de datos Rutas'!D531,"Sin código")</f>
        <v>803340</v>
      </c>
      <c r="E533" s="783" t="str">
        <f>'Base de datos Rutas'!F531</f>
        <v>Activa</v>
      </c>
      <c r="F533" s="784" t="str">
        <f>'Base de datos Rutas'!H531</f>
        <v>Sí</v>
      </c>
      <c r="G533" s="785">
        <f>IF(ISNUMBER('Base de datos Rutas'!BE531),'Base de datos Rutas'!BE531,"")</f>
        <v>74.596330275229406</v>
      </c>
      <c r="H533" s="786">
        <f>IF(ISNUMBER('Base de datos Rutas'!BH531),'Base de datos Rutas'!BH531,"")</f>
        <v>0.62024966178821805</v>
      </c>
      <c r="I533" s="788">
        <f>IFERROR(IF(OR(NOT(ISNUMBER('Base de datos Rutas'!O531)),N('Base de datos Rutas'!BK531)=0),"",'Base de datos Rutas'!O531/('Base de datos Rutas'!L531/'Base de datos Rutas'!BK531)),"")</f>
        <v>3385.4220183486277</v>
      </c>
      <c r="J533" s="788">
        <f>IFERROR(IF(OR(NOT(ISNUMBER('Base de datos Rutas'!N531)),N('Base de datos Rutas'!BK531)=0),"",'Base de datos Rutas'!N531/('Base de datos Rutas'!L531/'Base de datos Rutas'!BK531)),"")</f>
        <v>7624.3532110091828</v>
      </c>
      <c r="K533" s="788">
        <f>IFERROR(IF(OR(NOT(ISNUMBER('Base de datos Rutas'!J531)),N('Base de datos Rutas'!BK531)=0),"",'Base de datos Rutas'!J531/('Base de datos Rutas'!L531/'Base de datos Rutas'!BK531)),"")</f>
        <v>536.65702935779655</v>
      </c>
      <c r="L533" s="788">
        <f>IFERROR(IF(OR(NOT(ISNUMBER('Base de datos Rutas'!K531)),N('Base de datos Rutas'!BK531)=0),"",'Base de datos Rutas'!K531/('Base de datos Rutas'!L531/'Base de datos Rutas'!BK531)),"")</f>
        <v>28.232179192660581</v>
      </c>
      <c r="M533" s="787">
        <f>IF(ISNUMBER('Base de datos Rutas'!AX531),'Base de datos Rutas'!AX531,"")</f>
        <v>237.954884746939</v>
      </c>
      <c r="N533" s="790">
        <f>IFERROR(INDEX('Hoja de apoyo v2'!B$17:B$20,MATCH($A533,'Hoja de apoyo v2'!$A$17:$A$20,0)),"")</f>
        <v>89.41621024641401</v>
      </c>
      <c r="O533" s="791">
        <f>IFERROR(INDEX('Hoja de apoyo v2'!C$17:C$20,MATCH($A533,'Hoja de apoyo v2'!$A$17:$A$20,0)),"")</f>
        <v>0.54706375874806301</v>
      </c>
      <c r="P533" s="793">
        <f>IFERROR(INDEX('Hoja de apoyo v2'!D$17:D$20,MATCH($A533,'Hoja de apoyo v2'!$A$17:$A$20,0)),"")</f>
        <v>11095.153935793827</v>
      </c>
      <c r="Q533" s="793">
        <f>IFERROR(INDEX('Hoja de apoyo v2'!E$17:E$20,MATCH($A533,'Hoja de apoyo v2'!$A$17:$A$20,0)),"")</f>
        <v>6982.3202019701848</v>
      </c>
      <c r="R533" s="793">
        <f>IFERROR(INDEX('Hoja de apoyo v2'!F$17:F$20,MATCH($A533,'Hoja de apoyo v2'!$A$17:$A$20,0)),"")</f>
        <v>448.09513474485743</v>
      </c>
      <c r="S533" s="793">
        <f>IFERROR(INDEX('Hoja de apoyo v2'!G$17:G$20,MATCH($A533,'Hoja de apoyo v2'!$A$17:$A$20,0)),"")</f>
        <v>83.406300904207839</v>
      </c>
      <c r="T533" s="792">
        <f>IFERROR(INDEX('Hoja de apoyo v2'!H$17:H$20,MATCH($A533,'Hoja de apoyo v2'!$A$17:$A$20,0)),"")</f>
        <v>378.97014028925349</v>
      </c>
      <c r="U533" s="794">
        <f t="shared" si="292"/>
        <v>0.83425958301806968</v>
      </c>
      <c r="V533" s="795">
        <f t="shared" si="293"/>
        <v>1.1337794761028195</v>
      </c>
      <c r="W533" s="795">
        <f t="shared" si="294"/>
        <v>0.30512618733724761</v>
      </c>
      <c r="X533" s="843">
        <f t="shared" si="295"/>
        <v>1.0919512412017194</v>
      </c>
      <c r="Y533" s="843">
        <f t="shared" si="296"/>
        <v>1.197640830586937</v>
      </c>
      <c r="Z533" s="843">
        <f t="shared" si="297"/>
        <v>0.33848976500091099</v>
      </c>
      <c r="AA533" s="843">
        <f t="shared" si="298"/>
        <v>0.62789876945269907</v>
      </c>
      <c r="AB533" s="796">
        <f t="shared" si="299"/>
        <v>3</v>
      </c>
      <c r="AC533" s="797">
        <f t="shared" si="300"/>
        <v>4</v>
      </c>
      <c r="AD533" s="797">
        <f t="shared" si="301"/>
        <v>1</v>
      </c>
      <c r="AE533" s="842">
        <f t="shared" si="302"/>
        <v>4</v>
      </c>
      <c r="AF533" s="842">
        <f t="shared" si="303"/>
        <v>4</v>
      </c>
      <c r="AG533" s="842">
        <f t="shared" si="304"/>
        <v>1</v>
      </c>
      <c r="AH533" s="842">
        <f t="shared" si="305"/>
        <v>2</v>
      </c>
      <c r="AI533" s="826" cm="1">
        <f t="array" ref="AI533">SUMPRODUCT(--ISNUMBER($U533:$AA533),$AB$3:$AH$3)</f>
        <v>1</v>
      </c>
      <c r="AJ533" s="829">
        <f t="shared" si="306"/>
        <v>37.467193429046965</v>
      </c>
      <c r="AK533" s="827" t="str">
        <f t="shared" si="307"/>
        <v>Inmadura</v>
      </c>
      <c r="AL533" s="784" t="str">
        <f t="shared" si="308"/>
        <v>Alta</v>
      </c>
      <c r="AM533" s="799">
        <f>IF(ISNUMBER('Base de datos Rutas'!W531),'Base de datos Rutas'!W531,"")</f>
        <v>3054.2455510167165</v>
      </c>
      <c r="AN533" s="787">
        <f>IFERROR(SUMIFS('Base de datos Rutas'!$W$6:$W$794,'Base de datos Rutas'!$C$6:$C$794,$C533)/'Base de datos Rutas'!I531,"")</f>
        <v>3054.2455510167188</v>
      </c>
      <c r="AO533" s="800">
        <f>IFERROR('Base de datos Rutas'!X531*AN533/AM533,"")</f>
        <v>0.49742199715828644</v>
      </c>
      <c r="AP533" s="800">
        <f t="shared" si="309"/>
        <v>0.5025780028417135</v>
      </c>
      <c r="AQ533" s="789">
        <f>IFERROR(INDEX('Hoja de apoyo v2'!$J$17:$J$20,MATCH($A533,'Hoja de apoyo v2'!$A$17:$A$20,0)),"")</f>
        <v>0.64320274048480885</v>
      </c>
      <c r="AR533" s="789">
        <f t="shared" si="310"/>
        <v>-0.14062473764309535</v>
      </c>
      <c r="AS533" s="784" t="str">
        <f t="shared" si="311"/>
        <v>No</v>
      </c>
      <c r="AT533" s="801">
        <f>IF(ISNUMBER('Base de datos Rutas'!CK531),'Base de datos Rutas'!CK531,"")</f>
        <v>313</v>
      </c>
      <c r="AU533" s="802">
        <f>IF(ISNUMBER('Base de datos Rutas'!CL531),'Base de datos Rutas'!CL531,"")</f>
        <v>313</v>
      </c>
      <c r="AV533" s="802">
        <f>IF(ISNUMBER('Base de datos Rutas'!CM531),'Base de datos Rutas'!CM531,"")</f>
        <v>0</v>
      </c>
      <c r="AW533" s="802" t="str">
        <f>IF(ISNUMBER('Base de datos Rutas'!CN531),'Base de datos Rutas'!CN531,"")</f>
        <v/>
      </c>
      <c r="AX533" s="802">
        <f>IF(ISNUMBER('Base de datos Rutas'!CO531),'Base de datos Rutas'!CO531,"")</f>
        <v>9.4499999999999993</v>
      </c>
      <c r="AY533" s="802">
        <f>IF(ISNUMBER('Base de datos Rutas'!CP531),'Base de datos Rutas'!CP531,"")</f>
        <v>9.4499999999999993</v>
      </c>
      <c r="AZ533" s="802" t="str">
        <f>IF(ISNUMBER('Base de datos Rutas'!CQ531),'Base de datos Rutas'!CQ531,"")</f>
        <v/>
      </c>
      <c r="BA533" s="802" t="str">
        <f>IF(ISNUMBER('Base de datos Rutas'!CR531),'Base de datos Rutas'!CR531,"")</f>
        <v/>
      </c>
      <c r="BB533" s="803">
        <f>IF(ISNUMBER('Base de datos Rutas'!CS531),'Base de datos Rutas'!CS531,"")</f>
        <v>0</v>
      </c>
      <c r="BC533" s="804" t="str">
        <f t="shared" si="321"/>
        <v/>
      </c>
      <c r="BD533" s="805" t="str">
        <f t="shared" si="322"/>
        <v>N/D</v>
      </c>
      <c r="BE533" s="806" t="str">
        <f t="shared" si="323"/>
        <v/>
      </c>
      <c r="BF533" s="890">
        <f>IF(ISNUMBER('Base de datos Rutas'!CX531),'Base de datos Rutas'!CX531/100,"")</f>
        <v>0</v>
      </c>
      <c r="BG533" s="891">
        <f>IF(ISNUMBER('Base de datos Rutas'!CZ531),'Base de datos Rutas'!CZ531/100,"")</f>
        <v>0</v>
      </c>
      <c r="BH533" s="892">
        <f>IF(ISNUMBER('Base de datos Rutas'!DA531),'Base de datos Rutas'!DA531,"")</f>
        <v>0</v>
      </c>
      <c r="BI533" s="893">
        <f>IF(ISNUMBER('Base de datos Rutas'!DC531),'Base de datos Rutas'!DC531,"")</f>
        <v>0</v>
      </c>
      <c r="BJ533" s="805" t="str">
        <f t="shared" si="324"/>
        <v>Ruta (completo)</v>
      </c>
      <c r="BK533" s="783">
        <f t="shared" si="312"/>
        <v>1</v>
      </c>
      <c r="BL533" s="797">
        <f t="shared" si="313"/>
        <v>1</v>
      </c>
      <c r="BM533" s="797">
        <f t="shared" si="314"/>
        <v>1</v>
      </c>
      <c r="BN533" s="797">
        <f t="shared" si="315"/>
        <v>1</v>
      </c>
      <c r="BO533" s="798" cm="1">
        <f t="array" ref="BO533">SUMPRODUCT(--ISNUMBER($BF533:$BI533),$BK$3:$BN$3)</f>
        <v>1</v>
      </c>
      <c r="BP533" s="831">
        <f t="shared" si="325"/>
        <v>0</v>
      </c>
      <c r="BQ533" s="834" t="str">
        <f t="shared" si="326"/>
        <v>Bajo</v>
      </c>
      <c r="BR533" s="836" t="str">
        <f t="shared" si="316"/>
        <v/>
      </c>
      <c r="BS533" s="836">
        <f t="shared" si="317"/>
        <v>0</v>
      </c>
      <c r="BT533" s="837" t="str">
        <f t="shared" si="318"/>
        <v>Sin datos</v>
      </c>
      <c r="BU533" s="807" t="str">
        <f t="shared" si="327"/>
        <v>Con espacio</v>
      </c>
      <c r="BV533" s="807" t="str">
        <f t="shared" si="319"/>
        <v>Zona de bajo potencial</v>
      </c>
      <c r="BW533" s="808" t="str">
        <f t="shared" si="320"/>
        <v>Sin datos</v>
      </c>
    </row>
    <row r="534" spans="1:75">
      <c r="A534" s="780" t="str">
        <f>'Base de datos Rutas'!A532</f>
        <v>Occidente</v>
      </c>
      <c r="B534" s="781" t="str">
        <f>'Base de datos Rutas'!B532</f>
        <v>Favorita</v>
      </c>
      <c r="C534" s="781" t="str">
        <f>'Base de datos Rutas'!C532</f>
        <v>Suc. San Rafael</v>
      </c>
      <c r="D534" s="782">
        <f>IF(ISNUMBER('Base de datos Rutas'!D532),'Base de datos Rutas'!D532,"Sin código")</f>
        <v>803341</v>
      </c>
      <c r="E534" s="783" t="str">
        <f>'Base de datos Rutas'!F532</f>
        <v>Activa</v>
      </c>
      <c r="F534" s="784" t="str">
        <f>'Base de datos Rutas'!H532</f>
        <v>Sí</v>
      </c>
      <c r="G534" s="785">
        <f>IF(ISNUMBER('Base de datos Rutas'!BE532),'Base de datos Rutas'!BE532,"")</f>
        <v>134.83413461538501</v>
      </c>
      <c r="H534" s="786">
        <f>IF(ISNUMBER('Base de datos Rutas'!BH532),'Base de datos Rutas'!BH532,"")</f>
        <v>0.40828296874721398</v>
      </c>
      <c r="I534" s="788">
        <f>IFERROR(IF(OR(NOT(ISNUMBER('Base de datos Rutas'!O532)),N('Base de datos Rutas'!BK532)=0),"",'Base de datos Rutas'!O532/('Base de datos Rutas'!L532/'Base de datos Rutas'!BK532)),"")</f>
        <v>5449.4396355353156</v>
      </c>
      <c r="J534" s="788">
        <f>IFERROR(IF(OR(NOT(ISNUMBER('Base de datos Rutas'!N532)),N('Base de datos Rutas'!BK532)=0),"",'Base de datos Rutas'!N532/('Base de datos Rutas'!L532/'Base de datos Rutas'!BK532)),"")</f>
        <v>7860.3940774487583</v>
      </c>
      <c r="K534" s="788">
        <f>IFERROR(IF(OR(NOT(ISNUMBER('Base de datos Rutas'!J532)),N('Base de datos Rutas'!BK532)=0),"",'Base de datos Rutas'!J532/('Base de datos Rutas'!L532/'Base de datos Rutas'!BK532)),"")</f>
        <v>537.10325474259537</v>
      </c>
      <c r="L534" s="788">
        <f>IFERROR(IF(OR(NOT(ISNUMBER('Base de datos Rutas'!K532)),N('Base de datos Rutas'!BK532)=0),"",'Base de datos Rutas'!K532/('Base de datos Rutas'!L532/'Base de datos Rutas'!BK532)),"")</f>
        <v>44.760708200455646</v>
      </c>
      <c r="M534" s="787">
        <f>IF(ISNUMBER('Base de datos Rutas'!AX532),'Base de datos Rutas'!AX532,"")</f>
        <v>241.17777273290099</v>
      </c>
      <c r="N534" s="790">
        <f>IFERROR(INDEX('Hoja de apoyo v2'!B$17:B$20,MATCH($A534,'Hoja de apoyo v2'!$A$17:$A$20,0)),"")</f>
        <v>89.41621024641401</v>
      </c>
      <c r="O534" s="791">
        <f>IFERROR(INDEX('Hoja de apoyo v2'!C$17:C$20,MATCH($A534,'Hoja de apoyo v2'!$A$17:$A$20,0)),"")</f>
        <v>0.54706375874806301</v>
      </c>
      <c r="P534" s="793">
        <f>IFERROR(INDEX('Hoja de apoyo v2'!D$17:D$20,MATCH($A534,'Hoja de apoyo v2'!$A$17:$A$20,0)),"")</f>
        <v>11095.153935793827</v>
      </c>
      <c r="Q534" s="793">
        <f>IFERROR(INDEX('Hoja de apoyo v2'!E$17:E$20,MATCH($A534,'Hoja de apoyo v2'!$A$17:$A$20,0)),"")</f>
        <v>6982.3202019701848</v>
      </c>
      <c r="R534" s="793">
        <f>IFERROR(INDEX('Hoja de apoyo v2'!F$17:F$20,MATCH($A534,'Hoja de apoyo v2'!$A$17:$A$20,0)),"")</f>
        <v>448.09513474485743</v>
      </c>
      <c r="S534" s="793">
        <f>IFERROR(INDEX('Hoja de apoyo v2'!G$17:G$20,MATCH($A534,'Hoja de apoyo v2'!$A$17:$A$20,0)),"")</f>
        <v>83.406300904207839</v>
      </c>
      <c r="T534" s="792">
        <f>IFERROR(INDEX('Hoja de apoyo v2'!H$17:H$20,MATCH($A534,'Hoja de apoyo v2'!$A$17:$A$20,0)),"")</f>
        <v>378.97014028925349</v>
      </c>
      <c r="U534" s="794">
        <f t="shared" si="292"/>
        <v>1.5079383731854421</v>
      </c>
      <c r="V534" s="795">
        <f t="shared" si="293"/>
        <v>0.7463169735124765</v>
      </c>
      <c r="W534" s="795">
        <f t="shared" si="294"/>
        <v>0.49115493728798126</v>
      </c>
      <c r="X534" s="843">
        <f t="shared" si="295"/>
        <v>1.1257567470524783</v>
      </c>
      <c r="Y534" s="843">
        <f t="shared" si="296"/>
        <v>1.1986366579240335</v>
      </c>
      <c r="Z534" s="843">
        <f t="shared" si="297"/>
        <v>0.5366585943172727</v>
      </c>
      <c r="AA534" s="843">
        <f t="shared" si="298"/>
        <v>0.63640310170299741</v>
      </c>
      <c r="AB534" s="796">
        <f t="shared" si="299"/>
        <v>5</v>
      </c>
      <c r="AC534" s="797">
        <f t="shared" si="300"/>
        <v>2</v>
      </c>
      <c r="AD534" s="797">
        <f t="shared" si="301"/>
        <v>1</v>
      </c>
      <c r="AE534" s="842">
        <f t="shared" si="302"/>
        <v>4</v>
      </c>
      <c r="AF534" s="842">
        <f t="shared" si="303"/>
        <v>4</v>
      </c>
      <c r="AG534" s="842">
        <f t="shared" si="304"/>
        <v>2</v>
      </c>
      <c r="AH534" s="842">
        <f t="shared" si="305"/>
        <v>2</v>
      </c>
      <c r="AI534" s="826" cm="1">
        <f t="array" ref="AI534">SUMPRODUCT(--ISNUMBER($U534:$AA534),$AB$3:$AH$3)</f>
        <v>1</v>
      </c>
      <c r="AJ534" s="829">
        <f t="shared" si="306"/>
        <v>46.157721381599195</v>
      </c>
      <c r="AK534" s="827" t="str">
        <f t="shared" si="307"/>
        <v>En desarrollo</v>
      </c>
      <c r="AL534" s="784" t="str">
        <f t="shared" si="308"/>
        <v>Alta</v>
      </c>
      <c r="AM534" s="799">
        <f>IF(ISNUMBER('Base de datos Rutas'!W532),'Base de datos Rutas'!W532,"")</f>
        <v>3054.2455510167165</v>
      </c>
      <c r="AN534" s="787">
        <f>IFERROR(SUMIFS('Base de datos Rutas'!$W$6:$W$794,'Base de datos Rutas'!$C$6:$C$794,$C534)/'Base de datos Rutas'!I532,"")</f>
        <v>3054.2455510167188</v>
      </c>
      <c r="AO534" s="800">
        <f>IFERROR('Base de datos Rutas'!X532*AN534/AM534,"")</f>
        <v>0.49742199715828644</v>
      </c>
      <c r="AP534" s="800">
        <f t="shared" si="309"/>
        <v>0.5025780028417135</v>
      </c>
      <c r="AQ534" s="789">
        <f>IFERROR(INDEX('Hoja de apoyo v2'!$J$17:$J$20,MATCH($A534,'Hoja de apoyo v2'!$A$17:$A$20,0)),"")</f>
        <v>0.64320274048480885</v>
      </c>
      <c r="AR534" s="789">
        <f t="shared" si="310"/>
        <v>-0.14062473764309535</v>
      </c>
      <c r="AS534" s="784" t="str">
        <f t="shared" si="311"/>
        <v>No</v>
      </c>
      <c r="AT534" s="801">
        <f>IF(ISNUMBER('Base de datos Rutas'!CK532),'Base de datos Rutas'!CK532,"")</f>
        <v>432</v>
      </c>
      <c r="AU534" s="802">
        <f>IF(ISNUMBER('Base de datos Rutas'!CL532),'Base de datos Rutas'!CL532,"")</f>
        <v>439.06</v>
      </c>
      <c r="AV534" s="802">
        <f>IF(ISNUMBER('Base de datos Rutas'!CM532),'Base de datos Rutas'!CM532,"")</f>
        <v>7.0600000000000023</v>
      </c>
      <c r="AW534" s="802">
        <f>IF(ISNUMBER('Base de datos Rutas'!CN532),'Base de datos Rutas'!CN532,"")</f>
        <v>8.86</v>
      </c>
      <c r="AX534" s="802">
        <f>IF(ISNUMBER('Base de datos Rutas'!CO532),'Base de datos Rutas'!CO532,"")</f>
        <v>9.4499999999999993</v>
      </c>
      <c r="AY534" s="802">
        <f>IF(ISNUMBER('Base de datos Rutas'!CP532),'Base de datos Rutas'!CP532,"")</f>
        <v>0.58999999999999986</v>
      </c>
      <c r="AZ534" s="802">
        <f>IF(ISNUMBER('Base de datos Rutas'!CQ532),'Base de datos Rutas'!CQ532,"")</f>
        <v>846.56</v>
      </c>
      <c r="BA534" s="802">
        <f>IF(ISNUMBER('Base de datos Rutas'!CR532),'Base de datos Rutas'!CR532,"")</f>
        <v>581.86</v>
      </c>
      <c r="BB534" s="803">
        <f>IF(ISNUMBER('Base de datos Rutas'!CS532),'Base de datos Rutas'!CS532,"")</f>
        <v>264.69999999999993</v>
      </c>
      <c r="BC534" s="804">
        <f t="shared" si="321"/>
        <v>0</v>
      </c>
      <c r="BD534" s="805" t="str">
        <f t="shared" si="322"/>
        <v>No saturada</v>
      </c>
      <c r="BE534" s="806">
        <f t="shared" si="323"/>
        <v>0.68732281232281234</v>
      </c>
      <c r="BF534" s="890">
        <f>IF(ISNUMBER('Base de datos Rutas'!CX532),'Base de datos Rutas'!CX532/100,"")</f>
        <v>0.15609711124769515</v>
      </c>
      <c r="BG534" s="891">
        <f>IF(ISNUMBER('Base de datos Rutas'!CZ532),'Base de datos Rutas'!CZ532/100,"")</f>
        <v>0.15826674861708667</v>
      </c>
      <c r="BH534" s="892">
        <f>IF(ISNUMBER('Base de datos Rutas'!DA532),'Base de datos Rutas'!DA532,"")</f>
        <v>90.661150055503427</v>
      </c>
      <c r="BI534" s="893">
        <f>IF(ISNUMBER('Base de datos Rutas'!DC532),'Base de datos Rutas'!DC532,"")</f>
        <v>4.1968317050284263</v>
      </c>
      <c r="BJ534" s="805" t="str">
        <f t="shared" si="324"/>
        <v>Ruta (completo)</v>
      </c>
      <c r="BK534" s="783">
        <f t="shared" si="312"/>
        <v>4</v>
      </c>
      <c r="BL534" s="797">
        <f t="shared" si="313"/>
        <v>4</v>
      </c>
      <c r="BM534" s="797">
        <f t="shared" si="314"/>
        <v>3</v>
      </c>
      <c r="BN534" s="797">
        <f t="shared" si="315"/>
        <v>3</v>
      </c>
      <c r="BO534" s="798" cm="1">
        <f t="array" ref="BO534">SUMPRODUCT(--ISNUMBER($BF534:$BI534),$BK$3:$BN$3)</f>
        <v>1</v>
      </c>
      <c r="BP534" s="831">
        <f t="shared" si="325"/>
        <v>62.5</v>
      </c>
      <c r="BQ534" s="834" t="str">
        <f t="shared" si="326"/>
        <v>Alto</v>
      </c>
      <c r="BR534" s="836">
        <f t="shared" si="316"/>
        <v>34.618291036199395</v>
      </c>
      <c r="BS534" s="836">
        <f t="shared" si="317"/>
        <v>62.5</v>
      </c>
      <c r="BT534" s="837" t="str">
        <f t="shared" si="318"/>
        <v>P1</v>
      </c>
      <c r="BU534" s="807" t="str">
        <f t="shared" si="327"/>
        <v>Con espacio</v>
      </c>
      <c r="BV534" s="807" t="str">
        <f t="shared" si="319"/>
        <v>Zona atractiva</v>
      </c>
      <c r="BW534" s="808" t="str">
        <f t="shared" si="320"/>
        <v>P1 - Ampliar cobertura</v>
      </c>
    </row>
    <row r="535" spans="1:75">
      <c r="A535" s="780" t="str">
        <f>'Base de datos Rutas'!A533</f>
        <v>Occidente</v>
      </c>
      <c r="B535" s="781" t="str">
        <f>'Base de datos Rutas'!B533</f>
        <v>Favorita</v>
      </c>
      <c r="C535" s="781" t="str">
        <f>'Base de datos Rutas'!C533</f>
        <v>Suc. San Rafael</v>
      </c>
      <c r="D535" s="782">
        <f>IF(ISNUMBER('Base de datos Rutas'!D533),'Base de datos Rutas'!D533,"Sin código")</f>
        <v>803342</v>
      </c>
      <c r="E535" s="783" t="str">
        <f>'Base de datos Rutas'!F533</f>
        <v>Activa</v>
      </c>
      <c r="F535" s="784" t="str">
        <f>'Base de datos Rutas'!H533</f>
        <v>Sí</v>
      </c>
      <c r="G535" s="785">
        <f>IF(ISNUMBER('Base de datos Rutas'!BE533),'Base de datos Rutas'!BE533,"")</f>
        <v>87.206310679611704</v>
      </c>
      <c r="H535" s="786">
        <f>IF(ISNUMBER('Base de datos Rutas'!BH533),'Base de datos Rutas'!BH533,"")</f>
        <v>0.40799910935456002</v>
      </c>
      <c r="I535" s="788">
        <f>IFERROR(IF(OR(NOT(ISNUMBER('Base de datos Rutas'!O533)),N('Base de datos Rutas'!BK533)=0),"",'Base de datos Rutas'!O533/('Base de datos Rutas'!L533/'Base de datos Rutas'!BK533)),"")</f>
        <v>3789.4068965517249</v>
      </c>
      <c r="J535" s="788">
        <f>IFERROR(IF(OR(NOT(ISNUMBER('Base de datos Rutas'!N533)),N('Base de datos Rutas'!BK533)=0),"",'Base de datos Rutas'!N533/('Base de datos Rutas'!L533/'Base de datos Rutas'!BK533)),"")</f>
        <v>5875.7241379310362</v>
      </c>
      <c r="K535" s="788">
        <f>IFERROR(IF(OR(NOT(ISNUMBER('Base de datos Rutas'!J533)),N('Base de datos Rutas'!BK533)=0),"",'Base de datos Rutas'!J533/('Base de datos Rutas'!L533/'Base de datos Rutas'!BK533)),"")</f>
        <v>410.96622205977025</v>
      </c>
      <c r="L535" s="788">
        <f>IFERROR(IF(OR(NOT(ISNUMBER('Base de datos Rutas'!K533)),N('Base de datos Rutas'!BK533)=0),"",'Base de datos Rutas'!K533/('Base de datos Rutas'!L533/'Base de datos Rutas'!BK533)),"")</f>
        <v>30.665607988505755</v>
      </c>
      <c r="M535" s="787">
        <f>IF(ISNUMBER('Base de datos Rutas'!AX533),'Base de datos Rutas'!AX533,"")</f>
        <v>275.26092313735802</v>
      </c>
      <c r="N535" s="790">
        <f>IFERROR(INDEX('Hoja de apoyo v2'!B$17:B$20,MATCH($A535,'Hoja de apoyo v2'!$A$17:$A$20,0)),"")</f>
        <v>89.41621024641401</v>
      </c>
      <c r="O535" s="791">
        <f>IFERROR(INDEX('Hoja de apoyo v2'!C$17:C$20,MATCH($A535,'Hoja de apoyo v2'!$A$17:$A$20,0)),"")</f>
        <v>0.54706375874806301</v>
      </c>
      <c r="P535" s="793">
        <f>IFERROR(INDEX('Hoja de apoyo v2'!D$17:D$20,MATCH($A535,'Hoja de apoyo v2'!$A$17:$A$20,0)),"")</f>
        <v>11095.153935793827</v>
      </c>
      <c r="Q535" s="793">
        <f>IFERROR(INDEX('Hoja de apoyo v2'!E$17:E$20,MATCH($A535,'Hoja de apoyo v2'!$A$17:$A$20,0)),"")</f>
        <v>6982.3202019701848</v>
      </c>
      <c r="R535" s="793">
        <f>IFERROR(INDEX('Hoja de apoyo v2'!F$17:F$20,MATCH($A535,'Hoja de apoyo v2'!$A$17:$A$20,0)),"")</f>
        <v>448.09513474485743</v>
      </c>
      <c r="S535" s="793">
        <f>IFERROR(INDEX('Hoja de apoyo v2'!G$17:G$20,MATCH($A535,'Hoja de apoyo v2'!$A$17:$A$20,0)),"")</f>
        <v>83.406300904207839</v>
      </c>
      <c r="T535" s="792">
        <f>IFERROR(INDEX('Hoja de apoyo v2'!H$17:H$20,MATCH($A535,'Hoja de apoyo v2'!$A$17:$A$20,0)),"")</f>
        <v>378.97014028925349</v>
      </c>
      <c r="U535" s="794">
        <f t="shared" si="292"/>
        <v>0.97528524681696704</v>
      </c>
      <c r="V535" s="795">
        <f t="shared" si="293"/>
        <v>0.74579809543270104</v>
      </c>
      <c r="W535" s="795">
        <f t="shared" si="294"/>
        <v>0.34153711777957441</v>
      </c>
      <c r="X535" s="843">
        <f t="shared" si="295"/>
        <v>0.84151456363646815</v>
      </c>
      <c r="Y535" s="843">
        <f t="shared" si="296"/>
        <v>0.91714055831865227</v>
      </c>
      <c r="Z535" s="843">
        <f t="shared" si="297"/>
        <v>0.36766536407992984</v>
      </c>
      <c r="AA535" s="843">
        <f t="shared" si="298"/>
        <v>0.72633934411629852</v>
      </c>
      <c r="AB535" s="796">
        <f t="shared" si="299"/>
        <v>3</v>
      </c>
      <c r="AC535" s="797">
        <f t="shared" si="300"/>
        <v>2</v>
      </c>
      <c r="AD535" s="797">
        <f t="shared" si="301"/>
        <v>1</v>
      </c>
      <c r="AE535" s="842">
        <f t="shared" si="302"/>
        <v>3</v>
      </c>
      <c r="AF535" s="842">
        <f t="shared" si="303"/>
        <v>3</v>
      </c>
      <c r="AG535" s="842">
        <f t="shared" si="304"/>
        <v>1</v>
      </c>
      <c r="AH535" s="842">
        <f t="shared" si="305"/>
        <v>2</v>
      </c>
      <c r="AI535" s="826" cm="1">
        <f t="array" ref="AI535">SUMPRODUCT(--ISNUMBER($U535:$AA535),$AB$3:$AH$3)</f>
        <v>1</v>
      </c>
      <c r="AJ535" s="829">
        <f t="shared" si="306"/>
        <v>26.365890099007515</v>
      </c>
      <c r="AK535" s="827" t="str">
        <f t="shared" si="307"/>
        <v>Inmadura</v>
      </c>
      <c r="AL535" s="784" t="str">
        <f t="shared" si="308"/>
        <v>Alta</v>
      </c>
      <c r="AM535" s="799">
        <f>IF(ISNUMBER('Base de datos Rutas'!W533),'Base de datos Rutas'!W533,"")</f>
        <v>3054.2455510167165</v>
      </c>
      <c r="AN535" s="787">
        <f>IFERROR(SUMIFS('Base de datos Rutas'!$W$6:$W$794,'Base de datos Rutas'!$C$6:$C$794,$C535)/'Base de datos Rutas'!I533,"")</f>
        <v>3054.2455510167188</v>
      </c>
      <c r="AO535" s="800">
        <f>IFERROR('Base de datos Rutas'!X533*AN535/AM535,"")</f>
        <v>0.49742199715828644</v>
      </c>
      <c r="AP535" s="800">
        <f t="shared" si="309"/>
        <v>0.5025780028417135</v>
      </c>
      <c r="AQ535" s="789">
        <f>IFERROR(INDEX('Hoja de apoyo v2'!$J$17:$J$20,MATCH($A535,'Hoja de apoyo v2'!$A$17:$A$20,0)),"")</f>
        <v>0.64320274048480885</v>
      </c>
      <c r="AR535" s="789">
        <f t="shared" si="310"/>
        <v>-0.14062473764309535</v>
      </c>
      <c r="AS535" s="784" t="str">
        <f t="shared" si="311"/>
        <v>No</v>
      </c>
      <c r="AT535" s="801">
        <f>IF(ISNUMBER('Base de datos Rutas'!CK533),'Base de datos Rutas'!CK533,"")</f>
        <v>312</v>
      </c>
      <c r="AU535" s="802">
        <f>IF(ISNUMBER('Base de datos Rutas'!CL533),'Base de datos Rutas'!CL533,"")</f>
        <v>1976.06</v>
      </c>
      <c r="AV535" s="802">
        <f>IF(ISNUMBER('Base de datos Rutas'!CM533),'Base de datos Rutas'!CM533,"")</f>
        <v>1664.06</v>
      </c>
      <c r="AW535" s="802">
        <f>IF(ISNUMBER('Base de datos Rutas'!CN533),'Base de datos Rutas'!CN533,"")</f>
        <v>8.15</v>
      </c>
      <c r="AX535" s="802">
        <f>IF(ISNUMBER('Base de datos Rutas'!CO533),'Base de datos Rutas'!CO533,"")</f>
        <v>9.4499999999999993</v>
      </c>
      <c r="AY535" s="802">
        <f>IF(ISNUMBER('Base de datos Rutas'!CP533),'Base de datos Rutas'!CP533,"")</f>
        <v>1.2999999999999989</v>
      </c>
      <c r="AZ535" s="802">
        <f>IF(ISNUMBER('Base de datos Rutas'!CQ533),'Base de datos Rutas'!CQ533,"")</f>
        <v>846.56</v>
      </c>
      <c r="BA535" s="802">
        <f>IF(ISNUMBER('Base de datos Rutas'!CR533),'Base de datos Rutas'!CR533,"")</f>
        <v>441.63</v>
      </c>
      <c r="BB535" s="803">
        <f>IF(ISNUMBER('Base de datos Rutas'!CS533),'Base de datos Rutas'!CS533,"")</f>
        <v>404.92999999999995</v>
      </c>
      <c r="BC535" s="804">
        <f t="shared" si="321"/>
        <v>0</v>
      </c>
      <c r="BD535" s="805" t="str">
        <f t="shared" si="322"/>
        <v>No saturada</v>
      </c>
      <c r="BE535" s="806">
        <f t="shared" si="323"/>
        <v>0.52167595917595921</v>
      </c>
      <c r="BF535" s="890">
        <f>IF(ISNUMBER('Base de datos Rutas'!CX533),'Base de datos Rutas'!CX533/100,"")</f>
        <v>7.5065743944636693E-2</v>
      </c>
      <c r="BG535" s="891">
        <f>IF(ISNUMBER('Base de datos Rutas'!CZ533),'Base de datos Rutas'!CZ533/100,"")</f>
        <v>0.65086505190311417</v>
      </c>
      <c r="BH535" s="892">
        <f>IF(ISNUMBER('Base de datos Rutas'!DA533),'Base de datos Rutas'!DA533,"")</f>
        <v>2708.3381993210455</v>
      </c>
      <c r="BI535" s="893">
        <f>IF(ISNUMBER('Base de datos Rutas'!DC533),'Base de datos Rutas'!DC533,"")</f>
        <v>131.26648089836326</v>
      </c>
      <c r="BJ535" s="805" t="str">
        <f t="shared" si="324"/>
        <v>Ruta (completo)</v>
      </c>
      <c r="BK535" s="783">
        <f t="shared" si="312"/>
        <v>3</v>
      </c>
      <c r="BL535" s="797">
        <f t="shared" si="313"/>
        <v>5</v>
      </c>
      <c r="BM535" s="797">
        <f t="shared" si="314"/>
        <v>5</v>
      </c>
      <c r="BN535" s="797">
        <f t="shared" si="315"/>
        <v>5</v>
      </c>
      <c r="BO535" s="798" cm="1">
        <f t="array" ref="BO535">SUMPRODUCT(--ISNUMBER($BF535:$BI535),$BK$3:$BN$3)</f>
        <v>1</v>
      </c>
      <c r="BP535" s="831">
        <f t="shared" si="325"/>
        <v>87.5</v>
      </c>
      <c r="BQ535" s="834" t="str">
        <f t="shared" si="326"/>
        <v>Alto</v>
      </c>
      <c r="BR535" s="836">
        <f t="shared" si="316"/>
        <v>19.774417574255637</v>
      </c>
      <c r="BS535" s="836">
        <f t="shared" si="317"/>
        <v>87.5</v>
      </c>
      <c r="BT535" s="837" t="str">
        <f t="shared" si="318"/>
        <v>P3</v>
      </c>
      <c r="BU535" s="807" t="str">
        <f t="shared" si="327"/>
        <v>Con espacio</v>
      </c>
      <c r="BV535" s="807" t="str">
        <f t="shared" si="319"/>
        <v>Zona atractiva</v>
      </c>
      <c r="BW535" s="808" t="str">
        <f t="shared" si="320"/>
        <v>P3 - Desarrollar</v>
      </c>
    </row>
    <row r="536" spans="1:75">
      <c r="A536" s="780" t="str">
        <f>'Base de datos Rutas'!A534</f>
        <v>Occidente</v>
      </c>
      <c r="B536" s="781" t="str">
        <f>'Base de datos Rutas'!B534</f>
        <v>Favorita</v>
      </c>
      <c r="C536" s="781" t="str">
        <f>'Base de datos Rutas'!C534</f>
        <v>Suc. San Rafael</v>
      </c>
      <c r="D536" s="782">
        <f>IF(ISNUMBER('Base de datos Rutas'!D534),'Base de datos Rutas'!D534,"Sin código")</f>
        <v>803343</v>
      </c>
      <c r="E536" s="783" t="str">
        <f>'Base de datos Rutas'!F534</f>
        <v>Activa</v>
      </c>
      <c r="F536" s="784" t="str">
        <f>'Base de datos Rutas'!H534</f>
        <v>Sí</v>
      </c>
      <c r="G536" s="785">
        <f>IF(ISNUMBER('Base de datos Rutas'!BE534),'Base de datos Rutas'!BE534,"")</f>
        <v>91.858513189448402</v>
      </c>
      <c r="H536" s="786">
        <f>IF(ISNUMBER('Base de datos Rutas'!BH534),'Base de datos Rutas'!BH534,"")</f>
        <v>0.23623547839707601</v>
      </c>
      <c r="I536" s="788">
        <f>IFERROR(IF(OR(NOT(ISNUMBER('Base de datos Rutas'!O534)),N('Base de datos Rutas'!BK534)=0),"",'Base de datos Rutas'!O534/('Base de datos Rutas'!L534/'Base de datos Rutas'!BK534)),"")</f>
        <v>3526.1366742596806</v>
      </c>
      <c r="J536" s="788">
        <f>IFERROR(IF(OR(NOT(ISNUMBER('Base de datos Rutas'!N534)),N('Base de datos Rutas'!BK534)=0),"",'Base de datos Rutas'!N534/('Base de datos Rutas'!L534/'Base de datos Rutas'!BK534)),"")</f>
        <v>5689.2186788154886</v>
      </c>
      <c r="K536" s="788">
        <f>IFERROR(IF(OR(NOT(ISNUMBER('Base de datos Rutas'!J534)),N('Base de datos Rutas'!BK534)=0),"",'Base de datos Rutas'!J534/('Base de datos Rutas'!L534/'Base de datos Rutas'!BK534)),"")</f>
        <v>393.6261940774487</v>
      </c>
      <c r="L536" s="788">
        <f>IFERROR(IF(OR(NOT(ISNUMBER('Base de datos Rutas'!K534)),N('Base de datos Rutas'!BK534)=0),"",'Base de datos Rutas'!K534/('Base de datos Rutas'!L534/'Base de datos Rutas'!BK534)),"")</f>
        <v>26.984767922551249</v>
      </c>
      <c r="M536" s="787">
        <f>IF(ISNUMBER('Base de datos Rutas'!AX534),'Base de datos Rutas'!AX534,"")</f>
        <v>438.39831166016501</v>
      </c>
      <c r="N536" s="790">
        <f>IFERROR(INDEX('Hoja de apoyo v2'!B$17:B$20,MATCH($A536,'Hoja de apoyo v2'!$A$17:$A$20,0)),"")</f>
        <v>89.41621024641401</v>
      </c>
      <c r="O536" s="791">
        <f>IFERROR(INDEX('Hoja de apoyo v2'!C$17:C$20,MATCH($A536,'Hoja de apoyo v2'!$A$17:$A$20,0)),"")</f>
        <v>0.54706375874806301</v>
      </c>
      <c r="P536" s="793">
        <f>IFERROR(INDEX('Hoja de apoyo v2'!D$17:D$20,MATCH($A536,'Hoja de apoyo v2'!$A$17:$A$20,0)),"")</f>
        <v>11095.153935793827</v>
      </c>
      <c r="Q536" s="793">
        <f>IFERROR(INDEX('Hoja de apoyo v2'!E$17:E$20,MATCH($A536,'Hoja de apoyo v2'!$A$17:$A$20,0)),"")</f>
        <v>6982.3202019701848</v>
      </c>
      <c r="R536" s="793">
        <f>IFERROR(INDEX('Hoja de apoyo v2'!F$17:F$20,MATCH($A536,'Hoja de apoyo v2'!$A$17:$A$20,0)),"")</f>
        <v>448.09513474485743</v>
      </c>
      <c r="S536" s="793">
        <f>IFERROR(INDEX('Hoja de apoyo v2'!G$17:G$20,MATCH($A536,'Hoja de apoyo v2'!$A$17:$A$20,0)),"")</f>
        <v>83.406300904207839</v>
      </c>
      <c r="T536" s="792">
        <f>IFERROR(INDEX('Hoja de apoyo v2'!H$17:H$20,MATCH($A536,'Hoja de apoyo v2'!$A$17:$A$20,0)),"")</f>
        <v>378.97014028925349</v>
      </c>
      <c r="U536" s="794">
        <f t="shared" si="292"/>
        <v>1.0273138722420003</v>
      </c>
      <c r="V536" s="795">
        <f t="shared" si="293"/>
        <v>0.43182439819755736</v>
      </c>
      <c r="W536" s="795">
        <f t="shared" si="294"/>
        <v>0.3178087203354692</v>
      </c>
      <c r="X536" s="843">
        <f t="shared" si="295"/>
        <v>0.8148034627816374</v>
      </c>
      <c r="Y536" s="843">
        <f t="shared" si="296"/>
        <v>0.87844335623411085</v>
      </c>
      <c r="Z536" s="843">
        <f t="shared" si="297"/>
        <v>0.32353392525515862</v>
      </c>
      <c r="AA536" s="843">
        <f t="shared" si="298"/>
        <v>1.1568149177282205</v>
      </c>
      <c r="AB536" s="796">
        <f t="shared" si="299"/>
        <v>4</v>
      </c>
      <c r="AC536" s="797">
        <f t="shared" si="300"/>
        <v>1</v>
      </c>
      <c r="AD536" s="797">
        <f t="shared" si="301"/>
        <v>1</v>
      </c>
      <c r="AE536" s="842">
        <f t="shared" si="302"/>
        <v>3</v>
      </c>
      <c r="AF536" s="842">
        <f t="shared" si="303"/>
        <v>3</v>
      </c>
      <c r="AG536" s="842">
        <f t="shared" si="304"/>
        <v>1</v>
      </c>
      <c r="AH536" s="842">
        <f t="shared" si="305"/>
        <v>4</v>
      </c>
      <c r="AI536" s="826" cm="1">
        <f t="array" ref="AI536">SUMPRODUCT(--ISNUMBER($U536:$AA536),$AB$3:$AH$3)</f>
        <v>1</v>
      </c>
      <c r="AJ536" s="829">
        <f t="shared" si="306"/>
        <v>33.006076371906914</v>
      </c>
      <c r="AK536" s="827" t="str">
        <f t="shared" si="307"/>
        <v>Inmadura</v>
      </c>
      <c r="AL536" s="784" t="str">
        <f t="shared" si="308"/>
        <v>Alta</v>
      </c>
      <c r="AM536" s="799">
        <f>IF(ISNUMBER('Base de datos Rutas'!W534),'Base de datos Rutas'!W534,"")</f>
        <v>3054.2455510167165</v>
      </c>
      <c r="AN536" s="787">
        <f>IFERROR(SUMIFS('Base de datos Rutas'!$W$6:$W$794,'Base de datos Rutas'!$C$6:$C$794,$C536)/'Base de datos Rutas'!I534,"")</f>
        <v>3054.2455510167188</v>
      </c>
      <c r="AO536" s="800">
        <f>IFERROR('Base de datos Rutas'!X534*AN536/AM536,"")</f>
        <v>0.49742199715828644</v>
      </c>
      <c r="AP536" s="800">
        <f t="shared" si="309"/>
        <v>0.5025780028417135</v>
      </c>
      <c r="AQ536" s="789">
        <f>IFERROR(INDEX('Hoja de apoyo v2'!$J$17:$J$20,MATCH($A536,'Hoja de apoyo v2'!$A$17:$A$20,0)),"")</f>
        <v>0.64320274048480885</v>
      </c>
      <c r="AR536" s="789">
        <f t="shared" si="310"/>
        <v>-0.14062473764309535</v>
      </c>
      <c r="AS536" s="784" t="str">
        <f t="shared" si="311"/>
        <v>No</v>
      </c>
      <c r="AT536" s="801">
        <f>IF(ISNUMBER('Base de datos Rutas'!CK534),'Base de datos Rutas'!CK534,"")</f>
        <v>354</v>
      </c>
      <c r="AU536" s="802">
        <f>IF(ISNUMBER('Base de datos Rutas'!CL534),'Base de datos Rutas'!CL534,"")</f>
        <v>404.88</v>
      </c>
      <c r="AV536" s="802">
        <f>IF(ISNUMBER('Base de datos Rutas'!CM534),'Base de datos Rutas'!CM534,"")</f>
        <v>50.879999999999995</v>
      </c>
      <c r="AW536" s="802">
        <f>IF(ISNUMBER('Base de datos Rutas'!CN534),'Base de datos Rutas'!CN534,"")</f>
        <v>8.1300000000000008</v>
      </c>
      <c r="AX536" s="802">
        <f>IF(ISNUMBER('Base de datos Rutas'!CO534),'Base de datos Rutas'!CO534,"")</f>
        <v>9.4499999999999993</v>
      </c>
      <c r="AY536" s="802">
        <f>IF(ISNUMBER('Base de datos Rutas'!CP534),'Base de datos Rutas'!CP534,"")</f>
        <v>1.3199999999999985</v>
      </c>
      <c r="AZ536" s="802">
        <f>IF(ISNUMBER('Base de datos Rutas'!CQ534),'Base de datos Rutas'!CQ534,"")</f>
        <v>846.56</v>
      </c>
      <c r="BA536" s="802">
        <f>IF(ISNUMBER('Base de datos Rutas'!CR534),'Base de datos Rutas'!CR534,"")</f>
        <v>420.61</v>
      </c>
      <c r="BB536" s="803">
        <f>IF(ISNUMBER('Base de datos Rutas'!CS534),'Base de datos Rutas'!CS534,"")</f>
        <v>425.94999999999993</v>
      </c>
      <c r="BC536" s="804">
        <f t="shared" si="321"/>
        <v>0</v>
      </c>
      <c r="BD536" s="805" t="str">
        <f t="shared" si="322"/>
        <v>No saturada</v>
      </c>
      <c r="BE536" s="806">
        <f t="shared" si="323"/>
        <v>0.49684605934605941</v>
      </c>
      <c r="BF536" s="890">
        <f>IF(ISNUMBER('Base de datos Rutas'!CX534),'Base de datos Rutas'!CX534/100,"")</f>
        <v>0.43874257771568281</v>
      </c>
      <c r="BG536" s="891">
        <f>IF(ISNUMBER('Base de datos Rutas'!CZ534),'Base de datos Rutas'!CZ534/100,"")</f>
        <v>0.45651414600069856</v>
      </c>
      <c r="BH536" s="892">
        <f>IF(ISNUMBER('Base de datos Rutas'!DA534),'Base de datos Rutas'!DA534,"")</f>
        <v>627.77788378382081</v>
      </c>
      <c r="BI536" s="893">
        <f>IF(ISNUMBER('Base de datos Rutas'!DC534),'Base de datos Rutas'!DC534,"")</f>
        <v>29.0297266874408</v>
      </c>
      <c r="BJ536" s="805" t="str">
        <f t="shared" si="324"/>
        <v>Ruta (completo)</v>
      </c>
      <c r="BK536" s="783">
        <f t="shared" si="312"/>
        <v>5</v>
      </c>
      <c r="BL536" s="797">
        <f t="shared" si="313"/>
        <v>5</v>
      </c>
      <c r="BM536" s="797">
        <f t="shared" si="314"/>
        <v>5</v>
      </c>
      <c r="BN536" s="797">
        <f t="shared" si="315"/>
        <v>5</v>
      </c>
      <c r="BO536" s="798" cm="1">
        <f t="array" ref="BO536">SUMPRODUCT(--ISNUMBER($BF536:$BI536),$BK$3:$BN$3)</f>
        <v>1</v>
      </c>
      <c r="BP536" s="831">
        <f t="shared" si="325"/>
        <v>100</v>
      </c>
      <c r="BQ536" s="834" t="str">
        <f t="shared" si="326"/>
        <v>Alto</v>
      </c>
      <c r="BR536" s="836">
        <f t="shared" si="316"/>
        <v>24.754557278930186</v>
      </c>
      <c r="BS536" s="836">
        <f t="shared" si="317"/>
        <v>100</v>
      </c>
      <c r="BT536" s="837" t="str">
        <f t="shared" si="318"/>
        <v>P3</v>
      </c>
      <c r="BU536" s="807" t="str">
        <f t="shared" si="327"/>
        <v>Con espacio</v>
      </c>
      <c r="BV536" s="807" t="str">
        <f t="shared" si="319"/>
        <v>Zona atractiva</v>
      </c>
      <c r="BW536" s="808" t="str">
        <f t="shared" si="320"/>
        <v>P3 - Desarrollar</v>
      </c>
    </row>
    <row r="537" spans="1:75">
      <c r="A537" s="780" t="str">
        <f>'Base de datos Rutas'!A535</f>
        <v>Occidente</v>
      </c>
      <c r="B537" s="781" t="str">
        <f>'Base de datos Rutas'!B535</f>
        <v>Favorita</v>
      </c>
      <c r="C537" s="781" t="str">
        <f>'Base de datos Rutas'!C535</f>
        <v>Suc. San Rafael</v>
      </c>
      <c r="D537" s="782">
        <f>IF(ISNUMBER('Base de datos Rutas'!D535),'Base de datos Rutas'!D535,"Sin código")</f>
        <v>803344</v>
      </c>
      <c r="E537" s="783" t="str">
        <f>'Base de datos Rutas'!F535</f>
        <v>Activa</v>
      </c>
      <c r="F537" s="784" t="str">
        <f>'Base de datos Rutas'!H535</f>
        <v>Sí</v>
      </c>
      <c r="G537" s="785">
        <f>IF(ISNUMBER('Base de datos Rutas'!BE535),'Base de datos Rutas'!BE535,"")</f>
        <v>97.792682926829301</v>
      </c>
      <c r="H537" s="786">
        <f>IF(ISNUMBER('Base de datos Rutas'!BH535),'Base de datos Rutas'!BH535,"")</f>
        <v>0.45127821424117698</v>
      </c>
      <c r="I537" s="788">
        <f>IFERROR(IF(OR(NOT(ISNUMBER('Base de datos Rutas'!O535)),N('Base de datos Rutas'!BK535)=0),"",'Base de datos Rutas'!O535/('Base de datos Rutas'!L535/'Base de datos Rutas'!BK535)),"")</f>
        <v>5013.9168591223988</v>
      </c>
      <c r="J537" s="788">
        <f>IFERROR(IF(OR(NOT(ISNUMBER('Base de datos Rutas'!N535)),N('Base de datos Rutas'!BK535)=0),"",'Base de datos Rutas'!N535/('Base de datos Rutas'!L535/'Base de datos Rutas'!BK535)),"")</f>
        <v>5724.9099307159322</v>
      </c>
      <c r="K537" s="788">
        <f>IFERROR(IF(OR(NOT(ISNUMBER('Base de datos Rutas'!J535)),N('Base de datos Rutas'!BK535)=0),"",'Base de datos Rutas'!J535/('Base de datos Rutas'!L535/'Base de datos Rutas'!BK535)),"")</f>
        <v>401.7813764434178</v>
      </c>
      <c r="L537" s="788">
        <f>IFERROR(IF(OR(NOT(ISNUMBER('Base de datos Rutas'!K535)),N('Base de datos Rutas'!BK535)=0),"",'Base de datos Rutas'!K535/('Base de datos Rutas'!L535/'Base de datos Rutas'!BK535)),"")</f>
        <v>47.432456833718227</v>
      </c>
      <c r="M537" s="787">
        <f>IF(ISNUMBER('Base de datos Rutas'!AX535),'Base de datos Rutas'!AX535,"")</f>
        <v>244.14113304630899</v>
      </c>
      <c r="N537" s="790">
        <f>IFERROR(INDEX('Hoja de apoyo v2'!B$17:B$20,MATCH($A537,'Hoja de apoyo v2'!$A$17:$A$20,0)),"")</f>
        <v>89.41621024641401</v>
      </c>
      <c r="O537" s="791">
        <f>IFERROR(INDEX('Hoja de apoyo v2'!C$17:C$20,MATCH($A537,'Hoja de apoyo v2'!$A$17:$A$20,0)),"")</f>
        <v>0.54706375874806301</v>
      </c>
      <c r="P537" s="793">
        <f>IFERROR(INDEX('Hoja de apoyo v2'!D$17:D$20,MATCH($A537,'Hoja de apoyo v2'!$A$17:$A$20,0)),"")</f>
        <v>11095.153935793827</v>
      </c>
      <c r="Q537" s="793">
        <f>IFERROR(INDEX('Hoja de apoyo v2'!E$17:E$20,MATCH($A537,'Hoja de apoyo v2'!$A$17:$A$20,0)),"")</f>
        <v>6982.3202019701848</v>
      </c>
      <c r="R537" s="793">
        <f>IFERROR(INDEX('Hoja de apoyo v2'!F$17:F$20,MATCH($A537,'Hoja de apoyo v2'!$A$17:$A$20,0)),"")</f>
        <v>448.09513474485743</v>
      </c>
      <c r="S537" s="793">
        <f>IFERROR(INDEX('Hoja de apoyo v2'!G$17:G$20,MATCH($A537,'Hoja de apoyo v2'!$A$17:$A$20,0)),"")</f>
        <v>83.406300904207839</v>
      </c>
      <c r="T537" s="792">
        <f>IFERROR(INDEX('Hoja de apoyo v2'!H$17:H$20,MATCH($A537,'Hoja de apoyo v2'!$A$17:$A$20,0)),"")</f>
        <v>378.97014028925349</v>
      </c>
      <c r="U537" s="794">
        <f t="shared" si="292"/>
        <v>1.093679576190171</v>
      </c>
      <c r="V537" s="795">
        <f t="shared" si="293"/>
        <v>0.82490972400349083</v>
      </c>
      <c r="W537" s="795">
        <f t="shared" si="294"/>
        <v>0.45190151377234289</v>
      </c>
      <c r="X537" s="843">
        <f t="shared" si="295"/>
        <v>0.81991512350014373</v>
      </c>
      <c r="Y537" s="843">
        <f t="shared" si="296"/>
        <v>0.89664302352264902</v>
      </c>
      <c r="Z537" s="843">
        <f t="shared" si="297"/>
        <v>0.56869152953077751</v>
      </c>
      <c r="AA537" s="843">
        <f t="shared" si="298"/>
        <v>0.64422261041454443</v>
      </c>
      <c r="AB537" s="796">
        <f t="shared" si="299"/>
        <v>4</v>
      </c>
      <c r="AC537" s="797">
        <f t="shared" si="300"/>
        <v>3</v>
      </c>
      <c r="AD537" s="797">
        <f t="shared" si="301"/>
        <v>1</v>
      </c>
      <c r="AE537" s="842">
        <f t="shared" si="302"/>
        <v>3</v>
      </c>
      <c r="AF537" s="842">
        <f t="shared" si="303"/>
        <v>3</v>
      </c>
      <c r="AG537" s="842">
        <f t="shared" si="304"/>
        <v>2</v>
      </c>
      <c r="AH537" s="842">
        <f t="shared" si="305"/>
        <v>2</v>
      </c>
      <c r="AI537" s="826" cm="1">
        <f t="array" ref="AI537">SUMPRODUCT(--ISNUMBER($U537:$AA537),$AB$3:$AH$3)</f>
        <v>1</v>
      </c>
      <c r="AJ537" s="829">
        <f t="shared" si="306"/>
        <v>37.671498631094437</v>
      </c>
      <c r="AK537" s="827" t="str">
        <f t="shared" si="307"/>
        <v>Inmadura</v>
      </c>
      <c r="AL537" s="784" t="str">
        <f t="shared" si="308"/>
        <v>Alta</v>
      </c>
      <c r="AM537" s="799">
        <f>IF(ISNUMBER('Base de datos Rutas'!W535),'Base de datos Rutas'!W535,"")</f>
        <v>3054.2455510167165</v>
      </c>
      <c r="AN537" s="787">
        <f>IFERROR(SUMIFS('Base de datos Rutas'!$W$6:$W$794,'Base de datos Rutas'!$C$6:$C$794,$C537)/'Base de datos Rutas'!I535,"")</f>
        <v>3054.2455510167188</v>
      </c>
      <c r="AO537" s="800">
        <f>IFERROR('Base de datos Rutas'!X535*AN537/AM537,"")</f>
        <v>0.49742199715828644</v>
      </c>
      <c r="AP537" s="800">
        <f t="shared" si="309"/>
        <v>0.5025780028417135</v>
      </c>
      <c r="AQ537" s="789">
        <f>IFERROR(INDEX('Hoja de apoyo v2'!$J$17:$J$20,MATCH($A537,'Hoja de apoyo v2'!$A$17:$A$20,0)),"")</f>
        <v>0.64320274048480885</v>
      </c>
      <c r="AR537" s="789">
        <f t="shared" si="310"/>
        <v>-0.14062473764309535</v>
      </c>
      <c r="AS537" s="784" t="str">
        <f t="shared" si="311"/>
        <v>No</v>
      </c>
      <c r="AT537" s="801">
        <f>IF(ISNUMBER('Base de datos Rutas'!CK535),'Base de datos Rutas'!CK535,"")</f>
        <v>310</v>
      </c>
      <c r="AU537" s="802">
        <f>IF(ISNUMBER('Base de datos Rutas'!CL535),'Base de datos Rutas'!CL535,"")</f>
        <v>398.3</v>
      </c>
      <c r="AV537" s="802">
        <f>IF(ISNUMBER('Base de datos Rutas'!CM535),'Base de datos Rutas'!CM535,"")</f>
        <v>88.300000000000011</v>
      </c>
      <c r="AW537" s="802">
        <f>IF(ISNUMBER('Base de datos Rutas'!CN535),'Base de datos Rutas'!CN535,"")</f>
        <v>7.15</v>
      </c>
      <c r="AX537" s="802">
        <f>IF(ISNUMBER('Base de datos Rutas'!CO535),'Base de datos Rutas'!CO535,"")</f>
        <v>9.4499999999999993</v>
      </c>
      <c r="AY537" s="802">
        <f>IF(ISNUMBER('Base de datos Rutas'!CP535),'Base de datos Rutas'!CP535,"")</f>
        <v>2.2999999999999989</v>
      </c>
      <c r="AZ537" s="802">
        <f>IF(ISNUMBER('Base de datos Rutas'!CQ535),'Base de datos Rutas'!CQ535,"")</f>
        <v>846.56</v>
      </c>
      <c r="BA537" s="802">
        <f>IF(ISNUMBER('Base de datos Rutas'!CR535),'Base de datos Rutas'!CR535,"")</f>
        <v>449.21</v>
      </c>
      <c r="BB537" s="803">
        <f>IF(ISNUMBER('Base de datos Rutas'!CS535),'Base de datos Rutas'!CS535,"")</f>
        <v>397.34999999999997</v>
      </c>
      <c r="BC537" s="804">
        <f t="shared" si="321"/>
        <v>0</v>
      </c>
      <c r="BD537" s="805" t="str">
        <f t="shared" si="322"/>
        <v>No saturada</v>
      </c>
      <c r="BE537" s="806">
        <f t="shared" si="323"/>
        <v>0.53062984312984318</v>
      </c>
      <c r="BF537" s="890">
        <f>IF(ISNUMBER('Base de datos Rutas'!CX535),'Base de datos Rutas'!CX535/100,"")</f>
        <v>0.38767605633802821</v>
      </c>
      <c r="BG537" s="891">
        <f>IF(ISNUMBER('Base de datos Rutas'!CZ535),'Base de datos Rutas'!CZ535/100,"")</f>
        <v>0.43209255533199198</v>
      </c>
      <c r="BH537" s="892">
        <f>IF(ISNUMBER('Base de datos Rutas'!DA535),'Base de datos Rutas'!DA535,"")</f>
        <v>788.35792033906466</v>
      </c>
      <c r="BI537" s="893">
        <f>IF(ISNUMBER('Base de datos Rutas'!DC535),'Base de datos Rutas'!DC535,"")</f>
        <v>32.614781100996964</v>
      </c>
      <c r="BJ537" s="805" t="str">
        <f t="shared" si="324"/>
        <v>Ruta (completo)</v>
      </c>
      <c r="BK537" s="783">
        <f t="shared" si="312"/>
        <v>5</v>
      </c>
      <c r="BL537" s="797">
        <f t="shared" si="313"/>
        <v>5</v>
      </c>
      <c r="BM537" s="797">
        <f t="shared" si="314"/>
        <v>5</v>
      </c>
      <c r="BN537" s="797">
        <f t="shared" si="315"/>
        <v>5</v>
      </c>
      <c r="BO537" s="798" cm="1">
        <f t="array" ref="BO537">SUMPRODUCT(--ISNUMBER($BF537:$BI537),$BK$3:$BN$3)</f>
        <v>1</v>
      </c>
      <c r="BP537" s="831">
        <f t="shared" si="325"/>
        <v>100</v>
      </c>
      <c r="BQ537" s="834" t="str">
        <f t="shared" si="326"/>
        <v>Alto</v>
      </c>
      <c r="BR537" s="836">
        <f t="shared" si="316"/>
        <v>28.253623973320828</v>
      </c>
      <c r="BS537" s="836">
        <f t="shared" si="317"/>
        <v>100</v>
      </c>
      <c r="BT537" s="837" t="str">
        <f t="shared" si="318"/>
        <v>P3</v>
      </c>
      <c r="BU537" s="807" t="str">
        <f t="shared" si="327"/>
        <v>Con espacio</v>
      </c>
      <c r="BV537" s="807" t="str">
        <f t="shared" si="319"/>
        <v>Zona atractiva</v>
      </c>
      <c r="BW537" s="808" t="str">
        <f t="shared" si="320"/>
        <v>P3 - Desarrollar</v>
      </c>
    </row>
    <row r="538" spans="1:75">
      <c r="A538" s="780" t="str">
        <f>'Base de datos Rutas'!A536</f>
        <v>Occidente</v>
      </c>
      <c r="B538" s="781" t="str">
        <f>'Base de datos Rutas'!B536</f>
        <v>Favorita</v>
      </c>
      <c r="C538" s="781" t="str">
        <f>'Base de datos Rutas'!C536</f>
        <v>Suc. San Rafael</v>
      </c>
      <c r="D538" s="782">
        <f>IF(ISNUMBER('Base de datos Rutas'!D536),'Base de datos Rutas'!D536,"Sin código")</f>
        <v>803345</v>
      </c>
      <c r="E538" s="783" t="str">
        <f>'Base de datos Rutas'!F536</f>
        <v>Activa</v>
      </c>
      <c r="F538" s="784" t="str">
        <f>'Base de datos Rutas'!H536</f>
        <v>Sí</v>
      </c>
      <c r="G538" s="785">
        <f>IF(ISNUMBER('Base de datos Rutas'!BE536),'Base de datos Rutas'!BE536,"")</f>
        <v>83.0260416666667</v>
      </c>
      <c r="H538" s="786">
        <f>IF(ISNUMBER('Base de datos Rutas'!BH536),'Base de datos Rutas'!BH536,"")</f>
        <v>0.43331660498086699</v>
      </c>
      <c r="I538" s="788">
        <f>IFERROR(IF(OR(NOT(ISNUMBER('Base de datos Rutas'!O536)),N('Base de datos Rutas'!BK536)=0),"",'Base de datos Rutas'!O536/('Base de datos Rutas'!L536/'Base de datos Rutas'!BK536)),"")</f>
        <v>2550.4669811320737</v>
      </c>
      <c r="J538" s="788">
        <f>IFERROR(IF(OR(NOT(ISNUMBER('Base de datos Rutas'!N536)),N('Base de datos Rutas'!BK536)=0),"",'Base de datos Rutas'!N536/('Base de datos Rutas'!L536/'Base de datos Rutas'!BK536)),"")</f>
        <v>7261.1485849056553</v>
      </c>
      <c r="K538" s="788">
        <f>IFERROR(IF(OR(NOT(ISNUMBER('Base de datos Rutas'!J536)),N('Base de datos Rutas'!BK536)=0),"",'Base de datos Rutas'!J536/('Base de datos Rutas'!L536/'Base de datos Rutas'!BK536)),"")</f>
        <v>498.5774433962261</v>
      </c>
      <c r="L538" s="788">
        <f>IFERROR(IF(OR(NOT(ISNUMBER('Base de datos Rutas'!K536)),N('Base de datos Rutas'!BK536)=0),"",'Base de datos Rutas'!K536/('Base de datos Rutas'!L536/'Base de datos Rutas'!BK536)),"")</f>
        <v>19.755630778301875</v>
      </c>
      <c r="M538" s="787">
        <f>IF(ISNUMBER('Base de datos Rutas'!AX536),'Base de datos Rutas'!AX536,"")</f>
        <v>281.35565061544702</v>
      </c>
      <c r="N538" s="790">
        <f>IFERROR(INDEX('Hoja de apoyo v2'!B$17:B$20,MATCH($A538,'Hoja de apoyo v2'!$A$17:$A$20,0)),"")</f>
        <v>89.41621024641401</v>
      </c>
      <c r="O538" s="791">
        <f>IFERROR(INDEX('Hoja de apoyo v2'!C$17:C$20,MATCH($A538,'Hoja de apoyo v2'!$A$17:$A$20,0)),"")</f>
        <v>0.54706375874806301</v>
      </c>
      <c r="P538" s="793">
        <f>IFERROR(INDEX('Hoja de apoyo v2'!D$17:D$20,MATCH($A538,'Hoja de apoyo v2'!$A$17:$A$20,0)),"")</f>
        <v>11095.153935793827</v>
      </c>
      <c r="Q538" s="793">
        <f>IFERROR(INDEX('Hoja de apoyo v2'!E$17:E$20,MATCH($A538,'Hoja de apoyo v2'!$A$17:$A$20,0)),"")</f>
        <v>6982.3202019701848</v>
      </c>
      <c r="R538" s="793">
        <f>IFERROR(INDEX('Hoja de apoyo v2'!F$17:F$20,MATCH($A538,'Hoja de apoyo v2'!$A$17:$A$20,0)),"")</f>
        <v>448.09513474485743</v>
      </c>
      <c r="S538" s="793">
        <f>IFERROR(INDEX('Hoja de apoyo v2'!G$17:G$20,MATCH($A538,'Hoja de apoyo v2'!$A$17:$A$20,0)),"")</f>
        <v>83.406300904207839</v>
      </c>
      <c r="T538" s="792">
        <f>IFERROR(INDEX('Hoja de apoyo v2'!H$17:H$20,MATCH($A538,'Hoja de apoyo v2'!$A$17:$A$20,0)),"")</f>
        <v>378.97014028925349</v>
      </c>
      <c r="U538" s="794">
        <f t="shared" si="292"/>
        <v>0.92853456255708866</v>
      </c>
      <c r="V538" s="795">
        <f t="shared" si="293"/>
        <v>0.79207697101430641</v>
      </c>
      <c r="W538" s="795">
        <f t="shared" si="294"/>
        <v>0.22987215823153831</v>
      </c>
      <c r="X538" s="843">
        <f t="shared" si="295"/>
        <v>1.0399334855563906</v>
      </c>
      <c r="Y538" s="843">
        <f t="shared" si="296"/>
        <v>1.11265980087044</v>
      </c>
      <c r="Z538" s="843">
        <f t="shared" si="297"/>
        <v>0.2368601720029668</v>
      </c>
      <c r="AA538" s="843">
        <f t="shared" si="298"/>
        <v>0.74242168631201111</v>
      </c>
      <c r="AB538" s="796">
        <f t="shared" si="299"/>
        <v>3</v>
      </c>
      <c r="AC538" s="797">
        <f t="shared" si="300"/>
        <v>3</v>
      </c>
      <c r="AD538" s="797">
        <f t="shared" si="301"/>
        <v>1</v>
      </c>
      <c r="AE538" s="842">
        <f t="shared" si="302"/>
        <v>4</v>
      </c>
      <c r="AF538" s="842">
        <f t="shared" si="303"/>
        <v>4</v>
      </c>
      <c r="AG538" s="842">
        <f t="shared" si="304"/>
        <v>1</v>
      </c>
      <c r="AH538" s="842">
        <f t="shared" si="305"/>
        <v>2</v>
      </c>
      <c r="AI538" s="826" cm="1">
        <f t="array" ref="AI538">SUMPRODUCT(--ISNUMBER($U538:$AA538),$AB$3:$AH$3)</f>
        <v>1</v>
      </c>
      <c r="AJ538" s="829">
        <f t="shared" si="306"/>
        <v>35.084287843156481</v>
      </c>
      <c r="AK538" s="827" t="str">
        <f t="shared" si="307"/>
        <v>Inmadura</v>
      </c>
      <c r="AL538" s="784" t="str">
        <f t="shared" si="308"/>
        <v>Alta</v>
      </c>
      <c r="AM538" s="799">
        <f>IF(ISNUMBER('Base de datos Rutas'!W536),'Base de datos Rutas'!W536,"")</f>
        <v>3054.2455510167165</v>
      </c>
      <c r="AN538" s="787">
        <f>IFERROR(SUMIFS('Base de datos Rutas'!$W$6:$W$794,'Base de datos Rutas'!$C$6:$C$794,$C538)/'Base de datos Rutas'!I536,"")</f>
        <v>3054.2455510167188</v>
      </c>
      <c r="AO538" s="800">
        <f>IFERROR('Base de datos Rutas'!X536*AN538/AM538,"")</f>
        <v>0.49742199715828644</v>
      </c>
      <c r="AP538" s="800">
        <f t="shared" si="309"/>
        <v>0.5025780028417135</v>
      </c>
      <c r="AQ538" s="789">
        <f>IFERROR(INDEX('Hoja de apoyo v2'!$J$17:$J$20,MATCH($A538,'Hoja de apoyo v2'!$A$17:$A$20,0)),"")</f>
        <v>0.64320274048480885</v>
      </c>
      <c r="AR538" s="789">
        <f t="shared" si="310"/>
        <v>-0.14062473764309535</v>
      </c>
      <c r="AS538" s="784" t="str">
        <f t="shared" si="311"/>
        <v>No</v>
      </c>
      <c r="AT538" s="801">
        <f>IF(ISNUMBER('Base de datos Rutas'!CK536),'Base de datos Rutas'!CK536,"")</f>
        <v>309</v>
      </c>
      <c r="AU538" s="802">
        <f>IF(ISNUMBER('Base de datos Rutas'!CL536),'Base de datos Rutas'!CL536,"")</f>
        <v>404.63</v>
      </c>
      <c r="AV538" s="802">
        <f>IF(ISNUMBER('Base de datos Rutas'!CM536),'Base de datos Rutas'!CM536,"")</f>
        <v>95.63</v>
      </c>
      <c r="AW538" s="802">
        <f>IF(ISNUMBER('Base de datos Rutas'!CN536),'Base de datos Rutas'!CN536,"")</f>
        <v>8.48</v>
      </c>
      <c r="AX538" s="802">
        <f>IF(ISNUMBER('Base de datos Rutas'!CO536),'Base de datos Rutas'!CO536,"")</f>
        <v>9.4499999999999993</v>
      </c>
      <c r="AY538" s="802">
        <f>IF(ISNUMBER('Base de datos Rutas'!CP536),'Base de datos Rutas'!CP536,"")</f>
        <v>0.96999999999999886</v>
      </c>
      <c r="AZ538" s="802">
        <f>IF(ISNUMBER('Base de datos Rutas'!CQ536),'Base de datos Rutas'!CQ536,"")</f>
        <v>846.56</v>
      </c>
      <c r="BA538" s="802">
        <f>IF(ISNUMBER('Base de datos Rutas'!CR536),'Base de datos Rutas'!CR536,"")</f>
        <v>518.33000000000004</v>
      </c>
      <c r="BB538" s="803">
        <f>IF(ISNUMBER('Base de datos Rutas'!CS536),'Base de datos Rutas'!CS536,"")</f>
        <v>328.2299999999999</v>
      </c>
      <c r="BC538" s="804">
        <f t="shared" si="321"/>
        <v>0</v>
      </c>
      <c r="BD538" s="805" t="str">
        <f t="shared" si="322"/>
        <v>No saturada</v>
      </c>
      <c r="BE538" s="806">
        <f t="shared" si="323"/>
        <v>0.61227792477792486</v>
      </c>
      <c r="BF538" s="890">
        <f>IF(ISNUMBER('Base de datos Rutas'!CX536),'Base de datos Rutas'!CX536/100,"")</f>
        <v>0.18326682789197904</v>
      </c>
      <c r="BG538" s="891">
        <f>IF(ISNUMBER('Base de datos Rutas'!CZ536),'Base de datos Rutas'!CZ536/100,"")</f>
        <v>0.20253929866989118</v>
      </c>
      <c r="BH538" s="892">
        <f>IF(ISNUMBER('Base de datos Rutas'!DA536),'Base de datos Rutas'!DA536,"")</f>
        <v>207.51079062723053</v>
      </c>
      <c r="BI538" s="893">
        <f>IF(ISNUMBER('Base de datos Rutas'!DC536),'Base de datos Rutas'!DC536,"")</f>
        <v>10.447899510244916</v>
      </c>
      <c r="BJ538" s="805" t="str">
        <f t="shared" si="324"/>
        <v>Ruta (completo)</v>
      </c>
      <c r="BK538" s="783">
        <f t="shared" si="312"/>
        <v>4</v>
      </c>
      <c r="BL538" s="797">
        <f t="shared" si="313"/>
        <v>4</v>
      </c>
      <c r="BM538" s="797">
        <f t="shared" si="314"/>
        <v>4</v>
      </c>
      <c r="BN538" s="797">
        <f t="shared" si="315"/>
        <v>4</v>
      </c>
      <c r="BO538" s="798" cm="1">
        <f t="array" ref="BO538">SUMPRODUCT(--ISNUMBER($BF538:$BI538),$BK$3:$BN$3)</f>
        <v>1</v>
      </c>
      <c r="BP538" s="831">
        <f t="shared" si="325"/>
        <v>75</v>
      </c>
      <c r="BQ538" s="834" t="str">
        <f t="shared" si="326"/>
        <v>Alto</v>
      </c>
      <c r="BR538" s="836">
        <f t="shared" si="316"/>
        <v>26.313215882367359</v>
      </c>
      <c r="BS538" s="836">
        <f t="shared" si="317"/>
        <v>75</v>
      </c>
      <c r="BT538" s="837" t="str">
        <f t="shared" si="318"/>
        <v>P3</v>
      </c>
      <c r="BU538" s="807" t="str">
        <f t="shared" si="327"/>
        <v>Con espacio</v>
      </c>
      <c r="BV538" s="807" t="str">
        <f t="shared" si="319"/>
        <v>Zona atractiva</v>
      </c>
      <c r="BW538" s="808" t="str">
        <f t="shared" si="320"/>
        <v>P3 - Desarrollar</v>
      </c>
    </row>
    <row r="539" spans="1:75">
      <c r="A539" s="780" t="str">
        <f>'Base de datos Rutas'!A537</f>
        <v>Occidente</v>
      </c>
      <c r="B539" s="781" t="str">
        <f>'Base de datos Rutas'!B537</f>
        <v>Favorita</v>
      </c>
      <c r="C539" s="781" t="str">
        <f>'Base de datos Rutas'!C537</f>
        <v>Suc. San Rafael</v>
      </c>
      <c r="D539" s="782">
        <f>IF(ISNUMBER('Base de datos Rutas'!D537),'Base de datos Rutas'!D537,"Sin código")</f>
        <v>803346</v>
      </c>
      <c r="E539" s="783" t="str">
        <f>'Base de datos Rutas'!F537</f>
        <v>Activa</v>
      </c>
      <c r="F539" s="784" t="str">
        <f>'Base de datos Rutas'!H537</f>
        <v>Sí</v>
      </c>
      <c r="G539" s="785">
        <f>IF(ISNUMBER('Base de datos Rutas'!BE537),'Base de datos Rutas'!BE537,"")</f>
        <v>101.24358974358999</v>
      </c>
      <c r="H539" s="786">
        <f>IF(ISNUMBER('Base de datos Rutas'!BH537),'Base de datos Rutas'!BH537,"")</f>
        <v>0.32792199569456798</v>
      </c>
      <c r="I539" s="788">
        <f>IFERROR(IF(OR(NOT(ISNUMBER('Base de datos Rutas'!O537)),N('Base de datos Rutas'!BK537)=0),"",'Base de datos Rutas'!O537/('Base de datos Rutas'!L537/'Base de datos Rutas'!BK537)),"")</f>
        <v>3139.8069767441875</v>
      </c>
      <c r="J539" s="788">
        <f>IFERROR(IF(OR(NOT(ISNUMBER('Base de datos Rutas'!N537)),N('Base de datos Rutas'!BK537)=0),"",'Base de datos Rutas'!N537/('Base de datos Rutas'!L537/'Base de datos Rutas'!BK537)),"")</f>
        <v>5507.7418604651193</v>
      </c>
      <c r="K539" s="788">
        <f>IFERROR(IF(OR(NOT(ISNUMBER('Base de datos Rutas'!J537)),N('Base de datos Rutas'!BK537)=0),"",'Base de datos Rutas'!J537/('Base de datos Rutas'!L537/'Base de datos Rutas'!BK537)),"")</f>
        <v>376.87222511627925</v>
      </c>
      <c r="L539" s="788">
        <f>IFERROR(IF(OR(NOT(ISNUMBER('Base de datos Rutas'!K537)),N('Base de datos Rutas'!BK537)=0),"",'Base de datos Rutas'!K537/('Base de datos Rutas'!L537/'Base de datos Rutas'!BK537)),"")</f>
        <v>23.190419418604662</v>
      </c>
      <c r="M539" s="787">
        <f>IF(ISNUMBER('Base de datos Rutas'!AX537),'Base de datos Rutas'!AX537,"")</f>
        <v>273.13401131188499</v>
      </c>
      <c r="N539" s="790">
        <f>IFERROR(INDEX('Hoja de apoyo v2'!B$17:B$20,MATCH($A539,'Hoja de apoyo v2'!$A$17:$A$20,0)),"")</f>
        <v>89.41621024641401</v>
      </c>
      <c r="O539" s="791">
        <f>IFERROR(INDEX('Hoja de apoyo v2'!C$17:C$20,MATCH($A539,'Hoja de apoyo v2'!$A$17:$A$20,0)),"")</f>
        <v>0.54706375874806301</v>
      </c>
      <c r="P539" s="793">
        <f>IFERROR(INDEX('Hoja de apoyo v2'!D$17:D$20,MATCH($A539,'Hoja de apoyo v2'!$A$17:$A$20,0)),"")</f>
        <v>11095.153935793827</v>
      </c>
      <c r="Q539" s="793">
        <f>IFERROR(INDEX('Hoja de apoyo v2'!E$17:E$20,MATCH($A539,'Hoja de apoyo v2'!$A$17:$A$20,0)),"")</f>
        <v>6982.3202019701848</v>
      </c>
      <c r="R539" s="793">
        <f>IFERROR(INDEX('Hoja de apoyo v2'!F$17:F$20,MATCH($A539,'Hoja de apoyo v2'!$A$17:$A$20,0)),"")</f>
        <v>448.09513474485743</v>
      </c>
      <c r="S539" s="793">
        <f>IFERROR(INDEX('Hoja de apoyo v2'!G$17:G$20,MATCH($A539,'Hoja de apoyo v2'!$A$17:$A$20,0)),"")</f>
        <v>83.406300904207839</v>
      </c>
      <c r="T539" s="792">
        <f>IFERROR(INDEX('Hoja de apoyo v2'!H$17:H$20,MATCH($A539,'Hoja de apoyo v2'!$A$17:$A$20,0)),"")</f>
        <v>378.97014028925349</v>
      </c>
      <c r="U539" s="794">
        <f t="shared" si="292"/>
        <v>1.1322733256596538</v>
      </c>
      <c r="V539" s="795">
        <f t="shared" si="293"/>
        <v>0.59942189635264165</v>
      </c>
      <c r="W539" s="795">
        <f t="shared" si="294"/>
        <v>0.28298904142419573</v>
      </c>
      <c r="X539" s="843">
        <f t="shared" si="295"/>
        <v>0.78881255816813056</v>
      </c>
      <c r="Y539" s="843">
        <f t="shared" si="296"/>
        <v>0.84105404387143801</v>
      </c>
      <c r="Z539" s="843">
        <f t="shared" si="297"/>
        <v>0.27804157680171987</v>
      </c>
      <c r="AA539" s="843">
        <f t="shared" si="298"/>
        <v>0.72072699739196389</v>
      </c>
      <c r="AB539" s="796">
        <f t="shared" si="299"/>
        <v>4</v>
      </c>
      <c r="AC539" s="797">
        <f t="shared" si="300"/>
        <v>2</v>
      </c>
      <c r="AD539" s="797">
        <f t="shared" si="301"/>
        <v>1</v>
      </c>
      <c r="AE539" s="842">
        <f t="shared" si="302"/>
        <v>3</v>
      </c>
      <c r="AF539" s="842">
        <f t="shared" si="303"/>
        <v>3</v>
      </c>
      <c r="AG539" s="842">
        <f t="shared" si="304"/>
        <v>1</v>
      </c>
      <c r="AH539" s="842">
        <f t="shared" si="305"/>
        <v>2</v>
      </c>
      <c r="AI539" s="826" cm="1">
        <f t="array" ref="AI539">SUMPRODUCT(--ISNUMBER($U539:$AA539),$AB$3:$AH$3)</f>
        <v>1</v>
      </c>
      <c r="AJ539" s="829">
        <f t="shared" si="306"/>
        <v>30.899526277144261</v>
      </c>
      <c r="AK539" s="827" t="str">
        <f t="shared" si="307"/>
        <v>Inmadura</v>
      </c>
      <c r="AL539" s="784" t="str">
        <f t="shared" si="308"/>
        <v>Alta</v>
      </c>
      <c r="AM539" s="799">
        <f>IF(ISNUMBER('Base de datos Rutas'!W537),'Base de datos Rutas'!W537,"")</f>
        <v>3054.2455510167165</v>
      </c>
      <c r="AN539" s="787">
        <f>IFERROR(SUMIFS('Base de datos Rutas'!$W$6:$W$794,'Base de datos Rutas'!$C$6:$C$794,$C539)/'Base de datos Rutas'!I537,"")</f>
        <v>3054.2455510167188</v>
      </c>
      <c r="AO539" s="800">
        <f>IFERROR('Base de datos Rutas'!X537*AN539/AM539,"")</f>
        <v>0.49742199715828644</v>
      </c>
      <c r="AP539" s="800">
        <f t="shared" si="309"/>
        <v>0.5025780028417135</v>
      </c>
      <c r="AQ539" s="789">
        <f>IFERROR(INDEX('Hoja de apoyo v2'!$J$17:$J$20,MATCH($A539,'Hoja de apoyo v2'!$A$17:$A$20,0)),"")</f>
        <v>0.64320274048480885</v>
      </c>
      <c r="AR539" s="789">
        <f t="shared" si="310"/>
        <v>-0.14062473764309535</v>
      </c>
      <c r="AS539" s="784" t="str">
        <f t="shared" si="311"/>
        <v>No</v>
      </c>
      <c r="AT539" s="801">
        <f>IF(ISNUMBER('Base de datos Rutas'!CK537),'Base de datos Rutas'!CK537,"")</f>
        <v>273</v>
      </c>
      <c r="AU539" s="802">
        <f>IF(ISNUMBER('Base de datos Rutas'!CL537),'Base de datos Rutas'!CL537,"")</f>
        <v>321.3</v>
      </c>
      <c r="AV539" s="802">
        <f>IF(ISNUMBER('Base de datos Rutas'!CM537),'Base de datos Rutas'!CM537,"")</f>
        <v>48.300000000000011</v>
      </c>
      <c r="AW539" s="802">
        <f>IF(ISNUMBER('Base de datos Rutas'!CN537),'Base de datos Rutas'!CN537,"")</f>
        <v>7.56</v>
      </c>
      <c r="AX539" s="802">
        <f>IF(ISNUMBER('Base de datos Rutas'!CO537),'Base de datos Rutas'!CO537,"")</f>
        <v>9.4499999999999993</v>
      </c>
      <c r="AY539" s="802">
        <f>IF(ISNUMBER('Base de datos Rutas'!CP537),'Base de datos Rutas'!CP537,"")</f>
        <v>1.8899999999999997</v>
      </c>
      <c r="AZ539" s="802">
        <f>IF(ISNUMBER('Base de datos Rutas'!CQ537),'Base de datos Rutas'!CQ537,"")</f>
        <v>564.37</v>
      </c>
      <c r="BA539" s="802">
        <f>IF(ISNUMBER('Base de datos Rutas'!CR537),'Base de datos Rutas'!CR537,"")</f>
        <v>400.06</v>
      </c>
      <c r="BB539" s="803">
        <f>IF(ISNUMBER('Base de datos Rutas'!CS537),'Base de datos Rutas'!CS537,"")</f>
        <v>164.31</v>
      </c>
      <c r="BC539" s="804">
        <f t="shared" si="321"/>
        <v>0</v>
      </c>
      <c r="BD539" s="805" t="str">
        <f t="shared" si="322"/>
        <v>No saturada</v>
      </c>
      <c r="BE539" s="806">
        <f t="shared" si="323"/>
        <v>0.70886120807271824</v>
      </c>
      <c r="BF539" s="890">
        <f>IF(ISNUMBER('Base de datos Rutas'!CX537),'Base de datos Rutas'!CX537/100,"")</f>
        <v>0.10466973886328726</v>
      </c>
      <c r="BG539" s="891">
        <f>IF(ISNUMBER('Base de datos Rutas'!CZ537),'Base de datos Rutas'!CZ537/100,"")</f>
        <v>0.11950844854070661</v>
      </c>
      <c r="BH539" s="892">
        <f>IF(ISNUMBER('Base de datos Rutas'!DA537),'Base de datos Rutas'!DA537,"")</f>
        <v>216.77301486392395</v>
      </c>
      <c r="BI539" s="893">
        <f>IF(ISNUMBER('Base de datos Rutas'!DC537),'Base de datos Rutas'!DC537,"")</f>
        <v>9.8523718705536876</v>
      </c>
      <c r="BJ539" s="805" t="str">
        <f t="shared" si="324"/>
        <v>Ruta (completo)</v>
      </c>
      <c r="BK539" s="783">
        <f t="shared" si="312"/>
        <v>3</v>
      </c>
      <c r="BL539" s="797">
        <f t="shared" si="313"/>
        <v>3</v>
      </c>
      <c r="BM539" s="797">
        <f t="shared" si="314"/>
        <v>4</v>
      </c>
      <c r="BN539" s="797">
        <f t="shared" si="315"/>
        <v>4</v>
      </c>
      <c r="BO539" s="798" cm="1">
        <f t="array" ref="BO539">SUMPRODUCT(--ISNUMBER($BF539:$BI539),$BK$3:$BN$3)</f>
        <v>1</v>
      </c>
      <c r="BP539" s="831">
        <f t="shared" si="325"/>
        <v>62.5</v>
      </c>
      <c r="BQ539" s="834" t="str">
        <f t="shared" si="326"/>
        <v>Alto</v>
      </c>
      <c r="BR539" s="836">
        <f t="shared" si="316"/>
        <v>23.174644707858196</v>
      </c>
      <c r="BS539" s="836">
        <f t="shared" si="317"/>
        <v>62.5</v>
      </c>
      <c r="BT539" s="837" t="str">
        <f t="shared" si="318"/>
        <v>P3</v>
      </c>
      <c r="BU539" s="807" t="str">
        <f t="shared" si="327"/>
        <v>Con espacio</v>
      </c>
      <c r="BV539" s="807" t="str">
        <f t="shared" si="319"/>
        <v>Zona atractiva</v>
      </c>
      <c r="BW539" s="808" t="str">
        <f t="shared" si="320"/>
        <v>P3 - Desarrollar</v>
      </c>
    </row>
    <row r="540" spans="1:75">
      <c r="A540" s="780" t="str">
        <f>'Base de datos Rutas'!A538</f>
        <v>Occidente</v>
      </c>
      <c r="B540" s="781" t="str">
        <f>'Base de datos Rutas'!B538</f>
        <v>Favorita</v>
      </c>
      <c r="C540" s="781" t="str">
        <f>'Base de datos Rutas'!C538</f>
        <v>Suc. San Rafael</v>
      </c>
      <c r="D540" s="782">
        <f>IF(ISNUMBER('Base de datos Rutas'!D538),'Base de datos Rutas'!D538,"Sin código")</f>
        <v>803347</v>
      </c>
      <c r="E540" s="783" t="str">
        <f>'Base de datos Rutas'!F538</f>
        <v>Activa</v>
      </c>
      <c r="F540" s="784" t="str">
        <f>'Base de datos Rutas'!H538</f>
        <v>Sí</v>
      </c>
      <c r="G540" s="785">
        <f>IF(ISNUMBER('Base de datos Rutas'!BE538),'Base de datos Rutas'!BE538,"")</f>
        <v>67.468193384223895</v>
      </c>
      <c r="H540" s="786">
        <f>IF(ISNUMBER('Base de datos Rutas'!BH538),'Base de datos Rutas'!BH538,"")</f>
        <v>0.32607957759758599</v>
      </c>
      <c r="I540" s="788">
        <f>IFERROR(IF(OR(NOT(ISNUMBER('Base de datos Rutas'!O538)),N('Base de datos Rutas'!BK538)=0),"",'Base de datos Rutas'!O538/('Base de datos Rutas'!L538/'Base de datos Rutas'!BK538)),"")</f>
        <v>3134.6027713625886</v>
      </c>
      <c r="J540" s="788">
        <f>IFERROR(IF(OR(NOT(ISNUMBER('Base de datos Rutas'!N538)),N('Base de datos Rutas'!BK538)=0),"",'Base de datos Rutas'!N538/('Base de datos Rutas'!L538/'Base de datos Rutas'!BK538)),"")</f>
        <v>4291.7020785219429</v>
      </c>
      <c r="K540" s="788">
        <f>IFERROR(IF(OR(NOT(ISNUMBER('Base de datos Rutas'!J538)),N('Base de datos Rutas'!BK538)=0),"",'Base de datos Rutas'!J538/('Base de datos Rutas'!L538/'Base de datos Rutas'!BK538)),"")</f>
        <v>296.01989284064683</v>
      </c>
      <c r="L540" s="788">
        <f>IFERROR(IF(OR(NOT(ISNUMBER('Base de datos Rutas'!K538)),N('Base de datos Rutas'!BK538)=0),"",'Base de datos Rutas'!K538/('Base de datos Rutas'!L538/'Base de datos Rutas'!BK538)),"")</f>
        <v>17.549041916859135</v>
      </c>
      <c r="M540" s="787">
        <f>IF(ISNUMBER('Base de datos Rutas'!AX538),'Base de datos Rutas'!AX538,"")</f>
        <v>353.478158733648</v>
      </c>
      <c r="N540" s="790">
        <f>IFERROR(INDEX('Hoja de apoyo v2'!B$17:B$20,MATCH($A540,'Hoja de apoyo v2'!$A$17:$A$20,0)),"")</f>
        <v>89.41621024641401</v>
      </c>
      <c r="O540" s="791">
        <f>IFERROR(INDEX('Hoja de apoyo v2'!C$17:C$20,MATCH($A540,'Hoja de apoyo v2'!$A$17:$A$20,0)),"")</f>
        <v>0.54706375874806301</v>
      </c>
      <c r="P540" s="793">
        <f>IFERROR(INDEX('Hoja de apoyo v2'!D$17:D$20,MATCH($A540,'Hoja de apoyo v2'!$A$17:$A$20,0)),"")</f>
        <v>11095.153935793827</v>
      </c>
      <c r="Q540" s="793">
        <f>IFERROR(INDEX('Hoja de apoyo v2'!E$17:E$20,MATCH($A540,'Hoja de apoyo v2'!$A$17:$A$20,0)),"")</f>
        <v>6982.3202019701848</v>
      </c>
      <c r="R540" s="793">
        <f>IFERROR(INDEX('Hoja de apoyo v2'!F$17:F$20,MATCH($A540,'Hoja de apoyo v2'!$A$17:$A$20,0)),"")</f>
        <v>448.09513474485743</v>
      </c>
      <c r="S540" s="793">
        <f>IFERROR(INDEX('Hoja de apoyo v2'!G$17:G$20,MATCH($A540,'Hoja de apoyo v2'!$A$17:$A$20,0)),"")</f>
        <v>83.406300904207839</v>
      </c>
      <c r="T540" s="792">
        <f>IFERROR(INDEX('Hoja de apoyo v2'!H$17:H$20,MATCH($A540,'Hoja de apoyo v2'!$A$17:$A$20,0)),"")</f>
        <v>378.97014028925349</v>
      </c>
      <c r="U540" s="794">
        <f t="shared" si="292"/>
        <v>0.7545409629673907</v>
      </c>
      <c r="V540" s="795">
        <f t="shared" si="293"/>
        <v>0.59605406569758546</v>
      </c>
      <c r="W540" s="795">
        <f t="shared" si="294"/>
        <v>0.28251998931264188</v>
      </c>
      <c r="X540" s="843">
        <f t="shared" si="295"/>
        <v>0.61465271634362506</v>
      </c>
      <c r="Y540" s="843">
        <f t="shared" si="296"/>
        <v>0.6606184041904376</v>
      </c>
      <c r="Z540" s="843">
        <f t="shared" si="297"/>
        <v>0.21040427073985951</v>
      </c>
      <c r="AA540" s="843">
        <f t="shared" si="298"/>
        <v>0.9327335353224705</v>
      </c>
      <c r="AB540" s="796">
        <f t="shared" si="299"/>
        <v>3</v>
      </c>
      <c r="AC540" s="797">
        <f t="shared" si="300"/>
        <v>2</v>
      </c>
      <c r="AD540" s="797">
        <f t="shared" si="301"/>
        <v>1</v>
      </c>
      <c r="AE540" s="842">
        <f t="shared" si="302"/>
        <v>2</v>
      </c>
      <c r="AF540" s="842">
        <f t="shared" si="303"/>
        <v>2</v>
      </c>
      <c r="AG540" s="842">
        <f t="shared" si="304"/>
        <v>1</v>
      </c>
      <c r="AH540" s="842">
        <f t="shared" si="305"/>
        <v>3</v>
      </c>
      <c r="AI540" s="826" cm="1">
        <f t="array" ref="AI540">SUMPRODUCT(--ISNUMBER($U540:$AA540),$AB$3:$AH$3)</f>
        <v>1</v>
      </c>
      <c r="AJ540" s="829">
        <f t="shared" si="306"/>
        <v>22.275125781075602</v>
      </c>
      <c r="AK540" s="827" t="str">
        <f t="shared" si="307"/>
        <v>Inmadura</v>
      </c>
      <c r="AL540" s="784" t="str">
        <f t="shared" si="308"/>
        <v>Alta</v>
      </c>
      <c r="AM540" s="799">
        <f>IF(ISNUMBER('Base de datos Rutas'!W538),'Base de datos Rutas'!W538,"")</f>
        <v>3054.2455510167165</v>
      </c>
      <c r="AN540" s="787">
        <f>IFERROR(SUMIFS('Base de datos Rutas'!$W$6:$W$794,'Base de datos Rutas'!$C$6:$C$794,$C540)/'Base de datos Rutas'!I538,"")</f>
        <v>3054.2455510167188</v>
      </c>
      <c r="AO540" s="800">
        <f>IFERROR('Base de datos Rutas'!X538*AN540/AM540,"")</f>
        <v>0.49742199715828644</v>
      </c>
      <c r="AP540" s="800">
        <f t="shared" si="309"/>
        <v>0.5025780028417135</v>
      </c>
      <c r="AQ540" s="789">
        <f>IFERROR(INDEX('Hoja de apoyo v2'!$J$17:$J$20,MATCH($A540,'Hoja de apoyo v2'!$A$17:$A$20,0)),"")</f>
        <v>0.64320274048480885</v>
      </c>
      <c r="AR540" s="789">
        <f t="shared" si="310"/>
        <v>-0.14062473764309535</v>
      </c>
      <c r="AS540" s="784" t="str">
        <f t="shared" si="311"/>
        <v>No</v>
      </c>
      <c r="AT540" s="801">
        <f>IF(ISNUMBER('Base de datos Rutas'!CK538),'Base de datos Rutas'!CK538,"")</f>
        <v>317</v>
      </c>
      <c r="AU540" s="802">
        <f>IF(ISNUMBER('Base de datos Rutas'!CL538),'Base de datos Rutas'!CL538,"")</f>
        <v>317</v>
      </c>
      <c r="AV540" s="802">
        <f>IF(ISNUMBER('Base de datos Rutas'!CM538),'Base de datos Rutas'!CM538,"")</f>
        <v>0</v>
      </c>
      <c r="AW540" s="802" t="str">
        <f>IF(ISNUMBER('Base de datos Rutas'!CN538),'Base de datos Rutas'!CN538,"")</f>
        <v/>
      </c>
      <c r="AX540" s="802">
        <f>IF(ISNUMBER('Base de datos Rutas'!CO538),'Base de datos Rutas'!CO538,"")</f>
        <v>9.4499999999999993</v>
      </c>
      <c r="AY540" s="802">
        <f>IF(ISNUMBER('Base de datos Rutas'!CP538),'Base de datos Rutas'!CP538,"")</f>
        <v>9.4499999999999993</v>
      </c>
      <c r="AZ540" s="802" t="str">
        <f>IF(ISNUMBER('Base de datos Rutas'!CQ538),'Base de datos Rutas'!CQ538,"")</f>
        <v/>
      </c>
      <c r="BA540" s="802" t="str">
        <f>IF(ISNUMBER('Base de datos Rutas'!CR538),'Base de datos Rutas'!CR538,"")</f>
        <v/>
      </c>
      <c r="BB540" s="803">
        <f>IF(ISNUMBER('Base de datos Rutas'!CS538),'Base de datos Rutas'!CS538,"")</f>
        <v>0</v>
      </c>
      <c r="BC540" s="804" t="str">
        <f t="shared" si="321"/>
        <v/>
      </c>
      <c r="BD540" s="805" t="str">
        <f t="shared" si="322"/>
        <v>N/D</v>
      </c>
      <c r="BE540" s="806" t="str">
        <f t="shared" si="323"/>
        <v/>
      </c>
      <c r="BF540" s="890">
        <f>IF(ISNUMBER('Base de datos Rutas'!CX538),'Base de datos Rutas'!CX538/100,"")</f>
        <v>0</v>
      </c>
      <c r="BG540" s="891">
        <f>IF(ISNUMBER('Base de datos Rutas'!CZ538),'Base de datos Rutas'!CZ538/100,"")</f>
        <v>0</v>
      </c>
      <c r="BH540" s="892">
        <f>IF(ISNUMBER('Base de datos Rutas'!DA538),'Base de datos Rutas'!DA538,"")</f>
        <v>0</v>
      </c>
      <c r="BI540" s="893">
        <f>IF(ISNUMBER('Base de datos Rutas'!DC538),'Base de datos Rutas'!DC538,"")</f>
        <v>0</v>
      </c>
      <c r="BJ540" s="805" t="str">
        <f t="shared" si="324"/>
        <v>Ruta (completo)</v>
      </c>
      <c r="BK540" s="783">
        <f t="shared" si="312"/>
        <v>1</v>
      </c>
      <c r="BL540" s="797">
        <f t="shared" si="313"/>
        <v>1</v>
      </c>
      <c r="BM540" s="797">
        <f t="shared" si="314"/>
        <v>1</v>
      </c>
      <c r="BN540" s="797">
        <f t="shared" si="315"/>
        <v>1</v>
      </c>
      <c r="BO540" s="798" cm="1">
        <f t="array" ref="BO540">SUMPRODUCT(--ISNUMBER($BF540:$BI540),$BK$3:$BN$3)</f>
        <v>1</v>
      </c>
      <c r="BP540" s="831">
        <f t="shared" si="325"/>
        <v>0</v>
      </c>
      <c r="BQ540" s="834" t="str">
        <f t="shared" si="326"/>
        <v>Bajo</v>
      </c>
      <c r="BR540" s="836" t="str">
        <f t="shared" si="316"/>
        <v/>
      </c>
      <c r="BS540" s="836">
        <f t="shared" si="317"/>
        <v>0</v>
      </c>
      <c r="BT540" s="837" t="str">
        <f t="shared" si="318"/>
        <v>Sin datos</v>
      </c>
      <c r="BU540" s="807" t="str">
        <f t="shared" si="327"/>
        <v>Con espacio</v>
      </c>
      <c r="BV540" s="807" t="str">
        <f t="shared" si="319"/>
        <v>Zona de bajo potencial</v>
      </c>
      <c r="BW540" s="808" t="str">
        <f t="shared" si="320"/>
        <v>Sin datos</v>
      </c>
    </row>
    <row r="541" spans="1:75">
      <c r="A541" s="780" t="str">
        <f>'Base de datos Rutas'!A539</f>
        <v>Occidente</v>
      </c>
      <c r="B541" s="781" t="str">
        <f>'Base de datos Rutas'!B539</f>
        <v>Favorita</v>
      </c>
      <c r="C541" s="781" t="str">
        <f>'Base de datos Rutas'!C539</f>
        <v>Suc. San Rafael</v>
      </c>
      <c r="D541" s="782">
        <f>IF(ISNUMBER('Base de datos Rutas'!D539),'Base de datos Rutas'!D539,"Sin código")</f>
        <v>803348</v>
      </c>
      <c r="E541" s="783" t="str">
        <f>'Base de datos Rutas'!F539</f>
        <v>Activa</v>
      </c>
      <c r="F541" s="784" t="str">
        <f>'Base de datos Rutas'!H539</f>
        <v>Sí</v>
      </c>
      <c r="G541" s="785">
        <f>IF(ISNUMBER('Base de datos Rutas'!BE539),'Base de datos Rutas'!BE539,"")</f>
        <v>72.709183673469397</v>
      </c>
      <c r="H541" s="786">
        <f>IF(ISNUMBER('Base de datos Rutas'!BH539),'Base de datos Rutas'!BH539,"")</f>
        <v>0.31043435548382597</v>
      </c>
      <c r="I541" s="788">
        <f>IFERROR(IF(OR(NOT(ISNUMBER('Base de datos Rutas'!O539)),N('Base de datos Rutas'!BK539)=0),"",'Base de datos Rutas'!O539/('Base de datos Rutas'!L539/'Base de datos Rutas'!BK539)),"")</f>
        <v>3214.3856812932991</v>
      </c>
      <c r="J541" s="788">
        <f>IFERROR(IF(OR(NOT(ISNUMBER('Base de datos Rutas'!N539)),N('Base de datos Rutas'!BK539)=0),"",'Base de datos Rutas'!N539/('Base de datos Rutas'!L539/'Base de datos Rutas'!BK539)),"")</f>
        <v>5998.4526558891394</v>
      </c>
      <c r="K541" s="788">
        <f>IFERROR(IF(OR(NOT(ISNUMBER('Base de datos Rutas'!J539)),N('Base de datos Rutas'!BK539)=0),"",'Base de datos Rutas'!J539/('Base de datos Rutas'!L539/'Base de datos Rutas'!BK539)),"")</f>
        <v>412.59262263279402</v>
      </c>
      <c r="L541" s="788">
        <f>IFERROR(IF(OR(NOT(ISNUMBER('Base de datos Rutas'!K539)),N('Base de datos Rutas'!BK539)=0),"",'Base de datos Rutas'!K539/('Base de datos Rutas'!L539/'Base de datos Rutas'!BK539)),"")</f>
        <v>23.475101739029999</v>
      </c>
      <c r="M541" s="787">
        <f>IF(ISNUMBER('Base de datos Rutas'!AX539),'Base de datos Rutas'!AX539,"")</f>
        <v>425.23846391642701</v>
      </c>
      <c r="N541" s="790">
        <f>IFERROR(INDEX('Hoja de apoyo v2'!B$17:B$20,MATCH($A541,'Hoja de apoyo v2'!$A$17:$A$20,0)),"")</f>
        <v>89.41621024641401</v>
      </c>
      <c r="O541" s="791">
        <f>IFERROR(INDEX('Hoja de apoyo v2'!C$17:C$20,MATCH($A541,'Hoja de apoyo v2'!$A$17:$A$20,0)),"")</f>
        <v>0.54706375874806301</v>
      </c>
      <c r="P541" s="793">
        <f>IFERROR(INDEX('Hoja de apoyo v2'!D$17:D$20,MATCH($A541,'Hoja de apoyo v2'!$A$17:$A$20,0)),"")</f>
        <v>11095.153935793827</v>
      </c>
      <c r="Q541" s="793">
        <f>IFERROR(INDEX('Hoja de apoyo v2'!E$17:E$20,MATCH($A541,'Hoja de apoyo v2'!$A$17:$A$20,0)),"")</f>
        <v>6982.3202019701848</v>
      </c>
      <c r="R541" s="793">
        <f>IFERROR(INDEX('Hoja de apoyo v2'!F$17:F$20,MATCH($A541,'Hoja de apoyo v2'!$A$17:$A$20,0)),"")</f>
        <v>448.09513474485743</v>
      </c>
      <c r="S541" s="793">
        <f>IFERROR(INDEX('Hoja de apoyo v2'!G$17:G$20,MATCH($A541,'Hoja de apoyo v2'!$A$17:$A$20,0)),"")</f>
        <v>83.406300904207839</v>
      </c>
      <c r="T541" s="792">
        <f>IFERROR(INDEX('Hoja de apoyo v2'!H$17:H$20,MATCH($A541,'Hoja de apoyo v2'!$A$17:$A$20,0)),"")</f>
        <v>378.97014028925349</v>
      </c>
      <c r="U541" s="794">
        <f t="shared" si="292"/>
        <v>0.81315438747735747</v>
      </c>
      <c r="V541" s="795">
        <f t="shared" si="293"/>
        <v>0.56745553058430431</v>
      </c>
      <c r="W541" s="795">
        <f t="shared" si="294"/>
        <v>0.28971077822755048</v>
      </c>
      <c r="X541" s="843">
        <f t="shared" si="295"/>
        <v>0.85909160313165955</v>
      </c>
      <c r="Y541" s="843">
        <f t="shared" si="296"/>
        <v>0.92077014598188323</v>
      </c>
      <c r="Z541" s="843">
        <f t="shared" si="297"/>
        <v>0.28145477601256003</v>
      </c>
      <c r="AA541" s="843">
        <f t="shared" si="298"/>
        <v>1.1220896284648143</v>
      </c>
      <c r="AB541" s="796">
        <f t="shared" si="299"/>
        <v>3</v>
      </c>
      <c r="AC541" s="797">
        <f t="shared" si="300"/>
        <v>2</v>
      </c>
      <c r="AD541" s="797">
        <f t="shared" si="301"/>
        <v>1</v>
      </c>
      <c r="AE541" s="842">
        <f t="shared" si="302"/>
        <v>3</v>
      </c>
      <c r="AF541" s="842">
        <f t="shared" si="303"/>
        <v>3</v>
      </c>
      <c r="AG541" s="842">
        <f t="shared" si="304"/>
        <v>1</v>
      </c>
      <c r="AH541" s="842">
        <f t="shared" si="305"/>
        <v>4</v>
      </c>
      <c r="AI541" s="826" cm="1">
        <f t="array" ref="AI541">SUMPRODUCT(--ISNUMBER($U541:$AA541),$AB$3:$AH$3)</f>
        <v>1</v>
      </c>
      <c r="AJ541" s="829">
        <f t="shared" si="306"/>
        <v>30.855345779660649</v>
      </c>
      <c r="AK541" s="827" t="str">
        <f t="shared" si="307"/>
        <v>Inmadura</v>
      </c>
      <c r="AL541" s="784" t="str">
        <f t="shared" si="308"/>
        <v>Alta</v>
      </c>
      <c r="AM541" s="799">
        <f>IF(ISNUMBER('Base de datos Rutas'!W539),'Base de datos Rutas'!W539,"")</f>
        <v>3054.2455510167165</v>
      </c>
      <c r="AN541" s="787">
        <f>IFERROR(SUMIFS('Base de datos Rutas'!$W$6:$W$794,'Base de datos Rutas'!$C$6:$C$794,$C541)/'Base de datos Rutas'!I539,"")</f>
        <v>3054.2455510167188</v>
      </c>
      <c r="AO541" s="800">
        <f>IFERROR('Base de datos Rutas'!X539*AN541/AM541,"")</f>
        <v>0.49742199715828644</v>
      </c>
      <c r="AP541" s="800">
        <f t="shared" si="309"/>
        <v>0.5025780028417135</v>
      </c>
      <c r="AQ541" s="789">
        <f>IFERROR(INDEX('Hoja de apoyo v2'!$J$17:$J$20,MATCH($A541,'Hoja de apoyo v2'!$A$17:$A$20,0)),"")</f>
        <v>0.64320274048480885</v>
      </c>
      <c r="AR541" s="789">
        <f t="shared" si="310"/>
        <v>-0.14062473764309535</v>
      </c>
      <c r="AS541" s="784" t="str">
        <f t="shared" si="311"/>
        <v>No</v>
      </c>
      <c r="AT541" s="801">
        <f>IF(ISNUMBER('Base de datos Rutas'!CK539),'Base de datos Rutas'!CK539,"")</f>
        <v>304</v>
      </c>
      <c r="AU541" s="802">
        <f>IF(ISNUMBER('Base de datos Rutas'!CL539),'Base de datos Rutas'!CL539,"")</f>
        <v>304</v>
      </c>
      <c r="AV541" s="802">
        <f>IF(ISNUMBER('Base de datos Rutas'!CM539),'Base de datos Rutas'!CM539,"")</f>
        <v>0</v>
      </c>
      <c r="AW541" s="802">
        <f>IF(ISNUMBER('Base de datos Rutas'!CN539),'Base de datos Rutas'!CN539,"")</f>
        <v>14.56</v>
      </c>
      <c r="AX541" s="802">
        <f>IF(ISNUMBER('Base de datos Rutas'!CO539),'Base de datos Rutas'!CO539,"")</f>
        <v>9.4499999999999993</v>
      </c>
      <c r="AY541" s="802">
        <f>IF(ISNUMBER('Base de datos Rutas'!CP539),'Base de datos Rutas'!CP539,"")</f>
        <v>-5.1100000000000012</v>
      </c>
      <c r="AZ541" s="802">
        <f>IF(ISNUMBER('Base de datos Rutas'!CQ539),'Base de datos Rutas'!CQ539,"")</f>
        <v>282.19</v>
      </c>
      <c r="BA541" s="802">
        <f>IF(ISNUMBER('Base de datos Rutas'!CR539),'Base de datos Rutas'!CR539,"")</f>
        <v>436.07</v>
      </c>
      <c r="BB541" s="803">
        <f>IF(ISNUMBER('Base de datos Rutas'!CS539),'Base de datos Rutas'!CS539,"")</f>
        <v>-153.88</v>
      </c>
      <c r="BC541" s="804">
        <f t="shared" si="321"/>
        <v>3</v>
      </c>
      <c r="BD541" s="805" t="str">
        <f t="shared" si="322"/>
        <v>Saturada</v>
      </c>
      <c r="BE541" s="806">
        <f t="shared" si="323"/>
        <v>1.5453063538750487</v>
      </c>
      <c r="BF541" s="890">
        <f>IF(ISNUMBER('Base de datos Rutas'!CX539),'Base de datos Rutas'!CX539/100,"")</f>
        <v>3.1762837480148226E-3</v>
      </c>
      <c r="BG541" s="891">
        <f>IF(ISNUMBER('Base de datos Rutas'!CZ539),'Base de datos Rutas'!CZ539/100,"")</f>
        <v>3.1762837480148226E-3</v>
      </c>
      <c r="BH541" s="892">
        <f>IF(ISNUMBER('Base de datos Rutas'!DA539),'Base de datos Rutas'!DA539,"")</f>
        <v>0</v>
      </c>
      <c r="BI541" s="893">
        <f>IF(ISNUMBER('Base de datos Rutas'!DC539),'Base de datos Rutas'!DC539,"")</f>
        <v>0</v>
      </c>
      <c r="BJ541" s="805" t="str">
        <f t="shared" si="324"/>
        <v>Ruta (completo)</v>
      </c>
      <c r="BK541" s="783">
        <f t="shared" si="312"/>
        <v>2</v>
      </c>
      <c r="BL541" s="797">
        <f t="shared" si="313"/>
        <v>2</v>
      </c>
      <c r="BM541" s="797">
        <f t="shared" si="314"/>
        <v>1</v>
      </c>
      <c r="BN541" s="797">
        <f t="shared" si="315"/>
        <v>1</v>
      </c>
      <c r="BO541" s="798" cm="1">
        <f t="array" ref="BO541">SUMPRODUCT(--ISNUMBER($BF541:$BI541),$BK$3:$BN$3)</f>
        <v>1</v>
      </c>
      <c r="BP541" s="831">
        <f t="shared" si="325"/>
        <v>12.5</v>
      </c>
      <c r="BQ541" s="834" t="str">
        <f t="shared" si="326"/>
        <v>Bajo</v>
      </c>
      <c r="BR541" s="836">
        <f t="shared" si="316"/>
        <v>48.141509334745486</v>
      </c>
      <c r="BS541" s="836">
        <f t="shared" si="317"/>
        <v>12.5</v>
      </c>
      <c r="BT541" s="837" t="str">
        <f t="shared" si="318"/>
        <v>P2</v>
      </c>
      <c r="BU541" s="807" t="str">
        <f t="shared" si="327"/>
        <v>Al tope</v>
      </c>
      <c r="BV541" s="807" t="str">
        <f t="shared" si="319"/>
        <v>Zona de bajo potencial</v>
      </c>
      <c r="BW541" s="808" t="str">
        <f t="shared" si="320"/>
        <v>P2 - Mantener</v>
      </c>
    </row>
    <row r="542" spans="1:75">
      <c r="A542" s="780" t="str">
        <f>'Base de datos Rutas'!A540</f>
        <v>Occidente</v>
      </c>
      <c r="B542" s="781" t="str">
        <f>'Base de datos Rutas'!B540</f>
        <v>Favorita</v>
      </c>
      <c r="C542" s="781" t="str">
        <f>'Base de datos Rutas'!C540</f>
        <v>Suc. San Rafael</v>
      </c>
      <c r="D542" s="782">
        <f>IF(ISNUMBER('Base de datos Rutas'!D540),'Base de datos Rutas'!D540,"Sin código")</f>
        <v>803349</v>
      </c>
      <c r="E542" s="783" t="str">
        <f>'Base de datos Rutas'!F540</f>
        <v>Inactiva</v>
      </c>
      <c r="F542" s="784" t="str">
        <f>'Base de datos Rutas'!H540</f>
        <v>No</v>
      </c>
      <c r="G542" s="785" t="str">
        <f>IF(ISNUMBER('Base de datos Rutas'!BE540),'Base de datos Rutas'!BE540,"")</f>
        <v/>
      </c>
      <c r="H542" s="786" t="str">
        <f>IF(ISNUMBER('Base de datos Rutas'!BH540),'Base de datos Rutas'!BH540,"")</f>
        <v/>
      </c>
      <c r="I542" s="788" t="str">
        <f>IFERROR(IF(OR(NOT(ISNUMBER('Base de datos Rutas'!O540)),N('Base de datos Rutas'!BK540)=0),"",'Base de datos Rutas'!O540/('Base de datos Rutas'!L540/'Base de datos Rutas'!BK540)),"")</f>
        <v/>
      </c>
      <c r="J542" s="788" t="str">
        <f>IFERROR(IF(OR(NOT(ISNUMBER('Base de datos Rutas'!N540)),N('Base de datos Rutas'!BK540)=0),"",'Base de datos Rutas'!N540/('Base de datos Rutas'!L540/'Base de datos Rutas'!BK540)),"")</f>
        <v/>
      </c>
      <c r="K542" s="788" t="str">
        <f>IFERROR(IF(OR(NOT(ISNUMBER('Base de datos Rutas'!J540)),N('Base de datos Rutas'!BK540)=0),"",'Base de datos Rutas'!J540/('Base de datos Rutas'!L540/'Base de datos Rutas'!BK540)),"")</f>
        <v/>
      </c>
      <c r="L542" s="788" t="str">
        <f>IFERROR(IF(OR(NOT(ISNUMBER('Base de datos Rutas'!K540)),N('Base de datos Rutas'!BK540)=0),"",'Base de datos Rutas'!K540/('Base de datos Rutas'!L540/'Base de datos Rutas'!BK540)),"")</f>
        <v/>
      </c>
      <c r="M542" s="787">
        <f>IF(ISNUMBER('Base de datos Rutas'!AX540),'Base de datos Rutas'!AX540,"")</f>
        <v>382.92</v>
      </c>
      <c r="N542" s="790">
        <f>IFERROR(INDEX('Hoja de apoyo v2'!B$17:B$20,MATCH($A542,'Hoja de apoyo v2'!$A$17:$A$20,0)),"")</f>
        <v>89.41621024641401</v>
      </c>
      <c r="O542" s="791">
        <f>IFERROR(INDEX('Hoja de apoyo v2'!C$17:C$20,MATCH($A542,'Hoja de apoyo v2'!$A$17:$A$20,0)),"")</f>
        <v>0.54706375874806301</v>
      </c>
      <c r="P542" s="793">
        <f>IFERROR(INDEX('Hoja de apoyo v2'!D$17:D$20,MATCH($A542,'Hoja de apoyo v2'!$A$17:$A$20,0)),"")</f>
        <v>11095.153935793827</v>
      </c>
      <c r="Q542" s="793">
        <f>IFERROR(INDEX('Hoja de apoyo v2'!E$17:E$20,MATCH($A542,'Hoja de apoyo v2'!$A$17:$A$20,0)),"")</f>
        <v>6982.3202019701848</v>
      </c>
      <c r="R542" s="793">
        <f>IFERROR(INDEX('Hoja de apoyo v2'!F$17:F$20,MATCH($A542,'Hoja de apoyo v2'!$A$17:$A$20,0)),"")</f>
        <v>448.09513474485743</v>
      </c>
      <c r="S542" s="793">
        <f>IFERROR(INDEX('Hoja de apoyo v2'!G$17:G$20,MATCH($A542,'Hoja de apoyo v2'!$A$17:$A$20,0)),"")</f>
        <v>83.406300904207839</v>
      </c>
      <c r="T542" s="792">
        <f>IFERROR(INDEX('Hoja de apoyo v2'!H$17:H$20,MATCH($A542,'Hoja de apoyo v2'!$A$17:$A$20,0)),"")</f>
        <v>378.97014028925349</v>
      </c>
      <c r="U542" s="794" t="str">
        <f t="shared" si="292"/>
        <v/>
      </c>
      <c r="V542" s="795" t="str">
        <f t="shared" si="293"/>
        <v/>
      </c>
      <c r="W542" s="795" t="str">
        <f t="shared" si="294"/>
        <v/>
      </c>
      <c r="X542" s="843" t="str">
        <f t="shared" si="295"/>
        <v/>
      </c>
      <c r="Y542" s="843" t="str">
        <f t="shared" si="296"/>
        <v/>
      </c>
      <c r="Z542" s="843" t="str">
        <f t="shared" si="297"/>
        <v/>
      </c>
      <c r="AA542" s="843">
        <f t="shared" si="298"/>
        <v>1.0104226145831219</v>
      </c>
      <c r="AB542" s="796">
        <f t="shared" si="299"/>
        <v>0</v>
      </c>
      <c r="AC542" s="797">
        <f t="shared" si="300"/>
        <v>0</v>
      </c>
      <c r="AD542" s="797">
        <f t="shared" si="301"/>
        <v>0</v>
      </c>
      <c r="AE542" s="842">
        <f t="shared" si="302"/>
        <v>0</v>
      </c>
      <c r="AF542" s="842">
        <f t="shared" si="303"/>
        <v>0</v>
      </c>
      <c r="AG542" s="842">
        <f t="shared" si="304"/>
        <v>0</v>
      </c>
      <c r="AH542" s="842">
        <f t="shared" si="305"/>
        <v>4</v>
      </c>
      <c r="AI542" s="826" cm="1">
        <f t="array" ref="AI542">SUMPRODUCT(--ISNUMBER($U542:$AA542),$AB$3:$AH$3)</f>
        <v>8.9789113613062493E-2</v>
      </c>
      <c r="AJ542" s="829" t="str">
        <f t="shared" si="306"/>
        <v/>
      </c>
      <c r="AK542" s="827" t="str">
        <f t="shared" si="307"/>
        <v>Ruta inactiva</v>
      </c>
      <c r="AL542" s="784" t="str">
        <f t="shared" si="308"/>
        <v>n/a</v>
      </c>
      <c r="AM542" s="799">
        <f>IF(ISNUMBER('Base de datos Rutas'!W540),'Base de datos Rutas'!W540,"")</f>
        <v>3054.2455510167165</v>
      </c>
      <c r="AN542" s="787">
        <f>IFERROR(SUMIFS('Base de datos Rutas'!$W$6:$W$794,'Base de datos Rutas'!$C$6:$C$794,$C542)/'Base de datos Rutas'!I540,"")</f>
        <v>3054.2455510167188</v>
      </c>
      <c r="AO542" s="800">
        <f>IFERROR('Base de datos Rutas'!X540*AN542/AM542,"")</f>
        <v>0.49742199715828644</v>
      </c>
      <c r="AP542" s="800">
        <f t="shared" si="309"/>
        <v>0.5025780028417135</v>
      </c>
      <c r="AQ542" s="789">
        <f>IFERROR(INDEX('Hoja de apoyo v2'!$J$17:$J$20,MATCH($A542,'Hoja de apoyo v2'!$A$17:$A$20,0)),"")</f>
        <v>0.64320274048480885</v>
      </c>
      <c r="AR542" s="789">
        <f t="shared" si="310"/>
        <v>-0.14062473764309535</v>
      </c>
      <c r="AS542" s="784" t="str">
        <f t="shared" si="311"/>
        <v>No</v>
      </c>
      <c r="AT542" s="801" t="str">
        <f>IF(ISNUMBER('Base de datos Rutas'!CK540),'Base de datos Rutas'!CK540,"")</f>
        <v/>
      </c>
      <c r="AU542" s="802" t="str">
        <f>IF(ISNUMBER('Base de datos Rutas'!CL540),'Base de datos Rutas'!CL540,"")</f>
        <v/>
      </c>
      <c r="AV542" s="802">
        <f>IF(ISNUMBER('Base de datos Rutas'!CM540),'Base de datos Rutas'!CM540,"")</f>
        <v>0</v>
      </c>
      <c r="AW542" s="802" t="str">
        <f>IF(ISNUMBER('Base de datos Rutas'!CN540),'Base de datos Rutas'!CN540,"")</f>
        <v/>
      </c>
      <c r="AX542" s="802" t="str">
        <f>IF(ISNUMBER('Base de datos Rutas'!CO540),'Base de datos Rutas'!CO540,"")</f>
        <v/>
      </c>
      <c r="AY542" s="802">
        <f>IF(ISNUMBER('Base de datos Rutas'!CP540),'Base de datos Rutas'!CP540,"")</f>
        <v>0</v>
      </c>
      <c r="AZ542" s="802" t="str">
        <f>IF(ISNUMBER('Base de datos Rutas'!CQ540),'Base de datos Rutas'!CQ540,"")</f>
        <v/>
      </c>
      <c r="BA542" s="802" t="str">
        <f>IF(ISNUMBER('Base de datos Rutas'!CR540),'Base de datos Rutas'!CR540,"")</f>
        <v/>
      </c>
      <c r="BB542" s="803">
        <f>IF(ISNUMBER('Base de datos Rutas'!CS540),'Base de datos Rutas'!CS540,"")</f>
        <v>0</v>
      </c>
      <c r="BC542" s="804" t="str">
        <f t="shared" si="321"/>
        <v/>
      </c>
      <c r="BD542" s="805" t="str">
        <f t="shared" si="322"/>
        <v>N/D</v>
      </c>
      <c r="BE542" s="806" t="str">
        <f t="shared" si="323"/>
        <v/>
      </c>
      <c r="BF542" s="890" t="str">
        <f>IF(ISNUMBER('Base de datos Rutas'!CX540),'Base de datos Rutas'!CX540/100,"")</f>
        <v/>
      </c>
      <c r="BG542" s="891" t="str">
        <f>IF(ISNUMBER('Base de datos Rutas'!CZ540),'Base de datos Rutas'!CZ540/100,"")</f>
        <v/>
      </c>
      <c r="BH542" s="892" t="str">
        <f>IF(ISNUMBER('Base de datos Rutas'!DA540),'Base de datos Rutas'!DA540,"")</f>
        <v/>
      </c>
      <c r="BI542" s="893" t="str">
        <f>IF(ISNUMBER('Base de datos Rutas'!DC540),'Base de datos Rutas'!DC540,"")</f>
        <v/>
      </c>
      <c r="BJ542" s="805" t="str">
        <f t="shared" si="324"/>
        <v>Sin dato</v>
      </c>
      <c r="BK542" s="783">
        <f t="shared" si="312"/>
        <v>0</v>
      </c>
      <c r="BL542" s="797">
        <f t="shared" si="313"/>
        <v>0</v>
      </c>
      <c r="BM542" s="797">
        <f t="shared" si="314"/>
        <v>0</v>
      </c>
      <c r="BN542" s="797">
        <f t="shared" si="315"/>
        <v>0</v>
      </c>
      <c r="BO542" s="798" cm="1">
        <f t="array" ref="BO542">SUMPRODUCT(--ISNUMBER($BF542:$BI542),$BK$3:$BN$3)</f>
        <v>0</v>
      </c>
      <c r="BP542" s="831" t="str">
        <f t="shared" si="325"/>
        <v/>
      </c>
      <c r="BQ542" s="834" t="str">
        <f t="shared" si="326"/>
        <v>Sin datos</v>
      </c>
      <c r="BR542" s="836" t="str">
        <f t="shared" si="316"/>
        <v/>
      </c>
      <c r="BS542" s="836" t="str">
        <f t="shared" si="317"/>
        <v/>
      </c>
      <c r="BT542" s="837" t="str">
        <f t="shared" si="318"/>
        <v>Sin datos</v>
      </c>
      <c r="BU542" s="807" t="str">
        <f t="shared" si="327"/>
        <v>No evaluable</v>
      </c>
      <c r="BV542" s="807" t="str">
        <f t="shared" si="319"/>
        <v>No evaluable</v>
      </c>
      <c r="BW542" s="808" t="str">
        <f t="shared" si="320"/>
        <v>Sin datos</v>
      </c>
    </row>
    <row r="543" spans="1:75">
      <c r="A543" s="780" t="str">
        <f>'Base de datos Rutas'!A541</f>
        <v>Occidente</v>
      </c>
      <c r="B543" s="781" t="str">
        <f>'Base de datos Rutas'!B541</f>
        <v>Favorita</v>
      </c>
      <c r="C543" s="781" t="str">
        <f>'Base de datos Rutas'!C541</f>
        <v>Suc. San Rafael</v>
      </c>
      <c r="D543" s="782">
        <f>IF(ISNUMBER('Base de datos Rutas'!D541),'Base de datos Rutas'!D541,"Sin código")</f>
        <v>803350</v>
      </c>
      <c r="E543" s="783" t="str">
        <f>'Base de datos Rutas'!F541</f>
        <v>Activa</v>
      </c>
      <c r="F543" s="784" t="str">
        <f>'Base de datos Rutas'!H541</f>
        <v>Sí</v>
      </c>
      <c r="G543" s="785">
        <f>IF(ISNUMBER('Base de datos Rutas'!BE541),'Base de datos Rutas'!BE541,"")</f>
        <v>51.684210526315802</v>
      </c>
      <c r="H543" s="786">
        <f>IF(ISNUMBER('Base de datos Rutas'!BH541),'Base de datos Rutas'!BH541,"")</f>
        <v>5.0916496945010202E-3</v>
      </c>
      <c r="I543" s="788">
        <f>IFERROR(IF(OR(NOT(ISNUMBER('Base de datos Rutas'!O541)),N('Base de datos Rutas'!BK541)=0),"",'Base de datos Rutas'!O541/('Base de datos Rutas'!L541/'Base de datos Rutas'!BK541)),"")</f>
        <v>67.533333333333331</v>
      </c>
      <c r="J543" s="788">
        <f>IFERROR(IF(OR(NOT(ISNUMBER('Base de datos Rutas'!N541)),N('Base de datos Rutas'!BK541)=0),"",'Base de datos Rutas'!N541/('Base de datos Rutas'!L541/'Base de datos Rutas'!BK541)),"")</f>
        <v>122.3</v>
      </c>
      <c r="K543" s="788">
        <f>IFERROR(IF(OR(NOT(ISNUMBER('Base de datos Rutas'!J541)),N('Base de datos Rutas'!BK541)=0),"",'Base de datos Rutas'!J541/('Base de datos Rutas'!L541/'Base de datos Rutas'!BK541)),"")</f>
        <v>9.3343600000000002</v>
      </c>
      <c r="L543" s="788">
        <f>IFERROR(IF(OR(NOT(ISNUMBER('Base de datos Rutas'!K541)),N('Base de datos Rutas'!BK541)=0),"",'Base de datos Rutas'!K541/('Base de datos Rutas'!L541/'Base de datos Rutas'!BK541)),"")</f>
        <v>0.58393499999999998</v>
      </c>
      <c r="M543" s="787">
        <f>IF(ISNUMBER('Base de datos Rutas'!AX541),'Base de datos Rutas'!AX541,"")</f>
        <v>237.266875</v>
      </c>
      <c r="N543" s="790">
        <f>IFERROR(INDEX('Hoja de apoyo v2'!B$17:B$20,MATCH($A543,'Hoja de apoyo v2'!$A$17:$A$20,0)),"")</f>
        <v>89.41621024641401</v>
      </c>
      <c r="O543" s="791">
        <f>IFERROR(INDEX('Hoja de apoyo v2'!C$17:C$20,MATCH($A543,'Hoja de apoyo v2'!$A$17:$A$20,0)),"")</f>
        <v>0.54706375874806301</v>
      </c>
      <c r="P543" s="793">
        <f>IFERROR(INDEX('Hoja de apoyo v2'!D$17:D$20,MATCH($A543,'Hoja de apoyo v2'!$A$17:$A$20,0)),"")</f>
        <v>11095.153935793827</v>
      </c>
      <c r="Q543" s="793">
        <f>IFERROR(INDEX('Hoja de apoyo v2'!E$17:E$20,MATCH($A543,'Hoja de apoyo v2'!$A$17:$A$20,0)),"")</f>
        <v>6982.3202019701848</v>
      </c>
      <c r="R543" s="793">
        <f>IFERROR(INDEX('Hoja de apoyo v2'!F$17:F$20,MATCH($A543,'Hoja de apoyo v2'!$A$17:$A$20,0)),"")</f>
        <v>448.09513474485743</v>
      </c>
      <c r="S543" s="793">
        <f>IFERROR(INDEX('Hoja de apoyo v2'!G$17:G$20,MATCH($A543,'Hoja de apoyo v2'!$A$17:$A$20,0)),"")</f>
        <v>83.406300904207839</v>
      </c>
      <c r="T543" s="792">
        <f>IFERROR(INDEX('Hoja de apoyo v2'!H$17:H$20,MATCH($A543,'Hoja de apoyo v2'!$A$17:$A$20,0)),"")</f>
        <v>378.97014028925349</v>
      </c>
      <c r="U543" s="794">
        <f t="shared" si="292"/>
        <v>0.57801835242048372</v>
      </c>
      <c r="V543" s="795">
        <f t="shared" si="293"/>
        <v>9.3072326818963279E-3</v>
      </c>
      <c r="W543" s="795">
        <f t="shared" si="294"/>
        <v>6.0867414480357557E-3</v>
      </c>
      <c r="X543" s="843">
        <f t="shared" si="295"/>
        <v>1.7515667638028243E-2</v>
      </c>
      <c r="Y543" s="843">
        <f t="shared" si="296"/>
        <v>2.0831201403949468E-2</v>
      </c>
      <c r="Z543" s="843">
        <f t="shared" si="297"/>
        <v>7.001089769832252E-3</v>
      </c>
      <c r="AA543" s="843">
        <f t="shared" si="298"/>
        <v>0.62608329727218937</v>
      </c>
      <c r="AB543" s="796">
        <f t="shared" si="299"/>
        <v>2</v>
      </c>
      <c r="AC543" s="797">
        <f t="shared" si="300"/>
        <v>1</v>
      </c>
      <c r="AD543" s="797">
        <f t="shared" si="301"/>
        <v>1</v>
      </c>
      <c r="AE543" s="842">
        <f t="shared" si="302"/>
        <v>1</v>
      </c>
      <c r="AF543" s="842">
        <f t="shared" si="303"/>
        <v>1</v>
      </c>
      <c r="AG543" s="842">
        <f t="shared" si="304"/>
        <v>1</v>
      </c>
      <c r="AH543" s="842">
        <f t="shared" si="305"/>
        <v>2</v>
      </c>
      <c r="AI543" s="826" cm="1">
        <f t="array" ref="AI543">SUMPRODUCT(--ISNUMBER($U543:$AA543),$AB$3:$AH$3)</f>
        <v>1</v>
      </c>
      <c r="AJ543" s="829">
        <f t="shared" si="306"/>
        <v>6.7783640184633231</v>
      </c>
      <c r="AK543" s="827" t="str">
        <f t="shared" si="307"/>
        <v>Inmadura</v>
      </c>
      <c r="AL543" s="784" t="str">
        <f t="shared" si="308"/>
        <v>Alta</v>
      </c>
      <c r="AM543" s="799">
        <f>IF(ISNUMBER('Base de datos Rutas'!W541),'Base de datos Rutas'!W541,"")</f>
        <v>3054.2455510167165</v>
      </c>
      <c r="AN543" s="787">
        <f>IFERROR(SUMIFS('Base de datos Rutas'!$W$6:$W$794,'Base de datos Rutas'!$C$6:$C$794,$C543)/'Base de datos Rutas'!I541,"")</f>
        <v>3054.2455510167188</v>
      </c>
      <c r="AO543" s="800">
        <f>IFERROR('Base de datos Rutas'!X541*AN543/AM543,"")</f>
        <v>0.49742199715828644</v>
      </c>
      <c r="AP543" s="800">
        <f t="shared" si="309"/>
        <v>0.5025780028417135</v>
      </c>
      <c r="AQ543" s="789">
        <f>IFERROR(INDEX('Hoja de apoyo v2'!$J$17:$J$20,MATCH($A543,'Hoja de apoyo v2'!$A$17:$A$20,0)),"")</f>
        <v>0.64320274048480885</v>
      </c>
      <c r="AR543" s="789">
        <f t="shared" si="310"/>
        <v>-0.14062473764309535</v>
      </c>
      <c r="AS543" s="784" t="str">
        <f t="shared" si="311"/>
        <v>No</v>
      </c>
      <c r="AT543" s="801" t="str">
        <f>IF(ISNUMBER('Base de datos Rutas'!CK541),'Base de datos Rutas'!CK541,"")</f>
        <v/>
      </c>
      <c r="AU543" s="802" t="str">
        <f>IF(ISNUMBER('Base de datos Rutas'!CL541),'Base de datos Rutas'!CL541,"")</f>
        <v/>
      </c>
      <c r="AV543" s="802">
        <f>IF(ISNUMBER('Base de datos Rutas'!CM541),'Base de datos Rutas'!CM541,"")</f>
        <v>0</v>
      </c>
      <c r="AW543" s="802" t="str">
        <f>IF(ISNUMBER('Base de datos Rutas'!CN541),'Base de datos Rutas'!CN541,"")</f>
        <v/>
      </c>
      <c r="AX543" s="802" t="str">
        <f>IF(ISNUMBER('Base de datos Rutas'!CO541),'Base de datos Rutas'!CO541,"")</f>
        <v/>
      </c>
      <c r="AY543" s="802">
        <f>IF(ISNUMBER('Base de datos Rutas'!CP541),'Base de datos Rutas'!CP541,"")</f>
        <v>0</v>
      </c>
      <c r="AZ543" s="802" t="str">
        <f>IF(ISNUMBER('Base de datos Rutas'!CQ541),'Base de datos Rutas'!CQ541,"")</f>
        <v/>
      </c>
      <c r="BA543" s="802" t="str">
        <f>IF(ISNUMBER('Base de datos Rutas'!CR541),'Base de datos Rutas'!CR541,"")</f>
        <v/>
      </c>
      <c r="BB543" s="803">
        <f>IF(ISNUMBER('Base de datos Rutas'!CS541),'Base de datos Rutas'!CS541,"")</f>
        <v>0</v>
      </c>
      <c r="BC543" s="804" t="str">
        <f t="shared" si="321"/>
        <v/>
      </c>
      <c r="BD543" s="805" t="str">
        <f t="shared" si="322"/>
        <v>N/D</v>
      </c>
      <c r="BE543" s="806" t="str">
        <f t="shared" si="323"/>
        <v/>
      </c>
      <c r="BF543" s="890" t="str">
        <f>IF(ISNUMBER('Base de datos Rutas'!CX541),'Base de datos Rutas'!CX541/100,"")</f>
        <v/>
      </c>
      <c r="BG543" s="891" t="str">
        <f>IF(ISNUMBER('Base de datos Rutas'!CZ541),'Base de datos Rutas'!CZ541/100,"")</f>
        <v/>
      </c>
      <c r="BH543" s="892" t="str">
        <f>IF(ISNUMBER('Base de datos Rutas'!DA541),'Base de datos Rutas'!DA541,"")</f>
        <v/>
      </c>
      <c r="BI543" s="893" t="str">
        <f>IF(ISNUMBER('Base de datos Rutas'!DC541),'Base de datos Rutas'!DC541,"")</f>
        <v/>
      </c>
      <c r="BJ543" s="805" t="str">
        <f t="shared" si="324"/>
        <v>Sin dato</v>
      </c>
      <c r="BK543" s="783">
        <f t="shared" si="312"/>
        <v>0</v>
      </c>
      <c r="BL543" s="797">
        <f t="shared" si="313"/>
        <v>0</v>
      </c>
      <c r="BM543" s="797">
        <f t="shared" si="314"/>
        <v>0</v>
      </c>
      <c r="BN543" s="797">
        <f t="shared" si="315"/>
        <v>0</v>
      </c>
      <c r="BO543" s="798" cm="1">
        <f t="array" ref="BO543">SUMPRODUCT(--ISNUMBER($BF543:$BI543),$BK$3:$BN$3)</f>
        <v>0</v>
      </c>
      <c r="BP543" s="831" t="str">
        <f t="shared" si="325"/>
        <v/>
      </c>
      <c r="BQ543" s="834" t="str">
        <f t="shared" si="326"/>
        <v>Sin datos</v>
      </c>
      <c r="BR543" s="836" t="str">
        <f t="shared" si="316"/>
        <v/>
      </c>
      <c r="BS543" s="836" t="str">
        <f t="shared" si="317"/>
        <v/>
      </c>
      <c r="BT543" s="837" t="str">
        <f t="shared" si="318"/>
        <v>Sin datos</v>
      </c>
      <c r="BU543" s="807" t="str">
        <f t="shared" si="327"/>
        <v>Con espacio</v>
      </c>
      <c r="BV543" s="807" t="str">
        <f t="shared" si="319"/>
        <v>Sin datos de zona</v>
      </c>
      <c r="BW543" s="808" t="str">
        <f t="shared" si="320"/>
        <v>Sin datos</v>
      </c>
    </row>
    <row r="544" spans="1:75">
      <c r="A544" s="780" t="str">
        <f>'Base de datos Rutas'!A542</f>
        <v>Occidente</v>
      </c>
      <c r="B544" s="781" t="str">
        <f>'Base de datos Rutas'!B542</f>
        <v>Favorita</v>
      </c>
      <c r="C544" s="781" t="str">
        <f>'Base de datos Rutas'!C542</f>
        <v>Suc. San Rafael</v>
      </c>
      <c r="D544" s="782">
        <f>IF(ISNUMBER('Base de datos Rutas'!D542),'Base de datos Rutas'!D542,"Sin código")</f>
        <v>803351</v>
      </c>
      <c r="E544" s="783" t="str">
        <f>'Base de datos Rutas'!F542</f>
        <v>Inactiva</v>
      </c>
      <c r="F544" s="784" t="str">
        <f>'Base de datos Rutas'!H542</f>
        <v>No</v>
      </c>
      <c r="G544" s="785" t="str">
        <f>IF(ISNUMBER('Base de datos Rutas'!BE542),'Base de datos Rutas'!BE542,"")</f>
        <v/>
      </c>
      <c r="H544" s="786" t="str">
        <f>IF(ISNUMBER('Base de datos Rutas'!BH542),'Base de datos Rutas'!BH542,"")</f>
        <v/>
      </c>
      <c r="I544" s="788" t="str">
        <f>IFERROR(IF(OR(NOT(ISNUMBER('Base de datos Rutas'!O542)),N('Base de datos Rutas'!BK542)=0),"",'Base de datos Rutas'!O542/('Base de datos Rutas'!L542/'Base de datos Rutas'!BK542)),"")</f>
        <v/>
      </c>
      <c r="J544" s="788" t="str">
        <f>IFERROR(IF(OR(NOT(ISNUMBER('Base de datos Rutas'!N542)),N('Base de datos Rutas'!BK542)=0),"",'Base de datos Rutas'!N542/('Base de datos Rutas'!L542/'Base de datos Rutas'!BK542)),"")</f>
        <v/>
      </c>
      <c r="K544" s="788" t="str">
        <f>IFERROR(IF(OR(NOT(ISNUMBER('Base de datos Rutas'!J542)),N('Base de datos Rutas'!BK542)=0),"",'Base de datos Rutas'!J542/('Base de datos Rutas'!L542/'Base de datos Rutas'!BK542)),"")</f>
        <v/>
      </c>
      <c r="L544" s="788" t="str">
        <f>IFERROR(IF(OR(NOT(ISNUMBER('Base de datos Rutas'!K542)),N('Base de datos Rutas'!BK542)=0),"",'Base de datos Rutas'!K542/('Base de datos Rutas'!L542/'Base de datos Rutas'!BK542)),"")</f>
        <v/>
      </c>
      <c r="M544" s="787">
        <f>IF(ISNUMBER('Base de datos Rutas'!AX542),'Base de datos Rutas'!AX542,"")</f>
        <v>100</v>
      </c>
      <c r="N544" s="790">
        <f>IFERROR(INDEX('Hoja de apoyo v2'!B$17:B$20,MATCH($A544,'Hoja de apoyo v2'!$A$17:$A$20,0)),"")</f>
        <v>89.41621024641401</v>
      </c>
      <c r="O544" s="791">
        <f>IFERROR(INDEX('Hoja de apoyo v2'!C$17:C$20,MATCH($A544,'Hoja de apoyo v2'!$A$17:$A$20,0)),"")</f>
        <v>0.54706375874806301</v>
      </c>
      <c r="P544" s="793">
        <f>IFERROR(INDEX('Hoja de apoyo v2'!D$17:D$20,MATCH($A544,'Hoja de apoyo v2'!$A$17:$A$20,0)),"")</f>
        <v>11095.153935793827</v>
      </c>
      <c r="Q544" s="793">
        <f>IFERROR(INDEX('Hoja de apoyo v2'!E$17:E$20,MATCH($A544,'Hoja de apoyo v2'!$A$17:$A$20,0)),"")</f>
        <v>6982.3202019701848</v>
      </c>
      <c r="R544" s="793">
        <f>IFERROR(INDEX('Hoja de apoyo v2'!F$17:F$20,MATCH($A544,'Hoja de apoyo v2'!$A$17:$A$20,0)),"")</f>
        <v>448.09513474485743</v>
      </c>
      <c r="S544" s="793">
        <f>IFERROR(INDEX('Hoja de apoyo v2'!G$17:G$20,MATCH($A544,'Hoja de apoyo v2'!$A$17:$A$20,0)),"")</f>
        <v>83.406300904207839</v>
      </c>
      <c r="T544" s="792">
        <f>IFERROR(INDEX('Hoja de apoyo v2'!H$17:H$20,MATCH($A544,'Hoja de apoyo v2'!$A$17:$A$20,0)),"")</f>
        <v>378.97014028925349</v>
      </c>
      <c r="U544" s="794" t="str">
        <f t="shared" si="292"/>
        <v/>
      </c>
      <c r="V544" s="795" t="str">
        <f t="shared" si="293"/>
        <v/>
      </c>
      <c r="W544" s="795" t="str">
        <f t="shared" si="294"/>
        <v/>
      </c>
      <c r="X544" s="843" t="str">
        <f t="shared" si="295"/>
        <v/>
      </c>
      <c r="Y544" s="843" t="str">
        <f t="shared" si="296"/>
        <v/>
      </c>
      <c r="Z544" s="843" t="str">
        <f t="shared" si="297"/>
        <v/>
      </c>
      <c r="AA544" s="843">
        <f t="shared" si="298"/>
        <v>0.26387303211718421</v>
      </c>
      <c r="AB544" s="796">
        <f t="shared" si="299"/>
        <v>0</v>
      </c>
      <c r="AC544" s="797">
        <f t="shared" si="300"/>
        <v>0</v>
      </c>
      <c r="AD544" s="797">
        <f t="shared" si="301"/>
        <v>0</v>
      </c>
      <c r="AE544" s="842">
        <f t="shared" si="302"/>
        <v>0</v>
      </c>
      <c r="AF544" s="842">
        <f t="shared" si="303"/>
        <v>0</v>
      </c>
      <c r="AG544" s="842">
        <f t="shared" si="304"/>
        <v>0</v>
      </c>
      <c r="AH544" s="842">
        <f t="shared" si="305"/>
        <v>1</v>
      </c>
      <c r="AI544" s="826" cm="1">
        <f t="array" ref="AI544">SUMPRODUCT(--ISNUMBER($U544:$AA544),$AB$3:$AH$3)</f>
        <v>8.9789113613062493E-2</v>
      </c>
      <c r="AJ544" s="829" t="str">
        <f t="shared" si="306"/>
        <v/>
      </c>
      <c r="AK544" s="827" t="str">
        <f t="shared" si="307"/>
        <v>Ruta inactiva</v>
      </c>
      <c r="AL544" s="784" t="str">
        <f t="shared" si="308"/>
        <v>n/a</v>
      </c>
      <c r="AM544" s="799">
        <f>IF(ISNUMBER('Base de datos Rutas'!W542),'Base de datos Rutas'!W542,"")</f>
        <v>3054.2455510167165</v>
      </c>
      <c r="AN544" s="787">
        <f>IFERROR(SUMIFS('Base de datos Rutas'!$W$6:$W$794,'Base de datos Rutas'!$C$6:$C$794,$C544)/'Base de datos Rutas'!I542,"")</f>
        <v>3054.2455510167188</v>
      </c>
      <c r="AO544" s="800">
        <f>IFERROR('Base de datos Rutas'!X542*AN544/AM544,"")</f>
        <v>0.49742199715828644</v>
      </c>
      <c r="AP544" s="800">
        <f t="shared" si="309"/>
        <v>0.5025780028417135</v>
      </c>
      <c r="AQ544" s="789">
        <f>IFERROR(INDEX('Hoja de apoyo v2'!$J$17:$J$20,MATCH($A544,'Hoja de apoyo v2'!$A$17:$A$20,0)),"")</f>
        <v>0.64320274048480885</v>
      </c>
      <c r="AR544" s="789">
        <f t="shared" si="310"/>
        <v>-0.14062473764309535</v>
      </c>
      <c r="AS544" s="784" t="str">
        <f t="shared" si="311"/>
        <v>No</v>
      </c>
      <c r="AT544" s="801" t="str">
        <f>IF(ISNUMBER('Base de datos Rutas'!CK542),'Base de datos Rutas'!CK542,"")</f>
        <v/>
      </c>
      <c r="AU544" s="802" t="str">
        <f>IF(ISNUMBER('Base de datos Rutas'!CL542),'Base de datos Rutas'!CL542,"")</f>
        <v/>
      </c>
      <c r="AV544" s="802">
        <f>IF(ISNUMBER('Base de datos Rutas'!CM542),'Base de datos Rutas'!CM542,"")</f>
        <v>0</v>
      </c>
      <c r="AW544" s="802" t="str">
        <f>IF(ISNUMBER('Base de datos Rutas'!CN542),'Base de datos Rutas'!CN542,"")</f>
        <v/>
      </c>
      <c r="AX544" s="802" t="str">
        <f>IF(ISNUMBER('Base de datos Rutas'!CO542),'Base de datos Rutas'!CO542,"")</f>
        <v/>
      </c>
      <c r="AY544" s="802">
        <f>IF(ISNUMBER('Base de datos Rutas'!CP542),'Base de datos Rutas'!CP542,"")</f>
        <v>0</v>
      </c>
      <c r="AZ544" s="802" t="str">
        <f>IF(ISNUMBER('Base de datos Rutas'!CQ542),'Base de datos Rutas'!CQ542,"")</f>
        <v/>
      </c>
      <c r="BA544" s="802" t="str">
        <f>IF(ISNUMBER('Base de datos Rutas'!CR542),'Base de datos Rutas'!CR542,"")</f>
        <v/>
      </c>
      <c r="BB544" s="803">
        <f>IF(ISNUMBER('Base de datos Rutas'!CS542),'Base de datos Rutas'!CS542,"")</f>
        <v>0</v>
      </c>
      <c r="BC544" s="804" t="str">
        <f t="shared" si="321"/>
        <v/>
      </c>
      <c r="BD544" s="805" t="str">
        <f t="shared" si="322"/>
        <v>N/D</v>
      </c>
      <c r="BE544" s="806" t="str">
        <f t="shared" si="323"/>
        <v/>
      </c>
      <c r="BF544" s="890" t="str">
        <f>IF(ISNUMBER('Base de datos Rutas'!CX542),'Base de datos Rutas'!CX542/100,"")</f>
        <v/>
      </c>
      <c r="BG544" s="891" t="str">
        <f>IF(ISNUMBER('Base de datos Rutas'!CZ542),'Base de datos Rutas'!CZ542/100,"")</f>
        <v/>
      </c>
      <c r="BH544" s="892" t="str">
        <f>IF(ISNUMBER('Base de datos Rutas'!DA542),'Base de datos Rutas'!DA542,"")</f>
        <v/>
      </c>
      <c r="BI544" s="893" t="str">
        <f>IF(ISNUMBER('Base de datos Rutas'!DC542),'Base de datos Rutas'!DC542,"")</f>
        <v/>
      </c>
      <c r="BJ544" s="805" t="str">
        <f t="shared" si="324"/>
        <v>Sin dato</v>
      </c>
      <c r="BK544" s="783">
        <f t="shared" si="312"/>
        <v>0</v>
      </c>
      <c r="BL544" s="797">
        <f t="shared" si="313"/>
        <v>0</v>
      </c>
      <c r="BM544" s="797">
        <f t="shared" si="314"/>
        <v>0</v>
      </c>
      <c r="BN544" s="797">
        <f t="shared" si="315"/>
        <v>0</v>
      </c>
      <c r="BO544" s="798" cm="1">
        <f t="array" ref="BO544">SUMPRODUCT(--ISNUMBER($BF544:$BI544),$BK$3:$BN$3)</f>
        <v>0</v>
      </c>
      <c r="BP544" s="831" t="str">
        <f t="shared" si="325"/>
        <v/>
      </c>
      <c r="BQ544" s="834" t="str">
        <f t="shared" si="326"/>
        <v>Sin datos</v>
      </c>
      <c r="BR544" s="836" t="str">
        <f t="shared" si="316"/>
        <v/>
      </c>
      <c r="BS544" s="836" t="str">
        <f t="shared" si="317"/>
        <v/>
      </c>
      <c r="BT544" s="837" t="str">
        <f t="shared" si="318"/>
        <v>Sin datos</v>
      </c>
      <c r="BU544" s="807" t="str">
        <f t="shared" si="327"/>
        <v>No evaluable</v>
      </c>
      <c r="BV544" s="807" t="str">
        <f t="shared" si="319"/>
        <v>No evaluable</v>
      </c>
      <c r="BW544" s="808" t="str">
        <f t="shared" si="320"/>
        <v>Sin datos</v>
      </c>
    </row>
    <row r="545" spans="1:75">
      <c r="A545" s="780" t="str">
        <f>'Base de datos Rutas'!A543</f>
        <v>Occidente</v>
      </c>
      <c r="B545" s="781" t="str">
        <f>'Base de datos Rutas'!B543</f>
        <v>Favorita</v>
      </c>
      <c r="C545" s="781" t="str">
        <f>'Base de datos Rutas'!C543</f>
        <v>Suc. San Rafael</v>
      </c>
      <c r="D545" s="782">
        <f>IF(ISNUMBER('Base de datos Rutas'!D543),'Base de datos Rutas'!D543,"Sin código")</f>
        <v>803353</v>
      </c>
      <c r="E545" s="783" t="str">
        <f>'Base de datos Rutas'!F543</f>
        <v>Inactiva</v>
      </c>
      <c r="F545" s="784" t="str">
        <f>'Base de datos Rutas'!H543</f>
        <v>No</v>
      </c>
      <c r="G545" s="785" t="str">
        <f>IF(ISNUMBER('Base de datos Rutas'!BE543),'Base de datos Rutas'!BE543,"")</f>
        <v/>
      </c>
      <c r="H545" s="786" t="str">
        <f>IF(ISNUMBER('Base de datos Rutas'!BH543),'Base de datos Rutas'!BH543,"")</f>
        <v/>
      </c>
      <c r="I545" s="788" t="str">
        <f>IFERROR(IF(OR(NOT(ISNUMBER('Base de datos Rutas'!O543)),N('Base de datos Rutas'!BK543)=0),"",'Base de datos Rutas'!O543/('Base de datos Rutas'!L543/'Base de datos Rutas'!BK543)),"")</f>
        <v/>
      </c>
      <c r="J545" s="788" t="str">
        <f>IFERROR(IF(OR(NOT(ISNUMBER('Base de datos Rutas'!N543)),N('Base de datos Rutas'!BK543)=0),"",'Base de datos Rutas'!N543/('Base de datos Rutas'!L543/'Base de datos Rutas'!BK543)),"")</f>
        <v/>
      </c>
      <c r="K545" s="788" t="str">
        <f>IFERROR(IF(OR(NOT(ISNUMBER('Base de datos Rutas'!J543)),N('Base de datos Rutas'!BK543)=0),"",'Base de datos Rutas'!J543/('Base de datos Rutas'!L543/'Base de datos Rutas'!BK543)),"")</f>
        <v/>
      </c>
      <c r="L545" s="788" t="str">
        <f>IFERROR(IF(OR(NOT(ISNUMBER('Base de datos Rutas'!K543)),N('Base de datos Rutas'!BK543)=0),"",'Base de datos Rutas'!K543/('Base de datos Rutas'!L543/'Base de datos Rutas'!BK543)),"")</f>
        <v/>
      </c>
      <c r="M545" s="787">
        <f>IF(ISNUMBER('Base de datos Rutas'!AX543),'Base de datos Rutas'!AX543,"")</f>
        <v>106</v>
      </c>
      <c r="N545" s="790">
        <f>IFERROR(INDEX('Hoja de apoyo v2'!B$17:B$20,MATCH($A545,'Hoja de apoyo v2'!$A$17:$A$20,0)),"")</f>
        <v>89.41621024641401</v>
      </c>
      <c r="O545" s="791">
        <f>IFERROR(INDEX('Hoja de apoyo v2'!C$17:C$20,MATCH($A545,'Hoja de apoyo v2'!$A$17:$A$20,0)),"")</f>
        <v>0.54706375874806301</v>
      </c>
      <c r="P545" s="793">
        <f>IFERROR(INDEX('Hoja de apoyo v2'!D$17:D$20,MATCH($A545,'Hoja de apoyo v2'!$A$17:$A$20,0)),"")</f>
        <v>11095.153935793827</v>
      </c>
      <c r="Q545" s="793">
        <f>IFERROR(INDEX('Hoja de apoyo v2'!E$17:E$20,MATCH($A545,'Hoja de apoyo v2'!$A$17:$A$20,0)),"")</f>
        <v>6982.3202019701848</v>
      </c>
      <c r="R545" s="793">
        <f>IFERROR(INDEX('Hoja de apoyo v2'!F$17:F$20,MATCH($A545,'Hoja de apoyo v2'!$A$17:$A$20,0)),"")</f>
        <v>448.09513474485743</v>
      </c>
      <c r="S545" s="793">
        <f>IFERROR(INDEX('Hoja de apoyo v2'!G$17:G$20,MATCH($A545,'Hoja de apoyo v2'!$A$17:$A$20,0)),"")</f>
        <v>83.406300904207839</v>
      </c>
      <c r="T545" s="792">
        <f>IFERROR(INDEX('Hoja de apoyo v2'!H$17:H$20,MATCH($A545,'Hoja de apoyo v2'!$A$17:$A$20,0)),"")</f>
        <v>378.97014028925349</v>
      </c>
      <c r="U545" s="794" t="str">
        <f t="shared" si="292"/>
        <v/>
      </c>
      <c r="V545" s="795" t="str">
        <f t="shared" si="293"/>
        <v/>
      </c>
      <c r="W545" s="795" t="str">
        <f t="shared" si="294"/>
        <v/>
      </c>
      <c r="X545" s="843" t="str">
        <f t="shared" si="295"/>
        <v/>
      </c>
      <c r="Y545" s="843" t="str">
        <f t="shared" si="296"/>
        <v/>
      </c>
      <c r="Z545" s="843" t="str">
        <f t="shared" si="297"/>
        <v/>
      </c>
      <c r="AA545" s="843">
        <f t="shared" si="298"/>
        <v>0.27970541404421528</v>
      </c>
      <c r="AB545" s="796">
        <f t="shared" si="299"/>
        <v>0</v>
      </c>
      <c r="AC545" s="797">
        <f t="shared" si="300"/>
        <v>0</v>
      </c>
      <c r="AD545" s="797">
        <f t="shared" si="301"/>
        <v>0</v>
      </c>
      <c r="AE545" s="842">
        <f t="shared" si="302"/>
        <v>0</v>
      </c>
      <c r="AF545" s="842">
        <f t="shared" si="303"/>
        <v>0</v>
      </c>
      <c r="AG545" s="842">
        <f t="shared" si="304"/>
        <v>0</v>
      </c>
      <c r="AH545" s="842">
        <f t="shared" si="305"/>
        <v>1</v>
      </c>
      <c r="AI545" s="826" cm="1">
        <f t="array" ref="AI545">SUMPRODUCT(--ISNUMBER($U545:$AA545),$AB$3:$AH$3)</f>
        <v>8.9789113613062493E-2</v>
      </c>
      <c r="AJ545" s="829" t="str">
        <f t="shared" si="306"/>
        <v/>
      </c>
      <c r="AK545" s="827" t="str">
        <f t="shared" si="307"/>
        <v>Ruta inactiva</v>
      </c>
      <c r="AL545" s="784" t="str">
        <f t="shared" si="308"/>
        <v>n/a</v>
      </c>
      <c r="AM545" s="799">
        <f>IF(ISNUMBER('Base de datos Rutas'!W543),'Base de datos Rutas'!W543,"")</f>
        <v>3054.2455510167165</v>
      </c>
      <c r="AN545" s="787">
        <f>IFERROR(SUMIFS('Base de datos Rutas'!$W$6:$W$794,'Base de datos Rutas'!$C$6:$C$794,$C545)/'Base de datos Rutas'!I543,"")</f>
        <v>3054.2455510167188</v>
      </c>
      <c r="AO545" s="800">
        <f>IFERROR('Base de datos Rutas'!X543*AN545/AM545,"")</f>
        <v>0.49742199715828644</v>
      </c>
      <c r="AP545" s="800">
        <f t="shared" si="309"/>
        <v>0.5025780028417135</v>
      </c>
      <c r="AQ545" s="789">
        <f>IFERROR(INDEX('Hoja de apoyo v2'!$J$17:$J$20,MATCH($A545,'Hoja de apoyo v2'!$A$17:$A$20,0)),"")</f>
        <v>0.64320274048480885</v>
      </c>
      <c r="AR545" s="789">
        <f t="shared" si="310"/>
        <v>-0.14062473764309535</v>
      </c>
      <c r="AS545" s="784" t="str">
        <f t="shared" si="311"/>
        <v>No</v>
      </c>
      <c r="AT545" s="801" t="str">
        <f>IF(ISNUMBER('Base de datos Rutas'!CK543),'Base de datos Rutas'!CK543,"")</f>
        <v/>
      </c>
      <c r="AU545" s="802" t="str">
        <f>IF(ISNUMBER('Base de datos Rutas'!CL543),'Base de datos Rutas'!CL543,"")</f>
        <v/>
      </c>
      <c r="AV545" s="802">
        <f>IF(ISNUMBER('Base de datos Rutas'!CM543),'Base de datos Rutas'!CM543,"")</f>
        <v>0</v>
      </c>
      <c r="AW545" s="802" t="str">
        <f>IF(ISNUMBER('Base de datos Rutas'!CN543),'Base de datos Rutas'!CN543,"")</f>
        <v/>
      </c>
      <c r="AX545" s="802" t="str">
        <f>IF(ISNUMBER('Base de datos Rutas'!CO543),'Base de datos Rutas'!CO543,"")</f>
        <v/>
      </c>
      <c r="AY545" s="802">
        <f>IF(ISNUMBER('Base de datos Rutas'!CP543),'Base de datos Rutas'!CP543,"")</f>
        <v>0</v>
      </c>
      <c r="AZ545" s="802" t="str">
        <f>IF(ISNUMBER('Base de datos Rutas'!CQ543),'Base de datos Rutas'!CQ543,"")</f>
        <v/>
      </c>
      <c r="BA545" s="802" t="str">
        <f>IF(ISNUMBER('Base de datos Rutas'!CR543),'Base de datos Rutas'!CR543,"")</f>
        <v/>
      </c>
      <c r="BB545" s="803">
        <f>IF(ISNUMBER('Base de datos Rutas'!CS543),'Base de datos Rutas'!CS543,"")</f>
        <v>0</v>
      </c>
      <c r="BC545" s="804" t="str">
        <f t="shared" si="321"/>
        <v/>
      </c>
      <c r="BD545" s="805" t="str">
        <f t="shared" si="322"/>
        <v>N/D</v>
      </c>
      <c r="BE545" s="806" t="str">
        <f t="shared" si="323"/>
        <v/>
      </c>
      <c r="BF545" s="890" t="str">
        <f>IF(ISNUMBER('Base de datos Rutas'!CX543),'Base de datos Rutas'!CX543/100,"")</f>
        <v/>
      </c>
      <c r="BG545" s="891" t="str">
        <f>IF(ISNUMBER('Base de datos Rutas'!CZ543),'Base de datos Rutas'!CZ543/100,"")</f>
        <v/>
      </c>
      <c r="BH545" s="892" t="str">
        <f>IF(ISNUMBER('Base de datos Rutas'!DA543),'Base de datos Rutas'!DA543,"")</f>
        <v/>
      </c>
      <c r="BI545" s="893" t="str">
        <f>IF(ISNUMBER('Base de datos Rutas'!DC543),'Base de datos Rutas'!DC543,"")</f>
        <v/>
      </c>
      <c r="BJ545" s="805" t="str">
        <f t="shared" si="324"/>
        <v>Sin dato</v>
      </c>
      <c r="BK545" s="783">
        <f t="shared" si="312"/>
        <v>0</v>
      </c>
      <c r="BL545" s="797">
        <f t="shared" si="313"/>
        <v>0</v>
      </c>
      <c r="BM545" s="797">
        <f t="shared" si="314"/>
        <v>0</v>
      </c>
      <c r="BN545" s="797">
        <f t="shared" si="315"/>
        <v>0</v>
      </c>
      <c r="BO545" s="798" cm="1">
        <f t="array" ref="BO545">SUMPRODUCT(--ISNUMBER($BF545:$BI545),$BK$3:$BN$3)</f>
        <v>0</v>
      </c>
      <c r="BP545" s="831" t="str">
        <f t="shared" si="325"/>
        <v/>
      </c>
      <c r="BQ545" s="834" t="str">
        <f t="shared" si="326"/>
        <v>Sin datos</v>
      </c>
      <c r="BR545" s="836" t="str">
        <f t="shared" si="316"/>
        <v/>
      </c>
      <c r="BS545" s="836" t="str">
        <f t="shared" si="317"/>
        <v/>
      </c>
      <c r="BT545" s="837" t="str">
        <f t="shared" si="318"/>
        <v>Sin datos</v>
      </c>
      <c r="BU545" s="807" t="str">
        <f t="shared" si="327"/>
        <v>No evaluable</v>
      </c>
      <c r="BV545" s="807" t="str">
        <f t="shared" si="319"/>
        <v>No evaluable</v>
      </c>
      <c r="BW545" s="808" t="str">
        <f t="shared" si="320"/>
        <v>Sin datos</v>
      </c>
    </row>
    <row r="546" spans="1:75">
      <c r="A546" s="780" t="str">
        <f>'Base de datos Rutas'!A544</f>
        <v>Occidente</v>
      </c>
      <c r="B546" s="781" t="str">
        <f>'Base de datos Rutas'!B544</f>
        <v>Favorita</v>
      </c>
      <c r="C546" s="781" t="str">
        <f>'Base de datos Rutas'!C544</f>
        <v>Suc. San Rafael</v>
      </c>
      <c r="D546" s="782">
        <f>IF(ISNUMBER('Base de datos Rutas'!D544),'Base de datos Rutas'!D544,"Sin código")</f>
        <v>803354</v>
      </c>
      <c r="E546" s="783" t="str">
        <f>'Base de datos Rutas'!F544</f>
        <v>Activa</v>
      </c>
      <c r="F546" s="784" t="str">
        <f>'Base de datos Rutas'!H544</f>
        <v>Sí</v>
      </c>
      <c r="G546" s="785">
        <f>IF(ISNUMBER('Base de datos Rutas'!BE544),'Base de datos Rutas'!BE544,"")</f>
        <v>75.073903002309507</v>
      </c>
      <c r="H546" s="786">
        <f>IF(ISNUMBER('Base de datos Rutas'!BH544),'Base de datos Rutas'!BH544,"")</f>
        <v>0.48506475528347698</v>
      </c>
      <c r="I546" s="788">
        <f>IFERROR(IF(OR(NOT(ISNUMBER('Base de datos Rutas'!O544)),N('Base de datos Rutas'!BK544)=0),"",'Base de datos Rutas'!O544/('Base de datos Rutas'!L544/'Base de datos Rutas'!BK544)),"")</f>
        <v>4170.0808314087717</v>
      </c>
      <c r="J546" s="788">
        <f>IFERROR(IF(OR(NOT(ISNUMBER('Base de datos Rutas'!N544)),N('Base de datos Rutas'!BK544)=0),"",'Base de datos Rutas'!N544/('Base de datos Rutas'!L544/'Base de datos Rutas'!BK544)),"")</f>
        <v>5780.4157043879859</v>
      </c>
      <c r="K546" s="788">
        <f>IFERROR(IF(OR(NOT(ISNUMBER('Base de datos Rutas'!J544)),N('Base de datos Rutas'!BK544)=0),"",'Base de datos Rutas'!J544/('Base de datos Rutas'!L544/'Base de datos Rutas'!BK544)),"")</f>
        <v>402.94466327944536</v>
      </c>
      <c r="L546" s="788">
        <f>IFERROR(IF(OR(NOT(ISNUMBER('Base de datos Rutas'!K544)),N('Base de datos Rutas'!BK544)=0),"",'Base de datos Rutas'!K544/('Base de datos Rutas'!L544/'Base de datos Rutas'!BK544)),"")</f>
        <v>34.604399357967637</v>
      </c>
      <c r="M546" s="787">
        <f>IF(ISNUMBER('Base de datos Rutas'!AX544),'Base de datos Rutas'!AX544,"")</f>
        <v>273.247330669711</v>
      </c>
      <c r="N546" s="790">
        <f>IFERROR(INDEX('Hoja de apoyo v2'!B$17:B$20,MATCH($A546,'Hoja de apoyo v2'!$A$17:$A$20,0)),"")</f>
        <v>89.41621024641401</v>
      </c>
      <c r="O546" s="791">
        <f>IFERROR(INDEX('Hoja de apoyo v2'!C$17:C$20,MATCH($A546,'Hoja de apoyo v2'!$A$17:$A$20,0)),"")</f>
        <v>0.54706375874806301</v>
      </c>
      <c r="P546" s="793">
        <f>IFERROR(INDEX('Hoja de apoyo v2'!D$17:D$20,MATCH($A546,'Hoja de apoyo v2'!$A$17:$A$20,0)),"")</f>
        <v>11095.153935793827</v>
      </c>
      <c r="Q546" s="793">
        <f>IFERROR(INDEX('Hoja de apoyo v2'!E$17:E$20,MATCH($A546,'Hoja de apoyo v2'!$A$17:$A$20,0)),"")</f>
        <v>6982.3202019701848</v>
      </c>
      <c r="R546" s="793">
        <f>IFERROR(INDEX('Hoja de apoyo v2'!F$17:F$20,MATCH($A546,'Hoja de apoyo v2'!$A$17:$A$20,0)),"")</f>
        <v>448.09513474485743</v>
      </c>
      <c r="S546" s="793">
        <f>IFERROR(INDEX('Hoja de apoyo v2'!G$17:G$20,MATCH($A546,'Hoja de apoyo v2'!$A$17:$A$20,0)),"")</f>
        <v>83.406300904207839</v>
      </c>
      <c r="T546" s="792">
        <f>IFERROR(INDEX('Hoja de apoyo v2'!H$17:H$20,MATCH($A546,'Hoja de apoyo v2'!$A$17:$A$20,0)),"")</f>
        <v>378.97014028925349</v>
      </c>
      <c r="U546" s="794">
        <f t="shared" si="292"/>
        <v>0.83960059138516563</v>
      </c>
      <c r="V546" s="795">
        <f t="shared" si="293"/>
        <v>0.88666951068652644</v>
      </c>
      <c r="W546" s="795">
        <f t="shared" si="294"/>
        <v>0.37584704597524937</v>
      </c>
      <c r="X546" s="843">
        <f t="shared" si="295"/>
        <v>0.82786459760996634</v>
      </c>
      <c r="Y546" s="843">
        <f t="shared" si="296"/>
        <v>0.89923909463752494</v>
      </c>
      <c r="Z546" s="843">
        <f t="shared" si="297"/>
        <v>0.41488951053842804</v>
      </c>
      <c r="AA546" s="843">
        <f t="shared" si="298"/>
        <v>0.72102601661743515</v>
      </c>
      <c r="AB546" s="796">
        <f t="shared" si="299"/>
        <v>3</v>
      </c>
      <c r="AC546" s="797">
        <f t="shared" si="300"/>
        <v>3</v>
      </c>
      <c r="AD546" s="797">
        <f t="shared" si="301"/>
        <v>1</v>
      </c>
      <c r="AE546" s="842">
        <f t="shared" si="302"/>
        <v>3</v>
      </c>
      <c r="AF546" s="842">
        <f t="shared" si="303"/>
        <v>3</v>
      </c>
      <c r="AG546" s="842">
        <f t="shared" si="304"/>
        <v>1</v>
      </c>
      <c r="AH546" s="842">
        <f t="shared" si="305"/>
        <v>2</v>
      </c>
      <c r="AI546" s="826" cm="1">
        <f t="array" ref="AI546">SUMPRODUCT(--ISNUMBER($U546:$AA546),$AB$3:$AH$3)</f>
        <v>1</v>
      </c>
      <c r="AJ546" s="829">
        <f t="shared" si="306"/>
        <v>28.748795684897999</v>
      </c>
      <c r="AK546" s="827" t="str">
        <f t="shared" si="307"/>
        <v>Inmadura</v>
      </c>
      <c r="AL546" s="784" t="str">
        <f t="shared" si="308"/>
        <v>Alta</v>
      </c>
      <c r="AM546" s="799">
        <f>IF(ISNUMBER('Base de datos Rutas'!W544),'Base de datos Rutas'!W544,"")</f>
        <v>3054.2455510167165</v>
      </c>
      <c r="AN546" s="787">
        <f>IFERROR(SUMIFS('Base de datos Rutas'!$W$6:$W$794,'Base de datos Rutas'!$C$6:$C$794,$C546)/'Base de datos Rutas'!I544,"")</f>
        <v>3054.2455510167188</v>
      </c>
      <c r="AO546" s="800">
        <f>IFERROR('Base de datos Rutas'!X544*AN546/AM546,"")</f>
        <v>0.49742199715828644</v>
      </c>
      <c r="AP546" s="800">
        <f t="shared" si="309"/>
        <v>0.5025780028417135</v>
      </c>
      <c r="AQ546" s="789">
        <f>IFERROR(INDEX('Hoja de apoyo v2'!$J$17:$J$20,MATCH($A546,'Hoja de apoyo v2'!$A$17:$A$20,0)),"")</f>
        <v>0.64320274048480885</v>
      </c>
      <c r="AR546" s="789">
        <f t="shared" si="310"/>
        <v>-0.14062473764309535</v>
      </c>
      <c r="AS546" s="784" t="str">
        <f t="shared" si="311"/>
        <v>No</v>
      </c>
      <c r="AT546" s="801">
        <f>IF(ISNUMBER('Base de datos Rutas'!CK544),'Base de datos Rutas'!CK544,"")</f>
        <v>270</v>
      </c>
      <c r="AU546" s="802">
        <f>IF(ISNUMBER('Base de datos Rutas'!CL544),'Base de datos Rutas'!CL544,"")</f>
        <v>270</v>
      </c>
      <c r="AV546" s="802">
        <f>IF(ISNUMBER('Base de datos Rutas'!CM544),'Base de datos Rutas'!CM544,"")</f>
        <v>0</v>
      </c>
      <c r="AW546" s="802" t="str">
        <f>IF(ISNUMBER('Base de datos Rutas'!CN544),'Base de datos Rutas'!CN544,"")</f>
        <v/>
      </c>
      <c r="AX546" s="802">
        <f>IF(ISNUMBER('Base de datos Rutas'!CO544),'Base de datos Rutas'!CO544,"")</f>
        <v>9.4499999999999993</v>
      </c>
      <c r="AY546" s="802">
        <f>IF(ISNUMBER('Base de datos Rutas'!CP544),'Base de datos Rutas'!CP544,"")</f>
        <v>9.4499999999999993</v>
      </c>
      <c r="AZ546" s="802" t="str">
        <f>IF(ISNUMBER('Base de datos Rutas'!CQ544),'Base de datos Rutas'!CQ544,"")</f>
        <v/>
      </c>
      <c r="BA546" s="802" t="str">
        <f>IF(ISNUMBER('Base de datos Rutas'!CR544),'Base de datos Rutas'!CR544,"")</f>
        <v/>
      </c>
      <c r="BB546" s="803">
        <f>IF(ISNUMBER('Base de datos Rutas'!CS544),'Base de datos Rutas'!CS544,"")</f>
        <v>0</v>
      </c>
      <c r="BC546" s="804" t="str">
        <f t="shared" si="321"/>
        <v/>
      </c>
      <c r="BD546" s="805" t="str">
        <f t="shared" si="322"/>
        <v>N/D</v>
      </c>
      <c r="BE546" s="806" t="str">
        <f t="shared" si="323"/>
        <v/>
      </c>
      <c r="BF546" s="890">
        <f>IF(ISNUMBER('Base de datos Rutas'!CX544),'Base de datos Rutas'!CX544/100,"")</f>
        <v>0</v>
      </c>
      <c r="BG546" s="891">
        <f>IF(ISNUMBER('Base de datos Rutas'!CZ544),'Base de datos Rutas'!CZ544/100,"")</f>
        <v>0</v>
      </c>
      <c r="BH546" s="892">
        <f>IF(ISNUMBER('Base de datos Rutas'!DA544),'Base de datos Rutas'!DA544,"")</f>
        <v>0</v>
      </c>
      <c r="BI546" s="893">
        <f>IF(ISNUMBER('Base de datos Rutas'!DC544),'Base de datos Rutas'!DC544,"")</f>
        <v>0</v>
      </c>
      <c r="BJ546" s="805" t="str">
        <f t="shared" si="324"/>
        <v>Ruta (completo)</v>
      </c>
      <c r="BK546" s="783">
        <f t="shared" si="312"/>
        <v>1</v>
      </c>
      <c r="BL546" s="797">
        <f t="shared" si="313"/>
        <v>1</v>
      </c>
      <c r="BM546" s="797">
        <f t="shared" si="314"/>
        <v>1</v>
      </c>
      <c r="BN546" s="797">
        <f t="shared" si="315"/>
        <v>1</v>
      </c>
      <c r="BO546" s="798" cm="1">
        <f t="array" ref="BO546">SUMPRODUCT(--ISNUMBER($BF546:$BI546),$BK$3:$BN$3)</f>
        <v>1</v>
      </c>
      <c r="BP546" s="831">
        <f t="shared" si="325"/>
        <v>0</v>
      </c>
      <c r="BQ546" s="834" t="str">
        <f t="shared" si="326"/>
        <v>Bajo</v>
      </c>
      <c r="BR546" s="836" t="str">
        <f t="shared" si="316"/>
        <v/>
      </c>
      <c r="BS546" s="836">
        <f t="shared" si="317"/>
        <v>0</v>
      </c>
      <c r="BT546" s="837" t="str">
        <f t="shared" si="318"/>
        <v>Sin datos</v>
      </c>
      <c r="BU546" s="807" t="str">
        <f t="shared" si="327"/>
        <v>Con espacio</v>
      </c>
      <c r="BV546" s="807" t="str">
        <f t="shared" si="319"/>
        <v>Zona de bajo potencial</v>
      </c>
      <c r="BW546" s="808" t="str">
        <f t="shared" si="320"/>
        <v>Sin datos</v>
      </c>
    </row>
    <row r="547" spans="1:75">
      <c r="A547" s="780" t="str">
        <f>'Base de datos Rutas'!A545</f>
        <v>Occidente</v>
      </c>
      <c r="B547" s="781" t="str">
        <f>'Base de datos Rutas'!B545</f>
        <v>Favorita</v>
      </c>
      <c r="C547" s="781" t="str">
        <f>'Base de datos Rutas'!C545</f>
        <v>Suc. San Rafael</v>
      </c>
      <c r="D547" s="782">
        <f>IF(ISNUMBER('Base de datos Rutas'!D545),'Base de datos Rutas'!D545,"Sin código")</f>
        <v>803355</v>
      </c>
      <c r="E547" s="783" t="str">
        <f>'Base de datos Rutas'!F545</f>
        <v>Activa</v>
      </c>
      <c r="F547" s="784" t="str">
        <f>'Base de datos Rutas'!H545</f>
        <v>Sí</v>
      </c>
      <c r="G547" s="785">
        <f>IF(ISNUMBER('Base de datos Rutas'!BE545),'Base de datos Rutas'!BE545,"")</f>
        <v>71.771889400921694</v>
      </c>
      <c r="H547" s="786">
        <f>IF(ISNUMBER('Base de datos Rutas'!BH545),'Base de datos Rutas'!BH545,"")</f>
        <v>0.60502744871424397</v>
      </c>
      <c r="I547" s="788">
        <f>IFERROR(IF(OR(NOT(ISNUMBER('Base de datos Rutas'!O545)),N('Base de datos Rutas'!BK545)=0),"",'Base de datos Rutas'!O545/('Base de datos Rutas'!L545/'Base de datos Rutas'!BK545)),"")</f>
        <v>5612.8387096774095</v>
      </c>
      <c r="J547" s="788">
        <f>IFERROR(IF(OR(NOT(ISNUMBER('Base de datos Rutas'!N545)),N('Base de datos Rutas'!BK545)=0),"",'Base de datos Rutas'!N545/('Base de datos Rutas'!L545/'Base de datos Rutas'!BK545)),"")</f>
        <v>5954.5184331797127</v>
      </c>
      <c r="K547" s="788">
        <f>IFERROR(IF(OR(NOT(ISNUMBER('Base de datos Rutas'!J545)),N('Base de datos Rutas'!BK545)=0),"",'Base de datos Rutas'!J545/('Base de datos Rutas'!L545/'Base de datos Rutas'!BK545)),"")</f>
        <v>407.06445161290247</v>
      </c>
      <c r="L547" s="788">
        <f>IFERROR(IF(OR(NOT(ISNUMBER('Base de datos Rutas'!K545)),N('Base de datos Rutas'!BK545)=0),"",'Base de datos Rutas'!K545/('Base de datos Rutas'!L545/'Base de datos Rutas'!BK545)),"")</f>
        <v>43.849630852534482</v>
      </c>
      <c r="M547" s="787">
        <f>IF(ISNUMBER('Base de datos Rutas'!AX545),'Base de datos Rutas'!AX545,"")</f>
        <v>266.38186352541697</v>
      </c>
      <c r="N547" s="790">
        <f>IFERROR(INDEX('Hoja de apoyo v2'!B$17:B$20,MATCH($A547,'Hoja de apoyo v2'!$A$17:$A$20,0)),"")</f>
        <v>89.41621024641401</v>
      </c>
      <c r="O547" s="791">
        <f>IFERROR(INDEX('Hoja de apoyo v2'!C$17:C$20,MATCH($A547,'Hoja de apoyo v2'!$A$17:$A$20,0)),"")</f>
        <v>0.54706375874806301</v>
      </c>
      <c r="P547" s="793">
        <f>IFERROR(INDEX('Hoja de apoyo v2'!D$17:D$20,MATCH($A547,'Hoja de apoyo v2'!$A$17:$A$20,0)),"")</f>
        <v>11095.153935793827</v>
      </c>
      <c r="Q547" s="793">
        <f>IFERROR(INDEX('Hoja de apoyo v2'!E$17:E$20,MATCH($A547,'Hoja de apoyo v2'!$A$17:$A$20,0)),"")</f>
        <v>6982.3202019701848</v>
      </c>
      <c r="R547" s="793">
        <f>IFERROR(INDEX('Hoja de apoyo v2'!F$17:F$20,MATCH($A547,'Hoja de apoyo v2'!$A$17:$A$20,0)),"")</f>
        <v>448.09513474485743</v>
      </c>
      <c r="S547" s="793">
        <f>IFERROR(INDEX('Hoja de apoyo v2'!G$17:G$20,MATCH($A547,'Hoja de apoyo v2'!$A$17:$A$20,0)),"")</f>
        <v>83.406300904207839</v>
      </c>
      <c r="T547" s="792">
        <f>IFERROR(INDEX('Hoja de apoyo v2'!H$17:H$20,MATCH($A547,'Hoja de apoyo v2'!$A$17:$A$20,0)),"")</f>
        <v>378.97014028925349</v>
      </c>
      <c r="U547" s="794">
        <f t="shared" si="292"/>
        <v>0.80267201219031836</v>
      </c>
      <c r="V547" s="795">
        <f t="shared" si="293"/>
        <v>1.1059541763446896</v>
      </c>
      <c r="W547" s="795">
        <f t="shared" si="294"/>
        <v>0.50588200417571105</v>
      </c>
      <c r="X547" s="843">
        <f t="shared" si="295"/>
        <v>0.85279939345943201</v>
      </c>
      <c r="Y547" s="843">
        <f t="shared" si="296"/>
        <v>0.90843309835238994</v>
      </c>
      <c r="Z547" s="843">
        <f t="shared" si="297"/>
        <v>0.5257352307578752</v>
      </c>
      <c r="AA547" s="843">
        <f t="shared" si="298"/>
        <v>0.7029099002947774</v>
      </c>
      <c r="AB547" s="796">
        <f t="shared" si="299"/>
        <v>3</v>
      </c>
      <c r="AC547" s="797">
        <f t="shared" si="300"/>
        <v>4</v>
      </c>
      <c r="AD547" s="797">
        <f t="shared" si="301"/>
        <v>2</v>
      </c>
      <c r="AE547" s="842">
        <f t="shared" si="302"/>
        <v>3</v>
      </c>
      <c r="AF547" s="842">
        <f t="shared" si="303"/>
        <v>3</v>
      </c>
      <c r="AG547" s="842">
        <f t="shared" si="304"/>
        <v>2</v>
      </c>
      <c r="AH547" s="842">
        <f t="shared" si="305"/>
        <v>2</v>
      </c>
      <c r="AI547" s="826" cm="1">
        <f t="array" ref="AI547">SUMPRODUCT(--ISNUMBER($U547:$AA547),$AB$3:$AH$3)</f>
        <v>1</v>
      </c>
      <c r="AJ547" s="829">
        <f t="shared" si="306"/>
        <v>40.634939508176203</v>
      </c>
      <c r="AK547" s="827" t="str">
        <f t="shared" si="307"/>
        <v>Inmadura</v>
      </c>
      <c r="AL547" s="784" t="str">
        <f t="shared" si="308"/>
        <v>Alta</v>
      </c>
      <c r="AM547" s="799">
        <f>IF(ISNUMBER('Base de datos Rutas'!W545),'Base de datos Rutas'!W545,"")</f>
        <v>3054.2455510167165</v>
      </c>
      <c r="AN547" s="787">
        <f>IFERROR(SUMIFS('Base de datos Rutas'!$W$6:$W$794,'Base de datos Rutas'!$C$6:$C$794,$C547)/'Base de datos Rutas'!I545,"")</f>
        <v>3054.2455510167188</v>
      </c>
      <c r="AO547" s="800">
        <f>IFERROR('Base de datos Rutas'!X545*AN547/AM547,"")</f>
        <v>0.49742199715828644</v>
      </c>
      <c r="AP547" s="800">
        <f t="shared" si="309"/>
        <v>0.5025780028417135</v>
      </c>
      <c r="AQ547" s="789">
        <f>IFERROR(INDEX('Hoja de apoyo v2'!$J$17:$J$20,MATCH($A547,'Hoja de apoyo v2'!$A$17:$A$20,0)),"")</f>
        <v>0.64320274048480885</v>
      </c>
      <c r="AR547" s="789">
        <f t="shared" si="310"/>
        <v>-0.14062473764309535</v>
      </c>
      <c r="AS547" s="784" t="str">
        <f t="shared" si="311"/>
        <v>No</v>
      </c>
      <c r="AT547" s="801">
        <f>IF(ISNUMBER('Base de datos Rutas'!CK545),'Base de datos Rutas'!CK545,"")</f>
        <v>307</v>
      </c>
      <c r="AU547" s="802">
        <f>IF(ISNUMBER('Base de datos Rutas'!CL545),'Base de datos Rutas'!CL545,"")</f>
        <v>307</v>
      </c>
      <c r="AV547" s="802">
        <f>IF(ISNUMBER('Base de datos Rutas'!CM545),'Base de datos Rutas'!CM545,"")</f>
        <v>0</v>
      </c>
      <c r="AW547" s="802" t="str">
        <f>IF(ISNUMBER('Base de datos Rutas'!CN545),'Base de datos Rutas'!CN545,"")</f>
        <v/>
      </c>
      <c r="AX547" s="802">
        <f>IF(ISNUMBER('Base de datos Rutas'!CO545),'Base de datos Rutas'!CO545,"")</f>
        <v>9.4499999999999993</v>
      </c>
      <c r="AY547" s="802">
        <f>IF(ISNUMBER('Base de datos Rutas'!CP545),'Base de datos Rutas'!CP545,"")</f>
        <v>9.4499999999999993</v>
      </c>
      <c r="AZ547" s="802" t="str">
        <f>IF(ISNUMBER('Base de datos Rutas'!CQ545),'Base de datos Rutas'!CQ545,"")</f>
        <v/>
      </c>
      <c r="BA547" s="802" t="str">
        <f>IF(ISNUMBER('Base de datos Rutas'!CR545),'Base de datos Rutas'!CR545,"")</f>
        <v/>
      </c>
      <c r="BB547" s="803">
        <f>IF(ISNUMBER('Base de datos Rutas'!CS545),'Base de datos Rutas'!CS545,"")</f>
        <v>0</v>
      </c>
      <c r="BC547" s="804" t="str">
        <f t="shared" si="321"/>
        <v/>
      </c>
      <c r="BD547" s="805" t="str">
        <f t="shared" si="322"/>
        <v>N/D</v>
      </c>
      <c r="BE547" s="806" t="str">
        <f t="shared" si="323"/>
        <v/>
      </c>
      <c r="BF547" s="890">
        <f>IF(ISNUMBER('Base de datos Rutas'!CX545),'Base de datos Rutas'!CX545/100,"")</f>
        <v>0</v>
      </c>
      <c r="BG547" s="891">
        <f>IF(ISNUMBER('Base de datos Rutas'!CZ545),'Base de datos Rutas'!CZ545/100,"")</f>
        <v>0</v>
      </c>
      <c r="BH547" s="892">
        <f>IF(ISNUMBER('Base de datos Rutas'!DA545),'Base de datos Rutas'!DA545,"")</f>
        <v>0</v>
      </c>
      <c r="BI547" s="893">
        <f>IF(ISNUMBER('Base de datos Rutas'!DC545),'Base de datos Rutas'!DC545,"")</f>
        <v>0</v>
      </c>
      <c r="BJ547" s="805" t="str">
        <f t="shared" si="324"/>
        <v>Ruta (completo)</v>
      </c>
      <c r="BK547" s="783">
        <f t="shared" si="312"/>
        <v>1</v>
      </c>
      <c r="BL547" s="797">
        <f t="shared" si="313"/>
        <v>1</v>
      </c>
      <c r="BM547" s="797">
        <f t="shared" si="314"/>
        <v>1</v>
      </c>
      <c r="BN547" s="797">
        <f t="shared" si="315"/>
        <v>1</v>
      </c>
      <c r="BO547" s="798" cm="1">
        <f t="array" ref="BO547">SUMPRODUCT(--ISNUMBER($BF547:$BI547),$BK$3:$BN$3)</f>
        <v>1</v>
      </c>
      <c r="BP547" s="831">
        <f t="shared" si="325"/>
        <v>0</v>
      </c>
      <c r="BQ547" s="834" t="str">
        <f t="shared" si="326"/>
        <v>Bajo</v>
      </c>
      <c r="BR547" s="836" t="str">
        <f t="shared" si="316"/>
        <v/>
      </c>
      <c r="BS547" s="836">
        <f t="shared" si="317"/>
        <v>0</v>
      </c>
      <c r="BT547" s="837" t="str">
        <f t="shared" si="318"/>
        <v>Sin datos</v>
      </c>
      <c r="BU547" s="807" t="str">
        <f t="shared" si="327"/>
        <v>Con espacio</v>
      </c>
      <c r="BV547" s="807" t="str">
        <f t="shared" si="319"/>
        <v>Zona de bajo potencial</v>
      </c>
      <c r="BW547" s="808" t="str">
        <f t="shared" si="320"/>
        <v>Sin datos</v>
      </c>
    </row>
    <row r="548" spans="1:75">
      <c r="A548" s="780" t="str">
        <f>'Base de datos Rutas'!A546</f>
        <v>Occidente</v>
      </c>
      <c r="B548" s="781" t="str">
        <f>'Base de datos Rutas'!B546</f>
        <v>Favorita</v>
      </c>
      <c r="C548" s="781" t="str">
        <f>'Base de datos Rutas'!C546</f>
        <v>Suc. San Rafael</v>
      </c>
      <c r="D548" s="782">
        <f>IF(ISNUMBER('Base de datos Rutas'!D546),'Base de datos Rutas'!D546,"Sin código")</f>
        <v>803356</v>
      </c>
      <c r="E548" s="783" t="str">
        <f>'Base de datos Rutas'!F546</f>
        <v>Inactiva</v>
      </c>
      <c r="F548" s="784" t="str">
        <f>'Base de datos Rutas'!H546</f>
        <v>No</v>
      </c>
      <c r="G548" s="785" t="str">
        <f>IF(ISNUMBER('Base de datos Rutas'!BE546),'Base de datos Rutas'!BE546,"")</f>
        <v/>
      </c>
      <c r="H548" s="786" t="str">
        <f>IF(ISNUMBER('Base de datos Rutas'!BH546),'Base de datos Rutas'!BH546,"")</f>
        <v/>
      </c>
      <c r="I548" s="788" t="str">
        <f>IFERROR(IF(OR(NOT(ISNUMBER('Base de datos Rutas'!O546)),N('Base de datos Rutas'!BK546)=0),"",'Base de datos Rutas'!O546/('Base de datos Rutas'!L546/'Base de datos Rutas'!BK546)),"")</f>
        <v/>
      </c>
      <c r="J548" s="788" t="str">
        <f>IFERROR(IF(OR(NOT(ISNUMBER('Base de datos Rutas'!N546)),N('Base de datos Rutas'!BK546)=0),"",'Base de datos Rutas'!N546/('Base de datos Rutas'!L546/'Base de datos Rutas'!BK546)),"")</f>
        <v/>
      </c>
      <c r="K548" s="788" t="str">
        <f>IFERROR(IF(OR(NOT(ISNUMBER('Base de datos Rutas'!J546)),N('Base de datos Rutas'!BK546)=0),"",'Base de datos Rutas'!J546/('Base de datos Rutas'!L546/'Base de datos Rutas'!BK546)),"")</f>
        <v/>
      </c>
      <c r="L548" s="788" t="str">
        <f>IFERROR(IF(OR(NOT(ISNUMBER('Base de datos Rutas'!K546)),N('Base de datos Rutas'!BK546)=0),"",'Base de datos Rutas'!K546/('Base de datos Rutas'!L546/'Base de datos Rutas'!BK546)),"")</f>
        <v/>
      </c>
      <c r="M548" s="787">
        <f>IF(ISNUMBER('Base de datos Rutas'!AX546),'Base de datos Rutas'!AX546,"")</f>
        <v>929.17666666666696</v>
      </c>
      <c r="N548" s="790">
        <f>IFERROR(INDEX('Hoja de apoyo v2'!B$17:B$20,MATCH($A548,'Hoja de apoyo v2'!$A$17:$A$20,0)),"")</f>
        <v>89.41621024641401</v>
      </c>
      <c r="O548" s="791">
        <f>IFERROR(INDEX('Hoja de apoyo v2'!C$17:C$20,MATCH($A548,'Hoja de apoyo v2'!$A$17:$A$20,0)),"")</f>
        <v>0.54706375874806301</v>
      </c>
      <c r="P548" s="793">
        <f>IFERROR(INDEX('Hoja de apoyo v2'!D$17:D$20,MATCH($A548,'Hoja de apoyo v2'!$A$17:$A$20,0)),"")</f>
        <v>11095.153935793827</v>
      </c>
      <c r="Q548" s="793">
        <f>IFERROR(INDEX('Hoja de apoyo v2'!E$17:E$20,MATCH($A548,'Hoja de apoyo v2'!$A$17:$A$20,0)),"")</f>
        <v>6982.3202019701848</v>
      </c>
      <c r="R548" s="793">
        <f>IFERROR(INDEX('Hoja de apoyo v2'!F$17:F$20,MATCH($A548,'Hoja de apoyo v2'!$A$17:$A$20,0)),"")</f>
        <v>448.09513474485743</v>
      </c>
      <c r="S548" s="793">
        <f>IFERROR(INDEX('Hoja de apoyo v2'!G$17:G$20,MATCH($A548,'Hoja de apoyo v2'!$A$17:$A$20,0)),"")</f>
        <v>83.406300904207839</v>
      </c>
      <c r="T548" s="792">
        <f>IFERROR(INDEX('Hoja de apoyo v2'!H$17:H$20,MATCH($A548,'Hoja de apoyo v2'!$A$17:$A$20,0)),"")</f>
        <v>378.97014028925349</v>
      </c>
      <c r="U548" s="794" t="str">
        <f t="shared" si="292"/>
        <v/>
      </c>
      <c r="V548" s="795" t="str">
        <f t="shared" si="293"/>
        <v/>
      </c>
      <c r="W548" s="795" t="str">
        <f t="shared" si="294"/>
        <v/>
      </c>
      <c r="X548" s="843" t="str">
        <f t="shared" si="295"/>
        <v/>
      </c>
      <c r="Y548" s="843" t="str">
        <f t="shared" si="296"/>
        <v/>
      </c>
      <c r="Z548" s="843" t="str">
        <f t="shared" si="297"/>
        <v/>
      </c>
      <c r="AA548" s="843">
        <f t="shared" si="298"/>
        <v>2.4518466440587159</v>
      </c>
      <c r="AB548" s="796">
        <f t="shared" si="299"/>
        <v>0</v>
      </c>
      <c r="AC548" s="797">
        <f t="shared" si="300"/>
        <v>0</v>
      </c>
      <c r="AD548" s="797">
        <f t="shared" si="301"/>
        <v>0</v>
      </c>
      <c r="AE548" s="842">
        <f t="shared" si="302"/>
        <v>0</v>
      </c>
      <c r="AF548" s="842">
        <f t="shared" si="303"/>
        <v>0</v>
      </c>
      <c r="AG548" s="842">
        <f t="shared" si="304"/>
        <v>0</v>
      </c>
      <c r="AH548" s="842">
        <f t="shared" si="305"/>
        <v>5</v>
      </c>
      <c r="AI548" s="826" cm="1">
        <f t="array" ref="AI548">SUMPRODUCT(--ISNUMBER($U548:$AA548),$AB$3:$AH$3)</f>
        <v>8.9789113613062493E-2</v>
      </c>
      <c r="AJ548" s="829" t="str">
        <f t="shared" si="306"/>
        <v/>
      </c>
      <c r="AK548" s="827" t="str">
        <f t="shared" si="307"/>
        <v>Ruta inactiva</v>
      </c>
      <c r="AL548" s="784" t="str">
        <f t="shared" si="308"/>
        <v>n/a</v>
      </c>
      <c r="AM548" s="799">
        <f>IF(ISNUMBER('Base de datos Rutas'!W546),'Base de datos Rutas'!W546,"")</f>
        <v>3054.2455510167165</v>
      </c>
      <c r="AN548" s="787">
        <f>IFERROR(SUMIFS('Base de datos Rutas'!$W$6:$W$794,'Base de datos Rutas'!$C$6:$C$794,$C548)/'Base de datos Rutas'!I546,"")</f>
        <v>3054.2455510167188</v>
      </c>
      <c r="AO548" s="800">
        <f>IFERROR('Base de datos Rutas'!X546*AN548/AM548,"")</f>
        <v>0.49742199715828644</v>
      </c>
      <c r="AP548" s="800">
        <f t="shared" si="309"/>
        <v>0.5025780028417135</v>
      </c>
      <c r="AQ548" s="789">
        <f>IFERROR(INDEX('Hoja de apoyo v2'!$J$17:$J$20,MATCH($A548,'Hoja de apoyo v2'!$A$17:$A$20,0)),"")</f>
        <v>0.64320274048480885</v>
      </c>
      <c r="AR548" s="789">
        <f t="shared" si="310"/>
        <v>-0.14062473764309535</v>
      </c>
      <c r="AS548" s="784" t="str">
        <f t="shared" si="311"/>
        <v>No</v>
      </c>
      <c r="AT548" s="801" t="str">
        <f>IF(ISNUMBER('Base de datos Rutas'!CK546),'Base de datos Rutas'!CK546,"")</f>
        <v/>
      </c>
      <c r="AU548" s="802" t="str">
        <f>IF(ISNUMBER('Base de datos Rutas'!CL546),'Base de datos Rutas'!CL546,"")</f>
        <v/>
      </c>
      <c r="AV548" s="802">
        <f>IF(ISNUMBER('Base de datos Rutas'!CM546),'Base de datos Rutas'!CM546,"")</f>
        <v>0</v>
      </c>
      <c r="AW548" s="802" t="str">
        <f>IF(ISNUMBER('Base de datos Rutas'!CN546),'Base de datos Rutas'!CN546,"")</f>
        <v/>
      </c>
      <c r="AX548" s="802" t="str">
        <f>IF(ISNUMBER('Base de datos Rutas'!CO546),'Base de datos Rutas'!CO546,"")</f>
        <v/>
      </c>
      <c r="AY548" s="802">
        <f>IF(ISNUMBER('Base de datos Rutas'!CP546),'Base de datos Rutas'!CP546,"")</f>
        <v>0</v>
      </c>
      <c r="AZ548" s="802" t="str">
        <f>IF(ISNUMBER('Base de datos Rutas'!CQ546),'Base de datos Rutas'!CQ546,"")</f>
        <v/>
      </c>
      <c r="BA548" s="802" t="str">
        <f>IF(ISNUMBER('Base de datos Rutas'!CR546),'Base de datos Rutas'!CR546,"")</f>
        <v/>
      </c>
      <c r="BB548" s="803">
        <f>IF(ISNUMBER('Base de datos Rutas'!CS546),'Base de datos Rutas'!CS546,"")</f>
        <v>0</v>
      </c>
      <c r="BC548" s="804" t="str">
        <f t="shared" si="321"/>
        <v/>
      </c>
      <c r="BD548" s="805" t="str">
        <f t="shared" si="322"/>
        <v>N/D</v>
      </c>
      <c r="BE548" s="806" t="str">
        <f t="shared" si="323"/>
        <v/>
      </c>
      <c r="BF548" s="890" t="str">
        <f>IF(ISNUMBER('Base de datos Rutas'!CX546),'Base de datos Rutas'!CX546/100,"")</f>
        <v/>
      </c>
      <c r="BG548" s="891" t="str">
        <f>IF(ISNUMBER('Base de datos Rutas'!CZ546),'Base de datos Rutas'!CZ546/100,"")</f>
        <v/>
      </c>
      <c r="BH548" s="892" t="str">
        <f>IF(ISNUMBER('Base de datos Rutas'!DA546),'Base de datos Rutas'!DA546,"")</f>
        <v/>
      </c>
      <c r="BI548" s="893" t="str">
        <f>IF(ISNUMBER('Base de datos Rutas'!DC546),'Base de datos Rutas'!DC546,"")</f>
        <v/>
      </c>
      <c r="BJ548" s="805" t="str">
        <f t="shared" si="324"/>
        <v>Sin dato</v>
      </c>
      <c r="BK548" s="783">
        <f t="shared" si="312"/>
        <v>0</v>
      </c>
      <c r="BL548" s="797">
        <f t="shared" si="313"/>
        <v>0</v>
      </c>
      <c r="BM548" s="797">
        <f t="shared" si="314"/>
        <v>0</v>
      </c>
      <c r="BN548" s="797">
        <f t="shared" si="315"/>
        <v>0</v>
      </c>
      <c r="BO548" s="798" cm="1">
        <f t="array" ref="BO548">SUMPRODUCT(--ISNUMBER($BF548:$BI548),$BK$3:$BN$3)</f>
        <v>0</v>
      </c>
      <c r="BP548" s="831" t="str">
        <f t="shared" si="325"/>
        <v/>
      </c>
      <c r="BQ548" s="834" t="str">
        <f t="shared" si="326"/>
        <v>Sin datos</v>
      </c>
      <c r="BR548" s="836" t="str">
        <f t="shared" si="316"/>
        <v/>
      </c>
      <c r="BS548" s="836" t="str">
        <f t="shared" si="317"/>
        <v/>
      </c>
      <c r="BT548" s="837" t="str">
        <f t="shared" si="318"/>
        <v>Sin datos</v>
      </c>
      <c r="BU548" s="807" t="str">
        <f t="shared" si="327"/>
        <v>No evaluable</v>
      </c>
      <c r="BV548" s="807" t="str">
        <f t="shared" si="319"/>
        <v>No evaluable</v>
      </c>
      <c r="BW548" s="808" t="str">
        <f t="shared" si="320"/>
        <v>Sin datos</v>
      </c>
    </row>
    <row r="549" spans="1:75">
      <c r="A549" s="780" t="str">
        <f>'Base de datos Rutas'!A547</f>
        <v>Occidente</v>
      </c>
      <c r="B549" s="781" t="str">
        <f>'Base de datos Rutas'!B547</f>
        <v>Favorita</v>
      </c>
      <c r="C549" s="781" t="str">
        <f>'Base de datos Rutas'!C547</f>
        <v>Suc. San Rafael</v>
      </c>
      <c r="D549" s="782">
        <f>IF(ISNUMBER('Base de datos Rutas'!D547),'Base de datos Rutas'!D547,"Sin código")</f>
        <v>803357</v>
      </c>
      <c r="E549" s="783" t="str">
        <f>'Base de datos Rutas'!F547</f>
        <v>Activa</v>
      </c>
      <c r="F549" s="784" t="str">
        <f>'Base de datos Rutas'!H547</f>
        <v>Sí</v>
      </c>
      <c r="G549" s="785">
        <f>IF(ISNUMBER('Base de datos Rutas'!BE547),'Base de datos Rutas'!BE547,"")</f>
        <v>113.25</v>
      </c>
      <c r="H549" s="786">
        <f>IF(ISNUMBER('Base de datos Rutas'!BH547),'Base de datos Rutas'!BH547,"")</f>
        <v>0.316869880959749</v>
      </c>
      <c r="I549" s="788">
        <f>IFERROR(IF(OR(NOT(ISNUMBER('Base de datos Rutas'!O547)),N('Base de datos Rutas'!BK547)=0),"",'Base de datos Rutas'!O547/('Base de datos Rutas'!L547/'Base de datos Rutas'!BK547)),"")</f>
        <v>2764.2546728971979</v>
      </c>
      <c r="J549" s="788">
        <f>IFERROR(IF(OR(NOT(ISNUMBER('Base de datos Rutas'!N547)),N('Base de datos Rutas'!BK547)=0),"",'Base de datos Rutas'!N547/('Base de datos Rutas'!L547/'Base de datos Rutas'!BK547)),"")</f>
        <v>5240.1915887850491</v>
      </c>
      <c r="K549" s="788">
        <f>IFERROR(IF(OR(NOT(ISNUMBER('Base de datos Rutas'!J547)),N('Base de datos Rutas'!BK547)=0),"",'Base de datos Rutas'!J547/('Base de datos Rutas'!L547/'Base de datos Rutas'!BK547)),"")</f>
        <v>359.33417943925252</v>
      </c>
      <c r="L549" s="788">
        <f>IFERROR(IF(OR(NOT(ISNUMBER('Base de datos Rutas'!K547)),N('Base de datos Rutas'!BK547)=0),"",'Base de datos Rutas'!K547/('Base de datos Rutas'!L547/'Base de datos Rutas'!BK547)),"")</f>
        <v>22.663292481308424</v>
      </c>
      <c r="M549" s="787">
        <f>IF(ISNUMBER('Base de datos Rutas'!AX547),'Base de datos Rutas'!AX547,"")</f>
        <v>222.985323263233</v>
      </c>
      <c r="N549" s="790">
        <f>IFERROR(INDEX('Hoja de apoyo v2'!B$17:B$20,MATCH($A549,'Hoja de apoyo v2'!$A$17:$A$20,0)),"")</f>
        <v>89.41621024641401</v>
      </c>
      <c r="O549" s="791">
        <f>IFERROR(INDEX('Hoja de apoyo v2'!C$17:C$20,MATCH($A549,'Hoja de apoyo v2'!$A$17:$A$20,0)),"")</f>
        <v>0.54706375874806301</v>
      </c>
      <c r="P549" s="793">
        <f>IFERROR(INDEX('Hoja de apoyo v2'!D$17:D$20,MATCH($A549,'Hoja de apoyo v2'!$A$17:$A$20,0)),"")</f>
        <v>11095.153935793827</v>
      </c>
      <c r="Q549" s="793">
        <f>IFERROR(INDEX('Hoja de apoyo v2'!E$17:E$20,MATCH($A549,'Hoja de apoyo v2'!$A$17:$A$20,0)),"")</f>
        <v>6982.3202019701848</v>
      </c>
      <c r="R549" s="793">
        <f>IFERROR(INDEX('Hoja de apoyo v2'!F$17:F$20,MATCH($A549,'Hoja de apoyo v2'!$A$17:$A$20,0)),"")</f>
        <v>448.09513474485743</v>
      </c>
      <c r="S549" s="793">
        <f>IFERROR(INDEX('Hoja de apoyo v2'!G$17:G$20,MATCH($A549,'Hoja de apoyo v2'!$A$17:$A$20,0)),"")</f>
        <v>83.406300904207839</v>
      </c>
      <c r="T549" s="792">
        <f>IFERROR(INDEX('Hoja de apoyo v2'!H$17:H$20,MATCH($A549,'Hoja de apoyo v2'!$A$17:$A$20,0)),"")</f>
        <v>378.97014028925349</v>
      </c>
      <c r="U549" s="794">
        <f t="shared" si="292"/>
        <v>1.2665488694712581</v>
      </c>
      <c r="V549" s="795">
        <f t="shared" si="293"/>
        <v>0.57921928823231694</v>
      </c>
      <c r="W549" s="795">
        <f t="shared" si="294"/>
        <v>0.24914072295829065</v>
      </c>
      <c r="X549" s="843">
        <f t="shared" si="295"/>
        <v>0.75049431094644392</v>
      </c>
      <c r="Y549" s="843">
        <f t="shared" si="296"/>
        <v>0.80191493184556706</v>
      </c>
      <c r="Z549" s="843">
        <f t="shared" si="297"/>
        <v>0.27172158740545538</v>
      </c>
      <c r="AA549" s="843">
        <f t="shared" si="298"/>
        <v>0.58839813367099791</v>
      </c>
      <c r="AB549" s="796">
        <f t="shared" si="299"/>
        <v>5</v>
      </c>
      <c r="AC549" s="797">
        <f t="shared" si="300"/>
        <v>2</v>
      </c>
      <c r="AD549" s="797">
        <f t="shared" si="301"/>
        <v>1</v>
      </c>
      <c r="AE549" s="842">
        <f t="shared" si="302"/>
        <v>3</v>
      </c>
      <c r="AF549" s="842">
        <f t="shared" si="303"/>
        <v>3</v>
      </c>
      <c r="AG549" s="842">
        <f t="shared" si="304"/>
        <v>1</v>
      </c>
      <c r="AH549" s="842">
        <f t="shared" si="305"/>
        <v>2</v>
      </c>
      <c r="AI549" s="826" cm="1">
        <f t="array" ref="AI549">SUMPRODUCT(--ISNUMBER($U549:$AA549),$AB$3:$AH$3)</f>
        <v>1</v>
      </c>
      <c r="AJ549" s="829">
        <f t="shared" si="306"/>
        <v>35.433162455281021</v>
      </c>
      <c r="AK549" s="827" t="str">
        <f t="shared" si="307"/>
        <v>Inmadura</v>
      </c>
      <c r="AL549" s="784" t="str">
        <f t="shared" si="308"/>
        <v>Alta</v>
      </c>
      <c r="AM549" s="799">
        <f>IF(ISNUMBER('Base de datos Rutas'!W547),'Base de datos Rutas'!W547,"")</f>
        <v>3054.2455510167165</v>
      </c>
      <c r="AN549" s="787">
        <f>IFERROR(SUMIFS('Base de datos Rutas'!$W$6:$W$794,'Base de datos Rutas'!$C$6:$C$794,$C549)/'Base de datos Rutas'!I547,"")</f>
        <v>3054.2455510167188</v>
      </c>
      <c r="AO549" s="800">
        <f>IFERROR('Base de datos Rutas'!X547*AN549/AM549,"")</f>
        <v>0.49742199715828644</v>
      </c>
      <c r="AP549" s="800">
        <f t="shared" si="309"/>
        <v>0.5025780028417135</v>
      </c>
      <c r="AQ549" s="789">
        <f>IFERROR(INDEX('Hoja de apoyo v2'!$J$17:$J$20,MATCH($A549,'Hoja de apoyo v2'!$A$17:$A$20,0)),"")</f>
        <v>0.64320274048480885</v>
      </c>
      <c r="AR549" s="789">
        <f t="shared" si="310"/>
        <v>-0.14062473764309535</v>
      </c>
      <c r="AS549" s="784" t="str">
        <f t="shared" si="311"/>
        <v>No</v>
      </c>
      <c r="AT549" s="801">
        <f>IF(ISNUMBER('Base de datos Rutas'!CK547),'Base de datos Rutas'!CK547,"")</f>
        <v>383</v>
      </c>
      <c r="AU549" s="802">
        <f>IF(ISNUMBER('Base de datos Rutas'!CL547),'Base de datos Rutas'!CL547,"")</f>
        <v>383</v>
      </c>
      <c r="AV549" s="802">
        <f>IF(ISNUMBER('Base de datos Rutas'!CM547),'Base de datos Rutas'!CM547,"")</f>
        <v>0</v>
      </c>
      <c r="AW549" s="802">
        <f>IF(ISNUMBER('Base de datos Rutas'!CN547),'Base de datos Rutas'!CN547,"")</f>
        <v>9.7899999999999991</v>
      </c>
      <c r="AX549" s="802">
        <f>IF(ISNUMBER('Base de datos Rutas'!CO547),'Base de datos Rutas'!CO547,"")</f>
        <v>9.4499999999999993</v>
      </c>
      <c r="AY549" s="802">
        <f>IF(ISNUMBER('Base de datos Rutas'!CP547),'Base de datos Rutas'!CP547,"")</f>
        <v>-0.33999999999999986</v>
      </c>
      <c r="AZ549" s="802">
        <f>IF(ISNUMBER('Base de datos Rutas'!CQ547),'Base de datos Rutas'!CQ547,"")</f>
        <v>564.37</v>
      </c>
      <c r="BA549" s="802">
        <f>IF(ISNUMBER('Base de datos Rutas'!CR547),'Base de datos Rutas'!CR547,"")</f>
        <v>382</v>
      </c>
      <c r="BB549" s="803">
        <f>IF(ISNUMBER('Base de datos Rutas'!CS547),'Base de datos Rutas'!CS547,"")</f>
        <v>182.37</v>
      </c>
      <c r="BC549" s="804">
        <f t="shared" si="321"/>
        <v>2</v>
      </c>
      <c r="BD549" s="805" t="str">
        <f t="shared" si="322"/>
        <v>Saturada</v>
      </c>
      <c r="BE549" s="806">
        <f t="shared" si="323"/>
        <v>0.6768609245707603</v>
      </c>
      <c r="BF549" s="890">
        <f>IF(ISNUMBER('Base de datos Rutas'!CX547),'Base de datos Rutas'!CX547/100,"")</f>
        <v>9.9446337308347524E-2</v>
      </c>
      <c r="BG549" s="891">
        <f>IF(ISNUMBER('Base de datos Rutas'!CZ547),'Base de datos Rutas'!CZ547/100,"")</f>
        <v>9.9446337308347524E-2</v>
      </c>
      <c r="BH549" s="892">
        <f>IF(ISNUMBER('Base de datos Rutas'!DA547),'Base de datos Rutas'!DA547,"")</f>
        <v>160.98584114139695</v>
      </c>
      <c r="BI549" s="893">
        <f>IF(ISNUMBER('Base de datos Rutas'!DC547),'Base de datos Rutas'!DC547,"")</f>
        <v>6.8553896933560479</v>
      </c>
      <c r="BJ549" s="805" t="str">
        <f t="shared" si="324"/>
        <v>Ruta (completo)</v>
      </c>
      <c r="BK549" s="783">
        <f t="shared" si="312"/>
        <v>3</v>
      </c>
      <c r="BL549" s="797">
        <f t="shared" si="313"/>
        <v>3</v>
      </c>
      <c r="BM549" s="797">
        <f t="shared" si="314"/>
        <v>4</v>
      </c>
      <c r="BN549" s="797">
        <f t="shared" si="315"/>
        <v>4</v>
      </c>
      <c r="BO549" s="798" cm="1">
        <f t="array" ref="BO549">SUMPRODUCT(--ISNUMBER($BF549:$BI549),$BK$3:$BN$3)</f>
        <v>1</v>
      </c>
      <c r="BP549" s="831">
        <f t="shared" si="325"/>
        <v>62.5</v>
      </c>
      <c r="BQ549" s="834" t="str">
        <f t="shared" si="326"/>
        <v>Alto</v>
      </c>
      <c r="BR549" s="836">
        <f t="shared" si="316"/>
        <v>51.574871841460762</v>
      </c>
      <c r="BS549" s="836">
        <f t="shared" si="317"/>
        <v>62.5</v>
      </c>
      <c r="BT549" s="837" t="str">
        <f t="shared" si="318"/>
        <v>P1</v>
      </c>
      <c r="BU549" s="807" t="str">
        <f t="shared" si="327"/>
        <v>Al tope</v>
      </c>
      <c r="BV549" s="807" t="str">
        <f t="shared" si="319"/>
        <v>Zona atractiva</v>
      </c>
      <c r="BW549" s="808" t="str">
        <f t="shared" si="320"/>
        <v>P1 - Ampliar cobertura</v>
      </c>
    </row>
    <row r="550" spans="1:75">
      <c r="A550" s="780" t="str">
        <f>'Base de datos Rutas'!A548</f>
        <v>Occidente</v>
      </c>
      <c r="B550" s="781" t="str">
        <f>'Base de datos Rutas'!B548</f>
        <v>Favorita</v>
      </c>
      <c r="C550" s="781" t="str">
        <f>'Base de datos Rutas'!C548</f>
        <v>Suc. San Rafael</v>
      </c>
      <c r="D550" s="782">
        <f>IF(ISNUMBER('Base de datos Rutas'!D548),'Base de datos Rutas'!D548,"Sin código")</f>
        <v>803358</v>
      </c>
      <c r="E550" s="783" t="str">
        <f>'Base de datos Rutas'!F548</f>
        <v>Activa</v>
      </c>
      <c r="F550" s="784" t="str">
        <f>'Base de datos Rutas'!H548</f>
        <v>No</v>
      </c>
      <c r="G550" s="785" t="str">
        <f>IF(ISNUMBER('Base de datos Rutas'!BE548),'Base de datos Rutas'!BE548,"")</f>
        <v/>
      </c>
      <c r="H550" s="786" t="str">
        <f>IF(ISNUMBER('Base de datos Rutas'!BH548),'Base de datos Rutas'!BH548,"")</f>
        <v/>
      </c>
      <c r="I550" s="788" t="str">
        <f>IFERROR(IF(OR(NOT(ISNUMBER('Base de datos Rutas'!O548)),N('Base de datos Rutas'!BK548)=0),"",'Base de datos Rutas'!O548/('Base de datos Rutas'!L548/'Base de datos Rutas'!BK548)),"")</f>
        <v/>
      </c>
      <c r="J550" s="788" t="str">
        <f>IFERROR(IF(OR(NOT(ISNUMBER('Base de datos Rutas'!N548)),N('Base de datos Rutas'!BK548)=0),"",'Base de datos Rutas'!N548/('Base de datos Rutas'!L548/'Base de datos Rutas'!BK548)),"")</f>
        <v/>
      </c>
      <c r="K550" s="788" t="str">
        <f>IFERROR(IF(OR(NOT(ISNUMBER('Base de datos Rutas'!J548)),N('Base de datos Rutas'!BK548)=0),"",'Base de datos Rutas'!J548/('Base de datos Rutas'!L548/'Base de datos Rutas'!BK548)),"")</f>
        <v/>
      </c>
      <c r="L550" s="788" t="str">
        <f>IFERROR(IF(OR(NOT(ISNUMBER('Base de datos Rutas'!K548)),N('Base de datos Rutas'!BK548)=0),"",'Base de datos Rutas'!K548/('Base de datos Rutas'!L548/'Base de datos Rutas'!BK548)),"")</f>
        <v/>
      </c>
      <c r="M550" s="787">
        <f>IF(ISNUMBER('Base de datos Rutas'!AX548),'Base de datos Rutas'!AX548,"")</f>
        <v>176.98</v>
      </c>
      <c r="N550" s="790">
        <f>IFERROR(INDEX('Hoja de apoyo v2'!B$17:B$20,MATCH($A550,'Hoja de apoyo v2'!$A$17:$A$20,0)),"")</f>
        <v>89.41621024641401</v>
      </c>
      <c r="O550" s="791">
        <f>IFERROR(INDEX('Hoja de apoyo v2'!C$17:C$20,MATCH($A550,'Hoja de apoyo v2'!$A$17:$A$20,0)),"")</f>
        <v>0.54706375874806301</v>
      </c>
      <c r="P550" s="793">
        <f>IFERROR(INDEX('Hoja de apoyo v2'!D$17:D$20,MATCH($A550,'Hoja de apoyo v2'!$A$17:$A$20,0)),"")</f>
        <v>11095.153935793827</v>
      </c>
      <c r="Q550" s="793">
        <f>IFERROR(INDEX('Hoja de apoyo v2'!E$17:E$20,MATCH($A550,'Hoja de apoyo v2'!$A$17:$A$20,0)),"")</f>
        <v>6982.3202019701848</v>
      </c>
      <c r="R550" s="793">
        <f>IFERROR(INDEX('Hoja de apoyo v2'!F$17:F$20,MATCH($A550,'Hoja de apoyo v2'!$A$17:$A$20,0)),"")</f>
        <v>448.09513474485743</v>
      </c>
      <c r="S550" s="793">
        <f>IFERROR(INDEX('Hoja de apoyo v2'!G$17:G$20,MATCH($A550,'Hoja de apoyo v2'!$A$17:$A$20,0)),"")</f>
        <v>83.406300904207839</v>
      </c>
      <c r="T550" s="792">
        <f>IFERROR(INDEX('Hoja de apoyo v2'!H$17:H$20,MATCH($A550,'Hoja de apoyo v2'!$A$17:$A$20,0)),"")</f>
        <v>378.97014028925349</v>
      </c>
      <c r="U550" s="794" t="str">
        <f t="shared" si="292"/>
        <v/>
      </c>
      <c r="V550" s="795" t="str">
        <f t="shared" si="293"/>
        <v/>
      </c>
      <c r="W550" s="795" t="str">
        <f t="shared" si="294"/>
        <v/>
      </c>
      <c r="X550" s="843" t="str">
        <f t="shared" si="295"/>
        <v/>
      </c>
      <c r="Y550" s="843" t="str">
        <f t="shared" si="296"/>
        <v/>
      </c>
      <c r="Z550" s="843" t="str">
        <f t="shared" si="297"/>
        <v/>
      </c>
      <c r="AA550" s="843">
        <f t="shared" si="298"/>
        <v>0.46700249224099261</v>
      </c>
      <c r="AB550" s="796">
        <f t="shared" si="299"/>
        <v>0</v>
      </c>
      <c r="AC550" s="797">
        <f t="shared" si="300"/>
        <v>0</v>
      </c>
      <c r="AD550" s="797">
        <f t="shared" si="301"/>
        <v>0</v>
      </c>
      <c r="AE550" s="842">
        <f t="shared" si="302"/>
        <v>0</v>
      </c>
      <c r="AF550" s="842">
        <f t="shared" si="303"/>
        <v>0</v>
      </c>
      <c r="AG550" s="842">
        <f t="shared" si="304"/>
        <v>0</v>
      </c>
      <c r="AH550" s="842">
        <f t="shared" si="305"/>
        <v>1</v>
      </c>
      <c r="AI550" s="826" cm="1">
        <f t="array" ref="AI550">SUMPRODUCT(--ISNUMBER($U550:$AA550),$AB$3:$AH$3)</f>
        <v>8.9789113613062493E-2</v>
      </c>
      <c r="AJ550" s="829" t="str">
        <f t="shared" si="306"/>
        <v/>
      </c>
      <c r="AK550" s="827" t="str">
        <f t="shared" si="307"/>
        <v>No elegible</v>
      </c>
      <c r="AL550" s="784" t="str">
        <f t="shared" si="308"/>
        <v>n/a</v>
      </c>
      <c r="AM550" s="799">
        <f>IF(ISNUMBER('Base de datos Rutas'!W548),'Base de datos Rutas'!W548,"")</f>
        <v>3054.2455510167165</v>
      </c>
      <c r="AN550" s="787">
        <f>IFERROR(SUMIFS('Base de datos Rutas'!$W$6:$W$794,'Base de datos Rutas'!$C$6:$C$794,$C550)/'Base de datos Rutas'!I548,"")</f>
        <v>3054.2455510167188</v>
      </c>
      <c r="AO550" s="800">
        <f>IFERROR('Base de datos Rutas'!X548*AN550/AM550,"")</f>
        <v>0.49742199715828644</v>
      </c>
      <c r="AP550" s="800">
        <f t="shared" si="309"/>
        <v>0.5025780028417135</v>
      </c>
      <c r="AQ550" s="789">
        <f>IFERROR(INDEX('Hoja de apoyo v2'!$J$17:$J$20,MATCH($A550,'Hoja de apoyo v2'!$A$17:$A$20,0)),"")</f>
        <v>0.64320274048480885</v>
      </c>
      <c r="AR550" s="789">
        <f t="shared" si="310"/>
        <v>-0.14062473764309535</v>
      </c>
      <c r="AS550" s="784" t="str">
        <f t="shared" si="311"/>
        <v>No</v>
      </c>
      <c r="AT550" s="801" t="str">
        <f>IF(ISNUMBER('Base de datos Rutas'!CK548),'Base de datos Rutas'!CK548,"")</f>
        <v/>
      </c>
      <c r="AU550" s="802" t="str">
        <f>IF(ISNUMBER('Base de datos Rutas'!CL548),'Base de datos Rutas'!CL548,"")</f>
        <v/>
      </c>
      <c r="AV550" s="802">
        <f>IF(ISNUMBER('Base de datos Rutas'!CM548),'Base de datos Rutas'!CM548,"")</f>
        <v>0</v>
      </c>
      <c r="AW550" s="802" t="str">
        <f>IF(ISNUMBER('Base de datos Rutas'!CN548),'Base de datos Rutas'!CN548,"")</f>
        <v/>
      </c>
      <c r="AX550" s="802" t="str">
        <f>IF(ISNUMBER('Base de datos Rutas'!CO548),'Base de datos Rutas'!CO548,"")</f>
        <v/>
      </c>
      <c r="AY550" s="802">
        <f>IF(ISNUMBER('Base de datos Rutas'!CP548),'Base de datos Rutas'!CP548,"")</f>
        <v>0</v>
      </c>
      <c r="AZ550" s="802" t="str">
        <f>IF(ISNUMBER('Base de datos Rutas'!CQ548),'Base de datos Rutas'!CQ548,"")</f>
        <v/>
      </c>
      <c r="BA550" s="802" t="str">
        <f>IF(ISNUMBER('Base de datos Rutas'!CR548),'Base de datos Rutas'!CR548,"")</f>
        <v/>
      </c>
      <c r="BB550" s="803">
        <f>IF(ISNUMBER('Base de datos Rutas'!CS548),'Base de datos Rutas'!CS548,"")</f>
        <v>0</v>
      </c>
      <c r="BC550" s="804" t="str">
        <f t="shared" si="321"/>
        <v/>
      </c>
      <c r="BD550" s="805" t="str">
        <f t="shared" si="322"/>
        <v>N/D</v>
      </c>
      <c r="BE550" s="806" t="str">
        <f t="shared" si="323"/>
        <v/>
      </c>
      <c r="BF550" s="890" t="str">
        <f>IF(ISNUMBER('Base de datos Rutas'!CX548),'Base de datos Rutas'!CX548/100,"")</f>
        <v/>
      </c>
      <c r="BG550" s="891" t="str">
        <f>IF(ISNUMBER('Base de datos Rutas'!CZ548),'Base de datos Rutas'!CZ548/100,"")</f>
        <v/>
      </c>
      <c r="BH550" s="892" t="str">
        <f>IF(ISNUMBER('Base de datos Rutas'!DA548),'Base de datos Rutas'!DA548,"")</f>
        <v/>
      </c>
      <c r="BI550" s="893" t="str">
        <f>IF(ISNUMBER('Base de datos Rutas'!DC548),'Base de datos Rutas'!DC548,"")</f>
        <v/>
      </c>
      <c r="BJ550" s="805" t="str">
        <f t="shared" si="324"/>
        <v>Sin dato</v>
      </c>
      <c r="BK550" s="783">
        <f t="shared" si="312"/>
        <v>0</v>
      </c>
      <c r="BL550" s="797">
        <f t="shared" si="313"/>
        <v>0</v>
      </c>
      <c r="BM550" s="797">
        <f t="shared" si="314"/>
        <v>0</v>
      </c>
      <c r="BN550" s="797">
        <f t="shared" si="315"/>
        <v>0</v>
      </c>
      <c r="BO550" s="798" cm="1">
        <f t="array" ref="BO550">SUMPRODUCT(--ISNUMBER($BF550:$BI550),$BK$3:$BN$3)</f>
        <v>0</v>
      </c>
      <c r="BP550" s="831" t="str">
        <f t="shared" si="325"/>
        <v/>
      </c>
      <c r="BQ550" s="834" t="str">
        <f t="shared" si="326"/>
        <v>Sin datos</v>
      </c>
      <c r="BR550" s="836" t="str">
        <f t="shared" si="316"/>
        <v/>
      </c>
      <c r="BS550" s="836" t="str">
        <f t="shared" si="317"/>
        <v/>
      </c>
      <c r="BT550" s="837" t="str">
        <f t="shared" si="318"/>
        <v>Sin datos</v>
      </c>
      <c r="BU550" s="807" t="str">
        <f t="shared" si="327"/>
        <v>No evaluable</v>
      </c>
      <c r="BV550" s="807" t="str">
        <f t="shared" si="319"/>
        <v>No evaluable</v>
      </c>
      <c r="BW550" s="808" t="str">
        <f t="shared" si="320"/>
        <v>Sin datos</v>
      </c>
    </row>
    <row r="551" spans="1:75">
      <c r="A551" s="780" t="str">
        <f>'Base de datos Rutas'!A549</f>
        <v>Occidente</v>
      </c>
      <c r="B551" s="781" t="str">
        <f>'Base de datos Rutas'!B549</f>
        <v>Favorita</v>
      </c>
      <c r="C551" s="781" t="str">
        <f>'Base de datos Rutas'!C549</f>
        <v>Suc. San Rafael</v>
      </c>
      <c r="D551" s="782">
        <f>IF(ISNUMBER('Base de datos Rutas'!D549),'Base de datos Rutas'!D549,"Sin código")</f>
        <v>803359</v>
      </c>
      <c r="E551" s="783" t="str">
        <f>'Base de datos Rutas'!F549</f>
        <v>Inactiva</v>
      </c>
      <c r="F551" s="784" t="str">
        <f>'Base de datos Rutas'!H549</f>
        <v>No</v>
      </c>
      <c r="G551" s="785" t="str">
        <f>IF(ISNUMBER('Base de datos Rutas'!BE549),'Base de datos Rutas'!BE549,"")</f>
        <v/>
      </c>
      <c r="H551" s="786" t="str">
        <f>IF(ISNUMBER('Base de datos Rutas'!BH549),'Base de datos Rutas'!BH549,"")</f>
        <v/>
      </c>
      <c r="I551" s="788" t="str">
        <f>IFERROR(IF(OR(NOT(ISNUMBER('Base de datos Rutas'!O549)),N('Base de datos Rutas'!BK549)=0),"",'Base de datos Rutas'!O549/('Base de datos Rutas'!L549/'Base de datos Rutas'!BK549)),"")</f>
        <v/>
      </c>
      <c r="J551" s="788" t="str">
        <f>IFERROR(IF(OR(NOT(ISNUMBER('Base de datos Rutas'!N549)),N('Base de datos Rutas'!BK549)=0),"",'Base de datos Rutas'!N549/('Base de datos Rutas'!L549/'Base de datos Rutas'!BK549)),"")</f>
        <v/>
      </c>
      <c r="K551" s="788" t="str">
        <f>IFERROR(IF(OR(NOT(ISNUMBER('Base de datos Rutas'!J549)),N('Base de datos Rutas'!BK549)=0),"",'Base de datos Rutas'!J549/('Base de datos Rutas'!L549/'Base de datos Rutas'!BK549)),"")</f>
        <v/>
      </c>
      <c r="L551" s="788" t="str">
        <f>IFERROR(IF(OR(NOT(ISNUMBER('Base de datos Rutas'!K549)),N('Base de datos Rutas'!BK549)=0),"",'Base de datos Rutas'!K549/('Base de datos Rutas'!L549/'Base de datos Rutas'!BK549)),"")</f>
        <v/>
      </c>
      <c r="M551" s="787">
        <f>IF(ISNUMBER('Base de datos Rutas'!AX549),'Base de datos Rutas'!AX549,"")</f>
        <v>104</v>
      </c>
      <c r="N551" s="790">
        <f>IFERROR(INDEX('Hoja de apoyo v2'!B$17:B$20,MATCH($A551,'Hoja de apoyo v2'!$A$17:$A$20,0)),"")</f>
        <v>89.41621024641401</v>
      </c>
      <c r="O551" s="791">
        <f>IFERROR(INDEX('Hoja de apoyo v2'!C$17:C$20,MATCH($A551,'Hoja de apoyo v2'!$A$17:$A$20,0)),"")</f>
        <v>0.54706375874806301</v>
      </c>
      <c r="P551" s="793">
        <f>IFERROR(INDEX('Hoja de apoyo v2'!D$17:D$20,MATCH($A551,'Hoja de apoyo v2'!$A$17:$A$20,0)),"")</f>
        <v>11095.153935793827</v>
      </c>
      <c r="Q551" s="793">
        <f>IFERROR(INDEX('Hoja de apoyo v2'!E$17:E$20,MATCH($A551,'Hoja de apoyo v2'!$A$17:$A$20,0)),"")</f>
        <v>6982.3202019701848</v>
      </c>
      <c r="R551" s="793">
        <f>IFERROR(INDEX('Hoja de apoyo v2'!F$17:F$20,MATCH($A551,'Hoja de apoyo v2'!$A$17:$A$20,0)),"")</f>
        <v>448.09513474485743</v>
      </c>
      <c r="S551" s="793">
        <f>IFERROR(INDEX('Hoja de apoyo v2'!G$17:G$20,MATCH($A551,'Hoja de apoyo v2'!$A$17:$A$20,0)),"")</f>
        <v>83.406300904207839</v>
      </c>
      <c r="T551" s="792">
        <f>IFERROR(INDEX('Hoja de apoyo v2'!H$17:H$20,MATCH($A551,'Hoja de apoyo v2'!$A$17:$A$20,0)),"")</f>
        <v>378.97014028925349</v>
      </c>
      <c r="U551" s="794" t="str">
        <f t="shared" si="292"/>
        <v/>
      </c>
      <c r="V551" s="795" t="str">
        <f t="shared" si="293"/>
        <v/>
      </c>
      <c r="W551" s="795" t="str">
        <f t="shared" si="294"/>
        <v/>
      </c>
      <c r="X551" s="843" t="str">
        <f t="shared" si="295"/>
        <v/>
      </c>
      <c r="Y551" s="843" t="str">
        <f t="shared" si="296"/>
        <v/>
      </c>
      <c r="Z551" s="843" t="str">
        <f t="shared" si="297"/>
        <v/>
      </c>
      <c r="AA551" s="843">
        <f t="shared" si="298"/>
        <v>0.27442795340187159</v>
      </c>
      <c r="AB551" s="796">
        <f t="shared" si="299"/>
        <v>0</v>
      </c>
      <c r="AC551" s="797">
        <f t="shared" si="300"/>
        <v>0</v>
      </c>
      <c r="AD551" s="797">
        <f t="shared" si="301"/>
        <v>0</v>
      </c>
      <c r="AE551" s="842">
        <f t="shared" si="302"/>
        <v>0</v>
      </c>
      <c r="AF551" s="842">
        <f t="shared" si="303"/>
        <v>0</v>
      </c>
      <c r="AG551" s="842">
        <f t="shared" si="304"/>
        <v>0</v>
      </c>
      <c r="AH551" s="842">
        <f t="shared" si="305"/>
        <v>1</v>
      </c>
      <c r="AI551" s="826" cm="1">
        <f t="array" ref="AI551">SUMPRODUCT(--ISNUMBER($U551:$AA551),$AB$3:$AH$3)</f>
        <v>8.9789113613062493E-2</v>
      </c>
      <c r="AJ551" s="829" t="str">
        <f t="shared" si="306"/>
        <v/>
      </c>
      <c r="AK551" s="827" t="str">
        <f t="shared" si="307"/>
        <v>Ruta inactiva</v>
      </c>
      <c r="AL551" s="784" t="str">
        <f t="shared" si="308"/>
        <v>n/a</v>
      </c>
      <c r="AM551" s="799">
        <f>IF(ISNUMBER('Base de datos Rutas'!W549),'Base de datos Rutas'!W549,"")</f>
        <v>3054.2455510167165</v>
      </c>
      <c r="AN551" s="787">
        <f>IFERROR(SUMIFS('Base de datos Rutas'!$W$6:$W$794,'Base de datos Rutas'!$C$6:$C$794,$C551)/'Base de datos Rutas'!I549,"")</f>
        <v>3054.2455510167188</v>
      </c>
      <c r="AO551" s="800">
        <f>IFERROR('Base de datos Rutas'!X549*AN551/AM551,"")</f>
        <v>0.49742199715828644</v>
      </c>
      <c r="AP551" s="800">
        <f t="shared" si="309"/>
        <v>0.5025780028417135</v>
      </c>
      <c r="AQ551" s="789">
        <f>IFERROR(INDEX('Hoja de apoyo v2'!$J$17:$J$20,MATCH($A551,'Hoja de apoyo v2'!$A$17:$A$20,0)),"")</f>
        <v>0.64320274048480885</v>
      </c>
      <c r="AR551" s="789">
        <f t="shared" si="310"/>
        <v>-0.14062473764309535</v>
      </c>
      <c r="AS551" s="784" t="str">
        <f t="shared" si="311"/>
        <v>No</v>
      </c>
      <c r="AT551" s="801" t="str">
        <f>IF(ISNUMBER('Base de datos Rutas'!CK549),'Base de datos Rutas'!CK549,"")</f>
        <v/>
      </c>
      <c r="AU551" s="802" t="str">
        <f>IF(ISNUMBER('Base de datos Rutas'!CL549),'Base de datos Rutas'!CL549,"")</f>
        <v/>
      </c>
      <c r="AV551" s="802">
        <f>IF(ISNUMBER('Base de datos Rutas'!CM549),'Base de datos Rutas'!CM549,"")</f>
        <v>0</v>
      </c>
      <c r="AW551" s="802" t="str">
        <f>IF(ISNUMBER('Base de datos Rutas'!CN549),'Base de datos Rutas'!CN549,"")</f>
        <v/>
      </c>
      <c r="AX551" s="802" t="str">
        <f>IF(ISNUMBER('Base de datos Rutas'!CO549),'Base de datos Rutas'!CO549,"")</f>
        <v/>
      </c>
      <c r="AY551" s="802">
        <f>IF(ISNUMBER('Base de datos Rutas'!CP549),'Base de datos Rutas'!CP549,"")</f>
        <v>0</v>
      </c>
      <c r="AZ551" s="802" t="str">
        <f>IF(ISNUMBER('Base de datos Rutas'!CQ549),'Base de datos Rutas'!CQ549,"")</f>
        <v/>
      </c>
      <c r="BA551" s="802" t="str">
        <f>IF(ISNUMBER('Base de datos Rutas'!CR549),'Base de datos Rutas'!CR549,"")</f>
        <v/>
      </c>
      <c r="BB551" s="803">
        <f>IF(ISNUMBER('Base de datos Rutas'!CS549),'Base de datos Rutas'!CS549,"")</f>
        <v>0</v>
      </c>
      <c r="BC551" s="804" t="str">
        <f t="shared" si="321"/>
        <v/>
      </c>
      <c r="BD551" s="805" t="str">
        <f t="shared" si="322"/>
        <v>N/D</v>
      </c>
      <c r="BE551" s="806" t="str">
        <f t="shared" si="323"/>
        <v/>
      </c>
      <c r="BF551" s="890" t="str">
        <f>IF(ISNUMBER('Base de datos Rutas'!CX549),'Base de datos Rutas'!CX549/100,"")</f>
        <v/>
      </c>
      <c r="BG551" s="891" t="str">
        <f>IF(ISNUMBER('Base de datos Rutas'!CZ549),'Base de datos Rutas'!CZ549/100,"")</f>
        <v/>
      </c>
      <c r="BH551" s="892" t="str">
        <f>IF(ISNUMBER('Base de datos Rutas'!DA549),'Base de datos Rutas'!DA549,"")</f>
        <v/>
      </c>
      <c r="BI551" s="893" t="str">
        <f>IF(ISNUMBER('Base de datos Rutas'!DC549),'Base de datos Rutas'!DC549,"")</f>
        <v/>
      </c>
      <c r="BJ551" s="805" t="str">
        <f t="shared" si="324"/>
        <v>Sin dato</v>
      </c>
      <c r="BK551" s="783">
        <f t="shared" si="312"/>
        <v>0</v>
      </c>
      <c r="BL551" s="797">
        <f t="shared" si="313"/>
        <v>0</v>
      </c>
      <c r="BM551" s="797">
        <f t="shared" si="314"/>
        <v>0</v>
      </c>
      <c r="BN551" s="797">
        <f t="shared" si="315"/>
        <v>0</v>
      </c>
      <c r="BO551" s="798" cm="1">
        <f t="array" ref="BO551">SUMPRODUCT(--ISNUMBER($BF551:$BI551),$BK$3:$BN$3)</f>
        <v>0</v>
      </c>
      <c r="BP551" s="831" t="str">
        <f t="shared" si="325"/>
        <v/>
      </c>
      <c r="BQ551" s="834" t="str">
        <f t="shared" si="326"/>
        <v>Sin datos</v>
      </c>
      <c r="BR551" s="836" t="str">
        <f t="shared" si="316"/>
        <v/>
      </c>
      <c r="BS551" s="836" t="str">
        <f t="shared" si="317"/>
        <v/>
      </c>
      <c r="BT551" s="837" t="str">
        <f t="shared" si="318"/>
        <v>Sin datos</v>
      </c>
      <c r="BU551" s="807" t="str">
        <f t="shared" si="327"/>
        <v>No evaluable</v>
      </c>
      <c r="BV551" s="807" t="str">
        <f t="shared" si="319"/>
        <v>No evaluable</v>
      </c>
      <c r="BW551" s="808" t="str">
        <f t="shared" si="320"/>
        <v>Sin datos</v>
      </c>
    </row>
    <row r="552" spans="1:75">
      <c r="A552" s="780" t="str">
        <f>'Base de datos Rutas'!A550</f>
        <v>Occidente</v>
      </c>
      <c r="B552" s="781" t="str">
        <f>'Base de datos Rutas'!B550</f>
        <v>Favorita</v>
      </c>
      <c r="C552" s="781" t="str">
        <f>'Base de datos Rutas'!C550</f>
        <v>Suc. San Rafael</v>
      </c>
      <c r="D552" s="782">
        <f>IF(ISNUMBER('Base de datos Rutas'!D550),'Base de datos Rutas'!D550,"Sin código")</f>
        <v>803360</v>
      </c>
      <c r="E552" s="783" t="str">
        <f>'Base de datos Rutas'!F550</f>
        <v>Activa</v>
      </c>
      <c r="F552" s="784" t="str">
        <f>'Base de datos Rutas'!H550</f>
        <v>Sí</v>
      </c>
      <c r="G552" s="785">
        <f>IF(ISNUMBER('Base de datos Rutas'!BE550),'Base de datos Rutas'!BE550,"")</f>
        <v>93.1666666666667</v>
      </c>
      <c r="H552" s="786">
        <f>IF(ISNUMBER('Base de datos Rutas'!BH550),'Base de datos Rutas'!BH550,"")</f>
        <v>1.78890876565295E-3</v>
      </c>
      <c r="I552" s="788">
        <f>IFERROR(IF(OR(NOT(ISNUMBER('Base de datos Rutas'!O550)),N('Base de datos Rutas'!BK550)=0),"",'Base de datos Rutas'!O550/('Base de datos Rutas'!L550/'Base de datos Rutas'!BK550)),"")</f>
        <v>12.863636363636372</v>
      </c>
      <c r="J552" s="788">
        <f>IFERROR(IF(OR(NOT(ISNUMBER('Base de datos Rutas'!N550)),N('Base de datos Rutas'!BK550)=0),"",'Base de datos Rutas'!N550/('Base de datos Rutas'!L550/'Base de datos Rutas'!BK550)),"")</f>
        <v>92.318181818181884</v>
      </c>
      <c r="K552" s="788">
        <f>IFERROR(IF(OR(NOT(ISNUMBER('Base de datos Rutas'!J550)),N('Base de datos Rutas'!BK550)=0),"",'Base de datos Rutas'!J550/('Base de datos Rutas'!L550/'Base de datos Rutas'!BK550)),"")</f>
        <v>7.6852363636363688</v>
      </c>
      <c r="L552" s="788">
        <f>IFERROR(IF(OR(NOT(ISNUMBER('Base de datos Rutas'!K550)),N('Base de datos Rutas'!BK550)=0),"",'Base de datos Rutas'!K550/('Base de datos Rutas'!L550/'Base de datos Rutas'!BK550)),"")</f>
        <v>0.16010909090909103</v>
      </c>
      <c r="M552" s="787">
        <f>IF(ISNUMBER('Base de datos Rutas'!AX550),'Base de datos Rutas'!AX550,"")</f>
        <v>136.10352941176501</v>
      </c>
      <c r="N552" s="790">
        <f>IFERROR(INDEX('Hoja de apoyo v2'!B$17:B$20,MATCH($A552,'Hoja de apoyo v2'!$A$17:$A$20,0)),"")</f>
        <v>89.41621024641401</v>
      </c>
      <c r="O552" s="791">
        <f>IFERROR(INDEX('Hoja de apoyo v2'!C$17:C$20,MATCH($A552,'Hoja de apoyo v2'!$A$17:$A$20,0)),"")</f>
        <v>0.54706375874806301</v>
      </c>
      <c r="P552" s="793">
        <f>IFERROR(INDEX('Hoja de apoyo v2'!D$17:D$20,MATCH($A552,'Hoja de apoyo v2'!$A$17:$A$20,0)),"")</f>
        <v>11095.153935793827</v>
      </c>
      <c r="Q552" s="793">
        <f>IFERROR(INDEX('Hoja de apoyo v2'!E$17:E$20,MATCH($A552,'Hoja de apoyo v2'!$A$17:$A$20,0)),"")</f>
        <v>6982.3202019701848</v>
      </c>
      <c r="R552" s="793">
        <f>IFERROR(INDEX('Hoja de apoyo v2'!F$17:F$20,MATCH($A552,'Hoja de apoyo v2'!$A$17:$A$20,0)),"")</f>
        <v>448.09513474485743</v>
      </c>
      <c r="S552" s="793">
        <f>IFERROR(INDEX('Hoja de apoyo v2'!G$17:G$20,MATCH($A552,'Hoja de apoyo v2'!$A$17:$A$20,0)),"")</f>
        <v>83.406300904207839</v>
      </c>
      <c r="T552" s="792">
        <f>IFERROR(INDEX('Hoja de apoyo v2'!H$17:H$20,MATCH($A552,'Hoja de apoyo v2'!$A$17:$A$20,0)),"")</f>
        <v>378.97014028925349</v>
      </c>
      <c r="U552" s="794">
        <f t="shared" si="292"/>
        <v>1.04194380873353</v>
      </c>
      <c r="V552" s="795">
        <f t="shared" si="293"/>
        <v>3.2700187812601724E-3</v>
      </c>
      <c r="W552" s="795">
        <f t="shared" si="294"/>
        <v>1.1593923291264381E-3</v>
      </c>
      <c r="X552" s="843">
        <f t="shared" si="295"/>
        <v>1.3221705557435289E-2</v>
      </c>
      <c r="Y552" s="843">
        <f t="shared" si="296"/>
        <v>1.7150903385756006E-2</v>
      </c>
      <c r="Z552" s="843">
        <f t="shared" si="297"/>
        <v>1.91962824359009E-3</v>
      </c>
      <c r="AA552" s="843">
        <f t="shared" si="298"/>
        <v>0.35914050987732798</v>
      </c>
      <c r="AB552" s="796">
        <f t="shared" si="299"/>
        <v>4</v>
      </c>
      <c r="AC552" s="797">
        <f t="shared" si="300"/>
        <v>1</v>
      </c>
      <c r="AD552" s="797">
        <f t="shared" si="301"/>
        <v>1</v>
      </c>
      <c r="AE552" s="842">
        <f t="shared" si="302"/>
        <v>1</v>
      </c>
      <c r="AF552" s="842">
        <f t="shared" si="303"/>
        <v>1</v>
      </c>
      <c r="AG552" s="842">
        <f t="shared" si="304"/>
        <v>1</v>
      </c>
      <c r="AH552" s="842">
        <f t="shared" si="305"/>
        <v>1</v>
      </c>
      <c r="AI552" s="826" cm="1">
        <f t="array" ref="AI552">SUMPRODUCT(--ISNUMBER($U552:$AA552),$AB$3:$AH$3)</f>
        <v>1</v>
      </c>
      <c r="AJ552" s="829">
        <f t="shared" si="306"/>
        <v>13.600908534410255</v>
      </c>
      <c r="AK552" s="827" t="str">
        <f t="shared" si="307"/>
        <v>Inmadura</v>
      </c>
      <c r="AL552" s="784" t="str">
        <f t="shared" si="308"/>
        <v>Alta</v>
      </c>
      <c r="AM552" s="799">
        <f>IF(ISNUMBER('Base de datos Rutas'!W550),'Base de datos Rutas'!W550,"")</f>
        <v>3054.2455510167165</v>
      </c>
      <c r="AN552" s="787">
        <f>IFERROR(SUMIFS('Base de datos Rutas'!$W$6:$W$794,'Base de datos Rutas'!$C$6:$C$794,$C552)/'Base de datos Rutas'!I550,"")</f>
        <v>3054.2455510167188</v>
      </c>
      <c r="AO552" s="800">
        <f>IFERROR('Base de datos Rutas'!X550*AN552/AM552,"")</f>
        <v>0.49742199715828644</v>
      </c>
      <c r="AP552" s="800">
        <f t="shared" si="309"/>
        <v>0.5025780028417135</v>
      </c>
      <c r="AQ552" s="789">
        <f>IFERROR(INDEX('Hoja de apoyo v2'!$J$17:$J$20,MATCH($A552,'Hoja de apoyo v2'!$A$17:$A$20,0)),"")</f>
        <v>0.64320274048480885</v>
      </c>
      <c r="AR552" s="789">
        <f t="shared" si="310"/>
        <v>-0.14062473764309535</v>
      </c>
      <c r="AS552" s="784" t="str">
        <f t="shared" si="311"/>
        <v>No</v>
      </c>
      <c r="AT552" s="801" t="str">
        <f>IF(ISNUMBER('Base de datos Rutas'!CK550),'Base de datos Rutas'!CK550,"")</f>
        <v/>
      </c>
      <c r="AU552" s="802" t="str">
        <f>IF(ISNUMBER('Base de datos Rutas'!CL550),'Base de datos Rutas'!CL550,"")</f>
        <v/>
      </c>
      <c r="AV552" s="802">
        <f>IF(ISNUMBER('Base de datos Rutas'!CM550),'Base de datos Rutas'!CM550,"")</f>
        <v>0</v>
      </c>
      <c r="AW552" s="802" t="str">
        <f>IF(ISNUMBER('Base de datos Rutas'!CN550),'Base de datos Rutas'!CN550,"")</f>
        <v/>
      </c>
      <c r="AX552" s="802" t="str">
        <f>IF(ISNUMBER('Base de datos Rutas'!CO550),'Base de datos Rutas'!CO550,"")</f>
        <v/>
      </c>
      <c r="AY552" s="802">
        <f>IF(ISNUMBER('Base de datos Rutas'!CP550),'Base de datos Rutas'!CP550,"")</f>
        <v>0</v>
      </c>
      <c r="AZ552" s="802" t="str">
        <f>IF(ISNUMBER('Base de datos Rutas'!CQ550),'Base de datos Rutas'!CQ550,"")</f>
        <v/>
      </c>
      <c r="BA552" s="802" t="str">
        <f>IF(ISNUMBER('Base de datos Rutas'!CR550),'Base de datos Rutas'!CR550,"")</f>
        <v/>
      </c>
      <c r="BB552" s="803">
        <f>IF(ISNUMBER('Base de datos Rutas'!CS550),'Base de datos Rutas'!CS550,"")</f>
        <v>0</v>
      </c>
      <c r="BC552" s="804" t="str">
        <f t="shared" si="321"/>
        <v/>
      </c>
      <c r="BD552" s="805" t="str">
        <f t="shared" si="322"/>
        <v>N/D</v>
      </c>
      <c r="BE552" s="806" t="str">
        <f t="shared" si="323"/>
        <v/>
      </c>
      <c r="BF552" s="890" t="str">
        <f>IF(ISNUMBER('Base de datos Rutas'!CX550),'Base de datos Rutas'!CX550/100,"")</f>
        <v/>
      </c>
      <c r="BG552" s="891" t="str">
        <f>IF(ISNUMBER('Base de datos Rutas'!CZ550),'Base de datos Rutas'!CZ550/100,"")</f>
        <v/>
      </c>
      <c r="BH552" s="892" t="str">
        <f>IF(ISNUMBER('Base de datos Rutas'!DA550),'Base de datos Rutas'!DA550,"")</f>
        <v/>
      </c>
      <c r="BI552" s="893" t="str">
        <f>IF(ISNUMBER('Base de datos Rutas'!DC550),'Base de datos Rutas'!DC550,"")</f>
        <v/>
      </c>
      <c r="BJ552" s="805" t="str">
        <f t="shared" si="324"/>
        <v>Sin dato</v>
      </c>
      <c r="BK552" s="783">
        <f t="shared" si="312"/>
        <v>0</v>
      </c>
      <c r="BL552" s="797">
        <f t="shared" si="313"/>
        <v>0</v>
      </c>
      <c r="BM552" s="797">
        <f t="shared" si="314"/>
        <v>0</v>
      </c>
      <c r="BN552" s="797">
        <f t="shared" si="315"/>
        <v>0</v>
      </c>
      <c r="BO552" s="798" cm="1">
        <f t="array" ref="BO552">SUMPRODUCT(--ISNUMBER($BF552:$BI552),$BK$3:$BN$3)</f>
        <v>0</v>
      </c>
      <c r="BP552" s="831" t="str">
        <f t="shared" si="325"/>
        <v/>
      </c>
      <c r="BQ552" s="834" t="str">
        <f t="shared" si="326"/>
        <v>Sin datos</v>
      </c>
      <c r="BR552" s="836" t="str">
        <f t="shared" si="316"/>
        <v/>
      </c>
      <c r="BS552" s="836" t="str">
        <f t="shared" si="317"/>
        <v/>
      </c>
      <c r="BT552" s="837" t="str">
        <f t="shared" si="318"/>
        <v>Sin datos</v>
      </c>
      <c r="BU552" s="807" t="str">
        <f t="shared" si="327"/>
        <v>Con espacio</v>
      </c>
      <c r="BV552" s="807" t="str">
        <f t="shared" si="319"/>
        <v>Sin datos de zona</v>
      </c>
      <c r="BW552" s="808" t="str">
        <f t="shared" si="320"/>
        <v>Sin datos</v>
      </c>
    </row>
    <row r="553" spans="1:75">
      <c r="A553" s="780" t="str">
        <f>'Base de datos Rutas'!A551</f>
        <v>Occidente</v>
      </c>
      <c r="B553" s="781" t="str">
        <f>'Base de datos Rutas'!B551</f>
        <v>Favorita</v>
      </c>
      <c r="C553" s="781" t="str">
        <f>'Base de datos Rutas'!C551</f>
        <v>Suc. San Rafael</v>
      </c>
      <c r="D553" s="782">
        <f>IF(ISNUMBER('Base de datos Rutas'!D551),'Base de datos Rutas'!D551,"Sin código")</f>
        <v>803365</v>
      </c>
      <c r="E553" s="783" t="str">
        <f>'Base de datos Rutas'!F551</f>
        <v>Inactiva</v>
      </c>
      <c r="F553" s="784" t="str">
        <f>'Base de datos Rutas'!H551</f>
        <v>No</v>
      </c>
      <c r="G553" s="785" t="str">
        <f>IF(ISNUMBER('Base de datos Rutas'!BE551),'Base de datos Rutas'!BE551,"")</f>
        <v/>
      </c>
      <c r="H553" s="786" t="str">
        <f>IF(ISNUMBER('Base de datos Rutas'!BH551),'Base de datos Rutas'!BH551,"")</f>
        <v/>
      </c>
      <c r="I553" s="788" t="str">
        <f>IFERROR(IF(OR(NOT(ISNUMBER('Base de datos Rutas'!O551)),N('Base de datos Rutas'!BK551)=0),"",'Base de datos Rutas'!O551/('Base de datos Rutas'!L551/'Base de datos Rutas'!BK551)),"")</f>
        <v/>
      </c>
      <c r="J553" s="788" t="str">
        <f>IFERROR(IF(OR(NOT(ISNUMBER('Base de datos Rutas'!N551)),N('Base de datos Rutas'!BK551)=0),"",'Base de datos Rutas'!N551/('Base de datos Rutas'!L551/'Base de datos Rutas'!BK551)),"")</f>
        <v/>
      </c>
      <c r="K553" s="788" t="str">
        <f>IFERROR(IF(OR(NOT(ISNUMBER('Base de datos Rutas'!J551)),N('Base de datos Rutas'!BK551)=0),"",'Base de datos Rutas'!J551/('Base de datos Rutas'!L551/'Base de datos Rutas'!BK551)),"")</f>
        <v/>
      </c>
      <c r="L553" s="788" t="str">
        <f>IFERROR(IF(OR(NOT(ISNUMBER('Base de datos Rutas'!K551)),N('Base de datos Rutas'!BK551)=0),"",'Base de datos Rutas'!K551/('Base de datos Rutas'!L551/'Base de datos Rutas'!BK551)),"")</f>
        <v/>
      </c>
      <c r="M553" s="787">
        <f>IF(ISNUMBER('Base de datos Rutas'!AX551),'Base de datos Rutas'!AX551,"")</f>
        <v>360.36500000000001</v>
      </c>
      <c r="N553" s="790">
        <f>IFERROR(INDEX('Hoja de apoyo v2'!B$17:B$20,MATCH($A553,'Hoja de apoyo v2'!$A$17:$A$20,0)),"")</f>
        <v>89.41621024641401</v>
      </c>
      <c r="O553" s="791">
        <f>IFERROR(INDEX('Hoja de apoyo v2'!C$17:C$20,MATCH($A553,'Hoja de apoyo v2'!$A$17:$A$20,0)),"")</f>
        <v>0.54706375874806301</v>
      </c>
      <c r="P553" s="793">
        <f>IFERROR(INDEX('Hoja de apoyo v2'!D$17:D$20,MATCH($A553,'Hoja de apoyo v2'!$A$17:$A$20,0)),"")</f>
        <v>11095.153935793827</v>
      </c>
      <c r="Q553" s="793">
        <f>IFERROR(INDEX('Hoja de apoyo v2'!E$17:E$20,MATCH($A553,'Hoja de apoyo v2'!$A$17:$A$20,0)),"")</f>
        <v>6982.3202019701848</v>
      </c>
      <c r="R553" s="793">
        <f>IFERROR(INDEX('Hoja de apoyo v2'!F$17:F$20,MATCH($A553,'Hoja de apoyo v2'!$A$17:$A$20,0)),"")</f>
        <v>448.09513474485743</v>
      </c>
      <c r="S553" s="793">
        <f>IFERROR(INDEX('Hoja de apoyo v2'!G$17:G$20,MATCH($A553,'Hoja de apoyo v2'!$A$17:$A$20,0)),"")</f>
        <v>83.406300904207839</v>
      </c>
      <c r="T553" s="792">
        <f>IFERROR(INDEX('Hoja de apoyo v2'!H$17:H$20,MATCH($A553,'Hoja de apoyo v2'!$A$17:$A$20,0)),"")</f>
        <v>378.97014028925349</v>
      </c>
      <c r="U553" s="794" t="str">
        <f t="shared" si="292"/>
        <v/>
      </c>
      <c r="V553" s="795" t="str">
        <f t="shared" si="293"/>
        <v/>
      </c>
      <c r="W553" s="795" t="str">
        <f t="shared" si="294"/>
        <v/>
      </c>
      <c r="X553" s="843" t="str">
        <f t="shared" si="295"/>
        <v/>
      </c>
      <c r="Y553" s="843" t="str">
        <f t="shared" si="296"/>
        <v/>
      </c>
      <c r="Z553" s="843" t="str">
        <f t="shared" si="297"/>
        <v/>
      </c>
      <c r="AA553" s="843">
        <f t="shared" si="298"/>
        <v>0.95090605218909097</v>
      </c>
      <c r="AB553" s="796">
        <f t="shared" si="299"/>
        <v>0</v>
      </c>
      <c r="AC553" s="797">
        <f t="shared" si="300"/>
        <v>0</v>
      </c>
      <c r="AD553" s="797">
        <f t="shared" si="301"/>
        <v>0</v>
      </c>
      <c r="AE553" s="842">
        <f t="shared" si="302"/>
        <v>0</v>
      </c>
      <c r="AF553" s="842">
        <f t="shared" si="303"/>
        <v>0</v>
      </c>
      <c r="AG553" s="842">
        <f t="shared" si="304"/>
        <v>0</v>
      </c>
      <c r="AH553" s="842">
        <f t="shared" si="305"/>
        <v>3</v>
      </c>
      <c r="AI553" s="826" cm="1">
        <f t="array" ref="AI553">SUMPRODUCT(--ISNUMBER($U553:$AA553),$AB$3:$AH$3)</f>
        <v>8.9789113613062493E-2</v>
      </c>
      <c r="AJ553" s="829" t="str">
        <f t="shared" si="306"/>
        <v/>
      </c>
      <c r="AK553" s="827" t="str">
        <f t="shared" si="307"/>
        <v>Ruta inactiva</v>
      </c>
      <c r="AL553" s="784" t="str">
        <f t="shared" si="308"/>
        <v>n/a</v>
      </c>
      <c r="AM553" s="799">
        <f>IF(ISNUMBER('Base de datos Rutas'!W551),'Base de datos Rutas'!W551,"")</f>
        <v>3054.2455510167165</v>
      </c>
      <c r="AN553" s="787">
        <f>IFERROR(SUMIFS('Base de datos Rutas'!$W$6:$W$794,'Base de datos Rutas'!$C$6:$C$794,$C553)/'Base de datos Rutas'!I551,"")</f>
        <v>3054.2455510167188</v>
      </c>
      <c r="AO553" s="800">
        <f>IFERROR('Base de datos Rutas'!X551*AN553/AM553,"")</f>
        <v>0.49742199715828644</v>
      </c>
      <c r="AP553" s="800">
        <f t="shared" si="309"/>
        <v>0.5025780028417135</v>
      </c>
      <c r="AQ553" s="789">
        <f>IFERROR(INDEX('Hoja de apoyo v2'!$J$17:$J$20,MATCH($A553,'Hoja de apoyo v2'!$A$17:$A$20,0)),"")</f>
        <v>0.64320274048480885</v>
      </c>
      <c r="AR553" s="789">
        <f t="shared" si="310"/>
        <v>-0.14062473764309535</v>
      </c>
      <c r="AS553" s="784" t="str">
        <f t="shared" si="311"/>
        <v>No</v>
      </c>
      <c r="AT553" s="801" t="str">
        <f>IF(ISNUMBER('Base de datos Rutas'!CK551),'Base de datos Rutas'!CK551,"")</f>
        <v/>
      </c>
      <c r="AU553" s="802" t="str">
        <f>IF(ISNUMBER('Base de datos Rutas'!CL551),'Base de datos Rutas'!CL551,"")</f>
        <v/>
      </c>
      <c r="AV553" s="802">
        <f>IF(ISNUMBER('Base de datos Rutas'!CM551),'Base de datos Rutas'!CM551,"")</f>
        <v>0</v>
      </c>
      <c r="AW553" s="802" t="str">
        <f>IF(ISNUMBER('Base de datos Rutas'!CN551),'Base de datos Rutas'!CN551,"")</f>
        <v/>
      </c>
      <c r="AX553" s="802" t="str">
        <f>IF(ISNUMBER('Base de datos Rutas'!CO551),'Base de datos Rutas'!CO551,"")</f>
        <v/>
      </c>
      <c r="AY553" s="802">
        <f>IF(ISNUMBER('Base de datos Rutas'!CP551),'Base de datos Rutas'!CP551,"")</f>
        <v>0</v>
      </c>
      <c r="AZ553" s="802" t="str">
        <f>IF(ISNUMBER('Base de datos Rutas'!CQ551),'Base de datos Rutas'!CQ551,"")</f>
        <v/>
      </c>
      <c r="BA553" s="802" t="str">
        <f>IF(ISNUMBER('Base de datos Rutas'!CR551),'Base de datos Rutas'!CR551,"")</f>
        <v/>
      </c>
      <c r="BB553" s="803">
        <f>IF(ISNUMBER('Base de datos Rutas'!CS551),'Base de datos Rutas'!CS551,"")</f>
        <v>0</v>
      </c>
      <c r="BC553" s="804" t="str">
        <f t="shared" si="321"/>
        <v/>
      </c>
      <c r="BD553" s="805" t="str">
        <f t="shared" si="322"/>
        <v>N/D</v>
      </c>
      <c r="BE553" s="806" t="str">
        <f t="shared" si="323"/>
        <v/>
      </c>
      <c r="BF553" s="890" t="str">
        <f>IF(ISNUMBER('Base de datos Rutas'!CX551),'Base de datos Rutas'!CX551/100,"")</f>
        <v/>
      </c>
      <c r="BG553" s="891" t="str">
        <f>IF(ISNUMBER('Base de datos Rutas'!CZ551),'Base de datos Rutas'!CZ551/100,"")</f>
        <v/>
      </c>
      <c r="BH553" s="892" t="str">
        <f>IF(ISNUMBER('Base de datos Rutas'!DA551),'Base de datos Rutas'!DA551,"")</f>
        <v/>
      </c>
      <c r="BI553" s="893" t="str">
        <f>IF(ISNUMBER('Base de datos Rutas'!DC551),'Base de datos Rutas'!DC551,"")</f>
        <v/>
      </c>
      <c r="BJ553" s="805" t="str">
        <f t="shared" si="324"/>
        <v>Sin dato</v>
      </c>
      <c r="BK553" s="783">
        <f t="shared" si="312"/>
        <v>0</v>
      </c>
      <c r="BL553" s="797">
        <f t="shared" si="313"/>
        <v>0</v>
      </c>
      <c r="BM553" s="797">
        <f t="shared" si="314"/>
        <v>0</v>
      </c>
      <c r="BN553" s="797">
        <f t="shared" si="315"/>
        <v>0</v>
      </c>
      <c r="BO553" s="798" cm="1">
        <f t="array" ref="BO553">SUMPRODUCT(--ISNUMBER($BF553:$BI553),$BK$3:$BN$3)</f>
        <v>0</v>
      </c>
      <c r="BP553" s="831" t="str">
        <f t="shared" si="325"/>
        <v/>
      </c>
      <c r="BQ553" s="834" t="str">
        <f t="shared" si="326"/>
        <v>Sin datos</v>
      </c>
      <c r="BR553" s="836" t="str">
        <f t="shared" si="316"/>
        <v/>
      </c>
      <c r="BS553" s="836" t="str">
        <f t="shared" si="317"/>
        <v/>
      </c>
      <c r="BT553" s="837" t="str">
        <f t="shared" si="318"/>
        <v>Sin datos</v>
      </c>
      <c r="BU553" s="807" t="str">
        <f t="shared" si="327"/>
        <v>No evaluable</v>
      </c>
      <c r="BV553" s="807" t="str">
        <f t="shared" si="319"/>
        <v>No evaluable</v>
      </c>
      <c r="BW553" s="808" t="str">
        <f t="shared" si="320"/>
        <v>Sin datos</v>
      </c>
    </row>
    <row r="554" spans="1:75">
      <c r="A554" s="780" t="str">
        <f>'Base de datos Rutas'!A552</f>
        <v>Occidente</v>
      </c>
      <c r="B554" s="781" t="str">
        <f>'Base de datos Rutas'!B552</f>
        <v>Favorita</v>
      </c>
      <c r="C554" s="781" t="str">
        <f>'Base de datos Rutas'!C552</f>
        <v>Suc. San Rafael</v>
      </c>
      <c r="D554" s="782">
        <f>IF(ISNUMBER('Base de datos Rutas'!D552),'Base de datos Rutas'!D552,"Sin código")</f>
        <v>803368</v>
      </c>
      <c r="E554" s="783" t="str">
        <f>'Base de datos Rutas'!F552</f>
        <v>Activa</v>
      </c>
      <c r="F554" s="784" t="str">
        <f>'Base de datos Rutas'!H552</f>
        <v>Sí</v>
      </c>
      <c r="G554" s="785">
        <f>IF(ISNUMBER('Base de datos Rutas'!BE552),'Base de datos Rutas'!BE552,"")</f>
        <v>101.82352941176499</v>
      </c>
      <c r="H554" s="786">
        <f>IF(ISNUMBER('Base de datos Rutas'!BH552),'Base de datos Rutas'!BH552,"")</f>
        <v>0.15366839976891999</v>
      </c>
      <c r="I554" s="788">
        <f>IFERROR(IF(OR(NOT(ISNUMBER('Base de datos Rutas'!O552)),N('Base de datos Rutas'!BK552)=0),"",'Base de datos Rutas'!O552/('Base de datos Rutas'!L552/'Base de datos Rutas'!BK552)),"")</f>
        <v>647.86440677966129</v>
      </c>
      <c r="J554" s="788">
        <f>IFERROR(IF(OR(NOT(ISNUMBER('Base de datos Rutas'!N552)),N('Base de datos Rutas'!BK552)=0),"",'Base de datos Rutas'!N552/('Base de datos Rutas'!L552/'Base de datos Rutas'!BK552)),"")</f>
        <v>1066.0169491525428</v>
      </c>
      <c r="K554" s="788">
        <f>IFERROR(IF(OR(NOT(ISNUMBER('Base de datos Rutas'!J552)),N('Base de datos Rutas'!BK552)=0),"",'Base de datos Rutas'!J552/('Base de datos Rutas'!L552/'Base de datos Rutas'!BK552)),"")</f>
        <v>76.477871186440723</v>
      </c>
      <c r="L554" s="788">
        <f>IFERROR(IF(OR(NOT(ISNUMBER('Base de datos Rutas'!K552)),N('Base de datos Rutas'!BK552)=0),"",'Base de datos Rutas'!K552/('Base de datos Rutas'!L552/'Base de datos Rutas'!BK552)),"")</f>
        <v>5.1460461864406799</v>
      </c>
      <c r="M554" s="787">
        <f>IF(ISNUMBER('Base de datos Rutas'!AX552),'Base de datos Rutas'!AX552,"")</f>
        <v>326.18935483871002</v>
      </c>
      <c r="N554" s="790">
        <f>IFERROR(INDEX('Hoja de apoyo v2'!B$17:B$20,MATCH($A554,'Hoja de apoyo v2'!$A$17:$A$20,0)),"")</f>
        <v>89.41621024641401</v>
      </c>
      <c r="O554" s="791">
        <f>IFERROR(INDEX('Hoja de apoyo v2'!C$17:C$20,MATCH($A554,'Hoja de apoyo v2'!$A$17:$A$20,0)),"")</f>
        <v>0.54706375874806301</v>
      </c>
      <c r="P554" s="793">
        <f>IFERROR(INDEX('Hoja de apoyo v2'!D$17:D$20,MATCH($A554,'Hoja de apoyo v2'!$A$17:$A$20,0)),"")</f>
        <v>11095.153935793827</v>
      </c>
      <c r="Q554" s="793">
        <f>IFERROR(INDEX('Hoja de apoyo v2'!E$17:E$20,MATCH($A554,'Hoja de apoyo v2'!$A$17:$A$20,0)),"")</f>
        <v>6982.3202019701848</v>
      </c>
      <c r="R554" s="793">
        <f>IFERROR(INDEX('Hoja de apoyo v2'!F$17:F$20,MATCH($A554,'Hoja de apoyo v2'!$A$17:$A$20,0)),"")</f>
        <v>448.09513474485743</v>
      </c>
      <c r="S554" s="793">
        <f>IFERROR(INDEX('Hoja de apoyo v2'!G$17:G$20,MATCH($A554,'Hoja de apoyo v2'!$A$17:$A$20,0)),"")</f>
        <v>83.406300904207839</v>
      </c>
      <c r="T554" s="792">
        <f>IFERROR(INDEX('Hoja de apoyo v2'!H$17:H$20,MATCH($A554,'Hoja de apoyo v2'!$A$17:$A$20,0)),"")</f>
        <v>378.97014028925349</v>
      </c>
      <c r="U554" s="794">
        <f t="shared" si="292"/>
        <v>1.138759170525778</v>
      </c>
      <c r="V554" s="795">
        <f t="shared" si="293"/>
        <v>0.28089669131178596</v>
      </c>
      <c r="W554" s="795">
        <f t="shared" si="294"/>
        <v>5.8391655539775836E-2</v>
      </c>
      <c r="X554" s="843">
        <f t="shared" si="295"/>
        <v>0.15267374143794599</v>
      </c>
      <c r="Y554" s="843">
        <f t="shared" si="296"/>
        <v>0.17067329068410159</v>
      </c>
      <c r="Z554" s="843">
        <f t="shared" si="297"/>
        <v>6.1698530334667587E-2</v>
      </c>
      <c r="AA554" s="843">
        <f t="shared" si="298"/>
        <v>0.86072574105638533</v>
      </c>
      <c r="AB554" s="796">
        <f t="shared" si="299"/>
        <v>4</v>
      </c>
      <c r="AC554" s="797">
        <f t="shared" si="300"/>
        <v>1</v>
      </c>
      <c r="AD554" s="797">
        <f t="shared" si="301"/>
        <v>1</v>
      </c>
      <c r="AE554" s="842">
        <f t="shared" si="302"/>
        <v>1</v>
      </c>
      <c r="AF554" s="842">
        <f t="shared" si="303"/>
        <v>1</v>
      </c>
      <c r="AG554" s="842">
        <f t="shared" si="304"/>
        <v>1</v>
      </c>
      <c r="AH554" s="842">
        <f t="shared" si="305"/>
        <v>3</v>
      </c>
      <c r="AI554" s="826" cm="1">
        <f t="array" ref="AI554">SUMPRODUCT(--ISNUMBER($U554:$AA554),$AB$3:$AH$3)</f>
        <v>1</v>
      </c>
      <c r="AJ554" s="829">
        <f t="shared" si="306"/>
        <v>18.090364215063381</v>
      </c>
      <c r="AK554" s="827" t="str">
        <f t="shared" si="307"/>
        <v>Inmadura</v>
      </c>
      <c r="AL554" s="784" t="str">
        <f t="shared" si="308"/>
        <v>Alta</v>
      </c>
      <c r="AM554" s="799">
        <f>IF(ISNUMBER('Base de datos Rutas'!W552),'Base de datos Rutas'!W552,"")</f>
        <v>3054.2455510167165</v>
      </c>
      <c r="AN554" s="787">
        <f>IFERROR(SUMIFS('Base de datos Rutas'!$W$6:$W$794,'Base de datos Rutas'!$C$6:$C$794,$C554)/'Base de datos Rutas'!I552,"")</f>
        <v>3054.2455510167188</v>
      </c>
      <c r="AO554" s="800">
        <f>IFERROR('Base de datos Rutas'!X552*AN554/AM554,"")</f>
        <v>0.49742199715828644</v>
      </c>
      <c r="AP554" s="800">
        <f t="shared" si="309"/>
        <v>0.5025780028417135</v>
      </c>
      <c r="AQ554" s="789">
        <f>IFERROR(INDEX('Hoja de apoyo v2'!$J$17:$J$20,MATCH($A554,'Hoja de apoyo v2'!$A$17:$A$20,0)),"")</f>
        <v>0.64320274048480885</v>
      </c>
      <c r="AR554" s="789">
        <f t="shared" si="310"/>
        <v>-0.14062473764309535</v>
      </c>
      <c r="AS554" s="784" t="str">
        <f t="shared" si="311"/>
        <v>No</v>
      </c>
      <c r="AT554" s="801" t="str">
        <f>IF(ISNUMBER('Base de datos Rutas'!CK552),'Base de datos Rutas'!CK552,"")</f>
        <v/>
      </c>
      <c r="AU554" s="802" t="str">
        <f>IF(ISNUMBER('Base de datos Rutas'!CL552),'Base de datos Rutas'!CL552,"")</f>
        <v/>
      </c>
      <c r="AV554" s="802">
        <f>IF(ISNUMBER('Base de datos Rutas'!CM552),'Base de datos Rutas'!CM552,"")</f>
        <v>0</v>
      </c>
      <c r="AW554" s="802" t="str">
        <f>IF(ISNUMBER('Base de datos Rutas'!CN552),'Base de datos Rutas'!CN552,"")</f>
        <v/>
      </c>
      <c r="AX554" s="802" t="str">
        <f>IF(ISNUMBER('Base de datos Rutas'!CO552),'Base de datos Rutas'!CO552,"")</f>
        <v/>
      </c>
      <c r="AY554" s="802">
        <f>IF(ISNUMBER('Base de datos Rutas'!CP552),'Base de datos Rutas'!CP552,"")</f>
        <v>0</v>
      </c>
      <c r="AZ554" s="802" t="str">
        <f>IF(ISNUMBER('Base de datos Rutas'!CQ552),'Base de datos Rutas'!CQ552,"")</f>
        <v/>
      </c>
      <c r="BA554" s="802" t="str">
        <f>IF(ISNUMBER('Base de datos Rutas'!CR552),'Base de datos Rutas'!CR552,"")</f>
        <v/>
      </c>
      <c r="BB554" s="803">
        <f>IF(ISNUMBER('Base de datos Rutas'!CS552),'Base de datos Rutas'!CS552,"")</f>
        <v>0</v>
      </c>
      <c r="BC554" s="804" t="str">
        <f t="shared" si="321"/>
        <v/>
      </c>
      <c r="BD554" s="805" t="str">
        <f t="shared" si="322"/>
        <v>N/D</v>
      </c>
      <c r="BE554" s="806" t="str">
        <f t="shared" si="323"/>
        <v/>
      </c>
      <c r="BF554" s="890" t="str">
        <f>IF(ISNUMBER('Base de datos Rutas'!CX552),'Base de datos Rutas'!CX552/100,"")</f>
        <v/>
      </c>
      <c r="BG554" s="891" t="str">
        <f>IF(ISNUMBER('Base de datos Rutas'!CZ552),'Base de datos Rutas'!CZ552/100,"")</f>
        <v/>
      </c>
      <c r="BH554" s="892" t="str">
        <f>IF(ISNUMBER('Base de datos Rutas'!DA552),'Base de datos Rutas'!DA552,"")</f>
        <v/>
      </c>
      <c r="BI554" s="893" t="str">
        <f>IF(ISNUMBER('Base de datos Rutas'!DC552),'Base de datos Rutas'!DC552,"")</f>
        <v/>
      </c>
      <c r="BJ554" s="805" t="str">
        <f t="shared" si="324"/>
        <v>Sin dato</v>
      </c>
      <c r="BK554" s="783">
        <f t="shared" si="312"/>
        <v>0</v>
      </c>
      <c r="BL554" s="797">
        <f t="shared" si="313"/>
        <v>0</v>
      </c>
      <c r="BM554" s="797">
        <f t="shared" si="314"/>
        <v>0</v>
      </c>
      <c r="BN554" s="797">
        <f t="shared" si="315"/>
        <v>0</v>
      </c>
      <c r="BO554" s="798" cm="1">
        <f t="array" ref="BO554">SUMPRODUCT(--ISNUMBER($BF554:$BI554),$BK$3:$BN$3)</f>
        <v>0</v>
      </c>
      <c r="BP554" s="831" t="str">
        <f t="shared" si="325"/>
        <v/>
      </c>
      <c r="BQ554" s="834" t="str">
        <f t="shared" si="326"/>
        <v>Sin datos</v>
      </c>
      <c r="BR554" s="836" t="str">
        <f t="shared" si="316"/>
        <v/>
      </c>
      <c r="BS554" s="836" t="str">
        <f t="shared" si="317"/>
        <v/>
      </c>
      <c r="BT554" s="837" t="str">
        <f t="shared" si="318"/>
        <v>Sin datos</v>
      </c>
      <c r="BU554" s="807" t="str">
        <f t="shared" si="327"/>
        <v>Con espacio</v>
      </c>
      <c r="BV554" s="807" t="str">
        <f t="shared" si="319"/>
        <v>Sin datos de zona</v>
      </c>
      <c r="BW554" s="808" t="str">
        <f t="shared" si="320"/>
        <v>Sin datos</v>
      </c>
    </row>
    <row r="555" spans="1:75">
      <c r="A555" s="780" t="str">
        <f>'Base de datos Rutas'!A553</f>
        <v>Occidente</v>
      </c>
      <c r="B555" s="781" t="str">
        <f>'Base de datos Rutas'!B553</f>
        <v>Favorita</v>
      </c>
      <c r="C555" s="781" t="str">
        <f>'Base de datos Rutas'!C553</f>
        <v>Suc. San Rafael</v>
      </c>
      <c r="D555" s="782">
        <f>IF(ISNUMBER('Base de datos Rutas'!D553),'Base de datos Rutas'!D553,"Sin código")</f>
        <v>803369</v>
      </c>
      <c r="E555" s="783" t="str">
        <f>'Base de datos Rutas'!F553</f>
        <v>Activa</v>
      </c>
      <c r="F555" s="784" t="str">
        <f>'Base de datos Rutas'!H553</f>
        <v>Sí</v>
      </c>
      <c r="G555" s="785">
        <f>IF(ISNUMBER('Base de datos Rutas'!BE553),'Base de datos Rutas'!BE553,"")</f>
        <v>132.916666666667</v>
      </c>
      <c r="H555" s="786">
        <f>IF(ISNUMBER('Base de datos Rutas'!BH553),'Base de datos Rutas'!BH553,"")</f>
        <v>2.5078369905956101E-3</v>
      </c>
      <c r="I555" s="788">
        <f>IFERROR(IF(OR(NOT(ISNUMBER('Base de datos Rutas'!O553)),N('Base de datos Rutas'!BK553)=0),"",'Base de datos Rutas'!O553/('Base de datos Rutas'!L553/'Base de datos Rutas'!BK553)),"")</f>
        <v>153.97916666666617</v>
      </c>
      <c r="J555" s="788">
        <f>IFERROR(IF(OR(NOT(ISNUMBER('Base de datos Rutas'!N553)),N('Base de datos Rutas'!BK553)=0),"",'Base de datos Rutas'!N553/('Base de datos Rutas'!L553/'Base de datos Rutas'!BK553)),"")</f>
        <v>94.437499999999687</v>
      </c>
      <c r="K555" s="788">
        <f>IFERROR(IF(OR(NOT(ISNUMBER('Base de datos Rutas'!J553)),N('Base de datos Rutas'!BK553)=0),"",'Base de datos Rutas'!J553/('Base de datos Rutas'!L553/'Base de datos Rutas'!BK553)),"")</f>
        <v>8.3656999999999737</v>
      </c>
      <c r="L555" s="788">
        <f>IFERROR(IF(OR(NOT(ISNUMBER('Base de datos Rutas'!K553)),N('Base de datos Rutas'!BK553)=0),"",'Base de datos Rutas'!K553/('Base de datos Rutas'!L553/'Base de datos Rutas'!BK553)),"")</f>
        <v>1.653602083333328</v>
      </c>
      <c r="M555" s="787">
        <f>IF(ISNUMBER('Base de datos Rutas'!AX553),'Base de datos Rutas'!AX553,"")</f>
        <v>298.11324999999999</v>
      </c>
      <c r="N555" s="790">
        <f>IFERROR(INDEX('Hoja de apoyo v2'!B$17:B$20,MATCH($A555,'Hoja de apoyo v2'!$A$17:$A$20,0)),"")</f>
        <v>89.41621024641401</v>
      </c>
      <c r="O555" s="791">
        <f>IFERROR(INDEX('Hoja de apoyo v2'!C$17:C$20,MATCH($A555,'Hoja de apoyo v2'!$A$17:$A$20,0)),"")</f>
        <v>0.54706375874806301</v>
      </c>
      <c r="P555" s="793">
        <f>IFERROR(INDEX('Hoja de apoyo v2'!D$17:D$20,MATCH($A555,'Hoja de apoyo v2'!$A$17:$A$20,0)),"")</f>
        <v>11095.153935793827</v>
      </c>
      <c r="Q555" s="793">
        <f>IFERROR(INDEX('Hoja de apoyo v2'!E$17:E$20,MATCH($A555,'Hoja de apoyo v2'!$A$17:$A$20,0)),"")</f>
        <v>6982.3202019701848</v>
      </c>
      <c r="R555" s="793">
        <f>IFERROR(INDEX('Hoja de apoyo v2'!F$17:F$20,MATCH($A555,'Hoja de apoyo v2'!$A$17:$A$20,0)),"")</f>
        <v>448.09513474485743</v>
      </c>
      <c r="S555" s="793">
        <f>IFERROR(INDEX('Hoja de apoyo v2'!G$17:G$20,MATCH($A555,'Hoja de apoyo v2'!$A$17:$A$20,0)),"")</f>
        <v>83.406300904207839</v>
      </c>
      <c r="T555" s="792">
        <f>IFERROR(INDEX('Hoja de apoyo v2'!H$17:H$20,MATCH($A555,'Hoja de apoyo v2'!$A$17:$A$20,0)),"")</f>
        <v>378.97014028925349</v>
      </c>
      <c r="U555" s="794">
        <f t="shared" si="292"/>
        <v>1.4864940741770876</v>
      </c>
      <c r="V555" s="795">
        <f t="shared" si="293"/>
        <v>4.5841767993089338E-3</v>
      </c>
      <c r="W555" s="795">
        <f t="shared" si="294"/>
        <v>1.3878055911411688E-2</v>
      </c>
      <c r="X555" s="843">
        <f t="shared" si="295"/>
        <v>1.3525231909781577E-2</v>
      </c>
      <c r="Y555" s="843">
        <f t="shared" si="296"/>
        <v>1.8669472956369747E-2</v>
      </c>
      <c r="Z555" s="843">
        <f t="shared" si="297"/>
        <v>1.9825865257260246E-2</v>
      </c>
      <c r="AA555" s="843">
        <f t="shared" si="298"/>
        <v>0.78664047191808173</v>
      </c>
      <c r="AB555" s="796">
        <f t="shared" si="299"/>
        <v>5</v>
      </c>
      <c r="AC555" s="797">
        <f t="shared" si="300"/>
        <v>1</v>
      </c>
      <c r="AD555" s="797">
        <f t="shared" si="301"/>
        <v>1</v>
      </c>
      <c r="AE555" s="842">
        <f t="shared" si="302"/>
        <v>1</v>
      </c>
      <c r="AF555" s="842">
        <f t="shared" si="303"/>
        <v>1</v>
      </c>
      <c r="AG555" s="842">
        <f t="shared" si="304"/>
        <v>1</v>
      </c>
      <c r="AH555" s="842">
        <f t="shared" si="305"/>
        <v>3</v>
      </c>
      <c r="AI555" s="826" cm="1">
        <f t="array" ref="AI555">SUMPRODUCT(--ISNUMBER($U555:$AA555),$AB$3:$AH$3)</f>
        <v>1</v>
      </c>
      <c r="AJ555" s="829">
        <f t="shared" si="306"/>
        <v>22.624000393200134</v>
      </c>
      <c r="AK555" s="827" t="str">
        <f t="shared" si="307"/>
        <v>Inmadura</v>
      </c>
      <c r="AL555" s="784" t="str">
        <f t="shared" si="308"/>
        <v>Alta</v>
      </c>
      <c r="AM555" s="799">
        <f>IF(ISNUMBER('Base de datos Rutas'!W553),'Base de datos Rutas'!W553,"")</f>
        <v>3054.2455510167165</v>
      </c>
      <c r="AN555" s="787">
        <f>IFERROR(SUMIFS('Base de datos Rutas'!$W$6:$W$794,'Base de datos Rutas'!$C$6:$C$794,$C555)/'Base de datos Rutas'!I553,"")</f>
        <v>3054.2455510167188</v>
      </c>
      <c r="AO555" s="800">
        <f>IFERROR('Base de datos Rutas'!X553*AN555/AM555,"")</f>
        <v>0.49742199715828644</v>
      </c>
      <c r="AP555" s="800">
        <f t="shared" si="309"/>
        <v>0.5025780028417135</v>
      </c>
      <c r="AQ555" s="789">
        <f>IFERROR(INDEX('Hoja de apoyo v2'!$J$17:$J$20,MATCH($A555,'Hoja de apoyo v2'!$A$17:$A$20,0)),"")</f>
        <v>0.64320274048480885</v>
      </c>
      <c r="AR555" s="789">
        <f t="shared" si="310"/>
        <v>-0.14062473764309535</v>
      </c>
      <c r="AS555" s="784" t="str">
        <f t="shared" si="311"/>
        <v>No</v>
      </c>
      <c r="AT555" s="801" t="str">
        <f>IF(ISNUMBER('Base de datos Rutas'!CK553),'Base de datos Rutas'!CK553,"")</f>
        <v/>
      </c>
      <c r="AU555" s="802" t="str">
        <f>IF(ISNUMBER('Base de datos Rutas'!CL553),'Base de datos Rutas'!CL553,"")</f>
        <v/>
      </c>
      <c r="AV555" s="802">
        <f>IF(ISNUMBER('Base de datos Rutas'!CM553),'Base de datos Rutas'!CM553,"")</f>
        <v>0</v>
      </c>
      <c r="AW555" s="802" t="str">
        <f>IF(ISNUMBER('Base de datos Rutas'!CN553),'Base de datos Rutas'!CN553,"")</f>
        <v/>
      </c>
      <c r="AX555" s="802" t="str">
        <f>IF(ISNUMBER('Base de datos Rutas'!CO553),'Base de datos Rutas'!CO553,"")</f>
        <v/>
      </c>
      <c r="AY555" s="802">
        <f>IF(ISNUMBER('Base de datos Rutas'!CP553),'Base de datos Rutas'!CP553,"")</f>
        <v>0</v>
      </c>
      <c r="AZ555" s="802" t="str">
        <f>IF(ISNUMBER('Base de datos Rutas'!CQ553),'Base de datos Rutas'!CQ553,"")</f>
        <v/>
      </c>
      <c r="BA555" s="802" t="str">
        <f>IF(ISNUMBER('Base de datos Rutas'!CR553),'Base de datos Rutas'!CR553,"")</f>
        <v/>
      </c>
      <c r="BB555" s="803">
        <f>IF(ISNUMBER('Base de datos Rutas'!CS553),'Base de datos Rutas'!CS553,"")</f>
        <v>0</v>
      </c>
      <c r="BC555" s="804" t="str">
        <f t="shared" si="321"/>
        <v/>
      </c>
      <c r="BD555" s="805" t="str">
        <f t="shared" si="322"/>
        <v>N/D</v>
      </c>
      <c r="BE555" s="806" t="str">
        <f t="shared" si="323"/>
        <v/>
      </c>
      <c r="BF555" s="890" t="str">
        <f>IF(ISNUMBER('Base de datos Rutas'!CX553),'Base de datos Rutas'!CX553/100,"")</f>
        <v/>
      </c>
      <c r="BG555" s="891" t="str">
        <f>IF(ISNUMBER('Base de datos Rutas'!CZ553),'Base de datos Rutas'!CZ553/100,"")</f>
        <v/>
      </c>
      <c r="BH555" s="892" t="str">
        <f>IF(ISNUMBER('Base de datos Rutas'!DA553),'Base de datos Rutas'!DA553,"")</f>
        <v/>
      </c>
      <c r="BI555" s="893" t="str">
        <f>IF(ISNUMBER('Base de datos Rutas'!DC553),'Base de datos Rutas'!DC553,"")</f>
        <v/>
      </c>
      <c r="BJ555" s="805" t="str">
        <f t="shared" si="324"/>
        <v>Sin dato</v>
      </c>
      <c r="BK555" s="783">
        <f t="shared" si="312"/>
        <v>0</v>
      </c>
      <c r="BL555" s="797">
        <f t="shared" si="313"/>
        <v>0</v>
      </c>
      <c r="BM555" s="797">
        <f t="shared" si="314"/>
        <v>0</v>
      </c>
      <c r="BN555" s="797">
        <f t="shared" si="315"/>
        <v>0</v>
      </c>
      <c r="BO555" s="798" cm="1">
        <f t="array" ref="BO555">SUMPRODUCT(--ISNUMBER($BF555:$BI555),$BK$3:$BN$3)</f>
        <v>0</v>
      </c>
      <c r="BP555" s="831" t="str">
        <f t="shared" si="325"/>
        <v/>
      </c>
      <c r="BQ555" s="834" t="str">
        <f t="shared" si="326"/>
        <v>Sin datos</v>
      </c>
      <c r="BR555" s="836" t="str">
        <f t="shared" si="316"/>
        <v/>
      </c>
      <c r="BS555" s="836" t="str">
        <f t="shared" si="317"/>
        <v/>
      </c>
      <c r="BT555" s="837" t="str">
        <f t="shared" si="318"/>
        <v>Sin datos</v>
      </c>
      <c r="BU555" s="807" t="str">
        <f t="shared" si="327"/>
        <v>Con espacio</v>
      </c>
      <c r="BV555" s="807" t="str">
        <f t="shared" si="319"/>
        <v>Sin datos de zona</v>
      </c>
      <c r="BW555" s="808" t="str">
        <f t="shared" si="320"/>
        <v>Sin datos</v>
      </c>
    </row>
    <row r="556" spans="1:75">
      <c r="A556" s="780" t="str">
        <f>'Base de datos Rutas'!A554</f>
        <v>Occidente</v>
      </c>
      <c r="B556" s="781" t="str">
        <f>'Base de datos Rutas'!B554</f>
        <v>Favorita</v>
      </c>
      <c r="C556" s="781" t="str">
        <f>'Base de datos Rutas'!C554</f>
        <v>Suc. San Rafael</v>
      </c>
      <c r="D556" s="782">
        <f>IF(ISNUMBER('Base de datos Rutas'!D554),'Base de datos Rutas'!D554,"Sin código")</f>
        <v>803370</v>
      </c>
      <c r="E556" s="783" t="str">
        <f>'Base de datos Rutas'!F554</f>
        <v>Inactiva</v>
      </c>
      <c r="F556" s="784" t="str">
        <f>'Base de datos Rutas'!H554</f>
        <v>No</v>
      </c>
      <c r="G556" s="785" t="str">
        <f>IF(ISNUMBER('Base de datos Rutas'!BE554),'Base de datos Rutas'!BE554,"")</f>
        <v/>
      </c>
      <c r="H556" s="786" t="str">
        <f>IF(ISNUMBER('Base de datos Rutas'!BH554),'Base de datos Rutas'!BH554,"")</f>
        <v/>
      </c>
      <c r="I556" s="788" t="str">
        <f>IFERROR(IF(OR(NOT(ISNUMBER('Base de datos Rutas'!O554)),N('Base de datos Rutas'!BK554)=0),"",'Base de datos Rutas'!O554/('Base de datos Rutas'!L554/'Base de datos Rutas'!BK554)),"")</f>
        <v/>
      </c>
      <c r="J556" s="788" t="str">
        <f>IFERROR(IF(OR(NOT(ISNUMBER('Base de datos Rutas'!N554)),N('Base de datos Rutas'!BK554)=0),"",'Base de datos Rutas'!N554/('Base de datos Rutas'!L554/'Base de datos Rutas'!BK554)),"")</f>
        <v/>
      </c>
      <c r="K556" s="788" t="str">
        <f>IFERROR(IF(OR(NOT(ISNUMBER('Base de datos Rutas'!J554)),N('Base de datos Rutas'!BK554)=0),"",'Base de datos Rutas'!J554/('Base de datos Rutas'!L554/'Base de datos Rutas'!BK554)),"")</f>
        <v/>
      </c>
      <c r="L556" s="788" t="str">
        <f>IFERROR(IF(OR(NOT(ISNUMBER('Base de datos Rutas'!K554)),N('Base de datos Rutas'!BK554)=0),"",'Base de datos Rutas'!K554/('Base de datos Rutas'!L554/'Base de datos Rutas'!BK554)),"")</f>
        <v/>
      </c>
      <c r="M556" s="787">
        <f>IF(ISNUMBER('Base de datos Rutas'!AX554),'Base de datos Rutas'!AX554,"")</f>
        <v>104</v>
      </c>
      <c r="N556" s="790">
        <f>IFERROR(INDEX('Hoja de apoyo v2'!B$17:B$20,MATCH($A556,'Hoja de apoyo v2'!$A$17:$A$20,0)),"")</f>
        <v>89.41621024641401</v>
      </c>
      <c r="O556" s="791">
        <f>IFERROR(INDEX('Hoja de apoyo v2'!C$17:C$20,MATCH($A556,'Hoja de apoyo v2'!$A$17:$A$20,0)),"")</f>
        <v>0.54706375874806301</v>
      </c>
      <c r="P556" s="793">
        <f>IFERROR(INDEX('Hoja de apoyo v2'!D$17:D$20,MATCH($A556,'Hoja de apoyo v2'!$A$17:$A$20,0)),"")</f>
        <v>11095.153935793827</v>
      </c>
      <c r="Q556" s="793">
        <f>IFERROR(INDEX('Hoja de apoyo v2'!E$17:E$20,MATCH($A556,'Hoja de apoyo v2'!$A$17:$A$20,0)),"")</f>
        <v>6982.3202019701848</v>
      </c>
      <c r="R556" s="793">
        <f>IFERROR(INDEX('Hoja de apoyo v2'!F$17:F$20,MATCH($A556,'Hoja de apoyo v2'!$A$17:$A$20,0)),"")</f>
        <v>448.09513474485743</v>
      </c>
      <c r="S556" s="793">
        <f>IFERROR(INDEX('Hoja de apoyo v2'!G$17:G$20,MATCH($A556,'Hoja de apoyo v2'!$A$17:$A$20,0)),"")</f>
        <v>83.406300904207839</v>
      </c>
      <c r="T556" s="792">
        <f>IFERROR(INDEX('Hoja de apoyo v2'!H$17:H$20,MATCH($A556,'Hoja de apoyo v2'!$A$17:$A$20,0)),"")</f>
        <v>378.97014028925349</v>
      </c>
      <c r="U556" s="794" t="str">
        <f t="shared" si="292"/>
        <v/>
      </c>
      <c r="V556" s="795" t="str">
        <f t="shared" si="293"/>
        <v/>
      </c>
      <c r="W556" s="795" t="str">
        <f t="shared" si="294"/>
        <v/>
      </c>
      <c r="X556" s="843" t="str">
        <f t="shared" si="295"/>
        <v/>
      </c>
      <c r="Y556" s="843" t="str">
        <f t="shared" si="296"/>
        <v/>
      </c>
      <c r="Z556" s="843" t="str">
        <f t="shared" si="297"/>
        <v/>
      </c>
      <c r="AA556" s="843">
        <f t="shared" si="298"/>
        <v>0.27442795340187159</v>
      </c>
      <c r="AB556" s="796">
        <f t="shared" si="299"/>
        <v>0</v>
      </c>
      <c r="AC556" s="797">
        <f t="shared" si="300"/>
        <v>0</v>
      </c>
      <c r="AD556" s="797">
        <f t="shared" si="301"/>
        <v>0</v>
      </c>
      <c r="AE556" s="842">
        <f t="shared" si="302"/>
        <v>0</v>
      </c>
      <c r="AF556" s="842">
        <f t="shared" si="303"/>
        <v>0</v>
      </c>
      <c r="AG556" s="842">
        <f t="shared" si="304"/>
        <v>0</v>
      </c>
      <c r="AH556" s="842">
        <f t="shared" si="305"/>
        <v>1</v>
      </c>
      <c r="AI556" s="826" cm="1">
        <f t="array" ref="AI556">SUMPRODUCT(--ISNUMBER($U556:$AA556),$AB$3:$AH$3)</f>
        <v>8.9789113613062493E-2</v>
      </c>
      <c r="AJ556" s="829" t="str">
        <f t="shared" si="306"/>
        <v/>
      </c>
      <c r="AK556" s="827" t="str">
        <f t="shared" si="307"/>
        <v>Ruta inactiva</v>
      </c>
      <c r="AL556" s="784" t="str">
        <f t="shared" si="308"/>
        <v>n/a</v>
      </c>
      <c r="AM556" s="799">
        <f>IF(ISNUMBER('Base de datos Rutas'!W554),'Base de datos Rutas'!W554,"")</f>
        <v>3054.2455510167165</v>
      </c>
      <c r="AN556" s="787">
        <f>IFERROR(SUMIFS('Base de datos Rutas'!$W$6:$W$794,'Base de datos Rutas'!$C$6:$C$794,$C556)/'Base de datos Rutas'!I554,"")</f>
        <v>3054.2455510167188</v>
      </c>
      <c r="AO556" s="800">
        <f>IFERROR('Base de datos Rutas'!X554*AN556/AM556,"")</f>
        <v>0.49742199715828644</v>
      </c>
      <c r="AP556" s="800">
        <f t="shared" si="309"/>
        <v>0.5025780028417135</v>
      </c>
      <c r="AQ556" s="789">
        <f>IFERROR(INDEX('Hoja de apoyo v2'!$J$17:$J$20,MATCH($A556,'Hoja de apoyo v2'!$A$17:$A$20,0)),"")</f>
        <v>0.64320274048480885</v>
      </c>
      <c r="AR556" s="789">
        <f t="shared" si="310"/>
        <v>-0.14062473764309535</v>
      </c>
      <c r="AS556" s="784" t="str">
        <f t="shared" si="311"/>
        <v>No</v>
      </c>
      <c r="AT556" s="801" t="str">
        <f>IF(ISNUMBER('Base de datos Rutas'!CK554),'Base de datos Rutas'!CK554,"")</f>
        <v/>
      </c>
      <c r="AU556" s="802" t="str">
        <f>IF(ISNUMBER('Base de datos Rutas'!CL554),'Base de datos Rutas'!CL554,"")</f>
        <v/>
      </c>
      <c r="AV556" s="802">
        <f>IF(ISNUMBER('Base de datos Rutas'!CM554),'Base de datos Rutas'!CM554,"")</f>
        <v>0</v>
      </c>
      <c r="AW556" s="802" t="str">
        <f>IF(ISNUMBER('Base de datos Rutas'!CN554),'Base de datos Rutas'!CN554,"")</f>
        <v/>
      </c>
      <c r="AX556" s="802" t="str">
        <f>IF(ISNUMBER('Base de datos Rutas'!CO554),'Base de datos Rutas'!CO554,"")</f>
        <v/>
      </c>
      <c r="AY556" s="802">
        <f>IF(ISNUMBER('Base de datos Rutas'!CP554),'Base de datos Rutas'!CP554,"")</f>
        <v>0</v>
      </c>
      <c r="AZ556" s="802" t="str">
        <f>IF(ISNUMBER('Base de datos Rutas'!CQ554),'Base de datos Rutas'!CQ554,"")</f>
        <v/>
      </c>
      <c r="BA556" s="802" t="str">
        <f>IF(ISNUMBER('Base de datos Rutas'!CR554),'Base de datos Rutas'!CR554,"")</f>
        <v/>
      </c>
      <c r="BB556" s="803">
        <f>IF(ISNUMBER('Base de datos Rutas'!CS554),'Base de datos Rutas'!CS554,"")</f>
        <v>0</v>
      </c>
      <c r="BC556" s="804" t="str">
        <f t="shared" si="321"/>
        <v/>
      </c>
      <c r="BD556" s="805" t="str">
        <f t="shared" si="322"/>
        <v>N/D</v>
      </c>
      <c r="BE556" s="806" t="str">
        <f t="shared" si="323"/>
        <v/>
      </c>
      <c r="BF556" s="890" t="str">
        <f>IF(ISNUMBER('Base de datos Rutas'!CX554),'Base de datos Rutas'!CX554/100,"")</f>
        <v/>
      </c>
      <c r="BG556" s="891" t="str">
        <f>IF(ISNUMBER('Base de datos Rutas'!CZ554),'Base de datos Rutas'!CZ554/100,"")</f>
        <v/>
      </c>
      <c r="BH556" s="892" t="str">
        <f>IF(ISNUMBER('Base de datos Rutas'!DA554),'Base de datos Rutas'!DA554,"")</f>
        <v/>
      </c>
      <c r="BI556" s="893" t="str">
        <f>IF(ISNUMBER('Base de datos Rutas'!DC554),'Base de datos Rutas'!DC554,"")</f>
        <v/>
      </c>
      <c r="BJ556" s="805" t="str">
        <f t="shared" si="324"/>
        <v>Sin dato</v>
      </c>
      <c r="BK556" s="783">
        <f t="shared" si="312"/>
        <v>0</v>
      </c>
      <c r="BL556" s="797">
        <f t="shared" si="313"/>
        <v>0</v>
      </c>
      <c r="BM556" s="797">
        <f t="shared" si="314"/>
        <v>0</v>
      </c>
      <c r="BN556" s="797">
        <f t="shared" si="315"/>
        <v>0</v>
      </c>
      <c r="BO556" s="798" cm="1">
        <f t="array" ref="BO556">SUMPRODUCT(--ISNUMBER($BF556:$BI556),$BK$3:$BN$3)</f>
        <v>0</v>
      </c>
      <c r="BP556" s="831" t="str">
        <f t="shared" si="325"/>
        <v/>
      </c>
      <c r="BQ556" s="834" t="str">
        <f t="shared" si="326"/>
        <v>Sin datos</v>
      </c>
      <c r="BR556" s="836" t="str">
        <f t="shared" si="316"/>
        <v/>
      </c>
      <c r="BS556" s="836" t="str">
        <f t="shared" si="317"/>
        <v/>
      </c>
      <c r="BT556" s="837" t="str">
        <f t="shared" si="318"/>
        <v>Sin datos</v>
      </c>
      <c r="BU556" s="807" t="str">
        <f t="shared" si="327"/>
        <v>No evaluable</v>
      </c>
      <c r="BV556" s="807" t="str">
        <f t="shared" si="319"/>
        <v>No evaluable</v>
      </c>
      <c r="BW556" s="808" t="str">
        <f t="shared" si="320"/>
        <v>Sin datos</v>
      </c>
    </row>
    <row r="557" spans="1:75">
      <c r="A557" s="780" t="str">
        <f>'Base de datos Rutas'!A555</f>
        <v>Occidente</v>
      </c>
      <c r="B557" s="781" t="str">
        <f>'Base de datos Rutas'!B555</f>
        <v>Favorita</v>
      </c>
      <c r="C557" s="781" t="str">
        <f>'Base de datos Rutas'!C555</f>
        <v>Suc. San Rafael</v>
      </c>
      <c r="D557" s="782">
        <f>IF(ISNUMBER('Base de datos Rutas'!D555),'Base de datos Rutas'!D555,"Sin código")</f>
        <v>803371</v>
      </c>
      <c r="E557" s="783" t="str">
        <f>'Base de datos Rutas'!F555</f>
        <v>Activa</v>
      </c>
      <c r="F557" s="784" t="str">
        <f>'Base de datos Rutas'!H555</f>
        <v>Sí</v>
      </c>
      <c r="G557" s="785">
        <f>IF(ISNUMBER('Base de datos Rutas'!BE555),'Base de datos Rutas'!BE555,"")</f>
        <v>52.1666666666667</v>
      </c>
      <c r="H557" s="786">
        <f>IF(ISNUMBER('Base de datos Rutas'!BH555),'Base de datos Rutas'!BH555,"")</f>
        <v>3.1948881789137401E-3</v>
      </c>
      <c r="I557" s="788">
        <f>IFERROR(IF(OR(NOT(ISNUMBER('Base de datos Rutas'!O555)),N('Base de datos Rutas'!BK555)=0),"",'Base de datos Rutas'!O555/('Base de datos Rutas'!L555/'Base de datos Rutas'!BK555)),"")</f>
        <v>28.625</v>
      </c>
      <c r="J557" s="788">
        <f>IFERROR(IF(OR(NOT(ISNUMBER('Base de datos Rutas'!N555)),N('Base de datos Rutas'!BK555)=0),"",'Base de datos Rutas'!N555/('Base de datos Rutas'!L555/'Base de datos Rutas'!BK555)),"")</f>
        <v>98.0625</v>
      </c>
      <c r="K557" s="788">
        <f>IFERROR(IF(OR(NOT(ISNUMBER('Base de datos Rutas'!J555)),N('Base de datos Rutas'!BK555)=0),"",'Base de datos Rutas'!J555/('Base de datos Rutas'!L555/'Base de datos Rutas'!BK555)),"")</f>
        <v>8.8059999999999992</v>
      </c>
      <c r="L557" s="788">
        <f>IFERROR(IF(OR(NOT(ISNUMBER('Base de datos Rutas'!K555)),N('Base de datos Rutas'!BK555)=0),"",'Base de datos Rutas'!K555/('Base de datos Rutas'!L555/'Base de datos Rutas'!BK555)),"")</f>
        <v>0.14606328125000001</v>
      </c>
      <c r="M557" s="787">
        <f>IF(ISNUMBER('Base de datos Rutas'!AX555),'Base de datos Rutas'!AX555,"")</f>
        <v>150.16814814814799</v>
      </c>
      <c r="N557" s="790">
        <f>IFERROR(INDEX('Hoja de apoyo v2'!B$17:B$20,MATCH($A557,'Hoja de apoyo v2'!$A$17:$A$20,0)),"")</f>
        <v>89.41621024641401</v>
      </c>
      <c r="O557" s="791">
        <f>IFERROR(INDEX('Hoja de apoyo v2'!C$17:C$20,MATCH($A557,'Hoja de apoyo v2'!$A$17:$A$20,0)),"")</f>
        <v>0.54706375874806301</v>
      </c>
      <c r="P557" s="793">
        <f>IFERROR(INDEX('Hoja de apoyo v2'!D$17:D$20,MATCH($A557,'Hoja de apoyo v2'!$A$17:$A$20,0)),"")</f>
        <v>11095.153935793827</v>
      </c>
      <c r="Q557" s="793">
        <f>IFERROR(INDEX('Hoja de apoyo v2'!E$17:E$20,MATCH($A557,'Hoja de apoyo v2'!$A$17:$A$20,0)),"")</f>
        <v>6982.3202019701848</v>
      </c>
      <c r="R557" s="793">
        <f>IFERROR(INDEX('Hoja de apoyo v2'!F$17:F$20,MATCH($A557,'Hoja de apoyo v2'!$A$17:$A$20,0)),"")</f>
        <v>448.09513474485743</v>
      </c>
      <c r="S557" s="793">
        <f>IFERROR(INDEX('Hoja de apoyo v2'!G$17:G$20,MATCH($A557,'Hoja de apoyo v2'!$A$17:$A$20,0)),"")</f>
        <v>83.406300904207839</v>
      </c>
      <c r="T557" s="792">
        <f>IFERROR(INDEX('Hoja de apoyo v2'!H$17:H$20,MATCH($A557,'Hoja de apoyo v2'!$A$17:$A$20,0)),"")</f>
        <v>378.97014028925349</v>
      </c>
      <c r="U557" s="794">
        <f t="shared" si="292"/>
        <v>0.58341397519426652</v>
      </c>
      <c r="V557" s="795">
        <f t="shared" si="293"/>
        <v>5.8400654911323936E-3</v>
      </c>
      <c r="W557" s="795">
        <f t="shared" si="294"/>
        <v>2.5799551917575049E-3</v>
      </c>
      <c r="X557" s="843">
        <f t="shared" si="295"/>
        <v>1.4044400308701101E-2</v>
      </c>
      <c r="Y557" s="843">
        <f t="shared" si="296"/>
        <v>1.9652076796178742E-2</v>
      </c>
      <c r="Z557" s="843">
        <f t="shared" si="297"/>
        <v>1.7512259825280315E-3</v>
      </c>
      <c r="AA557" s="843">
        <f t="shared" si="298"/>
        <v>0.39625324579274335</v>
      </c>
      <c r="AB557" s="796">
        <f t="shared" si="299"/>
        <v>2</v>
      </c>
      <c r="AC557" s="797">
        <f t="shared" si="300"/>
        <v>1</v>
      </c>
      <c r="AD557" s="797">
        <f t="shared" si="301"/>
        <v>1</v>
      </c>
      <c r="AE557" s="842">
        <f t="shared" si="302"/>
        <v>1</v>
      </c>
      <c r="AF557" s="842">
        <f t="shared" si="303"/>
        <v>1</v>
      </c>
      <c r="AG557" s="842">
        <f t="shared" si="304"/>
        <v>1</v>
      </c>
      <c r="AH557" s="842">
        <f t="shared" si="305"/>
        <v>1</v>
      </c>
      <c r="AI557" s="826" cm="1">
        <f t="array" ref="AI557">SUMPRODUCT(--ISNUMBER($U557:$AA557),$AB$3:$AH$3)</f>
        <v>1</v>
      </c>
      <c r="AJ557" s="829">
        <f t="shared" si="306"/>
        <v>4.5336361781367573</v>
      </c>
      <c r="AK557" s="827" t="str">
        <f t="shared" si="307"/>
        <v>Inmadura</v>
      </c>
      <c r="AL557" s="784" t="str">
        <f t="shared" si="308"/>
        <v>Alta</v>
      </c>
      <c r="AM557" s="799">
        <f>IF(ISNUMBER('Base de datos Rutas'!W555),'Base de datos Rutas'!W555,"")</f>
        <v>3054.2455510167165</v>
      </c>
      <c r="AN557" s="787">
        <f>IFERROR(SUMIFS('Base de datos Rutas'!$W$6:$W$794,'Base de datos Rutas'!$C$6:$C$794,$C557)/'Base de datos Rutas'!I555,"")</f>
        <v>3054.2455510167188</v>
      </c>
      <c r="AO557" s="800">
        <f>IFERROR('Base de datos Rutas'!X555*AN557/AM557,"")</f>
        <v>0.49742199715828644</v>
      </c>
      <c r="AP557" s="800">
        <f t="shared" si="309"/>
        <v>0.5025780028417135</v>
      </c>
      <c r="AQ557" s="789">
        <f>IFERROR(INDEX('Hoja de apoyo v2'!$J$17:$J$20,MATCH($A557,'Hoja de apoyo v2'!$A$17:$A$20,0)),"")</f>
        <v>0.64320274048480885</v>
      </c>
      <c r="AR557" s="789">
        <f t="shared" si="310"/>
        <v>-0.14062473764309535</v>
      </c>
      <c r="AS557" s="784" t="str">
        <f t="shared" si="311"/>
        <v>No</v>
      </c>
      <c r="AT557" s="801" t="str">
        <f>IF(ISNUMBER('Base de datos Rutas'!CK555),'Base de datos Rutas'!CK555,"")</f>
        <v/>
      </c>
      <c r="AU557" s="802" t="str">
        <f>IF(ISNUMBER('Base de datos Rutas'!CL555),'Base de datos Rutas'!CL555,"")</f>
        <v/>
      </c>
      <c r="AV557" s="802">
        <f>IF(ISNUMBER('Base de datos Rutas'!CM555),'Base de datos Rutas'!CM555,"")</f>
        <v>0</v>
      </c>
      <c r="AW557" s="802" t="str">
        <f>IF(ISNUMBER('Base de datos Rutas'!CN555),'Base de datos Rutas'!CN555,"")</f>
        <v/>
      </c>
      <c r="AX557" s="802" t="str">
        <f>IF(ISNUMBER('Base de datos Rutas'!CO555),'Base de datos Rutas'!CO555,"")</f>
        <v/>
      </c>
      <c r="AY557" s="802">
        <f>IF(ISNUMBER('Base de datos Rutas'!CP555),'Base de datos Rutas'!CP555,"")</f>
        <v>0</v>
      </c>
      <c r="AZ557" s="802" t="str">
        <f>IF(ISNUMBER('Base de datos Rutas'!CQ555),'Base de datos Rutas'!CQ555,"")</f>
        <v/>
      </c>
      <c r="BA557" s="802" t="str">
        <f>IF(ISNUMBER('Base de datos Rutas'!CR555),'Base de datos Rutas'!CR555,"")</f>
        <v/>
      </c>
      <c r="BB557" s="803">
        <f>IF(ISNUMBER('Base de datos Rutas'!CS555),'Base de datos Rutas'!CS555,"")</f>
        <v>0</v>
      </c>
      <c r="BC557" s="804" t="str">
        <f t="shared" si="321"/>
        <v/>
      </c>
      <c r="BD557" s="805" t="str">
        <f t="shared" si="322"/>
        <v>N/D</v>
      </c>
      <c r="BE557" s="806" t="str">
        <f t="shared" si="323"/>
        <v/>
      </c>
      <c r="BF557" s="890" t="str">
        <f>IF(ISNUMBER('Base de datos Rutas'!CX555),'Base de datos Rutas'!CX555/100,"")</f>
        <v/>
      </c>
      <c r="BG557" s="891" t="str">
        <f>IF(ISNUMBER('Base de datos Rutas'!CZ555),'Base de datos Rutas'!CZ555/100,"")</f>
        <v/>
      </c>
      <c r="BH557" s="892" t="str">
        <f>IF(ISNUMBER('Base de datos Rutas'!DA555),'Base de datos Rutas'!DA555,"")</f>
        <v/>
      </c>
      <c r="BI557" s="893" t="str">
        <f>IF(ISNUMBER('Base de datos Rutas'!DC555),'Base de datos Rutas'!DC555,"")</f>
        <v/>
      </c>
      <c r="BJ557" s="805" t="str">
        <f t="shared" si="324"/>
        <v>Sin dato</v>
      </c>
      <c r="BK557" s="783">
        <f t="shared" si="312"/>
        <v>0</v>
      </c>
      <c r="BL557" s="797">
        <f t="shared" si="313"/>
        <v>0</v>
      </c>
      <c r="BM557" s="797">
        <f t="shared" si="314"/>
        <v>0</v>
      </c>
      <c r="BN557" s="797">
        <f t="shared" si="315"/>
        <v>0</v>
      </c>
      <c r="BO557" s="798" cm="1">
        <f t="array" ref="BO557">SUMPRODUCT(--ISNUMBER($BF557:$BI557),$BK$3:$BN$3)</f>
        <v>0</v>
      </c>
      <c r="BP557" s="831" t="str">
        <f t="shared" si="325"/>
        <v/>
      </c>
      <c r="BQ557" s="834" t="str">
        <f t="shared" si="326"/>
        <v>Sin datos</v>
      </c>
      <c r="BR557" s="836" t="str">
        <f t="shared" si="316"/>
        <v/>
      </c>
      <c r="BS557" s="836" t="str">
        <f t="shared" si="317"/>
        <v/>
      </c>
      <c r="BT557" s="837" t="str">
        <f t="shared" si="318"/>
        <v>Sin datos</v>
      </c>
      <c r="BU557" s="807" t="str">
        <f t="shared" si="327"/>
        <v>Con espacio</v>
      </c>
      <c r="BV557" s="807" t="str">
        <f t="shared" si="319"/>
        <v>Sin datos de zona</v>
      </c>
      <c r="BW557" s="808" t="str">
        <f t="shared" si="320"/>
        <v>Sin datos</v>
      </c>
    </row>
    <row r="558" spans="1:75">
      <c r="A558" s="780" t="str">
        <f>'Base de datos Rutas'!A556</f>
        <v>Occidente</v>
      </c>
      <c r="B558" s="781" t="str">
        <f>'Base de datos Rutas'!B556</f>
        <v>Favorita</v>
      </c>
      <c r="C558" s="781" t="str">
        <f>'Base de datos Rutas'!C556</f>
        <v>Suc. San Rafael</v>
      </c>
      <c r="D558" s="782">
        <f>IF(ISNUMBER('Base de datos Rutas'!D556),'Base de datos Rutas'!D556,"Sin código")</f>
        <v>803373</v>
      </c>
      <c r="E558" s="783" t="str">
        <f>'Base de datos Rutas'!F556</f>
        <v>Activa</v>
      </c>
      <c r="F558" s="784" t="str">
        <f>'Base de datos Rutas'!H556</f>
        <v>Sí</v>
      </c>
      <c r="G558" s="785">
        <f>IF(ISNUMBER('Base de datos Rutas'!BE556),'Base de datos Rutas'!BE556,"")</f>
        <v>129.42857142857099</v>
      </c>
      <c r="H558" s="786">
        <f>IF(ISNUMBER('Base de datos Rutas'!BH556),'Base de datos Rutas'!BH556,"")</f>
        <v>1.83958793230316E-3</v>
      </c>
      <c r="I558" s="788">
        <f>IFERROR(IF(OR(NOT(ISNUMBER('Base de datos Rutas'!O556)),N('Base de datos Rutas'!BK556)=0),"",'Base de datos Rutas'!O556/('Base de datos Rutas'!L556/'Base de datos Rutas'!BK556)),"")</f>
        <v>185.93617021276637</v>
      </c>
      <c r="J558" s="788">
        <f>IFERROR(IF(OR(NOT(ISNUMBER('Base de datos Rutas'!N556)),N('Base de datos Rutas'!BK556)=0),"",'Base de datos Rutas'!N556/('Base de datos Rutas'!L556/'Base de datos Rutas'!BK556)),"")</f>
        <v>94.723404255319366</v>
      </c>
      <c r="K558" s="788">
        <f>IFERROR(IF(OR(NOT(ISNUMBER('Base de datos Rutas'!J556)),N('Base de datos Rutas'!BK556)=0),"",'Base de datos Rutas'!J556/('Base de datos Rutas'!L556/'Base de datos Rutas'!BK556)),"")</f>
        <v>8.2439148936170401</v>
      </c>
      <c r="L558" s="788">
        <f>IFERROR(IF(OR(NOT(ISNUMBER('Base de datos Rutas'!K556)),N('Base de datos Rutas'!BK556)=0),"",'Base de datos Rutas'!K556/('Base de datos Rutas'!L556/'Base de datos Rutas'!BK556)),"")</f>
        <v>1.9085287234042596</v>
      </c>
      <c r="M558" s="787">
        <f>IF(ISNUMBER('Base de datos Rutas'!AX556),'Base de datos Rutas'!AX556,"")</f>
        <v>425.45161290322602</v>
      </c>
      <c r="N558" s="790">
        <f>IFERROR(INDEX('Hoja de apoyo v2'!B$17:B$20,MATCH($A558,'Hoja de apoyo v2'!$A$17:$A$20,0)),"")</f>
        <v>89.41621024641401</v>
      </c>
      <c r="O558" s="791">
        <f>IFERROR(INDEX('Hoja de apoyo v2'!C$17:C$20,MATCH($A558,'Hoja de apoyo v2'!$A$17:$A$20,0)),"")</f>
        <v>0.54706375874806301</v>
      </c>
      <c r="P558" s="793">
        <f>IFERROR(INDEX('Hoja de apoyo v2'!D$17:D$20,MATCH($A558,'Hoja de apoyo v2'!$A$17:$A$20,0)),"")</f>
        <v>11095.153935793827</v>
      </c>
      <c r="Q558" s="793">
        <f>IFERROR(INDEX('Hoja de apoyo v2'!E$17:E$20,MATCH($A558,'Hoja de apoyo v2'!$A$17:$A$20,0)),"")</f>
        <v>6982.3202019701848</v>
      </c>
      <c r="R558" s="793">
        <f>IFERROR(INDEX('Hoja de apoyo v2'!F$17:F$20,MATCH($A558,'Hoja de apoyo v2'!$A$17:$A$20,0)),"")</f>
        <v>448.09513474485743</v>
      </c>
      <c r="S558" s="793">
        <f>IFERROR(INDEX('Hoja de apoyo v2'!G$17:G$20,MATCH($A558,'Hoja de apoyo v2'!$A$17:$A$20,0)),"")</f>
        <v>83.406300904207839</v>
      </c>
      <c r="T558" s="792">
        <f>IFERROR(INDEX('Hoja de apoyo v2'!H$17:H$20,MATCH($A558,'Hoja de apoyo v2'!$A$17:$A$20,0)),"")</f>
        <v>378.97014028925349</v>
      </c>
      <c r="U558" s="794">
        <f t="shared" si="292"/>
        <v>1.4474844222528616</v>
      </c>
      <c r="V558" s="795">
        <f t="shared" si="293"/>
        <v>3.3626572824216961E-3</v>
      </c>
      <c r="W558" s="795">
        <f t="shared" si="294"/>
        <v>1.6758322713569737E-2</v>
      </c>
      <c r="X558" s="843">
        <f t="shared" si="295"/>
        <v>1.3566178793775668E-2</v>
      </c>
      <c r="Y558" s="843">
        <f t="shared" si="296"/>
        <v>1.8397688915571631E-2</v>
      </c>
      <c r="Z558" s="843">
        <f t="shared" si="297"/>
        <v>2.2882308683083854E-2</v>
      </c>
      <c r="AA558" s="843">
        <f t="shared" si="298"/>
        <v>1.1226520711592078</v>
      </c>
      <c r="AB558" s="796">
        <f t="shared" si="299"/>
        <v>5</v>
      </c>
      <c r="AC558" s="797">
        <f t="shared" si="300"/>
        <v>1</v>
      </c>
      <c r="AD558" s="797">
        <f t="shared" si="301"/>
        <v>1</v>
      </c>
      <c r="AE558" s="842">
        <f t="shared" si="302"/>
        <v>1</v>
      </c>
      <c r="AF558" s="842">
        <f t="shared" si="303"/>
        <v>1</v>
      </c>
      <c r="AG558" s="842">
        <f t="shared" si="304"/>
        <v>1</v>
      </c>
      <c r="AH558" s="842">
        <f t="shared" si="305"/>
        <v>4</v>
      </c>
      <c r="AI558" s="826" cm="1">
        <f t="array" ref="AI558">SUMPRODUCT(--ISNUMBER($U558:$AA558),$AB$3:$AH$3)</f>
        <v>1</v>
      </c>
      <c r="AJ558" s="829">
        <f t="shared" si="306"/>
        <v>24.868728233526692</v>
      </c>
      <c r="AK558" s="827" t="str">
        <f t="shared" si="307"/>
        <v>Inmadura</v>
      </c>
      <c r="AL558" s="784" t="str">
        <f t="shared" si="308"/>
        <v>Alta</v>
      </c>
      <c r="AM558" s="799">
        <f>IF(ISNUMBER('Base de datos Rutas'!W556),'Base de datos Rutas'!W556,"")</f>
        <v>3054.2455510167165</v>
      </c>
      <c r="AN558" s="787">
        <f>IFERROR(SUMIFS('Base de datos Rutas'!$W$6:$W$794,'Base de datos Rutas'!$C$6:$C$794,$C558)/'Base de datos Rutas'!I556,"")</f>
        <v>3054.2455510167188</v>
      </c>
      <c r="AO558" s="800">
        <f>IFERROR('Base de datos Rutas'!X556*AN558/AM558,"")</f>
        <v>0.49742199715828644</v>
      </c>
      <c r="AP558" s="800">
        <f t="shared" si="309"/>
        <v>0.5025780028417135</v>
      </c>
      <c r="AQ558" s="789">
        <f>IFERROR(INDEX('Hoja de apoyo v2'!$J$17:$J$20,MATCH($A558,'Hoja de apoyo v2'!$A$17:$A$20,0)),"")</f>
        <v>0.64320274048480885</v>
      </c>
      <c r="AR558" s="789">
        <f t="shared" si="310"/>
        <v>-0.14062473764309535</v>
      </c>
      <c r="AS558" s="784" t="str">
        <f t="shared" si="311"/>
        <v>No</v>
      </c>
      <c r="AT558" s="801" t="str">
        <f>IF(ISNUMBER('Base de datos Rutas'!CK556),'Base de datos Rutas'!CK556,"")</f>
        <v/>
      </c>
      <c r="AU558" s="802" t="str">
        <f>IF(ISNUMBER('Base de datos Rutas'!CL556),'Base de datos Rutas'!CL556,"")</f>
        <v/>
      </c>
      <c r="AV558" s="802">
        <f>IF(ISNUMBER('Base de datos Rutas'!CM556),'Base de datos Rutas'!CM556,"")</f>
        <v>0</v>
      </c>
      <c r="AW558" s="802" t="str">
        <f>IF(ISNUMBER('Base de datos Rutas'!CN556),'Base de datos Rutas'!CN556,"")</f>
        <v/>
      </c>
      <c r="AX558" s="802" t="str">
        <f>IF(ISNUMBER('Base de datos Rutas'!CO556),'Base de datos Rutas'!CO556,"")</f>
        <v/>
      </c>
      <c r="AY558" s="802">
        <f>IF(ISNUMBER('Base de datos Rutas'!CP556),'Base de datos Rutas'!CP556,"")</f>
        <v>0</v>
      </c>
      <c r="AZ558" s="802" t="str">
        <f>IF(ISNUMBER('Base de datos Rutas'!CQ556),'Base de datos Rutas'!CQ556,"")</f>
        <v/>
      </c>
      <c r="BA558" s="802" t="str">
        <f>IF(ISNUMBER('Base de datos Rutas'!CR556),'Base de datos Rutas'!CR556,"")</f>
        <v/>
      </c>
      <c r="BB558" s="803">
        <f>IF(ISNUMBER('Base de datos Rutas'!CS556),'Base de datos Rutas'!CS556,"")</f>
        <v>0</v>
      </c>
      <c r="BC558" s="804" t="str">
        <f t="shared" si="321"/>
        <v/>
      </c>
      <c r="BD558" s="805" t="str">
        <f t="shared" si="322"/>
        <v>N/D</v>
      </c>
      <c r="BE558" s="806" t="str">
        <f t="shared" si="323"/>
        <v/>
      </c>
      <c r="BF558" s="890" t="str">
        <f>IF(ISNUMBER('Base de datos Rutas'!CX556),'Base de datos Rutas'!CX556/100,"")</f>
        <v/>
      </c>
      <c r="BG558" s="891" t="str">
        <f>IF(ISNUMBER('Base de datos Rutas'!CZ556),'Base de datos Rutas'!CZ556/100,"")</f>
        <v/>
      </c>
      <c r="BH558" s="892" t="str">
        <f>IF(ISNUMBER('Base de datos Rutas'!DA556),'Base de datos Rutas'!DA556,"")</f>
        <v/>
      </c>
      <c r="BI558" s="893" t="str">
        <f>IF(ISNUMBER('Base de datos Rutas'!DC556),'Base de datos Rutas'!DC556,"")</f>
        <v/>
      </c>
      <c r="BJ558" s="805" t="str">
        <f t="shared" si="324"/>
        <v>Sin dato</v>
      </c>
      <c r="BK558" s="783">
        <f t="shared" si="312"/>
        <v>0</v>
      </c>
      <c r="BL558" s="797">
        <f t="shared" si="313"/>
        <v>0</v>
      </c>
      <c r="BM558" s="797">
        <f t="shared" si="314"/>
        <v>0</v>
      </c>
      <c r="BN558" s="797">
        <f t="shared" si="315"/>
        <v>0</v>
      </c>
      <c r="BO558" s="798" cm="1">
        <f t="array" ref="BO558">SUMPRODUCT(--ISNUMBER($BF558:$BI558),$BK$3:$BN$3)</f>
        <v>0</v>
      </c>
      <c r="BP558" s="831" t="str">
        <f t="shared" si="325"/>
        <v/>
      </c>
      <c r="BQ558" s="834" t="str">
        <f t="shared" si="326"/>
        <v>Sin datos</v>
      </c>
      <c r="BR558" s="836" t="str">
        <f t="shared" si="316"/>
        <v/>
      </c>
      <c r="BS558" s="836" t="str">
        <f t="shared" si="317"/>
        <v/>
      </c>
      <c r="BT558" s="837" t="str">
        <f t="shared" si="318"/>
        <v>Sin datos</v>
      </c>
      <c r="BU558" s="807" t="str">
        <f t="shared" si="327"/>
        <v>Con espacio</v>
      </c>
      <c r="BV558" s="807" t="str">
        <f t="shared" si="319"/>
        <v>Sin datos de zona</v>
      </c>
      <c r="BW558" s="808" t="str">
        <f t="shared" si="320"/>
        <v>Sin datos</v>
      </c>
    </row>
    <row r="559" spans="1:75">
      <c r="A559" s="780" t="str">
        <f>'Base de datos Rutas'!A557</f>
        <v>Occidente</v>
      </c>
      <c r="B559" s="781" t="str">
        <f>'Base de datos Rutas'!B557</f>
        <v>Favorita</v>
      </c>
      <c r="C559" s="781" t="str">
        <f>'Base de datos Rutas'!C557</f>
        <v>Suc. San Rafael</v>
      </c>
      <c r="D559" s="782">
        <f>IF(ISNUMBER('Base de datos Rutas'!D557),'Base de datos Rutas'!D557,"Sin código")</f>
        <v>803378</v>
      </c>
      <c r="E559" s="783" t="str">
        <f>'Base de datos Rutas'!F557</f>
        <v>Inactiva</v>
      </c>
      <c r="F559" s="784" t="str">
        <f>'Base de datos Rutas'!H557</f>
        <v>No</v>
      </c>
      <c r="G559" s="785" t="str">
        <f>IF(ISNUMBER('Base de datos Rutas'!BE557),'Base de datos Rutas'!BE557,"")</f>
        <v/>
      </c>
      <c r="H559" s="786" t="str">
        <f>IF(ISNUMBER('Base de datos Rutas'!BH557),'Base de datos Rutas'!BH557,"")</f>
        <v/>
      </c>
      <c r="I559" s="788" t="str">
        <f>IFERROR(IF(OR(NOT(ISNUMBER('Base de datos Rutas'!O557)),N('Base de datos Rutas'!BK557)=0),"",'Base de datos Rutas'!O557/('Base de datos Rutas'!L557/'Base de datos Rutas'!BK557)),"")</f>
        <v/>
      </c>
      <c r="J559" s="788" t="str">
        <f>IFERROR(IF(OR(NOT(ISNUMBER('Base de datos Rutas'!N557)),N('Base de datos Rutas'!BK557)=0),"",'Base de datos Rutas'!N557/('Base de datos Rutas'!L557/'Base de datos Rutas'!BK557)),"")</f>
        <v/>
      </c>
      <c r="K559" s="788" t="str">
        <f>IFERROR(IF(OR(NOT(ISNUMBER('Base de datos Rutas'!J557)),N('Base de datos Rutas'!BK557)=0),"",'Base de datos Rutas'!J557/('Base de datos Rutas'!L557/'Base de datos Rutas'!BK557)),"")</f>
        <v/>
      </c>
      <c r="L559" s="788" t="str">
        <f>IFERROR(IF(OR(NOT(ISNUMBER('Base de datos Rutas'!K557)),N('Base de datos Rutas'!BK557)=0),"",'Base de datos Rutas'!K557/('Base de datos Rutas'!L557/'Base de datos Rutas'!BK557)),"")</f>
        <v/>
      </c>
      <c r="M559" s="787">
        <f>IF(ISNUMBER('Base de datos Rutas'!AX557),'Base de datos Rutas'!AX557,"")</f>
        <v>150</v>
      </c>
      <c r="N559" s="790">
        <f>IFERROR(INDEX('Hoja de apoyo v2'!B$17:B$20,MATCH($A559,'Hoja de apoyo v2'!$A$17:$A$20,0)),"")</f>
        <v>89.41621024641401</v>
      </c>
      <c r="O559" s="791">
        <f>IFERROR(INDEX('Hoja de apoyo v2'!C$17:C$20,MATCH($A559,'Hoja de apoyo v2'!$A$17:$A$20,0)),"")</f>
        <v>0.54706375874806301</v>
      </c>
      <c r="P559" s="793">
        <f>IFERROR(INDEX('Hoja de apoyo v2'!D$17:D$20,MATCH($A559,'Hoja de apoyo v2'!$A$17:$A$20,0)),"")</f>
        <v>11095.153935793827</v>
      </c>
      <c r="Q559" s="793">
        <f>IFERROR(INDEX('Hoja de apoyo v2'!E$17:E$20,MATCH($A559,'Hoja de apoyo v2'!$A$17:$A$20,0)),"")</f>
        <v>6982.3202019701848</v>
      </c>
      <c r="R559" s="793">
        <f>IFERROR(INDEX('Hoja de apoyo v2'!F$17:F$20,MATCH($A559,'Hoja de apoyo v2'!$A$17:$A$20,0)),"")</f>
        <v>448.09513474485743</v>
      </c>
      <c r="S559" s="793">
        <f>IFERROR(INDEX('Hoja de apoyo v2'!G$17:G$20,MATCH($A559,'Hoja de apoyo v2'!$A$17:$A$20,0)),"")</f>
        <v>83.406300904207839</v>
      </c>
      <c r="T559" s="792">
        <f>IFERROR(INDEX('Hoja de apoyo v2'!H$17:H$20,MATCH($A559,'Hoja de apoyo v2'!$A$17:$A$20,0)),"")</f>
        <v>378.97014028925349</v>
      </c>
      <c r="U559" s="794" t="str">
        <f t="shared" si="292"/>
        <v/>
      </c>
      <c r="V559" s="795" t="str">
        <f t="shared" si="293"/>
        <v/>
      </c>
      <c r="W559" s="795" t="str">
        <f t="shared" si="294"/>
        <v/>
      </c>
      <c r="X559" s="843" t="str">
        <f t="shared" si="295"/>
        <v/>
      </c>
      <c r="Y559" s="843" t="str">
        <f t="shared" si="296"/>
        <v/>
      </c>
      <c r="Z559" s="843" t="str">
        <f t="shared" si="297"/>
        <v/>
      </c>
      <c r="AA559" s="843">
        <f t="shared" si="298"/>
        <v>0.39580954817577635</v>
      </c>
      <c r="AB559" s="796">
        <f t="shared" si="299"/>
        <v>0</v>
      </c>
      <c r="AC559" s="797">
        <f t="shared" si="300"/>
        <v>0</v>
      </c>
      <c r="AD559" s="797">
        <f t="shared" si="301"/>
        <v>0</v>
      </c>
      <c r="AE559" s="842">
        <f t="shared" si="302"/>
        <v>0</v>
      </c>
      <c r="AF559" s="842">
        <f t="shared" si="303"/>
        <v>0</v>
      </c>
      <c r="AG559" s="842">
        <f t="shared" si="304"/>
        <v>0</v>
      </c>
      <c r="AH559" s="842">
        <f t="shared" si="305"/>
        <v>1</v>
      </c>
      <c r="AI559" s="826" cm="1">
        <f t="array" ref="AI559">SUMPRODUCT(--ISNUMBER($U559:$AA559),$AB$3:$AH$3)</f>
        <v>8.9789113613062493E-2</v>
      </c>
      <c r="AJ559" s="829" t="str">
        <f t="shared" si="306"/>
        <v/>
      </c>
      <c r="AK559" s="827" t="str">
        <f t="shared" si="307"/>
        <v>Ruta inactiva</v>
      </c>
      <c r="AL559" s="784" t="str">
        <f t="shared" si="308"/>
        <v>n/a</v>
      </c>
      <c r="AM559" s="799">
        <f>IF(ISNUMBER('Base de datos Rutas'!W557),'Base de datos Rutas'!W557,"")</f>
        <v>3054.2455510167165</v>
      </c>
      <c r="AN559" s="787">
        <f>IFERROR(SUMIFS('Base de datos Rutas'!$W$6:$W$794,'Base de datos Rutas'!$C$6:$C$794,$C559)/'Base de datos Rutas'!I557,"")</f>
        <v>3054.2455510167188</v>
      </c>
      <c r="AO559" s="800">
        <f>IFERROR('Base de datos Rutas'!X557*AN559/AM559,"")</f>
        <v>0.49742199715828644</v>
      </c>
      <c r="AP559" s="800">
        <f t="shared" si="309"/>
        <v>0.5025780028417135</v>
      </c>
      <c r="AQ559" s="789">
        <f>IFERROR(INDEX('Hoja de apoyo v2'!$J$17:$J$20,MATCH($A559,'Hoja de apoyo v2'!$A$17:$A$20,0)),"")</f>
        <v>0.64320274048480885</v>
      </c>
      <c r="AR559" s="789">
        <f t="shared" si="310"/>
        <v>-0.14062473764309535</v>
      </c>
      <c r="AS559" s="784" t="str">
        <f t="shared" si="311"/>
        <v>No</v>
      </c>
      <c r="AT559" s="801" t="str">
        <f>IF(ISNUMBER('Base de datos Rutas'!CK557),'Base de datos Rutas'!CK557,"")</f>
        <v/>
      </c>
      <c r="AU559" s="802" t="str">
        <f>IF(ISNUMBER('Base de datos Rutas'!CL557),'Base de datos Rutas'!CL557,"")</f>
        <v/>
      </c>
      <c r="AV559" s="802">
        <f>IF(ISNUMBER('Base de datos Rutas'!CM557),'Base de datos Rutas'!CM557,"")</f>
        <v>0</v>
      </c>
      <c r="AW559" s="802" t="str">
        <f>IF(ISNUMBER('Base de datos Rutas'!CN557),'Base de datos Rutas'!CN557,"")</f>
        <v/>
      </c>
      <c r="AX559" s="802" t="str">
        <f>IF(ISNUMBER('Base de datos Rutas'!CO557),'Base de datos Rutas'!CO557,"")</f>
        <v/>
      </c>
      <c r="AY559" s="802">
        <f>IF(ISNUMBER('Base de datos Rutas'!CP557),'Base de datos Rutas'!CP557,"")</f>
        <v>0</v>
      </c>
      <c r="AZ559" s="802" t="str">
        <f>IF(ISNUMBER('Base de datos Rutas'!CQ557),'Base de datos Rutas'!CQ557,"")</f>
        <v/>
      </c>
      <c r="BA559" s="802" t="str">
        <f>IF(ISNUMBER('Base de datos Rutas'!CR557),'Base de datos Rutas'!CR557,"")</f>
        <v/>
      </c>
      <c r="BB559" s="803">
        <f>IF(ISNUMBER('Base de datos Rutas'!CS557),'Base de datos Rutas'!CS557,"")</f>
        <v>0</v>
      </c>
      <c r="BC559" s="804" t="str">
        <f t="shared" si="321"/>
        <v/>
      </c>
      <c r="BD559" s="805" t="str">
        <f t="shared" si="322"/>
        <v>N/D</v>
      </c>
      <c r="BE559" s="806" t="str">
        <f t="shared" si="323"/>
        <v/>
      </c>
      <c r="BF559" s="890" t="str">
        <f>IF(ISNUMBER('Base de datos Rutas'!CX557),'Base de datos Rutas'!CX557/100,"")</f>
        <v/>
      </c>
      <c r="BG559" s="891" t="str">
        <f>IF(ISNUMBER('Base de datos Rutas'!CZ557),'Base de datos Rutas'!CZ557/100,"")</f>
        <v/>
      </c>
      <c r="BH559" s="892" t="str">
        <f>IF(ISNUMBER('Base de datos Rutas'!DA557),'Base de datos Rutas'!DA557,"")</f>
        <v/>
      </c>
      <c r="BI559" s="893" t="str">
        <f>IF(ISNUMBER('Base de datos Rutas'!DC557),'Base de datos Rutas'!DC557,"")</f>
        <v/>
      </c>
      <c r="BJ559" s="805" t="str">
        <f t="shared" si="324"/>
        <v>Sin dato</v>
      </c>
      <c r="BK559" s="783">
        <f t="shared" si="312"/>
        <v>0</v>
      </c>
      <c r="BL559" s="797">
        <f t="shared" si="313"/>
        <v>0</v>
      </c>
      <c r="BM559" s="797">
        <f t="shared" si="314"/>
        <v>0</v>
      </c>
      <c r="BN559" s="797">
        <f t="shared" si="315"/>
        <v>0</v>
      </c>
      <c r="BO559" s="798" cm="1">
        <f t="array" ref="BO559">SUMPRODUCT(--ISNUMBER($BF559:$BI559),$BK$3:$BN$3)</f>
        <v>0</v>
      </c>
      <c r="BP559" s="831" t="str">
        <f t="shared" si="325"/>
        <v/>
      </c>
      <c r="BQ559" s="834" t="str">
        <f t="shared" si="326"/>
        <v>Sin datos</v>
      </c>
      <c r="BR559" s="836" t="str">
        <f t="shared" si="316"/>
        <v/>
      </c>
      <c r="BS559" s="836" t="str">
        <f t="shared" si="317"/>
        <v/>
      </c>
      <c r="BT559" s="837" t="str">
        <f t="shared" si="318"/>
        <v>Sin datos</v>
      </c>
      <c r="BU559" s="807" t="str">
        <f t="shared" si="327"/>
        <v>No evaluable</v>
      </c>
      <c r="BV559" s="807" t="str">
        <f t="shared" si="319"/>
        <v>No evaluable</v>
      </c>
      <c r="BW559" s="808" t="str">
        <f t="shared" si="320"/>
        <v>Sin datos</v>
      </c>
    </row>
    <row r="560" spans="1:75">
      <c r="A560" s="780" t="str">
        <f>'Base de datos Rutas'!A558</f>
        <v>Occidente</v>
      </c>
      <c r="B560" s="781" t="str">
        <f>'Base de datos Rutas'!B558</f>
        <v>Favorita</v>
      </c>
      <c r="C560" s="781" t="str">
        <f>'Base de datos Rutas'!C558</f>
        <v>Suc. San Rafael</v>
      </c>
      <c r="D560" s="782">
        <f>IF(ISNUMBER('Base de datos Rutas'!D558),'Base de datos Rutas'!D558,"Sin código")</f>
        <v>803379</v>
      </c>
      <c r="E560" s="783" t="str">
        <f>'Base de datos Rutas'!F558</f>
        <v>Inactiva</v>
      </c>
      <c r="F560" s="784" t="str">
        <f>'Base de datos Rutas'!H558</f>
        <v>No</v>
      </c>
      <c r="G560" s="785" t="str">
        <f>IF(ISNUMBER('Base de datos Rutas'!BE558),'Base de datos Rutas'!BE558,"")</f>
        <v/>
      </c>
      <c r="H560" s="786" t="str">
        <f>IF(ISNUMBER('Base de datos Rutas'!BH558),'Base de datos Rutas'!BH558,"")</f>
        <v/>
      </c>
      <c r="I560" s="788" t="str">
        <f>IFERROR(IF(OR(NOT(ISNUMBER('Base de datos Rutas'!O558)),N('Base de datos Rutas'!BK558)=0),"",'Base de datos Rutas'!O558/('Base de datos Rutas'!L558/'Base de datos Rutas'!BK558)),"")</f>
        <v/>
      </c>
      <c r="J560" s="788" t="str">
        <f>IFERROR(IF(OR(NOT(ISNUMBER('Base de datos Rutas'!N558)),N('Base de datos Rutas'!BK558)=0),"",'Base de datos Rutas'!N558/('Base de datos Rutas'!L558/'Base de datos Rutas'!BK558)),"")</f>
        <v/>
      </c>
      <c r="K560" s="788" t="str">
        <f>IFERROR(IF(OR(NOT(ISNUMBER('Base de datos Rutas'!J558)),N('Base de datos Rutas'!BK558)=0),"",'Base de datos Rutas'!J558/('Base de datos Rutas'!L558/'Base de datos Rutas'!BK558)),"")</f>
        <v/>
      </c>
      <c r="L560" s="788" t="str">
        <f>IFERROR(IF(OR(NOT(ISNUMBER('Base de datos Rutas'!K558)),N('Base de datos Rutas'!BK558)=0),"",'Base de datos Rutas'!K558/('Base de datos Rutas'!L558/'Base de datos Rutas'!BK558)),"")</f>
        <v/>
      </c>
      <c r="M560" s="787">
        <f>IF(ISNUMBER('Base de datos Rutas'!AX558),'Base de datos Rutas'!AX558,"")</f>
        <v>182.03399999999999</v>
      </c>
      <c r="N560" s="790">
        <f>IFERROR(INDEX('Hoja de apoyo v2'!B$17:B$20,MATCH($A560,'Hoja de apoyo v2'!$A$17:$A$20,0)),"")</f>
        <v>89.41621024641401</v>
      </c>
      <c r="O560" s="791">
        <f>IFERROR(INDEX('Hoja de apoyo v2'!C$17:C$20,MATCH($A560,'Hoja de apoyo v2'!$A$17:$A$20,0)),"")</f>
        <v>0.54706375874806301</v>
      </c>
      <c r="P560" s="793">
        <f>IFERROR(INDEX('Hoja de apoyo v2'!D$17:D$20,MATCH($A560,'Hoja de apoyo v2'!$A$17:$A$20,0)),"")</f>
        <v>11095.153935793827</v>
      </c>
      <c r="Q560" s="793">
        <f>IFERROR(INDEX('Hoja de apoyo v2'!E$17:E$20,MATCH($A560,'Hoja de apoyo v2'!$A$17:$A$20,0)),"")</f>
        <v>6982.3202019701848</v>
      </c>
      <c r="R560" s="793">
        <f>IFERROR(INDEX('Hoja de apoyo v2'!F$17:F$20,MATCH($A560,'Hoja de apoyo v2'!$A$17:$A$20,0)),"")</f>
        <v>448.09513474485743</v>
      </c>
      <c r="S560" s="793">
        <f>IFERROR(INDEX('Hoja de apoyo v2'!G$17:G$20,MATCH($A560,'Hoja de apoyo v2'!$A$17:$A$20,0)),"")</f>
        <v>83.406300904207839</v>
      </c>
      <c r="T560" s="792">
        <f>IFERROR(INDEX('Hoja de apoyo v2'!H$17:H$20,MATCH($A560,'Hoja de apoyo v2'!$A$17:$A$20,0)),"")</f>
        <v>378.97014028925349</v>
      </c>
      <c r="U560" s="794" t="str">
        <f t="shared" si="292"/>
        <v/>
      </c>
      <c r="V560" s="795" t="str">
        <f t="shared" si="293"/>
        <v/>
      </c>
      <c r="W560" s="795" t="str">
        <f t="shared" si="294"/>
        <v/>
      </c>
      <c r="X560" s="843" t="str">
        <f t="shared" si="295"/>
        <v/>
      </c>
      <c r="Y560" s="843" t="str">
        <f t="shared" si="296"/>
        <v/>
      </c>
      <c r="Z560" s="843" t="str">
        <f t="shared" si="297"/>
        <v/>
      </c>
      <c r="AA560" s="843">
        <f t="shared" si="298"/>
        <v>0.48033863528419513</v>
      </c>
      <c r="AB560" s="796">
        <f t="shared" si="299"/>
        <v>0</v>
      </c>
      <c r="AC560" s="797">
        <f t="shared" si="300"/>
        <v>0</v>
      </c>
      <c r="AD560" s="797">
        <f t="shared" si="301"/>
        <v>0</v>
      </c>
      <c r="AE560" s="842">
        <f t="shared" si="302"/>
        <v>0</v>
      </c>
      <c r="AF560" s="842">
        <f t="shared" si="303"/>
        <v>0</v>
      </c>
      <c r="AG560" s="842">
        <f t="shared" si="304"/>
        <v>0</v>
      </c>
      <c r="AH560" s="842">
        <f t="shared" si="305"/>
        <v>1</v>
      </c>
      <c r="AI560" s="826" cm="1">
        <f t="array" ref="AI560">SUMPRODUCT(--ISNUMBER($U560:$AA560),$AB$3:$AH$3)</f>
        <v>8.9789113613062493E-2</v>
      </c>
      <c r="AJ560" s="829" t="str">
        <f t="shared" si="306"/>
        <v/>
      </c>
      <c r="AK560" s="827" t="str">
        <f t="shared" si="307"/>
        <v>Ruta inactiva</v>
      </c>
      <c r="AL560" s="784" t="str">
        <f t="shared" si="308"/>
        <v>n/a</v>
      </c>
      <c r="AM560" s="799">
        <f>IF(ISNUMBER('Base de datos Rutas'!W558),'Base de datos Rutas'!W558,"")</f>
        <v>3054.2455510167165</v>
      </c>
      <c r="AN560" s="787">
        <f>IFERROR(SUMIFS('Base de datos Rutas'!$W$6:$W$794,'Base de datos Rutas'!$C$6:$C$794,$C560)/'Base de datos Rutas'!I558,"")</f>
        <v>3054.2455510167188</v>
      </c>
      <c r="AO560" s="800">
        <f>IFERROR('Base de datos Rutas'!X558*AN560/AM560,"")</f>
        <v>0.49742199715828644</v>
      </c>
      <c r="AP560" s="800">
        <f t="shared" si="309"/>
        <v>0.5025780028417135</v>
      </c>
      <c r="AQ560" s="789">
        <f>IFERROR(INDEX('Hoja de apoyo v2'!$J$17:$J$20,MATCH($A560,'Hoja de apoyo v2'!$A$17:$A$20,0)),"")</f>
        <v>0.64320274048480885</v>
      </c>
      <c r="AR560" s="789">
        <f t="shared" si="310"/>
        <v>-0.14062473764309535</v>
      </c>
      <c r="AS560" s="784" t="str">
        <f t="shared" si="311"/>
        <v>No</v>
      </c>
      <c r="AT560" s="801" t="str">
        <f>IF(ISNUMBER('Base de datos Rutas'!CK558),'Base de datos Rutas'!CK558,"")</f>
        <v/>
      </c>
      <c r="AU560" s="802" t="str">
        <f>IF(ISNUMBER('Base de datos Rutas'!CL558),'Base de datos Rutas'!CL558,"")</f>
        <v/>
      </c>
      <c r="AV560" s="802">
        <f>IF(ISNUMBER('Base de datos Rutas'!CM558),'Base de datos Rutas'!CM558,"")</f>
        <v>0</v>
      </c>
      <c r="AW560" s="802" t="str">
        <f>IF(ISNUMBER('Base de datos Rutas'!CN558),'Base de datos Rutas'!CN558,"")</f>
        <v/>
      </c>
      <c r="AX560" s="802" t="str">
        <f>IF(ISNUMBER('Base de datos Rutas'!CO558),'Base de datos Rutas'!CO558,"")</f>
        <v/>
      </c>
      <c r="AY560" s="802">
        <f>IF(ISNUMBER('Base de datos Rutas'!CP558),'Base de datos Rutas'!CP558,"")</f>
        <v>0</v>
      </c>
      <c r="AZ560" s="802" t="str">
        <f>IF(ISNUMBER('Base de datos Rutas'!CQ558),'Base de datos Rutas'!CQ558,"")</f>
        <v/>
      </c>
      <c r="BA560" s="802" t="str">
        <f>IF(ISNUMBER('Base de datos Rutas'!CR558),'Base de datos Rutas'!CR558,"")</f>
        <v/>
      </c>
      <c r="BB560" s="803">
        <f>IF(ISNUMBER('Base de datos Rutas'!CS558),'Base de datos Rutas'!CS558,"")</f>
        <v>0</v>
      </c>
      <c r="BC560" s="804" t="str">
        <f t="shared" si="321"/>
        <v/>
      </c>
      <c r="BD560" s="805" t="str">
        <f t="shared" si="322"/>
        <v>N/D</v>
      </c>
      <c r="BE560" s="806" t="str">
        <f t="shared" si="323"/>
        <v/>
      </c>
      <c r="BF560" s="890" t="str">
        <f>IF(ISNUMBER('Base de datos Rutas'!CX558),'Base de datos Rutas'!CX558/100,"")</f>
        <v/>
      </c>
      <c r="BG560" s="891" t="str">
        <f>IF(ISNUMBER('Base de datos Rutas'!CZ558),'Base de datos Rutas'!CZ558/100,"")</f>
        <v/>
      </c>
      <c r="BH560" s="892" t="str">
        <f>IF(ISNUMBER('Base de datos Rutas'!DA558),'Base de datos Rutas'!DA558,"")</f>
        <v/>
      </c>
      <c r="BI560" s="893" t="str">
        <f>IF(ISNUMBER('Base de datos Rutas'!DC558),'Base de datos Rutas'!DC558,"")</f>
        <v/>
      </c>
      <c r="BJ560" s="805" t="str">
        <f t="shared" si="324"/>
        <v>Sin dato</v>
      </c>
      <c r="BK560" s="783">
        <f t="shared" si="312"/>
        <v>0</v>
      </c>
      <c r="BL560" s="797">
        <f t="shared" si="313"/>
        <v>0</v>
      </c>
      <c r="BM560" s="797">
        <f t="shared" si="314"/>
        <v>0</v>
      </c>
      <c r="BN560" s="797">
        <f t="shared" si="315"/>
        <v>0</v>
      </c>
      <c r="BO560" s="798" cm="1">
        <f t="array" ref="BO560">SUMPRODUCT(--ISNUMBER($BF560:$BI560),$BK$3:$BN$3)</f>
        <v>0</v>
      </c>
      <c r="BP560" s="831" t="str">
        <f t="shared" si="325"/>
        <v/>
      </c>
      <c r="BQ560" s="834" t="str">
        <f t="shared" si="326"/>
        <v>Sin datos</v>
      </c>
      <c r="BR560" s="836" t="str">
        <f t="shared" si="316"/>
        <v/>
      </c>
      <c r="BS560" s="836" t="str">
        <f t="shared" si="317"/>
        <v/>
      </c>
      <c r="BT560" s="837" t="str">
        <f t="shared" si="318"/>
        <v>Sin datos</v>
      </c>
      <c r="BU560" s="807" t="str">
        <f t="shared" si="327"/>
        <v>No evaluable</v>
      </c>
      <c r="BV560" s="807" t="str">
        <f t="shared" si="319"/>
        <v>No evaluable</v>
      </c>
      <c r="BW560" s="808" t="str">
        <f t="shared" si="320"/>
        <v>Sin datos</v>
      </c>
    </row>
    <row r="561" spans="1:75">
      <c r="A561" s="780" t="str">
        <f>'Base de datos Rutas'!A559</f>
        <v>Occidente</v>
      </c>
      <c r="B561" s="781" t="str">
        <f>'Base de datos Rutas'!B559</f>
        <v>Favorita</v>
      </c>
      <c r="C561" s="781" t="str">
        <f>'Base de datos Rutas'!C559</f>
        <v>Suc. San Rafael</v>
      </c>
      <c r="D561" s="782">
        <f>IF(ISNUMBER('Base de datos Rutas'!D559),'Base de datos Rutas'!D559,"Sin código")</f>
        <v>803407</v>
      </c>
      <c r="E561" s="783" t="str">
        <f>'Base de datos Rutas'!F559</f>
        <v>Activa</v>
      </c>
      <c r="F561" s="784" t="str">
        <f>'Base de datos Rutas'!H559</f>
        <v>Sí</v>
      </c>
      <c r="G561" s="785">
        <f>IF(ISNUMBER('Base de datos Rutas'!BE559),'Base de datos Rutas'!BE559,"")</f>
        <v>77.004597701149393</v>
      </c>
      <c r="H561" s="786">
        <f>IF(ISNUMBER('Base de datos Rutas'!BH559),'Base de datos Rutas'!BH559,"")</f>
        <v>0.49231274442487399</v>
      </c>
      <c r="I561" s="788">
        <f>IFERROR(IF(OR(NOT(ISNUMBER('Base de datos Rutas'!O559)),N('Base de datos Rutas'!BK559)=0),"",'Base de datos Rutas'!O559/('Base de datos Rutas'!L559/'Base de datos Rutas'!BK559)),"")</f>
        <v>2414.7425287356295</v>
      </c>
      <c r="J561" s="788">
        <f>IFERROR(IF(OR(NOT(ISNUMBER('Base de datos Rutas'!N559)),N('Base de datos Rutas'!BK559)=0),"",'Base de datos Rutas'!N559/('Base de datos Rutas'!L559/'Base de datos Rutas'!BK559)),"")</f>
        <v>5822.0597701149354</v>
      </c>
      <c r="K561" s="788">
        <f>IFERROR(IF(OR(NOT(ISNUMBER('Base de datos Rutas'!J559)),N('Base de datos Rutas'!BK559)=0),"",'Base de datos Rutas'!J559/('Base de datos Rutas'!L559/'Base de datos Rutas'!BK559)),"")</f>
        <v>405.17576084597653</v>
      </c>
      <c r="L561" s="788">
        <f>IFERROR(IF(OR(NOT(ISNUMBER('Base de datos Rutas'!K559)),N('Base de datos Rutas'!BK559)=0),"",'Base de datos Rutas'!K559/('Base de datos Rutas'!L559/'Base de datos Rutas'!BK559)),"")</f>
        <v>18.669544085057449</v>
      </c>
      <c r="M561" s="787">
        <f>IF(ISNUMBER('Base de datos Rutas'!AX559),'Base de datos Rutas'!AX559,"")</f>
        <v>217.27042326117299</v>
      </c>
      <c r="N561" s="790">
        <f>IFERROR(INDEX('Hoja de apoyo v2'!B$17:B$20,MATCH($A561,'Hoja de apoyo v2'!$A$17:$A$20,0)),"")</f>
        <v>89.41621024641401</v>
      </c>
      <c r="O561" s="791">
        <f>IFERROR(INDEX('Hoja de apoyo v2'!C$17:C$20,MATCH($A561,'Hoja de apoyo v2'!$A$17:$A$20,0)),"")</f>
        <v>0.54706375874806301</v>
      </c>
      <c r="P561" s="793">
        <f>IFERROR(INDEX('Hoja de apoyo v2'!D$17:D$20,MATCH($A561,'Hoja de apoyo v2'!$A$17:$A$20,0)),"")</f>
        <v>11095.153935793827</v>
      </c>
      <c r="Q561" s="793">
        <f>IFERROR(INDEX('Hoja de apoyo v2'!E$17:E$20,MATCH($A561,'Hoja de apoyo v2'!$A$17:$A$20,0)),"")</f>
        <v>6982.3202019701848</v>
      </c>
      <c r="R561" s="793">
        <f>IFERROR(INDEX('Hoja de apoyo v2'!F$17:F$20,MATCH($A561,'Hoja de apoyo v2'!$A$17:$A$20,0)),"")</f>
        <v>448.09513474485743</v>
      </c>
      <c r="S561" s="793">
        <f>IFERROR(INDEX('Hoja de apoyo v2'!G$17:G$20,MATCH($A561,'Hoja de apoyo v2'!$A$17:$A$20,0)),"")</f>
        <v>83.406300904207839</v>
      </c>
      <c r="T561" s="792">
        <f>IFERROR(INDEX('Hoja de apoyo v2'!H$17:H$20,MATCH($A561,'Hoja de apoyo v2'!$A$17:$A$20,0)),"")</f>
        <v>378.97014028925349</v>
      </c>
      <c r="U561" s="794">
        <f t="shared" si="292"/>
        <v>0.86119281379673129</v>
      </c>
      <c r="V561" s="795">
        <f t="shared" si="293"/>
        <v>0.89991840357240105</v>
      </c>
      <c r="W561" s="795">
        <f t="shared" si="294"/>
        <v>0.21763938947665096</v>
      </c>
      <c r="X561" s="843">
        <f t="shared" si="295"/>
        <v>0.83382881359009264</v>
      </c>
      <c r="Y561" s="843">
        <f t="shared" si="296"/>
        <v>0.90421816580686842</v>
      </c>
      <c r="Z561" s="843">
        <f t="shared" si="297"/>
        <v>0.22383853357193512</v>
      </c>
      <c r="AA561" s="843">
        <f t="shared" si="298"/>
        <v>0.57331805375309708</v>
      </c>
      <c r="AB561" s="796">
        <f t="shared" si="299"/>
        <v>3</v>
      </c>
      <c r="AC561" s="797">
        <f t="shared" si="300"/>
        <v>3</v>
      </c>
      <c r="AD561" s="797">
        <f t="shared" si="301"/>
        <v>1</v>
      </c>
      <c r="AE561" s="842">
        <f t="shared" si="302"/>
        <v>3</v>
      </c>
      <c r="AF561" s="842">
        <f t="shared" si="303"/>
        <v>3</v>
      </c>
      <c r="AG561" s="842">
        <f t="shared" si="304"/>
        <v>1</v>
      </c>
      <c r="AH561" s="842">
        <f t="shared" si="305"/>
        <v>2</v>
      </c>
      <c r="AI561" s="826" cm="1">
        <f t="array" ref="AI561">SUMPRODUCT(--ISNUMBER($U561:$AA561),$AB$3:$AH$3)</f>
        <v>1</v>
      </c>
      <c r="AJ561" s="829">
        <f t="shared" si="306"/>
        <v>28.748795684897999</v>
      </c>
      <c r="AK561" s="827" t="str">
        <f t="shared" si="307"/>
        <v>Inmadura</v>
      </c>
      <c r="AL561" s="784" t="str">
        <f t="shared" si="308"/>
        <v>Alta</v>
      </c>
      <c r="AM561" s="799">
        <f>IF(ISNUMBER('Base de datos Rutas'!W559),'Base de datos Rutas'!W559,"")</f>
        <v>3054.2455510167165</v>
      </c>
      <c r="AN561" s="787">
        <f>IFERROR(SUMIFS('Base de datos Rutas'!$W$6:$W$794,'Base de datos Rutas'!$C$6:$C$794,$C561)/'Base de datos Rutas'!I559,"")</f>
        <v>3054.2455510167188</v>
      </c>
      <c r="AO561" s="800">
        <f>IFERROR('Base de datos Rutas'!X559*AN561/AM561,"")</f>
        <v>0.49742199715828644</v>
      </c>
      <c r="AP561" s="800">
        <f t="shared" si="309"/>
        <v>0.5025780028417135</v>
      </c>
      <c r="AQ561" s="789">
        <f>IFERROR(INDEX('Hoja de apoyo v2'!$J$17:$J$20,MATCH($A561,'Hoja de apoyo v2'!$A$17:$A$20,0)),"")</f>
        <v>0.64320274048480885</v>
      </c>
      <c r="AR561" s="789">
        <f t="shared" si="310"/>
        <v>-0.14062473764309535</v>
      </c>
      <c r="AS561" s="784" t="str">
        <f t="shared" si="311"/>
        <v>No</v>
      </c>
      <c r="AT561" s="801">
        <f>IF(ISNUMBER('Base de datos Rutas'!CK559),'Base de datos Rutas'!CK559,"")</f>
        <v>293</v>
      </c>
      <c r="AU561" s="802">
        <f>IF(ISNUMBER('Base de datos Rutas'!CL559),'Base de datos Rutas'!CL559,"")</f>
        <v>293</v>
      </c>
      <c r="AV561" s="802">
        <f>IF(ISNUMBER('Base de datos Rutas'!CM559),'Base de datos Rutas'!CM559,"")</f>
        <v>0</v>
      </c>
      <c r="AW561" s="802" t="str">
        <f>IF(ISNUMBER('Base de datos Rutas'!CN559),'Base de datos Rutas'!CN559,"")</f>
        <v/>
      </c>
      <c r="AX561" s="802">
        <f>IF(ISNUMBER('Base de datos Rutas'!CO559),'Base de datos Rutas'!CO559,"")</f>
        <v>9.4499999999999993</v>
      </c>
      <c r="AY561" s="802">
        <f>IF(ISNUMBER('Base de datos Rutas'!CP559),'Base de datos Rutas'!CP559,"")</f>
        <v>9.4499999999999993</v>
      </c>
      <c r="AZ561" s="802" t="str">
        <f>IF(ISNUMBER('Base de datos Rutas'!CQ559),'Base de datos Rutas'!CQ559,"")</f>
        <v/>
      </c>
      <c r="BA561" s="802" t="str">
        <f>IF(ISNUMBER('Base de datos Rutas'!CR559),'Base de datos Rutas'!CR559,"")</f>
        <v/>
      </c>
      <c r="BB561" s="803">
        <f>IF(ISNUMBER('Base de datos Rutas'!CS559),'Base de datos Rutas'!CS559,"")</f>
        <v>0</v>
      </c>
      <c r="BC561" s="804" t="str">
        <f t="shared" si="321"/>
        <v/>
      </c>
      <c r="BD561" s="805" t="str">
        <f t="shared" si="322"/>
        <v>N/D</v>
      </c>
      <c r="BE561" s="806" t="str">
        <f t="shared" si="323"/>
        <v/>
      </c>
      <c r="BF561" s="890">
        <f>IF(ISNUMBER('Base de datos Rutas'!CX559),'Base de datos Rutas'!CX559/100,"")</f>
        <v>0</v>
      </c>
      <c r="BG561" s="891">
        <f>IF(ISNUMBER('Base de datos Rutas'!CZ559),'Base de datos Rutas'!CZ559/100,"")</f>
        <v>0</v>
      </c>
      <c r="BH561" s="892">
        <f>IF(ISNUMBER('Base de datos Rutas'!DA559),'Base de datos Rutas'!DA559,"")</f>
        <v>0</v>
      </c>
      <c r="BI561" s="893">
        <f>IF(ISNUMBER('Base de datos Rutas'!DC559),'Base de datos Rutas'!DC559,"")</f>
        <v>0</v>
      </c>
      <c r="BJ561" s="805" t="str">
        <f t="shared" si="324"/>
        <v>Ruta (completo)</v>
      </c>
      <c r="BK561" s="783">
        <f t="shared" si="312"/>
        <v>1</v>
      </c>
      <c r="BL561" s="797">
        <f t="shared" si="313"/>
        <v>1</v>
      </c>
      <c r="BM561" s="797">
        <f t="shared" si="314"/>
        <v>1</v>
      </c>
      <c r="BN561" s="797">
        <f t="shared" si="315"/>
        <v>1</v>
      </c>
      <c r="BO561" s="798" cm="1">
        <f t="array" ref="BO561">SUMPRODUCT(--ISNUMBER($BF561:$BI561),$BK$3:$BN$3)</f>
        <v>1</v>
      </c>
      <c r="BP561" s="831">
        <f t="shared" si="325"/>
        <v>0</v>
      </c>
      <c r="BQ561" s="834" t="str">
        <f t="shared" si="326"/>
        <v>Bajo</v>
      </c>
      <c r="BR561" s="836" t="str">
        <f t="shared" si="316"/>
        <v/>
      </c>
      <c r="BS561" s="836">
        <f t="shared" si="317"/>
        <v>0</v>
      </c>
      <c r="BT561" s="837" t="str">
        <f t="shared" si="318"/>
        <v>Sin datos</v>
      </c>
      <c r="BU561" s="807" t="str">
        <f t="shared" si="327"/>
        <v>Con espacio</v>
      </c>
      <c r="BV561" s="807" t="str">
        <f t="shared" si="319"/>
        <v>Zona de bajo potencial</v>
      </c>
      <c r="BW561" s="808" t="str">
        <f t="shared" si="320"/>
        <v>Sin datos</v>
      </c>
    </row>
    <row r="562" spans="1:75">
      <c r="A562" s="780" t="str">
        <f>'Base de datos Rutas'!A560</f>
        <v>Occidente</v>
      </c>
      <c r="B562" s="781" t="str">
        <f>'Base de datos Rutas'!B560</f>
        <v>Favorita</v>
      </c>
      <c r="C562" s="781" t="str">
        <f>'Base de datos Rutas'!C560</f>
        <v>Suc. San Rafael</v>
      </c>
      <c r="D562" s="782">
        <f>IF(ISNUMBER('Base de datos Rutas'!D560),'Base de datos Rutas'!D560,"Sin código")</f>
        <v>803408</v>
      </c>
      <c r="E562" s="783" t="str">
        <f>'Base de datos Rutas'!F560</f>
        <v>Inactiva</v>
      </c>
      <c r="F562" s="784" t="str">
        <f>'Base de datos Rutas'!H560</f>
        <v>No</v>
      </c>
      <c r="G562" s="785" t="str">
        <f>IF(ISNUMBER('Base de datos Rutas'!BE560),'Base de datos Rutas'!BE560,"")</f>
        <v/>
      </c>
      <c r="H562" s="786" t="str">
        <f>IF(ISNUMBER('Base de datos Rutas'!BH560),'Base de datos Rutas'!BH560,"")</f>
        <v/>
      </c>
      <c r="I562" s="788" t="str">
        <f>IFERROR(IF(OR(NOT(ISNUMBER('Base de datos Rutas'!O560)),N('Base de datos Rutas'!BK560)=0),"",'Base de datos Rutas'!O560/('Base de datos Rutas'!L560/'Base de datos Rutas'!BK560)),"")</f>
        <v/>
      </c>
      <c r="J562" s="788" t="str">
        <f>IFERROR(IF(OR(NOT(ISNUMBER('Base de datos Rutas'!N560)),N('Base de datos Rutas'!BK560)=0),"",'Base de datos Rutas'!N560/('Base de datos Rutas'!L560/'Base de datos Rutas'!BK560)),"")</f>
        <v/>
      </c>
      <c r="K562" s="788" t="str">
        <f>IFERROR(IF(OR(NOT(ISNUMBER('Base de datos Rutas'!J560)),N('Base de datos Rutas'!BK560)=0),"",'Base de datos Rutas'!J560/('Base de datos Rutas'!L560/'Base de datos Rutas'!BK560)),"")</f>
        <v/>
      </c>
      <c r="L562" s="788" t="str">
        <f>IFERROR(IF(OR(NOT(ISNUMBER('Base de datos Rutas'!K560)),N('Base de datos Rutas'!BK560)=0),"",'Base de datos Rutas'!K560/('Base de datos Rutas'!L560/'Base de datos Rutas'!BK560)),"")</f>
        <v/>
      </c>
      <c r="M562" s="787">
        <f>IF(ISNUMBER('Base de datos Rutas'!AX560),'Base de datos Rutas'!AX560,"")</f>
        <v>103</v>
      </c>
      <c r="N562" s="790">
        <f>IFERROR(INDEX('Hoja de apoyo v2'!B$17:B$20,MATCH($A562,'Hoja de apoyo v2'!$A$17:$A$20,0)),"")</f>
        <v>89.41621024641401</v>
      </c>
      <c r="O562" s="791">
        <f>IFERROR(INDEX('Hoja de apoyo v2'!C$17:C$20,MATCH($A562,'Hoja de apoyo v2'!$A$17:$A$20,0)),"")</f>
        <v>0.54706375874806301</v>
      </c>
      <c r="P562" s="793">
        <f>IFERROR(INDEX('Hoja de apoyo v2'!D$17:D$20,MATCH($A562,'Hoja de apoyo v2'!$A$17:$A$20,0)),"")</f>
        <v>11095.153935793827</v>
      </c>
      <c r="Q562" s="793">
        <f>IFERROR(INDEX('Hoja de apoyo v2'!E$17:E$20,MATCH($A562,'Hoja de apoyo v2'!$A$17:$A$20,0)),"")</f>
        <v>6982.3202019701848</v>
      </c>
      <c r="R562" s="793">
        <f>IFERROR(INDEX('Hoja de apoyo v2'!F$17:F$20,MATCH($A562,'Hoja de apoyo v2'!$A$17:$A$20,0)),"")</f>
        <v>448.09513474485743</v>
      </c>
      <c r="S562" s="793">
        <f>IFERROR(INDEX('Hoja de apoyo v2'!G$17:G$20,MATCH($A562,'Hoja de apoyo v2'!$A$17:$A$20,0)),"")</f>
        <v>83.406300904207839</v>
      </c>
      <c r="T562" s="792">
        <f>IFERROR(INDEX('Hoja de apoyo v2'!H$17:H$20,MATCH($A562,'Hoja de apoyo v2'!$A$17:$A$20,0)),"")</f>
        <v>378.97014028925349</v>
      </c>
      <c r="U562" s="794" t="str">
        <f t="shared" si="292"/>
        <v/>
      </c>
      <c r="V562" s="795" t="str">
        <f t="shared" si="293"/>
        <v/>
      </c>
      <c r="W562" s="795" t="str">
        <f t="shared" si="294"/>
        <v/>
      </c>
      <c r="X562" s="843" t="str">
        <f t="shared" si="295"/>
        <v/>
      </c>
      <c r="Y562" s="843" t="str">
        <f t="shared" si="296"/>
        <v/>
      </c>
      <c r="Z562" s="843" t="str">
        <f t="shared" si="297"/>
        <v/>
      </c>
      <c r="AA562" s="843">
        <f t="shared" si="298"/>
        <v>0.27178922308069975</v>
      </c>
      <c r="AB562" s="796">
        <f t="shared" si="299"/>
        <v>0</v>
      </c>
      <c r="AC562" s="797">
        <f t="shared" si="300"/>
        <v>0</v>
      </c>
      <c r="AD562" s="797">
        <f t="shared" si="301"/>
        <v>0</v>
      </c>
      <c r="AE562" s="842">
        <f t="shared" si="302"/>
        <v>0</v>
      </c>
      <c r="AF562" s="842">
        <f t="shared" si="303"/>
        <v>0</v>
      </c>
      <c r="AG562" s="842">
        <f t="shared" si="304"/>
        <v>0</v>
      </c>
      <c r="AH562" s="842">
        <f t="shared" si="305"/>
        <v>1</v>
      </c>
      <c r="AI562" s="826" cm="1">
        <f t="array" ref="AI562">SUMPRODUCT(--ISNUMBER($U562:$AA562),$AB$3:$AH$3)</f>
        <v>8.9789113613062493E-2</v>
      </c>
      <c r="AJ562" s="829" t="str">
        <f t="shared" si="306"/>
        <v/>
      </c>
      <c r="AK562" s="827" t="str">
        <f t="shared" si="307"/>
        <v>Ruta inactiva</v>
      </c>
      <c r="AL562" s="784" t="str">
        <f t="shared" si="308"/>
        <v>n/a</v>
      </c>
      <c r="AM562" s="799">
        <f>IF(ISNUMBER('Base de datos Rutas'!W560),'Base de datos Rutas'!W560,"")</f>
        <v>3054.2455510167165</v>
      </c>
      <c r="AN562" s="787">
        <f>IFERROR(SUMIFS('Base de datos Rutas'!$W$6:$W$794,'Base de datos Rutas'!$C$6:$C$794,$C562)/'Base de datos Rutas'!I560,"")</f>
        <v>3054.2455510167188</v>
      </c>
      <c r="AO562" s="800">
        <f>IFERROR('Base de datos Rutas'!X560*AN562/AM562,"")</f>
        <v>0.49742199715828644</v>
      </c>
      <c r="AP562" s="800">
        <f t="shared" si="309"/>
        <v>0.5025780028417135</v>
      </c>
      <c r="AQ562" s="789">
        <f>IFERROR(INDEX('Hoja de apoyo v2'!$J$17:$J$20,MATCH($A562,'Hoja de apoyo v2'!$A$17:$A$20,0)),"")</f>
        <v>0.64320274048480885</v>
      </c>
      <c r="AR562" s="789">
        <f t="shared" si="310"/>
        <v>-0.14062473764309535</v>
      </c>
      <c r="AS562" s="784" t="str">
        <f t="shared" si="311"/>
        <v>No</v>
      </c>
      <c r="AT562" s="801" t="str">
        <f>IF(ISNUMBER('Base de datos Rutas'!CK560),'Base de datos Rutas'!CK560,"")</f>
        <v/>
      </c>
      <c r="AU562" s="802" t="str">
        <f>IF(ISNUMBER('Base de datos Rutas'!CL560),'Base de datos Rutas'!CL560,"")</f>
        <v/>
      </c>
      <c r="AV562" s="802">
        <f>IF(ISNUMBER('Base de datos Rutas'!CM560),'Base de datos Rutas'!CM560,"")</f>
        <v>0</v>
      </c>
      <c r="AW562" s="802" t="str">
        <f>IF(ISNUMBER('Base de datos Rutas'!CN560),'Base de datos Rutas'!CN560,"")</f>
        <v/>
      </c>
      <c r="AX562" s="802" t="str">
        <f>IF(ISNUMBER('Base de datos Rutas'!CO560),'Base de datos Rutas'!CO560,"")</f>
        <v/>
      </c>
      <c r="AY562" s="802">
        <f>IF(ISNUMBER('Base de datos Rutas'!CP560),'Base de datos Rutas'!CP560,"")</f>
        <v>0</v>
      </c>
      <c r="AZ562" s="802" t="str">
        <f>IF(ISNUMBER('Base de datos Rutas'!CQ560),'Base de datos Rutas'!CQ560,"")</f>
        <v/>
      </c>
      <c r="BA562" s="802" t="str">
        <f>IF(ISNUMBER('Base de datos Rutas'!CR560),'Base de datos Rutas'!CR560,"")</f>
        <v/>
      </c>
      <c r="BB562" s="803">
        <f>IF(ISNUMBER('Base de datos Rutas'!CS560),'Base de datos Rutas'!CS560,"")</f>
        <v>0</v>
      </c>
      <c r="BC562" s="804" t="str">
        <f t="shared" si="321"/>
        <v/>
      </c>
      <c r="BD562" s="805" t="str">
        <f t="shared" si="322"/>
        <v>N/D</v>
      </c>
      <c r="BE562" s="806" t="str">
        <f t="shared" si="323"/>
        <v/>
      </c>
      <c r="BF562" s="890" t="str">
        <f>IF(ISNUMBER('Base de datos Rutas'!CX560),'Base de datos Rutas'!CX560/100,"")</f>
        <v/>
      </c>
      <c r="BG562" s="891" t="str">
        <f>IF(ISNUMBER('Base de datos Rutas'!CZ560),'Base de datos Rutas'!CZ560/100,"")</f>
        <v/>
      </c>
      <c r="BH562" s="892" t="str">
        <f>IF(ISNUMBER('Base de datos Rutas'!DA560),'Base de datos Rutas'!DA560,"")</f>
        <v/>
      </c>
      <c r="BI562" s="893" t="str">
        <f>IF(ISNUMBER('Base de datos Rutas'!DC560),'Base de datos Rutas'!DC560,"")</f>
        <v/>
      </c>
      <c r="BJ562" s="805" t="str">
        <f t="shared" si="324"/>
        <v>Sin dato</v>
      </c>
      <c r="BK562" s="783">
        <f t="shared" si="312"/>
        <v>0</v>
      </c>
      <c r="BL562" s="797">
        <f t="shared" si="313"/>
        <v>0</v>
      </c>
      <c r="BM562" s="797">
        <f t="shared" si="314"/>
        <v>0</v>
      </c>
      <c r="BN562" s="797">
        <f t="shared" si="315"/>
        <v>0</v>
      </c>
      <c r="BO562" s="798" cm="1">
        <f t="array" ref="BO562">SUMPRODUCT(--ISNUMBER($BF562:$BI562),$BK$3:$BN$3)</f>
        <v>0</v>
      </c>
      <c r="BP562" s="831" t="str">
        <f t="shared" si="325"/>
        <v/>
      </c>
      <c r="BQ562" s="834" t="str">
        <f t="shared" si="326"/>
        <v>Sin datos</v>
      </c>
      <c r="BR562" s="836" t="str">
        <f t="shared" si="316"/>
        <v/>
      </c>
      <c r="BS562" s="836" t="str">
        <f t="shared" si="317"/>
        <v/>
      </c>
      <c r="BT562" s="837" t="str">
        <f t="shared" si="318"/>
        <v>Sin datos</v>
      </c>
      <c r="BU562" s="807" t="str">
        <f t="shared" si="327"/>
        <v>No evaluable</v>
      </c>
      <c r="BV562" s="807" t="str">
        <f t="shared" si="319"/>
        <v>No evaluable</v>
      </c>
      <c r="BW562" s="808" t="str">
        <f t="shared" si="320"/>
        <v>Sin datos</v>
      </c>
    </row>
    <row r="563" spans="1:75">
      <c r="A563" s="780" t="str">
        <f>'Base de datos Rutas'!A561</f>
        <v>Occidente</v>
      </c>
      <c r="B563" s="781" t="str">
        <f>'Base de datos Rutas'!B561</f>
        <v>Favorita</v>
      </c>
      <c r="C563" s="781" t="str">
        <f>'Base de datos Rutas'!C561</f>
        <v>Suc. San Rafael</v>
      </c>
      <c r="D563" s="782">
        <f>IF(ISNUMBER('Base de datos Rutas'!D561),'Base de datos Rutas'!D561,"Sin código")</f>
        <v>803409</v>
      </c>
      <c r="E563" s="783" t="str">
        <f>'Base de datos Rutas'!F561</f>
        <v>Activa</v>
      </c>
      <c r="F563" s="784" t="str">
        <f>'Base de datos Rutas'!H561</f>
        <v>Sí</v>
      </c>
      <c r="G563" s="785">
        <f>IF(ISNUMBER('Base de datos Rutas'!BE561),'Base de datos Rutas'!BE561,"")</f>
        <v>101.13103448275901</v>
      </c>
      <c r="H563" s="786">
        <f>IF(ISNUMBER('Base de datos Rutas'!BH561),'Base de datos Rutas'!BH561,"")</f>
        <v>0.52780050918348798</v>
      </c>
      <c r="I563" s="788">
        <f>IFERROR(IF(OR(NOT(ISNUMBER('Base de datos Rutas'!O561)),N('Base de datos Rutas'!BK561)=0),"",'Base de datos Rutas'!O561/('Base de datos Rutas'!L561/'Base de datos Rutas'!BK561)),"")</f>
        <v>3373.3264367815996</v>
      </c>
      <c r="J563" s="788">
        <f>IFERROR(IF(OR(NOT(ISNUMBER('Base de datos Rutas'!N561)),N('Base de datos Rutas'!BK561)=0),"",'Base de datos Rutas'!N561/('Base de datos Rutas'!L561/'Base de datos Rutas'!BK561)),"")</f>
        <v>6760.6919540229692</v>
      </c>
      <c r="K563" s="788">
        <f>IFERROR(IF(OR(NOT(ISNUMBER('Base de datos Rutas'!J561)),N('Base de datos Rutas'!BK561)=0),"",'Base de datos Rutas'!J561/('Base de datos Rutas'!L561/'Base de datos Rutas'!BK561)),"")</f>
        <v>460.30885149425154</v>
      </c>
      <c r="L563" s="788">
        <f>IFERROR(IF(OR(NOT(ISNUMBER('Base de datos Rutas'!K561)),N('Base de datos Rutas'!BK561)=0),"",'Base de datos Rutas'!K561/('Base de datos Rutas'!L561/'Base de datos Rutas'!BK561)),"")</f>
        <v>30.939879252873475</v>
      </c>
      <c r="M563" s="787">
        <f>IF(ISNUMBER('Base de datos Rutas'!AX561),'Base de datos Rutas'!AX561,"")</f>
        <v>189.85732503553101</v>
      </c>
      <c r="N563" s="790">
        <f>IFERROR(INDEX('Hoja de apoyo v2'!B$17:B$20,MATCH($A563,'Hoja de apoyo v2'!$A$17:$A$20,0)),"")</f>
        <v>89.41621024641401</v>
      </c>
      <c r="O563" s="791">
        <f>IFERROR(INDEX('Hoja de apoyo v2'!C$17:C$20,MATCH($A563,'Hoja de apoyo v2'!$A$17:$A$20,0)),"")</f>
        <v>0.54706375874806301</v>
      </c>
      <c r="P563" s="793">
        <f>IFERROR(INDEX('Hoja de apoyo v2'!D$17:D$20,MATCH($A563,'Hoja de apoyo v2'!$A$17:$A$20,0)),"")</f>
        <v>11095.153935793827</v>
      </c>
      <c r="Q563" s="793">
        <f>IFERROR(INDEX('Hoja de apoyo v2'!E$17:E$20,MATCH($A563,'Hoja de apoyo v2'!$A$17:$A$20,0)),"")</f>
        <v>6982.3202019701848</v>
      </c>
      <c r="R563" s="793">
        <f>IFERROR(INDEX('Hoja de apoyo v2'!F$17:F$20,MATCH($A563,'Hoja de apoyo v2'!$A$17:$A$20,0)),"")</f>
        <v>448.09513474485743</v>
      </c>
      <c r="S563" s="793">
        <f>IFERROR(INDEX('Hoja de apoyo v2'!G$17:G$20,MATCH($A563,'Hoja de apoyo v2'!$A$17:$A$20,0)),"")</f>
        <v>83.406300904207839</v>
      </c>
      <c r="T563" s="792">
        <f>IFERROR(INDEX('Hoja de apoyo v2'!H$17:H$20,MATCH($A563,'Hoja de apoyo v2'!$A$17:$A$20,0)),"")</f>
        <v>378.97014028925349</v>
      </c>
      <c r="U563" s="794">
        <f t="shared" si="292"/>
        <v>1.1310145465129999</v>
      </c>
      <c r="V563" s="795">
        <f t="shared" si="293"/>
        <v>0.96478792598387741</v>
      </c>
      <c r="W563" s="795">
        <f t="shared" si="294"/>
        <v>0.304036019356071</v>
      </c>
      <c r="X563" s="843">
        <f t="shared" si="295"/>
        <v>0.96825865306425229</v>
      </c>
      <c r="Y563" s="843">
        <f t="shared" si="296"/>
        <v>1.0272569724648952</v>
      </c>
      <c r="Z563" s="843">
        <f t="shared" si="297"/>
        <v>0.37095373991478098</v>
      </c>
      <c r="AA563" s="843">
        <f t="shared" si="298"/>
        <v>0.50098228026783354</v>
      </c>
      <c r="AB563" s="796">
        <f t="shared" si="299"/>
        <v>4</v>
      </c>
      <c r="AC563" s="797">
        <f t="shared" si="300"/>
        <v>3</v>
      </c>
      <c r="AD563" s="797">
        <f t="shared" si="301"/>
        <v>1</v>
      </c>
      <c r="AE563" s="842">
        <f t="shared" si="302"/>
        <v>3</v>
      </c>
      <c r="AF563" s="842">
        <f t="shared" si="303"/>
        <v>4</v>
      </c>
      <c r="AG563" s="842">
        <f t="shared" si="304"/>
        <v>1</v>
      </c>
      <c r="AH563" s="842">
        <f t="shared" si="305"/>
        <v>2</v>
      </c>
      <c r="AI563" s="826" cm="1">
        <f t="array" ref="AI563">SUMPRODUCT(--ISNUMBER($U563:$AA563),$AB$3:$AH$3)</f>
        <v>1</v>
      </c>
      <c r="AJ563" s="829">
        <f t="shared" si="306"/>
        <v>36.20847637507454</v>
      </c>
      <c r="AK563" s="827" t="str">
        <f t="shared" si="307"/>
        <v>Inmadura</v>
      </c>
      <c r="AL563" s="784" t="str">
        <f t="shared" si="308"/>
        <v>Alta</v>
      </c>
      <c r="AM563" s="799">
        <f>IF(ISNUMBER('Base de datos Rutas'!W561),'Base de datos Rutas'!W561,"")</f>
        <v>3054.2455510167165</v>
      </c>
      <c r="AN563" s="787">
        <f>IFERROR(SUMIFS('Base de datos Rutas'!$W$6:$W$794,'Base de datos Rutas'!$C$6:$C$794,$C563)/'Base de datos Rutas'!I561,"")</f>
        <v>3054.2455510167188</v>
      </c>
      <c r="AO563" s="800">
        <f>IFERROR('Base de datos Rutas'!X561*AN563/AM563,"")</f>
        <v>0.49742199715828644</v>
      </c>
      <c r="AP563" s="800">
        <f t="shared" si="309"/>
        <v>0.5025780028417135</v>
      </c>
      <c r="AQ563" s="789">
        <f>IFERROR(INDEX('Hoja de apoyo v2'!$J$17:$J$20,MATCH($A563,'Hoja de apoyo v2'!$A$17:$A$20,0)),"")</f>
        <v>0.64320274048480885</v>
      </c>
      <c r="AR563" s="789">
        <f t="shared" si="310"/>
        <v>-0.14062473764309535</v>
      </c>
      <c r="AS563" s="784" t="str">
        <f t="shared" si="311"/>
        <v>No</v>
      </c>
      <c r="AT563" s="801">
        <f>IF(ISNUMBER('Base de datos Rutas'!CK561),'Base de datos Rutas'!CK561,"")</f>
        <v>326</v>
      </c>
      <c r="AU563" s="802">
        <f>IF(ISNUMBER('Base de datos Rutas'!CL561),'Base de datos Rutas'!CL561,"")</f>
        <v>326</v>
      </c>
      <c r="AV563" s="802">
        <f>IF(ISNUMBER('Base de datos Rutas'!CM561),'Base de datos Rutas'!CM561,"")</f>
        <v>0</v>
      </c>
      <c r="AW563" s="802" t="str">
        <f>IF(ISNUMBER('Base de datos Rutas'!CN561),'Base de datos Rutas'!CN561,"")</f>
        <v/>
      </c>
      <c r="AX563" s="802">
        <f>IF(ISNUMBER('Base de datos Rutas'!CO561),'Base de datos Rutas'!CO561,"")</f>
        <v>9.4499999999999993</v>
      </c>
      <c r="AY563" s="802">
        <f>IF(ISNUMBER('Base de datos Rutas'!CP561),'Base de datos Rutas'!CP561,"")</f>
        <v>9.4499999999999993</v>
      </c>
      <c r="AZ563" s="802" t="str">
        <f>IF(ISNUMBER('Base de datos Rutas'!CQ561),'Base de datos Rutas'!CQ561,"")</f>
        <v/>
      </c>
      <c r="BA563" s="802" t="str">
        <f>IF(ISNUMBER('Base de datos Rutas'!CR561),'Base de datos Rutas'!CR561,"")</f>
        <v/>
      </c>
      <c r="BB563" s="803">
        <f>IF(ISNUMBER('Base de datos Rutas'!CS561),'Base de datos Rutas'!CS561,"")</f>
        <v>0</v>
      </c>
      <c r="BC563" s="804" t="str">
        <f t="shared" si="321"/>
        <v/>
      </c>
      <c r="BD563" s="805" t="str">
        <f t="shared" si="322"/>
        <v>N/D</v>
      </c>
      <c r="BE563" s="806" t="str">
        <f t="shared" si="323"/>
        <v/>
      </c>
      <c r="BF563" s="890">
        <f>IF(ISNUMBER('Base de datos Rutas'!CX561),'Base de datos Rutas'!CX561/100,"")</f>
        <v>0</v>
      </c>
      <c r="BG563" s="891">
        <f>IF(ISNUMBER('Base de datos Rutas'!CZ561),'Base de datos Rutas'!CZ561/100,"")</f>
        <v>0</v>
      </c>
      <c r="BH563" s="892">
        <f>IF(ISNUMBER('Base de datos Rutas'!DA561),'Base de datos Rutas'!DA561,"")</f>
        <v>0</v>
      </c>
      <c r="BI563" s="893">
        <f>IF(ISNUMBER('Base de datos Rutas'!DC561),'Base de datos Rutas'!DC561,"")</f>
        <v>0</v>
      </c>
      <c r="BJ563" s="805" t="str">
        <f t="shared" si="324"/>
        <v>Ruta (completo)</v>
      </c>
      <c r="BK563" s="783">
        <f t="shared" si="312"/>
        <v>1</v>
      </c>
      <c r="BL563" s="797">
        <f t="shared" si="313"/>
        <v>1</v>
      </c>
      <c r="BM563" s="797">
        <f t="shared" si="314"/>
        <v>1</v>
      </c>
      <c r="BN563" s="797">
        <f t="shared" si="315"/>
        <v>1</v>
      </c>
      <c r="BO563" s="798" cm="1">
        <f t="array" ref="BO563">SUMPRODUCT(--ISNUMBER($BF563:$BI563),$BK$3:$BN$3)</f>
        <v>1</v>
      </c>
      <c r="BP563" s="831">
        <f t="shared" si="325"/>
        <v>0</v>
      </c>
      <c r="BQ563" s="834" t="str">
        <f t="shared" si="326"/>
        <v>Bajo</v>
      </c>
      <c r="BR563" s="836" t="str">
        <f t="shared" si="316"/>
        <v/>
      </c>
      <c r="BS563" s="836">
        <f t="shared" si="317"/>
        <v>0</v>
      </c>
      <c r="BT563" s="837" t="str">
        <f t="shared" si="318"/>
        <v>Sin datos</v>
      </c>
      <c r="BU563" s="807" t="str">
        <f t="shared" si="327"/>
        <v>Con espacio</v>
      </c>
      <c r="BV563" s="807" t="str">
        <f t="shared" si="319"/>
        <v>Zona de bajo potencial</v>
      </c>
      <c r="BW563" s="808" t="str">
        <f t="shared" si="320"/>
        <v>Sin datos</v>
      </c>
    </row>
    <row r="564" spans="1:75">
      <c r="A564" s="780" t="str">
        <f>'Base de datos Rutas'!A562</f>
        <v>Occidente</v>
      </c>
      <c r="B564" s="781" t="str">
        <f>'Base de datos Rutas'!B562</f>
        <v>Favorita</v>
      </c>
      <c r="C564" s="781" t="str">
        <f>'Base de datos Rutas'!C562</f>
        <v>Suc. San Rafael</v>
      </c>
      <c r="D564" s="782">
        <f>IF(ISNUMBER('Base de datos Rutas'!D562),'Base de datos Rutas'!D562,"Sin código")</f>
        <v>803410</v>
      </c>
      <c r="E564" s="783" t="str">
        <f>'Base de datos Rutas'!F562</f>
        <v>Activa</v>
      </c>
      <c r="F564" s="784" t="str">
        <f>'Base de datos Rutas'!H562</f>
        <v>Sí</v>
      </c>
      <c r="G564" s="785">
        <f>IF(ISNUMBER('Base de datos Rutas'!BE562),'Base de datos Rutas'!BE562,"")</f>
        <v>105.241379310345</v>
      </c>
      <c r="H564" s="786">
        <f>IF(ISNUMBER('Base de datos Rutas'!BH562),'Base de datos Rutas'!BH562,"")</f>
        <v>0.50430318916557504</v>
      </c>
      <c r="I564" s="788">
        <f>IFERROR(IF(OR(NOT(ISNUMBER('Base de datos Rutas'!O562)),N('Base de datos Rutas'!BK562)=0),"",'Base de datos Rutas'!O562/('Base de datos Rutas'!L562/'Base de datos Rutas'!BK562)),"")</f>
        <v>4085.675862068957</v>
      </c>
      <c r="J564" s="788">
        <f>IFERROR(IF(OR(NOT(ISNUMBER('Base de datos Rutas'!N562)),N('Base de datos Rutas'!BK562)=0),"",'Base de datos Rutas'!N562/('Base de datos Rutas'!L562/'Base de datos Rutas'!BK562)),"")</f>
        <v>6003.3977011494126</v>
      </c>
      <c r="K564" s="788">
        <f>IFERROR(IF(OR(NOT(ISNUMBER('Base de datos Rutas'!J562)),N('Base de datos Rutas'!BK562)=0),"",'Base de datos Rutas'!J562/('Base de datos Rutas'!L562/'Base de datos Rutas'!BK562)),"")</f>
        <v>414.23423999999909</v>
      </c>
      <c r="L564" s="788">
        <f>IFERROR(IF(OR(NOT(ISNUMBER('Base de datos Rutas'!K562)),N('Base de datos Rutas'!BK562)=0),"",'Base de datos Rutas'!K562/('Base de datos Rutas'!L562/'Base de datos Rutas'!BK562)),"")</f>
        <v>37.349846724137855</v>
      </c>
      <c r="M564" s="787">
        <f>IF(ISNUMBER('Base de datos Rutas'!AX562),'Base de datos Rutas'!AX562,"")</f>
        <v>190.096019838004</v>
      </c>
      <c r="N564" s="790">
        <f>IFERROR(INDEX('Hoja de apoyo v2'!B$17:B$20,MATCH($A564,'Hoja de apoyo v2'!$A$17:$A$20,0)),"")</f>
        <v>89.41621024641401</v>
      </c>
      <c r="O564" s="791">
        <f>IFERROR(INDEX('Hoja de apoyo v2'!C$17:C$20,MATCH($A564,'Hoja de apoyo v2'!$A$17:$A$20,0)),"")</f>
        <v>0.54706375874806301</v>
      </c>
      <c r="P564" s="793">
        <f>IFERROR(INDEX('Hoja de apoyo v2'!D$17:D$20,MATCH($A564,'Hoja de apoyo v2'!$A$17:$A$20,0)),"")</f>
        <v>11095.153935793827</v>
      </c>
      <c r="Q564" s="793">
        <f>IFERROR(INDEX('Hoja de apoyo v2'!E$17:E$20,MATCH($A564,'Hoja de apoyo v2'!$A$17:$A$20,0)),"")</f>
        <v>6982.3202019701848</v>
      </c>
      <c r="R564" s="793">
        <f>IFERROR(INDEX('Hoja de apoyo v2'!F$17:F$20,MATCH($A564,'Hoja de apoyo v2'!$A$17:$A$20,0)),"")</f>
        <v>448.09513474485743</v>
      </c>
      <c r="S564" s="793">
        <f>IFERROR(INDEX('Hoja de apoyo v2'!G$17:G$20,MATCH($A564,'Hoja de apoyo v2'!$A$17:$A$20,0)),"")</f>
        <v>83.406300904207839</v>
      </c>
      <c r="T564" s="792">
        <f>IFERROR(INDEX('Hoja de apoyo v2'!H$17:H$20,MATCH($A564,'Hoja de apoyo v2'!$A$17:$A$20,0)),"")</f>
        <v>378.97014028925349</v>
      </c>
      <c r="U564" s="794">
        <f t="shared" si="292"/>
        <v>1.1769832228442678</v>
      </c>
      <c r="V564" s="795">
        <f t="shared" si="293"/>
        <v>0.92183622311164592</v>
      </c>
      <c r="W564" s="795">
        <f t="shared" si="294"/>
        <v>0.36823967343871183</v>
      </c>
      <c r="X564" s="843">
        <f t="shared" si="295"/>
        <v>0.8597998269193452</v>
      </c>
      <c r="Y564" s="843">
        <f t="shared" si="296"/>
        <v>0.92443369249224605</v>
      </c>
      <c r="Z564" s="843">
        <f t="shared" si="297"/>
        <v>0.44780605684736174</v>
      </c>
      <c r="AA564" s="843">
        <f t="shared" si="298"/>
        <v>0.50161213148062522</v>
      </c>
      <c r="AB564" s="796">
        <f t="shared" si="299"/>
        <v>4</v>
      </c>
      <c r="AC564" s="797">
        <f t="shared" si="300"/>
        <v>3</v>
      </c>
      <c r="AD564" s="797">
        <f t="shared" si="301"/>
        <v>1</v>
      </c>
      <c r="AE564" s="842">
        <f t="shared" si="302"/>
        <v>3</v>
      </c>
      <c r="AF564" s="842">
        <f t="shared" si="303"/>
        <v>3</v>
      </c>
      <c r="AG564" s="842">
        <f t="shared" si="304"/>
        <v>1</v>
      </c>
      <c r="AH564" s="842">
        <f t="shared" si="305"/>
        <v>2</v>
      </c>
      <c r="AI564" s="826" cm="1">
        <f t="array" ref="AI564">SUMPRODUCT(--ISNUMBER($U564:$AA564),$AB$3:$AH$3)</f>
        <v>1</v>
      </c>
      <c r="AJ564" s="829">
        <f t="shared" si="306"/>
        <v>33.282431863034759</v>
      </c>
      <c r="AK564" s="827" t="str">
        <f t="shared" si="307"/>
        <v>Inmadura</v>
      </c>
      <c r="AL564" s="784" t="str">
        <f t="shared" si="308"/>
        <v>Alta</v>
      </c>
      <c r="AM564" s="799">
        <f>IF(ISNUMBER('Base de datos Rutas'!W562),'Base de datos Rutas'!W562,"")</f>
        <v>3054.2455510167165</v>
      </c>
      <c r="AN564" s="787">
        <f>IFERROR(SUMIFS('Base de datos Rutas'!$W$6:$W$794,'Base de datos Rutas'!$C$6:$C$794,$C564)/'Base de datos Rutas'!I562,"")</f>
        <v>3054.2455510167188</v>
      </c>
      <c r="AO564" s="800">
        <f>IFERROR('Base de datos Rutas'!X562*AN564/AM564,"")</f>
        <v>0.49742199715828644</v>
      </c>
      <c r="AP564" s="800">
        <f t="shared" si="309"/>
        <v>0.5025780028417135</v>
      </c>
      <c r="AQ564" s="789">
        <f>IFERROR(INDEX('Hoja de apoyo v2'!$J$17:$J$20,MATCH($A564,'Hoja de apoyo v2'!$A$17:$A$20,0)),"")</f>
        <v>0.64320274048480885</v>
      </c>
      <c r="AR564" s="789">
        <f t="shared" si="310"/>
        <v>-0.14062473764309535</v>
      </c>
      <c r="AS564" s="784" t="str">
        <f t="shared" si="311"/>
        <v>No</v>
      </c>
      <c r="AT564" s="801">
        <f>IF(ISNUMBER('Base de datos Rutas'!CK562),'Base de datos Rutas'!CK562,"")</f>
        <v>337</v>
      </c>
      <c r="AU564" s="802">
        <f>IF(ISNUMBER('Base de datos Rutas'!CL562),'Base de datos Rutas'!CL562,"")</f>
        <v>337</v>
      </c>
      <c r="AV564" s="802">
        <f>IF(ISNUMBER('Base de datos Rutas'!CM562),'Base de datos Rutas'!CM562,"")</f>
        <v>0</v>
      </c>
      <c r="AW564" s="802" t="str">
        <f>IF(ISNUMBER('Base de datos Rutas'!CN562),'Base de datos Rutas'!CN562,"")</f>
        <v/>
      </c>
      <c r="AX564" s="802">
        <f>IF(ISNUMBER('Base de datos Rutas'!CO562),'Base de datos Rutas'!CO562,"")</f>
        <v>9.4499999999999993</v>
      </c>
      <c r="AY564" s="802">
        <f>IF(ISNUMBER('Base de datos Rutas'!CP562),'Base de datos Rutas'!CP562,"")</f>
        <v>9.4499999999999993</v>
      </c>
      <c r="AZ564" s="802" t="str">
        <f>IF(ISNUMBER('Base de datos Rutas'!CQ562),'Base de datos Rutas'!CQ562,"")</f>
        <v/>
      </c>
      <c r="BA564" s="802" t="str">
        <f>IF(ISNUMBER('Base de datos Rutas'!CR562),'Base de datos Rutas'!CR562,"")</f>
        <v/>
      </c>
      <c r="BB564" s="803">
        <f>IF(ISNUMBER('Base de datos Rutas'!CS562),'Base de datos Rutas'!CS562,"")</f>
        <v>0</v>
      </c>
      <c r="BC564" s="804" t="str">
        <f t="shared" si="321"/>
        <v/>
      </c>
      <c r="BD564" s="805" t="str">
        <f t="shared" si="322"/>
        <v>N/D</v>
      </c>
      <c r="BE564" s="806" t="str">
        <f t="shared" si="323"/>
        <v/>
      </c>
      <c r="BF564" s="890">
        <f>IF(ISNUMBER('Base de datos Rutas'!CX562),'Base de datos Rutas'!CX562/100,"")</f>
        <v>0</v>
      </c>
      <c r="BG564" s="891">
        <f>IF(ISNUMBER('Base de datos Rutas'!CZ562),'Base de datos Rutas'!CZ562/100,"")</f>
        <v>0</v>
      </c>
      <c r="BH564" s="892">
        <f>IF(ISNUMBER('Base de datos Rutas'!DA562),'Base de datos Rutas'!DA562,"")</f>
        <v>0</v>
      </c>
      <c r="BI564" s="893">
        <f>IF(ISNUMBER('Base de datos Rutas'!DC562),'Base de datos Rutas'!DC562,"")</f>
        <v>0</v>
      </c>
      <c r="BJ564" s="805" t="str">
        <f t="shared" si="324"/>
        <v>Ruta (completo)</v>
      </c>
      <c r="BK564" s="783">
        <f t="shared" si="312"/>
        <v>1</v>
      </c>
      <c r="BL564" s="797">
        <f t="shared" si="313"/>
        <v>1</v>
      </c>
      <c r="BM564" s="797">
        <f t="shared" si="314"/>
        <v>1</v>
      </c>
      <c r="BN564" s="797">
        <f t="shared" si="315"/>
        <v>1</v>
      </c>
      <c r="BO564" s="798" cm="1">
        <f t="array" ref="BO564">SUMPRODUCT(--ISNUMBER($BF564:$BI564),$BK$3:$BN$3)</f>
        <v>1</v>
      </c>
      <c r="BP564" s="831">
        <f t="shared" si="325"/>
        <v>0</v>
      </c>
      <c r="BQ564" s="834" t="str">
        <f t="shared" si="326"/>
        <v>Bajo</v>
      </c>
      <c r="BR564" s="836" t="str">
        <f t="shared" si="316"/>
        <v/>
      </c>
      <c r="BS564" s="836">
        <f t="shared" si="317"/>
        <v>0</v>
      </c>
      <c r="BT564" s="837" t="str">
        <f t="shared" si="318"/>
        <v>Sin datos</v>
      </c>
      <c r="BU564" s="807" t="str">
        <f t="shared" si="327"/>
        <v>Con espacio</v>
      </c>
      <c r="BV564" s="807" t="str">
        <f t="shared" si="319"/>
        <v>Zona de bajo potencial</v>
      </c>
      <c r="BW564" s="808" t="str">
        <f t="shared" si="320"/>
        <v>Sin datos</v>
      </c>
    </row>
    <row r="565" spans="1:75">
      <c r="A565" s="780" t="str">
        <f>'Base de datos Rutas'!A563</f>
        <v>Occidente</v>
      </c>
      <c r="B565" s="781" t="str">
        <f>'Base de datos Rutas'!B563</f>
        <v>Favorita</v>
      </c>
      <c r="C565" s="781" t="str">
        <f>'Base de datos Rutas'!C563</f>
        <v>Suc. San Rafael</v>
      </c>
      <c r="D565" s="782">
        <f>IF(ISNUMBER('Base de datos Rutas'!D563),'Base de datos Rutas'!D563,"Sin código")</f>
        <v>803413</v>
      </c>
      <c r="E565" s="783" t="str">
        <f>'Base de datos Rutas'!F563</f>
        <v>Activa</v>
      </c>
      <c r="F565" s="784" t="str">
        <f>'Base de datos Rutas'!H563</f>
        <v>Sí</v>
      </c>
      <c r="G565" s="785">
        <f>IF(ISNUMBER('Base de datos Rutas'!BE563),'Base de datos Rutas'!BE563,"")</f>
        <v>95.834090909090904</v>
      </c>
      <c r="H565" s="786">
        <f>IF(ISNUMBER('Base de datos Rutas'!BH563),'Base de datos Rutas'!BH563,"")</f>
        <v>0.51929233760997895</v>
      </c>
      <c r="I565" s="788">
        <f>IFERROR(IF(OR(NOT(ISNUMBER('Base de datos Rutas'!O563)),N('Base de datos Rutas'!BK563)=0),"",'Base de datos Rutas'!O563/('Base de datos Rutas'!L563/'Base de datos Rutas'!BK563)),"")</f>
        <v>6024.6954545454546</v>
      </c>
      <c r="J565" s="788">
        <f>IFERROR(IF(OR(NOT(ISNUMBER('Base de datos Rutas'!N563)),N('Base de datos Rutas'!BK563)=0),"",'Base de datos Rutas'!N563/('Base de datos Rutas'!L563/'Base de datos Rutas'!BK563)),"")</f>
        <v>8713.3363636363629</v>
      </c>
      <c r="K565" s="788">
        <f>IFERROR(IF(OR(NOT(ISNUMBER('Base de datos Rutas'!J563)),N('Base de datos Rutas'!BK563)=0),"",'Base de datos Rutas'!J563/('Base de datos Rutas'!L563/'Base de datos Rutas'!BK563)),"")</f>
        <v>596.81464181817955</v>
      </c>
      <c r="L565" s="788">
        <f>IFERROR(IF(OR(NOT(ISNUMBER('Base de datos Rutas'!K563)),N('Base de datos Rutas'!BK563)=0),"",'Base de datos Rutas'!K563/('Base de datos Rutas'!L563/'Base de datos Rutas'!BK563)),"")</f>
        <v>47.575058238636359</v>
      </c>
      <c r="M565" s="787">
        <f>IF(ISNUMBER('Base de datos Rutas'!AX563),'Base de datos Rutas'!AX563,"")</f>
        <v>296.147074028406</v>
      </c>
      <c r="N565" s="790">
        <f>IFERROR(INDEX('Hoja de apoyo v2'!B$17:B$20,MATCH($A565,'Hoja de apoyo v2'!$A$17:$A$20,0)),"")</f>
        <v>89.41621024641401</v>
      </c>
      <c r="O565" s="791">
        <f>IFERROR(INDEX('Hoja de apoyo v2'!C$17:C$20,MATCH($A565,'Hoja de apoyo v2'!$A$17:$A$20,0)),"")</f>
        <v>0.54706375874806301</v>
      </c>
      <c r="P565" s="793">
        <f>IFERROR(INDEX('Hoja de apoyo v2'!D$17:D$20,MATCH($A565,'Hoja de apoyo v2'!$A$17:$A$20,0)),"")</f>
        <v>11095.153935793827</v>
      </c>
      <c r="Q565" s="793">
        <f>IFERROR(INDEX('Hoja de apoyo v2'!E$17:E$20,MATCH($A565,'Hoja de apoyo v2'!$A$17:$A$20,0)),"")</f>
        <v>6982.3202019701848</v>
      </c>
      <c r="R565" s="793">
        <f>IFERROR(INDEX('Hoja de apoyo v2'!F$17:F$20,MATCH($A565,'Hoja de apoyo v2'!$A$17:$A$20,0)),"")</f>
        <v>448.09513474485743</v>
      </c>
      <c r="S565" s="793">
        <f>IFERROR(INDEX('Hoja de apoyo v2'!G$17:G$20,MATCH($A565,'Hoja de apoyo v2'!$A$17:$A$20,0)),"")</f>
        <v>83.406300904207839</v>
      </c>
      <c r="T565" s="792">
        <f>IFERROR(INDEX('Hoja de apoyo v2'!H$17:H$20,MATCH($A565,'Hoja de apoyo v2'!$A$17:$A$20,0)),"")</f>
        <v>378.97014028925349</v>
      </c>
      <c r="U565" s="794">
        <f t="shared" si="292"/>
        <v>1.0717753598032218</v>
      </c>
      <c r="V565" s="795">
        <f t="shared" si="293"/>
        <v>0.94923549459456424</v>
      </c>
      <c r="W565" s="795">
        <f t="shared" si="294"/>
        <v>0.54300242154453759</v>
      </c>
      <c r="X565" s="843">
        <f t="shared" si="295"/>
        <v>1.2479141763188892</v>
      </c>
      <c r="Y565" s="843">
        <f t="shared" si="296"/>
        <v>1.331892706574469</v>
      </c>
      <c r="Z565" s="843">
        <f t="shared" si="297"/>
        <v>0.57040124934057834</v>
      </c>
      <c r="AA565" s="843">
        <f t="shared" si="298"/>
        <v>0.78145226376507715</v>
      </c>
      <c r="AB565" s="796">
        <f t="shared" si="299"/>
        <v>4</v>
      </c>
      <c r="AC565" s="797">
        <f t="shared" si="300"/>
        <v>3</v>
      </c>
      <c r="AD565" s="797">
        <f t="shared" si="301"/>
        <v>2</v>
      </c>
      <c r="AE565" s="842">
        <f t="shared" si="302"/>
        <v>4</v>
      </c>
      <c r="AF565" s="842">
        <f t="shared" si="303"/>
        <v>5</v>
      </c>
      <c r="AG565" s="842">
        <f t="shared" si="304"/>
        <v>2</v>
      </c>
      <c r="AH565" s="842">
        <f t="shared" si="305"/>
        <v>3</v>
      </c>
      <c r="AI565" s="826" cm="1">
        <f t="array" ref="AI565">SUMPRODUCT(--ISNUMBER($U565:$AA565),$AB$3:$AH$3)</f>
        <v>1</v>
      </c>
      <c r="AJ565" s="829">
        <f t="shared" si="306"/>
        <v>54.291934611047324</v>
      </c>
      <c r="AK565" s="827" t="str">
        <f t="shared" si="307"/>
        <v>En desarrollo</v>
      </c>
      <c r="AL565" s="784" t="str">
        <f t="shared" si="308"/>
        <v>Alta</v>
      </c>
      <c r="AM565" s="799">
        <f>IF(ISNUMBER('Base de datos Rutas'!W563),'Base de datos Rutas'!W563,"")</f>
        <v>3054.2455510167165</v>
      </c>
      <c r="AN565" s="787">
        <f>IFERROR(SUMIFS('Base de datos Rutas'!$W$6:$W$794,'Base de datos Rutas'!$C$6:$C$794,$C565)/'Base de datos Rutas'!I563,"")</f>
        <v>3054.2455510167188</v>
      </c>
      <c r="AO565" s="800">
        <f>IFERROR('Base de datos Rutas'!X563*AN565/AM565,"")</f>
        <v>0.49742199715828644</v>
      </c>
      <c r="AP565" s="800">
        <f t="shared" si="309"/>
        <v>0.5025780028417135</v>
      </c>
      <c r="AQ565" s="789">
        <f>IFERROR(INDEX('Hoja de apoyo v2'!$J$17:$J$20,MATCH($A565,'Hoja de apoyo v2'!$A$17:$A$20,0)),"")</f>
        <v>0.64320274048480885</v>
      </c>
      <c r="AR565" s="789">
        <f t="shared" si="310"/>
        <v>-0.14062473764309535</v>
      </c>
      <c r="AS565" s="784" t="str">
        <f t="shared" si="311"/>
        <v>No</v>
      </c>
      <c r="AT565" s="801">
        <f>IF(ISNUMBER('Base de datos Rutas'!CK563),'Base de datos Rutas'!CK563,"")</f>
        <v>312</v>
      </c>
      <c r="AU565" s="802">
        <f>IF(ISNUMBER('Base de datos Rutas'!CL563),'Base de datos Rutas'!CL563,"")</f>
        <v>363.96</v>
      </c>
      <c r="AV565" s="802">
        <f>IF(ISNUMBER('Base de datos Rutas'!CM563),'Base de datos Rutas'!CM563,"")</f>
        <v>51.95999999999998</v>
      </c>
      <c r="AW565" s="802">
        <f>IF(ISNUMBER('Base de datos Rutas'!CN563),'Base de datos Rutas'!CN563,"")</f>
        <v>7.02</v>
      </c>
      <c r="AX565" s="802">
        <f>IF(ISNUMBER('Base de datos Rutas'!CO563),'Base de datos Rutas'!CO563,"")</f>
        <v>9.4499999999999993</v>
      </c>
      <c r="AY565" s="802">
        <f>IF(ISNUMBER('Base de datos Rutas'!CP563),'Base de datos Rutas'!CP563,"")</f>
        <v>2.4299999999999997</v>
      </c>
      <c r="AZ565" s="802">
        <f>IF(ISNUMBER('Base de datos Rutas'!CQ563),'Base de datos Rutas'!CQ563,"")</f>
        <v>846.56</v>
      </c>
      <c r="BA565" s="802">
        <f>IF(ISNUMBER('Base de datos Rutas'!CR563),'Base de datos Rutas'!CR563,"")</f>
        <v>644.39</v>
      </c>
      <c r="BB565" s="803">
        <f>IF(ISNUMBER('Base de datos Rutas'!CS563),'Base de datos Rutas'!CS563,"")</f>
        <v>202.16999999999996</v>
      </c>
      <c r="BC565" s="804">
        <f t="shared" si="321"/>
        <v>0</v>
      </c>
      <c r="BD565" s="805" t="str">
        <f t="shared" si="322"/>
        <v>No saturada</v>
      </c>
      <c r="BE565" s="806">
        <f t="shared" si="323"/>
        <v>0.76118644868644869</v>
      </c>
      <c r="BF565" s="890">
        <f>IF(ISNUMBER('Base de datos Rutas'!CX563),'Base de datos Rutas'!CX563/100,"")</f>
        <v>0.23879649890590809</v>
      </c>
      <c r="BG565" s="891">
        <f>IF(ISNUMBER('Base de datos Rutas'!CZ563),'Base de datos Rutas'!CZ563/100,"")</f>
        <v>0.25300875273522977</v>
      </c>
      <c r="BH565" s="892">
        <f>IF(ISNUMBER('Base de datos Rutas'!DA563),'Base de datos Rutas'!DA563,"")</f>
        <v>141.61681625476004</v>
      </c>
      <c r="BI565" s="893">
        <f>IF(ISNUMBER('Base de datos Rutas'!DC563),'Base de datos Rutas'!DC563,"")</f>
        <v>6.0922636705897579</v>
      </c>
      <c r="BJ565" s="805" t="str">
        <f t="shared" si="324"/>
        <v>Ruta (completo)</v>
      </c>
      <c r="BK565" s="783">
        <f t="shared" si="312"/>
        <v>5</v>
      </c>
      <c r="BL565" s="797">
        <f t="shared" si="313"/>
        <v>4</v>
      </c>
      <c r="BM565" s="797">
        <f t="shared" si="314"/>
        <v>4</v>
      </c>
      <c r="BN565" s="797">
        <f t="shared" si="315"/>
        <v>4</v>
      </c>
      <c r="BO565" s="798" cm="1">
        <f t="array" ref="BO565">SUMPRODUCT(--ISNUMBER($BF565:$BI565),$BK$3:$BN$3)</f>
        <v>1</v>
      </c>
      <c r="BP565" s="831">
        <f t="shared" si="325"/>
        <v>81.25</v>
      </c>
      <c r="BQ565" s="834" t="str">
        <f t="shared" si="326"/>
        <v>Alto</v>
      </c>
      <c r="BR565" s="836">
        <f t="shared" si="316"/>
        <v>40.71895095828549</v>
      </c>
      <c r="BS565" s="836">
        <f t="shared" si="317"/>
        <v>81.25</v>
      </c>
      <c r="BT565" s="837" t="str">
        <f t="shared" si="318"/>
        <v>P1</v>
      </c>
      <c r="BU565" s="807" t="str">
        <f t="shared" si="327"/>
        <v>Con espacio</v>
      </c>
      <c r="BV565" s="807" t="str">
        <f t="shared" si="319"/>
        <v>Zona atractiva</v>
      </c>
      <c r="BW565" s="808" t="str">
        <f t="shared" si="320"/>
        <v>P1 - Ampliar cobertura</v>
      </c>
    </row>
    <row r="566" spans="1:75">
      <c r="A566" s="780" t="str">
        <f>'Base de datos Rutas'!A564</f>
        <v>Occidente</v>
      </c>
      <c r="B566" s="781" t="str">
        <f>'Base de datos Rutas'!B564</f>
        <v>Favorita</v>
      </c>
      <c r="C566" s="781" t="str">
        <f>'Base de datos Rutas'!C564</f>
        <v>Suc. San Rafael</v>
      </c>
      <c r="D566" s="782">
        <f>IF(ISNUMBER('Base de datos Rutas'!D564),'Base de datos Rutas'!D564,"Sin código")</f>
        <v>803414</v>
      </c>
      <c r="E566" s="783" t="str">
        <f>'Base de datos Rutas'!F564</f>
        <v>Activa</v>
      </c>
      <c r="F566" s="784" t="str">
        <f>'Base de datos Rutas'!H564</f>
        <v>Sí</v>
      </c>
      <c r="G566" s="785">
        <f>IF(ISNUMBER('Base de datos Rutas'!BE564),'Base de datos Rutas'!BE564,"")</f>
        <v>76.339366515837099</v>
      </c>
      <c r="H566" s="786">
        <f>IF(ISNUMBER('Base de datos Rutas'!BH564),'Base de datos Rutas'!BH564,"")</f>
        <v>0.46434710449884398</v>
      </c>
      <c r="I566" s="788">
        <f>IFERROR(IF(OR(NOT(ISNUMBER('Base de datos Rutas'!O564)),N('Base de datos Rutas'!BK564)=0),"",'Base de datos Rutas'!O564/('Base de datos Rutas'!L564/'Base de datos Rutas'!BK564)),"")</f>
        <v>3152.0090497737538</v>
      </c>
      <c r="J566" s="788">
        <f>IFERROR(IF(OR(NOT(ISNUMBER('Base de datos Rutas'!N564)),N('Base de datos Rutas'!BK564)=0),"",'Base de datos Rutas'!N564/('Base de datos Rutas'!L564/'Base de datos Rutas'!BK564)),"")</f>
        <v>5641.8800904977343</v>
      </c>
      <c r="K566" s="788">
        <f>IFERROR(IF(OR(NOT(ISNUMBER('Base de datos Rutas'!J564)),N('Base de datos Rutas'!BK564)=0),"",'Base de datos Rutas'!J564/('Base de datos Rutas'!L564/'Base de datos Rutas'!BK564)),"")</f>
        <v>393.55249230769203</v>
      </c>
      <c r="L566" s="788">
        <f>IFERROR(IF(OR(NOT(ISNUMBER('Base de datos Rutas'!K564)),N('Base de datos Rutas'!BK564)=0),"",'Base de datos Rutas'!K564/('Base de datos Rutas'!L564/'Base de datos Rutas'!BK564)),"")</f>
        <v>24.457279382352926</v>
      </c>
      <c r="M566" s="787">
        <f>IF(ISNUMBER('Base de datos Rutas'!AX564),'Base de datos Rutas'!AX564,"")</f>
        <v>247.569157518509</v>
      </c>
      <c r="N566" s="790">
        <f>IFERROR(INDEX('Hoja de apoyo v2'!B$17:B$20,MATCH($A566,'Hoja de apoyo v2'!$A$17:$A$20,0)),"")</f>
        <v>89.41621024641401</v>
      </c>
      <c r="O566" s="791">
        <f>IFERROR(INDEX('Hoja de apoyo v2'!C$17:C$20,MATCH($A566,'Hoja de apoyo v2'!$A$17:$A$20,0)),"")</f>
        <v>0.54706375874806301</v>
      </c>
      <c r="P566" s="793">
        <f>IFERROR(INDEX('Hoja de apoyo v2'!D$17:D$20,MATCH($A566,'Hoja de apoyo v2'!$A$17:$A$20,0)),"")</f>
        <v>11095.153935793827</v>
      </c>
      <c r="Q566" s="793">
        <f>IFERROR(INDEX('Hoja de apoyo v2'!E$17:E$20,MATCH($A566,'Hoja de apoyo v2'!$A$17:$A$20,0)),"")</f>
        <v>6982.3202019701848</v>
      </c>
      <c r="R566" s="793">
        <f>IFERROR(INDEX('Hoja de apoyo v2'!F$17:F$20,MATCH($A566,'Hoja de apoyo v2'!$A$17:$A$20,0)),"")</f>
        <v>448.09513474485743</v>
      </c>
      <c r="S566" s="793">
        <f>IFERROR(INDEX('Hoja de apoyo v2'!G$17:G$20,MATCH($A566,'Hoja de apoyo v2'!$A$17:$A$20,0)),"")</f>
        <v>83.406300904207839</v>
      </c>
      <c r="T566" s="792">
        <f>IFERROR(INDEX('Hoja de apoyo v2'!H$17:H$20,MATCH($A566,'Hoja de apoyo v2'!$A$17:$A$20,0)),"")</f>
        <v>378.97014028925349</v>
      </c>
      <c r="U566" s="794">
        <f t="shared" si="292"/>
        <v>0.85375309807316113</v>
      </c>
      <c r="V566" s="795">
        <f t="shared" si="293"/>
        <v>0.84879887777886565</v>
      </c>
      <c r="W566" s="795">
        <f t="shared" si="294"/>
        <v>0.28408880742115061</v>
      </c>
      <c r="X566" s="843">
        <f t="shared" si="295"/>
        <v>0.80802368371845479</v>
      </c>
      <c r="Y566" s="843">
        <f t="shared" si="296"/>
        <v>0.87827887828279672</v>
      </c>
      <c r="Z566" s="843">
        <f t="shared" si="297"/>
        <v>0.29323059669607116</v>
      </c>
      <c r="AA566" s="843">
        <f t="shared" si="298"/>
        <v>0.65326824253105764</v>
      </c>
      <c r="AB566" s="796">
        <f t="shared" si="299"/>
        <v>3</v>
      </c>
      <c r="AC566" s="797">
        <f t="shared" si="300"/>
        <v>3</v>
      </c>
      <c r="AD566" s="797">
        <f t="shared" si="301"/>
        <v>1</v>
      </c>
      <c r="AE566" s="842">
        <f t="shared" si="302"/>
        <v>3</v>
      </c>
      <c r="AF566" s="842">
        <f t="shared" si="303"/>
        <v>3</v>
      </c>
      <c r="AG566" s="842">
        <f t="shared" si="304"/>
        <v>1</v>
      </c>
      <c r="AH566" s="842">
        <f t="shared" si="305"/>
        <v>2</v>
      </c>
      <c r="AI566" s="826" cm="1">
        <f t="array" ref="AI566">SUMPRODUCT(--ISNUMBER($U566:$AA566),$AB$3:$AH$3)</f>
        <v>1</v>
      </c>
      <c r="AJ566" s="829">
        <f t="shared" si="306"/>
        <v>28.748795684897999</v>
      </c>
      <c r="AK566" s="827" t="str">
        <f t="shared" si="307"/>
        <v>Inmadura</v>
      </c>
      <c r="AL566" s="784" t="str">
        <f t="shared" si="308"/>
        <v>Alta</v>
      </c>
      <c r="AM566" s="799">
        <f>IF(ISNUMBER('Base de datos Rutas'!W564),'Base de datos Rutas'!W564,"")</f>
        <v>3054.2455510167165</v>
      </c>
      <c r="AN566" s="787">
        <f>IFERROR(SUMIFS('Base de datos Rutas'!$W$6:$W$794,'Base de datos Rutas'!$C$6:$C$794,$C566)/'Base de datos Rutas'!I564,"")</f>
        <v>3054.2455510167188</v>
      </c>
      <c r="AO566" s="800">
        <f>IFERROR('Base de datos Rutas'!X564*AN566/AM566,"")</f>
        <v>0.49742199715828644</v>
      </c>
      <c r="AP566" s="800">
        <f t="shared" si="309"/>
        <v>0.5025780028417135</v>
      </c>
      <c r="AQ566" s="789">
        <f>IFERROR(INDEX('Hoja de apoyo v2'!$J$17:$J$20,MATCH($A566,'Hoja de apoyo v2'!$A$17:$A$20,0)),"")</f>
        <v>0.64320274048480885</v>
      </c>
      <c r="AR566" s="789">
        <f t="shared" si="310"/>
        <v>-0.14062473764309535</v>
      </c>
      <c r="AS566" s="784" t="str">
        <f t="shared" si="311"/>
        <v>No</v>
      </c>
      <c r="AT566" s="801">
        <f>IF(ISNUMBER('Base de datos Rutas'!CK564),'Base de datos Rutas'!CK564,"")</f>
        <v>279</v>
      </c>
      <c r="AU566" s="802">
        <f>IF(ISNUMBER('Base de datos Rutas'!CL564),'Base de datos Rutas'!CL564,"")</f>
        <v>296.10000000000002</v>
      </c>
      <c r="AV566" s="802">
        <f>IF(ISNUMBER('Base de datos Rutas'!CM564),'Base de datos Rutas'!CM564,"")</f>
        <v>17.100000000000023</v>
      </c>
      <c r="AW566" s="802">
        <f>IF(ISNUMBER('Base de datos Rutas'!CN564),'Base de datos Rutas'!CN564,"")</f>
        <v>8.0299999999999994</v>
      </c>
      <c r="AX566" s="802">
        <f>IF(ISNUMBER('Base de datos Rutas'!CO564),'Base de datos Rutas'!CO564,"")</f>
        <v>9.4499999999999993</v>
      </c>
      <c r="AY566" s="802">
        <f>IF(ISNUMBER('Base de datos Rutas'!CP564),'Base de datos Rutas'!CP564,"")</f>
        <v>1.42</v>
      </c>
      <c r="AZ566" s="802">
        <f>IF(ISNUMBER('Base de datos Rutas'!CQ564),'Base de datos Rutas'!CQ564,"")</f>
        <v>846.56</v>
      </c>
      <c r="BA566" s="802">
        <f>IF(ISNUMBER('Base de datos Rutas'!CR564),'Base de datos Rutas'!CR564,"")</f>
        <v>418.01</v>
      </c>
      <c r="BB566" s="803">
        <f>IF(ISNUMBER('Base de datos Rutas'!CS564),'Base de datos Rutas'!CS564,"")</f>
        <v>428.54999999999995</v>
      </c>
      <c r="BC566" s="804">
        <f t="shared" si="321"/>
        <v>0</v>
      </c>
      <c r="BD566" s="805" t="str">
        <f t="shared" si="322"/>
        <v>No saturada</v>
      </c>
      <c r="BE566" s="806">
        <f t="shared" si="323"/>
        <v>0.4937748062748063</v>
      </c>
      <c r="BF566" s="890">
        <f>IF(ISNUMBER('Base de datos Rutas'!CX564),'Base de datos Rutas'!CX564/100,"")</f>
        <v>5.5612144955925563E-2</v>
      </c>
      <c r="BG566" s="891">
        <f>IF(ISNUMBER('Base de datos Rutas'!CZ564),'Base de datos Rutas'!CZ564/100,"")</f>
        <v>5.8961802154750248E-2</v>
      </c>
      <c r="BH566" s="892">
        <f>IF(ISNUMBER('Base de datos Rutas'!DA564),'Base de datos Rutas'!DA564,"")</f>
        <v>33.195413990355519</v>
      </c>
      <c r="BI566" s="893">
        <f>IF(ISNUMBER('Base de datos Rutas'!DC564),'Base de datos Rutas'!DC564,"")</f>
        <v>1.4966302883582905</v>
      </c>
      <c r="BJ566" s="805" t="str">
        <f t="shared" si="324"/>
        <v>Ruta (completo)</v>
      </c>
      <c r="BK566" s="783">
        <f t="shared" si="312"/>
        <v>3</v>
      </c>
      <c r="BL566" s="797">
        <f t="shared" si="313"/>
        <v>3</v>
      </c>
      <c r="BM566" s="797">
        <f t="shared" si="314"/>
        <v>3</v>
      </c>
      <c r="BN566" s="797">
        <f t="shared" si="315"/>
        <v>3</v>
      </c>
      <c r="BO566" s="798" cm="1">
        <f t="array" ref="BO566">SUMPRODUCT(--ISNUMBER($BF566:$BI566),$BK$3:$BN$3)</f>
        <v>1</v>
      </c>
      <c r="BP566" s="831">
        <f t="shared" si="325"/>
        <v>50</v>
      </c>
      <c r="BQ566" s="834" t="str">
        <f t="shared" si="326"/>
        <v>Alto</v>
      </c>
      <c r="BR566" s="836">
        <f t="shared" si="316"/>
        <v>21.561596763673499</v>
      </c>
      <c r="BS566" s="836">
        <f t="shared" si="317"/>
        <v>50</v>
      </c>
      <c r="BT566" s="837" t="str">
        <f t="shared" si="318"/>
        <v>P3</v>
      </c>
      <c r="BU566" s="807" t="str">
        <f t="shared" si="327"/>
        <v>Con espacio</v>
      </c>
      <c r="BV566" s="807" t="str">
        <f t="shared" si="319"/>
        <v>Zona atractiva</v>
      </c>
      <c r="BW566" s="808" t="str">
        <f t="shared" si="320"/>
        <v>P3 - Desarrollar</v>
      </c>
    </row>
    <row r="567" spans="1:75">
      <c r="A567" s="780" t="str">
        <f>'Base de datos Rutas'!A565</f>
        <v>Occidente</v>
      </c>
      <c r="B567" s="781" t="str">
        <f>'Base de datos Rutas'!B565</f>
        <v>Favorita</v>
      </c>
      <c r="C567" s="781" t="str">
        <f>'Base de datos Rutas'!C565</f>
        <v>Suc. San Rafael</v>
      </c>
      <c r="D567" s="782">
        <f>IF(ISNUMBER('Base de datos Rutas'!D565),'Base de datos Rutas'!D565,"Sin código")</f>
        <v>803419</v>
      </c>
      <c r="E567" s="783" t="str">
        <f>'Base de datos Rutas'!F565</f>
        <v>Activa</v>
      </c>
      <c r="F567" s="784" t="str">
        <f>'Base de datos Rutas'!H565</f>
        <v>Sí</v>
      </c>
      <c r="G567" s="785">
        <f>IF(ISNUMBER('Base de datos Rutas'!BE565),'Base de datos Rutas'!BE565,"")</f>
        <v>83.915137614678898</v>
      </c>
      <c r="H567" s="786">
        <f>IF(ISNUMBER('Base de datos Rutas'!BH565),'Base de datos Rutas'!BH565,"")</f>
        <v>0.57613359936589503</v>
      </c>
      <c r="I567" s="788">
        <f>IFERROR(IF(OR(NOT(ISNUMBER('Base de datos Rutas'!O565)),N('Base de datos Rutas'!BK565)=0),"",'Base de datos Rutas'!O565/('Base de datos Rutas'!L565/'Base de datos Rutas'!BK565)),"")</f>
        <v>4402.0160550458804</v>
      </c>
      <c r="J567" s="788">
        <f>IFERROR(IF(OR(NOT(ISNUMBER('Base de datos Rutas'!N565)),N('Base de datos Rutas'!BK565)=0),"",'Base de datos Rutas'!N565/('Base de datos Rutas'!L565/'Base de datos Rutas'!BK565)),"")</f>
        <v>7294.4403669724916</v>
      </c>
      <c r="K567" s="788">
        <f>IFERROR(IF(OR(NOT(ISNUMBER('Base de datos Rutas'!J565)),N('Base de datos Rutas'!BK565)=0),"",'Base de datos Rutas'!J565/('Base de datos Rutas'!L565/'Base de datos Rutas'!BK565)),"")</f>
        <v>504.24521333944818</v>
      </c>
      <c r="L567" s="788">
        <f>IFERROR(IF(OR(NOT(ISNUMBER('Base de datos Rutas'!K565)),N('Base de datos Rutas'!BK565)=0),"",'Base de datos Rutas'!K565/('Base de datos Rutas'!L565/'Base de datos Rutas'!BK565)),"")</f>
        <v>36.447282669724842</v>
      </c>
      <c r="M567" s="787">
        <f>IF(ISNUMBER('Base de datos Rutas'!AX565),'Base de datos Rutas'!AX565,"")</f>
        <v>241.24732482565599</v>
      </c>
      <c r="N567" s="790">
        <f>IFERROR(INDEX('Hoja de apoyo v2'!B$17:B$20,MATCH($A567,'Hoja de apoyo v2'!$A$17:$A$20,0)),"")</f>
        <v>89.41621024641401</v>
      </c>
      <c r="O567" s="791">
        <f>IFERROR(INDEX('Hoja de apoyo v2'!C$17:C$20,MATCH($A567,'Hoja de apoyo v2'!$A$17:$A$20,0)),"")</f>
        <v>0.54706375874806301</v>
      </c>
      <c r="P567" s="793">
        <f>IFERROR(INDEX('Hoja de apoyo v2'!D$17:D$20,MATCH($A567,'Hoja de apoyo v2'!$A$17:$A$20,0)),"")</f>
        <v>11095.153935793827</v>
      </c>
      <c r="Q567" s="793">
        <f>IFERROR(INDEX('Hoja de apoyo v2'!E$17:E$20,MATCH($A567,'Hoja de apoyo v2'!$A$17:$A$20,0)),"")</f>
        <v>6982.3202019701848</v>
      </c>
      <c r="R567" s="793">
        <f>IFERROR(INDEX('Hoja de apoyo v2'!F$17:F$20,MATCH($A567,'Hoja de apoyo v2'!$A$17:$A$20,0)),"")</f>
        <v>448.09513474485743</v>
      </c>
      <c r="S567" s="793">
        <f>IFERROR(INDEX('Hoja de apoyo v2'!G$17:G$20,MATCH($A567,'Hoja de apoyo v2'!$A$17:$A$20,0)),"")</f>
        <v>83.406300904207839</v>
      </c>
      <c r="T567" s="792">
        <f>IFERROR(INDEX('Hoja de apoyo v2'!H$17:H$20,MATCH($A567,'Hoja de apoyo v2'!$A$17:$A$20,0)),"")</f>
        <v>378.97014028925349</v>
      </c>
      <c r="U567" s="794">
        <f t="shared" si="292"/>
        <v>0.93847790443617318</v>
      </c>
      <c r="V567" s="795">
        <f t="shared" si="293"/>
        <v>1.0531379389567999</v>
      </c>
      <c r="W567" s="795">
        <f t="shared" si="294"/>
        <v>0.3967512375691008</v>
      </c>
      <c r="X567" s="843">
        <f t="shared" si="295"/>
        <v>1.044701496919926</v>
      </c>
      <c r="Y567" s="843">
        <f t="shared" si="296"/>
        <v>1.1253083870829399</v>
      </c>
      <c r="Z567" s="843">
        <f t="shared" si="297"/>
        <v>0.43698476343633269</v>
      </c>
      <c r="AA567" s="843">
        <f t="shared" si="298"/>
        <v>0.63658663091905099</v>
      </c>
      <c r="AB567" s="796">
        <f t="shared" si="299"/>
        <v>3</v>
      </c>
      <c r="AC567" s="797">
        <f t="shared" si="300"/>
        <v>4</v>
      </c>
      <c r="AD567" s="797">
        <f t="shared" si="301"/>
        <v>1</v>
      </c>
      <c r="AE567" s="842">
        <f t="shared" si="302"/>
        <v>4</v>
      </c>
      <c r="AF567" s="842">
        <f t="shared" si="303"/>
        <v>4</v>
      </c>
      <c r="AG567" s="842">
        <f t="shared" si="304"/>
        <v>1</v>
      </c>
      <c r="AH567" s="842">
        <f t="shared" si="305"/>
        <v>2</v>
      </c>
      <c r="AI567" s="826" cm="1">
        <f t="array" ref="AI567">SUMPRODUCT(--ISNUMBER($U567:$AA567),$AB$3:$AH$3)</f>
        <v>1</v>
      </c>
      <c r="AJ567" s="829">
        <f t="shared" si="306"/>
        <v>37.467193429046965</v>
      </c>
      <c r="AK567" s="827" t="str">
        <f t="shared" si="307"/>
        <v>Inmadura</v>
      </c>
      <c r="AL567" s="784" t="str">
        <f t="shared" si="308"/>
        <v>Alta</v>
      </c>
      <c r="AM567" s="799">
        <f>IF(ISNUMBER('Base de datos Rutas'!W565),'Base de datos Rutas'!W565,"")</f>
        <v>3054.2455510167165</v>
      </c>
      <c r="AN567" s="787">
        <f>IFERROR(SUMIFS('Base de datos Rutas'!$W$6:$W$794,'Base de datos Rutas'!$C$6:$C$794,$C567)/'Base de datos Rutas'!I565,"")</f>
        <v>3054.2455510167188</v>
      </c>
      <c r="AO567" s="800">
        <f>IFERROR('Base de datos Rutas'!X565*AN567/AM567,"")</f>
        <v>0.49742199715828644</v>
      </c>
      <c r="AP567" s="800">
        <f t="shared" si="309"/>
        <v>0.5025780028417135</v>
      </c>
      <c r="AQ567" s="789">
        <f>IFERROR(INDEX('Hoja de apoyo v2'!$J$17:$J$20,MATCH($A567,'Hoja de apoyo v2'!$A$17:$A$20,0)),"")</f>
        <v>0.64320274048480885</v>
      </c>
      <c r="AR567" s="789">
        <f t="shared" si="310"/>
        <v>-0.14062473764309535</v>
      </c>
      <c r="AS567" s="784" t="str">
        <f t="shared" si="311"/>
        <v>No</v>
      </c>
      <c r="AT567" s="801">
        <f>IF(ISNUMBER('Base de datos Rutas'!CK565),'Base de datos Rutas'!CK565,"")</f>
        <v>333</v>
      </c>
      <c r="AU567" s="802">
        <f>IF(ISNUMBER('Base de datos Rutas'!CL565),'Base de datos Rutas'!CL565,"")</f>
        <v>353.89</v>
      </c>
      <c r="AV567" s="802">
        <f>IF(ISNUMBER('Base de datos Rutas'!CM565),'Base de datos Rutas'!CM565,"")</f>
        <v>20.889999999999986</v>
      </c>
      <c r="AW567" s="802">
        <f>IF(ISNUMBER('Base de datos Rutas'!CN565),'Base de datos Rutas'!CN565,"")</f>
        <v>8.59</v>
      </c>
      <c r="AX567" s="802">
        <f>IF(ISNUMBER('Base de datos Rutas'!CO565),'Base de datos Rutas'!CO565,"")</f>
        <v>9.4499999999999993</v>
      </c>
      <c r="AY567" s="802">
        <f>IF(ISNUMBER('Base de datos Rutas'!CP565),'Base de datos Rutas'!CP565,"")</f>
        <v>0.85999999999999943</v>
      </c>
      <c r="AZ567" s="802">
        <f>IF(ISNUMBER('Base de datos Rutas'!CQ565),'Base de datos Rutas'!CQ565,"")</f>
        <v>846.56</v>
      </c>
      <c r="BA567" s="802">
        <f>IF(ISNUMBER('Base de datos Rutas'!CR565),'Base de datos Rutas'!CR565,"")</f>
        <v>540.69000000000005</v>
      </c>
      <c r="BB567" s="803">
        <f>IF(ISNUMBER('Base de datos Rutas'!CS565),'Base de datos Rutas'!CS565,"")</f>
        <v>305.86999999999989</v>
      </c>
      <c r="BC567" s="804">
        <f t="shared" si="321"/>
        <v>0</v>
      </c>
      <c r="BD567" s="805" t="str">
        <f t="shared" si="322"/>
        <v>No saturada</v>
      </c>
      <c r="BE567" s="806">
        <f t="shared" si="323"/>
        <v>0.63869070119070126</v>
      </c>
      <c r="BF567" s="890">
        <f>IF(ISNUMBER('Base de datos Rutas'!CX565),'Base de datos Rutas'!CX565/100,"")</f>
        <v>0.12432638105975197</v>
      </c>
      <c r="BG567" s="891">
        <f>IF(ISNUMBER('Base de datos Rutas'!CZ565),'Base de datos Rutas'!CZ565/100,"")</f>
        <v>0.13021420518602028</v>
      </c>
      <c r="BH567" s="892">
        <f>IF(ISNUMBER('Base de datos Rutas'!DA565),'Base de datos Rutas'!DA565,"")</f>
        <v>109.35745848148865</v>
      </c>
      <c r="BI567" s="893">
        <f>IF(ISNUMBER('Base de datos Rutas'!DC565),'Base de datos Rutas'!DC565,"")</f>
        <v>4.8982484750160422</v>
      </c>
      <c r="BJ567" s="805" t="str">
        <f t="shared" si="324"/>
        <v>Ruta (completo)</v>
      </c>
      <c r="BK567" s="783">
        <f t="shared" si="312"/>
        <v>4</v>
      </c>
      <c r="BL567" s="797">
        <f t="shared" si="313"/>
        <v>3</v>
      </c>
      <c r="BM567" s="797">
        <f t="shared" si="314"/>
        <v>3</v>
      </c>
      <c r="BN567" s="797">
        <f t="shared" si="315"/>
        <v>3</v>
      </c>
      <c r="BO567" s="798" cm="1">
        <f t="array" ref="BO567">SUMPRODUCT(--ISNUMBER($BF567:$BI567),$BK$3:$BN$3)</f>
        <v>1</v>
      </c>
      <c r="BP567" s="831">
        <f t="shared" si="325"/>
        <v>56.25</v>
      </c>
      <c r="BQ567" s="834" t="str">
        <f t="shared" si="326"/>
        <v>Alto</v>
      </c>
      <c r="BR567" s="836">
        <f t="shared" si="316"/>
        <v>28.100395071785222</v>
      </c>
      <c r="BS567" s="836">
        <f t="shared" si="317"/>
        <v>56.25</v>
      </c>
      <c r="BT567" s="837" t="str">
        <f t="shared" si="318"/>
        <v>P3</v>
      </c>
      <c r="BU567" s="807" t="str">
        <f t="shared" si="327"/>
        <v>Con espacio</v>
      </c>
      <c r="BV567" s="807" t="str">
        <f t="shared" si="319"/>
        <v>Zona atractiva</v>
      </c>
      <c r="BW567" s="808" t="str">
        <f t="shared" si="320"/>
        <v>P3 - Desarrollar</v>
      </c>
    </row>
    <row r="568" spans="1:75">
      <c r="A568" s="780" t="str">
        <f>'Base de datos Rutas'!A566</f>
        <v>Occidente</v>
      </c>
      <c r="B568" s="781" t="str">
        <f>'Base de datos Rutas'!B566</f>
        <v>Favorita</v>
      </c>
      <c r="C568" s="781" t="str">
        <f>'Base de datos Rutas'!C566</f>
        <v>Suc. San Rafael</v>
      </c>
      <c r="D568" s="782">
        <f>IF(ISNUMBER('Base de datos Rutas'!D566),'Base de datos Rutas'!D566,"Sin código")</f>
        <v>803422</v>
      </c>
      <c r="E568" s="783" t="str">
        <f>'Base de datos Rutas'!F566</f>
        <v>Activa</v>
      </c>
      <c r="F568" s="784" t="str">
        <f>'Base de datos Rutas'!H566</f>
        <v>Sí</v>
      </c>
      <c r="G568" s="785">
        <f>IF(ISNUMBER('Base de datos Rutas'!BE566),'Base de datos Rutas'!BE566,"")</f>
        <v>90.706818181818207</v>
      </c>
      <c r="H568" s="786">
        <f>IF(ISNUMBER('Base de datos Rutas'!BH566),'Base de datos Rutas'!BH566,"")</f>
        <v>0.53083109919571103</v>
      </c>
      <c r="I568" s="788">
        <f>IFERROR(IF(OR(NOT(ISNUMBER('Base de datos Rutas'!O566)),N('Base de datos Rutas'!BK566)=0),"",'Base de datos Rutas'!O566/('Base de datos Rutas'!L566/'Base de datos Rutas'!BK566)),"")</f>
        <v>4271.4068181818075</v>
      </c>
      <c r="J568" s="788">
        <f>IFERROR(IF(OR(NOT(ISNUMBER('Base de datos Rutas'!N566)),N('Base de datos Rutas'!BK566)=0),"",'Base de datos Rutas'!N566/('Base de datos Rutas'!L566/'Base de datos Rutas'!BK566)),"")</f>
        <v>6371.9227272727112</v>
      </c>
      <c r="K568" s="788">
        <f>IFERROR(IF(OR(NOT(ISNUMBER('Base de datos Rutas'!J566)),N('Base de datos Rutas'!BK566)=0),"",'Base de datos Rutas'!J566/('Base de datos Rutas'!L566/'Base de datos Rutas'!BK566)),"")</f>
        <v>436.90568727272387</v>
      </c>
      <c r="L568" s="788">
        <f>IFERROR(IF(OR(NOT(ISNUMBER('Base de datos Rutas'!K566)),N('Base de datos Rutas'!BK566)=0),"",'Base de datos Rutas'!K566/('Base de datos Rutas'!L566/'Base de datos Rutas'!BK566)),"")</f>
        <v>36.409923134090818</v>
      </c>
      <c r="M568" s="787">
        <f>IF(ISNUMBER('Base de datos Rutas'!AX566),'Base de datos Rutas'!AX566,"")</f>
        <v>221.045295950156</v>
      </c>
      <c r="N568" s="790">
        <f>IFERROR(INDEX('Hoja de apoyo v2'!B$17:B$20,MATCH($A568,'Hoja de apoyo v2'!$A$17:$A$20,0)),"")</f>
        <v>89.41621024641401</v>
      </c>
      <c r="O568" s="791">
        <f>IFERROR(INDEX('Hoja de apoyo v2'!C$17:C$20,MATCH($A568,'Hoja de apoyo v2'!$A$17:$A$20,0)),"")</f>
        <v>0.54706375874806301</v>
      </c>
      <c r="P568" s="793">
        <f>IFERROR(INDEX('Hoja de apoyo v2'!D$17:D$20,MATCH($A568,'Hoja de apoyo v2'!$A$17:$A$20,0)),"")</f>
        <v>11095.153935793827</v>
      </c>
      <c r="Q568" s="793">
        <f>IFERROR(INDEX('Hoja de apoyo v2'!E$17:E$20,MATCH($A568,'Hoja de apoyo v2'!$A$17:$A$20,0)),"")</f>
        <v>6982.3202019701848</v>
      </c>
      <c r="R568" s="793">
        <f>IFERROR(INDEX('Hoja de apoyo v2'!F$17:F$20,MATCH($A568,'Hoja de apoyo v2'!$A$17:$A$20,0)),"")</f>
        <v>448.09513474485743</v>
      </c>
      <c r="S568" s="793">
        <f>IFERROR(INDEX('Hoja de apoyo v2'!G$17:G$20,MATCH($A568,'Hoja de apoyo v2'!$A$17:$A$20,0)),"")</f>
        <v>83.406300904207839</v>
      </c>
      <c r="T568" s="792">
        <f>IFERROR(INDEX('Hoja de apoyo v2'!H$17:H$20,MATCH($A568,'Hoja de apoyo v2'!$A$17:$A$20,0)),"")</f>
        <v>378.97014028925349</v>
      </c>
      <c r="U568" s="794">
        <f t="shared" si="292"/>
        <v>1.0144337132142764</v>
      </c>
      <c r="V568" s="795">
        <f t="shared" si="293"/>
        <v>0.9703276642022497</v>
      </c>
      <c r="W568" s="795">
        <f t="shared" si="294"/>
        <v>0.38497950032057848</v>
      </c>
      <c r="X568" s="843">
        <f t="shared" si="295"/>
        <v>0.91257956423636388</v>
      </c>
      <c r="Y568" s="843">
        <f t="shared" si="296"/>
        <v>0.97502885748022061</v>
      </c>
      <c r="Z568" s="843">
        <f t="shared" si="297"/>
        <v>0.43653684121428216</v>
      </c>
      <c r="AA568" s="843">
        <f t="shared" si="298"/>
        <v>0.58327892477608012</v>
      </c>
      <c r="AB568" s="796">
        <f t="shared" si="299"/>
        <v>4</v>
      </c>
      <c r="AC568" s="797">
        <f t="shared" si="300"/>
        <v>3</v>
      </c>
      <c r="AD568" s="797">
        <f t="shared" si="301"/>
        <v>1</v>
      </c>
      <c r="AE568" s="842">
        <f t="shared" si="302"/>
        <v>3</v>
      </c>
      <c r="AF568" s="842">
        <f t="shared" si="303"/>
        <v>3</v>
      </c>
      <c r="AG568" s="842">
        <f t="shared" si="304"/>
        <v>1</v>
      </c>
      <c r="AH568" s="842">
        <f t="shared" si="305"/>
        <v>2</v>
      </c>
      <c r="AI568" s="826" cm="1">
        <f t="array" ref="AI568">SUMPRODUCT(--ISNUMBER($U568:$AA568),$AB$3:$AH$3)</f>
        <v>1</v>
      </c>
      <c r="AJ568" s="829">
        <f t="shared" si="306"/>
        <v>33.282431863034759</v>
      </c>
      <c r="AK568" s="827" t="str">
        <f t="shared" si="307"/>
        <v>Inmadura</v>
      </c>
      <c r="AL568" s="784" t="str">
        <f t="shared" si="308"/>
        <v>Alta</v>
      </c>
      <c r="AM568" s="799">
        <f>IF(ISNUMBER('Base de datos Rutas'!W566),'Base de datos Rutas'!W566,"")</f>
        <v>3054.2455510167165</v>
      </c>
      <c r="AN568" s="787">
        <f>IFERROR(SUMIFS('Base de datos Rutas'!$W$6:$W$794,'Base de datos Rutas'!$C$6:$C$794,$C568)/'Base de datos Rutas'!I566,"")</f>
        <v>3054.2455510167188</v>
      </c>
      <c r="AO568" s="800">
        <f>IFERROR('Base de datos Rutas'!X566*AN568/AM568,"")</f>
        <v>0.49742199715828644</v>
      </c>
      <c r="AP568" s="800">
        <f t="shared" si="309"/>
        <v>0.5025780028417135</v>
      </c>
      <c r="AQ568" s="789">
        <f>IFERROR(INDEX('Hoja de apoyo v2'!$J$17:$J$20,MATCH($A568,'Hoja de apoyo v2'!$A$17:$A$20,0)),"")</f>
        <v>0.64320274048480885</v>
      </c>
      <c r="AR568" s="789">
        <f t="shared" si="310"/>
        <v>-0.14062473764309535</v>
      </c>
      <c r="AS568" s="784" t="str">
        <f t="shared" si="311"/>
        <v>No</v>
      </c>
      <c r="AT568" s="801">
        <f>IF(ISNUMBER('Base de datos Rutas'!CK566),'Base de datos Rutas'!CK566,"")</f>
        <v>339</v>
      </c>
      <c r="AU568" s="802">
        <f>IF(ISNUMBER('Base de datos Rutas'!CL566),'Base de datos Rutas'!CL566,"")</f>
        <v>339</v>
      </c>
      <c r="AV568" s="802">
        <f>IF(ISNUMBER('Base de datos Rutas'!CM566),'Base de datos Rutas'!CM566,"")</f>
        <v>0</v>
      </c>
      <c r="AW568" s="802">
        <f>IF(ISNUMBER('Base de datos Rutas'!CN566),'Base de datos Rutas'!CN566,"")</f>
        <v>10.28</v>
      </c>
      <c r="AX568" s="802">
        <f>IF(ISNUMBER('Base de datos Rutas'!CO566),'Base de datos Rutas'!CO566,"")</f>
        <v>9.4499999999999993</v>
      </c>
      <c r="AY568" s="802">
        <f>IF(ISNUMBER('Base de datos Rutas'!CP566),'Base de datos Rutas'!CP566,"")</f>
        <v>-0.83000000000000007</v>
      </c>
      <c r="AZ568" s="802">
        <f>IF(ISNUMBER('Base de datos Rutas'!CQ566),'Base de datos Rutas'!CQ566,"")</f>
        <v>846.56</v>
      </c>
      <c r="BA568" s="802">
        <f>IF(ISNUMBER('Base de datos Rutas'!CR566),'Base de datos Rutas'!CR566,"")</f>
        <v>473.32</v>
      </c>
      <c r="BB568" s="803">
        <f>IF(ISNUMBER('Base de datos Rutas'!CS566),'Base de datos Rutas'!CS566,"")</f>
        <v>373.23999999999995</v>
      </c>
      <c r="BC568" s="804">
        <f t="shared" si="321"/>
        <v>2</v>
      </c>
      <c r="BD568" s="805" t="str">
        <f t="shared" si="322"/>
        <v>Saturada</v>
      </c>
      <c r="BE568" s="806">
        <f t="shared" si="323"/>
        <v>0.55910980910980912</v>
      </c>
      <c r="BF568" s="890">
        <f>IF(ISNUMBER('Base de datos Rutas'!CX566),'Base de datos Rutas'!CX566/100,"")</f>
        <v>0.16534229828850855</v>
      </c>
      <c r="BG568" s="891">
        <f>IF(ISNUMBER('Base de datos Rutas'!CZ566),'Base de datos Rutas'!CZ566/100,"")</f>
        <v>0.16534229828850855</v>
      </c>
      <c r="BH568" s="892">
        <f>IF(ISNUMBER('Base de datos Rutas'!DA566),'Base de datos Rutas'!DA566,"")</f>
        <v>25.719312347188264</v>
      </c>
      <c r="BI568" s="893">
        <f>IF(ISNUMBER('Base de datos Rutas'!DC566),'Base de datos Rutas'!DC566,"")</f>
        <v>1.1117909535452324</v>
      </c>
      <c r="BJ568" s="805" t="str">
        <f t="shared" si="324"/>
        <v>Ruta (completo)</v>
      </c>
      <c r="BK568" s="783">
        <f t="shared" si="312"/>
        <v>4</v>
      </c>
      <c r="BL568" s="797">
        <f t="shared" si="313"/>
        <v>4</v>
      </c>
      <c r="BM568" s="797">
        <f t="shared" si="314"/>
        <v>3</v>
      </c>
      <c r="BN568" s="797">
        <f t="shared" si="315"/>
        <v>3</v>
      </c>
      <c r="BO568" s="798" cm="1">
        <f t="array" ref="BO568">SUMPRODUCT(--ISNUMBER($BF568:$BI568),$BK$3:$BN$3)</f>
        <v>1</v>
      </c>
      <c r="BP568" s="831">
        <f t="shared" si="325"/>
        <v>62.5</v>
      </c>
      <c r="BQ568" s="834" t="str">
        <f t="shared" si="326"/>
        <v>Alto</v>
      </c>
      <c r="BR568" s="836">
        <f t="shared" si="316"/>
        <v>49.961823897276069</v>
      </c>
      <c r="BS568" s="836">
        <f t="shared" si="317"/>
        <v>62.5</v>
      </c>
      <c r="BT568" s="837" t="str">
        <f t="shared" si="318"/>
        <v>P1</v>
      </c>
      <c r="BU568" s="807" t="str">
        <f t="shared" si="327"/>
        <v>Al tope</v>
      </c>
      <c r="BV568" s="807" t="str">
        <f t="shared" si="319"/>
        <v>Zona atractiva</v>
      </c>
      <c r="BW568" s="808" t="str">
        <f t="shared" si="320"/>
        <v>P1 - Ampliar cobertura</v>
      </c>
    </row>
    <row r="569" spans="1:75">
      <c r="A569" s="780" t="str">
        <f>'Base de datos Rutas'!A567</f>
        <v>Occidente</v>
      </c>
      <c r="B569" s="781" t="str">
        <f>'Base de datos Rutas'!B567</f>
        <v>Favorita</v>
      </c>
      <c r="C569" s="781" t="str">
        <f>'Base de datos Rutas'!C567</f>
        <v>Suc. San Rafael</v>
      </c>
      <c r="D569" s="782">
        <f>IF(ISNUMBER('Base de datos Rutas'!D567),'Base de datos Rutas'!D567,"Sin código")</f>
        <v>803424</v>
      </c>
      <c r="E569" s="783" t="str">
        <f>'Base de datos Rutas'!F567</f>
        <v>Inactiva</v>
      </c>
      <c r="F569" s="784" t="str">
        <f>'Base de datos Rutas'!H567</f>
        <v>No</v>
      </c>
      <c r="G569" s="785" t="str">
        <f>IF(ISNUMBER('Base de datos Rutas'!BE567),'Base de datos Rutas'!BE567,"")</f>
        <v/>
      </c>
      <c r="H569" s="786" t="str">
        <f>IF(ISNUMBER('Base de datos Rutas'!BH567),'Base de datos Rutas'!BH567,"")</f>
        <v/>
      </c>
      <c r="I569" s="788" t="str">
        <f>IFERROR(IF(OR(NOT(ISNUMBER('Base de datos Rutas'!O567)),N('Base de datos Rutas'!BK567)=0),"",'Base de datos Rutas'!O567/('Base de datos Rutas'!L567/'Base de datos Rutas'!BK567)),"")</f>
        <v/>
      </c>
      <c r="J569" s="788" t="str">
        <f>IFERROR(IF(OR(NOT(ISNUMBER('Base de datos Rutas'!N567)),N('Base de datos Rutas'!BK567)=0),"",'Base de datos Rutas'!N567/('Base de datos Rutas'!L567/'Base de datos Rutas'!BK567)),"")</f>
        <v/>
      </c>
      <c r="K569" s="788" t="str">
        <f>IFERROR(IF(OR(NOT(ISNUMBER('Base de datos Rutas'!J567)),N('Base de datos Rutas'!BK567)=0),"",'Base de datos Rutas'!J567/('Base de datos Rutas'!L567/'Base de datos Rutas'!BK567)),"")</f>
        <v/>
      </c>
      <c r="L569" s="788" t="str">
        <f>IFERROR(IF(OR(NOT(ISNUMBER('Base de datos Rutas'!K567)),N('Base de datos Rutas'!BK567)=0),"",'Base de datos Rutas'!K567/('Base de datos Rutas'!L567/'Base de datos Rutas'!BK567)),"")</f>
        <v/>
      </c>
      <c r="M569" s="787">
        <f>IF(ISNUMBER('Base de datos Rutas'!AX567),'Base de datos Rutas'!AX567,"")</f>
        <v>50</v>
      </c>
      <c r="N569" s="790">
        <f>IFERROR(INDEX('Hoja de apoyo v2'!B$17:B$20,MATCH($A569,'Hoja de apoyo v2'!$A$17:$A$20,0)),"")</f>
        <v>89.41621024641401</v>
      </c>
      <c r="O569" s="791">
        <f>IFERROR(INDEX('Hoja de apoyo v2'!C$17:C$20,MATCH($A569,'Hoja de apoyo v2'!$A$17:$A$20,0)),"")</f>
        <v>0.54706375874806301</v>
      </c>
      <c r="P569" s="793">
        <f>IFERROR(INDEX('Hoja de apoyo v2'!D$17:D$20,MATCH($A569,'Hoja de apoyo v2'!$A$17:$A$20,0)),"")</f>
        <v>11095.153935793827</v>
      </c>
      <c r="Q569" s="793">
        <f>IFERROR(INDEX('Hoja de apoyo v2'!E$17:E$20,MATCH($A569,'Hoja de apoyo v2'!$A$17:$A$20,0)),"")</f>
        <v>6982.3202019701848</v>
      </c>
      <c r="R569" s="793">
        <f>IFERROR(INDEX('Hoja de apoyo v2'!F$17:F$20,MATCH($A569,'Hoja de apoyo v2'!$A$17:$A$20,0)),"")</f>
        <v>448.09513474485743</v>
      </c>
      <c r="S569" s="793">
        <f>IFERROR(INDEX('Hoja de apoyo v2'!G$17:G$20,MATCH($A569,'Hoja de apoyo v2'!$A$17:$A$20,0)),"")</f>
        <v>83.406300904207839</v>
      </c>
      <c r="T569" s="792">
        <f>IFERROR(INDEX('Hoja de apoyo v2'!H$17:H$20,MATCH($A569,'Hoja de apoyo v2'!$A$17:$A$20,0)),"")</f>
        <v>378.97014028925349</v>
      </c>
      <c r="U569" s="794" t="str">
        <f t="shared" si="292"/>
        <v/>
      </c>
      <c r="V569" s="795" t="str">
        <f t="shared" si="293"/>
        <v/>
      </c>
      <c r="W569" s="795" t="str">
        <f t="shared" si="294"/>
        <v/>
      </c>
      <c r="X569" s="843" t="str">
        <f t="shared" si="295"/>
        <v/>
      </c>
      <c r="Y569" s="843" t="str">
        <f t="shared" si="296"/>
        <v/>
      </c>
      <c r="Z569" s="843" t="str">
        <f t="shared" si="297"/>
        <v/>
      </c>
      <c r="AA569" s="843">
        <f t="shared" si="298"/>
        <v>0.13193651605859211</v>
      </c>
      <c r="AB569" s="796">
        <f t="shared" si="299"/>
        <v>0</v>
      </c>
      <c r="AC569" s="797">
        <f t="shared" si="300"/>
        <v>0</v>
      </c>
      <c r="AD569" s="797">
        <f t="shared" si="301"/>
        <v>0</v>
      </c>
      <c r="AE569" s="842">
        <f t="shared" si="302"/>
        <v>0</v>
      </c>
      <c r="AF569" s="842">
        <f t="shared" si="303"/>
        <v>0</v>
      </c>
      <c r="AG569" s="842">
        <f t="shared" si="304"/>
        <v>0</v>
      </c>
      <c r="AH569" s="842">
        <f t="shared" si="305"/>
        <v>1</v>
      </c>
      <c r="AI569" s="826" cm="1">
        <f t="array" ref="AI569">SUMPRODUCT(--ISNUMBER($U569:$AA569),$AB$3:$AH$3)</f>
        <v>8.9789113613062493E-2</v>
      </c>
      <c r="AJ569" s="829" t="str">
        <f t="shared" si="306"/>
        <v/>
      </c>
      <c r="AK569" s="827" t="str">
        <f t="shared" si="307"/>
        <v>Ruta inactiva</v>
      </c>
      <c r="AL569" s="784" t="str">
        <f t="shared" si="308"/>
        <v>n/a</v>
      </c>
      <c r="AM569" s="799">
        <f>IF(ISNUMBER('Base de datos Rutas'!W567),'Base de datos Rutas'!W567,"")</f>
        <v>3054.2455510167165</v>
      </c>
      <c r="AN569" s="787">
        <f>IFERROR(SUMIFS('Base de datos Rutas'!$W$6:$W$794,'Base de datos Rutas'!$C$6:$C$794,$C569)/'Base de datos Rutas'!I567,"")</f>
        <v>3054.2455510167188</v>
      </c>
      <c r="AO569" s="800">
        <f>IFERROR('Base de datos Rutas'!X567*AN569/AM569,"")</f>
        <v>0.49742199715828644</v>
      </c>
      <c r="AP569" s="800">
        <f t="shared" si="309"/>
        <v>0.5025780028417135</v>
      </c>
      <c r="AQ569" s="789">
        <f>IFERROR(INDEX('Hoja de apoyo v2'!$J$17:$J$20,MATCH($A569,'Hoja de apoyo v2'!$A$17:$A$20,0)),"")</f>
        <v>0.64320274048480885</v>
      </c>
      <c r="AR569" s="789">
        <f t="shared" si="310"/>
        <v>-0.14062473764309535</v>
      </c>
      <c r="AS569" s="784" t="str">
        <f t="shared" si="311"/>
        <v>No</v>
      </c>
      <c r="AT569" s="801" t="str">
        <f>IF(ISNUMBER('Base de datos Rutas'!CK567),'Base de datos Rutas'!CK567,"")</f>
        <v/>
      </c>
      <c r="AU569" s="802" t="str">
        <f>IF(ISNUMBER('Base de datos Rutas'!CL567),'Base de datos Rutas'!CL567,"")</f>
        <v/>
      </c>
      <c r="AV569" s="802">
        <f>IF(ISNUMBER('Base de datos Rutas'!CM567),'Base de datos Rutas'!CM567,"")</f>
        <v>0</v>
      </c>
      <c r="AW569" s="802" t="str">
        <f>IF(ISNUMBER('Base de datos Rutas'!CN567),'Base de datos Rutas'!CN567,"")</f>
        <v/>
      </c>
      <c r="AX569" s="802" t="str">
        <f>IF(ISNUMBER('Base de datos Rutas'!CO567),'Base de datos Rutas'!CO567,"")</f>
        <v/>
      </c>
      <c r="AY569" s="802">
        <f>IF(ISNUMBER('Base de datos Rutas'!CP567),'Base de datos Rutas'!CP567,"")</f>
        <v>0</v>
      </c>
      <c r="AZ569" s="802" t="str">
        <f>IF(ISNUMBER('Base de datos Rutas'!CQ567),'Base de datos Rutas'!CQ567,"")</f>
        <v/>
      </c>
      <c r="BA569" s="802" t="str">
        <f>IF(ISNUMBER('Base de datos Rutas'!CR567),'Base de datos Rutas'!CR567,"")</f>
        <v/>
      </c>
      <c r="BB569" s="803">
        <f>IF(ISNUMBER('Base de datos Rutas'!CS567),'Base de datos Rutas'!CS567,"")</f>
        <v>0</v>
      </c>
      <c r="BC569" s="804" t="str">
        <f t="shared" si="321"/>
        <v/>
      </c>
      <c r="BD569" s="805" t="str">
        <f t="shared" si="322"/>
        <v>N/D</v>
      </c>
      <c r="BE569" s="806" t="str">
        <f t="shared" si="323"/>
        <v/>
      </c>
      <c r="BF569" s="890" t="str">
        <f>IF(ISNUMBER('Base de datos Rutas'!CX567),'Base de datos Rutas'!CX567/100,"")</f>
        <v/>
      </c>
      <c r="BG569" s="891" t="str">
        <f>IF(ISNUMBER('Base de datos Rutas'!CZ567),'Base de datos Rutas'!CZ567/100,"")</f>
        <v/>
      </c>
      <c r="BH569" s="892" t="str">
        <f>IF(ISNUMBER('Base de datos Rutas'!DA567),'Base de datos Rutas'!DA567,"")</f>
        <v/>
      </c>
      <c r="BI569" s="893" t="str">
        <f>IF(ISNUMBER('Base de datos Rutas'!DC567),'Base de datos Rutas'!DC567,"")</f>
        <v/>
      </c>
      <c r="BJ569" s="805" t="str">
        <f t="shared" si="324"/>
        <v>Sin dato</v>
      </c>
      <c r="BK569" s="783">
        <f t="shared" si="312"/>
        <v>0</v>
      </c>
      <c r="BL569" s="797">
        <f t="shared" si="313"/>
        <v>0</v>
      </c>
      <c r="BM569" s="797">
        <f t="shared" si="314"/>
        <v>0</v>
      </c>
      <c r="BN569" s="797">
        <f t="shared" si="315"/>
        <v>0</v>
      </c>
      <c r="BO569" s="798" cm="1">
        <f t="array" ref="BO569">SUMPRODUCT(--ISNUMBER($BF569:$BI569),$BK$3:$BN$3)</f>
        <v>0</v>
      </c>
      <c r="BP569" s="831" t="str">
        <f t="shared" si="325"/>
        <v/>
      </c>
      <c r="BQ569" s="834" t="str">
        <f t="shared" si="326"/>
        <v>Sin datos</v>
      </c>
      <c r="BR569" s="836" t="str">
        <f t="shared" si="316"/>
        <v/>
      </c>
      <c r="BS569" s="836" t="str">
        <f t="shared" si="317"/>
        <v/>
      </c>
      <c r="BT569" s="837" t="str">
        <f t="shared" si="318"/>
        <v>Sin datos</v>
      </c>
      <c r="BU569" s="807" t="str">
        <f t="shared" si="327"/>
        <v>No evaluable</v>
      </c>
      <c r="BV569" s="807" t="str">
        <f t="shared" si="319"/>
        <v>No evaluable</v>
      </c>
      <c r="BW569" s="808" t="str">
        <f t="shared" si="320"/>
        <v>Sin datos</v>
      </c>
    </row>
    <row r="570" spans="1:75">
      <c r="A570" s="780" t="str">
        <f>'Base de datos Rutas'!A568</f>
        <v>Occidente</v>
      </c>
      <c r="B570" s="781" t="str">
        <f>'Base de datos Rutas'!B568</f>
        <v>Favorita</v>
      </c>
      <c r="C570" s="781" t="str">
        <f>'Base de datos Rutas'!C568</f>
        <v>Suc. Santa Maria</v>
      </c>
      <c r="D570" s="782">
        <f>IF(ISNUMBER('Base de datos Rutas'!D568),'Base de datos Rutas'!D568,"Sin código")</f>
        <v>809320</v>
      </c>
      <c r="E570" s="783" t="str">
        <f>'Base de datos Rutas'!F568</f>
        <v>Activa</v>
      </c>
      <c r="F570" s="784" t="str">
        <f>'Base de datos Rutas'!H568</f>
        <v>Sí</v>
      </c>
      <c r="G570" s="785">
        <f>IF(ISNUMBER('Base de datos Rutas'!BE568),'Base de datos Rutas'!BE568,"")</f>
        <v>86.022624434389101</v>
      </c>
      <c r="H570" s="786">
        <f>IF(ISNUMBER('Base de datos Rutas'!BH568),'Base de datos Rutas'!BH568,"")</f>
        <v>0.45315869759612898</v>
      </c>
      <c r="I570" s="788">
        <f>IFERROR(IF(OR(NOT(ISNUMBER('Base de datos Rutas'!O568)),N('Base de datos Rutas'!BK568)=0),"",'Base de datos Rutas'!O568/('Base de datos Rutas'!L568/'Base de datos Rutas'!BK568)),"")</f>
        <v>8028.2330316742054</v>
      </c>
      <c r="J570" s="788">
        <f>IFERROR(IF(OR(NOT(ISNUMBER('Base de datos Rutas'!N568)),N('Base de datos Rutas'!BK568)=0),"",'Base de datos Rutas'!N568/('Base de datos Rutas'!L568/'Base de datos Rutas'!BK568)),"")</f>
        <v>7665.8009049773727</v>
      </c>
      <c r="K570" s="788">
        <f>IFERROR(IF(OR(NOT(ISNUMBER('Base de datos Rutas'!J568)),N('Base de datos Rutas'!BK568)=0),"",'Base de datos Rutas'!J568/('Base de datos Rutas'!L568/'Base de datos Rutas'!BK568)),"")</f>
        <v>525.77796923076903</v>
      </c>
      <c r="L570" s="788">
        <f>IFERROR(IF(OR(NOT(ISNUMBER('Base de datos Rutas'!K568)),N('Base de datos Rutas'!BK568)=0),"",'Base de datos Rutas'!K568/('Base de datos Rutas'!L568/'Base de datos Rutas'!BK568)),"")</f>
        <v>53.242693316742056</v>
      </c>
      <c r="M570" s="787">
        <f>IF(ISNUMBER('Base de datos Rutas'!AX568),'Base de datos Rutas'!AX568,"")</f>
        <v>402.59801683110902</v>
      </c>
      <c r="N570" s="790">
        <f>IFERROR(INDEX('Hoja de apoyo v2'!B$17:B$20,MATCH($A570,'Hoja de apoyo v2'!$A$17:$A$20,0)),"")</f>
        <v>89.41621024641401</v>
      </c>
      <c r="O570" s="791">
        <f>IFERROR(INDEX('Hoja de apoyo v2'!C$17:C$20,MATCH($A570,'Hoja de apoyo v2'!$A$17:$A$20,0)),"")</f>
        <v>0.54706375874806301</v>
      </c>
      <c r="P570" s="793">
        <f>IFERROR(INDEX('Hoja de apoyo v2'!D$17:D$20,MATCH($A570,'Hoja de apoyo v2'!$A$17:$A$20,0)),"")</f>
        <v>11095.153935793827</v>
      </c>
      <c r="Q570" s="793">
        <f>IFERROR(INDEX('Hoja de apoyo v2'!E$17:E$20,MATCH($A570,'Hoja de apoyo v2'!$A$17:$A$20,0)),"")</f>
        <v>6982.3202019701848</v>
      </c>
      <c r="R570" s="793">
        <f>IFERROR(INDEX('Hoja de apoyo v2'!F$17:F$20,MATCH($A570,'Hoja de apoyo v2'!$A$17:$A$20,0)),"")</f>
        <v>448.09513474485743</v>
      </c>
      <c r="S570" s="793">
        <f>IFERROR(INDEX('Hoja de apoyo v2'!G$17:G$20,MATCH($A570,'Hoja de apoyo v2'!$A$17:$A$20,0)),"")</f>
        <v>83.406300904207839</v>
      </c>
      <c r="T570" s="792">
        <f>IFERROR(INDEX('Hoja de apoyo v2'!H$17:H$20,MATCH($A570,'Hoja de apoyo v2'!$A$17:$A$20,0)),"")</f>
        <v>378.97014028925349</v>
      </c>
      <c r="U570" s="794">
        <f t="shared" si="292"/>
        <v>0.96204730884173195</v>
      </c>
      <c r="V570" s="795">
        <f t="shared" si="293"/>
        <v>0.82834713568518481</v>
      </c>
      <c r="W570" s="795">
        <f t="shared" si="294"/>
        <v>0.72358013941334365</v>
      </c>
      <c r="X570" s="843">
        <f t="shared" si="295"/>
        <v>1.0978873330407179</v>
      </c>
      <c r="Y570" s="843">
        <f t="shared" si="296"/>
        <v>1.1733623698684961</v>
      </c>
      <c r="Z570" s="843">
        <f t="shared" si="297"/>
        <v>0.6383533706631026</v>
      </c>
      <c r="AA570" s="843">
        <f t="shared" si="298"/>
        <v>1.0623475942558991</v>
      </c>
      <c r="AB570" s="796">
        <f t="shared" si="299"/>
        <v>3</v>
      </c>
      <c r="AC570" s="797">
        <f t="shared" si="300"/>
        <v>3</v>
      </c>
      <c r="AD570" s="797">
        <f t="shared" si="301"/>
        <v>2</v>
      </c>
      <c r="AE570" s="842">
        <f t="shared" si="302"/>
        <v>4</v>
      </c>
      <c r="AF570" s="842">
        <f t="shared" si="303"/>
        <v>4</v>
      </c>
      <c r="AG570" s="842">
        <f t="shared" si="304"/>
        <v>2</v>
      </c>
      <c r="AH570" s="842">
        <f t="shared" si="305"/>
        <v>4</v>
      </c>
      <c r="AI570" s="826" cm="1">
        <f t="array" ref="AI570">SUMPRODUCT(--ISNUMBER($U570:$AA570),$AB$3:$AH$3)</f>
        <v>1</v>
      </c>
      <c r="AJ570" s="829">
        <f t="shared" si="306"/>
        <v>49.076981761197338</v>
      </c>
      <c r="AK570" s="827" t="str">
        <f t="shared" si="307"/>
        <v>En desarrollo</v>
      </c>
      <c r="AL570" s="784" t="str">
        <f t="shared" si="308"/>
        <v>Alta</v>
      </c>
      <c r="AM570" s="799">
        <f>IF(ISNUMBER('Base de datos Rutas'!W568),'Base de datos Rutas'!W568,"")</f>
        <v>3293.1144020900269</v>
      </c>
      <c r="AN570" s="787">
        <f>IFERROR(SUMIFS('Base de datos Rutas'!$W$6:$W$794,'Base de datos Rutas'!$C$6:$C$794,$C570)/'Base de datos Rutas'!I568,"")</f>
        <v>3293.1144020900251</v>
      </c>
      <c r="AO570" s="800">
        <f>IFERROR('Base de datos Rutas'!X568*AN570/AM570,"")</f>
        <v>0.47791232590402694</v>
      </c>
      <c r="AP570" s="800">
        <f t="shared" si="309"/>
        <v>0.52208767409597301</v>
      </c>
      <c r="AQ570" s="789">
        <f>IFERROR(INDEX('Hoja de apoyo v2'!$J$17:$J$20,MATCH($A570,'Hoja de apoyo v2'!$A$17:$A$20,0)),"")</f>
        <v>0.64320274048480885</v>
      </c>
      <c r="AR570" s="789">
        <f t="shared" si="310"/>
        <v>-0.12111506638883585</v>
      </c>
      <c r="AS570" s="784" t="str">
        <f t="shared" si="311"/>
        <v>No</v>
      </c>
      <c r="AT570" s="801">
        <f>IF(ISNUMBER('Base de datos Rutas'!CK568),'Base de datos Rutas'!CK568,"")</f>
        <v>291</v>
      </c>
      <c r="AU570" s="802">
        <f>IF(ISNUMBER('Base de datos Rutas'!CL568),'Base de datos Rutas'!CL568,"")</f>
        <v>505.64</v>
      </c>
      <c r="AV570" s="802">
        <f>IF(ISNUMBER('Base de datos Rutas'!CM568),'Base de datos Rutas'!CM568,"")</f>
        <v>214.64</v>
      </c>
      <c r="AW570" s="802">
        <f>IF(ISNUMBER('Base de datos Rutas'!CN568),'Base de datos Rutas'!CN568,"")</f>
        <v>4.0999999999999996</v>
      </c>
      <c r="AX570" s="802">
        <f>IF(ISNUMBER('Base de datos Rutas'!CO568),'Base de datos Rutas'!CO568,"")</f>
        <v>9.4499999999999993</v>
      </c>
      <c r="AY570" s="802">
        <f>IF(ISNUMBER('Base de datos Rutas'!CP568),'Base de datos Rutas'!CP568,"")</f>
        <v>5.35</v>
      </c>
      <c r="AZ570" s="802">
        <f>IF(ISNUMBER('Base de datos Rutas'!CQ568),'Base de datos Rutas'!CQ568,"")</f>
        <v>846.56</v>
      </c>
      <c r="BA570" s="802">
        <f>IF(ISNUMBER('Base de datos Rutas'!CR568),'Base de datos Rutas'!CR568,"")</f>
        <v>579.02</v>
      </c>
      <c r="BB570" s="803">
        <f>IF(ISNUMBER('Base de datos Rutas'!CS568),'Base de datos Rutas'!CS568,"")</f>
        <v>267.53999999999996</v>
      </c>
      <c r="BC570" s="804">
        <f t="shared" si="321"/>
        <v>0</v>
      </c>
      <c r="BD570" s="805" t="str">
        <f t="shared" si="322"/>
        <v>No saturada</v>
      </c>
      <c r="BE570" s="806">
        <f t="shared" si="323"/>
        <v>0.68396805896805901</v>
      </c>
      <c r="BF570" s="890">
        <f>IF(ISNUMBER('Base de datos Rutas'!CX568),'Base de datos Rutas'!CX568/100,"")</f>
        <v>0.84435097897026845</v>
      </c>
      <c r="BG570" s="891">
        <f>IF(ISNUMBER('Base de datos Rutas'!CZ568),'Base de datos Rutas'!CZ568/100,"")</f>
        <v>1</v>
      </c>
      <c r="BH570" s="892">
        <f>IF(ISNUMBER('Base de datos Rutas'!DA568),'Base de datos Rutas'!DA568,"")</f>
        <v>2268.4133744132932</v>
      </c>
      <c r="BI570" s="893">
        <f>IF(ISNUMBER('Base de datos Rutas'!DC568),'Base de datos Rutas'!DC568,"")</f>
        <v>84.854383675108565</v>
      </c>
      <c r="BJ570" s="805" t="str">
        <f t="shared" si="324"/>
        <v>Ruta (completo)</v>
      </c>
      <c r="BK570" s="783">
        <f t="shared" si="312"/>
        <v>3</v>
      </c>
      <c r="BL570" s="797">
        <f t="shared" si="313"/>
        <v>3</v>
      </c>
      <c r="BM570" s="797">
        <f t="shared" si="314"/>
        <v>5</v>
      </c>
      <c r="BN570" s="797">
        <f t="shared" si="315"/>
        <v>5</v>
      </c>
      <c r="BO570" s="798" cm="1">
        <f t="array" ref="BO570">SUMPRODUCT(--ISNUMBER($BF570:$BI570),$BK$3:$BN$3)</f>
        <v>1</v>
      </c>
      <c r="BP570" s="831">
        <f t="shared" si="325"/>
        <v>75</v>
      </c>
      <c r="BQ570" s="834" t="str">
        <f t="shared" si="326"/>
        <v>Alto</v>
      </c>
      <c r="BR570" s="836">
        <f t="shared" si="316"/>
        <v>36.807736320898002</v>
      </c>
      <c r="BS570" s="836">
        <f t="shared" si="317"/>
        <v>75</v>
      </c>
      <c r="BT570" s="837" t="str">
        <f t="shared" si="318"/>
        <v>P1</v>
      </c>
      <c r="BU570" s="807" t="str">
        <f t="shared" si="327"/>
        <v>Con espacio</v>
      </c>
      <c r="BV570" s="807" t="str">
        <f t="shared" si="319"/>
        <v>Zona atractiva</v>
      </c>
      <c r="BW570" s="808" t="str">
        <f t="shared" si="320"/>
        <v>P1 - Ampliar cobertura</v>
      </c>
    </row>
    <row r="571" spans="1:75">
      <c r="A571" s="780" t="str">
        <f>'Base de datos Rutas'!A569</f>
        <v>Occidente</v>
      </c>
      <c r="B571" s="781" t="str">
        <f>'Base de datos Rutas'!B569</f>
        <v>Favorita</v>
      </c>
      <c r="C571" s="781" t="str">
        <f>'Base de datos Rutas'!C569</f>
        <v>Suc. Santa Maria</v>
      </c>
      <c r="D571" s="782">
        <f>IF(ISNUMBER('Base de datos Rutas'!D569),'Base de datos Rutas'!D569,"Sin código")</f>
        <v>809321</v>
      </c>
      <c r="E571" s="783" t="str">
        <f>'Base de datos Rutas'!F569</f>
        <v>Activa</v>
      </c>
      <c r="F571" s="784" t="str">
        <f>'Base de datos Rutas'!H569</f>
        <v>Sí</v>
      </c>
      <c r="G571" s="785">
        <f>IF(ISNUMBER('Base de datos Rutas'!BE569),'Base de datos Rutas'!BE569,"")</f>
        <v>79.662844036697294</v>
      </c>
      <c r="H571" s="786">
        <f>IF(ISNUMBER('Base de datos Rutas'!BH569),'Base de datos Rutas'!BH569,"")</f>
        <v>0.50643480263726104</v>
      </c>
      <c r="I571" s="788">
        <f>IFERROR(IF(OR(NOT(ISNUMBER('Base de datos Rutas'!O569)),N('Base de datos Rutas'!BK569)=0),"",'Base de datos Rutas'!O569/('Base de datos Rutas'!L569/'Base de datos Rutas'!BK569)),"")</f>
        <v>5730.9977064220056</v>
      </c>
      <c r="J571" s="788">
        <f>IFERROR(IF(OR(NOT(ISNUMBER('Base de datos Rutas'!N569)),N('Base de datos Rutas'!BK569)=0),"",'Base de datos Rutas'!N569/('Base de datos Rutas'!L569/'Base de datos Rutas'!BK569)),"")</f>
        <v>7923.8073394495241</v>
      </c>
      <c r="K571" s="788">
        <f>IFERROR(IF(OR(NOT(ISNUMBER('Base de datos Rutas'!J569)),N('Base de datos Rutas'!BK569)=0),"",'Base de datos Rutas'!J569/('Base de datos Rutas'!L569/'Base de datos Rutas'!BK569)),"")</f>
        <v>539.03222568807223</v>
      </c>
      <c r="L571" s="788">
        <f>IFERROR(IF(OR(NOT(ISNUMBER('Base de datos Rutas'!K569)),N('Base de datos Rutas'!BK569)=0),"",'Base de datos Rutas'!K569/('Base de datos Rutas'!L569/'Base de datos Rutas'!BK569)),"")</f>
        <v>35.485754245412764</v>
      </c>
      <c r="M571" s="787">
        <f>IF(ISNUMBER('Base de datos Rutas'!AX569),'Base de datos Rutas'!AX569,"")</f>
        <v>338.45897782831202</v>
      </c>
      <c r="N571" s="790">
        <f>IFERROR(INDEX('Hoja de apoyo v2'!B$17:B$20,MATCH($A571,'Hoja de apoyo v2'!$A$17:$A$20,0)),"")</f>
        <v>89.41621024641401</v>
      </c>
      <c r="O571" s="791">
        <f>IFERROR(INDEX('Hoja de apoyo v2'!C$17:C$20,MATCH($A571,'Hoja de apoyo v2'!$A$17:$A$20,0)),"")</f>
        <v>0.54706375874806301</v>
      </c>
      <c r="P571" s="793">
        <f>IFERROR(INDEX('Hoja de apoyo v2'!D$17:D$20,MATCH($A571,'Hoja de apoyo v2'!$A$17:$A$20,0)),"")</f>
        <v>11095.153935793827</v>
      </c>
      <c r="Q571" s="793">
        <f>IFERROR(INDEX('Hoja de apoyo v2'!E$17:E$20,MATCH($A571,'Hoja de apoyo v2'!$A$17:$A$20,0)),"")</f>
        <v>6982.3202019701848</v>
      </c>
      <c r="R571" s="793">
        <f>IFERROR(INDEX('Hoja de apoyo v2'!F$17:F$20,MATCH($A571,'Hoja de apoyo v2'!$A$17:$A$20,0)),"")</f>
        <v>448.09513474485743</v>
      </c>
      <c r="S571" s="793">
        <f>IFERROR(INDEX('Hoja de apoyo v2'!G$17:G$20,MATCH($A571,'Hoja de apoyo v2'!$A$17:$A$20,0)),"")</f>
        <v>83.406300904207839</v>
      </c>
      <c r="T571" s="792">
        <f>IFERROR(INDEX('Hoja de apoyo v2'!H$17:H$20,MATCH($A571,'Hoja de apoyo v2'!$A$17:$A$20,0)),"")</f>
        <v>378.97014028925349</v>
      </c>
      <c r="U571" s="794">
        <f t="shared" si="292"/>
        <v>0.89092172232710043</v>
      </c>
      <c r="V571" s="795">
        <f t="shared" si="293"/>
        <v>0.92573268570416734</v>
      </c>
      <c r="W571" s="795">
        <f t="shared" si="294"/>
        <v>0.51653160826668321</v>
      </c>
      <c r="X571" s="843">
        <f t="shared" si="295"/>
        <v>1.1348387226947401</v>
      </c>
      <c r="Y571" s="843">
        <f t="shared" si="296"/>
        <v>1.2029414824934304</v>
      </c>
      <c r="Z571" s="843">
        <f t="shared" si="297"/>
        <v>0.42545651660260253</v>
      </c>
      <c r="AA571" s="843">
        <f t="shared" si="298"/>
        <v>0.89310196726839519</v>
      </c>
      <c r="AB571" s="796">
        <f t="shared" si="299"/>
        <v>3</v>
      </c>
      <c r="AC571" s="797">
        <f t="shared" si="300"/>
        <v>3</v>
      </c>
      <c r="AD571" s="797">
        <f t="shared" si="301"/>
        <v>2</v>
      </c>
      <c r="AE571" s="842">
        <f t="shared" si="302"/>
        <v>4</v>
      </c>
      <c r="AF571" s="842">
        <f t="shared" si="303"/>
        <v>4</v>
      </c>
      <c r="AG571" s="842">
        <f t="shared" si="304"/>
        <v>1</v>
      </c>
      <c r="AH571" s="842">
        <f t="shared" si="305"/>
        <v>3</v>
      </c>
      <c r="AI571" s="826" cm="1">
        <f t="array" ref="AI571">SUMPRODUCT(--ISNUMBER($U571:$AA571),$AB$3:$AH$3)</f>
        <v>1</v>
      </c>
      <c r="AJ571" s="829">
        <f t="shared" si="306"/>
        <v>42.443187152811078</v>
      </c>
      <c r="AK571" s="827" t="str">
        <f t="shared" si="307"/>
        <v>Inmadura</v>
      </c>
      <c r="AL571" s="784" t="str">
        <f t="shared" si="308"/>
        <v>Alta</v>
      </c>
      <c r="AM571" s="799">
        <f>IF(ISNUMBER('Base de datos Rutas'!W569),'Base de datos Rutas'!W569,"")</f>
        <v>3293.1144020900269</v>
      </c>
      <c r="AN571" s="787">
        <f>IFERROR(SUMIFS('Base de datos Rutas'!$W$6:$W$794,'Base de datos Rutas'!$C$6:$C$794,$C571)/'Base de datos Rutas'!I569,"")</f>
        <v>3293.1144020900251</v>
      </c>
      <c r="AO571" s="800">
        <f>IFERROR('Base de datos Rutas'!X569*AN571/AM571,"")</f>
        <v>0.47791232590402694</v>
      </c>
      <c r="AP571" s="800">
        <f t="shared" si="309"/>
        <v>0.52208767409597301</v>
      </c>
      <c r="AQ571" s="789">
        <f>IFERROR(INDEX('Hoja de apoyo v2'!$J$17:$J$20,MATCH($A571,'Hoja de apoyo v2'!$A$17:$A$20,0)),"")</f>
        <v>0.64320274048480885</v>
      </c>
      <c r="AR571" s="789">
        <f t="shared" si="310"/>
        <v>-0.12111506638883585</v>
      </c>
      <c r="AS571" s="784" t="str">
        <f t="shared" si="311"/>
        <v>No</v>
      </c>
      <c r="AT571" s="801">
        <f>IF(ISNUMBER('Base de datos Rutas'!CK569),'Base de datos Rutas'!CK569,"")</f>
        <v>301</v>
      </c>
      <c r="AU571" s="802">
        <f>IF(ISNUMBER('Base de datos Rutas'!CL569),'Base de datos Rutas'!CL569,"")</f>
        <v>345.79</v>
      </c>
      <c r="AV571" s="802">
        <f>IF(ISNUMBER('Base de datos Rutas'!CM569),'Base de datos Rutas'!CM569,"")</f>
        <v>44.79000000000002</v>
      </c>
      <c r="AW571" s="802">
        <f>IF(ISNUMBER('Base de datos Rutas'!CN569),'Base de datos Rutas'!CN569,"")</f>
        <v>9.02</v>
      </c>
      <c r="AX571" s="802">
        <f>IF(ISNUMBER('Base de datos Rutas'!CO569),'Base de datos Rutas'!CO569,"")</f>
        <v>9.4499999999999993</v>
      </c>
      <c r="AY571" s="802">
        <f>IF(ISNUMBER('Base de datos Rutas'!CP569),'Base de datos Rutas'!CP569,"")</f>
        <v>0.42999999999999972</v>
      </c>
      <c r="AZ571" s="802">
        <f>IF(ISNUMBER('Base de datos Rutas'!CQ569),'Base de datos Rutas'!CQ569,"")</f>
        <v>846.56</v>
      </c>
      <c r="BA571" s="802">
        <f>IF(ISNUMBER('Base de datos Rutas'!CR569),'Base de datos Rutas'!CR569,"")</f>
        <v>574.52</v>
      </c>
      <c r="BB571" s="803">
        <f>IF(ISNUMBER('Base de datos Rutas'!CS569),'Base de datos Rutas'!CS569,"")</f>
        <v>272.03999999999996</v>
      </c>
      <c r="BC571" s="804">
        <f t="shared" si="321"/>
        <v>0</v>
      </c>
      <c r="BD571" s="805" t="str">
        <f t="shared" si="322"/>
        <v>No saturada</v>
      </c>
      <c r="BE571" s="806">
        <f t="shared" si="323"/>
        <v>0.6786524286524287</v>
      </c>
      <c r="BF571" s="890">
        <f>IF(ISNUMBER('Base de datos Rutas'!CX569),'Base de datos Rutas'!CX569/100,"")</f>
        <v>0.97110322580645159</v>
      </c>
      <c r="BG571" s="891">
        <f>IF(ISNUMBER('Base de datos Rutas'!CZ569),'Base de datos Rutas'!CZ569/100,"")</f>
        <v>1</v>
      </c>
      <c r="BH571" s="892">
        <f>IF(ISNUMBER('Base de datos Rutas'!DA569),'Base de datos Rutas'!DA569,"")</f>
        <v>780.86835884348409</v>
      </c>
      <c r="BI571" s="893">
        <f>IF(ISNUMBER('Base de datos Rutas'!DC569),'Base de datos Rutas'!DC569,"")</f>
        <v>27.907536415452821</v>
      </c>
      <c r="BJ571" s="805" t="str">
        <f t="shared" si="324"/>
        <v>Ruta (completo)</v>
      </c>
      <c r="BK571" s="783">
        <f t="shared" si="312"/>
        <v>5</v>
      </c>
      <c r="BL571" s="797">
        <f t="shared" si="313"/>
        <v>3</v>
      </c>
      <c r="BM571" s="797">
        <f t="shared" si="314"/>
        <v>3</v>
      </c>
      <c r="BN571" s="797">
        <f t="shared" si="315"/>
        <v>3</v>
      </c>
      <c r="BO571" s="798" cm="1">
        <f t="array" ref="BO571">SUMPRODUCT(--ISNUMBER($BF571:$BI571),$BK$3:$BN$3)</f>
        <v>1</v>
      </c>
      <c r="BP571" s="831">
        <f t="shared" si="325"/>
        <v>62.5</v>
      </c>
      <c r="BQ571" s="834" t="str">
        <f t="shared" si="326"/>
        <v>Alto</v>
      </c>
      <c r="BR571" s="836">
        <f t="shared" si="316"/>
        <v>31.832390364608308</v>
      </c>
      <c r="BS571" s="836">
        <f t="shared" si="317"/>
        <v>62.5</v>
      </c>
      <c r="BT571" s="837" t="str">
        <f t="shared" si="318"/>
        <v>P1</v>
      </c>
      <c r="BU571" s="807" t="str">
        <f t="shared" si="327"/>
        <v>Con espacio</v>
      </c>
      <c r="BV571" s="807" t="str">
        <f t="shared" si="319"/>
        <v>Zona atractiva</v>
      </c>
      <c r="BW571" s="808" t="str">
        <f t="shared" si="320"/>
        <v>P1 - Ampliar cobertura</v>
      </c>
    </row>
    <row r="572" spans="1:75">
      <c r="A572" s="780" t="str">
        <f>'Base de datos Rutas'!A570</f>
        <v>Occidente</v>
      </c>
      <c r="B572" s="781" t="str">
        <f>'Base de datos Rutas'!B570</f>
        <v>Favorita</v>
      </c>
      <c r="C572" s="781" t="str">
        <f>'Base de datos Rutas'!C570</f>
        <v>Suc. Santa Maria</v>
      </c>
      <c r="D572" s="782">
        <f>IF(ISNUMBER('Base de datos Rutas'!D570),'Base de datos Rutas'!D570,"Sin código")</f>
        <v>809322</v>
      </c>
      <c r="E572" s="783" t="str">
        <f>'Base de datos Rutas'!F570</f>
        <v>Activa</v>
      </c>
      <c r="F572" s="784" t="str">
        <f>'Base de datos Rutas'!H570</f>
        <v>Sí</v>
      </c>
      <c r="G572" s="785">
        <f>IF(ISNUMBER('Base de datos Rutas'!BE570),'Base de datos Rutas'!BE570,"")</f>
        <v>99.270642201834903</v>
      </c>
      <c r="H572" s="786">
        <f>IF(ISNUMBER('Base de datos Rutas'!BH570),'Base de datos Rutas'!BH570,"")</f>
        <v>0.44558939050875701</v>
      </c>
      <c r="I572" s="788">
        <f>IFERROR(IF(OR(NOT(ISNUMBER('Base de datos Rutas'!O570)),N('Base de datos Rutas'!BK570)=0),"",'Base de datos Rutas'!O570/('Base de datos Rutas'!L570/'Base de datos Rutas'!BK570)),"")</f>
        <v>5227.6422018348712</v>
      </c>
      <c r="J572" s="788">
        <f>IFERROR(IF(OR(NOT(ISNUMBER('Base de datos Rutas'!N570)),N('Base de datos Rutas'!BK570)=0),"",'Base de datos Rutas'!N570/('Base de datos Rutas'!L570/'Base de datos Rutas'!BK570)),"")</f>
        <v>6911.7568807339567</v>
      </c>
      <c r="K572" s="788">
        <f>IFERROR(IF(OR(NOT(ISNUMBER('Base de datos Rutas'!J570)),N('Base de datos Rutas'!BK570)=0),"",'Base de datos Rutas'!J570/('Base de datos Rutas'!L570/'Base de datos Rutas'!BK570)),"")</f>
        <v>470.7170550458701</v>
      </c>
      <c r="L572" s="788">
        <f>IFERROR(IF(OR(NOT(ISNUMBER('Base de datos Rutas'!K570)),N('Base de datos Rutas'!BK570)=0),"",'Base de datos Rutas'!K570/('Base de datos Rutas'!L570/'Base de datos Rutas'!BK570)),"")</f>
        <v>33.836108027522997</v>
      </c>
      <c r="M572" s="787">
        <f>IF(ISNUMBER('Base de datos Rutas'!AX570),'Base de datos Rutas'!AX570,"")</f>
        <v>274.43638649797799</v>
      </c>
      <c r="N572" s="790">
        <f>IFERROR(INDEX('Hoja de apoyo v2'!B$17:B$20,MATCH($A572,'Hoja de apoyo v2'!$A$17:$A$20,0)),"")</f>
        <v>89.41621024641401</v>
      </c>
      <c r="O572" s="791">
        <f>IFERROR(INDEX('Hoja de apoyo v2'!C$17:C$20,MATCH($A572,'Hoja de apoyo v2'!$A$17:$A$20,0)),"")</f>
        <v>0.54706375874806301</v>
      </c>
      <c r="P572" s="793">
        <f>IFERROR(INDEX('Hoja de apoyo v2'!D$17:D$20,MATCH($A572,'Hoja de apoyo v2'!$A$17:$A$20,0)),"")</f>
        <v>11095.153935793827</v>
      </c>
      <c r="Q572" s="793">
        <f>IFERROR(INDEX('Hoja de apoyo v2'!E$17:E$20,MATCH($A572,'Hoja de apoyo v2'!$A$17:$A$20,0)),"")</f>
        <v>6982.3202019701848</v>
      </c>
      <c r="R572" s="793">
        <f>IFERROR(INDEX('Hoja de apoyo v2'!F$17:F$20,MATCH($A572,'Hoja de apoyo v2'!$A$17:$A$20,0)),"")</f>
        <v>448.09513474485743</v>
      </c>
      <c r="S572" s="793">
        <f>IFERROR(INDEX('Hoja de apoyo v2'!G$17:G$20,MATCH($A572,'Hoja de apoyo v2'!$A$17:$A$20,0)),"")</f>
        <v>83.406300904207839</v>
      </c>
      <c r="T572" s="792">
        <f>IFERROR(INDEX('Hoja de apoyo v2'!H$17:H$20,MATCH($A572,'Hoja de apoyo v2'!$A$17:$A$20,0)),"")</f>
        <v>378.97014028925349</v>
      </c>
      <c r="U572" s="794">
        <f t="shared" si="292"/>
        <v>1.1102085620522717</v>
      </c>
      <c r="V572" s="795">
        <f t="shared" si="293"/>
        <v>0.81451089271289567</v>
      </c>
      <c r="W572" s="795">
        <f t="shared" si="294"/>
        <v>0.4711644590139567</v>
      </c>
      <c r="X572" s="843">
        <f t="shared" si="295"/>
        <v>0.98989400096313007</v>
      </c>
      <c r="Y572" s="843">
        <f t="shared" si="296"/>
        <v>1.0504846371828906</v>
      </c>
      <c r="Z572" s="843">
        <f t="shared" si="297"/>
        <v>0.40567808020144397</v>
      </c>
      <c r="AA572" s="843">
        <f t="shared" si="298"/>
        <v>0.72416361428504927</v>
      </c>
      <c r="AB572" s="796">
        <f t="shared" si="299"/>
        <v>4</v>
      </c>
      <c r="AC572" s="797">
        <f t="shared" si="300"/>
        <v>3</v>
      </c>
      <c r="AD572" s="797">
        <f t="shared" si="301"/>
        <v>1</v>
      </c>
      <c r="AE572" s="842">
        <f t="shared" si="302"/>
        <v>3</v>
      </c>
      <c r="AF572" s="842">
        <f t="shared" si="303"/>
        <v>4</v>
      </c>
      <c r="AG572" s="842">
        <f t="shared" si="304"/>
        <v>1</v>
      </c>
      <c r="AH572" s="842">
        <f t="shared" si="305"/>
        <v>2</v>
      </c>
      <c r="AI572" s="826" cm="1">
        <f t="array" ref="AI572">SUMPRODUCT(--ISNUMBER($U572:$AA572),$AB$3:$AH$3)</f>
        <v>1</v>
      </c>
      <c r="AJ572" s="829">
        <f t="shared" si="306"/>
        <v>36.20847637507454</v>
      </c>
      <c r="AK572" s="827" t="str">
        <f t="shared" si="307"/>
        <v>Inmadura</v>
      </c>
      <c r="AL572" s="784" t="str">
        <f t="shared" si="308"/>
        <v>Alta</v>
      </c>
      <c r="AM572" s="799">
        <f>IF(ISNUMBER('Base de datos Rutas'!W570),'Base de datos Rutas'!W570,"")</f>
        <v>3293.1144020900269</v>
      </c>
      <c r="AN572" s="787">
        <f>IFERROR(SUMIFS('Base de datos Rutas'!$W$6:$W$794,'Base de datos Rutas'!$C$6:$C$794,$C572)/'Base de datos Rutas'!I570,"")</f>
        <v>3293.1144020900251</v>
      </c>
      <c r="AO572" s="800">
        <f>IFERROR('Base de datos Rutas'!X570*AN572/AM572,"")</f>
        <v>0.47791232590402694</v>
      </c>
      <c r="AP572" s="800">
        <f t="shared" si="309"/>
        <v>0.52208767409597301</v>
      </c>
      <c r="AQ572" s="789">
        <f>IFERROR(INDEX('Hoja de apoyo v2'!$J$17:$J$20,MATCH($A572,'Hoja de apoyo v2'!$A$17:$A$20,0)),"")</f>
        <v>0.64320274048480885</v>
      </c>
      <c r="AR572" s="789">
        <f t="shared" si="310"/>
        <v>-0.12111506638883585</v>
      </c>
      <c r="AS572" s="784" t="str">
        <f t="shared" si="311"/>
        <v>No</v>
      </c>
      <c r="AT572" s="801">
        <f>IF(ISNUMBER('Base de datos Rutas'!CK570),'Base de datos Rutas'!CK570,"")</f>
        <v>362</v>
      </c>
      <c r="AU572" s="802">
        <f>IF(ISNUMBER('Base de datos Rutas'!CL570),'Base de datos Rutas'!CL570,"")</f>
        <v>449.64</v>
      </c>
      <c r="AV572" s="802">
        <f>IF(ISNUMBER('Base de datos Rutas'!CM570),'Base de datos Rutas'!CM570,"")</f>
        <v>87.639999999999986</v>
      </c>
      <c r="AW572" s="802">
        <f>IF(ISNUMBER('Base de datos Rutas'!CN570),'Base de datos Rutas'!CN570,"")</f>
        <v>9.93</v>
      </c>
      <c r="AX572" s="802">
        <f>IF(ISNUMBER('Base de datos Rutas'!CO570),'Base de datos Rutas'!CO570,"")</f>
        <v>9.4499999999999993</v>
      </c>
      <c r="AY572" s="802">
        <f>IF(ISNUMBER('Base de datos Rutas'!CP570),'Base de datos Rutas'!CP570,"")</f>
        <v>-0.48000000000000043</v>
      </c>
      <c r="AZ572" s="802">
        <f>IF(ISNUMBER('Base de datos Rutas'!CQ570),'Base de datos Rutas'!CQ570,"")</f>
        <v>846.56</v>
      </c>
      <c r="BA572" s="802">
        <f>IF(ISNUMBER('Base de datos Rutas'!CR570),'Base de datos Rutas'!CR570,"")</f>
        <v>504.55</v>
      </c>
      <c r="BB572" s="803">
        <f>IF(ISNUMBER('Base de datos Rutas'!CS570),'Base de datos Rutas'!CS570,"")</f>
        <v>342.00999999999993</v>
      </c>
      <c r="BC572" s="804">
        <f t="shared" si="321"/>
        <v>1</v>
      </c>
      <c r="BD572" s="805" t="str">
        <f t="shared" si="322"/>
        <v>Saturada</v>
      </c>
      <c r="BE572" s="806">
        <f t="shared" si="323"/>
        <v>0.59600028350028356</v>
      </c>
      <c r="BF572" s="890">
        <f>IF(ISNUMBER('Base de datos Rutas'!CX570),'Base de datos Rutas'!CX570/100,"")</f>
        <v>0.92502994011976047</v>
      </c>
      <c r="BG572" s="891">
        <f>IF(ISNUMBER('Base de datos Rutas'!CZ570),'Base de datos Rutas'!CZ570/100,"")</f>
        <v>1</v>
      </c>
      <c r="BH572" s="892">
        <f>IF(ISNUMBER('Base de datos Rutas'!DA570),'Base de datos Rutas'!DA570,"")</f>
        <v>2452.2988445378146</v>
      </c>
      <c r="BI572" s="893">
        <f>IF(ISNUMBER('Base de datos Rutas'!DC570),'Base de datos Rutas'!DC570,"")</f>
        <v>101.41280716832186</v>
      </c>
      <c r="BJ572" s="805" t="str">
        <f t="shared" si="324"/>
        <v>Ruta (completo)</v>
      </c>
      <c r="BK572" s="783">
        <f t="shared" si="312"/>
        <v>4</v>
      </c>
      <c r="BL572" s="797">
        <f t="shared" si="313"/>
        <v>3</v>
      </c>
      <c r="BM572" s="797">
        <f t="shared" si="314"/>
        <v>5</v>
      </c>
      <c r="BN572" s="797">
        <f t="shared" si="315"/>
        <v>5</v>
      </c>
      <c r="BO572" s="798" cm="1">
        <f t="array" ref="BO572">SUMPRODUCT(--ISNUMBER($BF572:$BI572),$BK$3:$BN$3)</f>
        <v>1</v>
      </c>
      <c r="BP572" s="831">
        <f t="shared" si="325"/>
        <v>81.25</v>
      </c>
      <c r="BQ572" s="834" t="str">
        <f t="shared" si="326"/>
        <v>Alto</v>
      </c>
      <c r="BR572" s="836">
        <f t="shared" si="316"/>
        <v>52.156357281305901</v>
      </c>
      <c r="BS572" s="836">
        <f t="shared" si="317"/>
        <v>81.25</v>
      </c>
      <c r="BT572" s="837" t="str">
        <f t="shared" si="318"/>
        <v>P1</v>
      </c>
      <c r="BU572" s="807" t="str">
        <f t="shared" si="327"/>
        <v>Al tope</v>
      </c>
      <c r="BV572" s="807" t="str">
        <f t="shared" si="319"/>
        <v>Zona atractiva</v>
      </c>
      <c r="BW572" s="808" t="str">
        <f t="shared" si="320"/>
        <v>P1 - Ampliar cobertura</v>
      </c>
    </row>
    <row r="573" spans="1:75">
      <c r="A573" s="780" t="str">
        <f>'Base de datos Rutas'!A571</f>
        <v>Occidente</v>
      </c>
      <c r="B573" s="781" t="str">
        <f>'Base de datos Rutas'!B571</f>
        <v>Favorita</v>
      </c>
      <c r="C573" s="781" t="str">
        <f>'Base de datos Rutas'!C571</f>
        <v>Suc. Santa Maria</v>
      </c>
      <c r="D573" s="782">
        <f>IF(ISNUMBER('Base de datos Rutas'!D571),'Base de datos Rutas'!D571,"Sin código")</f>
        <v>809323</v>
      </c>
      <c r="E573" s="783" t="str">
        <f>'Base de datos Rutas'!F571</f>
        <v>Activa</v>
      </c>
      <c r="F573" s="784" t="str">
        <f>'Base de datos Rutas'!H571</f>
        <v>Sí</v>
      </c>
      <c r="G573" s="785">
        <f>IF(ISNUMBER('Base de datos Rutas'!BE571),'Base de datos Rutas'!BE571,"")</f>
        <v>60.066513761467903</v>
      </c>
      <c r="H573" s="786">
        <f>IF(ISNUMBER('Base de datos Rutas'!BH571),'Base de datos Rutas'!BH571,"")</f>
        <v>0.61312001221887102</v>
      </c>
      <c r="I573" s="788">
        <f>IFERROR(IF(OR(NOT(ISNUMBER('Base de datos Rutas'!O571)),N('Base de datos Rutas'!BK571)=0),"",'Base de datos Rutas'!O571/('Base de datos Rutas'!L571/'Base de datos Rutas'!BK571)),"")</f>
        <v>4250.3577981651433</v>
      </c>
      <c r="J573" s="788">
        <f>IFERROR(IF(OR(NOT(ISNUMBER('Base de datos Rutas'!N571)),N('Base de datos Rutas'!BK571)=0),"",'Base de datos Rutas'!N571/('Base de datos Rutas'!L571/'Base de datos Rutas'!BK571)),"")</f>
        <v>9474.5458715596469</v>
      </c>
      <c r="K573" s="788">
        <f>IFERROR(IF(OR(NOT(ISNUMBER('Base de datos Rutas'!J571)),N('Base de datos Rutas'!BK571)=0),"",'Base de datos Rutas'!J571/('Base de datos Rutas'!L571/'Base de datos Rutas'!BK571)),"")</f>
        <v>646.10995412843909</v>
      </c>
      <c r="L573" s="788">
        <f>IFERROR(IF(OR(NOT(ISNUMBER('Base de datos Rutas'!K571)),N('Base de datos Rutas'!BK571)=0),"",'Base de datos Rutas'!K571/('Base de datos Rutas'!L571/'Base de datos Rutas'!BK571)),"")</f>
        <v>25.71501989678903</v>
      </c>
      <c r="M573" s="787">
        <f>IF(ISNUMBER('Base de datos Rutas'!AX571),'Base de datos Rutas'!AX571,"")</f>
        <v>372.67590023042902</v>
      </c>
      <c r="N573" s="790">
        <f>IFERROR(INDEX('Hoja de apoyo v2'!B$17:B$20,MATCH($A573,'Hoja de apoyo v2'!$A$17:$A$20,0)),"")</f>
        <v>89.41621024641401</v>
      </c>
      <c r="O573" s="791">
        <f>IFERROR(INDEX('Hoja de apoyo v2'!C$17:C$20,MATCH($A573,'Hoja de apoyo v2'!$A$17:$A$20,0)),"")</f>
        <v>0.54706375874806301</v>
      </c>
      <c r="P573" s="793">
        <f>IFERROR(INDEX('Hoja de apoyo v2'!D$17:D$20,MATCH($A573,'Hoja de apoyo v2'!$A$17:$A$20,0)),"")</f>
        <v>11095.153935793827</v>
      </c>
      <c r="Q573" s="793">
        <f>IFERROR(INDEX('Hoja de apoyo v2'!E$17:E$20,MATCH($A573,'Hoja de apoyo v2'!$A$17:$A$20,0)),"")</f>
        <v>6982.3202019701848</v>
      </c>
      <c r="R573" s="793">
        <f>IFERROR(INDEX('Hoja de apoyo v2'!F$17:F$20,MATCH($A573,'Hoja de apoyo v2'!$A$17:$A$20,0)),"")</f>
        <v>448.09513474485743</v>
      </c>
      <c r="S573" s="793">
        <f>IFERROR(INDEX('Hoja de apoyo v2'!G$17:G$20,MATCH($A573,'Hoja de apoyo v2'!$A$17:$A$20,0)),"")</f>
        <v>83.406300904207839</v>
      </c>
      <c r="T573" s="792">
        <f>IFERROR(INDEX('Hoja de apoyo v2'!H$17:H$20,MATCH($A573,'Hoja de apoyo v2'!$A$17:$A$20,0)),"")</f>
        <v>378.97014028925349</v>
      </c>
      <c r="U573" s="794">
        <f t="shared" si="292"/>
        <v>0.67176313552023792</v>
      </c>
      <c r="V573" s="795">
        <f t="shared" si="293"/>
        <v>1.1207469009132967</v>
      </c>
      <c r="W573" s="795">
        <f t="shared" si="294"/>
        <v>0.38308236395469553</v>
      </c>
      <c r="X573" s="843">
        <f t="shared" si="295"/>
        <v>1.3569337408625626</v>
      </c>
      <c r="Y573" s="843">
        <f t="shared" si="296"/>
        <v>1.4419035245636622</v>
      </c>
      <c r="Z573" s="843">
        <f t="shared" si="297"/>
        <v>0.30831027893591323</v>
      </c>
      <c r="AA573" s="843">
        <f t="shared" si="298"/>
        <v>0.98339119790804541</v>
      </c>
      <c r="AB573" s="796">
        <f t="shared" si="299"/>
        <v>2</v>
      </c>
      <c r="AC573" s="797">
        <f t="shared" si="300"/>
        <v>4</v>
      </c>
      <c r="AD573" s="797">
        <f t="shared" si="301"/>
        <v>1</v>
      </c>
      <c r="AE573" s="842">
        <f t="shared" si="302"/>
        <v>5</v>
      </c>
      <c r="AF573" s="842">
        <f t="shared" si="303"/>
        <v>5</v>
      </c>
      <c r="AG573" s="842">
        <f t="shared" si="304"/>
        <v>1</v>
      </c>
      <c r="AH573" s="842">
        <f t="shared" si="305"/>
        <v>3</v>
      </c>
      <c r="AI573" s="826" cm="1">
        <f t="array" ref="AI573">SUMPRODUCT(--ISNUMBER($U573:$AA573),$AB$3:$AH$3)</f>
        <v>1</v>
      </c>
      <c r="AJ573" s="829">
        <f t="shared" si="306"/>
        <v>41.513777249495256</v>
      </c>
      <c r="AK573" s="827" t="str">
        <f t="shared" si="307"/>
        <v>Inmadura</v>
      </c>
      <c r="AL573" s="784" t="str">
        <f t="shared" si="308"/>
        <v>Alta</v>
      </c>
      <c r="AM573" s="799">
        <f>IF(ISNUMBER('Base de datos Rutas'!W571),'Base de datos Rutas'!W571,"")</f>
        <v>3293.1144020900269</v>
      </c>
      <c r="AN573" s="787">
        <f>IFERROR(SUMIFS('Base de datos Rutas'!$W$6:$W$794,'Base de datos Rutas'!$C$6:$C$794,$C573)/'Base de datos Rutas'!I571,"")</f>
        <v>3293.1144020900251</v>
      </c>
      <c r="AO573" s="800">
        <f>IFERROR('Base de datos Rutas'!X571*AN573/AM573,"")</f>
        <v>0.47791232590402694</v>
      </c>
      <c r="AP573" s="800">
        <f t="shared" si="309"/>
        <v>0.52208767409597301</v>
      </c>
      <c r="AQ573" s="789">
        <f>IFERROR(INDEX('Hoja de apoyo v2'!$J$17:$J$20,MATCH($A573,'Hoja de apoyo v2'!$A$17:$A$20,0)),"")</f>
        <v>0.64320274048480885</v>
      </c>
      <c r="AR573" s="789">
        <f t="shared" si="310"/>
        <v>-0.12111506638883585</v>
      </c>
      <c r="AS573" s="784" t="str">
        <f t="shared" si="311"/>
        <v>No</v>
      </c>
      <c r="AT573" s="801">
        <f>IF(ISNUMBER('Base de datos Rutas'!CK571),'Base de datos Rutas'!CK571,"")</f>
        <v>300</v>
      </c>
      <c r="AU573" s="802">
        <f>IF(ISNUMBER('Base de datos Rutas'!CL571),'Base de datos Rutas'!CL571,"")</f>
        <v>372.91</v>
      </c>
      <c r="AV573" s="802">
        <f>IF(ISNUMBER('Base de datos Rutas'!CM571),'Base de datos Rutas'!CM571,"")</f>
        <v>72.910000000000025</v>
      </c>
      <c r="AW573" s="802">
        <f>IF(ISNUMBER('Base de datos Rutas'!CN571),'Base de datos Rutas'!CN571,"")</f>
        <v>5.46</v>
      </c>
      <c r="AX573" s="802">
        <f>IF(ISNUMBER('Base de datos Rutas'!CO571),'Base de datos Rutas'!CO571,"")</f>
        <v>9.4499999999999993</v>
      </c>
      <c r="AY573" s="802">
        <f>IF(ISNUMBER('Base de datos Rutas'!CP571),'Base de datos Rutas'!CP571,"")</f>
        <v>3.9899999999999993</v>
      </c>
      <c r="AZ573" s="802">
        <f>IF(ISNUMBER('Base de datos Rutas'!CQ571),'Base de datos Rutas'!CQ571,"")</f>
        <v>846.56</v>
      </c>
      <c r="BA573" s="802">
        <f>IF(ISNUMBER('Base de datos Rutas'!CR571),'Base de datos Rutas'!CR571,"")</f>
        <v>671.82</v>
      </c>
      <c r="BB573" s="803">
        <f>IF(ISNUMBER('Base de datos Rutas'!CS571),'Base de datos Rutas'!CS571,"")</f>
        <v>174.7399999999999</v>
      </c>
      <c r="BC573" s="804">
        <f t="shared" si="321"/>
        <v>0</v>
      </c>
      <c r="BD573" s="805" t="str">
        <f t="shared" si="322"/>
        <v>No saturada</v>
      </c>
      <c r="BE573" s="806">
        <f t="shared" si="323"/>
        <v>0.79358816858816872</v>
      </c>
      <c r="BF573" s="890">
        <f>IF(ISNUMBER('Base de datos Rutas'!CX571),'Base de datos Rutas'!CX571/100,"")</f>
        <v>0.96192689295039158</v>
      </c>
      <c r="BG573" s="891">
        <f>IF(ISNUMBER('Base de datos Rutas'!CZ571),'Base de datos Rutas'!CZ571/100,"")</f>
        <v>1</v>
      </c>
      <c r="BH573" s="892">
        <f>IF(ISNUMBER('Base de datos Rutas'!DA571),'Base de datos Rutas'!DA571,"")</f>
        <v>517.93737644058331</v>
      </c>
      <c r="BI573" s="893">
        <f>IF(ISNUMBER('Base de datos Rutas'!DC571),'Base de datos Rutas'!DC571,"")</f>
        <v>25.341881674723702</v>
      </c>
      <c r="BJ573" s="805" t="str">
        <f t="shared" si="324"/>
        <v>Ruta (completo)</v>
      </c>
      <c r="BK573" s="783">
        <f t="shared" si="312"/>
        <v>5</v>
      </c>
      <c r="BL573" s="797">
        <f t="shared" si="313"/>
        <v>3</v>
      </c>
      <c r="BM573" s="797">
        <f t="shared" si="314"/>
        <v>2</v>
      </c>
      <c r="BN573" s="797">
        <f t="shared" si="315"/>
        <v>2</v>
      </c>
      <c r="BO573" s="798" cm="1">
        <f t="array" ref="BO573">SUMPRODUCT(--ISNUMBER($BF573:$BI573),$BK$3:$BN$3)</f>
        <v>1</v>
      </c>
      <c r="BP573" s="831">
        <f t="shared" si="325"/>
        <v>50</v>
      </c>
      <c r="BQ573" s="834" t="str">
        <f t="shared" si="326"/>
        <v>Alto</v>
      </c>
      <c r="BR573" s="836">
        <f t="shared" si="316"/>
        <v>31.13533293712144</v>
      </c>
      <c r="BS573" s="836">
        <f t="shared" si="317"/>
        <v>50</v>
      </c>
      <c r="BT573" s="837" t="str">
        <f t="shared" si="318"/>
        <v>P1</v>
      </c>
      <c r="BU573" s="807" t="str">
        <f t="shared" si="327"/>
        <v>Con espacio</v>
      </c>
      <c r="BV573" s="807" t="str">
        <f t="shared" si="319"/>
        <v>Zona atractiva</v>
      </c>
      <c r="BW573" s="808" t="str">
        <f t="shared" si="320"/>
        <v>P1 - Ampliar cobertura</v>
      </c>
    </row>
    <row r="574" spans="1:75">
      <c r="A574" s="780" t="str">
        <f>'Base de datos Rutas'!A572</f>
        <v>Occidente</v>
      </c>
      <c r="B574" s="781" t="str">
        <f>'Base de datos Rutas'!B572</f>
        <v>Favorita</v>
      </c>
      <c r="C574" s="781" t="str">
        <f>'Base de datos Rutas'!C572</f>
        <v>Suc. Santa Maria</v>
      </c>
      <c r="D574" s="782">
        <f>IF(ISNUMBER('Base de datos Rutas'!D572),'Base de datos Rutas'!D572,"Sin código")</f>
        <v>809324</v>
      </c>
      <c r="E574" s="783" t="str">
        <f>'Base de datos Rutas'!F572</f>
        <v>Activa</v>
      </c>
      <c r="F574" s="784" t="str">
        <f>'Base de datos Rutas'!H572</f>
        <v>Sí</v>
      </c>
      <c r="G574" s="785">
        <f>IF(ISNUMBER('Base de datos Rutas'!BE572),'Base de datos Rutas'!BE572,"")</f>
        <v>45.649651972157798</v>
      </c>
      <c r="H574" s="786">
        <f>IF(ISNUMBER('Base de datos Rutas'!BH572),'Base de datos Rutas'!BH572,"")</f>
        <v>0.64081321473951702</v>
      </c>
      <c r="I574" s="788">
        <f>IFERROR(IF(OR(NOT(ISNUMBER('Base de datos Rutas'!O572)),N('Base de datos Rutas'!BK572)=0),"",'Base de datos Rutas'!O572/('Base de datos Rutas'!L572/'Base de datos Rutas'!BK572)),"")</f>
        <v>7307.3062645011642</v>
      </c>
      <c r="J574" s="788">
        <f>IFERROR(IF(OR(NOT(ISNUMBER('Base de datos Rutas'!N572)),N('Base de datos Rutas'!BK572)=0),"",'Base de datos Rutas'!N572/('Base de datos Rutas'!L572/'Base de datos Rutas'!BK572)),"")</f>
        <v>6291.5916473317902</v>
      </c>
      <c r="K574" s="788">
        <f>IFERROR(IF(OR(NOT(ISNUMBER('Base de datos Rutas'!J572)),N('Base de datos Rutas'!BK572)=0),"",'Base de datos Rutas'!J572/('Base de datos Rutas'!L572/'Base de datos Rutas'!BK572)),"")</f>
        <v>430.22315730858492</v>
      </c>
      <c r="L574" s="788">
        <f>IFERROR(IF(OR(NOT(ISNUMBER('Base de datos Rutas'!K572)),N('Base de datos Rutas'!BK572)=0),"",'Base de datos Rutas'!K572/('Base de datos Rutas'!L572/'Base de datos Rutas'!BK572)),"")</f>
        <v>40.943640150812087</v>
      </c>
      <c r="M574" s="787">
        <f>IF(ISNUMBER('Base de datos Rutas'!AX572),'Base de datos Rutas'!AX572,"")</f>
        <v>464.73362388959401</v>
      </c>
      <c r="N574" s="790">
        <f>IFERROR(INDEX('Hoja de apoyo v2'!B$17:B$20,MATCH($A574,'Hoja de apoyo v2'!$A$17:$A$20,0)),"")</f>
        <v>89.41621024641401</v>
      </c>
      <c r="O574" s="791">
        <f>IFERROR(INDEX('Hoja de apoyo v2'!C$17:C$20,MATCH($A574,'Hoja de apoyo v2'!$A$17:$A$20,0)),"")</f>
        <v>0.54706375874806301</v>
      </c>
      <c r="P574" s="793">
        <f>IFERROR(INDEX('Hoja de apoyo v2'!D$17:D$20,MATCH($A574,'Hoja de apoyo v2'!$A$17:$A$20,0)),"")</f>
        <v>11095.153935793827</v>
      </c>
      <c r="Q574" s="793">
        <f>IFERROR(INDEX('Hoja de apoyo v2'!E$17:E$20,MATCH($A574,'Hoja de apoyo v2'!$A$17:$A$20,0)),"")</f>
        <v>6982.3202019701848</v>
      </c>
      <c r="R574" s="793">
        <f>IFERROR(INDEX('Hoja de apoyo v2'!F$17:F$20,MATCH($A574,'Hoja de apoyo v2'!$A$17:$A$20,0)),"")</f>
        <v>448.09513474485743</v>
      </c>
      <c r="S574" s="793">
        <f>IFERROR(INDEX('Hoja de apoyo v2'!G$17:G$20,MATCH($A574,'Hoja de apoyo v2'!$A$17:$A$20,0)),"")</f>
        <v>83.406300904207839</v>
      </c>
      <c r="T574" s="792">
        <f>IFERROR(INDEX('Hoja de apoyo v2'!H$17:H$20,MATCH($A574,'Hoja de apoyo v2'!$A$17:$A$20,0)),"")</f>
        <v>378.97014028925349</v>
      </c>
      <c r="U574" s="794">
        <f t="shared" si="292"/>
        <v>0.51052993463216645</v>
      </c>
      <c r="V574" s="795">
        <f t="shared" si="293"/>
        <v>1.1713684273401632</v>
      </c>
      <c r="W574" s="795">
        <f t="shared" si="294"/>
        <v>0.65860341431832026</v>
      </c>
      <c r="X574" s="843">
        <f t="shared" si="295"/>
        <v>0.90107463784839126</v>
      </c>
      <c r="Y574" s="843">
        <f t="shared" si="296"/>
        <v>0.96011566283474892</v>
      </c>
      <c r="Z574" s="843">
        <f t="shared" si="297"/>
        <v>0.49089384982839451</v>
      </c>
      <c r="AA574" s="843">
        <f t="shared" si="298"/>
        <v>1.2263067046255425</v>
      </c>
      <c r="AB574" s="796">
        <f t="shared" si="299"/>
        <v>2</v>
      </c>
      <c r="AC574" s="797">
        <f t="shared" si="300"/>
        <v>4</v>
      </c>
      <c r="AD574" s="797">
        <f t="shared" si="301"/>
        <v>2</v>
      </c>
      <c r="AE574" s="842">
        <f t="shared" si="302"/>
        <v>3</v>
      </c>
      <c r="AF574" s="842">
        <f t="shared" si="303"/>
        <v>3</v>
      </c>
      <c r="AG574" s="842">
        <f t="shared" si="304"/>
        <v>1</v>
      </c>
      <c r="AH574" s="842">
        <f t="shared" si="305"/>
        <v>4</v>
      </c>
      <c r="AI574" s="826" cm="1">
        <f t="array" ref="AI574">SUMPRODUCT(--ISNUMBER($U574:$AA574),$AB$3:$AH$3)</f>
        <v>1</v>
      </c>
      <c r="AJ574" s="829">
        <f t="shared" si="306"/>
        <v>36.201692242632888</v>
      </c>
      <c r="AK574" s="827" t="str">
        <f t="shared" si="307"/>
        <v>Inmadura</v>
      </c>
      <c r="AL574" s="784" t="str">
        <f t="shared" si="308"/>
        <v>Alta</v>
      </c>
      <c r="AM574" s="799">
        <f>IF(ISNUMBER('Base de datos Rutas'!W572),'Base de datos Rutas'!W572,"")</f>
        <v>3293.1144020900269</v>
      </c>
      <c r="AN574" s="787">
        <f>IFERROR(SUMIFS('Base de datos Rutas'!$W$6:$W$794,'Base de datos Rutas'!$C$6:$C$794,$C574)/'Base de datos Rutas'!I572,"")</f>
        <v>3293.1144020900251</v>
      </c>
      <c r="AO574" s="800">
        <f>IFERROR('Base de datos Rutas'!X572*AN574/AM574,"")</f>
        <v>0.47791232590402694</v>
      </c>
      <c r="AP574" s="800">
        <f t="shared" si="309"/>
        <v>0.52208767409597301</v>
      </c>
      <c r="AQ574" s="789">
        <f>IFERROR(INDEX('Hoja de apoyo v2'!$J$17:$J$20,MATCH($A574,'Hoja de apoyo v2'!$A$17:$A$20,0)),"")</f>
        <v>0.64320274048480885</v>
      </c>
      <c r="AR574" s="789">
        <f t="shared" si="310"/>
        <v>-0.12111506638883585</v>
      </c>
      <c r="AS574" s="784" t="str">
        <f t="shared" si="311"/>
        <v>No</v>
      </c>
      <c r="AT574" s="801">
        <f>IF(ISNUMBER('Base de datos Rutas'!CK572),'Base de datos Rutas'!CK572,"")</f>
        <v>215</v>
      </c>
      <c r="AU574" s="802">
        <f>IF(ISNUMBER('Base de datos Rutas'!CL572),'Base de datos Rutas'!CL572,"")</f>
        <v>310.87</v>
      </c>
      <c r="AV574" s="802">
        <f>IF(ISNUMBER('Base de datos Rutas'!CM572),'Base de datos Rutas'!CM572,"")</f>
        <v>95.87</v>
      </c>
      <c r="AW574" s="802">
        <f>IF(ISNUMBER('Base de datos Rutas'!CN572),'Base de datos Rutas'!CN572,"")</f>
        <v>5.58</v>
      </c>
      <c r="AX574" s="802">
        <f>IF(ISNUMBER('Base de datos Rutas'!CO572),'Base de datos Rutas'!CO572,"")</f>
        <v>9.4499999999999993</v>
      </c>
      <c r="AY574" s="802">
        <f>IF(ISNUMBER('Base de datos Rutas'!CP572),'Base de datos Rutas'!CP572,"")</f>
        <v>3.8699999999999992</v>
      </c>
      <c r="AZ574" s="802">
        <f>IF(ISNUMBER('Base de datos Rutas'!CQ572),'Base de datos Rutas'!CQ572,"")</f>
        <v>846.56</v>
      </c>
      <c r="BA574" s="802">
        <f>IF(ISNUMBER('Base de datos Rutas'!CR572),'Base de datos Rutas'!CR572,"")</f>
        <v>471.17</v>
      </c>
      <c r="BB574" s="803">
        <f>IF(ISNUMBER('Base de datos Rutas'!CS572),'Base de datos Rutas'!CS572,"")</f>
        <v>375.38999999999993</v>
      </c>
      <c r="BC574" s="804">
        <f t="shared" si="321"/>
        <v>0</v>
      </c>
      <c r="BD574" s="805" t="str">
        <f t="shared" si="322"/>
        <v>No saturada</v>
      </c>
      <c r="BE574" s="806">
        <f t="shared" si="323"/>
        <v>0.55657011907011911</v>
      </c>
      <c r="BF574" s="890">
        <f>IF(ISNUMBER('Base de datos Rutas'!CX572),'Base de datos Rutas'!CX572/100,"")</f>
        <v>0.91073556797020483</v>
      </c>
      <c r="BG574" s="891">
        <f>IF(ISNUMBER('Base de datos Rutas'!CZ572),'Base de datos Rutas'!CZ572/100,"")</f>
        <v>1</v>
      </c>
      <c r="BH574" s="892">
        <f>IF(ISNUMBER('Base de datos Rutas'!DA572),'Base de datos Rutas'!DA572,"")</f>
        <v>1497.2740560917027</v>
      </c>
      <c r="BI574" s="893">
        <f>IF(ISNUMBER('Base de datos Rutas'!DC572),'Base de datos Rutas'!DC572,"")</f>
        <v>51.629027156863586</v>
      </c>
      <c r="BJ574" s="805" t="str">
        <f t="shared" si="324"/>
        <v>Ruta (completo)</v>
      </c>
      <c r="BK574" s="783">
        <f t="shared" si="312"/>
        <v>3</v>
      </c>
      <c r="BL574" s="797">
        <f t="shared" si="313"/>
        <v>3</v>
      </c>
      <c r="BM574" s="797">
        <f t="shared" si="314"/>
        <v>5</v>
      </c>
      <c r="BN574" s="797">
        <f t="shared" si="315"/>
        <v>4</v>
      </c>
      <c r="BO574" s="798" cm="1">
        <f t="array" ref="BO574">SUMPRODUCT(--ISNUMBER($BF574:$BI574),$BK$3:$BN$3)</f>
        <v>1</v>
      </c>
      <c r="BP574" s="831">
        <f t="shared" si="325"/>
        <v>68.75</v>
      </c>
      <c r="BQ574" s="834" t="str">
        <f t="shared" si="326"/>
        <v>Alto</v>
      </c>
      <c r="BR574" s="836">
        <f t="shared" si="316"/>
        <v>27.151269181974666</v>
      </c>
      <c r="BS574" s="836">
        <f t="shared" si="317"/>
        <v>68.75</v>
      </c>
      <c r="BT574" s="837" t="str">
        <f t="shared" si="318"/>
        <v>P3</v>
      </c>
      <c r="BU574" s="807" t="str">
        <f t="shared" si="327"/>
        <v>Con espacio</v>
      </c>
      <c r="BV574" s="807" t="str">
        <f t="shared" si="319"/>
        <v>Zona atractiva</v>
      </c>
      <c r="BW574" s="808" t="str">
        <f t="shared" si="320"/>
        <v>P3 - Desarrollar</v>
      </c>
    </row>
    <row r="575" spans="1:75">
      <c r="A575" s="780" t="str">
        <f>'Base de datos Rutas'!A573</f>
        <v>Occidente</v>
      </c>
      <c r="B575" s="781" t="str">
        <f>'Base de datos Rutas'!B573</f>
        <v>Favorita</v>
      </c>
      <c r="C575" s="781" t="str">
        <f>'Base de datos Rutas'!C573</f>
        <v>Suc. Santa Maria</v>
      </c>
      <c r="D575" s="782">
        <f>IF(ISNUMBER('Base de datos Rutas'!D573),'Base de datos Rutas'!D573,"Sin código")</f>
        <v>809325</v>
      </c>
      <c r="E575" s="783" t="str">
        <f>'Base de datos Rutas'!F573</f>
        <v>Activa</v>
      </c>
      <c r="F575" s="784" t="str">
        <f>'Base de datos Rutas'!H573</f>
        <v>Sí</v>
      </c>
      <c r="G575" s="785">
        <f>IF(ISNUMBER('Base de datos Rutas'!BE573),'Base de datos Rutas'!BE573,"")</f>
        <v>74.408775981524201</v>
      </c>
      <c r="H575" s="786">
        <f>IF(ISNUMBER('Base de datos Rutas'!BH573),'Base de datos Rutas'!BH573,"")</f>
        <v>0.36816785126788498</v>
      </c>
      <c r="I575" s="788">
        <f>IFERROR(IF(OR(NOT(ISNUMBER('Base de datos Rutas'!O573)),N('Base de datos Rutas'!BK573)=0),"",'Base de datos Rutas'!O573/('Base de datos Rutas'!L573/'Base de datos Rutas'!BK573)),"")</f>
        <v>5318.949191685916</v>
      </c>
      <c r="J575" s="788">
        <f>IFERROR(IF(OR(NOT(ISNUMBER('Base de datos Rutas'!N573)),N('Base de datos Rutas'!BK573)=0),"",'Base de datos Rutas'!N573/('Base de datos Rutas'!L573/'Base de datos Rutas'!BK573)),"")</f>
        <v>8178.5196304849942</v>
      </c>
      <c r="K575" s="788">
        <f>IFERROR(IF(OR(NOT(ISNUMBER('Base de datos Rutas'!J573)),N('Base de datos Rutas'!BK573)=0),"",'Base de datos Rutas'!J573/('Base de datos Rutas'!L573/'Base de datos Rutas'!BK573)),"")</f>
        <v>561.07032424942076</v>
      </c>
      <c r="L575" s="788">
        <f>IFERROR(IF(OR(NOT(ISNUMBER('Base de datos Rutas'!K573)),N('Base de datos Rutas'!BK573)=0),"",'Base de datos Rutas'!K573/('Base de datos Rutas'!L573/'Base de datos Rutas'!BK573)),"")</f>
        <v>36.736230311778314</v>
      </c>
      <c r="M575" s="787">
        <f>IF(ISNUMBER('Base de datos Rutas'!AX573),'Base de datos Rutas'!AX573,"")</f>
        <v>492.69979345810202</v>
      </c>
      <c r="N575" s="790">
        <f>IFERROR(INDEX('Hoja de apoyo v2'!B$17:B$20,MATCH($A575,'Hoja de apoyo v2'!$A$17:$A$20,0)),"")</f>
        <v>89.41621024641401</v>
      </c>
      <c r="O575" s="791">
        <f>IFERROR(INDEX('Hoja de apoyo v2'!C$17:C$20,MATCH($A575,'Hoja de apoyo v2'!$A$17:$A$20,0)),"")</f>
        <v>0.54706375874806301</v>
      </c>
      <c r="P575" s="793">
        <f>IFERROR(INDEX('Hoja de apoyo v2'!D$17:D$20,MATCH($A575,'Hoja de apoyo v2'!$A$17:$A$20,0)),"")</f>
        <v>11095.153935793827</v>
      </c>
      <c r="Q575" s="793">
        <f>IFERROR(INDEX('Hoja de apoyo v2'!E$17:E$20,MATCH($A575,'Hoja de apoyo v2'!$A$17:$A$20,0)),"")</f>
        <v>6982.3202019701848</v>
      </c>
      <c r="R575" s="793">
        <f>IFERROR(INDEX('Hoja de apoyo v2'!F$17:F$20,MATCH($A575,'Hoja de apoyo v2'!$A$17:$A$20,0)),"")</f>
        <v>448.09513474485743</v>
      </c>
      <c r="S575" s="793">
        <f>IFERROR(INDEX('Hoja de apoyo v2'!G$17:G$20,MATCH($A575,'Hoja de apoyo v2'!$A$17:$A$20,0)),"")</f>
        <v>83.406300904207839</v>
      </c>
      <c r="T575" s="792">
        <f>IFERROR(INDEX('Hoja de apoyo v2'!H$17:H$20,MATCH($A575,'Hoja de apoyo v2'!$A$17:$A$20,0)),"")</f>
        <v>378.97014028925349</v>
      </c>
      <c r="U575" s="794">
        <f t="shared" si="292"/>
        <v>0.83216204060167409</v>
      </c>
      <c r="V575" s="795">
        <f t="shared" si="293"/>
        <v>0.67298892566092239</v>
      </c>
      <c r="W575" s="795">
        <f t="shared" si="294"/>
        <v>0.47939390678723015</v>
      </c>
      <c r="X575" s="843">
        <f t="shared" si="295"/>
        <v>1.1713183288525326</v>
      </c>
      <c r="Y575" s="843">
        <f t="shared" si="296"/>
        <v>1.2521232228260875</v>
      </c>
      <c r="Z575" s="843">
        <f t="shared" si="297"/>
        <v>0.44044910172877572</v>
      </c>
      <c r="AA575" s="843">
        <f t="shared" si="298"/>
        <v>1.3001018842329979</v>
      </c>
      <c r="AB575" s="796">
        <f t="shared" si="299"/>
        <v>3</v>
      </c>
      <c r="AC575" s="797">
        <f t="shared" si="300"/>
        <v>2</v>
      </c>
      <c r="AD575" s="797">
        <f t="shared" si="301"/>
        <v>1</v>
      </c>
      <c r="AE575" s="842">
        <f t="shared" si="302"/>
        <v>4</v>
      </c>
      <c r="AF575" s="842">
        <f t="shared" si="303"/>
        <v>5</v>
      </c>
      <c r="AG575" s="842">
        <f t="shared" si="304"/>
        <v>1</v>
      </c>
      <c r="AH575" s="842">
        <f t="shared" si="305"/>
        <v>5</v>
      </c>
      <c r="AI575" s="826" cm="1">
        <f t="array" ref="AI575">SUMPRODUCT(--ISNUMBER($U575:$AA575),$AB$3:$AH$3)</f>
        <v>1</v>
      </c>
      <c r="AJ575" s="829">
        <f t="shared" si="306"/>
        <v>42.361610290285491</v>
      </c>
      <c r="AK575" s="827" t="str">
        <f t="shared" si="307"/>
        <v>Inmadura</v>
      </c>
      <c r="AL575" s="784" t="str">
        <f t="shared" si="308"/>
        <v>Alta</v>
      </c>
      <c r="AM575" s="799">
        <f>IF(ISNUMBER('Base de datos Rutas'!W573),'Base de datos Rutas'!W573,"")</f>
        <v>3293.1144020900269</v>
      </c>
      <c r="AN575" s="787">
        <f>IFERROR(SUMIFS('Base de datos Rutas'!$W$6:$W$794,'Base de datos Rutas'!$C$6:$C$794,$C575)/'Base de datos Rutas'!I573,"")</f>
        <v>3293.1144020900251</v>
      </c>
      <c r="AO575" s="800">
        <f>IFERROR('Base de datos Rutas'!X573*AN575/AM575,"")</f>
        <v>0.47791232590402694</v>
      </c>
      <c r="AP575" s="800">
        <f t="shared" si="309"/>
        <v>0.52208767409597301</v>
      </c>
      <c r="AQ575" s="789">
        <f>IFERROR(INDEX('Hoja de apoyo v2'!$J$17:$J$20,MATCH($A575,'Hoja de apoyo v2'!$A$17:$A$20,0)),"")</f>
        <v>0.64320274048480885</v>
      </c>
      <c r="AR575" s="789">
        <f t="shared" si="310"/>
        <v>-0.12111506638883585</v>
      </c>
      <c r="AS575" s="784" t="str">
        <f t="shared" si="311"/>
        <v>No</v>
      </c>
      <c r="AT575" s="801">
        <f>IF(ISNUMBER('Base de datos Rutas'!CK573),'Base de datos Rutas'!CK573,"")</f>
        <v>294</v>
      </c>
      <c r="AU575" s="802">
        <f>IF(ISNUMBER('Base de datos Rutas'!CL573),'Base de datos Rutas'!CL573,"")</f>
        <v>383.62</v>
      </c>
      <c r="AV575" s="802">
        <f>IF(ISNUMBER('Base de datos Rutas'!CM573),'Base de datos Rutas'!CM573,"")</f>
        <v>89.62</v>
      </c>
      <c r="AW575" s="802">
        <f>IF(ISNUMBER('Base de datos Rutas'!CN573),'Base de datos Rutas'!CN573,"")</f>
        <v>7.64</v>
      </c>
      <c r="AX575" s="802">
        <f>IF(ISNUMBER('Base de datos Rutas'!CO573),'Base de datos Rutas'!CO573,"")</f>
        <v>9.4499999999999993</v>
      </c>
      <c r="AY575" s="802">
        <f>IF(ISNUMBER('Base de datos Rutas'!CP573),'Base de datos Rutas'!CP573,"")</f>
        <v>1.8099999999999996</v>
      </c>
      <c r="AZ575" s="802">
        <f>IF(ISNUMBER('Base de datos Rutas'!CQ573),'Base de datos Rutas'!CQ573,"")</f>
        <v>846.56</v>
      </c>
      <c r="BA575" s="802">
        <f>IF(ISNUMBER('Base de datos Rutas'!CR573),'Base de datos Rutas'!CR573,"")</f>
        <v>597.80999999999995</v>
      </c>
      <c r="BB575" s="803">
        <f>IF(ISNUMBER('Base de datos Rutas'!CS573),'Base de datos Rutas'!CS573,"")</f>
        <v>248.75</v>
      </c>
      <c r="BC575" s="804">
        <f t="shared" si="321"/>
        <v>0</v>
      </c>
      <c r="BD575" s="805" t="str">
        <f t="shared" si="322"/>
        <v>No saturada</v>
      </c>
      <c r="BE575" s="806">
        <f t="shared" si="323"/>
        <v>0.70616376866376862</v>
      </c>
      <c r="BF575" s="890">
        <f>IF(ISNUMBER('Base de datos Rutas'!CX573),'Base de datos Rutas'!CX573/100,"")</f>
        <v>0.82017865118356414</v>
      </c>
      <c r="BG575" s="891">
        <f>IF(ISNUMBER('Base de datos Rutas'!CZ573),'Base de datos Rutas'!CZ573/100,"")</f>
        <v>0.86020544886109873</v>
      </c>
      <c r="BH575" s="892">
        <f>IF(ISNUMBER('Base de datos Rutas'!DA573),'Base de datos Rutas'!DA573,"")</f>
        <v>993.24553168829618</v>
      </c>
      <c r="BI575" s="893">
        <f>IF(ISNUMBER('Base de datos Rutas'!DC573),'Base de datos Rutas'!DC573,"")</f>
        <v>44.547732133194771</v>
      </c>
      <c r="BJ575" s="805" t="str">
        <f t="shared" si="324"/>
        <v>Ruta (completo)</v>
      </c>
      <c r="BK575" s="783">
        <f t="shared" si="312"/>
        <v>3</v>
      </c>
      <c r="BL575" s="797">
        <f t="shared" si="313"/>
        <v>2</v>
      </c>
      <c r="BM575" s="797">
        <f t="shared" si="314"/>
        <v>4</v>
      </c>
      <c r="BN575" s="797">
        <f t="shared" si="315"/>
        <v>4</v>
      </c>
      <c r="BO575" s="798" cm="1">
        <f t="array" ref="BO575">SUMPRODUCT(--ISNUMBER($BF575:$BI575),$BK$3:$BN$3)</f>
        <v>1</v>
      </c>
      <c r="BP575" s="831">
        <f t="shared" si="325"/>
        <v>56.25</v>
      </c>
      <c r="BQ575" s="834" t="str">
        <f t="shared" si="326"/>
        <v>Alto</v>
      </c>
      <c r="BR575" s="836">
        <f t="shared" si="316"/>
        <v>31.77120771771412</v>
      </c>
      <c r="BS575" s="836">
        <f t="shared" si="317"/>
        <v>56.25</v>
      </c>
      <c r="BT575" s="837" t="str">
        <f t="shared" si="318"/>
        <v>P1</v>
      </c>
      <c r="BU575" s="807" t="str">
        <f t="shared" si="327"/>
        <v>Con espacio</v>
      </c>
      <c r="BV575" s="807" t="str">
        <f t="shared" si="319"/>
        <v>Zona atractiva</v>
      </c>
      <c r="BW575" s="808" t="str">
        <f t="shared" si="320"/>
        <v>P1 - Ampliar cobertura</v>
      </c>
    </row>
    <row r="576" spans="1:75">
      <c r="A576" s="780" t="str">
        <f>'Base de datos Rutas'!A574</f>
        <v>Occidente</v>
      </c>
      <c r="B576" s="781" t="str">
        <f>'Base de datos Rutas'!B574</f>
        <v>Favorita</v>
      </c>
      <c r="C576" s="781" t="str">
        <f>'Base de datos Rutas'!C574</f>
        <v>Suc. Santa Maria</v>
      </c>
      <c r="D576" s="782">
        <f>IF(ISNUMBER('Base de datos Rutas'!D574),'Base de datos Rutas'!D574,"Sin código")</f>
        <v>809326</v>
      </c>
      <c r="E576" s="783" t="str">
        <f>'Base de datos Rutas'!F574</f>
        <v>Activa</v>
      </c>
      <c r="F576" s="784" t="str">
        <f>'Base de datos Rutas'!H574</f>
        <v>Sí</v>
      </c>
      <c r="G576" s="785">
        <f>IF(ISNUMBER('Base de datos Rutas'!BE574),'Base de datos Rutas'!BE574,"")</f>
        <v>61.321100917431203</v>
      </c>
      <c r="H576" s="786">
        <f>IF(ISNUMBER('Base de datos Rutas'!BH574),'Base de datos Rutas'!BH574,"")</f>
        <v>0.49308049072411703</v>
      </c>
      <c r="I576" s="788">
        <f>IFERROR(IF(OR(NOT(ISNUMBER('Base de datos Rutas'!O574)),N('Base de datos Rutas'!BK574)=0),"",'Base de datos Rutas'!O574/('Base de datos Rutas'!L574/'Base de datos Rutas'!BK574)),"")</f>
        <v>4302.8073394495359</v>
      </c>
      <c r="J576" s="788">
        <f>IFERROR(IF(OR(NOT(ISNUMBER('Base de datos Rutas'!N574)),N('Base de datos Rutas'!BK574)=0),"",'Base de datos Rutas'!N574/('Base de datos Rutas'!L574/'Base de datos Rutas'!BK574)),"")</f>
        <v>8967.4426605504468</v>
      </c>
      <c r="K576" s="788">
        <f>IFERROR(IF(OR(NOT(ISNUMBER('Base de datos Rutas'!J574)),N('Base de datos Rutas'!BK574)=0),"",'Base de datos Rutas'!J574/('Base de datos Rutas'!L574/'Base de datos Rutas'!BK574)),"")</f>
        <v>611.53226605504517</v>
      </c>
      <c r="L576" s="788">
        <f>IFERROR(IF(OR(NOT(ISNUMBER('Base de datos Rutas'!K574)),N('Base de datos Rutas'!BK574)=0),"",'Base de datos Rutas'!K574/('Base de datos Rutas'!L574/'Base de datos Rutas'!BK574)),"")</f>
        <v>30.402597190366933</v>
      </c>
      <c r="M576" s="787">
        <f>IF(ISNUMBER('Base de datos Rutas'!AX574),'Base de datos Rutas'!AX574,"")</f>
        <v>438.885874990518</v>
      </c>
      <c r="N576" s="790">
        <f>IFERROR(INDEX('Hoja de apoyo v2'!B$17:B$20,MATCH($A576,'Hoja de apoyo v2'!$A$17:$A$20,0)),"")</f>
        <v>89.41621024641401</v>
      </c>
      <c r="O576" s="791">
        <f>IFERROR(INDEX('Hoja de apoyo v2'!C$17:C$20,MATCH($A576,'Hoja de apoyo v2'!$A$17:$A$20,0)),"")</f>
        <v>0.54706375874806301</v>
      </c>
      <c r="P576" s="793">
        <f>IFERROR(INDEX('Hoja de apoyo v2'!D$17:D$20,MATCH($A576,'Hoja de apoyo v2'!$A$17:$A$20,0)),"")</f>
        <v>11095.153935793827</v>
      </c>
      <c r="Q576" s="793">
        <f>IFERROR(INDEX('Hoja de apoyo v2'!E$17:E$20,MATCH($A576,'Hoja de apoyo v2'!$A$17:$A$20,0)),"")</f>
        <v>6982.3202019701848</v>
      </c>
      <c r="R576" s="793">
        <f>IFERROR(INDEX('Hoja de apoyo v2'!F$17:F$20,MATCH($A576,'Hoja de apoyo v2'!$A$17:$A$20,0)),"")</f>
        <v>448.09513474485743</v>
      </c>
      <c r="S576" s="793">
        <f>IFERROR(INDEX('Hoja de apoyo v2'!G$17:G$20,MATCH($A576,'Hoja de apoyo v2'!$A$17:$A$20,0)),"")</f>
        <v>83.406300904207839</v>
      </c>
      <c r="T576" s="792">
        <f>IFERROR(INDEX('Hoja de apoyo v2'!H$17:H$20,MATCH($A576,'Hoja de apoyo v2'!$A$17:$A$20,0)),"")</f>
        <v>378.97014028925349</v>
      </c>
      <c r="U576" s="794">
        <f t="shared" si="292"/>
        <v>0.68579400478327091</v>
      </c>
      <c r="V576" s="795">
        <f t="shared" si="293"/>
        <v>0.90132179812553315</v>
      </c>
      <c r="W576" s="795">
        <f t="shared" si="294"/>
        <v>0.38780961168716604</v>
      </c>
      <c r="X576" s="843">
        <f t="shared" si="295"/>
        <v>1.2843069926841975</v>
      </c>
      <c r="Y576" s="843">
        <f t="shared" si="296"/>
        <v>1.3647375716392185</v>
      </c>
      <c r="Z576" s="843">
        <f t="shared" si="297"/>
        <v>0.36451199562589792</v>
      </c>
      <c r="AA576" s="843">
        <f t="shared" si="298"/>
        <v>1.1581014658715145</v>
      </c>
      <c r="AB576" s="796">
        <f t="shared" si="299"/>
        <v>2</v>
      </c>
      <c r="AC576" s="797">
        <f t="shared" si="300"/>
        <v>3</v>
      </c>
      <c r="AD576" s="797">
        <f t="shared" si="301"/>
        <v>1</v>
      </c>
      <c r="AE576" s="842">
        <f t="shared" si="302"/>
        <v>5</v>
      </c>
      <c r="AF576" s="842">
        <f t="shared" si="303"/>
        <v>5</v>
      </c>
      <c r="AG576" s="842">
        <f t="shared" si="304"/>
        <v>1</v>
      </c>
      <c r="AH576" s="842">
        <f t="shared" si="305"/>
        <v>4</v>
      </c>
      <c r="AI576" s="826" cm="1">
        <f t="array" ref="AI576">SUMPRODUCT(--ISNUMBER($U576:$AA576),$AB$3:$AH$3)</f>
        <v>1</v>
      </c>
      <c r="AJ576" s="829">
        <f t="shared" si="306"/>
        <v>41.37559950393134</v>
      </c>
      <c r="AK576" s="827" t="str">
        <f t="shared" si="307"/>
        <v>Inmadura</v>
      </c>
      <c r="AL576" s="784" t="str">
        <f t="shared" si="308"/>
        <v>Alta</v>
      </c>
      <c r="AM576" s="799">
        <f>IF(ISNUMBER('Base de datos Rutas'!W574),'Base de datos Rutas'!W574,"")</f>
        <v>3293.1144020900269</v>
      </c>
      <c r="AN576" s="787">
        <f>IFERROR(SUMIFS('Base de datos Rutas'!$W$6:$W$794,'Base de datos Rutas'!$C$6:$C$794,$C576)/'Base de datos Rutas'!I574,"")</f>
        <v>3293.1144020900251</v>
      </c>
      <c r="AO576" s="800">
        <f>IFERROR('Base de datos Rutas'!X574*AN576/AM576,"")</f>
        <v>0.47791232590402694</v>
      </c>
      <c r="AP576" s="800">
        <f t="shared" si="309"/>
        <v>0.52208767409597301</v>
      </c>
      <c r="AQ576" s="789">
        <f>IFERROR(INDEX('Hoja de apoyo v2'!$J$17:$J$20,MATCH($A576,'Hoja de apoyo v2'!$A$17:$A$20,0)),"")</f>
        <v>0.64320274048480885</v>
      </c>
      <c r="AR576" s="789">
        <f t="shared" si="310"/>
        <v>-0.12111506638883585</v>
      </c>
      <c r="AS576" s="784" t="str">
        <f t="shared" si="311"/>
        <v>No</v>
      </c>
      <c r="AT576" s="801">
        <f>IF(ISNUMBER('Base de datos Rutas'!CK574),'Base de datos Rutas'!CK574,"")</f>
        <v>240</v>
      </c>
      <c r="AU576" s="802">
        <f>IF(ISNUMBER('Base de datos Rutas'!CL574),'Base de datos Rutas'!CL574,"")</f>
        <v>362.27</v>
      </c>
      <c r="AV576" s="802">
        <f>IF(ISNUMBER('Base de datos Rutas'!CM574),'Base de datos Rutas'!CM574,"")</f>
        <v>122.26999999999998</v>
      </c>
      <c r="AW576" s="802">
        <f>IF(ISNUMBER('Base de datos Rutas'!CN574),'Base de datos Rutas'!CN574,"")</f>
        <v>6.06</v>
      </c>
      <c r="AX576" s="802">
        <f>IF(ISNUMBER('Base de datos Rutas'!CO574),'Base de datos Rutas'!CO574,"")</f>
        <v>9.4499999999999993</v>
      </c>
      <c r="AY576" s="802">
        <f>IF(ISNUMBER('Base de datos Rutas'!CP574),'Base de datos Rutas'!CP574,"")</f>
        <v>3.3899999999999997</v>
      </c>
      <c r="AZ576" s="802">
        <f>IF(ISNUMBER('Base de datos Rutas'!CQ574),'Base de datos Rutas'!CQ574,"")</f>
        <v>846.56</v>
      </c>
      <c r="BA576" s="802">
        <f>IF(ISNUMBER('Base de datos Rutas'!CR574),'Base de datos Rutas'!CR574,"")</f>
        <v>641.92999999999995</v>
      </c>
      <c r="BB576" s="803">
        <f>IF(ISNUMBER('Base de datos Rutas'!CS574),'Base de datos Rutas'!CS574,"")</f>
        <v>204.63</v>
      </c>
      <c r="BC576" s="804">
        <f t="shared" si="321"/>
        <v>0</v>
      </c>
      <c r="BD576" s="805" t="str">
        <f t="shared" si="322"/>
        <v>No saturada</v>
      </c>
      <c r="BE576" s="806">
        <f t="shared" si="323"/>
        <v>0.75828057078057076</v>
      </c>
      <c r="BF576" s="890">
        <f>IF(ISNUMBER('Base de datos Rutas'!CX574),'Base de datos Rutas'!CX574/100,"")</f>
        <v>0.9482126217704363</v>
      </c>
      <c r="BG576" s="891">
        <f>IF(ISNUMBER('Base de datos Rutas'!CZ574),'Base de datos Rutas'!CZ574/100,"")</f>
        <v>1</v>
      </c>
      <c r="BH576" s="892">
        <f>IF(ISNUMBER('Base de datos Rutas'!DA574),'Base de datos Rutas'!DA574,"")</f>
        <v>568.32886073604561</v>
      </c>
      <c r="BI576" s="893">
        <f>IF(ISNUMBER('Base de datos Rutas'!DC574),'Base de datos Rutas'!DC574,"")</f>
        <v>26.681859000430883</v>
      </c>
      <c r="BJ576" s="805" t="str">
        <f t="shared" si="324"/>
        <v>Ruta (completo)</v>
      </c>
      <c r="BK576" s="783">
        <f t="shared" si="312"/>
        <v>4</v>
      </c>
      <c r="BL576" s="797">
        <f t="shared" si="313"/>
        <v>3</v>
      </c>
      <c r="BM576" s="797">
        <f t="shared" si="314"/>
        <v>3</v>
      </c>
      <c r="BN576" s="797">
        <f t="shared" si="315"/>
        <v>2</v>
      </c>
      <c r="BO576" s="798" cm="1">
        <f t="array" ref="BO576">SUMPRODUCT(--ISNUMBER($BF576:$BI576),$BK$3:$BN$3)</f>
        <v>1</v>
      </c>
      <c r="BP576" s="831">
        <f t="shared" si="325"/>
        <v>50</v>
      </c>
      <c r="BQ576" s="834" t="str">
        <f t="shared" si="326"/>
        <v>Alto</v>
      </c>
      <c r="BR576" s="836">
        <f t="shared" si="316"/>
        <v>31.031699627948505</v>
      </c>
      <c r="BS576" s="836">
        <f t="shared" si="317"/>
        <v>50</v>
      </c>
      <c r="BT576" s="837" t="str">
        <f t="shared" si="318"/>
        <v>P1</v>
      </c>
      <c r="BU576" s="807" t="str">
        <f t="shared" si="327"/>
        <v>Con espacio</v>
      </c>
      <c r="BV576" s="807" t="str">
        <f t="shared" si="319"/>
        <v>Zona atractiva</v>
      </c>
      <c r="BW576" s="808" t="str">
        <f t="shared" si="320"/>
        <v>P1 - Ampliar cobertura</v>
      </c>
    </row>
    <row r="577" spans="1:75">
      <c r="A577" s="780" t="str">
        <f>'Base de datos Rutas'!A575</f>
        <v>Occidente</v>
      </c>
      <c r="B577" s="781" t="str">
        <f>'Base de datos Rutas'!B575</f>
        <v>Favorita</v>
      </c>
      <c r="C577" s="781" t="str">
        <f>'Base de datos Rutas'!C575</f>
        <v>Suc. Santa Maria</v>
      </c>
      <c r="D577" s="782">
        <f>IF(ISNUMBER('Base de datos Rutas'!D575),'Base de datos Rutas'!D575,"Sin código")</f>
        <v>809327</v>
      </c>
      <c r="E577" s="783" t="str">
        <f>'Base de datos Rutas'!F575</f>
        <v>Activa</v>
      </c>
      <c r="F577" s="784" t="str">
        <f>'Base de datos Rutas'!H575</f>
        <v>Sí</v>
      </c>
      <c r="G577" s="785">
        <f>IF(ISNUMBER('Base de datos Rutas'!BE575),'Base de datos Rutas'!BE575,"")</f>
        <v>70.147126436781605</v>
      </c>
      <c r="H577" s="786">
        <f>IF(ISNUMBER('Base de datos Rutas'!BH575),'Base de datos Rutas'!BH575,"")</f>
        <v>0.52808546896506503</v>
      </c>
      <c r="I577" s="788">
        <f>IFERROR(IF(OR(NOT(ISNUMBER('Base de datos Rutas'!O575)),N('Base de datos Rutas'!BK575)=0),"",'Base de datos Rutas'!O575/('Base de datos Rutas'!L575/'Base de datos Rutas'!BK575)),"")</f>
        <v>5823.2827586206831</v>
      </c>
      <c r="J577" s="788">
        <f>IFERROR(IF(OR(NOT(ISNUMBER('Base de datos Rutas'!N575)),N('Base de datos Rutas'!BK575)=0),"",'Base de datos Rutas'!N575/('Base de datos Rutas'!L575/'Base de datos Rutas'!BK575)),"")</f>
        <v>8109.4390804597606</v>
      </c>
      <c r="K577" s="788">
        <f>IFERROR(IF(OR(NOT(ISNUMBER('Base de datos Rutas'!J575)),N('Base de datos Rutas'!BK575)=0),"",'Base de datos Rutas'!J575/('Base de datos Rutas'!L575/'Base de datos Rutas'!BK575)),"")</f>
        <v>553.68889011494184</v>
      </c>
      <c r="L577" s="788">
        <f>IFERROR(IF(OR(NOT(ISNUMBER('Base de datos Rutas'!K575)),N('Base de datos Rutas'!BK575)=0),"",'Base de datos Rutas'!K575/('Base de datos Rutas'!L575/'Base de datos Rutas'!BK575)),"")</f>
        <v>39.751496797701108</v>
      </c>
      <c r="M577" s="787">
        <f>IF(ISNUMBER('Base de datos Rutas'!AX575),'Base de datos Rutas'!AX575,"")</f>
        <v>376.11603698647099</v>
      </c>
      <c r="N577" s="790">
        <f>IFERROR(INDEX('Hoja de apoyo v2'!B$17:B$20,MATCH($A577,'Hoja de apoyo v2'!$A$17:$A$20,0)),"")</f>
        <v>89.41621024641401</v>
      </c>
      <c r="O577" s="791">
        <f>IFERROR(INDEX('Hoja de apoyo v2'!C$17:C$20,MATCH($A577,'Hoja de apoyo v2'!$A$17:$A$20,0)),"")</f>
        <v>0.54706375874806301</v>
      </c>
      <c r="P577" s="793">
        <f>IFERROR(INDEX('Hoja de apoyo v2'!D$17:D$20,MATCH($A577,'Hoja de apoyo v2'!$A$17:$A$20,0)),"")</f>
        <v>11095.153935793827</v>
      </c>
      <c r="Q577" s="793">
        <f>IFERROR(INDEX('Hoja de apoyo v2'!E$17:E$20,MATCH($A577,'Hoja de apoyo v2'!$A$17:$A$20,0)),"")</f>
        <v>6982.3202019701848</v>
      </c>
      <c r="R577" s="793">
        <f>IFERROR(INDEX('Hoja de apoyo v2'!F$17:F$20,MATCH($A577,'Hoja de apoyo v2'!$A$17:$A$20,0)),"")</f>
        <v>448.09513474485743</v>
      </c>
      <c r="S577" s="793">
        <f>IFERROR(INDEX('Hoja de apoyo v2'!G$17:G$20,MATCH($A577,'Hoja de apoyo v2'!$A$17:$A$20,0)),"")</f>
        <v>83.406300904207839</v>
      </c>
      <c r="T577" s="792">
        <f>IFERROR(INDEX('Hoja de apoyo v2'!H$17:H$20,MATCH($A577,'Hoja de apoyo v2'!$A$17:$A$20,0)),"")</f>
        <v>378.97014028925349</v>
      </c>
      <c r="U577" s="794">
        <f t="shared" si="292"/>
        <v>0.78450122459305216</v>
      </c>
      <c r="V577" s="795">
        <f t="shared" si="293"/>
        <v>0.96530881550912973</v>
      </c>
      <c r="W577" s="795">
        <f t="shared" si="294"/>
        <v>0.52484920825066894</v>
      </c>
      <c r="X577" s="843">
        <f t="shared" si="295"/>
        <v>1.161424690630994</v>
      </c>
      <c r="Y577" s="843">
        <f t="shared" si="296"/>
        <v>1.2356503054428583</v>
      </c>
      <c r="Z577" s="843">
        <f t="shared" si="297"/>
        <v>0.47660064487640702</v>
      </c>
      <c r="AA577" s="843">
        <f t="shared" si="298"/>
        <v>0.99246879107519115</v>
      </c>
      <c r="AB577" s="796">
        <f t="shared" si="299"/>
        <v>3</v>
      </c>
      <c r="AC577" s="797">
        <f t="shared" si="300"/>
        <v>3</v>
      </c>
      <c r="AD577" s="797">
        <f t="shared" si="301"/>
        <v>2</v>
      </c>
      <c r="AE577" s="842">
        <f t="shared" si="302"/>
        <v>4</v>
      </c>
      <c r="AF577" s="842">
        <f t="shared" si="303"/>
        <v>4</v>
      </c>
      <c r="AG577" s="842">
        <f t="shared" si="304"/>
        <v>1</v>
      </c>
      <c r="AH577" s="842">
        <f t="shared" si="305"/>
        <v>3</v>
      </c>
      <c r="AI577" s="826" cm="1">
        <f t="array" ref="AI577">SUMPRODUCT(--ISNUMBER($U577:$AA577),$AB$3:$AH$3)</f>
        <v>1</v>
      </c>
      <c r="AJ577" s="829">
        <f t="shared" si="306"/>
        <v>42.443187152811078</v>
      </c>
      <c r="AK577" s="827" t="str">
        <f t="shared" si="307"/>
        <v>Inmadura</v>
      </c>
      <c r="AL577" s="784" t="str">
        <f t="shared" si="308"/>
        <v>Alta</v>
      </c>
      <c r="AM577" s="799">
        <f>IF(ISNUMBER('Base de datos Rutas'!W575),'Base de datos Rutas'!W575,"")</f>
        <v>3293.1144020900269</v>
      </c>
      <c r="AN577" s="787">
        <f>IFERROR(SUMIFS('Base de datos Rutas'!$W$6:$W$794,'Base de datos Rutas'!$C$6:$C$794,$C577)/'Base de datos Rutas'!I575,"")</f>
        <v>3293.1144020900251</v>
      </c>
      <c r="AO577" s="800">
        <f>IFERROR('Base de datos Rutas'!X575*AN577/AM577,"")</f>
        <v>0.47791232590402694</v>
      </c>
      <c r="AP577" s="800">
        <f t="shared" si="309"/>
        <v>0.52208767409597301</v>
      </c>
      <c r="AQ577" s="789">
        <f>IFERROR(INDEX('Hoja de apoyo v2'!$J$17:$J$20,MATCH($A577,'Hoja de apoyo v2'!$A$17:$A$20,0)),"")</f>
        <v>0.64320274048480885</v>
      </c>
      <c r="AR577" s="789">
        <f t="shared" si="310"/>
        <v>-0.12111506638883585</v>
      </c>
      <c r="AS577" s="784" t="str">
        <f t="shared" si="311"/>
        <v>No</v>
      </c>
      <c r="AT577" s="801">
        <f>IF(ISNUMBER('Base de datos Rutas'!CK575),'Base de datos Rutas'!CK575,"")</f>
        <v>307</v>
      </c>
      <c r="AU577" s="802">
        <f>IF(ISNUMBER('Base de datos Rutas'!CL575),'Base de datos Rutas'!CL575,"")</f>
        <v>374.64</v>
      </c>
      <c r="AV577" s="802">
        <f>IF(ISNUMBER('Base de datos Rutas'!CM575),'Base de datos Rutas'!CM575,"")</f>
        <v>67.639999999999986</v>
      </c>
      <c r="AW577" s="802">
        <f>IF(ISNUMBER('Base de datos Rutas'!CN575),'Base de datos Rutas'!CN575,"")</f>
        <v>7.24</v>
      </c>
      <c r="AX577" s="802">
        <f>IF(ISNUMBER('Base de datos Rutas'!CO575),'Base de datos Rutas'!CO575,"")</f>
        <v>9.4499999999999993</v>
      </c>
      <c r="AY577" s="802">
        <f>IF(ISNUMBER('Base de datos Rutas'!CP575),'Base de datos Rutas'!CP575,"")</f>
        <v>2.2099999999999991</v>
      </c>
      <c r="AZ577" s="802">
        <f>IF(ISNUMBER('Base de datos Rutas'!CQ575),'Base de datos Rutas'!CQ575,"")</f>
        <v>846.56</v>
      </c>
      <c r="BA577" s="802">
        <f>IF(ISNUMBER('Base de datos Rutas'!CR575),'Base de datos Rutas'!CR575,"")</f>
        <v>593.44000000000005</v>
      </c>
      <c r="BB577" s="803">
        <f>IF(ISNUMBER('Base de datos Rutas'!CS575),'Base de datos Rutas'!CS575,"")</f>
        <v>253.11999999999989</v>
      </c>
      <c r="BC577" s="804">
        <f t="shared" si="321"/>
        <v>0</v>
      </c>
      <c r="BD577" s="805" t="str">
        <f t="shared" si="322"/>
        <v>No saturada</v>
      </c>
      <c r="BE577" s="806">
        <f t="shared" si="323"/>
        <v>0.70100170100170112</v>
      </c>
      <c r="BF577" s="890">
        <f>IF(ISNUMBER('Base de datos Rutas'!CX575),'Base de datos Rutas'!CX575/100,"")</f>
        <v>0.95550000000000002</v>
      </c>
      <c r="BG577" s="891">
        <f>IF(ISNUMBER('Base de datos Rutas'!CZ575),'Base de datos Rutas'!CZ575/100,"")</f>
        <v>1</v>
      </c>
      <c r="BH577" s="892">
        <f>IF(ISNUMBER('Base de datos Rutas'!DA575),'Base de datos Rutas'!DA575,"")</f>
        <v>866.24355647375967</v>
      </c>
      <c r="BI577" s="893">
        <f>IF(ISNUMBER('Base de datos Rutas'!DC575),'Base de datos Rutas'!DC575,"")</f>
        <v>36.267888186238693</v>
      </c>
      <c r="BJ577" s="805" t="str">
        <f t="shared" si="324"/>
        <v>Ruta (completo)</v>
      </c>
      <c r="BK577" s="783">
        <f t="shared" si="312"/>
        <v>4</v>
      </c>
      <c r="BL577" s="797">
        <f t="shared" si="313"/>
        <v>3</v>
      </c>
      <c r="BM577" s="797">
        <f t="shared" si="314"/>
        <v>4</v>
      </c>
      <c r="BN577" s="797">
        <f t="shared" si="315"/>
        <v>3</v>
      </c>
      <c r="BO577" s="798" cm="1">
        <f t="array" ref="BO577">SUMPRODUCT(--ISNUMBER($BF577:$BI577),$BK$3:$BN$3)</f>
        <v>1</v>
      </c>
      <c r="BP577" s="831">
        <f t="shared" si="325"/>
        <v>62.5</v>
      </c>
      <c r="BQ577" s="834" t="str">
        <f t="shared" si="326"/>
        <v>Alto</v>
      </c>
      <c r="BR577" s="836">
        <f t="shared" si="316"/>
        <v>31.832390364608308</v>
      </c>
      <c r="BS577" s="836">
        <f t="shared" si="317"/>
        <v>62.5</v>
      </c>
      <c r="BT577" s="837" t="str">
        <f t="shared" si="318"/>
        <v>P1</v>
      </c>
      <c r="BU577" s="807" t="str">
        <f t="shared" si="327"/>
        <v>Con espacio</v>
      </c>
      <c r="BV577" s="807" t="str">
        <f t="shared" si="319"/>
        <v>Zona atractiva</v>
      </c>
      <c r="BW577" s="808" t="str">
        <f t="shared" si="320"/>
        <v>P1 - Ampliar cobertura</v>
      </c>
    </row>
    <row r="578" spans="1:75">
      <c r="A578" s="780" t="str">
        <f>'Base de datos Rutas'!A576</f>
        <v>Occidente</v>
      </c>
      <c r="B578" s="781" t="str">
        <f>'Base de datos Rutas'!B576</f>
        <v>Favorita</v>
      </c>
      <c r="C578" s="781" t="str">
        <f>'Base de datos Rutas'!C576</f>
        <v>Suc. Santa Maria</v>
      </c>
      <c r="D578" s="782">
        <f>IF(ISNUMBER('Base de datos Rutas'!D576),'Base de datos Rutas'!D576,"Sin código")</f>
        <v>809328</v>
      </c>
      <c r="E578" s="783" t="str">
        <f>'Base de datos Rutas'!F576</f>
        <v>Activa</v>
      </c>
      <c r="F578" s="784" t="str">
        <f>'Base de datos Rutas'!H576</f>
        <v>Sí</v>
      </c>
      <c r="G578" s="785">
        <f>IF(ISNUMBER('Base de datos Rutas'!BE576),'Base de datos Rutas'!BE576,"")</f>
        <v>65.504587155963307</v>
      </c>
      <c r="H578" s="786">
        <f>IF(ISNUMBER('Base de datos Rutas'!BH576),'Base de datos Rutas'!BH576,"")</f>
        <v>0.50409663865546195</v>
      </c>
      <c r="I578" s="788">
        <f>IFERROR(IF(OR(NOT(ISNUMBER('Base de datos Rutas'!O576)),N('Base de datos Rutas'!BK576)=0),"",'Base de datos Rutas'!O576/('Base de datos Rutas'!L576/'Base de datos Rutas'!BK576)),"")</f>
        <v>4707.95871559634</v>
      </c>
      <c r="J578" s="788">
        <f>IFERROR(IF(OR(NOT(ISNUMBER('Base de datos Rutas'!N576)),N('Base de datos Rutas'!BK576)=0),"",'Base de datos Rutas'!N576/('Base de datos Rutas'!L576/'Base de datos Rutas'!BK576)),"")</f>
        <v>6798.6628440367112</v>
      </c>
      <c r="K578" s="788">
        <f>IFERROR(IF(OR(NOT(ISNUMBER('Base de datos Rutas'!J576)),N('Base de datos Rutas'!BK576)=0),"",'Base de datos Rutas'!J576/('Base de datos Rutas'!L576/'Base de datos Rutas'!BK576)),"")</f>
        <v>475.55631559632894</v>
      </c>
      <c r="L578" s="788">
        <f>IFERROR(IF(OR(NOT(ISNUMBER('Base de datos Rutas'!K576)),N('Base de datos Rutas'!BK576)=0),"",'Base de datos Rutas'!K576/('Base de datos Rutas'!L576/'Base de datos Rutas'!BK576)),"")</f>
        <v>36.872923967889982</v>
      </c>
      <c r="M578" s="787">
        <f>IF(ISNUMBER('Base de datos Rutas'!AX576),'Base de datos Rutas'!AX576,"")</f>
        <v>348.467471000903</v>
      </c>
      <c r="N578" s="790">
        <f>IFERROR(INDEX('Hoja de apoyo v2'!B$17:B$20,MATCH($A578,'Hoja de apoyo v2'!$A$17:$A$20,0)),"")</f>
        <v>89.41621024641401</v>
      </c>
      <c r="O578" s="791">
        <f>IFERROR(INDEX('Hoja de apoyo v2'!C$17:C$20,MATCH($A578,'Hoja de apoyo v2'!$A$17:$A$20,0)),"")</f>
        <v>0.54706375874806301</v>
      </c>
      <c r="P578" s="793">
        <f>IFERROR(INDEX('Hoja de apoyo v2'!D$17:D$20,MATCH($A578,'Hoja de apoyo v2'!$A$17:$A$20,0)),"")</f>
        <v>11095.153935793827</v>
      </c>
      <c r="Q578" s="793">
        <f>IFERROR(INDEX('Hoja de apoyo v2'!E$17:E$20,MATCH($A578,'Hoja de apoyo v2'!$A$17:$A$20,0)),"")</f>
        <v>6982.3202019701848</v>
      </c>
      <c r="R578" s="793">
        <f>IFERROR(INDEX('Hoja de apoyo v2'!F$17:F$20,MATCH($A578,'Hoja de apoyo v2'!$A$17:$A$20,0)),"")</f>
        <v>448.09513474485743</v>
      </c>
      <c r="S578" s="793">
        <f>IFERROR(INDEX('Hoja de apoyo v2'!G$17:G$20,MATCH($A578,'Hoja de apoyo v2'!$A$17:$A$20,0)),"")</f>
        <v>83.406300904207839</v>
      </c>
      <c r="T578" s="792">
        <f>IFERROR(INDEX('Hoja de apoyo v2'!H$17:H$20,MATCH($A578,'Hoja de apoyo v2'!$A$17:$A$20,0)),"")</f>
        <v>378.97014028925349</v>
      </c>
      <c r="U578" s="794">
        <f t="shared" si="292"/>
        <v>0.73258066938248856</v>
      </c>
      <c r="V578" s="795">
        <f t="shared" si="293"/>
        <v>0.92145866106917795</v>
      </c>
      <c r="W578" s="795">
        <f t="shared" si="294"/>
        <v>0.42432567793476933</v>
      </c>
      <c r="X578" s="843">
        <f t="shared" si="295"/>
        <v>0.97369680097431632</v>
      </c>
      <c r="Y578" s="843">
        <f t="shared" si="296"/>
        <v>1.0612842647066627</v>
      </c>
      <c r="Z578" s="843">
        <f t="shared" si="297"/>
        <v>0.4420879905732607</v>
      </c>
      <c r="AA578" s="843">
        <f t="shared" si="298"/>
        <v>0.91951168167215247</v>
      </c>
      <c r="AB578" s="796">
        <f t="shared" si="299"/>
        <v>2</v>
      </c>
      <c r="AC578" s="797">
        <f t="shared" si="300"/>
        <v>3</v>
      </c>
      <c r="AD578" s="797">
        <f t="shared" si="301"/>
        <v>1</v>
      </c>
      <c r="AE578" s="842">
        <f t="shared" si="302"/>
        <v>3</v>
      </c>
      <c r="AF578" s="842">
        <f t="shared" si="303"/>
        <v>4</v>
      </c>
      <c r="AG578" s="842">
        <f t="shared" si="304"/>
        <v>1</v>
      </c>
      <c r="AH578" s="842">
        <f t="shared" si="305"/>
        <v>3</v>
      </c>
      <c r="AI578" s="826" cm="1">
        <f t="array" ref="AI578">SUMPRODUCT(--ISNUMBER($U578:$AA578),$AB$3:$AH$3)</f>
        <v>1</v>
      </c>
      <c r="AJ578" s="829">
        <f t="shared" si="306"/>
        <v>29.385931859127602</v>
      </c>
      <c r="AK578" s="827" t="str">
        <f t="shared" si="307"/>
        <v>Inmadura</v>
      </c>
      <c r="AL578" s="784" t="str">
        <f t="shared" si="308"/>
        <v>Alta</v>
      </c>
      <c r="AM578" s="799">
        <f>IF(ISNUMBER('Base de datos Rutas'!W576),'Base de datos Rutas'!W576,"")</f>
        <v>3293.1144020900269</v>
      </c>
      <c r="AN578" s="787">
        <f>IFERROR(SUMIFS('Base de datos Rutas'!$W$6:$W$794,'Base de datos Rutas'!$C$6:$C$794,$C578)/'Base de datos Rutas'!I576,"")</f>
        <v>3293.1144020900251</v>
      </c>
      <c r="AO578" s="800">
        <f>IFERROR('Base de datos Rutas'!X576*AN578/AM578,"")</f>
        <v>0.47791232590402694</v>
      </c>
      <c r="AP578" s="800">
        <f t="shared" si="309"/>
        <v>0.52208767409597301</v>
      </c>
      <c r="AQ578" s="789">
        <f>IFERROR(INDEX('Hoja de apoyo v2'!$J$17:$J$20,MATCH($A578,'Hoja de apoyo v2'!$A$17:$A$20,0)),"")</f>
        <v>0.64320274048480885</v>
      </c>
      <c r="AR578" s="789">
        <f t="shared" si="310"/>
        <v>-0.12111506638883585</v>
      </c>
      <c r="AS578" s="784" t="str">
        <f t="shared" si="311"/>
        <v>No</v>
      </c>
      <c r="AT578" s="801">
        <f>IF(ISNUMBER('Base de datos Rutas'!CK576),'Base de datos Rutas'!CK576,"")</f>
        <v>232</v>
      </c>
      <c r="AU578" s="802">
        <f>IF(ISNUMBER('Base de datos Rutas'!CL576),'Base de datos Rutas'!CL576,"")</f>
        <v>350.57</v>
      </c>
      <c r="AV578" s="802">
        <f>IF(ISNUMBER('Base de datos Rutas'!CM576),'Base de datos Rutas'!CM576,"")</f>
        <v>118.57</v>
      </c>
      <c r="AW578" s="802">
        <f>IF(ISNUMBER('Base de datos Rutas'!CN576),'Base de datos Rutas'!CN576,"")</f>
        <v>5.5</v>
      </c>
      <c r="AX578" s="802">
        <f>IF(ISNUMBER('Base de datos Rutas'!CO576),'Base de datos Rutas'!CO576,"")</f>
        <v>9.4499999999999993</v>
      </c>
      <c r="AY578" s="802">
        <f>IF(ISNUMBER('Base de datos Rutas'!CP576),'Base de datos Rutas'!CP576,"")</f>
        <v>3.9499999999999993</v>
      </c>
      <c r="AZ578" s="802">
        <f>IF(ISNUMBER('Base de datos Rutas'!CQ576),'Base de datos Rutas'!CQ576,"")</f>
        <v>846.56</v>
      </c>
      <c r="BA578" s="802">
        <f>IF(ISNUMBER('Base de datos Rutas'!CR576),'Base de datos Rutas'!CR576,"")</f>
        <v>512.42999999999995</v>
      </c>
      <c r="BB578" s="803">
        <f>IF(ISNUMBER('Base de datos Rutas'!CS576),'Base de datos Rutas'!CS576,"")</f>
        <v>334.13</v>
      </c>
      <c r="BC578" s="804">
        <f t="shared" si="321"/>
        <v>0</v>
      </c>
      <c r="BD578" s="805" t="str">
        <f t="shared" si="322"/>
        <v>No saturada</v>
      </c>
      <c r="BE578" s="806">
        <f t="shared" si="323"/>
        <v>0.60530854280854274</v>
      </c>
      <c r="BF578" s="890">
        <f>IF(ISNUMBER('Base de datos Rutas'!CX576),'Base de datos Rutas'!CX576/100,"")</f>
        <v>0.94227361246348595</v>
      </c>
      <c r="BG578" s="891">
        <f>IF(ISNUMBER('Base de datos Rutas'!CZ576),'Base de datos Rutas'!CZ576/100,"")</f>
        <v>1</v>
      </c>
      <c r="BH578" s="892">
        <f>IF(ISNUMBER('Base de datos Rutas'!DA576),'Base de datos Rutas'!DA576,"")</f>
        <v>714.09269666800151</v>
      </c>
      <c r="BI578" s="893">
        <f>IF(ISNUMBER('Base de datos Rutas'!DC576),'Base de datos Rutas'!DC576,"")</f>
        <v>34.102740072816985</v>
      </c>
      <c r="BJ578" s="805" t="str">
        <f t="shared" si="324"/>
        <v>Ruta (completo)</v>
      </c>
      <c r="BK578" s="783">
        <f t="shared" si="312"/>
        <v>4</v>
      </c>
      <c r="BL578" s="797">
        <f t="shared" si="313"/>
        <v>3</v>
      </c>
      <c r="BM578" s="797">
        <f t="shared" si="314"/>
        <v>3</v>
      </c>
      <c r="BN578" s="797">
        <f t="shared" si="315"/>
        <v>3</v>
      </c>
      <c r="BO578" s="798" cm="1">
        <f t="array" ref="BO578">SUMPRODUCT(--ISNUMBER($BF578:$BI578),$BK$3:$BN$3)</f>
        <v>1</v>
      </c>
      <c r="BP578" s="831">
        <f t="shared" si="325"/>
        <v>56.25</v>
      </c>
      <c r="BQ578" s="834" t="str">
        <f t="shared" si="326"/>
        <v>Alto</v>
      </c>
      <c r="BR578" s="836">
        <f t="shared" si="316"/>
        <v>22.039448894345703</v>
      </c>
      <c r="BS578" s="836">
        <f t="shared" si="317"/>
        <v>56.25</v>
      </c>
      <c r="BT578" s="837" t="str">
        <f t="shared" si="318"/>
        <v>P3</v>
      </c>
      <c r="BU578" s="807" t="str">
        <f t="shared" si="327"/>
        <v>Con espacio</v>
      </c>
      <c r="BV578" s="807" t="str">
        <f t="shared" si="319"/>
        <v>Zona atractiva</v>
      </c>
      <c r="BW578" s="808" t="str">
        <f t="shared" si="320"/>
        <v>P3 - Desarrollar</v>
      </c>
    </row>
    <row r="579" spans="1:75">
      <c r="A579" s="780" t="str">
        <f>'Base de datos Rutas'!A577</f>
        <v>Occidente</v>
      </c>
      <c r="B579" s="781" t="str">
        <f>'Base de datos Rutas'!B577</f>
        <v>Favorita</v>
      </c>
      <c r="C579" s="781" t="str">
        <f>'Base de datos Rutas'!C577</f>
        <v>Suc. Santa Maria</v>
      </c>
      <c r="D579" s="782">
        <f>IF(ISNUMBER('Base de datos Rutas'!D577),'Base de datos Rutas'!D577,"Sin código")</f>
        <v>809329</v>
      </c>
      <c r="E579" s="783" t="str">
        <f>'Base de datos Rutas'!F577</f>
        <v>Activa</v>
      </c>
      <c r="F579" s="784" t="str">
        <f>'Base de datos Rutas'!H577</f>
        <v>Sí</v>
      </c>
      <c r="G579" s="785">
        <f>IF(ISNUMBER('Base de datos Rutas'!BE577),'Base de datos Rutas'!BE577,"")</f>
        <v>52.447247706421997</v>
      </c>
      <c r="H579" s="786">
        <f>IF(ISNUMBER('Base de datos Rutas'!BH577),'Base de datos Rutas'!BH577,"")</f>
        <v>0.41400271133073901</v>
      </c>
      <c r="I579" s="788">
        <f>IFERROR(IF(OR(NOT(ISNUMBER('Base de datos Rutas'!O577)),N('Base de datos Rutas'!BK577)=0),"",'Base de datos Rutas'!O577/('Base de datos Rutas'!L577/'Base de datos Rutas'!BK577)),"")</f>
        <v>3791.4655963302698</v>
      </c>
      <c r="J579" s="788">
        <f>IFERROR(IF(OR(NOT(ISNUMBER('Base de datos Rutas'!N577)),N('Base de datos Rutas'!BK577)=0),"",'Base de datos Rutas'!N577/('Base de datos Rutas'!L577/'Base de datos Rutas'!BK577)),"")</f>
        <v>5045.2637614678824</v>
      </c>
      <c r="K579" s="788">
        <f>IFERROR(IF(OR(NOT(ISNUMBER('Base de datos Rutas'!J577)),N('Base de datos Rutas'!BK577)=0),"",'Base de datos Rutas'!J577/('Base de datos Rutas'!L577/'Base de datos Rutas'!BK577)),"")</f>
        <v>344.04799633027471</v>
      </c>
      <c r="L579" s="788">
        <f>IFERROR(IF(OR(NOT(ISNUMBER('Base de datos Rutas'!K577)),N('Base de datos Rutas'!BK577)=0),"",'Base de datos Rutas'!K577/('Base de datos Rutas'!L577/'Base de datos Rutas'!BK577)),"")</f>
        <v>23.393922286697212</v>
      </c>
      <c r="M579" s="787">
        <f>IF(ISNUMBER('Base de datos Rutas'!AX577),'Base de datos Rutas'!AX577,"")</f>
        <v>406.68549910214398</v>
      </c>
      <c r="N579" s="790">
        <f>IFERROR(INDEX('Hoja de apoyo v2'!B$17:B$20,MATCH($A579,'Hoja de apoyo v2'!$A$17:$A$20,0)),"")</f>
        <v>89.41621024641401</v>
      </c>
      <c r="O579" s="791">
        <f>IFERROR(INDEX('Hoja de apoyo v2'!C$17:C$20,MATCH($A579,'Hoja de apoyo v2'!$A$17:$A$20,0)),"")</f>
        <v>0.54706375874806301</v>
      </c>
      <c r="P579" s="793">
        <f>IFERROR(INDEX('Hoja de apoyo v2'!D$17:D$20,MATCH($A579,'Hoja de apoyo v2'!$A$17:$A$20,0)),"")</f>
        <v>11095.153935793827</v>
      </c>
      <c r="Q579" s="793">
        <f>IFERROR(INDEX('Hoja de apoyo v2'!E$17:E$20,MATCH($A579,'Hoja de apoyo v2'!$A$17:$A$20,0)),"")</f>
        <v>6982.3202019701848</v>
      </c>
      <c r="R579" s="793">
        <f>IFERROR(INDEX('Hoja de apoyo v2'!F$17:F$20,MATCH($A579,'Hoja de apoyo v2'!$A$17:$A$20,0)),"")</f>
        <v>448.09513474485743</v>
      </c>
      <c r="S579" s="793">
        <f>IFERROR(INDEX('Hoja de apoyo v2'!G$17:G$20,MATCH($A579,'Hoja de apoyo v2'!$A$17:$A$20,0)),"")</f>
        <v>83.406300904207839</v>
      </c>
      <c r="T579" s="792">
        <f>IFERROR(INDEX('Hoja de apoyo v2'!H$17:H$20,MATCH($A579,'Hoja de apoyo v2'!$A$17:$A$20,0)),"")</f>
        <v>378.97014028925349</v>
      </c>
      <c r="U579" s="794">
        <f t="shared" si="292"/>
        <v>0.58655189659556572</v>
      </c>
      <c r="V579" s="795">
        <f t="shared" si="293"/>
        <v>0.75677232262318062</v>
      </c>
      <c r="W579" s="795">
        <f t="shared" si="294"/>
        <v>0.3417226672357116</v>
      </c>
      <c r="X579" s="843">
        <f t="shared" si="295"/>
        <v>0.72257696804627669</v>
      </c>
      <c r="Y579" s="843">
        <f t="shared" si="296"/>
        <v>0.76780123159822633</v>
      </c>
      <c r="Z579" s="843">
        <f t="shared" si="297"/>
        <v>0.28048147481765362</v>
      </c>
      <c r="AA579" s="843">
        <f t="shared" si="298"/>
        <v>1.0731333576617315</v>
      </c>
      <c r="AB579" s="796">
        <f t="shared" si="299"/>
        <v>2</v>
      </c>
      <c r="AC579" s="797">
        <f t="shared" si="300"/>
        <v>3</v>
      </c>
      <c r="AD579" s="797">
        <f t="shared" si="301"/>
        <v>1</v>
      </c>
      <c r="AE579" s="842">
        <f t="shared" si="302"/>
        <v>2</v>
      </c>
      <c r="AF579" s="842">
        <f t="shared" si="303"/>
        <v>3</v>
      </c>
      <c r="AG579" s="842">
        <f t="shared" si="304"/>
        <v>1</v>
      </c>
      <c r="AH579" s="842">
        <f t="shared" si="305"/>
        <v>4</v>
      </c>
      <c r="AI579" s="826" cm="1">
        <f t="array" ref="AI579">SUMPRODUCT(--ISNUMBER($U579:$AA579),$AB$3:$AH$3)</f>
        <v>1</v>
      </c>
      <c r="AJ579" s="829">
        <f t="shared" si="306"/>
        <v>25.295167541195685</v>
      </c>
      <c r="AK579" s="827" t="str">
        <f t="shared" si="307"/>
        <v>Inmadura</v>
      </c>
      <c r="AL579" s="784" t="str">
        <f t="shared" si="308"/>
        <v>Alta</v>
      </c>
      <c r="AM579" s="799">
        <f>IF(ISNUMBER('Base de datos Rutas'!W577),'Base de datos Rutas'!W577,"")</f>
        <v>3293.1144020900269</v>
      </c>
      <c r="AN579" s="787">
        <f>IFERROR(SUMIFS('Base de datos Rutas'!$W$6:$W$794,'Base de datos Rutas'!$C$6:$C$794,$C579)/'Base de datos Rutas'!I577,"")</f>
        <v>3293.1144020900251</v>
      </c>
      <c r="AO579" s="800">
        <f>IFERROR('Base de datos Rutas'!X577*AN579/AM579,"")</f>
        <v>0.47791232590402694</v>
      </c>
      <c r="AP579" s="800">
        <f t="shared" si="309"/>
        <v>0.52208767409597301</v>
      </c>
      <c r="AQ579" s="789">
        <f>IFERROR(INDEX('Hoja de apoyo v2'!$J$17:$J$20,MATCH($A579,'Hoja de apoyo v2'!$A$17:$A$20,0)),"")</f>
        <v>0.64320274048480885</v>
      </c>
      <c r="AR579" s="789">
        <f t="shared" si="310"/>
        <v>-0.12111506638883585</v>
      </c>
      <c r="AS579" s="784" t="str">
        <f t="shared" si="311"/>
        <v>No</v>
      </c>
      <c r="AT579" s="801">
        <f>IF(ISNUMBER('Base de datos Rutas'!CK577),'Base de datos Rutas'!CK577,"")</f>
        <v>218</v>
      </c>
      <c r="AU579" s="802">
        <f>IF(ISNUMBER('Base de datos Rutas'!CL577),'Base de datos Rutas'!CL577,"")</f>
        <v>293.89999999999998</v>
      </c>
      <c r="AV579" s="802">
        <f>IF(ISNUMBER('Base de datos Rutas'!CM577),'Base de datos Rutas'!CM577,"")</f>
        <v>75.899999999999977</v>
      </c>
      <c r="AW579" s="802">
        <f>IF(ISNUMBER('Base de datos Rutas'!CN577),'Base de datos Rutas'!CN577,"")</f>
        <v>5.6</v>
      </c>
      <c r="AX579" s="802">
        <f>IF(ISNUMBER('Base de datos Rutas'!CO577),'Base de datos Rutas'!CO577,"")</f>
        <v>9.4499999999999993</v>
      </c>
      <c r="AY579" s="802">
        <f>IF(ISNUMBER('Base de datos Rutas'!CP577),'Base de datos Rutas'!CP577,"")</f>
        <v>3.8499999999999996</v>
      </c>
      <c r="AZ579" s="802">
        <f>IF(ISNUMBER('Base de datos Rutas'!CQ577),'Base de datos Rutas'!CQ577,"")</f>
        <v>564.37</v>
      </c>
      <c r="BA579" s="802">
        <f>IF(ISNUMBER('Base de datos Rutas'!CR577),'Base de datos Rutas'!CR577,"")</f>
        <v>367.44</v>
      </c>
      <c r="BB579" s="803">
        <f>IF(ISNUMBER('Base de datos Rutas'!CS577),'Base de datos Rutas'!CS577,"")</f>
        <v>196.93</v>
      </c>
      <c r="BC579" s="804">
        <f t="shared" si="321"/>
        <v>0</v>
      </c>
      <c r="BD579" s="805" t="str">
        <f t="shared" si="322"/>
        <v>No saturada</v>
      </c>
      <c r="BE579" s="806">
        <f t="shared" si="323"/>
        <v>0.65106224639863919</v>
      </c>
      <c r="BF579" s="890">
        <f>IF(ISNUMBER('Base de datos Rutas'!CX577),'Base de datos Rutas'!CX577/100,"")</f>
        <v>0.96059190031152641</v>
      </c>
      <c r="BG579" s="891">
        <f>IF(ISNUMBER('Base de datos Rutas'!CZ577),'Base de datos Rutas'!CZ577/100,"")</f>
        <v>1</v>
      </c>
      <c r="BH579" s="892">
        <f>IF(ISNUMBER('Base de datos Rutas'!DA577),'Base de datos Rutas'!DA577,"")</f>
        <v>925.621309755732</v>
      </c>
      <c r="BI579" s="893">
        <f>IF(ISNUMBER('Base de datos Rutas'!DC577),'Base de datos Rutas'!DC577,"")</f>
        <v>41.356316499325644</v>
      </c>
      <c r="BJ579" s="805" t="str">
        <f t="shared" si="324"/>
        <v>Ruta (completo)</v>
      </c>
      <c r="BK579" s="783">
        <f t="shared" si="312"/>
        <v>5</v>
      </c>
      <c r="BL579" s="797">
        <f t="shared" si="313"/>
        <v>3</v>
      </c>
      <c r="BM579" s="797">
        <f t="shared" si="314"/>
        <v>4</v>
      </c>
      <c r="BN579" s="797">
        <f t="shared" si="315"/>
        <v>4</v>
      </c>
      <c r="BO579" s="798" cm="1">
        <f t="array" ref="BO579">SUMPRODUCT(--ISNUMBER($BF579:$BI579),$BK$3:$BN$3)</f>
        <v>1</v>
      </c>
      <c r="BP579" s="831">
        <f t="shared" si="325"/>
        <v>75</v>
      </c>
      <c r="BQ579" s="834" t="str">
        <f t="shared" si="326"/>
        <v>Alto</v>
      </c>
      <c r="BR579" s="836">
        <f t="shared" si="316"/>
        <v>18.971375655896765</v>
      </c>
      <c r="BS579" s="836">
        <f t="shared" si="317"/>
        <v>75</v>
      </c>
      <c r="BT579" s="837" t="str">
        <f t="shared" si="318"/>
        <v>P3</v>
      </c>
      <c r="BU579" s="807" t="str">
        <f t="shared" si="327"/>
        <v>Con espacio</v>
      </c>
      <c r="BV579" s="807" t="str">
        <f t="shared" si="319"/>
        <v>Zona atractiva</v>
      </c>
      <c r="BW579" s="808" t="str">
        <f t="shared" si="320"/>
        <v>P3 - Desarrollar</v>
      </c>
    </row>
    <row r="580" spans="1:75">
      <c r="A580" s="780" t="str">
        <f>'Base de datos Rutas'!A578</f>
        <v>Occidente</v>
      </c>
      <c r="B580" s="781" t="str">
        <f>'Base de datos Rutas'!B578</f>
        <v>Favorita</v>
      </c>
      <c r="C580" s="781" t="str">
        <f>'Base de datos Rutas'!C578</f>
        <v>Suc. Santa Maria</v>
      </c>
      <c r="D580" s="782">
        <f>IF(ISNUMBER('Base de datos Rutas'!D578),'Base de datos Rutas'!D578,"Sin código")</f>
        <v>809330</v>
      </c>
      <c r="E580" s="783" t="str">
        <f>'Base de datos Rutas'!F578</f>
        <v>Activa</v>
      </c>
      <c r="F580" s="784" t="str">
        <f>'Base de datos Rutas'!H578</f>
        <v>Sí</v>
      </c>
      <c r="G580" s="785">
        <f>IF(ISNUMBER('Base de datos Rutas'!BE578),'Base de datos Rutas'!BE578,"")</f>
        <v>98.203196347032005</v>
      </c>
      <c r="H580" s="786">
        <f>IF(ISNUMBER('Base de datos Rutas'!BH578),'Base de datos Rutas'!BH578,"")</f>
        <v>0.23964847836700501</v>
      </c>
      <c r="I580" s="788">
        <f>IFERROR(IF(OR(NOT(ISNUMBER('Base de datos Rutas'!O578)),N('Base de datos Rutas'!BK578)=0),"",'Base de datos Rutas'!O578/('Base de datos Rutas'!L578/'Base de datos Rutas'!BK578)),"")</f>
        <v>3463.83789954337</v>
      </c>
      <c r="J580" s="788">
        <f>IFERROR(IF(OR(NOT(ISNUMBER('Base de datos Rutas'!N578)),N('Base de datos Rutas'!BK578)=0),"",'Base de datos Rutas'!N578/('Base de datos Rutas'!L578/'Base de datos Rutas'!BK578)),"")</f>
        <v>6553.7648401826318</v>
      </c>
      <c r="K580" s="788">
        <f>IFERROR(IF(OR(NOT(ISNUMBER('Base de datos Rutas'!J578)),N('Base de datos Rutas'!BK578)=0),"",'Base de datos Rutas'!J578/('Base de datos Rutas'!L578/'Base de datos Rutas'!BK578)),"")</f>
        <v>452.49972785388013</v>
      </c>
      <c r="L580" s="788">
        <f>IFERROR(IF(OR(NOT(ISNUMBER('Base de datos Rutas'!K578)),N('Base de datos Rutas'!BK578)=0),"",'Base de datos Rutas'!K578/('Base de datos Rutas'!L578/'Base de datos Rutas'!BK578)),"")</f>
        <v>24.263402410958843</v>
      </c>
      <c r="M580" s="787">
        <f>IF(ISNUMBER('Base de datos Rutas'!AX578),'Base de datos Rutas'!AX578,"")</f>
        <v>425.66062281722901</v>
      </c>
      <c r="N580" s="790">
        <f>IFERROR(INDEX('Hoja de apoyo v2'!B$17:B$20,MATCH($A580,'Hoja de apoyo v2'!$A$17:$A$20,0)),"")</f>
        <v>89.41621024641401</v>
      </c>
      <c r="O580" s="791">
        <f>IFERROR(INDEX('Hoja de apoyo v2'!C$17:C$20,MATCH($A580,'Hoja de apoyo v2'!$A$17:$A$20,0)),"")</f>
        <v>0.54706375874806301</v>
      </c>
      <c r="P580" s="793">
        <f>IFERROR(INDEX('Hoja de apoyo v2'!D$17:D$20,MATCH($A580,'Hoja de apoyo v2'!$A$17:$A$20,0)),"")</f>
        <v>11095.153935793827</v>
      </c>
      <c r="Q580" s="793">
        <f>IFERROR(INDEX('Hoja de apoyo v2'!E$17:E$20,MATCH($A580,'Hoja de apoyo v2'!$A$17:$A$20,0)),"")</f>
        <v>6982.3202019701848</v>
      </c>
      <c r="R580" s="793">
        <f>IFERROR(INDEX('Hoja de apoyo v2'!F$17:F$20,MATCH($A580,'Hoja de apoyo v2'!$A$17:$A$20,0)),"")</f>
        <v>448.09513474485743</v>
      </c>
      <c r="S580" s="793">
        <f>IFERROR(INDEX('Hoja de apoyo v2'!G$17:G$20,MATCH($A580,'Hoja de apoyo v2'!$A$17:$A$20,0)),"")</f>
        <v>83.406300904207839</v>
      </c>
      <c r="T580" s="792">
        <f>IFERROR(INDEX('Hoja de apoyo v2'!H$17:H$20,MATCH($A580,'Hoja de apoyo v2'!$A$17:$A$20,0)),"")</f>
        <v>378.97014028925349</v>
      </c>
      <c r="U580" s="794">
        <f t="shared" si="292"/>
        <v>1.098270616439712</v>
      </c>
      <c r="V580" s="795">
        <f t="shared" si="293"/>
        <v>0.43806315906473586</v>
      </c>
      <c r="W580" s="795">
        <f t="shared" si="294"/>
        <v>0.31219376671906823</v>
      </c>
      <c r="X580" s="843">
        <f t="shared" si="295"/>
        <v>0.93862278592342008</v>
      </c>
      <c r="Y580" s="843">
        <f t="shared" si="296"/>
        <v>1.0098295936900334</v>
      </c>
      <c r="Z580" s="843">
        <f t="shared" si="297"/>
        <v>0.29090610838652786</v>
      </c>
      <c r="AA580" s="843">
        <f t="shared" si="298"/>
        <v>1.1232035919567132</v>
      </c>
      <c r="AB580" s="796">
        <f t="shared" si="299"/>
        <v>4</v>
      </c>
      <c r="AC580" s="797">
        <f t="shared" si="300"/>
        <v>1</v>
      </c>
      <c r="AD580" s="797">
        <f t="shared" si="301"/>
        <v>1</v>
      </c>
      <c r="AE580" s="842">
        <f t="shared" si="302"/>
        <v>3</v>
      </c>
      <c r="AF580" s="842">
        <f t="shared" si="303"/>
        <v>4</v>
      </c>
      <c r="AG580" s="842">
        <f t="shared" si="304"/>
        <v>1</v>
      </c>
      <c r="AH580" s="842">
        <f t="shared" si="305"/>
        <v>4</v>
      </c>
      <c r="AI580" s="826" cm="1">
        <f t="array" ref="AI580">SUMPRODUCT(--ISNUMBER($U580:$AA580),$AB$3:$AH$3)</f>
        <v>1</v>
      </c>
      <c r="AJ580" s="829">
        <f t="shared" si="306"/>
        <v>35.932120883946716</v>
      </c>
      <c r="AK580" s="827" t="str">
        <f t="shared" si="307"/>
        <v>Inmadura</v>
      </c>
      <c r="AL580" s="784" t="str">
        <f t="shared" si="308"/>
        <v>Alta</v>
      </c>
      <c r="AM580" s="799">
        <f>IF(ISNUMBER('Base de datos Rutas'!W578),'Base de datos Rutas'!W578,"")</f>
        <v>3293.1144020900269</v>
      </c>
      <c r="AN580" s="787">
        <f>IFERROR(SUMIFS('Base de datos Rutas'!$W$6:$W$794,'Base de datos Rutas'!$C$6:$C$794,$C580)/'Base de datos Rutas'!I578,"")</f>
        <v>3293.1144020900251</v>
      </c>
      <c r="AO580" s="800">
        <f>IFERROR('Base de datos Rutas'!X578*AN580/AM580,"")</f>
        <v>0.47791232590402694</v>
      </c>
      <c r="AP580" s="800">
        <f t="shared" si="309"/>
        <v>0.52208767409597301</v>
      </c>
      <c r="AQ580" s="789">
        <f>IFERROR(INDEX('Hoja de apoyo v2'!$J$17:$J$20,MATCH($A580,'Hoja de apoyo v2'!$A$17:$A$20,0)),"")</f>
        <v>0.64320274048480885</v>
      </c>
      <c r="AR580" s="789">
        <f t="shared" si="310"/>
        <v>-0.12111506638883585</v>
      </c>
      <c r="AS580" s="784" t="str">
        <f t="shared" si="311"/>
        <v>No</v>
      </c>
      <c r="AT580" s="801">
        <f>IF(ISNUMBER('Base de datos Rutas'!CK578),'Base de datos Rutas'!CK578,"")</f>
        <v>300</v>
      </c>
      <c r="AU580" s="802">
        <f>IF(ISNUMBER('Base de datos Rutas'!CL578),'Base de datos Rutas'!CL578,"")</f>
        <v>392.72</v>
      </c>
      <c r="AV580" s="802">
        <f>IF(ISNUMBER('Base de datos Rutas'!CM578),'Base de datos Rutas'!CM578,"")</f>
        <v>92.720000000000027</v>
      </c>
      <c r="AW580" s="802">
        <f>IF(ISNUMBER('Base de datos Rutas'!CN578),'Base de datos Rutas'!CN578,"")</f>
        <v>7.35</v>
      </c>
      <c r="AX580" s="802">
        <f>IF(ISNUMBER('Base de datos Rutas'!CO578),'Base de datos Rutas'!CO578,"")</f>
        <v>9.4499999999999993</v>
      </c>
      <c r="AY580" s="802">
        <f>IF(ISNUMBER('Base de datos Rutas'!CP578),'Base de datos Rutas'!CP578,"")</f>
        <v>2.0999999999999996</v>
      </c>
      <c r="AZ580" s="802">
        <f>IF(ISNUMBER('Base de datos Rutas'!CQ578),'Base de datos Rutas'!CQ578,"")</f>
        <v>846.56</v>
      </c>
      <c r="BA580" s="802">
        <f>IF(ISNUMBER('Base de datos Rutas'!CR578),'Base de datos Rutas'!CR578,"")</f>
        <v>476.76</v>
      </c>
      <c r="BB580" s="803">
        <f>IF(ISNUMBER('Base de datos Rutas'!CS578),'Base de datos Rutas'!CS578,"")</f>
        <v>369.79999999999995</v>
      </c>
      <c r="BC580" s="804">
        <f t="shared" si="321"/>
        <v>0</v>
      </c>
      <c r="BD580" s="805" t="str">
        <f t="shared" si="322"/>
        <v>No saturada</v>
      </c>
      <c r="BE580" s="806">
        <f t="shared" si="323"/>
        <v>0.56317331317331321</v>
      </c>
      <c r="BF580" s="890">
        <f>IF(ISNUMBER('Base de datos Rutas'!CX578),'Base de datos Rutas'!CX578/100,"")</f>
        <v>0.95155694879832808</v>
      </c>
      <c r="BG580" s="891">
        <f>IF(ISNUMBER('Base de datos Rutas'!CZ578),'Base de datos Rutas'!CZ578/100,"")</f>
        <v>1</v>
      </c>
      <c r="BH580" s="892">
        <f>IF(ISNUMBER('Base de datos Rutas'!DA578),'Base de datos Rutas'!DA578,"")</f>
        <v>1359.4692234093445</v>
      </c>
      <c r="BI580" s="893">
        <f>IF(ISNUMBER('Base de datos Rutas'!DC578),'Base de datos Rutas'!DC578,"")</f>
        <v>64.335452878328823</v>
      </c>
      <c r="BJ580" s="805" t="str">
        <f t="shared" si="324"/>
        <v>Ruta (completo)</v>
      </c>
      <c r="BK580" s="783">
        <f t="shared" si="312"/>
        <v>4</v>
      </c>
      <c r="BL580" s="797">
        <f t="shared" si="313"/>
        <v>3</v>
      </c>
      <c r="BM580" s="797">
        <f t="shared" si="314"/>
        <v>5</v>
      </c>
      <c r="BN580" s="797">
        <f t="shared" si="315"/>
        <v>5</v>
      </c>
      <c r="BO580" s="798" cm="1">
        <f t="array" ref="BO580">SUMPRODUCT(--ISNUMBER($BF580:$BI580),$BK$3:$BN$3)</f>
        <v>1</v>
      </c>
      <c r="BP580" s="831">
        <f t="shared" si="325"/>
        <v>81.25</v>
      </c>
      <c r="BQ580" s="834" t="str">
        <f t="shared" si="326"/>
        <v>Alto</v>
      </c>
      <c r="BR580" s="836">
        <f t="shared" si="316"/>
        <v>26.949090662960039</v>
      </c>
      <c r="BS580" s="836">
        <f t="shared" si="317"/>
        <v>81.25</v>
      </c>
      <c r="BT580" s="837" t="str">
        <f t="shared" si="318"/>
        <v>P3</v>
      </c>
      <c r="BU580" s="807" t="str">
        <f t="shared" si="327"/>
        <v>Con espacio</v>
      </c>
      <c r="BV580" s="807" t="str">
        <f t="shared" si="319"/>
        <v>Zona atractiva</v>
      </c>
      <c r="BW580" s="808" t="str">
        <f t="shared" si="320"/>
        <v>P3 - Desarrollar</v>
      </c>
    </row>
    <row r="581" spans="1:75">
      <c r="A581" s="780" t="str">
        <f>'Base de datos Rutas'!A579</f>
        <v>Occidente</v>
      </c>
      <c r="B581" s="781" t="str">
        <f>'Base de datos Rutas'!B579</f>
        <v>Favorita</v>
      </c>
      <c r="C581" s="781" t="str">
        <f>'Base de datos Rutas'!C579</f>
        <v>Suc. Santa Maria</v>
      </c>
      <c r="D581" s="782">
        <f>IF(ISNUMBER('Base de datos Rutas'!D579),'Base de datos Rutas'!D579,"Sin código")</f>
        <v>809331</v>
      </c>
      <c r="E581" s="783" t="str">
        <f>'Base de datos Rutas'!F579</f>
        <v>Activa</v>
      </c>
      <c r="F581" s="784" t="str">
        <f>'Base de datos Rutas'!H579</f>
        <v>Sí</v>
      </c>
      <c r="G581" s="785">
        <f>IF(ISNUMBER('Base de datos Rutas'!BE579),'Base de datos Rutas'!BE579,"")</f>
        <v>64.575688073394502</v>
      </c>
      <c r="H581" s="786">
        <f>IF(ISNUMBER('Base de datos Rutas'!BH579),'Base de datos Rutas'!BH579,"")</f>
        <v>0.34686556561889498</v>
      </c>
      <c r="I581" s="788">
        <f>IFERROR(IF(OR(NOT(ISNUMBER('Base de datos Rutas'!O579)),N('Base de datos Rutas'!BK579)=0),"",'Base de datos Rutas'!O579/('Base de datos Rutas'!L579/'Base de datos Rutas'!BK579)),"")</f>
        <v>3386.2729357798089</v>
      </c>
      <c r="J581" s="788">
        <f>IFERROR(IF(OR(NOT(ISNUMBER('Base de datos Rutas'!N579)),N('Base de datos Rutas'!BK579)=0),"",'Base de datos Rutas'!N579/('Base de datos Rutas'!L579/'Base de datos Rutas'!BK579)),"")</f>
        <v>7495.6857798164974</v>
      </c>
      <c r="K581" s="788">
        <f>IFERROR(IF(OR(NOT(ISNUMBER('Base de datos Rutas'!J579)),N('Base de datos Rutas'!BK579)=0),"",'Base de datos Rutas'!J579/('Base de datos Rutas'!L579/'Base de datos Rutas'!BK579)),"")</f>
        <v>514.52084587155844</v>
      </c>
      <c r="L581" s="788">
        <f>IFERROR(IF(OR(NOT(ISNUMBER('Base de datos Rutas'!K579)),N('Base de datos Rutas'!BK579)=0),"",'Base de datos Rutas'!K579/('Base de datos Rutas'!L579/'Base de datos Rutas'!BK579)),"")</f>
        <v>25.291687442660493</v>
      </c>
      <c r="M581" s="787">
        <f>IF(ISNUMBER('Base de datos Rutas'!AX579),'Base de datos Rutas'!AX579,"")</f>
        <v>485.82144992832298</v>
      </c>
      <c r="N581" s="790">
        <f>IFERROR(INDEX('Hoja de apoyo v2'!B$17:B$20,MATCH($A581,'Hoja de apoyo v2'!$A$17:$A$20,0)),"")</f>
        <v>89.41621024641401</v>
      </c>
      <c r="O581" s="791">
        <f>IFERROR(INDEX('Hoja de apoyo v2'!C$17:C$20,MATCH($A581,'Hoja de apoyo v2'!$A$17:$A$20,0)),"")</f>
        <v>0.54706375874806301</v>
      </c>
      <c r="P581" s="793">
        <f>IFERROR(INDEX('Hoja de apoyo v2'!D$17:D$20,MATCH($A581,'Hoja de apoyo v2'!$A$17:$A$20,0)),"")</f>
        <v>11095.153935793827</v>
      </c>
      <c r="Q581" s="793">
        <f>IFERROR(INDEX('Hoja de apoyo v2'!E$17:E$20,MATCH($A581,'Hoja de apoyo v2'!$A$17:$A$20,0)),"")</f>
        <v>6982.3202019701848</v>
      </c>
      <c r="R581" s="793">
        <f>IFERROR(INDEX('Hoja de apoyo v2'!F$17:F$20,MATCH($A581,'Hoja de apoyo v2'!$A$17:$A$20,0)),"")</f>
        <v>448.09513474485743</v>
      </c>
      <c r="S581" s="793">
        <f>IFERROR(INDEX('Hoja de apoyo v2'!G$17:G$20,MATCH($A581,'Hoja de apoyo v2'!$A$17:$A$20,0)),"")</f>
        <v>83.406300904207839</v>
      </c>
      <c r="T581" s="792">
        <f>IFERROR(INDEX('Hoja de apoyo v2'!H$17:H$20,MATCH($A581,'Hoja de apoyo v2'!$A$17:$A$20,0)),"")</f>
        <v>378.97014028925349</v>
      </c>
      <c r="U581" s="794">
        <f t="shared" si="292"/>
        <v>0.72219218299943855</v>
      </c>
      <c r="V581" s="795">
        <f t="shared" si="293"/>
        <v>0.63404961500773716</v>
      </c>
      <c r="W581" s="795">
        <f t="shared" si="294"/>
        <v>0.3052028800479667</v>
      </c>
      <c r="X581" s="843">
        <f t="shared" si="295"/>
        <v>1.073523637271957</v>
      </c>
      <c r="Y581" s="843">
        <f t="shared" si="296"/>
        <v>1.1482401971726905</v>
      </c>
      <c r="Z581" s="843">
        <f t="shared" si="297"/>
        <v>0.30323473368886128</v>
      </c>
      <c r="AA581" s="843">
        <f t="shared" si="298"/>
        <v>1.2819517906015339</v>
      </c>
      <c r="AB581" s="796">
        <f t="shared" si="299"/>
        <v>2</v>
      </c>
      <c r="AC581" s="797">
        <f t="shared" si="300"/>
        <v>2</v>
      </c>
      <c r="AD581" s="797">
        <f t="shared" si="301"/>
        <v>1</v>
      </c>
      <c r="AE581" s="842">
        <f t="shared" si="302"/>
        <v>4</v>
      </c>
      <c r="AF581" s="842">
        <f t="shared" si="303"/>
        <v>4</v>
      </c>
      <c r="AG581" s="842">
        <f t="shared" si="304"/>
        <v>1</v>
      </c>
      <c r="AH581" s="842">
        <f t="shared" si="305"/>
        <v>5</v>
      </c>
      <c r="AI581" s="826" cm="1">
        <f t="array" ref="AI581">SUMPRODUCT(--ISNUMBER($U581:$AA581),$AB$3:$AH$3)</f>
        <v>1</v>
      </c>
      <c r="AJ581" s="829">
        <f t="shared" si="306"/>
        <v>34.901929600108936</v>
      </c>
      <c r="AK581" s="827" t="str">
        <f t="shared" si="307"/>
        <v>Inmadura</v>
      </c>
      <c r="AL581" s="784" t="str">
        <f t="shared" si="308"/>
        <v>Alta</v>
      </c>
      <c r="AM581" s="799">
        <f>IF(ISNUMBER('Base de datos Rutas'!W579),'Base de datos Rutas'!W579,"")</f>
        <v>3293.1144020900269</v>
      </c>
      <c r="AN581" s="787">
        <f>IFERROR(SUMIFS('Base de datos Rutas'!$W$6:$W$794,'Base de datos Rutas'!$C$6:$C$794,$C581)/'Base de datos Rutas'!I579,"")</f>
        <v>3293.1144020900251</v>
      </c>
      <c r="AO581" s="800">
        <f>IFERROR('Base de datos Rutas'!X579*AN581/AM581,"")</f>
        <v>0.47791232590402694</v>
      </c>
      <c r="AP581" s="800">
        <f t="shared" si="309"/>
        <v>0.52208767409597301</v>
      </c>
      <c r="AQ581" s="789">
        <f>IFERROR(INDEX('Hoja de apoyo v2'!$J$17:$J$20,MATCH($A581,'Hoja de apoyo v2'!$A$17:$A$20,0)),"")</f>
        <v>0.64320274048480885</v>
      </c>
      <c r="AR581" s="789">
        <f t="shared" si="310"/>
        <v>-0.12111506638883585</v>
      </c>
      <c r="AS581" s="784" t="str">
        <f t="shared" si="311"/>
        <v>No</v>
      </c>
      <c r="AT581" s="801">
        <f>IF(ISNUMBER('Base de datos Rutas'!CK579),'Base de datos Rutas'!CK579,"")</f>
        <v>241</v>
      </c>
      <c r="AU581" s="802">
        <f>IF(ISNUMBER('Base de datos Rutas'!CL579),'Base de datos Rutas'!CL579,"")</f>
        <v>343.09</v>
      </c>
      <c r="AV581" s="802">
        <f>IF(ISNUMBER('Base de datos Rutas'!CM579),'Base de datos Rutas'!CM579,"")</f>
        <v>102.08999999999997</v>
      </c>
      <c r="AW581" s="802">
        <f>IF(ISNUMBER('Base de datos Rutas'!CN579),'Base de datos Rutas'!CN579,"")</f>
        <v>5.57</v>
      </c>
      <c r="AX581" s="802">
        <f>IF(ISNUMBER('Base de datos Rutas'!CO579),'Base de datos Rutas'!CO579,"")</f>
        <v>9.4499999999999993</v>
      </c>
      <c r="AY581" s="802">
        <f>IF(ISNUMBER('Base de datos Rutas'!CP579),'Base de datos Rutas'!CP579,"")</f>
        <v>3.879999999999999</v>
      </c>
      <c r="AZ581" s="802">
        <f>IF(ISNUMBER('Base de datos Rutas'!CQ579),'Base de datos Rutas'!CQ579,"")</f>
        <v>846.56</v>
      </c>
      <c r="BA581" s="802">
        <f>IF(ISNUMBER('Base de datos Rutas'!CR579),'Base de datos Rutas'!CR579,"")</f>
        <v>539.80999999999995</v>
      </c>
      <c r="BB581" s="803">
        <f>IF(ISNUMBER('Base de datos Rutas'!CS579),'Base de datos Rutas'!CS579,"")</f>
        <v>306.75</v>
      </c>
      <c r="BC581" s="804">
        <f t="shared" si="321"/>
        <v>0</v>
      </c>
      <c r="BD581" s="805" t="str">
        <f t="shared" si="322"/>
        <v>No saturada</v>
      </c>
      <c r="BE581" s="806">
        <f t="shared" si="323"/>
        <v>0.63765120015120014</v>
      </c>
      <c r="BF581" s="890">
        <f>IF(ISNUMBER('Base de datos Rutas'!CX579),'Base de datos Rutas'!CX579/100,"")</f>
        <v>0.94946039603960397</v>
      </c>
      <c r="BG581" s="891">
        <f>IF(ISNUMBER('Base de datos Rutas'!CZ579),'Base de datos Rutas'!CZ579/100,"")</f>
        <v>1</v>
      </c>
      <c r="BH581" s="892">
        <f>IF(ISNUMBER('Base de datos Rutas'!DA579),'Base de datos Rutas'!DA579,"")</f>
        <v>650.01895301330285</v>
      </c>
      <c r="BI581" s="893">
        <f>IF(ISNUMBER('Base de datos Rutas'!DC579),'Base de datos Rutas'!DC579,"")</f>
        <v>31.557153560876301</v>
      </c>
      <c r="BJ581" s="805" t="str">
        <f t="shared" si="324"/>
        <v>Ruta (completo)</v>
      </c>
      <c r="BK581" s="783">
        <f t="shared" si="312"/>
        <v>4</v>
      </c>
      <c r="BL581" s="797">
        <f t="shared" si="313"/>
        <v>3</v>
      </c>
      <c r="BM581" s="797">
        <f t="shared" si="314"/>
        <v>3</v>
      </c>
      <c r="BN581" s="797">
        <f t="shared" si="315"/>
        <v>3</v>
      </c>
      <c r="BO581" s="798" cm="1">
        <f t="array" ref="BO581">SUMPRODUCT(--ISNUMBER($BF581:$BI581),$BK$3:$BN$3)</f>
        <v>1</v>
      </c>
      <c r="BP581" s="831">
        <f t="shared" si="325"/>
        <v>56.25</v>
      </c>
      <c r="BQ581" s="834" t="str">
        <f t="shared" si="326"/>
        <v>Alto</v>
      </c>
      <c r="BR581" s="836">
        <f t="shared" si="316"/>
        <v>26.176447200081704</v>
      </c>
      <c r="BS581" s="836">
        <f t="shared" si="317"/>
        <v>56.25</v>
      </c>
      <c r="BT581" s="837" t="str">
        <f t="shared" si="318"/>
        <v>P3</v>
      </c>
      <c r="BU581" s="807" t="str">
        <f t="shared" si="327"/>
        <v>Con espacio</v>
      </c>
      <c r="BV581" s="807" t="str">
        <f t="shared" si="319"/>
        <v>Zona atractiva</v>
      </c>
      <c r="BW581" s="808" t="str">
        <f t="shared" si="320"/>
        <v>P3 - Desarrollar</v>
      </c>
    </row>
    <row r="582" spans="1:75">
      <c r="A582" s="780" t="str">
        <f>'Base de datos Rutas'!A580</f>
        <v>Occidente</v>
      </c>
      <c r="B582" s="781" t="str">
        <f>'Base de datos Rutas'!B580</f>
        <v>Favorita</v>
      </c>
      <c r="C582" s="781" t="str">
        <f>'Base de datos Rutas'!C580</f>
        <v>Suc. Santa Maria</v>
      </c>
      <c r="D582" s="782">
        <f>IF(ISNUMBER('Base de datos Rutas'!D580),'Base de datos Rutas'!D580,"Sin código")</f>
        <v>809332</v>
      </c>
      <c r="E582" s="783" t="str">
        <f>'Base de datos Rutas'!F580</f>
        <v>Activa</v>
      </c>
      <c r="F582" s="784" t="str">
        <f>'Base de datos Rutas'!H580</f>
        <v>Sí</v>
      </c>
      <c r="G582" s="785">
        <f>IF(ISNUMBER('Base de datos Rutas'!BE580),'Base de datos Rutas'!BE580,"")</f>
        <v>59.0022471910112</v>
      </c>
      <c r="H582" s="786">
        <f>IF(ISNUMBER('Base de datos Rutas'!BH580),'Base de datos Rutas'!BH580,"")</f>
        <v>0.470025898842169</v>
      </c>
      <c r="I582" s="788">
        <f>IFERROR(IF(OR(NOT(ISNUMBER('Base de datos Rutas'!O580)),N('Base de datos Rutas'!BK580)=0),"",'Base de datos Rutas'!O580/('Base de datos Rutas'!L580/'Base de datos Rutas'!BK580)),"")</f>
        <v>4518.98651685393</v>
      </c>
      <c r="J582" s="788">
        <f>IFERROR(IF(OR(NOT(ISNUMBER('Base de datos Rutas'!N580)),N('Base de datos Rutas'!BK580)=0),"",'Base de datos Rutas'!N580/('Base de datos Rutas'!L580/'Base de datos Rutas'!BK580)),"")</f>
        <v>5345.9033707865137</v>
      </c>
      <c r="K582" s="788">
        <f>IFERROR(IF(OR(NOT(ISNUMBER('Base de datos Rutas'!J580)),N('Base de datos Rutas'!BK580)=0),"",'Base de datos Rutas'!J580/('Base de datos Rutas'!L580/'Base de datos Rutas'!BK580)),"")</f>
        <v>364.09742741573007</v>
      </c>
      <c r="L582" s="788">
        <f>IFERROR(IF(OR(NOT(ISNUMBER('Base de datos Rutas'!K580)),N('Base de datos Rutas'!BK580)=0),"",'Base de datos Rutas'!K580/('Base de datos Rutas'!L580/'Base de datos Rutas'!BK580)),"")</f>
        <v>30.226184869662902</v>
      </c>
      <c r="M582" s="787">
        <f>IF(ISNUMBER('Base de datos Rutas'!AX580),'Base de datos Rutas'!AX580,"")</f>
        <v>355.714764605786</v>
      </c>
      <c r="N582" s="790">
        <f>IFERROR(INDEX('Hoja de apoyo v2'!B$17:B$20,MATCH($A582,'Hoja de apoyo v2'!$A$17:$A$20,0)),"")</f>
        <v>89.41621024641401</v>
      </c>
      <c r="O582" s="791">
        <f>IFERROR(INDEX('Hoja de apoyo v2'!C$17:C$20,MATCH($A582,'Hoja de apoyo v2'!$A$17:$A$20,0)),"")</f>
        <v>0.54706375874806301</v>
      </c>
      <c r="P582" s="793">
        <f>IFERROR(INDEX('Hoja de apoyo v2'!D$17:D$20,MATCH($A582,'Hoja de apoyo v2'!$A$17:$A$20,0)),"")</f>
        <v>11095.153935793827</v>
      </c>
      <c r="Q582" s="793">
        <f>IFERROR(INDEX('Hoja de apoyo v2'!E$17:E$20,MATCH($A582,'Hoja de apoyo v2'!$A$17:$A$20,0)),"")</f>
        <v>6982.3202019701848</v>
      </c>
      <c r="R582" s="793">
        <f>IFERROR(INDEX('Hoja de apoyo v2'!F$17:F$20,MATCH($A582,'Hoja de apoyo v2'!$A$17:$A$20,0)),"")</f>
        <v>448.09513474485743</v>
      </c>
      <c r="S582" s="793">
        <f>IFERROR(INDEX('Hoja de apoyo v2'!G$17:G$20,MATCH($A582,'Hoja de apoyo v2'!$A$17:$A$20,0)),"")</f>
        <v>83.406300904207839</v>
      </c>
      <c r="T582" s="792">
        <f>IFERROR(INDEX('Hoja de apoyo v2'!H$17:H$20,MATCH($A582,'Hoja de apoyo v2'!$A$17:$A$20,0)),"")</f>
        <v>378.97014028925349</v>
      </c>
      <c r="U582" s="794">
        <f t="shared" si="292"/>
        <v>0.65986074592528876</v>
      </c>
      <c r="V582" s="795">
        <f t="shared" si="293"/>
        <v>0.85917937594295668</v>
      </c>
      <c r="W582" s="795">
        <f t="shared" si="294"/>
        <v>0.40729371967299427</v>
      </c>
      <c r="X582" s="843">
        <f t="shared" si="295"/>
        <v>0.76563423276951303</v>
      </c>
      <c r="Y582" s="843">
        <f t="shared" si="296"/>
        <v>0.81254492446798121</v>
      </c>
      <c r="Z582" s="843">
        <f t="shared" si="297"/>
        <v>0.36239689977832351</v>
      </c>
      <c r="AA582" s="843">
        <f t="shared" si="298"/>
        <v>0.93863533505379193</v>
      </c>
      <c r="AB582" s="796">
        <f t="shared" si="299"/>
        <v>2</v>
      </c>
      <c r="AC582" s="797">
        <f t="shared" si="300"/>
        <v>3</v>
      </c>
      <c r="AD582" s="797">
        <f t="shared" si="301"/>
        <v>1</v>
      </c>
      <c r="AE582" s="842">
        <f t="shared" si="302"/>
        <v>3</v>
      </c>
      <c r="AF582" s="842">
        <f t="shared" si="303"/>
        <v>3</v>
      </c>
      <c r="AG582" s="842">
        <f t="shared" si="304"/>
        <v>1</v>
      </c>
      <c r="AH582" s="842">
        <f t="shared" si="305"/>
        <v>3</v>
      </c>
      <c r="AI582" s="826" cm="1">
        <f t="array" ref="AI582">SUMPRODUCT(--ISNUMBER($U582:$AA582),$AB$3:$AH$3)</f>
        <v>1</v>
      </c>
      <c r="AJ582" s="829">
        <f t="shared" si="306"/>
        <v>26.459887347087808</v>
      </c>
      <c r="AK582" s="827" t="str">
        <f t="shared" si="307"/>
        <v>Inmadura</v>
      </c>
      <c r="AL582" s="784" t="str">
        <f t="shared" si="308"/>
        <v>Alta</v>
      </c>
      <c r="AM582" s="799">
        <f>IF(ISNUMBER('Base de datos Rutas'!W580),'Base de datos Rutas'!W580,"")</f>
        <v>3293.1144020900269</v>
      </c>
      <c r="AN582" s="787">
        <f>IFERROR(SUMIFS('Base de datos Rutas'!$W$6:$W$794,'Base de datos Rutas'!$C$6:$C$794,$C582)/'Base de datos Rutas'!I580,"")</f>
        <v>3293.1144020900251</v>
      </c>
      <c r="AO582" s="800">
        <f>IFERROR('Base de datos Rutas'!X580*AN582/AM582,"")</f>
        <v>0.47791232590402694</v>
      </c>
      <c r="AP582" s="800">
        <f t="shared" si="309"/>
        <v>0.52208767409597301</v>
      </c>
      <c r="AQ582" s="789">
        <f>IFERROR(INDEX('Hoja de apoyo v2'!$J$17:$J$20,MATCH($A582,'Hoja de apoyo v2'!$A$17:$A$20,0)),"")</f>
        <v>0.64320274048480885</v>
      </c>
      <c r="AR582" s="789">
        <f t="shared" si="310"/>
        <v>-0.12111506638883585</v>
      </c>
      <c r="AS582" s="784" t="str">
        <f t="shared" si="311"/>
        <v>No</v>
      </c>
      <c r="AT582" s="801">
        <f>IF(ISNUMBER('Base de datos Rutas'!CK580),'Base de datos Rutas'!CK580,"")</f>
        <v>216</v>
      </c>
      <c r="AU582" s="802">
        <f>IF(ISNUMBER('Base de datos Rutas'!CL580),'Base de datos Rutas'!CL580,"")</f>
        <v>284.7</v>
      </c>
      <c r="AV582" s="802">
        <f>IF(ISNUMBER('Base de datos Rutas'!CM580),'Base de datos Rutas'!CM580,"")</f>
        <v>68.699999999999989</v>
      </c>
      <c r="AW582" s="802">
        <f>IF(ISNUMBER('Base de datos Rutas'!CN580),'Base de datos Rutas'!CN580,"")</f>
        <v>5.33</v>
      </c>
      <c r="AX582" s="802">
        <f>IF(ISNUMBER('Base de datos Rutas'!CO580),'Base de datos Rutas'!CO580,"")</f>
        <v>9.4499999999999993</v>
      </c>
      <c r="AY582" s="802">
        <f>IF(ISNUMBER('Base de datos Rutas'!CP580),'Base de datos Rutas'!CP580,"")</f>
        <v>4.1199999999999992</v>
      </c>
      <c r="AZ582" s="802">
        <f>IF(ISNUMBER('Base de datos Rutas'!CQ580),'Base de datos Rutas'!CQ580,"")</f>
        <v>564.37</v>
      </c>
      <c r="BA582" s="802">
        <f>IF(ISNUMBER('Base de datos Rutas'!CR580),'Base de datos Rutas'!CR580,"")</f>
        <v>394.32</v>
      </c>
      <c r="BB582" s="803">
        <f>IF(ISNUMBER('Base de datos Rutas'!CS580),'Base de datos Rutas'!CS580,"")</f>
        <v>170.05</v>
      </c>
      <c r="BC582" s="804">
        <f t="shared" si="321"/>
        <v>0</v>
      </c>
      <c r="BD582" s="805" t="str">
        <f t="shared" si="322"/>
        <v>No saturada</v>
      </c>
      <c r="BE582" s="806">
        <f t="shared" si="323"/>
        <v>0.69869057533178591</v>
      </c>
      <c r="BF582" s="890">
        <f>IF(ISNUMBER('Base de datos Rutas'!CX580),'Base de datos Rutas'!CX580/100,"")</f>
        <v>0.94892193308550188</v>
      </c>
      <c r="BG582" s="891">
        <f>IF(ISNUMBER('Base de datos Rutas'!CZ580),'Base de datos Rutas'!CZ580/100,"")</f>
        <v>1</v>
      </c>
      <c r="BH582" s="892">
        <f>IF(ISNUMBER('Base de datos Rutas'!DA580),'Base de datos Rutas'!DA580,"")</f>
        <v>1012.7783122303175</v>
      </c>
      <c r="BI582" s="893">
        <f>IF(ISNUMBER('Base de datos Rutas'!DC580),'Base de datos Rutas'!DC580,"")</f>
        <v>40.711232934851807</v>
      </c>
      <c r="BJ582" s="805" t="str">
        <f t="shared" si="324"/>
        <v>Ruta (completo)</v>
      </c>
      <c r="BK582" s="783">
        <f t="shared" si="312"/>
        <v>4</v>
      </c>
      <c r="BL582" s="797">
        <f t="shared" si="313"/>
        <v>3</v>
      </c>
      <c r="BM582" s="797">
        <f t="shared" si="314"/>
        <v>4</v>
      </c>
      <c r="BN582" s="797">
        <f t="shared" si="315"/>
        <v>4</v>
      </c>
      <c r="BO582" s="798" cm="1">
        <f t="array" ref="BO582">SUMPRODUCT(--ISNUMBER($BF582:$BI582),$BK$3:$BN$3)</f>
        <v>1</v>
      </c>
      <c r="BP582" s="831">
        <f t="shared" si="325"/>
        <v>68.75</v>
      </c>
      <c r="BQ582" s="834" t="str">
        <f t="shared" si="326"/>
        <v>Alto</v>
      </c>
      <c r="BR582" s="836">
        <f t="shared" si="316"/>
        <v>19.844915510315857</v>
      </c>
      <c r="BS582" s="836">
        <f t="shared" si="317"/>
        <v>68.75</v>
      </c>
      <c r="BT582" s="837" t="str">
        <f t="shared" si="318"/>
        <v>P3</v>
      </c>
      <c r="BU582" s="807" t="str">
        <f t="shared" si="327"/>
        <v>Con espacio</v>
      </c>
      <c r="BV582" s="807" t="str">
        <f t="shared" si="319"/>
        <v>Zona atractiva</v>
      </c>
      <c r="BW582" s="808" t="str">
        <f t="shared" si="320"/>
        <v>P3 - Desarrollar</v>
      </c>
    </row>
    <row r="583" spans="1:75">
      <c r="A583" s="780" t="str">
        <f>'Base de datos Rutas'!A581</f>
        <v>Occidente</v>
      </c>
      <c r="B583" s="781" t="str">
        <f>'Base de datos Rutas'!B581</f>
        <v>Favorita</v>
      </c>
      <c r="C583" s="781" t="str">
        <f>'Base de datos Rutas'!C581</f>
        <v>Suc. Santa Maria</v>
      </c>
      <c r="D583" s="782">
        <f>IF(ISNUMBER('Base de datos Rutas'!D581),'Base de datos Rutas'!D581,"Sin código")</f>
        <v>809333</v>
      </c>
      <c r="E583" s="783" t="str">
        <f>'Base de datos Rutas'!F581</f>
        <v>Activa</v>
      </c>
      <c r="F583" s="784" t="str">
        <f>'Base de datos Rutas'!H581</f>
        <v>Sí</v>
      </c>
      <c r="G583" s="785">
        <f>IF(ISNUMBER('Base de datos Rutas'!BE581),'Base de datos Rutas'!BE581,"")</f>
        <v>46.406896551724103</v>
      </c>
      <c r="H583" s="786">
        <f>IF(ISNUMBER('Base de datos Rutas'!BH581),'Base de datos Rutas'!BH581,"")</f>
        <v>0.20750978352405</v>
      </c>
      <c r="I583" s="788">
        <f>IFERROR(IF(OR(NOT(ISNUMBER('Base de datos Rutas'!O581)),N('Base de datos Rutas'!BK581)=0),"",'Base de datos Rutas'!O581/('Base de datos Rutas'!L581/'Base de datos Rutas'!BK581)),"")</f>
        <v>2019.4091954023015</v>
      </c>
      <c r="J583" s="788">
        <f>IFERROR(IF(OR(NOT(ISNUMBER('Base de datos Rutas'!N581)),N('Base de datos Rutas'!BK581)=0),"",'Base de datos Rutas'!N581/('Base de datos Rutas'!L581/'Base de datos Rutas'!BK581)),"")</f>
        <v>4572.9494252873619</v>
      </c>
      <c r="K583" s="788">
        <f>IFERROR(IF(OR(NOT(ISNUMBER('Base de datos Rutas'!J581)),N('Base de datos Rutas'!BK581)=0),"",'Base de datos Rutas'!J581/('Base de datos Rutas'!L581/'Base de datos Rutas'!BK581)),"")</f>
        <v>319.58289839080504</v>
      </c>
      <c r="L583" s="788">
        <f>IFERROR(IF(OR(NOT(ISNUMBER('Base de datos Rutas'!K581)),N('Base de datos Rutas'!BK581)=0),"",'Base de datos Rutas'!K581/('Base de datos Rutas'!L581/'Base de datos Rutas'!BK581)),"")</f>
        <v>13.466221954023007</v>
      </c>
      <c r="M583" s="787">
        <f>IF(ISNUMBER('Base de datos Rutas'!AX581),'Base de datos Rutas'!AX581,"")</f>
        <v>694.40317975650498</v>
      </c>
      <c r="N583" s="790">
        <f>IFERROR(INDEX('Hoja de apoyo v2'!B$17:B$20,MATCH($A583,'Hoja de apoyo v2'!$A$17:$A$20,0)),"")</f>
        <v>89.41621024641401</v>
      </c>
      <c r="O583" s="791">
        <f>IFERROR(INDEX('Hoja de apoyo v2'!C$17:C$20,MATCH($A583,'Hoja de apoyo v2'!$A$17:$A$20,0)),"")</f>
        <v>0.54706375874806301</v>
      </c>
      <c r="P583" s="793">
        <f>IFERROR(INDEX('Hoja de apoyo v2'!D$17:D$20,MATCH($A583,'Hoja de apoyo v2'!$A$17:$A$20,0)),"")</f>
        <v>11095.153935793827</v>
      </c>
      <c r="Q583" s="793">
        <f>IFERROR(INDEX('Hoja de apoyo v2'!E$17:E$20,MATCH($A583,'Hoja de apoyo v2'!$A$17:$A$20,0)),"")</f>
        <v>6982.3202019701848</v>
      </c>
      <c r="R583" s="793">
        <f>IFERROR(INDEX('Hoja de apoyo v2'!F$17:F$20,MATCH($A583,'Hoja de apoyo v2'!$A$17:$A$20,0)),"")</f>
        <v>448.09513474485743</v>
      </c>
      <c r="S583" s="793">
        <f>IFERROR(INDEX('Hoja de apoyo v2'!G$17:G$20,MATCH($A583,'Hoja de apoyo v2'!$A$17:$A$20,0)),"")</f>
        <v>83.406300904207839</v>
      </c>
      <c r="T583" s="792">
        <f>IFERROR(INDEX('Hoja de apoyo v2'!H$17:H$20,MATCH($A583,'Hoja de apoyo v2'!$A$17:$A$20,0)),"")</f>
        <v>378.97014028925349</v>
      </c>
      <c r="U583" s="794">
        <f t="shared" si="292"/>
        <v>0.51899869636428952</v>
      </c>
      <c r="V583" s="795">
        <f t="shared" si="293"/>
        <v>0.37931553718515215</v>
      </c>
      <c r="W583" s="795">
        <f t="shared" si="294"/>
        <v>0.18200821792003541</v>
      </c>
      <c r="X583" s="843">
        <f t="shared" si="295"/>
        <v>0.6549326431630883</v>
      </c>
      <c r="Y583" s="843">
        <f t="shared" si="296"/>
        <v>0.7132032321055517</v>
      </c>
      <c r="Z583" s="843">
        <f t="shared" si="297"/>
        <v>0.16145329319290838</v>
      </c>
      <c r="AA583" s="843">
        <f t="shared" si="298"/>
        <v>1.8323427255416309</v>
      </c>
      <c r="AB583" s="796">
        <f t="shared" si="299"/>
        <v>2</v>
      </c>
      <c r="AC583" s="797">
        <f t="shared" si="300"/>
        <v>1</v>
      </c>
      <c r="AD583" s="797">
        <f t="shared" si="301"/>
        <v>1</v>
      </c>
      <c r="AE583" s="842">
        <f t="shared" si="302"/>
        <v>2</v>
      </c>
      <c r="AF583" s="842">
        <f t="shared" si="303"/>
        <v>2</v>
      </c>
      <c r="AG583" s="842">
        <f t="shared" si="304"/>
        <v>1</v>
      </c>
      <c r="AH583" s="842">
        <f t="shared" si="305"/>
        <v>5</v>
      </c>
      <c r="AI583" s="826" cm="1">
        <f t="array" ref="AI583">SUMPRODUCT(--ISNUMBER($U583:$AA583),$AB$3:$AH$3)</f>
        <v>1</v>
      </c>
      <c r="AJ583" s="829">
        <f t="shared" si="306"/>
        <v>19.848039697701491</v>
      </c>
      <c r="AK583" s="827" t="str">
        <f t="shared" si="307"/>
        <v>Inmadura</v>
      </c>
      <c r="AL583" s="784" t="str">
        <f t="shared" si="308"/>
        <v>Alta</v>
      </c>
      <c r="AM583" s="799">
        <f>IF(ISNUMBER('Base de datos Rutas'!W581),'Base de datos Rutas'!W581,"")</f>
        <v>3293.1144020900269</v>
      </c>
      <c r="AN583" s="787">
        <f>IFERROR(SUMIFS('Base de datos Rutas'!$W$6:$W$794,'Base de datos Rutas'!$C$6:$C$794,$C583)/'Base de datos Rutas'!I581,"")</f>
        <v>3293.1144020900251</v>
      </c>
      <c r="AO583" s="800">
        <f>IFERROR('Base de datos Rutas'!X581*AN583/AM583,"")</f>
        <v>0.47791232590402694</v>
      </c>
      <c r="AP583" s="800">
        <f t="shared" si="309"/>
        <v>0.52208767409597301</v>
      </c>
      <c r="AQ583" s="789">
        <f>IFERROR(INDEX('Hoja de apoyo v2'!$J$17:$J$20,MATCH($A583,'Hoja de apoyo v2'!$A$17:$A$20,0)),"")</f>
        <v>0.64320274048480885</v>
      </c>
      <c r="AR583" s="789">
        <f t="shared" si="310"/>
        <v>-0.12111506638883585</v>
      </c>
      <c r="AS583" s="784" t="str">
        <f t="shared" si="311"/>
        <v>No</v>
      </c>
      <c r="AT583" s="801">
        <f>IF(ISNUMBER('Base de datos Rutas'!CK581),'Base de datos Rutas'!CK581,"")</f>
        <v>212</v>
      </c>
      <c r="AU583" s="802">
        <f>IF(ISNUMBER('Base de datos Rutas'!CL581),'Base de datos Rutas'!CL581,"")</f>
        <v>328.04</v>
      </c>
      <c r="AV583" s="802">
        <f>IF(ISNUMBER('Base de datos Rutas'!CM581),'Base de datos Rutas'!CM581,"")</f>
        <v>116.04000000000002</v>
      </c>
      <c r="AW583" s="802">
        <f>IF(ISNUMBER('Base de datos Rutas'!CN581),'Base de datos Rutas'!CN581,"")</f>
        <v>4.22</v>
      </c>
      <c r="AX583" s="802">
        <f>IF(ISNUMBER('Base de datos Rutas'!CO581),'Base de datos Rutas'!CO581,"")</f>
        <v>9.4499999999999993</v>
      </c>
      <c r="AY583" s="802">
        <f>IF(ISNUMBER('Base de datos Rutas'!CP581),'Base de datos Rutas'!CP581,"")</f>
        <v>5.2299999999999995</v>
      </c>
      <c r="AZ583" s="802">
        <f>IF(ISNUMBER('Base de datos Rutas'!CQ581),'Base de datos Rutas'!CQ581,"")</f>
        <v>564.37</v>
      </c>
      <c r="BA583" s="802">
        <f>IF(ISNUMBER('Base de datos Rutas'!CR581),'Base de datos Rutas'!CR581,"")</f>
        <v>333.05</v>
      </c>
      <c r="BB583" s="803">
        <f>IF(ISNUMBER('Base de datos Rutas'!CS581),'Base de datos Rutas'!CS581,"")</f>
        <v>231.32</v>
      </c>
      <c r="BC583" s="804">
        <f t="shared" si="321"/>
        <v>0</v>
      </c>
      <c r="BD583" s="805" t="str">
        <f t="shared" si="322"/>
        <v>No saturada</v>
      </c>
      <c r="BE583" s="806">
        <f t="shared" si="323"/>
        <v>0.59012704431489982</v>
      </c>
      <c r="BF583" s="890">
        <f>IF(ISNUMBER('Base de datos Rutas'!CX581),'Base de datos Rutas'!CX581/100,"")</f>
        <v>0.89441310282074615</v>
      </c>
      <c r="BG583" s="891">
        <f>IF(ISNUMBER('Base de datos Rutas'!CZ581),'Base de datos Rutas'!CZ581/100,"")</f>
        <v>1</v>
      </c>
      <c r="BH583" s="892">
        <f>IF(ISNUMBER('Base de datos Rutas'!DA581),'Base de datos Rutas'!DA581,"")</f>
        <v>1584.3625230445089</v>
      </c>
      <c r="BI583" s="893">
        <f>IF(ISNUMBER('Base de datos Rutas'!DC581),'Base de datos Rutas'!DC581,"")</f>
        <v>74.12921385304189</v>
      </c>
      <c r="BJ583" s="805" t="str">
        <f t="shared" si="324"/>
        <v>Ruta (completo)</v>
      </c>
      <c r="BK583" s="783">
        <f t="shared" si="312"/>
        <v>3</v>
      </c>
      <c r="BL583" s="797">
        <f t="shared" si="313"/>
        <v>3</v>
      </c>
      <c r="BM583" s="797">
        <f t="shared" si="314"/>
        <v>5</v>
      </c>
      <c r="BN583" s="797">
        <f t="shared" si="315"/>
        <v>5</v>
      </c>
      <c r="BO583" s="798" cm="1">
        <f t="array" ref="BO583">SUMPRODUCT(--ISNUMBER($BF583:$BI583),$BK$3:$BN$3)</f>
        <v>1</v>
      </c>
      <c r="BP583" s="831">
        <f t="shared" si="325"/>
        <v>75</v>
      </c>
      <c r="BQ583" s="834" t="str">
        <f t="shared" si="326"/>
        <v>Alto</v>
      </c>
      <c r="BR583" s="836">
        <f t="shared" si="316"/>
        <v>14.886029773276118</v>
      </c>
      <c r="BS583" s="836">
        <f t="shared" si="317"/>
        <v>75</v>
      </c>
      <c r="BT583" s="837" t="str">
        <f t="shared" si="318"/>
        <v>P3</v>
      </c>
      <c r="BU583" s="807" t="str">
        <f t="shared" si="327"/>
        <v>Con espacio</v>
      </c>
      <c r="BV583" s="807" t="str">
        <f t="shared" si="319"/>
        <v>Zona atractiva</v>
      </c>
      <c r="BW583" s="808" t="str">
        <f t="shared" si="320"/>
        <v>P3 - Desarrollar</v>
      </c>
    </row>
    <row r="584" spans="1:75">
      <c r="A584" s="780" t="str">
        <f>'Base de datos Rutas'!A582</f>
        <v>Occidente</v>
      </c>
      <c r="B584" s="781" t="str">
        <f>'Base de datos Rutas'!B582</f>
        <v>Favorita</v>
      </c>
      <c r="C584" s="781" t="str">
        <f>'Base de datos Rutas'!C582</f>
        <v>Suc. Santa Maria</v>
      </c>
      <c r="D584" s="782">
        <f>IF(ISNUMBER('Base de datos Rutas'!D582),'Base de datos Rutas'!D582,"Sin código")</f>
        <v>809334</v>
      </c>
      <c r="E584" s="783" t="str">
        <f>'Base de datos Rutas'!F582</f>
        <v>Activa</v>
      </c>
      <c r="F584" s="784" t="str">
        <f>'Base de datos Rutas'!H582</f>
        <v>Sí</v>
      </c>
      <c r="G584" s="785">
        <f>IF(ISNUMBER('Base de datos Rutas'!BE582),'Base de datos Rutas'!BE582,"")</f>
        <v>65.680995475113093</v>
      </c>
      <c r="H584" s="786">
        <f>IF(ISNUMBER('Base de datos Rutas'!BH582),'Base de datos Rutas'!BH582,"")</f>
        <v>0.47724845854431502</v>
      </c>
      <c r="I584" s="788">
        <f>IFERROR(IF(OR(NOT(ISNUMBER('Base de datos Rutas'!O582)),N('Base de datos Rutas'!BK582)=0),"",'Base de datos Rutas'!O582/('Base de datos Rutas'!L582/'Base de datos Rutas'!BK582)),"")</f>
        <v>4971.1787330316674</v>
      </c>
      <c r="J584" s="788">
        <f>IFERROR(IF(OR(NOT(ISNUMBER('Base de datos Rutas'!N582)),N('Base de datos Rutas'!BK582)=0),"",'Base de datos Rutas'!N582/('Base de datos Rutas'!L582/'Base de datos Rutas'!BK582)),"")</f>
        <v>7734.4027149321164</v>
      </c>
      <c r="K584" s="788">
        <f>IFERROR(IF(OR(NOT(ISNUMBER('Base de datos Rutas'!J582)),N('Base de datos Rutas'!BK582)=0),"",'Base de datos Rutas'!J582/('Base de datos Rutas'!L582/'Base de datos Rutas'!BK582)),"")</f>
        <v>527.08492307692234</v>
      </c>
      <c r="L584" s="788">
        <f>IFERROR(IF(OR(NOT(ISNUMBER('Base de datos Rutas'!K582)),N('Base de datos Rutas'!BK582)=0),"",'Base de datos Rutas'!K582/('Base de datos Rutas'!L582/'Base de datos Rutas'!BK582)),"")</f>
        <v>33.087489196832536</v>
      </c>
      <c r="M584" s="787">
        <f>IF(ISNUMBER('Base de datos Rutas'!AX582),'Base de datos Rutas'!AX582,"")</f>
        <v>405.15592277156298</v>
      </c>
      <c r="N584" s="790">
        <f>IFERROR(INDEX('Hoja de apoyo v2'!B$17:B$20,MATCH($A584,'Hoja de apoyo v2'!$A$17:$A$20,0)),"")</f>
        <v>89.41621024641401</v>
      </c>
      <c r="O584" s="791">
        <f>IFERROR(INDEX('Hoja de apoyo v2'!C$17:C$20,MATCH($A584,'Hoja de apoyo v2'!$A$17:$A$20,0)),"")</f>
        <v>0.54706375874806301</v>
      </c>
      <c r="P584" s="793">
        <f>IFERROR(INDEX('Hoja de apoyo v2'!D$17:D$20,MATCH($A584,'Hoja de apoyo v2'!$A$17:$A$20,0)),"")</f>
        <v>11095.153935793827</v>
      </c>
      <c r="Q584" s="793">
        <f>IFERROR(INDEX('Hoja de apoyo v2'!E$17:E$20,MATCH($A584,'Hoja de apoyo v2'!$A$17:$A$20,0)),"")</f>
        <v>6982.3202019701848</v>
      </c>
      <c r="R584" s="793">
        <f>IFERROR(INDEX('Hoja de apoyo v2'!F$17:F$20,MATCH($A584,'Hoja de apoyo v2'!$A$17:$A$20,0)),"")</f>
        <v>448.09513474485743</v>
      </c>
      <c r="S584" s="793">
        <f>IFERROR(INDEX('Hoja de apoyo v2'!G$17:G$20,MATCH($A584,'Hoja de apoyo v2'!$A$17:$A$20,0)),"")</f>
        <v>83.406300904207839</v>
      </c>
      <c r="T584" s="792">
        <f>IFERROR(INDEX('Hoja de apoyo v2'!H$17:H$20,MATCH($A584,'Hoja de apoyo v2'!$A$17:$A$20,0)),"")</f>
        <v>378.97014028925349</v>
      </c>
      <c r="U584" s="794">
        <f t="shared" ref="U584:U647" si="328">IFERROR(G584/N584,"")</f>
        <v>0.73455355907065178</v>
      </c>
      <c r="V584" s="795">
        <f t="shared" ref="V584:V647" si="329">IFERROR(H584/O584,"")</f>
        <v>0.87238178532696453</v>
      </c>
      <c r="W584" s="795">
        <f t="shared" ref="W584:W647" si="330">IFERROR(IF(N(P584)=0,"",I584/P584),"")</f>
        <v>0.44804955044330291</v>
      </c>
      <c r="X584" s="843">
        <f t="shared" ref="X584:X647" si="331">IFERROR(IF(N(Q584)=0,"",J584/Q584),"")</f>
        <v>1.1077124066509751</v>
      </c>
      <c r="Y584" s="843">
        <f t="shared" ref="Y584:Y647" si="332">IFERROR(IF(N(R584)=0,"",K584/R584),"")</f>
        <v>1.1762790581893758</v>
      </c>
      <c r="Z584" s="843">
        <f t="shared" ref="Z584:Z647" si="333">IFERROR(IF(N(S584)=0,"",L584/S584),"")</f>
        <v>0.39670251333689438</v>
      </c>
      <c r="AA584" s="843">
        <f t="shared" ref="AA584:AA647" si="334">IFERROR(IF(N(T584)=0,"",M584/T584),"")</f>
        <v>1.0690972182196805</v>
      </c>
      <c r="AB584" s="796">
        <f t="shared" ref="AB584:AB647" si="335">IF(NOT(ISNUMBER(U584)),0,IFERROR(MATCH(U584,$U$3:$X$3,1)+1,1))</f>
        <v>2</v>
      </c>
      <c r="AC584" s="797">
        <f t="shared" ref="AC584:AC647" si="336">IF(NOT(ISNUMBER(V584)),0,IFERROR(MATCH(V584,$U$3:$X$3,1)+1,1))</f>
        <v>3</v>
      </c>
      <c r="AD584" s="797">
        <f t="shared" ref="AD584:AD647" si="337">IF(NOT(ISNUMBER(W584)),0,IFERROR(MATCH(W584,$U$3:$X$3,1)+1,1))</f>
        <v>1</v>
      </c>
      <c r="AE584" s="842">
        <f t="shared" ref="AE584:AE647" si="338">IF(NOT(ISNUMBER(X584)),0,IFERROR(MATCH(X584,$U$3:$X$3,1)+1,1))</f>
        <v>4</v>
      </c>
      <c r="AF584" s="842">
        <f t="shared" ref="AF584:AF647" si="339">IF(NOT(ISNUMBER(Y584)),0,IFERROR(MATCH(Y584,$U$3:$X$3,1)+1,1))</f>
        <v>4</v>
      </c>
      <c r="AG584" s="842">
        <f t="shared" ref="AG584:AG647" si="340">IF(NOT(ISNUMBER(Z584)),0,IFERROR(MATCH(Z584,$U$3:$X$3,1)+1,1))</f>
        <v>1</v>
      </c>
      <c r="AH584" s="842">
        <f t="shared" ref="AH584:AH647" si="341">IF(NOT(ISNUMBER(AA584)),0,IFERROR(MATCH(AA584,$U$3:$X$3,1)+1,1))</f>
        <v>4</v>
      </c>
      <c r="AI584" s="826" cm="1">
        <f t="array" ref="AI584">SUMPRODUCT(--ISNUMBER($U584:$AA584),$AB$3:$AH$3)</f>
        <v>1</v>
      </c>
      <c r="AJ584" s="829">
        <f t="shared" ref="AJ584:AJ647" si="342">IF(OR($E584&lt;&gt;"Activa",$F584&lt;&gt;"Sí",AI584&lt;$AI$4),"",(SUMPRODUCT($AB584:$AH584,$AB$3:$AH$3)/AI584-1)/4*100)</f>
        <v>35.040107345672858</v>
      </c>
      <c r="AK584" s="827" t="str">
        <f t="shared" ref="AK584:AK647" si="343">IF($E584&lt;&gt;"Activa","Ruta inactiva",IF($F584&lt;&gt;"Sí","No elegible",IF(AJ584="","Sin datos",IF(AJ584&gt;=$AJ$4,"Madura",IF(AJ584&lt;$AK$4,"Inmadura","En desarrollo")))))</f>
        <v>Inmadura</v>
      </c>
      <c r="AL584" s="784" t="str">
        <f t="shared" ref="AL584:AL647" si="344">IF(AJ584="","n/a",IF(AI584&gt;=$AL$3,"Alta",IF(AI584&gt;=$AL$4,"Media","Baja")))</f>
        <v>Alta</v>
      </c>
      <c r="AM584" s="799">
        <f>IF(ISNUMBER('Base de datos Rutas'!W582),'Base de datos Rutas'!W582,"")</f>
        <v>3293.1144020900269</v>
      </c>
      <c r="AN584" s="787">
        <f>IFERROR(SUMIFS('Base de datos Rutas'!$W$6:$W$794,'Base de datos Rutas'!$C$6:$C$794,$C584)/'Base de datos Rutas'!I582,"")</f>
        <v>3293.1144020900251</v>
      </c>
      <c r="AO584" s="800">
        <f>IFERROR('Base de datos Rutas'!X582*AN584/AM584,"")</f>
        <v>0.47791232590402694</v>
      </c>
      <c r="AP584" s="800">
        <f t="shared" ref="AP584:AP647" si="345">IF(ISNUMBER(AO584),1-AO584,"")</f>
        <v>0.52208767409597301</v>
      </c>
      <c r="AQ584" s="789">
        <f>IFERROR(INDEX('Hoja de apoyo v2'!$J$17:$J$20,MATCH($A584,'Hoja de apoyo v2'!$A$17:$A$20,0)),"")</f>
        <v>0.64320274048480885</v>
      </c>
      <c r="AR584" s="789">
        <f t="shared" ref="AR584:AR647" si="346">IF(AND(ISNUMBER($AP584),ISNUMBER($AQ584)),$AP584-$AQ584,"")</f>
        <v>-0.12111506638883585</v>
      </c>
      <c r="AS584" s="784" t="str">
        <f t="shared" ref="AS584:AS647" si="347">IF(NOT(ISNUMBER(AO584)),"n/d",IF(AO584&gt;=$AO$4,"Sí","No"))</f>
        <v>No</v>
      </c>
      <c r="AT584" s="801">
        <f>IF(ISNUMBER('Base de datos Rutas'!CK582),'Base de datos Rutas'!CK582,"")</f>
        <v>235</v>
      </c>
      <c r="AU584" s="802">
        <f>IF(ISNUMBER('Base de datos Rutas'!CL582),'Base de datos Rutas'!CL582,"")</f>
        <v>318.56</v>
      </c>
      <c r="AV584" s="802">
        <f>IF(ISNUMBER('Base de datos Rutas'!CM582),'Base de datos Rutas'!CM582,"")</f>
        <v>83.56</v>
      </c>
      <c r="AW584" s="802">
        <f>IF(ISNUMBER('Base de datos Rutas'!CN582),'Base de datos Rutas'!CN582,"")</f>
        <v>6.29</v>
      </c>
      <c r="AX584" s="802">
        <f>IF(ISNUMBER('Base de datos Rutas'!CO582),'Base de datos Rutas'!CO582,"")</f>
        <v>9.4499999999999993</v>
      </c>
      <c r="AY584" s="802">
        <f>IF(ISNUMBER('Base de datos Rutas'!CP582),'Base de datos Rutas'!CP582,"")</f>
        <v>3.1599999999999993</v>
      </c>
      <c r="AZ584" s="802">
        <f>IF(ISNUMBER('Base de datos Rutas'!CQ582),'Base de datos Rutas'!CQ582,"")</f>
        <v>846.56</v>
      </c>
      <c r="BA584" s="802">
        <f>IF(ISNUMBER('Base de datos Rutas'!CR582),'Base de datos Rutas'!CR582,"")</f>
        <v>560.16999999999996</v>
      </c>
      <c r="BB584" s="803">
        <f>IF(ISNUMBER('Base de datos Rutas'!CS582),'Base de datos Rutas'!CS582,"")</f>
        <v>286.39</v>
      </c>
      <c r="BC584" s="804">
        <f t="shared" si="321"/>
        <v>0</v>
      </c>
      <c r="BD584" s="805" t="str">
        <f t="shared" si="322"/>
        <v>No saturada</v>
      </c>
      <c r="BE584" s="806">
        <f t="shared" si="323"/>
        <v>0.66170147420147418</v>
      </c>
      <c r="BF584" s="890">
        <f>IF(ISNUMBER('Base de datos Rutas'!CX582),'Base de datos Rutas'!CX582/100,"")</f>
        <v>0.92011472275334616</v>
      </c>
      <c r="BG584" s="891">
        <f>IF(ISNUMBER('Base de datos Rutas'!CZ582),'Base de datos Rutas'!CZ582/100,"")</f>
        <v>1</v>
      </c>
      <c r="BH584" s="892">
        <f>IF(ISNUMBER('Base de datos Rutas'!DA582),'Base de datos Rutas'!DA582,"")</f>
        <v>908.41912780197606</v>
      </c>
      <c r="BI584" s="893">
        <f>IF(ISNUMBER('Base de datos Rutas'!DC582),'Base de datos Rutas'!DC582,"")</f>
        <v>37.930592443075177</v>
      </c>
      <c r="BJ584" s="805" t="str">
        <f t="shared" si="324"/>
        <v>Ruta (completo)</v>
      </c>
      <c r="BK584" s="783">
        <f t="shared" ref="BK584:BK647" si="348">IF(NOT(ISNUMBER($BF584)),0,MIN(5,1+INT(5*COUNTIFS($C$8:$C$796,$C584,$BF$8:$BF$796,"&lt;"&amp;$BF584)/COUNTIFS($C$8:$C$796,$C584,$BF$8:$BF$796,"&gt;=-1E+300"))))</f>
        <v>3</v>
      </c>
      <c r="BL584" s="797">
        <f t="shared" ref="BL584:BL647" si="349">IF(NOT(ISNUMBER($BG584)),0,MIN(5,1+INT(5*COUNTIFS($C$8:$C$796,$C584,$BG$8:$BG$796,"&lt;"&amp;$BG584)/COUNTIFS($C$8:$C$796,$C584,$BG$8:$BG$796,"&gt;=-1E+300"))))</f>
        <v>3</v>
      </c>
      <c r="BM584" s="797">
        <f t="shared" ref="BM584:BM647" si="350">IF(NOT(ISNUMBER($BH584)),0,MIN(5,1+INT(5*COUNTIFS($C$8:$C$796,$C584,$BH$8:$BH$796,"&lt;"&amp;$BH584)/COUNTIFS($C$8:$C$796,$C584,$BH$8:$BH$796,"&gt;=-1E+300"))))</f>
        <v>4</v>
      </c>
      <c r="BN584" s="797">
        <f t="shared" ref="BN584:BN647" si="351">IF(NOT(ISNUMBER($BI584)),0,MIN(5,1+INT(5*COUNTIFS($C$8:$C$796,$C584,$BI$8:$BI$796,"&lt;"&amp;$BI584)/COUNTIFS($C$8:$C$796,$C584,$BI$8:$BI$796,"&gt;=-1E+300"))))</f>
        <v>4</v>
      </c>
      <c r="BO584" s="798" cm="1">
        <f t="array" ref="BO584">SUMPRODUCT(--ISNUMBER($BF584:$BI584),$BK$3:$BN$3)</f>
        <v>1</v>
      </c>
      <c r="BP584" s="831">
        <f t="shared" si="325"/>
        <v>62.5</v>
      </c>
      <c r="BQ584" s="834" t="str">
        <f t="shared" si="326"/>
        <v>Alto</v>
      </c>
      <c r="BR584" s="836">
        <f t="shared" ref="BR584:BR647" si="352">IF(OR(NOT(ISNUMBER($AJ584)),$BD584="N/D"),"",$AJ584*$BS$3+IF($BD584="Saturada",100,0)*$BU$3)</f>
        <v>26.280080509254645</v>
      </c>
      <c r="BS584" s="836">
        <f t="shared" ref="BS584:BS647" si="353">IF(ISNUMBER($BP584),$BP584,"")</f>
        <v>62.5</v>
      </c>
      <c r="BT584" s="837" t="str">
        <f t="shared" ref="BT584:BT647" si="354">IF(OR(NOT(ISNUMBER($BR584)),NOT(ISNUMBER($BS584))),"Sin datos",IF($BR584&gt;=$BS$4,IF($BS584&gt;=$BU$4,"P1","P2"),IF($BS584&gt;=$BU$4,"P3","P4")))</f>
        <v>P3</v>
      </c>
      <c r="BU584" s="807" t="str">
        <f t="shared" si="327"/>
        <v>Con espacio</v>
      </c>
      <c r="BV584" s="807" t="str">
        <f t="shared" ref="BV584:BV647" si="355">IF($BU584="No evaluable","No evaluable",IF($BQ584="Sin datos","Sin datos de zona",IF($BQ584="Alto","Zona atractiva","Zona de bajo potencial")))</f>
        <v>Zona atractiva</v>
      </c>
      <c r="BW584" s="808" t="str">
        <f t="shared" ref="BW584:BW647" si="356">IFERROR(IF($BT584="P1","P1 - Ampliar cobertura",IF($BT584="P2","P2 - Mantener",IF($BT584="P3","P3 - Desarrollar",IF($BT584="P4","P4 - Evaluar","Sin datos")))),"Sin datos")</f>
        <v>P3 - Desarrollar</v>
      </c>
    </row>
    <row r="585" spans="1:75">
      <c r="A585" s="780" t="str">
        <f>'Base de datos Rutas'!A583</f>
        <v>Occidente</v>
      </c>
      <c r="B585" s="781" t="str">
        <f>'Base de datos Rutas'!B583</f>
        <v>Favorita</v>
      </c>
      <c r="C585" s="781" t="str">
        <f>'Base de datos Rutas'!C583</f>
        <v>Suc. Santa Maria</v>
      </c>
      <c r="D585" s="782">
        <f>IF(ISNUMBER('Base de datos Rutas'!D583),'Base de datos Rutas'!D583,"Sin código")</f>
        <v>809335</v>
      </c>
      <c r="E585" s="783" t="str">
        <f>'Base de datos Rutas'!F583</f>
        <v>Activa</v>
      </c>
      <c r="F585" s="784" t="str">
        <f>'Base de datos Rutas'!H583</f>
        <v>Sí</v>
      </c>
      <c r="G585" s="785">
        <f>IF(ISNUMBER('Base de datos Rutas'!BE583),'Base de datos Rutas'!BE583,"")</f>
        <v>59.029816513761503</v>
      </c>
      <c r="H585" s="786">
        <f>IF(ISNUMBER('Base de datos Rutas'!BH583),'Base de datos Rutas'!BH583,"")</f>
        <v>0.43085829739285902</v>
      </c>
      <c r="I585" s="788">
        <f>IFERROR(IF(OR(NOT(ISNUMBER('Base de datos Rutas'!O583)),N('Base de datos Rutas'!BK583)=0),"",'Base de datos Rutas'!O583/('Base de datos Rutas'!L583/'Base de datos Rutas'!BK583)),"")</f>
        <v>4043.2247706421972</v>
      </c>
      <c r="J585" s="788">
        <f>IFERROR(IF(OR(NOT(ISNUMBER('Base de datos Rutas'!N583)),N('Base de datos Rutas'!BK583)=0),"",'Base de datos Rutas'!N583/('Base de datos Rutas'!L583/'Base de datos Rutas'!BK583)),"")</f>
        <v>6332.2568807339376</v>
      </c>
      <c r="K585" s="788">
        <f>IFERROR(IF(OR(NOT(ISNUMBER('Base de datos Rutas'!J583)),N('Base de datos Rutas'!BK583)=0),"",'Base de datos Rutas'!J583/('Base de datos Rutas'!L583/'Base de datos Rutas'!BK583)),"")</f>
        <v>430.94463486238482</v>
      </c>
      <c r="L585" s="788">
        <f>IFERROR(IF(OR(NOT(ISNUMBER('Base de datos Rutas'!K583)),N('Base de datos Rutas'!BK583)=0),"",'Base de datos Rutas'!K583/('Base de datos Rutas'!L583/'Base de datos Rutas'!BK583)),"")</f>
        <v>27.118936123853178</v>
      </c>
      <c r="M585" s="787">
        <f>IF(ISNUMBER('Base de datos Rutas'!AX583),'Base de datos Rutas'!AX583,"")</f>
        <v>407.74490215528903</v>
      </c>
      <c r="N585" s="790">
        <f>IFERROR(INDEX('Hoja de apoyo v2'!B$17:B$20,MATCH($A585,'Hoja de apoyo v2'!$A$17:$A$20,0)),"")</f>
        <v>89.41621024641401</v>
      </c>
      <c r="O585" s="791">
        <f>IFERROR(INDEX('Hoja de apoyo v2'!C$17:C$20,MATCH($A585,'Hoja de apoyo v2'!$A$17:$A$20,0)),"")</f>
        <v>0.54706375874806301</v>
      </c>
      <c r="P585" s="793">
        <f>IFERROR(INDEX('Hoja de apoyo v2'!D$17:D$20,MATCH($A585,'Hoja de apoyo v2'!$A$17:$A$20,0)),"")</f>
        <v>11095.153935793827</v>
      </c>
      <c r="Q585" s="793">
        <f>IFERROR(INDEX('Hoja de apoyo v2'!E$17:E$20,MATCH($A585,'Hoja de apoyo v2'!$A$17:$A$20,0)),"")</f>
        <v>6982.3202019701848</v>
      </c>
      <c r="R585" s="793">
        <f>IFERROR(INDEX('Hoja de apoyo v2'!F$17:F$20,MATCH($A585,'Hoja de apoyo v2'!$A$17:$A$20,0)),"")</f>
        <v>448.09513474485743</v>
      </c>
      <c r="S585" s="793">
        <f>IFERROR(INDEX('Hoja de apoyo v2'!G$17:G$20,MATCH($A585,'Hoja de apoyo v2'!$A$17:$A$20,0)),"")</f>
        <v>83.406300904207839</v>
      </c>
      <c r="T585" s="792">
        <f>IFERROR(INDEX('Hoja de apoyo v2'!H$17:H$20,MATCH($A585,'Hoja de apoyo v2'!$A$17:$A$20,0)),"")</f>
        <v>378.97014028925349</v>
      </c>
      <c r="U585" s="794">
        <f t="shared" si="328"/>
        <v>0.6601690717050811</v>
      </c>
      <c r="V585" s="795">
        <f t="shared" si="329"/>
        <v>0.78758333101586497</v>
      </c>
      <c r="W585" s="795">
        <f t="shared" si="330"/>
        <v>0.36441358038291299</v>
      </c>
      <c r="X585" s="843">
        <f t="shared" si="331"/>
        <v>0.90689866657034424</v>
      </c>
      <c r="Y585" s="843">
        <f t="shared" si="332"/>
        <v>0.96172576189152781</v>
      </c>
      <c r="Z585" s="843">
        <f t="shared" si="333"/>
        <v>0.3251425351544997</v>
      </c>
      <c r="AA585" s="843">
        <f t="shared" si="334"/>
        <v>1.0759288366204072</v>
      </c>
      <c r="AB585" s="796">
        <f t="shared" si="335"/>
        <v>2</v>
      </c>
      <c r="AC585" s="797">
        <f t="shared" si="336"/>
        <v>3</v>
      </c>
      <c r="AD585" s="797">
        <f t="shared" si="337"/>
        <v>1</v>
      </c>
      <c r="AE585" s="842">
        <f t="shared" si="338"/>
        <v>3</v>
      </c>
      <c r="AF585" s="842">
        <f t="shared" si="339"/>
        <v>3</v>
      </c>
      <c r="AG585" s="842">
        <f t="shared" si="340"/>
        <v>1</v>
      </c>
      <c r="AH585" s="842">
        <f t="shared" si="341"/>
        <v>4</v>
      </c>
      <c r="AI585" s="826" cm="1">
        <f t="array" ref="AI585">SUMPRODUCT(--ISNUMBER($U585:$AA585),$AB$3:$AH$3)</f>
        <v>1</v>
      </c>
      <c r="AJ585" s="829">
        <f t="shared" si="342"/>
        <v>28.704615187414372</v>
      </c>
      <c r="AK585" s="827" t="str">
        <f t="shared" si="343"/>
        <v>Inmadura</v>
      </c>
      <c r="AL585" s="784" t="str">
        <f t="shared" si="344"/>
        <v>Alta</v>
      </c>
      <c r="AM585" s="799">
        <f>IF(ISNUMBER('Base de datos Rutas'!W583),'Base de datos Rutas'!W583,"")</f>
        <v>3293.1144020900269</v>
      </c>
      <c r="AN585" s="787">
        <f>IFERROR(SUMIFS('Base de datos Rutas'!$W$6:$W$794,'Base de datos Rutas'!$C$6:$C$794,$C585)/'Base de datos Rutas'!I583,"")</f>
        <v>3293.1144020900251</v>
      </c>
      <c r="AO585" s="800">
        <f>IFERROR('Base de datos Rutas'!X583*AN585/AM585,"")</f>
        <v>0.47791232590402694</v>
      </c>
      <c r="AP585" s="800">
        <f t="shared" si="345"/>
        <v>0.52208767409597301</v>
      </c>
      <c r="AQ585" s="789">
        <f>IFERROR(INDEX('Hoja de apoyo v2'!$J$17:$J$20,MATCH($A585,'Hoja de apoyo v2'!$A$17:$A$20,0)),"")</f>
        <v>0.64320274048480885</v>
      </c>
      <c r="AR585" s="789">
        <f t="shared" si="346"/>
        <v>-0.12111506638883585</v>
      </c>
      <c r="AS585" s="784" t="str">
        <f t="shared" si="347"/>
        <v>No</v>
      </c>
      <c r="AT585" s="801">
        <f>IF(ISNUMBER('Base de datos Rutas'!CK583),'Base de datos Rutas'!CK583,"")</f>
        <v>213</v>
      </c>
      <c r="AU585" s="802">
        <f>IF(ISNUMBER('Base de datos Rutas'!CL583),'Base de datos Rutas'!CL583,"")</f>
        <v>344.1</v>
      </c>
      <c r="AV585" s="802">
        <f>IF(ISNUMBER('Base de datos Rutas'!CM583),'Base de datos Rutas'!CM583,"")</f>
        <v>131.10000000000002</v>
      </c>
      <c r="AW585" s="802">
        <f>IF(ISNUMBER('Base de datos Rutas'!CN583),'Base de datos Rutas'!CN583,"")</f>
        <v>5.32</v>
      </c>
      <c r="AX585" s="802">
        <f>IF(ISNUMBER('Base de datos Rutas'!CO583),'Base de datos Rutas'!CO583,"")</f>
        <v>9.4499999999999993</v>
      </c>
      <c r="AY585" s="802">
        <f>IF(ISNUMBER('Base de datos Rutas'!CP583),'Base de datos Rutas'!CP583,"")</f>
        <v>4.129999999999999</v>
      </c>
      <c r="AZ585" s="802">
        <f>IF(ISNUMBER('Base de datos Rutas'!CQ583),'Base de datos Rutas'!CQ583,"")</f>
        <v>846.56</v>
      </c>
      <c r="BA585" s="802">
        <f>IF(ISNUMBER('Base de datos Rutas'!CR583),'Base de datos Rutas'!CR583,"")</f>
        <v>458.06</v>
      </c>
      <c r="BB585" s="803">
        <f>IF(ISNUMBER('Base de datos Rutas'!CS583),'Base de datos Rutas'!CS583,"")</f>
        <v>388.49999999999994</v>
      </c>
      <c r="BC585" s="804">
        <f t="shared" ref="BC585:BC648" si="357">IF(OR(COUNT($AV585,$AY585,$BB585)&lt;3,NOT(ISNUMBER($AT585)),N($AT585)&lt;=0,N($AZ585)&lt;=0),"",COUNTIF($AV585,"&lt;="&amp;$BC$4)+COUNTIF($AY585,"&lt;="&amp;$BC$4)+COUNTIF($BB585,"&lt;="&amp;$BC$4))</f>
        <v>0</v>
      </c>
      <c r="BD585" s="805" t="str">
        <f t="shared" ref="BD585:BD648" si="358">IF(NOT(ISNUMBER($BC585)),"N/D",IF($BC585&gt;=1,"Saturada","No saturada"))</f>
        <v>No saturada</v>
      </c>
      <c r="BE585" s="806">
        <f t="shared" ref="BE585:BE648" si="359">IF(AND(ISNUMBER($AZ585),ISNUMBER($BA585),$AZ585&lt;&gt;0),$BA585/$AZ585,"")</f>
        <v>0.54108391608391615</v>
      </c>
      <c r="BF585" s="890">
        <f>IF(ISNUMBER('Base de datos Rutas'!CX583),'Base de datos Rutas'!CX583/100,"")</f>
        <v>0.91374999999999995</v>
      </c>
      <c r="BG585" s="891">
        <f>IF(ISNUMBER('Base de datos Rutas'!CZ583),'Base de datos Rutas'!CZ583/100,"")</f>
        <v>1</v>
      </c>
      <c r="BH585" s="892">
        <f>IF(ISNUMBER('Base de datos Rutas'!DA583),'Base de datos Rutas'!DA583,"")</f>
        <v>1221.3497849918235</v>
      </c>
      <c r="BI585" s="893">
        <f>IF(ISNUMBER('Base de datos Rutas'!DC583),'Base de datos Rutas'!DC583,"")</f>
        <v>52.038065532069531</v>
      </c>
      <c r="BJ585" s="805" t="str">
        <f t="shared" ref="BJ585:BJ648" si="360">IF(COUNT($BF585:$BI585)=4,"Ruta (completo)",IF(COUNT($BF585:$BI585)=0,"Sin dato","Ruta (parcial)"))</f>
        <v>Ruta (completo)</v>
      </c>
      <c r="BK585" s="783">
        <f t="shared" si="348"/>
        <v>3</v>
      </c>
      <c r="BL585" s="797">
        <f t="shared" si="349"/>
        <v>3</v>
      </c>
      <c r="BM585" s="797">
        <f t="shared" si="350"/>
        <v>5</v>
      </c>
      <c r="BN585" s="797">
        <f t="shared" si="351"/>
        <v>5</v>
      </c>
      <c r="BO585" s="798" cm="1">
        <f t="array" ref="BO585">SUMPRODUCT(--ISNUMBER($BF585:$BI585),$BK$3:$BN$3)</f>
        <v>1</v>
      </c>
      <c r="BP585" s="831">
        <f t="shared" ref="BP585:BP648" si="361">IF(BO585&lt;$BO$4,"",(SUMPRODUCT($BK585:$BN585,$BK$3:$BN$3)/BO585-1)/4*100)</f>
        <v>75</v>
      </c>
      <c r="BQ585" s="834" t="str">
        <f t="shared" ref="BQ585:BQ648" si="362">IF(BP585="","Sin datos",IF(BP585&gt;=$BP$4,"Alto",IF(BP585&lt;$BQ$4,"Bajo","Medio")))</f>
        <v>Alto</v>
      </c>
      <c r="BR585" s="836">
        <f t="shared" si="352"/>
        <v>21.528461390560778</v>
      </c>
      <c r="BS585" s="836">
        <f t="shared" si="353"/>
        <v>75</v>
      </c>
      <c r="BT585" s="837" t="str">
        <f t="shared" si="354"/>
        <v>P3</v>
      </c>
      <c r="BU585" s="807" t="str">
        <f t="shared" ref="BU585:BU648" si="363">IF(OR($AK585="Ruta inactiva",$AK585="No elegible",$AK585="Sin datos"),"No evaluable",IF($BD585="Saturada","Al tope","Con espacio"))</f>
        <v>Con espacio</v>
      </c>
      <c r="BV585" s="807" t="str">
        <f t="shared" si="355"/>
        <v>Zona atractiva</v>
      </c>
      <c r="BW585" s="808" t="str">
        <f t="shared" si="356"/>
        <v>P3 - Desarrollar</v>
      </c>
    </row>
    <row r="586" spans="1:75">
      <c r="A586" s="780" t="str">
        <f>'Base de datos Rutas'!A584</f>
        <v>Occidente</v>
      </c>
      <c r="B586" s="781" t="str">
        <f>'Base de datos Rutas'!B584</f>
        <v>Favorita</v>
      </c>
      <c r="C586" s="781" t="str">
        <f>'Base de datos Rutas'!C584</f>
        <v>Suc. Santa Maria</v>
      </c>
      <c r="D586" s="782">
        <f>IF(ISNUMBER('Base de datos Rutas'!D584),'Base de datos Rutas'!D584,"Sin código")</f>
        <v>809336</v>
      </c>
      <c r="E586" s="783" t="str">
        <f>'Base de datos Rutas'!F584</f>
        <v>Activa</v>
      </c>
      <c r="F586" s="784" t="str">
        <f>'Base de datos Rutas'!H584</f>
        <v>Sí</v>
      </c>
      <c r="G586" s="785">
        <f>IF(ISNUMBER('Base de datos Rutas'!BE584),'Base de datos Rutas'!BE584,"")</f>
        <v>69.6797235023041</v>
      </c>
      <c r="H586" s="786">
        <f>IF(ISNUMBER('Base de datos Rutas'!BH584),'Base de datos Rutas'!BH584,"")</f>
        <v>0.475777917396912</v>
      </c>
      <c r="I586" s="788">
        <f>IFERROR(IF(OR(NOT(ISNUMBER('Base de datos Rutas'!O584)),N('Base de datos Rutas'!BK584)=0),"",'Base de datos Rutas'!O584/('Base de datos Rutas'!L584/'Base de datos Rutas'!BK584)),"")</f>
        <v>3398.069124423967</v>
      </c>
      <c r="J586" s="788">
        <f>IFERROR(IF(OR(NOT(ISNUMBER('Base de datos Rutas'!N584)),N('Base de datos Rutas'!BK584)=0),"",'Base de datos Rutas'!N584/('Base de datos Rutas'!L584/'Base de datos Rutas'!BK584)),"")</f>
        <v>4986.8133640553051</v>
      </c>
      <c r="K586" s="788">
        <f>IFERROR(IF(OR(NOT(ISNUMBER('Base de datos Rutas'!J584)),N('Base de datos Rutas'!BK584)=0),"",'Base de datos Rutas'!J584/('Base de datos Rutas'!L584/'Base de datos Rutas'!BK584)),"")</f>
        <v>339.22172903225845</v>
      </c>
      <c r="L586" s="788">
        <f>IFERROR(IF(OR(NOT(ISNUMBER('Base de datos Rutas'!K584)),N('Base de datos Rutas'!BK584)=0),"",'Base de datos Rutas'!K584/('Base de datos Rutas'!L584/'Base de datos Rutas'!BK584)),"")</f>
        <v>22.128979398617538</v>
      </c>
      <c r="M586" s="787">
        <f>IF(ISNUMBER('Base de datos Rutas'!AX584),'Base de datos Rutas'!AX584,"")</f>
        <v>252.921752849597</v>
      </c>
      <c r="N586" s="790">
        <f>IFERROR(INDEX('Hoja de apoyo v2'!B$17:B$20,MATCH($A586,'Hoja de apoyo v2'!$A$17:$A$20,0)),"")</f>
        <v>89.41621024641401</v>
      </c>
      <c r="O586" s="791">
        <f>IFERROR(INDEX('Hoja de apoyo v2'!C$17:C$20,MATCH($A586,'Hoja de apoyo v2'!$A$17:$A$20,0)),"")</f>
        <v>0.54706375874806301</v>
      </c>
      <c r="P586" s="793">
        <f>IFERROR(INDEX('Hoja de apoyo v2'!D$17:D$20,MATCH($A586,'Hoja de apoyo v2'!$A$17:$A$20,0)),"")</f>
        <v>11095.153935793827</v>
      </c>
      <c r="Q586" s="793">
        <f>IFERROR(INDEX('Hoja de apoyo v2'!E$17:E$20,MATCH($A586,'Hoja de apoyo v2'!$A$17:$A$20,0)),"")</f>
        <v>6982.3202019701848</v>
      </c>
      <c r="R586" s="793">
        <f>IFERROR(INDEX('Hoja de apoyo v2'!F$17:F$20,MATCH($A586,'Hoja de apoyo v2'!$A$17:$A$20,0)),"")</f>
        <v>448.09513474485743</v>
      </c>
      <c r="S586" s="793">
        <f>IFERROR(INDEX('Hoja de apoyo v2'!G$17:G$20,MATCH($A586,'Hoja de apoyo v2'!$A$17:$A$20,0)),"")</f>
        <v>83.406300904207839</v>
      </c>
      <c r="T586" s="792">
        <f>IFERROR(INDEX('Hoja de apoyo v2'!H$17:H$20,MATCH($A586,'Hoja de apoyo v2'!$A$17:$A$20,0)),"")</f>
        <v>378.97014028925349</v>
      </c>
      <c r="U586" s="794">
        <f t="shared" si="328"/>
        <v>0.779273951672522</v>
      </c>
      <c r="V586" s="795">
        <f t="shared" si="329"/>
        <v>0.86969372360858588</v>
      </c>
      <c r="W586" s="795">
        <f t="shared" si="330"/>
        <v>0.30626606391296046</v>
      </c>
      <c r="X586" s="843">
        <f t="shared" si="331"/>
        <v>0.71420576825568494</v>
      </c>
      <c r="Y586" s="843">
        <f t="shared" si="332"/>
        <v>0.75703060071252326</v>
      </c>
      <c r="Z586" s="843">
        <f t="shared" si="333"/>
        <v>0.26531543970560062</v>
      </c>
      <c r="AA586" s="843">
        <f t="shared" si="334"/>
        <v>0.66739229812816236</v>
      </c>
      <c r="AB586" s="796">
        <f t="shared" si="335"/>
        <v>3</v>
      </c>
      <c r="AC586" s="797">
        <f t="shared" si="336"/>
        <v>3</v>
      </c>
      <c r="AD586" s="797">
        <f t="shared" si="337"/>
        <v>1</v>
      </c>
      <c r="AE586" s="842">
        <f t="shared" si="338"/>
        <v>2</v>
      </c>
      <c r="AF586" s="842">
        <f t="shared" si="339"/>
        <v>3</v>
      </c>
      <c r="AG586" s="842">
        <f t="shared" si="340"/>
        <v>1</v>
      </c>
      <c r="AH586" s="842">
        <f t="shared" si="341"/>
        <v>2</v>
      </c>
      <c r="AI586" s="826" cm="1">
        <f t="array" ref="AI586">SUMPRODUCT(--ISNUMBER($U586:$AA586),$AB$3:$AH$3)</f>
        <v>1</v>
      </c>
      <c r="AJ586" s="829">
        <f t="shared" si="342"/>
        <v>25.339348038679312</v>
      </c>
      <c r="AK586" s="827" t="str">
        <f t="shared" si="343"/>
        <v>Inmadura</v>
      </c>
      <c r="AL586" s="784" t="str">
        <f t="shared" si="344"/>
        <v>Alta</v>
      </c>
      <c r="AM586" s="799">
        <f>IF(ISNUMBER('Base de datos Rutas'!W584),'Base de datos Rutas'!W584,"")</f>
        <v>3293.1144020900269</v>
      </c>
      <c r="AN586" s="787">
        <f>IFERROR(SUMIFS('Base de datos Rutas'!$W$6:$W$794,'Base de datos Rutas'!$C$6:$C$794,$C586)/'Base de datos Rutas'!I584,"")</f>
        <v>3293.1144020900251</v>
      </c>
      <c r="AO586" s="800">
        <f>IFERROR('Base de datos Rutas'!X584*AN586/AM586,"")</f>
        <v>0.47791232590402694</v>
      </c>
      <c r="AP586" s="800">
        <f t="shared" si="345"/>
        <v>0.52208767409597301</v>
      </c>
      <c r="AQ586" s="789">
        <f>IFERROR(INDEX('Hoja de apoyo v2'!$J$17:$J$20,MATCH($A586,'Hoja de apoyo v2'!$A$17:$A$20,0)),"")</f>
        <v>0.64320274048480885</v>
      </c>
      <c r="AR586" s="789">
        <f t="shared" si="346"/>
        <v>-0.12111506638883585</v>
      </c>
      <c r="AS586" s="784" t="str">
        <f t="shared" si="347"/>
        <v>No</v>
      </c>
      <c r="AT586" s="801">
        <f>IF(ISNUMBER('Base de datos Rutas'!CK584),'Base de datos Rutas'!CK584,"")</f>
        <v>220</v>
      </c>
      <c r="AU586" s="802">
        <f>IF(ISNUMBER('Base de datos Rutas'!CL584),'Base de datos Rutas'!CL584,"")</f>
        <v>372.52</v>
      </c>
      <c r="AV586" s="802">
        <f>IF(ISNUMBER('Base de datos Rutas'!CM584),'Base de datos Rutas'!CM584,"")</f>
        <v>152.51999999999998</v>
      </c>
      <c r="AW586" s="802">
        <f>IF(ISNUMBER('Base de datos Rutas'!CN584),'Base de datos Rutas'!CN584,"")</f>
        <v>5.67</v>
      </c>
      <c r="AX586" s="802">
        <f>IF(ISNUMBER('Base de datos Rutas'!CO584),'Base de datos Rutas'!CO584,"")</f>
        <v>9.4499999999999993</v>
      </c>
      <c r="AY586" s="802">
        <f>IF(ISNUMBER('Base de datos Rutas'!CP584),'Base de datos Rutas'!CP584,"")</f>
        <v>3.7799999999999994</v>
      </c>
      <c r="AZ586" s="802">
        <f>IF(ISNUMBER('Base de datos Rutas'!CQ584),'Base de datos Rutas'!CQ584,"")</f>
        <v>846.56</v>
      </c>
      <c r="BA586" s="802">
        <f>IF(ISNUMBER('Base de datos Rutas'!CR584),'Base de datos Rutas'!CR584,"")</f>
        <v>361.35</v>
      </c>
      <c r="BB586" s="803">
        <f>IF(ISNUMBER('Base de datos Rutas'!CS584),'Base de datos Rutas'!CS584,"")</f>
        <v>485.20999999999992</v>
      </c>
      <c r="BC586" s="804">
        <f t="shared" si="357"/>
        <v>0</v>
      </c>
      <c r="BD586" s="805" t="str">
        <f t="shared" si="358"/>
        <v>No saturada</v>
      </c>
      <c r="BE586" s="806">
        <f t="shared" si="359"/>
        <v>0.42684511434511441</v>
      </c>
      <c r="BF586" s="890">
        <f>IF(ISNUMBER('Base de datos Rutas'!CX584),'Base de datos Rutas'!CX584/100,"")</f>
        <v>0.772017937219731</v>
      </c>
      <c r="BG586" s="891">
        <f>IF(ISNUMBER('Base de datos Rutas'!CZ584),'Base de datos Rutas'!CZ584/100,"")</f>
        <v>1</v>
      </c>
      <c r="BH586" s="892">
        <f>IF(ISNUMBER('Base de datos Rutas'!DA584),'Base de datos Rutas'!DA584,"")</f>
        <v>3476.901524004285</v>
      </c>
      <c r="BI586" s="893">
        <f>IF(ISNUMBER('Base de datos Rutas'!DC584),'Base de datos Rutas'!DC584,"")</f>
        <v>149.63949751679812</v>
      </c>
      <c r="BJ586" s="805" t="str">
        <f t="shared" si="360"/>
        <v>Ruta (completo)</v>
      </c>
      <c r="BK586" s="783">
        <f t="shared" si="348"/>
        <v>2</v>
      </c>
      <c r="BL586" s="797">
        <f t="shared" si="349"/>
        <v>3</v>
      </c>
      <c r="BM586" s="797">
        <f t="shared" si="350"/>
        <v>5</v>
      </c>
      <c r="BN586" s="797">
        <f t="shared" si="351"/>
        <v>5</v>
      </c>
      <c r="BO586" s="798" cm="1">
        <f t="array" ref="BO586">SUMPRODUCT(--ISNUMBER($BF586:$BI586),$BK$3:$BN$3)</f>
        <v>1</v>
      </c>
      <c r="BP586" s="831">
        <f t="shared" si="361"/>
        <v>68.75</v>
      </c>
      <c r="BQ586" s="834" t="str">
        <f t="shared" si="362"/>
        <v>Alto</v>
      </c>
      <c r="BR586" s="836">
        <f t="shared" si="352"/>
        <v>19.004511029009485</v>
      </c>
      <c r="BS586" s="836">
        <f t="shared" si="353"/>
        <v>68.75</v>
      </c>
      <c r="BT586" s="837" t="str">
        <f t="shared" si="354"/>
        <v>P3</v>
      </c>
      <c r="BU586" s="807" t="str">
        <f t="shared" si="363"/>
        <v>Con espacio</v>
      </c>
      <c r="BV586" s="807" t="str">
        <f t="shared" si="355"/>
        <v>Zona atractiva</v>
      </c>
      <c r="BW586" s="808" t="str">
        <f t="shared" si="356"/>
        <v>P3 - Desarrollar</v>
      </c>
    </row>
    <row r="587" spans="1:75">
      <c r="A587" s="780" t="str">
        <f>'Base de datos Rutas'!A585</f>
        <v>Occidente</v>
      </c>
      <c r="B587" s="781" t="str">
        <f>'Base de datos Rutas'!B585</f>
        <v>Favorita</v>
      </c>
      <c r="C587" s="781" t="str">
        <f>'Base de datos Rutas'!C585</f>
        <v>Suc. Santa Maria</v>
      </c>
      <c r="D587" s="782">
        <f>IF(ISNUMBER('Base de datos Rutas'!D585),'Base de datos Rutas'!D585,"Sin código")</f>
        <v>809337</v>
      </c>
      <c r="E587" s="783" t="str">
        <f>'Base de datos Rutas'!F585</f>
        <v>Activa</v>
      </c>
      <c r="F587" s="784" t="str">
        <f>'Base de datos Rutas'!H585</f>
        <v>Sí</v>
      </c>
      <c r="G587" s="785">
        <f>IF(ISNUMBER('Base de datos Rutas'!BE585),'Base de datos Rutas'!BE585,"")</f>
        <v>38.064516129032299</v>
      </c>
      <c r="H587" s="786">
        <f>IF(ISNUMBER('Base de datos Rutas'!BH585),'Base de datos Rutas'!BH585,"")</f>
        <v>0.50538740920096903</v>
      </c>
      <c r="I587" s="788">
        <f>IFERROR(IF(OR(NOT(ISNUMBER('Base de datos Rutas'!O585)),N('Base de datos Rutas'!BK585)=0),"",'Base de datos Rutas'!O585/('Base de datos Rutas'!L585/'Base de datos Rutas'!BK585)),"")</f>
        <v>3457.4101382488502</v>
      </c>
      <c r="J587" s="788">
        <f>IFERROR(IF(OR(NOT(ISNUMBER('Base de datos Rutas'!N585)),N('Base de datos Rutas'!BK585)=0),"",'Base de datos Rutas'!N585/('Base de datos Rutas'!L585/'Base de datos Rutas'!BK585)),"")</f>
        <v>5228.6682027649804</v>
      </c>
      <c r="K587" s="788">
        <f>IFERROR(IF(OR(NOT(ISNUMBER('Base de datos Rutas'!J585)),N('Base de datos Rutas'!BK585)=0),"",'Base de datos Rutas'!J585/('Base de datos Rutas'!L585/'Base de datos Rutas'!BK585)),"")</f>
        <v>359.22798709677437</v>
      </c>
      <c r="L587" s="788">
        <f>IFERROR(IF(OR(NOT(ISNUMBER('Base de datos Rutas'!K585)),N('Base de datos Rutas'!BK585)=0),"",'Base de datos Rutas'!K585/('Base de datos Rutas'!L585/'Base de datos Rutas'!BK585)),"")</f>
        <v>22.522966836405544</v>
      </c>
      <c r="M587" s="787">
        <f>IF(ISNUMBER('Base de datos Rutas'!AX585),'Base de datos Rutas'!AX585,"")</f>
        <v>451.52223140495897</v>
      </c>
      <c r="N587" s="790">
        <f>IFERROR(INDEX('Hoja de apoyo v2'!B$17:B$20,MATCH($A587,'Hoja de apoyo v2'!$A$17:$A$20,0)),"")</f>
        <v>89.41621024641401</v>
      </c>
      <c r="O587" s="791">
        <f>IFERROR(INDEX('Hoja de apoyo v2'!C$17:C$20,MATCH($A587,'Hoja de apoyo v2'!$A$17:$A$20,0)),"")</f>
        <v>0.54706375874806301</v>
      </c>
      <c r="P587" s="793">
        <f>IFERROR(INDEX('Hoja de apoyo v2'!D$17:D$20,MATCH($A587,'Hoja de apoyo v2'!$A$17:$A$20,0)),"")</f>
        <v>11095.153935793827</v>
      </c>
      <c r="Q587" s="793">
        <f>IFERROR(INDEX('Hoja de apoyo v2'!E$17:E$20,MATCH($A587,'Hoja de apoyo v2'!$A$17:$A$20,0)),"")</f>
        <v>6982.3202019701848</v>
      </c>
      <c r="R587" s="793">
        <f>IFERROR(INDEX('Hoja de apoyo v2'!F$17:F$20,MATCH($A587,'Hoja de apoyo v2'!$A$17:$A$20,0)),"")</f>
        <v>448.09513474485743</v>
      </c>
      <c r="S587" s="793">
        <f>IFERROR(INDEX('Hoja de apoyo v2'!G$17:G$20,MATCH($A587,'Hoja de apoyo v2'!$A$17:$A$20,0)),"")</f>
        <v>83.406300904207839</v>
      </c>
      <c r="T587" s="792">
        <f>IFERROR(INDEX('Hoja de apoyo v2'!H$17:H$20,MATCH($A587,'Hoja de apoyo v2'!$A$17:$A$20,0)),"")</f>
        <v>378.97014028925349</v>
      </c>
      <c r="U587" s="794">
        <f t="shared" si="328"/>
        <v>0.42570039620482414</v>
      </c>
      <c r="V587" s="795">
        <f t="shared" si="329"/>
        <v>0.92381811282387105</v>
      </c>
      <c r="W587" s="795">
        <f t="shared" si="330"/>
        <v>0.31161443619948137</v>
      </c>
      <c r="X587" s="843">
        <f t="shared" si="331"/>
        <v>0.74884394463743142</v>
      </c>
      <c r="Y587" s="843">
        <f t="shared" si="332"/>
        <v>0.80167794569185968</v>
      </c>
      <c r="Z587" s="843">
        <f t="shared" si="333"/>
        <v>0.27003915282459506</v>
      </c>
      <c r="AA587" s="843">
        <f t="shared" si="334"/>
        <v>1.1914454026914343</v>
      </c>
      <c r="AB587" s="796">
        <f t="shared" si="335"/>
        <v>1</v>
      </c>
      <c r="AC587" s="797">
        <f t="shared" si="336"/>
        <v>3</v>
      </c>
      <c r="AD587" s="797">
        <f t="shared" si="337"/>
        <v>1</v>
      </c>
      <c r="AE587" s="842">
        <f t="shared" si="338"/>
        <v>2</v>
      </c>
      <c r="AF587" s="842">
        <f t="shared" si="339"/>
        <v>3</v>
      </c>
      <c r="AG587" s="842">
        <f t="shared" si="340"/>
        <v>1</v>
      </c>
      <c r="AH587" s="842">
        <f t="shared" si="341"/>
        <v>4</v>
      </c>
      <c r="AI587" s="826" cm="1">
        <f t="array" ref="AI587">SUMPRODUCT(--ISNUMBER($U587:$AA587),$AB$3:$AH$3)</f>
        <v>1</v>
      </c>
      <c r="AJ587" s="829">
        <f t="shared" si="342"/>
        <v>20.761531363058928</v>
      </c>
      <c r="AK587" s="827" t="str">
        <f t="shared" si="343"/>
        <v>Inmadura</v>
      </c>
      <c r="AL587" s="784" t="str">
        <f t="shared" si="344"/>
        <v>Alta</v>
      </c>
      <c r="AM587" s="799">
        <f>IF(ISNUMBER('Base de datos Rutas'!W585),'Base de datos Rutas'!W585,"")</f>
        <v>3293.1144020900269</v>
      </c>
      <c r="AN587" s="787">
        <f>IFERROR(SUMIFS('Base de datos Rutas'!$W$6:$W$794,'Base de datos Rutas'!$C$6:$C$794,$C587)/'Base de datos Rutas'!I585,"")</f>
        <v>3293.1144020900251</v>
      </c>
      <c r="AO587" s="800">
        <f>IFERROR('Base de datos Rutas'!X585*AN587/AM587,"")</f>
        <v>0.47791232590402694</v>
      </c>
      <c r="AP587" s="800">
        <f t="shared" si="345"/>
        <v>0.52208767409597301</v>
      </c>
      <c r="AQ587" s="789">
        <f>IFERROR(INDEX('Hoja de apoyo v2'!$J$17:$J$20,MATCH($A587,'Hoja de apoyo v2'!$A$17:$A$20,0)),"")</f>
        <v>0.64320274048480885</v>
      </c>
      <c r="AR587" s="789">
        <f t="shared" si="346"/>
        <v>-0.12111506638883585</v>
      </c>
      <c r="AS587" s="784" t="str">
        <f t="shared" si="347"/>
        <v>No</v>
      </c>
      <c r="AT587" s="801">
        <f>IF(ISNUMBER('Base de datos Rutas'!CK585),'Base de datos Rutas'!CK585,"")</f>
        <v>184</v>
      </c>
      <c r="AU587" s="802">
        <f>IF(ISNUMBER('Base de datos Rutas'!CL585),'Base de datos Rutas'!CL585,"")</f>
        <v>235.21</v>
      </c>
      <c r="AV587" s="802">
        <f>IF(ISNUMBER('Base de datos Rutas'!CM585),'Base de datos Rutas'!CM585,"")</f>
        <v>51.210000000000008</v>
      </c>
      <c r="AW587" s="802">
        <f>IF(ISNUMBER('Base de datos Rutas'!CN585),'Base de datos Rutas'!CN585,"")</f>
        <v>5.75</v>
      </c>
      <c r="AX587" s="802">
        <f>IF(ISNUMBER('Base de datos Rutas'!CO585),'Base de datos Rutas'!CO585,"")</f>
        <v>9.4499999999999993</v>
      </c>
      <c r="AY587" s="802">
        <f>IF(ISNUMBER('Base de datos Rutas'!CP585),'Base de datos Rutas'!CP585,"")</f>
        <v>3.6999999999999993</v>
      </c>
      <c r="AZ587" s="802">
        <f>IF(ISNUMBER('Base de datos Rutas'!CQ585),'Base de datos Rutas'!CQ585,"")</f>
        <v>564.37</v>
      </c>
      <c r="BA587" s="802">
        <f>IF(ISNUMBER('Base de datos Rutas'!CR585),'Base de datos Rutas'!CR585,"")</f>
        <v>381.75</v>
      </c>
      <c r="BB587" s="803">
        <f>IF(ISNUMBER('Base de datos Rutas'!CS585),'Base de datos Rutas'!CS585,"")</f>
        <v>182.62</v>
      </c>
      <c r="BC587" s="804">
        <f t="shared" si="357"/>
        <v>0</v>
      </c>
      <c r="BD587" s="805" t="str">
        <f t="shared" si="358"/>
        <v>No saturada</v>
      </c>
      <c r="BE587" s="806">
        <f t="shared" si="359"/>
        <v>0.67641795276148631</v>
      </c>
      <c r="BF587" s="890">
        <f>IF(ISNUMBER('Base de datos Rutas'!CX585),'Base de datos Rutas'!CX585/100,"")</f>
        <v>0.97029582366589329</v>
      </c>
      <c r="BG587" s="891">
        <f>IF(ISNUMBER('Base de datos Rutas'!CZ585),'Base de datos Rutas'!CZ585/100,"")</f>
        <v>1</v>
      </c>
      <c r="BH587" s="892">
        <f>IF(ISNUMBER('Base de datos Rutas'!DA585),'Base de datos Rutas'!DA585,"")</f>
        <v>594.87647095273235</v>
      </c>
      <c r="BI587" s="893">
        <f>IF(ISNUMBER('Base de datos Rutas'!DC585),'Base de datos Rutas'!DC585,"")</f>
        <v>25.110302443091239</v>
      </c>
      <c r="BJ587" s="805" t="str">
        <f t="shared" si="360"/>
        <v>Ruta (completo)</v>
      </c>
      <c r="BK587" s="783">
        <f t="shared" si="348"/>
        <v>5</v>
      </c>
      <c r="BL587" s="797">
        <f t="shared" si="349"/>
        <v>3</v>
      </c>
      <c r="BM587" s="797">
        <f t="shared" si="350"/>
        <v>3</v>
      </c>
      <c r="BN587" s="797">
        <f t="shared" si="351"/>
        <v>2</v>
      </c>
      <c r="BO587" s="798" cm="1">
        <f t="array" ref="BO587">SUMPRODUCT(--ISNUMBER($BF587:$BI587),$BK$3:$BN$3)</f>
        <v>1</v>
      </c>
      <c r="BP587" s="831">
        <f t="shared" si="361"/>
        <v>56.25</v>
      </c>
      <c r="BQ587" s="834" t="str">
        <f t="shared" si="362"/>
        <v>Alto</v>
      </c>
      <c r="BR587" s="836">
        <f t="shared" si="352"/>
        <v>15.571148522294196</v>
      </c>
      <c r="BS587" s="836">
        <f t="shared" si="353"/>
        <v>56.25</v>
      </c>
      <c r="BT587" s="837" t="str">
        <f t="shared" si="354"/>
        <v>P3</v>
      </c>
      <c r="BU587" s="807" t="str">
        <f t="shared" si="363"/>
        <v>Con espacio</v>
      </c>
      <c r="BV587" s="807" t="str">
        <f t="shared" si="355"/>
        <v>Zona atractiva</v>
      </c>
      <c r="BW587" s="808" t="str">
        <f t="shared" si="356"/>
        <v>P3 - Desarrollar</v>
      </c>
    </row>
    <row r="588" spans="1:75">
      <c r="A588" s="780" t="str">
        <f>'Base de datos Rutas'!A586</f>
        <v>Occidente</v>
      </c>
      <c r="B588" s="781" t="str">
        <f>'Base de datos Rutas'!B586</f>
        <v>Favorita</v>
      </c>
      <c r="C588" s="781" t="str">
        <f>'Base de datos Rutas'!C586</f>
        <v>Suc. Santa Maria</v>
      </c>
      <c r="D588" s="782">
        <f>IF(ISNUMBER('Base de datos Rutas'!D586),'Base de datos Rutas'!D586,"Sin código")</f>
        <v>809338</v>
      </c>
      <c r="E588" s="783" t="str">
        <f>'Base de datos Rutas'!F586</f>
        <v>Activa</v>
      </c>
      <c r="F588" s="784" t="str">
        <f>'Base de datos Rutas'!H586</f>
        <v>Sí</v>
      </c>
      <c r="G588" s="785">
        <f>IF(ISNUMBER('Base de datos Rutas'!BE586),'Base de datos Rutas'!BE586,"")</f>
        <v>83.696145124716594</v>
      </c>
      <c r="H588" s="786">
        <f>IF(ISNUMBER('Base de datos Rutas'!BH586),'Base de datos Rutas'!BH586,"")</f>
        <v>0.494310484963425</v>
      </c>
      <c r="I588" s="788">
        <f>IFERROR(IF(OR(NOT(ISNUMBER('Base de datos Rutas'!O586)),N('Base de datos Rutas'!BK586)=0),"",'Base de datos Rutas'!O586/('Base de datos Rutas'!L586/'Base de datos Rutas'!BK586)),"")</f>
        <v>2775.2448979591763</v>
      </c>
      <c r="J588" s="788">
        <f>IFERROR(IF(OR(NOT(ISNUMBER('Base de datos Rutas'!N586)),N('Base de datos Rutas'!BK586)=0),"",'Base de datos Rutas'!N586/('Base de datos Rutas'!L586/'Base de datos Rutas'!BK586)),"")</f>
        <v>5996.2312925169917</v>
      </c>
      <c r="K588" s="788">
        <f>IFERROR(IF(OR(NOT(ISNUMBER('Base de datos Rutas'!J586)),N('Base de datos Rutas'!BK586)=0),"",'Base de datos Rutas'!J586/('Base de datos Rutas'!L586/'Base de datos Rutas'!BK586)),"")</f>
        <v>413.23103492063382</v>
      </c>
      <c r="L588" s="788">
        <f>IFERROR(IF(OR(NOT(ISNUMBER('Base de datos Rutas'!K586)),N('Base de datos Rutas'!BK586)=0),"",'Base de datos Rutas'!K586/('Base de datos Rutas'!L586/'Base de datos Rutas'!BK586)),"")</f>
        <v>22.014191897959126</v>
      </c>
      <c r="M588" s="787">
        <f>IF(ISNUMBER('Base de datos Rutas'!AX586),'Base de datos Rutas'!AX586,"")</f>
        <v>212.01542285557699</v>
      </c>
      <c r="N588" s="790">
        <f>IFERROR(INDEX('Hoja de apoyo v2'!B$17:B$20,MATCH($A588,'Hoja de apoyo v2'!$A$17:$A$20,0)),"")</f>
        <v>89.41621024641401</v>
      </c>
      <c r="O588" s="791">
        <f>IFERROR(INDEX('Hoja de apoyo v2'!C$17:C$20,MATCH($A588,'Hoja de apoyo v2'!$A$17:$A$20,0)),"")</f>
        <v>0.54706375874806301</v>
      </c>
      <c r="P588" s="793">
        <f>IFERROR(INDEX('Hoja de apoyo v2'!D$17:D$20,MATCH($A588,'Hoja de apoyo v2'!$A$17:$A$20,0)),"")</f>
        <v>11095.153935793827</v>
      </c>
      <c r="Q588" s="793">
        <f>IFERROR(INDEX('Hoja de apoyo v2'!E$17:E$20,MATCH($A588,'Hoja de apoyo v2'!$A$17:$A$20,0)),"")</f>
        <v>6982.3202019701848</v>
      </c>
      <c r="R588" s="793">
        <f>IFERROR(INDEX('Hoja de apoyo v2'!F$17:F$20,MATCH($A588,'Hoja de apoyo v2'!$A$17:$A$20,0)),"")</f>
        <v>448.09513474485743</v>
      </c>
      <c r="S588" s="793">
        <f>IFERROR(INDEX('Hoja de apoyo v2'!G$17:G$20,MATCH($A588,'Hoja de apoyo v2'!$A$17:$A$20,0)),"")</f>
        <v>83.406300904207839</v>
      </c>
      <c r="T588" s="792">
        <f>IFERROR(INDEX('Hoja de apoyo v2'!H$17:H$20,MATCH($A588,'Hoja de apoyo v2'!$A$17:$A$20,0)),"")</f>
        <v>378.97014028925349</v>
      </c>
      <c r="U588" s="794">
        <f t="shared" si="328"/>
        <v>0.93602876809547164</v>
      </c>
      <c r="V588" s="795">
        <f t="shared" si="329"/>
        <v>0.90357015440876198</v>
      </c>
      <c r="W588" s="795">
        <f t="shared" si="330"/>
        <v>0.25013126577775735</v>
      </c>
      <c r="X588" s="843">
        <f t="shared" si="331"/>
        <v>0.85877346198260129</v>
      </c>
      <c r="Y588" s="843">
        <f t="shared" si="332"/>
        <v>0.92219487086358343</v>
      </c>
      <c r="Z588" s="843">
        <f t="shared" si="333"/>
        <v>0.26393919475271338</v>
      </c>
      <c r="AA588" s="843">
        <f t="shared" si="334"/>
        <v>0.55945152484508065</v>
      </c>
      <c r="AB588" s="796">
        <f t="shared" si="335"/>
        <v>3</v>
      </c>
      <c r="AC588" s="797">
        <f t="shared" si="336"/>
        <v>3</v>
      </c>
      <c r="AD588" s="797">
        <f t="shared" si="337"/>
        <v>1</v>
      </c>
      <c r="AE588" s="842">
        <f t="shared" si="338"/>
        <v>3</v>
      </c>
      <c r="AF588" s="842">
        <f t="shared" si="339"/>
        <v>3</v>
      </c>
      <c r="AG588" s="842">
        <f t="shared" si="340"/>
        <v>1</v>
      </c>
      <c r="AH588" s="842">
        <f t="shared" si="341"/>
        <v>2</v>
      </c>
      <c r="AI588" s="826" cm="1">
        <f t="array" ref="AI588">SUMPRODUCT(--ISNUMBER($U588:$AA588),$AB$3:$AH$3)</f>
        <v>1</v>
      </c>
      <c r="AJ588" s="829">
        <f t="shared" si="342"/>
        <v>28.748795684897999</v>
      </c>
      <c r="AK588" s="827" t="str">
        <f t="shared" si="343"/>
        <v>Inmadura</v>
      </c>
      <c r="AL588" s="784" t="str">
        <f t="shared" si="344"/>
        <v>Alta</v>
      </c>
      <c r="AM588" s="799">
        <f>IF(ISNUMBER('Base de datos Rutas'!W586),'Base de datos Rutas'!W586,"")</f>
        <v>3293.1144020900269</v>
      </c>
      <c r="AN588" s="787">
        <f>IFERROR(SUMIFS('Base de datos Rutas'!$W$6:$W$794,'Base de datos Rutas'!$C$6:$C$794,$C588)/'Base de datos Rutas'!I586,"")</f>
        <v>3293.1144020900251</v>
      </c>
      <c r="AO588" s="800">
        <f>IFERROR('Base de datos Rutas'!X586*AN588/AM588,"")</f>
        <v>0.47791232590402694</v>
      </c>
      <c r="AP588" s="800">
        <f t="shared" si="345"/>
        <v>0.52208767409597301</v>
      </c>
      <c r="AQ588" s="789">
        <f>IFERROR(INDEX('Hoja de apoyo v2'!$J$17:$J$20,MATCH($A588,'Hoja de apoyo v2'!$A$17:$A$20,0)),"")</f>
        <v>0.64320274048480885</v>
      </c>
      <c r="AR588" s="789">
        <f t="shared" si="346"/>
        <v>-0.12111506638883585</v>
      </c>
      <c r="AS588" s="784" t="str">
        <f t="shared" si="347"/>
        <v>No</v>
      </c>
      <c r="AT588" s="801">
        <f>IF(ISNUMBER('Base de datos Rutas'!CK586),'Base de datos Rutas'!CK586,"")</f>
        <v>321</v>
      </c>
      <c r="AU588" s="802">
        <f>IF(ISNUMBER('Base de datos Rutas'!CL586),'Base de datos Rutas'!CL586,"")</f>
        <v>397.72</v>
      </c>
      <c r="AV588" s="802">
        <f>IF(ISNUMBER('Base de datos Rutas'!CM586),'Base de datos Rutas'!CM586,"")</f>
        <v>76.720000000000027</v>
      </c>
      <c r="AW588" s="802">
        <f>IF(ISNUMBER('Base de datos Rutas'!CN586),'Base de datos Rutas'!CN586,"")</f>
        <v>7.59</v>
      </c>
      <c r="AX588" s="802">
        <f>IF(ISNUMBER('Base de datos Rutas'!CO586),'Base de datos Rutas'!CO586,"")</f>
        <v>9.4499999999999993</v>
      </c>
      <c r="AY588" s="802">
        <f>IF(ISNUMBER('Base de datos Rutas'!CP586),'Base de datos Rutas'!CP586,"")</f>
        <v>1.8599999999999994</v>
      </c>
      <c r="AZ588" s="802">
        <f>IF(ISNUMBER('Base de datos Rutas'!CQ586),'Base de datos Rutas'!CQ586,"")</f>
        <v>846.56</v>
      </c>
      <c r="BA588" s="802">
        <f>IF(ISNUMBER('Base de datos Rutas'!CR586),'Base de datos Rutas'!CR586,"")</f>
        <v>435.25</v>
      </c>
      <c r="BB588" s="803">
        <f>IF(ISNUMBER('Base de datos Rutas'!CS586),'Base de datos Rutas'!CS586,"")</f>
        <v>411.30999999999995</v>
      </c>
      <c r="BC588" s="804">
        <f t="shared" si="357"/>
        <v>0</v>
      </c>
      <c r="BD588" s="805" t="str">
        <f t="shared" si="358"/>
        <v>No saturada</v>
      </c>
      <c r="BE588" s="806">
        <f t="shared" si="359"/>
        <v>0.51413957663957666</v>
      </c>
      <c r="BF588" s="890">
        <f>IF(ISNUMBER('Base de datos Rutas'!CX586),'Base de datos Rutas'!CX586/100,"")</f>
        <v>0.96630654369784819</v>
      </c>
      <c r="BG588" s="891">
        <f>IF(ISNUMBER('Base de datos Rutas'!CZ586),'Base de datos Rutas'!CZ586/100,"")</f>
        <v>1</v>
      </c>
      <c r="BH588" s="892">
        <f>IF(ISNUMBER('Base de datos Rutas'!DA586),'Base de datos Rutas'!DA586,"")</f>
        <v>1108.5003993678095</v>
      </c>
      <c r="BI588" s="893">
        <f>IF(ISNUMBER('Base de datos Rutas'!DC586),'Base de datos Rutas'!DC586,"")</f>
        <v>52.743151266930653</v>
      </c>
      <c r="BJ588" s="805" t="str">
        <f t="shared" si="360"/>
        <v>Ruta (completo)</v>
      </c>
      <c r="BK588" s="783">
        <f t="shared" si="348"/>
        <v>5</v>
      </c>
      <c r="BL588" s="797">
        <f t="shared" si="349"/>
        <v>3</v>
      </c>
      <c r="BM588" s="797">
        <f t="shared" si="350"/>
        <v>4</v>
      </c>
      <c r="BN588" s="797">
        <f t="shared" si="351"/>
        <v>5</v>
      </c>
      <c r="BO588" s="798" cm="1">
        <f t="array" ref="BO588">SUMPRODUCT(--ISNUMBER($BF588:$BI588),$BK$3:$BN$3)</f>
        <v>1</v>
      </c>
      <c r="BP588" s="831">
        <f t="shared" si="361"/>
        <v>81.25</v>
      </c>
      <c r="BQ588" s="834" t="str">
        <f t="shared" si="362"/>
        <v>Alto</v>
      </c>
      <c r="BR588" s="836">
        <f t="shared" si="352"/>
        <v>21.561596763673499</v>
      </c>
      <c r="BS588" s="836">
        <f t="shared" si="353"/>
        <v>81.25</v>
      </c>
      <c r="BT588" s="837" t="str">
        <f t="shared" si="354"/>
        <v>P3</v>
      </c>
      <c r="BU588" s="807" t="str">
        <f t="shared" si="363"/>
        <v>Con espacio</v>
      </c>
      <c r="BV588" s="807" t="str">
        <f t="shared" si="355"/>
        <v>Zona atractiva</v>
      </c>
      <c r="BW588" s="808" t="str">
        <f t="shared" si="356"/>
        <v>P3 - Desarrollar</v>
      </c>
    </row>
    <row r="589" spans="1:75">
      <c r="A589" s="780" t="str">
        <f>'Base de datos Rutas'!A587</f>
        <v>Occidente</v>
      </c>
      <c r="B589" s="781" t="str">
        <f>'Base de datos Rutas'!B587</f>
        <v>Favorita</v>
      </c>
      <c r="C589" s="781" t="str">
        <f>'Base de datos Rutas'!C587</f>
        <v>Suc. Santa Maria</v>
      </c>
      <c r="D589" s="782">
        <f>IF(ISNUMBER('Base de datos Rutas'!D587),'Base de datos Rutas'!D587,"Sin código")</f>
        <v>809339</v>
      </c>
      <c r="E589" s="783" t="str">
        <f>'Base de datos Rutas'!F587</f>
        <v>Activa</v>
      </c>
      <c r="F589" s="784" t="str">
        <f>'Base de datos Rutas'!H587</f>
        <v>Sí</v>
      </c>
      <c r="G589" s="785">
        <f>IF(ISNUMBER('Base de datos Rutas'!BE587),'Base de datos Rutas'!BE587,"")</f>
        <v>67.380733944954102</v>
      </c>
      <c r="H589" s="786">
        <f>IF(ISNUMBER('Base de datos Rutas'!BH587),'Base de datos Rutas'!BH587,"")</f>
        <v>0.71461637960378499</v>
      </c>
      <c r="I589" s="788">
        <f>IFERROR(IF(OR(NOT(ISNUMBER('Base de datos Rutas'!O587)),N('Base de datos Rutas'!BK587)=0),"",'Base de datos Rutas'!O587/('Base de datos Rutas'!L587/'Base de datos Rutas'!BK587)),"")</f>
        <v>4399.075688073397</v>
      </c>
      <c r="J589" s="788">
        <f>IFERROR(IF(OR(NOT(ISNUMBER('Base de datos Rutas'!N587)),N('Base de datos Rutas'!BK587)=0),"",'Base de datos Rutas'!N587/('Base de datos Rutas'!L587/'Base de datos Rutas'!BK587)),"")</f>
        <v>6003.4013761467932</v>
      </c>
      <c r="K589" s="788">
        <f>IFERROR(IF(OR(NOT(ISNUMBER('Base de datos Rutas'!J587)),N('Base de datos Rutas'!BK587)=0),"",'Base de datos Rutas'!J587/('Base de datos Rutas'!L587/'Base de datos Rutas'!BK587)),"")</f>
        <v>415.30388623853236</v>
      </c>
      <c r="L589" s="788">
        <f>IFERROR(IF(OR(NOT(ISNUMBER('Base de datos Rutas'!K587)),N('Base de datos Rutas'!BK587)=0),"",'Base de datos Rutas'!K587/('Base de datos Rutas'!L587/'Base de datos Rutas'!BK587)),"")</f>
        <v>28.590979752293595</v>
      </c>
      <c r="M589" s="787">
        <f>IF(ISNUMBER('Base de datos Rutas'!AX587),'Base de datos Rutas'!AX587,"")</f>
        <v>216.03685243402899</v>
      </c>
      <c r="N589" s="790">
        <f>IFERROR(INDEX('Hoja de apoyo v2'!B$17:B$20,MATCH($A589,'Hoja de apoyo v2'!$A$17:$A$20,0)),"")</f>
        <v>89.41621024641401</v>
      </c>
      <c r="O589" s="791">
        <f>IFERROR(INDEX('Hoja de apoyo v2'!C$17:C$20,MATCH($A589,'Hoja de apoyo v2'!$A$17:$A$20,0)),"")</f>
        <v>0.54706375874806301</v>
      </c>
      <c r="P589" s="793">
        <f>IFERROR(INDEX('Hoja de apoyo v2'!D$17:D$20,MATCH($A589,'Hoja de apoyo v2'!$A$17:$A$20,0)),"")</f>
        <v>11095.153935793827</v>
      </c>
      <c r="Q589" s="793">
        <f>IFERROR(INDEX('Hoja de apoyo v2'!E$17:E$20,MATCH($A589,'Hoja de apoyo v2'!$A$17:$A$20,0)),"")</f>
        <v>6982.3202019701848</v>
      </c>
      <c r="R589" s="793">
        <f>IFERROR(INDEX('Hoja de apoyo v2'!F$17:F$20,MATCH($A589,'Hoja de apoyo v2'!$A$17:$A$20,0)),"")</f>
        <v>448.09513474485743</v>
      </c>
      <c r="S589" s="793">
        <f>IFERROR(INDEX('Hoja de apoyo v2'!G$17:G$20,MATCH($A589,'Hoja de apoyo v2'!$A$17:$A$20,0)),"")</f>
        <v>83.406300904207839</v>
      </c>
      <c r="T589" s="792">
        <f>IFERROR(INDEX('Hoja de apoyo v2'!H$17:H$20,MATCH($A589,'Hoja de apoyo v2'!$A$17:$A$20,0)),"")</f>
        <v>378.97014028925349</v>
      </c>
      <c r="U589" s="794">
        <f t="shared" si="328"/>
        <v>0.75356284681788299</v>
      </c>
      <c r="V589" s="795">
        <f t="shared" si="329"/>
        <v>1.3062762213295951</v>
      </c>
      <c r="W589" s="795">
        <f t="shared" si="330"/>
        <v>0.39648622394337746</v>
      </c>
      <c r="X589" s="843">
        <f t="shared" si="331"/>
        <v>0.85980035324831239</v>
      </c>
      <c r="Y589" s="843">
        <f t="shared" si="332"/>
        <v>0.92682078879299545</v>
      </c>
      <c r="Z589" s="843">
        <f t="shared" si="333"/>
        <v>0.3427916049787455</v>
      </c>
      <c r="AA589" s="843">
        <f t="shared" si="334"/>
        <v>0.57006299300819918</v>
      </c>
      <c r="AB589" s="796">
        <f t="shared" si="335"/>
        <v>3</v>
      </c>
      <c r="AC589" s="797">
        <f t="shared" si="336"/>
        <v>5</v>
      </c>
      <c r="AD589" s="797">
        <f t="shared" si="337"/>
        <v>1</v>
      </c>
      <c r="AE589" s="842">
        <f t="shared" si="338"/>
        <v>3</v>
      </c>
      <c r="AF589" s="842">
        <f t="shared" si="339"/>
        <v>3</v>
      </c>
      <c r="AG589" s="842">
        <f t="shared" si="340"/>
        <v>1</v>
      </c>
      <c r="AH589" s="842">
        <f t="shared" si="341"/>
        <v>2</v>
      </c>
      <c r="AI589" s="826" cm="1">
        <f t="array" ref="AI589">SUMPRODUCT(--ISNUMBER($U589:$AA589),$AB$3:$AH$3)</f>
        <v>1</v>
      </c>
      <c r="AJ589" s="829">
        <f t="shared" si="342"/>
        <v>33.514606856678967</v>
      </c>
      <c r="AK589" s="827" t="str">
        <f t="shared" si="343"/>
        <v>Inmadura</v>
      </c>
      <c r="AL589" s="784" t="str">
        <f t="shared" si="344"/>
        <v>Alta</v>
      </c>
      <c r="AM589" s="799">
        <f>IF(ISNUMBER('Base de datos Rutas'!W587),'Base de datos Rutas'!W587,"")</f>
        <v>3293.1144020900269</v>
      </c>
      <c r="AN589" s="787">
        <f>IFERROR(SUMIFS('Base de datos Rutas'!$W$6:$W$794,'Base de datos Rutas'!$C$6:$C$794,$C589)/'Base de datos Rutas'!I587,"")</f>
        <v>3293.1144020900251</v>
      </c>
      <c r="AO589" s="800">
        <f>IFERROR('Base de datos Rutas'!X587*AN589/AM589,"")</f>
        <v>0.47791232590402694</v>
      </c>
      <c r="AP589" s="800">
        <f t="shared" si="345"/>
        <v>0.52208767409597301</v>
      </c>
      <c r="AQ589" s="789">
        <f>IFERROR(INDEX('Hoja de apoyo v2'!$J$17:$J$20,MATCH($A589,'Hoja de apoyo v2'!$A$17:$A$20,0)),"")</f>
        <v>0.64320274048480885</v>
      </c>
      <c r="AR589" s="789">
        <f t="shared" si="346"/>
        <v>-0.12111506638883585</v>
      </c>
      <c r="AS589" s="784" t="str">
        <f t="shared" si="347"/>
        <v>No</v>
      </c>
      <c r="AT589" s="801">
        <f>IF(ISNUMBER('Base de datos Rutas'!CK587),'Base de datos Rutas'!CK587,"")</f>
        <v>346</v>
      </c>
      <c r="AU589" s="802">
        <f>IF(ISNUMBER('Base de datos Rutas'!CL587),'Base de datos Rutas'!CL587,"")</f>
        <v>675.29</v>
      </c>
      <c r="AV589" s="802">
        <f>IF(ISNUMBER('Base de datos Rutas'!CM587),'Base de datos Rutas'!CM587,"")</f>
        <v>329.28999999999996</v>
      </c>
      <c r="AW589" s="802">
        <f>IF(ISNUMBER('Base de datos Rutas'!CN587),'Base de datos Rutas'!CN587,"")</f>
        <v>4.1399999999999997</v>
      </c>
      <c r="AX589" s="802">
        <f>IF(ISNUMBER('Base de datos Rutas'!CO587),'Base de datos Rutas'!CO587,"")</f>
        <v>9.4499999999999993</v>
      </c>
      <c r="AY589" s="802">
        <f>IF(ISNUMBER('Base de datos Rutas'!CP587),'Base de datos Rutas'!CP587,"")</f>
        <v>5.31</v>
      </c>
      <c r="AZ589" s="802">
        <f>IF(ISNUMBER('Base de datos Rutas'!CQ587),'Base de datos Rutas'!CQ587,"")</f>
        <v>846.56</v>
      </c>
      <c r="BA589" s="802">
        <f>IF(ISNUMBER('Base de datos Rutas'!CR587),'Base de datos Rutas'!CR587,"")</f>
        <v>443.89</v>
      </c>
      <c r="BB589" s="803">
        <f>IF(ISNUMBER('Base de datos Rutas'!CS587),'Base de datos Rutas'!CS587,"")</f>
        <v>402.66999999999996</v>
      </c>
      <c r="BC589" s="804">
        <f t="shared" si="357"/>
        <v>0</v>
      </c>
      <c r="BD589" s="805" t="str">
        <f t="shared" si="358"/>
        <v>No saturada</v>
      </c>
      <c r="BE589" s="806">
        <f t="shared" si="359"/>
        <v>0.52434558684558685</v>
      </c>
      <c r="BF589" s="890">
        <f>IF(ISNUMBER('Base de datos Rutas'!CX587),'Base de datos Rutas'!CX587/100,"")</f>
        <v>0.76940476190476192</v>
      </c>
      <c r="BG589" s="891">
        <f>IF(ISNUMBER('Base de datos Rutas'!CZ587),'Base de datos Rutas'!CZ587/100,"")</f>
        <v>1</v>
      </c>
      <c r="BH589" s="892">
        <f>IF(ISNUMBER('Base de datos Rutas'!DA587),'Base de datos Rutas'!DA587,"")</f>
        <v>3758.5094719710464</v>
      </c>
      <c r="BI589" s="893">
        <f>IF(ISNUMBER('Base de datos Rutas'!DC587),'Base de datos Rutas'!DC587,"")</f>
        <v>151.69168435488737</v>
      </c>
      <c r="BJ589" s="805" t="str">
        <f t="shared" si="360"/>
        <v>Ruta (completo)</v>
      </c>
      <c r="BK589" s="783">
        <f t="shared" si="348"/>
        <v>2</v>
      </c>
      <c r="BL589" s="797">
        <f t="shared" si="349"/>
        <v>3</v>
      </c>
      <c r="BM589" s="797">
        <f t="shared" si="350"/>
        <v>5</v>
      </c>
      <c r="BN589" s="797">
        <f t="shared" si="351"/>
        <v>5</v>
      </c>
      <c r="BO589" s="798" cm="1">
        <f t="array" ref="BO589">SUMPRODUCT(--ISNUMBER($BF589:$BI589),$BK$3:$BN$3)</f>
        <v>1</v>
      </c>
      <c r="BP589" s="831">
        <f t="shared" si="361"/>
        <v>68.75</v>
      </c>
      <c r="BQ589" s="834" t="str">
        <f t="shared" si="362"/>
        <v>Alto</v>
      </c>
      <c r="BR589" s="836">
        <f t="shared" si="352"/>
        <v>25.135955142509225</v>
      </c>
      <c r="BS589" s="836">
        <f t="shared" si="353"/>
        <v>68.75</v>
      </c>
      <c r="BT589" s="837" t="str">
        <f t="shared" si="354"/>
        <v>P3</v>
      </c>
      <c r="BU589" s="807" t="str">
        <f t="shared" si="363"/>
        <v>Con espacio</v>
      </c>
      <c r="BV589" s="807" t="str">
        <f t="shared" si="355"/>
        <v>Zona atractiva</v>
      </c>
      <c r="BW589" s="808" t="str">
        <f t="shared" si="356"/>
        <v>P3 - Desarrollar</v>
      </c>
    </row>
    <row r="590" spans="1:75">
      <c r="A590" s="780" t="str">
        <f>'Base de datos Rutas'!A588</f>
        <v>Occidente</v>
      </c>
      <c r="B590" s="781" t="str">
        <f>'Base de datos Rutas'!B588</f>
        <v>Favorita</v>
      </c>
      <c r="C590" s="781" t="str">
        <f>'Base de datos Rutas'!C588</f>
        <v>Suc. Santa Maria</v>
      </c>
      <c r="D590" s="782">
        <f>IF(ISNUMBER('Base de datos Rutas'!D588),'Base de datos Rutas'!D588,"Sin código")</f>
        <v>809340</v>
      </c>
      <c r="E590" s="783" t="str">
        <f>'Base de datos Rutas'!F588</f>
        <v>Activa</v>
      </c>
      <c r="F590" s="784" t="str">
        <f>'Base de datos Rutas'!H588</f>
        <v>Sí</v>
      </c>
      <c r="G590" s="785">
        <f>IF(ISNUMBER('Base de datos Rutas'!BE588),'Base de datos Rutas'!BE588,"")</f>
        <v>98.700460829493096</v>
      </c>
      <c r="H590" s="786">
        <f>IF(ISNUMBER('Base de datos Rutas'!BH588),'Base de datos Rutas'!BH588,"")</f>
        <v>0.470025212438136</v>
      </c>
      <c r="I590" s="788">
        <f>IFERROR(IF(OR(NOT(ISNUMBER('Base de datos Rutas'!O588)),N('Base de datos Rutas'!BK588)=0),"",'Base de datos Rutas'!O588/('Base de datos Rutas'!L588/'Base de datos Rutas'!BK588)),"")</f>
        <v>5622.288018433188</v>
      </c>
      <c r="J590" s="788">
        <f>IFERROR(IF(OR(NOT(ISNUMBER('Base de datos Rutas'!N588)),N('Base de datos Rutas'!BK588)=0),"",'Base de datos Rutas'!N588/('Base de datos Rutas'!L588/'Base de datos Rutas'!BK588)),"")</f>
        <v>6366.8709677419447</v>
      </c>
      <c r="K590" s="788">
        <f>IFERROR(IF(OR(NOT(ISNUMBER('Base de datos Rutas'!J588)),N('Base de datos Rutas'!BK588)=0),"",'Base de datos Rutas'!J588/('Base de datos Rutas'!L588/'Base de datos Rutas'!BK588)),"")</f>
        <v>433.90449032257897</v>
      </c>
      <c r="L590" s="788">
        <f>IFERROR(IF(OR(NOT(ISNUMBER('Base de datos Rutas'!K588)),N('Base de datos Rutas'!BK588)=0),"",'Base de datos Rutas'!K588/('Base de datos Rutas'!L588/'Base de datos Rutas'!BK588)),"")</f>
        <v>44.394853608294994</v>
      </c>
      <c r="M590" s="787">
        <f>IF(ISNUMBER('Base de datos Rutas'!AX588),'Base de datos Rutas'!AX588,"")</f>
        <v>258.433180689381</v>
      </c>
      <c r="N590" s="790">
        <f>IFERROR(INDEX('Hoja de apoyo v2'!B$17:B$20,MATCH($A590,'Hoja de apoyo v2'!$A$17:$A$20,0)),"")</f>
        <v>89.41621024641401</v>
      </c>
      <c r="O590" s="791">
        <f>IFERROR(INDEX('Hoja de apoyo v2'!C$17:C$20,MATCH($A590,'Hoja de apoyo v2'!$A$17:$A$20,0)),"")</f>
        <v>0.54706375874806301</v>
      </c>
      <c r="P590" s="793">
        <f>IFERROR(INDEX('Hoja de apoyo v2'!D$17:D$20,MATCH($A590,'Hoja de apoyo v2'!$A$17:$A$20,0)),"")</f>
        <v>11095.153935793827</v>
      </c>
      <c r="Q590" s="793">
        <f>IFERROR(INDEX('Hoja de apoyo v2'!E$17:E$20,MATCH($A590,'Hoja de apoyo v2'!$A$17:$A$20,0)),"")</f>
        <v>6982.3202019701848</v>
      </c>
      <c r="R590" s="793">
        <f>IFERROR(INDEX('Hoja de apoyo v2'!F$17:F$20,MATCH($A590,'Hoja de apoyo v2'!$A$17:$A$20,0)),"")</f>
        <v>448.09513474485743</v>
      </c>
      <c r="S590" s="793">
        <f>IFERROR(INDEX('Hoja de apoyo v2'!G$17:G$20,MATCH($A590,'Hoja de apoyo v2'!$A$17:$A$20,0)),"")</f>
        <v>83.406300904207839</v>
      </c>
      <c r="T590" s="792">
        <f>IFERROR(INDEX('Hoja de apoyo v2'!H$17:H$20,MATCH($A590,'Hoja de apoyo v2'!$A$17:$A$20,0)),"")</f>
        <v>378.97014028925349</v>
      </c>
      <c r="U590" s="794">
        <f t="shared" si="328"/>
        <v>1.103831850595026</v>
      </c>
      <c r="V590" s="795">
        <f t="shared" si="329"/>
        <v>0.85917812123722626</v>
      </c>
      <c r="W590" s="795">
        <f t="shared" si="330"/>
        <v>0.50673366507293338</v>
      </c>
      <c r="X590" s="843">
        <f t="shared" si="331"/>
        <v>0.91185605695158745</v>
      </c>
      <c r="Y590" s="843">
        <f t="shared" si="332"/>
        <v>0.96833117942608649</v>
      </c>
      <c r="Z590" s="843">
        <f t="shared" si="333"/>
        <v>0.53227218000331289</v>
      </c>
      <c r="AA590" s="843">
        <f t="shared" si="334"/>
        <v>0.68193546988195108</v>
      </c>
      <c r="AB590" s="796">
        <f t="shared" si="335"/>
        <v>4</v>
      </c>
      <c r="AC590" s="797">
        <f t="shared" si="336"/>
        <v>3</v>
      </c>
      <c r="AD590" s="797">
        <f t="shared" si="337"/>
        <v>2</v>
      </c>
      <c r="AE590" s="842">
        <f t="shared" si="338"/>
        <v>3</v>
      </c>
      <c r="AF590" s="842">
        <f t="shared" si="339"/>
        <v>3</v>
      </c>
      <c r="AG590" s="842">
        <f t="shared" si="340"/>
        <v>2</v>
      </c>
      <c r="AH590" s="842">
        <f t="shared" si="341"/>
        <v>2</v>
      </c>
      <c r="AI590" s="826" cm="1">
        <f t="array" ref="AI590">SUMPRODUCT(--ISNUMBER($U590:$AA590),$AB$3:$AH$3)</f>
        <v>1</v>
      </c>
      <c r="AJ590" s="829">
        <f t="shared" si="342"/>
        <v>42.785670100422479</v>
      </c>
      <c r="AK590" s="827" t="str">
        <f t="shared" si="343"/>
        <v>Inmadura</v>
      </c>
      <c r="AL590" s="784" t="str">
        <f t="shared" si="344"/>
        <v>Alta</v>
      </c>
      <c r="AM590" s="799">
        <f>IF(ISNUMBER('Base de datos Rutas'!W588),'Base de datos Rutas'!W588,"")</f>
        <v>3293.1144020900269</v>
      </c>
      <c r="AN590" s="787">
        <f>IFERROR(SUMIFS('Base de datos Rutas'!$W$6:$W$794,'Base de datos Rutas'!$C$6:$C$794,$C590)/'Base de datos Rutas'!I588,"")</f>
        <v>3293.1144020900251</v>
      </c>
      <c r="AO590" s="800">
        <f>IFERROR('Base de datos Rutas'!X588*AN590/AM590,"")</f>
        <v>0.47791232590402694</v>
      </c>
      <c r="AP590" s="800">
        <f t="shared" si="345"/>
        <v>0.52208767409597301</v>
      </c>
      <c r="AQ590" s="789">
        <f>IFERROR(INDEX('Hoja de apoyo v2'!$J$17:$J$20,MATCH($A590,'Hoja de apoyo v2'!$A$17:$A$20,0)),"")</f>
        <v>0.64320274048480885</v>
      </c>
      <c r="AR590" s="789">
        <f t="shared" si="346"/>
        <v>-0.12111506638883585</v>
      </c>
      <c r="AS590" s="784" t="str">
        <f t="shared" si="347"/>
        <v>No</v>
      </c>
      <c r="AT590" s="801">
        <f>IF(ISNUMBER('Base de datos Rutas'!CK588),'Base de datos Rutas'!CK588,"")</f>
        <v>212</v>
      </c>
      <c r="AU590" s="802">
        <f>IF(ISNUMBER('Base de datos Rutas'!CL588),'Base de datos Rutas'!CL588,"")</f>
        <v>265.54000000000002</v>
      </c>
      <c r="AV590" s="802">
        <f>IF(ISNUMBER('Base de datos Rutas'!CM588),'Base de datos Rutas'!CM588,"")</f>
        <v>53.54000000000002</v>
      </c>
      <c r="AW590" s="802">
        <f>IF(ISNUMBER('Base de datos Rutas'!CN588),'Base de datos Rutas'!CN588,"")</f>
        <v>7.22</v>
      </c>
      <c r="AX590" s="802">
        <f>IF(ISNUMBER('Base de datos Rutas'!CO588),'Base de datos Rutas'!CO588,"")</f>
        <v>9.4499999999999993</v>
      </c>
      <c r="AY590" s="802">
        <f>IF(ISNUMBER('Base de datos Rutas'!CP588),'Base de datos Rutas'!CP588,"")</f>
        <v>2.2299999999999995</v>
      </c>
      <c r="AZ590" s="802">
        <f>IF(ISNUMBER('Base de datos Rutas'!CQ588),'Base de datos Rutas'!CQ588,"")</f>
        <v>846.56</v>
      </c>
      <c r="BA590" s="802">
        <f>IF(ISNUMBER('Base de datos Rutas'!CR588),'Base de datos Rutas'!CR588,"")</f>
        <v>478.3</v>
      </c>
      <c r="BB590" s="803">
        <f>IF(ISNUMBER('Base de datos Rutas'!CS588),'Base de datos Rutas'!CS588,"")</f>
        <v>368.25999999999993</v>
      </c>
      <c r="BC590" s="804">
        <f t="shared" si="357"/>
        <v>0</v>
      </c>
      <c r="BD590" s="805" t="str">
        <f t="shared" si="358"/>
        <v>No saturada</v>
      </c>
      <c r="BE590" s="806">
        <f t="shared" si="359"/>
        <v>0.56499243999244009</v>
      </c>
      <c r="BF590" s="890">
        <f>IF(ISNUMBER('Base de datos Rutas'!CX588),'Base de datos Rutas'!CX588/100,"")</f>
        <v>0.95925418569254195</v>
      </c>
      <c r="BG590" s="891">
        <f>IF(ISNUMBER('Base de datos Rutas'!CZ588),'Base de datos Rutas'!CZ588/100,"")</f>
        <v>1</v>
      </c>
      <c r="BH590" s="892">
        <f>IF(ISNUMBER('Base de datos Rutas'!DA588),'Base de datos Rutas'!DA588,"")</f>
        <v>1307.919622095149</v>
      </c>
      <c r="BI590" s="893">
        <f>IF(ISNUMBER('Base de datos Rutas'!DC588),'Base de datos Rutas'!DC588,"")</f>
        <v>53.442071164280385</v>
      </c>
      <c r="BJ590" s="805" t="str">
        <f t="shared" si="360"/>
        <v>Ruta (completo)</v>
      </c>
      <c r="BK590" s="783">
        <f t="shared" si="348"/>
        <v>5</v>
      </c>
      <c r="BL590" s="797">
        <f t="shared" si="349"/>
        <v>3</v>
      </c>
      <c r="BM590" s="797">
        <f t="shared" si="350"/>
        <v>5</v>
      </c>
      <c r="BN590" s="797">
        <f t="shared" si="351"/>
        <v>5</v>
      </c>
      <c r="BO590" s="798" cm="1">
        <f t="array" ref="BO590">SUMPRODUCT(--ISNUMBER($BF590:$BI590),$BK$3:$BN$3)</f>
        <v>1</v>
      </c>
      <c r="BP590" s="831">
        <f t="shared" si="361"/>
        <v>87.5</v>
      </c>
      <c r="BQ590" s="834" t="str">
        <f t="shared" si="362"/>
        <v>Alto</v>
      </c>
      <c r="BR590" s="836">
        <f t="shared" si="352"/>
        <v>32.089252575316863</v>
      </c>
      <c r="BS590" s="836">
        <f t="shared" si="353"/>
        <v>87.5</v>
      </c>
      <c r="BT590" s="837" t="str">
        <f t="shared" si="354"/>
        <v>P1</v>
      </c>
      <c r="BU590" s="807" t="str">
        <f t="shared" si="363"/>
        <v>Con espacio</v>
      </c>
      <c r="BV590" s="807" t="str">
        <f t="shared" si="355"/>
        <v>Zona atractiva</v>
      </c>
      <c r="BW590" s="808" t="str">
        <f t="shared" si="356"/>
        <v>P1 - Ampliar cobertura</v>
      </c>
    </row>
    <row r="591" spans="1:75">
      <c r="A591" s="780" t="str">
        <f>'Base de datos Rutas'!A589</f>
        <v>Occidente</v>
      </c>
      <c r="B591" s="781" t="str">
        <f>'Base de datos Rutas'!B589</f>
        <v>Favorita</v>
      </c>
      <c r="C591" s="781" t="str">
        <f>'Base de datos Rutas'!C589</f>
        <v>Suc. Santa Maria</v>
      </c>
      <c r="D591" s="782">
        <f>IF(ISNUMBER('Base de datos Rutas'!D589),'Base de datos Rutas'!D589,"Sin código")</f>
        <v>809341</v>
      </c>
      <c r="E591" s="783" t="str">
        <f>'Base de datos Rutas'!F589</f>
        <v>Activa</v>
      </c>
      <c r="F591" s="784" t="str">
        <f>'Base de datos Rutas'!H589</f>
        <v>Sí</v>
      </c>
      <c r="G591" s="785">
        <f>IF(ISNUMBER('Base de datos Rutas'!BE589),'Base de datos Rutas'!BE589,"")</f>
        <v>56.119266055045898</v>
      </c>
      <c r="H591" s="786">
        <f>IF(ISNUMBER('Base de datos Rutas'!BH589),'Base de datos Rutas'!BH589,"")</f>
        <v>0.38625960438123302</v>
      </c>
      <c r="I591" s="788">
        <f>IFERROR(IF(OR(NOT(ISNUMBER('Base de datos Rutas'!O589)),N('Base de datos Rutas'!BK589)=0),"",'Base de datos Rutas'!O589/('Base de datos Rutas'!L589/'Base de datos Rutas'!BK589)),"")</f>
        <v>4096.9380733944945</v>
      </c>
      <c r="J591" s="788">
        <f>IFERROR(IF(OR(NOT(ISNUMBER('Base de datos Rutas'!N589)),N('Base de datos Rutas'!BK589)=0),"",'Base de datos Rutas'!N589/('Base de datos Rutas'!L589/'Base de datos Rutas'!BK589)),"")</f>
        <v>6222.6697247706416</v>
      </c>
      <c r="K591" s="788">
        <f>IFERROR(IF(OR(NOT(ISNUMBER('Base de datos Rutas'!J589)),N('Base de datos Rutas'!BK589)=0),"",'Base de datos Rutas'!J589/('Base de datos Rutas'!L589/'Base de datos Rutas'!BK589)),"")</f>
        <v>423.59283669724766</v>
      </c>
      <c r="L591" s="788">
        <f>IFERROR(IF(OR(NOT(ISNUMBER('Base de datos Rutas'!K589)),N('Base de datos Rutas'!BK589)=0),"",'Base de datos Rutas'!K589/('Base de datos Rutas'!L589/'Base de datos Rutas'!BK589)),"")</f>
        <v>28.264121215596326</v>
      </c>
      <c r="M591" s="787">
        <f>IF(ISNUMBER('Base de datos Rutas'!AX589),'Base de datos Rutas'!AX589,"")</f>
        <v>476.07109618029801</v>
      </c>
      <c r="N591" s="790">
        <f>IFERROR(INDEX('Hoja de apoyo v2'!B$17:B$20,MATCH($A591,'Hoja de apoyo v2'!$A$17:$A$20,0)),"")</f>
        <v>89.41621024641401</v>
      </c>
      <c r="O591" s="791">
        <f>IFERROR(INDEX('Hoja de apoyo v2'!C$17:C$20,MATCH($A591,'Hoja de apoyo v2'!$A$17:$A$20,0)),"")</f>
        <v>0.54706375874806301</v>
      </c>
      <c r="P591" s="793">
        <f>IFERROR(INDEX('Hoja de apoyo v2'!D$17:D$20,MATCH($A591,'Hoja de apoyo v2'!$A$17:$A$20,0)),"")</f>
        <v>11095.153935793827</v>
      </c>
      <c r="Q591" s="793">
        <f>IFERROR(INDEX('Hoja de apoyo v2'!E$17:E$20,MATCH($A591,'Hoja de apoyo v2'!$A$17:$A$20,0)),"")</f>
        <v>6982.3202019701848</v>
      </c>
      <c r="R591" s="793">
        <f>IFERROR(INDEX('Hoja de apoyo v2'!F$17:F$20,MATCH($A591,'Hoja de apoyo v2'!$A$17:$A$20,0)),"")</f>
        <v>448.09513474485743</v>
      </c>
      <c r="S591" s="793">
        <f>IFERROR(INDEX('Hoja de apoyo v2'!G$17:G$20,MATCH($A591,'Hoja de apoyo v2'!$A$17:$A$20,0)),"")</f>
        <v>83.406300904207839</v>
      </c>
      <c r="T591" s="792">
        <f>IFERROR(INDEX('Hoja de apoyo v2'!H$17:H$20,MATCH($A591,'Hoja de apoyo v2'!$A$17:$A$20,0)),"")</f>
        <v>378.97014028925349</v>
      </c>
      <c r="U591" s="794">
        <f t="shared" si="328"/>
        <v>0.62761848103819107</v>
      </c>
      <c r="V591" s="795">
        <f t="shared" si="329"/>
        <v>0.70605957386973528</v>
      </c>
      <c r="W591" s="795">
        <f t="shared" si="330"/>
        <v>0.36925473022753247</v>
      </c>
      <c r="X591" s="843">
        <f t="shared" si="331"/>
        <v>0.89120371807279841</v>
      </c>
      <c r="Y591" s="843">
        <f t="shared" si="332"/>
        <v>0.94531898218095756</v>
      </c>
      <c r="Z591" s="843">
        <f t="shared" si="333"/>
        <v>0.33887273394437761</v>
      </c>
      <c r="AA591" s="843">
        <f t="shared" si="334"/>
        <v>1.2562232365244688</v>
      </c>
      <c r="AB591" s="796">
        <f t="shared" si="335"/>
        <v>2</v>
      </c>
      <c r="AC591" s="797">
        <f t="shared" si="336"/>
        <v>2</v>
      </c>
      <c r="AD591" s="797">
        <f t="shared" si="337"/>
        <v>1</v>
      </c>
      <c r="AE591" s="842">
        <f t="shared" si="338"/>
        <v>3</v>
      </c>
      <c r="AF591" s="842">
        <f t="shared" si="339"/>
        <v>3</v>
      </c>
      <c r="AG591" s="842">
        <f t="shared" si="340"/>
        <v>1</v>
      </c>
      <c r="AH591" s="842">
        <f t="shared" si="341"/>
        <v>5</v>
      </c>
      <c r="AI591" s="826" cm="1">
        <f t="array" ref="AI591">SUMPRODUCT(--ISNUMBER($U591:$AA591),$AB$3:$AH$3)</f>
        <v>1</v>
      </c>
      <c r="AJ591" s="829">
        <f t="shared" si="342"/>
        <v>28.566437441850457</v>
      </c>
      <c r="AK591" s="827" t="str">
        <f t="shared" si="343"/>
        <v>Inmadura</v>
      </c>
      <c r="AL591" s="784" t="str">
        <f t="shared" si="344"/>
        <v>Alta</v>
      </c>
      <c r="AM591" s="799">
        <f>IF(ISNUMBER('Base de datos Rutas'!W589),'Base de datos Rutas'!W589,"")</f>
        <v>3293.1144020900269</v>
      </c>
      <c r="AN591" s="787">
        <f>IFERROR(SUMIFS('Base de datos Rutas'!$W$6:$W$794,'Base de datos Rutas'!$C$6:$C$794,$C591)/'Base de datos Rutas'!I589,"")</f>
        <v>3293.1144020900251</v>
      </c>
      <c r="AO591" s="800">
        <f>IFERROR('Base de datos Rutas'!X589*AN591/AM591,"")</f>
        <v>0.47791232590402694</v>
      </c>
      <c r="AP591" s="800">
        <f t="shared" si="345"/>
        <v>0.52208767409597301</v>
      </c>
      <c r="AQ591" s="789">
        <f>IFERROR(INDEX('Hoja de apoyo v2'!$J$17:$J$20,MATCH($A591,'Hoja de apoyo v2'!$A$17:$A$20,0)),"")</f>
        <v>0.64320274048480885</v>
      </c>
      <c r="AR591" s="789">
        <f t="shared" si="346"/>
        <v>-0.12111506638883585</v>
      </c>
      <c r="AS591" s="784" t="str">
        <f t="shared" si="347"/>
        <v>No</v>
      </c>
      <c r="AT591" s="801">
        <f>IF(ISNUMBER('Base de datos Rutas'!CK589),'Base de datos Rutas'!CK589,"")</f>
        <v>227</v>
      </c>
      <c r="AU591" s="802">
        <f>IF(ISNUMBER('Base de datos Rutas'!CL589),'Base de datos Rutas'!CL589,"")</f>
        <v>357.36</v>
      </c>
      <c r="AV591" s="802">
        <f>IF(ISNUMBER('Base de datos Rutas'!CM589),'Base de datos Rutas'!CM589,"")</f>
        <v>130.36000000000001</v>
      </c>
      <c r="AW591" s="802">
        <f>IF(ISNUMBER('Base de datos Rutas'!CN589),'Base de datos Rutas'!CN589,"")</f>
        <v>5.29</v>
      </c>
      <c r="AX591" s="802">
        <f>IF(ISNUMBER('Base de datos Rutas'!CO589),'Base de datos Rutas'!CO589,"")</f>
        <v>9.4499999999999993</v>
      </c>
      <c r="AY591" s="802">
        <f>IF(ISNUMBER('Base de datos Rutas'!CP589),'Base de datos Rutas'!CP589,"")</f>
        <v>4.1599999999999993</v>
      </c>
      <c r="AZ591" s="802">
        <f>IF(ISNUMBER('Base de datos Rutas'!CQ589),'Base de datos Rutas'!CQ589,"")</f>
        <v>846.56</v>
      </c>
      <c r="BA591" s="802">
        <f>IF(ISNUMBER('Base de datos Rutas'!CR589),'Base de datos Rutas'!CR589,"")</f>
        <v>451.86</v>
      </c>
      <c r="BB591" s="803">
        <f>IF(ISNUMBER('Base de datos Rutas'!CS589),'Base de datos Rutas'!CS589,"")</f>
        <v>394.69999999999993</v>
      </c>
      <c r="BC591" s="804">
        <f t="shared" si="357"/>
        <v>0</v>
      </c>
      <c r="BD591" s="805" t="str">
        <f t="shared" si="358"/>
        <v>No saturada</v>
      </c>
      <c r="BE591" s="806">
        <f t="shared" si="359"/>
        <v>0.53376015876015881</v>
      </c>
      <c r="BF591" s="890">
        <f>IF(ISNUMBER('Base de datos Rutas'!CX589),'Base de datos Rutas'!CX589/100,"")</f>
        <v>0.9157336780866191</v>
      </c>
      <c r="BG591" s="891">
        <f>IF(ISNUMBER('Base de datos Rutas'!CZ589),'Base de datos Rutas'!CZ589/100,"")</f>
        <v>1</v>
      </c>
      <c r="BH591" s="892">
        <f>IF(ISNUMBER('Base de datos Rutas'!DA589),'Base de datos Rutas'!DA589,"")</f>
        <v>1245.3829947059664</v>
      </c>
      <c r="BI591" s="893">
        <f>IF(ISNUMBER('Base de datos Rutas'!DC589),'Base de datos Rutas'!DC589,"")</f>
        <v>52.828993179758669</v>
      </c>
      <c r="BJ591" s="805" t="str">
        <f t="shared" si="360"/>
        <v>Ruta (completo)</v>
      </c>
      <c r="BK591" s="783">
        <f t="shared" si="348"/>
        <v>3</v>
      </c>
      <c r="BL591" s="797">
        <f t="shared" si="349"/>
        <v>3</v>
      </c>
      <c r="BM591" s="797">
        <f t="shared" si="350"/>
        <v>5</v>
      </c>
      <c r="BN591" s="797">
        <f t="shared" si="351"/>
        <v>5</v>
      </c>
      <c r="BO591" s="798" cm="1">
        <f t="array" ref="BO591">SUMPRODUCT(--ISNUMBER($BF591:$BI591),$BK$3:$BN$3)</f>
        <v>1</v>
      </c>
      <c r="BP591" s="831">
        <f t="shared" si="361"/>
        <v>75</v>
      </c>
      <c r="BQ591" s="834" t="str">
        <f t="shared" si="362"/>
        <v>Alto</v>
      </c>
      <c r="BR591" s="836">
        <f t="shared" si="352"/>
        <v>21.424828081387844</v>
      </c>
      <c r="BS591" s="836">
        <f t="shared" si="353"/>
        <v>75</v>
      </c>
      <c r="BT591" s="837" t="str">
        <f t="shared" si="354"/>
        <v>P3</v>
      </c>
      <c r="BU591" s="807" t="str">
        <f t="shared" si="363"/>
        <v>Con espacio</v>
      </c>
      <c r="BV591" s="807" t="str">
        <f t="shared" si="355"/>
        <v>Zona atractiva</v>
      </c>
      <c r="BW591" s="808" t="str">
        <f t="shared" si="356"/>
        <v>P3 - Desarrollar</v>
      </c>
    </row>
    <row r="592" spans="1:75">
      <c r="A592" s="780" t="str">
        <f>'Base de datos Rutas'!A590</f>
        <v>Occidente</v>
      </c>
      <c r="B592" s="781" t="str">
        <f>'Base de datos Rutas'!B590</f>
        <v>Favorita</v>
      </c>
      <c r="C592" s="781" t="str">
        <f>'Base de datos Rutas'!C590</f>
        <v>Suc. Santa Maria</v>
      </c>
      <c r="D592" s="782">
        <f>IF(ISNUMBER('Base de datos Rutas'!D590),'Base de datos Rutas'!D590,"Sin código")</f>
        <v>809342</v>
      </c>
      <c r="E592" s="783" t="str">
        <f>'Base de datos Rutas'!F590</f>
        <v>Activa</v>
      </c>
      <c r="F592" s="784" t="str">
        <f>'Base de datos Rutas'!H590</f>
        <v>Sí</v>
      </c>
      <c r="G592" s="785">
        <f>IF(ISNUMBER('Base de datos Rutas'!BE590),'Base de datos Rutas'!BE590,"")</f>
        <v>92.325688073394502</v>
      </c>
      <c r="H592" s="786">
        <f>IF(ISNUMBER('Base de datos Rutas'!BH590),'Base de datos Rutas'!BH590,"")</f>
        <v>0.32061410046206601</v>
      </c>
      <c r="I592" s="788">
        <f>IFERROR(IF(OR(NOT(ISNUMBER('Base de datos Rutas'!O590)),N('Base de datos Rutas'!BK590)=0),"",'Base de datos Rutas'!O590/('Base de datos Rutas'!L590/'Base de datos Rutas'!BK590)),"")</f>
        <v>3026.9701834862412</v>
      </c>
      <c r="J592" s="788">
        <f>IFERROR(IF(OR(NOT(ISNUMBER('Base de datos Rutas'!N590)),N('Base de datos Rutas'!BK590)=0),"",'Base de datos Rutas'!N590/('Base de datos Rutas'!L590/'Base de datos Rutas'!BK590)),"")</f>
        <v>7006.7270642201902</v>
      </c>
      <c r="K592" s="788">
        <f>IFERROR(IF(OR(NOT(ISNUMBER('Base de datos Rutas'!J590)),N('Base de datos Rutas'!BK590)=0),"",'Base de datos Rutas'!J590/('Base de datos Rutas'!L590/'Base de datos Rutas'!BK590)),"")</f>
        <v>478.51319266055089</v>
      </c>
      <c r="L592" s="788">
        <f>IFERROR(IF(OR(NOT(ISNUMBER('Base de datos Rutas'!K590)),N('Base de datos Rutas'!BK590)=0),"",'Base de datos Rutas'!K590/('Base de datos Rutas'!L590/'Base de datos Rutas'!BK590)),"")</f>
        <v>21.097164885321121</v>
      </c>
      <c r="M592" s="787">
        <f>IF(ISNUMBER('Base de datos Rutas'!AX590),'Base de datos Rutas'!AX590,"")</f>
        <v>338.93018905935202</v>
      </c>
      <c r="N592" s="790">
        <f>IFERROR(INDEX('Hoja de apoyo v2'!B$17:B$20,MATCH($A592,'Hoja de apoyo v2'!$A$17:$A$20,0)),"")</f>
        <v>89.41621024641401</v>
      </c>
      <c r="O592" s="791">
        <f>IFERROR(INDEX('Hoja de apoyo v2'!C$17:C$20,MATCH($A592,'Hoja de apoyo v2'!$A$17:$A$20,0)),"")</f>
        <v>0.54706375874806301</v>
      </c>
      <c r="P592" s="793">
        <f>IFERROR(INDEX('Hoja de apoyo v2'!D$17:D$20,MATCH($A592,'Hoja de apoyo v2'!$A$17:$A$20,0)),"")</f>
        <v>11095.153935793827</v>
      </c>
      <c r="Q592" s="793">
        <f>IFERROR(INDEX('Hoja de apoyo v2'!E$17:E$20,MATCH($A592,'Hoja de apoyo v2'!$A$17:$A$20,0)),"")</f>
        <v>6982.3202019701848</v>
      </c>
      <c r="R592" s="793">
        <f>IFERROR(INDEX('Hoja de apoyo v2'!F$17:F$20,MATCH($A592,'Hoja de apoyo v2'!$A$17:$A$20,0)),"")</f>
        <v>448.09513474485743</v>
      </c>
      <c r="S592" s="793">
        <f>IFERROR(INDEX('Hoja de apoyo v2'!G$17:G$20,MATCH($A592,'Hoja de apoyo v2'!$A$17:$A$20,0)),"")</f>
        <v>83.406300904207839</v>
      </c>
      <c r="T592" s="792">
        <f>IFERROR(INDEX('Hoja de apoyo v2'!H$17:H$20,MATCH($A592,'Hoja de apoyo v2'!$A$17:$A$20,0)),"")</f>
        <v>378.97014028925349</v>
      </c>
      <c r="U592" s="794">
        <f t="shared" si="328"/>
        <v>1.0325385947241841</v>
      </c>
      <c r="V592" s="795">
        <f t="shared" si="329"/>
        <v>0.58606349869671603</v>
      </c>
      <c r="W592" s="795">
        <f t="shared" si="330"/>
        <v>0.27281912454779023</v>
      </c>
      <c r="X592" s="843">
        <f t="shared" si="331"/>
        <v>1.0034955231991678</v>
      </c>
      <c r="Y592" s="843">
        <f t="shared" si="332"/>
        <v>1.0678830354474018</v>
      </c>
      <c r="Z592" s="843">
        <f t="shared" si="333"/>
        <v>0.25294449767711458</v>
      </c>
      <c r="AA592" s="843">
        <f t="shared" si="334"/>
        <v>0.89434536663141717</v>
      </c>
      <c r="AB592" s="796">
        <f t="shared" si="335"/>
        <v>4</v>
      </c>
      <c r="AC592" s="797">
        <f t="shared" si="336"/>
        <v>2</v>
      </c>
      <c r="AD592" s="797">
        <f t="shared" si="337"/>
        <v>1</v>
      </c>
      <c r="AE592" s="842">
        <f t="shared" si="338"/>
        <v>4</v>
      </c>
      <c r="AF592" s="842">
        <f t="shared" si="339"/>
        <v>4</v>
      </c>
      <c r="AG592" s="842">
        <f t="shared" si="340"/>
        <v>1</v>
      </c>
      <c r="AH592" s="842">
        <f t="shared" si="341"/>
        <v>3</v>
      </c>
      <c r="AI592" s="826" cm="1">
        <f t="array" ref="AI592">SUMPRODUCT(--ISNUMBER($U592:$AA592),$AB$3:$AH$3)</f>
        <v>1</v>
      </c>
      <c r="AJ592" s="829">
        <f t="shared" si="342"/>
        <v>39.479746275729319</v>
      </c>
      <c r="AK592" s="827" t="str">
        <f t="shared" si="343"/>
        <v>Inmadura</v>
      </c>
      <c r="AL592" s="784" t="str">
        <f t="shared" si="344"/>
        <v>Alta</v>
      </c>
      <c r="AM592" s="799">
        <f>IF(ISNUMBER('Base de datos Rutas'!W590),'Base de datos Rutas'!W590,"")</f>
        <v>3293.1144020900269</v>
      </c>
      <c r="AN592" s="787">
        <f>IFERROR(SUMIFS('Base de datos Rutas'!$W$6:$W$794,'Base de datos Rutas'!$C$6:$C$794,$C592)/'Base de datos Rutas'!I590,"")</f>
        <v>3293.1144020900251</v>
      </c>
      <c r="AO592" s="800">
        <f>IFERROR('Base de datos Rutas'!X590*AN592/AM592,"")</f>
        <v>0.47791232590402694</v>
      </c>
      <c r="AP592" s="800">
        <f t="shared" si="345"/>
        <v>0.52208767409597301</v>
      </c>
      <c r="AQ592" s="789">
        <f>IFERROR(INDEX('Hoja de apoyo v2'!$J$17:$J$20,MATCH($A592,'Hoja de apoyo v2'!$A$17:$A$20,0)),"")</f>
        <v>0.64320274048480885</v>
      </c>
      <c r="AR592" s="789">
        <f t="shared" si="346"/>
        <v>-0.12111506638883585</v>
      </c>
      <c r="AS592" s="784" t="str">
        <f t="shared" si="347"/>
        <v>No</v>
      </c>
      <c r="AT592" s="801">
        <f>IF(ISNUMBER('Base de datos Rutas'!CK590),'Base de datos Rutas'!CK590,"")</f>
        <v>320</v>
      </c>
      <c r="AU592" s="802">
        <f>IF(ISNUMBER('Base de datos Rutas'!CL590),'Base de datos Rutas'!CL590,"")</f>
        <v>396.94</v>
      </c>
      <c r="AV592" s="802">
        <f>IF(ISNUMBER('Base de datos Rutas'!CM590),'Base de datos Rutas'!CM590,"")</f>
        <v>76.94</v>
      </c>
      <c r="AW592" s="802">
        <f>IF(ISNUMBER('Base de datos Rutas'!CN590),'Base de datos Rutas'!CN590,"")</f>
        <v>7.42</v>
      </c>
      <c r="AX592" s="802">
        <f>IF(ISNUMBER('Base de datos Rutas'!CO590),'Base de datos Rutas'!CO590,"")</f>
        <v>9.4499999999999993</v>
      </c>
      <c r="AY592" s="802">
        <f>IF(ISNUMBER('Base de datos Rutas'!CP590),'Base de datos Rutas'!CP590,"")</f>
        <v>2.0299999999999994</v>
      </c>
      <c r="AZ592" s="802">
        <f>IF(ISNUMBER('Base de datos Rutas'!CQ590),'Base de datos Rutas'!CQ590,"")</f>
        <v>846.56</v>
      </c>
      <c r="BA592" s="802">
        <f>IF(ISNUMBER('Base de datos Rutas'!CR590),'Base de datos Rutas'!CR590,"")</f>
        <v>499.61</v>
      </c>
      <c r="BB592" s="803">
        <f>IF(ISNUMBER('Base de datos Rutas'!CS590),'Base de datos Rutas'!CS590,"")</f>
        <v>346.94999999999993</v>
      </c>
      <c r="BC592" s="804">
        <f t="shared" si="357"/>
        <v>0</v>
      </c>
      <c r="BD592" s="805" t="str">
        <f t="shared" si="358"/>
        <v>No saturada</v>
      </c>
      <c r="BE592" s="806">
        <f t="shared" si="359"/>
        <v>0.59016490266490274</v>
      </c>
      <c r="BF592" s="890">
        <f>IF(ISNUMBER('Base de datos Rutas'!CX590),'Base de datos Rutas'!CX590/100,"")</f>
        <v>0.97142963238024505</v>
      </c>
      <c r="BG592" s="891">
        <f>IF(ISNUMBER('Base de datos Rutas'!CZ590),'Base de datos Rutas'!CZ590/100,"")</f>
        <v>1</v>
      </c>
      <c r="BH592" s="892">
        <f>IF(ISNUMBER('Base de datos Rutas'!DA590),'Base de datos Rutas'!DA590,"")</f>
        <v>771.62259471324285</v>
      </c>
      <c r="BI592" s="893">
        <f>IF(ISNUMBER('Base de datos Rutas'!DC590),'Base de datos Rutas'!DC590,"")</f>
        <v>37.985097150118776</v>
      </c>
      <c r="BJ592" s="805" t="str">
        <f t="shared" si="360"/>
        <v>Ruta (completo)</v>
      </c>
      <c r="BK592" s="783">
        <f t="shared" si="348"/>
        <v>5</v>
      </c>
      <c r="BL592" s="797">
        <f t="shared" si="349"/>
        <v>3</v>
      </c>
      <c r="BM592" s="797">
        <f t="shared" si="350"/>
        <v>3</v>
      </c>
      <c r="BN592" s="797">
        <f t="shared" si="351"/>
        <v>4</v>
      </c>
      <c r="BO592" s="798" cm="1">
        <f t="array" ref="BO592">SUMPRODUCT(--ISNUMBER($BF592:$BI592),$BK$3:$BN$3)</f>
        <v>1</v>
      </c>
      <c r="BP592" s="831">
        <f t="shared" si="361"/>
        <v>68.75</v>
      </c>
      <c r="BQ592" s="834" t="str">
        <f t="shared" si="362"/>
        <v>Alto</v>
      </c>
      <c r="BR592" s="836">
        <f t="shared" si="352"/>
        <v>29.609809706796987</v>
      </c>
      <c r="BS592" s="836">
        <f t="shared" si="353"/>
        <v>68.75</v>
      </c>
      <c r="BT592" s="837" t="str">
        <f t="shared" si="354"/>
        <v>P1</v>
      </c>
      <c r="BU592" s="807" t="str">
        <f t="shared" si="363"/>
        <v>Con espacio</v>
      </c>
      <c r="BV592" s="807" t="str">
        <f t="shared" si="355"/>
        <v>Zona atractiva</v>
      </c>
      <c r="BW592" s="808" t="str">
        <f t="shared" si="356"/>
        <v>P1 - Ampliar cobertura</v>
      </c>
    </row>
    <row r="593" spans="1:75">
      <c r="A593" s="780" t="str">
        <f>'Base de datos Rutas'!A591</f>
        <v>Occidente</v>
      </c>
      <c r="B593" s="781" t="str">
        <f>'Base de datos Rutas'!B591</f>
        <v>Favorita</v>
      </c>
      <c r="C593" s="781" t="str">
        <f>'Base de datos Rutas'!C591</f>
        <v>Suc. Santa Maria</v>
      </c>
      <c r="D593" s="782">
        <f>IF(ISNUMBER('Base de datos Rutas'!D591),'Base de datos Rutas'!D591,"Sin código")</f>
        <v>809343</v>
      </c>
      <c r="E593" s="783" t="str">
        <f>'Base de datos Rutas'!F591</f>
        <v>Activa</v>
      </c>
      <c r="F593" s="784" t="str">
        <f>'Base de datos Rutas'!H591</f>
        <v>Sí</v>
      </c>
      <c r="G593" s="785">
        <f>IF(ISNUMBER('Base de datos Rutas'!BE591),'Base de datos Rutas'!BE591,"")</f>
        <v>80.651376146789005</v>
      </c>
      <c r="H593" s="786">
        <f>IF(ISNUMBER('Base de datos Rutas'!BH591),'Base de datos Rutas'!BH591,"")</f>
        <v>0.25961210328745299</v>
      </c>
      <c r="I593" s="788">
        <f>IFERROR(IF(OR(NOT(ISNUMBER('Base de datos Rutas'!O591)),N('Base de datos Rutas'!BK591)=0),"",'Base de datos Rutas'!O591/('Base de datos Rutas'!L591/'Base de datos Rutas'!BK591)),"")</f>
        <v>2058.9311926605492</v>
      </c>
      <c r="J593" s="788">
        <f>IFERROR(IF(OR(NOT(ISNUMBER('Base de datos Rutas'!N591)),N('Base de datos Rutas'!BK591)=0),"",'Base de datos Rutas'!N591/('Base de datos Rutas'!L591/'Base de datos Rutas'!BK591)),"")</f>
        <v>5552.9174311926572</v>
      </c>
      <c r="K593" s="788">
        <f>IFERROR(IF(OR(NOT(ISNUMBER('Base de datos Rutas'!J591)),N('Base de datos Rutas'!BK591)=0),"",'Base de datos Rutas'!J591/('Base de datos Rutas'!L591/'Base de datos Rutas'!BK591)),"")</f>
        <v>382.15616330275213</v>
      </c>
      <c r="L593" s="788">
        <f>IFERROR(IF(OR(NOT(ISNUMBER('Base de datos Rutas'!K591)),N('Base de datos Rutas'!BK591)=0),"",'Base de datos Rutas'!K591/('Base de datos Rutas'!L591/'Base de datos Rutas'!BK591)),"")</f>
        <v>13.451821158256873</v>
      </c>
      <c r="M593" s="787">
        <f>IF(ISNUMBER('Base de datos Rutas'!AX591),'Base de datos Rutas'!AX591,"")</f>
        <v>363.54131449227702</v>
      </c>
      <c r="N593" s="790">
        <f>IFERROR(INDEX('Hoja de apoyo v2'!B$17:B$20,MATCH($A593,'Hoja de apoyo v2'!$A$17:$A$20,0)),"")</f>
        <v>89.41621024641401</v>
      </c>
      <c r="O593" s="791">
        <f>IFERROR(INDEX('Hoja de apoyo v2'!C$17:C$20,MATCH($A593,'Hoja de apoyo v2'!$A$17:$A$20,0)),"")</f>
        <v>0.54706375874806301</v>
      </c>
      <c r="P593" s="793">
        <f>IFERROR(INDEX('Hoja de apoyo v2'!D$17:D$20,MATCH($A593,'Hoja de apoyo v2'!$A$17:$A$20,0)),"")</f>
        <v>11095.153935793827</v>
      </c>
      <c r="Q593" s="793">
        <f>IFERROR(INDEX('Hoja de apoyo v2'!E$17:E$20,MATCH($A593,'Hoja de apoyo v2'!$A$17:$A$20,0)),"")</f>
        <v>6982.3202019701848</v>
      </c>
      <c r="R593" s="793">
        <f>IFERROR(INDEX('Hoja de apoyo v2'!F$17:F$20,MATCH($A593,'Hoja de apoyo v2'!$A$17:$A$20,0)),"")</f>
        <v>448.09513474485743</v>
      </c>
      <c r="S593" s="793">
        <f>IFERROR(INDEX('Hoja de apoyo v2'!G$17:G$20,MATCH($A593,'Hoja de apoyo v2'!$A$17:$A$20,0)),"")</f>
        <v>83.406300904207839</v>
      </c>
      <c r="T593" s="792">
        <f>IFERROR(INDEX('Hoja de apoyo v2'!H$17:H$20,MATCH($A593,'Hoja de apoyo v2'!$A$17:$A$20,0)),"")</f>
        <v>378.97014028925349</v>
      </c>
      <c r="U593" s="794">
        <f t="shared" si="328"/>
        <v>0.90197712388535822</v>
      </c>
      <c r="V593" s="795">
        <f t="shared" si="329"/>
        <v>0.47455547755816718</v>
      </c>
      <c r="W593" s="795">
        <f t="shared" si="330"/>
        <v>0.18557031336160892</v>
      </c>
      <c r="X593" s="843">
        <f t="shared" si="331"/>
        <v>0.79528255229913458</v>
      </c>
      <c r="Y593" s="843">
        <f t="shared" si="332"/>
        <v>0.85284604466939695</v>
      </c>
      <c r="Z593" s="843">
        <f t="shared" si="333"/>
        <v>0.16128063482525493</v>
      </c>
      <c r="AA593" s="843">
        <f t="shared" si="334"/>
        <v>0.95928748954943988</v>
      </c>
      <c r="AB593" s="796">
        <f t="shared" si="335"/>
        <v>3</v>
      </c>
      <c r="AC593" s="797">
        <f t="shared" si="336"/>
        <v>1</v>
      </c>
      <c r="AD593" s="797">
        <f t="shared" si="337"/>
        <v>1</v>
      </c>
      <c r="AE593" s="842">
        <f t="shared" si="338"/>
        <v>3</v>
      </c>
      <c r="AF593" s="842">
        <f t="shared" si="339"/>
        <v>3</v>
      </c>
      <c r="AG593" s="842">
        <f t="shared" si="340"/>
        <v>1</v>
      </c>
      <c r="AH593" s="842">
        <f t="shared" si="341"/>
        <v>3</v>
      </c>
      <c r="AI593" s="826" cm="1">
        <f t="array" ref="AI593">SUMPRODUCT(--ISNUMBER($U593:$AA593),$AB$3:$AH$3)</f>
        <v>1</v>
      </c>
      <c r="AJ593" s="829">
        <f t="shared" si="342"/>
        <v>26.2277123534436</v>
      </c>
      <c r="AK593" s="827" t="str">
        <f t="shared" si="343"/>
        <v>Inmadura</v>
      </c>
      <c r="AL593" s="784" t="str">
        <f t="shared" si="344"/>
        <v>Alta</v>
      </c>
      <c r="AM593" s="799">
        <f>IF(ISNUMBER('Base de datos Rutas'!W591),'Base de datos Rutas'!W591,"")</f>
        <v>3293.1144020900269</v>
      </c>
      <c r="AN593" s="787">
        <f>IFERROR(SUMIFS('Base de datos Rutas'!$W$6:$W$794,'Base de datos Rutas'!$C$6:$C$794,$C593)/'Base de datos Rutas'!I591,"")</f>
        <v>3293.1144020900251</v>
      </c>
      <c r="AO593" s="800">
        <f>IFERROR('Base de datos Rutas'!X591*AN593/AM593,"")</f>
        <v>0.47791232590402694</v>
      </c>
      <c r="AP593" s="800">
        <f t="shared" si="345"/>
        <v>0.52208767409597301</v>
      </c>
      <c r="AQ593" s="789">
        <f>IFERROR(INDEX('Hoja de apoyo v2'!$J$17:$J$20,MATCH($A593,'Hoja de apoyo v2'!$A$17:$A$20,0)),"")</f>
        <v>0.64320274048480885</v>
      </c>
      <c r="AR593" s="789">
        <f t="shared" si="346"/>
        <v>-0.12111506638883585</v>
      </c>
      <c r="AS593" s="784" t="str">
        <f t="shared" si="347"/>
        <v>No</v>
      </c>
      <c r="AT593" s="801">
        <f>IF(ISNUMBER('Base de datos Rutas'!CK591),'Base de datos Rutas'!CK591,"")</f>
        <v>300</v>
      </c>
      <c r="AU593" s="802">
        <f>IF(ISNUMBER('Base de datos Rutas'!CL591),'Base de datos Rutas'!CL591,"")</f>
        <v>383.63</v>
      </c>
      <c r="AV593" s="802">
        <f>IF(ISNUMBER('Base de datos Rutas'!CM591),'Base de datos Rutas'!CM591,"")</f>
        <v>83.63</v>
      </c>
      <c r="AW593" s="802">
        <f>IF(ISNUMBER('Base de datos Rutas'!CN591),'Base de datos Rutas'!CN591,"")</f>
        <v>6.91</v>
      </c>
      <c r="AX593" s="802">
        <f>IF(ISNUMBER('Base de datos Rutas'!CO591),'Base de datos Rutas'!CO591,"")</f>
        <v>9.4499999999999993</v>
      </c>
      <c r="AY593" s="802">
        <f>IF(ISNUMBER('Base de datos Rutas'!CP591),'Base de datos Rutas'!CP591,"")</f>
        <v>2.5399999999999991</v>
      </c>
      <c r="AZ593" s="802">
        <f>IF(ISNUMBER('Base de datos Rutas'!CQ591),'Base de datos Rutas'!CQ591,"")</f>
        <v>564.37</v>
      </c>
      <c r="BA593" s="802">
        <f>IF(ISNUMBER('Base de datos Rutas'!CR591),'Base de datos Rutas'!CR591,"")</f>
        <v>395.61</v>
      </c>
      <c r="BB593" s="803">
        <f>IF(ISNUMBER('Base de datos Rutas'!CS591),'Base de datos Rutas'!CS591,"")</f>
        <v>168.76</v>
      </c>
      <c r="BC593" s="804">
        <f t="shared" si="357"/>
        <v>0</v>
      </c>
      <c r="BD593" s="805" t="str">
        <f t="shared" si="358"/>
        <v>No saturada</v>
      </c>
      <c r="BE593" s="806">
        <f t="shared" si="359"/>
        <v>0.70097630986764004</v>
      </c>
      <c r="BF593" s="890">
        <f>IF(ISNUMBER('Base de datos Rutas'!CX591),'Base de datos Rutas'!CX591/100,"")</f>
        <v>0.96393704182837425</v>
      </c>
      <c r="BG593" s="891">
        <f>IF(ISNUMBER('Base de datos Rutas'!CZ591),'Base de datos Rutas'!CZ591/100,"")</f>
        <v>1</v>
      </c>
      <c r="BH593" s="892">
        <f>IF(ISNUMBER('Base de datos Rutas'!DA591),'Base de datos Rutas'!DA591,"")</f>
        <v>979.27698813383665</v>
      </c>
      <c r="BI593" s="893">
        <f>IF(ISNUMBER('Base de datos Rutas'!DC591),'Base de datos Rutas'!DC591,"")</f>
        <v>49.948265026242076</v>
      </c>
      <c r="BJ593" s="805" t="str">
        <f t="shared" si="360"/>
        <v>Ruta (completo)</v>
      </c>
      <c r="BK593" s="783">
        <f t="shared" si="348"/>
        <v>5</v>
      </c>
      <c r="BL593" s="797">
        <f t="shared" si="349"/>
        <v>3</v>
      </c>
      <c r="BM593" s="797">
        <f t="shared" si="350"/>
        <v>4</v>
      </c>
      <c r="BN593" s="797">
        <f t="shared" si="351"/>
        <v>4</v>
      </c>
      <c r="BO593" s="798" cm="1">
        <f t="array" ref="BO593">SUMPRODUCT(--ISNUMBER($BF593:$BI593),$BK$3:$BN$3)</f>
        <v>1</v>
      </c>
      <c r="BP593" s="831">
        <f t="shared" si="361"/>
        <v>75</v>
      </c>
      <c r="BQ593" s="834" t="str">
        <f t="shared" si="362"/>
        <v>Alto</v>
      </c>
      <c r="BR593" s="836">
        <f t="shared" si="352"/>
        <v>19.670784265082702</v>
      </c>
      <c r="BS593" s="836">
        <f t="shared" si="353"/>
        <v>75</v>
      </c>
      <c r="BT593" s="837" t="str">
        <f t="shared" si="354"/>
        <v>P3</v>
      </c>
      <c r="BU593" s="807" t="str">
        <f t="shared" si="363"/>
        <v>Con espacio</v>
      </c>
      <c r="BV593" s="807" t="str">
        <f t="shared" si="355"/>
        <v>Zona atractiva</v>
      </c>
      <c r="BW593" s="808" t="str">
        <f t="shared" si="356"/>
        <v>P3 - Desarrollar</v>
      </c>
    </row>
    <row r="594" spans="1:75">
      <c r="A594" s="780" t="str">
        <f>'Base de datos Rutas'!A592</f>
        <v>Occidente</v>
      </c>
      <c r="B594" s="781" t="str">
        <f>'Base de datos Rutas'!B592</f>
        <v>Favorita</v>
      </c>
      <c r="C594" s="781" t="str">
        <f>'Base de datos Rutas'!C592</f>
        <v>Suc. Santa Maria</v>
      </c>
      <c r="D594" s="782">
        <f>IF(ISNUMBER('Base de datos Rutas'!D592),'Base de datos Rutas'!D592,"Sin código")</f>
        <v>809344</v>
      </c>
      <c r="E594" s="783" t="str">
        <f>'Base de datos Rutas'!F592</f>
        <v>Activa</v>
      </c>
      <c r="F594" s="784" t="str">
        <f>'Base de datos Rutas'!H592</f>
        <v>Sí</v>
      </c>
      <c r="G594" s="785">
        <f>IF(ISNUMBER('Base de datos Rutas'!BE592),'Base de datos Rutas'!BE592,"")</f>
        <v>69.891454965357994</v>
      </c>
      <c r="H594" s="786">
        <f>IF(ISNUMBER('Base de datos Rutas'!BH592),'Base de datos Rutas'!BH592,"")</f>
        <v>0.55324984304265901</v>
      </c>
      <c r="I594" s="788">
        <f>IFERROR(IF(OR(NOT(ISNUMBER('Base de datos Rutas'!O592)),N('Base de datos Rutas'!BK592)=0),"",'Base de datos Rutas'!O592/('Base de datos Rutas'!L592/'Base de datos Rutas'!BK592)),"")</f>
        <v>4268.5381062355609</v>
      </c>
      <c r="J594" s="788">
        <f>IFERROR(IF(OR(NOT(ISNUMBER('Base de datos Rutas'!N592)),N('Base de datos Rutas'!BK592)=0),"",'Base de datos Rutas'!N592/('Base de datos Rutas'!L592/'Base de datos Rutas'!BK592)),"")</f>
        <v>7618.2309468822095</v>
      </c>
      <c r="K594" s="788">
        <f>IFERROR(IF(OR(NOT(ISNUMBER('Base de datos Rutas'!J592)),N('Base de datos Rutas'!BK592)=0),"",'Base de datos Rutas'!J592/('Base de datos Rutas'!L592/'Base de datos Rutas'!BK592)),"")</f>
        <v>526.35068637413337</v>
      </c>
      <c r="L594" s="788">
        <f>IFERROR(IF(OR(NOT(ISNUMBER('Base de datos Rutas'!K592)),N('Base de datos Rutas'!BK592)=0),"",'Base de datos Rutas'!K592/('Base de datos Rutas'!L592/'Base de datos Rutas'!BK592)),"")</f>
        <v>30.821613914549623</v>
      </c>
      <c r="M594" s="787">
        <f>IF(ISNUMBER('Base de datos Rutas'!AX592),'Base de datos Rutas'!AX592,"")</f>
        <v>307.25818551036298</v>
      </c>
      <c r="N594" s="790">
        <f>IFERROR(INDEX('Hoja de apoyo v2'!B$17:B$20,MATCH($A594,'Hoja de apoyo v2'!$A$17:$A$20,0)),"")</f>
        <v>89.41621024641401</v>
      </c>
      <c r="O594" s="791">
        <f>IFERROR(INDEX('Hoja de apoyo v2'!C$17:C$20,MATCH($A594,'Hoja de apoyo v2'!$A$17:$A$20,0)),"")</f>
        <v>0.54706375874806301</v>
      </c>
      <c r="P594" s="793">
        <f>IFERROR(INDEX('Hoja de apoyo v2'!D$17:D$20,MATCH($A594,'Hoja de apoyo v2'!$A$17:$A$20,0)),"")</f>
        <v>11095.153935793827</v>
      </c>
      <c r="Q594" s="793">
        <f>IFERROR(INDEX('Hoja de apoyo v2'!E$17:E$20,MATCH($A594,'Hoja de apoyo v2'!$A$17:$A$20,0)),"")</f>
        <v>6982.3202019701848</v>
      </c>
      <c r="R594" s="793">
        <f>IFERROR(INDEX('Hoja de apoyo v2'!F$17:F$20,MATCH($A594,'Hoja de apoyo v2'!$A$17:$A$20,0)),"")</f>
        <v>448.09513474485743</v>
      </c>
      <c r="S594" s="793">
        <f>IFERROR(INDEX('Hoja de apoyo v2'!G$17:G$20,MATCH($A594,'Hoja de apoyo v2'!$A$17:$A$20,0)),"")</f>
        <v>83.406300904207839</v>
      </c>
      <c r="T594" s="792">
        <f>IFERROR(INDEX('Hoja de apoyo v2'!H$17:H$20,MATCH($A594,'Hoja de apoyo v2'!$A$17:$A$20,0)),"")</f>
        <v>378.97014028925349</v>
      </c>
      <c r="U594" s="794">
        <f t="shared" si="328"/>
        <v>0.7816418831971349</v>
      </c>
      <c r="V594" s="795">
        <f t="shared" si="329"/>
        <v>1.0113077940106152</v>
      </c>
      <c r="W594" s="795">
        <f t="shared" si="330"/>
        <v>0.38472094492217235</v>
      </c>
      <c r="X594" s="843">
        <f t="shared" si="331"/>
        <v>1.0910744174597709</v>
      </c>
      <c r="Y594" s="843">
        <f t="shared" si="332"/>
        <v>1.1746404849359371</v>
      </c>
      <c r="Z594" s="843">
        <f t="shared" si="333"/>
        <v>0.3695357974207279</v>
      </c>
      <c r="AA594" s="843">
        <f t="shared" si="334"/>
        <v>0.81077149053443764</v>
      </c>
      <c r="AB594" s="796">
        <f t="shared" si="335"/>
        <v>3</v>
      </c>
      <c r="AC594" s="797">
        <f t="shared" si="336"/>
        <v>4</v>
      </c>
      <c r="AD594" s="797">
        <f t="shared" si="337"/>
        <v>1</v>
      </c>
      <c r="AE594" s="842">
        <f t="shared" si="338"/>
        <v>4</v>
      </c>
      <c r="AF594" s="842">
        <f t="shared" si="339"/>
        <v>4</v>
      </c>
      <c r="AG594" s="842">
        <f t="shared" si="340"/>
        <v>1</v>
      </c>
      <c r="AH594" s="842">
        <f t="shared" si="341"/>
        <v>3</v>
      </c>
      <c r="AI594" s="826" cm="1">
        <f t="array" ref="AI594">SUMPRODUCT(--ISNUMBER($U594:$AA594),$AB$3:$AH$3)</f>
        <v>1</v>
      </c>
      <c r="AJ594" s="829">
        <f t="shared" si="342"/>
        <v>39.711921269373526</v>
      </c>
      <c r="AK594" s="827" t="str">
        <f t="shared" si="343"/>
        <v>Inmadura</v>
      </c>
      <c r="AL594" s="784" t="str">
        <f t="shared" si="344"/>
        <v>Alta</v>
      </c>
      <c r="AM594" s="799">
        <f>IF(ISNUMBER('Base de datos Rutas'!W592),'Base de datos Rutas'!W592,"")</f>
        <v>3293.1144020900269</v>
      </c>
      <c r="AN594" s="787">
        <f>IFERROR(SUMIFS('Base de datos Rutas'!$W$6:$W$794,'Base de datos Rutas'!$C$6:$C$794,$C594)/'Base de datos Rutas'!I592,"")</f>
        <v>3293.1144020900251</v>
      </c>
      <c r="AO594" s="800">
        <f>IFERROR('Base de datos Rutas'!X592*AN594/AM594,"")</f>
        <v>0.47791232590402694</v>
      </c>
      <c r="AP594" s="800">
        <f t="shared" si="345"/>
        <v>0.52208767409597301</v>
      </c>
      <c r="AQ594" s="789">
        <f>IFERROR(INDEX('Hoja de apoyo v2'!$J$17:$J$20,MATCH($A594,'Hoja de apoyo v2'!$A$17:$A$20,0)),"")</f>
        <v>0.64320274048480885</v>
      </c>
      <c r="AR594" s="789">
        <f t="shared" si="346"/>
        <v>-0.12111506638883585</v>
      </c>
      <c r="AS594" s="784" t="str">
        <f t="shared" si="347"/>
        <v>No</v>
      </c>
      <c r="AT594" s="801">
        <f>IF(ISNUMBER('Base de datos Rutas'!CK592),'Base de datos Rutas'!CK592,"")</f>
        <v>366</v>
      </c>
      <c r="AU594" s="802">
        <f>IF(ISNUMBER('Base de datos Rutas'!CL592),'Base de datos Rutas'!CL592,"")</f>
        <v>536.85</v>
      </c>
      <c r="AV594" s="802">
        <f>IF(ISNUMBER('Base de datos Rutas'!CM592),'Base de datos Rutas'!CM592,"")</f>
        <v>170.85000000000002</v>
      </c>
      <c r="AW594" s="802">
        <f>IF(ISNUMBER('Base de datos Rutas'!CN592),'Base de datos Rutas'!CN592,"")</f>
        <v>13.43</v>
      </c>
      <c r="AX594" s="802">
        <f>IF(ISNUMBER('Base de datos Rutas'!CO592),'Base de datos Rutas'!CO592,"")</f>
        <v>9.4499999999999993</v>
      </c>
      <c r="AY594" s="802">
        <f>IF(ISNUMBER('Base de datos Rutas'!CP592),'Base de datos Rutas'!CP592,"")</f>
        <v>-3.9800000000000004</v>
      </c>
      <c r="AZ594" s="802">
        <f>IF(ISNUMBER('Base de datos Rutas'!CQ592),'Base de datos Rutas'!CQ592,"")</f>
        <v>846.56</v>
      </c>
      <c r="BA594" s="802">
        <f>IF(ISNUMBER('Base de datos Rutas'!CR592),'Base de datos Rutas'!CR592,"")</f>
        <v>557.16999999999996</v>
      </c>
      <c r="BB594" s="803">
        <f>IF(ISNUMBER('Base de datos Rutas'!CS592),'Base de datos Rutas'!CS592,"")</f>
        <v>289.39</v>
      </c>
      <c r="BC594" s="804">
        <f t="shared" si="357"/>
        <v>1</v>
      </c>
      <c r="BD594" s="805" t="str">
        <f t="shared" si="358"/>
        <v>Saturada</v>
      </c>
      <c r="BE594" s="806">
        <f t="shared" si="359"/>
        <v>0.6581577206577206</v>
      </c>
      <c r="BF594" s="890">
        <f>IF(ISNUMBER('Base de datos Rutas'!CX592),'Base de datos Rutas'!CX592/100,"")</f>
        <v>0.87394742704388506</v>
      </c>
      <c r="BG594" s="891">
        <f>IF(ISNUMBER('Base de datos Rutas'!CZ592),'Base de datos Rutas'!CZ592/100,"")</f>
        <v>0.91200712853642241</v>
      </c>
      <c r="BH594" s="892">
        <f>IF(ISNUMBER('Base de datos Rutas'!DA592),'Base de datos Rutas'!DA592,"")</f>
        <v>690.87767632005318</v>
      </c>
      <c r="BI594" s="893">
        <f>IF(ISNUMBER('Base de datos Rutas'!DC592),'Base de datos Rutas'!DC592,"")</f>
        <v>32.269489361245533</v>
      </c>
      <c r="BJ594" s="805" t="str">
        <f t="shared" si="360"/>
        <v>Ruta (completo)</v>
      </c>
      <c r="BK594" s="783">
        <f t="shared" si="348"/>
        <v>3</v>
      </c>
      <c r="BL594" s="797">
        <f t="shared" si="349"/>
        <v>3</v>
      </c>
      <c r="BM594" s="797">
        <f t="shared" si="350"/>
        <v>3</v>
      </c>
      <c r="BN594" s="797">
        <f t="shared" si="351"/>
        <v>3</v>
      </c>
      <c r="BO594" s="798" cm="1">
        <f t="array" ref="BO594">SUMPRODUCT(--ISNUMBER($BF594:$BI594),$BK$3:$BN$3)</f>
        <v>1</v>
      </c>
      <c r="BP594" s="831">
        <f t="shared" si="361"/>
        <v>50</v>
      </c>
      <c r="BQ594" s="834" t="str">
        <f t="shared" si="362"/>
        <v>Alto</v>
      </c>
      <c r="BR594" s="836">
        <f t="shared" si="352"/>
        <v>54.783940952030143</v>
      </c>
      <c r="BS594" s="836">
        <f t="shared" si="353"/>
        <v>50</v>
      </c>
      <c r="BT594" s="837" t="str">
        <f t="shared" si="354"/>
        <v>P1</v>
      </c>
      <c r="BU594" s="807" t="str">
        <f t="shared" si="363"/>
        <v>Al tope</v>
      </c>
      <c r="BV594" s="807" t="str">
        <f t="shared" si="355"/>
        <v>Zona atractiva</v>
      </c>
      <c r="BW594" s="808" t="str">
        <f t="shared" si="356"/>
        <v>P1 - Ampliar cobertura</v>
      </c>
    </row>
    <row r="595" spans="1:75">
      <c r="A595" s="780" t="str">
        <f>'Base de datos Rutas'!A593</f>
        <v>Occidente</v>
      </c>
      <c r="B595" s="781" t="str">
        <f>'Base de datos Rutas'!B593</f>
        <v>Favorita</v>
      </c>
      <c r="C595" s="781" t="str">
        <f>'Base de datos Rutas'!C593</f>
        <v>Suc. Santa Maria</v>
      </c>
      <c r="D595" s="782">
        <f>IF(ISNUMBER('Base de datos Rutas'!D593),'Base de datos Rutas'!D593,"Sin código")</f>
        <v>809345</v>
      </c>
      <c r="E595" s="783" t="str">
        <f>'Base de datos Rutas'!F593</f>
        <v>Activa</v>
      </c>
      <c r="F595" s="784" t="str">
        <f>'Base de datos Rutas'!H593</f>
        <v>Sí</v>
      </c>
      <c r="G595" s="785">
        <f>IF(ISNUMBER('Base de datos Rutas'!BE593),'Base de datos Rutas'!BE593,"")</f>
        <v>94.160997732426296</v>
      </c>
      <c r="H595" s="786">
        <f>IF(ISNUMBER('Base de datos Rutas'!BH593),'Base de datos Rutas'!BH593,"")</f>
        <v>0.37066827212522602</v>
      </c>
      <c r="I595" s="788">
        <f>IFERROR(IF(OR(NOT(ISNUMBER('Base de datos Rutas'!O593)),N('Base de datos Rutas'!BK593)=0),"",'Base de datos Rutas'!O593/('Base de datos Rutas'!L593/'Base de datos Rutas'!BK593)),"")</f>
        <v>4324.0748299319694</v>
      </c>
      <c r="J595" s="788">
        <f>IFERROR(IF(OR(NOT(ISNUMBER('Base de datos Rutas'!N593)),N('Base de datos Rutas'!BK593)=0),"",'Base de datos Rutas'!N593/('Base de datos Rutas'!L593/'Base de datos Rutas'!BK593)),"")</f>
        <v>9800.1836734693807</v>
      </c>
      <c r="K595" s="788">
        <f>IFERROR(IF(OR(NOT(ISNUMBER('Base de datos Rutas'!J593)),N('Base de datos Rutas'!BK593)=0),"",'Base de datos Rutas'!J593/('Base de datos Rutas'!L593/'Base de datos Rutas'!BK593)),"")</f>
        <v>667.98601904761847</v>
      </c>
      <c r="L595" s="788">
        <f>IFERROR(IF(OR(NOT(ISNUMBER('Base de datos Rutas'!K593)),N('Base de datos Rutas'!BK593)=0),"",'Base de datos Rutas'!K593/('Base de datos Rutas'!L593/'Base de datos Rutas'!BK593)),"")</f>
        <v>29.47988787981857</v>
      </c>
      <c r="M595" s="787">
        <f>IF(ISNUMBER('Base de datos Rutas'!AX593),'Base de datos Rutas'!AX593,"")</f>
        <v>401.64901442307701</v>
      </c>
      <c r="N595" s="790">
        <f>IFERROR(INDEX('Hoja de apoyo v2'!B$17:B$20,MATCH($A595,'Hoja de apoyo v2'!$A$17:$A$20,0)),"")</f>
        <v>89.41621024641401</v>
      </c>
      <c r="O595" s="791">
        <f>IFERROR(INDEX('Hoja de apoyo v2'!C$17:C$20,MATCH($A595,'Hoja de apoyo v2'!$A$17:$A$20,0)),"")</f>
        <v>0.54706375874806301</v>
      </c>
      <c r="P595" s="793">
        <f>IFERROR(INDEX('Hoja de apoyo v2'!D$17:D$20,MATCH($A595,'Hoja de apoyo v2'!$A$17:$A$20,0)),"")</f>
        <v>11095.153935793827</v>
      </c>
      <c r="Q595" s="793">
        <f>IFERROR(INDEX('Hoja de apoyo v2'!E$17:E$20,MATCH($A595,'Hoja de apoyo v2'!$A$17:$A$20,0)),"")</f>
        <v>6982.3202019701848</v>
      </c>
      <c r="R595" s="793">
        <f>IFERROR(INDEX('Hoja de apoyo v2'!F$17:F$20,MATCH($A595,'Hoja de apoyo v2'!$A$17:$A$20,0)),"")</f>
        <v>448.09513474485743</v>
      </c>
      <c r="S595" s="793">
        <f>IFERROR(INDEX('Hoja de apoyo v2'!G$17:G$20,MATCH($A595,'Hoja de apoyo v2'!$A$17:$A$20,0)),"")</f>
        <v>83.406300904207839</v>
      </c>
      <c r="T595" s="792">
        <f>IFERROR(INDEX('Hoja de apoyo v2'!H$17:H$20,MATCH($A595,'Hoja de apoyo v2'!$A$17:$A$20,0)),"")</f>
        <v>378.97014028925349</v>
      </c>
      <c r="U595" s="794">
        <f t="shared" si="328"/>
        <v>1.0530640638083022</v>
      </c>
      <c r="V595" s="795">
        <f t="shared" si="329"/>
        <v>0.67755954620991143</v>
      </c>
      <c r="W595" s="795">
        <f t="shared" si="330"/>
        <v>0.38972643867356976</v>
      </c>
      <c r="X595" s="843">
        <f t="shared" si="331"/>
        <v>1.4035712184474276</v>
      </c>
      <c r="Y595" s="843">
        <f t="shared" si="332"/>
        <v>1.4907236594478213</v>
      </c>
      <c r="Z595" s="843">
        <f t="shared" si="333"/>
        <v>0.353449170628922</v>
      </c>
      <c r="AA595" s="843">
        <f t="shared" si="334"/>
        <v>1.0598434328269599</v>
      </c>
      <c r="AB595" s="796">
        <f t="shared" si="335"/>
        <v>4</v>
      </c>
      <c r="AC595" s="797">
        <f t="shared" si="336"/>
        <v>2</v>
      </c>
      <c r="AD595" s="797">
        <f t="shared" si="337"/>
        <v>1</v>
      </c>
      <c r="AE595" s="842">
        <f t="shared" si="338"/>
        <v>5</v>
      </c>
      <c r="AF595" s="842">
        <f t="shared" si="339"/>
        <v>5</v>
      </c>
      <c r="AG595" s="842">
        <f t="shared" si="340"/>
        <v>1</v>
      </c>
      <c r="AH595" s="842">
        <f t="shared" si="341"/>
        <v>4</v>
      </c>
      <c r="AI595" s="826" cm="1">
        <f t="array" ref="AI595">SUMPRODUCT(--ISNUMBER($U595:$AA595),$AB$3:$AH$3)</f>
        <v>1</v>
      </c>
      <c r="AJ595" s="829">
        <f t="shared" si="342"/>
        <v>48.05996627431437</v>
      </c>
      <c r="AK595" s="827" t="str">
        <f t="shared" si="343"/>
        <v>En desarrollo</v>
      </c>
      <c r="AL595" s="784" t="str">
        <f t="shared" si="344"/>
        <v>Alta</v>
      </c>
      <c r="AM595" s="799">
        <f>IF(ISNUMBER('Base de datos Rutas'!W593),'Base de datos Rutas'!W593,"")</f>
        <v>3293.1144020900269</v>
      </c>
      <c r="AN595" s="787">
        <f>IFERROR(SUMIFS('Base de datos Rutas'!$W$6:$W$794,'Base de datos Rutas'!$C$6:$C$794,$C595)/'Base de datos Rutas'!I593,"")</f>
        <v>3293.1144020900251</v>
      </c>
      <c r="AO595" s="800">
        <f>IFERROR('Base de datos Rutas'!X593*AN595/AM595,"")</f>
        <v>0.47791232590402694</v>
      </c>
      <c r="AP595" s="800">
        <f t="shared" si="345"/>
        <v>0.52208767409597301</v>
      </c>
      <c r="AQ595" s="789">
        <f>IFERROR(INDEX('Hoja de apoyo v2'!$J$17:$J$20,MATCH($A595,'Hoja de apoyo v2'!$A$17:$A$20,0)),"")</f>
        <v>0.64320274048480885</v>
      </c>
      <c r="AR595" s="789">
        <f t="shared" si="346"/>
        <v>-0.12111506638883585</v>
      </c>
      <c r="AS595" s="784" t="str">
        <f t="shared" si="347"/>
        <v>No</v>
      </c>
      <c r="AT595" s="801">
        <f>IF(ISNUMBER('Base de datos Rutas'!CK593),'Base de datos Rutas'!CK593,"")</f>
        <v>392</v>
      </c>
      <c r="AU595" s="802">
        <f>IF(ISNUMBER('Base de datos Rutas'!CL593),'Base de datos Rutas'!CL593,"")</f>
        <v>454.21</v>
      </c>
      <c r="AV595" s="802">
        <f>IF(ISNUMBER('Base de datos Rutas'!CM593),'Base de datos Rutas'!CM593,"")</f>
        <v>62.20999999999998</v>
      </c>
      <c r="AW595" s="802">
        <f>IF(ISNUMBER('Base de datos Rutas'!CN593),'Base de datos Rutas'!CN593,"")</f>
        <v>6.59</v>
      </c>
      <c r="AX595" s="802">
        <f>IF(ISNUMBER('Base de datos Rutas'!CO593),'Base de datos Rutas'!CO593,"")</f>
        <v>9.4499999999999993</v>
      </c>
      <c r="AY595" s="802">
        <f>IF(ISNUMBER('Base de datos Rutas'!CP593),'Base de datos Rutas'!CP593,"")</f>
        <v>2.8599999999999994</v>
      </c>
      <c r="AZ595" s="802">
        <f>IF(ISNUMBER('Base de datos Rutas'!CQ593),'Base de datos Rutas'!CQ593,"")</f>
        <v>846.56</v>
      </c>
      <c r="BA595" s="802">
        <f>IF(ISNUMBER('Base de datos Rutas'!CR593),'Base de datos Rutas'!CR593,"")</f>
        <v>697.47</v>
      </c>
      <c r="BB595" s="803">
        <f>IF(ISNUMBER('Base de datos Rutas'!CS593),'Base de datos Rutas'!CS593,"")</f>
        <v>149.08999999999992</v>
      </c>
      <c r="BC595" s="804">
        <f t="shared" si="357"/>
        <v>0</v>
      </c>
      <c r="BD595" s="805" t="str">
        <f t="shared" si="358"/>
        <v>No saturada</v>
      </c>
      <c r="BE595" s="806">
        <f t="shared" si="359"/>
        <v>0.82388726138726143</v>
      </c>
      <c r="BF595" s="890">
        <f>IF(ISNUMBER('Base de datos Rutas'!CX593),'Base de datos Rutas'!CX593/100,"")</f>
        <v>0.39881067961165045</v>
      </c>
      <c r="BG595" s="891">
        <f>IF(ISNUMBER('Base de datos Rutas'!CZ593),'Base de datos Rutas'!CZ593/100,"")</f>
        <v>0.41558791801510248</v>
      </c>
      <c r="BH595" s="892">
        <f>IF(ISNUMBER('Base de datos Rutas'!DA593),'Base de datos Rutas'!DA593,"")</f>
        <v>347.02059832210938</v>
      </c>
      <c r="BI595" s="893">
        <f>IF(ISNUMBER('Base de datos Rutas'!DC593),'Base de datos Rutas'!DC593,"")</f>
        <v>17.8014487256678</v>
      </c>
      <c r="BJ595" s="805" t="str">
        <f t="shared" si="360"/>
        <v>Ruta (completo)</v>
      </c>
      <c r="BK595" s="783">
        <f t="shared" si="348"/>
        <v>2</v>
      </c>
      <c r="BL595" s="797">
        <f t="shared" si="349"/>
        <v>2</v>
      </c>
      <c r="BM595" s="797">
        <f t="shared" si="350"/>
        <v>2</v>
      </c>
      <c r="BN595" s="797">
        <f t="shared" si="351"/>
        <v>2</v>
      </c>
      <c r="BO595" s="798" cm="1">
        <f t="array" ref="BO595">SUMPRODUCT(--ISNUMBER($BF595:$BI595),$BK$3:$BN$3)</f>
        <v>1</v>
      </c>
      <c r="BP595" s="831">
        <f t="shared" si="361"/>
        <v>25</v>
      </c>
      <c r="BQ595" s="834" t="str">
        <f t="shared" si="362"/>
        <v>Medio</v>
      </c>
      <c r="BR595" s="836">
        <f t="shared" si="352"/>
        <v>36.044974705735775</v>
      </c>
      <c r="BS595" s="836">
        <f t="shared" si="353"/>
        <v>25</v>
      </c>
      <c r="BT595" s="837" t="str">
        <f t="shared" si="354"/>
        <v>P2</v>
      </c>
      <c r="BU595" s="807" t="str">
        <f t="shared" si="363"/>
        <v>Con espacio</v>
      </c>
      <c r="BV595" s="807" t="str">
        <f t="shared" si="355"/>
        <v>Zona de bajo potencial</v>
      </c>
      <c r="BW595" s="808" t="str">
        <f t="shared" si="356"/>
        <v>P2 - Mantener</v>
      </c>
    </row>
    <row r="596" spans="1:75">
      <c r="A596" s="780" t="str">
        <f>'Base de datos Rutas'!A594</f>
        <v>Occidente</v>
      </c>
      <c r="B596" s="781" t="str">
        <f>'Base de datos Rutas'!B594</f>
        <v>Favorita</v>
      </c>
      <c r="C596" s="781" t="str">
        <f>'Base de datos Rutas'!C594</f>
        <v>Suc. Santa Maria</v>
      </c>
      <c r="D596" s="782">
        <f>IF(ISNUMBER('Base de datos Rutas'!D594),'Base de datos Rutas'!D594,"Sin código")</f>
        <v>809346</v>
      </c>
      <c r="E596" s="783" t="str">
        <f>'Base de datos Rutas'!F594</f>
        <v>Activa</v>
      </c>
      <c r="F596" s="784" t="str">
        <f>'Base de datos Rutas'!H594</f>
        <v>Sí</v>
      </c>
      <c r="G596" s="785">
        <f>IF(ISNUMBER('Base de datos Rutas'!BE594),'Base de datos Rutas'!BE594,"")</f>
        <v>76.537931034482796</v>
      </c>
      <c r="H596" s="786">
        <f>IF(ISNUMBER('Base de datos Rutas'!BH594),'Base de datos Rutas'!BH594,"")</f>
        <v>0.57253559199855797</v>
      </c>
      <c r="I596" s="788">
        <f>IFERROR(IF(OR(NOT(ISNUMBER('Base de datos Rutas'!O594)),N('Base de datos Rutas'!BK594)=0),"",'Base de datos Rutas'!O594/('Base de datos Rutas'!L594/'Base de datos Rutas'!BK594)),"")</f>
        <v>4044.5517241379225</v>
      </c>
      <c r="J596" s="788">
        <f>IFERROR(IF(OR(NOT(ISNUMBER('Base de datos Rutas'!N594)),N('Base de datos Rutas'!BK594)=0),"",'Base de datos Rutas'!N594/('Base de datos Rutas'!L594/'Base de datos Rutas'!BK594)),"")</f>
        <v>7329.4620689655021</v>
      </c>
      <c r="K596" s="788">
        <f>IFERROR(IF(OR(NOT(ISNUMBER('Base de datos Rutas'!J594)),N('Base de datos Rutas'!BK594)=0),"",'Base de datos Rutas'!J594/('Base de datos Rutas'!L594/'Base de datos Rutas'!BK594)),"")</f>
        <v>501.92175632183807</v>
      </c>
      <c r="L596" s="788">
        <f>IFERROR(IF(OR(NOT(ISNUMBER('Base de datos Rutas'!K594)),N('Base de datos Rutas'!BK594)=0),"",'Base de datos Rutas'!K594/('Base de datos Rutas'!L594/'Base de datos Rutas'!BK594)),"")</f>
        <v>27.374706321839025</v>
      </c>
      <c r="M596" s="787">
        <f>IF(ISNUMBER('Base de datos Rutas'!AX594),'Base de datos Rutas'!AX594,"")</f>
        <v>259.55809883537898</v>
      </c>
      <c r="N596" s="790">
        <f>IFERROR(INDEX('Hoja de apoyo v2'!B$17:B$20,MATCH($A596,'Hoja de apoyo v2'!$A$17:$A$20,0)),"")</f>
        <v>89.41621024641401</v>
      </c>
      <c r="O596" s="791">
        <f>IFERROR(INDEX('Hoja de apoyo v2'!C$17:C$20,MATCH($A596,'Hoja de apoyo v2'!$A$17:$A$20,0)),"")</f>
        <v>0.54706375874806301</v>
      </c>
      <c r="P596" s="793">
        <f>IFERROR(INDEX('Hoja de apoyo v2'!D$17:D$20,MATCH($A596,'Hoja de apoyo v2'!$A$17:$A$20,0)),"")</f>
        <v>11095.153935793827</v>
      </c>
      <c r="Q596" s="793">
        <f>IFERROR(INDEX('Hoja de apoyo v2'!E$17:E$20,MATCH($A596,'Hoja de apoyo v2'!$A$17:$A$20,0)),"")</f>
        <v>6982.3202019701848</v>
      </c>
      <c r="R596" s="793">
        <f>IFERROR(INDEX('Hoja de apoyo v2'!F$17:F$20,MATCH($A596,'Hoja de apoyo v2'!$A$17:$A$20,0)),"")</f>
        <v>448.09513474485743</v>
      </c>
      <c r="S596" s="793">
        <f>IFERROR(INDEX('Hoja de apoyo v2'!G$17:G$20,MATCH($A596,'Hoja de apoyo v2'!$A$17:$A$20,0)),"")</f>
        <v>83.406300904207839</v>
      </c>
      <c r="T596" s="792">
        <f>IFERROR(INDEX('Hoja de apoyo v2'!H$17:H$20,MATCH($A596,'Hoja de apoyo v2'!$A$17:$A$20,0)),"")</f>
        <v>378.97014028925349</v>
      </c>
      <c r="U596" s="794">
        <f t="shared" si="328"/>
        <v>0.85597377504100058</v>
      </c>
      <c r="V596" s="795">
        <f t="shared" si="329"/>
        <v>1.0465609955753354</v>
      </c>
      <c r="W596" s="795">
        <f t="shared" si="330"/>
        <v>0.36453317795707951</v>
      </c>
      <c r="X596" s="843">
        <f t="shared" si="331"/>
        <v>1.0497172654581732</v>
      </c>
      <c r="Y596" s="843">
        <f t="shared" si="332"/>
        <v>1.120123200194149</v>
      </c>
      <c r="Z596" s="843">
        <f t="shared" si="333"/>
        <v>0.32820909241951496</v>
      </c>
      <c r="AA596" s="843">
        <f t="shared" si="334"/>
        <v>0.6849038255026324</v>
      </c>
      <c r="AB596" s="796">
        <f t="shared" si="335"/>
        <v>3</v>
      </c>
      <c r="AC596" s="797">
        <f t="shared" si="336"/>
        <v>4</v>
      </c>
      <c r="AD596" s="797">
        <f t="shared" si="337"/>
        <v>1</v>
      </c>
      <c r="AE596" s="842">
        <f t="shared" si="338"/>
        <v>4</v>
      </c>
      <c r="AF596" s="842">
        <f t="shared" si="339"/>
        <v>4</v>
      </c>
      <c r="AG596" s="842">
        <f t="shared" si="340"/>
        <v>1</v>
      </c>
      <c r="AH596" s="842">
        <f t="shared" si="341"/>
        <v>2</v>
      </c>
      <c r="AI596" s="826" cm="1">
        <f t="array" ref="AI596">SUMPRODUCT(--ISNUMBER($U596:$AA596),$AB$3:$AH$3)</f>
        <v>1</v>
      </c>
      <c r="AJ596" s="829">
        <f t="shared" si="342"/>
        <v>37.467193429046965</v>
      </c>
      <c r="AK596" s="827" t="str">
        <f t="shared" si="343"/>
        <v>Inmadura</v>
      </c>
      <c r="AL596" s="784" t="str">
        <f t="shared" si="344"/>
        <v>Alta</v>
      </c>
      <c r="AM596" s="799">
        <f>IF(ISNUMBER('Base de datos Rutas'!W594),'Base de datos Rutas'!W594,"")</f>
        <v>3293.1144020900269</v>
      </c>
      <c r="AN596" s="787">
        <f>IFERROR(SUMIFS('Base de datos Rutas'!$W$6:$W$794,'Base de datos Rutas'!$C$6:$C$794,$C596)/'Base de datos Rutas'!I594,"")</f>
        <v>3293.1144020900251</v>
      </c>
      <c r="AO596" s="800">
        <f>IFERROR('Base de datos Rutas'!X594*AN596/AM596,"")</f>
        <v>0.47791232590402694</v>
      </c>
      <c r="AP596" s="800">
        <f t="shared" si="345"/>
        <v>0.52208767409597301</v>
      </c>
      <c r="AQ596" s="789">
        <f>IFERROR(INDEX('Hoja de apoyo v2'!$J$17:$J$20,MATCH($A596,'Hoja de apoyo v2'!$A$17:$A$20,0)),"")</f>
        <v>0.64320274048480885</v>
      </c>
      <c r="AR596" s="789">
        <f t="shared" si="346"/>
        <v>-0.12111506638883585</v>
      </c>
      <c r="AS596" s="784" t="str">
        <f t="shared" si="347"/>
        <v>No</v>
      </c>
      <c r="AT596" s="801">
        <f>IF(ISNUMBER('Base de datos Rutas'!CK594),'Base de datos Rutas'!CK594,"")</f>
        <v>316</v>
      </c>
      <c r="AU596" s="802">
        <f>IF(ISNUMBER('Base de datos Rutas'!CL594),'Base de datos Rutas'!CL594,"")</f>
        <v>455.3</v>
      </c>
      <c r="AV596" s="802">
        <f>IF(ISNUMBER('Base de datos Rutas'!CM594),'Base de datos Rutas'!CM594,"")</f>
        <v>139.30000000000001</v>
      </c>
      <c r="AW596" s="802">
        <f>IF(ISNUMBER('Base de datos Rutas'!CN594),'Base de datos Rutas'!CN594,"")</f>
        <v>7.41</v>
      </c>
      <c r="AX596" s="802">
        <f>IF(ISNUMBER('Base de datos Rutas'!CO594),'Base de datos Rutas'!CO594,"")</f>
        <v>9.4499999999999993</v>
      </c>
      <c r="AY596" s="802">
        <f>IF(ISNUMBER('Base de datos Rutas'!CP594),'Base de datos Rutas'!CP594,"")</f>
        <v>2.0399999999999991</v>
      </c>
      <c r="AZ596" s="802">
        <f>IF(ISNUMBER('Base de datos Rutas'!CQ594),'Base de datos Rutas'!CQ594,"")</f>
        <v>846.56</v>
      </c>
      <c r="BA596" s="802">
        <f>IF(ISNUMBER('Base de datos Rutas'!CR594),'Base de datos Rutas'!CR594,"")</f>
        <v>529.29999999999995</v>
      </c>
      <c r="BB596" s="803">
        <f>IF(ISNUMBER('Base de datos Rutas'!CS594),'Base de datos Rutas'!CS594,"")</f>
        <v>317.26</v>
      </c>
      <c r="BC596" s="804">
        <f t="shared" si="357"/>
        <v>0</v>
      </c>
      <c r="BD596" s="805" t="str">
        <f t="shared" si="358"/>
        <v>No saturada</v>
      </c>
      <c r="BE596" s="806">
        <f t="shared" si="359"/>
        <v>0.62523625023625018</v>
      </c>
      <c r="BF596" s="890">
        <f>IF(ISNUMBER('Base de datos Rutas'!CX594),'Base de datos Rutas'!CX594/100,"")</f>
        <v>0.95923324553702072</v>
      </c>
      <c r="BG596" s="891">
        <f>IF(ISNUMBER('Base de datos Rutas'!CZ594),'Base de datos Rutas'!CZ594/100,"")</f>
        <v>1</v>
      </c>
      <c r="BH596" s="892">
        <f>IF(ISNUMBER('Base de datos Rutas'!DA594),'Base de datos Rutas'!DA594,"")</f>
        <v>732.44755504316288</v>
      </c>
      <c r="BI596" s="893">
        <f>IF(ISNUMBER('Base de datos Rutas'!DC594),'Base de datos Rutas'!DC594,"")</f>
        <v>33.658957343306248</v>
      </c>
      <c r="BJ596" s="805" t="str">
        <f t="shared" si="360"/>
        <v>Ruta (completo)</v>
      </c>
      <c r="BK596" s="783">
        <f t="shared" si="348"/>
        <v>5</v>
      </c>
      <c r="BL596" s="797">
        <f t="shared" si="349"/>
        <v>3</v>
      </c>
      <c r="BM596" s="797">
        <f t="shared" si="350"/>
        <v>3</v>
      </c>
      <c r="BN596" s="797">
        <f t="shared" si="351"/>
        <v>3</v>
      </c>
      <c r="BO596" s="798" cm="1">
        <f t="array" ref="BO596">SUMPRODUCT(--ISNUMBER($BF596:$BI596),$BK$3:$BN$3)</f>
        <v>1</v>
      </c>
      <c r="BP596" s="831">
        <f t="shared" si="361"/>
        <v>62.5</v>
      </c>
      <c r="BQ596" s="834" t="str">
        <f t="shared" si="362"/>
        <v>Alto</v>
      </c>
      <c r="BR596" s="836">
        <f t="shared" si="352"/>
        <v>28.100395071785222</v>
      </c>
      <c r="BS596" s="836">
        <f t="shared" si="353"/>
        <v>62.5</v>
      </c>
      <c r="BT596" s="837" t="str">
        <f t="shared" si="354"/>
        <v>P3</v>
      </c>
      <c r="BU596" s="807" t="str">
        <f t="shared" si="363"/>
        <v>Con espacio</v>
      </c>
      <c r="BV596" s="807" t="str">
        <f t="shared" si="355"/>
        <v>Zona atractiva</v>
      </c>
      <c r="BW596" s="808" t="str">
        <f t="shared" si="356"/>
        <v>P3 - Desarrollar</v>
      </c>
    </row>
    <row r="597" spans="1:75">
      <c r="A597" s="780" t="str">
        <f>'Base de datos Rutas'!A595</f>
        <v>Occidente</v>
      </c>
      <c r="B597" s="781" t="str">
        <f>'Base de datos Rutas'!B595</f>
        <v>Favorita</v>
      </c>
      <c r="C597" s="781" t="str">
        <f>'Base de datos Rutas'!C595</f>
        <v>Suc. Santa Maria</v>
      </c>
      <c r="D597" s="782">
        <f>IF(ISNUMBER('Base de datos Rutas'!D595),'Base de datos Rutas'!D595,"Sin código")</f>
        <v>809347</v>
      </c>
      <c r="E597" s="783" t="str">
        <f>'Base de datos Rutas'!F595</f>
        <v>Activa</v>
      </c>
      <c r="F597" s="784" t="str">
        <f>'Base de datos Rutas'!H595</f>
        <v>Sí</v>
      </c>
      <c r="G597" s="785">
        <f>IF(ISNUMBER('Base de datos Rutas'!BE595),'Base de datos Rutas'!BE595,"")</f>
        <v>52.6620689655172</v>
      </c>
      <c r="H597" s="786">
        <f>IF(ISNUMBER('Base de datos Rutas'!BH595),'Base de datos Rutas'!BH595,"")</f>
        <v>0.33298411035446102</v>
      </c>
      <c r="I597" s="788">
        <f>IFERROR(IF(OR(NOT(ISNUMBER('Base de datos Rutas'!O595)),N('Base de datos Rutas'!BK595)=0),"",'Base de datos Rutas'!O595/('Base de datos Rutas'!L595/'Base de datos Rutas'!BK595)),"")</f>
        <v>4569.1195402298799</v>
      </c>
      <c r="J597" s="788">
        <f>IFERROR(IF(OR(NOT(ISNUMBER('Base de datos Rutas'!N595)),N('Base de datos Rutas'!BK595)=0),"",'Base de datos Rutas'!N595/('Base de datos Rutas'!L595/'Base de datos Rutas'!BK595)),"")</f>
        <v>8417.039080459761</v>
      </c>
      <c r="K597" s="788">
        <f>IFERROR(IF(OR(NOT(ISNUMBER('Base de datos Rutas'!J595)),N('Base de datos Rutas'!BK595)=0),"",'Base de datos Rutas'!J595/('Base de datos Rutas'!L595/'Base de datos Rutas'!BK595)),"")</f>
        <v>580.81541885057402</v>
      </c>
      <c r="L597" s="788">
        <f>IFERROR(IF(OR(NOT(ISNUMBER('Base de datos Rutas'!K595)),N('Base de datos Rutas'!BK595)=0),"",'Base de datos Rutas'!K595/('Base de datos Rutas'!L595/'Base de datos Rutas'!BK595)),"")</f>
        <v>32.558369367816056</v>
      </c>
      <c r="M597" s="787">
        <f>IF(ISNUMBER('Base de datos Rutas'!AX595),'Base de datos Rutas'!AX595,"")</f>
        <v>740.55840456214003</v>
      </c>
      <c r="N597" s="790">
        <f>IFERROR(INDEX('Hoja de apoyo v2'!B$17:B$20,MATCH($A597,'Hoja de apoyo v2'!$A$17:$A$20,0)),"")</f>
        <v>89.41621024641401</v>
      </c>
      <c r="O597" s="791">
        <f>IFERROR(INDEX('Hoja de apoyo v2'!C$17:C$20,MATCH($A597,'Hoja de apoyo v2'!$A$17:$A$20,0)),"")</f>
        <v>0.54706375874806301</v>
      </c>
      <c r="P597" s="793">
        <f>IFERROR(INDEX('Hoja de apoyo v2'!D$17:D$20,MATCH($A597,'Hoja de apoyo v2'!$A$17:$A$20,0)),"")</f>
        <v>11095.153935793827</v>
      </c>
      <c r="Q597" s="793">
        <f>IFERROR(INDEX('Hoja de apoyo v2'!E$17:E$20,MATCH($A597,'Hoja de apoyo v2'!$A$17:$A$20,0)),"")</f>
        <v>6982.3202019701848</v>
      </c>
      <c r="R597" s="793">
        <f>IFERROR(INDEX('Hoja de apoyo v2'!F$17:F$20,MATCH($A597,'Hoja de apoyo v2'!$A$17:$A$20,0)),"")</f>
        <v>448.09513474485743</v>
      </c>
      <c r="S597" s="793">
        <f>IFERROR(INDEX('Hoja de apoyo v2'!G$17:G$20,MATCH($A597,'Hoja de apoyo v2'!$A$17:$A$20,0)),"")</f>
        <v>83.406300904207839</v>
      </c>
      <c r="T597" s="792">
        <f>IFERROR(INDEX('Hoja de apoyo v2'!H$17:H$20,MATCH($A597,'Hoja de apoyo v2'!$A$17:$A$20,0)),"")</f>
        <v>378.97014028925349</v>
      </c>
      <c r="U597" s="794">
        <f t="shared" si="328"/>
        <v>0.58895438333150762</v>
      </c>
      <c r="V597" s="795">
        <f t="shared" si="329"/>
        <v>0.60867514074864681</v>
      </c>
      <c r="W597" s="795">
        <f t="shared" si="330"/>
        <v>0.41181218094591243</v>
      </c>
      <c r="X597" s="843">
        <f t="shared" si="331"/>
        <v>1.2054788146330992</v>
      </c>
      <c r="Y597" s="843">
        <f t="shared" si="332"/>
        <v>1.2961877374126962</v>
      </c>
      <c r="Z597" s="843">
        <f t="shared" si="333"/>
        <v>0.39035863016163913</v>
      </c>
      <c r="AA597" s="843">
        <f t="shared" si="334"/>
        <v>1.9541339167167628</v>
      </c>
      <c r="AB597" s="796">
        <f t="shared" si="335"/>
        <v>2</v>
      </c>
      <c r="AC597" s="797">
        <f t="shared" si="336"/>
        <v>2</v>
      </c>
      <c r="AD597" s="797">
        <f t="shared" si="337"/>
        <v>1</v>
      </c>
      <c r="AE597" s="842">
        <f t="shared" si="338"/>
        <v>4</v>
      </c>
      <c r="AF597" s="842">
        <f t="shared" si="339"/>
        <v>5</v>
      </c>
      <c r="AG597" s="842">
        <f t="shared" si="340"/>
        <v>1</v>
      </c>
      <c r="AH597" s="842">
        <f t="shared" si="341"/>
        <v>5</v>
      </c>
      <c r="AI597" s="826" cm="1">
        <f t="array" ref="AI597">SUMPRODUCT(--ISNUMBER($U597:$AA597),$AB$3:$AH$3)</f>
        <v>1</v>
      </c>
      <c r="AJ597" s="829">
        <f t="shared" si="342"/>
        <v>37.827974112148731</v>
      </c>
      <c r="AK597" s="827" t="str">
        <f t="shared" si="343"/>
        <v>Inmadura</v>
      </c>
      <c r="AL597" s="784" t="str">
        <f t="shared" si="344"/>
        <v>Alta</v>
      </c>
      <c r="AM597" s="799">
        <f>IF(ISNUMBER('Base de datos Rutas'!W595),'Base de datos Rutas'!W595,"")</f>
        <v>3293.1144020900269</v>
      </c>
      <c r="AN597" s="787">
        <f>IFERROR(SUMIFS('Base de datos Rutas'!$W$6:$W$794,'Base de datos Rutas'!$C$6:$C$794,$C597)/'Base de datos Rutas'!I595,"")</f>
        <v>3293.1144020900251</v>
      </c>
      <c r="AO597" s="800">
        <f>IFERROR('Base de datos Rutas'!X595*AN597/AM597,"")</f>
        <v>0.47791232590402694</v>
      </c>
      <c r="AP597" s="800">
        <f t="shared" si="345"/>
        <v>0.52208767409597301</v>
      </c>
      <c r="AQ597" s="789">
        <f>IFERROR(INDEX('Hoja de apoyo v2'!$J$17:$J$20,MATCH($A597,'Hoja de apoyo v2'!$A$17:$A$20,0)),"")</f>
        <v>0.64320274048480885</v>
      </c>
      <c r="AR597" s="789">
        <f t="shared" si="346"/>
        <v>-0.12111506638883585</v>
      </c>
      <c r="AS597" s="784" t="str">
        <f t="shared" si="347"/>
        <v>No</v>
      </c>
      <c r="AT597" s="801">
        <f>IF(ISNUMBER('Base de datos Rutas'!CK595),'Base de datos Rutas'!CK595,"")</f>
        <v>169</v>
      </c>
      <c r="AU597" s="802">
        <f>IF(ISNUMBER('Base de datos Rutas'!CL595),'Base de datos Rutas'!CL595,"")</f>
        <v>352.75</v>
      </c>
      <c r="AV597" s="802">
        <f>IF(ISNUMBER('Base de datos Rutas'!CM595),'Base de datos Rutas'!CM595,"")</f>
        <v>183.75</v>
      </c>
      <c r="AW597" s="802">
        <f>IF(ISNUMBER('Base de datos Rutas'!CN595),'Base de datos Rutas'!CN595,"")</f>
        <v>5.14</v>
      </c>
      <c r="AX597" s="802">
        <f>IF(ISNUMBER('Base de datos Rutas'!CO595),'Base de datos Rutas'!CO595,"")</f>
        <v>9.4499999999999993</v>
      </c>
      <c r="AY597" s="802">
        <f>IF(ISNUMBER('Base de datos Rutas'!CP595),'Base de datos Rutas'!CP595,"")</f>
        <v>4.3099999999999996</v>
      </c>
      <c r="AZ597" s="802">
        <f>IF(ISNUMBER('Base de datos Rutas'!CQ595),'Base de datos Rutas'!CQ595,"")</f>
        <v>846.56</v>
      </c>
      <c r="BA597" s="802">
        <f>IF(ISNUMBER('Base de datos Rutas'!CR595),'Base de datos Rutas'!CR595,"")</f>
        <v>613.37</v>
      </c>
      <c r="BB597" s="803">
        <f>IF(ISNUMBER('Base de datos Rutas'!CS595),'Base de datos Rutas'!CS595,"")</f>
        <v>233.18999999999994</v>
      </c>
      <c r="BC597" s="804">
        <f t="shared" si="357"/>
        <v>0</v>
      </c>
      <c r="BD597" s="805" t="str">
        <f t="shared" si="358"/>
        <v>No saturada</v>
      </c>
      <c r="BE597" s="806">
        <f t="shared" si="359"/>
        <v>0.72454403704403714</v>
      </c>
      <c r="BF597" s="890">
        <f>IF(ISNUMBER('Base de datos Rutas'!CX595),'Base de datos Rutas'!CX595/100,"")</f>
        <v>0.92177522349936136</v>
      </c>
      <c r="BG597" s="891">
        <f>IF(ISNUMBER('Base de datos Rutas'!CZ595),'Base de datos Rutas'!CZ595/100,"")</f>
        <v>1</v>
      </c>
      <c r="BH597" s="892">
        <f>IF(ISNUMBER('Base de datos Rutas'!DA595),'Base de datos Rutas'!DA595,"")</f>
        <v>806.53086960813346</v>
      </c>
      <c r="BI597" s="893">
        <f>IF(ISNUMBER('Base de datos Rutas'!DC595),'Base de datos Rutas'!DC595,"")</f>
        <v>38.484872174513868</v>
      </c>
      <c r="BJ597" s="805" t="str">
        <f t="shared" si="360"/>
        <v>Ruta (completo)</v>
      </c>
      <c r="BK597" s="783">
        <f t="shared" si="348"/>
        <v>4</v>
      </c>
      <c r="BL597" s="797">
        <f t="shared" si="349"/>
        <v>3</v>
      </c>
      <c r="BM597" s="797">
        <f t="shared" si="350"/>
        <v>4</v>
      </c>
      <c r="BN597" s="797">
        <f t="shared" si="351"/>
        <v>4</v>
      </c>
      <c r="BO597" s="798" cm="1">
        <f t="array" ref="BO597">SUMPRODUCT(--ISNUMBER($BF597:$BI597),$BK$3:$BN$3)</f>
        <v>1</v>
      </c>
      <c r="BP597" s="831">
        <f t="shared" si="361"/>
        <v>68.75</v>
      </c>
      <c r="BQ597" s="834" t="str">
        <f t="shared" si="362"/>
        <v>Alto</v>
      </c>
      <c r="BR597" s="836">
        <f t="shared" si="352"/>
        <v>28.37098058411155</v>
      </c>
      <c r="BS597" s="836">
        <f t="shared" si="353"/>
        <v>68.75</v>
      </c>
      <c r="BT597" s="837" t="str">
        <f t="shared" si="354"/>
        <v>P3</v>
      </c>
      <c r="BU597" s="807" t="str">
        <f t="shared" si="363"/>
        <v>Con espacio</v>
      </c>
      <c r="BV597" s="807" t="str">
        <f t="shared" si="355"/>
        <v>Zona atractiva</v>
      </c>
      <c r="BW597" s="808" t="str">
        <f t="shared" si="356"/>
        <v>P3 - Desarrollar</v>
      </c>
    </row>
    <row r="598" spans="1:75">
      <c r="A598" s="780" t="str">
        <f>'Base de datos Rutas'!A596</f>
        <v>Occidente</v>
      </c>
      <c r="B598" s="781" t="str">
        <f>'Base de datos Rutas'!B596</f>
        <v>Favorita</v>
      </c>
      <c r="C598" s="781" t="str">
        <f>'Base de datos Rutas'!C596</f>
        <v>Suc. Santa Maria</v>
      </c>
      <c r="D598" s="782">
        <f>IF(ISNUMBER('Base de datos Rutas'!D596),'Base de datos Rutas'!D596,"Sin código")</f>
        <v>809348</v>
      </c>
      <c r="E598" s="783" t="str">
        <f>'Base de datos Rutas'!F596</f>
        <v>Activa</v>
      </c>
      <c r="F598" s="784" t="str">
        <f>'Base de datos Rutas'!H596</f>
        <v>Sí</v>
      </c>
      <c r="G598" s="785">
        <f>IF(ISNUMBER('Base de datos Rutas'!BE596),'Base de datos Rutas'!BE596,"")</f>
        <v>99.196759259259295</v>
      </c>
      <c r="H598" s="786">
        <f>IF(ISNUMBER('Base de datos Rutas'!BH596),'Base de datos Rutas'!BH596,"")</f>
        <v>0.400578722609852</v>
      </c>
      <c r="I598" s="788">
        <f>IFERROR(IF(OR(NOT(ISNUMBER('Base de datos Rutas'!O596)),N('Base de datos Rutas'!BK596)=0),"",'Base de datos Rutas'!O596/('Base de datos Rutas'!L596/'Base de datos Rutas'!BK596)),"")</f>
        <v>3768.2569444444362</v>
      </c>
      <c r="J598" s="788">
        <f>IFERROR(IF(OR(NOT(ISNUMBER('Base de datos Rutas'!N596)),N('Base de datos Rutas'!BK596)=0),"",'Base de datos Rutas'!N596/('Base de datos Rutas'!L596/'Base de datos Rutas'!BK596)),"")</f>
        <v>6754.6180555555402</v>
      </c>
      <c r="K598" s="788">
        <f>IFERROR(IF(OR(NOT(ISNUMBER('Base de datos Rutas'!J596)),N('Base de datos Rutas'!BK596)=0),"",'Base de datos Rutas'!J596/('Base de datos Rutas'!L596/'Base de datos Rutas'!BK596)),"")</f>
        <v>460.553799999999</v>
      </c>
      <c r="L598" s="788">
        <f>IFERROR(IF(OR(NOT(ISNUMBER('Base de datos Rutas'!K596)),N('Base de datos Rutas'!BK596)=0),"",'Base de datos Rutas'!K596/('Base de datos Rutas'!L596/'Base de datos Rutas'!BK596)),"")</f>
        <v>25.200606361111056</v>
      </c>
      <c r="M598" s="787">
        <f>IF(ISNUMBER('Base de datos Rutas'!AX596),'Base de datos Rutas'!AX596,"")</f>
        <v>264.81894442502602</v>
      </c>
      <c r="N598" s="790">
        <f>IFERROR(INDEX('Hoja de apoyo v2'!B$17:B$20,MATCH($A598,'Hoja de apoyo v2'!$A$17:$A$20,0)),"")</f>
        <v>89.41621024641401</v>
      </c>
      <c r="O598" s="791">
        <f>IFERROR(INDEX('Hoja de apoyo v2'!C$17:C$20,MATCH($A598,'Hoja de apoyo v2'!$A$17:$A$20,0)),"")</f>
        <v>0.54706375874806301</v>
      </c>
      <c r="P598" s="793">
        <f>IFERROR(INDEX('Hoja de apoyo v2'!D$17:D$20,MATCH($A598,'Hoja de apoyo v2'!$A$17:$A$20,0)),"")</f>
        <v>11095.153935793827</v>
      </c>
      <c r="Q598" s="793">
        <f>IFERROR(INDEX('Hoja de apoyo v2'!E$17:E$20,MATCH($A598,'Hoja de apoyo v2'!$A$17:$A$20,0)),"")</f>
        <v>6982.3202019701848</v>
      </c>
      <c r="R598" s="793">
        <f>IFERROR(INDEX('Hoja de apoyo v2'!F$17:F$20,MATCH($A598,'Hoja de apoyo v2'!$A$17:$A$20,0)),"")</f>
        <v>448.09513474485743</v>
      </c>
      <c r="S598" s="793">
        <f>IFERROR(INDEX('Hoja de apoyo v2'!G$17:G$20,MATCH($A598,'Hoja de apoyo v2'!$A$17:$A$20,0)),"")</f>
        <v>83.406300904207839</v>
      </c>
      <c r="T598" s="792">
        <f>IFERROR(INDEX('Hoja de apoyo v2'!H$17:H$20,MATCH($A598,'Hoja de apoyo v2'!$A$17:$A$20,0)),"")</f>
        <v>378.97014028925349</v>
      </c>
      <c r="U598" s="794">
        <f t="shared" si="328"/>
        <v>1.109382280750794</v>
      </c>
      <c r="V598" s="795">
        <f t="shared" si="329"/>
        <v>0.73223406998585128</v>
      </c>
      <c r="W598" s="795">
        <f t="shared" si="330"/>
        <v>0.33963088446098499</v>
      </c>
      <c r="X598" s="843">
        <f t="shared" si="331"/>
        <v>0.96738875619734621</v>
      </c>
      <c r="Y598" s="843">
        <f t="shared" si="332"/>
        <v>1.0278036164401461</v>
      </c>
      <c r="Z598" s="843">
        <f t="shared" si="333"/>
        <v>0.30214271689202427</v>
      </c>
      <c r="AA598" s="843">
        <f t="shared" si="334"/>
        <v>0.69878577827503718</v>
      </c>
      <c r="AB598" s="796">
        <f t="shared" si="335"/>
        <v>4</v>
      </c>
      <c r="AC598" s="797">
        <f t="shared" si="336"/>
        <v>2</v>
      </c>
      <c r="AD598" s="797">
        <f t="shared" si="337"/>
        <v>1</v>
      </c>
      <c r="AE598" s="842">
        <f t="shared" si="338"/>
        <v>3</v>
      </c>
      <c r="AF598" s="842">
        <f t="shared" si="339"/>
        <v>4</v>
      </c>
      <c r="AG598" s="842">
        <f t="shared" si="340"/>
        <v>1</v>
      </c>
      <c r="AH598" s="842">
        <f t="shared" si="341"/>
        <v>2</v>
      </c>
      <c r="AI598" s="826" cm="1">
        <f t="array" ref="AI598">SUMPRODUCT(--ISNUMBER($U598:$AA598),$AB$3:$AH$3)</f>
        <v>1</v>
      </c>
      <c r="AJ598" s="829">
        <f t="shared" si="342"/>
        <v>33.825570789184056</v>
      </c>
      <c r="AK598" s="827" t="str">
        <f t="shared" si="343"/>
        <v>Inmadura</v>
      </c>
      <c r="AL598" s="784" t="str">
        <f t="shared" si="344"/>
        <v>Alta</v>
      </c>
      <c r="AM598" s="799">
        <f>IF(ISNUMBER('Base de datos Rutas'!W596),'Base de datos Rutas'!W596,"")</f>
        <v>3293.1144020900269</v>
      </c>
      <c r="AN598" s="787">
        <f>IFERROR(SUMIFS('Base de datos Rutas'!$W$6:$W$794,'Base de datos Rutas'!$C$6:$C$794,$C598)/'Base de datos Rutas'!I596,"")</f>
        <v>3293.1144020900251</v>
      </c>
      <c r="AO598" s="800">
        <f>IFERROR('Base de datos Rutas'!X596*AN598/AM598,"")</f>
        <v>0.47791232590402694</v>
      </c>
      <c r="AP598" s="800">
        <f t="shared" si="345"/>
        <v>0.52208767409597301</v>
      </c>
      <c r="AQ598" s="789">
        <f>IFERROR(INDEX('Hoja de apoyo v2'!$J$17:$J$20,MATCH($A598,'Hoja de apoyo v2'!$A$17:$A$20,0)),"")</f>
        <v>0.64320274048480885</v>
      </c>
      <c r="AR598" s="789">
        <f t="shared" si="346"/>
        <v>-0.12111506638883585</v>
      </c>
      <c r="AS598" s="784" t="str">
        <f t="shared" si="347"/>
        <v>No</v>
      </c>
      <c r="AT598" s="801">
        <f>IF(ISNUMBER('Base de datos Rutas'!CK596),'Base de datos Rutas'!CK596,"")</f>
        <v>320</v>
      </c>
      <c r="AU598" s="802">
        <f>IF(ISNUMBER('Base de datos Rutas'!CL596),'Base de datos Rutas'!CL596,"")</f>
        <v>393.62</v>
      </c>
      <c r="AV598" s="802">
        <f>IF(ISNUMBER('Base de datos Rutas'!CM596),'Base de datos Rutas'!CM596,"")</f>
        <v>73.62</v>
      </c>
      <c r="AW598" s="802">
        <f>IF(ISNUMBER('Base de datos Rutas'!CN596),'Base de datos Rutas'!CN596,"")</f>
        <v>7.47</v>
      </c>
      <c r="AX598" s="802">
        <f>IF(ISNUMBER('Base de datos Rutas'!CO596),'Base de datos Rutas'!CO596,"")</f>
        <v>9.4499999999999993</v>
      </c>
      <c r="AY598" s="802">
        <f>IF(ISNUMBER('Base de datos Rutas'!CP596),'Base de datos Rutas'!CP596,"")</f>
        <v>1.9799999999999995</v>
      </c>
      <c r="AZ598" s="802">
        <f>IF(ISNUMBER('Base de datos Rutas'!CQ596),'Base de datos Rutas'!CQ596,"")</f>
        <v>846.56</v>
      </c>
      <c r="BA598" s="802">
        <f>IF(ISNUMBER('Base de datos Rutas'!CR596),'Base de datos Rutas'!CR596,"")</f>
        <v>485.75</v>
      </c>
      <c r="BB598" s="803">
        <f>IF(ISNUMBER('Base de datos Rutas'!CS596),'Base de datos Rutas'!CS596,"")</f>
        <v>360.80999999999995</v>
      </c>
      <c r="BC598" s="804">
        <f t="shared" si="357"/>
        <v>0</v>
      </c>
      <c r="BD598" s="805" t="str">
        <f t="shared" si="358"/>
        <v>No saturada</v>
      </c>
      <c r="BE598" s="806">
        <f t="shared" si="359"/>
        <v>0.57379276129276136</v>
      </c>
      <c r="BF598" s="890">
        <f>IF(ISNUMBER('Base de datos Rutas'!CX596),'Base de datos Rutas'!CX596/100,"")</f>
        <v>0.93513656387665212</v>
      </c>
      <c r="BG598" s="891">
        <f>IF(ISNUMBER('Base de datos Rutas'!CZ596),'Base de datos Rutas'!CZ596/100,"")</f>
        <v>1</v>
      </c>
      <c r="BH598" s="892">
        <f>IF(ISNUMBER('Base de datos Rutas'!DA596),'Base de datos Rutas'!DA596,"")</f>
        <v>1937.7036703016668</v>
      </c>
      <c r="BI598" s="893">
        <f>IF(ISNUMBER('Base de datos Rutas'!DC596),'Base de datos Rutas'!DC596,"")</f>
        <v>87.876768545944969</v>
      </c>
      <c r="BJ598" s="805" t="str">
        <f t="shared" si="360"/>
        <v>Ruta (completo)</v>
      </c>
      <c r="BK598" s="783">
        <f t="shared" si="348"/>
        <v>4</v>
      </c>
      <c r="BL598" s="797">
        <f t="shared" si="349"/>
        <v>3</v>
      </c>
      <c r="BM598" s="797">
        <f t="shared" si="350"/>
        <v>5</v>
      </c>
      <c r="BN598" s="797">
        <f t="shared" si="351"/>
        <v>5</v>
      </c>
      <c r="BO598" s="798" cm="1">
        <f t="array" ref="BO598">SUMPRODUCT(--ISNUMBER($BF598:$BI598),$BK$3:$BN$3)</f>
        <v>1</v>
      </c>
      <c r="BP598" s="831">
        <f t="shared" si="361"/>
        <v>81.25</v>
      </c>
      <c r="BQ598" s="834" t="str">
        <f t="shared" si="362"/>
        <v>Alto</v>
      </c>
      <c r="BR598" s="836">
        <f t="shared" si="352"/>
        <v>25.369178091888042</v>
      </c>
      <c r="BS598" s="836">
        <f t="shared" si="353"/>
        <v>81.25</v>
      </c>
      <c r="BT598" s="837" t="str">
        <f t="shared" si="354"/>
        <v>P3</v>
      </c>
      <c r="BU598" s="807" t="str">
        <f t="shared" si="363"/>
        <v>Con espacio</v>
      </c>
      <c r="BV598" s="807" t="str">
        <f t="shared" si="355"/>
        <v>Zona atractiva</v>
      </c>
      <c r="BW598" s="808" t="str">
        <f t="shared" si="356"/>
        <v>P3 - Desarrollar</v>
      </c>
    </row>
    <row r="599" spans="1:75">
      <c r="A599" s="780" t="str">
        <f>'Base de datos Rutas'!A597</f>
        <v>Occidente</v>
      </c>
      <c r="B599" s="781" t="str">
        <f>'Base de datos Rutas'!B597</f>
        <v>Favorita</v>
      </c>
      <c r="C599" s="781" t="str">
        <f>'Base de datos Rutas'!C597</f>
        <v>Suc. Santa Maria</v>
      </c>
      <c r="D599" s="782">
        <f>IF(ISNUMBER('Base de datos Rutas'!D597),'Base de datos Rutas'!D597,"Sin código")</f>
        <v>809349</v>
      </c>
      <c r="E599" s="783" t="str">
        <f>'Base de datos Rutas'!F597</f>
        <v>Activa</v>
      </c>
      <c r="F599" s="784" t="str">
        <f>'Base de datos Rutas'!H597</f>
        <v>Sí</v>
      </c>
      <c r="G599" s="785">
        <f>IF(ISNUMBER('Base de datos Rutas'!BE597),'Base de datos Rutas'!BE597,"")</f>
        <v>41.307870370370402</v>
      </c>
      <c r="H599" s="786">
        <f>IF(ISNUMBER('Base de datos Rutas'!BH597),'Base de datos Rutas'!BH597,"")</f>
        <v>0.50736901092743103</v>
      </c>
      <c r="I599" s="788">
        <f>IFERROR(IF(OR(NOT(ISNUMBER('Base de datos Rutas'!O597)),N('Base de datos Rutas'!BK597)=0),"",'Base de datos Rutas'!O597/('Base de datos Rutas'!L597/'Base de datos Rutas'!BK597)),"")</f>
        <v>2608.9351851851811</v>
      </c>
      <c r="J599" s="788">
        <f>IFERROR(IF(OR(NOT(ISNUMBER('Base de datos Rutas'!N597)),N('Base de datos Rutas'!BK597)=0),"",'Base de datos Rutas'!N597/('Base de datos Rutas'!L597/'Base de datos Rutas'!BK597)),"")</f>
        <v>6685.67824074073</v>
      </c>
      <c r="K599" s="788">
        <f>IFERROR(IF(OR(NOT(ISNUMBER('Base de datos Rutas'!J597)),N('Base de datos Rutas'!BK597)=0),"",'Base de datos Rutas'!J597/('Base de datos Rutas'!L597/'Base de datos Rutas'!BK597)),"")</f>
        <v>457.61846666666594</v>
      </c>
      <c r="L599" s="788">
        <f>IFERROR(IF(OR(NOT(ISNUMBER('Base de datos Rutas'!K597)),N('Base de datos Rutas'!BK597)=0),"",'Base de datos Rutas'!K597/('Base de datos Rutas'!L597/'Base de datos Rutas'!BK597)),"")</f>
        <v>18.746906324074043</v>
      </c>
      <c r="M599" s="787">
        <f>IF(ISNUMBER('Base de datos Rutas'!AX597),'Base de datos Rutas'!AX597,"")</f>
        <v>443.48077645239698</v>
      </c>
      <c r="N599" s="790">
        <f>IFERROR(INDEX('Hoja de apoyo v2'!B$17:B$20,MATCH($A599,'Hoja de apoyo v2'!$A$17:$A$20,0)),"")</f>
        <v>89.41621024641401</v>
      </c>
      <c r="O599" s="791">
        <f>IFERROR(INDEX('Hoja de apoyo v2'!C$17:C$20,MATCH($A599,'Hoja de apoyo v2'!$A$17:$A$20,0)),"")</f>
        <v>0.54706375874806301</v>
      </c>
      <c r="P599" s="793">
        <f>IFERROR(INDEX('Hoja de apoyo v2'!D$17:D$20,MATCH($A599,'Hoja de apoyo v2'!$A$17:$A$20,0)),"")</f>
        <v>11095.153935793827</v>
      </c>
      <c r="Q599" s="793">
        <f>IFERROR(INDEX('Hoja de apoyo v2'!E$17:E$20,MATCH($A599,'Hoja de apoyo v2'!$A$17:$A$20,0)),"")</f>
        <v>6982.3202019701848</v>
      </c>
      <c r="R599" s="793">
        <f>IFERROR(INDEX('Hoja de apoyo v2'!F$17:F$20,MATCH($A599,'Hoja de apoyo v2'!$A$17:$A$20,0)),"")</f>
        <v>448.09513474485743</v>
      </c>
      <c r="S599" s="793">
        <f>IFERROR(INDEX('Hoja de apoyo v2'!G$17:G$20,MATCH($A599,'Hoja de apoyo v2'!$A$17:$A$20,0)),"")</f>
        <v>83.406300904207839</v>
      </c>
      <c r="T599" s="792">
        <f>IFERROR(INDEX('Hoja de apoyo v2'!H$17:H$20,MATCH($A599,'Hoja de apoyo v2'!$A$17:$A$20,0)),"")</f>
        <v>378.97014028925349</v>
      </c>
      <c r="U599" s="794">
        <f t="shared" si="328"/>
        <v>0.4619729493850589</v>
      </c>
      <c r="V599" s="795">
        <f t="shared" si="329"/>
        <v>0.92744036287201315</v>
      </c>
      <c r="W599" s="795">
        <f t="shared" si="330"/>
        <v>0.23514186466296369</v>
      </c>
      <c r="X599" s="843">
        <f t="shared" si="331"/>
        <v>0.95751527391342606</v>
      </c>
      <c r="Y599" s="843">
        <f t="shared" si="332"/>
        <v>1.0212529241747537</v>
      </c>
      <c r="Z599" s="843">
        <f t="shared" si="333"/>
        <v>0.22476606828067908</v>
      </c>
      <c r="AA599" s="843">
        <f t="shared" si="334"/>
        <v>1.1702261716817715</v>
      </c>
      <c r="AB599" s="796">
        <f t="shared" si="335"/>
        <v>1</v>
      </c>
      <c r="AC599" s="797">
        <f t="shared" si="336"/>
        <v>3</v>
      </c>
      <c r="AD599" s="797">
        <f t="shared" si="337"/>
        <v>1</v>
      </c>
      <c r="AE599" s="842">
        <f t="shared" si="338"/>
        <v>3</v>
      </c>
      <c r="AF599" s="842">
        <f t="shared" si="339"/>
        <v>4</v>
      </c>
      <c r="AG599" s="842">
        <f t="shared" si="340"/>
        <v>1</v>
      </c>
      <c r="AH599" s="842">
        <f t="shared" si="341"/>
        <v>4</v>
      </c>
      <c r="AI599" s="826" cm="1">
        <f t="array" ref="AI599">SUMPRODUCT(--ISNUMBER($U599:$AA599),$AB$3:$AH$3)</f>
        <v>1</v>
      </c>
      <c r="AJ599" s="829">
        <f t="shared" si="342"/>
        <v>27.097023521317411</v>
      </c>
      <c r="AK599" s="827" t="str">
        <f t="shared" si="343"/>
        <v>Inmadura</v>
      </c>
      <c r="AL599" s="784" t="str">
        <f t="shared" si="344"/>
        <v>Alta</v>
      </c>
      <c r="AM599" s="799">
        <f>IF(ISNUMBER('Base de datos Rutas'!W597),'Base de datos Rutas'!W597,"")</f>
        <v>3293.1144020900269</v>
      </c>
      <c r="AN599" s="787">
        <f>IFERROR(SUMIFS('Base de datos Rutas'!$W$6:$W$794,'Base de datos Rutas'!$C$6:$C$794,$C599)/'Base de datos Rutas'!I597,"")</f>
        <v>3293.1144020900251</v>
      </c>
      <c r="AO599" s="800">
        <f>IFERROR('Base de datos Rutas'!X597*AN599/AM599,"")</f>
        <v>0.47791232590402694</v>
      </c>
      <c r="AP599" s="800">
        <f t="shared" si="345"/>
        <v>0.52208767409597301</v>
      </c>
      <c r="AQ599" s="789">
        <f>IFERROR(INDEX('Hoja de apoyo v2'!$J$17:$J$20,MATCH($A599,'Hoja de apoyo v2'!$A$17:$A$20,0)),"")</f>
        <v>0.64320274048480885</v>
      </c>
      <c r="AR599" s="789">
        <f t="shared" si="346"/>
        <v>-0.12111506638883585</v>
      </c>
      <c r="AS599" s="784" t="str">
        <f t="shared" si="347"/>
        <v>No</v>
      </c>
      <c r="AT599" s="801">
        <f>IF(ISNUMBER('Base de datos Rutas'!CK597),'Base de datos Rutas'!CK597,"")</f>
        <v>254</v>
      </c>
      <c r="AU599" s="802">
        <f>IF(ISNUMBER('Base de datos Rutas'!CL597),'Base de datos Rutas'!CL597,"")</f>
        <v>348.44</v>
      </c>
      <c r="AV599" s="802">
        <f>IF(ISNUMBER('Base de datos Rutas'!CM597),'Base de datos Rutas'!CM597,"")</f>
        <v>94.44</v>
      </c>
      <c r="AW599" s="802">
        <f>IF(ISNUMBER('Base de datos Rutas'!CN597),'Base de datos Rutas'!CN597,"")</f>
        <v>8.02</v>
      </c>
      <c r="AX599" s="802">
        <f>IF(ISNUMBER('Base de datos Rutas'!CO597),'Base de datos Rutas'!CO597,"")</f>
        <v>9.4499999999999993</v>
      </c>
      <c r="AY599" s="802">
        <f>IF(ISNUMBER('Base de datos Rutas'!CP597),'Base de datos Rutas'!CP597,"")</f>
        <v>1.4299999999999997</v>
      </c>
      <c r="AZ599" s="802">
        <f>IF(ISNUMBER('Base de datos Rutas'!CQ597),'Base de datos Rutas'!CQ597,"")</f>
        <v>846.56</v>
      </c>
      <c r="BA599" s="802">
        <f>IF(ISNUMBER('Base de datos Rutas'!CR597),'Base de datos Rutas'!CR597,"")</f>
        <v>476.37</v>
      </c>
      <c r="BB599" s="803">
        <f>IF(ISNUMBER('Base de datos Rutas'!CS597),'Base de datos Rutas'!CS597,"")</f>
        <v>370.18999999999994</v>
      </c>
      <c r="BC599" s="804">
        <f t="shared" si="357"/>
        <v>0</v>
      </c>
      <c r="BD599" s="805" t="str">
        <f t="shared" si="358"/>
        <v>No saturada</v>
      </c>
      <c r="BE599" s="806">
        <f t="shared" si="359"/>
        <v>0.56271262521262522</v>
      </c>
      <c r="BF599" s="890">
        <f>IF(ISNUMBER('Base de datos Rutas'!CX597),'Base de datos Rutas'!CX597/100,"")</f>
        <v>0.96167207792207787</v>
      </c>
      <c r="BG599" s="891">
        <f>IF(ISNUMBER('Base de datos Rutas'!CZ597),'Base de datos Rutas'!CZ597/100,"")</f>
        <v>1</v>
      </c>
      <c r="BH599" s="892">
        <f>IF(ISNUMBER('Base de datos Rutas'!DA597),'Base de datos Rutas'!DA597,"")</f>
        <v>562.03629946373565</v>
      </c>
      <c r="BI599" s="893">
        <f>IF(ISNUMBER('Base de datos Rutas'!DC597),'Base de datos Rutas'!DC597,"")</f>
        <v>30.369889463892058</v>
      </c>
      <c r="BJ599" s="805" t="str">
        <f t="shared" si="360"/>
        <v>Ruta (completo)</v>
      </c>
      <c r="BK599" s="783">
        <f t="shared" si="348"/>
        <v>5</v>
      </c>
      <c r="BL599" s="797">
        <f t="shared" si="349"/>
        <v>3</v>
      </c>
      <c r="BM599" s="797">
        <f t="shared" si="350"/>
        <v>2</v>
      </c>
      <c r="BN599" s="797">
        <f t="shared" si="351"/>
        <v>3</v>
      </c>
      <c r="BO599" s="798" cm="1">
        <f t="array" ref="BO599">SUMPRODUCT(--ISNUMBER($BF599:$BI599),$BK$3:$BN$3)</f>
        <v>1</v>
      </c>
      <c r="BP599" s="831">
        <f t="shared" si="361"/>
        <v>56.25</v>
      </c>
      <c r="BQ599" s="834" t="str">
        <f t="shared" si="362"/>
        <v>Alto</v>
      </c>
      <c r="BR599" s="836">
        <f t="shared" si="352"/>
        <v>20.322767640988058</v>
      </c>
      <c r="BS599" s="836">
        <f t="shared" si="353"/>
        <v>56.25</v>
      </c>
      <c r="BT599" s="837" t="str">
        <f t="shared" si="354"/>
        <v>P3</v>
      </c>
      <c r="BU599" s="807" t="str">
        <f t="shared" si="363"/>
        <v>Con espacio</v>
      </c>
      <c r="BV599" s="807" t="str">
        <f t="shared" si="355"/>
        <v>Zona atractiva</v>
      </c>
      <c r="BW599" s="808" t="str">
        <f t="shared" si="356"/>
        <v>P3 - Desarrollar</v>
      </c>
    </row>
    <row r="600" spans="1:75">
      <c r="A600" s="780" t="str">
        <f>'Base de datos Rutas'!A598</f>
        <v>Occidente</v>
      </c>
      <c r="B600" s="781" t="str">
        <f>'Base de datos Rutas'!B598</f>
        <v>Favorita</v>
      </c>
      <c r="C600" s="781" t="str">
        <f>'Base de datos Rutas'!C598</f>
        <v>Suc. Santa Maria</v>
      </c>
      <c r="D600" s="782">
        <f>IF(ISNUMBER('Base de datos Rutas'!D598),'Base de datos Rutas'!D598,"Sin código")</f>
        <v>809350</v>
      </c>
      <c r="E600" s="783" t="str">
        <f>'Base de datos Rutas'!F598</f>
        <v>Activa</v>
      </c>
      <c r="F600" s="784" t="str">
        <f>'Base de datos Rutas'!H598</f>
        <v>Sí</v>
      </c>
      <c r="G600" s="785">
        <f>IF(ISNUMBER('Base de datos Rutas'!BE598),'Base de datos Rutas'!BE598,"")</f>
        <v>66.435779816513801</v>
      </c>
      <c r="H600" s="786">
        <f>IF(ISNUMBER('Base de datos Rutas'!BH598),'Base de datos Rutas'!BH598,"")</f>
        <v>0.46312918594213898</v>
      </c>
      <c r="I600" s="788">
        <f>IFERROR(IF(OR(NOT(ISNUMBER('Base de datos Rutas'!O598)),N('Base de datos Rutas'!BK598)=0),"",'Base de datos Rutas'!O598/('Base de datos Rutas'!L598/'Base de datos Rutas'!BK598)),"")</f>
        <v>3375.5481651376081</v>
      </c>
      <c r="J600" s="788">
        <f>IFERROR(IF(OR(NOT(ISNUMBER('Base de datos Rutas'!N598)),N('Base de datos Rutas'!BK598)=0),"",'Base de datos Rutas'!N598/('Base de datos Rutas'!L598/'Base de datos Rutas'!BK598)),"")</f>
        <v>6469.0252293577851</v>
      </c>
      <c r="K600" s="788">
        <f>IFERROR(IF(OR(NOT(ISNUMBER('Base de datos Rutas'!J598)),N('Base de datos Rutas'!BK598)=0),"",'Base de datos Rutas'!J598/('Base de datos Rutas'!L598/'Base de datos Rutas'!BK598)),"")</f>
        <v>456.15079999999909</v>
      </c>
      <c r="L600" s="788">
        <f>IFERROR(IF(OR(NOT(ISNUMBER('Base de datos Rutas'!K598)),N('Base de datos Rutas'!BK598)=0),"",'Base de datos Rutas'!K598/('Base de datos Rutas'!L598/'Base de datos Rutas'!BK598)),"")</f>
        <v>22.292060321100873</v>
      </c>
      <c r="M600" s="787">
        <f>IF(ISNUMBER('Base de datos Rutas'!AX598),'Base de datos Rutas'!AX598,"")</f>
        <v>319.95787700335399</v>
      </c>
      <c r="N600" s="790">
        <f>IFERROR(INDEX('Hoja de apoyo v2'!B$17:B$20,MATCH($A600,'Hoja de apoyo v2'!$A$17:$A$20,0)),"")</f>
        <v>89.41621024641401</v>
      </c>
      <c r="O600" s="791">
        <f>IFERROR(INDEX('Hoja de apoyo v2'!C$17:C$20,MATCH($A600,'Hoja de apoyo v2'!$A$17:$A$20,0)),"")</f>
        <v>0.54706375874806301</v>
      </c>
      <c r="P600" s="793">
        <f>IFERROR(INDEX('Hoja de apoyo v2'!D$17:D$20,MATCH($A600,'Hoja de apoyo v2'!$A$17:$A$20,0)),"")</f>
        <v>11095.153935793827</v>
      </c>
      <c r="Q600" s="793">
        <f>IFERROR(INDEX('Hoja de apoyo v2'!E$17:E$20,MATCH($A600,'Hoja de apoyo v2'!$A$17:$A$20,0)),"")</f>
        <v>6982.3202019701848</v>
      </c>
      <c r="R600" s="793">
        <f>IFERROR(INDEX('Hoja de apoyo v2'!F$17:F$20,MATCH($A600,'Hoja de apoyo v2'!$A$17:$A$20,0)),"")</f>
        <v>448.09513474485743</v>
      </c>
      <c r="S600" s="793">
        <f>IFERROR(INDEX('Hoja de apoyo v2'!G$17:G$20,MATCH($A600,'Hoja de apoyo v2'!$A$17:$A$20,0)),"")</f>
        <v>83.406300904207839</v>
      </c>
      <c r="T600" s="792">
        <f>IFERROR(INDEX('Hoja de apoyo v2'!H$17:H$20,MATCH($A600,'Hoja de apoyo v2'!$A$17:$A$20,0)),"")</f>
        <v>378.97014028925349</v>
      </c>
      <c r="U600" s="794">
        <f t="shared" si="328"/>
        <v>0.74299480634920079</v>
      </c>
      <c r="V600" s="795">
        <f t="shared" si="329"/>
        <v>0.84657259512491656</v>
      </c>
      <c r="W600" s="795">
        <f t="shared" si="330"/>
        <v>0.30423626248643815</v>
      </c>
      <c r="X600" s="843">
        <f t="shared" si="331"/>
        <v>0.92648647472976609</v>
      </c>
      <c r="Y600" s="843">
        <f t="shared" si="332"/>
        <v>1.0179775780420568</v>
      </c>
      <c r="Z600" s="843">
        <f t="shared" si="333"/>
        <v>0.26727069872938392</v>
      </c>
      <c r="AA600" s="843">
        <f t="shared" si="334"/>
        <v>0.8442825515465211</v>
      </c>
      <c r="AB600" s="796">
        <f t="shared" si="335"/>
        <v>2</v>
      </c>
      <c r="AC600" s="797">
        <f t="shared" si="336"/>
        <v>3</v>
      </c>
      <c r="AD600" s="797">
        <f t="shared" si="337"/>
        <v>1</v>
      </c>
      <c r="AE600" s="842">
        <f t="shared" si="338"/>
        <v>3</v>
      </c>
      <c r="AF600" s="842">
        <f t="shared" si="339"/>
        <v>4</v>
      </c>
      <c r="AG600" s="842">
        <f t="shared" si="340"/>
        <v>1</v>
      </c>
      <c r="AH600" s="842">
        <f t="shared" si="341"/>
        <v>3</v>
      </c>
      <c r="AI600" s="826" cm="1">
        <f t="array" ref="AI600">SUMPRODUCT(--ISNUMBER($U600:$AA600),$AB$3:$AH$3)</f>
        <v>1</v>
      </c>
      <c r="AJ600" s="829">
        <f t="shared" si="342"/>
        <v>29.385931859127602</v>
      </c>
      <c r="AK600" s="827" t="str">
        <f t="shared" si="343"/>
        <v>Inmadura</v>
      </c>
      <c r="AL600" s="784" t="str">
        <f t="shared" si="344"/>
        <v>Alta</v>
      </c>
      <c r="AM600" s="799">
        <f>IF(ISNUMBER('Base de datos Rutas'!W598),'Base de datos Rutas'!W598,"")</f>
        <v>3293.1144020900269</v>
      </c>
      <c r="AN600" s="787">
        <f>IFERROR(SUMIFS('Base de datos Rutas'!$W$6:$W$794,'Base de datos Rutas'!$C$6:$C$794,$C600)/'Base de datos Rutas'!I598,"")</f>
        <v>3293.1144020900251</v>
      </c>
      <c r="AO600" s="800">
        <f>IFERROR('Base de datos Rutas'!X598*AN600/AM600,"")</f>
        <v>0.47791232590402694</v>
      </c>
      <c r="AP600" s="800">
        <f t="shared" si="345"/>
        <v>0.52208767409597301</v>
      </c>
      <c r="AQ600" s="789">
        <f>IFERROR(INDEX('Hoja de apoyo v2'!$J$17:$J$20,MATCH($A600,'Hoja de apoyo v2'!$A$17:$A$20,0)),"")</f>
        <v>0.64320274048480885</v>
      </c>
      <c r="AR600" s="789">
        <f t="shared" si="346"/>
        <v>-0.12111506638883585</v>
      </c>
      <c r="AS600" s="784" t="str">
        <f t="shared" si="347"/>
        <v>No</v>
      </c>
      <c r="AT600" s="801">
        <f>IF(ISNUMBER('Base de datos Rutas'!CK598),'Base de datos Rutas'!CK598,"")</f>
        <v>270</v>
      </c>
      <c r="AU600" s="802">
        <f>IF(ISNUMBER('Base de datos Rutas'!CL598),'Base de datos Rutas'!CL598,"")</f>
        <v>465.1</v>
      </c>
      <c r="AV600" s="802">
        <f>IF(ISNUMBER('Base de datos Rutas'!CM598),'Base de datos Rutas'!CM598,"")</f>
        <v>195.10000000000002</v>
      </c>
      <c r="AW600" s="802">
        <f>IF(ISNUMBER('Base de datos Rutas'!CN598),'Base de datos Rutas'!CN598,"")</f>
        <v>5.0599999999999996</v>
      </c>
      <c r="AX600" s="802">
        <f>IF(ISNUMBER('Base de datos Rutas'!CO598),'Base de datos Rutas'!CO598,"")</f>
        <v>9.4499999999999993</v>
      </c>
      <c r="AY600" s="802">
        <f>IF(ISNUMBER('Base de datos Rutas'!CP598),'Base de datos Rutas'!CP598,"")</f>
        <v>4.3899999999999997</v>
      </c>
      <c r="AZ600" s="802">
        <f>IF(ISNUMBER('Base de datos Rutas'!CQ598),'Base de datos Rutas'!CQ598,"")</f>
        <v>846.56</v>
      </c>
      <c r="BA600" s="802">
        <f>IF(ISNUMBER('Base de datos Rutas'!CR598),'Base de datos Rutas'!CR598,"")</f>
        <v>478.44</v>
      </c>
      <c r="BB600" s="803">
        <f>IF(ISNUMBER('Base de datos Rutas'!CS598),'Base de datos Rutas'!CS598,"")</f>
        <v>368.11999999999995</v>
      </c>
      <c r="BC600" s="804">
        <f t="shared" si="357"/>
        <v>0</v>
      </c>
      <c r="BD600" s="805" t="str">
        <f t="shared" si="358"/>
        <v>No saturada</v>
      </c>
      <c r="BE600" s="806">
        <f t="shared" si="359"/>
        <v>0.56515781515781516</v>
      </c>
      <c r="BF600" s="890">
        <f>IF(ISNUMBER('Base de datos Rutas'!CX598),'Base de datos Rutas'!CX598/100,"")</f>
        <v>0.62112729336107431</v>
      </c>
      <c r="BG600" s="891">
        <f>IF(ISNUMBER('Base de datos Rutas'!CZ598),'Base de datos Rutas'!CZ598/100,"")</f>
        <v>0.65802912804993385</v>
      </c>
      <c r="BH600" s="892">
        <f>IF(ISNUMBER('Base de datos Rutas'!DA598),'Base de datos Rutas'!DA598,"")</f>
        <v>476.63119789861548</v>
      </c>
      <c r="BI600" s="893">
        <f>IF(ISNUMBER('Base de datos Rutas'!DC598),'Base de datos Rutas'!DC598,"")</f>
        <v>23.995448824355631</v>
      </c>
      <c r="BJ600" s="805" t="str">
        <f t="shared" si="360"/>
        <v>Ruta (completo)</v>
      </c>
      <c r="BK600" s="783">
        <f t="shared" si="348"/>
        <v>2</v>
      </c>
      <c r="BL600" s="797">
        <f t="shared" si="349"/>
        <v>2</v>
      </c>
      <c r="BM600" s="797">
        <f t="shared" si="350"/>
        <v>2</v>
      </c>
      <c r="BN600" s="797">
        <f t="shared" si="351"/>
        <v>2</v>
      </c>
      <c r="BO600" s="798" cm="1">
        <f t="array" ref="BO600">SUMPRODUCT(--ISNUMBER($BF600:$BI600),$BK$3:$BN$3)</f>
        <v>1</v>
      </c>
      <c r="BP600" s="831">
        <f t="shared" si="361"/>
        <v>25</v>
      </c>
      <c r="BQ600" s="834" t="str">
        <f t="shared" si="362"/>
        <v>Medio</v>
      </c>
      <c r="BR600" s="836">
        <f t="shared" si="352"/>
        <v>22.039448894345703</v>
      </c>
      <c r="BS600" s="836">
        <f t="shared" si="353"/>
        <v>25</v>
      </c>
      <c r="BT600" s="837" t="str">
        <f t="shared" si="354"/>
        <v>P4</v>
      </c>
      <c r="BU600" s="807" t="str">
        <f t="shared" si="363"/>
        <v>Con espacio</v>
      </c>
      <c r="BV600" s="807" t="str">
        <f t="shared" si="355"/>
        <v>Zona de bajo potencial</v>
      </c>
      <c r="BW600" s="808" t="str">
        <f t="shared" si="356"/>
        <v>P4 - Evaluar</v>
      </c>
    </row>
    <row r="601" spans="1:75">
      <c r="A601" s="780" t="str">
        <f>'Base de datos Rutas'!A599</f>
        <v>Occidente</v>
      </c>
      <c r="B601" s="781" t="str">
        <f>'Base de datos Rutas'!B599</f>
        <v>Favorita</v>
      </c>
      <c r="C601" s="781" t="str">
        <f>'Base de datos Rutas'!C599</f>
        <v>Suc. Santa Maria</v>
      </c>
      <c r="D601" s="782">
        <f>IF(ISNUMBER('Base de datos Rutas'!D599),'Base de datos Rutas'!D599,"Sin código")</f>
        <v>809351</v>
      </c>
      <c r="E601" s="783" t="str">
        <f>'Base de datos Rutas'!F599</f>
        <v>Activa</v>
      </c>
      <c r="F601" s="784" t="str">
        <f>'Base de datos Rutas'!H599</f>
        <v>Sí</v>
      </c>
      <c r="G601" s="785">
        <f>IF(ISNUMBER('Base de datos Rutas'!BE599),'Base de datos Rutas'!BE599,"")</f>
        <v>111.73333333333299</v>
      </c>
      <c r="H601" s="786">
        <f>IF(ISNUMBER('Base de datos Rutas'!BH599),'Base de datos Rutas'!BH599,"")</f>
        <v>0.43809151510163802</v>
      </c>
      <c r="I601" s="788">
        <f>IFERROR(IF(OR(NOT(ISNUMBER('Base de datos Rutas'!O599)),N('Base de datos Rutas'!BK599)=0),"",'Base de datos Rutas'!O599/('Base de datos Rutas'!L599/'Base de datos Rutas'!BK599)),"")</f>
        <v>3817.7816091953964</v>
      </c>
      <c r="J601" s="788">
        <f>IFERROR(IF(OR(NOT(ISNUMBER('Base de datos Rutas'!N599)),N('Base de datos Rutas'!BK599)=0),"",'Base de datos Rutas'!N599/('Base de datos Rutas'!L599/'Base de datos Rutas'!BK599)),"")</f>
        <v>8670.9678160919411</v>
      </c>
      <c r="K601" s="788">
        <f>IFERROR(IF(OR(NOT(ISNUMBER('Base de datos Rutas'!J599)),N('Base de datos Rutas'!BK599)=0),"",'Base de datos Rutas'!J599/('Base de datos Rutas'!L599/'Base de datos Rutas'!BK599)),"")</f>
        <v>592.36241287356233</v>
      </c>
      <c r="L601" s="788">
        <f>IFERROR(IF(OR(NOT(ISNUMBER('Base de datos Rutas'!K599)),N('Base de datos Rutas'!BK599)=0),"",'Base de datos Rutas'!K599/('Base de datos Rutas'!L599/'Base de datos Rutas'!BK599)),"")</f>
        <v>25.749216588505707</v>
      </c>
      <c r="M601" s="787">
        <f>IF(ISNUMBER('Base de datos Rutas'!AX599),'Base de datos Rutas'!AX599,"")</f>
        <v>255.13561874794499</v>
      </c>
      <c r="N601" s="790">
        <f>IFERROR(INDEX('Hoja de apoyo v2'!B$17:B$20,MATCH($A601,'Hoja de apoyo v2'!$A$17:$A$20,0)),"")</f>
        <v>89.41621024641401</v>
      </c>
      <c r="O601" s="791">
        <f>IFERROR(INDEX('Hoja de apoyo v2'!C$17:C$20,MATCH($A601,'Hoja de apoyo v2'!$A$17:$A$20,0)),"")</f>
        <v>0.54706375874806301</v>
      </c>
      <c r="P601" s="793">
        <f>IFERROR(INDEX('Hoja de apoyo v2'!D$17:D$20,MATCH($A601,'Hoja de apoyo v2'!$A$17:$A$20,0)),"")</f>
        <v>11095.153935793827</v>
      </c>
      <c r="Q601" s="793">
        <f>IFERROR(INDEX('Hoja de apoyo v2'!E$17:E$20,MATCH($A601,'Hoja de apoyo v2'!$A$17:$A$20,0)),"")</f>
        <v>6982.3202019701848</v>
      </c>
      <c r="R601" s="793">
        <f>IFERROR(INDEX('Hoja de apoyo v2'!F$17:F$20,MATCH($A601,'Hoja de apoyo v2'!$A$17:$A$20,0)),"")</f>
        <v>448.09513474485743</v>
      </c>
      <c r="S601" s="793">
        <f>IFERROR(INDEX('Hoja de apoyo v2'!G$17:G$20,MATCH($A601,'Hoja de apoyo v2'!$A$17:$A$20,0)),"")</f>
        <v>83.406300904207839</v>
      </c>
      <c r="T601" s="792">
        <f>IFERROR(INDEX('Hoja de apoyo v2'!H$17:H$20,MATCH($A601,'Hoja de apoyo v2'!$A$17:$A$20,0)),"")</f>
        <v>378.97014028925349</v>
      </c>
      <c r="U601" s="794">
        <f t="shared" si="328"/>
        <v>1.2495869935151271</v>
      </c>
      <c r="V601" s="795">
        <f t="shared" si="329"/>
        <v>0.80080522260183296</v>
      </c>
      <c r="W601" s="795">
        <f t="shared" si="330"/>
        <v>0.34409451471231389</v>
      </c>
      <c r="X601" s="843">
        <f t="shared" si="331"/>
        <v>1.2418462008724942</v>
      </c>
      <c r="Y601" s="843">
        <f t="shared" si="332"/>
        <v>1.3219568054691104</v>
      </c>
      <c r="Z601" s="843">
        <f t="shared" si="333"/>
        <v>0.3087202802349272</v>
      </c>
      <c r="AA601" s="843">
        <f t="shared" si="334"/>
        <v>0.67323409320114158</v>
      </c>
      <c r="AB601" s="796">
        <f t="shared" si="335"/>
        <v>4</v>
      </c>
      <c r="AC601" s="797">
        <f t="shared" si="336"/>
        <v>3</v>
      </c>
      <c r="AD601" s="797">
        <f t="shared" si="337"/>
        <v>1</v>
      </c>
      <c r="AE601" s="842">
        <f t="shared" si="338"/>
        <v>4</v>
      </c>
      <c r="AF601" s="842">
        <f t="shared" si="339"/>
        <v>5</v>
      </c>
      <c r="AG601" s="842">
        <f t="shared" si="340"/>
        <v>1</v>
      </c>
      <c r="AH601" s="842">
        <f t="shared" si="341"/>
        <v>2</v>
      </c>
      <c r="AI601" s="826" cm="1">
        <f t="array" ref="AI601">SUMPRODUCT(--ISNUMBER($U601:$AA601),$AB$3:$AH$3)</f>
        <v>1</v>
      </c>
      <c r="AJ601" s="829">
        <f t="shared" si="342"/>
        <v>42.543968533333022</v>
      </c>
      <c r="AK601" s="827" t="str">
        <f t="shared" si="343"/>
        <v>Inmadura</v>
      </c>
      <c r="AL601" s="784" t="str">
        <f t="shared" si="344"/>
        <v>Alta</v>
      </c>
      <c r="AM601" s="799">
        <f>IF(ISNUMBER('Base de datos Rutas'!W599),'Base de datos Rutas'!W599,"")</f>
        <v>3293.1144020900269</v>
      </c>
      <c r="AN601" s="787">
        <f>IFERROR(SUMIFS('Base de datos Rutas'!$W$6:$W$794,'Base de datos Rutas'!$C$6:$C$794,$C601)/'Base de datos Rutas'!I599,"")</f>
        <v>3293.1144020900251</v>
      </c>
      <c r="AO601" s="800">
        <f>IFERROR('Base de datos Rutas'!X599*AN601/AM601,"")</f>
        <v>0.47791232590402694</v>
      </c>
      <c r="AP601" s="800">
        <f t="shared" si="345"/>
        <v>0.52208767409597301</v>
      </c>
      <c r="AQ601" s="789">
        <f>IFERROR(INDEX('Hoja de apoyo v2'!$J$17:$J$20,MATCH($A601,'Hoja de apoyo v2'!$A$17:$A$20,0)),"")</f>
        <v>0.64320274048480885</v>
      </c>
      <c r="AR601" s="789">
        <f t="shared" si="346"/>
        <v>-0.12111506638883585</v>
      </c>
      <c r="AS601" s="784" t="str">
        <f t="shared" si="347"/>
        <v>No</v>
      </c>
      <c r="AT601" s="801">
        <f>IF(ISNUMBER('Base de datos Rutas'!CK599),'Base de datos Rutas'!CK599,"")</f>
        <v>432</v>
      </c>
      <c r="AU601" s="802">
        <f>IF(ISNUMBER('Base de datos Rutas'!CL599),'Base de datos Rutas'!CL599,"")</f>
        <v>771.1</v>
      </c>
      <c r="AV601" s="802">
        <f>IF(ISNUMBER('Base de datos Rutas'!CM599),'Base de datos Rutas'!CM599,"")</f>
        <v>339.1</v>
      </c>
      <c r="AW601" s="802">
        <f>IF(ISNUMBER('Base de datos Rutas'!CN599),'Base de datos Rutas'!CN599,"")</f>
        <v>16.07</v>
      </c>
      <c r="AX601" s="802">
        <f>IF(ISNUMBER('Base de datos Rutas'!CO599),'Base de datos Rutas'!CO599,"")</f>
        <v>9.4499999999999993</v>
      </c>
      <c r="AY601" s="802">
        <f>IF(ISNUMBER('Base de datos Rutas'!CP599),'Base de datos Rutas'!CP599,"")</f>
        <v>-6.620000000000001</v>
      </c>
      <c r="AZ601" s="802">
        <f>IF(ISNUMBER('Base de datos Rutas'!CQ599),'Base de datos Rutas'!CQ599,"")</f>
        <v>846.56</v>
      </c>
      <c r="BA601" s="802">
        <f>IF(ISNUMBER('Base de datos Rutas'!CR599),'Base de datos Rutas'!CR599,"")</f>
        <v>618.11</v>
      </c>
      <c r="BB601" s="803">
        <f>IF(ISNUMBER('Base de datos Rutas'!CS599),'Base de datos Rutas'!CS599,"")</f>
        <v>228.44999999999993</v>
      </c>
      <c r="BC601" s="804">
        <f t="shared" si="357"/>
        <v>1</v>
      </c>
      <c r="BD601" s="805" t="str">
        <f t="shared" si="358"/>
        <v>Saturada</v>
      </c>
      <c r="BE601" s="806">
        <f t="shared" si="359"/>
        <v>0.73014316764316767</v>
      </c>
      <c r="BF601" s="890">
        <f>IF(ISNUMBER('Base de datos Rutas'!CX599),'Base de datos Rutas'!CX599/100,"")</f>
        <v>0.87532560469443244</v>
      </c>
      <c r="BG601" s="891">
        <f>IF(ISNUMBER('Base de datos Rutas'!CZ599),'Base de datos Rutas'!CZ599/100,"")</f>
        <v>0.92385859453270358</v>
      </c>
      <c r="BH601" s="892">
        <f>IF(ISNUMBER('Base de datos Rutas'!DA599),'Base de datos Rutas'!DA599,"")</f>
        <v>822.35996369145926</v>
      </c>
      <c r="BI601" s="893">
        <f>IF(ISNUMBER('Base de datos Rutas'!DC599),'Base de datos Rutas'!DC599,"")</f>
        <v>39.508821883403172</v>
      </c>
      <c r="BJ601" s="805" t="str">
        <f t="shared" si="360"/>
        <v>Ruta (completo)</v>
      </c>
      <c r="BK601" s="783">
        <f t="shared" si="348"/>
        <v>3</v>
      </c>
      <c r="BL601" s="797">
        <f t="shared" si="349"/>
        <v>3</v>
      </c>
      <c r="BM601" s="797">
        <f t="shared" si="350"/>
        <v>4</v>
      </c>
      <c r="BN601" s="797">
        <f t="shared" si="351"/>
        <v>4</v>
      </c>
      <c r="BO601" s="798" cm="1">
        <f t="array" ref="BO601">SUMPRODUCT(--ISNUMBER($BF601:$BI601),$BK$3:$BN$3)</f>
        <v>1</v>
      </c>
      <c r="BP601" s="831">
        <f t="shared" si="361"/>
        <v>62.5</v>
      </c>
      <c r="BQ601" s="834" t="str">
        <f t="shared" si="362"/>
        <v>Alto</v>
      </c>
      <c r="BR601" s="836">
        <f t="shared" si="352"/>
        <v>56.907976399999768</v>
      </c>
      <c r="BS601" s="836">
        <f t="shared" si="353"/>
        <v>62.5</v>
      </c>
      <c r="BT601" s="837" t="str">
        <f t="shared" si="354"/>
        <v>P1</v>
      </c>
      <c r="BU601" s="807" t="str">
        <f t="shared" si="363"/>
        <v>Al tope</v>
      </c>
      <c r="BV601" s="807" t="str">
        <f t="shared" si="355"/>
        <v>Zona atractiva</v>
      </c>
      <c r="BW601" s="808" t="str">
        <f t="shared" si="356"/>
        <v>P1 - Ampliar cobertura</v>
      </c>
    </row>
    <row r="602" spans="1:75">
      <c r="A602" s="780" t="str">
        <f>'Base de datos Rutas'!A600</f>
        <v>Occidente</v>
      </c>
      <c r="B602" s="781" t="str">
        <f>'Base de datos Rutas'!B600</f>
        <v>Favorita</v>
      </c>
      <c r="C602" s="781" t="str">
        <f>'Base de datos Rutas'!C600</f>
        <v>Suc. Santa Maria</v>
      </c>
      <c r="D602" s="782">
        <f>IF(ISNUMBER('Base de datos Rutas'!D600),'Base de datos Rutas'!D600,"Sin código")</f>
        <v>809352</v>
      </c>
      <c r="E602" s="783" t="str">
        <f>'Base de datos Rutas'!F600</f>
        <v>Activa</v>
      </c>
      <c r="F602" s="784" t="str">
        <f>'Base de datos Rutas'!H600</f>
        <v>Sí</v>
      </c>
      <c r="G602" s="785">
        <f>IF(ISNUMBER('Base de datos Rutas'!BE600),'Base de datos Rutas'!BE600,"")</f>
        <v>81.603644646924806</v>
      </c>
      <c r="H602" s="786">
        <f>IF(ISNUMBER('Base de datos Rutas'!BH600),'Base de datos Rutas'!BH600,"")</f>
        <v>0.51429209468512704</v>
      </c>
      <c r="I602" s="788">
        <f>IFERROR(IF(OR(NOT(ISNUMBER('Base de datos Rutas'!O600)),N('Base de datos Rutas'!BK600)=0),"",'Base de datos Rutas'!O600/('Base de datos Rutas'!L600/'Base de datos Rutas'!BK600)),"")</f>
        <v>4264.0911161731165</v>
      </c>
      <c r="J602" s="788">
        <f>IFERROR(IF(OR(NOT(ISNUMBER('Base de datos Rutas'!N600)),N('Base de datos Rutas'!BK600)=0),"",'Base de datos Rutas'!N600/('Base de datos Rutas'!L600/'Base de datos Rutas'!BK600)),"")</f>
        <v>6365.6628701594473</v>
      </c>
      <c r="K602" s="788">
        <f>IFERROR(IF(OR(NOT(ISNUMBER('Base de datos Rutas'!J600)),N('Base de datos Rutas'!BK600)=0),"",'Base de datos Rutas'!J600/('Base de datos Rutas'!L600/'Base de datos Rutas'!BK600)),"")</f>
        <v>434.10571116173077</v>
      </c>
      <c r="L602" s="788">
        <f>IFERROR(IF(OR(NOT(ISNUMBER('Base de datos Rutas'!K600)),N('Base de datos Rutas'!BK600)=0),"",'Base de datos Rutas'!K600/('Base de datos Rutas'!L600/'Base de datos Rutas'!BK600)),"")</f>
        <v>32.482812136674234</v>
      </c>
      <c r="M602" s="787">
        <f>IF(ISNUMBER('Base de datos Rutas'!AX600),'Base de datos Rutas'!AX600,"")</f>
        <v>253.281781914894</v>
      </c>
      <c r="N602" s="790">
        <f>IFERROR(INDEX('Hoja de apoyo v2'!B$17:B$20,MATCH($A602,'Hoja de apoyo v2'!$A$17:$A$20,0)),"")</f>
        <v>89.41621024641401</v>
      </c>
      <c r="O602" s="791">
        <f>IFERROR(INDEX('Hoja de apoyo v2'!C$17:C$20,MATCH($A602,'Hoja de apoyo v2'!$A$17:$A$20,0)),"")</f>
        <v>0.54706375874806301</v>
      </c>
      <c r="P602" s="793">
        <f>IFERROR(INDEX('Hoja de apoyo v2'!D$17:D$20,MATCH($A602,'Hoja de apoyo v2'!$A$17:$A$20,0)),"")</f>
        <v>11095.153935793827</v>
      </c>
      <c r="Q602" s="793">
        <f>IFERROR(INDEX('Hoja de apoyo v2'!E$17:E$20,MATCH($A602,'Hoja de apoyo v2'!$A$17:$A$20,0)),"")</f>
        <v>6982.3202019701848</v>
      </c>
      <c r="R602" s="793">
        <f>IFERROR(INDEX('Hoja de apoyo v2'!F$17:F$20,MATCH($A602,'Hoja de apoyo v2'!$A$17:$A$20,0)),"")</f>
        <v>448.09513474485743</v>
      </c>
      <c r="S602" s="793">
        <f>IFERROR(INDEX('Hoja de apoyo v2'!G$17:G$20,MATCH($A602,'Hoja de apoyo v2'!$A$17:$A$20,0)),"")</f>
        <v>83.406300904207839</v>
      </c>
      <c r="T602" s="792">
        <f>IFERROR(INDEX('Hoja de apoyo v2'!H$17:H$20,MATCH($A602,'Hoja de apoyo v2'!$A$17:$A$20,0)),"")</f>
        <v>378.97014028925349</v>
      </c>
      <c r="U602" s="794">
        <f t="shared" si="328"/>
        <v>0.91262696575979607</v>
      </c>
      <c r="V602" s="795">
        <f t="shared" si="329"/>
        <v>0.94009534804876704</v>
      </c>
      <c r="W602" s="795">
        <f t="shared" si="330"/>
        <v>0.38432014020254623</v>
      </c>
      <c r="X602" s="843">
        <f t="shared" si="331"/>
        <v>0.91168303458258237</v>
      </c>
      <c r="Y602" s="843">
        <f t="shared" si="332"/>
        <v>0.96878023772542821</v>
      </c>
      <c r="Z602" s="843">
        <f t="shared" si="333"/>
        <v>0.38945273659817081</v>
      </c>
      <c r="AA602" s="843">
        <f t="shared" si="334"/>
        <v>0.66834231773926478</v>
      </c>
      <c r="AB602" s="796">
        <f t="shared" si="335"/>
        <v>3</v>
      </c>
      <c r="AC602" s="797">
        <f t="shared" si="336"/>
        <v>3</v>
      </c>
      <c r="AD602" s="797">
        <f t="shared" si="337"/>
        <v>1</v>
      </c>
      <c r="AE602" s="842">
        <f t="shared" si="338"/>
        <v>3</v>
      </c>
      <c r="AF602" s="842">
        <f t="shared" si="339"/>
        <v>3</v>
      </c>
      <c r="AG602" s="842">
        <f t="shared" si="340"/>
        <v>1</v>
      </c>
      <c r="AH602" s="842">
        <f t="shared" si="341"/>
        <v>2</v>
      </c>
      <c r="AI602" s="826" cm="1">
        <f t="array" ref="AI602">SUMPRODUCT(--ISNUMBER($U602:$AA602),$AB$3:$AH$3)</f>
        <v>1</v>
      </c>
      <c r="AJ602" s="829">
        <f t="shared" si="342"/>
        <v>28.748795684897999</v>
      </c>
      <c r="AK602" s="827" t="str">
        <f t="shared" si="343"/>
        <v>Inmadura</v>
      </c>
      <c r="AL602" s="784" t="str">
        <f t="shared" si="344"/>
        <v>Alta</v>
      </c>
      <c r="AM602" s="799">
        <f>IF(ISNUMBER('Base de datos Rutas'!W600),'Base de datos Rutas'!W600,"")</f>
        <v>3293.1144020900269</v>
      </c>
      <c r="AN602" s="787">
        <f>IFERROR(SUMIFS('Base de datos Rutas'!$W$6:$W$794,'Base de datos Rutas'!$C$6:$C$794,$C602)/'Base de datos Rutas'!I600,"")</f>
        <v>3293.1144020900251</v>
      </c>
      <c r="AO602" s="800">
        <f>IFERROR('Base de datos Rutas'!X600*AN602/AM602,"")</f>
        <v>0.47791232590402694</v>
      </c>
      <c r="AP602" s="800">
        <f t="shared" si="345"/>
        <v>0.52208767409597301</v>
      </c>
      <c r="AQ602" s="789">
        <f>IFERROR(INDEX('Hoja de apoyo v2'!$J$17:$J$20,MATCH($A602,'Hoja de apoyo v2'!$A$17:$A$20,0)),"")</f>
        <v>0.64320274048480885</v>
      </c>
      <c r="AR602" s="789">
        <f t="shared" si="346"/>
        <v>-0.12111506638883585</v>
      </c>
      <c r="AS602" s="784" t="str">
        <f t="shared" si="347"/>
        <v>No</v>
      </c>
      <c r="AT602" s="801">
        <f>IF(ISNUMBER('Base de datos Rutas'!CK600),'Base de datos Rutas'!CK600,"")</f>
        <v>361</v>
      </c>
      <c r="AU602" s="802">
        <f>IF(ISNUMBER('Base de datos Rutas'!CL600),'Base de datos Rutas'!CL600,"")</f>
        <v>405.5</v>
      </c>
      <c r="AV602" s="802">
        <f>IF(ISNUMBER('Base de datos Rutas'!CM600),'Base de datos Rutas'!CM600,"")</f>
        <v>44.5</v>
      </c>
      <c r="AW602" s="802">
        <f>IF(ISNUMBER('Base de datos Rutas'!CN600),'Base de datos Rutas'!CN600,"")</f>
        <v>9.3699999999999992</v>
      </c>
      <c r="AX602" s="802">
        <f>IF(ISNUMBER('Base de datos Rutas'!CO600),'Base de datos Rutas'!CO600,"")</f>
        <v>9.4499999999999993</v>
      </c>
      <c r="AY602" s="802">
        <f>IF(ISNUMBER('Base de datos Rutas'!CP600),'Base de datos Rutas'!CP600,"")</f>
        <v>8.0000000000000071E-2</v>
      </c>
      <c r="AZ602" s="802">
        <f>IF(ISNUMBER('Base de datos Rutas'!CQ600),'Base de datos Rutas'!CQ600,"")</f>
        <v>846.56</v>
      </c>
      <c r="BA602" s="802">
        <f>IF(ISNUMBER('Base de datos Rutas'!CR600),'Base de datos Rutas'!CR600,"")</f>
        <v>466.59</v>
      </c>
      <c r="BB602" s="803">
        <f>IF(ISNUMBER('Base de datos Rutas'!CS600),'Base de datos Rutas'!CS600,"")</f>
        <v>379.96999999999997</v>
      </c>
      <c r="BC602" s="804">
        <f t="shared" si="357"/>
        <v>0</v>
      </c>
      <c r="BD602" s="805" t="str">
        <f t="shared" si="358"/>
        <v>No saturada</v>
      </c>
      <c r="BE602" s="806">
        <f t="shared" si="359"/>
        <v>0.55115998865998872</v>
      </c>
      <c r="BF602" s="890">
        <f>IF(ISNUMBER('Base de datos Rutas'!CX600),'Base de datos Rutas'!CX600/100,"")</f>
        <v>0.67665052255926583</v>
      </c>
      <c r="BG602" s="891">
        <f>IF(ISNUMBER('Base de datos Rutas'!CZ600),'Base de datos Rutas'!CZ600/100,"")</f>
        <v>0.68799388223298497</v>
      </c>
      <c r="BH602" s="892">
        <f>IF(ISNUMBER('Base de datos Rutas'!DA600),'Base de datos Rutas'!DA600,"")</f>
        <v>420.03937240075612</v>
      </c>
      <c r="BI602" s="893">
        <f>IF(ISNUMBER('Base de datos Rutas'!DC600),'Base de datos Rutas'!DC600,"")</f>
        <v>17.967420289855074</v>
      </c>
      <c r="BJ602" s="805" t="str">
        <f t="shared" si="360"/>
        <v>Ruta (completo)</v>
      </c>
      <c r="BK602" s="783">
        <f t="shared" si="348"/>
        <v>2</v>
      </c>
      <c r="BL602" s="797">
        <f t="shared" si="349"/>
        <v>2</v>
      </c>
      <c r="BM602" s="797">
        <f t="shared" si="350"/>
        <v>2</v>
      </c>
      <c r="BN602" s="797">
        <f t="shared" si="351"/>
        <v>2</v>
      </c>
      <c r="BO602" s="798" cm="1">
        <f t="array" ref="BO602">SUMPRODUCT(--ISNUMBER($BF602:$BI602),$BK$3:$BN$3)</f>
        <v>1</v>
      </c>
      <c r="BP602" s="831">
        <f t="shared" si="361"/>
        <v>25</v>
      </c>
      <c r="BQ602" s="834" t="str">
        <f t="shared" si="362"/>
        <v>Medio</v>
      </c>
      <c r="BR602" s="836">
        <f t="shared" si="352"/>
        <v>21.561596763673499</v>
      </c>
      <c r="BS602" s="836">
        <f t="shared" si="353"/>
        <v>25</v>
      </c>
      <c r="BT602" s="837" t="str">
        <f t="shared" si="354"/>
        <v>P4</v>
      </c>
      <c r="BU602" s="807" t="str">
        <f t="shared" si="363"/>
        <v>Con espacio</v>
      </c>
      <c r="BV602" s="807" t="str">
        <f t="shared" si="355"/>
        <v>Zona de bajo potencial</v>
      </c>
      <c r="BW602" s="808" t="str">
        <f t="shared" si="356"/>
        <v>P4 - Evaluar</v>
      </c>
    </row>
    <row r="603" spans="1:75">
      <c r="A603" s="780" t="str">
        <f>'Base de datos Rutas'!A601</f>
        <v>Occidente</v>
      </c>
      <c r="B603" s="781" t="str">
        <f>'Base de datos Rutas'!B601</f>
        <v>Favorita</v>
      </c>
      <c r="C603" s="781" t="str">
        <f>'Base de datos Rutas'!C601</f>
        <v>Suc. Santa Maria</v>
      </c>
      <c r="D603" s="782">
        <f>IF(ISNUMBER('Base de datos Rutas'!D601),'Base de datos Rutas'!D601,"Sin código")</f>
        <v>809353</v>
      </c>
      <c r="E603" s="783" t="str">
        <f>'Base de datos Rutas'!F601</f>
        <v>Activa</v>
      </c>
      <c r="F603" s="784" t="str">
        <f>'Base de datos Rutas'!H601</f>
        <v>Sí</v>
      </c>
      <c r="G603" s="785">
        <f>IF(ISNUMBER('Base de datos Rutas'!BE601),'Base de datos Rutas'!BE601,"")</f>
        <v>75.344671201814094</v>
      </c>
      <c r="H603" s="786">
        <f>IF(ISNUMBER('Base de datos Rutas'!BH601),'Base de datos Rutas'!BH601,"")</f>
        <v>0.49366479068227698</v>
      </c>
      <c r="I603" s="788">
        <f>IFERROR(IF(OR(NOT(ISNUMBER('Base de datos Rutas'!O601)),N('Base de datos Rutas'!BK601)=0),"",'Base de datos Rutas'!O601/('Base de datos Rutas'!L601/'Base de datos Rutas'!BK601)),"")</f>
        <v>4548.2018140589626</v>
      </c>
      <c r="J603" s="788">
        <f>IFERROR(IF(OR(NOT(ISNUMBER('Base de datos Rutas'!N601)),N('Base de datos Rutas'!BK601)=0),"",'Base de datos Rutas'!N601/('Base de datos Rutas'!L601/'Base de datos Rutas'!BK601)),"")</f>
        <v>9725.8412698412831</v>
      </c>
      <c r="K603" s="788">
        <f>IFERROR(IF(OR(NOT(ISNUMBER('Base de datos Rutas'!J601)),N('Base de datos Rutas'!BK601)=0),"",'Base de datos Rutas'!J601/('Base de datos Rutas'!L601/'Base de datos Rutas'!BK601)),"")</f>
        <v>664.67927619047475</v>
      </c>
      <c r="L603" s="788">
        <f>IFERROR(IF(OR(NOT(ISNUMBER('Base de datos Rutas'!K601)),N('Base de datos Rutas'!BK601)=0),"",'Base de datos Rutas'!K601/('Base de datos Rutas'!L601/'Base de datos Rutas'!BK601)),"")</f>
        <v>32.066388637188254</v>
      </c>
      <c r="M603" s="787">
        <f>IF(ISNUMBER('Base de datos Rutas'!AX601),'Base de datos Rutas'!AX601,"")</f>
        <v>383.76234225446598</v>
      </c>
      <c r="N603" s="790">
        <f>IFERROR(INDEX('Hoja de apoyo v2'!B$17:B$20,MATCH($A603,'Hoja de apoyo v2'!$A$17:$A$20,0)),"")</f>
        <v>89.41621024641401</v>
      </c>
      <c r="O603" s="791">
        <f>IFERROR(INDEX('Hoja de apoyo v2'!C$17:C$20,MATCH($A603,'Hoja de apoyo v2'!$A$17:$A$20,0)),"")</f>
        <v>0.54706375874806301</v>
      </c>
      <c r="P603" s="793">
        <f>IFERROR(INDEX('Hoja de apoyo v2'!D$17:D$20,MATCH($A603,'Hoja de apoyo v2'!$A$17:$A$20,0)),"")</f>
        <v>11095.153935793827</v>
      </c>
      <c r="Q603" s="793">
        <f>IFERROR(INDEX('Hoja de apoyo v2'!E$17:E$20,MATCH($A603,'Hoja de apoyo v2'!$A$17:$A$20,0)),"")</f>
        <v>6982.3202019701848</v>
      </c>
      <c r="R603" s="793">
        <f>IFERROR(INDEX('Hoja de apoyo v2'!F$17:F$20,MATCH($A603,'Hoja de apoyo v2'!$A$17:$A$20,0)),"")</f>
        <v>448.09513474485743</v>
      </c>
      <c r="S603" s="793">
        <f>IFERROR(INDEX('Hoja de apoyo v2'!G$17:G$20,MATCH($A603,'Hoja de apoyo v2'!$A$17:$A$20,0)),"")</f>
        <v>83.406300904207839</v>
      </c>
      <c r="T603" s="792">
        <f>IFERROR(INDEX('Hoja de apoyo v2'!H$17:H$20,MATCH($A603,'Hoja de apoyo v2'!$A$17:$A$20,0)),"")</f>
        <v>378.97014028925349</v>
      </c>
      <c r="U603" s="794">
        <f t="shared" si="328"/>
        <v>0.8426287693716672</v>
      </c>
      <c r="V603" s="795">
        <f t="shared" si="329"/>
        <v>0.90238986368245677</v>
      </c>
      <c r="W603" s="795">
        <f t="shared" si="330"/>
        <v>0.4099268780206925</v>
      </c>
      <c r="X603" s="843">
        <f t="shared" si="331"/>
        <v>1.3929239835057929</v>
      </c>
      <c r="Y603" s="843">
        <f t="shared" si="332"/>
        <v>1.4833441040794584</v>
      </c>
      <c r="Z603" s="843">
        <f t="shared" si="333"/>
        <v>0.38446002627567083</v>
      </c>
      <c r="AA603" s="843">
        <f t="shared" si="334"/>
        <v>1.0126453286307855</v>
      </c>
      <c r="AB603" s="796">
        <f t="shared" si="335"/>
        <v>3</v>
      </c>
      <c r="AC603" s="797">
        <f t="shared" si="336"/>
        <v>3</v>
      </c>
      <c r="AD603" s="797">
        <f t="shared" si="337"/>
        <v>1</v>
      </c>
      <c r="AE603" s="842">
        <f t="shared" si="338"/>
        <v>5</v>
      </c>
      <c r="AF603" s="842">
        <f t="shared" si="339"/>
        <v>5</v>
      </c>
      <c r="AG603" s="842">
        <f t="shared" si="340"/>
        <v>1</v>
      </c>
      <c r="AH603" s="842">
        <f t="shared" si="341"/>
        <v>4</v>
      </c>
      <c r="AI603" s="826" cm="1">
        <f t="array" ref="AI603">SUMPRODUCT(--ISNUMBER($U603:$AA603),$AB$3:$AH$3)</f>
        <v>1</v>
      </c>
      <c r="AJ603" s="829">
        <f t="shared" si="342"/>
        <v>45.909235682068093</v>
      </c>
      <c r="AK603" s="827" t="str">
        <f t="shared" si="343"/>
        <v>En desarrollo</v>
      </c>
      <c r="AL603" s="784" t="str">
        <f t="shared" si="344"/>
        <v>Alta</v>
      </c>
      <c r="AM603" s="799">
        <f>IF(ISNUMBER('Base de datos Rutas'!W601),'Base de datos Rutas'!W601,"")</f>
        <v>3293.1144020900269</v>
      </c>
      <c r="AN603" s="787">
        <f>IFERROR(SUMIFS('Base de datos Rutas'!$W$6:$W$794,'Base de datos Rutas'!$C$6:$C$794,$C603)/'Base de datos Rutas'!I601,"")</f>
        <v>3293.1144020900251</v>
      </c>
      <c r="AO603" s="800">
        <f>IFERROR('Base de datos Rutas'!X601*AN603/AM603,"")</f>
        <v>0.47791232590402694</v>
      </c>
      <c r="AP603" s="800">
        <f t="shared" si="345"/>
        <v>0.52208767409597301</v>
      </c>
      <c r="AQ603" s="789">
        <f>IFERROR(INDEX('Hoja de apoyo v2'!$J$17:$J$20,MATCH($A603,'Hoja de apoyo v2'!$A$17:$A$20,0)),"")</f>
        <v>0.64320274048480885</v>
      </c>
      <c r="AR603" s="789">
        <f t="shared" si="346"/>
        <v>-0.12111506638883585</v>
      </c>
      <c r="AS603" s="784" t="str">
        <f t="shared" si="347"/>
        <v>No</v>
      </c>
      <c r="AT603" s="801">
        <f>IF(ISNUMBER('Base de datos Rutas'!CK601),'Base de datos Rutas'!CK601,"")</f>
        <v>400</v>
      </c>
      <c r="AU603" s="802">
        <f>IF(ISNUMBER('Base de datos Rutas'!CL601),'Base de datos Rutas'!CL601,"")</f>
        <v>987.54</v>
      </c>
      <c r="AV603" s="802">
        <f>IF(ISNUMBER('Base de datos Rutas'!CM601),'Base de datos Rutas'!CM601,"")</f>
        <v>587.54</v>
      </c>
      <c r="AW603" s="802">
        <f>IF(ISNUMBER('Base de datos Rutas'!CN601),'Base de datos Rutas'!CN601,"")</f>
        <v>8.27</v>
      </c>
      <c r="AX603" s="802">
        <f>IF(ISNUMBER('Base de datos Rutas'!CO601),'Base de datos Rutas'!CO601,"")</f>
        <v>9.4499999999999993</v>
      </c>
      <c r="AY603" s="802">
        <f>IF(ISNUMBER('Base de datos Rutas'!CP601),'Base de datos Rutas'!CP601,"")</f>
        <v>1.1799999999999997</v>
      </c>
      <c r="AZ603" s="802">
        <f>IF(ISNUMBER('Base de datos Rutas'!CQ601),'Base de datos Rutas'!CQ601,"")</f>
        <v>846.56</v>
      </c>
      <c r="BA603" s="802">
        <f>IF(ISNUMBER('Base de datos Rutas'!CR601),'Base de datos Rutas'!CR601,"")</f>
        <v>696.75</v>
      </c>
      <c r="BB603" s="803">
        <f>IF(ISNUMBER('Base de datos Rutas'!CS601),'Base de datos Rutas'!CS601,"")</f>
        <v>149.80999999999995</v>
      </c>
      <c r="BC603" s="804">
        <f t="shared" si="357"/>
        <v>0</v>
      </c>
      <c r="BD603" s="805" t="str">
        <f t="shared" si="358"/>
        <v>No saturada</v>
      </c>
      <c r="BE603" s="806">
        <f t="shared" si="359"/>
        <v>0.82303676053676056</v>
      </c>
      <c r="BF603" s="890">
        <f>IF(ISNUMBER('Base de datos Rutas'!CX601),'Base de datos Rutas'!CX601/100,"")</f>
        <v>0.88365685809207406</v>
      </c>
      <c r="BG603" s="891">
        <f>IF(ISNUMBER('Base de datos Rutas'!CZ601),'Base de datos Rutas'!CZ601/100,"")</f>
        <v>0.95336971998101572</v>
      </c>
      <c r="BH603" s="892">
        <f>IF(ISNUMBER('Base de datos Rutas'!DA601),'Base de datos Rutas'!DA601,"")</f>
        <v>785.45218145557544</v>
      </c>
      <c r="BI603" s="893">
        <f>IF(ISNUMBER('Base de datos Rutas'!DC601),'Base de datos Rutas'!DC601,"")</f>
        <v>38.193365011968218</v>
      </c>
      <c r="BJ603" s="805" t="str">
        <f t="shared" si="360"/>
        <v>Ruta (completo)</v>
      </c>
      <c r="BK603" s="783">
        <f t="shared" si="348"/>
        <v>3</v>
      </c>
      <c r="BL603" s="797">
        <f t="shared" si="349"/>
        <v>3</v>
      </c>
      <c r="BM603" s="797">
        <f t="shared" si="350"/>
        <v>4</v>
      </c>
      <c r="BN603" s="797">
        <f t="shared" si="351"/>
        <v>4</v>
      </c>
      <c r="BO603" s="798" cm="1">
        <f t="array" ref="BO603">SUMPRODUCT(--ISNUMBER($BF603:$BI603),$BK$3:$BN$3)</f>
        <v>1</v>
      </c>
      <c r="BP603" s="831">
        <f t="shared" si="361"/>
        <v>62.5</v>
      </c>
      <c r="BQ603" s="834" t="str">
        <f t="shared" si="362"/>
        <v>Alto</v>
      </c>
      <c r="BR603" s="836">
        <f t="shared" si="352"/>
        <v>34.431926761551068</v>
      </c>
      <c r="BS603" s="836">
        <f t="shared" si="353"/>
        <v>62.5</v>
      </c>
      <c r="BT603" s="837" t="str">
        <f t="shared" si="354"/>
        <v>P1</v>
      </c>
      <c r="BU603" s="807" t="str">
        <f t="shared" si="363"/>
        <v>Con espacio</v>
      </c>
      <c r="BV603" s="807" t="str">
        <f t="shared" si="355"/>
        <v>Zona atractiva</v>
      </c>
      <c r="BW603" s="808" t="str">
        <f t="shared" si="356"/>
        <v>P1 - Ampliar cobertura</v>
      </c>
    </row>
    <row r="604" spans="1:75">
      <c r="A604" s="780" t="str">
        <f>'Base de datos Rutas'!A602</f>
        <v>Occidente</v>
      </c>
      <c r="B604" s="781" t="str">
        <f>'Base de datos Rutas'!B602</f>
        <v>Favorita</v>
      </c>
      <c r="C604" s="781" t="str">
        <f>'Base de datos Rutas'!C602</f>
        <v>Suc. Santa Maria</v>
      </c>
      <c r="D604" s="782">
        <f>IF(ISNUMBER('Base de datos Rutas'!D602),'Base de datos Rutas'!D602,"Sin código")</f>
        <v>809354</v>
      </c>
      <c r="E604" s="783" t="str">
        <f>'Base de datos Rutas'!F602</f>
        <v>Activa</v>
      </c>
      <c r="F604" s="784" t="str">
        <f>'Base de datos Rutas'!H602</f>
        <v>Sí</v>
      </c>
      <c r="G604" s="785">
        <f>IF(ISNUMBER('Base de datos Rutas'!BE602),'Base de datos Rutas'!BE602,"")</f>
        <v>89.757505773672094</v>
      </c>
      <c r="H604" s="786">
        <f>IF(ISNUMBER('Base de datos Rutas'!BH602),'Base de datos Rutas'!BH602,"")</f>
        <v>0.36068442042969301</v>
      </c>
      <c r="I604" s="788">
        <f>IFERROR(IF(OR(NOT(ISNUMBER('Base de datos Rutas'!O602)),N('Base de datos Rutas'!BK602)=0),"",'Base de datos Rutas'!O602/('Base de datos Rutas'!L602/'Base de datos Rutas'!BK602)),"")</f>
        <v>3016.7598152424871</v>
      </c>
      <c r="J604" s="788">
        <f>IFERROR(IF(OR(NOT(ISNUMBER('Base de datos Rutas'!N602)),N('Base de datos Rutas'!BK602)=0),"",'Base de datos Rutas'!N602/('Base de datos Rutas'!L602/'Base de datos Rutas'!BK602)),"")</f>
        <v>6617.4018475750418</v>
      </c>
      <c r="K604" s="788">
        <f>IFERROR(IF(OR(NOT(ISNUMBER('Base de datos Rutas'!J602)),N('Base de datos Rutas'!BK602)=0),"",'Base de datos Rutas'!J602/('Base de datos Rutas'!L602/'Base de datos Rutas'!BK602)),"")</f>
        <v>451.58306882216982</v>
      </c>
      <c r="L604" s="788">
        <f>IFERROR(IF(OR(NOT(ISNUMBER('Base de datos Rutas'!K602)),N('Base de datos Rutas'!BK602)=0),"",'Base de datos Rutas'!K602/('Base de datos Rutas'!L602/'Base de datos Rutas'!BK602)),"")</f>
        <v>24.312339203233197</v>
      </c>
      <c r="M604" s="787">
        <f>IF(ISNUMBER('Base de datos Rutas'!AX602),'Base de datos Rutas'!AX602,"")</f>
        <v>297.58816521615103</v>
      </c>
      <c r="N604" s="790">
        <f>IFERROR(INDEX('Hoja de apoyo v2'!B$17:B$20,MATCH($A604,'Hoja de apoyo v2'!$A$17:$A$20,0)),"")</f>
        <v>89.41621024641401</v>
      </c>
      <c r="O604" s="791">
        <f>IFERROR(INDEX('Hoja de apoyo v2'!C$17:C$20,MATCH($A604,'Hoja de apoyo v2'!$A$17:$A$20,0)),"")</f>
        <v>0.54706375874806301</v>
      </c>
      <c r="P604" s="793">
        <f>IFERROR(INDEX('Hoja de apoyo v2'!D$17:D$20,MATCH($A604,'Hoja de apoyo v2'!$A$17:$A$20,0)),"")</f>
        <v>11095.153935793827</v>
      </c>
      <c r="Q604" s="793">
        <f>IFERROR(INDEX('Hoja de apoyo v2'!E$17:E$20,MATCH($A604,'Hoja de apoyo v2'!$A$17:$A$20,0)),"")</f>
        <v>6982.3202019701848</v>
      </c>
      <c r="R604" s="793">
        <f>IFERROR(INDEX('Hoja de apoyo v2'!F$17:F$20,MATCH($A604,'Hoja de apoyo v2'!$A$17:$A$20,0)),"")</f>
        <v>448.09513474485743</v>
      </c>
      <c r="S604" s="793">
        <f>IFERROR(INDEX('Hoja de apoyo v2'!G$17:G$20,MATCH($A604,'Hoja de apoyo v2'!$A$17:$A$20,0)),"")</f>
        <v>83.406300904207839</v>
      </c>
      <c r="T604" s="792">
        <f>IFERROR(INDEX('Hoja de apoyo v2'!H$17:H$20,MATCH($A604,'Hoja de apoyo v2'!$A$17:$A$20,0)),"")</f>
        <v>378.97014028925349</v>
      </c>
      <c r="U604" s="794">
        <f t="shared" si="328"/>
        <v>1.0038169312512524</v>
      </c>
      <c r="V604" s="795">
        <f t="shared" si="329"/>
        <v>0.65930965936238795</v>
      </c>
      <c r="W604" s="795">
        <f t="shared" si="330"/>
        <v>0.27189886978586081</v>
      </c>
      <c r="X604" s="843">
        <f t="shared" si="331"/>
        <v>0.94773680612754274</v>
      </c>
      <c r="Y604" s="843">
        <f t="shared" si="332"/>
        <v>1.0077839141888885</v>
      </c>
      <c r="Z604" s="843">
        <f t="shared" si="333"/>
        <v>0.29149283614862531</v>
      </c>
      <c r="AA604" s="843">
        <f t="shared" si="334"/>
        <v>0.78525491477775344</v>
      </c>
      <c r="AB604" s="796">
        <f t="shared" si="335"/>
        <v>4</v>
      </c>
      <c r="AC604" s="797">
        <f t="shared" si="336"/>
        <v>2</v>
      </c>
      <c r="AD604" s="797">
        <f t="shared" si="337"/>
        <v>1</v>
      </c>
      <c r="AE604" s="842">
        <f t="shared" si="338"/>
        <v>3</v>
      </c>
      <c r="AF604" s="842">
        <f t="shared" si="339"/>
        <v>4</v>
      </c>
      <c r="AG604" s="842">
        <f t="shared" si="340"/>
        <v>1</v>
      </c>
      <c r="AH604" s="842">
        <f t="shared" si="341"/>
        <v>3</v>
      </c>
      <c r="AI604" s="826" cm="1">
        <f t="array" ref="AI604">SUMPRODUCT(--ISNUMBER($U604:$AA604),$AB$3:$AH$3)</f>
        <v>1</v>
      </c>
      <c r="AJ604" s="829">
        <f t="shared" si="342"/>
        <v>36.070298629510624</v>
      </c>
      <c r="AK604" s="827" t="str">
        <f t="shared" si="343"/>
        <v>Inmadura</v>
      </c>
      <c r="AL604" s="784" t="str">
        <f t="shared" si="344"/>
        <v>Alta</v>
      </c>
      <c r="AM604" s="799">
        <f>IF(ISNUMBER('Base de datos Rutas'!W602),'Base de datos Rutas'!W602,"")</f>
        <v>3293.1144020900269</v>
      </c>
      <c r="AN604" s="787">
        <f>IFERROR(SUMIFS('Base de datos Rutas'!$W$6:$W$794,'Base de datos Rutas'!$C$6:$C$794,$C604)/'Base de datos Rutas'!I602,"")</f>
        <v>3293.1144020900251</v>
      </c>
      <c r="AO604" s="800">
        <f>IFERROR('Base de datos Rutas'!X602*AN604/AM604,"")</f>
        <v>0.47791232590402694</v>
      </c>
      <c r="AP604" s="800">
        <f t="shared" si="345"/>
        <v>0.52208767409597301</v>
      </c>
      <c r="AQ604" s="789">
        <f>IFERROR(INDEX('Hoja de apoyo v2'!$J$17:$J$20,MATCH($A604,'Hoja de apoyo v2'!$A$17:$A$20,0)),"")</f>
        <v>0.64320274048480885</v>
      </c>
      <c r="AR604" s="789">
        <f t="shared" si="346"/>
        <v>-0.12111506638883585</v>
      </c>
      <c r="AS604" s="784" t="str">
        <f t="shared" si="347"/>
        <v>No</v>
      </c>
      <c r="AT604" s="801">
        <f>IF(ISNUMBER('Base de datos Rutas'!CK602),'Base de datos Rutas'!CK602,"")</f>
        <v>312</v>
      </c>
      <c r="AU604" s="802">
        <f>IF(ISNUMBER('Base de datos Rutas'!CL602),'Base de datos Rutas'!CL602,"")</f>
        <v>422.13</v>
      </c>
      <c r="AV604" s="802">
        <f>IF(ISNUMBER('Base de datos Rutas'!CM602),'Base de datos Rutas'!CM602,"")</f>
        <v>110.13</v>
      </c>
      <c r="AW604" s="802">
        <f>IF(ISNUMBER('Base de datos Rutas'!CN602),'Base de datos Rutas'!CN602,"")</f>
        <v>8.02</v>
      </c>
      <c r="AX604" s="802">
        <f>IF(ISNUMBER('Base de datos Rutas'!CO602),'Base de datos Rutas'!CO602,"")</f>
        <v>9.4499999999999993</v>
      </c>
      <c r="AY604" s="802">
        <f>IF(ISNUMBER('Base de datos Rutas'!CP602),'Base de datos Rutas'!CP602,"")</f>
        <v>1.4299999999999997</v>
      </c>
      <c r="AZ604" s="802">
        <f>IF(ISNUMBER('Base de datos Rutas'!CQ602),'Base de datos Rutas'!CQ602,"")</f>
        <v>846.56</v>
      </c>
      <c r="BA604" s="802">
        <f>IF(ISNUMBER('Base de datos Rutas'!CR602),'Base de datos Rutas'!CR602,"")</f>
        <v>475.9</v>
      </c>
      <c r="BB604" s="803">
        <f>IF(ISNUMBER('Base de datos Rutas'!CS602),'Base de datos Rutas'!CS602,"")</f>
        <v>370.65999999999997</v>
      </c>
      <c r="BC604" s="804">
        <f t="shared" si="357"/>
        <v>0</v>
      </c>
      <c r="BD604" s="805" t="str">
        <f t="shared" si="358"/>
        <v>No saturada</v>
      </c>
      <c r="BE604" s="806">
        <f t="shared" si="359"/>
        <v>0.56215743715743716</v>
      </c>
      <c r="BF604" s="890">
        <f>IF(ISNUMBER('Base de datos Rutas'!CX602),'Base de datos Rutas'!CX602/100,"")</f>
        <v>0.86657614300446884</v>
      </c>
      <c r="BG604" s="891">
        <f>IF(ISNUMBER('Base de datos Rutas'!CZ602),'Base de datos Rutas'!CZ602/100,"")</f>
        <v>0.9044345135785492</v>
      </c>
      <c r="BH604" s="892">
        <f>IF(ISNUMBER('Base de datos Rutas'!DA602),'Base de datos Rutas'!DA602,"")</f>
        <v>740.09591504837476</v>
      </c>
      <c r="BI604" s="893">
        <f>IF(ISNUMBER('Base de datos Rutas'!DC602),'Base de datos Rutas'!DC602,"")</f>
        <v>36.920848058877887</v>
      </c>
      <c r="BJ604" s="805" t="str">
        <f t="shared" si="360"/>
        <v>Ruta (completo)</v>
      </c>
      <c r="BK604" s="783">
        <f t="shared" si="348"/>
        <v>3</v>
      </c>
      <c r="BL604" s="797">
        <f t="shared" si="349"/>
        <v>2</v>
      </c>
      <c r="BM604" s="797">
        <f t="shared" si="350"/>
        <v>3</v>
      </c>
      <c r="BN604" s="797">
        <f t="shared" si="351"/>
        <v>3</v>
      </c>
      <c r="BO604" s="798" cm="1">
        <f t="array" ref="BO604">SUMPRODUCT(--ISNUMBER($BF604:$BI604),$BK$3:$BN$3)</f>
        <v>1</v>
      </c>
      <c r="BP604" s="831">
        <f t="shared" si="361"/>
        <v>43.75</v>
      </c>
      <c r="BQ604" s="834" t="str">
        <f t="shared" si="362"/>
        <v>Medio</v>
      </c>
      <c r="BR604" s="836">
        <f t="shared" si="352"/>
        <v>27.052723972132966</v>
      </c>
      <c r="BS604" s="836">
        <f t="shared" si="353"/>
        <v>43.75</v>
      </c>
      <c r="BT604" s="837" t="str">
        <f t="shared" si="354"/>
        <v>P4</v>
      </c>
      <c r="BU604" s="807" t="str">
        <f t="shared" si="363"/>
        <v>Con espacio</v>
      </c>
      <c r="BV604" s="807" t="str">
        <f t="shared" si="355"/>
        <v>Zona de bajo potencial</v>
      </c>
      <c r="BW604" s="808" t="str">
        <f t="shared" si="356"/>
        <v>P4 - Evaluar</v>
      </c>
    </row>
    <row r="605" spans="1:75">
      <c r="A605" s="780" t="str">
        <f>'Base de datos Rutas'!A603</f>
        <v>Occidente</v>
      </c>
      <c r="B605" s="781" t="str">
        <f>'Base de datos Rutas'!B603</f>
        <v>Favorita</v>
      </c>
      <c r="C605" s="781" t="str">
        <f>'Base de datos Rutas'!C603</f>
        <v>Suc. Santa Maria</v>
      </c>
      <c r="D605" s="782">
        <f>IF(ISNUMBER('Base de datos Rutas'!D603),'Base de datos Rutas'!D603,"Sin código")</f>
        <v>809355</v>
      </c>
      <c r="E605" s="783" t="str">
        <f>'Base de datos Rutas'!F603</f>
        <v>Activa</v>
      </c>
      <c r="F605" s="784" t="str">
        <f>'Base de datos Rutas'!H603</f>
        <v>Sí</v>
      </c>
      <c r="G605" s="785">
        <f>IF(ISNUMBER('Base de datos Rutas'!BE603),'Base de datos Rutas'!BE603,"")</f>
        <v>50.371824480369497</v>
      </c>
      <c r="H605" s="786">
        <f>IF(ISNUMBER('Base de datos Rutas'!BH603),'Base de datos Rutas'!BH603,"")</f>
        <v>0.47361423135115299</v>
      </c>
      <c r="I605" s="788">
        <f>IFERROR(IF(OR(NOT(ISNUMBER('Base de datos Rutas'!O603)),N('Base de datos Rutas'!BK603)=0),"",'Base de datos Rutas'!O603/('Base de datos Rutas'!L603/'Base de datos Rutas'!BK603)),"")</f>
        <v>1339.7413394919211</v>
      </c>
      <c r="J605" s="788">
        <f>IFERROR(IF(OR(NOT(ISNUMBER('Base de datos Rutas'!N603)),N('Base de datos Rutas'!BK603)=0),"",'Base de datos Rutas'!N603/('Base de datos Rutas'!L603/'Base de datos Rutas'!BK603)),"")</f>
        <v>6704.9053117783124</v>
      </c>
      <c r="K605" s="788">
        <f>IFERROR(IF(OR(NOT(ISNUMBER('Base de datos Rutas'!J603)),N('Base de datos Rutas'!BK603)=0),"",'Base de datos Rutas'!J603/('Base de datos Rutas'!L603/'Base de datos Rutas'!BK603)),"")</f>
        <v>457.48898660507996</v>
      </c>
      <c r="L605" s="788">
        <f>IFERROR(IF(OR(NOT(ISNUMBER('Base de datos Rutas'!K603)),N('Base de datos Rutas'!BK603)=0),"",'Base de datos Rutas'!K603/('Base de datos Rutas'!L603/'Base de datos Rutas'!BK603)),"")</f>
        <v>9.9688741478060372</v>
      </c>
      <c r="M605" s="787">
        <f>IF(ISNUMBER('Base de datos Rutas'!AX603),'Base de datos Rutas'!AX603,"")</f>
        <v>337.20499515972898</v>
      </c>
      <c r="N605" s="790">
        <f>IFERROR(INDEX('Hoja de apoyo v2'!B$17:B$20,MATCH($A605,'Hoja de apoyo v2'!$A$17:$A$20,0)),"")</f>
        <v>89.41621024641401</v>
      </c>
      <c r="O605" s="791">
        <f>IFERROR(INDEX('Hoja de apoyo v2'!C$17:C$20,MATCH($A605,'Hoja de apoyo v2'!$A$17:$A$20,0)),"")</f>
        <v>0.54706375874806301</v>
      </c>
      <c r="P605" s="793">
        <f>IFERROR(INDEX('Hoja de apoyo v2'!D$17:D$20,MATCH($A605,'Hoja de apoyo v2'!$A$17:$A$20,0)),"")</f>
        <v>11095.153935793827</v>
      </c>
      <c r="Q605" s="793">
        <f>IFERROR(INDEX('Hoja de apoyo v2'!E$17:E$20,MATCH($A605,'Hoja de apoyo v2'!$A$17:$A$20,0)),"")</f>
        <v>6982.3202019701848</v>
      </c>
      <c r="R605" s="793">
        <f>IFERROR(INDEX('Hoja de apoyo v2'!F$17:F$20,MATCH($A605,'Hoja de apoyo v2'!$A$17:$A$20,0)),"")</f>
        <v>448.09513474485743</v>
      </c>
      <c r="S605" s="793">
        <f>IFERROR(INDEX('Hoja de apoyo v2'!G$17:G$20,MATCH($A605,'Hoja de apoyo v2'!$A$17:$A$20,0)),"")</f>
        <v>83.406300904207839</v>
      </c>
      <c r="T605" s="792">
        <f>IFERROR(INDEX('Hoja de apoyo v2'!H$17:H$20,MATCH($A605,'Hoja de apoyo v2'!$A$17:$A$20,0)),"")</f>
        <v>378.97014028925349</v>
      </c>
      <c r="U605" s="794">
        <f t="shared" si="328"/>
        <v>0.56334108034275177</v>
      </c>
      <c r="V605" s="795">
        <f t="shared" si="329"/>
        <v>0.86573863425901798</v>
      </c>
      <c r="W605" s="795">
        <f t="shared" si="330"/>
        <v>0.12075013535141785</v>
      </c>
      <c r="X605" s="843">
        <f t="shared" si="331"/>
        <v>0.96026895327521722</v>
      </c>
      <c r="Y605" s="843">
        <f t="shared" si="332"/>
        <v>1.0209639675413378</v>
      </c>
      <c r="Z605" s="843">
        <f t="shared" si="333"/>
        <v>0.1195218351579372</v>
      </c>
      <c r="AA605" s="843">
        <f t="shared" si="334"/>
        <v>0.88979304517858115</v>
      </c>
      <c r="AB605" s="796">
        <f t="shared" si="335"/>
        <v>2</v>
      </c>
      <c r="AC605" s="797">
        <f t="shared" si="336"/>
        <v>3</v>
      </c>
      <c r="AD605" s="797">
        <f t="shared" si="337"/>
        <v>1</v>
      </c>
      <c r="AE605" s="842">
        <f t="shared" si="338"/>
        <v>3</v>
      </c>
      <c r="AF605" s="842">
        <f t="shared" si="339"/>
        <v>4</v>
      </c>
      <c r="AG605" s="842">
        <f t="shared" si="340"/>
        <v>1</v>
      </c>
      <c r="AH605" s="842">
        <f t="shared" si="341"/>
        <v>3</v>
      </c>
      <c r="AI605" s="826" cm="1">
        <f t="array" ref="AI605">SUMPRODUCT(--ISNUMBER($U605:$AA605),$AB$3:$AH$3)</f>
        <v>1</v>
      </c>
      <c r="AJ605" s="829">
        <f t="shared" si="342"/>
        <v>29.385931859127602</v>
      </c>
      <c r="AK605" s="827" t="str">
        <f t="shared" si="343"/>
        <v>Inmadura</v>
      </c>
      <c r="AL605" s="784" t="str">
        <f t="shared" si="344"/>
        <v>Alta</v>
      </c>
      <c r="AM605" s="799">
        <f>IF(ISNUMBER('Base de datos Rutas'!W603),'Base de datos Rutas'!W603,"")</f>
        <v>3293.1144020900269</v>
      </c>
      <c r="AN605" s="787">
        <f>IFERROR(SUMIFS('Base de datos Rutas'!$W$6:$W$794,'Base de datos Rutas'!$C$6:$C$794,$C605)/'Base de datos Rutas'!I603,"")</f>
        <v>3293.1144020900251</v>
      </c>
      <c r="AO605" s="800">
        <f>IFERROR('Base de datos Rutas'!X603*AN605/AM605,"")</f>
        <v>0.47791232590402694</v>
      </c>
      <c r="AP605" s="800">
        <f t="shared" si="345"/>
        <v>0.52208767409597301</v>
      </c>
      <c r="AQ605" s="789">
        <f>IFERROR(INDEX('Hoja de apoyo v2'!$J$17:$J$20,MATCH($A605,'Hoja de apoyo v2'!$A$17:$A$20,0)),"")</f>
        <v>0.64320274048480885</v>
      </c>
      <c r="AR605" s="789">
        <f t="shared" si="346"/>
        <v>-0.12111506638883585</v>
      </c>
      <c r="AS605" s="784" t="str">
        <f t="shared" si="347"/>
        <v>No</v>
      </c>
      <c r="AT605" s="801">
        <f>IF(ISNUMBER('Base de datos Rutas'!CK603),'Base de datos Rutas'!CK603,"")</f>
        <v>254</v>
      </c>
      <c r="AU605" s="802">
        <f>IF(ISNUMBER('Base de datos Rutas'!CL603),'Base de datos Rutas'!CL603,"")</f>
        <v>414.47</v>
      </c>
      <c r="AV605" s="802">
        <f>IF(ISNUMBER('Base de datos Rutas'!CM603),'Base de datos Rutas'!CM603,"")</f>
        <v>160.47000000000003</v>
      </c>
      <c r="AW605" s="802">
        <f>IF(ISNUMBER('Base de datos Rutas'!CN603),'Base de datos Rutas'!CN603,"")</f>
        <v>6.14</v>
      </c>
      <c r="AX605" s="802">
        <f>IF(ISNUMBER('Base de datos Rutas'!CO603),'Base de datos Rutas'!CO603,"")</f>
        <v>9.4499999999999993</v>
      </c>
      <c r="AY605" s="802">
        <f>IF(ISNUMBER('Base de datos Rutas'!CP603),'Base de datos Rutas'!CP603,"")</f>
        <v>3.3099999999999996</v>
      </c>
      <c r="AZ605" s="802">
        <f>IF(ISNUMBER('Base de datos Rutas'!CQ603),'Base de datos Rutas'!CQ603,"")</f>
        <v>846.56</v>
      </c>
      <c r="BA605" s="802">
        <f>IF(ISNUMBER('Base de datos Rutas'!CR603),'Base de datos Rutas'!CR603,"")</f>
        <v>467.46</v>
      </c>
      <c r="BB605" s="803">
        <f>IF(ISNUMBER('Base de datos Rutas'!CS603),'Base de datos Rutas'!CS603,"")</f>
        <v>379.09999999999997</v>
      </c>
      <c r="BC605" s="804">
        <f t="shared" si="357"/>
        <v>0</v>
      </c>
      <c r="BD605" s="805" t="str">
        <f t="shared" si="358"/>
        <v>No saturada</v>
      </c>
      <c r="BE605" s="806">
        <f t="shared" si="359"/>
        <v>0.55218767718767725</v>
      </c>
      <c r="BF605" s="890">
        <f>IF(ISNUMBER('Base de datos Rutas'!CX603),'Base de datos Rutas'!CX603/100,"")</f>
        <v>0.95607172187243383</v>
      </c>
      <c r="BG605" s="891">
        <f>IF(ISNUMBER('Base de datos Rutas'!CZ603),'Base de datos Rutas'!CZ603/100,"")</f>
        <v>1</v>
      </c>
      <c r="BH605" s="892">
        <f>IF(ISNUMBER('Base de datos Rutas'!DA603),'Base de datos Rutas'!DA603,"")</f>
        <v>656.6130217361092</v>
      </c>
      <c r="BI605" s="893">
        <f>IF(ISNUMBER('Base de datos Rutas'!DC603),'Base de datos Rutas'!DC603,"")</f>
        <v>34.531303510975569</v>
      </c>
      <c r="BJ605" s="805" t="str">
        <f t="shared" si="360"/>
        <v>Ruta (completo)</v>
      </c>
      <c r="BK605" s="783">
        <f t="shared" si="348"/>
        <v>5</v>
      </c>
      <c r="BL605" s="797">
        <f t="shared" si="349"/>
        <v>3</v>
      </c>
      <c r="BM605" s="797">
        <f t="shared" si="350"/>
        <v>3</v>
      </c>
      <c r="BN605" s="797">
        <f t="shared" si="351"/>
        <v>3</v>
      </c>
      <c r="BO605" s="798" cm="1">
        <f t="array" ref="BO605">SUMPRODUCT(--ISNUMBER($BF605:$BI605),$BK$3:$BN$3)</f>
        <v>1</v>
      </c>
      <c r="BP605" s="831">
        <f t="shared" si="361"/>
        <v>62.5</v>
      </c>
      <c r="BQ605" s="834" t="str">
        <f t="shared" si="362"/>
        <v>Alto</v>
      </c>
      <c r="BR605" s="836">
        <f t="shared" si="352"/>
        <v>22.039448894345703</v>
      </c>
      <c r="BS605" s="836">
        <f t="shared" si="353"/>
        <v>62.5</v>
      </c>
      <c r="BT605" s="837" t="str">
        <f t="shared" si="354"/>
        <v>P3</v>
      </c>
      <c r="BU605" s="807" t="str">
        <f t="shared" si="363"/>
        <v>Con espacio</v>
      </c>
      <c r="BV605" s="807" t="str">
        <f t="shared" si="355"/>
        <v>Zona atractiva</v>
      </c>
      <c r="BW605" s="808" t="str">
        <f t="shared" si="356"/>
        <v>P3 - Desarrollar</v>
      </c>
    </row>
    <row r="606" spans="1:75">
      <c r="A606" s="780" t="str">
        <f>'Base de datos Rutas'!A604</f>
        <v>Occidente</v>
      </c>
      <c r="B606" s="781" t="str">
        <f>'Base de datos Rutas'!B604</f>
        <v>Favorita</v>
      </c>
      <c r="C606" s="781" t="str">
        <f>'Base de datos Rutas'!C604</f>
        <v>Suc. Santa Maria</v>
      </c>
      <c r="D606" s="782">
        <f>IF(ISNUMBER('Base de datos Rutas'!D604),'Base de datos Rutas'!D604,"Sin código")</f>
        <v>809356</v>
      </c>
      <c r="E606" s="783" t="str">
        <f>'Base de datos Rutas'!F604</f>
        <v>Activa</v>
      </c>
      <c r="F606" s="784" t="str">
        <f>'Base de datos Rutas'!H604</f>
        <v>Sí</v>
      </c>
      <c r="G606" s="785">
        <f>IF(ISNUMBER('Base de datos Rutas'!BE604),'Base de datos Rutas'!BE604,"")</f>
        <v>63.944954128440401</v>
      </c>
      <c r="H606" s="786">
        <f>IF(ISNUMBER('Base de datos Rutas'!BH604),'Base de datos Rutas'!BH604,"")</f>
        <v>0.31811334289813498</v>
      </c>
      <c r="I606" s="788">
        <f>IFERROR(IF(OR(NOT(ISNUMBER('Base de datos Rutas'!O604)),N('Base de datos Rutas'!BK604)=0),"",'Base de datos Rutas'!O604/('Base de datos Rutas'!L604/'Base de datos Rutas'!BK604)),"")</f>
        <v>2652.6009174311926</v>
      </c>
      <c r="J606" s="788">
        <f>IFERROR(IF(OR(NOT(ISNUMBER('Base de datos Rutas'!N604)),N('Base de datos Rutas'!BK604)=0),"",'Base de datos Rutas'!N604/('Base de datos Rutas'!L604/'Base de datos Rutas'!BK604)),"")</f>
        <v>5530.4678899082564</v>
      </c>
      <c r="K606" s="788">
        <f>IFERROR(IF(OR(NOT(ISNUMBER('Base de datos Rutas'!J604)),N('Base de datos Rutas'!BK604)=0),"",'Base de datos Rutas'!J604/('Base de datos Rutas'!L604/'Base de datos Rutas'!BK604)),"")</f>
        <v>377.4704018348624</v>
      </c>
      <c r="L606" s="788">
        <f>IFERROR(IF(OR(NOT(ISNUMBER('Base de datos Rutas'!K604)),N('Base de datos Rutas'!BK604)=0),"",'Base de datos Rutas'!K604/('Base de datos Rutas'!L604/'Base de datos Rutas'!BK604)),"")</f>
        <v>19.516525974770644</v>
      </c>
      <c r="M606" s="787">
        <f>IF(ISNUMBER('Base de datos Rutas'!AX604),'Base de datos Rutas'!AX604,"")</f>
        <v>402.27944187619801</v>
      </c>
      <c r="N606" s="790">
        <f>IFERROR(INDEX('Hoja de apoyo v2'!B$17:B$20,MATCH($A606,'Hoja de apoyo v2'!$A$17:$A$20,0)),"")</f>
        <v>89.41621024641401</v>
      </c>
      <c r="O606" s="791">
        <f>IFERROR(INDEX('Hoja de apoyo v2'!C$17:C$20,MATCH($A606,'Hoja de apoyo v2'!$A$17:$A$20,0)),"")</f>
        <v>0.54706375874806301</v>
      </c>
      <c r="P606" s="793">
        <f>IFERROR(INDEX('Hoja de apoyo v2'!D$17:D$20,MATCH($A606,'Hoja de apoyo v2'!$A$17:$A$20,0)),"")</f>
        <v>11095.153935793827</v>
      </c>
      <c r="Q606" s="793">
        <f>IFERROR(INDEX('Hoja de apoyo v2'!E$17:E$20,MATCH($A606,'Hoja de apoyo v2'!$A$17:$A$20,0)),"")</f>
        <v>6982.3202019701848</v>
      </c>
      <c r="R606" s="793">
        <f>IFERROR(INDEX('Hoja de apoyo v2'!F$17:F$20,MATCH($A606,'Hoja de apoyo v2'!$A$17:$A$20,0)),"")</f>
        <v>448.09513474485743</v>
      </c>
      <c r="S606" s="793">
        <f>IFERROR(INDEX('Hoja de apoyo v2'!G$17:G$20,MATCH($A606,'Hoja de apoyo v2'!$A$17:$A$20,0)),"")</f>
        <v>83.406300904207839</v>
      </c>
      <c r="T606" s="792">
        <f>IFERROR(INDEX('Hoja de apoyo v2'!H$17:H$20,MATCH($A606,'Hoja de apoyo v2'!$A$17:$A$20,0)),"")</f>
        <v>378.97014028925349</v>
      </c>
      <c r="U606" s="794">
        <f t="shared" si="328"/>
        <v>0.71513827249242967</v>
      </c>
      <c r="V606" s="795">
        <f t="shared" si="329"/>
        <v>0.58149226266811505</v>
      </c>
      <c r="W606" s="795">
        <f t="shared" si="330"/>
        <v>0.23907743261440439</v>
      </c>
      <c r="X606" s="843">
        <f t="shared" si="331"/>
        <v>0.79206735439427967</v>
      </c>
      <c r="Y606" s="843">
        <f t="shared" si="332"/>
        <v>0.84238897628243981</v>
      </c>
      <c r="Z606" s="843">
        <f t="shared" si="333"/>
        <v>0.23399342451579744</v>
      </c>
      <c r="AA606" s="843">
        <f t="shared" si="334"/>
        <v>1.0615069608628094</v>
      </c>
      <c r="AB606" s="796">
        <f t="shared" si="335"/>
        <v>2</v>
      </c>
      <c r="AC606" s="797">
        <f t="shared" si="336"/>
        <v>2</v>
      </c>
      <c r="AD606" s="797">
        <f t="shared" si="337"/>
        <v>1</v>
      </c>
      <c r="AE606" s="842">
        <f t="shared" si="338"/>
        <v>3</v>
      </c>
      <c r="AF606" s="842">
        <f t="shared" si="339"/>
        <v>3</v>
      </c>
      <c r="AG606" s="842">
        <f t="shared" si="340"/>
        <v>1</v>
      </c>
      <c r="AH606" s="842">
        <f t="shared" si="341"/>
        <v>4</v>
      </c>
      <c r="AI606" s="826" cm="1">
        <f t="array" ref="AI606">SUMPRODUCT(--ISNUMBER($U606:$AA606),$AB$3:$AH$3)</f>
        <v>1</v>
      </c>
      <c r="AJ606" s="829">
        <f t="shared" si="342"/>
        <v>26.321709601523892</v>
      </c>
      <c r="AK606" s="827" t="str">
        <f t="shared" si="343"/>
        <v>Inmadura</v>
      </c>
      <c r="AL606" s="784" t="str">
        <f t="shared" si="344"/>
        <v>Alta</v>
      </c>
      <c r="AM606" s="799">
        <f>IF(ISNUMBER('Base de datos Rutas'!W604),'Base de datos Rutas'!W604,"")</f>
        <v>3293.1144020900269</v>
      </c>
      <c r="AN606" s="787">
        <f>IFERROR(SUMIFS('Base de datos Rutas'!$W$6:$W$794,'Base de datos Rutas'!$C$6:$C$794,$C606)/'Base de datos Rutas'!I604,"")</f>
        <v>3293.1144020900251</v>
      </c>
      <c r="AO606" s="800">
        <f>IFERROR('Base de datos Rutas'!X604*AN606/AM606,"")</f>
        <v>0.47791232590402694</v>
      </c>
      <c r="AP606" s="800">
        <f t="shared" si="345"/>
        <v>0.52208767409597301</v>
      </c>
      <c r="AQ606" s="789">
        <f>IFERROR(INDEX('Hoja de apoyo v2'!$J$17:$J$20,MATCH($A606,'Hoja de apoyo v2'!$A$17:$A$20,0)),"")</f>
        <v>0.64320274048480885</v>
      </c>
      <c r="AR606" s="789">
        <f t="shared" si="346"/>
        <v>-0.12111506638883585</v>
      </c>
      <c r="AS606" s="784" t="str">
        <f t="shared" si="347"/>
        <v>No</v>
      </c>
      <c r="AT606" s="801">
        <f>IF(ISNUMBER('Base de datos Rutas'!CK604),'Base de datos Rutas'!CK604,"")</f>
        <v>141</v>
      </c>
      <c r="AU606" s="802">
        <f>IF(ISNUMBER('Base de datos Rutas'!CL604),'Base de datos Rutas'!CL604,"")</f>
        <v>316.33</v>
      </c>
      <c r="AV606" s="802">
        <f>IF(ISNUMBER('Base de datos Rutas'!CM604),'Base de datos Rutas'!CM604,"")</f>
        <v>175.32999999999998</v>
      </c>
      <c r="AW606" s="802">
        <f>IF(ISNUMBER('Base de datos Rutas'!CN604),'Base de datos Rutas'!CN604,"")</f>
        <v>4.8499999999999996</v>
      </c>
      <c r="AX606" s="802">
        <f>IF(ISNUMBER('Base de datos Rutas'!CO604),'Base de datos Rutas'!CO604,"")</f>
        <v>9.4499999999999993</v>
      </c>
      <c r="AY606" s="802">
        <f>IF(ISNUMBER('Base de datos Rutas'!CP604),'Base de datos Rutas'!CP604,"")</f>
        <v>4.5999999999999996</v>
      </c>
      <c r="AZ606" s="802">
        <f>IF(ISNUMBER('Base de datos Rutas'!CQ604),'Base de datos Rutas'!CQ604,"")</f>
        <v>846.56</v>
      </c>
      <c r="BA606" s="802">
        <f>IF(ISNUMBER('Base de datos Rutas'!CR604),'Base de datos Rutas'!CR604,"")</f>
        <v>396.99</v>
      </c>
      <c r="BB606" s="803">
        <f>IF(ISNUMBER('Base de datos Rutas'!CS604),'Base de datos Rutas'!CS604,"")</f>
        <v>449.56999999999994</v>
      </c>
      <c r="BC606" s="804">
        <f t="shared" si="357"/>
        <v>0</v>
      </c>
      <c r="BD606" s="805" t="str">
        <f t="shared" si="358"/>
        <v>No saturada</v>
      </c>
      <c r="BE606" s="806">
        <f t="shared" si="359"/>
        <v>0.4689449064449065</v>
      </c>
      <c r="BF606" s="890">
        <f>IF(ISNUMBER('Base de datos Rutas'!CX604),'Base de datos Rutas'!CX604/100,"")</f>
        <v>0.40304512293974604</v>
      </c>
      <c r="BG606" s="891">
        <f>IF(ISNUMBER('Base de datos Rutas'!CZ604),'Base de datos Rutas'!CZ604/100,"")</f>
        <v>0.4504188057281816</v>
      </c>
      <c r="BH606" s="892">
        <f>IF(ISNUMBER('Base de datos Rutas'!DA604),'Base de datos Rutas'!DA604,"")</f>
        <v>702.44470929977581</v>
      </c>
      <c r="BI606" s="893">
        <f>IF(ISNUMBER('Base de datos Rutas'!DC604),'Base de datos Rutas'!DC604,"")</f>
        <v>28.942775769864795</v>
      </c>
      <c r="BJ606" s="805" t="str">
        <f t="shared" si="360"/>
        <v>Ruta (completo)</v>
      </c>
      <c r="BK606" s="783">
        <f t="shared" si="348"/>
        <v>2</v>
      </c>
      <c r="BL606" s="797">
        <f t="shared" si="349"/>
        <v>2</v>
      </c>
      <c r="BM606" s="797">
        <f t="shared" si="350"/>
        <v>3</v>
      </c>
      <c r="BN606" s="797">
        <f t="shared" si="351"/>
        <v>3</v>
      </c>
      <c r="BO606" s="798" cm="1">
        <f t="array" ref="BO606">SUMPRODUCT(--ISNUMBER($BF606:$BI606),$BK$3:$BN$3)</f>
        <v>1</v>
      </c>
      <c r="BP606" s="831">
        <f t="shared" si="361"/>
        <v>37.5</v>
      </c>
      <c r="BQ606" s="834" t="str">
        <f t="shared" si="362"/>
        <v>Medio</v>
      </c>
      <c r="BR606" s="836">
        <f t="shared" si="352"/>
        <v>19.741282201142919</v>
      </c>
      <c r="BS606" s="836">
        <f t="shared" si="353"/>
        <v>37.5</v>
      </c>
      <c r="BT606" s="837" t="str">
        <f t="shared" si="354"/>
        <v>P4</v>
      </c>
      <c r="BU606" s="807" t="str">
        <f t="shared" si="363"/>
        <v>Con espacio</v>
      </c>
      <c r="BV606" s="807" t="str">
        <f t="shared" si="355"/>
        <v>Zona de bajo potencial</v>
      </c>
      <c r="BW606" s="808" t="str">
        <f t="shared" si="356"/>
        <v>P4 - Evaluar</v>
      </c>
    </row>
    <row r="607" spans="1:75">
      <c r="A607" s="780" t="str">
        <f>'Base de datos Rutas'!A605</f>
        <v>Occidente</v>
      </c>
      <c r="B607" s="781" t="str">
        <f>'Base de datos Rutas'!B605</f>
        <v>Favorita</v>
      </c>
      <c r="C607" s="781" t="str">
        <f>'Base de datos Rutas'!C605</f>
        <v>Suc. Santa Maria</v>
      </c>
      <c r="D607" s="782">
        <f>IF(ISNUMBER('Base de datos Rutas'!D605),'Base de datos Rutas'!D605,"Sin código")</f>
        <v>809357</v>
      </c>
      <c r="E607" s="783" t="str">
        <f>'Base de datos Rutas'!F605</f>
        <v>Activa</v>
      </c>
      <c r="F607" s="784" t="str">
        <f>'Base de datos Rutas'!H605</f>
        <v>Sí</v>
      </c>
      <c r="G607" s="785">
        <f>IF(ISNUMBER('Base de datos Rutas'!BE605),'Base de datos Rutas'!BE605,"")</f>
        <v>36.938073394495397</v>
      </c>
      <c r="H607" s="786">
        <f>IF(ISNUMBER('Base de datos Rutas'!BH605),'Base de datos Rutas'!BH605,"")</f>
        <v>0.39559143123253698</v>
      </c>
      <c r="I607" s="788">
        <f>IFERROR(IF(OR(NOT(ISNUMBER('Base de datos Rutas'!O605)),N('Base de datos Rutas'!BK605)=0),"",'Base de datos Rutas'!O605/('Base de datos Rutas'!L605/'Base de datos Rutas'!BK605)),"")</f>
        <v>2292.110091743119</v>
      </c>
      <c r="J607" s="788">
        <f>IFERROR(IF(OR(NOT(ISNUMBER('Base de datos Rutas'!N605)),N('Base de datos Rutas'!BK605)=0),"",'Base de datos Rutas'!N605/('Base de datos Rutas'!L605/'Base de datos Rutas'!BK605)),"")</f>
        <v>4588.6536697247702</v>
      </c>
      <c r="K607" s="788">
        <f>IFERROR(IF(OR(NOT(ISNUMBER('Base de datos Rutas'!J605)),N('Base de datos Rutas'!BK605)=0),"",'Base de datos Rutas'!J605/('Base de datos Rutas'!L605/'Base de datos Rutas'!BK605)),"")</f>
        <v>313.52591559633026</v>
      </c>
      <c r="L607" s="788">
        <f>IFERROR(IF(OR(NOT(ISNUMBER('Base de datos Rutas'!K605)),N('Base de datos Rutas'!BK605)=0),"",'Base de datos Rutas'!K605/('Base de datos Rutas'!L605/'Base de datos Rutas'!BK605)),"")</f>
        <v>16.488880332568804</v>
      </c>
      <c r="M607" s="787">
        <f>IF(ISNUMBER('Base de datos Rutas'!AX605),'Base de datos Rutas'!AX605,"")</f>
        <v>470.66749175953498</v>
      </c>
      <c r="N607" s="790">
        <f>IFERROR(INDEX('Hoja de apoyo v2'!B$17:B$20,MATCH($A607,'Hoja de apoyo v2'!$A$17:$A$20,0)),"")</f>
        <v>89.41621024641401</v>
      </c>
      <c r="O607" s="791">
        <f>IFERROR(INDEX('Hoja de apoyo v2'!C$17:C$20,MATCH($A607,'Hoja de apoyo v2'!$A$17:$A$20,0)),"")</f>
        <v>0.54706375874806301</v>
      </c>
      <c r="P607" s="793">
        <f>IFERROR(INDEX('Hoja de apoyo v2'!D$17:D$20,MATCH($A607,'Hoja de apoyo v2'!$A$17:$A$20,0)),"")</f>
        <v>11095.153935793827</v>
      </c>
      <c r="Q607" s="793">
        <f>IFERROR(INDEX('Hoja de apoyo v2'!E$17:E$20,MATCH($A607,'Hoja de apoyo v2'!$A$17:$A$20,0)),"")</f>
        <v>6982.3202019701848</v>
      </c>
      <c r="R607" s="793">
        <f>IFERROR(INDEX('Hoja de apoyo v2'!F$17:F$20,MATCH($A607,'Hoja de apoyo v2'!$A$17:$A$20,0)),"")</f>
        <v>448.09513474485743</v>
      </c>
      <c r="S607" s="793">
        <f>IFERROR(INDEX('Hoja de apoyo v2'!G$17:G$20,MATCH($A607,'Hoja de apoyo v2'!$A$17:$A$20,0)),"")</f>
        <v>83.406300904207839</v>
      </c>
      <c r="T607" s="792">
        <f>IFERROR(INDEX('Hoja de apoyo v2'!H$17:H$20,MATCH($A607,'Hoja de apoyo v2'!$A$17:$A$20,0)),"")</f>
        <v>378.97014028925349</v>
      </c>
      <c r="U607" s="794">
        <f t="shared" si="328"/>
        <v>0.41310264987412371</v>
      </c>
      <c r="V607" s="795">
        <f t="shared" si="329"/>
        <v>0.72311759809831788</v>
      </c>
      <c r="W607" s="795">
        <f t="shared" si="330"/>
        <v>0.20658659672567445</v>
      </c>
      <c r="X607" s="843">
        <f t="shared" si="331"/>
        <v>0.6571817872846909</v>
      </c>
      <c r="Y607" s="843">
        <f t="shared" si="332"/>
        <v>0.69968605165697673</v>
      </c>
      <c r="Z607" s="843">
        <f t="shared" si="333"/>
        <v>0.19769346145090752</v>
      </c>
      <c r="AA607" s="843">
        <f t="shared" si="334"/>
        <v>1.2419645816957832</v>
      </c>
      <c r="AB607" s="796">
        <f t="shared" si="335"/>
        <v>1</v>
      </c>
      <c r="AC607" s="797">
        <f t="shared" si="336"/>
        <v>2</v>
      </c>
      <c r="AD607" s="797">
        <f t="shared" si="337"/>
        <v>1</v>
      </c>
      <c r="AE607" s="842">
        <f t="shared" si="338"/>
        <v>2</v>
      </c>
      <c r="AF607" s="842">
        <f t="shared" si="339"/>
        <v>2</v>
      </c>
      <c r="AG607" s="842">
        <f t="shared" si="340"/>
        <v>1</v>
      </c>
      <c r="AH607" s="842">
        <f t="shared" si="341"/>
        <v>4</v>
      </c>
      <c r="AI607" s="826" cm="1">
        <f t="array" ref="AI607">SUMPRODUCT(--ISNUMBER($U607:$AA607),$AB$3:$AH$3)</f>
        <v>1</v>
      </c>
      <c r="AJ607" s="829">
        <f t="shared" si="342"/>
        <v>15.452581265128662</v>
      </c>
      <c r="AK607" s="827" t="str">
        <f t="shared" si="343"/>
        <v>Inmadura</v>
      </c>
      <c r="AL607" s="784" t="str">
        <f t="shared" si="344"/>
        <v>Alta</v>
      </c>
      <c r="AM607" s="799">
        <f>IF(ISNUMBER('Base de datos Rutas'!W605),'Base de datos Rutas'!W605,"")</f>
        <v>3293.1144020900269</v>
      </c>
      <c r="AN607" s="787">
        <f>IFERROR(SUMIFS('Base de datos Rutas'!$W$6:$W$794,'Base de datos Rutas'!$C$6:$C$794,$C607)/'Base de datos Rutas'!I605,"")</f>
        <v>3293.1144020900251</v>
      </c>
      <c r="AO607" s="800">
        <f>IFERROR('Base de datos Rutas'!X605*AN607/AM607,"")</f>
        <v>0.47791232590402694</v>
      </c>
      <c r="AP607" s="800">
        <f t="shared" si="345"/>
        <v>0.52208767409597301</v>
      </c>
      <c r="AQ607" s="789">
        <f>IFERROR(INDEX('Hoja de apoyo v2'!$J$17:$J$20,MATCH($A607,'Hoja de apoyo v2'!$A$17:$A$20,0)),"")</f>
        <v>0.64320274048480885</v>
      </c>
      <c r="AR607" s="789">
        <f t="shared" si="346"/>
        <v>-0.12111506638883585</v>
      </c>
      <c r="AS607" s="784" t="str">
        <f t="shared" si="347"/>
        <v>No</v>
      </c>
      <c r="AT607" s="801">
        <f>IF(ISNUMBER('Base de datos Rutas'!CK605),'Base de datos Rutas'!CK605,"")</f>
        <v>173</v>
      </c>
      <c r="AU607" s="802">
        <f>IF(ISNUMBER('Base de datos Rutas'!CL605),'Base de datos Rutas'!CL605,"")</f>
        <v>276.51</v>
      </c>
      <c r="AV607" s="802">
        <f>IF(ISNUMBER('Base de datos Rutas'!CM605),'Base de datos Rutas'!CM605,"")</f>
        <v>103.50999999999999</v>
      </c>
      <c r="AW607" s="802">
        <f>IF(ISNUMBER('Base de datos Rutas'!CN605),'Base de datos Rutas'!CN605,"")</f>
        <v>4.1100000000000003</v>
      </c>
      <c r="AX607" s="802">
        <f>IF(ISNUMBER('Base de datos Rutas'!CO605),'Base de datos Rutas'!CO605,"")</f>
        <v>9.4499999999999993</v>
      </c>
      <c r="AY607" s="802">
        <f>IF(ISNUMBER('Base de datos Rutas'!CP605),'Base de datos Rutas'!CP605,"")</f>
        <v>5.339999999999999</v>
      </c>
      <c r="AZ607" s="802">
        <f>IF(ISNUMBER('Base de datos Rutas'!CQ605),'Base de datos Rutas'!CQ605,"")</f>
        <v>564.37</v>
      </c>
      <c r="BA607" s="802">
        <f>IF(ISNUMBER('Base de datos Rutas'!CR605),'Base de datos Rutas'!CR605,"")</f>
        <v>330.01</v>
      </c>
      <c r="BB607" s="803">
        <f>IF(ISNUMBER('Base de datos Rutas'!CS605),'Base de datos Rutas'!CS605,"")</f>
        <v>234.36</v>
      </c>
      <c r="BC607" s="804">
        <f t="shared" si="357"/>
        <v>0</v>
      </c>
      <c r="BD607" s="805" t="str">
        <f t="shared" si="358"/>
        <v>No saturada</v>
      </c>
      <c r="BE607" s="806">
        <f t="shared" si="359"/>
        <v>0.58474050711412728</v>
      </c>
      <c r="BF607" s="890">
        <f>IF(ISNUMBER('Base de datos Rutas'!CX605),'Base de datos Rutas'!CX605/100,"")</f>
        <v>0.95343679712100771</v>
      </c>
      <c r="BG607" s="891">
        <f>IF(ISNUMBER('Base de datos Rutas'!CZ605),'Base de datos Rutas'!CZ605/100,"")</f>
        <v>1</v>
      </c>
      <c r="BH607" s="892">
        <f>IF(ISNUMBER('Base de datos Rutas'!DA605),'Base de datos Rutas'!DA605,"")</f>
        <v>667.07687050560708</v>
      </c>
      <c r="BI607" s="893">
        <f>IF(ISNUMBER('Base de datos Rutas'!DC605),'Base de datos Rutas'!DC605,"")</f>
        <v>31.81311492321116</v>
      </c>
      <c r="BJ607" s="805" t="str">
        <f t="shared" si="360"/>
        <v>Ruta (completo)</v>
      </c>
      <c r="BK607" s="783">
        <f t="shared" si="348"/>
        <v>4</v>
      </c>
      <c r="BL607" s="797">
        <f t="shared" si="349"/>
        <v>3</v>
      </c>
      <c r="BM607" s="797">
        <f t="shared" si="350"/>
        <v>3</v>
      </c>
      <c r="BN607" s="797">
        <f t="shared" si="351"/>
        <v>3</v>
      </c>
      <c r="BO607" s="798" cm="1">
        <f t="array" ref="BO607">SUMPRODUCT(--ISNUMBER($BF607:$BI607),$BK$3:$BN$3)</f>
        <v>1</v>
      </c>
      <c r="BP607" s="831">
        <f t="shared" si="361"/>
        <v>56.25</v>
      </c>
      <c r="BQ607" s="834" t="str">
        <f t="shared" si="362"/>
        <v>Alto</v>
      </c>
      <c r="BR607" s="836">
        <f t="shared" si="352"/>
        <v>11.589435948846496</v>
      </c>
      <c r="BS607" s="836">
        <f t="shared" si="353"/>
        <v>56.25</v>
      </c>
      <c r="BT607" s="837" t="str">
        <f t="shared" si="354"/>
        <v>P3</v>
      </c>
      <c r="BU607" s="807" t="str">
        <f t="shared" si="363"/>
        <v>Con espacio</v>
      </c>
      <c r="BV607" s="807" t="str">
        <f t="shared" si="355"/>
        <v>Zona atractiva</v>
      </c>
      <c r="BW607" s="808" t="str">
        <f t="shared" si="356"/>
        <v>P3 - Desarrollar</v>
      </c>
    </row>
    <row r="608" spans="1:75">
      <c r="A608" s="780" t="str">
        <f>'Base de datos Rutas'!A606</f>
        <v>Occidente</v>
      </c>
      <c r="B608" s="781" t="str">
        <f>'Base de datos Rutas'!B606</f>
        <v>Favorita</v>
      </c>
      <c r="C608" s="781" t="str">
        <f>'Base de datos Rutas'!C606</f>
        <v>Suc. Santa Maria</v>
      </c>
      <c r="D608" s="782">
        <f>IF(ISNUMBER('Base de datos Rutas'!D606),'Base de datos Rutas'!D606,"Sin código")</f>
        <v>809358</v>
      </c>
      <c r="E608" s="783" t="str">
        <f>'Base de datos Rutas'!F606</f>
        <v>Activa</v>
      </c>
      <c r="F608" s="784" t="str">
        <f>'Base de datos Rutas'!H606</f>
        <v>Sí</v>
      </c>
      <c r="G608" s="785">
        <f>IF(ISNUMBER('Base de datos Rutas'!BE606),'Base de datos Rutas'!BE606,"")</f>
        <v>57.190366972477101</v>
      </c>
      <c r="H608" s="786">
        <f>IF(ISNUMBER('Base de datos Rutas'!BH606),'Base de datos Rutas'!BH606,"")</f>
        <v>0.53218367756165996</v>
      </c>
      <c r="I608" s="788">
        <f>IFERROR(IF(OR(NOT(ISNUMBER('Base de datos Rutas'!O606)),N('Base de datos Rutas'!BK606)=0),"",'Base de datos Rutas'!O606/('Base de datos Rutas'!L606/'Base de datos Rutas'!BK606)),"")</f>
        <v>3872.6788990825789</v>
      </c>
      <c r="J608" s="788">
        <f>IFERROR(IF(OR(NOT(ISNUMBER('Base de datos Rutas'!N606)),N('Base de datos Rutas'!BK606)=0),"",'Base de datos Rutas'!N606/('Base de datos Rutas'!L606/'Base de datos Rutas'!BK606)),"")</f>
        <v>7176.8256880734134</v>
      </c>
      <c r="K608" s="788">
        <f>IFERROR(IF(OR(NOT(ISNUMBER('Base de datos Rutas'!J606)),N('Base de datos Rutas'!BK606)=0),"",'Base de datos Rutas'!J606/('Base de datos Rutas'!L606/'Base de datos Rutas'!BK606)),"")</f>
        <v>499.72030275229258</v>
      </c>
      <c r="L608" s="788">
        <f>IFERROR(IF(OR(NOT(ISNUMBER('Base de datos Rutas'!K606)),N('Base de datos Rutas'!BK606)=0),"",'Base de datos Rutas'!K606/('Base de datos Rutas'!L606/'Base de datos Rutas'!BK606)),"")</f>
        <v>27.255200802752366</v>
      </c>
      <c r="M608" s="787">
        <f>IF(ISNUMBER('Base de datos Rutas'!AX606),'Base de datos Rutas'!AX606,"")</f>
        <v>363.04340919367002</v>
      </c>
      <c r="N608" s="790">
        <f>IFERROR(INDEX('Hoja de apoyo v2'!B$17:B$20,MATCH($A608,'Hoja de apoyo v2'!$A$17:$A$20,0)),"")</f>
        <v>89.41621024641401</v>
      </c>
      <c r="O608" s="791">
        <f>IFERROR(INDEX('Hoja de apoyo v2'!C$17:C$20,MATCH($A608,'Hoja de apoyo v2'!$A$17:$A$20,0)),"")</f>
        <v>0.54706375874806301</v>
      </c>
      <c r="P608" s="793">
        <f>IFERROR(INDEX('Hoja de apoyo v2'!D$17:D$20,MATCH($A608,'Hoja de apoyo v2'!$A$17:$A$20,0)),"")</f>
        <v>11095.153935793827</v>
      </c>
      <c r="Q608" s="793">
        <f>IFERROR(INDEX('Hoja de apoyo v2'!E$17:E$20,MATCH($A608,'Hoja de apoyo v2'!$A$17:$A$20,0)),"")</f>
        <v>6982.3202019701848</v>
      </c>
      <c r="R608" s="793">
        <f>IFERROR(INDEX('Hoja de apoyo v2'!F$17:F$20,MATCH($A608,'Hoja de apoyo v2'!$A$17:$A$20,0)),"")</f>
        <v>448.09513474485743</v>
      </c>
      <c r="S608" s="793">
        <f>IFERROR(INDEX('Hoja de apoyo v2'!G$17:G$20,MATCH($A608,'Hoja de apoyo v2'!$A$17:$A$20,0)),"")</f>
        <v>83.406300904207839</v>
      </c>
      <c r="T608" s="792">
        <f>IFERROR(INDEX('Hoja de apoyo v2'!H$17:H$20,MATCH($A608,'Hoja de apoyo v2'!$A$17:$A$20,0)),"")</f>
        <v>378.97014028925349</v>
      </c>
      <c r="U608" s="794">
        <f t="shared" si="328"/>
        <v>0.63959730360827605</v>
      </c>
      <c r="V608" s="795">
        <f t="shared" si="329"/>
        <v>0.97280009697506631</v>
      </c>
      <c r="W608" s="795">
        <f t="shared" si="330"/>
        <v>0.34904237665319959</v>
      </c>
      <c r="X608" s="843">
        <f t="shared" si="331"/>
        <v>1.0278568556693155</v>
      </c>
      <c r="Y608" s="843">
        <f t="shared" si="332"/>
        <v>1.115210284612508</v>
      </c>
      <c r="Z608" s="843">
        <f t="shared" si="333"/>
        <v>0.32677628077589693</v>
      </c>
      <c r="AA608" s="843">
        <f t="shared" si="334"/>
        <v>0.95797365174093341</v>
      </c>
      <c r="AB608" s="796">
        <f t="shared" si="335"/>
        <v>2</v>
      </c>
      <c r="AC608" s="797">
        <f t="shared" si="336"/>
        <v>3</v>
      </c>
      <c r="AD608" s="797">
        <f t="shared" si="337"/>
        <v>1</v>
      </c>
      <c r="AE608" s="842">
        <f t="shared" si="338"/>
        <v>4</v>
      </c>
      <c r="AF608" s="842">
        <f t="shared" si="339"/>
        <v>4</v>
      </c>
      <c r="AG608" s="842">
        <f t="shared" si="340"/>
        <v>1</v>
      </c>
      <c r="AH608" s="842">
        <f t="shared" si="341"/>
        <v>3</v>
      </c>
      <c r="AI608" s="826" cm="1">
        <f t="array" ref="AI608">SUMPRODUCT(--ISNUMBER($U608:$AA608),$AB$3:$AH$3)</f>
        <v>1</v>
      </c>
      <c r="AJ608" s="829">
        <f t="shared" si="342"/>
        <v>32.79537950534629</v>
      </c>
      <c r="AK608" s="827" t="str">
        <f t="shared" si="343"/>
        <v>Inmadura</v>
      </c>
      <c r="AL608" s="784" t="str">
        <f t="shared" si="344"/>
        <v>Alta</v>
      </c>
      <c r="AM608" s="799">
        <f>IF(ISNUMBER('Base de datos Rutas'!W606),'Base de datos Rutas'!W606,"")</f>
        <v>3293.1144020900269</v>
      </c>
      <c r="AN608" s="787">
        <f>IFERROR(SUMIFS('Base de datos Rutas'!$W$6:$W$794,'Base de datos Rutas'!$C$6:$C$794,$C608)/'Base de datos Rutas'!I606,"")</f>
        <v>3293.1144020900251</v>
      </c>
      <c r="AO608" s="800">
        <f>IFERROR('Base de datos Rutas'!X606*AN608/AM608,"")</f>
        <v>0.47791232590402694</v>
      </c>
      <c r="AP608" s="800">
        <f t="shared" si="345"/>
        <v>0.52208767409597301</v>
      </c>
      <c r="AQ608" s="789">
        <f>IFERROR(INDEX('Hoja de apoyo v2'!$J$17:$J$20,MATCH($A608,'Hoja de apoyo v2'!$A$17:$A$20,0)),"")</f>
        <v>0.64320274048480885</v>
      </c>
      <c r="AR608" s="789">
        <f t="shared" si="346"/>
        <v>-0.12111506638883585</v>
      </c>
      <c r="AS608" s="784" t="str">
        <f t="shared" si="347"/>
        <v>No</v>
      </c>
      <c r="AT608" s="801">
        <f>IF(ISNUMBER('Base de datos Rutas'!CK606),'Base de datos Rutas'!CK606,"")</f>
        <v>250</v>
      </c>
      <c r="AU608" s="802">
        <f>IF(ISNUMBER('Base de datos Rutas'!CL606),'Base de datos Rutas'!CL606,"")</f>
        <v>312.43</v>
      </c>
      <c r="AV608" s="802">
        <f>IF(ISNUMBER('Base de datos Rutas'!CM606),'Base de datos Rutas'!CM606,"")</f>
        <v>62.430000000000007</v>
      </c>
      <c r="AW608" s="802">
        <f>IF(ISNUMBER('Base de datos Rutas'!CN606),'Base de datos Rutas'!CN606,"")</f>
        <v>5.95</v>
      </c>
      <c r="AX608" s="802">
        <f>IF(ISNUMBER('Base de datos Rutas'!CO606),'Base de datos Rutas'!CO606,"")</f>
        <v>9.4499999999999993</v>
      </c>
      <c r="AY608" s="802">
        <f>IF(ISNUMBER('Base de datos Rutas'!CP606),'Base de datos Rutas'!CP606,"")</f>
        <v>3.4999999999999991</v>
      </c>
      <c r="AZ608" s="802">
        <f>IF(ISNUMBER('Base de datos Rutas'!CQ606),'Base de datos Rutas'!CQ606,"")</f>
        <v>846.56</v>
      </c>
      <c r="BA608" s="802">
        <f>IF(ISNUMBER('Base de datos Rutas'!CR606),'Base de datos Rutas'!CR606,"")</f>
        <v>526.98</v>
      </c>
      <c r="BB608" s="803">
        <f>IF(ISNUMBER('Base de datos Rutas'!CS606),'Base de datos Rutas'!CS606,"")</f>
        <v>319.57999999999993</v>
      </c>
      <c r="BC608" s="804">
        <f t="shared" si="357"/>
        <v>0</v>
      </c>
      <c r="BD608" s="805" t="str">
        <f t="shared" si="358"/>
        <v>No saturada</v>
      </c>
      <c r="BE608" s="806">
        <f t="shared" si="359"/>
        <v>0.62249574749574754</v>
      </c>
      <c r="BF608" s="890">
        <f>IF(ISNUMBER('Base de datos Rutas'!CX606),'Base de datos Rutas'!CX606/100,"")</f>
        <v>0.24939301393395685</v>
      </c>
      <c r="BG608" s="891">
        <f>IF(ISNUMBER('Base de datos Rutas'!CZ606),'Base de datos Rutas'!CZ606/100,"")</f>
        <v>0.26130941019278486</v>
      </c>
      <c r="BH608" s="892">
        <f>IF(ISNUMBER('Base de datos Rutas'!DA606),'Base de datos Rutas'!DA606,"")</f>
        <v>151.39458787534684</v>
      </c>
      <c r="BI608" s="893">
        <f>IF(ISNUMBER('Base de datos Rutas'!DC606),'Base de datos Rutas'!DC606,"")</f>
        <v>6.7435729605031094</v>
      </c>
      <c r="BJ608" s="805" t="str">
        <f t="shared" si="360"/>
        <v>Ruta (completo)</v>
      </c>
      <c r="BK608" s="783">
        <f t="shared" si="348"/>
        <v>1</v>
      </c>
      <c r="BL608" s="797">
        <f t="shared" si="349"/>
        <v>1</v>
      </c>
      <c r="BM608" s="797">
        <f t="shared" si="350"/>
        <v>1</v>
      </c>
      <c r="BN608" s="797">
        <f t="shared" si="351"/>
        <v>1</v>
      </c>
      <c r="BO608" s="798" cm="1">
        <f t="array" ref="BO608">SUMPRODUCT(--ISNUMBER($BF608:$BI608),$BK$3:$BN$3)</f>
        <v>1</v>
      </c>
      <c r="BP608" s="831">
        <f t="shared" si="361"/>
        <v>0</v>
      </c>
      <c r="BQ608" s="834" t="str">
        <f t="shared" si="362"/>
        <v>Bajo</v>
      </c>
      <c r="BR608" s="836">
        <f t="shared" si="352"/>
        <v>24.596534629009717</v>
      </c>
      <c r="BS608" s="836">
        <f t="shared" si="353"/>
        <v>0</v>
      </c>
      <c r="BT608" s="837" t="str">
        <f t="shared" si="354"/>
        <v>P4</v>
      </c>
      <c r="BU608" s="807" t="str">
        <f t="shared" si="363"/>
        <v>Con espacio</v>
      </c>
      <c r="BV608" s="807" t="str">
        <f t="shared" si="355"/>
        <v>Zona de bajo potencial</v>
      </c>
      <c r="BW608" s="808" t="str">
        <f t="shared" si="356"/>
        <v>P4 - Evaluar</v>
      </c>
    </row>
    <row r="609" spans="1:75">
      <c r="A609" s="780" t="str">
        <f>'Base de datos Rutas'!A607</f>
        <v>Occidente</v>
      </c>
      <c r="B609" s="781" t="str">
        <f>'Base de datos Rutas'!B607</f>
        <v>Favorita</v>
      </c>
      <c r="C609" s="781" t="str">
        <f>'Base de datos Rutas'!C607</f>
        <v>Suc. Santa Maria</v>
      </c>
      <c r="D609" s="782">
        <f>IF(ISNUMBER('Base de datos Rutas'!D607),'Base de datos Rutas'!D607,"Sin código")</f>
        <v>809359</v>
      </c>
      <c r="E609" s="783" t="str">
        <f>'Base de datos Rutas'!F607</f>
        <v>Activa</v>
      </c>
      <c r="F609" s="784" t="str">
        <f>'Base de datos Rutas'!H607</f>
        <v>Sí</v>
      </c>
      <c r="G609" s="785">
        <f>IF(ISNUMBER('Base de datos Rutas'!BE607),'Base de datos Rutas'!BE607,"")</f>
        <v>66.204128440367001</v>
      </c>
      <c r="H609" s="786">
        <f>IF(ISNUMBER('Base de datos Rutas'!BH607),'Base de datos Rutas'!BH607,"")</f>
        <v>0.46783301576303499</v>
      </c>
      <c r="I609" s="788">
        <f>IFERROR(IF(OR(NOT(ISNUMBER('Base de datos Rutas'!O607)),N('Base de datos Rutas'!BK607)=0),"",'Base de datos Rutas'!O607/('Base de datos Rutas'!L607/'Base de datos Rutas'!BK607)),"")</f>
        <v>3318.1467889908208</v>
      </c>
      <c r="J609" s="788">
        <f>IFERROR(IF(OR(NOT(ISNUMBER('Base de datos Rutas'!N607)),N('Base de datos Rutas'!BK607)=0),"",'Base de datos Rutas'!N607/('Base de datos Rutas'!L607/'Base de datos Rutas'!BK607)),"")</f>
        <v>6631.1697247706325</v>
      </c>
      <c r="K609" s="788">
        <f>IFERROR(IF(OR(NOT(ISNUMBER('Base de datos Rutas'!J607)),N('Base de datos Rutas'!BK607)=0),"",'Base de datos Rutas'!J607/('Base de datos Rutas'!L607/'Base de datos Rutas'!BK607)),"")</f>
        <v>449.80886422018284</v>
      </c>
      <c r="L609" s="788">
        <f>IFERROR(IF(OR(NOT(ISNUMBER('Base de datos Rutas'!K607)),N('Base de datos Rutas'!BK607)=0),"",'Base de datos Rutas'!K607/('Base de datos Rutas'!L607/'Base de datos Rutas'!BK607)),"")</f>
        <v>22.291668020642167</v>
      </c>
      <c r="M609" s="787">
        <f>IF(ISNUMBER('Base de datos Rutas'!AX607),'Base de datos Rutas'!AX607,"")</f>
        <v>318.001189277251</v>
      </c>
      <c r="N609" s="790">
        <f>IFERROR(INDEX('Hoja de apoyo v2'!B$17:B$20,MATCH($A609,'Hoja de apoyo v2'!$A$17:$A$20,0)),"")</f>
        <v>89.41621024641401</v>
      </c>
      <c r="O609" s="791">
        <f>IFERROR(INDEX('Hoja de apoyo v2'!C$17:C$20,MATCH($A609,'Hoja de apoyo v2'!$A$17:$A$20,0)),"")</f>
        <v>0.54706375874806301</v>
      </c>
      <c r="P609" s="793">
        <f>IFERROR(INDEX('Hoja de apoyo v2'!D$17:D$20,MATCH($A609,'Hoja de apoyo v2'!$A$17:$A$20,0)),"")</f>
        <v>11095.153935793827</v>
      </c>
      <c r="Q609" s="793">
        <f>IFERROR(INDEX('Hoja de apoyo v2'!E$17:E$20,MATCH($A609,'Hoja de apoyo v2'!$A$17:$A$20,0)),"")</f>
        <v>6982.3202019701848</v>
      </c>
      <c r="R609" s="793">
        <f>IFERROR(INDEX('Hoja de apoyo v2'!F$17:F$20,MATCH($A609,'Hoja de apoyo v2'!$A$17:$A$20,0)),"")</f>
        <v>448.09513474485743</v>
      </c>
      <c r="S609" s="793">
        <f>IFERROR(INDEX('Hoja de apoyo v2'!G$17:G$20,MATCH($A609,'Hoja de apoyo v2'!$A$17:$A$20,0)),"")</f>
        <v>83.406300904207839</v>
      </c>
      <c r="T609" s="792">
        <f>IFERROR(INDEX('Hoja de apoyo v2'!H$17:H$20,MATCH($A609,'Hoja de apoyo v2'!$A$17:$A$20,0)),"")</f>
        <v>378.97014028925349</v>
      </c>
      <c r="U609" s="794">
        <f t="shared" si="328"/>
        <v>0.74040409739935364</v>
      </c>
      <c r="V609" s="795">
        <f t="shared" si="329"/>
        <v>0.85517091615364005</v>
      </c>
      <c r="W609" s="795">
        <f t="shared" si="330"/>
        <v>0.2990627086557332</v>
      </c>
      <c r="X609" s="843">
        <f t="shared" si="331"/>
        <v>0.94970862592344751</v>
      </c>
      <c r="Y609" s="843">
        <f t="shared" si="332"/>
        <v>1.0038244768631581</v>
      </c>
      <c r="Z609" s="843">
        <f t="shared" si="333"/>
        <v>0.26726599524230377</v>
      </c>
      <c r="AA609" s="843">
        <f t="shared" si="334"/>
        <v>0.83911938031458833</v>
      </c>
      <c r="AB609" s="796">
        <f t="shared" si="335"/>
        <v>2</v>
      </c>
      <c r="AC609" s="797">
        <f t="shared" si="336"/>
        <v>3</v>
      </c>
      <c r="AD609" s="797">
        <f t="shared" si="337"/>
        <v>1</v>
      </c>
      <c r="AE609" s="842">
        <f t="shared" si="338"/>
        <v>3</v>
      </c>
      <c r="AF609" s="842">
        <f t="shared" si="339"/>
        <v>4</v>
      </c>
      <c r="AG609" s="842">
        <f t="shared" si="340"/>
        <v>1</v>
      </c>
      <c r="AH609" s="842">
        <f t="shared" si="341"/>
        <v>3</v>
      </c>
      <c r="AI609" s="826" cm="1">
        <f t="array" ref="AI609">SUMPRODUCT(--ISNUMBER($U609:$AA609),$AB$3:$AH$3)</f>
        <v>1</v>
      </c>
      <c r="AJ609" s="829">
        <f t="shared" si="342"/>
        <v>29.385931859127602</v>
      </c>
      <c r="AK609" s="827" t="str">
        <f t="shared" si="343"/>
        <v>Inmadura</v>
      </c>
      <c r="AL609" s="784" t="str">
        <f t="shared" si="344"/>
        <v>Alta</v>
      </c>
      <c r="AM609" s="799">
        <f>IF(ISNUMBER('Base de datos Rutas'!W607),'Base de datos Rutas'!W607,"")</f>
        <v>3293.1144020900269</v>
      </c>
      <c r="AN609" s="787">
        <f>IFERROR(SUMIFS('Base de datos Rutas'!$W$6:$W$794,'Base de datos Rutas'!$C$6:$C$794,$C609)/'Base de datos Rutas'!I607,"")</f>
        <v>3293.1144020900251</v>
      </c>
      <c r="AO609" s="800">
        <f>IFERROR('Base de datos Rutas'!X607*AN609/AM609,"")</f>
        <v>0.47791232590402694</v>
      </c>
      <c r="AP609" s="800">
        <f t="shared" si="345"/>
        <v>0.52208767409597301</v>
      </c>
      <c r="AQ609" s="789">
        <f>IFERROR(INDEX('Hoja de apoyo v2'!$J$17:$J$20,MATCH($A609,'Hoja de apoyo v2'!$A$17:$A$20,0)),"")</f>
        <v>0.64320274048480885</v>
      </c>
      <c r="AR609" s="789">
        <f t="shared" si="346"/>
        <v>-0.12111506638883585</v>
      </c>
      <c r="AS609" s="784" t="str">
        <f t="shared" si="347"/>
        <v>No</v>
      </c>
      <c r="AT609" s="801">
        <f>IF(ISNUMBER('Base de datos Rutas'!CK607),'Base de datos Rutas'!CK607,"")</f>
        <v>324</v>
      </c>
      <c r="AU609" s="802">
        <f>IF(ISNUMBER('Base de datos Rutas'!CL607),'Base de datos Rutas'!CL607,"")</f>
        <v>432.14</v>
      </c>
      <c r="AV609" s="802">
        <f>IF(ISNUMBER('Base de datos Rutas'!CM607),'Base de datos Rutas'!CM607,"")</f>
        <v>108.13999999999999</v>
      </c>
      <c r="AW609" s="802">
        <f>IF(ISNUMBER('Base de datos Rutas'!CN607),'Base de datos Rutas'!CN607,"")</f>
        <v>8.02</v>
      </c>
      <c r="AX609" s="802">
        <f>IF(ISNUMBER('Base de datos Rutas'!CO607),'Base de datos Rutas'!CO607,"")</f>
        <v>9.4499999999999993</v>
      </c>
      <c r="AY609" s="802">
        <f>IF(ISNUMBER('Base de datos Rutas'!CP607),'Base de datos Rutas'!CP607,"")</f>
        <v>1.4299999999999997</v>
      </c>
      <c r="AZ609" s="802">
        <f>IF(ISNUMBER('Base de datos Rutas'!CQ607),'Base de datos Rutas'!CQ607,"")</f>
        <v>846.56</v>
      </c>
      <c r="BA609" s="802">
        <f>IF(ISNUMBER('Base de datos Rutas'!CR607),'Base de datos Rutas'!CR607,"")</f>
        <v>472.1</v>
      </c>
      <c r="BB609" s="803">
        <f>IF(ISNUMBER('Base de datos Rutas'!CS607),'Base de datos Rutas'!CS607,"")</f>
        <v>374.45999999999992</v>
      </c>
      <c r="BC609" s="804">
        <f t="shared" si="357"/>
        <v>0</v>
      </c>
      <c r="BD609" s="805" t="str">
        <f t="shared" si="358"/>
        <v>No saturada</v>
      </c>
      <c r="BE609" s="806">
        <f t="shared" si="359"/>
        <v>0.55766868266868275</v>
      </c>
      <c r="BF609" s="890">
        <f>IF(ISNUMBER('Base de datos Rutas'!CX607),'Base de datos Rutas'!CX607/100,"")</f>
        <v>0.67251593710157254</v>
      </c>
      <c r="BG609" s="891">
        <f>IF(ISNUMBER('Base de datos Rutas'!CZ607),'Base de datos Rutas'!CZ607/100,"")</f>
        <v>0.69549511262218444</v>
      </c>
      <c r="BH609" s="892">
        <f>IF(ISNUMBER('Base de datos Rutas'!DA607),'Base de datos Rutas'!DA607,"")</f>
        <v>543.38976639649036</v>
      </c>
      <c r="BI609" s="893">
        <f>IF(ISNUMBER('Base de datos Rutas'!DC607),'Base de datos Rutas'!DC607,"")</f>
        <v>25.546593991865628</v>
      </c>
      <c r="BJ609" s="805" t="str">
        <f t="shared" si="360"/>
        <v>Ruta (completo)</v>
      </c>
      <c r="BK609" s="783">
        <f t="shared" si="348"/>
        <v>2</v>
      </c>
      <c r="BL609" s="797">
        <f t="shared" si="349"/>
        <v>2</v>
      </c>
      <c r="BM609" s="797">
        <f t="shared" si="350"/>
        <v>2</v>
      </c>
      <c r="BN609" s="797">
        <f t="shared" si="351"/>
        <v>2</v>
      </c>
      <c r="BO609" s="798" cm="1">
        <f t="array" ref="BO609">SUMPRODUCT(--ISNUMBER($BF609:$BI609),$BK$3:$BN$3)</f>
        <v>1</v>
      </c>
      <c r="BP609" s="831">
        <f t="shared" si="361"/>
        <v>25</v>
      </c>
      <c r="BQ609" s="834" t="str">
        <f t="shared" si="362"/>
        <v>Medio</v>
      </c>
      <c r="BR609" s="836">
        <f t="shared" si="352"/>
        <v>22.039448894345703</v>
      </c>
      <c r="BS609" s="836">
        <f t="shared" si="353"/>
        <v>25</v>
      </c>
      <c r="BT609" s="837" t="str">
        <f t="shared" si="354"/>
        <v>P4</v>
      </c>
      <c r="BU609" s="807" t="str">
        <f t="shared" si="363"/>
        <v>Con espacio</v>
      </c>
      <c r="BV609" s="807" t="str">
        <f t="shared" si="355"/>
        <v>Zona de bajo potencial</v>
      </c>
      <c r="BW609" s="808" t="str">
        <f t="shared" si="356"/>
        <v>P4 - Evaluar</v>
      </c>
    </row>
    <row r="610" spans="1:75">
      <c r="A610" s="780" t="str">
        <f>'Base de datos Rutas'!A608</f>
        <v>Occidente</v>
      </c>
      <c r="B610" s="781" t="str">
        <f>'Base de datos Rutas'!B608</f>
        <v>Favorita</v>
      </c>
      <c r="C610" s="781" t="str">
        <f>'Base de datos Rutas'!C608</f>
        <v>Suc. Santa Maria</v>
      </c>
      <c r="D610" s="782">
        <f>IF(ISNUMBER('Base de datos Rutas'!D608),'Base de datos Rutas'!D608,"Sin código")</f>
        <v>809360</v>
      </c>
      <c r="E610" s="783" t="str">
        <f>'Base de datos Rutas'!F608</f>
        <v>Activa</v>
      </c>
      <c r="F610" s="784" t="str">
        <f>'Base de datos Rutas'!H608</f>
        <v>Sí</v>
      </c>
      <c r="G610" s="785">
        <f>IF(ISNUMBER('Base de datos Rutas'!BE608),'Base de datos Rutas'!BE608,"")</f>
        <v>66.634482758620706</v>
      </c>
      <c r="H610" s="786">
        <f>IF(ISNUMBER('Base de datos Rutas'!BH608),'Base de datos Rutas'!BH608,"")</f>
        <v>0.43586559028496502</v>
      </c>
      <c r="I610" s="788">
        <f>IFERROR(IF(OR(NOT(ISNUMBER('Base de datos Rutas'!O608)),N('Base de datos Rutas'!BK608)=0),"",'Base de datos Rutas'!O608/('Base de datos Rutas'!L608/'Base de datos Rutas'!BK608)),"")</f>
        <v>2723.7379310344877</v>
      </c>
      <c r="J610" s="788">
        <f>IFERROR(IF(OR(NOT(ISNUMBER('Base de datos Rutas'!N608)),N('Base de datos Rutas'!BK608)=0),"",'Base de datos Rutas'!N608/('Base de datos Rutas'!L608/'Base de datos Rutas'!BK608)),"")</f>
        <v>8579.919540229901</v>
      </c>
      <c r="K610" s="788">
        <f>IFERROR(IF(OR(NOT(ISNUMBER('Base de datos Rutas'!J608)),N('Base de datos Rutas'!BK608)=0),"",'Base de datos Rutas'!J608/('Base de datos Rutas'!L608/'Base de datos Rutas'!BK608)),"")</f>
        <v>593.94141977011373</v>
      </c>
      <c r="L610" s="788">
        <f>IFERROR(IF(OR(NOT(ISNUMBER('Base de datos Rutas'!K608)),N('Base de datos Rutas'!BK608)=0),"",'Base de datos Rutas'!K608/('Base de datos Rutas'!L608/'Base de datos Rutas'!BK608)),"")</f>
        <v>19.695913843678198</v>
      </c>
      <c r="M610" s="787">
        <f>IF(ISNUMBER('Base de datos Rutas'!AX608),'Base de datos Rutas'!AX608,"")</f>
        <v>392.64702390375197</v>
      </c>
      <c r="N610" s="790">
        <f>IFERROR(INDEX('Hoja de apoyo v2'!B$17:B$20,MATCH($A610,'Hoja de apoyo v2'!$A$17:$A$20,0)),"")</f>
        <v>89.41621024641401</v>
      </c>
      <c r="O610" s="791">
        <f>IFERROR(INDEX('Hoja de apoyo v2'!C$17:C$20,MATCH($A610,'Hoja de apoyo v2'!$A$17:$A$20,0)),"")</f>
        <v>0.54706375874806301</v>
      </c>
      <c r="P610" s="793">
        <f>IFERROR(INDEX('Hoja de apoyo v2'!D$17:D$20,MATCH($A610,'Hoja de apoyo v2'!$A$17:$A$20,0)),"")</f>
        <v>11095.153935793827</v>
      </c>
      <c r="Q610" s="793">
        <f>IFERROR(INDEX('Hoja de apoyo v2'!E$17:E$20,MATCH($A610,'Hoja de apoyo v2'!$A$17:$A$20,0)),"")</f>
        <v>6982.3202019701848</v>
      </c>
      <c r="R610" s="793">
        <f>IFERROR(INDEX('Hoja de apoyo v2'!F$17:F$20,MATCH($A610,'Hoja de apoyo v2'!$A$17:$A$20,0)),"")</f>
        <v>448.09513474485743</v>
      </c>
      <c r="S610" s="793">
        <f>IFERROR(INDEX('Hoja de apoyo v2'!G$17:G$20,MATCH($A610,'Hoja de apoyo v2'!$A$17:$A$20,0)),"")</f>
        <v>83.406300904207839</v>
      </c>
      <c r="T610" s="792">
        <f>IFERROR(INDEX('Hoja de apoyo v2'!H$17:H$20,MATCH($A610,'Hoja de apoyo v2'!$A$17:$A$20,0)),"")</f>
        <v>378.97014028925349</v>
      </c>
      <c r="U610" s="794">
        <f t="shared" si="328"/>
        <v>0.74521703139720175</v>
      </c>
      <c r="V610" s="795">
        <f t="shared" si="329"/>
        <v>0.79673636448232055</v>
      </c>
      <c r="W610" s="795">
        <f t="shared" si="330"/>
        <v>0.24548897174355533</v>
      </c>
      <c r="X610" s="843">
        <f t="shared" si="331"/>
        <v>1.2288063698094116</v>
      </c>
      <c r="Y610" s="843">
        <f t="shared" si="332"/>
        <v>1.3254806261360108</v>
      </c>
      <c r="Z610" s="843">
        <f t="shared" si="333"/>
        <v>0.23614419570409867</v>
      </c>
      <c r="AA610" s="843">
        <f t="shared" si="334"/>
        <v>1.0360896074927155</v>
      </c>
      <c r="AB610" s="796">
        <f t="shared" si="335"/>
        <v>2</v>
      </c>
      <c r="AC610" s="797">
        <f t="shared" si="336"/>
        <v>3</v>
      </c>
      <c r="AD610" s="797">
        <f t="shared" si="337"/>
        <v>1</v>
      </c>
      <c r="AE610" s="842">
        <f t="shared" si="338"/>
        <v>4</v>
      </c>
      <c r="AF610" s="842">
        <f t="shared" si="339"/>
        <v>5</v>
      </c>
      <c r="AG610" s="842">
        <f t="shared" si="340"/>
        <v>1</v>
      </c>
      <c r="AH610" s="842">
        <f t="shared" si="341"/>
        <v>4</v>
      </c>
      <c r="AI610" s="826" cm="1">
        <f t="array" ref="AI610">SUMPRODUCT(--ISNUMBER($U610:$AA610),$AB$3:$AH$3)</f>
        <v>1</v>
      </c>
      <c r="AJ610" s="829">
        <f t="shared" si="342"/>
        <v>37.966151857712646</v>
      </c>
      <c r="AK610" s="827" t="str">
        <f t="shared" si="343"/>
        <v>Inmadura</v>
      </c>
      <c r="AL610" s="784" t="str">
        <f t="shared" si="344"/>
        <v>Alta</v>
      </c>
      <c r="AM610" s="799">
        <f>IF(ISNUMBER('Base de datos Rutas'!W608),'Base de datos Rutas'!W608,"")</f>
        <v>3293.1144020900269</v>
      </c>
      <c r="AN610" s="787">
        <f>IFERROR(SUMIFS('Base de datos Rutas'!$W$6:$W$794,'Base de datos Rutas'!$C$6:$C$794,$C610)/'Base de datos Rutas'!I608,"")</f>
        <v>3293.1144020900251</v>
      </c>
      <c r="AO610" s="800">
        <f>IFERROR('Base de datos Rutas'!X608*AN610/AM610,"")</f>
        <v>0.47791232590402694</v>
      </c>
      <c r="AP610" s="800">
        <f t="shared" si="345"/>
        <v>0.52208767409597301</v>
      </c>
      <c r="AQ610" s="789">
        <f>IFERROR(INDEX('Hoja de apoyo v2'!$J$17:$J$20,MATCH($A610,'Hoja de apoyo v2'!$A$17:$A$20,0)),"")</f>
        <v>0.64320274048480885</v>
      </c>
      <c r="AR610" s="789">
        <f t="shared" si="346"/>
        <v>-0.12111506638883585</v>
      </c>
      <c r="AS610" s="784" t="str">
        <f t="shared" si="347"/>
        <v>No</v>
      </c>
      <c r="AT610" s="801">
        <f>IF(ISNUMBER('Base de datos Rutas'!CK608),'Base de datos Rutas'!CK608,"")</f>
        <v>262</v>
      </c>
      <c r="AU610" s="802">
        <f>IF(ISNUMBER('Base de datos Rutas'!CL608),'Base de datos Rutas'!CL608,"")</f>
        <v>628.29999999999995</v>
      </c>
      <c r="AV610" s="802">
        <f>IF(ISNUMBER('Base de datos Rutas'!CM608),'Base de datos Rutas'!CM608,"")</f>
        <v>366.29999999999995</v>
      </c>
      <c r="AW610" s="802">
        <f>IF(ISNUMBER('Base de datos Rutas'!CN608),'Base de datos Rutas'!CN608,"")</f>
        <v>5.95</v>
      </c>
      <c r="AX610" s="802">
        <f>IF(ISNUMBER('Base de datos Rutas'!CO608),'Base de datos Rutas'!CO608,"")</f>
        <v>9.4499999999999993</v>
      </c>
      <c r="AY610" s="802">
        <f>IF(ISNUMBER('Base de datos Rutas'!CP608),'Base de datos Rutas'!CP608,"")</f>
        <v>3.4999999999999991</v>
      </c>
      <c r="AZ610" s="802">
        <f>IF(ISNUMBER('Base de datos Rutas'!CQ608),'Base de datos Rutas'!CQ608,"")</f>
        <v>846.56</v>
      </c>
      <c r="BA610" s="802">
        <f>IF(ISNUMBER('Base de datos Rutas'!CR608),'Base de datos Rutas'!CR608,"")</f>
        <v>613.64</v>
      </c>
      <c r="BB610" s="803">
        <f>IF(ISNUMBER('Base de datos Rutas'!CS608),'Base de datos Rutas'!CS608,"")</f>
        <v>232.91999999999996</v>
      </c>
      <c r="BC610" s="804">
        <f t="shared" si="357"/>
        <v>0</v>
      </c>
      <c r="BD610" s="805" t="str">
        <f t="shared" si="358"/>
        <v>No saturada</v>
      </c>
      <c r="BE610" s="806">
        <f t="shared" si="359"/>
        <v>0.72486297486297491</v>
      </c>
      <c r="BF610" s="890">
        <f>IF(ISNUMBER('Base de datos Rutas'!CX608),'Base de datos Rutas'!CX608/100,"")</f>
        <v>0.60467047930283224</v>
      </c>
      <c r="BG610" s="891">
        <f>IF(ISNUMBER('Base de datos Rutas'!CZ608),'Base de datos Rutas'!CZ608/100,"")</f>
        <v>0.65454793028322444</v>
      </c>
      <c r="BH610" s="892">
        <f>IF(ISNUMBER('Base de datos Rutas'!DA608),'Base de datos Rutas'!DA608,"")</f>
        <v>544.18605761124729</v>
      </c>
      <c r="BI610" s="893">
        <f>IF(ISNUMBER('Base de datos Rutas'!DC608),'Base de datos Rutas'!DC608,"")</f>
        <v>28.859646187567279</v>
      </c>
      <c r="BJ610" s="805" t="str">
        <f t="shared" si="360"/>
        <v>Ruta (completo)</v>
      </c>
      <c r="BK610" s="783">
        <f t="shared" si="348"/>
        <v>2</v>
      </c>
      <c r="BL610" s="797">
        <f t="shared" si="349"/>
        <v>2</v>
      </c>
      <c r="BM610" s="797">
        <f t="shared" si="350"/>
        <v>2</v>
      </c>
      <c r="BN610" s="797">
        <f t="shared" si="351"/>
        <v>3</v>
      </c>
      <c r="BO610" s="798" cm="1">
        <f t="array" ref="BO610">SUMPRODUCT(--ISNUMBER($BF610:$BI610),$BK$3:$BN$3)</f>
        <v>1</v>
      </c>
      <c r="BP610" s="831">
        <f t="shared" si="361"/>
        <v>31.25</v>
      </c>
      <c r="BQ610" s="834" t="str">
        <f t="shared" si="362"/>
        <v>Medio</v>
      </c>
      <c r="BR610" s="836">
        <f t="shared" si="352"/>
        <v>28.474613893284484</v>
      </c>
      <c r="BS610" s="836">
        <f t="shared" si="353"/>
        <v>31.25</v>
      </c>
      <c r="BT610" s="837" t="str">
        <f t="shared" si="354"/>
        <v>P4</v>
      </c>
      <c r="BU610" s="807" t="str">
        <f t="shared" si="363"/>
        <v>Con espacio</v>
      </c>
      <c r="BV610" s="807" t="str">
        <f t="shared" si="355"/>
        <v>Zona de bajo potencial</v>
      </c>
      <c r="BW610" s="808" t="str">
        <f t="shared" si="356"/>
        <v>P4 - Evaluar</v>
      </c>
    </row>
    <row r="611" spans="1:75">
      <c r="A611" s="780" t="str">
        <f>'Base de datos Rutas'!A609</f>
        <v>Occidente</v>
      </c>
      <c r="B611" s="781" t="str">
        <f>'Base de datos Rutas'!B609</f>
        <v>Favorita</v>
      </c>
      <c r="C611" s="781" t="str">
        <f>'Base de datos Rutas'!C609</f>
        <v>Suc. Santa Maria</v>
      </c>
      <c r="D611" s="782">
        <f>IF(ISNUMBER('Base de datos Rutas'!D609),'Base de datos Rutas'!D609,"Sin código")</f>
        <v>809361</v>
      </c>
      <c r="E611" s="783" t="str">
        <f>'Base de datos Rutas'!F609</f>
        <v>Activa</v>
      </c>
      <c r="F611" s="784" t="str">
        <f>'Base de datos Rutas'!H609</f>
        <v>Sí</v>
      </c>
      <c r="G611" s="785">
        <f>IF(ISNUMBER('Base de datos Rutas'!BE609),'Base de datos Rutas'!BE609,"")</f>
        <v>77.295871559632999</v>
      </c>
      <c r="H611" s="786">
        <f>IF(ISNUMBER('Base de datos Rutas'!BH609),'Base de datos Rutas'!BH609,"")</f>
        <v>0.44930417495029801</v>
      </c>
      <c r="I611" s="788">
        <f>IFERROR(IF(OR(NOT(ISNUMBER('Base de datos Rutas'!O609)),N('Base de datos Rutas'!BK609)=0),"",'Base de datos Rutas'!O609/('Base de datos Rutas'!L609/'Base de datos Rutas'!BK609)),"")</f>
        <v>4161.509174311921</v>
      </c>
      <c r="J611" s="788">
        <f>IFERROR(IF(OR(NOT(ISNUMBER('Base de datos Rutas'!N609)),N('Base de datos Rutas'!BK609)=0),"",'Base de datos Rutas'!N609/('Base de datos Rutas'!L609/'Base de datos Rutas'!BK609)),"")</f>
        <v>7658.1055045871462</v>
      </c>
      <c r="K611" s="788">
        <f>IFERROR(IF(OR(NOT(ISNUMBER('Base de datos Rutas'!J609)),N('Base de datos Rutas'!BK609)=0),"",'Base de datos Rutas'!J609/('Base de datos Rutas'!L609/'Base de datos Rutas'!BK609)),"")</f>
        <v>522.10693211009107</v>
      </c>
      <c r="L611" s="788">
        <f>IFERROR(IF(OR(NOT(ISNUMBER('Base de datos Rutas'!K609)),N('Base de datos Rutas'!BK609)=0),"",'Base de datos Rutas'!K609/('Base de datos Rutas'!L609/'Base de datos Rutas'!BK609)),"")</f>
        <v>29.643842043577944</v>
      </c>
      <c r="M611" s="787">
        <f>IF(ISNUMBER('Base de datos Rutas'!AX609),'Base de datos Rutas'!AX609,"")</f>
        <v>340.33487782327302</v>
      </c>
      <c r="N611" s="790">
        <f>IFERROR(INDEX('Hoja de apoyo v2'!B$17:B$20,MATCH($A611,'Hoja de apoyo v2'!$A$17:$A$20,0)),"")</f>
        <v>89.41621024641401</v>
      </c>
      <c r="O611" s="791">
        <f>IFERROR(INDEX('Hoja de apoyo v2'!C$17:C$20,MATCH($A611,'Hoja de apoyo v2'!$A$17:$A$20,0)),"")</f>
        <v>0.54706375874806301</v>
      </c>
      <c r="P611" s="793">
        <f>IFERROR(INDEX('Hoja de apoyo v2'!D$17:D$20,MATCH($A611,'Hoja de apoyo v2'!$A$17:$A$20,0)),"")</f>
        <v>11095.153935793827</v>
      </c>
      <c r="Q611" s="793">
        <f>IFERROR(INDEX('Hoja de apoyo v2'!E$17:E$20,MATCH($A611,'Hoja de apoyo v2'!$A$17:$A$20,0)),"")</f>
        <v>6982.3202019701848</v>
      </c>
      <c r="R611" s="793">
        <f>IFERROR(INDEX('Hoja de apoyo v2'!F$17:F$20,MATCH($A611,'Hoja de apoyo v2'!$A$17:$A$20,0)),"")</f>
        <v>448.09513474485743</v>
      </c>
      <c r="S611" s="793">
        <f>IFERROR(INDEX('Hoja de apoyo v2'!G$17:G$20,MATCH($A611,'Hoja de apoyo v2'!$A$17:$A$20,0)),"")</f>
        <v>83.406300904207839</v>
      </c>
      <c r="T611" s="792">
        <f>IFERROR(INDEX('Hoja de apoyo v2'!H$17:H$20,MATCH($A611,'Hoja de apoyo v2'!$A$17:$A$20,0)),"")</f>
        <v>378.97014028925349</v>
      </c>
      <c r="U611" s="794">
        <f t="shared" si="328"/>
        <v>0.86445031998806854</v>
      </c>
      <c r="V611" s="795">
        <f t="shared" si="329"/>
        <v>0.82130129763761994</v>
      </c>
      <c r="W611" s="795">
        <f t="shared" si="330"/>
        <v>0.37507448732969534</v>
      </c>
      <c r="X611" s="843">
        <f t="shared" si="331"/>
        <v>1.0967852065028867</v>
      </c>
      <c r="Y611" s="843">
        <f t="shared" si="332"/>
        <v>1.1651698303026108</v>
      </c>
      <c r="Z611" s="843">
        <f t="shared" si="333"/>
        <v>0.35541489938061038</v>
      </c>
      <c r="AA611" s="843">
        <f t="shared" si="334"/>
        <v>0.89805196146458488</v>
      </c>
      <c r="AB611" s="796">
        <f t="shared" si="335"/>
        <v>3</v>
      </c>
      <c r="AC611" s="797">
        <f t="shared" si="336"/>
        <v>3</v>
      </c>
      <c r="AD611" s="797">
        <f t="shared" si="337"/>
        <v>1</v>
      </c>
      <c r="AE611" s="842">
        <f t="shared" si="338"/>
        <v>4</v>
      </c>
      <c r="AF611" s="842">
        <f t="shared" si="339"/>
        <v>4</v>
      </c>
      <c r="AG611" s="842">
        <f t="shared" si="340"/>
        <v>1</v>
      </c>
      <c r="AH611" s="842">
        <f t="shared" si="341"/>
        <v>3</v>
      </c>
      <c r="AI611" s="826" cm="1">
        <f t="array" ref="AI611">SUMPRODUCT(--ISNUMBER($U611:$AA611),$AB$3:$AH$3)</f>
        <v>1</v>
      </c>
      <c r="AJ611" s="829">
        <f t="shared" si="342"/>
        <v>37.32901568348305</v>
      </c>
      <c r="AK611" s="827" t="str">
        <f t="shared" si="343"/>
        <v>Inmadura</v>
      </c>
      <c r="AL611" s="784" t="str">
        <f t="shared" si="344"/>
        <v>Alta</v>
      </c>
      <c r="AM611" s="799">
        <f>IF(ISNUMBER('Base de datos Rutas'!W609),'Base de datos Rutas'!W609,"")</f>
        <v>3293.1144020900269</v>
      </c>
      <c r="AN611" s="787">
        <f>IFERROR(SUMIFS('Base de datos Rutas'!$W$6:$W$794,'Base de datos Rutas'!$C$6:$C$794,$C611)/'Base de datos Rutas'!I609,"")</f>
        <v>3293.1144020900251</v>
      </c>
      <c r="AO611" s="800">
        <f>IFERROR('Base de datos Rutas'!X609*AN611/AM611,"")</f>
        <v>0.47791232590402694</v>
      </c>
      <c r="AP611" s="800">
        <f t="shared" si="345"/>
        <v>0.52208767409597301</v>
      </c>
      <c r="AQ611" s="789">
        <f>IFERROR(INDEX('Hoja de apoyo v2'!$J$17:$J$20,MATCH($A611,'Hoja de apoyo v2'!$A$17:$A$20,0)),"")</f>
        <v>0.64320274048480885</v>
      </c>
      <c r="AR611" s="789">
        <f t="shared" si="346"/>
        <v>-0.12111506638883585</v>
      </c>
      <c r="AS611" s="784" t="str">
        <f t="shared" si="347"/>
        <v>No</v>
      </c>
      <c r="AT611" s="801">
        <f>IF(ISNUMBER('Base de datos Rutas'!CK609),'Base de datos Rutas'!CK609,"")</f>
        <v>265</v>
      </c>
      <c r="AU611" s="802">
        <f>IF(ISNUMBER('Base de datos Rutas'!CL609),'Base de datos Rutas'!CL609,"")</f>
        <v>345.21</v>
      </c>
      <c r="AV611" s="802">
        <f>IF(ISNUMBER('Base de datos Rutas'!CM609),'Base de datos Rutas'!CM609,"")</f>
        <v>80.20999999999998</v>
      </c>
      <c r="AW611" s="802">
        <f>IF(ISNUMBER('Base de datos Rutas'!CN609),'Base de datos Rutas'!CN609,"")</f>
        <v>7.05</v>
      </c>
      <c r="AX611" s="802">
        <f>IF(ISNUMBER('Base de datos Rutas'!CO609),'Base de datos Rutas'!CO609,"")</f>
        <v>9.4499999999999993</v>
      </c>
      <c r="AY611" s="802">
        <f>IF(ISNUMBER('Base de datos Rutas'!CP609),'Base de datos Rutas'!CP609,"")</f>
        <v>2.3999999999999995</v>
      </c>
      <c r="AZ611" s="802">
        <f>IF(ISNUMBER('Base de datos Rutas'!CQ609),'Base de datos Rutas'!CQ609,"")</f>
        <v>846.56</v>
      </c>
      <c r="BA611" s="802">
        <f>IF(ISNUMBER('Base de datos Rutas'!CR609),'Base de datos Rutas'!CR609,"")</f>
        <v>551.75</v>
      </c>
      <c r="BB611" s="803">
        <f>IF(ISNUMBER('Base de datos Rutas'!CS609),'Base de datos Rutas'!CS609,"")</f>
        <v>294.80999999999995</v>
      </c>
      <c r="BC611" s="804">
        <f t="shared" si="357"/>
        <v>0</v>
      </c>
      <c r="BD611" s="805" t="str">
        <f t="shared" si="358"/>
        <v>No saturada</v>
      </c>
      <c r="BE611" s="806">
        <f t="shared" si="359"/>
        <v>0.65175533925533935</v>
      </c>
      <c r="BF611" s="890">
        <f>IF(ISNUMBER('Base de datos Rutas'!CX609),'Base de datos Rutas'!CX609/100,"")</f>
        <v>0.93320833333333331</v>
      </c>
      <c r="BG611" s="891">
        <f>IF(ISNUMBER('Base de datos Rutas'!CZ609),'Base de datos Rutas'!CZ609/100,"")</f>
        <v>0.98095238095238091</v>
      </c>
      <c r="BH611" s="892">
        <f>IF(ISNUMBER('Base de datos Rutas'!DA609),'Base de datos Rutas'!DA609,"")</f>
        <v>832.60692190136399</v>
      </c>
      <c r="BI611" s="893">
        <f>IF(ISNUMBER('Base de datos Rutas'!DC609),'Base de datos Rutas'!DC609,"")</f>
        <v>39.094306929286844</v>
      </c>
      <c r="BJ611" s="805" t="str">
        <f t="shared" si="360"/>
        <v>Ruta (completo)</v>
      </c>
      <c r="BK611" s="783">
        <f t="shared" si="348"/>
        <v>4</v>
      </c>
      <c r="BL611" s="797">
        <f t="shared" si="349"/>
        <v>3</v>
      </c>
      <c r="BM611" s="797">
        <f t="shared" si="350"/>
        <v>4</v>
      </c>
      <c r="BN611" s="797">
        <f t="shared" si="351"/>
        <v>4</v>
      </c>
      <c r="BO611" s="798" cm="1">
        <f t="array" ref="BO611">SUMPRODUCT(--ISNUMBER($BF611:$BI611),$BK$3:$BN$3)</f>
        <v>1</v>
      </c>
      <c r="BP611" s="831">
        <f t="shared" si="361"/>
        <v>68.75</v>
      </c>
      <c r="BQ611" s="834" t="str">
        <f t="shared" si="362"/>
        <v>Alto</v>
      </c>
      <c r="BR611" s="836">
        <f t="shared" si="352"/>
        <v>27.996761762612287</v>
      </c>
      <c r="BS611" s="836">
        <f t="shared" si="353"/>
        <v>68.75</v>
      </c>
      <c r="BT611" s="837" t="str">
        <f t="shared" si="354"/>
        <v>P3</v>
      </c>
      <c r="BU611" s="807" t="str">
        <f t="shared" si="363"/>
        <v>Con espacio</v>
      </c>
      <c r="BV611" s="807" t="str">
        <f t="shared" si="355"/>
        <v>Zona atractiva</v>
      </c>
      <c r="BW611" s="808" t="str">
        <f t="shared" si="356"/>
        <v>P3 - Desarrollar</v>
      </c>
    </row>
    <row r="612" spans="1:75">
      <c r="A612" s="780" t="str">
        <f>'Base de datos Rutas'!A610</f>
        <v>Occidente</v>
      </c>
      <c r="B612" s="781" t="str">
        <f>'Base de datos Rutas'!B610</f>
        <v>Favorita</v>
      </c>
      <c r="C612" s="781" t="str">
        <f>'Base de datos Rutas'!C610</f>
        <v>Suc. Santa Maria</v>
      </c>
      <c r="D612" s="782">
        <f>IF(ISNUMBER('Base de datos Rutas'!D610),'Base de datos Rutas'!D610,"Sin código")</f>
        <v>809362</v>
      </c>
      <c r="E612" s="783" t="str">
        <f>'Base de datos Rutas'!F610</f>
        <v>Activa</v>
      </c>
      <c r="F612" s="784" t="str">
        <f>'Base de datos Rutas'!H610</f>
        <v>Sí</v>
      </c>
      <c r="G612" s="785">
        <f>IF(ISNUMBER('Base de datos Rutas'!BE610),'Base de datos Rutas'!BE610,"")</f>
        <v>55.302272727272701</v>
      </c>
      <c r="H612" s="786">
        <f>IF(ISNUMBER('Base de datos Rutas'!BH610),'Base de datos Rutas'!BH610,"")</f>
        <v>0.38593679365470801</v>
      </c>
      <c r="I612" s="788">
        <f>IFERROR(IF(OR(NOT(ISNUMBER('Base de datos Rutas'!O610)),N('Base de datos Rutas'!BK610)=0),"",'Base de datos Rutas'!O610/('Base de datos Rutas'!L610/'Base de datos Rutas'!BK610)),"")</f>
        <v>4245.215909090899</v>
      </c>
      <c r="J612" s="788">
        <f>IFERROR(IF(OR(NOT(ISNUMBER('Base de datos Rutas'!N610)),N('Base de datos Rutas'!BK610)=0),"",'Base de datos Rutas'!N610/('Base de datos Rutas'!L610/'Base de datos Rutas'!BK610)),"")</f>
        <v>6894.3295454545287</v>
      </c>
      <c r="K612" s="788">
        <f>IFERROR(IF(OR(NOT(ISNUMBER('Base de datos Rutas'!J610)),N('Base de datos Rutas'!BK610)=0),"",'Base de datos Rutas'!J610/('Base de datos Rutas'!L610/'Base de datos Rutas'!BK610)),"")</f>
        <v>478.39795818181699</v>
      </c>
      <c r="L612" s="788">
        <f>IFERROR(IF(OR(NOT(ISNUMBER('Base de datos Rutas'!K610)),N('Base de datos Rutas'!BK610)=0),"",'Base de datos Rutas'!K610/('Base de datos Rutas'!L610/'Base de datos Rutas'!BK610)),"")</f>
        <v>27.601687490909026</v>
      </c>
      <c r="M612" s="787">
        <f>IF(ISNUMBER('Base de datos Rutas'!AX610),'Base de datos Rutas'!AX610,"")</f>
        <v>521.92511660100104</v>
      </c>
      <c r="N612" s="790">
        <f>IFERROR(INDEX('Hoja de apoyo v2'!B$17:B$20,MATCH($A612,'Hoja de apoyo v2'!$A$17:$A$20,0)),"")</f>
        <v>89.41621024641401</v>
      </c>
      <c r="O612" s="791">
        <f>IFERROR(INDEX('Hoja de apoyo v2'!C$17:C$20,MATCH($A612,'Hoja de apoyo v2'!$A$17:$A$20,0)),"")</f>
        <v>0.54706375874806301</v>
      </c>
      <c r="P612" s="793">
        <f>IFERROR(INDEX('Hoja de apoyo v2'!D$17:D$20,MATCH($A612,'Hoja de apoyo v2'!$A$17:$A$20,0)),"")</f>
        <v>11095.153935793827</v>
      </c>
      <c r="Q612" s="793">
        <f>IFERROR(INDEX('Hoja de apoyo v2'!E$17:E$20,MATCH($A612,'Hoja de apoyo v2'!$A$17:$A$20,0)),"")</f>
        <v>6982.3202019701848</v>
      </c>
      <c r="R612" s="793">
        <f>IFERROR(INDEX('Hoja de apoyo v2'!F$17:F$20,MATCH($A612,'Hoja de apoyo v2'!$A$17:$A$20,0)),"")</f>
        <v>448.09513474485743</v>
      </c>
      <c r="S612" s="793">
        <f>IFERROR(INDEX('Hoja de apoyo v2'!G$17:G$20,MATCH($A612,'Hoja de apoyo v2'!$A$17:$A$20,0)),"")</f>
        <v>83.406300904207839</v>
      </c>
      <c r="T612" s="792">
        <f>IFERROR(INDEX('Hoja de apoyo v2'!H$17:H$20,MATCH($A612,'Hoja de apoyo v2'!$A$17:$A$20,0)),"")</f>
        <v>378.97014028925349</v>
      </c>
      <c r="U612" s="794">
        <f t="shared" si="328"/>
        <v>0.61848150995071471</v>
      </c>
      <c r="V612" s="795">
        <f t="shared" si="329"/>
        <v>0.70546949506929757</v>
      </c>
      <c r="W612" s="795">
        <f t="shared" si="330"/>
        <v>0.38261892837696493</v>
      </c>
      <c r="X612" s="843">
        <f t="shared" si="331"/>
        <v>0.98739807772052213</v>
      </c>
      <c r="Y612" s="843">
        <f t="shared" si="332"/>
        <v>1.0676258702389478</v>
      </c>
      <c r="Z612" s="843">
        <f t="shared" si="333"/>
        <v>0.33093048356873628</v>
      </c>
      <c r="AA612" s="843">
        <f t="shared" si="334"/>
        <v>1.3772196305562108</v>
      </c>
      <c r="AB612" s="796">
        <f t="shared" si="335"/>
        <v>2</v>
      </c>
      <c r="AC612" s="797">
        <f t="shared" si="336"/>
        <v>2</v>
      </c>
      <c r="AD612" s="797">
        <f t="shared" si="337"/>
        <v>1</v>
      </c>
      <c r="AE612" s="842">
        <f t="shared" si="338"/>
        <v>3</v>
      </c>
      <c r="AF612" s="842">
        <f t="shared" si="339"/>
        <v>4</v>
      </c>
      <c r="AG612" s="842">
        <f t="shared" si="340"/>
        <v>1</v>
      </c>
      <c r="AH612" s="842">
        <f t="shared" si="341"/>
        <v>5</v>
      </c>
      <c r="AI612" s="826" cm="1">
        <f t="array" ref="AI612">SUMPRODUCT(--ISNUMBER($U612:$AA612),$AB$3:$AH$3)</f>
        <v>1</v>
      </c>
      <c r="AJ612" s="829">
        <f t="shared" si="342"/>
        <v>31.492481953890248</v>
      </c>
      <c r="AK612" s="827" t="str">
        <f t="shared" si="343"/>
        <v>Inmadura</v>
      </c>
      <c r="AL612" s="784" t="str">
        <f t="shared" si="344"/>
        <v>Alta</v>
      </c>
      <c r="AM612" s="799">
        <f>IF(ISNUMBER('Base de datos Rutas'!W610),'Base de datos Rutas'!W610,"")</f>
        <v>3293.1144020900269</v>
      </c>
      <c r="AN612" s="787">
        <f>IFERROR(SUMIFS('Base de datos Rutas'!$W$6:$W$794,'Base de datos Rutas'!$C$6:$C$794,$C612)/'Base de datos Rutas'!I610,"")</f>
        <v>3293.1144020900251</v>
      </c>
      <c r="AO612" s="800">
        <f>IFERROR('Base de datos Rutas'!X610*AN612/AM612,"")</f>
        <v>0.47791232590402694</v>
      </c>
      <c r="AP612" s="800">
        <f t="shared" si="345"/>
        <v>0.52208767409597301</v>
      </c>
      <c r="AQ612" s="789">
        <f>IFERROR(INDEX('Hoja de apoyo v2'!$J$17:$J$20,MATCH($A612,'Hoja de apoyo v2'!$A$17:$A$20,0)),"")</f>
        <v>0.64320274048480885</v>
      </c>
      <c r="AR612" s="789">
        <f t="shared" si="346"/>
        <v>-0.12111506638883585</v>
      </c>
      <c r="AS612" s="784" t="str">
        <f t="shared" si="347"/>
        <v>No</v>
      </c>
      <c r="AT612" s="801">
        <f>IF(ISNUMBER('Base de datos Rutas'!CK610),'Base de datos Rutas'!CK610,"")</f>
        <v>240</v>
      </c>
      <c r="AU612" s="802">
        <f>IF(ISNUMBER('Base de datos Rutas'!CL610),'Base de datos Rutas'!CL610,"")</f>
        <v>334.84</v>
      </c>
      <c r="AV612" s="802">
        <f>IF(ISNUMBER('Base de datos Rutas'!CM610),'Base de datos Rutas'!CM610,"")</f>
        <v>94.839999999999975</v>
      </c>
      <c r="AW612" s="802">
        <f>IF(ISNUMBER('Base de datos Rutas'!CN610),'Base de datos Rutas'!CN610,"")</f>
        <v>7.17</v>
      </c>
      <c r="AX612" s="802">
        <f>IF(ISNUMBER('Base de datos Rutas'!CO610),'Base de datos Rutas'!CO610,"")</f>
        <v>9.4499999999999993</v>
      </c>
      <c r="AY612" s="802">
        <f>IF(ISNUMBER('Base de datos Rutas'!CP610),'Base de datos Rutas'!CP610,"")</f>
        <v>2.2799999999999994</v>
      </c>
      <c r="AZ612" s="802">
        <f>IF(ISNUMBER('Base de datos Rutas'!CQ610),'Base de datos Rutas'!CQ610,"")</f>
        <v>846.56</v>
      </c>
      <c r="BA612" s="802">
        <f>IF(ISNUMBER('Base de datos Rutas'!CR610),'Base de datos Rutas'!CR610,"")</f>
        <v>506</v>
      </c>
      <c r="BB612" s="803">
        <f>IF(ISNUMBER('Base de datos Rutas'!CS610),'Base de datos Rutas'!CS610,"")</f>
        <v>340.55999999999995</v>
      </c>
      <c r="BC612" s="804">
        <f t="shared" si="357"/>
        <v>0</v>
      </c>
      <c r="BD612" s="805" t="str">
        <f t="shared" si="358"/>
        <v>No saturada</v>
      </c>
      <c r="BE612" s="806">
        <f t="shared" si="359"/>
        <v>0.59771309771309777</v>
      </c>
      <c r="BF612" s="890">
        <f>IF(ISNUMBER('Base de datos Rutas'!CX610),'Base de datos Rutas'!CX610/100,"")</f>
        <v>0.95340787554691309</v>
      </c>
      <c r="BG612" s="891">
        <f>IF(ISNUMBER('Base de datos Rutas'!CZ610),'Base de datos Rutas'!CZ610/100,"")</f>
        <v>0.9995138551288284</v>
      </c>
      <c r="BH612" s="892">
        <f>IF(ISNUMBER('Base de datos Rutas'!DA610),'Base de datos Rutas'!DA610,"")</f>
        <v>966.13420142761538</v>
      </c>
      <c r="BI612" s="893">
        <f>IF(ISNUMBER('Base de datos Rutas'!DC610),'Base de datos Rutas'!DC610,"")</f>
        <v>39.923098371626139</v>
      </c>
      <c r="BJ612" s="805" t="str">
        <f t="shared" si="360"/>
        <v>Ruta (completo)</v>
      </c>
      <c r="BK612" s="783">
        <f t="shared" si="348"/>
        <v>4</v>
      </c>
      <c r="BL612" s="797">
        <f t="shared" si="349"/>
        <v>3</v>
      </c>
      <c r="BM612" s="797">
        <f t="shared" si="350"/>
        <v>4</v>
      </c>
      <c r="BN612" s="797">
        <f t="shared" si="351"/>
        <v>4</v>
      </c>
      <c r="BO612" s="798" cm="1">
        <f t="array" ref="BO612">SUMPRODUCT(--ISNUMBER($BF612:$BI612),$BK$3:$BN$3)</f>
        <v>1</v>
      </c>
      <c r="BP612" s="831">
        <f t="shared" si="361"/>
        <v>68.75</v>
      </c>
      <c r="BQ612" s="834" t="str">
        <f t="shared" si="362"/>
        <v>Alto</v>
      </c>
      <c r="BR612" s="836">
        <f t="shared" si="352"/>
        <v>23.619361465417686</v>
      </c>
      <c r="BS612" s="836">
        <f t="shared" si="353"/>
        <v>68.75</v>
      </c>
      <c r="BT612" s="837" t="str">
        <f t="shared" si="354"/>
        <v>P3</v>
      </c>
      <c r="BU612" s="807" t="str">
        <f t="shared" si="363"/>
        <v>Con espacio</v>
      </c>
      <c r="BV612" s="807" t="str">
        <f t="shared" si="355"/>
        <v>Zona atractiva</v>
      </c>
      <c r="BW612" s="808" t="str">
        <f t="shared" si="356"/>
        <v>P3 - Desarrollar</v>
      </c>
    </row>
    <row r="613" spans="1:75">
      <c r="A613" s="780" t="str">
        <f>'Base de datos Rutas'!A611</f>
        <v>Occidente</v>
      </c>
      <c r="B613" s="781" t="str">
        <f>'Base de datos Rutas'!B611</f>
        <v>Favorita</v>
      </c>
      <c r="C613" s="781" t="str">
        <f>'Base de datos Rutas'!C611</f>
        <v>Suc. Santa Maria</v>
      </c>
      <c r="D613" s="782">
        <f>IF(ISNUMBER('Base de datos Rutas'!D611),'Base de datos Rutas'!D611,"Sin código")</f>
        <v>809363</v>
      </c>
      <c r="E613" s="783" t="str">
        <f>'Base de datos Rutas'!F611</f>
        <v>Activa</v>
      </c>
      <c r="F613" s="784" t="str">
        <f>'Base de datos Rutas'!H611</f>
        <v>Sí</v>
      </c>
      <c r="G613" s="785">
        <f>IF(ISNUMBER('Base de datos Rutas'!BE611),'Base de datos Rutas'!BE611,"")</f>
        <v>80.705069124424</v>
      </c>
      <c r="H613" s="786">
        <f>IF(ISNUMBER('Base de datos Rutas'!BH611),'Base de datos Rutas'!BH611,"")</f>
        <v>0.468166504882088</v>
      </c>
      <c r="I613" s="788">
        <f>IFERROR(IF(OR(NOT(ISNUMBER('Base de datos Rutas'!O611)),N('Base de datos Rutas'!BK611)=0),"",'Base de datos Rutas'!O611/('Base de datos Rutas'!L611/'Base de datos Rutas'!BK611)),"")</f>
        <v>4620.3087557603712</v>
      </c>
      <c r="J613" s="788">
        <f>IFERROR(IF(OR(NOT(ISNUMBER('Base de datos Rutas'!N611)),N('Base de datos Rutas'!BK611)=0),"",'Base de datos Rutas'!N611/('Base de datos Rutas'!L611/'Base de datos Rutas'!BK611)),"")</f>
        <v>7620.6105990783462</v>
      </c>
      <c r="K613" s="788">
        <f>IFERROR(IF(OR(NOT(ISNUMBER('Base de datos Rutas'!J611)),N('Base de datos Rutas'!BK611)=0),"",'Base de datos Rutas'!J611/('Base de datos Rutas'!L611/'Base de datos Rutas'!BK611)),"")</f>
        <v>519.00210322580449</v>
      </c>
      <c r="L613" s="788">
        <f>IFERROR(IF(OR(NOT(ISNUMBER('Base de datos Rutas'!K611)),N('Base de datos Rutas'!BK611)=0),"",'Base de datos Rutas'!K611/('Base de datos Rutas'!L611/'Base de datos Rutas'!BK611)),"")</f>
        <v>30.422011225806472</v>
      </c>
      <c r="M613" s="787">
        <f>IF(ISNUMBER('Base de datos Rutas'!AX611),'Base de datos Rutas'!AX611,"")</f>
        <v>323.97583912672297</v>
      </c>
      <c r="N613" s="790">
        <f>IFERROR(INDEX('Hoja de apoyo v2'!B$17:B$20,MATCH($A613,'Hoja de apoyo v2'!$A$17:$A$20,0)),"")</f>
        <v>89.41621024641401</v>
      </c>
      <c r="O613" s="791">
        <f>IFERROR(INDEX('Hoja de apoyo v2'!C$17:C$20,MATCH($A613,'Hoja de apoyo v2'!$A$17:$A$20,0)),"")</f>
        <v>0.54706375874806301</v>
      </c>
      <c r="P613" s="793">
        <f>IFERROR(INDEX('Hoja de apoyo v2'!D$17:D$20,MATCH($A613,'Hoja de apoyo v2'!$A$17:$A$20,0)),"")</f>
        <v>11095.153935793827</v>
      </c>
      <c r="Q613" s="793">
        <f>IFERROR(INDEX('Hoja de apoyo v2'!E$17:E$20,MATCH($A613,'Hoja de apoyo v2'!$A$17:$A$20,0)),"")</f>
        <v>6982.3202019701848</v>
      </c>
      <c r="R613" s="793">
        <f>IFERROR(INDEX('Hoja de apoyo v2'!F$17:F$20,MATCH($A613,'Hoja de apoyo v2'!$A$17:$A$20,0)),"")</f>
        <v>448.09513474485743</v>
      </c>
      <c r="S613" s="793">
        <f>IFERROR(INDEX('Hoja de apoyo v2'!G$17:G$20,MATCH($A613,'Hoja de apoyo v2'!$A$17:$A$20,0)),"")</f>
        <v>83.406300904207839</v>
      </c>
      <c r="T613" s="792">
        <f>IFERROR(INDEX('Hoja de apoyo v2'!H$17:H$20,MATCH($A613,'Hoja de apoyo v2'!$A$17:$A$20,0)),"")</f>
        <v>378.97014028925349</v>
      </c>
      <c r="U613" s="794">
        <f t="shared" si="328"/>
        <v>0.90257760759504602</v>
      </c>
      <c r="V613" s="795">
        <f t="shared" si="329"/>
        <v>0.85578051442024106</v>
      </c>
      <c r="W613" s="795">
        <f t="shared" si="330"/>
        <v>0.41642583622520973</v>
      </c>
      <c r="X613" s="843">
        <f t="shared" si="331"/>
        <v>1.0914152285551235</v>
      </c>
      <c r="Y613" s="843">
        <f t="shared" si="332"/>
        <v>1.1582408800785597</v>
      </c>
      <c r="Z613" s="843">
        <f t="shared" si="333"/>
        <v>0.36474476023995073</v>
      </c>
      <c r="AA613" s="843">
        <f t="shared" si="334"/>
        <v>0.85488487003077485</v>
      </c>
      <c r="AB613" s="796">
        <f t="shared" si="335"/>
        <v>3</v>
      </c>
      <c r="AC613" s="797">
        <f t="shared" si="336"/>
        <v>3</v>
      </c>
      <c r="AD613" s="797">
        <f t="shared" si="337"/>
        <v>1</v>
      </c>
      <c r="AE613" s="842">
        <f t="shared" si="338"/>
        <v>4</v>
      </c>
      <c r="AF613" s="842">
        <f t="shared" si="339"/>
        <v>4</v>
      </c>
      <c r="AG613" s="842">
        <f t="shared" si="340"/>
        <v>1</v>
      </c>
      <c r="AH613" s="842">
        <f t="shared" si="341"/>
        <v>3</v>
      </c>
      <c r="AI613" s="826" cm="1">
        <f t="array" ref="AI613">SUMPRODUCT(--ISNUMBER($U613:$AA613),$AB$3:$AH$3)</f>
        <v>1</v>
      </c>
      <c r="AJ613" s="829">
        <f t="shared" si="342"/>
        <v>37.32901568348305</v>
      </c>
      <c r="AK613" s="827" t="str">
        <f t="shared" si="343"/>
        <v>Inmadura</v>
      </c>
      <c r="AL613" s="784" t="str">
        <f t="shared" si="344"/>
        <v>Alta</v>
      </c>
      <c r="AM613" s="799">
        <f>IF(ISNUMBER('Base de datos Rutas'!W611),'Base de datos Rutas'!W611,"")</f>
        <v>3293.1144020900269</v>
      </c>
      <c r="AN613" s="787">
        <f>IFERROR(SUMIFS('Base de datos Rutas'!$W$6:$W$794,'Base de datos Rutas'!$C$6:$C$794,$C613)/'Base de datos Rutas'!I611,"")</f>
        <v>3293.1144020900251</v>
      </c>
      <c r="AO613" s="800">
        <f>IFERROR('Base de datos Rutas'!X611*AN613/AM613,"")</f>
        <v>0.47791232590402694</v>
      </c>
      <c r="AP613" s="800">
        <f t="shared" si="345"/>
        <v>0.52208767409597301</v>
      </c>
      <c r="AQ613" s="789">
        <f>IFERROR(INDEX('Hoja de apoyo v2'!$J$17:$J$20,MATCH($A613,'Hoja de apoyo v2'!$A$17:$A$20,0)),"")</f>
        <v>0.64320274048480885</v>
      </c>
      <c r="AR613" s="789">
        <f t="shared" si="346"/>
        <v>-0.12111506638883585</v>
      </c>
      <c r="AS613" s="784" t="str">
        <f t="shared" si="347"/>
        <v>No</v>
      </c>
      <c r="AT613" s="801">
        <f>IF(ISNUMBER('Base de datos Rutas'!CK611),'Base de datos Rutas'!CK611,"")</f>
        <v>271</v>
      </c>
      <c r="AU613" s="802">
        <f>IF(ISNUMBER('Base de datos Rutas'!CL611),'Base de datos Rutas'!CL611,"")</f>
        <v>421.35</v>
      </c>
      <c r="AV613" s="802">
        <f>IF(ISNUMBER('Base de datos Rutas'!CM611),'Base de datos Rutas'!CM611,"")</f>
        <v>150.35000000000002</v>
      </c>
      <c r="AW613" s="802">
        <f>IF(ISNUMBER('Base de datos Rutas'!CN611),'Base de datos Rutas'!CN611,"")</f>
        <v>5.42</v>
      </c>
      <c r="AX613" s="802">
        <f>IF(ISNUMBER('Base de datos Rutas'!CO611),'Base de datos Rutas'!CO611,"")</f>
        <v>9.4499999999999993</v>
      </c>
      <c r="AY613" s="802">
        <f>IF(ISNUMBER('Base de datos Rutas'!CP611),'Base de datos Rutas'!CP611,"")</f>
        <v>4.0299999999999994</v>
      </c>
      <c r="AZ613" s="802">
        <f>IF(ISNUMBER('Base de datos Rutas'!CQ611),'Base de datos Rutas'!CQ611,"")</f>
        <v>846.56</v>
      </c>
      <c r="BA613" s="802">
        <f>IF(ISNUMBER('Base de datos Rutas'!CR611),'Base de datos Rutas'!CR611,"")</f>
        <v>549.41999999999996</v>
      </c>
      <c r="BB613" s="803">
        <f>IF(ISNUMBER('Base de datos Rutas'!CS611),'Base de datos Rutas'!CS611,"")</f>
        <v>297.14</v>
      </c>
      <c r="BC613" s="804">
        <f t="shared" si="357"/>
        <v>0</v>
      </c>
      <c r="BD613" s="805" t="str">
        <f t="shared" si="358"/>
        <v>No saturada</v>
      </c>
      <c r="BE613" s="806">
        <f t="shared" si="359"/>
        <v>0.64900302400302401</v>
      </c>
      <c r="BF613" s="890">
        <f>IF(ISNUMBER('Base de datos Rutas'!CX611),'Base de datos Rutas'!CX611/100,"")</f>
        <v>0.89515341701534179</v>
      </c>
      <c r="BG613" s="891">
        <f>IF(ISNUMBER('Base de datos Rutas'!CZ611),'Base de datos Rutas'!CZ611/100,"")</f>
        <v>1</v>
      </c>
      <c r="BH613" s="892">
        <f>IF(ISNUMBER('Base de datos Rutas'!DA611),'Base de datos Rutas'!DA611,"")</f>
        <v>1503.9809006848236</v>
      </c>
      <c r="BI613" s="893">
        <f>IF(ISNUMBER('Base de datos Rutas'!DC611),'Base de datos Rutas'!DC611,"")</f>
        <v>64.78490863761165</v>
      </c>
      <c r="BJ613" s="805" t="str">
        <f t="shared" si="360"/>
        <v>Ruta (completo)</v>
      </c>
      <c r="BK613" s="783">
        <f t="shared" si="348"/>
        <v>3</v>
      </c>
      <c r="BL613" s="797">
        <f t="shared" si="349"/>
        <v>3</v>
      </c>
      <c r="BM613" s="797">
        <f t="shared" si="350"/>
        <v>5</v>
      </c>
      <c r="BN613" s="797">
        <f t="shared" si="351"/>
        <v>5</v>
      </c>
      <c r="BO613" s="798" cm="1">
        <f t="array" ref="BO613">SUMPRODUCT(--ISNUMBER($BF613:$BI613),$BK$3:$BN$3)</f>
        <v>1</v>
      </c>
      <c r="BP613" s="831">
        <f t="shared" si="361"/>
        <v>75</v>
      </c>
      <c r="BQ613" s="834" t="str">
        <f t="shared" si="362"/>
        <v>Alto</v>
      </c>
      <c r="BR613" s="836">
        <f t="shared" si="352"/>
        <v>27.996761762612287</v>
      </c>
      <c r="BS613" s="836">
        <f t="shared" si="353"/>
        <v>75</v>
      </c>
      <c r="BT613" s="837" t="str">
        <f t="shared" si="354"/>
        <v>P3</v>
      </c>
      <c r="BU613" s="807" t="str">
        <f t="shared" si="363"/>
        <v>Con espacio</v>
      </c>
      <c r="BV613" s="807" t="str">
        <f t="shared" si="355"/>
        <v>Zona atractiva</v>
      </c>
      <c r="BW613" s="808" t="str">
        <f t="shared" si="356"/>
        <v>P3 - Desarrollar</v>
      </c>
    </row>
    <row r="614" spans="1:75">
      <c r="A614" s="780" t="str">
        <f>'Base de datos Rutas'!A612</f>
        <v>Occidente</v>
      </c>
      <c r="B614" s="781" t="str">
        <f>'Base de datos Rutas'!B612</f>
        <v>Favorita</v>
      </c>
      <c r="C614" s="781" t="str">
        <f>'Base de datos Rutas'!C612</f>
        <v>Suc. Santa Maria</v>
      </c>
      <c r="D614" s="782">
        <f>IF(ISNUMBER('Base de datos Rutas'!D612),'Base de datos Rutas'!D612,"Sin código")</f>
        <v>809364</v>
      </c>
      <c r="E614" s="783" t="str">
        <f>'Base de datos Rutas'!F612</f>
        <v>Activa</v>
      </c>
      <c r="F614" s="784" t="str">
        <f>'Base de datos Rutas'!H612</f>
        <v>Sí</v>
      </c>
      <c r="G614" s="785">
        <f>IF(ISNUMBER('Base de datos Rutas'!BE612),'Base de datos Rutas'!BE612,"")</f>
        <v>34.091954022988503</v>
      </c>
      <c r="H614" s="786">
        <f>IF(ISNUMBER('Base de datos Rutas'!BH612),'Base de datos Rutas'!BH612,"")</f>
        <v>0.468374915711396</v>
      </c>
      <c r="I614" s="788">
        <f>IFERROR(IF(OR(NOT(ISNUMBER('Base de datos Rutas'!O612)),N('Base de datos Rutas'!BK612)=0),"",'Base de datos Rutas'!O612/('Base de datos Rutas'!L612/'Base de datos Rutas'!BK612)),"")</f>
        <v>2073.0827586206865</v>
      </c>
      <c r="J614" s="788">
        <f>IFERROR(IF(OR(NOT(ISNUMBER('Base de datos Rutas'!N612)),N('Base de datos Rutas'!BK612)=0),"",'Base de datos Rutas'!N612/('Base de datos Rutas'!L612/'Base de datos Rutas'!BK612)),"")</f>
        <v>7716.5609195402176</v>
      </c>
      <c r="K614" s="788">
        <f>IFERROR(IF(OR(NOT(ISNUMBER('Base de datos Rutas'!J612)),N('Base de datos Rutas'!BK612)=0),"",'Base de datos Rutas'!J612/('Base de datos Rutas'!L612/'Base de datos Rutas'!BK612)),"")</f>
        <v>536.06069517241292</v>
      </c>
      <c r="L614" s="788">
        <f>IFERROR(IF(OR(NOT(ISNUMBER('Base de datos Rutas'!K612)),N('Base de datos Rutas'!BK612)=0),"",'Base de datos Rutas'!K612/('Base de datos Rutas'!L612/'Base de datos Rutas'!BK612)),"")</f>
        <v>15.42337413793101</v>
      </c>
      <c r="M614" s="787">
        <f>IF(ISNUMBER('Base de datos Rutas'!AX612),'Base de datos Rutas'!AX612,"")</f>
        <v>613.08608839619899</v>
      </c>
      <c r="N614" s="790">
        <f>IFERROR(INDEX('Hoja de apoyo v2'!B$17:B$20,MATCH($A614,'Hoja de apoyo v2'!$A$17:$A$20,0)),"")</f>
        <v>89.41621024641401</v>
      </c>
      <c r="O614" s="791">
        <f>IFERROR(INDEX('Hoja de apoyo v2'!C$17:C$20,MATCH($A614,'Hoja de apoyo v2'!$A$17:$A$20,0)),"")</f>
        <v>0.54706375874806301</v>
      </c>
      <c r="P614" s="793">
        <f>IFERROR(INDEX('Hoja de apoyo v2'!D$17:D$20,MATCH($A614,'Hoja de apoyo v2'!$A$17:$A$20,0)),"")</f>
        <v>11095.153935793827</v>
      </c>
      <c r="Q614" s="793">
        <f>IFERROR(INDEX('Hoja de apoyo v2'!E$17:E$20,MATCH($A614,'Hoja de apoyo v2'!$A$17:$A$20,0)),"")</f>
        <v>6982.3202019701848</v>
      </c>
      <c r="R614" s="793">
        <f>IFERROR(INDEX('Hoja de apoyo v2'!F$17:F$20,MATCH($A614,'Hoja de apoyo v2'!$A$17:$A$20,0)),"")</f>
        <v>448.09513474485743</v>
      </c>
      <c r="S614" s="793">
        <f>IFERROR(INDEX('Hoja de apoyo v2'!G$17:G$20,MATCH($A614,'Hoja de apoyo v2'!$A$17:$A$20,0)),"")</f>
        <v>83.406300904207839</v>
      </c>
      <c r="T614" s="792">
        <f>IFERROR(INDEX('Hoja de apoyo v2'!H$17:H$20,MATCH($A614,'Hoja de apoyo v2'!$A$17:$A$20,0)),"")</f>
        <v>378.97014028925349</v>
      </c>
      <c r="U614" s="794">
        <f t="shared" si="328"/>
        <v>0.38127263422412538</v>
      </c>
      <c r="V614" s="795">
        <f t="shared" si="329"/>
        <v>0.85616147701550582</v>
      </c>
      <c r="W614" s="795">
        <f t="shared" si="330"/>
        <v>0.1868457860627567</v>
      </c>
      <c r="X614" s="843">
        <f t="shared" si="331"/>
        <v>1.1051571248999514</v>
      </c>
      <c r="Y614" s="843">
        <f t="shared" si="332"/>
        <v>1.1963100101000708</v>
      </c>
      <c r="Z614" s="843">
        <f t="shared" si="333"/>
        <v>0.1849185729462425</v>
      </c>
      <c r="AA614" s="843">
        <f t="shared" si="334"/>
        <v>1.6177688509396906</v>
      </c>
      <c r="AB614" s="796">
        <f t="shared" si="335"/>
        <v>1</v>
      </c>
      <c r="AC614" s="797">
        <f t="shared" si="336"/>
        <v>3</v>
      </c>
      <c r="AD614" s="797">
        <f t="shared" si="337"/>
        <v>1</v>
      </c>
      <c r="AE614" s="842">
        <f t="shared" si="338"/>
        <v>4</v>
      </c>
      <c r="AF614" s="842">
        <f t="shared" si="339"/>
        <v>4</v>
      </c>
      <c r="AG614" s="842">
        <f t="shared" si="340"/>
        <v>1</v>
      </c>
      <c r="AH614" s="842">
        <f t="shared" si="341"/>
        <v>5</v>
      </c>
      <c r="AI614" s="826" cm="1">
        <f t="array" ref="AI614">SUMPRODUCT(--ISNUMBER($U614:$AA614),$AB$3:$AH$3)</f>
        <v>1</v>
      </c>
      <c r="AJ614" s="829">
        <f t="shared" si="342"/>
        <v>32.751199007862674</v>
      </c>
      <c r="AK614" s="827" t="str">
        <f t="shared" si="343"/>
        <v>Inmadura</v>
      </c>
      <c r="AL614" s="784" t="str">
        <f t="shared" si="344"/>
        <v>Alta</v>
      </c>
      <c r="AM614" s="799">
        <f>IF(ISNUMBER('Base de datos Rutas'!W612),'Base de datos Rutas'!W612,"")</f>
        <v>3293.1144020900269</v>
      </c>
      <c r="AN614" s="787">
        <f>IFERROR(SUMIFS('Base de datos Rutas'!$W$6:$W$794,'Base de datos Rutas'!$C$6:$C$794,$C614)/'Base de datos Rutas'!I612,"")</f>
        <v>3293.1144020900251</v>
      </c>
      <c r="AO614" s="800">
        <f>IFERROR('Base de datos Rutas'!X612*AN614/AM614,"")</f>
        <v>0.47791232590402694</v>
      </c>
      <c r="AP614" s="800">
        <f t="shared" si="345"/>
        <v>0.52208767409597301</v>
      </c>
      <c r="AQ614" s="789">
        <f>IFERROR(INDEX('Hoja de apoyo v2'!$J$17:$J$20,MATCH($A614,'Hoja de apoyo v2'!$A$17:$A$20,0)),"")</f>
        <v>0.64320274048480885</v>
      </c>
      <c r="AR614" s="789">
        <f t="shared" si="346"/>
        <v>-0.12111506638883585</v>
      </c>
      <c r="AS614" s="784" t="str">
        <f t="shared" si="347"/>
        <v>No</v>
      </c>
      <c r="AT614" s="801">
        <f>IF(ISNUMBER('Base de datos Rutas'!CK612),'Base de datos Rutas'!CK612,"")</f>
        <v>168</v>
      </c>
      <c r="AU614" s="802">
        <f>IF(ISNUMBER('Base de datos Rutas'!CL612),'Base de datos Rutas'!CL612,"")</f>
        <v>209.55</v>
      </c>
      <c r="AV614" s="802">
        <f>IF(ISNUMBER('Base de datos Rutas'!CM612),'Base de datos Rutas'!CM612,"")</f>
        <v>41.550000000000011</v>
      </c>
      <c r="AW614" s="802">
        <f>IF(ISNUMBER('Base de datos Rutas'!CN612),'Base de datos Rutas'!CN612,"")</f>
        <v>4.38</v>
      </c>
      <c r="AX614" s="802">
        <f>IF(ISNUMBER('Base de datos Rutas'!CO612),'Base de datos Rutas'!CO612,"")</f>
        <v>9.4499999999999993</v>
      </c>
      <c r="AY614" s="802">
        <f>IF(ISNUMBER('Base de datos Rutas'!CP612),'Base de datos Rutas'!CP612,"")</f>
        <v>5.0699999999999994</v>
      </c>
      <c r="AZ614" s="802">
        <f>IF(ISNUMBER('Base de datos Rutas'!CQ612),'Base de datos Rutas'!CQ612,"")</f>
        <v>846.56</v>
      </c>
      <c r="BA614" s="802">
        <f>IF(ISNUMBER('Base de datos Rutas'!CR612),'Base de datos Rutas'!CR612,"")</f>
        <v>551.48</v>
      </c>
      <c r="BB614" s="803">
        <f>IF(ISNUMBER('Base de datos Rutas'!CS612),'Base de datos Rutas'!CS612,"")</f>
        <v>295.07999999999993</v>
      </c>
      <c r="BC614" s="804">
        <f t="shared" si="357"/>
        <v>0</v>
      </c>
      <c r="BD614" s="805" t="str">
        <f t="shared" si="358"/>
        <v>No saturada</v>
      </c>
      <c r="BE614" s="806">
        <f t="shared" si="359"/>
        <v>0.65143640143640147</v>
      </c>
      <c r="BF614" s="890">
        <f>IF(ISNUMBER('Base de datos Rutas'!CX612),'Base de datos Rutas'!CX612/100,"")</f>
        <v>0.21590194022024123</v>
      </c>
      <c r="BG614" s="891">
        <f>IF(ISNUMBER('Base de datos Rutas'!CZ612),'Base de datos Rutas'!CZ612/100,"")</f>
        <v>0.22679601468274777</v>
      </c>
      <c r="BH614" s="892">
        <f>IF(ISNUMBER('Base de datos Rutas'!DA612),'Base de datos Rutas'!DA612,"")</f>
        <v>99.319477117402187</v>
      </c>
      <c r="BI614" s="893">
        <f>IF(ISNUMBER('Base de datos Rutas'!DC612),'Base de datos Rutas'!DC612,"")</f>
        <v>5.1881832682756022</v>
      </c>
      <c r="BJ614" s="805" t="str">
        <f t="shared" si="360"/>
        <v>Ruta (completo)</v>
      </c>
      <c r="BK614" s="783">
        <f t="shared" si="348"/>
        <v>1</v>
      </c>
      <c r="BL614" s="797">
        <f t="shared" si="349"/>
        <v>1</v>
      </c>
      <c r="BM614" s="797">
        <f t="shared" si="350"/>
        <v>1</v>
      </c>
      <c r="BN614" s="797">
        <f t="shared" si="351"/>
        <v>1</v>
      </c>
      <c r="BO614" s="798" cm="1">
        <f t="array" ref="BO614">SUMPRODUCT(--ISNUMBER($BF614:$BI614),$BK$3:$BN$3)</f>
        <v>1</v>
      </c>
      <c r="BP614" s="831">
        <f t="shared" si="361"/>
        <v>0</v>
      </c>
      <c r="BQ614" s="834" t="str">
        <f t="shared" si="362"/>
        <v>Bajo</v>
      </c>
      <c r="BR614" s="836">
        <f t="shared" si="352"/>
        <v>24.563399255897004</v>
      </c>
      <c r="BS614" s="836">
        <f t="shared" si="353"/>
        <v>0</v>
      </c>
      <c r="BT614" s="837" t="str">
        <f t="shared" si="354"/>
        <v>P4</v>
      </c>
      <c r="BU614" s="807" t="str">
        <f t="shared" si="363"/>
        <v>Con espacio</v>
      </c>
      <c r="BV614" s="807" t="str">
        <f t="shared" si="355"/>
        <v>Zona de bajo potencial</v>
      </c>
      <c r="BW614" s="808" t="str">
        <f t="shared" si="356"/>
        <v>P4 - Evaluar</v>
      </c>
    </row>
    <row r="615" spans="1:75">
      <c r="A615" s="780" t="str">
        <f>'Base de datos Rutas'!A613</f>
        <v>Occidente</v>
      </c>
      <c r="B615" s="781" t="str">
        <f>'Base de datos Rutas'!B613</f>
        <v>Favorita</v>
      </c>
      <c r="C615" s="781" t="str">
        <f>'Base de datos Rutas'!C613</f>
        <v>Suc. Santa Maria</v>
      </c>
      <c r="D615" s="782">
        <f>IF(ISNUMBER('Base de datos Rutas'!D613),'Base de datos Rutas'!D613,"Sin código")</f>
        <v>809365</v>
      </c>
      <c r="E615" s="783" t="str">
        <f>'Base de datos Rutas'!F613</f>
        <v>Activa</v>
      </c>
      <c r="F615" s="784" t="str">
        <f>'Base de datos Rutas'!H613</f>
        <v>Sí</v>
      </c>
      <c r="G615" s="785">
        <f>IF(ISNUMBER('Base de datos Rutas'!BE613),'Base de datos Rutas'!BE613,"")</f>
        <v>67.052154195011298</v>
      </c>
      <c r="H615" s="786">
        <f>IF(ISNUMBER('Base de datos Rutas'!BH613),'Base de datos Rutas'!BH613,"")</f>
        <v>0.51826175177544798</v>
      </c>
      <c r="I615" s="788">
        <f>IFERROR(IF(OR(NOT(ISNUMBER('Base de datos Rutas'!O613)),N('Base de datos Rutas'!BK613)=0),"",'Base de datos Rutas'!O613/('Base de datos Rutas'!L613/'Base de datos Rutas'!BK613)),"")</f>
        <v>3939.6893424036225</v>
      </c>
      <c r="J615" s="788">
        <f>IFERROR(IF(OR(NOT(ISNUMBER('Base de datos Rutas'!N613)),N('Base de datos Rutas'!BK613)=0),"",'Base de datos Rutas'!N613/('Base de datos Rutas'!L613/'Base de datos Rutas'!BK613)),"")</f>
        <v>8964.5147392290128</v>
      </c>
      <c r="K615" s="788">
        <f>IFERROR(IF(OR(NOT(ISNUMBER('Base de datos Rutas'!J613)),N('Base de datos Rutas'!BK613)=0),"",'Base de datos Rutas'!J613/('Base de datos Rutas'!L613/'Base de datos Rutas'!BK613)),"")</f>
        <v>613.99186031745944</v>
      </c>
      <c r="L615" s="788">
        <f>IFERROR(IF(OR(NOT(ISNUMBER('Base de datos Rutas'!K613)),N('Base de datos Rutas'!BK613)=0),"",'Base de datos Rutas'!K613/('Base de datos Rutas'!L613/'Base de datos Rutas'!BK613)),"")</f>
        <v>27.563757369614475</v>
      </c>
      <c r="M615" s="787">
        <f>IF(ISNUMBER('Base de datos Rutas'!AX613),'Base de datos Rutas'!AX613,"")</f>
        <v>371.33789168026101</v>
      </c>
      <c r="N615" s="790">
        <f>IFERROR(INDEX('Hoja de apoyo v2'!B$17:B$20,MATCH($A615,'Hoja de apoyo v2'!$A$17:$A$20,0)),"")</f>
        <v>89.41621024641401</v>
      </c>
      <c r="O615" s="791">
        <f>IFERROR(INDEX('Hoja de apoyo v2'!C$17:C$20,MATCH($A615,'Hoja de apoyo v2'!$A$17:$A$20,0)),"")</f>
        <v>0.54706375874806301</v>
      </c>
      <c r="P615" s="793">
        <f>IFERROR(INDEX('Hoja de apoyo v2'!D$17:D$20,MATCH($A615,'Hoja de apoyo v2'!$A$17:$A$20,0)),"")</f>
        <v>11095.153935793827</v>
      </c>
      <c r="Q615" s="793">
        <f>IFERROR(INDEX('Hoja de apoyo v2'!E$17:E$20,MATCH($A615,'Hoja de apoyo v2'!$A$17:$A$20,0)),"")</f>
        <v>6982.3202019701848</v>
      </c>
      <c r="R615" s="793">
        <f>IFERROR(INDEX('Hoja de apoyo v2'!F$17:F$20,MATCH($A615,'Hoja de apoyo v2'!$A$17:$A$20,0)),"")</f>
        <v>448.09513474485743</v>
      </c>
      <c r="S615" s="793">
        <f>IFERROR(INDEX('Hoja de apoyo v2'!G$17:G$20,MATCH($A615,'Hoja de apoyo v2'!$A$17:$A$20,0)),"")</f>
        <v>83.406300904207839</v>
      </c>
      <c r="T615" s="792">
        <f>IFERROR(INDEX('Hoja de apoyo v2'!H$17:H$20,MATCH($A615,'Hoja de apoyo v2'!$A$17:$A$20,0)),"")</f>
        <v>378.97014028925349</v>
      </c>
      <c r="U615" s="794">
        <f t="shared" si="328"/>
        <v>0.74988812442652575</v>
      </c>
      <c r="V615" s="795">
        <f t="shared" si="329"/>
        <v>0.94735164501021329</v>
      </c>
      <c r="W615" s="795">
        <f t="shared" si="330"/>
        <v>0.355081990317762</v>
      </c>
      <c r="X615" s="843">
        <f t="shared" si="331"/>
        <v>1.2838876591049944</v>
      </c>
      <c r="Y615" s="843">
        <f t="shared" si="332"/>
        <v>1.3702265717905251</v>
      </c>
      <c r="Z615" s="843">
        <f t="shared" si="333"/>
        <v>0.33047572030884642</v>
      </c>
      <c r="AA615" s="843">
        <f t="shared" si="334"/>
        <v>0.9798605541767299</v>
      </c>
      <c r="AB615" s="796">
        <f t="shared" si="335"/>
        <v>2</v>
      </c>
      <c r="AC615" s="797">
        <f t="shared" si="336"/>
        <v>3</v>
      </c>
      <c r="AD615" s="797">
        <f t="shared" si="337"/>
        <v>1</v>
      </c>
      <c r="AE615" s="842">
        <f t="shared" si="338"/>
        <v>5</v>
      </c>
      <c r="AF615" s="842">
        <f t="shared" si="339"/>
        <v>5</v>
      </c>
      <c r="AG615" s="842">
        <f t="shared" si="340"/>
        <v>1</v>
      </c>
      <c r="AH615" s="842">
        <f t="shared" si="341"/>
        <v>3</v>
      </c>
      <c r="AI615" s="826" cm="1">
        <f t="array" ref="AI615">SUMPRODUCT(--ISNUMBER($U615:$AA615),$AB$3:$AH$3)</f>
        <v>1</v>
      </c>
      <c r="AJ615" s="829">
        <f t="shared" si="342"/>
        <v>39.130871663604772</v>
      </c>
      <c r="AK615" s="827" t="str">
        <f t="shared" si="343"/>
        <v>Inmadura</v>
      </c>
      <c r="AL615" s="784" t="str">
        <f t="shared" si="344"/>
        <v>Alta</v>
      </c>
      <c r="AM615" s="799">
        <f>IF(ISNUMBER('Base de datos Rutas'!W613),'Base de datos Rutas'!W613,"")</f>
        <v>3293.1144020900269</v>
      </c>
      <c r="AN615" s="787">
        <f>IFERROR(SUMIFS('Base de datos Rutas'!$W$6:$W$794,'Base de datos Rutas'!$C$6:$C$794,$C615)/'Base de datos Rutas'!I613,"")</f>
        <v>3293.1144020900251</v>
      </c>
      <c r="AO615" s="800">
        <f>IFERROR('Base de datos Rutas'!X613*AN615/AM615,"")</f>
        <v>0.47791232590402694</v>
      </c>
      <c r="AP615" s="800">
        <f t="shared" si="345"/>
        <v>0.52208767409597301</v>
      </c>
      <c r="AQ615" s="789">
        <f>IFERROR(INDEX('Hoja de apoyo v2'!$J$17:$J$20,MATCH($A615,'Hoja de apoyo v2'!$A$17:$A$20,0)),"")</f>
        <v>0.64320274048480885</v>
      </c>
      <c r="AR615" s="789">
        <f t="shared" si="346"/>
        <v>-0.12111506638883585</v>
      </c>
      <c r="AS615" s="784" t="str">
        <f t="shared" si="347"/>
        <v>No</v>
      </c>
      <c r="AT615" s="801">
        <f>IF(ISNUMBER('Base de datos Rutas'!CK613),'Base de datos Rutas'!CK613,"")</f>
        <v>312</v>
      </c>
      <c r="AU615" s="802">
        <f>IF(ISNUMBER('Base de datos Rutas'!CL613),'Base de datos Rutas'!CL613,"")</f>
        <v>341.53</v>
      </c>
      <c r="AV615" s="802">
        <f>IF(ISNUMBER('Base de datos Rutas'!CM613),'Base de datos Rutas'!CM613,"")</f>
        <v>29.529999999999973</v>
      </c>
      <c r="AW615" s="802">
        <f>IF(ISNUMBER('Base de datos Rutas'!CN613),'Base de datos Rutas'!CN613,"")</f>
        <v>8.07</v>
      </c>
      <c r="AX615" s="802">
        <f>IF(ISNUMBER('Base de datos Rutas'!CO613),'Base de datos Rutas'!CO613,"")</f>
        <v>9.4499999999999993</v>
      </c>
      <c r="AY615" s="802">
        <f>IF(ISNUMBER('Base de datos Rutas'!CP613),'Base de datos Rutas'!CP613,"")</f>
        <v>1.379999999999999</v>
      </c>
      <c r="AZ615" s="802">
        <f>IF(ISNUMBER('Base de datos Rutas'!CQ613),'Base de datos Rutas'!CQ613,"")</f>
        <v>846.56</v>
      </c>
      <c r="BA615" s="802">
        <f>IF(ISNUMBER('Base de datos Rutas'!CR613),'Base de datos Rutas'!CR613,"")</f>
        <v>641.55999999999995</v>
      </c>
      <c r="BB615" s="803">
        <f>IF(ISNUMBER('Base de datos Rutas'!CS613),'Base de datos Rutas'!CS613,"")</f>
        <v>205</v>
      </c>
      <c r="BC615" s="804">
        <f t="shared" si="357"/>
        <v>0</v>
      </c>
      <c r="BD615" s="805" t="str">
        <f t="shared" si="358"/>
        <v>No saturada</v>
      </c>
      <c r="BE615" s="806">
        <f t="shared" si="359"/>
        <v>0.75784350784350785</v>
      </c>
      <c r="BF615" s="890">
        <f>IF(ISNUMBER('Base de datos Rutas'!CX613),'Base de datos Rutas'!CX613/100,"")</f>
        <v>0.19764487453583887</v>
      </c>
      <c r="BG615" s="891">
        <f>IF(ISNUMBER('Base de datos Rutas'!CZ613),'Base de datos Rutas'!CZ613/100,"")</f>
        <v>0.20096770563744795</v>
      </c>
      <c r="BH615" s="892">
        <f>IF(ISNUMBER('Base de datos Rutas'!DA613),'Base de datos Rutas'!DA613,"")</f>
        <v>52.830053843815918</v>
      </c>
      <c r="BI615" s="893">
        <f>IF(ISNUMBER('Base de datos Rutas'!DC613),'Base de datos Rutas'!DC613,"")</f>
        <v>2.452219641497309</v>
      </c>
      <c r="BJ615" s="805" t="str">
        <f t="shared" si="360"/>
        <v>Ruta (completo)</v>
      </c>
      <c r="BK615" s="783">
        <f t="shared" si="348"/>
        <v>1</v>
      </c>
      <c r="BL615" s="797">
        <f t="shared" si="349"/>
        <v>1</v>
      </c>
      <c r="BM615" s="797">
        <f t="shared" si="350"/>
        <v>1</v>
      </c>
      <c r="BN615" s="797">
        <f t="shared" si="351"/>
        <v>1</v>
      </c>
      <c r="BO615" s="798" cm="1">
        <f t="array" ref="BO615">SUMPRODUCT(--ISNUMBER($BF615:$BI615),$BK$3:$BN$3)</f>
        <v>1</v>
      </c>
      <c r="BP615" s="831">
        <f t="shared" si="361"/>
        <v>0</v>
      </c>
      <c r="BQ615" s="834" t="str">
        <f t="shared" si="362"/>
        <v>Bajo</v>
      </c>
      <c r="BR615" s="836">
        <f t="shared" si="352"/>
        <v>29.348153747703577</v>
      </c>
      <c r="BS615" s="836">
        <f t="shared" si="353"/>
        <v>0</v>
      </c>
      <c r="BT615" s="837" t="str">
        <f t="shared" si="354"/>
        <v>P2</v>
      </c>
      <c r="BU615" s="807" t="str">
        <f t="shared" si="363"/>
        <v>Con espacio</v>
      </c>
      <c r="BV615" s="807" t="str">
        <f t="shared" si="355"/>
        <v>Zona de bajo potencial</v>
      </c>
      <c r="BW615" s="808" t="str">
        <f t="shared" si="356"/>
        <v>P2 - Mantener</v>
      </c>
    </row>
    <row r="616" spans="1:75">
      <c r="A616" s="780" t="str">
        <f>'Base de datos Rutas'!A614</f>
        <v>Occidente</v>
      </c>
      <c r="B616" s="781" t="str">
        <f>'Base de datos Rutas'!B614</f>
        <v>Favorita</v>
      </c>
      <c r="C616" s="781" t="str">
        <f>'Base de datos Rutas'!C614</f>
        <v>Suc. Santa Maria</v>
      </c>
      <c r="D616" s="782">
        <f>IF(ISNUMBER('Base de datos Rutas'!D614),'Base de datos Rutas'!D614,"Sin código")</f>
        <v>809366</v>
      </c>
      <c r="E616" s="783" t="str">
        <f>'Base de datos Rutas'!F614</f>
        <v>Activa</v>
      </c>
      <c r="F616" s="784" t="str">
        <f>'Base de datos Rutas'!H614</f>
        <v>Sí</v>
      </c>
      <c r="G616" s="785">
        <f>IF(ISNUMBER('Base de datos Rutas'!BE614),'Base de datos Rutas'!BE614,"")</f>
        <v>72.380090497737598</v>
      </c>
      <c r="H616" s="786">
        <f>IF(ISNUMBER('Base de datos Rutas'!BH614),'Base de datos Rutas'!BH614,"")</f>
        <v>0.43032633158289602</v>
      </c>
      <c r="I616" s="788">
        <f>IFERROR(IF(OR(NOT(ISNUMBER('Base de datos Rutas'!O614)),N('Base de datos Rutas'!BK614)=0),"",'Base de datos Rutas'!O614/('Base de datos Rutas'!L614/'Base de datos Rutas'!BK614)),"")</f>
        <v>2268.7873303167407</v>
      </c>
      <c r="J616" s="788">
        <f>IFERROR(IF(OR(NOT(ISNUMBER('Base de datos Rutas'!N614)),N('Base de datos Rutas'!BK614)=0),"",'Base de datos Rutas'!N614/('Base de datos Rutas'!L614/'Base de datos Rutas'!BK614)),"")</f>
        <v>6303.0904977375531</v>
      </c>
      <c r="K616" s="788">
        <f>IFERROR(IF(OR(NOT(ISNUMBER('Base de datos Rutas'!J614)),N('Base de datos Rutas'!BK614)=0),"",'Base de datos Rutas'!J614/('Base de datos Rutas'!L614/'Base de datos Rutas'!BK614)),"")</f>
        <v>430.71301538461518</v>
      </c>
      <c r="L616" s="788">
        <f>IFERROR(IF(OR(NOT(ISNUMBER('Base de datos Rutas'!K614)),N('Base de datos Rutas'!BK614)=0),"",'Base de datos Rutas'!K614/('Base de datos Rutas'!L614/'Base de datos Rutas'!BK614)),"")</f>
        <v>15.715582126696825</v>
      </c>
      <c r="M616" s="787">
        <f>IF(ISNUMBER('Base de datos Rutas'!AX614),'Base de datos Rutas'!AX614,"")</f>
        <v>274.99304714171598</v>
      </c>
      <c r="N616" s="790">
        <f>IFERROR(INDEX('Hoja de apoyo v2'!B$17:B$20,MATCH($A616,'Hoja de apoyo v2'!$A$17:$A$20,0)),"")</f>
        <v>89.41621024641401</v>
      </c>
      <c r="O616" s="791">
        <f>IFERROR(INDEX('Hoja de apoyo v2'!C$17:C$20,MATCH($A616,'Hoja de apoyo v2'!$A$17:$A$20,0)),"")</f>
        <v>0.54706375874806301</v>
      </c>
      <c r="P616" s="793">
        <f>IFERROR(INDEX('Hoja de apoyo v2'!D$17:D$20,MATCH($A616,'Hoja de apoyo v2'!$A$17:$A$20,0)),"")</f>
        <v>11095.153935793827</v>
      </c>
      <c r="Q616" s="793">
        <f>IFERROR(INDEX('Hoja de apoyo v2'!E$17:E$20,MATCH($A616,'Hoja de apoyo v2'!$A$17:$A$20,0)),"")</f>
        <v>6982.3202019701848</v>
      </c>
      <c r="R616" s="793">
        <f>IFERROR(INDEX('Hoja de apoyo v2'!F$17:F$20,MATCH($A616,'Hoja de apoyo v2'!$A$17:$A$20,0)),"")</f>
        <v>448.09513474485743</v>
      </c>
      <c r="S616" s="793">
        <f>IFERROR(INDEX('Hoja de apoyo v2'!G$17:G$20,MATCH($A616,'Hoja de apoyo v2'!$A$17:$A$20,0)),"")</f>
        <v>83.406300904207839</v>
      </c>
      <c r="T616" s="792">
        <f>IFERROR(INDEX('Hoja de apoyo v2'!H$17:H$20,MATCH($A616,'Hoja de apoyo v2'!$A$17:$A$20,0)),"")</f>
        <v>378.97014028925349</v>
      </c>
      <c r="U616" s="794">
        <f t="shared" si="328"/>
        <v>0.80947392310937671</v>
      </c>
      <c r="V616" s="795">
        <f t="shared" si="329"/>
        <v>0.78661092916789688</v>
      </c>
      <c r="W616" s="795">
        <f t="shared" si="330"/>
        <v>0.20448452932207248</v>
      </c>
      <c r="X616" s="843">
        <f t="shared" si="331"/>
        <v>0.90272149019448078</v>
      </c>
      <c r="Y616" s="843">
        <f t="shared" si="332"/>
        <v>0.96120886389418281</v>
      </c>
      <c r="Z616" s="843">
        <f t="shared" si="333"/>
        <v>0.18842200117166419</v>
      </c>
      <c r="AA616" s="843">
        <f t="shared" si="334"/>
        <v>0.72563249160428378</v>
      </c>
      <c r="AB616" s="796">
        <f t="shared" si="335"/>
        <v>3</v>
      </c>
      <c r="AC616" s="797">
        <f t="shared" si="336"/>
        <v>3</v>
      </c>
      <c r="AD616" s="797">
        <f t="shared" si="337"/>
        <v>1</v>
      </c>
      <c r="AE616" s="842">
        <f t="shared" si="338"/>
        <v>3</v>
      </c>
      <c r="AF616" s="842">
        <f t="shared" si="339"/>
        <v>3</v>
      </c>
      <c r="AG616" s="842">
        <f t="shared" si="340"/>
        <v>1</v>
      </c>
      <c r="AH616" s="842">
        <f t="shared" si="341"/>
        <v>2</v>
      </c>
      <c r="AI616" s="826" cm="1">
        <f t="array" ref="AI616">SUMPRODUCT(--ISNUMBER($U616:$AA616),$AB$3:$AH$3)</f>
        <v>1</v>
      </c>
      <c r="AJ616" s="829">
        <f t="shared" si="342"/>
        <v>28.748795684897999</v>
      </c>
      <c r="AK616" s="827" t="str">
        <f t="shared" si="343"/>
        <v>Inmadura</v>
      </c>
      <c r="AL616" s="784" t="str">
        <f t="shared" si="344"/>
        <v>Alta</v>
      </c>
      <c r="AM616" s="799">
        <f>IF(ISNUMBER('Base de datos Rutas'!W614),'Base de datos Rutas'!W614,"")</f>
        <v>3293.1144020900269</v>
      </c>
      <c r="AN616" s="787">
        <f>IFERROR(SUMIFS('Base de datos Rutas'!$W$6:$W$794,'Base de datos Rutas'!$C$6:$C$794,$C616)/'Base de datos Rutas'!I614,"")</f>
        <v>3293.1144020900251</v>
      </c>
      <c r="AO616" s="800">
        <f>IFERROR('Base de datos Rutas'!X614*AN616/AM616,"")</f>
        <v>0.47791232590402694</v>
      </c>
      <c r="AP616" s="800">
        <f t="shared" si="345"/>
        <v>0.52208767409597301</v>
      </c>
      <c r="AQ616" s="789">
        <f>IFERROR(INDEX('Hoja de apoyo v2'!$J$17:$J$20,MATCH($A616,'Hoja de apoyo v2'!$A$17:$A$20,0)),"")</f>
        <v>0.64320274048480885</v>
      </c>
      <c r="AR616" s="789">
        <f t="shared" si="346"/>
        <v>-0.12111506638883585</v>
      </c>
      <c r="AS616" s="784" t="str">
        <f t="shared" si="347"/>
        <v>No</v>
      </c>
      <c r="AT616" s="801">
        <f>IF(ISNUMBER('Base de datos Rutas'!CK614),'Base de datos Rutas'!CK614,"")</f>
        <v>461</v>
      </c>
      <c r="AU616" s="802">
        <f>IF(ISNUMBER('Base de datos Rutas'!CL614),'Base de datos Rutas'!CL614,"")</f>
        <v>573.21</v>
      </c>
      <c r="AV616" s="802">
        <f>IF(ISNUMBER('Base de datos Rutas'!CM614),'Base de datos Rutas'!CM614,"")</f>
        <v>112.21000000000004</v>
      </c>
      <c r="AW616" s="802">
        <f>IF(ISNUMBER('Base de datos Rutas'!CN614),'Base de datos Rutas'!CN614,"")</f>
        <v>9.3800000000000008</v>
      </c>
      <c r="AX616" s="802">
        <f>IF(ISNUMBER('Base de datos Rutas'!CO614),'Base de datos Rutas'!CO614,"")</f>
        <v>9.4499999999999993</v>
      </c>
      <c r="AY616" s="802">
        <f>IF(ISNUMBER('Base de datos Rutas'!CP614),'Base de datos Rutas'!CP614,"")</f>
        <v>6.9999999999998508E-2</v>
      </c>
      <c r="AZ616" s="802">
        <f>IF(ISNUMBER('Base de datos Rutas'!CQ614),'Base de datos Rutas'!CQ614,"")</f>
        <v>564.37</v>
      </c>
      <c r="BA616" s="802">
        <f>IF(ISNUMBER('Base de datos Rutas'!CR614),'Base de datos Rutas'!CR614,"")</f>
        <v>446.43</v>
      </c>
      <c r="BB616" s="803">
        <f>IF(ISNUMBER('Base de datos Rutas'!CS614),'Base de datos Rutas'!CS614,"")</f>
        <v>117.94</v>
      </c>
      <c r="BC616" s="804">
        <f t="shared" si="357"/>
        <v>0</v>
      </c>
      <c r="BD616" s="805" t="str">
        <f t="shared" si="358"/>
        <v>No saturada</v>
      </c>
      <c r="BE616" s="806">
        <f t="shared" si="359"/>
        <v>0.79102361925687048</v>
      </c>
      <c r="BF616" s="890">
        <f>IF(ISNUMBER('Base de datos Rutas'!CX614),'Base de datos Rutas'!CX614/100,"")</f>
        <v>0.60693306559571625</v>
      </c>
      <c r="BG616" s="891">
        <f>IF(ISNUMBER('Base de datos Rutas'!CZ614),'Base de datos Rutas'!CZ614/100,"")</f>
        <v>0.62195448460508707</v>
      </c>
      <c r="BH616" s="892">
        <f>IF(ISNUMBER('Base de datos Rutas'!DA614),'Base de datos Rutas'!DA614,"")</f>
        <v>514.48076088633786</v>
      </c>
      <c r="BI616" s="893">
        <f>IF(ISNUMBER('Base de datos Rutas'!DC614),'Base de datos Rutas'!DC614,"")</f>
        <v>26.503912447690055</v>
      </c>
      <c r="BJ616" s="805" t="str">
        <f t="shared" si="360"/>
        <v>Ruta (completo)</v>
      </c>
      <c r="BK616" s="783">
        <f t="shared" si="348"/>
        <v>2</v>
      </c>
      <c r="BL616" s="797">
        <f t="shared" si="349"/>
        <v>2</v>
      </c>
      <c r="BM616" s="797">
        <f t="shared" si="350"/>
        <v>2</v>
      </c>
      <c r="BN616" s="797">
        <f t="shared" si="351"/>
        <v>2</v>
      </c>
      <c r="BO616" s="798" cm="1">
        <f t="array" ref="BO616">SUMPRODUCT(--ISNUMBER($BF616:$BI616),$BK$3:$BN$3)</f>
        <v>1</v>
      </c>
      <c r="BP616" s="831">
        <f t="shared" si="361"/>
        <v>25</v>
      </c>
      <c r="BQ616" s="834" t="str">
        <f t="shared" si="362"/>
        <v>Medio</v>
      </c>
      <c r="BR616" s="836">
        <f t="shared" si="352"/>
        <v>21.561596763673499</v>
      </c>
      <c r="BS616" s="836">
        <f t="shared" si="353"/>
        <v>25</v>
      </c>
      <c r="BT616" s="837" t="str">
        <f t="shared" si="354"/>
        <v>P4</v>
      </c>
      <c r="BU616" s="807" t="str">
        <f t="shared" si="363"/>
        <v>Con espacio</v>
      </c>
      <c r="BV616" s="807" t="str">
        <f t="shared" si="355"/>
        <v>Zona de bajo potencial</v>
      </c>
      <c r="BW616" s="808" t="str">
        <f t="shared" si="356"/>
        <v>P4 - Evaluar</v>
      </c>
    </row>
    <row r="617" spans="1:75">
      <c r="A617" s="780" t="str">
        <f>'Base de datos Rutas'!A615</f>
        <v>Occidente</v>
      </c>
      <c r="B617" s="781" t="str">
        <f>'Base de datos Rutas'!B615</f>
        <v>Favorita</v>
      </c>
      <c r="C617" s="781" t="str">
        <f>'Base de datos Rutas'!C615</f>
        <v>Suc. Santa Maria</v>
      </c>
      <c r="D617" s="782">
        <f>IF(ISNUMBER('Base de datos Rutas'!D615),'Base de datos Rutas'!D615,"Sin código")</f>
        <v>809367</v>
      </c>
      <c r="E617" s="783" t="str">
        <f>'Base de datos Rutas'!F615</f>
        <v>Activa</v>
      </c>
      <c r="F617" s="784" t="str">
        <f>'Base de datos Rutas'!H615</f>
        <v>Sí</v>
      </c>
      <c r="G617" s="785">
        <f>IF(ISNUMBER('Base de datos Rutas'!BE615),'Base de datos Rutas'!BE615,"")</f>
        <v>62.1856148491879</v>
      </c>
      <c r="H617" s="786">
        <f>IF(ISNUMBER('Base de datos Rutas'!BH615),'Base de datos Rutas'!BH615,"")</f>
        <v>0.290314155660025</v>
      </c>
      <c r="I617" s="788">
        <f>IFERROR(IF(OR(NOT(ISNUMBER('Base de datos Rutas'!O615)),N('Base de datos Rutas'!BK615)=0),"",'Base de datos Rutas'!O615/('Base de datos Rutas'!L615/'Base de datos Rutas'!BK615)),"")</f>
        <v>1754.8375870069588</v>
      </c>
      <c r="J617" s="788">
        <f>IFERROR(IF(OR(NOT(ISNUMBER('Base de datos Rutas'!N615)),N('Base de datos Rutas'!BK615)=0),"",'Base de datos Rutas'!N615/('Base de datos Rutas'!L615/'Base de datos Rutas'!BK615)),"")</f>
        <v>6581.5846867749351</v>
      </c>
      <c r="K617" s="788">
        <f>IFERROR(IF(OR(NOT(ISNUMBER('Base de datos Rutas'!J615)),N('Base de datos Rutas'!BK615)=0),"",'Base de datos Rutas'!J615/('Base de datos Rutas'!L615/'Base de datos Rutas'!BK615)),"")</f>
        <v>457.76489280742413</v>
      </c>
      <c r="L617" s="788">
        <f>IFERROR(IF(OR(NOT(ISNUMBER('Base de datos Rutas'!K615)),N('Base de datos Rutas'!BK615)=0),"",'Base de datos Rutas'!K615/('Base de datos Rutas'!L615/'Base de datos Rutas'!BK615)),"")</f>
        <v>12.937429823665878</v>
      </c>
      <c r="M617" s="787">
        <f>IF(ISNUMBER('Base de datos Rutas'!AX615),'Base de datos Rutas'!AX615,"")</f>
        <v>461.31250996015899</v>
      </c>
      <c r="N617" s="790">
        <f>IFERROR(INDEX('Hoja de apoyo v2'!B$17:B$20,MATCH($A617,'Hoja de apoyo v2'!$A$17:$A$20,0)),"")</f>
        <v>89.41621024641401</v>
      </c>
      <c r="O617" s="791">
        <f>IFERROR(INDEX('Hoja de apoyo v2'!C$17:C$20,MATCH($A617,'Hoja de apoyo v2'!$A$17:$A$20,0)),"")</f>
        <v>0.54706375874806301</v>
      </c>
      <c r="P617" s="793">
        <f>IFERROR(INDEX('Hoja de apoyo v2'!D$17:D$20,MATCH($A617,'Hoja de apoyo v2'!$A$17:$A$20,0)),"")</f>
        <v>11095.153935793827</v>
      </c>
      <c r="Q617" s="793">
        <f>IFERROR(INDEX('Hoja de apoyo v2'!E$17:E$20,MATCH($A617,'Hoja de apoyo v2'!$A$17:$A$20,0)),"")</f>
        <v>6982.3202019701848</v>
      </c>
      <c r="R617" s="793">
        <f>IFERROR(INDEX('Hoja de apoyo v2'!F$17:F$20,MATCH($A617,'Hoja de apoyo v2'!$A$17:$A$20,0)),"")</f>
        <v>448.09513474485743</v>
      </c>
      <c r="S617" s="793">
        <f>IFERROR(INDEX('Hoja de apoyo v2'!G$17:G$20,MATCH($A617,'Hoja de apoyo v2'!$A$17:$A$20,0)),"")</f>
        <v>83.406300904207839</v>
      </c>
      <c r="T617" s="792">
        <f>IFERROR(INDEX('Hoja de apoyo v2'!H$17:H$20,MATCH($A617,'Hoja de apoyo v2'!$A$17:$A$20,0)),"")</f>
        <v>378.97014028925349</v>
      </c>
      <c r="U617" s="794">
        <f t="shared" si="328"/>
        <v>0.69546242988621654</v>
      </c>
      <c r="V617" s="795">
        <f t="shared" si="329"/>
        <v>0.53067700248395022</v>
      </c>
      <c r="W617" s="795">
        <f t="shared" si="330"/>
        <v>0.1581625272765001</v>
      </c>
      <c r="X617" s="843">
        <f t="shared" si="331"/>
        <v>0.94260711287887156</v>
      </c>
      <c r="Y617" s="843">
        <f t="shared" si="332"/>
        <v>1.0215796988469259</v>
      </c>
      <c r="Z617" s="843">
        <f t="shared" si="333"/>
        <v>0.15511333896133964</v>
      </c>
      <c r="AA617" s="843">
        <f t="shared" si="334"/>
        <v>1.217279307567759</v>
      </c>
      <c r="AB617" s="796">
        <f t="shared" si="335"/>
        <v>2</v>
      </c>
      <c r="AC617" s="797">
        <f t="shared" si="336"/>
        <v>2</v>
      </c>
      <c r="AD617" s="797">
        <f t="shared" si="337"/>
        <v>1</v>
      </c>
      <c r="AE617" s="842">
        <f t="shared" si="338"/>
        <v>3</v>
      </c>
      <c r="AF617" s="842">
        <f t="shared" si="339"/>
        <v>4</v>
      </c>
      <c r="AG617" s="842">
        <f t="shared" si="340"/>
        <v>1</v>
      </c>
      <c r="AH617" s="842">
        <f t="shared" si="341"/>
        <v>4</v>
      </c>
      <c r="AI617" s="826" cm="1">
        <f t="array" ref="AI617">SUMPRODUCT(--ISNUMBER($U617:$AA617),$AB$3:$AH$3)</f>
        <v>1</v>
      </c>
      <c r="AJ617" s="829">
        <f t="shared" si="342"/>
        <v>29.247754113563683</v>
      </c>
      <c r="AK617" s="827" t="str">
        <f t="shared" si="343"/>
        <v>Inmadura</v>
      </c>
      <c r="AL617" s="784" t="str">
        <f t="shared" si="344"/>
        <v>Alta</v>
      </c>
      <c r="AM617" s="799">
        <f>IF(ISNUMBER('Base de datos Rutas'!W615),'Base de datos Rutas'!W615,"")</f>
        <v>3293.1144020900269</v>
      </c>
      <c r="AN617" s="787">
        <f>IFERROR(SUMIFS('Base de datos Rutas'!$W$6:$W$794,'Base de datos Rutas'!$C$6:$C$794,$C617)/'Base de datos Rutas'!I615,"")</f>
        <v>3293.1144020900251</v>
      </c>
      <c r="AO617" s="800">
        <f>IFERROR('Base de datos Rutas'!X615*AN617/AM617,"")</f>
        <v>0.47791232590402694</v>
      </c>
      <c r="AP617" s="800">
        <f t="shared" si="345"/>
        <v>0.52208767409597301</v>
      </c>
      <c r="AQ617" s="789">
        <f>IFERROR(INDEX('Hoja de apoyo v2'!$J$17:$J$20,MATCH($A617,'Hoja de apoyo v2'!$A$17:$A$20,0)),"")</f>
        <v>0.64320274048480885</v>
      </c>
      <c r="AR617" s="789">
        <f t="shared" si="346"/>
        <v>-0.12111506638883585</v>
      </c>
      <c r="AS617" s="784" t="str">
        <f t="shared" si="347"/>
        <v>No</v>
      </c>
      <c r="AT617" s="801">
        <f>IF(ISNUMBER('Base de datos Rutas'!CK615),'Base de datos Rutas'!CK615,"")</f>
        <v>374</v>
      </c>
      <c r="AU617" s="802">
        <f>IF(ISNUMBER('Base de datos Rutas'!CL615),'Base de datos Rutas'!CL615,"")</f>
        <v>422.51</v>
      </c>
      <c r="AV617" s="802">
        <f>IF(ISNUMBER('Base de datos Rutas'!CM615),'Base de datos Rutas'!CM615,"")</f>
        <v>48.509999999999991</v>
      </c>
      <c r="AW617" s="802">
        <f>IF(ISNUMBER('Base de datos Rutas'!CN615),'Base de datos Rutas'!CN615,"")</f>
        <v>9.82</v>
      </c>
      <c r="AX617" s="802">
        <f>IF(ISNUMBER('Base de datos Rutas'!CO615),'Base de datos Rutas'!CO615,"")</f>
        <v>9.4499999999999993</v>
      </c>
      <c r="AY617" s="802">
        <f>IF(ISNUMBER('Base de datos Rutas'!CP615),'Base de datos Rutas'!CP615,"")</f>
        <v>-0.37000000000000099</v>
      </c>
      <c r="AZ617" s="802">
        <f>IF(ISNUMBER('Base de datos Rutas'!CQ615),'Base de datos Rutas'!CQ615,"")</f>
        <v>846.56</v>
      </c>
      <c r="BA617" s="802">
        <f>IF(ISNUMBER('Base de datos Rutas'!CR615),'Base de datos Rutas'!CR615,"")</f>
        <v>470.7</v>
      </c>
      <c r="BB617" s="803">
        <f>IF(ISNUMBER('Base de datos Rutas'!CS615),'Base de datos Rutas'!CS615,"")</f>
        <v>375.85999999999996</v>
      </c>
      <c r="BC617" s="804">
        <f t="shared" si="357"/>
        <v>1</v>
      </c>
      <c r="BD617" s="805" t="str">
        <f t="shared" si="358"/>
        <v>Saturada</v>
      </c>
      <c r="BE617" s="806">
        <f t="shared" si="359"/>
        <v>0.55601493101493105</v>
      </c>
      <c r="BF617" s="890">
        <f>IF(ISNUMBER('Base de datos Rutas'!CX615),'Base de datos Rutas'!CX615/100,"")</f>
        <v>0.17325372861194985</v>
      </c>
      <c r="BG617" s="891">
        <f>IF(ISNUMBER('Base de datos Rutas'!CZ615),'Base de datos Rutas'!CZ615/100,"")</f>
        <v>0.1776923780766767</v>
      </c>
      <c r="BH617" s="892">
        <f>IF(ISNUMBER('Base de datos Rutas'!DA615),'Base de datos Rutas'!DA615,"")</f>
        <v>186.10183639094839</v>
      </c>
      <c r="BI617" s="893">
        <f>IF(ISNUMBER('Base de datos Rutas'!DC615),'Base de datos Rutas'!DC615,"")</f>
        <v>10.196028971961764</v>
      </c>
      <c r="BJ617" s="805" t="str">
        <f t="shared" si="360"/>
        <v>Ruta (completo)</v>
      </c>
      <c r="BK617" s="783">
        <f t="shared" si="348"/>
        <v>1</v>
      </c>
      <c r="BL617" s="797">
        <f t="shared" si="349"/>
        <v>1</v>
      </c>
      <c r="BM617" s="797">
        <f t="shared" si="350"/>
        <v>2</v>
      </c>
      <c r="BN617" s="797">
        <f t="shared" si="351"/>
        <v>2</v>
      </c>
      <c r="BO617" s="798" cm="1">
        <f t="array" ref="BO617">SUMPRODUCT(--ISNUMBER($BF617:$BI617),$BK$3:$BN$3)</f>
        <v>1</v>
      </c>
      <c r="BP617" s="831">
        <f t="shared" si="361"/>
        <v>12.5</v>
      </c>
      <c r="BQ617" s="834" t="str">
        <f t="shared" si="362"/>
        <v>Bajo</v>
      </c>
      <c r="BR617" s="836">
        <f t="shared" si="352"/>
        <v>46.935815585172762</v>
      </c>
      <c r="BS617" s="836">
        <f t="shared" si="353"/>
        <v>12.5</v>
      </c>
      <c r="BT617" s="837" t="str">
        <f t="shared" si="354"/>
        <v>P2</v>
      </c>
      <c r="BU617" s="807" t="str">
        <f t="shared" si="363"/>
        <v>Al tope</v>
      </c>
      <c r="BV617" s="807" t="str">
        <f t="shared" si="355"/>
        <v>Zona de bajo potencial</v>
      </c>
      <c r="BW617" s="808" t="str">
        <f t="shared" si="356"/>
        <v>P2 - Mantener</v>
      </c>
    </row>
    <row r="618" spans="1:75">
      <c r="A618" s="780" t="str">
        <f>'Base de datos Rutas'!A616</f>
        <v>Occidente</v>
      </c>
      <c r="B618" s="781" t="str">
        <f>'Base de datos Rutas'!B616</f>
        <v>Favorita</v>
      </c>
      <c r="C618" s="781" t="str">
        <f>'Base de datos Rutas'!C616</f>
        <v>Suc. Santa Maria</v>
      </c>
      <c r="D618" s="782">
        <f>IF(ISNUMBER('Base de datos Rutas'!D616),'Base de datos Rutas'!D616,"Sin código")</f>
        <v>809368</v>
      </c>
      <c r="E618" s="783" t="str">
        <f>'Base de datos Rutas'!F616</f>
        <v>Activa</v>
      </c>
      <c r="F618" s="784" t="str">
        <f>'Base de datos Rutas'!H616</f>
        <v>Sí</v>
      </c>
      <c r="G618" s="785">
        <f>IF(ISNUMBER('Base de datos Rutas'!BE616),'Base de datos Rutas'!BE616,"")</f>
        <v>39.397228637413399</v>
      </c>
      <c r="H618" s="786">
        <f>IF(ISNUMBER('Base de datos Rutas'!BH616),'Base de datos Rutas'!BH616,"")</f>
        <v>0.32170701682396402</v>
      </c>
      <c r="I618" s="788">
        <f>IFERROR(IF(OR(NOT(ISNUMBER('Base de datos Rutas'!O616)),N('Base de datos Rutas'!BK616)=0),"",'Base de datos Rutas'!O616/('Base de datos Rutas'!L616/'Base de datos Rutas'!BK616)),"")</f>
        <v>4306.7136258660521</v>
      </c>
      <c r="J618" s="788">
        <f>IFERROR(IF(OR(NOT(ISNUMBER('Base de datos Rutas'!N616)),N('Base de datos Rutas'!BK616)=0),"",'Base de datos Rutas'!N616/('Base de datos Rutas'!L616/'Base de datos Rutas'!BK616)),"")</f>
        <v>7099.5103926097017</v>
      </c>
      <c r="K618" s="788">
        <f>IFERROR(IF(OR(NOT(ISNUMBER('Base de datos Rutas'!J616)),N('Base de datos Rutas'!BK616)=0),"",'Base de datos Rutas'!J616/('Base de datos Rutas'!L616/'Base de datos Rutas'!BK616)),"")</f>
        <v>488.52352702078531</v>
      </c>
      <c r="L618" s="788">
        <f>IFERROR(IF(OR(NOT(ISNUMBER('Base de datos Rutas'!K616)),N('Base de datos Rutas'!BK616)=0),"",'Base de datos Rutas'!K616/('Base de datos Rutas'!L616/'Base de datos Rutas'!BK616)),"")</f>
        <v>32.401843840646663</v>
      </c>
      <c r="M618" s="787">
        <f>IF(ISNUMBER('Base de datos Rutas'!AX616),'Base de datos Rutas'!AX616,"")</f>
        <v>899.39345298833803</v>
      </c>
      <c r="N618" s="790">
        <f>IFERROR(INDEX('Hoja de apoyo v2'!B$17:B$20,MATCH($A618,'Hoja de apoyo v2'!$A$17:$A$20,0)),"")</f>
        <v>89.41621024641401</v>
      </c>
      <c r="O618" s="791">
        <f>IFERROR(INDEX('Hoja de apoyo v2'!C$17:C$20,MATCH($A618,'Hoja de apoyo v2'!$A$17:$A$20,0)),"")</f>
        <v>0.54706375874806301</v>
      </c>
      <c r="P618" s="793">
        <f>IFERROR(INDEX('Hoja de apoyo v2'!D$17:D$20,MATCH($A618,'Hoja de apoyo v2'!$A$17:$A$20,0)),"")</f>
        <v>11095.153935793827</v>
      </c>
      <c r="Q618" s="793">
        <f>IFERROR(INDEX('Hoja de apoyo v2'!E$17:E$20,MATCH($A618,'Hoja de apoyo v2'!$A$17:$A$20,0)),"")</f>
        <v>6982.3202019701848</v>
      </c>
      <c r="R618" s="793">
        <f>IFERROR(INDEX('Hoja de apoyo v2'!F$17:F$20,MATCH($A618,'Hoja de apoyo v2'!$A$17:$A$20,0)),"")</f>
        <v>448.09513474485743</v>
      </c>
      <c r="S618" s="793">
        <f>IFERROR(INDEX('Hoja de apoyo v2'!G$17:G$20,MATCH($A618,'Hoja de apoyo v2'!$A$17:$A$20,0)),"")</f>
        <v>83.406300904207839</v>
      </c>
      <c r="T618" s="792">
        <f>IFERROR(INDEX('Hoja de apoyo v2'!H$17:H$20,MATCH($A618,'Hoja de apoyo v2'!$A$17:$A$20,0)),"")</f>
        <v>378.97014028925349</v>
      </c>
      <c r="U618" s="794">
        <f t="shared" si="328"/>
        <v>0.44060499241515777</v>
      </c>
      <c r="V618" s="795">
        <f t="shared" si="329"/>
        <v>0.588061284776348</v>
      </c>
      <c r="W618" s="795">
        <f t="shared" si="330"/>
        <v>0.38816168309051213</v>
      </c>
      <c r="X618" s="843">
        <f t="shared" si="331"/>
        <v>1.0167838465223136</v>
      </c>
      <c r="Y618" s="843">
        <f t="shared" si="332"/>
        <v>1.090222787843808</v>
      </c>
      <c r="Z618" s="843">
        <f t="shared" si="333"/>
        <v>0.38848196706217902</v>
      </c>
      <c r="AA618" s="843">
        <f t="shared" si="334"/>
        <v>2.3732567750637696</v>
      </c>
      <c r="AB618" s="796">
        <f t="shared" si="335"/>
        <v>1</v>
      </c>
      <c r="AC618" s="797">
        <f t="shared" si="336"/>
        <v>2</v>
      </c>
      <c r="AD618" s="797">
        <f t="shared" si="337"/>
        <v>1</v>
      </c>
      <c r="AE618" s="842">
        <f t="shared" si="338"/>
        <v>4</v>
      </c>
      <c r="AF618" s="842">
        <f t="shared" si="339"/>
        <v>4</v>
      </c>
      <c r="AG618" s="842">
        <f t="shared" si="340"/>
        <v>1</v>
      </c>
      <c r="AH618" s="842">
        <f t="shared" si="341"/>
        <v>5</v>
      </c>
      <c r="AI618" s="826" cm="1">
        <f t="array" ref="AI618">SUMPRODUCT(--ISNUMBER($U618:$AA618),$AB$3:$AH$3)</f>
        <v>1</v>
      </c>
      <c r="AJ618" s="829">
        <f t="shared" si="342"/>
        <v>30.368293421972183</v>
      </c>
      <c r="AK618" s="827" t="str">
        <f t="shared" si="343"/>
        <v>Inmadura</v>
      </c>
      <c r="AL618" s="784" t="str">
        <f t="shared" si="344"/>
        <v>Alta</v>
      </c>
      <c r="AM618" s="799">
        <f>IF(ISNUMBER('Base de datos Rutas'!W616),'Base de datos Rutas'!W616,"")</f>
        <v>3293.1144020900269</v>
      </c>
      <c r="AN618" s="787">
        <f>IFERROR(SUMIFS('Base de datos Rutas'!$W$6:$W$794,'Base de datos Rutas'!$C$6:$C$794,$C618)/'Base de datos Rutas'!I616,"")</f>
        <v>3293.1144020900251</v>
      </c>
      <c r="AO618" s="800">
        <f>IFERROR('Base de datos Rutas'!X616*AN618/AM618,"")</f>
        <v>0.47791232590402694</v>
      </c>
      <c r="AP618" s="800">
        <f t="shared" si="345"/>
        <v>0.52208767409597301</v>
      </c>
      <c r="AQ618" s="789">
        <f>IFERROR(INDEX('Hoja de apoyo v2'!$J$17:$J$20,MATCH($A618,'Hoja de apoyo v2'!$A$17:$A$20,0)),"")</f>
        <v>0.64320274048480885</v>
      </c>
      <c r="AR618" s="789">
        <f t="shared" si="346"/>
        <v>-0.12111506638883585</v>
      </c>
      <c r="AS618" s="784" t="str">
        <f t="shared" si="347"/>
        <v>No</v>
      </c>
      <c r="AT618" s="801">
        <f>IF(ISNUMBER('Base de datos Rutas'!CK616),'Base de datos Rutas'!CK616,"")</f>
        <v>237</v>
      </c>
      <c r="AU618" s="802">
        <f>IF(ISNUMBER('Base de datos Rutas'!CL616),'Base de datos Rutas'!CL616,"")</f>
        <v>420.15</v>
      </c>
      <c r="AV618" s="802">
        <f>IF(ISNUMBER('Base de datos Rutas'!CM616),'Base de datos Rutas'!CM616,"")</f>
        <v>183.14999999999998</v>
      </c>
      <c r="AW618" s="802">
        <f>IF(ISNUMBER('Base de datos Rutas'!CN616),'Base de datos Rutas'!CN616,"")</f>
        <v>4.75</v>
      </c>
      <c r="AX618" s="802">
        <f>IF(ISNUMBER('Base de datos Rutas'!CO616),'Base de datos Rutas'!CO616,"")</f>
        <v>9.4499999999999993</v>
      </c>
      <c r="AY618" s="802">
        <f>IF(ISNUMBER('Base de datos Rutas'!CP616),'Base de datos Rutas'!CP616,"")</f>
        <v>4.6999999999999993</v>
      </c>
      <c r="AZ618" s="802">
        <f>IF(ISNUMBER('Base de datos Rutas'!CQ616),'Base de datos Rutas'!CQ616,"")</f>
        <v>846.56</v>
      </c>
      <c r="BA618" s="802">
        <f>IF(ISNUMBER('Base de datos Rutas'!CR616),'Base de datos Rutas'!CR616,"")</f>
        <v>520.92999999999995</v>
      </c>
      <c r="BB618" s="803">
        <f>IF(ISNUMBER('Base de datos Rutas'!CS616),'Base de datos Rutas'!CS616,"")</f>
        <v>325.63</v>
      </c>
      <c r="BC618" s="804">
        <f t="shared" si="357"/>
        <v>0</v>
      </c>
      <c r="BD618" s="805" t="str">
        <f t="shared" si="358"/>
        <v>No saturada</v>
      </c>
      <c r="BE618" s="806">
        <f t="shared" si="359"/>
        <v>0.61534917784917786</v>
      </c>
      <c r="BF618" s="890">
        <f>IF(ISNUMBER('Base de datos Rutas'!CX616),'Base de datos Rutas'!CX616/100,"")</f>
        <v>0.16890414146114469</v>
      </c>
      <c r="BG618" s="891">
        <f>IF(ISNUMBER('Base de datos Rutas'!CZ616),'Base de datos Rutas'!CZ616/100,"")</f>
        <v>0.18310842252210327</v>
      </c>
      <c r="BH618" s="892">
        <f>IF(ISNUMBER('Base de datos Rutas'!DA616),'Base de datos Rutas'!DA616,"")</f>
        <v>203.51676473849423</v>
      </c>
      <c r="BI618" s="893">
        <f>IF(ISNUMBER('Base de datos Rutas'!DC616),'Base de datos Rutas'!DC616,"")</f>
        <v>8.9874307475252628</v>
      </c>
      <c r="BJ618" s="805" t="str">
        <f t="shared" si="360"/>
        <v>Ruta (completo)</v>
      </c>
      <c r="BK618" s="783">
        <f t="shared" si="348"/>
        <v>1</v>
      </c>
      <c r="BL618" s="797">
        <f t="shared" si="349"/>
        <v>1</v>
      </c>
      <c r="BM618" s="797">
        <f t="shared" si="350"/>
        <v>2</v>
      </c>
      <c r="BN618" s="797">
        <f t="shared" si="351"/>
        <v>2</v>
      </c>
      <c r="BO618" s="798" cm="1">
        <f t="array" ref="BO618">SUMPRODUCT(--ISNUMBER($BF618:$BI618),$BK$3:$BN$3)</f>
        <v>1</v>
      </c>
      <c r="BP618" s="831">
        <f t="shared" si="361"/>
        <v>12.5</v>
      </c>
      <c r="BQ618" s="834" t="str">
        <f t="shared" si="362"/>
        <v>Bajo</v>
      </c>
      <c r="BR618" s="836">
        <f t="shared" si="352"/>
        <v>22.776220066479137</v>
      </c>
      <c r="BS618" s="836">
        <f t="shared" si="353"/>
        <v>12.5</v>
      </c>
      <c r="BT618" s="837" t="str">
        <f t="shared" si="354"/>
        <v>P4</v>
      </c>
      <c r="BU618" s="807" t="str">
        <f t="shared" si="363"/>
        <v>Con espacio</v>
      </c>
      <c r="BV618" s="807" t="str">
        <f t="shared" si="355"/>
        <v>Zona de bajo potencial</v>
      </c>
      <c r="BW618" s="808" t="str">
        <f t="shared" si="356"/>
        <v>P4 - Evaluar</v>
      </c>
    </row>
    <row r="619" spans="1:75">
      <c r="A619" s="780" t="str">
        <f>'Base de datos Rutas'!A617</f>
        <v>Occidente</v>
      </c>
      <c r="B619" s="781" t="str">
        <f>'Base de datos Rutas'!B617</f>
        <v>Favorita</v>
      </c>
      <c r="C619" s="781" t="str">
        <f>'Base de datos Rutas'!C617</f>
        <v>Suc. Santa Maria</v>
      </c>
      <c r="D619" s="782">
        <f>IF(ISNUMBER('Base de datos Rutas'!D617),'Base de datos Rutas'!D617,"Sin código")</f>
        <v>809369</v>
      </c>
      <c r="E619" s="783" t="str">
        <f>'Base de datos Rutas'!F617</f>
        <v>Activa</v>
      </c>
      <c r="F619" s="784" t="str">
        <f>'Base de datos Rutas'!H617</f>
        <v>Sí</v>
      </c>
      <c r="G619" s="785">
        <f>IF(ISNUMBER('Base de datos Rutas'!BE617),'Base de datos Rutas'!BE617,"")</f>
        <v>45.426940639269397</v>
      </c>
      <c r="H619" s="786">
        <f>IF(ISNUMBER('Base de datos Rutas'!BH617),'Base de datos Rutas'!BH617,"")</f>
        <v>0.53405035935065603</v>
      </c>
      <c r="I619" s="788">
        <f>IFERROR(IF(OR(NOT(ISNUMBER('Base de datos Rutas'!O617)),N('Base de datos Rutas'!BK617)=0),"",'Base de datos Rutas'!O617/('Base de datos Rutas'!L617/'Base de datos Rutas'!BK617)),"")</f>
        <v>1917.95433789954</v>
      </c>
      <c r="J619" s="788">
        <f>IFERROR(IF(OR(NOT(ISNUMBER('Base de datos Rutas'!N617)),N('Base de datos Rutas'!BK617)=0),"",'Base de datos Rutas'!N617/('Base de datos Rutas'!L617/'Base de datos Rutas'!BK617)),"")</f>
        <v>5822.9611872146015</v>
      </c>
      <c r="K619" s="788">
        <f>IFERROR(IF(OR(NOT(ISNUMBER('Base de datos Rutas'!J617)),N('Base de datos Rutas'!BK617)=0),"",'Base de datos Rutas'!J617/('Base de datos Rutas'!L617/'Base de datos Rutas'!BK617)),"")</f>
        <v>399.65568584474812</v>
      </c>
      <c r="L619" s="788">
        <f>IFERROR(IF(OR(NOT(ISNUMBER('Base de datos Rutas'!K617)),N('Base de datos Rutas'!BK617)=0),"",'Base de datos Rutas'!K617/('Base de datos Rutas'!L617/'Base de datos Rutas'!BK617)),"")</f>
        <v>16.545123041095859</v>
      </c>
      <c r="M619" s="787">
        <f>IF(ISNUMBER('Base de datos Rutas'!AX617),'Base de datos Rutas'!AX617,"")</f>
        <v>319.07804724261302</v>
      </c>
      <c r="N619" s="790">
        <f>IFERROR(INDEX('Hoja de apoyo v2'!B$17:B$20,MATCH($A619,'Hoja de apoyo v2'!$A$17:$A$20,0)),"")</f>
        <v>89.41621024641401</v>
      </c>
      <c r="O619" s="791">
        <f>IFERROR(INDEX('Hoja de apoyo v2'!C$17:C$20,MATCH($A619,'Hoja de apoyo v2'!$A$17:$A$20,0)),"")</f>
        <v>0.54706375874806301</v>
      </c>
      <c r="P619" s="793">
        <f>IFERROR(INDEX('Hoja de apoyo v2'!D$17:D$20,MATCH($A619,'Hoja de apoyo v2'!$A$17:$A$20,0)),"")</f>
        <v>11095.153935793827</v>
      </c>
      <c r="Q619" s="793">
        <f>IFERROR(INDEX('Hoja de apoyo v2'!E$17:E$20,MATCH($A619,'Hoja de apoyo v2'!$A$17:$A$20,0)),"")</f>
        <v>6982.3202019701848</v>
      </c>
      <c r="R619" s="793">
        <f>IFERROR(INDEX('Hoja de apoyo v2'!F$17:F$20,MATCH($A619,'Hoja de apoyo v2'!$A$17:$A$20,0)),"")</f>
        <v>448.09513474485743</v>
      </c>
      <c r="S619" s="793">
        <f>IFERROR(INDEX('Hoja de apoyo v2'!G$17:G$20,MATCH($A619,'Hoja de apoyo v2'!$A$17:$A$20,0)),"")</f>
        <v>83.406300904207839</v>
      </c>
      <c r="T619" s="792">
        <f>IFERROR(INDEX('Hoja de apoyo v2'!H$17:H$20,MATCH($A619,'Hoja de apoyo v2'!$A$17:$A$20,0)),"")</f>
        <v>378.97014028925349</v>
      </c>
      <c r="U619" s="794">
        <f t="shared" si="328"/>
        <v>0.50803920803712677</v>
      </c>
      <c r="V619" s="795">
        <f t="shared" si="329"/>
        <v>0.97621228021540363</v>
      </c>
      <c r="W619" s="795">
        <f t="shared" si="330"/>
        <v>0.17286414852813087</v>
      </c>
      <c r="X619" s="843">
        <f t="shared" si="331"/>
        <v>0.83395791352730431</v>
      </c>
      <c r="Y619" s="843">
        <f t="shared" si="332"/>
        <v>0.8918991858108648</v>
      </c>
      <c r="Z619" s="843">
        <f t="shared" si="333"/>
        <v>0.19836778350952092</v>
      </c>
      <c r="AA619" s="843">
        <f t="shared" si="334"/>
        <v>0.84196091807938456</v>
      </c>
      <c r="AB619" s="796">
        <f t="shared" si="335"/>
        <v>2</v>
      </c>
      <c r="AC619" s="797">
        <f t="shared" si="336"/>
        <v>3</v>
      </c>
      <c r="AD619" s="797">
        <f t="shared" si="337"/>
        <v>1</v>
      </c>
      <c r="AE619" s="842">
        <f t="shared" si="338"/>
        <v>3</v>
      </c>
      <c r="AF619" s="842">
        <f t="shared" si="339"/>
        <v>3</v>
      </c>
      <c r="AG619" s="842">
        <f t="shared" si="340"/>
        <v>1</v>
      </c>
      <c r="AH619" s="842">
        <f t="shared" si="341"/>
        <v>3</v>
      </c>
      <c r="AI619" s="826" cm="1">
        <f t="array" ref="AI619">SUMPRODUCT(--ISNUMBER($U619:$AA619),$AB$3:$AH$3)</f>
        <v>1</v>
      </c>
      <c r="AJ619" s="829">
        <f t="shared" si="342"/>
        <v>26.459887347087808</v>
      </c>
      <c r="AK619" s="827" t="str">
        <f t="shared" si="343"/>
        <v>Inmadura</v>
      </c>
      <c r="AL619" s="784" t="str">
        <f t="shared" si="344"/>
        <v>Alta</v>
      </c>
      <c r="AM619" s="799">
        <f>IF(ISNUMBER('Base de datos Rutas'!W617),'Base de datos Rutas'!W617,"")</f>
        <v>3293.1144020900269</v>
      </c>
      <c r="AN619" s="787">
        <f>IFERROR(SUMIFS('Base de datos Rutas'!$W$6:$W$794,'Base de datos Rutas'!$C$6:$C$794,$C619)/'Base de datos Rutas'!I617,"")</f>
        <v>3293.1144020900251</v>
      </c>
      <c r="AO619" s="800">
        <f>IFERROR('Base de datos Rutas'!X617*AN619/AM619,"")</f>
        <v>0.47791232590402694</v>
      </c>
      <c r="AP619" s="800">
        <f t="shared" si="345"/>
        <v>0.52208767409597301</v>
      </c>
      <c r="AQ619" s="789">
        <f>IFERROR(INDEX('Hoja de apoyo v2'!$J$17:$J$20,MATCH($A619,'Hoja de apoyo v2'!$A$17:$A$20,0)),"")</f>
        <v>0.64320274048480885</v>
      </c>
      <c r="AR619" s="789">
        <f t="shared" si="346"/>
        <v>-0.12111506638883585</v>
      </c>
      <c r="AS619" s="784" t="str">
        <f t="shared" si="347"/>
        <v>No</v>
      </c>
      <c r="AT619" s="801">
        <f>IF(ISNUMBER('Base de datos Rutas'!CK617),'Base de datos Rutas'!CK617,"")</f>
        <v>370</v>
      </c>
      <c r="AU619" s="802">
        <f>IF(ISNUMBER('Base de datos Rutas'!CL617),'Base de datos Rutas'!CL617,"")</f>
        <v>437.85</v>
      </c>
      <c r="AV619" s="802">
        <f>IF(ISNUMBER('Base de datos Rutas'!CM617),'Base de datos Rutas'!CM617,"")</f>
        <v>67.850000000000023</v>
      </c>
      <c r="AW619" s="802">
        <f>IF(ISNUMBER('Base de datos Rutas'!CN617),'Base de datos Rutas'!CN617,"")</f>
        <v>7.17</v>
      </c>
      <c r="AX619" s="802">
        <f>IF(ISNUMBER('Base de datos Rutas'!CO617),'Base de datos Rutas'!CO617,"")</f>
        <v>9.4499999999999993</v>
      </c>
      <c r="AY619" s="802">
        <f>IF(ISNUMBER('Base de datos Rutas'!CP617),'Base de datos Rutas'!CP617,"")</f>
        <v>2.2799999999999994</v>
      </c>
      <c r="AZ619" s="802">
        <f>IF(ISNUMBER('Base de datos Rutas'!CQ617),'Base de datos Rutas'!CQ617,"")</f>
        <v>564.37</v>
      </c>
      <c r="BA619" s="802">
        <f>IF(ISNUMBER('Base de datos Rutas'!CR617),'Base de datos Rutas'!CR617,"")</f>
        <v>416.2</v>
      </c>
      <c r="BB619" s="803">
        <f>IF(ISNUMBER('Base de datos Rutas'!CS617),'Base de datos Rutas'!CS617,"")</f>
        <v>148.17000000000002</v>
      </c>
      <c r="BC619" s="804">
        <f t="shared" si="357"/>
        <v>0</v>
      </c>
      <c r="BD619" s="805" t="str">
        <f t="shared" si="358"/>
        <v>No saturada</v>
      </c>
      <c r="BE619" s="806">
        <f t="shared" si="359"/>
        <v>0.7374594680794514</v>
      </c>
      <c r="BF619" s="890">
        <f>IF(ISNUMBER('Base de datos Rutas'!CX617),'Base de datos Rutas'!CX617/100,"")</f>
        <v>7.0965952227997439E-2</v>
      </c>
      <c r="BG619" s="891">
        <f>IF(ISNUMBER('Base de datos Rutas'!CZ617),'Base de datos Rutas'!CZ617/100,"")</f>
        <v>7.4928458798107805E-2</v>
      </c>
      <c r="BH619" s="892">
        <f>IF(ISNUMBER('Base de datos Rutas'!DA617),'Base de datos Rutas'!DA617,"")</f>
        <v>87.810233350881433</v>
      </c>
      <c r="BI619" s="893">
        <f>IF(ISNUMBER('Base de datos Rutas'!DC617),'Base de datos Rutas'!DC617,"")</f>
        <v>4.7082709697309904</v>
      </c>
      <c r="BJ619" s="805" t="str">
        <f t="shared" si="360"/>
        <v>Ruta (completo)</v>
      </c>
      <c r="BK619" s="783">
        <f t="shared" si="348"/>
        <v>1</v>
      </c>
      <c r="BL619" s="797">
        <f t="shared" si="349"/>
        <v>1</v>
      </c>
      <c r="BM619" s="797">
        <f t="shared" si="350"/>
        <v>1</v>
      </c>
      <c r="BN619" s="797">
        <f t="shared" si="351"/>
        <v>1</v>
      </c>
      <c r="BO619" s="798" cm="1">
        <f t="array" ref="BO619">SUMPRODUCT(--ISNUMBER($BF619:$BI619),$BK$3:$BN$3)</f>
        <v>1</v>
      </c>
      <c r="BP619" s="831">
        <f t="shared" si="361"/>
        <v>0</v>
      </c>
      <c r="BQ619" s="834" t="str">
        <f t="shared" si="362"/>
        <v>Bajo</v>
      </c>
      <c r="BR619" s="836">
        <f t="shared" si="352"/>
        <v>19.844915510315857</v>
      </c>
      <c r="BS619" s="836">
        <f t="shared" si="353"/>
        <v>0</v>
      </c>
      <c r="BT619" s="837" t="str">
        <f t="shared" si="354"/>
        <v>P4</v>
      </c>
      <c r="BU619" s="807" t="str">
        <f t="shared" si="363"/>
        <v>Con espacio</v>
      </c>
      <c r="BV619" s="807" t="str">
        <f t="shared" si="355"/>
        <v>Zona de bajo potencial</v>
      </c>
      <c r="BW619" s="808" t="str">
        <f t="shared" si="356"/>
        <v>P4 - Evaluar</v>
      </c>
    </row>
    <row r="620" spans="1:75">
      <c r="A620" s="780" t="str">
        <f>'Base de datos Rutas'!A618</f>
        <v>Occidente</v>
      </c>
      <c r="B620" s="781" t="str">
        <f>'Base de datos Rutas'!B618</f>
        <v>Favorita</v>
      </c>
      <c r="C620" s="781" t="str">
        <f>'Base de datos Rutas'!C618</f>
        <v>Suc. Santa Maria</v>
      </c>
      <c r="D620" s="782">
        <f>IF(ISNUMBER('Base de datos Rutas'!D618),'Base de datos Rutas'!D618,"Sin código")</f>
        <v>809370</v>
      </c>
      <c r="E620" s="783" t="str">
        <f>'Base de datos Rutas'!F618</f>
        <v>Activa</v>
      </c>
      <c r="F620" s="784" t="str">
        <f>'Base de datos Rutas'!H618</f>
        <v>Sí</v>
      </c>
      <c r="G620" s="785">
        <f>IF(ISNUMBER('Base de datos Rutas'!BE618),'Base de datos Rutas'!BE618,"")</f>
        <v>46.622171945701403</v>
      </c>
      <c r="H620" s="786">
        <f>IF(ISNUMBER('Base de datos Rutas'!BH618),'Base de datos Rutas'!BH618,"")</f>
        <v>0.54369874314553301</v>
      </c>
      <c r="I620" s="788">
        <f>IFERROR(IF(OR(NOT(ISNUMBER('Base de datos Rutas'!O618)),N('Base de datos Rutas'!BK618)=0),"",'Base de datos Rutas'!O618/('Base de datos Rutas'!L618/'Base de datos Rutas'!BK618)),"")</f>
        <v>2088.7443438914038</v>
      </c>
      <c r="J620" s="788">
        <f>IFERROR(IF(OR(NOT(ISNUMBER('Base de datos Rutas'!N618)),N('Base de datos Rutas'!BK618)=0),"",'Base de datos Rutas'!N618/('Base de datos Rutas'!L618/'Base de datos Rutas'!BK618)),"")</f>
        <v>6792.6447963800938</v>
      </c>
      <c r="K620" s="788">
        <f>IFERROR(IF(OR(NOT(ISNUMBER('Base de datos Rutas'!J618)),N('Base de datos Rutas'!BK618)=0),"",'Base de datos Rutas'!J618/('Base de datos Rutas'!L618/'Base de datos Rutas'!BK618)),"")</f>
        <v>464.85320000000024</v>
      </c>
      <c r="L620" s="788">
        <f>IFERROR(IF(OR(NOT(ISNUMBER('Base de datos Rutas'!K618)),N('Base de datos Rutas'!BK618)=0),"",'Base de datos Rutas'!K618/('Base de datos Rutas'!L618/'Base de datos Rutas'!BK618)),"")</f>
        <v>16.047697850678741</v>
      </c>
      <c r="M620" s="787">
        <f>IF(ISNUMBER('Base de datos Rutas'!AX618),'Base de datos Rutas'!AX618,"")</f>
        <v>350.372641021064</v>
      </c>
      <c r="N620" s="790">
        <f>IFERROR(INDEX('Hoja de apoyo v2'!B$17:B$20,MATCH($A620,'Hoja de apoyo v2'!$A$17:$A$20,0)),"")</f>
        <v>89.41621024641401</v>
      </c>
      <c r="O620" s="791">
        <f>IFERROR(INDEX('Hoja de apoyo v2'!C$17:C$20,MATCH($A620,'Hoja de apoyo v2'!$A$17:$A$20,0)),"")</f>
        <v>0.54706375874806301</v>
      </c>
      <c r="P620" s="793">
        <f>IFERROR(INDEX('Hoja de apoyo v2'!D$17:D$20,MATCH($A620,'Hoja de apoyo v2'!$A$17:$A$20,0)),"")</f>
        <v>11095.153935793827</v>
      </c>
      <c r="Q620" s="793">
        <f>IFERROR(INDEX('Hoja de apoyo v2'!E$17:E$20,MATCH($A620,'Hoja de apoyo v2'!$A$17:$A$20,0)),"")</f>
        <v>6982.3202019701848</v>
      </c>
      <c r="R620" s="793">
        <f>IFERROR(INDEX('Hoja de apoyo v2'!F$17:F$20,MATCH($A620,'Hoja de apoyo v2'!$A$17:$A$20,0)),"")</f>
        <v>448.09513474485743</v>
      </c>
      <c r="S620" s="793">
        <f>IFERROR(INDEX('Hoja de apoyo v2'!G$17:G$20,MATCH($A620,'Hoja de apoyo v2'!$A$17:$A$20,0)),"")</f>
        <v>83.406300904207839</v>
      </c>
      <c r="T620" s="792">
        <f>IFERROR(INDEX('Hoja de apoyo v2'!H$17:H$20,MATCH($A620,'Hoja de apoyo v2'!$A$17:$A$20,0)),"")</f>
        <v>378.97014028925349</v>
      </c>
      <c r="U620" s="794">
        <f t="shared" si="328"/>
        <v>0.52140626198783857</v>
      </c>
      <c r="V620" s="795">
        <f t="shared" si="329"/>
        <v>0.99384895170129584</v>
      </c>
      <c r="W620" s="795">
        <f t="shared" si="330"/>
        <v>0.18825735595726639</v>
      </c>
      <c r="X620" s="843">
        <f t="shared" si="331"/>
        <v>0.97283490299734887</v>
      </c>
      <c r="Y620" s="843">
        <f t="shared" si="332"/>
        <v>1.0373984539347536</v>
      </c>
      <c r="Z620" s="843">
        <f t="shared" si="333"/>
        <v>0.1924039032627706</v>
      </c>
      <c r="AA620" s="843">
        <f t="shared" si="334"/>
        <v>0.92453891157133883</v>
      </c>
      <c r="AB620" s="796">
        <f t="shared" si="335"/>
        <v>2</v>
      </c>
      <c r="AC620" s="797">
        <f t="shared" si="336"/>
        <v>3</v>
      </c>
      <c r="AD620" s="797">
        <f t="shared" si="337"/>
        <v>1</v>
      </c>
      <c r="AE620" s="842">
        <f t="shared" si="338"/>
        <v>3</v>
      </c>
      <c r="AF620" s="842">
        <f t="shared" si="339"/>
        <v>4</v>
      </c>
      <c r="AG620" s="842">
        <f t="shared" si="340"/>
        <v>1</v>
      </c>
      <c r="AH620" s="842">
        <f t="shared" si="341"/>
        <v>3</v>
      </c>
      <c r="AI620" s="826" cm="1">
        <f t="array" ref="AI620">SUMPRODUCT(--ISNUMBER($U620:$AA620),$AB$3:$AH$3)</f>
        <v>1</v>
      </c>
      <c r="AJ620" s="829">
        <f t="shared" si="342"/>
        <v>29.385931859127602</v>
      </c>
      <c r="AK620" s="827" t="str">
        <f t="shared" si="343"/>
        <v>Inmadura</v>
      </c>
      <c r="AL620" s="784" t="str">
        <f t="shared" si="344"/>
        <v>Alta</v>
      </c>
      <c r="AM620" s="799">
        <f>IF(ISNUMBER('Base de datos Rutas'!W618),'Base de datos Rutas'!W618,"")</f>
        <v>3293.1144020900269</v>
      </c>
      <c r="AN620" s="787">
        <f>IFERROR(SUMIFS('Base de datos Rutas'!$W$6:$W$794,'Base de datos Rutas'!$C$6:$C$794,$C620)/'Base de datos Rutas'!I618,"")</f>
        <v>3293.1144020900251</v>
      </c>
      <c r="AO620" s="800">
        <f>IFERROR('Base de datos Rutas'!X618*AN620/AM620,"")</f>
        <v>0.47791232590402694</v>
      </c>
      <c r="AP620" s="800">
        <f t="shared" si="345"/>
        <v>0.52208767409597301</v>
      </c>
      <c r="AQ620" s="789">
        <f>IFERROR(INDEX('Hoja de apoyo v2'!$J$17:$J$20,MATCH($A620,'Hoja de apoyo v2'!$A$17:$A$20,0)),"")</f>
        <v>0.64320274048480885</v>
      </c>
      <c r="AR620" s="789">
        <f t="shared" si="346"/>
        <v>-0.12111506638883585</v>
      </c>
      <c r="AS620" s="784" t="str">
        <f t="shared" si="347"/>
        <v>No</v>
      </c>
      <c r="AT620" s="801">
        <f>IF(ISNUMBER('Base de datos Rutas'!CK618),'Base de datos Rutas'!CK618,"")</f>
        <v>264</v>
      </c>
      <c r="AU620" s="802">
        <f>IF(ISNUMBER('Base de datos Rutas'!CL618),'Base de datos Rutas'!CL618,"")</f>
        <v>355.16</v>
      </c>
      <c r="AV620" s="802">
        <f>IF(ISNUMBER('Base de datos Rutas'!CM618),'Base de datos Rutas'!CM618,"")</f>
        <v>91.160000000000025</v>
      </c>
      <c r="AW620" s="802">
        <f>IF(ISNUMBER('Base de datos Rutas'!CN618),'Base de datos Rutas'!CN618,"")</f>
        <v>6.51</v>
      </c>
      <c r="AX620" s="802">
        <f>IF(ISNUMBER('Base de datos Rutas'!CO618),'Base de datos Rutas'!CO618,"")</f>
        <v>9.4499999999999993</v>
      </c>
      <c r="AY620" s="802">
        <f>IF(ISNUMBER('Base de datos Rutas'!CP618),'Base de datos Rutas'!CP618,"")</f>
        <v>2.9399999999999995</v>
      </c>
      <c r="AZ620" s="802">
        <f>IF(ISNUMBER('Base de datos Rutas'!CQ618),'Base de datos Rutas'!CQ618,"")</f>
        <v>846.56</v>
      </c>
      <c r="BA620" s="802">
        <f>IF(ISNUMBER('Base de datos Rutas'!CR618),'Base de datos Rutas'!CR618,"")</f>
        <v>480.9</v>
      </c>
      <c r="BB620" s="803">
        <f>IF(ISNUMBER('Base de datos Rutas'!CS618),'Base de datos Rutas'!CS618,"")</f>
        <v>365.65999999999997</v>
      </c>
      <c r="BC620" s="804">
        <f t="shared" si="357"/>
        <v>0</v>
      </c>
      <c r="BD620" s="805" t="str">
        <f t="shared" si="358"/>
        <v>No saturada</v>
      </c>
      <c r="BE620" s="806">
        <f t="shared" si="359"/>
        <v>0.56806369306369309</v>
      </c>
      <c r="BF620" s="890">
        <f>IF(ISNUMBER('Base de datos Rutas'!CX618),'Base de datos Rutas'!CX618/100,"")</f>
        <v>0.36754916618746408</v>
      </c>
      <c r="BG620" s="891">
        <f>IF(ISNUMBER('Base de datos Rutas'!CZ618),'Base de datos Rutas'!CZ618/100,"")</f>
        <v>0.3780333525014376</v>
      </c>
      <c r="BH620" s="892">
        <f>IF(ISNUMBER('Base de datos Rutas'!DA618),'Base de datos Rutas'!DA618,"")</f>
        <v>137.28519626321395</v>
      </c>
      <c r="BI620" s="893">
        <f>IF(ISNUMBER('Base de datos Rutas'!DC618),'Base de datos Rutas'!DC618,"")</f>
        <v>7.1813784406384586</v>
      </c>
      <c r="BJ620" s="805" t="str">
        <f t="shared" si="360"/>
        <v>Ruta (completo)</v>
      </c>
      <c r="BK620" s="783">
        <f t="shared" si="348"/>
        <v>2</v>
      </c>
      <c r="BL620" s="797">
        <f t="shared" si="349"/>
        <v>2</v>
      </c>
      <c r="BM620" s="797">
        <f t="shared" si="350"/>
        <v>1</v>
      </c>
      <c r="BN620" s="797">
        <f t="shared" si="351"/>
        <v>1</v>
      </c>
      <c r="BO620" s="798" cm="1">
        <f t="array" ref="BO620">SUMPRODUCT(--ISNUMBER($BF620:$BI620),$BK$3:$BN$3)</f>
        <v>1</v>
      </c>
      <c r="BP620" s="831">
        <f t="shared" si="361"/>
        <v>12.5</v>
      </c>
      <c r="BQ620" s="834" t="str">
        <f t="shared" si="362"/>
        <v>Bajo</v>
      </c>
      <c r="BR620" s="836">
        <f t="shared" si="352"/>
        <v>22.039448894345703</v>
      </c>
      <c r="BS620" s="836">
        <f t="shared" si="353"/>
        <v>12.5</v>
      </c>
      <c r="BT620" s="837" t="str">
        <f t="shared" si="354"/>
        <v>P4</v>
      </c>
      <c r="BU620" s="807" t="str">
        <f t="shared" si="363"/>
        <v>Con espacio</v>
      </c>
      <c r="BV620" s="807" t="str">
        <f t="shared" si="355"/>
        <v>Zona de bajo potencial</v>
      </c>
      <c r="BW620" s="808" t="str">
        <f t="shared" si="356"/>
        <v>P4 - Evaluar</v>
      </c>
    </row>
    <row r="621" spans="1:75">
      <c r="A621" s="780" t="str">
        <f>'Base de datos Rutas'!A619</f>
        <v>Occidente</v>
      </c>
      <c r="B621" s="781" t="str">
        <f>'Base de datos Rutas'!B619</f>
        <v>Favorita</v>
      </c>
      <c r="C621" s="781" t="str">
        <f>'Base de datos Rutas'!C619</f>
        <v>Suc. Santa Maria</v>
      </c>
      <c r="D621" s="782">
        <f>IF(ISNUMBER('Base de datos Rutas'!D619),'Base de datos Rutas'!D619,"Sin código")</f>
        <v>809371</v>
      </c>
      <c r="E621" s="783" t="str">
        <f>'Base de datos Rutas'!F619</f>
        <v>Activa</v>
      </c>
      <c r="F621" s="784" t="str">
        <f>'Base de datos Rutas'!H619</f>
        <v>Sí</v>
      </c>
      <c r="G621" s="785">
        <f>IF(ISNUMBER('Base de datos Rutas'!BE619),'Base de datos Rutas'!BE619,"")</f>
        <v>70.493119266055103</v>
      </c>
      <c r="H621" s="786">
        <f>IF(ISNUMBER('Base de datos Rutas'!BH619),'Base de datos Rutas'!BH619,"")</f>
        <v>0.54758418740849202</v>
      </c>
      <c r="I621" s="788">
        <f>IFERROR(IF(OR(NOT(ISNUMBER('Base de datos Rutas'!O619)),N('Base de datos Rutas'!BK619)=0),"",'Base de datos Rutas'!O619/('Base de datos Rutas'!L619/'Base de datos Rutas'!BK619)),"")</f>
        <v>2678.9403669724757</v>
      </c>
      <c r="J621" s="788">
        <f>IFERROR(IF(OR(NOT(ISNUMBER('Base de datos Rutas'!N619)),N('Base de datos Rutas'!BK619)=0),"",'Base de datos Rutas'!N619/('Base de datos Rutas'!L619/'Base de datos Rutas'!BK619)),"")</f>
        <v>10100.692660550454</v>
      </c>
      <c r="K621" s="788">
        <f>IFERROR(IF(OR(NOT(ISNUMBER('Base de datos Rutas'!J619)),N('Base de datos Rutas'!BK619)=0),"",'Base de datos Rutas'!J619/('Base de datos Rutas'!L619/'Base de datos Rutas'!BK619)),"")</f>
        <v>689.08161834862119</v>
      </c>
      <c r="L621" s="788">
        <f>IFERROR(IF(OR(NOT(ISNUMBER('Base de datos Rutas'!K619)),N('Base de datos Rutas'!BK619)=0),"",'Base de datos Rutas'!K619/('Base de datos Rutas'!L619/'Base de datos Rutas'!BK619)),"")</f>
        <v>19.672444055045862</v>
      </c>
      <c r="M621" s="787">
        <f>IF(ISNUMBER('Base de datos Rutas'!AX619),'Base de datos Rutas'!AX619,"")</f>
        <v>330.98264171122997</v>
      </c>
      <c r="N621" s="790">
        <f>IFERROR(INDEX('Hoja de apoyo v2'!B$17:B$20,MATCH($A621,'Hoja de apoyo v2'!$A$17:$A$20,0)),"")</f>
        <v>89.41621024641401</v>
      </c>
      <c r="O621" s="791">
        <f>IFERROR(INDEX('Hoja de apoyo v2'!C$17:C$20,MATCH($A621,'Hoja de apoyo v2'!$A$17:$A$20,0)),"")</f>
        <v>0.54706375874806301</v>
      </c>
      <c r="P621" s="793">
        <f>IFERROR(INDEX('Hoja de apoyo v2'!D$17:D$20,MATCH($A621,'Hoja de apoyo v2'!$A$17:$A$20,0)),"")</f>
        <v>11095.153935793827</v>
      </c>
      <c r="Q621" s="793">
        <f>IFERROR(INDEX('Hoja de apoyo v2'!E$17:E$20,MATCH($A621,'Hoja de apoyo v2'!$A$17:$A$20,0)),"")</f>
        <v>6982.3202019701848</v>
      </c>
      <c r="R621" s="793">
        <f>IFERROR(INDEX('Hoja de apoyo v2'!F$17:F$20,MATCH($A621,'Hoja de apoyo v2'!$A$17:$A$20,0)),"")</f>
        <v>448.09513474485743</v>
      </c>
      <c r="S621" s="793">
        <f>IFERROR(INDEX('Hoja de apoyo v2'!G$17:G$20,MATCH($A621,'Hoja de apoyo v2'!$A$17:$A$20,0)),"")</f>
        <v>83.406300904207839</v>
      </c>
      <c r="T621" s="792">
        <f>IFERROR(INDEX('Hoja de apoyo v2'!H$17:H$20,MATCH($A621,'Hoja de apoyo v2'!$A$17:$A$20,0)),"")</f>
        <v>378.97014028925349</v>
      </c>
      <c r="U621" s="794">
        <f t="shared" si="328"/>
        <v>0.78837068884701689</v>
      </c>
      <c r="V621" s="795">
        <f t="shared" si="329"/>
        <v>1.0009513126250951</v>
      </c>
      <c r="W621" s="795">
        <f t="shared" si="330"/>
        <v>0.24145139242548103</v>
      </c>
      <c r="X621" s="843">
        <f t="shared" si="331"/>
        <v>1.4466097756015781</v>
      </c>
      <c r="Y621" s="843">
        <f t="shared" si="332"/>
        <v>1.5378020534433607</v>
      </c>
      <c r="Z621" s="843">
        <f t="shared" si="333"/>
        <v>0.2358628046295887</v>
      </c>
      <c r="AA621" s="843">
        <f t="shared" si="334"/>
        <v>0.87337393246497863</v>
      </c>
      <c r="AB621" s="796">
        <f t="shared" si="335"/>
        <v>3</v>
      </c>
      <c r="AC621" s="797">
        <f t="shared" si="336"/>
        <v>4</v>
      </c>
      <c r="AD621" s="797">
        <f t="shared" si="337"/>
        <v>1</v>
      </c>
      <c r="AE621" s="842">
        <f t="shared" si="338"/>
        <v>5</v>
      </c>
      <c r="AF621" s="842">
        <f t="shared" si="339"/>
        <v>5</v>
      </c>
      <c r="AG621" s="842">
        <f t="shared" si="340"/>
        <v>1</v>
      </c>
      <c r="AH621" s="842">
        <f t="shared" si="341"/>
        <v>3</v>
      </c>
      <c r="AI621" s="826" cm="1">
        <f t="array" ref="AI621">SUMPRODUCT(--ISNUMBER($U621:$AA621),$AB$3:$AH$3)</f>
        <v>1</v>
      </c>
      <c r="AJ621" s="829">
        <f t="shared" si="342"/>
        <v>46.047413427632009</v>
      </c>
      <c r="AK621" s="827" t="str">
        <f t="shared" si="343"/>
        <v>En desarrollo</v>
      </c>
      <c r="AL621" s="784" t="str">
        <f t="shared" si="344"/>
        <v>Alta</v>
      </c>
      <c r="AM621" s="799">
        <f>IF(ISNUMBER('Base de datos Rutas'!W619),'Base de datos Rutas'!W619,"")</f>
        <v>3293.1144020900269</v>
      </c>
      <c r="AN621" s="787">
        <f>IFERROR(SUMIFS('Base de datos Rutas'!$W$6:$W$794,'Base de datos Rutas'!$C$6:$C$794,$C621)/'Base de datos Rutas'!I619,"")</f>
        <v>3293.1144020900251</v>
      </c>
      <c r="AO621" s="800">
        <f>IFERROR('Base de datos Rutas'!X619*AN621/AM621,"")</f>
        <v>0.47791232590402694</v>
      </c>
      <c r="AP621" s="800">
        <f t="shared" si="345"/>
        <v>0.52208767409597301</v>
      </c>
      <c r="AQ621" s="789">
        <f>IFERROR(INDEX('Hoja de apoyo v2'!$J$17:$J$20,MATCH($A621,'Hoja de apoyo v2'!$A$17:$A$20,0)),"")</f>
        <v>0.64320274048480885</v>
      </c>
      <c r="AR621" s="789">
        <f t="shared" si="346"/>
        <v>-0.12111506638883585</v>
      </c>
      <c r="AS621" s="784" t="str">
        <f t="shared" si="347"/>
        <v>No</v>
      </c>
      <c r="AT621" s="801">
        <f>IF(ISNUMBER('Base de datos Rutas'!CK619),'Base de datos Rutas'!CK619,"")</f>
        <v>317</v>
      </c>
      <c r="AU621" s="802">
        <f>IF(ISNUMBER('Base de datos Rutas'!CL619),'Base de datos Rutas'!CL619,"")</f>
        <v>317</v>
      </c>
      <c r="AV621" s="802">
        <f>IF(ISNUMBER('Base de datos Rutas'!CM619),'Base de datos Rutas'!CM619,"")</f>
        <v>0</v>
      </c>
      <c r="AW621" s="802" t="str">
        <f>IF(ISNUMBER('Base de datos Rutas'!CN619),'Base de datos Rutas'!CN619,"")</f>
        <v/>
      </c>
      <c r="AX621" s="802">
        <f>IF(ISNUMBER('Base de datos Rutas'!CO619),'Base de datos Rutas'!CO619,"")</f>
        <v>9.4499999999999993</v>
      </c>
      <c r="AY621" s="802">
        <f>IF(ISNUMBER('Base de datos Rutas'!CP619),'Base de datos Rutas'!CP619,"")</f>
        <v>9.4499999999999993</v>
      </c>
      <c r="AZ621" s="802" t="str">
        <f>IF(ISNUMBER('Base de datos Rutas'!CQ619),'Base de datos Rutas'!CQ619,"")</f>
        <v/>
      </c>
      <c r="BA621" s="802" t="str">
        <f>IF(ISNUMBER('Base de datos Rutas'!CR619),'Base de datos Rutas'!CR619,"")</f>
        <v/>
      </c>
      <c r="BB621" s="803">
        <f>IF(ISNUMBER('Base de datos Rutas'!CS619),'Base de datos Rutas'!CS619,"")</f>
        <v>0</v>
      </c>
      <c r="BC621" s="804" t="str">
        <f t="shared" si="357"/>
        <v/>
      </c>
      <c r="BD621" s="805" t="str">
        <f t="shared" si="358"/>
        <v>N/D</v>
      </c>
      <c r="BE621" s="806" t="str">
        <f t="shared" si="359"/>
        <v/>
      </c>
      <c r="BF621" s="890">
        <f>IF(ISNUMBER('Base de datos Rutas'!CX619),'Base de datos Rutas'!CX619/100,"")</f>
        <v>0</v>
      </c>
      <c r="BG621" s="891">
        <f>IF(ISNUMBER('Base de datos Rutas'!CZ619),'Base de datos Rutas'!CZ619/100,"")</f>
        <v>0</v>
      </c>
      <c r="BH621" s="892">
        <f>IF(ISNUMBER('Base de datos Rutas'!DA619),'Base de datos Rutas'!DA619,"")</f>
        <v>0</v>
      </c>
      <c r="BI621" s="893">
        <f>IF(ISNUMBER('Base de datos Rutas'!DC619),'Base de datos Rutas'!DC619,"")</f>
        <v>0</v>
      </c>
      <c r="BJ621" s="805" t="str">
        <f t="shared" si="360"/>
        <v>Ruta (completo)</v>
      </c>
      <c r="BK621" s="783">
        <f t="shared" si="348"/>
        <v>1</v>
      </c>
      <c r="BL621" s="797">
        <f t="shared" si="349"/>
        <v>1</v>
      </c>
      <c r="BM621" s="797">
        <f t="shared" si="350"/>
        <v>1</v>
      </c>
      <c r="BN621" s="797">
        <f t="shared" si="351"/>
        <v>1</v>
      </c>
      <c r="BO621" s="798" cm="1">
        <f t="array" ref="BO621">SUMPRODUCT(--ISNUMBER($BF621:$BI621),$BK$3:$BN$3)</f>
        <v>1</v>
      </c>
      <c r="BP621" s="831">
        <f t="shared" si="361"/>
        <v>0</v>
      </c>
      <c r="BQ621" s="834" t="str">
        <f t="shared" si="362"/>
        <v>Bajo</v>
      </c>
      <c r="BR621" s="836" t="str">
        <f t="shared" si="352"/>
        <v/>
      </c>
      <c r="BS621" s="836">
        <f t="shared" si="353"/>
        <v>0</v>
      </c>
      <c r="BT621" s="837" t="str">
        <f t="shared" si="354"/>
        <v>Sin datos</v>
      </c>
      <c r="BU621" s="807" t="str">
        <f t="shared" si="363"/>
        <v>Con espacio</v>
      </c>
      <c r="BV621" s="807" t="str">
        <f t="shared" si="355"/>
        <v>Zona de bajo potencial</v>
      </c>
      <c r="BW621" s="808" t="str">
        <f t="shared" si="356"/>
        <v>Sin datos</v>
      </c>
    </row>
    <row r="622" spans="1:75">
      <c r="A622" s="780" t="str">
        <f>'Base de datos Rutas'!A620</f>
        <v>Occidente</v>
      </c>
      <c r="B622" s="781" t="str">
        <f>'Base de datos Rutas'!B620</f>
        <v>Favorita</v>
      </c>
      <c r="C622" s="781" t="str">
        <f>'Base de datos Rutas'!C620</f>
        <v>Suc. Santa Maria</v>
      </c>
      <c r="D622" s="782">
        <f>IF(ISNUMBER('Base de datos Rutas'!D620),'Base de datos Rutas'!D620,"Sin código")</f>
        <v>809372</v>
      </c>
      <c r="E622" s="783" t="str">
        <f>'Base de datos Rutas'!F620</f>
        <v>Activa</v>
      </c>
      <c r="F622" s="784" t="str">
        <f>'Base de datos Rutas'!H620</f>
        <v>Sí</v>
      </c>
      <c r="G622" s="785">
        <f>IF(ISNUMBER('Base de datos Rutas'!BE620),'Base de datos Rutas'!BE620,"")</f>
        <v>44.6666666666667</v>
      </c>
      <c r="H622" s="786">
        <f>IF(ISNUMBER('Base de datos Rutas'!BH620),'Base de datos Rutas'!BH620,"")</f>
        <v>7.4626865671641798E-3</v>
      </c>
      <c r="I622" s="788">
        <f>IFERROR(IF(OR(NOT(ISNUMBER('Base de datos Rutas'!O620)),N('Base de datos Rutas'!BK620)=0),"",'Base de datos Rutas'!O620/('Base de datos Rutas'!L620/'Base de datos Rutas'!BK620)),"")</f>
        <v>0</v>
      </c>
      <c r="J622" s="788">
        <f>IFERROR(IF(OR(NOT(ISNUMBER('Base de datos Rutas'!N620)),N('Base de datos Rutas'!BK620)=0),"",'Base de datos Rutas'!N620/('Base de datos Rutas'!L620/'Base de datos Rutas'!BK620)),"")</f>
        <v>67.428571428571431</v>
      </c>
      <c r="K622" s="788">
        <f>IFERROR(IF(OR(NOT(ISNUMBER('Base de datos Rutas'!J620)),N('Base de datos Rutas'!BK620)=0),"",'Base de datos Rutas'!J620/('Base de datos Rutas'!L620/'Base de datos Rutas'!BK620)),"")</f>
        <v>4.5288000000000004</v>
      </c>
      <c r="L622" s="788">
        <f>IFERROR(IF(OR(NOT(ISNUMBER('Base de datos Rutas'!K620)),N('Base de datos Rutas'!BK620)=0),"",'Base de datos Rutas'!K620/('Base de datos Rutas'!L620/'Base de datos Rutas'!BK620)),"")</f>
        <v>0</v>
      </c>
      <c r="M622" s="787">
        <f>IF(ISNUMBER('Base de datos Rutas'!AX620),'Base de datos Rutas'!AX620,"")</f>
        <v>94.4</v>
      </c>
      <c r="N622" s="790">
        <f>IFERROR(INDEX('Hoja de apoyo v2'!B$17:B$20,MATCH($A622,'Hoja de apoyo v2'!$A$17:$A$20,0)),"")</f>
        <v>89.41621024641401</v>
      </c>
      <c r="O622" s="791">
        <f>IFERROR(INDEX('Hoja de apoyo v2'!C$17:C$20,MATCH($A622,'Hoja de apoyo v2'!$A$17:$A$20,0)),"")</f>
        <v>0.54706375874806301</v>
      </c>
      <c r="P622" s="793">
        <f>IFERROR(INDEX('Hoja de apoyo v2'!D$17:D$20,MATCH($A622,'Hoja de apoyo v2'!$A$17:$A$20,0)),"")</f>
        <v>11095.153935793827</v>
      </c>
      <c r="Q622" s="793">
        <f>IFERROR(INDEX('Hoja de apoyo v2'!E$17:E$20,MATCH($A622,'Hoja de apoyo v2'!$A$17:$A$20,0)),"")</f>
        <v>6982.3202019701848</v>
      </c>
      <c r="R622" s="793">
        <f>IFERROR(INDEX('Hoja de apoyo v2'!F$17:F$20,MATCH($A622,'Hoja de apoyo v2'!$A$17:$A$20,0)),"")</f>
        <v>448.09513474485743</v>
      </c>
      <c r="S622" s="793">
        <f>IFERROR(INDEX('Hoja de apoyo v2'!G$17:G$20,MATCH($A622,'Hoja de apoyo v2'!$A$17:$A$20,0)),"")</f>
        <v>83.406300904207839</v>
      </c>
      <c r="T622" s="792">
        <f>IFERROR(INDEX('Hoja de apoyo v2'!H$17:H$20,MATCH($A622,'Hoja de apoyo v2'!$A$17:$A$20,0)),"")</f>
        <v>378.97014028925349</v>
      </c>
      <c r="U622" s="794">
        <f t="shared" si="328"/>
        <v>0.49953656662001095</v>
      </c>
      <c r="V622" s="795">
        <f t="shared" si="329"/>
        <v>1.3641347005406255E-2</v>
      </c>
      <c r="W622" s="795">
        <f t="shared" si="330"/>
        <v>0</v>
      </c>
      <c r="X622" s="843">
        <f t="shared" si="331"/>
        <v>9.6570437158618513E-3</v>
      </c>
      <c r="Y622" s="843">
        <f t="shared" si="332"/>
        <v>1.0106782352320497E-2</v>
      </c>
      <c r="Z622" s="843">
        <f t="shared" si="333"/>
        <v>0</v>
      </c>
      <c r="AA622" s="843">
        <f t="shared" si="334"/>
        <v>0.24909614231862193</v>
      </c>
      <c r="AB622" s="796">
        <f t="shared" si="335"/>
        <v>1</v>
      </c>
      <c r="AC622" s="797">
        <f t="shared" si="336"/>
        <v>1</v>
      </c>
      <c r="AD622" s="797">
        <f t="shared" si="337"/>
        <v>1</v>
      </c>
      <c r="AE622" s="842">
        <f t="shared" si="338"/>
        <v>1</v>
      </c>
      <c r="AF622" s="842">
        <f t="shared" si="339"/>
        <v>1</v>
      </c>
      <c r="AG622" s="842">
        <f t="shared" si="340"/>
        <v>1</v>
      </c>
      <c r="AH622" s="842">
        <f t="shared" si="341"/>
        <v>1</v>
      </c>
      <c r="AI622" s="826" cm="1">
        <f t="array" ref="AI622">SUMPRODUCT(--ISNUMBER($U622:$AA622),$AB$3:$AH$3)</f>
        <v>1</v>
      </c>
      <c r="AJ622" s="829">
        <f t="shared" si="342"/>
        <v>0</v>
      </c>
      <c r="AK622" s="827" t="str">
        <f t="shared" si="343"/>
        <v>Inmadura</v>
      </c>
      <c r="AL622" s="784" t="str">
        <f t="shared" si="344"/>
        <v>Alta</v>
      </c>
      <c r="AM622" s="799">
        <f>IF(ISNUMBER('Base de datos Rutas'!W620),'Base de datos Rutas'!W620,"")</f>
        <v>3293.1144020900269</v>
      </c>
      <c r="AN622" s="787">
        <f>IFERROR(SUMIFS('Base de datos Rutas'!$W$6:$W$794,'Base de datos Rutas'!$C$6:$C$794,$C622)/'Base de datos Rutas'!I620,"")</f>
        <v>3293.1144020900251</v>
      </c>
      <c r="AO622" s="800">
        <f>IFERROR('Base de datos Rutas'!X620*AN622/AM622,"")</f>
        <v>0.47791232590402694</v>
      </c>
      <c r="AP622" s="800">
        <f t="shared" si="345"/>
        <v>0.52208767409597301</v>
      </c>
      <c r="AQ622" s="789">
        <f>IFERROR(INDEX('Hoja de apoyo v2'!$J$17:$J$20,MATCH($A622,'Hoja de apoyo v2'!$A$17:$A$20,0)),"")</f>
        <v>0.64320274048480885</v>
      </c>
      <c r="AR622" s="789">
        <f t="shared" si="346"/>
        <v>-0.12111506638883585</v>
      </c>
      <c r="AS622" s="784" t="str">
        <f t="shared" si="347"/>
        <v>No</v>
      </c>
      <c r="AT622" s="801" t="str">
        <f>IF(ISNUMBER('Base de datos Rutas'!CK620),'Base de datos Rutas'!CK620,"")</f>
        <v/>
      </c>
      <c r="AU622" s="802" t="str">
        <f>IF(ISNUMBER('Base de datos Rutas'!CL620),'Base de datos Rutas'!CL620,"")</f>
        <v/>
      </c>
      <c r="AV622" s="802">
        <f>IF(ISNUMBER('Base de datos Rutas'!CM620),'Base de datos Rutas'!CM620,"")</f>
        <v>0</v>
      </c>
      <c r="AW622" s="802" t="str">
        <f>IF(ISNUMBER('Base de datos Rutas'!CN620),'Base de datos Rutas'!CN620,"")</f>
        <v/>
      </c>
      <c r="AX622" s="802" t="str">
        <f>IF(ISNUMBER('Base de datos Rutas'!CO620),'Base de datos Rutas'!CO620,"")</f>
        <v/>
      </c>
      <c r="AY622" s="802">
        <f>IF(ISNUMBER('Base de datos Rutas'!CP620),'Base de datos Rutas'!CP620,"")</f>
        <v>0</v>
      </c>
      <c r="AZ622" s="802" t="str">
        <f>IF(ISNUMBER('Base de datos Rutas'!CQ620),'Base de datos Rutas'!CQ620,"")</f>
        <v/>
      </c>
      <c r="BA622" s="802" t="str">
        <f>IF(ISNUMBER('Base de datos Rutas'!CR620),'Base de datos Rutas'!CR620,"")</f>
        <v/>
      </c>
      <c r="BB622" s="803">
        <f>IF(ISNUMBER('Base de datos Rutas'!CS620),'Base de datos Rutas'!CS620,"")</f>
        <v>0</v>
      </c>
      <c r="BC622" s="804" t="str">
        <f t="shared" si="357"/>
        <v/>
      </c>
      <c r="BD622" s="805" t="str">
        <f t="shared" si="358"/>
        <v>N/D</v>
      </c>
      <c r="BE622" s="806" t="str">
        <f t="shared" si="359"/>
        <v/>
      </c>
      <c r="BF622" s="890" t="str">
        <f>IF(ISNUMBER('Base de datos Rutas'!CX620),'Base de datos Rutas'!CX620/100,"")</f>
        <v/>
      </c>
      <c r="BG622" s="891" t="str">
        <f>IF(ISNUMBER('Base de datos Rutas'!CZ620),'Base de datos Rutas'!CZ620/100,"")</f>
        <v/>
      </c>
      <c r="BH622" s="892" t="str">
        <f>IF(ISNUMBER('Base de datos Rutas'!DA620),'Base de datos Rutas'!DA620,"")</f>
        <v/>
      </c>
      <c r="BI622" s="893" t="str">
        <f>IF(ISNUMBER('Base de datos Rutas'!DC620),'Base de datos Rutas'!DC620,"")</f>
        <v/>
      </c>
      <c r="BJ622" s="805" t="str">
        <f t="shared" si="360"/>
        <v>Sin dato</v>
      </c>
      <c r="BK622" s="783">
        <f t="shared" si="348"/>
        <v>0</v>
      </c>
      <c r="BL622" s="797">
        <f t="shared" si="349"/>
        <v>0</v>
      </c>
      <c r="BM622" s="797">
        <f t="shared" si="350"/>
        <v>0</v>
      </c>
      <c r="BN622" s="797">
        <f t="shared" si="351"/>
        <v>0</v>
      </c>
      <c r="BO622" s="798" cm="1">
        <f t="array" ref="BO622">SUMPRODUCT(--ISNUMBER($BF622:$BI622),$BK$3:$BN$3)</f>
        <v>0</v>
      </c>
      <c r="BP622" s="831" t="str">
        <f t="shared" si="361"/>
        <v/>
      </c>
      <c r="BQ622" s="834" t="str">
        <f t="shared" si="362"/>
        <v>Sin datos</v>
      </c>
      <c r="BR622" s="836" t="str">
        <f t="shared" si="352"/>
        <v/>
      </c>
      <c r="BS622" s="836" t="str">
        <f t="shared" si="353"/>
        <v/>
      </c>
      <c r="BT622" s="837" t="str">
        <f t="shared" si="354"/>
        <v>Sin datos</v>
      </c>
      <c r="BU622" s="807" t="str">
        <f t="shared" si="363"/>
        <v>Con espacio</v>
      </c>
      <c r="BV622" s="807" t="str">
        <f t="shared" si="355"/>
        <v>Sin datos de zona</v>
      </c>
      <c r="BW622" s="808" t="str">
        <f t="shared" si="356"/>
        <v>Sin datos</v>
      </c>
    </row>
    <row r="623" spans="1:75">
      <c r="A623" s="780" t="str">
        <f>'Base de datos Rutas'!A621</f>
        <v>Occidente</v>
      </c>
      <c r="B623" s="781" t="str">
        <f>'Base de datos Rutas'!B621</f>
        <v>Favorita</v>
      </c>
      <c r="C623" s="781" t="str">
        <f>'Base de datos Rutas'!C621</f>
        <v>Suc. Santa Maria</v>
      </c>
      <c r="D623" s="782">
        <f>IF(ISNUMBER('Base de datos Rutas'!D621),'Base de datos Rutas'!D621,"Sin código")</f>
        <v>809373</v>
      </c>
      <c r="E623" s="783" t="str">
        <f>'Base de datos Rutas'!F621</f>
        <v>Activa</v>
      </c>
      <c r="F623" s="784" t="str">
        <f>'Base de datos Rutas'!H621</f>
        <v>Sí</v>
      </c>
      <c r="G623" s="785">
        <f>IF(ISNUMBER('Base de datos Rutas'!BE621),'Base de datos Rutas'!BE621,"")</f>
        <v>70.597727272727298</v>
      </c>
      <c r="H623" s="786">
        <f>IF(ISNUMBER('Base de datos Rutas'!BH621),'Base de datos Rutas'!BH621,"")</f>
        <v>0.50008048160190599</v>
      </c>
      <c r="I623" s="788">
        <f>IFERROR(IF(OR(NOT(ISNUMBER('Base de datos Rutas'!O621)),N('Base de datos Rutas'!BK621)=0),"",'Base de datos Rutas'!O621/('Base de datos Rutas'!L621/'Base de datos Rutas'!BK621)),"")</f>
        <v>2685.1886363636313</v>
      </c>
      <c r="J623" s="788">
        <f>IFERROR(IF(OR(NOT(ISNUMBER('Base de datos Rutas'!N621)),N('Base de datos Rutas'!BK621)=0),"",'Base de datos Rutas'!N621/('Base de datos Rutas'!L621/'Base de datos Rutas'!BK621)),"")</f>
        <v>8351.3863636363476</v>
      </c>
      <c r="K623" s="788">
        <f>IFERROR(IF(OR(NOT(ISNUMBER('Base de datos Rutas'!J621)),N('Base de datos Rutas'!BK621)=0),"",'Base de datos Rutas'!J621/('Base de datos Rutas'!L621/'Base de datos Rutas'!BK621)),"")</f>
        <v>576.15256363636252</v>
      </c>
      <c r="L623" s="788">
        <f>IFERROR(IF(OR(NOT(ISNUMBER('Base de datos Rutas'!K621)),N('Base de datos Rutas'!BK621)=0),"",'Base de datos Rutas'!K621/('Base de datos Rutas'!L621/'Base de datos Rutas'!BK621)),"")</f>
        <v>21.361118920454505</v>
      </c>
      <c r="M623" s="787">
        <f>IF(ISNUMBER('Base de datos Rutas'!AX621),'Base de datos Rutas'!AX621,"")</f>
        <v>312.61066048667402</v>
      </c>
      <c r="N623" s="790">
        <f>IFERROR(INDEX('Hoja de apoyo v2'!B$17:B$20,MATCH($A623,'Hoja de apoyo v2'!$A$17:$A$20,0)),"")</f>
        <v>89.41621024641401</v>
      </c>
      <c r="O623" s="791">
        <f>IFERROR(INDEX('Hoja de apoyo v2'!C$17:C$20,MATCH($A623,'Hoja de apoyo v2'!$A$17:$A$20,0)),"")</f>
        <v>0.54706375874806301</v>
      </c>
      <c r="P623" s="793">
        <f>IFERROR(INDEX('Hoja de apoyo v2'!D$17:D$20,MATCH($A623,'Hoja de apoyo v2'!$A$17:$A$20,0)),"")</f>
        <v>11095.153935793827</v>
      </c>
      <c r="Q623" s="793">
        <f>IFERROR(INDEX('Hoja de apoyo v2'!E$17:E$20,MATCH($A623,'Hoja de apoyo v2'!$A$17:$A$20,0)),"")</f>
        <v>6982.3202019701848</v>
      </c>
      <c r="R623" s="793">
        <f>IFERROR(INDEX('Hoja de apoyo v2'!F$17:F$20,MATCH($A623,'Hoja de apoyo v2'!$A$17:$A$20,0)),"")</f>
        <v>448.09513474485743</v>
      </c>
      <c r="S623" s="793">
        <f>IFERROR(INDEX('Hoja de apoyo v2'!G$17:G$20,MATCH($A623,'Hoja de apoyo v2'!$A$17:$A$20,0)),"")</f>
        <v>83.406300904207839</v>
      </c>
      <c r="T623" s="792">
        <f>IFERROR(INDEX('Hoja de apoyo v2'!H$17:H$20,MATCH($A623,'Hoja de apoyo v2'!$A$17:$A$20,0)),"")</f>
        <v>378.97014028925349</v>
      </c>
      <c r="U623" s="794">
        <f t="shared" si="328"/>
        <v>0.78954058864912113</v>
      </c>
      <c r="V623" s="795">
        <f t="shared" si="329"/>
        <v>0.91411736494174523</v>
      </c>
      <c r="W623" s="795">
        <f t="shared" si="330"/>
        <v>0.24201454544051024</v>
      </c>
      <c r="X623" s="843">
        <f t="shared" si="331"/>
        <v>1.1960761068047061</v>
      </c>
      <c r="Y623" s="843">
        <f t="shared" si="332"/>
        <v>1.2857817882008922</v>
      </c>
      <c r="Z623" s="843">
        <f t="shared" si="333"/>
        <v>0.25610917507284919</v>
      </c>
      <c r="AA623" s="843">
        <f t="shared" si="334"/>
        <v>0.82489522854774311</v>
      </c>
      <c r="AB623" s="796">
        <f t="shared" si="335"/>
        <v>3</v>
      </c>
      <c r="AC623" s="797">
        <f t="shared" si="336"/>
        <v>3</v>
      </c>
      <c r="AD623" s="797">
        <f t="shared" si="337"/>
        <v>1</v>
      </c>
      <c r="AE623" s="842">
        <f t="shared" si="338"/>
        <v>4</v>
      </c>
      <c r="AF623" s="842">
        <f t="shared" si="339"/>
        <v>5</v>
      </c>
      <c r="AG623" s="842">
        <f t="shared" si="340"/>
        <v>1</v>
      </c>
      <c r="AH623" s="842">
        <f t="shared" si="341"/>
        <v>3</v>
      </c>
      <c r="AI623" s="826" cm="1">
        <f t="array" ref="AI623">SUMPRODUCT(--ISNUMBER($U623:$AA623),$AB$3:$AH$3)</f>
        <v>1</v>
      </c>
      <c r="AJ623" s="829">
        <f t="shared" si="342"/>
        <v>40.255060195522837</v>
      </c>
      <c r="AK623" s="827" t="str">
        <f t="shared" si="343"/>
        <v>Inmadura</v>
      </c>
      <c r="AL623" s="784" t="str">
        <f t="shared" si="344"/>
        <v>Alta</v>
      </c>
      <c r="AM623" s="799">
        <f>IF(ISNUMBER('Base de datos Rutas'!W621),'Base de datos Rutas'!W621,"")</f>
        <v>3293.1144020900269</v>
      </c>
      <c r="AN623" s="787">
        <f>IFERROR(SUMIFS('Base de datos Rutas'!$W$6:$W$794,'Base de datos Rutas'!$C$6:$C$794,$C623)/'Base de datos Rutas'!I621,"")</f>
        <v>3293.1144020900251</v>
      </c>
      <c r="AO623" s="800">
        <f>IFERROR('Base de datos Rutas'!X621*AN623/AM623,"")</f>
        <v>0.47791232590402694</v>
      </c>
      <c r="AP623" s="800">
        <f t="shared" si="345"/>
        <v>0.52208767409597301</v>
      </c>
      <c r="AQ623" s="789">
        <f>IFERROR(INDEX('Hoja de apoyo v2'!$J$17:$J$20,MATCH($A623,'Hoja de apoyo v2'!$A$17:$A$20,0)),"")</f>
        <v>0.64320274048480885</v>
      </c>
      <c r="AR623" s="789">
        <f t="shared" si="346"/>
        <v>-0.12111506638883585</v>
      </c>
      <c r="AS623" s="784" t="str">
        <f t="shared" si="347"/>
        <v>No</v>
      </c>
      <c r="AT623" s="801">
        <f>IF(ISNUMBER('Base de datos Rutas'!CK621),'Base de datos Rutas'!CK621,"")</f>
        <v>279</v>
      </c>
      <c r="AU623" s="802">
        <f>IF(ISNUMBER('Base de datos Rutas'!CL621),'Base de datos Rutas'!CL621,"")</f>
        <v>279</v>
      </c>
      <c r="AV623" s="802">
        <f>IF(ISNUMBER('Base de datos Rutas'!CM621),'Base de datos Rutas'!CM621,"")</f>
        <v>0</v>
      </c>
      <c r="AW623" s="802" t="str">
        <f>IF(ISNUMBER('Base de datos Rutas'!CN621),'Base de datos Rutas'!CN621,"")</f>
        <v/>
      </c>
      <c r="AX623" s="802">
        <f>IF(ISNUMBER('Base de datos Rutas'!CO621),'Base de datos Rutas'!CO621,"")</f>
        <v>9.4499999999999993</v>
      </c>
      <c r="AY623" s="802">
        <f>IF(ISNUMBER('Base de datos Rutas'!CP621),'Base de datos Rutas'!CP621,"")</f>
        <v>9.4499999999999993</v>
      </c>
      <c r="AZ623" s="802" t="str">
        <f>IF(ISNUMBER('Base de datos Rutas'!CQ621),'Base de datos Rutas'!CQ621,"")</f>
        <v/>
      </c>
      <c r="BA623" s="802" t="str">
        <f>IF(ISNUMBER('Base de datos Rutas'!CR621),'Base de datos Rutas'!CR621,"")</f>
        <v/>
      </c>
      <c r="BB623" s="803">
        <f>IF(ISNUMBER('Base de datos Rutas'!CS621),'Base de datos Rutas'!CS621,"")</f>
        <v>0</v>
      </c>
      <c r="BC623" s="804" t="str">
        <f t="shared" si="357"/>
        <v/>
      </c>
      <c r="BD623" s="805" t="str">
        <f t="shared" si="358"/>
        <v>N/D</v>
      </c>
      <c r="BE623" s="806" t="str">
        <f t="shared" si="359"/>
        <v/>
      </c>
      <c r="BF623" s="890">
        <f>IF(ISNUMBER('Base de datos Rutas'!CX621),'Base de datos Rutas'!CX621/100,"")</f>
        <v>0</v>
      </c>
      <c r="BG623" s="891">
        <f>IF(ISNUMBER('Base de datos Rutas'!CZ621),'Base de datos Rutas'!CZ621/100,"")</f>
        <v>0</v>
      </c>
      <c r="BH623" s="892">
        <f>IF(ISNUMBER('Base de datos Rutas'!DA621),'Base de datos Rutas'!DA621,"")</f>
        <v>0</v>
      </c>
      <c r="BI623" s="893">
        <f>IF(ISNUMBER('Base de datos Rutas'!DC621),'Base de datos Rutas'!DC621,"")</f>
        <v>0</v>
      </c>
      <c r="BJ623" s="805" t="str">
        <f t="shared" si="360"/>
        <v>Ruta (completo)</v>
      </c>
      <c r="BK623" s="783">
        <f t="shared" si="348"/>
        <v>1</v>
      </c>
      <c r="BL623" s="797">
        <f t="shared" si="349"/>
        <v>1</v>
      </c>
      <c r="BM623" s="797">
        <f t="shared" si="350"/>
        <v>1</v>
      </c>
      <c r="BN623" s="797">
        <f t="shared" si="351"/>
        <v>1</v>
      </c>
      <c r="BO623" s="798" cm="1">
        <f t="array" ref="BO623">SUMPRODUCT(--ISNUMBER($BF623:$BI623),$BK$3:$BN$3)</f>
        <v>1</v>
      </c>
      <c r="BP623" s="831">
        <f t="shared" si="361"/>
        <v>0</v>
      </c>
      <c r="BQ623" s="834" t="str">
        <f t="shared" si="362"/>
        <v>Bajo</v>
      </c>
      <c r="BR623" s="836" t="str">
        <f t="shared" si="352"/>
        <v/>
      </c>
      <c r="BS623" s="836">
        <f t="shared" si="353"/>
        <v>0</v>
      </c>
      <c r="BT623" s="837" t="str">
        <f t="shared" si="354"/>
        <v>Sin datos</v>
      </c>
      <c r="BU623" s="807" t="str">
        <f t="shared" si="363"/>
        <v>Con espacio</v>
      </c>
      <c r="BV623" s="807" t="str">
        <f t="shared" si="355"/>
        <v>Zona de bajo potencial</v>
      </c>
      <c r="BW623" s="808" t="str">
        <f t="shared" si="356"/>
        <v>Sin datos</v>
      </c>
    </row>
    <row r="624" spans="1:75">
      <c r="A624" s="780" t="str">
        <f>'Base de datos Rutas'!A622</f>
        <v>Occidente</v>
      </c>
      <c r="B624" s="781" t="str">
        <f>'Base de datos Rutas'!B622</f>
        <v>Favorita</v>
      </c>
      <c r="C624" s="781" t="str">
        <f>'Base de datos Rutas'!C622</f>
        <v>Suc. Santa Maria</v>
      </c>
      <c r="D624" s="782">
        <f>IF(ISNUMBER('Base de datos Rutas'!D622),'Base de datos Rutas'!D622,"Sin código")</f>
        <v>809374</v>
      </c>
      <c r="E624" s="783" t="str">
        <f>'Base de datos Rutas'!F622</f>
        <v>Activa</v>
      </c>
      <c r="F624" s="784" t="str">
        <f>'Base de datos Rutas'!H622</f>
        <v>No</v>
      </c>
      <c r="G624" s="785" t="str">
        <f>IF(ISNUMBER('Base de datos Rutas'!BE622),'Base de datos Rutas'!BE622,"")</f>
        <v/>
      </c>
      <c r="H624" s="786" t="str">
        <f>IF(ISNUMBER('Base de datos Rutas'!BH622),'Base de datos Rutas'!BH622,"")</f>
        <v/>
      </c>
      <c r="I624" s="788" t="str">
        <f>IFERROR(IF(OR(NOT(ISNUMBER('Base de datos Rutas'!O622)),N('Base de datos Rutas'!BK622)=0),"",'Base de datos Rutas'!O622/('Base de datos Rutas'!L622/'Base de datos Rutas'!BK622)),"")</f>
        <v/>
      </c>
      <c r="J624" s="788" t="str">
        <f>IFERROR(IF(OR(NOT(ISNUMBER('Base de datos Rutas'!N622)),N('Base de datos Rutas'!BK622)=0),"",'Base de datos Rutas'!N622/('Base de datos Rutas'!L622/'Base de datos Rutas'!BK622)),"")</f>
        <v/>
      </c>
      <c r="K624" s="788" t="str">
        <f>IFERROR(IF(OR(NOT(ISNUMBER('Base de datos Rutas'!J622)),N('Base de datos Rutas'!BK622)=0),"",'Base de datos Rutas'!J622/('Base de datos Rutas'!L622/'Base de datos Rutas'!BK622)),"")</f>
        <v/>
      </c>
      <c r="L624" s="788" t="str">
        <f>IFERROR(IF(OR(NOT(ISNUMBER('Base de datos Rutas'!K622)),N('Base de datos Rutas'!BK622)=0),"",'Base de datos Rutas'!K622/('Base de datos Rutas'!L622/'Base de datos Rutas'!BK622)),"")</f>
        <v/>
      </c>
      <c r="M624" s="787">
        <f>IF(ISNUMBER('Base de datos Rutas'!AX622),'Base de datos Rutas'!AX622,"")</f>
        <v>337.120833333333</v>
      </c>
      <c r="N624" s="790">
        <f>IFERROR(INDEX('Hoja de apoyo v2'!B$17:B$20,MATCH($A624,'Hoja de apoyo v2'!$A$17:$A$20,0)),"")</f>
        <v>89.41621024641401</v>
      </c>
      <c r="O624" s="791">
        <f>IFERROR(INDEX('Hoja de apoyo v2'!C$17:C$20,MATCH($A624,'Hoja de apoyo v2'!$A$17:$A$20,0)),"")</f>
        <v>0.54706375874806301</v>
      </c>
      <c r="P624" s="793">
        <f>IFERROR(INDEX('Hoja de apoyo v2'!D$17:D$20,MATCH($A624,'Hoja de apoyo v2'!$A$17:$A$20,0)),"")</f>
        <v>11095.153935793827</v>
      </c>
      <c r="Q624" s="793">
        <f>IFERROR(INDEX('Hoja de apoyo v2'!E$17:E$20,MATCH($A624,'Hoja de apoyo v2'!$A$17:$A$20,0)),"")</f>
        <v>6982.3202019701848</v>
      </c>
      <c r="R624" s="793">
        <f>IFERROR(INDEX('Hoja de apoyo v2'!F$17:F$20,MATCH($A624,'Hoja de apoyo v2'!$A$17:$A$20,0)),"")</f>
        <v>448.09513474485743</v>
      </c>
      <c r="S624" s="793">
        <f>IFERROR(INDEX('Hoja de apoyo v2'!G$17:G$20,MATCH($A624,'Hoja de apoyo v2'!$A$17:$A$20,0)),"")</f>
        <v>83.406300904207839</v>
      </c>
      <c r="T624" s="792">
        <f>IFERROR(INDEX('Hoja de apoyo v2'!H$17:H$20,MATCH($A624,'Hoja de apoyo v2'!$A$17:$A$20,0)),"")</f>
        <v>378.97014028925349</v>
      </c>
      <c r="U624" s="794" t="str">
        <f t="shared" si="328"/>
        <v/>
      </c>
      <c r="V624" s="795" t="str">
        <f t="shared" si="329"/>
        <v/>
      </c>
      <c r="W624" s="795" t="str">
        <f t="shared" si="330"/>
        <v/>
      </c>
      <c r="X624" s="843" t="str">
        <f t="shared" si="331"/>
        <v/>
      </c>
      <c r="Y624" s="843" t="str">
        <f t="shared" si="332"/>
        <v/>
      </c>
      <c r="Z624" s="843" t="str">
        <f t="shared" si="333"/>
        <v/>
      </c>
      <c r="AA624" s="843">
        <f t="shared" si="334"/>
        <v>0.88957096481538489</v>
      </c>
      <c r="AB624" s="796">
        <f t="shared" si="335"/>
        <v>0</v>
      </c>
      <c r="AC624" s="797">
        <f t="shared" si="336"/>
        <v>0</v>
      </c>
      <c r="AD624" s="797">
        <f t="shared" si="337"/>
        <v>0</v>
      </c>
      <c r="AE624" s="842">
        <f t="shared" si="338"/>
        <v>0</v>
      </c>
      <c r="AF624" s="842">
        <f t="shared" si="339"/>
        <v>0</v>
      </c>
      <c r="AG624" s="842">
        <f t="shared" si="340"/>
        <v>0</v>
      </c>
      <c r="AH624" s="842">
        <f t="shared" si="341"/>
        <v>3</v>
      </c>
      <c r="AI624" s="826" cm="1">
        <f t="array" ref="AI624">SUMPRODUCT(--ISNUMBER($U624:$AA624),$AB$3:$AH$3)</f>
        <v>8.9789113613062493E-2</v>
      </c>
      <c r="AJ624" s="829" t="str">
        <f t="shared" si="342"/>
        <v/>
      </c>
      <c r="AK624" s="827" t="str">
        <f t="shared" si="343"/>
        <v>No elegible</v>
      </c>
      <c r="AL624" s="784" t="str">
        <f t="shared" si="344"/>
        <v>n/a</v>
      </c>
      <c r="AM624" s="799">
        <f>IF(ISNUMBER('Base de datos Rutas'!W622),'Base de datos Rutas'!W622,"")</f>
        <v>3293.1144020900269</v>
      </c>
      <c r="AN624" s="787">
        <f>IFERROR(SUMIFS('Base de datos Rutas'!$W$6:$W$794,'Base de datos Rutas'!$C$6:$C$794,$C624)/'Base de datos Rutas'!I622,"")</f>
        <v>3293.1144020900251</v>
      </c>
      <c r="AO624" s="800">
        <f>IFERROR('Base de datos Rutas'!X622*AN624/AM624,"")</f>
        <v>0.47791232590402694</v>
      </c>
      <c r="AP624" s="800">
        <f t="shared" si="345"/>
        <v>0.52208767409597301</v>
      </c>
      <c r="AQ624" s="789">
        <f>IFERROR(INDEX('Hoja de apoyo v2'!$J$17:$J$20,MATCH($A624,'Hoja de apoyo v2'!$A$17:$A$20,0)),"")</f>
        <v>0.64320274048480885</v>
      </c>
      <c r="AR624" s="789">
        <f t="shared" si="346"/>
        <v>-0.12111506638883585</v>
      </c>
      <c r="AS624" s="784" t="str">
        <f t="shared" si="347"/>
        <v>No</v>
      </c>
      <c r="AT624" s="801" t="str">
        <f>IF(ISNUMBER('Base de datos Rutas'!CK622),'Base de datos Rutas'!CK622,"")</f>
        <v/>
      </c>
      <c r="AU624" s="802" t="str">
        <f>IF(ISNUMBER('Base de datos Rutas'!CL622),'Base de datos Rutas'!CL622,"")</f>
        <v/>
      </c>
      <c r="AV624" s="802">
        <f>IF(ISNUMBER('Base de datos Rutas'!CM622),'Base de datos Rutas'!CM622,"")</f>
        <v>0</v>
      </c>
      <c r="AW624" s="802" t="str">
        <f>IF(ISNUMBER('Base de datos Rutas'!CN622),'Base de datos Rutas'!CN622,"")</f>
        <v/>
      </c>
      <c r="AX624" s="802" t="str">
        <f>IF(ISNUMBER('Base de datos Rutas'!CO622),'Base de datos Rutas'!CO622,"")</f>
        <v/>
      </c>
      <c r="AY624" s="802">
        <f>IF(ISNUMBER('Base de datos Rutas'!CP622),'Base de datos Rutas'!CP622,"")</f>
        <v>0</v>
      </c>
      <c r="AZ624" s="802" t="str">
        <f>IF(ISNUMBER('Base de datos Rutas'!CQ622),'Base de datos Rutas'!CQ622,"")</f>
        <v/>
      </c>
      <c r="BA624" s="802" t="str">
        <f>IF(ISNUMBER('Base de datos Rutas'!CR622),'Base de datos Rutas'!CR622,"")</f>
        <v/>
      </c>
      <c r="BB624" s="803">
        <f>IF(ISNUMBER('Base de datos Rutas'!CS622),'Base de datos Rutas'!CS622,"")</f>
        <v>0</v>
      </c>
      <c r="BC624" s="804" t="str">
        <f t="shared" si="357"/>
        <v/>
      </c>
      <c r="BD624" s="805" t="str">
        <f t="shared" si="358"/>
        <v>N/D</v>
      </c>
      <c r="BE624" s="806" t="str">
        <f t="shared" si="359"/>
        <v/>
      </c>
      <c r="BF624" s="890" t="str">
        <f>IF(ISNUMBER('Base de datos Rutas'!CX622),'Base de datos Rutas'!CX622/100,"")</f>
        <v/>
      </c>
      <c r="BG624" s="891" t="str">
        <f>IF(ISNUMBER('Base de datos Rutas'!CZ622),'Base de datos Rutas'!CZ622/100,"")</f>
        <v/>
      </c>
      <c r="BH624" s="892" t="str">
        <f>IF(ISNUMBER('Base de datos Rutas'!DA622),'Base de datos Rutas'!DA622,"")</f>
        <v/>
      </c>
      <c r="BI624" s="893" t="str">
        <f>IF(ISNUMBER('Base de datos Rutas'!DC622),'Base de datos Rutas'!DC622,"")</f>
        <v/>
      </c>
      <c r="BJ624" s="805" t="str">
        <f t="shared" si="360"/>
        <v>Sin dato</v>
      </c>
      <c r="BK624" s="783">
        <f t="shared" si="348"/>
        <v>0</v>
      </c>
      <c r="BL624" s="797">
        <f t="shared" si="349"/>
        <v>0</v>
      </c>
      <c r="BM624" s="797">
        <f t="shared" si="350"/>
        <v>0</v>
      </c>
      <c r="BN624" s="797">
        <f t="shared" si="351"/>
        <v>0</v>
      </c>
      <c r="BO624" s="798" cm="1">
        <f t="array" ref="BO624">SUMPRODUCT(--ISNUMBER($BF624:$BI624),$BK$3:$BN$3)</f>
        <v>0</v>
      </c>
      <c r="BP624" s="831" t="str">
        <f t="shared" si="361"/>
        <v/>
      </c>
      <c r="BQ624" s="834" t="str">
        <f t="shared" si="362"/>
        <v>Sin datos</v>
      </c>
      <c r="BR624" s="836" t="str">
        <f t="shared" si="352"/>
        <v/>
      </c>
      <c r="BS624" s="836" t="str">
        <f t="shared" si="353"/>
        <v/>
      </c>
      <c r="BT624" s="837" t="str">
        <f t="shared" si="354"/>
        <v>Sin datos</v>
      </c>
      <c r="BU624" s="807" t="str">
        <f t="shared" si="363"/>
        <v>No evaluable</v>
      </c>
      <c r="BV624" s="807" t="str">
        <f t="shared" si="355"/>
        <v>No evaluable</v>
      </c>
      <c r="BW624" s="808" t="str">
        <f t="shared" si="356"/>
        <v>Sin datos</v>
      </c>
    </row>
    <row r="625" spans="1:75">
      <c r="A625" s="780" t="str">
        <f>'Base de datos Rutas'!A623</f>
        <v>Occidente</v>
      </c>
      <c r="B625" s="781" t="str">
        <f>'Base de datos Rutas'!B623</f>
        <v>Favorita</v>
      </c>
      <c r="C625" s="781" t="str">
        <f>'Base de datos Rutas'!C623</f>
        <v>Suc. Santa Maria</v>
      </c>
      <c r="D625" s="782">
        <f>IF(ISNUMBER('Base de datos Rutas'!D623),'Base de datos Rutas'!D623,"Sin código")</f>
        <v>809375</v>
      </c>
      <c r="E625" s="783" t="str">
        <f>'Base de datos Rutas'!F623</f>
        <v>Activa</v>
      </c>
      <c r="F625" s="784" t="str">
        <f>'Base de datos Rutas'!H623</f>
        <v>Sí</v>
      </c>
      <c r="G625" s="785">
        <f>IF(ISNUMBER('Base de datos Rutas'!BE623),'Base de datos Rutas'!BE623,"")</f>
        <v>65.974770642201804</v>
      </c>
      <c r="H625" s="786">
        <f>IF(ISNUMBER('Base de datos Rutas'!BH623),'Base de datos Rutas'!BH623,"")</f>
        <v>0.305440639666261</v>
      </c>
      <c r="I625" s="788">
        <f>IFERROR(IF(OR(NOT(ISNUMBER('Base de datos Rutas'!O623)),N('Base de datos Rutas'!BK623)=0),"",'Base de datos Rutas'!O623/('Base de datos Rutas'!L623/'Base de datos Rutas'!BK623)),"")</f>
        <v>2185.0229357798144</v>
      </c>
      <c r="J625" s="788">
        <f>IFERROR(IF(OR(NOT(ISNUMBER('Base de datos Rutas'!N623)),N('Base de datos Rutas'!BK623)=0),"",'Base de datos Rutas'!N623/('Base de datos Rutas'!L623/'Base de datos Rutas'!BK623)),"")</f>
        <v>10071.043577981642</v>
      </c>
      <c r="K625" s="788">
        <f>IFERROR(IF(OR(NOT(ISNUMBER('Base de datos Rutas'!J623)),N('Base de datos Rutas'!BK623)=0),"",'Base de datos Rutas'!J623/('Base de datos Rutas'!L623/'Base de datos Rutas'!BK623)),"")</f>
        <v>687.61125871559568</v>
      </c>
      <c r="L625" s="788">
        <f>IFERROR(IF(OR(NOT(ISNUMBER('Base de datos Rutas'!K623)),N('Base de datos Rutas'!BK623)=0),"",'Base de datos Rutas'!K623/('Base de datos Rutas'!L623/'Base de datos Rutas'!BK623)),"")</f>
        <v>17.074296215596313</v>
      </c>
      <c r="M625" s="787">
        <f>IF(ISNUMBER('Base de datos Rutas'!AX623),'Base de datos Rutas'!AX623,"")</f>
        <v>608.07282381060804</v>
      </c>
      <c r="N625" s="790">
        <f>IFERROR(INDEX('Hoja de apoyo v2'!B$17:B$20,MATCH($A625,'Hoja de apoyo v2'!$A$17:$A$20,0)),"")</f>
        <v>89.41621024641401</v>
      </c>
      <c r="O625" s="791">
        <f>IFERROR(INDEX('Hoja de apoyo v2'!C$17:C$20,MATCH($A625,'Hoja de apoyo v2'!$A$17:$A$20,0)),"")</f>
        <v>0.54706375874806301</v>
      </c>
      <c r="P625" s="793">
        <f>IFERROR(INDEX('Hoja de apoyo v2'!D$17:D$20,MATCH($A625,'Hoja de apoyo v2'!$A$17:$A$20,0)),"")</f>
        <v>11095.153935793827</v>
      </c>
      <c r="Q625" s="793">
        <f>IFERROR(INDEX('Hoja de apoyo v2'!E$17:E$20,MATCH($A625,'Hoja de apoyo v2'!$A$17:$A$20,0)),"")</f>
        <v>6982.3202019701848</v>
      </c>
      <c r="R625" s="793">
        <f>IFERROR(INDEX('Hoja de apoyo v2'!F$17:F$20,MATCH($A625,'Hoja de apoyo v2'!$A$17:$A$20,0)),"")</f>
        <v>448.09513474485743</v>
      </c>
      <c r="S625" s="793">
        <f>IFERROR(INDEX('Hoja de apoyo v2'!G$17:G$20,MATCH($A625,'Hoja de apoyo v2'!$A$17:$A$20,0)),"")</f>
        <v>83.406300904207839</v>
      </c>
      <c r="T625" s="792">
        <f>IFERROR(INDEX('Hoja de apoyo v2'!H$17:H$20,MATCH($A625,'Hoja de apoyo v2'!$A$17:$A$20,0)),"")</f>
        <v>378.97014028925349</v>
      </c>
      <c r="U625" s="794">
        <f t="shared" si="328"/>
        <v>0.73783903903316783</v>
      </c>
      <c r="V625" s="795">
        <f t="shared" si="329"/>
        <v>0.55832731520225654</v>
      </c>
      <c r="W625" s="795">
        <f t="shared" si="330"/>
        <v>0.19693489143316534</v>
      </c>
      <c r="X625" s="843">
        <f t="shared" si="331"/>
        <v>1.4423634675390451</v>
      </c>
      <c r="Y625" s="843">
        <f t="shared" si="332"/>
        <v>1.5345206975012511</v>
      </c>
      <c r="Z625" s="843">
        <f t="shared" si="333"/>
        <v>0.20471230627055559</v>
      </c>
      <c r="AA625" s="843">
        <f t="shared" si="334"/>
        <v>1.6045401976696347</v>
      </c>
      <c r="AB625" s="796">
        <f t="shared" si="335"/>
        <v>2</v>
      </c>
      <c r="AC625" s="797">
        <f t="shared" si="336"/>
        <v>2</v>
      </c>
      <c r="AD625" s="797">
        <f t="shared" si="337"/>
        <v>1</v>
      </c>
      <c r="AE625" s="842">
        <f t="shared" si="338"/>
        <v>5</v>
      </c>
      <c r="AF625" s="842">
        <f t="shared" si="339"/>
        <v>5</v>
      </c>
      <c r="AG625" s="842">
        <f t="shared" si="340"/>
        <v>1</v>
      </c>
      <c r="AH625" s="842">
        <f t="shared" si="341"/>
        <v>5</v>
      </c>
      <c r="AI625" s="826" cm="1">
        <f t="array" ref="AI625">SUMPRODUCT(--ISNUMBER($U625:$AA625),$AB$3:$AH$3)</f>
        <v>1</v>
      </c>
      <c r="AJ625" s="829">
        <f t="shared" si="342"/>
        <v>41.237421758367418</v>
      </c>
      <c r="AK625" s="827" t="str">
        <f t="shared" si="343"/>
        <v>Inmadura</v>
      </c>
      <c r="AL625" s="784" t="str">
        <f t="shared" si="344"/>
        <v>Alta</v>
      </c>
      <c r="AM625" s="799">
        <f>IF(ISNUMBER('Base de datos Rutas'!W623),'Base de datos Rutas'!W623,"")</f>
        <v>3293.1144020900269</v>
      </c>
      <c r="AN625" s="787">
        <f>IFERROR(SUMIFS('Base de datos Rutas'!$W$6:$W$794,'Base de datos Rutas'!$C$6:$C$794,$C625)/'Base de datos Rutas'!I623,"")</f>
        <v>3293.1144020900251</v>
      </c>
      <c r="AO625" s="800">
        <f>IFERROR('Base de datos Rutas'!X623*AN625/AM625,"")</f>
        <v>0.47791232590402694</v>
      </c>
      <c r="AP625" s="800">
        <f t="shared" si="345"/>
        <v>0.52208767409597301</v>
      </c>
      <c r="AQ625" s="789">
        <f>IFERROR(INDEX('Hoja de apoyo v2'!$J$17:$J$20,MATCH($A625,'Hoja de apoyo v2'!$A$17:$A$20,0)),"")</f>
        <v>0.64320274048480885</v>
      </c>
      <c r="AR625" s="789">
        <f t="shared" si="346"/>
        <v>-0.12111506638883585</v>
      </c>
      <c r="AS625" s="784" t="str">
        <f t="shared" si="347"/>
        <v>No</v>
      </c>
      <c r="AT625" s="801">
        <f>IF(ISNUMBER('Base de datos Rutas'!CK623),'Base de datos Rutas'!CK623,"")</f>
        <v>265</v>
      </c>
      <c r="AU625" s="802">
        <f>IF(ISNUMBER('Base de datos Rutas'!CL623),'Base de datos Rutas'!CL623,"")</f>
        <v>302.48</v>
      </c>
      <c r="AV625" s="802">
        <f>IF(ISNUMBER('Base de datos Rutas'!CM623),'Base de datos Rutas'!CM623,"")</f>
        <v>37.480000000000018</v>
      </c>
      <c r="AW625" s="802">
        <f>IF(ISNUMBER('Base de datos Rutas'!CN623),'Base de datos Rutas'!CN623,"")</f>
        <v>8.6199999999999992</v>
      </c>
      <c r="AX625" s="802">
        <f>IF(ISNUMBER('Base de datos Rutas'!CO623),'Base de datos Rutas'!CO623,"")</f>
        <v>9.4499999999999993</v>
      </c>
      <c r="AY625" s="802">
        <f>IF(ISNUMBER('Base de datos Rutas'!CP623),'Base de datos Rutas'!CP623,"")</f>
        <v>0.83000000000000007</v>
      </c>
      <c r="AZ625" s="802">
        <f>IF(ISNUMBER('Base de datos Rutas'!CQ623),'Base de datos Rutas'!CQ623,"")</f>
        <v>846.56</v>
      </c>
      <c r="BA625" s="802">
        <f>IF(ISNUMBER('Base de datos Rutas'!CR623),'Base de datos Rutas'!CR623,"")</f>
        <v>704.69</v>
      </c>
      <c r="BB625" s="803">
        <f>IF(ISNUMBER('Base de datos Rutas'!CS623),'Base de datos Rutas'!CS623,"")</f>
        <v>141.86999999999989</v>
      </c>
      <c r="BC625" s="804">
        <f t="shared" si="357"/>
        <v>0</v>
      </c>
      <c r="BD625" s="805" t="str">
        <f t="shared" si="358"/>
        <v>No saturada</v>
      </c>
      <c r="BE625" s="806">
        <f t="shared" si="359"/>
        <v>0.83241589491589507</v>
      </c>
      <c r="BF625" s="890">
        <f>IF(ISNUMBER('Base de datos Rutas'!CX623),'Base de datos Rutas'!CX623/100,"")</f>
        <v>5.0787523327112769E-2</v>
      </c>
      <c r="BG625" s="891">
        <f>IF(ISNUMBER('Base de datos Rutas'!CZ623),'Base de datos Rutas'!CZ623/100,"")</f>
        <v>5.2785923753665684E-2</v>
      </c>
      <c r="BH625" s="892">
        <f>IF(ISNUMBER('Base de datos Rutas'!DA623),'Base de datos Rutas'!DA623,"")</f>
        <v>17.793468451210273</v>
      </c>
      <c r="BI625" s="893">
        <f>IF(ISNUMBER('Base de datos Rutas'!DC623),'Base de datos Rutas'!DC623,"")</f>
        <v>0.96019205554562248</v>
      </c>
      <c r="BJ625" s="805" t="str">
        <f t="shared" si="360"/>
        <v>Ruta (completo)</v>
      </c>
      <c r="BK625" s="783">
        <f t="shared" si="348"/>
        <v>1</v>
      </c>
      <c r="BL625" s="797">
        <f t="shared" si="349"/>
        <v>1</v>
      </c>
      <c r="BM625" s="797">
        <f t="shared" si="350"/>
        <v>1</v>
      </c>
      <c r="BN625" s="797">
        <f t="shared" si="351"/>
        <v>1</v>
      </c>
      <c r="BO625" s="798" cm="1">
        <f t="array" ref="BO625">SUMPRODUCT(--ISNUMBER($BF625:$BI625),$BK$3:$BN$3)</f>
        <v>1</v>
      </c>
      <c r="BP625" s="831">
        <f t="shared" si="361"/>
        <v>0</v>
      </c>
      <c r="BQ625" s="834" t="str">
        <f t="shared" si="362"/>
        <v>Bajo</v>
      </c>
      <c r="BR625" s="836">
        <f t="shared" si="352"/>
        <v>30.928066318775564</v>
      </c>
      <c r="BS625" s="836">
        <f t="shared" si="353"/>
        <v>0</v>
      </c>
      <c r="BT625" s="837" t="str">
        <f t="shared" si="354"/>
        <v>P2</v>
      </c>
      <c r="BU625" s="807" t="str">
        <f t="shared" si="363"/>
        <v>Con espacio</v>
      </c>
      <c r="BV625" s="807" t="str">
        <f t="shared" si="355"/>
        <v>Zona de bajo potencial</v>
      </c>
      <c r="BW625" s="808" t="str">
        <f t="shared" si="356"/>
        <v>P2 - Mantener</v>
      </c>
    </row>
    <row r="626" spans="1:75">
      <c r="A626" s="780" t="str">
        <f>'Base de datos Rutas'!A624</f>
        <v>Occidente</v>
      </c>
      <c r="B626" s="781" t="str">
        <f>'Base de datos Rutas'!B624</f>
        <v>Favorita</v>
      </c>
      <c r="C626" s="781" t="str">
        <f>'Base de datos Rutas'!C624</f>
        <v>Suc. Santa Maria</v>
      </c>
      <c r="D626" s="782">
        <f>IF(ISNUMBER('Base de datos Rutas'!D624),'Base de datos Rutas'!D624,"Sin código")</f>
        <v>809376</v>
      </c>
      <c r="E626" s="783" t="str">
        <f>'Base de datos Rutas'!F624</f>
        <v>Activa</v>
      </c>
      <c r="F626" s="784" t="str">
        <f>'Base de datos Rutas'!H624</f>
        <v>No</v>
      </c>
      <c r="G626" s="785" t="str">
        <f>IF(ISNUMBER('Base de datos Rutas'!BE624),'Base de datos Rutas'!BE624,"")</f>
        <v/>
      </c>
      <c r="H626" s="786" t="str">
        <f>IF(ISNUMBER('Base de datos Rutas'!BH624),'Base de datos Rutas'!BH624,"")</f>
        <v/>
      </c>
      <c r="I626" s="788" t="str">
        <f>IFERROR(IF(OR(NOT(ISNUMBER('Base de datos Rutas'!O624)),N('Base de datos Rutas'!BK624)=0),"",'Base de datos Rutas'!O624/('Base de datos Rutas'!L624/'Base de datos Rutas'!BK624)),"")</f>
        <v/>
      </c>
      <c r="J626" s="788" t="str">
        <f>IFERROR(IF(OR(NOT(ISNUMBER('Base de datos Rutas'!N624)),N('Base de datos Rutas'!BK624)=0),"",'Base de datos Rutas'!N624/('Base de datos Rutas'!L624/'Base de datos Rutas'!BK624)),"")</f>
        <v/>
      </c>
      <c r="K626" s="788" t="str">
        <f>IFERROR(IF(OR(NOT(ISNUMBER('Base de datos Rutas'!J624)),N('Base de datos Rutas'!BK624)=0),"",'Base de datos Rutas'!J624/('Base de datos Rutas'!L624/'Base de datos Rutas'!BK624)),"")</f>
        <v/>
      </c>
      <c r="L626" s="788" t="str">
        <f>IFERROR(IF(OR(NOT(ISNUMBER('Base de datos Rutas'!K624)),N('Base de datos Rutas'!BK624)=0),"",'Base de datos Rutas'!K624/('Base de datos Rutas'!L624/'Base de datos Rutas'!BK624)),"")</f>
        <v/>
      </c>
      <c r="M626" s="787">
        <f>IF(ISNUMBER('Base de datos Rutas'!AX624),'Base de datos Rutas'!AX624,"")</f>
        <v>326.82</v>
      </c>
      <c r="N626" s="790">
        <f>IFERROR(INDEX('Hoja de apoyo v2'!B$17:B$20,MATCH($A626,'Hoja de apoyo v2'!$A$17:$A$20,0)),"")</f>
        <v>89.41621024641401</v>
      </c>
      <c r="O626" s="791">
        <f>IFERROR(INDEX('Hoja de apoyo v2'!C$17:C$20,MATCH($A626,'Hoja de apoyo v2'!$A$17:$A$20,0)),"")</f>
        <v>0.54706375874806301</v>
      </c>
      <c r="P626" s="793">
        <f>IFERROR(INDEX('Hoja de apoyo v2'!D$17:D$20,MATCH($A626,'Hoja de apoyo v2'!$A$17:$A$20,0)),"")</f>
        <v>11095.153935793827</v>
      </c>
      <c r="Q626" s="793">
        <f>IFERROR(INDEX('Hoja de apoyo v2'!E$17:E$20,MATCH($A626,'Hoja de apoyo v2'!$A$17:$A$20,0)),"")</f>
        <v>6982.3202019701848</v>
      </c>
      <c r="R626" s="793">
        <f>IFERROR(INDEX('Hoja de apoyo v2'!F$17:F$20,MATCH($A626,'Hoja de apoyo v2'!$A$17:$A$20,0)),"")</f>
        <v>448.09513474485743</v>
      </c>
      <c r="S626" s="793">
        <f>IFERROR(INDEX('Hoja de apoyo v2'!G$17:G$20,MATCH($A626,'Hoja de apoyo v2'!$A$17:$A$20,0)),"")</f>
        <v>83.406300904207839</v>
      </c>
      <c r="T626" s="792">
        <f>IFERROR(INDEX('Hoja de apoyo v2'!H$17:H$20,MATCH($A626,'Hoja de apoyo v2'!$A$17:$A$20,0)),"")</f>
        <v>378.97014028925349</v>
      </c>
      <c r="U626" s="794" t="str">
        <f t="shared" si="328"/>
        <v/>
      </c>
      <c r="V626" s="795" t="str">
        <f t="shared" si="329"/>
        <v/>
      </c>
      <c r="W626" s="795" t="str">
        <f t="shared" si="330"/>
        <v/>
      </c>
      <c r="X626" s="843" t="str">
        <f t="shared" si="331"/>
        <v/>
      </c>
      <c r="Y626" s="843" t="str">
        <f t="shared" si="332"/>
        <v/>
      </c>
      <c r="Z626" s="843" t="str">
        <f t="shared" si="333"/>
        <v/>
      </c>
      <c r="AA626" s="843">
        <f t="shared" si="334"/>
        <v>0.86238984356538151</v>
      </c>
      <c r="AB626" s="796">
        <f t="shared" si="335"/>
        <v>0</v>
      </c>
      <c r="AC626" s="797">
        <f t="shared" si="336"/>
        <v>0</v>
      </c>
      <c r="AD626" s="797">
        <f t="shared" si="337"/>
        <v>0</v>
      </c>
      <c r="AE626" s="842">
        <f t="shared" si="338"/>
        <v>0</v>
      </c>
      <c r="AF626" s="842">
        <f t="shared" si="339"/>
        <v>0</v>
      </c>
      <c r="AG626" s="842">
        <f t="shared" si="340"/>
        <v>0</v>
      </c>
      <c r="AH626" s="842">
        <f t="shared" si="341"/>
        <v>3</v>
      </c>
      <c r="AI626" s="826" cm="1">
        <f t="array" ref="AI626">SUMPRODUCT(--ISNUMBER($U626:$AA626),$AB$3:$AH$3)</f>
        <v>8.9789113613062493E-2</v>
      </c>
      <c r="AJ626" s="829" t="str">
        <f t="shared" si="342"/>
        <v/>
      </c>
      <c r="AK626" s="827" t="str">
        <f t="shared" si="343"/>
        <v>No elegible</v>
      </c>
      <c r="AL626" s="784" t="str">
        <f t="shared" si="344"/>
        <v>n/a</v>
      </c>
      <c r="AM626" s="799">
        <f>IF(ISNUMBER('Base de datos Rutas'!W624),'Base de datos Rutas'!W624,"")</f>
        <v>3293.1144020900269</v>
      </c>
      <c r="AN626" s="787">
        <f>IFERROR(SUMIFS('Base de datos Rutas'!$W$6:$W$794,'Base de datos Rutas'!$C$6:$C$794,$C626)/'Base de datos Rutas'!I624,"")</f>
        <v>3293.1144020900251</v>
      </c>
      <c r="AO626" s="800">
        <f>IFERROR('Base de datos Rutas'!X624*AN626/AM626,"")</f>
        <v>0.47791232590402694</v>
      </c>
      <c r="AP626" s="800">
        <f t="shared" si="345"/>
        <v>0.52208767409597301</v>
      </c>
      <c r="AQ626" s="789">
        <f>IFERROR(INDEX('Hoja de apoyo v2'!$J$17:$J$20,MATCH($A626,'Hoja de apoyo v2'!$A$17:$A$20,0)),"")</f>
        <v>0.64320274048480885</v>
      </c>
      <c r="AR626" s="789">
        <f t="shared" si="346"/>
        <v>-0.12111506638883585</v>
      </c>
      <c r="AS626" s="784" t="str">
        <f t="shared" si="347"/>
        <v>No</v>
      </c>
      <c r="AT626" s="801" t="str">
        <f>IF(ISNUMBER('Base de datos Rutas'!CK624),'Base de datos Rutas'!CK624,"")</f>
        <v/>
      </c>
      <c r="AU626" s="802" t="str">
        <f>IF(ISNUMBER('Base de datos Rutas'!CL624),'Base de datos Rutas'!CL624,"")</f>
        <v/>
      </c>
      <c r="AV626" s="802">
        <f>IF(ISNUMBER('Base de datos Rutas'!CM624),'Base de datos Rutas'!CM624,"")</f>
        <v>0</v>
      </c>
      <c r="AW626" s="802" t="str">
        <f>IF(ISNUMBER('Base de datos Rutas'!CN624),'Base de datos Rutas'!CN624,"")</f>
        <v/>
      </c>
      <c r="AX626" s="802" t="str">
        <f>IF(ISNUMBER('Base de datos Rutas'!CO624),'Base de datos Rutas'!CO624,"")</f>
        <v/>
      </c>
      <c r="AY626" s="802">
        <f>IF(ISNUMBER('Base de datos Rutas'!CP624),'Base de datos Rutas'!CP624,"")</f>
        <v>0</v>
      </c>
      <c r="AZ626" s="802" t="str">
        <f>IF(ISNUMBER('Base de datos Rutas'!CQ624),'Base de datos Rutas'!CQ624,"")</f>
        <v/>
      </c>
      <c r="BA626" s="802" t="str">
        <f>IF(ISNUMBER('Base de datos Rutas'!CR624),'Base de datos Rutas'!CR624,"")</f>
        <v/>
      </c>
      <c r="BB626" s="803">
        <f>IF(ISNUMBER('Base de datos Rutas'!CS624),'Base de datos Rutas'!CS624,"")</f>
        <v>0</v>
      </c>
      <c r="BC626" s="804" t="str">
        <f t="shared" si="357"/>
        <v/>
      </c>
      <c r="BD626" s="805" t="str">
        <f t="shared" si="358"/>
        <v>N/D</v>
      </c>
      <c r="BE626" s="806" t="str">
        <f t="shared" si="359"/>
        <v/>
      </c>
      <c r="BF626" s="890" t="str">
        <f>IF(ISNUMBER('Base de datos Rutas'!CX624),'Base de datos Rutas'!CX624/100,"")</f>
        <v/>
      </c>
      <c r="BG626" s="891" t="str">
        <f>IF(ISNUMBER('Base de datos Rutas'!CZ624),'Base de datos Rutas'!CZ624/100,"")</f>
        <v/>
      </c>
      <c r="BH626" s="892" t="str">
        <f>IF(ISNUMBER('Base de datos Rutas'!DA624),'Base de datos Rutas'!DA624,"")</f>
        <v/>
      </c>
      <c r="BI626" s="893" t="str">
        <f>IF(ISNUMBER('Base de datos Rutas'!DC624),'Base de datos Rutas'!DC624,"")</f>
        <v/>
      </c>
      <c r="BJ626" s="805" t="str">
        <f t="shared" si="360"/>
        <v>Sin dato</v>
      </c>
      <c r="BK626" s="783">
        <f t="shared" si="348"/>
        <v>0</v>
      </c>
      <c r="BL626" s="797">
        <f t="shared" si="349"/>
        <v>0</v>
      </c>
      <c r="BM626" s="797">
        <f t="shared" si="350"/>
        <v>0</v>
      </c>
      <c r="BN626" s="797">
        <f t="shared" si="351"/>
        <v>0</v>
      </c>
      <c r="BO626" s="798" cm="1">
        <f t="array" ref="BO626">SUMPRODUCT(--ISNUMBER($BF626:$BI626),$BK$3:$BN$3)</f>
        <v>0</v>
      </c>
      <c r="BP626" s="831" t="str">
        <f t="shared" si="361"/>
        <v/>
      </c>
      <c r="BQ626" s="834" t="str">
        <f t="shared" si="362"/>
        <v>Sin datos</v>
      </c>
      <c r="BR626" s="836" t="str">
        <f t="shared" si="352"/>
        <v/>
      </c>
      <c r="BS626" s="836" t="str">
        <f t="shared" si="353"/>
        <v/>
      </c>
      <c r="BT626" s="837" t="str">
        <f t="shared" si="354"/>
        <v>Sin datos</v>
      </c>
      <c r="BU626" s="807" t="str">
        <f t="shared" si="363"/>
        <v>No evaluable</v>
      </c>
      <c r="BV626" s="807" t="str">
        <f t="shared" si="355"/>
        <v>No evaluable</v>
      </c>
      <c r="BW626" s="808" t="str">
        <f t="shared" si="356"/>
        <v>Sin datos</v>
      </c>
    </row>
    <row r="627" spans="1:75">
      <c r="A627" s="780" t="str">
        <f>'Base de datos Rutas'!A625</f>
        <v>Occidente</v>
      </c>
      <c r="B627" s="781" t="str">
        <f>'Base de datos Rutas'!B625</f>
        <v>Favorita</v>
      </c>
      <c r="C627" s="781" t="str">
        <f>'Base de datos Rutas'!C625</f>
        <v>Suc. Santa Maria</v>
      </c>
      <c r="D627" s="782">
        <f>IF(ISNUMBER('Base de datos Rutas'!D625),'Base de datos Rutas'!D625,"Sin código")</f>
        <v>809377</v>
      </c>
      <c r="E627" s="783" t="str">
        <f>'Base de datos Rutas'!F625</f>
        <v>Activa</v>
      </c>
      <c r="F627" s="784" t="str">
        <f>'Base de datos Rutas'!H625</f>
        <v>Sí</v>
      </c>
      <c r="G627" s="785">
        <f>IF(ISNUMBER('Base de datos Rutas'!BE625),'Base de datos Rutas'!BE625,"")</f>
        <v>73.080091533180806</v>
      </c>
      <c r="H627" s="786">
        <f>IF(ISNUMBER('Base de datos Rutas'!BH625),'Base de datos Rutas'!BH625,"")</f>
        <v>0.25444639278557102</v>
      </c>
      <c r="I627" s="788">
        <f>IFERROR(IF(OR(NOT(ISNUMBER('Base de datos Rutas'!O625)),N('Base de datos Rutas'!BK625)=0),"",'Base de datos Rutas'!O625/('Base de datos Rutas'!L625/'Base de datos Rutas'!BK625)),"")</f>
        <v>3722.0022883295205</v>
      </c>
      <c r="J627" s="788">
        <f>IFERROR(IF(OR(NOT(ISNUMBER('Base de datos Rutas'!N625)),N('Base de datos Rutas'!BK625)=0),"",'Base de datos Rutas'!N625/('Base de datos Rutas'!L625/'Base de datos Rutas'!BK625)),"")</f>
        <v>9427.9542334096132</v>
      </c>
      <c r="K627" s="788">
        <f>IFERROR(IF(OR(NOT(ISNUMBER('Base de datos Rutas'!J625)),N('Base de datos Rutas'!BK625)=0),"",'Base de datos Rutas'!J625/('Base de datos Rutas'!L625/'Base de datos Rutas'!BK625)),"")</f>
        <v>643.09190297482849</v>
      </c>
      <c r="L627" s="788">
        <f>IFERROR(IF(OR(NOT(ISNUMBER('Base de datos Rutas'!K625)),N('Base de datos Rutas'!BK625)=0),"",'Base de datos Rutas'!K625/('Base de datos Rutas'!L625/'Base de datos Rutas'!BK625)),"")</f>
        <v>27.960223169336391</v>
      </c>
      <c r="M627" s="787">
        <f>IF(ISNUMBER('Base de datos Rutas'!AX625),'Base de datos Rutas'!AX625,"")</f>
        <v>707.060967265567</v>
      </c>
      <c r="N627" s="790">
        <f>IFERROR(INDEX('Hoja de apoyo v2'!B$17:B$20,MATCH($A627,'Hoja de apoyo v2'!$A$17:$A$20,0)),"")</f>
        <v>89.41621024641401</v>
      </c>
      <c r="O627" s="791">
        <f>IFERROR(INDEX('Hoja de apoyo v2'!C$17:C$20,MATCH($A627,'Hoja de apoyo v2'!$A$17:$A$20,0)),"")</f>
        <v>0.54706375874806301</v>
      </c>
      <c r="P627" s="793">
        <f>IFERROR(INDEX('Hoja de apoyo v2'!D$17:D$20,MATCH($A627,'Hoja de apoyo v2'!$A$17:$A$20,0)),"")</f>
        <v>11095.153935793827</v>
      </c>
      <c r="Q627" s="793">
        <f>IFERROR(INDEX('Hoja de apoyo v2'!E$17:E$20,MATCH($A627,'Hoja de apoyo v2'!$A$17:$A$20,0)),"")</f>
        <v>6982.3202019701848</v>
      </c>
      <c r="R627" s="793">
        <f>IFERROR(INDEX('Hoja de apoyo v2'!F$17:F$20,MATCH($A627,'Hoja de apoyo v2'!$A$17:$A$20,0)),"")</f>
        <v>448.09513474485743</v>
      </c>
      <c r="S627" s="793">
        <f>IFERROR(INDEX('Hoja de apoyo v2'!G$17:G$20,MATCH($A627,'Hoja de apoyo v2'!$A$17:$A$20,0)),"")</f>
        <v>83.406300904207839</v>
      </c>
      <c r="T627" s="792">
        <f>IFERROR(INDEX('Hoja de apoyo v2'!H$17:H$20,MATCH($A627,'Hoja de apoyo v2'!$A$17:$A$20,0)),"")</f>
        <v>378.97014028925349</v>
      </c>
      <c r="U627" s="794">
        <f t="shared" si="328"/>
        <v>0.81730249282301293</v>
      </c>
      <c r="V627" s="795">
        <f t="shared" si="329"/>
        <v>0.46511286612709096</v>
      </c>
      <c r="W627" s="795">
        <f t="shared" si="330"/>
        <v>0.33546197825359164</v>
      </c>
      <c r="X627" s="843">
        <f t="shared" si="331"/>
        <v>1.3502609391573519</v>
      </c>
      <c r="Y627" s="843">
        <f t="shared" si="332"/>
        <v>1.4351682335069338</v>
      </c>
      <c r="Z627" s="843">
        <f t="shared" si="333"/>
        <v>0.33522914775286239</v>
      </c>
      <c r="AA627" s="843">
        <f t="shared" si="334"/>
        <v>1.865743213240743</v>
      </c>
      <c r="AB627" s="796">
        <f t="shared" si="335"/>
        <v>3</v>
      </c>
      <c r="AC627" s="797">
        <f t="shared" si="336"/>
        <v>1</v>
      </c>
      <c r="AD627" s="797">
        <f t="shared" si="337"/>
        <v>1</v>
      </c>
      <c r="AE627" s="842">
        <f t="shared" si="338"/>
        <v>5</v>
      </c>
      <c r="AF627" s="842">
        <f t="shared" si="339"/>
        <v>5</v>
      </c>
      <c r="AG627" s="842">
        <f t="shared" si="340"/>
        <v>1</v>
      </c>
      <c r="AH627" s="842">
        <f t="shared" si="341"/>
        <v>5</v>
      </c>
      <c r="AI627" s="826" cm="1">
        <f t="array" ref="AI627">SUMPRODUCT(--ISNUMBER($U627:$AA627),$AB$3:$AH$3)</f>
        <v>1</v>
      </c>
      <c r="AJ627" s="829">
        <f t="shared" si="342"/>
        <v>43.388152350613687</v>
      </c>
      <c r="AK627" s="827" t="str">
        <f t="shared" si="343"/>
        <v>Inmadura</v>
      </c>
      <c r="AL627" s="784" t="str">
        <f t="shared" si="344"/>
        <v>Alta</v>
      </c>
      <c r="AM627" s="799">
        <f>IF(ISNUMBER('Base de datos Rutas'!W625),'Base de datos Rutas'!W625,"")</f>
        <v>3293.1144020900269</v>
      </c>
      <c r="AN627" s="787">
        <f>IFERROR(SUMIFS('Base de datos Rutas'!$W$6:$W$794,'Base de datos Rutas'!$C$6:$C$794,$C627)/'Base de datos Rutas'!I625,"")</f>
        <v>3293.1144020900251</v>
      </c>
      <c r="AO627" s="800">
        <f>IFERROR('Base de datos Rutas'!X625*AN627/AM627,"")</f>
        <v>0.47791232590402694</v>
      </c>
      <c r="AP627" s="800">
        <f t="shared" si="345"/>
        <v>0.52208767409597301</v>
      </c>
      <c r="AQ627" s="789">
        <f>IFERROR(INDEX('Hoja de apoyo v2'!$J$17:$J$20,MATCH($A627,'Hoja de apoyo v2'!$A$17:$A$20,0)),"")</f>
        <v>0.64320274048480885</v>
      </c>
      <c r="AR627" s="789">
        <f t="shared" si="346"/>
        <v>-0.12111506638883585</v>
      </c>
      <c r="AS627" s="784" t="str">
        <f t="shared" si="347"/>
        <v>No</v>
      </c>
      <c r="AT627" s="801">
        <f>IF(ISNUMBER('Base de datos Rutas'!CK625),'Base de datos Rutas'!CK625,"")</f>
        <v>400</v>
      </c>
      <c r="AU627" s="802">
        <f>IF(ISNUMBER('Base de datos Rutas'!CL625),'Base de datos Rutas'!CL625,"")</f>
        <v>406.2</v>
      </c>
      <c r="AV627" s="802">
        <f>IF(ISNUMBER('Base de datos Rutas'!CM625),'Base de datos Rutas'!CM625,"")</f>
        <v>6.1999999999999886</v>
      </c>
      <c r="AW627" s="802">
        <f>IF(ISNUMBER('Base de datos Rutas'!CN625),'Base de datos Rutas'!CN625,"")</f>
        <v>10.52</v>
      </c>
      <c r="AX627" s="802">
        <f>IF(ISNUMBER('Base de datos Rutas'!CO625),'Base de datos Rutas'!CO625,"")</f>
        <v>9.4499999999999993</v>
      </c>
      <c r="AY627" s="802">
        <f>IF(ISNUMBER('Base de datos Rutas'!CP625),'Base de datos Rutas'!CP625,"")</f>
        <v>-1.0700000000000003</v>
      </c>
      <c r="AZ627" s="802">
        <f>IF(ISNUMBER('Base de datos Rutas'!CQ625),'Base de datos Rutas'!CQ625,"")</f>
        <v>846.56</v>
      </c>
      <c r="BA627" s="802">
        <f>IF(ISNUMBER('Base de datos Rutas'!CR625),'Base de datos Rutas'!CR625,"")</f>
        <v>671.05</v>
      </c>
      <c r="BB627" s="803">
        <f>IF(ISNUMBER('Base de datos Rutas'!CS625),'Base de datos Rutas'!CS625,"")</f>
        <v>175.51</v>
      </c>
      <c r="BC627" s="804">
        <f t="shared" si="357"/>
        <v>1</v>
      </c>
      <c r="BD627" s="805" t="str">
        <f t="shared" si="358"/>
        <v>Saturada</v>
      </c>
      <c r="BE627" s="806">
        <f t="shared" si="359"/>
        <v>0.79267860517860522</v>
      </c>
      <c r="BF627" s="890">
        <f>IF(ISNUMBER('Base de datos Rutas'!CX625),'Base de datos Rutas'!CX625/100,"")</f>
        <v>4.1630248907467221E-2</v>
      </c>
      <c r="BG627" s="891">
        <f>IF(ISNUMBER('Base de datos Rutas'!CZ625),'Base de datos Rutas'!CZ625/100,"")</f>
        <v>4.1777503325099753E-2</v>
      </c>
      <c r="BH627" s="892">
        <f>IF(ISNUMBER('Base de datos Rutas'!DA625),'Base de datos Rutas'!DA625,"")</f>
        <v>17.366101799564003</v>
      </c>
      <c r="BI627" s="893">
        <f>IF(ISNUMBER('Base de datos Rutas'!DC625),'Base de datos Rutas'!DC625,"")</f>
        <v>0.96508114423583846</v>
      </c>
      <c r="BJ627" s="805" t="str">
        <f t="shared" si="360"/>
        <v>Ruta (completo)</v>
      </c>
      <c r="BK627" s="783">
        <f t="shared" si="348"/>
        <v>1</v>
      </c>
      <c r="BL627" s="797">
        <f t="shared" si="349"/>
        <v>1</v>
      </c>
      <c r="BM627" s="797">
        <f t="shared" si="350"/>
        <v>1</v>
      </c>
      <c r="BN627" s="797">
        <f t="shared" si="351"/>
        <v>1</v>
      </c>
      <c r="BO627" s="798" cm="1">
        <f t="array" ref="BO627">SUMPRODUCT(--ISNUMBER($BF627:$BI627),$BK$3:$BN$3)</f>
        <v>1</v>
      </c>
      <c r="BP627" s="831">
        <f t="shared" si="361"/>
        <v>0</v>
      </c>
      <c r="BQ627" s="834" t="str">
        <f t="shared" si="362"/>
        <v>Bajo</v>
      </c>
      <c r="BR627" s="836">
        <f t="shared" si="352"/>
        <v>57.541114262960264</v>
      </c>
      <c r="BS627" s="836">
        <f t="shared" si="353"/>
        <v>0</v>
      </c>
      <c r="BT627" s="837" t="str">
        <f t="shared" si="354"/>
        <v>P2</v>
      </c>
      <c r="BU627" s="807" t="str">
        <f t="shared" si="363"/>
        <v>Al tope</v>
      </c>
      <c r="BV627" s="807" t="str">
        <f t="shared" si="355"/>
        <v>Zona de bajo potencial</v>
      </c>
      <c r="BW627" s="808" t="str">
        <f t="shared" si="356"/>
        <v>P2 - Mantener</v>
      </c>
    </row>
    <row r="628" spans="1:75">
      <c r="A628" s="780" t="str">
        <f>'Base de datos Rutas'!A626</f>
        <v>Occidente</v>
      </c>
      <c r="B628" s="781" t="str">
        <f>'Base de datos Rutas'!B626</f>
        <v>Favorita</v>
      </c>
      <c r="C628" s="781" t="str">
        <f>'Base de datos Rutas'!C626</f>
        <v>Suc. Santa Maria</v>
      </c>
      <c r="D628" s="782">
        <f>IF(ISNUMBER('Base de datos Rutas'!D626),'Base de datos Rutas'!D626,"Sin código")</f>
        <v>809378</v>
      </c>
      <c r="E628" s="783" t="str">
        <f>'Base de datos Rutas'!F626</f>
        <v>Activa</v>
      </c>
      <c r="F628" s="784" t="str">
        <f>'Base de datos Rutas'!H626</f>
        <v>Sí</v>
      </c>
      <c r="G628" s="785">
        <f>IF(ISNUMBER('Base de datos Rutas'!BE626),'Base de datos Rutas'!BE626,"")</f>
        <v>80.102040816326493</v>
      </c>
      <c r="H628" s="786">
        <f>IF(ISNUMBER('Base de datos Rutas'!BH626),'Base de datos Rutas'!BH626,"")</f>
        <v>0.496475583864119</v>
      </c>
      <c r="I628" s="788">
        <f>IFERROR(IF(OR(NOT(ISNUMBER('Base de datos Rutas'!O626)),N('Base de datos Rutas'!BK626)=0),"",'Base de datos Rutas'!O626/('Base de datos Rutas'!L626/'Base de datos Rutas'!BK626)),"")</f>
        <v>3159.1859410430911</v>
      </c>
      <c r="J628" s="788">
        <f>IFERROR(IF(OR(NOT(ISNUMBER('Base de datos Rutas'!N626)),N('Base de datos Rutas'!BK626)=0),"",'Base de datos Rutas'!N626/('Base de datos Rutas'!L626/'Base de datos Rutas'!BK626)),"")</f>
        <v>7187.49206349208</v>
      </c>
      <c r="K628" s="788">
        <f>IFERROR(IF(OR(NOT(ISNUMBER('Base de datos Rutas'!J626)),N('Base de datos Rutas'!BK626)=0),"",'Base de datos Rutas'!J626/('Base de datos Rutas'!L626/'Base de datos Rutas'!BK626)),"")</f>
        <v>492.48104126984009</v>
      </c>
      <c r="L628" s="788">
        <f>IFERROR(IF(OR(NOT(ISNUMBER('Base de datos Rutas'!K626)),N('Base de datos Rutas'!BK626)=0),"",'Base de datos Rutas'!K626/('Base de datos Rutas'!L626/'Base de datos Rutas'!BK626)),"")</f>
        <v>23.946227607709805</v>
      </c>
      <c r="M628" s="787">
        <f>IF(ISNUMBER('Base de datos Rutas'!AX626),'Base de datos Rutas'!AX626,"")</f>
        <v>260.17149846048602</v>
      </c>
      <c r="N628" s="790">
        <f>IFERROR(INDEX('Hoja de apoyo v2'!B$17:B$20,MATCH($A628,'Hoja de apoyo v2'!$A$17:$A$20,0)),"")</f>
        <v>89.41621024641401</v>
      </c>
      <c r="O628" s="791">
        <f>IFERROR(INDEX('Hoja de apoyo v2'!C$17:C$20,MATCH($A628,'Hoja de apoyo v2'!$A$17:$A$20,0)),"")</f>
        <v>0.54706375874806301</v>
      </c>
      <c r="P628" s="793">
        <f>IFERROR(INDEX('Hoja de apoyo v2'!D$17:D$20,MATCH($A628,'Hoja de apoyo v2'!$A$17:$A$20,0)),"")</f>
        <v>11095.153935793827</v>
      </c>
      <c r="Q628" s="793">
        <f>IFERROR(INDEX('Hoja de apoyo v2'!E$17:E$20,MATCH($A628,'Hoja de apoyo v2'!$A$17:$A$20,0)),"")</f>
        <v>6982.3202019701848</v>
      </c>
      <c r="R628" s="793">
        <f>IFERROR(INDEX('Hoja de apoyo v2'!F$17:F$20,MATCH($A628,'Hoja de apoyo v2'!$A$17:$A$20,0)),"")</f>
        <v>448.09513474485743</v>
      </c>
      <c r="S628" s="793">
        <f>IFERROR(INDEX('Hoja de apoyo v2'!G$17:G$20,MATCH($A628,'Hoja de apoyo v2'!$A$17:$A$20,0)),"")</f>
        <v>83.406300904207839</v>
      </c>
      <c r="T628" s="792">
        <f>IFERROR(INDEX('Hoja de apoyo v2'!H$17:H$20,MATCH($A628,'Hoja de apoyo v2'!$A$17:$A$20,0)),"")</f>
        <v>378.97014028925349</v>
      </c>
      <c r="U628" s="794">
        <f t="shared" si="328"/>
        <v>0.89583354735769449</v>
      </c>
      <c r="V628" s="795">
        <f t="shared" si="329"/>
        <v>0.90752782637308427</v>
      </c>
      <c r="W628" s="795">
        <f t="shared" si="330"/>
        <v>0.28473565660511591</v>
      </c>
      <c r="X628" s="843">
        <f t="shared" si="331"/>
        <v>1.029384481889559</v>
      </c>
      <c r="Y628" s="843">
        <f t="shared" si="332"/>
        <v>1.0990546495227085</v>
      </c>
      <c r="Z628" s="843">
        <f t="shared" si="333"/>
        <v>0.28710334049236946</v>
      </c>
      <c r="AA628" s="843">
        <f t="shared" si="334"/>
        <v>0.68652242169239774</v>
      </c>
      <c r="AB628" s="796">
        <f t="shared" si="335"/>
        <v>3</v>
      </c>
      <c r="AC628" s="797">
        <f t="shared" si="336"/>
        <v>3</v>
      </c>
      <c r="AD628" s="797">
        <f t="shared" si="337"/>
        <v>1</v>
      </c>
      <c r="AE628" s="842">
        <f t="shared" si="338"/>
        <v>4</v>
      </c>
      <c r="AF628" s="842">
        <f t="shared" si="339"/>
        <v>4</v>
      </c>
      <c r="AG628" s="842">
        <f t="shared" si="340"/>
        <v>1</v>
      </c>
      <c r="AH628" s="842">
        <f t="shared" si="341"/>
        <v>2</v>
      </c>
      <c r="AI628" s="826" cm="1">
        <f t="array" ref="AI628">SUMPRODUCT(--ISNUMBER($U628:$AA628),$AB$3:$AH$3)</f>
        <v>1</v>
      </c>
      <c r="AJ628" s="829">
        <f t="shared" si="342"/>
        <v>35.084287843156481</v>
      </c>
      <c r="AK628" s="827" t="str">
        <f t="shared" si="343"/>
        <v>Inmadura</v>
      </c>
      <c r="AL628" s="784" t="str">
        <f t="shared" si="344"/>
        <v>Alta</v>
      </c>
      <c r="AM628" s="799">
        <f>IF(ISNUMBER('Base de datos Rutas'!W626),'Base de datos Rutas'!W626,"")</f>
        <v>3293.1144020900269</v>
      </c>
      <c r="AN628" s="787">
        <f>IFERROR(SUMIFS('Base de datos Rutas'!$W$6:$W$794,'Base de datos Rutas'!$C$6:$C$794,$C628)/'Base de datos Rutas'!I626,"")</f>
        <v>3293.1144020900251</v>
      </c>
      <c r="AO628" s="800">
        <f>IFERROR('Base de datos Rutas'!X626*AN628/AM628,"")</f>
        <v>0.47791232590402694</v>
      </c>
      <c r="AP628" s="800">
        <f t="shared" si="345"/>
        <v>0.52208767409597301</v>
      </c>
      <c r="AQ628" s="789">
        <f>IFERROR(INDEX('Hoja de apoyo v2'!$J$17:$J$20,MATCH($A628,'Hoja de apoyo v2'!$A$17:$A$20,0)),"")</f>
        <v>0.64320274048480885</v>
      </c>
      <c r="AR628" s="789">
        <f t="shared" si="346"/>
        <v>-0.12111506638883585</v>
      </c>
      <c r="AS628" s="784" t="str">
        <f t="shared" si="347"/>
        <v>No</v>
      </c>
      <c r="AT628" s="801">
        <f>IF(ISNUMBER('Base de datos Rutas'!CK626),'Base de datos Rutas'!CK626,"")</f>
        <v>382</v>
      </c>
      <c r="AU628" s="802">
        <f>IF(ISNUMBER('Base de datos Rutas'!CL626),'Base de datos Rutas'!CL626,"")</f>
        <v>442.83</v>
      </c>
      <c r="AV628" s="802">
        <f>IF(ISNUMBER('Base de datos Rutas'!CM626),'Base de datos Rutas'!CM626,"")</f>
        <v>60.829999999999984</v>
      </c>
      <c r="AW628" s="802">
        <f>IF(ISNUMBER('Base de datos Rutas'!CN626),'Base de datos Rutas'!CN626,"")</f>
        <v>7.14</v>
      </c>
      <c r="AX628" s="802">
        <f>IF(ISNUMBER('Base de datos Rutas'!CO626),'Base de datos Rutas'!CO626,"")</f>
        <v>9.4499999999999993</v>
      </c>
      <c r="AY628" s="802">
        <f>IF(ISNUMBER('Base de datos Rutas'!CP626),'Base de datos Rutas'!CP626,"")</f>
        <v>2.3099999999999996</v>
      </c>
      <c r="AZ628" s="802">
        <f>IF(ISNUMBER('Base de datos Rutas'!CQ626),'Base de datos Rutas'!CQ626,"")</f>
        <v>846.56</v>
      </c>
      <c r="BA628" s="802">
        <f>IF(ISNUMBER('Base de datos Rutas'!CR626),'Base de datos Rutas'!CR626,"")</f>
        <v>516.42999999999995</v>
      </c>
      <c r="BB628" s="803">
        <f>IF(ISNUMBER('Base de datos Rutas'!CS626),'Base de datos Rutas'!CS626,"")</f>
        <v>330.13</v>
      </c>
      <c r="BC628" s="804">
        <f t="shared" si="357"/>
        <v>0</v>
      </c>
      <c r="BD628" s="805" t="str">
        <f t="shared" si="358"/>
        <v>No saturada</v>
      </c>
      <c r="BE628" s="806">
        <f t="shared" si="359"/>
        <v>0.61003354753354755</v>
      </c>
      <c r="BF628" s="890">
        <f>IF(ISNUMBER('Base de datos Rutas'!CX626),'Base de datos Rutas'!CX626/100,"")</f>
        <v>7.0870252202977824E-2</v>
      </c>
      <c r="BG628" s="891">
        <f>IF(ISNUMBER('Base de datos Rutas'!CZ626),'Base de datos Rutas'!CZ626/100,"")</f>
        <v>7.456700091157703E-2</v>
      </c>
      <c r="BH628" s="892">
        <f>IF(ISNUMBER('Base de datos Rutas'!DA626),'Base de datos Rutas'!DA626,"")</f>
        <v>82.730143746938538</v>
      </c>
      <c r="BI628" s="893">
        <f>IF(ISNUMBER('Base de datos Rutas'!DC626),'Base de datos Rutas'!DC626,"")</f>
        <v>3.9973764564057634</v>
      </c>
      <c r="BJ628" s="805" t="str">
        <f t="shared" si="360"/>
        <v>Ruta (completo)</v>
      </c>
      <c r="BK628" s="783">
        <f t="shared" si="348"/>
        <v>1</v>
      </c>
      <c r="BL628" s="797">
        <f t="shared" si="349"/>
        <v>1</v>
      </c>
      <c r="BM628" s="797">
        <f t="shared" si="350"/>
        <v>1</v>
      </c>
      <c r="BN628" s="797">
        <f t="shared" si="351"/>
        <v>1</v>
      </c>
      <c r="BO628" s="798" cm="1">
        <f t="array" ref="BO628">SUMPRODUCT(--ISNUMBER($BF628:$BI628),$BK$3:$BN$3)</f>
        <v>1</v>
      </c>
      <c r="BP628" s="831">
        <f t="shared" si="361"/>
        <v>0</v>
      </c>
      <c r="BQ628" s="834" t="str">
        <f t="shared" si="362"/>
        <v>Bajo</v>
      </c>
      <c r="BR628" s="836">
        <f t="shared" si="352"/>
        <v>26.313215882367359</v>
      </c>
      <c r="BS628" s="836">
        <f t="shared" si="353"/>
        <v>0</v>
      </c>
      <c r="BT628" s="837" t="str">
        <f t="shared" si="354"/>
        <v>P4</v>
      </c>
      <c r="BU628" s="807" t="str">
        <f t="shared" si="363"/>
        <v>Con espacio</v>
      </c>
      <c r="BV628" s="807" t="str">
        <f t="shared" si="355"/>
        <v>Zona de bajo potencial</v>
      </c>
      <c r="BW628" s="808" t="str">
        <f t="shared" si="356"/>
        <v>P4 - Evaluar</v>
      </c>
    </row>
    <row r="629" spans="1:75">
      <c r="A629" s="780" t="str">
        <f>'Base de datos Rutas'!A627</f>
        <v>Occidente</v>
      </c>
      <c r="B629" s="781" t="str">
        <f>'Base de datos Rutas'!B627</f>
        <v>Favorita</v>
      </c>
      <c r="C629" s="781" t="str">
        <f>'Base de datos Rutas'!C627</f>
        <v>Suc. Santa Maria</v>
      </c>
      <c r="D629" s="782">
        <f>IF(ISNUMBER('Base de datos Rutas'!D627),'Base de datos Rutas'!D627,"Sin código")</f>
        <v>809379</v>
      </c>
      <c r="E629" s="783" t="str">
        <f>'Base de datos Rutas'!F627</f>
        <v>Activa</v>
      </c>
      <c r="F629" s="784" t="str">
        <f>'Base de datos Rutas'!H627</f>
        <v>Sí</v>
      </c>
      <c r="G629" s="785">
        <f>IF(ISNUMBER('Base de datos Rutas'!BE627),'Base de datos Rutas'!BE627,"")</f>
        <v>95.004535147392303</v>
      </c>
      <c r="H629" s="786">
        <f>IF(ISNUMBER('Base de datos Rutas'!BH627),'Base de datos Rutas'!BH627,"")</f>
        <v>0.63758741676014996</v>
      </c>
      <c r="I629" s="788">
        <f>IFERROR(IF(OR(NOT(ISNUMBER('Base de datos Rutas'!O627)),N('Base de datos Rutas'!BK627)=0),"",'Base de datos Rutas'!O627/('Base de datos Rutas'!L627/'Base de datos Rutas'!BK627)),"")</f>
        <v>5074.1337868480678</v>
      </c>
      <c r="J629" s="788">
        <f>IFERROR(IF(OR(NOT(ISNUMBER('Base de datos Rutas'!N627)),N('Base de datos Rutas'!BK627)=0),"",'Base de datos Rutas'!N627/('Base de datos Rutas'!L627/'Base de datos Rutas'!BK627)),"")</f>
        <v>10711.746031746023</v>
      </c>
      <c r="K629" s="788">
        <f>IFERROR(IF(OR(NOT(ISNUMBER('Base de datos Rutas'!J627)),N('Base de datos Rutas'!BK627)=0),"",'Base de datos Rutas'!J627/('Base de datos Rutas'!L627/'Base de datos Rutas'!BK627)),"")</f>
        <v>730.75023492062974</v>
      </c>
      <c r="L629" s="788">
        <f>IFERROR(IF(OR(NOT(ISNUMBER('Base de datos Rutas'!K627)),N('Base de datos Rutas'!BK627)=0),"",'Base de datos Rutas'!K627/('Base de datos Rutas'!L627/'Base de datos Rutas'!BK627)),"")</f>
        <v>41.21314345578228</v>
      </c>
      <c r="M629" s="787">
        <f>IF(ISNUMBER('Base de datos Rutas'!AX627),'Base de datos Rutas'!AX627,"")</f>
        <v>260.60613371766601</v>
      </c>
      <c r="N629" s="790">
        <f>IFERROR(INDEX('Hoja de apoyo v2'!B$17:B$20,MATCH($A629,'Hoja de apoyo v2'!$A$17:$A$20,0)),"")</f>
        <v>89.41621024641401</v>
      </c>
      <c r="O629" s="791">
        <f>IFERROR(INDEX('Hoja de apoyo v2'!C$17:C$20,MATCH($A629,'Hoja de apoyo v2'!$A$17:$A$20,0)),"")</f>
        <v>0.54706375874806301</v>
      </c>
      <c r="P629" s="793">
        <f>IFERROR(INDEX('Hoja de apoyo v2'!D$17:D$20,MATCH($A629,'Hoja de apoyo v2'!$A$17:$A$20,0)),"")</f>
        <v>11095.153935793827</v>
      </c>
      <c r="Q629" s="793">
        <f>IFERROR(INDEX('Hoja de apoyo v2'!E$17:E$20,MATCH($A629,'Hoja de apoyo v2'!$A$17:$A$20,0)),"")</f>
        <v>6982.3202019701848</v>
      </c>
      <c r="R629" s="793">
        <f>IFERROR(INDEX('Hoja de apoyo v2'!F$17:F$20,MATCH($A629,'Hoja de apoyo v2'!$A$17:$A$20,0)),"")</f>
        <v>448.09513474485743</v>
      </c>
      <c r="S629" s="793">
        <f>IFERROR(INDEX('Hoja de apoyo v2'!G$17:G$20,MATCH($A629,'Hoja de apoyo v2'!$A$17:$A$20,0)),"")</f>
        <v>83.406300904207839</v>
      </c>
      <c r="T629" s="792">
        <f>IFERROR(INDEX('Hoja de apoyo v2'!H$17:H$20,MATCH($A629,'Hoja de apoyo v2'!$A$17:$A$20,0)),"")</f>
        <v>378.97014028925349</v>
      </c>
      <c r="U629" s="794">
        <f t="shared" si="328"/>
        <v>1.062497894795339</v>
      </c>
      <c r="V629" s="795">
        <f t="shared" si="329"/>
        <v>1.1654718605729748</v>
      </c>
      <c r="W629" s="795">
        <f t="shared" si="330"/>
        <v>0.45732883168736566</v>
      </c>
      <c r="X629" s="843">
        <f t="shared" si="331"/>
        <v>1.5341241481196344</v>
      </c>
      <c r="Y629" s="843">
        <f t="shared" si="332"/>
        <v>1.6307926113429336</v>
      </c>
      <c r="Z629" s="843">
        <f t="shared" si="333"/>
        <v>0.49412506020517066</v>
      </c>
      <c r="AA629" s="843">
        <f t="shared" si="334"/>
        <v>0.68766930692416894</v>
      </c>
      <c r="AB629" s="796">
        <f t="shared" si="335"/>
        <v>4</v>
      </c>
      <c r="AC629" s="797">
        <f t="shared" si="336"/>
        <v>4</v>
      </c>
      <c r="AD629" s="797">
        <f t="shared" si="337"/>
        <v>1</v>
      </c>
      <c r="AE629" s="842">
        <f t="shared" si="338"/>
        <v>5</v>
      </c>
      <c r="AF629" s="842">
        <f t="shared" si="339"/>
        <v>5</v>
      </c>
      <c r="AG629" s="842">
        <f t="shared" si="340"/>
        <v>1</v>
      </c>
      <c r="AH629" s="842">
        <f t="shared" si="341"/>
        <v>2</v>
      </c>
      <c r="AI629" s="826" cm="1">
        <f t="array" ref="AI629">SUMPRODUCT(--ISNUMBER($U629:$AA629),$AB$3:$AH$3)</f>
        <v>1</v>
      </c>
      <c r="AJ629" s="829">
        <f t="shared" si="342"/>
        <v>48.336321765442193</v>
      </c>
      <c r="AK629" s="827" t="str">
        <f t="shared" si="343"/>
        <v>En desarrollo</v>
      </c>
      <c r="AL629" s="784" t="str">
        <f t="shared" si="344"/>
        <v>Alta</v>
      </c>
      <c r="AM629" s="799">
        <f>IF(ISNUMBER('Base de datos Rutas'!W627),'Base de datos Rutas'!W627,"")</f>
        <v>3293.1144020900269</v>
      </c>
      <c r="AN629" s="787">
        <f>IFERROR(SUMIFS('Base de datos Rutas'!$W$6:$W$794,'Base de datos Rutas'!$C$6:$C$794,$C629)/'Base de datos Rutas'!I627,"")</f>
        <v>3293.1144020900251</v>
      </c>
      <c r="AO629" s="800">
        <f>IFERROR('Base de datos Rutas'!X627*AN629/AM629,"")</f>
        <v>0.47791232590402694</v>
      </c>
      <c r="AP629" s="800">
        <f t="shared" si="345"/>
        <v>0.52208767409597301</v>
      </c>
      <c r="AQ629" s="789">
        <f>IFERROR(INDEX('Hoja de apoyo v2'!$J$17:$J$20,MATCH($A629,'Hoja de apoyo v2'!$A$17:$A$20,0)),"")</f>
        <v>0.64320274048480885</v>
      </c>
      <c r="AR629" s="789">
        <f t="shared" si="346"/>
        <v>-0.12111506638883585</v>
      </c>
      <c r="AS629" s="784" t="str">
        <f t="shared" si="347"/>
        <v>No</v>
      </c>
      <c r="AT629" s="801">
        <f>IF(ISNUMBER('Base de datos Rutas'!CK627),'Base de datos Rutas'!CK627,"")</f>
        <v>475</v>
      </c>
      <c r="AU629" s="802">
        <f>IF(ISNUMBER('Base de datos Rutas'!CL627),'Base de datos Rutas'!CL627,"")</f>
        <v>543.94000000000005</v>
      </c>
      <c r="AV629" s="802">
        <f>IF(ISNUMBER('Base de datos Rutas'!CM627),'Base de datos Rutas'!CM627,"")</f>
        <v>68.940000000000055</v>
      </c>
      <c r="AW629" s="802">
        <f>IF(ISNUMBER('Base de datos Rutas'!CN627),'Base de datos Rutas'!CN627,"")</f>
        <v>12.91</v>
      </c>
      <c r="AX629" s="802">
        <f>IF(ISNUMBER('Base de datos Rutas'!CO627),'Base de datos Rutas'!CO627,"")</f>
        <v>9.4499999999999993</v>
      </c>
      <c r="AY629" s="802">
        <f>IF(ISNUMBER('Base de datos Rutas'!CP627),'Base de datos Rutas'!CP627,"")</f>
        <v>-3.4600000000000009</v>
      </c>
      <c r="AZ629" s="802">
        <f>IF(ISNUMBER('Base de datos Rutas'!CQ627),'Base de datos Rutas'!CQ627,"")</f>
        <v>846.56</v>
      </c>
      <c r="BA629" s="802">
        <f>IF(ISNUMBER('Base de datos Rutas'!CR627),'Base de datos Rutas'!CR627,"")</f>
        <v>771.96</v>
      </c>
      <c r="BB629" s="803">
        <f>IF(ISNUMBER('Base de datos Rutas'!CS627),'Base de datos Rutas'!CS627,"")</f>
        <v>74.599999999999909</v>
      </c>
      <c r="BC629" s="804">
        <f t="shared" si="357"/>
        <v>1</v>
      </c>
      <c r="BD629" s="805" t="str">
        <f t="shared" si="358"/>
        <v>Saturada</v>
      </c>
      <c r="BE629" s="806">
        <f t="shared" si="359"/>
        <v>0.91187866187866196</v>
      </c>
      <c r="BF629" s="890">
        <f>IF(ISNUMBER('Base de datos Rutas'!CX627),'Base de datos Rutas'!CX627/100,"")</f>
        <v>0.31789217454020918</v>
      </c>
      <c r="BG629" s="891">
        <f>IF(ISNUMBER('Base de datos Rutas'!CZ627),'Base de datos Rutas'!CZ627/100,"")</f>
        <v>0.32410746483952396</v>
      </c>
      <c r="BH629" s="892">
        <f>IF(ISNUMBER('Base de datos Rutas'!DA627),'Base de datos Rutas'!DA627,"")</f>
        <v>158.16951887565025</v>
      </c>
      <c r="BI629" s="893">
        <f>IF(ISNUMBER('Base de datos Rutas'!DC627),'Base de datos Rutas'!DC627,"")</f>
        <v>7.8932769103677645</v>
      </c>
      <c r="BJ629" s="805" t="str">
        <f t="shared" si="360"/>
        <v>Ruta (completo)</v>
      </c>
      <c r="BK629" s="783">
        <f t="shared" si="348"/>
        <v>2</v>
      </c>
      <c r="BL629" s="797">
        <f t="shared" si="349"/>
        <v>2</v>
      </c>
      <c r="BM629" s="797">
        <f t="shared" si="350"/>
        <v>2</v>
      </c>
      <c r="BN629" s="797">
        <f t="shared" si="351"/>
        <v>2</v>
      </c>
      <c r="BO629" s="798" cm="1">
        <f t="array" ref="BO629">SUMPRODUCT(--ISNUMBER($BF629:$BI629),$BK$3:$BN$3)</f>
        <v>1</v>
      </c>
      <c r="BP629" s="831">
        <f t="shared" si="361"/>
        <v>25</v>
      </c>
      <c r="BQ629" s="834" t="str">
        <f t="shared" si="362"/>
        <v>Medio</v>
      </c>
      <c r="BR629" s="836">
        <f t="shared" si="352"/>
        <v>61.252241324081645</v>
      </c>
      <c r="BS629" s="836">
        <f t="shared" si="353"/>
        <v>25</v>
      </c>
      <c r="BT629" s="837" t="str">
        <f t="shared" si="354"/>
        <v>P2</v>
      </c>
      <c r="BU629" s="807" t="str">
        <f t="shared" si="363"/>
        <v>Al tope</v>
      </c>
      <c r="BV629" s="807" t="str">
        <f t="shared" si="355"/>
        <v>Zona de bajo potencial</v>
      </c>
      <c r="BW629" s="808" t="str">
        <f t="shared" si="356"/>
        <v>P2 - Mantener</v>
      </c>
    </row>
    <row r="630" spans="1:75">
      <c r="A630" s="780" t="str">
        <f>'Base de datos Rutas'!A628</f>
        <v>Occidente</v>
      </c>
      <c r="B630" s="781" t="str">
        <f>'Base de datos Rutas'!B628</f>
        <v>Favorita</v>
      </c>
      <c r="C630" s="781" t="str">
        <f>'Base de datos Rutas'!C628</f>
        <v>Suc. Santa Maria</v>
      </c>
      <c r="D630" s="782">
        <f>IF(ISNUMBER('Base de datos Rutas'!D628),'Base de datos Rutas'!D628,"Sin código")</f>
        <v>809380</v>
      </c>
      <c r="E630" s="783" t="str">
        <f>'Base de datos Rutas'!F628</f>
        <v>Activa</v>
      </c>
      <c r="F630" s="784" t="str">
        <f>'Base de datos Rutas'!H628</f>
        <v>Sí</v>
      </c>
      <c r="G630" s="785">
        <f>IF(ISNUMBER('Base de datos Rutas'!BE628),'Base de datos Rutas'!BE628,"")</f>
        <v>66.392694063926896</v>
      </c>
      <c r="H630" s="786">
        <f>IF(ISNUMBER('Base de datos Rutas'!BH628),'Base de datos Rutas'!BH628,"")</f>
        <v>0.45130674002750998</v>
      </c>
      <c r="I630" s="788">
        <f>IFERROR(IF(OR(NOT(ISNUMBER('Base de datos Rutas'!O628)),N('Base de datos Rutas'!BK628)=0),"",'Base de datos Rutas'!O628/('Base de datos Rutas'!L628/'Base de datos Rutas'!BK628)),"")</f>
        <v>1682.5296803652989</v>
      </c>
      <c r="J630" s="788">
        <f>IFERROR(IF(OR(NOT(ISNUMBER('Base de datos Rutas'!N628)),N('Base de datos Rutas'!BK628)=0),"",'Base de datos Rutas'!N628/('Base de datos Rutas'!L628/'Base de datos Rutas'!BK628)),"")</f>
        <v>6102.0570776255781</v>
      </c>
      <c r="K630" s="788">
        <f>IFERROR(IF(OR(NOT(ISNUMBER('Base de datos Rutas'!J628)),N('Base de datos Rutas'!BK628)=0),"",'Base de datos Rutas'!J628/('Base de datos Rutas'!L628/'Base de datos Rutas'!BK628)),"")</f>
        <v>419.19776803653014</v>
      </c>
      <c r="L630" s="788">
        <f>IFERROR(IF(OR(NOT(ISNUMBER('Base de datos Rutas'!K628)),N('Base de datos Rutas'!BK628)=0),"",'Base de datos Rutas'!K628/('Base de datos Rutas'!L628/'Base de datos Rutas'!BK628)),"")</f>
        <v>12.141952908675814</v>
      </c>
      <c r="M630" s="787">
        <f>IF(ISNUMBER('Base de datos Rutas'!AX628),'Base de datos Rutas'!AX628,"")</f>
        <v>259.74137686680899</v>
      </c>
      <c r="N630" s="790">
        <f>IFERROR(INDEX('Hoja de apoyo v2'!B$17:B$20,MATCH($A630,'Hoja de apoyo v2'!$A$17:$A$20,0)),"")</f>
        <v>89.41621024641401</v>
      </c>
      <c r="O630" s="791">
        <f>IFERROR(INDEX('Hoja de apoyo v2'!C$17:C$20,MATCH($A630,'Hoja de apoyo v2'!$A$17:$A$20,0)),"")</f>
        <v>0.54706375874806301</v>
      </c>
      <c r="P630" s="793">
        <f>IFERROR(INDEX('Hoja de apoyo v2'!D$17:D$20,MATCH($A630,'Hoja de apoyo v2'!$A$17:$A$20,0)),"")</f>
        <v>11095.153935793827</v>
      </c>
      <c r="Q630" s="793">
        <f>IFERROR(INDEX('Hoja de apoyo v2'!E$17:E$20,MATCH($A630,'Hoja de apoyo v2'!$A$17:$A$20,0)),"")</f>
        <v>6982.3202019701848</v>
      </c>
      <c r="R630" s="793">
        <f>IFERROR(INDEX('Hoja de apoyo v2'!F$17:F$20,MATCH($A630,'Hoja de apoyo v2'!$A$17:$A$20,0)),"")</f>
        <v>448.09513474485743</v>
      </c>
      <c r="S630" s="793">
        <f>IFERROR(INDEX('Hoja de apoyo v2'!G$17:G$20,MATCH($A630,'Hoja de apoyo v2'!$A$17:$A$20,0)),"")</f>
        <v>83.406300904207839</v>
      </c>
      <c r="T630" s="792">
        <f>IFERROR(INDEX('Hoja de apoyo v2'!H$17:H$20,MATCH($A630,'Hoja de apoyo v2'!$A$17:$A$20,0)),"")</f>
        <v>378.97014028925349</v>
      </c>
      <c r="U630" s="794">
        <f t="shared" si="328"/>
        <v>0.74251295017940599</v>
      </c>
      <c r="V630" s="795">
        <f t="shared" si="329"/>
        <v>0.8249618674435869</v>
      </c>
      <c r="W630" s="795">
        <f t="shared" si="330"/>
        <v>0.15164545621465672</v>
      </c>
      <c r="X630" s="843">
        <f t="shared" si="331"/>
        <v>0.87392971120169693</v>
      </c>
      <c r="Y630" s="843">
        <f t="shared" si="332"/>
        <v>0.93551064390649707</v>
      </c>
      <c r="Z630" s="843">
        <f t="shared" si="333"/>
        <v>0.14557596700782655</v>
      </c>
      <c r="AA630" s="843">
        <f t="shared" si="334"/>
        <v>0.68538744680137142</v>
      </c>
      <c r="AB630" s="796">
        <f t="shared" si="335"/>
        <v>2</v>
      </c>
      <c r="AC630" s="797">
        <f t="shared" si="336"/>
        <v>3</v>
      </c>
      <c r="AD630" s="797">
        <f t="shared" si="337"/>
        <v>1</v>
      </c>
      <c r="AE630" s="842">
        <f t="shared" si="338"/>
        <v>3</v>
      </c>
      <c r="AF630" s="842">
        <f t="shared" si="339"/>
        <v>3</v>
      </c>
      <c r="AG630" s="842">
        <f t="shared" si="340"/>
        <v>1</v>
      </c>
      <c r="AH630" s="842">
        <f t="shared" si="341"/>
        <v>2</v>
      </c>
      <c r="AI630" s="826" cm="1">
        <f t="array" ref="AI630">SUMPRODUCT(--ISNUMBER($U630:$AA630),$AB$3:$AH$3)</f>
        <v>1</v>
      </c>
      <c r="AJ630" s="829">
        <f t="shared" si="342"/>
        <v>24.215159506761246</v>
      </c>
      <c r="AK630" s="827" t="str">
        <f t="shared" si="343"/>
        <v>Inmadura</v>
      </c>
      <c r="AL630" s="784" t="str">
        <f t="shared" si="344"/>
        <v>Alta</v>
      </c>
      <c r="AM630" s="799">
        <f>IF(ISNUMBER('Base de datos Rutas'!W628),'Base de datos Rutas'!W628,"")</f>
        <v>3293.1144020900269</v>
      </c>
      <c r="AN630" s="787">
        <f>IFERROR(SUMIFS('Base de datos Rutas'!$W$6:$W$794,'Base de datos Rutas'!$C$6:$C$794,$C630)/'Base de datos Rutas'!I628,"")</f>
        <v>3293.1144020900251</v>
      </c>
      <c r="AO630" s="800">
        <f>IFERROR('Base de datos Rutas'!X628*AN630/AM630,"")</f>
        <v>0.47791232590402694</v>
      </c>
      <c r="AP630" s="800">
        <f t="shared" si="345"/>
        <v>0.52208767409597301</v>
      </c>
      <c r="AQ630" s="789">
        <f>IFERROR(INDEX('Hoja de apoyo v2'!$J$17:$J$20,MATCH($A630,'Hoja de apoyo v2'!$A$17:$A$20,0)),"")</f>
        <v>0.64320274048480885</v>
      </c>
      <c r="AR630" s="789">
        <f t="shared" si="346"/>
        <v>-0.12111506638883585</v>
      </c>
      <c r="AS630" s="784" t="str">
        <f t="shared" si="347"/>
        <v>No</v>
      </c>
      <c r="AT630" s="801">
        <f>IF(ISNUMBER('Base de datos Rutas'!CK628),'Base de datos Rutas'!CK628,"")</f>
        <v>333</v>
      </c>
      <c r="AU630" s="802">
        <f>IF(ISNUMBER('Base de datos Rutas'!CL628),'Base de datos Rutas'!CL628,"")</f>
        <v>488.78</v>
      </c>
      <c r="AV630" s="802">
        <f>IF(ISNUMBER('Base de datos Rutas'!CM628),'Base de datos Rutas'!CM628,"")</f>
        <v>155.77999999999997</v>
      </c>
      <c r="AW630" s="802">
        <f>IF(ISNUMBER('Base de datos Rutas'!CN628),'Base de datos Rutas'!CN628,"")</f>
        <v>7.78</v>
      </c>
      <c r="AX630" s="802">
        <f>IF(ISNUMBER('Base de datos Rutas'!CO628),'Base de datos Rutas'!CO628,"")</f>
        <v>9.4499999999999993</v>
      </c>
      <c r="AY630" s="802">
        <f>IF(ISNUMBER('Base de datos Rutas'!CP628),'Base de datos Rutas'!CP628,"")</f>
        <v>1.669999999999999</v>
      </c>
      <c r="AZ630" s="802">
        <f>IF(ISNUMBER('Base de datos Rutas'!CQ628),'Base de datos Rutas'!CQ628,"")</f>
        <v>846.56</v>
      </c>
      <c r="BA630" s="802">
        <f>IF(ISNUMBER('Base de datos Rutas'!CR628),'Base de datos Rutas'!CR628,"")</f>
        <v>431.34</v>
      </c>
      <c r="BB630" s="803">
        <f>IF(ISNUMBER('Base de datos Rutas'!CS628),'Base de datos Rutas'!CS628,"")</f>
        <v>415.21999999999997</v>
      </c>
      <c r="BC630" s="804">
        <f t="shared" si="357"/>
        <v>0</v>
      </c>
      <c r="BD630" s="805" t="str">
        <f t="shared" si="358"/>
        <v>No saturada</v>
      </c>
      <c r="BE630" s="806">
        <f t="shared" si="359"/>
        <v>0.50952088452088451</v>
      </c>
      <c r="BF630" s="890">
        <f>IF(ISNUMBER('Base de datos Rutas'!CX628),'Base de datos Rutas'!CX628/100,"")</f>
        <v>0.45565232010759915</v>
      </c>
      <c r="BG630" s="891">
        <f>IF(ISNUMBER('Base de datos Rutas'!CZ628),'Base de datos Rutas'!CZ628/100,"")</f>
        <v>0.48184263618022866</v>
      </c>
      <c r="BH630" s="892">
        <f>IF(ISNUMBER('Base de datos Rutas'!DA628),'Base de datos Rutas'!DA628,"")</f>
        <v>444.947314614878</v>
      </c>
      <c r="BI630" s="893">
        <f>IF(ISNUMBER('Base de datos Rutas'!DC628),'Base de datos Rutas'!DC628,"")</f>
        <v>25.072766384109521</v>
      </c>
      <c r="BJ630" s="805" t="str">
        <f t="shared" si="360"/>
        <v>Ruta (completo)</v>
      </c>
      <c r="BK630" s="783">
        <f t="shared" si="348"/>
        <v>2</v>
      </c>
      <c r="BL630" s="797">
        <f t="shared" si="349"/>
        <v>2</v>
      </c>
      <c r="BM630" s="797">
        <f t="shared" si="350"/>
        <v>2</v>
      </c>
      <c r="BN630" s="797">
        <f t="shared" si="351"/>
        <v>2</v>
      </c>
      <c r="BO630" s="798" cm="1">
        <f t="array" ref="BO630">SUMPRODUCT(--ISNUMBER($BF630:$BI630),$BK$3:$BN$3)</f>
        <v>1</v>
      </c>
      <c r="BP630" s="831">
        <f t="shared" si="361"/>
        <v>25</v>
      </c>
      <c r="BQ630" s="834" t="str">
        <f t="shared" si="362"/>
        <v>Medio</v>
      </c>
      <c r="BR630" s="836">
        <f t="shared" si="352"/>
        <v>18.161369630070936</v>
      </c>
      <c r="BS630" s="836">
        <f t="shared" si="353"/>
        <v>25</v>
      </c>
      <c r="BT630" s="837" t="str">
        <f t="shared" si="354"/>
        <v>P4</v>
      </c>
      <c r="BU630" s="807" t="str">
        <f t="shared" si="363"/>
        <v>Con espacio</v>
      </c>
      <c r="BV630" s="807" t="str">
        <f t="shared" si="355"/>
        <v>Zona de bajo potencial</v>
      </c>
      <c r="BW630" s="808" t="str">
        <f t="shared" si="356"/>
        <v>P4 - Evaluar</v>
      </c>
    </row>
    <row r="631" spans="1:75">
      <c r="A631" s="780" t="str">
        <f>'Base de datos Rutas'!A629</f>
        <v>Occidente</v>
      </c>
      <c r="B631" s="781" t="str">
        <f>'Base de datos Rutas'!B629</f>
        <v>Favorita</v>
      </c>
      <c r="C631" s="781" t="str">
        <f>'Base de datos Rutas'!C629</f>
        <v>Suc. Santa Maria</v>
      </c>
      <c r="D631" s="782">
        <f>IF(ISNUMBER('Base de datos Rutas'!D629),'Base de datos Rutas'!D629,"Sin código")</f>
        <v>809381</v>
      </c>
      <c r="E631" s="783" t="str">
        <f>'Base de datos Rutas'!F629</f>
        <v>Activa</v>
      </c>
      <c r="F631" s="784" t="str">
        <f>'Base de datos Rutas'!H629</f>
        <v>Sí</v>
      </c>
      <c r="G631" s="785">
        <f>IF(ISNUMBER('Base de datos Rutas'!BE629),'Base de datos Rutas'!BE629,"")</f>
        <v>63.549883990719302</v>
      </c>
      <c r="H631" s="786">
        <f>IF(ISNUMBER('Base de datos Rutas'!BH629),'Base de datos Rutas'!BH629,"")</f>
        <v>0.47783862723621801</v>
      </c>
      <c r="I631" s="788">
        <f>IFERROR(IF(OR(NOT(ISNUMBER('Base de datos Rutas'!O629)),N('Base de datos Rutas'!BK629)=0),"",'Base de datos Rutas'!O629/('Base de datos Rutas'!L629/'Base de datos Rutas'!BK629)),"")</f>
        <v>1889.0556844547539</v>
      </c>
      <c r="J631" s="788">
        <f>IFERROR(IF(OR(NOT(ISNUMBER('Base de datos Rutas'!N629)),N('Base de datos Rutas'!BK629)=0),"",'Base de datos Rutas'!N629/('Base de datos Rutas'!L629/'Base de datos Rutas'!BK629)),"")</f>
        <v>6615.4454756380419</v>
      </c>
      <c r="K631" s="788">
        <f>IFERROR(IF(OR(NOT(ISNUMBER('Base de datos Rutas'!J629)),N('Base de datos Rutas'!BK629)=0),"",'Base de datos Rutas'!J629/('Base de datos Rutas'!L629/'Base de datos Rutas'!BK629)),"")</f>
        <v>454.50401670533586</v>
      </c>
      <c r="L631" s="788">
        <f>IFERROR(IF(OR(NOT(ISNUMBER('Base de datos Rutas'!K629)),N('Base de datos Rutas'!BK629)=0),"",'Base de datos Rutas'!K629/('Base de datos Rutas'!L629/'Base de datos Rutas'!BK629)),"")</f>
        <v>14.337453190255202</v>
      </c>
      <c r="M631" s="787">
        <f>IF(ISNUMBER('Base de datos Rutas'!AX629),'Base de datos Rutas'!AX629,"")</f>
        <v>280.06122172982901</v>
      </c>
      <c r="N631" s="790">
        <f>IFERROR(INDEX('Hoja de apoyo v2'!B$17:B$20,MATCH($A631,'Hoja de apoyo v2'!$A$17:$A$20,0)),"")</f>
        <v>89.41621024641401</v>
      </c>
      <c r="O631" s="791">
        <f>IFERROR(INDEX('Hoja de apoyo v2'!C$17:C$20,MATCH($A631,'Hoja de apoyo v2'!$A$17:$A$20,0)),"")</f>
        <v>0.54706375874806301</v>
      </c>
      <c r="P631" s="793">
        <f>IFERROR(INDEX('Hoja de apoyo v2'!D$17:D$20,MATCH($A631,'Hoja de apoyo v2'!$A$17:$A$20,0)),"")</f>
        <v>11095.153935793827</v>
      </c>
      <c r="Q631" s="793">
        <f>IFERROR(INDEX('Hoja de apoyo v2'!E$17:E$20,MATCH($A631,'Hoja de apoyo v2'!$A$17:$A$20,0)),"")</f>
        <v>6982.3202019701848</v>
      </c>
      <c r="R631" s="793">
        <f>IFERROR(INDEX('Hoja de apoyo v2'!F$17:F$20,MATCH($A631,'Hoja de apoyo v2'!$A$17:$A$20,0)),"")</f>
        <v>448.09513474485743</v>
      </c>
      <c r="S631" s="793">
        <f>IFERROR(INDEX('Hoja de apoyo v2'!G$17:G$20,MATCH($A631,'Hoja de apoyo v2'!$A$17:$A$20,0)),"")</f>
        <v>83.406300904207839</v>
      </c>
      <c r="T631" s="792">
        <f>IFERROR(INDEX('Hoja de apoyo v2'!H$17:H$20,MATCH($A631,'Hoja de apoyo v2'!$A$17:$A$20,0)),"")</f>
        <v>378.97014028925349</v>
      </c>
      <c r="U631" s="794">
        <f t="shared" si="328"/>
        <v>0.71071994457814691</v>
      </c>
      <c r="V631" s="795">
        <f t="shared" si="329"/>
        <v>0.87346057857997317</v>
      </c>
      <c r="W631" s="795">
        <f t="shared" si="330"/>
        <v>0.17025952910491071</v>
      </c>
      <c r="X631" s="843">
        <f t="shared" si="331"/>
        <v>0.94745661675203285</v>
      </c>
      <c r="Y631" s="843">
        <f t="shared" si="332"/>
        <v>1.0143025028917745</v>
      </c>
      <c r="Z631" s="843">
        <f t="shared" si="333"/>
        <v>0.1718989217220144</v>
      </c>
      <c r="AA631" s="843">
        <f t="shared" si="334"/>
        <v>0.73900603756293026</v>
      </c>
      <c r="AB631" s="796">
        <f t="shared" si="335"/>
        <v>2</v>
      </c>
      <c r="AC631" s="797">
        <f t="shared" si="336"/>
        <v>3</v>
      </c>
      <c r="AD631" s="797">
        <f t="shared" si="337"/>
        <v>1</v>
      </c>
      <c r="AE631" s="842">
        <f t="shared" si="338"/>
        <v>3</v>
      </c>
      <c r="AF631" s="842">
        <f t="shared" si="339"/>
        <v>4</v>
      </c>
      <c r="AG631" s="842">
        <f t="shared" si="340"/>
        <v>1</v>
      </c>
      <c r="AH631" s="842">
        <f t="shared" si="341"/>
        <v>2</v>
      </c>
      <c r="AI631" s="826" cm="1">
        <f t="array" ref="AI631">SUMPRODUCT(--ISNUMBER($U631:$AA631),$AB$3:$AH$3)</f>
        <v>1</v>
      </c>
      <c r="AJ631" s="829">
        <f t="shared" si="342"/>
        <v>27.141204018801034</v>
      </c>
      <c r="AK631" s="827" t="str">
        <f t="shared" si="343"/>
        <v>Inmadura</v>
      </c>
      <c r="AL631" s="784" t="str">
        <f t="shared" si="344"/>
        <v>Alta</v>
      </c>
      <c r="AM631" s="799">
        <f>IF(ISNUMBER('Base de datos Rutas'!W629),'Base de datos Rutas'!W629,"")</f>
        <v>3293.1144020900269</v>
      </c>
      <c r="AN631" s="787">
        <f>IFERROR(SUMIFS('Base de datos Rutas'!$W$6:$W$794,'Base de datos Rutas'!$C$6:$C$794,$C631)/'Base de datos Rutas'!I629,"")</f>
        <v>3293.1144020900251</v>
      </c>
      <c r="AO631" s="800">
        <f>IFERROR('Base de datos Rutas'!X629*AN631/AM631,"")</f>
        <v>0.47791232590402694</v>
      </c>
      <c r="AP631" s="800">
        <f t="shared" si="345"/>
        <v>0.52208767409597301</v>
      </c>
      <c r="AQ631" s="789">
        <f>IFERROR(INDEX('Hoja de apoyo v2'!$J$17:$J$20,MATCH($A631,'Hoja de apoyo v2'!$A$17:$A$20,0)),"")</f>
        <v>0.64320274048480885</v>
      </c>
      <c r="AR631" s="789">
        <f t="shared" si="346"/>
        <v>-0.12111506638883585</v>
      </c>
      <c r="AS631" s="784" t="str">
        <f t="shared" si="347"/>
        <v>No</v>
      </c>
      <c r="AT631" s="801">
        <f>IF(ISNUMBER('Base de datos Rutas'!CK629),'Base de datos Rutas'!CK629,"")</f>
        <v>369</v>
      </c>
      <c r="AU631" s="802">
        <f>IF(ISNUMBER('Base de datos Rutas'!CL629),'Base de datos Rutas'!CL629,"")</f>
        <v>425.37</v>
      </c>
      <c r="AV631" s="802">
        <f>IF(ISNUMBER('Base de datos Rutas'!CM629),'Base de datos Rutas'!CM629,"")</f>
        <v>56.370000000000005</v>
      </c>
      <c r="AW631" s="802">
        <f>IF(ISNUMBER('Base de datos Rutas'!CN629),'Base de datos Rutas'!CN629,"")</f>
        <v>11.49</v>
      </c>
      <c r="AX631" s="802">
        <f>IF(ISNUMBER('Base de datos Rutas'!CO629),'Base de datos Rutas'!CO629,"")</f>
        <v>9.4499999999999993</v>
      </c>
      <c r="AY631" s="802">
        <f>IF(ISNUMBER('Base de datos Rutas'!CP629),'Base de datos Rutas'!CP629,"")</f>
        <v>-2.0400000000000009</v>
      </c>
      <c r="AZ631" s="802">
        <f>IF(ISNUMBER('Base de datos Rutas'!CQ629),'Base de datos Rutas'!CQ629,"")</f>
        <v>564.37</v>
      </c>
      <c r="BA631" s="802">
        <f>IF(ISNUMBER('Base de datos Rutas'!CR629),'Base de datos Rutas'!CR629,"")</f>
        <v>468.84</v>
      </c>
      <c r="BB631" s="803">
        <f>IF(ISNUMBER('Base de datos Rutas'!CS629),'Base de datos Rutas'!CS629,"")</f>
        <v>95.53000000000003</v>
      </c>
      <c r="BC631" s="804">
        <f t="shared" si="357"/>
        <v>1</v>
      </c>
      <c r="BD631" s="805" t="str">
        <f t="shared" si="358"/>
        <v>Saturada</v>
      </c>
      <c r="BE631" s="806">
        <f t="shared" si="359"/>
        <v>0.83073161224019698</v>
      </c>
      <c r="BF631" s="890">
        <f>IF(ISNUMBER('Base de datos Rutas'!CX629),'Base de datos Rutas'!CX629/100,"")</f>
        <v>0.10192880340798853</v>
      </c>
      <c r="BG631" s="891">
        <f>IF(ISNUMBER('Base de datos Rutas'!CZ629),'Base de datos Rutas'!CZ629/100,"")</f>
        <v>0.10430638154287401</v>
      </c>
      <c r="BH631" s="892">
        <f>IF(ISNUMBER('Base de datos Rutas'!DA629),'Base de datos Rutas'!DA629,"")</f>
        <v>84.319079399984105</v>
      </c>
      <c r="BI631" s="893">
        <f>IF(ISNUMBER('Base de datos Rutas'!DC629),'Base de datos Rutas'!DC629,"")</f>
        <v>4.6380594958126045</v>
      </c>
      <c r="BJ631" s="805" t="str">
        <f t="shared" si="360"/>
        <v>Ruta (completo)</v>
      </c>
      <c r="BK631" s="783">
        <f t="shared" si="348"/>
        <v>1</v>
      </c>
      <c r="BL631" s="797">
        <f t="shared" si="349"/>
        <v>1</v>
      </c>
      <c r="BM631" s="797">
        <f t="shared" si="350"/>
        <v>1</v>
      </c>
      <c r="BN631" s="797">
        <f t="shared" si="351"/>
        <v>1</v>
      </c>
      <c r="BO631" s="798" cm="1">
        <f t="array" ref="BO631">SUMPRODUCT(--ISNUMBER($BF631:$BI631),$BK$3:$BN$3)</f>
        <v>1</v>
      </c>
      <c r="BP631" s="831">
        <f t="shared" si="361"/>
        <v>0</v>
      </c>
      <c r="BQ631" s="834" t="str">
        <f t="shared" si="362"/>
        <v>Bajo</v>
      </c>
      <c r="BR631" s="836">
        <f t="shared" si="352"/>
        <v>45.355903014100775</v>
      </c>
      <c r="BS631" s="836">
        <f t="shared" si="353"/>
        <v>0</v>
      </c>
      <c r="BT631" s="837" t="str">
        <f t="shared" si="354"/>
        <v>P2</v>
      </c>
      <c r="BU631" s="807" t="str">
        <f t="shared" si="363"/>
        <v>Al tope</v>
      </c>
      <c r="BV631" s="807" t="str">
        <f t="shared" si="355"/>
        <v>Zona de bajo potencial</v>
      </c>
      <c r="BW631" s="808" t="str">
        <f t="shared" si="356"/>
        <v>P2 - Mantener</v>
      </c>
    </row>
    <row r="632" spans="1:75">
      <c r="A632" s="780" t="str">
        <f>'Base de datos Rutas'!A630</f>
        <v>Occidente</v>
      </c>
      <c r="B632" s="781" t="str">
        <f>'Base de datos Rutas'!B630</f>
        <v>Favorita</v>
      </c>
      <c r="C632" s="781" t="str">
        <f>'Base de datos Rutas'!C630</f>
        <v>Suc. Santa Maria</v>
      </c>
      <c r="D632" s="782">
        <f>IF(ISNUMBER('Base de datos Rutas'!D630),'Base de datos Rutas'!D630,"Sin código")</f>
        <v>809382</v>
      </c>
      <c r="E632" s="783" t="str">
        <f>'Base de datos Rutas'!F630</f>
        <v>Inactiva</v>
      </c>
      <c r="F632" s="784" t="str">
        <f>'Base de datos Rutas'!H630</f>
        <v>No</v>
      </c>
      <c r="G632" s="785" t="str">
        <f>IF(ISNUMBER('Base de datos Rutas'!BE630),'Base de datos Rutas'!BE630,"")</f>
        <v/>
      </c>
      <c r="H632" s="786" t="str">
        <f>IF(ISNUMBER('Base de datos Rutas'!BH630),'Base de datos Rutas'!BH630,"")</f>
        <v/>
      </c>
      <c r="I632" s="788" t="str">
        <f>IFERROR(IF(OR(NOT(ISNUMBER('Base de datos Rutas'!O630)),N('Base de datos Rutas'!BK630)=0),"",'Base de datos Rutas'!O630/('Base de datos Rutas'!L630/'Base de datos Rutas'!BK630)),"")</f>
        <v/>
      </c>
      <c r="J632" s="788" t="str">
        <f>IFERROR(IF(OR(NOT(ISNUMBER('Base de datos Rutas'!N630)),N('Base de datos Rutas'!BK630)=0),"",'Base de datos Rutas'!N630/('Base de datos Rutas'!L630/'Base de datos Rutas'!BK630)),"")</f>
        <v/>
      </c>
      <c r="K632" s="788" t="str">
        <f>IFERROR(IF(OR(NOT(ISNUMBER('Base de datos Rutas'!J630)),N('Base de datos Rutas'!BK630)=0),"",'Base de datos Rutas'!J630/('Base de datos Rutas'!L630/'Base de datos Rutas'!BK630)),"")</f>
        <v/>
      </c>
      <c r="L632" s="788" t="str">
        <f>IFERROR(IF(OR(NOT(ISNUMBER('Base de datos Rutas'!K630)),N('Base de datos Rutas'!BK630)=0),"",'Base de datos Rutas'!K630/('Base de datos Rutas'!L630/'Base de datos Rutas'!BK630)),"")</f>
        <v/>
      </c>
      <c r="M632" s="787">
        <f>IF(ISNUMBER('Base de datos Rutas'!AX630),'Base de datos Rutas'!AX630,"")</f>
        <v>242.857142857143</v>
      </c>
      <c r="N632" s="790">
        <f>IFERROR(INDEX('Hoja de apoyo v2'!B$17:B$20,MATCH($A632,'Hoja de apoyo v2'!$A$17:$A$20,0)),"")</f>
        <v>89.41621024641401</v>
      </c>
      <c r="O632" s="791">
        <f>IFERROR(INDEX('Hoja de apoyo v2'!C$17:C$20,MATCH($A632,'Hoja de apoyo v2'!$A$17:$A$20,0)),"")</f>
        <v>0.54706375874806301</v>
      </c>
      <c r="P632" s="793">
        <f>IFERROR(INDEX('Hoja de apoyo v2'!D$17:D$20,MATCH($A632,'Hoja de apoyo v2'!$A$17:$A$20,0)),"")</f>
        <v>11095.153935793827</v>
      </c>
      <c r="Q632" s="793">
        <f>IFERROR(INDEX('Hoja de apoyo v2'!E$17:E$20,MATCH($A632,'Hoja de apoyo v2'!$A$17:$A$20,0)),"")</f>
        <v>6982.3202019701848</v>
      </c>
      <c r="R632" s="793">
        <f>IFERROR(INDEX('Hoja de apoyo v2'!F$17:F$20,MATCH($A632,'Hoja de apoyo v2'!$A$17:$A$20,0)),"")</f>
        <v>448.09513474485743</v>
      </c>
      <c r="S632" s="793">
        <f>IFERROR(INDEX('Hoja de apoyo v2'!G$17:G$20,MATCH($A632,'Hoja de apoyo v2'!$A$17:$A$20,0)),"")</f>
        <v>83.406300904207839</v>
      </c>
      <c r="T632" s="792">
        <f>IFERROR(INDEX('Hoja de apoyo v2'!H$17:H$20,MATCH($A632,'Hoja de apoyo v2'!$A$17:$A$20,0)),"")</f>
        <v>378.97014028925349</v>
      </c>
      <c r="U632" s="794" t="str">
        <f t="shared" si="328"/>
        <v/>
      </c>
      <c r="V632" s="795" t="str">
        <f t="shared" si="329"/>
        <v/>
      </c>
      <c r="W632" s="795" t="str">
        <f t="shared" si="330"/>
        <v/>
      </c>
      <c r="X632" s="843" t="str">
        <f t="shared" si="331"/>
        <v/>
      </c>
      <c r="Y632" s="843" t="str">
        <f t="shared" si="332"/>
        <v/>
      </c>
      <c r="Z632" s="843" t="str">
        <f t="shared" si="333"/>
        <v/>
      </c>
      <c r="AA632" s="843">
        <f t="shared" si="334"/>
        <v>0.64083450657030494</v>
      </c>
      <c r="AB632" s="796">
        <f t="shared" si="335"/>
        <v>0</v>
      </c>
      <c r="AC632" s="797">
        <f t="shared" si="336"/>
        <v>0</v>
      </c>
      <c r="AD632" s="797">
        <f t="shared" si="337"/>
        <v>0</v>
      </c>
      <c r="AE632" s="842">
        <f t="shared" si="338"/>
        <v>0</v>
      </c>
      <c r="AF632" s="842">
        <f t="shared" si="339"/>
        <v>0</v>
      </c>
      <c r="AG632" s="842">
        <f t="shared" si="340"/>
        <v>0</v>
      </c>
      <c r="AH632" s="842">
        <f t="shared" si="341"/>
        <v>2</v>
      </c>
      <c r="AI632" s="826" cm="1">
        <f t="array" ref="AI632">SUMPRODUCT(--ISNUMBER($U632:$AA632),$AB$3:$AH$3)</f>
        <v>8.9789113613062493E-2</v>
      </c>
      <c r="AJ632" s="829" t="str">
        <f t="shared" si="342"/>
        <v/>
      </c>
      <c r="AK632" s="827" t="str">
        <f t="shared" si="343"/>
        <v>Ruta inactiva</v>
      </c>
      <c r="AL632" s="784" t="str">
        <f t="shared" si="344"/>
        <v>n/a</v>
      </c>
      <c r="AM632" s="799">
        <f>IF(ISNUMBER('Base de datos Rutas'!W630),'Base de datos Rutas'!W630,"")</f>
        <v>3293.1144020900269</v>
      </c>
      <c r="AN632" s="787">
        <f>IFERROR(SUMIFS('Base de datos Rutas'!$W$6:$W$794,'Base de datos Rutas'!$C$6:$C$794,$C632)/'Base de datos Rutas'!I630,"")</f>
        <v>3293.1144020900251</v>
      </c>
      <c r="AO632" s="800">
        <f>IFERROR('Base de datos Rutas'!X630*AN632/AM632,"")</f>
        <v>0.47791232590402694</v>
      </c>
      <c r="AP632" s="800">
        <f t="shared" si="345"/>
        <v>0.52208767409597301</v>
      </c>
      <c r="AQ632" s="789">
        <f>IFERROR(INDEX('Hoja de apoyo v2'!$J$17:$J$20,MATCH($A632,'Hoja de apoyo v2'!$A$17:$A$20,0)),"")</f>
        <v>0.64320274048480885</v>
      </c>
      <c r="AR632" s="789">
        <f t="shared" si="346"/>
        <v>-0.12111506638883585</v>
      </c>
      <c r="AS632" s="784" t="str">
        <f t="shared" si="347"/>
        <v>No</v>
      </c>
      <c r="AT632" s="801" t="str">
        <f>IF(ISNUMBER('Base de datos Rutas'!CK630),'Base de datos Rutas'!CK630,"")</f>
        <v/>
      </c>
      <c r="AU632" s="802" t="str">
        <f>IF(ISNUMBER('Base de datos Rutas'!CL630),'Base de datos Rutas'!CL630,"")</f>
        <v/>
      </c>
      <c r="AV632" s="802">
        <f>IF(ISNUMBER('Base de datos Rutas'!CM630),'Base de datos Rutas'!CM630,"")</f>
        <v>0</v>
      </c>
      <c r="AW632" s="802" t="str">
        <f>IF(ISNUMBER('Base de datos Rutas'!CN630),'Base de datos Rutas'!CN630,"")</f>
        <v/>
      </c>
      <c r="AX632" s="802" t="str">
        <f>IF(ISNUMBER('Base de datos Rutas'!CO630),'Base de datos Rutas'!CO630,"")</f>
        <v/>
      </c>
      <c r="AY632" s="802">
        <f>IF(ISNUMBER('Base de datos Rutas'!CP630),'Base de datos Rutas'!CP630,"")</f>
        <v>0</v>
      </c>
      <c r="AZ632" s="802" t="str">
        <f>IF(ISNUMBER('Base de datos Rutas'!CQ630),'Base de datos Rutas'!CQ630,"")</f>
        <v/>
      </c>
      <c r="BA632" s="802" t="str">
        <f>IF(ISNUMBER('Base de datos Rutas'!CR630),'Base de datos Rutas'!CR630,"")</f>
        <v/>
      </c>
      <c r="BB632" s="803">
        <f>IF(ISNUMBER('Base de datos Rutas'!CS630),'Base de datos Rutas'!CS630,"")</f>
        <v>0</v>
      </c>
      <c r="BC632" s="804" t="str">
        <f t="shared" si="357"/>
        <v/>
      </c>
      <c r="BD632" s="805" t="str">
        <f t="shared" si="358"/>
        <v>N/D</v>
      </c>
      <c r="BE632" s="806" t="str">
        <f t="shared" si="359"/>
        <v/>
      </c>
      <c r="BF632" s="890" t="str">
        <f>IF(ISNUMBER('Base de datos Rutas'!CX630),'Base de datos Rutas'!CX630/100,"")</f>
        <v/>
      </c>
      <c r="BG632" s="891" t="str">
        <f>IF(ISNUMBER('Base de datos Rutas'!CZ630),'Base de datos Rutas'!CZ630/100,"")</f>
        <v/>
      </c>
      <c r="BH632" s="892" t="str">
        <f>IF(ISNUMBER('Base de datos Rutas'!DA630),'Base de datos Rutas'!DA630,"")</f>
        <v/>
      </c>
      <c r="BI632" s="893" t="str">
        <f>IF(ISNUMBER('Base de datos Rutas'!DC630),'Base de datos Rutas'!DC630,"")</f>
        <v/>
      </c>
      <c r="BJ632" s="805" t="str">
        <f t="shared" si="360"/>
        <v>Sin dato</v>
      </c>
      <c r="BK632" s="783">
        <f t="shared" si="348"/>
        <v>0</v>
      </c>
      <c r="BL632" s="797">
        <f t="shared" si="349"/>
        <v>0</v>
      </c>
      <c r="BM632" s="797">
        <f t="shared" si="350"/>
        <v>0</v>
      </c>
      <c r="BN632" s="797">
        <f t="shared" si="351"/>
        <v>0</v>
      </c>
      <c r="BO632" s="798" cm="1">
        <f t="array" ref="BO632">SUMPRODUCT(--ISNUMBER($BF632:$BI632),$BK$3:$BN$3)</f>
        <v>0</v>
      </c>
      <c r="BP632" s="831" t="str">
        <f t="shared" si="361"/>
        <v/>
      </c>
      <c r="BQ632" s="834" t="str">
        <f t="shared" si="362"/>
        <v>Sin datos</v>
      </c>
      <c r="BR632" s="836" t="str">
        <f t="shared" si="352"/>
        <v/>
      </c>
      <c r="BS632" s="836" t="str">
        <f t="shared" si="353"/>
        <v/>
      </c>
      <c r="BT632" s="837" t="str">
        <f t="shared" si="354"/>
        <v>Sin datos</v>
      </c>
      <c r="BU632" s="807" t="str">
        <f t="shared" si="363"/>
        <v>No evaluable</v>
      </c>
      <c r="BV632" s="807" t="str">
        <f t="shared" si="355"/>
        <v>No evaluable</v>
      </c>
      <c r="BW632" s="808" t="str">
        <f t="shared" si="356"/>
        <v>Sin datos</v>
      </c>
    </row>
    <row r="633" spans="1:75">
      <c r="A633" s="780" t="str">
        <f>'Base de datos Rutas'!A631</f>
        <v>Occidente</v>
      </c>
      <c r="B633" s="781" t="str">
        <f>'Base de datos Rutas'!B631</f>
        <v>Favorita</v>
      </c>
      <c r="C633" s="781" t="str">
        <f>'Base de datos Rutas'!C631</f>
        <v>Suc. Santa Maria</v>
      </c>
      <c r="D633" s="782">
        <f>IF(ISNUMBER('Base de datos Rutas'!D631),'Base de datos Rutas'!D631,"Sin código")</f>
        <v>809383</v>
      </c>
      <c r="E633" s="783" t="str">
        <f>'Base de datos Rutas'!F631</f>
        <v>Inactiva</v>
      </c>
      <c r="F633" s="784" t="str">
        <f>'Base de datos Rutas'!H631</f>
        <v>No</v>
      </c>
      <c r="G633" s="785" t="str">
        <f>IF(ISNUMBER('Base de datos Rutas'!BE631),'Base de datos Rutas'!BE631,"")</f>
        <v/>
      </c>
      <c r="H633" s="786" t="str">
        <f>IF(ISNUMBER('Base de datos Rutas'!BH631),'Base de datos Rutas'!BH631,"")</f>
        <v/>
      </c>
      <c r="I633" s="788" t="str">
        <f>IFERROR(IF(OR(NOT(ISNUMBER('Base de datos Rutas'!O631)),N('Base de datos Rutas'!BK631)=0),"",'Base de datos Rutas'!O631/('Base de datos Rutas'!L631/'Base de datos Rutas'!BK631)),"")</f>
        <v/>
      </c>
      <c r="J633" s="788" t="str">
        <f>IFERROR(IF(OR(NOT(ISNUMBER('Base de datos Rutas'!N631)),N('Base de datos Rutas'!BK631)=0),"",'Base de datos Rutas'!N631/('Base de datos Rutas'!L631/'Base de datos Rutas'!BK631)),"")</f>
        <v/>
      </c>
      <c r="K633" s="788" t="str">
        <f>IFERROR(IF(OR(NOT(ISNUMBER('Base de datos Rutas'!J631)),N('Base de datos Rutas'!BK631)=0),"",'Base de datos Rutas'!J631/('Base de datos Rutas'!L631/'Base de datos Rutas'!BK631)),"")</f>
        <v/>
      </c>
      <c r="L633" s="788" t="str">
        <f>IFERROR(IF(OR(NOT(ISNUMBER('Base de datos Rutas'!K631)),N('Base de datos Rutas'!BK631)=0),"",'Base de datos Rutas'!K631/('Base de datos Rutas'!L631/'Base de datos Rutas'!BK631)),"")</f>
        <v/>
      </c>
      <c r="M633" s="787">
        <f>IF(ISNUMBER('Base de datos Rutas'!AX631),'Base de datos Rutas'!AX631,"")</f>
        <v>66.6666666666667</v>
      </c>
      <c r="N633" s="790">
        <f>IFERROR(INDEX('Hoja de apoyo v2'!B$17:B$20,MATCH($A633,'Hoja de apoyo v2'!$A$17:$A$20,0)),"")</f>
        <v>89.41621024641401</v>
      </c>
      <c r="O633" s="791">
        <f>IFERROR(INDEX('Hoja de apoyo v2'!C$17:C$20,MATCH($A633,'Hoja de apoyo v2'!$A$17:$A$20,0)),"")</f>
        <v>0.54706375874806301</v>
      </c>
      <c r="P633" s="793">
        <f>IFERROR(INDEX('Hoja de apoyo v2'!D$17:D$20,MATCH($A633,'Hoja de apoyo v2'!$A$17:$A$20,0)),"")</f>
        <v>11095.153935793827</v>
      </c>
      <c r="Q633" s="793">
        <f>IFERROR(INDEX('Hoja de apoyo v2'!E$17:E$20,MATCH($A633,'Hoja de apoyo v2'!$A$17:$A$20,0)),"")</f>
        <v>6982.3202019701848</v>
      </c>
      <c r="R633" s="793">
        <f>IFERROR(INDEX('Hoja de apoyo v2'!F$17:F$20,MATCH($A633,'Hoja de apoyo v2'!$A$17:$A$20,0)),"")</f>
        <v>448.09513474485743</v>
      </c>
      <c r="S633" s="793">
        <f>IFERROR(INDEX('Hoja de apoyo v2'!G$17:G$20,MATCH($A633,'Hoja de apoyo v2'!$A$17:$A$20,0)),"")</f>
        <v>83.406300904207839</v>
      </c>
      <c r="T633" s="792">
        <f>IFERROR(INDEX('Hoja de apoyo v2'!H$17:H$20,MATCH($A633,'Hoja de apoyo v2'!$A$17:$A$20,0)),"")</f>
        <v>378.97014028925349</v>
      </c>
      <c r="U633" s="794" t="str">
        <f t="shared" si="328"/>
        <v/>
      </c>
      <c r="V633" s="795" t="str">
        <f t="shared" si="329"/>
        <v/>
      </c>
      <c r="W633" s="795" t="str">
        <f t="shared" si="330"/>
        <v/>
      </c>
      <c r="X633" s="843" t="str">
        <f t="shared" si="331"/>
        <v/>
      </c>
      <c r="Y633" s="843" t="str">
        <f t="shared" si="332"/>
        <v/>
      </c>
      <c r="Z633" s="843" t="str">
        <f t="shared" si="333"/>
        <v/>
      </c>
      <c r="AA633" s="843">
        <f t="shared" si="334"/>
        <v>0.17591535474478959</v>
      </c>
      <c r="AB633" s="796">
        <f t="shared" si="335"/>
        <v>0</v>
      </c>
      <c r="AC633" s="797">
        <f t="shared" si="336"/>
        <v>0</v>
      </c>
      <c r="AD633" s="797">
        <f t="shared" si="337"/>
        <v>0</v>
      </c>
      <c r="AE633" s="842">
        <f t="shared" si="338"/>
        <v>0</v>
      </c>
      <c r="AF633" s="842">
        <f t="shared" si="339"/>
        <v>0</v>
      </c>
      <c r="AG633" s="842">
        <f t="shared" si="340"/>
        <v>0</v>
      </c>
      <c r="AH633" s="842">
        <f t="shared" si="341"/>
        <v>1</v>
      </c>
      <c r="AI633" s="826" cm="1">
        <f t="array" ref="AI633">SUMPRODUCT(--ISNUMBER($U633:$AA633),$AB$3:$AH$3)</f>
        <v>8.9789113613062493E-2</v>
      </c>
      <c r="AJ633" s="829" t="str">
        <f t="shared" si="342"/>
        <v/>
      </c>
      <c r="AK633" s="827" t="str">
        <f t="shared" si="343"/>
        <v>Ruta inactiva</v>
      </c>
      <c r="AL633" s="784" t="str">
        <f t="shared" si="344"/>
        <v>n/a</v>
      </c>
      <c r="AM633" s="799">
        <f>IF(ISNUMBER('Base de datos Rutas'!W631),'Base de datos Rutas'!W631,"")</f>
        <v>3293.1144020900269</v>
      </c>
      <c r="AN633" s="787">
        <f>IFERROR(SUMIFS('Base de datos Rutas'!$W$6:$W$794,'Base de datos Rutas'!$C$6:$C$794,$C633)/'Base de datos Rutas'!I631,"")</f>
        <v>3293.1144020900251</v>
      </c>
      <c r="AO633" s="800">
        <f>IFERROR('Base de datos Rutas'!X631*AN633/AM633,"")</f>
        <v>0.47791232590402694</v>
      </c>
      <c r="AP633" s="800">
        <f t="shared" si="345"/>
        <v>0.52208767409597301</v>
      </c>
      <c r="AQ633" s="789">
        <f>IFERROR(INDEX('Hoja de apoyo v2'!$J$17:$J$20,MATCH($A633,'Hoja de apoyo v2'!$A$17:$A$20,0)),"")</f>
        <v>0.64320274048480885</v>
      </c>
      <c r="AR633" s="789">
        <f t="shared" si="346"/>
        <v>-0.12111506638883585</v>
      </c>
      <c r="AS633" s="784" t="str">
        <f t="shared" si="347"/>
        <v>No</v>
      </c>
      <c r="AT633" s="801" t="str">
        <f>IF(ISNUMBER('Base de datos Rutas'!CK631),'Base de datos Rutas'!CK631,"")</f>
        <v/>
      </c>
      <c r="AU633" s="802" t="str">
        <f>IF(ISNUMBER('Base de datos Rutas'!CL631),'Base de datos Rutas'!CL631,"")</f>
        <v/>
      </c>
      <c r="AV633" s="802">
        <f>IF(ISNUMBER('Base de datos Rutas'!CM631),'Base de datos Rutas'!CM631,"")</f>
        <v>0</v>
      </c>
      <c r="AW633" s="802" t="str">
        <f>IF(ISNUMBER('Base de datos Rutas'!CN631),'Base de datos Rutas'!CN631,"")</f>
        <v/>
      </c>
      <c r="AX633" s="802" t="str">
        <f>IF(ISNUMBER('Base de datos Rutas'!CO631),'Base de datos Rutas'!CO631,"")</f>
        <v/>
      </c>
      <c r="AY633" s="802">
        <f>IF(ISNUMBER('Base de datos Rutas'!CP631),'Base de datos Rutas'!CP631,"")</f>
        <v>0</v>
      </c>
      <c r="AZ633" s="802" t="str">
        <f>IF(ISNUMBER('Base de datos Rutas'!CQ631),'Base de datos Rutas'!CQ631,"")</f>
        <v/>
      </c>
      <c r="BA633" s="802" t="str">
        <f>IF(ISNUMBER('Base de datos Rutas'!CR631),'Base de datos Rutas'!CR631,"")</f>
        <v/>
      </c>
      <c r="BB633" s="803">
        <f>IF(ISNUMBER('Base de datos Rutas'!CS631),'Base de datos Rutas'!CS631,"")</f>
        <v>0</v>
      </c>
      <c r="BC633" s="804" t="str">
        <f t="shared" si="357"/>
        <v/>
      </c>
      <c r="BD633" s="805" t="str">
        <f t="shared" si="358"/>
        <v>N/D</v>
      </c>
      <c r="BE633" s="806" t="str">
        <f t="shared" si="359"/>
        <v/>
      </c>
      <c r="BF633" s="890" t="str">
        <f>IF(ISNUMBER('Base de datos Rutas'!CX631),'Base de datos Rutas'!CX631/100,"")</f>
        <v/>
      </c>
      <c r="BG633" s="891" t="str">
        <f>IF(ISNUMBER('Base de datos Rutas'!CZ631),'Base de datos Rutas'!CZ631/100,"")</f>
        <v/>
      </c>
      <c r="BH633" s="892" t="str">
        <f>IF(ISNUMBER('Base de datos Rutas'!DA631),'Base de datos Rutas'!DA631,"")</f>
        <v/>
      </c>
      <c r="BI633" s="893" t="str">
        <f>IF(ISNUMBER('Base de datos Rutas'!DC631),'Base de datos Rutas'!DC631,"")</f>
        <v/>
      </c>
      <c r="BJ633" s="805" t="str">
        <f t="shared" si="360"/>
        <v>Sin dato</v>
      </c>
      <c r="BK633" s="783">
        <f t="shared" si="348"/>
        <v>0</v>
      </c>
      <c r="BL633" s="797">
        <f t="shared" si="349"/>
        <v>0</v>
      </c>
      <c r="BM633" s="797">
        <f t="shared" si="350"/>
        <v>0</v>
      </c>
      <c r="BN633" s="797">
        <f t="shared" si="351"/>
        <v>0</v>
      </c>
      <c r="BO633" s="798" cm="1">
        <f t="array" ref="BO633">SUMPRODUCT(--ISNUMBER($BF633:$BI633),$BK$3:$BN$3)</f>
        <v>0</v>
      </c>
      <c r="BP633" s="831" t="str">
        <f t="shared" si="361"/>
        <v/>
      </c>
      <c r="BQ633" s="834" t="str">
        <f t="shared" si="362"/>
        <v>Sin datos</v>
      </c>
      <c r="BR633" s="836" t="str">
        <f t="shared" si="352"/>
        <v/>
      </c>
      <c r="BS633" s="836" t="str">
        <f t="shared" si="353"/>
        <v/>
      </c>
      <c r="BT633" s="837" t="str">
        <f t="shared" si="354"/>
        <v>Sin datos</v>
      </c>
      <c r="BU633" s="807" t="str">
        <f t="shared" si="363"/>
        <v>No evaluable</v>
      </c>
      <c r="BV633" s="807" t="str">
        <f t="shared" si="355"/>
        <v>No evaluable</v>
      </c>
      <c r="BW633" s="808" t="str">
        <f t="shared" si="356"/>
        <v>Sin datos</v>
      </c>
    </row>
    <row r="634" spans="1:75">
      <c r="A634" s="780" t="str">
        <f>'Base de datos Rutas'!A632</f>
        <v>Occidente</v>
      </c>
      <c r="B634" s="781" t="str">
        <f>'Base de datos Rutas'!B632</f>
        <v>Favorita</v>
      </c>
      <c r="C634" s="781" t="str">
        <f>'Base de datos Rutas'!C632</f>
        <v>Suc. Santa Maria</v>
      </c>
      <c r="D634" s="782">
        <f>IF(ISNUMBER('Base de datos Rutas'!D632),'Base de datos Rutas'!D632,"Sin código")</f>
        <v>809384</v>
      </c>
      <c r="E634" s="783" t="str">
        <f>'Base de datos Rutas'!F632</f>
        <v>Inactiva</v>
      </c>
      <c r="F634" s="784" t="str">
        <f>'Base de datos Rutas'!H632</f>
        <v>No</v>
      </c>
      <c r="G634" s="785" t="str">
        <f>IF(ISNUMBER('Base de datos Rutas'!BE632),'Base de datos Rutas'!BE632,"")</f>
        <v/>
      </c>
      <c r="H634" s="786" t="str">
        <f>IF(ISNUMBER('Base de datos Rutas'!BH632),'Base de datos Rutas'!BH632,"")</f>
        <v/>
      </c>
      <c r="I634" s="788" t="str">
        <f>IFERROR(IF(OR(NOT(ISNUMBER('Base de datos Rutas'!O632)),N('Base de datos Rutas'!BK632)=0),"",'Base de datos Rutas'!O632/('Base de datos Rutas'!L632/'Base de datos Rutas'!BK632)),"")</f>
        <v/>
      </c>
      <c r="J634" s="788" t="str">
        <f>IFERROR(IF(OR(NOT(ISNUMBER('Base de datos Rutas'!N632)),N('Base de datos Rutas'!BK632)=0),"",'Base de datos Rutas'!N632/('Base de datos Rutas'!L632/'Base de datos Rutas'!BK632)),"")</f>
        <v/>
      </c>
      <c r="K634" s="788" t="str">
        <f>IFERROR(IF(OR(NOT(ISNUMBER('Base de datos Rutas'!J632)),N('Base de datos Rutas'!BK632)=0),"",'Base de datos Rutas'!J632/('Base de datos Rutas'!L632/'Base de datos Rutas'!BK632)),"")</f>
        <v/>
      </c>
      <c r="L634" s="788" t="str">
        <f>IFERROR(IF(OR(NOT(ISNUMBER('Base de datos Rutas'!K632)),N('Base de datos Rutas'!BK632)=0),"",'Base de datos Rutas'!K632/('Base de datos Rutas'!L632/'Base de datos Rutas'!BK632)),"")</f>
        <v/>
      </c>
      <c r="M634" s="787">
        <f>IF(ISNUMBER('Base de datos Rutas'!AX632),'Base de datos Rutas'!AX632,"")</f>
        <v>690.07777777777801</v>
      </c>
      <c r="N634" s="790">
        <f>IFERROR(INDEX('Hoja de apoyo v2'!B$17:B$20,MATCH($A634,'Hoja de apoyo v2'!$A$17:$A$20,0)),"")</f>
        <v>89.41621024641401</v>
      </c>
      <c r="O634" s="791">
        <f>IFERROR(INDEX('Hoja de apoyo v2'!C$17:C$20,MATCH($A634,'Hoja de apoyo v2'!$A$17:$A$20,0)),"")</f>
        <v>0.54706375874806301</v>
      </c>
      <c r="P634" s="793">
        <f>IFERROR(INDEX('Hoja de apoyo v2'!D$17:D$20,MATCH($A634,'Hoja de apoyo v2'!$A$17:$A$20,0)),"")</f>
        <v>11095.153935793827</v>
      </c>
      <c r="Q634" s="793">
        <f>IFERROR(INDEX('Hoja de apoyo v2'!E$17:E$20,MATCH($A634,'Hoja de apoyo v2'!$A$17:$A$20,0)),"")</f>
        <v>6982.3202019701848</v>
      </c>
      <c r="R634" s="793">
        <f>IFERROR(INDEX('Hoja de apoyo v2'!F$17:F$20,MATCH($A634,'Hoja de apoyo v2'!$A$17:$A$20,0)),"")</f>
        <v>448.09513474485743</v>
      </c>
      <c r="S634" s="793">
        <f>IFERROR(INDEX('Hoja de apoyo v2'!G$17:G$20,MATCH($A634,'Hoja de apoyo v2'!$A$17:$A$20,0)),"")</f>
        <v>83.406300904207839</v>
      </c>
      <c r="T634" s="792">
        <f>IFERROR(INDEX('Hoja de apoyo v2'!H$17:H$20,MATCH($A634,'Hoja de apoyo v2'!$A$17:$A$20,0)),"")</f>
        <v>378.97014028925349</v>
      </c>
      <c r="U634" s="794" t="str">
        <f t="shared" si="328"/>
        <v/>
      </c>
      <c r="V634" s="795" t="str">
        <f t="shared" si="329"/>
        <v/>
      </c>
      <c r="W634" s="795" t="str">
        <f t="shared" si="330"/>
        <v/>
      </c>
      <c r="X634" s="843" t="str">
        <f t="shared" si="331"/>
        <v/>
      </c>
      <c r="Y634" s="843" t="str">
        <f t="shared" si="332"/>
        <v/>
      </c>
      <c r="Z634" s="843" t="str">
        <f t="shared" si="333"/>
        <v/>
      </c>
      <c r="AA634" s="843">
        <f t="shared" si="334"/>
        <v>1.8209291561891074</v>
      </c>
      <c r="AB634" s="796">
        <f t="shared" si="335"/>
        <v>0</v>
      </c>
      <c r="AC634" s="797">
        <f t="shared" si="336"/>
        <v>0</v>
      </c>
      <c r="AD634" s="797">
        <f t="shared" si="337"/>
        <v>0</v>
      </c>
      <c r="AE634" s="842">
        <f t="shared" si="338"/>
        <v>0</v>
      </c>
      <c r="AF634" s="842">
        <f t="shared" si="339"/>
        <v>0</v>
      </c>
      <c r="AG634" s="842">
        <f t="shared" si="340"/>
        <v>0</v>
      </c>
      <c r="AH634" s="842">
        <f t="shared" si="341"/>
        <v>5</v>
      </c>
      <c r="AI634" s="826" cm="1">
        <f t="array" ref="AI634">SUMPRODUCT(--ISNUMBER($U634:$AA634),$AB$3:$AH$3)</f>
        <v>8.9789113613062493E-2</v>
      </c>
      <c r="AJ634" s="829" t="str">
        <f t="shared" si="342"/>
        <v/>
      </c>
      <c r="AK634" s="827" t="str">
        <f t="shared" si="343"/>
        <v>Ruta inactiva</v>
      </c>
      <c r="AL634" s="784" t="str">
        <f t="shared" si="344"/>
        <v>n/a</v>
      </c>
      <c r="AM634" s="799">
        <f>IF(ISNUMBER('Base de datos Rutas'!W632),'Base de datos Rutas'!W632,"")</f>
        <v>3293.1144020900269</v>
      </c>
      <c r="AN634" s="787">
        <f>IFERROR(SUMIFS('Base de datos Rutas'!$W$6:$W$794,'Base de datos Rutas'!$C$6:$C$794,$C634)/'Base de datos Rutas'!I632,"")</f>
        <v>3293.1144020900251</v>
      </c>
      <c r="AO634" s="800">
        <f>IFERROR('Base de datos Rutas'!X632*AN634/AM634,"")</f>
        <v>0.47791232590402694</v>
      </c>
      <c r="AP634" s="800">
        <f t="shared" si="345"/>
        <v>0.52208767409597301</v>
      </c>
      <c r="AQ634" s="789">
        <f>IFERROR(INDEX('Hoja de apoyo v2'!$J$17:$J$20,MATCH($A634,'Hoja de apoyo v2'!$A$17:$A$20,0)),"")</f>
        <v>0.64320274048480885</v>
      </c>
      <c r="AR634" s="789">
        <f t="shared" si="346"/>
        <v>-0.12111506638883585</v>
      </c>
      <c r="AS634" s="784" t="str">
        <f t="shared" si="347"/>
        <v>No</v>
      </c>
      <c r="AT634" s="801" t="str">
        <f>IF(ISNUMBER('Base de datos Rutas'!CK632),'Base de datos Rutas'!CK632,"")</f>
        <v/>
      </c>
      <c r="AU634" s="802" t="str">
        <f>IF(ISNUMBER('Base de datos Rutas'!CL632),'Base de datos Rutas'!CL632,"")</f>
        <v/>
      </c>
      <c r="AV634" s="802">
        <f>IF(ISNUMBER('Base de datos Rutas'!CM632),'Base de datos Rutas'!CM632,"")</f>
        <v>0</v>
      </c>
      <c r="AW634" s="802" t="str">
        <f>IF(ISNUMBER('Base de datos Rutas'!CN632),'Base de datos Rutas'!CN632,"")</f>
        <v/>
      </c>
      <c r="AX634" s="802" t="str">
        <f>IF(ISNUMBER('Base de datos Rutas'!CO632),'Base de datos Rutas'!CO632,"")</f>
        <v/>
      </c>
      <c r="AY634" s="802">
        <f>IF(ISNUMBER('Base de datos Rutas'!CP632),'Base de datos Rutas'!CP632,"")</f>
        <v>0</v>
      </c>
      <c r="AZ634" s="802" t="str">
        <f>IF(ISNUMBER('Base de datos Rutas'!CQ632),'Base de datos Rutas'!CQ632,"")</f>
        <v/>
      </c>
      <c r="BA634" s="802" t="str">
        <f>IF(ISNUMBER('Base de datos Rutas'!CR632),'Base de datos Rutas'!CR632,"")</f>
        <v/>
      </c>
      <c r="BB634" s="803">
        <f>IF(ISNUMBER('Base de datos Rutas'!CS632),'Base de datos Rutas'!CS632,"")</f>
        <v>0</v>
      </c>
      <c r="BC634" s="804" t="str">
        <f t="shared" si="357"/>
        <v/>
      </c>
      <c r="BD634" s="805" t="str">
        <f t="shared" si="358"/>
        <v>N/D</v>
      </c>
      <c r="BE634" s="806" t="str">
        <f t="shared" si="359"/>
        <v/>
      </c>
      <c r="BF634" s="890" t="str">
        <f>IF(ISNUMBER('Base de datos Rutas'!CX632),'Base de datos Rutas'!CX632/100,"")</f>
        <v/>
      </c>
      <c r="BG634" s="891" t="str">
        <f>IF(ISNUMBER('Base de datos Rutas'!CZ632),'Base de datos Rutas'!CZ632/100,"")</f>
        <v/>
      </c>
      <c r="BH634" s="892" t="str">
        <f>IF(ISNUMBER('Base de datos Rutas'!DA632),'Base de datos Rutas'!DA632,"")</f>
        <v/>
      </c>
      <c r="BI634" s="893" t="str">
        <f>IF(ISNUMBER('Base de datos Rutas'!DC632),'Base de datos Rutas'!DC632,"")</f>
        <v/>
      </c>
      <c r="BJ634" s="805" t="str">
        <f t="shared" si="360"/>
        <v>Sin dato</v>
      </c>
      <c r="BK634" s="783">
        <f t="shared" si="348"/>
        <v>0</v>
      </c>
      <c r="BL634" s="797">
        <f t="shared" si="349"/>
        <v>0</v>
      </c>
      <c r="BM634" s="797">
        <f t="shared" si="350"/>
        <v>0</v>
      </c>
      <c r="BN634" s="797">
        <f t="shared" si="351"/>
        <v>0</v>
      </c>
      <c r="BO634" s="798" cm="1">
        <f t="array" ref="BO634">SUMPRODUCT(--ISNUMBER($BF634:$BI634),$BK$3:$BN$3)</f>
        <v>0</v>
      </c>
      <c r="BP634" s="831" t="str">
        <f t="shared" si="361"/>
        <v/>
      </c>
      <c r="BQ634" s="834" t="str">
        <f t="shared" si="362"/>
        <v>Sin datos</v>
      </c>
      <c r="BR634" s="836" t="str">
        <f t="shared" si="352"/>
        <v/>
      </c>
      <c r="BS634" s="836" t="str">
        <f t="shared" si="353"/>
        <v/>
      </c>
      <c r="BT634" s="837" t="str">
        <f t="shared" si="354"/>
        <v>Sin datos</v>
      </c>
      <c r="BU634" s="807" t="str">
        <f t="shared" si="363"/>
        <v>No evaluable</v>
      </c>
      <c r="BV634" s="807" t="str">
        <f t="shared" si="355"/>
        <v>No evaluable</v>
      </c>
      <c r="BW634" s="808" t="str">
        <f t="shared" si="356"/>
        <v>Sin datos</v>
      </c>
    </row>
    <row r="635" spans="1:75">
      <c r="A635" s="780" t="str">
        <f>'Base de datos Rutas'!A633</f>
        <v>Occidente</v>
      </c>
      <c r="B635" s="781" t="str">
        <f>'Base de datos Rutas'!B633</f>
        <v>Favorita</v>
      </c>
      <c r="C635" s="781" t="str">
        <f>'Base de datos Rutas'!C633</f>
        <v>Suc. Santa Maria</v>
      </c>
      <c r="D635" s="782">
        <f>IF(ISNUMBER('Base de datos Rutas'!D633),'Base de datos Rutas'!D633,"Sin código")</f>
        <v>809385</v>
      </c>
      <c r="E635" s="783" t="str">
        <f>'Base de datos Rutas'!F633</f>
        <v>Activa</v>
      </c>
      <c r="F635" s="784" t="str">
        <f>'Base de datos Rutas'!H633</f>
        <v>Sí</v>
      </c>
      <c r="G635" s="785">
        <f>IF(ISNUMBER('Base de datos Rutas'!BE633),'Base de datos Rutas'!BE633,"")</f>
        <v>39.424242424242401</v>
      </c>
      <c r="H635" s="786">
        <f>IF(ISNUMBER('Base de datos Rutas'!BH633),'Base de datos Rutas'!BH633,"")</f>
        <v>0.40501389463726101</v>
      </c>
      <c r="I635" s="788">
        <f>IFERROR(IF(OR(NOT(ISNUMBER('Base de datos Rutas'!O633)),N('Base de datos Rutas'!BK633)=0),"",'Base de datos Rutas'!O633/('Base de datos Rutas'!L633/'Base de datos Rutas'!BK633)),"")</f>
        <v>2338.009324009322</v>
      </c>
      <c r="J635" s="788">
        <f>IFERROR(IF(OR(NOT(ISNUMBER('Base de datos Rutas'!N633)),N('Base de datos Rutas'!BK633)=0),"",'Base de datos Rutas'!N633/('Base de datos Rutas'!L633/'Base de datos Rutas'!BK633)),"")</f>
        <v>5635.9230769230726</v>
      </c>
      <c r="K635" s="788">
        <f>IFERROR(IF(OR(NOT(ISNUMBER('Base de datos Rutas'!J633)),N('Base de datos Rutas'!BK633)=0),"",'Base de datos Rutas'!J633/('Base de datos Rutas'!L633/'Base de datos Rutas'!BK633)),"")</f>
        <v>366.25584307925379</v>
      </c>
      <c r="L635" s="788">
        <f>IFERROR(IF(OR(NOT(ISNUMBER('Base de datos Rutas'!K633)),N('Base de datos Rutas'!BK633)=0),"",'Base de datos Rutas'!K633/('Base de datos Rutas'!L633/'Base de datos Rutas'!BK633)),"")</f>
        <v>14.37329219114218</v>
      </c>
      <c r="M635" s="787">
        <f>IF(ISNUMBER('Base de datos Rutas'!AX633),'Base de datos Rutas'!AX633,"")</f>
        <v>473.17989489051098</v>
      </c>
      <c r="N635" s="790">
        <f>IFERROR(INDEX('Hoja de apoyo v2'!B$17:B$20,MATCH($A635,'Hoja de apoyo v2'!$A$17:$A$20,0)),"")</f>
        <v>89.41621024641401</v>
      </c>
      <c r="O635" s="791">
        <f>IFERROR(INDEX('Hoja de apoyo v2'!C$17:C$20,MATCH($A635,'Hoja de apoyo v2'!$A$17:$A$20,0)),"")</f>
        <v>0.54706375874806301</v>
      </c>
      <c r="P635" s="793">
        <f>IFERROR(INDEX('Hoja de apoyo v2'!D$17:D$20,MATCH($A635,'Hoja de apoyo v2'!$A$17:$A$20,0)),"")</f>
        <v>11095.153935793827</v>
      </c>
      <c r="Q635" s="793">
        <f>IFERROR(INDEX('Hoja de apoyo v2'!E$17:E$20,MATCH($A635,'Hoja de apoyo v2'!$A$17:$A$20,0)),"")</f>
        <v>6982.3202019701848</v>
      </c>
      <c r="R635" s="793">
        <f>IFERROR(INDEX('Hoja de apoyo v2'!F$17:F$20,MATCH($A635,'Hoja de apoyo v2'!$A$17:$A$20,0)),"")</f>
        <v>448.09513474485743</v>
      </c>
      <c r="S635" s="793">
        <f>IFERROR(INDEX('Hoja de apoyo v2'!G$17:G$20,MATCH($A635,'Hoja de apoyo v2'!$A$17:$A$20,0)),"")</f>
        <v>83.406300904207839</v>
      </c>
      <c r="T635" s="792">
        <f>IFERROR(INDEX('Hoja de apoyo v2'!H$17:H$20,MATCH($A635,'Hoja de apoyo v2'!$A$17:$A$20,0)),"")</f>
        <v>378.97014028925349</v>
      </c>
      <c r="U635" s="794">
        <f t="shared" si="328"/>
        <v>0.44090710527315696</v>
      </c>
      <c r="V635" s="795">
        <f t="shared" si="329"/>
        <v>0.74034130055356195</v>
      </c>
      <c r="W635" s="795">
        <f t="shared" si="330"/>
        <v>0.21072346878097134</v>
      </c>
      <c r="X635" s="843">
        <f t="shared" si="331"/>
        <v>0.80717052697365521</v>
      </c>
      <c r="Y635" s="843">
        <f t="shared" si="332"/>
        <v>0.81736179369097051</v>
      </c>
      <c r="Z635" s="843">
        <f t="shared" si="333"/>
        <v>0.17232861348988382</v>
      </c>
      <c r="AA635" s="843">
        <f t="shared" si="334"/>
        <v>1.2485941360164967</v>
      </c>
      <c r="AB635" s="796">
        <f t="shared" si="335"/>
        <v>1</v>
      </c>
      <c r="AC635" s="797">
        <f t="shared" si="336"/>
        <v>2</v>
      </c>
      <c r="AD635" s="797">
        <f t="shared" si="337"/>
        <v>1</v>
      </c>
      <c r="AE635" s="842">
        <f t="shared" si="338"/>
        <v>3</v>
      </c>
      <c r="AF635" s="842">
        <f t="shared" si="339"/>
        <v>3</v>
      </c>
      <c r="AG635" s="842">
        <f t="shared" si="340"/>
        <v>1</v>
      </c>
      <c r="AH635" s="842">
        <f t="shared" si="341"/>
        <v>4</v>
      </c>
      <c r="AI635" s="826" cm="1">
        <f t="array" ref="AI635">SUMPRODUCT(--ISNUMBER($U635:$AA635),$AB$3:$AH$3)</f>
        <v>1</v>
      </c>
      <c r="AJ635" s="829">
        <f t="shared" si="342"/>
        <v>21.788073423387143</v>
      </c>
      <c r="AK635" s="827" t="str">
        <f t="shared" si="343"/>
        <v>Inmadura</v>
      </c>
      <c r="AL635" s="784" t="str">
        <f t="shared" si="344"/>
        <v>Alta</v>
      </c>
      <c r="AM635" s="799">
        <f>IF(ISNUMBER('Base de datos Rutas'!W633),'Base de datos Rutas'!W633,"")</f>
        <v>3293.1144020900269</v>
      </c>
      <c r="AN635" s="787">
        <f>IFERROR(SUMIFS('Base de datos Rutas'!$W$6:$W$794,'Base de datos Rutas'!$C$6:$C$794,$C635)/'Base de datos Rutas'!I633,"")</f>
        <v>3293.1144020900251</v>
      </c>
      <c r="AO635" s="800">
        <f>IFERROR('Base de datos Rutas'!X633*AN635/AM635,"")</f>
        <v>0.47791232590402694</v>
      </c>
      <c r="AP635" s="800">
        <f t="shared" si="345"/>
        <v>0.52208767409597301</v>
      </c>
      <c r="AQ635" s="789">
        <f>IFERROR(INDEX('Hoja de apoyo v2'!$J$17:$J$20,MATCH($A635,'Hoja de apoyo v2'!$A$17:$A$20,0)),"")</f>
        <v>0.64320274048480885</v>
      </c>
      <c r="AR635" s="789">
        <f t="shared" si="346"/>
        <v>-0.12111506638883585</v>
      </c>
      <c r="AS635" s="784" t="str">
        <f t="shared" si="347"/>
        <v>No</v>
      </c>
      <c r="AT635" s="801">
        <f>IF(ISNUMBER('Base de datos Rutas'!CK633),'Base de datos Rutas'!CK633,"")</f>
        <v>160</v>
      </c>
      <c r="AU635" s="802">
        <f>IF(ISNUMBER('Base de datos Rutas'!CL633),'Base de datos Rutas'!CL633,"")</f>
        <v>160</v>
      </c>
      <c r="AV635" s="802">
        <f>IF(ISNUMBER('Base de datos Rutas'!CM633),'Base de datos Rutas'!CM633,"")</f>
        <v>0</v>
      </c>
      <c r="AW635" s="802">
        <f>IF(ISNUMBER('Base de datos Rutas'!CN633),'Base de datos Rutas'!CN633,"")</f>
        <v>10.99</v>
      </c>
      <c r="AX635" s="802">
        <f>IF(ISNUMBER('Base de datos Rutas'!CO633),'Base de datos Rutas'!CO633,"")</f>
        <v>9.4499999999999993</v>
      </c>
      <c r="AY635" s="802">
        <f>IF(ISNUMBER('Base de datos Rutas'!CP633),'Base de datos Rutas'!CP633,"")</f>
        <v>-1.5400000000000009</v>
      </c>
      <c r="AZ635" s="802">
        <f>IF(ISNUMBER('Base de datos Rutas'!CQ633),'Base de datos Rutas'!CQ633,"")</f>
        <v>564.37</v>
      </c>
      <c r="BA635" s="802">
        <f>IF(ISNUMBER('Base de datos Rutas'!CR633),'Base de datos Rutas'!CR633,"")</f>
        <v>380.63</v>
      </c>
      <c r="BB635" s="803">
        <f>IF(ISNUMBER('Base de datos Rutas'!CS633),'Base de datos Rutas'!CS633,"")</f>
        <v>183.74</v>
      </c>
      <c r="BC635" s="804">
        <f t="shared" si="357"/>
        <v>2</v>
      </c>
      <c r="BD635" s="805" t="str">
        <f t="shared" si="358"/>
        <v>Saturada</v>
      </c>
      <c r="BE635" s="806">
        <f t="shared" si="359"/>
        <v>0.67443343905593844</v>
      </c>
      <c r="BF635" s="890">
        <f>IF(ISNUMBER('Base de datos Rutas'!CX633),'Base de datos Rutas'!CX633/100,"")</f>
        <v>1</v>
      </c>
      <c r="BG635" s="891">
        <f>IF(ISNUMBER('Base de datos Rutas'!CZ633),'Base de datos Rutas'!CZ633/100,"")</f>
        <v>1</v>
      </c>
      <c r="BH635" s="892">
        <f>IF(ISNUMBER('Base de datos Rutas'!DA633),'Base de datos Rutas'!DA633,"")</f>
        <v>0</v>
      </c>
      <c r="BI635" s="893">
        <f>IF(ISNUMBER('Base de datos Rutas'!DC633),'Base de datos Rutas'!DC633,"")</f>
        <v>0</v>
      </c>
      <c r="BJ635" s="805" t="str">
        <f t="shared" si="360"/>
        <v>Ruta (completo)</v>
      </c>
      <c r="BK635" s="783">
        <f t="shared" si="348"/>
        <v>5</v>
      </c>
      <c r="BL635" s="797">
        <f t="shared" si="349"/>
        <v>3</v>
      </c>
      <c r="BM635" s="797">
        <f t="shared" si="350"/>
        <v>1</v>
      </c>
      <c r="BN635" s="797">
        <f t="shared" si="351"/>
        <v>1</v>
      </c>
      <c r="BO635" s="798" cm="1">
        <f t="array" ref="BO635">SUMPRODUCT(--ISNUMBER($BF635:$BI635),$BK$3:$BN$3)</f>
        <v>1</v>
      </c>
      <c r="BP635" s="831">
        <f t="shared" si="361"/>
        <v>37.5</v>
      </c>
      <c r="BQ635" s="834" t="str">
        <f t="shared" si="362"/>
        <v>Medio</v>
      </c>
      <c r="BR635" s="836">
        <f t="shared" si="352"/>
        <v>41.341055067540353</v>
      </c>
      <c r="BS635" s="836">
        <f t="shared" si="353"/>
        <v>37.5</v>
      </c>
      <c r="BT635" s="837" t="str">
        <f t="shared" si="354"/>
        <v>P2</v>
      </c>
      <c r="BU635" s="807" t="str">
        <f t="shared" si="363"/>
        <v>Al tope</v>
      </c>
      <c r="BV635" s="807" t="str">
        <f t="shared" si="355"/>
        <v>Zona de bajo potencial</v>
      </c>
      <c r="BW635" s="808" t="str">
        <f t="shared" si="356"/>
        <v>P2 - Mantener</v>
      </c>
    </row>
    <row r="636" spans="1:75">
      <c r="A636" s="780" t="str">
        <f>'Base de datos Rutas'!A634</f>
        <v>Occidente</v>
      </c>
      <c r="B636" s="781" t="str">
        <f>'Base de datos Rutas'!B634</f>
        <v>Favorita</v>
      </c>
      <c r="C636" s="781" t="str">
        <f>'Base de datos Rutas'!C634</f>
        <v>Suc. Santa Maria</v>
      </c>
      <c r="D636" s="782">
        <f>IF(ISNUMBER('Base de datos Rutas'!D634),'Base de datos Rutas'!D634,"Sin código")</f>
        <v>809386</v>
      </c>
      <c r="E636" s="783" t="str">
        <f>'Base de datos Rutas'!F634</f>
        <v>Inactiva</v>
      </c>
      <c r="F636" s="784" t="str">
        <f>'Base de datos Rutas'!H634</f>
        <v>No</v>
      </c>
      <c r="G636" s="785" t="str">
        <f>IF(ISNUMBER('Base de datos Rutas'!BE634),'Base de datos Rutas'!BE634,"")</f>
        <v/>
      </c>
      <c r="H636" s="786" t="str">
        <f>IF(ISNUMBER('Base de datos Rutas'!BH634),'Base de datos Rutas'!BH634,"")</f>
        <v/>
      </c>
      <c r="I636" s="788" t="str">
        <f>IFERROR(IF(OR(NOT(ISNUMBER('Base de datos Rutas'!O634)),N('Base de datos Rutas'!BK634)=0),"",'Base de datos Rutas'!O634/('Base de datos Rutas'!L634/'Base de datos Rutas'!BK634)),"")</f>
        <v/>
      </c>
      <c r="J636" s="788" t="str">
        <f>IFERROR(IF(OR(NOT(ISNUMBER('Base de datos Rutas'!N634)),N('Base de datos Rutas'!BK634)=0),"",'Base de datos Rutas'!N634/('Base de datos Rutas'!L634/'Base de datos Rutas'!BK634)),"")</f>
        <v/>
      </c>
      <c r="K636" s="788" t="str">
        <f>IFERROR(IF(OR(NOT(ISNUMBER('Base de datos Rutas'!J634)),N('Base de datos Rutas'!BK634)=0),"",'Base de datos Rutas'!J634/('Base de datos Rutas'!L634/'Base de datos Rutas'!BK634)),"")</f>
        <v/>
      </c>
      <c r="L636" s="788" t="str">
        <f>IFERROR(IF(OR(NOT(ISNUMBER('Base de datos Rutas'!K634)),N('Base de datos Rutas'!BK634)=0),"",'Base de datos Rutas'!K634/('Base de datos Rutas'!L634/'Base de datos Rutas'!BK634)),"")</f>
        <v/>
      </c>
      <c r="M636" s="787">
        <f>IF(ISNUMBER('Base de datos Rutas'!AX634),'Base de datos Rutas'!AX634,"")</f>
        <v>571.90966101694903</v>
      </c>
      <c r="N636" s="790">
        <f>IFERROR(INDEX('Hoja de apoyo v2'!B$17:B$20,MATCH($A636,'Hoja de apoyo v2'!$A$17:$A$20,0)),"")</f>
        <v>89.41621024641401</v>
      </c>
      <c r="O636" s="791">
        <f>IFERROR(INDEX('Hoja de apoyo v2'!C$17:C$20,MATCH($A636,'Hoja de apoyo v2'!$A$17:$A$20,0)),"")</f>
        <v>0.54706375874806301</v>
      </c>
      <c r="P636" s="793">
        <f>IFERROR(INDEX('Hoja de apoyo v2'!D$17:D$20,MATCH($A636,'Hoja de apoyo v2'!$A$17:$A$20,0)),"")</f>
        <v>11095.153935793827</v>
      </c>
      <c r="Q636" s="793">
        <f>IFERROR(INDEX('Hoja de apoyo v2'!E$17:E$20,MATCH($A636,'Hoja de apoyo v2'!$A$17:$A$20,0)),"")</f>
        <v>6982.3202019701848</v>
      </c>
      <c r="R636" s="793">
        <f>IFERROR(INDEX('Hoja de apoyo v2'!F$17:F$20,MATCH($A636,'Hoja de apoyo v2'!$A$17:$A$20,0)),"")</f>
        <v>448.09513474485743</v>
      </c>
      <c r="S636" s="793">
        <f>IFERROR(INDEX('Hoja de apoyo v2'!G$17:G$20,MATCH($A636,'Hoja de apoyo v2'!$A$17:$A$20,0)),"")</f>
        <v>83.406300904207839</v>
      </c>
      <c r="T636" s="792">
        <f>IFERROR(INDEX('Hoja de apoyo v2'!H$17:H$20,MATCH($A636,'Hoja de apoyo v2'!$A$17:$A$20,0)),"")</f>
        <v>378.97014028925349</v>
      </c>
      <c r="U636" s="794" t="str">
        <f t="shared" si="328"/>
        <v/>
      </c>
      <c r="V636" s="795" t="str">
        <f t="shared" si="329"/>
        <v/>
      </c>
      <c r="W636" s="795" t="str">
        <f t="shared" si="330"/>
        <v/>
      </c>
      <c r="X636" s="843" t="str">
        <f t="shared" si="331"/>
        <v/>
      </c>
      <c r="Y636" s="843" t="str">
        <f t="shared" si="332"/>
        <v/>
      </c>
      <c r="Z636" s="843" t="str">
        <f t="shared" si="333"/>
        <v/>
      </c>
      <c r="AA636" s="843">
        <f t="shared" si="334"/>
        <v>1.5091153634965333</v>
      </c>
      <c r="AB636" s="796">
        <f t="shared" si="335"/>
        <v>0</v>
      </c>
      <c r="AC636" s="797">
        <f t="shared" si="336"/>
        <v>0</v>
      </c>
      <c r="AD636" s="797">
        <f t="shared" si="337"/>
        <v>0</v>
      </c>
      <c r="AE636" s="842">
        <f t="shared" si="338"/>
        <v>0</v>
      </c>
      <c r="AF636" s="842">
        <f t="shared" si="339"/>
        <v>0</v>
      </c>
      <c r="AG636" s="842">
        <f t="shared" si="340"/>
        <v>0</v>
      </c>
      <c r="AH636" s="842">
        <f t="shared" si="341"/>
        <v>5</v>
      </c>
      <c r="AI636" s="826" cm="1">
        <f t="array" ref="AI636">SUMPRODUCT(--ISNUMBER($U636:$AA636),$AB$3:$AH$3)</f>
        <v>8.9789113613062493E-2</v>
      </c>
      <c r="AJ636" s="829" t="str">
        <f t="shared" si="342"/>
        <v/>
      </c>
      <c r="AK636" s="827" t="str">
        <f t="shared" si="343"/>
        <v>Ruta inactiva</v>
      </c>
      <c r="AL636" s="784" t="str">
        <f t="shared" si="344"/>
        <v>n/a</v>
      </c>
      <c r="AM636" s="799">
        <f>IF(ISNUMBER('Base de datos Rutas'!W634),'Base de datos Rutas'!W634,"")</f>
        <v>3293.1144020900269</v>
      </c>
      <c r="AN636" s="787">
        <f>IFERROR(SUMIFS('Base de datos Rutas'!$W$6:$W$794,'Base de datos Rutas'!$C$6:$C$794,$C636)/'Base de datos Rutas'!I634,"")</f>
        <v>3293.1144020900251</v>
      </c>
      <c r="AO636" s="800">
        <f>IFERROR('Base de datos Rutas'!X634*AN636/AM636,"")</f>
        <v>0.47791232590402694</v>
      </c>
      <c r="AP636" s="800">
        <f t="shared" si="345"/>
        <v>0.52208767409597301</v>
      </c>
      <c r="AQ636" s="789">
        <f>IFERROR(INDEX('Hoja de apoyo v2'!$J$17:$J$20,MATCH($A636,'Hoja de apoyo v2'!$A$17:$A$20,0)),"")</f>
        <v>0.64320274048480885</v>
      </c>
      <c r="AR636" s="789">
        <f t="shared" si="346"/>
        <v>-0.12111506638883585</v>
      </c>
      <c r="AS636" s="784" t="str">
        <f t="shared" si="347"/>
        <v>No</v>
      </c>
      <c r="AT636" s="801" t="str">
        <f>IF(ISNUMBER('Base de datos Rutas'!CK634),'Base de datos Rutas'!CK634,"")</f>
        <v/>
      </c>
      <c r="AU636" s="802" t="str">
        <f>IF(ISNUMBER('Base de datos Rutas'!CL634),'Base de datos Rutas'!CL634,"")</f>
        <v/>
      </c>
      <c r="AV636" s="802">
        <f>IF(ISNUMBER('Base de datos Rutas'!CM634),'Base de datos Rutas'!CM634,"")</f>
        <v>0</v>
      </c>
      <c r="AW636" s="802" t="str">
        <f>IF(ISNUMBER('Base de datos Rutas'!CN634),'Base de datos Rutas'!CN634,"")</f>
        <v/>
      </c>
      <c r="AX636" s="802" t="str">
        <f>IF(ISNUMBER('Base de datos Rutas'!CO634),'Base de datos Rutas'!CO634,"")</f>
        <v/>
      </c>
      <c r="AY636" s="802">
        <f>IF(ISNUMBER('Base de datos Rutas'!CP634),'Base de datos Rutas'!CP634,"")</f>
        <v>0</v>
      </c>
      <c r="AZ636" s="802" t="str">
        <f>IF(ISNUMBER('Base de datos Rutas'!CQ634),'Base de datos Rutas'!CQ634,"")</f>
        <v/>
      </c>
      <c r="BA636" s="802" t="str">
        <f>IF(ISNUMBER('Base de datos Rutas'!CR634),'Base de datos Rutas'!CR634,"")</f>
        <v/>
      </c>
      <c r="BB636" s="803">
        <f>IF(ISNUMBER('Base de datos Rutas'!CS634),'Base de datos Rutas'!CS634,"")</f>
        <v>0</v>
      </c>
      <c r="BC636" s="804" t="str">
        <f t="shared" si="357"/>
        <v/>
      </c>
      <c r="BD636" s="805" t="str">
        <f t="shared" si="358"/>
        <v>N/D</v>
      </c>
      <c r="BE636" s="806" t="str">
        <f t="shared" si="359"/>
        <v/>
      </c>
      <c r="BF636" s="890" t="str">
        <f>IF(ISNUMBER('Base de datos Rutas'!CX634),'Base de datos Rutas'!CX634/100,"")</f>
        <v/>
      </c>
      <c r="BG636" s="891" t="str">
        <f>IF(ISNUMBER('Base de datos Rutas'!CZ634),'Base de datos Rutas'!CZ634/100,"")</f>
        <v/>
      </c>
      <c r="BH636" s="892" t="str">
        <f>IF(ISNUMBER('Base de datos Rutas'!DA634),'Base de datos Rutas'!DA634,"")</f>
        <v/>
      </c>
      <c r="BI636" s="893" t="str">
        <f>IF(ISNUMBER('Base de datos Rutas'!DC634),'Base de datos Rutas'!DC634,"")</f>
        <v/>
      </c>
      <c r="BJ636" s="805" t="str">
        <f t="shared" si="360"/>
        <v>Sin dato</v>
      </c>
      <c r="BK636" s="783">
        <f t="shared" si="348"/>
        <v>0</v>
      </c>
      <c r="BL636" s="797">
        <f t="shared" si="349"/>
        <v>0</v>
      </c>
      <c r="BM636" s="797">
        <f t="shared" si="350"/>
        <v>0</v>
      </c>
      <c r="BN636" s="797">
        <f t="shared" si="351"/>
        <v>0</v>
      </c>
      <c r="BO636" s="798" cm="1">
        <f t="array" ref="BO636">SUMPRODUCT(--ISNUMBER($BF636:$BI636),$BK$3:$BN$3)</f>
        <v>0</v>
      </c>
      <c r="BP636" s="831" t="str">
        <f t="shared" si="361"/>
        <v/>
      </c>
      <c r="BQ636" s="834" t="str">
        <f t="shared" si="362"/>
        <v>Sin datos</v>
      </c>
      <c r="BR636" s="836" t="str">
        <f t="shared" si="352"/>
        <v/>
      </c>
      <c r="BS636" s="836" t="str">
        <f t="shared" si="353"/>
        <v/>
      </c>
      <c r="BT636" s="837" t="str">
        <f t="shared" si="354"/>
        <v>Sin datos</v>
      </c>
      <c r="BU636" s="807" t="str">
        <f t="shared" si="363"/>
        <v>No evaluable</v>
      </c>
      <c r="BV636" s="807" t="str">
        <f t="shared" si="355"/>
        <v>No evaluable</v>
      </c>
      <c r="BW636" s="808" t="str">
        <f t="shared" si="356"/>
        <v>Sin datos</v>
      </c>
    </row>
    <row r="637" spans="1:75">
      <c r="A637" s="780" t="str">
        <f>'Base de datos Rutas'!A635</f>
        <v>Occidente</v>
      </c>
      <c r="B637" s="781" t="str">
        <f>'Base de datos Rutas'!B635</f>
        <v>Favorita</v>
      </c>
      <c r="C637" s="781" t="str">
        <f>'Base de datos Rutas'!C635</f>
        <v>Suc. Santa Maria</v>
      </c>
      <c r="D637" s="782">
        <f>IF(ISNUMBER('Base de datos Rutas'!D635),'Base de datos Rutas'!D635,"Sin código")</f>
        <v>809388</v>
      </c>
      <c r="E637" s="783" t="str">
        <f>'Base de datos Rutas'!F635</f>
        <v>Activa</v>
      </c>
      <c r="F637" s="784" t="str">
        <f>'Base de datos Rutas'!H635</f>
        <v>Sí</v>
      </c>
      <c r="G637" s="785">
        <f>IF(ISNUMBER('Base de datos Rutas'!BE635),'Base de datos Rutas'!BE635,"")</f>
        <v>128.25925925925901</v>
      </c>
      <c r="H637" s="786">
        <f>IF(ISNUMBER('Base de datos Rutas'!BH635),'Base de datos Rutas'!BH635,"")</f>
        <v>3.8406006352873202E-2</v>
      </c>
      <c r="I637" s="788">
        <f>IFERROR(IF(OR(NOT(ISNUMBER('Base de datos Rutas'!O635)),N('Base de datos Rutas'!BK635)=0),"",'Base de datos Rutas'!O635/('Base de datos Rutas'!L635/'Base de datos Rutas'!BK635)),"")</f>
        <v>2098.6666666666647</v>
      </c>
      <c r="J637" s="788">
        <f>IFERROR(IF(OR(NOT(ISNUMBER('Base de datos Rutas'!N635)),N('Base de datos Rutas'!BK635)=0),"",'Base de datos Rutas'!N635/('Base de datos Rutas'!L635/'Base de datos Rutas'!BK635)),"")</f>
        <v>3168.0909090909063</v>
      </c>
      <c r="K637" s="788">
        <f>IFERROR(IF(OR(NOT(ISNUMBER('Base de datos Rutas'!J635)),N('Base de datos Rutas'!BK635)=0),"",'Base de datos Rutas'!J635/('Base de datos Rutas'!L635/'Base de datos Rutas'!BK635)),"")</f>
        <v>223.51229090909072</v>
      </c>
      <c r="L637" s="788">
        <f>IFERROR(IF(OR(NOT(ISNUMBER('Base de datos Rutas'!K635)),N('Base de datos Rutas'!BK635)=0),"",'Base de datos Rutas'!K635/('Base de datos Rutas'!L635/'Base de datos Rutas'!BK635)),"")</f>
        <v>14.81093030303029</v>
      </c>
      <c r="M637" s="787">
        <f>IF(ISNUMBER('Base de datos Rutas'!AX635),'Base de datos Rutas'!AX635,"")</f>
        <v>1250.3830935251799</v>
      </c>
      <c r="N637" s="790">
        <f>IFERROR(INDEX('Hoja de apoyo v2'!B$17:B$20,MATCH($A637,'Hoja de apoyo v2'!$A$17:$A$20,0)),"")</f>
        <v>89.41621024641401</v>
      </c>
      <c r="O637" s="791">
        <f>IFERROR(INDEX('Hoja de apoyo v2'!C$17:C$20,MATCH($A637,'Hoja de apoyo v2'!$A$17:$A$20,0)),"")</f>
        <v>0.54706375874806301</v>
      </c>
      <c r="P637" s="793">
        <f>IFERROR(INDEX('Hoja de apoyo v2'!D$17:D$20,MATCH($A637,'Hoja de apoyo v2'!$A$17:$A$20,0)),"")</f>
        <v>11095.153935793827</v>
      </c>
      <c r="Q637" s="793">
        <f>IFERROR(INDEX('Hoja de apoyo v2'!E$17:E$20,MATCH($A637,'Hoja de apoyo v2'!$A$17:$A$20,0)),"")</f>
        <v>6982.3202019701848</v>
      </c>
      <c r="R637" s="793">
        <f>IFERROR(INDEX('Hoja de apoyo v2'!F$17:F$20,MATCH($A637,'Hoja de apoyo v2'!$A$17:$A$20,0)),"")</f>
        <v>448.09513474485743</v>
      </c>
      <c r="S637" s="793">
        <f>IFERROR(INDEX('Hoja de apoyo v2'!G$17:G$20,MATCH($A637,'Hoja de apoyo v2'!$A$17:$A$20,0)),"")</f>
        <v>83.406300904207839</v>
      </c>
      <c r="T637" s="792">
        <f>IFERROR(INDEX('Hoja de apoyo v2'!H$17:H$20,MATCH($A637,'Hoja de apoyo v2'!$A$17:$A$20,0)),"")</f>
        <v>378.97014028925349</v>
      </c>
      <c r="U637" s="794">
        <f t="shared" si="328"/>
        <v>1.434407238976031</v>
      </c>
      <c r="V637" s="795">
        <f t="shared" si="329"/>
        <v>7.020389440668498E-2</v>
      </c>
      <c r="W637" s="795">
        <f t="shared" si="330"/>
        <v>0.18915164934271017</v>
      </c>
      <c r="X637" s="843">
        <f t="shared" si="331"/>
        <v>0.4537303958356097</v>
      </c>
      <c r="Y637" s="843">
        <f t="shared" si="332"/>
        <v>0.49880544013573641</v>
      </c>
      <c r="Z637" s="843">
        <f t="shared" si="333"/>
        <v>0.17757567644728242</v>
      </c>
      <c r="AA637" s="843">
        <f t="shared" si="334"/>
        <v>3.2994237819655399</v>
      </c>
      <c r="AB637" s="796">
        <f t="shared" si="335"/>
        <v>5</v>
      </c>
      <c r="AC637" s="797">
        <f t="shared" si="336"/>
        <v>1</v>
      </c>
      <c r="AD637" s="797">
        <f t="shared" si="337"/>
        <v>1</v>
      </c>
      <c r="AE637" s="842">
        <f t="shared" si="338"/>
        <v>1</v>
      </c>
      <c r="AF637" s="842">
        <f t="shared" si="339"/>
        <v>1</v>
      </c>
      <c r="AG637" s="842">
        <f t="shared" si="340"/>
        <v>1</v>
      </c>
      <c r="AH637" s="842">
        <f t="shared" si="341"/>
        <v>5</v>
      </c>
      <c r="AI637" s="826" cm="1">
        <f t="array" ref="AI637">SUMPRODUCT(--ISNUMBER($U637:$AA637),$AB$3:$AH$3)</f>
        <v>1</v>
      </c>
      <c r="AJ637" s="829">
        <f t="shared" si="342"/>
        <v>27.113456073853261</v>
      </c>
      <c r="AK637" s="827" t="str">
        <f t="shared" si="343"/>
        <v>Inmadura</v>
      </c>
      <c r="AL637" s="784" t="str">
        <f t="shared" si="344"/>
        <v>Alta</v>
      </c>
      <c r="AM637" s="799">
        <f>IF(ISNUMBER('Base de datos Rutas'!W635),'Base de datos Rutas'!W635,"")</f>
        <v>3293.1144020900269</v>
      </c>
      <c r="AN637" s="787">
        <f>IFERROR(SUMIFS('Base de datos Rutas'!$W$6:$W$794,'Base de datos Rutas'!$C$6:$C$794,$C637)/'Base de datos Rutas'!I635,"")</f>
        <v>3293.1144020900251</v>
      </c>
      <c r="AO637" s="800">
        <f>IFERROR('Base de datos Rutas'!X635*AN637/AM637,"")</f>
        <v>0.47791232590402694</v>
      </c>
      <c r="AP637" s="800">
        <f t="shared" si="345"/>
        <v>0.52208767409597301</v>
      </c>
      <c r="AQ637" s="789">
        <f>IFERROR(INDEX('Hoja de apoyo v2'!$J$17:$J$20,MATCH($A637,'Hoja de apoyo v2'!$A$17:$A$20,0)),"")</f>
        <v>0.64320274048480885</v>
      </c>
      <c r="AR637" s="789">
        <f t="shared" si="346"/>
        <v>-0.12111506638883585</v>
      </c>
      <c r="AS637" s="784" t="str">
        <f t="shared" si="347"/>
        <v>No</v>
      </c>
      <c r="AT637" s="801" t="str">
        <f>IF(ISNUMBER('Base de datos Rutas'!CK635),'Base de datos Rutas'!CK635,"")</f>
        <v/>
      </c>
      <c r="AU637" s="802" t="str">
        <f>IF(ISNUMBER('Base de datos Rutas'!CL635),'Base de datos Rutas'!CL635,"")</f>
        <v/>
      </c>
      <c r="AV637" s="802">
        <f>IF(ISNUMBER('Base de datos Rutas'!CM635),'Base de datos Rutas'!CM635,"")</f>
        <v>0</v>
      </c>
      <c r="AW637" s="802" t="str">
        <f>IF(ISNUMBER('Base de datos Rutas'!CN635),'Base de datos Rutas'!CN635,"")</f>
        <v/>
      </c>
      <c r="AX637" s="802" t="str">
        <f>IF(ISNUMBER('Base de datos Rutas'!CO635),'Base de datos Rutas'!CO635,"")</f>
        <v/>
      </c>
      <c r="AY637" s="802">
        <f>IF(ISNUMBER('Base de datos Rutas'!CP635),'Base de datos Rutas'!CP635,"")</f>
        <v>0</v>
      </c>
      <c r="AZ637" s="802" t="str">
        <f>IF(ISNUMBER('Base de datos Rutas'!CQ635),'Base de datos Rutas'!CQ635,"")</f>
        <v/>
      </c>
      <c r="BA637" s="802" t="str">
        <f>IF(ISNUMBER('Base de datos Rutas'!CR635),'Base de datos Rutas'!CR635,"")</f>
        <v/>
      </c>
      <c r="BB637" s="803">
        <f>IF(ISNUMBER('Base de datos Rutas'!CS635),'Base de datos Rutas'!CS635,"")</f>
        <v>0</v>
      </c>
      <c r="BC637" s="804" t="str">
        <f t="shared" si="357"/>
        <v/>
      </c>
      <c r="BD637" s="805" t="str">
        <f t="shared" si="358"/>
        <v>N/D</v>
      </c>
      <c r="BE637" s="806" t="str">
        <f t="shared" si="359"/>
        <v/>
      </c>
      <c r="BF637" s="890" t="str">
        <f>IF(ISNUMBER('Base de datos Rutas'!CX635),'Base de datos Rutas'!CX635/100,"")</f>
        <v/>
      </c>
      <c r="BG637" s="891" t="str">
        <f>IF(ISNUMBER('Base de datos Rutas'!CZ635),'Base de datos Rutas'!CZ635/100,"")</f>
        <v/>
      </c>
      <c r="BH637" s="892" t="str">
        <f>IF(ISNUMBER('Base de datos Rutas'!DA635),'Base de datos Rutas'!DA635,"")</f>
        <v/>
      </c>
      <c r="BI637" s="893" t="str">
        <f>IF(ISNUMBER('Base de datos Rutas'!DC635),'Base de datos Rutas'!DC635,"")</f>
        <v/>
      </c>
      <c r="BJ637" s="805" t="str">
        <f t="shared" si="360"/>
        <v>Sin dato</v>
      </c>
      <c r="BK637" s="783">
        <f t="shared" si="348"/>
        <v>0</v>
      </c>
      <c r="BL637" s="797">
        <f t="shared" si="349"/>
        <v>0</v>
      </c>
      <c r="BM637" s="797">
        <f t="shared" si="350"/>
        <v>0</v>
      </c>
      <c r="BN637" s="797">
        <f t="shared" si="351"/>
        <v>0</v>
      </c>
      <c r="BO637" s="798" cm="1">
        <f t="array" ref="BO637">SUMPRODUCT(--ISNUMBER($BF637:$BI637),$BK$3:$BN$3)</f>
        <v>0</v>
      </c>
      <c r="BP637" s="831" t="str">
        <f t="shared" si="361"/>
        <v/>
      </c>
      <c r="BQ637" s="834" t="str">
        <f t="shared" si="362"/>
        <v>Sin datos</v>
      </c>
      <c r="BR637" s="836" t="str">
        <f t="shared" si="352"/>
        <v/>
      </c>
      <c r="BS637" s="836" t="str">
        <f t="shared" si="353"/>
        <v/>
      </c>
      <c r="BT637" s="837" t="str">
        <f t="shared" si="354"/>
        <v>Sin datos</v>
      </c>
      <c r="BU637" s="807" t="str">
        <f t="shared" si="363"/>
        <v>Con espacio</v>
      </c>
      <c r="BV637" s="807" t="str">
        <f t="shared" si="355"/>
        <v>Sin datos de zona</v>
      </c>
      <c r="BW637" s="808" t="str">
        <f t="shared" si="356"/>
        <v>Sin datos</v>
      </c>
    </row>
    <row r="638" spans="1:75">
      <c r="A638" s="780" t="str">
        <f>'Base de datos Rutas'!A636</f>
        <v>Occidente</v>
      </c>
      <c r="B638" s="781" t="str">
        <f>'Base de datos Rutas'!B636</f>
        <v>Favorita</v>
      </c>
      <c r="C638" s="781" t="str">
        <f>'Base de datos Rutas'!C636</f>
        <v>Suc. Santa Maria</v>
      </c>
      <c r="D638" s="782">
        <f>IF(ISNUMBER('Base de datos Rutas'!D636),'Base de datos Rutas'!D636,"Sin código")</f>
        <v>809389</v>
      </c>
      <c r="E638" s="783" t="str">
        <f>'Base de datos Rutas'!F636</f>
        <v>Activa</v>
      </c>
      <c r="F638" s="784" t="str">
        <f>'Base de datos Rutas'!H636</f>
        <v>Sí</v>
      </c>
      <c r="G638" s="785">
        <f>IF(ISNUMBER('Base de datos Rutas'!BE636),'Base de datos Rutas'!BE636,"")</f>
        <v>50.807692307692299</v>
      </c>
      <c r="H638" s="786">
        <f>IF(ISNUMBER('Base de datos Rutas'!BH636),'Base de datos Rutas'!BH636,"")</f>
        <v>0.14231642694928101</v>
      </c>
      <c r="I638" s="788">
        <f>IFERROR(IF(OR(NOT(ISNUMBER('Base de datos Rutas'!O636)),N('Base de datos Rutas'!BK636)=0),"",'Base de datos Rutas'!O636/('Base de datos Rutas'!L636/'Base de datos Rutas'!BK636)),"")</f>
        <v>662.52941176470574</v>
      </c>
      <c r="J638" s="788">
        <f>IFERROR(IF(OR(NOT(ISNUMBER('Base de datos Rutas'!N636)),N('Base de datos Rutas'!BK636)=0),"",'Base de datos Rutas'!N636/('Base de datos Rutas'!L636/'Base de datos Rutas'!BK636)),"")</f>
        <v>1197.8823529411761</v>
      </c>
      <c r="K638" s="788">
        <f>IFERROR(IF(OR(NOT(ISNUMBER('Base de datos Rutas'!J636)),N('Base de datos Rutas'!BK636)=0),"",'Base de datos Rutas'!J636/('Base de datos Rutas'!L636/'Base de datos Rutas'!BK636)),"")</f>
        <v>84.951999999999984</v>
      </c>
      <c r="L638" s="788">
        <f>IFERROR(IF(OR(NOT(ISNUMBER('Base de datos Rutas'!K636)),N('Base de datos Rutas'!BK636)=0),"",'Base de datos Rutas'!K636/('Base de datos Rutas'!L636/'Base de datos Rutas'!BK636)),"")</f>
        <v>5.0962301470588223</v>
      </c>
      <c r="M638" s="787">
        <f>IF(ISNUMBER('Base de datos Rutas'!AX636),'Base de datos Rutas'!AX636,"")</f>
        <v>336.81413265306099</v>
      </c>
      <c r="N638" s="790">
        <f>IFERROR(INDEX('Hoja de apoyo v2'!B$17:B$20,MATCH($A638,'Hoja de apoyo v2'!$A$17:$A$20,0)),"")</f>
        <v>89.41621024641401</v>
      </c>
      <c r="O638" s="791">
        <f>IFERROR(INDEX('Hoja de apoyo v2'!C$17:C$20,MATCH($A638,'Hoja de apoyo v2'!$A$17:$A$20,0)),"")</f>
        <v>0.54706375874806301</v>
      </c>
      <c r="P638" s="793">
        <f>IFERROR(INDEX('Hoja de apoyo v2'!D$17:D$20,MATCH($A638,'Hoja de apoyo v2'!$A$17:$A$20,0)),"")</f>
        <v>11095.153935793827</v>
      </c>
      <c r="Q638" s="793">
        <f>IFERROR(INDEX('Hoja de apoyo v2'!E$17:E$20,MATCH($A638,'Hoja de apoyo v2'!$A$17:$A$20,0)),"")</f>
        <v>6982.3202019701848</v>
      </c>
      <c r="R638" s="793">
        <f>IFERROR(INDEX('Hoja de apoyo v2'!F$17:F$20,MATCH($A638,'Hoja de apoyo v2'!$A$17:$A$20,0)),"")</f>
        <v>448.09513474485743</v>
      </c>
      <c r="S638" s="793">
        <f>IFERROR(INDEX('Hoja de apoyo v2'!G$17:G$20,MATCH($A638,'Hoja de apoyo v2'!$A$17:$A$20,0)),"")</f>
        <v>83.406300904207839</v>
      </c>
      <c r="T638" s="792">
        <f>IFERROR(INDEX('Hoja de apoyo v2'!H$17:H$20,MATCH($A638,'Hoja de apoyo v2'!$A$17:$A$20,0)),"")</f>
        <v>378.97014028925349</v>
      </c>
      <c r="U638" s="794">
        <f t="shared" si="328"/>
        <v>0.56821567552098207</v>
      </c>
      <c r="V638" s="795">
        <f t="shared" si="329"/>
        <v>0.26014596045434879</v>
      </c>
      <c r="W638" s="795">
        <f t="shared" si="330"/>
        <v>5.9713404212206056E-2</v>
      </c>
      <c r="X638" s="843">
        <f t="shared" si="331"/>
        <v>0.17155935538492956</v>
      </c>
      <c r="Y638" s="843">
        <f t="shared" si="332"/>
        <v>0.18958474085725371</v>
      </c>
      <c r="Z638" s="843">
        <f t="shared" si="333"/>
        <v>6.1101260837737474E-2</v>
      </c>
      <c r="AA638" s="843">
        <f t="shared" si="334"/>
        <v>0.88876166443082716</v>
      </c>
      <c r="AB638" s="796">
        <f t="shared" si="335"/>
        <v>2</v>
      </c>
      <c r="AC638" s="797">
        <f t="shared" si="336"/>
        <v>1</v>
      </c>
      <c r="AD638" s="797">
        <f t="shared" si="337"/>
        <v>1</v>
      </c>
      <c r="AE638" s="842">
        <f t="shared" si="338"/>
        <v>1</v>
      </c>
      <c r="AF638" s="842">
        <f t="shared" si="339"/>
        <v>1</v>
      </c>
      <c r="AG638" s="842">
        <f t="shared" si="340"/>
        <v>1</v>
      </c>
      <c r="AH638" s="842">
        <f t="shared" si="341"/>
        <v>3</v>
      </c>
      <c r="AI638" s="826" cm="1">
        <f t="array" ref="AI638">SUMPRODUCT(--ISNUMBER($U638:$AA638),$AB$3:$AH$3)</f>
        <v>1</v>
      </c>
      <c r="AJ638" s="829">
        <f t="shared" si="342"/>
        <v>9.0230918587898827</v>
      </c>
      <c r="AK638" s="827" t="str">
        <f t="shared" si="343"/>
        <v>Inmadura</v>
      </c>
      <c r="AL638" s="784" t="str">
        <f t="shared" si="344"/>
        <v>Alta</v>
      </c>
      <c r="AM638" s="799">
        <f>IF(ISNUMBER('Base de datos Rutas'!W636),'Base de datos Rutas'!W636,"")</f>
        <v>3293.1144020900269</v>
      </c>
      <c r="AN638" s="787">
        <f>IFERROR(SUMIFS('Base de datos Rutas'!$W$6:$W$794,'Base de datos Rutas'!$C$6:$C$794,$C638)/'Base de datos Rutas'!I636,"")</f>
        <v>3293.1144020900251</v>
      </c>
      <c r="AO638" s="800">
        <f>IFERROR('Base de datos Rutas'!X636*AN638/AM638,"")</f>
        <v>0.47791232590402694</v>
      </c>
      <c r="AP638" s="800">
        <f t="shared" si="345"/>
        <v>0.52208767409597301</v>
      </c>
      <c r="AQ638" s="789">
        <f>IFERROR(INDEX('Hoja de apoyo v2'!$J$17:$J$20,MATCH($A638,'Hoja de apoyo v2'!$A$17:$A$20,0)),"")</f>
        <v>0.64320274048480885</v>
      </c>
      <c r="AR638" s="789">
        <f t="shared" si="346"/>
        <v>-0.12111506638883585</v>
      </c>
      <c r="AS638" s="784" t="str">
        <f t="shared" si="347"/>
        <v>No</v>
      </c>
      <c r="AT638" s="801" t="str">
        <f>IF(ISNUMBER('Base de datos Rutas'!CK636),'Base de datos Rutas'!CK636,"")</f>
        <v/>
      </c>
      <c r="AU638" s="802" t="str">
        <f>IF(ISNUMBER('Base de datos Rutas'!CL636),'Base de datos Rutas'!CL636,"")</f>
        <v/>
      </c>
      <c r="AV638" s="802">
        <f>IF(ISNUMBER('Base de datos Rutas'!CM636),'Base de datos Rutas'!CM636,"")</f>
        <v>0</v>
      </c>
      <c r="AW638" s="802" t="str">
        <f>IF(ISNUMBER('Base de datos Rutas'!CN636),'Base de datos Rutas'!CN636,"")</f>
        <v/>
      </c>
      <c r="AX638" s="802" t="str">
        <f>IF(ISNUMBER('Base de datos Rutas'!CO636),'Base de datos Rutas'!CO636,"")</f>
        <v/>
      </c>
      <c r="AY638" s="802">
        <f>IF(ISNUMBER('Base de datos Rutas'!CP636),'Base de datos Rutas'!CP636,"")</f>
        <v>0</v>
      </c>
      <c r="AZ638" s="802" t="str">
        <f>IF(ISNUMBER('Base de datos Rutas'!CQ636),'Base de datos Rutas'!CQ636,"")</f>
        <v/>
      </c>
      <c r="BA638" s="802" t="str">
        <f>IF(ISNUMBER('Base de datos Rutas'!CR636),'Base de datos Rutas'!CR636,"")</f>
        <v/>
      </c>
      <c r="BB638" s="803">
        <f>IF(ISNUMBER('Base de datos Rutas'!CS636),'Base de datos Rutas'!CS636,"")</f>
        <v>0</v>
      </c>
      <c r="BC638" s="804" t="str">
        <f t="shared" si="357"/>
        <v/>
      </c>
      <c r="BD638" s="805" t="str">
        <f t="shared" si="358"/>
        <v>N/D</v>
      </c>
      <c r="BE638" s="806" t="str">
        <f t="shared" si="359"/>
        <v/>
      </c>
      <c r="BF638" s="890" t="str">
        <f>IF(ISNUMBER('Base de datos Rutas'!CX636),'Base de datos Rutas'!CX636/100,"")</f>
        <v/>
      </c>
      <c r="BG638" s="891" t="str">
        <f>IF(ISNUMBER('Base de datos Rutas'!CZ636),'Base de datos Rutas'!CZ636/100,"")</f>
        <v/>
      </c>
      <c r="BH638" s="892" t="str">
        <f>IF(ISNUMBER('Base de datos Rutas'!DA636),'Base de datos Rutas'!DA636,"")</f>
        <v/>
      </c>
      <c r="BI638" s="893" t="str">
        <f>IF(ISNUMBER('Base de datos Rutas'!DC636),'Base de datos Rutas'!DC636,"")</f>
        <v/>
      </c>
      <c r="BJ638" s="805" t="str">
        <f t="shared" si="360"/>
        <v>Sin dato</v>
      </c>
      <c r="BK638" s="783">
        <f t="shared" si="348"/>
        <v>0</v>
      </c>
      <c r="BL638" s="797">
        <f t="shared" si="349"/>
        <v>0</v>
      </c>
      <c r="BM638" s="797">
        <f t="shared" si="350"/>
        <v>0</v>
      </c>
      <c r="BN638" s="797">
        <f t="shared" si="351"/>
        <v>0</v>
      </c>
      <c r="BO638" s="798" cm="1">
        <f t="array" ref="BO638">SUMPRODUCT(--ISNUMBER($BF638:$BI638),$BK$3:$BN$3)</f>
        <v>0</v>
      </c>
      <c r="BP638" s="831" t="str">
        <f t="shared" si="361"/>
        <v/>
      </c>
      <c r="BQ638" s="834" t="str">
        <f t="shared" si="362"/>
        <v>Sin datos</v>
      </c>
      <c r="BR638" s="836" t="str">
        <f t="shared" si="352"/>
        <v/>
      </c>
      <c r="BS638" s="836" t="str">
        <f t="shared" si="353"/>
        <v/>
      </c>
      <c r="BT638" s="837" t="str">
        <f t="shared" si="354"/>
        <v>Sin datos</v>
      </c>
      <c r="BU638" s="807" t="str">
        <f t="shared" si="363"/>
        <v>Con espacio</v>
      </c>
      <c r="BV638" s="807" t="str">
        <f t="shared" si="355"/>
        <v>Sin datos de zona</v>
      </c>
      <c r="BW638" s="808" t="str">
        <f t="shared" si="356"/>
        <v>Sin datos</v>
      </c>
    </row>
    <row r="639" spans="1:75">
      <c r="A639" s="780" t="str">
        <f>'Base de datos Rutas'!A637</f>
        <v>Occidente</v>
      </c>
      <c r="B639" s="781" t="str">
        <f>'Base de datos Rutas'!B637</f>
        <v>Favorita</v>
      </c>
      <c r="C639" s="781" t="str">
        <f>'Base de datos Rutas'!C637</f>
        <v>Suc. Santa Maria</v>
      </c>
      <c r="D639" s="782">
        <f>IF(ISNUMBER('Base de datos Rutas'!D637),'Base de datos Rutas'!D637,"Sin código")</f>
        <v>809399</v>
      </c>
      <c r="E639" s="783" t="str">
        <f>'Base de datos Rutas'!F637</f>
        <v>Inactiva</v>
      </c>
      <c r="F639" s="784" t="str">
        <f>'Base de datos Rutas'!H637</f>
        <v>No</v>
      </c>
      <c r="G639" s="785" t="str">
        <f>IF(ISNUMBER('Base de datos Rutas'!BE637),'Base de datos Rutas'!BE637,"")</f>
        <v/>
      </c>
      <c r="H639" s="786" t="str">
        <f>IF(ISNUMBER('Base de datos Rutas'!BH637),'Base de datos Rutas'!BH637,"")</f>
        <v/>
      </c>
      <c r="I639" s="788" t="str">
        <f>IFERROR(IF(OR(NOT(ISNUMBER('Base de datos Rutas'!O637)),N('Base de datos Rutas'!BK637)=0),"",'Base de datos Rutas'!O637/('Base de datos Rutas'!L637/'Base de datos Rutas'!BK637)),"")</f>
        <v/>
      </c>
      <c r="J639" s="788" t="str">
        <f>IFERROR(IF(OR(NOT(ISNUMBER('Base de datos Rutas'!N637)),N('Base de datos Rutas'!BK637)=0),"",'Base de datos Rutas'!N637/('Base de datos Rutas'!L637/'Base de datos Rutas'!BK637)),"")</f>
        <v/>
      </c>
      <c r="K639" s="788" t="str">
        <f>IFERROR(IF(OR(NOT(ISNUMBER('Base de datos Rutas'!J637)),N('Base de datos Rutas'!BK637)=0),"",'Base de datos Rutas'!J637/('Base de datos Rutas'!L637/'Base de datos Rutas'!BK637)),"")</f>
        <v/>
      </c>
      <c r="L639" s="788" t="str">
        <f>IFERROR(IF(OR(NOT(ISNUMBER('Base de datos Rutas'!K637)),N('Base de datos Rutas'!BK637)=0),"",'Base de datos Rutas'!K637/('Base de datos Rutas'!L637/'Base de datos Rutas'!BK637)),"")</f>
        <v/>
      </c>
      <c r="M639" s="787">
        <f>IF(ISNUMBER('Base de datos Rutas'!AX637),'Base de datos Rutas'!AX637,"")</f>
        <v>0</v>
      </c>
      <c r="N639" s="790">
        <f>IFERROR(INDEX('Hoja de apoyo v2'!B$17:B$20,MATCH($A639,'Hoja de apoyo v2'!$A$17:$A$20,0)),"")</f>
        <v>89.41621024641401</v>
      </c>
      <c r="O639" s="791">
        <f>IFERROR(INDEX('Hoja de apoyo v2'!C$17:C$20,MATCH($A639,'Hoja de apoyo v2'!$A$17:$A$20,0)),"")</f>
        <v>0.54706375874806301</v>
      </c>
      <c r="P639" s="793">
        <f>IFERROR(INDEX('Hoja de apoyo v2'!D$17:D$20,MATCH($A639,'Hoja de apoyo v2'!$A$17:$A$20,0)),"")</f>
        <v>11095.153935793827</v>
      </c>
      <c r="Q639" s="793">
        <f>IFERROR(INDEX('Hoja de apoyo v2'!E$17:E$20,MATCH($A639,'Hoja de apoyo v2'!$A$17:$A$20,0)),"")</f>
        <v>6982.3202019701848</v>
      </c>
      <c r="R639" s="793">
        <f>IFERROR(INDEX('Hoja de apoyo v2'!F$17:F$20,MATCH($A639,'Hoja de apoyo v2'!$A$17:$A$20,0)),"")</f>
        <v>448.09513474485743</v>
      </c>
      <c r="S639" s="793">
        <f>IFERROR(INDEX('Hoja de apoyo v2'!G$17:G$20,MATCH($A639,'Hoja de apoyo v2'!$A$17:$A$20,0)),"")</f>
        <v>83.406300904207839</v>
      </c>
      <c r="T639" s="792">
        <f>IFERROR(INDEX('Hoja de apoyo v2'!H$17:H$20,MATCH($A639,'Hoja de apoyo v2'!$A$17:$A$20,0)),"")</f>
        <v>378.97014028925349</v>
      </c>
      <c r="U639" s="794" t="str">
        <f t="shared" si="328"/>
        <v/>
      </c>
      <c r="V639" s="795" t="str">
        <f t="shared" si="329"/>
        <v/>
      </c>
      <c r="W639" s="795" t="str">
        <f t="shared" si="330"/>
        <v/>
      </c>
      <c r="X639" s="843" t="str">
        <f t="shared" si="331"/>
        <v/>
      </c>
      <c r="Y639" s="843" t="str">
        <f t="shared" si="332"/>
        <v/>
      </c>
      <c r="Z639" s="843" t="str">
        <f t="shared" si="333"/>
        <v/>
      </c>
      <c r="AA639" s="843">
        <f t="shared" si="334"/>
        <v>0</v>
      </c>
      <c r="AB639" s="796">
        <f t="shared" si="335"/>
        <v>0</v>
      </c>
      <c r="AC639" s="797">
        <f t="shared" si="336"/>
        <v>0</v>
      </c>
      <c r="AD639" s="797">
        <f t="shared" si="337"/>
        <v>0</v>
      </c>
      <c r="AE639" s="842">
        <f t="shared" si="338"/>
        <v>0</v>
      </c>
      <c r="AF639" s="842">
        <f t="shared" si="339"/>
        <v>0</v>
      </c>
      <c r="AG639" s="842">
        <f t="shared" si="340"/>
        <v>0</v>
      </c>
      <c r="AH639" s="842">
        <f t="shared" si="341"/>
        <v>1</v>
      </c>
      <c r="AI639" s="826" cm="1">
        <f t="array" ref="AI639">SUMPRODUCT(--ISNUMBER($U639:$AA639),$AB$3:$AH$3)</f>
        <v>8.9789113613062493E-2</v>
      </c>
      <c r="AJ639" s="829" t="str">
        <f t="shared" si="342"/>
        <v/>
      </c>
      <c r="AK639" s="827" t="str">
        <f t="shared" si="343"/>
        <v>Ruta inactiva</v>
      </c>
      <c r="AL639" s="784" t="str">
        <f t="shared" si="344"/>
        <v>n/a</v>
      </c>
      <c r="AM639" s="799">
        <f>IF(ISNUMBER('Base de datos Rutas'!W637),'Base de datos Rutas'!W637,"")</f>
        <v>3293.1144020900269</v>
      </c>
      <c r="AN639" s="787">
        <f>IFERROR(SUMIFS('Base de datos Rutas'!$W$6:$W$794,'Base de datos Rutas'!$C$6:$C$794,$C639)/'Base de datos Rutas'!I637,"")</f>
        <v>3293.1144020900251</v>
      </c>
      <c r="AO639" s="800">
        <f>IFERROR('Base de datos Rutas'!X637*AN639/AM639,"")</f>
        <v>0.47791232590402694</v>
      </c>
      <c r="AP639" s="800">
        <f t="shared" si="345"/>
        <v>0.52208767409597301</v>
      </c>
      <c r="AQ639" s="789">
        <f>IFERROR(INDEX('Hoja de apoyo v2'!$J$17:$J$20,MATCH($A639,'Hoja de apoyo v2'!$A$17:$A$20,0)),"")</f>
        <v>0.64320274048480885</v>
      </c>
      <c r="AR639" s="789">
        <f t="shared" si="346"/>
        <v>-0.12111506638883585</v>
      </c>
      <c r="AS639" s="784" t="str">
        <f t="shared" si="347"/>
        <v>No</v>
      </c>
      <c r="AT639" s="801" t="str">
        <f>IF(ISNUMBER('Base de datos Rutas'!CK637),'Base de datos Rutas'!CK637,"")</f>
        <v/>
      </c>
      <c r="AU639" s="802" t="str">
        <f>IF(ISNUMBER('Base de datos Rutas'!CL637),'Base de datos Rutas'!CL637,"")</f>
        <v/>
      </c>
      <c r="AV639" s="802">
        <f>IF(ISNUMBER('Base de datos Rutas'!CM637),'Base de datos Rutas'!CM637,"")</f>
        <v>0</v>
      </c>
      <c r="AW639" s="802" t="str">
        <f>IF(ISNUMBER('Base de datos Rutas'!CN637),'Base de datos Rutas'!CN637,"")</f>
        <v/>
      </c>
      <c r="AX639" s="802" t="str">
        <f>IF(ISNUMBER('Base de datos Rutas'!CO637),'Base de datos Rutas'!CO637,"")</f>
        <v/>
      </c>
      <c r="AY639" s="802">
        <f>IF(ISNUMBER('Base de datos Rutas'!CP637),'Base de datos Rutas'!CP637,"")</f>
        <v>0</v>
      </c>
      <c r="AZ639" s="802" t="str">
        <f>IF(ISNUMBER('Base de datos Rutas'!CQ637),'Base de datos Rutas'!CQ637,"")</f>
        <v/>
      </c>
      <c r="BA639" s="802" t="str">
        <f>IF(ISNUMBER('Base de datos Rutas'!CR637),'Base de datos Rutas'!CR637,"")</f>
        <v/>
      </c>
      <c r="BB639" s="803">
        <f>IF(ISNUMBER('Base de datos Rutas'!CS637),'Base de datos Rutas'!CS637,"")</f>
        <v>0</v>
      </c>
      <c r="BC639" s="804" t="str">
        <f t="shared" si="357"/>
        <v/>
      </c>
      <c r="BD639" s="805" t="str">
        <f t="shared" si="358"/>
        <v>N/D</v>
      </c>
      <c r="BE639" s="806" t="str">
        <f t="shared" si="359"/>
        <v/>
      </c>
      <c r="BF639" s="890" t="str">
        <f>IF(ISNUMBER('Base de datos Rutas'!CX637),'Base de datos Rutas'!CX637/100,"")</f>
        <v/>
      </c>
      <c r="BG639" s="891" t="str">
        <f>IF(ISNUMBER('Base de datos Rutas'!CZ637),'Base de datos Rutas'!CZ637/100,"")</f>
        <v/>
      </c>
      <c r="BH639" s="892" t="str">
        <f>IF(ISNUMBER('Base de datos Rutas'!DA637),'Base de datos Rutas'!DA637,"")</f>
        <v/>
      </c>
      <c r="BI639" s="893" t="str">
        <f>IF(ISNUMBER('Base de datos Rutas'!DC637),'Base de datos Rutas'!DC637,"")</f>
        <v/>
      </c>
      <c r="BJ639" s="805" t="str">
        <f t="shared" si="360"/>
        <v>Sin dato</v>
      </c>
      <c r="BK639" s="783">
        <f t="shared" si="348"/>
        <v>0</v>
      </c>
      <c r="BL639" s="797">
        <f t="shared" si="349"/>
        <v>0</v>
      </c>
      <c r="BM639" s="797">
        <f t="shared" si="350"/>
        <v>0</v>
      </c>
      <c r="BN639" s="797">
        <f t="shared" si="351"/>
        <v>0</v>
      </c>
      <c r="BO639" s="798" cm="1">
        <f t="array" ref="BO639">SUMPRODUCT(--ISNUMBER($BF639:$BI639),$BK$3:$BN$3)</f>
        <v>0</v>
      </c>
      <c r="BP639" s="831" t="str">
        <f t="shared" si="361"/>
        <v/>
      </c>
      <c r="BQ639" s="834" t="str">
        <f t="shared" si="362"/>
        <v>Sin datos</v>
      </c>
      <c r="BR639" s="836" t="str">
        <f t="shared" si="352"/>
        <v/>
      </c>
      <c r="BS639" s="836" t="str">
        <f t="shared" si="353"/>
        <v/>
      </c>
      <c r="BT639" s="837" t="str">
        <f t="shared" si="354"/>
        <v>Sin datos</v>
      </c>
      <c r="BU639" s="807" t="str">
        <f t="shared" si="363"/>
        <v>No evaluable</v>
      </c>
      <c r="BV639" s="807" t="str">
        <f t="shared" si="355"/>
        <v>No evaluable</v>
      </c>
      <c r="BW639" s="808" t="str">
        <f t="shared" si="356"/>
        <v>Sin datos</v>
      </c>
    </row>
    <row r="640" spans="1:75">
      <c r="A640" s="780" t="str">
        <f>'Base de datos Rutas'!A638</f>
        <v>Occidente</v>
      </c>
      <c r="B640" s="781" t="str">
        <f>'Base de datos Rutas'!B638</f>
        <v>Favorita</v>
      </c>
      <c r="C640" s="781" t="str">
        <f>'Base de datos Rutas'!C638</f>
        <v>Suc. Toluquilla</v>
      </c>
      <c r="D640" s="782">
        <f>IF(ISNUMBER('Base de datos Rutas'!D638),'Base de datos Rutas'!D638,"Sin código")</f>
        <v>804348</v>
      </c>
      <c r="E640" s="783" t="str">
        <f>'Base de datos Rutas'!F638</f>
        <v>Inactiva</v>
      </c>
      <c r="F640" s="784" t="str">
        <f>'Base de datos Rutas'!H638</f>
        <v>No</v>
      </c>
      <c r="G640" s="785" t="str">
        <f>IF(ISNUMBER('Base de datos Rutas'!BE638),'Base de datos Rutas'!BE638,"")</f>
        <v/>
      </c>
      <c r="H640" s="786" t="str">
        <f>IF(ISNUMBER('Base de datos Rutas'!BH638),'Base de datos Rutas'!BH638,"")</f>
        <v/>
      </c>
      <c r="I640" s="788" t="str">
        <f>IFERROR(IF(OR(NOT(ISNUMBER('Base de datos Rutas'!O638)),N('Base de datos Rutas'!BK638)=0),"",'Base de datos Rutas'!O638/('Base de datos Rutas'!L638/'Base de datos Rutas'!BK638)),"")</f>
        <v/>
      </c>
      <c r="J640" s="788" t="str">
        <f>IFERROR(IF(OR(NOT(ISNUMBER('Base de datos Rutas'!N638)),N('Base de datos Rutas'!BK638)=0),"",'Base de datos Rutas'!N638/('Base de datos Rutas'!L638/'Base de datos Rutas'!BK638)),"")</f>
        <v/>
      </c>
      <c r="K640" s="788" t="str">
        <f>IFERROR(IF(OR(NOT(ISNUMBER('Base de datos Rutas'!J638)),N('Base de datos Rutas'!BK638)=0),"",'Base de datos Rutas'!J638/('Base de datos Rutas'!L638/'Base de datos Rutas'!BK638)),"")</f>
        <v/>
      </c>
      <c r="L640" s="788" t="str">
        <f>IFERROR(IF(OR(NOT(ISNUMBER('Base de datos Rutas'!K638)),N('Base de datos Rutas'!BK638)=0),"",'Base de datos Rutas'!K638/('Base de datos Rutas'!L638/'Base de datos Rutas'!BK638)),"")</f>
        <v/>
      </c>
      <c r="M640" s="787">
        <f>IF(ISNUMBER('Base de datos Rutas'!AX638),'Base de datos Rutas'!AX638,"")</f>
        <v>493.38437499999998</v>
      </c>
      <c r="N640" s="790">
        <f>IFERROR(INDEX('Hoja de apoyo v2'!B$17:B$20,MATCH($A640,'Hoja de apoyo v2'!$A$17:$A$20,0)),"")</f>
        <v>89.41621024641401</v>
      </c>
      <c r="O640" s="791">
        <f>IFERROR(INDEX('Hoja de apoyo v2'!C$17:C$20,MATCH($A640,'Hoja de apoyo v2'!$A$17:$A$20,0)),"")</f>
        <v>0.54706375874806301</v>
      </c>
      <c r="P640" s="793">
        <f>IFERROR(INDEX('Hoja de apoyo v2'!D$17:D$20,MATCH($A640,'Hoja de apoyo v2'!$A$17:$A$20,0)),"")</f>
        <v>11095.153935793827</v>
      </c>
      <c r="Q640" s="793">
        <f>IFERROR(INDEX('Hoja de apoyo v2'!E$17:E$20,MATCH($A640,'Hoja de apoyo v2'!$A$17:$A$20,0)),"")</f>
        <v>6982.3202019701848</v>
      </c>
      <c r="R640" s="793">
        <f>IFERROR(INDEX('Hoja de apoyo v2'!F$17:F$20,MATCH($A640,'Hoja de apoyo v2'!$A$17:$A$20,0)),"")</f>
        <v>448.09513474485743</v>
      </c>
      <c r="S640" s="793">
        <f>IFERROR(INDEX('Hoja de apoyo v2'!G$17:G$20,MATCH($A640,'Hoja de apoyo v2'!$A$17:$A$20,0)),"")</f>
        <v>83.406300904207839</v>
      </c>
      <c r="T640" s="792">
        <f>IFERROR(INDEX('Hoja de apoyo v2'!H$17:H$20,MATCH($A640,'Hoja de apoyo v2'!$A$17:$A$20,0)),"")</f>
        <v>378.97014028925349</v>
      </c>
      <c r="U640" s="794" t="str">
        <f t="shared" si="328"/>
        <v/>
      </c>
      <c r="V640" s="795" t="str">
        <f t="shared" si="329"/>
        <v/>
      </c>
      <c r="W640" s="795" t="str">
        <f t="shared" si="330"/>
        <v/>
      </c>
      <c r="X640" s="843" t="str">
        <f t="shared" si="331"/>
        <v/>
      </c>
      <c r="Y640" s="843" t="str">
        <f t="shared" si="332"/>
        <v/>
      </c>
      <c r="Z640" s="843" t="str">
        <f t="shared" si="333"/>
        <v/>
      </c>
      <c r="AA640" s="843">
        <f t="shared" si="334"/>
        <v>1.3019083103049187</v>
      </c>
      <c r="AB640" s="796">
        <f t="shared" si="335"/>
        <v>0</v>
      </c>
      <c r="AC640" s="797">
        <f t="shared" si="336"/>
        <v>0</v>
      </c>
      <c r="AD640" s="797">
        <f t="shared" si="337"/>
        <v>0</v>
      </c>
      <c r="AE640" s="842">
        <f t="shared" si="338"/>
        <v>0</v>
      </c>
      <c r="AF640" s="842">
        <f t="shared" si="339"/>
        <v>0</v>
      </c>
      <c r="AG640" s="842">
        <f t="shared" si="340"/>
        <v>0</v>
      </c>
      <c r="AH640" s="842">
        <f t="shared" si="341"/>
        <v>5</v>
      </c>
      <c r="AI640" s="826" cm="1">
        <f t="array" ref="AI640">SUMPRODUCT(--ISNUMBER($U640:$AA640),$AB$3:$AH$3)</f>
        <v>8.9789113613062493E-2</v>
      </c>
      <c r="AJ640" s="829" t="str">
        <f t="shared" si="342"/>
        <v/>
      </c>
      <c r="AK640" s="827" t="str">
        <f t="shared" si="343"/>
        <v>Ruta inactiva</v>
      </c>
      <c r="AL640" s="784" t="str">
        <f t="shared" si="344"/>
        <v>n/a</v>
      </c>
      <c r="AM640" s="799">
        <f>IF(ISNUMBER('Base de datos Rutas'!W638),'Base de datos Rutas'!W638,"")</f>
        <v>3060.1995418491324</v>
      </c>
      <c r="AN640" s="787">
        <f>IFERROR(SUMIFS('Base de datos Rutas'!$W$6:$W$794,'Base de datos Rutas'!$C$6:$C$794,$C640)/'Base de datos Rutas'!I638,"")</f>
        <v>3060.1995418491333</v>
      </c>
      <c r="AO640" s="800">
        <f>IFERROR('Base de datos Rutas'!X638*AN640/AM640,"")</f>
        <v>0.51841114131281618</v>
      </c>
      <c r="AP640" s="800">
        <f t="shared" si="345"/>
        <v>0.48158885868718382</v>
      </c>
      <c r="AQ640" s="789">
        <f>IFERROR(INDEX('Hoja de apoyo v2'!$J$17:$J$20,MATCH($A640,'Hoja de apoyo v2'!$A$17:$A$20,0)),"")</f>
        <v>0.64320274048480885</v>
      </c>
      <c r="AR640" s="789">
        <f t="shared" si="346"/>
        <v>-0.16161388179762504</v>
      </c>
      <c r="AS640" s="784" t="str">
        <f t="shared" si="347"/>
        <v>No</v>
      </c>
      <c r="AT640" s="801" t="str">
        <f>IF(ISNUMBER('Base de datos Rutas'!CK638),'Base de datos Rutas'!CK638,"")</f>
        <v/>
      </c>
      <c r="AU640" s="802" t="str">
        <f>IF(ISNUMBER('Base de datos Rutas'!CL638),'Base de datos Rutas'!CL638,"")</f>
        <v/>
      </c>
      <c r="AV640" s="802">
        <f>IF(ISNUMBER('Base de datos Rutas'!CM638),'Base de datos Rutas'!CM638,"")</f>
        <v>0</v>
      </c>
      <c r="AW640" s="802" t="str">
        <f>IF(ISNUMBER('Base de datos Rutas'!CN638),'Base de datos Rutas'!CN638,"")</f>
        <v/>
      </c>
      <c r="AX640" s="802" t="str">
        <f>IF(ISNUMBER('Base de datos Rutas'!CO638),'Base de datos Rutas'!CO638,"")</f>
        <v/>
      </c>
      <c r="AY640" s="802">
        <f>IF(ISNUMBER('Base de datos Rutas'!CP638),'Base de datos Rutas'!CP638,"")</f>
        <v>0</v>
      </c>
      <c r="AZ640" s="802" t="str">
        <f>IF(ISNUMBER('Base de datos Rutas'!CQ638),'Base de datos Rutas'!CQ638,"")</f>
        <v/>
      </c>
      <c r="BA640" s="802" t="str">
        <f>IF(ISNUMBER('Base de datos Rutas'!CR638),'Base de datos Rutas'!CR638,"")</f>
        <v/>
      </c>
      <c r="BB640" s="803">
        <f>IF(ISNUMBER('Base de datos Rutas'!CS638),'Base de datos Rutas'!CS638,"")</f>
        <v>0</v>
      </c>
      <c r="BC640" s="804" t="str">
        <f t="shared" si="357"/>
        <v/>
      </c>
      <c r="BD640" s="805" t="str">
        <f t="shared" si="358"/>
        <v>N/D</v>
      </c>
      <c r="BE640" s="806" t="str">
        <f t="shared" si="359"/>
        <v/>
      </c>
      <c r="BF640" s="890" t="str">
        <f>IF(ISNUMBER('Base de datos Rutas'!CX638),'Base de datos Rutas'!CX638/100,"")</f>
        <v/>
      </c>
      <c r="BG640" s="891" t="str">
        <f>IF(ISNUMBER('Base de datos Rutas'!CZ638),'Base de datos Rutas'!CZ638/100,"")</f>
        <v/>
      </c>
      <c r="BH640" s="892" t="str">
        <f>IF(ISNUMBER('Base de datos Rutas'!DA638),'Base de datos Rutas'!DA638,"")</f>
        <v/>
      </c>
      <c r="BI640" s="893" t="str">
        <f>IF(ISNUMBER('Base de datos Rutas'!DC638),'Base de datos Rutas'!DC638,"")</f>
        <v/>
      </c>
      <c r="BJ640" s="805" t="str">
        <f t="shared" si="360"/>
        <v>Sin dato</v>
      </c>
      <c r="BK640" s="783">
        <f t="shared" si="348"/>
        <v>0</v>
      </c>
      <c r="BL640" s="797">
        <f t="shared" si="349"/>
        <v>0</v>
      </c>
      <c r="BM640" s="797">
        <f t="shared" si="350"/>
        <v>0</v>
      </c>
      <c r="BN640" s="797">
        <f t="shared" si="351"/>
        <v>0</v>
      </c>
      <c r="BO640" s="798" cm="1">
        <f t="array" ref="BO640">SUMPRODUCT(--ISNUMBER($BF640:$BI640),$BK$3:$BN$3)</f>
        <v>0</v>
      </c>
      <c r="BP640" s="831" t="str">
        <f t="shared" si="361"/>
        <v/>
      </c>
      <c r="BQ640" s="834" t="str">
        <f t="shared" si="362"/>
        <v>Sin datos</v>
      </c>
      <c r="BR640" s="836" t="str">
        <f t="shared" si="352"/>
        <v/>
      </c>
      <c r="BS640" s="836" t="str">
        <f t="shared" si="353"/>
        <v/>
      </c>
      <c r="BT640" s="837" t="str">
        <f t="shared" si="354"/>
        <v>Sin datos</v>
      </c>
      <c r="BU640" s="807" t="str">
        <f t="shared" si="363"/>
        <v>No evaluable</v>
      </c>
      <c r="BV640" s="807" t="str">
        <f t="shared" si="355"/>
        <v>No evaluable</v>
      </c>
      <c r="BW640" s="808" t="str">
        <f t="shared" si="356"/>
        <v>Sin datos</v>
      </c>
    </row>
    <row r="641" spans="1:75">
      <c r="A641" s="780" t="str">
        <f>'Base de datos Rutas'!A639</f>
        <v>Occidente</v>
      </c>
      <c r="B641" s="781" t="str">
        <f>'Base de datos Rutas'!B639</f>
        <v>Favorita</v>
      </c>
      <c r="C641" s="781" t="str">
        <f>'Base de datos Rutas'!C639</f>
        <v>Suc. Toluquilla</v>
      </c>
      <c r="D641" s="782">
        <f>IF(ISNUMBER('Base de datos Rutas'!D639),'Base de datos Rutas'!D639,"Sin código")</f>
        <v>804353</v>
      </c>
      <c r="E641" s="783" t="str">
        <f>'Base de datos Rutas'!F639</f>
        <v>Inactiva</v>
      </c>
      <c r="F641" s="784" t="str">
        <f>'Base de datos Rutas'!H639</f>
        <v>No</v>
      </c>
      <c r="G641" s="785" t="str">
        <f>IF(ISNUMBER('Base de datos Rutas'!BE639),'Base de datos Rutas'!BE639,"")</f>
        <v/>
      </c>
      <c r="H641" s="786" t="str">
        <f>IF(ISNUMBER('Base de datos Rutas'!BH639),'Base de datos Rutas'!BH639,"")</f>
        <v/>
      </c>
      <c r="I641" s="788" t="str">
        <f>IFERROR(IF(OR(NOT(ISNUMBER('Base de datos Rutas'!O639)),N('Base de datos Rutas'!BK639)=0),"",'Base de datos Rutas'!O639/('Base de datos Rutas'!L639/'Base de datos Rutas'!BK639)),"")</f>
        <v/>
      </c>
      <c r="J641" s="788" t="str">
        <f>IFERROR(IF(OR(NOT(ISNUMBER('Base de datos Rutas'!N639)),N('Base de datos Rutas'!BK639)=0),"",'Base de datos Rutas'!N639/('Base de datos Rutas'!L639/'Base de datos Rutas'!BK639)),"")</f>
        <v/>
      </c>
      <c r="K641" s="788" t="str">
        <f>IFERROR(IF(OR(NOT(ISNUMBER('Base de datos Rutas'!J639)),N('Base de datos Rutas'!BK639)=0),"",'Base de datos Rutas'!J639/('Base de datos Rutas'!L639/'Base de datos Rutas'!BK639)),"")</f>
        <v/>
      </c>
      <c r="L641" s="788" t="str">
        <f>IFERROR(IF(OR(NOT(ISNUMBER('Base de datos Rutas'!K639)),N('Base de datos Rutas'!BK639)=0),"",'Base de datos Rutas'!K639/('Base de datos Rutas'!L639/'Base de datos Rutas'!BK639)),"")</f>
        <v/>
      </c>
      <c r="M641" s="787">
        <f>IF(ISNUMBER('Base de datos Rutas'!AX639),'Base de datos Rutas'!AX639,"")</f>
        <v>225.28888888888901</v>
      </c>
      <c r="N641" s="790">
        <f>IFERROR(INDEX('Hoja de apoyo v2'!B$17:B$20,MATCH($A641,'Hoja de apoyo v2'!$A$17:$A$20,0)),"")</f>
        <v>89.41621024641401</v>
      </c>
      <c r="O641" s="791">
        <f>IFERROR(INDEX('Hoja de apoyo v2'!C$17:C$20,MATCH($A641,'Hoja de apoyo v2'!$A$17:$A$20,0)),"")</f>
        <v>0.54706375874806301</v>
      </c>
      <c r="P641" s="793">
        <f>IFERROR(INDEX('Hoja de apoyo v2'!D$17:D$20,MATCH($A641,'Hoja de apoyo v2'!$A$17:$A$20,0)),"")</f>
        <v>11095.153935793827</v>
      </c>
      <c r="Q641" s="793">
        <f>IFERROR(INDEX('Hoja de apoyo v2'!E$17:E$20,MATCH($A641,'Hoja de apoyo v2'!$A$17:$A$20,0)),"")</f>
        <v>6982.3202019701848</v>
      </c>
      <c r="R641" s="793">
        <f>IFERROR(INDEX('Hoja de apoyo v2'!F$17:F$20,MATCH($A641,'Hoja de apoyo v2'!$A$17:$A$20,0)),"")</f>
        <v>448.09513474485743</v>
      </c>
      <c r="S641" s="793">
        <f>IFERROR(INDEX('Hoja de apoyo v2'!G$17:G$20,MATCH($A641,'Hoja de apoyo v2'!$A$17:$A$20,0)),"")</f>
        <v>83.406300904207839</v>
      </c>
      <c r="T641" s="792">
        <f>IFERROR(INDEX('Hoja de apoyo v2'!H$17:H$20,MATCH($A641,'Hoja de apoyo v2'!$A$17:$A$20,0)),"")</f>
        <v>378.97014028925349</v>
      </c>
      <c r="U641" s="794" t="str">
        <f t="shared" si="328"/>
        <v/>
      </c>
      <c r="V641" s="795" t="str">
        <f t="shared" si="329"/>
        <v/>
      </c>
      <c r="W641" s="795" t="str">
        <f t="shared" si="330"/>
        <v/>
      </c>
      <c r="X641" s="843" t="str">
        <f t="shared" si="331"/>
        <v/>
      </c>
      <c r="Y641" s="843" t="str">
        <f t="shared" si="332"/>
        <v/>
      </c>
      <c r="Z641" s="843" t="str">
        <f t="shared" si="333"/>
        <v/>
      </c>
      <c r="AA641" s="843">
        <f t="shared" si="334"/>
        <v>0.59447662213422559</v>
      </c>
      <c r="AB641" s="796">
        <f t="shared" si="335"/>
        <v>0</v>
      </c>
      <c r="AC641" s="797">
        <f t="shared" si="336"/>
        <v>0</v>
      </c>
      <c r="AD641" s="797">
        <f t="shared" si="337"/>
        <v>0</v>
      </c>
      <c r="AE641" s="842">
        <f t="shared" si="338"/>
        <v>0</v>
      </c>
      <c r="AF641" s="842">
        <f t="shared" si="339"/>
        <v>0</v>
      </c>
      <c r="AG641" s="842">
        <f t="shared" si="340"/>
        <v>0</v>
      </c>
      <c r="AH641" s="842">
        <f t="shared" si="341"/>
        <v>2</v>
      </c>
      <c r="AI641" s="826" cm="1">
        <f t="array" ref="AI641">SUMPRODUCT(--ISNUMBER($U641:$AA641),$AB$3:$AH$3)</f>
        <v>8.9789113613062493E-2</v>
      </c>
      <c r="AJ641" s="829" t="str">
        <f t="shared" si="342"/>
        <v/>
      </c>
      <c r="AK641" s="827" t="str">
        <f t="shared" si="343"/>
        <v>Ruta inactiva</v>
      </c>
      <c r="AL641" s="784" t="str">
        <f t="shared" si="344"/>
        <v>n/a</v>
      </c>
      <c r="AM641" s="799">
        <f>IF(ISNUMBER('Base de datos Rutas'!W639),'Base de datos Rutas'!W639,"")</f>
        <v>3060.1995418491324</v>
      </c>
      <c r="AN641" s="787">
        <f>IFERROR(SUMIFS('Base de datos Rutas'!$W$6:$W$794,'Base de datos Rutas'!$C$6:$C$794,$C641)/'Base de datos Rutas'!I639,"")</f>
        <v>3060.1995418491333</v>
      </c>
      <c r="AO641" s="800">
        <f>IFERROR('Base de datos Rutas'!X639*AN641/AM641,"")</f>
        <v>0.51841114131281618</v>
      </c>
      <c r="AP641" s="800">
        <f t="shared" si="345"/>
        <v>0.48158885868718382</v>
      </c>
      <c r="AQ641" s="789">
        <f>IFERROR(INDEX('Hoja de apoyo v2'!$J$17:$J$20,MATCH($A641,'Hoja de apoyo v2'!$A$17:$A$20,0)),"")</f>
        <v>0.64320274048480885</v>
      </c>
      <c r="AR641" s="789">
        <f t="shared" si="346"/>
        <v>-0.16161388179762504</v>
      </c>
      <c r="AS641" s="784" t="str">
        <f t="shared" si="347"/>
        <v>No</v>
      </c>
      <c r="AT641" s="801" t="str">
        <f>IF(ISNUMBER('Base de datos Rutas'!CK639),'Base de datos Rutas'!CK639,"")</f>
        <v/>
      </c>
      <c r="AU641" s="802" t="str">
        <f>IF(ISNUMBER('Base de datos Rutas'!CL639),'Base de datos Rutas'!CL639,"")</f>
        <v/>
      </c>
      <c r="AV641" s="802">
        <f>IF(ISNUMBER('Base de datos Rutas'!CM639),'Base de datos Rutas'!CM639,"")</f>
        <v>0</v>
      </c>
      <c r="AW641" s="802" t="str">
        <f>IF(ISNUMBER('Base de datos Rutas'!CN639),'Base de datos Rutas'!CN639,"")</f>
        <v/>
      </c>
      <c r="AX641" s="802" t="str">
        <f>IF(ISNUMBER('Base de datos Rutas'!CO639),'Base de datos Rutas'!CO639,"")</f>
        <v/>
      </c>
      <c r="AY641" s="802">
        <f>IF(ISNUMBER('Base de datos Rutas'!CP639),'Base de datos Rutas'!CP639,"")</f>
        <v>0</v>
      </c>
      <c r="AZ641" s="802" t="str">
        <f>IF(ISNUMBER('Base de datos Rutas'!CQ639),'Base de datos Rutas'!CQ639,"")</f>
        <v/>
      </c>
      <c r="BA641" s="802" t="str">
        <f>IF(ISNUMBER('Base de datos Rutas'!CR639),'Base de datos Rutas'!CR639,"")</f>
        <v/>
      </c>
      <c r="BB641" s="803">
        <f>IF(ISNUMBER('Base de datos Rutas'!CS639),'Base de datos Rutas'!CS639,"")</f>
        <v>0</v>
      </c>
      <c r="BC641" s="804" t="str">
        <f t="shared" si="357"/>
        <v/>
      </c>
      <c r="BD641" s="805" t="str">
        <f t="shared" si="358"/>
        <v>N/D</v>
      </c>
      <c r="BE641" s="806" t="str">
        <f t="shared" si="359"/>
        <v/>
      </c>
      <c r="BF641" s="890" t="str">
        <f>IF(ISNUMBER('Base de datos Rutas'!CX639),'Base de datos Rutas'!CX639/100,"")</f>
        <v/>
      </c>
      <c r="BG641" s="891" t="str">
        <f>IF(ISNUMBER('Base de datos Rutas'!CZ639),'Base de datos Rutas'!CZ639/100,"")</f>
        <v/>
      </c>
      <c r="BH641" s="892" t="str">
        <f>IF(ISNUMBER('Base de datos Rutas'!DA639),'Base de datos Rutas'!DA639,"")</f>
        <v/>
      </c>
      <c r="BI641" s="893" t="str">
        <f>IF(ISNUMBER('Base de datos Rutas'!DC639),'Base de datos Rutas'!DC639,"")</f>
        <v/>
      </c>
      <c r="BJ641" s="805" t="str">
        <f t="shared" si="360"/>
        <v>Sin dato</v>
      </c>
      <c r="BK641" s="783">
        <f t="shared" si="348"/>
        <v>0</v>
      </c>
      <c r="BL641" s="797">
        <f t="shared" si="349"/>
        <v>0</v>
      </c>
      <c r="BM641" s="797">
        <f t="shared" si="350"/>
        <v>0</v>
      </c>
      <c r="BN641" s="797">
        <f t="shared" si="351"/>
        <v>0</v>
      </c>
      <c r="BO641" s="798" cm="1">
        <f t="array" ref="BO641">SUMPRODUCT(--ISNUMBER($BF641:$BI641),$BK$3:$BN$3)</f>
        <v>0</v>
      </c>
      <c r="BP641" s="831" t="str">
        <f t="shared" si="361"/>
        <v/>
      </c>
      <c r="BQ641" s="834" t="str">
        <f t="shared" si="362"/>
        <v>Sin datos</v>
      </c>
      <c r="BR641" s="836" t="str">
        <f t="shared" si="352"/>
        <v/>
      </c>
      <c r="BS641" s="836" t="str">
        <f t="shared" si="353"/>
        <v/>
      </c>
      <c r="BT641" s="837" t="str">
        <f t="shared" si="354"/>
        <v>Sin datos</v>
      </c>
      <c r="BU641" s="807" t="str">
        <f t="shared" si="363"/>
        <v>No evaluable</v>
      </c>
      <c r="BV641" s="807" t="str">
        <f t="shared" si="355"/>
        <v>No evaluable</v>
      </c>
      <c r="BW641" s="808" t="str">
        <f t="shared" si="356"/>
        <v>Sin datos</v>
      </c>
    </row>
    <row r="642" spans="1:75">
      <c r="A642" s="780" t="str">
        <f>'Base de datos Rutas'!A640</f>
        <v>Occidente</v>
      </c>
      <c r="B642" s="781" t="str">
        <f>'Base de datos Rutas'!B640</f>
        <v>Favorita</v>
      </c>
      <c r="C642" s="781" t="str">
        <f>'Base de datos Rutas'!C640</f>
        <v>Suc. Toluquilla</v>
      </c>
      <c r="D642" s="782">
        <f>IF(ISNUMBER('Base de datos Rutas'!D640),'Base de datos Rutas'!D640,"Sin código")</f>
        <v>804362</v>
      </c>
      <c r="E642" s="783" t="str">
        <f>'Base de datos Rutas'!F640</f>
        <v>Activa</v>
      </c>
      <c r="F642" s="784" t="str">
        <f>'Base de datos Rutas'!H640</f>
        <v>No</v>
      </c>
      <c r="G642" s="785" t="str">
        <f>IF(ISNUMBER('Base de datos Rutas'!BE640),'Base de datos Rutas'!BE640,"")</f>
        <v/>
      </c>
      <c r="H642" s="786" t="str">
        <f>IF(ISNUMBER('Base de datos Rutas'!BH640),'Base de datos Rutas'!BH640,"")</f>
        <v/>
      </c>
      <c r="I642" s="788" t="str">
        <f>IFERROR(IF(OR(NOT(ISNUMBER('Base de datos Rutas'!O640)),N('Base de datos Rutas'!BK640)=0),"",'Base de datos Rutas'!O640/('Base de datos Rutas'!L640/'Base de datos Rutas'!BK640)),"")</f>
        <v/>
      </c>
      <c r="J642" s="788" t="str">
        <f>IFERROR(IF(OR(NOT(ISNUMBER('Base de datos Rutas'!N640)),N('Base de datos Rutas'!BK640)=0),"",'Base de datos Rutas'!N640/('Base de datos Rutas'!L640/'Base de datos Rutas'!BK640)),"")</f>
        <v/>
      </c>
      <c r="K642" s="788" t="str">
        <f>IFERROR(IF(OR(NOT(ISNUMBER('Base de datos Rutas'!J640)),N('Base de datos Rutas'!BK640)=0),"",'Base de datos Rutas'!J640/('Base de datos Rutas'!L640/'Base de datos Rutas'!BK640)),"")</f>
        <v/>
      </c>
      <c r="L642" s="788" t="str">
        <f>IFERROR(IF(OR(NOT(ISNUMBER('Base de datos Rutas'!K640)),N('Base de datos Rutas'!BK640)=0),"",'Base de datos Rutas'!K640/('Base de datos Rutas'!L640/'Base de datos Rutas'!BK640)),"")</f>
        <v/>
      </c>
      <c r="M642" s="787">
        <f>IF(ISNUMBER('Base de datos Rutas'!AX640),'Base de datos Rutas'!AX640,"")</f>
        <v>170.5</v>
      </c>
      <c r="N642" s="790">
        <f>IFERROR(INDEX('Hoja de apoyo v2'!B$17:B$20,MATCH($A642,'Hoja de apoyo v2'!$A$17:$A$20,0)),"")</f>
        <v>89.41621024641401</v>
      </c>
      <c r="O642" s="791">
        <f>IFERROR(INDEX('Hoja de apoyo v2'!C$17:C$20,MATCH($A642,'Hoja de apoyo v2'!$A$17:$A$20,0)),"")</f>
        <v>0.54706375874806301</v>
      </c>
      <c r="P642" s="793">
        <f>IFERROR(INDEX('Hoja de apoyo v2'!D$17:D$20,MATCH($A642,'Hoja de apoyo v2'!$A$17:$A$20,0)),"")</f>
        <v>11095.153935793827</v>
      </c>
      <c r="Q642" s="793">
        <f>IFERROR(INDEX('Hoja de apoyo v2'!E$17:E$20,MATCH($A642,'Hoja de apoyo v2'!$A$17:$A$20,0)),"")</f>
        <v>6982.3202019701848</v>
      </c>
      <c r="R642" s="793">
        <f>IFERROR(INDEX('Hoja de apoyo v2'!F$17:F$20,MATCH($A642,'Hoja de apoyo v2'!$A$17:$A$20,0)),"")</f>
        <v>448.09513474485743</v>
      </c>
      <c r="S642" s="793">
        <f>IFERROR(INDEX('Hoja de apoyo v2'!G$17:G$20,MATCH($A642,'Hoja de apoyo v2'!$A$17:$A$20,0)),"")</f>
        <v>83.406300904207839</v>
      </c>
      <c r="T642" s="792">
        <f>IFERROR(INDEX('Hoja de apoyo v2'!H$17:H$20,MATCH($A642,'Hoja de apoyo v2'!$A$17:$A$20,0)),"")</f>
        <v>378.97014028925349</v>
      </c>
      <c r="U642" s="794" t="str">
        <f t="shared" si="328"/>
        <v/>
      </c>
      <c r="V642" s="795" t="str">
        <f t="shared" si="329"/>
        <v/>
      </c>
      <c r="W642" s="795" t="str">
        <f t="shared" si="330"/>
        <v/>
      </c>
      <c r="X642" s="843" t="str">
        <f t="shared" si="331"/>
        <v/>
      </c>
      <c r="Y642" s="843" t="str">
        <f t="shared" si="332"/>
        <v/>
      </c>
      <c r="Z642" s="843" t="str">
        <f t="shared" si="333"/>
        <v/>
      </c>
      <c r="AA642" s="843">
        <f t="shared" si="334"/>
        <v>0.44990351975979909</v>
      </c>
      <c r="AB642" s="796">
        <f t="shared" si="335"/>
        <v>0</v>
      </c>
      <c r="AC642" s="797">
        <f t="shared" si="336"/>
        <v>0</v>
      </c>
      <c r="AD642" s="797">
        <f t="shared" si="337"/>
        <v>0</v>
      </c>
      <c r="AE642" s="842">
        <f t="shared" si="338"/>
        <v>0</v>
      </c>
      <c r="AF642" s="842">
        <f t="shared" si="339"/>
        <v>0</v>
      </c>
      <c r="AG642" s="842">
        <f t="shared" si="340"/>
        <v>0</v>
      </c>
      <c r="AH642" s="842">
        <f t="shared" si="341"/>
        <v>1</v>
      </c>
      <c r="AI642" s="826" cm="1">
        <f t="array" ref="AI642">SUMPRODUCT(--ISNUMBER($U642:$AA642),$AB$3:$AH$3)</f>
        <v>8.9789113613062493E-2</v>
      </c>
      <c r="AJ642" s="829" t="str">
        <f t="shared" si="342"/>
        <v/>
      </c>
      <c r="AK642" s="827" t="str">
        <f t="shared" si="343"/>
        <v>No elegible</v>
      </c>
      <c r="AL642" s="784" t="str">
        <f t="shared" si="344"/>
        <v>n/a</v>
      </c>
      <c r="AM642" s="799">
        <f>IF(ISNUMBER('Base de datos Rutas'!W640),'Base de datos Rutas'!W640,"")</f>
        <v>3060.1995418491324</v>
      </c>
      <c r="AN642" s="787">
        <f>IFERROR(SUMIFS('Base de datos Rutas'!$W$6:$W$794,'Base de datos Rutas'!$C$6:$C$794,$C642)/'Base de datos Rutas'!I640,"")</f>
        <v>3060.1995418491333</v>
      </c>
      <c r="AO642" s="800">
        <f>IFERROR('Base de datos Rutas'!X640*AN642/AM642,"")</f>
        <v>0.51841114131281618</v>
      </c>
      <c r="AP642" s="800">
        <f t="shared" si="345"/>
        <v>0.48158885868718382</v>
      </c>
      <c r="AQ642" s="789">
        <f>IFERROR(INDEX('Hoja de apoyo v2'!$J$17:$J$20,MATCH($A642,'Hoja de apoyo v2'!$A$17:$A$20,0)),"")</f>
        <v>0.64320274048480885</v>
      </c>
      <c r="AR642" s="789">
        <f t="shared" si="346"/>
        <v>-0.16161388179762504</v>
      </c>
      <c r="AS642" s="784" t="str">
        <f t="shared" si="347"/>
        <v>No</v>
      </c>
      <c r="AT642" s="801" t="str">
        <f>IF(ISNUMBER('Base de datos Rutas'!CK640),'Base de datos Rutas'!CK640,"")</f>
        <v/>
      </c>
      <c r="AU642" s="802" t="str">
        <f>IF(ISNUMBER('Base de datos Rutas'!CL640),'Base de datos Rutas'!CL640,"")</f>
        <v/>
      </c>
      <c r="AV642" s="802">
        <f>IF(ISNUMBER('Base de datos Rutas'!CM640),'Base de datos Rutas'!CM640,"")</f>
        <v>0</v>
      </c>
      <c r="AW642" s="802" t="str">
        <f>IF(ISNUMBER('Base de datos Rutas'!CN640),'Base de datos Rutas'!CN640,"")</f>
        <v/>
      </c>
      <c r="AX642" s="802" t="str">
        <f>IF(ISNUMBER('Base de datos Rutas'!CO640),'Base de datos Rutas'!CO640,"")</f>
        <v/>
      </c>
      <c r="AY642" s="802">
        <f>IF(ISNUMBER('Base de datos Rutas'!CP640),'Base de datos Rutas'!CP640,"")</f>
        <v>0</v>
      </c>
      <c r="AZ642" s="802" t="str">
        <f>IF(ISNUMBER('Base de datos Rutas'!CQ640),'Base de datos Rutas'!CQ640,"")</f>
        <v/>
      </c>
      <c r="BA642" s="802" t="str">
        <f>IF(ISNUMBER('Base de datos Rutas'!CR640),'Base de datos Rutas'!CR640,"")</f>
        <v/>
      </c>
      <c r="BB642" s="803">
        <f>IF(ISNUMBER('Base de datos Rutas'!CS640),'Base de datos Rutas'!CS640,"")</f>
        <v>0</v>
      </c>
      <c r="BC642" s="804" t="str">
        <f t="shared" si="357"/>
        <v/>
      </c>
      <c r="BD642" s="805" t="str">
        <f t="shared" si="358"/>
        <v>N/D</v>
      </c>
      <c r="BE642" s="806" t="str">
        <f t="shared" si="359"/>
        <v/>
      </c>
      <c r="BF642" s="890" t="str">
        <f>IF(ISNUMBER('Base de datos Rutas'!CX640),'Base de datos Rutas'!CX640/100,"")</f>
        <v/>
      </c>
      <c r="BG642" s="891" t="str">
        <f>IF(ISNUMBER('Base de datos Rutas'!CZ640),'Base de datos Rutas'!CZ640/100,"")</f>
        <v/>
      </c>
      <c r="BH642" s="892" t="str">
        <f>IF(ISNUMBER('Base de datos Rutas'!DA640),'Base de datos Rutas'!DA640,"")</f>
        <v/>
      </c>
      <c r="BI642" s="893" t="str">
        <f>IF(ISNUMBER('Base de datos Rutas'!DC640),'Base de datos Rutas'!DC640,"")</f>
        <v/>
      </c>
      <c r="BJ642" s="805" t="str">
        <f t="shared" si="360"/>
        <v>Sin dato</v>
      </c>
      <c r="BK642" s="783">
        <f t="shared" si="348"/>
        <v>0</v>
      </c>
      <c r="BL642" s="797">
        <f t="shared" si="349"/>
        <v>0</v>
      </c>
      <c r="BM642" s="797">
        <f t="shared" si="350"/>
        <v>0</v>
      </c>
      <c r="BN642" s="797">
        <f t="shared" si="351"/>
        <v>0</v>
      </c>
      <c r="BO642" s="798" cm="1">
        <f t="array" ref="BO642">SUMPRODUCT(--ISNUMBER($BF642:$BI642),$BK$3:$BN$3)</f>
        <v>0</v>
      </c>
      <c r="BP642" s="831" t="str">
        <f t="shared" si="361"/>
        <v/>
      </c>
      <c r="BQ642" s="834" t="str">
        <f t="shared" si="362"/>
        <v>Sin datos</v>
      </c>
      <c r="BR642" s="836" t="str">
        <f t="shared" si="352"/>
        <v/>
      </c>
      <c r="BS642" s="836" t="str">
        <f t="shared" si="353"/>
        <v/>
      </c>
      <c r="BT642" s="837" t="str">
        <f t="shared" si="354"/>
        <v>Sin datos</v>
      </c>
      <c r="BU642" s="807" t="str">
        <f t="shared" si="363"/>
        <v>No evaluable</v>
      </c>
      <c r="BV642" s="807" t="str">
        <f t="shared" si="355"/>
        <v>No evaluable</v>
      </c>
      <c r="BW642" s="808" t="str">
        <f t="shared" si="356"/>
        <v>Sin datos</v>
      </c>
    </row>
    <row r="643" spans="1:75">
      <c r="A643" s="780" t="str">
        <f>'Base de datos Rutas'!A641</f>
        <v>Occidente</v>
      </c>
      <c r="B643" s="781" t="str">
        <f>'Base de datos Rutas'!B641</f>
        <v>Favorita</v>
      </c>
      <c r="C643" s="781" t="str">
        <f>'Base de datos Rutas'!C641</f>
        <v>Suc. Toluquilla</v>
      </c>
      <c r="D643" s="782">
        <f>IF(ISNUMBER('Base de datos Rutas'!D641),'Base de datos Rutas'!D641,"Sin código")</f>
        <v>804371</v>
      </c>
      <c r="E643" s="783" t="str">
        <f>'Base de datos Rutas'!F641</f>
        <v>Inactiva</v>
      </c>
      <c r="F643" s="784" t="str">
        <f>'Base de datos Rutas'!H641</f>
        <v>No</v>
      </c>
      <c r="G643" s="785" t="str">
        <f>IF(ISNUMBER('Base de datos Rutas'!BE641),'Base de datos Rutas'!BE641,"")</f>
        <v/>
      </c>
      <c r="H643" s="786" t="str">
        <f>IF(ISNUMBER('Base de datos Rutas'!BH641),'Base de datos Rutas'!BH641,"")</f>
        <v/>
      </c>
      <c r="I643" s="788" t="str">
        <f>IFERROR(IF(OR(NOT(ISNUMBER('Base de datos Rutas'!O641)),N('Base de datos Rutas'!BK641)=0),"",'Base de datos Rutas'!O641/('Base de datos Rutas'!L641/'Base de datos Rutas'!BK641)),"")</f>
        <v/>
      </c>
      <c r="J643" s="788" t="str">
        <f>IFERROR(IF(OR(NOT(ISNUMBER('Base de datos Rutas'!N641)),N('Base de datos Rutas'!BK641)=0),"",'Base de datos Rutas'!N641/('Base de datos Rutas'!L641/'Base de datos Rutas'!BK641)),"")</f>
        <v/>
      </c>
      <c r="K643" s="788" t="str">
        <f>IFERROR(IF(OR(NOT(ISNUMBER('Base de datos Rutas'!J641)),N('Base de datos Rutas'!BK641)=0),"",'Base de datos Rutas'!J641/('Base de datos Rutas'!L641/'Base de datos Rutas'!BK641)),"")</f>
        <v/>
      </c>
      <c r="L643" s="788" t="str">
        <f>IFERROR(IF(OR(NOT(ISNUMBER('Base de datos Rutas'!K641)),N('Base de datos Rutas'!BK641)=0),"",'Base de datos Rutas'!K641/('Base de datos Rutas'!L641/'Base de datos Rutas'!BK641)),"")</f>
        <v/>
      </c>
      <c r="M643" s="787">
        <f>IF(ISNUMBER('Base de datos Rutas'!AX641),'Base de datos Rutas'!AX641,"")</f>
        <v>300</v>
      </c>
      <c r="N643" s="790">
        <f>IFERROR(INDEX('Hoja de apoyo v2'!B$17:B$20,MATCH($A643,'Hoja de apoyo v2'!$A$17:$A$20,0)),"")</f>
        <v>89.41621024641401</v>
      </c>
      <c r="O643" s="791">
        <f>IFERROR(INDEX('Hoja de apoyo v2'!C$17:C$20,MATCH($A643,'Hoja de apoyo v2'!$A$17:$A$20,0)),"")</f>
        <v>0.54706375874806301</v>
      </c>
      <c r="P643" s="793">
        <f>IFERROR(INDEX('Hoja de apoyo v2'!D$17:D$20,MATCH($A643,'Hoja de apoyo v2'!$A$17:$A$20,0)),"")</f>
        <v>11095.153935793827</v>
      </c>
      <c r="Q643" s="793">
        <f>IFERROR(INDEX('Hoja de apoyo v2'!E$17:E$20,MATCH($A643,'Hoja de apoyo v2'!$A$17:$A$20,0)),"")</f>
        <v>6982.3202019701848</v>
      </c>
      <c r="R643" s="793">
        <f>IFERROR(INDEX('Hoja de apoyo v2'!F$17:F$20,MATCH($A643,'Hoja de apoyo v2'!$A$17:$A$20,0)),"")</f>
        <v>448.09513474485743</v>
      </c>
      <c r="S643" s="793">
        <f>IFERROR(INDEX('Hoja de apoyo v2'!G$17:G$20,MATCH($A643,'Hoja de apoyo v2'!$A$17:$A$20,0)),"")</f>
        <v>83.406300904207839</v>
      </c>
      <c r="T643" s="792">
        <f>IFERROR(INDEX('Hoja de apoyo v2'!H$17:H$20,MATCH($A643,'Hoja de apoyo v2'!$A$17:$A$20,0)),"")</f>
        <v>378.97014028925349</v>
      </c>
      <c r="U643" s="794" t="str">
        <f t="shared" si="328"/>
        <v/>
      </c>
      <c r="V643" s="795" t="str">
        <f t="shared" si="329"/>
        <v/>
      </c>
      <c r="W643" s="795" t="str">
        <f t="shared" si="330"/>
        <v/>
      </c>
      <c r="X643" s="843" t="str">
        <f t="shared" si="331"/>
        <v/>
      </c>
      <c r="Y643" s="843" t="str">
        <f t="shared" si="332"/>
        <v/>
      </c>
      <c r="Z643" s="843" t="str">
        <f t="shared" si="333"/>
        <v/>
      </c>
      <c r="AA643" s="843">
        <f t="shared" si="334"/>
        <v>0.7916190963515527</v>
      </c>
      <c r="AB643" s="796">
        <f t="shared" si="335"/>
        <v>0</v>
      </c>
      <c r="AC643" s="797">
        <f t="shared" si="336"/>
        <v>0</v>
      </c>
      <c r="AD643" s="797">
        <f t="shared" si="337"/>
        <v>0</v>
      </c>
      <c r="AE643" s="842">
        <f t="shared" si="338"/>
        <v>0</v>
      </c>
      <c r="AF643" s="842">
        <f t="shared" si="339"/>
        <v>0</v>
      </c>
      <c r="AG643" s="842">
        <f t="shared" si="340"/>
        <v>0</v>
      </c>
      <c r="AH643" s="842">
        <f t="shared" si="341"/>
        <v>3</v>
      </c>
      <c r="AI643" s="826" cm="1">
        <f t="array" ref="AI643">SUMPRODUCT(--ISNUMBER($U643:$AA643),$AB$3:$AH$3)</f>
        <v>8.9789113613062493E-2</v>
      </c>
      <c r="AJ643" s="829" t="str">
        <f t="shared" si="342"/>
        <v/>
      </c>
      <c r="AK643" s="827" t="str">
        <f t="shared" si="343"/>
        <v>Ruta inactiva</v>
      </c>
      <c r="AL643" s="784" t="str">
        <f t="shared" si="344"/>
        <v>n/a</v>
      </c>
      <c r="AM643" s="799">
        <f>IF(ISNUMBER('Base de datos Rutas'!W641),'Base de datos Rutas'!W641,"")</f>
        <v>3060.1995418491324</v>
      </c>
      <c r="AN643" s="787">
        <f>IFERROR(SUMIFS('Base de datos Rutas'!$W$6:$W$794,'Base de datos Rutas'!$C$6:$C$794,$C643)/'Base de datos Rutas'!I641,"")</f>
        <v>3060.1995418491333</v>
      </c>
      <c r="AO643" s="800">
        <f>IFERROR('Base de datos Rutas'!X641*AN643/AM643,"")</f>
        <v>0.51841114131281618</v>
      </c>
      <c r="AP643" s="800">
        <f t="shared" si="345"/>
        <v>0.48158885868718382</v>
      </c>
      <c r="AQ643" s="789">
        <f>IFERROR(INDEX('Hoja de apoyo v2'!$J$17:$J$20,MATCH($A643,'Hoja de apoyo v2'!$A$17:$A$20,0)),"")</f>
        <v>0.64320274048480885</v>
      </c>
      <c r="AR643" s="789">
        <f t="shared" si="346"/>
        <v>-0.16161388179762504</v>
      </c>
      <c r="AS643" s="784" t="str">
        <f t="shared" si="347"/>
        <v>No</v>
      </c>
      <c r="AT643" s="801" t="str">
        <f>IF(ISNUMBER('Base de datos Rutas'!CK641),'Base de datos Rutas'!CK641,"")</f>
        <v/>
      </c>
      <c r="AU643" s="802" t="str">
        <f>IF(ISNUMBER('Base de datos Rutas'!CL641),'Base de datos Rutas'!CL641,"")</f>
        <v/>
      </c>
      <c r="AV643" s="802">
        <f>IF(ISNUMBER('Base de datos Rutas'!CM641),'Base de datos Rutas'!CM641,"")</f>
        <v>0</v>
      </c>
      <c r="AW643" s="802" t="str">
        <f>IF(ISNUMBER('Base de datos Rutas'!CN641),'Base de datos Rutas'!CN641,"")</f>
        <v/>
      </c>
      <c r="AX643" s="802" t="str">
        <f>IF(ISNUMBER('Base de datos Rutas'!CO641),'Base de datos Rutas'!CO641,"")</f>
        <v/>
      </c>
      <c r="AY643" s="802">
        <f>IF(ISNUMBER('Base de datos Rutas'!CP641),'Base de datos Rutas'!CP641,"")</f>
        <v>0</v>
      </c>
      <c r="AZ643" s="802" t="str">
        <f>IF(ISNUMBER('Base de datos Rutas'!CQ641),'Base de datos Rutas'!CQ641,"")</f>
        <v/>
      </c>
      <c r="BA643" s="802" t="str">
        <f>IF(ISNUMBER('Base de datos Rutas'!CR641),'Base de datos Rutas'!CR641,"")</f>
        <v/>
      </c>
      <c r="BB643" s="803">
        <f>IF(ISNUMBER('Base de datos Rutas'!CS641),'Base de datos Rutas'!CS641,"")</f>
        <v>0</v>
      </c>
      <c r="BC643" s="804" t="str">
        <f t="shared" si="357"/>
        <v/>
      </c>
      <c r="BD643" s="805" t="str">
        <f t="shared" si="358"/>
        <v>N/D</v>
      </c>
      <c r="BE643" s="806" t="str">
        <f t="shared" si="359"/>
        <v/>
      </c>
      <c r="BF643" s="890" t="str">
        <f>IF(ISNUMBER('Base de datos Rutas'!CX641),'Base de datos Rutas'!CX641/100,"")</f>
        <v/>
      </c>
      <c r="BG643" s="891" t="str">
        <f>IF(ISNUMBER('Base de datos Rutas'!CZ641),'Base de datos Rutas'!CZ641/100,"")</f>
        <v/>
      </c>
      <c r="BH643" s="892" t="str">
        <f>IF(ISNUMBER('Base de datos Rutas'!DA641),'Base de datos Rutas'!DA641,"")</f>
        <v/>
      </c>
      <c r="BI643" s="893" t="str">
        <f>IF(ISNUMBER('Base de datos Rutas'!DC641),'Base de datos Rutas'!DC641,"")</f>
        <v/>
      </c>
      <c r="BJ643" s="805" t="str">
        <f t="shared" si="360"/>
        <v>Sin dato</v>
      </c>
      <c r="BK643" s="783">
        <f t="shared" si="348"/>
        <v>0</v>
      </c>
      <c r="BL643" s="797">
        <f t="shared" si="349"/>
        <v>0</v>
      </c>
      <c r="BM643" s="797">
        <f t="shared" si="350"/>
        <v>0</v>
      </c>
      <c r="BN643" s="797">
        <f t="shared" si="351"/>
        <v>0</v>
      </c>
      <c r="BO643" s="798" cm="1">
        <f t="array" ref="BO643">SUMPRODUCT(--ISNUMBER($BF643:$BI643),$BK$3:$BN$3)</f>
        <v>0</v>
      </c>
      <c r="BP643" s="831" t="str">
        <f t="shared" si="361"/>
        <v/>
      </c>
      <c r="BQ643" s="834" t="str">
        <f t="shared" si="362"/>
        <v>Sin datos</v>
      </c>
      <c r="BR643" s="836" t="str">
        <f t="shared" si="352"/>
        <v/>
      </c>
      <c r="BS643" s="836" t="str">
        <f t="shared" si="353"/>
        <v/>
      </c>
      <c r="BT643" s="837" t="str">
        <f t="shared" si="354"/>
        <v>Sin datos</v>
      </c>
      <c r="BU643" s="807" t="str">
        <f t="shared" si="363"/>
        <v>No evaluable</v>
      </c>
      <c r="BV643" s="807" t="str">
        <f t="shared" si="355"/>
        <v>No evaluable</v>
      </c>
      <c r="BW643" s="808" t="str">
        <f t="shared" si="356"/>
        <v>Sin datos</v>
      </c>
    </row>
    <row r="644" spans="1:75">
      <c r="A644" s="780" t="str">
        <f>'Base de datos Rutas'!A642</f>
        <v>Occidente</v>
      </c>
      <c r="B644" s="781" t="str">
        <f>'Base de datos Rutas'!B642</f>
        <v>Favorita</v>
      </c>
      <c r="C644" s="781" t="str">
        <f>'Base de datos Rutas'!C642</f>
        <v>Suc. Toluquilla</v>
      </c>
      <c r="D644" s="782">
        <f>IF(ISNUMBER('Base de datos Rutas'!D642),'Base de datos Rutas'!D642,"Sin código")</f>
        <v>804372</v>
      </c>
      <c r="E644" s="783" t="str">
        <f>'Base de datos Rutas'!F642</f>
        <v>Activa</v>
      </c>
      <c r="F644" s="784" t="str">
        <f>'Base de datos Rutas'!H642</f>
        <v>Sí</v>
      </c>
      <c r="G644" s="785">
        <f>IF(ISNUMBER('Base de datos Rutas'!BE642),'Base de datos Rutas'!BE642,"")</f>
        <v>89.520642201834903</v>
      </c>
      <c r="H644" s="786">
        <f>IF(ISNUMBER('Base de datos Rutas'!BH642),'Base de datos Rutas'!BH642,"")</f>
        <v>0.39092003791857799</v>
      </c>
      <c r="I644" s="788">
        <f>IFERROR(IF(OR(NOT(ISNUMBER('Base de datos Rutas'!O642)),N('Base de datos Rutas'!BK642)=0),"",'Base de datos Rutas'!O642/('Base de datos Rutas'!L642/'Base de datos Rutas'!BK642)),"")</f>
        <v>4109.0986238532114</v>
      </c>
      <c r="J644" s="788">
        <f>IFERROR(IF(OR(NOT(ISNUMBER('Base de datos Rutas'!N642)),N('Base de datos Rutas'!BK642)=0),"",'Base de datos Rutas'!N642/('Base de datos Rutas'!L642/'Base de datos Rutas'!BK642)),"")</f>
        <v>7165.6077981651388</v>
      </c>
      <c r="K644" s="788">
        <f>IFERROR(IF(OR(NOT(ISNUMBER('Base de datos Rutas'!J642)),N('Base de datos Rutas'!BK642)=0),"",'Base de datos Rutas'!J642/('Base de datos Rutas'!L642/'Base de datos Rutas'!BK642)),"")</f>
        <v>492.99057981651384</v>
      </c>
      <c r="L644" s="788">
        <f>IFERROR(IF(OR(NOT(ISNUMBER('Base de datos Rutas'!K642)),N('Base de datos Rutas'!BK642)=0),"",'Base de datos Rutas'!K642/('Base de datos Rutas'!L642/'Base de datos Rutas'!BK642)),"")</f>
        <v>40.824707727064222</v>
      </c>
      <c r="M644" s="787">
        <f>IF(ISNUMBER('Base de datos Rutas'!AX642),'Base de datos Rutas'!AX642,"")</f>
        <v>322.10965853978303</v>
      </c>
      <c r="N644" s="790">
        <f>IFERROR(INDEX('Hoja de apoyo v2'!B$17:B$20,MATCH($A644,'Hoja de apoyo v2'!$A$17:$A$20,0)),"")</f>
        <v>89.41621024641401</v>
      </c>
      <c r="O644" s="791">
        <f>IFERROR(INDEX('Hoja de apoyo v2'!C$17:C$20,MATCH($A644,'Hoja de apoyo v2'!$A$17:$A$20,0)),"")</f>
        <v>0.54706375874806301</v>
      </c>
      <c r="P644" s="793">
        <f>IFERROR(INDEX('Hoja de apoyo v2'!D$17:D$20,MATCH($A644,'Hoja de apoyo v2'!$A$17:$A$20,0)),"")</f>
        <v>11095.153935793827</v>
      </c>
      <c r="Q644" s="793">
        <f>IFERROR(INDEX('Hoja de apoyo v2'!E$17:E$20,MATCH($A644,'Hoja de apoyo v2'!$A$17:$A$20,0)),"")</f>
        <v>6982.3202019701848</v>
      </c>
      <c r="R644" s="793">
        <f>IFERROR(INDEX('Hoja de apoyo v2'!F$17:F$20,MATCH($A644,'Hoja de apoyo v2'!$A$17:$A$20,0)),"")</f>
        <v>448.09513474485743</v>
      </c>
      <c r="S644" s="793">
        <f>IFERROR(INDEX('Hoja de apoyo v2'!G$17:G$20,MATCH($A644,'Hoja de apoyo v2'!$A$17:$A$20,0)),"")</f>
        <v>83.406300904207839</v>
      </c>
      <c r="T644" s="792">
        <f>IFERROR(INDEX('Hoja de apoyo v2'!H$17:H$20,MATCH($A644,'Hoja de apoyo v2'!$A$17:$A$20,0)),"")</f>
        <v>378.97014028925349</v>
      </c>
      <c r="U644" s="794">
        <f t="shared" si="328"/>
        <v>1.0011679309057395</v>
      </c>
      <c r="V644" s="795">
        <f t="shared" si="329"/>
        <v>0.71457856907426176</v>
      </c>
      <c r="W644" s="795">
        <f t="shared" si="330"/>
        <v>0.37035075381847027</v>
      </c>
      <c r="X644" s="843">
        <f t="shared" si="331"/>
        <v>1.0262502421678164</v>
      </c>
      <c r="Y644" s="843">
        <f t="shared" si="332"/>
        <v>1.1001917708774491</v>
      </c>
      <c r="Z644" s="843">
        <f t="shared" si="333"/>
        <v>0.48946790931240808</v>
      </c>
      <c r="AA644" s="843">
        <f t="shared" si="334"/>
        <v>0.84996052273123412</v>
      </c>
      <c r="AB644" s="796">
        <f t="shared" si="335"/>
        <v>4</v>
      </c>
      <c r="AC644" s="797">
        <f t="shared" si="336"/>
        <v>2</v>
      </c>
      <c r="AD644" s="797">
        <f t="shared" si="337"/>
        <v>1</v>
      </c>
      <c r="AE644" s="842">
        <f t="shared" si="338"/>
        <v>4</v>
      </c>
      <c r="AF644" s="842">
        <f t="shared" si="339"/>
        <v>4</v>
      </c>
      <c r="AG644" s="842">
        <f t="shared" si="340"/>
        <v>1</v>
      </c>
      <c r="AH644" s="842">
        <f t="shared" si="341"/>
        <v>3</v>
      </c>
      <c r="AI644" s="826" cm="1">
        <f t="array" ref="AI644">SUMPRODUCT(--ISNUMBER($U644:$AA644),$AB$3:$AH$3)</f>
        <v>1</v>
      </c>
      <c r="AJ644" s="829">
        <f t="shared" si="342"/>
        <v>39.479746275729319</v>
      </c>
      <c r="AK644" s="827" t="str">
        <f t="shared" si="343"/>
        <v>Inmadura</v>
      </c>
      <c r="AL644" s="784" t="str">
        <f t="shared" si="344"/>
        <v>Alta</v>
      </c>
      <c r="AM644" s="799">
        <f>IF(ISNUMBER('Base de datos Rutas'!W642),'Base de datos Rutas'!W642,"")</f>
        <v>3060.1995418491324</v>
      </c>
      <c r="AN644" s="787">
        <f>IFERROR(SUMIFS('Base de datos Rutas'!$W$6:$W$794,'Base de datos Rutas'!$C$6:$C$794,$C644)/'Base de datos Rutas'!I642,"")</f>
        <v>3060.1995418491333</v>
      </c>
      <c r="AO644" s="800">
        <f>IFERROR('Base de datos Rutas'!X642*AN644/AM644,"")</f>
        <v>0.51841114131281618</v>
      </c>
      <c r="AP644" s="800">
        <f t="shared" si="345"/>
        <v>0.48158885868718382</v>
      </c>
      <c r="AQ644" s="789">
        <f>IFERROR(INDEX('Hoja de apoyo v2'!$J$17:$J$20,MATCH($A644,'Hoja de apoyo v2'!$A$17:$A$20,0)),"")</f>
        <v>0.64320274048480885</v>
      </c>
      <c r="AR644" s="789">
        <f t="shared" si="346"/>
        <v>-0.16161388179762504</v>
      </c>
      <c r="AS644" s="784" t="str">
        <f t="shared" si="347"/>
        <v>No</v>
      </c>
      <c r="AT644" s="801">
        <f>IF(ISNUMBER('Base de datos Rutas'!CK642),'Base de datos Rutas'!CK642,"")</f>
        <v>472</v>
      </c>
      <c r="AU644" s="802">
        <f>IF(ISNUMBER('Base de datos Rutas'!CL642),'Base de datos Rutas'!CL642,"")</f>
        <v>472</v>
      </c>
      <c r="AV644" s="802">
        <f>IF(ISNUMBER('Base de datos Rutas'!CM642),'Base de datos Rutas'!CM642,"")</f>
        <v>0</v>
      </c>
      <c r="AW644" s="802" t="str">
        <f>IF(ISNUMBER('Base de datos Rutas'!CN642),'Base de datos Rutas'!CN642,"")</f>
        <v/>
      </c>
      <c r="AX644" s="802">
        <f>IF(ISNUMBER('Base de datos Rutas'!CO642),'Base de datos Rutas'!CO642,"")</f>
        <v>9.4499999999999993</v>
      </c>
      <c r="AY644" s="802">
        <f>IF(ISNUMBER('Base de datos Rutas'!CP642),'Base de datos Rutas'!CP642,"")</f>
        <v>9.4499999999999993</v>
      </c>
      <c r="AZ644" s="802" t="str">
        <f>IF(ISNUMBER('Base de datos Rutas'!CQ642),'Base de datos Rutas'!CQ642,"")</f>
        <v/>
      </c>
      <c r="BA644" s="802" t="str">
        <f>IF(ISNUMBER('Base de datos Rutas'!CR642),'Base de datos Rutas'!CR642,"")</f>
        <v/>
      </c>
      <c r="BB644" s="803">
        <f>IF(ISNUMBER('Base de datos Rutas'!CS642),'Base de datos Rutas'!CS642,"")</f>
        <v>0</v>
      </c>
      <c r="BC644" s="804" t="str">
        <f t="shared" si="357"/>
        <v/>
      </c>
      <c r="BD644" s="805" t="str">
        <f t="shared" si="358"/>
        <v>N/D</v>
      </c>
      <c r="BE644" s="806" t="str">
        <f t="shared" si="359"/>
        <v/>
      </c>
      <c r="BF644" s="890">
        <f>IF(ISNUMBER('Base de datos Rutas'!CX642),'Base de datos Rutas'!CX642/100,"")</f>
        <v>0</v>
      </c>
      <c r="BG644" s="891">
        <f>IF(ISNUMBER('Base de datos Rutas'!CZ642),'Base de datos Rutas'!CZ642/100,"")</f>
        <v>0</v>
      </c>
      <c r="BH644" s="892">
        <f>IF(ISNUMBER('Base de datos Rutas'!DA642),'Base de datos Rutas'!DA642,"")</f>
        <v>0</v>
      </c>
      <c r="BI644" s="893">
        <f>IF(ISNUMBER('Base de datos Rutas'!DC642),'Base de datos Rutas'!DC642,"")</f>
        <v>0</v>
      </c>
      <c r="BJ644" s="805" t="str">
        <f t="shared" si="360"/>
        <v>Ruta (completo)</v>
      </c>
      <c r="BK644" s="783">
        <f t="shared" si="348"/>
        <v>1</v>
      </c>
      <c r="BL644" s="797">
        <f t="shared" si="349"/>
        <v>1</v>
      </c>
      <c r="BM644" s="797">
        <f t="shared" si="350"/>
        <v>1</v>
      </c>
      <c r="BN644" s="797">
        <f t="shared" si="351"/>
        <v>1</v>
      </c>
      <c r="BO644" s="798" cm="1">
        <f t="array" ref="BO644">SUMPRODUCT(--ISNUMBER($BF644:$BI644),$BK$3:$BN$3)</f>
        <v>1</v>
      </c>
      <c r="BP644" s="831">
        <f t="shared" si="361"/>
        <v>0</v>
      </c>
      <c r="BQ644" s="834" t="str">
        <f t="shared" si="362"/>
        <v>Bajo</v>
      </c>
      <c r="BR644" s="836" t="str">
        <f t="shared" si="352"/>
        <v/>
      </c>
      <c r="BS644" s="836">
        <f t="shared" si="353"/>
        <v>0</v>
      </c>
      <c r="BT644" s="837" t="str">
        <f t="shared" si="354"/>
        <v>Sin datos</v>
      </c>
      <c r="BU644" s="807" t="str">
        <f t="shared" si="363"/>
        <v>Con espacio</v>
      </c>
      <c r="BV644" s="807" t="str">
        <f t="shared" si="355"/>
        <v>Zona de bajo potencial</v>
      </c>
      <c r="BW644" s="808" t="str">
        <f t="shared" si="356"/>
        <v>Sin datos</v>
      </c>
    </row>
    <row r="645" spans="1:75">
      <c r="A645" s="780" t="str">
        <f>'Base de datos Rutas'!A643</f>
        <v>Occidente</v>
      </c>
      <c r="B645" s="781" t="str">
        <f>'Base de datos Rutas'!B643</f>
        <v>Favorita</v>
      </c>
      <c r="C645" s="781" t="str">
        <f>'Base de datos Rutas'!C643</f>
        <v>Suc. Toluquilla</v>
      </c>
      <c r="D645" s="782">
        <f>IF(ISNUMBER('Base de datos Rutas'!D643),'Base de datos Rutas'!D643,"Sin código")</f>
        <v>804374</v>
      </c>
      <c r="E645" s="783" t="str">
        <f>'Base de datos Rutas'!F643</f>
        <v>Activa</v>
      </c>
      <c r="F645" s="784" t="str">
        <f>'Base de datos Rutas'!H643</f>
        <v>Sí</v>
      </c>
      <c r="G645" s="785">
        <f>IF(ISNUMBER('Base de datos Rutas'!BE643),'Base de datos Rutas'!BE643,"")</f>
        <v>90.018390804597701</v>
      </c>
      <c r="H645" s="786">
        <f>IF(ISNUMBER('Base de datos Rutas'!BH643),'Base de datos Rutas'!BH643,"")</f>
        <v>0.41713059911129302</v>
      </c>
      <c r="I645" s="788">
        <f>IFERROR(IF(OR(NOT(ISNUMBER('Base de datos Rutas'!O643)),N('Base de datos Rutas'!BK643)=0),"",'Base de datos Rutas'!O643/('Base de datos Rutas'!L643/'Base de datos Rutas'!BK643)),"")</f>
        <v>3407.9655172413754</v>
      </c>
      <c r="J645" s="788">
        <f>IFERROR(IF(OR(NOT(ISNUMBER('Base de datos Rutas'!N643)),N('Base de datos Rutas'!BK643)=0),"",'Base de datos Rutas'!N643/('Base de datos Rutas'!L643/'Base de datos Rutas'!BK643)),"")</f>
        <v>7015.110344827578</v>
      </c>
      <c r="K645" s="788">
        <f>IFERROR(IF(OR(NOT(ISNUMBER('Base de datos Rutas'!J643)),N('Base de datos Rutas'!BK643)=0),"",'Base de datos Rutas'!J643/('Base de datos Rutas'!L643/'Base de datos Rutas'!BK643)),"")</f>
        <v>482.95747862068913</v>
      </c>
      <c r="L645" s="788">
        <f>IFERROR(IF(OR(NOT(ISNUMBER('Base de datos Rutas'!K643)),N('Base de datos Rutas'!BK643)=0),"",'Base de datos Rutas'!K643/('Base de datos Rutas'!L643/'Base de datos Rutas'!BK643)),"")</f>
        <v>24.739644770114914</v>
      </c>
      <c r="M645" s="787">
        <f>IF(ISNUMBER('Base de datos Rutas'!AX643),'Base de datos Rutas'!AX643,"")</f>
        <v>277.582751316273</v>
      </c>
      <c r="N645" s="790">
        <f>IFERROR(INDEX('Hoja de apoyo v2'!B$17:B$20,MATCH($A645,'Hoja de apoyo v2'!$A$17:$A$20,0)),"")</f>
        <v>89.41621024641401</v>
      </c>
      <c r="O645" s="791">
        <f>IFERROR(INDEX('Hoja de apoyo v2'!C$17:C$20,MATCH($A645,'Hoja de apoyo v2'!$A$17:$A$20,0)),"")</f>
        <v>0.54706375874806301</v>
      </c>
      <c r="P645" s="793">
        <f>IFERROR(INDEX('Hoja de apoyo v2'!D$17:D$20,MATCH($A645,'Hoja de apoyo v2'!$A$17:$A$20,0)),"")</f>
        <v>11095.153935793827</v>
      </c>
      <c r="Q645" s="793">
        <f>IFERROR(INDEX('Hoja de apoyo v2'!E$17:E$20,MATCH($A645,'Hoja de apoyo v2'!$A$17:$A$20,0)),"")</f>
        <v>6982.3202019701848</v>
      </c>
      <c r="R645" s="793">
        <f>IFERROR(INDEX('Hoja de apoyo v2'!F$17:F$20,MATCH($A645,'Hoja de apoyo v2'!$A$17:$A$20,0)),"")</f>
        <v>448.09513474485743</v>
      </c>
      <c r="S645" s="793">
        <f>IFERROR(INDEX('Hoja de apoyo v2'!G$17:G$20,MATCH($A645,'Hoja de apoyo v2'!$A$17:$A$20,0)),"")</f>
        <v>83.406300904207839</v>
      </c>
      <c r="T645" s="792">
        <f>IFERROR(INDEX('Hoja de apoyo v2'!H$17:H$20,MATCH($A645,'Hoja de apoyo v2'!$A$17:$A$20,0)),"")</f>
        <v>378.97014028925349</v>
      </c>
      <c r="U645" s="794">
        <f t="shared" si="328"/>
        <v>1.0067345792952329</v>
      </c>
      <c r="V645" s="795">
        <f t="shared" si="329"/>
        <v>0.76248991537272059</v>
      </c>
      <c r="W645" s="795">
        <f t="shared" si="330"/>
        <v>0.30715802024584937</v>
      </c>
      <c r="X645" s="843">
        <f t="shared" si="331"/>
        <v>1.0046961671634798</v>
      </c>
      <c r="Y645" s="843">
        <f t="shared" si="332"/>
        <v>1.077801210440908</v>
      </c>
      <c r="Z645" s="843">
        <f t="shared" si="333"/>
        <v>0.29661601703842977</v>
      </c>
      <c r="AA645" s="843">
        <f t="shared" si="334"/>
        <v>0.73246602253255266</v>
      </c>
      <c r="AB645" s="796">
        <f t="shared" si="335"/>
        <v>4</v>
      </c>
      <c r="AC645" s="797">
        <f t="shared" si="336"/>
        <v>3</v>
      </c>
      <c r="AD645" s="797">
        <f t="shared" si="337"/>
        <v>1</v>
      </c>
      <c r="AE645" s="842">
        <f t="shared" si="338"/>
        <v>4</v>
      </c>
      <c r="AF645" s="842">
        <f t="shared" si="339"/>
        <v>4</v>
      </c>
      <c r="AG645" s="842">
        <f t="shared" si="340"/>
        <v>1</v>
      </c>
      <c r="AH645" s="842">
        <f t="shared" si="341"/>
        <v>2</v>
      </c>
      <c r="AI645" s="826" cm="1">
        <f t="array" ref="AI645">SUMPRODUCT(--ISNUMBER($U645:$AA645),$AB$3:$AH$3)</f>
        <v>1</v>
      </c>
      <c r="AJ645" s="829">
        <f t="shared" si="342"/>
        <v>39.617924021293227</v>
      </c>
      <c r="AK645" s="827" t="str">
        <f t="shared" si="343"/>
        <v>Inmadura</v>
      </c>
      <c r="AL645" s="784" t="str">
        <f t="shared" si="344"/>
        <v>Alta</v>
      </c>
      <c r="AM645" s="799">
        <f>IF(ISNUMBER('Base de datos Rutas'!W643),'Base de datos Rutas'!W643,"")</f>
        <v>3060.1995418491324</v>
      </c>
      <c r="AN645" s="787">
        <f>IFERROR(SUMIFS('Base de datos Rutas'!$W$6:$W$794,'Base de datos Rutas'!$C$6:$C$794,$C645)/'Base de datos Rutas'!I643,"")</f>
        <v>3060.1995418491333</v>
      </c>
      <c r="AO645" s="800">
        <f>IFERROR('Base de datos Rutas'!X643*AN645/AM645,"")</f>
        <v>0.51841114131281618</v>
      </c>
      <c r="AP645" s="800">
        <f t="shared" si="345"/>
        <v>0.48158885868718382</v>
      </c>
      <c r="AQ645" s="789">
        <f>IFERROR(INDEX('Hoja de apoyo v2'!$J$17:$J$20,MATCH($A645,'Hoja de apoyo v2'!$A$17:$A$20,0)),"")</f>
        <v>0.64320274048480885</v>
      </c>
      <c r="AR645" s="789">
        <f t="shared" si="346"/>
        <v>-0.16161388179762504</v>
      </c>
      <c r="AS645" s="784" t="str">
        <f t="shared" si="347"/>
        <v>No</v>
      </c>
      <c r="AT645" s="801">
        <f>IF(ISNUMBER('Base de datos Rutas'!CK643),'Base de datos Rutas'!CK643,"")</f>
        <v>382</v>
      </c>
      <c r="AU645" s="802">
        <f>IF(ISNUMBER('Base de datos Rutas'!CL643),'Base de datos Rutas'!CL643,"")</f>
        <v>416.1</v>
      </c>
      <c r="AV645" s="802">
        <f>IF(ISNUMBER('Base de datos Rutas'!CM643),'Base de datos Rutas'!CM643,"")</f>
        <v>34.100000000000023</v>
      </c>
      <c r="AW645" s="802">
        <f>IF(ISNUMBER('Base de datos Rutas'!CN643),'Base de datos Rutas'!CN643,"")</f>
        <v>9.0500000000000007</v>
      </c>
      <c r="AX645" s="802">
        <f>IF(ISNUMBER('Base de datos Rutas'!CO643),'Base de datos Rutas'!CO643,"")</f>
        <v>9.4499999999999993</v>
      </c>
      <c r="AY645" s="802">
        <f>IF(ISNUMBER('Base de datos Rutas'!CP643),'Base de datos Rutas'!CP643,"")</f>
        <v>0.39999999999999858</v>
      </c>
      <c r="AZ645" s="802">
        <f>IF(ISNUMBER('Base de datos Rutas'!CQ643),'Base de datos Rutas'!CQ643,"")</f>
        <v>846.56</v>
      </c>
      <c r="BA645" s="802">
        <f>IF(ISNUMBER('Base de datos Rutas'!CR643),'Base de datos Rutas'!CR643,"")</f>
        <v>507.7</v>
      </c>
      <c r="BB645" s="803">
        <f>IF(ISNUMBER('Base de datos Rutas'!CS643),'Base de datos Rutas'!CS643,"")</f>
        <v>338.85999999999996</v>
      </c>
      <c r="BC645" s="804">
        <f t="shared" si="357"/>
        <v>0</v>
      </c>
      <c r="BD645" s="805" t="str">
        <f t="shared" si="358"/>
        <v>No saturada</v>
      </c>
      <c r="BE645" s="806">
        <f t="shared" si="359"/>
        <v>0.5997212247212248</v>
      </c>
      <c r="BF645" s="890">
        <f>IF(ISNUMBER('Base de datos Rutas'!CX643),'Base de datos Rutas'!CX643/100,"")</f>
        <v>0.4727986050566696</v>
      </c>
      <c r="BG645" s="891">
        <f>IF(ISNUMBER('Base de datos Rutas'!CZ643),'Base de datos Rutas'!CZ643/100,"")</f>
        <v>0.48270851496657946</v>
      </c>
      <c r="BH645" s="892">
        <f>IF(ISNUMBER('Base de datos Rutas'!DA643),'Base de datos Rutas'!DA643,"")</f>
        <v>300.07151736640674</v>
      </c>
      <c r="BI645" s="893">
        <f>IF(ISNUMBER('Base de datos Rutas'!DC643),'Base de datos Rutas'!DC643,"")</f>
        <v>14.475494230381861</v>
      </c>
      <c r="BJ645" s="805" t="str">
        <f t="shared" si="360"/>
        <v>Ruta (completo)</v>
      </c>
      <c r="BK645" s="783">
        <f t="shared" si="348"/>
        <v>5</v>
      </c>
      <c r="BL645" s="797">
        <f t="shared" si="349"/>
        <v>5</v>
      </c>
      <c r="BM645" s="797">
        <f t="shared" si="350"/>
        <v>5</v>
      </c>
      <c r="BN645" s="797">
        <f t="shared" si="351"/>
        <v>5</v>
      </c>
      <c r="BO645" s="798" cm="1">
        <f t="array" ref="BO645">SUMPRODUCT(--ISNUMBER($BF645:$BI645),$BK$3:$BN$3)</f>
        <v>1</v>
      </c>
      <c r="BP645" s="831">
        <f t="shared" si="361"/>
        <v>100</v>
      </c>
      <c r="BQ645" s="834" t="str">
        <f t="shared" si="362"/>
        <v>Alto</v>
      </c>
      <c r="BR645" s="836">
        <f t="shared" si="352"/>
        <v>29.713443015969922</v>
      </c>
      <c r="BS645" s="836">
        <f t="shared" si="353"/>
        <v>100</v>
      </c>
      <c r="BT645" s="837" t="str">
        <f t="shared" si="354"/>
        <v>P1</v>
      </c>
      <c r="BU645" s="807" t="str">
        <f t="shared" si="363"/>
        <v>Con espacio</v>
      </c>
      <c r="BV645" s="807" t="str">
        <f t="shared" si="355"/>
        <v>Zona atractiva</v>
      </c>
      <c r="BW645" s="808" t="str">
        <f t="shared" si="356"/>
        <v>P1 - Ampliar cobertura</v>
      </c>
    </row>
    <row r="646" spans="1:75">
      <c r="A646" s="780" t="str">
        <f>'Base de datos Rutas'!A644</f>
        <v>Occidente</v>
      </c>
      <c r="B646" s="781" t="str">
        <f>'Base de datos Rutas'!B644</f>
        <v>Favorita</v>
      </c>
      <c r="C646" s="781" t="str">
        <f>'Base de datos Rutas'!C644</f>
        <v>Suc. Toluquilla</v>
      </c>
      <c r="D646" s="782">
        <f>IF(ISNUMBER('Base de datos Rutas'!D644),'Base de datos Rutas'!D644,"Sin código")</f>
        <v>804384</v>
      </c>
      <c r="E646" s="783" t="str">
        <f>'Base de datos Rutas'!F644</f>
        <v>Inactiva</v>
      </c>
      <c r="F646" s="784" t="str">
        <f>'Base de datos Rutas'!H644</f>
        <v>No</v>
      </c>
      <c r="G646" s="785" t="str">
        <f>IF(ISNUMBER('Base de datos Rutas'!BE644),'Base de datos Rutas'!BE644,"")</f>
        <v/>
      </c>
      <c r="H646" s="786" t="str">
        <f>IF(ISNUMBER('Base de datos Rutas'!BH644),'Base de datos Rutas'!BH644,"")</f>
        <v/>
      </c>
      <c r="I646" s="788" t="str">
        <f>IFERROR(IF(OR(NOT(ISNUMBER('Base de datos Rutas'!O644)),N('Base de datos Rutas'!BK644)=0),"",'Base de datos Rutas'!O644/('Base de datos Rutas'!L644/'Base de datos Rutas'!BK644)),"")</f>
        <v/>
      </c>
      <c r="J646" s="788" t="str">
        <f>IFERROR(IF(OR(NOT(ISNUMBER('Base de datos Rutas'!N644)),N('Base de datos Rutas'!BK644)=0),"",'Base de datos Rutas'!N644/('Base de datos Rutas'!L644/'Base de datos Rutas'!BK644)),"")</f>
        <v/>
      </c>
      <c r="K646" s="788" t="str">
        <f>IFERROR(IF(OR(NOT(ISNUMBER('Base de datos Rutas'!J644)),N('Base de datos Rutas'!BK644)=0),"",'Base de datos Rutas'!J644/('Base de datos Rutas'!L644/'Base de datos Rutas'!BK644)),"")</f>
        <v/>
      </c>
      <c r="L646" s="788" t="str">
        <f>IFERROR(IF(OR(NOT(ISNUMBER('Base de datos Rutas'!K644)),N('Base de datos Rutas'!BK644)=0),"",'Base de datos Rutas'!K644/('Base de datos Rutas'!L644/'Base de datos Rutas'!BK644)),"")</f>
        <v/>
      </c>
      <c r="M646" s="787">
        <f>IF(ISNUMBER('Base de datos Rutas'!AX644),'Base de datos Rutas'!AX644,"")</f>
        <v>458.83272727272703</v>
      </c>
      <c r="N646" s="790">
        <f>IFERROR(INDEX('Hoja de apoyo v2'!B$17:B$20,MATCH($A646,'Hoja de apoyo v2'!$A$17:$A$20,0)),"")</f>
        <v>89.41621024641401</v>
      </c>
      <c r="O646" s="791">
        <f>IFERROR(INDEX('Hoja de apoyo v2'!C$17:C$20,MATCH($A646,'Hoja de apoyo v2'!$A$17:$A$20,0)),"")</f>
        <v>0.54706375874806301</v>
      </c>
      <c r="P646" s="793">
        <f>IFERROR(INDEX('Hoja de apoyo v2'!D$17:D$20,MATCH($A646,'Hoja de apoyo v2'!$A$17:$A$20,0)),"")</f>
        <v>11095.153935793827</v>
      </c>
      <c r="Q646" s="793">
        <f>IFERROR(INDEX('Hoja de apoyo v2'!E$17:E$20,MATCH($A646,'Hoja de apoyo v2'!$A$17:$A$20,0)),"")</f>
        <v>6982.3202019701848</v>
      </c>
      <c r="R646" s="793">
        <f>IFERROR(INDEX('Hoja de apoyo v2'!F$17:F$20,MATCH($A646,'Hoja de apoyo v2'!$A$17:$A$20,0)),"")</f>
        <v>448.09513474485743</v>
      </c>
      <c r="S646" s="793">
        <f>IFERROR(INDEX('Hoja de apoyo v2'!G$17:G$20,MATCH($A646,'Hoja de apoyo v2'!$A$17:$A$20,0)),"")</f>
        <v>83.406300904207839</v>
      </c>
      <c r="T646" s="792">
        <f>IFERROR(INDEX('Hoja de apoyo v2'!H$17:H$20,MATCH($A646,'Hoja de apoyo v2'!$A$17:$A$20,0)),"")</f>
        <v>378.97014028925349</v>
      </c>
      <c r="U646" s="794" t="str">
        <f t="shared" si="328"/>
        <v/>
      </c>
      <c r="V646" s="795" t="str">
        <f t="shared" si="329"/>
        <v/>
      </c>
      <c r="W646" s="795" t="str">
        <f t="shared" si="330"/>
        <v/>
      </c>
      <c r="X646" s="843" t="str">
        <f t="shared" si="331"/>
        <v/>
      </c>
      <c r="Y646" s="843" t="str">
        <f t="shared" si="332"/>
        <v/>
      </c>
      <c r="Z646" s="843" t="str">
        <f t="shared" si="333"/>
        <v/>
      </c>
      <c r="AA646" s="843">
        <f t="shared" si="334"/>
        <v>1.2107358298005153</v>
      </c>
      <c r="AB646" s="796">
        <f t="shared" si="335"/>
        <v>0</v>
      </c>
      <c r="AC646" s="797">
        <f t="shared" si="336"/>
        <v>0</v>
      </c>
      <c r="AD646" s="797">
        <f t="shared" si="337"/>
        <v>0</v>
      </c>
      <c r="AE646" s="842">
        <f t="shared" si="338"/>
        <v>0</v>
      </c>
      <c r="AF646" s="842">
        <f t="shared" si="339"/>
        <v>0</v>
      </c>
      <c r="AG646" s="842">
        <f t="shared" si="340"/>
        <v>0</v>
      </c>
      <c r="AH646" s="842">
        <f t="shared" si="341"/>
        <v>4</v>
      </c>
      <c r="AI646" s="826" cm="1">
        <f t="array" ref="AI646">SUMPRODUCT(--ISNUMBER($U646:$AA646),$AB$3:$AH$3)</f>
        <v>8.9789113613062493E-2</v>
      </c>
      <c r="AJ646" s="829" t="str">
        <f t="shared" si="342"/>
        <v/>
      </c>
      <c r="AK646" s="827" t="str">
        <f t="shared" si="343"/>
        <v>Ruta inactiva</v>
      </c>
      <c r="AL646" s="784" t="str">
        <f t="shared" si="344"/>
        <v>n/a</v>
      </c>
      <c r="AM646" s="799">
        <f>IF(ISNUMBER('Base de datos Rutas'!W644),'Base de datos Rutas'!W644,"")</f>
        <v>3060.1995418491324</v>
      </c>
      <c r="AN646" s="787">
        <f>IFERROR(SUMIFS('Base de datos Rutas'!$W$6:$W$794,'Base de datos Rutas'!$C$6:$C$794,$C646)/'Base de datos Rutas'!I644,"")</f>
        <v>3060.1995418491333</v>
      </c>
      <c r="AO646" s="800">
        <f>IFERROR('Base de datos Rutas'!X644*AN646/AM646,"")</f>
        <v>0.51841114131281618</v>
      </c>
      <c r="AP646" s="800">
        <f t="shared" si="345"/>
        <v>0.48158885868718382</v>
      </c>
      <c r="AQ646" s="789">
        <f>IFERROR(INDEX('Hoja de apoyo v2'!$J$17:$J$20,MATCH($A646,'Hoja de apoyo v2'!$A$17:$A$20,0)),"")</f>
        <v>0.64320274048480885</v>
      </c>
      <c r="AR646" s="789">
        <f t="shared" si="346"/>
        <v>-0.16161388179762504</v>
      </c>
      <c r="AS646" s="784" t="str">
        <f t="shared" si="347"/>
        <v>No</v>
      </c>
      <c r="AT646" s="801" t="str">
        <f>IF(ISNUMBER('Base de datos Rutas'!CK644),'Base de datos Rutas'!CK644,"")</f>
        <v/>
      </c>
      <c r="AU646" s="802" t="str">
        <f>IF(ISNUMBER('Base de datos Rutas'!CL644),'Base de datos Rutas'!CL644,"")</f>
        <v/>
      </c>
      <c r="AV646" s="802">
        <f>IF(ISNUMBER('Base de datos Rutas'!CM644),'Base de datos Rutas'!CM644,"")</f>
        <v>0</v>
      </c>
      <c r="AW646" s="802" t="str">
        <f>IF(ISNUMBER('Base de datos Rutas'!CN644),'Base de datos Rutas'!CN644,"")</f>
        <v/>
      </c>
      <c r="AX646" s="802" t="str">
        <f>IF(ISNUMBER('Base de datos Rutas'!CO644),'Base de datos Rutas'!CO644,"")</f>
        <v/>
      </c>
      <c r="AY646" s="802">
        <f>IF(ISNUMBER('Base de datos Rutas'!CP644),'Base de datos Rutas'!CP644,"")</f>
        <v>0</v>
      </c>
      <c r="AZ646" s="802" t="str">
        <f>IF(ISNUMBER('Base de datos Rutas'!CQ644),'Base de datos Rutas'!CQ644,"")</f>
        <v/>
      </c>
      <c r="BA646" s="802" t="str">
        <f>IF(ISNUMBER('Base de datos Rutas'!CR644),'Base de datos Rutas'!CR644,"")</f>
        <v/>
      </c>
      <c r="BB646" s="803">
        <f>IF(ISNUMBER('Base de datos Rutas'!CS644),'Base de datos Rutas'!CS644,"")</f>
        <v>0</v>
      </c>
      <c r="BC646" s="804" t="str">
        <f t="shared" si="357"/>
        <v/>
      </c>
      <c r="BD646" s="805" t="str">
        <f t="shared" si="358"/>
        <v>N/D</v>
      </c>
      <c r="BE646" s="806" t="str">
        <f t="shared" si="359"/>
        <v/>
      </c>
      <c r="BF646" s="890" t="str">
        <f>IF(ISNUMBER('Base de datos Rutas'!CX644),'Base de datos Rutas'!CX644/100,"")</f>
        <v/>
      </c>
      <c r="BG646" s="891" t="str">
        <f>IF(ISNUMBER('Base de datos Rutas'!CZ644),'Base de datos Rutas'!CZ644/100,"")</f>
        <v/>
      </c>
      <c r="BH646" s="892" t="str">
        <f>IF(ISNUMBER('Base de datos Rutas'!DA644),'Base de datos Rutas'!DA644,"")</f>
        <v/>
      </c>
      <c r="BI646" s="893" t="str">
        <f>IF(ISNUMBER('Base de datos Rutas'!DC644),'Base de datos Rutas'!DC644,"")</f>
        <v/>
      </c>
      <c r="BJ646" s="805" t="str">
        <f t="shared" si="360"/>
        <v>Sin dato</v>
      </c>
      <c r="BK646" s="783">
        <f t="shared" si="348"/>
        <v>0</v>
      </c>
      <c r="BL646" s="797">
        <f t="shared" si="349"/>
        <v>0</v>
      </c>
      <c r="BM646" s="797">
        <f t="shared" si="350"/>
        <v>0</v>
      </c>
      <c r="BN646" s="797">
        <f t="shared" si="351"/>
        <v>0</v>
      </c>
      <c r="BO646" s="798" cm="1">
        <f t="array" ref="BO646">SUMPRODUCT(--ISNUMBER($BF646:$BI646),$BK$3:$BN$3)</f>
        <v>0</v>
      </c>
      <c r="BP646" s="831" t="str">
        <f t="shared" si="361"/>
        <v/>
      </c>
      <c r="BQ646" s="834" t="str">
        <f t="shared" si="362"/>
        <v>Sin datos</v>
      </c>
      <c r="BR646" s="836" t="str">
        <f t="shared" si="352"/>
        <v/>
      </c>
      <c r="BS646" s="836" t="str">
        <f t="shared" si="353"/>
        <v/>
      </c>
      <c r="BT646" s="837" t="str">
        <f t="shared" si="354"/>
        <v>Sin datos</v>
      </c>
      <c r="BU646" s="807" t="str">
        <f t="shared" si="363"/>
        <v>No evaluable</v>
      </c>
      <c r="BV646" s="807" t="str">
        <f t="shared" si="355"/>
        <v>No evaluable</v>
      </c>
      <c r="BW646" s="808" t="str">
        <f t="shared" si="356"/>
        <v>Sin datos</v>
      </c>
    </row>
    <row r="647" spans="1:75">
      <c r="A647" s="780" t="str">
        <f>'Base de datos Rutas'!A645</f>
        <v>Occidente</v>
      </c>
      <c r="B647" s="781" t="str">
        <f>'Base de datos Rutas'!B645</f>
        <v>Favorita</v>
      </c>
      <c r="C647" s="781" t="str">
        <f>'Base de datos Rutas'!C645</f>
        <v>Suc. Toluquilla</v>
      </c>
      <c r="D647" s="782">
        <f>IF(ISNUMBER('Base de datos Rutas'!D645),'Base de datos Rutas'!D645,"Sin código")</f>
        <v>804385</v>
      </c>
      <c r="E647" s="783" t="str">
        <f>'Base de datos Rutas'!F645</f>
        <v>Inactiva</v>
      </c>
      <c r="F647" s="784" t="str">
        <f>'Base de datos Rutas'!H645</f>
        <v>No</v>
      </c>
      <c r="G647" s="785" t="str">
        <f>IF(ISNUMBER('Base de datos Rutas'!BE645),'Base de datos Rutas'!BE645,"")</f>
        <v/>
      </c>
      <c r="H647" s="786" t="str">
        <f>IF(ISNUMBER('Base de datos Rutas'!BH645),'Base de datos Rutas'!BH645,"")</f>
        <v/>
      </c>
      <c r="I647" s="788" t="str">
        <f>IFERROR(IF(OR(NOT(ISNUMBER('Base de datos Rutas'!O645)),N('Base de datos Rutas'!BK645)=0),"",'Base de datos Rutas'!O645/('Base de datos Rutas'!L645/'Base de datos Rutas'!BK645)),"")</f>
        <v/>
      </c>
      <c r="J647" s="788" t="str">
        <f>IFERROR(IF(OR(NOT(ISNUMBER('Base de datos Rutas'!N645)),N('Base de datos Rutas'!BK645)=0),"",'Base de datos Rutas'!N645/('Base de datos Rutas'!L645/'Base de datos Rutas'!BK645)),"")</f>
        <v/>
      </c>
      <c r="K647" s="788" t="str">
        <f>IFERROR(IF(OR(NOT(ISNUMBER('Base de datos Rutas'!J645)),N('Base de datos Rutas'!BK645)=0),"",'Base de datos Rutas'!J645/('Base de datos Rutas'!L645/'Base de datos Rutas'!BK645)),"")</f>
        <v/>
      </c>
      <c r="L647" s="788" t="str">
        <f>IFERROR(IF(OR(NOT(ISNUMBER('Base de datos Rutas'!K645)),N('Base de datos Rutas'!BK645)=0),"",'Base de datos Rutas'!K645/('Base de datos Rutas'!L645/'Base de datos Rutas'!BK645)),"")</f>
        <v/>
      </c>
      <c r="M647" s="787">
        <f>IF(ISNUMBER('Base de datos Rutas'!AX645),'Base de datos Rutas'!AX645,"")</f>
        <v>203.93666666666701</v>
      </c>
      <c r="N647" s="790">
        <f>IFERROR(INDEX('Hoja de apoyo v2'!B$17:B$20,MATCH($A647,'Hoja de apoyo v2'!$A$17:$A$20,0)),"")</f>
        <v>89.41621024641401</v>
      </c>
      <c r="O647" s="791">
        <f>IFERROR(INDEX('Hoja de apoyo v2'!C$17:C$20,MATCH($A647,'Hoja de apoyo v2'!$A$17:$A$20,0)),"")</f>
        <v>0.54706375874806301</v>
      </c>
      <c r="P647" s="793">
        <f>IFERROR(INDEX('Hoja de apoyo v2'!D$17:D$20,MATCH($A647,'Hoja de apoyo v2'!$A$17:$A$20,0)),"")</f>
        <v>11095.153935793827</v>
      </c>
      <c r="Q647" s="793">
        <f>IFERROR(INDEX('Hoja de apoyo v2'!E$17:E$20,MATCH($A647,'Hoja de apoyo v2'!$A$17:$A$20,0)),"")</f>
        <v>6982.3202019701848</v>
      </c>
      <c r="R647" s="793">
        <f>IFERROR(INDEX('Hoja de apoyo v2'!F$17:F$20,MATCH($A647,'Hoja de apoyo v2'!$A$17:$A$20,0)),"")</f>
        <v>448.09513474485743</v>
      </c>
      <c r="S647" s="793">
        <f>IFERROR(INDEX('Hoja de apoyo v2'!G$17:G$20,MATCH($A647,'Hoja de apoyo v2'!$A$17:$A$20,0)),"")</f>
        <v>83.406300904207839</v>
      </c>
      <c r="T647" s="792">
        <f>IFERROR(INDEX('Hoja de apoyo v2'!H$17:H$20,MATCH($A647,'Hoja de apoyo v2'!$A$17:$A$20,0)),"")</f>
        <v>378.97014028925349</v>
      </c>
      <c r="U647" s="794" t="str">
        <f t="shared" si="328"/>
        <v/>
      </c>
      <c r="V647" s="795" t="str">
        <f t="shared" si="329"/>
        <v/>
      </c>
      <c r="W647" s="795" t="str">
        <f t="shared" si="330"/>
        <v/>
      </c>
      <c r="X647" s="843" t="str">
        <f t="shared" si="331"/>
        <v/>
      </c>
      <c r="Y647" s="843" t="str">
        <f t="shared" si="332"/>
        <v/>
      </c>
      <c r="Z647" s="843" t="str">
        <f t="shared" si="333"/>
        <v/>
      </c>
      <c r="AA647" s="843">
        <f t="shared" si="334"/>
        <v>0.53813386593204915</v>
      </c>
      <c r="AB647" s="796">
        <f t="shared" si="335"/>
        <v>0</v>
      </c>
      <c r="AC647" s="797">
        <f t="shared" si="336"/>
        <v>0</v>
      </c>
      <c r="AD647" s="797">
        <f t="shared" si="337"/>
        <v>0</v>
      </c>
      <c r="AE647" s="842">
        <f t="shared" si="338"/>
        <v>0</v>
      </c>
      <c r="AF647" s="842">
        <f t="shared" si="339"/>
        <v>0</v>
      </c>
      <c r="AG647" s="842">
        <f t="shared" si="340"/>
        <v>0</v>
      </c>
      <c r="AH647" s="842">
        <f t="shared" si="341"/>
        <v>2</v>
      </c>
      <c r="AI647" s="826" cm="1">
        <f t="array" ref="AI647">SUMPRODUCT(--ISNUMBER($U647:$AA647),$AB$3:$AH$3)</f>
        <v>8.9789113613062493E-2</v>
      </c>
      <c r="AJ647" s="829" t="str">
        <f t="shared" si="342"/>
        <v/>
      </c>
      <c r="AK647" s="827" t="str">
        <f t="shared" si="343"/>
        <v>Ruta inactiva</v>
      </c>
      <c r="AL647" s="784" t="str">
        <f t="shared" si="344"/>
        <v>n/a</v>
      </c>
      <c r="AM647" s="799">
        <f>IF(ISNUMBER('Base de datos Rutas'!W645),'Base de datos Rutas'!W645,"")</f>
        <v>3060.1995418491324</v>
      </c>
      <c r="AN647" s="787">
        <f>IFERROR(SUMIFS('Base de datos Rutas'!$W$6:$W$794,'Base de datos Rutas'!$C$6:$C$794,$C647)/'Base de datos Rutas'!I645,"")</f>
        <v>3060.1995418491333</v>
      </c>
      <c r="AO647" s="800">
        <f>IFERROR('Base de datos Rutas'!X645*AN647/AM647,"")</f>
        <v>0.51841114131281618</v>
      </c>
      <c r="AP647" s="800">
        <f t="shared" si="345"/>
        <v>0.48158885868718382</v>
      </c>
      <c r="AQ647" s="789">
        <f>IFERROR(INDEX('Hoja de apoyo v2'!$J$17:$J$20,MATCH($A647,'Hoja de apoyo v2'!$A$17:$A$20,0)),"")</f>
        <v>0.64320274048480885</v>
      </c>
      <c r="AR647" s="789">
        <f t="shared" si="346"/>
        <v>-0.16161388179762504</v>
      </c>
      <c r="AS647" s="784" t="str">
        <f t="shared" si="347"/>
        <v>No</v>
      </c>
      <c r="AT647" s="801" t="str">
        <f>IF(ISNUMBER('Base de datos Rutas'!CK645),'Base de datos Rutas'!CK645,"")</f>
        <v/>
      </c>
      <c r="AU647" s="802" t="str">
        <f>IF(ISNUMBER('Base de datos Rutas'!CL645),'Base de datos Rutas'!CL645,"")</f>
        <v/>
      </c>
      <c r="AV647" s="802">
        <f>IF(ISNUMBER('Base de datos Rutas'!CM645),'Base de datos Rutas'!CM645,"")</f>
        <v>0</v>
      </c>
      <c r="AW647" s="802" t="str">
        <f>IF(ISNUMBER('Base de datos Rutas'!CN645),'Base de datos Rutas'!CN645,"")</f>
        <v/>
      </c>
      <c r="AX647" s="802" t="str">
        <f>IF(ISNUMBER('Base de datos Rutas'!CO645),'Base de datos Rutas'!CO645,"")</f>
        <v/>
      </c>
      <c r="AY647" s="802">
        <f>IF(ISNUMBER('Base de datos Rutas'!CP645),'Base de datos Rutas'!CP645,"")</f>
        <v>0</v>
      </c>
      <c r="AZ647" s="802" t="str">
        <f>IF(ISNUMBER('Base de datos Rutas'!CQ645),'Base de datos Rutas'!CQ645,"")</f>
        <v/>
      </c>
      <c r="BA647" s="802" t="str">
        <f>IF(ISNUMBER('Base de datos Rutas'!CR645),'Base de datos Rutas'!CR645,"")</f>
        <v/>
      </c>
      <c r="BB647" s="803">
        <f>IF(ISNUMBER('Base de datos Rutas'!CS645),'Base de datos Rutas'!CS645,"")</f>
        <v>0</v>
      </c>
      <c r="BC647" s="804" t="str">
        <f t="shared" si="357"/>
        <v/>
      </c>
      <c r="BD647" s="805" t="str">
        <f t="shared" si="358"/>
        <v>N/D</v>
      </c>
      <c r="BE647" s="806" t="str">
        <f t="shared" si="359"/>
        <v/>
      </c>
      <c r="BF647" s="890" t="str">
        <f>IF(ISNUMBER('Base de datos Rutas'!CX645),'Base de datos Rutas'!CX645/100,"")</f>
        <v/>
      </c>
      <c r="BG647" s="891" t="str">
        <f>IF(ISNUMBER('Base de datos Rutas'!CZ645),'Base de datos Rutas'!CZ645/100,"")</f>
        <v/>
      </c>
      <c r="BH647" s="892" t="str">
        <f>IF(ISNUMBER('Base de datos Rutas'!DA645),'Base de datos Rutas'!DA645,"")</f>
        <v/>
      </c>
      <c r="BI647" s="893" t="str">
        <f>IF(ISNUMBER('Base de datos Rutas'!DC645),'Base de datos Rutas'!DC645,"")</f>
        <v/>
      </c>
      <c r="BJ647" s="805" t="str">
        <f t="shared" si="360"/>
        <v>Sin dato</v>
      </c>
      <c r="BK647" s="783">
        <f t="shared" si="348"/>
        <v>0</v>
      </c>
      <c r="BL647" s="797">
        <f t="shared" si="349"/>
        <v>0</v>
      </c>
      <c r="BM647" s="797">
        <f t="shared" si="350"/>
        <v>0</v>
      </c>
      <c r="BN647" s="797">
        <f t="shared" si="351"/>
        <v>0</v>
      </c>
      <c r="BO647" s="798" cm="1">
        <f t="array" ref="BO647">SUMPRODUCT(--ISNUMBER($BF647:$BI647),$BK$3:$BN$3)</f>
        <v>0</v>
      </c>
      <c r="BP647" s="831" t="str">
        <f t="shared" si="361"/>
        <v/>
      </c>
      <c r="BQ647" s="834" t="str">
        <f t="shared" si="362"/>
        <v>Sin datos</v>
      </c>
      <c r="BR647" s="836" t="str">
        <f t="shared" si="352"/>
        <v/>
      </c>
      <c r="BS647" s="836" t="str">
        <f t="shared" si="353"/>
        <v/>
      </c>
      <c r="BT647" s="837" t="str">
        <f t="shared" si="354"/>
        <v>Sin datos</v>
      </c>
      <c r="BU647" s="807" t="str">
        <f t="shared" si="363"/>
        <v>No evaluable</v>
      </c>
      <c r="BV647" s="807" t="str">
        <f t="shared" si="355"/>
        <v>No evaluable</v>
      </c>
      <c r="BW647" s="808" t="str">
        <f t="shared" si="356"/>
        <v>Sin datos</v>
      </c>
    </row>
    <row r="648" spans="1:75">
      <c r="A648" s="780" t="str">
        <f>'Base de datos Rutas'!A646</f>
        <v>Occidente</v>
      </c>
      <c r="B648" s="781" t="str">
        <f>'Base de datos Rutas'!B646</f>
        <v>Favorita</v>
      </c>
      <c r="C648" s="781" t="str">
        <f>'Base de datos Rutas'!C646</f>
        <v>Suc. Toluquilla</v>
      </c>
      <c r="D648" s="782">
        <f>IF(ISNUMBER('Base de datos Rutas'!D646),'Base de datos Rutas'!D646,"Sin código")</f>
        <v>804387</v>
      </c>
      <c r="E648" s="783" t="str">
        <f>'Base de datos Rutas'!F646</f>
        <v>Activa</v>
      </c>
      <c r="F648" s="784" t="str">
        <f>'Base de datos Rutas'!H646</f>
        <v>Sí</v>
      </c>
      <c r="G648" s="785">
        <f>IF(ISNUMBER('Base de datos Rutas'!BE646),'Base de datos Rutas'!BE646,"")</f>
        <v>63.590804597701201</v>
      </c>
      <c r="H648" s="786">
        <f>IF(ISNUMBER('Base de datos Rutas'!BH646),'Base de datos Rutas'!BH646,"")</f>
        <v>0.373508784614272</v>
      </c>
      <c r="I648" s="788">
        <f>IFERROR(IF(OR(NOT(ISNUMBER('Base de datos Rutas'!O646)),N('Base de datos Rutas'!BK646)=0),"",'Base de datos Rutas'!O646/('Base de datos Rutas'!L646/'Base de datos Rutas'!BK646)),"")</f>
        <v>2707.5655172413772</v>
      </c>
      <c r="J648" s="788">
        <f>IFERROR(IF(OR(NOT(ISNUMBER('Base de datos Rutas'!N646)),N('Base de datos Rutas'!BK646)=0),"",'Base de datos Rutas'!N646/('Base de datos Rutas'!L646/'Base de datos Rutas'!BK646)),"")</f>
        <v>6493.3034482758567</v>
      </c>
      <c r="K648" s="788">
        <f>IFERROR(IF(OR(NOT(ISNUMBER('Base de datos Rutas'!J646)),N('Base de datos Rutas'!BK646)=0),"",'Base de datos Rutas'!J646/('Base de datos Rutas'!L646/'Base de datos Rutas'!BK646)),"")</f>
        <v>450.15462252873527</v>
      </c>
      <c r="L648" s="788">
        <f>IFERROR(IF(OR(NOT(ISNUMBER('Base de datos Rutas'!K646)),N('Base de datos Rutas'!BK646)=0),"",'Base de datos Rutas'!K646/('Base de datos Rutas'!L646/'Base de datos Rutas'!BK646)),"")</f>
        <v>19.953315388505729</v>
      </c>
      <c r="M648" s="787">
        <f>IF(ISNUMBER('Base de datos Rutas'!AX646),'Base de datos Rutas'!AX646,"")</f>
        <v>387.27662698412701</v>
      </c>
      <c r="N648" s="790">
        <f>IFERROR(INDEX('Hoja de apoyo v2'!B$17:B$20,MATCH($A648,'Hoja de apoyo v2'!$A$17:$A$20,0)),"")</f>
        <v>89.41621024641401</v>
      </c>
      <c r="O648" s="791">
        <f>IFERROR(INDEX('Hoja de apoyo v2'!C$17:C$20,MATCH($A648,'Hoja de apoyo v2'!$A$17:$A$20,0)),"")</f>
        <v>0.54706375874806301</v>
      </c>
      <c r="P648" s="793">
        <f>IFERROR(INDEX('Hoja de apoyo v2'!D$17:D$20,MATCH($A648,'Hoja de apoyo v2'!$A$17:$A$20,0)),"")</f>
        <v>11095.153935793827</v>
      </c>
      <c r="Q648" s="793">
        <f>IFERROR(INDEX('Hoja de apoyo v2'!E$17:E$20,MATCH($A648,'Hoja de apoyo v2'!$A$17:$A$20,0)),"")</f>
        <v>6982.3202019701848</v>
      </c>
      <c r="R648" s="793">
        <f>IFERROR(INDEX('Hoja de apoyo v2'!F$17:F$20,MATCH($A648,'Hoja de apoyo v2'!$A$17:$A$20,0)),"")</f>
        <v>448.09513474485743</v>
      </c>
      <c r="S648" s="793">
        <f>IFERROR(INDEX('Hoja de apoyo v2'!G$17:G$20,MATCH($A648,'Hoja de apoyo v2'!$A$17:$A$20,0)),"")</f>
        <v>83.406300904207839</v>
      </c>
      <c r="T648" s="792">
        <f>IFERROR(INDEX('Hoja de apoyo v2'!H$17:H$20,MATCH($A648,'Hoja de apoyo v2'!$A$17:$A$20,0)),"")</f>
        <v>378.97014028925349</v>
      </c>
      <c r="U648" s="794">
        <f t="shared" ref="U648:U711" si="364">IFERROR(G648/N648,"")</f>
        <v>0.71117758650760388</v>
      </c>
      <c r="V648" s="795">
        <f t="shared" ref="V648:V711" si="365">IFERROR(H648/O648,"")</f>
        <v>0.68275183402577111</v>
      </c>
      <c r="W648" s="795">
        <f t="shared" ref="W648:W711" si="366">IFERROR(IF(N(P648)=0,"",I648/P648),"")</f>
        <v>0.24403136116089033</v>
      </c>
      <c r="X648" s="843">
        <f t="shared" ref="X648:X711" si="367">IFERROR(IF(N(Q648)=0,"",J648/Q648),"")</f>
        <v>0.92996357377647287</v>
      </c>
      <c r="Y648" s="843">
        <f t="shared" ref="Y648:Y711" si="368">IFERROR(IF(N(R648)=0,"",K648/R648),"")</f>
        <v>1.0045960949454418</v>
      </c>
      <c r="Z648" s="843">
        <f t="shared" ref="Z648:Z711" si="369">IFERROR(IF(N(S648)=0,"",L648/S648),"")</f>
        <v>0.23923031200511</v>
      </c>
      <c r="AA648" s="843">
        <f t="shared" ref="AA648:AA711" si="370">IFERROR(IF(N(T648)=0,"",M648/T648),"")</f>
        <v>1.0219185783041733</v>
      </c>
      <c r="AB648" s="796">
        <f t="shared" ref="AB648:AB711" si="371">IF(NOT(ISNUMBER(U648)),0,IFERROR(MATCH(U648,$U$3:$X$3,1)+1,1))</f>
        <v>2</v>
      </c>
      <c r="AC648" s="797">
        <f t="shared" ref="AC648:AC711" si="372">IF(NOT(ISNUMBER(V648)),0,IFERROR(MATCH(V648,$U$3:$X$3,1)+1,1))</f>
        <v>2</v>
      </c>
      <c r="AD648" s="797">
        <f t="shared" ref="AD648:AD711" si="373">IF(NOT(ISNUMBER(W648)),0,IFERROR(MATCH(W648,$U$3:$X$3,1)+1,1))</f>
        <v>1</v>
      </c>
      <c r="AE648" s="842">
        <f t="shared" ref="AE648:AE711" si="374">IF(NOT(ISNUMBER(X648)),0,IFERROR(MATCH(X648,$U$3:$X$3,1)+1,1))</f>
        <v>3</v>
      </c>
      <c r="AF648" s="842">
        <f t="shared" ref="AF648:AF711" si="375">IF(NOT(ISNUMBER(Y648)),0,IFERROR(MATCH(Y648,$U$3:$X$3,1)+1,1))</f>
        <v>4</v>
      </c>
      <c r="AG648" s="842">
        <f t="shared" ref="AG648:AG711" si="376">IF(NOT(ISNUMBER(Z648)),0,IFERROR(MATCH(Z648,$U$3:$X$3,1)+1,1))</f>
        <v>1</v>
      </c>
      <c r="AH648" s="842">
        <f t="shared" ref="AH648:AH711" si="377">IF(NOT(ISNUMBER(AA648)),0,IFERROR(MATCH(AA648,$U$3:$X$3,1)+1,1))</f>
        <v>4</v>
      </c>
      <c r="AI648" s="826" cm="1">
        <f t="array" ref="AI648">SUMPRODUCT(--ISNUMBER($U648:$AA648),$AB$3:$AH$3)</f>
        <v>1</v>
      </c>
      <c r="AJ648" s="829">
        <f t="shared" ref="AJ648:AJ711" si="378">IF(OR($E648&lt;&gt;"Activa",$F648&lt;&gt;"Sí",AI648&lt;$AI$4),"",(SUMPRODUCT($AB648:$AH648,$AB$3:$AH$3)/AI648-1)/4*100)</f>
        <v>29.247754113563683</v>
      </c>
      <c r="AK648" s="827" t="str">
        <f t="shared" ref="AK648:AK711" si="379">IF($E648&lt;&gt;"Activa","Ruta inactiva",IF($F648&lt;&gt;"Sí","No elegible",IF(AJ648="","Sin datos",IF(AJ648&gt;=$AJ$4,"Madura",IF(AJ648&lt;$AK$4,"Inmadura","En desarrollo")))))</f>
        <v>Inmadura</v>
      </c>
      <c r="AL648" s="784" t="str">
        <f t="shared" ref="AL648:AL711" si="380">IF(AJ648="","n/a",IF(AI648&gt;=$AL$3,"Alta",IF(AI648&gt;=$AL$4,"Media","Baja")))</f>
        <v>Alta</v>
      </c>
      <c r="AM648" s="799">
        <f>IF(ISNUMBER('Base de datos Rutas'!W646),'Base de datos Rutas'!W646,"")</f>
        <v>3060.1995418491324</v>
      </c>
      <c r="AN648" s="787">
        <f>IFERROR(SUMIFS('Base de datos Rutas'!$W$6:$W$794,'Base de datos Rutas'!$C$6:$C$794,$C648)/'Base de datos Rutas'!I646,"")</f>
        <v>3060.1995418491333</v>
      </c>
      <c r="AO648" s="800">
        <f>IFERROR('Base de datos Rutas'!X646*AN648/AM648,"")</f>
        <v>0.51841114131281618</v>
      </c>
      <c r="AP648" s="800">
        <f t="shared" ref="AP648:AP711" si="381">IF(ISNUMBER(AO648),1-AO648,"")</f>
        <v>0.48158885868718382</v>
      </c>
      <c r="AQ648" s="789">
        <f>IFERROR(INDEX('Hoja de apoyo v2'!$J$17:$J$20,MATCH($A648,'Hoja de apoyo v2'!$A$17:$A$20,0)),"")</f>
        <v>0.64320274048480885</v>
      </c>
      <c r="AR648" s="789">
        <f t="shared" ref="AR648:AR711" si="382">IF(AND(ISNUMBER($AP648),ISNUMBER($AQ648)),$AP648-$AQ648,"")</f>
        <v>-0.16161388179762504</v>
      </c>
      <c r="AS648" s="784" t="str">
        <f t="shared" ref="AS648:AS711" si="383">IF(NOT(ISNUMBER(AO648)),"n/d",IF(AO648&gt;=$AO$4,"Sí","No"))</f>
        <v>No</v>
      </c>
      <c r="AT648" s="801">
        <f>IF(ISNUMBER('Base de datos Rutas'!CK646),'Base de datos Rutas'!CK646,"")</f>
        <v>307</v>
      </c>
      <c r="AU648" s="802">
        <f>IF(ISNUMBER('Base de datos Rutas'!CL646),'Base de datos Rutas'!CL646,"")</f>
        <v>326.72000000000003</v>
      </c>
      <c r="AV648" s="802">
        <f>IF(ISNUMBER('Base de datos Rutas'!CM646),'Base de datos Rutas'!CM646,"")</f>
        <v>19.720000000000027</v>
      </c>
      <c r="AW648" s="802">
        <f>IF(ISNUMBER('Base de datos Rutas'!CN646),'Base de datos Rutas'!CN646,"")</f>
        <v>7.81</v>
      </c>
      <c r="AX648" s="802">
        <f>IF(ISNUMBER('Base de datos Rutas'!CO646),'Base de datos Rutas'!CO646,"")</f>
        <v>9.4499999999999993</v>
      </c>
      <c r="AY648" s="802">
        <f>IF(ISNUMBER('Base de datos Rutas'!CP646),'Base de datos Rutas'!CP646,"")</f>
        <v>1.6399999999999997</v>
      </c>
      <c r="AZ648" s="802">
        <f>IF(ISNUMBER('Base de datos Rutas'!CQ646),'Base de datos Rutas'!CQ646,"")</f>
        <v>846.56</v>
      </c>
      <c r="BA648" s="802">
        <f>IF(ISNUMBER('Base de datos Rutas'!CR646),'Base de datos Rutas'!CR646,"")</f>
        <v>470.11</v>
      </c>
      <c r="BB648" s="803">
        <f>IF(ISNUMBER('Base de datos Rutas'!CS646),'Base de datos Rutas'!CS646,"")</f>
        <v>376.44999999999993</v>
      </c>
      <c r="BC648" s="804">
        <f t="shared" si="357"/>
        <v>0</v>
      </c>
      <c r="BD648" s="805" t="str">
        <f t="shared" si="358"/>
        <v>No saturada</v>
      </c>
      <c r="BE648" s="806">
        <f t="shared" si="359"/>
        <v>0.55531799281799288</v>
      </c>
      <c r="BF648" s="890">
        <f>IF(ISNUMBER('Base de datos Rutas'!CX646),'Base de datos Rutas'!CX646/100,"")</f>
        <v>3.8614158314260912E-2</v>
      </c>
      <c r="BG648" s="891">
        <f>IF(ISNUMBER('Base de datos Rutas'!CZ646),'Base de datos Rutas'!CZ646/100,"")</f>
        <v>4.017046799779022E-2</v>
      </c>
      <c r="BH648" s="892">
        <f>IF(ISNUMBER('Base de datos Rutas'!DA646),'Base de datos Rutas'!DA646,"")</f>
        <v>57.4255432315897</v>
      </c>
      <c r="BI648" s="893">
        <f>IF(ISNUMBER('Base de datos Rutas'!DC646),'Base de datos Rutas'!DC646,"")</f>
        <v>3.2141328466785182</v>
      </c>
      <c r="BJ648" s="805" t="str">
        <f t="shared" si="360"/>
        <v>Ruta (completo)</v>
      </c>
      <c r="BK648" s="783">
        <f t="shared" ref="BK648:BK711" si="384">IF(NOT(ISNUMBER($BF648)),0,MIN(5,1+INT(5*COUNTIFS($C$8:$C$796,$C648,$BF$8:$BF$796,"&lt;"&amp;$BF648)/COUNTIFS($C$8:$C$796,$C648,$BF$8:$BF$796,"&gt;=-1E+300"))))</f>
        <v>2</v>
      </c>
      <c r="BL648" s="797">
        <f t="shared" ref="BL648:BL711" si="385">IF(NOT(ISNUMBER($BG648)),0,MIN(5,1+INT(5*COUNTIFS($C$8:$C$796,$C648,$BG$8:$BG$796,"&lt;"&amp;$BG648)/COUNTIFS($C$8:$C$796,$C648,$BG$8:$BG$796,"&gt;=-1E+300"))))</f>
        <v>2</v>
      </c>
      <c r="BM648" s="797">
        <f t="shared" ref="BM648:BM711" si="386">IF(NOT(ISNUMBER($BH648)),0,MIN(5,1+INT(5*COUNTIFS($C$8:$C$796,$C648,$BH$8:$BH$796,"&lt;"&amp;$BH648)/COUNTIFS($C$8:$C$796,$C648,$BH$8:$BH$796,"&gt;=-1E+300"))))</f>
        <v>4</v>
      </c>
      <c r="BN648" s="797">
        <f t="shared" ref="BN648:BN711" si="387">IF(NOT(ISNUMBER($BI648)),0,MIN(5,1+INT(5*COUNTIFS($C$8:$C$796,$C648,$BI$8:$BI$796,"&lt;"&amp;$BI648)/COUNTIFS($C$8:$C$796,$C648,$BI$8:$BI$796,"&gt;=-1E+300"))))</f>
        <v>4</v>
      </c>
      <c r="BO648" s="798" cm="1">
        <f t="array" ref="BO648">SUMPRODUCT(--ISNUMBER($BF648:$BI648),$BK$3:$BN$3)</f>
        <v>1</v>
      </c>
      <c r="BP648" s="831">
        <f t="shared" si="361"/>
        <v>50</v>
      </c>
      <c r="BQ648" s="834" t="str">
        <f t="shared" si="362"/>
        <v>Alto</v>
      </c>
      <c r="BR648" s="836">
        <f t="shared" ref="BR648:BR711" si="388">IF(OR(NOT(ISNUMBER($AJ648)),$BD648="N/D"),"",$AJ648*$BS$3+IF($BD648="Saturada",100,0)*$BU$3)</f>
        <v>21.935815585172762</v>
      </c>
      <c r="BS648" s="836">
        <f t="shared" ref="BS648:BS711" si="389">IF(ISNUMBER($BP648),$BP648,"")</f>
        <v>50</v>
      </c>
      <c r="BT648" s="837" t="str">
        <f t="shared" ref="BT648:BT711" si="390">IF(OR(NOT(ISNUMBER($BR648)),NOT(ISNUMBER($BS648))),"Sin datos",IF($BR648&gt;=$BS$4,IF($BS648&gt;=$BU$4,"P1","P2"),IF($BS648&gt;=$BU$4,"P3","P4")))</f>
        <v>P3</v>
      </c>
      <c r="BU648" s="807" t="str">
        <f t="shared" si="363"/>
        <v>Con espacio</v>
      </c>
      <c r="BV648" s="807" t="str">
        <f t="shared" ref="BV648:BV711" si="391">IF($BU648="No evaluable","No evaluable",IF($BQ648="Sin datos","Sin datos de zona",IF($BQ648="Alto","Zona atractiva","Zona de bajo potencial")))</f>
        <v>Zona atractiva</v>
      </c>
      <c r="BW648" s="808" t="str">
        <f t="shared" ref="BW648:BW711" si="392">IFERROR(IF($BT648="P1","P1 - Ampliar cobertura",IF($BT648="P2","P2 - Mantener",IF($BT648="P3","P3 - Desarrollar",IF($BT648="P4","P4 - Evaluar","Sin datos")))),"Sin datos")</f>
        <v>P3 - Desarrollar</v>
      </c>
    </row>
    <row r="649" spans="1:75">
      <c r="A649" s="780" t="str">
        <f>'Base de datos Rutas'!A647</f>
        <v>Occidente</v>
      </c>
      <c r="B649" s="781" t="str">
        <f>'Base de datos Rutas'!B647</f>
        <v>Favorita</v>
      </c>
      <c r="C649" s="781" t="str">
        <f>'Base de datos Rutas'!C647</f>
        <v>Suc. Toluquilla</v>
      </c>
      <c r="D649" s="782">
        <f>IF(ISNUMBER('Base de datos Rutas'!D647),'Base de datos Rutas'!D647,"Sin código")</f>
        <v>804388</v>
      </c>
      <c r="E649" s="783" t="str">
        <f>'Base de datos Rutas'!F647</f>
        <v>Inactiva</v>
      </c>
      <c r="F649" s="784" t="str">
        <f>'Base de datos Rutas'!H647</f>
        <v>No</v>
      </c>
      <c r="G649" s="785" t="str">
        <f>IF(ISNUMBER('Base de datos Rutas'!BE647),'Base de datos Rutas'!BE647,"")</f>
        <v/>
      </c>
      <c r="H649" s="786" t="str">
        <f>IF(ISNUMBER('Base de datos Rutas'!BH647),'Base de datos Rutas'!BH647,"")</f>
        <v/>
      </c>
      <c r="I649" s="788" t="str">
        <f>IFERROR(IF(OR(NOT(ISNUMBER('Base de datos Rutas'!O647)),N('Base de datos Rutas'!BK647)=0),"",'Base de datos Rutas'!O647/('Base de datos Rutas'!L647/'Base de datos Rutas'!BK647)),"")</f>
        <v/>
      </c>
      <c r="J649" s="788" t="str">
        <f>IFERROR(IF(OR(NOT(ISNUMBER('Base de datos Rutas'!N647)),N('Base de datos Rutas'!BK647)=0),"",'Base de datos Rutas'!N647/('Base de datos Rutas'!L647/'Base de datos Rutas'!BK647)),"")</f>
        <v/>
      </c>
      <c r="K649" s="788" t="str">
        <f>IFERROR(IF(OR(NOT(ISNUMBER('Base de datos Rutas'!J647)),N('Base de datos Rutas'!BK647)=0),"",'Base de datos Rutas'!J647/('Base de datos Rutas'!L647/'Base de datos Rutas'!BK647)),"")</f>
        <v/>
      </c>
      <c r="L649" s="788" t="str">
        <f>IFERROR(IF(OR(NOT(ISNUMBER('Base de datos Rutas'!K647)),N('Base de datos Rutas'!BK647)=0),"",'Base de datos Rutas'!K647/('Base de datos Rutas'!L647/'Base de datos Rutas'!BK647)),"")</f>
        <v/>
      </c>
      <c r="M649" s="787">
        <f>IF(ISNUMBER('Base de datos Rutas'!AX647),'Base de datos Rutas'!AX647,"")</f>
        <v>343.02100000000002</v>
      </c>
      <c r="N649" s="790">
        <f>IFERROR(INDEX('Hoja de apoyo v2'!B$17:B$20,MATCH($A649,'Hoja de apoyo v2'!$A$17:$A$20,0)),"")</f>
        <v>89.41621024641401</v>
      </c>
      <c r="O649" s="791">
        <f>IFERROR(INDEX('Hoja de apoyo v2'!C$17:C$20,MATCH($A649,'Hoja de apoyo v2'!$A$17:$A$20,0)),"")</f>
        <v>0.54706375874806301</v>
      </c>
      <c r="P649" s="793">
        <f>IFERROR(INDEX('Hoja de apoyo v2'!D$17:D$20,MATCH($A649,'Hoja de apoyo v2'!$A$17:$A$20,0)),"")</f>
        <v>11095.153935793827</v>
      </c>
      <c r="Q649" s="793">
        <f>IFERROR(INDEX('Hoja de apoyo v2'!E$17:E$20,MATCH($A649,'Hoja de apoyo v2'!$A$17:$A$20,0)),"")</f>
        <v>6982.3202019701848</v>
      </c>
      <c r="R649" s="793">
        <f>IFERROR(INDEX('Hoja de apoyo v2'!F$17:F$20,MATCH($A649,'Hoja de apoyo v2'!$A$17:$A$20,0)),"")</f>
        <v>448.09513474485743</v>
      </c>
      <c r="S649" s="793">
        <f>IFERROR(INDEX('Hoja de apoyo v2'!G$17:G$20,MATCH($A649,'Hoja de apoyo v2'!$A$17:$A$20,0)),"")</f>
        <v>83.406300904207839</v>
      </c>
      <c r="T649" s="792">
        <f>IFERROR(INDEX('Hoja de apoyo v2'!H$17:H$20,MATCH($A649,'Hoja de apoyo v2'!$A$17:$A$20,0)),"")</f>
        <v>378.97014028925349</v>
      </c>
      <c r="U649" s="794" t="str">
        <f t="shared" si="364"/>
        <v/>
      </c>
      <c r="V649" s="795" t="str">
        <f t="shared" si="365"/>
        <v/>
      </c>
      <c r="W649" s="795" t="str">
        <f t="shared" si="366"/>
        <v/>
      </c>
      <c r="X649" s="843" t="str">
        <f t="shared" si="367"/>
        <v/>
      </c>
      <c r="Y649" s="843" t="str">
        <f t="shared" si="368"/>
        <v/>
      </c>
      <c r="Z649" s="843" t="str">
        <f t="shared" si="369"/>
        <v/>
      </c>
      <c r="AA649" s="843">
        <f t="shared" si="370"/>
        <v>0.9051399134986865</v>
      </c>
      <c r="AB649" s="796">
        <f t="shared" si="371"/>
        <v>0</v>
      </c>
      <c r="AC649" s="797">
        <f t="shared" si="372"/>
        <v>0</v>
      </c>
      <c r="AD649" s="797">
        <f t="shared" si="373"/>
        <v>0</v>
      </c>
      <c r="AE649" s="842">
        <f t="shared" si="374"/>
        <v>0</v>
      </c>
      <c r="AF649" s="842">
        <f t="shared" si="375"/>
        <v>0</v>
      </c>
      <c r="AG649" s="842">
        <f t="shared" si="376"/>
        <v>0</v>
      </c>
      <c r="AH649" s="842">
        <f t="shared" si="377"/>
        <v>3</v>
      </c>
      <c r="AI649" s="826" cm="1">
        <f t="array" ref="AI649">SUMPRODUCT(--ISNUMBER($U649:$AA649),$AB$3:$AH$3)</f>
        <v>8.9789113613062493E-2</v>
      </c>
      <c r="AJ649" s="829" t="str">
        <f t="shared" si="378"/>
        <v/>
      </c>
      <c r="AK649" s="827" t="str">
        <f t="shared" si="379"/>
        <v>Ruta inactiva</v>
      </c>
      <c r="AL649" s="784" t="str">
        <f t="shared" si="380"/>
        <v>n/a</v>
      </c>
      <c r="AM649" s="799">
        <f>IF(ISNUMBER('Base de datos Rutas'!W647),'Base de datos Rutas'!W647,"")</f>
        <v>3060.1995418491324</v>
      </c>
      <c r="AN649" s="787">
        <f>IFERROR(SUMIFS('Base de datos Rutas'!$W$6:$W$794,'Base de datos Rutas'!$C$6:$C$794,$C649)/'Base de datos Rutas'!I647,"")</f>
        <v>3060.1995418491333</v>
      </c>
      <c r="AO649" s="800">
        <f>IFERROR('Base de datos Rutas'!X647*AN649/AM649,"")</f>
        <v>0.51841114131281618</v>
      </c>
      <c r="AP649" s="800">
        <f t="shared" si="381"/>
        <v>0.48158885868718382</v>
      </c>
      <c r="AQ649" s="789">
        <f>IFERROR(INDEX('Hoja de apoyo v2'!$J$17:$J$20,MATCH($A649,'Hoja de apoyo v2'!$A$17:$A$20,0)),"")</f>
        <v>0.64320274048480885</v>
      </c>
      <c r="AR649" s="789">
        <f t="shared" si="382"/>
        <v>-0.16161388179762504</v>
      </c>
      <c r="AS649" s="784" t="str">
        <f t="shared" si="383"/>
        <v>No</v>
      </c>
      <c r="AT649" s="801" t="str">
        <f>IF(ISNUMBER('Base de datos Rutas'!CK647),'Base de datos Rutas'!CK647,"")</f>
        <v/>
      </c>
      <c r="AU649" s="802" t="str">
        <f>IF(ISNUMBER('Base de datos Rutas'!CL647),'Base de datos Rutas'!CL647,"")</f>
        <v/>
      </c>
      <c r="AV649" s="802">
        <f>IF(ISNUMBER('Base de datos Rutas'!CM647),'Base de datos Rutas'!CM647,"")</f>
        <v>0</v>
      </c>
      <c r="AW649" s="802" t="str">
        <f>IF(ISNUMBER('Base de datos Rutas'!CN647),'Base de datos Rutas'!CN647,"")</f>
        <v/>
      </c>
      <c r="AX649" s="802" t="str">
        <f>IF(ISNUMBER('Base de datos Rutas'!CO647),'Base de datos Rutas'!CO647,"")</f>
        <v/>
      </c>
      <c r="AY649" s="802">
        <f>IF(ISNUMBER('Base de datos Rutas'!CP647),'Base de datos Rutas'!CP647,"")</f>
        <v>0</v>
      </c>
      <c r="AZ649" s="802" t="str">
        <f>IF(ISNUMBER('Base de datos Rutas'!CQ647),'Base de datos Rutas'!CQ647,"")</f>
        <v/>
      </c>
      <c r="BA649" s="802" t="str">
        <f>IF(ISNUMBER('Base de datos Rutas'!CR647),'Base de datos Rutas'!CR647,"")</f>
        <v/>
      </c>
      <c r="BB649" s="803">
        <f>IF(ISNUMBER('Base de datos Rutas'!CS647),'Base de datos Rutas'!CS647,"")</f>
        <v>0</v>
      </c>
      <c r="BC649" s="804" t="str">
        <f t="shared" ref="BC649:BC712" si="393">IF(OR(COUNT($AV649,$AY649,$BB649)&lt;3,NOT(ISNUMBER($AT649)),N($AT649)&lt;=0,N($AZ649)&lt;=0),"",COUNTIF($AV649,"&lt;="&amp;$BC$4)+COUNTIF($AY649,"&lt;="&amp;$BC$4)+COUNTIF($BB649,"&lt;="&amp;$BC$4))</f>
        <v/>
      </c>
      <c r="BD649" s="805" t="str">
        <f t="shared" ref="BD649:BD712" si="394">IF(NOT(ISNUMBER($BC649)),"N/D",IF($BC649&gt;=1,"Saturada","No saturada"))</f>
        <v>N/D</v>
      </c>
      <c r="BE649" s="806" t="str">
        <f t="shared" ref="BE649:BE712" si="395">IF(AND(ISNUMBER($AZ649),ISNUMBER($BA649),$AZ649&lt;&gt;0),$BA649/$AZ649,"")</f>
        <v/>
      </c>
      <c r="BF649" s="890" t="str">
        <f>IF(ISNUMBER('Base de datos Rutas'!CX647),'Base de datos Rutas'!CX647/100,"")</f>
        <v/>
      </c>
      <c r="BG649" s="891" t="str">
        <f>IF(ISNUMBER('Base de datos Rutas'!CZ647),'Base de datos Rutas'!CZ647/100,"")</f>
        <v/>
      </c>
      <c r="BH649" s="892" t="str">
        <f>IF(ISNUMBER('Base de datos Rutas'!DA647),'Base de datos Rutas'!DA647,"")</f>
        <v/>
      </c>
      <c r="BI649" s="893" t="str">
        <f>IF(ISNUMBER('Base de datos Rutas'!DC647),'Base de datos Rutas'!DC647,"")</f>
        <v/>
      </c>
      <c r="BJ649" s="805" t="str">
        <f t="shared" ref="BJ649:BJ712" si="396">IF(COUNT($BF649:$BI649)=4,"Ruta (completo)",IF(COUNT($BF649:$BI649)=0,"Sin dato","Ruta (parcial)"))</f>
        <v>Sin dato</v>
      </c>
      <c r="BK649" s="783">
        <f t="shared" si="384"/>
        <v>0</v>
      </c>
      <c r="BL649" s="797">
        <f t="shared" si="385"/>
        <v>0</v>
      </c>
      <c r="BM649" s="797">
        <f t="shared" si="386"/>
        <v>0</v>
      </c>
      <c r="BN649" s="797">
        <f t="shared" si="387"/>
        <v>0</v>
      </c>
      <c r="BO649" s="798" cm="1">
        <f t="array" ref="BO649">SUMPRODUCT(--ISNUMBER($BF649:$BI649),$BK$3:$BN$3)</f>
        <v>0</v>
      </c>
      <c r="BP649" s="831" t="str">
        <f t="shared" ref="BP649:BP712" si="397">IF(BO649&lt;$BO$4,"",(SUMPRODUCT($BK649:$BN649,$BK$3:$BN$3)/BO649-1)/4*100)</f>
        <v/>
      </c>
      <c r="BQ649" s="834" t="str">
        <f t="shared" ref="BQ649:BQ712" si="398">IF(BP649="","Sin datos",IF(BP649&gt;=$BP$4,"Alto",IF(BP649&lt;$BQ$4,"Bajo","Medio")))</f>
        <v>Sin datos</v>
      </c>
      <c r="BR649" s="836" t="str">
        <f t="shared" si="388"/>
        <v/>
      </c>
      <c r="BS649" s="836" t="str">
        <f t="shared" si="389"/>
        <v/>
      </c>
      <c r="BT649" s="837" t="str">
        <f t="shared" si="390"/>
        <v>Sin datos</v>
      </c>
      <c r="BU649" s="807" t="str">
        <f t="shared" ref="BU649:BU712" si="399">IF(OR($AK649="Ruta inactiva",$AK649="No elegible",$AK649="Sin datos"),"No evaluable",IF($BD649="Saturada","Al tope","Con espacio"))</f>
        <v>No evaluable</v>
      </c>
      <c r="BV649" s="807" t="str">
        <f t="shared" si="391"/>
        <v>No evaluable</v>
      </c>
      <c r="BW649" s="808" t="str">
        <f t="shared" si="392"/>
        <v>Sin datos</v>
      </c>
    </row>
    <row r="650" spans="1:75">
      <c r="A650" s="780" t="str">
        <f>'Base de datos Rutas'!A648</f>
        <v>Occidente</v>
      </c>
      <c r="B650" s="781" t="str">
        <f>'Base de datos Rutas'!B648</f>
        <v>Favorita</v>
      </c>
      <c r="C650" s="781" t="str">
        <f>'Base de datos Rutas'!C648</f>
        <v>Suc. Toluquilla</v>
      </c>
      <c r="D650" s="782">
        <f>IF(ISNUMBER('Base de datos Rutas'!D648),'Base de datos Rutas'!D648,"Sin código")</f>
        <v>804389</v>
      </c>
      <c r="E650" s="783" t="str">
        <f>'Base de datos Rutas'!F648</f>
        <v>Inactiva</v>
      </c>
      <c r="F650" s="784" t="str">
        <f>'Base de datos Rutas'!H648</f>
        <v>No</v>
      </c>
      <c r="G650" s="785" t="str">
        <f>IF(ISNUMBER('Base de datos Rutas'!BE648),'Base de datos Rutas'!BE648,"")</f>
        <v/>
      </c>
      <c r="H650" s="786" t="str">
        <f>IF(ISNUMBER('Base de datos Rutas'!BH648),'Base de datos Rutas'!BH648,"")</f>
        <v/>
      </c>
      <c r="I650" s="788" t="str">
        <f>IFERROR(IF(OR(NOT(ISNUMBER('Base de datos Rutas'!O648)),N('Base de datos Rutas'!BK648)=0),"",'Base de datos Rutas'!O648/('Base de datos Rutas'!L648/'Base de datos Rutas'!BK648)),"")</f>
        <v/>
      </c>
      <c r="J650" s="788" t="str">
        <f>IFERROR(IF(OR(NOT(ISNUMBER('Base de datos Rutas'!N648)),N('Base de datos Rutas'!BK648)=0),"",'Base de datos Rutas'!N648/('Base de datos Rutas'!L648/'Base de datos Rutas'!BK648)),"")</f>
        <v/>
      </c>
      <c r="K650" s="788" t="str">
        <f>IFERROR(IF(OR(NOT(ISNUMBER('Base de datos Rutas'!J648)),N('Base de datos Rutas'!BK648)=0),"",'Base de datos Rutas'!J648/('Base de datos Rutas'!L648/'Base de datos Rutas'!BK648)),"")</f>
        <v/>
      </c>
      <c r="L650" s="788" t="str">
        <f>IFERROR(IF(OR(NOT(ISNUMBER('Base de datos Rutas'!K648)),N('Base de datos Rutas'!BK648)=0),"",'Base de datos Rutas'!K648/('Base de datos Rutas'!L648/'Base de datos Rutas'!BK648)),"")</f>
        <v/>
      </c>
      <c r="M650" s="787">
        <f>IF(ISNUMBER('Base de datos Rutas'!AX648),'Base de datos Rutas'!AX648,"")</f>
        <v>161.91999999999999</v>
      </c>
      <c r="N650" s="790">
        <f>IFERROR(INDEX('Hoja de apoyo v2'!B$17:B$20,MATCH($A650,'Hoja de apoyo v2'!$A$17:$A$20,0)),"")</f>
        <v>89.41621024641401</v>
      </c>
      <c r="O650" s="791">
        <f>IFERROR(INDEX('Hoja de apoyo v2'!C$17:C$20,MATCH($A650,'Hoja de apoyo v2'!$A$17:$A$20,0)),"")</f>
        <v>0.54706375874806301</v>
      </c>
      <c r="P650" s="793">
        <f>IFERROR(INDEX('Hoja de apoyo v2'!D$17:D$20,MATCH($A650,'Hoja de apoyo v2'!$A$17:$A$20,0)),"")</f>
        <v>11095.153935793827</v>
      </c>
      <c r="Q650" s="793">
        <f>IFERROR(INDEX('Hoja de apoyo v2'!E$17:E$20,MATCH($A650,'Hoja de apoyo v2'!$A$17:$A$20,0)),"")</f>
        <v>6982.3202019701848</v>
      </c>
      <c r="R650" s="793">
        <f>IFERROR(INDEX('Hoja de apoyo v2'!F$17:F$20,MATCH($A650,'Hoja de apoyo v2'!$A$17:$A$20,0)),"")</f>
        <v>448.09513474485743</v>
      </c>
      <c r="S650" s="793">
        <f>IFERROR(INDEX('Hoja de apoyo v2'!G$17:G$20,MATCH($A650,'Hoja de apoyo v2'!$A$17:$A$20,0)),"")</f>
        <v>83.406300904207839</v>
      </c>
      <c r="T650" s="792">
        <f>IFERROR(INDEX('Hoja de apoyo v2'!H$17:H$20,MATCH($A650,'Hoja de apoyo v2'!$A$17:$A$20,0)),"")</f>
        <v>378.97014028925349</v>
      </c>
      <c r="U650" s="794" t="str">
        <f t="shared" si="364"/>
        <v/>
      </c>
      <c r="V650" s="795" t="str">
        <f t="shared" si="365"/>
        <v/>
      </c>
      <c r="W650" s="795" t="str">
        <f t="shared" si="366"/>
        <v/>
      </c>
      <c r="X650" s="843" t="str">
        <f t="shared" si="367"/>
        <v/>
      </c>
      <c r="Y650" s="843" t="str">
        <f t="shared" si="368"/>
        <v/>
      </c>
      <c r="Z650" s="843" t="str">
        <f t="shared" si="369"/>
        <v/>
      </c>
      <c r="AA650" s="843">
        <f t="shared" si="370"/>
        <v>0.42726321360414465</v>
      </c>
      <c r="AB650" s="796">
        <f t="shared" si="371"/>
        <v>0</v>
      </c>
      <c r="AC650" s="797">
        <f t="shared" si="372"/>
        <v>0</v>
      </c>
      <c r="AD650" s="797">
        <f t="shared" si="373"/>
        <v>0</v>
      </c>
      <c r="AE650" s="842">
        <f t="shared" si="374"/>
        <v>0</v>
      </c>
      <c r="AF650" s="842">
        <f t="shared" si="375"/>
        <v>0</v>
      </c>
      <c r="AG650" s="842">
        <f t="shared" si="376"/>
        <v>0</v>
      </c>
      <c r="AH650" s="842">
        <f t="shared" si="377"/>
        <v>1</v>
      </c>
      <c r="AI650" s="826" cm="1">
        <f t="array" ref="AI650">SUMPRODUCT(--ISNUMBER($U650:$AA650),$AB$3:$AH$3)</f>
        <v>8.9789113613062493E-2</v>
      </c>
      <c r="AJ650" s="829" t="str">
        <f t="shared" si="378"/>
        <v/>
      </c>
      <c r="AK650" s="827" t="str">
        <f t="shared" si="379"/>
        <v>Ruta inactiva</v>
      </c>
      <c r="AL650" s="784" t="str">
        <f t="shared" si="380"/>
        <v>n/a</v>
      </c>
      <c r="AM650" s="799">
        <f>IF(ISNUMBER('Base de datos Rutas'!W648),'Base de datos Rutas'!W648,"")</f>
        <v>3060.1995418491324</v>
      </c>
      <c r="AN650" s="787">
        <f>IFERROR(SUMIFS('Base de datos Rutas'!$W$6:$W$794,'Base de datos Rutas'!$C$6:$C$794,$C650)/'Base de datos Rutas'!I648,"")</f>
        <v>3060.1995418491333</v>
      </c>
      <c r="AO650" s="800">
        <f>IFERROR('Base de datos Rutas'!X648*AN650/AM650,"")</f>
        <v>0.51841114131281618</v>
      </c>
      <c r="AP650" s="800">
        <f t="shared" si="381"/>
        <v>0.48158885868718382</v>
      </c>
      <c r="AQ650" s="789">
        <f>IFERROR(INDEX('Hoja de apoyo v2'!$J$17:$J$20,MATCH($A650,'Hoja de apoyo v2'!$A$17:$A$20,0)),"")</f>
        <v>0.64320274048480885</v>
      </c>
      <c r="AR650" s="789">
        <f t="shared" si="382"/>
        <v>-0.16161388179762504</v>
      </c>
      <c r="AS650" s="784" t="str">
        <f t="shared" si="383"/>
        <v>No</v>
      </c>
      <c r="AT650" s="801" t="str">
        <f>IF(ISNUMBER('Base de datos Rutas'!CK648),'Base de datos Rutas'!CK648,"")</f>
        <v/>
      </c>
      <c r="AU650" s="802" t="str">
        <f>IF(ISNUMBER('Base de datos Rutas'!CL648),'Base de datos Rutas'!CL648,"")</f>
        <v/>
      </c>
      <c r="AV650" s="802">
        <f>IF(ISNUMBER('Base de datos Rutas'!CM648),'Base de datos Rutas'!CM648,"")</f>
        <v>0</v>
      </c>
      <c r="AW650" s="802" t="str">
        <f>IF(ISNUMBER('Base de datos Rutas'!CN648),'Base de datos Rutas'!CN648,"")</f>
        <v/>
      </c>
      <c r="AX650" s="802" t="str">
        <f>IF(ISNUMBER('Base de datos Rutas'!CO648),'Base de datos Rutas'!CO648,"")</f>
        <v/>
      </c>
      <c r="AY650" s="802">
        <f>IF(ISNUMBER('Base de datos Rutas'!CP648),'Base de datos Rutas'!CP648,"")</f>
        <v>0</v>
      </c>
      <c r="AZ650" s="802" t="str">
        <f>IF(ISNUMBER('Base de datos Rutas'!CQ648),'Base de datos Rutas'!CQ648,"")</f>
        <v/>
      </c>
      <c r="BA650" s="802" t="str">
        <f>IF(ISNUMBER('Base de datos Rutas'!CR648),'Base de datos Rutas'!CR648,"")</f>
        <v/>
      </c>
      <c r="BB650" s="803">
        <f>IF(ISNUMBER('Base de datos Rutas'!CS648),'Base de datos Rutas'!CS648,"")</f>
        <v>0</v>
      </c>
      <c r="BC650" s="804" t="str">
        <f t="shared" si="393"/>
        <v/>
      </c>
      <c r="BD650" s="805" t="str">
        <f t="shared" si="394"/>
        <v>N/D</v>
      </c>
      <c r="BE650" s="806" t="str">
        <f t="shared" si="395"/>
        <v/>
      </c>
      <c r="BF650" s="890" t="str">
        <f>IF(ISNUMBER('Base de datos Rutas'!CX648),'Base de datos Rutas'!CX648/100,"")</f>
        <v/>
      </c>
      <c r="BG650" s="891" t="str">
        <f>IF(ISNUMBER('Base de datos Rutas'!CZ648),'Base de datos Rutas'!CZ648/100,"")</f>
        <v/>
      </c>
      <c r="BH650" s="892" t="str">
        <f>IF(ISNUMBER('Base de datos Rutas'!DA648),'Base de datos Rutas'!DA648,"")</f>
        <v/>
      </c>
      <c r="BI650" s="893" t="str">
        <f>IF(ISNUMBER('Base de datos Rutas'!DC648),'Base de datos Rutas'!DC648,"")</f>
        <v/>
      </c>
      <c r="BJ650" s="805" t="str">
        <f t="shared" si="396"/>
        <v>Sin dato</v>
      </c>
      <c r="BK650" s="783">
        <f t="shared" si="384"/>
        <v>0</v>
      </c>
      <c r="BL650" s="797">
        <f t="shared" si="385"/>
        <v>0</v>
      </c>
      <c r="BM650" s="797">
        <f t="shared" si="386"/>
        <v>0</v>
      </c>
      <c r="BN650" s="797">
        <f t="shared" si="387"/>
        <v>0</v>
      </c>
      <c r="BO650" s="798" cm="1">
        <f t="array" ref="BO650">SUMPRODUCT(--ISNUMBER($BF650:$BI650),$BK$3:$BN$3)</f>
        <v>0</v>
      </c>
      <c r="BP650" s="831" t="str">
        <f t="shared" si="397"/>
        <v/>
      </c>
      <c r="BQ650" s="834" t="str">
        <f t="shared" si="398"/>
        <v>Sin datos</v>
      </c>
      <c r="BR650" s="836" t="str">
        <f t="shared" si="388"/>
        <v/>
      </c>
      <c r="BS650" s="836" t="str">
        <f t="shared" si="389"/>
        <v/>
      </c>
      <c r="BT650" s="837" t="str">
        <f t="shared" si="390"/>
        <v>Sin datos</v>
      </c>
      <c r="BU650" s="807" t="str">
        <f t="shared" si="399"/>
        <v>No evaluable</v>
      </c>
      <c r="BV650" s="807" t="str">
        <f t="shared" si="391"/>
        <v>No evaluable</v>
      </c>
      <c r="BW650" s="808" t="str">
        <f t="shared" si="392"/>
        <v>Sin datos</v>
      </c>
    </row>
    <row r="651" spans="1:75">
      <c r="A651" s="780" t="str">
        <f>'Base de datos Rutas'!A649</f>
        <v>Occidente</v>
      </c>
      <c r="B651" s="781" t="str">
        <f>'Base de datos Rutas'!B649</f>
        <v>Favorita</v>
      </c>
      <c r="C651" s="781" t="str">
        <f>'Base de datos Rutas'!C649</f>
        <v>Suc. Toluquilla</v>
      </c>
      <c r="D651" s="782">
        <f>IF(ISNUMBER('Base de datos Rutas'!D649),'Base de datos Rutas'!D649,"Sin código")</f>
        <v>804390</v>
      </c>
      <c r="E651" s="783" t="str">
        <f>'Base de datos Rutas'!F649</f>
        <v>Activa</v>
      </c>
      <c r="F651" s="784" t="str">
        <f>'Base de datos Rutas'!H649</f>
        <v>Sí</v>
      </c>
      <c r="G651" s="785">
        <f>IF(ISNUMBER('Base de datos Rutas'!BE649),'Base de datos Rutas'!BE649,"")</f>
        <v>52.142201834862398</v>
      </c>
      <c r="H651" s="786">
        <f>IF(ISNUMBER('Base de datos Rutas'!BH649),'Base de datos Rutas'!BH649,"")</f>
        <v>0.56061405823876098</v>
      </c>
      <c r="I651" s="788">
        <f>IFERROR(IF(OR(NOT(ISNUMBER('Base de datos Rutas'!O649)),N('Base de datos Rutas'!BK649)=0),"",'Base de datos Rutas'!O649/('Base de datos Rutas'!L649/'Base de datos Rutas'!BK649)),"")</f>
        <v>1680.298165137614</v>
      </c>
      <c r="J651" s="788">
        <f>IFERROR(IF(OR(NOT(ISNUMBER('Base de datos Rutas'!N649)),N('Base de datos Rutas'!BK649)=0),"",'Base de datos Rutas'!N649/('Base de datos Rutas'!L649/'Base de datos Rutas'!BK649)),"")</f>
        <v>6706.1490825688052</v>
      </c>
      <c r="K651" s="788">
        <f>IFERROR(IF(OR(NOT(ISNUMBER('Base de datos Rutas'!J649)),N('Base de datos Rutas'!BK649)=0),"",'Base de datos Rutas'!J649/('Base de datos Rutas'!L649/'Base de datos Rutas'!BK649)),"")</f>
        <v>461.23242752293561</v>
      </c>
      <c r="L651" s="788">
        <f>IFERROR(IF(OR(NOT(ISNUMBER('Base de datos Rutas'!K649)),N('Base de datos Rutas'!BK649)=0),"",'Base de datos Rutas'!K649/('Base de datos Rutas'!L649/'Base de datos Rutas'!BK649)),"")</f>
        <v>15.213097247706415</v>
      </c>
      <c r="M651" s="787">
        <f>IF(ISNUMBER('Base de datos Rutas'!AX649),'Base de datos Rutas'!AX649,"")</f>
        <v>286.765677520596</v>
      </c>
      <c r="N651" s="790">
        <f>IFERROR(INDEX('Hoja de apoyo v2'!B$17:B$20,MATCH($A651,'Hoja de apoyo v2'!$A$17:$A$20,0)),"")</f>
        <v>89.41621024641401</v>
      </c>
      <c r="O651" s="791">
        <f>IFERROR(INDEX('Hoja de apoyo v2'!C$17:C$20,MATCH($A651,'Hoja de apoyo v2'!$A$17:$A$20,0)),"")</f>
        <v>0.54706375874806301</v>
      </c>
      <c r="P651" s="793">
        <f>IFERROR(INDEX('Hoja de apoyo v2'!D$17:D$20,MATCH($A651,'Hoja de apoyo v2'!$A$17:$A$20,0)),"")</f>
        <v>11095.153935793827</v>
      </c>
      <c r="Q651" s="793">
        <f>IFERROR(INDEX('Hoja de apoyo v2'!E$17:E$20,MATCH($A651,'Hoja de apoyo v2'!$A$17:$A$20,0)),"")</f>
        <v>6982.3202019701848</v>
      </c>
      <c r="R651" s="793">
        <f>IFERROR(INDEX('Hoja de apoyo v2'!F$17:F$20,MATCH($A651,'Hoja de apoyo v2'!$A$17:$A$20,0)),"")</f>
        <v>448.09513474485743</v>
      </c>
      <c r="S651" s="793">
        <f>IFERROR(INDEX('Hoja de apoyo v2'!G$17:G$20,MATCH($A651,'Hoja de apoyo v2'!$A$17:$A$20,0)),"")</f>
        <v>83.406300904207839</v>
      </c>
      <c r="T651" s="792">
        <f>IFERROR(INDEX('Hoja de apoyo v2'!H$17:H$20,MATCH($A651,'Hoja de apoyo v2'!$A$17:$A$20,0)),"")</f>
        <v>378.97014028925349</v>
      </c>
      <c r="U651" s="794">
        <f t="shared" si="364"/>
        <v>0.58314036896853982</v>
      </c>
      <c r="V651" s="795">
        <f t="shared" si="365"/>
        <v>1.024769141208892</v>
      </c>
      <c r="W651" s="795">
        <f t="shared" si="366"/>
        <v>0.1514443309990357</v>
      </c>
      <c r="X651" s="843">
        <f t="shared" si="367"/>
        <v>0.96044708472071316</v>
      </c>
      <c r="Y651" s="843">
        <f t="shared" si="368"/>
        <v>1.0293180884134314</v>
      </c>
      <c r="Z651" s="843">
        <f t="shared" si="369"/>
        <v>0.18239745777934285</v>
      </c>
      <c r="AA651" s="843">
        <f t="shared" si="370"/>
        <v>0.75669728834498329</v>
      </c>
      <c r="AB651" s="796">
        <f t="shared" si="371"/>
        <v>2</v>
      </c>
      <c r="AC651" s="797">
        <f t="shared" si="372"/>
        <v>4</v>
      </c>
      <c r="AD651" s="797">
        <f t="shared" si="373"/>
        <v>1</v>
      </c>
      <c r="AE651" s="842">
        <f t="shared" si="374"/>
        <v>3</v>
      </c>
      <c r="AF651" s="842">
        <f t="shared" si="375"/>
        <v>4</v>
      </c>
      <c r="AG651" s="842">
        <f t="shared" si="376"/>
        <v>1</v>
      </c>
      <c r="AH651" s="842">
        <f t="shared" si="377"/>
        <v>3</v>
      </c>
      <c r="AI651" s="826" cm="1">
        <f t="array" ref="AI651">SUMPRODUCT(--ISNUMBER($U651:$AA651),$AB$3:$AH$3)</f>
        <v>1</v>
      </c>
      <c r="AJ651" s="829">
        <f t="shared" si="378"/>
        <v>31.768837445018082</v>
      </c>
      <c r="AK651" s="827" t="str">
        <f t="shared" si="379"/>
        <v>Inmadura</v>
      </c>
      <c r="AL651" s="784" t="str">
        <f t="shared" si="380"/>
        <v>Alta</v>
      </c>
      <c r="AM651" s="799">
        <f>IF(ISNUMBER('Base de datos Rutas'!W649),'Base de datos Rutas'!W649,"")</f>
        <v>3060.1995418491324</v>
      </c>
      <c r="AN651" s="787">
        <f>IFERROR(SUMIFS('Base de datos Rutas'!$W$6:$W$794,'Base de datos Rutas'!$C$6:$C$794,$C651)/'Base de datos Rutas'!I649,"")</f>
        <v>3060.1995418491333</v>
      </c>
      <c r="AO651" s="800">
        <f>IFERROR('Base de datos Rutas'!X649*AN651/AM651,"")</f>
        <v>0.51841114131281618</v>
      </c>
      <c r="AP651" s="800">
        <f t="shared" si="381"/>
        <v>0.48158885868718382</v>
      </c>
      <c r="AQ651" s="789">
        <f>IFERROR(INDEX('Hoja de apoyo v2'!$J$17:$J$20,MATCH($A651,'Hoja de apoyo v2'!$A$17:$A$20,0)),"")</f>
        <v>0.64320274048480885</v>
      </c>
      <c r="AR651" s="789">
        <f t="shared" si="382"/>
        <v>-0.16161388179762504</v>
      </c>
      <c r="AS651" s="784" t="str">
        <f t="shared" si="383"/>
        <v>No</v>
      </c>
      <c r="AT651" s="801">
        <f>IF(ISNUMBER('Base de datos Rutas'!CK649),'Base de datos Rutas'!CK649,"")</f>
        <v>293</v>
      </c>
      <c r="AU651" s="802">
        <f>IF(ISNUMBER('Base de datos Rutas'!CL649),'Base de datos Rutas'!CL649,"")</f>
        <v>316.62</v>
      </c>
      <c r="AV651" s="802">
        <f>IF(ISNUMBER('Base de datos Rutas'!CM649),'Base de datos Rutas'!CM649,"")</f>
        <v>23.620000000000005</v>
      </c>
      <c r="AW651" s="802">
        <f>IF(ISNUMBER('Base de datos Rutas'!CN649),'Base de datos Rutas'!CN649,"")</f>
        <v>7.64</v>
      </c>
      <c r="AX651" s="802">
        <f>IF(ISNUMBER('Base de datos Rutas'!CO649),'Base de datos Rutas'!CO649,"")</f>
        <v>9.4499999999999993</v>
      </c>
      <c r="AY651" s="802">
        <f>IF(ISNUMBER('Base de datos Rutas'!CP649),'Base de datos Rutas'!CP649,"")</f>
        <v>1.8099999999999996</v>
      </c>
      <c r="AZ651" s="802">
        <f>IF(ISNUMBER('Base de datos Rutas'!CQ649),'Base de datos Rutas'!CQ649,"")</f>
        <v>846.56</v>
      </c>
      <c r="BA651" s="802">
        <f>IF(ISNUMBER('Base de datos Rutas'!CR649),'Base de datos Rutas'!CR649,"")</f>
        <v>476.45</v>
      </c>
      <c r="BB651" s="803">
        <f>IF(ISNUMBER('Base de datos Rutas'!CS649),'Base de datos Rutas'!CS649,"")</f>
        <v>370.10999999999996</v>
      </c>
      <c r="BC651" s="804">
        <f t="shared" si="393"/>
        <v>0</v>
      </c>
      <c r="BD651" s="805" t="str">
        <f t="shared" si="394"/>
        <v>No saturada</v>
      </c>
      <c r="BE651" s="806">
        <f t="shared" si="395"/>
        <v>0.56280712530712529</v>
      </c>
      <c r="BF651" s="890">
        <f>IF(ISNUMBER('Base de datos Rutas'!CX649),'Base de datos Rutas'!CX649/100,"")</f>
        <v>6.0059374520141276E-2</v>
      </c>
      <c r="BG651" s="891">
        <f>IF(ISNUMBER('Base de datos Rutas'!CZ649),'Base de datos Rutas'!CZ649/100,"")</f>
        <v>6.1268362594052314E-2</v>
      </c>
      <c r="BH651" s="892">
        <f>IF(ISNUMBER('Base de datos Rutas'!DA649),'Base de datos Rutas'!DA649,"")</f>
        <v>17.895797781460917</v>
      </c>
      <c r="BI651" s="893">
        <f>IF(ISNUMBER('Base de datos Rutas'!DC649),'Base de datos Rutas'!DC649,"")</f>
        <v>0.96322406958470641</v>
      </c>
      <c r="BJ651" s="805" t="str">
        <f t="shared" si="396"/>
        <v>Ruta (completo)</v>
      </c>
      <c r="BK651" s="783">
        <f t="shared" si="384"/>
        <v>2</v>
      </c>
      <c r="BL651" s="797">
        <f t="shared" si="385"/>
        <v>2</v>
      </c>
      <c r="BM651" s="797">
        <f t="shared" si="386"/>
        <v>2</v>
      </c>
      <c r="BN651" s="797">
        <f t="shared" si="387"/>
        <v>2</v>
      </c>
      <c r="BO651" s="798" cm="1">
        <f t="array" ref="BO651">SUMPRODUCT(--ISNUMBER($BF651:$BI651),$BK$3:$BN$3)</f>
        <v>1</v>
      </c>
      <c r="BP651" s="831">
        <f t="shared" si="397"/>
        <v>25</v>
      </c>
      <c r="BQ651" s="834" t="str">
        <f t="shared" si="398"/>
        <v>Medio</v>
      </c>
      <c r="BR651" s="836">
        <f t="shared" si="388"/>
        <v>23.826628083763563</v>
      </c>
      <c r="BS651" s="836">
        <f t="shared" si="389"/>
        <v>25</v>
      </c>
      <c r="BT651" s="837" t="str">
        <f t="shared" si="390"/>
        <v>P4</v>
      </c>
      <c r="BU651" s="807" t="str">
        <f t="shared" si="399"/>
        <v>Con espacio</v>
      </c>
      <c r="BV651" s="807" t="str">
        <f t="shared" si="391"/>
        <v>Zona de bajo potencial</v>
      </c>
      <c r="BW651" s="808" t="str">
        <f t="shared" si="392"/>
        <v>P4 - Evaluar</v>
      </c>
    </row>
    <row r="652" spans="1:75">
      <c r="A652" s="780" t="str">
        <f>'Base de datos Rutas'!A650</f>
        <v>Occidente</v>
      </c>
      <c r="B652" s="781" t="str">
        <f>'Base de datos Rutas'!B650</f>
        <v>Favorita</v>
      </c>
      <c r="C652" s="781" t="str">
        <f>'Base de datos Rutas'!C650</f>
        <v>Suc. Toluquilla</v>
      </c>
      <c r="D652" s="782">
        <f>IF(ISNUMBER('Base de datos Rutas'!D650),'Base de datos Rutas'!D650,"Sin código")</f>
        <v>804399</v>
      </c>
      <c r="E652" s="783" t="str">
        <f>'Base de datos Rutas'!F650</f>
        <v>Inactiva</v>
      </c>
      <c r="F652" s="784" t="str">
        <f>'Base de datos Rutas'!H650</f>
        <v>No</v>
      </c>
      <c r="G652" s="785" t="str">
        <f>IF(ISNUMBER('Base de datos Rutas'!BE650),'Base de datos Rutas'!BE650,"")</f>
        <v/>
      </c>
      <c r="H652" s="786" t="str">
        <f>IF(ISNUMBER('Base de datos Rutas'!BH650),'Base de datos Rutas'!BH650,"")</f>
        <v/>
      </c>
      <c r="I652" s="788" t="str">
        <f>IFERROR(IF(OR(NOT(ISNUMBER('Base de datos Rutas'!O650)),N('Base de datos Rutas'!BK650)=0),"",'Base de datos Rutas'!O650/('Base de datos Rutas'!L650/'Base de datos Rutas'!BK650)),"")</f>
        <v/>
      </c>
      <c r="J652" s="788" t="str">
        <f>IFERROR(IF(OR(NOT(ISNUMBER('Base de datos Rutas'!N650)),N('Base de datos Rutas'!BK650)=0),"",'Base de datos Rutas'!N650/('Base de datos Rutas'!L650/'Base de datos Rutas'!BK650)),"")</f>
        <v/>
      </c>
      <c r="K652" s="788" t="str">
        <f>IFERROR(IF(OR(NOT(ISNUMBER('Base de datos Rutas'!J650)),N('Base de datos Rutas'!BK650)=0),"",'Base de datos Rutas'!J650/('Base de datos Rutas'!L650/'Base de datos Rutas'!BK650)),"")</f>
        <v/>
      </c>
      <c r="L652" s="788" t="str">
        <f>IFERROR(IF(OR(NOT(ISNUMBER('Base de datos Rutas'!K650)),N('Base de datos Rutas'!BK650)=0),"",'Base de datos Rutas'!K650/('Base de datos Rutas'!L650/'Base de datos Rutas'!BK650)),"")</f>
        <v/>
      </c>
      <c r="M652" s="787">
        <f>IF(ISNUMBER('Base de datos Rutas'!AX650),'Base de datos Rutas'!AX650,"")</f>
        <v>6728.8</v>
      </c>
      <c r="N652" s="790">
        <f>IFERROR(INDEX('Hoja de apoyo v2'!B$17:B$20,MATCH($A652,'Hoja de apoyo v2'!$A$17:$A$20,0)),"")</f>
        <v>89.41621024641401</v>
      </c>
      <c r="O652" s="791">
        <f>IFERROR(INDEX('Hoja de apoyo v2'!C$17:C$20,MATCH($A652,'Hoja de apoyo v2'!$A$17:$A$20,0)),"")</f>
        <v>0.54706375874806301</v>
      </c>
      <c r="P652" s="793">
        <f>IFERROR(INDEX('Hoja de apoyo v2'!D$17:D$20,MATCH($A652,'Hoja de apoyo v2'!$A$17:$A$20,0)),"")</f>
        <v>11095.153935793827</v>
      </c>
      <c r="Q652" s="793">
        <f>IFERROR(INDEX('Hoja de apoyo v2'!E$17:E$20,MATCH($A652,'Hoja de apoyo v2'!$A$17:$A$20,0)),"")</f>
        <v>6982.3202019701848</v>
      </c>
      <c r="R652" s="793">
        <f>IFERROR(INDEX('Hoja de apoyo v2'!F$17:F$20,MATCH($A652,'Hoja de apoyo v2'!$A$17:$A$20,0)),"")</f>
        <v>448.09513474485743</v>
      </c>
      <c r="S652" s="793">
        <f>IFERROR(INDEX('Hoja de apoyo v2'!G$17:G$20,MATCH($A652,'Hoja de apoyo v2'!$A$17:$A$20,0)),"")</f>
        <v>83.406300904207839</v>
      </c>
      <c r="T652" s="792">
        <f>IFERROR(INDEX('Hoja de apoyo v2'!H$17:H$20,MATCH($A652,'Hoja de apoyo v2'!$A$17:$A$20,0)),"")</f>
        <v>378.97014028925349</v>
      </c>
      <c r="U652" s="794" t="str">
        <f t="shared" si="364"/>
        <v/>
      </c>
      <c r="V652" s="795" t="str">
        <f t="shared" si="365"/>
        <v/>
      </c>
      <c r="W652" s="795" t="str">
        <f t="shared" si="366"/>
        <v/>
      </c>
      <c r="X652" s="843" t="str">
        <f t="shared" si="367"/>
        <v/>
      </c>
      <c r="Y652" s="843" t="str">
        <f t="shared" si="368"/>
        <v/>
      </c>
      <c r="Z652" s="843" t="str">
        <f t="shared" si="369"/>
        <v/>
      </c>
      <c r="AA652" s="843">
        <f t="shared" si="370"/>
        <v>17.755488585101094</v>
      </c>
      <c r="AB652" s="796">
        <f t="shared" si="371"/>
        <v>0</v>
      </c>
      <c r="AC652" s="797">
        <f t="shared" si="372"/>
        <v>0</v>
      </c>
      <c r="AD652" s="797">
        <f t="shared" si="373"/>
        <v>0</v>
      </c>
      <c r="AE652" s="842">
        <f t="shared" si="374"/>
        <v>0</v>
      </c>
      <c r="AF652" s="842">
        <f t="shared" si="375"/>
        <v>0</v>
      </c>
      <c r="AG652" s="842">
        <f t="shared" si="376"/>
        <v>0</v>
      </c>
      <c r="AH652" s="842">
        <f t="shared" si="377"/>
        <v>5</v>
      </c>
      <c r="AI652" s="826" cm="1">
        <f t="array" ref="AI652">SUMPRODUCT(--ISNUMBER($U652:$AA652),$AB$3:$AH$3)</f>
        <v>8.9789113613062493E-2</v>
      </c>
      <c r="AJ652" s="829" t="str">
        <f t="shared" si="378"/>
        <v/>
      </c>
      <c r="AK652" s="827" t="str">
        <f t="shared" si="379"/>
        <v>Ruta inactiva</v>
      </c>
      <c r="AL652" s="784" t="str">
        <f t="shared" si="380"/>
        <v>n/a</v>
      </c>
      <c r="AM652" s="799">
        <f>IF(ISNUMBER('Base de datos Rutas'!W650),'Base de datos Rutas'!W650,"")</f>
        <v>3060.1995418491324</v>
      </c>
      <c r="AN652" s="787">
        <f>IFERROR(SUMIFS('Base de datos Rutas'!$W$6:$W$794,'Base de datos Rutas'!$C$6:$C$794,$C652)/'Base de datos Rutas'!I650,"")</f>
        <v>3060.1995418491333</v>
      </c>
      <c r="AO652" s="800">
        <f>IFERROR('Base de datos Rutas'!X650*AN652/AM652,"")</f>
        <v>0.51841114131281618</v>
      </c>
      <c r="AP652" s="800">
        <f t="shared" si="381"/>
        <v>0.48158885868718382</v>
      </c>
      <c r="AQ652" s="789">
        <f>IFERROR(INDEX('Hoja de apoyo v2'!$J$17:$J$20,MATCH($A652,'Hoja de apoyo v2'!$A$17:$A$20,0)),"")</f>
        <v>0.64320274048480885</v>
      </c>
      <c r="AR652" s="789">
        <f t="shared" si="382"/>
        <v>-0.16161388179762504</v>
      </c>
      <c r="AS652" s="784" t="str">
        <f t="shared" si="383"/>
        <v>No</v>
      </c>
      <c r="AT652" s="801" t="str">
        <f>IF(ISNUMBER('Base de datos Rutas'!CK650),'Base de datos Rutas'!CK650,"")</f>
        <v/>
      </c>
      <c r="AU652" s="802" t="str">
        <f>IF(ISNUMBER('Base de datos Rutas'!CL650),'Base de datos Rutas'!CL650,"")</f>
        <v/>
      </c>
      <c r="AV652" s="802">
        <f>IF(ISNUMBER('Base de datos Rutas'!CM650),'Base de datos Rutas'!CM650,"")</f>
        <v>0</v>
      </c>
      <c r="AW652" s="802" t="str">
        <f>IF(ISNUMBER('Base de datos Rutas'!CN650),'Base de datos Rutas'!CN650,"")</f>
        <v/>
      </c>
      <c r="AX652" s="802" t="str">
        <f>IF(ISNUMBER('Base de datos Rutas'!CO650),'Base de datos Rutas'!CO650,"")</f>
        <v/>
      </c>
      <c r="AY652" s="802">
        <f>IF(ISNUMBER('Base de datos Rutas'!CP650),'Base de datos Rutas'!CP650,"")</f>
        <v>0</v>
      </c>
      <c r="AZ652" s="802" t="str">
        <f>IF(ISNUMBER('Base de datos Rutas'!CQ650),'Base de datos Rutas'!CQ650,"")</f>
        <v/>
      </c>
      <c r="BA652" s="802" t="str">
        <f>IF(ISNUMBER('Base de datos Rutas'!CR650),'Base de datos Rutas'!CR650,"")</f>
        <v/>
      </c>
      <c r="BB652" s="803">
        <f>IF(ISNUMBER('Base de datos Rutas'!CS650),'Base de datos Rutas'!CS650,"")</f>
        <v>0</v>
      </c>
      <c r="BC652" s="804" t="str">
        <f t="shared" si="393"/>
        <v/>
      </c>
      <c r="BD652" s="805" t="str">
        <f t="shared" si="394"/>
        <v>N/D</v>
      </c>
      <c r="BE652" s="806" t="str">
        <f t="shared" si="395"/>
        <v/>
      </c>
      <c r="BF652" s="890" t="str">
        <f>IF(ISNUMBER('Base de datos Rutas'!CX650),'Base de datos Rutas'!CX650/100,"")</f>
        <v/>
      </c>
      <c r="BG652" s="891" t="str">
        <f>IF(ISNUMBER('Base de datos Rutas'!CZ650),'Base de datos Rutas'!CZ650/100,"")</f>
        <v/>
      </c>
      <c r="BH652" s="892" t="str">
        <f>IF(ISNUMBER('Base de datos Rutas'!DA650),'Base de datos Rutas'!DA650,"")</f>
        <v/>
      </c>
      <c r="BI652" s="893" t="str">
        <f>IF(ISNUMBER('Base de datos Rutas'!DC650),'Base de datos Rutas'!DC650,"")</f>
        <v/>
      </c>
      <c r="BJ652" s="805" t="str">
        <f t="shared" si="396"/>
        <v>Sin dato</v>
      </c>
      <c r="BK652" s="783">
        <f t="shared" si="384"/>
        <v>0</v>
      </c>
      <c r="BL652" s="797">
        <f t="shared" si="385"/>
        <v>0</v>
      </c>
      <c r="BM652" s="797">
        <f t="shared" si="386"/>
        <v>0</v>
      </c>
      <c r="BN652" s="797">
        <f t="shared" si="387"/>
        <v>0</v>
      </c>
      <c r="BO652" s="798" cm="1">
        <f t="array" ref="BO652">SUMPRODUCT(--ISNUMBER($BF652:$BI652),$BK$3:$BN$3)</f>
        <v>0</v>
      </c>
      <c r="BP652" s="831" t="str">
        <f t="shared" si="397"/>
        <v/>
      </c>
      <c r="BQ652" s="834" t="str">
        <f t="shared" si="398"/>
        <v>Sin datos</v>
      </c>
      <c r="BR652" s="836" t="str">
        <f t="shared" si="388"/>
        <v/>
      </c>
      <c r="BS652" s="836" t="str">
        <f t="shared" si="389"/>
        <v/>
      </c>
      <c r="BT652" s="837" t="str">
        <f t="shared" si="390"/>
        <v>Sin datos</v>
      </c>
      <c r="BU652" s="807" t="str">
        <f t="shared" si="399"/>
        <v>No evaluable</v>
      </c>
      <c r="BV652" s="807" t="str">
        <f t="shared" si="391"/>
        <v>No evaluable</v>
      </c>
      <c r="BW652" s="808" t="str">
        <f t="shared" si="392"/>
        <v>Sin datos</v>
      </c>
    </row>
    <row r="653" spans="1:75">
      <c r="A653" s="780" t="str">
        <f>'Base de datos Rutas'!A651</f>
        <v>Occidente</v>
      </c>
      <c r="B653" s="781" t="str">
        <f>'Base de datos Rutas'!B651</f>
        <v>Favorita</v>
      </c>
      <c r="C653" s="781" t="str">
        <f>'Base de datos Rutas'!C651</f>
        <v>Suc. Toluquilla</v>
      </c>
      <c r="D653" s="782">
        <f>IF(ISNUMBER('Base de datos Rutas'!D651),'Base de datos Rutas'!D651,"Sin código")</f>
        <v>804413</v>
      </c>
      <c r="E653" s="783" t="str">
        <f>'Base de datos Rutas'!F651</f>
        <v>Inactiva</v>
      </c>
      <c r="F653" s="784" t="str">
        <f>'Base de datos Rutas'!H651</f>
        <v>No</v>
      </c>
      <c r="G653" s="785" t="str">
        <f>IF(ISNUMBER('Base de datos Rutas'!BE651),'Base de datos Rutas'!BE651,"")</f>
        <v/>
      </c>
      <c r="H653" s="786" t="str">
        <f>IF(ISNUMBER('Base de datos Rutas'!BH651),'Base de datos Rutas'!BH651,"")</f>
        <v/>
      </c>
      <c r="I653" s="788" t="str">
        <f>IFERROR(IF(OR(NOT(ISNUMBER('Base de datos Rutas'!O651)),N('Base de datos Rutas'!BK651)=0),"",'Base de datos Rutas'!O651/('Base de datos Rutas'!L651/'Base de datos Rutas'!BK651)),"")</f>
        <v/>
      </c>
      <c r="J653" s="788" t="str">
        <f>IFERROR(IF(OR(NOT(ISNUMBER('Base de datos Rutas'!N651)),N('Base de datos Rutas'!BK651)=0),"",'Base de datos Rutas'!N651/('Base de datos Rutas'!L651/'Base de datos Rutas'!BK651)),"")</f>
        <v/>
      </c>
      <c r="K653" s="788" t="str">
        <f>IFERROR(IF(OR(NOT(ISNUMBER('Base de datos Rutas'!J651)),N('Base de datos Rutas'!BK651)=0),"",'Base de datos Rutas'!J651/('Base de datos Rutas'!L651/'Base de datos Rutas'!BK651)),"")</f>
        <v/>
      </c>
      <c r="L653" s="788" t="str">
        <f>IFERROR(IF(OR(NOT(ISNUMBER('Base de datos Rutas'!K651)),N('Base de datos Rutas'!BK651)=0),"",'Base de datos Rutas'!K651/('Base de datos Rutas'!L651/'Base de datos Rutas'!BK651)),"")</f>
        <v/>
      </c>
      <c r="M653" s="787">
        <f>IF(ISNUMBER('Base de datos Rutas'!AX651),'Base de datos Rutas'!AX651,"")</f>
        <v>255</v>
      </c>
      <c r="N653" s="790">
        <f>IFERROR(INDEX('Hoja de apoyo v2'!B$17:B$20,MATCH($A653,'Hoja de apoyo v2'!$A$17:$A$20,0)),"")</f>
        <v>89.41621024641401</v>
      </c>
      <c r="O653" s="791">
        <f>IFERROR(INDEX('Hoja de apoyo v2'!C$17:C$20,MATCH($A653,'Hoja de apoyo v2'!$A$17:$A$20,0)),"")</f>
        <v>0.54706375874806301</v>
      </c>
      <c r="P653" s="793">
        <f>IFERROR(INDEX('Hoja de apoyo v2'!D$17:D$20,MATCH($A653,'Hoja de apoyo v2'!$A$17:$A$20,0)),"")</f>
        <v>11095.153935793827</v>
      </c>
      <c r="Q653" s="793">
        <f>IFERROR(INDEX('Hoja de apoyo v2'!E$17:E$20,MATCH($A653,'Hoja de apoyo v2'!$A$17:$A$20,0)),"")</f>
        <v>6982.3202019701848</v>
      </c>
      <c r="R653" s="793">
        <f>IFERROR(INDEX('Hoja de apoyo v2'!F$17:F$20,MATCH($A653,'Hoja de apoyo v2'!$A$17:$A$20,0)),"")</f>
        <v>448.09513474485743</v>
      </c>
      <c r="S653" s="793">
        <f>IFERROR(INDEX('Hoja de apoyo v2'!G$17:G$20,MATCH($A653,'Hoja de apoyo v2'!$A$17:$A$20,0)),"")</f>
        <v>83.406300904207839</v>
      </c>
      <c r="T653" s="792">
        <f>IFERROR(INDEX('Hoja de apoyo v2'!H$17:H$20,MATCH($A653,'Hoja de apoyo v2'!$A$17:$A$20,0)),"")</f>
        <v>378.97014028925349</v>
      </c>
      <c r="U653" s="794" t="str">
        <f t="shared" si="364"/>
        <v/>
      </c>
      <c r="V653" s="795" t="str">
        <f t="shared" si="365"/>
        <v/>
      </c>
      <c r="W653" s="795" t="str">
        <f t="shared" si="366"/>
        <v/>
      </c>
      <c r="X653" s="843" t="str">
        <f t="shared" si="367"/>
        <v/>
      </c>
      <c r="Y653" s="843" t="str">
        <f t="shared" si="368"/>
        <v/>
      </c>
      <c r="Z653" s="843" t="str">
        <f t="shared" si="369"/>
        <v/>
      </c>
      <c r="AA653" s="843">
        <f t="shared" si="370"/>
        <v>0.67287623189881973</v>
      </c>
      <c r="AB653" s="796">
        <f t="shared" si="371"/>
        <v>0</v>
      </c>
      <c r="AC653" s="797">
        <f t="shared" si="372"/>
        <v>0</v>
      </c>
      <c r="AD653" s="797">
        <f t="shared" si="373"/>
        <v>0</v>
      </c>
      <c r="AE653" s="842">
        <f t="shared" si="374"/>
        <v>0</v>
      </c>
      <c r="AF653" s="842">
        <f t="shared" si="375"/>
        <v>0</v>
      </c>
      <c r="AG653" s="842">
        <f t="shared" si="376"/>
        <v>0</v>
      </c>
      <c r="AH653" s="842">
        <f t="shared" si="377"/>
        <v>2</v>
      </c>
      <c r="AI653" s="826" cm="1">
        <f t="array" ref="AI653">SUMPRODUCT(--ISNUMBER($U653:$AA653),$AB$3:$AH$3)</f>
        <v>8.9789113613062493E-2</v>
      </c>
      <c r="AJ653" s="829" t="str">
        <f t="shared" si="378"/>
        <v/>
      </c>
      <c r="AK653" s="827" t="str">
        <f t="shared" si="379"/>
        <v>Ruta inactiva</v>
      </c>
      <c r="AL653" s="784" t="str">
        <f t="shared" si="380"/>
        <v>n/a</v>
      </c>
      <c r="AM653" s="799">
        <f>IF(ISNUMBER('Base de datos Rutas'!W651),'Base de datos Rutas'!W651,"")</f>
        <v>3060.1995418491324</v>
      </c>
      <c r="AN653" s="787">
        <f>IFERROR(SUMIFS('Base de datos Rutas'!$W$6:$W$794,'Base de datos Rutas'!$C$6:$C$794,$C653)/'Base de datos Rutas'!I651,"")</f>
        <v>3060.1995418491333</v>
      </c>
      <c r="AO653" s="800">
        <f>IFERROR('Base de datos Rutas'!X651*AN653/AM653,"")</f>
        <v>0.51841114131281618</v>
      </c>
      <c r="AP653" s="800">
        <f t="shared" si="381"/>
        <v>0.48158885868718382</v>
      </c>
      <c r="AQ653" s="789">
        <f>IFERROR(INDEX('Hoja de apoyo v2'!$J$17:$J$20,MATCH($A653,'Hoja de apoyo v2'!$A$17:$A$20,0)),"")</f>
        <v>0.64320274048480885</v>
      </c>
      <c r="AR653" s="789">
        <f t="shared" si="382"/>
        <v>-0.16161388179762504</v>
      </c>
      <c r="AS653" s="784" t="str">
        <f t="shared" si="383"/>
        <v>No</v>
      </c>
      <c r="AT653" s="801" t="str">
        <f>IF(ISNUMBER('Base de datos Rutas'!CK651),'Base de datos Rutas'!CK651,"")</f>
        <v/>
      </c>
      <c r="AU653" s="802" t="str">
        <f>IF(ISNUMBER('Base de datos Rutas'!CL651),'Base de datos Rutas'!CL651,"")</f>
        <v/>
      </c>
      <c r="AV653" s="802">
        <f>IF(ISNUMBER('Base de datos Rutas'!CM651),'Base de datos Rutas'!CM651,"")</f>
        <v>0</v>
      </c>
      <c r="AW653" s="802" t="str">
        <f>IF(ISNUMBER('Base de datos Rutas'!CN651),'Base de datos Rutas'!CN651,"")</f>
        <v/>
      </c>
      <c r="AX653" s="802" t="str">
        <f>IF(ISNUMBER('Base de datos Rutas'!CO651),'Base de datos Rutas'!CO651,"")</f>
        <v/>
      </c>
      <c r="AY653" s="802">
        <f>IF(ISNUMBER('Base de datos Rutas'!CP651),'Base de datos Rutas'!CP651,"")</f>
        <v>0</v>
      </c>
      <c r="AZ653" s="802" t="str">
        <f>IF(ISNUMBER('Base de datos Rutas'!CQ651),'Base de datos Rutas'!CQ651,"")</f>
        <v/>
      </c>
      <c r="BA653" s="802" t="str">
        <f>IF(ISNUMBER('Base de datos Rutas'!CR651),'Base de datos Rutas'!CR651,"")</f>
        <v/>
      </c>
      <c r="BB653" s="803">
        <f>IF(ISNUMBER('Base de datos Rutas'!CS651),'Base de datos Rutas'!CS651,"")</f>
        <v>0</v>
      </c>
      <c r="BC653" s="804" t="str">
        <f t="shared" si="393"/>
        <v/>
      </c>
      <c r="BD653" s="805" t="str">
        <f t="shared" si="394"/>
        <v>N/D</v>
      </c>
      <c r="BE653" s="806" t="str">
        <f t="shared" si="395"/>
        <v/>
      </c>
      <c r="BF653" s="890" t="str">
        <f>IF(ISNUMBER('Base de datos Rutas'!CX651),'Base de datos Rutas'!CX651/100,"")</f>
        <v/>
      </c>
      <c r="BG653" s="891" t="str">
        <f>IF(ISNUMBER('Base de datos Rutas'!CZ651),'Base de datos Rutas'!CZ651/100,"")</f>
        <v/>
      </c>
      <c r="BH653" s="892" t="str">
        <f>IF(ISNUMBER('Base de datos Rutas'!DA651),'Base de datos Rutas'!DA651,"")</f>
        <v/>
      </c>
      <c r="BI653" s="893" t="str">
        <f>IF(ISNUMBER('Base de datos Rutas'!DC651),'Base de datos Rutas'!DC651,"")</f>
        <v/>
      </c>
      <c r="BJ653" s="805" t="str">
        <f t="shared" si="396"/>
        <v>Sin dato</v>
      </c>
      <c r="BK653" s="783">
        <f t="shared" si="384"/>
        <v>0</v>
      </c>
      <c r="BL653" s="797">
        <f t="shared" si="385"/>
        <v>0</v>
      </c>
      <c r="BM653" s="797">
        <f t="shared" si="386"/>
        <v>0</v>
      </c>
      <c r="BN653" s="797">
        <f t="shared" si="387"/>
        <v>0</v>
      </c>
      <c r="BO653" s="798" cm="1">
        <f t="array" ref="BO653">SUMPRODUCT(--ISNUMBER($BF653:$BI653),$BK$3:$BN$3)</f>
        <v>0</v>
      </c>
      <c r="BP653" s="831" t="str">
        <f t="shared" si="397"/>
        <v/>
      </c>
      <c r="BQ653" s="834" t="str">
        <f t="shared" si="398"/>
        <v>Sin datos</v>
      </c>
      <c r="BR653" s="836" t="str">
        <f t="shared" si="388"/>
        <v/>
      </c>
      <c r="BS653" s="836" t="str">
        <f t="shared" si="389"/>
        <v/>
      </c>
      <c r="BT653" s="837" t="str">
        <f t="shared" si="390"/>
        <v>Sin datos</v>
      </c>
      <c r="BU653" s="807" t="str">
        <f t="shared" si="399"/>
        <v>No evaluable</v>
      </c>
      <c r="BV653" s="807" t="str">
        <f t="shared" si="391"/>
        <v>No evaluable</v>
      </c>
      <c r="BW653" s="808" t="str">
        <f t="shared" si="392"/>
        <v>Sin datos</v>
      </c>
    </row>
    <row r="654" spans="1:75">
      <c r="A654" s="780" t="str">
        <f>'Base de datos Rutas'!A652</f>
        <v>Occidente</v>
      </c>
      <c r="B654" s="781" t="str">
        <f>'Base de datos Rutas'!B652</f>
        <v>Favorita</v>
      </c>
      <c r="C654" s="781" t="str">
        <f>'Base de datos Rutas'!C652</f>
        <v>Suc. Toluquilla</v>
      </c>
      <c r="D654" s="782">
        <f>IF(ISNUMBER('Base de datos Rutas'!D652),'Base de datos Rutas'!D652,"Sin código")</f>
        <v>804415</v>
      </c>
      <c r="E654" s="783" t="str">
        <f>'Base de datos Rutas'!F652</f>
        <v>Activa</v>
      </c>
      <c r="F654" s="784" t="str">
        <f>'Base de datos Rutas'!H652</f>
        <v>No</v>
      </c>
      <c r="G654" s="785" t="str">
        <f>IF(ISNUMBER('Base de datos Rutas'!BE652),'Base de datos Rutas'!BE652,"")</f>
        <v/>
      </c>
      <c r="H654" s="786" t="str">
        <f>IF(ISNUMBER('Base de datos Rutas'!BH652),'Base de datos Rutas'!BH652,"")</f>
        <v/>
      </c>
      <c r="I654" s="788" t="str">
        <f>IFERROR(IF(OR(NOT(ISNUMBER('Base de datos Rutas'!O652)),N('Base de datos Rutas'!BK652)=0),"",'Base de datos Rutas'!O652/('Base de datos Rutas'!L652/'Base de datos Rutas'!BK652)),"")</f>
        <v/>
      </c>
      <c r="J654" s="788" t="str">
        <f>IFERROR(IF(OR(NOT(ISNUMBER('Base de datos Rutas'!N652)),N('Base de datos Rutas'!BK652)=0),"",'Base de datos Rutas'!N652/('Base de datos Rutas'!L652/'Base de datos Rutas'!BK652)),"")</f>
        <v/>
      </c>
      <c r="K654" s="788" t="str">
        <f>IFERROR(IF(OR(NOT(ISNUMBER('Base de datos Rutas'!J652)),N('Base de datos Rutas'!BK652)=0),"",'Base de datos Rutas'!J652/('Base de datos Rutas'!L652/'Base de datos Rutas'!BK652)),"")</f>
        <v/>
      </c>
      <c r="L654" s="788" t="str">
        <f>IFERROR(IF(OR(NOT(ISNUMBER('Base de datos Rutas'!K652)),N('Base de datos Rutas'!BK652)=0),"",'Base de datos Rutas'!K652/('Base de datos Rutas'!L652/'Base de datos Rutas'!BK652)),"")</f>
        <v/>
      </c>
      <c r="M654" s="787">
        <f>IF(ISNUMBER('Base de datos Rutas'!AX652),'Base de datos Rutas'!AX652,"")</f>
        <v>162</v>
      </c>
      <c r="N654" s="790">
        <f>IFERROR(INDEX('Hoja de apoyo v2'!B$17:B$20,MATCH($A654,'Hoja de apoyo v2'!$A$17:$A$20,0)),"")</f>
        <v>89.41621024641401</v>
      </c>
      <c r="O654" s="791">
        <f>IFERROR(INDEX('Hoja de apoyo v2'!C$17:C$20,MATCH($A654,'Hoja de apoyo v2'!$A$17:$A$20,0)),"")</f>
        <v>0.54706375874806301</v>
      </c>
      <c r="P654" s="793">
        <f>IFERROR(INDEX('Hoja de apoyo v2'!D$17:D$20,MATCH($A654,'Hoja de apoyo v2'!$A$17:$A$20,0)),"")</f>
        <v>11095.153935793827</v>
      </c>
      <c r="Q654" s="793">
        <f>IFERROR(INDEX('Hoja de apoyo v2'!E$17:E$20,MATCH($A654,'Hoja de apoyo v2'!$A$17:$A$20,0)),"")</f>
        <v>6982.3202019701848</v>
      </c>
      <c r="R654" s="793">
        <f>IFERROR(INDEX('Hoja de apoyo v2'!F$17:F$20,MATCH($A654,'Hoja de apoyo v2'!$A$17:$A$20,0)),"")</f>
        <v>448.09513474485743</v>
      </c>
      <c r="S654" s="793">
        <f>IFERROR(INDEX('Hoja de apoyo v2'!G$17:G$20,MATCH($A654,'Hoja de apoyo v2'!$A$17:$A$20,0)),"")</f>
        <v>83.406300904207839</v>
      </c>
      <c r="T654" s="792">
        <f>IFERROR(INDEX('Hoja de apoyo v2'!H$17:H$20,MATCH($A654,'Hoja de apoyo v2'!$A$17:$A$20,0)),"")</f>
        <v>378.97014028925349</v>
      </c>
      <c r="U654" s="794" t="str">
        <f t="shared" si="364"/>
        <v/>
      </c>
      <c r="V654" s="795" t="str">
        <f t="shared" si="365"/>
        <v/>
      </c>
      <c r="W654" s="795" t="str">
        <f t="shared" si="366"/>
        <v/>
      </c>
      <c r="X654" s="843" t="str">
        <f t="shared" si="367"/>
        <v/>
      </c>
      <c r="Y654" s="843" t="str">
        <f t="shared" si="368"/>
        <v/>
      </c>
      <c r="Z654" s="843" t="str">
        <f t="shared" si="369"/>
        <v/>
      </c>
      <c r="AA654" s="843">
        <f t="shared" si="370"/>
        <v>0.42747431202983843</v>
      </c>
      <c r="AB654" s="796">
        <f t="shared" si="371"/>
        <v>0</v>
      </c>
      <c r="AC654" s="797">
        <f t="shared" si="372"/>
        <v>0</v>
      </c>
      <c r="AD654" s="797">
        <f t="shared" si="373"/>
        <v>0</v>
      </c>
      <c r="AE654" s="842">
        <f t="shared" si="374"/>
        <v>0</v>
      </c>
      <c r="AF654" s="842">
        <f t="shared" si="375"/>
        <v>0</v>
      </c>
      <c r="AG654" s="842">
        <f t="shared" si="376"/>
        <v>0</v>
      </c>
      <c r="AH654" s="842">
        <f t="shared" si="377"/>
        <v>1</v>
      </c>
      <c r="AI654" s="826" cm="1">
        <f t="array" ref="AI654">SUMPRODUCT(--ISNUMBER($U654:$AA654),$AB$3:$AH$3)</f>
        <v>8.9789113613062493E-2</v>
      </c>
      <c r="AJ654" s="829" t="str">
        <f t="shared" si="378"/>
        <v/>
      </c>
      <c r="AK654" s="827" t="str">
        <f t="shared" si="379"/>
        <v>No elegible</v>
      </c>
      <c r="AL654" s="784" t="str">
        <f t="shared" si="380"/>
        <v>n/a</v>
      </c>
      <c r="AM654" s="799">
        <f>IF(ISNUMBER('Base de datos Rutas'!W652),'Base de datos Rutas'!W652,"")</f>
        <v>3060.1995418491324</v>
      </c>
      <c r="AN654" s="787">
        <f>IFERROR(SUMIFS('Base de datos Rutas'!$W$6:$W$794,'Base de datos Rutas'!$C$6:$C$794,$C654)/'Base de datos Rutas'!I652,"")</f>
        <v>3060.1995418491333</v>
      </c>
      <c r="AO654" s="800">
        <f>IFERROR('Base de datos Rutas'!X652*AN654/AM654,"")</f>
        <v>0.51841114131281618</v>
      </c>
      <c r="AP654" s="800">
        <f t="shared" si="381"/>
        <v>0.48158885868718382</v>
      </c>
      <c r="AQ654" s="789">
        <f>IFERROR(INDEX('Hoja de apoyo v2'!$J$17:$J$20,MATCH($A654,'Hoja de apoyo v2'!$A$17:$A$20,0)),"")</f>
        <v>0.64320274048480885</v>
      </c>
      <c r="AR654" s="789">
        <f t="shared" si="382"/>
        <v>-0.16161388179762504</v>
      </c>
      <c r="AS654" s="784" t="str">
        <f t="shared" si="383"/>
        <v>No</v>
      </c>
      <c r="AT654" s="801" t="str">
        <f>IF(ISNUMBER('Base de datos Rutas'!CK652),'Base de datos Rutas'!CK652,"")</f>
        <v/>
      </c>
      <c r="AU654" s="802" t="str">
        <f>IF(ISNUMBER('Base de datos Rutas'!CL652),'Base de datos Rutas'!CL652,"")</f>
        <v/>
      </c>
      <c r="AV654" s="802">
        <f>IF(ISNUMBER('Base de datos Rutas'!CM652),'Base de datos Rutas'!CM652,"")</f>
        <v>0</v>
      </c>
      <c r="AW654" s="802" t="str">
        <f>IF(ISNUMBER('Base de datos Rutas'!CN652),'Base de datos Rutas'!CN652,"")</f>
        <v/>
      </c>
      <c r="AX654" s="802" t="str">
        <f>IF(ISNUMBER('Base de datos Rutas'!CO652),'Base de datos Rutas'!CO652,"")</f>
        <v/>
      </c>
      <c r="AY654" s="802">
        <f>IF(ISNUMBER('Base de datos Rutas'!CP652),'Base de datos Rutas'!CP652,"")</f>
        <v>0</v>
      </c>
      <c r="AZ654" s="802" t="str">
        <f>IF(ISNUMBER('Base de datos Rutas'!CQ652),'Base de datos Rutas'!CQ652,"")</f>
        <v/>
      </c>
      <c r="BA654" s="802" t="str">
        <f>IF(ISNUMBER('Base de datos Rutas'!CR652),'Base de datos Rutas'!CR652,"")</f>
        <v/>
      </c>
      <c r="BB654" s="803">
        <f>IF(ISNUMBER('Base de datos Rutas'!CS652),'Base de datos Rutas'!CS652,"")</f>
        <v>0</v>
      </c>
      <c r="BC654" s="804" t="str">
        <f t="shared" si="393"/>
        <v/>
      </c>
      <c r="BD654" s="805" t="str">
        <f t="shared" si="394"/>
        <v>N/D</v>
      </c>
      <c r="BE654" s="806" t="str">
        <f t="shared" si="395"/>
        <v/>
      </c>
      <c r="BF654" s="890" t="str">
        <f>IF(ISNUMBER('Base de datos Rutas'!CX652),'Base de datos Rutas'!CX652/100,"")</f>
        <v/>
      </c>
      <c r="BG654" s="891" t="str">
        <f>IF(ISNUMBER('Base de datos Rutas'!CZ652),'Base de datos Rutas'!CZ652/100,"")</f>
        <v/>
      </c>
      <c r="BH654" s="892" t="str">
        <f>IF(ISNUMBER('Base de datos Rutas'!DA652),'Base de datos Rutas'!DA652,"")</f>
        <v/>
      </c>
      <c r="BI654" s="893" t="str">
        <f>IF(ISNUMBER('Base de datos Rutas'!DC652),'Base de datos Rutas'!DC652,"")</f>
        <v/>
      </c>
      <c r="BJ654" s="805" t="str">
        <f t="shared" si="396"/>
        <v>Sin dato</v>
      </c>
      <c r="BK654" s="783">
        <f t="shared" si="384"/>
        <v>0</v>
      </c>
      <c r="BL654" s="797">
        <f t="shared" si="385"/>
        <v>0</v>
      </c>
      <c r="BM654" s="797">
        <f t="shared" si="386"/>
        <v>0</v>
      </c>
      <c r="BN654" s="797">
        <f t="shared" si="387"/>
        <v>0</v>
      </c>
      <c r="BO654" s="798" cm="1">
        <f t="array" ref="BO654">SUMPRODUCT(--ISNUMBER($BF654:$BI654),$BK$3:$BN$3)</f>
        <v>0</v>
      </c>
      <c r="BP654" s="831" t="str">
        <f t="shared" si="397"/>
        <v/>
      </c>
      <c r="BQ654" s="834" t="str">
        <f t="shared" si="398"/>
        <v>Sin datos</v>
      </c>
      <c r="BR654" s="836" t="str">
        <f t="shared" si="388"/>
        <v/>
      </c>
      <c r="BS654" s="836" t="str">
        <f t="shared" si="389"/>
        <v/>
      </c>
      <c r="BT654" s="837" t="str">
        <f t="shared" si="390"/>
        <v>Sin datos</v>
      </c>
      <c r="BU654" s="807" t="str">
        <f t="shared" si="399"/>
        <v>No evaluable</v>
      </c>
      <c r="BV654" s="807" t="str">
        <f t="shared" si="391"/>
        <v>No evaluable</v>
      </c>
      <c r="BW654" s="808" t="str">
        <f t="shared" si="392"/>
        <v>Sin datos</v>
      </c>
    </row>
    <row r="655" spans="1:75">
      <c r="A655" s="780" t="str">
        <f>'Base de datos Rutas'!A653</f>
        <v>Occidente</v>
      </c>
      <c r="B655" s="781" t="str">
        <f>'Base de datos Rutas'!B653</f>
        <v>Favorita</v>
      </c>
      <c r="C655" s="781" t="str">
        <f>'Base de datos Rutas'!C653</f>
        <v>Suc. Toluquilla</v>
      </c>
      <c r="D655" s="782">
        <f>IF(ISNUMBER('Base de datos Rutas'!D653),'Base de datos Rutas'!D653,"Sin código")</f>
        <v>804416</v>
      </c>
      <c r="E655" s="783" t="str">
        <f>'Base de datos Rutas'!F653</f>
        <v>Inactiva</v>
      </c>
      <c r="F655" s="784" t="str">
        <f>'Base de datos Rutas'!H653</f>
        <v>No</v>
      </c>
      <c r="G655" s="785" t="str">
        <f>IF(ISNUMBER('Base de datos Rutas'!BE653),'Base de datos Rutas'!BE653,"")</f>
        <v/>
      </c>
      <c r="H655" s="786" t="str">
        <f>IF(ISNUMBER('Base de datos Rutas'!BH653),'Base de datos Rutas'!BH653,"")</f>
        <v/>
      </c>
      <c r="I655" s="788" t="str">
        <f>IFERROR(IF(OR(NOT(ISNUMBER('Base de datos Rutas'!O653)),N('Base de datos Rutas'!BK653)=0),"",'Base de datos Rutas'!O653/('Base de datos Rutas'!L653/'Base de datos Rutas'!BK653)),"")</f>
        <v/>
      </c>
      <c r="J655" s="788" t="str">
        <f>IFERROR(IF(OR(NOT(ISNUMBER('Base de datos Rutas'!N653)),N('Base de datos Rutas'!BK653)=0),"",'Base de datos Rutas'!N653/('Base de datos Rutas'!L653/'Base de datos Rutas'!BK653)),"")</f>
        <v/>
      </c>
      <c r="K655" s="788" t="str">
        <f>IFERROR(IF(OR(NOT(ISNUMBER('Base de datos Rutas'!J653)),N('Base de datos Rutas'!BK653)=0),"",'Base de datos Rutas'!J653/('Base de datos Rutas'!L653/'Base de datos Rutas'!BK653)),"")</f>
        <v/>
      </c>
      <c r="L655" s="788" t="str">
        <f>IFERROR(IF(OR(NOT(ISNUMBER('Base de datos Rutas'!K653)),N('Base de datos Rutas'!BK653)=0),"",'Base de datos Rutas'!K653/('Base de datos Rutas'!L653/'Base de datos Rutas'!BK653)),"")</f>
        <v/>
      </c>
      <c r="M655" s="787">
        <f>IF(ISNUMBER('Base de datos Rutas'!AX653),'Base de datos Rutas'!AX653,"")</f>
        <v>450.08</v>
      </c>
      <c r="N655" s="790">
        <f>IFERROR(INDEX('Hoja de apoyo v2'!B$17:B$20,MATCH($A655,'Hoja de apoyo v2'!$A$17:$A$20,0)),"")</f>
        <v>89.41621024641401</v>
      </c>
      <c r="O655" s="791">
        <f>IFERROR(INDEX('Hoja de apoyo v2'!C$17:C$20,MATCH($A655,'Hoja de apoyo v2'!$A$17:$A$20,0)),"")</f>
        <v>0.54706375874806301</v>
      </c>
      <c r="P655" s="793">
        <f>IFERROR(INDEX('Hoja de apoyo v2'!D$17:D$20,MATCH($A655,'Hoja de apoyo v2'!$A$17:$A$20,0)),"")</f>
        <v>11095.153935793827</v>
      </c>
      <c r="Q655" s="793">
        <f>IFERROR(INDEX('Hoja de apoyo v2'!E$17:E$20,MATCH($A655,'Hoja de apoyo v2'!$A$17:$A$20,0)),"")</f>
        <v>6982.3202019701848</v>
      </c>
      <c r="R655" s="793">
        <f>IFERROR(INDEX('Hoja de apoyo v2'!F$17:F$20,MATCH($A655,'Hoja de apoyo v2'!$A$17:$A$20,0)),"")</f>
        <v>448.09513474485743</v>
      </c>
      <c r="S655" s="793">
        <f>IFERROR(INDEX('Hoja de apoyo v2'!G$17:G$20,MATCH($A655,'Hoja de apoyo v2'!$A$17:$A$20,0)),"")</f>
        <v>83.406300904207839</v>
      </c>
      <c r="T655" s="792">
        <f>IFERROR(INDEX('Hoja de apoyo v2'!H$17:H$20,MATCH($A655,'Hoja de apoyo v2'!$A$17:$A$20,0)),"")</f>
        <v>378.97014028925349</v>
      </c>
      <c r="U655" s="794" t="str">
        <f t="shared" si="364"/>
        <v/>
      </c>
      <c r="V655" s="795" t="str">
        <f t="shared" si="365"/>
        <v/>
      </c>
      <c r="W655" s="795" t="str">
        <f t="shared" si="366"/>
        <v/>
      </c>
      <c r="X655" s="843" t="str">
        <f t="shared" si="367"/>
        <v/>
      </c>
      <c r="Y655" s="843" t="str">
        <f t="shared" si="368"/>
        <v/>
      </c>
      <c r="Z655" s="843" t="str">
        <f t="shared" si="369"/>
        <v/>
      </c>
      <c r="AA655" s="843">
        <f t="shared" si="370"/>
        <v>1.1876397429530228</v>
      </c>
      <c r="AB655" s="796">
        <f t="shared" si="371"/>
        <v>0</v>
      </c>
      <c r="AC655" s="797">
        <f t="shared" si="372"/>
        <v>0</v>
      </c>
      <c r="AD655" s="797">
        <f t="shared" si="373"/>
        <v>0</v>
      </c>
      <c r="AE655" s="842">
        <f t="shared" si="374"/>
        <v>0</v>
      </c>
      <c r="AF655" s="842">
        <f t="shared" si="375"/>
        <v>0</v>
      </c>
      <c r="AG655" s="842">
        <f t="shared" si="376"/>
        <v>0</v>
      </c>
      <c r="AH655" s="842">
        <f t="shared" si="377"/>
        <v>4</v>
      </c>
      <c r="AI655" s="826" cm="1">
        <f t="array" ref="AI655">SUMPRODUCT(--ISNUMBER($U655:$AA655),$AB$3:$AH$3)</f>
        <v>8.9789113613062493E-2</v>
      </c>
      <c r="AJ655" s="829" t="str">
        <f t="shared" si="378"/>
        <v/>
      </c>
      <c r="AK655" s="827" t="str">
        <f t="shared" si="379"/>
        <v>Ruta inactiva</v>
      </c>
      <c r="AL655" s="784" t="str">
        <f t="shared" si="380"/>
        <v>n/a</v>
      </c>
      <c r="AM655" s="799">
        <f>IF(ISNUMBER('Base de datos Rutas'!W653),'Base de datos Rutas'!W653,"")</f>
        <v>3060.1995418491324</v>
      </c>
      <c r="AN655" s="787">
        <f>IFERROR(SUMIFS('Base de datos Rutas'!$W$6:$W$794,'Base de datos Rutas'!$C$6:$C$794,$C655)/'Base de datos Rutas'!I653,"")</f>
        <v>3060.1995418491333</v>
      </c>
      <c r="AO655" s="800">
        <f>IFERROR('Base de datos Rutas'!X653*AN655/AM655,"")</f>
        <v>0.51841114131281618</v>
      </c>
      <c r="AP655" s="800">
        <f t="shared" si="381"/>
        <v>0.48158885868718382</v>
      </c>
      <c r="AQ655" s="789">
        <f>IFERROR(INDEX('Hoja de apoyo v2'!$J$17:$J$20,MATCH($A655,'Hoja de apoyo v2'!$A$17:$A$20,0)),"")</f>
        <v>0.64320274048480885</v>
      </c>
      <c r="AR655" s="789">
        <f t="shared" si="382"/>
        <v>-0.16161388179762504</v>
      </c>
      <c r="AS655" s="784" t="str">
        <f t="shared" si="383"/>
        <v>No</v>
      </c>
      <c r="AT655" s="801" t="str">
        <f>IF(ISNUMBER('Base de datos Rutas'!CK653),'Base de datos Rutas'!CK653,"")</f>
        <v/>
      </c>
      <c r="AU655" s="802" t="str">
        <f>IF(ISNUMBER('Base de datos Rutas'!CL653),'Base de datos Rutas'!CL653,"")</f>
        <v/>
      </c>
      <c r="AV655" s="802">
        <f>IF(ISNUMBER('Base de datos Rutas'!CM653),'Base de datos Rutas'!CM653,"")</f>
        <v>0</v>
      </c>
      <c r="AW655" s="802" t="str">
        <f>IF(ISNUMBER('Base de datos Rutas'!CN653),'Base de datos Rutas'!CN653,"")</f>
        <v/>
      </c>
      <c r="AX655" s="802" t="str">
        <f>IF(ISNUMBER('Base de datos Rutas'!CO653),'Base de datos Rutas'!CO653,"")</f>
        <v/>
      </c>
      <c r="AY655" s="802">
        <f>IF(ISNUMBER('Base de datos Rutas'!CP653),'Base de datos Rutas'!CP653,"")</f>
        <v>0</v>
      </c>
      <c r="AZ655" s="802" t="str">
        <f>IF(ISNUMBER('Base de datos Rutas'!CQ653),'Base de datos Rutas'!CQ653,"")</f>
        <v/>
      </c>
      <c r="BA655" s="802" t="str">
        <f>IF(ISNUMBER('Base de datos Rutas'!CR653),'Base de datos Rutas'!CR653,"")</f>
        <v/>
      </c>
      <c r="BB655" s="803">
        <f>IF(ISNUMBER('Base de datos Rutas'!CS653),'Base de datos Rutas'!CS653,"")</f>
        <v>0</v>
      </c>
      <c r="BC655" s="804" t="str">
        <f t="shared" si="393"/>
        <v/>
      </c>
      <c r="BD655" s="805" t="str">
        <f t="shared" si="394"/>
        <v>N/D</v>
      </c>
      <c r="BE655" s="806" t="str">
        <f t="shared" si="395"/>
        <v/>
      </c>
      <c r="BF655" s="890" t="str">
        <f>IF(ISNUMBER('Base de datos Rutas'!CX653),'Base de datos Rutas'!CX653/100,"")</f>
        <v/>
      </c>
      <c r="BG655" s="891" t="str">
        <f>IF(ISNUMBER('Base de datos Rutas'!CZ653),'Base de datos Rutas'!CZ653/100,"")</f>
        <v/>
      </c>
      <c r="BH655" s="892" t="str">
        <f>IF(ISNUMBER('Base de datos Rutas'!DA653),'Base de datos Rutas'!DA653,"")</f>
        <v/>
      </c>
      <c r="BI655" s="893" t="str">
        <f>IF(ISNUMBER('Base de datos Rutas'!DC653),'Base de datos Rutas'!DC653,"")</f>
        <v/>
      </c>
      <c r="BJ655" s="805" t="str">
        <f t="shared" si="396"/>
        <v>Sin dato</v>
      </c>
      <c r="BK655" s="783">
        <f t="shared" si="384"/>
        <v>0</v>
      </c>
      <c r="BL655" s="797">
        <f t="shared" si="385"/>
        <v>0</v>
      </c>
      <c r="BM655" s="797">
        <f t="shared" si="386"/>
        <v>0</v>
      </c>
      <c r="BN655" s="797">
        <f t="shared" si="387"/>
        <v>0</v>
      </c>
      <c r="BO655" s="798" cm="1">
        <f t="array" ref="BO655">SUMPRODUCT(--ISNUMBER($BF655:$BI655),$BK$3:$BN$3)</f>
        <v>0</v>
      </c>
      <c r="BP655" s="831" t="str">
        <f t="shared" si="397"/>
        <v/>
      </c>
      <c r="BQ655" s="834" t="str">
        <f t="shared" si="398"/>
        <v>Sin datos</v>
      </c>
      <c r="BR655" s="836" t="str">
        <f t="shared" si="388"/>
        <v/>
      </c>
      <c r="BS655" s="836" t="str">
        <f t="shared" si="389"/>
        <v/>
      </c>
      <c r="BT655" s="837" t="str">
        <f t="shared" si="390"/>
        <v>Sin datos</v>
      </c>
      <c r="BU655" s="807" t="str">
        <f t="shared" si="399"/>
        <v>No evaluable</v>
      </c>
      <c r="BV655" s="807" t="str">
        <f t="shared" si="391"/>
        <v>No evaluable</v>
      </c>
      <c r="BW655" s="808" t="str">
        <f t="shared" si="392"/>
        <v>Sin datos</v>
      </c>
    </row>
    <row r="656" spans="1:75">
      <c r="A656" s="780" t="str">
        <f>'Base de datos Rutas'!A654</f>
        <v>Occidente</v>
      </c>
      <c r="B656" s="781" t="str">
        <f>'Base de datos Rutas'!B654</f>
        <v>Favorita</v>
      </c>
      <c r="C656" s="781" t="str">
        <f>'Base de datos Rutas'!C654</f>
        <v>Suc. Toluquilla</v>
      </c>
      <c r="D656" s="782">
        <f>IF(ISNUMBER('Base de datos Rutas'!D654),'Base de datos Rutas'!D654,"Sin código")</f>
        <v>804420</v>
      </c>
      <c r="E656" s="783" t="str">
        <f>'Base de datos Rutas'!F654</f>
        <v>Activa</v>
      </c>
      <c r="F656" s="784" t="str">
        <f>'Base de datos Rutas'!H654</f>
        <v>Sí</v>
      </c>
      <c r="G656" s="785">
        <f>IF(ISNUMBER('Base de datos Rutas'!BE654),'Base de datos Rutas'!BE654,"")</f>
        <v>66.913486005089098</v>
      </c>
      <c r="H656" s="786">
        <f>IF(ISNUMBER('Base de datos Rutas'!BH654),'Base de datos Rutas'!BH654,"")</f>
        <v>0.53854051792980195</v>
      </c>
      <c r="I656" s="788">
        <f>IFERROR(IF(OR(NOT(ISNUMBER('Base de datos Rutas'!O654)),N('Base de datos Rutas'!BK654)=0),"",'Base de datos Rutas'!O654/('Base de datos Rutas'!L654/'Base de datos Rutas'!BK654)),"")</f>
        <v>1949.7660550458688</v>
      </c>
      <c r="J656" s="788">
        <f>IFERROR(IF(OR(NOT(ISNUMBER('Base de datos Rutas'!N654)),N('Base de datos Rutas'!BK654)=0),"",'Base de datos Rutas'!N654/('Base de datos Rutas'!L654/'Base de datos Rutas'!BK654)),"")</f>
        <v>8078.4334862385203</v>
      </c>
      <c r="K656" s="788">
        <f>IFERROR(IF(OR(NOT(ISNUMBER('Base de datos Rutas'!J654)),N('Base de datos Rutas'!BK654)=0),"",'Base de datos Rutas'!J654/('Base de datos Rutas'!L654/'Base de datos Rutas'!BK654)),"")</f>
        <v>434.81442752293515</v>
      </c>
      <c r="L656" s="788">
        <f>IFERROR(IF(OR(NOT(ISNUMBER('Base de datos Rutas'!K654)),N('Base de datos Rutas'!BK654)=0),"",'Base de datos Rutas'!K654/('Base de datos Rutas'!L654/'Base de datos Rutas'!BK654)),"")</f>
        <v>17.702202892201811</v>
      </c>
      <c r="M656" s="787">
        <f>IF(ISNUMBER('Base de datos Rutas'!AX654),'Base de datos Rutas'!AX654,"")</f>
        <v>235.07036872765801</v>
      </c>
      <c r="N656" s="790">
        <f>IFERROR(INDEX('Hoja de apoyo v2'!B$17:B$20,MATCH($A656,'Hoja de apoyo v2'!$A$17:$A$20,0)),"")</f>
        <v>89.41621024641401</v>
      </c>
      <c r="O656" s="791">
        <f>IFERROR(INDEX('Hoja de apoyo v2'!C$17:C$20,MATCH($A656,'Hoja de apoyo v2'!$A$17:$A$20,0)),"")</f>
        <v>0.54706375874806301</v>
      </c>
      <c r="P656" s="793">
        <f>IFERROR(INDEX('Hoja de apoyo v2'!D$17:D$20,MATCH($A656,'Hoja de apoyo v2'!$A$17:$A$20,0)),"")</f>
        <v>11095.153935793827</v>
      </c>
      <c r="Q656" s="793">
        <f>IFERROR(INDEX('Hoja de apoyo v2'!E$17:E$20,MATCH($A656,'Hoja de apoyo v2'!$A$17:$A$20,0)),"")</f>
        <v>6982.3202019701848</v>
      </c>
      <c r="R656" s="793">
        <f>IFERROR(INDEX('Hoja de apoyo v2'!F$17:F$20,MATCH($A656,'Hoja de apoyo v2'!$A$17:$A$20,0)),"")</f>
        <v>448.09513474485743</v>
      </c>
      <c r="S656" s="793">
        <f>IFERROR(INDEX('Hoja de apoyo v2'!G$17:G$20,MATCH($A656,'Hoja de apoyo v2'!$A$17:$A$20,0)),"")</f>
        <v>83.406300904207839</v>
      </c>
      <c r="T656" s="792">
        <f>IFERROR(INDEX('Hoja de apoyo v2'!H$17:H$20,MATCH($A656,'Hoja de apoyo v2'!$A$17:$A$20,0)),"")</f>
        <v>378.97014028925349</v>
      </c>
      <c r="U656" s="794">
        <f t="shared" si="364"/>
        <v>0.74833730730354486</v>
      </c>
      <c r="V656" s="795">
        <f t="shared" si="365"/>
        <v>0.98442002292791941</v>
      </c>
      <c r="W656" s="795">
        <f t="shared" si="366"/>
        <v>0.17573132074858125</v>
      </c>
      <c r="X656" s="843">
        <f t="shared" si="367"/>
        <v>1.1569841045042661</v>
      </c>
      <c r="Y656" s="843">
        <f t="shared" si="368"/>
        <v>0.97036185802489416</v>
      </c>
      <c r="Z656" s="843">
        <f t="shared" si="369"/>
        <v>0.21224059453892813</v>
      </c>
      <c r="AA656" s="843">
        <f t="shared" si="370"/>
        <v>0.62028730957071643</v>
      </c>
      <c r="AB656" s="796">
        <f t="shared" si="371"/>
        <v>2</v>
      </c>
      <c r="AC656" s="797">
        <f t="shared" si="372"/>
        <v>3</v>
      </c>
      <c r="AD656" s="797">
        <f t="shared" si="373"/>
        <v>1</v>
      </c>
      <c r="AE656" s="842">
        <f t="shared" si="374"/>
        <v>4</v>
      </c>
      <c r="AF656" s="842">
        <f t="shared" si="375"/>
        <v>3</v>
      </c>
      <c r="AG656" s="842">
        <f t="shared" si="376"/>
        <v>1</v>
      </c>
      <c r="AH656" s="842">
        <f t="shared" si="377"/>
        <v>2</v>
      </c>
      <c r="AI656" s="826" cm="1">
        <f t="array" ref="AI656">SUMPRODUCT(--ISNUMBER($U656:$AA656),$AB$3:$AH$3)</f>
        <v>1</v>
      </c>
      <c r="AJ656" s="829">
        <f t="shared" si="378"/>
        <v>27.62460715297993</v>
      </c>
      <c r="AK656" s="827" t="str">
        <f t="shared" si="379"/>
        <v>Inmadura</v>
      </c>
      <c r="AL656" s="784" t="str">
        <f t="shared" si="380"/>
        <v>Alta</v>
      </c>
      <c r="AM656" s="799">
        <f>IF(ISNUMBER('Base de datos Rutas'!W654),'Base de datos Rutas'!W654,"")</f>
        <v>3060.1995418491324</v>
      </c>
      <c r="AN656" s="787">
        <f>IFERROR(SUMIFS('Base de datos Rutas'!$W$6:$W$794,'Base de datos Rutas'!$C$6:$C$794,$C656)/'Base de datos Rutas'!I654,"")</f>
        <v>3060.1995418491333</v>
      </c>
      <c r="AO656" s="800">
        <f>IFERROR('Base de datos Rutas'!X654*AN656/AM656,"")</f>
        <v>0.51841114131281618</v>
      </c>
      <c r="AP656" s="800">
        <f t="shared" si="381"/>
        <v>0.48158885868718382</v>
      </c>
      <c r="AQ656" s="789">
        <f>IFERROR(INDEX('Hoja de apoyo v2'!$J$17:$J$20,MATCH($A656,'Hoja de apoyo v2'!$A$17:$A$20,0)),"")</f>
        <v>0.64320274048480885</v>
      </c>
      <c r="AR656" s="789">
        <f t="shared" si="382"/>
        <v>-0.16161388179762504</v>
      </c>
      <c r="AS656" s="784" t="str">
        <f t="shared" si="383"/>
        <v>No</v>
      </c>
      <c r="AT656" s="801">
        <f>IF(ISNUMBER('Base de datos Rutas'!CK654),'Base de datos Rutas'!CK654,"")</f>
        <v>317</v>
      </c>
      <c r="AU656" s="802">
        <f>IF(ISNUMBER('Base de datos Rutas'!CL654),'Base de datos Rutas'!CL654,"")</f>
        <v>330.61</v>
      </c>
      <c r="AV656" s="802">
        <f>IF(ISNUMBER('Base de datos Rutas'!CM654),'Base de datos Rutas'!CM654,"")</f>
        <v>13.610000000000014</v>
      </c>
      <c r="AW656" s="802">
        <f>IF(ISNUMBER('Base de datos Rutas'!CN654),'Base de datos Rutas'!CN654,"")</f>
        <v>8.94</v>
      </c>
      <c r="AX656" s="802">
        <f>IF(ISNUMBER('Base de datos Rutas'!CO654),'Base de datos Rutas'!CO654,"")</f>
        <v>9.4499999999999993</v>
      </c>
      <c r="AY656" s="802">
        <f>IF(ISNUMBER('Base de datos Rutas'!CP654),'Base de datos Rutas'!CP654,"")</f>
        <v>0.50999999999999979</v>
      </c>
      <c r="AZ656" s="802">
        <f>IF(ISNUMBER('Base de datos Rutas'!CQ654),'Base de datos Rutas'!CQ654,"")</f>
        <v>846.56</v>
      </c>
      <c r="BA656" s="802">
        <f>IF(ISNUMBER('Base de datos Rutas'!CR654),'Base de datos Rutas'!CR654,"")</f>
        <v>452.52</v>
      </c>
      <c r="BB656" s="803">
        <f>IF(ISNUMBER('Base de datos Rutas'!CS654),'Base de datos Rutas'!CS654,"")</f>
        <v>394.03999999999996</v>
      </c>
      <c r="BC656" s="804">
        <f t="shared" si="393"/>
        <v>0</v>
      </c>
      <c r="BD656" s="805" t="str">
        <f t="shared" si="394"/>
        <v>No saturada</v>
      </c>
      <c r="BE656" s="806">
        <f t="shared" si="395"/>
        <v>0.53453978453978457</v>
      </c>
      <c r="BF656" s="890">
        <f>IF(ISNUMBER('Base de datos Rutas'!CX654),'Base de datos Rutas'!CX654/100,"")</f>
        <v>6.8246813358968886E-2</v>
      </c>
      <c r="BG656" s="891">
        <f>IF(ISNUMBER('Base de datos Rutas'!CZ654),'Base de datos Rutas'!CZ654/100,"")</f>
        <v>6.9215979491561636E-2</v>
      </c>
      <c r="BH656" s="892">
        <f>IF(ISNUMBER('Base de datos Rutas'!DA654),'Base de datos Rutas'!DA654,"")</f>
        <v>13.671305528146544</v>
      </c>
      <c r="BI656" s="893">
        <f>IF(ISNUMBER('Base de datos Rutas'!DC654),'Base de datos Rutas'!DC654,"")</f>
        <v>0.71780180285289275</v>
      </c>
      <c r="BJ656" s="805" t="str">
        <f t="shared" si="396"/>
        <v>Ruta (completo)</v>
      </c>
      <c r="BK656" s="783">
        <f t="shared" si="384"/>
        <v>3</v>
      </c>
      <c r="BL656" s="797">
        <f t="shared" si="385"/>
        <v>3</v>
      </c>
      <c r="BM656" s="797">
        <f t="shared" si="386"/>
        <v>2</v>
      </c>
      <c r="BN656" s="797">
        <f t="shared" si="387"/>
        <v>2</v>
      </c>
      <c r="BO656" s="798" cm="1">
        <f t="array" ref="BO656">SUMPRODUCT(--ISNUMBER($BF656:$BI656),$BK$3:$BN$3)</f>
        <v>1</v>
      </c>
      <c r="BP656" s="831">
        <f t="shared" si="397"/>
        <v>37.5</v>
      </c>
      <c r="BQ656" s="834" t="str">
        <f t="shared" si="398"/>
        <v>Medio</v>
      </c>
      <c r="BR656" s="836">
        <f t="shared" si="388"/>
        <v>20.718455364734947</v>
      </c>
      <c r="BS656" s="836">
        <f t="shared" si="389"/>
        <v>37.5</v>
      </c>
      <c r="BT656" s="837" t="str">
        <f t="shared" si="390"/>
        <v>P4</v>
      </c>
      <c r="BU656" s="807" t="str">
        <f t="shared" si="399"/>
        <v>Con espacio</v>
      </c>
      <c r="BV656" s="807" t="str">
        <f t="shared" si="391"/>
        <v>Zona de bajo potencial</v>
      </c>
      <c r="BW656" s="808" t="str">
        <f t="shared" si="392"/>
        <v>P4 - Evaluar</v>
      </c>
    </row>
    <row r="657" spans="1:75">
      <c r="A657" s="780" t="str">
        <f>'Base de datos Rutas'!A655</f>
        <v>Occidente</v>
      </c>
      <c r="B657" s="781" t="str">
        <f>'Base de datos Rutas'!B655</f>
        <v>Favorita</v>
      </c>
      <c r="C657" s="781" t="str">
        <f>'Base de datos Rutas'!C655</f>
        <v>Suc. Toluquilla</v>
      </c>
      <c r="D657" s="782">
        <f>IF(ISNUMBER('Base de datos Rutas'!D655),'Base de datos Rutas'!D655,"Sin código")</f>
        <v>804421</v>
      </c>
      <c r="E657" s="783" t="str">
        <f>'Base de datos Rutas'!F655</f>
        <v>Activa</v>
      </c>
      <c r="F657" s="784" t="str">
        <f>'Base de datos Rutas'!H655</f>
        <v>Sí</v>
      </c>
      <c r="G657" s="785">
        <f>IF(ISNUMBER('Base de datos Rutas'!BE655),'Base de datos Rutas'!BE655,"")</f>
        <v>80.988479262672797</v>
      </c>
      <c r="H657" s="786">
        <f>IF(ISNUMBER('Base de datos Rutas'!BH655),'Base de datos Rutas'!BH655,"")</f>
        <v>0.52212011721528395</v>
      </c>
      <c r="I657" s="788">
        <f>IFERROR(IF(OR(NOT(ISNUMBER('Base de datos Rutas'!O655)),N('Base de datos Rutas'!BK655)=0),"",'Base de datos Rutas'!O655/('Base de datos Rutas'!L655/'Base de datos Rutas'!BK655)),"")</f>
        <v>3646.6129032258104</v>
      </c>
      <c r="J657" s="788">
        <f>IFERROR(IF(OR(NOT(ISNUMBER('Base de datos Rutas'!N655)),N('Base de datos Rutas'!BK655)=0),"",'Base de datos Rutas'!N655/('Base de datos Rutas'!L655/'Base de datos Rutas'!BK655)),"")</f>
        <v>7473.4078341013901</v>
      </c>
      <c r="K657" s="788">
        <f>IFERROR(IF(OR(NOT(ISNUMBER('Base de datos Rutas'!J655)),N('Base de datos Rutas'!BK655)=0),"",'Base de datos Rutas'!J655/('Base de datos Rutas'!L655/'Base de datos Rutas'!BK655)),"")</f>
        <v>516.09652903225629</v>
      </c>
      <c r="L657" s="788">
        <f>IFERROR(IF(OR(NOT(ISNUMBER('Base de datos Rutas'!K655)),N('Base de datos Rutas'!BK655)=0),"",'Base de datos Rutas'!K655/('Base de datos Rutas'!L655/'Base de datos Rutas'!BK655)),"")</f>
        <v>29.802029868663627</v>
      </c>
      <c r="M657" s="787">
        <f>IF(ISNUMBER('Base de datos Rutas'!AX655),'Base de datos Rutas'!AX655,"")</f>
        <v>263.395995531822</v>
      </c>
      <c r="N657" s="790">
        <f>IFERROR(INDEX('Hoja de apoyo v2'!B$17:B$20,MATCH($A657,'Hoja de apoyo v2'!$A$17:$A$20,0)),"")</f>
        <v>89.41621024641401</v>
      </c>
      <c r="O657" s="791">
        <f>IFERROR(INDEX('Hoja de apoyo v2'!C$17:C$20,MATCH($A657,'Hoja de apoyo v2'!$A$17:$A$20,0)),"")</f>
        <v>0.54706375874806301</v>
      </c>
      <c r="P657" s="793">
        <f>IFERROR(INDEX('Hoja de apoyo v2'!D$17:D$20,MATCH($A657,'Hoja de apoyo v2'!$A$17:$A$20,0)),"")</f>
        <v>11095.153935793827</v>
      </c>
      <c r="Q657" s="793">
        <f>IFERROR(INDEX('Hoja de apoyo v2'!E$17:E$20,MATCH($A657,'Hoja de apoyo v2'!$A$17:$A$20,0)),"")</f>
        <v>6982.3202019701848</v>
      </c>
      <c r="R657" s="793">
        <f>IFERROR(INDEX('Hoja de apoyo v2'!F$17:F$20,MATCH($A657,'Hoja de apoyo v2'!$A$17:$A$20,0)),"")</f>
        <v>448.09513474485743</v>
      </c>
      <c r="S657" s="793">
        <f>IFERROR(INDEX('Hoja de apoyo v2'!G$17:G$20,MATCH($A657,'Hoja de apoyo v2'!$A$17:$A$20,0)),"")</f>
        <v>83.406300904207839</v>
      </c>
      <c r="T657" s="792">
        <f>IFERROR(INDEX('Hoja de apoyo v2'!H$17:H$20,MATCH($A657,'Hoja de apoyo v2'!$A$17:$A$20,0)),"")</f>
        <v>378.97014028925349</v>
      </c>
      <c r="U657" s="794">
        <f t="shared" si="364"/>
        <v>0.90574716865637683</v>
      </c>
      <c r="V657" s="795">
        <f t="shared" si="365"/>
        <v>0.95440450745656824</v>
      </c>
      <c r="W657" s="795">
        <f t="shared" si="366"/>
        <v>0.32866717526663192</v>
      </c>
      <c r="X657" s="843">
        <f t="shared" si="367"/>
        <v>1.0703330150904045</v>
      </c>
      <c r="Y657" s="843">
        <f t="shared" si="368"/>
        <v>1.1517566003614801</v>
      </c>
      <c r="Z657" s="843">
        <f t="shared" si="369"/>
        <v>0.35731149260403322</v>
      </c>
      <c r="AA657" s="843">
        <f t="shared" si="370"/>
        <v>0.69503099988506178</v>
      </c>
      <c r="AB657" s="796">
        <f t="shared" si="371"/>
        <v>3</v>
      </c>
      <c r="AC657" s="797">
        <f t="shared" si="372"/>
        <v>3</v>
      </c>
      <c r="AD657" s="797">
        <f t="shared" si="373"/>
        <v>1</v>
      </c>
      <c r="AE657" s="842">
        <f t="shared" si="374"/>
        <v>4</v>
      </c>
      <c r="AF657" s="842">
        <f t="shared" si="375"/>
        <v>4</v>
      </c>
      <c r="AG657" s="842">
        <f t="shared" si="376"/>
        <v>1</v>
      </c>
      <c r="AH657" s="842">
        <f t="shared" si="377"/>
        <v>2</v>
      </c>
      <c r="AI657" s="826" cm="1">
        <f t="array" ref="AI657">SUMPRODUCT(--ISNUMBER($U657:$AA657),$AB$3:$AH$3)</f>
        <v>1</v>
      </c>
      <c r="AJ657" s="829">
        <f t="shared" si="378"/>
        <v>35.084287843156481</v>
      </c>
      <c r="AK657" s="827" t="str">
        <f t="shared" si="379"/>
        <v>Inmadura</v>
      </c>
      <c r="AL657" s="784" t="str">
        <f t="shared" si="380"/>
        <v>Alta</v>
      </c>
      <c r="AM657" s="799">
        <f>IF(ISNUMBER('Base de datos Rutas'!W655),'Base de datos Rutas'!W655,"")</f>
        <v>3060.1995418491324</v>
      </c>
      <c r="AN657" s="787">
        <f>IFERROR(SUMIFS('Base de datos Rutas'!$W$6:$W$794,'Base de datos Rutas'!$C$6:$C$794,$C657)/'Base de datos Rutas'!I655,"")</f>
        <v>3060.1995418491333</v>
      </c>
      <c r="AO657" s="800">
        <f>IFERROR('Base de datos Rutas'!X655*AN657/AM657,"")</f>
        <v>0.51841114131281618</v>
      </c>
      <c r="AP657" s="800">
        <f t="shared" si="381"/>
        <v>0.48158885868718382</v>
      </c>
      <c r="AQ657" s="789">
        <f>IFERROR(INDEX('Hoja de apoyo v2'!$J$17:$J$20,MATCH($A657,'Hoja de apoyo v2'!$A$17:$A$20,0)),"")</f>
        <v>0.64320274048480885</v>
      </c>
      <c r="AR657" s="789">
        <f t="shared" si="382"/>
        <v>-0.16161388179762504</v>
      </c>
      <c r="AS657" s="784" t="str">
        <f t="shared" si="383"/>
        <v>No</v>
      </c>
      <c r="AT657" s="801">
        <f>IF(ISNUMBER('Base de datos Rutas'!CK655),'Base de datos Rutas'!CK655,"")</f>
        <v>419</v>
      </c>
      <c r="AU657" s="802">
        <f>IF(ISNUMBER('Base de datos Rutas'!CL655),'Base de datos Rutas'!CL655,"")</f>
        <v>459.72</v>
      </c>
      <c r="AV657" s="802">
        <f>IF(ISNUMBER('Base de datos Rutas'!CM655),'Base de datos Rutas'!CM655,"")</f>
        <v>40.720000000000027</v>
      </c>
      <c r="AW657" s="802">
        <f>IF(ISNUMBER('Base de datos Rutas'!CN655),'Base de datos Rutas'!CN655,"")</f>
        <v>10.09</v>
      </c>
      <c r="AX657" s="802">
        <f>IF(ISNUMBER('Base de datos Rutas'!CO655),'Base de datos Rutas'!CO655,"")</f>
        <v>9.4499999999999993</v>
      </c>
      <c r="AY657" s="802">
        <f>IF(ISNUMBER('Base de datos Rutas'!CP655),'Base de datos Rutas'!CP655,"")</f>
        <v>-0.64000000000000057</v>
      </c>
      <c r="AZ657" s="802">
        <f>IF(ISNUMBER('Base de datos Rutas'!CQ655),'Base de datos Rutas'!CQ655,"")</f>
        <v>846.56</v>
      </c>
      <c r="BA657" s="802">
        <f>IF(ISNUMBER('Base de datos Rutas'!CR655),'Base de datos Rutas'!CR655,"")</f>
        <v>545.9</v>
      </c>
      <c r="BB657" s="803">
        <f>IF(ISNUMBER('Base de datos Rutas'!CS655),'Base de datos Rutas'!CS655,"")</f>
        <v>300.65999999999997</v>
      </c>
      <c r="BC657" s="804">
        <f t="shared" si="393"/>
        <v>1</v>
      </c>
      <c r="BD657" s="805" t="str">
        <f t="shared" si="394"/>
        <v>Saturada</v>
      </c>
      <c r="BE657" s="806">
        <f t="shared" si="395"/>
        <v>0.64484501984501985</v>
      </c>
      <c r="BF657" s="890">
        <f>IF(ISNUMBER('Base de datos Rutas'!CX655),'Base de datos Rutas'!CX655/100,"")</f>
        <v>0.37004465458366165</v>
      </c>
      <c r="BG657" s="891">
        <f>IF(ISNUMBER('Base de datos Rutas'!CZ655),'Base de datos Rutas'!CZ655/100,"")</f>
        <v>0.37361001663602139</v>
      </c>
      <c r="BH657" s="892">
        <f>IF(ISNUMBER('Base de datos Rutas'!DA655),'Base de datos Rutas'!DA655,"")</f>
        <v>45.644412007970878</v>
      </c>
      <c r="BI657" s="893">
        <f>IF(ISNUMBER('Base de datos Rutas'!DC655),'Base de datos Rutas'!DC655,"")</f>
        <v>2.1754091009028316</v>
      </c>
      <c r="BJ657" s="805" t="str">
        <f t="shared" si="396"/>
        <v>Ruta (completo)</v>
      </c>
      <c r="BK657" s="783">
        <f t="shared" si="384"/>
        <v>4</v>
      </c>
      <c r="BL657" s="797">
        <f t="shared" si="385"/>
        <v>4</v>
      </c>
      <c r="BM657" s="797">
        <f t="shared" si="386"/>
        <v>3</v>
      </c>
      <c r="BN657" s="797">
        <f t="shared" si="387"/>
        <v>3</v>
      </c>
      <c r="BO657" s="798" cm="1">
        <f t="array" ref="BO657">SUMPRODUCT(--ISNUMBER($BF657:$BI657),$BK$3:$BN$3)</f>
        <v>1</v>
      </c>
      <c r="BP657" s="831">
        <f t="shared" si="397"/>
        <v>62.5</v>
      </c>
      <c r="BQ657" s="834" t="str">
        <f t="shared" si="398"/>
        <v>Alto</v>
      </c>
      <c r="BR657" s="836">
        <f t="shared" si="388"/>
        <v>51.313215882367359</v>
      </c>
      <c r="BS657" s="836">
        <f t="shared" si="389"/>
        <v>62.5</v>
      </c>
      <c r="BT657" s="837" t="str">
        <f t="shared" si="390"/>
        <v>P1</v>
      </c>
      <c r="BU657" s="807" t="str">
        <f t="shared" si="399"/>
        <v>Al tope</v>
      </c>
      <c r="BV657" s="807" t="str">
        <f t="shared" si="391"/>
        <v>Zona atractiva</v>
      </c>
      <c r="BW657" s="808" t="str">
        <f t="shared" si="392"/>
        <v>P1 - Ampliar cobertura</v>
      </c>
    </row>
    <row r="658" spans="1:75">
      <c r="A658" s="780" t="str">
        <f>'Base de datos Rutas'!A656</f>
        <v>Occidente</v>
      </c>
      <c r="B658" s="781" t="str">
        <f>'Base de datos Rutas'!B656</f>
        <v>Favorita</v>
      </c>
      <c r="C658" s="781" t="str">
        <f>'Base de datos Rutas'!C656</f>
        <v>Suc. Toluquilla</v>
      </c>
      <c r="D658" s="782">
        <f>IF(ISNUMBER('Base de datos Rutas'!D656),'Base de datos Rutas'!D656,"Sin código")</f>
        <v>804422</v>
      </c>
      <c r="E658" s="783" t="str">
        <f>'Base de datos Rutas'!F656</f>
        <v>Activa</v>
      </c>
      <c r="F658" s="784" t="str">
        <f>'Base de datos Rutas'!H656</f>
        <v>Sí</v>
      </c>
      <c r="G658" s="785">
        <f>IF(ISNUMBER('Base de datos Rutas'!BE656),'Base de datos Rutas'!BE656,"")</f>
        <v>76.030303030303003</v>
      </c>
      <c r="H658" s="786">
        <f>IF(ISNUMBER('Base de datos Rutas'!BH656),'Base de datos Rutas'!BH656,"")</f>
        <v>0.52454497143616297</v>
      </c>
      <c r="I658" s="788">
        <f>IFERROR(IF(OR(NOT(ISNUMBER('Base de datos Rutas'!O656)),N('Base de datos Rutas'!BK656)=0),"",'Base de datos Rutas'!O656/('Base de datos Rutas'!L656/'Base de datos Rutas'!BK656)),"")</f>
        <v>2682.2687927107136</v>
      </c>
      <c r="J658" s="788">
        <f>IFERROR(IF(OR(NOT(ISNUMBER('Base de datos Rutas'!N656)),N('Base de datos Rutas'!BK656)=0),"",'Base de datos Rutas'!N656/('Base de datos Rutas'!L656/'Base de datos Rutas'!BK656)),"")</f>
        <v>7262.5854214123201</v>
      </c>
      <c r="K658" s="788">
        <f>IFERROR(IF(OR(NOT(ISNUMBER('Base de datos Rutas'!J656)),N('Base de datos Rutas'!BK656)=0),"",'Base de datos Rutas'!J656/('Base de datos Rutas'!L656/'Base de datos Rutas'!BK656)),"")</f>
        <v>499.7629262141221</v>
      </c>
      <c r="L658" s="788">
        <f>IFERROR(IF(OR(NOT(ISNUMBER('Base de datos Rutas'!K656)),N('Base de datos Rutas'!BK656)=0),"",'Base de datos Rutas'!K656/('Base de datos Rutas'!L656/'Base de datos Rutas'!BK656)),"")</f>
        <v>22.589732289293913</v>
      </c>
      <c r="M658" s="787">
        <f>IF(ISNUMBER('Base de datos Rutas'!AX656),'Base de datos Rutas'!AX656,"")</f>
        <v>257.80267036730902</v>
      </c>
      <c r="N658" s="790">
        <f>IFERROR(INDEX('Hoja de apoyo v2'!B$17:B$20,MATCH($A658,'Hoja de apoyo v2'!$A$17:$A$20,0)),"")</f>
        <v>89.41621024641401</v>
      </c>
      <c r="O658" s="791">
        <f>IFERROR(INDEX('Hoja de apoyo v2'!C$17:C$20,MATCH($A658,'Hoja de apoyo v2'!$A$17:$A$20,0)),"")</f>
        <v>0.54706375874806301</v>
      </c>
      <c r="P658" s="793">
        <f>IFERROR(INDEX('Hoja de apoyo v2'!D$17:D$20,MATCH($A658,'Hoja de apoyo v2'!$A$17:$A$20,0)),"")</f>
        <v>11095.153935793827</v>
      </c>
      <c r="Q658" s="793">
        <f>IFERROR(INDEX('Hoja de apoyo v2'!E$17:E$20,MATCH($A658,'Hoja de apoyo v2'!$A$17:$A$20,0)),"")</f>
        <v>6982.3202019701848</v>
      </c>
      <c r="R658" s="793">
        <f>IFERROR(INDEX('Hoja de apoyo v2'!F$17:F$20,MATCH($A658,'Hoja de apoyo v2'!$A$17:$A$20,0)),"")</f>
        <v>448.09513474485743</v>
      </c>
      <c r="S658" s="793">
        <f>IFERROR(INDEX('Hoja de apoyo v2'!G$17:G$20,MATCH($A658,'Hoja de apoyo v2'!$A$17:$A$20,0)),"")</f>
        <v>83.406300904207839</v>
      </c>
      <c r="T658" s="792">
        <f>IFERROR(INDEX('Hoja de apoyo v2'!H$17:H$20,MATCH($A658,'Hoja de apoyo v2'!$A$17:$A$20,0)),"")</f>
        <v>378.97014028925349</v>
      </c>
      <c r="U658" s="794">
        <f t="shared" si="364"/>
        <v>0.85029663883962425</v>
      </c>
      <c r="V658" s="795">
        <f t="shared" si="365"/>
        <v>0.95883699669041589</v>
      </c>
      <c r="W658" s="795">
        <f t="shared" si="366"/>
        <v>0.24175138157006604</v>
      </c>
      <c r="X658" s="843">
        <f t="shared" si="367"/>
        <v>1.0401392676553352</v>
      </c>
      <c r="Y658" s="843">
        <f t="shared" si="368"/>
        <v>1.1153054060689234</v>
      </c>
      <c r="Z658" s="843">
        <f t="shared" si="369"/>
        <v>0.27083963734632266</v>
      </c>
      <c r="AA658" s="843">
        <f t="shared" si="370"/>
        <v>0.6802717231772879</v>
      </c>
      <c r="AB658" s="796">
        <f t="shared" si="371"/>
        <v>3</v>
      </c>
      <c r="AC658" s="797">
        <f t="shared" si="372"/>
        <v>3</v>
      </c>
      <c r="AD658" s="797">
        <f t="shared" si="373"/>
        <v>1</v>
      </c>
      <c r="AE658" s="842">
        <f t="shared" si="374"/>
        <v>4</v>
      </c>
      <c r="AF658" s="842">
        <f t="shared" si="375"/>
        <v>4</v>
      </c>
      <c r="AG658" s="842">
        <f t="shared" si="376"/>
        <v>1</v>
      </c>
      <c r="AH658" s="842">
        <f t="shared" si="377"/>
        <v>2</v>
      </c>
      <c r="AI658" s="826" cm="1">
        <f t="array" ref="AI658">SUMPRODUCT(--ISNUMBER($U658:$AA658),$AB$3:$AH$3)</f>
        <v>1</v>
      </c>
      <c r="AJ658" s="829">
        <f t="shared" si="378"/>
        <v>35.084287843156481</v>
      </c>
      <c r="AK658" s="827" t="str">
        <f t="shared" si="379"/>
        <v>Inmadura</v>
      </c>
      <c r="AL658" s="784" t="str">
        <f t="shared" si="380"/>
        <v>Alta</v>
      </c>
      <c r="AM658" s="799">
        <f>IF(ISNUMBER('Base de datos Rutas'!W656),'Base de datos Rutas'!W656,"")</f>
        <v>3060.1995418491324</v>
      </c>
      <c r="AN658" s="787">
        <f>IFERROR(SUMIFS('Base de datos Rutas'!$W$6:$W$794,'Base de datos Rutas'!$C$6:$C$794,$C658)/'Base de datos Rutas'!I656,"")</f>
        <v>3060.1995418491333</v>
      </c>
      <c r="AO658" s="800">
        <f>IFERROR('Base de datos Rutas'!X656*AN658/AM658,"")</f>
        <v>0.51841114131281618</v>
      </c>
      <c r="AP658" s="800">
        <f t="shared" si="381"/>
        <v>0.48158885868718382</v>
      </c>
      <c r="AQ658" s="789">
        <f>IFERROR(INDEX('Hoja de apoyo v2'!$J$17:$J$20,MATCH($A658,'Hoja de apoyo v2'!$A$17:$A$20,0)),"")</f>
        <v>0.64320274048480885</v>
      </c>
      <c r="AR658" s="789">
        <f t="shared" si="382"/>
        <v>-0.16161388179762504</v>
      </c>
      <c r="AS658" s="784" t="str">
        <f t="shared" si="383"/>
        <v>No</v>
      </c>
      <c r="AT658" s="801">
        <f>IF(ISNUMBER('Base de datos Rutas'!CK656),'Base de datos Rutas'!CK656,"")</f>
        <v>359</v>
      </c>
      <c r="AU658" s="802">
        <f>IF(ISNUMBER('Base de datos Rutas'!CL656),'Base de datos Rutas'!CL656,"")</f>
        <v>572.30999999999995</v>
      </c>
      <c r="AV658" s="802">
        <f>IF(ISNUMBER('Base de datos Rutas'!CM656),'Base de datos Rutas'!CM656,"")</f>
        <v>213.30999999999995</v>
      </c>
      <c r="AW658" s="802">
        <f>IF(ISNUMBER('Base de datos Rutas'!CN656),'Base de datos Rutas'!CN656,"")</f>
        <v>7.69</v>
      </c>
      <c r="AX658" s="802">
        <f>IF(ISNUMBER('Base de datos Rutas'!CO656),'Base de datos Rutas'!CO656,"")</f>
        <v>9.4499999999999993</v>
      </c>
      <c r="AY658" s="802">
        <f>IF(ISNUMBER('Base de datos Rutas'!CP656),'Base de datos Rutas'!CP656,"")</f>
        <v>1.7599999999999989</v>
      </c>
      <c r="AZ658" s="802">
        <f>IF(ISNUMBER('Base de datos Rutas'!CQ656),'Base de datos Rutas'!CQ656,"")</f>
        <v>846.56</v>
      </c>
      <c r="BA658" s="802">
        <f>IF(ISNUMBER('Base de datos Rutas'!CR656),'Base de datos Rutas'!CR656,"")</f>
        <v>522.35</v>
      </c>
      <c r="BB658" s="803">
        <f>IF(ISNUMBER('Base de datos Rutas'!CS656),'Base de datos Rutas'!CS656,"")</f>
        <v>324.20999999999992</v>
      </c>
      <c r="BC658" s="804">
        <f t="shared" si="393"/>
        <v>0</v>
      </c>
      <c r="BD658" s="805" t="str">
        <f t="shared" si="394"/>
        <v>No saturada</v>
      </c>
      <c r="BE658" s="806">
        <f t="shared" si="395"/>
        <v>0.61702655452655464</v>
      </c>
      <c r="BF658" s="890">
        <f>IF(ISNUMBER('Base de datos Rutas'!CX656),'Base de datos Rutas'!CX656/100,"")</f>
        <v>0.76641517924103786</v>
      </c>
      <c r="BG658" s="891">
        <f>IF(ISNUMBER('Base de datos Rutas'!CZ656),'Base de datos Rutas'!CZ656/100,"")</f>
        <v>0.79841007949602516</v>
      </c>
      <c r="BH658" s="892">
        <f>IF(ISNUMBER('Base de datos Rutas'!DA656),'Base de datos Rutas'!DA656,"")</f>
        <v>371.57726323377864</v>
      </c>
      <c r="BI658" s="893">
        <f>IF(ISNUMBER('Base de datos Rutas'!DC656),'Base de datos Rutas'!DC656,"")</f>
        <v>19.169954551466432</v>
      </c>
      <c r="BJ658" s="805" t="str">
        <f t="shared" si="396"/>
        <v>Ruta (completo)</v>
      </c>
      <c r="BK658" s="783">
        <f t="shared" si="384"/>
        <v>5</v>
      </c>
      <c r="BL658" s="797">
        <f t="shared" si="385"/>
        <v>5</v>
      </c>
      <c r="BM658" s="797">
        <f t="shared" si="386"/>
        <v>5</v>
      </c>
      <c r="BN658" s="797">
        <f t="shared" si="387"/>
        <v>5</v>
      </c>
      <c r="BO658" s="798" cm="1">
        <f t="array" ref="BO658">SUMPRODUCT(--ISNUMBER($BF658:$BI658),$BK$3:$BN$3)</f>
        <v>1</v>
      </c>
      <c r="BP658" s="831">
        <f t="shared" si="397"/>
        <v>100</v>
      </c>
      <c r="BQ658" s="834" t="str">
        <f t="shared" si="398"/>
        <v>Alto</v>
      </c>
      <c r="BR658" s="836">
        <f t="shared" si="388"/>
        <v>26.313215882367359</v>
      </c>
      <c r="BS658" s="836">
        <f t="shared" si="389"/>
        <v>100</v>
      </c>
      <c r="BT658" s="837" t="str">
        <f t="shared" si="390"/>
        <v>P3</v>
      </c>
      <c r="BU658" s="807" t="str">
        <f t="shared" si="399"/>
        <v>Con espacio</v>
      </c>
      <c r="BV658" s="807" t="str">
        <f t="shared" si="391"/>
        <v>Zona atractiva</v>
      </c>
      <c r="BW658" s="808" t="str">
        <f t="shared" si="392"/>
        <v>P3 - Desarrollar</v>
      </c>
    </row>
    <row r="659" spans="1:75">
      <c r="A659" s="780" t="str">
        <f>'Base de datos Rutas'!A657</f>
        <v>Occidente</v>
      </c>
      <c r="B659" s="781" t="str">
        <f>'Base de datos Rutas'!B657</f>
        <v>Favorita</v>
      </c>
      <c r="C659" s="781" t="str">
        <f>'Base de datos Rutas'!C657</f>
        <v>Suc. Toluquilla</v>
      </c>
      <c r="D659" s="782">
        <f>IF(ISNUMBER('Base de datos Rutas'!D657),'Base de datos Rutas'!D657,"Sin código")</f>
        <v>804423</v>
      </c>
      <c r="E659" s="783" t="str">
        <f>'Base de datos Rutas'!F657</f>
        <v>Activa</v>
      </c>
      <c r="F659" s="784" t="str">
        <f>'Base de datos Rutas'!H657</f>
        <v>Sí</v>
      </c>
      <c r="G659" s="785">
        <f>IF(ISNUMBER('Base de datos Rutas'!BE657),'Base de datos Rutas'!BE657,"")</f>
        <v>56.872062663185403</v>
      </c>
      <c r="H659" s="786">
        <f>IF(ISNUMBER('Base de datos Rutas'!BH657),'Base de datos Rutas'!BH657,"")</f>
        <v>0.502662749058856</v>
      </c>
      <c r="I659" s="788">
        <f>IFERROR(IF(OR(NOT(ISNUMBER('Base de datos Rutas'!O657)),N('Base de datos Rutas'!BK657)=0),"",'Base de datos Rutas'!O657/('Base de datos Rutas'!L657/'Base de datos Rutas'!BK657)),"")</f>
        <v>2787.8477751756427</v>
      </c>
      <c r="J659" s="788">
        <f>IFERROR(IF(OR(NOT(ISNUMBER('Base de datos Rutas'!N657)),N('Base de datos Rutas'!BK657)=0),"",'Base de datos Rutas'!N657/('Base de datos Rutas'!L657/'Base de datos Rutas'!BK657)),"")</f>
        <v>6077.6229508196693</v>
      </c>
      <c r="K659" s="788">
        <f>IFERROR(IF(OR(NOT(ISNUMBER('Base de datos Rutas'!J657)),N('Base de datos Rutas'!BK657)=0),"",'Base de datos Rutas'!J657/('Base de datos Rutas'!L657/'Base de datos Rutas'!BK657)),"")</f>
        <v>420.28748852458995</v>
      </c>
      <c r="L659" s="788">
        <f>IFERROR(IF(OR(NOT(ISNUMBER('Base de datos Rutas'!K657)),N('Base de datos Rutas'!BK657)=0),"",'Base de datos Rutas'!K657/('Base de datos Rutas'!L657/'Base de datos Rutas'!BK657)),"")</f>
        <v>22.799725468384064</v>
      </c>
      <c r="M659" s="787">
        <f>IF(ISNUMBER('Base de datos Rutas'!AX657),'Base de datos Rutas'!AX657,"")</f>
        <v>321.16357003478402</v>
      </c>
      <c r="N659" s="790">
        <f>IFERROR(INDEX('Hoja de apoyo v2'!B$17:B$20,MATCH($A659,'Hoja de apoyo v2'!$A$17:$A$20,0)),"")</f>
        <v>89.41621024641401</v>
      </c>
      <c r="O659" s="791">
        <f>IFERROR(INDEX('Hoja de apoyo v2'!C$17:C$20,MATCH($A659,'Hoja de apoyo v2'!$A$17:$A$20,0)),"")</f>
        <v>0.54706375874806301</v>
      </c>
      <c r="P659" s="793">
        <f>IFERROR(INDEX('Hoja de apoyo v2'!D$17:D$20,MATCH($A659,'Hoja de apoyo v2'!$A$17:$A$20,0)),"")</f>
        <v>11095.153935793827</v>
      </c>
      <c r="Q659" s="793">
        <f>IFERROR(INDEX('Hoja de apoyo v2'!E$17:E$20,MATCH($A659,'Hoja de apoyo v2'!$A$17:$A$20,0)),"")</f>
        <v>6982.3202019701848</v>
      </c>
      <c r="R659" s="793">
        <f>IFERROR(INDEX('Hoja de apoyo v2'!F$17:F$20,MATCH($A659,'Hoja de apoyo v2'!$A$17:$A$20,0)),"")</f>
        <v>448.09513474485743</v>
      </c>
      <c r="S659" s="793">
        <f>IFERROR(INDEX('Hoja de apoyo v2'!G$17:G$20,MATCH($A659,'Hoja de apoyo v2'!$A$17:$A$20,0)),"")</f>
        <v>83.406300904207839</v>
      </c>
      <c r="T659" s="792">
        <f>IFERROR(INDEX('Hoja de apoyo v2'!H$17:H$20,MATCH($A659,'Hoja de apoyo v2'!$A$17:$A$20,0)),"")</f>
        <v>378.97014028925349</v>
      </c>
      <c r="U659" s="794">
        <f t="shared" si="364"/>
        <v>0.63603749819475519</v>
      </c>
      <c r="V659" s="795">
        <f t="shared" si="365"/>
        <v>0.91883759620484229</v>
      </c>
      <c r="W659" s="795">
        <f t="shared" si="366"/>
        <v>0.25126715603123173</v>
      </c>
      <c r="X659" s="843">
        <f t="shared" si="367"/>
        <v>0.87043028320367788</v>
      </c>
      <c r="Y659" s="843">
        <f t="shared" si="368"/>
        <v>0.93794253928666071</v>
      </c>
      <c r="Z659" s="843">
        <f t="shared" si="369"/>
        <v>0.27335735095804758</v>
      </c>
      <c r="AA659" s="843">
        <f t="shared" si="370"/>
        <v>0.84746405030658112</v>
      </c>
      <c r="AB659" s="796">
        <f t="shared" si="371"/>
        <v>2</v>
      </c>
      <c r="AC659" s="797">
        <f t="shared" si="372"/>
        <v>3</v>
      </c>
      <c r="AD659" s="797">
        <f t="shared" si="373"/>
        <v>1</v>
      </c>
      <c r="AE659" s="842">
        <f t="shared" si="374"/>
        <v>3</v>
      </c>
      <c r="AF659" s="842">
        <f t="shared" si="375"/>
        <v>3</v>
      </c>
      <c r="AG659" s="842">
        <f t="shared" si="376"/>
        <v>1</v>
      </c>
      <c r="AH659" s="842">
        <f t="shared" si="377"/>
        <v>3</v>
      </c>
      <c r="AI659" s="826" cm="1">
        <f t="array" ref="AI659">SUMPRODUCT(--ISNUMBER($U659:$AA659),$AB$3:$AH$3)</f>
        <v>1</v>
      </c>
      <c r="AJ659" s="829">
        <f t="shared" si="378"/>
        <v>26.459887347087808</v>
      </c>
      <c r="AK659" s="827" t="str">
        <f t="shared" si="379"/>
        <v>Inmadura</v>
      </c>
      <c r="AL659" s="784" t="str">
        <f t="shared" si="380"/>
        <v>Alta</v>
      </c>
      <c r="AM659" s="799">
        <f>IF(ISNUMBER('Base de datos Rutas'!W657),'Base de datos Rutas'!W657,"")</f>
        <v>3060.1995418491324</v>
      </c>
      <c r="AN659" s="787">
        <f>IFERROR(SUMIFS('Base de datos Rutas'!$W$6:$W$794,'Base de datos Rutas'!$C$6:$C$794,$C659)/'Base de datos Rutas'!I657,"")</f>
        <v>3060.1995418491333</v>
      </c>
      <c r="AO659" s="800">
        <f>IFERROR('Base de datos Rutas'!X657*AN659/AM659,"")</f>
        <v>0.51841114131281618</v>
      </c>
      <c r="AP659" s="800">
        <f t="shared" si="381"/>
        <v>0.48158885868718382</v>
      </c>
      <c r="AQ659" s="789">
        <f>IFERROR(INDEX('Hoja de apoyo v2'!$J$17:$J$20,MATCH($A659,'Hoja de apoyo v2'!$A$17:$A$20,0)),"")</f>
        <v>0.64320274048480885</v>
      </c>
      <c r="AR659" s="789">
        <f t="shared" si="382"/>
        <v>-0.16161388179762504</v>
      </c>
      <c r="AS659" s="784" t="str">
        <f t="shared" si="383"/>
        <v>No</v>
      </c>
      <c r="AT659" s="801">
        <f>IF(ISNUMBER('Base de datos Rutas'!CK657),'Base de datos Rutas'!CK657,"")</f>
        <v>329</v>
      </c>
      <c r="AU659" s="802">
        <f>IF(ISNUMBER('Base de datos Rutas'!CL657),'Base de datos Rutas'!CL657,"")</f>
        <v>329</v>
      </c>
      <c r="AV659" s="802">
        <f>IF(ISNUMBER('Base de datos Rutas'!CM657),'Base de datos Rutas'!CM657,"")</f>
        <v>0</v>
      </c>
      <c r="AW659" s="802" t="str">
        <f>IF(ISNUMBER('Base de datos Rutas'!CN657),'Base de datos Rutas'!CN657,"")</f>
        <v/>
      </c>
      <c r="AX659" s="802">
        <f>IF(ISNUMBER('Base de datos Rutas'!CO657),'Base de datos Rutas'!CO657,"")</f>
        <v>9.4499999999999993</v>
      </c>
      <c r="AY659" s="802">
        <f>IF(ISNUMBER('Base de datos Rutas'!CP657),'Base de datos Rutas'!CP657,"")</f>
        <v>9.4499999999999993</v>
      </c>
      <c r="AZ659" s="802" t="str">
        <f>IF(ISNUMBER('Base de datos Rutas'!CQ657),'Base de datos Rutas'!CQ657,"")</f>
        <v/>
      </c>
      <c r="BA659" s="802" t="str">
        <f>IF(ISNUMBER('Base de datos Rutas'!CR657),'Base de datos Rutas'!CR657,"")</f>
        <v/>
      </c>
      <c r="BB659" s="803">
        <f>IF(ISNUMBER('Base de datos Rutas'!CS657),'Base de datos Rutas'!CS657,"")</f>
        <v>0</v>
      </c>
      <c r="BC659" s="804" t="str">
        <f t="shared" si="393"/>
        <v/>
      </c>
      <c r="BD659" s="805" t="str">
        <f t="shared" si="394"/>
        <v>N/D</v>
      </c>
      <c r="BE659" s="806" t="str">
        <f t="shared" si="395"/>
        <v/>
      </c>
      <c r="BF659" s="890">
        <f>IF(ISNUMBER('Base de datos Rutas'!CX657),'Base de datos Rutas'!CX657/100,"")</f>
        <v>0</v>
      </c>
      <c r="BG659" s="891">
        <f>IF(ISNUMBER('Base de datos Rutas'!CZ657),'Base de datos Rutas'!CZ657/100,"")</f>
        <v>0</v>
      </c>
      <c r="BH659" s="892">
        <f>IF(ISNUMBER('Base de datos Rutas'!DA657),'Base de datos Rutas'!DA657,"")</f>
        <v>0</v>
      </c>
      <c r="BI659" s="893">
        <f>IF(ISNUMBER('Base de datos Rutas'!DC657),'Base de datos Rutas'!DC657,"")</f>
        <v>0</v>
      </c>
      <c r="BJ659" s="805" t="str">
        <f t="shared" si="396"/>
        <v>Ruta (completo)</v>
      </c>
      <c r="BK659" s="783">
        <f t="shared" si="384"/>
        <v>1</v>
      </c>
      <c r="BL659" s="797">
        <f t="shared" si="385"/>
        <v>1</v>
      </c>
      <c r="BM659" s="797">
        <f t="shared" si="386"/>
        <v>1</v>
      </c>
      <c r="BN659" s="797">
        <f t="shared" si="387"/>
        <v>1</v>
      </c>
      <c r="BO659" s="798" cm="1">
        <f t="array" ref="BO659">SUMPRODUCT(--ISNUMBER($BF659:$BI659),$BK$3:$BN$3)</f>
        <v>1</v>
      </c>
      <c r="BP659" s="831">
        <f t="shared" si="397"/>
        <v>0</v>
      </c>
      <c r="BQ659" s="834" t="str">
        <f t="shared" si="398"/>
        <v>Bajo</v>
      </c>
      <c r="BR659" s="836" t="str">
        <f t="shared" si="388"/>
        <v/>
      </c>
      <c r="BS659" s="836">
        <f t="shared" si="389"/>
        <v>0</v>
      </c>
      <c r="BT659" s="837" t="str">
        <f t="shared" si="390"/>
        <v>Sin datos</v>
      </c>
      <c r="BU659" s="807" t="str">
        <f t="shared" si="399"/>
        <v>Con espacio</v>
      </c>
      <c r="BV659" s="807" t="str">
        <f t="shared" si="391"/>
        <v>Zona de bajo potencial</v>
      </c>
      <c r="BW659" s="808" t="str">
        <f t="shared" si="392"/>
        <v>Sin datos</v>
      </c>
    </row>
    <row r="660" spans="1:75">
      <c r="A660" s="780" t="str">
        <f>'Base de datos Rutas'!A658</f>
        <v>Occidente</v>
      </c>
      <c r="B660" s="781" t="str">
        <f>'Base de datos Rutas'!B658</f>
        <v>Favorita</v>
      </c>
      <c r="C660" s="781" t="str">
        <f>'Base de datos Rutas'!C658</f>
        <v>Suc. Toluquilla</v>
      </c>
      <c r="D660" s="782">
        <f>IF(ISNUMBER('Base de datos Rutas'!D658),'Base de datos Rutas'!D658,"Sin código")</f>
        <v>804424</v>
      </c>
      <c r="E660" s="783" t="str">
        <f>'Base de datos Rutas'!F658</f>
        <v>Activa</v>
      </c>
      <c r="F660" s="784" t="str">
        <f>'Base de datos Rutas'!H658</f>
        <v>Sí</v>
      </c>
      <c r="G660" s="785">
        <f>IF(ISNUMBER('Base de datos Rutas'!BE658),'Base de datos Rutas'!BE658,"")</f>
        <v>89.2224770642202</v>
      </c>
      <c r="H660" s="786">
        <f>IF(ISNUMBER('Base de datos Rutas'!BH658),'Base de datos Rutas'!BH658,"")</f>
        <v>0.51736459216986697</v>
      </c>
      <c r="I660" s="788">
        <f>IFERROR(IF(OR(NOT(ISNUMBER('Base de datos Rutas'!O658)),N('Base de datos Rutas'!BK658)=0),"",'Base de datos Rutas'!O658/('Base de datos Rutas'!L658/'Base de datos Rutas'!BK658)),"")</f>
        <v>2678.511467889909</v>
      </c>
      <c r="J660" s="788">
        <f>IFERROR(IF(OR(NOT(ISNUMBER('Base de datos Rutas'!N658)),N('Base de datos Rutas'!BK658)=0),"",'Base de datos Rutas'!N658/('Base de datos Rutas'!L658/'Base de datos Rutas'!BK658)),"")</f>
        <v>7448.6926605504605</v>
      </c>
      <c r="K660" s="788">
        <f>IFERROR(IF(OR(NOT(ISNUMBER('Base de datos Rutas'!J658)),N('Base de datos Rutas'!BK658)=0),"",'Base de datos Rutas'!J658/('Base de datos Rutas'!L658/'Base de datos Rutas'!BK658)),"")</f>
        <v>514.05226972476851</v>
      </c>
      <c r="L660" s="788">
        <f>IFERROR(IF(OR(NOT(ISNUMBER('Base de datos Rutas'!K658)),N('Base de datos Rutas'!BK658)=0),"",'Base de datos Rutas'!K658/('Base de datos Rutas'!L658/'Base de datos Rutas'!BK658)),"")</f>
        <v>24.470524823394502</v>
      </c>
      <c r="M660" s="787">
        <f>IF(ISNUMBER('Base de datos Rutas'!AX658),'Base de datos Rutas'!AX658,"")</f>
        <v>219.39090976845901</v>
      </c>
      <c r="N660" s="790">
        <f>IFERROR(INDEX('Hoja de apoyo v2'!B$17:B$20,MATCH($A660,'Hoja de apoyo v2'!$A$17:$A$20,0)),"")</f>
        <v>89.41621024641401</v>
      </c>
      <c r="O660" s="791">
        <f>IFERROR(INDEX('Hoja de apoyo v2'!C$17:C$20,MATCH($A660,'Hoja de apoyo v2'!$A$17:$A$20,0)),"")</f>
        <v>0.54706375874806301</v>
      </c>
      <c r="P660" s="793">
        <f>IFERROR(INDEX('Hoja de apoyo v2'!D$17:D$20,MATCH($A660,'Hoja de apoyo v2'!$A$17:$A$20,0)),"")</f>
        <v>11095.153935793827</v>
      </c>
      <c r="Q660" s="793">
        <f>IFERROR(INDEX('Hoja de apoyo v2'!E$17:E$20,MATCH($A660,'Hoja de apoyo v2'!$A$17:$A$20,0)),"")</f>
        <v>6982.3202019701848</v>
      </c>
      <c r="R660" s="793">
        <f>IFERROR(INDEX('Hoja de apoyo v2'!F$17:F$20,MATCH($A660,'Hoja de apoyo v2'!$A$17:$A$20,0)),"")</f>
        <v>448.09513474485743</v>
      </c>
      <c r="S660" s="793">
        <f>IFERROR(INDEX('Hoja de apoyo v2'!G$17:G$20,MATCH($A660,'Hoja de apoyo v2'!$A$17:$A$20,0)),"")</f>
        <v>83.406300904207839</v>
      </c>
      <c r="T660" s="792">
        <f>IFERROR(INDEX('Hoja de apoyo v2'!H$17:H$20,MATCH($A660,'Hoja de apoyo v2'!$A$17:$A$20,0)),"")</f>
        <v>378.97014028925349</v>
      </c>
      <c r="U660" s="794">
        <f t="shared" si="364"/>
        <v>0.9978333550296985</v>
      </c>
      <c r="V660" s="795">
        <f t="shared" si="365"/>
        <v>0.94571169063335214</v>
      </c>
      <c r="W660" s="795">
        <f t="shared" si="366"/>
        <v>0.24141273599177596</v>
      </c>
      <c r="X660" s="843">
        <f t="shared" si="367"/>
        <v>1.0667933358955208</v>
      </c>
      <c r="Y660" s="843">
        <f t="shared" si="368"/>
        <v>1.1471944903339928</v>
      </c>
      <c r="Z660" s="843">
        <f t="shared" si="369"/>
        <v>0.29338940293610322</v>
      </c>
      <c r="AA660" s="843">
        <f t="shared" si="370"/>
        <v>0.57891344579550852</v>
      </c>
      <c r="AB660" s="796">
        <f t="shared" si="371"/>
        <v>3</v>
      </c>
      <c r="AC660" s="797">
        <f t="shared" si="372"/>
        <v>3</v>
      </c>
      <c r="AD660" s="797">
        <f t="shared" si="373"/>
        <v>1</v>
      </c>
      <c r="AE660" s="842">
        <f t="shared" si="374"/>
        <v>4</v>
      </c>
      <c r="AF660" s="842">
        <f t="shared" si="375"/>
        <v>4</v>
      </c>
      <c r="AG660" s="842">
        <f t="shared" si="376"/>
        <v>1</v>
      </c>
      <c r="AH660" s="842">
        <f t="shared" si="377"/>
        <v>2</v>
      </c>
      <c r="AI660" s="826" cm="1">
        <f t="array" ref="AI660">SUMPRODUCT(--ISNUMBER($U660:$AA660),$AB$3:$AH$3)</f>
        <v>1</v>
      </c>
      <c r="AJ660" s="829">
        <f t="shared" si="378"/>
        <v>35.084287843156481</v>
      </c>
      <c r="AK660" s="827" t="str">
        <f t="shared" si="379"/>
        <v>Inmadura</v>
      </c>
      <c r="AL660" s="784" t="str">
        <f t="shared" si="380"/>
        <v>Alta</v>
      </c>
      <c r="AM660" s="799">
        <f>IF(ISNUMBER('Base de datos Rutas'!W658),'Base de datos Rutas'!W658,"")</f>
        <v>3060.1995418491324</v>
      </c>
      <c r="AN660" s="787">
        <f>IFERROR(SUMIFS('Base de datos Rutas'!$W$6:$W$794,'Base de datos Rutas'!$C$6:$C$794,$C660)/'Base de datos Rutas'!I658,"")</f>
        <v>3060.1995418491333</v>
      </c>
      <c r="AO660" s="800">
        <f>IFERROR('Base de datos Rutas'!X658*AN660/AM660,"")</f>
        <v>0.51841114131281618</v>
      </c>
      <c r="AP660" s="800">
        <f t="shared" si="381"/>
        <v>0.48158885868718382</v>
      </c>
      <c r="AQ660" s="789">
        <f>IFERROR(INDEX('Hoja de apoyo v2'!$J$17:$J$20,MATCH($A660,'Hoja de apoyo v2'!$A$17:$A$20,0)),"")</f>
        <v>0.64320274048480885</v>
      </c>
      <c r="AR660" s="789">
        <f t="shared" si="382"/>
        <v>-0.16161388179762504</v>
      </c>
      <c r="AS660" s="784" t="str">
        <f t="shared" si="383"/>
        <v>No</v>
      </c>
      <c r="AT660" s="801">
        <f>IF(ISNUMBER('Base de datos Rutas'!CK658),'Base de datos Rutas'!CK658,"")</f>
        <v>347</v>
      </c>
      <c r="AU660" s="802">
        <f>IF(ISNUMBER('Base de datos Rutas'!CL658),'Base de datos Rutas'!CL658,"")</f>
        <v>401.12</v>
      </c>
      <c r="AV660" s="802">
        <f>IF(ISNUMBER('Base de datos Rutas'!CM658),'Base de datos Rutas'!CM658,"")</f>
        <v>54.120000000000005</v>
      </c>
      <c r="AW660" s="802">
        <f>IF(ISNUMBER('Base de datos Rutas'!CN658),'Base de datos Rutas'!CN658,"")</f>
        <v>8.02</v>
      </c>
      <c r="AX660" s="802">
        <f>IF(ISNUMBER('Base de datos Rutas'!CO658),'Base de datos Rutas'!CO658,"")</f>
        <v>9.4499999999999993</v>
      </c>
      <c r="AY660" s="802">
        <f>IF(ISNUMBER('Base de datos Rutas'!CP658),'Base de datos Rutas'!CP658,"")</f>
        <v>1.4299999999999997</v>
      </c>
      <c r="AZ660" s="802">
        <f>IF(ISNUMBER('Base de datos Rutas'!CQ658),'Base de datos Rutas'!CQ658,"")</f>
        <v>846.56</v>
      </c>
      <c r="BA660" s="802">
        <f>IF(ISNUMBER('Base de datos Rutas'!CR658),'Base de datos Rutas'!CR658,"")</f>
        <v>538.52</v>
      </c>
      <c r="BB660" s="803">
        <f>IF(ISNUMBER('Base de datos Rutas'!CS658),'Base de datos Rutas'!CS658,"")</f>
        <v>308.03999999999996</v>
      </c>
      <c r="BC660" s="804">
        <f t="shared" si="393"/>
        <v>0</v>
      </c>
      <c r="BD660" s="805" t="str">
        <f t="shared" si="394"/>
        <v>No saturada</v>
      </c>
      <c r="BE660" s="806">
        <f t="shared" si="395"/>
        <v>0.63612738612738617</v>
      </c>
      <c r="BF660" s="890">
        <f>IF(ISNUMBER('Base de datos Rutas'!CX658),'Base de datos Rutas'!CX658/100,"")</f>
        <v>0.19266644944064301</v>
      </c>
      <c r="BG660" s="891">
        <f>IF(ISNUMBER('Base de datos Rutas'!CZ658),'Base de datos Rutas'!CZ658/100,"")</f>
        <v>0.19854458564135982</v>
      </c>
      <c r="BH660" s="892">
        <f>IF(ISNUMBER('Base de datos Rutas'!DA658),'Base de datos Rutas'!DA658,"")</f>
        <v>49.648033931101203</v>
      </c>
      <c r="BI660" s="893">
        <f>IF(ISNUMBER('Base de datos Rutas'!DC658),'Base de datos Rutas'!DC658,"")</f>
        <v>2.5419333730693481</v>
      </c>
      <c r="BJ660" s="805" t="str">
        <f t="shared" si="396"/>
        <v>Ruta (completo)</v>
      </c>
      <c r="BK660" s="783">
        <f t="shared" si="384"/>
        <v>3</v>
      </c>
      <c r="BL660" s="797">
        <f t="shared" si="385"/>
        <v>3</v>
      </c>
      <c r="BM660" s="797">
        <f t="shared" si="386"/>
        <v>3</v>
      </c>
      <c r="BN660" s="797">
        <f t="shared" si="387"/>
        <v>3</v>
      </c>
      <c r="BO660" s="798" cm="1">
        <f t="array" ref="BO660">SUMPRODUCT(--ISNUMBER($BF660:$BI660),$BK$3:$BN$3)</f>
        <v>1</v>
      </c>
      <c r="BP660" s="831">
        <f t="shared" si="397"/>
        <v>50</v>
      </c>
      <c r="BQ660" s="834" t="str">
        <f t="shared" si="398"/>
        <v>Alto</v>
      </c>
      <c r="BR660" s="836">
        <f t="shared" si="388"/>
        <v>26.313215882367359</v>
      </c>
      <c r="BS660" s="836">
        <f t="shared" si="389"/>
        <v>50</v>
      </c>
      <c r="BT660" s="837" t="str">
        <f t="shared" si="390"/>
        <v>P3</v>
      </c>
      <c r="BU660" s="807" t="str">
        <f t="shared" si="399"/>
        <v>Con espacio</v>
      </c>
      <c r="BV660" s="807" t="str">
        <f t="shared" si="391"/>
        <v>Zona atractiva</v>
      </c>
      <c r="BW660" s="808" t="str">
        <f t="shared" si="392"/>
        <v>P3 - Desarrollar</v>
      </c>
    </row>
    <row r="661" spans="1:75">
      <c r="A661" s="780" t="str">
        <f>'Base de datos Rutas'!A659</f>
        <v>Occidente</v>
      </c>
      <c r="B661" s="781" t="str">
        <f>'Base de datos Rutas'!B659</f>
        <v>Favorita</v>
      </c>
      <c r="C661" s="781" t="str">
        <f>'Base de datos Rutas'!C659</f>
        <v>Suc. Toluquilla</v>
      </c>
      <c r="D661" s="782">
        <f>IF(ISNUMBER('Base de datos Rutas'!D659),'Base de datos Rutas'!D659,"Sin código")</f>
        <v>804425</v>
      </c>
      <c r="E661" s="783" t="str">
        <f>'Base de datos Rutas'!F659</f>
        <v>Activa</v>
      </c>
      <c r="F661" s="784" t="str">
        <f>'Base de datos Rutas'!H659</f>
        <v>Sí</v>
      </c>
      <c r="G661" s="785">
        <f>IF(ISNUMBER('Base de datos Rutas'!BE659),'Base de datos Rutas'!BE659,"")</f>
        <v>70.174603174603206</v>
      </c>
      <c r="H661" s="786">
        <f>IF(ISNUMBER('Base de datos Rutas'!BH659),'Base de datos Rutas'!BH659,"")</f>
        <v>0.48489352764403698</v>
      </c>
      <c r="I661" s="788">
        <f>IFERROR(IF(OR(NOT(ISNUMBER('Base de datos Rutas'!O659)),N('Base de datos Rutas'!BK659)=0),"",'Base de datos Rutas'!O659/('Base de datos Rutas'!L659/'Base de datos Rutas'!BK659)),"")</f>
        <v>3226.1655328798147</v>
      </c>
      <c r="J661" s="788">
        <f>IFERROR(IF(OR(NOT(ISNUMBER('Base de datos Rutas'!N659)),N('Base de datos Rutas'!BK659)=0),"",'Base de datos Rutas'!N659/('Base de datos Rutas'!L659/'Base de datos Rutas'!BK659)),"")</f>
        <v>9043.2426303854772</v>
      </c>
      <c r="K661" s="788">
        <f>IFERROR(IF(OR(NOT(ISNUMBER('Base de datos Rutas'!J659)),N('Base de datos Rutas'!BK659)=0),"",'Base de datos Rutas'!J659/('Base de datos Rutas'!L659/'Base de datos Rutas'!BK659)),"")</f>
        <v>621.64369523809444</v>
      </c>
      <c r="L661" s="788">
        <f>IFERROR(IF(OR(NOT(ISNUMBER('Base de datos Rutas'!K659)),N('Base de datos Rutas'!BK659)=0),"",'Base de datos Rutas'!K659/('Base de datos Rutas'!L659/'Base de datos Rutas'!BK659)),"")</f>
        <v>24.563482539682514</v>
      </c>
      <c r="M661" s="787">
        <f>IF(ISNUMBER('Base de datos Rutas'!AX659),'Base de datos Rutas'!AX659,"")</f>
        <v>360.57622151139498</v>
      </c>
      <c r="N661" s="790">
        <f>IFERROR(INDEX('Hoja de apoyo v2'!B$17:B$20,MATCH($A661,'Hoja de apoyo v2'!$A$17:$A$20,0)),"")</f>
        <v>89.41621024641401</v>
      </c>
      <c r="O661" s="791">
        <f>IFERROR(INDEX('Hoja de apoyo v2'!C$17:C$20,MATCH($A661,'Hoja de apoyo v2'!$A$17:$A$20,0)),"")</f>
        <v>0.54706375874806301</v>
      </c>
      <c r="P661" s="793">
        <f>IFERROR(INDEX('Hoja de apoyo v2'!D$17:D$20,MATCH($A661,'Hoja de apoyo v2'!$A$17:$A$20,0)),"")</f>
        <v>11095.153935793827</v>
      </c>
      <c r="Q661" s="793">
        <f>IFERROR(INDEX('Hoja de apoyo v2'!E$17:E$20,MATCH($A661,'Hoja de apoyo v2'!$A$17:$A$20,0)),"")</f>
        <v>6982.3202019701848</v>
      </c>
      <c r="R661" s="793">
        <f>IFERROR(INDEX('Hoja de apoyo v2'!F$17:F$20,MATCH($A661,'Hoja de apoyo v2'!$A$17:$A$20,0)),"")</f>
        <v>448.09513474485743</v>
      </c>
      <c r="S661" s="793">
        <f>IFERROR(INDEX('Hoja de apoyo v2'!G$17:G$20,MATCH($A661,'Hoja de apoyo v2'!$A$17:$A$20,0)),"")</f>
        <v>83.406300904207839</v>
      </c>
      <c r="T661" s="792">
        <f>IFERROR(INDEX('Hoja de apoyo v2'!H$17:H$20,MATCH($A661,'Hoja de apoyo v2'!$A$17:$A$20,0)),"")</f>
        <v>378.97014028925349</v>
      </c>
      <c r="U661" s="794">
        <f t="shared" si="364"/>
        <v>0.78480851493499215</v>
      </c>
      <c r="V661" s="795">
        <f t="shared" si="365"/>
        <v>0.88635651674989313</v>
      </c>
      <c r="W661" s="795">
        <f t="shared" si="366"/>
        <v>0.2907724896427038</v>
      </c>
      <c r="X661" s="843">
        <f t="shared" si="367"/>
        <v>1.2951629786089969</v>
      </c>
      <c r="Y661" s="843">
        <f t="shared" si="368"/>
        <v>1.3873029342129646</v>
      </c>
      <c r="Z661" s="843">
        <f t="shared" si="369"/>
        <v>0.29450391964863282</v>
      </c>
      <c r="AA661" s="843">
        <f t="shared" si="370"/>
        <v>0.95146340879569258</v>
      </c>
      <c r="AB661" s="796">
        <f t="shared" si="371"/>
        <v>3</v>
      </c>
      <c r="AC661" s="797">
        <f t="shared" si="372"/>
        <v>3</v>
      </c>
      <c r="AD661" s="797">
        <f t="shared" si="373"/>
        <v>1</v>
      </c>
      <c r="AE661" s="842">
        <f t="shared" si="374"/>
        <v>5</v>
      </c>
      <c r="AF661" s="842">
        <f t="shared" si="375"/>
        <v>5</v>
      </c>
      <c r="AG661" s="842">
        <f t="shared" si="376"/>
        <v>1</v>
      </c>
      <c r="AH661" s="842">
        <f t="shared" si="377"/>
        <v>3</v>
      </c>
      <c r="AI661" s="826" cm="1">
        <f t="array" ref="AI661">SUMPRODUCT(--ISNUMBER($U661:$AA661),$AB$3:$AH$3)</f>
        <v>1</v>
      </c>
      <c r="AJ661" s="829">
        <f t="shared" si="378"/>
        <v>43.664507841741532</v>
      </c>
      <c r="AK661" s="827" t="str">
        <f t="shared" si="379"/>
        <v>Inmadura</v>
      </c>
      <c r="AL661" s="784" t="str">
        <f t="shared" si="380"/>
        <v>Alta</v>
      </c>
      <c r="AM661" s="799">
        <f>IF(ISNUMBER('Base de datos Rutas'!W659),'Base de datos Rutas'!W659,"")</f>
        <v>3060.1995418491324</v>
      </c>
      <c r="AN661" s="787">
        <f>IFERROR(SUMIFS('Base de datos Rutas'!$W$6:$W$794,'Base de datos Rutas'!$C$6:$C$794,$C661)/'Base de datos Rutas'!I659,"")</f>
        <v>3060.1995418491333</v>
      </c>
      <c r="AO661" s="800">
        <f>IFERROR('Base de datos Rutas'!X659*AN661/AM661,"")</f>
        <v>0.51841114131281618</v>
      </c>
      <c r="AP661" s="800">
        <f t="shared" si="381"/>
        <v>0.48158885868718382</v>
      </c>
      <c r="AQ661" s="789">
        <f>IFERROR(INDEX('Hoja de apoyo v2'!$J$17:$J$20,MATCH($A661,'Hoja de apoyo v2'!$A$17:$A$20,0)),"")</f>
        <v>0.64320274048480885</v>
      </c>
      <c r="AR661" s="789">
        <f t="shared" si="382"/>
        <v>-0.16161388179762504</v>
      </c>
      <c r="AS661" s="784" t="str">
        <f t="shared" si="383"/>
        <v>No</v>
      </c>
      <c r="AT661" s="801">
        <f>IF(ISNUMBER('Base de datos Rutas'!CK659),'Base de datos Rutas'!CK659,"")</f>
        <v>444</v>
      </c>
      <c r="AU661" s="802">
        <f>IF(ISNUMBER('Base de datos Rutas'!CL659),'Base de datos Rutas'!CL659,"")</f>
        <v>512.75</v>
      </c>
      <c r="AV661" s="802">
        <f>IF(ISNUMBER('Base de datos Rutas'!CM659),'Base de datos Rutas'!CM659,"")</f>
        <v>68.75</v>
      </c>
      <c r="AW661" s="802">
        <f>IF(ISNUMBER('Base de datos Rutas'!CN659),'Base de datos Rutas'!CN659,"")</f>
        <v>13.47</v>
      </c>
      <c r="AX661" s="802">
        <f>IF(ISNUMBER('Base de datos Rutas'!CO659),'Base de datos Rutas'!CO659,"")</f>
        <v>9.4499999999999993</v>
      </c>
      <c r="AY661" s="802">
        <f>IF(ISNUMBER('Base de datos Rutas'!CP659),'Base de datos Rutas'!CP659,"")</f>
        <v>-4.0200000000000014</v>
      </c>
      <c r="AZ661" s="802">
        <f>IF(ISNUMBER('Base de datos Rutas'!CQ659),'Base de datos Rutas'!CQ659,"")</f>
        <v>846.56</v>
      </c>
      <c r="BA661" s="802">
        <f>IF(ISNUMBER('Base de datos Rutas'!CR659),'Base de datos Rutas'!CR659,"")</f>
        <v>646.21</v>
      </c>
      <c r="BB661" s="803">
        <f>IF(ISNUMBER('Base de datos Rutas'!CS659),'Base de datos Rutas'!CS659,"")</f>
        <v>200.34999999999991</v>
      </c>
      <c r="BC661" s="804">
        <f t="shared" si="393"/>
        <v>1</v>
      </c>
      <c r="BD661" s="805" t="str">
        <f t="shared" si="394"/>
        <v>Saturada</v>
      </c>
      <c r="BE661" s="806">
        <f t="shared" si="395"/>
        <v>0.76333632583632594</v>
      </c>
      <c r="BF661" s="890">
        <f>IF(ISNUMBER('Base de datos Rutas'!CX659),'Base de datos Rutas'!CX659/100,"")</f>
        <v>0.24584792396198099</v>
      </c>
      <c r="BG661" s="891">
        <f>IF(ISNUMBER('Base de datos Rutas'!CZ659),'Base de datos Rutas'!CZ659/100,"")</f>
        <v>0.25272636318159081</v>
      </c>
      <c r="BH661" s="892">
        <f>IF(ISNUMBER('Base de datos Rutas'!DA659),'Base de datos Rutas'!DA659,"")</f>
        <v>112.58591777418954</v>
      </c>
      <c r="BI661" s="893">
        <f>IF(ISNUMBER('Base de datos Rutas'!DC659),'Base de datos Rutas'!DC659,"")</f>
        <v>5.7078991429636075</v>
      </c>
      <c r="BJ661" s="805" t="str">
        <f t="shared" si="396"/>
        <v>Ruta (completo)</v>
      </c>
      <c r="BK661" s="783">
        <f t="shared" si="384"/>
        <v>4</v>
      </c>
      <c r="BL661" s="797">
        <f t="shared" si="385"/>
        <v>4</v>
      </c>
      <c r="BM661" s="797">
        <f t="shared" si="386"/>
        <v>4</v>
      </c>
      <c r="BN661" s="797">
        <f t="shared" si="387"/>
        <v>4</v>
      </c>
      <c r="BO661" s="798" cm="1">
        <f t="array" ref="BO661">SUMPRODUCT(--ISNUMBER($BF661:$BI661),$BK$3:$BN$3)</f>
        <v>1</v>
      </c>
      <c r="BP661" s="831">
        <f t="shared" si="397"/>
        <v>75</v>
      </c>
      <c r="BQ661" s="834" t="str">
        <f t="shared" si="398"/>
        <v>Alto</v>
      </c>
      <c r="BR661" s="836">
        <f t="shared" si="388"/>
        <v>57.748380881306147</v>
      </c>
      <c r="BS661" s="836">
        <f t="shared" si="389"/>
        <v>75</v>
      </c>
      <c r="BT661" s="837" t="str">
        <f t="shared" si="390"/>
        <v>P1</v>
      </c>
      <c r="BU661" s="807" t="str">
        <f t="shared" si="399"/>
        <v>Al tope</v>
      </c>
      <c r="BV661" s="807" t="str">
        <f t="shared" si="391"/>
        <v>Zona atractiva</v>
      </c>
      <c r="BW661" s="808" t="str">
        <f t="shared" si="392"/>
        <v>P1 - Ampliar cobertura</v>
      </c>
    </row>
    <row r="662" spans="1:75">
      <c r="A662" s="780" t="str">
        <f>'Base de datos Rutas'!A660</f>
        <v>Occidente</v>
      </c>
      <c r="B662" s="781" t="str">
        <f>'Base de datos Rutas'!B660</f>
        <v>Los Altos</v>
      </c>
      <c r="C662" s="781" t="str">
        <f>'Base de datos Rutas'!C660</f>
        <v>Planta Los Altos</v>
      </c>
      <c r="D662" s="782">
        <f>IF(ISNUMBER('Base de datos Rutas'!D660),'Base de datos Rutas'!D660,"Sin código")</f>
        <v>831399</v>
      </c>
      <c r="E662" s="783" t="str">
        <f>'Base de datos Rutas'!F660</f>
        <v>Activa</v>
      </c>
      <c r="F662" s="784" t="str">
        <f>'Base de datos Rutas'!H660</f>
        <v>Sí</v>
      </c>
      <c r="G662" s="785">
        <f>IF(ISNUMBER('Base de datos Rutas'!BE660),'Base de datos Rutas'!BE660,"")</f>
        <v>98.634146341463406</v>
      </c>
      <c r="H662" s="786">
        <f>IF(ISNUMBER('Base de datos Rutas'!BH660),'Base de datos Rutas'!BH660,"")</f>
        <v>0.210187932739862</v>
      </c>
      <c r="I662" s="788">
        <f>IFERROR(IF(OR(NOT(ISNUMBER('Base de datos Rutas'!O660)),N('Base de datos Rutas'!BK660)=0),"",'Base de datos Rutas'!O660/('Base de datos Rutas'!L660/'Base de datos Rutas'!BK660)),"")</f>
        <v>14343.188235294123</v>
      </c>
      <c r="J662" s="788">
        <f>IFERROR(IF(OR(NOT(ISNUMBER('Base de datos Rutas'!N660)),N('Base de datos Rutas'!BK660)=0),"",'Base de datos Rutas'!N660/('Base de datos Rutas'!L660/'Base de datos Rutas'!BK660)),"")</f>
        <v>1421.1058823529418</v>
      </c>
      <c r="K662" s="788">
        <f>IFERROR(IF(OR(NOT(ISNUMBER('Base de datos Rutas'!J660)),N('Base de datos Rutas'!BK660)=0),"",'Base de datos Rutas'!J660/('Base de datos Rutas'!L660/'Base de datos Rutas'!BK660)),"")</f>
        <v>119.84448000000005</v>
      </c>
      <c r="L662" s="788">
        <f>IFERROR(IF(OR(NOT(ISNUMBER('Base de datos Rutas'!K660)),N('Base de datos Rutas'!BK660)=0),"",'Base de datos Rutas'!K660/('Base de datos Rutas'!L660/'Base de datos Rutas'!BK660)),"")</f>
        <v>131.97708176470593</v>
      </c>
      <c r="M662" s="787">
        <f>IF(ISNUMBER('Base de datos Rutas'!AX660),'Base de datos Rutas'!AX660,"")</f>
        <v>751.94229517396195</v>
      </c>
      <c r="N662" s="790">
        <f>IFERROR(INDEX('Hoja de apoyo v2'!B$17:B$20,MATCH($A662,'Hoja de apoyo v2'!$A$17:$A$20,0)),"")</f>
        <v>89.41621024641401</v>
      </c>
      <c r="O662" s="791">
        <f>IFERROR(INDEX('Hoja de apoyo v2'!C$17:C$20,MATCH($A662,'Hoja de apoyo v2'!$A$17:$A$20,0)),"")</f>
        <v>0.54706375874806301</v>
      </c>
      <c r="P662" s="793">
        <f>IFERROR(INDEX('Hoja de apoyo v2'!D$17:D$20,MATCH($A662,'Hoja de apoyo v2'!$A$17:$A$20,0)),"")</f>
        <v>11095.153935793827</v>
      </c>
      <c r="Q662" s="793">
        <f>IFERROR(INDEX('Hoja de apoyo v2'!E$17:E$20,MATCH($A662,'Hoja de apoyo v2'!$A$17:$A$20,0)),"")</f>
        <v>6982.3202019701848</v>
      </c>
      <c r="R662" s="793">
        <f>IFERROR(INDEX('Hoja de apoyo v2'!F$17:F$20,MATCH($A662,'Hoja de apoyo v2'!$A$17:$A$20,0)),"")</f>
        <v>448.09513474485743</v>
      </c>
      <c r="S662" s="793">
        <f>IFERROR(INDEX('Hoja de apoyo v2'!G$17:G$20,MATCH($A662,'Hoja de apoyo v2'!$A$17:$A$20,0)),"")</f>
        <v>83.406300904207839</v>
      </c>
      <c r="T662" s="792">
        <f>IFERROR(INDEX('Hoja de apoyo v2'!H$17:H$20,MATCH($A662,'Hoja de apoyo v2'!$A$17:$A$20,0)),"")</f>
        <v>378.97014028925349</v>
      </c>
      <c r="U662" s="794">
        <f t="shared" si="364"/>
        <v>1.1030902122741113</v>
      </c>
      <c r="V662" s="795">
        <f t="shared" si="365"/>
        <v>0.38421103459836198</v>
      </c>
      <c r="W662" s="795">
        <f t="shared" si="366"/>
        <v>1.2927435093101218</v>
      </c>
      <c r="X662" s="843">
        <f t="shared" si="367"/>
        <v>0.20352917672723628</v>
      </c>
      <c r="Y662" s="843">
        <f t="shared" si="368"/>
        <v>0.26745320515081855</v>
      </c>
      <c r="Z662" s="843">
        <f t="shared" si="369"/>
        <v>1.5823394675695024</v>
      </c>
      <c r="AA662" s="843">
        <f t="shared" si="370"/>
        <v>1.9841729340470808</v>
      </c>
      <c r="AB662" s="796">
        <f t="shared" si="371"/>
        <v>4</v>
      </c>
      <c r="AC662" s="797">
        <f t="shared" si="372"/>
        <v>1</v>
      </c>
      <c r="AD662" s="797">
        <f t="shared" si="373"/>
        <v>5</v>
      </c>
      <c r="AE662" s="842">
        <f t="shared" si="374"/>
        <v>1</v>
      </c>
      <c r="AF662" s="842">
        <f t="shared" si="375"/>
        <v>1</v>
      </c>
      <c r="AG662" s="842">
        <f t="shared" si="376"/>
        <v>5</v>
      </c>
      <c r="AH662" s="842">
        <f t="shared" si="377"/>
        <v>5</v>
      </c>
      <c r="AI662" s="826" cm="1">
        <f t="array" ref="AI662">SUMPRODUCT(--ISNUMBER($U662:$AA662),$AB$3:$AH$3)</f>
        <v>1</v>
      </c>
      <c r="AJ662" s="829">
        <f t="shared" si="378"/>
        <v>60.592772845267405</v>
      </c>
      <c r="AK662" s="827" t="str">
        <f t="shared" si="379"/>
        <v>En desarrollo</v>
      </c>
      <c r="AL662" s="784" t="str">
        <f t="shared" si="380"/>
        <v>Alta</v>
      </c>
      <c r="AM662" s="799">
        <f>IF(ISNUMBER('Base de datos Rutas'!W660),'Base de datos Rutas'!W660,"")</f>
        <v>3091.5774734715137</v>
      </c>
      <c r="AN662" s="787">
        <f>IFERROR(SUMIFS('Base de datos Rutas'!$W$6:$W$794,'Base de datos Rutas'!$C$6:$C$794,$C662)/'Base de datos Rutas'!I660,"")</f>
        <v>3091.5774734715137</v>
      </c>
      <c r="AO662" s="800">
        <f>IFERROR('Base de datos Rutas'!X660*AN662/AM662,"")</f>
        <v>0.32618239134139693</v>
      </c>
      <c r="AP662" s="800">
        <f t="shared" si="381"/>
        <v>0.67381760865860307</v>
      </c>
      <c r="AQ662" s="789">
        <f>IFERROR(INDEX('Hoja de apoyo v2'!$J$17:$J$20,MATCH($A662,'Hoja de apoyo v2'!$A$17:$A$20,0)),"")</f>
        <v>0.64320274048480885</v>
      </c>
      <c r="AR662" s="789">
        <f t="shared" si="382"/>
        <v>3.0614868173794219E-2</v>
      </c>
      <c r="AS662" s="784" t="str">
        <f t="shared" si="383"/>
        <v>No</v>
      </c>
      <c r="AT662" s="801" t="str">
        <f>IF(ISNUMBER('Base de datos Rutas'!CK660),'Base de datos Rutas'!CK660,"")</f>
        <v/>
      </c>
      <c r="AU662" s="802" t="str">
        <f>IF(ISNUMBER('Base de datos Rutas'!CL660),'Base de datos Rutas'!CL660,"")</f>
        <v/>
      </c>
      <c r="AV662" s="802">
        <f>IF(ISNUMBER('Base de datos Rutas'!CM660),'Base de datos Rutas'!CM660,"")</f>
        <v>0</v>
      </c>
      <c r="AW662" s="802" t="str">
        <f>IF(ISNUMBER('Base de datos Rutas'!CN660),'Base de datos Rutas'!CN660,"")</f>
        <v/>
      </c>
      <c r="AX662" s="802" t="str">
        <f>IF(ISNUMBER('Base de datos Rutas'!CO660),'Base de datos Rutas'!CO660,"")</f>
        <v/>
      </c>
      <c r="AY662" s="802">
        <f>IF(ISNUMBER('Base de datos Rutas'!CP660),'Base de datos Rutas'!CP660,"")</f>
        <v>0</v>
      </c>
      <c r="AZ662" s="802" t="str">
        <f>IF(ISNUMBER('Base de datos Rutas'!CQ660),'Base de datos Rutas'!CQ660,"")</f>
        <v/>
      </c>
      <c r="BA662" s="802" t="str">
        <f>IF(ISNUMBER('Base de datos Rutas'!CR660),'Base de datos Rutas'!CR660,"")</f>
        <v/>
      </c>
      <c r="BB662" s="803">
        <f>IF(ISNUMBER('Base de datos Rutas'!CS660),'Base de datos Rutas'!CS660,"")</f>
        <v>0</v>
      </c>
      <c r="BC662" s="804" t="str">
        <f t="shared" si="393"/>
        <v/>
      </c>
      <c r="BD662" s="805" t="str">
        <f t="shared" si="394"/>
        <v>N/D</v>
      </c>
      <c r="BE662" s="806" t="str">
        <f t="shared" si="395"/>
        <v/>
      </c>
      <c r="BF662" s="890" t="str">
        <f>IF(ISNUMBER('Base de datos Rutas'!CX660),'Base de datos Rutas'!CX660/100,"")</f>
        <v/>
      </c>
      <c r="BG662" s="891" t="str">
        <f>IF(ISNUMBER('Base de datos Rutas'!CZ660),'Base de datos Rutas'!CZ660/100,"")</f>
        <v/>
      </c>
      <c r="BH662" s="892" t="str">
        <f>IF(ISNUMBER('Base de datos Rutas'!DA660),'Base de datos Rutas'!DA660,"")</f>
        <v/>
      </c>
      <c r="BI662" s="893" t="str">
        <f>IF(ISNUMBER('Base de datos Rutas'!DC660),'Base de datos Rutas'!DC660,"")</f>
        <v/>
      </c>
      <c r="BJ662" s="805" t="str">
        <f t="shared" si="396"/>
        <v>Sin dato</v>
      </c>
      <c r="BK662" s="783">
        <f t="shared" si="384"/>
        <v>0</v>
      </c>
      <c r="BL662" s="797">
        <f t="shared" si="385"/>
        <v>0</v>
      </c>
      <c r="BM662" s="797">
        <f t="shared" si="386"/>
        <v>0</v>
      </c>
      <c r="BN662" s="797">
        <f t="shared" si="387"/>
        <v>0</v>
      </c>
      <c r="BO662" s="798" cm="1">
        <f t="array" ref="BO662">SUMPRODUCT(--ISNUMBER($BF662:$BI662),$BK$3:$BN$3)</f>
        <v>0</v>
      </c>
      <c r="BP662" s="831" t="str">
        <f t="shared" si="397"/>
        <v/>
      </c>
      <c r="BQ662" s="834" t="str">
        <f t="shared" si="398"/>
        <v>Sin datos</v>
      </c>
      <c r="BR662" s="836" t="str">
        <f t="shared" si="388"/>
        <v/>
      </c>
      <c r="BS662" s="836" t="str">
        <f t="shared" si="389"/>
        <v/>
      </c>
      <c r="BT662" s="837" t="str">
        <f t="shared" si="390"/>
        <v>Sin datos</v>
      </c>
      <c r="BU662" s="807" t="str">
        <f t="shared" si="399"/>
        <v>Con espacio</v>
      </c>
      <c r="BV662" s="807" t="str">
        <f t="shared" si="391"/>
        <v>Sin datos de zona</v>
      </c>
      <c r="BW662" s="808" t="str">
        <f t="shared" si="392"/>
        <v>Sin datos</v>
      </c>
    </row>
    <row r="663" spans="1:75">
      <c r="A663" s="780" t="str">
        <f>'Base de datos Rutas'!A661</f>
        <v>Occidente</v>
      </c>
      <c r="B663" s="781" t="str">
        <f>'Base de datos Rutas'!B661</f>
        <v>Los Altos</v>
      </c>
      <c r="C663" s="781" t="str">
        <f>'Base de datos Rutas'!C661</f>
        <v>Planta Los Altos</v>
      </c>
      <c r="D663" s="782">
        <f>IF(ISNUMBER('Base de datos Rutas'!D661),'Base de datos Rutas'!D661,"Sin código")</f>
        <v>831400</v>
      </c>
      <c r="E663" s="783" t="str">
        <f>'Base de datos Rutas'!F661</f>
        <v>Activa</v>
      </c>
      <c r="F663" s="784" t="str">
        <f>'Base de datos Rutas'!H661</f>
        <v>Sí</v>
      </c>
      <c r="G663" s="785">
        <f>IF(ISNUMBER('Base de datos Rutas'!BE661),'Base de datos Rutas'!BE661,"")</f>
        <v>57.448598130841098</v>
      </c>
      <c r="H663" s="786">
        <f>IF(ISNUMBER('Base de datos Rutas'!BH661),'Base de datos Rutas'!BH661,"")</f>
        <v>0.71518626972506905</v>
      </c>
      <c r="I663" s="788">
        <f>IFERROR(IF(OR(NOT(ISNUMBER('Base de datos Rutas'!O661)),N('Base de datos Rutas'!BK661)=0),"",'Base de datos Rutas'!O661/('Base de datos Rutas'!L661/'Base de datos Rutas'!BK661)),"")</f>
        <v>3782.2429906542056</v>
      </c>
      <c r="J663" s="788">
        <f>IFERROR(IF(OR(NOT(ISNUMBER('Base de datos Rutas'!N661)),N('Base de datos Rutas'!BK661)=0),"",'Base de datos Rutas'!N661/('Base de datos Rutas'!L661/'Base de datos Rutas'!BK661)),"")</f>
        <v>7502.5186915887853</v>
      </c>
      <c r="K663" s="788">
        <f>IFERROR(IF(OR(NOT(ISNUMBER('Base de datos Rutas'!J661)),N('Base de datos Rutas'!BK661)=0),"",'Base de datos Rutas'!J661/('Base de datos Rutas'!L661/'Base de datos Rutas'!BK661)),"")</f>
        <v>523.70187289719627</v>
      </c>
      <c r="L663" s="788">
        <f>IFERROR(IF(OR(NOT(ISNUMBER('Base de datos Rutas'!K661)),N('Base de datos Rutas'!BK661)=0),"",'Base de datos Rutas'!K661/('Base de datos Rutas'!L661/'Base de datos Rutas'!BK661)),"")</f>
        <v>29.908086623831775</v>
      </c>
      <c r="M663" s="787">
        <f>IF(ISNUMBER('Base de datos Rutas'!AX661),'Base de datos Rutas'!AX661,"")</f>
        <v>274.65478817173698</v>
      </c>
      <c r="N663" s="790">
        <f>IFERROR(INDEX('Hoja de apoyo v2'!B$17:B$20,MATCH($A663,'Hoja de apoyo v2'!$A$17:$A$20,0)),"")</f>
        <v>89.41621024641401</v>
      </c>
      <c r="O663" s="791">
        <f>IFERROR(INDEX('Hoja de apoyo v2'!C$17:C$20,MATCH($A663,'Hoja de apoyo v2'!$A$17:$A$20,0)),"")</f>
        <v>0.54706375874806301</v>
      </c>
      <c r="P663" s="793">
        <f>IFERROR(INDEX('Hoja de apoyo v2'!D$17:D$20,MATCH($A663,'Hoja de apoyo v2'!$A$17:$A$20,0)),"")</f>
        <v>11095.153935793827</v>
      </c>
      <c r="Q663" s="793">
        <f>IFERROR(INDEX('Hoja de apoyo v2'!E$17:E$20,MATCH($A663,'Hoja de apoyo v2'!$A$17:$A$20,0)),"")</f>
        <v>6982.3202019701848</v>
      </c>
      <c r="R663" s="793">
        <f>IFERROR(INDEX('Hoja de apoyo v2'!F$17:F$20,MATCH($A663,'Hoja de apoyo v2'!$A$17:$A$20,0)),"")</f>
        <v>448.09513474485743</v>
      </c>
      <c r="S663" s="793">
        <f>IFERROR(INDEX('Hoja de apoyo v2'!G$17:G$20,MATCH($A663,'Hoja de apoyo v2'!$A$17:$A$20,0)),"")</f>
        <v>83.406300904207839</v>
      </c>
      <c r="T663" s="792">
        <f>IFERROR(INDEX('Hoja de apoyo v2'!H$17:H$20,MATCH($A663,'Hoja de apoyo v2'!$A$17:$A$20,0)),"")</f>
        <v>378.97014028925349</v>
      </c>
      <c r="U663" s="794">
        <f t="shared" si="364"/>
        <v>0.64248527165850267</v>
      </c>
      <c r="V663" s="795">
        <f t="shared" si="365"/>
        <v>1.3073179465621132</v>
      </c>
      <c r="W663" s="795">
        <f t="shared" si="366"/>
        <v>0.34089143895988649</v>
      </c>
      <c r="X663" s="843">
        <f t="shared" si="367"/>
        <v>1.0745022391656884</v>
      </c>
      <c r="Y663" s="843">
        <f t="shared" si="368"/>
        <v>1.1687292101383535</v>
      </c>
      <c r="Z663" s="843">
        <f t="shared" si="369"/>
        <v>0.35858306026760761</v>
      </c>
      <c r="AA663" s="843">
        <f t="shared" si="370"/>
        <v>0.72473991740379184</v>
      </c>
      <c r="AB663" s="796">
        <f t="shared" si="371"/>
        <v>2</v>
      </c>
      <c r="AC663" s="797">
        <f t="shared" si="372"/>
        <v>5</v>
      </c>
      <c r="AD663" s="797">
        <f t="shared" si="373"/>
        <v>1</v>
      </c>
      <c r="AE663" s="842">
        <f t="shared" si="374"/>
        <v>4</v>
      </c>
      <c r="AF663" s="842">
        <f t="shared" si="375"/>
        <v>4</v>
      </c>
      <c r="AG663" s="842">
        <f t="shared" si="376"/>
        <v>1</v>
      </c>
      <c r="AH663" s="842">
        <f t="shared" si="377"/>
        <v>2</v>
      </c>
      <c r="AI663" s="826" cm="1">
        <f t="array" ref="AI663">SUMPRODUCT(--ISNUMBER($U663:$AA663),$AB$3:$AH$3)</f>
        <v>1</v>
      </c>
      <c r="AJ663" s="829">
        <f t="shared" si="378"/>
        <v>35.316462836800675</v>
      </c>
      <c r="AK663" s="827" t="str">
        <f t="shared" si="379"/>
        <v>Inmadura</v>
      </c>
      <c r="AL663" s="784" t="str">
        <f t="shared" si="380"/>
        <v>Alta</v>
      </c>
      <c r="AM663" s="799">
        <f>IF(ISNUMBER('Base de datos Rutas'!W661),'Base de datos Rutas'!W661,"")</f>
        <v>3091.5774734715137</v>
      </c>
      <c r="AN663" s="787">
        <f>IFERROR(SUMIFS('Base de datos Rutas'!$W$6:$W$794,'Base de datos Rutas'!$C$6:$C$794,$C663)/'Base de datos Rutas'!I661,"")</f>
        <v>3091.5774734715137</v>
      </c>
      <c r="AO663" s="800">
        <f>IFERROR('Base de datos Rutas'!X661*AN663/AM663,"")</f>
        <v>0.32618239134139693</v>
      </c>
      <c r="AP663" s="800">
        <f t="shared" si="381"/>
        <v>0.67381760865860307</v>
      </c>
      <c r="AQ663" s="789">
        <f>IFERROR(INDEX('Hoja de apoyo v2'!$J$17:$J$20,MATCH($A663,'Hoja de apoyo v2'!$A$17:$A$20,0)),"")</f>
        <v>0.64320274048480885</v>
      </c>
      <c r="AR663" s="789">
        <f t="shared" si="382"/>
        <v>3.0614868173794219E-2</v>
      </c>
      <c r="AS663" s="784" t="str">
        <f t="shared" si="383"/>
        <v>No</v>
      </c>
      <c r="AT663" s="801">
        <f>IF(ISNUMBER('Base de datos Rutas'!CK661),'Base de datos Rutas'!CK661,"")</f>
        <v>260</v>
      </c>
      <c r="AU663" s="802">
        <f>IF(ISNUMBER('Base de datos Rutas'!CL661),'Base de datos Rutas'!CL661,"")</f>
        <v>314.72000000000003</v>
      </c>
      <c r="AV663" s="802">
        <f>IF(ISNUMBER('Base de datos Rutas'!CM661),'Base de datos Rutas'!CM661,"")</f>
        <v>54.720000000000027</v>
      </c>
      <c r="AW663" s="802">
        <f>IF(ISNUMBER('Base de datos Rutas'!CN661),'Base de datos Rutas'!CN661,"")</f>
        <v>6.04</v>
      </c>
      <c r="AX663" s="802">
        <f>IF(ISNUMBER('Base de datos Rutas'!CO661),'Base de datos Rutas'!CO661,"")</f>
        <v>9.4499999999999993</v>
      </c>
      <c r="AY663" s="802">
        <f>IF(ISNUMBER('Base de datos Rutas'!CP661),'Base de datos Rutas'!CP661,"")</f>
        <v>3.4099999999999993</v>
      </c>
      <c r="AZ663" s="802">
        <f>IF(ISNUMBER('Base de datos Rutas'!CQ661),'Base de datos Rutas'!CQ661,"")</f>
        <v>846.56</v>
      </c>
      <c r="BA663" s="802">
        <f>IF(ISNUMBER('Base de datos Rutas'!CR661),'Base de datos Rutas'!CR661,"")</f>
        <v>553.61</v>
      </c>
      <c r="BB663" s="803">
        <f>IF(ISNUMBER('Base de datos Rutas'!CS661),'Base de datos Rutas'!CS661,"")</f>
        <v>292.94999999999993</v>
      </c>
      <c r="BC663" s="804">
        <f t="shared" si="393"/>
        <v>0</v>
      </c>
      <c r="BD663" s="805" t="str">
        <f t="shared" si="394"/>
        <v>No saturada</v>
      </c>
      <c r="BE663" s="806">
        <f t="shared" si="395"/>
        <v>0.65395246645246652</v>
      </c>
      <c r="BF663" s="890">
        <f>IF(ISNUMBER('Base de datos Rutas'!CX661),'Base de datos Rutas'!CX661/100,"")</f>
        <v>5.8189060010621345E-2</v>
      </c>
      <c r="BG663" s="891">
        <f>IF(ISNUMBER('Base de datos Rutas'!CZ661),'Base de datos Rutas'!CZ661/100,"")</f>
        <v>6.5454062665958573E-2</v>
      </c>
      <c r="BH663" s="892">
        <f>IF(ISNUMBER('Base de datos Rutas'!DA661),'Base de datos Rutas'!DA661,"")</f>
        <v>168.17453655861823</v>
      </c>
      <c r="BI663" s="893">
        <f>IF(ISNUMBER('Base de datos Rutas'!DC661),'Base de datos Rutas'!DC661,"")</f>
        <v>7.5650083303456563</v>
      </c>
      <c r="BJ663" s="805" t="str">
        <f t="shared" si="396"/>
        <v>Ruta (completo)</v>
      </c>
      <c r="BK663" s="783">
        <f t="shared" si="384"/>
        <v>1</v>
      </c>
      <c r="BL663" s="797">
        <f t="shared" si="385"/>
        <v>1</v>
      </c>
      <c r="BM663" s="797">
        <f t="shared" si="386"/>
        <v>2</v>
      </c>
      <c r="BN663" s="797">
        <f t="shared" si="387"/>
        <v>2</v>
      </c>
      <c r="BO663" s="798" cm="1">
        <f t="array" ref="BO663">SUMPRODUCT(--ISNUMBER($BF663:$BI663),$BK$3:$BN$3)</f>
        <v>1</v>
      </c>
      <c r="BP663" s="831">
        <f t="shared" si="397"/>
        <v>12.5</v>
      </c>
      <c r="BQ663" s="834" t="str">
        <f t="shared" si="398"/>
        <v>Bajo</v>
      </c>
      <c r="BR663" s="836">
        <f t="shared" si="388"/>
        <v>26.487347127600508</v>
      </c>
      <c r="BS663" s="836">
        <f t="shared" si="389"/>
        <v>12.5</v>
      </c>
      <c r="BT663" s="837" t="str">
        <f t="shared" si="390"/>
        <v>P4</v>
      </c>
      <c r="BU663" s="807" t="str">
        <f t="shared" si="399"/>
        <v>Con espacio</v>
      </c>
      <c r="BV663" s="807" t="str">
        <f t="shared" si="391"/>
        <v>Zona de bajo potencial</v>
      </c>
      <c r="BW663" s="808" t="str">
        <f t="shared" si="392"/>
        <v>P4 - Evaluar</v>
      </c>
    </row>
    <row r="664" spans="1:75">
      <c r="A664" s="780" t="str">
        <f>'Base de datos Rutas'!A662</f>
        <v>Occidente</v>
      </c>
      <c r="B664" s="781" t="str">
        <f>'Base de datos Rutas'!B662</f>
        <v>Los Altos</v>
      </c>
      <c r="C664" s="781" t="str">
        <f>'Base de datos Rutas'!C662</f>
        <v>Planta Los Altos</v>
      </c>
      <c r="D664" s="782">
        <f>IF(ISNUMBER('Base de datos Rutas'!D662),'Base de datos Rutas'!D662,"Sin código")</f>
        <v>831401</v>
      </c>
      <c r="E664" s="783" t="str">
        <f>'Base de datos Rutas'!F662</f>
        <v>Activa</v>
      </c>
      <c r="F664" s="784" t="str">
        <f>'Base de datos Rutas'!H662</f>
        <v>Sí</v>
      </c>
      <c r="G664" s="785">
        <f>IF(ISNUMBER('Base de datos Rutas'!BE662),'Base de datos Rutas'!BE662,"")</f>
        <v>40.414634146341498</v>
      </c>
      <c r="H664" s="786">
        <f>IF(ISNUMBER('Base de datos Rutas'!BH662),'Base de datos Rutas'!BH662,"")</f>
        <v>0.65406021591899699</v>
      </c>
      <c r="I664" s="788">
        <f>IFERROR(IF(OR(NOT(ISNUMBER('Base de datos Rutas'!O662)),N('Base de datos Rutas'!BK662)=0),"",'Base de datos Rutas'!O662/('Base de datos Rutas'!L662/'Base de datos Rutas'!BK662)),"")</f>
        <v>2760.0119904076755</v>
      </c>
      <c r="J664" s="788">
        <f>IFERROR(IF(OR(NOT(ISNUMBER('Base de datos Rutas'!N662)),N('Base de datos Rutas'!BK662)=0),"",'Base de datos Rutas'!N662/('Base de datos Rutas'!L662/'Base de datos Rutas'!BK662)),"")</f>
        <v>4624.2925659472448</v>
      </c>
      <c r="K664" s="788">
        <f>IFERROR(IF(OR(NOT(ISNUMBER('Base de datos Rutas'!J662)),N('Base de datos Rutas'!BK662)=0),"",'Base de datos Rutas'!J662/('Base de datos Rutas'!L662/'Base de datos Rutas'!BK662)),"")</f>
        <v>318.12255731414882</v>
      </c>
      <c r="L664" s="788">
        <f>IFERROR(IF(OR(NOT(ISNUMBER('Base de datos Rutas'!K662)),N('Base de datos Rutas'!BK662)=0),"",'Base de datos Rutas'!K662/('Base de datos Rutas'!L662/'Base de datos Rutas'!BK662)),"")</f>
        <v>19.25301432853718</v>
      </c>
      <c r="M664" s="787">
        <f>IF(ISNUMBER('Base de datos Rutas'!AX662),'Base de datos Rutas'!AX662,"")</f>
        <v>281.26158750456699</v>
      </c>
      <c r="N664" s="790">
        <f>IFERROR(INDEX('Hoja de apoyo v2'!B$17:B$20,MATCH($A664,'Hoja de apoyo v2'!$A$17:$A$20,0)),"")</f>
        <v>89.41621024641401</v>
      </c>
      <c r="O664" s="791">
        <f>IFERROR(INDEX('Hoja de apoyo v2'!C$17:C$20,MATCH($A664,'Hoja de apoyo v2'!$A$17:$A$20,0)),"")</f>
        <v>0.54706375874806301</v>
      </c>
      <c r="P664" s="793">
        <f>IFERROR(INDEX('Hoja de apoyo v2'!D$17:D$20,MATCH($A664,'Hoja de apoyo v2'!$A$17:$A$20,0)),"")</f>
        <v>11095.153935793827</v>
      </c>
      <c r="Q664" s="793">
        <f>IFERROR(INDEX('Hoja de apoyo v2'!E$17:E$20,MATCH($A664,'Hoja de apoyo v2'!$A$17:$A$20,0)),"")</f>
        <v>6982.3202019701848</v>
      </c>
      <c r="R664" s="793">
        <f>IFERROR(INDEX('Hoja de apoyo v2'!F$17:F$20,MATCH($A664,'Hoja de apoyo v2'!$A$17:$A$20,0)),"")</f>
        <v>448.09513474485743</v>
      </c>
      <c r="S664" s="793">
        <f>IFERROR(INDEX('Hoja de apoyo v2'!G$17:G$20,MATCH($A664,'Hoja de apoyo v2'!$A$17:$A$20,0)),"")</f>
        <v>83.406300904207839</v>
      </c>
      <c r="T664" s="792">
        <f>IFERROR(INDEX('Hoja de apoyo v2'!H$17:H$20,MATCH($A664,'Hoja de apoyo v2'!$A$17:$A$20,0)),"")</f>
        <v>378.97014028925349</v>
      </c>
      <c r="U664" s="794">
        <f t="shared" si="364"/>
        <v>0.45198330408956588</v>
      </c>
      <c r="V664" s="795">
        <f t="shared" si="365"/>
        <v>1.1955831572827851</v>
      </c>
      <c r="W664" s="795">
        <f t="shared" si="366"/>
        <v>0.24875833236559816</v>
      </c>
      <c r="X664" s="843">
        <f t="shared" si="367"/>
        <v>0.66228594968223009</v>
      </c>
      <c r="Y664" s="843">
        <f t="shared" si="368"/>
        <v>0.70994423426464071</v>
      </c>
      <c r="Z664" s="843">
        <f t="shared" si="369"/>
        <v>0.23083405114260219</v>
      </c>
      <c r="AA664" s="843">
        <f t="shared" si="370"/>
        <v>0.74217347912922826</v>
      </c>
      <c r="AB664" s="796">
        <f t="shared" si="371"/>
        <v>1</v>
      </c>
      <c r="AC664" s="797">
        <f t="shared" si="372"/>
        <v>4</v>
      </c>
      <c r="AD664" s="797">
        <f t="shared" si="373"/>
        <v>1</v>
      </c>
      <c r="AE664" s="842">
        <f t="shared" si="374"/>
        <v>2</v>
      </c>
      <c r="AF664" s="842">
        <f t="shared" si="375"/>
        <v>2</v>
      </c>
      <c r="AG664" s="842">
        <f t="shared" si="376"/>
        <v>1</v>
      </c>
      <c r="AH664" s="842">
        <f t="shared" si="377"/>
        <v>2</v>
      </c>
      <c r="AI664" s="826" cm="1">
        <f t="array" ref="AI664">SUMPRODUCT(--ISNUMBER($U664:$AA664),$AB$3:$AH$3)</f>
        <v>1</v>
      </c>
      <c r="AJ664" s="829">
        <f t="shared" si="378"/>
        <v>15.728936756256489</v>
      </c>
      <c r="AK664" s="827" t="str">
        <f t="shared" si="379"/>
        <v>Inmadura</v>
      </c>
      <c r="AL664" s="784" t="str">
        <f t="shared" si="380"/>
        <v>Alta</v>
      </c>
      <c r="AM664" s="799">
        <f>IF(ISNUMBER('Base de datos Rutas'!W662),'Base de datos Rutas'!W662,"")</f>
        <v>3091.5774734715137</v>
      </c>
      <c r="AN664" s="787">
        <f>IFERROR(SUMIFS('Base de datos Rutas'!$W$6:$W$794,'Base de datos Rutas'!$C$6:$C$794,$C664)/'Base de datos Rutas'!I662,"")</f>
        <v>3091.5774734715137</v>
      </c>
      <c r="AO664" s="800">
        <f>IFERROR('Base de datos Rutas'!X662*AN664/AM664,"")</f>
        <v>0.32618239134139693</v>
      </c>
      <c r="AP664" s="800">
        <f t="shared" si="381"/>
        <v>0.67381760865860307</v>
      </c>
      <c r="AQ664" s="789">
        <f>IFERROR(INDEX('Hoja de apoyo v2'!$J$17:$J$20,MATCH($A664,'Hoja de apoyo v2'!$A$17:$A$20,0)),"")</f>
        <v>0.64320274048480885</v>
      </c>
      <c r="AR664" s="789">
        <f t="shared" si="382"/>
        <v>3.0614868173794219E-2</v>
      </c>
      <c r="AS664" s="784" t="str">
        <f t="shared" si="383"/>
        <v>No</v>
      </c>
      <c r="AT664" s="801">
        <f>IF(ISNUMBER('Base de datos Rutas'!CK662),'Base de datos Rutas'!CK662,"")</f>
        <v>192</v>
      </c>
      <c r="AU664" s="802">
        <f>IF(ISNUMBER('Base de datos Rutas'!CL662),'Base de datos Rutas'!CL662,"")</f>
        <v>266.25</v>
      </c>
      <c r="AV664" s="802">
        <f>IF(ISNUMBER('Base de datos Rutas'!CM662),'Base de datos Rutas'!CM662,"")</f>
        <v>74.25</v>
      </c>
      <c r="AW664" s="802">
        <f>IF(ISNUMBER('Base de datos Rutas'!CN662),'Base de datos Rutas'!CN662,"")</f>
        <v>5.07</v>
      </c>
      <c r="AX664" s="802">
        <f>IF(ISNUMBER('Base de datos Rutas'!CO662),'Base de datos Rutas'!CO662,"")</f>
        <v>9.4499999999999993</v>
      </c>
      <c r="AY664" s="802">
        <f>IF(ISNUMBER('Base de datos Rutas'!CP662),'Base de datos Rutas'!CP662,"")</f>
        <v>4.379999999999999</v>
      </c>
      <c r="AZ664" s="802">
        <f>IF(ISNUMBER('Base de datos Rutas'!CQ662),'Base de datos Rutas'!CQ662,"")</f>
        <v>564.37</v>
      </c>
      <c r="BA664" s="802">
        <f>IF(ISNUMBER('Base de datos Rutas'!CR662),'Base de datos Rutas'!CR662,"")</f>
        <v>337.38</v>
      </c>
      <c r="BB664" s="803">
        <f>IF(ISNUMBER('Base de datos Rutas'!CS662),'Base de datos Rutas'!CS662,"")</f>
        <v>226.99</v>
      </c>
      <c r="BC664" s="804">
        <f t="shared" si="393"/>
        <v>0</v>
      </c>
      <c r="BD664" s="805" t="str">
        <f t="shared" si="394"/>
        <v>No saturada</v>
      </c>
      <c r="BE664" s="806">
        <f t="shared" si="395"/>
        <v>0.59779931605152647</v>
      </c>
      <c r="BF664" s="890">
        <f>IF(ISNUMBER('Base de datos Rutas'!CX662),'Base de datos Rutas'!CX662/100,"")</f>
        <v>9.6754613143412105E-2</v>
      </c>
      <c r="BG664" s="891">
        <f>IF(ISNUMBER('Base de datos Rutas'!CZ662),'Base de datos Rutas'!CZ662/100,"")</f>
        <v>0.10877306571706054</v>
      </c>
      <c r="BH664" s="892">
        <f>IF(ISNUMBER('Base de datos Rutas'!DA662),'Base de datos Rutas'!DA662,"")</f>
        <v>174.38863289215882</v>
      </c>
      <c r="BI664" s="893">
        <f>IF(ISNUMBER('Base de datos Rutas'!DC662),'Base de datos Rutas'!DC662,"")</f>
        <v>7.8459706505657962</v>
      </c>
      <c r="BJ664" s="805" t="str">
        <f t="shared" si="396"/>
        <v>Ruta (completo)</v>
      </c>
      <c r="BK664" s="783">
        <f t="shared" si="384"/>
        <v>2</v>
      </c>
      <c r="BL664" s="797">
        <f t="shared" si="385"/>
        <v>2</v>
      </c>
      <c r="BM664" s="797">
        <f t="shared" si="386"/>
        <v>3</v>
      </c>
      <c r="BN664" s="797">
        <f t="shared" si="387"/>
        <v>3</v>
      </c>
      <c r="BO664" s="798" cm="1">
        <f t="array" ref="BO664">SUMPRODUCT(--ISNUMBER($BF664:$BI664),$BK$3:$BN$3)</f>
        <v>1</v>
      </c>
      <c r="BP664" s="831">
        <f t="shared" si="397"/>
        <v>37.5</v>
      </c>
      <c r="BQ664" s="834" t="str">
        <f t="shared" si="398"/>
        <v>Medio</v>
      </c>
      <c r="BR664" s="836">
        <f t="shared" si="388"/>
        <v>11.796702567192368</v>
      </c>
      <c r="BS664" s="836">
        <f t="shared" si="389"/>
        <v>37.5</v>
      </c>
      <c r="BT664" s="837" t="str">
        <f t="shared" si="390"/>
        <v>P4</v>
      </c>
      <c r="BU664" s="807" t="str">
        <f t="shared" si="399"/>
        <v>Con espacio</v>
      </c>
      <c r="BV664" s="807" t="str">
        <f t="shared" si="391"/>
        <v>Zona de bajo potencial</v>
      </c>
      <c r="BW664" s="808" t="str">
        <f t="shared" si="392"/>
        <v>P4 - Evaluar</v>
      </c>
    </row>
    <row r="665" spans="1:75">
      <c r="A665" s="780" t="str">
        <f>'Base de datos Rutas'!A663</f>
        <v>Occidente</v>
      </c>
      <c r="B665" s="781" t="str">
        <f>'Base de datos Rutas'!B663</f>
        <v>Los Altos</v>
      </c>
      <c r="C665" s="781" t="str">
        <f>'Base de datos Rutas'!C663</f>
        <v>Planta Los Altos</v>
      </c>
      <c r="D665" s="782">
        <f>IF(ISNUMBER('Base de datos Rutas'!D663),'Base de datos Rutas'!D663,"Sin código")</f>
        <v>831402</v>
      </c>
      <c r="E665" s="783" t="str">
        <f>'Base de datos Rutas'!F663</f>
        <v>Activa</v>
      </c>
      <c r="F665" s="784" t="str">
        <f>'Base de datos Rutas'!H663</f>
        <v>Sí</v>
      </c>
      <c r="G665" s="785">
        <f>IF(ISNUMBER('Base de datos Rutas'!BE663),'Base de datos Rutas'!BE663,"")</f>
        <v>54.163218390804602</v>
      </c>
      <c r="H665" s="786">
        <f>IF(ISNUMBER('Base de datos Rutas'!BH663),'Base de datos Rutas'!BH663,"")</f>
        <v>0.751029243240949</v>
      </c>
      <c r="I665" s="788">
        <f>IFERROR(IF(OR(NOT(ISNUMBER('Base de datos Rutas'!O663)),N('Base de datos Rutas'!BK663)=0),"",'Base de datos Rutas'!O663/('Base de datos Rutas'!L663/'Base de datos Rutas'!BK663)),"")</f>
        <v>6096.7379310344841</v>
      </c>
      <c r="J665" s="788">
        <f>IFERROR(IF(OR(NOT(ISNUMBER('Base de datos Rutas'!N663)),N('Base de datos Rutas'!BK663)=0),"",'Base de datos Rutas'!N663/('Base de datos Rutas'!L663/'Base de datos Rutas'!BK663)),"")</f>
        <v>8374.6827586206909</v>
      </c>
      <c r="K665" s="788">
        <f>IFERROR(IF(OR(NOT(ISNUMBER('Base de datos Rutas'!J663)),N('Base de datos Rutas'!BK663)=0),"",'Base de datos Rutas'!J663/('Base de datos Rutas'!L663/'Base de datos Rutas'!BK663)),"")</f>
        <v>580.3214731034484</v>
      </c>
      <c r="L665" s="788">
        <f>IFERROR(IF(OR(NOT(ISNUMBER('Base de datos Rutas'!K663)),N('Base de datos Rutas'!BK663)=0),"",'Base de datos Rutas'!K663/('Base de datos Rutas'!L663/'Base de datos Rutas'!BK663)),"")</f>
        <v>39.569454082758632</v>
      </c>
      <c r="M665" s="787">
        <f>IF(ISNUMBER('Base de datos Rutas'!AX663),'Base de datos Rutas'!AX663,"")</f>
        <v>355.75402260525601</v>
      </c>
      <c r="N665" s="790">
        <f>IFERROR(INDEX('Hoja de apoyo v2'!B$17:B$20,MATCH($A665,'Hoja de apoyo v2'!$A$17:$A$20,0)),"")</f>
        <v>89.41621024641401</v>
      </c>
      <c r="O665" s="791">
        <f>IFERROR(INDEX('Hoja de apoyo v2'!C$17:C$20,MATCH($A665,'Hoja de apoyo v2'!$A$17:$A$20,0)),"")</f>
        <v>0.54706375874806301</v>
      </c>
      <c r="P665" s="793">
        <f>IFERROR(INDEX('Hoja de apoyo v2'!D$17:D$20,MATCH($A665,'Hoja de apoyo v2'!$A$17:$A$20,0)),"")</f>
        <v>11095.153935793827</v>
      </c>
      <c r="Q665" s="793">
        <f>IFERROR(INDEX('Hoja de apoyo v2'!E$17:E$20,MATCH($A665,'Hoja de apoyo v2'!$A$17:$A$20,0)),"")</f>
        <v>6982.3202019701848</v>
      </c>
      <c r="R665" s="793">
        <f>IFERROR(INDEX('Hoja de apoyo v2'!F$17:F$20,MATCH($A665,'Hoja de apoyo v2'!$A$17:$A$20,0)),"")</f>
        <v>448.09513474485743</v>
      </c>
      <c r="S665" s="793">
        <f>IFERROR(INDEX('Hoja de apoyo v2'!G$17:G$20,MATCH($A665,'Hoja de apoyo v2'!$A$17:$A$20,0)),"")</f>
        <v>83.406300904207839</v>
      </c>
      <c r="T665" s="792">
        <f>IFERROR(INDEX('Hoja de apoyo v2'!H$17:H$20,MATCH($A665,'Hoja de apoyo v2'!$A$17:$A$20,0)),"")</f>
        <v>378.97014028925349</v>
      </c>
      <c r="U665" s="794">
        <f t="shared" si="364"/>
        <v>0.60574271982161965</v>
      </c>
      <c r="V665" s="795">
        <f t="shared" si="365"/>
        <v>1.3728367694464976</v>
      </c>
      <c r="W665" s="795">
        <f t="shared" si="366"/>
        <v>0.54949556953562717</v>
      </c>
      <c r="X665" s="843">
        <f t="shared" si="367"/>
        <v>1.1994125901383936</v>
      </c>
      <c r="Y665" s="843">
        <f t="shared" si="368"/>
        <v>1.2950854140245907</v>
      </c>
      <c r="Z665" s="843">
        <f t="shared" si="369"/>
        <v>0.47441804340662658</v>
      </c>
      <c r="AA665" s="843">
        <f t="shared" si="370"/>
        <v>0.93873892632734202</v>
      </c>
      <c r="AB665" s="796">
        <f t="shared" si="371"/>
        <v>2</v>
      </c>
      <c r="AC665" s="797">
        <f t="shared" si="372"/>
        <v>5</v>
      </c>
      <c r="AD665" s="797">
        <f t="shared" si="373"/>
        <v>2</v>
      </c>
      <c r="AE665" s="842">
        <f t="shared" si="374"/>
        <v>4</v>
      </c>
      <c r="AF665" s="842">
        <f t="shared" si="375"/>
        <v>5</v>
      </c>
      <c r="AG665" s="842">
        <f t="shared" si="376"/>
        <v>1</v>
      </c>
      <c r="AH665" s="842">
        <f t="shared" si="377"/>
        <v>3</v>
      </c>
      <c r="AI665" s="826" cm="1">
        <f t="array" ref="AI665">SUMPRODUCT(--ISNUMBER($U665:$AA665),$AB$3:$AH$3)</f>
        <v>1</v>
      </c>
      <c r="AJ665" s="829">
        <f t="shared" si="378"/>
        <v>45.60140665849508</v>
      </c>
      <c r="AK665" s="827" t="str">
        <f t="shared" si="379"/>
        <v>En desarrollo</v>
      </c>
      <c r="AL665" s="784" t="str">
        <f t="shared" si="380"/>
        <v>Alta</v>
      </c>
      <c r="AM665" s="799">
        <f>IF(ISNUMBER('Base de datos Rutas'!W663),'Base de datos Rutas'!W663,"")</f>
        <v>3091.5774734715137</v>
      </c>
      <c r="AN665" s="787">
        <f>IFERROR(SUMIFS('Base de datos Rutas'!$W$6:$W$794,'Base de datos Rutas'!$C$6:$C$794,$C665)/'Base de datos Rutas'!I663,"")</f>
        <v>3091.5774734715137</v>
      </c>
      <c r="AO665" s="800">
        <f>IFERROR('Base de datos Rutas'!X663*AN665/AM665,"")</f>
        <v>0.32618239134139693</v>
      </c>
      <c r="AP665" s="800">
        <f t="shared" si="381"/>
        <v>0.67381760865860307</v>
      </c>
      <c r="AQ665" s="789">
        <f>IFERROR(INDEX('Hoja de apoyo v2'!$J$17:$J$20,MATCH($A665,'Hoja de apoyo v2'!$A$17:$A$20,0)),"")</f>
        <v>0.64320274048480885</v>
      </c>
      <c r="AR665" s="789">
        <f t="shared" si="382"/>
        <v>3.0614868173794219E-2</v>
      </c>
      <c r="AS665" s="784" t="str">
        <f t="shared" si="383"/>
        <v>No</v>
      </c>
      <c r="AT665" s="801">
        <f>IF(ISNUMBER('Base de datos Rutas'!CK663),'Base de datos Rutas'!CK663,"")</f>
        <v>303</v>
      </c>
      <c r="AU665" s="802">
        <f>IF(ISNUMBER('Base de datos Rutas'!CL663),'Base de datos Rutas'!CL663,"")</f>
        <v>409.95</v>
      </c>
      <c r="AV665" s="802">
        <f>IF(ISNUMBER('Base de datos Rutas'!CM663),'Base de datos Rutas'!CM663,"")</f>
        <v>106.94999999999999</v>
      </c>
      <c r="AW665" s="802">
        <f>IF(ISNUMBER('Base de datos Rutas'!CN663),'Base de datos Rutas'!CN663,"")</f>
        <v>4.18</v>
      </c>
      <c r="AX665" s="802">
        <f>IF(ISNUMBER('Base de datos Rutas'!CO663),'Base de datos Rutas'!CO663,"")</f>
        <v>9.4499999999999993</v>
      </c>
      <c r="AY665" s="802">
        <f>IF(ISNUMBER('Base de datos Rutas'!CP663),'Base de datos Rutas'!CP663,"")</f>
        <v>5.27</v>
      </c>
      <c r="AZ665" s="802">
        <f>IF(ISNUMBER('Base de datos Rutas'!CQ663),'Base de datos Rutas'!CQ663,"")</f>
        <v>846.56</v>
      </c>
      <c r="BA665" s="802">
        <f>IF(ISNUMBER('Base de datos Rutas'!CR663),'Base de datos Rutas'!CR663,"")</f>
        <v>619.89</v>
      </c>
      <c r="BB665" s="803">
        <f>IF(ISNUMBER('Base de datos Rutas'!CS663),'Base de datos Rutas'!CS663,"")</f>
        <v>226.66999999999996</v>
      </c>
      <c r="BC665" s="804">
        <f t="shared" si="393"/>
        <v>0</v>
      </c>
      <c r="BD665" s="805" t="str">
        <f t="shared" si="394"/>
        <v>No saturada</v>
      </c>
      <c r="BE665" s="806">
        <f t="shared" si="395"/>
        <v>0.73224579474579476</v>
      </c>
      <c r="BF665" s="890">
        <f>IF(ISNUMBER('Base de datos Rutas'!CX663),'Base de datos Rutas'!CX663/100,"")</f>
        <v>0.19207849784848091</v>
      </c>
      <c r="BG665" s="891">
        <f>IF(ISNUMBER('Base de datos Rutas'!CZ663),'Base de datos Rutas'!CZ663/100,"")</f>
        <v>0.20602425348806885</v>
      </c>
      <c r="BH665" s="892">
        <f>IF(ISNUMBER('Base de datos Rutas'!DA663),'Base de datos Rutas'!DA663,"")</f>
        <v>262.12624823976495</v>
      </c>
      <c r="BI665" s="893">
        <f>IF(ISNUMBER('Base de datos Rutas'!DC663),'Base de datos Rutas'!DC663,"")</f>
        <v>10.329081334113516</v>
      </c>
      <c r="BJ665" s="805" t="str">
        <f t="shared" si="396"/>
        <v>Ruta (completo)</v>
      </c>
      <c r="BK665" s="783">
        <f t="shared" si="384"/>
        <v>4</v>
      </c>
      <c r="BL665" s="797">
        <f t="shared" si="385"/>
        <v>3</v>
      </c>
      <c r="BM665" s="797">
        <f t="shared" si="386"/>
        <v>4</v>
      </c>
      <c r="BN665" s="797">
        <f t="shared" si="387"/>
        <v>4</v>
      </c>
      <c r="BO665" s="798" cm="1">
        <f t="array" ref="BO665">SUMPRODUCT(--ISNUMBER($BF665:$BI665),$BK$3:$BN$3)</f>
        <v>1</v>
      </c>
      <c r="BP665" s="831">
        <f t="shared" si="397"/>
        <v>68.75</v>
      </c>
      <c r="BQ665" s="834" t="str">
        <f t="shared" si="398"/>
        <v>Alto</v>
      </c>
      <c r="BR665" s="836">
        <f t="shared" si="388"/>
        <v>34.20105499387131</v>
      </c>
      <c r="BS665" s="836">
        <f t="shared" si="389"/>
        <v>68.75</v>
      </c>
      <c r="BT665" s="837" t="str">
        <f t="shared" si="390"/>
        <v>P1</v>
      </c>
      <c r="BU665" s="807" t="str">
        <f t="shared" si="399"/>
        <v>Con espacio</v>
      </c>
      <c r="BV665" s="807" t="str">
        <f t="shared" si="391"/>
        <v>Zona atractiva</v>
      </c>
      <c r="BW665" s="808" t="str">
        <f t="shared" si="392"/>
        <v>P1 - Ampliar cobertura</v>
      </c>
    </row>
    <row r="666" spans="1:75">
      <c r="A666" s="780" t="str">
        <f>'Base de datos Rutas'!A664</f>
        <v>Occidente</v>
      </c>
      <c r="B666" s="781" t="str">
        <f>'Base de datos Rutas'!B664</f>
        <v>Los Altos</v>
      </c>
      <c r="C666" s="781" t="str">
        <f>'Base de datos Rutas'!C664</f>
        <v>Planta Los Altos</v>
      </c>
      <c r="D666" s="782">
        <f>IF(ISNUMBER('Base de datos Rutas'!D664),'Base de datos Rutas'!D664,"Sin código")</f>
        <v>831403</v>
      </c>
      <c r="E666" s="783" t="str">
        <f>'Base de datos Rutas'!F664</f>
        <v>Activa</v>
      </c>
      <c r="F666" s="784" t="str">
        <f>'Base de datos Rutas'!H664</f>
        <v>Sí</v>
      </c>
      <c r="G666" s="785">
        <f>IF(ISNUMBER('Base de datos Rutas'!BE664),'Base de datos Rutas'!BE664,"")</f>
        <v>50.761020881670497</v>
      </c>
      <c r="H666" s="786">
        <f>IF(ISNUMBER('Base de datos Rutas'!BH664),'Base de datos Rutas'!BH664,"")</f>
        <v>0.56746503336685294</v>
      </c>
      <c r="I666" s="788">
        <f>IFERROR(IF(OR(NOT(ISNUMBER('Base de datos Rutas'!O664)),N('Base de datos Rutas'!BK664)=0),"",'Base de datos Rutas'!O664/('Base de datos Rutas'!L664/'Base de datos Rutas'!BK664)),"")</f>
        <v>3216.8445475638032</v>
      </c>
      <c r="J666" s="788">
        <f>IFERROR(IF(OR(NOT(ISNUMBER('Base de datos Rutas'!N664)),N('Base de datos Rutas'!BK664)=0),"",'Base de datos Rutas'!N664/('Base de datos Rutas'!L664/'Base de datos Rutas'!BK664)),"")</f>
        <v>5839.2389791183268</v>
      </c>
      <c r="K666" s="788">
        <f>IFERROR(IF(OR(NOT(ISNUMBER('Base de datos Rutas'!J664)),N('Base de datos Rutas'!BK664)=0),"",'Base de datos Rutas'!J664/('Base de datos Rutas'!L664/'Base de datos Rutas'!BK664)),"")</f>
        <v>410.06816430626429</v>
      </c>
      <c r="L666" s="788">
        <f>IFERROR(IF(OR(NOT(ISNUMBER('Base de datos Rutas'!K664)),N('Base de datos Rutas'!BK664)=0),"",'Base de datos Rutas'!K664/('Base de datos Rutas'!L664/'Base de datos Rutas'!BK664)),"")</f>
        <v>23.839837470997669</v>
      </c>
      <c r="M666" s="787">
        <f>IF(ISNUMBER('Base de datos Rutas'!AX664),'Base de datos Rutas'!AX664,"")</f>
        <v>314.280340716875</v>
      </c>
      <c r="N666" s="790">
        <f>IFERROR(INDEX('Hoja de apoyo v2'!B$17:B$20,MATCH($A666,'Hoja de apoyo v2'!$A$17:$A$20,0)),"")</f>
        <v>89.41621024641401</v>
      </c>
      <c r="O666" s="791">
        <f>IFERROR(INDEX('Hoja de apoyo v2'!C$17:C$20,MATCH($A666,'Hoja de apoyo v2'!$A$17:$A$20,0)),"")</f>
        <v>0.54706375874806301</v>
      </c>
      <c r="P666" s="793">
        <f>IFERROR(INDEX('Hoja de apoyo v2'!D$17:D$20,MATCH($A666,'Hoja de apoyo v2'!$A$17:$A$20,0)),"")</f>
        <v>11095.153935793827</v>
      </c>
      <c r="Q666" s="793">
        <f>IFERROR(INDEX('Hoja de apoyo v2'!E$17:E$20,MATCH($A666,'Hoja de apoyo v2'!$A$17:$A$20,0)),"")</f>
        <v>6982.3202019701848</v>
      </c>
      <c r="R666" s="793">
        <f>IFERROR(INDEX('Hoja de apoyo v2'!F$17:F$20,MATCH($A666,'Hoja de apoyo v2'!$A$17:$A$20,0)),"")</f>
        <v>448.09513474485743</v>
      </c>
      <c r="S666" s="793">
        <f>IFERROR(INDEX('Hoja de apoyo v2'!G$17:G$20,MATCH($A666,'Hoja de apoyo v2'!$A$17:$A$20,0)),"")</f>
        <v>83.406300904207839</v>
      </c>
      <c r="T666" s="792">
        <f>IFERROR(INDEX('Hoja de apoyo v2'!H$17:H$20,MATCH($A666,'Hoja de apoyo v2'!$A$17:$A$20,0)),"")</f>
        <v>378.97014028925349</v>
      </c>
      <c r="U666" s="794">
        <f t="shared" si="364"/>
        <v>0.56769371841842564</v>
      </c>
      <c r="V666" s="795">
        <f t="shared" si="365"/>
        <v>1.037292316101285</v>
      </c>
      <c r="W666" s="795">
        <f t="shared" si="366"/>
        <v>0.28993239446511987</v>
      </c>
      <c r="X666" s="843">
        <f t="shared" si="367"/>
        <v>0.83628920046815991</v>
      </c>
      <c r="Y666" s="843">
        <f t="shared" si="368"/>
        <v>0.91513639071255382</v>
      </c>
      <c r="Z666" s="843">
        <f t="shared" si="369"/>
        <v>0.28582777575015261</v>
      </c>
      <c r="AA666" s="843">
        <f t="shared" si="370"/>
        <v>0.82930106439783557</v>
      </c>
      <c r="AB666" s="796">
        <f t="shared" si="371"/>
        <v>2</v>
      </c>
      <c r="AC666" s="797">
        <f t="shared" si="372"/>
        <v>4</v>
      </c>
      <c r="AD666" s="797">
        <f t="shared" si="373"/>
        <v>1</v>
      </c>
      <c r="AE666" s="842">
        <f t="shared" si="374"/>
        <v>3</v>
      </c>
      <c r="AF666" s="842">
        <f t="shared" si="375"/>
        <v>3</v>
      </c>
      <c r="AG666" s="842">
        <f t="shared" si="376"/>
        <v>1</v>
      </c>
      <c r="AH666" s="842">
        <f t="shared" si="377"/>
        <v>3</v>
      </c>
      <c r="AI666" s="826" cm="1">
        <f t="array" ref="AI666">SUMPRODUCT(--ISNUMBER($U666:$AA666),$AB$3:$AH$3)</f>
        <v>1</v>
      </c>
      <c r="AJ666" s="829">
        <f t="shared" si="378"/>
        <v>28.842792932978291</v>
      </c>
      <c r="AK666" s="827" t="str">
        <f t="shared" si="379"/>
        <v>Inmadura</v>
      </c>
      <c r="AL666" s="784" t="str">
        <f t="shared" si="380"/>
        <v>Alta</v>
      </c>
      <c r="AM666" s="799">
        <f>IF(ISNUMBER('Base de datos Rutas'!W664),'Base de datos Rutas'!W664,"")</f>
        <v>3091.5774734715137</v>
      </c>
      <c r="AN666" s="787">
        <f>IFERROR(SUMIFS('Base de datos Rutas'!$W$6:$W$794,'Base de datos Rutas'!$C$6:$C$794,$C666)/'Base de datos Rutas'!I664,"")</f>
        <v>3091.5774734715137</v>
      </c>
      <c r="AO666" s="800">
        <f>IFERROR('Base de datos Rutas'!X664*AN666/AM666,"")</f>
        <v>0.32618239134139693</v>
      </c>
      <c r="AP666" s="800">
        <f t="shared" si="381"/>
        <v>0.67381760865860307</v>
      </c>
      <c r="AQ666" s="789">
        <f>IFERROR(INDEX('Hoja de apoyo v2'!$J$17:$J$20,MATCH($A666,'Hoja de apoyo v2'!$A$17:$A$20,0)),"")</f>
        <v>0.64320274048480885</v>
      </c>
      <c r="AR666" s="789">
        <f t="shared" si="382"/>
        <v>3.0614868173794219E-2</v>
      </c>
      <c r="AS666" s="784" t="str">
        <f t="shared" si="383"/>
        <v>No</v>
      </c>
      <c r="AT666" s="801">
        <f>IF(ISNUMBER('Base de datos Rutas'!CK664),'Base de datos Rutas'!CK664,"")</f>
        <v>327</v>
      </c>
      <c r="AU666" s="802">
        <f>IF(ISNUMBER('Base de datos Rutas'!CL664),'Base de datos Rutas'!CL664,"")</f>
        <v>413.73</v>
      </c>
      <c r="AV666" s="802">
        <f>IF(ISNUMBER('Base de datos Rutas'!CM664),'Base de datos Rutas'!CM664,"")</f>
        <v>86.730000000000018</v>
      </c>
      <c r="AW666" s="802">
        <f>IF(ISNUMBER('Base de datos Rutas'!CN664),'Base de datos Rutas'!CN664,"")</f>
        <v>10.199999999999999</v>
      </c>
      <c r="AX666" s="802">
        <f>IF(ISNUMBER('Base de datos Rutas'!CO664),'Base de datos Rutas'!CO664,"")</f>
        <v>9.4499999999999993</v>
      </c>
      <c r="AY666" s="802">
        <f>IF(ISNUMBER('Base de datos Rutas'!CP664),'Base de datos Rutas'!CP664,"")</f>
        <v>-0.75</v>
      </c>
      <c r="AZ666" s="802">
        <f>IF(ISNUMBER('Base de datos Rutas'!CQ664),'Base de datos Rutas'!CQ664,"")</f>
        <v>846.56</v>
      </c>
      <c r="BA666" s="802">
        <f>IF(ISNUMBER('Base de datos Rutas'!CR664),'Base de datos Rutas'!CR664,"")</f>
        <v>433.91</v>
      </c>
      <c r="BB666" s="803">
        <f>IF(ISNUMBER('Base de datos Rutas'!CS664),'Base de datos Rutas'!CS664,"")</f>
        <v>412.64999999999992</v>
      </c>
      <c r="BC666" s="804">
        <f t="shared" si="393"/>
        <v>1</v>
      </c>
      <c r="BD666" s="805" t="str">
        <f t="shared" si="394"/>
        <v>Saturada</v>
      </c>
      <c r="BE666" s="806">
        <f t="shared" si="395"/>
        <v>0.51255670005670007</v>
      </c>
      <c r="BF666" s="890">
        <f>IF(ISNUMBER('Base de datos Rutas'!CX664),'Base de datos Rutas'!CX664/100,"")</f>
        <v>0.1893786521231009</v>
      </c>
      <c r="BG666" s="891">
        <f>IF(ISNUMBER('Base de datos Rutas'!CZ664),'Base de datos Rutas'!CZ664/100,"")</f>
        <v>0.20627191273860535</v>
      </c>
      <c r="BH666" s="892">
        <f>IF(ISNUMBER('Base de datos Rutas'!DA664),'Base de datos Rutas'!DA664,"")</f>
        <v>159.92565407519641</v>
      </c>
      <c r="BI666" s="893">
        <f>IF(ISNUMBER('Base de datos Rutas'!DC664),'Base de datos Rutas'!DC664,"")</f>
        <v>6.9439790987084189</v>
      </c>
      <c r="BJ666" s="805" t="str">
        <f t="shared" si="396"/>
        <v>Ruta (completo)</v>
      </c>
      <c r="BK666" s="783">
        <f t="shared" si="384"/>
        <v>3</v>
      </c>
      <c r="BL666" s="797">
        <f t="shared" si="385"/>
        <v>4</v>
      </c>
      <c r="BM666" s="797">
        <f t="shared" si="386"/>
        <v>1</v>
      </c>
      <c r="BN666" s="797">
        <f t="shared" si="387"/>
        <v>1</v>
      </c>
      <c r="BO666" s="798" cm="1">
        <f t="array" ref="BO666">SUMPRODUCT(--ISNUMBER($BF666:$BI666),$BK$3:$BN$3)</f>
        <v>1</v>
      </c>
      <c r="BP666" s="831">
        <f t="shared" si="397"/>
        <v>31.25</v>
      </c>
      <c r="BQ666" s="834" t="str">
        <f t="shared" si="398"/>
        <v>Medio</v>
      </c>
      <c r="BR666" s="836">
        <f t="shared" si="388"/>
        <v>46.63209469973372</v>
      </c>
      <c r="BS666" s="836">
        <f t="shared" si="389"/>
        <v>31.25</v>
      </c>
      <c r="BT666" s="837" t="str">
        <f t="shared" si="390"/>
        <v>P2</v>
      </c>
      <c r="BU666" s="807" t="str">
        <f t="shared" si="399"/>
        <v>Al tope</v>
      </c>
      <c r="BV666" s="807" t="str">
        <f t="shared" si="391"/>
        <v>Zona de bajo potencial</v>
      </c>
      <c r="BW666" s="808" t="str">
        <f t="shared" si="392"/>
        <v>P2 - Mantener</v>
      </c>
    </row>
    <row r="667" spans="1:75">
      <c r="A667" s="780" t="str">
        <f>'Base de datos Rutas'!A665</f>
        <v>Occidente</v>
      </c>
      <c r="B667" s="781" t="str">
        <f>'Base de datos Rutas'!B665</f>
        <v>Zapopan</v>
      </c>
      <c r="C667" s="781" t="str">
        <f>'Base de datos Rutas'!C665</f>
        <v>Suc. Ameca</v>
      </c>
      <c r="D667" s="782">
        <f>IF(ISNUMBER('Base de datos Rutas'!D665),'Base de datos Rutas'!D665,"Sin código")</f>
        <v>821401</v>
      </c>
      <c r="E667" s="783" t="str">
        <f>'Base de datos Rutas'!F665</f>
        <v>Activa</v>
      </c>
      <c r="F667" s="784" t="str">
        <f>'Base de datos Rutas'!H665</f>
        <v>Sí</v>
      </c>
      <c r="G667" s="785">
        <f>IF(ISNUMBER('Base de datos Rutas'!BE665),'Base de datos Rutas'!BE665,"")</f>
        <v>59.714285714285701</v>
      </c>
      <c r="H667" s="786">
        <f>IF(ISNUMBER('Base de datos Rutas'!BH665),'Base de datos Rutas'!BH665,"")</f>
        <v>0.71691836124401898</v>
      </c>
      <c r="I667" s="788">
        <f>IFERROR(IF(OR(NOT(ISNUMBER('Base de datos Rutas'!O665)),N('Base de datos Rutas'!BK665)=0),"",'Base de datos Rutas'!O665/('Base de datos Rutas'!L665/'Base de datos Rutas'!BK665)),"")</f>
        <v>4527.6674107142817</v>
      </c>
      <c r="J667" s="788">
        <f>IFERROR(IF(OR(NOT(ISNUMBER('Base de datos Rutas'!N665)),N('Base de datos Rutas'!BK665)=0),"",'Base de datos Rutas'!N665/('Base de datos Rutas'!L665/'Base de datos Rutas'!BK665)),"")</f>
        <v>10144.261160714277</v>
      </c>
      <c r="K667" s="788">
        <f>IFERROR(IF(OR(NOT(ISNUMBER('Base de datos Rutas'!J665)),N('Base de datos Rutas'!BK665)=0),"",'Base de datos Rutas'!J665/('Base de datos Rutas'!L665/'Base de datos Rutas'!BK665)),"")</f>
        <v>696.5432779999993</v>
      </c>
      <c r="L667" s="788">
        <f>IFERROR(IF(OR(NOT(ISNUMBER('Base de datos Rutas'!K665)),N('Base de datos Rutas'!BK665)=0),"",'Base de datos Rutas'!K665/('Base de datos Rutas'!L665/'Base de datos Rutas'!BK665)),"")</f>
        <v>44.494589790178537</v>
      </c>
      <c r="M667" s="787">
        <f>IF(ISNUMBER('Base de datos Rutas'!AX665),'Base de datos Rutas'!AX665,"")</f>
        <v>342.71983940768598</v>
      </c>
      <c r="N667" s="790">
        <f>IFERROR(INDEX('Hoja de apoyo v2'!B$17:B$20,MATCH($A667,'Hoja de apoyo v2'!$A$17:$A$20,0)),"")</f>
        <v>89.41621024641401</v>
      </c>
      <c r="O667" s="791">
        <f>IFERROR(INDEX('Hoja de apoyo v2'!C$17:C$20,MATCH($A667,'Hoja de apoyo v2'!$A$17:$A$20,0)),"")</f>
        <v>0.54706375874806301</v>
      </c>
      <c r="P667" s="793">
        <f>IFERROR(INDEX('Hoja de apoyo v2'!D$17:D$20,MATCH($A667,'Hoja de apoyo v2'!$A$17:$A$20,0)),"")</f>
        <v>11095.153935793827</v>
      </c>
      <c r="Q667" s="793">
        <f>IFERROR(INDEX('Hoja de apoyo v2'!E$17:E$20,MATCH($A667,'Hoja de apoyo v2'!$A$17:$A$20,0)),"")</f>
        <v>6982.3202019701848</v>
      </c>
      <c r="R667" s="793">
        <f>IFERROR(INDEX('Hoja de apoyo v2'!F$17:F$20,MATCH($A667,'Hoja de apoyo v2'!$A$17:$A$20,0)),"")</f>
        <v>448.09513474485743</v>
      </c>
      <c r="S667" s="793">
        <f>IFERROR(INDEX('Hoja de apoyo v2'!G$17:G$20,MATCH($A667,'Hoja de apoyo v2'!$A$17:$A$20,0)),"")</f>
        <v>83.406300904207839</v>
      </c>
      <c r="T667" s="792">
        <f>IFERROR(INDEX('Hoja de apoyo v2'!H$17:H$20,MATCH($A667,'Hoja de apoyo v2'!$A$17:$A$20,0)),"")</f>
        <v>378.97014028925349</v>
      </c>
      <c r="U667" s="794">
        <f t="shared" si="364"/>
        <v>0.66782393874359613</v>
      </c>
      <c r="V667" s="795">
        <f t="shared" si="365"/>
        <v>1.3104841067970989</v>
      </c>
      <c r="W667" s="795">
        <f t="shared" si="366"/>
        <v>0.40807612376676228</v>
      </c>
      <c r="X667" s="843">
        <f t="shared" si="367"/>
        <v>1.452849606904578</v>
      </c>
      <c r="Y667" s="843">
        <f t="shared" si="368"/>
        <v>1.5544540076218563</v>
      </c>
      <c r="Z667" s="843">
        <f t="shared" si="369"/>
        <v>0.53346796714172218</v>
      </c>
      <c r="AA667" s="843">
        <f t="shared" si="370"/>
        <v>0.90434523191220539</v>
      </c>
      <c r="AB667" s="796">
        <f t="shared" si="371"/>
        <v>2</v>
      </c>
      <c r="AC667" s="797">
        <f t="shared" si="372"/>
        <v>5</v>
      </c>
      <c r="AD667" s="797">
        <f t="shared" si="373"/>
        <v>1</v>
      </c>
      <c r="AE667" s="842">
        <f t="shared" si="374"/>
        <v>5</v>
      </c>
      <c r="AF667" s="842">
        <f t="shared" si="375"/>
        <v>5</v>
      </c>
      <c r="AG667" s="842">
        <f t="shared" si="376"/>
        <v>2</v>
      </c>
      <c r="AH667" s="842">
        <f t="shared" si="377"/>
        <v>3</v>
      </c>
      <c r="AI667" s="826" cm="1">
        <f t="array" ref="AI667">SUMPRODUCT(--ISNUMBER($U667:$AA667),$AB$3:$AH$3)</f>
        <v>1</v>
      </c>
      <c r="AJ667" s="829">
        <f t="shared" si="378"/>
        <v>48.285749603445417</v>
      </c>
      <c r="AK667" s="827" t="str">
        <f t="shared" si="379"/>
        <v>En desarrollo</v>
      </c>
      <c r="AL667" s="784" t="str">
        <f t="shared" si="380"/>
        <v>Alta</v>
      </c>
      <c r="AM667" s="799">
        <f>IF(ISNUMBER('Base de datos Rutas'!W665),'Base de datos Rutas'!W665,"")</f>
        <v>3238.9979368526369</v>
      </c>
      <c r="AN667" s="787">
        <f>IFERROR(SUMIFS('Base de datos Rutas'!$W$6:$W$794,'Base de datos Rutas'!$C$6:$C$794,$C667)/'Base de datos Rutas'!I665,"")</f>
        <v>3238.9979368526369</v>
      </c>
      <c r="AO667" s="800">
        <f>IFERROR('Base de datos Rutas'!X665*AN667/AM667,"")</f>
        <v>0.38586338835715028</v>
      </c>
      <c r="AP667" s="800">
        <f t="shared" si="381"/>
        <v>0.61413661164284972</v>
      </c>
      <c r="AQ667" s="789">
        <f>IFERROR(INDEX('Hoja de apoyo v2'!$J$17:$J$20,MATCH($A667,'Hoja de apoyo v2'!$A$17:$A$20,0)),"")</f>
        <v>0.64320274048480885</v>
      </c>
      <c r="AR667" s="789">
        <f t="shared" si="382"/>
        <v>-2.9066128841959138E-2</v>
      </c>
      <c r="AS667" s="784" t="str">
        <f t="shared" si="383"/>
        <v>No</v>
      </c>
      <c r="AT667" s="801">
        <f>IF(ISNUMBER('Base de datos Rutas'!CK665),'Base de datos Rutas'!CK665,"")</f>
        <v>305</v>
      </c>
      <c r="AU667" s="802">
        <f>IF(ISNUMBER('Base de datos Rutas'!CL665),'Base de datos Rutas'!CL665,"")</f>
        <v>312.64999999999998</v>
      </c>
      <c r="AV667" s="802">
        <f>IF(ISNUMBER('Base de datos Rutas'!CM665),'Base de datos Rutas'!CM665,"")</f>
        <v>7.6499999999999773</v>
      </c>
      <c r="AW667" s="802">
        <f>IF(ISNUMBER('Base de datos Rutas'!CN665),'Base de datos Rutas'!CN665,"")</f>
        <v>8.56</v>
      </c>
      <c r="AX667" s="802">
        <f>IF(ISNUMBER('Base de datos Rutas'!CO665),'Base de datos Rutas'!CO665,"")</f>
        <v>9.4499999999999993</v>
      </c>
      <c r="AY667" s="802">
        <f>IF(ISNUMBER('Base de datos Rutas'!CP665),'Base de datos Rutas'!CP665,"")</f>
        <v>0.88999999999999879</v>
      </c>
      <c r="AZ667" s="802">
        <f>IF(ISNUMBER('Base de datos Rutas'!CQ665),'Base de datos Rutas'!CQ665,"")</f>
        <v>846.56</v>
      </c>
      <c r="BA667" s="802">
        <f>IF(ISNUMBER('Base de datos Rutas'!CR665),'Base de datos Rutas'!CR665,"")</f>
        <v>741.04</v>
      </c>
      <c r="BB667" s="803">
        <f>IF(ISNUMBER('Base de datos Rutas'!CS665),'Base de datos Rutas'!CS665,"")</f>
        <v>105.51999999999998</v>
      </c>
      <c r="BC667" s="804">
        <f t="shared" si="393"/>
        <v>0</v>
      </c>
      <c r="BD667" s="805" t="str">
        <f t="shared" si="394"/>
        <v>No saturada</v>
      </c>
      <c r="BE667" s="806">
        <f t="shared" si="395"/>
        <v>0.87535437535437532</v>
      </c>
      <c r="BF667" s="890">
        <f>IF(ISNUMBER('Base de datos Rutas'!CX665),'Base de datos Rutas'!CX665/100,"")</f>
        <v>0.13614228456913829</v>
      </c>
      <c r="BG667" s="891">
        <f>IF(ISNUMBER('Base de datos Rutas'!CZ665),'Base de datos Rutas'!CZ665/100,"")</f>
        <v>0.1376753507014028</v>
      </c>
      <c r="BH667" s="892">
        <f>IF(ISNUMBER('Base de datos Rutas'!DA665),'Base de datos Rutas'!DA665,"")</f>
        <v>108.11258291396958</v>
      </c>
      <c r="BI667" s="893">
        <f>IF(ISNUMBER('Base de datos Rutas'!DC665),'Base de datos Rutas'!DC665,"")</f>
        <v>4.9562374315928492</v>
      </c>
      <c r="BJ667" s="805" t="str">
        <f t="shared" si="396"/>
        <v>Ruta (completo)</v>
      </c>
      <c r="BK667" s="783">
        <f t="shared" si="384"/>
        <v>4</v>
      </c>
      <c r="BL667" s="797">
        <f t="shared" si="385"/>
        <v>4</v>
      </c>
      <c r="BM667" s="797">
        <f t="shared" si="386"/>
        <v>2</v>
      </c>
      <c r="BN667" s="797">
        <f t="shared" si="387"/>
        <v>4</v>
      </c>
      <c r="BO667" s="798" cm="1">
        <f t="array" ref="BO667">SUMPRODUCT(--ISNUMBER($BF667:$BI667),$BK$3:$BN$3)</f>
        <v>1</v>
      </c>
      <c r="BP667" s="831">
        <f t="shared" si="397"/>
        <v>62.5</v>
      </c>
      <c r="BQ667" s="834" t="str">
        <f t="shared" si="398"/>
        <v>Alto</v>
      </c>
      <c r="BR667" s="836">
        <f t="shared" si="388"/>
        <v>36.214312202584061</v>
      </c>
      <c r="BS667" s="836">
        <f t="shared" si="389"/>
        <v>62.5</v>
      </c>
      <c r="BT667" s="837" t="str">
        <f t="shared" si="390"/>
        <v>P1</v>
      </c>
      <c r="BU667" s="807" t="str">
        <f t="shared" si="399"/>
        <v>Con espacio</v>
      </c>
      <c r="BV667" s="807" t="str">
        <f t="shared" si="391"/>
        <v>Zona atractiva</v>
      </c>
      <c r="BW667" s="808" t="str">
        <f t="shared" si="392"/>
        <v>P1 - Ampliar cobertura</v>
      </c>
    </row>
    <row r="668" spans="1:75">
      <c r="A668" s="780" t="str">
        <f>'Base de datos Rutas'!A666</f>
        <v>Occidente</v>
      </c>
      <c r="B668" s="781" t="str">
        <f>'Base de datos Rutas'!B666</f>
        <v>Zapopan</v>
      </c>
      <c r="C668" s="781" t="str">
        <f>'Base de datos Rutas'!C666</f>
        <v>Suc. Ameca</v>
      </c>
      <c r="D668" s="782">
        <f>IF(ISNUMBER('Base de datos Rutas'!D666),'Base de datos Rutas'!D666,"Sin código")</f>
        <v>821402</v>
      </c>
      <c r="E668" s="783" t="str">
        <f>'Base de datos Rutas'!F666</f>
        <v>Activa</v>
      </c>
      <c r="F668" s="784" t="str">
        <f>'Base de datos Rutas'!H666</f>
        <v>Sí</v>
      </c>
      <c r="G668" s="785">
        <f>IF(ISNUMBER('Base de datos Rutas'!BE666),'Base de datos Rutas'!BE666,"")</f>
        <v>54.557046979865802</v>
      </c>
      <c r="H668" s="786">
        <f>IF(ISNUMBER('Base de datos Rutas'!BH666),'Base de datos Rutas'!BH666,"")</f>
        <v>0.46504285069914297</v>
      </c>
      <c r="I668" s="788">
        <f>IFERROR(IF(OR(NOT(ISNUMBER('Base de datos Rutas'!O666)),N('Base de datos Rutas'!BK666)=0),"",'Base de datos Rutas'!O666/('Base de datos Rutas'!L666/'Base de datos Rutas'!BK666)),"")</f>
        <v>2931.5436241610701</v>
      </c>
      <c r="J668" s="788">
        <f>IFERROR(IF(OR(NOT(ISNUMBER('Base de datos Rutas'!N666)),N('Base de datos Rutas'!BK666)=0),"",'Base de datos Rutas'!N666/('Base de datos Rutas'!L666/'Base de datos Rutas'!BK666)),"")</f>
        <v>7676.6845637583792</v>
      </c>
      <c r="K668" s="788">
        <f>IFERROR(IF(OR(NOT(ISNUMBER('Base de datos Rutas'!J666)),N('Base de datos Rutas'!BK666)=0),"",'Base de datos Rutas'!J666/('Base de datos Rutas'!L666/'Base de datos Rutas'!BK666)),"")</f>
        <v>539.9122111856816</v>
      </c>
      <c r="L668" s="788">
        <f>IFERROR(IF(OR(NOT(ISNUMBER('Base de datos Rutas'!K666)),N('Base de datos Rutas'!BK666)=0),"",'Base de datos Rutas'!K666/('Base de datos Rutas'!L666/'Base de datos Rutas'!BK666)),"")</f>
        <v>32.256817727069311</v>
      </c>
      <c r="M668" s="787">
        <f>IF(ISNUMBER('Base de datos Rutas'!AX666),'Base de datos Rutas'!AX666,"")</f>
        <v>418.11806278106002</v>
      </c>
      <c r="N668" s="790">
        <f>IFERROR(INDEX('Hoja de apoyo v2'!B$17:B$20,MATCH($A668,'Hoja de apoyo v2'!$A$17:$A$20,0)),"")</f>
        <v>89.41621024641401</v>
      </c>
      <c r="O668" s="791">
        <f>IFERROR(INDEX('Hoja de apoyo v2'!C$17:C$20,MATCH($A668,'Hoja de apoyo v2'!$A$17:$A$20,0)),"")</f>
        <v>0.54706375874806301</v>
      </c>
      <c r="P668" s="793">
        <f>IFERROR(INDEX('Hoja de apoyo v2'!D$17:D$20,MATCH($A668,'Hoja de apoyo v2'!$A$17:$A$20,0)),"")</f>
        <v>11095.153935793827</v>
      </c>
      <c r="Q668" s="793">
        <f>IFERROR(INDEX('Hoja de apoyo v2'!E$17:E$20,MATCH($A668,'Hoja de apoyo v2'!$A$17:$A$20,0)),"")</f>
        <v>6982.3202019701848</v>
      </c>
      <c r="R668" s="793">
        <f>IFERROR(INDEX('Hoja de apoyo v2'!F$17:F$20,MATCH($A668,'Hoja de apoyo v2'!$A$17:$A$20,0)),"")</f>
        <v>448.09513474485743</v>
      </c>
      <c r="S668" s="793">
        <f>IFERROR(INDEX('Hoja de apoyo v2'!G$17:G$20,MATCH($A668,'Hoja de apoyo v2'!$A$17:$A$20,0)),"")</f>
        <v>83.406300904207839</v>
      </c>
      <c r="T668" s="792">
        <f>IFERROR(INDEX('Hoja de apoyo v2'!H$17:H$20,MATCH($A668,'Hoja de apoyo v2'!$A$17:$A$20,0)),"")</f>
        <v>378.97014028925349</v>
      </c>
      <c r="U668" s="794">
        <f t="shared" si="364"/>
        <v>0.61014716268467417</v>
      </c>
      <c r="V668" s="795">
        <f t="shared" si="365"/>
        <v>0.85007066043522583</v>
      </c>
      <c r="W668" s="795">
        <f t="shared" si="366"/>
        <v>0.26421838228883721</v>
      </c>
      <c r="X668" s="843">
        <f t="shared" si="367"/>
        <v>1.099446078338296</v>
      </c>
      <c r="Y668" s="843">
        <f t="shared" si="368"/>
        <v>1.2049053188071417</v>
      </c>
      <c r="Z668" s="843">
        <f t="shared" si="369"/>
        <v>0.38674317620339349</v>
      </c>
      <c r="AA668" s="843">
        <f t="shared" si="370"/>
        <v>1.103300810090015</v>
      </c>
      <c r="AB668" s="796">
        <f t="shared" si="371"/>
        <v>2</v>
      </c>
      <c r="AC668" s="797">
        <f t="shared" si="372"/>
        <v>3</v>
      </c>
      <c r="AD668" s="797">
        <f t="shared" si="373"/>
        <v>1</v>
      </c>
      <c r="AE668" s="842">
        <f t="shared" si="374"/>
        <v>4</v>
      </c>
      <c r="AF668" s="842">
        <f t="shared" si="375"/>
        <v>4</v>
      </c>
      <c r="AG668" s="842">
        <f t="shared" si="376"/>
        <v>1</v>
      </c>
      <c r="AH668" s="842">
        <f t="shared" si="377"/>
        <v>4</v>
      </c>
      <c r="AI668" s="826" cm="1">
        <f t="array" ref="AI668">SUMPRODUCT(--ISNUMBER($U668:$AA668),$AB$3:$AH$3)</f>
        <v>1</v>
      </c>
      <c r="AJ668" s="829">
        <f t="shared" si="378"/>
        <v>35.040107345672858</v>
      </c>
      <c r="AK668" s="827" t="str">
        <f t="shared" si="379"/>
        <v>Inmadura</v>
      </c>
      <c r="AL668" s="784" t="str">
        <f t="shared" si="380"/>
        <v>Alta</v>
      </c>
      <c r="AM668" s="799">
        <f>IF(ISNUMBER('Base de datos Rutas'!W666),'Base de datos Rutas'!W666,"")</f>
        <v>3238.9979368526369</v>
      </c>
      <c r="AN668" s="787">
        <f>IFERROR(SUMIFS('Base de datos Rutas'!$W$6:$W$794,'Base de datos Rutas'!$C$6:$C$794,$C668)/'Base de datos Rutas'!I666,"")</f>
        <v>3238.9979368526369</v>
      </c>
      <c r="AO668" s="800">
        <f>IFERROR('Base de datos Rutas'!X666*AN668/AM668,"")</f>
        <v>0.38586338835715028</v>
      </c>
      <c r="AP668" s="800">
        <f t="shared" si="381"/>
        <v>0.61413661164284972</v>
      </c>
      <c r="AQ668" s="789">
        <f>IFERROR(INDEX('Hoja de apoyo v2'!$J$17:$J$20,MATCH($A668,'Hoja de apoyo v2'!$A$17:$A$20,0)),"")</f>
        <v>0.64320274048480885</v>
      </c>
      <c r="AR668" s="789">
        <f t="shared" si="382"/>
        <v>-2.9066128841959138E-2</v>
      </c>
      <c r="AS668" s="784" t="str">
        <f t="shared" si="383"/>
        <v>No</v>
      </c>
      <c r="AT668" s="801">
        <f>IF(ISNUMBER('Base de datos Rutas'!CK666),'Base de datos Rutas'!CK666,"")</f>
        <v>205</v>
      </c>
      <c r="AU668" s="802">
        <f>IF(ISNUMBER('Base de datos Rutas'!CL666),'Base de datos Rutas'!CL666,"")</f>
        <v>205</v>
      </c>
      <c r="AV668" s="802">
        <f>IF(ISNUMBER('Base de datos Rutas'!CM666),'Base de datos Rutas'!CM666,"")</f>
        <v>0</v>
      </c>
      <c r="AW668" s="802" t="str">
        <f>IF(ISNUMBER('Base de datos Rutas'!CN666),'Base de datos Rutas'!CN666,"")</f>
        <v/>
      </c>
      <c r="AX668" s="802">
        <f>IF(ISNUMBER('Base de datos Rutas'!CO666),'Base de datos Rutas'!CO666,"")</f>
        <v>9.4499999999999993</v>
      </c>
      <c r="AY668" s="802">
        <f>IF(ISNUMBER('Base de datos Rutas'!CP666),'Base de datos Rutas'!CP666,"")</f>
        <v>9.4499999999999993</v>
      </c>
      <c r="AZ668" s="802" t="str">
        <f>IF(ISNUMBER('Base de datos Rutas'!CQ666),'Base de datos Rutas'!CQ666,"")</f>
        <v/>
      </c>
      <c r="BA668" s="802" t="str">
        <f>IF(ISNUMBER('Base de datos Rutas'!CR666),'Base de datos Rutas'!CR666,"")</f>
        <v/>
      </c>
      <c r="BB668" s="803">
        <f>IF(ISNUMBER('Base de datos Rutas'!CS666),'Base de datos Rutas'!CS666,"")</f>
        <v>0</v>
      </c>
      <c r="BC668" s="804" t="str">
        <f t="shared" si="393"/>
        <v/>
      </c>
      <c r="BD668" s="805" t="str">
        <f t="shared" si="394"/>
        <v>N/D</v>
      </c>
      <c r="BE668" s="806" t="str">
        <f t="shared" si="395"/>
        <v/>
      </c>
      <c r="BF668" s="890">
        <f>IF(ISNUMBER('Base de datos Rutas'!CX666),'Base de datos Rutas'!CX666/100,"")</f>
        <v>0</v>
      </c>
      <c r="BG668" s="891">
        <f>IF(ISNUMBER('Base de datos Rutas'!CZ666),'Base de datos Rutas'!CZ666/100,"")</f>
        <v>0</v>
      </c>
      <c r="BH668" s="892">
        <f>IF(ISNUMBER('Base de datos Rutas'!DA666),'Base de datos Rutas'!DA666,"")</f>
        <v>0</v>
      </c>
      <c r="BI668" s="893">
        <f>IF(ISNUMBER('Base de datos Rutas'!DC666),'Base de datos Rutas'!DC666,"")</f>
        <v>0</v>
      </c>
      <c r="BJ668" s="805" t="str">
        <f t="shared" si="396"/>
        <v>Ruta (completo)</v>
      </c>
      <c r="BK668" s="783">
        <f t="shared" si="384"/>
        <v>1</v>
      </c>
      <c r="BL668" s="797">
        <f t="shared" si="385"/>
        <v>1</v>
      </c>
      <c r="BM668" s="797">
        <f t="shared" si="386"/>
        <v>1</v>
      </c>
      <c r="BN668" s="797">
        <f t="shared" si="387"/>
        <v>1</v>
      </c>
      <c r="BO668" s="798" cm="1">
        <f t="array" ref="BO668">SUMPRODUCT(--ISNUMBER($BF668:$BI668),$BK$3:$BN$3)</f>
        <v>1</v>
      </c>
      <c r="BP668" s="831">
        <f t="shared" si="397"/>
        <v>0</v>
      </c>
      <c r="BQ668" s="834" t="str">
        <f t="shared" si="398"/>
        <v>Bajo</v>
      </c>
      <c r="BR668" s="836" t="str">
        <f t="shared" si="388"/>
        <v/>
      </c>
      <c r="BS668" s="836">
        <f t="shared" si="389"/>
        <v>0</v>
      </c>
      <c r="BT668" s="837" t="str">
        <f t="shared" si="390"/>
        <v>Sin datos</v>
      </c>
      <c r="BU668" s="807" t="str">
        <f t="shared" si="399"/>
        <v>Con espacio</v>
      </c>
      <c r="BV668" s="807" t="str">
        <f t="shared" si="391"/>
        <v>Zona de bajo potencial</v>
      </c>
      <c r="BW668" s="808" t="str">
        <f t="shared" si="392"/>
        <v>Sin datos</v>
      </c>
    </row>
    <row r="669" spans="1:75">
      <c r="A669" s="780" t="str">
        <f>'Base de datos Rutas'!A667</f>
        <v>Occidente</v>
      </c>
      <c r="B669" s="781" t="str">
        <f>'Base de datos Rutas'!B667</f>
        <v>Zapopan</v>
      </c>
      <c r="C669" s="781" t="str">
        <f>'Base de datos Rutas'!C667</f>
        <v>Suc. Ameca</v>
      </c>
      <c r="D669" s="782">
        <f>IF(ISNUMBER('Base de datos Rutas'!D667),'Base de datos Rutas'!D667,"Sin código")</f>
        <v>821470</v>
      </c>
      <c r="E669" s="783" t="str">
        <f>'Base de datos Rutas'!F667</f>
        <v>Activa</v>
      </c>
      <c r="F669" s="784" t="str">
        <f>'Base de datos Rutas'!H667</f>
        <v>Sí</v>
      </c>
      <c r="G669" s="785">
        <f>IF(ISNUMBER('Base de datos Rutas'!BE667),'Base de datos Rutas'!BE667,"")</f>
        <v>21.330708661417301</v>
      </c>
      <c r="H669" s="786">
        <f>IF(ISNUMBER('Base de datos Rutas'!BH667),'Base de datos Rutas'!BH667,"")</f>
        <v>0.37689184200812098</v>
      </c>
      <c r="I669" s="788">
        <f>IFERROR(IF(OR(NOT(ISNUMBER('Base de datos Rutas'!O667)),N('Base de datos Rutas'!BK667)=0),"",'Base de datos Rutas'!O667/('Base de datos Rutas'!L667/'Base de datos Rutas'!BK667)),"")</f>
        <v>1185.0538641686167</v>
      </c>
      <c r="J669" s="788">
        <f>IFERROR(IF(OR(NOT(ISNUMBER('Base de datos Rutas'!N667)),N('Base de datos Rutas'!BK667)=0),"",'Base de datos Rutas'!N667/('Base de datos Rutas'!L667/'Base de datos Rutas'!BK667)),"")</f>
        <v>4387.1873536299709</v>
      </c>
      <c r="K669" s="788">
        <f>IFERROR(IF(OR(NOT(ISNUMBER('Base de datos Rutas'!J667)),N('Base de datos Rutas'!BK667)=0),"",'Base de datos Rutas'!J667/('Base de datos Rutas'!L667/'Base de datos Rutas'!BK667)),"")</f>
        <v>368.40839344262241</v>
      </c>
      <c r="L669" s="788">
        <f>IFERROR(IF(OR(NOT(ISNUMBER('Base de datos Rutas'!K667)),N('Base de datos Rutas'!BK667)=0),"",'Base de datos Rutas'!K667/('Base de datos Rutas'!L667/'Base de datos Rutas'!BK667)),"")</f>
        <v>11.597028777517549</v>
      </c>
      <c r="M669" s="787">
        <f>IF(ISNUMBER('Base de datos Rutas'!AX667),'Base de datos Rutas'!AX667,"")</f>
        <v>741.22965732087198</v>
      </c>
      <c r="N669" s="790">
        <f>IFERROR(INDEX('Hoja de apoyo v2'!B$17:B$20,MATCH($A669,'Hoja de apoyo v2'!$A$17:$A$20,0)),"")</f>
        <v>89.41621024641401</v>
      </c>
      <c r="O669" s="791">
        <f>IFERROR(INDEX('Hoja de apoyo v2'!C$17:C$20,MATCH($A669,'Hoja de apoyo v2'!$A$17:$A$20,0)),"")</f>
        <v>0.54706375874806301</v>
      </c>
      <c r="P669" s="793">
        <f>IFERROR(INDEX('Hoja de apoyo v2'!D$17:D$20,MATCH($A669,'Hoja de apoyo v2'!$A$17:$A$20,0)),"")</f>
        <v>11095.153935793827</v>
      </c>
      <c r="Q669" s="793">
        <f>IFERROR(INDEX('Hoja de apoyo v2'!E$17:E$20,MATCH($A669,'Hoja de apoyo v2'!$A$17:$A$20,0)),"")</f>
        <v>6982.3202019701848</v>
      </c>
      <c r="R669" s="793">
        <f>IFERROR(INDEX('Hoja de apoyo v2'!F$17:F$20,MATCH($A669,'Hoja de apoyo v2'!$A$17:$A$20,0)),"")</f>
        <v>448.09513474485743</v>
      </c>
      <c r="S669" s="793">
        <f>IFERROR(INDEX('Hoja de apoyo v2'!G$17:G$20,MATCH($A669,'Hoja de apoyo v2'!$A$17:$A$20,0)),"")</f>
        <v>83.406300904207839</v>
      </c>
      <c r="T669" s="792">
        <f>IFERROR(INDEX('Hoja de apoyo v2'!H$17:H$20,MATCH($A669,'Hoja de apoyo v2'!$A$17:$A$20,0)),"")</f>
        <v>378.97014028925349</v>
      </c>
      <c r="U669" s="794">
        <f t="shared" si="364"/>
        <v>0.23855527540961463</v>
      </c>
      <c r="V669" s="795">
        <f t="shared" si="365"/>
        <v>0.68893586164549681</v>
      </c>
      <c r="W669" s="795">
        <f t="shared" si="366"/>
        <v>0.10680823997813504</v>
      </c>
      <c r="X669" s="843">
        <f t="shared" si="367"/>
        <v>0.62832800941899636</v>
      </c>
      <c r="Y669" s="843">
        <f t="shared" si="368"/>
        <v>0.82216557350570618</v>
      </c>
      <c r="Z669" s="843">
        <f t="shared" si="369"/>
        <v>0.13904259812261355</v>
      </c>
      <c r="AA669" s="843">
        <f t="shared" si="370"/>
        <v>1.9559051717243991</v>
      </c>
      <c r="AB669" s="796">
        <f t="shared" si="371"/>
        <v>1</v>
      </c>
      <c r="AC669" s="797">
        <f t="shared" si="372"/>
        <v>2</v>
      </c>
      <c r="AD669" s="797">
        <f t="shared" si="373"/>
        <v>1</v>
      </c>
      <c r="AE669" s="842">
        <f t="shared" si="374"/>
        <v>2</v>
      </c>
      <c r="AF669" s="842">
        <f t="shared" si="375"/>
        <v>3</v>
      </c>
      <c r="AG669" s="842">
        <f t="shared" si="376"/>
        <v>1</v>
      </c>
      <c r="AH669" s="842">
        <f t="shared" si="377"/>
        <v>5</v>
      </c>
      <c r="AI669" s="826" cm="1">
        <f t="array" ref="AI669">SUMPRODUCT(--ISNUMBER($U669:$AA669),$AB$3:$AH$3)</f>
        <v>1</v>
      </c>
      <c r="AJ669" s="829">
        <f t="shared" si="378"/>
        <v>20.623353617495017</v>
      </c>
      <c r="AK669" s="827" t="str">
        <f t="shared" si="379"/>
        <v>Inmadura</v>
      </c>
      <c r="AL669" s="784" t="str">
        <f t="shared" si="380"/>
        <v>Alta</v>
      </c>
      <c r="AM669" s="799">
        <f>IF(ISNUMBER('Base de datos Rutas'!W667),'Base de datos Rutas'!W667,"")</f>
        <v>3238.9979368526369</v>
      </c>
      <c r="AN669" s="787">
        <f>IFERROR(SUMIFS('Base de datos Rutas'!$W$6:$W$794,'Base de datos Rutas'!$C$6:$C$794,$C669)/'Base de datos Rutas'!I667,"")</f>
        <v>3238.9979368526369</v>
      </c>
      <c r="AO669" s="800">
        <f>IFERROR('Base de datos Rutas'!X667*AN669/AM669,"")</f>
        <v>0.38586338835715028</v>
      </c>
      <c r="AP669" s="800">
        <f t="shared" si="381"/>
        <v>0.61413661164284972</v>
      </c>
      <c r="AQ669" s="789">
        <f>IFERROR(INDEX('Hoja de apoyo v2'!$J$17:$J$20,MATCH($A669,'Hoja de apoyo v2'!$A$17:$A$20,0)),"")</f>
        <v>0.64320274048480885</v>
      </c>
      <c r="AR669" s="789">
        <f t="shared" si="382"/>
        <v>-2.9066128841959138E-2</v>
      </c>
      <c r="AS669" s="784" t="str">
        <f t="shared" si="383"/>
        <v>No</v>
      </c>
      <c r="AT669" s="801">
        <f>IF(ISNUMBER('Base de datos Rutas'!CK667),'Base de datos Rutas'!CK667,"")</f>
        <v>37</v>
      </c>
      <c r="AU669" s="802">
        <f>IF(ISNUMBER('Base de datos Rutas'!CL667),'Base de datos Rutas'!CL667,"")</f>
        <v>60.97</v>
      </c>
      <c r="AV669" s="802">
        <f>IF(ISNUMBER('Base de datos Rutas'!CM667),'Base de datos Rutas'!CM667,"")</f>
        <v>23.97</v>
      </c>
      <c r="AW669" s="802">
        <f>IF(ISNUMBER('Base de datos Rutas'!CN667),'Base de datos Rutas'!CN667,"")</f>
        <v>2.27</v>
      </c>
      <c r="AX669" s="802">
        <f>IF(ISNUMBER('Base de datos Rutas'!CO667),'Base de datos Rutas'!CO667,"")</f>
        <v>9.4499999999999993</v>
      </c>
      <c r="AY669" s="802">
        <f>IF(ISNUMBER('Base de datos Rutas'!CP667),'Base de datos Rutas'!CP667,"")</f>
        <v>7.18</v>
      </c>
      <c r="AZ669" s="802">
        <f>IF(ISNUMBER('Base de datos Rutas'!CQ667),'Base de datos Rutas'!CQ667,"")</f>
        <v>846.56</v>
      </c>
      <c r="BA669" s="802">
        <f>IF(ISNUMBER('Base de datos Rutas'!CR667),'Base de datos Rutas'!CR667,"")</f>
        <v>380.01</v>
      </c>
      <c r="BB669" s="803">
        <f>IF(ISNUMBER('Base de datos Rutas'!CS667),'Base de datos Rutas'!CS667,"")</f>
        <v>466.54999999999995</v>
      </c>
      <c r="BC669" s="804">
        <f t="shared" si="393"/>
        <v>0</v>
      </c>
      <c r="BD669" s="805" t="str">
        <f t="shared" si="394"/>
        <v>No saturada</v>
      </c>
      <c r="BE669" s="806">
        <f t="shared" si="395"/>
        <v>0.44888726138726143</v>
      </c>
      <c r="BF669" s="890">
        <f>IF(ISNUMBER('Base de datos Rutas'!CX667),'Base de datos Rutas'!CX667/100,"")</f>
        <v>9.5621198957428332E-3</v>
      </c>
      <c r="BG669" s="891">
        <f>IF(ISNUMBER('Base de datos Rutas'!CZ667),'Base de datos Rutas'!CZ667/100,"")</f>
        <v>1.3727193744569939E-2</v>
      </c>
      <c r="BH669" s="892">
        <f>IF(ISNUMBER('Base de datos Rutas'!DA667),'Base de datos Rutas'!DA667,"")</f>
        <v>123.91819130398669</v>
      </c>
      <c r="BI669" s="893">
        <f>IF(ISNUMBER('Base de datos Rutas'!DC667),'Base de datos Rutas'!DC667,"")</f>
        <v>4.6042703111454113</v>
      </c>
      <c r="BJ669" s="805" t="str">
        <f t="shared" si="396"/>
        <v>Ruta (completo)</v>
      </c>
      <c r="BK669" s="783">
        <f t="shared" si="384"/>
        <v>2</v>
      </c>
      <c r="BL669" s="797">
        <f t="shared" si="385"/>
        <v>2</v>
      </c>
      <c r="BM669" s="797">
        <f t="shared" si="386"/>
        <v>4</v>
      </c>
      <c r="BN669" s="797">
        <f t="shared" si="387"/>
        <v>2</v>
      </c>
      <c r="BO669" s="798" cm="1">
        <f t="array" ref="BO669">SUMPRODUCT(--ISNUMBER($BF669:$BI669),$BK$3:$BN$3)</f>
        <v>1</v>
      </c>
      <c r="BP669" s="831">
        <f t="shared" si="397"/>
        <v>37.5</v>
      </c>
      <c r="BQ669" s="834" t="str">
        <f t="shared" si="398"/>
        <v>Medio</v>
      </c>
      <c r="BR669" s="836">
        <f t="shared" si="388"/>
        <v>15.467515213121263</v>
      </c>
      <c r="BS669" s="836">
        <f t="shared" si="389"/>
        <v>37.5</v>
      </c>
      <c r="BT669" s="837" t="str">
        <f t="shared" si="390"/>
        <v>P4</v>
      </c>
      <c r="BU669" s="807" t="str">
        <f t="shared" si="399"/>
        <v>Con espacio</v>
      </c>
      <c r="BV669" s="807" t="str">
        <f t="shared" si="391"/>
        <v>Zona de bajo potencial</v>
      </c>
      <c r="BW669" s="808" t="str">
        <f t="shared" si="392"/>
        <v>P4 - Evaluar</v>
      </c>
    </row>
    <row r="670" spans="1:75">
      <c r="A670" s="780" t="str">
        <f>'Base de datos Rutas'!A668</f>
        <v>Occidente</v>
      </c>
      <c r="B670" s="781" t="str">
        <f>'Base de datos Rutas'!B668</f>
        <v>Zapopan</v>
      </c>
      <c r="C670" s="781" t="str">
        <f>'Base de datos Rutas'!C668</f>
        <v>Suc. Ameca</v>
      </c>
      <c r="D670" s="782" t="str">
        <f>IF(ISNUMBER('Base de datos Rutas'!D668),'Base de datos Rutas'!D668,"Sin código")</f>
        <v>Sin código</v>
      </c>
      <c r="E670" s="783" t="str">
        <f>'Base de datos Rutas'!F668</f>
        <v>Sin código</v>
      </c>
      <c r="F670" s="784" t="str">
        <f>'Base de datos Rutas'!H668</f>
        <v>No</v>
      </c>
      <c r="G670" s="785" t="str">
        <f>IF(ISNUMBER('Base de datos Rutas'!BE668),'Base de datos Rutas'!BE668,"")</f>
        <v/>
      </c>
      <c r="H670" s="786" t="str">
        <f>IF(ISNUMBER('Base de datos Rutas'!BH668),'Base de datos Rutas'!BH668,"")</f>
        <v/>
      </c>
      <c r="I670" s="788" t="str">
        <f>IFERROR(IF(OR(NOT(ISNUMBER('Base de datos Rutas'!O668)),N('Base de datos Rutas'!BK668)=0),"",'Base de datos Rutas'!O668/('Base de datos Rutas'!L668/'Base de datos Rutas'!BK668)),"")</f>
        <v/>
      </c>
      <c r="J670" s="788" t="str">
        <f>IFERROR(IF(OR(NOT(ISNUMBER('Base de datos Rutas'!N668)),N('Base de datos Rutas'!BK668)=0),"",'Base de datos Rutas'!N668/('Base de datos Rutas'!L668/'Base de datos Rutas'!BK668)),"")</f>
        <v/>
      </c>
      <c r="K670" s="788" t="str">
        <f>IFERROR(IF(OR(NOT(ISNUMBER('Base de datos Rutas'!J668)),N('Base de datos Rutas'!BK668)=0),"",'Base de datos Rutas'!J668/('Base de datos Rutas'!L668/'Base de datos Rutas'!BK668)),"")</f>
        <v/>
      </c>
      <c r="L670" s="788" t="str">
        <f>IFERROR(IF(OR(NOT(ISNUMBER('Base de datos Rutas'!K668)),N('Base de datos Rutas'!BK668)=0),"",'Base de datos Rutas'!K668/('Base de datos Rutas'!L668/'Base de datos Rutas'!BK668)),"")</f>
        <v/>
      </c>
      <c r="M670" s="787">
        <f>IF(ISNUMBER('Base de datos Rutas'!AX668),'Base de datos Rutas'!AX668,"")</f>
        <v>591.95338804220398</v>
      </c>
      <c r="N670" s="790">
        <f>IFERROR(INDEX('Hoja de apoyo v2'!B$17:B$20,MATCH($A670,'Hoja de apoyo v2'!$A$17:$A$20,0)),"")</f>
        <v>89.41621024641401</v>
      </c>
      <c r="O670" s="791">
        <f>IFERROR(INDEX('Hoja de apoyo v2'!C$17:C$20,MATCH($A670,'Hoja de apoyo v2'!$A$17:$A$20,0)),"")</f>
        <v>0.54706375874806301</v>
      </c>
      <c r="P670" s="793">
        <f>IFERROR(INDEX('Hoja de apoyo v2'!D$17:D$20,MATCH($A670,'Hoja de apoyo v2'!$A$17:$A$20,0)),"")</f>
        <v>11095.153935793827</v>
      </c>
      <c r="Q670" s="793">
        <f>IFERROR(INDEX('Hoja de apoyo v2'!E$17:E$20,MATCH($A670,'Hoja de apoyo v2'!$A$17:$A$20,0)),"")</f>
        <v>6982.3202019701848</v>
      </c>
      <c r="R670" s="793">
        <f>IFERROR(INDEX('Hoja de apoyo v2'!F$17:F$20,MATCH($A670,'Hoja de apoyo v2'!$A$17:$A$20,0)),"")</f>
        <v>448.09513474485743</v>
      </c>
      <c r="S670" s="793">
        <f>IFERROR(INDEX('Hoja de apoyo v2'!G$17:G$20,MATCH($A670,'Hoja de apoyo v2'!$A$17:$A$20,0)),"")</f>
        <v>83.406300904207839</v>
      </c>
      <c r="T670" s="792">
        <f>IFERROR(INDEX('Hoja de apoyo v2'!H$17:H$20,MATCH($A670,'Hoja de apoyo v2'!$A$17:$A$20,0)),"")</f>
        <v>378.97014028925349</v>
      </c>
      <c r="U670" s="794" t="str">
        <f t="shared" si="364"/>
        <v/>
      </c>
      <c r="V670" s="795" t="str">
        <f t="shared" si="365"/>
        <v/>
      </c>
      <c r="W670" s="795" t="str">
        <f t="shared" si="366"/>
        <v/>
      </c>
      <c r="X670" s="843" t="str">
        <f t="shared" si="367"/>
        <v/>
      </c>
      <c r="Y670" s="843" t="str">
        <f t="shared" si="368"/>
        <v/>
      </c>
      <c r="Z670" s="843" t="str">
        <f t="shared" si="369"/>
        <v/>
      </c>
      <c r="AA670" s="843">
        <f t="shared" si="370"/>
        <v>1.562005353747365</v>
      </c>
      <c r="AB670" s="796">
        <f t="shared" si="371"/>
        <v>0</v>
      </c>
      <c r="AC670" s="797">
        <f t="shared" si="372"/>
        <v>0</v>
      </c>
      <c r="AD670" s="797">
        <f t="shared" si="373"/>
        <v>0</v>
      </c>
      <c r="AE670" s="842">
        <f t="shared" si="374"/>
        <v>0</v>
      </c>
      <c r="AF670" s="842">
        <f t="shared" si="375"/>
        <v>0</v>
      </c>
      <c r="AG670" s="842">
        <f t="shared" si="376"/>
        <v>0</v>
      </c>
      <c r="AH670" s="842">
        <f t="shared" si="377"/>
        <v>5</v>
      </c>
      <c r="AI670" s="826" cm="1">
        <f t="array" ref="AI670">SUMPRODUCT(--ISNUMBER($U670:$AA670),$AB$3:$AH$3)</f>
        <v>8.9789113613062493E-2</v>
      </c>
      <c r="AJ670" s="829" t="str">
        <f t="shared" si="378"/>
        <v/>
      </c>
      <c r="AK670" s="827" t="str">
        <f t="shared" si="379"/>
        <v>Ruta inactiva</v>
      </c>
      <c r="AL670" s="784" t="str">
        <f t="shared" si="380"/>
        <v>n/a</v>
      </c>
      <c r="AM670" s="799">
        <f>IF(ISNUMBER('Base de datos Rutas'!W668),'Base de datos Rutas'!W668,"")</f>
        <v>3238.9979368526369</v>
      </c>
      <c r="AN670" s="787">
        <f>IFERROR(SUMIFS('Base de datos Rutas'!$W$6:$W$794,'Base de datos Rutas'!$C$6:$C$794,$C670)/'Base de datos Rutas'!I668,"")</f>
        <v>3238.9979368526369</v>
      </c>
      <c r="AO670" s="800">
        <f>IFERROR('Base de datos Rutas'!X668*AN670/AM670,"")</f>
        <v>0.38586338835715028</v>
      </c>
      <c r="AP670" s="800">
        <f t="shared" si="381"/>
        <v>0.61413661164284972</v>
      </c>
      <c r="AQ670" s="789">
        <f>IFERROR(INDEX('Hoja de apoyo v2'!$J$17:$J$20,MATCH($A670,'Hoja de apoyo v2'!$A$17:$A$20,0)),"")</f>
        <v>0.64320274048480885</v>
      </c>
      <c r="AR670" s="789">
        <f t="shared" si="382"/>
        <v>-2.9066128841959138E-2</v>
      </c>
      <c r="AS670" s="784" t="str">
        <f t="shared" si="383"/>
        <v>No</v>
      </c>
      <c r="AT670" s="801" t="str">
        <f>IF(ISNUMBER('Base de datos Rutas'!CK668),'Base de datos Rutas'!CK668,"")</f>
        <v/>
      </c>
      <c r="AU670" s="802" t="str">
        <f>IF(ISNUMBER('Base de datos Rutas'!CL668),'Base de datos Rutas'!CL668,"")</f>
        <v/>
      </c>
      <c r="AV670" s="802">
        <f>IF(ISNUMBER('Base de datos Rutas'!CM668),'Base de datos Rutas'!CM668,"")</f>
        <v>0</v>
      </c>
      <c r="AW670" s="802" t="str">
        <f>IF(ISNUMBER('Base de datos Rutas'!CN668),'Base de datos Rutas'!CN668,"")</f>
        <v/>
      </c>
      <c r="AX670" s="802" t="str">
        <f>IF(ISNUMBER('Base de datos Rutas'!CO668),'Base de datos Rutas'!CO668,"")</f>
        <v/>
      </c>
      <c r="AY670" s="802">
        <f>IF(ISNUMBER('Base de datos Rutas'!CP668),'Base de datos Rutas'!CP668,"")</f>
        <v>0</v>
      </c>
      <c r="AZ670" s="802" t="str">
        <f>IF(ISNUMBER('Base de datos Rutas'!CQ668),'Base de datos Rutas'!CQ668,"")</f>
        <v/>
      </c>
      <c r="BA670" s="802" t="str">
        <f>IF(ISNUMBER('Base de datos Rutas'!CR668),'Base de datos Rutas'!CR668,"")</f>
        <v/>
      </c>
      <c r="BB670" s="803">
        <f>IF(ISNUMBER('Base de datos Rutas'!CS668),'Base de datos Rutas'!CS668,"")</f>
        <v>0</v>
      </c>
      <c r="BC670" s="804" t="str">
        <f t="shared" si="393"/>
        <v/>
      </c>
      <c r="BD670" s="805" t="str">
        <f t="shared" si="394"/>
        <v>N/D</v>
      </c>
      <c r="BE670" s="806" t="str">
        <f t="shared" si="395"/>
        <v/>
      </c>
      <c r="BF670" s="890" t="str">
        <f>IF(ISNUMBER('Base de datos Rutas'!CX668),'Base de datos Rutas'!CX668/100,"")</f>
        <v/>
      </c>
      <c r="BG670" s="891" t="str">
        <f>IF(ISNUMBER('Base de datos Rutas'!CZ668),'Base de datos Rutas'!CZ668/100,"")</f>
        <v/>
      </c>
      <c r="BH670" s="892" t="str">
        <f>IF(ISNUMBER('Base de datos Rutas'!DA668),'Base de datos Rutas'!DA668,"")</f>
        <v/>
      </c>
      <c r="BI670" s="893" t="str">
        <f>IF(ISNUMBER('Base de datos Rutas'!DC668),'Base de datos Rutas'!DC668,"")</f>
        <v/>
      </c>
      <c r="BJ670" s="805" t="str">
        <f t="shared" si="396"/>
        <v>Sin dato</v>
      </c>
      <c r="BK670" s="783">
        <f t="shared" si="384"/>
        <v>0</v>
      </c>
      <c r="BL670" s="797">
        <f t="shared" si="385"/>
        <v>0</v>
      </c>
      <c r="BM670" s="797">
        <f t="shared" si="386"/>
        <v>0</v>
      </c>
      <c r="BN670" s="797">
        <f t="shared" si="387"/>
        <v>0</v>
      </c>
      <c r="BO670" s="798" cm="1">
        <f t="array" ref="BO670">SUMPRODUCT(--ISNUMBER($BF670:$BI670),$BK$3:$BN$3)</f>
        <v>0</v>
      </c>
      <c r="BP670" s="831" t="str">
        <f t="shared" si="397"/>
        <v/>
      </c>
      <c r="BQ670" s="834" t="str">
        <f t="shared" si="398"/>
        <v>Sin datos</v>
      </c>
      <c r="BR670" s="836" t="str">
        <f t="shared" si="388"/>
        <v/>
      </c>
      <c r="BS670" s="836" t="str">
        <f t="shared" si="389"/>
        <v/>
      </c>
      <c r="BT670" s="837" t="str">
        <f t="shared" si="390"/>
        <v>Sin datos</v>
      </c>
      <c r="BU670" s="807" t="str">
        <f t="shared" si="399"/>
        <v>No evaluable</v>
      </c>
      <c r="BV670" s="807" t="str">
        <f t="shared" si="391"/>
        <v>No evaluable</v>
      </c>
      <c r="BW670" s="808" t="str">
        <f t="shared" si="392"/>
        <v>Sin datos</v>
      </c>
    </row>
    <row r="671" spans="1:75">
      <c r="A671" s="780" t="str">
        <f>'Base de datos Rutas'!A669</f>
        <v>Occidente</v>
      </c>
      <c r="B671" s="781" t="str">
        <f>'Base de datos Rutas'!B669</f>
        <v>No está en EERR</v>
      </c>
      <c r="C671" s="781" t="str">
        <f>'Base de datos Rutas'!C669</f>
        <v>Suc. Atotonilco</v>
      </c>
      <c r="D671" s="782">
        <f>IF(ISNUMBER('Base de datos Rutas'!D669),'Base de datos Rutas'!D669,"Sin código")</f>
        <v>833300</v>
      </c>
      <c r="E671" s="783" t="str">
        <f>'Base de datos Rutas'!F669</f>
        <v>Activa</v>
      </c>
      <c r="F671" s="784" t="str">
        <f>'Base de datos Rutas'!H669</f>
        <v>Sí</v>
      </c>
      <c r="G671" s="785">
        <f>IF(ISNUMBER('Base de datos Rutas'!BE669),'Base de datos Rutas'!BE669,"")</f>
        <v>13.6407766990291</v>
      </c>
      <c r="H671" s="786">
        <f>IF(ISNUMBER('Base de datos Rutas'!BH669),'Base de datos Rutas'!BH669,"")</f>
        <v>0.34234875444839902</v>
      </c>
      <c r="I671" s="788">
        <f>IFERROR(IF(OR(NOT(ISNUMBER('Base de datos Rutas'!O669)),N('Base de datos Rutas'!BK669)=0),"",'Base de datos Rutas'!O669/('Base de datos Rutas'!L669/'Base de datos Rutas'!BK669)),"")</f>
        <v>0</v>
      </c>
      <c r="J671" s="788">
        <f>IFERROR(IF(OR(NOT(ISNUMBER('Base de datos Rutas'!N669)),N('Base de datos Rutas'!BK669)=0),"",'Base de datos Rutas'!N669/('Base de datos Rutas'!L669/'Base de datos Rutas'!BK669)),"")</f>
        <v>0</v>
      </c>
      <c r="K671" s="788">
        <f>IFERROR(IF(OR(NOT(ISNUMBER('Base de datos Rutas'!J669)),N('Base de datos Rutas'!BK669)=0),"",'Base de datos Rutas'!J669/('Base de datos Rutas'!L669/'Base de datos Rutas'!BK669)),"")</f>
        <v>641.17555887850426</v>
      </c>
      <c r="L671" s="788">
        <f>IFERROR(IF(OR(NOT(ISNUMBER('Base de datos Rutas'!K669)),N('Base de datos Rutas'!BK669)=0),"",'Base de datos Rutas'!K669/('Base de datos Rutas'!L669/'Base de datos Rutas'!BK669)),"")</f>
        <v>2.9813526285046716</v>
      </c>
      <c r="M671" s="787">
        <f>IF(ISNUMBER('Base de datos Rutas'!AX669),'Base de datos Rutas'!AX669,"")</f>
        <v>1376.6454807692301</v>
      </c>
      <c r="N671" s="790">
        <f>IFERROR(INDEX('Hoja de apoyo v2'!B$17:B$20,MATCH($A671,'Hoja de apoyo v2'!$A$17:$A$20,0)),"")</f>
        <v>89.41621024641401</v>
      </c>
      <c r="O671" s="791">
        <f>IFERROR(INDEX('Hoja de apoyo v2'!C$17:C$20,MATCH($A671,'Hoja de apoyo v2'!$A$17:$A$20,0)),"")</f>
        <v>0.54706375874806301</v>
      </c>
      <c r="P671" s="793">
        <f>IFERROR(INDEX('Hoja de apoyo v2'!D$17:D$20,MATCH($A671,'Hoja de apoyo v2'!$A$17:$A$20,0)),"")</f>
        <v>11095.153935793827</v>
      </c>
      <c r="Q671" s="793">
        <f>IFERROR(INDEX('Hoja de apoyo v2'!E$17:E$20,MATCH($A671,'Hoja de apoyo v2'!$A$17:$A$20,0)),"")</f>
        <v>6982.3202019701848</v>
      </c>
      <c r="R671" s="793">
        <f>IFERROR(INDEX('Hoja de apoyo v2'!F$17:F$20,MATCH($A671,'Hoja de apoyo v2'!$A$17:$A$20,0)),"")</f>
        <v>448.09513474485743</v>
      </c>
      <c r="S671" s="793">
        <f>IFERROR(INDEX('Hoja de apoyo v2'!G$17:G$20,MATCH($A671,'Hoja de apoyo v2'!$A$17:$A$20,0)),"")</f>
        <v>83.406300904207839</v>
      </c>
      <c r="T671" s="792">
        <f>IFERROR(INDEX('Hoja de apoyo v2'!H$17:H$20,MATCH($A671,'Hoja de apoyo v2'!$A$17:$A$20,0)),"")</f>
        <v>378.97014028925349</v>
      </c>
      <c r="U671" s="794">
        <f t="shared" si="364"/>
        <v>0.15255373339395309</v>
      </c>
      <c r="V671" s="795">
        <f t="shared" si="365"/>
        <v>0.62579315294409665</v>
      </c>
      <c r="W671" s="795">
        <f t="shared" si="366"/>
        <v>0</v>
      </c>
      <c r="X671" s="843">
        <f t="shared" si="367"/>
        <v>0</v>
      </c>
      <c r="Y671" s="843">
        <f t="shared" si="368"/>
        <v>1.4308915878847595</v>
      </c>
      <c r="Z671" s="843">
        <f t="shared" si="369"/>
        <v>3.5744932890966544E-2</v>
      </c>
      <c r="AA671" s="843">
        <f t="shared" si="370"/>
        <v>3.6325961716099555</v>
      </c>
      <c r="AB671" s="796">
        <f t="shared" si="371"/>
        <v>1</v>
      </c>
      <c r="AC671" s="797">
        <f t="shared" si="372"/>
        <v>2</v>
      </c>
      <c r="AD671" s="797">
        <f t="shared" si="373"/>
        <v>1</v>
      </c>
      <c r="AE671" s="842">
        <f t="shared" si="374"/>
        <v>1</v>
      </c>
      <c r="AF671" s="842">
        <f t="shared" si="375"/>
        <v>5</v>
      </c>
      <c r="AG671" s="842">
        <f t="shared" si="376"/>
        <v>1</v>
      </c>
      <c r="AH671" s="842">
        <f t="shared" si="377"/>
        <v>5</v>
      </c>
      <c r="AI671" s="826" cm="1">
        <f t="array" ref="AI671">SUMPRODUCT(--ISNUMBER($U671:$AA671),$AB$3:$AH$3)</f>
        <v>1</v>
      </c>
      <c r="AJ671" s="829">
        <f t="shared" si="378"/>
        <v>23.065994995355908</v>
      </c>
      <c r="AK671" s="827" t="str">
        <f t="shared" si="379"/>
        <v>Inmadura</v>
      </c>
      <c r="AL671" s="784" t="str">
        <f t="shared" si="380"/>
        <v>Alta</v>
      </c>
      <c r="AM671" s="799" t="str">
        <f>IF(ISNUMBER('Base de datos Rutas'!W669),'Base de datos Rutas'!W669,"")</f>
        <v/>
      </c>
      <c r="AN671" s="787">
        <f>IFERROR(SUMIFS('Base de datos Rutas'!$W$6:$W$794,'Base de datos Rutas'!$C$6:$C$794,$C671)/'Base de datos Rutas'!I669,"")</f>
        <v>0</v>
      </c>
      <c r="AO671" s="800" t="str">
        <f>IFERROR('Base de datos Rutas'!X669*AN671/AM671,"")</f>
        <v/>
      </c>
      <c r="AP671" s="800" t="str">
        <f t="shared" si="381"/>
        <v/>
      </c>
      <c r="AQ671" s="789">
        <f>IFERROR(INDEX('Hoja de apoyo v2'!$J$17:$J$20,MATCH($A671,'Hoja de apoyo v2'!$A$17:$A$20,0)),"")</f>
        <v>0.64320274048480885</v>
      </c>
      <c r="AR671" s="789" t="str">
        <f t="shared" si="382"/>
        <v/>
      </c>
      <c r="AS671" s="784" t="str">
        <f t="shared" si="383"/>
        <v>n/d</v>
      </c>
      <c r="AT671" s="801" t="str">
        <f>IF(ISNUMBER('Base de datos Rutas'!CK669),'Base de datos Rutas'!CK669,"")</f>
        <v/>
      </c>
      <c r="AU671" s="802" t="str">
        <f>IF(ISNUMBER('Base de datos Rutas'!CL669),'Base de datos Rutas'!CL669,"")</f>
        <v/>
      </c>
      <c r="AV671" s="802">
        <f>IF(ISNUMBER('Base de datos Rutas'!CM669),'Base de datos Rutas'!CM669,"")</f>
        <v>0</v>
      </c>
      <c r="AW671" s="802" t="str">
        <f>IF(ISNUMBER('Base de datos Rutas'!CN669),'Base de datos Rutas'!CN669,"")</f>
        <v/>
      </c>
      <c r="AX671" s="802" t="str">
        <f>IF(ISNUMBER('Base de datos Rutas'!CO669),'Base de datos Rutas'!CO669,"")</f>
        <v/>
      </c>
      <c r="AY671" s="802">
        <f>IF(ISNUMBER('Base de datos Rutas'!CP669),'Base de datos Rutas'!CP669,"")</f>
        <v>0</v>
      </c>
      <c r="AZ671" s="802" t="str">
        <f>IF(ISNUMBER('Base de datos Rutas'!CQ669),'Base de datos Rutas'!CQ669,"")</f>
        <v/>
      </c>
      <c r="BA671" s="802" t="str">
        <f>IF(ISNUMBER('Base de datos Rutas'!CR669),'Base de datos Rutas'!CR669,"")</f>
        <v/>
      </c>
      <c r="BB671" s="803">
        <f>IF(ISNUMBER('Base de datos Rutas'!CS669),'Base de datos Rutas'!CS669,"")</f>
        <v>0</v>
      </c>
      <c r="BC671" s="804" t="str">
        <f t="shared" si="393"/>
        <v/>
      </c>
      <c r="BD671" s="805" t="str">
        <f t="shared" si="394"/>
        <v>N/D</v>
      </c>
      <c r="BE671" s="806" t="str">
        <f t="shared" si="395"/>
        <v/>
      </c>
      <c r="BF671" s="890" t="str">
        <f>IF(ISNUMBER('Base de datos Rutas'!CX669),'Base de datos Rutas'!CX669/100,"")</f>
        <v/>
      </c>
      <c r="BG671" s="891" t="str">
        <f>IF(ISNUMBER('Base de datos Rutas'!CZ669),'Base de datos Rutas'!CZ669/100,"")</f>
        <v/>
      </c>
      <c r="BH671" s="892" t="str">
        <f>IF(ISNUMBER('Base de datos Rutas'!DA669),'Base de datos Rutas'!DA669,"")</f>
        <v/>
      </c>
      <c r="BI671" s="893" t="str">
        <f>IF(ISNUMBER('Base de datos Rutas'!DC669),'Base de datos Rutas'!DC669,"")</f>
        <v/>
      </c>
      <c r="BJ671" s="805" t="str">
        <f t="shared" si="396"/>
        <v>Sin dato</v>
      </c>
      <c r="BK671" s="783">
        <f t="shared" si="384"/>
        <v>0</v>
      </c>
      <c r="BL671" s="797">
        <f t="shared" si="385"/>
        <v>0</v>
      </c>
      <c r="BM671" s="797">
        <f t="shared" si="386"/>
        <v>0</v>
      </c>
      <c r="BN671" s="797">
        <f t="shared" si="387"/>
        <v>0</v>
      </c>
      <c r="BO671" s="798" cm="1">
        <f t="array" ref="BO671">SUMPRODUCT(--ISNUMBER($BF671:$BI671),$BK$3:$BN$3)</f>
        <v>0</v>
      </c>
      <c r="BP671" s="831" t="str">
        <f t="shared" si="397"/>
        <v/>
      </c>
      <c r="BQ671" s="834" t="str">
        <f t="shared" si="398"/>
        <v>Sin datos</v>
      </c>
      <c r="BR671" s="836" t="str">
        <f t="shared" si="388"/>
        <v/>
      </c>
      <c r="BS671" s="836" t="str">
        <f t="shared" si="389"/>
        <v/>
      </c>
      <c r="BT671" s="837" t="str">
        <f t="shared" si="390"/>
        <v>Sin datos</v>
      </c>
      <c r="BU671" s="807" t="str">
        <f t="shared" si="399"/>
        <v>Con espacio</v>
      </c>
      <c r="BV671" s="807" t="str">
        <f t="shared" si="391"/>
        <v>Sin datos de zona</v>
      </c>
      <c r="BW671" s="808" t="str">
        <f t="shared" si="392"/>
        <v>Sin datos</v>
      </c>
    </row>
    <row r="672" spans="1:75">
      <c r="A672" s="780" t="str">
        <f>'Base de datos Rutas'!A670</f>
        <v>Occidente</v>
      </c>
      <c r="B672" s="781" t="str">
        <f>'Base de datos Rutas'!B670</f>
        <v>Zapopan</v>
      </c>
      <c r="C672" s="781" t="str">
        <f>'Base de datos Rutas'!C670</f>
        <v>Suc. Autlán</v>
      </c>
      <c r="D672" s="782">
        <f>IF(ISNUMBER('Base de datos Rutas'!D670),'Base de datos Rutas'!D670,"Sin código")</f>
        <v>822300</v>
      </c>
      <c r="E672" s="783" t="str">
        <f>'Base de datos Rutas'!F670</f>
        <v>Activa</v>
      </c>
      <c r="F672" s="784" t="str">
        <f>'Base de datos Rutas'!H670</f>
        <v>Sí</v>
      </c>
      <c r="G672" s="785">
        <f>IF(ISNUMBER('Base de datos Rutas'!BE670),'Base de datos Rutas'!BE670,"")</f>
        <v>45.721973094170401</v>
      </c>
      <c r="H672" s="786">
        <f>IF(ISNUMBER('Base de datos Rutas'!BH670),'Base de datos Rutas'!BH670,"")</f>
        <v>0.50740486465280499</v>
      </c>
      <c r="I672" s="788">
        <f>IFERROR(IF(OR(NOT(ISNUMBER('Base de datos Rutas'!O670)),N('Base de datos Rutas'!BK670)=0),"",'Base de datos Rutas'!O670/('Base de datos Rutas'!L670/'Base de datos Rutas'!BK670)),"")</f>
        <v>1978.186098654711</v>
      </c>
      <c r="J672" s="788">
        <f>IFERROR(IF(OR(NOT(ISNUMBER('Base de datos Rutas'!N670)),N('Base de datos Rutas'!BK670)=0),"",'Base de datos Rutas'!N670/('Base de datos Rutas'!L670/'Base de datos Rutas'!BK670)),"")</f>
        <v>5953.7130044843125</v>
      </c>
      <c r="K672" s="788">
        <f>IFERROR(IF(OR(NOT(ISNUMBER('Base de datos Rutas'!J670)),N('Base de datos Rutas'!BK670)=0),"",'Base de datos Rutas'!J670/('Base de datos Rutas'!L670/'Base de datos Rutas'!BK670)),"")</f>
        <v>483.71397488789074</v>
      </c>
      <c r="L672" s="788">
        <f>IFERROR(IF(OR(NOT(ISNUMBER('Base de datos Rutas'!K670)),N('Base de datos Rutas'!BK670)=0),"",'Base de datos Rutas'!K670/('Base de datos Rutas'!L670/'Base de datos Rutas'!BK670)),"")</f>
        <v>18.062954766816166</v>
      </c>
      <c r="M672" s="787">
        <f>IF(ISNUMBER('Base de datos Rutas'!AX670),'Base de datos Rutas'!AX670,"")</f>
        <v>341.89885280757699</v>
      </c>
      <c r="N672" s="790">
        <f>IFERROR(INDEX('Hoja de apoyo v2'!B$17:B$20,MATCH($A672,'Hoja de apoyo v2'!$A$17:$A$20,0)),"")</f>
        <v>89.41621024641401</v>
      </c>
      <c r="O672" s="791">
        <f>IFERROR(INDEX('Hoja de apoyo v2'!C$17:C$20,MATCH($A672,'Hoja de apoyo v2'!$A$17:$A$20,0)),"")</f>
        <v>0.54706375874806301</v>
      </c>
      <c r="P672" s="793">
        <f>IFERROR(INDEX('Hoja de apoyo v2'!D$17:D$20,MATCH($A672,'Hoja de apoyo v2'!$A$17:$A$20,0)),"")</f>
        <v>11095.153935793827</v>
      </c>
      <c r="Q672" s="793">
        <f>IFERROR(INDEX('Hoja de apoyo v2'!E$17:E$20,MATCH($A672,'Hoja de apoyo v2'!$A$17:$A$20,0)),"")</f>
        <v>6982.3202019701848</v>
      </c>
      <c r="R672" s="793">
        <f>IFERROR(INDEX('Hoja de apoyo v2'!F$17:F$20,MATCH($A672,'Hoja de apoyo v2'!$A$17:$A$20,0)),"")</f>
        <v>448.09513474485743</v>
      </c>
      <c r="S672" s="793">
        <f>IFERROR(INDEX('Hoja de apoyo v2'!G$17:G$20,MATCH($A672,'Hoja de apoyo v2'!$A$17:$A$20,0)),"")</f>
        <v>83.406300904207839</v>
      </c>
      <c r="T672" s="792">
        <f>IFERROR(INDEX('Hoja de apoyo v2'!H$17:H$20,MATCH($A672,'Hoja de apoyo v2'!$A$17:$A$20,0)),"")</f>
        <v>378.97014028925349</v>
      </c>
      <c r="U672" s="794">
        <f t="shared" si="364"/>
        <v>0.51133874907211307</v>
      </c>
      <c r="V672" s="795">
        <f t="shared" si="365"/>
        <v>0.9275059013486544</v>
      </c>
      <c r="W672" s="795">
        <f t="shared" si="366"/>
        <v>0.17829280333578151</v>
      </c>
      <c r="X672" s="843">
        <f t="shared" si="367"/>
        <v>0.85268404087288452</v>
      </c>
      <c r="Y672" s="843">
        <f t="shared" si="368"/>
        <v>1.0794894596731439</v>
      </c>
      <c r="Z672" s="843">
        <f t="shared" si="369"/>
        <v>0.21656582981136491</v>
      </c>
      <c r="AA672" s="843">
        <f t="shared" si="370"/>
        <v>0.90217886967722205</v>
      </c>
      <c r="AB672" s="796">
        <f t="shared" si="371"/>
        <v>2</v>
      </c>
      <c r="AC672" s="797">
        <f t="shared" si="372"/>
        <v>3</v>
      </c>
      <c r="AD672" s="797">
        <f t="shared" si="373"/>
        <v>1</v>
      </c>
      <c r="AE672" s="842">
        <f t="shared" si="374"/>
        <v>3</v>
      </c>
      <c r="AF672" s="842">
        <f t="shared" si="375"/>
        <v>4</v>
      </c>
      <c r="AG672" s="842">
        <f t="shared" si="376"/>
        <v>1</v>
      </c>
      <c r="AH672" s="842">
        <f t="shared" si="377"/>
        <v>3</v>
      </c>
      <c r="AI672" s="826" cm="1">
        <f t="array" ref="AI672">SUMPRODUCT(--ISNUMBER($U672:$AA672),$AB$3:$AH$3)</f>
        <v>1</v>
      </c>
      <c r="AJ672" s="829">
        <f t="shared" si="378"/>
        <v>29.385931859127602</v>
      </c>
      <c r="AK672" s="827" t="str">
        <f t="shared" si="379"/>
        <v>Inmadura</v>
      </c>
      <c r="AL672" s="784" t="str">
        <f t="shared" si="380"/>
        <v>Alta</v>
      </c>
      <c r="AM672" s="799">
        <f>IF(ISNUMBER('Base de datos Rutas'!W670),'Base de datos Rutas'!W670,"")</f>
        <v>2406.6869575763203</v>
      </c>
      <c r="AN672" s="787">
        <f>IFERROR(SUMIFS('Base de datos Rutas'!$W$6:$W$794,'Base de datos Rutas'!$C$6:$C$794,$C672)/'Base de datos Rutas'!I670,"")</f>
        <v>2406.6869575763203</v>
      </c>
      <c r="AO672" s="800">
        <f>IFERROR('Base de datos Rutas'!X670*AN672/AM672,"")</f>
        <v>0.49691417769807578</v>
      </c>
      <c r="AP672" s="800">
        <f t="shared" si="381"/>
        <v>0.50308582230192422</v>
      </c>
      <c r="AQ672" s="789">
        <f>IFERROR(INDEX('Hoja de apoyo v2'!$J$17:$J$20,MATCH($A672,'Hoja de apoyo v2'!$A$17:$A$20,0)),"")</f>
        <v>0.64320274048480885</v>
      </c>
      <c r="AR672" s="789">
        <f t="shared" si="382"/>
        <v>-0.14011691818288463</v>
      </c>
      <c r="AS672" s="784" t="str">
        <f t="shared" si="383"/>
        <v>No</v>
      </c>
      <c r="AT672" s="801">
        <f>IF(ISNUMBER('Base de datos Rutas'!CK670),'Base de datos Rutas'!CK670,"")</f>
        <v>101</v>
      </c>
      <c r="AU672" s="802">
        <f>IF(ISNUMBER('Base de datos Rutas'!CL670),'Base de datos Rutas'!CL670,"")</f>
        <v>186.02</v>
      </c>
      <c r="AV672" s="802">
        <f>IF(ISNUMBER('Base de datos Rutas'!CM670),'Base de datos Rutas'!CM670,"")</f>
        <v>85.02000000000001</v>
      </c>
      <c r="AW672" s="802">
        <f>IF(ISNUMBER('Base de datos Rutas'!CN670),'Base de datos Rutas'!CN670,"")</f>
        <v>2.61</v>
      </c>
      <c r="AX672" s="802">
        <f>IF(ISNUMBER('Base de datos Rutas'!CO670),'Base de datos Rutas'!CO670,"")</f>
        <v>9.4499999999999993</v>
      </c>
      <c r="AY672" s="802">
        <f>IF(ISNUMBER('Base de datos Rutas'!CP670),'Base de datos Rutas'!CP670,"")</f>
        <v>6.84</v>
      </c>
      <c r="AZ672" s="802">
        <f>IF(ISNUMBER('Base de datos Rutas'!CQ670),'Base de datos Rutas'!CQ670,"")</f>
        <v>846.56</v>
      </c>
      <c r="BA672" s="802">
        <f>IF(ISNUMBER('Base de datos Rutas'!CR670),'Base de datos Rutas'!CR670,"")</f>
        <v>501.78</v>
      </c>
      <c r="BB672" s="803">
        <f>IF(ISNUMBER('Base de datos Rutas'!CS670),'Base de datos Rutas'!CS670,"")</f>
        <v>344.78</v>
      </c>
      <c r="BC672" s="804">
        <f t="shared" si="393"/>
        <v>0</v>
      </c>
      <c r="BD672" s="805" t="str">
        <f t="shared" si="394"/>
        <v>No saturada</v>
      </c>
      <c r="BE672" s="806">
        <f t="shared" si="395"/>
        <v>0.59272821772821771</v>
      </c>
      <c r="BF672" s="890">
        <f>IF(ISNUMBER('Base de datos Rutas'!CX670),'Base de datos Rutas'!CX670/100,"")</f>
        <v>2.8275080294728888E-2</v>
      </c>
      <c r="BG672" s="891">
        <f>IF(ISNUMBER('Base de datos Rutas'!CZ670),'Base de datos Rutas'!CZ670/100,"")</f>
        <v>3.3629321745701872E-2</v>
      </c>
      <c r="BH672" s="892">
        <f>IF(ISNUMBER('Base de datos Rutas'!DA670),'Base de datos Rutas'!DA670,"")</f>
        <v>93.276152873774905</v>
      </c>
      <c r="BI672" s="893">
        <f>IF(ISNUMBER('Base de datos Rutas'!DC670),'Base de datos Rutas'!DC670,"")</f>
        <v>4.7172905070276778</v>
      </c>
      <c r="BJ672" s="805" t="str">
        <f t="shared" si="396"/>
        <v>Ruta (completo)</v>
      </c>
      <c r="BK672" s="783">
        <f t="shared" si="384"/>
        <v>1</v>
      </c>
      <c r="BL672" s="797">
        <f t="shared" si="385"/>
        <v>1</v>
      </c>
      <c r="BM672" s="797">
        <f t="shared" si="386"/>
        <v>1</v>
      </c>
      <c r="BN672" s="797">
        <f t="shared" si="387"/>
        <v>1</v>
      </c>
      <c r="BO672" s="798" cm="1">
        <f t="array" ref="BO672">SUMPRODUCT(--ISNUMBER($BF672:$BI672),$BK$3:$BN$3)</f>
        <v>1</v>
      </c>
      <c r="BP672" s="831">
        <f t="shared" si="397"/>
        <v>0</v>
      </c>
      <c r="BQ672" s="834" t="str">
        <f t="shared" si="398"/>
        <v>Bajo</v>
      </c>
      <c r="BR672" s="836">
        <f t="shared" si="388"/>
        <v>22.039448894345703</v>
      </c>
      <c r="BS672" s="836">
        <f t="shared" si="389"/>
        <v>0</v>
      </c>
      <c r="BT672" s="837" t="str">
        <f t="shared" si="390"/>
        <v>P4</v>
      </c>
      <c r="BU672" s="807" t="str">
        <f t="shared" si="399"/>
        <v>Con espacio</v>
      </c>
      <c r="BV672" s="807" t="str">
        <f t="shared" si="391"/>
        <v>Zona de bajo potencial</v>
      </c>
      <c r="BW672" s="808" t="str">
        <f t="shared" si="392"/>
        <v>P4 - Evaluar</v>
      </c>
    </row>
    <row r="673" spans="1:75">
      <c r="A673" s="780" t="str">
        <f>'Base de datos Rutas'!A671</f>
        <v>Occidente</v>
      </c>
      <c r="B673" s="781" t="str">
        <f>'Base de datos Rutas'!B671</f>
        <v>Favorita</v>
      </c>
      <c r="C673" s="781" t="str">
        <f>'Base de datos Rutas'!C671</f>
        <v>Suc. Cihuatlán</v>
      </c>
      <c r="D673" s="782">
        <f>IF(ISNUMBER('Base de datos Rutas'!D671),'Base de datos Rutas'!D671,"Sin código")</f>
        <v>808300</v>
      </c>
      <c r="E673" s="783" t="str">
        <f>'Base de datos Rutas'!F671</f>
        <v>Activa</v>
      </c>
      <c r="F673" s="784" t="str">
        <f>'Base de datos Rutas'!H671</f>
        <v>Sí</v>
      </c>
      <c r="G673" s="785">
        <f>IF(ISNUMBER('Base de datos Rutas'!BE671),'Base de datos Rutas'!BE671,"")</f>
        <v>46.380952380952401</v>
      </c>
      <c r="H673" s="786">
        <f>IF(ISNUMBER('Base de datos Rutas'!BH671),'Base de datos Rutas'!BH671,"")</f>
        <v>0.47100811577197599</v>
      </c>
      <c r="I673" s="788">
        <f>IFERROR(IF(OR(NOT(ISNUMBER('Base de datos Rutas'!O671)),N('Base de datos Rutas'!BK671)=0),"",'Base de datos Rutas'!O671/('Base de datos Rutas'!L671/'Base de datos Rutas'!BK671)),"")</f>
        <v>4821.25170068027</v>
      </c>
      <c r="J673" s="788">
        <f>IFERROR(IF(OR(NOT(ISNUMBER('Base de datos Rutas'!N671)),N('Base de datos Rutas'!BK671)=0),"",'Base de datos Rutas'!N671/('Base de datos Rutas'!L671/'Base de datos Rutas'!BK671)),"")</f>
        <v>4548.6689342403606</v>
      </c>
      <c r="K673" s="788">
        <f>IFERROR(IF(OR(NOT(ISNUMBER('Base de datos Rutas'!J671)),N('Base de datos Rutas'!BK671)=0),"",'Base de datos Rutas'!J671/('Base de datos Rutas'!L671/'Base de datos Rutas'!BK671)),"")</f>
        <v>358.86147301587289</v>
      </c>
      <c r="L673" s="788">
        <f>IFERROR(IF(OR(NOT(ISNUMBER('Base de datos Rutas'!K671)),N('Base de datos Rutas'!BK671)=0),"",'Base de datos Rutas'!K671/('Base de datos Rutas'!L671/'Base de datos Rutas'!BK671)),"")</f>
        <v>44.72499732879816</v>
      </c>
      <c r="M673" s="787">
        <f>IF(ISNUMBER('Base de datos Rutas'!AX671),'Base de datos Rutas'!AX671,"")</f>
        <v>428.91137533734701</v>
      </c>
      <c r="N673" s="790">
        <f>IFERROR(INDEX('Hoja de apoyo v2'!B$17:B$20,MATCH($A673,'Hoja de apoyo v2'!$A$17:$A$20,0)),"")</f>
        <v>89.41621024641401</v>
      </c>
      <c r="O673" s="791">
        <f>IFERROR(INDEX('Hoja de apoyo v2'!C$17:C$20,MATCH($A673,'Hoja de apoyo v2'!$A$17:$A$20,0)),"")</f>
        <v>0.54706375874806301</v>
      </c>
      <c r="P673" s="793">
        <f>IFERROR(INDEX('Hoja de apoyo v2'!D$17:D$20,MATCH($A673,'Hoja de apoyo v2'!$A$17:$A$20,0)),"")</f>
        <v>11095.153935793827</v>
      </c>
      <c r="Q673" s="793">
        <f>IFERROR(INDEX('Hoja de apoyo v2'!E$17:E$20,MATCH($A673,'Hoja de apoyo v2'!$A$17:$A$20,0)),"")</f>
        <v>6982.3202019701848</v>
      </c>
      <c r="R673" s="793">
        <f>IFERROR(INDEX('Hoja de apoyo v2'!F$17:F$20,MATCH($A673,'Hoja de apoyo v2'!$A$17:$A$20,0)),"")</f>
        <v>448.09513474485743</v>
      </c>
      <c r="S673" s="793">
        <f>IFERROR(INDEX('Hoja de apoyo v2'!G$17:G$20,MATCH($A673,'Hoja de apoyo v2'!$A$17:$A$20,0)),"")</f>
        <v>83.406300904207839</v>
      </c>
      <c r="T673" s="792">
        <f>IFERROR(INDEX('Hoja de apoyo v2'!H$17:H$20,MATCH($A673,'Hoja de apoyo v2'!$A$17:$A$20,0)),"")</f>
        <v>378.97014028925349</v>
      </c>
      <c r="U673" s="794">
        <f t="shared" si="364"/>
        <v>0.51870854572269776</v>
      </c>
      <c r="V673" s="795">
        <f t="shared" si="365"/>
        <v>0.86097481004748366</v>
      </c>
      <c r="W673" s="795">
        <f t="shared" si="366"/>
        <v>0.43453671112453324</v>
      </c>
      <c r="X673" s="843">
        <f t="shared" si="367"/>
        <v>0.65145521870464684</v>
      </c>
      <c r="Y673" s="843">
        <f t="shared" si="368"/>
        <v>0.80086000759683851</v>
      </c>
      <c r="Z673" s="843">
        <f t="shared" si="369"/>
        <v>0.53623043875503884</v>
      </c>
      <c r="AA673" s="843">
        <f t="shared" si="370"/>
        <v>1.1317814511981743</v>
      </c>
      <c r="AB673" s="796">
        <f t="shared" si="371"/>
        <v>2</v>
      </c>
      <c r="AC673" s="797">
        <f t="shared" si="372"/>
        <v>3</v>
      </c>
      <c r="AD673" s="797">
        <f t="shared" si="373"/>
        <v>1</v>
      </c>
      <c r="AE673" s="842">
        <f t="shared" si="374"/>
        <v>2</v>
      </c>
      <c r="AF673" s="842">
        <f t="shared" si="375"/>
        <v>3</v>
      </c>
      <c r="AG673" s="842">
        <f t="shared" si="376"/>
        <v>2</v>
      </c>
      <c r="AH673" s="842">
        <f t="shared" si="377"/>
        <v>4</v>
      </c>
      <c r="AI673" s="826" cm="1">
        <f t="array" ref="AI673">SUMPRODUCT(--ISNUMBER($U673:$AA673),$AB$3:$AH$3)</f>
        <v>1</v>
      </c>
      <c r="AJ673" s="829">
        <f t="shared" si="378"/>
        <v>29.684234309255373</v>
      </c>
      <c r="AK673" s="827" t="str">
        <f t="shared" si="379"/>
        <v>Inmadura</v>
      </c>
      <c r="AL673" s="784" t="str">
        <f t="shared" si="380"/>
        <v>Alta</v>
      </c>
      <c r="AM673" s="799">
        <f>IF(ISNUMBER('Base de datos Rutas'!W671),'Base de datos Rutas'!W671,"")</f>
        <v>2918.3337087395039</v>
      </c>
      <c r="AN673" s="787">
        <f>IFERROR(SUMIFS('Base de datos Rutas'!$W$6:$W$794,'Base de datos Rutas'!$C$6:$C$794,$C673)/'Base de datos Rutas'!I671,"")</f>
        <v>2918.3337087395039</v>
      </c>
      <c r="AO673" s="800">
        <f>IFERROR('Base de datos Rutas'!X671*AN673/AM673,"")</f>
        <v>0.50936860644544757</v>
      </c>
      <c r="AP673" s="800">
        <f t="shared" si="381"/>
        <v>0.49063139355455243</v>
      </c>
      <c r="AQ673" s="789">
        <f>IFERROR(INDEX('Hoja de apoyo v2'!$J$17:$J$20,MATCH($A673,'Hoja de apoyo v2'!$A$17:$A$20,0)),"")</f>
        <v>0.64320274048480885</v>
      </c>
      <c r="AR673" s="789">
        <f t="shared" si="382"/>
        <v>-0.15257134693025642</v>
      </c>
      <c r="AS673" s="784" t="str">
        <f t="shared" si="383"/>
        <v>No</v>
      </c>
      <c r="AT673" s="801">
        <f>IF(ISNUMBER('Base de datos Rutas'!CK671),'Base de datos Rutas'!CK671,"")</f>
        <v>144</v>
      </c>
      <c r="AU673" s="802">
        <f>IF(ISNUMBER('Base de datos Rutas'!CL671),'Base de datos Rutas'!CL671,"")</f>
        <v>144</v>
      </c>
      <c r="AV673" s="802">
        <f>IF(ISNUMBER('Base de datos Rutas'!CM671),'Base de datos Rutas'!CM671,"")</f>
        <v>0</v>
      </c>
      <c r="AW673" s="802" t="str">
        <f>IF(ISNUMBER('Base de datos Rutas'!CN671),'Base de datos Rutas'!CN671,"")</f>
        <v/>
      </c>
      <c r="AX673" s="802">
        <f>IF(ISNUMBER('Base de datos Rutas'!CO671),'Base de datos Rutas'!CO671,"")</f>
        <v>9.4499999999999993</v>
      </c>
      <c r="AY673" s="802">
        <f>IF(ISNUMBER('Base de datos Rutas'!CP671),'Base de datos Rutas'!CP671,"")</f>
        <v>9.4499999999999993</v>
      </c>
      <c r="AZ673" s="802" t="str">
        <f>IF(ISNUMBER('Base de datos Rutas'!CQ671),'Base de datos Rutas'!CQ671,"")</f>
        <v/>
      </c>
      <c r="BA673" s="802" t="str">
        <f>IF(ISNUMBER('Base de datos Rutas'!CR671),'Base de datos Rutas'!CR671,"")</f>
        <v/>
      </c>
      <c r="BB673" s="803">
        <f>IF(ISNUMBER('Base de datos Rutas'!CS671),'Base de datos Rutas'!CS671,"")</f>
        <v>0</v>
      </c>
      <c r="BC673" s="804" t="str">
        <f t="shared" si="393"/>
        <v/>
      </c>
      <c r="BD673" s="805" t="str">
        <f t="shared" si="394"/>
        <v>N/D</v>
      </c>
      <c r="BE673" s="806" t="str">
        <f t="shared" si="395"/>
        <v/>
      </c>
      <c r="BF673" s="890">
        <f>IF(ISNUMBER('Base de datos Rutas'!CX671),'Base de datos Rutas'!CX671/100,"")</f>
        <v>0</v>
      </c>
      <c r="BG673" s="891">
        <f>IF(ISNUMBER('Base de datos Rutas'!CZ671),'Base de datos Rutas'!CZ671/100,"")</f>
        <v>0</v>
      </c>
      <c r="BH673" s="892">
        <f>IF(ISNUMBER('Base de datos Rutas'!DA671),'Base de datos Rutas'!DA671,"")</f>
        <v>0</v>
      </c>
      <c r="BI673" s="893">
        <f>IF(ISNUMBER('Base de datos Rutas'!DC671),'Base de datos Rutas'!DC671,"")</f>
        <v>0</v>
      </c>
      <c r="BJ673" s="805" t="str">
        <f t="shared" si="396"/>
        <v>Ruta (completo)</v>
      </c>
      <c r="BK673" s="783">
        <f t="shared" si="384"/>
        <v>1</v>
      </c>
      <c r="BL673" s="797">
        <f t="shared" si="385"/>
        <v>1</v>
      </c>
      <c r="BM673" s="797">
        <f t="shared" si="386"/>
        <v>1</v>
      </c>
      <c r="BN673" s="797">
        <f t="shared" si="387"/>
        <v>1</v>
      </c>
      <c r="BO673" s="798" cm="1">
        <f t="array" ref="BO673">SUMPRODUCT(--ISNUMBER($BF673:$BI673),$BK$3:$BN$3)</f>
        <v>1</v>
      </c>
      <c r="BP673" s="831">
        <f t="shared" si="397"/>
        <v>0</v>
      </c>
      <c r="BQ673" s="834" t="str">
        <f t="shared" si="398"/>
        <v>Bajo</v>
      </c>
      <c r="BR673" s="836" t="str">
        <f t="shared" si="388"/>
        <v/>
      </c>
      <c r="BS673" s="836">
        <f t="shared" si="389"/>
        <v>0</v>
      </c>
      <c r="BT673" s="837" t="str">
        <f t="shared" si="390"/>
        <v>Sin datos</v>
      </c>
      <c r="BU673" s="807" t="str">
        <f t="shared" si="399"/>
        <v>Con espacio</v>
      </c>
      <c r="BV673" s="807" t="str">
        <f t="shared" si="391"/>
        <v>Zona de bajo potencial</v>
      </c>
      <c r="BW673" s="808" t="str">
        <f t="shared" si="392"/>
        <v>Sin datos</v>
      </c>
    </row>
    <row r="674" spans="1:75">
      <c r="A674" s="780" t="str">
        <f>'Base de datos Rutas'!A672</f>
        <v>Occidente</v>
      </c>
      <c r="B674" s="781" t="str">
        <f>'Base de datos Rutas'!B672</f>
        <v>Zapopan</v>
      </c>
      <c r="C674" s="781" t="str">
        <f>'Base de datos Rutas'!C672</f>
        <v>Suc. Cocula</v>
      </c>
      <c r="D674" s="782">
        <f>IF(ISNUMBER('Base de datos Rutas'!D672),'Base de datos Rutas'!D672,"Sin código")</f>
        <v>824300</v>
      </c>
      <c r="E674" s="783" t="str">
        <f>'Base de datos Rutas'!F672</f>
        <v>Activa</v>
      </c>
      <c r="F674" s="784" t="str">
        <f>'Base de datos Rutas'!H672</f>
        <v>Sí</v>
      </c>
      <c r="G674" s="785">
        <f>IF(ISNUMBER('Base de datos Rutas'!BE672),'Base de datos Rutas'!BE672,"")</f>
        <v>61.751677852348998</v>
      </c>
      <c r="H674" s="786">
        <f>IF(ISNUMBER('Base de datos Rutas'!BH672),'Base de datos Rutas'!BH672,"")</f>
        <v>0.48194036880049301</v>
      </c>
      <c r="I674" s="788">
        <f>IFERROR(IF(OR(NOT(ISNUMBER('Base de datos Rutas'!O672)),N('Base de datos Rutas'!BK672)=0),"",'Base de datos Rutas'!O672/('Base de datos Rutas'!L672/'Base de datos Rutas'!BK672)),"")</f>
        <v>3003.3064876957542</v>
      </c>
      <c r="J674" s="788">
        <f>IFERROR(IF(OR(NOT(ISNUMBER('Base de datos Rutas'!N672)),N('Base de datos Rutas'!BK672)=0),"",'Base de datos Rutas'!N672/('Base de datos Rutas'!L672/'Base de datos Rutas'!BK672)),"")</f>
        <v>8873.1565995525871</v>
      </c>
      <c r="K674" s="788">
        <f>IFERROR(IF(OR(NOT(ISNUMBER('Base de datos Rutas'!J672)),N('Base de datos Rutas'!BK672)=0),"",'Base de datos Rutas'!J672/('Base de datos Rutas'!L672/'Base de datos Rutas'!BK672)),"")</f>
        <v>646.22533526621805</v>
      </c>
      <c r="L674" s="788">
        <f>IFERROR(IF(OR(NOT(ISNUMBER('Base de datos Rutas'!K672)),N('Base de datos Rutas'!BK672)=0),"",'Base de datos Rutas'!K672/('Base de datos Rutas'!L672/'Base de datos Rutas'!BK672)),"")</f>
        <v>34.5531790335571</v>
      </c>
      <c r="M674" s="787">
        <f>IF(ISNUMBER('Base de datos Rutas'!AX672),'Base de datos Rutas'!AX672,"")</f>
        <v>399.066165526573</v>
      </c>
      <c r="N674" s="790">
        <f>IFERROR(INDEX('Hoja de apoyo v2'!B$17:B$20,MATCH($A674,'Hoja de apoyo v2'!$A$17:$A$20,0)),"")</f>
        <v>89.41621024641401</v>
      </c>
      <c r="O674" s="791">
        <f>IFERROR(INDEX('Hoja de apoyo v2'!C$17:C$20,MATCH($A674,'Hoja de apoyo v2'!$A$17:$A$20,0)),"")</f>
        <v>0.54706375874806301</v>
      </c>
      <c r="P674" s="793">
        <f>IFERROR(INDEX('Hoja de apoyo v2'!D$17:D$20,MATCH($A674,'Hoja de apoyo v2'!$A$17:$A$20,0)),"")</f>
        <v>11095.153935793827</v>
      </c>
      <c r="Q674" s="793">
        <f>IFERROR(INDEX('Hoja de apoyo v2'!E$17:E$20,MATCH($A674,'Hoja de apoyo v2'!$A$17:$A$20,0)),"")</f>
        <v>6982.3202019701848</v>
      </c>
      <c r="R674" s="793">
        <f>IFERROR(INDEX('Hoja de apoyo v2'!F$17:F$20,MATCH($A674,'Hoja de apoyo v2'!$A$17:$A$20,0)),"")</f>
        <v>448.09513474485743</v>
      </c>
      <c r="S674" s="793">
        <f>IFERROR(INDEX('Hoja de apoyo v2'!G$17:G$20,MATCH($A674,'Hoja de apoyo v2'!$A$17:$A$20,0)),"")</f>
        <v>83.406300904207839</v>
      </c>
      <c r="T674" s="792">
        <f>IFERROR(INDEX('Hoja de apoyo v2'!H$17:H$20,MATCH($A674,'Hoja de apoyo v2'!$A$17:$A$20,0)),"")</f>
        <v>378.97014028925349</v>
      </c>
      <c r="U674" s="794">
        <f t="shared" si="364"/>
        <v>0.69060942844897089</v>
      </c>
      <c r="V674" s="795">
        <f t="shared" si="365"/>
        <v>0.88095831810061287</v>
      </c>
      <c r="W674" s="795">
        <f t="shared" si="366"/>
        <v>0.27068632892121075</v>
      </c>
      <c r="X674" s="843">
        <f t="shared" si="367"/>
        <v>1.2708034496969747</v>
      </c>
      <c r="Y674" s="843">
        <f t="shared" si="368"/>
        <v>1.4421610170665538</v>
      </c>
      <c r="Z674" s="843">
        <f t="shared" si="369"/>
        <v>0.41427540436353166</v>
      </c>
      <c r="AA674" s="843">
        <f t="shared" si="370"/>
        <v>1.0530279911287495</v>
      </c>
      <c r="AB674" s="796">
        <f t="shared" si="371"/>
        <v>2</v>
      </c>
      <c r="AC674" s="797">
        <f t="shared" si="372"/>
        <v>3</v>
      </c>
      <c r="AD674" s="797">
        <f t="shared" si="373"/>
        <v>1</v>
      </c>
      <c r="AE674" s="842">
        <f t="shared" si="374"/>
        <v>5</v>
      </c>
      <c r="AF674" s="842">
        <f t="shared" si="375"/>
        <v>5</v>
      </c>
      <c r="AG674" s="842">
        <f t="shared" si="376"/>
        <v>1</v>
      </c>
      <c r="AH674" s="842">
        <f t="shared" si="377"/>
        <v>4</v>
      </c>
      <c r="AI674" s="826" cm="1">
        <f t="array" ref="AI674">SUMPRODUCT(--ISNUMBER($U674:$AA674),$AB$3:$AH$3)</f>
        <v>1</v>
      </c>
      <c r="AJ674" s="829">
        <f t="shared" si="378"/>
        <v>41.37559950393134</v>
      </c>
      <c r="AK674" s="827" t="str">
        <f t="shared" si="379"/>
        <v>Inmadura</v>
      </c>
      <c r="AL674" s="784" t="str">
        <f t="shared" si="380"/>
        <v>Alta</v>
      </c>
      <c r="AM674" s="799">
        <f>IF(ISNUMBER('Base de datos Rutas'!W672),'Base de datos Rutas'!W672,"")</f>
        <v>3603.2458469692669</v>
      </c>
      <c r="AN674" s="787">
        <f>IFERROR(SUMIFS('Base de datos Rutas'!$W$6:$W$794,'Base de datos Rutas'!$C$6:$C$794,$C674)/'Base de datos Rutas'!I672,"")</f>
        <v>3603.2458469692669</v>
      </c>
      <c r="AO674" s="800">
        <f>IFERROR('Base de datos Rutas'!X672*AN674/AM674,"")</f>
        <v>0.37061746384209304</v>
      </c>
      <c r="AP674" s="800">
        <f t="shared" si="381"/>
        <v>0.62938253615790696</v>
      </c>
      <c r="AQ674" s="789">
        <f>IFERROR(INDEX('Hoja de apoyo v2'!$J$17:$J$20,MATCH($A674,'Hoja de apoyo v2'!$A$17:$A$20,0)),"")</f>
        <v>0.64320274048480885</v>
      </c>
      <c r="AR674" s="789">
        <f t="shared" si="382"/>
        <v>-1.3820204326901897E-2</v>
      </c>
      <c r="AS674" s="784" t="str">
        <f t="shared" si="383"/>
        <v>No</v>
      </c>
      <c r="AT674" s="801">
        <f>IF(ISNUMBER('Base de datos Rutas'!CK672),'Base de datos Rutas'!CK672,"")</f>
        <v>232</v>
      </c>
      <c r="AU674" s="802">
        <f>IF(ISNUMBER('Base de datos Rutas'!CL672),'Base de datos Rutas'!CL672,"")</f>
        <v>272.82</v>
      </c>
      <c r="AV674" s="802">
        <f>IF(ISNUMBER('Base de datos Rutas'!CM672),'Base de datos Rutas'!CM672,"")</f>
        <v>40.819999999999993</v>
      </c>
      <c r="AW674" s="802">
        <f>IF(ISNUMBER('Base de datos Rutas'!CN672),'Base de datos Rutas'!CN672,"")</f>
        <v>6.74</v>
      </c>
      <c r="AX674" s="802">
        <f>IF(ISNUMBER('Base de datos Rutas'!CO672),'Base de datos Rutas'!CO672,"")</f>
        <v>9.4499999999999993</v>
      </c>
      <c r="AY674" s="802">
        <f>IF(ISNUMBER('Base de datos Rutas'!CP672),'Base de datos Rutas'!CP672,"")</f>
        <v>2.7099999999999991</v>
      </c>
      <c r="AZ674" s="802">
        <f>IF(ISNUMBER('Base de datos Rutas'!CQ672),'Base de datos Rutas'!CQ672,"")</f>
        <v>846.56</v>
      </c>
      <c r="BA674" s="802">
        <f>IF(ISNUMBER('Base de datos Rutas'!CR672),'Base de datos Rutas'!CR672,"")</f>
        <v>680.78</v>
      </c>
      <c r="BB674" s="803">
        <f>IF(ISNUMBER('Base de datos Rutas'!CS672),'Base de datos Rutas'!CS672,"")</f>
        <v>165.77999999999997</v>
      </c>
      <c r="BC674" s="804">
        <f t="shared" si="393"/>
        <v>0</v>
      </c>
      <c r="BD674" s="805" t="str">
        <f t="shared" si="394"/>
        <v>No saturada</v>
      </c>
      <c r="BE674" s="806">
        <f t="shared" si="395"/>
        <v>0.8041721791721792</v>
      </c>
      <c r="BF674" s="890">
        <f>IF(ISNUMBER('Base de datos Rutas'!CX672),'Base de datos Rutas'!CX672/100,"")</f>
        <v>0.10162032085561497</v>
      </c>
      <c r="BG674" s="891">
        <f>IF(ISNUMBER('Base de datos Rutas'!CZ672),'Base de datos Rutas'!CZ672/100,"")</f>
        <v>0.1052584670231729</v>
      </c>
      <c r="BH674" s="892">
        <f>IF(ISNUMBER('Base de datos Rutas'!DA672),'Base de datos Rutas'!DA672,"")</f>
        <v>177.94484415877352</v>
      </c>
      <c r="BI674" s="893">
        <f>IF(ISNUMBER('Base de datos Rutas'!DC672),'Base de datos Rutas'!DC672,"")</f>
        <v>8.45953580645104</v>
      </c>
      <c r="BJ674" s="805" t="str">
        <f t="shared" si="396"/>
        <v>Ruta (completo)</v>
      </c>
      <c r="BK674" s="783">
        <f t="shared" si="384"/>
        <v>1</v>
      </c>
      <c r="BL674" s="797">
        <f t="shared" si="385"/>
        <v>1</v>
      </c>
      <c r="BM674" s="797">
        <f t="shared" si="386"/>
        <v>1</v>
      </c>
      <c r="BN674" s="797">
        <f t="shared" si="387"/>
        <v>1</v>
      </c>
      <c r="BO674" s="798" cm="1">
        <f t="array" ref="BO674">SUMPRODUCT(--ISNUMBER($BF674:$BI674),$BK$3:$BN$3)</f>
        <v>1</v>
      </c>
      <c r="BP674" s="831">
        <f t="shared" si="397"/>
        <v>0</v>
      </c>
      <c r="BQ674" s="834" t="str">
        <f t="shared" si="398"/>
        <v>Bajo</v>
      </c>
      <c r="BR674" s="836">
        <f t="shared" si="388"/>
        <v>31.031699627948505</v>
      </c>
      <c r="BS674" s="836">
        <f t="shared" si="389"/>
        <v>0</v>
      </c>
      <c r="BT674" s="837" t="str">
        <f t="shared" si="390"/>
        <v>P2</v>
      </c>
      <c r="BU674" s="807" t="str">
        <f t="shared" si="399"/>
        <v>Con espacio</v>
      </c>
      <c r="BV674" s="807" t="str">
        <f t="shared" si="391"/>
        <v>Zona de bajo potencial</v>
      </c>
      <c r="BW674" s="808" t="str">
        <f t="shared" si="392"/>
        <v>P2 - Mantener</v>
      </c>
    </row>
    <row r="675" spans="1:75">
      <c r="A675" s="780" t="str">
        <f>'Base de datos Rutas'!A673</f>
        <v>Occidente</v>
      </c>
      <c r="B675" s="781" t="str">
        <f>'Base de datos Rutas'!B673</f>
        <v>Favorita</v>
      </c>
      <c r="C675" s="781" t="str">
        <f>'Base de datos Rutas'!C673</f>
        <v>Suc. Manzanillo</v>
      </c>
      <c r="D675" s="782">
        <f>IF(ISNUMBER('Base de datos Rutas'!D673),'Base de datos Rutas'!D673,"Sin código")</f>
        <v>805399</v>
      </c>
      <c r="E675" s="783" t="str">
        <f>'Base de datos Rutas'!F673</f>
        <v>Activa</v>
      </c>
      <c r="F675" s="784" t="str">
        <f>'Base de datos Rutas'!H673</f>
        <v>Sí</v>
      </c>
      <c r="G675" s="785">
        <f>IF(ISNUMBER('Base de datos Rutas'!BE673),'Base de datos Rutas'!BE673,"")</f>
        <v>32.6666666666667</v>
      </c>
      <c r="H675" s="786">
        <f>IF(ISNUMBER('Base de datos Rutas'!BH673),'Base de datos Rutas'!BH673,"")</f>
        <v>0.32301196340605198</v>
      </c>
      <c r="I675" s="788">
        <f>IFERROR(IF(OR(NOT(ISNUMBER('Base de datos Rutas'!O673)),N('Base de datos Rutas'!BK673)=0),"",'Base de datos Rutas'!O673/('Base de datos Rutas'!L673/'Base de datos Rutas'!BK673)),"")</f>
        <v>16693.868131868123</v>
      </c>
      <c r="J675" s="788">
        <f>IFERROR(IF(OR(NOT(ISNUMBER('Base de datos Rutas'!N673)),N('Base de datos Rutas'!BK673)=0),"",'Base de datos Rutas'!N673/('Base de datos Rutas'!L673/'Base de datos Rutas'!BK673)),"")</f>
        <v>656.461538461538</v>
      </c>
      <c r="K675" s="788">
        <f>IFERROR(IF(OR(NOT(ISNUMBER('Base de datos Rutas'!J673)),N('Base de datos Rutas'!BK673)=0),"",'Base de datos Rutas'!J673/('Base de datos Rutas'!L673/'Base de datos Rutas'!BK673)),"")</f>
        <v>55.274584615384576</v>
      </c>
      <c r="L675" s="788">
        <f>IFERROR(IF(OR(NOT(ISNUMBER('Base de datos Rutas'!K673)),N('Base de datos Rutas'!BK673)=0),"",'Base de datos Rutas'!K673/('Base de datos Rutas'!L673/'Base de datos Rutas'!BK673)),"")</f>
        <v>161.18768351648342</v>
      </c>
      <c r="M675" s="787">
        <f>IF(ISNUMBER('Base de datos Rutas'!AX673),'Base de datos Rutas'!AX673,"")</f>
        <v>1616.0443091095201</v>
      </c>
      <c r="N675" s="790">
        <f>IFERROR(INDEX('Hoja de apoyo v2'!B$17:B$20,MATCH($A675,'Hoja de apoyo v2'!$A$17:$A$20,0)),"")</f>
        <v>89.41621024641401</v>
      </c>
      <c r="O675" s="791">
        <f>IFERROR(INDEX('Hoja de apoyo v2'!C$17:C$20,MATCH($A675,'Hoja de apoyo v2'!$A$17:$A$20,0)),"")</f>
        <v>0.54706375874806301</v>
      </c>
      <c r="P675" s="793">
        <f>IFERROR(INDEX('Hoja de apoyo v2'!D$17:D$20,MATCH($A675,'Hoja de apoyo v2'!$A$17:$A$20,0)),"")</f>
        <v>11095.153935793827</v>
      </c>
      <c r="Q675" s="793">
        <f>IFERROR(INDEX('Hoja de apoyo v2'!E$17:E$20,MATCH($A675,'Hoja de apoyo v2'!$A$17:$A$20,0)),"")</f>
        <v>6982.3202019701848</v>
      </c>
      <c r="R675" s="793">
        <f>IFERROR(INDEX('Hoja de apoyo v2'!F$17:F$20,MATCH($A675,'Hoja de apoyo v2'!$A$17:$A$20,0)),"")</f>
        <v>448.09513474485743</v>
      </c>
      <c r="S675" s="793">
        <f>IFERROR(INDEX('Hoja de apoyo v2'!G$17:G$20,MATCH($A675,'Hoja de apoyo v2'!$A$17:$A$20,0)),"")</f>
        <v>83.406300904207839</v>
      </c>
      <c r="T675" s="792">
        <f>IFERROR(INDEX('Hoja de apoyo v2'!H$17:H$20,MATCH($A675,'Hoja de apoyo v2'!$A$17:$A$20,0)),"")</f>
        <v>378.97014028925349</v>
      </c>
      <c r="U675" s="794">
        <f t="shared" si="364"/>
        <v>0.36533271290120217</v>
      </c>
      <c r="V675" s="795">
        <f t="shared" si="365"/>
        <v>0.59044664948241865</v>
      </c>
      <c r="W675" s="795">
        <f t="shared" si="366"/>
        <v>1.5046089696883258</v>
      </c>
      <c r="X675" s="843">
        <f t="shared" si="367"/>
        <v>9.40176788621504E-2</v>
      </c>
      <c r="Y675" s="843">
        <f t="shared" si="368"/>
        <v>0.12335457435139879</v>
      </c>
      <c r="Z675" s="843">
        <f t="shared" si="369"/>
        <v>1.9325600316648441</v>
      </c>
      <c r="AA675" s="843">
        <f t="shared" si="370"/>
        <v>4.2643051188044918</v>
      </c>
      <c r="AB675" s="796">
        <f t="shared" si="371"/>
        <v>1</v>
      </c>
      <c r="AC675" s="797">
        <f t="shared" si="372"/>
        <v>2</v>
      </c>
      <c r="AD675" s="797">
        <f t="shared" si="373"/>
        <v>5</v>
      </c>
      <c r="AE675" s="842">
        <f t="shared" si="374"/>
        <v>1</v>
      </c>
      <c r="AF675" s="842">
        <f t="shared" si="375"/>
        <v>1</v>
      </c>
      <c r="AG675" s="842">
        <f t="shared" si="376"/>
        <v>5</v>
      </c>
      <c r="AH675" s="842">
        <f t="shared" si="377"/>
        <v>5</v>
      </c>
      <c r="AI675" s="826" cm="1">
        <f t="array" ref="AI675">SUMPRODUCT(--ISNUMBER($U675:$AA675),$AB$3:$AH$3)</f>
        <v>1</v>
      </c>
      <c r="AJ675" s="829">
        <f t="shared" si="378"/>
        <v>49.37476989674763</v>
      </c>
      <c r="AK675" s="827" t="str">
        <f t="shared" si="379"/>
        <v>En desarrollo</v>
      </c>
      <c r="AL675" s="784" t="str">
        <f t="shared" si="380"/>
        <v>Alta</v>
      </c>
      <c r="AM675" s="799">
        <f>IF(ISNUMBER('Base de datos Rutas'!W673),'Base de datos Rutas'!W673,"")</f>
        <v>1887.634665081757</v>
      </c>
      <c r="AN675" s="787">
        <f>IFERROR(SUMIFS('Base de datos Rutas'!$W$6:$W$794,'Base de datos Rutas'!$C$6:$C$794,$C675)/'Base de datos Rutas'!I673,"")</f>
        <v>1887.6346650817572</v>
      </c>
      <c r="AO675" s="800">
        <f>IFERROR('Base de datos Rutas'!X673*AN675/AM675,"")</f>
        <v>0.71083113178632573</v>
      </c>
      <c r="AP675" s="800">
        <f t="shared" si="381"/>
        <v>0.28916886821367427</v>
      </c>
      <c r="AQ675" s="789">
        <f>IFERROR(INDEX('Hoja de apoyo v2'!$J$17:$J$20,MATCH($A675,'Hoja de apoyo v2'!$A$17:$A$20,0)),"")</f>
        <v>0.64320274048480885</v>
      </c>
      <c r="AR675" s="789">
        <f t="shared" si="382"/>
        <v>-0.35403387227113459</v>
      </c>
      <c r="AS675" s="784" t="str">
        <f t="shared" si="383"/>
        <v>Sí</v>
      </c>
      <c r="AT675" s="801" t="str">
        <f>IF(ISNUMBER('Base de datos Rutas'!CK673),'Base de datos Rutas'!CK673,"")</f>
        <v/>
      </c>
      <c r="AU675" s="802" t="str">
        <f>IF(ISNUMBER('Base de datos Rutas'!CL673),'Base de datos Rutas'!CL673,"")</f>
        <v/>
      </c>
      <c r="AV675" s="802">
        <f>IF(ISNUMBER('Base de datos Rutas'!CM673),'Base de datos Rutas'!CM673,"")</f>
        <v>0</v>
      </c>
      <c r="AW675" s="802" t="str">
        <f>IF(ISNUMBER('Base de datos Rutas'!CN673),'Base de datos Rutas'!CN673,"")</f>
        <v/>
      </c>
      <c r="AX675" s="802" t="str">
        <f>IF(ISNUMBER('Base de datos Rutas'!CO673),'Base de datos Rutas'!CO673,"")</f>
        <v/>
      </c>
      <c r="AY675" s="802">
        <f>IF(ISNUMBER('Base de datos Rutas'!CP673),'Base de datos Rutas'!CP673,"")</f>
        <v>0</v>
      </c>
      <c r="AZ675" s="802" t="str">
        <f>IF(ISNUMBER('Base de datos Rutas'!CQ673),'Base de datos Rutas'!CQ673,"")</f>
        <v/>
      </c>
      <c r="BA675" s="802" t="str">
        <f>IF(ISNUMBER('Base de datos Rutas'!CR673),'Base de datos Rutas'!CR673,"")</f>
        <v/>
      </c>
      <c r="BB675" s="803">
        <f>IF(ISNUMBER('Base de datos Rutas'!CS673),'Base de datos Rutas'!CS673,"")</f>
        <v>0</v>
      </c>
      <c r="BC675" s="804" t="str">
        <f t="shared" si="393"/>
        <v/>
      </c>
      <c r="BD675" s="805" t="str">
        <f t="shared" si="394"/>
        <v>N/D</v>
      </c>
      <c r="BE675" s="806" t="str">
        <f t="shared" si="395"/>
        <v/>
      </c>
      <c r="BF675" s="890" t="str">
        <f>IF(ISNUMBER('Base de datos Rutas'!CX673),'Base de datos Rutas'!CX673/100,"")</f>
        <v/>
      </c>
      <c r="BG675" s="891" t="str">
        <f>IF(ISNUMBER('Base de datos Rutas'!CZ673),'Base de datos Rutas'!CZ673/100,"")</f>
        <v/>
      </c>
      <c r="BH675" s="892" t="str">
        <f>IF(ISNUMBER('Base de datos Rutas'!DA673),'Base de datos Rutas'!DA673,"")</f>
        <v/>
      </c>
      <c r="BI675" s="893" t="str">
        <f>IF(ISNUMBER('Base de datos Rutas'!DC673),'Base de datos Rutas'!DC673,"")</f>
        <v/>
      </c>
      <c r="BJ675" s="805" t="str">
        <f t="shared" si="396"/>
        <v>Sin dato</v>
      </c>
      <c r="BK675" s="783">
        <f t="shared" si="384"/>
        <v>0</v>
      </c>
      <c r="BL675" s="797">
        <f t="shared" si="385"/>
        <v>0</v>
      </c>
      <c r="BM675" s="797">
        <f t="shared" si="386"/>
        <v>0</v>
      </c>
      <c r="BN675" s="797">
        <f t="shared" si="387"/>
        <v>0</v>
      </c>
      <c r="BO675" s="798" cm="1">
        <f t="array" ref="BO675">SUMPRODUCT(--ISNUMBER($BF675:$BI675),$BK$3:$BN$3)</f>
        <v>0</v>
      </c>
      <c r="BP675" s="831" t="str">
        <f t="shared" si="397"/>
        <v/>
      </c>
      <c r="BQ675" s="834" t="str">
        <f t="shared" si="398"/>
        <v>Sin datos</v>
      </c>
      <c r="BR675" s="836" t="str">
        <f t="shared" si="388"/>
        <v/>
      </c>
      <c r="BS675" s="836" t="str">
        <f t="shared" si="389"/>
        <v/>
      </c>
      <c r="BT675" s="837" t="str">
        <f t="shared" si="390"/>
        <v>Sin datos</v>
      </c>
      <c r="BU675" s="807" t="str">
        <f t="shared" si="399"/>
        <v>Con espacio</v>
      </c>
      <c r="BV675" s="807" t="str">
        <f t="shared" si="391"/>
        <v>Sin datos de zona</v>
      </c>
      <c r="BW675" s="808" t="str">
        <f t="shared" si="392"/>
        <v>Sin datos</v>
      </c>
    </row>
    <row r="676" spans="1:75">
      <c r="A676" s="780" t="str">
        <f>'Base de datos Rutas'!A674</f>
        <v>Occidente</v>
      </c>
      <c r="B676" s="781" t="str">
        <f>'Base de datos Rutas'!B674</f>
        <v>Favorita</v>
      </c>
      <c r="C676" s="781" t="str">
        <f>'Base de datos Rutas'!C674</f>
        <v>Suc. Manzanillo</v>
      </c>
      <c r="D676" s="782">
        <f>IF(ISNUMBER('Base de datos Rutas'!D674),'Base de datos Rutas'!D674,"Sin código")</f>
        <v>805401</v>
      </c>
      <c r="E676" s="783" t="str">
        <f>'Base de datos Rutas'!F674</f>
        <v>Activa</v>
      </c>
      <c r="F676" s="784" t="str">
        <f>'Base de datos Rutas'!H674</f>
        <v>Sí</v>
      </c>
      <c r="G676" s="785">
        <f>IF(ISNUMBER('Base de datos Rutas'!BE674),'Base de datos Rutas'!BE674,"")</f>
        <v>25.046511627907002</v>
      </c>
      <c r="H676" s="786">
        <f>IF(ISNUMBER('Base de datos Rutas'!BH674),'Base de datos Rutas'!BH674,"")</f>
        <v>0.308263695450325</v>
      </c>
      <c r="I676" s="788">
        <f>IFERROR(IF(OR(NOT(ISNUMBER('Base de datos Rutas'!O674)),N('Base de datos Rutas'!BK674)=0),"",'Base de datos Rutas'!O674/('Base de datos Rutas'!L674/'Base de datos Rutas'!BK674)),"")</f>
        <v>564.53703703703911</v>
      </c>
      <c r="J676" s="788">
        <f>IFERROR(IF(OR(NOT(ISNUMBER('Base de datos Rutas'!N674)),N('Base de datos Rutas'!BK674)=0),"",'Base de datos Rutas'!N674/('Base de datos Rutas'!L674/'Base de datos Rutas'!BK674)),"")</f>
        <v>1668.5370370370431</v>
      </c>
      <c r="K676" s="788">
        <f>IFERROR(IF(OR(NOT(ISNUMBER('Base de datos Rutas'!J674)),N('Base de datos Rutas'!BK674)=0),"",'Base de datos Rutas'!J674/('Base de datos Rutas'!L674/'Base de datos Rutas'!BK674)),"")</f>
        <v>108.99871111111152</v>
      </c>
      <c r="L676" s="788">
        <f>IFERROR(IF(OR(NOT(ISNUMBER('Base de datos Rutas'!K674)),N('Base de datos Rutas'!BK674)=0),"",'Base de datos Rutas'!K674/('Base de datos Rutas'!L674/'Base de datos Rutas'!BK674)),"")</f>
        <v>4.4335314814814977</v>
      </c>
      <c r="M676" s="787">
        <f>IF(ISNUMBER('Base de datos Rutas'!AX674),'Base de datos Rutas'!AX674,"")</f>
        <v>351.11356725146197</v>
      </c>
      <c r="N676" s="790">
        <f>IFERROR(INDEX('Hoja de apoyo v2'!B$17:B$20,MATCH($A676,'Hoja de apoyo v2'!$A$17:$A$20,0)),"")</f>
        <v>89.41621024641401</v>
      </c>
      <c r="O676" s="791">
        <f>IFERROR(INDEX('Hoja de apoyo v2'!C$17:C$20,MATCH($A676,'Hoja de apoyo v2'!$A$17:$A$20,0)),"")</f>
        <v>0.54706375874806301</v>
      </c>
      <c r="P676" s="793">
        <f>IFERROR(INDEX('Hoja de apoyo v2'!D$17:D$20,MATCH($A676,'Hoja de apoyo v2'!$A$17:$A$20,0)),"")</f>
        <v>11095.153935793827</v>
      </c>
      <c r="Q676" s="793">
        <f>IFERROR(INDEX('Hoja de apoyo v2'!E$17:E$20,MATCH($A676,'Hoja de apoyo v2'!$A$17:$A$20,0)),"")</f>
        <v>6982.3202019701848</v>
      </c>
      <c r="R676" s="793">
        <f>IFERROR(INDEX('Hoja de apoyo v2'!F$17:F$20,MATCH($A676,'Hoja de apoyo v2'!$A$17:$A$20,0)),"")</f>
        <v>448.09513474485743</v>
      </c>
      <c r="S676" s="793">
        <f>IFERROR(INDEX('Hoja de apoyo v2'!G$17:G$20,MATCH($A676,'Hoja de apoyo v2'!$A$17:$A$20,0)),"")</f>
        <v>83.406300904207839</v>
      </c>
      <c r="T676" s="792">
        <f>IFERROR(INDEX('Hoja de apoyo v2'!H$17:H$20,MATCH($A676,'Hoja de apoyo v2'!$A$17:$A$20,0)),"")</f>
        <v>378.97014028925349</v>
      </c>
      <c r="U676" s="794">
        <f t="shared" si="364"/>
        <v>0.28011153188983962</v>
      </c>
      <c r="V676" s="795">
        <f t="shared" si="365"/>
        <v>0.56348769320010539</v>
      </c>
      <c r="W676" s="795">
        <f t="shared" si="366"/>
        <v>5.0881406450414252E-2</v>
      </c>
      <c r="X676" s="843">
        <f t="shared" si="367"/>
        <v>0.23896598677417227</v>
      </c>
      <c r="Y676" s="843">
        <f t="shared" si="368"/>
        <v>0.24324903945492446</v>
      </c>
      <c r="Z676" s="843">
        <f t="shared" si="369"/>
        <v>5.3155833952801837E-2</v>
      </c>
      <c r="AA676" s="843">
        <f t="shared" si="370"/>
        <v>0.92649401608124149</v>
      </c>
      <c r="AB676" s="796">
        <f t="shared" si="371"/>
        <v>1</v>
      </c>
      <c r="AC676" s="797">
        <f t="shared" si="372"/>
        <v>2</v>
      </c>
      <c r="AD676" s="797">
        <f t="shared" si="373"/>
        <v>1</v>
      </c>
      <c r="AE676" s="842">
        <f t="shared" si="374"/>
        <v>1</v>
      </c>
      <c r="AF676" s="842">
        <f t="shared" si="375"/>
        <v>1</v>
      </c>
      <c r="AG676" s="842">
        <f t="shared" si="376"/>
        <v>1</v>
      </c>
      <c r="AH676" s="842">
        <f t="shared" si="377"/>
        <v>3</v>
      </c>
      <c r="AI676" s="826" cm="1">
        <f t="array" ref="AI676">SUMPRODUCT(--ISNUMBER($U676:$AA676),$AB$3:$AH$3)</f>
        <v>1</v>
      </c>
      <c r="AJ676" s="829">
        <f t="shared" si="378"/>
        <v>6.8723612665436082</v>
      </c>
      <c r="AK676" s="827" t="str">
        <f t="shared" si="379"/>
        <v>Inmadura</v>
      </c>
      <c r="AL676" s="784" t="str">
        <f t="shared" si="380"/>
        <v>Alta</v>
      </c>
      <c r="AM676" s="799">
        <f>IF(ISNUMBER('Base de datos Rutas'!W674),'Base de datos Rutas'!W674,"")</f>
        <v>1887.634665081757</v>
      </c>
      <c r="AN676" s="787">
        <f>IFERROR(SUMIFS('Base de datos Rutas'!$W$6:$W$794,'Base de datos Rutas'!$C$6:$C$794,$C676)/'Base de datos Rutas'!I674,"")</f>
        <v>1887.6346650817572</v>
      </c>
      <c r="AO676" s="800">
        <f>IFERROR('Base de datos Rutas'!X674*AN676/AM676,"")</f>
        <v>0.71083113178632573</v>
      </c>
      <c r="AP676" s="800">
        <f t="shared" si="381"/>
        <v>0.28916886821367427</v>
      </c>
      <c r="AQ676" s="789">
        <f>IFERROR(INDEX('Hoja de apoyo v2'!$J$17:$J$20,MATCH($A676,'Hoja de apoyo v2'!$A$17:$A$20,0)),"")</f>
        <v>0.64320274048480885</v>
      </c>
      <c r="AR676" s="789">
        <f t="shared" si="382"/>
        <v>-0.35403387227113459</v>
      </c>
      <c r="AS676" s="784" t="str">
        <f t="shared" si="383"/>
        <v>Sí</v>
      </c>
      <c r="AT676" s="801">
        <f>IF(ISNUMBER('Base de datos Rutas'!CK674),'Base de datos Rutas'!CK674,"")</f>
        <v>111</v>
      </c>
      <c r="AU676" s="802">
        <f>IF(ISNUMBER('Base de datos Rutas'!CL674),'Base de datos Rutas'!CL674,"")</f>
        <v>356.68</v>
      </c>
      <c r="AV676" s="802">
        <f>IF(ISNUMBER('Base de datos Rutas'!CM674),'Base de datos Rutas'!CM674,"")</f>
        <v>245.68</v>
      </c>
      <c r="AW676" s="802">
        <f>IF(ISNUMBER('Base de datos Rutas'!CN674),'Base de datos Rutas'!CN674,"")</f>
        <v>2.86</v>
      </c>
      <c r="AX676" s="802">
        <f>IF(ISNUMBER('Base de datos Rutas'!CO674),'Base de datos Rutas'!CO674,"")</f>
        <v>9.4499999999999993</v>
      </c>
      <c r="AY676" s="802">
        <f>IF(ISNUMBER('Base de datos Rutas'!CP674),'Base de datos Rutas'!CP674,"")</f>
        <v>6.59</v>
      </c>
      <c r="AZ676" s="802">
        <f>IF(ISNUMBER('Base de datos Rutas'!CQ674),'Base de datos Rutas'!CQ674,"")</f>
        <v>564.37</v>
      </c>
      <c r="BA676" s="802">
        <f>IF(ISNUMBER('Base de datos Rutas'!CR674),'Base de datos Rutas'!CR674,"")</f>
        <v>113.43</v>
      </c>
      <c r="BB676" s="803">
        <f>IF(ISNUMBER('Base de datos Rutas'!CS674),'Base de datos Rutas'!CS674,"")</f>
        <v>450.94</v>
      </c>
      <c r="BC676" s="804">
        <f t="shared" si="393"/>
        <v>0</v>
      </c>
      <c r="BD676" s="805" t="str">
        <f t="shared" si="394"/>
        <v>No saturada</v>
      </c>
      <c r="BE676" s="806">
        <f t="shared" si="395"/>
        <v>0.20098516930382551</v>
      </c>
      <c r="BF676" s="890">
        <f>IF(ISNUMBER('Base de datos Rutas'!CX674),'Base de datos Rutas'!CX674/100,"")</f>
        <v>2.0613728129205922E-2</v>
      </c>
      <c r="BG676" s="891">
        <f>IF(ISNUMBER('Base de datos Rutas'!CZ674),'Base de datos Rutas'!CZ674/100,"")</f>
        <v>3.7146702557200539E-2</v>
      </c>
      <c r="BH676" s="892">
        <f>IF(ISNUMBER('Base de datos Rutas'!DA674),'Base de datos Rutas'!DA674,"")</f>
        <v>127.4692056233152</v>
      </c>
      <c r="BI676" s="893">
        <f>IF(ISNUMBER('Base de datos Rutas'!DC674),'Base de datos Rutas'!DC674,"")</f>
        <v>6.2923291106391765</v>
      </c>
      <c r="BJ676" s="805" t="str">
        <f t="shared" si="396"/>
        <v>Ruta (completo)</v>
      </c>
      <c r="BK676" s="783">
        <f t="shared" si="384"/>
        <v>2</v>
      </c>
      <c r="BL676" s="797">
        <f t="shared" si="385"/>
        <v>2</v>
      </c>
      <c r="BM676" s="797">
        <f t="shared" si="386"/>
        <v>5</v>
      </c>
      <c r="BN676" s="797">
        <f t="shared" si="387"/>
        <v>4</v>
      </c>
      <c r="BO676" s="798" cm="1">
        <f t="array" ref="BO676">SUMPRODUCT(--ISNUMBER($BF676:$BI676),$BK$3:$BN$3)</f>
        <v>1</v>
      </c>
      <c r="BP676" s="831">
        <f t="shared" si="397"/>
        <v>56.25</v>
      </c>
      <c r="BQ676" s="834" t="str">
        <f t="shared" si="398"/>
        <v>Alto</v>
      </c>
      <c r="BR676" s="836">
        <f t="shared" si="388"/>
        <v>5.1542709499077066</v>
      </c>
      <c r="BS676" s="836">
        <f t="shared" si="389"/>
        <v>56.25</v>
      </c>
      <c r="BT676" s="837" t="str">
        <f t="shared" si="390"/>
        <v>P3</v>
      </c>
      <c r="BU676" s="807" t="str">
        <f t="shared" si="399"/>
        <v>Con espacio</v>
      </c>
      <c r="BV676" s="807" t="str">
        <f t="shared" si="391"/>
        <v>Zona atractiva</v>
      </c>
      <c r="BW676" s="808" t="str">
        <f t="shared" si="392"/>
        <v>P3 - Desarrollar</v>
      </c>
    </row>
    <row r="677" spans="1:75">
      <c r="A677" s="780" t="str">
        <f>'Base de datos Rutas'!A675</f>
        <v>Occidente</v>
      </c>
      <c r="B677" s="781" t="str">
        <f>'Base de datos Rutas'!B675</f>
        <v>Favorita</v>
      </c>
      <c r="C677" s="781" t="str">
        <f>'Base de datos Rutas'!C675</f>
        <v>Suc. Manzanillo</v>
      </c>
      <c r="D677" s="782">
        <f>IF(ISNUMBER('Base de datos Rutas'!D675),'Base de datos Rutas'!D675,"Sin código")</f>
        <v>805402</v>
      </c>
      <c r="E677" s="783" t="str">
        <f>'Base de datos Rutas'!F675</f>
        <v>Inactiva</v>
      </c>
      <c r="F677" s="784" t="str">
        <f>'Base de datos Rutas'!H675</f>
        <v>No</v>
      </c>
      <c r="G677" s="785" t="str">
        <f>IF(ISNUMBER('Base de datos Rutas'!BE675),'Base de datos Rutas'!BE675,"")</f>
        <v/>
      </c>
      <c r="H677" s="786" t="str">
        <f>IF(ISNUMBER('Base de datos Rutas'!BH675),'Base de datos Rutas'!BH675,"")</f>
        <v/>
      </c>
      <c r="I677" s="788" t="str">
        <f>IFERROR(IF(OR(NOT(ISNUMBER('Base de datos Rutas'!O675)),N('Base de datos Rutas'!BK675)=0),"",'Base de datos Rutas'!O675/('Base de datos Rutas'!L675/'Base de datos Rutas'!BK675)),"")</f>
        <v/>
      </c>
      <c r="J677" s="788" t="str">
        <f>IFERROR(IF(OR(NOT(ISNUMBER('Base de datos Rutas'!N675)),N('Base de datos Rutas'!BK675)=0),"",'Base de datos Rutas'!N675/('Base de datos Rutas'!L675/'Base de datos Rutas'!BK675)),"")</f>
        <v/>
      </c>
      <c r="K677" s="788" t="str">
        <f>IFERROR(IF(OR(NOT(ISNUMBER('Base de datos Rutas'!J675)),N('Base de datos Rutas'!BK675)=0),"",'Base de datos Rutas'!J675/('Base de datos Rutas'!L675/'Base de datos Rutas'!BK675)),"")</f>
        <v/>
      </c>
      <c r="L677" s="788" t="str">
        <f>IFERROR(IF(OR(NOT(ISNUMBER('Base de datos Rutas'!K675)),N('Base de datos Rutas'!BK675)=0),"",'Base de datos Rutas'!K675/('Base de datos Rutas'!L675/'Base de datos Rutas'!BK675)),"")</f>
        <v/>
      </c>
      <c r="M677" s="787">
        <f>IF(ISNUMBER('Base de datos Rutas'!AX675),'Base de datos Rutas'!AX675,"")</f>
        <v>521.92666666666696</v>
      </c>
      <c r="N677" s="790">
        <f>IFERROR(INDEX('Hoja de apoyo v2'!B$17:B$20,MATCH($A677,'Hoja de apoyo v2'!$A$17:$A$20,0)),"")</f>
        <v>89.41621024641401</v>
      </c>
      <c r="O677" s="791">
        <f>IFERROR(INDEX('Hoja de apoyo v2'!C$17:C$20,MATCH($A677,'Hoja de apoyo v2'!$A$17:$A$20,0)),"")</f>
        <v>0.54706375874806301</v>
      </c>
      <c r="P677" s="793">
        <f>IFERROR(INDEX('Hoja de apoyo v2'!D$17:D$20,MATCH($A677,'Hoja de apoyo v2'!$A$17:$A$20,0)),"")</f>
        <v>11095.153935793827</v>
      </c>
      <c r="Q677" s="793">
        <f>IFERROR(INDEX('Hoja de apoyo v2'!E$17:E$20,MATCH($A677,'Hoja de apoyo v2'!$A$17:$A$20,0)),"")</f>
        <v>6982.3202019701848</v>
      </c>
      <c r="R677" s="793">
        <f>IFERROR(INDEX('Hoja de apoyo v2'!F$17:F$20,MATCH($A677,'Hoja de apoyo v2'!$A$17:$A$20,0)),"")</f>
        <v>448.09513474485743</v>
      </c>
      <c r="S677" s="793">
        <f>IFERROR(INDEX('Hoja de apoyo v2'!G$17:G$20,MATCH($A677,'Hoja de apoyo v2'!$A$17:$A$20,0)),"")</f>
        <v>83.406300904207839</v>
      </c>
      <c r="T677" s="792">
        <f>IFERROR(INDEX('Hoja de apoyo v2'!H$17:H$20,MATCH($A677,'Hoja de apoyo v2'!$A$17:$A$20,0)),"")</f>
        <v>378.97014028925349</v>
      </c>
      <c r="U677" s="794" t="str">
        <f t="shared" si="364"/>
        <v/>
      </c>
      <c r="V677" s="795" t="str">
        <f t="shared" si="365"/>
        <v/>
      </c>
      <c r="W677" s="795" t="str">
        <f t="shared" si="366"/>
        <v/>
      </c>
      <c r="X677" s="843" t="str">
        <f t="shared" si="367"/>
        <v/>
      </c>
      <c r="Y677" s="843" t="str">
        <f t="shared" si="368"/>
        <v/>
      </c>
      <c r="Z677" s="843" t="str">
        <f t="shared" si="369"/>
        <v/>
      </c>
      <c r="AA677" s="843">
        <f t="shared" si="370"/>
        <v>1.3772237207614832</v>
      </c>
      <c r="AB677" s="796">
        <f t="shared" si="371"/>
        <v>0</v>
      </c>
      <c r="AC677" s="797">
        <f t="shared" si="372"/>
        <v>0</v>
      </c>
      <c r="AD677" s="797">
        <f t="shared" si="373"/>
        <v>0</v>
      </c>
      <c r="AE677" s="842">
        <f t="shared" si="374"/>
        <v>0</v>
      </c>
      <c r="AF677" s="842">
        <f t="shared" si="375"/>
        <v>0</v>
      </c>
      <c r="AG677" s="842">
        <f t="shared" si="376"/>
        <v>0</v>
      </c>
      <c r="AH677" s="842">
        <f t="shared" si="377"/>
        <v>5</v>
      </c>
      <c r="AI677" s="826" cm="1">
        <f t="array" ref="AI677">SUMPRODUCT(--ISNUMBER($U677:$AA677),$AB$3:$AH$3)</f>
        <v>8.9789113613062493E-2</v>
      </c>
      <c r="AJ677" s="829" t="str">
        <f t="shared" si="378"/>
        <v/>
      </c>
      <c r="AK677" s="827" t="str">
        <f t="shared" si="379"/>
        <v>Ruta inactiva</v>
      </c>
      <c r="AL677" s="784" t="str">
        <f t="shared" si="380"/>
        <v>n/a</v>
      </c>
      <c r="AM677" s="799">
        <f>IF(ISNUMBER('Base de datos Rutas'!W675),'Base de datos Rutas'!W675,"")</f>
        <v>1887.634665081757</v>
      </c>
      <c r="AN677" s="787">
        <f>IFERROR(SUMIFS('Base de datos Rutas'!$W$6:$W$794,'Base de datos Rutas'!$C$6:$C$794,$C677)/'Base de datos Rutas'!I675,"")</f>
        <v>1887.6346650817572</v>
      </c>
      <c r="AO677" s="800">
        <f>IFERROR('Base de datos Rutas'!X675*AN677/AM677,"")</f>
        <v>0.71083113178632573</v>
      </c>
      <c r="AP677" s="800">
        <f t="shared" si="381"/>
        <v>0.28916886821367427</v>
      </c>
      <c r="AQ677" s="789">
        <f>IFERROR(INDEX('Hoja de apoyo v2'!$J$17:$J$20,MATCH($A677,'Hoja de apoyo v2'!$A$17:$A$20,0)),"")</f>
        <v>0.64320274048480885</v>
      </c>
      <c r="AR677" s="789">
        <f t="shared" si="382"/>
        <v>-0.35403387227113459</v>
      </c>
      <c r="AS677" s="784" t="str">
        <f t="shared" si="383"/>
        <v>Sí</v>
      </c>
      <c r="AT677" s="801" t="str">
        <f>IF(ISNUMBER('Base de datos Rutas'!CK675),'Base de datos Rutas'!CK675,"")</f>
        <v/>
      </c>
      <c r="AU677" s="802" t="str">
        <f>IF(ISNUMBER('Base de datos Rutas'!CL675),'Base de datos Rutas'!CL675,"")</f>
        <v/>
      </c>
      <c r="AV677" s="802">
        <f>IF(ISNUMBER('Base de datos Rutas'!CM675),'Base de datos Rutas'!CM675,"")</f>
        <v>0</v>
      </c>
      <c r="AW677" s="802" t="str">
        <f>IF(ISNUMBER('Base de datos Rutas'!CN675),'Base de datos Rutas'!CN675,"")</f>
        <v/>
      </c>
      <c r="AX677" s="802" t="str">
        <f>IF(ISNUMBER('Base de datos Rutas'!CO675),'Base de datos Rutas'!CO675,"")</f>
        <v/>
      </c>
      <c r="AY677" s="802">
        <f>IF(ISNUMBER('Base de datos Rutas'!CP675),'Base de datos Rutas'!CP675,"")</f>
        <v>0</v>
      </c>
      <c r="AZ677" s="802" t="str">
        <f>IF(ISNUMBER('Base de datos Rutas'!CQ675),'Base de datos Rutas'!CQ675,"")</f>
        <v/>
      </c>
      <c r="BA677" s="802" t="str">
        <f>IF(ISNUMBER('Base de datos Rutas'!CR675),'Base de datos Rutas'!CR675,"")</f>
        <v/>
      </c>
      <c r="BB677" s="803">
        <f>IF(ISNUMBER('Base de datos Rutas'!CS675),'Base de datos Rutas'!CS675,"")</f>
        <v>0</v>
      </c>
      <c r="BC677" s="804" t="str">
        <f t="shared" si="393"/>
        <v/>
      </c>
      <c r="BD677" s="805" t="str">
        <f t="shared" si="394"/>
        <v>N/D</v>
      </c>
      <c r="BE677" s="806" t="str">
        <f t="shared" si="395"/>
        <v/>
      </c>
      <c r="BF677" s="890" t="str">
        <f>IF(ISNUMBER('Base de datos Rutas'!CX675),'Base de datos Rutas'!CX675/100,"")</f>
        <v/>
      </c>
      <c r="BG677" s="891" t="str">
        <f>IF(ISNUMBER('Base de datos Rutas'!CZ675),'Base de datos Rutas'!CZ675/100,"")</f>
        <v/>
      </c>
      <c r="BH677" s="892" t="str">
        <f>IF(ISNUMBER('Base de datos Rutas'!DA675),'Base de datos Rutas'!DA675,"")</f>
        <v/>
      </c>
      <c r="BI677" s="893" t="str">
        <f>IF(ISNUMBER('Base de datos Rutas'!DC675),'Base de datos Rutas'!DC675,"")</f>
        <v/>
      </c>
      <c r="BJ677" s="805" t="str">
        <f t="shared" si="396"/>
        <v>Sin dato</v>
      </c>
      <c r="BK677" s="783">
        <f t="shared" si="384"/>
        <v>0</v>
      </c>
      <c r="BL677" s="797">
        <f t="shared" si="385"/>
        <v>0</v>
      </c>
      <c r="BM677" s="797">
        <f t="shared" si="386"/>
        <v>0</v>
      </c>
      <c r="BN677" s="797">
        <f t="shared" si="387"/>
        <v>0</v>
      </c>
      <c r="BO677" s="798" cm="1">
        <f t="array" ref="BO677">SUMPRODUCT(--ISNUMBER($BF677:$BI677),$BK$3:$BN$3)</f>
        <v>0</v>
      </c>
      <c r="BP677" s="831" t="str">
        <f t="shared" si="397"/>
        <v/>
      </c>
      <c r="BQ677" s="834" t="str">
        <f t="shared" si="398"/>
        <v>Sin datos</v>
      </c>
      <c r="BR677" s="836" t="str">
        <f t="shared" si="388"/>
        <v/>
      </c>
      <c r="BS677" s="836" t="str">
        <f t="shared" si="389"/>
        <v/>
      </c>
      <c r="BT677" s="837" t="str">
        <f t="shared" si="390"/>
        <v>Sin datos</v>
      </c>
      <c r="BU677" s="807" t="str">
        <f t="shared" si="399"/>
        <v>No evaluable</v>
      </c>
      <c r="BV677" s="807" t="str">
        <f t="shared" si="391"/>
        <v>No evaluable</v>
      </c>
      <c r="BW677" s="808" t="str">
        <f t="shared" si="392"/>
        <v>Sin datos</v>
      </c>
    </row>
    <row r="678" spans="1:75">
      <c r="A678" s="780" t="str">
        <f>'Base de datos Rutas'!A676</f>
        <v>Occidente</v>
      </c>
      <c r="B678" s="781" t="str">
        <f>'Base de datos Rutas'!B676</f>
        <v>Favorita</v>
      </c>
      <c r="C678" s="781" t="str">
        <f>'Base de datos Rutas'!C676</f>
        <v>Suc. Manzanillo</v>
      </c>
      <c r="D678" s="782">
        <f>IF(ISNUMBER('Base de datos Rutas'!D676),'Base de datos Rutas'!D676,"Sin código")</f>
        <v>805403</v>
      </c>
      <c r="E678" s="783" t="str">
        <f>'Base de datos Rutas'!F676</f>
        <v>Activa</v>
      </c>
      <c r="F678" s="784" t="str">
        <f>'Base de datos Rutas'!H676</f>
        <v>Sí</v>
      </c>
      <c r="G678" s="785">
        <f>IF(ISNUMBER('Base de datos Rutas'!BE676),'Base de datos Rutas'!BE676,"")</f>
        <v>77.146572104018901</v>
      </c>
      <c r="H678" s="786">
        <f>IF(ISNUMBER('Base de datos Rutas'!BH676),'Base de datos Rutas'!BH676,"")</f>
        <v>0.27953298807955101</v>
      </c>
      <c r="I678" s="788">
        <f>IFERROR(IF(OR(NOT(ISNUMBER('Base de datos Rutas'!O676)),N('Base de datos Rutas'!BK676)=0),"",'Base de datos Rutas'!O676/('Base de datos Rutas'!L676/'Base de datos Rutas'!BK676)),"")</f>
        <v>2632.1867612293163</v>
      </c>
      <c r="J678" s="788">
        <f>IFERROR(IF(OR(NOT(ISNUMBER('Base de datos Rutas'!N676)),N('Base de datos Rutas'!BK676)=0),"",'Base de datos Rutas'!N676/('Base de datos Rutas'!L676/'Base de datos Rutas'!BK676)),"")</f>
        <v>6470.4539007092244</v>
      </c>
      <c r="K678" s="788">
        <f>IFERROR(IF(OR(NOT(ISNUMBER('Base de datos Rutas'!J676)),N('Base de datos Rutas'!BK676)=0),"",'Base de datos Rutas'!J676/('Base de datos Rutas'!L676/'Base de datos Rutas'!BK676)),"")</f>
        <v>444.71340898345181</v>
      </c>
      <c r="L678" s="788">
        <f>IFERROR(IF(OR(NOT(ISNUMBER('Base de datos Rutas'!K676)),N('Base de datos Rutas'!BK676)=0),"",'Base de datos Rutas'!K676/('Base de datos Rutas'!L676/'Base de datos Rutas'!BK676)),"")</f>
        <v>20.491613865248244</v>
      </c>
      <c r="M678" s="787">
        <f>IF(ISNUMBER('Base de datos Rutas'!AX676),'Base de datos Rutas'!AX676,"")</f>
        <v>422.10224292918201</v>
      </c>
      <c r="N678" s="790">
        <f>IFERROR(INDEX('Hoja de apoyo v2'!B$17:B$20,MATCH($A678,'Hoja de apoyo v2'!$A$17:$A$20,0)),"")</f>
        <v>89.41621024641401</v>
      </c>
      <c r="O678" s="791">
        <f>IFERROR(INDEX('Hoja de apoyo v2'!C$17:C$20,MATCH($A678,'Hoja de apoyo v2'!$A$17:$A$20,0)),"")</f>
        <v>0.54706375874806301</v>
      </c>
      <c r="P678" s="793">
        <f>IFERROR(INDEX('Hoja de apoyo v2'!D$17:D$20,MATCH($A678,'Hoja de apoyo v2'!$A$17:$A$20,0)),"")</f>
        <v>11095.153935793827</v>
      </c>
      <c r="Q678" s="793">
        <f>IFERROR(INDEX('Hoja de apoyo v2'!E$17:E$20,MATCH($A678,'Hoja de apoyo v2'!$A$17:$A$20,0)),"")</f>
        <v>6982.3202019701848</v>
      </c>
      <c r="R678" s="793">
        <f>IFERROR(INDEX('Hoja de apoyo v2'!F$17:F$20,MATCH($A678,'Hoja de apoyo v2'!$A$17:$A$20,0)),"")</f>
        <v>448.09513474485743</v>
      </c>
      <c r="S678" s="793">
        <f>IFERROR(INDEX('Hoja de apoyo v2'!G$17:G$20,MATCH($A678,'Hoja de apoyo v2'!$A$17:$A$20,0)),"")</f>
        <v>83.406300904207839</v>
      </c>
      <c r="T678" s="792">
        <f>IFERROR(INDEX('Hoja de apoyo v2'!H$17:H$20,MATCH($A678,'Hoja de apoyo v2'!$A$17:$A$20,0)),"")</f>
        <v>378.97014028925349</v>
      </c>
      <c r="U678" s="794">
        <f t="shared" si="364"/>
        <v>0.86278060646294075</v>
      </c>
      <c r="V678" s="795">
        <f t="shared" si="365"/>
        <v>0.51096966964006685</v>
      </c>
      <c r="W678" s="795">
        <f t="shared" si="366"/>
        <v>0.23723751616799815</v>
      </c>
      <c r="X678" s="843">
        <f t="shared" si="367"/>
        <v>0.92669108742441686</v>
      </c>
      <c r="Y678" s="843">
        <f t="shared" si="368"/>
        <v>0.99245310761222361</v>
      </c>
      <c r="Z678" s="843">
        <f t="shared" si="369"/>
        <v>0.24568424259436789</v>
      </c>
      <c r="AA678" s="843">
        <f t="shared" si="370"/>
        <v>1.1138139870518755</v>
      </c>
      <c r="AB678" s="796">
        <f t="shared" si="371"/>
        <v>3</v>
      </c>
      <c r="AC678" s="797">
        <f t="shared" si="372"/>
        <v>2</v>
      </c>
      <c r="AD678" s="797">
        <f t="shared" si="373"/>
        <v>1</v>
      </c>
      <c r="AE678" s="842">
        <f t="shared" si="374"/>
        <v>3</v>
      </c>
      <c r="AF678" s="842">
        <f t="shared" si="375"/>
        <v>3</v>
      </c>
      <c r="AG678" s="842">
        <f t="shared" si="376"/>
        <v>1</v>
      </c>
      <c r="AH678" s="842">
        <f t="shared" si="377"/>
        <v>4</v>
      </c>
      <c r="AI678" s="826" cm="1">
        <f t="array" ref="AI678">SUMPRODUCT(--ISNUMBER($U678:$AA678),$AB$3:$AH$3)</f>
        <v>1</v>
      </c>
      <c r="AJ678" s="829">
        <f t="shared" si="378"/>
        <v>30.855345779660649</v>
      </c>
      <c r="AK678" s="827" t="str">
        <f t="shared" si="379"/>
        <v>Inmadura</v>
      </c>
      <c r="AL678" s="784" t="str">
        <f t="shared" si="380"/>
        <v>Alta</v>
      </c>
      <c r="AM678" s="799">
        <f>IF(ISNUMBER('Base de datos Rutas'!W676),'Base de datos Rutas'!W676,"")</f>
        <v>1887.634665081757</v>
      </c>
      <c r="AN678" s="787">
        <f>IFERROR(SUMIFS('Base de datos Rutas'!$W$6:$W$794,'Base de datos Rutas'!$C$6:$C$794,$C678)/'Base de datos Rutas'!I676,"")</f>
        <v>1887.6346650817572</v>
      </c>
      <c r="AO678" s="800">
        <f>IFERROR('Base de datos Rutas'!X676*AN678/AM678,"")</f>
        <v>0.71083113178632573</v>
      </c>
      <c r="AP678" s="800">
        <f t="shared" si="381"/>
        <v>0.28916886821367427</v>
      </c>
      <c r="AQ678" s="789">
        <f>IFERROR(INDEX('Hoja de apoyo v2'!$J$17:$J$20,MATCH($A678,'Hoja de apoyo v2'!$A$17:$A$20,0)),"")</f>
        <v>0.64320274048480885</v>
      </c>
      <c r="AR678" s="789">
        <f t="shared" si="382"/>
        <v>-0.35403387227113459</v>
      </c>
      <c r="AS678" s="784" t="str">
        <f t="shared" si="383"/>
        <v>Sí</v>
      </c>
      <c r="AT678" s="801">
        <f>IF(ISNUMBER('Base de datos Rutas'!CK676),'Base de datos Rutas'!CK676,"")</f>
        <v>129</v>
      </c>
      <c r="AU678" s="802">
        <f>IF(ISNUMBER('Base de datos Rutas'!CL676),'Base de datos Rutas'!CL676,"")</f>
        <v>176.82</v>
      </c>
      <c r="AV678" s="802">
        <f>IF(ISNUMBER('Base de datos Rutas'!CM676),'Base de datos Rutas'!CM676,"")</f>
        <v>47.819999999999993</v>
      </c>
      <c r="AW678" s="802">
        <f>IF(ISNUMBER('Base de datos Rutas'!CN676),'Base de datos Rutas'!CN676,"")</f>
        <v>2.78</v>
      </c>
      <c r="AX678" s="802">
        <f>IF(ISNUMBER('Base de datos Rutas'!CO676),'Base de datos Rutas'!CO676,"")</f>
        <v>9.4499999999999993</v>
      </c>
      <c r="AY678" s="802">
        <f>IF(ISNUMBER('Base de datos Rutas'!CP676),'Base de datos Rutas'!CP676,"")</f>
        <v>6.67</v>
      </c>
      <c r="AZ678" s="802">
        <f>IF(ISNUMBER('Base de datos Rutas'!CQ676),'Base de datos Rutas'!CQ676,"")</f>
        <v>564.37</v>
      </c>
      <c r="BA678" s="802">
        <f>IF(ISNUMBER('Base de datos Rutas'!CR676),'Base de datos Rutas'!CR676,"")</f>
        <v>465.21</v>
      </c>
      <c r="BB678" s="803">
        <f>IF(ISNUMBER('Base de datos Rutas'!CS676),'Base de datos Rutas'!CS676,"")</f>
        <v>99.160000000000025</v>
      </c>
      <c r="BC678" s="804">
        <f t="shared" si="393"/>
        <v>0</v>
      </c>
      <c r="BD678" s="805" t="str">
        <f t="shared" si="394"/>
        <v>No saturada</v>
      </c>
      <c r="BE678" s="806">
        <f t="shared" si="395"/>
        <v>0.82429966156953771</v>
      </c>
      <c r="BF678" s="890">
        <f>IF(ISNUMBER('Base de datos Rutas'!CX676),'Base de datos Rutas'!CX676/100,"")</f>
        <v>0.12145814781834373</v>
      </c>
      <c r="BG678" s="891">
        <f>IF(ISNUMBER('Base de datos Rutas'!CZ676),'Base de datos Rutas'!CZ676/100,"")</f>
        <v>0.12678094390026715</v>
      </c>
      <c r="BH678" s="892">
        <f>IF(ISNUMBER('Base de datos Rutas'!DA676),'Base de datos Rutas'!DA676,"")</f>
        <v>59.699892159055437</v>
      </c>
      <c r="BI678" s="893">
        <f>IF(ISNUMBER('Base de datos Rutas'!DC676),'Base de datos Rutas'!DC676,"")</f>
        <v>2.963723812033455</v>
      </c>
      <c r="BJ678" s="805" t="str">
        <f t="shared" si="396"/>
        <v>Ruta (completo)</v>
      </c>
      <c r="BK678" s="783">
        <f t="shared" si="384"/>
        <v>4</v>
      </c>
      <c r="BL678" s="797">
        <f t="shared" si="385"/>
        <v>4</v>
      </c>
      <c r="BM678" s="797">
        <f t="shared" si="386"/>
        <v>3</v>
      </c>
      <c r="BN678" s="797">
        <f t="shared" si="387"/>
        <v>3</v>
      </c>
      <c r="BO678" s="798" cm="1">
        <f t="array" ref="BO678">SUMPRODUCT(--ISNUMBER($BF678:$BI678),$BK$3:$BN$3)</f>
        <v>1</v>
      </c>
      <c r="BP678" s="831">
        <f t="shared" si="397"/>
        <v>62.5</v>
      </c>
      <c r="BQ678" s="834" t="str">
        <f t="shared" si="398"/>
        <v>Alto</v>
      </c>
      <c r="BR678" s="836">
        <f t="shared" si="388"/>
        <v>23.141509334745486</v>
      </c>
      <c r="BS678" s="836">
        <f t="shared" si="389"/>
        <v>62.5</v>
      </c>
      <c r="BT678" s="837" t="str">
        <f t="shared" si="390"/>
        <v>P3</v>
      </c>
      <c r="BU678" s="807" t="str">
        <f t="shared" si="399"/>
        <v>Con espacio</v>
      </c>
      <c r="BV678" s="807" t="str">
        <f t="shared" si="391"/>
        <v>Zona atractiva</v>
      </c>
      <c r="BW678" s="808" t="str">
        <f t="shared" si="392"/>
        <v>P3 - Desarrollar</v>
      </c>
    </row>
    <row r="679" spans="1:75">
      <c r="A679" s="780" t="str">
        <f>'Base de datos Rutas'!A677</f>
        <v>Occidente</v>
      </c>
      <c r="B679" s="781" t="str">
        <f>'Base de datos Rutas'!B677</f>
        <v>Favorita</v>
      </c>
      <c r="C679" s="781" t="str">
        <f>'Base de datos Rutas'!C677</f>
        <v>Suc. Manzanillo</v>
      </c>
      <c r="D679" s="782">
        <f>IF(ISNUMBER('Base de datos Rutas'!D677),'Base de datos Rutas'!D677,"Sin código")</f>
        <v>805404</v>
      </c>
      <c r="E679" s="783" t="str">
        <f>'Base de datos Rutas'!F677</f>
        <v>Activa</v>
      </c>
      <c r="F679" s="784" t="str">
        <f>'Base de datos Rutas'!H677</f>
        <v>Sí</v>
      </c>
      <c r="G679" s="785">
        <f>IF(ISNUMBER('Base de datos Rutas'!BE677),'Base de datos Rutas'!BE677,"")</f>
        <v>111.62383177570101</v>
      </c>
      <c r="H679" s="786">
        <f>IF(ISNUMBER('Base de datos Rutas'!BH677),'Base de datos Rutas'!BH677,"")</f>
        <v>0.32766091051805302</v>
      </c>
      <c r="I679" s="788">
        <f>IFERROR(IF(OR(NOT(ISNUMBER('Base de datos Rutas'!O677)),N('Base de datos Rutas'!BK677)=0),"",'Base de datos Rutas'!O677/('Base de datos Rutas'!L677/'Base de datos Rutas'!BK677)),"")</f>
        <v>1895.7172897196228</v>
      </c>
      <c r="J679" s="788">
        <f>IFERROR(IF(OR(NOT(ISNUMBER('Base de datos Rutas'!N677)),N('Base de datos Rutas'!BK677)=0),"",'Base de datos Rutas'!N677/('Base de datos Rutas'!L677/'Base de datos Rutas'!BK677)),"")</f>
        <v>6740.5911214953157</v>
      </c>
      <c r="K679" s="788">
        <f>IFERROR(IF(OR(NOT(ISNUMBER('Base de datos Rutas'!J677)),N('Base de datos Rutas'!BK677)=0),"",'Base de datos Rutas'!J677/('Base de datos Rutas'!L677/'Base de datos Rutas'!BK677)),"")</f>
        <v>466.96489719626089</v>
      </c>
      <c r="L679" s="788">
        <f>IFERROR(IF(OR(NOT(ISNUMBER('Base de datos Rutas'!K677)),N('Base de datos Rutas'!BK677)=0),"",'Base de datos Rutas'!K677/('Base de datos Rutas'!L677/'Base de datos Rutas'!BK677)),"")</f>
        <v>14.762885016355115</v>
      </c>
      <c r="M679" s="787">
        <f>IF(ISNUMBER('Base de datos Rutas'!AX677),'Base de datos Rutas'!AX677,"")</f>
        <v>236.15965567905999</v>
      </c>
      <c r="N679" s="790">
        <f>IFERROR(INDEX('Hoja de apoyo v2'!B$17:B$20,MATCH($A679,'Hoja de apoyo v2'!$A$17:$A$20,0)),"")</f>
        <v>89.41621024641401</v>
      </c>
      <c r="O679" s="791">
        <f>IFERROR(INDEX('Hoja de apoyo v2'!C$17:C$20,MATCH($A679,'Hoja de apoyo v2'!$A$17:$A$20,0)),"")</f>
        <v>0.54706375874806301</v>
      </c>
      <c r="P679" s="793">
        <f>IFERROR(INDEX('Hoja de apoyo v2'!D$17:D$20,MATCH($A679,'Hoja de apoyo v2'!$A$17:$A$20,0)),"")</f>
        <v>11095.153935793827</v>
      </c>
      <c r="Q679" s="793">
        <f>IFERROR(INDEX('Hoja de apoyo v2'!E$17:E$20,MATCH($A679,'Hoja de apoyo v2'!$A$17:$A$20,0)),"")</f>
        <v>6982.3202019701848</v>
      </c>
      <c r="R679" s="793">
        <f>IFERROR(INDEX('Hoja de apoyo v2'!F$17:F$20,MATCH($A679,'Hoja de apoyo v2'!$A$17:$A$20,0)),"")</f>
        <v>448.09513474485743</v>
      </c>
      <c r="S679" s="793">
        <f>IFERROR(INDEX('Hoja de apoyo v2'!G$17:G$20,MATCH($A679,'Hoja de apoyo v2'!$A$17:$A$20,0)),"")</f>
        <v>83.406300904207839</v>
      </c>
      <c r="T679" s="792">
        <f>IFERROR(INDEX('Hoja de apoyo v2'!H$17:H$20,MATCH($A679,'Hoja de apoyo v2'!$A$17:$A$20,0)),"")</f>
        <v>378.97014028925349</v>
      </c>
      <c r="U679" s="794">
        <f t="shared" si="364"/>
        <v>1.2483623659299252</v>
      </c>
      <c r="V679" s="795">
        <f t="shared" si="365"/>
        <v>0.59894464818487336</v>
      </c>
      <c r="W679" s="795">
        <f t="shared" si="366"/>
        <v>0.17085993585036183</v>
      </c>
      <c r="X679" s="843">
        <f t="shared" si="367"/>
        <v>0.96537983457036802</v>
      </c>
      <c r="Y679" s="843">
        <f t="shared" si="368"/>
        <v>1.0421110630048411</v>
      </c>
      <c r="Z679" s="843">
        <f t="shared" si="369"/>
        <v>0.17699963739322636</v>
      </c>
      <c r="AA679" s="843">
        <f t="shared" si="370"/>
        <v>0.6231616440778377</v>
      </c>
      <c r="AB679" s="796">
        <f t="shared" si="371"/>
        <v>4</v>
      </c>
      <c r="AC679" s="797">
        <f t="shared" si="372"/>
        <v>2</v>
      </c>
      <c r="AD679" s="797">
        <f t="shared" si="373"/>
        <v>1</v>
      </c>
      <c r="AE679" s="842">
        <f t="shared" si="374"/>
        <v>3</v>
      </c>
      <c r="AF679" s="842">
        <f t="shared" si="375"/>
        <v>4</v>
      </c>
      <c r="AG679" s="842">
        <f t="shared" si="376"/>
        <v>1</v>
      </c>
      <c r="AH679" s="842">
        <f t="shared" si="377"/>
        <v>2</v>
      </c>
      <c r="AI679" s="826" cm="1">
        <f t="array" ref="AI679">SUMPRODUCT(--ISNUMBER($U679:$AA679),$AB$3:$AH$3)</f>
        <v>1</v>
      </c>
      <c r="AJ679" s="829">
        <f t="shared" si="378"/>
        <v>33.825570789184056</v>
      </c>
      <c r="AK679" s="827" t="str">
        <f t="shared" si="379"/>
        <v>Inmadura</v>
      </c>
      <c r="AL679" s="784" t="str">
        <f t="shared" si="380"/>
        <v>Alta</v>
      </c>
      <c r="AM679" s="799">
        <f>IF(ISNUMBER('Base de datos Rutas'!W677),'Base de datos Rutas'!W677,"")</f>
        <v>1887.634665081757</v>
      </c>
      <c r="AN679" s="787">
        <f>IFERROR(SUMIFS('Base de datos Rutas'!$W$6:$W$794,'Base de datos Rutas'!$C$6:$C$794,$C679)/'Base de datos Rutas'!I677,"")</f>
        <v>1887.6346650817572</v>
      </c>
      <c r="AO679" s="800">
        <f>IFERROR('Base de datos Rutas'!X677*AN679/AM679,"")</f>
        <v>0.71083113178632573</v>
      </c>
      <c r="AP679" s="800">
        <f t="shared" si="381"/>
        <v>0.28916886821367427</v>
      </c>
      <c r="AQ679" s="789">
        <f>IFERROR(INDEX('Hoja de apoyo v2'!$J$17:$J$20,MATCH($A679,'Hoja de apoyo v2'!$A$17:$A$20,0)),"")</f>
        <v>0.64320274048480885</v>
      </c>
      <c r="AR679" s="789">
        <f t="shared" si="382"/>
        <v>-0.35403387227113459</v>
      </c>
      <c r="AS679" s="784" t="str">
        <f t="shared" si="383"/>
        <v>Sí</v>
      </c>
      <c r="AT679" s="801">
        <f>IF(ISNUMBER('Base de datos Rutas'!CK677),'Base de datos Rutas'!CK677,"")</f>
        <v>333</v>
      </c>
      <c r="AU679" s="802">
        <f>IF(ISNUMBER('Base de datos Rutas'!CL677),'Base de datos Rutas'!CL677,"")</f>
        <v>340.5</v>
      </c>
      <c r="AV679" s="802">
        <f>IF(ISNUMBER('Base de datos Rutas'!CM677),'Base de datos Rutas'!CM677,"")</f>
        <v>7.5</v>
      </c>
      <c r="AW679" s="802">
        <f>IF(ISNUMBER('Base de datos Rutas'!CN677),'Base de datos Rutas'!CN677,"")</f>
        <v>9.2100000000000009</v>
      </c>
      <c r="AX679" s="802">
        <f>IF(ISNUMBER('Base de datos Rutas'!CO677),'Base de datos Rutas'!CO677,"")</f>
        <v>9.4499999999999993</v>
      </c>
      <c r="AY679" s="802">
        <f>IF(ISNUMBER('Base de datos Rutas'!CP677),'Base de datos Rutas'!CP677,"")</f>
        <v>0.23999999999999844</v>
      </c>
      <c r="AZ679" s="802">
        <f>IF(ISNUMBER('Base de datos Rutas'!CQ677),'Base de datos Rutas'!CQ677,"")</f>
        <v>521.49</v>
      </c>
      <c r="BA679" s="802">
        <f>IF(ISNUMBER('Base de datos Rutas'!CR677),'Base de datos Rutas'!CR677,"")</f>
        <v>481.73</v>
      </c>
      <c r="BB679" s="803">
        <f>IF(ISNUMBER('Base de datos Rutas'!CS677),'Base de datos Rutas'!CS677,"")</f>
        <v>39.759999999999991</v>
      </c>
      <c r="BC679" s="804">
        <f t="shared" si="393"/>
        <v>0</v>
      </c>
      <c r="BD679" s="805" t="str">
        <f t="shared" si="394"/>
        <v>No saturada</v>
      </c>
      <c r="BE679" s="806">
        <f t="shared" si="395"/>
        <v>0.92375692726610292</v>
      </c>
      <c r="BF679" s="890">
        <f>IF(ISNUMBER('Base de datos Rutas'!CX677),'Base de datos Rutas'!CX677/100,"")</f>
        <v>9.4106661133015149E-2</v>
      </c>
      <c r="BG679" s="891">
        <f>IF(ISNUMBER('Base de datos Rutas'!CZ677),'Base de datos Rutas'!CZ677/100,"")</f>
        <v>9.5663000622535799E-2</v>
      </c>
      <c r="BH679" s="892">
        <f>IF(ISNUMBER('Base de datos Rutas'!DA677),'Base de datos Rutas'!DA677,"")</f>
        <v>120.99391070133638</v>
      </c>
      <c r="BI679" s="893">
        <f>IF(ISNUMBER('Base de datos Rutas'!DC677),'Base de datos Rutas'!DC677,"")</f>
        <v>6.7550067336579307</v>
      </c>
      <c r="BJ679" s="805" t="str">
        <f t="shared" si="396"/>
        <v>Ruta (completo)</v>
      </c>
      <c r="BK679" s="783">
        <f t="shared" si="384"/>
        <v>3</v>
      </c>
      <c r="BL679" s="797">
        <f t="shared" si="385"/>
        <v>3</v>
      </c>
      <c r="BM679" s="797">
        <f t="shared" si="386"/>
        <v>4</v>
      </c>
      <c r="BN679" s="797">
        <f t="shared" si="387"/>
        <v>5</v>
      </c>
      <c r="BO679" s="798" cm="1">
        <f t="array" ref="BO679">SUMPRODUCT(--ISNUMBER($BF679:$BI679),$BK$3:$BN$3)</f>
        <v>1</v>
      </c>
      <c r="BP679" s="831">
        <f t="shared" si="397"/>
        <v>68.75</v>
      </c>
      <c r="BQ679" s="834" t="str">
        <f t="shared" si="398"/>
        <v>Alto</v>
      </c>
      <c r="BR679" s="836">
        <f t="shared" si="388"/>
        <v>25.369178091888042</v>
      </c>
      <c r="BS679" s="836">
        <f t="shared" si="389"/>
        <v>68.75</v>
      </c>
      <c r="BT679" s="837" t="str">
        <f t="shared" si="390"/>
        <v>P3</v>
      </c>
      <c r="BU679" s="807" t="str">
        <f t="shared" si="399"/>
        <v>Con espacio</v>
      </c>
      <c r="BV679" s="807" t="str">
        <f t="shared" si="391"/>
        <v>Zona atractiva</v>
      </c>
      <c r="BW679" s="808" t="str">
        <f t="shared" si="392"/>
        <v>P3 - Desarrollar</v>
      </c>
    </row>
    <row r="680" spans="1:75">
      <c r="A680" s="780" t="str">
        <f>'Base de datos Rutas'!A678</f>
        <v>Occidente</v>
      </c>
      <c r="B680" s="781" t="str">
        <f>'Base de datos Rutas'!B678</f>
        <v>Favorita</v>
      </c>
      <c r="C680" s="781" t="str">
        <f>'Base de datos Rutas'!C678</f>
        <v>Suc. Manzanillo</v>
      </c>
      <c r="D680" s="782">
        <f>IF(ISNUMBER('Base de datos Rutas'!D678),'Base de datos Rutas'!D678,"Sin código")</f>
        <v>805405</v>
      </c>
      <c r="E680" s="783" t="str">
        <f>'Base de datos Rutas'!F678</f>
        <v>Inactiva</v>
      </c>
      <c r="F680" s="784" t="str">
        <f>'Base de datos Rutas'!H678</f>
        <v>No</v>
      </c>
      <c r="G680" s="785" t="str">
        <f>IF(ISNUMBER('Base de datos Rutas'!BE678),'Base de datos Rutas'!BE678,"")</f>
        <v/>
      </c>
      <c r="H680" s="786" t="str">
        <f>IF(ISNUMBER('Base de datos Rutas'!BH678),'Base de datos Rutas'!BH678,"")</f>
        <v/>
      </c>
      <c r="I680" s="788" t="str">
        <f>IFERROR(IF(OR(NOT(ISNUMBER('Base de datos Rutas'!O678)),N('Base de datos Rutas'!BK678)=0),"",'Base de datos Rutas'!O678/('Base de datos Rutas'!L678/'Base de datos Rutas'!BK678)),"")</f>
        <v/>
      </c>
      <c r="J680" s="788" t="str">
        <f>IFERROR(IF(OR(NOT(ISNUMBER('Base de datos Rutas'!N678)),N('Base de datos Rutas'!BK678)=0),"",'Base de datos Rutas'!N678/('Base de datos Rutas'!L678/'Base de datos Rutas'!BK678)),"")</f>
        <v/>
      </c>
      <c r="K680" s="788" t="str">
        <f>IFERROR(IF(OR(NOT(ISNUMBER('Base de datos Rutas'!J678)),N('Base de datos Rutas'!BK678)=0),"",'Base de datos Rutas'!J678/('Base de datos Rutas'!L678/'Base de datos Rutas'!BK678)),"")</f>
        <v/>
      </c>
      <c r="L680" s="788" t="str">
        <f>IFERROR(IF(OR(NOT(ISNUMBER('Base de datos Rutas'!K678)),N('Base de datos Rutas'!BK678)=0),"",'Base de datos Rutas'!K678/('Base de datos Rutas'!L678/'Base de datos Rutas'!BK678)),"")</f>
        <v/>
      </c>
      <c r="M680" s="787">
        <f>IF(ISNUMBER('Base de datos Rutas'!AX678),'Base de datos Rutas'!AX678,"")</f>
        <v>3740.7874999999999</v>
      </c>
      <c r="N680" s="790">
        <f>IFERROR(INDEX('Hoja de apoyo v2'!B$17:B$20,MATCH($A680,'Hoja de apoyo v2'!$A$17:$A$20,0)),"")</f>
        <v>89.41621024641401</v>
      </c>
      <c r="O680" s="791">
        <f>IFERROR(INDEX('Hoja de apoyo v2'!C$17:C$20,MATCH($A680,'Hoja de apoyo v2'!$A$17:$A$20,0)),"")</f>
        <v>0.54706375874806301</v>
      </c>
      <c r="P680" s="793">
        <f>IFERROR(INDEX('Hoja de apoyo v2'!D$17:D$20,MATCH($A680,'Hoja de apoyo v2'!$A$17:$A$20,0)),"")</f>
        <v>11095.153935793827</v>
      </c>
      <c r="Q680" s="793">
        <f>IFERROR(INDEX('Hoja de apoyo v2'!E$17:E$20,MATCH($A680,'Hoja de apoyo v2'!$A$17:$A$20,0)),"")</f>
        <v>6982.3202019701848</v>
      </c>
      <c r="R680" s="793">
        <f>IFERROR(INDEX('Hoja de apoyo v2'!F$17:F$20,MATCH($A680,'Hoja de apoyo v2'!$A$17:$A$20,0)),"")</f>
        <v>448.09513474485743</v>
      </c>
      <c r="S680" s="793">
        <f>IFERROR(INDEX('Hoja de apoyo v2'!G$17:G$20,MATCH($A680,'Hoja de apoyo v2'!$A$17:$A$20,0)),"")</f>
        <v>83.406300904207839</v>
      </c>
      <c r="T680" s="792">
        <f>IFERROR(INDEX('Hoja de apoyo v2'!H$17:H$20,MATCH($A680,'Hoja de apoyo v2'!$A$17:$A$20,0)),"")</f>
        <v>378.97014028925349</v>
      </c>
      <c r="U680" s="794" t="str">
        <f t="shared" si="364"/>
        <v/>
      </c>
      <c r="V680" s="795" t="str">
        <f t="shared" si="365"/>
        <v/>
      </c>
      <c r="W680" s="795" t="str">
        <f t="shared" si="366"/>
        <v/>
      </c>
      <c r="X680" s="843" t="str">
        <f t="shared" si="367"/>
        <v/>
      </c>
      <c r="Y680" s="843" t="str">
        <f t="shared" si="368"/>
        <v/>
      </c>
      <c r="Z680" s="843" t="str">
        <f t="shared" si="369"/>
        <v/>
      </c>
      <c r="AA680" s="843">
        <f t="shared" si="370"/>
        <v>9.8709294013106135</v>
      </c>
      <c r="AB680" s="796">
        <f t="shared" si="371"/>
        <v>0</v>
      </c>
      <c r="AC680" s="797">
        <f t="shared" si="372"/>
        <v>0</v>
      </c>
      <c r="AD680" s="797">
        <f t="shared" si="373"/>
        <v>0</v>
      </c>
      <c r="AE680" s="842">
        <f t="shared" si="374"/>
        <v>0</v>
      </c>
      <c r="AF680" s="842">
        <f t="shared" si="375"/>
        <v>0</v>
      </c>
      <c r="AG680" s="842">
        <f t="shared" si="376"/>
        <v>0</v>
      </c>
      <c r="AH680" s="842">
        <f t="shared" si="377"/>
        <v>5</v>
      </c>
      <c r="AI680" s="826" cm="1">
        <f t="array" ref="AI680">SUMPRODUCT(--ISNUMBER($U680:$AA680),$AB$3:$AH$3)</f>
        <v>8.9789113613062493E-2</v>
      </c>
      <c r="AJ680" s="829" t="str">
        <f t="shared" si="378"/>
        <v/>
      </c>
      <c r="AK680" s="827" t="str">
        <f t="shared" si="379"/>
        <v>Ruta inactiva</v>
      </c>
      <c r="AL680" s="784" t="str">
        <f t="shared" si="380"/>
        <v>n/a</v>
      </c>
      <c r="AM680" s="799">
        <f>IF(ISNUMBER('Base de datos Rutas'!W678),'Base de datos Rutas'!W678,"")</f>
        <v>1887.634665081757</v>
      </c>
      <c r="AN680" s="787">
        <f>IFERROR(SUMIFS('Base de datos Rutas'!$W$6:$W$794,'Base de datos Rutas'!$C$6:$C$794,$C680)/'Base de datos Rutas'!I678,"")</f>
        <v>1887.6346650817572</v>
      </c>
      <c r="AO680" s="800">
        <f>IFERROR('Base de datos Rutas'!X678*AN680/AM680,"")</f>
        <v>0.71083113178632573</v>
      </c>
      <c r="AP680" s="800">
        <f t="shared" si="381"/>
        <v>0.28916886821367427</v>
      </c>
      <c r="AQ680" s="789">
        <f>IFERROR(INDEX('Hoja de apoyo v2'!$J$17:$J$20,MATCH($A680,'Hoja de apoyo v2'!$A$17:$A$20,0)),"")</f>
        <v>0.64320274048480885</v>
      </c>
      <c r="AR680" s="789">
        <f t="shared" si="382"/>
        <v>-0.35403387227113459</v>
      </c>
      <c r="AS680" s="784" t="str">
        <f t="shared" si="383"/>
        <v>Sí</v>
      </c>
      <c r="AT680" s="801">
        <f>IF(ISNUMBER('Base de datos Rutas'!CK678),'Base de datos Rutas'!CK678,"")</f>
        <v>4</v>
      </c>
      <c r="AU680" s="802">
        <f>IF(ISNUMBER('Base de datos Rutas'!CL678),'Base de datos Rutas'!CL678,"")</f>
        <v>19.47</v>
      </c>
      <c r="AV680" s="802">
        <f>IF(ISNUMBER('Base de datos Rutas'!CM678),'Base de datos Rutas'!CM678,"")</f>
        <v>15.469999999999999</v>
      </c>
      <c r="AW680" s="802">
        <f>IF(ISNUMBER('Base de datos Rutas'!CN678),'Base de datos Rutas'!CN678,"")</f>
        <v>0</v>
      </c>
      <c r="AX680" s="802">
        <f>IF(ISNUMBER('Base de datos Rutas'!CO678),'Base de datos Rutas'!CO678,"")</f>
        <v>9.4499999999999993</v>
      </c>
      <c r="AY680" s="802">
        <f>IF(ISNUMBER('Base de datos Rutas'!CP678),'Base de datos Rutas'!CP678,"")</f>
        <v>9.4499999999999993</v>
      </c>
      <c r="AZ680" s="802">
        <f>IF(ISNUMBER('Base de datos Rutas'!CQ678),'Base de datos Rutas'!CQ678,"")</f>
        <v>564.37</v>
      </c>
      <c r="BA680" s="802">
        <f>IF(ISNUMBER('Base de datos Rutas'!CR678),'Base de datos Rutas'!CR678,"")</f>
        <v>462.18</v>
      </c>
      <c r="BB680" s="803">
        <f>IF(ISNUMBER('Base de datos Rutas'!CS678),'Base de datos Rutas'!CS678,"")</f>
        <v>102.19</v>
      </c>
      <c r="BC680" s="804">
        <f t="shared" si="393"/>
        <v>0</v>
      </c>
      <c r="BD680" s="805" t="str">
        <f t="shared" si="394"/>
        <v>No saturada</v>
      </c>
      <c r="BE680" s="806">
        <f t="shared" si="395"/>
        <v>0.81893084324113619</v>
      </c>
      <c r="BF680" s="890">
        <f>IF(ISNUMBER('Base de datos Rutas'!CX678),'Base de datos Rutas'!CX678/100,"")</f>
        <v>4.8656506917986765E-3</v>
      </c>
      <c r="BG680" s="891">
        <f>IF(ISNUMBER('Base de datos Rutas'!CZ678),'Base de datos Rutas'!CZ678/100,"")</f>
        <v>6.4166833767796269E-3</v>
      </c>
      <c r="BH680" s="892">
        <f>IF(ISNUMBER('Base de datos Rutas'!DA678),'Base de datos Rutas'!DA678,"")</f>
        <v>3.9592470871828036</v>
      </c>
      <c r="BI680" s="893">
        <f>IF(ISNUMBER('Base de datos Rutas'!DC678),'Base de datos Rutas'!DC678,"")</f>
        <v>0.29054294171762868</v>
      </c>
      <c r="BJ680" s="805" t="str">
        <f t="shared" si="396"/>
        <v>Ruta (completo)</v>
      </c>
      <c r="BK680" s="783">
        <f t="shared" si="384"/>
        <v>1</v>
      </c>
      <c r="BL680" s="797">
        <f t="shared" si="385"/>
        <v>1</v>
      </c>
      <c r="BM680" s="797">
        <f t="shared" si="386"/>
        <v>1</v>
      </c>
      <c r="BN680" s="797">
        <f t="shared" si="387"/>
        <v>1</v>
      </c>
      <c r="BO680" s="798" cm="1">
        <f t="array" ref="BO680">SUMPRODUCT(--ISNUMBER($BF680:$BI680),$BK$3:$BN$3)</f>
        <v>1</v>
      </c>
      <c r="BP680" s="831">
        <f t="shared" si="397"/>
        <v>0</v>
      </c>
      <c r="BQ680" s="834" t="str">
        <f t="shared" si="398"/>
        <v>Bajo</v>
      </c>
      <c r="BR680" s="836" t="str">
        <f t="shared" si="388"/>
        <v/>
      </c>
      <c r="BS680" s="836">
        <f t="shared" si="389"/>
        <v>0</v>
      </c>
      <c r="BT680" s="837" t="str">
        <f t="shared" si="390"/>
        <v>Sin datos</v>
      </c>
      <c r="BU680" s="807" t="str">
        <f t="shared" si="399"/>
        <v>No evaluable</v>
      </c>
      <c r="BV680" s="807" t="str">
        <f t="shared" si="391"/>
        <v>No evaluable</v>
      </c>
      <c r="BW680" s="808" t="str">
        <f t="shared" si="392"/>
        <v>Sin datos</v>
      </c>
    </row>
    <row r="681" spans="1:75">
      <c r="A681" s="780" t="str">
        <f>'Base de datos Rutas'!A679</f>
        <v>Occidente</v>
      </c>
      <c r="B681" s="781" t="str">
        <f>'Base de datos Rutas'!B679</f>
        <v>Favorita</v>
      </c>
      <c r="C681" s="781" t="str">
        <f>'Base de datos Rutas'!C679</f>
        <v>Suc. Manzanillo</v>
      </c>
      <c r="D681" s="782">
        <f>IF(ISNUMBER('Base de datos Rutas'!D679),'Base de datos Rutas'!D679,"Sin código")</f>
        <v>805406</v>
      </c>
      <c r="E681" s="783" t="str">
        <f>'Base de datos Rutas'!F679</f>
        <v>Activa</v>
      </c>
      <c r="F681" s="784" t="str">
        <f>'Base de datos Rutas'!H679</f>
        <v>Sí</v>
      </c>
      <c r="G681" s="785">
        <f>IF(ISNUMBER('Base de datos Rutas'!BE679),'Base de datos Rutas'!BE679,"")</f>
        <v>65.313539192399105</v>
      </c>
      <c r="H681" s="786">
        <f>IF(ISNUMBER('Base de datos Rutas'!BH679),'Base de datos Rutas'!BH679,"")</f>
        <v>0.288758773684402</v>
      </c>
      <c r="I681" s="788">
        <f>IFERROR(IF(OR(NOT(ISNUMBER('Base de datos Rutas'!O679)),N('Base de datos Rutas'!BK679)=0),"",'Base de datos Rutas'!O679/('Base de datos Rutas'!L679/'Base de datos Rutas'!BK679)),"")</f>
        <v>3079.057007125888</v>
      </c>
      <c r="J681" s="788">
        <f>IFERROR(IF(OR(NOT(ISNUMBER('Base de datos Rutas'!N679)),N('Base de datos Rutas'!BK679)=0),"",'Base de datos Rutas'!N679/('Base de datos Rutas'!L679/'Base de datos Rutas'!BK679)),"")</f>
        <v>6442.3895486935817</v>
      </c>
      <c r="K681" s="788">
        <f>IFERROR(IF(OR(NOT(ISNUMBER('Base de datos Rutas'!J679)),N('Base de datos Rutas'!BK679)=0),"",'Base de datos Rutas'!J679/('Base de datos Rutas'!L679/'Base de datos Rutas'!BK679)),"")</f>
        <v>441.92314869358631</v>
      </c>
      <c r="L681" s="788">
        <f>IFERROR(IF(OR(NOT(ISNUMBER('Base de datos Rutas'!K679)),N('Base de datos Rutas'!BK679)=0),"",'Base de datos Rutas'!K679/('Base de datos Rutas'!L679/'Base de datos Rutas'!BK679)),"")</f>
        <v>20.256765261282641</v>
      </c>
      <c r="M681" s="787">
        <f>IF(ISNUMBER('Base de datos Rutas'!AX679),'Base de datos Rutas'!AX679,"")</f>
        <v>504.852137279597</v>
      </c>
      <c r="N681" s="790">
        <f>IFERROR(INDEX('Hoja de apoyo v2'!B$17:B$20,MATCH($A681,'Hoja de apoyo v2'!$A$17:$A$20,0)),"")</f>
        <v>89.41621024641401</v>
      </c>
      <c r="O681" s="791">
        <f>IFERROR(INDEX('Hoja de apoyo v2'!C$17:C$20,MATCH($A681,'Hoja de apoyo v2'!$A$17:$A$20,0)),"")</f>
        <v>0.54706375874806301</v>
      </c>
      <c r="P681" s="793">
        <f>IFERROR(INDEX('Hoja de apoyo v2'!D$17:D$20,MATCH($A681,'Hoja de apoyo v2'!$A$17:$A$20,0)),"")</f>
        <v>11095.153935793827</v>
      </c>
      <c r="Q681" s="793">
        <f>IFERROR(INDEX('Hoja de apoyo v2'!E$17:E$20,MATCH($A681,'Hoja de apoyo v2'!$A$17:$A$20,0)),"")</f>
        <v>6982.3202019701848</v>
      </c>
      <c r="R681" s="793">
        <f>IFERROR(INDEX('Hoja de apoyo v2'!F$17:F$20,MATCH($A681,'Hoja de apoyo v2'!$A$17:$A$20,0)),"")</f>
        <v>448.09513474485743</v>
      </c>
      <c r="S681" s="793">
        <f>IFERROR(INDEX('Hoja de apoyo v2'!G$17:G$20,MATCH($A681,'Hoja de apoyo v2'!$A$17:$A$20,0)),"")</f>
        <v>83.406300904207839</v>
      </c>
      <c r="T681" s="792">
        <f>IFERROR(INDEX('Hoja de apoyo v2'!H$17:H$20,MATCH($A681,'Hoja de apoyo v2'!$A$17:$A$20,0)),"")</f>
        <v>378.97014028925349</v>
      </c>
      <c r="U681" s="794">
        <f t="shared" si="364"/>
        <v>0.73044405496953468</v>
      </c>
      <c r="V681" s="795">
        <f t="shared" si="365"/>
        <v>0.52783385677972294</v>
      </c>
      <c r="W681" s="795">
        <f t="shared" si="366"/>
        <v>0.27751368074241956</v>
      </c>
      <c r="X681" s="843">
        <f t="shared" si="367"/>
        <v>0.92267174267885166</v>
      </c>
      <c r="Y681" s="843">
        <f t="shared" si="368"/>
        <v>0.98622617035379012</v>
      </c>
      <c r="Z681" s="843">
        <f t="shared" si="369"/>
        <v>0.24286852481981597</v>
      </c>
      <c r="AA681" s="843">
        <f t="shared" si="370"/>
        <v>1.3321686423480821</v>
      </c>
      <c r="AB681" s="796">
        <f t="shared" si="371"/>
        <v>2</v>
      </c>
      <c r="AC681" s="797">
        <f t="shared" si="372"/>
        <v>2</v>
      </c>
      <c r="AD681" s="797">
        <f t="shared" si="373"/>
        <v>1</v>
      </c>
      <c r="AE681" s="842">
        <f t="shared" si="374"/>
        <v>3</v>
      </c>
      <c r="AF681" s="842">
        <f t="shared" si="375"/>
        <v>3</v>
      </c>
      <c r="AG681" s="842">
        <f t="shared" si="376"/>
        <v>1</v>
      </c>
      <c r="AH681" s="842">
        <f t="shared" si="377"/>
        <v>5</v>
      </c>
      <c r="AI681" s="826" cm="1">
        <f t="array" ref="AI681">SUMPRODUCT(--ISNUMBER($U681:$AA681),$AB$3:$AH$3)</f>
        <v>1</v>
      </c>
      <c r="AJ681" s="829">
        <f t="shared" si="378"/>
        <v>28.566437441850457</v>
      </c>
      <c r="AK681" s="827" t="str">
        <f t="shared" si="379"/>
        <v>Inmadura</v>
      </c>
      <c r="AL681" s="784" t="str">
        <f t="shared" si="380"/>
        <v>Alta</v>
      </c>
      <c r="AM681" s="799">
        <f>IF(ISNUMBER('Base de datos Rutas'!W679),'Base de datos Rutas'!W679,"")</f>
        <v>1887.634665081757</v>
      </c>
      <c r="AN681" s="787">
        <f>IFERROR(SUMIFS('Base de datos Rutas'!$W$6:$W$794,'Base de datos Rutas'!$C$6:$C$794,$C681)/'Base de datos Rutas'!I679,"")</f>
        <v>1887.6346650817572</v>
      </c>
      <c r="AO681" s="800">
        <f>IFERROR('Base de datos Rutas'!X679*AN681/AM681,"")</f>
        <v>0.71083113178632573</v>
      </c>
      <c r="AP681" s="800">
        <f t="shared" si="381"/>
        <v>0.28916886821367427</v>
      </c>
      <c r="AQ681" s="789">
        <f>IFERROR(INDEX('Hoja de apoyo v2'!$J$17:$J$20,MATCH($A681,'Hoja de apoyo v2'!$A$17:$A$20,0)),"")</f>
        <v>0.64320274048480885</v>
      </c>
      <c r="AR681" s="789">
        <f t="shared" si="382"/>
        <v>-0.35403387227113459</v>
      </c>
      <c r="AS681" s="784" t="str">
        <f t="shared" si="383"/>
        <v>Sí</v>
      </c>
      <c r="AT681" s="801">
        <f>IF(ISNUMBER('Base de datos Rutas'!CK679),'Base de datos Rutas'!CK679,"")</f>
        <v>258</v>
      </c>
      <c r="AU681" s="802">
        <f>IF(ISNUMBER('Base de datos Rutas'!CL679),'Base de datos Rutas'!CL679,"")</f>
        <v>292.58999999999997</v>
      </c>
      <c r="AV681" s="802">
        <f>IF(ISNUMBER('Base de datos Rutas'!CM679),'Base de datos Rutas'!CM679,"")</f>
        <v>34.589999999999975</v>
      </c>
      <c r="AW681" s="802">
        <f>IF(ISNUMBER('Base de datos Rutas'!CN679),'Base de datos Rutas'!CN679,"")</f>
        <v>6.89</v>
      </c>
      <c r="AX681" s="802">
        <f>IF(ISNUMBER('Base de datos Rutas'!CO679),'Base de datos Rutas'!CO679,"")</f>
        <v>9.4499999999999993</v>
      </c>
      <c r="AY681" s="802">
        <f>IF(ISNUMBER('Base de datos Rutas'!CP679),'Base de datos Rutas'!CP679,"")</f>
        <v>2.5599999999999996</v>
      </c>
      <c r="AZ681" s="802">
        <f>IF(ISNUMBER('Base de datos Rutas'!CQ679),'Base de datos Rutas'!CQ679,"")</f>
        <v>564.37</v>
      </c>
      <c r="BA681" s="802">
        <f>IF(ISNUMBER('Base de datos Rutas'!CR679),'Base de datos Rutas'!CR679,"")</f>
        <v>462.18</v>
      </c>
      <c r="BB681" s="803">
        <f>IF(ISNUMBER('Base de datos Rutas'!CS679),'Base de datos Rutas'!CS679,"")</f>
        <v>102.19</v>
      </c>
      <c r="BC681" s="804">
        <f t="shared" si="393"/>
        <v>0</v>
      </c>
      <c r="BD681" s="805" t="str">
        <f t="shared" si="394"/>
        <v>No saturada</v>
      </c>
      <c r="BE681" s="806">
        <f t="shared" si="395"/>
        <v>0.81893084324113619</v>
      </c>
      <c r="BF681" s="890">
        <f>IF(ISNUMBER('Base de datos Rutas'!CX679),'Base de datos Rutas'!CX679/100,"")</f>
        <v>0.2306146531963664</v>
      </c>
      <c r="BG681" s="891">
        <f>IF(ISNUMBER('Base de datos Rutas'!CZ679),'Base de datos Rutas'!CZ679/100,"")</f>
        <v>0.23355123524917226</v>
      </c>
      <c r="BH681" s="892">
        <f>IF(ISNUMBER('Base de datos Rutas'!DA679),'Base de datos Rutas'!DA679,"")</f>
        <v>42.330362743247392</v>
      </c>
      <c r="BI681" s="893">
        <f>IF(ISNUMBER('Base de datos Rutas'!DC679),'Base de datos Rutas'!DC679,"")</f>
        <v>2.0114198986082976</v>
      </c>
      <c r="BJ681" s="805" t="str">
        <f t="shared" si="396"/>
        <v>Ruta (completo)</v>
      </c>
      <c r="BK681" s="783">
        <f t="shared" si="384"/>
        <v>5</v>
      </c>
      <c r="BL681" s="797">
        <f t="shared" si="385"/>
        <v>5</v>
      </c>
      <c r="BM681" s="797">
        <f t="shared" si="386"/>
        <v>2</v>
      </c>
      <c r="BN681" s="797">
        <f t="shared" si="387"/>
        <v>2</v>
      </c>
      <c r="BO681" s="798" cm="1">
        <f t="array" ref="BO681">SUMPRODUCT(--ISNUMBER($BF681:$BI681),$BK$3:$BN$3)</f>
        <v>1</v>
      </c>
      <c r="BP681" s="831">
        <f t="shared" si="397"/>
        <v>62.5</v>
      </c>
      <c r="BQ681" s="834" t="str">
        <f t="shared" si="398"/>
        <v>Alto</v>
      </c>
      <c r="BR681" s="836">
        <f t="shared" si="388"/>
        <v>21.424828081387844</v>
      </c>
      <c r="BS681" s="836">
        <f t="shared" si="389"/>
        <v>62.5</v>
      </c>
      <c r="BT681" s="837" t="str">
        <f t="shared" si="390"/>
        <v>P3</v>
      </c>
      <c r="BU681" s="807" t="str">
        <f t="shared" si="399"/>
        <v>Con espacio</v>
      </c>
      <c r="BV681" s="807" t="str">
        <f t="shared" si="391"/>
        <v>Zona atractiva</v>
      </c>
      <c r="BW681" s="808" t="str">
        <f t="shared" si="392"/>
        <v>P3 - Desarrollar</v>
      </c>
    </row>
    <row r="682" spans="1:75">
      <c r="A682" s="780" t="str">
        <f>'Base de datos Rutas'!A680</f>
        <v>Occidente</v>
      </c>
      <c r="B682" s="781" t="str">
        <f>'Base de datos Rutas'!B680</f>
        <v>Los Altos</v>
      </c>
      <c r="C682" s="781" t="str">
        <f>'Base de datos Rutas'!C680</f>
        <v>Suc. Ocotlan</v>
      </c>
      <c r="D682" s="782">
        <f>IF(ISNUMBER('Base de datos Rutas'!D680),'Base de datos Rutas'!D680,"Sin código")</f>
        <v>835400</v>
      </c>
      <c r="E682" s="783" t="str">
        <f>'Base de datos Rutas'!F680</f>
        <v>Activa</v>
      </c>
      <c r="F682" s="784" t="str">
        <f>'Base de datos Rutas'!H680</f>
        <v>Sí</v>
      </c>
      <c r="G682" s="785">
        <f>IF(ISNUMBER('Base de datos Rutas'!BE680),'Base de datos Rutas'!BE680,"")</f>
        <v>27.675675675675699</v>
      </c>
      <c r="H682" s="786">
        <f>IF(ISNUMBER('Base de datos Rutas'!BH680),'Base de datos Rutas'!BH680,"")</f>
        <v>0.41634114583333298</v>
      </c>
      <c r="I682" s="788">
        <f>IFERROR(IF(OR(NOT(ISNUMBER('Base de datos Rutas'!O680)),N('Base de datos Rutas'!BK680)=0),"",'Base de datos Rutas'!O680/('Base de datos Rutas'!L680/'Base de datos Rutas'!BK680)),"")</f>
        <v>523.04838709677449</v>
      </c>
      <c r="J682" s="788">
        <f>IFERROR(IF(OR(NOT(ISNUMBER('Base de datos Rutas'!N680)),N('Base de datos Rutas'!BK680)=0),"",'Base de datos Rutas'!N680/('Base de datos Rutas'!L680/'Base de datos Rutas'!BK680)),"")</f>
        <v>4652.8824884792657</v>
      </c>
      <c r="K682" s="788">
        <f>IFERROR(IF(OR(NOT(ISNUMBER('Base de datos Rutas'!J680)),N('Base de datos Rutas'!BK680)=0),"",'Base de datos Rutas'!J680/('Base de datos Rutas'!L680/'Base de datos Rutas'!BK680)),"")</f>
        <v>353.27886451612932</v>
      </c>
      <c r="L682" s="788">
        <f>IFERROR(IF(OR(NOT(ISNUMBER('Base de datos Rutas'!K680)),N('Base de datos Rutas'!BK680)=0),"",'Base de datos Rutas'!K680/('Base de datos Rutas'!L680/'Base de datos Rutas'!BK680)),"")</f>
        <v>3.9884338709677443</v>
      </c>
      <c r="M682" s="787">
        <f>IF(ISNUMBER('Base de datos Rutas'!AX680),'Base de datos Rutas'!AX680,"")</f>
        <v>434.07782608695697</v>
      </c>
      <c r="N682" s="790">
        <f>IFERROR(INDEX('Hoja de apoyo v2'!B$17:B$20,MATCH($A682,'Hoja de apoyo v2'!$A$17:$A$20,0)),"")</f>
        <v>89.41621024641401</v>
      </c>
      <c r="O682" s="791">
        <f>IFERROR(INDEX('Hoja de apoyo v2'!C$17:C$20,MATCH($A682,'Hoja de apoyo v2'!$A$17:$A$20,0)),"")</f>
        <v>0.54706375874806301</v>
      </c>
      <c r="P682" s="793">
        <f>IFERROR(INDEX('Hoja de apoyo v2'!D$17:D$20,MATCH($A682,'Hoja de apoyo v2'!$A$17:$A$20,0)),"")</f>
        <v>11095.153935793827</v>
      </c>
      <c r="Q682" s="793">
        <f>IFERROR(INDEX('Hoja de apoyo v2'!E$17:E$20,MATCH($A682,'Hoja de apoyo v2'!$A$17:$A$20,0)),"")</f>
        <v>6982.3202019701848</v>
      </c>
      <c r="R682" s="793">
        <f>IFERROR(INDEX('Hoja de apoyo v2'!F$17:F$20,MATCH($A682,'Hoja de apoyo v2'!$A$17:$A$20,0)),"")</f>
        <v>448.09513474485743</v>
      </c>
      <c r="S682" s="793">
        <f>IFERROR(INDEX('Hoja de apoyo v2'!G$17:G$20,MATCH($A682,'Hoja de apoyo v2'!$A$17:$A$20,0)),"")</f>
        <v>83.406300904207839</v>
      </c>
      <c r="T682" s="792">
        <f>IFERROR(INDEX('Hoja de apoyo v2'!H$17:H$20,MATCH($A682,'Hoja de apoyo v2'!$A$17:$A$20,0)),"")</f>
        <v>378.97014028925349</v>
      </c>
      <c r="U682" s="794">
        <f t="shared" si="364"/>
        <v>0.30951519416229806</v>
      </c>
      <c r="V682" s="795">
        <f t="shared" si="365"/>
        <v>0.76104684175408677</v>
      </c>
      <c r="W682" s="795">
        <f t="shared" si="366"/>
        <v>4.7142057705876421E-2</v>
      </c>
      <c r="X682" s="843">
        <f t="shared" si="367"/>
        <v>0.66638056604255602</v>
      </c>
      <c r="Y682" s="843">
        <f t="shared" si="368"/>
        <v>0.78840147353370416</v>
      </c>
      <c r="Z682" s="843">
        <f t="shared" si="369"/>
        <v>4.7819335322740922E-2</v>
      </c>
      <c r="AA682" s="843">
        <f t="shared" si="370"/>
        <v>1.1454143214440111</v>
      </c>
      <c r="AB682" s="796">
        <f t="shared" si="371"/>
        <v>1</v>
      </c>
      <c r="AC682" s="797">
        <f t="shared" si="372"/>
        <v>3</v>
      </c>
      <c r="AD682" s="797">
        <f t="shared" si="373"/>
        <v>1</v>
      </c>
      <c r="AE682" s="842">
        <f t="shared" si="374"/>
        <v>2</v>
      </c>
      <c r="AF682" s="842">
        <f t="shared" si="375"/>
        <v>3</v>
      </c>
      <c r="AG682" s="842">
        <f t="shared" si="376"/>
        <v>1</v>
      </c>
      <c r="AH682" s="842">
        <f t="shared" si="377"/>
        <v>4</v>
      </c>
      <c r="AI682" s="826" cm="1">
        <f t="array" ref="AI682">SUMPRODUCT(--ISNUMBER($U682:$AA682),$AB$3:$AH$3)</f>
        <v>1</v>
      </c>
      <c r="AJ682" s="829">
        <f t="shared" si="378"/>
        <v>20.761531363058928</v>
      </c>
      <c r="AK682" s="827" t="str">
        <f t="shared" si="379"/>
        <v>Inmadura</v>
      </c>
      <c r="AL682" s="784" t="str">
        <f t="shared" si="380"/>
        <v>Alta</v>
      </c>
      <c r="AM682" s="799">
        <f>IF(ISNUMBER('Base de datos Rutas'!W680),'Base de datos Rutas'!W680,"")</f>
        <v>3086.6202842364569</v>
      </c>
      <c r="AN682" s="787">
        <f>IFERROR(SUMIFS('Base de datos Rutas'!$W$6:$W$794,'Base de datos Rutas'!$C$6:$C$794,$C682)/'Base de datos Rutas'!I680,"")</f>
        <v>3086.6202842364569</v>
      </c>
      <c r="AO682" s="800">
        <f>IFERROR('Base de datos Rutas'!X680*AN682/AM682,"")</f>
        <v>0.37543566047633253</v>
      </c>
      <c r="AP682" s="800">
        <f t="shared" si="381"/>
        <v>0.62456433952366752</v>
      </c>
      <c r="AQ682" s="789">
        <f>IFERROR(INDEX('Hoja de apoyo v2'!$J$17:$J$20,MATCH($A682,'Hoja de apoyo v2'!$A$17:$A$20,0)),"")</f>
        <v>0.64320274048480885</v>
      </c>
      <c r="AR682" s="789">
        <f t="shared" si="382"/>
        <v>-1.8638400961141333E-2</v>
      </c>
      <c r="AS682" s="784" t="str">
        <f t="shared" si="383"/>
        <v>No</v>
      </c>
      <c r="AT682" s="801">
        <f>IF(ISNUMBER('Base de datos Rutas'!CK680),'Base de datos Rutas'!CK680,"")</f>
        <v>50</v>
      </c>
      <c r="AU682" s="802">
        <f>IF(ISNUMBER('Base de datos Rutas'!CL680),'Base de datos Rutas'!CL680,"")</f>
        <v>61.58</v>
      </c>
      <c r="AV682" s="802">
        <f>IF(ISNUMBER('Base de datos Rutas'!CM680),'Base de datos Rutas'!CM680,"")</f>
        <v>11.579999999999998</v>
      </c>
      <c r="AW682" s="802">
        <f>IF(ISNUMBER('Base de datos Rutas'!CN680),'Base de datos Rutas'!CN680,"")</f>
        <v>2.2200000000000002</v>
      </c>
      <c r="AX682" s="802">
        <f>IF(ISNUMBER('Base de datos Rutas'!CO680),'Base de datos Rutas'!CO680,"")</f>
        <v>9.4499999999999993</v>
      </c>
      <c r="AY682" s="802">
        <f>IF(ISNUMBER('Base de datos Rutas'!CP680),'Base de datos Rutas'!CP680,"")</f>
        <v>7.2299999999999986</v>
      </c>
      <c r="AZ682" s="802">
        <f>IF(ISNUMBER('Base de datos Rutas'!CQ680),'Base de datos Rutas'!CQ680,"")</f>
        <v>521.49</v>
      </c>
      <c r="BA682" s="802">
        <f>IF(ISNUMBER('Base de datos Rutas'!CR680),'Base de datos Rutas'!CR680,"")</f>
        <v>357.27</v>
      </c>
      <c r="BB682" s="803">
        <f>IF(ISNUMBER('Base de datos Rutas'!CS680),'Base de datos Rutas'!CS680,"")</f>
        <v>164.22000000000003</v>
      </c>
      <c r="BC682" s="804">
        <f t="shared" si="393"/>
        <v>0</v>
      </c>
      <c r="BD682" s="805" t="str">
        <f t="shared" si="394"/>
        <v>No saturada</v>
      </c>
      <c r="BE682" s="806">
        <f t="shared" si="395"/>
        <v>0.68509463268710802</v>
      </c>
      <c r="BF682" s="890">
        <f>IF(ISNUMBER('Base de datos Rutas'!CX680),'Base de datos Rutas'!CX680/100,"")</f>
        <v>0.10806599832915621</v>
      </c>
      <c r="BG682" s="891">
        <f>IF(ISNUMBER('Base de datos Rutas'!CZ680),'Base de datos Rutas'!CZ680/100,"")</f>
        <v>0.11048454469507102</v>
      </c>
      <c r="BH682" s="892">
        <f>IF(ISNUMBER('Base de datos Rutas'!DA680),'Base de datos Rutas'!DA680,"")</f>
        <v>83.293927802016015</v>
      </c>
      <c r="BI682" s="893">
        <f>IF(ISNUMBER('Base de datos Rutas'!DC680),'Base de datos Rutas'!DC680,"")</f>
        <v>5.0850595260418627</v>
      </c>
      <c r="BJ682" s="805" t="str">
        <f t="shared" si="396"/>
        <v>Ruta (completo)</v>
      </c>
      <c r="BK682" s="783">
        <f t="shared" si="384"/>
        <v>1</v>
      </c>
      <c r="BL682" s="797">
        <f t="shared" si="385"/>
        <v>1</v>
      </c>
      <c r="BM682" s="797">
        <f t="shared" si="386"/>
        <v>1</v>
      </c>
      <c r="BN682" s="797">
        <f t="shared" si="387"/>
        <v>1</v>
      </c>
      <c r="BO682" s="798" cm="1">
        <f t="array" ref="BO682">SUMPRODUCT(--ISNUMBER($BF682:$BI682),$BK$3:$BN$3)</f>
        <v>1</v>
      </c>
      <c r="BP682" s="831">
        <f t="shared" si="397"/>
        <v>0</v>
      </c>
      <c r="BQ682" s="834" t="str">
        <f t="shared" si="398"/>
        <v>Bajo</v>
      </c>
      <c r="BR682" s="836">
        <f t="shared" si="388"/>
        <v>15.571148522294196</v>
      </c>
      <c r="BS682" s="836">
        <f t="shared" si="389"/>
        <v>0</v>
      </c>
      <c r="BT682" s="837" t="str">
        <f t="shared" si="390"/>
        <v>P4</v>
      </c>
      <c r="BU682" s="807" t="str">
        <f t="shared" si="399"/>
        <v>Con espacio</v>
      </c>
      <c r="BV682" s="807" t="str">
        <f t="shared" si="391"/>
        <v>Zona de bajo potencial</v>
      </c>
      <c r="BW682" s="808" t="str">
        <f t="shared" si="392"/>
        <v>P4 - Evaluar</v>
      </c>
    </row>
    <row r="683" spans="1:75">
      <c r="A683" s="780" t="str">
        <f>'Base de datos Rutas'!A681</f>
        <v>Occidente</v>
      </c>
      <c r="B683" s="781" t="str">
        <f>'Base de datos Rutas'!B681</f>
        <v>Los Altos</v>
      </c>
      <c r="C683" s="781" t="str">
        <f>'Base de datos Rutas'!C681</f>
        <v>Suc. Ocotlan</v>
      </c>
      <c r="D683" s="782">
        <f>IF(ISNUMBER('Base de datos Rutas'!D681),'Base de datos Rutas'!D681,"Sin código")</f>
        <v>835401</v>
      </c>
      <c r="E683" s="783" t="str">
        <f>'Base de datos Rutas'!F681</f>
        <v>Activa</v>
      </c>
      <c r="F683" s="784" t="str">
        <f>'Base de datos Rutas'!H681</f>
        <v>Sí</v>
      </c>
      <c r="G683" s="785">
        <f>IF(ISNUMBER('Base de datos Rutas'!BE681),'Base de datos Rutas'!BE681,"")</f>
        <v>40.2912844036697</v>
      </c>
      <c r="H683" s="786">
        <f>IF(ISNUMBER('Base de datos Rutas'!BH681),'Base de datos Rutas'!BH681,"")</f>
        <v>0.31553480958615598</v>
      </c>
      <c r="I683" s="788">
        <f>IFERROR(IF(OR(NOT(ISNUMBER('Base de datos Rutas'!O681)),N('Base de datos Rutas'!BK681)=0),"",'Base de datos Rutas'!O681/('Base de datos Rutas'!L681/'Base de datos Rutas'!BK681)),"")</f>
        <v>1001.4426605504581</v>
      </c>
      <c r="J683" s="788">
        <f>IFERROR(IF(OR(NOT(ISNUMBER('Base de datos Rutas'!N681)),N('Base de datos Rutas'!BK681)=0),"",'Base de datos Rutas'!N681/('Base de datos Rutas'!L681/'Base de datos Rutas'!BK681)),"")</f>
        <v>4774.1834862385294</v>
      </c>
      <c r="K683" s="788">
        <f>IFERROR(IF(OR(NOT(ISNUMBER('Base de datos Rutas'!J681)),N('Base de datos Rutas'!BK681)=0),"",'Base de datos Rutas'!J681/('Base de datos Rutas'!L681/'Base de datos Rutas'!BK681)),"")</f>
        <v>341.17707875229337</v>
      </c>
      <c r="L683" s="788">
        <f>IFERROR(IF(OR(NOT(ISNUMBER('Base de datos Rutas'!K681)),N('Base de datos Rutas'!BK681)=0),"",'Base de datos Rutas'!K681/('Base de datos Rutas'!L681/'Base de datos Rutas'!BK681)),"")</f>
        <v>7.0827197247706373</v>
      </c>
      <c r="M683" s="787">
        <f>IF(ISNUMBER('Base de datos Rutas'!AX681),'Base de datos Rutas'!AX681,"")</f>
        <v>454.29808948223001</v>
      </c>
      <c r="N683" s="790">
        <f>IFERROR(INDEX('Hoja de apoyo v2'!B$17:B$20,MATCH($A683,'Hoja de apoyo v2'!$A$17:$A$20,0)),"")</f>
        <v>89.41621024641401</v>
      </c>
      <c r="O683" s="791">
        <f>IFERROR(INDEX('Hoja de apoyo v2'!C$17:C$20,MATCH($A683,'Hoja de apoyo v2'!$A$17:$A$20,0)),"")</f>
        <v>0.54706375874806301</v>
      </c>
      <c r="P683" s="793">
        <f>IFERROR(INDEX('Hoja de apoyo v2'!D$17:D$20,MATCH($A683,'Hoja de apoyo v2'!$A$17:$A$20,0)),"")</f>
        <v>11095.153935793827</v>
      </c>
      <c r="Q683" s="793">
        <f>IFERROR(INDEX('Hoja de apoyo v2'!E$17:E$20,MATCH($A683,'Hoja de apoyo v2'!$A$17:$A$20,0)),"")</f>
        <v>6982.3202019701848</v>
      </c>
      <c r="R683" s="793">
        <f>IFERROR(INDEX('Hoja de apoyo v2'!F$17:F$20,MATCH($A683,'Hoja de apoyo v2'!$A$17:$A$20,0)),"")</f>
        <v>448.09513474485743</v>
      </c>
      <c r="S683" s="793">
        <f>IFERROR(INDEX('Hoja de apoyo v2'!G$17:G$20,MATCH($A683,'Hoja de apoyo v2'!$A$17:$A$20,0)),"")</f>
        <v>83.406300904207839</v>
      </c>
      <c r="T683" s="792">
        <f>IFERROR(INDEX('Hoja de apoyo v2'!H$17:H$20,MATCH($A683,'Hoja de apoyo v2'!$A$17:$A$20,0)),"")</f>
        <v>378.97014028925349</v>
      </c>
      <c r="U683" s="794">
        <f t="shared" si="364"/>
        <v>0.45060380318775095</v>
      </c>
      <c r="V683" s="795">
        <f t="shared" si="365"/>
        <v>0.57677885719983857</v>
      </c>
      <c r="W683" s="795">
        <f t="shared" si="366"/>
        <v>9.0259465199462111E-2</v>
      </c>
      <c r="X683" s="843">
        <f t="shared" si="367"/>
        <v>0.68375315770986977</v>
      </c>
      <c r="Y683" s="843">
        <f t="shared" si="368"/>
        <v>0.76139429397410763</v>
      </c>
      <c r="Z683" s="843">
        <f t="shared" si="369"/>
        <v>8.4918281328710918E-2</v>
      </c>
      <c r="AA683" s="843">
        <f t="shared" si="370"/>
        <v>1.1987701435671991</v>
      </c>
      <c r="AB683" s="796">
        <f t="shared" si="371"/>
        <v>1</v>
      </c>
      <c r="AC683" s="797">
        <f t="shared" si="372"/>
        <v>2</v>
      </c>
      <c r="AD683" s="797">
        <f t="shared" si="373"/>
        <v>1</v>
      </c>
      <c r="AE683" s="842">
        <f t="shared" si="374"/>
        <v>2</v>
      </c>
      <c r="AF683" s="842">
        <f t="shared" si="375"/>
        <v>3</v>
      </c>
      <c r="AG683" s="842">
        <f t="shared" si="376"/>
        <v>1</v>
      </c>
      <c r="AH683" s="842">
        <f t="shared" si="377"/>
        <v>4</v>
      </c>
      <c r="AI683" s="826" cm="1">
        <f t="array" ref="AI683">SUMPRODUCT(--ISNUMBER($U683:$AA683),$AB$3:$AH$3)</f>
        <v>1</v>
      </c>
      <c r="AJ683" s="829">
        <f t="shared" si="378"/>
        <v>18.378625777168455</v>
      </c>
      <c r="AK683" s="827" t="str">
        <f t="shared" si="379"/>
        <v>Inmadura</v>
      </c>
      <c r="AL683" s="784" t="str">
        <f t="shared" si="380"/>
        <v>Alta</v>
      </c>
      <c r="AM683" s="799">
        <f>IF(ISNUMBER('Base de datos Rutas'!W681),'Base de datos Rutas'!W681,"")</f>
        <v>3086.6202842364569</v>
      </c>
      <c r="AN683" s="787">
        <f>IFERROR(SUMIFS('Base de datos Rutas'!$W$6:$W$794,'Base de datos Rutas'!$C$6:$C$794,$C683)/'Base de datos Rutas'!I681,"")</f>
        <v>3086.6202842364569</v>
      </c>
      <c r="AO683" s="800">
        <f>IFERROR('Base de datos Rutas'!X681*AN683/AM683,"")</f>
        <v>0.37543566047633253</v>
      </c>
      <c r="AP683" s="800">
        <f t="shared" si="381"/>
        <v>0.62456433952366752</v>
      </c>
      <c r="AQ683" s="789">
        <f>IFERROR(INDEX('Hoja de apoyo v2'!$J$17:$J$20,MATCH($A683,'Hoja de apoyo v2'!$A$17:$A$20,0)),"")</f>
        <v>0.64320274048480885</v>
      </c>
      <c r="AR683" s="789">
        <f t="shared" si="382"/>
        <v>-1.8638400961141333E-2</v>
      </c>
      <c r="AS683" s="784" t="str">
        <f t="shared" si="383"/>
        <v>No</v>
      </c>
      <c r="AT683" s="801">
        <f>IF(ISNUMBER('Base de datos Rutas'!CK681),'Base de datos Rutas'!CK681,"")</f>
        <v>34</v>
      </c>
      <c r="AU683" s="802">
        <f>IF(ISNUMBER('Base de datos Rutas'!CL681),'Base de datos Rutas'!CL681,"")</f>
        <v>81.430000000000007</v>
      </c>
      <c r="AV683" s="802">
        <f>IF(ISNUMBER('Base de datos Rutas'!CM681),'Base de datos Rutas'!CM681,"")</f>
        <v>47.430000000000007</v>
      </c>
      <c r="AW683" s="802">
        <f>IF(ISNUMBER('Base de datos Rutas'!CN681),'Base de datos Rutas'!CN681,"")</f>
        <v>1.74</v>
      </c>
      <c r="AX683" s="802">
        <f>IF(ISNUMBER('Base de datos Rutas'!CO681),'Base de datos Rutas'!CO681,"")</f>
        <v>9.4499999999999993</v>
      </c>
      <c r="AY683" s="802">
        <f>IF(ISNUMBER('Base de datos Rutas'!CP681),'Base de datos Rutas'!CP681,"")</f>
        <v>7.7099999999999991</v>
      </c>
      <c r="AZ683" s="802">
        <f>IF(ISNUMBER('Base de datos Rutas'!CQ681),'Base de datos Rutas'!CQ681,"")</f>
        <v>564.37</v>
      </c>
      <c r="BA683" s="802">
        <f>IF(ISNUMBER('Base de datos Rutas'!CR681),'Base de datos Rutas'!CR681,"")</f>
        <v>348.26</v>
      </c>
      <c r="BB683" s="803">
        <f>IF(ISNUMBER('Base de datos Rutas'!CS681),'Base de datos Rutas'!CS681,"")</f>
        <v>216.11</v>
      </c>
      <c r="BC683" s="804">
        <f t="shared" si="393"/>
        <v>0</v>
      </c>
      <c r="BD683" s="805" t="str">
        <f t="shared" si="394"/>
        <v>No saturada</v>
      </c>
      <c r="BE683" s="806">
        <f t="shared" si="395"/>
        <v>0.6170774491911335</v>
      </c>
      <c r="BF683" s="890">
        <f>IF(ISNUMBER('Base de datos Rutas'!CX681),'Base de datos Rutas'!CX681/100,"")</f>
        <v>0.32775389948006933</v>
      </c>
      <c r="BG683" s="891">
        <f>IF(ISNUMBER('Base de datos Rutas'!CZ681),'Base de datos Rutas'!CZ681/100,"")</f>
        <v>0.34419410745233969</v>
      </c>
      <c r="BH683" s="892">
        <f>IF(ISNUMBER('Base de datos Rutas'!DA681),'Base de datos Rutas'!DA681,"")</f>
        <v>273.81143965925872</v>
      </c>
      <c r="BI683" s="893">
        <f>IF(ISNUMBER('Base de datos Rutas'!DC681),'Base de datos Rutas'!DC681,"")</f>
        <v>15.098607639398043</v>
      </c>
      <c r="BJ683" s="805" t="str">
        <f t="shared" si="396"/>
        <v>Ruta (completo)</v>
      </c>
      <c r="BK683" s="783">
        <f t="shared" si="384"/>
        <v>3</v>
      </c>
      <c r="BL683" s="797">
        <f t="shared" si="385"/>
        <v>3</v>
      </c>
      <c r="BM683" s="797">
        <f t="shared" si="386"/>
        <v>3</v>
      </c>
      <c r="BN683" s="797">
        <f t="shared" si="387"/>
        <v>3</v>
      </c>
      <c r="BO683" s="798" cm="1">
        <f t="array" ref="BO683">SUMPRODUCT(--ISNUMBER($BF683:$BI683),$BK$3:$BN$3)</f>
        <v>1</v>
      </c>
      <c r="BP683" s="831">
        <f t="shared" si="397"/>
        <v>50</v>
      </c>
      <c r="BQ683" s="834" t="str">
        <f t="shared" si="398"/>
        <v>Alto</v>
      </c>
      <c r="BR683" s="836">
        <f t="shared" si="388"/>
        <v>13.783969332876342</v>
      </c>
      <c r="BS683" s="836">
        <f t="shared" si="389"/>
        <v>50</v>
      </c>
      <c r="BT683" s="837" t="str">
        <f t="shared" si="390"/>
        <v>P3</v>
      </c>
      <c r="BU683" s="807" t="str">
        <f t="shared" si="399"/>
        <v>Con espacio</v>
      </c>
      <c r="BV683" s="807" t="str">
        <f t="shared" si="391"/>
        <v>Zona atractiva</v>
      </c>
      <c r="BW683" s="808" t="str">
        <f t="shared" si="392"/>
        <v>P3 - Desarrollar</v>
      </c>
    </row>
    <row r="684" spans="1:75">
      <c r="A684" s="780" t="str">
        <f>'Base de datos Rutas'!A682</f>
        <v>Occidente</v>
      </c>
      <c r="B684" s="781" t="str">
        <f>'Base de datos Rutas'!B682</f>
        <v>Zapopan</v>
      </c>
      <c r="C684" s="781" t="str">
        <f>'Base de datos Rutas'!C682</f>
        <v>Suc. Tala</v>
      </c>
      <c r="D684" s="782">
        <f>IF(ISNUMBER('Base de datos Rutas'!D682),'Base de datos Rutas'!D682,"Sin código")</f>
        <v>825301</v>
      </c>
      <c r="E684" s="783" t="str">
        <f>'Base de datos Rutas'!F682</f>
        <v>Activa</v>
      </c>
      <c r="F684" s="784" t="str">
        <f>'Base de datos Rutas'!H682</f>
        <v>Sí</v>
      </c>
      <c r="G684" s="785">
        <f>IF(ISNUMBER('Base de datos Rutas'!BE682),'Base de datos Rutas'!BE682,"")</f>
        <v>39.761904761904802</v>
      </c>
      <c r="H684" s="786">
        <f>IF(ISNUMBER('Base de datos Rutas'!BH682),'Base de datos Rutas'!BH682,"")</f>
        <v>0.68173652694610798</v>
      </c>
      <c r="I684" s="788">
        <f>IFERROR(IF(OR(NOT(ISNUMBER('Base de datos Rutas'!O682)),N('Base de datos Rutas'!BK682)=0),"",'Base de datos Rutas'!O682/('Base de datos Rutas'!L682/'Base de datos Rutas'!BK682)),"")</f>
        <v>2326.1946308724823</v>
      </c>
      <c r="J684" s="788">
        <f>IFERROR(IF(OR(NOT(ISNUMBER('Base de datos Rutas'!N682)),N('Base de datos Rutas'!BK682)=0),"",'Base de datos Rutas'!N682/('Base de datos Rutas'!L682/'Base de datos Rutas'!BK682)),"")</f>
        <v>5365.8366890380294</v>
      </c>
      <c r="K684" s="788">
        <f>IFERROR(IF(OR(NOT(ISNUMBER('Base de datos Rutas'!J682)),N('Base de datos Rutas'!BK682)=0),"",'Base de datos Rutas'!J682/('Base de datos Rutas'!L682/'Base de datos Rutas'!BK682)),"")</f>
        <v>384.44592572706915</v>
      </c>
      <c r="L684" s="788">
        <f>IFERROR(IF(OR(NOT(ISNUMBER('Base de datos Rutas'!K682)),N('Base de datos Rutas'!BK682)=0),"",'Base de datos Rutas'!K682/('Base de datos Rutas'!L682/'Base de datos Rutas'!BK682)),"")</f>
        <v>19.550236357941827</v>
      </c>
      <c r="M684" s="787">
        <f>IF(ISNUMBER('Base de datos Rutas'!AX682),'Base de datos Rutas'!AX682,"")</f>
        <v>335.57855553386702</v>
      </c>
      <c r="N684" s="790">
        <f>IFERROR(INDEX('Hoja de apoyo v2'!B$17:B$20,MATCH($A684,'Hoja de apoyo v2'!$A$17:$A$20,0)),"")</f>
        <v>89.41621024641401</v>
      </c>
      <c r="O684" s="791">
        <f>IFERROR(INDEX('Hoja de apoyo v2'!C$17:C$20,MATCH($A684,'Hoja de apoyo v2'!$A$17:$A$20,0)),"")</f>
        <v>0.54706375874806301</v>
      </c>
      <c r="P684" s="793">
        <f>IFERROR(INDEX('Hoja de apoyo v2'!D$17:D$20,MATCH($A684,'Hoja de apoyo v2'!$A$17:$A$20,0)),"")</f>
        <v>11095.153935793827</v>
      </c>
      <c r="Q684" s="793">
        <f>IFERROR(INDEX('Hoja de apoyo v2'!E$17:E$20,MATCH($A684,'Hoja de apoyo v2'!$A$17:$A$20,0)),"")</f>
        <v>6982.3202019701848</v>
      </c>
      <c r="R684" s="793">
        <f>IFERROR(INDEX('Hoja de apoyo v2'!F$17:F$20,MATCH($A684,'Hoja de apoyo v2'!$A$17:$A$20,0)),"")</f>
        <v>448.09513474485743</v>
      </c>
      <c r="S684" s="793">
        <f>IFERROR(INDEX('Hoja de apoyo v2'!G$17:G$20,MATCH($A684,'Hoja de apoyo v2'!$A$17:$A$20,0)),"")</f>
        <v>83.406300904207839</v>
      </c>
      <c r="T684" s="792">
        <f>IFERROR(INDEX('Hoja de apoyo v2'!H$17:H$20,MATCH($A684,'Hoja de apoyo v2'!$A$17:$A$20,0)),"")</f>
        <v>378.97014028925349</v>
      </c>
      <c r="U684" s="794">
        <f t="shared" si="364"/>
        <v>0.44468340418732333</v>
      </c>
      <c r="V684" s="795">
        <f t="shared" si="365"/>
        <v>1.246173807064535</v>
      </c>
      <c r="W684" s="795">
        <f t="shared" si="366"/>
        <v>0.20965861711643297</v>
      </c>
      <c r="X684" s="843">
        <f t="shared" si="367"/>
        <v>0.76848906005828321</v>
      </c>
      <c r="Y684" s="843">
        <f t="shared" si="368"/>
        <v>0.85795603638046702</v>
      </c>
      <c r="Z684" s="843">
        <f t="shared" si="369"/>
        <v>0.23439759521759967</v>
      </c>
      <c r="AA684" s="843">
        <f t="shared" si="370"/>
        <v>0.88550130962226381</v>
      </c>
      <c r="AB684" s="796">
        <f t="shared" si="371"/>
        <v>1</v>
      </c>
      <c r="AC684" s="797">
        <f t="shared" si="372"/>
        <v>4</v>
      </c>
      <c r="AD684" s="797">
        <f t="shared" si="373"/>
        <v>1</v>
      </c>
      <c r="AE684" s="842">
        <f t="shared" si="374"/>
        <v>3</v>
      </c>
      <c r="AF684" s="842">
        <f t="shared" si="375"/>
        <v>3</v>
      </c>
      <c r="AG684" s="842">
        <f t="shared" si="376"/>
        <v>1</v>
      </c>
      <c r="AH684" s="842">
        <f t="shared" si="377"/>
        <v>3</v>
      </c>
      <c r="AI684" s="826" cm="1">
        <f t="array" ref="AI684">SUMPRODUCT(--ISNUMBER($U684:$AA684),$AB$3:$AH$3)</f>
        <v>1</v>
      </c>
      <c r="AJ684" s="829">
        <f t="shared" si="378"/>
        <v>24.309156754841538</v>
      </c>
      <c r="AK684" s="827" t="str">
        <f t="shared" si="379"/>
        <v>Inmadura</v>
      </c>
      <c r="AL684" s="784" t="str">
        <f t="shared" si="380"/>
        <v>Alta</v>
      </c>
      <c r="AM684" s="799">
        <f>IF(ISNUMBER('Base de datos Rutas'!W682),'Base de datos Rutas'!W682,"")</f>
        <v>2453.4826846202127</v>
      </c>
      <c r="AN684" s="787">
        <f>IFERROR(SUMIFS('Base de datos Rutas'!$W$6:$W$794,'Base de datos Rutas'!$C$6:$C$794,$C684)/'Base de datos Rutas'!I682,"")</f>
        <v>2453.4826846202127</v>
      </c>
      <c r="AO684" s="800">
        <f>IFERROR('Base de datos Rutas'!X682*AN684/AM684,"")</f>
        <v>0.49405231781849984</v>
      </c>
      <c r="AP684" s="800">
        <f t="shared" si="381"/>
        <v>0.5059476821815001</v>
      </c>
      <c r="AQ684" s="789">
        <f>IFERROR(INDEX('Hoja de apoyo v2'!$J$17:$J$20,MATCH($A684,'Hoja de apoyo v2'!$A$17:$A$20,0)),"")</f>
        <v>0.64320274048480885</v>
      </c>
      <c r="AR684" s="789">
        <f t="shared" si="382"/>
        <v>-0.13725505830330875</v>
      </c>
      <c r="AS684" s="784" t="str">
        <f t="shared" si="383"/>
        <v>No</v>
      </c>
      <c r="AT684" s="801">
        <f>IF(ISNUMBER('Base de datos Rutas'!CK682),'Base de datos Rutas'!CK682,"")</f>
        <v>202</v>
      </c>
      <c r="AU684" s="802">
        <f>IF(ISNUMBER('Base de datos Rutas'!CL682),'Base de datos Rutas'!CL682,"")</f>
        <v>230.88</v>
      </c>
      <c r="AV684" s="802">
        <f>IF(ISNUMBER('Base de datos Rutas'!CM682),'Base de datos Rutas'!CM682,"")</f>
        <v>28.879999999999995</v>
      </c>
      <c r="AW684" s="802">
        <f>IF(ISNUMBER('Base de datos Rutas'!CN682),'Base de datos Rutas'!CN682,"")</f>
        <v>5.0199999999999996</v>
      </c>
      <c r="AX684" s="802">
        <f>IF(ISNUMBER('Base de datos Rutas'!CO682),'Base de datos Rutas'!CO682,"")</f>
        <v>9.4499999999999993</v>
      </c>
      <c r="AY684" s="802">
        <f>IF(ISNUMBER('Base de datos Rutas'!CP682),'Base de datos Rutas'!CP682,"")</f>
        <v>4.43</v>
      </c>
      <c r="AZ684" s="802">
        <f>IF(ISNUMBER('Base de datos Rutas'!CQ682),'Base de datos Rutas'!CQ682,"")</f>
        <v>564.37</v>
      </c>
      <c r="BA684" s="802">
        <f>IF(ISNUMBER('Base de datos Rutas'!CR682),'Base de datos Rutas'!CR682,"")</f>
        <v>404</v>
      </c>
      <c r="BB684" s="803">
        <f>IF(ISNUMBER('Base de datos Rutas'!CS682),'Base de datos Rutas'!CS682,"")</f>
        <v>160.37</v>
      </c>
      <c r="BC684" s="804">
        <f t="shared" si="393"/>
        <v>0</v>
      </c>
      <c r="BD684" s="805" t="str">
        <f t="shared" si="394"/>
        <v>No saturada</v>
      </c>
      <c r="BE684" s="806">
        <f t="shared" si="395"/>
        <v>0.71584244378687745</v>
      </c>
      <c r="BF684" s="890">
        <f>IF(ISNUMBER('Base de datos Rutas'!CX682),'Base de datos Rutas'!CX682/100,"")</f>
        <v>3.6861936193619362E-2</v>
      </c>
      <c r="BG684" s="891">
        <f>IF(ISNUMBER('Base de datos Rutas'!CZ682),'Base de datos Rutas'!CZ682/100,"")</f>
        <v>3.8847634763476351E-2</v>
      </c>
      <c r="BH684" s="892">
        <f>IF(ISNUMBER('Base de datos Rutas'!DA682),'Base de datos Rutas'!DA682,"")</f>
        <v>21.875256641103199</v>
      </c>
      <c r="BI684" s="893">
        <f>IF(ISNUMBER('Base de datos Rutas'!DC682),'Base de datos Rutas'!DC682,"")</f>
        <v>1.3031528428148726</v>
      </c>
      <c r="BJ684" s="805" t="str">
        <f t="shared" si="396"/>
        <v>Ruta (completo)</v>
      </c>
      <c r="BK684" s="783">
        <f t="shared" si="384"/>
        <v>3</v>
      </c>
      <c r="BL684" s="797">
        <f t="shared" si="385"/>
        <v>3</v>
      </c>
      <c r="BM684" s="797">
        <f t="shared" si="386"/>
        <v>3</v>
      </c>
      <c r="BN684" s="797">
        <f t="shared" si="387"/>
        <v>3</v>
      </c>
      <c r="BO684" s="798" cm="1">
        <f t="array" ref="BO684">SUMPRODUCT(--ISNUMBER($BF684:$BI684),$BK$3:$BN$3)</f>
        <v>1</v>
      </c>
      <c r="BP684" s="831">
        <f t="shared" si="397"/>
        <v>50</v>
      </c>
      <c r="BQ684" s="834" t="str">
        <f t="shared" si="398"/>
        <v>Alto</v>
      </c>
      <c r="BR684" s="836">
        <f t="shared" si="388"/>
        <v>18.231867566131154</v>
      </c>
      <c r="BS684" s="836">
        <f t="shared" si="389"/>
        <v>50</v>
      </c>
      <c r="BT684" s="837" t="str">
        <f t="shared" si="390"/>
        <v>P3</v>
      </c>
      <c r="BU684" s="807" t="str">
        <f t="shared" si="399"/>
        <v>Con espacio</v>
      </c>
      <c r="BV684" s="807" t="str">
        <f t="shared" si="391"/>
        <v>Zona atractiva</v>
      </c>
      <c r="BW684" s="808" t="str">
        <f t="shared" si="392"/>
        <v>P3 - Desarrollar</v>
      </c>
    </row>
    <row r="685" spans="1:75">
      <c r="A685" s="780" t="str">
        <f>'Base de datos Rutas'!A683</f>
        <v>Occidente</v>
      </c>
      <c r="B685" s="781" t="str">
        <f>'Base de datos Rutas'!B683</f>
        <v>Zapopan</v>
      </c>
      <c r="C685" s="781" t="str">
        <f>'Base de datos Rutas'!C683</f>
        <v>Suc. Tala</v>
      </c>
      <c r="D685" s="782">
        <f>IF(ISNUMBER('Base de datos Rutas'!D683),'Base de datos Rutas'!D683,"Sin código")</f>
        <v>825302</v>
      </c>
      <c r="E685" s="783" t="str">
        <f>'Base de datos Rutas'!F683</f>
        <v>Activa</v>
      </c>
      <c r="F685" s="784" t="str">
        <f>'Base de datos Rutas'!H683</f>
        <v>Sí</v>
      </c>
      <c r="G685" s="785">
        <f>IF(ISNUMBER('Base de datos Rutas'!BE683),'Base de datos Rutas'!BE683,"")</f>
        <v>25.75</v>
      </c>
      <c r="H685" s="786">
        <f>IF(ISNUMBER('Base de datos Rutas'!BH683),'Base de datos Rutas'!BH683,"")</f>
        <v>0.45792880258899699</v>
      </c>
      <c r="I685" s="788">
        <f>IFERROR(IF(OR(NOT(ISNUMBER('Base de datos Rutas'!O683)),N('Base de datos Rutas'!BK683)=0),"",'Base de datos Rutas'!O683/('Base de datos Rutas'!L683/'Base de datos Rutas'!BK683)),"")</f>
        <v>428.37782805429828</v>
      </c>
      <c r="J685" s="788">
        <f>IFERROR(IF(OR(NOT(ISNUMBER('Base de datos Rutas'!N683)),N('Base de datos Rutas'!BK683)=0),"",'Base de datos Rutas'!N683/('Base de datos Rutas'!L683/'Base de datos Rutas'!BK683)),"")</f>
        <v>7581.3914027149249</v>
      </c>
      <c r="K685" s="788">
        <f>IFERROR(IF(OR(NOT(ISNUMBER('Base de datos Rutas'!J683)),N('Base de datos Rutas'!BK683)=0),"",'Base de datos Rutas'!J683/('Base de datos Rutas'!L683/'Base de datos Rutas'!BK683)),"")</f>
        <v>614.54723076923017</v>
      </c>
      <c r="L685" s="788">
        <f>IFERROR(IF(OR(NOT(ISNUMBER('Base de datos Rutas'!K683)),N('Base de datos Rutas'!BK683)=0),"",'Base de datos Rutas'!K683/('Base de datos Rutas'!L683/'Base de datos Rutas'!BK683)),"")</f>
        <v>3.7677515497737524</v>
      </c>
      <c r="M685" s="787">
        <f>IF(ISNUMBER('Base de datos Rutas'!AX683),'Base de datos Rutas'!AX683,"")</f>
        <v>538.28768435456902</v>
      </c>
      <c r="N685" s="790">
        <f>IFERROR(INDEX('Hoja de apoyo v2'!B$17:B$20,MATCH($A685,'Hoja de apoyo v2'!$A$17:$A$20,0)),"")</f>
        <v>89.41621024641401</v>
      </c>
      <c r="O685" s="791">
        <f>IFERROR(INDEX('Hoja de apoyo v2'!C$17:C$20,MATCH($A685,'Hoja de apoyo v2'!$A$17:$A$20,0)),"")</f>
        <v>0.54706375874806301</v>
      </c>
      <c r="P685" s="793">
        <f>IFERROR(INDEX('Hoja de apoyo v2'!D$17:D$20,MATCH($A685,'Hoja de apoyo v2'!$A$17:$A$20,0)),"")</f>
        <v>11095.153935793827</v>
      </c>
      <c r="Q685" s="793">
        <f>IFERROR(INDEX('Hoja de apoyo v2'!E$17:E$20,MATCH($A685,'Hoja de apoyo v2'!$A$17:$A$20,0)),"")</f>
        <v>6982.3202019701848</v>
      </c>
      <c r="R685" s="793">
        <f>IFERROR(INDEX('Hoja de apoyo v2'!F$17:F$20,MATCH($A685,'Hoja de apoyo v2'!$A$17:$A$20,0)),"")</f>
        <v>448.09513474485743</v>
      </c>
      <c r="S685" s="793">
        <f>IFERROR(INDEX('Hoja de apoyo v2'!G$17:G$20,MATCH($A685,'Hoja de apoyo v2'!$A$17:$A$20,0)),"")</f>
        <v>83.406300904207839</v>
      </c>
      <c r="T685" s="792">
        <f>IFERROR(INDEX('Hoja de apoyo v2'!H$17:H$20,MATCH($A685,'Hoja de apoyo v2'!$A$17:$A$20,0)),"")</f>
        <v>378.97014028925349</v>
      </c>
      <c r="U685" s="794">
        <f t="shared" si="364"/>
        <v>0.2879791027716106</v>
      </c>
      <c r="V685" s="795">
        <f t="shared" si="365"/>
        <v>0.8370666037848159</v>
      </c>
      <c r="W685" s="795">
        <f t="shared" si="366"/>
        <v>3.8609453328296614E-2</v>
      </c>
      <c r="X685" s="843">
        <f t="shared" si="367"/>
        <v>1.0857982996219082</v>
      </c>
      <c r="Y685" s="843">
        <f t="shared" si="368"/>
        <v>1.3714659747849069</v>
      </c>
      <c r="Z685" s="843">
        <f t="shared" si="369"/>
        <v>4.5173464221857966E-2</v>
      </c>
      <c r="AA685" s="843">
        <f t="shared" si="370"/>
        <v>1.4203960342197792</v>
      </c>
      <c r="AB685" s="796">
        <f t="shared" si="371"/>
        <v>1</v>
      </c>
      <c r="AC685" s="797">
        <f t="shared" si="372"/>
        <v>3</v>
      </c>
      <c r="AD685" s="797">
        <f t="shared" si="373"/>
        <v>1</v>
      </c>
      <c r="AE685" s="842">
        <f t="shared" si="374"/>
        <v>4</v>
      </c>
      <c r="AF685" s="842">
        <f t="shared" si="375"/>
        <v>5</v>
      </c>
      <c r="AG685" s="842">
        <f t="shared" si="376"/>
        <v>1</v>
      </c>
      <c r="AH685" s="842">
        <f t="shared" si="377"/>
        <v>5</v>
      </c>
      <c r="AI685" s="826" cm="1">
        <f t="array" ref="AI685">SUMPRODUCT(--ISNUMBER($U685:$AA685),$AB$3:$AH$3)</f>
        <v>1</v>
      </c>
      <c r="AJ685" s="829">
        <f t="shared" si="378"/>
        <v>35.677243519902468</v>
      </c>
      <c r="AK685" s="827" t="str">
        <f t="shared" si="379"/>
        <v>Inmadura</v>
      </c>
      <c r="AL685" s="784" t="str">
        <f t="shared" si="380"/>
        <v>Alta</v>
      </c>
      <c r="AM685" s="799">
        <f>IF(ISNUMBER('Base de datos Rutas'!W683),'Base de datos Rutas'!W683,"")</f>
        <v>2453.4826846202127</v>
      </c>
      <c r="AN685" s="787">
        <f>IFERROR(SUMIFS('Base de datos Rutas'!$W$6:$W$794,'Base de datos Rutas'!$C$6:$C$794,$C685)/'Base de datos Rutas'!I683,"")</f>
        <v>2453.4826846202127</v>
      </c>
      <c r="AO685" s="800">
        <f>IFERROR('Base de datos Rutas'!X683*AN685/AM685,"")</f>
        <v>0.49405231781849984</v>
      </c>
      <c r="AP685" s="800">
        <f t="shared" si="381"/>
        <v>0.5059476821815001</v>
      </c>
      <c r="AQ685" s="789">
        <f>IFERROR(INDEX('Hoja de apoyo v2'!$J$17:$J$20,MATCH($A685,'Hoja de apoyo v2'!$A$17:$A$20,0)),"")</f>
        <v>0.64320274048480885</v>
      </c>
      <c r="AR685" s="789">
        <f t="shared" si="382"/>
        <v>-0.13725505830330875</v>
      </c>
      <c r="AS685" s="784" t="str">
        <f t="shared" si="383"/>
        <v>No</v>
      </c>
      <c r="AT685" s="801">
        <f>IF(ISNUMBER('Base de datos Rutas'!CK683),'Base de datos Rutas'!CK683,"")</f>
        <v>67</v>
      </c>
      <c r="AU685" s="802">
        <f>IF(ISNUMBER('Base de datos Rutas'!CL683),'Base de datos Rutas'!CL683,"")</f>
        <v>67</v>
      </c>
      <c r="AV685" s="802">
        <f>IF(ISNUMBER('Base de datos Rutas'!CM683),'Base de datos Rutas'!CM683,"")</f>
        <v>0</v>
      </c>
      <c r="AW685" s="802" t="str">
        <f>IF(ISNUMBER('Base de datos Rutas'!CN683),'Base de datos Rutas'!CN683,"")</f>
        <v/>
      </c>
      <c r="AX685" s="802">
        <f>IF(ISNUMBER('Base de datos Rutas'!CO683),'Base de datos Rutas'!CO683,"")</f>
        <v>9.4499999999999993</v>
      </c>
      <c r="AY685" s="802">
        <f>IF(ISNUMBER('Base de datos Rutas'!CP683),'Base de datos Rutas'!CP683,"")</f>
        <v>9.4499999999999993</v>
      </c>
      <c r="AZ685" s="802" t="str">
        <f>IF(ISNUMBER('Base de datos Rutas'!CQ683),'Base de datos Rutas'!CQ683,"")</f>
        <v/>
      </c>
      <c r="BA685" s="802" t="str">
        <f>IF(ISNUMBER('Base de datos Rutas'!CR683),'Base de datos Rutas'!CR683,"")</f>
        <v/>
      </c>
      <c r="BB685" s="803">
        <f>IF(ISNUMBER('Base de datos Rutas'!CS683),'Base de datos Rutas'!CS683,"")</f>
        <v>0</v>
      </c>
      <c r="BC685" s="804" t="str">
        <f t="shared" si="393"/>
        <v/>
      </c>
      <c r="BD685" s="805" t="str">
        <f t="shared" si="394"/>
        <v>N/D</v>
      </c>
      <c r="BE685" s="806" t="str">
        <f t="shared" si="395"/>
        <v/>
      </c>
      <c r="BF685" s="890">
        <f>IF(ISNUMBER('Base de datos Rutas'!CX683),'Base de datos Rutas'!CX683/100,"")</f>
        <v>0</v>
      </c>
      <c r="BG685" s="891">
        <f>IF(ISNUMBER('Base de datos Rutas'!CZ683),'Base de datos Rutas'!CZ683/100,"")</f>
        <v>0</v>
      </c>
      <c r="BH685" s="892">
        <f>IF(ISNUMBER('Base de datos Rutas'!DA683),'Base de datos Rutas'!DA683,"")</f>
        <v>0</v>
      </c>
      <c r="BI685" s="893">
        <f>IF(ISNUMBER('Base de datos Rutas'!DC683),'Base de datos Rutas'!DC683,"")</f>
        <v>0</v>
      </c>
      <c r="BJ685" s="805" t="str">
        <f t="shared" si="396"/>
        <v>Ruta (completo)</v>
      </c>
      <c r="BK685" s="783">
        <f t="shared" si="384"/>
        <v>1</v>
      </c>
      <c r="BL685" s="797">
        <f t="shared" si="385"/>
        <v>1</v>
      </c>
      <c r="BM685" s="797">
        <f t="shared" si="386"/>
        <v>1</v>
      </c>
      <c r="BN685" s="797">
        <f t="shared" si="387"/>
        <v>1</v>
      </c>
      <c r="BO685" s="798" cm="1">
        <f t="array" ref="BO685">SUMPRODUCT(--ISNUMBER($BF685:$BI685),$BK$3:$BN$3)</f>
        <v>1</v>
      </c>
      <c r="BP685" s="831">
        <f t="shared" si="397"/>
        <v>0</v>
      </c>
      <c r="BQ685" s="834" t="str">
        <f t="shared" si="398"/>
        <v>Bajo</v>
      </c>
      <c r="BR685" s="836" t="str">
        <f t="shared" si="388"/>
        <v/>
      </c>
      <c r="BS685" s="836">
        <f t="shared" si="389"/>
        <v>0</v>
      </c>
      <c r="BT685" s="837" t="str">
        <f t="shared" si="390"/>
        <v>Sin datos</v>
      </c>
      <c r="BU685" s="807" t="str">
        <f t="shared" si="399"/>
        <v>Con espacio</v>
      </c>
      <c r="BV685" s="807" t="str">
        <f t="shared" si="391"/>
        <v>Zona de bajo potencial</v>
      </c>
      <c r="BW685" s="808" t="str">
        <f t="shared" si="392"/>
        <v>Sin datos</v>
      </c>
    </row>
    <row r="686" spans="1:75">
      <c r="A686" s="780" t="str">
        <f>'Base de datos Rutas'!A684</f>
        <v>Occidente</v>
      </c>
      <c r="B686" s="781" t="str">
        <f>'Base de datos Rutas'!B684</f>
        <v>Favorita</v>
      </c>
      <c r="C686" s="781" t="str">
        <f>'Base de datos Rutas'!C684</f>
        <v>Suc. Tecomán</v>
      </c>
      <c r="D686" s="782">
        <f>IF(ISNUMBER('Base de datos Rutas'!D684),'Base de datos Rutas'!D684,"Sin código")</f>
        <v>806399</v>
      </c>
      <c r="E686" s="783" t="str">
        <f>'Base de datos Rutas'!F684</f>
        <v>Activa</v>
      </c>
      <c r="F686" s="784" t="str">
        <f>'Base de datos Rutas'!H684</f>
        <v>Sí</v>
      </c>
      <c r="G686" s="785">
        <f>IF(ISNUMBER('Base de datos Rutas'!BE684),'Base de datos Rutas'!BE684,"")</f>
        <v>267.57600000000002</v>
      </c>
      <c r="H686" s="786">
        <f>IF(ISNUMBER('Base de datos Rutas'!BH684),'Base de datos Rutas'!BH684,"")</f>
        <v>5.1873112685741601E-2</v>
      </c>
      <c r="I686" s="788">
        <f>IFERROR(IF(OR(NOT(ISNUMBER('Base de datos Rutas'!O684)),N('Base de datos Rutas'!BK684)=0),"",'Base de datos Rutas'!O684/('Base de datos Rutas'!L684/'Base de datos Rutas'!BK684)),"")</f>
        <v>6405.48062015506</v>
      </c>
      <c r="J686" s="788">
        <f>IFERROR(IF(OR(NOT(ISNUMBER('Base de datos Rutas'!N684)),N('Base de datos Rutas'!BK684)=0),"",'Base de datos Rutas'!N684/('Base de datos Rutas'!L684/'Base de datos Rutas'!BK684)),"")</f>
        <v>1003.3875968992281</v>
      </c>
      <c r="K686" s="788">
        <f>IFERROR(IF(OR(NOT(ISNUMBER('Base de datos Rutas'!J684)),N('Base de datos Rutas'!BK684)=0),"",'Base de datos Rutas'!J684/('Base de datos Rutas'!L684/'Base de datos Rutas'!BK684)),"")</f>
        <v>81.970889922480893</v>
      </c>
      <c r="L686" s="788">
        <f>IFERROR(IF(OR(NOT(ISNUMBER('Base de datos Rutas'!K684)),N('Base de datos Rutas'!BK684)=0),"",'Base de datos Rutas'!K684/('Base de datos Rutas'!L684/'Base de datos Rutas'!BK684)),"")</f>
        <v>61.101924759690121</v>
      </c>
      <c r="M686" s="787">
        <f>IF(ISNUMBER('Base de datos Rutas'!AX684),'Base de datos Rutas'!AX684,"")</f>
        <v>510.00077908217702</v>
      </c>
      <c r="N686" s="790">
        <f>IFERROR(INDEX('Hoja de apoyo v2'!B$17:B$20,MATCH($A686,'Hoja de apoyo v2'!$A$17:$A$20,0)),"")</f>
        <v>89.41621024641401</v>
      </c>
      <c r="O686" s="791">
        <f>IFERROR(INDEX('Hoja de apoyo v2'!C$17:C$20,MATCH($A686,'Hoja de apoyo v2'!$A$17:$A$20,0)),"")</f>
        <v>0.54706375874806301</v>
      </c>
      <c r="P686" s="793">
        <f>IFERROR(INDEX('Hoja de apoyo v2'!D$17:D$20,MATCH($A686,'Hoja de apoyo v2'!$A$17:$A$20,0)),"")</f>
        <v>11095.153935793827</v>
      </c>
      <c r="Q686" s="793">
        <f>IFERROR(INDEX('Hoja de apoyo v2'!E$17:E$20,MATCH($A686,'Hoja de apoyo v2'!$A$17:$A$20,0)),"")</f>
        <v>6982.3202019701848</v>
      </c>
      <c r="R686" s="793">
        <f>IFERROR(INDEX('Hoja de apoyo v2'!F$17:F$20,MATCH($A686,'Hoja de apoyo v2'!$A$17:$A$20,0)),"")</f>
        <v>448.09513474485743</v>
      </c>
      <c r="S686" s="793">
        <f>IFERROR(INDEX('Hoja de apoyo v2'!G$17:G$20,MATCH($A686,'Hoja de apoyo v2'!$A$17:$A$20,0)),"")</f>
        <v>83.406300904207839</v>
      </c>
      <c r="T686" s="792">
        <f>IFERROR(INDEX('Hoja de apoyo v2'!H$17:H$20,MATCH($A686,'Hoja de apoyo v2'!$A$17:$A$20,0)),"")</f>
        <v>378.97014028925349</v>
      </c>
      <c r="U686" s="794">
        <f t="shared" si="364"/>
        <v>2.9924775302219992</v>
      </c>
      <c r="V686" s="795">
        <f t="shared" si="365"/>
        <v>9.4820963473163475E-2</v>
      </c>
      <c r="W686" s="795">
        <f t="shared" si="366"/>
        <v>0.57732237490554161</v>
      </c>
      <c r="X686" s="843">
        <f t="shared" si="367"/>
        <v>0.14370403646285151</v>
      </c>
      <c r="Y686" s="843">
        <f t="shared" si="368"/>
        <v>0.1829318900531125</v>
      </c>
      <c r="Z686" s="843">
        <f t="shared" si="369"/>
        <v>0.73258164068282683</v>
      </c>
      <c r="AA686" s="843">
        <f t="shared" si="370"/>
        <v>1.3457545195854028</v>
      </c>
      <c r="AB686" s="796">
        <f t="shared" si="371"/>
        <v>5</v>
      </c>
      <c r="AC686" s="797">
        <f t="shared" si="372"/>
        <v>1</v>
      </c>
      <c r="AD686" s="797">
        <f t="shared" si="373"/>
        <v>2</v>
      </c>
      <c r="AE686" s="842">
        <f t="shared" si="374"/>
        <v>1</v>
      </c>
      <c r="AF686" s="842">
        <f t="shared" si="375"/>
        <v>1</v>
      </c>
      <c r="AG686" s="842">
        <f t="shared" si="376"/>
        <v>2</v>
      </c>
      <c r="AH686" s="842">
        <f t="shared" si="377"/>
        <v>5</v>
      </c>
      <c r="AI686" s="826" cm="1">
        <f t="array" ref="AI686">SUMPRODUCT(--ISNUMBER($U686:$AA686),$AB$3:$AH$3)</f>
        <v>1</v>
      </c>
      <c r="AJ686" s="829">
        <f t="shared" si="378"/>
        <v>36.616694311240991</v>
      </c>
      <c r="AK686" s="827" t="str">
        <f t="shared" si="379"/>
        <v>Inmadura</v>
      </c>
      <c r="AL686" s="784" t="str">
        <f t="shared" si="380"/>
        <v>Alta</v>
      </c>
      <c r="AM686" s="799">
        <f>IF(ISNUMBER('Base de datos Rutas'!W684),'Base de datos Rutas'!W684,"")</f>
        <v>3009.8554208951477</v>
      </c>
      <c r="AN686" s="787">
        <f>IFERROR(SUMIFS('Base de datos Rutas'!$W$6:$W$794,'Base de datos Rutas'!$C$6:$C$794,$C686)/'Base de datos Rutas'!I684,"")</f>
        <v>3009.8554208951477</v>
      </c>
      <c r="AO686" s="800">
        <f>IFERROR('Base de datos Rutas'!X684*AN686/AM686,"")</f>
        <v>0.52767642625143185</v>
      </c>
      <c r="AP686" s="800">
        <f t="shared" si="381"/>
        <v>0.47232357374856815</v>
      </c>
      <c r="AQ686" s="789">
        <f>IFERROR(INDEX('Hoja de apoyo v2'!$J$17:$J$20,MATCH($A686,'Hoja de apoyo v2'!$A$17:$A$20,0)),"")</f>
        <v>0.64320274048480885</v>
      </c>
      <c r="AR686" s="789">
        <f t="shared" si="382"/>
        <v>-0.17087916673624071</v>
      </c>
      <c r="AS686" s="784" t="str">
        <f t="shared" si="383"/>
        <v>No</v>
      </c>
      <c r="AT686" s="801" t="str">
        <f>IF(ISNUMBER('Base de datos Rutas'!CK684),'Base de datos Rutas'!CK684,"")</f>
        <v/>
      </c>
      <c r="AU686" s="802" t="str">
        <f>IF(ISNUMBER('Base de datos Rutas'!CL684),'Base de datos Rutas'!CL684,"")</f>
        <v/>
      </c>
      <c r="AV686" s="802">
        <f>IF(ISNUMBER('Base de datos Rutas'!CM684),'Base de datos Rutas'!CM684,"")</f>
        <v>0</v>
      </c>
      <c r="AW686" s="802" t="str">
        <f>IF(ISNUMBER('Base de datos Rutas'!CN684),'Base de datos Rutas'!CN684,"")</f>
        <v/>
      </c>
      <c r="AX686" s="802" t="str">
        <f>IF(ISNUMBER('Base de datos Rutas'!CO684),'Base de datos Rutas'!CO684,"")</f>
        <v/>
      </c>
      <c r="AY686" s="802">
        <f>IF(ISNUMBER('Base de datos Rutas'!CP684),'Base de datos Rutas'!CP684,"")</f>
        <v>0</v>
      </c>
      <c r="AZ686" s="802" t="str">
        <f>IF(ISNUMBER('Base de datos Rutas'!CQ684),'Base de datos Rutas'!CQ684,"")</f>
        <v/>
      </c>
      <c r="BA686" s="802" t="str">
        <f>IF(ISNUMBER('Base de datos Rutas'!CR684),'Base de datos Rutas'!CR684,"")</f>
        <v/>
      </c>
      <c r="BB686" s="803">
        <f>IF(ISNUMBER('Base de datos Rutas'!CS684),'Base de datos Rutas'!CS684,"")</f>
        <v>0</v>
      </c>
      <c r="BC686" s="804" t="str">
        <f t="shared" si="393"/>
        <v/>
      </c>
      <c r="BD686" s="805" t="str">
        <f t="shared" si="394"/>
        <v>N/D</v>
      </c>
      <c r="BE686" s="806" t="str">
        <f t="shared" si="395"/>
        <v/>
      </c>
      <c r="BF686" s="890" t="str">
        <f>IF(ISNUMBER('Base de datos Rutas'!CX684),'Base de datos Rutas'!CX684/100,"")</f>
        <v/>
      </c>
      <c r="BG686" s="891" t="str">
        <f>IF(ISNUMBER('Base de datos Rutas'!CZ684),'Base de datos Rutas'!CZ684/100,"")</f>
        <v/>
      </c>
      <c r="BH686" s="892" t="str">
        <f>IF(ISNUMBER('Base de datos Rutas'!DA684),'Base de datos Rutas'!DA684,"")</f>
        <v/>
      </c>
      <c r="BI686" s="893" t="str">
        <f>IF(ISNUMBER('Base de datos Rutas'!DC684),'Base de datos Rutas'!DC684,"")</f>
        <v/>
      </c>
      <c r="BJ686" s="805" t="str">
        <f t="shared" si="396"/>
        <v>Sin dato</v>
      </c>
      <c r="BK686" s="783">
        <f t="shared" si="384"/>
        <v>0</v>
      </c>
      <c r="BL686" s="797">
        <f t="shared" si="385"/>
        <v>0</v>
      </c>
      <c r="BM686" s="797">
        <f t="shared" si="386"/>
        <v>0</v>
      </c>
      <c r="BN686" s="797">
        <f t="shared" si="387"/>
        <v>0</v>
      </c>
      <c r="BO686" s="798" cm="1">
        <f t="array" ref="BO686">SUMPRODUCT(--ISNUMBER($BF686:$BI686),$BK$3:$BN$3)</f>
        <v>0</v>
      </c>
      <c r="BP686" s="831" t="str">
        <f t="shared" si="397"/>
        <v/>
      </c>
      <c r="BQ686" s="834" t="str">
        <f t="shared" si="398"/>
        <v>Sin datos</v>
      </c>
      <c r="BR686" s="836" t="str">
        <f t="shared" si="388"/>
        <v/>
      </c>
      <c r="BS686" s="836" t="str">
        <f t="shared" si="389"/>
        <v/>
      </c>
      <c r="BT686" s="837" t="str">
        <f t="shared" si="390"/>
        <v>Sin datos</v>
      </c>
      <c r="BU686" s="807" t="str">
        <f t="shared" si="399"/>
        <v>Con espacio</v>
      </c>
      <c r="BV686" s="807" t="str">
        <f t="shared" si="391"/>
        <v>Sin datos de zona</v>
      </c>
      <c r="BW686" s="808" t="str">
        <f t="shared" si="392"/>
        <v>Sin datos</v>
      </c>
    </row>
    <row r="687" spans="1:75">
      <c r="A687" s="780" t="str">
        <f>'Base de datos Rutas'!A685</f>
        <v>Occidente</v>
      </c>
      <c r="B687" s="781" t="str">
        <f>'Base de datos Rutas'!B685</f>
        <v>Favorita</v>
      </c>
      <c r="C687" s="781" t="str">
        <f>'Base de datos Rutas'!C685</f>
        <v>Suc. Tecomán</v>
      </c>
      <c r="D687" s="782">
        <f>IF(ISNUMBER('Base de datos Rutas'!D685),'Base de datos Rutas'!D685,"Sin código")</f>
        <v>806400</v>
      </c>
      <c r="E687" s="783" t="str">
        <f>'Base de datos Rutas'!F685</f>
        <v>Activa</v>
      </c>
      <c r="F687" s="784" t="str">
        <f>'Base de datos Rutas'!H685</f>
        <v>Sí</v>
      </c>
      <c r="G687" s="785">
        <f>IF(ISNUMBER('Base de datos Rutas'!BE685),'Base de datos Rutas'!BE685,"")</f>
        <v>31.768018018018001</v>
      </c>
      <c r="H687" s="786">
        <f>IF(ISNUMBER('Base de datos Rutas'!BH685),'Base de datos Rutas'!BH685,"")</f>
        <v>0.44686281460475002</v>
      </c>
      <c r="I687" s="788">
        <f>IFERROR(IF(OR(NOT(ISNUMBER('Base de datos Rutas'!O685)),N('Base de datos Rutas'!BK685)=0),"",'Base de datos Rutas'!O685/('Base de datos Rutas'!L685/'Base de datos Rutas'!BK685)),"")</f>
        <v>2323.3716216216194</v>
      </c>
      <c r="J687" s="788">
        <f>IFERROR(IF(OR(NOT(ISNUMBER('Base de datos Rutas'!N685)),N('Base de datos Rutas'!BK685)=0),"",'Base de datos Rutas'!N685/('Base de datos Rutas'!L685/'Base de datos Rutas'!BK685)),"")</f>
        <v>5721.3108108108054</v>
      </c>
      <c r="K687" s="788">
        <f>IFERROR(IF(OR(NOT(ISNUMBER('Base de datos Rutas'!J685)),N('Base de datos Rutas'!BK685)=0),"",'Base de datos Rutas'!J685/('Base de datos Rutas'!L685/'Base de datos Rutas'!BK685)),"")</f>
        <v>413.34253333333299</v>
      </c>
      <c r="L687" s="788">
        <f>IFERROR(IF(OR(NOT(ISNUMBER('Base de datos Rutas'!K685)),N('Base de datos Rutas'!BK685)=0),"",'Base de datos Rutas'!K685/('Base de datos Rutas'!L685/'Base de datos Rutas'!BK685)),"")</f>
        <v>21.96093806306304</v>
      </c>
      <c r="M687" s="787">
        <f>IF(ISNUMBER('Base de datos Rutas'!AX685),'Base de datos Rutas'!AX685,"")</f>
        <v>566.68869268602202</v>
      </c>
      <c r="N687" s="790">
        <f>IFERROR(INDEX('Hoja de apoyo v2'!B$17:B$20,MATCH($A687,'Hoja de apoyo v2'!$A$17:$A$20,0)),"")</f>
        <v>89.41621024641401</v>
      </c>
      <c r="O687" s="791">
        <f>IFERROR(INDEX('Hoja de apoyo v2'!C$17:C$20,MATCH($A687,'Hoja de apoyo v2'!$A$17:$A$20,0)),"")</f>
        <v>0.54706375874806301</v>
      </c>
      <c r="P687" s="793">
        <f>IFERROR(INDEX('Hoja de apoyo v2'!D$17:D$20,MATCH($A687,'Hoja de apoyo v2'!$A$17:$A$20,0)),"")</f>
        <v>11095.153935793827</v>
      </c>
      <c r="Q687" s="793">
        <f>IFERROR(INDEX('Hoja de apoyo v2'!E$17:E$20,MATCH($A687,'Hoja de apoyo v2'!$A$17:$A$20,0)),"")</f>
        <v>6982.3202019701848</v>
      </c>
      <c r="R687" s="793">
        <f>IFERROR(INDEX('Hoja de apoyo v2'!F$17:F$20,MATCH($A687,'Hoja de apoyo v2'!$A$17:$A$20,0)),"")</f>
        <v>448.09513474485743</v>
      </c>
      <c r="S687" s="793">
        <f>IFERROR(INDEX('Hoja de apoyo v2'!G$17:G$20,MATCH($A687,'Hoja de apoyo v2'!$A$17:$A$20,0)),"")</f>
        <v>83.406300904207839</v>
      </c>
      <c r="T687" s="792">
        <f>IFERROR(INDEX('Hoja de apoyo v2'!H$17:H$20,MATCH($A687,'Hoja de apoyo v2'!$A$17:$A$20,0)),"")</f>
        <v>378.97014028925349</v>
      </c>
      <c r="U687" s="794">
        <f t="shared" si="364"/>
        <v>0.3552825369188809</v>
      </c>
      <c r="V687" s="795">
        <f t="shared" si="365"/>
        <v>0.81683863619001285</v>
      </c>
      <c r="W687" s="795">
        <f t="shared" si="366"/>
        <v>0.20940418087632315</v>
      </c>
      <c r="X687" s="843">
        <f t="shared" si="367"/>
        <v>0.81939966161913291</v>
      </c>
      <c r="Y687" s="843">
        <f t="shared" si="368"/>
        <v>0.92244369840946305</v>
      </c>
      <c r="Z687" s="843">
        <f t="shared" si="369"/>
        <v>0.26330070780006398</v>
      </c>
      <c r="AA687" s="843">
        <f t="shared" si="370"/>
        <v>1.4953386360558383</v>
      </c>
      <c r="AB687" s="796">
        <f t="shared" si="371"/>
        <v>1</v>
      </c>
      <c r="AC687" s="797">
        <f t="shared" si="372"/>
        <v>3</v>
      </c>
      <c r="AD687" s="797">
        <f t="shared" si="373"/>
        <v>1</v>
      </c>
      <c r="AE687" s="842">
        <f t="shared" si="374"/>
        <v>3</v>
      </c>
      <c r="AF687" s="842">
        <f t="shared" si="375"/>
        <v>3</v>
      </c>
      <c r="AG687" s="842">
        <f t="shared" si="376"/>
        <v>1</v>
      </c>
      <c r="AH687" s="842">
        <f t="shared" si="377"/>
        <v>5</v>
      </c>
      <c r="AI687" s="826" cm="1">
        <f t="array" ref="AI687">SUMPRODUCT(--ISNUMBER($U687:$AA687),$AB$3:$AH$3)</f>
        <v>1</v>
      </c>
      <c r="AJ687" s="829">
        <f t="shared" si="378"/>
        <v>26.415706849604181</v>
      </c>
      <c r="AK687" s="827" t="str">
        <f t="shared" si="379"/>
        <v>Inmadura</v>
      </c>
      <c r="AL687" s="784" t="str">
        <f t="shared" si="380"/>
        <v>Alta</v>
      </c>
      <c r="AM687" s="799">
        <f>IF(ISNUMBER('Base de datos Rutas'!W685),'Base de datos Rutas'!W685,"")</f>
        <v>3009.8554208951477</v>
      </c>
      <c r="AN687" s="787">
        <f>IFERROR(SUMIFS('Base de datos Rutas'!$W$6:$W$794,'Base de datos Rutas'!$C$6:$C$794,$C687)/'Base de datos Rutas'!I685,"")</f>
        <v>3009.8554208951477</v>
      </c>
      <c r="AO687" s="800">
        <f>IFERROR('Base de datos Rutas'!X685*AN687/AM687,"")</f>
        <v>0.52767642625143185</v>
      </c>
      <c r="AP687" s="800">
        <f t="shared" si="381"/>
        <v>0.47232357374856815</v>
      </c>
      <c r="AQ687" s="789">
        <f>IFERROR(INDEX('Hoja de apoyo v2'!$J$17:$J$20,MATCH($A687,'Hoja de apoyo v2'!$A$17:$A$20,0)),"")</f>
        <v>0.64320274048480885</v>
      </c>
      <c r="AR687" s="789">
        <f t="shared" si="382"/>
        <v>-0.17087916673624071</v>
      </c>
      <c r="AS687" s="784" t="str">
        <f t="shared" si="383"/>
        <v>No</v>
      </c>
      <c r="AT687" s="801">
        <f>IF(ISNUMBER('Base de datos Rutas'!CK685),'Base de datos Rutas'!CK685,"")</f>
        <v>144</v>
      </c>
      <c r="AU687" s="802">
        <f>IF(ISNUMBER('Base de datos Rutas'!CL685),'Base de datos Rutas'!CL685,"")</f>
        <v>144</v>
      </c>
      <c r="AV687" s="802">
        <f>IF(ISNUMBER('Base de datos Rutas'!CM685),'Base de datos Rutas'!CM685,"")</f>
        <v>0</v>
      </c>
      <c r="AW687" s="802" t="str">
        <f>IF(ISNUMBER('Base de datos Rutas'!CN685),'Base de datos Rutas'!CN685,"")</f>
        <v/>
      </c>
      <c r="AX687" s="802">
        <f>IF(ISNUMBER('Base de datos Rutas'!CO685),'Base de datos Rutas'!CO685,"")</f>
        <v>9.4499999999999993</v>
      </c>
      <c r="AY687" s="802">
        <f>IF(ISNUMBER('Base de datos Rutas'!CP685),'Base de datos Rutas'!CP685,"")</f>
        <v>9.4499999999999993</v>
      </c>
      <c r="AZ687" s="802" t="str">
        <f>IF(ISNUMBER('Base de datos Rutas'!CQ685),'Base de datos Rutas'!CQ685,"")</f>
        <v/>
      </c>
      <c r="BA687" s="802" t="str">
        <f>IF(ISNUMBER('Base de datos Rutas'!CR685),'Base de datos Rutas'!CR685,"")</f>
        <v/>
      </c>
      <c r="BB687" s="803">
        <f>IF(ISNUMBER('Base de datos Rutas'!CS685),'Base de datos Rutas'!CS685,"")</f>
        <v>0</v>
      </c>
      <c r="BC687" s="804" t="str">
        <f t="shared" si="393"/>
        <v/>
      </c>
      <c r="BD687" s="805" t="str">
        <f t="shared" si="394"/>
        <v>N/D</v>
      </c>
      <c r="BE687" s="806" t="str">
        <f t="shared" si="395"/>
        <v/>
      </c>
      <c r="BF687" s="890">
        <f>IF(ISNUMBER('Base de datos Rutas'!CX685),'Base de datos Rutas'!CX685/100,"")</f>
        <v>0</v>
      </c>
      <c r="BG687" s="891">
        <f>IF(ISNUMBER('Base de datos Rutas'!CZ685),'Base de datos Rutas'!CZ685/100,"")</f>
        <v>0</v>
      </c>
      <c r="BH687" s="892">
        <f>IF(ISNUMBER('Base de datos Rutas'!DA685),'Base de datos Rutas'!DA685,"")</f>
        <v>0</v>
      </c>
      <c r="BI687" s="893">
        <f>IF(ISNUMBER('Base de datos Rutas'!DC685),'Base de datos Rutas'!DC685,"")</f>
        <v>0</v>
      </c>
      <c r="BJ687" s="805" t="str">
        <f t="shared" si="396"/>
        <v>Ruta (completo)</v>
      </c>
      <c r="BK687" s="783">
        <f t="shared" si="384"/>
        <v>1</v>
      </c>
      <c r="BL687" s="797">
        <f t="shared" si="385"/>
        <v>1</v>
      </c>
      <c r="BM687" s="797">
        <f t="shared" si="386"/>
        <v>1</v>
      </c>
      <c r="BN687" s="797">
        <f t="shared" si="387"/>
        <v>1</v>
      </c>
      <c r="BO687" s="798" cm="1">
        <f t="array" ref="BO687">SUMPRODUCT(--ISNUMBER($BF687:$BI687),$BK$3:$BN$3)</f>
        <v>1</v>
      </c>
      <c r="BP687" s="831">
        <f t="shared" si="397"/>
        <v>0</v>
      </c>
      <c r="BQ687" s="834" t="str">
        <f t="shared" si="398"/>
        <v>Bajo</v>
      </c>
      <c r="BR687" s="836" t="str">
        <f t="shared" si="388"/>
        <v/>
      </c>
      <c r="BS687" s="836">
        <f t="shared" si="389"/>
        <v>0</v>
      </c>
      <c r="BT687" s="837" t="str">
        <f t="shared" si="390"/>
        <v>Sin datos</v>
      </c>
      <c r="BU687" s="807" t="str">
        <f t="shared" si="399"/>
        <v>Con espacio</v>
      </c>
      <c r="BV687" s="807" t="str">
        <f t="shared" si="391"/>
        <v>Zona de bajo potencial</v>
      </c>
      <c r="BW687" s="808" t="str">
        <f t="shared" si="392"/>
        <v>Sin datos</v>
      </c>
    </row>
    <row r="688" spans="1:75">
      <c r="A688" s="780" t="str">
        <f>'Base de datos Rutas'!A686</f>
        <v>Occidente</v>
      </c>
      <c r="B688" s="781" t="str">
        <f>'Base de datos Rutas'!B686</f>
        <v>Favorita</v>
      </c>
      <c r="C688" s="781" t="str">
        <f>'Base de datos Rutas'!C686</f>
        <v>Suc. Tecomán</v>
      </c>
      <c r="D688" s="782">
        <f>IF(ISNUMBER('Base de datos Rutas'!D686),'Base de datos Rutas'!D686,"Sin código")</f>
        <v>806401</v>
      </c>
      <c r="E688" s="783" t="str">
        <f>'Base de datos Rutas'!F686</f>
        <v>Activa</v>
      </c>
      <c r="F688" s="784" t="str">
        <f>'Base de datos Rutas'!H686</f>
        <v>Sí</v>
      </c>
      <c r="G688" s="785">
        <f>IF(ISNUMBER('Base de datos Rutas'!BE686),'Base de datos Rutas'!BE686,"")</f>
        <v>67.526077097505706</v>
      </c>
      <c r="H688" s="786">
        <f>IF(ISNUMBER('Base de datos Rutas'!BH686),'Base de datos Rutas'!BH686,"")</f>
        <v>0.62510493972262304</v>
      </c>
      <c r="I688" s="788">
        <f>IFERROR(IF(OR(NOT(ISNUMBER('Base de datos Rutas'!O686)),N('Base de datos Rutas'!BK686)=0),"",'Base de datos Rutas'!O686/('Base de datos Rutas'!L686/'Base de datos Rutas'!BK686)),"")</f>
        <v>2894.4943310657527</v>
      </c>
      <c r="J688" s="788">
        <f>IFERROR(IF(OR(NOT(ISNUMBER('Base de datos Rutas'!N686)),N('Base de datos Rutas'!BK686)=0),"",'Base de datos Rutas'!N686/('Base de datos Rutas'!L686/'Base de datos Rutas'!BK686)),"")</f>
        <v>7450.7845804988483</v>
      </c>
      <c r="K688" s="788">
        <f>IFERROR(IF(OR(NOT(ISNUMBER('Base de datos Rutas'!J686)),N('Base de datos Rutas'!BK686)=0),"",'Base de datos Rutas'!J686/('Base de datos Rutas'!L686/'Base de datos Rutas'!BK686)),"")</f>
        <v>535.39713219047258</v>
      </c>
      <c r="L688" s="788">
        <f>IFERROR(IF(OR(NOT(ISNUMBER('Base de datos Rutas'!K686)),N('Base de datos Rutas'!BK686)=0),"",'Base de datos Rutas'!K686/('Base de datos Rutas'!L686/'Base de datos Rutas'!BK686)),"")</f>
        <v>25.640932965986334</v>
      </c>
      <c r="M688" s="787">
        <f>IF(ISNUMBER('Base de datos Rutas'!AX686),'Base de datos Rutas'!AX686,"")</f>
        <v>245.08542250872901</v>
      </c>
      <c r="N688" s="790">
        <f>IFERROR(INDEX('Hoja de apoyo v2'!B$17:B$20,MATCH($A688,'Hoja de apoyo v2'!$A$17:$A$20,0)),"")</f>
        <v>89.41621024641401</v>
      </c>
      <c r="O688" s="791">
        <f>IFERROR(INDEX('Hoja de apoyo v2'!C$17:C$20,MATCH($A688,'Hoja de apoyo v2'!$A$17:$A$20,0)),"")</f>
        <v>0.54706375874806301</v>
      </c>
      <c r="P688" s="793">
        <f>IFERROR(INDEX('Hoja de apoyo v2'!D$17:D$20,MATCH($A688,'Hoja de apoyo v2'!$A$17:$A$20,0)),"")</f>
        <v>11095.153935793827</v>
      </c>
      <c r="Q688" s="793">
        <f>IFERROR(INDEX('Hoja de apoyo v2'!E$17:E$20,MATCH($A688,'Hoja de apoyo v2'!$A$17:$A$20,0)),"")</f>
        <v>6982.3202019701848</v>
      </c>
      <c r="R688" s="793">
        <f>IFERROR(INDEX('Hoja de apoyo v2'!F$17:F$20,MATCH($A688,'Hoja de apoyo v2'!$A$17:$A$20,0)),"")</f>
        <v>448.09513474485743</v>
      </c>
      <c r="S688" s="793">
        <f>IFERROR(INDEX('Hoja de apoyo v2'!G$17:G$20,MATCH($A688,'Hoja de apoyo v2'!$A$17:$A$20,0)),"")</f>
        <v>83.406300904207839</v>
      </c>
      <c r="T688" s="792">
        <f>IFERROR(INDEX('Hoja de apoyo v2'!H$17:H$20,MATCH($A688,'Hoja de apoyo v2'!$A$17:$A$20,0)),"")</f>
        <v>378.97014028925349</v>
      </c>
      <c r="U688" s="794">
        <f t="shared" si="364"/>
        <v>0.75518831441655521</v>
      </c>
      <c r="V688" s="795">
        <f t="shared" si="365"/>
        <v>1.1426546352716813</v>
      </c>
      <c r="W688" s="795">
        <f t="shared" si="366"/>
        <v>0.26087915028631459</v>
      </c>
      <c r="X688" s="843">
        <f t="shared" si="367"/>
        <v>1.0670929383038719</v>
      </c>
      <c r="Y688" s="843">
        <f t="shared" si="368"/>
        <v>1.1948291571952112</v>
      </c>
      <c r="Z688" s="843">
        <f t="shared" si="369"/>
        <v>0.30742201354109866</v>
      </c>
      <c r="AA688" s="843">
        <f t="shared" si="370"/>
        <v>0.64671433565099512</v>
      </c>
      <c r="AB688" s="796">
        <f t="shared" si="371"/>
        <v>3</v>
      </c>
      <c r="AC688" s="797">
        <f t="shared" si="372"/>
        <v>4</v>
      </c>
      <c r="AD688" s="797">
        <f t="shared" si="373"/>
        <v>1</v>
      </c>
      <c r="AE688" s="842">
        <f t="shared" si="374"/>
        <v>4</v>
      </c>
      <c r="AF688" s="842">
        <f t="shared" si="375"/>
        <v>4</v>
      </c>
      <c r="AG688" s="842">
        <f t="shared" si="376"/>
        <v>1</v>
      </c>
      <c r="AH688" s="842">
        <f t="shared" si="377"/>
        <v>2</v>
      </c>
      <c r="AI688" s="826" cm="1">
        <f t="array" ref="AI688">SUMPRODUCT(--ISNUMBER($U688:$AA688),$AB$3:$AH$3)</f>
        <v>1</v>
      </c>
      <c r="AJ688" s="829">
        <f t="shared" si="378"/>
        <v>37.467193429046965</v>
      </c>
      <c r="AK688" s="827" t="str">
        <f t="shared" si="379"/>
        <v>Inmadura</v>
      </c>
      <c r="AL688" s="784" t="str">
        <f t="shared" si="380"/>
        <v>Alta</v>
      </c>
      <c r="AM688" s="799">
        <f>IF(ISNUMBER('Base de datos Rutas'!W686),'Base de datos Rutas'!W686,"")</f>
        <v>3009.8554208951477</v>
      </c>
      <c r="AN688" s="787">
        <f>IFERROR(SUMIFS('Base de datos Rutas'!$W$6:$W$794,'Base de datos Rutas'!$C$6:$C$794,$C688)/'Base de datos Rutas'!I686,"")</f>
        <v>3009.8554208951477</v>
      </c>
      <c r="AO688" s="800">
        <f>IFERROR('Base de datos Rutas'!X686*AN688/AM688,"")</f>
        <v>0.52767642625143185</v>
      </c>
      <c r="AP688" s="800">
        <f t="shared" si="381"/>
        <v>0.47232357374856815</v>
      </c>
      <c r="AQ688" s="789">
        <f>IFERROR(INDEX('Hoja de apoyo v2'!$J$17:$J$20,MATCH($A688,'Hoja de apoyo v2'!$A$17:$A$20,0)),"")</f>
        <v>0.64320274048480885</v>
      </c>
      <c r="AR688" s="789">
        <f t="shared" si="382"/>
        <v>-0.17087916673624071</v>
      </c>
      <c r="AS688" s="784" t="str">
        <f t="shared" si="383"/>
        <v>No</v>
      </c>
      <c r="AT688" s="801">
        <f>IF(ISNUMBER('Base de datos Rutas'!CK686),'Base de datos Rutas'!CK686,"")</f>
        <v>318</v>
      </c>
      <c r="AU688" s="802">
        <f>IF(ISNUMBER('Base de datos Rutas'!CL686),'Base de datos Rutas'!CL686,"")</f>
        <v>318</v>
      </c>
      <c r="AV688" s="802">
        <f>IF(ISNUMBER('Base de datos Rutas'!CM686),'Base de datos Rutas'!CM686,"")</f>
        <v>0</v>
      </c>
      <c r="AW688" s="802" t="str">
        <f>IF(ISNUMBER('Base de datos Rutas'!CN686),'Base de datos Rutas'!CN686,"")</f>
        <v/>
      </c>
      <c r="AX688" s="802">
        <f>IF(ISNUMBER('Base de datos Rutas'!CO686),'Base de datos Rutas'!CO686,"")</f>
        <v>9.4499999999999993</v>
      </c>
      <c r="AY688" s="802">
        <f>IF(ISNUMBER('Base de datos Rutas'!CP686),'Base de datos Rutas'!CP686,"")</f>
        <v>9.4499999999999993</v>
      </c>
      <c r="AZ688" s="802" t="str">
        <f>IF(ISNUMBER('Base de datos Rutas'!CQ686),'Base de datos Rutas'!CQ686,"")</f>
        <v/>
      </c>
      <c r="BA688" s="802" t="str">
        <f>IF(ISNUMBER('Base de datos Rutas'!CR686),'Base de datos Rutas'!CR686,"")</f>
        <v/>
      </c>
      <c r="BB688" s="803">
        <f>IF(ISNUMBER('Base de datos Rutas'!CS686),'Base de datos Rutas'!CS686,"")</f>
        <v>0</v>
      </c>
      <c r="BC688" s="804" t="str">
        <f t="shared" si="393"/>
        <v/>
      </c>
      <c r="BD688" s="805" t="str">
        <f t="shared" si="394"/>
        <v>N/D</v>
      </c>
      <c r="BE688" s="806" t="str">
        <f t="shared" si="395"/>
        <v/>
      </c>
      <c r="BF688" s="890">
        <f>IF(ISNUMBER('Base de datos Rutas'!CX686),'Base de datos Rutas'!CX686/100,"")</f>
        <v>0</v>
      </c>
      <c r="BG688" s="891">
        <f>IF(ISNUMBER('Base de datos Rutas'!CZ686),'Base de datos Rutas'!CZ686/100,"")</f>
        <v>0</v>
      </c>
      <c r="BH688" s="892">
        <f>IF(ISNUMBER('Base de datos Rutas'!DA686),'Base de datos Rutas'!DA686,"")</f>
        <v>0</v>
      </c>
      <c r="BI688" s="893">
        <f>IF(ISNUMBER('Base de datos Rutas'!DC686),'Base de datos Rutas'!DC686,"")</f>
        <v>0</v>
      </c>
      <c r="BJ688" s="805" t="str">
        <f t="shared" si="396"/>
        <v>Ruta (completo)</v>
      </c>
      <c r="BK688" s="783">
        <f t="shared" si="384"/>
        <v>1</v>
      </c>
      <c r="BL688" s="797">
        <f t="shared" si="385"/>
        <v>1</v>
      </c>
      <c r="BM688" s="797">
        <f t="shared" si="386"/>
        <v>1</v>
      </c>
      <c r="BN688" s="797">
        <f t="shared" si="387"/>
        <v>1</v>
      </c>
      <c r="BO688" s="798" cm="1">
        <f t="array" ref="BO688">SUMPRODUCT(--ISNUMBER($BF688:$BI688),$BK$3:$BN$3)</f>
        <v>1</v>
      </c>
      <c r="BP688" s="831">
        <f t="shared" si="397"/>
        <v>0</v>
      </c>
      <c r="BQ688" s="834" t="str">
        <f t="shared" si="398"/>
        <v>Bajo</v>
      </c>
      <c r="BR688" s="836" t="str">
        <f t="shared" si="388"/>
        <v/>
      </c>
      <c r="BS688" s="836">
        <f t="shared" si="389"/>
        <v>0</v>
      </c>
      <c r="BT688" s="837" t="str">
        <f t="shared" si="390"/>
        <v>Sin datos</v>
      </c>
      <c r="BU688" s="807" t="str">
        <f t="shared" si="399"/>
        <v>Con espacio</v>
      </c>
      <c r="BV688" s="807" t="str">
        <f t="shared" si="391"/>
        <v>Zona de bajo potencial</v>
      </c>
      <c r="BW688" s="808" t="str">
        <f t="shared" si="392"/>
        <v>Sin datos</v>
      </c>
    </row>
    <row r="689" spans="1:75">
      <c r="A689" s="780" t="str">
        <f>'Base de datos Rutas'!A687</f>
        <v>Occidente</v>
      </c>
      <c r="B689" s="781" t="str">
        <f>'Base de datos Rutas'!B687</f>
        <v>Favorita</v>
      </c>
      <c r="C689" s="781" t="str">
        <f>'Base de datos Rutas'!C687</f>
        <v>Suc. Tecomán</v>
      </c>
      <c r="D689" s="782">
        <f>IF(ISNUMBER('Base de datos Rutas'!D687),'Base de datos Rutas'!D687,"Sin código")</f>
        <v>806402</v>
      </c>
      <c r="E689" s="783" t="str">
        <f>'Base de datos Rutas'!F687</f>
        <v>Activa</v>
      </c>
      <c r="F689" s="784" t="str">
        <f>'Base de datos Rutas'!H687</f>
        <v>Sí</v>
      </c>
      <c r="G689" s="785">
        <f>IF(ISNUMBER('Base de datos Rutas'!BE687),'Base de datos Rutas'!BE687,"")</f>
        <v>79.394977168949794</v>
      </c>
      <c r="H689" s="786">
        <f>IF(ISNUMBER('Base de datos Rutas'!BH687),'Base de datos Rutas'!BH687,"")</f>
        <v>0.47140186915887899</v>
      </c>
      <c r="I689" s="788">
        <f>IFERROR(IF(OR(NOT(ISNUMBER('Base de datos Rutas'!O687)),N('Base de datos Rutas'!BK687)=0),"",'Base de datos Rutas'!O687/('Base de datos Rutas'!L687/'Base de datos Rutas'!BK687)),"")</f>
        <v>2056.4063926940621</v>
      </c>
      <c r="J689" s="788">
        <f>IFERROR(IF(OR(NOT(ISNUMBER('Base de datos Rutas'!N687)),N('Base de datos Rutas'!BK687)=0),"",'Base de datos Rutas'!N687/('Base de datos Rutas'!L687/'Base de datos Rutas'!BK687)),"")</f>
        <v>6839.5456621004505</v>
      </c>
      <c r="K689" s="788">
        <f>IFERROR(IF(OR(NOT(ISNUMBER('Base de datos Rutas'!J687)),N('Base de datos Rutas'!BK687)=0),"",'Base de datos Rutas'!J687/('Base de datos Rutas'!L687/'Base de datos Rutas'!BK687)),"")</f>
        <v>479.94710502283061</v>
      </c>
      <c r="L689" s="788">
        <f>IFERROR(IF(OR(NOT(ISNUMBER('Base de datos Rutas'!K687)),N('Base de datos Rutas'!BK687)=0),"",'Base de datos Rutas'!K687/('Base de datos Rutas'!L687/'Base de datos Rutas'!BK687)),"")</f>
        <v>20.25369872602738</v>
      </c>
      <c r="M689" s="787">
        <f>IF(ISNUMBER('Base de datos Rutas'!AX687),'Base de datos Rutas'!AX687,"")</f>
        <v>237.68845360824699</v>
      </c>
      <c r="N689" s="790">
        <f>IFERROR(INDEX('Hoja de apoyo v2'!B$17:B$20,MATCH($A689,'Hoja de apoyo v2'!$A$17:$A$20,0)),"")</f>
        <v>89.41621024641401</v>
      </c>
      <c r="O689" s="791">
        <f>IFERROR(INDEX('Hoja de apoyo v2'!C$17:C$20,MATCH($A689,'Hoja de apoyo v2'!$A$17:$A$20,0)),"")</f>
        <v>0.54706375874806301</v>
      </c>
      <c r="P689" s="793">
        <f>IFERROR(INDEX('Hoja de apoyo v2'!D$17:D$20,MATCH($A689,'Hoja de apoyo v2'!$A$17:$A$20,0)),"")</f>
        <v>11095.153935793827</v>
      </c>
      <c r="Q689" s="793">
        <f>IFERROR(INDEX('Hoja de apoyo v2'!E$17:E$20,MATCH($A689,'Hoja de apoyo v2'!$A$17:$A$20,0)),"")</f>
        <v>6982.3202019701848</v>
      </c>
      <c r="R689" s="793">
        <f>IFERROR(INDEX('Hoja de apoyo v2'!F$17:F$20,MATCH($A689,'Hoja de apoyo v2'!$A$17:$A$20,0)),"")</f>
        <v>448.09513474485743</v>
      </c>
      <c r="S689" s="793">
        <f>IFERROR(INDEX('Hoja de apoyo v2'!G$17:G$20,MATCH($A689,'Hoja de apoyo v2'!$A$17:$A$20,0)),"")</f>
        <v>83.406300904207839</v>
      </c>
      <c r="T689" s="792">
        <f>IFERROR(INDEX('Hoja de apoyo v2'!H$17:H$20,MATCH($A689,'Hoja de apoyo v2'!$A$17:$A$20,0)),"")</f>
        <v>378.97014028925349</v>
      </c>
      <c r="U689" s="794">
        <f t="shared" si="364"/>
        <v>0.88792599183249199</v>
      </c>
      <c r="V689" s="795">
        <f t="shared" si="365"/>
        <v>0.8616945678099136</v>
      </c>
      <c r="W689" s="795">
        <f t="shared" si="366"/>
        <v>0.18534275455700849</v>
      </c>
      <c r="X689" s="843">
        <f t="shared" si="367"/>
        <v>0.97955199192534192</v>
      </c>
      <c r="Y689" s="843">
        <f t="shared" si="368"/>
        <v>1.071083053146983</v>
      </c>
      <c r="Z689" s="843">
        <f t="shared" si="369"/>
        <v>0.24283175858966291</v>
      </c>
      <c r="AA689" s="843">
        <f t="shared" si="370"/>
        <v>0.62719572952852809</v>
      </c>
      <c r="AB689" s="796">
        <f t="shared" si="371"/>
        <v>3</v>
      </c>
      <c r="AC689" s="797">
        <f t="shared" si="372"/>
        <v>3</v>
      </c>
      <c r="AD689" s="797">
        <f t="shared" si="373"/>
        <v>1</v>
      </c>
      <c r="AE689" s="842">
        <f t="shared" si="374"/>
        <v>3</v>
      </c>
      <c r="AF689" s="842">
        <f t="shared" si="375"/>
        <v>4</v>
      </c>
      <c r="AG689" s="842">
        <f t="shared" si="376"/>
        <v>1</v>
      </c>
      <c r="AH689" s="842">
        <f t="shared" si="377"/>
        <v>2</v>
      </c>
      <c r="AI689" s="826" cm="1">
        <f t="array" ref="AI689">SUMPRODUCT(--ISNUMBER($U689:$AA689),$AB$3:$AH$3)</f>
        <v>1</v>
      </c>
      <c r="AJ689" s="829">
        <f t="shared" si="378"/>
        <v>31.674840196937794</v>
      </c>
      <c r="AK689" s="827" t="str">
        <f t="shared" si="379"/>
        <v>Inmadura</v>
      </c>
      <c r="AL689" s="784" t="str">
        <f t="shared" si="380"/>
        <v>Alta</v>
      </c>
      <c r="AM689" s="799">
        <f>IF(ISNUMBER('Base de datos Rutas'!W687),'Base de datos Rutas'!W687,"")</f>
        <v>3009.8554208951477</v>
      </c>
      <c r="AN689" s="787">
        <f>IFERROR(SUMIFS('Base de datos Rutas'!$W$6:$W$794,'Base de datos Rutas'!$C$6:$C$794,$C689)/'Base de datos Rutas'!I687,"")</f>
        <v>3009.8554208951477</v>
      </c>
      <c r="AO689" s="800">
        <f>IFERROR('Base de datos Rutas'!X687*AN689/AM689,"")</f>
        <v>0.52767642625143185</v>
      </c>
      <c r="AP689" s="800">
        <f t="shared" si="381"/>
        <v>0.47232357374856815</v>
      </c>
      <c r="AQ689" s="789">
        <f>IFERROR(INDEX('Hoja de apoyo v2'!$J$17:$J$20,MATCH($A689,'Hoja de apoyo v2'!$A$17:$A$20,0)),"")</f>
        <v>0.64320274048480885</v>
      </c>
      <c r="AR689" s="789">
        <f t="shared" si="382"/>
        <v>-0.17087916673624071</v>
      </c>
      <c r="AS689" s="784" t="str">
        <f t="shared" si="383"/>
        <v>No</v>
      </c>
      <c r="AT689" s="801">
        <f>IF(ISNUMBER('Base de datos Rutas'!CK687),'Base de datos Rutas'!CK687,"")</f>
        <v>330</v>
      </c>
      <c r="AU689" s="802">
        <f>IF(ISNUMBER('Base de datos Rutas'!CL687),'Base de datos Rutas'!CL687,"")</f>
        <v>368.08</v>
      </c>
      <c r="AV689" s="802">
        <f>IF(ISNUMBER('Base de datos Rutas'!CM687),'Base de datos Rutas'!CM687,"")</f>
        <v>38.079999999999984</v>
      </c>
      <c r="AW689" s="802">
        <f>IF(ISNUMBER('Base de datos Rutas'!CN687),'Base de datos Rutas'!CN687,"")</f>
        <v>6.32</v>
      </c>
      <c r="AX689" s="802">
        <f>IF(ISNUMBER('Base de datos Rutas'!CO687),'Base de datos Rutas'!CO687,"")</f>
        <v>9.4499999999999993</v>
      </c>
      <c r="AY689" s="802">
        <f>IF(ISNUMBER('Base de datos Rutas'!CP687),'Base de datos Rutas'!CP687,"")</f>
        <v>3.129999999999999</v>
      </c>
      <c r="AZ689" s="802">
        <f>IF(ISNUMBER('Base de datos Rutas'!CQ687),'Base de datos Rutas'!CQ687,"")</f>
        <v>846.56</v>
      </c>
      <c r="BA689" s="802">
        <f>IF(ISNUMBER('Base de datos Rutas'!CR687),'Base de datos Rutas'!CR687,"")</f>
        <v>500.2</v>
      </c>
      <c r="BB689" s="803">
        <f>IF(ISNUMBER('Base de datos Rutas'!CS687),'Base de datos Rutas'!CS687,"")</f>
        <v>346.35999999999996</v>
      </c>
      <c r="BC689" s="804">
        <f t="shared" si="393"/>
        <v>0</v>
      </c>
      <c r="BD689" s="805" t="str">
        <f t="shared" si="394"/>
        <v>No saturada</v>
      </c>
      <c r="BE689" s="806">
        <f t="shared" si="395"/>
        <v>0.5908618408618409</v>
      </c>
      <c r="BF689" s="890">
        <f>IF(ISNUMBER('Base de datos Rutas'!CX687),'Base de datos Rutas'!CX687/100,"")</f>
        <v>3.0458336205114067E-2</v>
      </c>
      <c r="BG689" s="891">
        <f>IF(ISNUMBER('Base de datos Rutas'!CZ687),'Base de datos Rutas'!CZ687/100,"")</f>
        <v>3.30829140533462E-2</v>
      </c>
      <c r="BH689" s="892">
        <f>IF(ISNUMBER('Base de datos Rutas'!DA687),'Base de datos Rutas'!DA687,"")</f>
        <v>27.0777186899364</v>
      </c>
      <c r="BI689" s="893">
        <f>IF(ISNUMBER('Base de datos Rutas'!DC687),'Base de datos Rutas'!DC687,"")</f>
        <v>1.4295136893452156</v>
      </c>
      <c r="BJ689" s="805" t="str">
        <f t="shared" si="396"/>
        <v>Ruta (completo)</v>
      </c>
      <c r="BK689" s="783">
        <f t="shared" si="384"/>
        <v>4</v>
      </c>
      <c r="BL689" s="797">
        <f t="shared" si="385"/>
        <v>4</v>
      </c>
      <c r="BM689" s="797">
        <f t="shared" si="386"/>
        <v>4</v>
      </c>
      <c r="BN689" s="797">
        <f t="shared" si="387"/>
        <v>4</v>
      </c>
      <c r="BO689" s="798" cm="1">
        <f t="array" ref="BO689">SUMPRODUCT(--ISNUMBER($BF689:$BI689),$BK$3:$BN$3)</f>
        <v>1</v>
      </c>
      <c r="BP689" s="831">
        <f t="shared" si="397"/>
        <v>75</v>
      </c>
      <c r="BQ689" s="834" t="str">
        <f t="shared" si="398"/>
        <v>Alto</v>
      </c>
      <c r="BR689" s="836">
        <f t="shared" si="388"/>
        <v>23.756130147703345</v>
      </c>
      <c r="BS689" s="836">
        <f t="shared" si="389"/>
        <v>75</v>
      </c>
      <c r="BT689" s="837" t="str">
        <f t="shared" si="390"/>
        <v>P3</v>
      </c>
      <c r="BU689" s="807" t="str">
        <f t="shared" si="399"/>
        <v>Con espacio</v>
      </c>
      <c r="BV689" s="807" t="str">
        <f t="shared" si="391"/>
        <v>Zona atractiva</v>
      </c>
      <c r="BW689" s="808" t="str">
        <f t="shared" si="392"/>
        <v>P3 - Desarrollar</v>
      </c>
    </row>
    <row r="690" spans="1:75">
      <c r="A690" s="780" t="str">
        <f>'Base de datos Rutas'!A688</f>
        <v>Occidente</v>
      </c>
      <c r="B690" s="781" t="str">
        <f>'Base de datos Rutas'!B688</f>
        <v>Zapopan</v>
      </c>
      <c r="C690" s="781" t="str">
        <f>'Base de datos Rutas'!C688</f>
        <v>Suc. Tequila</v>
      </c>
      <c r="D690" s="782">
        <f>IF(ISNUMBER('Base de datos Rutas'!D688),'Base de datos Rutas'!D688,"Sin código")</f>
        <v>827301</v>
      </c>
      <c r="E690" s="783" t="str">
        <f>'Base de datos Rutas'!F688</f>
        <v>Activa</v>
      </c>
      <c r="F690" s="784" t="str">
        <f>'Base de datos Rutas'!H688</f>
        <v>Sí</v>
      </c>
      <c r="G690" s="785">
        <f>IF(ISNUMBER('Base de datos Rutas'!BE688),'Base de datos Rutas'!BE688,"")</f>
        <v>5.88</v>
      </c>
      <c r="H690" s="786">
        <f>IF(ISNUMBER('Base de datos Rutas'!BH688),'Base de datos Rutas'!BH688,"")</f>
        <v>0.29251700680272102</v>
      </c>
      <c r="I690" s="788">
        <f>IFERROR(IF(OR(NOT(ISNUMBER('Base de datos Rutas'!O688)),N('Base de datos Rutas'!BK688)=0),"",'Base de datos Rutas'!O688/('Base de datos Rutas'!L688/'Base de datos Rutas'!BK688)),"")</f>
        <v>0</v>
      </c>
      <c r="J690" s="788">
        <f>IFERROR(IF(OR(NOT(ISNUMBER('Base de datos Rutas'!N688)),N('Base de datos Rutas'!BK688)=0),"",'Base de datos Rutas'!N688/('Base de datos Rutas'!L688/'Base de datos Rutas'!BK688)),"")</f>
        <v>0</v>
      </c>
      <c r="K690" s="788">
        <f>IFERROR(IF(OR(NOT(ISNUMBER('Base de datos Rutas'!J688)),N('Base de datos Rutas'!BK688)=0),"",'Base de datos Rutas'!J688/('Base de datos Rutas'!L688/'Base de datos Rutas'!BK688)),"")</f>
        <v>561.20677488789249</v>
      </c>
      <c r="L690" s="788">
        <f>IFERROR(IF(OR(NOT(ISNUMBER('Base de datos Rutas'!K688)),N('Base de datos Rutas'!BK688)=0),"",'Base de datos Rutas'!K688/('Base de datos Rutas'!L688/'Base de datos Rutas'!BK688)),"")</f>
        <v>3.5854409192825121</v>
      </c>
      <c r="M690" s="787">
        <f>IF(ISNUMBER('Base de datos Rutas'!AX688),'Base de datos Rutas'!AX688,"")</f>
        <v>2459.5149794576801</v>
      </c>
      <c r="N690" s="790">
        <f>IFERROR(INDEX('Hoja de apoyo v2'!B$17:B$20,MATCH($A690,'Hoja de apoyo v2'!$A$17:$A$20,0)),"")</f>
        <v>89.41621024641401</v>
      </c>
      <c r="O690" s="791">
        <f>IFERROR(INDEX('Hoja de apoyo v2'!C$17:C$20,MATCH($A690,'Hoja de apoyo v2'!$A$17:$A$20,0)),"")</f>
        <v>0.54706375874806301</v>
      </c>
      <c r="P690" s="793">
        <f>IFERROR(INDEX('Hoja de apoyo v2'!D$17:D$20,MATCH($A690,'Hoja de apoyo v2'!$A$17:$A$20,0)),"")</f>
        <v>11095.153935793827</v>
      </c>
      <c r="Q690" s="793">
        <f>IFERROR(INDEX('Hoja de apoyo v2'!E$17:E$20,MATCH($A690,'Hoja de apoyo v2'!$A$17:$A$20,0)),"")</f>
        <v>6982.3202019701848</v>
      </c>
      <c r="R690" s="793">
        <f>IFERROR(INDEX('Hoja de apoyo v2'!F$17:F$20,MATCH($A690,'Hoja de apoyo v2'!$A$17:$A$20,0)),"")</f>
        <v>448.09513474485743</v>
      </c>
      <c r="S690" s="793">
        <f>IFERROR(INDEX('Hoja de apoyo v2'!G$17:G$20,MATCH($A690,'Hoja de apoyo v2'!$A$17:$A$20,0)),"")</f>
        <v>83.406300904207839</v>
      </c>
      <c r="T690" s="792">
        <f>IFERROR(INDEX('Hoja de apoyo v2'!H$17:H$20,MATCH($A690,'Hoja de apoyo v2'!$A$17:$A$20,0)),"")</f>
        <v>378.97014028925349</v>
      </c>
      <c r="U690" s="794">
        <f t="shared" si="364"/>
        <v>6.5759888322216326E-2</v>
      </c>
      <c r="V690" s="795">
        <f t="shared" si="365"/>
        <v>0.53470368330034568</v>
      </c>
      <c r="W690" s="795">
        <f t="shared" si="366"/>
        <v>0</v>
      </c>
      <c r="X690" s="843">
        <f t="shared" si="367"/>
        <v>0</v>
      </c>
      <c r="Y690" s="843">
        <f t="shared" si="368"/>
        <v>1.2524277354795208</v>
      </c>
      <c r="Z690" s="843">
        <f t="shared" si="369"/>
        <v>4.2987650578106704E-2</v>
      </c>
      <c r="AA690" s="843">
        <f t="shared" si="370"/>
        <v>6.4899967516713213</v>
      </c>
      <c r="AB690" s="796">
        <f t="shared" si="371"/>
        <v>1</v>
      </c>
      <c r="AC690" s="797">
        <f t="shared" si="372"/>
        <v>2</v>
      </c>
      <c r="AD690" s="797">
        <f t="shared" si="373"/>
        <v>1</v>
      </c>
      <c r="AE690" s="842">
        <f t="shared" si="374"/>
        <v>1</v>
      </c>
      <c r="AF690" s="842">
        <f t="shared" si="375"/>
        <v>5</v>
      </c>
      <c r="AG690" s="842">
        <f t="shared" si="376"/>
        <v>1</v>
      </c>
      <c r="AH690" s="842">
        <f t="shared" si="377"/>
        <v>5</v>
      </c>
      <c r="AI690" s="826" cm="1">
        <f t="array" ref="AI690">SUMPRODUCT(--ISNUMBER($U690:$AA690),$AB$3:$AH$3)</f>
        <v>1</v>
      </c>
      <c r="AJ690" s="829">
        <f t="shared" si="378"/>
        <v>23.065994995355908</v>
      </c>
      <c r="AK690" s="827" t="str">
        <f t="shared" si="379"/>
        <v>Inmadura</v>
      </c>
      <c r="AL690" s="784" t="str">
        <f t="shared" si="380"/>
        <v>Alta</v>
      </c>
      <c r="AM690" s="799">
        <f>IF(ISNUMBER('Base de datos Rutas'!W688),'Base de datos Rutas'!W688,"")</f>
        <v>0</v>
      </c>
      <c r="AN690" s="787">
        <f>IFERROR(SUMIFS('Base de datos Rutas'!$W$6:$W$794,'Base de datos Rutas'!$C$6:$C$794,$C690)/'Base de datos Rutas'!I688,"")</f>
        <v>0</v>
      </c>
      <c r="AO690" s="800" t="str">
        <f>IFERROR('Base de datos Rutas'!X688*AN690/AM690,"")</f>
        <v/>
      </c>
      <c r="AP690" s="800" t="str">
        <f t="shared" si="381"/>
        <v/>
      </c>
      <c r="AQ690" s="789">
        <f>IFERROR(INDEX('Hoja de apoyo v2'!$J$17:$J$20,MATCH($A690,'Hoja de apoyo v2'!$A$17:$A$20,0)),"")</f>
        <v>0.64320274048480885</v>
      </c>
      <c r="AR690" s="789" t="str">
        <f t="shared" si="382"/>
        <v/>
      </c>
      <c r="AS690" s="784" t="str">
        <f t="shared" si="383"/>
        <v>n/d</v>
      </c>
      <c r="AT690" s="801" t="str">
        <f>IF(ISNUMBER('Base de datos Rutas'!CK688),'Base de datos Rutas'!CK688,"")</f>
        <v/>
      </c>
      <c r="AU690" s="802" t="str">
        <f>IF(ISNUMBER('Base de datos Rutas'!CL688),'Base de datos Rutas'!CL688,"")</f>
        <v/>
      </c>
      <c r="AV690" s="802">
        <f>IF(ISNUMBER('Base de datos Rutas'!CM688),'Base de datos Rutas'!CM688,"")</f>
        <v>0</v>
      </c>
      <c r="AW690" s="802" t="str">
        <f>IF(ISNUMBER('Base de datos Rutas'!CN688),'Base de datos Rutas'!CN688,"")</f>
        <v/>
      </c>
      <c r="AX690" s="802" t="str">
        <f>IF(ISNUMBER('Base de datos Rutas'!CO688),'Base de datos Rutas'!CO688,"")</f>
        <v/>
      </c>
      <c r="AY690" s="802">
        <f>IF(ISNUMBER('Base de datos Rutas'!CP688),'Base de datos Rutas'!CP688,"")</f>
        <v>0</v>
      </c>
      <c r="AZ690" s="802" t="str">
        <f>IF(ISNUMBER('Base de datos Rutas'!CQ688),'Base de datos Rutas'!CQ688,"")</f>
        <v/>
      </c>
      <c r="BA690" s="802" t="str">
        <f>IF(ISNUMBER('Base de datos Rutas'!CR688),'Base de datos Rutas'!CR688,"")</f>
        <v/>
      </c>
      <c r="BB690" s="803">
        <f>IF(ISNUMBER('Base de datos Rutas'!CS688),'Base de datos Rutas'!CS688,"")</f>
        <v>0</v>
      </c>
      <c r="BC690" s="804" t="str">
        <f t="shared" si="393"/>
        <v/>
      </c>
      <c r="BD690" s="805" t="str">
        <f t="shared" si="394"/>
        <v>N/D</v>
      </c>
      <c r="BE690" s="806" t="str">
        <f t="shared" si="395"/>
        <v/>
      </c>
      <c r="BF690" s="890" t="str">
        <f>IF(ISNUMBER('Base de datos Rutas'!CX688),'Base de datos Rutas'!CX688/100,"")</f>
        <v/>
      </c>
      <c r="BG690" s="891" t="str">
        <f>IF(ISNUMBER('Base de datos Rutas'!CZ688),'Base de datos Rutas'!CZ688/100,"")</f>
        <v/>
      </c>
      <c r="BH690" s="892" t="str">
        <f>IF(ISNUMBER('Base de datos Rutas'!DA688),'Base de datos Rutas'!DA688,"")</f>
        <v/>
      </c>
      <c r="BI690" s="893" t="str">
        <f>IF(ISNUMBER('Base de datos Rutas'!DC688),'Base de datos Rutas'!DC688,"")</f>
        <v/>
      </c>
      <c r="BJ690" s="805" t="str">
        <f t="shared" si="396"/>
        <v>Sin dato</v>
      </c>
      <c r="BK690" s="783">
        <f t="shared" si="384"/>
        <v>0</v>
      </c>
      <c r="BL690" s="797">
        <f t="shared" si="385"/>
        <v>0</v>
      </c>
      <c r="BM690" s="797">
        <f t="shared" si="386"/>
        <v>0</v>
      </c>
      <c r="BN690" s="797">
        <f t="shared" si="387"/>
        <v>0</v>
      </c>
      <c r="BO690" s="798" cm="1">
        <f t="array" ref="BO690">SUMPRODUCT(--ISNUMBER($BF690:$BI690),$BK$3:$BN$3)</f>
        <v>0</v>
      </c>
      <c r="BP690" s="831" t="str">
        <f t="shared" si="397"/>
        <v/>
      </c>
      <c r="BQ690" s="834" t="str">
        <f t="shared" si="398"/>
        <v>Sin datos</v>
      </c>
      <c r="BR690" s="836" t="str">
        <f t="shared" si="388"/>
        <v/>
      </c>
      <c r="BS690" s="836" t="str">
        <f t="shared" si="389"/>
        <v/>
      </c>
      <c r="BT690" s="837" t="str">
        <f t="shared" si="390"/>
        <v>Sin datos</v>
      </c>
      <c r="BU690" s="807" t="str">
        <f t="shared" si="399"/>
        <v>Con espacio</v>
      </c>
      <c r="BV690" s="807" t="str">
        <f t="shared" si="391"/>
        <v>Sin datos de zona</v>
      </c>
      <c r="BW690" s="808" t="str">
        <f t="shared" si="392"/>
        <v>Sin datos</v>
      </c>
    </row>
    <row r="691" spans="1:75">
      <c r="A691" s="780" t="str">
        <f>'Base de datos Rutas'!A689</f>
        <v>Occidente</v>
      </c>
      <c r="B691" s="781" t="str">
        <f>'Base de datos Rutas'!B689</f>
        <v>Zapopan</v>
      </c>
      <c r="C691" s="781" t="str">
        <f>'Base de datos Rutas'!C689</f>
        <v>Suc. Zacoalco</v>
      </c>
      <c r="D691" s="782">
        <f>IF(ISNUMBER('Base de datos Rutas'!D689),'Base de datos Rutas'!D689,"Sin código")</f>
        <v>828301</v>
      </c>
      <c r="E691" s="783" t="str">
        <f>'Base de datos Rutas'!F689</f>
        <v>Activa</v>
      </c>
      <c r="F691" s="784" t="str">
        <f>'Base de datos Rutas'!H689</f>
        <v>Sí</v>
      </c>
      <c r="G691" s="785">
        <f>IF(ISNUMBER('Base de datos Rutas'!BE689),'Base de datos Rutas'!BE689,"")</f>
        <v>29.636771300448402</v>
      </c>
      <c r="H691" s="786">
        <f>IF(ISNUMBER('Base de datos Rutas'!BH689),'Base de datos Rutas'!BH689,"")</f>
        <v>0.509381146920865</v>
      </c>
      <c r="I691" s="788">
        <f>IFERROR(IF(OR(NOT(ISNUMBER('Base de datos Rutas'!O689)),N('Base de datos Rutas'!BK689)=0),"",'Base de datos Rutas'!O689/('Base de datos Rutas'!L689/'Base de datos Rutas'!BK689)),"")</f>
        <v>2481.7488789237691</v>
      </c>
      <c r="J691" s="788">
        <f>IFERROR(IF(OR(NOT(ISNUMBER('Base de datos Rutas'!N689)),N('Base de datos Rutas'!BK689)=0),"",'Base de datos Rutas'!N689/('Base de datos Rutas'!L689/'Base de datos Rutas'!BK689)),"")</f>
        <v>6045.0582959641306</v>
      </c>
      <c r="K691" s="788">
        <f>IFERROR(IF(OR(NOT(ISNUMBER('Base de datos Rutas'!J689)),N('Base de datos Rutas'!BK689)=0),"",'Base de datos Rutas'!J689/('Base de datos Rutas'!L689/'Base de datos Rutas'!BK689)),"")</f>
        <v>429.48007174887931</v>
      </c>
      <c r="L691" s="788">
        <f>IFERROR(IF(OR(NOT(ISNUMBER('Base de datos Rutas'!K689)),N('Base de datos Rutas'!BK689)=0),"",'Base de datos Rutas'!K689/('Base de datos Rutas'!L689/'Base de datos Rutas'!BK689)),"")</f>
        <v>23.961256334080741</v>
      </c>
      <c r="M691" s="787">
        <f>IF(ISNUMBER('Base de datos Rutas'!AX689),'Base de datos Rutas'!AX689,"")</f>
        <v>564.82317243427894</v>
      </c>
      <c r="N691" s="790">
        <f>IFERROR(INDEX('Hoja de apoyo v2'!B$17:B$20,MATCH($A691,'Hoja de apoyo v2'!$A$17:$A$20,0)),"")</f>
        <v>89.41621024641401</v>
      </c>
      <c r="O691" s="791">
        <f>IFERROR(INDEX('Hoja de apoyo v2'!C$17:C$20,MATCH($A691,'Hoja de apoyo v2'!$A$17:$A$20,0)),"")</f>
        <v>0.54706375874806301</v>
      </c>
      <c r="P691" s="793">
        <f>IFERROR(INDEX('Hoja de apoyo v2'!D$17:D$20,MATCH($A691,'Hoja de apoyo v2'!$A$17:$A$20,0)),"")</f>
        <v>11095.153935793827</v>
      </c>
      <c r="Q691" s="793">
        <f>IFERROR(INDEX('Hoja de apoyo v2'!E$17:E$20,MATCH($A691,'Hoja de apoyo v2'!$A$17:$A$20,0)),"")</f>
        <v>6982.3202019701848</v>
      </c>
      <c r="R691" s="793">
        <f>IFERROR(INDEX('Hoja de apoyo v2'!F$17:F$20,MATCH($A691,'Hoja de apoyo v2'!$A$17:$A$20,0)),"")</f>
        <v>448.09513474485743</v>
      </c>
      <c r="S691" s="793">
        <f>IFERROR(INDEX('Hoja de apoyo v2'!G$17:G$20,MATCH($A691,'Hoja de apoyo v2'!$A$17:$A$20,0)),"")</f>
        <v>83.406300904207839</v>
      </c>
      <c r="T691" s="792">
        <f>IFERROR(INDEX('Hoja de apoyo v2'!H$17:H$20,MATCH($A691,'Hoja de apoyo v2'!$A$17:$A$20,0)),"")</f>
        <v>378.97014028925349</v>
      </c>
      <c r="U691" s="794">
        <f t="shared" si="364"/>
        <v>0.33144741002526407</v>
      </c>
      <c r="V691" s="795">
        <f t="shared" si="365"/>
        <v>0.93111842774335229</v>
      </c>
      <c r="W691" s="795">
        <f t="shared" si="366"/>
        <v>0.2236786342294409</v>
      </c>
      <c r="X691" s="843">
        <f t="shared" si="367"/>
        <v>0.86576641017672185</v>
      </c>
      <c r="Y691" s="843">
        <f t="shared" si="368"/>
        <v>0.95845734186206366</v>
      </c>
      <c r="Z691" s="843">
        <f t="shared" si="369"/>
        <v>0.28728352743517843</v>
      </c>
      <c r="AA691" s="843">
        <f t="shared" si="370"/>
        <v>1.4904160312028036</v>
      </c>
      <c r="AB691" s="796">
        <f t="shared" si="371"/>
        <v>1</v>
      </c>
      <c r="AC691" s="797">
        <f t="shared" si="372"/>
        <v>3</v>
      </c>
      <c r="AD691" s="797">
        <f t="shared" si="373"/>
        <v>1</v>
      </c>
      <c r="AE691" s="842">
        <f t="shared" si="374"/>
        <v>3</v>
      </c>
      <c r="AF691" s="842">
        <f t="shared" si="375"/>
        <v>3</v>
      </c>
      <c r="AG691" s="842">
        <f t="shared" si="376"/>
        <v>1</v>
      </c>
      <c r="AH691" s="842">
        <f t="shared" si="377"/>
        <v>5</v>
      </c>
      <c r="AI691" s="826" cm="1">
        <f t="array" ref="AI691">SUMPRODUCT(--ISNUMBER($U691:$AA691),$AB$3:$AH$3)</f>
        <v>1</v>
      </c>
      <c r="AJ691" s="829">
        <f t="shared" si="378"/>
        <v>26.415706849604181</v>
      </c>
      <c r="AK691" s="827" t="str">
        <f t="shared" si="379"/>
        <v>Inmadura</v>
      </c>
      <c r="AL691" s="784" t="str">
        <f t="shared" si="380"/>
        <v>Alta</v>
      </c>
      <c r="AM691" s="799">
        <f>IF(ISNUMBER('Base de datos Rutas'!W689),'Base de datos Rutas'!W689,"")</f>
        <v>2656.9351032218578</v>
      </c>
      <c r="AN691" s="787">
        <f>IFERROR(SUMIFS('Base de datos Rutas'!$W$6:$W$794,'Base de datos Rutas'!$C$6:$C$794,$C691)/'Base de datos Rutas'!I689,"")</f>
        <v>2656.9351032218578</v>
      </c>
      <c r="AO691" s="800">
        <f>IFERROR('Base de datos Rutas'!X689*AN691/AM691,"")</f>
        <v>0.43711437490797689</v>
      </c>
      <c r="AP691" s="800">
        <f t="shared" si="381"/>
        <v>0.56288562509202311</v>
      </c>
      <c r="AQ691" s="789">
        <f>IFERROR(INDEX('Hoja de apoyo v2'!$J$17:$J$20,MATCH($A691,'Hoja de apoyo v2'!$A$17:$A$20,0)),"")</f>
        <v>0.64320274048480885</v>
      </c>
      <c r="AR691" s="789">
        <f t="shared" si="382"/>
        <v>-8.0317115392785743E-2</v>
      </c>
      <c r="AS691" s="784" t="str">
        <f t="shared" si="383"/>
        <v>No</v>
      </c>
      <c r="AT691" s="801">
        <f>IF(ISNUMBER('Base de datos Rutas'!CK689),'Base de datos Rutas'!CK689,"")</f>
        <v>133</v>
      </c>
      <c r="AU691" s="802">
        <f>IF(ISNUMBER('Base de datos Rutas'!CL689),'Base de datos Rutas'!CL689,"")</f>
        <v>156.12</v>
      </c>
      <c r="AV691" s="802">
        <f>IF(ISNUMBER('Base de datos Rutas'!CM689),'Base de datos Rutas'!CM689,"")</f>
        <v>23.120000000000005</v>
      </c>
      <c r="AW691" s="802">
        <f>IF(ISNUMBER('Base de datos Rutas'!CN689),'Base de datos Rutas'!CN689,"")</f>
        <v>1.55</v>
      </c>
      <c r="AX691" s="802">
        <f>IF(ISNUMBER('Base de datos Rutas'!CO689),'Base de datos Rutas'!CO689,"")</f>
        <v>9.4499999999999993</v>
      </c>
      <c r="AY691" s="802">
        <f>IF(ISNUMBER('Base de datos Rutas'!CP689),'Base de datos Rutas'!CP689,"")</f>
        <v>7.8999999999999995</v>
      </c>
      <c r="AZ691" s="802">
        <f>IF(ISNUMBER('Base de datos Rutas'!CQ689),'Base de datos Rutas'!CQ689,"")</f>
        <v>846.56</v>
      </c>
      <c r="BA691" s="802">
        <f>IF(ISNUMBER('Base de datos Rutas'!CR689),'Base de datos Rutas'!CR689,"")</f>
        <v>453.44</v>
      </c>
      <c r="BB691" s="803">
        <f>IF(ISNUMBER('Base de datos Rutas'!CS689),'Base de datos Rutas'!CS689,"")</f>
        <v>393.11999999999995</v>
      </c>
      <c r="BC691" s="804">
        <f t="shared" si="393"/>
        <v>0</v>
      </c>
      <c r="BD691" s="805" t="str">
        <f t="shared" si="394"/>
        <v>No saturada</v>
      </c>
      <c r="BE691" s="806">
        <f t="shared" si="395"/>
        <v>0.53562653562653562</v>
      </c>
      <c r="BF691" s="890">
        <f>IF(ISNUMBER('Base de datos Rutas'!CX689),'Base de datos Rutas'!CX689/100,"")</f>
        <v>-2.0170904103808418E-3</v>
      </c>
      <c r="BG691" s="891">
        <f>IF(ISNUMBER('Base de datos Rutas'!CZ689),'Base de datos Rutas'!CZ689/100,"")</f>
        <v>4.2198544150226817E-4</v>
      </c>
      <c r="BH691" s="892">
        <f>IF(ISNUMBER('Base de datos Rutas'!DA689),'Base de datos Rutas'!DA689,"")</f>
        <v>22.629455321549294</v>
      </c>
      <c r="BI691" s="893">
        <f>IF(ISNUMBER('Base de datos Rutas'!DC689),'Base de datos Rutas'!DC689,"")</f>
        <v>1.2722981818794121</v>
      </c>
      <c r="BJ691" s="805" t="str">
        <f t="shared" si="396"/>
        <v>Ruta (completo)</v>
      </c>
      <c r="BK691" s="783">
        <f t="shared" si="384"/>
        <v>1</v>
      </c>
      <c r="BL691" s="797">
        <f t="shared" si="385"/>
        <v>1</v>
      </c>
      <c r="BM691" s="797">
        <f t="shared" si="386"/>
        <v>1</v>
      </c>
      <c r="BN691" s="797">
        <f t="shared" si="387"/>
        <v>1</v>
      </c>
      <c r="BO691" s="798" cm="1">
        <f t="array" ref="BO691">SUMPRODUCT(--ISNUMBER($BF691:$BI691),$BK$3:$BN$3)</f>
        <v>1</v>
      </c>
      <c r="BP691" s="831">
        <f t="shared" si="397"/>
        <v>0</v>
      </c>
      <c r="BQ691" s="834" t="str">
        <f t="shared" si="398"/>
        <v>Bajo</v>
      </c>
      <c r="BR691" s="836">
        <f t="shared" si="388"/>
        <v>19.811780137203137</v>
      </c>
      <c r="BS691" s="836">
        <f t="shared" si="389"/>
        <v>0</v>
      </c>
      <c r="BT691" s="837" t="str">
        <f t="shared" si="390"/>
        <v>P4</v>
      </c>
      <c r="BU691" s="807" t="str">
        <f t="shared" si="399"/>
        <v>Con espacio</v>
      </c>
      <c r="BV691" s="807" t="str">
        <f t="shared" si="391"/>
        <v>Zona de bajo potencial</v>
      </c>
      <c r="BW691" s="808" t="str">
        <f t="shared" si="392"/>
        <v>P4 - Evaluar</v>
      </c>
    </row>
    <row r="692" spans="1:75">
      <c r="A692" s="780" t="str">
        <f>'Base de datos Rutas'!A690</f>
        <v>Occidente</v>
      </c>
      <c r="B692" s="781" t="str">
        <f>'Base de datos Rutas'!B690</f>
        <v>Los Altos</v>
      </c>
      <c r="C692" s="781" t="str">
        <f>'Base de datos Rutas'!C690</f>
        <v>Suc. Zapotlanejo</v>
      </c>
      <c r="D692" s="782">
        <f>IF(ISNUMBER('Base de datos Rutas'!D690),'Base de datos Rutas'!D690,"Sin código")</f>
        <v>837400</v>
      </c>
      <c r="E692" s="783" t="str">
        <f>'Base de datos Rutas'!F690</f>
        <v>Inactiva</v>
      </c>
      <c r="F692" s="784" t="str">
        <f>'Base de datos Rutas'!H690</f>
        <v>No</v>
      </c>
      <c r="G692" s="785" t="str">
        <f>IF(ISNUMBER('Base de datos Rutas'!BE690),'Base de datos Rutas'!BE690,"")</f>
        <v/>
      </c>
      <c r="H692" s="786" t="str">
        <f>IF(ISNUMBER('Base de datos Rutas'!BH690),'Base de datos Rutas'!BH690,"")</f>
        <v/>
      </c>
      <c r="I692" s="788" t="str">
        <f>IFERROR(IF(OR(NOT(ISNUMBER('Base de datos Rutas'!O690)),N('Base de datos Rutas'!BK690)=0),"",'Base de datos Rutas'!O690/('Base de datos Rutas'!L690/'Base de datos Rutas'!BK690)),"")</f>
        <v/>
      </c>
      <c r="J692" s="788" t="str">
        <f>IFERROR(IF(OR(NOT(ISNUMBER('Base de datos Rutas'!N690)),N('Base de datos Rutas'!BK690)=0),"",'Base de datos Rutas'!N690/('Base de datos Rutas'!L690/'Base de datos Rutas'!BK690)),"")</f>
        <v/>
      </c>
      <c r="K692" s="788" t="str">
        <f>IFERROR(IF(OR(NOT(ISNUMBER('Base de datos Rutas'!J690)),N('Base de datos Rutas'!BK690)=0),"",'Base de datos Rutas'!J690/('Base de datos Rutas'!L690/'Base de datos Rutas'!BK690)),"")</f>
        <v/>
      </c>
      <c r="L692" s="788" t="str">
        <f>IFERROR(IF(OR(NOT(ISNUMBER('Base de datos Rutas'!K690)),N('Base de datos Rutas'!BK690)=0),"",'Base de datos Rutas'!K690/('Base de datos Rutas'!L690/'Base de datos Rutas'!BK690)),"")</f>
        <v/>
      </c>
      <c r="M692" s="787">
        <f>IF(ISNUMBER('Base de datos Rutas'!AX690),'Base de datos Rutas'!AX690,"")</f>
        <v>133.98159124087601</v>
      </c>
      <c r="N692" s="790">
        <f>IFERROR(INDEX('Hoja de apoyo v2'!B$17:B$20,MATCH($A692,'Hoja de apoyo v2'!$A$17:$A$20,0)),"")</f>
        <v>89.41621024641401</v>
      </c>
      <c r="O692" s="791">
        <f>IFERROR(INDEX('Hoja de apoyo v2'!C$17:C$20,MATCH($A692,'Hoja de apoyo v2'!$A$17:$A$20,0)),"")</f>
        <v>0.54706375874806301</v>
      </c>
      <c r="P692" s="793">
        <f>IFERROR(INDEX('Hoja de apoyo v2'!D$17:D$20,MATCH($A692,'Hoja de apoyo v2'!$A$17:$A$20,0)),"")</f>
        <v>11095.153935793827</v>
      </c>
      <c r="Q692" s="793">
        <f>IFERROR(INDEX('Hoja de apoyo v2'!E$17:E$20,MATCH($A692,'Hoja de apoyo v2'!$A$17:$A$20,0)),"")</f>
        <v>6982.3202019701848</v>
      </c>
      <c r="R692" s="793">
        <f>IFERROR(INDEX('Hoja de apoyo v2'!F$17:F$20,MATCH($A692,'Hoja de apoyo v2'!$A$17:$A$20,0)),"")</f>
        <v>448.09513474485743</v>
      </c>
      <c r="S692" s="793">
        <f>IFERROR(INDEX('Hoja de apoyo v2'!G$17:G$20,MATCH($A692,'Hoja de apoyo v2'!$A$17:$A$20,0)),"")</f>
        <v>83.406300904207839</v>
      </c>
      <c r="T692" s="792">
        <f>IFERROR(INDEX('Hoja de apoyo v2'!H$17:H$20,MATCH($A692,'Hoja de apoyo v2'!$A$17:$A$20,0)),"")</f>
        <v>378.97014028925349</v>
      </c>
      <c r="U692" s="794" t="str">
        <f t="shared" si="364"/>
        <v/>
      </c>
      <c r="V692" s="795" t="str">
        <f t="shared" si="365"/>
        <v/>
      </c>
      <c r="W692" s="795" t="str">
        <f t="shared" si="366"/>
        <v/>
      </c>
      <c r="X692" s="843" t="str">
        <f t="shared" si="367"/>
        <v/>
      </c>
      <c r="Y692" s="843" t="str">
        <f t="shared" si="368"/>
        <v/>
      </c>
      <c r="Z692" s="843" t="str">
        <f t="shared" si="369"/>
        <v/>
      </c>
      <c r="AA692" s="843">
        <f t="shared" si="370"/>
        <v>0.35354128728615125</v>
      </c>
      <c r="AB692" s="796">
        <f t="shared" si="371"/>
        <v>0</v>
      </c>
      <c r="AC692" s="797">
        <f t="shared" si="372"/>
        <v>0</v>
      </c>
      <c r="AD692" s="797">
        <f t="shared" si="373"/>
        <v>0</v>
      </c>
      <c r="AE692" s="842">
        <f t="shared" si="374"/>
        <v>0</v>
      </c>
      <c r="AF692" s="842">
        <f t="shared" si="375"/>
        <v>0</v>
      </c>
      <c r="AG692" s="842">
        <f t="shared" si="376"/>
        <v>0</v>
      </c>
      <c r="AH692" s="842">
        <f t="shared" si="377"/>
        <v>1</v>
      </c>
      <c r="AI692" s="826" cm="1">
        <f t="array" ref="AI692">SUMPRODUCT(--ISNUMBER($U692:$AA692),$AB$3:$AH$3)</f>
        <v>8.9789113613062493E-2</v>
      </c>
      <c r="AJ692" s="829" t="str">
        <f t="shared" si="378"/>
        <v/>
      </c>
      <c r="AK692" s="827" t="str">
        <f t="shared" si="379"/>
        <v>Ruta inactiva</v>
      </c>
      <c r="AL692" s="784" t="str">
        <f t="shared" si="380"/>
        <v>n/a</v>
      </c>
      <c r="AM692" s="799">
        <f>IF(ISNUMBER('Base de datos Rutas'!W690),'Base de datos Rutas'!W690,"")</f>
        <v>252.34533422077826</v>
      </c>
      <c r="AN692" s="787">
        <f>IFERROR(SUMIFS('Base de datos Rutas'!$W$6:$W$794,'Base de datos Rutas'!$C$6:$C$794,$C692)/'Base de datos Rutas'!I690,"")</f>
        <v>252.34533422077826</v>
      </c>
      <c r="AO692" s="800">
        <f>IFERROR('Base de datos Rutas'!X690*AN692/AM692,"")</f>
        <v>2.8213289154625558</v>
      </c>
      <c r="AP692" s="800">
        <f t="shared" si="381"/>
        <v>-1.8213289154625558</v>
      </c>
      <c r="AQ692" s="789">
        <f>IFERROR(INDEX('Hoja de apoyo v2'!$J$17:$J$20,MATCH($A692,'Hoja de apoyo v2'!$A$17:$A$20,0)),"")</f>
        <v>0.64320274048480885</v>
      </c>
      <c r="AR692" s="789">
        <f t="shared" si="382"/>
        <v>-2.4645316559473649</v>
      </c>
      <c r="AS692" s="784" t="str">
        <f t="shared" si="383"/>
        <v>Sí</v>
      </c>
      <c r="AT692" s="801" t="str">
        <f>IF(ISNUMBER('Base de datos Rutas'!CK690),'Base de datos Rutas'!CK690,"")</f>
        <v/>
      </c>
      <c r="AU692" s="802" t="str">
        <f>IF(ISNUMBER('Base de datos Rutas'!CL690),'Base de datos Rutas'!CL690,"")</f>
        <v/>
      </c>
      <c r="AV692" s="802">
        <f>IF(ISNUMBER('Base de datos Rutas'!CM690),'Base de datos Rutas'!CM690,"")</f>
        <v>0</v>
      </c>
      <c r="AW692" s="802" t="str">
        <f>IF(ISNUMBER('Base de datos Rutas'!CN690),'Base de datos Rutas'!CN690,"")</f>
        <v/>
      </c>
      <c r="AX692" s="802" t="str">
        <f>IF(ISNUMBER('Base de datos Rutas'!CO690),'Base de datos Rutas'!CO690,"")</f>
        <v/>
      </c>
      <c r="AY692" s="802">
        <f>IF(ISNUMBER('Base de datos Rutas'!CP690),'Base de datos Rutas'!CP690,"")</f>
        <v>0</v>
      </c>
      <c r="AZ692" s="802" t="str">
        <f>IF(ISNUMBER('Base de datos Rutas'!CQ690),'Base de datos Rutas'!CQ690,"")</f>
        <v/>
      </c>
      <c r="BA692" s="802" t="str">
        <f>IF(ISNUMBER('Base de datos Rutas'!CR690),'Base de datos Rutas'!CR690,"")</f>
        <v/>
      </c>
      <c r="BB692" s="803">
        <f>IF(ISNUMBER('Base de datos Rutas'!CS690),'Base de datos Rutas'!CS690,"")</f>
        <v>0</v>
      </c>
      <c r="BC692" s="804" t="str">
        <f t="shared" si="393"/>
        <v/>
      </c>
      <c r="BD692" s="805" t="str">
        <f t="shared" si="394"/>
        <v>N/D</v>
      </c>
      <c r="BE692" s="806" t="str">
        <f t="shared" si="395"/>
        <v/>
      </c>
      <c r="BF692" s="890">
        <f>IF(ISNUMBER('Base de datos Rutas'!CX690),'Base de datos Rutas'!CX690/100,"")</f>
        <v>0</v>
      </c>
      <c r="BG692" s="891">
        <f>IF(ISNUMBER('Base de datos Rutas'!CZ690),'Base de datos Rutas'!CZ690/100,"")</f>
        <v>0</v>
      </c>
      <c r="BH692" s="892">
        <f>IF(ISNUMBER('Base de datos Rutas'!DA690),'Base de datos Rutas'!DA690,"")</f>
        <v>0</v>
      </c>
      <c r="BI692" s="893">
        <f>IF(ISNUMBER('Base de datos Rutas'!DC690),'Base de datos Rutas'!DC690,"")</f>
        <v>0</v>
      </c>
      <c r="BJ692" s="805" t="str">
        <f t="shared" si="396"/>
        <v>Ruta (completo)</v>
      </c>
      <c r="BK692" s="783">
        <f t="shared" si="384"/>
        <v>1</v>
      </c>
      <c r="BL692" s="797">
        <f t="shared" si="385"/>
        <v>1</v>
      </c>
      <c r="BM692" s="797">
        <f t="shared" si="386"/>
        <v>1</v>
      </c>
      <c r="BN692" s="797">
        <f t="shared" si="387"/>
        <v>1</v>
      </c>
      <c r="BO692" s="798" cm="1">
        <f t="array" ref="BO692">SUMPRODUCT(--ISNUMBER($BF692:$BI692),$BK$3:$BN$3)</f>
        <v>1</v>
      </c>
      <c r="BP692" s="831">
        <f t="shared" si="397"/>
        <v>0</v>
      </c>
      <c r="BQ692" s="834" t="str">
        <f t="shared" si="398"/>
        <v>Bajo</v>
      </c>
      <c r="BR692" s="836" t="str">
        <f t="shared" si="388"/>
        <v/>
      </c>
      <c r="BS692" s="836">
        <f t="shared" si="389"/>
        <v>0</v>
      </c>
      <c r="BT692" s="837" t="str">
        <f t="shared" si="390"/>
        <v>Sin datos</v>
      </c>
      <c r="BU692" s="807" t="str">
        <f t="shared" si="399"/>
        <v>No evaluable</v>
      </c>
      <c r="BV692" s="807" t="str">
        <f t="shared" si="391"/>
        <v>No evaluable</v>
      </c>
      <c r="BW692" s="808" t="str">
        <f t="shared" si="392"/>
        <v>Sin datos</v>
      </c>
    </row>
    <row r="693" spans="1:75">
      <c r="A693" s="780" t="str">
        <f>'Base de datos Rutas'!A691</f>
        <v>Occidente</v>
      </c>
      <c r="B693" s="781" t="str">
        <f>'Base de datos Rutas'!B691</f>
        <v>Zapopan</v>
      </c>
      <c r="C693" s="781" t="str">
        <f>'Base de datos Rutas'!C691</f>
        <v>Sucursal Chapala</v>
      </c>
      <c r="D693" s="782">
        <f>IF(ISNUMBER('Base de datos Rutas'!D691),'Base de datos Rutas'!D691,"Sin código")</f>
        <v>823301</v>
      </c>
      <c r="E693" s="783" t="str">
        <f>'Base de datos Rutas'!F691</f>
        <v>Activa</v>
      </c>
      <c r="F693" s="784" t="str">
        <f>'Base de datos Rutas'!H691</f>
        <v>Sí</v>
      </c>
      <c r="G693" s="785">
        <f>IF(ISNUMBER('Base de datos Rutas'!BE691),'Base de datos Rutas'!BE691,"")</f>
        <v>18.651376146789001</v>
      </c>
      <c r="H693" s="786">
        <f>IF(ISNUMBER('Base de datos Rutas'!BH691),'Base de datos Rutas'!BH691,"")</f>
        <v>0.41416625676340402</v>
      </c>
      <c r="I693" s="788">
        <f>IFERROR(IF(OR(NOT(ISNUMBER('Base de datos Rutas'!O691)),N('Base de datos Rutas'!BK691)=0),"",'Base de datos Rutas'!O691/('Base de datos Rutas'!L691/'Base de datos Rutas'!BK691)),"")</f>
        <v>397.74031890660586</v>
      </c>
      <c r="J693" s="788">
        <f>IFERROR(IF(OR(NOT(ISNUMBER('Base de datos Rutas'!N691)),N('Base de datos Rutas'!BK691)=0),"",'Base de datos Rutas'!N691/('Base de datos Rutas'!L691/'Base de datos Rutas'!BK691)),"")</f>
        <v>5922.2232346241453</v>
      </c>
      <c r="K693" s="788">
        <f>IFERROR(IF(OR(NOT(ISNUMBER('Base de datos Rutas'!J691)),N('Base de datos Rutas'!BK691)=0),"",'Base de datos Rutas'!J691/('Base de datos Rutas'!L691/'Base de datos Rutas'!BK691)),"")</f>
        <v>521.62010022779032</v>
      </c>
      <c r="L693" s="788">
        <f>IFERROR(IF(OR(NOT(ISNUMBER('Base de datos Rutas'!K691)),N('Base de datos Rutas'!BK691)=0),"",'Base de datos Rutas'!K691/('Base de datos Rutas'!L691/'Base de datos Rutas'!BK691)),"")</f>
        <v>3.6451084851936213</v>
      </c>
      <c r="M693" s="787">
        <f>IF(ISNUMBER('Base de datos Rutas'!AX691),'Base de datos Rutas'!AX691,"")</f>
        <v>788.648382603752</v>
      </c>
      <c r="N693" s="790">
        <f>IFERROR(INDEX('Hoja de apoyo v2'!B$17:B$20,MATCH($A693,'Hoja de apoyo v2'!$A$17:$A$20,0)),"")</f>
        <v>89.41621024641401</v>
      </c>
      <c r="O693" s="791">
        <f>IFERROR(INDEX('Hoja de apoyo v2'!C$17:C$20,MATCH($A693,'Hoja de apoyo v2'!$A$17:$A$20,0)),"")</f>
        <v>0.54706375874806301</v>
      </c>
      <c r="P693" s="793">
        <f>IFERROR(INDEX('Hoja de apoyo v2'!D$17:D$20,MATCH($A693,'Hoja de apoyo v2'!$A$17:$A$20,0)),"")</f>
        <v>11095.153935793827</v>
      </c>
      <c r="Q693" s="793">
        <f>IFERROR(INDEX('Hoja de apoyo v2'!E$17:E$20,MATCH($A693,'Hoja de apoyo v2'!$A$17:$A$20,0)),"")</f>
        <v>6982.3202019701848</v>
      </c>
      <c r="R693" s="793">
        <f>IFERROR(INDEX('Hoja de apoyo v2'!F$17:F$20,MATCH($A693,'Hoja de apoyo v2'!$A$17:$A$20,0)),"")</f>
        <v>448.09513474485743</v>
      </c>
      <c r="S693" s="793">
        <f>IFERROR(INDEX('Hoja de apoyo v2'!G$17:G$20,MATCH($A693,'Hoja de apoyo v2'!$A$17:$A$20,0)),"")</f>
        <v>83.406300904207839</v>
      </c>
      <c r="T693" s="792">
        <f>IFERROR(INDEX('Hoja de apoyo v2'!H$17:H$20,MATCH($A693,'Hoja de apoyo v2'!$A$17:$A$20,0)),"")</f>
        <v>378.97014028925349</v>
      </c>
      <c r="U693" s="794">
        <f t="shared" si="364"/>
        <v>0.20859054633817928</v>
      </c>
      <c r="V693" s="795">
        <f t="shared" si="365"/>
        <v>0.75707127394293039</v>
      </c>
      <c r="W693" s="795">
        <f t="shared" si="366"/>
        <v>3.5848111816048335E-2</v>
      </c>
      <c r="X693" s="843">
        <f t="shared" si="367"/>
        <v>0.84817411165891321</v>
      </c>
      <c r="Y693" s="843">
        <f t="shared" si="368"/>
        <v>1.1640833827057675</v>
      </c>
      <c r="Z693" s="843">
        <f t="shared" si="369"/>
        <v>4.3703034970703589E-2</v>
      </c>
      <c r="AA693" s="843">
        <f t="shared" si="370"/>
        <v>2.0810303999196527</v>
      </c>
      <c r="AB693" s="796">
        <f t="shared" si="371"/>
        <v>1</v>
      </c>
      <c r="AC693" s="797">
        <f t="shared" si="372"/>
        <v>3</v>
      </c>
      <c r="AD693" s="797">
        <f t="shared" si="373"/>
        <v>1</v>
      </c>
      <c r="AE693" s="842">
        <f t="shared" si="374"/>
        <v>3</v>
      </c>
      <c r="AF693" s="842">
        <f t="shared" si="375"/>
        <v>4</v>
      </c>
      <c r="AG693" s="842">
        <f t="shared" si="376"/>
        <v>1</v>
      </c>
      <c r="AH693" s="842">
        <f t="shared" si="377"/>
        <v>5</v>
      </c>
      <c r="AI693" s="826" cm="1">
        <f t="array" ref="AI693">SUMPRODUCT(--ISNUMBER($U693:$AA693),$AB$3:$AH$3)</f>
        <v>1</v>
      </c>
      <c r="AJ693" s="829">
        <f t="shared" si="378"/>
        <v>29.341751361643976</v>
      </c>
      <c r="AK693" s="827" t="str">
        <f t="shared" si="379"/>
        <v>Inmadura</v>
      </c>
      <c r="AL693" s="784" t="str">
        <f t="shared" si="380"/>
        <v>Alta</v>
      </c>
      <c r="AM693" s="799" t="str">
        <f>IF(ISNUMBER('Base de datos Rutas'!W691),'Base de datos Rutas'!W691,"")</f>
        <v/>
      </c>
      <c r="AN693" s="787">
        <f>IFERROR(SUMIFS('Base de datos Rutas'!$W$6:$W$794,'Base de datos Rutas'!$C$6:$C$794,$C693)/'Base de datos Rutas'!I691,"")</f>
        <v>0</v>
      </c>
      <c r="AO693" s="800" t="str">
        <f>IFERROR('Base de datos Rutas'!X691*AN693/AM693,"")</f>
        <v/>
      </c>
      <c r="AP693" s="800" t="str">
        <f t="shared" si="381"/>
        <v/>
      </c>
      <c r="AQ693" s="789">
        <f>IFERROR(INDEX('Hoja de apoyo v2'!$J$17:$J$20,MATCH($A693,'Hoja de apoyo v2'!$A$17:$A$20,0)),"")</f>
        <v>0.64320274048480885</v>
      </c>
      <c r="AR693" s="789" t="str">
        <f t="shared" si="382"/>
        <v/>
      </c>
      <c r="AS693" s="784" t="str">
        <f t="shared" si="383"/>
        <v>n/d</v>
      </c>
      <c r="AT693" s="801">
        <f>IF(ISNUMBER('Base de datos Rutas'!CK691),'Base de datos Rutas'!CK691,"")</f>
        <v>73</v>
      </c>
      <c r="AU693" s="802">
        <f>IF(ISNUMBER('Base de datos Rutas'!CL691),'Base de datos Rutas'!CL691,"")</f>
        <v>73</v>
      </c>
      <c r="AV693" s="802">
        <f>IF(ISNUMBER('Base de datos Rutas'!CM691),'Base de datos Rutas'!CM691,"")</f>
        <v>0</v>
      </c>
      <c r="AW693" s="802" t="str">
        <f>IF(ISNUMBER('Base de datos Rutas'!CN691),'Base de datos Rutas'!CN691,"")</f>
        <v/>
      </c>
      <c r="AX693" s="802">
        <f>IF(ISNUMBER('Base de datos Rutas'!CO691),'Base de datos Rutas'!CO691,"")</f>
        <v>9.4499999999999993</v>
      </c>
      <c r="AY693" s="802">
        <f>IF(ISNUMBER('Base de datos Rutas'!CP691),'Base de datos Rutas'!CP691,"")</f>
        <v>9.4499999999999993</v>
      </c>
      <c r="AZ693" s="802" t="str">
        <f>IF(ISNUMBER('Base de datos Rutas'!CQ691),'Base de datos Rutas'!CQ691,"")</f>
        <v/>
      </c>
      <c r="BA693" s="802" t="str">
        <f>IF(ISNUMBER('Base de datos Rutas'!CR691),'Base de datos Rutas'!CR691,"")</f>
        <v/>
      </c>
      <c r="BB693" s="803">
        <f>IF(ISNUMBER('Base de datos Rutas'!CS691),'Base de datos Rutas'!CS691,"")</f>
        <v>0</v>
      </c>
      <c r="BC693" s="804" t="str">
        <f t="shared" si="393"/>
        <v/>
      </c>
      <c r="BD693" s="805" t="str">
        <f t="shared" si="394"/>
        <v>N/D</v>
      </c>
      <c r="BE693" s="806" t="str">
        <f t="shared" si="395"/>
        <v/>
      </c>
      <c r="BF693" s="890">
        <f>IF(ISNUMBER('Base de datos Rutas'!CX691),'Base de datos Rutas'!CX691/100,"")</f>
        <v>0</v>
      </c>
      <c r="BG693" s="891">
        <f>IF(ISNUMBER('Base de datos Rutas'!CZ691),'Base de datos Rutas'!CZ691/100,"")</f>
        <v>0</v>
      </c>
      <c r="BH693" s="892">
        <f>IF(ISNUMBER('Base de datos Rutas'!DA691),'Base de datos Rutas'!DA691,"")</f>
        <v>0</v>
      </c>
      <c r="BI693" s="893">
        <f>IF(ISNUMBER('Base de datos Rutas'!DC691),'Base de datos Rutas'!DC691,"")</f>
        <v>0</v>
      </c>
      <c r="BJ693" s="805" t="str">
        <f t="shared" si="396"/>
        <v>Ruta (completo)</v>
      </c>
      <c r="BK693" s="783">
        <f t="shared" si="384"/>
        <v>1</v>
      </c>
      <c r="BL693" s="797">
        <f t="shared" si="385"/>
        <v>1</v>
      </c>
      <c r="BM693" s="797">
        <f t="shared" si="386"/>
        <v>1</v>
      </c>
      <c r="BN693" s="797">
        <f t="shared" si="387"/>
        <v>1</v>
      </c>
      <c r="BO693" s="798" cm="1">
        <f t="array" ref="BO693">SUMPRODUCT(--ISNUMBER($BF693:$BI693),$BK$3:$BN$3)</f>
        <v>1</v>
      </c>
      <c r="BP693" s="831">
        <f t="shared" si="397"/>
        <v>0</v>
      </c>
      <c r="BQ693" s="834" t="str">
        <f t="shared" si="398"/>
        <v>Bajo</v>
      </c>
      <c r="BR693" s="836" t="str">
        <f t="shared" si="388"/>
        <v/>
      </c>
      <c r="BS693" s="836">
        <f t="shared" si="389"/>
        <v>0</v>
      </c>
      <c r="BT693" s="837" t="str">
        <f t="shared" si="390"/>
        <v>Sin datos</v>
      </c>
      <c r="BU693" s="807" t="str">
        <f t="shared" si="399"/>
        <v>Con espacio</v>
      </c>
      <c r="BV693" s="807" t="str">
        <f t="shared" si="391"/>
        <v>Zona de bajo potencial</v>
      </c>
      <c r="BW693" s="808" t="str">
        <f t="shared" si="392"/>
        <v>Sin datos</v>
      </c>
    </row>
    <row r="694" spans="1:75">
      <c r="A694" s="780" t="str">
        <f>'Base de datos Rutas'!A692</f>
        <v>Occidente</v>
      </c>
      <c r="B694" s="781" t="str">
        <f>'Base de datos Rutas'!B692</f>
        <v>Zapopan</v>
      </c>
      <c r="C694" s="781" t="str">
        <f>'Base de datos Rutas'!C692</f>
        <v>Sucursal Chapala</v>
      </c>
      <c r="D694" s="782">
        <f>IF(ISNUMBER('Base de datos Rutas'!D692),'Base de datos Rutas'!D692,"Sin código")</f>
        <v>823302</v>
      </c>
      <c r="E694" s="783" t="str">
        <f>'Base de datos Rutas'!F692</f>
        <v>Activa</v>
      </c>
      <c r="F694" s="784" t="str">
        <f>'Base de datos Rutas'!H692</f>
        <v>Sí</v>
      </c>
      <c r="G694" s="785">
        <f>IF(ISNUMBER('Base de datos Rutas'!BE692),'Base de datos Rutas'!BE692,"")</f>
        <v>14.4495192307692</v>
      </c>
      <c r="H694" s="786">
        <f>IF(ISNUMBER('Base de datos Rutas'!BH692),'Base de datos Rutas'!BH692,"")</f>
        <v>0.35301946431542203</v>
      </c>
      <c r="I694" s="788">
        <f>IFERROR(IF(OR(NOT(ISNUMBER('Base de datos Rutas'!O692)),N('Base de datos Rutas'!BK692)=0),"",'Base de datos Rutas'!O692/('Base de datos Rutas'!L692/'Base de datos Rutas'!BK692)),"")</f>
        <v>1171.7345537757424</v>
      </c>
      <c r="J694" s="788">
        <f>IFERROR(IF(OR(NOT(ISNUMBER('Base de datos Rutas'!N692)),N('Base de datos Rutas'!BK692)=0),"",'Base de datos Rutas'!N692/('Base de datos Rutas'!L692/'Base de datos Rutas'!BK692)),"")</f>
        <v>5153.0549199084608</v>
      </c>
      <c r="K694" s="788">
        <f>IFERROR(IF(OR(NOT(ISNUMBER('Base de datos Rutas'!J692)),N('Base de datos Rutas'!BK692)=0),"",'Base de datos Rutas'!J692/('Base de datos Rutas'!L692/'Base de datos Rutas'!BK692)),"")</f>
        <v>458.19411441647543</v>
      </c>
      <c r="L694" s="788">
        <f>IFERROR(IF(OR(NOT(ISNUMBER('Base de datos Rutas'!K692)),N('Base de datos Rutas'!BK692)=0),"",'Base de datos Rutas'!K692/('Base de datos Rutas'!L692/'Base de datos Rutas'!BK692)),"")</f>
        <v>11.834913100686485</v>
      </c>
      <c r="M694" s="787">
        <f>IF(ISNUMBER('Base de datos Rutas'!AX692),'Base de datos Rutas'!AX692,"")</f>
        <v>1279.59819907407</v>
      </c>
      <c r="N694" s="790">
        <f>IFERROR(INDEX('Hoja de apoyo v2'!B$17:B$20,MATCH($A694,'Hoja de apoyo v2'!$A$17:$A$20,0)),"")</f>
        <v>89.41621024641401</v>
      </c>
      <c r="O694" s="791">
        <f>IFERROR(INDEX('Hoja de apoyo v2'!C$17:C$20,MATCH($A694,'Hoja de apoyo v2'!$A$17:$A$20,0)),"")</f>
        <v>0.54706375874806301</v>
      </c>
      <c r="P694" s="793">
        <f>IFERROR(INDEX('Hoja de apoyo v2'!D$17:D$20,MATCH($A694,'Hoja de apoyo v2'!$A$17:$A$20,0)),"")</f>
        <v>11095.153935793827</v>
      </c>
      <c r="Q694" s="793">
        <f>IFERROR(INDEX('Hoja de apoyo v2'!E$17:E$20,MATCH($A694,'Hoja de apoyo v2'!$A$17:$A$20,0)),"")</f>
        <v>6982.3202019701848</v>
      </c>
      <c r="R694" s="793">
        <f>IFERROR(INDEX('Hoja de apoyo v2'!F$17:F$20,MATCH($A694,'Hoja de apoyo v2'!$A$17:$A$20,0)),"")</f>
        <v>448.09513474485743</v>
      </c>
      <c r="S694" s="793">
        <f>IFERROR(INDEX('Hoja de apoyo v2'!G$17:G$20,MATCH($A694,'Hoja de apoyo v2'!$A$17:$A$20,0)),"")</f>
        <v>83.406300904207839</v>
      </c>
      <c r="T694" s="792">
        <f>IFERROR(INDEX('Hoja de apoyo v2'!H$17:H$20,MATCH($A694,'Hoja de apoyo v2'!$A$17:$A$20,0)),"")</f>
        <v>378.97014028925349</v>
      </c>
      <c r="U694" s="794">
        <f t="shared" si="364"/>
        <v>0.16159843042943872</v>
      </c>
      <c r="V694" s="795">
        <f t="shared" si="365"/>
        <v>0.64529857566016657</v>
      </c>
      <c r="W694" s="795">
        <f t="shared" si="366"/>
        <v>0.10560777800438044</v>
      </c>
      <c r="X694" s="843">
        <f t="shared" si="367"/>
        <v>0.7380146958104894</v>
      </c>
      <c r="Y694" s="843">
        <f t="shared" si="368"/>
        <v>1.0225375793856104</v>
      </c>
      <c r="Z694" s="843">
        <f t="shared" si="369"/>
        <v>0.14189471265820655</v>
      </c>
      <c r="AA694" s="843">
        <f t="shared" si="370"/>
        <v>3.3765145668136314</v>
      </c>
      <c r="AB694" s="796">
        <f t="shared" si="371"/>
        <v>1</v>
      </c>
      <c r="AC694" s="797">
        <f t="shared" si="372"/>
        <v>2</v>
      </c>
      <c r="AD694" s="797">
        <f t="shared" si="373"/>
        <v>1</v>
      </c>
      <c r="AE694" s="842">
        <f t="shared" si="374"/>
        <v>2</v>
      </c>
      <c r="AF694" s="842">
        <f t="shared" si="375"/>
        <v>4</v>
      </c>
      <c r="AG694" s="842">
        <f t="shared" si="376"/>
        <v>1</v>
      </c>
      <c r="AH694" s="842">
        <f t="shared" si="377"/>
        <v>5</v>
      </c>
      <c r="AI694" s="826" cm="1">
        <f t="array" ref="AI694">SUMPRODUCT(--ISNUMBER($U694:$AA694),$AB$3:$AH$3)</f>
        <v>1</v>
      </c>
      <c r="AJ694" s="829">
        <f t="shared" si="378"/>
        <v>23.549398129534811</v>
      </c>
      <c r="AK694" s="827" t="str">
        <f t="shared" si="379"/>
        <v>Inmadura</v>
      </c>
      <c r="AL694" s="784" t="str">
        <f t="shared" si="380"/>
        <v>Alta</v>
      </c>
      <c r="AM694" s="799" t="str">
        <f>IF(ISNUMBER('Base de datos Rutas'!W692),'Base de datos Rutas'!W692,"")</f>
        <v/>
      </c>
      <c r="AN694" s="787">
        <f>IFERROR(SUMIFS('Base de datos Rutas'!$W$6:$W$794,'Base de datos Rutas'!$C$6:$C$794,$C694)/'Base de datos Rutas'!I692,"")</f>
        <v>0</v>
      </c>
      <c r="AO694" s="800" t="str">
        <f>IFERROR('Base de datos Rutas'!X692*AN694/AM694,"")</f>
        <v/>
      </c>
      <c r="AP694" s="800" t="str">
        <f t="shared" si="381"/>
        <v/>
      </c>
      <c r="AQ694" s="789">
        <f>IFERROR(INDEX('Hoja de apoyo v2'!$J$17:$J$20,MATCH($A694,'Hoja de apoyo v2'!$A$17:$A$20,0)),"")</f>
        <v>0.64320274048480885</v>
      </c>
      <c r="AR694" s="789" t="str">
        <f t="shared" si="382"/>
        <v/>
      </c>
      <c r="AS694" s="784" t="str">
        <f t="shared" si="383"/>
        <v>n/d</v>
      </c>
      <c r="AT694" s="801">
        <f>IF(ISNUMBER('Base de datos Rutas'!CK692),'Base de datos Rutas'!CK692,"")</f>
        <v>110</v>
      </c>
      <c r="AU694" s="802">
        <f>IF(ISNUMBER('Base de datos Rutas'!CL692),'Base de datos Rutas'!CL692,"")</f>
        <v>130.84</v>
      </c>
      <c r="AV694" s="802">
        <f>IF(ISNUMBER('Base de datos Rutas'!CM692),'Base de datos Rutas'!CM692,"")</f>
        <v>20.840000000000003</v>
      </c>
      <c r="AW694" s="802">
        <f>IF(ISNUMBER('Base de datos Rutas'!CN692),'Base de datos Rutas'!CN692,"")</f>
        <v>4.41</v>
      </c>
      <c r="AX694" s="802">
        <f>IF(ISNUMBER('Base de datos Rutas'!CO692),'Base de datos Rutas'!CO692,"")</f>
        <v>9.4499999999999993</v>
      </c>
      <c r="AY694" s="802">
        <f>IF(ISNUMBER('Base de datos Rutas'!CP692),'Base de datos Rutas'!CP692,"")</f>
        <v>5.0399999999999991</v>
      </c>
      <c r="AZ694" s="802">
        <f>IF(ISNUMBER('Base de datos Rutas'!CQ692),'Base de datos Rutas'!CQ692,"")</f>
        <v>846.56</v>
      </c>
      <c r="BA694" s="802">
        <f>IF(ISNUMBER('Base de datos Rutas'!CR692),'Base de datos Rutas'!CR692,"")</f>
        <v>470.03</v>
      </c>
      <c r="BB694" s="803">
        <f>IF(ISNUMBER('Base de datos Rutas'!CS692),'Base de datos Rutas'!CS692,"")</f>
        <v>376.53</v>
      </c>
      <c r="BC694" s="804">
        <f t="shared" si="393"/>
        <v>0</v>
      </c>
      <c r="BD694" s="805" t="str">
        <f t="shared" si="394"/>
        <v>No saturada</v>
      </c>
      <c r="BE694" s="806">
        <f t="shared" si="395"/>
        <v>0.5552234927234927</v>
      </c>
      <c r="BF694" s="890">
        <f>IF(ISNUMBER('Base de datos Rutas'!CX692),'Base de datos Rutas'!CX692/100,"")</f>
        <v>4.4855721393034821E-3</v>
      </c>
      <c r="BG694" s="891">
        <f>IF(ISNUMBER('Base de datos Rutas'!CZ692),'Base de datos Rutas'!CZ692/100,"")</f>
        <v>5.5223880597014934E-3</v>
      </c>
      <c r="BH694" s="892">
        <f>IF(ISNUMBER('Base de datos Rutas'!DA692),'Base de datos Rutas'!DA692,"")</f>
        <v>12.106618312157941</v>
      </c>
      <c r="BI694" s="893">
        <f>IF(ISNUMBER('Base de datos Rutas'!DC692),'Base de datos Rutas'!DC692,"")</f>
        <v>0.76231558920999321</v>
      </c>
      <c r="BJ694" s="805" t="str">
        <f t="shared" si="396"/>
        <v>Ruta (completo)</v>
      </c>
      <c r="BK694" s="783">
        <f t="shared" si="384"/>
        <v>3</v>
      </c>
      <c r="BL694" s="797">
        <f t="shared" si="385"/>
        <v>3</v>
      </c>
      <c r="BM694" s="797">
        <f t="shared" si="386"/>
        <v>3</v>
      </c>
      <c r="BN694" s="797">
        <f t="shared" si="387"/>
        <v>3</v>
      </c>
      <c r="BO694" s="798" cm="1">
        <f t="array" ref="BO694">SUMPRODUCT(--ISNUMBER($BF694:$BI694),$BK$3:$BN$3)</f>
        <v>1</v>
      </c>
      <c r="BP694" s="831">
        <f t="shared" si="397"/>
        <v>50</v>
      </c>
      <c r="BQ694" s="834" t="str">
        <f t="shared" si="398"/>
        <v>Alto</v>
      </c>
      <c r="BR694" s="836">
        <f t="shared" si="388"/>
        <v>17.662048597151109</v>
      </c>
      <c r="BS694" s="836">
        <f t="shared" si="389"/>
        <v>50</v>
      </c>
      <c r="BT694" s="837" t="str">
        <f t="shared" si="390"/>
        <v>P3</v>
      </c>
      <c r="BU694" s="807" t="str">
        <f t="shared" si="399"/>
        <v>Con espacio</v>
      </c>
      <c r="BV694" s="807" t="str">
        <f t="shared" si="391"/>
        <v>Zona atractiva</v>
      </c>
      <c r="BW694" s="808" t="str">
        <f t="shared" si="392"/>
        <v>P3 - Desarrollar</v>
      </c>
    </row>
    <row r="695" spans="1:75">
      <c r="A695" s="780" t="str">
        <f>'Base de datos Rutas'!A693</f>
        <v>Occidente</v>
      </c>
      <c r="B695" s="781" t="str">
        <f>'Base de datos Rutas'!B693</f>
        <v>San Luis</v>
      </c>
      <c r="C695" s="781" t="str">
        <f>'Base de datos Rutas'!C693</f>
        <v>Planta San Luis</v>
      </c>
      <c r="D695" s="782">
        <f>IF(ISNUMBER('Base de datos Rutas'!D693),'Base de datos Rutas'!D693,"Sin código")</f>
        <v>916340</v>
      </c>
      <c r="E695" s="783" t="str">
        <f>'Base de datos Rutas'!F693</f>
        <v>Activa</v>
      </c>
      <c r="F695" s="784" t="str">
        <f>'Base de datos Rutas'!H693</f>
        <v>Sí</v>
      </c>
      <c r="G695" s="785">
        <f>IF(ISNUMBER('Base de datos Rutas'!BE693),'Base de datos Rutas'!BE693,"")</f>
        <v>75.199541284403693</v>
      </c>
      <c r="H695" s="786">
        <f>IF(ISNUMBER('Base de datos Rutas'!BH693),'Base de datos Rutas'!BH693,"")</f>
        <v>0.74544789093238195</v>
      </c>
      <c r="I695" s="788">
        <f>IFERROR(IF(OR(NOT(ISNUMBER('Base de datos Rutas'!O693)),N('Base de datos Rutas'!BK693)=0),"",'Base de datos Rutas'!O693/('Base de datos Rutas'!L693/'Base de datos Rutas'!BK693)),"")</f>
        <v>7199.1628440366885</v>
      </c>
      <c r="J695" s="788">
        <f>IFERROR(IF(OR(NOT(ISNUMBER('Base de datos Rutas'!N693)),N('Base de datos Rutas'!BK693)=0),"",'Base de datos Rutas'!N693/('Base de datos Rutas'!L693/'Base de datos Rutas'!BK693)),"")</f>
        <v>7697.5596330275139</v>
      </c>
      <c r="K695" s="788">
        <f>IFERROR(IF(OR(NOT(ISNUMBER('Base de datos Rutas'!J693)),N('Base de datos Rutas'!BK693)=0),"",'Base de datos Rutas'!J693/('Base de datos Rutas'!L693/'Base de datos Rutas'!BK693)),"")</f>
        <v>514.48853027522875</v>
      </c>
      <c r="L695" s="788">
        <f>IFERROR(IF(OR(NOT(ISNUMBER('Base de datos Rutas'!K693)),N('Base de datos Rutas'!BK693)=0),"",'Base de datos Rutas'!K693/('Base de datos Rutas'!L693/'Base de datos Rutas'!BK693)),"")</f>
        <v>48.209185552752238</v>
      </c>
      <c r="M695" s="787">
        <f>IF(ISNUMBER('Base de datos Rutas'!AX693),'Base de datos Rutas'!AX693,"")</f>
        <v>265.74074055889702</v>
      </c>
      <c r="N695" s="790">
        <f>IFERROR(INDEX('Hoja de apoyo v2'!B$17:B$20,MATCH($A695,'Hoja de apoyo v2'!$A$17:$A$20,0)),"")</f>
        <v>89.41621024641401</v>
      </c>
      <c r="O695" s="791">
        <f>IFERROR(INDEX('Hoja de apoyo v2'!C$17:C$20,MATCH($A695,'Hoja de apoyo v2'!$A$17:$A$20,0)),"")</f>
        <v>0.54706375874806301</v>
      </c>
      <c r="P695" s="793">
        <f>IFERROR(INDEX('Hoja de apoyo v2'!D$17:D$20,MATCH($A695,'Hoja de apoyo v2'!$A$17:$A$20,0)),"")</f>
        <v>11095.153935793827</v>
      </c>
      <c r="Q695" s="793">
        <f>IFERROR(INDEX('Hoja de apoyo v2'!E$17:E$20,MATCH($A695,'Hoja de apoyo v2'!$A$17:$A$20,0)),"")</f>
        <v>6982.3202019701848</v>
      </c>
      <c r="R695" s="793">
        <f>IFERROR(INDEX('Hoja de apoyo v2'!F$17:F$20,MATCH($A695,'Hoja de apoyo v2'!$A$17:$A$20,0)),"")</f>
        <v>448.09513474485743</v>
      </c>
      <c r="S695" s="793">
        <f>IFERROR(INDEX('Hoja de apoyo v2'!G$17:G$20,MATCH($A695,'Hoja de apoyo v2'!$A$17:$A$20,0)),"")</f>
        <v>83.406300904207839</v>
      </c>
      <c r="T695" s="792">
        <f>IFERROR(INDEX('Hoja de apoyo v2'!H$17:H$20,MATCH($A695,'Hoja de apoyo v2'!$A$17:$A$20,0)),"")</f>
        <v>378.97014028925349</v>
      </c>
      <c r="U695" s="794">
        <f t="shared" si="364"/>
        <v>0.8410056865211365</v>
      </c>
      <c r="V695" s="795">
        <f t="shared" si="365"/>
        <v>1.3626343895240187</v>
      </c>
      <c r="W695" s="795">
        <f t="shared" si="366"/>
        <v>0.64885650849887089</v>
      </c>
      <c r="X695" s="843">
        <f t="shared" si="367"/>
        <v>1.102435782142376</v>
      </c>
      <c r="Y695" s="843">
        <f t="shared" si="368"/>
        <v>1.1481680794596785</v>
      </c>
      <c r="Z695" s="843">
        <f t="shared" si="369"/>
        <v>0.57800411995396495</v>
      </c>
      <c r="AA695" s="843">
        <f t="shared" si="370"/>
        <v>0.70121814968342155</v>
      </c>
      <c r="AB695" s="796">
        <f t="shared" si="371"/>
        <v>3</v>
      </c>
      <c r="AC695" s="797">
        <f t="shared" si="372"/>
        <v>5</v>
      </c>
      <c r="AD695" s="797">
        <f t="shared" si="373"/>
        <v>2</v>
      </c>
      <c r="AE695" s="842">
        <f t="shared" si="374"/>
        <v>4</v>
      </c>
      <c r="AF695" s="842">
        <f t="shared" si="375"/>
        <v>4</v>
      </c>
      <c r="AG695" s="842">
        <f t="shared" si="376"/>
        <v>2</v>
      </c>
      <c r="AH695" s="842">
        <f t="shared" si="377"/>
        <v>2</v>
      </c>
      <c r="AI695" s="826" cm="1">
        <f t="array" ref="AI695">SUMPRODUCT(--ISNUMBER($U695:$AA695),$AB$3:$AH$3)</f>
        <v>1</v>
      </c>
      <c r="AJ695" s="829">
        <f t="shared" si="378"/>
        <v>49.353337252325169</v>
      </c>
      <c r="AK695" s="827" t="str">
        <f t="shared" si="379"/>
        <v>En desarrollo</v>
      </c>
      <c r="AL695" s="784" t="str">
        <f t="shared" si="380"/>
        <v>Alta</v>
      </c>
      <c r="AM695" s="799">
        <f>IF(ISNUMBER('Base de datos Rutas'!W693),'Base de datos Rutas'!W693,"")</f>
        <v>3641.9429094456564</v>
      </c>
      <c r="AN695" s="787">
        <f>IFERROR(SUMIFS('Base de datos Rutas'!$W$6:$W$794,'Base de datos Rutas'!$C$6:$C$794,$C695)/'Base de datos Rutas'!I693,"")</f>
        <v>3641.9429094456527</v>
      </c>
      <c r="AO695" s="800">
        <f>IFERROR('Base de datos Rutas'!X693*AN695/AM695,"")</f>
        <v>0.35679725951519109</v>
      </c>
      <c r="AP695" s="800">
        <f t="shared" si="381"/>
        <v>0.64320274048480885</v>
      </c>
      <c r="AQ695" s="789">
        <f>IFERROR(INDEX('Hoja de apoyo v2'!$J$17:$J$20,MATCH($A695,'Hoja de apoyo v2'!$A$17:$A$20,0)),"")</f>
        <v>0.64320274048480885</v>
      </c>
      <c r="AR695" s="789">
        <f t="shared" si="382"/>
        <v>0</v>
      </c>
      <c r="AS695" s="784" t="str">
        <f t="shared" si="383"/>
        <v>No</v>
      </c>
      <c r="AT695" s="801">
        <f>IF(ISNUMBER('Base de datos Rutas'!CK693),'Base de datos Rutas'!CK693,"")</f>
        <v>436</v>
      </c>
      <c r="AU695" s="802">
        <f>IF(ISNUMBER('Base de datos Rutas'!CL693),'Base de datos Rutas'!CL693,"")</f>
        <v>445.32</v>
      </c>
      <c r="AV695" s="802">
        <f>IF(ISNUMBER('Base de datos Rutas'!CM693),'Base de datos Rutas'!CM693,"")</f>
        <v>9.3199999999999932</v>
      </c>
      <c r="AW695" s="802">
        <f>IF(ISNUMBER('Base de datos Rutas'!CN693),'Base de datos Rutas'!CN693,"")</f>
        <v>10.18</v>
      </c>
      <c r="AX695" s="802">
        <f>IF(ISNUMBER('Base de datos Rutas'!CO693),'Base de datos Rutas'!CO693,"")</f>
        <v>9.4499999999999993</v>
      </c>
      <c r="AY695" s="802">
        <f>IF(ISNUMBER('Base de datos Rutas'!CP693),'Base de datos Rutas'!CP693,"")</f>
        <v>-0.73000000000000043</v>
      </c>
      <c r="AZ695" s="802">
        <f>IF(ISNUMBER('Base de datos Rutas'!CQ693),'Base de datos Rutas'!CQ693,"")</f>
        <v>846.56</v>
      </c>
      <c r="BA695" s="802">
        <f>IF(ISNUMBER('Base de datos Rutas'!CR693),'Base de datos Rutas'!CR693,"")</f>
        <v>562.70000000000005</v>
      </c>
      <c r="BB695" s="803">
        <f>IF(ISNUMBER('Base de datos Rutas'!CS693),'Base de datos Rutas'!CS693,"")</f>
        <v>283.8599999999999</v>
      </c>
      <c r="BC695" s="804">
        <f t="shared" si="393"/>
        <v>1</v>
      </c>
      <c r="BD695" s="805" t="str">
        <f t="shared" si="394"/>
        <v>Saturada</v>
      </c>
      <c r="BE695" s="806">
        <f t="shared" si="395"/>
        <v>0.66469003969003981</v>
      </c>
      <c r="BF695" s="890">
        <f>IF(ISNUMBER('Base de datos Rutas'!CX693),'Base de datos Rutas'!CX693/100,"")</f>
        <v>0.99691186216037109</v>
      </c>
      <c r="BG695" s="891">
        <f>IF(ISNUMBER('Base de datos Rutas'!CZ693),'Base de datos Rutas'!CZ693/100,"")</f>
        <v>1</v>
      </c>
      <c r="BH695" s="892">
        <f>IF(ISNUMBER('Base de datos Rutas'!DA693),'Base de datos Rutas'!DA693,"")</f>
        <v>478.43322146320833</v>
      </c>
      <c r="BI695" s="893">
        <f>IF(ISNUMBER('Base de datos Rutas'!DC693),'Base de datos Rutas'!DC693,"")</f>
        <v>17.888799334064451</v>
      </c>
      <c r="BJ695" s="805" t="str">
        <f t="shared" si="396"/>
        <v>Ruta (completo)</v>
      </c>
      <c r="BK695" s="783">
        <f t="shared" si="384"/>
        <v>5</v>
      </c>
      <c r="BL695" s="797">
        <f t="shared" si="385"/>
        <v>4</v>
      </c>
      <c r="BM695" s="797">
        <f t="shared" si="386"/>
        <v>4</v>
      </c>
      <c r="BN695" s="797">
        <f t="shared" si="387"/>
        <v>4</v>
      </c>
      <c r="BO695" s="798" cm="1">
        <f t="array" ref="BO695">SUMPRODUCT(--ISNUMBER($BF695:$BI695),$BK$3:$BN$3)</f>
        <v>1</v>
      </c>
      <c r="BP695" s="831">
        <f t="shared" si="397"/>
        <v>81.25</v>
      </c>
      <c r="BQ695" s="834" t="str">
        <f t="shared" si="398"/>
        <v>Alto</v>
      </c>
      <c r="BR695" s="836">
        <f t="shared" si="388"/>
        <v>62.015002939243878</v>
      </c>
      <c r="BS695" s="836">
        <f t="shared" si="389"/>
        <v>81.25</v>
      </c>
      <c r="BT695" s="837" t="str">
        <f t="shared" si="390"/>
        <v>P1</v>
      </c>
      <c r="BU695" s="807" t="str">
        <f t="shared" si="399"/>
        <v>Al tope</v>
      </c>
      <c r="BV695" s="807" t="str">
        <f t="shared" si="391"/>
        <v>Zona atractiva</v>
      </c>
      <c r="BW695" s="808" t="str">
        <f t="shared" si="392"/>
        <v>P1 - Ampliar cobertura</v>
      </c>
    </row>
    <row r="696" spans="1:75">
      <c r="A696" s="780" t="str">
        <f>'Base de datos Rutas'!A694</f>
        <v>Occidente</v>
      </c>
      <c r="B696" s="781" t="str">
        <f>'Base de datos Rutas'!B694</f>
        <v>San Luis</v>
      </c>
      <c r="C696" s="781" t="str">
        <f>'Base de datos Rutas'!C694</f>
        <v>Planta San Luis</v>
      </c>
      <c r="D696" s="782">
        <f>IF(ISNUMBER('Base de datos Rutas'!D694),'Base de datos Rutas'!D694,"Sin código")</f>
        <v>916341</v>
      </c>
      <c r="E696" s="783" t="str">
        <f>'Base de datos Rutas'!F694</f>
        <v>Activa</v>
      </c>
      <c r="F696" s="784" t="str">
        <f>'Base de datos Rutas'!H694</f>
        <v>Sí</v>
      </c>
      <c r="G696" s="785">
        <f>IF(ISNUMBER('Base de datos Rutas'!BE694),'Base de datos Rutas'!BE694,"")</f>
        <v>78.905963302752298</v>
      </c>
      <c r="H696" s="786">
        <f>IF(ISNUMBER('Base de datos Rutas'!BH694),'Base de datos Rutas'!BH694,"")</f>
        <v>0.63846176205563498</v>
      </c>
      <c r="I696" s="788">
        <f>IFERROR(IF(OR(NOT(ISNUMBER('Base de datos Rutas'!O694)),N('Base de datos Rutas'!BK694)=0),"",'Base de datos Rutas'!O694/('Base de datos Rutas'!L694/'Base de datos Rutas'!BK694)),"")</f>
        <v>7759.56192660549</v>
      </c>
      <c r="J696" s="788">
        <f>IFERROR(IF(OR(NOT(ISNUMBER('Base de datos Rutas'!N694)),N('Base de datos Rutas'!BK694)=0),"",'Base de datos Rutas'!N694/('Base de datos Rutas'!L694/'Base de datos Rutas'!BK694)),"")</f>
        <v>10030.577981651359</v>
      </c>
      <c r="K696" s="788">
        <f>IFERROR(IF(OR(NOT(ISNUMBER('Base de datos Rutas'!J694)),N('Base de datos Rutas'!BK694)=0),"",'Base de datos Rutas'!J694/('Base de datos Rutas'!L694/'Base de datos Rutas'!BK694)),"")</f>
        <v>676.26040550458595</v>
      </c>
      <c r="L696" s="788">
        <f>IFERROR(IF(OR(NOT(ISNUMBER('Base de datos Rutas'!K694)),N('Base de datos Rutas'!BK694)=0),"",'Base de datos Rutas'!K694/('Base de datos Rutas'!L694/'Base de datos Rutas'!BK694)),"")</f>
        <v>48.400438639908167</v>
      </c>
      <c r="M696" s="787">
        <f>IF(ISNUMBER('Base de datos Rutas'!AX694),'Base de datos Rutas'!AX694,"")</f>
        <v>353.13001502390199</v>
      </c>
      <c r="N696" s="790">
        <f>IFERROR(INDEX('Hoja de apoyo v2'!B$17:B$20,MATCH($A696,'Hoja de apoyo v2'!$A$17:$A$20,0)),"")</f>
        <v>89.41621024641401</v>
      </c>
      <c r="O696" s="791">
        <f>IFERROR(INDEX('Hoja de apoyo v2'!C$17:C$20,MATCH($A696,'Hoja de apoyo v2'!$A$17:$A$20,0)),"")</f>
        <v>0.54706375874806301</v>
      </c>
      <c r="P696" s="793">
        <f>IFERROR(INDEX('Hoja de apoyo v2'!D$17:D$20,MATCH($A696,'Hoja de apoyo v2'!$A$17:$A$20,0)),"")</f>
        <v>11095.153935793827</v>
      </c>
      <c r="Q696" s="793">
        <f>IFERROR(INDEX('Hoja de apoyo v2'!E$17:E$20,MATCH($A696,'Hoja de apoyo v2'!$A$17:$A$20,0)),"")</f>
        <v>6982.3202019701848</v>
      </c>
      <c r="R696" s="793">
        <f>IFERROR(INDEX('Hoja de apoyo v2'!F$17:F$20,MATCH($A696,'Hoja de apoyo v2'!$A$17:$A$20,0)),"")</f>
        <v>448.09513474485743</v>
      </c>
      <c r="S696" s="793">
        <f>IFERROR(INDEX('Hoja de apoyo v2'!G$17:G$20,MATCH($A696,'Hoja de apoyo v2'!$A$17:$A$20,0)),"")</f>
        <v>83.406300904207839</v>
      </c>
      <c r="T696" s="792">
        <f>IFERROR(INDEX('Hoja de apoyo v2'!H$17:H$20,MATCH($A696,'Hoja de apoyo v2'!$A$17:$A$20,0)),"")</f>
        <v>378.97014028925349</v>
      </c>
      <c r="U696" s="794">
        <f t="shared" si="364"/>
        <v>0.88245702971868889</v>
      </c>
      <c r="V696" s="795">
        <f t="shared" si="365"/>
        <v>1.167070111748461</v>
      </c>
      <c r="W696" s="795">
        <f t="shared" si="366"/>
        <v>0.69936496343440002</v>
      </c>
      <c r="X696" s="843">
        <f t="shared" si="367"/>
        <v>1.4365680306126685</v>
      </c>
      <c r="Y696" s="843">
        <f t="shared" si="368"/>
        <v>1.5091893508052578</v>
      </c>
      <c r="Z696" s="843">
        <f t="shared" si="369"/>
        <v>0.58029714919854902</v>
      </c>
      <c r="AA696" s="843">
        <f t="shared" si="370"/>
        <v>0.9318148779594384</v>
      </c>
      <c r="AB696" s="796">
        <f t="shared" si="371"/>
        <v>3</v>
      </c>
      <c r="AC696" s="797">
        <f t="shared" si="372"/>
        <v>4</v>
      </c>
      <c r="AD696" s="797">
        <f t="shared" si="373"/>
        <v>2</v>
      </c>
      <c r="AE696" s="842">
        <f t="shared" si="374"/>
        <v>5</v>
      </c>
      <c r="AF696" s="842">
        <f t="shared" si="375"/>
        <v>5</v>
      </c>
      <c r="AG696" s="842">
        <f t="shared" si="376"/>
        <v>2</v>
      </c>
      <c r="AH696" s="842">
        <f t="shared" si="377"/>
        <v>3</v>
      </c>
      <c r="AI696" s="826" cm="1">
        <f t="array" ref="AI696">SUMPRODUCT(--ISNUMBER($U696:$AA696),$AB$3:$AH$3)</f>
        <v>1</v>
      </c>
      <c r="AJ696" s="829">
        <f t="shared" si="378"/>
        <v>55.550651665019736</v>
      </c>
      <c r="AK696" s="827" t="str">
        <f t="shared" si="379"/>
        <v>En desarrollo</v>
      </c>
      <c r="AL696" s="784" t="str">
        <f t="shared" si="380"/>
        <v>Alta</v>
      </c>
      <c r="AM696" s="799">
        <f>IF(ISNUMBER('Base de datos Rutas'!W694),'Base de datos Rutas'!W694,"")</f>
        <v>3641.9429094456564</v>
      </c>
      <c r="AN696" s="787">
        <f>IFERROR(SUMIFS('Base de datos Rutas'!$W$6:$W$794,'Base de datos Rutas'!$C$6:$C$794,$C696)/'Base de datos Rutas'!I694,"")</f>
        <v>3641.9429094456527</v>
      </c>
      <c r="AO696" s="800">
        <f>IFERROR('Base de datos Rutas'!X694*AN696/AM696,"")</f>
        <v>0.35679725951519109</v>
      </c>
      <c r="AP696" s="800">
        <f t="shared" si="381"/>
        <v>0.64320274048480885</v>
      </c>
      <c r="AQ696" s="789">
        <f>IFERROR(INDEX('Hoja de apoyo v2'!$J$17:$J$20,MATCH($A696,'Hoja de apoyo v2'!$A$17:$A$20,0)),"")</f>
        <v>0.64320274048480885</v>
      </c>
      <c r="AR696" s="789">
        <f t="shared" si="382"/>
        <v>0</v>
      </c>
      <c r="AS696" s="784" t="str">
        <f t="shared" si="383"/>
        <v>No</v>
      </c>
      <c r="AT696" s="801">
        <f>IF(ISNUMBER('Base de datos Rutas'!CK694),'Base de datos Rutas'!CK694,"")</f>
        <v>515</v>
      </c>
      <c r="AU696" s="802">
        <f>IF(ISNUMBER('Base de datos Rutas'!CL694),'Base de datos Rutas'!CL694,"")</f>
        <v>706.44</v>
      </c>
      <c r="AV696" s="802">
        <f>IF(ISNUMBER('Base de datos Rutas'!CM694),'Base de datos Rutas'!CM694,"")</f>
        <v>191.44000000000005</v>
      </c>
      <c r="AW696" s="802">
        <f>IF(ISNUMBER('Base de datos Rutas'!CN694),'Base de datos Rutas'!CN694,"")</f>
        <v>14.37</v>
      </c>
      <c r="AX696" s="802">
        <f>IF(ISNUMBER('Base de datos Rutas'!CO694),'Base de datos Rutas'!CO694,"")</f>
        <v>9.4499999999999993</v>
      </c>
      <c r="AY696" s="802">
        <f>IF(ISNUMBER('Base de datos Rutas'!CP694),'Base de datos Rutas'!CP694,"")</f>
        <v>-4.92</v>
      </c>
      <c r="AZ696" s="802">
        <f>IF(ISNUMBER('Base de datos Rutas'!CQ694),'Base de datos Rutas'!CQ694,"")</f>
        <v>846.56</v>
      </c>
      <c r="BA696" s="802">
        <f>IF(ISNUMBER('Base de datos Rutas'!CR694),'Base de datos Rutas'!CR694,"")</f>
        <v>724.66</v>
      </c>
      <c r="BB696" s="803">
        <f>IF(ISNUMBER('Base de datos Rutas'!CS694),'Base de datos Rutas'!CS694,"")</f>
        <v>121.89999999999998</v>
      </c>
      <c r="BC696" s="804">
        <f t="shared" si="393"/>
        <v>1</v>
      </c>
      <c r="BD696" s="805" t="str">
        <f t="shared" si="394"/>
        <v>Saturada</v>
      </c>
      <c r="BE696" s="806">
        <f t="shared" si="395"/>
        <v>0.85600548100548102</v>
      </c>
      <c r="BF696" s="890">
        <f>IF(ISNUMBER('Base de datos Rutas'!CX694),'Base de datos Rutas'!CX694/100,"")</f>
        <v>0.96002505742326183</v>
      </c>
      <c r="BG696" s="891">
        <f>IF(ISNUMBER('Base de datos Rutas'!CZ694),'Base de datos Rutas'!CZ694/100,"")</f>
        <v>1</v>
      </c>
      <c r="BH696" s="892">
        <f>IF(ISNUMBER('Base de datos Rutas'!DA694),'Base de datos Rutas'!DA694,"")</f>
        <v>526.01026013765852</v>
      </c>
      <c r="BI696" s="893">
        <f>IF(ISNUMBER('Base de datos Rutas'!DC694),'Base de datos Rutas'!DC694,"")</f>
        <v>20.592479780902895</v>
      </c>
      <c r="BJ696" s="805" t="str">
        <f t="shared" si="396"/>
        <v>Ruta (completo)</v>
      </c>
      <c r="BK696" s="783">
        <f t="shared" si="384"/>
        <v>5</v>
      </c>
      <c r="BL696" s="797">
        <f t="shared" si="385"/>
        <v>4</v>
      </c>
      <c r="BM696" s="797">
        <f t="shared" si="386"/>
        <v>5</v>
      </c>
      <c r="BN696" s="797">
        <f t="shared" si="387"/>
        <v>5</v>
      </c>
      <c r="BO696" s="798" cm="1">
        <f t="array" ref="BO696">SUMPRODUCT(--ISNUMBER($BF696:$BI696),$BK$3:$BN$3)</f>
        <v>1</v>
      </c>
      <c r="BP696" s="831">
        <f t="shared" si="397"/>
        <v>93.75</v>
      </c>
      <c r="BQ696" s="834" t="str">
        <f t="shared" si="398"/>
        <v>Alto</v>
      </c>
      <c r="BR696" s="836">
        <f t="shared" si="388"/>
        <v>66.662988748764803</v>
      </c>
      <c r="BS696" s="836">
        <f t="shared" si="389"/>
        <v>93.75</v>
      </c>
      <c r="BT696" s="837" t="str">
        <f t="shared" si="390"/>
        <v>P1</v>
      </c>
      <c r="BU696" s="807" t="str">
        <f t="shared" si="399"/>
        <v>Al tope</v>
      </c>
      <c r="BV696" s="807" t="str">
        <f t="shared" si="391"/>
        <v>Zona atractiva</v>
      </c>
      <c r="BW696" s="808" t="str">
        <f t="shared" si="392"/>
        <v>P1 - Ampliar cobertura</v>
      </c>
    </row>
    <row r="697" spans="1:75">
      <c r="A697" s="780" t="str">
        <f>'Base de datos Rutas'!A695</f>
        <v>Occidente</v>
      </c>
      <c r="B697" s="781" t="str">
        <f>'Base de datos Rutas'!B695</f>
        <v>San Luis</v>
      </c>
      <c r="C697" s="781" t="str">
        <f>'Base de datos Rutas'!C695</f>
        <v>Planta San Luis</v>
      </c>
      <c r="D697" s="782">
        <f>IF(ISNUMBER('Base de datos Rutas'!D695),'Base de datos Rutas'!D695,"Sin código")</f>
        <v>916342</v>
      </c>
      <c r="E697" s="783" t="str">
        <f>'Base de datos Rutas'!F695</f>
        <v>Activa</v>
      </c>
      <c r="F697" s="784" t="str">
        <f>'Base de datos Rutas'!H695</f>
        <v>Sí</v>
      </c>
      <c r="G697" s="785">
        <f>IF(ISNUMBER('Base de datos Rutas'!BE695),'Base de datos Rutas'!BE695,"")</f>
        <v>85.935779816513801</v>
      </c>
      <c r="H697" s="786">
        <f>IF(ISNUMBER('Base de datos Rutas'!BH695),'Base de datos Rutas'!BH695,"")</f>
        <v>0.38318031386783402</v>
      </c>
      <c r="I697" s="788">
        <f>IFERROR(IF(OR(NOT(ISNUMBER('Base de datos Rutas'!O695)),N('Base de datos Rutas'!BK695)=0),"",'Base de datos Rutas'!O695/('Base de datos Rutas'!L695/'Base de datos Rutas'!BK695)),"")</f>
        <v>4396.8738532110101</v>
      </c>
      <c r="J697" s="788">
        <f>IFERROR(IF(OR(NOT(ISNUMBER('Base de datos Rutas'!N695)),N('Base de datos Rutas'!BK695)=0),"",'Base de datos Rutas'!N695/('Base de datos Rutas'!L695/'Base de datos Rutas'!BK695)),"")</f>
        <v>5799.3394495412849</v>
      </c>
      <c r="K697" s="788">
        <f>IFERROR(IF(OR(NOT(ISNUMBER('Base de datos Rutas'!J695)),N('Base de datos Rutas'!BK695)=0),"",'Base de datos Rutas'!J695/('Base de datos Rutas'!L695/'Base de datos Rutas'!BK695)),"")</f>
        <v>388.7647027522936</v>
      </c>
      <c r="L697" s="788">
        <f>IFERROR(IF(OR(NOT(ISNUMBER('Base de datos Rutas'!K695)),N('Base de datos Rutas'!BK695)=0),"",'Base de datos Rutas'!K695/('Base de datos Rutas'!L695/'Base de datos Rutas'!BK695)),"")</f>
        <v>31.603985084862391</v>
      </c>
      <c r="M697" s="787">
        <f>IF(ISNUMBER('Base de datos Rutas'!AX695),'Base de datos Rutas'!AX695,"")</f>
        <v>309.64331058020502</v>
      </c>
      <c r="N697" s="790">
        <f>IFERROR(INDEX('Hoja de apoyo v2'!B$17:B$20,MATCH($A697,'Hoja de apoyo v2'!$A$17:$A$20,0)),"")</f>
        <v>89.41621024641401</v>
      </c>
      <c r="O697" s="791">
        <f>IFERROR(INDEX('Hoja de apoyo v2'!C$17:C$20,MATCH($A697,'Hoja de apoyo v2'!$A$17:$A$20,0)),"")</f>
        <v>0.54706375874806301</v>
      </c>
      <c r="P697" s="793">
        <f>IFERROR(INDEX('Hoja de apoyo v2'!D$17:D$20,MATCH($A697,'Hoja de apoyo v2'!$A$17:$A$20,0)),"")</f>
        <v>11095.153935793827</v>
      </c>
      <c r="Q697" s="793">
        <f>IFERROR(INDEX('Hoja de apoyo v2'!E$17:E$20,MATCH($A697,'Hoja de apoyo v2'!$A$17:$A$20,0)),"")</f>
        <v>6982.3202019701848</v>
      </c>
      <c r="R697" s="793">
        <f>IFERROR(INDEX('Hoja de apoyo v2'!F$17:F$20,MATCH($A697,'Hoja de apoyo v2'!$A$17:$A$20,0)),"")</f>
        <v>448.09513474485743</v>
      </c>
      <c r="S697" s="793">
        <f>IFERROR(INDEX('Hoja de apoyo v2'!G$17:G$20,MATCH($A697,'Hoja de apoyo v2'!$A$17:$A$20,0)),"")</f>
        <v>83.406300904207839</v>
      </c>
      <c r="T697" s="792">
        <f>IFERROR(INDEX('Hoja de apoyo v2'!H$17:H$20,MATCH($A697,'Hoja de apoyo v2'!$A$17:$A$20,0)),"")</f>
        <v>378.97014028925349</v>
      </c>
      <c r="U697" s="794">
        <f t="shared" si="364"/>
        <v>0.96107606864226514</v>
      </c>
      <c r="V697" s="795">
        <f t="shared" si="365"/>
        <v>0.70043081403295526</v>
      </c>
      <c r="W697" s="795">
        <f t="shared" si="366"/>
        <v>0.39628777380243047</v>
      </c>
      <c r="X697" s="843">
        <f t="shared" si="367"/>
        <v>0.83057483498177287</v>
      </c>
      <c r="Y697" s="843">
        <f t="shared" si="368"/>
        <v>0.86759411698065814</v>
      </c>
      <c r="Z697" s="843">
        <f t="shared" si="369"/>
        <v>0.37891603802402862</v>
      </c>
      <c r="AA697" s="843">
        <f t="shared" si="370"/>
        <v>0.81706519237601694</v>
      </c>
      <c r="AB697" s="796">
        <f t="shared" si="371"/>
        <v>3</v>
      </c>
      <c r="AC697" s="797">
        <f t="shared" si="372"/>
        <v>2</v>
      </c>
      <c r="AD697" s="797">
        <f t="shared" si="373"/>
        <v>1</v>
      </c>
      <c r="AE697" s="842">
        <f t="shared" si="374"/>
        <v>3</v>
      </c>
      <c r="AF697" s="842">
        <f t="shared" si="375"/>
        <v>3</v>
      </c>
      <c r="AG697" s="842">
        <f t="shared" si="376"/>
        <v>1</v>
      </c>
      <c r="AH697" s="842">
        <f t="shared" si="377"/>
        <v>3</v>
      </c>
      <c r="AI697" s="826" cm="1">
        <f t="array" ref="AI697">SUMPRODUCT(--ISNUMBER($U697:$AA697),$AB$3:$AH$3)</f>
        <v>1</v>
      </c>
      <c r="AJ697" s="829">
        <f t="shared" si="378"/>
        <v>28.610617939334084</v>
      </c>
      <c r="AK697" s="827" t="str">
        <f t="shared" si="379"/>
        <v>Inmadura</v>
      </c>
      <c r="AL697" s="784" t="str">
        <f t="shared" si="380"/>
        <v>Alta</v>
      </c>
      <c r="AM697" s="799">
        <f>IF(ISNUMBER('Base de datos Rutas'!W695),'Base de datos Rutas'!W695,"")</f>
        <v>3641.9429094456564</v>
      </c>
      <c r="AN697" s="787">
        <f>IFERROR(SUMIFS('Base de datos Rutas'!$W$6:$W$794,'Base de datos Rutas'!$C$6:$C$794,$C697)/'Base de datos Rutas'!I695,"")</f>
        <v>3641.9429094456527</v>
      </c>
      <c r="AO697" s="800">
        <f>IFERROR('Base de datos Rutas'!X695*AN697/AM697,"")</f>
        <v>0.35679725951519109</v>
      </c>
      <c r="AP697" s="800">
        <f t="shared" si="381"/>
        <v>0.64320274048480885</v>
      </c>
      <c r="AQ697" s="789">
        <f>IFERROR(INDEX('Hoja de apoyo v2'!$J$17:$J$20,MATCH($A697,'Hoja de apoyo v2'!$A$17:$A$20,0)),"")</f>
        <v>0.64320274048480885</v>
      </c>
      <c r="AR697" s="789">
        <f t="shared" si="382"/>
        <v>0</v>
      </c>
      <c r="AS697" s="784" t="str">
        <f t="shared" si="383"/>
        <v>No</v>
      </c>
      <c r="AT697" s="801">
        <f>IF(ISNUMBER('Base de datos Rutas'!CK695),'Base de datos Rutas'!CK695,"")</f>
        <v>327</v>
      </c>
      <c r="AU697" s="802">
        <f>IF(ISNUMBER('Base de datos Rutas'!CL695),'Base de datos Rutas'!CL695,"")</f>
        <v>428.62</v>
      </c>
      <c r="AV697" s="802">
        <f>IF(ISNUMBER('Base de datos Rutas'!CM695),'Base de datos Rutas'!CM695,"")</f>
        <v>101.62</v>
      </c>
      <c r="AW697" s="802">
        <f>IF(ISNUMBER('Base de datos Rutas'!CN695),'Base de datos Rutas'!CN695,"")</f>
        <v>11.36</v>
      </c>
      <c r="AX697" s="802">
        <f>IF(ISNUMBER('Base de datos Rutas'!CO695),'Base de datos Rutas'!CO695,"")</f>
        <v>9.4499999999999993</v>
      </c>
      <c r="AY697" s="802">
        <f>IF(ISNUMBER('Base de datos Rutas'!CP695),'Base de datos Rutas'!CP695,"")</f>
        <v>-1.9100000000000001</v>
      </c>
      <c r="AZ697" s="802">
        <f>IF(ISNUMBER('Base de datos Rutas'!CQ695),'Base de datos Rutas'!CQ695,"")</f>
        <v>846.56</v>
      </c>
      <c r="BA697" s="802">
        <f>IF(ISNUMBER('Base de datos Rutas'!CR695),'Base de datos Rutas'!CR695,"")</f>
        <v>420.37</v>
      </c>
      <c r="BB697" s="803">
        <f>IF(ISNUMBER('Base de datos Rutas'!CS695),'Base de datos Rutas'!CS695,"")</f>
        <v>426.18999999999994</v>
      </c>
      <c r="BC697" s="804">
        <f t="shared" si="393"/>
        <v>1</v>
      </c>
      <c r="BD697" s="805" t="str">
        <f t="shared" si="394"/>
        <v>Saturada</v>
      </c>
      <c r="BE697" s="806">
        <f t="shared" si="395"/>
        <v>0.49656255906255908</v>
      </c>
      <c r="BF697" s="890">
        <f>IF(ISNUMBER('Base de datos Rutas'!CX695),'Base de datos Rutas'!CX695/100,"")</f>
        <v>0.95451208594449422</v>
      </c>
      <c r="BG697" s="891">
        <f>IF(ISNUMBER('Base de datos Rutas'!CZ695),'Base de datos Rutas'!CZ695/100,"")</f>
        <v>1</v>
      </c>
      <c r="BH697" s="892">
        <f>IF(ISNUMBER('Base de datos Rutas'!DA695),'Base de datos Rutas'!DA695,"")</f>
        <v>950.7010386963633</v>
      </c>
      <c r="BI697" s="893">
        <f>IF(ISNUMBER('Base de datos Rutas'!DC695),'Base de datos Rutas'!DC695,"")</f>
        <v>42.299642065061953</v>
      </c>
      <c r="BJ697" s="805" t="str">
        <f t="shared" si="396"/>
        <v>Ruta (completo)</v>
      </c>
      <c r="BK697" s="783">
        <f t="shared" si="384"/>
        <v>4</v>
      </c>
      <c r="BL697" s="797">
        <f t="shared" si="385"/>
        <v>4</v>
      </c>
      <c r="BM697" s="797">
        <f t="shared" si="386"/>
        <v>5</v>
      </c>
      <c r="BN697" s="797">
        <f t="shared" si="387"/>
        <v>5</v>
      </c>
      <c r="BO697" s="798" cm="1">
        <f t="array" ref="BO697">SUMPRODUCT(--ISNUMBER($BF697:$BI697),$BK$3:$BN$3)</f>
        <v>1</v>
      </c>
      <c r="BP697" s="831">
        <f t="shared" si="397"/>
        <v>87.5</v>
      </c>
      <c r="BQ697" s="834" t="str">
        <f t="shared" si="398"/>
        <v>Alto</v>
      </c>
      <c r="BR697" s="836">
        <f t="shared" si="388"/>
        <v>46.457963454500565</v>
      </c>
      <c r="BS697" s="836">
        <f t="shared" si="389"/>
        <v>87.5</v>
      </c>
      <c r="BT697" s="837" t="str">
        <f t="shared" si="390"/>
        <v>P1</v>
      </c>
      <c r="BU697" s="807" t="str">
        <f t="shared" si="399"/>
        <v>Al tope</v>
      </c>
      <c r="BV697" s="807" t="str">
        <f t="shared" si="391"/>
        <v>Zona atractiva</v>
      </c>
      <c r="BW697" s="808" t="str">
        <f t="shared" si="392"/>
        <v>P1 - Ampliar cobertura</v>
      </c>
    </row>
    <row r="698" spans="1:75">
      <c r="A698" s="780" t="str">
        <f>'Base de datos Rutas'!A696</f>
        <v>Occidente</v>
      </c>
      <c r="B698" s="781" t="str">
        <f>'Base de datos Rutas'!B696</f>
        <v>San Luis</v>
      </c>
      <c r="C698" s="781" t="str">
        <f>'Base de datos Rutas'!C696</f>
        <v>Planta San Luis</v>
      </c>
      <c r="D698" s="782">
        <f>IF(ISNUMBER('Base de datos Rutas'!D696),'Base de datos Rutas'!D696,"Sin código")</f>
        <v>916343</v>
      </c>
      <c r="E698" s="783" t="str">
        <f>'Base de datos Rutas'!F696</f>
        <v>Activa</v>
      </c>
      <c r="F698" s="784" t="str">
        <f>'Base de datos Rutas'!H696</f>
        <v>Sí</v>
      </c>
      <c r="G698" s="785">
        <f>IF(ISNUMBER('Base de datos Rutas'!BE696),'Base de datos Rutas'!BE696,"")</f>
        <v>71.247139588100694</v>
      </c>
      <c r="H698" s="786">
        <f>IF(ISNUMBER('Base de datos Rutas'!BH696),'Base de datos Rutas'!BH696,"")</f>
        <v>0.66282318933675899</v>
      </c>
      <c r="I698" s="788">
        <f>IFERROR(IF(OR(NOT(ISNUMBER('Base de datos Rutas'!O696)),N('Base de datos Rutas'!BK696)=0),"",'Base de datos Rutas'!O696/('Base de datos Rutas'!L696/'Base de datos Rutas'!BK696)),"")</f>
        <v>9114.7597254004504</v>
      </c>
      <c r="J698" s="788">
        <f>IFERROR(IF(OR(NOT(ISNUMBER('Base de datos Rutas'!N696)),N('Base de datos Rutas'!BK696)=0),"",'Base de datos Rutas'!N696/('Base de datos Rutas'!L696/'Base de datos Rutas'!BK696)),"")</f>
        <v>11379.425629290608</v>
      </c>
      <c r="K698" s="788">
        <f>IFERROR(IF(OR(NOT(ISNUMBER('Base de datos Rutas'!J696)),N('Base de datos Rutas'!BK696)=0),"",'Base de datos Rutas'!J696/('Base de datos Rutas'!L696/'Base de datos Rutas'!BK696)),"")</f>
        <v>761.65250160183007</v>
      </c>
      <c r="L698" s="788">
        <f>IFERROR(IF(OR(NOT(ISNUMBER('Base de datos Rutas'!K696)),N('Base de datos Rutas'!BK696)=0),"",'Base de datos Rutas'!K696/('Base de datos Rutas'!L696/'Base de datos Rutas'!BK696)),"")</f>
        <v>52.770815034324905</v>
      </c>
      <c r="M698" s="787">
        <f>IF(ISNUMBER('Base de datos Rutas'!AX696),'Base de datos Rutas'!AX696,"")</f>
        <v>433.975838057857</v>
      </c>
      <c r="N698" s="790">
        <f>IFERROR(INDEX('Hoja de apoyo v2'!B$17:B$20,MATCH($A698,'Hoja de apoyo v2'!$A$17:$A$20,0)),"")</f>
        <v>89.41621024641401</v>
      </c>
      <c r="O698" s="791">
        <f>IFERROR(INDEX('Hoja de apoyo v2'!C$17:C$20,MATCH($A698,'Hoja de apoyo v2'!$A$17:$A$20,0)),"")</f>
        <v>0.54706375874806301</v>
      </c>
      <c r="P698" s="793">
        <f>IFERROR(INDEX('Hoja de apoyo v2'!D$17:D$20,MATCH($A698,'Hoja de apoyo v2'!$A$17:$A$20,0)),"")</f>
        <v>11095.153935793827</v>
      </c>
      <c r="Q698" s="793">
        <f>IFERROR(INDEX('Hoja de apoyo v2'!E$17:E$20,MATCH($A698,'Hoja de apoyo v2'!$A$17:$A$20,0)),"")</f>
        <v>6982.3202019701848</v>
      </c>
      <c r="R698" s="793">
        <f>IFERROR(INDEX('Hoja de apoyo v2'!F$17:F$20,MATCH($A698,'Hoja de apoyo v2'!$A$17:$A$20,0)),"")</f>
        <v>448.09513474485743</v>
      </c>
      <c r="S698" s="793">
        <f>IFERROR(INDEX('Hoja de apoyo v2'!G$17:G$20,MATCH($A698,'Hoja de apoyo v2'!$A$17:$A$20,0)),"")</f>
        <v>83.406300904207839</v>
      </c>
      <c r="T698" s="792">
        <f>IFERROR(INDEX('Hoja de apoyo v2'!H$17:H$20,MATCH($A698,'Hoja de apoyo v2'!$A$17:$A$20,0)),"")</f>
        <v>378.97014028925349</v>
      </c>
      <c r="U698" s="794">
        <f t="shared" si="364"/>
        <v>0.79680339159708491</v>
      </c>
      <c r="V698" s="795">
        <f t="shared" si="365"/>
        <v>1.2116013512823578</v>
      </c>
      <c r="W698" s="795">
        <f t="shared" si="366"/>
        <v>0.82150818079193377</v>
      </c>
      <c r="X698" s="843">
        <f t="shared" si="367"/>
        <v>1.6297484647123033</v>
      </c>
      <c r="Y698" s="843">
        <f t="shared" si="368"/>
        <v>1.6997562404588709</v>
      </c>
      <c r="Z698" s="843">
        <f t="shared" si="369"/>
        <v>0.63269578511738822</v>
      </c>
      <c r="AA698" s="843">
        <f t="shared" si="370"/>
        <v>1.1451452025392284</v>
      </c>
      <c r="AB698" s="796">
        <f t="shared" si="371"/>
        <v>3</v>
      </c>
      <c r="AC698" s="797">
        <f t="shared" si="372"/>
        <v>4</v>
      </c>
      <c r="AD698" s="797">
        <f t="shared" si="373"/>
        <v>3</v>
      </c>
      <c r="AE698" s="842">
        <f t="shared" si="374"/>
        <v>5</v>
      </c>
      <c r="AF698" s="842">
        <f t="shared" si="375"/>
        <v>5</v>
      </c>
      <c r="AG698" s="842">
        <f t="shared" si="376"/>
        <v>2</v>
      </c>
      <c r="AH698" s="842">
        <f t="shared" si="377"/>
        <v>4</v>
      </c>
      <c r="AI698" s="826" cm="1">
        <f t="array" ref="AI698">SUMPRODUCT(--ISNUMBER($U698:$AA698),$AB$3:$AH$3)</f>
        <v>1</v>
      </c>
      <c r="AJ698" s="829">
        <f t="shared" si="378"/>
        <v>62.909550974674332</v>
      </c>
      <c r="AK698" s="827" t="str">
        <f t="shared" si="379"/>
        <v>En desarrollo</v>
      </c>
      <c r="AL698" s="784" t="str">
        <f t="shared" si="380"/>
        <v>Alta</v>
      </c>
      <c r="AM698" s="799">
        <f>IF(ISNUMBER('Base de datos Rutas'!W696),'Base de datos Rutas'!W696,"")</f>
        <v>3641.9429094456564</v>
      </c>
      <c r="AN698" s="787">
        <f>IFERROR(SUMIFS('Base de datos Rutas'!$W$6:$W$794,'Base de datos Rutas'!$C$6:$C$794,$C698)/'Base de datos Rutas'!I696,"")</f>
        <v>3641.9429094456527</v>
      </c>
      <c r="AO698" s="800">
        <f>IFERROR('Base de datos Rutas'!X696*AN698/AM698,"")</f>
        <v>0.35679725951519109</v>
      </c>
      <c r="AP698" s="800">
        <f t="shared" si="381"/>
        <v>0.64320274048480885</v>
      </c>
      <c r="AQ698" s="789">
        <f>IFERROR(INDEX('Hoja de apoyo v2'!$J$17:$J$20,MATCH($A698,'Hoja de apoyo v2'!$A$17:$A$20,0)),"")</f>
        <v>0.64320274048480885</v>
      </c>
      <c r="AR698" s="789">
        <f t="shared" si="382"/>
        <v>0</v>
      </c>
      <c r="AS698" s="784" t="str">
        <f t="shared" si="383"/>
        <v>No</v>
      </c>
      <c r="AT698" s="801">
        <f>IF(ISNUMBER('Base de datos Rutas'!CK696),'Base de datos Rutas'!CK696,"")</f>
        <v>414</v>
      </c>
      <c r="AU698" s="802">
        <f>IF(ISNUMBER('Base de datos Rutas'!CL696),'Base de datos Rutas'!CL696,"")</f>
        <v>416.53</v>
      </c>
      <c r="AV698" s="802">
        <f>IF(ISNUMBER('Base de datos Rutas'!CM696),'Base de datos Rutas'!CM696,"")</f>
        <v>2.5299999999999727</v>
      </c>
      <c r="AW698" s="802">
        <f>IF(ISNUMBER('Base de datos Rutas'!CN696),'Base de datos Rutas'!CN696,"")</f>
        <v>10.210000000000001</v>
      </c>
      <c r="AX698" s="802">
        <f>IF(ISNUMBER('Base de datos Rutas'!CO696),'Base de datos Rutas'!CO696,"")</f>
        <v>9.4499999999999993</v>
      </c>
      <c r="AY698" s="802">
        <f>IF(ISNUMBER('Base de datos Rutas'!CP696),'Base de datos Rutas'!CP696,"")</f>
        <v>-0.76000000000000156</v>
      </c>
      <c r="AZ698" s="802">
        <f>IF(ISNUMBER('Base de datos Rutas'!CQ696),'Base de datos Rutas'!CQ696,"")</f>
        <v>846.56</v>
      </c>
      <c r="BA698" s="802">
        <f>IF(ISNUMBER('Base de datos Rutas'!CR696),'Base de datos Rutas'!CR696,"")</f>
        <v>814.42</v>
      </c>
      <c r="BB698" s="803">
        <f>IF(ISNUMBER('Base de datos Rutas'!CS696),'Base de datos Rutas'!CS696,"")</f>
        <v>32.139999999999986</v>
      </c>
      <c r="BC698" s="804">
        <f t="shared" si="393"/>
        <v>1</v>
      </c>
      <c r="BD698" s="805" t="str">
        <f t="shared" si="394"/>
        <v>Saturada</v>
      </c>
      <c r="BE698" s="806">
        <f t="shared" si="395"/>
        <v>0.962034587034587</v>
      </c>
      <c r="BF698" s="890">
        <f>IF(ISNUMBER('Base de datos Rutas'!CX696),'Base de datos Rutas'!CX696/100,"")</f>
        <v>0.99898352752109276</v>
      </c>
      <c r="BG698" s="891">
        <f>IF(ISNUMBER('Base de datos Rutas'!CZ696),'Base de datos Rutas'!CZ696/100,"")</f>
        <v>1</v>
      </c>
      <c r="BH698" s="892">
        <f>IF(ISNUMBER('Base de datos Rutas'!DA696),'Base de datos Rutas'!DA696,"")</f>
        <v>9.620698927967954</v>
      </c>
      <c r="BI698" s="893">
        <f>IF(ISNUMBER('Base de datos Rutas'!DC696),'Base de datos Rutas'!DC696,"")</f>
        <v>0.41620209269003383</v>
      </c>
      <c r="BJ698" s="805" t="str">
        <f t="shared" si="396"/>
        <v>Ruta (completo)</v>
      </c>
      <c r="BK698" s="783">
        <f t="shared" si="384"/>
        <v>5</v>
      </c>
      <c r="BL698" s="797">
        <f t="shared" si="385"/>
        <v>4</v>
      </c>
      <c r="BM698" s="797">
        <f t="shared" si="386"/>
        <v>1</v>
      </c>
      <c r="BN698" s="797">
        <f t="shared" si="387"/>
        <v>1</v>
      </c>
      <c r="BO698" s="798" cm="1">
        <f t="array" ref="BO698">SUMPRODUCT(--ISNUMBER($BF698:$BI698),$BK$3:$BN$3)</f>
        <v>1</v>
      </c>
      <c r="BP698" s="831">
        <f t="shared" si="397"/>
        <v>43.75</v>
      </c>
      <c r="BQ698" s="834" t="str">
        <f t="shared" si="398"/>
        <v>Medio</v>
      </c>
      <c r="BR698" s="836">
        <f t="shared" si="388"/>
        <v>72.182163231005745</v>
      </c>
      <c r="BS698" s="836">
        <f t="shared" si="389"/>
        <v>43.75</v>
      </c>
      <c r="BT698" s="837" t="str">
        <f t="shared" si="390"/>
        <v>P2</v>
      </c>
      <c r="BU698" s="807" t="str">
        <f t="shared" si="399"/>
        <v>Al tope</v>
      </c>
      <c r="BV698" s="807" t="str">
        <f t="shared" si="391"/>
        <v>Zona de bajo potencial</v>
      </c>
      <c r="BW698" s="808" t="str">
        <f t="shared" si="392"/>
        <v>P2 - Mantener</v>
      </c>
    </row>
    <row r="699" spans="1:75">
      <c r="A699" s="780" t="str">
        <f>'Base de datos Rutas'!A697</f>
        <v>Occidente</v>
      </c>
      <c r="B699" s="781" t="str">
        <f>'Base de datos Rutas'!B697</f>
        <v>San Luis</v>
      </c>
      <c r="C699" s="781" t="str">
        <f>'Base de datos Rutas'!C697</f>
        <v>Planta San Luis</v>
      </c>
      <c r="D699" s="782">
        <f>IF(ISNUMBER('Base de datos Rutas'!D697),'Base de datos Rutas'!D697,"Sin código")</f>
        <v>916344</v>
      </c>
      <c r="E699" s="783" t="str">
        <f>'Base de datos Rutas'!F697</f>
        <v>Activa</v>
      </c>
      <c r="F699" s="784" t="str">
        <f>'Base de datos Rutas'!H697</f>
        <v>Sí</v>
      </c>
      <c r="G699" s="785">
        <f>IF(ISNUMBER('Base de datos Rutas'!BE697),'Base de datos Rutas'!BE697,"")</f>
        <v>50.414746543778797</v>
      </c>
      <c r="H699" s="786">
        <f>IF(ISNUMBER('Base de datos Rutas'!BH697),'Base de datos Rutas'!BH697,"")</f>
        <v>0.73852833638025595</v>
      </c>
      <c r="I699" s="788">
        <f>IFERROR(IF(OR(NOT(ISNUMBER('Base de datos Rutas'!O697)),N('Base de datos Rutas'!BK697)=0),"",'Base de datos Rutas'!O697/('Base de datos Rutas'!L697/'Base de datos Rutas'!BK697)),"")</f>
        <v>4150.5599078341002</v>
      </c>
      <c r="J699" s="788">
        <f>IFERROR(IF(OR(NOT(ISNUMBER('Base de datos Rutas'!N697)),N('Base de datos Rutas'!BK697)=0),"",'Base de datos Rutas'!N697/('Base de datos Rutas'!L697/'Base de datos Rutas'!BK697)),"")</f>
        <v>6327.87788018433</v>
      </c>
      <c r="K699" s="788">
        <f>IFERROR(IF(OR(NOT(ISNUMBER('Base de datos Rutas'!J697)),N('Base de datos Rutas'!BK697)=0),"",'Base de datos Rutas'!J697/('Base de datos Rutas'!L697/'Base de datos Rutas'!BK697)),"")</f>
        <v>436.86687741935469</v>
      </c>
      <c r="L699" s="788">
        <f>IFERROR(IF(OR(NOT(ISNUMBER('Base de datos Rutas'!K697)),N('Base de datos Rutas'!BK697)=0),"",'Base de datos Rutas'!K697/('Base de datos Rutas'!L697/'Base de datos Rutas'!BK697)),"")</f>
        <v>30.711095050691235</v>
      </c>
      <c r="M699" s="787">
        <f>IF(ISNUMBER('Base de datos Rutas'!AX697),'Base de datos Rutas'!AX697,"")</f>
        <v>281.43097902097901</v>
      </c>
      <c r="N699" s="790">
        <f>IFERROR(INDEX('Hoja de apoyo v2'!B$17:B$20,MATCH($A699,'Hoja de apoyo v2'!$A$17:$A$20,0)),"")</f>
        <v>89.41621024641401</v>
      </c>
      <c r="O699" s="791">
        <f>IFERROR(INDEX('Hoja de apoyo v2'!C$17:C$20,MATCH($A699,'Hoja de apoyo v2'!$A$17:$A$20,0)),"")</f>
        <v>0.54706375874806301</v>
      </c>
      <c r="P699" s="793">
        <f>IFERROR(INDEX('Hoja de apoyo v2'!D$17:D$20,MATCH($A699,'Hoja de apoyo v2'!$A$17:$A$20,0)),"")</f>
        <v>11095.153935793827</v>
      </c>
      <c r="Q699" s="793">
        <f>IFERROR(INDEX('Hoja de apoyo v2'!E$17:E$20,MATCH($A699,'Hoja de apoyo v2'!$A$17:$A$20,0)),"")</f>
        <v>6982.3202019701848</v>
      </c>
      <c r="R699" s="793">
        <f>IFERROR(INDEX('Hoja de apoyo v2'!F$17:F$20,MATCH($A699,'Hoja de apoyo v2'!$A$17:$A$20,0)),"")</f>
        <v>448.09513474485743</v>
      </c>
      <c r="S699" s="793">
        <f>IFERROR(INDEX('Hoja de apoyo v2'!G$17:G$20,MATCH($A699,'Hoja de apoyo v2'!$A$17:$A$20,0)),"")</f>
        <v>83.406300904207839</v>
      </c>
      <c r="T699" s="792">
        <f>IFERROR(INDEX('Hoja de apoyo v2'!H$17:H$20,MATCH($A699,'Hoja de apoyo v2'!$A$17:$A$20,0)),"")</f>
        <v>378.97014028925349</v>
      </c>
      <c r="U699" s="794">
        <f t="shared" si="364"/>
        <v>0.56382110586934264</v>
      </c>
      <c r="V699" s="795">
        <f t="shared" si="365"/>
        <v>1.3499858555250546</v>
      </c>
      <c r="W699" s="795">
        <f t="shared" si="366"/>
        <v>0.37408763608444151</v>
      </c>
      <c r="X699" s="843">
        <f t="shared" si="367"/>
        <v>0.90627151106573534</v>
      </c>
      <c r="Y699" s="843">
        <f t="shared" si="368"/>
        <v>0.97494224673540353</v>
      </c>
      <c r="Z699" s="843">
        <f t="shared" si="369"/>
        <v>0.36821073129670306</v>
      </c>
      <c r="AA699" s="843">
        <f t="shared" si="370"/>
        <v>0.74262045765973395</v>
      </c>
      <c r="AB699" s="796">
        <f t="shared" si="371"/>
        <v>2</v>
      </c>
      <c r="AC699" s="797">
        <f t="shared" si="372"/>
        <v>5</v>
      </c>
      <c r="AD699" s="797">
        <f t="shared" si="373"/>
        <v>1</v>
      </c>
      <c r="AE699" s="842">
        <f t="shared" si="374"/>
        <v>3</v>
      </c>
      <c r="AF699" s="842">
        <f t="shared" si="375"/>
        <v>3</v>
      </c>
      <c r="AG699" s="842">
        <f t="shared" si="376"/>
        <v>1</v>
      </c>
      <c r="AH699" s="842">
        <f t="shared" si="377"/>
        <v>2</v>
      </c>
      <c r="AI699" s="826" cm="1">
        <f t="array" ref="AI699">SUMPRODUCT(--ISNUMBER($U699:$AA699),$AB$3:$AH$3)</f>
        <v>1</v>
      </c>
      <c r="AJ699" s="829">
        <f t="shared" si="378"/>
        <v>28.980970678542207</v>
      </c>
      <c r="AK699" s="827" t="str">
        <f t="shared" si="379"/>
        <v>Inmadura</v>
      </c>
      <c r="AL699" s="784" t="str">
        <f t="shared" si="380"/>
        <v>Alta</v>
      </c>
      <c r="AM699" s="799">
        <f>IF(ISNUMBER('Base de datos Rutas'!W697),'Base de datos Rutas'!W697,"")</f>
        <v>3641.9429094456564</v>
      </c>
      <c r="AN699" s="787">
        <f>IFERROR(SUMIFS('Base de datos Rutas'!$W$6:$W$794,'Base de datos Rutas'!$C$6:$C$794,$C699)/'Base de datos Rutas'!I697,"")</f>
        <v>3641.9429094456527</v>
      </c>
      <c r="AO699" s="800">
        <f>IFERROR('Base de datos Rutas'!X697*AN699/AM699,"")</f>
        <v>0.35679725951519109</v>
      </c>
      <c r="AP699" s="800">
        <f t="shared" si="381"/>
        <v>0.64320274048480885</v>
      </c>
      <c r="AQ699" s="789">
        <f>IFERROR(INDEX('Hoja de apoyo v2'!$J$17:$J$20,MATCH($A699,'Hoja de apoyo v2'!$A$17:$A$20,0)),"")</f>
        <v>0.64320274048480885</v>
      </c>
      <c r="AR699" s="789">
        <f t="shared" si="382"/>
        <v>0</v>
      </c>
      <c r="AS699" s="784" t="str">
        <f t="shared" si="383"/>
        <v>No</v>
      </c>
      <c r="AT699" s="801">
        <f>IF(ISNUMBER('Base de datos Rutas'!CK697),'Base de datos Rutas'!CK697,"")</f>
        <v>368</v>
      </c>
      <c r="AU699" s="802">
        <f>IF(ISNUMBER('Base de datos Rutas'!CL697),'Base de datos Rutas'!CL697,"")</f>
        <v>554.19000000000005</v>
      </c>
      <c r="AV699" s="802">
        <f>IF(ISNUMBER('Base de datos Rutas'!CM697),'Base de datos Rutas'!CM697,"")</f>
        <v>186.19000000000005</v>
      </c>
      <c r="AW699" s="802">
        <f>IF(ISNUMBER('Base de datos Rutas'!CN697),'Base de datos Rutas'!CN697,"")</f>
        <v>9.4600000000000009</v>
      </c>
      <c r="AX699" s="802">
        <f>IF(ISNUMBER('Base de datos Rutas'!CO697),'Base de datos Rutas'!CO697,"")</f>
        <v>9.4499999999999993</v>
      </c>
      <c r="AY699" s="802">
        <f>IF(ISNUMBER('Base de datos Rutas'!CP697),'Base de datos Rutas'!CP697,"")</f>
        <v>-1.0000000000001563E-2</v>
      </c>
      <c r="AZ699" s="802">
        <f>IF(ISNUMBER('Base de datos Rutas'!CQ697),'Base de datos Rutas'!CQ697,"")</f>
        <v>846.56</v>
      </c>
      <c r="BA699" s="802">
        <f>IF(ISNUMBER('Base de datos Rutas'!CR697),'Base de datos Rutas'!CR697,"")</f>
        <v>467.58</v>
      </c>
      <c r="BB699" s="803">
        <f>IF(ISNUMBER('Base de datos Rutas'!CS697),'Base de datos Rutas'!CS697,"")</f>
        <v>378.97999999999996</v>
      </c>
      <c r="BC699" s="804">
        <f t="shared" si="393"/>
        <v>1</v>
      </c>
      <c r="BD699" s="805" t="str">
        <f t="shared" si="394"/>
        <v>Saturada</v>
      </c>
      <c r="BE699" s="806">
        <f t="shared" si="395"/>
        <v>0.55232942732942736</v>
      </c>
      <c r="BF699" s="890">
        <f>IF(ISNUMBER('Base de datos Rutas'!CX697),'Base de datos Rutas'!CX697/100,"")</f>
        <v>0.95324208940231037</v>
      </c>
      <c r="BG699" s="891">
        <f>IF(ISNUMBER('Base de datos Rutas'!CZ697),'Base de datos Rutas'!CZ697/100,"")</f>
        <v>1</v>
      </c>
      <c r="BH699" s="892">
        <f>IF(ISNUMBER('Base de datos Rutas'!DA697),'Base de datos Rutas'!DA697,"")</f>
        <v>718.44992910591895</v>
      </c>
      <c r="BI699" s="893">
        <f>IF(ISNUMBER('Base de datos Rutas'!DC697),'Base de datos Rutas'!DC697,"")</f>
        <v>32.22108157257707</v>
      </c>
      <c r="BJ699" s="805" t="str">
        <f t="shared" si="396"/>
        <v>Ruta (completo)</v>
      </c>
      <c r="BK699" s="783">
        <f t="shared" si="384"/>
        <v>4</v>
      </c>
      <c r="BL699" s="797">
        <f t="shared" si="385"/>
        <v>4</v>
      </c>
      <c r="BM699" s="797">
        <f t="shared" si="386"/>
        <v>5</v>
      </c>
      <c r="BN699" s="797">
        <f t="shared" si="387"/>
        <v>5</v>
      </c>
      <c r="BO699" s="798" cm="1">
        <f t="array" ref="BO699">SUMPRODUCT(--ISNUMBER($BF699:$BI699),$BK$3:$BN$3)</f>
        <v>1</v>
      </c>
      <c r="BP699" s="831">
        <f t="shared" si="397"/>
        <v>87.5</v>
      </c>
      <c r="BQ699" s="834" t="str">
        <f t="shared" si="398"/>
        <v>Alto</v>
      </c>
      <c r="BR699" s="836">
        <f t="shared" si="388"/>
        <v>46.735728008906655</v>
      </c>
      <c r="BS699" s="836">
        <f t="shared" si="389"/>
        <v>87.5</v>
      </c>
      <c r="BT699" s="837" t="str">
        <f t="shared" si="390"/>
        <v>P1</v>
      </c>
      <c r="BU699" s="807" t="str">
        <f t="shared" si="399"/>
        <v>Al tope</v>
      </c>
      <c r="BV699" s="807" t="str">
        <f t="shared" si="391"/>
        <v>Zona atractiva</v>
      </c>
      <c r="BW699" s="808" t="str">
        <f t="shared" si="392"/>
        <v>P1 - Ampliar cobertura</v>
      </c>
    </row>
    <row r="700" spans="1:75">
      <c r="A700" s="780" t="str">
        <f>'Base de datos Rutas'!A698</f>
        <v>Occidente</v>
      </c>
      <c r="B700" s="781" t="str">
        <f>'Base de datos Rutas'!B698</f>
        <v>San Luis</v>
      </c>
      <c r="C700" s="781" t="str">
        <f>'Base de datos Rutas'!C698</f>
        <v>Planta San Luis</v>
      </c>
      <c r="D700" s="782">
        <f>IF(ISNUMBER('Base de datos Rutas'!D698),'Base de datos Rutas'!D698,"Sin código")</f>
        <v>916345</v>
      </c>
      <c r="E700" s="783" t="str">
        <f>'Base de datos Rutas'!F698</f>
        <v>Activa</v>
      </c>
      <c r="F700" s="784" t="str">
        <f>'Base de datos Rutas'!H698</f>
        <v>Sí</v>
      </c>
      <c r="G700" s="785">
        <f>IF(ISNUMBER('Base de datos Rutas'!BE698),'Base de datos Rutas'!BE698,"")</f>
        <v>61.2637614678899</v>
      </c>
      <c r="H700" s="786">
        <f>IF(ISNUMBER('Base de datos Rutas'!BH698),'Base de datos Rutas'!BH698,"")</f>
        <v>0.76402980045674096</v>
      </c>
      <c r="I700" s="788">
        <f>IFERROR(IF(OR(NOT(ISNUMBER('Base de datos Rutas'!O698)),N('Base de datos Rutas'!BK698)=0),"",'Base de datos Rutas'!O698/('Base de datos Rutas'!L698/'Base de datos Rutas'!BK698)),"")</f>
        <v>4703.2912844036637</v>
      </c>
      <c r="J700" s="788">
        <f>IFERROR(IF(OR(NOT(ISNUMBER('Base de datos Rutas'!N698)),N('Base de datos Rutas'!BK698)=0),"",'Base de datos Rutas'!N698/('Base de datos Rutas'!L698/'Base de datos Rutas'!BK698)),"")</f>
        <v>6412.4655963302666</v>
      </c>
      <c r="K700" s="788">
        <f>IFERROR(IF(OR(NOT(ISNUMBER('Base de datos Rutas'!J698)),N('Base de datos Rutas'!BK698)=0),"",'Base de datos Rutas'!J698/('Base de datos Rutas'!L698/'Base de datos Rutas'!BK698)),"")</f>
        <v>435.92931559632973</v>
      </c>
      <c r="L700" s="788">
        <f>IFERROR(IF(OR(NOT(ISNUMBER('Base de datos Rutas'!K698)),N('Base de datos Rutas'!BK698)=0),"",'Base de datos Rutas'!K698/('Base de datos Rutas'!L698/'Base de datos Rutas'!BK698)),"")</f>
        <v>32.81516146559629</v>
      </c>
      <c r="M700" s="787">
        <f>IF(ISNUMBER('Base de datos Rutas'!AX698),'Base de datos Rutas'!AX698,"")</f>
        <v>237.478735299883</v>
      </c>
      <c r="N700" s="790">
        <f>IFERROR(INDEX('Hoja de apoyo v2'!B$17:B$20,MATCH($A700,'Hoja de apoyo v2'!$A$17:$A$20,0)),"")</f>
        <v>89.41621024641401</v>
      </c>
      <c r="O700" s="791">
        <f>IFERROR(INDEX('Hoja de apoyo v2'!C$17:C$20,MATCH($A700,'Hoja de apoyo v2'!$A$17:$A$20,0)),"")</f>
        <v>0.54706375874806301</v>
      </c>
      <c r="P700" s="793">
        <f>IFERROR(INDEX('Hoja de apoyo v2'!D$17:D$20,MATCH($A700,'Hoja de apoyo v2'!$A$17:$A$20,0)),"")</f>
        <v>11095.153935793827</v>
      </c>
      <c r="Q700" s="793">
        <f>IFERROR(INDEX('Hoja de apoyo v2'!E$17:E$20,MATCH($A700,'Hoja de apoyo v2'!$A$17:$A$20,0)),"")</f>
        <v>6982.3202019701848</v>
      </c>
      <c r="R700" s="793">
        <f>IFERROR(INDEX('Hoja de apoyo v2'!F$17:F$20,MATCH($A700,'Hoja de apoyo v2'!$A$17:$A$20,0)),"")</f>
        <v>448.09513474485743</v>
      </c>
      <c r="S700" s="793">
        <f>IFERROR(INDEX('Hoja de apoyo v2'!G$17:G$20,MATCH($A700,'Hoja de apoyo v2'!$A$17:$A$20,0)),"")</f>
        <v>83.406300904207839</v>
      </c>
      <c r="T700" s="792">
        <f>IFERROR(INDEX('Hoja de apoyo v2'!H$17:H$20,MATCH($A700,'Hoja de apoyo v2'!$A$17:$A$20,0)),"")</f>
        <v>378.97014028925349</v>
      </c>
      <c r="U700" s="794">
        <f t="shared" si="364"/>
        <v>0.68515274019172434</v>
      </c>
      <c r="V700" s="795">
        <f t="shared" si="365"/>
        <v>1.3966010144872281</v>
      </c>
      <c r="W700" s="795">
        <f t="shared" si="366"/>
        <v>0.42390500497973993</v>
      </c>
      <c r="X700" s="843">
        <f t="shared" si="367"/>
        <v>0.9183860680753192</v>
      </c>
      <c r="Y700" s="843">
        <f t="shared" si="368"/>
        <v>0.9728499191238601</v>
      </c>
      <c r="Z700" s="843">
        <f t="shared" si="369"/>
        <v>0.39343743949614207</v>
      </c>
      <c r="AA700" s="843">
        <f t="shared" si="370"/>
        <v>0.62664233946934322</v>
      </c>
      <c r="AB700" s="796">
        <f t="shared" si="371"/>
        <v>2</v>
      </c>
      <c r="AC700" s="797">
        <f t="shared" si="372"/>
        <v>5</v>
      </c>
      <c r="AD700" s="797">
        <f t="shared" si="373"/>
        <v>1</v>
      </c>
      <c r="AE700" s="842">
        <f t="shared" si="374"/>
        <v>3</v>
      </c>
      <c r="AF700" s="842">
        <f t="shared" si="375"/>
        <v>3</v>
      </c>
      <c r="AG700" s="842">
        <f t="shared" si="376"/>
        <v>1</v>
      </c>
      <c r="AH700" s="842">
        <f t="shared" si="377"/>
        <v>2</v>
      </c>
      <c r="AI700" s="826" cm="1">
        <f t="array" ref="AI700">SUMPRODUCT(--ISNUMBER($U700:$AA700),$AB$3:$AH$3)</f>
        <v>1</v>
      </c>
      <c r="AJ700" s="829">
        <f t="shared" si="378"/>
        <v>28.980970678542207</v>
      </c>
      <c r="AK700" s="827" t="str">
        <f t="shared" si="379"/>
        <v>Inmadura</v>
      </c>
      <c r="AL700" s="784" t="str">
        <f t="shared" si="380"/>
        <v>Alta</v>
      </c>
      <c r="AM700" s="799">
        <f>IF(ISNUMBER('Base de datos Rutas'!W698),'Base de datos Rutas'!W698,"")</f>
        <v>3641.9429094456564</v>
      </c>
      <c r="AN700" s="787">
        <f>IFERROR(SUMIFS('Base de datos Rutas'!$W$6:$W$794,'Base de datos Rutas'!$C$6:$C$794,$C700)/'Base de datos Rutas'!I698,"")</f>
        <v>3641.9429094456527</v>
      </c>
      <c r="AO700" s="800">
        <f>IFERROR('Base de datos Rutas'!X698*AN700/AM700,"")</f>
        <v>0.35679725951519109</v>
      </c>
      <c r="AP700" s="800">
        <f t="shared" si="381"/>
        <v>0.64320274048480885</v>
      </c>
      <c r="AQ700" s="789">
        <f>IFERROR(INDEX('Hoja de apoyo v2'!$J$17:$J$20,MATCH($A700,'Hoja de apoyo v2'!$A$17:$A$20,0)),"")</f>
        <v>0.64320274048480885</v>
      </c>
      <c r="AR700" s="789">
        <f t="shared" si="382"/>
        <v>0</v>
      </c>
      <c r="AS700" s="784" t="str">
        <f t="shared" si="383"/>
        <v>No</v>
      </c>
      <c r="AT700" s="801">
        <f>IF(ISNUMBER('Base de datos Rutas'!CK698),'Base de datos Rutas'!CK698,"")</f>
        <v>433</v>
      </c>
      <c r="AU700" s="802">
        <f>IF(ISNUMBER('Base de datos Rutas'!CL698),'Base de datos Rutas'!CL698,"")</f>
        <v>473.97</v>
      </c>
      <c r="AV700" s="802">
        <f>IF(ISNUMBER('Base de datos Rutas'!CM698),'Base de datos Rutas'!CM698,"")</f>
        <v>40.970000000000027</v>
      </c>
      <c r="AW700" s="802">
        <f>IF(ISNUMBER('Base de datos Rutas'!CN698),'Base de datos Rutas'!CN698,"")</f>
        <v>10.54</v>
      </c>
      <c r="AX700" s="802">
        <f>IF(ISNUMBER('Base de datos Rutas'!CO698),'Base de datos Rutas'!CO698,"")</f>
        <v>9.4499999999999993</v>
      </c>
      <c r="AY700" s="802">
        <f>IF(ISNUMBER('Base de datos Rutas'!CP698),'Base de datos Rutas'!CP698,"")</f>
        <v>-1.0899999999999999</v>
      </c>
      <c r="AZ700" s="802">
        <f>IF(ISNUMBER('Base de datos Rutas'!CQ698),'Base de datos Rutas'!CQ698,"")</f>
        <v>846.56</v>
      </c>
      <c r="BA700" s="802">
        <f>IF(ISNUMBER('Base de datos Rutas'!CR698),'Base de datos Rutas'!CR698,"")</f>
        <v>468.74</v>
      </c>
      <c r="BB700" s="803">
        <f>IF(ISNUMBER('Base de datos Rutas'!CS698),'Base de datos Rutas'!CS698,"")</f>
        <v>377.81999999999994</v>
      </c>
      <c r="BC700" s="804">
        <f t="shared" si="393"/>
        <v>1</v>
      </c>
      <c r="BD700" s="805" t="str">
        <f t="shared" si="394"/>
        <v>Saturada</v>
      </c>
      <c r="BE700" s="806">
        <f t="shared" si="395"/>
        <v>0.55369967869967873</v>
      </c>
      <c r="BF700" s="890">
        <f>IF(ISNUMBER('Base de datos Rutas'!CX698),'Base de datos Rutas'!CX698/100,"")</f>
        <v>0.98906008010680901</v>
      </c>
      <c r="BG700" s="891">
        <f>IF(ISNUMBER('Base de datos Rutas'!CZ698),'Base de datos Rutas'!CZ698/100,"")</f>
        <v>1</v>
      </c>
      <c r="BH700" s="892">
        <f>IF(ISNUMBER('Base de datos Rutas'!DA698),'Base de datos Rutas'!DA698,"")</f>
        <v>501.9690330351271</v>
      </c>
      <c r="BI700" s="893">
        <f>IF(ISNUMBER('Base de datos Rutas'!DC698),'Base de datos Rutas'!DC698,"")</f>
        <v>20.803260459010506</v>
      </c>
      <c r="BJ700" s="805" t="str">
        <f t="shared" si="396"/>
        <v>Ruta (completo)</v>
      </c>
      <c r="BK700" s="783">
        <f t="shared" si="384"/>
        <v>5</v>
      </c>
      <c r="BL700" s="797">
        <f t="shared" si="385"/>
        <v>4</v>
      </c>
      <c r="BM700" s="797">
        <f t="shared" si="386"/>
        <v>5</v>
      </c>
      <c r="BN700" s="797">
        <f t="shared" si="387"/>
        <v>5</v>
      </c>
      <c r="BO700" s="798" cm="1">
        <f t="array" ref="BO700">SUMPRODUCT(--ISNUMBER($BF700:$BI700),$BK$3:$BN$3)</f>
        <v>1</v>
      </c>
      <c r="BP700" s="831">
        <f t="shared" si="397"/>
        <v>93.75</v>
      </c>
      <c r="BQ700" s="834" t="str">
        <f t="shared" si="398"/>
        <v>Alto</v>
      </c>
      <c r="BR700" s="836">
        <f t="shared" si="388"/>
        <v>46.735728008906655</v>
      </c>
      <c r="BS700" s="836">
        <f t="shared" si="389"/>
        <v>93.75</v>
      </c>
      <c r="BT700" s="837" t="str">
        <f t="shared" si="390"/>
        <v>P1</v>
      </c>
      <c r="BU700" s="807" t="str">
        <f t="shared" si="399"/>
        <v>Al tope</v>
      </c>
      <c r="BV700" s="807" t="str">
        <f t="shared" si="391"/>
        <v>Zona atractiva</v>
      </c>
      <c r="BW700" s="808" t="str">
        <f t="shared" si="392"/>
        <v>P1 - Ampliar cobertura</v>
      </c>
    </row>
    <row r="701" spans="1:75">
      <c r="A701" s="780" t="str">
        <f>'Base de datos Rutas'!A699</f>
        <v>Occidente</v>
      </c>
      <c r="B701" s="781" t="str">
        <f>'Base de datos Rutas'!B699</f>
        <v>San Luis</v>
      </c>
      <c r="C701" s="781" t="str">
        <f>'Base de datos Rutas'!C699</f>
        <v>Planta San Luis</v>
      </c>
      <c r="D701" s="782">
        <f>IF(ISNUMBER('Base de datos Rutas'!D699),'Base de datos Rutas'!D699,"Sin código")</f>
        <v>916346</v>
      </c>
      <c r="E701" s="783" t="str">
        <f>'Base de datos Rutas'!F699</f>
        <v>Activa</v>
      </c>
      <c r="F701" s="784" t="str">
        <f>'Base de datos Rutas'!H699</f>
        <v>Sí</v>
      </c>
      <c r="G701" s="785">
        <f>IF(ISNUMBER('Base de datos Rutas'!BE699),'Base de datos Rutas'!BE699,"")</f>
        <v>68.348729792147793</v>
      </c>
      <c r="H701" s="786">
        <f>IF(ISNUMBER('Base de datos Rutas'!BH699),'Base de datos Rutas'!BH699,"")</f>
        <v>0.68650109815847304</v>
      </c>
      <c r="I701" s="788">
        <f>IFERROR(IF(OR(NOT(ISNUMBER('Base de datos Rutas'!O699)),N('Base de datos Rutas'!BK699)=0),"",'Base de datos Rutas'!O699/('Base de datos Rutas'!L699/'Base de datos Rutas'!BK699)),"")</f>
        <v>3805.8960739029994</v>
      </c>
      <c r="J701" s="788">
        <f>IFERROR(IF(OR(NOT(ISNUMBER('Base de datos Rutas'!N699)),N('Base de datos Rutas'!BK699)=0),"",'Base de datos Rutas'!N699/('Base de datos Rutas'!L699/'Base de datos Rutas'!BK699)),"")</f>
        <v>6161.327944572743</v>
      </c>
      <c r="K701" s="788">
        <f>IFERROR(IF(OR(NOT(ISNUMBER('Base de datos Rutas'!J699)),N('Base de datos Rutas'!BK699)=0),"",'Base de datos Rutas'!J699/('Base de datos Rutas'!L699/'Base de datos Rutas'!BK699)),"")</f>
        <v>419.37059879907588</v>
      </c>
      <c r="L701" s="788">
        <f>IFERROR(IF(OR(NOT(ISNUMBER('Base de datos Rutas'!K699)),N('Base de datos Rutas'!BK699)=0),"",'Base de datos Rutas'!K699/('Base de datos Rutas'!L699/'Base de datos Rutas'!BK699)),"")</f>
        <v>29.774040064665101</v>
      </c>
      <c r="M701" s="787">
        <f>IF(ISNUMBER('Base de datos Rutas'!AX699),'Base de datos Rutas'!AX699,"")</f>
        <v>212.423465570704</v>
      </c>
      <c r="N701" s="790">
        <f>IFERROR(INDEX('Hoja de apoyo v2'!B$17:B$20,MATCH($A701,'Hoja de apoyo v2'!$A$17:$A$20,0)),"")</f>
        <v>89.41621024641401</v>
      </c>
      <c r="O701" s="791">
        <f>IFERROR(INDEX('Hoja de apoyo v2'!C$17:C$20,MATCH($A701,'Hoja de apoyo v2'!$A$17:$A$20,0)),"")</f>
        <v>0.54706375874806301</v>
      </c>
      <c r="P701" s="793">
        <f>IFERROR(INDEX('Hoja de apoyo v2'!D$17:D$20,MATCH($A701,'Hoja de apoyo v2'!$A$17:$A$20,0)),"")</f>
        <v>11095.153935793827</v>
      </c>
      <c r="Q701" s="793">
        <f>IFERROR(INDEX('Hoja de apoyo v2'!E$17:E$20,MATCH($A701,'Hoja de apoyo v2'!$A$17:$A$20,0)),"")</f>
        <v>6982.3202019701848</v>
      </c>
      <c r="R701" s="793">
        <f>IFERROR(INDEX('Hoja de apoyo v2'!F$17:F$20,MATCH($A701,'Hoja de apoyo v2'!$A$17:$A$20,0)),"")</f>
        <v>448.09513474485743</v>
      </c>
      <c r="S701" s="793">
        <f>IFERROR(INDEX('Hoja de apoyo v2'!G$17:G$20,MATCH($A701,'Hoja de apoyo v2'!$A$17:$A$20,0)),"")</f>
        <v>83.406300904207839</v>
      </c>
      <c r="T701" s="792">
        <f>IFERROR(INDEX('Hoja de apoyo v2'!H$17:H$20,MATCH($A701,'Hoja de apoyo v2'!$A$17:$A$20,0)),"")</f>
        <v>378.97014028925349</v>
      </c>
      <c r="U701" s="794">
        <f t="shared" si="364"/>
        <v>0.76438857790764936</v>
      </c>
      <c r="V701" s="795">
        <f t="shared" si="365"/>
        <v>1.2548831597426737</v>
      </c>
      <c r="W701" s="795">
        <f t="shared" si="366"/>
        <v>0.3430232780840366</v>
      </c>
      <c r="X701" s="843">
        <f t="shared" si="367"/>
        <v>0.88241841771080842</v>
      </c>
      <c r="Y701" s="843">
        <f t="shared" si="368"/>
        <v>0.93589634495331642</v>
      </c>
      <c r="Z701" s="843">
        <f t="shared" si="369"/>
        <v>0.35697590879687369</v>
      </c>
      <c r="AA701" s="843">
        <f t="shared" si="370"/>
        <v>0.56052823952981956</v>
      </c>
      <c r="AB701" s="796">
        <f t="shared" si="371"/>
        <v>3</v>
      </c>
      <c r="AC701" s="797">
        <f t="shared" si="372"/>
        <v>5</v>
      </c>
      <c r="AD701" s="797">
        <f t="shared" si="373"/>
        <v>1</v>
      </c>
      <c r="AE701" s="842">
        <f t="shared" si="374"/>
        <v>3</v>
      </c>
      <c r="AF701" s="842">
        <f t="shared" si="375"/>
        <v>3</v>
      </c>
      <c r="AG701" s="842">
        <f t="shared" si="376"/>
        <v>1</v>
      </c>
      <c r="AH701" s="842">
        <f t="shared" si="377"/>
        <v>2</v>
      </c>
      <c r="AI701" s="826" cm="1">
        <f t="array" ref="AI701">SUMPRODUCT(--ISNUMBER($U701:$AA701),$AB$3:$AH$3)</f>
        <v>1</v>
      </c>
      <c r="AJ701" s="829">
        <f t="shared" si="378"/>
        <v>33.514606856678967</v>
      </c>
      <c r="AK701" s="827" t="str">
        <f t="shared" si="379"/>
        <v>Inmadura</v>
      </c>
      <c r="AL701" s="784" t="str">
        <f t="shared" si="380"/>
        <v>Alta</v>
      </c>
      <c r="AM701" s="799">
        <f>IF(ISNUMBER('Base de datos Rutas'!W699),'Base de datos Rutas'!W699,"")</f>
        <v>3641.9429094456564</v>
      </c>
      <c r="AN701" s="787">
        <f>IFERROR(SUMIFS('Base de datos Rutas'!$W$6:$W$794,'Base de datos Rutas'!$C$6:$C$794,$C701)/'Base de datos Rutas'!I699,"")</f>
        <v>3641.9429094456527</v>
      </c>
      <c r="AO701" s="800">
        <f>IFERROR('Base de datos Rutas'!X699*AN701/AM701,"")</f>
        <v>0.35679725951519109</v>
      </c>
      <c r="AP701" s="800">
        <f t="shared" si="381"/>
        <v>0.64320274048480885</v>
      </c>
      <c r="AQ701" s="789">
        <f>IFERROR(INDEX('Hoja de apoyo v2'!$J$17:$J$20,MATCH($A701,'Hoja de apoyo v2'!$A$17:$A$20,0)),"")</f>
        <v>0.64320274048480885</v>
      </c>
      <c r="AR701" s="789">
        <f t="shared" si="382"/>
        <v>0</v>
      </c>
      <c r="AS701" s="784" t="str">
        <f t="shared" si="383"/>
        <v>No</v>
      </c>
      <c r="AT701" s="801">
        <f>IF(ISNUMBER('Base de datos Rutas'!CK699),'Base de datos Rutas'!CK699,"")</f>
        <v>379</v>
      </c>
      <c r="AU701" s="802">
        <f>IF(ISNUMBER('Base de datos Rutas'!CL699),'Base de datos Rutas'!CL699,"")</f>
        <v>466.39</v>
      </c>
      <c r="AV701" s="802">
        <f>IF(ISNUMBER('Base de datos Rutas'!CM699),'Base de datos Rutas'!CM699,"")</f>
        <v>87.389999999999986</v>
      </c>
      <c r="AW701" s="802">
        <f>IF(ISNUMBER('Base de datos Rutas'!CN699),'Base de datos Rutas'!CN699,"")</f>
        <v>11.37</v>
      </c>
      <c r="AX701" s="802">
        <f>IF(ISNUMBER('Base de datos Rutas'!CO699),'Base de datos Rutas'!CO699,"")</f>
        <v>9.4499999999999993</v>
      </c>
      <c r="AY701" s="802">
        <f>IF(ISNUMBER('Base de datos Rutas'!CP699),'Base de datos Rutas'!CP699,"")</f>
        <v>-1.92</v>
      </c>
      <c r="AZ701" s="802">
        <f>IF(ISNUMBER('Base de datos Rutas'!CQ699),'Base de datos Rutas'!CQ699,"")</f>
        <v>846.56</v>
      </c>
      <c r="BA701" s="802">
        <f>IF(ISNUMBER('Base de datos Rutas'!CR699),'Base de datos Rutas'!CR699,"")</f>
        <v>449.14</v>
      </c>
      <c r="BB701" s="803">
        <f>IF(ISNUMBER('Base de datos Rutas'!CS699),'Base de datos Rutas'!CS699,"")</f>
        <v>397.41999999999996</v>
      </c>
      <c r="BC701" s="804">
        <f t="shared" si="393"/>
        <v>1</v>
      </c>
      <c r="BD701" s="805" t="str">
        <f t="shared" si="394"/>
        <v>Saturada</v>
      </c>
      <c r="BE701" s="806">
        <f t="shared" si="395"/>
        <v>0.53054715554715559</v>
      </c>
      <c r="BF701" s="890">
        <f>IF(ISNUMBER('Base de datos Rutas'!CX699),'Base de datos Rutas'!CX699/100,"")</f>
        <v>0.94166034669555798</v>
      </c>
      <c r="BG701" s="891">
        <f>IF(ISNUMBER('Base de datos Rutas'!CZ699),'Base de datos Rutas'!CZ699/100,"")</f>
        <v>0.96533044420368375</v>
      </c>
      <c r="BH701" s="892">
        <f>IF(ISNUMBER('Base de datos Rutas'!DA699),'Base de datos Rutas'!DA699,"")</f>
        <v>509.38123612540653</v>
      </c>
      <c r="BI701" s="893">
        <f>IF(ISNUMBER('Base de datos Rutas'!DC699),'Base de datos Rutas'!DC699,"")</f>
        <v>22.942585972868638</v>
      </c>
      <c r="BJ701" s="805" t="str">
        <f t="shared" si="396"/>
        <v>Ruta (completo)</v>
      </c>
      <c r="BK701" s="783">
        <f t="shared" si="384"/>
        <v>4</v>
      </c>
      <c r="BL701" s="797">
        <f t="shared" si="385"/>
        <v>4</v>
      </c>
      <c r="BM701" s="797">
        <f t="shared" si="386"/>
        <v>5</v>
      </c>
      <c r="BN701" s="797">
        <f t="shared" si="387"/>
        <v>5</v>
      </c>
      <c r="BO701" s="798" cm="1">
        <f t="array" ref="BO701">SUMPRODUCT(--ISNUMBER($BF701:$BI701),$BK$3:$BN$3)</f>
        <v>1</v>
      </c>
      <c r="BP701" s="831">
        <f t="shared" si="397"/>
        <v>87.5</v>
      </c>
      <c r="BQ701" s="834" t="str">
        <f t="shared" si="398"/>
        <v>Alto</v>
      </c>
      <c r="BR701" s="836">
        <f t="shared" si="388"/>
        <v>50.135955142509225</v>
      </c>
      <c r="BS701" s="836">
        <f t="shared" si="389"/>
        <v>87.5</v>
      </c>
      <c r="BT701" s="837" t="str">
        <f t="shared" si="390"/>
        <v>P1</v>
      </c>
      <c r="BU701" s="807" t="str">
        <f t="shared" si="399"/>
        <v>Al tope</v>
      </c>
      <c r="BV701" s="807" t="str">
        <f t="shared" si="391"/>
        <v>Zona atractiva</v>
      </c>
      <c r="BW701" s="808" t="str">
        <f t="shared" si="392"/>
        <v>P1 - Ampliar cobertura</v>
      </c>
    </row>
    <row r="702" spans="1:75">
      <c r="A702" s="780" t="str">
        <f>'Base de datos Rutas'!A700</f>
        <v>Occidente</v>
      </c>
      <c r="B702" s="781" t="str">
        <f>'Base de datos Rutas'!B700</f>
        <v>San Luis</v>
      </c>
      <c r="C702" s="781" t="str">
        <f>'Base de datos Rutas'!C700</f>
        <v>Planta San Luis</v>
      </c>
      <c r="D702" s="782">
        <f>IF(ISNUMBER('Base de datos Rutas'!D700),'Base de datos Rutas'!D700,"Sin código")</f>
        <v>916347</v>
      </c>
      <c r="E702" s="783" t="str">
        <f>'Base de datos Rutas'!F700</f>
        <v>Activa</v>
      </c>
      <c r="F702" s="784" t="str">
        <f>'Base de datos Rutas'!H700</f>
        <v>Sí</v>
      </c>
      <c r="G702" s="785">
        <f>IF(ISNUMBER('Base de datos Rutas'!BE700),'Base de datos Rutas'!BE700,"")</f>
        <v>97.379862700228799</v>
      </c>
      <c r="H702" s="786">
        <f>IF(ISNUMBER('Base de datos Rutas'!BH700),'Base de datos Rutas'!BH700,"")</f>
        <v>0.37823992480319601</v>
      </c>
      <c r="I702" s="788">
        <f>IFERROR(IF(OR(NOT(ISNUMBER('Base de datos Rutas'!O700)),N('Base de datos Rutas'!BK700)=0),"",'Base de datos Rutas'!O700/('Base de datos Rutas'!L700/'Base de datos Rutas'!BK700)),"")</f>
        <v>4433.1395881006811</v>
      </c>
      <c r="J702" s="788">
        <f>IFERROR(IF(OR(NOT(ISNUMBER('Base de datos Rutas'!N700)),N('Base de datos Rutas'!BK700)=0),"",'Base de datos Rutas'!N700/('Base de datos Rutas'!L700/'Base de datos Rutas'!BK700)),"")</f>
        <v>8439.8123569793952</v>
      </c>
      <c r="K702" s="788">
        <f>IFERROR(IF(OR(NOT(ISNUMBER('Base de datos Rutas'!J700)),N('Base de datos Rutas'!BK700)=0),"",'Base de datos Rutas'!J700/('Base de datos Rutas'!L700/'Base de datos Rutas'!BK700)),"")</f>
        <v>564.43840366132429</v>
      </c>
      <c r="L702" s="788">
        <f>IFERROR(IF(OR(NOT(ISNUMBER('Base de datos Rutas'!K700)),N('Base de datos Rutas'!BK700)=0),"",'Base de datos Rutas'!K700/('Base de datos Rutas'!L700/'Base de datos Rutas'!BK700)),"")</f>
        <v>33.953673176201335</v>
      </c>
      <c r="M702" s="787">
        <f>IF(ISNUMBER('Base de datos Rutas'!AX700),'Base de datos Rutas'!AX700,"")</f>
        <v>349.49863692842899</v>
      </c>
      <c r="N702" s="790">
        <f>IFERROR(INDEX('Hoja de apoyo v2'!B$17:B$20,MATCH($A702,'Hoja de apoyo v2'!$A$17:$A$20,0)),"")</f>
        <v>89.41621024641401</v>
      </c>
      <c r="O702" s="791">
        <f>IFERROR(INDEX('Hoja de apoyo v2'!C$17:C$20,MATCH($A702,'Hoja de apoyo v2'!$A$17:$A$20,0)),"")</f>
        <v>0.54706375874806301</v>
      </c>
      <c r="P702" s="793">
        <f>IFERROR(INDEX('Hoja de apoyo v2'!D$17:D$20,MATCH($A702,'Hoja de apoyo v2'!$A$17:$A$20,0)),"")</f>
        <v>11095.153935793827</v>
      </c>
      <c r="Q702" s="793">
        <f>IFERROR(INDEX('Hoja de apoyo v2'!E$17:E$20,MATCH($A702,'Hoja de apoyo v2'!$A$17:$A$20,0)),"")</f>
        <v>6982.3202019701848</v>
      </c>
      <c r="R702" s="793">
        <f>IFERROR(INDEX('Hoja de apoyo v2'!F$17:F$20,MATCH($A702,'Hoja de apoyo v2'!$A$17:$A$20,0)),"")</f>
        <v>448.09513474485743</v>
      </c>
      <c r="S702" s="793">
        <f>IFERROR(INDEX('Hoja de apoyo v2'!G$17:G$20,MATCH($A702,'Hoja de apoyo v2'!$A$17:$A$20,0)),"")</f>
        <v>83.406300904207839</v>
      </c>
      <c r="T702" s="792">
        <f>IFERROR(INDEX('Hoja de apoyo v2'!H$17:H$20,MATCH($A702,'Hoja de apoyo v2'!$A$17:$A$20,0)),"")</f>
        <v>378.97014028925349</v>
      </c>
      <c r="U702" s="794">
        <f t="shared" si="364"/>
        <v>1.0890627374149326</v>
      </c>
      <c r="V702" s="795">
        <f t="shared" si="365"/>
        <v>0.69140007678224813</v>
      </c>
      <c r="W702" s="795">
        <f t="shared" si="366"/>
        <v>0.3995563841434438</v>
      </c>
      <c r="X702" s="843">
        <f t="shared" si="367"/>
        <v>1.2087403775320922</v>
      </c>
      <c r="Y702" s="843">
        <f t="shared" si="368"/>
        <v>1.2596396610793643</v>
      </c>
      <c r="Z702" s="843">
        <f t="shared" si="369"/>
        <v>0.40708762777043833</v>
      </c>
      <c r="AA702" s="843">
        <f t="shared" si="370"/>
        <v>0.92223265047127456</v>
      </c>
      <c r="AB702" s="796">
        <f t="shared" si="371"/>
        <v>4</v>
      </c>
      <c r="AC702" s="797">
        <f t="shared" si="372"/>
        <v>2</v>
      </c>
      <c r="AD702" s="797">
        <f t="shared" si="373"/>
        <v>1</v>
      </c>
      <c r="AE702" s="842">
        <f t="shared" si="374"/>
        <v>4</v>
      </c>
      <c r="AF702" s="842">
        <f t="shared" si="375"/>
        <v>5</v>
      </c>
      <c r="AG702" s="842">
        <f t="shared" si="376"/>
        <v>1</v>
      </c>
      <c r="AH702" s="842">
        <f t="shared" si="377"/>
        <v>3</v>
      </c>
      <c r="AI702" s="826" cm="1">
        <f t="array" ref="AI702">SUMPRODUCT(--ISNUMBER($U702:$AA702),$AB$3:$AH$3)</f>
        <v>1</v>
      </c>
      <c r="AJ702" s="829">
        <f t="shared" si="378"/>
        <v>42.405790787769114</v>
      </c>
      <c r="AK702" s="827" t="str">
        <f t="shared" si="379"/>
        <v>Inmadura</v>
      </c>
      <c r="AL702" s="784" t="str">
        <f t="shared" si="380"/>
        <v>Alta</v>
      </c>
      <c r="AM702" s="799">
        <f>IF(ISNUMBER('Base de datos Rutas'!W700),'Base de datos Rutas'!W700,"")</f>
        <v>3641.9429094456564</v>
      </c>
      <c r="AN702" s="787">
        <f>IFERROR(SUMIFS('Base de datos Rutas'!$W$6:$W$794,'Base de datos Rutas'!$C$6:$C$794,$C702)/'Base de datos Rutas'!I700,"")</f>
        <v>3641.9429094456527</v>
      </c>
      <c r="AO702" s="800">
        <f>IFERROR('Base de datos Rutas'!X700*AN702/AM702,"")</f>
        <v>0.35679725951519109</v>
      </c>
      <c r="AP702" s="800">
        <f t="shared" si="381"/>
        <v>0.64320274048480885</v>
      </c>
      <c r="AQ702" s="789">
        <f>IFERROR(INDEX('Hoja de apoyo v2'!$J$17:$J$20,MATCH($A702,'Hoja de apoyo v2'!$A$17:$A$20,0)),"")</f>
        <v>0.64320274048480885</v>
      </c>
      <c r="AR702" s="789">
        <f t="shared" si="382"/>
        <v>0</v>
      </c>
      <c r="AS702" s="784" t="str">
        <f t="shared" si="383"/>
        <v>No</v>
      </c>
      <c r="AT702" s="801">
        <f>IF(ISNUMBER('Base de datos Rutas'!CK700),'Base de datos Rutas'!CK700,"")</f>
        <v>332</v>
      </c>
      <c r="AU702" s="802">
        <f>IF(ISNUMBER('Base de datos Rutas'!CL700),'Base de datos Rutas'!CL700,"")</f>
        <v>368.35</v>
      </c>
      <c r="AV702" s="802">
        <f>IF(ISNUMBER('Base de datos Rutas'!CM700),'Base de datos Rutas'!CM700,"")</f>
        <v>36.350000000000023</v>
      </c>
      <c r="AW702" s="802">
        <f>IF(ISNUMBER('Base de datos Rutas'!CN700),'Base de datos Rutas'!CN700,"")</f>
        <v>13.81</v>
      </c>
      <c r="AX702" s="802">
        <f>IF(ISNUMBER('Base de datos Rutas'!CO700),'Base de datos Rutas'!CO700,"")</f>
        <v>9.4499999999999993</v>
      </c>
      <c r="AY702" s="802">
        <f>IF(ISNUMBER('Base de datos Rutas'!CP700),'Base de datos Rutas'!CP700,"")</f>
        <v>-4.3600000000000012</v>
      </c>
      <c r="AZ702" s="802">
        <f>IF(ISNUMBER('Base de datos Rutas'!CQ700),'Base de datos Rutas'!CQ700,"")</f>
        <v>846.56</v>
      </c>
      <c r="BA702" s="802">
        <f>IF(ISNUMBER('Base de datos Rutas'!CR700),'Base de datos Rutas'!CR700,"")</f>
        <v>598.39</v>
      </c>
      <c r="BB702" s="803">
        <f>IF(ISNUMBER('Base de datos Rutas'!CS700),'Base de datos Rutas'!CS700,"")</f>
        <v>248.16999999999996</v>
      </c>
      <c r="BC702" s="804">
        <f t="shared" si="393"/>
        <v>1</v>
      </c>
      <c r="BD702" s="805" t="str">
        <f t="shared" si="394"/>
        <v>Saturada</v>
      </c>
      <c r="BE702" s="806">
        <f t="shared" si="395"/>
        <v>0.70684889434889442</v>
      </c>
      <c r="BF702" s="890">
        <f>IF(ISNUMBER('Base de datos Rutas'!CX700),'Base de datos Rutas'!CX700/100,"")</f>
        <v>0.69028966425279792</v>
      </c>
      <c r="BG702" s="891">
        <f>IF(ISNUMBER('Base de datos Rutas'!CZ700),'Base de datos Rutas'!CZ700/100,"")</f>
        <v>0.6982664033355277</v>
      </c>
      <c r="BH702" s="892">
        <f>IF(ISNUMBER('Base de datos Rutas'!DA700),'Base de datos Rutas'!DA700,"")</f>
        <v>217.60131276737019</v>
      </c>
      <c r="BI702" s="893">
        <f>IF(ISNUMBER('Base de datos Rutas'!DC700),'Base de datos Rutas'!DC700,"")</f>
        <v>9.5611568898516328</v>
      </c>
      <c r="BJ702" s="805" t="str">
        <f t="shared" si="396"/>
        <v>Ruta (completo)</v>
      </c>
      <c r="BK702" s="783">
        <f t="shared" si="384"/>
        <v>3</v>
      </c>
      <c r="BL702" s="797">
        <f t="shared" si="385"/>
        <v>3</v>
      </c>
      <c r="BM702" s="797">
        <f t="shared" si="386"/>
        <v>3</v>
      </c>
      <c r="BN702" s="797">
        <f t="shared" si="387"/>
        <v>3</v>
      </c>
      <c r="BO702" s="798" cm="1">
        <f t="array" ref="BO702">SUMPRODUCT(--ISNUMBER($BF702:$BI702),$BK$3:$BN$3)</f>
        <v>1</v>
      </c>
      <c r="BP702" s="831">
        <f t="shared" si="397"/>
        <v>50</v>
      </c>
      <c r="BQ702" s="834" t="str">
        <f t="shared" si="398"/>
        <v>Alto</v>
      </c>
      <c r="BR702" s="836">
        <f t="shared" si="388"/>
        <v>56.804343090826833</v>
      </c>
      <c r="BS702" s="836">
        <f t="shared" si="389"/>
        <v>50</v>
      </c>
      <c r="BT702" s="837" t="str">
        <f t="shared" si="390"/>
        <v>P1</v>
      </c>
      <c r="BU702" s="807" t="str">
        <f t="shared" si="399"/>
        <v>Al tope</v>
      </c>
      <c r="BV702" s="807" t="str">
        <f t="shared" si="391"/>
        <v>Zona atractiva</v>
      </c>
      <c r="BW702" s="808" t="str">
        <f t="shared" si="392"/>
        <v>P1 - Ampliar cobertura</v>
      </c>
    </row>
    <row r="703" spans="1:75">
      <c r="A703" s="780" t="str">
        <f>'Base de datos Rutas'!A701</f>
        <v>Occidente</v>
      </c>
      <c r="B703" s="781" t="str">
        <f>'Base de datos Rutas'!B701</f>
        <v>San Luis</v>
      </c>
      <c r="C703" s="781" t="str">
        <f>'Base de datos Rutas'!C701</f>
        <v>Planta San Luis</v>
      </c>
      <c r="D703" s="782">
        <f>IF(ISNUMBER('Base de datos Rutas'!D701),'Base de datos Rutas'!D701,"Sin código")</f>
        <v>916348</v>
      </c>
      <c r="E703" s="783" t="str">
        <f>'Base de datos Rutas'!F701</f>
        <v>Activa</v>
      </c>
      <c r="F703" s="784" t="str">
        <f>'Base de datos Rutas'!H701</f>
        <v>Sí</v>
      </c>
      <c r="G703" s="785">
        <f>IF(ISNUMBER('Base de datos Rutas'!BE701),'Base de datos Rutas'!BE701,"")</f>
        <v>121.726436781609</v>
      </c>
      <c r="H703" s="786">
        <f>IF(ISNUMBER('Base de datos Rutas'!BH701),'Base de datos Rutas'!BH701,"")</f>
        <v>0.494211629619837</v>
      </c>
      <c r="I703" s="788">
        <f>IFERROR(IF(OR(NOT(ISNUMBER('Base de datos Rutas'!O701)),N('Base de datos Rutas'!BK701)=0),"",'Base de datos Rutas'!O701/('Base de datos Rutas'!L701/'Base de datos Rutas'!BK701)),"")</f>
        <v>6169.268965517248</v>
      </c>
      <c r="J703" s="788">
        <f>IFERROR(IF(OR(NOT(ISNUMBER('Base de datos Rutas'!N701)),N('Base de datos Rutas'!BK701)=0),"",'Base de datos Rutas'!N701/('Base de datos Rutas'!L701/'Base de datos Rutas'!BK701)),"")</f>
        <v>7328.1356321839157</v>
      </c>
      <c r="K703" s="788">
        <f>IFERROR(IF(OR(NOT(ISNUMBER('Base de datos Rutas'!J701)),N('Base de datos Rutas'!BK701)=0),"",'Base de datos Rutas'!J701/('Base de datos Rutas'!L701/'Base de datos Rutas'!BK701)),"")</f>
        <v>491.04685241379133</v>
      </c>
      <c r="L703" s="788">
        <f>IFERROR(IF(OR(NOT(ISNUMBER('Base de datos Rutas'!K701)),N('Base de datos Rutas'!BK701)=0),"",'Base de datos Rutas'!K701/('Base de datos Rutas'!L701/'Base de datos Rutas'!BK701)),"")</f>
        <v>45.952398036781659</v>
      </c>
      <c r="M703" s="787">
        <f>IF(ISNUMBER('Base de datos Rutas'!AX701),'Base de datos Rutas'!AX701,"")</f>
        <v>224.36373075012401</v>
      </c>
      <c r="N703" s="790">
        <f>IFERROR(INDEX('Hoja de apoyo v2'!B$17:B$20,MATCH($A703,'Hoja de apoyo v2'!$A$17:$A$20,0)),"")</f>
        <v>89.41621024641401</v>
      </c>
      <c r="O703" s="791">
        <f>IFERROR(INDEX('Hoja de apoyo v2'!C$17:C$20,MATCH($A703,'Hoja de apoyo v2'!$A$17:$A$20,0)),"")</f>
        <v>0.54706375874806301</v>
      </c>
      <c r="P703" s="793">
        <f>IFERROR(INDEX('Hoja de apoyo v2'!D$17:D$20,MATCH($A703,'Hoja de apoyo v2'!$A$17:$A$20,0)),"")</f>
        <v>11095.153935793827</v>
      </c>
      <c r="Q703" s="793">
        <f>IFERROR(INDEX('Hoja de apoyo v2'!E$17:E$20,MATCH($A703,'Hoja de apoyo v2'!$A$17:$A$20,0)),"")</f>
        <v>6982.3202019701848</v>
      </c>
      <c r="R703" s="793">
        <f>IFERROR(INDEX('Hoja de apoyo v2'!F$17:F$20,MATCH($A703,'Hoja de apoyo v2'!$A$17:$A$20,0)),"")</f>
        <v>448.09513474485743</v>
      </c>
      <c r="S703" s="793">
        <f>IFERROR(INDEX('Hoja de apoyo v2'!G$17:G$20,MATCH($A703,'Hoja de apoyo v2'!$A$17:$A$20,0)),"")</f>
        <v>83.406300904207839</v>
      </c>
      <c r="T703" s="792">
        <f>IFERROR(INDEX('Hoja de apoyo v2'!H$17:H$20,MATCH($A703,'Hoja de apoyo v2'!$A$17:$A$20,0)),"")</f>
        <v>378.97014028925349</v>
      </c>
      <c r="U703" s="794">
        <f t="shared" si="364"/>
        <v>1.3613464096292403</v>
      </c>
      <c r="V703" s="795">
        <f t="shared" si="365"/>
        <v>0.9033894527227021</v>
      </c>
      <c r="W703" s="795">
        <f t="shared" si="366"/>
        <v>0.55603275098461746</v>
      </c>
      <c r="X703" s="843">
        <f t="shared" si="367"/>
        <v>1.0495272946829555</v>
      </c>
      <c r="Y703" s="843">
        <f t="shared" si="368"/>
        <v>1.0958540147805673</v>
      </c>
      <c r="Z703" s="843">
        <f t="shared" si="369"/>
        <v>0.55094636182892232</v>
      </c>
      <c r="AA703" s="843">
        <f t="shared" si="370"/>
        <v>0.59203537930158745</v>
      </c>
      <c r="AB703" s="796">
        <f t="shared" si="371"/>
        <v>5</v>
      </c>
      <c r="AC703" s="797">
        <f t="shared" si="372"/>
        <v>3</v>
      </c>
      <c r="AD703" s="797">
        <f t="shared" si="373"/>
        <v>2</v>
      </c>
      <c r="AE703" s="842">
        <f t="shared" si="374"/>
        <v>4</v>
      </c>
      <c r="AF703" s="842">
        <f t="shared" si="375"/>
        <v>4</v>
      </c>
      <c r="AG703" s="842">
        <f t="shared" si="376"/>
        <v>2</v>
      </c>
      <c r="AH703" s="842">
        <f t="shared" si="377"/>
        <v>2</v>
      </c>
      <c r="AI703" s="826" cm="1">
        <f t="array" ref="AI703">SUMPRODUCT(--ISNUMBER($U703:$AA703),$AB$3:$AH$3)</f>
        <v>1</v>
      </c>
      <c r="AJ703" s="829">
        <f t="shared" si="378"/>
        <v>53.654798436817707</v>
      </c>
      <c r="AK703" s="827" t="str">
        <f t="shared" si="379"/>
        <v>En desarrollo</v>
      </c>
      <c r="AL703" s="784" t="str">
        <f t="shared" si="380"/>
        <v>Alta</v>
      </c>
      <c r="AM703" s="799">
        <f>IF(ISNUMBER('Base de datos Rutas'!W701),'Base de datos Rutas'!W701,"")</f>
        <v>3641.9429094456564</v>
      </c>
      <c r="AN703" s="787">
        <f>IFERROR(SUMIFS('Base de datos Rutas'!$W$6:$W$794,'Base de datos Rutas'!$C$6:$C$794,$C703)/'Base de datos Rutas'!I701,"")</f>
        <v>3641.9429094456527</v>
      </c>
      <c r="AO703" s="800">
        <f>IFERROR('Base de datos Rutas'!X701*AN703/AM703,"")</f>
        <v>0.35679725951519109</v>
      </c>
      <c r="AP703" s="800">
        <f t="shared" si="381"/>
        <v>0.64320274048480885</v>
      </c>
      <c r="AQ703" s="789">
        <f>IFERROR(INDEX('Hoja de apoyo v2'!$J$17:$J$20,MATCH($A703,'Hoja de apoyo v2'!$A$17:$A$20,0)),"")</f>
        <v>0.64320274048480885</v>
      </c>
      <c r="AR703" s="789">
        <f t="shared" si="382"/>
        <v>0</v>
      </c>
      <c r="AS703" s="784" t="str">
        <f t="shared" si="383"/>
        <v>No</v>
      </c>
      <c r="AT703" s="801">
        <f>IF(ISNUMBER('Base de datos Rutas'!CK701),'Base de datos Rutas'!CK701,"")</f>
        <v>498</v>
      </c>
      <c r="AU703" s="802">
        <f>IF(ISNUMBER('Base de datos Rutas'!CL701),'Base de datos Rutas'!CL701,"")</f>
        <v>528.12</v>
      </c>
      <c r="AV703" s="802">
        <f>IF(ISNUMBER('Base de datos Rutas'!CM701),'Base de datos Rutas'!CM701,"")</f>
        <v>30.120000000000005</v>
      </c>
      <c r="AW703" s="802">
        <f>IF(ISNUMBER('Base de datos Rutas'!CN701),'Base de datos Rutas'!CN701,"")</f>
        <v>12.36</v>
      </c>
      <c r="AX703" s="802">
        <f>IF(ISNUMBER('Base de datos Rutas'!CO701),'Base de datos Rutas'!CO701,"")</f>
        <v>9.4499999999999993</v>
      </c>
      <c r="AY703" s="802">
        <f>IF(ISNUMBER('Base de datos Rutas'!CP701),'Base de datos Rutas'!CP701,"")</f>
        <v>-2.91</v>
      </c>
      <c r="AZ703" s="802">
        <f>IF(ISNUMBER('Base de datos Rutas'!CQ701),'Base de datos Rutas'!CQ701,"")</f>
        <v>846.56</v>
      </c>
      <c r="BA703" s="802">
        <f>IF(ISNUMBER('Base de datos Rutas'!CR701),'Base de datos Rutas'!CR701,"")</f>
        <v>537</v>
      </c>
      <c r="BB703" s="803">
        <f>IF(ISNUMBER('Base de datos Rutas'!CS701),'Base de datos Rutas'!CS701,"")</f>
        <v>309.55999999999995</v>
      </c>
      <c r="BC703" s="804">
        <f t="shared" si="393"/>
        <v>1</v>
      </c>
      <c r="BD703" s="805" t="str">
        <f t="shared" si="394"/>
        <v>Saturada</v>
      </c>
      <c r="BE703" s="806">
        <f t="shared" si="395"/>
        <v>0.63433188433188437</v>
      </c>
      <c r="BF703" s="890">
        <f>IF(ISNUMBER('Base de datos Rutas'!CX701),'Base de datos Rutas'!CX701/100,"")</f>
        <v>0.85073756432247005</v>
      </c>
      <c r="BG703" s="891">
        <f>IF(ISNUMBER('Base de datos Rutas'!CZ701),'Base de datos Rutas'!CZ701/100,"")</f>
        <v>0.85934819897084058</v>
      </c>
      <c r="BH703" s="892">
        <f>IF(ISNUMBER('Base de datos Rutas'!DA701),'Base de datos Rutas'!DA701,"")</f>
        <v>671.84974150539097</v>
      </c>
      <c r="BI703" s="893">
        <f>IF(ISNUMBER('Base de datos Rutas'!DC701),'Base de datos Rutas'!DC701,"")</f>
        <v>26.152548666145144</v>
      </c>
      <c r="BJ703" s="805" t="str">
        <f t="shared" si="396"/>
        <v>Ruta (completo)</v>
      </c>
      <c r="BK703" s="783">
        <f t="shared" si="384"/>
        <v>4</v>
      </c>
      <c r="BL703" s="797">
        <f t="shared" si="385"/>
        <v>4</v>
      </c>
      <c r="BM703" s="797">
        <f t="shared" si="386"/>
        <v>5</v>
      </c>
      <c r="BN703" s="797">
        <f t="shared" si="387"/>
        <v>5</v>
      </c>
      <c r="BO703" s="798" cm="1">
        <f t="array" ref="BO703">SUMPRODUCT(--ISNUMBER($BF703:$BI703),$BK$3:$BN$3)</f>
        <v>1</v>
      </c>
      <c r="BP703" s="831">
        <f t="shared" si="397"/>
        <v>87.5</v>
      </c>
      <c r="BQ703" s="834" t="str">
        <f t="shared" si="398"/>
        <v>Alto</v>
      </c>
      <c r="BR703" s="836">
        <f t="shared" si="388"/>
        <v>65.241098827613285</v>
      </c>
      <c r="BS703" s="836">
        <f t="shared" si="389"/>
        <v>87.5</v>
      </c>
      <c r="BT703" s="837" t="str">
        <f t="shared" si="390"/>
        <v>P1</v>
      </c>
      <c r="BU703" s="807" t="str">
        <f t="shared" si="399"/>
        <v>Al tope</v>
      </c>
      <c r="BV703" s="807" t="str">
        <f t="shared" si="391"/>
        <v>Zona atractiva</v>
      </c>
      <c r="BW703" s="808" t="str">
        <f t="shared" si="392"/>
        <v>P1 - Ampliar cobertura</v>
      </c>
    </row>
    <row r="704" spans="1:75">
      <c r="A704" s="780" t="str">
        <f>'Base de datos Rutas'!A702</f>
        <v>Occidente</v>
      </c>
      <c r="B704" s="781" t="str">
        <f>'Base de datos Rutas'!B702</f>
        <v>San Luis</v>
      </c>
      <c r="C704" s="781" t="str">
        <f>'Base de datos Rutas'!C702</f>
        <v>Planta San Luis</v>
      </c>
      <c r="D704" s="782">
        <f>IF(ISNUMBER('Base de datos Rutas'!D702),'Base de datos Rutas'!D702,"Sin código")</f>
        <v>916349</v>
      </c>
      <c r="E704" s="783" t="str">
        <f>'Base de datos Rutas'!F702</f>
        <v>Activa</v>
      </c>
      <c r="F704" s="784" t="str">
        <f>'Base de datos Rutas'!H702</f>
        <v>Sí</v>
      </c>
      <c r="G704" s="785">
        <f>IF(ISNUMBER('Base de datos Rutas'!BE702),'Base de datos Rutas'!BE702,"")</f>
        <v>83.036446469248304</v>
      </c>
      <c r="H704" s="786">
        <f>IF(ISNUMBER('Base de datos Rutas'!BH702),'Base de datos Rutas'!BH702,"")</f>
        <v>0.38372699091981499</v>
      </c>
      <c r="I704" s="788">
        <f>IFERROR(IF(OR(NOT(ISNUMBER('Base de datos Rutas'!O702)),N('Base de datos Rutas'!BK702)=0),"",'Base de datos Rutas'!O702/('Base de datos Rutas'!L702/'Base de datos Rutas'!BK702)),"")</f>
        <v>4158.3101123595461</v>
      </c>
      <c r="J704" s="788">
        <f>IFERROR(IF(OR(NOT(ISNUMBER('Base de datos Rutas'!N702)),N('Base de datos Rutas'!BK702)=0),"",'Base de datos Rutas'!N702/('Base de datos Rutas'!L702/'Base de datos Rutas'!BK702)),"")</f>
        <v>5519.1280898876339</v>
      </c>
      <c r="K704" s="788">
        <f>IFERROR(IF(OR(NOT(ISNUMBER('Base de datos Rutas'!J702)),N('Base de datos Rutas'!BK702)=0),"",'Base de datos Rutas'!J702/('Base de datos Rutas'!L702/'Base de datos Rutas'!BK702)),"")</f>
        <v>385.85715235955013</v>
      </c>
      <c r="L704" s="788">
        <f>IFERROR(IF(OR(NOT(ISNUMBER('Base de datos Rutas'!K702)),N('Base de datos Rutas'!BK702)=0),"",'Base de datos Rutas'!K702/('Base de datos Rutas'!L702/'Base de datos Rutas'!BK702)),"")</f>
        <v>34.470671764044909</v>
      </c>
      <c r="M704" s="787">
        <f>IF(ISNUMBER('Base de datos Rutas'!AX702),'Base de datos Rutas'!AX702,"")</f>
        <v>307.51647243644697</v>
      </c>
      <c r="N704" s="790">
        <f>IFERROR(INDEX('Hoja de apoyo v2'!B$17:B$20,MATCH($A704,'Hoja de apoyo v2'!$A$17:$A$20,0)),"")</f>
        <v>89.41621024641401</v>
      </c>
      <c r="O704" s="791">
        <f>IFERROR(INDEX('Hoja de apoyo v2'!C$17:C$20,MATCH($A704,'Hoja de apoyo v2'!$A$17:$A$20,0)),"")</f>
        <v>0.54706375874806301</v>
      </c>
      <c r="P704" s="793">
        <f>IFERROR(INDEX('Hoja de apoyo v2'!D$17:D$20,MATCH($A704,'Hoja de apoyo v2'!$A$17:$A$20,0)),"")</f>
        <v>11095.153935793827</v>
      </c>
      <c r="Q704" s="793">
        <f>IFERROR(INDEX('Hoja de apoyo v2'!E$17:E$20,MATCH($A704,'Hoja de apoyo v2'!$A$17:$A$20,0)),"")</f>
        <v>6982.3202019701848</v>
      </c>
      <c r="R704" s="793">
        <f>IFERROR(INDEX('Hoja de apoyo v2'!F$17:F$20,MATCH($A704,'Hoja de apoyo v2'!$A$17:$A$20,0)),"")</f>
        <v>448.09513474485743</v>
      </c>
      <c r="S704" s="793">
        <f>IFERROR(INDEX('Hoja de apoyo v2'!G$17:G$20,MATCH($A704,'Hoja de apoyo v2'!$A$17:$A$20,0)),"")</f>
        <v>83.406300904207839</v>
      </c>
      <c r="T704" s="792">
        <f>IFERROR(INDEX('Hoja de apoyo v2'!H$17:H$20,MATCH($A704,'Hoja de apoyo v2'!$A$17:$A$20,0)),"")</f>
        <v>378.97014028925349</v>
      </c>
      <c r="U704" s="794">
        <f t="shared" si="364"/>
        <v>0.92865092627405821</v>
      </c>
      <c r="V704" s="795">
        <f t="shared" si="365"/>
        <v>0.70143010715599452</v>
      </c>
      <c r="W704" s="795">
        <f t="shared" si="366"/>
        <v>0.37478615767055878</v>
      </c>
      <c r="X704" s="843">
        <f t="shared" si="367"/>
        <v>0.79044328106441097</v>
      </c>
      <c r="Y704" s="843">
        <f t="shared" si="368"/>
        <v>0.8611054270411902</v>
      </c>
      <c r="Z704" s="843">
        <f t="shared" si="369"/>
        <v>0.41328618330208033</v>
      </c>
      <c r="AA704" s="843">
        <f t="shared" si="370"/>
        <v>0.81145304007785768</v>
      </c>
      <c r="AB704" s="796">
        <f t="shared" si="371"/>
        <v>3</v>
      </c>
      <c r="AC704" s="797">
        <f t="shared" si="372"/>
        <v>2</v>
      </c>
      <c r="AD704" s="797">
        <f t="shared" si="373"/>
        <v>1</v>
      </c>
      <c r="AE704" s="842">
        <f t="shared" si="374"/>
        <v>3</v>
      </c>
      <c r="AF704" s="842">
        <f t="shared" si="375"/>
        <v>3</v>
      </c>
      <c r="AG704" s="842">
        <f t="shared" si="376"/>
        <v>1</v>
      </c>
      <c r="AH704" s="842">
        <f t="shared" si="377"/>
        <v>3</v>
      </c>
      <c r="AI704" s="826" cm="1">
        <f t="array" ref="AI704">SUMPRODUCT(--ISNUMBER($U704:$AA704),$AB$3:$AH$3)</f>
        <v>1</v>
      </c>
      <c r="AJ704" s="829">
        <f t="shared" si="378"/>
        <v>28.610617939334084</v>
      </c>
      <c r="AK704" s="827" t="str">
        <f t="shared" si="379"/>
        <v>Inmadura</v>
      </c>
      <c r="AL704" s="784" t="str">
        <f t="shared" si="380"/>
        <v>Alta</v>
      </c>
      <c r="AM704" s="799">
        <f>IF(ISNUMBER('Base de datos Rutas'!W702),'Base de datos Rutas'!W702,"")</f>
        <v>3641.9429094456564</v>
      </c>
      <c r="AN704" s="787">
        <f>IFERROR(SUMIFS('Base de datos Rutas'!$W$6:$W$794,'Base de datos Rutas'!$C$6:$C$794,$C704)/'Base de datos Rutas'!I702,"")</f>
        <v>3641.9429094456527</v>
      </c>
      <c r="AO704" s="800">
        <f>IFERROR('Base de datos Rutas'!X702*AN704/AM704,"")</f>
        <v>0.35679725951519109</v>
      </c>
      <c r="AP704" s="800">
        <f t="shared" si="381"/>
        <v>0.64320274048480885</v>
      </c>
      <c r="AQ704" s="789">
        <f>IFERROR(INDEX('Hoja de apoyo v2'!$J$17:$J$20,MATCH($A704,'Hoja de apoyo v2'!$A$17:$A$20,0)),"")</f>
        <v>0.64320274048480885</v>
      </c>
      <c r="AR704" s="789">
        <f t="shared" si="382"/>
        <v>0</v>
      </c>
      <c r="AS704" s="784" t="str">
        <f t="shared" si="383"/>
        <v>No</v>
      </c>
      <c r="AT704" s="801">
        <f>IF(ISNUMBER('Base de datos Rutas'!CK702),'Base de datos Rutas'!CK702,"")</f>
        <v>436</v>
      </c>
      <c r="AU704" s="802">
        <f>IF(ISNUMBER('Base de datos Rutas'!CL702),'Base de datos Rutas'!CL702,"")</f>
        <v>459.86</v>
      </c>
      <c r="AV704" s="802">
        <f>IF(ISNUMBER('Base de datos Rutas'!CM702),'Base de datos Rutas'!CM702,"")</f>
        <v>23.860000000000014</v>
      </c>
      <c r="AW704" s="802">
        <f>IF(ISNUMBER('Base de datos Rutas'!CN702),'Base de datos Rutas'!CN702,"")</f>
        <v>10.49</v>
      </c>
      <c r="AX704" s="802">
        <f>IF(ISNUMBER('Base de datos Rutas'!CO702),'Base de datos Rutas'!CO702,"")</f>
        <v>9.4499999999999993</v>
      </c>
      <c r="AY704" s="802">
        <f>IF(ISNUMBER('Base de datos Rutas'!CP702),'Base de datos Rutas'!CP702,"")</f>
        <v>-1.0400000000000009</v>
      </c>
      <c r="AZ704" s="802">
        <f>IF(ISNUMBER('Base de datos Rutas'!CQ702),'Base de datos Rutas'!CQ702,"")</f>
        <v>846.56</v>
      </c>
      <c r="BA704" s="802">
        <f>IF(ISNUMBER('Base de datos Rutas'!CR702),'Base de datos Rutas'!CR702,"")</f>
        <v>420.33</v>
      </c>
      <c r="BB704" s="803">
        <f>IF(ISNUMBER('Base de datos Rutas'!CS702),'Base de datos Rutas'!CS702,"")</f>
        <v>426.22999999999996</v>
      </c>
      <c r="BC704" s="804">
        <f t="shared" si="393"/>
        <v>1</v>
      </c>
      <c r="BD704" s="805" t="str">
        <f t="shared" si="394"/>
        <v>Saturada</v>
      </c>
      <c r="BE704" s="806">
        <f t="shared" si="395"/>
        <v>0.49651530901530905</v>
      </c>
      <c r="BF704" s="890">
        <f>IF(ISNUMBER('Base de datos Rutas'!CX702),'Base de datos Rutas'!CX702/100,"")</f>
        <v>0.87293898214761523</v>
      </c>
      <c r="BG704" s="891">
        <f>IF(ISNUMBER('Base de datos Rutas'!CZ702),'Base de datos Rutas'!CZ702/100,"")</f>
        <v>0.87929656274980017</v>
      </c>
      <c r="BH704" s="892">
        <f>IF(ISNUMBER('Base de datos Rutas'!DA702),'Base de datos Rutas'!DA702,"")</f>
        <v>484.44444061998593</v>
      </c>
      <c r="BI704" s="893">
        <f>IF(ISNUMBER('Base de datos Rutas'!DC702),'Base de datos Rutas'!DC702,"")</f>
        <v>19.875396493383391</v>
      </c>
      <c r="BJ704" s="805" t="str">
        <f t="shared" si="396"/>
        <v>Ruta (completo)</v>
      </c>
      <c r="BK704" s="783">
        <f t="shared" si="384"/>
        <v>4</v>
      </c>
      <c r="BL704" s="797">
        <f t="shared" si="385"/>
        <v>4</v>
      </c>
      <c r="BM704" s="797">
        <f t="shared" si="386"/>
        <v>4</v>
      </c>
      <c r="BN704" s="797">
        <f t="shared" si="387"/>
        <v>4</v>
      </c>
      <c r="BO704" s="798" cm="1">
        <f t="array" ref="BO704">SUMPRODUCT(--ISNUMBER($BF704:$BI704),$BK$3:$BN$3)</f>
        <v>1</v>
      </c>
      <c r="BP704" s="831">
        <f t="shared" si="397"/>
        <v>75</v>
      </c>
      <c r="BQ704" s="834" t="str">
        <f t="shared" si="398"/>
        <v>Alto</v>
      </c>
      <c r="BR704" s="836">
        <f t="shared" si="388"/>
        <v>46.457963454500565</v>
      </c>
      <c r="BS704" s="836">
        <f t="shared" si="389"/>
        <v>75</v>
      </c>
      <c r="BT704" s="837" t="str">
        <f t="shared" si="390"/>
        <v>P1</v>
      </c>
      <c r="BU704" s="807" t="str">
        <f t="shared" si="399"/>
        <v>Al tope</v>
      </c>
      <c r="BV704" s="807" t="str">
        <f t="shared" si="391"/>
        <v>Zona atractiva</v>
      </c>
      <c r="BW704" s="808" t="str">
        <f t="shared" si="392"/>
        <v>P1 - Ampliar cobertura</v>
      </c>
    </row>
    <row r="705" spans="1:75">
      <c r="A705" s="780" t="str">
        <f>'Base de datos Rutas'!A703</f>
        <v>Occidente</v>
      </c>
      <c r="B705" s="781" t="str">
        <f>'Base de datos Rutas'!B703</f>
        <v>San Luis</v>
      </c>
      <c r="C705" s="781" t="str">
        <f>'Base de datos Rutas'!C703</f>
        <v>Planta San Luis</v>
      </c>
      <c r="D705" s="782">
        <f>IF(ISNUMBER('Base de datos Rutas'!D703),'Base de datos Rutas'!D703,"Sin código")</f>
        <v>916350</v>
      </c>
      <c r="E705" s="783" t="str">
        <f>'Base de datos Rutas'!F703</f>
        <v>Activa</v>
      </c>
      <c r="F705" s="784" t="str">
        <f>'Base de datos Rutas'!H703</f>
        <v>Sí</v>
      </c>
      <c r="G705" s="785">
        <f>IF(ISNUMBER('Base de datos Rutas'!BE703),'Base de datos Rutas'!BE703,"")</f>
        <v>50.512702078521897</v>
      </c>
      <c r="H705" s="786">
        <f>IF(ISNUMBER('Base de datos Rutas'!BH703),'Base de datos Rutas'!BH703,"")</f>
        <v>0.80705925384052701</v>
      </c>
      <c r="I705" s="788">
        <f>IFERROR(IF(OR(NOT(ISNUMBER('Base de datos Rutas'!O703)),N('Base de datos Rutas'!BK703)=0),"",'Base de datos Rutas'!O703/('Base de datos Rutas'!L703/'Base de datos Rutas'!BK703)),"")</f>
        <v>4064.5658198614269</v>
      </c>
      <c r="J705" s="788">
        <f>IFERROR(IF(OR(NOT(ISNUMBER('Base de datos Rutas'!N703)),N('Base de datos Rutas'!BK703)=0),"",'Base de datos Rutas'!N703/('Base de datos Rutas'!L703/'Base de datos Rutas'!BK703)),"")</f>
        <v>5541.0946882217022</v>
      </c>
      <c r="K705" s="788">
        <f>IFERROR(IF(OR(NOT(ISNUMBER('Base de datos Rutas'!J703)),N('Base de datos Rutas'!BK703)=0),"",'Base de datos Rutas'!J703/('Base de datos Rutas'!L703/'Base de datos Rutas'!BK703)),"")</f>
        <v>374.01705496535754</v>
      </c>
      <c r="L705" s="788">
        <f>IFERROR(IF(OR(NOT(ISNUMBER('Base de datos Rutas'!K703)),N('Base de datos Rutas'!BK703)=0),"",'Base de datos Rutas'!K703/('Base de datos Rutas'!L703/'Base de datos Rutas'!BK703)),"")</f>
        <v>35.280945554272478</v>
      </c>
      <c r="M705" s="787">
        <f>IF(ISNUMBER('Base de datos Rutas'!AX703),'Base de datos Rutas'!AX703,"")</f>
        <v>235.62485100838401</v>
      </c>
      <c r="N705" s="790">
        <f>IFERROR(INDEX('Hoja de apoyo v2'!B$17:B$20,MATCH($A705,'Hoja de apoyo v2'!$A$17:$A$20,0)),"")</f>
        <v>89.41621024641401</v>
      </c>
      <c r="O705" s="791">
        <f>IFERROR(INDEX('Hoja de apoyo v2'!C$17:C$20,MATCH($A705,'Hoja de apoyo v2'!$A$17:$A$20,0)),"")</f>
        <v>0.54706375874806301</v>
      </c>
      <c r="P705" s="793">
        <f>IFERROR(INDEX('Hoja de apoyo v2'!D$17:D$20,MATCH($A705,'Hoja de apoyo v2'!$A$17:$A$20,0)),"")</f>
        <v>11095.153935793827</v>
      </c>
      <c r="Q705" s="793">
        <f>IFERROR(INDEX('Hoja de apoyo v2'!E$17:E$20,MATCH($A705,'Hoja de apoyo v2'!$A$17:$A$20,0)),"")</f>
        <v>6982.3202019701848</v>
      </c>
      <c r="R705" s="793">
        <f>IFERROR(INDEX('Hoja de apoyo v2'!F$17:F$20,MATCH($A705,'Hoja de apoyo v2'!$A$17:$A$20,0)),"")</f>
        <v>448.09513474485743</v>
      </c>
      <c r="S705" s="793">
        <f>IFERROR(INDEX('Hoja de apoyo v2'!G$17:G$20,MATCH($A705,'Hoja de apoyo v2'!$A$17:$A$20,0)),"")</f>
        <v>83.406300904207839</v>
      </c>
      <c r="T705" s="792">
        <f>IFERROR(INDEX('Hoja de apoyo v2'!H$17:H$20,MATCH($A705,'Hoja de apoyo v2'!$A$17:$A$20,0)),"")</f>
        <v>378.97014028925349</v>
      </c>
      <c r="U705" s="794">
        <f t="shared" si="364"/>
        <v>0.56491660672397692</v>
      </c>
      <c r="V705" s="795">
        <f t="shared" si="365"/>
        <v>1.4752562949654258</v>
      </c>
      <c r="W705" s="795">
        <f t="shared" si="366"/>
        <v>0.36633703717699873</v>
      </c>
      <c r="X705" s="843">
        <f t="shared" si="367"/>
        <v>0.79358931242628838</v>
      </c>
      <c r="Y705" s="843">
        <f t="shared" si="368"/>
        <v>0.83468224929137091</v>
      </c>
      <c r="Z705" s="843">
        <f t="shared" si="369"/>
        <v>0.42300096241880641</v>
      </c>
      <c r="AA705" s="843">
        <f t="shared" si="370"/>
        <v>0.62175043877742064</v>
      </c>
      <c r="AB705" s="796">
        <f t="shared" si="371"/>
        <v>2</v>
      </c>
      <c r="AC705" s="797">
        <f t="shared" si="372"/>
        <v>5</v>
      </c>
      <c r="AD705" s="797">
        <f t="shared" si="373"/>
        <v>1</v>
      </c>
      <c r="AE705" s="842">
        <f t="shared" si="374"/>
        <v>3</v>
      </c>
      <c r="AF705" s="842">
        <f t="shared" si="375"/>
        <v>3</v>
      </c>
      <c r="AG705" s="842">
        <f t="shared" si="376"/>
        <v>1</v>
      </c>
      <c r="AH705" s="842">
        <f t="shared" si="377"/>
        <v>2</v>
      </c>
      <c r="AI705" s="826" cm="1">
        <f t="array" ref="AI705">SUMPRODUCT(--ISNUMBER($U705:$AA705),$AB$3:$AH$3)</f>
        <v>1</v>
      </c>
      <c r="AJ705" s="829">
        <f t="shared" si="378"/>
        <v>28.980970678542207</v>
      </c>
      <c r="AK705" s="827" t="str">
        <f t="shared" si="379"/>
        <v>Inmadura</v>
      </c>
      <c r="AL705" s="784" t="str">
        <f t="shared" si="380"/>
        <v>Alta</v>
      </c>
      <c r="AM705" s="799">
        <f>IF(ISNUMBER('Base de datos Rutas'!W703),'Base de datos Rutas'!W703,"")</f>
        <v>3641.9429094456564</v>
      </c>
      <c r="AN705" s="787">
        <f>IFERROR(SUMIFS('Base de datos Rutas'!$W$6:$W$794,'Base de datos Rutas'!$C$6:$C$794,$C705)/'Base de datos Rutas'!I703,"")</f>
        <v>3641.9429094456527</v>
      </c>
      <c r="AO705" s="800">
        <f>IFERROR('Base de datos Rutas'!X703*AN705/AM705,"")</f>
        <v>0.35679725951519109</v>
      </c>
      <c r="AP705" s="800">
        <f t="shared" si="381"/>
        <v>0.64320274048480885</v>
      </c>
      <c r="AQ705" s="789">
        <f>IFERROR(INDEX('Hoja de apoyo v2'!$J$17:$J$20,MATCH($A705,'Hoja de apoyo v2'!$A$17:$A$20,0)),"")</f>
        <v>0.64320274048480885</v>
      </c>
      <c r="AR705" s="789">
        <f t="shared" si="382"/>
        <v>0</v>
      </c>
      <c r="AS705" s="784" t="str">
        <f t="shared" si="383"/>
        <v>No</v>
      </c>
      <c r="AT705" s="801" t="str">
        <f>IF(ISNUMBER('Base de datos Rutas'!CK703),'Base de datos Rutas'!CK703,"")</f>
        <v/>
      </c>
      <c r="AU705" s="802" t="str">
        <f>IF(ISNUMBER('Base de datos Rutas'!CL703),'Base de datos Rutas'!CL703,"")</f>
        <v/>
      </c>
      <c r="AV705" s="802">
        <f>IF(ISNUMBER('Base de datos Rutas'!CM703),'Base de datos Rutas'!CM703,"")</f>
        <v>0</v>
      </c>
      <c r="AW705" s="802" t="str">
        <f>IF(ISNUMBER('Base de datos Rutas'!CN703),'Base de datos Rutas'!CN703,"")</f>
        <v/>
      </c>
      <c r="AX705" s="802" t="str">
        <f>IF(ISNUMBER('Base de datos Rutas'!CO703),'Base de datos Rutas'!CO703,"")</f>
        <v/>
      </c>
      <c r="AY705" s="802">
        <f>IF(ISNUMBER('Base de datos Rutas'!CP703),'Base de datos Rutas'!CP703,"")</f>
        <v>0</v>
      </c>
      <c r="AZ705" s="802" t="str">
        <f>IF(ISNUMBER('Base de datos Rutas'!CQ703),'Base de datos Rutas'!CQ703,"")</f>
        <v/>
      </c>
      <c r="BA705" s="802" t="str">
        <f>IF(ISNUMBER('Base de datos Rutas'!CR703),'Base de datos Rutas'!CR703,"")</f>
        <v/>
      </c>
      <c r="BB705" s="803">
        <f>IF(ISNUMBER('Base de datos Rutas'!CS703),'Base de datos Rutas'!CS703,"")</f>
        <v>0</v>
      </c>
      <c r="BC705" s="804" t="str">
        <f t="shared" si="393"/>
        <v/>
      </c>
      <c r="BD705" s="805" t="str">
        <f t="shared" si="394"/>
        <v>N/D</v>
      </c>
      <c r="BE705" s="806" t="str">
        <f t="shared" si="395"/>
        <v/>
      </c>
      <c r="BF705" s="890" t="str">
        <f>IF(ISNUMBER('Base de datos Rutas'!CX703),'Base de datos Rutas'!CX703/100,"")</f>
        <v/>
      </c>
      <c r="BG705" s="891" t="str">
        <f>IF(ISNUMBER('Base de datos Rutas'!CZ703),'Base de datos Rutas'!CZ703/100,"")</f>
        <v/>
      </c>
      <c r="BH705" s="892" t="str">
        <f>IF(ISNUMBER('Base de datos Rutas'!DA703),'Base de datos Rutas'!DA703,"")</f>
        <v/>
      </c>
      <c r="BI705" s="893" t="str">
        <f>IF(ISNUMBER('Base de datos Rutas'!DC703),'Base de datos Rutas'!DC703,"")</f>
        <v/>
      </c>
      <c r="BJ705" s="805" t="str">
        <f t="shared" si="396"/>
        <v>Sin dato</v>
      </c>
      <c r="BK705" s="783">
        <f t="shared" si="384"/>
        <v>0</v>
      </c>
      <c r="BL705" s="797">
        <f t="shared" si="385"/>
        <v>0</v>
      </c>
      <c r="BM705" s="797">
        <f t="shared" si="386"/>
        <v>0</v>
      </c>
      <c r="BN705" s="797">
        <f t="shared" si="387"/>
        <v>0</v>
      </c>
      <c r="BO705" s="798" cm="1">
        <f t="array" ref="BO705">SUMPRODUCT(--ISNUMBER($BF705:$BI705),$BK$3:$BN$3)</f>
        <v>0</v>
      </c>
      <c r="BP705" s="831" t="str">
        <f t="shared" si="397"/>
        <v/>
      </c>
      <c r="BQ705" s="834" t="str">
        <f t="shared" si="398"/>
        <v>Sin datos</v>
      </c>
      <c r="BR705" s="836" t="str">
        <f t="shared" si="388"/>
        <v/>
      </c>
      <c r="BS705" s="836" t="str">
        <f t="shared" si="389"/>
        <v/>
      </c>
      <c r="BT705" s="837" t="str">
        <f t="shared" si="390"/>
        <v>Sin datos</v>
      </c>
      <c r="BU705" s="807" t="str">
        <f t="shared" si="399"/>
        <v>Con espacio</v>
      </c>
      <c r="BV705" s="807" t="str">
        <f t="shared" si="391"/>
        <v>Sin datos de zona</v>
      </c>
      <c r="BW705" s="808" t="str">
        <f t="shared" si="392"/>
        <v>Sin datos</v>
      </c>
    </row>
    <row r="706" spans="1:75">
      <c r="A706" s="780" t="str">
        <f>'Base de datos Rutas'!A704</f>
        <v>Occidente</v>
      </c>
      <c r="B706" s="781" t="str">
        <f>'Base de datos Rutas'!B704</f>
        <v>San Luis</v>
      </c>
      <c r="C706" s="781" t="str">
        <f>'Base de datos Rutas'!C704</f>
        <v>Planta San Luis</v>
      </c>
      <c r="D706" s="782">
        <f>IF(ISNUMBER('Base de datos Rutas'!D704),'Base de datos Rutas'!D704,"Sin código")</f>
        <v>916351</v>
      </c>
      <c r="E706" s="783" t="str">
        <f>'Base de datos Rutas'!F704</f>
        <v>Activa</v>
      </c>
      <c r="F706" s="784" t="str">
        <f>'Base de datos Rutas'!H704</f>
        <v>Sí</v>
      </c>
      <c r="G706" s="785">
        <f>IF(ISNUMBER('Base de datos Rutas'!BE704),'Base de datos Rutas'!BE704,"")</f>
        <v>65.942791762013698</v>
      </c>
      <c r="H706" s="786">
        <f>IF(ISNUMBER('Base de datos Rutas'!BH704),'Base de datos Rutas'!BH704,"")</f>
        <v>0.71166325432904198</v>
      </c>
      <c r="I706" s="788">
        <f>IFERROR(IF(OR(NOT(ISNUMBER('Base de datos Rutas'!O704)),N('Base de datos Rutas'!BK704)=0),"",'Base de datos Rutas'!O704/('Base de datos Rutas'!L704/'Base de datos Rutas'!BK704)),"")</f>
        <v>6850.336384439358</v>
      </c>
      <c r="J706" s="788">
        <f>IFERROR(IF(OR(NOT(ISNUMBER('Base de datos Rutas'!N704)),N('Base de datos Rutas'!BK704)=0),"",'Base de datos Rutas'!N704/('Base de datos Rutas'!L704/'Base de datos Rutas'!BK704)),"")</f>
        <v>9504.6384439359263</v>
      </c>
      <c r="K706" s="788">
        <f>IFERROR(IF(OR(NOT(ISNUMBER('Base de datos Rutas'!J704)),N('Base de datos Rutas'!BK704)=0),"",'Base de datos Rutas'!J704/('Base de datos Rutas'!L704/'Base de datos Rutas'!BK704)),"")</f>
        <v>635.36196796338663</v>
      </c>
      <c r="L706" s="788">
        <f>IFERROR(IF(OR(NOT(ISNUMBER('Base de datos Rutas'!K704)),N('Base de datos Rutas'!BK704)=0),"",'Base de datos Rutas'!K704/('Base de datos Rutas'!L704/'Base de datos Rutas'!BK704)),"")</f>
        <v>45.276928967963386</v>
      </c>
      <c r="M706" s="787">
        <f>IF(ISNUMBER('Base de datos Rutas'!AX704),'Base de datos Rutas'!AX704,"")</f>
        <v>348.504193973084</v>
      </c>
      <c r="N706" s="790">
        <f>IFERROR(INDEX('Hoja de apoyo v2'!B$17:B$20,MATCH($A706,'Hoja de apoyo v2'!$A$17:$A$20,0)),"")</f>
        <v>89.41621024641401</v>
      </c>
      <c r="O706" s="791">
        <f>IFERROR(INDEX('Hoja de apoyo v2'!C$17:C$20,MATCH($A706,'Hoja de apoyo v2'!$A$17:$A$20,0)),"")</f>
        <v>0.54706375874806301</v>
      </c>
      <c r="P706" s="793">
        <f>IFERROR(INDEX('Hoja de apoyo v2'!D$17:D$20,MATCH($A706,'Hoja de apoyo v2'!$A$17:$A$20,0)),"")</f>
        <v>11095.153935793827</v>
      </c>
      <c r="Q706" s="793">
        <f>IFERROR(INDEX('Hoja de apoyo v2'!E$17:E$20,MATCH($A706,'Hoja de apoyo v2'!$A$17:$A$20,0)),"")</f>
        <v>6982.3202019701848</v>
      </c>
      <c r="R706" s="793">
        <f>IFERROR(INDEX('Hoja de apoyo v2'!F$17:F$20,MATCH($A706,'Hoja de apoyo v2'!$A$17:$A$20,0)),"")</f>
        <v>448.09513474485743</v>
      </c>
      <c r="S706" s="793">
        <f>IFERROR(INDEX('Hoja de apoyo v2'!G$17:G$20,MATCH($A706,'Hoja de apoyo v2'!$A$17:$A$20,0)),"")</f>
        <v>83.406300904207839</v>
      </c>
      <c r="T706" s="792">
        <f>IFERROR(INDEX('Hoja de apoyo v2'!H$17:H$20,MATCH($A706,'Hoja de apoyo v2'!$A$17:$A$20,0)),"")</f>
        <v>378.97014028925349</v>
      </c>
      <c r="U706" s="794">
        <f t="shared" si="364"/>
        <v>0.73748139828659642</v>
      </c>
      <c r="V706" s="795">
        <f t="shared" si="365"/>
        <v>1.3008780840420857</v>
      </c>
      <c r="W706" s="795">
        <f t="shared" si="366"/>
        <v>0.61741697538234608</v>
      </c>
      <c r="X706" s="843">
        <f t="shared" si="367"/>
        <v>1.3612435650335866</v>
      </c>
      <c r="Y706" s="843">
        <f t="shared" si="368"/>
        <v>1.417917577536649</v>
      </c>
      <c r="Z706" s="843">
        <f t="shared" si="369"/>
        <v>0.54284782417054978</v>
      </c>
      <c r="AA706" s="843">
        <f t="shared" si="370"/>
        <v>0.91960858369233001</v>
      </c>
      <c r="AB706" s="796">
        <f t="shared" si="371"/>
        <v>2</v>
      </c>
      <c r="AC706" s="797">
        <f t="shared" si="372"/>
        <v>5</v>
      </c>
      <c r="AD706" s="797">
        <f t="shared" si="373"/>
        <v>2</v>
      </c>
      <c r="AE706" s="842">
        <f t="shared" si="374"/>
        <v>5</v>
      </c>
      <c r="AF706" s="842">
        <f t="shared" si="375"/>
        <v>5</v>
      </c>
      <c r="AG706" s="842">
        <f t="shared" si="376"/>
        <v>2</v>
      </c>
      <c r="AH706" s="842">
        <f t="shared" si="377"/>
        <v>3</v>
      </c>
      <c r="AI706" s="826" cm="1">
        <f t="array" ref="AI706">SUMPRODUCT(--ISNUMBER($U706:$AA706),$AB$3:$AH$3)</f>
        <v>1</v>
      </c>
      <c r="AJ706" s="829">
        <f t="shared" si="378"/>
        <v>53.399921072773459</v>
      </c>
      <c r="AK706" s="827" t="str">
        <f t="shared" si="379"/>
        <v>En desarrollo</v>
      </c>
      <c r="AL706" s="784" t="str">
        <f t="shared" si="380"/>
        <v>Alta</v>
      </c>
      <c r="AM706" s="799">
        <f>IF(ISNUMBER('Base de datos Rutas'!W704),'Base de datos Rutas'!W704,"")</f>
        <v>3641.9429094456564</v>
      </c>
      <c r="AN706" s="787">
        <f>IFERROR(SUMIFS('Base de datos Rutas'!$W$6:$W$794,'Base de datos Rutas'!$C$6:$C$794,$C706)/'Base de datos Rutas'!I704,"")</f>
        <v>3641.9429094456527</v>
      </c>
      <c r="AO706" s="800">
        <f>IFERROR('Base de datos Rutas'!X704*AN706/AM706,"")</f>
        <v>0.35679725951519109</v>
      </c>
      <c r="AP706" s="800">
        <f t="shared" si="381"/>
        <v>0.64320274048480885</v>
      </c>
      <c r="AQ706" s="789">
        <f>IFERROR(INDEX('Hoja de apoyo v2'!$J$17:$J$20,MATCH($A706,'Hoja de apoyo v2'!$A$17:$A$20,0)),"")</f>
        <v>0.64320274048480885</v>
      </c>
      <c r="AR706" s="789">
        <f t="shared" si="382"/>
        <v>0</v>
      </c>
      <c r="AS706" s="784" t="str">
        <f t="shared" si="383"/>
        <v>No</v>
      </c>
      <c r="AT706" s="801">
        <f>IF(ISNUMBER('Base de datos Rutas'!CK704),'Base de datos Rutas'!CK704,"")</f>
        <v>374</v>
      </c>
      <c r="AU706" s="802">
        <f>IF(ISNUMBER('Base de datos Rutas'!CL704),'Base de datos Rutas'!CL704,"")</f>
        <v>441.91</v>
      </c>
      <c r="AV706" s="802">
        <f>IF(ISNUMBER('Base de datos Rutas'!CM704),'Base de datos Rutas'!CM704,"")</f>
        <v>67.910000000000025</v>
      </c>
      <c r="AW706" s="802">
        <f>IF(ISNUMBER('Base de datos Rutas'!CN704),'Base de datos Rutas'!CN704,"")</f>
        <v>8.9600000000000009</v>
      </c>
      <c r="AX706" s="802">
        <f>IF(ISNUMBER('Base de datos Rutas'!CO704),'Base de datos Rutas'!CO704,"")</f>
        <v>9.4499999999999993</v>
      </c>
      <c r="AY706" s="802">
        <f>IF(ISNUMBER('Base de datos Rutas'!CP704),'Base de datos Rutas'!CP704,"")</f>
        <v>0.48999999999999844</v>
      </c>
      <c r="AZ706" s="802">
        <f>IF(ISNUMBER('Base de datos Rutas'!CQ704),'Base de datos Rutas'!CQ704,"")</f>
        <v>846.56</v>
      </c>
      <c r="BA706" s="802">
        <f>IF(ISNUMBER('Base de datos Rutas'!CR704),'Base de datos Rutas'!CR704,"")</f>
        <v>680.64</v>
      </c>
      <c r="BB706" s="803">
        <f>IF(ISNUMBER('Base de datos Rutas'!CS704),'Base de datos Rutas'!CS704,"")</f>
        <v>165.91999999999996</v>
      </c>
      <c r="BC706" s="804">
        <f t="shared" si="393"/>
        <v>0</v>
      </c>
      <c r="BD706" s="805" t="str">
        <f t="shared" si="394"/>
        <v>No saturada</v>
      </c>
      <c r="BE706" s="806">
        <f t="shared" si="395"/>
        <v>0.80400680400680402</v>
      </c>
      <c r="BF706" s="890">
        <f>IF(ISNUMBER('Base de datos Rutas'!CX704),'Base de datos Rutas'!CX704/100,"")</f>
        <v>0.97495020287716716</v>
      </c>
      <c r="BG706" s="891">
        <f>IF(ISNUMBER('Base de datos Rutas'!CZ704),'Base de datos Rutas'!CZ704/100,"")</f>
        <v>1</v>
      </c>
      <c r="BH706" s="892">
        <f>IF(ISNUMBER('Base de datos Rutas'!DA704),'Base de datos Rutas'!DA704,"")</f>
        <v>414.43413424688094</v>
      </c>
      <c r="BI706" s="893">
        <f>IF(ISNUMBER('Base de datos Rutas'!DC704),'Base de datos Rutas'!DC704,"")</f>
        <v>17.26730984450738</v>
      </c>
      <c r="BJ706" s="805" t="str">
        <f t="shared" si="396"/>
        <v>Ruta (completo)</v>
      </c>
      <c r="BK706" s="783">
        <f t="shared" si="384"/>
        <v>5</v>
      </c>
      <c r="BL706" s="797">
        <f t="shared" si="385"/>
        <v>4</v>
      </c>
      <c r="BM706" s="797">
        <f t="shared" si="386"/>
        <v>4</v>
      </c>
      <c r="BN706" s="797">
        <f t="shared" si="387"/>
        <v>4</v>
      </c>
      <c r="BO706" s="798" cm="1">
        <f t="array" ref="BO706">SUMPRODUCT(--ISNUMBER($BF706:$BI706),$BK$3:$BN$3)</f>
        <v>1</v>
      </c>
      <c r="BP706" s="831">
        <f t="shared" si="397"/>
        <v>81.25</v>
      </c>
      <c r="BQ706" s="834" t="str">
        <f t="shared" si="398"/>
        <v>Alto</v>
      </c>
      <c r="BR706" s="836">
        <f t="shared" si="388"/>
        <v>40.049940804580096</v>
      </c>
      <c r="BS706" s="836">
        <f t="shared" si="389"/>
        <v>81.25</v>
      </c>
      <c r="BT706" s="837" t="str">
        <f t="shared" si="390"/>
        <v>P1</v>
      </c>
      <c r="BU706" s="807" t="str">
        <f t="shared" si="399"/>
        <v>Con espacio</v>
      </c>
      <c r="BV706" s="807" t="str">
        <f t="shared" si="391"/>
        <v>Zona atractiva</v>
      </c>
      <c r="BW706" s="808" t="str">
        <f t="shared" si="392"/>
        <v>P1 - Ampliar cobertura</v>
      </c>
    </row>
    <row r="707" spans="1:75">
      <c r="A707" s="780" t="str">
        <f>'Base de datos Rutas'!A705</f>
        <v>Occidente</v>
      </c>
      <c r="B707" s="781" t="str">
        <f>'Base de datos Rutas'!B705</f>
        <v>San Luis</v>
      </c>
      <c r="C707" s="781" t="str">
        <f>'Base de datos Rutas'!C705</f>
        <v>Planta San Luis</v>
      </c>
      <c r="D707" s="782">
        <f>IF(ISNUMBER('Base de datos Rutas'!D705),'Base de datos Rutas'!D705,"Sin código")</f>
        <v>916352</v>
      </c>
      <c r="E707" s="783" t="str">
        <f>'Base de datos Rutas'!F705</f>
        <v>Activa</v>
      </c>
      <c r="F707" s="784" t="str">
        <f>'Base de datos Rutas'!H705</f>
        <v>Sí</v>
      </c>
      <c r="G707" s="785">
        <f>IF(ISNUMBER('Base de datos Rutas'!BE705),'Base de datos Rutas'!BE705,"")</f>
        <v>64.899082568807302</v>
      </c>
      <c r="H707" s="786">
        <f>IF(ISNUMBER('Base de datos Rutas'!BH705),'Base de datos Rutas'!BH705,"")</f>
        <v>0.71508340401470205</v>
      </c>
      <c r="I707" s="788">
        <f>IFERROR(IF(OR(NOT(ISNUMBER('Base de datos Rutas'!O705)),N('Base de datos Rutas'!BK705)=0),"",'Base de datos Rutas'!O705/('Base de datos Rutas'!L705/'Base de datos Rutas'!BK705)),"")</f>
        <v>6067.2729357798207</v>
      </c>
      <c r="J707" s="788">
        <f>IFERROR(IF(OR(NOT(ISNUMBER('Base de datos Rutas'!N705)),N('Base de datos Rutas'!BK705)=0),"",'Base de datos Rutas'!N705/('Base de datos Rutas'!L705/'Base de datos Rutas'!BK705)),"")</f>
        <v>7167.7362385321148</v>
      </c>
      <c r="K707" s="788">
        <f>IFERROR(IF(OR(NOT(ISNUMBER('Base de datos Rutas'!J705)),N('Base de datos Rutas'!BK705)=0),"",'Base de datos Rutas'!J705/('Base de datos Rutas'!L705/'Base de datos Rutas'!BK705)),"")</f>
        <v>485.46912477064251</v>
      </c>
      <c r="L707" s="788">
        <f>IFERROR(IF(OR(NOT(ISNUMBER('Base de datos Rutas'!K705)),N('Base de datos Rutas'!BK705)=0),"",'Base de datos Rutas'!K705/('Base de datos Rutas'!L705/'Base de datos Rutas'!BK705)),"")</f>
        <v>43.520377557339472</v>
      </c>
      <c r="M707" s="787">
        <f>IF(ISNUMBER('Base de datos Rutas'!AX705),'Base de datos Rutas'!AX705,"")</f>
        <v>285.18648117030801</v>
      </c>
      <c r="N707" s="790">
        <f>IFERROR(INDEX('Hoja de apoyo v2'!B$17:B$20,MATCH($A707,'Hoja de apoyo v2'!$A$17:$A$20,0)),"")</f>
        <v>89.41621024641401</v>
      </c>
      <c r="O707" s="791">
        <f>IFERROR(INDEX('Hoja de apoyo v2'!C$17:C$20,MATCH($A707,'Hoja de apoyo v2'!$A$17:$A$20,0)),"")</f>
        <v>0.54706375874806301</v>
      </c>
      <c r="P707" s="793">
        <f>IFERROR(INDEX('Hoja de apoyo v2'!D$17:D$20,MATCH($A707,'Hoja de apoyo v2'!$A$17:$A$20,0)),"")</f>
        <v>11095.153935793827</v>
      </c>
      <c r="Q707" s="793">
        <f>IFERROR(INDEX('Hoja de apoyo v2'!E$17:E$20,MATCH($A707,'Hoja de apoyo v2'!$A$17:$A$20,0)),"")</f>
        <v>6982.3202019701848</v>
      </c>
      <c r="R707" s="793">
        <f>IFERROR(INDEX('Hoja de apoyo v2'!F$17:F$20,MATCH($A707,'Hoja de apoyo v2'!$A$17:$A$20,0)),"")</f>
        <v>448.09513474485743</v>
      </c>
      <c r="S707" s="793">
        <f>IFERROR(INDEX('Hoja de apoyo v2'!G$17:G$20,MATCH($A707,'Hoja de apoyo v2'!$A$17:$A$20,0)),"")</f>
        <v>83.406300904207839</v>
      </c>
      <c r="T707" s="792">
        <f>IFERROR(INDEX('Hoja de apoyo v2'!H$17:H$20,MATCH($A707,'Hoja de apoyo v2'!$A$17:$A$20,0)),"")</f>
        <v>378.97014028925349</v>
      </c>
      <c r="U707" s="794">
        <f t="shared" si="364"/>
        <v>0.72580891529575919</v>
      </c>
      <c r="V707" s="795">
        <f t="shared" si="365"/>
        <v>1.3071299141642034</v>
      </c>
      <c r="W707" s="795">
        <f t="shared" si="366"/>
        <v>0.54683990604279298</v>
      </c>
      <c r="X707" s="843">
        <f t="shared" si="367"/>
        <v>1.0265550749892007</v>
      </c>
      <c r="Y707" s="843">
        <f t="shared" si="368"/>
        <v>1.0834063731735575</v>
      </c>
      <c r="Z707" s="843">
        <f t="shared" si="369"/>
        <v>0.52178764776203945</v>
      </c>
      <c r="AA707" s="843">
        <f t="shared" si="370"/>
        <v>0.75253021505239437</v>
      </c>
      <c r="AB707" s="796">
        <f t="shared" si="371"/>
        <v>2</v>
      </c>
      <c r="AC707" s="797">
        <f t="shared" si="372"/>
        <v>5</v>
      </c>
      <c r="AD707" s="797">
        <f t="shared" si="373"/>
        <v>2</v>
      </c>
      <c r="AE707" s="842">
        <f t="shared" si="374"/>
        <v>4</v>
      </c>
      <c r="AF707" s="842">
        <f t="shared" si="375"/>
        <v>4</v>
      </c>
      <c r="AG707" s="842">
        <f t="shared" si="376"/>
        <v>2</v>
      </c>
      <c r="AH707" s="842">
        <f t="shared" si="377"/>
        <v>3</v>
      </c>
      <c r="AI707" s="826" cm="1">
        <f t="array" ref="AI707">SUMPRODUCT(--ISNUMBER($U707:$AA707),$AB$3:$AH$3)</f>
        <v>1</v>
      </c>
      <c r="AJ707" s="829">
        <f t="shared" si="378"/>
        <v>47.064428914514977</v>
      </c>
      <c r="AK707" s="827" t="str">
        <f t="shared" si="379"/>
        <v>En desarrollo</v>
      </c>
      <c r="AL707" s="784" t="str">
        <f t="shared" si="380"/>
        <v>Alta</v>
      </c>
      <c r="AM707" s="799">
        <f>IF(ISNUMBER('Base de datos Rutas'!W705),'Base de datos Rutas'!W705,"")</f>
        <v>3641.9429094456564</v>
      </c>
      <c r="AN707" s="787">
        <f>IFERROR(SUMIFS('Base de datos Rutas'!$W$6:$W$794,'Base de datos Rutas'!$C$6:$C$794,$C707)/'Base de datos Rutas'!I705,"")</f>
        <v>3641.9429094456527</v>
      </c>
      <c r="AO707" s="800">
        <f>IFERROR('Base de datos Rutas'!X705*AN707/AM707,"")</f>
        <v>0.35679725951519109</v>
      </c>
      <c r="AP707" s="800">
        <f t="shared" si="381"/>
        <v>0.64320274048480885</v>
      </c>
      <c r="AQ707" s="789">
        <f>IFERROR(INDEX('Hoja de apoyo v2'!$J$17:$J$20,MATCH($A707,'Hoja de apoyo v2'!$A$17:$A$20,0)),"")</f>
        <v>0.64320274048480885</v>
      </c>
      <c r="AR707" s="789">
        <f t="shared" si="382"/>
        <v>0</v>
      </c>
      <c r="AS707" s="784" t="str">
        <f t="shared" si="383"/>
        <v>No</v>
      </c>
      <c r="AT707" s="801">
        <f>IF(ISNUMBER('Base de datos Rutas'!CK705),'Base de datos Rutas'!CK705,"")</f>
        <v>392</v>
      </c>
      <c r="AU707" s="802">
        <f>IF(ISNUMBER('Base de datos Rutas'!CL705),'Base de datos Rutas'!CL705,"")</f>
        <v>415.4</v>
      </c>
      <c r="AV707" s="802">
        <f>IF(ISNUMBER('Base de datos Rutas'!CM705),'Base de datos Rutas'!CM705,"")</f>
        <v>23.399999999999977</v>
      </c>
      <c r="AW707" s="802">
        <f>IF(ISNUMBER('Base de datos Rutas'!CN705),'Base de datos Rutas'!CN705,"")</f>
        <v>9.24</v>
      </c>
      <c r="AX707" s="802">
        <f>IF(ISNUMBER('Base de datos Rutas'!CO705),'Base de datos Rutas'!CO705,"")</f>
        <v>9.4499999999999993</v>
      </c>
      <c r="AY707" s="802">
        <f>IF(ISNUMBER('Base de datos Rutas'!CP705),'Base de datos Rutas'!CP705,"")</f>
        <v>0.20999999999999908</v>
      </c>
      <c r="AZ707" s="802">
        <f>IF(ISNUMBER('Base de datos Rutas'!CQ705),'Base de datos Rutas'!CQ705,"")</f>
        <v>846.56</v>
      </c>
      <c r="BA707" s="802">
        <f>IF(ISNUMBER('Base de datos Rutas'!CR705),'Base de datos Rutas'!CR705,"")</f>
        <v>528.99</v>
      </c>
      <c r="BB707" s="803">
        <f>IF(ISNUMBER('Base de datos Rutas'!CS705),'Base de datos Rutas'!CS705,"")</f>
        <v>317.56999999999994</v>
      </c>
      <c r="BC707" s="804">
        <f t="shared" si="393"/>
        <v>0</v>
      </c>
      <c r="BD707" s="805" t="str">
        <f t="shared" si="394"/>
        <v>No saturada</v>
      </c>
      <c r="BE707" s="806">
        <f t="shared" si="395"/>
        <v>0.62487006237006237</v>
      </c>
      <c r="BF707" s="890">
        <f>IF(ISNUMBER('Base de datos Rutas'!CX705),'Base de datos Rutas'!CX705/100,"")</f>
        <v>0.99309123117803366</v>
      </c>
      <c r="BG707" s="891">
        <f>IF(ISNUMBER('Base de datos Rutas'!CZ705),'Base de datos Rutas'!CZ705/100,"")</f>
        <v>1</v>
      </c>
      <c r="BH707" s="892">
        <f>IF(ISNUMBER('Base de datos Rutas'!DA705),'Base de datos Rutas'!DA705,"")</f>
        <v>501.59178688716861</v>
      </c>
      <c r="BI707" s="893">
        <f>IF(ISNUMBER('Base de datos Rutas'!DC705),'Base de datos Rutas'!DC705,"")</f>
        <v>20.295584095707248</v>
      </c>
      <c r="BJ707" s="805" t="str">
        <f t="shared" si="396"/>
        <v>Ruta (completo)</v>
      </c>
      <c r="BK707" s="783">
        <f t="shared" si="384"/>
        <v>5</v>
      </c>
      <c r="BL707" s="797">
        <f t="shared" si="385"/>
        <v>4</v>
      </c>
      <c r="BM707" s="797">
        <f t="shared" si="386"/>
        <v>4</v>
      </c>
      <c r="BN707" s="797">
        <f t="shared" si="387"/>
        <v>4</v>
      </c>
      <c r="BO707" s="798" cm="1">
        <f t="array" ref="BO707">SUMPRODUCT(--ISNUMBER($BF707:$BI707),$BK$3:$BN$3)</f>
        <v>1</v>
      </c>
      <c r="BP707" s="831">
        <f t="shared" si="397"/>
        <v>81.25</v>
      </c>
      <c r="BQ707" s="834" t="str">
        <f t="shared" si="398"/>
        <v>Alto</v>
      </c>
      <c r="BR707" s="836">
        <f t="shared" si="388"/>
        <v>35.298321685886236</v>
      </c>
      <c r="BS707" s="836">
        <f t="shared" si="389"/>
        <v>81.25</v>
      </c>
      <c r="BT707" s="837" t="str">
        <f t="shared" si="390"/>
        <v>P1</v>
      </c>
      <c r="BU707" s="807" t="str">
        <f t="shared" si="399"/>
        <v>Con espacio</v>
      </c>
      <c r="BV707" s="807" t="str">
        <f t="shared" si="391"/>
        <v>Zona atractiva</v>
      </c>
      <c r="BW707" s="808" t="str">
        <f t="shared" si="392"/>
        <v>P1 - Ampliar cobertura</v>
      </c>
    </row>
    <row r="708" spans="1:75">
      <c r="A708" s="780" t="str">
        <f>'Base de datos Rutas'!A706</f>
        <v>Occidente</v>
      </c>
      <c r="B708" s="781" t="str">
        <f>'Base de datos Rutas'!B706</f>
        <v>San Luis</v>
      </c>
      <c r="C708" s="781" t="str">
        <f>'Base de datos Rutas'!C706</f>
        <v>Planta San Luis</v>
      </c>
      <c r="D708" s="782">
        <f>IF(ISNUMBER('Base de datos Rutas'!D706),'Base de datos Rutas'!D706,"Sin código")</f>
        <v>916353</v>
      </c>
      <c r="E708" s="783" t="str">
        <f>'Base de datos Rutas'!F706</f>
        <v>Activa</v>
      </c>
      <c r="F708" s="784" t="str">
        <f>'Base de datos Rutas'!H706</f>
        <v>Sí</v>
      </c>
      <c r="G708" s="785">
        <f>IF(ISNUMBER('Base de datos Rutas'!BE706),'Base de datos Rutas'!BE706,"")</f>
        <v>88.4</v>
      </c>
      <c r="H708" s="786">
        <f>IF(ISNUMBER('Base de datos Rutas'!BH706),'Base de datos Rutas'!BH706,"")</f>
        <v>0.45451708534872798</v>
      </c>
      <c r="I708" s="788">
        <f>IFERROR(IF(OR(NOT(ISNUMBER('Base de datos Rutas'!O706)),N('Base de datos Rutas'!BK706)=0),"",'Base de datos Rutas'!O706/('Base de datos Rutas'!L706/'Base de datos Rutas'!BK706)),"")</f>
        <v>4026.1287356321914</v>
      </c>
      <c r="J708" s="788">
        <f>IFERROR(IF(OR(NOT(ISNUMBER('Base de datos Rutas'!N706)),N('Base de datos Rutas'!BK706)=0),"",'Base de datos Rutas'!N706/('Base de datos Rutas'!L706/'Base de datos Rutas'!BK706)),"")</f>
        <v>7481.7172413793242</v>
      </c>
      <c r="K708" s="788">
        <f>IFERROR(IF(OR(NOT(ISNUMBER('Base de datos Rutas'!J706)),N('Base de datos Rutas'!BK706)=0),"",'Base de datos Rutas'!J706/('Base de datos Rutas'!L706/'Base de datos Rutas'!BK706)),"")</f>
        <v>505.21742712643544</v>
      </c>
      <c r="L708" s="788">
        <f>IFERROR(IF(OR(NOT(ISNUMBER('Base de datos Rutas'!K706)),N('Base de datos Rutas'!BK706)=0),"",'Base de datos Rutas'!K706/('Base de datos Rutas'!L706/'Base de datos Rutas'!BK706)),"")</f>
        <v>36.162052068965586</v>
      </c>
      <c r="M708" s="787">
        <f>IF(ISNUMBER('Base de datos Rutas'!AX706),'Base de datos Rutas'!AX706,"")</f>
        <v>286.412167296029</v>
      </c>
      <c r="N708" s="790">
        <f>IFERROR(INDEX('Hoja de apoyo v2'!B$17:B$20,MATCH($A708,'Hoja de apoyo v2'!$A$17:$A$20,0)),"")</f>
        <v>89.41621024641401</v>
      </c>
      <c r="O708" s="791">
        <f>IFERROR(INDEX('Hoja de apoyo v2'!C$17:C$20,MATCH($A708,'Hoja de apoyo v2'!$A$17:$A$20,0)),"")</f>
        <v>0.54706375874806301</v>
      </c>
      <c r="P708" s="793">
        <f>IFERROR(INDEX('Hoja de apoyo v2'!D$17:D$20,MATCH($A708,'Hoja de apoyo v2'!$A$17:$A$20,0)),"")</f>
        <v>11095.153935793827</v>
      </c>
      <c r="Q708" s="793">
        <f>IFERROR(INDEX('Hoja de apoyo v2'!E$17:E$20,MATCH($A708,'Hoja de apoyo v2'!$A$17:$A$20,0)),"")</f>
        <v>6982.3202019701848</v>
      </c>
      <c r="R708" s="793">
        <f>IFERROR(INDEX('Hoja de apoyo v2'!F$17:F$20,MATCH($A708,'Hoja de apoyo v2'!$A$17:$A$20,0)),"")</f>
        <v>448.09513474485743</v>
      </c>
      <c r="S708" s="793">
        <f>IFERROR(INDEX('Hoja de apoyo v2'!G$17:G$20,MATCH($A708,'Hoja de apoyo v2'!$A$17:$A$20,0)),"")</f>
        <v>83.406300904207839</v>
      </c>
      <c r="T708" s="792">
        <f>IFERROR(INDEX('Hoja de apoyo v2'!H$17:H$20,MATCH($A708,'Hoja de apoyo v2'!$A$17:$A$20,0)),"")</f>
        <v>378.97014028925349</v>
      </c>
      <c r="U708" s="794">
        <f t="shared" si="364"/>
        <v>0.98863505572855837</v>
      </c>
      <c r="V708" s="795">
        <f t="shared" si="365"/>
        <v>0.83083018767113181</v>
      </c>
      <c r="W708" s="795">
        <f t="shared" si="366"/>
        <v>0.36287272433810835</v>
      </c>
      <c r="X708" s="843">
        <f t="shared" si="367"/>
        <v>1.0715230790000472</v>
      </c>
      <c r="Y708" s="843">
        <f t="shared" si="368"/>
        <v>1.1274780464066032</v>
      </c>
      <c r="Z708" s="843">
        <f t="shared" si="369"/>
        <v>0.43356499061740805</v>
      </c>
      <c r="AA708" s="843">
        <f t="shared" si="370"/>
        <v>0.755764470196574</v>
      </c>
      <c r="AB708" s="796">
        <f t="shared" si="371"/>
        <v>3</v>
      </c>
      <c r="AC708" s="797">
        <f t="shared" si="372"/>
        <v>3</v>
      </c>
      <c r="AD708" s="797">
        <f t="shared" si="373"/>
        <v>1</v>
      </c>
      <c r="AE708" s="842">
        <f t="shared" si="374"/>
        <v>4</v>
      </c>
      <c r="AF708" s="842">
        <f t="shared" si="375"/>
        <v>4</v>
      </c>
      <c r="AG708" s="842">
        <f t="shared" si="376"/>
        <v>1</v>
      </c>
      <c r="AH708" s="842">
        <f t="shared" si="377"/>
        <v>3</v>
      </c>
      <c r="AI708" s="826" cm="1">
        <f t="array" ref="AI708">SUMPRODUCT(--ISNUMBER($U708:$AA708),$AB$3:$AH$3)</f>
        <v>1</v>
      </c>
      <c r="AJ708" s="829">
        <f t="shared" si="378"/>
        <v>37.32901568348305</v>
      </c>
      <c r="AK708" s="827" t="str">
        <f t="shared" si="379"/>
        <v>Inmadura</v>
      </c>
      <c r="AL708" s="784" t="str">
        <f t="shared" si="380"/>
        <v>Alta</v>
      </c>
      <c r="AM708" s="799">
        <f>IF(ISNUMBER('Base de datos Rutas'!W706),'Base de datos Rutas'!W706,"")</f>
        <v>3641.9429094456564</v>
      </c>
      <c r="AN708" s="787">
        <f>IFERROR(SUMIFS('Base de datos Rutas'!$W$6:$W$794,'Base de datos Rutas'!$C$6:$C$794,$C708)/'Base de datos Rutas'!I706,"")</f>
        <v>3641.9429094456527</v>
      </c>
      <c r="AO708" s="800">
        <f>IFERROR('Base de datos Rutas'!X706*AN708/AM708,"")</f>
        <v>0.35679725951519109</v>
      </c>
      <c r="AP708" s="800">
        <f t="shared" si="381"/>
        <v>0.64320274048480885</v>
      </c>
      <c r="AQ708" s="789">
        <f>IFERROR(INDEX('Hoja de apoyo v2'!$J$17:$J$20,MATCH($A708,'Hoja de apoyo v2'!$A$17:$A$20,0)),"")</f>
        <v>0.64320274048480885</v>
      </c>
      <c r="AR708" s="789">
        <f t="shared" si="382"/>
        <v>0</v>
      </c>
      <c r="AS708" s="784" t="str">
        <f t="shared" si="383"/>
        <v>No</v>
      </c>
      <c r="AT708" s="801">
        <f>IF(ISNUMBER('Base de datos Rutas'!CK706),'Base de datos Rutas'!CK706,"")</f>
        <v>412</v>
      </c>
      <c r="AU708" s="802">
        <f>IF(ISNUMBER('Base de datos Rutas'!CL706),'Base de datos Rutas'!CL706,"")</f>
        <v>472.18</v>
      </c>
      <c r="AV708" s="802">
        <f>IF(ISNUMBER('Base de datos Rutas'!CM706),'Base de datos Rutas'!CM706,"")</f>
        <v>60.180000000000007</v>
      </c>
      <c r="AW708" s="802">
        <f>IF(ISNUMBER('Base de datos Rutas'!CN706),'Base de datos Rutas'!CN706,"")</f>
        <v>11.13</v>
      </c>
      <c r="AX708" s="802">
        <f>IF(ISNUMBER('Base de datos Rutas'!CO706),'Base de datos Rutas'!CO706,"")</f>
        <v>9.4499999999999993</v>
      </c>
      <c r="AY708" s="802">
        <f>IF(ISNUMBER('Base de datos Rutas'!CP706),'Base de datos Rutas'!CP706,"")</f>
        <v>-1.6800000000000015</v>
      </c>
      <c r="AZ708" s="802">
        <f>IF(ISNUMBER('Base de datos Rutas'!CQ706),'Base de datos Rutas'!CQ706,"")</f>
        <v>846.56</v>
      </c>
      <c r="BA708" s="802">
        <f>IF(ISNUMBER('Base de datos Rutas'!CR706),'Base de datos Rutas'!CR706,"")</f>
        <v>541.38</v>
      </c>
      <c r="BB708" s="803">
        <f>IF(ISNUMBER('Base de datos Rutas'!CS706),'Base de datos Rutas'!CS706,"")</f>
        <v>305.17999999999995</v>
      </c>
      <c r="BC708" s="804">
        <f t="shared" si="393"/>
        <v>1</v>
      </c>
      <c r="BD708" s="805" t="str">
        <f t="shared" si="394"/>
        <v>Saturada</v>
      </c>
      <c r="BE708" s="806">
        <f t="shared" si="395"/>
        <v>0.63950576450576457</v>
      </c>
      <c r="BF708" s="890">
        <f>IF(ISNUMBER('Base de datos Rutas'!CX706),'Base de datos Rutas'!CX706/100,"")</f>
        <v>0.577583589080924</v>
      </c>
      <c r="BG708" s="891">
        <f>IF(ISNUMBER('Base de datos Rutas'!CZ706),'Base de datos Rutas'!CZ706/100,"")</f>
        <v>0.58730415118720725</v>
      </c>
      <c r="BH708" s="892">
        <f>IF(ISNUMBER('Base de datos Rutas'!DA706),'Base de datos Rutas'!DA706,"")</f>
        <v>118.14874951609136</v>
      </c>
      <c r="BI708" s="893">
        <f>IF(ISNUMBER('Base de datos Rutas'!DC706),'Base de datos Rutas'!DC706,"")</f>
        <v>5.4047155896966652</v>
      </c>
      <c r="BJ708" s="805" t="str">
        <f t="shared" si="396"/>
        <v>Ruta (completo)</v>
      </c>
      <c r="BK708" s="783">
        <f t="shared" si="384"/>
        <v>3</v>
      </c>
      <c r="BL708" s="797">
        <f t="shared" si="385"/>
        <v>3</v>
      </c>
      <c r="BM708" s="797">
        <f t="shared" si="386"/>
        <v>2</v>
      </c>
      <c r="BN708" s="797">
        <f t="shared" si="387"/>
        <v>2</v>
      </c>
      <c r="BO708" s="798" cm="1">
        <f t="array" ref="BO708">SUMPRODUCT(--ISNUMBER($BF708:$BI708),$BK$3:$BN$3)</f>
        <v>1</v>
      </c>
      <c r="BP708" s="831">
        <f t="shared" si="397"/>
        <v>37.5</v>
      </c>
      <c r="BQ708" s="834" t="str">
        <f t="shared" si="398"/>
        <v>Medio</v>
      </c>
      <c r="BR708" s="836">
        <f t="shared" si="388"/>
        <v>52.996761762612287</v>
      </c>
      <c r="BS708" s="836">
        <f t="shared" si="389"/>
        <v>37.5</v>
      </c>
      <c r="BT708" s="837" t="str">
        <f t="shared" si="390"/>
        <v>P2</v>
      </c>
      <c r="BU708" s="807" t="str">
        <f t="shared" si="399"/>
        <v>Al tope</v>
      </c>
      <c r="BV708" s="807" t="str">
        <f t="shared" si="391"/>
        <v>Zona de bajo potencial</v>
      </c>
      <c r="BW708" s="808" t="str">
        <f t="shared" si="392"/>
        <v>P2 - Mantener</v>
      </c>
    </row>
    <row r="709" spans="1:75">
      <c r="A709" s="780" t="str">
        <f>'Base de datos Rutas'!A707</f>
        <v>Occidente</v>
      </c>
      <c r="B709" s="781" t="str">
        <f>'Base de datos Rutas'!B707</f>
        <v>San Luis</v>
      </c>
      <c r="C709" s="781" t="str">
        <f>'Base de datos Rutas'!C707</f>
        <v>Planta San Luis</v>
      </c>
      <c r="D709" s="782">
        <f>IF(ISNUMBER('Base de datos Rutas'!D707),'Base de datos Rutas'!D707,"Sin código")</f>
        <v>916354</v>
      </c>
      <c r="E709" s="783" t="str">
        <f>'Base de datos Rutas'!F707</f>
        <v>Activa</v>
      </c>
      <c r="F709" s="784" t="str">
        <f>'Base de datos Rutas'!H707</f>
        <v>Sí</v>
      </c>
      <c r="G709" s="785">
        <f>IF(ISNUMBER('Base de datos Rutas'!BE707),'Base de datos Rutas'!BE707,"")</f>
        <v>59.133484162895897</v>
      </c>
      <c r="H709" s="786">
        <f>IF(ISNUMBER('Base de datos Rutas'!BH707),'Base de datos Rutas'!BH707,"")</f>
        <v>0.33607529555802101</v>
      </c>
      <c r="I709" s="788">
        <f>IFERROR(IF(OR(NOT(ISNUMBER('Base de datos Rutas'!O707)),N('Base de datos Rutas'!BK707)=0),"",'Base de datos Rutas'!O707/('Base de datos Rutas'!L707/'Base de datos Rutas'!BK707)),"")</f>
        <v>3045.2013574660668</v>
      </c>
      <c r="J709" s="788">
        <f>IFERROR(IF(OR(NOT(ISNUMBER('Base de datos Rutas'!N707)),N('Base de datos Rutas'!BK707)=0),"",'Base de datos Rutas'!N707/('Base de datos Rutas'!L707/'Base de datos Rutas'!BK707)),"")</f>
        <v>5233.9660633484227</v>
      </c>
      <c r="K709" s="788">
        <f>IFERROR(IF(OR(NOT(ISNUMBER('Base de datos Rutas'!J707)),N('Base de datos Rutas'!BK707)=0),"",'Base de datos Rutas'!J707/('Base de datos Rutas'!L707/'Base de datos Rutas'!BK707)),"")</f>
        <v>357.77861538461576</v>
      </c>
      <c r="L709" s="788">
        <f>IFERROR(IF(OR(NOT(ISNUMBER('Base de datos Rutas'!K707)),N('Base de datos Rutas'!BK707)=0),"",'Base de datos Rutas'!K707/('Base de datos Rutas'!L707/'Base de datos Rutas'!BK707)),"")</f>
        <v>24.660831052036229</v>
      </c>
      <c r="M709" s="787">
        <f>IF(ISNUMBER('Base de datos Rutas'!AX707),'Base de datos Rutas'!AX707,"")</f>
        <v>416.597328096539</v>
      </c>
      <c r="N709" s="790">
        <f>IFERROR(INDEX('Hoja de apoyo v2'!B$17:B$20,MATCH($A709,'Hoja de apoyo v2'!$A$17:$A$20,0)),"")</f>
        <v>89.41621024641401</v>
      </c>
      <c r="O709" s="791">
        <f>IFERROR(INDEX('Hoja de apoyo v2'!C$17:C$20,MATCH($A709,'Hoja de apoyo v2'!$A$17:$A$20,0)),"")</f>
        <v>0.54706375874806301</v>
      </c>
      <c r="P709" s="793">
        <f>IFERROR(INDEX('Hoja de apoyo v2'!D$17:D$20,MATCH($A709,'Hoja de apoyo v2'!$A$17:$A$20,0)),"")</f>
        <v>11095.153935793827</v>
      </c>
      <c r="Q709" s="793">
        <f>IFERROR(INDEX('Hoja de apoyo v2'!E$17:E$20,MATCH($A709,'Hoja de apoyo v2'!$A$17:$A$20,0)),"")</f>
        <v>6982.3202019701848</v>
      </c>
      <c r="R709" s="793">
        <f>IFERROR(INDEX('Hoja de apoyo v2'!F$17:F$20,MATCH($A709,'Hoja de apoyo v2'!$A$17:$A$20,0)),"")</f>
        <v>448.09513474485743</v>
      </c>
      <c r="S709" s="793">
        <f>IFERROR(INDEX('Hoja de apoyo v2'!G$17:G$20,MATCH($A709,'Hoja de apoyo v2'!$A$17:$A$20,0)),"")</f>
        <v>83.406300904207839</v>
      </c>
      <c r="T709" s="792">
        <f>IFERROR(INDEX('Hoja de apoyo v2'!H$17:H$20,MATCH($A709,'Hoja de apoyo v2'!$A$17:$A$20,0)),"")</f>
        <v>378.97014028925349</v>
      </c>
      <c r="U709" s="794">
        <f t="shared" si="364"/>
        <v>0.6613284548733982</v>
      </c>
      <c r="V709" s="795">
        <f t="shared" si="365"/>
        <v>0.61432564337129192</v>
      </c>
      <c r="W709" s="795">
        <f t="shared" si="366"/>
        <v>0.27446229003114692</v>
      </c>
      <c r="X709" s="843">
        <f t="shared" si="367"/>
        <v>0.7496026982365499</v>
      </c>
      <c r="Y709" s="843">
        <f t="shared" si="368"/>
        <v>0.79844342784112721</v>
      </c>
      <c r="Z709" s="843">
        <f t="shared" si="369"/>
        <v>0.29567107981876817</v>
      </c>
      <c r="AA709" s="843">
        <f t="shared" si="370"/>
        <v>1.0992880013675117</v>
      </c>
      <c r="AB709" s="796">
        <f t="shared" si="371"/>
        <v>2</v>
      </c>
      <c r="AC709" s="797">
        <f t="shared" si="372"/>
        <v>2</v>
      </c>
      <c r="AD709" s="797">
        <f t="shared" si="373"/>
        <v>1</v>
      </c>
      <c r="AE709" s="842">
        <f t="shared" si="374"/>
        <v>2</v>
      </c>
      <c r="AF709" s="842">
        <f t="shared" si="375"/>
        <v>3</v>
      </c>
      <c r="AG709" s="842">
        <f t="shared" si="376"/>
        <v>1</v>
      </c>
      <c r="AH709" s="842">
        <f t="shared" si="377"/>
        <v>4</v>
      </c>
      <c r="AI709" s="826" cm="1">
        <f t="array" ref="AI709">SUMPRODUCT(--ISNUMBER($U709:$AA709),$AB$3:$AH$3)</f>
        <v>1</v>
      </c>
      <c r="AJ709" s="829">
        <f t="shared" si="378"/>
        <v>22.912261955305201</v>
      </c>
      <c r="AK709" s="827" t="str">
        <f t="shared" si="379"/>
        <v>Inmadura</v>
      </c>
      <c r="AL709" s="784" t="str">
        <f t="shared" si="380"/>
        <v>Alta</v>
      </c>
      <c r="AM709" s="799">
        <f>IF(ISNUMBER('Base de datos Rutas'!W707),'Base de datos Rutas'!W707,"")</f>
        <v>3641.9429094456564</v>
      </c>
      <c r="AN709" s="787">
        <f>IFERROR(SUMIFS('Base de datos Rutas'!$W$6:$W$794,'Base de datos Rutas'!$C$6:$C$794,$C709)/'Base de datos Rutas'!I707,"")</f>
        <v>3641.9429094456527</v>
      </c>
      <c r="AO709" s="800">
        <f>IFERROR('Base de datos Rutas'!X707*AN709/AM709,"")</f>
        <v>0.35679725951519109</v>
      </c>
      <c r="AP709" s="800">
        <f t="shared" si="381"/>
        <v>0.64320274048480885</v>
      </c>
      <c r="AQ709" s="789">
        <f>IFERROR(INDEX('Hoja de apoyo v2'!$J$17:$J$20,MATCH($A709,'Hoja de apoyo v2'!$A$17:$A$20,0)),"")</f>
        <v>0.64320274048480885</v>
      </c>
      <c r="AR709" s="789">
        <f t="shared" si="382"/>
        <v>0</v>
      </c>
      <c r="AS709" s="784" t="str">
        <f t="shared" si="383"/>
        <v>No</v>
      </c>
      <c r="AT709" s="801">
        <f>IF(ISNUMBER('Base de datos Rutas'!CK707),'Base de datos Rutas'!CK707,"")</f>
        <v>177</v>
      </c>
      <c r="AU709" s="802">
        <f>IF(ISNUMBER('Base de datos Rutas'!CL707),'Base de datos Rutas'!CL707,"")</f>
        <v>364.5</v>
      </c>
      <c r="AV709" s="802">
        <f>IF(ISNUMBER('Base de datos Rutas'!CM707),'Base de datos Rutas'!CM707,"")</f>
        <v>187.5</v>
      </c>
      <c r="AW709" s="802">
        <f>IF(ISNUMBER('Base de datos Rutas'!CN707),'Base de datos Rutas'!CN707,"")</f>
        <v>4.3899999999999997</v>
      </c>
      <c r="AX709" s="802">
        <f>IF(ISNUMBER('Base de datos Rutas'!CO707),'Base de datos Rutas'!CO707,"")</f>
        <v>9.4499999999999993</v>
      </c>
      <c r="AY709" s="802">
        <f>IF(ISNUMBER('Base de datos Rutas'!CP707),'Base de datos Rutas'!CP707,"")</f>
        <v>5.0599999999999996</v>
      </c>
      <c r="AZ709" s="802">
        <f>IF(ISNUMBER('Base de datos Rutas'!CQ707),'Base de datos Rutas'!CQ707,"")</f>
        <v>846.56</v>
      </c>
      <c r="BA709" s="802">
        <f>IF(ISNUMBER('Base de datos Rutas'!CR707),'Base de datos Rutas'!CR707,"")</f>
        <v>382.44</v>
      </c>
      <c r="BB709" s="803">
        <f>IF(ISNUMBER('Base de datos Rutas'!CS707),'Base de datos Rutas'!CS707,"")</f>
        <v>464.11999999999995</v>
      </c>
      <c r="BC709" s="804">
        <f t="shared" si="393"/>
        <v>0</v>
      </c>
      <c r="BD709" s="805" t="str">
        <f t="shared" si="394"/>
        <v>No saturada</v>
      </c>
      <c r="BE709" s="806">
        <f t="shared" si="395"/>
        <v>0.4517577017577018</v>
      </c>
      <c r="BF709" s="890">
        <f>IF(ISNUMBER('Base de datos Rutas'!CX707),'Base de datos Rutas'!CX707/100,"")</f>
        <v>0.74786202964652237</v>
      </c>
      <c r="BG709" s="891">
        <f>IF(ISNUMBER('Base de datos Rutas'!CZ707),'Base de datos Rutas'!CZ707/100,"")</f>
        <v>0.80131128848346633</v>
      </c>
      <c r="BH709" s="892">
        <f>IF(ISNUMBER('Base de datos Rutas'!DA707),'Base de datos Rutas'!DA707,"")</f>
        <v>513.10320660262482</v>
      </c>
      <c r="BI709" s="893">
        <f>IF(ISNUMBER('Base de datos Rutas'!DC707),'Base de datos Rutas'!DC707,"")</f>
        <v>22.810861859017724</v>
      </c>
      <c r="BJ709" s="805" t="str">
        <f t="shared" si="396"/>
        <v>Ruta (completo)</v>
      </c>
      <c r="BK709" s="783">
        <f t="shared" si="384"/>
        <v>4</v>
      </c>
      <c r="BL709" s="797">
        <f t="shared" si="385"/>
        <v>4</v>
      </c>
      <c r="BM709" s="797">
        <f t="shared" si="386"/>
        <v>5</v>
      </c>
      <c r="BN709" s="797">
        <f t="shared" si="387"/>
        <v>5</v>
      </c>
      <c r="BO709" s="798" cm="1">
        <f t="array" ref="BO709">SUMPRODUCT(--ISNUMBER($BF709:$BI709),$BK$3:$BN$3)</f>
        <v>1</v>
      </c>
      <c r="BP709" s="831">
        <f t="shared" si="397"/>
        <v>87.5</v>
      </c>
      <c r="BQ709" s="834" t="str">
        <f t="shared" si="398"/>
        <v>Alto</v>
      </c>
      <c r="BR709" s="836">
        <f t="shared" si="388"/>
        <v>17.184196466478902</v>
      </c>
      <c r="BS709" s="836">
        <f t="shared" si="389"/>
        <v>87.5</v>
      </c>
      <c r="BT709" s="837" t="str">
        <f t="shared" si="390"/>
        <v>P3</v>
      </c>
      <c r="BU709" s="807" t="str">
        <f t="shared" si="399"/>
        <v>Con espacio</v>
      </c>
      <c r="BV709" s="807" t="str">
        <f t="shared" si="391"/>
        <v>Zona atractiva</v>
      </c>
      <c r="BW709" s="808" t="str">
        <f t="shared" si="392"/>
        <v>P3 - Desarrollar</v>
      </c>
    </row>
    <row r="710" spans="1:75">
      <c r="A710" s="780" t="str">
        <f>'Base de datos Rutas'!A708</f>
        <v>Occidente</v>
      </c>
      <c r="B710" s="781" t="str">
        <f>'Base de datos Rutas'!B708</f>
        <v>San Luis</v>
      </c>
      <c r="C710" s="781" t="str">
        <f>'Base de datos Rutas'!C708</f>
        <v>Planta San Luis</v>
      </c>
      <c r="D710" s="782">
        <f>IF(ISNUMBER('Base de datos Rutas'!D708),'Base de datos Rutas'!D708,"Sin código")</f>
        <v>916355</v>
      </c>
      <c r="E710" s="783" t="str">
        <f>'Base de datos Rutas'!F708</f>
        <v>Activa</v>
      </c>
      <c r="F710" s="784" t="str">
        <f>'Base de datos Rutas'!H708</f>
        <v>Sí</v>
      </c>
      <c r="G710" s="785">
        <f>IF(ISNUMBER('Base de datos Rutas'!BE708),'Base de datos Rutas'!BE708,"")</f>
        <v>71.221967963386703</v>
      </c>
      <c r="H710" s="786">
        <f>IF(ISNUMBER('Base de datos Rutas'!BH708),'Base de datos Rutas'!BH708,"")</f>
        <v>0.54270016707364099</v>
      </c>
      <c r="I710" s="788">
        <f>IFERROR(IF(OR(NOT(ISNUMBER('Base de datos Rutas'!O708)),N('Base de datos Rutas'!BK708)=0),"",'Base de datos Rutas'!O708/('Base de datos Rutas'!L708/'Base de datos Rutas'!BK708)),"")</f>
        <v>5047.6086956521722</v>
      </c>
      <c r="J710" s="788">
        <f>IFERROR(IF(OR(NOT(ISNUMBER('Base de datos Rutas'!N708)),N('Base de datos Rutas'!BK708)=0),"",'Base de datos Rutas'!N708/('Base de datos Rutas'!L708/'Base de datos Rutas'!BK708)),"")</f>
        <v>9103.0251716247112</v>
      </c>
      <c r="K710" s="788">
        <f>IFERROR(IF(OR(NOT(ISNUMBER('Base de datos Rutas'!J708)),N('Base de datos Rutas'!BK708)=0),"",'Base de datos Rutas'!J708/('Base de datos Rutas'!L708/'Base de datos Rutas'!BK708)),"")</f>
        <v>609.6170123569791</v>
      </c>
      <c r="L710" s="788">
        <f>IFERROR(IF(OR(NOT(ISNUMBER('Base de datos Rutas'!K708)),N('Base de datos Rutas'!BK708)=0),"",'Base de datos Rutas'!K708/('Base de datos Rutas'!L708/'Base de datos Rutas'!BK708)),"")</f>
        <v>41.230657693363831</v>
      </c>
      <c r="M710" s="787">
        <f>IF(ISNUMBER('Base de datos Rutas'!AX708),'Base de datos Rutas'!AX708,"")</f>
        <v>366.102118287846</v>
      </c>
      <c r="N710" s="790">
        <f>IFERROR(INDEX('Hoja de apoyo v2'!B$17:B$20,MATCH($A710,'Hoja de apoyo v2'!$A$17:$A$20,0)),"")</f>
        <v>89.41621024641401</v>
      </c>
      <c r="O710" s="791">
        <f>IFERROR(INDEX('Hoja de apoyo v2'!C$17:C$20,MATCH($A710,'Hoja de apoyo v2'!$A$17:$A$20,0)),"")</f>
        <v>0.54706375874806301</v>
      </c>
      <c r="P710" s="793">
        <f>IFERROR(INDEX('Hoja de apoyo v2'!D$17:D$20,MATCH($A710,'Hoja de apoyo v2'!$A$17:$A$20,0)),"")</f>
        <v>11095.153935793827</v>
      </c>
      <c r="Q710" s="793">
        <f>IFERROR(INDEX('Hoja de apoyo v2'!E$17:E$20,MATCH($A710,'Hoja de apoyo v2'!$A$17:$A$20,0)),"")</f>
        <v>6982.3202019701848</v>
      </c>
      <c r="R710" s="793">
        <f>IFERROR(INDEX('Hoja de apoyo v2'!F$17:F$20,MATCH($A710,'Hoja de apoyo v2'!$A$17:$A$20,0)),"")</f>
        <v>448.09513474485743</v>
      </c>
      <c r="S710" s="793">
        <f>IFERROR(INDEX('Hoja de apoyo v2'!G$17:G$20,MATCH($A710,'Hoja de apoyo v2'!$A$17:$A$20,0)),"")</f>
        <v>83.406300904207839</v>
      </c>
      <c r="T710" s="792">
        <f>IFERROR(INDEX('Hoja de apoyo v2'!H$17:H$20,MATCH($A710,'Hoja de apoyo v2'!$A$17:$A$20,0)),"")</f>
        <v>378.97014028925349</v>
      </c>
      <c r="U710" s="794">
        <f t="shared" si="364"/>
        <v>0.79652188084366971</v>
      </c>
      <c r="V710" s="795">
        <f t="shared" si="365"/>
        <v>0.99202361405842721</v>
      </c>
      <c r="W710" s="795">
        <f t="shared" si="366"/>
        <v>0.4549381400981013</v>
      </c>
      <c r="X710" s="843">
        <f t="shared" si="367"/>
        <v>1.3037249665313446</v>
      </c>
      <c r="Y710" s="843">
        <f t="shared" si="368"/>
        <v>1.3604633594249829</v>
      </c>
      <c r="Z710" s="843">
        <f t="shared" si="369"/>
        <v>0.49433504718926757</v>
      </c>
      <c r="AA710" s="843">
        <f t="shared" si="370"/>
        <v>0.96604476017137964</v>
      </c>
      <c r="AB710" s="796">
        <f t="shared" si="371"/>
        <v>3</v>
      </c>
      <c r="AC710" s="797">
        <f t="shared" si="372"/>
        <v>3</v>
      </c>
      <c r="AD710" s="797">
        <f t="shared" si="373"/>
        <v>1</v>
      </c>
      <c r="AE710" s="842">
        <f t="shared" si="374"/>
        <v>5</v>
      </c>
      <c r="AF710" s="842">
        <f t="shared" si="375"/>
        <v>5</v>
      </c>
      <c r="AG710" s="842">
        <f t="shared" si="376"/>
        <v>1</v>
      </c>
      <c r="AH710" s="842">
        <f t="shared" si="377"/>
        <v>3</v>
      </c>
      <c r="AI710" s="826" cm="1">
        <f t="array" ref="AI710">SUMPRODUCT(--ISNUMBER($U710:$AA710),$AB$3:$AH$3)</f>
        <v>1</v>
      </c>
      <c r="AJ710" s="829">
        <f t="shared" si="378"/>
        <v>43.664507841741532</v>
      </c>
      <c r="AK710" s="827" t="str">
        <f t="shared" si="379"/>
        <v>Inmadura</v>
      </c>
      <c r="AL710" s="784" t="str">
        <f t="shared" si="380"/>
        <v>Alta</v>
      </c>
      <c r="AM710" s="799">
        <f>IF(ISNUMBER('Base de datos Rutas'!W708),'Base de datos Rutas'!W708,"")</f>
        <v>3641.9429094456564</v>
      </c>
      <c r="AN710" s="787">
        <f>IFERROR(SUMIFS('Base de datos Rutas'!$W$6:$W$794,'Base de datos Rutas'!$C$6:$C$794,$C710)/'Base de datos Rutas'!I708,"")</f>
        <v>3641.9429094456527</v>
      </c>
      <c r="AO710" s="800">
        <f>IFERROR('Base de datos Rutas'!X708*AN710/AM710,"")</f>
        <v>0.35679725951519109</v>
      </c>
      <c r="AP710" s="800">
        <f t="shared" si="381"/>
        <v>0.64320274048480885</v>
      </c>
      <c r="AQ710" s="789">
        <f>IFERROR(INDEX('Hoja de apoyo v2'!$J$17:$J$20,MATCH($A710,'Hoja de apoyo v2'!$A$17:$A$20,0)),"")</f>
        <v>0.64320274048480885</v>
      </c>
      <c r="AR710" s="789">
        <f t="shared" si="382"/>
        <v>0</v>
      </c>
      <c r="AS710" s="784" t="str">
        <f t="shared" si="383"/>
        <v>No</v>
      </c>
      <c r="AT710" s="801">
        <f>IF(ISNUMBER('Base de datos Rutas'!CK708),'Base de datos Rutas'!CK708,"")</f>
        <v>309</v>
      </c>
      <c r="AU710" s="802">
        <f>IF(ISNUMBER('Base de datos Rutas'!CL708),'Base de datos Rutas'!CL708,"")</f>
        <v>390.73</v>
      </c>
      <c r="AV710" s="802">
        <f>IF(ISNUMBER('Base de datos Rutas'!CM708),'Base de datos Rutas'!CM708,"")</f>
        <v>81.730000000000018</v>
      </c>
      <c r="AW710" s="802">
        <f>IF(ISNUMBER('Base de datos Rutas'!CN708),'Base de datos Rutas'!CN708,"")</f>
        <v>5.41</v>
      </c>
      <c r="AX710" s="802">
        <f>IF(ISNUMBER('Base de datos Rutas'!CO708),'Base de datos Rutas'!CO708,"")</f>
        <v>9.4499999999999993</v>
      </c>
      <c r="AY710" s="802">
        <f>IF(ISNUMBER('Base de datos Rutas'!CP708),'Base de datos Rutas'!CP708,"")</f>
        <v>4.0399999999999991</v>
      </c>
      <c r="AZ710" s="802">
        <f>IF(ISNUMBER('Base de datos Rutas'!CQ708),'Base de datos Rutas'!CQ708,"")</f>
        <v>846.56</v>
      </c>
      <c r="BA710" s="802">
        <f>IF(ISNUMBER('Base de datos Rutas'!CR708),'Base de datos Rutas'!CR708,"")</f>
        <v>650.85</v>
      </c>
      <c r="BB710" s="803">
        <f>IF(ISNUMBER('Base de datos Rutas'!CS708),'Base de datos Rutas'!CS708,"")</f>
        <v>195.70999999999992</v>
      </c>
      <c r="BC710" s="804">
        <f t="shared" si="393"/>
        <v>0</v>
      </c>
      <c r="BD710" s="805" t="str">
        <f t="shared" si="394"/>
        <v>No saturada</v>
      </c>
      <c r="BE710" s="806">
        <f t="shared" si="395"/>
        <v>0.76881733131733143</v>
      </c>
      <c r="BF710" s="890">
        <f>IF(ISNUMBER('Base de datos Rutas'!CX708),'Base de datos Rutas'!CX708/100,"")</f>
        <v>0.13116657908565424</v>
      </c>
      <c r="BG710" s="891">
        <f>IF(ISNUMBER('Base de datos Rutas'!CZ708),'Base de datos Rutas'!CZ708/100,"")</f>
        <v>0.13730200435402748</v>
      </c>
      <c r="BH710" s="892">
        <f>IF(ISNUMBER('Base de datos Rutas'!DA708),'Base de datos Rutas'!DA708,"")</f>
        <v>58.108221981641059</v>
      </c>
      <c r="BI710" s="893">
        <f>IF(ISNUMBER('Base de datos Rutas'!DC708),'Base de datos Rutas'!DC708,"")</f>
        <v>2.592593449245042</v>
      </c>
      <c r="BJ710" s="805" t="str">
        <f t="shared" si="396"/>
        <v>Ruta (completo)</v>
      </c>
      <c r="BK710" s="783">
        <f t="shared" si="384"/>
        <v>1</v>
      </c>
      <c r="BL710" s="797">
        <f t="shared" si="385"/>
        <v>1</v>
      </c>
      <c r="BM710" s="797">
        <f t="shared" si="386"/>
        <v>1</v>
      </c>
      <c r="BN710" s="797">
        <f t="shared" si="387"/>
        <v>1</v>
      </c>
      <c r="BO710" s="798" cm="1">
        <f t="array" ref="BO710">SUMPRODUCT(--ISNUMBER($BF710:$BI710),$BK$3:$BN$3)</f>
        <v>1</v>
      </c>
      <c r="BP710" s="831">
        <f t="shared" si="397"/>
        <v>0</v>
      </c>
      <c r="BQ710" s="834" t="str">
        <f t="shared" si="398"/>
        <v>Bajo</v>
      </c>
      <c r="BR710" s="836">
        <f t="shared" si="388"/>
        <v>32.748380881306147</v>
      </c>
      <c r="BS710" s="836">
        <f t="shared" si="389"/>
        <v>0</v>
      </c>
      <c r="BT710" s="837" t="str">
        <f t="shared" si="390"/>
        <v>P2</v>
      </c>
      <c r="BU710" s="807" t="str">
        <f t="shared" si="399"/>
        <v>Con espacio</v>
      </c>
      <c r="BV710" s="807" t="str">
        <f t="shared" si="391"/>
        <v>Zona de bajo potencial</v>
      </c>
      <c r="BW710" s="808" t="str">
        <f t="shared" si="392"/>
        <v>P2 - Mantener</v>
      </c>
    </row>
    <row r="711" spans="1:75">
      <c r="A711" s="780" t="str">
        <f>'Base de datos Rutas'!A709</f>
        <v>Occidente</v>
      </c>
      <c r="B711" s="781" t="str">
        <f>'Base de datos Rutas'!B709</f>
        <v>San Luis</v>
      </c>
      <c r="C711" s="781" t="str">
        <f>'Base de datos Rutas'!C709</f>
        <v>Planta San Luis</v>
      </c>
      <c r="D711" s="782">
        <f>IF(ISNUMBER('Base de datos Rutas'!D709),'Base de datos Rutas'!D709,"Sin código")</f>
        <v>916356</v>
      </c>
      <c r="E711" s="783" t="str">
        <f>'Base de datos Rutas'!F709</f>
        <v>Activa</v>
      </c>
      <c r="F711" s="784" t="str">
        <f>'Base de datos Rutas'!H709</f>
        <v>Sí</v>
      </c>
      <c r="G711" s="785">
        <f>IF(ISNUMBER('Base de datos Rutas'!BE709),'Base de datos Rutas'!BE709,"")</f>
        <v>115.22018348623899</v>
      </c>
      <c r="H711" s="786">
        <f>IF(ISNUMBER('Base de datos Rutas'!BH709),'Base de datos Rutas'!BH709,"")</f>
        <v>0.60669639302492195</v>
      </c>
      <c r="I711" s="788">
        <f>IFERROR(IF(OR(NOT(ISNUMBER('Base de datos Rutas'!O709)),N('Base de datos Rutas'!BK709)=0),"",'Base de datos Rutas'!O709/('Base de datos Rutas'!L709/'Base de datos Rutas'!BK709)),"")</f>
        <v>5779.9977064220238</v>
      </c>
      <c r="J711" s="788">
        <f>IFERROR(IF(OR(NOT(ISNUMBER('Base de datos Rutas'!N709)),N('Base de datos Rutas'!BK709)=0),"",'Base de datos Rutas'!N709/('Base de datos Rutas'!L709/'Base de datos Rutas'!BK709)),"")</f>
        <v>6864.9059633027582</v>
      </c>
      <c r="K711" s="788">
        <f>IFERROR(IF(OR(NOT(ISNUMBER('Base de datos Rutas'!J709)),N('Base de datos Rutas'!BK709)=0),"",'Base de datos Rutas'!J709/('Base de datos Rutas'!L709/'Base de datos Rutas'!BK709)),"")</f>
        <v>467.41278532109902</v>
      </c>
      <c r="L711" s="788">
        <f>IFERROR(IF(OR(NOT(ISNUMBER('Base de datos Rutas'!K709)),N('Base de datos Rutas'!BK709)=0),"",'Base de datos Rutas'!K709/('Base de datos Rutas'!L709/'Base de datos Rutas'!BK709)),"")</f>
        <v>42.072490940367004</v>
      </c>
      <c r="M711" s="787">
        <f>IF(ISNUMBER('Base de datos Rutas'!AX709),'Base de datos Rutas'!AX709,"")</f>
        <v>180.89046558173101</v>
      </c>
      <c r="N711" s="790">
        <f>IFERROR(INDEX('Hoja de apoyo v2'!B$17:B$20,MATCH($A711,'Hoja de apoyo v2'!$A$17:$A$20,0)),"")</f>
        <v>89.41621024641401</v>
      </c>
      <c r="O711" s="791">
        <f>IFERROR(INDEX('Hoja de apoyo v2'!C$17:C$20,MATCH($A711,'Hoja de apoyo v2'!$A$17:$A$20,0)),"")</f>
        <v>0.54706375874806301</v>
      </c>
      <c r="P711" s="793">
        <f>IFERROR(INDEX('Hoja de apoyo v2'!D$17:D$20,MATCH($A711,'Hoja de apoyo v2'!$A$17:$A$20,0)),"")</f>
        <v>11095.153935793827</v>
      </c>
      <c r="Q711" s="793">
        <f>IFERROR(INDEX('Hoja de apoyo v2'!E$17:E$20,MATCH($A711,'Hoja de apoyo v2'!$A$17:$A$20,0)),"")</f>
        <v>6982.3202019701848</v>
      </c>
      <c r="R711" s="793">
        <f>IFERROR(INDEX('Hoja de apoyo v2'!F$17:F$20,MATCH($A711,'Hoja de apoyo v2'!$A$17:$A$20,0)),"")</f>
        <v>448.09513474485743</v>
      </c>
      <c r="S711" s="793">
        <f>IFERROR(INDEX('Hoja de apoyo v2'!G$17:G$20,MATCH($A711,'Hoja de apoyo v2'!$A$17:$A$20,0)),"")</f>
        <v>83.406300904207839</v>
      </c>
      <c r="T711" s="792">
        <f>IFERROR(INDEX('Hoja de apoyo v2'!H$17:H$20,MATCH($A711,'Hoja de apoyo v2'!$A$17:$A$20,0)),"")</f>
        <v>378.97014028925349</v>
      </c>
      <c r="U711" s="794">
        <f t="shared" si="364"/>
        <v>1.2885827208367941</v>
      </c>
      <c r="V711" s="795">
        <f t="shared" si="365"/>
        <v>1.1090049072402937</v>
      </c>
      <c r="W711" s="795">
        <f t="shared" si="366"/>
        <v>0.52094795077833966</v>
      </c>
      <c r="X711" s="843">
        <f t="shared" si="367"/>
        <v>0.98318406557260207</v>
      </c>
      <c r="Y711" s="843">
        <f t="shared" si="368"/>
        <v>1.0431106010272595</v>
      </c>
      <c r="Z711" s="843">
        <f t="shared" si="369"/>
        <v>0.50442820847177083</v>
      </c>
      <c r="AA711" s="843">
        <f t="shared" si="370"/>
        <v>0.47732115634140515</v>
      </c>
      <c r="AB711" s="796">
        <f t="shared" si="371"/>
        <v>5</v>
      </c>
      <c r="AC711" s="797">
        <f t="shared" si="372"/>
        <v>4</v>
      </c>
      <c r="AD711" s="797">
        <f t="shared" si="373"/>
        <v>2</v>
      </c>
      <c r="AE711" s="842">
        <f t="shared" si="374"/>
        <v>3</v>
      </c>
      <c r="AF711" s="842">
        <f t="shared" si="375"/>
        <v>4</v>
      </c>
      <c r="AG711" s="842">
        <f t="shared" si="376"/>
        <v>2</v>
      </c>
      <c r="AH711" s="842">
        <f t="shared" si="377"/>
        <v>1</v>
      </c>
      <c r="AI711" s="826" cm="1">
        <f t="array" ref="AI711">SUMPRODUCT(--ISNUMBER($U711:$AA711),$AB$3:$AH$3)</f>
        <v>1</v>
      </c>
      <c r="AJ711" s="829">
        <f t="shared" si="378"/>
        <v>50.383528536162949</v>
      </c>
      <c r="AK711" s="827" t="str">
        <f t="shared" si="379"/>
        <v>En desarrollo</v>
      </c>
      <c r="AL711" s="784" t="str">
        <f t="shared" si="380"/>
        <v>Alta</v>
      </c>
      <c r="AM711" s="799">
        <f>IF(ISNUMBER('Base de datos Rutas'!W709),'Base de datos Rutas'!W709,"")</f>
        <v>3641.9429094456564</v>
      </c>
      <c r="AN711" s="787">
        <f>IFERROR(SUMIFS('Base de datos Rutas'!$W$6:$W$794,'Base de datos Rutas'!$C$6:$C$794,$C711)/'Base de datos Rutas'!I709,"")</f>
        <v>3641.9429094456527</v>
      </c>
      <c r="AO711" s="800">
        <f>IFERROR('Base de datos Rutas'!X709*AN711/AM711,"")</f>
        <v>0.35679725951519109</v>
      </c>
      <c r="AP711" s="800">
        <f t="shared" si="381"/>
        <v>0.64320274048480885</v>
      </c>
      <c r="AQ711" s="789">
        <f>IFERROR(INDEX('Hoja de apoyo v2'!$J$17:$J$20,MATCH($A711,'Hoja de apoyo v2'!$A$17:$A$20,0)),"")</f>
        <v>0.64320274048480885</v>
      </c>
      <c r="AR711" s="789">
        <f t="shared" si="382"/>
        <v>0</v>
      </c>
      <c r="AS711" s="784" t="str">
        <f t="shared" si="383"/>
        <v>No</v>
      </c>
      <c r="AT711" s="801">
        <f>IF(ISNUMBER('Base de datos Rutas'!CK709),'Base de datos Rutas'!CK709,"")</f>
        <v>495</v>
      </c>
      <c r="AU711" s="802">
        <f>IF(ISNUMBER('Base de datos Rutas'!CL709),'Base de datos Rutas'!CL709,"")</f>
        <v>530.54</v>
      </c>
      <c r="AV711" s="802">
        <f>IF(ISNUMBER('Base de datos Rutas'!CM709),'Base de datos Rutas'!CM709,"")</f>
        <v>35.539999999999964</v>
      </c>
      <c r="AW711" s="802">
        <f>IF(ISNUMBER('Base de datos Rutas'!CN709),'Base de datos Rutas'!CN709,"")</f>
        <v>12.89</v>
      </c>
      <c r="AX711" s="802">
        <f>IF(ISNUMBER('Base de datos Rutas'!CO709),'Base de datos Rutas'!CO709,"")</f>
        <v>9.4499999999999993</v>
      </c>
      <c r="AY711" s="802">
        <f>IF(ISNUMBER('Base de datos Rutas'!CP709),'Base de datos Rutas'!CP709,"")</f>
        <v>-3.4400000000000013</v>
      </c>
      <c r="AZ711" s="802">
        <f>IF(ISNUMBER('Base de datos Rutas'!CQ709),'Base de datos Rutas'!CQ709,"")</f>
        <v>797.54</v>
      </c>
      <c r="BA711" s="802">
        <f>IF(ISNUMBER('Base de datos Rutas'!CR709),'Base de datos Rutas'!CR709,"")</f>
        <v>509.49</v>
      </c>
      <c r="BB711" s="803">
        <f>IF(ISNUMBER('Base de datos Rutas'!CS709),'Base de datos Rutas'!CS709,"")</f>
        <v>288.04999999999995</v>
      </c>
      <c r="BC711" s="804">
        <f t="shared" si="393"/>
        <v>1</v>
      </c>
      <c r="BD711" s="805" t="str">
        <f t="shared" si="394"/>
        <v>Saturada</v>
      </c>
      <c r="BE711" s="806">
        <f t="shared" si="395"/>
        <v>0.63882689269503723</v>
      </c>
      <c r="BF711" s="890">
        <f>IF(ISNUMBER('Base de datos Rutas'!CX709),'Base de datos Rutas'!CX709/100,"")</f>
        <v>0.6091264080100125</v>
      </c>
      <c r="BG711" s="891">
        <f>IF(ISNUMBER('Base de datos Rutas'!CZ709),'Base de datos Rutas'!CZ709/100,"")</f>
        <v>0.6180225281602002</v>
      </c>
      <c r="BH711" s="892">
        <f>IF(ISNUMBER('Base de datos Rutas'!DA709),'Base de datos Rutas'!DA709,"")</f>
        <v>629.38664049978411</v>
      </c>
      <c r="BI711" s="893">
        <f>IF(ISNUMBER('Base de datos Rutas'!DC709),'Base de datos Rutas'!DC709,"")</f>
        <v>25.158115289762662</v>
      </c>
      <c r="BJ711" s="805" t="str">
        <f t="shared" si="396"/>
        <v>Ruta (completo)</v>
      </c>
      <c r="BK711" s="783">
        <f t="shared" si="384"/>
        <v>3</v>
      </c>
      <c r="BL711" s="797">
        <f t="shared" si="385"/>
        <v>3</v>
      </c>
      <c r="BM711" s="797">
        <f t="shared" si="386"/>
        <v>5</v>
      </c>
      <c r="BN711" s="797">
        <f t="shared" si="387"/>
        <v>5</v>
      </c>
      <c r="BO711" s="798" cm="1">
        <f t="array" ref="BO711">SUMPRODUCT(--ISNUMBER($BF711:$BI711),$BK$3:$BN$3)</f>
        <v>1</v>
      </c>
      <c r="BP711" s="831">
        <f t="shared" si="397"/>
        <v>75</v>
      </c>
      <c r="BQ711" s="834" t="str">
        <f t="shared" si="398"/>
        <v>Alto</v>
      </c>
      <c r="BR711" s="836">
        <f t="shared" si="388"/>
        <v>62.787646402122213</v>
      </c>
      <c r="BS711" s="836">
        <f t="shared" si="389"/>
        <v>75</v>
      </c>
      <c r="BT711" s="837" t="str">
        <f t="shared" si="390"/>
        <v>P1</v>
      </c>
      <c r="BU711" s="807" t="str">
        <f t="shared" si="399"/>
        <v>Al tope</v>
      </c>
      <c r="BV711" s="807" t="str">
        <f t="shared" si="391"/>
        <v>Zona atractiva</v>
      </c>
      <c r="BW711" s="808" t="str">
        <f t="shared" si="392"/>
        <v>P1 - Ampliar cobertura</v>
      </c>
    </row>
    <row r="712" spans="1:75">
      <c r="A712" s="780" t="str">
        <f>'Base de datos Rutas'!A710</f>
        <v>Occidente</v>
      </c>
      <c r="B712" s="781" t="str">
        <f>'Base de datos Rutas'!B710</f>
        <v>San Luis</v>
      </c>
      <c r="C712" s="781" t="str">
        <f>'Base de datos Rutas'!C710</f>
        <v>Planta San Luis</v>
      </c>
      <c r="D712" s="782">
        <f>IF(ISNUMBER('Base de datos Rutas'!D710),'Base de datos Rutas'!D710,"Sin código")</f>
        <v>916399</v>
      </c>
      <c r="E712" s="783" t="str">
        <f>'Base de datos Rutas'!F710</f>
        <v>Inactiva</v>
      </c>
      <c r="F712" s="784" t="str">
        <f>'Base de datos Rutas'!H710</f>
        <v>No</v>
      </c>
      <c r="G712" s="785" t="str">
        <f>IF(ISNUMBER('Base de datos Rutas'!BE710),'Base de datos Rutas'!BE710,"")</f>
        <v/>
      </c>
      <c r="H712" s="786" t="str">
        <f>IF(ISNUMBER('Base de datos Rutas'!BH710),'Base de datos Rutas'!BH710,"")</f>
        <v/>
      </c>
      <c r="I712" s="788" t="str">
        <f>IFERROR(IF(OR(NOT(ISNUMBER('Base de datos Rutas'!O710)),N('Base de datos Rutas'!BK710)=0),"",'Base de datos Rutas'!O710/('Base de datos Rutas'!L710/'Base de datos Rutas'!BK710)),"")</f>
        <v/>
      </c>
      <c r="J712" s="788" t="str">
        <f>IFERROR(IF(OR(NOT(ISNUMBER('Base de datos Rutas'!N710)),N('Base de datos Rutas'!BK710)=0),"",'Base de datos Rutas'!N710/('Base de datos Rutas'!L710/'Base de datos Rutas'!BK710)),"")</f>
        <v/>
      </c>
      <c r="K712" s="788" t="str">
        <f>IFERROR(IF(OR(NOT(ISNUMBER('Base de datos Rutas'!J710)),N('Base de datos Rutas'!BK710)=0),"",'Base de datos Rutas'!J710/('Base de datos Rutas'!L710/'Base de datos Rutas'!BK710)),"")</f>
        <v/>
      </c>
      <c r="L712" s="788" t="str">
        <f>IFERROR(IF(OR(NOT(ISNUMBER('Base de datos Rutas'!K710)),N('Base de datos Rutas'!BK710)=0),"",'Base de datos Rutas'!K710/('Base de datos Rutas'!L710/'Base de datos Rutas'!BK710)),"")</f>
        <v/>
      </c>
      <c r="M712" s="787">
        <f>IF(ISNUMBER('Base de datos Rutas'!AX710),'Base de datos Rutas'!AX710,"")</f>
        <v>8280.2199999999993</v>
      </c>
      <c r="N712" s="790">
        <f>IFERROR(INDEX('Hoja de apoyo v2'!B$17:B$20,MATCH($A712,'Hoja de apoyo v2'!$A$17:$A$20,0)),"")</f>
        <v>89.41621024641401</v>
      </c>
      <c r="O712" s="791">
        <f>IFERROR(INDEX('Hoja de apoyo v2'!C$17:C$20,MATCH($A712,'Hoja de apoyo v2'!$A$17:$A$20,0)),"")</f>
        <v>0.54706375874806301</v>
      </c>
      <c r="P712" s="793">
        <f>IFERROR(INDEX('Hoja de apoyo v2'!D$17:D$20,MATCH($A712,'Hoja de apoyo v2'!$A$17:$A$20,0)),"")</f>
        <v>11095.153935793827</v>
      </c>
      <c r="Q712" s="793">
        <f>IFERROR(INDEX('Hoja de apoyo v2'!E$17:E$20,MATCH($A712,'Hoja de apoyo v2'!$A$17:$A$20,0)),"")</f>
        <v>6982.3202019701848</v>
      </c>
      <c r="R712" s="793">
        <f>IFERROR(INDEX('Hoja de apoyo v2'!F$17:F$20,MATCH($A712,'Hoja de apoyo v2'!$A$17:$A$20,0)),"")</f>
        <v>448.09513474485743</v>
      </c>
      <c r="S712" s="793">
        <f>IFERROR(INDEX('Hoja de apoyo v2'!G$17:G$20,MATCH($A712,'Hoja de apoyo v2'!$A$17:$A$20,0)),"")</f>
        <v>83.406300904207839</v>
      </c>
      <c r="T712" s="792">
        <f>IFERROR(INDEX('Hoja de apoyo v2'!H$17:H$20,MATCH($A712,'Hoja de apoyo v2'!$A$17:$A$20,0)),"")</f>
        <v>378.97014028925349</v>
      </c>
      <c r="U712" s="794" t="str">
        <f t="shared" ref="U712:U775" si="400">IFERROR(G712/N712,"")</f>
        <v/>
      </c>
      <c r="V712" s="795" t="str">
        <f t="shared" ref="V712:V775" si="401">IFERROR(H712/O712,"")</f>
        <v/>
      </c>
      <c r="W712" s="795" t="str">
        <f t="shared" ref="W712:W775" si="402">IFERROR(IF(N(P712)=0,"",I712/P712),"")</f>
        <v/>
      </c>
      <c r="X712" s="843" t="str">
        <f t="shared" ref="X712:X775" si="403">IFERROR(IF(N(Q712)=0,"",J712/Q712),"")</f>
        <v/>
      </c>
      <c r="Y712" s="843" t="str">
        <f t="shared" ref="Y712:Y775" si="404">IFERROR(IF(N(R712)=0,"",K712/R712),"")</f>
        <v/>
      </c>
      <c r="Z712" s="843" t="str">
        <f t="shared" ref="Z712:Z775" si="405">IFERROR(IF(N(S712)=0,"",L712/S712),"")</f>
        <v/>
      </c>
      <c r="AA712" s="843">
        <f t="shared" ref="AA712:AA775" si="406">IFERROR(IF(N(T712)=0,"",M712/T712),"")</f>
        <v>21.84926757997351</v>
      </c>
      <c r="AB712" s="796">
        <f t="shared" ref="AB712:AB775" si="407">IF(NOT(ISNUMBER(U712)),0,IFERROR(MATCH(U712,$U$3:$X$3,1)+1,1))</f>
        <v>0</v>
      </c>
      <c r="AC712" s="797">
        <f t="shared" ref="AC712:AC775" si="408">IF(NOT(ISNUMBER(V712)),0,IFERROR(MATCH(V712,$U$3:$X$3,1)+1,1))</f>
        <v>0</v>
      </c>
      <c r="AD712" s="797">
        <f t="shared" ref="AD712:AD775" si="409">IF(NOT(ISNUMBER(W712)),0,IFERROR(MATCH(W712,$U$3:$X$3,1)+1,1))</f>
        <v>0</v>
      </c>
      <c r="AE712" s="842">
        <f t="shared" ref="AE712:AE775" si="410">IF(NOT(ISNUMBER(X712)),0,IFERROR(MATCH(X712,$U$3:$X$3,1)+1,1))</f>
        <v>0</v>
      </c>
      <c r="AF712" s="842">
        <f t="shared" ref="AF712:AF775" si="411">IF(NOT(ISNUMBER(Y712)),0,IFERROR(MATCH(Y712,$U$3:$X$3,1)+1,1))</f>
        <v>0</v>
      </c>
      <c r="AG712" s="842">
        <f t="shared" ref="AG712:AG775" si="412">IF(NOT(ISNUMBER(Z712)),0,IFERROR(MATCH(Z712,$U$3:$X$3,1)+1,1))</f>
        <v>0</v>
      </c>
      <c r="AH712" s="842">
        <f t="shared" ref="AH712:AH775" si="413">IF(NOT(ISNUMBER(AA712)),0,IFERROR(MATCH(AA712,$U$3:$X$3,1)+1,1))</f>
        <v>5</v>
      </c>
      <c r="AI712" s="826" cm="1">
        <f t="array" ref="AI712">SUMPRODUCT(--ISNUMBER($U712:$AA712),$AB$3:$AH$3)</f>
        <v>8.9789113613062493E-2</v>
      </c>
      <c r="AJ712" s="829" t="str">
        <f t="shared" ref="AJ712:AJ775" si="414">IF(OR($E712&lt;&gt;"Activa",$F712&lt;&gt;"Sí",AI712&lt;$AI$4),"",(SUMPRODUCT($AB712:$AH712,$AB$3:$AH$3)/AI712-1)/4*100)</f>
        <v/>
      </c>
      <c r="AK712" s="827" t="str">
        <f t="shared" ref="AK712:AK775" si="415">IF($E712&lt;&gt;"Activa","Ruta inactiva",IF($F712&lt;&gt;"Sí","No elegible",IF(AJ712="","Sin datos",IF(AJ712&gt;=$AJ$4,"Madura",IF(AJ712&lt;$AK$4,"Inmadura","En desarrollo")))))</f>
        <v>Ruta inactiva</v>
      </c>
      <c r="AL712" s="784" t="str">
        <f t="shared" ref="AL712:AL775" si="416">IF(AJ712="","n/a",IF(AI712&gt;=$AL$3,"Alta",IF(AI712&gt;=$AL$4,"Media","Baja")))</f>
        <v>n/a</v>
      </c>
      <c r="AM712" s="799">
        <f>IF(ISNUMBER('Base de datos Rutas'!W710),'Base de datos Rutas'!W710,"")</f>
        <v>3641.9429094456564</v>
      </c>
      <c r="AN712" s="787">
        <f>IFERROR(SUMIFS('Base de datos Rutas'!$W$6:$W$794,'Base de datos Rutas'!$C$6:$C$794,$C712)/'Base de datos Rutas'!I710,"")</f>
        <v>3641.9429094456527</v>
      </c>
      <c r="AO712" s="800">
        <f>IFERROR('Base de datos Rutas'!X710*AN712/AM712,"")</f>
        <v>0.35679725951519109</v>
      </c>
      <c r="AP712" s="800">
        <f t="shared" ref="AP712:AP775" si="417">IF(ISNUMBER(AO712),1-AO712,"")</f>
        <v>0.64320274048480885</v>
      </c>
      <c r="AQ712" s="789">
        <f>IFERROR(INDEX('Hoja de apoyo v2'!$J$17:$J$20,MATCH($A712,'Hoja de apoyo v2'!$A$17:$A$20,0)),"")</f>
        <v>0.64320274048480885</v>
      </c>
      <c r="AR712" s="789">
        <f t="shared" ref="AR712:AR775" si="418">IF(AND(ISNUMBER($AP712),ISNUMBER($AQ712)),$AP712-$AQ712,"")</f>
        <v>0</v>
      </c>
      <c r="AS712" s="784" t="str">
        <f t="shared" ref="AS712:AS775" si="419">IF(NOT(ISNUMBER(AO712)),"n/d",IF(AO712&gt;=$AO$4,"Sí","No"))</f>
        <v>No</v>
      </c>
      <c r="AT712" s="801" t="str">
        <f>IF(ISNUMBER('Base de datos Rutas'!CK710),'Base de datos Rutas'!CK710,"")</f>
        <v/>
      </c>
      <c r="AU712" s="802" t="str">
        <f>IF(ISNUMBER('Base de datos Rutas'!CL710),'Base de datos Rutas'!CL710,"")</f>
        <v/>
      </c>
      <c r="AV712" s="802">
        <f>IF(ISNUMBER('Base de datos Rutas'!CM710),'Base de datos Rutas'!CM710,"")</f>
        <v>0</v>
      </c>
      <c r="AW712" s="802" t="str">
        <f>IF(ISNUMBER('Base de datos Rutas'!CN710),'Base de datos Rutas'!CN710,"")</f>
        <v/>
      </c>
      <c r="AX712" s="802" t="str">
        <f>IF(ISNUMBER('Base de datos Rutas'!CO710),'Base de datos Rutas'!CO710,"")</f>
        <v/>
      </c>
      <c r="AY712" s="802">
        <f>IF(ISNUMBER('Base de datos Rutas'!CP710),'Base de datos Rutas'!CP710,"")</f>
        <v>0</v>
      </c>
      <c r="AZ712" s="802" t="str">
        <f>IF(ISNUMBER('Base de datos Rutas'!CQ710),'Base de datos Rutas'!CQ710,"")</f>
        <v/>
      </c>
      <c r="BA712" s="802" t="str">
        <f>IF(ISNUMBER('Base de datos Rutas'!CR710),'Base de datos Rutas'!CR710,"")</f>
        <v/>
      </c>
      <c r="BB712" s="803">
        <f>IF(ISNUMBER('Base de datos Rutas'!CS710),'Base de datos Rutas'!CS710,"")</f>
        <v>0</v>
      </c>
      <c r="BC712" s="804" t="str">
        <f t="shared" si="393"/>
        <v/>
      </c>
      <c r="BD712" s="805" t="str">
        <f t="shared" si="394"/>
        <v>N/D</v>
      </c>
      <c r="BE712" s="806" t="str">
        <f t="shared" si="395"/>
        <v/>
      </c>
      <c r="BF712" s="890" t="str">
        <f>IF(ISNUMBER('Base de datos Rutas'!CX710),'Base de datos Rutas'!CX710/100,"")</f>
        <v/>
      </c>
      <c r="BG712" s="891" t="str">
        <f>IF(ISNUMBER('Base de datos Rutas'!CZ710),'Base de datos Rutas'!CZ710/100,"")</f>
        <v/>
      </c>
      <c r="BH712" s="892" t="str">
        <f>IF(ISNUMBER('Base de datos Rutas'!DA710),'Base de datos Rutas'!DA710,"")</f>
        <v/>
      </c>
      <c r="BI712" s="893" t="str">
        <f>IF(ISNUMBER('Base de datos Rutas'!DC710),'Base de datos Rutas'!DC710,"")</f>
        <v/>
      </c>
      <c r="BJ712" s="805" t="str">
        <f t="shared" si="396"/>
        <v>Sin dato</v>
      </c>
      <c r="BK712" s="783">
        <f t="shared" ref="BK712:BK775" si="420">IF(NOT(ISNUMBER($BF712)),0,MIN(5,1+INT(5*COUNTIFS($C$8:$C$796,$C712,$BF$8:$BF$796,"&lt;"&amp;$BF712)/COUNTIFS($C$8:$C$796,$C712,$BF$8:$BF$796,"&gt;=-1E+300"))))</f>
        <v>0</v>
      </c>
      <c r="BL712" s="797">
        <f t="shared" ref="BL712:BL775" si="421">IF(NOT(ISNUMBER($BG712)),0,MIN(5,1+INT(5*COUNTIFS($C$8:$C$796,$C712,$BG$8:$BG$796,"&lt;"&amp;$BG712)/COUNTIFS($C$8:$C$796,$C712,$BG$8:$BG$796,"&gt;=-1E+300"))))</f>
        <v>0</v>
      </c>
      <c r="BM712" s="797">
        <f t="shared" ref="BM712:BM775" si="422">IF(NOT(ISNUMBER($BH712)),0,MIN(5,1+INT(5*COUNTIFS($C$8:$C$796,$C712,$BH$8:$BH$796,"&lt;"&amp;$BH712)/COUNTIFS($C$8:$C$796,$C712,$BH$8:$BH$796,"&gt;=-1E+300"))))</f>
        <v>0</v>
      </c>
      <c r="BN712" s="797">
        <f t="shared" ref="BN712:BN775" si="423">IF(NOT(ISNUMBER($BI712)),0,MIN(5,1+INT(5*COUNTIFS($C$8:$C$796,$C712,$BI$8:$BI$796,"&lt;"&amp;$BI712)/COUNTIFS($C$8:$C$796,$C712,$BI$8:$BI$796,"&gt;=-1E+300"))))</f>
        <v>0</v>
      </c>
      <c r="BO712" s="798" cm="1">
        <f t="array" ref="BO712">SUMPRODUCT(--ISNUMBER($BF712:$BI712),$BK$3:$BN$3)</f>
        <v>0</v>
      </c>
      <c r="BP712" s="831" t="str">
        <f t="shared" si="397"/>
        <v/>
      </c>
      <c r="BQ712" s="834" t="str">
        <f t="shared" si="398"/>
        <v>Sin datos</v>
      </c>
      <c r="BR712" s="836" t="str">
        <f t="shared" ref="BR712:BR775" si="424">IF(OR(NOT(ISNUMBER($AJ712)),$BD712="N/D"),"",$AJ712*$BS$3+IF($BD712="Saturada",100,0)*$BU$3)</f>
        <v/>
      </c>
      <c r="BS712" s="836" t="str">
        <f t="shared" ref="BS712:BS775" si="425">IF(ISNUMBER($BP712),$BP712,"")</f>
        <v/>
      </c>
      <c r="BT712" s="837" t="str">
        <f t="shared" ref="BT712:BT775" si="426">IF(OR(NOT(ISNUMBER($BR712)),NOT(ISNUMBER($BS712))),"Sin datos",IF($BR712&gt;=$BS$4,IF($BS712&gt;=$BU$4,"P1","P2"),IF($BS712&gt;=$BU$4,"P3","P4")))</f>
        <v>Sin datos</v>
      </c>
      <c r="BU712" s="807" t="str">
        <f t="shared" si="399"/>
        <v>No evaluable</v>
      </c>
      <c r="BV712" s="807" t="str">
        <f t="shared" ref="BV712:BV775" si="427">IF($BU712="No evaluable","No evaluable",IF($BQ712="Sin datos","Sin datos de zona",IF($BQ712="Alto","Zona atractiva","Zona de bajo potencial")))</f>
        <v>No evaluable</v>
      </c>
      <c r="BW712" s="808" t="str">
        <f t="shared" ref="BW712:BW775" si="428">IFERROR(IF($BT712="P1","P1 - Ampliar cobertura",IF($BT712="P2","P2 - Mantener",IF($BT712="P3","P3 - Desarrollar",IF($BT712="P4","P4 - Evaluar","Sin datos")))),"Sin datos")</f>
        <v>Sin datos</v>
      </c>
    </row>
    <row r="713" spans="1:75">
      <c r="A713" s="780" t="str">
        <f>'Base de datos Rutas'!A711</f>
        <v>Occidente</v>
      </c>
      <c r="B713" s="781" t="str">
        <f>'Base de datos Rutas'!B711</f>
        <v>San Luis</v>
      </c>
      <c r="C713" s="781" t="str">
        <f>'Base de datos Rutas'!C711</f>
        <v>Planta San Luis</v>
      </c>
      <c r="D713" s="782">
        <f>IF(ISNUMBER('Base de datos Rutas'!D711),'Base de datos Rutas'!D711,"Sin código")</f>
        <v>916400</v>
      </c>
      <c r="E713" s="783" t="str">
        <f>'Base de datos Rutas'!F711</f>
        <v>Activa</v>
      </c>
      <c r="F713" s="784" t="str">
        <f>'Base de datos Rutas'!H711</f>
        <v>Sí</v>
      </c>
      <c r="G713" s="785">
        <f>IF(ISNUMBER('Base de datos Rutas'!BE711),'Base de datos Rutas'!BE711,"")</f>
        <v>49.435185185185198</v>
      </c>
      <c r="H713" s="786">
        <f>IF(ISNUMBER('Base de datos Rutas'!BH711),'Base de datos Rutas'!BH711,"")</f>
        <v>0.75505712680277204</v>
      </c>
      <c r="I713" s="788">
        <f>IFERROR(IF(OR(NOT(ISNUMBER('Base de datos Rutas'!O711)),N('Base de datos Rutas'!BK711)=0),"",'Base de datos Rutas'!O711/('Base de datos Rutas'!L711/'Base de datos Rutas'!BK711)),"")</f>
        <v>4396.5879629629644</v>
      </c>
      <c r="J713" s="788">
        <f>IFERROR(IF(OR(NOT(ISNUMBER('Base de datos Rutas'!N711)),N('Base de datos Rutas'!BK711)=0),"",'Base de datos Rutas'!N711/('Base de datos Rutas'!L711/'Base de datos Rutas'!BK711)),"")</f>
        <v>6722.1504629629653</v>
      </c>
      <c r="K713" s="788">
        <f>IFERROR(IF(OR(NOT(ISNUMBER('Base de datos Rutas'!J711)),N('Base de datos Rutas'!BK711)=0),"",'Base de datos Rutas'!J711/('Base de datos Rutas'!L711/'Base de datos Rutas'!BK711)),"")</f>
        <v>452.70993703703721</v>
      </c>
      <c r="L713" s="788">
        <f>IFERROR(IF(OR(NOT(ISNUMBER('Base de datos Rutas'!K711)),N('Base de datos Rutas'!BK711)=0),"",'Base de datos Rutas'!K711/('Base de datos Rutas'!L711/'Base de datos Rutas'!BK711)),"")</f>
        <v>39.905320527777796</v>
      </c>
      <c r="M713" s="787">
        <f>IF(ISNUMBER('Base de datos Rutas'!AX711),'Base de datos Rutas'!AX711,"")</f>
        <v>297.87887255814002</v>
      </c>
      <c r="N713" s="790">
        <f>IFERROR(INDEX('Hoja de apoyo v2'!B$17:B$20,MATCH($A713,'Hoja de apoyo v2'!$A$17:$A$20,0)),"")</f>
        <v>89.41621024641401</v>
      </c>
      <c r="O713" s="791">
        <f>IFERROR(INDEX('Hoja de apoyo v2'!C$17:C$20,MATCH($A713,'Hoja de apoyo v2'!$A$17:$A$20,0)),"")</f>
        <v>0.54706375874806301</v>
      </c>
      <c r="P713" s="793">
        <f>IFERROR(INDEX('Hoja de apoyo v2'!D$17:D$20,MATCH($A713,'Hoja de apoyo v2'!$A$17:$A$20,0)),"")</f>
        <v>11095.153935793827</v>
      </c>
      <c r="Q713" s="793">
        <f>IFERROR(INDEX('Hoja de apoyo v2'!E$17:E$20,MATCH($A713,'Hoja de apoyo v2'!$A$17:$A$20,0)),"")</f>
        <v>6982.3202019701848</v>
      </c>
      <c r="R713" s="793">
        <f>IFERROR(INDEX('Hoja de apoyo v2'!F$17:F$20,MATCH($A713,'Hoja de apoyo v2'!$A$17:$A$20,0)),"")</f>
        <v>448.09513474485743</v>
      </c>
      <c r="S713" s="793">
        <f>IFERROR(INDEX('Hoja de apoyo v2'!G$17:G$20,MATCH($A713,'Hoja de apoyo v2'!$A$17:$A$20,0)),"")</f>
        <v>83.406300904207839</v>
      </c>
      <c r="T713" s="792">
        <f>IFERROR(INDEX('Hoja de apoyo v2'!H$17:H$20,MATCH($A713,'Hoja de apoyo v2'!$A$17:$A$20,0)),"")</f>
        <v>378.97014028925349</v>
      </c>
      <c r="U713" s="794">
        <f t="shared" si="400"/>
        <v>0.55286603009623492</v>
      </c>
      <c r="V713" s="795">
        <f t="shared" si="401"/>
        <v>1.3801995009333003</v>
      </c>
      <c r="W713" s="795">
        <f t="shared" si="402"/>
        <v>0.3962620066747547</v>
      </c>
      <c r="X713" s="843">
        <f t="shared" si="403"/>
        <v>0.96273878431788218</v>
      </c>
      <c r="Y713" s="843">
        <f t="shared" si="404"/>
        <v>1.0102987109976265</v>
      </c>
      <c r="Z713" s="843">
        <f t="shared" si="405"/>
        <v>0.47844491477459322</v>
      </c>
      <c r="AA713" s="843">
        <f t="shared" si="406"/>
        <v>0.78602201305564712</v>
      </c>
      <c r="AB713" s="796">
        <f t="shared" si="407"/>
        <v>2</v>
      </c>
      <c r="AC713" s="797">
        <f t="shared" si="408"/>
        <v>5</v>
      </c>
      <c r="AD713" s="797">
        <f t="shared" si="409"/>
        <v>1</v>
      </c>
      <c r="AE713" s="842">
        <f t="shared" si="410"/>
        <v>3</v>
      </c>
      <c r="AF713" s="842">
        <f t="shared" si="411"/>
        <v>4</v>
      </c>
      <c r="AG713" s="842">
        <f t="shared" si="412"/>
        <v>1</v>
      </c>
      <c r="AH713" s="842">
        <f t="shared" si="413"/>
        <v>3</v>
      </c>
      <c r="AI713" s="826" cm="1">
        <f t="array" ref="AI713">SUMPRODUCT(--ISNUMBER($U713:$AA713),$AB$3:$AH$3)</f>
        <v>1</v>
      </c>
      <c r="AJ713" s="829">
        <f t="shared" si="414"/>
        <v>34.151743030908563</v>
      </c>
      <c r="AK713" s="827" t="str">
        <f t="shared" si="415"/>
        <v>Inmadura</v>
      </c>
      <c r="AL713" s="784" t="str">
        <f t="shared" si="416"/>
        <v>Alta</v>
      </c>
      <c r="AM713" s="799">
        <f>IF(ISNUMBER('Base de datos Rutas'!W711),'Base de datos Rutas'!W711,"")</f>
        <v>3641.9429094456564</v>
      </c>
      <c r="AN713" s="787">
        <f>IFERROR(SUMIFS('Base de datos Rutas'!$W$6:$W$794,'Base de datos Rutas'!$C$6:$C$794,$C713)/'Base de datos Rutas'!I711,"")</f>
        <v>3641.9429094456527</v>
      </c>
      <c r="AO713" s="800">
        <f>IFERROR('Base de datos Rutas'!X711*AN713/AM713,"")</f>
        <v>0.35679725951519109</v>
      </c>
      <c r="AP713" s="800">
        <f t="shared" si="417"/>
        <v>0.64320274048480885</v>
      </c>
      <c r="AQ713" s="789">
        <f>IFERROR(INDEX('Hoja de apoyo v2'!$J$17:$J$20,MATCH($A713,'Hoja de apoyo v2'!$A$17:$A$20,0)),"")</f>
        <v>0.64320274048480885</v>
      </c>
      <c r="AR713" s="789">
        <f t="shared" si="418"/>
        <v>0</v>
      </c>
      <c r="AS713" s="784" t="str">
        <f t="shared" si="419"/>
        <v>No</v>
      </c>
      <c r="AT713" s="801">
        <f>IF(ISNUMBER('Base de datos Rutas'!CK711),'Base de datos Rutas'!CK711,"")</f>
        <v>272</v>
      </c>
      <c r="AU713" s="802">
        <f>IF(ISNUMBER('Base de datos Rutas'!CL711),'Base de datos Rutas'!CL711,"")</f>
        <v>292.88</v>
      </c>
      <c r="AV713" s="802">
        <f>IF(ISNUMBER('Base de datos Rutas'!CM711),'Base de datos Rutas'!CM711,"")</f>
        <v>20.879999999999995</v>
      </c>
      <c r="AW713" s="802">
        <f>IF(ISNUMBER('Base de datos Rutas'!CN711),'Base de datos Rutas'!CN711,"")</f>
        <v>8.6300000000000008</v>
      </c>
      <c r="AX713" s="802">
        <f>IF(ISNUMBER('Base de datos Rutas'!CO711),'Base de datos Rutas'!CO711,"")</f>
        <v>9.4499999999999993</v>
      </c>
      <c r="AY713" s="802">
        <f>IF(ISNUMBER('Base de datos Rutas'!CP711),'Base de datos Rutas'!CP711,"")</f>
        <v>0.81999999999999851</v>
      </c>
      <c r="AZ713" s="802">
        <f>IF(ISNUMBER('Base de datos Rutas'!CQ711),'Base de datos Rutas'!CQ711,"")</f>
        <v>846.56</v>
      </c>
      <c r="BA713" s="802">
        <f>IF(ISNUMBER('Base de datos Rutas'!CR711),'Base de datos Rutas'!CR711,"")</f>
        <v>492.62</v>
      </c>
      <c r="BB713" s="803">
        <f>IF(ISNUMBER('Base de datos Rutas'!CS711),'Base de datos Rutas'!CS711,"")</f>
        <v>353.93999999999994</v>
      </c>
      <c r="BC713" s="804">
        <f t="shared" ref="BC713:BC776" si="429">IF(OR(COUNT($AV713,$AY713,$BB713)&lt;3,NOT(ISNUMBER($AT713)),N($AT713)&lt;=0,N($AZ713)&lt;=0),"",COUNTIF($AV713,"&lt;="&amp;$BC$4)+COUNTIF($AY713,"&lt;="&amp;$BC$4)+COUNTIF($BB713,"&lt;="&amp;$BC$4))</f>
        <v>0</v>
      </c>
      <c r="BD713" s="805" t="str">
        <f t="shared" ref="BD713:BD776" si="430">IF(NOT(ISNUMBER($BC713)),"N/D",IF($BC713&gt;=1,"Saturada","No saturada"))</f>
        <v>No saturada</v>
      </c>
      <c r="BE713" s="806">
        <f t="shared" ref="BE713:BE776" si="431">IF(AND(ISNUMBER($AZ713),ISNUMBER($BA713),$AZ713&lt;&gt;0),$BA713/$AZ713,"")</f>
        <v>0.58190795690795694</v>
      </c>
      <c r="BF713" s="890">
        <f>IF(ISNUMBER('Base de datos Rutas'!CX711),'Base de datos Rutas'!CX711/100,"")</f>
        <v>0.32955138662316474</v>
      </c>
      <c r="BG713" s="891">
        <f>IF(ISNUMBER('Base de datos Rutas'!CZ711),'Base de datos Rutas'!CZ711/100,"")</f>
        <v>0.33380913539967372</v>
      </c>
      <c r="BH713" s="892">
        <f>IF(ISNUMBER('Base de datos Rutas'!DA711),'Base de datos Rutas'!DA711,"")</f>
        <v>97.792100518185208</v>
      </c>
      <c r="BI713" s="893">
        <f>IF(ISNUMBER('Base de datos Rutas'!DC711),'Base de datos Rutas'!DC711,"")</f>
        <v>4.0792445704260816</v>
      </c>
      <c r="BJ713" s="805" t="str">
        <f t="shared" ref="BJ713:BJ776" si="432">IF(COUNT($BF713:$BI713)=4,"Ruta (completo)",IF(COUNT($BF713:$BI713)=0,"Sin dato","Ruta (parcial)"))</f>
        <v>Ruta (completo)</v>
      </c>
      <c r="BK713" s="783">
        <f t="shared" si="420"/>
        <v>2</v>
      </c>
      <c r="BL713" s="797">
        <f t="shared" si="421"/>
        <v>2</v>
      </c>
      <c r="BM713" s="797">
        <f t="shared" si="422"/>
        <v>2</v>
      </c>
      <c r="BN713" s="797">
        <f t="shared" si="423"/>
        <v>2</v>
      </c>
      <c r="BO713" s="798" cm="1">
        <f t="array" ref="BO713">SUMPRODUCT(--ISNUMBER($BF713:$BI713),$BK$3:$BN$3)</f>
        <v>1</v>
      </c>
      <c r="BP713" s="831">
        <f t="shared" ref="BP713:BP776" si="433">IF(BO713&lt;$BO$4,"",(SUMPRODUCT($BK713:$BN713,$BK$3:$BN$3)/BO713-1)/4*100)</f>
        <v>25</v>
      </c>
      <c r="BQ713" s="834" t="str">
        <f t="shared" ref="BQ713:BQ776" si="434">IF(BP713="","Sin datos",IF(BP713&gt;=$BP$4,"Alto",IF(BP713&lt;$BQ$4,"Bajo","Medio")))</f>
        <v>Medio</v>
      </c>
      <c r="BR713" s="836">
        <f t="shared" si="424"/>
        <v>25.613807273181422</v>
      </c>
      <c r="BS713" s="836">
        <f t="shared" si="425"/>
        <v>25</v>
      </c>
      <c r="BT713" s="837" t="str">
        <f t="shared" si="426"/>
        <v>P4</v>
      </c>
      <c r="BU713" s="807" t="str">
        <f t="shared" ref="BU713:BU776" si="435">IF(OR($AK713="Ruta inactiva",$AK713="No elegible",$AK713="Sin datos"),"No evaluable",IF($BD713="Saturada","Al tope","Con espacio"))</f>
        <v>Con espacio</v>
      </c>
      <c r="BV713" s="807" t="str">
        <f t="shared" si="427"/>
        <v>Zona de bajo potencial</v>
      </c>
      <c r="BW713" s="808" t="str">
        <f t="shared" si="428"/>
        <v>P4 - Evaluar</v>
      </c>
    </row>
    <row r="714" spans="1:75">
      <c r="A714" s="780" t="str">
        <f>'Base de datos Rutas'!A712</f>
        <v>Occidente</v>
      </c>
      <c r="B714" s="781" t="str">
        <f>'Base de datos Rutas'!B712</f>
        <v>San Luis</v>
      </c>
      <c r="C714" s="781" t="str">
        <f>'Base de datos Rutas'!C712</f>
        <v>Planta San Luis</v>
      </c>
      <c r="D714" s="782">
        <f>IF(ISNUMBER('Base de datos Rutas'!D712),'Base de datos Rutas'!D712,"Sin código")</f>
        <v>916401</v>
      </c>
      <c r="E714" s="783" t="str">
        <f>'Base de datos Rutas'!F712</f>
        <v>Activa</v>
      </c>
      <c r="F714" s="784" t="str">
        <f>'Base de datos Rutas'!H712</f>
        <v>Sí</v>
      </c>
      <c r="G714" s="785">
        <f>IF(ISNUMBER('Base de datos Rutas'!BE712),'Base de datos Rutas'!BE712,"")</f>
        <v>86.871910112359501</v>
      </c>
      <c r="H714" s="786">
        <f>IF(ISNUMBER('Base de datos Rutas'!BH712),'Base de datos Rutas'!BH712,"")</f>
        <v>0.524600341455844</v>
      </c>
      <c r="I714" s="788">
        <f>IFERROR(IF(OR(NOT(ISNUMBER('Base de datos Rutas'!O712)),N('Base de datos Rutas'!BK712)=0),"",'Base de datos Rutas'!O712/('Base de datos Rutas'!L712/'Base de datos Rutas'!BK712)),"")</f>
        <v>2654.4988764045002</v>
      </c>
      <c r="J714" s="788">
        <f>IFERROR(IF(OR(NOT(ISNUMBER('Base de datos Rutas'!N712)),N('Base de datos Rutas'!BK712)=0),"",'Base de datos Rutas'!N712/('Base de datos Rutas'!L712/'Base de datos Rutas'!BK712)),"")</f>
        <v>6450.1213483146212</v>
      </c>
      <c r="K714" s="788">
        <f>IFERROR(IF(OR(NOT(ISNUMBER('Base de datos Rutas'!J712)),N('Base de datos Rutas'!BK712)=0),"",'Base de datos Rutas'!J712/('Base de datos Rutas'!L712/'Base de datos Rutas'!BK712)),"")</f>
        <v>430.21564584269532</v>
      </c>
      <c r="L714" s="788">
        <f>IFERROR(IF(OR(NOT(ISNUMBER('Base de datos Rutas'!K712)),N('Base de datos Rutas'!BK712)=0),"",'Base de datos Rutas'!K712/('Base de datos Rutas'!L712/'Base de datos Rutas'!BK712)),"")</f>
        <v>22.880335395505664</v>
      </c>
      <c r="M714" s="787">
        <f>IF(ISNUMBER('Base de datos Rutas'!AX712),'Base de datos Rutas'!AX712,"")</f>
        <v>199.780848126233</v>
      </c>
      <c r="N714" s="790">
        <f>IFERROR(INDEX('Hoja de apoyo v2'!B$17:B$20,MATCH($A714,'Hoja de apoyo v2'!$A$17:$A$20,0)),"")</f>
        <v>89.41621024641401</v>
      </c>
      <c r="O714" s="791">
        <f>IFERROR(INDEX('Hoja de apoyo v2'!C$17:C$20,MATCH($A714,'Hoja de apoyo v2'!$A$17:$A$20,0)),"")</f>
        <v>0.54706375874806301</v>
      </c>
      <c r="P714" s="793">
        <f>IFERROR(INDEX('Hoja de apoyo v2'!D$17:D$20,MATCH($A714,'Hoja de apoyo v2'!$A$17:$A$20,0)),"")</f>
        <v>11095.153935793827</v>
      </c>
      <c r="Q714" s="793">
        <f>IFERROR(INDEX('Hoja de apoyo v2'!E$17:E$20,MATCH($A714,'Hoja de apoyo v2'!$A$17:$A$20,0)),"")</f>
        <v>6982.3202019701848</v>
      </c>
      <c r="R714" s="793">
        <f>IFERROR(INDEX('Hoja de apoyo v2'!F$17:F$20,MATCH($A714,'Hoja de apoyo v2'!$A$17:$A$20,0)),"")</f>
        <v>448.09513474485743</v>
      </c>
      <c r="S714" s="793">
        <f>IFERROR(INDEX('Hoja de apoyo v2'!G$17:G$20,MATCH($A714,'Hoja de apoyo v2'!$A$17:$A$20,0)),"")</f>
        <v>83.406300904207839</v>
      </c>
      <c r="T714" s="792">
        <f>IFERROR(INDEX('Hoja de apoyo v2'!H$17:H$20,MATCH($A714,'Hoja de apoyo v2'!$A$17:$A$20,0)),"")</f>
        <v>378.97014028925349</v>
      </c>
      <c r="U714" s="794">
        <f t="shared" si="400"/>
        <v>0.97154542641605024</v>
      </c>
      <c r="V714" s="795">
        <f t="shared" si="401"/>
        <v>0.958938209791806</v>
      </c>
      <c r="W714" s="795">
        <f t="shared" si="402"/>
        <v>0.239248494591939</v>
      </c>
      <c r="X714" s="843">
        <f t="shared" si="403"/>
        <v>0.92377908227334027</v>
      </c>
      <c r="Y714" s="843">
        <f t="shared" si="404"/>
        <v>0.96009889972953499</v>
      </c>
      <c r="Z714" s="843">
        <f t="shared" si="405"/>
        <v>0.27432382382937393</v>
      </c>
      <c r="AA714" s="843">
        <f t="shared" si="406"/>
        <v>0.5271677815401179</v>
      </c>
      <c r="AB714" s="796">
        <f t="shared" si="407"/>
        <v>3</v>
      </c>
      <c r="AC714" s="797">
        <f t="shared" si="408"/>
        <v>3</v>
      </c>
      <c r="AD714" s="797">
        <f t="shared" si="409"/>
        <v>1</v>
      </c>
      <c r="AE714" s="842">
        <f t="shared" si="410"/>
        <v>3</v>
      </c>
      <c r="AF714" s="842">
        <f t="shared" si="411"/>
        <v>3</v>
      </c>
      <c r="AG714" s="842">
        <f t="shared" si="412"/>
        <v>1</v>
      </c>
      <c r="AH714" s="842">
        <f t="shared" si="413"/>
        <v>2</v>
      </c>
      <c r="AI714" s="826" cm="1">
        <f t="array" ref="AI714">SUMPRODUCT(--ISNUMBER($U714:$AA714),$AB$3:$AH$3)</f>
        <v>1</v>
      </c>
      <c r="AJ714" s="829">
        <f t="shared" si="414"/>
        <v>28.748795684897999</v>
      </c>
      <c r="AK714" s="827" t="str">
        <f t="shared" si="415"/>
        <v>Inmadura</v>
      </c>
      <c r="AL714" s="784" t="str">
        <f t="shared" si="416"/>
        <v>Alta</v>
      </c>
      <c r="AM714" s="799">
        <f>IF(ISNUMBER('Base de datos Rutas'!W712),'Base de datos Rutas'!W712,"")</f>
        <v>3641.9429094456564</v>
      </c>
      <c r="AN714" s="787">
        <f>IFERROR(SUMIFS('Base de datos Rutas'!$W$6:$W$794,'Base de datos Rutas'!$C$6:$C$794,$C714)/'Base de datos Rutas'!I712,"")</f>
        <v>3641.9429094456527</v>
      </c>
      <c r="AO714" s="800">
        <f>IFERROR('Base de datos Rutas'!X712*AN714/AM714,"")</f>
        <v>0.35679725951519109</v>
      </c>
      <c r="AP714" s="800">
        <f t="shared" si="417"/>
        <v>0.64320274048480885</v>
      </c>
      <c r="AQ714" s="789">
        <f>IFERROR(INDEX('Hoja de apoyo v2'!$J$17:$J$20,MATCH($A714,'Hoja de apoyo v2'!$A$17:$A$20,0)),"")</f>
        <v>0.64320274048480885</v>
      </c>
      <c r="AR714" s="789">
        <f t="shared" si="418"/>
        <v>0</v>
      </c>
      <c r="AS714" s="784" t="str">
        <f t="shared" si="419"/>
        <v>No</v>
      </c>
      <c r="AT714" s="801">
        <f>IF(ISNUMBER('Base de datos Rutas'!CK712),'Base de datos Rutas'!CK712,"")</f>
        <v>334</v>
      </c>
      <c r="AU714" s="802">
        <f>IF(ISNUMBER('Base de datos Rutas'!CL712),'Base de datos Rutas'!CL712,"")</f>
        <v>385.22</v>
      </c>
      <c r="AV714" s="802">
        <f>IF(ISNUMBER('Base de datos Rutas'!CM712),'Base de datos Rutas'!CM712,"")</f>
        <v>51.220000000000027</v>
      </c>
      <c r="AW714" s="802">
        <f>IF(ISNUMBER('Base de datos Rutas'!CN712),'Base de datos Rutas'!CN712,"")</f>
        <v>11.27</v>
      </c>
      <c r="AX714" s="802">
        <f>IF(ISNUMBER('Base de datos Rutas'!CO712),'Base de datos Rutas'!CO712,"")</f>
        <v>9.4499999999999993</v>
      </c>
      <c r="AY714" s="802">
        <f>IF(ISNUMBER('Base de datos Rutas'!CP712),'Base de datos Rutas'!CP712,"")</f>
        <v>-1.8200000000000003</v>
      </c>
      <c r="AZ714" s="802">
        <f>IF(ISNUMBER('Base de datos Rutas'!CQ712),'Base de datos Rutas'!CQ712,"")</f>
        <v>846.56</v>
      </c>
      <c r="BA714" s="802">
        <f>IF(ISNUMBER('Base de datos Rutas'!CR712),'Base de datos Rutas'!CR712,"")</f>
        <v>453.1</v>
      </c>
      <c r="BB714" s="803">
        <f>IF(ISNUMBER('Base de datos Rutas'!CS712),'Base de datos Rutas'!CS712,"")</f>
        <v>393.45999999999992</v>
      </c>
      <c r="BC714" s="804">
        <f t="shared" si="429"/>
        <v>1</v>
      </c>
      <c r="BD714" s="805" t="str">
        <f t="shared" si="430"/>
        <v>Saturada</v>
      </c>
      <c r="BE714" s="806">
        <f t="shared" si="431"/>
        <v>0.53522491022491026</v>
      </c>
      <c r="BF714" s="890">
        <f>IF(ISNUMBER('Base de datos Rutas'!CX712),'Base de datos Rutas'!CX712/100,"")</f>
        <v>0.41805802526906871</v>
      </c>
      <c r="BG714" s="891">
        <f>IF(ISNUMBER('Base de datos Rutas'!CZ712),'Base de datos Rutas'!CZ712/100,"")</f>
        <v>0.43004211511464668</v>
      </c>
      <c r="BH714" s="892">
        <f>IF(ISNUMBER('Base de datos Rutas'!DA712),'Base de datos Rutas'!DA712,"")</f>
        <v>210.79973041833708</v>
      </c>
      <c r="BI714" s="893">
        <f>IF(ISNUMBER('Base de datos Rutas'!DC712),'Base de datos Rutas'!DC712,"")</f>
        <v>9.6682226568821932</v>
      </c>
      <c r="BJ714" s="805" t="str">
        <f t="shared" si="432"/>
        <v>Ruta (completo)</v>
      </c>
      <c r="BK714" s="783">
        <f t="shared" si="420"/>
        <v>2</v>
      </c>
      <c r="BL714" s="797">
        <f t="shared" si="421"/>
        <v>2</v>
      </c>
      <c r="BM714" s="797">
        <f t="shared" si="422"/>
        <v>3</v>
      </c>
      <c r="BN714" s="797">
        <f t="shared" si="423"/>
        <v>3</v>
      </c>
      <c r="BO714" s="798" cm="1">
        <f t="array" ref="BO714">SUMPRODUCT(--ISNUMBER($BF714:$BI714),$BK$3:$BN$3)</f>
        <v>1</v>
      </c>
      <c r="BP714" s="831">
        <f t="shared" si="433"/>
        <v>37.5</v>
      </c>
      <c r="BQ714" s="834" t="str">
        <f t="shared" si="434"/>
        <v>Medio</v>
      </c>
      <c r="BR714" s="836">
        <f t="shared" si="424"/>
        <v>46.561596763673499</v>
      </c>
      <c r="BS714" s="836">
        <f t="shared" si="425"/>
        <v>37.5</v>
      </c>
      <c r="BT714" s="837" t="str">
        <f t="shared" si="426"/>
        <v>P2</v>
      </c>
      <c r="BU714" s="807" t="str">
        <f t="shared" si="435"/>
        <v>Al tope</v>
      </c>
      <c r="BV714" s="807" t="str">
        <f t="shared" si="427"/>
        <v>Zona de bajo potencial</v>
      </c>
      <c r="BW714" s="808" t="str">
        <f t="shared" si="428"/>
        <v>P2 - Mantener</v>
      </c>
    </row>
    <row r="715" spans="1:75">
      <c r="A715" s="780" t="str">
        <f>'Base de datos Rutas'!A713</f>
        <v>Occidente</v>
      </c>
      <c r="B715" s="781" t="str">
        <f>'Base de datos Rutas'!B713</f>
        <v>San Luis</v>
      </c>
      <c r="C715" s="781" t="str">
        <f>'Base de datos Rutas'!C713</f>
        <v>Planta San Luis</v>
      </c>
      <c r="D715" s="782">
        <f>IF(ISNUMBER('Base de datos Rutas'!D713),'Base de datos Rutas'!D713,"Sin código")</f>
        <v>916402</v>
      </c>
      <c r="E715" s="783" t="str">
        <f>'Base de datos Rutas'!F713</f>
        <v>Activa</v>
      </c>
      <c r="F715" s="784" t="str">
        <f>'Base de datos Rutas'!H713</f>
        <v>Sí</v>
      </c>
      <c r="G715" s="785">
        <f>IF(ISNUMBER('Base de datos Rutas'!BE713),'Base de datos Rutas'!BE713,"")</f>
        <v>69.032407407407405</v>
      </c>
      <c r="H715" s="786">
        <f>IF(ISNUMBER('Base de datos Rutas'!BH713),'Base de datos Rutas'!BH713,"")</f>
        <v>0.65099590906042504</v>
      </c>
      <c r="I715" s="788">
        <f>IFERROR(IF(OR(NOT(ISNUMBER('Base de datos Rutas'!O713)),N('Base de datos Rutas'!BK713)=0),"",'Base de datos Rutas'!O713/('Base de datos Rutas'!L713/'Base de datos Rutas'!BK713)),"")</f>
        <v>3677.2916666666638</v>
      </c>
      <c r="J715" s="788">
        <f>IFERROR(IF(OR(NOT(ISNUMBER('Base de datos Rutas'!N713)),N('Base de datos Rutas'!BK713)=0),"",'Base de datos Rutas'!N713/('Base de datos Rutas'!L713/'Base de datos Rutas'!BK713)),"")</f>
        <v>6561.9143518518467</v>
      </c>
      <c r="K715" s="788">
        <f>IFERROR(IF(OR(NOT(ISNUMBER('Base de datos Rutas'!J713)),N('Base de datos Rutas'!BK713)=0),"",'Base de datos Rutas'!J713/('Base de datos Rutas'!L713/'Base de datos Rutas'!BK713)),"")</f>
        <v>446.14620555555524</v>
      </c>
      <c r="L715" s="788">
        <f>IFERROR(IF(OR(NOT(ISNUMBER('Base de datos Rutas'!K713)),N('Base de datos Rutas'!BK713)=0),"",'Base de datos Rutas'!K713/('Base de datos Rutas'!L713/'Base de datos Rutas'!BK713)),"")</f>
        <v>27.937994439814794</v>
      </c>
      <c r="M715" s="787">
        <f>IF(ISNUMBER('Base de datos Rutas'!AX713),'Base de datos Rutas'!AX713,"")</f>
        <v>227.842511589575</v>
      </c>
      <c r="N715" s="790">
        <f>IFERROR(INDEX('Hoja de apoyo v2'!B$17:B$20,MATCH($A715,'Hoja de apoyo v2'!$A$17:$A$20,0)),"")</f>
        <v>89.41621024641401</v>
      </c>
      <c r="O715" s="791">
        <f>IFERROR(INDEX('Hoja de apoyo v2'!C$17:C$20,MATCH($A715,'Hoja de apoyo v2'!$A$17:$A$20,0)),"")</f>
        <v>0.54706375874806301</v>
      </c>
      <c r="P715" s="793">
        <f>IFERROR(INDEX('Hoja de apoyo v2'!D$17:D$20,MATCH($A715,'Hoja de apoyo v2'!$A$17:$A$20,0)),"")</f>
        <v>11095.153935793827</v>
      </c>
      <c r="Q715" s="793">
        <f>IFERROR(INDEX('Hoja de apoyo v2'!E$17:E$20,MATCH($A715,'Hoja de apoyo v2'!$A$17:$A$20,0)),"")</f>
        <v>6982.3202019701848</v>
      </c>
      <c r="R715" s="793">
        <f>IFERROR(INDEX('Hoja de apoyo v2'!F$17:F$20,MATCH($A715,'Hoja de apoyo v2'!$A$17:$A$20,0)),"")</f>
        <v>448.09513474485743</v>
      </c>
      <c r="S715" s="793">
        <f>IFERROR(INDEX('Hoja de apoyo v2'!G$17:G$20,MATCH($A715,'Hoja de apoyo v2'!$A$17:$A$20,0)),"")</f>
        <v>83.406300904207839</v>
      </c>
      <c r="T715" s="792">
        <f>IFERROR(INDEX('Hoja de apoyo v2'!H$17:H$20,MATCH($A715,'Hoja de apoyo v2'!$A$17:$A$20,0)),"")</f>
        <v>378.97014028925349</v>
      </c>
      <c r="U715" s="794">
        <f t="shared" si="400"/>
        <v>0.77203459213007641</v>
      </c>
      <c r="V715" s="795">
        <f t="shared" si="401"/>
        <v>1.1899817866754823</v>
      </c>
      <c r="W715" s="795">
        <f t="shared" si="402"/>
        <v>0.33143223500517965</v>
      </c>
      <c r="X715" s="843">
        <f t="shared" si="403"/>
        <v>0.93978994976487717</v>
      </c>
      <c r="Y715" s="843">
        <f t="shared" si="404"/>
        <v>0.99565063523751063</v>
      </c>
      <c r="Z715" s="843">
        <f t="shared" si="405"/>
        <v>0.33496263635887158</v>
      </c>
      <c r="AA715" s="843">
        <f t="shared" si="406"/>
        <v>0.60121494378335838</v>
      </c>
      <c r="AB715" s="796">
        <f t="shared" si="407"/>
        <v>3</v>
      </c>
      <c r="AC715" s="797">
        <f t="shared" si="408"/>
        <v>4</v>
      </c>
      <c r="AD715" s="797">
        <f t="shared" si="409"/>
        <v>1</v>
      </c>
      <c r="AE715" s="842">
        <f t="shared" si="410"/>
        <v>3</v>
      </c>
      <c r="AF715" s="842">
        <f t="shared" si="411"/>
        <v>3</v>
      </c>
      <c r="AG715" s="842">
        <f t="shared" si="412"/>
        <v>1</v>
      </c>
      <c r="AH715" s="842">
        <f t="shared" si="413"/>
        <v>2</v>
      </c>
      <c r="AI715" s="826" cm="1">
        <f t="array" ref="AI715">SUMPRODUCT(--ISNUMBER($U715:$AA715),$AB$3:$AH$3)</f>
        <v>1</v>
      </c>
      <c r="AJ715" s="829">
        <f t="shared" si="414"/>
        <v>31.131701270788469</v>
      </c>
      <c r="AK715" s="827" t="str">
        <f t="shared" si="415"/>
        <v>Inmadura</v>
      </c>
      <c r="AL715" s="784" t="str">
        <f t="shared" si="416"/>
        <v>Alta</v>
      </c>
      <c r="AM715" s="799">
        <f>IF(ISNUMBER('Base de datos Rutas'!W713),'Base de datos Rutas'!W713,"")</f>
        <v>3641.9429094456564</v>
      </c>
      <c r="AN715" s="787">
        <f>IFERROR(SUMIFS('Base de datos Rutas'!$W$6:$W$794,'Base de datos Rutas'!$C$6:$C$794,$C715)/'Base de datos Rutas'!I713,"")</f>
        <v>3641.9429094456527</v>
      </c>
      <c r="AO715" s="800">
        <f>IFERROR('Base de datos Rutas'!X713*AN715/AM715,"")</f>
        <v>0.35679725951519109</v>
      </c>
      <c r="AP715" s="800">
        <f t="shared" si="417"/>
        <v>0.64320274048480885</v>
      </c>
      <c r="AQ715" s="789">
        <f>IFERROR(INDEX('Hoja de apoyo v2'!$J$17:$J$20,MATCH($A715,'Hoja de apoyo v2'!$A$17:$A$20,0)),"")</f>
        <v>0.64320274048480885</v>
      </c>
      <c r="AR715" s="789">
        <f t="shared" si="418"/>
        <v>0</v>
      </c>
      <c r="AS715" s="784" t="str">
        <f t="shared" si="419"/>
        <v>No</v>
      </c>
      <c r="AT715" s="801">
        <f>IF(ISNUMBER('Base de datos Rutas'!CK713),'Base de datos Rutas'!CK713,"")</f>
        <v>372</v>
      </c>
      <c r="AU715" s="802">
        <f>IF(ISNUMBER('Base de datos Rutas'!CL713),'Base de datos Rutas'!CL713,"")</f>
        <v>405.2</v>
      </c>
      <c r="AV715" s="802">
        <f>IF(ISNUMBER('Base de datos Rutas'!CM713),'Base de datos Rutas'!CM713,"")</f>
        <v>33.199999999999989</v>
      </c>
      <c r="AW715" s="802">
        <f>IF(ISNUMBER('Base de datos Rutas'!CN713),'Base de datos Rutas'!CN713,"")</f>
        <v>8.9499999999999993</v>
      </c>
      <c r="AX715" s="802">
        <f>IF(ISNUMBER('Base de datos Rutas'!CO713),'Base de datos Rutas'!CO713,"")</f>
        <v>9.4499999999999993</v>
      </c>
      <c r="AY715" s="802">
        <f>IF(ISNUMBER('Base de datos Rutas'!CP713),'Base de datos Rutas'!CP713,"")</f>
        <v>0.5</v>
      </c>
      <c r="AZ715" s="802">
        <f>IF(ISNUMBER('Base de datos Rutas'!CQ713),'Base de datos Rutas'!CQ713,"")</f>
        <v>846.56</v>
      </c>
      <c r="BA715" s="802">
        <f>IF(ISNUMBER('Base de datos Rutas'!CR713),'Base de datos Rutas'!CR713,"")</f>
        <v>474.08</v>
      </c>
      <c r="BB715" s="803">
        <f>IF(ISNUMBER('Base de datos Rutas'!CS713),'Base de datos Rutas'!CS713,"")</f>
        <v>372.47999999999996</v>
      </c>
      <c r="BC715" s="804">
        <f t="shared" si="429"/>
        <v>0</v>
      </c>
      <c r="BD715" s="805" t="str">
        <f t="shared" si="430"/>
        <v>No saturada</v>
      </c>
      <c r="BE715" s="806">
        <f t="shared" si="431"/>
        <v>0.56000756000756002</v>
      </c>
      <c r="BF715" s="890">
        <f>IF(ISNUMBER('Base de datos Rutas'!CX713),'Base de datos Rutas'!CX713/100,"")</f>
        <v>0.68117860851505729</v>
      </c>
      <c r="BG715" s="891">
        <f>IF(ISNUMBER('Base de datos Rutas'!CZ713),'Base de datos Rutas'!CZ713/100,"")</f>
        <v>0.68548805815160951</v>
      </c>
      <c r="BH715" s="892">
        <f>IF(ISNUMBER('Base de datos Rutas'!DA713),'Base de datos Rutas'!DA713,"")</f>
        <v>148.41868763893916</v>
      </c>
      <c r="BI715" s="893">
        <f>IF(ISNUMBER('Base de datos Rutas'!DC713),'Base de datos Rutas'!DC713,"")</f>
        <v>6.5426653052783958</v>
      </c>
      <c r="BJ715" s="805" t="str">
        <f t="shared" si="432"/>
        <v>Ruta (completo)</v>
      </c>
      <c r="BK715" s="783">
        <f t="shared" si="420"/>
        <v>3</v>
      </c>
      <c r="BL715" s="797">
        <f t="shared" si="421"/>
        <v>3</v>
      </c>
      <c r="BM715" s="797">
        <f t="shared" si="422"/>
        <v>3</v>
      </c>
      <c r="BN715" s="797">
        <f t="shared" si="423"/>
        <v>3</v>
      </c>
      <c r="BO715" s="798" cm="1">
        <f t="array" ref="BO715">SUMPRODUCT(--ISNUMBER($BF715:$BI715),$BK$3:$BN$3)</f>
        <v>1</v>
      </c>
      <c r="BP715" s="831">
        <f t="shared" si="433"/>
        <v>50</v>
      </c>
      <c r="BQ715" s="834" t="str">
        <f t="shared" si="434"/>
        <v>Alto</v>
      </c>
      <c r="BR715" s="836">
        <f t="shared" si="424"/>
        <v>23.348775953091351</v>
      </c>
      <c r="BS715" s="836">
        <f t="shared" si="425"/>
        <v>50</v>
      </c>
      <c r="BT715" s="837" t="str">
        <f t="shared" si="426"/>
        <v>P3</v>
      </c>
      <c r="BU715" s="807" t="str">
        <f t="shared" si="435"/>
        <v>Con espacio</v>
      </c>
      <c r="BV715" s="807" t="str">
        <f t="shared" si="427"/>
        <v>Zona atractiva</v>
      </c>
      <c r="BW715" s="808" t="str">
        <f t="shared" si="428"/>
        <v>P3 - Desarrollar</v>
      </c>
    </row>
    <row r="716" spans="1:75">
      <c r="A716" s="780" t="str">
        <f>'Base de datos Rutas'!A714</f>
        <v>Occidente</v>
      </c>
      <c r="B716" s="781" t="str">
        <f>'Base de datos Rutas'!B714</f>
        <v>San Luis</v>
      </c>
      <c r="C716" s="781" t="str">
        <f>'Base de datos Rutas'!C714</f>
        <v>Planta San Luis</v>
      </c>
      <c r="D716" s="782">
        <f>IF(ISNUMBER('Base de datos Rutas'!D714),'Base de datos Rutas'!D714,"Sin código")</f>
        <v>916403</v>
      </c>
      <c r="E716" s="783" t="str">
        <f>'Base de datos Rutas'!F714</f>
        <v>Activa</v>
      </c>
      <c r="F716" s="784" t="str">
        <f>'Base de datos Rutas'!H714</f>
        <v>Sí</v>
      </c>
      <c r="G716" s="785">
        <f>IF(ISNUMBER('Base de datos Rutas'!BE714),'Base de datos Rutas'!BE714,"")</f>
        <v>64.566513761467903</v>
      </c>
      <c r="H716" s="786">
        <f>IF(ISNUMBER('Base de datos Rutas'!BH714),'Base de datos Rutas'!BH714,"")</f>
        <v>0.60274945827856896</v>
      </c>
      <c r="I716" s="788">
        <f>IFERROR(IF(OR(NOT(ISNUMBER('Base de datos Rutas'!O714)),N('Base de datos Rutas'!BK714)=0),"",'Base de datos Rutas'!O714/('Base de datos Rutas'!L714/'Base de datos Rutas'!BK714)),"")</f>
        <v>3272.5114678899122</v>
      </c>
      <c r="J716" s="788">
        <f>IFERROR(IF(OR(NOT(ISNUMBER('Base de datos Rutas'!N714)),N('Base de datos Rutas'!BK714)=0),"",'Base de datos Rutas'!N714/('Base de datos Rutas'!L714/'Base de datos Rutas'!BK714)),"")</f>
        <v>8026.3463302752389</v>
      </c>
      <c r="K716" s="788">
        <f>IFERROR(IF(OR(NOT(ISNUMBER('Base de datos Rutas'!J714)),N('Base de datos Rutas'!BK714)=0),"",'Base de datos Rutas'!J714/('Base de datos Rutas'!L714/'Base de datos Rutas'!BK714)),"")</f>
        <v>538.46670275229189</v>
      </c>
      <c r="L716" s="788">
        <f>IFERROR(IF(OR(NOT(ISNUMBER('Base de datos Rutas'!K714)),N('Base de datos Rutas'!BK714)=0),"",'Base de datos Rutas'!K714/('Base de datos Rutas'!L714/'Base de datos Rutas'!BK714)),"")</f>
        <v>24.946367532110123</v>
      </c>
      <c r="M716" s="787">
        <f>IF(ISNUMBER('Base de datos Rutas'!AX714),'Base de datos Rutas'!AX714,"")</f>
        <v>290.328906176332</v>
      </c>
      <c r="N716" s="790">
        <f>IFERROR(INDEX('Hoja de apoyo v2'!B$17:B$20,MATCH($A716,'Hoja de apoyo v2'!$A$17:$A$20,0)),"")</f>
        <v>89.41621024641401</v>
      </c>
      <c r="O716" s="791">
        <f>IFERROR(INDEX('Hoja de apoyo v2'!C$17:C$20,MATCH($A716,'Hoja de apoyo v2'!$A$17:$A$20,0)),"")</f>
        <v>0.54706375874806301</v>
      </c>
      <c r="P716" s="793">
        <f>IFERROR(INDEX('Hoja de apoyo v2'!D$17:D$20,MATCH($A716,'Hoja de apoyo v2'!$A$17:$A$20,0)),"")</f>
        <v>11095.153935793827</v>
      </c>
      <c r="Q716" s="793">
        <f>IFERROR(INDEX('Hoja de apoyo v2'!E$17:E$20,MATCH($A716,'Hoja de apoyo v2'!$A$17:$A$20,0)),"")</f>
        <v>6982.3202019701848</v>
      </c>
      <c r="R716" s="793">
        <f>IFERROR(INDEX('Hoja de apoyo v2'!F$17:F$20,MATCH($A716,'Hoja de apoyo v2'!$A$17:$A$20,0)),"")</f>
        <v>448.09513474485743</v>
      </c>
      <c r="S716" s="793">
        <f>IFERROR(INDEX('Hoja de apoyo v2'!G$17:G$20,MATCH($A716,'Hoja de apoyo v2'!$A$17:$A$20,0)),"")</f>
        <v>83.406300904207839</v>
      </c>
      <c r="T716" s="792">
        <f>IFERROR(INDEX('Hoja de apoyo v2'!H$17:H$20,MATCH($A716,'Hoja de apoyo v2'!$A$17:$A$20,0)),"")</f>
        <v>378.97014028925349</v>
      </c>
      <c r="U716" s="794">
        <f t="shared" si="400"/>
        <v>0.72208958066479123</v>
      </c>
      <c r="V716" s="795">
        <f t="shared" si="401"/>
        <v>1.1017901453716124</v>
      </c>
      <c r="W716" s="795">
        <f t="shared" si="402"/>
        <v>0.29494962276571363</v>
      </c>
      <c r="X716" s="843">
        <f t="shared" si="403"/>
        <v>1.1495242409551003</v>
      </c>
      <c r="Y716" s="843">
        <f t="shared" si="404"/>
        <v>1.201679422515693</v>
      </c>
      <c r="Z716" s="843">
        <f t="shared" si="405"/>
        <v>0.29909451997830516</v>
      </c>
      <c r="AA716" s="843">
        <f t="shared" si="406"/>
        <v>0.76609968784014215</v>
      </c>
      <c r="AB716" s="796">
        <f t="shared" si="407"/>
        <v>2</v>
      </c>
      <c r="AC716" s="797">
        <f t="shared" si="408"/>
        <v>4</v>
      </c>
      <c r="AD716" s="797">
        <f t="shared" si="409"/>
        <v>1</v>
      </c>
      <c r="AE716" s="842">
        <f t="shared" si="410"/>
        <v>4</v>
      </c>
      <c r="AF716" s="842">
        <f t="shared" si="411"/>
        <v>4</v>
      </c>
      <c r="AG716" s="842">
        <f t="shared" si="412"/>
        <v>1</v>
      </c>
      <c r="AH716" s="842">
        <f t="shared" si="413"/>
        <v>3</v>
      </c>
      <c r="AI716" s="826" cm="1">
        <f t="array" ref="AI716">SUMPRODUCT(--ISNUMBER($U716:$AA716),$AB$3:$AH$3)</f>
        <v>1</v>
      </c>
      <c r="AJ716" s="829">
        <f t="shared" si="414"/>
        <v>35.178285091236773</v>
      </c>
      <c r="AK716" s="827" t="str">
        <f t="shared" si="415"/>
        <v>Inmadura</v>
      </c>
      <c r="AL716" s="784" t="str">
        <f t="shared" si="416"/>
        <v>Alta</v>
      </c>
      <c r="AM716" s="799">
        <f>IF(ISNUMBER('Base de datos Rutas'!W714),'Base de datos Rutas'!W714,"")</f>
        <v>3641.9429094456564</v>
      </c>
      <c r="AN716" s="787">
        <f>IFERROR(SUMIFS('Base de datos Rutas'!$W$6:$W$794,'Base de datos Rutas'!$C$6:$C$794,$C716)/'Base de datos Rutas'!I714,"")</f>
        <v>3641.9429094456527</v>
      </c>
      <c r="AO716" s="800">
        <f>IFERROR('Base de datos Rutas'!X714*AN716/AM716,"")</f>
        <v>0.35679725951519109</v>
      </c>
      <c r="AP716" s="800">
        <f t="shared" si="417"/>
        <v>0.64320274048480885</v>
      </c>
      <c r="AQ716" s="789">
        <f>IFERROR(INDEX('Hoja de apoyo v2'!$J$17:$J$20,MATCH($A716,'Hoja de apoyo v2'!$A$17:$A$20,0)),"")</f>
        <v>0.64320274048480885</v>
      </c>
      <c r="AR716" s="789">
        <f t="shared" si="418"/>
        <v>0</v>
      </c>
      <c r="AS716" s="784" t="str">
        <f t="shared" si="419"/>
        <v>No</v>
      </c>
      <c r="AT716" s="801">
        <f>IF(ISNUMBER('Base de datos Rutas'!CK714),'Base de datos Rutas'!CK714,"")</f>
        <v>335</v>
      </c>
      <c r="AU716" s="802">
        <f>IF(ISNUMBER('Base de datos Rutas'!CL714),'Base de datos Rutas'!CL714,"")</f>
        <v>442.85</v>
      </c>
      <c r="AV716" s="802">
        <f>IF(ISNUMBER('Base de datos Rutas'!CM714),'Base de datos Rutas'!CM714,"")</f>
        <v>107.85000000000002</v>
      </c>
      <c r="AW716" s="802">
        <f>IF(ISNUMBER('Base de datos Rutas'!CN714),'Base de datos Rutas'!CN714,"")</f>
        <v>9.43</v>
      </c>
      <c r="AX716" s="802">
        <f>IF(ISNUMBER('Base de datos Rutas'!CO714),'Base de datos Rutas'!CO714,"")</f>
        <v>9.4499999999999993</v>
      </c>
      <c r="AY716" s="802">
        <f>IF(ISNUMBER('Base de datos Rutas'!CP714),'Base de datos Rutas'!CP714,"")</f>
        <v>1.9999999999999574E-2</v>
      </c>
      <c r="AZ716" s="802">
        <f>IF(ISNUMBER('Base de datos Rutas'!CQ714),'Base de datos Rutas'!CQ714,"")</f>
        <v>846.56</v>
      </c>
      <c r="BA716" s="802">
        <f>IF(ISNUMBER('Base de datos Rutas'!CR714),'Base de datos Rutas'!CR714,"")</f>
        <v>563.41</v>
      </c>
      <c r="BB716" s="803">
        <f>IF(ISNUMBER('Base de datos Rutas'!CS714),'Base de datos Rutas'!CS714,"")</f>
        <v>283.14999999999998</v>
      </c>
      <c r="BC716" s="804">
        <f t="shared" si="429"/>
        <v>0</v>
      </c>
      <c r="BD716" s="805" t="str">
        <f t="shared" si="430"/>
        <v>No saturada</v>
      </c>
      <c r="BE716" s="806">
        <f t="shared" si="431"/>
        <v>0.66552872802872809</v>
      </c>
      <c r="BF716" s="890">
        <f>IF(ISNUMBER('Base de datos Rutas'!CX714),'Base de datos Rutas'!CX714/100,"")</f>
        <v>0.69911017524792807</v>
      </c>
      <c r="BG716" s="891">
        <f>IF(ISNUMBER('Base de datos Rutas'!CZ714),'Base de datos Rutas'!CZ714/100,"")</f>
        <v>0.71376171715799486</v>
      </c>
      <c r="BH716" s="892">
        <f>IF(ISNUMBER('Base de datos Rutas'!DA714),'Base de datos Rutas'!DA714,"")</f>
        <v>142.90858967578677</v>
      </c>
      <c r="BI716" s="893">
        <f>IF(ISNUMBER('Base de datos Rutas'!DC714),'Base de datos Rutas'!DC714,"")</f>
        <v>6.8053582546175111</v>
      </c>
      <c r="BJ716" s="805" t="str">
        <f t="shared" si="432"/>
        <v>Ruta (completo)</v>
      </c>
      <c r="BK716" s="783">
        <f t="shared" si="420"/>
        <v>4</v>
      </c>
      <c r="BL716" s="797">
        <f t="shared" si="421"/>
        <v>4</v>
      </c>
      <c r="BM716" s="797">
        <f t="shared" si="422"/>
        <v>3</v>
      </c>
      <c r="BN716" s="797">
        <f t="shared" si="423"/>
        <v>3</v>
      </c>
      <c r="BO716" s="798" cm="1">
        <f t="array" ref="BO716">SUMPRODUCT(--ISNUMBER($BF716:$BI716),$BK$3:$BN$3)</f>
        <v>1</v>
      </c>
      <c r="BP716" s="831">
        <f t="shared" si="433"/>
        <v>62.5</v>
      </c>
      <c r="BQ716" s="834" t="str">
        <f t="shared" si="434"/>
        <v>Alto</v>
      </c>
      <c r="BR716" s="836">
        <f t="shared" si="424"/>
        <v>26.38371381842758</v>
      </c>
      <c r="BS716" s="836">
        <f t="shared" si="425"/>
        <v>62.5</v>
      </c>
      <c r="BT716" s="837" t="str">
        <f t="shared" si="426"/>
        <v>P3</v>
      </c>
      <c r="BU716" s="807" t="str">
        <f t="shared" si="435"/>
        <v>Con espacio</v>
      </c>
      <c r="BV716" s="807" t="str">
        <f t="shared" si="427"/>
        <v>Zona atractiva</v>
      </c>
      <c r="BW716" s="808" t="str">
        <f t="shared" si="428"/>
        <v>P3 - Desarrollar</v>
      </c>
    </row>
    <row r="717" spans="1:75">
      <c r="A717" s="780" t="str">
        <f>'Base de datos Rutas'!A715</f>
        <v>Occidente</v>
      </c>
      <c r="B717" s="781" t="str">
        <f>'Base de datos Rutas'!B715</f>
        <v>San Luis</v>
      </c>
      <c r="C717" s="781" t="str">
        <f>'Base de datos Rutas'!C715</f>
        <v>Planta San Luis</v>
      </c>
      <c r="D717" s="782">
        <f>IF(ISNUMBER('Base de datos Rutas'!D715),'Base de datos Rutas'!D715,"Sin código")</f>
        <v>916404</v>
      </c>
      <c r="E717" s="783" t="str">
        <f>'Base de datos Rutas'!F715</f>
        <v>Activa</v>
      </c>
      <c r="F717" s="784" t="str">
        <f>'Base de datos Rutas'!H715</f>
        <v>Sí</v>
      </c>
      <c r="G717" s="785">
        <f>IF(ISNUMBER('Base de datos Rutas'!BE715),'Base de datos Rutas'!BE715,"")</f>
        <v>80.069605568445496</v>
      </c>
      <c r="H717" s="786">
        <f>IF(ISNUMBER('Base de datos Rutas'!BH715),'Base de datos Rutas'!BH715,"")</f>
        <v>0.43981454650825902</v>
      </c>
      <c r="I717" s="788">
        <f>IFERROR(IF(OR(NOT(ISNUMBER('Base de datos Rutas'!O715)),N('Base de datos Rutas'!BK715)=0),"",'Base de datos Rutas'!O715/('Base de datos Rutas'!L715/'Base de datos Rutas'!BK715)),"")</f>
        <v>2575.095127610211</v>
      </c>
      <c r="J717" s="788">
        <f>IFERROR(IF(OR(NOT(ISNUMBER('Base de datos Rutas'!N715)),N('Base de datos Rutas'!BK715)=0),"",'Base de datos Rutas'!N715/('Base de datos Rutas'!L715/'Base de datos Rutas'!BK715)),"")</f>
        <v>5420.3735498839951</v>
      </c>
      <c r="K717" s="788">
        <f>IFERROR(IF(OR(NOT(ISNUMBER('Base de datos Rutas'!J715)),N('Base de datos Rutas'!BK715)=0),"",'Base de datos Rutas'!J715/('Base de datos Rutas'!L715/'Base de datos Rutas'!BK715)),"")</f>
        <v>366.051730858469</v>
      </c>
      <c r="L717" s="788">
        <f>IFERROR(IF(OR(NOT(ISNUMBER('Base de datos Rutas'!K715)),N('Base de datos Rutas'!BK715)=0),"",'Base de datos Rutas'!K715/('Base de datos Rutas'!L715/'Base de datos Rutas'!BK715)),"")</f>
        <v>21.315403675174032</v>
      </c>
      <c r="M717" s="787">
        <f>IF(ISNUMBER('Base de datos Rutas'!AX715),'Base de datos Rutas'!AX715,"")</f>
        <v>227.04232837000899</v>
      </c>
      <c r="N717" s="790">
        <f>IFERROR(INDEX('Hoja de apoyo v2'!B$17:B$20,MATCH($A717,'Hoja de apoyo v2'!$A$17:$A$20,0)),"")</f>
        <v>89.41621024641401</v>
      </c>
      <c r="O717" s="791">
        <f>IFERROR(INDEX('Hoja de apoyo v2'!C$17:C$20,MATCH($A717,'Hoja de apoyo v2'!$A$17:$A$20,0)),"")</f>
        <v>0.54706375874806301</v>
      </c>
      <c r="P717" s="793">
        <f>IFERROR(INDEX('Hoja de apoyo v2'!D$17:D$20,MATCH($A717,'Hoja de apoyo v2'!$A$17:$A$20,0)),"")</f>
        <v>11095.153935793827</v>
      </c>
      <c r="Q717" s="793">
        <f>IFERROR(INDEX('Hoja de apoyo v2'!E$17:E$20,MATCH($A717,'Hoja de apoyo v2'!$A$17:$A$20,0)),"")</f>
        <v>6982.3202019701848</v>
      </c>
      <c r="R717" s="793">
        <f>IFERROR(INDEX('Hoja de apoyo v2'!F$17:F$20,MATCH($A717,'Hoja de apoyo v2'!$A$17:$A$20,0)),"")</f>
        <v>448.09513474485743</v>
      </c>
      <c r="S717" s="793">
        <f>IFERROR(INDEX('Hoja de apoyo v2'!G$17:G$20,MATCH($A717,'Hoja de apoyo v2'!$A$17:$A$20,0)),"")</f>
        <v>83.406300904207839</v>
      </c>
      <c r="T717" s="792">
        <f>IFERROR(INDEX('Hoja de apoyo v2'!H$17:H$20,MATCH($A717,'Hoja de apoyo v2'!$A$17:$A$20,0)),"")</f>
        <v>378.97014028925349</v>
      </c>
      <c r="U717" s="794">
        <f t="shared" si="400"/>
        <v>0.89547080275253166</v>
      </c>
      <c r="V717" s="795">
        <f t="shared" si="401"/>
        <v>0.80395482149056963</v>
      </c>
      <c r="W717" s="795">
        <f t="shared" si="402"/>
        <v>0.23209187925755173</v>
      </c>
      <c r="X717" s="843">
        <f t="shared" si="403"/>
        <v>0.77629976756931618</v>
      </c>
      <c r="Y717" s="843">
        <f t="shared" si="404"/>
        <v>0.81690628278500854</v>
      </c>
      <c r="Z717" s="843">
        <f t="shared" si="405"/>
        <v>0.25556107205443362</v>
      </c>
      <c r="AA717" s="843">
        <f t="shared" si="406"/>
        <v>0.59910347605939673</v>
      </c>
      <c r="AB717" s="796">
        <f t="shared" si="407"/>
        <v>3</v>
      </c>
      <c r="AC717" s="797">
        <f t="shared" si="408"/>
        <v>3</v>
      </c>
      <c r="AD717" s="797">
        <f t="shared" si="409"/>
        <v>1</v>
      </c>
      <c r="AE717" s="842">
        <f t="shared" si="410"/>
        <v>3</v>
      </c>
      <c r="AF717" s="842">
        <f t="shared" si="411"/>
        <v>3</v>
      </c>
      <c r="AG717" s="842">
        <f t="shared" si="412"/>
        <v>1</v>
      </c>
      <c r="AH717" s="842">
        <f t="shared" si="413"/>
        <v>2</v>
      </c>
      <c r="AI717" s="826" cm="1">
        <f t="array" ref="AI717">SUMPRODUCT(--ISNUMBER($U717:$AA717),$AB$3:$AH$3)</f>
        <v>1</v>
      </c>
      <c r="AJ717" s="829">
        <f t="shared" si="414"/>
        <v>28.748795684897999</v>
      </c>
      <c r="AK717" s="827" t="str">
        <f t="shared" si="415"/>
        <v>Inmadura</v>
      </c>
      <c r="AL717" s="784" t="str">
        <f t="shared" si="416"/>
        <v>Alta</v>
      </c>
      <c r="AM717" s="799">
        <f>IF(ISNUMBER('Base de datos Rutas'!W715),'Base de datos Rutas'!W715,"")</f>
        <v>3641.9429094456564</v>
      </c>
      <c r="AN717" s="787">
        <f>IFERROR(SUMIFS('Base de datos Rutas'!$W$6:$W$794,'Base de datos Rutas'!$C$6:$C$794,$C717)/'Base de datos Rutas'!I715,"")</f>
        <v>3641.9429094456527</v>
      </c>
      <c r="AO717" s="800">
        <f>IFERROR('Base de datos Rutas'!X715*AN717/AM717,"")</f>
        <v>0.35679725951519109</v>
      </c>
      <c r="AP717" s="800">
        <f t="shared" si="417"/>
        <v>0.64320274048480885</v>
      </c>
      <c r="AQ717" s="789">
        <f>IFERROR(INDEX('Hoja de apoyo v2'!$J$17:$J$20,MATCH($A717,'Hoja de apoyo v2'!$A$17:$A$20,0)),"")</f>
        <v>0.64320274048480885</v>
      </c>
      <c r="AR717" s="789">
        <f t="shared" si="418"/>
        <v>0</v>
      </c>
      <c r="AS717" s="784" t="str">
        <f t="shared" si="419"/>
        <v>No</v>
      </c>
      <c r="AT717" s="801">
        <f>IF(ISNUMBER('Base de datos Rutas'!CK715),'Base de datos Rutas'!CK715,"")</f>
        <v>232</v>
      </c>
      <c r="AU717" s="802">
        <f>IF(ISNUMBER('Base de datos Rutas'!CL715),'Base de datos Rutas'!CL715,"")</f>
        <v>364.34</v>
      </c>
      <c r="AV717" s="802">
        <f>IF(ISNUMBER('Base de datos Rutas'!CM715),'Base de datos Rutas'!CM715,"")</f>
        <v>132.33999999999997</v>
      </c>
      <c r="AW717" s="802">
        <f>IF(ISNUMBER('Base de datos Rutas'!CN715),'Base de datos Rutas'!CN715,"")</f>
        <v>7.22</v>
      </c>
      <c r="AX717" s="802">
        <f>IF(ISNUMBER('Base de datos Rutas'!CO715),'Base de datos Rutas'!CO715,"")</f>
        <v>9.4499999999999993</v>
      </c>
      <c r="AY717" s="802">
        <f>IF(ISNUMBER('Base de datos Rutas'!CP715),'Base de datos Rutas'!CP715,"")</f>
        <v>2.2299999999999995</v>
      </c>
      <c r="AZ717" s="802">
        <f>IF(ISNUMBER('Base de datos Rutas'!CQ715),'Base de datos Rutas'!CQ715,"")</f>
        <v>846.56</v>
      </c>
      <c r="BA717" s="802">
        <f>IF(ISNUMBER('Base de datos Rutas'!CR715),'Base de datos Rutas'!CR715,"")</f>
        <v>387.37</v>
      </c>
      <c r="BB717" s="803">
        <f>IF(ISNUMBER('Base de datos Rutas'!CS715),'Base de datos Rutas'!CS715,"")</f>
        <v>459.18999999999994</v>
      </c>
      <c r="BC717" s="804">
        <f t="shared" si="429"/>
        <v>0</v>
      </c>
      <c r="BD717" s="805" t="str">
        <f t="shared" si="430"/>
        <v>No saturada</v>
      </c>
      <c r="BE717" s="806">
        <f t="shared" si="431"/>
        <v>0.45758127008127014</v>
      </c>
      <c r="BF717" s="890">
        <f>IF(ISNUMBER('Base de datos Rutas'!CX715),'Base de datos Rutas'!CX715/100,"")</f>
        <v>0.25471424509525165</v>
      </c>
      <c r="BG717" s="891">
        <f>IF(ISNUMBER('Base de datos Rutas'!CZ715),'Base de datos Rutas'!CZ715/100,"")</f>
        <v>0.27352857549047482</v>
      </c>
      <c r="BH717" s="892">
        <f>IF(ISNUMBER('Base de datos Rutas'!DA715),'Base de datos Rutas'!DA715,"")</f>
        <v>225.84083786144669</v>
      </c>
      <c r="BI717" s="893">
        <f>IF(ISNUMBER('Base de datos Rutas'!DC715),'Base de datos Rutas'!DC715,"")</f>
        <v>11.055164840071781</v>
      </c>
      <c r="BJ717" s="805" t="str">
        <f t="shared" si="432"/>
        <v>Ruta (completo)</v>
      </c>
      <c r="BK717" s="783">
        <f t="shared" si="420"/>
        <v>2</v>
      </c>
      <c r="BL717" s="797">
        <f t="shared" si="421"/>
        <v>2</v>
      </c>
      <c r="BM717" s="797">
        <f t="shared" si="422"/>
        <v>3</v>
      </c>
      <c r="BN717" s="797">
        <f t="shared" si="423"/>
        <v>3</v>
      </c>
      <c r="BO717" s="798" cm="1">
        <f t="array" ref="BO717">SUMPRODUCT(--ISNUMBER($BF717:$BI717),$BK$3:$BN$3)</f>
        <v>1</v>
      </c>
      <c r="BP717" s="831">
        <f t="shared" si="433"/>
        <v>37.5</v>
      </c>
      <c r="BQ717" s="834" t="str">
        <f t="shared" si="434"/>
        <v>Medio</v>
      </c>
      <c r="BR717" s="836">
        <f t="shared" si="424"/>
        <v>21.561596763673499</v>
      </c>
      <c r="BS717" s="836">
        <f t="shared" si="425"/>
        <v>37.5</v>
      </c>
      <c r="BT717" s="837" t="str">
        <f t="shared" si="426"/>
        <v>P4</v>
      </c>
      <c r="BU717" s="807" t="str">
        <f t="shared" si="435"/>
        <v>Con espacio</v>
      </c>
      <c r="BV717" s="807" t="str">
        <f t="shared" si="427"/>
        <v>Zona de bajo potencial</v>
      </c>
      <c r="BW717" s="808" t="str">
        <f t="shared" si="428"/>
        <v>P4 - Evaluar</v>
      </c>
    </row>
    <row r="718" spans="1:75">
      <c r="A718" s="780" t="str">
        <f>'Base de datos Rutas'!A716</f>
        <v>Occidente</v>
      </c>
      <c r="B718" s="781" t="str">
        <f>'Base de datos Rutas'!B716</f>
        <v>San Luis</v>
      </c>
      <c r="C718" s="781" t="str">
        <f>'Base de datos Rutas'!C716</f>
        <v>Planta San Luis</v>
      </c>
      <c r="D718" s="782">
        <f>IF(ISNUMBER('Base de datos Rutas'!D716),'Base de datos Rutas'!D716,"Sin código")</f>
        <v>916405</v>
      </c>
      <c r="E718" s="783" t="str">
        <f>'Base de datos Rutas'!F716</f>
        <v>Activa</v>
      </c>
      <c r="F718" s="784" t="str">
        <f>'Base de datos Rutas'!H716</f>
        <v>Sí</v>
      </c>
      <c r="G718" s="785">
        <f>IF(ISNUMBER('Base de datos Rutas'!BE716),'Base de datos Rutas'!BE716,"")</f>
        <v>114.831050228311</v>
      </c>
      <c r="H718" s="786">
        <f>IF(ISNUMBER('Base de datos Rutas'!BH716),'Base de datos Rutas'!BH716,"")</f>
        <v>0.42999443295689499</v>
      </c>
      <c r="I718" s="788">
        <f>IFERROR(IF(OR(NOT(ISNUMBER('Base de datos Rutas'!O716)),N('Base de datos Rutas'!BK716)=0),"",'Base de datos Rutas'!O716/('Base de datos Rutas'!L716/'Base de datos Rutas'!BK716)),"")</f>
        <v>2815.8630136986267</v>
      </c>
      <c r="J718" s="788">
        <f>IFERROR(IF(OR(NOT(ISNUMBER('Base de datos Rutas'!N716)),N('Base de datos Rutas'!BK716)=0),"",'Base de datos Rutas'!N716/('Base de datos Rutas'!L716/'Base de datos Rutas'!BK716)),"")</f>
        <v>8075.6164383561536</v>
      </c>
      <c r="K718" s="788">
        <f>IFERROR(IF(OR(NOT(ISNUMBER('Base de datos Rutas'!J716)),N('Base de datos Rutas'!BK716)=0),"",'Base de datos Rutas'!J716/('Base de datos Rutas'!L716/'Base de datos Rutas'!BK716)),"")</f>
        <v>545.77899178082123</v>
      </c>
      <c r="L718" s="788">
        <f>IFERROR(IF(OR(NOT(ISNUMBER('Base de datos Rutas'!K716)),N('Base de datos Rutas'!BK716)=0),"",'Base de datos Rutas'!K716/('Base de datos Rutas'!L716/'Base de datos Rutas'!BK716)),"")</f>
        <v>24.651703691780792</v>
      </c>
      <c r="M718" s="787">
        <f>IF(ISNUMBER('Base de datos Rutas'!AX716),'Base de datos Rutas'!AX716,"")</f>
        <v>220.579327692237</v>
      </c>
      <c r="N718" s="790">
        <f>IFERROR(INDEX('Hoja de apoyo v2'!B$17:B$20,MATCH($A718,'Hoja de apoyo v2'!$A$17:$A$20,0)),"")</f>
        <v>89.41621024641401</v>
      </c>
      <c r="O718" s="791">
        <f>IFERROR(INDEX('Hoja de apoyo v2'!C$17:C$20,MATCH($A718,'Hoja de apoyo v2'!$A$17:$A$20,0)),"")</f>
        <v>0.54706375874806301</v>
      </c>
      <c r="P718" s="793">
        <f>IFERROR(INDEX('Hoja de apoyo v2'!D$17:D$20,MATCH($A718,'Hoja de apoyo v2'!$A$17:$A$20,0)),"")</f>
        <v>11095.153935793827</v>
      </c>
      <c r="Q718" s="793">
        <f>IFERROR(INDEX('Hoja de apoyo v2'!E$17:E$20,MATCH($A718,'Hoja de apoyo v2'!$A$17:$A$20,0)),"")</f>
        <v>6982.3202019701848</v>
      </c>
      <c r="R718" s="793">
        <f>IFERROR(INDEX('Hoja de apoyo v2'!F$17:F$20,MATCH($A718,'Hoja de apoyo v2'!$A$17:$A$20,0)),"")</f>
        <v>448.09513474485743</v>
      </c>
      <c r="S718" s="793">
        <f>IFERROR(INDEX('Hoja de apoyo v2'!G$17:G$20,MATCH($A718,'Hoja de apoyo v2'!$A$17:$A$20,0)),"")</f>
        <v>83.406300904207839</v>
      </c>
      <c r="T718" s="792">
        <f>IFERROR(INDEX('Hoja de apoyo v2'!H$17:H$20,MATCH($A718,'Hoja de apoyo v2'!$A$17:$A$20,0)),"")</f>
        <v>378.97014028925349</v>
      </c>
      <c r="U718" s="794">
        <f t="shared" si="400"/>
        <v>1.2842307889347864</v>
      </c>
      <c r="V718" s="795">
        <f t="shared" si="401"/>
        <v>0.78600423822795862</v>
      </c>
      <c r="W718" s="795">
        <f t="shared" si="402"/>
        <v>0.25379215376313385</v>
      </c>
      <c r="X718" s="843">
        <f t="shared" si="403"/>
        <v>1.1565806500935714</v>
      </c>
      <c r="Y718" s="843">
        <f t="shared" si="404"/>
        <v>1.2179980309127534</v>
      </c>
      <c r="Z718" s="843">
        <f t="shared" si="405"/>
        <v>0.29556164731598972</v>
      </c>
      <c r="AA718" s="843">
        <f t="shared" si="406"/>
        <v>0.58204936020520559</v>
      </c>
      <c r="AB718" s="796">
        <f t="shared" si="407"/>
        <v>5</v>
      </c>
      <c r="AC718" s="797">
        <f t="shared" si="408"/>
        <v>3</v>
      </c>
      <c r="AD718" s="797">
        <f t="shared" si="409"/>
        <v>1</v>
      </c>
      <c r="AE718" s="842">
        <f t="shared" si="410"/>
        <v>4</v>
      </c>
      <c r="AF718" s="842">
        <f t="shared" si="411"/>
        <v>4</v>
      </c>
      <c r="AG718" s="842">
        <f t="shared" si="412"/>
        <v>1</v>
      </c>
      <c r="AH718" s="842">
        <f t="shared" si="413"/>
        <v>2</v>
      </c>
      <c r="AI718" s="826" cm="1">
        <f t="array" ref="AI718">SUMPRODUCT(--ISNUMBER($U718:$AA718),$AB$3:$AH$3)</f>
        <v>1</v>
      </c>
      <c r="AJ718" s="829">
        <f t="shared" si="414"/>
        <v>44.151560199429987</v>
      </c>
      <c r="AK718" s="827" t="str">
        <f t="shared" si="415"/>
        <v>Inmadura</v>
      </c>
      <c r="AL718" s="784" t="str">
        <f t="shared" si="416"/>
        <v>Alta</v>
      </c>
      <c r="AM718" s="799">
        <f>IF(ISNUMBER('Base de datos Rutas'!W716),'Base de datos Rutas'!W716,"")</f>
        <v>3641.9429094456564</v>
      </c>
      <c r="AN718" s="787">
        <f>IFERROR(SUMIFS('Base de datos Rutas'!$W$6:$W$794,'Base de datos Rutas'!$C$6:$C$794,$C718)/'Base de datos Rutas'!I716,"")</f>
        <v>3641.9429094456527</v>
      </c>
      <c r="AO718" s="800">
        <f>IFERROR('Base de datos Rutas'!X716*AN718/AM718,"")</f>
        <v>0.35679725951519109</v>
      </c>
      <c r="AP718" s="800">
        <f t="shared" si="417"/>
        <v>0.64320274048480885</v>
      </c>
      <c r="AQ718" s="789">
        <f>IFERROR(INDEX('Hoja de apoyo v2'!$J$17:$J$20,MATCH($A718,'Hoja de apoyo v2'!$A$17:$A$20,0)),"")</f>
        <v>0.64320274048480885</v>
      </c>
      <c r="AR718" s="789">
        <f t="shared" si="418"/>
        <v>0</v>
      </c>
      <c r="AS718" s="784" t="str">
        <f t="shared" si="419"/>
        <v>No</v>
      </c>
      <c r="AT718" s="801">
        <f>IF(ISNUMBER('Base de datos Rutas'!CK716),'Base de datos Rutas'!CK716,"")</f>
        <v>303</v>
      </c>
      <c r="AU718" s="802">
        <f>IF(ISNUMBER('Base de datos Rutas'!CL716),'Base de datos Rutas'!CL716,"")</f>
        <v>389.63</v>
      </c>
      <c r="AV718" s="802">
        <f>IF(ISNUMBER('Base de datos Rutas'!CM716),'Base de datos Rutas'!CM716,"")</f>
        <v>86.63</v>
      </c>
      <c r="AW718" s="802">
        <f>IF(ISNUMBER('Base de datos Rutas'!CN716),'Base de datos Rutas'!CN716,"")</f>
        <v>7.27</v>
      </c>
      <c r="AX718" s="802">
        <f>IF(ISNUMBER('Base de datos Rutas'!CO716),'Base de datos Rutas'!CO716,"")</f>
        <v>9.4499999999999993</v>
      </c>
      <c r="AY718" s="802">
        <f>IF(ISNUMBER('Base de datos Rutas'!CP716),'Base de datos Rutas'!CP716,"")</f>
        <v>2.1799999999999997</v>
      </c>
      <c r="AZ718" s="802">
        <f>IF(ISNUMBER('Base de datos Rutas'!CQ716),'Base de datos Rutas'!CQ716,"")</f>
        <v>846.56</v>
      </c>
      <c r="BA718" s="802">
        <f>IF(ISNUMBER('Base de datos Rutas'!CR716),'Base de datos Rutas'!CR716,"")</f>
        <v>570.42999999999995</v>
      </c>
      <c r="BB718" s="803">
        <f>IF(ISNUMBER('Base de datos Rutas'!CS716),'Base de datos Rutas'!CS716,"")</f>
        <v>276.13</v>
      </c>
      <c r="BC718" s="804">
        <f t="shared" si="429"/>
        <v>0</v>
      </c>
      <c r="BD718" s="805" t="str">
        <f t="shared" si="430"/>
        <v>No saturada</v>
      </c>
      <c r="BE718" s="806">
        <f t="shared" si="431"/>
        <v>0.67382111132111133</v>
      </c>
      <c r="BF718" s="890">
        <f>IF(ISNUMBER('Base de datos Rutas'!CX716),'Base de datos Rutas'!CX716/100,"")</f>
        <v>0.40551114781172581</v>
      </c>
      <c r="BG718" s="891">
        <f>IF(ISNUMBER('Base de datos Rutas'!CZ716),'Base de datos Rutas'!CZ716/100,"")</f>
        <v>0.41981833195706025</v>
      </c>
      <c r="BH718" s="892">
        <f>IF(ISNUMBER('Base de datos Rutas'!DA716),'Base de datos Rutas'!DA716,"")</f>
        <v>120.34783274147091</v>
      </c>
      <c r="BI718" s="893">
        <f>IF(ISNUMBER('Base de datos Rutas'!DC716),'Base de datos Rutas'!DC716,"")</f>
        <v>6.0806805359489253</v>
      </c>
      <c r="BJ718" s="805" t="str">
        <f t="shared" si="432"/>
        <v>Ruta (completo)</v>
      </c>
      <c r="BK718" s="783">
        <f t="shared" si="420"/>
        <v>2</v>
      </c>
      <c r="BL718" s="797">
        <f t="shared" si="421"/>
        <v>2</v>
      </c>
      <c r="BM718" s="797">
        <f t="shared" si="422"/>
        <v>2</v>
      </c>
      <c r="BN718" s="797">
        <f t="shared" si="423"/>
        <v>3</v>
      </c>
      <c r="BO718" s="798" cm="1">
        <f t="array" ref="BO718">SUMPRODUCT(--ISNUMBER($BF718:$BI718),$BK$3:$BN$3)</f>
        <v>1</v>
      </c>
      <c r="BP718" s="831">
        <f t="shared" si="433"/>
        <v>31.25</v>
      </c>
      <c r="BQ718" s="834" t="str">
        <f t="shared" si="434"/>
        <v>Medio</v>
      </c>
      <c r="BR718" s="836">
        <f t="shared" si="424"/>
        <v>33.113670149572492</v>
      </c>
      <c r="BS718" s="836">
        <f t="shared" si="425"/>
        <v>31.25</v>
      </c>
      <c r="BT718" s="837" t="str">
        <f t="shared" si="426"/>
        <v>P2</v>
      </c>
      <c r="BU718" s="807" t="str">
        <f t="shared" si="435"/>
        <v>Con espacio</v>
      </c>
      <c r="BV718" s="807" t="str">
        <f t="shared" si="427"/>
        <v>Zona de bajo potencial</v>
      </c>
      <c r="BW718" s="808" t="str">
        <f t="shared" si="428"/>
        <v>P2 - Mantener</v>
      </c>
    </row>
    <row r="719" spans="1:75">
      <c r="A719" s="780" t="str">
        <f>'Base de datos Rutas'!A717</f>
        <v>Occidente</v>
      </c>
      <c r="B719" s="781" t="str">
        <f>'Base de datos Rutas'!B717</f>
        <v>San Luis</v>
      </c>
      <c r="C719" s="781" t="str">
        <f>'Base de datos Rutas'!C717</f>
        <v>Planta San Luis</v>
      </c>
      <c r="D719" s="782">
        <f>IF(ISNUMBER('Base de datos Rutas'!D717),'Base de datos Rutas'!D717,"Sin código")</f>
        <v>916406</v>
      </c>
      <c r="E719" s="783" t="str">
        <f>'Base de datos Rutas'!F717</f>
        <v>Activa</v>
      </c>
      <c r="F719" s="784" t="str">
        <f>'Base de datos Rutas'!H717</f>
        <v>Sí</v>
      </c>
      <c r="G719" s="785">
        <f>IF(ISNUMBER('Base de datos Rutas'!BE717),'Base de datos Rutas'!BE717,"")</f>
        <v>81.979638009049793</v>
      </c>
      <c r="H719" s="786">
        <f>IF(ISNUMBER('Base de datos Rutas'!BH717),'Base de datos Rutas'!BH717,"")</f>
        <v>0.56255002069822002</v>
      </c>
      <c r="I719" s="788">
        <f>IFERROR(IF(OR(NOT(ISNUMBER('Base de datos Rutas'!O717)),N('Base de datos Rutas'!BK717)=0),"",'Base de datos Rutas'!O717/('Base de datos Rutas'!L717/'Base de datos Rutas'!BK717)),"")</f>
        <v>4876.6764705882242</v>
      </c>
      <c r="J719" s="788">
        <f>IFERROR(IF(OR(NOT(ISNUMBER('Base de datos Rutas'!N717)),N('Base de datos Rutas'!BK717)=0),"",'Base de datos Rutas'!N717/('Base de datos Rutas'!L717/'Base de datos Rutas'!BK717)),"")</f>
        <v>6760.6018099547355</v>
      </c>
      <c r="K719" s="788">
        <f>IFERROR(IF(OR(NOT(ISNUMBER('Base de datos Rutas'!J717)),N('Base de datos Rutas'!BK717)=0),"",'Base de datos Rutas'!J717/('Base de datos Rutas'!L717/'Base de datos Rutas'!BK717)),"")</f>
        <v>453.69213292307359</v>
      </c>
      <c r="L719" s="788">
        <f>IFERROR(IF(OR(NOT(ISNUMBER('Base de datos Rutas'!K717)),N('Base de datos Rutas'!BK717)=0),"",'Base de datos Rutas'!K717/('Base de datos Rutas'!L717/'Base de datos Rutas'!BK717)),"")</f>
        <v>39.324590409502171</v>
      </c>
      <c r="M719" s="787">
        <f>IF(ISNUMBER('Base de datos Rutas'!AX717),'Base de datos Rutas'!AX717,"")</f>
        <v>252.33876520800601</v>
      </c>
      <c r="N719" s="790">
        <f>IFERROR(INDEX('Hoja de apoyo v2'!B$17:B$20,MATCH($A719,'Hoja de apoyo v2'!$A$17:$A$20,0)),"")</f>
        <v>89.41621024641401</v>
      </c>
      <c r="O719" s="791">
        <f>IFERROR(INDEX('Hoja de apoyo v2'!C$17:C$20,MATCH($A719,'Hoja de apoyo v2'!$A$17:$A$20,0)),"")</f>
        <v>0.54706375874806301</v>
      </c>
      <c r="P719" s="793">
        <f>IFERROR(INDEX('Hoja de apoyo v2'!D$17:D$20,MATCH($A719,'Hoja de apoyo v2'!$A$17:$A$20,0)),"")</f>
        <v>11095.153935793827</v>
      </c>
      <c r="Q719" s="793">
        <f>IFERROR(INDEX('Hoja de apoyo v2'!E$17:E$20,MATCH($A719,'Hoja de apoyo v2'!$A$17:$A$20,0)),"")</f>
        <v>6982.3202019701848</v>
      </c>
      <c r="R719" s="793">
        <f>IFERROR(INDEX('Hoja de apoyo v2'!F$17:F$20,MATCH($A719,'Hoja de apoyo v2'!$A$17:$A$20,0)),"")</f>
        <v>448.09513474485743</v>
      </c>
      <c r="S719" s="793">
        <f>IFERROR(INDEX('Hoja de apoyo v2'!G$17:G$20,MATCH($A719,'Hoja de apoyo v2'!$A$17:$A$20,0)),"")</f>
        <v>83.406300904207839</v>
      </c>
      <c r="T719" s="792">
        <f>IFERROR(INDEX('Hoja de apoyo v2'!H$17:H$20,MATCH($A719,'Hoja de apoyo v2'!$A$17:$A$20,0)),"")</f>
        <v>378.97014028925349</v>
      </c>
      <c r="U719" s="794">
        <f t="shared" si="400"/>
        <v>0.91683194560728487</v>
      </c>
      <c r="V719" s="795">
        <f t="shared" si="401"/>
        <v>1.0283079653925473</v>
      </c>
      <c r="W719" s="795">
        <f t="shared" si="402"/>
        <v>0.43953211454378183</v>
      </c>
      <c r="X719" s="843">
        <f t="shared" si="403"/>
        <v>0.96824574273278274</v>
      </c>
      <c r="Y719" s="843">
        <f t="shared" si="404"/>
        <v>1.0124906470618189</v>
      </c>
      <c r="Z719" s="843">
        <f t="shared" si="405"/>
        <v>0.47148224994016308</v>
      </c>
      <c r="AA719" s="843">
        <f t="shared" si="406"/>
        <v>0.66585395096142785</v>
      </c>
      <c r="AB719" s="796">
        <f t="shared" si="407"/>
        <v>3</v>
      </c>
      <c r="AC719" s="797">
        <f t="shared" si="408"/>
        <v>4</v>
      </c>
      <c r="AD719" s="797">
        <f t="shared" si="409"/>
        <v>1</v>
      </c>
      <c r="AE719" s="842">
        <f t="shared" si="410"/>
        <v>3</v>
      </c>
      <c r="AF719" s="842">
        <f t="shared" si="411"/>
        <v>4</v>
      </c>
      <c r="AG719" s="842">
        <f t="shared" si="412"/>
        <v>1</v>
      </c>
      <c r="AH719" s="842">
        <f t="shared" si="413"/>
        <v>2</v>
      </c>
      <c r="AI719" s="826" cm="1">
        <f t="array" ref="AI719">SUMPRODUCT(--ISNUMBER($U719:$AA719),$AB$3:$AH$3)</f>
        <v>1</v>
      </c>
      <c r="AJ719" s="829">
        <f t="shared" si="414"/>
        <v>34.057745782828277</v>
      </c>
      <c r="AK719" s="827" t="str">
        <f t="shared" si="415"/>
        <v>Inmadura</v>
      </c>
      <c r="AL719" s="784" t="str">
        <f t="shared" si="416"/>
        <v>Alta</v>
      </c>
      <c r="AM719" s="799">
        <f>IF(ISNUMBER('Base de datos Rutas'!W717),'Base de datos Rutas'!W717,"")</f>
        <v>3641.9429094456564</v>
      </c>
      <c r="AN719" s="787">
        <f>IFERROR(SUMIFS('Base de datos Rutas'!$W$6:$W$794,'Base de datos Rutas'!$C$6:$C$794,$C719)/'Base de datos Rutas'!I717,"")</f>
        <v>3641.9429094456527</v>
      </c>
      <c r="AO719" s="800">
        <f>IFERROR('Base de datos Rutas'!X717*AN719/AM719,"")</f>
        <v>0.35679725951519109</v>
      </c>
      <c r="AP719" s="800">
        <f t="shared" si="417"/>
        <v>0.64320274048480885</v>
      </c>
      <c r="AQ719" s="789">
        <f>IFERROR(INDEX('Hoja de apoyo v2'!$J$17:$J$20,MATCH($A719,'Hoja de apoyo v2'!$A$17:$A$20,0)),"")</f>
        <v>0.64320274048480885</v>
      </c>
      <c r="AR719" s="789">
        <f t="shared" si="418"/>
        <v>0</v>
      </c>
      <c r="AS719" s="784" t="str">
        <f t="shared" si="419"/>
        <v>No</v>
      </c>
      <c r="AT719" s="801">
        <f>IF(ISNUMBER('Base de datos Rutas'!CK717),'Base de datos Rutas'!CK717,"")</f>
        <v>371</v>
      </c>
      <c r="AU719" s="802">
        <f>IF(ISNUMBER('Base de datos Rutas'!CL717),'Base de datos Rutas'!CL717,"")</f>
        <v>406.44</v>
      </c>
      <c r="AV719" s="802">
        <f>IF(ISNUMBER('Base de datos Rutas'!CM717),'Base de datos Rutas'!CM717,"")</f>
        <v>35.44</v>
      </c>
      <c r="AW719" s="802">
        <f>IF(ISNUMBER('Base de datos Rutas'!CN717),'Base de datos Rutas'!CN717,"")</f>
        <v>8.58</v>
      </c>
      <c r="AX719" s="802">
        <f>IF(ISNUMBER('Base de datos Rutas'!CO717),'Base de datos Rutas'!CO717,"")</f>
        <v>9.4499999999999993</v>
      </c>
      <c r="AY719" s="802">
        <f>IF(ISNUMBER('Base de datos Rutas'!CP717),'Base de datos Rutas'!CP717,"")</f>
        <v>0.86999999999999922</v>
      </c>
      <c r="AZ719" s="802">
        <f>IF(ISNUMBER('Base de datos Rutas'!CQ717),'Base de datos Rutas'!CQ717,"")</f>
        <v>846.56</v>
      </c>
      <c r="BA719" s="802">
        <f>IF(ISNUMBER('Base de datos Rutas'!CR717),'Base de datos Rutas'!CR717,"")</f>
        <v>493.02</v>
      </c>
      <c r="BB719" s="803">
        <f>IF(ISNUMBER('Base de datos Rutas'!CS717),'Base de datos Rutas'!CS717,"")</f>
        <v>353.53999999999996</v>
      </c>
      <c r="BC719" s="804">
        <f t="shared" si="429"/>
        <v>0</v>
      </c>
      <c r="BD719" s="805" t="str">
        <f t="shared" si="430"/>
        <v>No saturada</v>
      </c>
      <c r="BE719" s="806">
        <f t="shared" si="431"/>
        <v>0.58238045738045741</v>
      </c>
      <c r="BF719" s="890">
        <f>IF(ISNUMBER('Base de datos Rutas'!CX717),'Base de datos Rutas'!CX717/100,"")</f>
        <v>0.79526539278131636</v>
      </c>
      <c r="BG719" s="891">
        <f>IF(ISNUMBER('Base de datos Rutas'!CZ717),'Base de datos Rutas'!CZ717/100,"")</f>
        <v>0.80467091295116777</v>
      </c>
      <c r="BH719" s="892">
        <f>IF(ISNUMBER('Base de datos Rutas'!DA717),'Base de datos Rutas'!DA717,"")</f>
        <v>420.91370969438191</v>
      </c>
      <c r="BI719" s="893">
        <f>IF(ISNUMBER('Base de datos Rutas'!DC717),'Base de datos Rutas'!DC717,"")</f>
        <v>18.100911280314662</v>
      </c>
      <c r="BJ719" s="805" t="str">
        <f t="shared" si="432"/>
        <v>Ruta (completo)</v>
      </c>
      <c r="BK719" s="783">
        <f t="shared" si="420"/>
        <v>4</v>
      </c>
      <c r="BL719" s="797">
        <f t="shared" si="421"/>
        <v>4</v>
      </c>
      <c r="BM719" s="797">
        <f t="shared" si="422"/>
        <v>4</v>
      </c>
      <c r="BN719" s="797">
        <f t="shared" si="423"/>
        <v>4</v>
      </c>
      <c r="BO719" s="798" cm="1">
        <f t="array" ref="BO719">SUMPRODUCT(--ISNUMBER($BF719:$BI719),$BK$3:$BN$3)</f>
        <v>1</v>
      </c>
      <c r="BP719" s="831">
        <f t="shared" si="433"/>
        <v>75</v>
      </c>
      <c r="BQ719" s="834" t="str">
        <f t="shared" si="434"/>
        <v>Alto</v>
      </c>
      <c r="BR719" s="836">
        <f t="shared" si="424"/>
        <v>25.543309337121208</v>
      </c>
      <c r="BS719" s="836">
        <f t="shared" si="425"/>
        <v>75</v>
      </c>
      <c r="BT719" s="837" t="str">
        <f t="shared" si="426"/>
        <v>P3</v>
      </c>
      <c r="BU719" s="807" t="str">
        <f t="shared" si="435"/>
        <v>Con espacio</v>
      </c>
      <c r="BV719" s="807" t="str">
        <f t="shared" si="427"/>
        <v>Zona atractiva</v>
      </c>
      <c r="BW719" s="808" t="str">
        <f t="shared" si="428"/>
        <v>P3 - Desarrollar</v>
      </c>
    </row>
    <row r="720" spans="1:75">
      <c r="A720" s="780" t="str">
        <f>'Base de datos Rutas'!A718</f>
        <v>Occidente</v>
      </c>
      <c r="B720" s="781" t="str">
        <f>'Base de datos Rutas'!B718</f>
        <v>San Luis</v>
      </c>
      <c r="C720" s="781" t="str">
        <f>'Base de datos Rutas'!C718</f>
        <v>Planta San Luis</v>
      </c>
      <c r="D720" s="782">
        <f>IF(ISNUMBER('Base de datos Rutas'!D718),'Base de datos Rutas'!D718,"Sin código")</f>
        <v>916407</v>
      </c>
      <c r="E720" s="783" t="str">
        <f>'Base de datos Rutas'!F718</f>
        <v>Activa</v>
      </c>
      <c r="F720" s="784" t="str">
        <f>'Base de datos Rutas'!H718</f>
        <v>Sí</v>
      </c>
      <c r="G720" s="785">
        <f>IF(ISNUMBER('Base de datos Rutas'!BE718),'Base de datos Rutas'!BE718,"")</f>
        <v>72.009153318077793</v>
      </c>
      <c r="H720" s="786">
        <f>IF(ISNUMBER('Base de datos Rutas'!BH718),'Base de datos Rutas'!BH718,"")</f>
        <v>0.50746790390237695</v>
      </c>
      <c r="I720" s="788">
        <f>IFERROR(IF(OR(NOT(ISNUMBER('Base de datos Rutas'!O718)),N('Base de datos Rutas'!BK718)=0),"",'Base de datos Rutas'!O718/('Base de datos Rutas'!L718/'Base de datos Rutas'!BK718)),"")</f>
        <v>5188.6086956521667</v>
      </c>
      <c r="J720" s="788">
        <f>IFERROR(IF(OR(NOT(ISNUMBER('Base de datos Rutas'!N718)),N('Base de datos Rutas'!BK718)=0),"",'Base de datos Rutas'!N718/('Base de datos Rutas'!L718/'Base de datos Rutas'!BK718)),"")</f>
        <v>6504.8421052631493</v>
      </c>
      <c r="K720" s="788">
        <f>IFERROR(IF(OR(NOT(ISNUMBER('Base de datos Rutas'!J718)),N('Base de datos Rutas'!BK718)=0),"",'Base de datos Rutas'!J718/('Base de datos Rutas'!L718/'Base de datos Rutas'!BK718)),"")</f>
        <v>439.04257574370655</v>
      </c>
      <c r="L720" s="788">
        <f>IFERROR(IF(OR(NOT(ISNUMBER('Base de datos Rutas'!K718)),N('Base de datos Rutas'!BK718)=0),"",'Base de datos Rutas'!K718/('Base de datos Rutas'!L718/'Base de datos Rutas'!BK718)),"")</f>
        <v>39.464819302059446</v>
      </c>
      <c r="M720" s="787">
        <f>IF(ISNUMBER('Base de datos Rutas'!AX718),'Base de datos Rutas'!AX718,"")</f>
        <v>319.99734297701798</v>
      </c>
      <c r="N720" s="790">
        <f>IFERROR(INDEX('Hoja de apoyo v2'!B$17:B$20,MATCH($A720,'Hoja de apoyo v2'!$A$17:$A$20,0)),"")</f>
        <v>89.41621024641401</v>
      </c>
      <c r="O720" s="791">
        <f>IFERROR(INDEX('Hoja de apoyo v2'!C$17:C$20,MATCH($A720,'Hoja de apoyo v2'!$A$17:$A$20,0)),"")</f>
        <v>0.54706375874806301</v>
      </c>
      <c r="P720" s="793">
        <f>IFERROR(INDEX('Hoja de apoyo v2'!D$17:D$20,MATCH($A720,'Hoja de apoyo v2'!$A$17:$A$20,0)),"")</f>
        <v>11095.153935793827</v>
      </c>
      <c r="Q720" s="793">
        <f>IFERROR(INDEX('Hoja de apoyo v2'!E$17:E$20,MATCH($A720,'Hoja de apoyo v2'!$A$17:$A$20,0)),"")</f>
        <v>6982.3202019701848</v>
      </c>
      <c r="R720" s="793">
        <f>IFERROR(INDEX('Hoja de apoyo v2'!F$17:F$20,MATCH($A720,'Hoja de apoyo v2'!$A$17:$A$20,0)),"")</f>
        <v>448.09513474485743</v>
      </c>
      <c r="S720" s="793">
        <f>IFERROR(INDEX('Hoja de apoyo v2'!G$17:G$20,MATCH($A720,'Hoja de apoyo v2'!$A$17:$A$20,0)),"")</f>
        <v>83.406300904207839</v>
      </c>
      <c r="T720" s="792">
        <f>IFERROR(INDEX('Hoja de apoyo v2'!H$17:H$20,MATCH($A720,'Hoja de apoyo v2'!$A$17:$A$20,0)),"")</f>
        <v>378.97014028925349</v>
      </c>
      <c r="U720" s="794">
        <f t="shared" si="400"/>
        <v>0.8053254898595491</v>
      </c>
      <c r="V720" s="795">
        <f t="shared" si="401"/>
        <v>0.92762113334595619</v>
      </c>
      <c r="W720" s="795">
        <f t="shared" si="402"/>
        <v>0.46764639099898492</v>
      </c>
      <c r="X720" s="843">
        <f t="shared" si="403"/>
        <v>0.93161612717613451</v>
      </c>
      <c r="Y720" s="843">
        <f t="shared" si="404"/>
        <v>0.97979768513598042</v>
      </c>
      <c r="Z720" s="843">
        <f t="shared" si="405"/>
        <v>0.47316352450859561</v>
      </c>
      <c r="AA720" s="843">
        <f t="shared" si="406"/>
        <v>0.84438669160788282</v>
      </c>
      <c r="AB720" s="796">
        <f t="shared" si="407"/>
        <v>3</v>
      </c>
      <c r="AC720" s="797">
        <f t="shared" si="408"/>
        <v>3</v>
      </c>
      <c r="AD720" s="797">
        <f t="shared" si="409"/>
        <v>1</v>
      </c>
      <c r="AE720" s="842">
        <f t="shared" si="410"/>
        <v>3</v>
      </c>
      <c r="AF720" s="842">
        <f t="shared" si="411"/>
        <v>3</v>
      </c>
      <c r="AG720" s="842">
        <f t="shared" si="412"/>
        <v>1</v>
      </c>
      <c r="AH720" s="842">
        <f t="shared" si="413"/>
        <v>3</v>
      </c>
      <c r="AI720" s="826" cm="1">
        <f t="array" ref="AI720">SUMPRODUCT(--ISNUMBER($U720:$AA720),$AB$3:$AH$3)</f>
        <v>1</v>
      </c>
      <c r="AJ720" s="829">
        <f t="shared" si="414"/>
        <v>30.993523525224564</v>
      </c>
      <c r="AK720" s="827" t="str">
        <f t="shared" si="415"/>
        <v>Inmadura</v>
      </c>
      <c r="AL720" s="784" t="str">
        <f t="shared" si="416"/>
        <v>Alta</v>
      </c>
      <c r="AM720" s="799">
        <f>IF(ISNUMBER('Base de datos Rutas'!W718),'Base de datos Rutas'!W718,"")</f>
        <v>3641.9429094456564</v>
      </c>
      <c r="AN720" s="787">
        <f>IFERROR(SUMIFS('Base de datos Rutas'!$W$6:$W$794,'Base de datos Rutas'!$C$6:$C$794,$C720)/'Base de datos Rutas'!I718,"")</f>
        <v>3641.9429094456527</v>
      </c>
      <c r="AO720" s="800">
        <f>IFERROR('Base de datos Rutas'!X718*AN720/AM720,"")</f>
        <v>0.35679725951519109</v>
      </c>
      <c r="AP720" s="800">
        <f t="shared" si="417"/>
        <v>0.64320274048480885</v>
      </c>
      <c r="AQ720" s="789">
        <f>IFERROR(INDEX('Hoja de apoyo v2'!$J$17:$J$20,MATCH($A720,'Hoja de apoyo v2'!$A$17:$A$20,0)),"")</f>
        <v>0.64320274048480885</v>
      </c>
      <c r="AR720" s="789">
        <f t="shared" si="418"/>
        <v>0</v>
      </c>
      <c r="AS720" s="784" t="str">
        <f t="shared" si="419"/>
        <v>No</v>
      </c>
      <c r="AT720" s="801">
        <f>IF(ISNUMBER('Base de datos Rutas'!CK718),'Base de datos Rutas'!CK718,"")</f>
        <v>330</v>
      </c>
      <c r="AU720" s="802">
        <f>IF(ISNUMBER('Base de datos Rutas'!CL718),'Base de datos Rutas'!CL718,"")</f>
        <v>399.69</v>
      </c>
      <c r="AV720" s="802">
        <f>IF(ISNUMBER('Base de datos Rutas'!CM718),'Base de datos Rutas'!CM718,"")</f>
        <v>69.69</v>
      </c>
      <c r="AW720" s="802">
        <f>IF(ISNUMBER('Base de datos Rutas'!CN718),'Base de datos Rutas'!CN718,"")</f>
        <v>8.42</v>
      </c>
      <c r="AX720" s="802">
        <f>IF(ISNUMBER('Base de datos Rutas'!CO718),'Base de datos Rutas'!CO718,"")</f>
        <v>9.4499999999999993</v>
      </c>
      <c r="AY720" s="802">
        <f>IF(ISNUMBER('Base de datos Rutas'!CP718),'Base de datos Rutas'!CP718,"")</f>
        <v>1.0299999999999994</v>
      </c>
      <c r="AZ720" s="802">
        <f>IF(ISNUMBER('Base de datos Rutas'!CQ718),'Base de datos Rutas'!CQ718,"")</f>
        <v>846.56</v>
      </c>
      <c r="BA720" s="802">
        <f>IF(ISNUMBER('Base de datos Rutas'!CR718),'Base de datos Rutas'!CR718,"")</f>
        <v>478.51</v>
      </c>
      <c r="BB720" s="803">
        <f>IF(ISNUMBER('Base de datos Rutas'!CS718),'Base de datos Rutas'!CS718,"")</f>
        <v>368.04999999999995</v>
      </c>
      <c r="BC720" s="804">
        <f t="shared" si="429"/>
        <v>0</v>
      </c>
      <c r="BD720" s="805" t="str">
        <f t="shared" si="430"/>
        <v>No saturada</v>
      </c>
      <c r="BE720" s="806">
        <f t="shared" si="431"/>
        <v>0.56524050274050275</v>
      </c>
      <c r="BF720" s="890">
        <f>IF(ISNUMBER('Base de datos Rutas'!CX718),'Base de datos Rutas'!CX718/100,"")</f>
        <v>0.98054438860971527</v>
      </c>
      <c r="BG720" s="891">
        <f>IF(ISNUMBER('Base de datos Rutas'!CZ718),'Base de datos Rutas'!CZ718/100,"")</f>
        <v>1</v>
      </c>
      <c r="BH720" s="892">
        <f>IF(ISNUMBER('Base de datos Rutas'!DA718),'Base de datos Rutas'!DA718,"")</f>
        <v>356.62717810109837</v>
      </c>
      <c r="BI720" s="893">
        <f>IF(ISNUMBER('Base de datos Rutas'!DC718),'Base de datos Rutas'!DC718,"")</f>
        <v>14.333237487300401</v>
      </c>
      <c r="BJ720" s="805" t="str">
        <f t="shared" si="432"/>
        <v>Ruta (completo)</v>
      </c>
      <c r="BK720" s="783">
        <f t="shared" si="420"/>
        <v>5</v>
      </c>
      <c r="BL720" s="797">
        <f t="shared" si="421"/>
        <v>4</v>
      </c>
      <c r="BM720" s="797">
        <f t="shared" si="422"/>
        <v>4</v>
      </c>
      <c r="BN720" s="797">
        <f t="shared" si="423"/>
        <v>4</v>
      </c>
      <c r="BO720" s="798" cm="1">
        <f t="array" ref="BO720">SUMPRODUCT(--ISNUMBER($BF720:$BI720),$BK$3:$BN$3)</f>
        <v>1</v>
      </c>
      <c r="BP720" s="831">
        <f t="shared" si="433"/>
        <v>81.25</v>
      </c>
      <c r="BQ720" s="834" t="str">
        <f t="shared" si="434"/>
        <v>Alto</v>
      </c>
      <c r="BR720" s="836">
        <f t="shared" si="424"/>
        <v>23.245142643918424</v>
      </c>
      <c r="BS720" s="836">
        <f t="shared" si="425"/>
        <v>81.25</v>
      </c>
      <c r="BT720" s="837" t="str">
        <f t="shared" si="426"/>
        <v>P3</v>
      </c>
      <c r="BU720" s="807" t="str">
        <f t="shared" si="435"/>
        <v>Con espacio</v>
      </c>
      <c r="BV720" s="807" t="str">
        <f t="shared" si="427"/>
        <v>Zona atractiva</v>
      </c>
      <c r="BW720" s="808" t="str">
        <f t="shared" si="428"/>
        <v>P3 - Desarrollar</v>
      </c>
    </row>
    <row r="721" spans="1:75">
      <c r="A721" s="780" t="str">
        <f>'Base de datos Rutas'!A719</f>
        <v>Occidente</v>
      </c>
      <c r="B721" s="781" t="str">
        <f>'Base de datos Rutas'!B719</f>
        <v>San Luis</v>
      </c>
      <c r="C721" s="781" t="str">
        <f>'Base de datos Rutas'!C719</f>
        <v>Planta San Luis</v>
      </c>
      <c r="D721" s="782">
        <f>IF(ISNUMBER('Base de datos Rutas'!D719),'Base de datos Rutas'!D719,"Sin código")</f>
        <v>916408</v>
      </c>
      <c r="E721" s="783" t="str">
        <f>'Base de datos Rutas'!F719</f>
        <v>Activa</v>
      </c>
      <c r="F721" s="784" t="str">
        <f>'Base de datos Rutas'!H719</f>
        <v>Sí</v>
      </c>
      <c r="G721" s="785">
        <f>IF(ISNUMBER('Base de datos Rutas'!BE719),'Base de datos Rutas'!BE719,"")</f>
        <v>76.002293577981703</v>
      </c>
      <c r="H721" s="786">
        <f>IF(ISNUMBER('Base de datos Rutas'!BH719),'Base de datos Rutas'!BH719,"")</f>
        <v>0.55017050427015102</v>
      </c>
      <c r="I721" s="788">
        <f>IFERROR(IF(OR(NOT(ISNUMBER('Base de datos Rutas'!O719)),N('Base de datos Rutas'!BK719)=0),"",'Base de datos Rutas'!O719/('Base de datos Rutas'!L719/'Base de datos Rutas'!BK719)),"")</f>
        <v>1904.3096330275232</v>
      </c>
      <c r="J721" s="788">
        <f>IFERROR(IF(OR(NOT(ISNUMBER('Base de datos Rutas'!N719)),N('Base de datos Rutas'!BK719)=0),"",'Base de datos Rutas'!N719/('Base de datos Rutas'!L719/'Base de datos Rutas'!BK719)),"")</f>
        <v>5516.9724770642206</v>
      </c>
      <c r="K721" s="788">
        <f>IFERROR(IF(OR(NOT(ISNUMBER('Base de datos Rutas'!J719)),N('Base de datos Rutas'!BK719)=0),"",'Base de datos Rutas'!J719/('Base de datos Rutas'!L719/'Base de datos Rutas'!BK719)),"")</f>
        <v>374.75589174311932</v>
      </c>
      <c r="L721" s="788">
        <f>IFERROR(IF(OR(NOT(ISNUMBER('Base de datos Rutas'!K719)),N('Base de datos Rutas'!BK719)=0),"",'Base de datos Rutas'!K719/('Base de datos Rutas'!L719/'Base de datos Rutas'!BK719)),"")</f>
        <v>16.529265240825691</v>
      </c>
      <c r="M721" s="787">
        <f>IF(ISNUMBER('Base de datos Rutas'!AX719),'Base de datos Rutas'!AX719,"")</f>
        <v>177.48222478196499</v>
      </c>
      <c r="N721" s="790">
        <f>IFERROR(INDEX('Hoja de apoyo v2'!B$17:B$20,MATCH($A721,'Hoja de apoyo v2'!$A$17:$A$20,0)),"")</f>
        <v>89.41621024641401</v>
      </c>
      <c r="O721" s="791">
        <f>IFERROR(INDEX('Hoja de apoyo v2'!C$17:C$20,MATCH($A721,'Hoja de apoyo v2'!$A$17:$A$20,0)),"")</f>
        <v>0.54706375874806301</v>
      </c>
      <c r="P721" s="793">
        <f>IFERROR(INDEX('Hoja de apoyo v2'!D$17:D$20,MATCH($A721,'Hoja de apoyo v2'!$A$17:$A$20,0)),"")</f>
        <v>11095.153935793827</v>
      </c>
      <c r="Q721" s="793">
        <f>IFERROR(INDEX('Hoja de apoyo v2'!E$17:E$20,MATCH($A721,'Hoja de apoyo v2'!$A$17:$A$20,0)),"")</f>
        <v>6982.3202019701848</v>
      </c>
      <c r="R721" s="793">
        <f>IFERROR(INDEX('Hoja de apoyo v2'!F$17:F$20,MATCH($A721,'Hoja de apoyo v2'!$A$17:$A$20,0)),"")</f>
        <v>448.09513474485743</v>
      </c>
      <c r="S721" s="793">
        <f>IFERROR(INDEX('Hoja de apoyo v2'!G$17:G$20,MATCH($A721,'Hoja de apoyo v2'!$A$17:$A$20,0)),"")</f>
        <v>83.406300904207839</v>
      </c>
      <c r="T721" s="792">
        <f>IFERROR(INDEX('Hoja de apoyo v2'!H$17:H$20,MATCH($A721,'Hoja de apoyo v2'!$A$17:$A$20,0)),"")</f>
        <v>378.97014028925349</v>
      </c>
      <c r="U721" s="794">
        <f t="shared" si="400"/>
        <v>0.84998339080278495</v>
      </c>
      <c r="V721" s="795">
        <f t="shared" si="401"/>
        <v>1.0056789459590554</v>
      </c>
      <c r="W721" s="795">
        <f t="shared" si="402"/>
        <v>0.17163435893251311</v>
      </c>
      <c r="X721" s="843">
        <f t="shared" si="403"/>
        <v>0.79013455663455678</v>
      </c>
      <c r="Y721" s="843">
        <f t="shared" si="404"/>
        <v>0.83633108838930592</v>
      </c>
      <c r="Z721" s="843">
        <f t="shared" si="405"/>
        <v>0.19817765638365328</v>
      </c>
      <c r="AA721" s="843">
        <f t="shared" si="406"/>
        <v>0.46832772800120759</v>
      </c>
      <c r="AB721" s="796">
        <f t="shared" si="407"/>
        <v>3</v>
      </c>
      <c r="AC721" s="797">
        <f t="shared" si="408"/>
        <v>4</v>
      </c>
      <c r="AD721" s="797">
        <f t="shared" si="409"/>
        <v>1</v>
      </c>
      <c r="AE721" s="842">
        <f t="shared" si="410"/>
        <v>3</v>
      </c>
      <c r="AF721" s="842">
        <f t="shared" si="411"/>
        <v>3</v>
      </c>
      <c r="AG721" s="842">
        <f t="shared" si="412"/>
        <v>1</v>
      </c>
      <c r="AH721" s="842">
        <f t="shared" si="413"/>
        <v>1</v>
      </c>
      <c r="AI721" s="826" cm="1">
        <f t="array" ref="AI721">SUMPRODUCT(--ISNUMBER($U721:$AA721),$AB$3:$AH$3)</f>
        <v>1</v>
      </c>
      <c r="AJ721" s="829">
        <f t="shared" si="414"/>
        <v>28.886973430461914</v>
      </c>
      <c r="AK721" s="827" t="str">
        <f t="shared" si="415"/>
        <v>Inmadura</v>
      </c>
      <c r="AL721" s="784" t="str">
        <f t="shared" si="416"/>
        <v>Alta</v>
      </c>
      <c r="AM721" s="799">
        <f>IF(ISNUMBER('Base de datos Rutas'!W719),'Base de datos Rutas'!W719,"")</f>
        <v>3641.9429094456564</v>
      </c>
      <c r="AN721" s="787">
        <f>IFERROR(SUMIFS('Base de datos Rutas'!$W$6:$W$794,'Base de datos Rutas'!$C$6:$C$794,$C721)/'Base de datos Rutas'!I719,"")</f>
        <v>3641.9429094456527</v>
      </c>
      <c r="AO721" s="800">
        <f>IFERROR('Base de datos Rutas'!X719*AN721/AM721,"")</f>
        <v>0.35679725951519109</v>
      </c>
      <c r="AP721" s="800">
        <f t="shared" si="417"/>
        <v>0.64320274048480885</v>
      </c>
      <c r="AQ721" s="789">
        <f>IFERROR(INDEX('Hoja de apoyo v2'!$J$17:$J$20,MATCH($A721,'Hoja de apoyo v2'!$A$17:$A$20,0)),"")</f>
        <v>0.64320274048480885</v>
      </c>
      <c r="AR721" s="789">
        <f t="shared" si="418"/>
        <v>0</v>
      </c>
      <c r="AS721" s="784" t="str">
        <f t="shared" si="419"/>
        <v>No</v>
      </c>
      <c r="AT721" s="801">
        <f>IF(ISNUMBER('Base de datos Rutas'!CK719),'Base de datos Rutas'!CK719,"")</f>
        <v>395</v>
      </c>
      <c r="AU721" s="802">
        <f>IF(ISNUMBER('Base de datos Rutas'!CL719),'Base de datos Rutas'!CL719,"")</f>
        <v>431.38</v>
      </c>
      <c r="AV721" s="802">
        <f>IF(ISNUMBER('Base de datos Rutas'!CM719),'Base de datos Rutas'!CM719,"")</f>
        <v>36.379999999999995</v>
      </c>
      <c r="AW721" s="802">
        <f>IF(ISNUMBER('Base de datos Rutas'!CN719),'Base de datos Rutas'!CN719,"")</f>
        <v>13.52</v>
      </c>
      <c r="AX721" s="802">
        <f>IF(ISNUMBER('Base de datos Rutas'!CO719),'Base de datos Rutas'!CO719,"")</f>
        <v>9.4499999999999993</v>
      </c>
      <c r="AY721" s="802">
        <f>IF(ISNUMBER('Base de datos Rutas'!CP719),'Base de datos Rutas'!CP719,"")</f>
        <v>-4.07</v>
      </c>
      <c r="AZ721" s="802">
        <f>IF(ISNUMBER('Base de datos Rutas'!CQ719),'Base de datos Rutas'!CQ719,"")</f>
        <v>564.37</v>
      </c>
      <c r="BA721" s="802">
        <f>IF(ISNUMBER('Base de datos Rutas'!CR719),'Base de datos Rutas'!CR719,"")</f>
        <v>391.29</v>
      </c>
      <c r="BB721" s="803">
        <f>IF(ISNUMBER('Base de datos Rutas'!CS719),'Base de datos Rutas'!CS719,"")</f>
        <v>173.07999999999998</v>
      </c>
      <c r="BC721" s="804">
        <f t="shared" si="429"/>
        <v>1</v>
      </c>
      <c r="BD721" s="805" t="str">
        <f t="shared" si="430"/>
        <v>Saturada</v>
      </c>
      <c r="BE721" s="806">
        <f t="shared" si="431"/>
        <v>0.69332175700338439</v>
      </c>
      <c r="BF721" s="890">
        <f>IF(ISNUMBER('Base de datos Rutas'!CX719),'Base de datos Rutas'!CX719/100,"")</f>
        <v>3.7899084394904456E-2</v>
      </c>
      <c r="BG721" s="891">
        <f>IF(ISNUMBER('Base de datos Rutas'!CZ719),'Base de datos Rutas'!CZ719/100,"")</f>
        <v>3.97093949044586E-2</v>
      </c>
      <c r="BH721" s="892">
        <f>IF(ISNUMBER('Base de datos Rutas'!DA719),'Base de datos Rutas'!DA719,"")</f>
        <v>86.973335492375952</v>
      </c>
      <c r="BI721" s="893">
        <f>IF(ISNUMBER('Base de datos Rutas'!DC719),'Base de datos Rutas'!DC719,"")</f>
        <v>4.5071124228730035</v>
      </c>
      <c r="BJ721" s="805" t="str">
        <f t="shared" si="432"/>
        <v>Ruta (completo)</v>
      </c>
      <c r="BK721" s="783">
        <f t="shared" si="420"/>
        <v>1</v>
      </c>
      <c r="BL721" s="797">
        <f t="shared" si="421"/>
        <v>1</v>
      </c>
      <c r="BM721" s="797">
        <f t="shared" si="422"/>
        <v>2</v>
      </c>
      <c r="BN721" s="797">
        <f t="shared" si="423"/>
        <v>2</v>
      </c>
      <c r="BO721" s="798" cm="1">
        <f t="array" ref="BO721">SUMPRODUCT(--ISNUMBER($BF721:$BI721),$BK$3:$BN$3)</f>
        <v>1</v>
      </c>
      <c r="BP721" s="831">
        <f t="shared" si="433"/>
        <v>12.5</v>
      </c>
      <c r="BQ721" s="834" t="str">
        <f t="shared" si="434"/>
        <v>Bajo</v>
      </c>
      <c r="BR721" s="836">
        <f t="shared" si="424"/>
        <v>46.665230072846434</v>
      </c>
      <c r="BS721" s="836">
        <f t="shared" si="425"/>
        <v>12.5</v>
      </c>
      <c r="BT721" s="837" t="str">
        <f t="shared" si="426"/>
        <v>P2</v>
      </c>
      <c r="BU721" s="807" t="str">
        <f t="shared" si="435"/>
        <v>Al tope</v>
      </c>
      <c r="BV721" s="807" t="str">
        <f t="shared" si="427"/>
        <v>Zona de bajo potencial</v>
      </c>
      <c r="BW721" s="808" t="str">
        <f t="shared" si="428"/>
        <v>P2 - Mantener</v>
      </c>
    </row>
    <row r="722" spans="1:75">
      <c r="A722" s="780" t="str">
        <f>'Base de datos Rutas'!A720</f>
        <v>Occidente</v>
      </c>
      <c r="B722" s="781" t="str">
        <f>'Base de datos Rutas'!B720</f>
        <v>San Luis</v>
      </c>
      <c r="C722" s="781" t="str">
        <f>'Base de datos Rutas'!C720</f>
        <v>Planta San Luis</v>
      </c>
      <c r="D722" s="782">
        <f>IF(ISNUMBER('Base de datos Rutas'!D720),'Base de datos Rutas'!D720,"Sin código")</f>
        <v>916409</v>
      </c>
      <c r="E722" s="783" t="str">
        <f>'Base de datos Rutas'!F720</f>
        <v>Activa</v>
      </c>
      <c r="F722" s="784" t="str">
        <f>'Base de datos Rutas'!H720</f>
        <v>Sí</v>
      </c>
      <c r="G722" s="785">
        <f>IF(ISNUMBER('Base de datos Rutas'!BE720),'Base de datos Rutas'!BE720,"")</f>
        <v>72.655963302752298</v>
      </c>
      <c r="H722" s="786">
        <f>IF(ISNUMBER('Base de datos Rutas'!BH720),'Base de datos Rutas'!BH720,"")</f>
        <v>0.62544983900498796</v>
      </c>
      <c r="I722" s="788">
        <f>IFERROR(IF(OR(NOT(ISNUMBER('Base de datos Rutas'!O720)),N('Base de datos Rutas'!BK720)=0),"",'Base de datos Rutas'!O720/('Base de datos Rutas'!L720/'Base de datos Rutas'!BK720)),"")</f>
        <v>4207.3165137614606</v>
      </c>
      <c r="J722" s="788">
        <f>IFERROR(IF(OR(NOT(ISNUMBER('Base de datos Rutas'!N720)),N('Base de datos Rutas'!BK720)=0),"",'Base de datos Rutas'!N720/('Base de datos Rutas'!L720/'Base de datos Rutas'!BK720)),"")</f>
        <v>7414.4013761467759</v>
      </c>
      <c r="K722" s="788">
        <f>IFERROR(IF(OR(NOT(ISNUMBER('Base de datos Rutas'!J720)),N('Base de datos Rutas'!BK720)=0),"",'Base de datos Rutas'!J720/('Base de datos Rutas'!L720/'Base de datos Rutas'!BK720)),"")</f>
        <v>496.21406055045782</v>
      </c>
      <c r="L722" s="788">
        <f>IFERROR(IF(OR(NOT(ISNUMBER('Base de datos Rutas'!K720)),N('Base de datos Rutas'!BK720)=0),"",'Base de datos Rutas'!K720/('Base de datos Rutas'!L720/'Base de datos Rutas'!BK720)),"")</f>
        <v>30.522901889908201</v>
      </c>
      <c r="M722" s="787">
        <f>IF(ISNUMBER('Base de datos Rutas'!AX720),'Base de datos Rutas'!AX720,"")</f>
        <v>255.74464644425399</v>
      </c>
      <c r="N722" s="790">
        <f>IFERROR(INDEX('Hoja de apoyo v2'!B$17:B$20,MATCH($A722,'Hoja de apoyo v2'!$A$17:$A$20,0)),"")</f>
        <v>89.41621024641401</v>
      </c>
      <c r="O722" s="791">
        <f>IFERROR(INDEX('Hoja de apoyo v2'!C$17:C$20,MATCH($A722,'Hoja de apoyo v2'!$A$17:$A$20,0)),"")</f>
        <v>0.54706375874806301</v>
      </c>
      <c r="P722" s="793">
        <f>IFERROR(INDEX('Hoja de apoyo v2'!D$17:D$20,MATCH($A722,'Hoja de apoyo v2'!$A$17:$A$20,0)),"")</f>
        <v>11095.153935793827</v>
      </c>
      <c r="Q722" s="793">
        <f>IFERROR(INDEX('Hoja de apoyo v2'!E$17:E$20,MATCH($A722,'Hoja de apoyo v2'!$A$17:$A$20,0)),"")</f>
        <v>6982.3202019701848</v>
      </c>
      <c r="R722" s="793">
        <f>IFERROR(INDEX('Hoja de apoyo v2'!F$17:F$20,MATCH($A722,'Hoja de apoyo v2'!$A$17:$A$20,0)),"")</f>
        <v>448.09513474485743</v>
      </c>
      <c r="S722" s="793">
        <f>IFERROR(INDEX('Hoja de apoyo v2'!G$17:G$20,MATCH($A722,'Hoja de apoyo v2'!$A$17:$A$20,0)),"")</f>
        <v>83.406300904207839</v>
      </c>
      <c r="T722" s="792">
        <f>IFERROR(INDEX('Hoja de apoyo v2'!H$17:H$20,MATCH($A722,'Hoja de apoyo v2'!$A$17:$A$20,0)),"")</f>
        <v>378.97014028925349</v>
      </c>
      <c r="U722" s="794">
        <f t="shared" si="400"/>
        <v>0.81255918924014259</v>
      </c>
      <c r="V722" s="795">
        <f t="shared" si="401"/>
        <v>1.1432850906378973</v>
      </c>
      <c r="W722" s="795">
        <f t="shared" si="402"/>
        <v>0.37920307713697698</v>
      </c>
      <c r="X722" s="843">
        <f t="shared" si="403"/>
        <v>1.0618821769380717</v>
      </c>
      <c r="Y722" s="843">
        <f t="shared" si="404"/>
        <v>1.1073855127505434</v>
      </c>
      <c r="Z722" s="843">
        <f t="shared" si="405"/>
        <v>0.36595438904506461</v>
      </c>
      <c r="AA722" s="843">
        <f t="shared" si="406"/>
        <v>0.67484115304982562</v>
      </c>
      <c r="AB722" s="796">
        <f t="shared" si="407"/>
        <v>3</v>
      </c>
      <c r="AC722" s="797">
        <f t="shared" si="408"/>
        <v>4</v>
      </c>
      <c r="AD722" s="797">
        <f t="shared" si="409"/>
        <v>1</v>
      </c>
      <c r="AE722" s="842">
        <f t="shared" si="410"/>
        <v>4</v>
      </c>
      <c r="AF722" s="842">
        <f t="shared" si="411"/>
        <v>4</v>
      </c>
      <c r="AG722" s="842">
        <f t="shared" si="412"/>
        <v>1</v>
      </c>
      <c r="AH722" s="842">
        <f t="shared" si="413"/>
        <v>2</v>
      </c>
      <c r="AI722" s="826" cm="1">
        <f t="array" ref="AI722">SUMPRODUCT(--ISNUMBER($U722:$AA722),$AB$3:$AH$3)</f>
        <v>1</v>
      </c>
      <c r="AJ722" s="829">
        <f t="shared" si="414"/>
        <v>37.467193429046965</v>
      </c>
      <c r="AK722" s="827" t="str">
        <f t="shared" si="415"/>
        <v>Inmadura</v>
      </c>
      <c r="AL722" s="784" t="str">
        <f t="shared" si="416"/>
        <v>Alta</v>
      </c>
      <c r="AM722" s="799">
        <f>IF(ISNUMBER('Base de datos Rutas'!W720),'Base de datos Rutas'!W720,"")</f>
        <v>3641.9429094456564</v>
      </c>
      <c r="AN722" s="787">
        <f>IFERROR(SUMIFS('Base de datos Rutas'!$W$6:$W$794,'Base de datos Rutas'!$C$6:$C$794,$C722)/'Base de datos Rutas'!I720,"")</f>
        <v>3641.9429094456527</v>
      </c>
      <c r="AO722" s="800">
        <f>IFERROR('Base de datos Rutas'!X720*AN722/AM722,"")</f>
        <v>0.35679725951519109</v>
      </c>
      <c r="AP722" s="800">
        <f t="shared" si="417"/>
        <v>0.64320274048480885</v>
      </c>
      <c r="AQ722" s="789">
        <f>IFERROR(INDEX('Hoja de apoyo v2'!$J$17:$J$20,MATCH($A722,'Hoja de apoyo v2'!$A$17:$A$20,0)),"")</f>
        <v>0.64320274048480885</v>
      </c>
      <c r="AR722" s="789">
        <f t="shared" si="418"/>
        <v>0</v>
      </c>
      <c r="AS722" s="784" t="str">
        <f t="shared" si="419"/>
        <v>No</v>
      </c>
      <c r="AT722" s="801">
        <f>IF(ISNUMBER('Base de datos Rutas'!CK720),'Base de datos Rutas'!CK720,"")</f>
        <v>362</v>
      </c>
      <c r="AU722" s="802">
        <f>IF(ISNUMBER('Base de datos Rutas'!CL720),'Base de datos Rutas'!CL720,"")</f>
        <v>404.92</v>
      </c>
      <c r="AV722" s="802">
        <f>IF(ISNUMBER('Base de datos Rutas'!CM720),'Base de datos Rutas'!CM720,"")</f>
        <v>42.920000000000016</v>
      </c>
      <c r="AW722" s="802">
        <f>IF(ISNUMBER('Base de datos Rutas'!CN720),'Base de datos Rutas'!CN720,"")</f>
        <v>8.92</v>
      </c>
      <c r="AX722" s="802">
        <f>IF(ISNUMBER('Base de datos Rutas'!CO720),'Base de datos Rutas'!CO720,"")</f>
        <v>9.4499999999999993</v>
      </c>
      <c r="AY722" s="802">
        <f>IF(ISNUMBER('Base de datos Rutas'!CP720),'Base de datos Rutas'!CP720,"")</f>
        <v>0.52999999999999936</v>
      </c>
      <c r="AZ722" s="802">
        <f>IF(ISNUMBER('Base de datos Rutas'!CQ720),'Base de datos Rutas'!CQ720,"")</f>
        <v>846.56</v>
      </c>
      <c r="BA722" s="802">
        <f>IF(ISNUMBER('Base de datos Rutas'!CR720),'Base de datos Rutas'!CR720,"")</f>
        <v>526.74</v>
      </c>
      <c r="BB722" s="803">
        <f>IF(ISNUMBER('Base de datos Rutas'!CS720),'Base de datos Rutas'!CS720,"")</f>
        <v>319.81999999999994</v>
      </c>
      <c r="BC722" s="804">
        <f t="shared" si="429"/>
        <v>0</v>
      </c>
      <c r="BD722" s="805" t="str">
        <f t="shared" si="430"/>
        <v>No saturada</v>
      </c>
      <c r="BE722" s="806">
        <f t="shared" si="431"/>
        <v>0.62221224721224722</v>
      </c>
      <c r="BF722" s="890">
        <f>IF(ISNUMBER('Base de datos Rutas'!CX720),'Base de datos Rutas'!CX720/100,"")</f>
        <v>0.75697503143524325</v>
      </c>
      <c r="BG722" s="891">
        <f>IF(ISNUMBER('Base de datos Rutas'!CZ720),'Base de datos Rutas'!CZ720/100,"")</f>
        <v>0.76468474941620257</v>
      </c>
      <c r="BH722" s="892">
        <f>IF(ISNUMBER('Base de datos Rutas'!DA720),'Base de datos Rutas'!DA720,"")</f>
        <v>306.63235304603273</v>
      </c>
      <c r="BI722" s="893">
        <f>IF(ISNUMBER('Base de datos Rutas'!DC720),'Base de datos Rutas'!DC720,"")</f>
        <v>13.827986851862414</v>
      </c>
      <c r="BJ722" s="805" t="str">
        <f t="shared" si="432"/>
        <v>Ruta (completo)</v>
      </c>
      <c r="BK722" s="783">
        <f t="shared" si="420"/>
        <v>4</v>
      </c>
      <c r="BL722" s="797">
        <f t="shared" si="421"/>
        <v>4</v>
      </c>
      <c r="BM722" s="797">
        <f t="shared" si="422"/>
        <v>4</v>
      </c>
      <c r="BN722" s="797">
        <f t="shared" si="423"/>
        <v>4</v>
      </c>
      <c r="BO722" s="798" cm="1">
        <f t="array" ref="BO722">SUMPRODUCT(--ISNUMBER($BF722:$BI722),$BK$3:$BN$3)</f>
        <v>1</v>
      </c>
      <c r="BP722" s="831">
        <f t="shared" si="433"/>
        <v>75</v>
      </c>
      <c r="BQ722" s="834" t="str">
        <f t="shared" si="434"/>
        <v>Alto</v>
      </c>
      <c r="BR722" s="836">
        <f t="shared" si="424"/>
        <v>28.100395071785222</v>
      </c>
      <c r="BS722" s="836">
        <f t="shared" si="425"/>
        <v>75</v>
      </c>
      <c r="BT722" s="837" t="str">
        <f t="shared" si="426"/>
        <v>P3</v>
      </c>
      <c r="BU722" s="807" t="str">
        <f t="shared" si="435"/>
        <v>Con espacio</v>
      </c>
      <c r="BV722" s="807" t="str">
        <f t="shared" si="427"/>
        <v>Zona atractiva</v>
      </c>
      <c r="BW722" s="808" t="str">
        <f t="shared" si="428"/>
        <v>P3 - Desarrollar</v>
      </c>
    </row>
    <row r="723" spans="1:75">
      <c r="A723" s="780" t="str">
        <f>'Base de datos Rutas'!A721</f>
        <v>Occidente</v>
      </c>
      <c r="B723" s="781" t="str">
        <f>'Base de datos Rutas'!B721</f>
        <v>San Luis</v>
      </c>
      <c r="C723" s="781" t="str">
        <f>'Base de datos Rutas'!C721</f>
        <v>Planta San Luis</v>
      </c>
      <c r="D723" s="782">
        <f>IF(ISNUMBER('Base de datos Rutas'!D721),'Base de datos Rutas'!D721,"Sin código")</f>
        <v>916410</v>
      </c>
      <c r="E723" s="783" t="str">
        <f>'Base de datos Rutas'!F721</f>
        <v>Activa</v>
      </c>
      <c r="F723" s="784" t="str">
        <f>'Base de datos Rutas'!H721</f>
        <v>Sí</v>
      </c>
      <c r="G723" s="785">
        <f>IF(ISNUMBER('Base de datos Rutas'!BE721),'Base de datos Rutas'!BE721,"")</f>
        <v>75.881927710843399</v>
      </c>
      <c r="H723" s="786">
        <f>IF(ISNUMBER('Base de datos Rutas'!BH721),'Base de datos Rutas'!BH721,"")</f>
        <v>0.50782763329205205</v>
      </c>
      <c r="I723" s="788">
        <f>IFERROR(IF(OR(NOT(ISNUMBER('Base de datos Rutas'!O721)),N('Base de datos Rutas'!BK721)=0),"",'Base de datos Rutas'!O721/('Base de datos Rutas'!L721/'Base de datos Rutas'!BK721)),"")</f>
        <v>4761.2824601366729</v>
      </c>
      <c r="J723" s="788">
        <f>IFERROR(IF(OR(NOT(ISNUMBER('Base de datos Rutas'!N721)),N('Base de datos Rutas'!BK721)=0),"",'Base de datos Rutas'!N721/('Base de datos Rutas'!L721/'Base de datos Rutas'!BK721)),"")</f>
        <v>7186.0911161731192</v>
      </c>
      <c r="K723" s="788">
        <f>IFERROR(IF(OR(NOT(ISNUMBER('Base de datos Rutas'!J721)),N('Base de datos Rutas'!BK721)=0),"",'Base de datos Rutas'!J721/('Base de datos Rutas'!L721/'Base de datos Rutas'!BK721)),"")</f>
        <v>484.90369384965817</v>
      </c>
      <c r="L723" s="788">
        <f>IFERROR(IF(OR(NOT(ISNUMBER('Base de datos Rutas'!K721)),N('Base de datos Rutas'!BK721)=0),"",'Base de datos Rutas'!K721/('Base de datos Rutas'!L721/'Base de datos Rutas'!BK721)),"")</f>
        <v>41.777328621867873</v>
      </c>
      <c r="M723" s="787">
        <f>IF(ISNUMBER('Base de datos Rutas'!AX721),'Base de datos Rutas'!AX721,"")</f>
        <v>313.02709065983203</v>
      </c>
      <c r="N723" s="790">
        <f>IFERROR(INDEX('Hoja de apoyo v2'!B$17:B$20,MATCH($A723,'Hoja de apoyo v2'!$A$17:$A$20,0)),"")</f>
        <v>89.41621024641401</v>
      </c>
      <c r="O723" s="791">
        <f>IFERROR(INDEX('Hoja de apoyo v2'!C$17:C$20,MATCH($A723,'Hoja de apoyo v2'!$A$17:$A$20,0)),"")</f>
        <v>0.54706375874806301</v>
      </c>
      <c r="P723" s="793">
        <f>IFERROR(INDEX('Hoja de apoyo v2'!D$17:D$20,MATCH($A723,'Hoja de apoyo v2'!$A$17:$A$20,0)),"")</f>
        <v>11095.153935793827</v>
      </c>
      <c r="Q723" s="793">
        <f>IFERROR(INDEX('Hoja de apoyo v2'!E$17:E$20,MATCH($A723,'Hoja de apoyo v2'!$A$17:$A$20,0)),"")</f>
        <v>6982.3202019701848</v>
      </c>
      <c r="R723" s="793">
        <f>IFERROR(INDEX('Hoja de apoyo v2'!F$17:F$20,MATCH($A723,'Hoja de apoyo v2'!$A$17:$A$20,0)),"")</f>
        <v>448.09513474485743</v>
      </c>
      <c r="S723" s="793">
        <f>IFERROR(INDEX('Hoja de apoyo v2'!G$17:G$20,MATCH($A723,'Hoja de apoyo v2'!$A$17:$A$20,0)),"")</f>
        <v>83.406300904207839</v>
      </c>
      <c r="T723" s="792">
        <f>IFERROR(INDEX('Hoja de apoyo v2'!H$17:H$20,MATCH($A723,'Hoja de apoyo v2'!$A$17:$A$20,0)),"")</f>
        <v>378.97014028925349</v>
      </c>
      <c r="U723" s="794">
        <f t="shared" si="400"/>
        <v>0.84863726053393773</v>
      </c>
      <c r="V723" s="795">
        <f t="shared" si="401"/>
        <v>0.92827869726592471</v>
      </c>
      <c r="W723" s="795">
        <f t="shared" si="402"/>
        <v>0.4291317171162814</v>
      </c>
      <c r="X723" s="843">
        <f t="shared" si="403"/>
        <v>1.0291838397994748</v>
      </c>
      <c r="Y723" s="843">
        <f t="shared" si="404"/>
        <v>1.0821445185423835</v>
      </c>
      <c r="Z723" s="843">
        <f t="shared" si="405"/>
        <v>0.5008893593045104</v>
      </c>
      <c r="AA723" s="843">
        <f t="shared" si="406"/>
        <v>0.82599407547230597</v>
      </c>
      <c r="AB723" s="796">
        <f t="shared" si="407"/>
        <v>3</v>
      </c>
      <c r="AC723" s="797">
        <f t="shared" si="408"/>
        <v>3</v>
      </c>
      <c r="AD723" s="797">
        <f t="shared" si="409"/>
        <v>1</v>
      </c>
      <c r="AE723" s="842">
        <f t="shared" si="410"/>
        <v>4</v>
      </c>
      <c r="AF723" s="842">
        <f t="shared" si="411"/>
        <v>4</v>
      </c>
      <c r="AG723" s="842">
        <f t="shared" si="412"/>
        <v>2</v>
      </c>
      <c r="AH723" s="842">
        <f t="shared" si="413"/>
        <v>3</v>
      </c>
      <c r="AI723" s="826" cm="1">
        <f t="array" ref="AI723">SUMPRODUCT(--ISNUMBER($U723:$AA723),$AB$3:$AH$3)</f>
        <v>1</v>
      </c>
      <c r="AJ723" s="829">
        <f t="shared" si="414"/>
        <v>41.718082451542735</v>
      </c>
      <c r="AK723" s="827" t="str">
        <f t="shared" si="415"/>
        <v>Inmadura</v>
      </c>
      <c r="AL723" s="784" t="str">
        <f t="shared" si="416"/>
        <v>Alta</v>
      </c>
      <c r="AM723" s="799">
        <f>IF(ISNUMBER('Base de datos Rutas'!W721),'Base de datos Rutas'!W721,"")</f>
        <v>3641.9429094456564</v>
      </c>
      <c r="AN723" s="787">
        <f>IFERROR(SUMIFS('Base de datos Rutas'!$W$6:$W$794,'Base de datos Rutas'!$C$6:$C$794,$C723)/'Base de datos Rutas'!I721,"")</f>
        <v>3641.9429094456527</v>
      </c>
      <c r="AO723" s="800">
        <f>IFERROR('Base de datos Rutas'!X721*AN723/AM723,"")</f>
        <v>0.35679725951519109</v>
      </c>
      <c r="AP723" s="800">
        <f t="shared" si="417"/>
        <v>0.64320274048480885</v>
      </c>
      <c r="AQ723" s="789">
        <f>IFERROR(INDEX('Hoja de apoyo v2'!$J$17:$J$20,MATCH($A723,'Hoja de apoyo v2'!$A$17:$A$20,0)),"")</f>
        <v>0.64320274048480885</v>
      </c>
      <c r="AR723" s="789">
        <f t="shared" si="418"/>
        <v>0</v>
      </c>
      <c r="AS723" s="784" t="str">
        <f t="shared" si="419"/>
        <v>No</v>
      </c>
      <c r="AT723" s="801">
        <f>IF(ISNUMBER('Base de datos Rutas'!CK721),'Base de datos Rutas'!CK721,"")</f>
        <v>379</v>
      </c>
      <c r="AU723" s="802">
        <f>IF(ISNUMBER('Base de datos Rutas'!CL721),'Base de datos Rutas'!CL721,"")</f>
        <v>453.74</v>
      </c>
      <c r="AV723" s="802">
        <f>IF(ISNUMBER('Base de datos Rutas'!CM721),'Base de datos Rutas'!CM721,"")</f>
        <v>74.740000000000009</v>
      </c>
      <c r="AW723" s="802">
        <f>IF(ISNUMBER('Base de datos Rutas'!CN721),'Base de datos Rutas'!CN721,"")</f>
        <v>10.02</v>
      </c>
      <c r="AX723" s="802">
        <f>IF(ISNUMBER('Base de datos Rutas'!CO721),'Base de datos Rutas'!CO721,"")</f>
        <v>9.4499999999999993</v>
      </c>
      <c r="AY723" s="802">
        <f>IF(ISNUMBER('Base de datos Rutas'!CP721),'Base de datos Rutas'!CP721,"")</f>
        <v>-0.57000000000000028</v>
      </c>
      <c r="AZ723" s="802">
        <f>IF(ISNUMBER('Base de datos Rutas'!CQ721),'Base de datos Rutas'!CQ721,"")</f>
        <v>846.56</v>
      </c>
      <c r="BA723" s="802">
        <f>IF(ISNUMBER('Base de datos Rutas'!CR721),'Base de datos Rutas'!CR721,"")</f>
        <v>526.67999999999995</v>
      </c>
      <c r="BB723" s="803">
        <f>IF(ISNUMBER('Base de datos Rutas'!CS721),'Base de datos Rutas'!CS721,"")</f>
        <v>319.88</v>
      </c>
      <c r="BC723" s="804">
        <f t="shared" si="429"/>
        <v>1</v>
      </c>
      <c r="BD723" s="805" t="str">
        <f t="shared" si="430"/>
        <v>Saturada</v>
      </c>
      <c r="BE723" s="806">
        <f t="shared" si="431"/>
        <v>0.62214137214137211</v>
      </c>
      <c r="BF723" s="890">
        <f>IF(ISNUMBER('Base de datos Rutas'!CX721),'Base de datos Rutas'!CX721/100,"")</f>
        <v>0.27442240922732891</v>
      </c>
      <c r="BG723" s="891">
        <f>IF(ISNUMBER('Base de datos Rutas'!CZ721),'Base de datos Rutas'!CZ721/100,"")</f>
        <v>0.27882069087271227</v>
      </c>
      <c r="BH723" s="892">
        <f>IF(ISNUMBER('Base de datos Rutas'!DA721),'Base de datos Rutas'!DA721,"")</f>
        <v>60.177458761382574</v>
      </c>
      <c r="BI723" s="893">
        <f>IF(ISNUMBER('Base de datos Rutas'!DC721),'Base de datos Rutas'!DC721,"")</f>
        <v>2.8626930103223973</v>
      </c>
      <c r="BJ723" s="805" t="str">
        <f t="shared" si="432"/>
        <v>Ruta (completo)</v>
      </c>
      <c r="BK723" s="783">
        <f t="shared" si="420"/>
        <v>2</v>
      </c>
      <c r="BL723" s="797">
        <f t="shared" si="421"/>
        <v>2</v>
      </c>
      <c r="BM723" s="797">
        <f t="shared" si="422"/>
        <v>1</v>
      </c>
      <c r="BN723" s="797">
        <f t="shared" si="423"/>
        <v>1</v>
      </c>
      <c r="BO723" s="798" cm="1">
        <f t="array" ref="BO723">SUMPRODUCT(--ISNUMBER($BF723:$BI723),$BK$3:$BN$3)</f>
        <v>1</v>
      </c>
      <c r="BP723" s="831">
        <f t="shared" si="433"/>
        <v>12.5</v>
      </c>
      <c r="BQ723" s="834" t="str">
        <f t="shared" si="434"/>
        <v>Bajo</v>
      </c>
      <c r="BR723" s="836">
        <f t="shared" si="424"/>
        <v>56.288561838657053</v>
      </c>
      <c r="BS723" s="836">
        <f t="shared" si="425"/>
        <v>12.5</v>
      </c>
      <c r="BT723" s="837" t="str">
        <f t="shared" si="426"/>
        <v>P2</v>
      </c>
      <c r="BU723" s="807" t="str">
        <f t="shared" si="435"/>
        <v>Al tope</v>
      </c>
      <c r="BV723" s="807" t="str">
        <f t="shared" si="427"/>
        <v>Zona de bajo potencial</v>
      </c>
      <c r="BW723" s="808" t="str">
        <f t="shared" si="428"/>
        <v>P2 - Mantener</v>
      </c>
    </row>
    <row r="724" spans="1:75">
      <c r="A724" s="780" t="str">
        <f>'Base de datos Rutas'!A722</f>
        <v>Occidente</v>
      </c>
      <c r="B724" s="781" t="str">
        <f>'Base de datos Rutas'!B722</f>
        <v>San Luis</v>
      </c>
      <c r="C724" s="781" t="str">
        <f>'Base de datos Rutas'!C722</f>
        <v>Planta San Luis</v>
      </c>
      <c r="D724" s="782">
        <f>IF(ISNUMBER('Base de datos Rutas'!D722),'Base de datos Rutas'!D722,"Sin código")</f>
        <v>916411</v>
      </c>
      <c r="E724" s="783" t="str">
        <f>'Base de datos Rutas'!F722</f>
        <v>Activa</v>
      </c>
      <c r="F724" s="784" t="str">
        <f>'Base de datos Rutas'!H722</f>
        <v>Sí</v>
      </c>
      <c r="G724" s="785">
        <f>IF(ISNUMBER('Base de datos Rutas'!BE722),'Base de datos Rutas'!BE722,"")</f>
        <v>93.904109589041099</v>
      </c>
      <c r="H724" s="786">
        <f>IF(ISNUMBER('Base de datos Rutas'!BH722),'Base de datos Rutas'!BH722,"")</f>
        <v>0.55611475808412403</v>
      </c>
      <c r="I724" s="788">
        <f>IFERROR(IF(OR(NOT(ISNUMBER('Base de datos Rutas'!O722)),N('Base de datos Rutas'!BK722)=0),"",'Base de datos Rutas'!O722/('Base de datos Rutas'!L722/'Base de datos Rutas'!BK722)),"")</f>
        <v>6704.6940639269442</v>
      </c>
      <c r="J724" s="788">
        <f>IFERROR(IF(OR(NOT(ISNUMBER('Base de datos Rutas'!N722)),N('Base de datos Rutas'!BK722)=0),"",'Base de datos Rutas'!N722/('Base de datos Rutas'!L722/'Base de datos Rutas'!BK722)),"")</f>
        <v>8019.4748858447529</v>
      </c>
      <c r="K724" s="788">
        <f>IFERROR(IF(OR(NOT(ISNUMBER('Base de datos Rutas'!J722)),N('Base de datos Rutas'!BK722)=0),"",'Base de datos Rutas'!J722/('Base de datos Rutas'!L722/'Base de datos Rutas'!BK722)),"")</f>
        <v>536.28137899543174</v>
      </c>
      <c r="L724" s="788">
        <f>IFERROR(IF(OR(NOT(ISNUMBER('Base de datos Rutas'!K722)),N('Base de datos Rutas'!BK722)=0),"",'Base de datos Rutas'!K722/('Base de datos Rutas'!L722/'Base de datos Rutas'!BK722)),"")</f>
        <v>51.214769134703218</v>
      </c>
      <c r="M724" s="787">
        <f>IF(ISNUMBER('Base de datos Rutas'!AX722),'Base de datos Rutas'!AX722,"")</f>
        <v>282.18524854632102</v>
      </c>
      <c r="N724" s="790">
        <f>IFERROR(INDEX('Hoja de apoyo v2'!B$17:B$20,MATCH($A724,'Hoja de apoyo v2'!$A$17:$A$20,0)),"")</f>
        <v>89.41621024641401</v>
      </c>
      <c r="O724" s="791">
        <f>IFERROR(INDEX('Hoja de apoyo v2'!C$17:C$20,MATCH($A724,'Hoja de apoyo v2'!$A$17:$A$20,0)),"")</f>
        <v>0.54706375874806301</v>
      </c>
      <c r="P724" s="793">
        <f>IFERROR(INDEX('Hoja de apoyo v2'!D$17:D$20,MATCH($A724,'Hoja de apoyo v2'!$A$17:$A$20,0)),"")</f>
        <v>11095.153935793827</v>
      </c>
      <c r="Q724" s="793">
        <f>IFERROR(INDEX('Hoja de apoyo v2'!E$17:E$20,MATCH($A724,'Hoja de apoyo v2'!$A$17:$A$20,0)),"")</f>
        <v>6982.3202019701848</v>
      </c>
      <c r="R724" s="793">
        <f>IFERROR(INDEX('Hoja de apoyo v2'!F$17:F$20,MATCH($A724,'Hoja de apoyo v2'!$A$17:$A$20,0)),"")</f>
        <v>448.09513474485743</v>
      </c>
      <c r="S724" s="793">
        <f>IFERROR(INDEX('Hoja de apoyo v2'!G$17:G$20,MATCH($A724,'Hoja de apoyo v2'!$A$17:$A$20,0)),"")</f>
        <v>83.406300904207839</v>
      </c>
      <c r="T724" s="792">
        <f>IFERROR(INDEX('Hoja de apoyo v2'!H$17:H$20,MATCH($A724,'Hoja de apoyo v2'!$A$17:$A$20,0)),"")</f>
        <v>378.97014028925349</v>
      </c>
      <c r="U724" s="794">
        <f t="shared" si="400"/>
        <v>1.0501911155735553</v>
      </c>
      <c r="V724" s="795">
        <f t="shared" si="401"/>
        <v>1.016544688240314</v>
      </c>
      <c r="W724" s="795">
        <f t="shared" si="402"/>
        <v>0.60429031473795791</v>
      </c>
      <c r="X724" s="843">
        <f t="shared" si="403"/>
        <v>1.1485401204576549</v>
      </c>
      <c r="Y724" s="843">
        <f t="shared" si="404"/>
        <v>1.1968025033362324</v>
      </c>
      <c r="Z724" s="843">
        <f t="shared" si="405"/>
        <v>0.61403956990639585</v>
      </c>
      <c r="AA724" s="843">
        <f t="shared" si="406"/>
        <v>0.74461077152658983</v>
      </c>
      <c r="AB724" s="796">
        <f t="shared" si="407"/>
        <v>4</v>
      </c>
      <c r="AC724" s="797">
        <f t="shared" si="408"/>
        <v>4</v>
      </c>
      <c r="AD724" s="797">
        <f t="shared" si="409"/>
        <v>2</v>
      </c>
      <c r="AE724" s="842">
        <f t="shared" si="410"/>
        <v>4</v>
      </c>
      <c r="AF724" s="842">
        <f t="shared" si="411"/>
        <v>4</v>
      </c>
      <c r="AG724" s="842">
        <f t="shared" si="412"/>
        <v>2</v>
      </c>
      <c r="AH724" s="842">
        <f t="shared" si="413"/>
        <v>2</v>
      </c>
      <c r="AI724" s="826" cm="1">
        <f t="array" ref="AI724">SUMPRODUCT(--ISNUMBER($U724:$AA724),$AB$3:$AH$3)</f>
        <v>1</v>
      </c>
      <c r="AJ724" s="829">
        <f t="shared" si="414"/>
        <v>51.504067844571431</v>
      </c>
      <c r="AK724" s="827" t="str">
        <f t="shared" si="415"/>
        <v>En desarrollo</v>
      </c>
      <c r="AL724" s="784" t="str">
        <f t="shared" si="416"/>
        <v>Alta</v>
      </c>
      <c r="AM724" s="799">
        <f>IF(ISNUMBER('Base de datos Rutas'!W722),'Base de datos Rutas'!W722,"")</f>
        <v>3641.9429094456564</v>
      </c>
      <c r="AN724" s="787">
        <f>IFERROR(SUMIFS('Base de datos Rutas'!$W$6:$W$794,'Base de datos Rutas'!$C$6:$C$794,$C724)/'Base de datos Rutas'!I722,"")</f>
        <v>3641.9429094456527</v>
      </c>
      <c r="AO724" s="800">
        <f>IFERROR('Base de datos Rutas'!X722*AN724/AM724,"")</f>
        <v>0.35679725951519109</v>
      </c>
      <c r="AP724" s="800">
        <f t="shared" si="417"/>
        <v>0.64320274048480885</v>
      </c>
      <c r="AQ724" s="789">
        <f>IFERROR(INDEX('Hoja de apoyo v2'!$J$17:$J$20,MATCH($A724,'Hoja de apoyo v2'!$A$17:$A$20,0)),"")</f>
        <v>0.64320274048480885</v>
      </c>
      <c r="AR724" s="789">
        <f t="shared" si="418"/>
        <v>0</v>
      </c>
      <c r="AS724" s="784" t="str">
        <f t="shared" si="419"/>
        <v>No</v>
      </c>
      <c r="AT724" s="801">
        <f>IF(ISNUMBER('Base de datos Rutas'!CK722),'Base de datos Rutas'!CK722,"")</f>
        <v>309</v>
      </c>
      <c r="AU724" s="802">
        <f>IF(ISNUMBER('Base de datos Rutas'!CL722),'Base de datos Rutas'!CL722,"")</f>
        <v>317.54000000000002</v>
      </c>
      <c r="AV724" s="802">
        <f>IF(ISNUMBER('Base de datos Rutas'!CM722),'Base de datos Rutas'!CM722,"")</f>
        <v>8.5400000000000205</v>
      </c>
      <c r="AW724" s="802">
        <f>IF(ISNUMBER('Base de datos Rutas'!CN722),'Base de datos Rutas'!CN722,"")</f>
        <v>10.46</v>
      </c>
      <c r="AX724" s="802">
        <f>IF(ISNUMBER('Base de datos Rutas'!CO722),'Base de datos Rutas'!CO722,"")</f>
        <v>9.4499999999999993</v>
      </c>
      <c r="AY724" s="802">
        <f>IF(ISNUMBER('Base de datos Rutas'!CP722),'Base de datos Rutas'!CP722,"")</f>
        <v>-1.0100000000000016</v>
      </c>
      <c r="AZ724" s="802">
        <f>IF(ISNUMBER('Base de datos Rutas'!CQ722),'Base de datos Rutas'!CQ722,"")</f>
        <v>846.56</v>
      </c>
      <c r="BA724" s="802">
        <f>IF(ISNUMBER('Base de datos Rutas'!CR722),'Base de datos Rutas'!CR722,"")</f>
        <v>587.5</v>
      </c>
      <c r="BB724" s="803">
        <f>IF(ISNUMBER('Base de datos Rutas'!CS722),'Base de datos Rutas'!CS722,"")</f>
        <v>259.05999999999995</v>
      </c>
      <c r="BC724" s="804">
        <f t="shared" si="429"/>
        <v>1</v>
      </c>
      <c r="BD724" s="805" t="str">
        <f t="shared" si="430"/>
        <v>Saturada</v>
      </c>
      <c r="BE724" s="806">
        <f t="shared" si="431"/>
        <v>0.69398506898506906</v>
      </c>
      <c r="BF724" s="890">
        <f>IF(ISNUMBER('Base de datos Rutas'!CX722),'Base de datos Rutas'!CX722/100,"")</f>
        <v>0.28936690473308319</v>
      </c>
      <c r="BG724" s="891">
        <f>IF(ISNUMBER('Base de datos Rutas'!CZ722),'Base de datos Rutas'!CZ722/100,"")</f>
        <v>0.2904006778840334</v>
      </c>
      <c r="BH724" s="892">
        <f>IF(ISNUMBER('Base de datos Rutas'!DA722),'Base de datos Rutas'!DA722,"")</f>
        <v>41.491712961059498</v>
      </c>
      <c r="BI724" s="893">
        <f>IF(ISNUMBER('Base de datos Rutas'!DC722),'Base de datos Rutas'!DC722,"")</f>
        <v>1.7839081738524754</v>
      </c>
      <c r="BJ724" s="805" t="str">
        <f t="shared" si="432"/>
        <v>Ruta (completo)</v>
      </c>
      <c r="BK724" s="783">
        <f t="shared" si="420"/>
        <v>2</v>
      </c>
      <c r="BL724" s="797">
        <f t="shared" si="421"/>
        <v>2</v>
      </c>
      <c r="BM724" s="797">
        <f t="shared" si="422"/>
        <v>1</v>
      </c>
      <c r="BN724" s="797">
        <f t="shared" si="423"/>
        <v>1</v>
      </c>
      <c r="BO724" s="798" cm="1">
        <f t="array" ref="BO724">SUMPRODUCT(--ISNUMBER($BF724:$BI724),$BK$3:$BN$3)</f>
        <v>1</v>
      </c>
      <c r="BP724" s="831">
        <f t="shared" si="433"/>
        <v>12.5</v>
      </c>
      <c r="BQ724" s="834" t="str">
        <f t="shared" si="434"/>
        <v>Bajo</v>
      </c>
      <c r="BR724" s="836">
        <f t="shared" si="424"/>
        <v>63.628050883428571</v>
      </c>
      <c r="BS724" s="836">
        <f t="shared" si="425"/>
        <v>12.5</v>
      </c>
      <c r="BT724" s="837" t="str">
        <f t="shared" si="426"/>
        <v>P2</v>
      </c>
      <c r="BU724" s="807" t="str">
        <f t="shared" si="435"/>
        <v>Al tope</v>
      </c>
      <c r="BV724" s="807" t="str">
        <f t="shared" si="427"/>
        <v>Zona de bajo potencial</v>
      </c>
      <c r="BW724" s="808" t="str">
        <f t="shared" si="428"/>
        <v>P2 - Mantener</v>
      </c>
    </row>
    <row r="725" spans="1:75">
      <c r="A725" s="780" t="str">
        <f>'Base de datos Rutas'!A723</f>
        <v>Occidente</v>
      </c>
      <c r="B725" s="781" t="str">
        <f>'Base de datos Rutas'!B723</f>
        <v>San Luis</v>
      </c>
      <c r="C725" s="781" t="str">
        <f>'Base de datos Rutas'!C723</f>
        <v>Planta San Luis</v>
      </c>
      <c r="D725" s="782">
        <f>IF(ISNUMBER('Base de datos Rutas'!D723),'Base de datos Rutas'!D723,"Sin código")</f>
        <v>916412</v>
      </c>
      <c r="E725" s="783" t="str">
        <f>'Base de datos Rutas'!F723</f>
        <v>Activa</v>
      </c>
      <c r="F725" s="784" t="str">
        <f>'Base de datos Rutas'!H723</f>
        <v>Sí</v>
      </c>
      <c r="G725" s="785">
        <f>IF(ISNUMBER('Base de datos Rutas'!BE723),'Base de datos Rutas'!BE723,"")</f>
        <v>57.066513761467903</v>
      </c>
      <c r="H725" s="786">
        <f>IF(ISNUMBER('Base de datos Rutas'!BH723),'Base de datos Rutas'!BH723,"")</f>
        <v>0.61436437442225</v>
      </c>
      <c r="I725" s="788">
        <f>IFERROR(IF(OR(NOT(ISNUMBER('Base de datos Rutas'!O723)),N('Base de datos Rutas'!BK723)=0),"",'Base de datos Rutas'!O723/('Base de datos Rutas'!L723/'Base de datos Rutas'!BK723)),"")</f>
        <v>3938.0688073394454</v>
      </c>
      <c r="J725" s="788">
        <f>IFERROR(IF(OR(NOT(ISNUMBER('Base de datos Rutas'!N723)),N('Base de datos Rutas'!BK723)=0),"",'Base de datos Rutas'!N723/('Base de datos Rutas'!L723/'Base de datos Rutas'!BK723)),"")</f>
        <v>8508.9954128440277</v>
      </c>
      <c r="K725" s="788">
        <f>IFERROR(IF(OR(NOT(ISNUMBER('Base de datos Rutas'!J723)),N('Base de datos Rutas'!BK723)=0),"",'Base de datos Rutas'!J723/('Base de datos Rutas'!L723/'Base de datos Rutas'!BK723)),"")</f>
        <v>571.11353394495359</v>
      </c>
      <c r="L725" s="788">
        <f>IFERROR(IF(OR(NOT(ISNUMBER('Base de datos Rutas'!K723)),N('Base de datos Rutas'!BK723)=0),"",'Base de datos Rutas'!K723/('Base de datos Rutas'!L723/'Base de datos Rutas'!BK723)),"")</f>
        <v>31.758624688073361</v>
      </c>
      <c r="M725" s="787">
        <f>IF(ISNUMBER('Base de datos Rutas'!AX723),'Base de datos Rutas'!AX723,"")</f>
        <v>355.02551942954301</v>
      </c>
      <c r="N725" s="790">
        <f>IFERROR(INDEX('Hoja de apoyo v2'!B$17:B$20,MATCH($A725,'Hoja de apoyo v2'!$A$17:$A$20,0)),"")</f>
        <v>89.41621024641401</v>
      </c>
      <c r="O725" s="791">
        <f>IFERROR(INDEX('Hoja de apoyo v2'!C$17:C$20,MATCH($A725,'Hoja de apoyo v2'!$A$17:$A$20,0)),"")</f>
        <v>0.54706375874806301</v>
      </c>
      <c r="P725" s="793">
        <f>IFERROR(INDEX('Hoja de apoyo v2'!D$17:D$20,MATCH($A725,'Hoja de apoyo v2'!$A$17:$A$20,0)),"")</f>
        <v>11095.153935793827</v>
      </c>
      <c r="Q725" s="793">
        <f>IFERROR(INDEX('Hoja de apoyo v2'!E$17:E$20,MATCH($A725,'Hoja de apoyo v2'!$A$17:$A$20,0)),"")</f>
        <v>6982.3202019701848</v>
      </c>
      <c r="R725" s="793">
        <f>IFERROR(INDEX('Hoja de apoyo v2'!F$17:F$20,MATCH($A725,'Hoja de apoyo v2'!$A$17:$A$20,0)),"")</f>
        <v>448.09513474485743</v>
      </c>
      <c r="S725" s="793">
        <f>IFERROR(INDEX('Hoja de apoyo v2'!G$17:G$20,MATCH($A725,'Hoja de apoyo v2'!$A$17:$A$20,0)),"")</f>
        <v>83.406300904207839</v>
      </c>
      <c r="T725" s="792">
        <f>IFERROR(INDEX('Hoja de apoyo v2'!H$17:H$20,MATCH($A725,'Hoja de apoyo v2'!$A$17:$A$20,0)),"")</f>
        <v>378.97014028925349</v>
      </c>
      <c r="U725" s="794">
        <f t="shared" si="400"/>
        <v>0.63821217209053571</v>
      </c>
      <c r="V725" s="795">
        <f t="shared" si="401"/>
        <v>1.123021520979935</v>
      </c>
      <c r="W725" s="795">
        <f t="shared" si="402"/>
        <v>0.35493593240152621</v>
      </c>
      <c r="X725" s="843">
        <f t="shared" si="403"/>
        <v>1.2186486965239813</v>
      </c>
      <c r="Y725" s="843">
        <f t="shared" si="404"/>
        <v>1.2745363420875839</v>
      </c>
      <c r="Z725" s="843">
        <f t="shared" si="405"/>
        <v>0.38077008983467747</v>
      </c>
      <c r="AA725" s="843">
        <f t="shared" si="406"/>
        <v>0.9368166029085182</v>
      </c>
      <c r="AB725" s="796">
        <f t="shared" si="407"/>
        <v>2</v>
      </c>
      <c r="AC725" s="797">
        <f t="shared" si="408"/>
        <v>4</v>
      </c>
      <c r="AD725" s="797">
        <f t="shared" si="409"/>
        <v>1</v>
      </c>
      <c r="AE725" s="842">
        <f t="shared" si="410"/>
        <v>4</v>
      </c>
      <c r="AF725" s="842">
        <f t="shared" si="411"/>
        <v>5</v>
      </c>
      <c r="AG725" s="842">
        <f t="shared" si="412"/>
        <v>1</v>
      </c>
      <c r="AH725" s="842">
        <f t="shared" si="413"/>
        <v>3</v>
      </c>
      <c r="AI725" s="826" cm="1">
        <f t="array" ref="AI725">SUMPRODUCT(--ISNUMBER($U725:$AA725),$AB$3:$AH$3)</f>
        <v>1</v>
      </c>
      <c r="AJ725" s="829">
        <f t="shared" si="414"/>
        <v>38.104329603276568</v>
      </c>
      <c r="AK725" s="827" t="str">
        <f t="shared" si="415"/>
        <v>Inmadura</v>
      </c>
      <c r="AL725" s="784" t="str">
        <f t="shared" si="416"/>
        <v>Alta</v>
      </c>
      <c r="AM725" s="799">
        <f>IF(ISNUMBER('Base de datos Rutas'!W723),'Base de datos Rutas'!W723,"")</f>
        <v>3641.9429094456564</v>
      </c>
      <c r="AN725" s="787">
        <f>IFERROR(SUMIFS('Base de datos Rutas'!$W$6:$W$794,'Base de datos Rutas'!$C$6:$C$794,$C725)/'Base de datos Rutas'!I723,"")</f>
        <v>3641.9429094456527</v>
      </c>
      <c r="AO725" s="800">
        <f>IFERROR('Base de datos Rutas'!X723*AN725/AM725,"")</f>
        <v>0.35679725951519109</v>
      </c>
      <c r="AP725" s="800">
        <f t="shared" si="417"/>
        <v>0.64320274048480885</v>
      </c>
      <c r="AQ725" s="789">
        <f>IFERROR(INDEX('Hoja de apoyo v2'!$J$17:$J$20,MATCH($A725,'Hoja de apoyo v2'!$A$17:$A$20,0)),"")</f>
        <v>0.64320274048480885</v>
      </c>
      <c r="AR725" s="789">
        <f t="shared" si="418"/>
        <v>0</v>
      </c>
      <c r="AS725" s="784" t="str">
        <f t="shared" si="419"/>
        <v>No</v>
      </c>
      <c r="AT725" s="801">
        <f>IF(ISNUMBER('Base de datos Rutas'!CK723),'Base de datos Rutas'!CK723,"")</f>
        <v>309</v>
      </c>
      <c r="AU725" s="802">
        <f>IF(ISNUMBER('Base de datos Rutas'!CL723),'Base de datos Rutas'!CL723,"")</f>
        <v>309.05</v>
      </c>
      <c r="AV725" s="802">
        <f>IF(ISNUMBER('Base de datos Rutas'!CM723),'Base de datos Rutas'!CM723,"")</f>
        <v>5.0000000000011369E-2</v>
      </c>
      <c r="AW725" s="802">
        <f>IF(ISNUMBER('Base de datos Rutas'!CN723),'Base de datos Rutas'!CN723,"")</f>
        <v>11.76</v>
      </c>
      <c r="AX725" s="802">
        <f>IF(ISNUMBER('Base de datos Rutas'!CO723),'Base de datos Rutas'!CO723,"")</f>
        <v>9.4499999999999993</v>
      </c>
      <c r="AY725" s="802">
        <f>IF(ISNUMBER('Base de datos Rutas'!CP723),'Base de datos Rutas'!CP723,"")</f>
        <v>-2.3100000000000005</v>
      </c>
      <c r="AZ725" s="802">
        <f>IF(ISNUMBER('Base de datos Rutas'!CQ723),'Base de datos Rutas'!CQ723,"")</f>
        <v>846.56</v>
      </c>
      <c r="BA725" s="802">
        <f>IF(ISNUMBER('Base de datos Rutas'!CR723),'Base de datos Rutas'!CR723,"")</f>
        <v>602.87</v>
      </c>
      <c r="BB725" s="803">
        <f>IF(ISNUMBER('Base de datos Rutas'!CS723),'Base de datos Rutas'!CS723,"")</f>
        <v>243.68999999999994</v>
      </c>
      <c r="BC725" s="804">
        <f t="shared" si="429"/>
        <v>1</v>
      </c>
      <c r="BD725" s="805" t="str">
        <f t="shared" si="430"/>
        <v>Saturada</v>
      </c>
      <c r="BE725" s="806">
        <f t="shared" si="431"/>
        <v>0.71214089964089966</v>
      </c>
      <c r="BF725" s="890">
        <f>IF(ISNUMBER('Base de datos Rutas'!CX723),'Base de datos Rutas'!CX723/100,"")</f>
        <v>8.8554400977995107E-3</v>
      </c>
      <c r="BG725" s="891">
        <f>IF(ISNUMBER('Base de datos Rutas'!CZ723),'Base de datos Rutas'!CZ723/100,"")</f>
        <v>8.8630806845965762E-3</v>
      </c>
      <c r="BH725" s="892">
        <f>IF(ISNUMBER('Base de datos Rutas'!DA723),'Base de datos Rutas'!DA723,"")</f>
        <v>1.2285969697664288E-3</v>
      </c>
      <c r="BI725" s="893">
        <f>IF(ISNUMBER('Base de datos Rutas'!DC723),'Base de datos Rutas'!DC723,"")</f>
        <v>5.3483698932618178E-5</v>
      </c>
      <c r="BJ725" s="805" t="str">
        <f t="shared" si="432"/>
        <v>Ruta (completo)</v>
      </c>
      <c r="BK725" s="783">
        <f t="shared" si="420"/>
        <v>1</v>
      </c>
      <c r="BL725" s="797">
        <f t="shared" si="421"/>
        <v>1</v>
      </c>
      <c r="BM725" s="797">
        <f t="shared" si="422"/>
        <v>1</v>
      </c>
      <c r="BN725" s="797">
        <f t="shared" si="423"/>
        <v>1</v>
      </c>
      <c r="BO725" s="798" cm="1">
        <f t="array" ref="BO725">SUMPRODUCT(--ISNUMBER($BF725:$BI725),$BK$3:$BN$3)</f>
        <v>1</v>
      </c>
      <c r="BP725" s="831">
        <f t="shared" si="433"/>
        <v>0</v>
      </c>
      <c r="BQ725" s="834" t="str">
        <f t="shared" si="434"/>
        <v>Bajo</v>
      </c>
      <c r="BR725" s="836">
        <f t="shared" si="424"/>
        <v>53.578247202457426</v>
      </c>
      <c r="BS725" s="836">
        <f t="shared" si="425"/>
        <v>0</v>
      </c>
      <c r="BT725" s="837" t="str">
        <f t="shared" si="426"/>
        <v>P2</v>
      </c>
      <c r="BU725" s="807" t="str">
        <f t="shared" si="435"/>
        <v>Al tope</v>
      </c>
      <c r="BV725" s="807" t="str">
        <f t="shared" si="427"/>
        <v>Zona de bajo potencial</v>
      </c>
      <c r="BW725" s="808" t="str">
        <f t="shared" si="428"/>
        <v>P2 - Mantener</v>
      </c>
    </row>
    <row r="726" spans="1:75">
      <c r="A726" s="780" t="str">
        <f>'Base de datos Rutas'!A724</f>
        <v>Occidente</v>
      </c>
      <c r="B726" s="781" t="str">
        <f>'Base de datos Rutas'!B724</f>
        <v>San Luis</v>
      </c>
      <c r="C726" s="781" t="str">
        <f>'Base de datos Rutas'!C724</f>
        <v>Planta San Luis</v>
      </c>
      <c r="D726" s="782">
        <f>IF(ISNUMBER('Base de datos Rutas'!D724),'Base de datos Rutas'!D724,"Sin código")</f>
        <v>916413</v>
      </c>
      <c r="E726" s="783" t="str">
        <f>'Base de datos Rutas'!F724</f>
        <v>Activa</v>
      </c>
      <c r="F726" s="784" t="str">
        <f>'Base de datos Rutas'!H724</f>
        <v>Sí</v>
      </c>
      <c r="G726" s="785">
        <f>IF(ISNUMBER('Base de datos Rutas'!BE724),'Base de datos Rutas'!BE724,"")</f>
        <v>72.479357798165097</v>
      </c>
      <c r="H726" s="786">
        <f>IF(ISNUMBER('Base de datos Rutas'!BH724),'Base de datos Rutas'!BH724,"")</f>
        <v>0.50469921837916498</v>
      </c>
      <c r="I726" s="788">
        <f>IFERROR(IF(OR(NOT(ISNUMBER('Base de datos Rutas'!O724)),N('Base de datos Rutas'!BK724)=0),"",'Base de datos Rutas'!O724/('Base de datos Rutas'!L724/'Base de datos Rutas'!BK724)),"")</f>
        <v>3504.9541284403658</v>
      </c>
      <c r="J726" s="788">
        <f>IFERROR(IF(OR(NOT(ISNUMBER('Base de datos Rutas'!N724)),N('Base de datos Rutas'!BK724)=0),"",'Base de datos Rutas'!N724/('Base de datos Rutas'!L724/'Base de datos Rutas'!BK724)),"")</f>
        <v>6427.5481651376122</v>
      </c>
      <c r="K726" s="788">
        <f>IFERROR(IF(OR(NOT(ISNUMBER('Base de datos Rutas'!J724)),N('Base de datos Rutas'!BK724)=0),"",'Base de datos Rutas'!J724/('Base de datos Rutas'!L724/'Base de datos Rutas'!BK724)),"")</f>
        <v>433.4490935779815</v>
      </c>
      <c r="L726" s="788">
        <f>IFERROR(IF(OR(NOT(ISNUMBER('Base de datos Rutas'!K724)),N('Base de datos Rutas'!BK724)=0),"",'Base de datos Rutas'!K724/('Base de datos Rutas'!L724/'Base de datos Rutas'!BK724)),"")</f>
        <v>29.390773133027512</v>
      </c>
      <c r="M726" s="787">
        <f>IF(ISNUMBER('Base de datos Rutas'!AX724),'Base de datos Rutas'!AX724,"")</f>
        <v>271.52615022885402</v>
      </c>
      <c r="N726" s="790">
        <f>IFERROR(INDEX('Hoja de apoyo v2'!B$17:B$20,MATCH($A726,'Hoja de apoyo v2'!$A$17:$A$20,0)),"")</f>
        <v>89.41621024641401</v>
      </c>
      <c r="O726" s="791">
        <f>IFERROR(INDEX('Hoja de apoyo v2'!C$17:C$20,MATCH($A726,'Hoja de apoyo v2'!$A$17:$A$20,0)),"")</f>
        <v>0.54706375874806301</v>
      </c>
      <c r="P726" s="793">
        <f>IFERROR(INDEX('Hoja de apoyo v2'!D$17:D$20,MATCH($A726,'Hoja de apoyo v2'!$A$17:$A$20,0)),"")</f>
        <v>11095.153935793827</v>
      </c>
      <c r="Q726" s="793">
        <f>IFERROR(INDEX('Hoja de apoyo v2'!E$17:E$20,MATCH($A726,'Hoja de apoyo v2'!$A$17:$A$20,0)),"")</f>
        <v>6982.3202019701848</v>
      </c>
      <c r="R726" s="793">
        <f>IFERROR(INDEX('Hoja de apoyo v2'!F$17:F$20,MATCH($A726,'Hoja de apoyo v2'!$A$17:$A$20,0)),"")</f>
        <v>448.09513474485743</v>
      </c>
      <c r="S726" s="793">
        <f>IFERROR(INDEX('Hoja de apoyo v2'!G$17:G$20,MATCH($A726,'Hoja de apoyo v2'!$A$17:$A$20,0)),"")</f>
        <v>83.406300904207839</v>
      </c>
      <c r="T726" s="792">
        <f>IFERROR(INDEX('Hoja de apoyo v2'!H$17:H$20,MATCH($A726,'Hoja de apoyo v2'!$A$17:$A$20,0)),"")</f>
        <v>378.97014028925349</v>
      </c>
      <c r="U726" s="794">
        <f t="shared" si="400"/>
        <v>0.81058409429817946</v>
      </c>
      <c r="V726" s="795">
        <f t="shared" si="401"/>
        <v>0.92256014094984495</v>
      </c>
      <c r="W726" s="795">
        <f t="shared" si="402"/>
        <v>0.31589954936389947</v>
      </c>
      <c r="X726" s="843">
        <f t="shared" si="403"/>
        <v>0.92054617651650605</v>
      </c>
      <c r="Y726" s="843">
        <f t="shared" si="404"/>
        <v>0.96731488465007487</v>
      </c>
      <c r="Z726" s="843">
        <f t="shared" si="405"/>
        <v>0.35238072920633207</v>
      </c>
      <c r="AA726" s="843">
        <f t="shared" si="406"/>
        <v>0.71648428559993782</v>
      </c>
      <c r="AB726" s="796">
        <f t="shared" si="407"/>
        <v>3</v>
      </c>
      <c r="AC726" s="797">
        <f t="shared" si="408"/>
        <v>3</v>
      </c>
      <c r="AD726" s="797">
        <f t="shared" si="409"/>
        <v>1</v>
      </c>
      <c r="AE726" s="842">
        <f t="shared" si="410"/>
        <v>3</v>
      </c>
      <c r="AF726" s="842">
        <f t="shared" si="411"/>
        <v>3</v>
      </c>
      <c r="AG726" s="842">
        <f t="shared" si="412"/>
        <v>1</v>
      </c>
      <c r="AH726" s="842">
        <f t="shared" si="413"/>
        <v>2</v>
      </c>
      <c r="AI726" s="826" cm="1">
        <f t="array" ref="AI726">SUMPRODUCT(--ISNUMBER($U726:$AA726),$AB$3:$AH$3)</f>
        <v>1</v>
      </c>
      <c r="AJ726" s="829">
        <f t="shared" si="414"/>
        <v>28.748795684897999</v>
      </c>
      <c r="AK726" s="827" t="str">
        <f t="shared" si="415"/>
        <v>Inmadura</v>
      </c>
      <c r="AL726" s="784" t="str">
        <f t="shared" si="416"/>
        <v>Alta</v>
      </c>
      <c r="AM726" s="799">
        <f>IF(ISNUMBER('Base de datos Rutas'!W724),'Base de datos Rutas'!W724,"")</f>
        <v>3641.9429094456564</v>
      </c>
      <c r="AN726" s="787">
        <f>IFERROR(SUMIFS('Base de datos Rutas'!$W$6:$W$794,'Base de datos Rutas'!$C$6:$C$794,$C726)/'Base de datos Rutas'!I724,"")</f>
        <v>3641.9429094456527</v>
      </c>
      <c r="AO726" s="800">
        <f>IFERROR('Base de datos Rutas'!X724*AN726/AM726,"")</f>
        <v>0.35679725951519109</v>
      </c>
      <c r="AP726" s="800">
        <f t="shared" si="417"/>
        <v>0.64320274048480885</v>
      </c>
      <c r="AQ726" s="789">
        <f>IFERROR(INDEX('Hoja de apoyo v2'!$J$17:$J$20,MATCH($A726,'Hoja de apoyo v2'!$A$17:$A$20,0)),"")</f>
        <v>0.64320274048480885</v>
      </c>
      <c r="AR726" s="789">
        <f t="shared" si="418"/>
        <v>0</v>
      </c>
      <c r="AS726" s="784" t="str">
        <f t="shared" si="419"/>
        <v>No</v>
      </c>
      <c r="AT726" s="801">
        <f>IF(ISNUMBER('Base de datos Rutas'!CK724),'Base de datos Rutas'!CK724,"")</f>
        <v>254</v>
      </c>
      <c r="AU726" s="802">
        <f>IF(ISNUMBER('Base de datos Rutas'!CL724),'Base de datos Rutas'!CL724,"")</f>
        <v>254</v>
      </c>
      <c r="AV726" s="802">
        <f>IF(ISNUMBER('Base de datos Rutas'!CM724),'Base de datos Rutas'!CM724,"")</f>
        <v>0</v>
      </c>
      <c r="AW726" s="802" t="str">
        <f>IF(ISNUMBER('Base de datos Rutas'!CN724),'Base de datos Rutas'!CN724,"")</f>
        <v/>
      </c>
      <c r="AX726" s="802">
        <f>IF(ISNUMBER('Base de datos Rutas'!CO724),'Base de datos Rutas'!CO724,"")</f>
        <v>9.4499999999999993</v>
      </c>
      <c r="AY726" s="802">
        <f>IF(ISNUMBER('Base de datos Rutas'!CP724),'Base de datos Rutas'!CP724,"")</f>
        <v>9.4499999999999993</v>
      </c>
      <c r="AZ726" s="802" t="str">
        <f>IF(ISNUMBER('Base de datos Rutas'!CQ724),'Base de datos Rutas'!CQ724,"")</f>
        <v/>
      </c>
      <c r="BA726" s="802" t="str">
        <f>IF(ISNUMBER('Base de datos Rutas'!CR724),'Base de datos Rutas'!CR724,"")</f>
        <v/>
      </c>
      <c r="BB726" s="803">
        <f>IF(ISNUMBER('Base de datos Rutas'!CS724),'Base de datos Rutas'!CS724,"")</f>
        <v>0</v>
      </c>
      <c r="BC726" s="804" t="str">
        <f t="shared" si="429"/>
        <v/>
      </c>
      <c r="BD726" s="805" t="str">
        <f t="shared" si="430"/>
        <v>N/D</v>
      </c>
      <c r="BE726" s="806" t="str">
        <f t="shared" si="431"/>
        <v/>
      </c>
      <c r="BF726" s="890">
        <f>IF(ISNUMBER('Base de datos Rutas'!CX724),'Base de datos Rutas'!CX724/100,"")</f>
        <v>0</v>
      </c>
      <c r="BG726" s="891">
        <f>IF(ISNUMBER('Base de datos Rutas'!CZ724),'Base de datos Rutas'!CZ724/100,"")</f>
        <v>0</v>
      </c>
      <c r="BH726" s="892">
        <f>IF(ISNUMBER('Base de datos Rutas'!DA724),'Base de datos Rutas'!DA724,"")</f>
        <v>0</v>
      </c>
      <c r="BI726" s="893">
        <f>IF(ISNUMBER('Base de datos Rutas'!DC724),'Base de datos Rutas'!DC724,"")</f>
        <v>0</v>
      </c>
      <c r="BJ726" s="805" t="str">
        <f t="shared" si="432"/>
        <v>Ruta (completo)</v>
      </c>
      <c r="BK726" s="783">
        <f t="shared" si="420"/>
        <v>1</v>
      </c>
      <c r="BL726" s="797">
        <f t="shared" si="421"/>
        <v>1</v>
      </c>
      <c r="BM726" s="797">
        <f t="shared" si="422"/>
        <v>1</v>
      </c>
      <c r="BN726" s="797">
        <f t="shared" si="423"/>
        <v>1</v>
      </c>
      <c r="BO726" s="798" cm="1">
        <f t="array" ref="BO726">SUMPRODUCT(--ISNUMBER($BF726:$BI726),$BK$3:$BN$3)</f>
        <v>1</v>
      </c>
      <c r="BP726" s="831">
        <f t="shared" si="433"/>
        <v>0</v>
      </c>
      <c r="BQ726" s="834" t="str">
        <f t="shared" si="434"/>
        <v>Bajo</v>
      </c>
      <c r="BR726" s="836" t="str">
        <f t="shared" si="424"/>
        <v/>
      </c>
      <c r="BS726" s="836">
        <f t="shared" si="425"/>
        <v>0</v>
      </c>
      <c r="BT726" s="837" t="str">
        <f t="shared" si="426"/>
        <v>Sin datos</v>
      </c>
      <c r="BU726" s="807" t="str">
        <f t="shared" si="435"/>
        <v>Con espacio</v>
      </c>
      <c r="BV726" s="807" t="str">
        <f t="shared" si="427"/>
        <v>Zona de bajo potencial</v>
      </c>
      <c r="BW726" s="808" t="str">
        <f t="shared" si="428"/>
        <v>Sin datos</v>
      </c>
    </row>
    <row r="727" spans="1:75">
      <c r="A727" s="780" t="str">
        <f>'Base de datos Rutas'!A725</f>
        <v>Occidente</v>
      </c>
      <c r="B727" s="781" t="str">
        <f>'Base de datos Rutas'!B725</f>
        <v>San Luis</v>
      </c>
      <c r="C727" s="781" t="str">
        <f>'Base de datos Rutas'!C725</f>
        <v>Planta San Luis</v>
      </c>
      <c r="D727" s="782">
        <f>IF(ISNUMBER('Base de datos Rutas'!D725),'Base de datos Rutas'!D725,"Sin código")</f>
        <v>916414</v>
      </c>
      <c r="E727" s="783" t="str">
        <f>'Base de datos Rutas'!F725</f>
        <v>Activa</v>
      </c>
      <c r="F727" s="784" t="str">
        <f>'Base de datos Rutas'!H725</f>
        <v>Sí</v>
      </c>
      <c r="G727" s="785">
        <f>IF(ISNUMBER('Base de datos Rutas'!BE725),'Base de datos Rutas'!BE725,"")</f>
        <v>94.516355140186903</v>
      </c>
      <c r="H727" s="786">
        <f>IF(ISNUMBER('Base de datos Rutas'!BH725),'Base de datos Rutas'!BH725,"")</f>
        <v>0.34672335797097897</v>
      </c>
      <c r="I727" s="788">
        <f>IFERROR(IF(OR(NOT(ISNUMBER('Base de datos Rutas'!O725)),N('Base de datos Rutas'!BK725)=0),"",'Base de datos Rutas'!O725/('Base de datos Rutas'!L725/'Base de datos Rutas'!BK725)),"")</f>
        <v>2180.2710280373803</v>
      </c>
      <c r="J727" s="788">
        <f>IFERROR(IF(OR(NOT(ISNUMBER('Base de datos Rutas'!N725)),N('Base de datos Rutas'!BK725)=0),"",'Base de datos Rutas'!N725/('Base de datos Rutas'!L725/'Base de datos Rutas'!BK725)),"")</f>
        <v>6467.5560747663476</v>
      </c>
      <c r="K727" s="788">
        <f>IFERROR(IF(OR(NOT(ISNUMBER('Base de datos Rutas'!J725)),N('Base de datos Rutas'!BK725)=0),"",'Base de datos Rutas'!J725/('Base de datos Rutas'!L725/'Base de datos Rutas'!BK725)),"")</f>
        <v>437.30431401869106</v>
      </c>
      <c r="L727" s="788">
        <f>IFERROR(IF(OR(NOT(ISNUMBER('Base de datos Rutas'!K725)),N('Base de datos Rutas'!BK725)=0),"",'Base de datos Rutas'!K725/('Base de datos Rutas'!L725/'Base de datos Rutas'!BK725)),"")</f>
        <v>17.921582593457924</v>
      </c>
      <c r="M727" s="787">
        <f>IF(ISNUMBER('Base de datos Rutas'!AX725),'Base de datos Rutas'!AX725,"")</f>
        <v>264.10597889633499</v>
      </c>
      <c r="N727" s="790">
        <f>IFERROR(INDEX('Hoja de apoyo v2'!B$17:B$20,MATCH($A727,'Hoja de apoyo v2'!$A$17:$A$20,0)),"")</f>
        <v>89.41621024641401</v>
      </c>
      <c r="O727" s="791">
        <f>IFERROR(INDEX('Hoja de apoyo v2'!C$17:C$20,MATCH($A727,'Hoja de apoyo v2'!$A$17:$A$20,0)),"")</f>
        <v>0.54706375874806301</v>
      </c>
      <c r="P727" s="793">
        <f>IFERROR(INDEX('Hoja de apoyo v2'!D$17:D$20,MATCH($A727,'Hoja de apoyo v2'!$A$17:$A$20,0)),"")</f>
        <v>11095.153935793827</v>
      </c>
      <c r="Q727" s="793">
        <f>IFERROR(INDEX('Hoja de apoyo v2'!E$17:E$20,MATCH($A727,'Hoja de apoyo v2'!$A$17:$A$20,0)),"")</f>
        <v>6982.3202019701848</v>
      </c>
      <c r="R727" s="793">
        <f>IFERROR(INDEX('Hoja de apoyo v2'!F$17:F$20,MATCH($A727,'Hoja de apoyo v2'!$A$17:$A$20,0)),"")</f>
        <v>448.09513474485743</v>
      </c>
      <c r="S727" s="793">
        <f>IFERROR(INDEX('Hoja de apoyo v2'!G$17:G$20,MATCH($A727,'Hoja de apoyo v2'!$A$17:$A$20,0)),"")</f>
        <v>83.406300904207839</v>
      </c>
      <c r="T727" s="792">
        <f>IFERROR(INDEX('Hoja de apoyo v2'!H$17:H$20,MATCH($A727,'Hoja de apoyo v2'!$A$17:$A$20,0)),"")</f>
        <v>378.97014028925349</v>
      </c>
      <c r="U727" s="794">
        <f t="shared" si="400"/>
        <v>1.0570382582723856</v>
      </c>
      <c r="V727" s="795">
        <f t="shared" si="401"/>
        <v>0.63378966788888325</v>
      </c>
      <c r="W727" s="795">
        <f t="shared" si="402"/>
        <v>0.1965066046540965</v>
      </c>
      <c r="X727" s="843">
        <f t="shared" si="403"/>
        <v>0.92627606407128282</v>
      </c>
      <c r="Y727" s="843">
        <f t="shared" si="404"/>
        <v>0.97591846041285268</v>
      </c>
      <c r="Z727" s="843">
        <f t="shared" si="405"/>
        <v>0.21487084787564031</v>
      </c>
      <c r="AA727" s="843">
        <f t="shared" si="406"/>
        <v>0.69690445451652983</v>
      </c>
      <c r="AB727" s="796">
        <f t="shared" si="407"/>
        <v>4</v>
      </c>
      <c r="AC727" s="797">
        <f t="shared" si="408"/>
        <v>2</v>
      </c>
      <c r="AD727" s="797">
        <f t="shared" si="409"/>
        <v>1</v>
      </c>
      <c r="AE727" s="842">
        <f t="shared" si="410"/>
        <v>3</v>
      </c>
      <c r="AF727" s="842">
        <f t="shared" si="411"/>
        <v>3</v>
      </c>
      <c r="AG727" s="842">
        <f t="shared" si="412"/>
        <v>1</v>
      </c>
      <c r="AH727" s="842">
        <f t="shared" si="413"/>
        <v>2</v>
      </c>
      <c r="AI727" s="826" cm="1">
        <f t="array" ref="AI727">SUMPRODUCT(--ISNUMBER($U727:$AA727),$AB$3:$AH$3)</f>
        <v>1</v>
      </c>
      <c r="AJ727" s="829">
        <f t="shared" si="414"/>
        <v>30.899526277144261</v>
      </c>
      <c r="AK727" s="827" t="str">
        <f t="shared" si="415"/>
        <v>Inmadura</v>
      </c>
      <c r="AL727" s="784" t="str">
        <f t="shared" si="416"/>
        <v>Alta</v>
      </c>
      <c r="AM727" s="799">
        <f>IF(ISNUMBER('Base de datos Rutas'!W725),'Base de datos Rutas'!W725,"")</f>
        <v>3641.9429094456564</v>
      </c>
      <c r="AN727" s="787">
        <f>IFERROR(SUMIFS('Base de datos Rutas'!$W$6:$W$794,'Base de datos Rutas'!$C$6:$C$794,$C727)/'Base de datos Rutas'!I725,"")</f>
        <v>3641.9429094456527</v>
      </c>
      <c r="AO727" s="800">
        <f>IFERROR('Base de datos Rutas'!X725*AN727/AM727,"")</f>
        <v>0.35679725951519109</v>
      </c>
      <c r="AP727" s="800">
        <f t="shared" si="417"/>
        <v>0.64320274048480885</v>
      </c>
      <c r="AQ727" s="789">
        <f>IFERROR(INDEX('Hoja de apoyo v2'!$J$17:$J$20,MATCH($A727,'Hoja de apoyo v2'!$A$17:$A$20,0)),"")</f>
        <v>0.64320274048480885</v>
      </c>
      <c r="AR727" s="789">
        <f t="shared" si="418"/>
        <v>0</v>
      </c>
      <c r="AS727" s="784" t="str">
        <f t="shared" si="419"/>
        <v>No</v>
      </c>
      <c r="AT727" s="801">
        <f>IF(ISNUMBER('Base de datos Rutas'!CK725),'Base de datos Rutas'!CK725,"")</f>
        <v>441</v>
      </c>
      <c r="AU727" s="802">
        <f>IF(ISNUMBER('Base de datos Rutas'!CL725),'Base de datos Rutas'!CL725,"")</f>
        <v>466.16</v>
      </c>
      <c r="AV727" s="802">
        <f>IF(ISNUMBER('Base de datos Rutas'!CM725),'Base de datos Rutas'!CM725,"")</f>
        <v>25.160000000000025</v>
      </c>
      <c r="AW727" s="802">
        <f>IF(ISNUMBER('Base de datos Rutas'!CN725),'Base de datos Rutas'!CN725,"")</f>
        <v>10.08</v>
      </c>
      <c r="AX727" s="802">
        <f>IF(ISNUMBER('Base de datos Rutas'!CO725),'Base de datos Rutas'!CO725,"")</f>
        <v>9.4499999999999993</v>
      </c>
      <c r="AY727" s="802">
        <f>IF(ISNUMBER('Base de datos Rutas'!CP725),'Base de datos Rutas'!CP725,"")</f>
        <v>-0.63000000000000078</v>
      </c>
      <c r="AZ727" s="802">
        <f>IF(ISNUMBER('Base de datos Rutas'!CQ725),'Base de datos Rutas'!CQ725,"")</f>
        <v>846.56</v>
      </c>
      <c r="BA727" s="802">
        <f>IF(ISNUMBER('Base de datos Rutas'!CR725),'Base de datos Rutas'!CR725,"")</f>
        <v>455.23</v>
      </c>
      <c r="BB727" s="803">
        <f>IF(ISNUMBER('Base de datos Rutas'!CS725),'Base de datos Rutas'!CS725,"")</f>
        <v>391.32999999999993</v>
      </c>
      <c r="BC727" s="804">
        <f t="shared" si="429"/>
        <v>1</v>
      </c>
      <c r="BD727" s="805" t="str">
        <f t="shared" si="430"/>
        <v>Saturada</v>
      </c>
      <c r="BE727" s="806">
        <f t="shared" si="431"/>
        <v>0.53774097524097531</v>
      </c>
      <c r="BF727" s="890">
        <f>IF(ISNUMBER('Base de datos Rutas'!CX725),'Base de datos Rutas'!CX725/100,"")</f>
        <v>0.68657060518731994</v>
      </c>
      <c r="BG727" s="891">
        <f>IF(ISNUMBER('Base de datos Rutas'!CZ725),'Base de datos Rutas'!CZ725/100,"")</f>
        <v>0.69110230547550433</v>
      </c>
      <c r="BH727" s="892">
        <f>IF(ISNUMBER('Base de datos Rutas'!DA725),'Base de datos Rutas'!DA725,"")</f>
        <v>234.25474793622561</v>
      </c>
      <c r="BI727" s="893">
        <f>IF(ISNUMBER('Base de datos Rutas'!DC725),'Base de datos Rutas'!DC725,"")</f>
        <v>11.918731038736562</v>
      </c>
      <c r="BJ727" s="805" t="str">
        <f t="shared" si="432"/>
        <v>Ruta (completo)</v>
      </c>
      <c r="BK727" s="783">
        <f t="shared" si="420"/>
        <v>3</v>
      </c>
      <c r="BL727" s="797">
        <f t="shared" si="421"/>
        <v>3</v>
      </c>
      <c r="BM727" s="797">
        <f t="shared" si="422"/>
        <v>3</v>
      </c>
      <c r="BN727" s="797">
        <f t="shared" si="423"/>
        <v>3</v>
      </c>
      <c r="BO727" s="798" cm="1">
        <f t="array" ref="BO727">SUMPRODUCT(--ISNUMBER($BF727:$BI727),$BK$3:$BN$3)</f>
        <v>1</v>
      </c>
      <c r="BP727" s="831">
        <f t="shared" si="433"/>
        <v>50</v>
      </c>
      <c r="BQ727" s="834" t="str">
        <f t="shared" si="434"/>
        <v>Alto</v>
      </c>
      <c r="BR727" s="836">
        <f t="shared" si="424"/>
        <v>48.174644707858192</v>
      </c>
      <c r="BS727" s="836">
        <f t="shared" si="425"/>
        <v>50</v>
      </c>
      <c r="BT727" s="837" t="str">
        <f t="shared" si="426"/>
        <v>P1</v>
      </c>
      <c r="BU727" s="807" t="str">
        <f t="shared" si="435"/>
        <v>Al tope</v>
      </c>
      <c r="BV727" s="807" t="str">
        <f t="shared" si="427"/>
        <v>Zona atractiva</v>
      </c>
      <c r="BW727" s="808" t="str">
        <f t="shared" si="428"/>
        <v>P1 - Ampliar cobertura</v>
      </c>
    </row>
    <row r="728" spans="1:75">
      <c r="A728" s="780" t="str">
        <f>'Base de datos Rutas'!A726</f>
        <v>Occidente</v>
      </c>
      <c r="B728" s="781" t="str">
        <f>'Base de datos Rutas'!B726</f>
        <v>San Luis</v>
      </c>
      <c r="C728" s="781" t="str">
        <f>'Base de datos Rutas'!C726</f>
        <v>Planta San Luis</v>
      </c>
      <c r="D728" s="782">
        <f>IF(ISNUMBER('Base de datos Rutas'!D726),'Base de datos Rutas'!D726,"Sin código")</f>
        <v>916415</v>
      </c>
      <c r="E728" s="783" t="str">
        <f>'Base de datos Rutas'!F726</f>
        <v>Activa</v>
      </c>
      <c r="F728" s="784" t="str">
        <f>'Base de datos Rutas'!H726</f>
        <v>Sí</v>
      </c>
      <c r="G728" s="785">
        <f>IF(ISNUMBER('Base de datos Rutas'!BE726),'Base de datos Rutas'!BE726,"")</f>
        <v>83.758620689655203</v>
      </c>
      <c r="H728" s="786">
        <f>IF(ISNUMBER('Base de datos Rutas'!BH726),'Base de datos Rutas'!BH726,"")</f>
        <v>0.41229586935638801</v>
      </c>
      <c r="I728" s="788">
        <f>IFERROR(IF(OR(NOT(ISNUMBER('Base de datos Rutas'!O726)),N('Base de datos Rutas'!BK726)=0),"",'Base de datos Rutas'!O726/('Base de datos Rutas'!L726/'Base de datos Rutas'!BK726)),"")</f>
        <v>4279.0229885057379</v>
      </c>
      <c r="J728" s="788">
        <f>IFERROR(IF(OR(NOT(ISNUMBER('Base de datos Rutas'!N726)),N('Base de datos Rutas'!BK726)=0),"",'Base de datos Rutas'!N726/('Base de datos Rutas'!L726/'Base de datos Rutas'!BK726)),"")</f>
        <v>6974.7287356321685</v>
      </c>
      <c r="K728" s="788">
        <f>IFERROR(IF(OR(NOT(ISNUMBER('Base de datos Rutas'!J726)),N('Base de datos Rutas'!BK726)=0),"",'Base de datos Rutas'!J726/('Base de datos Rutas'!L726/'Base de datos Rutas'!BK726)),"")</f>
        <v>459.88128881609089</v>
      </c>
      <c r="L728" s="788">
        <f>IFERROR(IF(OR(NOT(ISNUMBER('Base de datos Rutas'!K726)),N('Base de datos Rutas'!BK726)=0),"",'Base de datos Rutas'!K726/('Base de datos Rutas'!L726/'Base de datos Rutas'!BK726)),"")</f>
        <v>38.936236551724058</v>
      </c>
      <c r="M728" s="787">
        <f>IF(ISNUMBER('Base de datos Rutas'!AX726),'Base de datos Rutas'!AX726,"")</f>
        <v>315.17475902010398</v>
      </c>
      <c r="N728" s="790">
        <f>IFERROR(INDEX('Hoja de apoyo v2'!B$17:B$20,MATCH($A728,'Hoja de apoyo v2'!$A$17:$A$20,0)),"")</f>
        <v>89.41621024641401</v>
      </c>
      <c r="O728" s="791">
        <f>IFERROR(INDEX('Hoja de apoyo v2'!C$17:C$20,MATCH($A728,'Hoja de apoyo v2'!$A$17:$A$20,0)),"")</f>
        <v>0.54706375874806301</v>
      </c>
      <c r="P728" s="793">
        <f>IFERROR(INDEX('Hoja de apoyo v2'!D$17:D$20,MATCH($A728,'Hoja de apoyo v2'!$A$17:$A$20,0)),"")</f>
        <v>11095.153935793827</v>
      </c>
      <c r="Q728" s="793">
        <f>IFERROR(INDEX('Hoja de apoyo v2'!E$17:E$20,MATCH($A728,'Hoja de apoyo v2'!$A$17:$A$20,0)),"")</f>
        <v>6982.3202019701848</v>
      </c>
      <c r="R728" s="793">
        <f>IFERROR(INDEX('Hoja de apoyo v2'!F$17:F$20,MATCH($A728,'Hoja de apoyo v2'!$A$17:$A$20,0)),"")</f>
        <v>448.09513474485743</v>
      </c>
      <c r="S728" s="793">
        <f>IFERROR(INDEX('Hoja de apoyo v2'!G$17:G$20,MATCH($A728,'Hoja de apoyo v2'!$A$17:$A$20,0)),"")</f>
        <v>83.406300904207839</v>
      </c>
      <c r="T728" s="792">
        <f>IFERROR(INDEX('Hoja de apoyo v2'!H$17:H$20,MATCH($A728,'Hoja de apoyo v2'!$A$17:$A$20,0)),"")</f>
        <v>378.97014028925349</v>
      </c>
      <c r="U728" s="794">
        <f t="shared" si="400"/>
        <v>0.93672747322697336</v>
      </c>
      <c r="V728" s="795">
        <f t="shared" si="401"/>
        <v>0.75365231705334168</v>
      </c>
      <c r="W728" s="795">
        <f t="shared" si="402"/>
        <v>0.38566594147930455</v>
      </c>
      <c r="X728" s="843">
        <f t="shared" si="403"/>
        <v>0.99891275877954233</v>
      </c>
      <c r="Y728" s="843">
        <f t="shared" si="404"/>
        <v>1.0263027941107739</v>
      </c>
      <c r="Z728" s="843">
        <f t="shared" si="405"/>
        <v>0.4668260806391874</v>
      </c>
      <c r="AA728" s="843">
        <f t="shared" si="406"/>
        <v>0.83166119309437692</v>
      </c>
      <c r="AB728" s="796">
        <f t="shared" si="407"/>
        <v>3</v>
      </c>
      <c r="AC728" s="797">
        <f t="shared" si="408"/>
        <v>3</v>
      </c>
      <c r="AD728" s="797">
        <f t="shared" si="409"/>
        <v>1</v>
      </c>
      <c r="AE728" s="842">
        <f t="shared" si="410"/>
        <v>3</v>
      </c>
      <c r="AF728" s="842">
        <f t="shared" si="411"/>
        <v>4</v>
      </c>
      <c r="AG728" s="842">
        <f t="shared" si="412"/>
        <v>1</v>
      </c>
      <c r="AH728" s="842">
        <f t="shared" si="413"/>
        <v>3</v>
      </c>
      <c r="AI728" s="826" cm="1">
        <f t="array" ref="AI728">SUMPRODUCT(--ISNUMBER($U728:$AA728),$AB$3:$AH$3)</f>
        <v>1</v>
      </c>
      <c r="AJ728" s="829">
        <f t="shared" si="414"/>
        <v>33.919568037264355</v>
      </c>
      <c r="AK728" s="827" t="str">
        <f t="shared" si="415"/>
        <v>Inmadura</v>
      </c>
      <c r="AL728" s="784" t="str">
        <f t="shared" si="416"/>
        <v>Alta</v>
      </c>
      <c r="AM728" s="799">
        <f>IF(ISNUMBER('Base de datos Rutas'!W726),'Base de datos Rutas'!W726,"")</f>
        <v>3641.9429094456564</v>
      </c>
      <c r="AN728" s="787">
        <f>IFERROR(SUMIFS('Base de datos Rutas'!$W$6:$W$794,'Base de datos Rutas'!$C$6:$C$794,$C728)/'Base de datos Rutas'!I726,"")</f>
        <v>3641.9429094456527</v>
      </c>
      <c r="AO728" s="800">
        <f>IFERROR('Base de datos Rutas'!X726*AN728/AM728,"")</f>
        <v>0.35679725951519109</v>
      </c>
      <c r="AP728" s="800">
        <f t="shared" si="417"/>
        <v>0.64320274048480885</v>
      </c>
      <c r="AQ728" s="789">
        <f>IFERROR(INDEX('Hoja de apoyo v2'!$J$17:$J$20,MATCH($A728,'Hoja de apoyo v2'!$A$17:$A$20,0)),"")</f>
        <v>0.64320274048480885</v>
      </c>
      <c r="AR728" s="789">
        <f t="shared" si="418"/>
        <v>0</v>
      </c>
      <c r="AS728" s="784" t="str">
        <f t="shared" si="419"/>
        <v>No</v>
      </c>
      <c r="AT728" s="801">
        <f>IF(ISNUMBER('Base de datos Rutas'!CK726),'Base de datos Rutas'!CK726,"")</f>
        <v>482</v>
      </c>
      <c r="AU728" s="802">
        <f>IF(ISNUMBER('Base de datos Rutas'!CL726),'Base de datos Rutas'!CL726,"")</f>
        <v>486.28</v>
      </c>
      <c r="AV728" s="802">
        <f>IF(ISNUMBER('Base de datos Rutas'!CM726),'Base de datos Rutas'!CM726,"")</f>
        <v>4.2799999999999727</v>
      </c>
      <c r="AW728" s="802">
        <f>IF(ISNUMBER('Base de datos Rutas'!CN726),'Base de datos Rutas'!CN726,"")</f>
        <v>11.17</v>
      </c>
      <c r="AX728" s="802">
        <f>IF(ISNUMBER('Base de datos Rutas'!CO726),'Base de datos Rutas'!CO726,"")</f>
        <v>9.4499999999999993</v>
      </c>
      <c r="AY728" s="802">
        <f>IF(ISNUMBER('Base de datos Rutas'!CP726),'Base de datos Rutas'!CP726,"")</f>
        <v>-1.7200000000000006</v>
      </c>
      <c r="AZ728" s="802">
        <f>IF(ISNUMBER('Base de datos Rutas'!CQ726),'Base de datos Rutas'!CQ726,"")</f>
        <v>846.56</v>
      </c>
      <c r="BA728" s="802">
        <f>IF(ISNUMBER('Base de datos Rutas'!CR726),'Base de datos Rutas'!CR726,"")</f>
        <v>498.82</v>
      </c>
      <c r="BB728" s="803">
        <f>IF(ISNUMBER('Base de datos Rutas'!CS726),'Base de datos Rutas'!CS726,"")</f>
        <v>347.73999999999995</v>
      </c>
      <c r="BC728" s="804">
        <f t="shared" si="429"/>
        <v>1</v>
      </c>
      <c r="BD728" s="805" t="str">
        <f t="shared" si="430"/>
        <v>Saturada</v>
      </c>
      <c r="BE728" s="806">
        <f t="shared" si="431"/>
        <v>0.58923171423171428</v>
      </c>
      <c r="BF728" s="890">
        <f>IF(ISNUMBER('Base de datos Rutas'!CX726),'Base de datos Rutas'!CX726/100,"")</f>
        <v>0.17350022351363431</v>
      </c>
      <c r="BG728" s="891">
        <f>IF(ISNUMBER('Base de datos Rutas'!CZ726),'Base de datos Rutas'!CZ726/100,"")</f>
        <v>0.17381910296528086</v>
      </c>
      <c r="BH728" s="892">
        <f>IF(ISNUMBER('Base de datos Rutas'!DA726),'Base de datos Rutas'!DA726,"")</f>
        <v>87.835457773858423</v>
      </c>
      <c r="BI728" s="893">
        <f>IF(ISNUMBER('Base de datos Rutas'!DC726),'Base de datos Rutas'!DC726,"")</f>
        <v>3.9724957322504815</v>
      </c>
      <c r="BJ728" s="805" t="str">
        <f t="shared" si="432"/>
        <v>Ruta (completo)</v>
      </c>
      <c r="BK728" s="783">
        <f t="shared" si="420"/>
        <v>1</v>
      </c>
      <c r="BL728" s="797">
        <f t="shared" si="421"/>
        <v>1</v>
      </c>
      <c r="BM728" s="797">
        <f t="shared" si="422"/>
        <v>2</v>
      </c>
      <c r="BN728" s="797">
        <f t="shared" si="423"/>
        <v>2</v>
      </c>
      <c r="BO728" s="798" cm="1">
        <f t="array" ref="BO728">SUMPRODUCT(--ISNUMBER($BF728:$BI728),$BK$3:$BN$3)</f>
        <v>1</v>
      </c>
      <c r="BP728" s="831">
        <f t="shared" si="433"/>
        <v>12.5</v>
      </c>
      <c r="BQ728" s="834" t="str">
        <f t="shared" si="434"/>
        <v>Bajo</v>
      </c>
      <c r="BR728" s="836">
        <f t="shared" si="424"/>
        <v>50.439676027948266</v>
      </c>
      <c r="BS728" s="836">
        <f t="shared" si="425"/>
        <v>12.5</v>
      </c>
      <c r="BT728" s="837" t="str">
        <f t="shared" si="426"/>
        <v>P2</v>
      </c>
      <c r="BU728" s="807" t="str">
        <f t="shared" si="435"/>
        <v>Al tope</v>
      </c>
      <c r="BV728" s="807" t="str">
        <f t="shared" si="427"/>
        <v>Zona de bajo potencial</v>
      </c>
      <c r="BW728" s="808" t="str">
        <f t="shared" si="428"/>
        <v>P2 - Mantener</v>
      </c>
    </row>
    <row r="729" spans="1:75">
      <c r="A729" s="780" t="str">
        <f>'Base de datos Rutas'!A727</f>
        <v>Occidente</v>
      </c>
      <c r="B729" s="781" t="str">
        <f>'Base de datos Rutas'!B727</f>
        <v>San Luis</v>
      </c>
      <c r="C729" s="781" t="str">
        <f>'Base de datos Rutas'!C727</f>
        <v>Planta San Luis</v>
      </c>
      <c r="D729" s="782">
        <f>IF(ISNUMBER('Base de datos Rutas'!D727),'Base de datos Rutas'!D727,"Sin código")</f>
        <v>916417</v>
      </c>
      <c r="E729" s="783" t="str">
        <f>'Base de datos Rutas'!F727</f>
        <v>Activa</v>
      </c>
      <c r="F729" s="784" t="str">
        <f>'Base de datos Rutas'!H727</f>
        <v>Sí</v>
      </c>
      <c r="G729" s="785">
        <f>IF(ISNUMBER('Base de datos Rutas'!BE727),'Base de datos Rutas'!BE727,"")</f>
        <v>44.815242494226297</v>
      </c>
      <c r="H729" s="786">
        <f>IF(ISNUMBER('Base de datos Rutas'!BH727),'Base de datos Rutas'!BH727,"")</f>
        <v>0.51151765009018302</v>
      </c>
      <c r="I729" s="788">
        <f>IFERROR(IF(OR(NOT(ISNUMBER('Base de datos Rutas'!O727)),N('Base de datos Rutas'!BK727)=0),"",'Base de datos Rutas'!O727/('Base de datos Rutas'!L727/'Base de datos Rutas'!BK727)),"")</f>
        <v>5086.4203233256421</v>
      </c>
      <c r="J729" s="788">
        <f>IFERROR(IF(OR(NOT(ISNUMBER('Base de datos Rutas'!N727)),N('Base de datos Rutas'!BK727)=0),"",'Base de datos Rutas'!N727/('Base de datos Rutas'!L727/'Base de datos Rutas'!BK727)),"")</f>
        <v>7712.3995381062459</v>
      </c>
      <c r="K729" s="788">
        <f>IFERROR(IF(OR(NOT(ISNUMBER('Base de datos Rutas'!J727)),N('Base de datos Rutas'!BK727)=0),"",'Base de datos Rutas'!J727/('Base de datos Rutas'!L727/'Base de datos Rutas'!BK727)),"")</f>
        <v>515.75094688221782</v>
      </c>
      <c r="L729" s="788">
        <f>IFERROR(IF(OR(NOT(ISNUMBER('Base de datos Rutas'!K727)),N('Base de datos Rutas'!BK727)=0),"",'Base de datos Rutas'!K727/('Base de datos Rutas'!L727/'Base de datos Rutas'!BK727)),"")</f>
        <v>38.018345503464253</v>
      </c>
      <c r="M729" s="787">
        <f>IF(ISNUMBER('Base de datos Rutas'!AX727),'Base de datos Rutas'!AX727,"")</f>
        <v>555.69536872859203</v>
      </c>
      <c r="N729" s="790">
        <f>IFERROR(INDEX('Hoja de apoyo v2'!B$17:B$20,MATCH($A729,'Hoja de apoyo v2'!$A$17:$A$20,0)),"")</f>
        <v>89.41621024641401</v>
      </c>
      <c r="O729" s="791">
        <f>IFERROR(INDEX('Hoja de apoyo v2'!C$17:C$20,MATCH($A729,'Hoja de apoyo v2'!$A$17:$A$20,0)),"")</f>
        <v>0.54706375874806301</v>
      </c>
      <c r="P729" s="793">
        <f>IFERROR(INDEX('Hoja de apoyo v2'!D$17:D$20,MATCH($A729,'Hoja de apoyo v2'!$A$17:$A$20,0)),"")</f>
        <v>11095.153935793827</v>
      </c>
      <c r="Q729" s="793">
        <f>IFERROR(INDEX('Hoja de apoyo v2'!E$17:E$20,MATCH($A729,'Hoja de apoyo v2'!$A$17:$A$20,0)),"")</f>
        <v>6982.3202019701848</v>
      </c>
      <c r="R729" s="793">
        <f>IFERROR(INDEX('Hoja de apoyo v2'!F$17:F$20,MATCH($A729,'Hoja de apoyo v2'!$A$17:$A$20,0)),"")</f>
        <v>448.09513474485743</v>
      </c>
      <c r="S729" s="793">
        <f>IFERROR(INDEX('Hoja de apoyo v2'!G$17:G$20,MATCH($A729,'Hoja de apoyo v2'!$A$17:$A$20,0)),"")</f>
        <v>83.406300904207839</v>
      </c>
      <c r="T729" s="792">
        <f>IFERROR(INDEX('Hoja de apoyo v2'!H$17:H$20,MATCH($A729,'Hoja de apoyo v2'!$A$17:$A$20,0)),"")</f>
        <v>378.97014028925349</v>
      </c>
      <c r="U729" s="794">
        <f t="shared" si="400"/>
        <v>0.50119818733900756</v>
      </c>
      <c r="V729" s="795">
        <f t="shared" si="401"/>
        <v>0.93502382841220177</v>
      </c>
      <c r="W729" s="795">
        <f t="shared" si="402"/>
        <v>0.45843621032750664</v>
      </c>
      <c r="X729" s="843">
        <f t="shared" si="403"/>
        <v>1.1045611365588843</v>
      </c>
      <c r="Y729" s="843">
        <f t="shared" si="404"/>
        <v>1.1509853754066828</v>
      </c>
      <c r="Z729" s="843">
        <f t="shared" si="405"/>
        <v>0.45582102420689219</v>
      </c>
      <c r="AA729" s="843">
        <f t="shared" si="406"/>
        <v>1.4663302187989029</v>
      </c>
      <c r="AB729" s="796">
        <f t="shared" si="407"/>
        <v>2</v>
      </c>
      <c r="AC729" s="797">
        <f t="shared" si="408"/>
        <v>3</v>
      </c>
      <c r="AD729" s="797">
        <f t="shared" si="409"/>
        <v>1</v>
      </c>
      <c r="AE729" s="842">
        <f t="shared" si="410"/>
        <v>4</v>
      </c>
      <c r="AF729" s="842">
        <f t="shared" si="411"/>
        <v>4</v>
      </c>
      <c r="AG729" s="842">
        <f t="shared" si="412"/>
        <v>1</v>
      </c>
      <c r="AH729" s="842">
        <f t="shared" si="413"/>
        <v>5</v>
      </c>
      <c r="AI729" s="826" cm="1">
        <f t="array" ref="AI729">SUMPRODUCT(--ISNUMBER($U729:$AA729),$AB$3:$AH$3)</f>
        <v>1</v>
      </c>
      <c r="AJ729" s="829">
        <f t="shared" si="414"/>
        <v>37.284835185999412</v>
      </c>
      <c r="AK729" s="827" t="str">
        <f t="shared" si="415"/>
        <v>Inmadura</v>
      </c>
      <c r="AL729" s="784" t="str">
        <f t="shared" si="416"/>
        <v>Alta</v>
      </c>
      <c r="AM729" s="799">
        <f>IF(ISNUMBER('Base de datos Rutas'!W727),'Base de datos Rutas'!W727,"")</f>
        <v>3641.9429094456564</v>
      </c>
      <c r="AN729" s="787">
        <f>IFERROR(SUMIFS('Base de datos Rutas'!$W$6:$W$794,'Base de datos Rutas'!$C$6:$C$794,$C729)/'Base de datos Rutas'!I727,"")</f>
        <v>3641.9429094456527</v>
      </c>
      <c r="AO729" s="800">
        <f>IFERROR('Base de datos Rutas'!X727*AN729/AM729,"")</f>
        <v>0.35679725951519109</v>
      </c>
      <c r="AP729" s="800">
        <f t="shared" si="417"/>
        <v>0.64320274048480885</v>
      </c>
      <c r="AQ729" s="789">
        <f>IFERROR(INDEX('Hoja de apoyo v2'!$J$17:$J$20,MATCH($A729,'Hoja de apoyo v2'!$A$17:$A$20,0)),"")</f>
        <v>0.64320274048480885</v>
      </c>
      <c r="AR729" s="789">
        <f t="shared" si="418"/>
        <v>0</v>
      </c>
      <c r="AS729" s="784" t="str">
        <f t="shared" si="419"/>
        <v>No</v>
      </c>
      <c r="AT729" s="801">
        <f>IF(ISNUMBER('Base de datos Rutas'!CK727),'Base de datos Rutas'!CK727,"")</f>
        <v>325</v>
      </c>
      <c r="AU729" s="802">
        <f>IF(ISNUMBER('Base de datos Rutas'!CL727),'Base de datos Rutas'!CL727,"")</f>
        <v>367.65</v>
      </c>
      <c r="AV729" s="802">
        <f>IF(ISNUMBER('Base de datos Rutas'!CM727),'Base de datos Rutas'!CM727,"")</f>
        <v>42.649999999999977</v>
      </c>
      <c r="AW729" s="802">
        <f>IF(ISNUMBER('Base de datos Rutas'!CN727),'Base de datos Rutas'!CN727,"")</f>
        <v>7.92</v>
      </c>
      <c r="AX729" s="802">
        <f>IF(ISNUMBER('Base de datos Rutas'!CO727),'Base de datos Rutas'!CO727,"")</f>
        <v>9.4499999999999993</v>
      </c>
      <c r="AY729" s="802">
        <f>IF(ISNUMBER('Base de datos Rutas'!CP727),'Base de datos Rutas'!CP727,"")</f>
        <v>1.5299999999999994</v>
      </c>
      <c r="AZ729" s="802">
        <f>IF(ISNUMBER('Base de datos Rutas'!CQ727),'Base de datos Rutas'!CQ727,"")</f>
        <v>846.56</v>
      </c>
      <c r="BA729" s="802">
        <f>IF(ISNUMBER('Base de datos Rutas'!CR727),'Base de datos Rutas'!CR727,"")</f>
        <v>553.77</v>
      </c>
      <c r="BB729" s="803">
        <f>IF(ISNUMBER('Base de datos Rutas'!CS727),'Base de datos Rutas'!CS727,"")</f>
        <v>292.78999999999996</v>
      </c>
      <c r="BC729" s="804">
        <f t="shared" si="429"/>
        <v>0</v>
      </c>
      <c r="BD729" s="805" t="str">
        <f t="shared" si="430"/>
        <v>No saturada</v>
      </c>
      <c r="BE729" s="806">
        <f t="shared" si="431"/>
        <v>0.65414146664146666</v>
      </c>
      <c r="BF729" s="890">
        <f>IF(ISNUMBER('Base de datos Rutas'!CX727),'Base de datos Rutas'!CX727/100,"")</f>
        <v>0.48909982935153584</v>
      </c>
      <c r="BG729" s="891">
        <f>IF(ISNUMBER('Base de datos Rutas'!CZ727),'Base de datos Rutas'!CZ727/100,"")</f>
        <v>0.49516496018202505</v>
      </c>
      <c r="BH729" s="892">
        <f>IF(ISNUMBER('Base de datos Rutas'!DA727),'Base de datos Rutas'!DA727,"")</f>
        <v>139.297594934025</v>
      </c>
      <c r="BI729" s="893">
        <f>IF(ISNUMBER('Base de datos Rutas'!DC727),'Base de datos Rutas'!DC727,"")</f>
        <v>6.075380407511326</v>
      </c>
      <c r="BJ729" s="805" t="str">
        <f t="shared" si="432"/>
        <v>Ruta (completo)</v>
      </c>
      <c r="BK729" s="783">
        <f t="shared" si="420"/>
        <v>3</v>
      </c>
      <c r="BL729" s="797">
        <f t="shared" si="421"/>
        <v>3</v>
      </c>
      <c r="BM729" s="797">
        <f t="shared" si="422"/>
        <v>3</v>
      </c>
      <c r="BN729" s="797">
        <f t="shared" si="423"/>
        <v>2</v>
      </c>
      <c r="BO729" s="798" cm="1">
        <f t="array" ref="BO729">SUMPRODUCT(--ISNUMBER($BF729:$BI729),$BK$3:$BN$3)</f>
        <v>1</v>
      </c>
      <c r="BP729" s="831">
        <f t="shared" si="433"/>
        <v>43.75</v>
      </c>
      <c r="BQ729" s="834" t="str">
        <f t="shared" si="434"/>
        <v>Medio</v>
      </c>
      <c r="BR729" s="836">
        <f t="shared" si="424"/>
        <v>27.963626389499559</v>
      </c>
      <c r="BS729" s="836">
        <f t="shared" si="425"/>
        <v>43.75</v>
      </c>
      <c r="BT729" s="837" t="str">
        <f t="shared" si="426"/>
        <v>P4</v>
      </c>
      <c r="BU729" s="807" t="str">
        <f t="shared" si="435"/>
        <v>Con espacio</v>
      </c>
      <c r="BV729" s="807" t="str">
        <f t="shared" si="427"/>
        <v>Zona de bajo potencial</v>
      </c>
      <c r="BW729" s="808" t="str">
        <f t="shared" si="428"/>
        <v>P4 - Evaluar</v>
      </c>
    </row>
    <row r="730" spans="1:75">
      <c r="A730" s="780" t="str">
        <f>'Base de datos Rutas'!A728</f>
        <v>Occidente</v>
      </c>
      <c r="B730" s="781" t="str">
        <f>'Base de datos Rutas'!B728</f>
        <v>San Luis</v>
      </c>
      <c r="C730" s="781" t="str">
        <f>'Base de datos Rutas'!C728</f>
        <v>Planta San Luis</v>
      </c>
      <c r="D730" s="782">
        <f>IF(ISNUMBER('Base de datos Rutas'!D728),'Base de datos Rutas'!D728,"Sin código")</f>
        <v>916418</v>
      </c>
      <c r="E730" s="783" t="str">
        <f>'Base de datos Rutas'!F728</f>
        <v>Activa</v>
      </c>
      <c r="F730" s="784" t="str">
        <f>'Base de datos Rutas'!H728</f>
        <v>Sí</v>
      </c>
      <c r="G730" s="785">
        <f>IF(ISNUMBER('Base de datos Rutas'!BE728),'Base de datos Rutas'!BE728,"")</f>
        <v>92.954128440367001</v>
      </c>
      <c r="H730" s="786">
        <f>IF(ISNUMBER('Base de datos Rutas'!BH728),'Base de datos Rutas'!BH728,"")</f>
        <v>0.440658310303987</v>
      </c>
      <c r="I730" s="788">
        <f>IFERROR(IF(OR(NOT(ISNUMBER('Base de datos Rutas'!O728)),N('Base de datos Rutas'!BK728)=0),"",'Base de datos Rutas'!O728/('Base de datos Rutas'!L728/'Base de datos Rutas'!BK728)),"")</f>
        <v>2736.740825688069</v>
      </c>
      <c r="J730" s="788">
        <f>IFERROR(IF(OR(NOT(ISNUMBER('Base de datos Rutas'!N728)),N('Base de datos Rutas'!BK728)=0),"",'Base de datos Rutas'!N728/('Base de datos Rutas'!L728/'Base de datos Rutas'!BK728)),"")</f>
        <v>7764.2110091742989</v>
      </c>
      <c r="K730" s="788">
        <f>IFERROR(IF(OR(NOT(ISNUMBER('Base de datos Rutas'!J728)),N('Base de datos Rutas'!BK728)=0),"",'Base de datos Rutas'!J728/('Base de datos Rutas'!L728/'Base de datos Rutas'!BK728)),"")</f>
        <v>519.4974477064211</v>
      </c>
      <c r="L730" s="788">
        <f>IFERROR(IF(OR(NOT(ISNUMBER('Base de datos Rutas'!K728)),N('Base de datos Rutas'!BK728)=0),"",'Base de datos Rutas'!K728/('Base de datos Rutas'!L728/'Base de datos Rutas'!BK728)),"")</f>
        <v>20.573193038990791</v>
      </c>
      <c r="M730" s="787">
        <f>IF(ISNUMBER('Base de datos Rutas'!AX728),'Base de datos Rutas'!AX728,"")</f>
        <v>256.36452264964402</v>
      </c>
      <c r="N730" s="790">
        <f>IFERROR(INDEX('Hoja de apoyo v2'!B$17:B$20,MATCH($A730,'Hoja de apoyo v2'!$A$17:$A$20,0)),"")</f>
        <v>89.41621024641401</v>
      </c>
      <c r="O730" s="791">
        <f>IFERROR(INDEX('Hoja de apoyo v2'!C$17:C$20,MATCH($A730,'Hoja de apoyo v2'!$A$17:$A$20,0)),"")</f>
        <v>0.54706375874806301</v>
      </c>
      <c r="P730" s="793">
        <f>IFERROR(INDEX('Hoja de apoyo v2'!D$17:D$20,MATCH($A730,'Hoja de apoyo v2'!$A$17:$A$20,0)),"")</f>
        <v>11095.153935793827</v>
      </c>
      <c r="Q730" s="793">
        <f>IFERROR(INDEX('Hoja de apoyo v2'!E$17:E$20,MATCH($A730,'Hoja de apoyo v2'!$A$17:$A$20,0)),"")</f>
        <v>6982.3202019701848</v>
      </c>
      <c r="R730" s="793">
        <f>IFERROR(INDEX('Hoja de apoyo v2'!F$17:F$20,MATCH($A730,'Hoja de apoyo v2'!$A$17:$A$20,0)),"")</f>
        <v>448.09513474485743</v>
      </c>
      <c r="S730" s="793">
        <f>IFERROR(INDEX('Hoja de apoyo v2'!G$17:G$20,MATCH($A730,'Hoja de apoyo v2'!$A$17:$A$20,0)),"")</f>
        <v>83.406300904207839</v>
      </c>
      <c r="T730" s="792">
        <f>IFERROR(INDEX('Hoja de apoyo v2'!H$17:H$20,MATCH($A730,'Hoja de apoyo v2'!$A$17:$A$20,0)),"")</f>
        <v>378.97014028925349</v>
      </c>
      <c r="U730" s="794">
        <f t="shared" si="400"/>
        <v>1.0395668546475316</v>
      </c>
      <c r="V730" s="795">
        <f t="shared" si="401"/>
        <v>0.80549717150413824</v>
      </c>
      <c r="W730" s="795">
        <f t="shared" si="402"/>
        <v>0.24666091534423248</v>
      </c>
      <c r="X730" s="843">
        <f t="shared" si="403"/>
        <v>1.1119815168292468</v>
      </c>
      <c r="Y730" s="843">
        <f t="shared" si="404"/>
        <v>1.1593463249767701</v>
      </c>
      <c r="Z730" s="843">
        <f t="shared" si="405"/>
        <v>0.24666233624986089</v>
      </c>
      <c r="AA730" s="843">
        <f t="shared" si="406"/>
        <v>0.67647683918836121</v>
      </c>
      <c r="AB730" s="796">
        <f t="shared" si="407"/>
        <v>4</v>
      </c>
      <c r="AC730" s="797">
        <f t="shared" si="408"/>
        <v>3</v>
      </c>
      <c r="AD730" s="797">
        <f t="shared" si="409"/>
        <v>1</v>
      </c>
      <c r="AE730" s="842">
        <f t="shared" si="410"/>
        <v>4</v>
      </c>
      <c r="AF730" s="842">
        <f t="shared" si="411"/>
        <v>4</v>
      </c>
      <c r="AG730" s="842">
        <f t="shared" si="412"/>
        <v>1</v>
      </c>
      <c r="AH730" s="842">
        <f t="shared" si="413"/>
        <v>2</v>
      </c>
      <c r="AI730" s="826" cm="1">
        <f t="array" ref="AI730">SUMPRODUCT(--ISNUMBER($U730:$AA730),$AB$3:$AH$3)</f>
        <v>1</v>
      </c>
      <c r="AJ730" s="829">
        <f t="shared" si="414"/>
        <v>39.617924021293227</v>
      </c>
      <c r="AK730" s="827" t="str">
        <f t="shared" si="415"/>
        <v>Inmadura</v>
      </c>
      <c r="AL730" s="784" t="str">
        <f t="shared" si="416"/>
        <v>Alta</v>
      </c>
      <c r="AM730" s="799">
        <f>IF(ISNUMBER('Base de datos Rutas'!W728),'Base de datos Rutas'!W728,"")</f>
        <v>3641.9429094456564</v>
      </c>
      <c r="AN730" s="787">
        <f>IFERROR(SUMIFS('Base de datos Rutas'!$W$6:$W$794,'Base de datos Rutas'!$C$6:$C$794,$C730)/'Base de datos Rutas'!I728,"")</f>
        <v>3641.9429094456527</v>
      </c>
      <c r="AO730" s="800">
        <f>IFERROR('Base de datos Rutas'!X728*AN730/AM730,"")</f>
        <v>0.35679725951519109</v>
      </c>
      <c r="AP730" s="800">
        <f t="shared" si="417"/>
        <v>0.64320274048480885</v>
      </c>
      <c r="AQ730" s="789">
        <f>IFERROR(INDEX('Hoja de apoyo v2'!$J$17:$J$20,MATCH($A730,'Hoja de apoyo v2'!$A$17:$A$20,0)),"")</f>
        <v>0.64320274048480885</v>
      </c>
      <c r="AR730" s="789">
        <f t="shared" si="418"/>
        <v>0</v>
      </c>
      <c r="AS730" s="784" t="str">
        <f t="shared" si="419"/>
        <v>No</v>
      </c>
      <c r="AT730" s="801">
        <f>IF(ISNUMBER('Base de datos Rutas'!CK728),'Base de datos Rutas'!CK728,"")</f>
        <v>284</v>
      </c>
      <c r="AU730" s="802">
        <f>IF(ISNUMBER('Base de datos Rutas'!CL728),'Base de datos Rutas'!CL728,"")</f>
        <v>381.92</v>
      </c>
      <c r="AV730" s="802">
        <f>IF(ISNUMBER('Base de datos Rutas'!CM728),'Base de datos Rutas'!CM728,"")</f>
        <v>97.920000000000016</v>
      </c>
      <c r="AW730" s="802">
        <f>IF(ISNUMBER('Base de datos Rutas'!CN728),'Base de datos Rutas'!CN728,"")</f>
        <v>7.21</v>
      </c>
      <c r="AX730" s="802">
        <f>IF(ISNUMBER('Base de datos Rutas'!CO728),'Base de datos Rutas'!CO728,"")</f>
        <v>9.4499999999999993</v>
      </c>
      <c r="AY730" s="802">
        <f>IF(ISNUMBER('Base de datos Rutas'!CP728),'Base de datos Rutas'!CP728,"")</f>
        <v>2.2399999999999993</v>
      </c>
      <c r="AZ730" s="802">
        <f>IF(ISNUMBER('Base de datos Rutas'!CQ728),'Base de datos Rutas'!CQ728,"")</f>
        <v>846.56</v>
      </c>
      <c r="BA730" s="802">
        <f>IF(ISNUMBER('Base de datos Rutas'!CR728),'Base de datos Rutas'!CR728,"")</f>
        <v>540.07000000000005</v>
      </c>
      <c r="BB730" s="803">
        <f>IF(ISNUMBER('Base de datos Rutas'!CS728),'Base de datos Rutas'!CS728,"")</f>
        <v>306.4899999999999</v>
      </c>
      <c r="BC730" s="804">
        <f t="shared" si="429"/>
        <v>0</v>
      </c>
      <c r="BD730" s="805" t="str">
        <f t="shared" si="430"/>
        <v>No saturada</v>
      </c>
      <c r="BE730" s="806">
        <f t="shared" si="431"/>
        <v>0.63795832545832554</v>
      </c>
      <c r="BF730" s="890">
        <f>IF(ISNUMBER('Base de datos Rutas'!CX728),'Base de datos Rutas'!CX728/100,"")</f>
        <v>0.60114748784440841</v>
      </c>
      <c r="BG730" s="891">
        <f>IF(ISNUMBER('Base de datos Rutas'!CZ728),'Base de datos Rutas'!CZ728/100,"")</f>
        <v>0.6170178282009724</v>
      </c>
      <c r="BH730" s="892">
        <f>IF(ISNUMBER('Base de datos Rutas'!DA728),'Base de datos Rutas'!DA728,"")</f>
        <v>156.90784183588815</v>
      </c>
      <c r="BI730" s="893">
        <f>IF(ISNUMBER('Base de datos Rutas'!DC728),'Base de datos Rutas'!DC728,"")</f>
        <v>7.6659242619561194</v>
      </c>
      <c r="BJ730" s="805" t="str">
        <f t="shared" si="432"/>
        <v>Ruta (completo)</v>
      </c>
      <c r="BK730" s="783">
        <f t="shared" si="420"/>
        <v>3</v>
      </c>
      <c r="BL730" s="797">
        <f t="shared" si="421"/>
        <v>3</v>
      </c>
      <c r="BM730" s="797">
        <f t="shared" si="422"/>
        <v>3</v>
      </c>
      <c r="BN730" s="797">
        <f t="shared" si="423"/>
        <v>3</v>
      </c>
      <c r="BO730" s="798" cm="1">
        <f t="array" ref="BO730">SUMPRODUCT(--ISNUMBER($BF730:$BI730),$BK$3:$BN$3)</f>
        <v>1</v>
      </c>
      <c r="BP730" s="831">
        <f t="shared" si="433"/>
        <v>50</v>
      </c>
      <c r="BQ730" s="834" t="str">
        <f t="shared" si="434"/>
        <v>Alto</v>
      </c>
      <c r="BR730" s="836">
        <f t="shared" si="424"/>
        <v>29.713443015969922</v>
      </c>
      <c r="BS730" s="836">
        <f t="shared" si="425"/>
        <v>50</v>
      </c>
      <c r="BT730" s="837" t="str">
        <f t="shared" si="426"/>
        <v>P1</v>
      </c>
      <c r="BU730" s="807" t="str">
        <f t="shared" si="435"/>
        <v>Con espacio</v>
      </c>
      <c r="BV730" s="807" t="str">
        <f t="shared" si="427"/>
        <v>Zona atractiva</v>
      </c>
      <c r="BW730" s="808" t="str">
        <f t="shared" si="428"/>
        <v>P1 - Ampliar cobertura</v>
      </c>
    </row>
    <row r="731" spans="1:75">
      <c r="A731" s="780" t="str">
        <f>'Base de datos Rutas'!A729</f>
        <v>Occidente</v>
      </c>
      <c r="B731" s="781" t="str">
        <f>'Base de datos Rutas'!B729</f>
        <v>San Luis</v>
      </c>
      <c r="C731" s="781" t="str">
        <f>'Base de datos Rutas'!C729</f>
        <v>Planta San Luis</v>
      </c>
      <c r="D731" s="782">
        <f>IF(ISNUMBER('Base de datos Rutas'!D729),'Base de datos Rutas'!D729,"Sin código")</f>
        <v>916419</v>
      </c>
      <c r="E731" s="783" t="str">
        <f>'Base de datos Rutas'!F729</f>
        <v>Activa</v>
      </c>
      <c r="F731" s="784" t="str">
        <f>'Base de datos Rutas'!H729</f>
        <v>Sí</v>
      </c>
      <c r="G731" s="785">
        <f>IF(ISNUMBER('Base de datos Rutas'!BE729),'Base de datos Rutas'!BE729,"")</f>
        <v>70.4915662650602</v>
      </c>
      <c r="H731" s="786">
        <f>IF(ISNUMBER('Base de datos Rutas'!BH729),'Base de datos Rutas'!BH729,"")</f>
        <v>0.59906337594858805</v>
      </c>
      <c r="I731" s="788">
        <f>IFERROR(IF(OR(NOT(ISNUMBER('Base de datos Rutas'!O729)),N('Base de datos Rutas'!BK729)=0),"",'Base de datos Rutas'!O729/('Base de datos Rutas'!L729/'Base de datos Rutas'!BK729)),"")</f>
        <v>4119.9816513761425</v>
      </c>
      <c r="J731" s="788">
        <f>IFERROR(IF(OR(NOT(ISNUMBER('Base de datos Rutas'!N729)),N('Base de datos Rutas'!BK729)=0),"",'Base de datos Rutas'!N729/('Base de datos Rutas'!L729/'Base de datos Rutas'!BK729)),"")</f>
        <v>7236.2958715596251</v>
      </c>
      <c r="K731" s="788">
        <f>IFERROR(IF(OR(NOT(ISNUMBER('Base de datos Rutas'!J729)),N('Base de datos Rutas'!BK729)=0),"",'Base de datos Rutas'!J729/('Base de datos Rutas'!L729/'Base de datos Rutas'!BK729)),"")</f>
        <v>488.65221100917381</v>
      </c>
      <c r="L731" s="788">
        <f>IFERROR(IF(OR(NOT(ISNUMBER('Base de datos Rutas'!K729)),N('Base de datos Rutas'!BK729)=0),"",'Base de datos Rutas'!K729/('Base de datos Rutas'!L729/'Base de datos Rutas'!BK729)),"")</f>
        <v>34.367642243119228</v>
      </c>
      <c r="M731" s="787">
        <f>IF(ISNUMBER('Base de datos Rutas'!AX729),'Base de datos Rutas'!AX729,"")</f>
        <v>281.95080860998797</v>
      </c>
      <c r="N731" s="790">
        <f>IFERROR(INDEX('Hoja de apoyo v2'!B$17:B$20,MATCH($A731,'Hoja de apoyo v2'!$A$17:$A$20,0)),"")</f>
        <v>89.41621024641401</v>
      </c>
      <c r="O731" s="791">
        <f>IFERROR(INDEX('Hoja de apoyo v2'!C$17:C$20,MATCH($A731,'Hoja de apoyo v2'!$A$17:$A$20,0)),"")</f>
        <v>0.54706375874806301</v>
      </c>
      <c r="P731" s="793">
        <f>IFERROR(INDEX('Hoja de apoyo v2'!D$17:D$20,MATCH($A731,'Hoja de apoyo v2'!$A$17:$A$20,0)),"")</f>
        <v>11095.153935793827</v>
      </c>
      <c r="Q731" s="793">
        <f>IFERROR(INDEX('Hoja de apoyo v2'!E$17:E$20,MATCH($A731,'Hoja de apoyo v2'!$A$17:$A$20,0)),"")</f>
        <v>6982.3202019701848</v>
      </c>
      <c r="R731" s="793">
        <f>IFERROR(INDEX('Hoja de apoyo v2'!F$17:F$20,MATCH($A731,'Hoja de apoyo v2'!$A$17:$A$20,0)),"")</f>
        <v>448.09513474485743</v>
      </c>
      <c r="S731" s="793">
        <f>IFERROR(INDEX('Hoja de apoyo v2'!G$17:G$20,MATCH($A731,'Hoja de apoyo v2'!$A$17:$A$20,0)),"")</f>
        <v>83.406300904207839</v>
      </c>
      <c r="T731" s="792">
        <f>IFERROR(INDEX('Hoja de apoyo v2'!H$17:H$20,MATCH($A731,'Hoja de apoyo v2'!$A$17:$A$20,0)),"")</f>
        <v>378.97014028925349</v>
      </c>
      <c r="U731" s="794">
        <f t="shared" si="400"/>
        <v>0.78835332062048813</v>
      </c>
      <c r="V731" s="795">
        <f t="shared" si="401"/>
        <v>1.0950522061990076</v>
      </c>
      <c r="W731" s="795">
        <f t="shared" si="402"/>
        <v>0.37133163498387906</v>
      </c>
      <c r="X731" s="843">
        <f t="shared" si="403"/>
        <v>1.0363741080676558</v>
      </c>
      <c r="Y731" s="843">
        <f t="shared" si="404"/>
        <v>1.0905099679053853</v>
      </c>
      <c r="Z731" s="843">
        <f t="shared" si="405"/>
        <v>0.41205091066909294</v>
      </c>
      <c r="AA731" s="843">
        <f t="shared" si="406"/>
        <v>0.74399214775809419</v>
      </c>
      <c r="AB731" s="796">
        <f t="shared" si="407"/>
        <v>3</v>
      </c>
      <c r="AC731" s="797">
        <f t="shared" si="408"/>
        <v>4</v>
      </c>
      <c r="AD731" s="797">
        <f t="shared" si="409"/>
        <v>1</v>
      </c>
      <c r="AE731" s="842">
        <f t="shared" si="410"/>
        <v>4</v>
      </c>
      <c r="AF731" s="842">
        <f t="shared" si="411"/>
        <v>4</v>
      </c>
      <c r="AG731" s="842">
        <f t="shared" si="412"/>
        <v>1</v>
      </c>
      <c r="AH731" s="842">
        <f t="shared" si="413"/>
        <v>2</v>
      </c>
      <c r="AI731" s="826" cm="1">
        <f t="array" ref="AI731">SUMPRODUCT(--ISNUMBER($U731:$AA731),$AB$3:$AH$3)</f>
        <v>1</v>
      </c>
      <c r="AJ731" s="829">
        <f t="shared" si="414"/>
        <v>37.467193429046965</v>
      </c>
      <c r="AK731" s="827" t="str">
        <f t="shared" si="415"/>
        <v>Inmadura</v>
      </c>
      <c r="AL731" s="784" t="str">
        <f t="shared" si="416"/>
        <v>Alta</v>
      </c>
      <c r="AM731" s="799">
        <f>IF(ISNUMBER('Base de datos Rutas'!W729),'Base de datos Rutas'!W729,"")</f>
        <v>3641.9429094456564</v>
      </c>
      <c r="AN731" s="787">
        <f>IFERROR(SUMIFS('Base de datos Rutas'!$W$6:$W$794,'Base de datos Rutas'!$C$6:$C$794,$C731)/'Base de datos Rutas'!I729,"")</f>
        <v>3641.9429094456527</v>
      </c>
      <c r="AO731" s="800">
        <f>IFERROR('Base de datos Rutas'!X729*AN731/AM731,"")</f>
        <v>0.35679725951519109</v>
      </c>
      <c r="AP731" s="800">
        <f t="shared" si="417"/>
        <v>0.64320274048480885</v>
      </c>
      <c r="AQ731" s="789">
        <f>IFERROR(INDEX('Hoja de apoyo v2'!$J$17:$J$20,MATCH($A731,'Hoja de apoyo v2'!$A$17:$A$20,0)),"")</f>
        <v>0.64320274048480885</v>
      </c>
      <c r="AR731" s="789">
        <f t="shared" si="418"/>
        <v>0</v>
      </c>
      <c r="AS731" s="784" t="str">
        <f t="shared" si="419"/>
        <v>No</v>
      </c>
      <c r="AT731" s="801">
        <f>IF(ISNUMBER('Base de datos Rutas'!CK729),'Base de datos Rutas'!CK729,"")</f>
        <v>401</v>
      </c>
      <c r="AU731" s="802">
        <f>IF(ISNUMBER('Base de datos Rutas'!CL729),'Base de datos Rutas'!CL729,"")</f>
        <v>457.7</v>
      </c>
      <c r="AV731" s="802">
        <f>IF(ISNUMBER('Base de datos Rutas'!CM729),'Base de datos Rutas'!CM729,"")</f>
        <v>56.699999999999989</v>
      </c>
      <c r="AW731" s="802">
        <f>IF(ISNUMBER('Base de datos Rutas'!CN729),'Base de datos Rutas'!CN729,"")</f>
        <v>9.7799999999999994</v>
      </c>
      <c r="AX731" s="802">
        <f>IF(ISNUMBER('Base de datos Rutas'!CO729),'Base de datos Rutas'!CO729,"")</f>
        <v>9.4499999999999993</v>
      </c>
      <c r="AY731" s="802">
        <f>IF(ISNUMBER('Base de datos Rutas'!CP729),'Base de datos Rutas'!CP729,"")</f>
        <v>-0.33000000000000007</v>
      </c>
      <c r="AZ731" s="802">
        <f>IF(ISNUMBER('Base de datos Rutas'!CQ729),'Base de datos Rutas'!CQ729,"")</f>
        <v>846.56</v>
      </c>
      <c r="BA731" s="802">
        <f>IF(ISNUMBER('Base de datos Rutas'!CR729),'Base de datos Rutas'!CR729,"")</f>
        <v>523.02</v>
      </c>
      <c r="BB731" s="803">
        <f>IF(ISNUMBER('Base de datos Rutas'!CS729),'Base de datos Rutas'!CS729,"")</f>
        <v>323.53999999999996</v>
      </c>
      <c r="BC731" s="804">
        <f t="shared" si="429"/>
        <v>1</v>
      </c>
      <c r="BD731" s="805" t="str">
        <f t="shared" si="430"/>
        <v>Saturada</v>
      </c>
      <c r="BE731" s="806">
        <f t="shared" si="431"/>
        <v>0.61781799281799288</v>
      </c>
      <c r="BF731" s="890">
        <f>IF(ISNUMBER('Base de datos Rutas'!CX729),'Base de datos Rutas'!CX729/100,"")</f>
        <v>0.9800175412951323</v>
      </c>
      <c r="BG731" s="891">
        <f>IF(ISNUMBER('Base de datos Rutas'!CZ729),'Base de datos Rutas'!CZ729/100,"")</f>
        <v>0.98830580324513961</v>
      </c>
      <c r="BH731" s="892">
        <f>IF(ISNUMBER('Base de datos Rutas'!DA729),'Base de datos Rutas'!DA729,"")</f>
        <v>292.51552256549286</v>
      </c>
      <c r="BI731" s="893">
        <f>IF(ISNUMBER('Base de datos Rutas'!DC729),'Base de datos Rutas'!DC729,"")</f>
        <v>12.893193383301682</v>
      </c>
      <c r="BJ731" s="805" t="str">
        <f t="shared" si="432"/>
        <v>Ruta (completo)</v>
      </c>
      <c r="BK731" s="783">
        <f t="shared" si="420"/>
        <v>5</v>
      </c>
      <c r="BL731" s="797">
        <f t="shared" si="421"/>
        <v>4</v>
      </c>
      <c r="BM731" s="797">
        <f t="shared" si="422"/>
        <v>4</v>
      </c>
      <c r="BN731" s="797">
        <f t="shared" si="423"/>
        <v>4</v>
      </c>
      <c r="BO731" s="798" cm="1">
        <f t="array" ref="BO731">SUMPRODUCT(--ISNUMBER($BF731:$BI731),$BK$3:$BN$3)</f>
        <v>1</v>
      </c>
      <c r="BP731" s="831">
        <f t="shared" si="433"/>
        <v>81.25</v>
      </c>
      <c r="BQ731" s="834" t="str">
        <f t="shared" si="434"/>
        <v>Alto</v>
      </c>
      <c r="BR731" s="836">
        <f t="shared" si="424"/>
        <v>53.100395071785222</v>
      </c>
      <c r="BS731" s="836">
        <f t="shared" si="425"/>
        <v>81.25</v>
      </c>
      <c r="BT731" s="837" t="str">
        <f t="shared" si="426"/>
        <v>P1</v>
      </c>
      <c r="BU731" s="807" t="str">
        <f t="shared" si="435"/>
        <v>Al tope</v>
      </c>
      <c r="BV731" s="807" t="str">
        <f t="shared" si="427"/>
        <v>Zona atractiva</v>
      </c>
      <c r="BW731" s="808" t="str">
        <f t="shared" si="428"/>
        <v>P1 - Ampliar cobertura</v>
      </c>
    </row>
    <row r="732" spans="1:75">
      <c r="A732" s="780" t="str">
        <f>'Base de datos Rutas'!A730</f>
        <v>Occidente</v>
      </c>
      <c r="B732" s="781" t="str">
        <f>'Base de datos Rutas'!B730</f>
        <v>San Luis</v>
      </c>
      <c r="C732" s="781" t="str">
        <f>'Base de datos Rutas'!C730</f>
        <v>Planta San Luis</v>
      </c>
      <c r="D732" s="782">
        <f>IF(ISNUMBER('Base de datos Rutas'!D730),'Base de datos Rutas'!D730,"Sin código")</f>
        <v>916420</v>
      </c>
      <c r="E732" s="783" t="str">
        <f>'Base de datos Rutas'!F730</f>
        <v>Inactiva</v>
      </c>
      <c r="F732" s="784" t="str">
        <f>'Base de datos Rutas'!H730</f>
        <v>No</v>
      </c>
      <c r="G732" s="785" t="str">
        <f>IF(ISNUMBER('Base de datos Rutas'!BE730),'Base de datos Rutas'!BE730,"")</f>
        <v/>
      </c>
      <c r="H732" s="786" t="str">
        <f>IF(ISNUMBER('Base de datos Rutas'!BH730),'Base de datos Rutas'!BH730,"")</f>
        <v/>
      </c>
      <c r="I732" s="788" t="str">
        <f>IFERROR(IF(OR(NOT(ISNUMBER('Base de datos Rutas'!O730)),N('Base de datos Rutas'!BK730)=0),"",'Base de datos Rutas'!O730/('Base de datos Rutas'!L730/'Base de datos Rutas'!BK730)),"")</f>
        <v/>
      </c>
      <c r="J732" s="788" t="str">
        <f>IFERROR(IF(OR(NOT(ISNUMBER('Base de datos Rutas'!N730)),N('Base de datos Rutas'!BK730)=0),"",'Base de datos Rutas'!N730/('Base de datos Rutas'!L730/'Base de datos Rutas'!BK730)),"")</f>
        <v/>
      </c>
      <c r="K732" s="788" t="str">
        <f>IFERROR(IF(OR(NOT(ISNUMBER('Base de datos Rutas'!J730)),N('Base de datos Rutas'!BK730)=0),"",'Base de datos Rutas'!J730/('Base de datos Rutas'!L730/'Base de datos Rutas'!BK730)),"")</f>
        <v/>
      </c>
      <c r="L732" s="788" t="str">
        <f>IFERROR(IF(OR(NOT(ISNUMBER('Base de datos Rutas'!K730)),N('Base de datos Rutas'!BK730)=0),"",'Base de datos Rutas'!K730/('Base de datos Rutas'!L730/'Base de datos Rutas'!BK730)),"")</f>
        <v/>
      </c>
      <c r="M732" s="787">
        <f>IF(ISNUMBER('Base de datos Rutas'!AX730),'Base de datos Rutas'!AX730,"")</f>
        <v>92.8</v>
      </c>
      <c r="N732" s="790">
        <f>IFERROR(INDEX('Hoja de apoyo v2'!B$17:B$20,MATCH($A732,'Hoja de apoyo v2'!$A$17:$A$20,0)),"")</f>
        <v>89.41621024641401</v>
      </c>
      <c r="O732" s="791">
        <f>IFERROR(INDEX('Hoja de apoyo v2'!C$17:C$20,MATCH($A732,'Hoja de apoyo v2'!$A$17:$A$20,0)),"")</f>
        <v>0.54706375874806301</v>
      </c>
      <c r="P732" s="793">
        <f>IFERROR(INDEX('Hoja de apoyo v2'!D$17:D$20,MATCH($A732,'Hoja de apoyo v2'!$A$17:$A$20,0)),"")</f>
        <v>11095.153935793827</v>
      </c>
      <c r="Q732" s="793">
        <f>IFERROR(INDEX('Hoja de apoyo v2'!E$17:E$20,MATCH($A732,'Hoja de apoyo v2'!$A$17:$A$20,0)),"")</f>
        <v>6982.3202019701848</v>
      </c>
      <c r="R732" s="793">
        <f>IFERROR(INDEX('Hoja de apoyo v2'!F$17:F$20,MATCH($A732,'Hoja de apoyo v2'!$A$17:$A$20,0)),"")</f>
        <v>448.09513474485743</v>
      </c>
      <c r="S732" s="793">
        <f>IFERROR(INDEX('Hoja de apoyo v2'!G$17:G$20,MATCH($A732,'Hoja de apoyo v2'!$A$17:$A$20,0)),"")</f>
        <v>83.406300904207839</v>
      </c>
      <c r="T732" s="792">
        <f>IFERROR(INDEX('Hoja de apoyo v2'!H$17:H$20,MATCH($A732,'Hoja de apoyo v2'!$A$17:$A$20,0)),"")</f>
        <v>378.97014028925349</v>
      </c>
      <c r="U732" s="794" t="str">
        <f t="shared" si="400"/>
        <v/>
      </c>
      <c r="V732" s="795" t="str">
        <f t="shared" si="401"/>
        <v/>
      </c>
      <c r="W732" s="795" t="str">
        <f t="shared" si="402"/>
        <v/>
      </c>
      <c r="X732" s="843" t="str">
        <f t="shared" si="403"/>
        <v/>
      </c>
      <c r="Y732" s="843" t="str">
        <f t="shared" si="404"/>
        <v/>
      </c>
      <c r="Z732" s="843" t="str">
        <f t="shared" si="405"/>
        <v/>
      </c>
      <c r="AA732" s="843">
        <f t="shared" si="406"/>
        <v>0.24487417380474696</v>
      </c>
      <c r="AB732" s="796">
        <f t="shared" si="407"/>
        <v>0</v>
      </c>
      <c r="AC732" s="797">
        <f t="shared" si="408"/>
        <v>0</v>
      </c>
      <c r="AD732" s="797">
        <f t="shared" si="409"/>
        <v>0</v>
      </c>
      <c r="AE732" s="842">
        <f t="shared" si="410"/>
        <v>0</v>
      </c>
      <c r="AF732" s="842">
        <f t="shared" si="411"/>
        <v>0</v>
      </c>
      <c r="AG732" s="842">
        <f t="shared" si="412"/>
        <v>0</v>
      </c>
      <c r="AH732" s="842">
        <f t="shared" si="413"/>
        <v>1</v>
      </c>
      <c r="AI732" s="826" cm="1">
        <f t="array" ref="AI732">SUMPRODUCT(--ISNUMBER($U732:$AA732),$AB$3:$AH$3)</f>
        <v>8.9789113613062493E-2</v>
      </c>
      <c r="AJ732" s="829" t="str">
        <f t="shared" si="414"/>
        <v/>
      </c>
      <c r="AK732" s="827" t="str">
        <f t="shared" si="415"/>
        <v>Ruta inactiva</v>
      </c>
      <c r="AL732" s="784" t="str">
        <f t="shared" si="416"/>
        <v>n/a</v>
      </c>
      <c r="AM732" s="799">
        <f>IF(ISNUMBER('Base de datos Rutas'!W730),'Base de datos Rutas'!W730,"")</f>
        <v>3641.9429094456564</v>
      </c>
      <c r="AN732" s="787">
        <f>IFERROR(SUMIFS('Base de datos Rutas'!$W$6:$W$794,'Base de datos Rutas'!$C$6:$C$794,$C732)/'Base de datos Rutas'!I730,"")</f>
        <v>3641.9429094456527</v>
      </c>
      <c r="AO732" s="800">
        <f>IFERROR('Base de datos Rutas'!X730*AN732/AM732,"")</f>
        <v>0.35679725951519109</v>
      </c>
      <c r="AP732" s="800">
        <f t="shared" si="417"/>
        <v>0.64320274048480885</v>
      </c>
      <c r="AQ732" s="789">
        <f>IFERROR(INDEX('Hoja de apoyo v2'!$J$17:$J$20,MATCH($A732,'Hoja de apoyo v2'!$A$17:$A$20,0)),"")</f>
        <v>0.64320274048480885</v>
      </c>
      <c r="AR732" s="789">
        <f t="shared" si="418"/>
        <v>0</v>
      </c>
      <c r="AS732" s="784" t="str">
        <f t="shared" si="419"/>
        <v>No</v>
      </c>
      <c r="AT732" s="801" t="str">
        <f>IF(ISNUMBER('Base de datos Rutas'!CK730),'Base de datos Rutas'!CK730,"")</f>
        <v/>
      </c>
      <c r="AU732" s="802" t="str">
        <f>IF(ISNUMBER('Base de datos Rutas'!CL730),'Base de datos Rutas'!CL730,"")</f>
        <v/>
      </c>
      <c r="AV732" s="802">
        <f>IF(ISNUMBER('Base de datos Rutas'!CM730),'Base de datos Rutas'!CM730,"")</f>
        <v>0</v>
      </c>
      <c r="AW732" s="802" t="str">
        <f>IF(ISNUMBER('Base de datos Rutas'!CN730),'Base de datos Rutas'!CN730,"")</f>
        <v/>
      </c>
      <c r="AX732" s="802" t="str">
        <f>IF(ISNUMBER('Base de datos Rutas'!CO730),'Base de datos Rutas'!CO730,"")</f>
        <v/>
      </c>
      <c r="AY732" s="802">
        <f>IF(ISNUMBER('Base de datos Rutas'!CP730),'Base de datos Rutas'!CP730,"")</f>
        <v>0</v>
      </c>
      <c r="AZ732" s="802" t="str">
        <f>IF(ISNUMBER('Base de datos Rutas'!CQ730),'Base de datos Rutas'!CQ730,"")</f>
        <v/>
      </c>
      <c r="BA732" s="802" t="str">
        <f>IF(ISNUMBER('Base de datos Rutas'!CR730),'Base de datos Rutas'!CR730,"")</f>
        <v/>
      </c>
      <c r="BB732" s="803">
        <f>IF(ISNUMBER('Base de datos Rutas'!CS730),'Base de datos Rutas'!CS730,"")</f>
        <v>0</v>
      </c>
      <c r="BC732" s="804" t="str">
        <f t="shared" si="429"/>
        <v/>
      </c>
      <c r="BD732" s="805" t="str">
        <f t="shared" si="430"/>
        <v>N/D</v>
      </c>
      <c r="BE732" s="806" t="str">
        <f t="shared" si="431"/>
        <v/>
      </c>
      <c r="BF732" s="890" t="str">
        <f>IF(ISNUMBER('Base de datos Rutas'!CX730),'Base de datos Rutas'!CX730/100,"")</f>
        <v/>
      </c>
      <c r="BG732" s="891" t="str">
        <f>IF(ISNUMBER('Base de datos Rutas'!CZ730),'Base de datos Rutas'!CZ730/100,"")</f>
        <v/>
      </c>
      <c r="BH732" s="892" t="str">
        <f>IF(ISNUMBER('Base de datos Rutas'!DA730),'Base de datos Rutas'!DA730,"")</f>
        <v/>
      </c>
      <c r="BI732" s="893" t="str">
        <f>IF(ISNUMBER('Base de datos Rutas'!DC730),'Base de datos Rutas'!DC730,"")</f>
        <v/>
      </c>
      <c r="BJ732" s="805" t="str">
        <f t="shared" si="432"/>
        <v>Sin dato</v>
      </c>
      <c r="BK732" s="783">
        <f t="shared" si="420"/>
        <v>0</v>
      </c>
      <c r="BL732" s="797">
        <f t="shared" si="421"/>
        <v>0</v>
      </c>
      <c r="BM732" s="797">
        <f t="shared" si="422"/>
        <v>0</v>
      </c>
      <c r="BN732" s="797">
        <f t="shared" si="423"/>
        <v>0</v>
      </c>
      <c r="BO732" s="798" cm="1">
        <f t="array" ref="BO732">SUMPRODUCT(--ISNUMBER($BF732:$BI732),$BK$3:$BN$3)</f>
        <v>0</v>
      </c>
      <c r="BP732" s="831" t="str">
        <f t="shared" si="433"/>
        <v/>
      </c>
      <c r="BQ732" s="834" t="str">
        <f t="shared" si="434"/>
        <v>Sin datos</v>
      </c>
      <c r="BR732" s="836" t="str">
        <f t="shared" si="424"/>
        <v/>
      </c>
      <c r="BS732" s="836" t="str">
        <f t="shared" si="425"/>
        <v/>
      </c>
      <c r="BT732" s="837" t="str">
        <f t="shared" si="426"/>
        <v>Sin datos</v>
      </c>
      <c r="BU732" s="807" t="str">
        <f t="shared" si="435"/>
        <v>No evaluable</v>
      </c>
      <c r="BV732" s="807" t="str">
        <f t="shared" si="427"/>
        <v>No evaluable</v>
      </c>
      <c r="BW732" s="808" t="str">
        <f t="shared" si="428"/>
        <v>Sin datos</v>
      </c>
    </row>
    <row r="733" spans="1:75">
      <c r="A733" s="780" t="str">
        <f>'Base de datos Rutas'!A731</f>
        <v>Occidente</v>
      </c>
      <c r="B733" s="781" t="str">
        <f>'Base de datos Rutas'!B731</f>
        <v>San Luis</v>
      </c>
      <c r="C733" s="781" t="str">
        <f>'Base de datos Rutas'!C731</f>
        <v>Planta San Luis</v>
      </c>
      <c r="D733" s="782">
        <f>IF(ISNUMBER('Base de datos Rutas'!D731),'Base de datos Rutas'!D731,"Sin código")</f>
        <v>916421</v>
      </c>
      <c r="E733" s="783" t="str">
        <f>'Base de datos Rutas'!F731</f>
        <v>Activa</v>
      </c>
      <c r="F733" s="784" t="str">
        <f>'Base de datos Rutas'!H731</f>
        <v>Sí</v>
      </c>
      <c r="G733" s="785">
        <f>IF(ISNUMBER('Base de datos Rutas'!BE731),'Base de datos Rutas'!BE731,"")</f>
        <v>86.603211009174302</v>
      </c>
      <c r="H733" s="786">
        <f>IF(ISNUMBER('Base de datos Rutas'!BH731),'Base de datos Rutas'!BH731,"")</f>
        <v>0.36820360708705202</v>
      </c>
      <c r="I733" s="788">
        <f>IFERROR(IF(OR(NOT(ISNUMBER('Base de datos Rutas'!O731)),N('Base de datos Rutas'!BK731)=0),"",'Base de datos Rutas'!O731/('Base de datos Rutas'!L731/'Base de datos Rutas'!BK731)),"")</f>
        <v>4499.036697247705</v>
      </c>
      <c r="J733" s="788">
        <f>IFERROR(IF(OR(NOT(ISNUMBER('Base de datos Rutas'!N731)),N('Base de datos Rutas'!BK731)=0),"",'Base de datos Rutas'!N731/('Base de datos Rutas'!L731/'Base de datos Rutas'!BK731)),"")</f>
        <v>7328.376146788989</v>
      </c>
      <c r="K733" s="788">
        <f>IFERROR(IF(OR(NOT(ISNUMBER('Base de datos Rutas'!J731)),N('Base de datos Rutas'!BK731)=0),"",'Base de datos Rutas'!J731/('Base de datos Rutas'!L731/'Base de datos Rutas'!BK731)),"")</f>
        <v>491.1566697247705</v>
      </c>
      <c r="L733" s="788">
        <f>IFERROR(IF(OR(NOT(ISNUMBER('Base de datos Rutas'!K731)),N('Base de datos Rutas'!BK731)=0),"",'Base de datos Rutas'!K731/('Base de datos Rutas'!L731/'Base de datos Rutas'!BK731)),"")</f>
        <v>34.897378247706413</v>
      </c>
      <c r="M733" s="787">
        <f>IF(ISNUMBER('Base de datos Rutas'!AX731),'Base de datos Rutas'!AX731,"")</f>
        <v>370.20633604258097</v>
      </c>
      <c r="N733" s="790">
        <f>IFERROR(INDEX('Hoja de apoyo v2'!B$17:B$20,MATCH($A733,'Hoja de apoyo v2'!$A$17:$A$20,0)),"")</f>
        <v>89.41621024641401</v>
      </c>
      <c r="O733" s="791">
        <f>IFERROR(INDEX('Hoja de apoyo v2'!C$17:C$20,MATCH($A733,'Hoja de apoyo v2'!$A$17:$A$20,0)),"")</f>
        <v>0.54706375874806301</v>
      </c>
      <c r="P733" s="793">
        <f>IFERROR(INDEX('Hoja de apoyo v2'!D$17:D$20,MATCH($A733,'Hoja de apoyo v2'!$A$17:$A$20,0)),"")</f>
        <v>11095.153935793827</v>
      </c>
      <c r="Q733" s="793">
        <f>IFERROR(INDEX('Hoja de apoyo v2'!E$17:E$20,MATCH($A733,'Hoja de apoyo v2'!$A$17:$A$20,0)),"")</f>
        <v>6982.3202019701848</v>
      </c>
      <c r="R733" s="793">
        <f>IFERROR(INDEX('Hoja de apoyo v2'!F$17:F$20,MATCH($A733,'Hoja de apoyo v2'!$A$17:$A$20,0)),"")</f>
        <v>448.09513474485743</v>
      </c>
      <c r="S733" s="793">
        <f>IFERROR(INDEX('Hoja de apoyo v2'!G$17:G$20,MATCH($A733,'Hoja de apoyo v2'!$A$17:$A$20,0)),"")</f>
        <v>83.406300904207839</v>
      </c>
      <c r="T733" s="792">
        <f>IFERROR(INDEX('Hoja de apoyo v2'!H$17:H$20,MATCH($A733,'Hoja de apoyo v2'!$A$17:$A$20,0)),"")</f>
        <v>378.97014028925349</v>
      </c>
      <c r="U733" s="794">
        <f t="shared" si="400"/>
        <v>0.9685403884878635</v>
      </c>
      <c r="V733" s="795">
        <f t="shared" si="401"/>
        <v>0.67305428517084298</v>
      </c>
      <c r="W733" s="795">
        <f t="shared" si="402"/>
        <v>0.4054956536234674</v>
      </c>
      <c r="X733" s="843">
        <f t="shared" si="403"/>
        <v>1.0495617409125921</v>
      </c>
      <c r="Y733" s="843">
        <f t="shared" si="404"/>
        <v>1.0960990906639323</v>
      </c>
      <c r="Z733" s="843">
        <f t="shared" si="405"/>
        <v>0.41840218148250047</v>
      </c>
      <c r="AA733" s="843">
        <f t="shared" si="406"/>
        <v>0.97687468400549071</v>
      </c>
      <c r="AB733" s="796">
        <f t="shared" si="407"/>
        <v>3</v>
      </c>
      <c r="AC733" s="797">
        <f t="shared" si="408"/>
        <v>2</v>
      </c>
      <c r="AD733" s="797">
        <f t="shared" si="409"/>
        <v>1</v>
      </c>
      <c r="AE733" s="842">
        <f t="shared" si="410"/>
        <v>4</v>
      </c>
      <c r="AF733" s="842">
        <f t="shared" si="411"/>
        <v>4</v>
      </c>
      <c r="AG733" s="842">
        <f t="shared" si="412"/>
        <v>1</v>
      </c>
      <c r="AH733" s="842">
        <f t="shared" si="413"/>
        <v>3</v>
      </c>
      <c r="AI733" s="826" cm="1">
        <f t="array" ref="AI733">SUMPRODUCT(--ISNUMBER($U733:$AA733),$AB$3:$AH$3)</f>
        <v>1</v>
      </c>
      <c r="AJ733" s="829">
        <f t="shared" si="414"/>
        <v>34.946110097592566</v>
      </c>
      <c r="AK733" s="827" t="str">
        <f t="shared" si="415"/>
        <v>Inmadura</v>
      </c>
      <c r="AL733" s="784" t="str">
        <f t="shared" si="416"/>
        <v>Alta</v>
      </c>
      <c r="AM733" s="799">
        <f>IF(ISNUMBER('Base de datos Rutas'!W731),'Base de datos Rutas'!W731,"")</f>
        <v>3641.9429094456564</v>
      </c>
      <c r="AN733" s="787">
        <f>IFERROR(SUMIFS('Base de datos Rutas'!$W$6:$W$794,'Base de datos Rutas'!$C$6:$C$794,$C733)/'Base de datos Rutas'!I731,"")</f>
        <v>3641.9429094456527</v>
      </c>
      <c r="AO733" s="800">
        <f>IFERROR('Base de datos Rutas'!X731*AN733/AM733,"")</f>
        <v>0.35679725951519109</v>
      </c>
      <c r="AP733" s="800">
        <f t="shared" si="417"/>
        <v>0.64320274048480885</v>
      </c>
      <c r="AQ733" s="789">
        <f>IFERROR(INDEX('Hoja de apoyo v2'!$J$17:$J$20,MATCH($A733,'Hoja de apoyo v2'!$A$17:$A$20,0)),"")</f>
        <v>0.64320274048480885</v>
      </c>
      <c r="AR733" s="789">
        <f t="shared" si="418"/>
        <v>0</v>
      </c>
      <c r="AS733" s="784" t="str">
        <f t="shared" si="419"/>
        <v>No</v>
      </c>
      <c r="AT733" s="801">
        <f>IF(ISNUMBER('Base de datos Rutas'!CK731),'Base de datos Rutas'!CK731,"")</f>
        <v>314</v>
      </c>
      <c r="AU733" s="802">
        <f>IF(ISNUMBER('Base de datos Rutas'!CL731),'Base de datos Rutas'!CL731,"")</f>
        <v>477.68</v>
      </c>
      <c r="AV733" s="802">
        <f>IF(ISNUMBER('Base de datos Rutas'!CM731),'Base de datos Rutas'!CM731,"")</f>
        <v>163.68</v>
      </c>
      <c r="AW733" s="802">
        <f>IF(ISNUMBER('Base de datos Rutas'!CN731),'Base de datos Rutas'!CN731,"")</f>
        <v>9.14</v>
      </c>
      <c r="AX733" s="802">
        <f>IF(ISNUMBER('Base de datos Rutas'!CO731),'Base de datos Rutas'!CO731,"")</f>
        <v>9.4499999999999993</v>
      </c>
      <c r="AY733" s="802">
        <f>IF(ISNUMBER('Base de datos Rutas'!CP731),'Base de datos Rutas'!CP731,"")</f>
        <v>0.30999999999999872</v>
      </c>
      <c r="AZ733" s="802">
        <f>IF(ISNUMBER('Base de datos Rutas'!CQ731),'Base de datos Rutas'!CQ731,"")</f>
        <v>846.56</v>
      </c>
      <c r="BA733" s="802">
        <f>IF(ISNUMBER('Base de datos Rutas'!CR731),'Base de datos Rutas'!CR731,"")</f>
        <v>526.04999999999995</v>
      </c>
      <c r="BB733" s="803">
        <f>IF(ISNUMBER('Base de datos Rutas'!CS731),'Base de datos Rutas'!CS731,"")</f>
        <v>320.51</v>
      </c>
      <c r="BC733" s="804">
        <f t="shared" si="429"/>
        <v>0</v>
      </c>
      <c r="BD733" s="805" t="str">
        <f t="shared" si="430"/>
        <v>No saturada</v>
      </c>
      <c r="BE733" s="806">
        <f t="shared" si="431"/>
        <v>0.6213971838971839</v>
      </c>
      <c r="BF733" s="890">
        <f>IF(ISNUMBER('Base de datos Rutas'!CX731),'Base de datos Rutas'!CX731/100,"")</f>
        <v>0.31449282021826536</v>
      </c>
      <c r="BG733" s="891">
        <f>IF(ISNUMBER('Base de datos Rutas'!CZ731),'Base de datos Rutas'!CZ731/100,"")</f>
        <v>0.32389431361286619</v>
      </c>
      <c r="BH733" s="892">
        <f>IF(ISNUMBER('Base de datos Rutas'!DA731),'Base de datos Rutas'!DA731,"")</f>
        <v>80.562528736155443</v>
      </c>
      <c r="BI733" s="893">
        <f>IF(ISNUMBER('Base de datos Rutas'!DC731),'Base de datos Rutas'!DC731,"")</f>
        <v>3.9939113492450073</v>
      </c>
      <c r="BJ733" s="805" t="str">
        <f t="shared" si="432"/>
        <v>Ruta (completo)</v>
      </c>
      <c r="BK733" s="783">
        <f t="shared" si="420"/>
        <v>2</v>
      </c>
      <c r="BL733" s="797">
        <f t="shared" si="421"/>
        <v>2</v>
      </c>
      <c r="BM733" s="797">
        <f t="shared" si="422"/>
        <v>2</v>
      </c>
      <c r="BN733" s="797">
        <f t="shared" si="423"/>
        <v>2</v>
      </c>
      <c r="BO733" s="798" cm="1">
        <f t="array" ref="BO733">SUMPRODUCT(--ISNUMBER($BF733:$BI733),$BK$3:$BN$3)</f>
        <v>1</v>
      </c>
      <c r="BP733" s="831">
        <f t="shared" si="433"/>
        <v>25</v>
      </c>
      <c r="BQ733" s="834" t="str">
        <f t="shared" si="434"/>
        <v>Medio</v>
      </c>
      <c r="BR733" s="836">
        <f t="shared" si="424"/>
        <v>26.209582573194425</v>
      </c>
      <c r="BS733" s="836">
        <f t="shared" si="425"/>
        <v>25</v>
      </c>
      <c r="BT733" s="837" t="str">
        <f t="shared" si="426"/>
        <v>P4</v>
      </c>
      <c r="BU733" s="807" t="str">
        <f t="shared" si="435"/>
        <v>Con espacio</v>
      </c>
      <c r="BV733" s="807" t="str">
        <f t="shared" si="427"/>
        <v>Zona de bajo potencial</v>
      </c>
      <c r="BW733" s="808" t="str">
        <f t="shared" si="428"/>
        <v>P4 - Evaluar</v>
      </c>
    </row>
    <row r="734" spans="1:75">
      <c r="A734" s="780" t="str">
        <f>'Base de datos Rutas'!A732</f>
        <v>Occidente</v>
      </c>
      <c r="B734" s="781" t="str">
        <f>'Base de datos Rutas'!B732</f>
        <v>San Luis</v>
      </c>
      <c r="C734" s="781" t="str">
        <f>'Base de datos Rutas'!C732</f>
        <v>Planta San Luis</v>
      </c>
      <c r="D734" s="782">
        <f>IF(ISNUMBER('Base de datos Rutas'!D732),'Base de datos Rutas'!D732,"Sin código")</f>
        <v>916422</v>
      </c>
      <c r="E734" s="783" t="str">
        <f>'Base de datos Rutas'!F732</f>
        <v>Activa</v>
      </c>
      <c r="F734" s="784" t="str">
        <f>'Base de datos Rutas'!H732</f>
        <v>Sí</v>
      </c>
      <c r="G734" s="785">
        <f>IF(ISNUMBER('Base de datos Rutas'!BE732),'Base de datos Rutas'!BE732,"")</f>
        <v>68.922018348623894</v>
      </c>
      <c r="H734" s="786">
        <f>IF(ISNUMBER('Base de datos Rutas'!BH732),'Base de datos Rutas'!BH732,"")</f>
        <v>0.40559068219633898</v>
      </c>
      <c r="I734" s="788">
        <f>IFERROR(IF(OR(NOT(ISNUMBER('Base de datos Rutas'!O732)),N('Base de datos Rutas'!BK732)=0),"",'Base de datos Rutas'!O732/('Base de datos Rutas'!L732/'Base de datos Rutas'!BK732)),"")</f>
        <v>3027.6743119266043</v>
      </c>
      <c r="J734" s="788">
        <f>IFERROR(IF(OR(NOT(ISNUMBER('Base de datos Rutas'!N732)),N('Base de datos Rutas'!BK732)=0),"",'Base de datos Rutas'!N732/('Base de datos Rutas'!L732/'Base de datos Rutas'!BK732)),"")</f>
        <v>6280.8004587155938</v>
      </c>
      <c r="K734" s="788">
        <f>IFERROR(IF(OR(NOT(ISNUMBER('Base de datos Rutas'!J732)),N('Base de datos Rutas'!BK732)=0),"",'Base de datos Rutas'!J732/('Base de datos Rutas'!L732/'Base de datos Rutas'!BK732)),"")</f>
        <v>426.1942422018347</v>
      </c>
      <c r="L734" s="788">
        <f>IFERROR(IF(OR(NOT(ISNUMBER('Base de datos Rutas'!K732)),N('Base de datos Rutas'!BK732)=0),"",'Base de datos Rutas'!K732/('Base de datos Rutas'!L732/'Base de datos Rutas'!BK732)),"")</f>
        <v>24.991624905963295</v>
      </c>
      <c r="M734" s="787">
        <f>IF(ISNUMBER('Base de datos Rutas'!AX732),'Base de datos Rutas'!AX732,"")</f>
        <v>332.85537906137199</v>
      </c>
      <c r="N734" s="790">
        <f>IFERROR(INDEX('Hoja de apoyo v2'!B$17:B$20,MATCH($A734,'Hoja de apoyo v2'!$A$17:$A$20,0)),"")</f>
        <v>89.41621024641401</v>
      </c>
      <c r="O734" s="791">
        <f>IFERROR(INDEX('Hoja de apoyo v2'!C$17:C$20,MATCH($A734,'Hoja de apoyo v2'!$A$17:$A$20,0)),"")</f>
        <v>0.54706375874806301</v>
      </c>
      <c r="P734" s="793">
        <f>IFERROR(INDEX('Hoja de apoyo v2'!D$17:D$20,MATCH($A734,'Hoja de apoyo v2'!$A$17:$A$20,0)),"")</f>
        <v>11095.153935793827</v>
      </c>
      <c r="Q734" s="793">
        <f>IFERROR(INDEX('Hoja de apoyo v2'!E$17:E$20,MATCH($A734,'Hoja de apoyo v2'!$A$17:$A$20,0)),"")</f>
        <v>6982.3202019701848</v>
      </c>
      <c r="R734" s="793">
        <f>IFERROR(INDEX('Hoja de apoyo v2'!F$17:F$20,MATCH($A734,'Hoja de apoyo v2'!$A$17:$A$20,0)),"")</f>
        <v>448.09513474485743</v>
      </c>
      <c r="S734" s="793">
        <f>IFERROR(INDEX('Hoja de apoyo v2'!G$17:G$20,MATCH($A734,'Hoja de apoyo v2'!$A$17:$A$20,0)),"")</f>
        <v>83.406300904207839</v>
      </c>
      <c r="T734" s="792">
        <f>IFERROR(INDEX('Hoja de apoyo v2'!H$17:H$20,MATCH($A734,'Hoja de apoyo v2'!$A$17:$A$20,0)),"")</f>
        <v>378.97014028925349</v>
      </c>
      <c r="U734" s="794">
        <f t="shared" si="400"/>
        <v>0.77080003903864824</v>
      </c>
      <c r="V734" s="795">
        <f t="shared" si="401"/>
        <v>0.74139563389196095</v>
      </c>
      <c r="W734" s="795">
        <f t="shared" si="402"/>
        <v>0.27288258724911352</v>
      </c>
      <c r="X734" s="843">
        <f t="shared" si="403"/>
        <v>0.89952913602320261</v>
      </c>
      <c r="Y734" s="843">
        <f t="shared" si="404"/>
        <v>0.95112445807854407</v>
      </c>
      <c r="Z734" s="843">
        <f t="shared" si="405"/>
        <v>0.29963713334639053</v>
      </c>
      <c r="AA734" s="843">
        <f t="shared" si="406"/>
        <v>0.87831558129438947</v>
      </c>
      <c r="AB734" s="796">
        <f t="shared" si="407"/>
        <v>3</v>
      </c>
      <c r="AC734" s="797">
        <f t="shared" si="408"/>
        <v>2</v>
      </c>
      <c r="AD734" s="797">
        <f t="shared" si="409"/>
        <v>1</v>
      </c>
      <c r="AE734" s="842">
        <f t="shared" si="410"/>
        <v>3</v>
      </c>
      <c r="AF734" s="842">
        <f t="shared" si="411"/>
        <v>3</v>
      </c>
      <c r="AG734" s="842">
        <f t="shared" si="412"/>
        <v>1</v>
      </c>
      <c r="AH734" s="842">
        <f t="shared" si="413"/>
        <v>3</v>
      </c>
      <c r="AI734" s="826" cm="1">
        <f t="array" ref="AI734">SUMPRODUCT(--ISNUMBER($U734:$AA734),$AB$3:$AH$3)</f>
        <v>1</v>
      </c>
      <c r="AJ734" s="829">
        <f t="shared" si="414"/>
        <v>28.610617939334084</v>
      </c>
      <c r="AK734" s="827" t="str">
        <f t="shared" si="415"/>
        <v>Inmadura</v>
      </c>
      <c r="AL734" s="784" t="str">
        <f t="shared" si="416"/>
        <v>Alta</v>
      </c>
      <c r="AM734" s="799">
        <f>IF(ISNUMBER('Base de datos Rutas'!W732),'Base de datos Rutas'!W732,"")</f>
        <v>3641.9429094456564</v>
      </c>
      <c r="AN734" s="787">
        <f>IFERROR(SUMIFS('Base de datos Rutas'!$W$6:$W$794,'Base de datos Rutas'!$C$6:$C$794,$C734)/'Base de datos Rutas'!I732,"")</f>
        <v>3641.9429094456527</v>
      </c>
      <c r="AO734" s="800">
        <f>IFERROR('Base de datos Rutas'!X732*AN734/AM734,"")</f>
        <v>0.35679725951519109</v>
      </c>
      <c r="AP734" s="800">
        <f t="shared" si="417"/>
        <v>0.64320274048480885</v>
      </c>
      <c r="AQ734" s="789">
        <f>IFERROR(INDEX('Hoja de apoyo v2'!$J$17:$J$20,MATCH($A734,'Hoja de apoyo v2'!$A$17:$A$20,0)),"")</f>
        <v>0.64320274048480885</v>
      </c>
      <c r="AR734" s="789">
        <f t="shared" si="418"/>
        <v>0</v>
      </c>
      <c r="AS734" s="784" t="str">
        <f t="shared" si="419"/>
        <v>No</v>
      </c>
      <c r="AT734" s="801">
        <f>IF(ISNUMBER('Base de datos Rutas'!CK732),'Base de datos Rutas'!CK732,"")</f>
        <v>371</v>
      </c>
      <c r="AU734" s="802">
        <f>IF(ISNUMBER('Base de datos Rutas'!CL732),'Base de datos Rutas'!CL732,"")</f>
        <v>455.98</v>
      </c>
      <c r="AV734" s="802">
        <f>IF(ISNUMBER('Base de datos Rutas'!CM732),'Base de datos Rutas'!CM732,"")</f>
        <v>84.980000000000018</v>
      </c>
      <c r="AW734" s="802">
        <f>IF(ISNUMBER('Base de datos Rutas'!CN732),'Base de datos Rutas'!CN732,"")</f>
        <v>10.84</v>
      </c>
      <c r="AX734" s="802">
        <f>IF(ISNUMBER('Base de datos Rutas'!CO732),'Base de datos Rutas'!CO732,"")</f>
        <v>9.4499999999999993</v>
      </c>
      <c r="AY734" s="802">
        <f>IF(ISNUMBER('Base de datos Rutas'!CP732),'Base de datos Rutas'!CP732,"")</f>
        <v>-1.3900000000000006</v>
      </c>
      <c r="AZ734" s="802">
        <f>IF(ISNUMBER('Base de datos Rutas'!CQ732),'Base de datos Rutas'!CQ732,"")</f>
        <v>846.56</v>
      </c>
      <c r="BA734" s="802">
        <f>IF(ISNUMBER('Base de datos Rutas'!CR732),'Base de datos Rutas'!CR732,"")</f>
        <v>451.19</v>
      </c>
      <c r="BB734" s="803">
        <f>IF(ISNUMBER('Base de datos Rutas'!CS732),'Base de datos Rutas'!CS732,"")</f>
        <v>395.36999999999995</v>
      </c>
      <c r="BC734" s="804">
        <f t="shared" si="429"/>
        <v>1</v>
      </c>
      <c r="BD734" s="805" t="str">
        <f t="shared" si="430"/>
        <v>Saturada</v>
      </c>
      <c r="BE734" s="806">
        <f t="shared" si="431"/>
        <v>0.53296872046872046</v>
      </c>
      <c r="BF734" s="890">
        <f>IF(ISNUMBER('Base de datos Rutas'!CX732),'Base de datos Rutas'!CX732/100,"")</f>
        <v>0.2185870380289234</v>
      </c>
      <c r="BG734" s="891">
        <f>IF(ISNUMBER('Base de datos Rutas'!CZ732),'Base de datos Rutas'!CZ732/100,"")</f>
        <v>0.22313872522763792</v>
      </c>
      <c r="BH734" s="892">
        <f>IF(ISNUMBER('Base de datos Rutas'!DA732),'Base de datos Rutas'!DA732,"")</f>
        <v>43.946544864350692</v>
      </c>
      <c r="BI734" s="893">
        <f>IF(ISNUMBER('Base de datos Rutas'!DC732),'Base de datos Rutas'!DC732,"")</f>
        <v>1.8901992964002094</v>
      </c>
      <c r="BJ734" s="805" t="str">
        <f t="shared" si="432"/>
        <v>Ruta (completo)</v>
      </c>
      <c r="BK734" s="783">
        <f t="shared" si="420"/>
        <v>1</v>
      </c>
      <c r="BL734" s="797">
        <f t="shared" si="421"/>
        <v>1</v>
      </c>
      <c r="BM734" s="797">
        <f t="shared" si="422"/>
        <v>1</v>
      </c>
      <c r="BN734" s="797">
        <f t="shared" si="423"/>
        <v>1</v>
      </c>
      <c r="BO734" s="798" cm="1">
        <f t="array" ref="BO734">SUMPRODUCT(--ISNUMBER($BF734:$BI734),$BK$3:$BN$3)</f>
        <v>1</v>
      </c>
      <c r="BP734" s="831">
        <f t="shared" si="433"/>
        <v>0</v>
      </c>
      <c r="BQ734" s="834" t="str">
        <f t="shared" si="434"/>
        <v>Bajo</v>
      </c>
      <c r="BR734" s="836">
        <f t="shared" si="424"/>
        <v>46.457963454500565</v>
      </c>
      <c r="BS734" s="836">
        <f t="shared" si="425"/>
        <v>0</v>
      </c>
      <c r="BT734" s="837" t="str">
        <f t="shared" si="426"/>
        <v>P2</v>
      </c>
      <c r="BU734" s="807" t="str">
        <f t="shared" si="435"/>
        <v>Al tope</v>
      </c>
      <c r="BV734" s="807" t="str">
        <f t="shared" si="427"/>
        <v>Zona de bajo potencial</v>
      </c>
      <c r="BW734" s="808" t="str">
        <f t="shared" si="428"/>
        <v>P2 - Mantener</v>
      </c>
    </row>
    <row r="735" spans="1:75">
      <c r="A735" s="780" t="str">
        <f>'Base de datos Rutas'!A733</f>
        <v>Occidente</v>
      </c>
      <c r="B735" s="781" t="str">
        <f>'Base de datos Rutas'!B733</f>
        <v>San Luis</v>
      </c>
      <c r="C735" s="781" t="str">
        <f>'Base de datos Rutas'!C733</f>
        <v>Planta San Luis</v>
      </c>
      <c r="D735" s="782">
        <f>IF(ISNUMBER('Base de datos Rutas'!D733),'Base de datos Rutas'!D733,"Sin código")</f>
        <v>916424</v>
      </c>
      <c r="E735" s="783" t="str">
        <f>'Base de datos Rutas'!F733</f>
        <v>Activa</v>
      </c>
      <c r="F735" s="784" t="str">
        <f>'Base de datos Rutas'!H733</f>
        <v>Sí</v>
      </c>
      <c r="G735" s="785">
        <f>IF(ISNUMBER('Base de datos Rutas'!BE733),'Base de datos Rutas'!BE733,"")</f>
        <v>7.81666666666667</v>
      </c>
      <c r="H735" s="786">
        <f>IF(ISNUMBER('Base de datos Rutas'!BH733),'Base de datos Rutas'!BH733,"")</f>
        <v>0.10660980810234499</v>
      </c>
      <c r="I735" s="788">
        <f>IFERROR(IF(OR(NOT(ISNUMBER('Base de datos Rutas'!O733)),N('Base de datos Rutas'!BK733)=0),"",'Base de datos Rutas'!O733/('Base de datos Rutas'!L733/'Base de datos Rutas'!BK733)),"")</f>
        <v>422.72413793103505</v>
      </c>
      <c r="J735" s="788">
        <f>IFERROR(IF(OR(NOT(ISNUMBER('Base de datos Rutas'!N733)),N('Base de datos Rutas'!BK733)=0),"",'Base de datos Rutas'!N733/('Base de datos Rutas'!L733/'Base de datos Rutas'!BK733)),"")</f>
        <v>556.06034482758696</v>
      </c>
      <c r="K735" s="788">
        <f>IFERROR(IF(OR(NOT(ISNUMBER('Base de datos Rutas'!J733)),N('Base de datos Rutas'!BK733)=0),"",'Base de datos Rutas'!J733/('Base de datos Rutas'!L733/'Base de datos Rutas'!BK733)),"")</f>
        <v>37.956896551724192</v>
      </c>
      <c r="L735" s="788">
        <f>IFERROR(IF(OR(NOT(ISNUMBER('Base de datos Rutas'!K733)),N('Base de datos Rutas'!BK733)=0),"",'Base de datos Rutas'!K733/('Base de datos Rutas'!L733/'Base de datos Rutas'!BK733)),"")</f>
        <v>3.357747413793108</v>
      </c>
      <c r="M735" s="787">
        <f>IF(ISNUMBER('Base de datos Rutas'!AX733),'Base de datos Rutas'!AX733,"")</f>
        <v>1102.3145631068001</v>
      </c>
      <c r="N735" s="790">
        <f>IFERROR(INDEX('Hoja de apoyo v2'!B$17:B$20,MATCH($A735,'Hoja de apoyo v2'!$A$17:$A$20,0)),"")</f>
        <v>89.41621024641401</v>
      </c>
      <c r="O735" s="791">
        <f>IFERROR(INDEX('Hoja de apoyo v2'!C$17:C$20,MATCH($A735,'Hoja de apoyo v2'!$A$17:$A$20,0)),"")</f>
        <v>0.54706375874806301</v>
      </c>
      <c r="P735" s="793">
        <f>IFERROR(INDEX('Hoja de apoyo v2'!D$17:D$20,MATCH($A735,'Hoja de apoyo v2'!$A$17:$A$20,0)),"")</f>
        <v>11095.153935793827</v>
      </c>
      <c r="Q735" s="793">
        <f>IFERROR(INDEX('Hoja de apoyo v2'!E$17:E$20,MATCH($A735,'Hoja de apoyo v2'!$A$17:$A$20,0)),"")</f>
        <v>6982.3202019701848</v>
      </c>
      <c r="R735" s="793">
        <f>IFERROR(INDEX('Hoja de apoyo v2'!F$17:F$20,MATCH($A735,'Hoja de apoyo v2'!$A$17:$A$20,0)),"")</f>
        <v>448.09513474485743</v>
      </c>
      <c r="S735" s="793">
        <f>IFERROR(INDEX('Hoja de apoyo v2'!G$17:G$20,MATCH($A735,'Hoja de apoyo v2'!$A$17:$A$20,0)),"")</f>
        <v>83.406300904207839</v>
      </c>
      <c r="T735" s="792">
        <f>IFERROR(INDEX('Hoja de apoyo v2'!H$17:H$20,MATCH($A735,'Hoja de apoyo v2'!$A$17:$A$20,0)),"")</f>
        <v>378.97014028925349</v>
      </c>
      <c r="U735" s="794">
        <f t="shared" si="400"/>
        <v>8.7418899158501887E-2</v>
      </c>
      <c r="V735" s="795">
        <f t="shared" si="401"/>
        <v>0.19487638579151714</v>
      </c>
      <c r="W735" s="795">
        <f t="shared" si="402"/>
        <v>3.8099889409131511E-2</v>
      </c>
      <c r="X735" s="843">
        <f t="shared" si="403"/>
        <v>7.9638333497035085E-2</v>
      </c>
      <c r="Y735" s="843">
        <f t="shared" si="404"/>
        <v>8.4707227569736088E-2</v>
      </c>
      <c r="Z735" s="843">
        <f t="shared" si="405"/>
        <v>4.025771887005853E-2</v>
      </c>
      <c r="AA735" s="843">
        <f t="shared" si="406"/>
        <v>2.9087108611392054</v>
      </c>
      <c r="AB735" s="796">
        <f t="shared" si="407"/>
        <v>1</v>
      </c>
      <c r="AC735" s="797">
        <f t="shared" si="408"/>
        <v>1</v>
      </c>
      <c r="AD735" s="797">
        <f t="shared" si="409"/>
        <v>1</v>
      </c>
      <c r="AE735" s="842">
        <f t="shared" si="410"/>
        <v>1</v>
      </c>
      <c r="AF735" s="842">
        <f t="shared" si="411"/>
        <v>1</v>
      </c>
      <c r="AG735" s="842">
        <f t="shared" si="412"/>
        <v>1</v>
      </c>
      <c r="AH735" s="842">
        <f t="shared" si="413"/>
        <v>5</v>
      </c>
      <c r="AI735" s="826" cm="1">
        <f t="array" ref="AI735">SUMPRODUCT(--ISNUMBER($U735:$AA735),$AB$3:$AH$3)</f>
        <v>1</v>
      </c>
      <c r="AJ735" s="829">
        <f t="shared" si="414"/>
        <v>8.9789113613062526</v>
      </c>
      <c r="AK735" s="827" t="str">
        <f t="shared" si="415"/>
        <v>Inmadura</v>
      </c>
      <c r="AL735" s="784" t="str">
        <f t="shared" si="416"/>
        <v>Alta</v>
      </c>
      <c r="AM735" s="799">
        <f>IF(ISNUMBER('Base de datos Rutas'!W733),'Base de datos Rutas'!W733,"")</f>
        <v>3641.9429094456564</v>
      </c>
      <c r="AN735" s="787">
        <f>IFERROR(SUMIFS('Base de datos Rutas'!$W$6:$W$794,'Base de datos Rutas'!$C$6:$C$794,$C735)/'Base de datos Rutas'!I733,"")</f>
        <v>3641.9429094456527</v>
      </c>
      <c r="AO735" s="800">
        <f>IFERROR('Base de datos Rutas'!X733*AN735/AM735,"")</f>
        <v>0.35679725951519109</v>
      </c>
      <c r="AP735" s="800">
        <f t="shared" si="417"/>
        <v>0.64320274048480885</v>
      </c>
      <c r="AQ735" s="789">
        <f>IFERROR(INDEX('Hoja de apoyo v2'!$J$17:$J$20,MATCH($A735,'Hoja de apoyo v2'!$A$17:$A$20,0)),"")</f>
        <v>0.64320274048480885</v>
      </c>
      <c r="AR735" s="789">
        <f t="shared" si="418"/>
        <v>0</v>
      </c>
      <c r="AS735" s="784" t="str">
        <f t="shared" si="419"/>
        <v>No</v>
      </c>
      <c r="AT735" s="801">
        <f>IF(ISNUMBER('Base de datos Rutas'!CK733),'Base de datos Rutas'!CK733,"")</f>
        <v>101</v>
      </c>
      <c r="AU735" s="802">
        <f>IF(ISNUMBER('Base de datos Rutas'!CL733),'Base de datos Rutas'!CL733,"")</f>
        <v>136.6</v>
      </c>
      <c r="AV735" s="802">
        <f>IF(ISNUMBER('Base de datos Rutas'!CM733),'Base de datos Rutas'!CM733,"")</f>
        <v>35.599999999999994</v>
      </c>
      <c r="AW735" s="802">
        <f>IF(ISNUMBER('Base de datos Rutas'!CN733),'Base de datos Rutas'!CN733,"")</f>
        <v>6.48</v>
      </c>
      <c r="AX735" s="802">
        <f>IF(ISNUMBER('Base de datos Rutas'!CO733),'Base de datos Rutas'!CO733,"")</f>
        <v>9.4499999999999993</v>
      </c>
      <c r="AY735" s="802">
        <f>IF(ISNUMBER('Base de datos Rutas'!CP733),'Base de datos Rutas'!CP733,"")</f>
        <v>2.9699999999999989</v>
      </c>
      <c r="AZ735" s="802">
        <f>IF(ISNUMBER('Base de datos Rutas'!CQ733),'Base de datos Rutas'!CQ733,"")</f>
        <v>797.54</v>
      </c>
      <c r="BA735" s="802">
        <f>IF(ISNUMBER('Base de datos Rutas'!CR733),'Base de datos Rutas'!CR733,"")</f>
        <v>41.31</v>
      </c>
      <c r="BB735" s="803">
        <f>IF(ISNUMBER('Base de datos Rutas'!CS733),'Base de datos Rutas'!CS733,"")</f>
        <v>756.23</v>
      </c>
      <c r="BC735" s="804">
        <f t="shared" si="429"/>
        <v>0</v>
      </c>
      <c r="BD735" s="805" t="str">
        <f t="shared" si="430"/>
        <v>No saturada</v>
      </c>
      <c r="BE735" s="806">
        <f t="shared" si="431"/>
        <v>5.1796775083381402E-2</v>
      </c>
      <c r="BF735" s="890">
        <f>IF(ISNUMBER('Base de datos Rutas'!CX733),'Base de datos Rutas'!CX733/100,"")</f>
        <v>0.29008711324722142</v>
      </c>
      <c r="BG735" s="891">
        <f>IF(ISNUMBER('Base de datos Rutas'!CZ733),'Base de datos Rutas'!CZ733/100,"")</f>
        <v>0.29543406428356866</v>
      </c>
      <c r="BH735" s="892">
        <f>IF(ISNUMBER('Base de datos Rutas'!DA733),'Base de datos Rutas'!DA733,"")</f>
        <v>65.197146528026764</v>
      </c>
      <c r="BI735" s="893">
        <f>IF(ISNUMBER('Base de datos Rutas'!DC733),'Base de datos Rutas'!DC733,"")</f>
        <v>2.9071232221823831</v>
      </c>
      <c r="BJ735" s="805" t="str">
        <f t="shared" si="432"/>
        <v>Ruta (completo)</v>
      </c>
      <c r="BK735" s="783">
        <f t="shared" si="420"/>
        <v>2</v>
      </c>
      <c r="BL735" s="797">
        <f t="shared" si="421"/>
        <v>2</v>
      </c>
      <c r="BM735" s="797">
        <f t="shared" si="422"/>
        <v>2</v>
      </c>
      <c r="BN735" s="797">
        <f t="shared" si="423"/>
        <v>2</v>
      </c>
      <c r="BO735" s="798" cm="1">
        <f t="array" ref="BO735">SUMPRODUCT(--ISNUMBER($BF735:$BI735),$BK$3:$BN$3)</f>
        <v>1</v>
      </c>
      <c r="BP735" s="831">
        <f t="shared" si="433"/>
        <v>25</v>
      </c>
      <c r="BQ735" s="834" t="str">
        <f t="shared" si="434"/>
        <v>Medio</v>
      </c>
      <c r="BR735" s="836">
        <f t="shared" si="424"/>
        <v>6.7341835209796894</v>
      </c>
      <c r="BS735" s="836">
        <f t="shared" si="425"/>
        <v>25</v>
      </c>
      <c r="BT735" s="837" t="str">
        <f t="shared" si="426"/>
        <v>P4</v>
      </c>
      <c r="BU735" s="807" t="str">
        <f t="shared" si="435"/>
        <v>Con espacio</v>
      </c>
      <c r="BV735" s="807" t="str">
        <f t="shared" si="427"/>
        <v>Zona de bajo potencial</v>
      </c>
      <c r="BW735" s="808" t="str">
        <f t="shared" si="428"/>
        <v>P4 - Evaluar</v>
      </c>
    </row>
    <row r="736" spans="1:75">
      <c r="A736" s="780" t="str">
        <f>'Base de datos Rutas'!A734</f>
        <v>Occidente</v>
      </c>
      <c r="B736" s="781" t="str">
        <f>'Base de datos Rutas'!B734</f>
        <v>San Luis</v>
      </c>
      <c r="C736" s="781" t="str">
        <f>'Base de datos Rutas'!C734</f>
        <v>Planta San Luis</v>
      </c>
      <c r="D736" s="782">
        <f>IF(ISNUMBER('Base de datos Rutas'!D734),'Base de datos Rutas'!D734,"Sin código")</f>
        <v>916425</v>
      </c>
      <c r="E736" s="783" t="str">
        <f>'Base de datos Rutas'!F734</f>
        <v>Activa</v>
      </c>
      <c r="F736" s="784" t="str">
        <f>'Base de datos Rutas'!H734</f>
        <v>Sí</v>
      </c>
      <c r="G736" s="785">
        <f>IF(ISNUMBER('Base de datos Rutas'!BE734),'Base de datos Rutas'!BE734,"")</f>
        <v>86.041284403669707</v>
      </c>
      <c r="H736" s="786">
        <f>IF(ISNUMBER('Base de datos Rutas'!BH734),'Base de datos Rutas'!BH734,"")</f>
        <v>0.62536652982886398</v>
      </c>
      <c r="I736" s="788">
        <f>IFERROR(IF(OR(NOT(ISNUMBER('Base de datos Rutas'!O734)),N('Base de datos Rutas'!BK734)=0),"",'Base de datos Rutas'!O734/('Base de datos Rutas'!L734/'Base de datos Rutas'!BK734)),"")</f>
        <v>5112.2844036697252</v>
      </c>
      <c r="J736" s="788">
        <f>IFERROR(IF(OR(NOT(ISNUMBER('Base de datos Rutas'!N734)),N('Base de datos Rutas'!BK734)=0),"",'Base de datos Rutas'!N734/('Base de datos Rutas'!L734/'Base de datos Rutas'!BK734)),"")</f>
        <v>9492.5688073394504</v>
      </c>
      <c r="K736" s="788">
        <f>IFERROR(IF(OR(NOT(ISNUMBER('Base de datos Rutas'!J734)),N('Base de datos Rutas'!BK734)=0),"",'Base de datos Rutas'!J734/('Base de datos Rutas'!L734/'Base de datos Rutas'!BK734)),"")</f>
        <v>639.00052293577983</v>
      </c>
      <c r="L736" s="788">
        <f>IFERROR(IF(OR(NOT(ISNUMBER('Base de datos Rutas'!K734)),N('Base de datos Rutas'!BK734)=0),"",'Base de datos Rutas'!K734/('Base de datos Rutas'!L734/'Base de datos Rutas'!BK734)),"")</f>
        <v>41.835995770642207</v>
      </c>
      <c r="M736" s="787">
        <f>IF(ISNUMBER('Base de datos Rutas'!AX734),'Base de datos Rutas'!AX734,"")</f>
        <v>272.40578857629998</v>
      </c>
      <c r="N736" s="790">
        <f>IFERROR(INDEX('Hoja de apoyo v2'!B$17:B$20,MATCH($A736,'Hoja de apoyo v2'!$A$17:$A$20,0)),"")</f>
        <v>89.41621024641401</v>
      </c>
      <c r="O736" s="791">
        <f>IFERROR(INDEX('Hoja de apoyo v2'!C$17:C$20,MATCH($A736,'Hoja de apoyo v2'!$A$17:$A$20,0)),"")</f>
        <v>0.54706375874806301</v>
      </c>
      <c r="P736" s="793">
        <f>IFERROR(INDEX('Hoja de apoyo v2'!D$17:D$20,MATCH($A736,'Hoja de apoyo v2'!$A$17:$A$20,0)),"")</f>
        <v>11095.153935793827</v>
      </c>
      <c r="Q736" s="793">
        <f>IFERROR(INDEX('Hoja de apoyo v2'!E$17:E$20,MATCH($A736,'Hoja de apoyo v2'!$A$17:$A$20,0)),"")</f>
        <v>6982.3202019701848</v>
      </c>
      <c r="R736" s="793">
        <f>IFERROR(INDEX('Hoja de apoyo v2'!F$17:F$20,MATCH($A736,'Hoja de apoyo v2'!$A$17:$A$20,0)),"")</f>
        <v>448.09513474485743</v>
      </c>
      <c r="S736" s="793">
        <f>IFERROR(INDEX('Hoja de apoyo v2'!G$17:G$20,MATCH($A736,'Hoja de apoyo v2'!$A$17:$A$20,0)),"")</f>
        <v>83.406300904207839</v>
      </c>
      <c r="T736" s="792">
        <f>IFERROR(INDEX('Hoja de apoyo v2'!H$17:H$20,MATCH($A736,'Hoja de apoyo v2'!$A$17:$A$20,0)),"")</f>
        <v>378.97014028925349</v>
      </c>
      <c r="U736" s="794">
        <f t="shared" si="400"/>
        <v>0.96225599549070961</v>
      </c>
      <c r="V736" s="795">
        <f t="shared" si="401"/>
        <v>1.1431328064209449</v>
      </c>
      <c r="W736" s="795">
        <f t="shared" si="402"/>
        <v>0.46076732537951537</v>
      </c>
      <c r="X736" s="843">
        <f t="shared" si="403"/>
        <v>1.359514965335012</v>
      </c>
      <c r="Y736" s="843">
        <f t="shared" si="404"/>
        <v>1.4260376277006952</v>
      </c>
      <c r="Z736" s="843">
        <f t="shared" si="405"/>
        <v>0.50159274919398311</v>
      </c>
      <c r="AA736" s="843">
        <f t="shared" si="406"/>
        <v>0.71880541397900899</v>
      </c>
      <c r="AB736" s="796">
        <f t="shared" si="407"/>
        <v>3</v>
      </c>
      <c r="AC736" s="797">
        <f t="shared" si="408"/>
        <v>4</v>
      </c>
      <c r="AD736" s="797">
        <f t="shared" si="409"/>
        <v>1</v>
      </c>
      <c r="AE736" s="842">
        <f t="shared" si="410"/>
        <v>5</v>
      </c>
      <c r="AF736" s="842">
        <f t="shared" si="411"/>
        <v>5</v>
      </c>
      <c r="AG736" s="842">
        <f t="shared" si="412"/>
        <v>2</v>
      </c>
      <c r="AH736" s="842">
        <f t="shared" si="413"/>
        <v>2</v>
      </c>
      <c r="AI736" s="826" cm="1">
        <f t="array" ref="AI736">SUMPRODUCT(--ISNUMBER($U736:$AA736),$AB$3:$AH$3)</f>
        <v>1</v>
      </c>
      <c r="AJ736" s="829">
        <f t="shared" si="414"/>
        <v>48.191752355365139</v>
      </c>
      <c r="AK736" s="827" t="str">
        <f t="shared" si="415"/>
        <v>En desarrollo</v>
      </c>
      <c r="AL736" s="784" t="str">
        <f t="shared" si="416"/>
        <v>Alta</v>
      </c>
      <c r="AM736" s="799">
        <f>IF(ISNUMBER('Base de datos Rutas'!W734),'Base de datos Rutas'!W734,"")</f>
        <v>3641.9429094456564</v>
      </c>
      <c r="AN736" s="787">
        <f>IFERROR(SUMIFS('Base de datos Rutas'!$W$6:$W$794,'Base de datos Rutas'!$C$6:$C$794,$C736)/'Base de datos Rutas'!I734,"")</f>
        <v>3641.9429094456527</v>
      </c>
      <c r="AO736" s="800">
        <f>IFERROR('Base de datos Rutas'!X734*AN736/AM736,"")</f>
        <v>0.35679725951519109</v>
      </c>
      <c r="AP736" s="800">
        <f t="shared" si="417"/>
        <v>0.64320274048480885</v>
      </c>
      <c r="AQ736" s="789">
        <f>IFERROR(INDEX('Hoja de apoyo v2'!$J$17:$J$20,MATCH($A736,'Hoja de apoyo v2'!$A$17:$A$20,0)),"")</f>
        <v>0.64320274048480885</v>
      </c>
      <c r="AR736" s="789">
        <f t="shared" si="418"/>
        <v>0</v>
      </c>
      <c r="AS736" s="784" t="str">
        <f t="shared" si="419"/>
        <v>No</v>
      </c>
      <c r="AT736" s="801">
        <f>IF(ISNUMBER('Base de datos Rutas'!CK734),'Base de datos Rutas'!CK734,"")</f>
        <v>436</v>
      </c>
      <c r="AU736" s="802">
        <f>IF(ISNUMBER('Base de datos Rutas'!CL734),'Base de datos Rutas'!CL734,"")</f>
        <v>456.5</v>
      </c>
      <c r="AV736" s="802">
        <f>IF(ISNUMBER('Base de datos Rutas'!CM734),'Base de datos Rutas'!CM734,"")</f>
        <v>20.5</v>
      </c>
      <c r="AW736" s="802">
        <f>IF(ISNUMBER('Base de datos Rutas'!CN734),'Base de datos Rutas'!CN734,"")</f>
        <v>10.79</v>
      </c>
      <c r="AX736" s="802">
        <f>IF(ISNUMBER('Base de datos Rutas'!CO734),'Base de datos Rutas'!CO734,"")</f>
        <v>9.4499999999999993</v>
      </c>
      <c r="AY736" s="802">
        <f>IF(ISNUMBER('Base de datos Rutas'!CP734),'Base de datos Rutas'!CP734,"")</f>
        <v>-1.3399999999999999</v>
      </c>
      <c r="AZ736" s="802">
        <f>IF(ISNUMBER('Base de datos Rutas'!CQ734),'Base de datos Rutas'!CQ734,"")</f>
        <v>846.56</v>
      </c>
      <c r="BA736" s="802">
        <f>IF(ISNUMBER('Base de datos Rutas'!CR734),'Base de datos Rutas'!CR734,"")</f>
        <v>680.84</v>
      </c>
      <c r="BB736" s="803">
        <f>IF(ISNUMBER('Base de datos Rutas'!CS734),'Base de datos Rutas'!CS734,"")</f>
        <v>165.71999999999991</v>
      </c>
      <c r="BC736" s="804">
        <f t="shared" si="429"/>
        <v>1</v>
      </c>
      <c r="BD736" s="805" t="str">
        <f t="shared" si="430"/>
        <v>Saturada</v>
      </c>
      <c r="BE736" s="806">
        <f t="shared" si="431"/>
        <v>0.80424305424305431</v>
      </c>
      <c r="BF736" s="890">
        <f>IF(ISNUMBER('Base de datos Rutas'!CX734),'Base de datos Rutas'!CX734/100,"")</f>
        <v>0.612052840776245</v>
      </c>
      <c r="BG736" s="891">
        <f>IF(ISNUMBER('Base de datos Rutas'!CZ734),'Base de datos Rutas'!CZ734/100,"")</f>
        <v>0.61444938040682717</v>
      </c>
      <c r="BH736" s="892">
        <f>IF(ISNUMBER('Base de datos Rutas'!DA734),'Base de datos Rutas'!DA734,"")</f>
        <v>86.822703364627671</v>
      </c>
      <c r="BI736" s="893">
        <f>IF(ISNUMBER('Base de datos Rutas'!DC734),'Base de datos Rutas'!DC734,"")</f>
        <v>4.0753291737127535</v>
      </c>
      <c r="BJ736" s="805" t="str">
        <f t="shared" si="432"/>
        <v>Ruta (completo)</v>
      </c>
      <c r="BK736" s="783">
        <f t="shared" si="420"/>
        <v>3</v>
      </c>
      <c r="BL736" s="797">
        <f t="shared" si="421"/>
        <v>3</v>
      </c>
      <c r="BM736" s="797">
        <f t="shared" si="422"/>
        <v>2</v>
      </c>
      <c r="BN736" s="797">
        <f t="shared" si="423"/>
        <v>2</v>
      </c>
      <c r="BO736" s="798" cm="1">
        <f t="array" ref="BO736">SUMPRODUCT(--ISNUMBER($BF736:$BI736),$BK$3:$BN$3)</f>
        <v>1</v>
      </c>
      <c r="BP736" s="831">
        <f t="shared" si="433"/>
        <v>37.5</v>
      </c>
      <c r="BQ736" s="834" t="str">
        <f t="shared" si="434"/>
        <v>Medio</v>
      </c>
      <c r="BR736" s="836">
        <f t="shared" si="424"/>
        <v>61.143814266523854</v>
      </c>
      <c r="BS736" s="836">
        <f t="shared" si="425"/>
        <v>37.5</v>
      </c>
      <c r="BT736" s="837" t="str">
        <f t="shared" si="426"/>
        <v>P2</v>
      </c>
      <c r="BU736" s="807" t="str">
        <f t="shared" si="435"/>
        <v>Al tope</v>
      </c>
      <c r="BV736" s="807" t="str">
        <f t="shared" si="427"/>
        <v>Zona de bajo potencial</v>
      </c>
      <c r="BW736" s="808" t="str">
        <f t="shared" si="428"/>
        <v>P2 - Mantener</v>
      </c>
    </row>
    <row r="737" spans="1:75">
      <c r="A737" s="780" t="str">
        <f>'Base de datos Rutas'!A735</f>
        <v>Occidente</v>
      </c>
      <c r="B737" s="781" t="str">
        <f>'Base de datos Rutas'!B735</f>
        <v>San Luis</v>
      </c>
      <c r="C737" s="781" t="str">
        <f>'Base de datos Rutas'!C735</f>
        <v>Planta San Luis</v>
      </c>
      <c r="D737" s="782">
        <f>IF(ISNUMBER('Base de datos Rutas'!D735),'Base de datos Rutas'!D735,"Sin código")</f>
        <v>916427</v>
      </c>
      <c r="E737" s="783" t="str">
        <f>'Base de datos Rutas'!F735</f>
        <v>Activa</v>
      </c>
      <c r="F737" s="784" t="str">
        <f>'Base de datos Rutas'!H735</f>
        <v>Sí</v>
      </c>
      <c r="G737" s="785">
        <f>IF(ISNUMBER('Base de datos Rutas'!BE735),'Base de datos Rutas'!BE735,"")</f>
        <v>57.926773455377599</v>
      </c>
      <c r="H737" s="786">
        <f>IF(ISNUMBER('Base de datos Rutas'!BH735),'Base de datos Rutas'!BH735,"")</f>
        <v>0.56233704669352902</v>
      </c>
      <c r="I737" s="788">
        <f>IFERROR(IF(OR(NOT(ISNUMBER('Base de datos Rutas'!O735)),N('Base de datos Rutas'!BK735)=0),"",'Base de datos Rutas'!O735/('Base de datos Rutas'!L735/'Base de datos Rutas'!BK735)),"")</f>
        <v>6004.8466819221876</v>
      </c>
      <c r="J737" s="788">
        <f>IFERROR(IF(OR(NOT(ISNUMBER('Base de datos Rutas'!N735)),N('Base de datos Rutas'!BK735)=0),"",'Base de datos Rutas'!N735/('Base de datos Rutas'!L735/'Base de datos Rutas'!BK735)),"")</f>
        <v>6981.5583524027352</v>
      </c>
      <c r="K737" s="788">
        <f>IFERROR(IF(OR(NOT(ISNUMBER('Base de datos Rutas'!J735)),N('Base de datos Rutas'!BK735)=0),"",'Base de datos Rutas'!J735/('Base de datos Rutas'!L735/'Base de datos Rutas'!BK735)),"")</f>
        <v>471.03435057208168</v>
      </c>
      <c r="L737" s="788">
        <f>IFERROR(IF(OR(NOT(ISNUMBER('Base de datos Rutas'!K735)),N('Base de datos Rutas'!BK735)=0),"",'Base de datos Rutas'!K735/('Base de datos Rutas'!L735/'Base de datos Rutas'!BK735)),"")</f>
        <v>41.492199780320306</v>
      </c>
      <c r="M737" s="787">
        <f>IF(ISNUMBER('Base de datos Rutas'!AX735),'Base de datos Rutas'!AX735,"")</f>
        <v>398.66951527924101</v>
      </c>
      <c r="N737" s="790">
        <f>IFERROR(INDEX('Hoja de apoyo v2'!B$17:B$20,MATCH($A737,'Hoja de apoyo v2'!$A$17:$A$20,0)),"")</f>
        <v>89.41621024641401</v>
      </c>
      <c r="O737" s="791">
        <f>IFERROR(INDEX('Hoja de apoyo v2'!C$17:C$20,MATCH($A737,'Hoja de apoyo v2'!$A$17:$A$20,0)),"")</f>
        <v>0.54706375874806301</v>
      </c>
      <c r="P737" s="793">
        <f>IFERROR(INDEX('Hoja de apoyo v2'!D$17:D$20,MATCH($A737,'Hoja de apoyo v2'!$A$17:$A$20,0)),"")</f>
        <v>11095.153935793827</v>
      </c>
      <c r="Q737" s="793">
        <f>IFERROR(INDEX('Hoja de apoyo v2'!E$17:E$20,MATCH($A737,'Hoja de apoyo v2'!$A$17:$A$20,0)),"")</f>
        <v>6982.3202019701848</v>
      </c>
      <c r="R737" s="793">
        <f>IFERROR(INDEX('Hoja de apoyo v2'!F$17:F$20,MATCH($A737,'Hoja de apoyo v2'!$A$17:$A$20,0)),"")</f>
        <v>448.09513474485743</v>
      </c>
      <c r="S737" s="793">
        <f>IFERROR(INDEX('Hoja de apoyo v2'!G$17:G$20,MATCH($A737,'Hoja de apoyo v2'!$A$17:$A$20,0)),"")</f>
        <v>83.406300904207839</v>
      </c>
      <c r="T737" s="792">
        <f>IFERROR(INDEX('Hoja de apoyo v2'!H$17:H$20,MATCH($A737,'Hoja de apoyo v2'!$A$17:$A$20,0)),"")</f>
        <v>378.97014028925349</v>
      </c>
      <c r="U737" s="794">
        <f t="shared" si="400"/>
        <v>0.64783301926733938</v>
      </c>
      <c r="V737" s="795">
        <f t="shared" si="401"/>
        <v>1.0279186615841971</v>
      </c>
      <c r="W737" s="795">
        <f t="shared" si="402"/>
        <v>0.54121346280289873</v>
      </c>
      <c r="X737" s="843">
        <f t="shared" si="403"/>
        <v>0.99989088876685506</v>
      </c>
      <c r="Y737" s="843">
        <f t="shared" si="404"/>
        <v>1.051192735757521</v>
      </c>
      <c r="Z737" s="843">
        <f t="shared" si="405"/>
        <v>0.49747080652784387</v>
      </c>
      <c r="AA737" s="843">
        <f t="shared" si="406"/>
        <v>1.0519813380942142</v>
      </c>
      <c r="AB737" s="796">
        <f t="shared" si="407"/>
        <v>2</v>
      </c>
      <c r="AC737" s="797">
        <f t="shared" si="408"/>
        <v>4</v>
      </c>
      <c r="AD737" s="797">
        <f t="shared" si="409"/>
        <v>2</v>
      </c>
      <c r="AE737" s="842">
        <f t="shared" si="410"/>
        <v>3</v>
      </c>
      <c r="AF737" s="842">
        <f t="shared" si="411"/>
        <v>4</v>
      </c>
      <c r="AG737" s="842">
        <f t="shared" si="412"/>
        <v>1</v>
      </c>
      <c r="AH737" s="842">
        <f t="shared" si="413"/>
        <v>4</v>
      </c>
      <c r="AI737" s="826" cm="1">
        <f t="array" ref="AI737">SUMPRODUCT(--ISNUMBER($U737:$AA737),$AB$3:$AH$3)</f>
        <v>1</v>
      </c>
      <c r="AJ737" s="829">
        <f t="shared" si="414"/>
        <v>39.127736754672696</v>
      </c>
      <c r="AK737" s="827" t="str">
        <f t="shared" si="415"/>
        <v>Inmadura</v>
      </c>
      <c r="AL737" s="784" t="str">
        <f t="shared" si="416"/>
        <v>Alta</v>
      </c>
      <c r="AM737" s="799">
        <f>IF(ISNUMBER('Base de datos Rutas'!W735),'Base de datos Rutas'!W735,"")</f>
        <v>3641.9429094456564</v>
      </c>
      <c r="AN737" s="787">
        <f>IFERROR(SUMIFS('Base de datos Rutas'!$W$6:$W$794,'Base de datos Rutas'!$C$6:$C$794,$C737)/'Base de datos Rutas'!I735,"")</f>
        <v>3641.9429094456527</v>
      </c>
      <c r="AO737" s="800">
        <f>IFERROR('Base de datos Rutas'!X735*AN737/AM737,"")</f>
        <v>0.35679725951519109</v>
      </c>
      <c r="AP737" s="800">
        <f t="shared" si="417"/>
        <v>0.64320274048480885</v>
      </c>
      <c r="AQ737" s="789">
        <f>IFERROR(INDEX('Hoja de apoyo v2'!$J$17:$J$20,MATCH($A737,'Hoja de apoyo v2'!$A$17:$A$20,0)),"")</f>
        <v>0.64320274048480885</v>
      </c>
      <c r="AR737" s="789">
        <f t="shared" si="418"/>
        <v>0</v>
      </c>
      <c r="AS737" s="784" t="str">
        <f t="shared" si="419"/>
        <v>No</v>
      </c>
      <c r="AT737" s="801">
        <f>IF(ISNUMBER('Base de datos Rutas'!CK735),'Base de datos Rutas'!CK735,"")</f>
        <v>306</v>
      </c>
      <c r="AU737" s="802">
        <f>IF(ISNUMBER('Base de datos Rutas'!CL735),'Base de datos Rutas'!CL735,"")</f>
        <v>382.13</v>
      </c>
      <c r="AV737" s="802">
        <f>IF(ISNUMBER('Base de datos Rutas'!CM735),'Base de datos Rutas'!CM735,"")</f>
        <v>76.13</v>
      </c>
      <c r="AW737" s="802">
        <f>IF(ISNUMBER('Base de datos Rutas'!CN735),'Base de datos Rutas'!CN735,"")</f>
        <v>7.42</v>
      </c>
      <c r="AX737" s="802">
        <f>IF(ISNUMBER('Base de datos Rutas'!CO735),'Base de datos Rutas'!CO735,"")</f>
        <v>9.4499999999999993</v>
      </c>
      <c r="AY737" s="802">
        <f>IF(ISNUMBER('Base de datos Rutas'!CP735),'Base de datos Rutas'!CP735,"")</f>
        <v>2.0299999999999994</v>
      </c>
      <c r="AZ737" s="802">
        <f>IF(ISNUMBER('Base de datos Rutas'!CQ735),'Base de datos Rutas'!CQ735,"")</f>
        <v>846.56</v>
      </c>
      <c r="BA737" s="802">
        <f>IF(ISNUMBER('Base de datos Rutas'!CR735),'Base de datos Rutas'!CR735,"")</f>
        <v>512.53</v>
      </c>
      <c r="BB737" s="803">
        <f>IF(ISNUMBER('Base de datos Rutas'!CS735),'Base de datos Rutas'!CS735,"")</f>
        <v>334.03</v>
      </c>
      <c r="BC737" s="804">
        <f t="shared" si="429"/>
        <v>0</v>
      </c>
      <c r="BD737" s="805" t="str">
        <f t="shared" si="430"/>
        <v>No saturada</v>
      </c>
      <c r="BE737" s="806">
        <f t="shared" si="431"/>
        <v>0.60542666792666788</v>
      </c>
      <c r="BF737" s="890">
        <f>IF(ISNUMBER('Base de datos Rutas'!CX735),'Base de datos Rutas'!CX735/100,"")</f>
        <v>0.9671994829814734</v>
      </c>
      <c r="BG737" s="891">
        <f>IF(ISNUMBER('Base de datos Rutas'!CZ735),'Base de datos Rutas'!CZ735/100,"")</f>
        <v>1</v>
      </c>
      <c r="BH737" s="892">
        <f>IF(ISNUMBER('Base de datos Rutas'!DA735),'Base de datos Rutas'!DA735,"")</f>
        <v>585.28019339793832</v>
      </c>
      <c r="BI737" s="893">
        <f>IF(ISNUMBER('Base de datos Rutas'!DC735),'Base de datos Rutas'!DC735,"")</f>
        <v>22.877007087642305</v>
      </c>
      <c r="BJ737" s="805" t="str">
        <f t="shared" si="432"/>
        <v>Ruta (completo)</v>
      </c>
      <c r="BK737" s="783">
        <f t="shared" si="420"/>
        <v>5</v>
      </c>
      <c r="BL737" s="797">
        <f t="shared" si="421"/>
        <v>4</v>
      </c>
      <c r="BM737" s="797">
        <f t="shared" si="422"/>
        <v>5</v>
      </c>
      <c r="BN737" s="797">
        <f t="shared" si="423"/>
        <v>5</v>
      </c>
      <c r="BO737" s="798" cm="1">
        <f t="array" ref="BO737">SUMPRODUCT(--ISNUMBER($BF737:$BI737),$BK$3:$BN$3)</f>
        <v>1</v>
      </c>
      <c r="BP737" s="831">
        <f t="shared" si="433"/>
        <v>93.75</v>
      </c>
      <c r="BQ737" s="834" t="str">
        <f t="shared" si="434"/>
        <v>Alto</v>
      </c>
      <c r="BR737" s="836">
        <f t="shared" si="424"/>
        <v>29.345802566004522</v>
      </c>
      <c r="BS737" s="836">
        <f t="shared" si="425"/>
        <v>93.75</v>
      </c>
      <c r="BT737" s="837" t="str">
        <f t="shared" si="426"/>
        <v>P1</v>
      </c>
      <c r="BU737" s="807" t="str">
        <f t="shared" si="435"/>
        <v>Con espacio</v>
      </c>
      <c r="BV737" s="807" t="str">
        <f t="shared" si="427"/>
        <v>Zona atractiva</v>
      </c>
      <c r="BW737" s="808" t="str">
        <f t="shared" si="428"/>
        <v>P1 - Ampliar cobertura</v>
      </c>
    </row>
    <row r="738" spans="1:75">
      <c r="A738" s="780" t="str">
        <f>'Base de datos Rutas'!A736</f>
        <v>Occidente</v>
      </c>
      <c r="B738" s="781" t="str">
        <f>'Base de datos Rutas'!B736</f>
        <v>San Luis</v>
      </c>
      <c r="C738" s="781" t="str">
        <f>'Base de datos Rutas'!C736</f>
        <v>Planta San Luis</v>
      </c>
      <c r="D738" s="782">
        <f>IF(ISNUMBER('Base de datos Rutas'!D736),'Base de datos Rutas'!D736,"Sin código")</f>
        <v>916428</v>
      </c>
      <c r="E738" s="783" t="str">
        <f>'Base de datos Rutas'!F736</f>
        <v>Activa</v>
      </c>
      <c r="F738" s="784" t="str">
        <f>'Base de datos Rutas'!H736</f>
        <v>Sí</v>
      </c>
      <c r="G738" s="785">
        <f>IF(ISNUMBER('Base de datos Rutas'!BE736),'Base de datos Rutas'!BE736,"")</f>
        <v>87.0416666666667</v>
      </c>
      <c r="H738" s="786">
        <f>IF(ISNUMBER('Base de datos Rutas'!BH736),'Base de datos Rutas'!BH736,"")</f>
        <v>0.442556247008138</v>
      </c>
      <c r="I738" s="788">
        <f>IFERROR(IF(OR(NOT(ISNUMBER('Base de datos Rutas'!O736)),N('Base de datos Rutas'!BK736)=0),"",'Base de datos Rutas'!O736/('Base de datos Rutas'!L736/'Base de datos Rutas'!BK736)),"")</f>
        <v>4198.3263888888832</v>
      </c>
      <c r="J738" s="788">
        <f>IFERROR(IF(OR(NOT(ISNUMBER('Base de datos Rutas'!N736)),N('Base de datos Rutas'!BK736)=0),"",'Base de datos Rutas'!N736/('Base de datos Rutas'!L736/'Base de datos Rutas'!BK736)),"")</f>
        <v>6914.9351851851752</v>
      </c>
      <c r="K738" s="788">
        <f>IFERROR(IF(OR(NOT(ISNUMBER('Base de datos Rutas'!J736)),N('Base de datos Rutas'!BK736)=0),"",'Base de datos Rutas'!J736/('Base de datos Rutas'!L736/'Base de datos Rutas'!BK736)),"")</f>
        <v>470.09363333333266</v>
      </c>
      <c r="L738" s="788">
        <f>IFERROR(IF(OR(NOT(ISNUMBER('Base de datos Rutas'!K736)),N('Base de datos Rutas'!BK736)=0),"",'Base de datos Rutas'!K736/('Base de datos Rutas'!L736/'Base de datos Rutas'!BK736)),"")</f>
        <v>39.213181594907354</v>
      </c>
      <c r="M738" s="787">
        <f>IF(ISNUMBER('Base de datos Rutas'!AX736),'Base de datos Rutas'!AX736,"")</f>
        <v>288.50015083228197</v>
      </c>
      <c r="N738" s="790">
        <f>IFERROR(INDEX('Hoja de apoyo v2'!B$17:B$20,MATCH($A738,'Hoja de apoyo v2'!$A$17:$A$20,0)),"")</f>
        <v>89.41621024641401</v>
      </c>
      <c r="O738" s="791">
        <f>IFERROR(INDEX('Hoja de apoyo v2'!C$17:C$20,MATCH($A738,'Hoja de apoyo v2'!$A$17:$A$20,0)),"")</f>
        <v>0.54706375874806301</v>
      </c>
      <c r="P738" s="793">
        <f>IFERROR(INDEX('Hoja de apoyo v2'!D$17:D$20,MATCH($A738,'Hoja de apoyo v2'!$A$17:$A$20,0)),"")</f>
        <v>11095.153935793827</v>
      </c>
      <c r="Q738" s="793">
        <f>IFERROR(INDEX('Hoja de apoyo v2'!E$17:E$20,MATCH($A738,'Hoja de apoyo v2'!$A$17:$A$20,0)),"")</f>
        <v>6982.3202019701848</v>
      </c>
      <c r="R738" s="793">
        <f>IFERROR(INDEX('Hoja de apoyo v2'!F$17:F$20,MATCH($A738,'Hoja de apoyo v2'!$A$17:$A$20,0)),"")</f>
        <v>448.09513474485743</v>
      </c>
      <c r="S738" s="793">
        <f>IFERROR(INDEX('Hoja de apoyo v2'!G$17:G$20,MATCH($A738,'Hoja de apoyo v2'!$A$17:$A$20,0)),"")</f>
        <v>83.406300904207839</v>
      </c>
      <c r="T738" s="792">
        <f>IFERROR(INDEX('Hoja de apoyo v2'!H$17:H$20,MATCH($A738,'Hoja de apoyo v2'!$A$17:$A$20,0)),"")</f>
        <v>378.97014028925349</v>
      </c>
      <c r="U738" s="794">
        <f t="shared" si="400"/>
        <v>0.97344392506455457</v>
      </c>
      <c r="V738" s="795">
        <f t="shared" si="401"/>
        <v>0.80896648686967143</v>
      </c>
      <c r="W738" s="795">
        <f t="shared" si="402"/>
        <v>0.37839280222555149</v>
      </c>
      <c r="X738" s="843">
        <f t="shared" si="403"/>
        <v>0.99034919413091427</v>
      </c>
      <c r="Y738" s="843">
        <f t="shared" si="404"/>
        <v>1.0490933663026738</v>
      </c>
      <c r="Z738" s="843">
        <f t="shared" si="405"/>
        <v>0.47014651375012667</v>
      </c>
      <c r="AA738" s="843">
        <f t="shared" si="406"/>
        <v>0.76127409566379234</v>
      </c>
      <c r="AB738" s="796">
        <f t="shared" si="407"/>
        <v>3</v>
      </c>
      <c r="AC738" s="797">
        <f t="shared" si="408"/>
        <v>3</v>
      </c>
      <c r="AD738" s="797">
        <f t="shared" si="409"/>
        <v>1</v>
      </c>
      <c r="AE738" s="842">
        <f t="shared" si="410"/>
        <v>3</v>
      </c>
      <c r="AF738" s="842">
        <f t="shared" si="411"/>
        <v>4</v>
      </c>
      <c r="AG738" s="842">
        <f t="shared" si="412"/>
        <v>1</v>
      </c>
      <c r="AH738" s="842">
        <f t="shared" si="413"/>
        <v>3</v>
      </c>
      <c r="AI738" s="826" cm="1">
        <f t="array" ref="AI738">SUMPRODUCT(--ISNUMBER($U738:$AA738),$AB$3:$AH$3)</f>
        <v>1</v>
      </c>
      <c r="AJ738" s="829">
        <f t="shared" si="414"/>
        <v>33.919568037264355</v>
      </c>
      <c r="AK738" s="827" t="str">
        <f t="shared" si="415"/>
        <v>Inmadura</v>
      </c>
      <c r="AL738" s="784" t="str">
        <f t="shared" si="416"/>
        <v>Alta</v>
      </c>
      <c r="AM738" s="799">
        <f>IF(ISNUMBER('Base de datos Rutas'!W736),'Base de datos Rutas'!W736,"")</f>
        <v>3641.9429094456564</v>
      </c>
      <c r="AN738" s="787">
        <f>IFERROR(SUMIFS('Base de datos Rutas'!$W$6:$W$794,'Base de datos Rutas'!$C$6:$C$794,$C738)/'Base de datos Rutas'!I736,"")</f>
        <v>3641.9429094456527</v>
      </c>
      <c r="AO738" s="800">
        <f>IFERROR('Base de datos Rutas'!X736*AN738/AM738,"")</f>
        <v>0.35679725951519109</v>
      </c>
      <c r="AP738" s="800">
        <f t="shared" si="417"/>
        <v>0.64320274048480885</v>
      </c>
      <c r="AQ738" s="789">
        <f>IFERROR(INDEX('Hoja de apoyo v2'!$J$17:$J$20,MATCH($A738,'Hoja de apoyo v2'!$A$17:$A$20,0)),"")</f>
        <v>0.64320274048480885</v>
      </c>
      <c r="AR738" s="789">
        <f t="shared" si="418"/>
        <v>0</v>
      </c>
      <c r="AS738" s="784" t="str">
        <f t="shared" si="419"/>
        <v>No</v>
      </c>
      <c r="AT738" s="801">
        <f>IF(ISNUMBER('Base de datos Rutas'!CK736),'Base de datos Rutas'!CK736,"")</f>
        <v>398</v>
      </c>
      <c r="AU738" s="802">
        <f>IF(ISNUMBER('Base de datos Rutas'!CL736),'Base de datos Rutas'!CL736,"")</f>
        <v>421.46</v>
      </c>
      <c r="AV738" s="802">
        <f>IF(ISNUMBER('Base de datos Rutas'!CM736),'Base de datos Rutas'!CM736,"")</f>
        <v>23.45999999999998</v>
      </c>
      <c r="AW738" s="802">
        <f>IF(ISNUMBER('Base de datos Rutas'!CN736),'Base de datos Rutas'!CN736,"")</f>
        <v>9.69</v>
      </c>
      <c r="AX738" s="802">
        <f>IF(ISNUMBER('Base de datos Rutas'!CO736),'Base de datos Rutas'!CO736,"")</f>
        <v>9.4499999999999993</v>
      </c>
      <c r="AY738" s="802">
        <f>IF(ISNUMBER('Base de datos Rutas'!CP736),'Base de datos Rutas'!CP736,"")</f>
        <v>-0.24000000000000021</v>
      </c>
      <c r="AZ738" s="802">
        <f>IF(ISNUMBER('Base de datos Rutas'!CQ736),'Base de datos Rutas'!CQ736,"")</f>
        <v>846.56</v>
      </c>
      <c r="BA738" s="802">
        <f>IF(ISNUMBER('Base de datos Rutas'!CR736),'Base de datos Rutas'!CR736,"")</f>
        <v>509.31</v>
      </c>
      <c r="BB738" s="803">
        <f>IF(ISNUMBER('Base de datos Rutas'!CS736),'Base de datos Rutas'!CS736,"")</f>
        <v>337.24999999999994</v>
      </c>
      <c r="BC738" s="804">
        <f t="shared" si="429"/>
        <v>1</v>
      </c>
      <c r="BD738" s="805" t="str">
        <f t="shared" si="430"/>
        <v>Saturada</v>
      </c>
      <c r="BE738" s="806">
        <f t="shared" si="431"/>
        <v>0.60162303912303916</v>
      </c>
      <c r="BF738" s="890">
        <f>IF(ISNUMBER('Base de datos Rutas'!CX736),'Base de datos Rutas'!CX736/100,"")</f>
        <v>0.24217985452942473</v>
      </c>
      <c r="BG738" s="891">
        <f>IF(ISNUMBER('Base de datos Rutas'!CZ736),'Base de datos Rutas'!CZ736/100,"")</f>
        <v>0.24476526338990523</v>
      </c>
      <c r="BH738" s="892">
        <f>IF(ISNUMBER('Base de datos Rutas'!DA736),'Base de datos Rutas'!DA736,"")</f>
        <v>169.67485100236769</v>
      </c>
      <c r="BI738" s="893">
        <f>IF(ISNUMBER('Base de datos Rutas'!DC736),'Base de datos Rutas'!DC736,"")</f>
        <v>7.5492467128187437</v>
      </c>
      <c r="BJ738" s="805" t="str">
        <f t="shared" si="432"/>
        <v>Ruta (completo)</v>
      </c>
      <c r="BK738" s="783">
        <f t="shared" si="420"/>
        <v>1</v>
      </c>
      <c r="BL738" s="797">
        <f t="shared" si="421"/>
        <v>1</v>
      </c>
      <c r="BM738" s="797">
        <f t="shared" si="422"/>
        <v>3</v>
      </c>
      <c r="BN738" s="797">
        <f t="shared" si="423"/>
        <v>3</v>
      </c>
      <c r="BO738" s="798" cm="1">
        <f t="array" ref="BO738">SUMPRODUCT(--ISNUMBER($BF738:$BI738),$BK$3:$BN$3)</f>
        <v>1</v>
      </c>
      <c r="BP738" s="831">
        <f t="shared" si="433"/>
        <v>25</v>
      </c>
      <c r="BQ738" s="834" t="str">
        <f t="shared" si="434"/>
        <v>Medio</v>
      </c>
      <c r="BR738" s="836">
        <f t="shared" si="424"/>
        <v>50.439676027948266</v>
      </c>
      <c r="BS738" s="836">
        <f t="shared" si="425"/>
        <v>25</v>
      </c>
      <c r="BT738" s="837" t="str">
        <f t="shared" si="426"/>
        <v>P2</v>
      </c>
      <c r="BU738" s="807" t="str">
        <f t="shared" si="435"/>
        <v>Al tope</v>
      </c>
      <c r="BV738" s="807" t="str">
        <f t="shared" si="427"/>
        <v>Zona de bajo potencial</v>
      </c>
      <c r="BW738" s="808" t="str">
        <f t="shared" si="428"/>
        <v>P2 - Mantener</v>
      </c>
    </row>
    <row r="739" spans="1:75">
      <c r="A739" s="780" t="str">
        <f>'Base de datos Rutas'!A737</f>
        <v>Occidente</v>
      </c>
      <c r="B739" s="781" t="str">
        <f>'Base de datos Rutas'!B737</f>
        <v>San Luis</v>
      </c>
      <c r="C739" s="781" t="str">
        <f>'Base de datos Rutas'!C737</f>
        <v>Planta San Luis</v>
      </c>
      <c r="D739" s="782">
        <f>IF(ISNUMBER('Base de datos Rutas'!D737),'Base de datos Rutas'!D737,"Sin código")</f>
        <v>916429</v>
      </c>
      <c r="E739" s="783" t="str">
        <f>'Base de datos Rutas'!F737</f>
        <v>Activa</v>
      </c>
      <c r="F739" s="784" t="str">
        <f>'Base de datos Rutas'!H737</f>
        <v>Sí</v>
      </c>
      <c r="G739" s="785">
        <f>IF(ISNUMBER('Base de datos Rutas'!BE737),'Base de datos Rutas'!BE737,"")</f>
        <v>59.901376146788998</v>
      </c>
      <c r="H739" s="786">
        <f>IF(ISNUMBER('Base de datos Rutas'!BH737),'Base de datos Rutas'!BH737,"")</f>
        <v>0.60795650342688701</v>
      </c>
      <c r="I739" s="788">
        <f>IFERROR(IF(OR(NOT(ISNUMBER('Base de datos Rutas'!O737)),N('Base de datos Rutas'!BK737)=0),"",'Base de datos Rutas'!O737/('Base de datos Rutas'!L737/'Base de datos Rutas'!BK737)),"")</f>
        <v>5288.038990825683</v>
      </c>
      <c r="J739" s="788">
        <f>IFERROR(IF(OR(NOT(ISNUMBER('Base de datos Rutas'!N737)),N('Base de datos Rutas'!BK737)=0),"",'Base de datos Rutas'!N737/('Base de datos Rutas'!L737/'Base de datos Rutas'!BK737)),"")</f>
        <v>6066.0756880733879</v>
      </c>
      <c r="K739" s="788">
        <f>IFERROR(IF(OR(NOT(ISNUMBER('Base de datos Rutas'!J737)),N('Base de datos Rutas'!BK737)=0),"",'Base de datos Rutas'!J737/('Base de datos Rutas'!L737/'Base de datos Rutas'!BK737)),"")</f>
        <v>409.32550091743076</v>
      </c>
      <c r="L739" s="788">
        <f>IFERROR(IF(OR(NOT(ISNUMBER('Base de datos Rutas'!K737)),N('Base de datos Rutas'!BK737)=0),"",'Base de datos Rutas'!K737/('Base de datos Rutas'!L737/'Base de datos Rutas'!BK737)),"")</f>
        <v>42.20581805275225</v>
      </c>
      <c r="M739" s="787">
        <f>IF(ISNUMBER('Base de datos Rutas'!AX737),'Base de datos Rutas'!AX737,"")</f>
        <v>311.776953646555</v>
      </c>
      <c r="N739" s="790">
        <f>IFERROR(INDEX('Hoja de apoyo v2'!B$17:B$20,MATCH($A739,'Hoja de apoyo v2'!$A$17:$A$20,0)),"")</f>
        <v>89.41621024641401</v>
      </c>
      <c r="O739" s="791">
        <f>IFERROR(INDEX('Hoja de apoyo v2'!C$17:C$20,MATCH($A739,'Hoja de apoyo v2'!$A$17:$A$20,0)),"")</f>
        <v>0.54706375874806301</v>
      </c>
      <c r="P739" s="793">
        <f>IFERROR(INDEX('Hoja de apoyo v2'!D$17:D$20,MATCH($A739,'Hoja de apoyo v2'!$A$17:$A$20,0)),"")</f>
        <v>11095.153935793827</v>
      </c>
      <c r="Q739" s="793">
        <f>IFERROR(INDEX('Hoja de apoyo v2'!E$17:E$20,MATCH($A739,'Hoja de apoyo v2'!$A$17:$A$20,0)),"")</f>
        <v>6982.3202019701848</v>
      </c>
      <c r="R739" s="793">
        <f>IFERROR(INDEX('Hoja de apoyo v2'!F$17:F$20,MATCH($A739,'Hoja de apoyo v2'!$A$17:$A$20,0)),"")</f>
        <v>448.09513474485743</v>
      </c>
      <c r="S739" s="793">
        <f>IFERROR(INDEX('Hoja de apoyo v2'!G$17:G$20,MATCH($A739,'Hoja de apoyo v2'!$A$17:$A$20,0)),"")</f>
        <v>83.406300904207839</v>
      </c>
      <c r="T739" s="792">
        <f>IFERROR(INDEX('Hoja de apoyo v2'!H$17:H$20,MATCH($A739,'Hoja de apoyo v2'!$A$17:$A$20,0)),"")</f>
        <v>378.97014028925349</v>
      </c>
      <c r="U739" s="794">
        <f t="shared" si="400"/>
        <v>0.66991629349658455</v>
      </c>
      <c r="V739" s="795">
        <f t="shared" si="401"/>
        <v>1.1113083140769093</v>
      </c>
      <c r="W739" s="795">
        <f t="shared" si="402"/>
        <v>0.476607987723907</v>
      </c>
      <c r="X739" s="843">
        <f t="shared" si="403"/>
        <v>0.86877649729694972</v>
      </c>
      <c r="Y739" s="843">
        <f t="shared" si="404"/>
        <v>0.91347901188549641</v>
      </c>
      <c r="Z739" s="843">
        <f t="shared" si="405"/>
        <v>0.50602673413397925</v>
      </c>
      <c r="AA739" s="843">
        <f t="shared" si="406"/>
        <v>0.82269530102975263</v>
      </c>
      <c r="AB739" s="796">
        <f t="shared" si="407"/>
        <v>2</v>
      </c>
      <c r="AC739" s="797">
        <f t="shared" si="408"/>
        <v>4</v>
      </c>
      <c r="AD739" s="797">
        <f t="shared" si="409"/>
        <v>1</v>
      </c>
      <c r="AE739" s="842">
        <f t="shared" si="410"/>
        <v>3</v>
      </c>
      <c r="AF739" s="842">
        <f t="shared" si="411"/>
        <v>3</v>
      </c>
      <c r="AG739" s="842">
        <f t="shared" si="412"/>
        <v>2</v>
      </c>
      <c r="AH739" s="842">
        <f t="shared" si="413"/>
        <v>3</v>
      </c>
      <c r="AI739" s="826" cm="1">
        <f t="array" ref="AI739">SUMPRODUCT(--ISNUMBER($U739:$AA739),$AB$3:$AH$3)</f>
        <v>1</v>
      </c>
      <c r="AJ739" s="829">
        <f t="shared" si="414"/>
        <v>33.231859701037983</v>
      </c>
      <c r="AK739" s="827" t="str">
        <f t="shared" si="415"/>
        <v>Inmadura</v>
      </c>
      <c r="AL739" s="784" t="str">
        <f t="shared" si="416"/>
        <v>Alta</v>
      </c>
      <c r="AM739" s="799">
        <f>IF(ISNUMBER('Base de datos Rutas'!W737),'Base de datos Rutas'!W737,"")</f>
        <v>3641.9429094456564</v>
      </c>
      <c r="AN739" s="787">
        <f>IFERROR(SUMIFS('Base de datos Rutas'!$W$6:$W$794,'Base de datos Rutas'!$C$6:$C$794,$C739)/'Base de datos Rutas'!I737,"")</f>
        <v>3641.9429094456527</v>
      </c>
      <c r="AO739" s="800">
        <f>IFERROR('Base de datos Rutas'!X737*AN739/AM739,"")</f>
        <v>0.35679725951519109</v>
      </c>
      <c r="AP739" s="800">
        <f t="shared" si="417"/>
        <v>0.64320274048480885</v>
      </c>
      <c r="AQ739" s="789">
        <f>IFERROR(INDEX('Hoja de apoyo v2'!$J$17:$J$20,MATCH($A739,'Hoja de apoyo v2'!$A$17:$A$20,0)),"")</f>
        <v>0.64320274048480885</v>
      </c>
      <c r="AR739" s="789">
        <f t="shared" si="418"/>
        <v>0</v>
      </c>
      <c r="AS739" s="784" t="str">
        <f t="shared" si="419"/>
        <v>No</v>
      </c>
      <c r="AT739" s="801">
        <f>IF(ISNUMBER('Base de datos Rutas'!CK737),'Base de datos Rutas'!CK737,"")</f>
        <v>331</v>
      </c>
      <c r="AU739" s="802">
        <f>IF(ISNUMBER('Base de datos Rutas'!CL737),'Base de datos Rutas'!CL737,"")</f>
        <v>331</v>
      </c>
      <c r="AV739" s="802">
        <f>IF(ISNUMBER('Base de datos Rutas'!CM737),'Base de datos Rutas'!CM737,"")</f>
        <v>0</v>
      </c>
      <c r="AW739" s="802">
        <f>IF(ISNUMBER('Base de datos Rutas'!CN737),'Base de datos Rutas'!CN737,"")</f>
        <v>9.7799999999999994</v>
      </c>
      <c r="AX739" s="802">
        <f>IF(ISNUMBER('Base de datos Rutas'!CO737),'Base de datos Rutas'!CO737,"")</f>
        <v>9.4499999999999993</v>
      </c>
      <c r="AY739" s="802">
        <f>IF(ISNUMBER('Base de datos Rutas'!CP737),'Base de datos Rutas'!CP737,"")</f>
        <v>-0.33000000000000007</v>
      </c>
      <c r="AZ739" s="802">
        <f>IF(ISNUMBER('Base de datos Rutas'!CQ737),'Base de datos Rutas'!CQ737,"")</f>
        <v>846.56</v>
      </c>
      <c r="BA739" s="802">
        <f>IF(ISNUMBER('Base de datos Rutas'!CR737),'Base de datos Rutas'!CR737,"")</f>
        <v>451.53</v>
      </c>
      <c r="BB739" s="803">
        <f>IF(ISNUMBER('Base de datos Rutas'!CS737),'Base de datos Rutas'!CS737,"")</f>
        <v>395.03</v>
      </c>
      <c r="BC739" s="804">
        <f t="shared" si="429"/>
        <v>2</v>
      </c>
      <c r="BD739" s="805" t="str">
        <f t="shared" si="430"/>
        <v>Saturada</v>
      </c>
      <c r="BE739" s="806">
        <f t="shared" si="431"/>
        <v>0.53337034587034582</v>
      </c>
      <c r="BF739" s="890">
        <f>IF(ISNUMBER('Base de datos Rutas'!CX737),'Base de datos Rutas'!CX737/100,"")</f>
        <v>0.10295529713005441</v>
      </c>
      <c r="BG739" s="891">
        <f>IF(ISNUMBER('Base de datos Rutas'!CZ737),'Base de datos Rutas'!CZ737/100,"")</f>
        <v>0.10295529713005441</v>
      </c>
      <c r="BH739" s="892">
        <f>IF(ISNUMBER('Base de datos Rutas'!DA737),'Base de datos Rutas'!DA737,"")</f>
        <v>33.068845620399017</v>
      </c>
      <c r="BI739" s="893">
        <f>IF(ISNUMBER('Base de datos Rutas'!DC737),'Base de datos Rutas'!DC737,"")</f>
        <v>1.3096671289875175</v>
      </c>
      <c r="BJ739" s="805" t="str">
        <f t="shared" si="432"/>
        <v>Ruta (completo)</v>
      </c>
      <c r="BK739" s="783">
        <f t="shared" si="420"/>
        <v>1</v>
      </c>
      <c r="BL739" s="797">
        <f t="shared" si="421"/>
        <v>1</v>
      </c>
      <c r="BM739" s="797">
        <f t="shared" si="422"/>
        <v>1</v>
      </c>
      <c r="BN739" s="797">
        <f t="shared" si="423"/>
        <v>1</v>
      </c>
      <c r="BO739" s="798" cm="1">
        <f t="array" ref="BO739">SUMPRODUCT(--ISNUMBER($BF739:$BI739),$BK$3:$BN$3)</f>
        <v>1</v>
      </c>
      <c r="BP739" s="831">
        <f t="shared" si="433"/>
        <v>0</v>
      </c>
      <c r="BQ739" s="834" t="str">
        <f t="shared" si="434"/>
        <v>Bajo</v>
      </c>
      <c r="BR739" s="836">
        <f t="shared" si="424"/>
        <v>49.923894775778486</v>
      </c>
      <c r="BS739" s="836">
        <f t="shared" si="425"/>
        <v>0</v>
      </c>
      <c r="BT739" s="837" t="str">
        <f t="shared" si="426"/>
        <v>P2</v>
      </c>
      <c r="BU739" s="807" t="str">
        <f t="shared" si="435"/>
        <v>Al tope</v>
      </c>
      <c r="BV739" s="807" t="str">
        <f t="shared" si="427"/>
        <v>Zona de bajo potencial</v>
      </c>
      <c r="BW739" s="808" t="str">
        <f t="shared" si="428"/>
        <v>P2 - Mantener</v>
      </c>
    </row>
    <row r="740" spans="1:75">
      <c r="A740" s="780" t="str">
        <f>'Base de datos Rutas'!A738</f>
        <v>Occidente</v>
      </c>
      <c r="B740" s="781" t="str">
        <f>'Base de datos Rutas'!B738</f>
        <v>San Luis</v>
      </c>
      <c r="C740" s="781" t="str">
        <f>'Base de datos Rutas'!C738</f>
        <v>Planta San Luis</v>
      </c>
      <c r="D740" s="782">
        <f>IF(ISNUMBER('Base de datos Rutas'!D738),'Base de datos Rutas'!D738,"Sin código")</f>
        <v>916430</v>
      </c>
      <c r="E740" s="783" t="str">
        <f>'Base de datos Rutas'!F738</f>
        <v>Activa</v>
      </c>
      <c r="F740" s="784" t="str">
        <f>'Base de datos Rutas'!H738</f>
        <v>Sí</v>
      </c>
      <c r="G740" s="785">
        <f>IF(ISNUMBER('Base de datos Rutas'!BE738),'Base de datos Rutas'!BE738,"")</f>
        <v>66.979357798165097</v>
      </c>
      <c r="H740" s="786">
        <f>IF(ISNUMBER('Base de datos Rutas'!BH738),'Base de datos Rutas'!BH738,"")</f>
        <v>0.43403075026538401</v>
      </c>
      <c r="I740" s="788">
        <f>IFERROR(IF(OR(NOT(ISNUMBER('Base de datos Rutas'!O738)),N('Base de datos Rutas'!BK738)=0),"",'Base de datos Rutas'!O738/('Base de datos Rutas'!L738/'Base de datos Rutas'!BK738)),"")</f>
        <v>3117.3440366972482</v>
      </c>
      <c r="J740" s="788">
        <f>IFERROR(IF(OR(NOT(ISNUMBER('Base de datos Rutas'!N738)),N('Base de datos Rutas'!BK738)=0),"",'Base de datos Rutas'!N738/('Base de datos Rutas'!L738/'Base de datos Rutas'!BK738)),"")</f>
        <v>6003.6353211009182</v>
      </c>
      <c r="K740" s="788">
        <f>IFERROR(IF(OR(NOT(ISNUMBER('Base de datos Rutas'!J738)),N('Base de datos Rutas'!BK738)=0),"",'Base de datos Rutas'!J738/('Base de datos Rutas'!L738/'Base de datos Rutas'!BK738)),"")</f>
        <v>418.8182073394496</v>
      </c>
      <c r="L740" s="788">
        <f>IFERROR(IF(OR(NOT(ISNUMBER('Base de datos Rutas'!K738)),N('Base de datos Rutas'!BK738)=0),"",'Base de datos Rutas'!K738/('Base de datos Rutas'!L738/'Base de datos Rutas'!BK738)),"")</f>
        <v>28.125646644495415</v>
      </c>
      <c r="M740" s="787">
        <f>IF(ISNUMBER('Base de datos Rutas'!AX738),'Base de datos Rutas'!AX738,"")</f>
        <v>325.48962840236698</v>
      </c>
      <c r="N740" s="790">
        <f>IFERROR(INDEX('Hoja de apoyo v2'!B$17:B$20,MATCH($A740,'Hoja de apoyo v2'!$A$17:$A$20,0)),"")</f>
        <v>89.41621024641401</v>
      </c>
      <c r="O740" s="791">
        <f>IFERROR(INDEX('Hoja de apoyo v2'!C$17:C$20,MATCH($A740,'Hoja de apoyo v2'!$A$17:$A$20,0)),"")</f>
        <v>0.54706375874806301</v>
      </c>
      <c r="P740" s="793">
        <f>IFERROR(INDEX('Hoja de apoyo v2'!D$17:D$20,MATCH($A740,'Hoja de apoyo v2'!$A$17:$A$20,0)),"")</f>
        <v>11095.153935793827</v>
      </c>
      <c r="Q740" s="793">
        <f>IFERROR(INDEX('Hoja de apoyo v2'!E$17:E$20,MATCH($A740,'Hoja de apoyo v2'!$A$17:$A$20,0)),"")</f>
        <v>6982.3202019701848</v>
      </c>
      <c r="R740" s="793">
        <f>IFERROR(INDEX('Hoja de apoyo v2'!F$17:F$20,MATCH($A740,'Hoja de apoyo v2'!$A$17:$A$20,0)),"")</f>
        <v>448.09513474485743</v>
      </c>
      <c r="S740" s="793">
        <f>IFERROR(INDEX('Hoja de apoyo v2'!G$17:G$20,MATCH($A740,'Hoja de apoyo v2'!$A$17:$A$20,0)),"")</f>
        <v>83.406300904207839</v>
      </c>
      <c r="T740" s="792">
        <f>IFERROR(INDEX('Hoja de apoyo v2'!H$17:H$20,MATCH($A740,'Hoja de apoyo v2'!$A$17:$A$20,0)),"")</f>
        <v>378.97014028925349</v>
      </c>
      <c r="U740" s="794">
        <f t="shared" si="400"/>
        <v>0.74907399467705882</v>
      </c>
      <c r="V740" s="795">
        <f t="shared" si="401"/>
        <v>0.79338238610184808</v>
      </c>
      <c r="W740" s="795">
        <f t="shared" si="402"/>
        <v>0.28096446923917429</v>
      </c>
      <c r="X740" s="843">
        <f t="shared" si="403"/>
        <v>0.85983385857997263</v>
      </c>
      <c r="Y740" s="843">
        <f t="shared" si="404"/>
        <v>0.9346635900832132</v>
      </c>
      <c r="Z740" s="843">
        <f t="shared" si="405"/>
        <v>0.33721249281631288</v>
      </c>
      <c r="AA740" s="843">
        <f t="shared" si="406"/>
        <v>0.85887935169228136</v>
      </c>
      <c r="AB740" s="796">
        <f t="shared" si="407"/>
        <v>2</v>
      </c>
      <c r="AC740" s="797">
        <f t="shared" si="408"/>
        <v>3</v>
      </c>
      <c r="AD740" s="797">
        <f t="shared" si="409"/>
        <v>1</v>
      </c>
      <c r="AE740" s="842">
        <f t="shared" si="410"/>
        <v>3</v>
      </c>
      <c r="AF740" s="842">
        <f t="shared" si="411"/>
        <v>3</v>
      </c>
      <c r="AG740" s="842">
        <f t="shared" si="412"/>
        <v>1</v>
      </c>
      <c r="AH740" s="842">
        <f t="shared" si="413"/>
        <v>3</v>
      </c>
      <c r="AI740" s="826" cm="1">
        <f t="array" ref="AI740">SUMPRODUCT(--ISNUMBER($U740:$AA740),$AB$3:$AH$3)</f>
        <v>1</v>
      </c>
      <c r="AJ740" s="829">
        <f t="shared" si="414"/>
        <v>26.459887347087808</v>
      </c>
      <c r="AK740" s="827" t="str">
        <f t="shared" si="415"/>
        <v>Inmadura</v>
      </c>
      <c r="AL740" s="784" t="str">
        <f t="shared" si="416"/>
        <v>Alta</v>
      </c>
      <c r="AM740" s="799">
        <f>IF(ISNUMBER('Base de datos Rutas'!W738),'Base de datos Rutas'!W738,"")</f>
        <v>3641.9429094456564</v>
      </c>
      <c r="AN740" s="787">
        <f>IFERROR(SUMIFS('Base de datos Rutas'!$W$6:$W$794,'Base de datos Rutas'!$C$6:$C$794,$C740)/'Base de datos Rutas'!I738,"")</f>
        <v>3641.9429094456527</v>
      </c>
      <c r="AO740" s="800">
        <f>IFERROR('Base de datos Rutas'!X738*AN740/AM740,"")</f>
        <v>0.35679725951519109</v>
      </c>
      <c r="AP740" s="800">
        <f t="shared" si="417"/>
        <v>0.64320274048480885</v>
      </c>
      <c r="AQ740" s="789">
        <f>IFERROR(INDEX('Hoja de apoyo v2'!$J$17:$J$20,MATCH($A740,'Hoja de apoyo v2'!$A$17:$A$20,0)),"")</f>
        <v>0.64320274048480885</v>
      </c>
      <c r="AR740" s="789">
        <f t="shared" si="418"/>
        <v>0</v>
      </c>
      <c r="AS740" s="784" t="str">
        <f t="shared" si="419"/>
        <v>No</v>
      </c>
      <c r="AT740" s="801">
        <f>IF(ISNUMBER('Base de datos Rutas'!CK738),'Base de datos Rutas'!CK738,"")</f>
        <v>212</v>
      </c>
      <c r="AU740" s="802">
        <f>IF(ISNUMBER('Base de datos Rutas'!CL738),'Base de datos Rutas'!CL738,"")</f>
        <v>325.02999999999997</v>
      </c>
      <c r="AV740" s="802">
        <f>IF(ISNUMBER('Base de datos Rutas'!CM738),'Base de datos Rutas'!CM738,"")</f>
        <v>113.02999999999997</v>
      </c>
      <c r="AW740" s="802">
        <f>IF(ISNUMBER('Base de datos Rutas'!CN738),'Base de datos Rutas'!CN738,"")</f>
        <v>5.43</v>
      </c>
      <c r="AX740" s="802">
        <f>IF(ISNUMBER('Base de datos Rutas'!CO738),'Base de datos Rutas'!CO738,"")</f>
        <v>9.4499999999999993</v>
      </c>
      <c r="AY740" s="802">
        <f>IF(ISNUMBER('Base de datos Rutas'!CP738),'Base de datos Rutas'!CP738,"")</f>
        <v>4.0199999999999996</v>
      </c>
      <c r="AZ740" s="802">
        <f>IF(ISNUMBER('Base de datos Rutas'!CQ738),'Base de datos Rutas'!CQ738,"")</f>
        <v>846.56</v>
      </c>
      <c r="BA740" s="802">
        <f>IF(ISNUMBER('Base de datos Rutas'!CR738),'Base de datos Rutas'!CR738,"")</f>
        <v>446.94</v>
      </c>
      <c r="BB740" s="803">
        <f>IF(ISNUMBER('Base de datos Rutas'!CS738),'Base de datos Rutas'!CS738,"")</f>
        <v>399.61999999999995</v>
      </c>
      <c r="BC740" s="804">
        <f t="shared" si="429"/>
        <v>0</v>
      </c>
      <c r="BD740" s="805" t="str">
        <f t="shared" si="430"/>
        <v>No saturada</v>
      </c>
      <c r="BE740" s="806">
        <f t="shared" si="431"/>
        <v>0.52794840294840295</v>
      </c>
      <c r="BF740" s="890">
        <f>IF(ISNUMBER('Base de datos Rutas'!CX738),'Base de datos Rutas'!CX738/100,"")</f>
        <v>0.22956676217765043</v>
      </c>
      <c r="BG740" s="891">
        <f>IF(ISNUMBER('Base de datos Rutas'!CZ738),'Base de datos Rutas'!CZ738/100,"")</f>
        <v>0.2425214899713467</v>
      </c>
      <c r="BH740" s="892">
        <f>IF(ISNUMBER('Base de datos Rutas'!DA738),'Base de datos Rutas'!DA738,"")</f>
        <v>116.95030453619188</v>
      </c>
      <c r="BI740" s="893">
        <f>IF(ISNUMBER('Base de datos Rutas'!DC738),'Base de datos Rutas'!DC738,"")</f>
        <v>5.3921337673667091</v>
      </c>
      <c r="BJ740" s="805" t="str">
        <f t="shared" si="432"/>
        <v>Ruta (completo)</v>
      </c>
      <c r="BK740" s="783">
        <f t="shared" si="420"/>
        <v>1</v>
      </c>
      <c r="BL740" s="797">
        <f t="shared" si="421"/>
        <v>1</v>
      </c>
      <c r="BM740" s="797">
        <f t="shared" si="422"/>
        <v>2</v>
      </c>
      <c r="BN740" s="797">
        <f t="shared" si="423"/>
        <v>2</v>
      </c>
      <c r="BO740" s="798" cm="1">
        <f t="array" ref="BO740">SUMPRODUCT(--ISNUMBER($BF740:$BI740),$BK$3:$BN$3)</f>
        <v>1</v>
      </c>
      <c r="BP740" s="831">
        <f t="shared" si="433"/>
        <v>12.5</v>
      </c>
      <c r="BQ740" s="834" t="str">
        <f t="shared" si="434"/>
        <v>Bajo</v>
      </c>
      <c r="BR740" s="836">
        <f t="shared" si="424"/>
        <v>19.844915510315857</v>
      </c>
      <c r="BS740" s="836">
        <f t="shared" si="425"/>
        <v>12.5</v>
      </c>
      <c r="BT740" s="837" t="str">
        <f t="shared" si="426"/>
        <v>P4</v>
      </c>
      <c r="BU740" s="807" t="str">
        <f t="shared" si="435"/>
        <v>Con espacio</v>
      </c>
      <c r="BV740" s="807" t="str">
        <f t="shared" si="427"/>
        <v>Zona de bajo potencial</v>
      </c>
      <c r="BW740" s="808" t="str">
        <f t="shared" si="428"/>
        <v>P4 - Evaluar</v>
      </c>
    </row>
    <row r="741" spans="1:75">
      <c r="A741" s="780" t="str">
        <f>'Base de datos Rutas'!A739</f>
        <v>Occidente</v>
      </c>
      <c r="B741" s="781" t="str">
        <f>'Base de datos Rutas'!B739</f>
        <v>San Luis</v>
      </c>
      <c r="C741" s="781" t="str">
        <f>'Base de datos Rutas'!C739</f>
        <v>Planta San Luis</v>
      </c>
      <c r="D741" s="782">
        <f>IF(ISNUMBER('Base de datos Rutas'!D739),'Base de datos Rutas'!D739,"Sin código")</f>
        <v>916431</v>
      </c>
      <c r="E741" s="783" t="str">
        <f>'Base de datos Rutas'!F739</f>
        <v>Activa</v>
      </c>
      <c r="F741" s="784" t="str">
        <f>'Base de datos Rutas'!H739</f>
        <v>Sí</v>
      </c>
      <c r="G741" s="785">
        <f>IF(ISNUMBER('Base de datos Rutas'!BE739),'Base de datos Rutas'!BE739,"")</f>
        <v>89.006864988558405</v>
      </c>
      <c r="H741" s="786">
        <f>IF(ISNUMBER('Base de datos Rutas'!BH739),'Base de datos Rutas'!BH739,"")</f>
        <v>0.30676676264911601</v>
      </c>
      <c r="I741" s="788">
        <f>IFERROR(IF(OR(NOT(ISNUMBER('Base de datos Rutas'!O739)),N('Base de datos Rutas'!BK739)=0),"",'Base de datos Rutas'!O739/('Base de datos Rutas'!L739/'Base de datos Rutas'!BK739)),"")</f>
        <v>3150.1967963386696</v>
      </c>
      <c r="J741" s="788">
        <f>IFERROR(IF(OR(NOT(ISNUMBER('Base de datos Rutas'!N739)),N('Base de datos Rutas'!BK739)=0),"",'Base de datos Rutas'!N739/('Base de datos Rutas'!L739/'Base de datos Rutas'!BK739)),"")</f>
        <v>5421.4096109839757</v>
      </c>
      <c r="K741" s="788">
        <f>IFERROR(IF(OR(NOT(ISNUMBER('Base de datos Rutas'!J739)),N('Base de datos Rutas'!BK739)=0),"",'Base de datos Rutas'!J739/('Base de datos Rutas'!L739/'Base de datos Rutas'!BK739)),"")</f>
        <v>367.80465537757402</v>
      </c>
      <c r="L741" s="788">
        <f>IFERROR(IF(OR(NOT(ISNUMBER('Base de datos Rutas'!K739)),N('Base de datos Rutas'!BK739)=0),"",'Base de datos Rutas'!K739/('Base de datos Rutas'!L739/'Base de datos Rutas'!BK739)),"")</f>
        <v>29.320292160183033</v>
      </c>
      <c r="M741" s="787">
        <f>IF(ISNUMBER('Base de datos Rutas'!AX739),'Base de datos Rutas'!AX739,"")</f>
        <v>313.92831713040601</v>
      </c>
      <c r="N741" s="790">
        <f>IFERROR(INDEX('Hoja de apoyo v2'!B$17:B$20,MATCH($A741,'Hoja de apoyo v2'!$A$17:$A$20,0)),"")</f>
        <v>89.41621024641401</v>
      </c>
      <c r="O741" s="791">
        <f>IFERROR(INDEX('Hoja de apoyo v2'!C$17:C$20,MATCH($A741,'Hoja de apoyo v2'!$A$17:$A$20,0)),"")</f>
        <v>0.54706375874806301</v>
      </c>
      <c r="P741" s="793">
        <f>IFERROR(INDEX('Hoja de apoyo v2'!D$17:D$20,MATCH($A741,'Hoja de apoyo v2'!$A$17:$A$20,0)),"")</f>
        <v>11095.153935793827</v>
      </c>
      <c r="Q741" s="793">
        <f>IFERROR(INDEX('Hoja de apoyo v2'!E$17:E$20,MATCH($A741,'Hoja de apoyo v2'!$A$17:$A$20,0)),"")</f>
        <v>6982.3202019701848</v>
      </c>
      <c r="R741" s="793">
        <f>IFERROR(INDEX('Hoja de apoyo v2'!F$17:F$20,MATCH($A741,'Hoja de apoyo v2'!$A$17:$A$20,0)),"")</f>
        <v>448.09513474485743</v>
      </c>
      <c r="S741" s="793">
        <f>IFERROR(INDEX('Hoja de apoyo v2'!G$17:G$20,MATCH($A741,'Hoja de apoyo v2'!$A$17:$A$20,0)),"")</f>
        <v>83.406300904207839</v>
      </c>
      <c r="T741" s="792">
        <f>IFERROR(INDEX('Hoja de apoyo v2'!H$17:H$20,MATCH($A741,'Hoja de apoyo v2'!$A$17:$A$20,0)),"")</f>
        <v>378.97014028925349</v>
      </c>
      <c r="U741" s="794">
        <f t="shared" si="400"/>
        <v>0.99542202407452152</v>
      </c>
      <c r="V741" s="795">
        <f t="shared" si="401"/>
        <v>0.56075138910890643</v>
      </c>
      <c r="W741" s="795">
        <f t="shared" si="402"/>
        <v>0.28392547003569646</v>
      </c>
      <c r="X741" s="843">
        <f t="shared" si="403"/>
        <v>0.77644815106792575</v>
      </c>
      <c r="Y741" s="843">
        <f t="shared" si="404"/>
        <v>0.8208182300104635</v>
      </c>
      <c r="Z741" s="843">
        <f t="shared" si="405"/>
        <v>0.35153569745117214</v>
      </c>
      <c r="AA741" s="843">
        <f t="shared" si="406"/>
        <v>0.82837216908645217</v>
      </c>
      <c r="AB741" s="796">
        <f t="shared" si="407"/>
        <v>3</v>
      </c>
      <c r="AC741" s="797">
        <f t="shared" si="408"/>
        <v>2</v>
      </c>
      <c r="AD741" s="797">
        <f t="shared" si="409"/>
        <v>1</v>
      </c>
      <c r="AE741" s="842">
        <f t="shared" si="410"/>
        <v>3</v>
      </c>
      <c r="AF741" s="842">
        <f t="shared" si="411"/>
        <v>3</v>
      </c>
      <c r="AG741" s="842">
        <f t="shared" si="412"/>
        <v>1</v>
      </c>
      <c r="AH741" s="842">
        <f t="shared" si="413"/>
        <v>3</v>
      </c>
      <c r="AI741" s="826" cm="1">
        <f t="array" ref="AI741">SUMPRODUCT(--ISNUMBER($U741:$AA741),$AB$3:$AH$3)</f>
        <v>1</v>
      </c>
      <c r="AJ741" s="829">
        <f t="shared" si="414"/>
        <v>28.610617939334084</v>
      </c>
      <c r="AK741" s="827" t="str">
        <f t="shared" si="415"/>
        <v>Inmadura</v>
      </c>
      <c r="AL741" s="784" t="str">
        <f t="shared" si="416"/>
        <v>Alta</v>
      </c>
      <c r="AM741" s="799">
        <f>IF(ISNUMBER('Base de datos Rutas'!W739),'Base de datos Rutas'!W739,"")</f>
        <v>3641.9429094456564</v>
      </c>
      <c r="AN741" s="787">
        <f>IFERROR(SUMIFS('Base de datos Rutas'!$W$6:$W$794,'Base de datos Rutas'!$C$6:$C$794,$C741)/'Base de datos Rutas'!I739,"")</f>
        <v>3641.9429094456527</v>
      </c>
      <c r="AO741" s="800">
        <f>IFERROR('Base de datos Rutas'!X739*AN741/AM741,"")</f>
        <v>0.35679725951519109</v>
      </c>
      <c r="AP741" s="800">
        <f t="shared" si="417"/>
        <v>0.64320274048480885</v>
      </c>
      <c r="AQ741" s="789">
        <f>IFERROR(INDEX('Hoja de apoyo v2'!$J$17:$J$20,MATCH($A741,'Hoja de apoyo v2'!$A$17:$A$20,0)),"")</f>
        <v>0.64320274048480885</v>
      </c>
      <c r="AR741" s="789">
        <f t="shared" si="418"/>
        <v>0</v>
      </c>
      <c r="AS741" s="784" t="str">
        <f t="shared" si="419"/>
        <v>No</v>
      </c>
      <c r="AT741" s="801">
        <f>IF(ISNUMBER('Base de datos Rutas'!CK739),'Base de datos Rutas'!CK739,"")</f>
        <v>316</v>
      </c>
      <c r="AU741" s="802">
        <f>IF(ISNUMBER('Base de datos Rutas'!CL739),'Base de datos Rutas'!CL739,"")</f>
        <v>401.32</v>
      </c>
      <c r="AV741" s="802">
        <f>IF(ISNUMBER('Base de datos Rutas'!CM739),'Base de datos Rutas'!CM739,"")</f>
        <v>85.32</v>
      </c>
      <c r="AW741" s="802">
        <f>IF(ISNUMBER('Base de datos Rutas'!CN739),'Base de datos Rutas'!CN739,"")</f>
        <v>6.09</v>
      </c>
      <c r="AX741" s="802">
        <f>IF(ISNUMBER('Base de datos Rutas'!CO739),'Base de datos Rutas'!CO739,"")</f>
        <v>9.4499999999999993</v>
      </c>
      <c r="AY741" s="802">
        <f>IF(ISNUMBER('Base de datos Rutas'!CP739),'Base de datos Rutas'!CP739,"")</f>
        <v>3.3599999999999994</v>
      </c>
      <c r="AZ741" s="802">
        <f>IF(ISNUMBER('Base de datos Rutas'!CQ739),'Base de datos Rutas'!CQ739,"")</f>
        <v>846.56</v>
      </c>
      <c r="BA741" s="802">
        <f>IF(ISNUMBER('Base de datos Rutas'!CR739),'Base de datos Rutas'!CR739,"")</f>
        <v>397.12</v>
      </c>
      <c r="BB741" s="803">
        <f>IF(ISNUMBER('Base de datos Rutas'!CS739),'Base de datos Rutas'!CS739,"")</f>
        <v>449.43999999999994</v>
      </c>
      <c r="BC741" s="804">
        <f t="shared" si="429"/>
        <v>0</v>
      </c>
      <c r="BD741" s="805" t="str">
        <f t="shared" si="430"/>
        <v>No saturada</v>
      </c>
      <c r="BE741" s="806">
        <f t="shared" si="431"/>
        <v>0.46909846909846914</v>
      </c>
      <c r="BF741" s="890">
        <f>IF(ISNUMBER('Base de datos Rutas'!CX739),'Base de datos Rutas'!CX739/100,"")</f>
        <v>0.4709887553315239</v>
      </c>
      <c r="BG741" s="891">
        <f>IF(ISNUMBER('Base de datos Rutas'!CZ739),'Base de datos Rutas'!CZ739/100,"")</f>
        <v>0.50407134548274524</v>
      </c>
      <c r="BH741" s="892">
        <f>IF(ISNUMBER('Base de datos Rutas'!DA739),'Base de datos Rutas'!DA739,"")</f>
        <v>435.34412908359354</v>
      </c>
      <c r="BI741" s="893">
        <f>IF(ISNUMBER('Base de datos Rutas'!DC739),'Base de datos Rutas'!DC739,"")</f>
        <v>18.516034110016815</v>
      </c>
      <c r="BJ741" s="805" t="str">
        <f t="shared" si="432"/>
        <v>Ruta (completo)</v>
      </c>
      <c r="BK741" s="783">
        <f t="shared" si="420"/>
        <v>3</v>
      </c>
      <c r="BL741" s="797">
        <f t="shared" si="421"/>
        <v>3</v>
      </c>
      <c r="BM741" s="797">
        <f t="shared" si="422"/>
        <v>4</v>
      </c>
      <c r="BN741" s="797">
        <f t="shared" si="423"/>
        <v>4</v>
      </c>
      <c r="BO741" s="798" cm="1">
        <f t="array" ref="BO741">SUMPRODUCT(--ISNUMBER($BF741:$BI741),$BK$3:$BN$3)</f>
        <v>1</v>
      </c>
      <c r="BP741" s="831">
        <f t="shared" si="433"/>
        <v>62.5</v>
      </c>
      <c r="BQ741" s="834" t="str">
        <f t="shared" si="434"/>
        <v>Alto</v>
      </c>
      <c r="BR741" s="836">
        <f t="shared" si="424"/>
        <v>21.457963454500565</v>
      </c>
      <c r="BS741" s="836">
        <f t="shared" si="425"/>
        <v>62.5</v>
      </c>
      <c r="BT741" s="837" t="str">
        <f t="shared" si="426"/>
        <v>P3</v>
      </c>
      <c r="BU741" s="807" t="str">
        <f t="shared" si="435"/>
        <v>Con espacio</v>
      </c>
      <c r="BV741" s="807" t="str">
        <f t="shared" si="427"/>
        <v>Zona atractiva</v>
      </c>
      <c r="BW741" s="808" t="str">
        <f t="shared" si="428"/>
        <v>P3 - Desarrollar</v>
      </c>
    </row>
    <row r="742" spans="1:75">
      <c r="A742" s="780" t="str">
        <f>'Base de datos Rutas'!A740</f>
        <v>Occidente</v>
      </c>
      <c r="B742" s="781" t="str">
        <f>'Base de datos Rutas'!B740</f>
        <v>San Luis</v>
      </c>
      <c r="C742" s="781" t="str">
        <f>'Base de datos Rutas'!C740</f>
        <v>Planta San Luis</v>
      </c>
      <c r="D742" s="782">
        <f>IF(ISNUMBER('Base de datos Rutas'!D740),'Base de datos Rutas'!D740,"Sin código")</f>
        <v>916432</v>
      </c>
      <c r="E742" s="783" t="str">
        <f>'Base de datos Rutas'!F740</f>
        <v>Activa</v>
      </c>
      <c r="F742" s="784" t="str">
        <f>'Base de datos Rutas'!H740</f>
        <v>Sí</v>
      </c>
      <c r="G742" s="785">
        <f>IF(ISNUMBER('Base de datos Rutas'!BE740),'Base de datos Rutas'!BE740,"")</f>
        <v>102.035971223022</v>
      </c>
      <c r="H742" s="786">
        <f>IF(ISNUMBER('Base de datos Rutas'!BH740),'Base de datos Rutas'!BH740,"")</f>
        <v>0.48668593856494902</v>
      </c>
      <c r="I742" s="788">
        <f>IFERROR(IF(OR(NOT(ISNUMBER('Base de datos Rutas'!O740)),N('Base de datos Rutas'!BK740)=0),"",'Base de datos Rutas'!O740/('Base de datos Rutas'!L740/'Base de datos Rutas'!BK740)),"")</f>
        <v>3103.3504672897257</v>
      </c>
      <c r="J742" s="788">
        <f>IFERROR(IF(OR(NOT(ISNUMBER('Base de datos Rutas'!N740)),N('Base de datos Rutas'!BK740)=0),"",'Base de datos Rutas'!N740/('Base de datos Rutas'!L740/'Base de datos Rutas'!BK740)),"")</f>
        <v>9265.8060747663731</v>
      </c>
      <c r="K742" s="788">
        <f>IFERROR(IF(OR(NOT(ISNUMBER('Base de datos Rutas'!J740)),N('Base de datos Rutas'!BK740)=0),"",'Base de datos Rutas'!J740/('Base de datos Rutas'!L740/'Base de datos Rutas'!BK740)),"")</f>
        <v>621.44024299065313</v>
      </c>
      <c r="L742" s="788">
        <f>IFERROR(IF(OR(NOT(ISNUMBER('Base de datos Rutas'!K740)),N('Base de datos Rutas'!BK740)=0),"",'Base de datos Rutas'!K740/('Base de datos Rutas'!L740/'Base de datos Rutas'!BK740)),"")</f>
        <v>26.16574723831781</v>
      </c>
      <c r="M742" s="787">
        <f>IF(ISNUMBER('Base de datos Rutas'!AX740),'Base de datos Rutas'!AX740,"")</f>
        <v>255.36646905600301</v>
      </c>
      <c r="N742" s="790">
        <f>IFERROR(INDEX('Hoja de apoyo v2'!B$17:B$20,MATCH($A742,'Hoja de apoyo v2'!$A$17:$A$20,0)),"")</f>
        <v>89.41621024641401</v>
      </c>
      <c r="O742" s="791">
        <f>IFERROR(INDEX('Hoja de apoyo v2'!C$17:C$20,MATCH($A742,'Hoja de apoyo v2'!$A$17:$A$20,0)),"")</f>
        <v>0.54706375874806301</v>
      </c>
      <c r="P742" s="793">
        <f>IFERROR(INDEX('Hoja de apoyo v2'!D$17:D$20,MATCH($A742,'Hoja de apoyo v2'!$A$17:$A$20,0)),"")</f>
        <v>11095.153935793827</v>
      </c>
      <c r="Q742" s="793">
        <f>IFERROR(INDEX('Hoja de apoyo v2'!E$17:E$20,MATCH($A742,'Hoja de apoyo v2'!$A$17:$A$20,0)),"")</f>
        <v>6982.3202019701848</v>
      </c>
      <c r="R742" s="793">
        <f>IFERROR(INDEX('Hoja de apoyo v2'!F$17:F$20,MATCH($A742,'Hoja de apoyo v2'!$A$17:$A$20,0)),"")</f>
        <v>448.09513474485743</v>
      </c>
      <c r="S742" s="793">
        <f>IFERROR(INDEX('Hoja de apoyo v2'!G$17:G$20,MATCH($A742,'Hoja de apoyo v2'!$A$17:$A$20,0)),"")</f>
        <v>83.406300904207839</v>
      </c>
      <c r="T742" s="792">
        <f>IFERROR(INDEX('Hoja de apoyo v2'!H$17:H$20,MATCH($A742,'Hoja de apoyo v2'!$A$17:$A$20,0)),"")</f>
        <v>378.97014028925349</v>
      </c>
      <c r="U742" s="794">
        <f t="shared" si="400"/>
        <v>1.1411350463392527</v>
      </c>
      <c r="V742" s="795">
        <f t="shared" si="401"/>
        <v>0.88963293726258419</v>
      </c>
      <c r="W742" s="795">
        <f t="shared" si="402"/>
        <v>0.27970323667867975</v>
      </c>
      <c r="X742" s="843">
        <f t="shared" si="403"/>
        <v>1.327038263319958</v>
      </c>
      <c r="Y742" s="843">
        <f t="shared" si="404"/>
        <v>1.3868488961490226</v>
      </c>
      <c r="Z742" s="843">
        <f t="shared" si="405"/>
        <v>0.31371427523646178</v>
      </c>
      <c r="AA742" s="843">
        <f t="shared" si="406"/>
        <v>0.67384324490866621</v>
      </c>
      <c r="AB742" s="796">
        <f t="shared" si="407"/>
        <v>4</v>
      </c>
      <c r="AC742" s="797">
        <f t="shared" si="408"/>
        <v>3</v>
      </c>
      <c r="AD742" s="797">
        <f t="shared" si="409"/>
        <v>1</v>
      </c>
      <c r="AE742" s="842">
        <f t="shared" si="410"/>
        <v>5</v>
      </c>
      <c r="AF742" s="842">
        <f t="shared" si="411"/>
        <v>5</v>
      </c>
      <c r="AG742" s="842">
        <f t="shared" si="412"/>
        <v>1</v>
      </c>
      <c r="AH742" s="842">
        <f t="shared" si="413"/>
        <v>2</v>
      </c>
      <c r="AI742" s="826" cm="1">
        <f t="array" ref="AI742">SUMPRODUCT(--ISNUMBER($U742:$AA742),$AB$3:$AH$3)</f>
        <v>1</v>
      </c>
      <c r="AJ742" s="829">
        <f t="shared" si="414"/>
        <v>45.953416179551709</v>
      </c>
      <c r="AK742" s="827" t="str">
        <f t="shared" si="415"/>
        <v>En desarrollo</v>
      </c>
      <c r="AL742" s="784" t="str">
        <f t="shared" si="416"/>
        <v>Alta</v>
      </c>
      <c r="AM742" s="799">
        <f>IF(ISNUMBER('Base de datos Rutas'!W740),'Base de datos Rutas'!W740,"")</f>
        <v>3641.9429094456564</v>
      </c>
      <c r="AN742" s="787">
        <f>IFERROR(SUMIFS('Base de datos Rutas'!$W$6:$W$794,'Base de datos Rutas'!$C$6:$C$794,$C742)/'Base de datos Rutas'!I740,"")</f>
        <v>3641.9429094456527</v>
      </c>
      <c r="AO742" s="800">
        <f>IFERROR('Base de datos Rutas'!X740*AN742/AM742,"")</f>
        <v>0.35679725951519109</v>
      </c>
      <c r="AP742" s="800">
        <f t="shared" si="417"/>
        <v>0.64320274048480885</v>
      </c>
      <c r="AQ742" s="789">
        <f>IFERROR(INDEX('Hoja de apoyo v2'!$J$17:$J$20,MATCH($A742,'Hoja de apoyo v2'!$A$17:$A$20,0)),"")</f>
        <v>0.64320274048480885</v>
      </c>
      <c r="AR742" s="789">
        <f t="shared" si="418"/>
        <v>0</v>
      </c>
      <c r="AS742" s="784" t="str">
        <f t="shared" si="419"/>
        <v>No</v>
      </c>
      <c r="AT742" s="801">
        <f>IF(ISNUMBER('Base de datos Rutas'!CK740),'Base de datos Rutas'!CK740,"")</f>
        <v>388</v>
      </c>
      <c r="AU742" s="802">
        <f>IF(ISNUMBER('Base de datos Rutas'!CL740),'Base de datos Rutas'!CL740,"")</f>
        <v>388</v>
      </c>
      <c r="AV742" s="802">
        <f>IF(ISNUMBER('Base de datos Rutas'!CM740),'Base de datos Rutas'!CM740,"")</f>
        <v>0</v>
      </c>
      <c r="AW742" s="802" t="str">
        <f>IF(ISNUMBER('Base de datos Rutas'!CN740),'Base de datos Rutas'!CN740,"")</f>
        <v/>
      </c>
      <c r="AX742" s="802">
        <f>IF(ISNUMBER('Base de datos Rutas'!CO740),'Base de datos Rutas'!CO740,"")</f>
        <v>9.4499999999999993</v>
      </c>
      <c r="AY742" s="802">
        <f>IF(ISNUMBER('Base de datos Rutas'!CP740),'Base de datos Rutas'!CP740,"")</f>
        <v>9.4499999999999993</v>
      </c>
      <c r="AZ742" s="802" t="str">
        <f>IF(ISNUMBER('Base de datos Rutas'!CQ740),'Base de datos Rutas'!CQ740,"")</f>
        <v/>
      </c>
      <c r="BA742" s="802" t="str">
        <f>IF(ISNUMBER('Base de datos Rutas'!CR740),'Base de datos Rutas'!CR740,"")</f>
        <v/>
      </c>
      <c r="BB742" s="803">
        <f>IF(ISNUMBER('Base de datos Rutas'!CS740),'Base de datos Rutas'!CS740,"")</f>
        <v>0</v>
      </c>
      <c r="BC742" s="804" t="str">
        <f t="shared" si="429"/>
        <v/>
      </c>
      <c r="BD742" s="805" t="str">
        <f t="shared" si="430"/>
        <v>N/D</v>
      </c>
      <c r="BE742" s="806" t="str">
        <f t="shared" si="431"/>
        <v/>
      </c>
      <c r="BF742" s="890" t="str">
        <f>IF(ISNUMBER('Base de datos Rutas'!CX740),'Base de datos Rutas'!CX740/100,"")</f>
        <v/>
      </c>
      <c r="BG742" s="891" t="str">
        <f>IF(ISNUMBER('Base de datos Rutas'!CZ740),'Base de datos Rutas'!CZ740/100,"")</f>
        <v/>
      </c>
      <c r="BH742" s="892" t="str">
        <f>IF(ISNUMBER('Base de datos Rutas'!DA740),'Base de datos Rutas'!DA740,"")</f>
        <v/>
      </c>
      <c r="BI742" s="893" t="str">
        <f>IF(ISNUMBER('Base de datos Rutas'!DC740),'Base de datos Rutas'!DC740,"")</f>
        <v/>
      </c>
      <c r="BJ742" s="805" t="str">
        <f t="shared" si="432"/>
        <v>Sin dato</v>
      </c>
      <c r="BK742" s="783">
        <f t="shared" si="420"/>
        <v>0</v>
      </c>
      <c r="BL742" s="797">
        <f t="shared" si="421"/>
        <v>0</v>
      </c>
      <c r="BM742" s="797">
        <f t="shared" si="422"/>
        <v>0</v>
      </c>
      <c r="BN742" s="797">
        <f t="shared" si="423"/>
        <v>0</v>
      </c>
      <c r="BO742" s="798" cm="1">
        <f t="array" ref="BO742">SUMPRODUCT(--ISNUMBER($BF742:$BI742),$BK$3:$BN$3)</f>
        <v>0</v>
      </c>
      <c r="BP742" s="831" t="str">
        <f t="shared" si="433"/>
        <v/>
      </c>
      <c r="BQ742" s="834" t="str">
        <f t="shared" si="434"/>
        <v>Sin datos</v>
      </c>
      <c r="BR742" s="836" t="str">
        <f t="shared" si="424"/>
        <v/>
      </c>
      <c r="BS742" s="836" t="str">
        <f t="shared" si="425"/>
        <v/>
      </c>
      <c r="BT742" s="837" t="str">
        <f t="shared" si="426"/>
        <v>Sin datos</v>
      </c>
      <c r="BU742" s="807" t="str">
        <f t="shared" si="435"/>
        <v>Con espacio</v>
      </c>
      <c r="BV742" s="807" t="str">
        <f t="shared" si="427"/>
        <v>Sin datos de zona</v>
      </c>
      <c r="BW742" s="808" t="str">
        <f t="shared" si="428"/>
        <v>Sin datos</v>
      </c>
    </row>
    <row r="743" spans="1:75">
      <c r="A743" s="780" t="str">
        <f>'Base de datos Rutas'!A741</f>
        <v>Occidente</v>
      </c>
      <c r="B743" s="781" t="str">
        <f>'Base de datos Rutas'!B741</f>
        <v>San Luis</v>
      </c>
      <c r="C743" s="781" t="str">
        <f>'Base de datos Rutas'!C741</f>
        <v>Planta San Luis</v>
      </c>
      <c r="D743" s="782">
        <f>IF(ISNUMBER('Base de datos Rutas'!D741),'Base de datos Rutas'!D741,"Sin código")</f>
        <v>916433</v>
      </c>
      <c r="E743" s="783" t="str">
        <f>'Base de datos Rutas'!F741</f>
        <v>Activa</v>
      </c>
      <c r="F743" s="784" t="str">
        <f>'Base de datos Rutas'!H741</f>
        <v>Sí</v>
      </c>
      <c r="G743" s="785">
        <f>IF(ISNUMBER('Base de datos Rutas'!BE741),'Base de datos Rutas'!BE741,"")</f>
        <v>74.3720930232558</v>
      </c>
      <c r="H743" s="786">
        <f>IF(ISNUMBER('Base de datos Rutas'!BH741),'Base de datos Rutas'!BH741,"")</f>
        <v>0.36616635397123198</v>
      </c>
      <c r="I743" s="788">
        <f>IFERROR(IF(OR(NOT(ISNUMBER('Base de datos Rutas'!O741)),N('Base de datos Rutas'!BK741)=0),"",'Base de datos Rutas'!O741/('Base de datos Rutas'!L741/'Base de datos Rutas'!BK741)),"")</f>
        <v>2482.6418604651171</v>
      </c>
      <c r="J743" s="788">
        <f>IFERROR(IF(OR(NOT(ISNUMBER('Base de datos Rutas'!N741)),N('Base de datos Rutas'!BK741)=0),"",'Base de datos Rutas'!N741/('Base de datos Rutas'!L741/'Base de datos Rutas'!BK741)),"")</f>
        <v>5677.3558139534898</v>
      </c>
      <c r="K743" s="788">
        <f>IFERROR(IF(OR(NOT(ISNUMBER('Base de datos Rutas'!J741)),N('Base de datos Rutas'!BK741)=0),"",'Base de datos Rutas'!J741/('Base de datos Rutas'!L741/'Base de datos Rutas'!BK741)),"")</f>
        <v>384.42490604651175</v>
      </c>
      <c r="L743" s="788">
        <f>IFERROR(IF(OR(NOT(ISNUMBER('Base de datos Rutas'!K741)),N('Base de datos Rutas'!BK741)=0),"",'Base de datos Rutas'!K741/('Base de datos Rutas'!L741/'Base de datos Rutas'!BK741)),"")</f>
        <v>18.887246393023261</v>
      </c>
      <c r="M743" s="787">
        <f>IF(ISNUMBER('Base de datos Rutas'!AX741),'Base de datos Rutas'!AX741,"")</f>
        <v>299.64124338172502</v>
      </c>
      <c r="N743" s="790">
        <f>IFERROR(INDEX('Hoja de apoyo v2'!B$17:B$20,MATCH($A743,'Hoja de apoyo v2'!$A$17:$A$20,0)),"")</f>
        <v>89.41621024641401</v>
      </c>
      <c r="O743" s="791">
        <f>IFERROR(INDEX('Hoja de apoyo v2'!C$17:C$20,MATCH($A743,'Hoja de apoyo v2'!$A$17:$A$20,0)),"")</f>
        <v>0.54706375874806301</v>
      </c>
      <c r="P743" s="793">
        <f>IFERROR(INDEX('Hoja de apoyo v2'!D$17:D$20,MATCH($A743,'Hoja de apoyo v2'!$A$17:$A$20,0)),"")</f>
        <v>11095.153935793827</v>
      </c>
      <c r="Q743" s="793">
        <f>IFERROR(INDEX('Hoja de apoyo v2'!E$17:E$20,MATCH($A743,'Hoja de apoyo v2'!$A$17:$A$20,0)),"")</f>
        <v>6982.3202019701848</v>
      </c>
      <c r="R743" s="793">
        <f>IFERROR(INDEX('Hoja de apoyo v2'!F$17:F$20,MATCH($A743,'Hoja de apoyo v2'!$A$17:$A$20,0)),"")</f>
        <v>448.09513474485743</v>
      </c>
      <c r="S743" s="793">
        <f>IFERROR(INDEX('Hoja de apoyo v2'!G$17:G$20,MATCH($A743,'Hoja de apoyo v2'!$A$17:$A$20,0)),"")</f>
        <v>83.406300904207839</v>
      </c>
      <c r="T743" s="792">
        <f>IFERROR(INDEX('Hoja de apoyo v2'!H$17:H$20,MATCH($A743,'Hoja de apoyo v2'!$A$17:$A$20,0)),"")</f>
        <v>378.97014028925349</v>
      </c>
      <c r="U743" s="794">
        <f t="shared" si="400"/>
        <v>0.83175179107122199</v>
      </c>
      <c r="V743" s="795">
        <f t="shared" si="401"/>
        <v>0.66933030769428292</v>
      </c>
      <c r="W743" s="795">
        <f t="shared" si="402"/>
        <v>0.22375911815481189</v>
      </c>
      <c r="X743" s="843">
        <f t="shared" si="403"/>
        <v>0.81310447669694719</v>
      </c>
      <c r="Y743" s="843">
        <f t="shared" si="404"/>
        <v>0.85790912741197445</v>
      </c>
      <c r="Z743" s="843">
        <f t="shared" si="405"/>
        <v>0.22644867579866981</v>
      </c>
      <c r="AA743" s="843">
        <f t="shared" si="406"/>
        <v>0.79067243438498946</v>
      </c>
      <c r="AB743" s="796">
        <f t="shared" si="407"/>
        <v>3</v>
      </c>
      <c r="AC743" s="797">
        <f t="shared" si="408"/>
        <v>2</v>
      </c>
      <c r="AD743" s="797">
        <f t="shared" si="409"/>
        <v>1</v>
      </c>
      <c r="AE743" s="842">
        <f t="shared" si="410"/>
        <v>3</v>
      </c>
      <c r="AF743" s="842">
        <f t="shared" si="411"/>
        <v>3</v>
      </c>
      <c r="AG743" s="842">
        <f t="shared" si="412"/>
        <v>1</v>
      </c>
      <c r="AH743" s="842">
        <f t="shared" si="413"/>
        <v>3</v>
      </c>
      <c r="AI743" s="826" cm="1">
        <f t="array" ref="AI743">SUMPRODUCT(--ISNUMBER($U743:$AA743),$AB$3:$AH$3)</f>
        <v>1</v>
      </c>
      <c r="AJ743" s="829">
        <f t="shared" si="414"/>
        <v>28.610617939334084</v>
      </c>
      <c r="AK743" s="827" t="str">
        <f t="shared" si="415"/>
        <v>Inmadura</v>
      </c>
      <c r="AL743" s="784" t="str">
        <f t="shared" si="416"/>
        <v>Alta</v>
      </c>
      <c r="AM743" s="799">
        <f>IF(ISNUMBER('Base de datos Rutas'!W741),'Base de datos Rutas'!W741,"")</f>
        <v>3641.9429094456564</v>
      </c>
      <c r="AN743" s="787">
        <f>IFERROR(SUMIFS('Base de datos Rutas'!$W$6:$W$794,'Base de datos Rutas'!$C$6:$C$794,$C743)/'Base de datos Rutas'!I741,"")</f>
        <v>3641.9429094456527</v>
      </c>
      <c r="AO743" s="800">
        <f>IFERROR('Base de datos Rutas'!X741*AN743/AM743,"")</f>
        <v>0.35679725951519109</v>
      </c>
      <c r="AP743" s="800">
        <f t="shared" si="417"/>
        <v>0.64320274048480885</v>
      </c>
      <c r="AQ743" s="789">
        <f>IFERROR(INDEX('Hoja de apoyo v2'!$J$17:$J$20,MATCH($A743,'Hoja de apoyo v2'!$A$17:$A$20,0)),"")</f>
        <v>0.64320274048480885</v>
      </c>
      <c r="AR743" s="789">
        <f t="shared" si="418"/>
        <v>0</v>
      </c>
      <c r="AS743" s="784" t="str">
        <f t="shared" si="419"/>
        <v>No</v>
      </c>
      <c r="AT743" s="801">
        <f>IF(ISNUMBER('Base de datos Rutas'!CK741),'Base de datos Rutas'!CK741,"")</f>
        <v>349</v>
      </c>
      <c r="AU743" s="802">
        <f>IF(ISNUMBER('Base de datos Rutas'!CL741),'Base de datos Rutas'!CL741,"")</f>
        <v>371.82</v>
      </c>
      <c r="AV743" s="802">
        <f>IF(ISNUMBER('Base de datos Rutas'!CM741),'Base de datos Rutas'!CM741,"")</f>
        <v>22.819999999999993</v>
      </c>
      <c r="AW743" s="802">
        <f>IF(ISNUMBER('Base de datos Rutas'!CN741),'Base de datos Rutas'!CN741,"")</f>
        <v>7.63</v>
      </c>
      <c r="AX743" s="802">
        <f>IF(ISNUMBER('Base de datos Rutas'!CO741),'Base de datos Rutas'!CO741,"")</f>
        <v>9.4499999999999993</v>
      </c>
      <c r="AY743" s="802">
        <f>IF(ISNUMBER('Base de datos Rutas'!CP741),'Base de datos Rutas'!CP741,"")</f>
        <v>1.8199999999999994</v>
      </c>
      <c r="AZ743" s="802">
        <f>IF(ISNUMBER('Base de datos Rutas'!CQ741),'Base de datos Rutas'!CQ741,"")</f>
        <v>846.56</v>
      </c>
      <c r="BA743" s="802">
        <f>IF(ISNUMBER('Base de datos Rutas'!CR741),'Base de datos Rutas'!CR741,"")</f>
        <v>403.31</v>
      </c>
      <c r="BB743" s="803">
        <f>IF(ISNUMBER('Base de datos Rutas'!CS741),'Base de datos Rutas'!CS741,"")</f>
        <v>443.24999999999994</v>
      </c>
      <c r="BC743" s="804">
        <f t="shared" si="429"/>
        <v>0</v>
      </c>
      <c r="BD743" s="805" t="str">
        <f t="shared" si="430"/>
        <v>No saturada</v>
      </c>
      <c r="BE743" s="806">
        <f t="shared" si="431"/>
        <v>0.47641041391041394</v>
      </c>
      <c r="BF743" s="890">
        <f>IF(ISNUMBER('Base de datos Rutas'!CX741),'Base de datos Rutas'!CX741/100,"")</f>
        <v>0.28213946117274169</v>
      </c>
      <c r="BG743" s="891">
        <f>IF(ISNUMBER('Base de datos Rutas'!CZ741),'Base de datos Rutas'!CZ741/100,"")</f>
        <v>0.28816693079767564</v>
      </c>
      <c r="BH743" s="892">
        <f>IF(ISNUMBER('Base de datos Rutas'!DA741),'Base de datos Rutas'!DA741,"")</f>
        <v>54.033721730089631</v>
      </c>
      <c r="BI743" s="893">
        <f>IF(ISNUMBER('Base de datos Rutas'!DC741),'Base de datos Rutas'!DC741,"")</f>
        <v>2.5003596914529957</v>
      </c>
      <c r="BJ743" s="805" t="str">
        <f t="shared" si="432"/>
        <v>Ruta (completo)</v>
      </c>
      <c r="BK743" s="783">
        <f t="shared" si="420"/>
        <v>2</v>
      </c>
      <c r="BL743" s="797">
        <f t="shared" si="421"/>
        <v>2</v>
      </c>
      <c r="BM743" s="797">
        <f t="shared" si="422"/>
        <v>1</v>
      </c>
      <c r="BN743" s="797">
        <f t="shared" si="423"/>
        <v>1</v>
      </c>
      <c r="BO743" s="798" cm="1">
        <f t="array" ref="BO743">SUMPRODUCT(--ISNUMBER($BF743:$BI743),$BK$3:$BN$3)</f>
        <v>1</v>
      </c>
      <c r="BP743" s="831">
        <f t="shared" si="433"/>
        <v>12.5</v>
      </c>
      <c r="BQ743" s="834" t="str">
        <f t="shared" si="434"/>
        <v>Bajo</v>
      </c>
      <c r="BR743" s="836">
        <f t="shared" si="424"/>
        <v>21.457963454500565</v>
      </c>
      <c r="BS743" s="836">
        <f t="shared" si="425"/>
        <v>12.5</v>
      </c>
      <c r="BT743" s="837" t="str">
        <f t="shared" si="426"/>
        <v>P4</v>
      </c>
      <c r="BU743" s="807" t="str">
        <f t="shared" si="435"/>
        <v>Con espacio</v>
      </c>
      <c r="BV743" s="807" t="str">
        <f t="shared" si="427"/>
        <v>Zona de bajo potencial</v>
      </c>
      <c r="BW743" s="808" t="str">
        <f t="shared" si="428"/>
        <v>P4 - Evaluar</v>
      </c>
    </row>
    <row r="744" spans="1:75">
      <c r="A744" s="780" t="str">
        <f>'Base de datos Rutas'!A742</f>
        <v>Occidente</v>
      </c>
      <c r="B744" s="781" t="str">
        <f>'Base de datos Rutas'!B742</f>
        <v>San Luis</v>
      </c>
      <c r="C744" s="781" t="str">
        <f>'Base de datos Rutas'!C742</f>
        <v>Planta San Luis</v>
      </c>
      <c r="D744" s="782">
        <f>IF(ISNUMBER('Base de datos Rutas'!D742),'Base de datos Rutas'!D742,"Sin código")</f>
        <v>916434</v>
      </c>
      <c r="E744" s="783" t="str">
        <f>'Base de datos Rutas'!F742</f>
        <v>Activa</v>
      </c>
      <c r="F744" s="784" t="str">
        <f>'Base de datos Rutas'!H742</f>
        <v>Sí</v>
      </c>
      <c r="G744" s="785">
        <f>IF(ISNUMBER('Base de datos Rutas'!BE742),'Base de datos Rutas'!BE742,"")</f>
        <v>109.66361556064101</v>
      </c>
      <c r="H744" s="786">
        <f>IF(ISNUMBER('Base de datos Rutas'!BH742),'Base de datos Rutas'!BH742,"")</f>
        <v>0.55651774721949798</v>
      </c>
      <c r="I744" s="788">
        <f>IFERROR(IF(OR(NOT(ISNUMBER('Base de datos Rutas'!O742)),N('Base de datos Rutas'!BK742)=0),"",'Base de datos Rutas'!O742/('Base de datos Rutas'!L742/'Base de datos Rutas'!BK742)),"")</f>
        <v>6011.8718535468997</v>
      </c>
      <c r="J744" s="788">
        <f>IFERROR(IF(OR(NOT(ISNUMBER('Base de datos Rutas'!N742)),N('Base de datos Rutas'!BK742)=0),"",'Base de datos Rutas'!N742/('Base de datos Rutas'!L742/'Base de datos Rutas'!BK742)),"")</f>
        <v>10168.983981693345</v>
      </c>
      <c r="K744" s="788">
        <f>IFERROR(IF(OR(NOT(ISNUMBER('Base de datos Rutas'!J742)),N('Base de datos Rutas'!BK742)=0),"",'Base de datos Rutas'!J742/('Base de datos Rutas'!L742/'Base de datos Rutas'!BK742)),"")</f>
        <v>680.01664988558002</v>
      </c>
      <c r="L744" s="788">
        <f>IFERROR(IF(OR(NOT(ISNUMBER('Base de datos Rutas'!K742)),N('Base de datos Rutas'!BK742)=0),"",'Base de datos Rutas'!K742/('Base de datos Rutas'!L742/'Base de datos Rutas'!BK742)),"")</f>
        <v>42.543738574370629</v>
      </c>
      <c r="M744" s="787">
        <f>IF(ISNUMBER('Base de datos Rutas'!AX742),'Base de datos Rutas'!AX742,"")</f>
        <v>265.04636557930297</v>
      </c>
      <c r="N744" s="790">
        <f>IFERROR(INDEX('Hoja de apoyo v2'!B$17:B$20,MATCH($A744,'Hoja de apoyo v2'!$A$17:$A$20,0)),"")</f>
        <v>89.41621024641401</v>
      </c>
      <c r="O744" s="791">
        <f>IFERROR(INDEX('Hoja de apoyo v2'!C$17:C$20,MATCH($A744,'Hoja de apoyo v2'!$A$17:$A$20,0)),"")</f>
        <v>0.54706375874806301</v>
      </c>
      <c r="P744" s="793">
        <f>IFERROR(INDEX('Hoja de apoyo v2'!D$17:D$20,MATCH($A744,'Hoja de apoyo v2'!$A$17:$A$20,0)),"")</f>
        <v>11095.153935793827</v>
      </c>
      <c r="Q744" s="793">
        <f>IFERROR(INDEX('Hoja de apoyo v2'!E$17:E$20,MATCH($A744,'Hoja de apoyo v2'!$A$17:$A$20,0)),"")</f>
        <v>6982.3202019701848</v>
      </c>
      <c r="R744" s="793">
        <f>IFERROR(INDEX('Hoja de apoyo v2'!F$17:F$20,MATCH($A744,'Hoja de apoyo v2'!$A$17:$A$20,0)),"")</f>
        <v>448.09513474485743</v>
      </c>
      <c r="S744" s="793">
        <f>IFERROR(INDEX('Hoja de apoyo v2'!G$17:G$20,MATCH($A744,'Hoja de apoyo v2'!$A$17:$A$20,0)),"")</f>
        <v>83.406300904207839</v>
      </c>
      <c r="T744" s="792">
        <f>IFERROR(INDEX('Hoja de apoyo v2'!H$17:H$20,MATCH($A744,'Hoja de apoyo v2'!$A$17:$A$20,0)),"")</f>
        <v>378.97014028925349</v>
      </c>
      <c r="U744" s="794">
        <f t="shared" si="400"/>
        <v>1.2264399850813292</v>
      </c>
      <c r="V744" s="795">
        <f t="shared" si="401"/>
        <v>1.0172813284014099</v>
      </c>
      <c r="W744" s="795">
        <f t="shared" si="402"/>
        <v>0.54184663758040663</v>
      </c>
      <c r="X744" s="843">
        <f t="shared" si="403"/>
        <v>1.4563903813554679</v>
      </c>
      <c r="Y744" s="843">
        <f t="shared" si="404"/>
        <v>1.5175720447685228</v>
      </c>
      <c r="Z744" s="843">
        <f t="shared" si="405"/>
        <v>0.51007823285715692</v>
      </c>
      <c r="AA744" s="843">
        <f t="shared" si="406"/>
        <v>0.69938588137050361</v>
      </c>
      <c r="AB744" s="796">
        <f t="shared" si="407"/>
        <v>4</v>
      </c>
      <c r="AC744" s="797">
        <f t="shared" si="408"/>
        <v>4</v>
      </c>
      <c r="AD744" s="797">
        <f t="shared" si="409"/>
        <v>2</v>
      </c>
      <c r="AE744" s="842">
        <f t="shared" si="410"/>
        <v>5</v>
      </c>
      <c r="AF744" s="842">
        <f t="shared" si="411"/>
        <v>5</v>
      </c>
      <c r="AG744" s="842">
        <f t="shared" si="412"/>
        <v>2</v>
      </c>
      <c r="AH744" s="842">
        <f t="shared" si="413"/>
        <v>2</v>
      </c>
      <c r="AI744" s="826" cm="1">
        <f t="array" ref="AI744">SUMPRODUCT(--ISNUMBER($U744:$AA744),$AB$3:$AH$3)</f>
        <v>1</v>
      </c>
      <c r="AJ744" s="829">
        <f t="shared" si="414"/>
        <v>57.839560002829913</v>
      </c>
      <c r="AK744" s="827" t="str">
        <f t="shared" si="415"/>
        <v>En desarrollo</v>
      </c>
      <c r="AL744" s="784" t="str">
        <f t="shared" si="416"/>
        <v>Alta</v>
      </c>
      <c r="AM744" s="799">
        <f>IF(ISNUMBER('Base de datos Rutas'!W742),'Base de datos Rutas'!W742,"")</f>
        <v>3641.9429094456564</v>
      </c>
      <c r="AN744" s="787">
        <f>IFERROR(SUMIFS('Base de datos Rutas'!$W$6:$W$794,'Base de datos Rutas'!$C$6:$C$794,$C744)/'Base de datos Rutas'!I742,"")</f>
        <v>3641.9429094456527</v>
      </c>
      <c r="AO744" s="800">
        <f>IFERROR('Base de datos Rutas'!X742*AN744/AM744,"")</f>
        <v>0.35679725951519109</v>
      </c>
      <c r="AP744" s="800">
        <f t="shared" si="417"/>
        <v>0.64320274048480885</v>
      </c>
      <c r="AQ744" s="789">
        <f>IFERROR(INDEX('Hoja de apoyo v2'!$J$17:$J$20,MATCH($A744,'Hoja de apoyo v2'!$A$17:$A$20,0)),"")</f>
        <v>0.64320274048480885</v>
      </c>
      <c r="AR744" s="789">
        <f t="shared" si="418"/>
        <v>0</v>
      </c>
      <c r="AS744" s="784" t="str">
        <f t="shared" si="419"/>
        <v>No</v>
      </c>
      <c r="AT744" s="801">
        <f>IF(ISNUMBER('Base de datos Rutas'!CK742),'Base de datos Rutas'!CK742,"")</f>
        <v>605</v>
      </c>
      <c r="AU744" s="802">
        <f>IF(ISNUMBER('Base de datos Rutas'!CL742),'Base de datos Rutas'!CL742,"")</f>
        <v>605</v>
      </c>
      <c r="AV744" s="802">
        <f>IF(ISNUMBER('Base de datos Rutas'!CM742),'Base de datos Rutas'!CM742,"")</f>
        <v>0</v>
      </c>
      <c r="AW744" s="802" t="str">
        <f>IF(ISNUMBER('Base de datos Rutas'!CN742),'Base de datos Rutas'!CN742,"")</f>
        <v/>
      </c>
      <c r="AX744" s="802">
        <f>IF(ISNUMBER('Base de datos Rutas'!CO742),'Base de datos Rutas'!CO742,"")</f>
        <v>9.4499999999999993</v>
      </c>
      <c r="AY744" s="802">
        <f>IF(ISNUMBER('Base de datos Rutas'!CP742),'Base de datos Rutas'!CP742,"")</f>
        <v>9.4499999999999993</v>
      </c>
      <c r="AZ744" s="802" t="str">
        <f>IF(ISNUMBER('Base de datos Rutas'!CQ742),'Base de datos Rutas'!CQ742,"")</f>
        <v/>
      </c>
      <c r="BA744" s="802" t="str">
        <f>IF(ISNUMBER('Base de datos Rutas'!CR742),'Base de datos Rutas'!CR742,"")</f>
        <v/>
      </c>
      <c r="BB744" s="803">
        <f>IF(ISNUMBER('Base de datos Rutas'!CS742),'Base de datos Rutas'!CS742,"")</f>
        <v>0</v>
      </c>
      <c r="BC744" s="804" t="str">
        <f t="shared" si="429"/>
        <v/>
      </c>
      <c r="BD744" s="805" t="str">
        <f t="shared" si="430"/>
        <v>N/D</v>
      </c>
      <c r="BE744" s="806" t="str">
        <f t="shared" si="431"/>
        <v/>
      </c>
      <c r="BF744" s="890" t="str">
        <f>IF(ISNUMBER('Base de datos Rutas'!CX742),'Base de datos Rutas'!CX742/100,"")</f>
        <v/>
      </c>
      <c r="BG744" s="891" t="str">
        <f>IF(ISNUMBER('Base de datos Rutas'!CZ742),'Base de datos Rutas'!CZ742/100,"")</f>
        <v/>
      </c>
      <c r="BH744" s="892" t="str">
        <f>IF(ISNUMBER('Base de datos Rutas'!DA742),'Base de datos Rutas'!DA742,"")</f>
        <v/>
      </c>
      <c r="BI744" s="893" t="str">
        <f>IF(ISNUMBER('Base de datos Rutas'!DC742),'Base de datos Rutas'!DC742,"")</f>
        <v/>
      </c>
      <c r="BJ744" s="805" t="str">
        <f t="shared" si="432"/>
        <v>Sin dato</v>
      </c>
      <c r="BK744" s="783">
        <f t="shared" si="420"/>
        <v>0</v>
      </c>
      <c r="BL744" s="797">
        <f t="shared" si="421"/>
        <v>0</v>
      </c>
      <c r="BM744" s="797">
        <f t="shared" si="422"/>
        <v>0</v>
      </c>
      <c r="BN744" s="797">
        <f t="shared" si="423"/>
        <v>0</v>
      </c>
      <c r="BO744" s="798" cm="1">
        <f t="array" ref="BO744">SUMPRODUCT(--ISNUMBER($BF744:$BI744),$BK$3:$BN$3)</f>
        <v>0</v>
      </c>
      <c r="BP744" s="831" t="str">
        <f t="shared" si="433"/>
        <v/>
      </c>
      <c r="BQ744" s="834" t="str">
        <f t="shared" si="434"/>
        <v>Sin datos</v>
      </c>
      <c r="BR744" s="836" t="str">
        <f t="shared" si="424"/>
        <v/>
      </c>
      <c r="BS744" s="836" t="str">
        <f t="shared" si="425"/>
        <v/>
      </c>
      <c r="BT744" s="837" t="str">
        <f t="shared" si="426"/>
        <v>Sin datos</v>
      </c>
      <c r="BU744" s="807" t="str">
        <f t="shared" si="435"/>
        <v>Con espacio</v>
      </c>
      <c r="BV744" s="807" t="str">
        <f t="shared" si="427"/>
        <v>Sin datos de zona</v>
      </c>
      <c r="BW744" s="808" t="str">
        <f t="shared" si="428"/>
        <v>Sin datos</v>
      </c>
    </row>
    <row r="745" spans="1:75">
      <c r="A745" s="780" t="str">
        <f>'Base de datos Rutas'!A743</f>
        <v>Pacifico</v>
      </c>
      <c r="B745" s="781" t="str">
        <f>'Base de datos Rutas'!B743</f>
        <v>Culiacán</v>
      </c>
      <c r="C745" s="781" t="str">
        <f>'Base de datos Rutas'!C743</f>
        <v>Planta Aeropuerto</v>
      </c>
      <c r="D745" s="782">
        <f>IF(ISNUMBER('Base de datos Rutas'!D743),'Base de datos Rutas'!D743,"Sin código")</f>
        <v>501300</v>
      </c>
      <c r="E745" s="783" t="str">
        <f>'Base de datos Rutas'!F743</f>
        <v>Activa</v>
      </c>
      <c r="F745" s="784" t="str">
        <f>'Base de datos Rutas'!H743</f>
        <v>Sí</v>
      </c>
      <c r="G745" s="785">
        <f>IF(ISNUMBER('Base de datos Rutas'!BE743),'Base de datos Rutas'!BE743,"")</f>
        <v>39.180778032036599</v>
      </c>
      <c r="H745" s="786">
        <f>IF(ISNUMBER('Base de datos Rutas'!BH743),'Base de datos Rutas'!BH743,"")</f>
        <v>0.33547482770704401</v>
      </c>
      <c r="I745" s="788">
        <f>IFERROR(IF(OR(NOT(ISNUMBER('Base de datos Rutas'!O743)),N('Base de datos Rutas'!BK743)=0),"",'Base de datos Rutas'!O743/('Base de datos Rutas'!L743/'Base de datos Rutas'!BK743)),"")</f>
        <v>3920.9130434782651</v>
      </c>
      <c r="J745" s="788">
        <f>IFERROR(IF(OR(NOT(ISNUMBER('Base de datos Rutas'!N743)),N('Base de datos Rutas'!BK743)=0),"",'Base de datos Rutas'!N743/('Base de datos Rutas'!L743/'Base de datos Rutas'!BK743)),"")</f>
        <v>0</v>
      </c>
      <c r="K745" s="788">
        <f>IFERROR(IF(OR(NOT(ISNUMBER('Base de datos Rutas'!J743)),N('Base de datos Rutas'!BK743)=0),"",'Base de datos Rutas'!J743/('Base de datos Rutas'!L743/'Base de datos Rutas'!BK743)),"")</f>
        <v>0</v>
      </c>
      <c r="L745" s="788">
        <f>IFERROR(IF(OR(NOT(ISNUMBER('Base de datos Rutas'!K743)),N('Base de datos Rutas'!BK743)=0),"",'Base de datos Rutas'!K743/('Base de datos Rutas'!L743/'Base de datos Rutas'!BK743)),"")</f>
        <v>31.297424997711701</v>
      </c>
      <c r="M745" s="787">
        <f>IF(ISNUMBER('Base de datos Rutas'!AX743),'Base de datos Rutas'!AX743,"")</f>
        <v>298.30048572423402</v>
      </c>
      <c r="N745" s="790">
        <f>IFERROR(INDEX('Hoja de apoyo v2'!B$17:B$20,MATCH($A745,'Hoja de apoyo v2'!$A$17:$A$20,0)),"")</f>
        <v>48.509140196922353</v>
      </c>
      <c r="O745" s="791">
        <f>IFERROR(INDEX('Hoja de apoyo v2'!C$17:C$20,MATCH($A745,'Hoja de apoyo v2'!$A$17:$A$20,0)),"")</f>
        <v>0.66965083735281605</v>
      </c>
      <c r="P745" s="793">
        <f>IFERROR(INDEX('Hoja de apoyo v2'!D$17:D$20,MATCH($A745,'Hoja de apoyo v2'!$A$17:$A$20,0)),"")</f>
        <v>5938.874134119359</v>
      </c>
      <c r="Q745" s="793">
        <f>IFERROR(INDEX('Hoja de apoyo v2'!E$17:E$20,MATCH($A745,'Hoja de apoyo v2'!$A$17:$A$20,0)),"")</f>
        <v>4160.5938481536259</v>
      </c>
      <c r="R745" s="793">
        <f>IFERROR(INDEX('Hoja de apoyo v2'!F$17:F$20,MATCH($A745,'Hoja de apoyo v2'!$A$17:$A$20,0)),"")</f>
        <v>261.11067511683507</v>
      </c>
      <c r="S745" s="793">
        <f>IFERROR(INDEX('Hoja de apoyo v2'!G$17:G$20,MATCH($A745,'Hoja de apoyo v2'!$A$17:$A$20,0)),"")</f>
        <v>47.352224855431231</v>
      </c>
      <c r="T745" s="792">
        <f>IFERROR(INDEX('Hoja de apoyo v2'!H$17:H$20,MATCH($A745,'Hoja de apoyo v2'!$A$17:$A$20,0)),"")</f>
        <v>492.72230557971551</v>
      </c>
      <c r="U745" s="794">
        <f t="shared" si="400"/>
        <v>0.80769887639695603</v>
      </c>
      <c r="V745" s="795">
        <f t="shared" si="401"/>
        <v>0.50096977259552622</v>
      </c>
      <c r="W745" s="795">
        <f t="shared" si="402"/>
        <v>0.66021150725392064</v>
      </c>
      <c r="X745" s="843">
        <f t="shared" si="403"/>
        <v>0</v>
      </c>
      <c r="Y745" s="843">
        <f t="shared" si="404"/>
        <v>0</v>
      </c>
      <c r="Z745" s="843">
        <f t="shared" si="405"/>
        <v>0.6609494082540861</v>
      </c>
      <c r="AA745" s="843">
        <f t="shared" si="406"/>
        <v>0.60541299297028317</v>
      </c>
      <c r="AB745" s="796">
        <f t="shared" si="407"/>
        <v>3</v>
      </c>
      <c r="AC745" s="797">
        <f t="shared" si="408"/>
        <v>2</v>
      </c>
      <c r="AD745" s="797">
        <f t="shared" si="409"/>
        <v>2</v>
      </c>
      <c r="AE745" s="842">
        <f t="shared" si="410"/>
        <v>1</v>
      </c>
      <c r="AF745" s="842">
        <f t="shared" si="411"/>
        <v>1</v>
      </c>
      <c r="AG745" s="842">
        <f t="shared" si="412"/>
        <v>2</v>
      </c>
      <c r="AH745" s="842">
        <f t="shared" si="413"/>
        <v>2</v>
      </c>
      <c r="AI745" s="826" cm="1">
        <f t="array" ref="AI745">SUMPRODUCT(--ISNUMBER($U745:$AA745),$AB$3:$AH$3)</f>
        <v>1</v>
      </c>
      <c r="AJ745" s="829">
        <f t="shared" si="414"/>
        <v>23.198144019878281</v>
      </c>
      <c r="AK745" s="827" t="str">
        <f t="shared" si="415"/>
        <v>Inmadura</v>
      </c>
      <c r="AL745" s="784" t="str">
        <f t="shared" si="416"/>
        <v>Alta</v>
      </c>
      <c r="AM745" s="799">
        <f>IF(ISNUMBER('Base de datos Rutas'!W743),'Base de datos Rutas'!W743,"")</f>
        <v>1247.7563200000006</v>
      </c>
      <c r="AN745" s="787">
        <f>IFERROR(SUMIFS('Base de datos Rutas'!$W$6:$W$794,'Base de datos Rutas'!$C$6:$C$794,$C745)/'Base de datos Rutas'!I743,"")</f>
        <v>1247.7563200000006</v>
      </c>
      <c r="AO745" s="800">
        <f>IFERROR('Base de datos Rutas'!X743*AN745/AM745,"")</f>
        <v>1.1636950848444603</v>
      </c>
      <c r="AP745" s="800">
        <f t="shared" si="417"/>
        <v>-0.16369508484446027</v>
      </c>
      <c r="AQ745" s="789">
        <f>IFERROR(INDEX('Hoja de apoyo v2'!$J$17:$J$20,MATCH($A745,'Hoja de apoyo v2'!$A$17:$A$20,0)),"")</f>
        <v>0.50577184527496444</v>
      </c>
      <c r="AR745" s="789">
        <f t="shared" si="418"/>
        <v>-0.66946693011942471</v>
      </c>
      <c r="AS745" s="784" t="str">
        <f t="shared" si="419"/>
        <v>Sí</v>
      </c>
      <c r="AT745" s="801">
        <f>IF(ISNUMBER('Base de datos Rutas'!CK743),'Base de datos Rutas'!CK743,"")</f>
        <v>281</v>
      </c>
      <c r="AU745" s="802">
        <f>IF(ISNUMBER('Base de datos Rutas'!CL743),'Base de datos Rutas'!CL743,"")</f>
        <v>624.35</v>
      </c>
      <c r="AV745" s="802">
        <f>IF(ISNUMBER('Base de datos Rutas'!CM743),'Base de datos Rutas'!CM743,"")</f>
        <v>343.35</v>
      </c>
      <c r="AW745" s="802">
        <f>IF(ISNUMBER('Base de datos Rutas'!CN743),'Base de datos Rutas'!CN743,"")</f>
        <v>4.3099999999999996</v>
      </c>
      <c r="AX745" s="802">
        <f>IF(ISNUMBER('Base de datos Rutas'!CO743),'Base de datos Rutas'!CO743,"")</f>
        <v>9.4499999999999993</v>
      </c>
      <c r="AY745" s="802">
        <f>IF(ISNUMBER('Base de datos Rutas'!CP743),'Base de datos Rutas'!CP743,"")</f>
        <v>5.14</v>
      </c>
      <c r="AZ745" s="802">
        <f>IF(ISNUMBER('Base de datos Rutas'!CQ743),'Base de datos Rutas'!CQ743,"")</f>
        <v>423.28</v>
      </c>
      <c r="BA745" s="802">
        <f>IF(ISNUMBER('Base de datos Rutas'!CR743),'Base de datos Rutas'!CR743,"")</f>
        <v>31.3</v>
      </c>
      <c r="BB745" s="803">
        <f>IF(ISNUMBER('Base de datos Rutas'!CS743),'Base de datos Rutas'!CS743,"")</f>
        <v>391.97999999999996</v>
      </c>
      <c r="BC745" s="804">
        <f t="shared" si="429"/>
        <v>0</v>
      </c>
      <c r="BD745" s="805" t="str">
        <f t="shared" si="430"/>
        <v>No saturada</v>
      </c>
      <c r="BE745" s="806">
        <f t="shared" si="431"/>
        <v>7.3946323946323958E-2</v>
      </c>
      <c r="BF745" s="890">
        <f>IF(ISNUMBER('Base de datos Rutas'!CX743),'Base de datos Rutas'!CX743/100,"")</f>
        <v>0.4261234167144039</v>
      </c>
      <c r="BG745" s="891">
        <f>IF(ISNUMBER('Base de datos Rutas'!CZ743),'Base de datos Rutas'!CZ743/100,"")</f>
        <v>0.43705047419005794</v>
      </c>
      <c r="BH745" s="892">
        <f>IF(ISNUMBER('Base de datos Rutas'!DA743),'Base de datos Rutas'!DA743,"")</f>
        <v>53.008802043736338</v>
      </c>
      <c r="BI745" s="893">
        <f>IF(ISNUMBER('Base de datos Rutas'!DC743),'Base de datos Rutas'!DC743,"")</f>
        <v>0.42517743390203477</v>
      </c>
      <c r="BJ745" s="805" t="str">
        <f t="shared" si="432"/>
        <v>Ruta (completo)</v>
      </c>
      <c r="BK745" s="783">
        <f t="shared" si="420"/>
        <v>3</v>
      </c>
      <c r="BL745" s="797">
        <f t="shared" si="421"/>
        <v>3</v>
      </c>
      <c r="BM745" s="797">
        <f t="shared" si="422"/>
        <v>4</v>
      </c>
      <c r="BN745" s="797">
        <f t="shared" si="423"/>
        <v>3</v>
      </c>
      <c r="BO745" s="798" cm="1">
        <f t="array" ref="BO745">SUMPRODUCT(--ISNUMBER($BF745:$BI745),$BK$3:$BN$3)</f>
        <v>1</v>
      </c>
      <c r="BP745" s="831">
        <f t="shared" si="433"/>
        <v>56.25</v>
      </c>
      <c r="BQ745" s="834" t="str">
        <f t="shared" si="434"/>
        <v>Alto</v>
      </c>
      <c r="BR745" s="836">
        <f t="shared" si="424"/>
        <v>17.39860801490871</v>
      </c>
      <c r="BS745" s="836">
        <f t="shared" si="425"/>
        <v>56.25</v>
      </c>
      <c r="BT745" s="837" t="str">
        <f t="shared" si="426"/>
        <v>P3</v>
      </c>
      <c r="BU745" s="807" t="str">
        <f t="shared" si="435"/>
        <v>Con espacio</v>
      </c>
      <c r="BV745" s="807" t="str">
        <f t="shared" si="427"/>
        <v>Zona atractiva</v>
      </c>
      <c r="BW745" s="808" t="str">
        <f t="shared" si="428"/>
        <v>P3 - Desarrollar</v>
      </c>
    </row>
    <row r="746" spans="1:75">
      <c r="A746" s="780" t="str">
        <f>'Base de datos Rutas'!A744</f>
        <v>Pacifico</v>
      </c>
      <c r="B746" s="781" t="str">
        <f>'Base de datos Rutas'!B744</f>
        <v>Culiacán</v>
      </c>
      <c r="C746" s="781" t="str">
        <f>'Base de datos Rutas'!C744</f>
        <v>Planta Aeropuerto</v>
      </c>
      <c r="D746" s="782">
        <f>IF(ISNUMBER('Base de datos Rutas'!D744),'Base de datos Rutas'!D744,"Sin código")</f>
        <v>501301</v>
      </c>
      <c r="E746" s="783" t="str">
        <f>'Base de datos Rutas'!F744</f>
        <v>Activa</v>
      </c>
      <c r="F746" s="784" t="str">
        <f>'Base de datos Rutas'!H744</f>
        <v>Sí</v>
      </c>
      <c r="G746" s="785">
        <f>IF(ISNUMBER('Base de datos Rutas'!BE744),'Base de datos Rutas'!BE744,"")</f>
        <v>48.988532110091803</v>
      </c>
      <c r="H746" s="786">
        <f>IF(ISNUMBER('Base de datos Rutas'!BH744),'Base de datos Rutas'!BH744,"")</f>
        <v>0.46547122992649498</v>
      </c>
      <c r="I746" s="788">
        <f>IFERROR(IF(OR(NOT(ISNUMBER('Base de datos Rutas'!O744)),N('Base de datos Rutas'!BK744)=0),"",'Base de datos Rutas'!O744/('Base de datos Rutas'!L744/'Base de datos Rutas'!BK744)),"")</f>
        <v>5669.6857798165147</v>
      </c>
      <c r="J746" s="788">
        <f>IFERROR(IF(OR(NOT(ISNUMBER('Base de datos Rutas'!N744)),N('Base de datos Rutas'!BK744)=0),"",'Base de datos Rutas'!N744/('Base de datos Rutas'!L744/'Base de datos Rutas'!BK744)),"")</f>
        <v>0</v>
      </c>
      <c r="K746" s="788">
        <f>IFERROR(IF(OR(NOT(ISNUMBER('Base de datos Rutas'!J744)),N('Base de datos Rutas'!BK744)=0),"",'Base de datos Rutas'!J744/('Base de datos Rutas'!L744/'Base de datos Rutas'!BK744)),"")</f>
        <v>0</v>
      </c>
      <c r="L746" s="788">
        <f>IFERROR(IF(OR(NOT(ISNUMBER('Base de datos Rutas'!K744)),N('Base de datos Rutas'!BK744)=0),"",'Base de datos Rutas'!K744/('Base de datos Rutas'!L744/'Base de datos Rutas'!BK744)),"")</f>
        <v>47.269211876146798</v>
      </c>
      <c r="M746" s="787">
        <f>IF(ISNUMBER('Base de datos Rutas'!AX744),'Base de datos Rutas'!AX744,"")</f>
        <v>245.40082277207799</v>
      </c>
      <c r="N746" s="790">
        <f>IFERROR(INDEX('Hoja de apoyo v2'!B$17:B$20,MATCH($A746,'Hoja de apoyo v2'!$A$17:$A$20,0)),"")</f>
        <v>48.509140196922353</v>
      </c>
      <c r="O746" s="791">
        <f>IFERROR(INDEX('Hoja de apoyo v2'!C$17:C$20,MATCH($A746,'Hoja de apoyo v2'!$A$17:$A$20,0)),"")</f>
        <v>0.66965083735281605</v>
      </c>
      <c r="P746" s="793">
        <f>IFERROR(INDEX('Hoja de apoyo v2'!D$17:D$20,MATCH($A746,'Hoja de apoyo v2'!$A$17:$A$20,0)),"")</f>
        <v>5938.874134119359</v>
      </c>
      <c r="Q746" s="793">
        <f>IFERROR(INDEX('Hoja de apoyo v2'!E$17:E$20,MATCH($A746,'Hoja de apoyo v2'!$A$17:$A$20,0)),"")</f>
        <v>4160.5938481536259</v>
      </c>
      <c r="R746" s="793">
        <f>IFERROR(INDEX('Hoja de apoyo v2'!F$17:F$20,MATCH($A746,'Hoja de apoyo v2'!$A$17:$A$20,0)),"")</f>
        <v>261.11067511683507</v>
      </c>
      <c r="S746" s="793">
        <f>IFERROR(INDEX('Hoja de apoyo v2'!G$17:G$20,MATCH($A746,'Hoja de apoyo v2'!$A$17:$A$20,0)),"")</f>
        <v>47.352224855431231</v>
      </c>
      <c r="T746" s="792">
        <f>IFERROR(INDEX('Hoja de apoyo v2'!H$17:H$20,MATCH($A746,'Hoja de apoyo v2'!$A$17:$A$20,0)),"")</f>
        <v>492.72230557971551</v>
      </c>
      <c r="U746" s="794">
        <f t="shared" si="400"/>
        <v>1.009882506909489</v>
      </c>
      <c r="V746" s="795">
        <f t="shared" si="401"/>
        <v>0.69509541982586087</v>
      </c>
      <c r="W746" s="795">
        <f t="shared" si="402"/>
        <v>0.95467350406429163</v>
      </c>
      <c r="X746" s="843">
        <f t="shared" si="403"/>
        <v>0</v>
      </c>
      <c r="Y746" s="843">
        <f t="shared" si="404"/>
        <v>0</v>
      </c>
      <c r="Z746" s="843">
        <f t="shared" si="405"/>
        <v>0.99824690435269148</v>
      </c>
      <c r="AA746" s="843">
        <f t="shared" si="406"/>
        <v>0.49805097109080565</v>
      </c>
      <c r="AB746" s="796">
        <f t="shared" si="407"/>
        <v>4</v>
      </c>
      <c r="AC746" s="797">
        <f t="shared" si="408"/>
        <v>2</v>
      </c>
      <c r="AD746" s="797">
        <f t="shared" si="409"/>
        <v>3</v>
      </c>
      <c r="AE746" s="842">
        <f t="shared" si="410"/>
        <v>1</v>
      </c>
      <c r="AF746" s="842">
        <f t="shared" si="411"/>
        <v>1</v>
      </c>
      <c r="AG746" s="842">
        <f t="shared" si="412"/>
        <v>3</v>
      </c>
      <c r="AH746" s="842">
        <f t="shared" si="413"/>
        <v>1</v>
      </c>
      <c r="AI746" s="826" cm="1">
        <f t="array" ref="AI746">SUMPRODUCT(--ISNUMBER($U746:$AA746),$AB$3:$AH$3)</f>
        <v>1</v>
      </c>
      <c r="AJ746" s="829">
        <f t="shared" si="414"/>
        <v>34.990290595076189</v>
      </c>
      <c r="AK746" s="827" t="str">
        <f t="shared" si="415"/>
        <v>Inmadura</v>
      </c>
      <c r="AL746" s="784" t="str">
        <f t="shared" si="416"/>
        <v>Alta</v>
      </c>
      <c r="AM746" s="799">
        <f>IF(ISNUMBER('Base de datos Rutas'!W744),'Base de datos Rutas'!W744,"")</f>
        <v>1247.7563200000006</v>
      </c>
      <c r="AN746" s="787">
        <f>IFERROR(SUMIFS('Base de datos Rutas'!$W$6:$W$794,'Base de datos Rutas'!$C$6:$C$794,$C746)/'Base de datos Rutas'!I744,"")</f>
        <v>1247.7563200000006</v>
      </c>
      <c r="AO746" s="800">
        <f>IFERROR('Base de datos Rutas'!X744*AN746/AM746,"")</f>
        <v>1.1636950848444603</v>
      </c>
      <c r="AP746" s="800">
        <f t="shared" si="417"/>
        <v>-0.16369508484446027</v>
      </c>
      <c r="AQ746" s="789">
        <f>IFERROR(INDEX('Hoja de apoyo v2'!$J$17:$J$20,MATCH($A746,'Hoja de apoyo v2'!$A$17:$A$20,0)),"")</f>
        <v>0.50577184527496444</v>
      </c>
      <c r="AR746" s="789">
        <f t="shared" si="418"/>
        <v>-0.66946693011942471</v>
      </c>
      <c r="AS746" s="784" t="str">
        <f t="shared" si="419"/>
        <v>Sí</v>
      </c>
      <c r="AT746" s="801">
        <f>IF(ISNUMBER('Base de datos Rutas'!CK744),'Base de datos Rutas'!CK744,"")</f>
        <v>333</v>
      </c>
      <c r="AU746" s="802">
        <f>IF(ISNUMBER('Base de datos Rutas'!CL744),'Base de datos Rutas'!CL744,"")</f>
        <v>722.02</v>
      </c>
      <c r="AV746" s="802">
        <f>IF(ISNUMBER('Base de datos Rutas'!CM744),'Base de datos Rutas'!CM744,"")</f>
        <v>389.02</v>
      </c>
      <c r="AW746" s="802">
        <f>IF(ISNUMBER('Base de datos Rutas'!CN744),'Base de datos Rutas'!CN744,"")</f>
        <v>4.66</v>
      </c>
      <c r="AX746" s="802">
        <f>IF(ISNUMBER('Base de datos Rutas'!CO744),'Base de datos Rutas'!CO744,"")</f>
        <v>9.4499999999999993</v>
      </c>
      <c r="AY746" s="802">
        <f>IF(ISNUMBER('Base de datos Rutas'!CP744),'Base de datos Rutas'!CP744,"")</f>
        <v>4.7899999999999991</v>
      </c>
      <c r="AZ746" s="802">
        <f>IF(ISNUMBER('Base de datos Rutas'!CQ744),'Base de datos Rutas'!CQ744,"")</f>
        <v>338.62</v>
      </c>
      <c r="BA746" s="802">
        <f>IF(ISNUMBER('Base de datos Rutas'!CR744),'Base de datos Rutas'!CR744,"")</f>
        <v>47.27</v>
      </c>
      <c r="BB746" s="803">
        <f>IF(ISNUMBER('Base de datos Rutas'!CS744),'Base de datos Rutas'!CS744,"")</f>
        <v>291.35000000000002</v>
      </c>
      <c r="BC746" s="804">
        <f t="shared" si="429"/>
        <v>0</v>
      </c>
      <c r="BD746" s="805" t="str">
        <f t="shared" si="430"/>
        <v>No saturada</v>
      </c>
      <c r="BE746" s="806">
        <f t="shared" si="431"/>
        <v>0.13959600732384383</v>
      </c>
      <c r="BF746" s="890">
        <f>IF(ISNUMBER('Base de datos Rutas'!CX744),'Base de datos Rutas'!CX744/100,"")</f>
        <v>0.50430193798449607</v>
      </c>
      <c r="BG746" s="891">
        <f>IF(ISNUMBER('Base de datos Rutas'!CZ744),'Base de datos Rutas'!CZ744/100,"")</f>
        <v>0.51184108527131777</v>
      </c>
      <c r="BH746" s="892">
        <f>IF(ISNUMBER('Base de datos Rutas'!DA744),'Base de datos Rutas'!DA744,"")</f>
        <v>32.862342856241568</v>
      </c>
      <c r="BI746" s="893">
        <f>IF(ISNUMBER('Base de datos Rutas'!DC744),'Base de datos Rutas'!DC744,"")</f>
        <v>0.26828030226382416</v>
      </c>
      <c r="BJ746" s="805" t="str">
        <f t="shared" si="432"/>
        <v>Ruta (completo)</v>
      </c>
      <c r="BK746" s="783">
        <f t="shared" si="420"/>
        <v>4</v>
      </c>
      <c r="BL746" s="797">
        <f t="shared" si="421"/>
        <v>4</v>
      </c>
      <c r="BM746" s="797">
        <f t="shared" si="422"/>
        <v>1</v>
      </c>
      <c r="BN746" s="797">
        <f t="shared" si="423"/>
        <v>1</v>
      </c>
      <c r="BO746" s="798" cm="1">
        <f t="array" ref="BO746">SUMPRODUCT(--ISNUMBER($BF746:$BI746),$BK$3:$BN$3)</f>
        <v>1</v>
      </c>
      <c r="BP746" s="831">
        <f t="shared" si="433"/>
        <v>37.5</v>
      </c>
      <c r="BQ746" s="834" t="str">
        <f t="shared" si="434"/>
        <v>Medio</v>
      </c>
      <c r="BR746" s="836">
        <f t="shared" si="424"/>
        <v>26.242717946307142</v>
      </c>
      <c r="BS746" s="836">
        <f t="shared" si="425"/>
        <v>37.5</v>
      </c>
      <c r="BT746" s="837" t="str">
        <f t="shared" si="426"/>
        <v>P4</v>
      </c>
      <c r="BU746" s="807" t="str">
        <f t="shared" si="435"/>
        <v>Con espacio</v>
      </c>
      <c r="BV746" s="807" t="str">
        <f t="shared" si="427"/>
        <v>Zona de bajo potencial</v>
      </c>
      <c r="BW746" s="808" t="str">
        <f t="shared" si="428"/>
        <v>P4 - Evaluar</v>
      </c>
    </row>
    <row r="747" spans="1:75">
      <c r="A747" s="780" t="str">
        <f>'Base de datos Rutas'!A745</f>
        <v>Pacifico</v>
      </c>
      <c r="B747" s="781" t="str">
        <f>'Base de datos Rutas'!B745</f>
        <v>Culiacán</v>
      </c>
      <c r="C747" s="781" t="str">
        <f>'Base de datos Rutas'!C745</f>
        <v>Planta Aeropuerto</v>
      </c>
      <c r="D747" s="782">
        <f>IF(ISNUMBER('Base de datos Rutas'!D745),'Base de datos Rutas'!D745,"Sin código")</f>
        <v>501302</v>
      </c>
      <c r="E747" s="783" t="str">
        <f>'Base de datos Rutas'!F745</f>
        <v>Activa</v>
      </c>
      <c r="F747" s="784" t="str">
        <f>'Base de datos Rutas'!H745</f>
        <v>Sí</v>
      </c>
      <c r="G747" s="785">
        <f>IF(ISNUMBER('Base de datos Rutas'!BE745),'Base de datos Rutas'!BE745,"")</f>
        <v>48.029748283752902</v>
      </c>
      <c r="H747" s="786">
        <f>IF(ISNUMBER('Base de datos Rutas'!BH745),'Base de datos Rutas'!BH745,"")</f>
        <v>0.194054028300538</v>
      </c>
      <c r="I747" s="788">
        <f>IFERROR(IF(OR(NOT(ISNUMBER('Base de datos Rutas'!O745)),N('Base de datos Rutas'!BK745)=0),"",'Base de datos Rutas'!O745/('Base de datos Rutas'!L745/'Base de datos Rutas'!BK745)),"")</f>
        <v>3497.2768878718512</v>
      </c>
      <c r="J747" s="788">
        <f>IFERROR(IF(OR(NOT(ISNUMBER('Base de datos Rutas'!N745)),N('Base de datos Rutas'!BK745)=0),"",'Base de datos Rutas'!N745/('Base de datos Rutas'!L745/'Base de datos Rutas'!BK745)),"")</f>
        <v>0</v>
      </c>
      <c r="K747" s="788">
        <f>IFERROR(IF(OR(NOT(ISNUMBER('Base de datos Rutas'!J745)),N('Base de datos Rutas'!BK745)=0),"",'Base de datos Rutas'!J745/('Base de datos Rutas'!L745/'Base de datos Rutas'!BK745)),"")</f>
        <v>0</v>
      </c>
      <c r="L747" s="788">
        <f>IFERROR(IF(OR(NOT(ISNUMBER('Base de datos Rutas'!K745)),N('Base de datos Rutas'!BK745)=0),"",'Base de datos Rutas'!K745/('Base de datos Rutas'!L745/'Base de datos Rutas'!BK745)),"")</f>
        <v>28.3990651098398</v>
      </c>
      <c r="M747" s="787">
        <f>IF(ISNUMBER('Base de datos Rutas'!AX745),'Base de datos Rutas'!AX745,"")</f>
        <v>375.229165234471</v>
      </c>
      <c r="N747" s="790">
        <f>IFERROR(INDEX('Hoja de apoyo v2'!B$17:B$20,MATCH($A747,'Hoja de apoyo v2'!$A$17:$A$20,0)),"")</f>
        <v>48.509140196922353</v>
      </c>
      <c r="O747" s="791">
        <f>IFERROR(INDEX('Hoja de apoyo v2'!C$17:C$20,MATCH($A747,'Hoja de apoyo v2'!$A$17:$A$20,0)),"")</f>
        <v>0.66965083735281605</v>
      </c>
      <c r="P747" s="793">
        <f>IFERROR(INDEX('Hoja de apoyo v2'!D$17:D$20,MATCH($A747,'Hoja de apoyo v2'!$A$17:$A$20,0)),"")</f>
        <v>5938.874134119359</v>
      </c>
      <c r="Q747" s="793">
        <f>IFERROR(INDEX('Hoja de apoyo v2'!E$17:E$20,MATCH($A747,'Hoja de apoyo v2'!$A$17:$A$20,0)),"")</f>
        <v>4160.5938481536259</v>
      </c>
      <c r="R747" s="793">
        <f>IFERROR(INDEX('Hoja de apoyo v2'!F$17:F$20,MATCH($A747,'Hoja de apoyo v2'!$A$17:$A$20,0)),"")</f>
        <v>261.11067511683507</v>
      </c>
      <c r="S747" s="793">
        <f>IFERROR(INDEX('Hoja de apoyo v2'!G$17:G$20,MATCH($A747,'Hoja de apoyo v2'!$A$17:$A$20,0)),"")</f>
        <v>47.352224855431231</v>
      </c>
      <c r="T747" s="792">
        <f>IFERROR(INDEX('Hoja de apoyo v2'!H$17:H$20,MATCH($A747,'Hoja de apoyo v2'!$A$17:$A$20,0)),"")</f>
        <v>492.72230557971551</v>
      </c>
      <c r="U747" s="794">
        <f t="shared" si="400"/>
        <v>0.99011749309051111</v>
      </c>
      <c r="V747" s="795">
        <f t="shared" si="401"/>
        <v>0.28978389554121858</v>
      </c>
      <c r="W747" s="795">
        <f t="shared" si="402"/>
        <v>0.5888787687517546</v>
      </c>
      <c r="X747" s="843">
        <f t="shared" si="403"/>
        <v>0</v>
      </c>
      <c r="Y747" s="843">
        <f t="shared" si="404"/>
        <v>0</v>
      </c>
      <c r="Z747" s="843">
        <f t="shared" si="405"/>
        <v>0.59974088221923261</v>
      </c>
      <c r="AA747" s="843">
        <f t="shared" si="406"/>
        <v>0.7615428832534642</v>
      </c>
      <c r="AB747" s="796">
        <f t="shared" si="407"/>
        <v>3</v>
      </c>
      <c r="AC747" s="797">
        <f t="shared" si="408"/>
        <v>1</v>
      </c>
      <c r="AD747" s="797">
        <f t="shared" si="409"/>
        <v>2</v>
      </c>
      <c r="AE747" s="842">
        <f t="shared" si="410"/>
        <v>1</v>
      </c>
      <c r="AF747" s="842">
        <f t="shared" si="411"/>
        <v>1</v>
      </c>
      <c r="AG747" s="842">
        <f t="shared" si="412"/>
        <v>2</v>
      </c>
      <c r="AH747" s="842">
        <f t="shared" si="413"/>
        <v>3</v>
      </c>
      <c r="AI747" s="826" cm="1">
        <f t="array" ref="AI747">SUMPRODUCT(--ISNUMBER($U747:$AA747),$AB$3:$AH$3)</f>
        <v>1</v>
      </c>
      <c r="AJ747" s="829">
        <f t="shared" si="414"/>
        <v>23.059966274314359</v>
      </c>
      <c r="AK747" s="827" t="str">
        <f t="shared" si="415"/>
        <v>Inmadura</v>
      </c>
      <c r="AL747" s="784" t="str">
        <f t="shared" si="416"/>
        <v>Alta</v>
      </c>
      <c r="AM747" s="799">
        <f>IF(ISNUMBER('Base de datos Rutas'!W745),'Base de datos Rutas'!W745,"")</f>
        <v>1247.7563200000006</v>
      </c>
      <c r="AN747" s="787">
        <f>IFERROR(SUMIFS('Base de datos Rutas'!$W$6:$W$794,'Base de datos Rutas'!$C$6:$C$794,$C747)/'Base de datos Rutas'!I745,"")</f>
        <v>1247.7563200000006</v>
      </c>
      <c r="AO747" s="800">
        <f>IFERROR('Base de datos Rutas'!X745*AN747/AM747,"")</f>
        <v>1.1636950848444603</v>
      </c>
      <c r="AP747" s="800">
        <f t="shared" si="417"/>
        <v>-0.16369508484446027</v>
      </c>
      <c r="AQ747" s="789">
        <f>IFERROR(INDEX('Hoja de apoyo v2'!$J$17:$J$20,MATCH($A747,'Hoja de apoyo v2'!$A$17:$A$20,0)),"")</f>
        <v>0.50577184527496444</v>
      </c>
      <c r="AR747" s="789">
        <f t="shared" si="418"/>
        <v>-0.66946693011942471</v>
      </c>
      <c r="AS747" s="784" t="str">
        <f t="shared" si="419"/>
        <v>Sí</v>
      </c>
      <c r="AT747" s="801">
        <f>IF(ISNUMBER('Base de datos Rutas'!CK745),'Base de datos Rutas'!CK745,"")</f>
        <v>399</v>
      </c>
      <c r="AU747" s="802">
        <f>IF(ISNUMBER('Base de datos Rutas'!CL745),'Base de datos Rutas'!CL745,"")</f>
        <v>750.91</v>
      </c>
      <c r="AV747" s="802">
        <f>IF(ISNUMBER('Base de datos Rutas'!CM745),'Base de datos Rutas'!CM745,"")</f>
        <v>351.90999999999997</v>
      </c>
      <c r="AW747" s="802">
        <f>IF(ISNUMBER('Base de datos Rutas'!CN745),'Base de datos Rutas'!CN745,"")</f>
        <v>6.02</v>
      </c>
      <c r="AX747" s="802">
        <f>IF(ISNUMBER('Base de datos Rutas'!CO745),'Base de datos Rutas'!CO745,"")</f>
        <v>9.4499999999999993</v>
      </c>
      <c r="AY747" s="802">
        <f>IF(ISNUMBER('Base de datos Rutas'!CP745),'Base de datos Rutas'!CP745,"")</f>
        <v>3.4299999999999997</v>
      </c>
      <c r="AZ747" s="802">
        <f>IF(ISNUMBER('Base de datos Rutas'!CQ745),'Base de datos Rutas'!CQ745,"")</f>
        <v>423.28</v>
      </c>
      <c r="BA747" s="802">
        <f>IF(ISNUMBER('Base de datos Rutas'!CR745),'Base de datos Rutas'!CR745,"")</f>
        <v>28.4</v>
      </c>
      <c r="BB747" s="803">
        <f>IF(ISNUMBER('Base de datos Rutas'!CS745),'Base de datos Rutas'!CS745,"")</f>
        <v>394.88</v>
      </c>
      <c r="BC747" s="804">
        <f t="shared" si="429"/>
        <v>0</v>
      </c>
      <c r="BD747" s="805" t="str">
        <f t="shared" si="430"/>
        <v>No saturada</v>
      </c>
      <c r="BE747" s="806">
        <f t="shared" si="431"/>
        <v>6.7095067095067101E-2</v>
      </c>
      <c r="BF747" s="890">
        <f>IF(ISNUMBER('Base de datos Rutas'!CX745),'Base de datos Rutas'!CX745/100,"")</f>
        <v>0.82868071898768714</v>
      </c>
      <c r="BG747" s="891">
        <f>IF(ISNUMBER('Base de datos Rutas'!CZ745),'Base de datos Rutas'!CZ745/100,"")</f>
        <v>0.84068351580886114</v>
      </c>
      <c r="BH747" s="892">
        <f>IF(ISNUMBER('Base de datos Rutas'!DA745),'Base de datos Rutas'!DA745,"")</f>
        <v>82.057300905162663</v>
      </c>
      <c r="BI747" s="893">
        <f>IF(ISNUMBER('Base de datos Rutas'!DC745),'Base de datos Rutas'!DC745,"")</f>
        <v>0.69512259650951047</v>
      </c>
      <c r="BJ747" s="805" t="str">
        <f t="shared" si="432"/>
        <v>Ruta (completo)</v>
      </c>
      <c r="BK747" s="783">
        <f t="shared" si="420"/>
        <v>5</v>
      </c>
      <c r="BL747" s="797">
        <f t="shared" si="421"/>
        <v>5</v>
      </c>
      <c r="BM747" s="797">
        <f t="shared" si="422"/>
        <v>5</v>
      </c>
      <c r="BN747" s="797">
        <f t="shared" si="423"/>
        <v>5</v>
      </c>
      <c r="BO747" s="798" cm="1">
        <f t="array" ref="BO747">SUMPRODUCT(--ISNUMBER($BF747:$BI747),$BK$3:$BN$3)</f>
        <v>1</v>
      </c>
      <c r="BP747" s="831">
        <f t="shared" si="433"/>
        <v>100</v>
      </c>
      <c r="BQ747" s="834" t="str">
        <f t="shared" si="434"/>
        <v>Alto</v>
      </c>
      <c r="BR747" s="836">
        <f t="shared" si="424"/>
        <v>17.294974705735768</v>
      </c>
      <c r="BS747" s="836">
        <f t="shared" si="425"/>
        <v>100</v>
      </c>
      <c r="BT747" s="837" t="str">
        <f t="shared" si="426"/>
        <v>P3</v>
      </c>
      <c r="BU747" s="807" t="str">
        <f t="shared" si="435"/>
        <v>Con espacio</v>
      </c>
      <c r="BV747" s="807" t="str">
        <f t="shared" si="427"/>
        <v>Zona atractiva</v>
      </c>
      <c r="BW747" s="808" t="str">
        <f t="shared" si="428"/>
        <v>P3 - Desarrollar</v>
      </c>
    </row>
    <row r="748" spans="1:75">
      <c r="A748" s="780" t="str">
        <f>'Base de datos Rutas'!A746</f>
        <v>Pacifico</v>
      </c>
      <c r="B748" s="781" t="str">
        <f>'Base de datos Rutas'!B746</f>
        <v>Culiacán</v>
      </c>
      <c r="C748" s="781" t="str">
        <f>'Base de datos Rutas'!C746</f>
        <v>Planta Aeropuerto</v>
      </c>
      <c r="D748" s="782">
        <f>IF(ISNUMBER('Base de datos Rutas'!D746),'Base de datos Rutas'!D746,"Sin código")</f>
        <v>501303</v>
      </c>
      <c r="E748" s="783" t="str">
        <f>'Base de datos Rutas'!F746</f>
        <v>Activa</v>
      </c>
      <c r="F748" s="784" t="str">
        <f>'Base de datos Rutas'!H746</f>
        <v>Sí</v>
      </c>
      <c r="G748" s="785">
        <f>IF(ISNUMBER('Base de datos Rutas'!BE746),'Base de datos Rutas'!BE746,"")</f>
        <v>46.127610208816698</v>
      </c>
      <c r="H748" s="786">
        <f>IF(ISNUMBER('Base de datos Rutas'!BH746),'Base de datos Rutas'!BH746,"")</f>
        <v>0.25245208993511398</v>
      </c>
      <c r="I748" s="788">
        <f>IFERROR(IF(OR(NOT(ISNUMBER('Base de datos Rutas'!O746)),N('Base de datos Rutas'!BK746)=0),"",'Base de datos Rutas'!O746/('Base de datos Rutas'!L746/'Base de datos Rutas'!BK746)),"")</f>
        <v>2911.3642691415289</v>
      </c>
      <c r="J748" s="788">
        <f>IFERROR(IF(OR(NOT(ISNUMBER('Base de datos Rutas'!N746)),N('Base de datos Rutas'!BK746)=0),"",'Base de datos Rutas'!N746/('Base de datos Rutas'!L746/'Base de datos Rutas'!BK746)),"")</f>
        <v>0.12064965197215767</v>
      </c>
      <c r="K748" s="788">
        <f>IFERROR(IF(OR(NOT(ISNUMBER('Base de datos Rutas'!J746)),N('Base de datos Rutas'!BK746)=0),"",'Base de datos Rutas'!J746/('Base de datos Rutas'!L746/'Base de datos Rutas'!BK746)),"")</f>
        <v>1.6345243619489549E-2</v>
      </c>
      <c r="L748" s="788">
        <f>IFERROR(IF(OR(NOT(ISNUMBER('Base de datos Rutas'!K746)),N('Base de datos Rutas'!BK746)=0),"",'Base de datos Rutas'!K746/('Base de datos Rutas'!L746/'Base de datos Rutas'!BK746)),"")</f>
        <v>22.193540076566109</v>
      </c>
      <c r="M748" s="787">
        <f>IF(ISNUMBER('Base de datos Rutas'!AX746),'Base de datos Rutas'!AX746,"")</f>
        <v>249.63326359832601</v>
      </c>
      <c r="N748" s="790">
        <f>IFERROR(INDEX('Hoja de apoyo v2'!B$17:B$20,MATCH($A748,'Hoja de apoyo v2'!$A$17:$A$20,0)),"")</f>
        <v>48.509140196922353</v>
      </c>
      <c r="O748" s="791">
        <f>IFERROR(INDEX('Hoja de apoyo v2'!C$17:C$20,MATCH($A748,'Hoja de apoyo v2'!$A$17:$A$20,0)),"")</f>
        <v>0.66965083735281605</v>
      </c>
      <c r="P748" s="793">
        <f>IFERROR(INDEX('Hoja de apoyo v2'!D$17:D$20,MATCH($A748,'Hoja de apoyo v2'!$A$17:$A$20,0)),"")</f>
        <v>5938.874134119359</v>
      </c>
      <c r="Q748" s="793">
        <f>IFERROR(INDEX('Hoja de apoyo v2'!E$17:E$20,MATCH($A748,'Hoja de apoyo v2'!$A$17:$A$20,0)),"")</f>
        <v>4160.5938481536259</v>
      </c>
      <c r="R748" s="793">
        <f>IFERROR(INDEX('Hoja de apoyo v2'!F$17:F$20,MATCH($A748,'Hoja de apoyo v2'!$A$17:$A$20,0)),"")</f>
        <v>261.11067511683507</v>
      </c>
      <c r="S748" s="793">
        <f>IFERROR(INDEX('Hoja de apoyo v2'!G$17:G$20,MATCH($A748,'Hoja de apoyo v2'!$A$17:$A$20,0)),"")</f>
        <v>47.352224855431231</v>
      </c>
      <c r="T748" s="792">
        <f>IFERROR(INDEX('Hoja de apoyo v2'!H$17:H$20,MATCH($A748,'Hoja de apoyo v2'!$A$17:$A$20,0)),"")</f>
        <v>492.72230557971551</v>
      </c>
      <c r="U748" s="794">
        <f t="shared" si="400"/>
        <v>0.95090554113229264</v>
      </c>
      <c r="V748" s="795">
        <f t="shared" si="401"/>
        <v>0.37699062832964941</v>
      </c>
      <c r="W748" s="795">
        <f t="shared" si="402"/>
        <v>0.49022158129526316</v>
      </c>
      <c r="X748" s="843">
        <f t="shared" si="403"/>
        <v>2.8998180638492065E-5</v>
      </c>
      <c r="Y748" s="843">
        <f t="shared" si="404"/>
        <v>6.259890987672488E-5</v>
      </c>
      <c r="Z748" s="843">
        <f t="shared" si="405"/>
        <v>0.46869054504459134</v>
      </c>
      <c r="AA748" s="843">
        <f t="shared" si="406"/>
        <v>0.50664088224018688</v>
      </c>
      <c r="AB748" s="796">
        <f t="shared" si="407"/>
        <v>3</v>
      </c>
      <c r="AC748" s="797">
        <f t="shared" si="408"/>
        <v>1</v>
      </c>
      <c r="AD748" s="797">
        <f t="shared" si="409"/>
        <v>1</v>
      </c>
      <c r="AE748" s="842">
        <f t="shared" si="410"/>
        <v>1</v>
      </c>
      <c r="AF748" s="842">
        <f t="shared" si="411"/>
        <v>1</v>
      </c>
      <c r="AG748" s="842">
        <f t="shared" si="412"/>
        <v>1</v>
      </c>
      <c r="AH748" s="842">
        <f t="shared" si="413"/>
        <v>2</v>
      </c>
      <c r="AI748" s="826" cm="1">
        <f t="array" ref="AI748">SUMPRODUCT(--ISNUMBER($U748:$AA748),$AB$3:$AH$3)</f>
        <v>1</v>
      </c>
      <c r="AJ748" s="829">
        <f t="shared" si="414"/>
        <v>11.312000196600074</v>
      </c>
      <c r="AK748" s="827" t="str">
        <f t="shared" si="415"/>
        <v>Inmadura</v>
      </c>
      <c r="AL748" s="784" t="str">
        <f t="shared" si="416"/>
        <v>Alta</v>
      </c>
      <c r="AM748" s="799">
        <f>IF(ISNUMBER('Base de datos Rutas'!W746),'Base de datos Rutas'!W746,"")</f>
        <v>1247.7563200000006</v>
      </c>
      <c r="AN748" s="787">
        <f>IFERROR(SUMIFS('Base de datos Rutas'!$W$6:$W$794,'Base de datos Rutas'!$C$6:$C$794,$C748)/'Base de datos Rutas'!I746,"")</f>
        <v>1247.7563200000006</v>
      </c>
      <c r="AO748" s="800">
        <f>IFERROR('Base de datos Rutas'!X746*AN748/AM748,"")</f>
        <v>1.1636950848444603</v>
      </c>
      <c r="AP748" s="800">
        <f t="shared" si="417"/>
        <v>-0.16369508484446027</v>
      </c>
      <c r="AQ748" s="789">
        <f>IFERROR(INDEX('Hoja de apoyo v2'!$J$17:$J$20,MATCH($A748,'Hoja de apoyo v2'!$A$17:$A$20,0)),"")</f>
        <v>0.50577184527496444</v>
      </c>
      <c r="AR748" s="789">
        <f t="shared" si="418"/>
        <v>-0.66946693011942471</v>
      </c>
      <c r="AS748" s="784" t="str">
        <f t="shared" si="419"/>
        <v>Sí</v>
      </c>
      <c r="AT748" s="801">
        <f>IF(ISNUMBER('Base de datos Rutas'!CK746),'Base de datos Rutas'!CK746,"")</f>
        <v>371</v>
      </c>
      <c r="AU748" s="802">
        <f>IF(ISNUMBER('Base de datos Rutas'!CL746),'Base de datos Rutas'!CL746,"")</f>
        <v>761.65</v>
      </c>
      <c r="AV748" s="802">
        <f>IF(ISNUMBER('Base de datos Rutas'!CM746),'Base de datos Rutas'!CM746,"")</f>
        <v>390.65</v>
      </c>
      <c r="AW748" s="802">
        <f>IF(ISNUMBER('Base de datos Rutas'!CN746),'Base de datos Rutas'!CN746,"")</f>
        <v>6.59</v>
      </c>
      <c r="AX748" s="802">
        <f>IF(ISNUMBER('Base de datos Rutas'!CO746),'Base de datos Rutas'!CO746,"")</f>
        <v>9.4499999999999993</v>
      </c>
      <c r="AY748" s="802">
        <f>IF(ISNUMBER('Base de datos Rutas'!CP746),'Base de datos Rutas'!CP746,"")</f>
        <v>2.8599999999999994</v>
      </c>
      <c r="AZ748" s="802">
        <f>IF(ISNUMBER('Base de datos Rutas'!CQ746),'Base de datos Rutas'!CQ746,"")</f>
        <v>338.62</v>
      </c>
      <c r="BA748" s="802">
        <f>IF(ISNUMBER('Base de datos Rutas'!CR746),'Base de datos Rutas'!CR746,"")</f>
        <v>22.21</v>
      </c>
      <c r="BB748" s="803">
        <f>IF(ISNUMBER('Base de datos Rutas'!CS746),'Base de datos Rutas'!CS746,"")</f>
        <v>316.41000000000003</v>
      </c>
      <c r="BC748" s="804">
        <f t="shared" si="429"/>
        <v>0</v>
      </c>
      <c r="BD748" s="805" t="str">
        <f t="shared" si="430"/>
        <v>No saturada</v>
      </c>
      <c r="BE748" s="806">
        <f t="shared" si="431"/>
        <v>6.5589746618628555E-2</v>
      </c>
      <c r="BF748" s="890">
        <f>IF(ISNUMBER('Base de datos Rutas'!CX746),'Base de datos Rutas'!CX746/100,"")</f>
        <v>0.3328954023569875</v>
      </c>
      <c r="BG748" s="891">
        <f>IF(ISNUMBER('Base de datos Rutas'!CZ746),'Base de datos Rutas'!CZ746/100,"")</f>
        <v>0.342774771129432</v>
      </c>
      <c r="BH748" s="892">
        <f>IF(ISNUMBER('Base de datos Rutas'!DA746),'Base de datos Rutas'!DA746,"")</f>
        <v>51.973136268191567</v>
      </c>
      <c r="BI748" s="893">
        <f>IF(ISNUMBER('Base de datos Rutas'!DC746),'Base de datos Rutas'!DC746,"")</f>
        <v>0.47516305579519513</v>
      </c>
      <c r="BJ748" s="805" t="str">
        <f t="shared" si="432"/>
        <v>Ruta (completo)</v>
      </c>
      <c r="BK748" s="783">
        <f t="shared" si="420"/>
        <v>2</v>
      </c>
      <c r="BL748" s="797">
        <f t="shared" si="421"/>
        <v>2</v>
      </c>
      <c r="BM748" s="797">
        <f t="shared" si="422"/>
        <v>3</v>
      </c>
      <c r="BN748" s="797">
        <f t="shared" si="423"/>
        <v>4</v>
      </c>
      <c r="BO748" s="798" cm="1">
        <f t="array" ref="BO748">SUMPRODUCT(--ISNUMBER($BF748:$BI748),$BK$3:$BN$3)</f>
        <v>1</v>
      </c>
      <c r="BP748" s="831">
        <f t="shared" si="433"/>
        <v>43.75</v>
      </c>
      <c r="BQ748" s="834" t="str">
        <f t="shared" si="434"/>
        <v>Medio</v>
      </c>
      <c r="BR748" s="836">
        <f t="shared" si="424"/>
        <v>8.4840001474500557</v>
      </c>
      <c r="BS748" s="836">
        <f t="shared" si="425"/>
        <v>43.75</v>
      </c>
      <c r="BT748" s="837" t="str">
        <f t="shared" si="426"/>
        <v>P4</v>
      </c>
      <c r="BU748" s="807" t="str">
        <f t="shared" si="435"/>
        <v>Con espacio</v>
      </c>
      <c r="BV748" s="807" t="str">
        <f t="shared" si="427"/>
        <v>Zona de bajo potencial</v>
      </c>
      <c r="BW748" s="808" t="str">
        <f t="shared" si="428"/>
        <v>P4 - Evaluar</v>
      </c>
    </row>
    <row r="749" spans="1:75">
      <c r="A749" s="780" t="str">
        <f>'Base de datos Rutas'!A747</f>
        <v>Pacifico</v>
      </c>
      <c r="B749" s="781" t="str">
        <f>'Base de datos Rutas'!B747</f>
        <v>Culiacán</v>
      </c>
      <c r="C749" s="781" t="str">
        <f>'Base de datos Rutas'!C747</f>
        <v>Planta Aeropuerto</v>
      </c>
      <c r="D749" s="782">
        <f>IF(ISNUMBER('Base de datos Rutas'!D747),'Base de datos Rutas'!D747,"Sin código")</f>
        <v>501304</v>
      </c>
      <c r="E749" s="783" t="str">
        <f>'Base de datos Rutas'!F747</f>
        <v>Activa</v>
      </c>
      <c r="F749" s="784" t="str">
        <f>'Base de datos Rutas'!H747</f>
        <v>Sí</v>
      </c>
      <c r="G749" s="785">
        <f>IF(ISNUMBER('Base de datos Rutas'!BE747),'Base de datos Rutas'!BE747,"")</f>
        <v>35.790804597701197</v>
      </c>
      <c r="H749" s="786">
        <f>IF(ISNUMBER('Base de datos Rutas'!BH747),'Base de datos Rutas'!BH747,"")</f>
        <v>0.43907765431305801</v>
      </c>
      <c r="I749" s="788">
        <f>IFERROR(IF(OR(NOT(ISNUMBER('Base de datos Rutas'!O747)),N('Base de datos Rutas'!BK747)=0),"",'Base de datos Rutas'!O747/('Base de datos Rutas'!L747/'Base de datos Rutas'!BK747)),"")</f>
        <v>4464.9195402298892</v>
      </c>
      <c r="J749" s="788">
        <f>IFERROR(IF(OR(NOT(ISNUMBER('Base de datos Rutas'!N747)),N('Base de datos Rutas'!BK747)=0),"",'Base de datos Rutas'!N747/('Base de datos Rutas'!L747/'Base de datos Rutas'!BK747)),"")</f>
        <v>0</v>
      </c>
      <c r="K749" s="788">
        <f>IFERROR(IF(OR(NOT(ISNUMBER('Base de datos Rutas'!J747)),N('Base de datos Rutas'!BK747)=0),"",'Base de datos Rutas'!J747/('Base de datos Rutas'!L747/'Base de datos Rutas'!BK747)),"")</f>
        <v>0</v>
      </c>
      <c r="L749" s="788">
        <f>IFERROR(IF(OR(NOT(ISNUMBER('Base de datos Rutas'!K747)),N('Base de datos Rutas'!BK747)=0),"",'Base de datos Rutas'!K747/('Base de datos Rutas'!L747/'Base de datos Rutas'!BK747)),"")</f>
        <v>41.804832057471302</v>
      </c>
      <c r="M749" s="787">
        <f>IF(ISNUMBER('Base de datos Rutas'!AX747),'Base de datos Rutas'!AX747,"")</f>
        <v>283.42939438268002</v>
      </c>
      <c r="N749" s="790">
        <f>IFERROR(INDEX('Hoja de apoyo v2'!B$17:B$20,MATCH($A749,'Hoja de apoyo v2'!$A$17:$A$20,0)),"")</f>
        <v>48.509140196922353</v>
      </c>
      <c r="O749" s="791">
        <f>IFERROR(INDEX('Hoja de apoyo v2'!C$17:C$20,MATCH($A749,'Hoja de apoyo v2'!$A$17:$A$20,0)),"")</f>
        <v>0.66965083735281605</v>
      </c>
      <c r="P749" s="793">
        <f>IFERROR(INDEX('Hoja de apoyo v2'!D$17:D$20,MATCH($A749,'Hoja de apoyo v2'!$A$17:$A$20,0)),"")</f>
        <v>5938.874134119359</v>
      </c>
      <c r="Q749" s="793">
        <f>IFERROR(INDEX('Hoja de apoyo v2'!E$17:E$20,MATCH($A749,'Hoja de apoyo v2'!$A$17:$A$20,0)),"")</f>
        <v>4160.5938481536259</v>
      </c>
      <c r="R749" s="793">
        <f>IFERROR(INDEX('Hoja de apoyo v2'!F$17:F$20,MATCH($A749,'Hoja de apoyo v2'!$A$17:$A$20,0)),"")</f>
        <v>261.11067511683507</v>
      </c>
      <c r="S749" s="793">
        <f>IFERROR(INDEX('Hoja de apoyo v2'!G$17:G$20,MATCH($A749,'Hoja de apoyo v2'!$A$17:$A$20,0)),"")</f>
        <v>47.352224855431231</v>
      </c>
      <c r="T749" s="792">
        <f>IFERROR(INDEX('Hoja de apoyo v2'!H$17:H$20,MATCH($A749,'Hoja de apoyo v2'!$A$17:$A$20,0)),"")</f>
        <v>492.72230557971551</v>
      </c>
      <c r="U749" s="794">
        <f t="shared" si="400"/>
        <v>0.73781568694907385</v>
      </c>
      <c r="V749" s="795">
        <f t="shared" si="401"/>
        <v>0.65568148327681852</v>
      </c>
      <c r="W749" s="795">
        <f t="shared" si="402"/>
        <v>0.75181245458268431</v>
      </c>
      <c r="X749" s="843">
        <f t="shared" si="403"/>
        <v>0</v>
      </c>
      <c r="Y749" s="843">
        <f t="shared" si="404"/>
        <v>0</v>
      </c>
      <c r="Z749" s="843">
        <f t="shared" si="405"/>
        <v>0.88284831779506867</v>
      </c>
      <c r="AA749" s="843">
        <f t="shared" si="406"/>
        <v>0.57523150702343262</v>
      </c>
      <c r="AB749" s="796">
        <f t="shared" si="407"/>
        <v>2</v>
      </c>
      <c r="AC749" s="797">
        <f t="shared" si="408"/>
        <v>2</v>
      </c>
      <c r="AD749" s="797">
        <f t="shared" si="409"/>
        <v>3</v>
      </c>
      <c r="AE749" s="842">
        <f t="shared" si="410"/>
        <v>1</v>
      </c>
      <c r="AF749" s="842">
        <f t="shared" si="411"/>
        <v>1</v>
      </c>
      <c r="AG749" s="842">
        <f t="shared" si="412"/>
        <v>3</v>
      </c>
      <c r="AH749" s="842">
        <f t="shared" si="413"/>
        <v>2</v>
      </c>
      <c r="AI749" s="826" cm="1">
        <f t="array" ref="AI749">SUMPRODUCT(--ISNUMBER($U749:$AA749),$AB$3:$AH$3)</f>
        <v>1</v>
      </c>
      <c r="AJ749" s="829">
        <f t="shared" si="414"/>
        <v>28.167746079129241</v>
      </c>
      <c r="AK749" s="827" t="str">
        <f t="shared" si="415"/>
        <v>Inmadura</v>
      </c>
      <c r="AL749" s="784" t="str">
        <f t="shared" si="416"/>
        <v>Alta</v>
      </c>
      <c r="AM749" s="799">
        <f>IF(ISNUMBER('Base de datos Rutas'!W747),'Base de datos Rutas'!W747,"")</f>
        <v>1247.7563200000006</v>
      </c>
      <c r="AN749" s="787">
        <f>IFERROR(SUMIFS('Base de datos Rutas'!$W$6:$W$794,'Base de datos Rutas'!$C$6:$C$794,$C749)/'Base de datos Rutas'!I747,"")</f>
        <v>1247.7563200000006</v>
      </c>
      <c r="AO749" s="800">
        <f>IFERROR('Base de datos Rutas'!X747*AN749/AM749,"")</f>
        <v>1.1636950848444603</v>
      </c>
      <c r="AP749" s="800">
        <f t="shared" si="417"/>
        <v>-0.16369508484446027</v>
      </c>
      <c r="AQ749" s="789">
        <f>IFERROR(INDEX('Hoja de apoyo v2'!$J$17:$J$20,MATCH($A749,'Hoja de apoyo v2'!$A$17:$A$20,0)),"")</f>
        <v>0.50577184527496444</v>
      </c>
      <c r="AR749" s="789">
        <f t="shared" si="418"/>
        <v>-0.66946693011942471</v>
      </c>
      <c r="AS749" s="784" t="str">
        <f t="shared" si="419"/>
        <v>Sí</v>
      </c>
      <c r="AT749" s="801">
        <f>IF(ISNUMBER('Base de datos Rutas'!CK747),'Base de datos Rutas'!CK747,"")</f>
        <v>276</v>
      </c>
      <c r="AU749" s="802">
        <f>IF(ISNUMBER('Base de datos Rutas'!CL747),'Base de datos Rutas'!CL747,"")</f>
        <v>651.07000000000005</v>
      </c>
      <c r="AV749" s="802">
        <f>IF(ISNUMBER('Base de datos Rutas'!CM747),'Base de datos Rutas'!CM747,"")</f>
        <v>375.07000000000005</v>
      </c>
      <c r="AW749" s="802">
        <f>IF(ISNUMBER('Base de datos Rutas'!CN747),'Base de datos Rutas'!CN747,"")</f>
        <v>3.65</v>
      </c>
      <c r="AX749" s="802">
        <f>IF(ISNUMBER('Base de datos Rutas'!CO747),'Base de datos Rutas'!CO747,"")</f>
        <v>9.4499999999999993</v>
      </c>
      <c r="AY749" s="802">
        <f>IF(ISNUMBER('Base de datos Rutas'!CP747),'Base de datos Rutas'!CP747,"")</f>
        <v>5.7999999999999989</v>
      </c>
      <c r="AZ749" s="802">
        <f>IF(ISNUMBER('Base de datos Rutas'!CQ747),'Base de datos Rutas'!CQ747,"")</f>
        <v>677.25</v>
      </c>
      <c r="BA749" s="802">
        <f>IF(ISNUMBER('Base de datos Rutas'!CR747),'Base de datos Rutas'!CR747,"")</f>
        <v>41.8</v>
      </c>
      <c r="BB749" s="803">
        <f>IF(ISNUMBER('Base de datos Rutas'!CS747),'Base de datos Rutas'!CS747,"")</f>
        <v>635.45000000000005</v>
      </c>
      <c r="BC749" s="804">
        <f t="shared" si="429"/>
        <v>0</v>
      </c>
      <c r="BD749" s="805" t="str">
        <f t="shared" si="430"/>
        <v>No saturada</v>
      </c>
      <c r="BE749" s="806">
        <f t="shared" si="431"/>
        <v>6.1720191952750088E-2</v>
      </c>
      <c r="BF749" s="890">
        <f>IF(ISNUMBER('Base de datos Rutas'!CX747),'Base de datos Rutas'!CX747/100,"")</f>
        <v>0.26517746317746321</v>
      </c>
      <c r="BG749" s="891">
        <f>IF(ISNUMBER('Base de datos Rutas'!CZ747),'Base de datos Rutas'!CZ747/100,"")</f>
        <v>0.27590447590447592</v>
      </c>
      <c r="BH749" s="892">
        <f>IF(ISNUMBER('Base de datos Rutas'!DA747),'Base de datos Rutas'!DA747,"")</f>
        <v>47.853322588212194</v>
      </c>
      <c r="BI749" s="893">
        <f>IF(ISNUMBER('Base de datos Rutas'!DC747),'Base de datos Rutas'!DC747,"")</f>
        <v>0.41947172147649964</v>
      </c>
      <c r="BJ749" s="805" t="str">
        <f t="shared" si="432"/>
        <v>Ruta (completo)</v>
      </c>
      <c r="BK749" s="783">
        <f t="shared" si="420"/>
        <v>1</v>
      </c>
      <c r="BL749" s="797">
        <f t="shared" si="421"/>
        <v>1</v>
      </c>
      <c r="BM749" s="797">
        <f t="shared" si="422"/>
        <v>2</v>
      </c>
      <c r="BN749" s="797">
        <f t="shared" si="423"/>
        <v>2</v>
      </c>
      <c r="BO749" s="798" cm="1">
        <f t="array" ref="BO749">SUMPRODUCT(--ISNUMBER($BF749:$BI749),$BK$3:$BN$3)</f>
        <v>1</v>
      </c>
      <c r="BP749" s="831">
        <f t="shared" si="433"/>
        <v>12.5</v>
      </c>
      <c r="BQ749" s="834" t="str">
        <f t="shared" si="434"/>
        <v>Bajo</v>
      </c>
      <c r="BR749" s="836">
        <f t="shared" si="424"/>
        <v>21.12580955934693</v>
      </c>
      <c r="BS749" s="836">
        <f t="shared" si="425"/>
        <v>12.5</v>
      </c>
      <c r="BT749" s="837" t="str">
        <f t="shared" si="426"/>
        <v>P4</v>
      </c>
      <c r="BU749" s="807" t="str">
        <f t="shared" si="435"/>
        <v>Con espacio</v>
      </c>
      <c r="BV749" s="807" t="str">
        <f t="shared" si="427"/>
        <v>Zona de bajo potencial</v>
      </c>
      <c r="BW749" s="808" t="str">
        <f t="shared" si="428"/>
        <v>P4 - Evaluar</v>
      </c>
    </row>
    <row r="750" spans="1:75">
      <c r="A750" s="780" t="str">
        <f>'Base de datos Rutas'!A748</f>
        <v>Pacifico</v>
      </c>
      <c r="B750" s="781" t="str">
        <f>'Base de datos Rutas'!B748</f>
        <v>Culiacán</v>
      </c>
      <c r="C750" s="781" t="str">
        <f>'Base de datos Rutas'!C748</f>
        <v>Planta Aeropuerto</v>
      </c>
      <c r="D750" s="782">
        <f>IF(ISNUMBER('Base de datos Rutas'!D748),'Base de datos Rutas'!D748,"Sin código")</f>
        <v>501305</v>
      </c>
      <c r="E750" s="783" t="str">
        <f>'Base de datos Rutas'!F748</f>
        <v>Activa</v>
      </c>
      <c r="F750" s="784" t="str">
        <f>'Base de datos Rutas'!H748</f>
        <v>Sí</v>
      </c>
      <c r="G750" s="785">
        <f>IF(ISNUMBER('Base de datos Rutas'!BE748),'Base de datos Rutas'!BE748,"")</f>
        <v>46.6453089244851</v>
      </c>
      <c r="H750" s="786">
        <f>IF(ISNUMBER('Base de datos Rutas'!BH748),'Base de datos Rutas'!BH748,"")</f>
        <v>0.26530612244898</v>
      </c>
      <c r="I750" s="788">
        <f>IFERROR(IF(OR(NOT(ISNUMBER('Base de datos Rutas'!O748)),N('Base de datos Rutas'!BK748)=0),"",'Base de datos Rutas'!O748/('Base de datos Rutas'!L748/'Base de datos Rutas'!BK748)),"")</f>
        <v>3933.9405034324964</v>
      </c>
      <c r="J750" s="788">
        <f>IFERROR(IF(OR(NOT(ISNUMBER('Base de datos Rutas'!N748)),N('Base de datos Rutas'!BK748)=0),"",'Base de datos Rutas'!N748/('Base de datos Rutas'!L748/'Base de datos Rutas'!BK748)),"")</f>
        <v>0.41647597254004598</v>
      </c>
      <c r="K750" s="788">
        <f>IFERROR(IF(OR(NOT(ISNUMBER('Base de datos Rutas'!J748)),N('Base de datos Rutas'!BK748)=0),"",'Base de datos Rutas'!J748/('Base de datos Rutas'!L748/'Base de datos Rutas'!BK748)),"")</f>
        <v>5.6422883295194536E-2</v>
      </c>
      <c r="L750" s="788">
        <f>IFERROR(IF(OR(NOT(ISNUMBER('Base de datos Rutas'!K748)),N('Base de datos Rutas'!BK748)=0),"",'Base de datos Rutas'!K748/('Base de datos Rutas'!L748/'Base de datos Rutas'!BK748)),"")</f>
        <v>35.44767176659041</v>
      </c>
      <c r="M750" s="787">
        <f>IF(ISNUMBER('Base de datos Rutas'!AX748),'Base de datos Rutas'!AX748,"")</f>
        <v>317.92027181952699</v>
      </c>
      <c r="N750" s="790">
        <f>IFERROR(INDEX('Hoja de apoyo v2'!B$17:B$20,MATCH($A750,'Hoja de apoyo v2'!$A$17:$A$20,0)),"")</f>
        <v>48.509140196922353</v>
      </c>
      <c r="O750" s="791">
        <f>IFERROR(INDEX('Hoja de apoyo v2'!C$17:C$20,MATCH($A750,'Hoja de apoyo v2'!$A$17:$A$20,0)),"")</f>
        <v>0.66965083735281605</v>
      </c>
      <c r="P750" s="793">
        <f>IFERROR(INDEX('Hoja de apoyo v2'!D$17:D$20,MATCH($A750,'Hoja de apoyo v2'!$A$17:$A$20,0)),"")</f>
        <v>5938.874134119359</v>
      </c>
      <c r="Q750" s="793">
        <f>IFERROR(INDEX('Hoja de apoyo v2'!E$17:E$20,MATCH($A750,'Hoja de apoyo v2'!$A$17:$A$20,0)),"")</f>
        <v>4160.5938481536259</v>
      </c>
      <c r="R750" s="793">
        <f>IFERROR(INDEX('Hoja de apoyo v2'!F$17:F$20,MATCH($A750,'Hoja de apoyo v2'!$A$17:$A$20,0)),"")</f>
        <v>261.11067511683507</v>
      </c>
      <c r="S750" s="793">
        <f>IFERROR(INDEX('Hoja de apoyo v2'!G$17:G$20,MATCH($A750,'Hoja de apoyo v2'!$A$17:$A$20,0)),"")</f>
        <v>47.352224855431231</v>
      </c>
      <c r="T750" s="792">
        <f>IFERROR(INDEX('Hoja de apoyo v2'!H$17:H$20,MATCH($A750,'Hoja de apoyo v2'!$A$17:$A$20,0)),"")</f>
        <v>492.72230557971551</v>
      </c>
      <c r="U750" s="794">
        <f t="shared" si="400"/>
        <v>0.96157773019948301</v>
      </c>
      <c r="V750" s="795">
        <f t="shared" si="401"/>
        <v>0.39618575479985446</v>
      </c>
      <c r="W750" s="795">
        <f t="shared" si="402"/>
        <v>0.66240509810296522</v>
      </c>
      <c r="X750" s="843">
        <f t="shared" si="403"/>
        <v>1.0010012698664838E-4</v>
      </c>
      <c r="Y750" s="843">
        <f t="shared" si="404"/>
        <v>2.1608799896805398E-4</v>
      </c>
      <c r="Z750" s="843">
        <f t="shared" si="405"/>
        <v>0.74859569692477956</v>
      </c>
      <c r="AA750" s="843">
        <f t="shared" si="406"/>
        <v>0.64523214845221166</v>
      </c>
      <c r="AB750" s="796">
        <f t="shared" si="407"/>
        <v>3</v>
      </c>
      <c r="AC750" s="797">
        <f t="shared" si="408"/>
        <v>1</v>
      </c>
      <c r="AD750" s="797">
        <f t="shared" si="409"/>
        <v>2</v>
      </c>
      <c r="AE750" s="842">
        <f t="shared" si="410"/>
        <v>1</v>
      </c>
      <c r="AF750" s="842">
        <f t="shared" si="411"/>
        <v>1</v>
      </c>
      <c r="AG750" s="842">
        <f t="shared" si="412"/>
        <v>2</v>
      </c>
      <c r="AH750" s="842">
        <f t="shared" si="413"/>
        <v>2</v>
      </c>
      <c r="AI750" s="826" cm="1">
        <f t="array" ref="AI750">SUMPRODUCT(--ISNUMBER($U750:$AA750),$AB$3:$AH$3)</f>
        <v>1</v>
      </c>
      <c r="AJ750" s="829">
        <f t="shared" si="414"/>
        <v>20.815238433987798</v>
      </c>
      <c r="AK750" s="827" t="str">
        <f t="shared" si="415"/>
        <v>Inmadura</v>
      </c>
      <c r="AL750" s="784" t="str">
        <f t="shared" si="416"/>
        <v>Alta</v>
      </c>
      <c r="AM750" s="799">
        <f>IF(ISNUMBER('Base de datos Rutas'!W748),'Base de datos Rutas'!W748,"")</f>
        <v>1247.7563200000006</v>
      </c>
      <c r="AN750" s="787">
        <f>IFERROR(SUMIFS('Base de datos Rutas'!$W$6:$W$794,'Base de datos Rutas'!$C$6:$C$794,$C750)/'Base de datos Rutas'!I748,"")</f>
        <v>1247.7563200000006</v>
      </c>
      <c r="AO750" s="800">
        <f>IFERROR('Base de datos Rutas'!X748*AN750/AM750,"")</f>
        <v>1.1636950848444603</v>
      </c>
      <c r="AP750" s="800">
        <f t="shared" si="417"/>
        <v>-0.16369508484446027</v>
      </c>
      <c r="AQ750" s="789">
        <f>IFERROR(INDEX('Hoja de apoyo v2'!$J$17:$J$20,MATCH($A750,'Hoja de apoyo v2'!$A$17:$A$20,0)),"")</f>
        <v>0.50577184527496444</v>
      </c>
      <c r="AR750" s="789">
        <f t="shared" si="418"/>
        <v>-0.66946693011942471</v>
      </c>
      <c r="AS750" s="784" t="str">
        <f t="shared" si="419"/>
        <v>Sí</v>
      </c>
      <c r="AT750" s="801">
        <f>IF(ISNUMBER('Base de datos Rutas'!CK748),'Base de datos Rutas'!CK748,"")</f>
        <v>326</v>
      </c>
      <c r="AU750" s="802">
        <f>IF(ISNUMBER('Base de datos Rutas'!CL748),'Base de datos Rutas'!CL748,"")</f>
        <v>486.09</v>
      </c>
      <c r="AV750" s="802">
        <f>IF(ISNUMBER('Base de datos Rutas'!CM748),'Base de datos Rutas'!CM748,"")</f>
        <v>160.08999999999997</v>
      </c>
      <c r="AW750" s="802">
        <f>IF(ISNUMBER('Base de datos Rutas'!CN748),'Base de datos Rutas'!CN748,"")</f>
        <v>7.3</v>
      </c>
      <c r="AX750" s="802">
        <f>IF(ISNUMBER('Base de datos Rutas'!CO748),'Base de datos Rutas'!CO748,"")</f>
        <v>9.4499999999999993</v>
      </c>
      <c r="AY750" s="802">
        <f>IF(ISNUMBER('Base de datos Rutas'!CP748),'Base de datos Rutas'!CP748,"")</f>
        <v>2.1499999999999995</v>
      </c>
      <c r="AZ750" s="802">
        <f>IF(ISNUMBER('Base de datos Rutas'!CQ748),'Base de datos Rutas'!CQ748,"")</f>
        <v>338.62</v>
      </c>
      <c r="BA750" s="802">
        <f>IF(ISNUMBER('Base de datos Rutas'!CR748),'Base de datos Rutas'!CR748,"")</f>
        <v>35.5</v>
      </c>
      <c r="BB750" s="803">
        <f>IF(ISNUMBER('Base de datos Rutas'!CS748),'Base de datos Rutas'!CS748,"")</f>
        <v>303.12</v>
      </c>
      <c r="BC750" s="804">
        <f t="shared" si="429"/>
        <v>0</v>
      </c>
      <c r="BD750" s="805" t="str">
        <f t="shared" si="430"/>
        <v>No saturada</v>
      </c>
      <c r="BE750" s="806">
        <f t="shared" si="431"/>
        <v>0.10483728072765933</v>
      </c>
      <c r="BF750" s="890">
        <f>IF(ISNUMBER('Base de datos Rutas'!CX748),'Base de datos Rutas'!CX748/100,"")</f>
        <v>9.2582468332160453E-2</v>
      </c>
      <c r="BG750" s="891">
        <f>IF(ISNUMBER('Base de datos Rutas'!CZ748),'Base de datos Rutas'!CZ748/100,"")</f>
        <v>9.6103096410978181E-2</v>
      </c>
      <c r="BH750" s="892">
        <f>IF(ISNUMBER('Base de datos Rutas'!DA748),'Base de datos Rutas'!DA748,"")</f>
        <v>23.772962623452049</v>
      </c>
      <c r="BI750" s="893">
        <f>IF(ISNUMBER('Base de datos Rutas'!DC748),'Base de datos Rutas'!DC748,"")</f>
        <v>0.20191163718339442</v>
      </c>
      <c r="BJ750" s="805" t="str">
        <f t="shared" si="432"/>
        <v>Ruta (completo)</v>
      </c>
      <c r="BK750" s="783">
        <f t="shared" si="420"/>
        <v>1</v>
      </c>
      <c r="BL750" s="797">
        <f t="shared" si="421"/>
        <v>1</v>
      </c>
      <c r="BM750" s="797">
        <f t="shared" si="422"/>
        <v>1</v>
      </c>
      <c r="BN750" s="797">
        <f t="shared" si="423"/>
        <v>1</v>
      </c>
      <c r="BO750" s="798" cm="1">
        <f t="array" ref="BO750">SUMPRODUCT(--ISNUMBER($BF750:$BI750),$BK$3:$BN$3)</f>
        <v>1</v>
      </c>
      <c r="BP750" s="831">
        <f t="shared" si="433"/>
        <v>0</v>
      </c>
      <c r="BQ750" s="834" t="str">
        <f t="shared" si="434"/>
        <v>Bajo</v>
      </c>
      <c r="BR750" s="836">
        <f t="shared" si="424"/>
        <v>15.611428825490847</v>
      </c>
      <c r="BS750" s="836">
        <f t="shared" si="425"/>
        <v>0</v>
      </c>
      <c r="BT750" s="837" t="str">
        <f t="shared" si="426"/>
        <v>P4</v>
      </c>
      <c r="BU750" s="807" t="str">
        <f t="shared" si="435"/>
        <v>Con espacio</v>
      </c>
      <c r="BV750" s="807" t="str">
        <f t="shared" si="427"/>
        <v>Zona de bajo potencial</v>
      </c>
      <c r="BW750" s="808" t="str">
        <f t="shared" si="428"/>
        <v>P4 - Evaluar</v>
      </c>
    </row>
    <row r="751" spans="1:75">
      <c r="A751" s="780" t="str">
        <f>'Base de datos Rutas'!A749</f>
        <v>Pacifico</v>
      </c>
      <c r="B751" s="781" t="str">
        <f>'Base de datos Rutas'!B749</f>
        <v>Culiacán</v>
      </c>
      <c r="C751" s="781" t="str">
        <f>'Base de datos Rutas'!C749</f>
        <v>Planta Aeropuerto</v>
      </c>
      <c r="D751" s="782">
        <f>IF(ISNUMBER('Base de datos Rutas'!D749),'Base de datos Rutas'!D749,"Sin código")</f>
        <v>501306</v>
      </c>
      <c r="E751" s="783" t="str">
        <f>'Base de datos Rutas'!F749</f>
        <v>Activa</v>
      </c>
      <c r="F751" s="784" t="str">
        <f>'Base de datos Rutas'!H749</f>
        <v>No</v>
      </c>
      <c r="G751" s="785" t="str">
        <f>IF(ISNUMBER('Base de datos Rutas'!BE749),'Base de datos Rutas'!BE749,"")</f>
        <v/>
      </c>
      <c r="H751" s="786" t="str">
        <f>IF(ISNUMBER('Base de datos Rutas'!BH749),'Base de datos Rutas'!BH749,"")</f>
        <v/>
      </c>
      <c r="I751" s="788" t="str">
        <f>IFERROR(IF(OR(NOT(ISNUMBER('Base de datos Rutas'!O749)),N('Base de datos Rutas'!BK749)=0),"",'Base de datos Rutas'!O749/('Base de datos Rutas'!L749/'Base de datos Rutas'!BK749)),"")</f>
        <v/>
      </c>
      <c r="J751" s="788" t="str">
        <f>IFERROR(IF(OR(NOT(ISNUMBER('Base de datos Rutas'!N749)),N('Base de datos Rutas'!BK749)=0),"",'Base de datos Rutas'!N749/('Base de datos Rutas'!L749/'Base de datos Rutas'!BK749)),"")</f>
        <v/>
      </c>
      <c r="K751" s="788" t="str">
        <f>IFERROR(IF(OR(NOT(ISNUMBER('Base de datos Rutas'!J749)),N('Base de datos Rutas'!BK749)=0),"",'Base de datos Rutas'!J749/('Base de datos Rutas'!L749/'Base de datos Rutas'!BK749)),"")</f>
        <v/>
      </c>
      <c r="L751" s="788" t="str">
        <f>IFERROR(IF(OR(NOT(ISNUMBER('Base de datos Rutas'!K749)),N('Base de datos Rutas'!BK749)=0),"",'Base de datos Rutas'!K749/('Base de datos Rutas'!L749/'Base de datos Rutas'!BK749)),"")</f>
        <v/>
      </c>
      <c r="M751" s="787">
        <f>IF(ISNUMBER('Base de datos Rutas'!AX749),'Base de datos Rutas'!AX749,"")</f>
        <v>588.79391304347803</v>
      </c>
      <c r="N751" s="790">
        <f>IFERROR(INDEX('Hoja de apoyo v2'!B$17:B$20,MATCH($A751,'Hoja de apoyo v2'!$A$17:$A$20,0)),"")</f>
        <v>48.509140196922353</v>
      </c>
      <c r="O751" s="791">
        <f>IFERROR(INDEX('Hoja de apoyo v2'!C$17:C$20,MATCH($A751,'Hoja de apoyo v2'!$A$17:$A$20,0)),"")</f>
        <v>0.66965083735281605</v>
      </c>
      <c r="P751" s="793">
        <f>IFERROR(INDEX('Hoja de apoyo v2'!D$17:D$20,MATCH($A751,'Hoja de apoyo v2'!$A$17:$A$20,0)),"")</f>
        <v>5938.874134119359</v>
      </c>
      <c r="Q751" s="793">
        <f>IFERROR(INDEX('Hoja de apoyo v2'!E$17:E$20,MATCH($A751,'Hoja de apoyo v2'!$A$17:$A$20,0)),"")</f>
        <v>4160.5938481536259</v>
      </c>
      <c r="R751" s="793">
        <f>IFERROR(INDEX('Hoja de apoyo v2'!F$17:F$20,MATCH($A751,'Hoja de apoyo v2'!$A$17:$A$20,0)),"")</f>
        <v>261.11067511683507</v>
      </c>
      <c r="S751" s="793">
        <f>IFERROR(INDEX('Hoja de apoyo v2'!G$17:G$20,MATCH($A751,'Hoja de apoyo v2'!$A$17:$A$20,0)),"")</f>
        <v>47.352224855431231</v>
      </c>
      <c r="T751" s="792">
        <f>IFERROR(INDEX('Hoja de apoyo v2'!H$17:H$20,MATCH($A751,'Hoja de apoyo v2'!$A$17:$A$20,0)),"")</f>
        <v>492.72230557971551</v>
      </c>
      <c r="U751" s="794" t="str">
        <f t="shared" si="400"/>
        <v/>
      </c>
      <c r="V751" s="795" t="str">
        <f t="shared" si="401"/>
        <v/>
      </c>
      <c r="W751" s="795" t="str">
        <f t="shared" si="402"/>
        <v/>
      </c>
      <c r="X751" s="843" t="str">
        <f t="shared" si="403"/>
        <v/>
      </c>
      <c r="Y751" s="843" t="str">
        <f t="shared" si="404"/>
        <v/>
      </c>
      <c r="Z751" s="843" t="str">
        <f t="shared" si="405"/>
        <v/>
      </c>
      <c r="AA751" s="843">
        <f t="shared" si="406"/>
        <v>1.1949812427321083</v>
      </c>
      <c r="AB751" s="796">
        <f t="shared" si="407"/>
        <v>0</v>
      </c>
      <c r="AC751" s="797">
        <f t="shared" si="408"/>
        <v>0</v>
      </c>
      <c r="AD751" s="797">
        <f t="shared" si="409"/>
        <v>0</v>
      </c>
      <c r="AE751" s="842">
        <f t="shared" si="410"/>
        <v>0</v>
      </c>
      <c r="AF751" s="842">
        <f t="shared" si="411"/>
        <v>0</v>
      </c>
      <c r="AG751" s="842">
        <f t="shared" si="412"/>
        <v>0</v>
      </c>
      <c r="AH751" s="842">
        <f t="shared" si="413"/>
        <v>4</v>
      </c>
      <c r="AI751" s="826" cm="1">
        <f t="array" ref="AI751">SUMPRODUCT(--ISNUMBER($U751:$AA751),$AB$3:$AH$3)</f>
        <v>8.9789113613062493E-2</v>
      </c>
      <c r="AJ751" s="829" t="str">
        <f t="shared" si="414"/>
        <v/>
      </c>
      <c r="AK751" s="827" t="str">
        <f t="shared" si="415"/>
        <v>No elegible</v>
      </c>
      <c r="AL751" s="784" t="str">
        <f t="shared" si="416"/>
        <v>n/a</v>
      </c>
      <c r="AM751" s="799">
        <f>IF(ISNUMBER('Base de datos Rutas'!W749),'Base de datos Rutas'!W749,"")</f>
        <v>1247.7563200000006</v>
      </c>
      <c r="AN751" s="787">
        <f>IFERROR(SUMIFS('Base de datos Rutas'!$W$6:$W$794,'Base de datos Rutas'!$C$6:$C$794,$C751)/'Base de datos Rutas'!I749,"")</f>
        <v>1247.7563200000006</v>
      </c>
      <c r="AO751" s="800">
        <f>IFERROR('Base de datos Rutas'!X749*AN751/AM751,"")</f>
        <v>1.1636950848444603</v>
      </c>
      <c r="AP751" s="800">
        <f t="shared" si="417"/>
        <v>-0.16369508484446027</v>
      </c>
      <c r="AQ751" s="789">
        <f>IFERROR(INDEX('Hoja de apoyo v2'!$J$17:$J$20,MATCH($A751,'Hoja de apoyo v2'!$A$17:$A$20,0)),"")</f>
        <v>0.50577184527496444</v>
      </c>
      <c r="AR751" s="789">
        <f t="shared" si="418"/>
        <v>-0.66946693011942471</v>
      </c>
      <c r="AS751" s="784" t="str">
        <f t="shared" si="419"/>
        <v>Sí</v>
      </c>
      <c r="AT751" s="801" t="str">
        <f>IF(ISNUMBER('Base de datos Rutas'!CK749),'Base de datos Rutas'!CK749,"")</f>
        <v/>
      </c>
      <c r="AU751" s="802" t="str">
        <f>IF(ISNUMBER('Base de datos Rutas'!CL749),'Base de datos Rutas'!CL749,"")</f>
        <v/>
      </c>
      <c r="AV751" s="802">
        <f>IF(ISNUMBER('Base de datos Rutas'!CM749),'Base de datos Rutas'!CM749,"")</f>
        <v>0</v>
      </c>
      <c r="AW751" s="802" t="str">
        <f>IF(ISNUMBER('Base de datos Rutas'!CN749),'Base de datos Rutas'!CN749,"")</f>
        <v/>
      </c>
      <c r="AX751" s="802" t="str">
        <f>IF(ISNUMBER('Base de datos Rutas'!CO749),'Base de datos Rutas'!CO749,"")</f>
        <v/>
      </c>
      <c r="AY751" s="802">
        <f>IF(ISNUMBER('Base de datos Rutas'!CP749),'Base de datos Rutas'!CP749,"")</f>
        <v>0</v>
      </c>
      <c r="AZ751" s="802" t="str">
        <f>IF(ISNUMBER('Base de datos Rutas'!CQ749),'Base de datos Rutas'!CQ749,"")</f>
        <v/>
      </c>
      <c r="BA751" s="802" t="str">
        <f>IF(ISNUMBER('Base de datos Rutas'!CR749),'Base de datos Rutas'!CR749,"")</f>
        <v/>
      </c>
      <c r="BB751" s="803">
        <f>IF(ISNUMBER('Base de datos Rutas'!CS749),'Base de datos Rutas'!CS749,"")</f>
        <v>0</v>
      </c>
      <c r="BC751" s="804" t="str">
        <f t="shared" si="429"/>
        <v/>
      </c>
      <c r="BD751" s="805" t="str">
        <f t="shared" si="430"/>
        <v>N/D</v>
      </c>
      <c r="BE751" s="806" t="str">
        <f t="shared" si="431"/>
        <v/>
      </c>
      <c r="BF751" s="890" t="str">
        <f>IF(ISNUMBER('Base de datos Rutas'!CX749),'Base de datos Rutas'!CX749/100,"")</f>
        <v/>
      </c>
      <c r="BG751" s="891" t="str">
        <f>IF(ISNUMBER('Base de datos Rutas'!CZ749),'Base de datos Rutas'!CZ749/100,"")</f>
        <v/>
      </c>
      <c r="BH751" s="892" t="str">
        <f>IF(ISNUMBER('Base de datos Rutas'!DA749),'Base de datos Rutas'!DA749,"")</f>
        <v/>
      </c>
      <c r="BI751" s="893" t="str">
        <f>IF(ISNUMBER('Base de datos Rutas'!DC749),'Base de datos Rutas'!DC749,"")</f>
        <v/>
      </c>
      <c r="BJ751" s="805" t="str">
        <f t="shared" si="432"/>
        <v>Sin dato</v>
      </c>
      <c r="BK751" s="783">
        <f t="shared" si="420"/>
        <v>0</v>
      </c>
      <c r="BL751" s="797">
        <f t="shared" si="421"/>
        <v>0</v>
      </c>
      <c r="BM751" s="797">
        <f t="shared" si="422"/>
        <v>0</v>
      </c>
      <c r="BN751" s="797">
        <f t="shared" si="423"/>
        <v>0</v>
      </c>
      <c r="BO751" s="798" cm="1">
        <f t="array" ref="BO751">SUMPRODUCT(--ISNUMBER($BF751:$BI751),$BK$3:$BN$3)</f>
        <v>0</v>
      </c>
      <c r="BP751" s="831" t="str">
        <f t="shared" si="433"/>
        <v/>
      </c>
      <c r="BQ751" s="834" t="str">
        <f t="shared" si="434"/>
        <v>Sin datos</v>
      </c>
      <c r="BR751" s="836" t="str">
        <f t="shared" si="424"/>
        <v/>
      </c>
      <c r="BS751" s="836" t="str">
        <f t="shared" si="425"/>
        <v/>
      </c>
      <c r="BT751" s="837" t="str">
        <f t="shared" si="426"/>
        <v>Sin datos</v>
      </c>
      <c r="BU751" s="807" t="str">
        <f t="shared" si="435"/>
        <v>No evaluable</v>
      </c>
      <c r="BV751" s="807" t="str">
        <f t="shared" si="427"/>
        <v>No evaluable</v>
      </c>
      <c r="BW751" s="808" t="str">
        <f t="shared" si="428"/>
        <v>Sin datos</v>
      </c>
    </row>
    <row r="752" spans="1:75">
      <c r="A752" s="780" t="str">
        <f>'Base de datos Rutas'!A750</f>
        <v>Pacifico</v>
      </c>
      <c r="B752" s="781" t="str">
        <f>'Base de datos Rutas'!B750</f>
        <v>No está en EERR</v>
      </c>
      <c r="C752" s="781" t="str">
        <f>'Base de datos Rutas'!C750</f>
        <v>Sucursal Guamúchil</v>
      </c>
      <c r="D752" s="782">
        <f>IF(ISNUMBER('Base de datos Rutas'!D750),'Base de datos Rutas'!D750,"Sin código")</f>
        <v>502300</v>
      </c>
      <c r="E752" s="783" t="str">
        <f>'Base de datos Rutas'!F750</f>
        <v>Activa</v>
      </c>
      <c r="F752" s="784" t="str">
        <f>'Base de datos Rutas'!H750</f>
        <v>No</v>
      </c>
      <c r="G752" s="785" t="str">
        <f>IF(ISNUMBER('Base de datos Rutas'!BE750),'Base de datos Rutas'!BE750,"")</f>
        <v/>
      </c>
      <c r="H752" s="786" t="str">
        <f>IF(ISNUMBER('Base de datos Rutas'!BH750),'Base de datos Rutas'!BH750,"")</f>
        <v/>
      </c>
      <c r="I752" s="788" t="str">
        <f>IFERROR(IF(OR(NOT(ISNUMBER('Base de datos Rutas'!O750)),N('Base de datos Rutas'!BK750)=0),"",'Base de datos Rutas'!O750/('Base de datos Rutas'!L750/'Base de datos Rutas'!BK750)),"")</f>
        <v/>
      </c>
      <c r="J752" s="788" t="str">
        <f>IFERROR(IF(OR(NOT(ISNUMBER('Base de datos Rutas'!N750)),N('Base de datos Rutas'!BK750)=0),"",'Base de datos Rutas'!N750/('Base de datos Rutas'!L750/'Base de datos Rutas'!BK750)),"")</f>
        <v/>
      </c>
      <c r="K752" s="788" t="str">
        <f>IFERROR(IF(OR(NOT(ISNUMBER('Base de datos Rutas'!J750)),N('Base de datos Rutas'!BK750)=0),"",'Base de datos Rutas'!J750/('Base de datos Rutas'!L750/'Base de datos Rutas'!BK750)),"")</f>
        <v/>
      </c>
      <c r="L752" s="788" t="str">
        <f>IFERROR(IF(OR(NOT(ISNUMBER('Base de datos Rutas'!K750)),N('Base de datos Rutas'!BK750)=0),"",'Base de datos Rutas'!K750/('Base de datos Rutas'!L750/'Base de datos Rutas'!BK750)),"")</f>
        <v/>
      </c>
      <c r="M752" s="787">
        <f>IF(ISNUMBER('Base de datos Rutas'!AX750),'Base de datos Rutas'!AX750,"")</f>
        <v>347.44279220779202</v>
      </c>
      <c r="N752" s="790">
        <f>IFERROR(INDEX('Hoja de apoyo v2'!B$17:B$20,MATCH($A752,'Hoja de apoyo v2'!$A$17:$A$20,0)),"")</f>
        <v>48.509140196922353</v>
      </c>
      <c r="O752" s="791">
        <f>IFERROR(INDEX('Hoja de apoyo v2'!C$17:C$20,MATCH($A752,'Hoja de apoyo v2'!$A$17:$A$20,0)),"")</f>
        <v>0.66965083735281605</v>
      </c>
      <c r="P752" s="793">
        <f>IFERROR(INDEX('Hoja de apoyo v2'!D$17:D$20,MATCH($A752,'Hoja de apoyo v2'!$A$17:$A$20,0)),"")</f>
        <v>5938.874134119359</v>
      </c>
      <c r="Q752" s="793">
        <f>IFERROR(INDEX('Hoja de apoyo v2'!E$17:E$20,MATCH($A752,'Hoja de apoyo v2'!$A$17:$A$20,0)),"")</f>
        <v>4160.5938481536259</v>
      </c>
      <c r="R752" s="793">
        <f>IFERROR(INDEX('Hoja de apoyo v2'!F$17:F$20,MATCH($A752,'Hoja de apoyo v2'!$A$17:$A$20,0)),"")</f>
        <v>261.11067511683507</v>
      </c>
      <c r="S752" s="793">
        <f>IFERROR(INDEX('Hoja de apoyo v2'!G$17:G$20,MATCH($A752,'Hoja de apoyo v2'!$A$17:$A$20,0)),"")</f>
        <v>47.352224855431231</v>
      </c>
      <c r="T752" s="792">
        <f>IFERROR(INDEX('Hoja de apoyo v2'!H$17:H$20,MATCH($A752,'Hoja de apoyo v2'!$A$17:$A$20,0)),"")</f>
        <v>492.72230557971551</v>
      </c>
      <c r="U752" s="794" t="str">
        <f t="shared" si="400"/>
        <v/>
      </c>
      <c r="V752" s="795" t="str">
        <f t="shared" si="401"/>
        <v/>
      </c>
      <c r="W752" s="795" t="str">
        <f t="shared" si="402"/>
        <v/>
      </c>
      <c r="X752" s="843" t="str">
        <f t="shared" si="403"/>
        <v/>
      </c>
      <c r="Y752" s="843" t="str">
        <f t="shared" si="404"/>
        <v/>
      </c>
      <c r="Z752" s="843" t="str">
        <f t="shared" si="405"/>
        <v/>
      </c>
      <c r="AA752" s="843">
        <f t="shared" si="406"/>
        <v>0.70514930676622412</v>
      </c>
      <c r="AB752" s="796">
        <f t="shared" si="407"/>
        <v>0</v>
      </c>
      <c r="AC752" s="797">
        <f t="shared" si="408"/>
        <v>0</v>
      </c>
      <c r="AD752" s="797">
        <f t="shared" si="409"/>
        <v>0</v>
      </c>
      <c r="AE752" s="842">
        <f t="shared" si="410"/>
        <v>0</v>
      </c>
      <c r="AF752" s="842">
        <f t="shared" si="411"/>
        <v>0</v>
      </c>
      <c r="AG752" s="842">
        <f t="shared" si="412"/>
        <v>0</v>
      </c>
      <c r="AH752" s="842">
        <f t="shared" si="413"/>
        <v>2</v>
      </c>
      <c r="AI752" s="826" cm="1">
        <f t="array" ref="AI752">SUMPRODUCT(--ISNUMBER($U752:$AA752),$AB$3:$AH$3)</f>
        <v>8.9789113613062493E-2</v>
      </c>
      <c r="AJ752" s="829" t="str">
        <f t="shared" si="414"/>
        <v/>
      </c>
      <c r="AK752" s="827" t="str">
        <f t="shared" si="415"/>
        <v>No elegible</v>
      </c>
      <c r="AL752" s="784" t="str">
        <f t="shared" si="416"/>
        <v>n/a</v>
      </c>
      <c r="AM752" s="799" t="str">
        <f>IF(ISNUMBER('Base de datos Rutas'!W750),'Base de datos Rutas'!W750,"")</f>
        <v/>
      </c>
      <c r="AN752" s="787">
        <f>IFERROR(SUMIFS('Base de datos Rutas'!$W$6:$W$794,'Base de datos Rutas'!$C$6:$C$794,$C752)/'Base de datos Rutas'!I750,"")</f>
        <v>0</v>
      </c>
      <c r="AO752" s="800" t="str">
        <f>IFERROR('Base de datos Rutas'!X750*AN752/AM752,"")</f>
        <v/>
      </c>
      <c r="AP752" s="800" t="str">
        <f t="shared" si="417"/>
        <v/>
      </c>
      <c r="AQ752" s="789">
        <f>IFERROR(INDEX('Hoja de apoyo v2'!$J$17:$J$20,MATCH($A752,'Hoja de apoyo v2'!$A$17:$A$20,0)),"")</f>
        <v>0.50577184527496444</v>
      </c>
      <c r="AR752" s="789" t="str">
        <f t="shared" si="418"/>
        <v/>
      </c>
      <c r="AS752" s="784" t="str">
        <f t="shared" si="419"/>
        <v>n/d</v>
      </c>
      <c r="AT752" s="801" t="str">
        <f>IF(ISNUMBER('Base de datos Rutas'!CK750),'Base de datos Rutas'!CK750,"")</f>
        <v/>
      </c>
      <c r="AU752" s="802" t="str">
        <f>IF(ISNUMBER('Base de datos Rutas'!CL750),'Base de datos Rutas'!CL750,"")</f>
        <v/>
      </c>
      <c r="AV752" s="802">
        <f>IF(ISNUMBER('Base de datos Rutas'!CM750),'Base de datos Rutas'!CM750,"")</f>
        <v>0</v>
      </c>
      <c r="AW752" s="802" t="str">
        <f>IF(ISNUMBER('Base de datos Rutas'!CN750),'Base de datos Rutas'!CN750,"")</f>
        <v/>
      </c>
      <c r="AX752" s="802" t="str">
        <f>IF(ISNUMBER('Base de datos Rutas'!CO750),'Base de datos Rutas'!CO750,"")</f>
        <v/>
      </c>
      <c r="AY752" s="802">
        <f>IF(ISNUMBER('Base de datos Rutas'!CP750),'Base de datos Rutas'!CP750,"")</f>
        <v>0</v>
      </c>
      <c r="AZ752" s="802" t="str">
        <f>IF(ISNUMBER('Base de datos Rutas'!CQ750),'Base de datos Rutas'!CQ750,"")</f>
        <v/>
      </c>
      <c r="BA752" s="802" t="str">
        <f>IF(ISNUMBER('Base de datos Rutas'!CR750),'Base de datos Rutas'!CR750,"")</f>
        <v/>
      </c>
      <c r="BB752" s="803">
        <f>IF(ISNUMBER('Base de datos Rutas'!CS750),'Base de datos Rutas'!CS750,"")</f>
        <v>0</v>
      </c>
      <c r="BC752" s="804" t="str">
        <f t="shared" si="429"/>
        <v/>
      </c>
      <c r="BD752" s="805" t="str">
        <f t="shared" si="430"/>
        <v>N/D</v>
      </c>
      <c r="BE752" s="806" t="str">
        <f t="shared" si="431"/>
        <v/>
      </c>
      <c r="BF752" s="890" t="str">
        <f>IF(ISNUMBER('Base de datos Rutas'!CX750),'Base de datos Rutas'!CX750/100,"")</f>
        <v/>
      </c>
      <c r="BG752" s="891" t="str">
        <f>IF(ISNUMBER('Base de datos Rutas'!CZ750),'Base de datos Rutas'!CZ750/100,"")</f>
        <v/>
      </c>
      <c r="BH752" s="892" t="str">
        <f>IF(ISNUMBER('Base de datos Rutas'!DA750),'Base de datos Rutas'!DA750,"")</f>
        <v/>
      </c>
      <c r="BI752" s="893" t="str">
        <f>IF(ISNUMBER('Base de datos Rutas'!DC750),'Base de datos Rutas'!DC750,"")</f>
        <v/>
      </c>
      <c r="BJ752" s="805" t="str">
        <f t="shared" si="432"/>
        <v>Sin dato</v>
      </c>
      <c r="BK752" s="783">
        <f t="shared" si="420"/>
        <v>0</v>
      </c>
      <c r="BL752" s="797">
        <f t="shared" si="421"/>
        <v>0</v>
      </c>
      <c r="BM752" s="797">
        <f t="shared" si="422"/>
        <v>0</v>
      </c>
      <c r="BN752" s="797">
        <f t="shared" si="423"/>
        <v>0</v>
      </c>
      <c r="BO752" s="798" cm="1">
        <f t="array" ref="BO752">SUMPRODUCT(--ISNUMBER($BF752:$BI752),$BK$3:$BN$3)</f>
        <v>0</v>
      </c>
      <c r="BP752" s="831" t="str">
        <f t="shared" si="433"/>
        <v/>
      </c>
      <c r="BQ752" s="834" t="str">
        <f t="shared" si="434"/>
        <v>Sin datos</v>
      </c>
      <c r="BR752" s="836" t="str">
        <f t="shared" si="424"/>
        <v/>
      </c>
      <c r="BS752" s="836" t="str">
        <f t="shared" si="425"/>
        <v/>
      </c>
      <c r="BT752" s="837" t="str">
        <f t="shared" si="426"/>
        <v>Sin datos</v>
      </c>
      <c r="BU752" s="807" t="str">
        <f t="shared" si="435"/>
        <v>No evaluable</v>
      </c>
      <c r="BV752" s="807" t="str">
        <f t="shared" si="427"/>
        <v>No evaluable</v>
      </c>
      <c r="BW752" s="808" t="str">
        <f t="shared" si="428"/>
        <v>Sin datos</v>
      </c>
    </row>
    <row r="753" spans="1:75">
      <c r="A753" s="780" t="str">
        <f>'Base de datos Rutas'!A751</f>
        <v>Pacifico</v>
      </c>
      <c r="B753" s="781" t="str">
        <f>'Base de datos Rutas'!B751</f>
        <v>Hermosillo</v>
      </c>
      <c r="C753" s="781" t="str">
        <f>'Base de datos Rutas'!C751</f>
        <v>Planta Hermosillo</v>
      </c>
      <c r="D753" s="782">
        <f>IF(ISNUMBER('Base de datos Rutas'!D751),'Base de datos Rutas'!D751,"Sin código")</f>
        <v>401300</v>
      </c>
      <c r="E753" s="783" t="str">
        <f>'Base de datos Rutas'!F751</f>
        <v>Activa</v>
      </c>
      <c r="F753" s="784" t="str">
        <f>'Base de datos Rutas'!H751</f>
        <v>No</v>
      </c>
      <c r="G753" s="785" t="str">
        <f>IF(ISNUMBER('Base de datos Rutas'!BE751),'Base de datos Rutas'!BE751,"")</f>
        <v/>
      </c>
      <c r="H753" s="786" t="str">
        <f>IF(ISNUMBER('Base de datos Rutas'!BH751),'Base de datos Rutas'!BH751,"")</f>
        <v/>
      </c>
      <c r="I753" s="788" t="str">
        <f>IFERROR(IF(OR(NOT(ISNUMBER('Base de datos Rutas'!O751)),N('Base de datos Rutas'!BK751)=0),"",'Base de datos Rutas'!O751/('Base de datos Rutas'!L751/'Base de datos Rutas'!BK751)),"")</f>
        <v/>
      </c>
      <c r="J753" s="788" t="str">
        <f>IFERROR(IF(OR(NOT(ISNUMBER('Base de datos Rutas'!N751)),N('Base de datos Rutas'!BK751)=0),"",'Base de datos Rutas'!N751/('Base de datos Rutas'!L751/'Base de datos Rutas'!BK751)),"")</f>
        <v/>
      </c>
      <c r="K753" s="788" t="str">
        <f>IFERROR(IF(OR(NOT(ISNUMBER('Base de datos Rutas'!J751)),N('Base de datos Rutas'!BK751)=0),"",'Base de datos Rutas'!J751/('Base de datos Rutas'!L751/'Base de datos Rutas'!BK751)),"")</f>
        <v/>
      </c>
      <c r="L753" s="788" t="str">
        <f>IFERROR(IF(OR(NOT(ISNUMBER('Base de datos Rutas'!K751)),N('Base de datos Rutas'!BK751)=0),"",'Base de datos Rutas'!K751/('Base de datos Rutas'!L751/'Base de datos Rutas'!BK751)),"")</f>
        <v/>
      </c>
      <c r="M753" s="787">
        <f>IF(ISNUMBER('Base de datos Rutas'!AX751),'Base de datos Rutas'!AX751,"")</f>
        <v>379.21685451837101</v>
      </c>
      <c r="N753" s="790">
        <f>IFERROR(INDEX('Hoja de apoyo v2'!B$17:B$20,MATCH($A753,'Hoja de apoyo v2'!$A$17:$A$20,0)),"")</f>
        <v>48.509140196922353</v>
      </c>
      <c r="O753" s="791">
        <f>IFERROR(INDEX('Hoja de apoyo v2'!C$17:C$20,MATCH($A753,'Hoja de apoyo v2'!$A$17:$A$20,0)),"")</f>
        <v>0.66965083735281605</v>
      </c>
      <c r="P753" s="793">
        <f>IFERROR(INDEX('Hoja de apoyo v2'!D$17:D$20,MATCH($A753,'Hoja de apoyo v2'!$A$17:$A$20,0)),"")</f>
        <v>5938.874134119359</v>
      </c>
      <c r="Q753" s="793">
        <f>IFERROR(INDEX('Hoja de apoyo v2'!E$17:E$20,MATCH($A753,'Hoja de apoyo v2'!$A$17:$A$20,0)),"")</f>
        <v>4160.5938481536259</v>
      </c>
      <c r="R753" s="793">
        <f>IFERROR(INDEX('Hoja de apoyo v2'!F$17:F$20,MATCH($A753,'Hoja de apoyo v2'!$A$17:$A$20,0)),"")</f>
        <v>261.11067511683507</v>
      </c>
      <c r="S753" s="793">
        <f>IFERROR(INDEX('Hoja de apoyo v2'!G$17:G$20,MATCH($A753,'Hoja de apoyo v2'!$A$17:$A$20,0)),"")</f>
        <v>47.352224855431231</v>
      </c>
      <c r="T753" s="792">
        <f>IFERROR(INDEX('Hoja de apoyo v2'!H$17:H$20,MATCH($A753,'Hoja de apoyo v2'!$A$17:$A$20,0)),"")</f>
        <v>492.72230557971551</v>
      </c>
      <c r="U753" s="794" t="str">
        <f t="shared" si="400"/>
        <v/>
      </c>
      <c r="V753" s="795" t="str">
        <f t="shared" si="401"/>
        <v/>
      </c>
      <c r="W753" s="795" t="str">
        <f t="shared" si="402"/>
        <v/>
      </c>
      <c r="X753" s="843" t="str">
        <f t="shared" si="403"/>
        <v/>
      </c>
      <c r="Y753" s="843" t="str">
        <f t="shared" si="404"/>
        <v/>
      </c>
      <c r="Z753" s="843" t="str">
        <f t="shared" si="405"/>
        <v/>
      </c>
      <c r="AA753" s="843">
        <f t="shared" si="406"/>
        <v>0.76963606117283656</v>
      </c>
      <c r="AB753" s="796">
        <f t="shared" si="407"/>
        <v>0</v>
      </c>
      <c r="AC753" s="797">
        <f t="shared" si="408"/>
        <v>0</v>
      </c>
      <c r="AD753" s="797">
        <f t="shared" si="409"/>
        <v>0</v>
      </c>
      <c r="AE753" s="842">
        <f t="shared" si="410"/>
        <v>0</v>
      </c>
      <c r="AF753" s="842">
        <f t="shared" si="411"/>
        <v>0</v>
      </c>
      <c r="AG753" s="842">
        <f t="shared" si="412"/>
        <v>0</v>
      </c>
      <c r="AH753" s="842">
        <f t="shared" si="413"/>
        <v>3</v>
      </c>
      <c r="AI753" s="826" cm="1">
        <f t="array" ref="AI753">SUMPRODUCT(--ISNUMBER($U753:$AA753),$AB$3:$AH$3)</f>
        <v>8.9789113613062493E-2</v>
      </c>
      <c r="AJ753" s="829" t="str">
        <f t="shared" si="414"/>
        <v/>
      </c>
      <c r="AK753" s="827" t="str">
        <f t="shared" si="415"/>
        <v>No elegible</v>
      </c>
      <c r="AL753" s="784" t="str">
        <f t="shared" si="416"/>
        <v>n/a</v>
      </c>
      <c r="AM753" s="799">
        <f>IF(ISNUMBER('Base de datos Rutas'!W751),'Base de datos Rutas'!W751,"")</f>
        <v>2188.6588733333338</v>
      </c>
      <c r="AN753" s="787">
        <f>IFERROR(SUMIFS('Base de datos Rutas'!$W$6:$W$794,'Base de datos Rutas'!$C$6:$C$794,$C753)/'Base de datos Rutas'!I751,"")</f>
        <v>2188.6588733333338</v>
      </c>
      <c r="AO753" s="800">
        <f>IFERROR('Base de datos Rutas'!X751*AN753/AM753,"")</f>
        <v>0.32035233529484053</v>
      </c>
      <c r="AP753" s="800">
        <f t="shared" si="417"/>
        <v>0.67964766470515947</v>
      </c>
      <c r="AQ753" s="789">
        <f>IFERROR(INDEX('Hoja de apoyo v2'!$J$17:$J$20,MATCH($A753,'Hoja de apoyo v2'!$A$17:$A$20,0)),"")</f>
        <v>0.50577184527496444</v>
      </c>
      <c r="AR753" s="789">
        <f t="shared" si="418"/>
        <v>0.17387581943019503</v>
      </c>
      <c r="AS753" s="784" t="str">
        <f t="shared" si="419"/>
        <v>No</v>
      </c>
      <c r="AT753" s="801">
        <f>IF(ISNUMBER('Base de datos Rutas'!CK751),'Base de datos Rutas'!CK751,"")</f>
        <v>466</v>
      </c>
      <c r="AU753" s="802">
        <f>IF(ISNUMBER('Base de datos Rutas'!CL751),'Base de datos Rutas'!CL751,"")</f>
        <v>768.68</v>
      </c>
      <c r="AV753" s="802">
        <f>IF(ISNUMBER('Base de datos Rutas'!CM751),'Base de datos Rutas'!CM751,"")</f>
        <v>302.67999999999995</v>
      </c>
      <c r="AW753" s="802">
        <f>IF(ISNUMBER('Base de datos Rutas'!CN751),'Base de datos Rutas'!CN751,"")</f>
        <v>5.92</v>
      </c>
      <c r="AX753" s="802">
        <f>IF(ISNUMBER('Base de datos Rutas'!CO751),'Base de datos Rutas'!CO751,"")</f>
        <v>9.4499999999999993</v>
      </c>
      <c r="AY753" s="802">
        <f>IF(ISNUMBER('Base de datos Rutas'!CP751),'Base de datos Rutas'!CP751,"")</f>
        <v>3.5299999999999994</v>
      </c>
      <c r="AZ753" s="802">
        <f>IF(ISNUMBER('Base de datos Rutas'!CQ751),'Base de datos Rutas'!CQ751,"")</f>
        <v>564.37</v>
      </c>
      <c r="BA753" s="802">
        <f>IF(ISNUMBER('Base de datos Rutas'!CR751),'Base de datos Rutas'!CR751,"")</f>
        <v>0</v>
      </c>
      <c r="BB753" s="803">
        <f>IF(ISNUMBER('Base de datos Rutas'!CS751),'Base de datos Rutas'!CS751,"")</f>
        <v>564.37</v>
      </c>
      <c r="BC753" s="804">
        <f t="shared" si="429"/>
        <v>0</v>
      </c>
      <c r="BD753" s="805" t="str">
        <f t="shared" si="430"/>
        <v>No saturada</v>
      </c>
      <c r="BE753" s="806">
        <f t="shared" si="431"/>
        <v>0</v>
      </c>
      <c r="BF753" s="890">
        <f>IF(ISNUMBER('Base de datos Rutas'!CX751),'Base de datos Rutas'!CX751/100,"")</f>
        <v>0.38281638597408418</v>
      </c>
      <c r="BG753" s="891">
        <f>IF(ISNUMBER('Base de datos Rutas'!CZ751),'Base de datos Rutas'!CZ751/100,"")</f>
        <v>0.38658401483749705</v>
      </c>
      <c r="BH753" s="892">
        <f>IF(ISNUMBER('Base de datos Rutas'!DA751),'Base de datos Rutas'!DA751,"")</f>
        <v>27.186632933067195</v>
      </c>
      <c r="BI753" s="893">
        <f>IF(ISNUMBER('Base de datos Rutas'!DC751),'Base de datos Rutas'!DC751,"")</f>
        <v>0.22757729197338084</v>
      </c>
      <c r="BJ753" s="805" t="str">
        <f t="shared" si="432"/>
        <v>Ruta (completo)</v>
      </c>
      <c r="BK753" s="783">
        <f t="shared" si="420"/>
        <v>4</v>
      </c>
      <c r="BL753" s="797">
        <f t="shared" si="421"/>
        <v>4</v>
      </c>
      <c r="BM753" s="797">
        <f t="shared" si="422"/>
        <v>4</v>
      </c>
      <c r="BN753" s="797">
        <f t="shared" si="423"/>
        <v>1</v>
      </c>
      <c r="BO753" s="798" cm="1">
        <f t="array" ref="BO753">SUMPRODUCT(--ISNUMBER($BF753:$BI753),$BK$3:$BN$3)</f>
        <v>1</v>
      </c>
      <c r="BP753" s="831">
        <f t="shared" si="433"/>
        <v>56.25</v>
      </c>
      <c r="BQ753" s="834" t="str">
        <f t="shared" si="434"/>
        <v>Alto</v>
      </c>
      <c r="BR753" s="836" t="str">
        <f t="shared" si="424"/>
        <v/>
      </c>
      <c r="BS753" s="836">
        <f t="shared" si="425"/>
        <v>56.25</v>
      </c>
      <c r="BT753" s="837" t="str">
        <f t="shared" si="426"/>
        <v>Sin datos</v>
      </c>
      <c r="BU753" s="807" t="str">
        <f t="shared" si="435"/>
        <v>No evaluable</v>
      </c>
      <c r="BV753" s="807" t="str">
        <f t="shared" si="427"/>
        <v>No evaluable</v>
      </c>
      <c r="BW753" s="808" t="str">
        <f t="shared" si="428"/>
        <v>Sin datos</v>
      </c>
    </row>
    <row r="754" spans="1:75">
      <c r="A754" s="780" t="str">
        <f>'Base de datos Rutas'!A752</f>
        <v>Pacifico</v>
      </c>
      <c r="B754" s="781" t="str">
        <f>'Base de datos Rutas'!B752</f>
        <v>Hermosillo</v>
      </c>
      <c r="C754" s="781" t="str">
        <f>'Base de datos Rutas'!C752</f>
        <v>Planta Hermosillo</v>
      </c>
      <c r="D754" s="782">
        <f>IF(ISNUMBER('Base de datos Rutas'!D752),'Base de datos Rutas'!D752,"Sin código")</f>
        <v>401301</v>
      </c>
      <c r="E754" s="783" t="str">
        <f>'Base de datos Rutas'!F752</f>
        <v>Activa</v>
      </c>
      <c r="F754" s="784" t="str">
        <f>'Base de datos Rutas'!H752</f>
        <v>No</v>
      </c>
      <c r="G754" s="785" t="str">
        <f>IF(ISNUMBER('Base de datos Rutas'!BE752),'Base de datos Rutas'!BE752,"")</f>
        <v/>
      </c>
      <c r="H754" s="786" t="str">
        <f>IF(ISNUMBER('Base de datos Rutas'!BH752),'Base de datos Rutas'!BH752,"")</f>
        <v/>
      </c>
      <c r="I754" s="788" t="str">
        <f>IFERROR(IF(OR(NOT(ISNUMBER('Base de datos Rutas'!O752)),N('Base de datos Rutas'!BK752)=0),"",'Base de datos Rutas'!O752/('Base de datos Rutas'!L752/'Base de datos Rutas'!BK752)),"")</f>
        <v/>
      </c>
      <c r="J754" s="788" t="str">
        <f>IFERROR(IF(OR(NOT(ISNUMBER('Base de datos Rutas'!N752)),N('Base de datos Rutas'!BK752)=0),"",'Base de datos Rutas'!N752/('Base de datos Rutas'!L752/'Base de datos Rutas'!BK752)),"")</f>
        <v/>
      </c>
      <c r="K754" s="788" t="str">
        <f>IFERROR(IF(OR(NOT(ISNUMBER('Base de datos Rutas'!J752)),N('Base de datos Rutas'!BK752)=0),"",'Base de datos Rutas'!J752/('Base de datos Rutas'!L752/'Base de datos Rutas'!BK752)),"")</f>
        <v/>
      </c>
      <c r="L754" s="788" t="str">
        <f>IFERROR(IF(OR(NOT(ISNUMBER('Base de datos Rutas'!K752)),N('Base de datos Rutas'!BK752)=0),"",'Base de datos Rutas'!K752/('Base de datos Rutas'!L752/'Base de datos Rutas'!BK752)),"")</f>
        <v/>
      </c>
      <c r="M754" s="787">
        <f>IF(ISNUMBER('Base de datos Rutas'!AX752),'Base de datos Rutas'!AX752,"")</f>
        <v>327.42659849038199</v>
      </c>
      <c r="N754" s="790">
        <f>IFERROR(INDEX('Hoja de apoyo v2'!B$17:B$20,MATCH($A754,'Hoja de apoyo v2'!$A$17:$A$20,0)),"")</f>
        <v>48.509140196922353</v>
      </c>
      <c r="O754" s="791">
        <f>IFERROR(INDEX('Hoja de apoyo v2'!C$17:C$20,MATCH($A754,'Hoja de apoyo v2'!$A$17:$A$20,0)),"")</f>
        <v>0.66965083735281605</v>
      </c>
      <c r="P754" s="793">
        <f>IFERROR(INDEX('Hoja de apoyo v2'!D$17:D$20,MATCH($A754,'Hoja de apoyo v2'!$A$17:$A$20,0)),"")</f>
        <v>5938.874134119359</v>
      </c>
      <c r="Q754" s="793">
        <f>IFERROR(INDEX('Hoja de apoyo v2'!E$17:E$20,MATCH($A754,'Hoja de apoyo v2'!$A$17:$A$20,0)),"")</f>
        <v>4160.5938481536259</v>
      </c>
      <c r="R754" s="793">
        <f>IFERROR(INDEX('Hoja de apoyo v2'!F$17:F$20,MATCH($A754,'Hoja de apoyo v2'!$A$17:$A$20,0)),"")</f>
        <v>261.11067511683507</v>
      </c>
      <c r="S754" s="793">
        <f>IFERROR(INDEX('Hoja de apoyo v2'!G$17:G$20,MATCH($A754,'Hoja de apoyo v2'!$A$17:$A$20,0)),"")</f>
        <v>47.352224855431231</v>
      </c>
      <c r="T754" s="792">
        <f>IFERROR(INDEX('Hoja de apoyo v2'!H$17:H$20,MATCH($A754,'Hoja de apoyo v2'!$A$17:$A$20,0)),"")</f>
        <v>492.72230557971551</v>
      </c>
      <c r="U754" s="794" t="str">
        <f t="shared" si="400"/>
        <v/>
      </c>
      <c r="V754" s="795" t="str">
        <f t="shared" si="401"/>
        <v/>
      </c>
      <c r="W754" s="795" t="str">
        <f t="shared" si="402"/>
        <v/>
      </c>
      <c r="X754" s="843" t="str">
        <f t="shared" si="403"/>
        <v/>
      </c>
      <c r="Y754" s="843" t="str">
        <f t="shared" si="404"/>
        <v/>
      </c>
      <c r="Z754" s="843" t="str">
        <f t="shared" si="405"/>
        <v/>
      </c>
      <c r="AA754" s="843">
        <f t="shared" si="406"/>
        <v>0.66452562585967401</v>
      </c>
      <c r="AB754" s="796">
        <f t="shared" si="407"/>
        <v>0</v>
      </c>
      <c r="AC754" s="797">
        <f t="shared" si="408"/>
        <v>0</v>
      </c>
      <c r="AD754" s="797">
        <f t="shared" si="409"/>
        <v>0</v>
      </c>
      <c r="AE754" s="842">
        <f t="shared" si="410"/>
        <v>0</v>
      </c>
      <c r="AF754" s="842">
        <f t="shared" si="411"/>
        <v>0</v>
      </c>
      <c r="AG754" s="842">
        <f t="shared" si="412"/>
        <v>0</v>
      </c>
      <c r="AH754" s="842">
        <f t="shared" si="413"/>
        <v>2</v>
      </c>
      <c r="AI754" s="826" cm="1">
        <f t="array" ref="AI754">SUMPRODUCT(--ISNUMBER($U754:$AA754),$AB$3:$AH$3)</f>
        <v>8.9789113613062493E-2</v>
      </c>
      <c r="AJ754" s="829" t="str">
        <f t="shared" si="414"/>
        <v/>
      </c>
      <c r="AK754" s="827" t="str">
        <f t="shared" si="415"/>
        <v>No elegible</v>
      </c>
      <c r="AL754" s="784" t="str">
        <f t="shared" si="416"/>
        <v>n/a</v>
      </c>
      <c r="AM754" s="799">
        <f>IF(ISNUMBER('Base de datos Rutas'!W752),'Base de datos Rutas'!W752,"")</f>
        <v>2188.6588733333338</v>
      </c>
      <c r="AN754" s="787">
        <f>IFERROR(SUMIFS('Base de datos Rutas'!$W$6:$W$794,'Base de datos Rutas'!$C$6:$C$794,$C754)/'Base de datos Rutas'!I752,"")</f>
        <v>2188.6588733333338</v>
      </c>
      <c r="AO754" s="800">
        <f>IFERROR('Base de datos Rutas'!X752*AN754/AM754,"")</f>
        <v>0.32035233529484053</v>
      </c>
      <c r="AP754" s="800">
        <f t="shared" si="417"/>
        <v>0.67964766470515947</v>
      </c>
      <c r="AQ754" s="789">
        <f>IFERROR(INDEX('Hoja de apoyo v2'!$J$17:$J$20,MATCH($A754,'Hoja de apoyo v2'!$A$17:$A$20,0)),"")</f>
        <v>0.50577184527496444</v>
      </c>
      <c r="AR754" s="789">
        <f t="shared" si="418"/>
        <v>0.17387581943019503</v>
      </c>
      <c r="AS754" s="784" t="str">
        <f t="shared" si="419"/>
        <v>No</v>
      </c>
      <c r="AT754" s="801">
        <f>IF(ISNUMBER('Base de datos Rutas'!CK752),'Base de datos Rutas'!CK752,"")</f>
        <v>425</v>
      </c>
      <c r="AU754" s="802">
        <f>IF(ISNUMBER('Base de datos Rutas'!CL752),'Base de datos Rutas'!CL752,"")</f>
        <v>762.3</v>
      </c>
      <c r="AV754" s="802">
        <f>IF(ISNUMBER('Base de datos Rutas'!CM752),'Base de datos Rutas'!CM752,"")</f>
        <v>337.29999999999995</v>
      </c>
      <c r="AW754" s="802">
        <f>IF(ISNUMBER('Base de datos Rutas'!CN752),'Base de datos Rutas'!CN752,"")</f>
        <v>6.77</v>
      </c>
      <c r="AX754" s="802">
        <f>IF(ISNUMBER('Base de datos Rutas'!CO752),'Base de datos Rutas'!CO752,"")</f>
        <v>9.4499999999999993</v>
      </c>
      <c r="AY754" s="802">
        <f>IF(ISNUMBER('Base de datos Rutas'!CP752),'Base de datos Rutas'!CP752,"")</f>
        <v>2.6799999999999997</v>
      </c>
      <c r="AZ754" s="802">
        <f>IF(ISNUMBER('Base de datos Rutas'!CQ752),'Base de datos Rutas'!CQ752,"")</f>
        <v>1058.2</v>
      </c>
      <c r="BA754" s="802">
        <f>IF(ISNUMBER('Base de datos Rutas'!CR752),'Base de datos Rutas'!CR752,"")</f>
        <v>0</v>
      </c>
      <c r="BB754" s="803">
        <f>IF(ISNUMBER('Base de datos Rutas'!CS752),'Base de datos Rutas'!CS752,"")</f>
        <v>1058.2</v>
      </c>
      <c r="BC754" s="804">
        <f t="shared" si="429"/>
        <v>0</v>
      </c>
      <c r="BD754" s="805" t="str">
        <f t="shared" si="430"/>
        <v>No saturada</v>
      </c>
      <c r="BE754" s="806">
        <f t="shared" si="431"/>
        <v>0</v>
      </c>
      <c r="BF754" s="890">
        <f>IF(ISNUMBER('Base de datos Rutas'!CX752),'Base de datos Rutas'!CX752/100,"")</f>
        <v>0.34217391304347827</v>
      </c>
      <c r="BG754" s="891">
        <f>IF(ISNUMBER('Base de datos Rutas'!CZ752),'Base de datos Rutas'!CZ752/100,"")</f>
        <v>0.34592460802846658</v>
      </c>
      <c r="BH754" s="892">
        <f>IF(ISNUMBER('Base de datos Rutas'!DA752),'Base de datos Rutas'!DA752,"")</f>
        <v>26.788183650114711</v>
      </c>
      <c r="BI754" s="893">
        <f>IF(ISNUMBER('Base de datos Rutas'!DC752),'Base de datos Rutas'!DC752,"")</f>
        <v>0.23771609431100743</v>
      </c>
      <c r="BJ754" s="805" t="str">
        <f t="shared" si="432"/>
        <v>Ruta (completo)</v>
      </c>
      <c r="BK754" s="783">
        <f t="shared" si="420"/>
        <v>1</v>
      </c>
      <c r="BL754" s="797">
        <f t="shared" si="421"/>
        <v>1</v>
      </c>
      <c r="BM754" s="797">
        <f t="shared" si="422"/>
        <v>2</v>
      </c>
      <c r="BN754" s="797">
        <f t="shared" si="423"/>
        <v>2</v>
      </c>
      <c r="BO754" s="798" cm="1">
        <f t="array" ref="BO754">SUMPRODUCT(--ISNUMBER($BF754:$BI754),$BK$3:$BN$3)</f>
        <v>1</v>
      </c>
      <c r="BP754" s="831">
        <f t="shared" si="433"/>
        <v>12.5</v>
      </c>
      <c r="BQ754" s="834" t="str">
        <f t="shared" si="434"/>
        <v>Bajo</v>
      </c>
      <c r="BR754" s="836" t="str">
        <f t="shared" si="424"/>
        <v/>
      </c>
      <c r="BS754" s="836">
        <f t="shared" si="425"/>
        <v>12.5</v>
      </c>
      <c r="BT754" s="837" t="str">
        <f t="shared" si="426"/>
        <v>Sin datos</v>
      </c>
      <c r="BU754" s="807" t="str">
        <f t="shared" si="435"/>
        <v>No evaluable</v>
      </c>
      <c r="BV754" s="807" t="str">
        <f t="shared" si="427"/>
        <v>No evaluable</v>
      </c>
      <c r="BW754" s="808" t="str">
        <f t="shared" si="428"/>
        <v>Sin datos</v>
      </c>
    </row>
    <row r="755" spans="1:75">
      <c r="A755" s="780" t="str">
        <f>'Base de datos Rutas'!A753</f>
        <v>Pacifico</v>
      </c>
      <c r="B755" s="781" t="str">
        <f>'Base de datos Rutas'!B753</f>
        <v>Hermosillo</v>
      </c>
      <c r="C755" s="781" t="str">
        <f>'Base de datos Rutas'!C753</f>
        <v>Planta Hermosillo</v>
      </c>
      <c r="D755" s="782">
        <f>IF(ISNUMBER('Base de datos Rutas'!D753),'Base de datos Rutas'!D753,"Sin código")</f>
        <v>401302</v>
      </c>
      <c r="E755" s="783" t="str">
        <f>'Base de datos Rutas'!F753</f>
        <v>Activa</v>
      </c>
      <c r="F755" s="784" t="str">
        <f>'Base de datos Rutas'!H753</f>
        <v>No</v>
      </c>
      <c r="G755" s="785" t="str">
        <f>IF(ISNUMBER('Base de datos Rutas'!BE753),'Base de datos Rutas'!BE753,"")</f>
        <v/>
      </c>
      <c r="H755" s="786" t="str">
        <f>IF(ISNUMBER('Base de datos Rutas'!BH753),'Base de datos Rutas'!BH753,"")</f>
        <v/>
      </c>
      <c r="I755" s="788" t="str">
        <f>IFERROR(IF(OR(NOT(ISNUMBER('Base de datos Rutas'!O753)),N('Base de datos Rutas'!BK753)=0),"",'Base de datos Rutas'!O753/('Base de datos Rutas'!L753/'Base de datos Rutas'!BK753)),"")</f>
        <v/>
      </c>
      <c r="J755" s="788" t="str">
        <f>IFERROR(IF(OR(NOT(ISNUMBER('Base de datos Rutas'!N753)),N('Base de datos Rutas'!BK753)=0),"",'Base de datos Rutas'!N753/('Base de datos Rutas'!L753/'Base de datos Rutas'!BK753)),"")</f>
        <v/>
      </c>
      <c r="K755" s="788" t="str">
        <f>IFERROR(IF(OR(NOT(ISNUMBER('Base de datos Rutas'!J753)),N('Base de datos Rutas'!BK753)=0),"",'Base de datos Rutas'!J753/('Base de datos Rutas'!L753/'Base de datos Rutas'!BK753)),"")</f>
        <v/>
      </c>
      <c r="L755" s="788" t="str">
        <f>IFERROR(IF(OR(NOT(ISNUMBER('Base de datos Rutas'!K753)),N('Base de datos Rutas'!BK753)=0),"",'Base de datos Rutas'!K753/('Base de datos Rutas'!L753/'Base de datos Rutas'!BK753)),"")</f>
        <v/>
      </c>
      <c r="M755" s="787">
        <f>IF(ISNUMBER('Base de datos Rutas'!AX753),'Base de datos Rutas'!AX753,"")</f>
        <v>337.38871514642</v>
      </c>
      <c r="N755" s="790">
        <f>IFERROR(INDEX('Hoja de apoyo v2'!B$17:B$20,MATCH($A755,'Hoja de apoyo v2'!$A$17:$A$20,0)),"")</f>
        <v>48.509140196922353</v>
      </c>
      <c r="O755" s="791">
        <f>IFERROR(INDEX('Hoja de apoyo v2'!C$17:C$20,MATCH($A755,'Hoja de apoyo v2'!$A$17:$A$20,0)),"")</f>
        <v>0.66965083735281605</v>
      </c>
      <c r="P755" s="793">
        <f>IFERROR(INDEX('Hoja de apoyo v2'!D$17:D$20,MATCH($A755,'Hoja de apoyo v2'!$A$17:$A$20,0)),"")</f>
        <v>5938.874134119359</v>
      </c>
      <c r="Q755" s="793">
        <f>IFERROR(INDEX('Hoja de apoyo v2'!E$17:E$20,MATCH($A755,'Hoja de apoyo v2'!$A$17:$A$20,0)),"")</f>
        <v>4160.5938481536259</v>
      </c>
      <c r="R755" s="793">
        <f>IFERROR(INDEX('Hoja de apoyo v2'!F$17:F$20,MATCH($A755,'Hoja de apoyo v2'!$A$17:$A$20,0)),"")</f>
        <v>261.11067511683507</v>
      </c>
      <c r="S755" s="793">
        <f>IFERROR(INDEX('Hoja de apoyo v2'!G$17:G$20,MATCH($A755,'Hoja de apoyo v2'!$A$17:$A$20,0)),"")</f>
        <v>47.352224855431231</v>
      </c>
      <c r="T755" s="792">
        <f>IFERROR(INDEX('Hoja de apoyo v2'!H$17:H$20,MATCH($A755,'Hoja de apoyo v2'!$A$17:$A$20,0)),"")</f>
        <v>492.72230557971551</v>
      </c>
      <c r="U755" s="794" t="str">
        <f t="shared" si="400"/>
        <v/>
      </c>
      <c r="V755" s="795" t="str">
        <f t="shared" si="401"/>
        <v/>
      </c>
      <c r="W755" s="795" t="str">
        <f t="shared" si="402"/>
        <v/>
      </c>
      <c r="X755" s="843" t="str">
        <f t="shared" si="403"/>
        <v/>
      </c>
      <c r="Y755" s="843" t="str">
        <f t="shared" si="404"/>
        <v/>
      </c>
      <c r="Z755" s="843" t="str">
        <f t="shared" si="405"/>
        <v/>
      </c>
      <c r="AA755" s="843">
        <f t="shared" si="406"/>
        <v>0.68474414761771984</v>
      </c>
      <c r="AB755" s="796">
        <f t="shared" si="407"/>
        <v>0</v>
      </c>
      <c r="AC755" s="797">
        <f t="shared" si="408"/>
        <v>0</v>
      </c>
      <c r="AD755" s="797">
        <f t="shared" si="409"/>
        <v>0</v>
      </c>
      <c r="AE755" s="842">
        <f t="shared" si="410"/>
        <v>0</v>
      </c>
      <c r="AF755" s="842">
        <f t="shared" si="411"/>
        <v>0</v>
      </c>
      <c r="AG755" s="842">
        <f t="shared" si="412"/>
        <v>0</v>
      </c>
      <c r="AH755" s="842">
        <f t="shared" si="413"/>
        <v>2</v>
      </c>
      <c r="AI755" s="826" cm="1">
        <f t="array" ref="AI755">SUMPRODUCT(--ISNUMBER($U755:$AA755),$AB$3:$AH$3)</f>
        <v>8.9789113613062493E-2</v>
      </c>
      <c r="AJ755" s="829" t="str">
        <f t="shared" si="414"/>
        <v/>
      </c>
      <c r="AK755" s="827" t="str">
        <f t="shared" si="415"/>
        <v>No elegible</v>
      </c>
      <c r="AL755" s="784" t="str">
        <f t="shared" si="416"/>
        <v>n/a</v>
      </c>
      <c r="AM755" s="799">
        <f>IF(ISNUMBER('Base de datos Rutas'!W753),'Base de datos Rutas'!W753,"")</f>
        <v>2188.6588733333338</v>
      </c>
      <c r="AN755" s="787">
        <f>IFERROR(SUMIFS('Base de datos Rutas'!$W$6:$W$794,'Base de datos Rutas'!$C$6:$C$794,$C755)/'Base de datos Rutas'!I753,"")</f>
        <v>2188.6588733333338</v>
      </c>
      <c r="AO755" s="800">
        <f>IFERROR('Base de datos Rutas'!X753*AN755/AM755,"")</f>
        <v>0.32035233529484053</v>
      </c>
      <c r="AP755" s="800">
        <f t="shared" si="417"/>
        <v>0.67964766470515947</v>
      </c>
      <c r="AQ755" s="789">
        <f>IFERROR(INDEX('Hoja de apoyo v2'!$J$17:$J$20,MATCH($A755,'Hoja de apoyo v2'!$A$17:$A$20,0)),"")</f>
        <v>0.50577184527496444</v>
      </c>
      <c r="AR755" s="789">
        <f t="shared" si="418"/>
        <v>0.17387581943019503</v>
      </c>
      <c r="AS755" s="784" t="str">
        <f t="shared" si="419"/>
        <v>No</v>
      </c>
      <c r="AT755" s="801">
        <f>IF(ISNUMBER('Base de datos Rutas'!CK753),'Base de datos Rutas'!CK753,"")</f>
        <v>470</v>
      </c>
      <c r="AU755" s="802">
        <f>IF(ISNUMBER('Base de datos Rutas'!CL753),'Base de datos Rutas'!CL753,"")</f>
        <v>778.68</v>
      </c>
      <c r="AV755" s="802">
        <f>IF(ISNUMBER('Base de datos Rutas'!CM753),'Base de datos Rutas'!CM753,"")</f>
        <v>308.67999999999995</v>
      </c>
      <c r="AW755" s="802">
        <f>IF(ISNUMBER('Base de datos Rutas'!CN753),'Base de datos Rutas'!CN753,"")</f>
        <v>5.97</v>
      </c>
      <c r="AX755" s="802">
        <f>IF(ISNUMBER('Base de datos Rutas'!CO753),'Base de datos Rutas'!CO753,"")</f>
        <v>9.4499999999999993</v>
      </c>
      <c r="AY755" s="802">
        <f>IF(ISNUMBER('Base de datos Rutas'!CP753),'Base de datos Rutas'!CP753,"")</f>
        <v>3.4799999999999995</v>
      </c>
      <c r="AZ755" s="802">
        <f>IF(ISNUMBER('Base de datos Rutas'!CQ753),'Base de datos Rutas'!CQ753,"")</f>
        <v>592.59</v>
      </c>
      <c r="BA755" s="802">
        <f>IF(ISNUMBER('Base de datos Rutas'!CR753),'Base de datos Rutas'!CR753,"")</f>
        <v>0</v>
      </c>
      <c r="BB755" s="803">
        <f>IF(ISNUMBER('Base de datos Rutas'!CS753),'Base de datos Rutas'!CS753,"")</f>
        <v>592.59</v>
      </c>
      <c r="BC755" s="804">
        <f t="shared" si="429"/>
        <v>0</v>
      </c>
      <c r="BD755" s="805" t="str">
        <f t="shared" si="430"/>
        <v>No saturada</v>
      </c>
      <c r="BE755" s="806">
        <f t="shared" si="431"/>
        <v>0</v>
      </c>
      <c r="BF755" s="890">
        <f>IF(ISNUMBER('Base de datos Rutas'!CX753),'Base de datos Rutas'!CX753/100,"")</f>
        <v>0.35411946352030232</v>
      </c>
      <c r="BG755" s="891">
        <f>IF(ISNUMBER('Base de datos Rutas'!CZ753),'Base de datos Rutas'!CZ753/100,"")</f>
        <v>0.35767617642992117</v>
      </c>
      <c r="BH755" s="892">
        <f>IF(ISNUMBER('Base de datos Rutas'!DA753),'Base de datos Rutas'!DA753,"")</f>
        <v>26.441516255269431</v>
      </c>
      <c r="BI755" s="893">
        <f>IF(ISNUMBER('Base de datos Rutas'!DC753),'Base de datos Rutas'!DC753,"")</f>
        <v>0.23802020926630041</v>
      </c>
      <c r="BJ755" s="805" t="str">
        <f t="shared" si="432"/>
        <v>Ruta (completo)</v>
      </c>
      <c r="BK755" s="783">
        <f t="shared" si="420"/>
        <v>2</v>
      </c>
      <c r="BL755" s="797">
        <f t="shared" si="421"/>
        <v>2</v>
      </c>
      <c r="BM755" s="797">
        <f t="shared" si="422"/>
        <v>1</v>
      </c>
      <c r="BN755" s="797">
        <f t="shared" si="423"/>
        <v>4</v>
      </c>
      <c r="BO755" s="798" cm="1">
        <f t="array" ref="BO755">SUMPRODUCT(--ISNUMBER($BF755:$BI755),$BK$3:$BN$3)</f>
        <v>1</v>
      </c>
      <c r="BP755" s="831">
        <f t="shared" si="433"/>
        <v>31.25</v>
      </c>
      <c r="BQ755" s="834" t="str">
        <f t="shared" si="434"/>
        <v>Medio</v>
      </c>
      <c r="BR755" s="836" t="str">
        <f t="shared" si="424"/>
        <v/>
      </c>
      <c r="BS755" s="836">
        <f t="shared" si="425"/>
        <v>31.25</v>
      </c>
      <c r="BT755" s="837" t="str">
        <f t="shared" si="426"/>
        <v>Sin datos</v>
      </c>
      <c r="BU755" s="807" t="str">
        <f t="shared" si="435"/>
        <v>No evaluable</v>
      </c>
      <c r="BV755" s="807" t="str">
        <f t="shared" si="427"/>
        <v>No evaluable</v>
      </c>
      <c r="BW755" s="808" t="str">
        <f t="shared" si="428"/>
        <v>Sin datos</v>
      </c>
    </row>
    <row r="756" spans="1:75">
      <c r="A756" s="780" t="str">
        <f>'Base de datos Rutas'!A754</f>
        <v>Pacifico</v>
      </c>
      <c r="B756" s="781" t="str">
        <f>'Base de datos Rutas'!B754</f>
        <v>Hermosillo</v>
      </c>
      <c r="C756" s="781" t="str">
        <f>'Base de datos Rutas'!C754</f>
        <v>Planta Hermosillo</v>
      </c>
      <c r="D756" s="782">
        <f>IF(ISNUMBER('Base de datos Rutas'!D754),'Base de datos Rutas'!D754,"Sin código")</f>
        <v>401306</v>
      </c>
      <c r="E756" s="783" t="str">
        <f>'Base de datos Rutas'!F754</f>
        <v>Inactiva</v>
      </c>
      <c r="F756" s="784" t="str">
        <f>'Base de datos Rutas'!H754</f>
        <v>No</v>
      </c>
      <c r="G756" s="785" t="str">
        <f>IF(ISNUMBER('Base de datos Rutas'!BE754),'Base de datos Rutas'!BE754,"")</f>
        <v/>
      </c>
      <c r="H756" s="786" t="str">
        <f>IF(ISNUMBER('Base de datos Rutas'!BH754),'Base de datos Rutas'!BH754,"")</f>
        <v/>
      </c>
      <c r="I756" s="788" t="str">
        <f>IFERROR(IF(OR(NOT(ISNUMBER('Base de datos Rutas'!O754)),N('Base de datos Rutas'!BK754)=0),"",'Base de datos Rutas'!O754/('Base de datos Rutas'!L754/'Base de datos Rutas'!BK754)),"")</f>
        <v/>
      </c>
      <c r="J756" s="788" t="str">
        <f>IFERROR(IF(OR(NOT(ISNUMBER('Base de datos Rutas'!N754)),N('Base de datos Rutas'!BK754)=0),"",'Base de datos Rutas'!N754/('Base de datos Rutas'!L754/'Base de datos Rutas'!BK754)),"")</f>
        <v/>
      </c>
      <c r="K756" s="788" t="str">
        <f>IFERROR(IF(OR(NOT(ISNUMBER('Base de datos Rutas'!J754)),N('Base de datos Rutas'!BK754)=0),"",'Base de datos Rutas'!J754/('Base de datos Rutas'!L754/'Base de datos Rutas'!BK754)),"")</f>
        <v/>
      </c>
      <c r="L756" s="788" t="str">
        <f>IFERROR(IF(OR(NOT(ISNUMBER('Base de datos Rutas'!K754)),N('Base de datos Rutas'!BK754)=0),"",'Base de datos Rutas'!K754/('Base de datos Rutas'!L754/'Base de datos Rutas'!BK754)),"")</f>
        <v/>
      </c>
      <c r="M756" s="787">
        <f>IF(ISNUMBER('Base de datos Rutas'!AX754),'Base de datos Rutas'!AX754,"")</f>
        <v>1001.38</v>
      </c>
      <c r="N756" s="790">
        <f>IFERROR(INDEX('Hoja de apoyo v2'!B$17:B$20,MATCH($A756,'Hoja de apoyo v2'!$A$17:$A$20,0)),"")</f>
        <v>48.509140196922353</v>
      </c>
      <c r="O756" s="791">
        <f>IFERROR(INDEX('Hoja de apoyo v2'!C$17:C$20,MATCH($A756,'Hoja de apoyo v2'!$A$17:$A$20,0)),"")</f>
        <v>0.66965083735281605</v>
      </c>
      <c r="P756" s="793">
        <f>IFERROR(INDEX('Hoja de apoyo v2'!D$17:D$20,MATCH($A756,'Hoja de apoyo v2'!$A$17:$A$20,0)),"")</f>
        <v>5938.874134119359</v>
      </c>
      <c r="Q756" s="793">
        <f>IFERROR(INDEX('Hoja de apoyo v2'!E$17:E$20,MATCH($A756,'Hoja de apoyo v2'!$A$17:$A$20,0)),"")</f>
        <v>4160.5938481536259</v>
      </c>
      <c r="R756" s="793">
        <f>IFERROR(INDEX('Hoja de apoyo v2'!F$17:F$20,MATCH($A756,'Hoja de apoyo v2'!$A$17:$A$20,0)),"")</f>
        <v>261.11067511683507</v>
      </c>
      <c r="S756" s="793">
        <f>IFERROR(INDEX('Hoja de apoyo v2'!G$17:G$20,MATCH($A756,'Hoja de apoyo v2'!$A$17:$A$20,0)),"")</f>
        <v>47.352224855431231</v>
      </c>
      <c r="T756" s="792">
        <f>IFERROR(INDEX('Hoja de apoyo v2'!H$17:H$20,MATCH($A756,'Hoja de apoyo v2'!$A$17:$A$20,0)),"")</f>
        <v>492.72230557971551</v>
      </c>
      <c r="U756" s="794" t="str">
        <f t="shared" si="400"/>
        <v/>
      </c>
      <c r="V756" s="795" t="str">
        <f t="shared" si="401"/>
        <v/>
      </c>
      <c r="W756" s="795" t="str">
        <f t="shared" si="402"/>
        <v/>
      </c>
      <c r="X756" s="843" t="str">
        <f t="shared" si="403"/>
        <v/>
      </c>
      <c r="Y756" s="843" t="str">
        <f t="shared" si="404"/>
        <v/>
      </c>
      <c r="Z756" s="843" t="str">
        <f t="shared" si="405"/>
        <v/>
      </c>
      <c r="AA756" s="843">
        <f t="shared" si="406"/>
        <v>2.0323415210963915</v>
      </c>
      <c r="AB756" s="796">
        <f t="shared" si="407"/>
        <v>0</v>
      </c>
      <c r="AC756" s="797">
        <f t="shared" si="408"/>
        <v>0</v>
      </c>
      <c r="AD756" s="797">
        <f t="shared" si="409"/>
        <v>0</v>
      </c>
      <c r="AE756" s="842">
        <f t="shared" si="410"/>
        <v>0</v>
      </c>
      <c r="AF756" s="842">
        <f t="shared" si="411"/>
        <v>0</v>
      </c>
      <c r="AG756" s="842">
        <f t="shared" si="412"/>
        <v>0</v>
      </c>
      <c r="AH756" s="842">
        <f t="shared" si="413"/>
        <v>5</v>
      </c>
      <c r="AI756" s="826" cm="1">
        <f t="array" ref="AI756">SUMPRODUCT(--ISNUMBER($U756:$AA756),$AB$3:$AH$3)</f>
        <v>8.9789113613062493E-2</v>
      </c>
      <c r="AJ756" s="829" t="str">
        <f t="shared" si="414"/>
        <v/>
      </c>
      <c r="AK756" s="827" t="str">
        <f t="shared" si="415"/>
        <v>Ruta inactiva</v>
      </c>
      <c r="AL756" s="784" t="str">
        <f t="shared" si="416"/>
        <v>n/a</v>
      </c>
      <c r="AM756" s="799">
        <f>IF(ISNUMBER('Base de datos Rutas'!W754),'Base de datos Rutas'!W754,"")</f>
        <v>2188.6588733333338</v>
      </c>
      <c r="AN756" s="787">
        <f>IFERROR(SUMIFS('Base de datos Rutas'!$W$6:$W$794,'Base de datos Rutas'!$C$6:$C$794,$C756)/'Base de datos Rutas'!I754,"")</f>
        <v>2188.6588733333338</v>
      </c>
      <c r="AO756" s="800">
        <f>IFERROR('Base de datos Rutas'!X754*AN756/AM756,"")</f>
        <v>0.32035233529484053</v>
      </c>
      <c r="AP756" s="800">
        <f t="shared" si="417"/>
        <v>0.67964766470515947</v>
      </c>
      <c r="AQ756" s="789">
        <f>IFERROR(INDEX('Hoja de apoyo v2'!$J$17:$J$20,MATCH($A756,'Hoja de apoyo v2'!$A$17:$A$20,0)),"")</f>
        <v>0.50577184527496444</v>
      </c>
      <c r="AR756" s="789">
        <f t="shared" si="418"/>
        <v>0.17387581943019503</v>
      </c>
      <c r="AS756" s="784" t="str">
        <f t="shared" si="419"/>
        <v>No</v>
      </c>
      <c r="AT756" s="801" t="str">
        <f>IF(ISNUMBER('Base de datos Rutas'!CK754),'Base de datos Rutas'!CK754,"")</f>
        <v/>
      </c>
      <c r="AU756" s="802" t="str">
        <f>IF(ISNUMBER('Base de datos Rutas'!CL754),'Base de datos Rutas'!CL754,"")</f>
        <v/>
      </c>
      <c r="AV756" s="802">
        <f>IF(ISNUMBER('Base de datos Rutas'!CM754),'Base de datos Rutas'!CM754,"")</f>
        <v>0</v>
      </c>
      <c r="AW756" s="802" t="str">
        <f>IF(ISNUMBER('Base de datos Rutas'!CN754),'Base de datos Rutas'!CN754,"")</f>
        <v/>
      </c>
      <c r="AX756" s="802" t="str">
        <f>IF(ISNUMBER('Base de datos Rutas'!CO754),'Base de datos Rutas'!CO754,"")</f>
        <v/>
      </c>
      <c r="AY756" s="802">
        <f>IF(ISNUMBER('Base de datos Rutas'!CP754),'Base de datos Rutas'!CP754,"")</f>
        <v>0</v>
      </c>
      <c r="AZ756" s="802" t="str">
        <f>IF(ISNUMBER('Base de datos Rutas'!CQ754),'Base de datos Rutas'!CQ754,"")</f>
        <v/>
      </c>
      <c r="BA756" s="802" t="str">
        <f>IF(ISNUMBER('Base de datos Rutas'!CR754),'Base de datos Rutas'!CR754,"")</f>
        <v/>
      </c>
      <c r="BB756" s="803">
        <f>IF(ISNUMBER('Base de datos Rutas'!CS754),'Base de datos Rutas'!CS754,"")</f>
        <v>0</v>
      </c>
      <c r="BC756" s="804" t="str">
        <f t="shared" si="429"/>
        <v/>
      </c>
      <c r="BD756" s="805" t="str">
        <f t="shared" si="430"/>
        <v>N/D</v>
      </c>
      <c r="BE756" s="806" t="str">
        <f t="shared" si="431"/>
        <v/>
      </c>
      <c r="BF756" s="890" t="str">
        <f>IF(ISNUMBER('Base de datos Rutas'!CX754),'Base de datos Rutas'!CX754/100,"")</f>
        <v/>
      </c>
      <c r="BG756" s="891" t="str">
        <f>IF(ISNUMBER('Base de datos Rutas'!CZ754),'Base de datos Rutas'!CZ754/100,"")</f>
        <v/>
      </c>
      <c r="BH756" s="892" t="str">
        <f>IF(ISNUMBER('Base de datos Rutas'!DA754),'Base de datos Rutas'!DA754,"")</f>
        <v/>
      </c>
      <c r="BI756" s="893" t="str">
        <f>IF(ISNUMBER('Base de datos Rutas'!DC754),'Base de datos Rutas'!DC754,"")</f>
        <v/>
      </c>
      <c r="BJ756" s="805" t="str">
        <f t="shared" si="432"/>
        <v>Sin dato</v>
      </c>
      <c r="BK756" s="783">
        <f t="shared" si="420"/>
        <v>0</v>
      </c>
      <c r="BL756" s="797">
        <f t="shared" si="421"/>
        <v>0</v>
      </c>
      <c r="BM756" s="797">
        <f t="shared" si="422"/>
        <v>0</v>
      </c>
      <c r="BN756" s="797">
        <f t="shared" si="423"/>
        <v>0</v>
      </c>
      <c r="BO756" s="798" cm="1">
        <f t="array" ref="BO756">SUMPRODUCT(--ISNUMBER($BF756:$BI756),$BK$3:$BN$3)</f>
        <v>0</v>
      </c>
      <c r="BP756" s="831" t="str">
        <f t="shared" si="433"/>
        <v/>
      </c>
      <c r="BQ756" s="834" t="str">
        <f t="shared" si="434"/>
        <v>Sin datos</v>
      </c>
      <c r="BR756" s="836" t="str">
        <f t="shared" si="424"/>
        <v/>
      </c>
      <c r="BS756" s="836" t="str">
        <f t="shared" si="425"/>
        <v/>
      </c>
      <c r="BT756" s="837" t="str">
        <f t="shared" si="426"/>
        <v>Sin datos</v>
      </c>
      <c r="BU756" s="807" t="str">
        <f t="shared" si="435"/>
        <v>No evaluable</v>
      </c>
      <c r="BV756" s="807" t="str">
        <f t="shared" si="427"/>
        <v>No evaluable</v>
      </c>
      <c r="BW756" s="808" t="str">
        <f t="shared" si="428"/>
        <v>Sin datos</v>
      </c>
    </row>
    <row r="757" spans="1:75">
      <c r="A757" s="780" t="str">
        <f>'Base de datos Rutas'!A755</f>
        <v>Pacifico</v>
      </c>
      <c r="B757" s="781" t="str">
        <f>'Base de datos Rutas'!B755</f>
        <v>Hermosillo</v>
      </c>
      <c r="C757" s="781" t="str">
        <f>'Base de datos Rutas'!C755</f>
        <v>Planta Hermosillo</v>
      </c>
      <c r="D757" s="782">
        <f>IF(ISNUMBER('Base de datos Rutas'!D755),'Base de datos Rutas'!D755,"Sin código")</f>
        <v>401307</v>
      </c>
      <c r="E757" s="783" t="str">
        <f>'Base de datos Rutas'!F755</f>
        <v>Activa</v>
      </c>
      <c r="F757" s="784" t="str">
        <f>'Base de datos Rutas'!H755</f>
        <v>No</v>
      </c>
      <c r="G757" s="785" t="str">
        <f>IF(ISNUMBER('Base de datos Rutas'!BE755),'Base de datos Rutas'!BE755,"")</f>
        <v/>
      </c>
      <c r="H757" s="786" t="str">
        <f>IF(ISNUMBER('Base de datos Rutas'!BH755),'Base de datos Rutas'!BH755,"")</f>
        <v/>
      </c>
      <c r="I757" s="788" t="str">
        <f>IFERROR(IF(OR(NOT(ISNUMBER('Base de datos Rutas'!O755)),N('Base de datos Rutas'!BK755)=0),"",'Base de datos Rutas'!O755/('Base de datos Rutas'!L755/'Base de datos Rutas'!BK755)),"")</f>
        <v/>
      </c>
      <c r="J757" s="788" t="str">
        <f>IFERROR(IF(OR(NOT(ISNUMBER('Base de datos Rutas'!N755)),N('Base de datos Rutas'!BK755)=0),"",'Base de datos Rutas'!N755/('Base de datos Rutas'!L755/'Base de datos Rutas'!BK755)),"")</f>
        <v/>
      </c>
      <c r="K757" s="788" t="str">
        <f>IFERROR(IF(OR(NOT(ISNUMBER('Base de datos Rutas'!J755)),N('Base de datos Rutas'!BK755)=0),"",'Base de datos Rutas'!J755/('Base de datos Rutas'!L755/'Base de datos Rutas'!BK755)),"")</f>
        <v/>
      </c>
      <c r="L757" s="788" t="str">
        <f>IFERROR(IF(OR(NOT(ISNUMBER('Base de datos Rutas'!K755)),N('Base de datos Rutas'!BK755)=0),"",'Base de datos Rutas'!K755/('Base de datos Rutas'!L755/'Base de datos Rutas'!BK755)),"")</f>
        <v/>
      </c>
      <c r="M757" s="787">
        <f>IF(ISNUMBER('Base de datos Rutas'!AX755),'Base de datos Rutas'!AX755,"")</f>
        <v>9757.1006194690308</v>
      </c>
      <c r="N757" s="790">
        <f>IFERROR(INDEX('Hoja de apoyo v2'!B$17:B$20,MATCH($A757,'Hoja de apoyo v2'!$A$17:$A$20,0)),"")</f>
        <v>48.509140196922353</v>
      </c>
      <c r="O757" s="791">
        <f>IFERROR(INDEX('Hoja de apoyo v2'!C$17:C$20,MATCH($A757,'Hoja de apoyo v2'!$A$17:$A$20,0)),"")</f>
        <v>0.66965083735281605</v>
      </c>
      <c r="P757" s="793">
        <f>IFERROR(INDEX('Hoja de apoyo v2'!D$17:D$20,MATCH($A757,'Hoja de apoyo v2'!$A$17:$A$20,0)),"")</f>
        <v>5938.874134119359</v>
      </c>
      <c r="Q757" s="793">
        <f>IFERROR(INDEX('Hoja de apoyo v2'!E$17:E$20,MATCH($A757,'Hoja de apoyo v2'!$A$17:$A$20,0)),"")</f>
        <v>4160.5938481536259</v>
      </c>
      <c r="R757" s="793">
        <f>IFERROR(INDEX('Hoja de apoyo v2'!F$17:F$20,MATCH($A757,'Hoja de apoyo v2'!$A$17:$A$20,0)),"")</f>
        <v>261.11067511683507</v>
      </c>
      <c r="S757" s="793">
        <f>IFERROR(INDEX('Hoja de apoyo v2'!G$17:G$20,MATCH($A757,'Hoja de apoyo v2'!$A$17:$A$20,0)),"")</f>
        <v>47.352224855431231</v>
      </c>
      <c r="T757" s="792">
        <f>IFERROR(INDEX('Hoja de apoyo v2'!H$17:H$20,MATCH($A757,'Hoja de apoyo v2'!$A$17:$A$20,0)),"")</f>
        <v>492.72230557971551</v>
      </c>
      <c r="U757" s="794" t="str">
        <f t="shared" si="400"/>
        <v/>
      </c>
      <c r="V757" s="795" t="str">
        <f t="shared" si="401"/>
        <v/>
      </c>
      <c r="W757" s="795" t="str">
        <f t="shared" si="402"/>
        <v/>
      </c>
      <c r="X757" s="843" t="str">
        <f t="shared" si="403"/>
        <v/>
      </c>
      <c r="Y757" s="843" t="str">
        <f t="shared" si="404"/>
        <v/>
      </c>
      <c r="Z757" s="843" t="str">
        <f t="shared" si="405"/>
        <v/>
      </c>
      <c r="AA757" s="843">
        <f t="shared" si="406"/>
        <v>19.80243335643036</v>
      </c>
      <c r="AB757" s="796">
        <f t="shared" si="407"/>
        <v>0</v>
      </c>
      <c r="AC757" s="797">
        <f t="shared" si="408"/>
        <v>0</v>
      </c>
      <c r="AD757" s="797">
        <f t="shared" si="409"/>
        <v>0</v>
      </c>
      <c r="AE757" s="842">
        <f t="shared" si="410"/>
        <v>0</v>
      </c>
      <c r="AF757" s="842">
        <f t="shared" si="411"/>
        <v>0</v>
      </c>
      <c r="AG757" s="842">
        <f t="shared" si="412"/>
        <v>0</v>
      </c>
      <c r="AH757" s="842">
        <f t="shared" si="413"/>
        <v>5</v>
      </c>
      <c r="AI757" s="826" cm="1">
        <f t="array" ref="AI757">SUMPRODUCT(--ISNUMBER($U757:$AA757),$AB$3:$AH$3)</f>
        <v>8.9789113613062493E-2</v>
      </c>
      <c r="AJ757" s="829" t="str">
        <f t="shared" si="414"/>
        <v/>
      </c>
      <c r="AK757" s="827" t="str">
        <f t="shared" si="415"/>
        <v>No elegible</v>
      </c>
      <c r="AL757" s="784" t="str">
        <f t="shared" si="416"/>
        <v>n/a</v>
      </c>
      <c r="AM757" s="799">
        <f>IF(ISNUMBER('Base de datos Rutas'!W755),'Base de datos Rutas'!W755,"")</f>
        <v>2188.6588733333338</v>
      </c>
      <c r="AN757" s="787">
        <f>IFERROR(SUMIFS('Base de datos Rutas'!$W$6:$W$794,'Base de datos Rutas'!$C$6:$C$794,$C757)/'Base de datos Rutas'!I755,"")</f>
        <v>2188.6588733333338</v>
      </c>
      <c r="AO757" s="800">
        <f>IFERROR('Base de datos Rutas'!X755*AN757/AM757,"")</f>
        <v>0.32035233529484053</v>
      </c>
      <c r="AP757" s="800">
        <f t="shared" si="417"/>
        <v>0.67964766470515947</v>
      </c>
      <c r="AQ757" s="789">
        <f>IFERROR(INDEX('Hoja de apoyo v2'!$J$17:$J$20,MATCH($A757,'Hoja de apoyo v2'!$A$17:$A$20,0)),"")</f>
        <v>0.50577184527496444</v>
      </c>
      <c r="AR757" s="789">
        <f t="shared" si="418"/>
        <v>0.17387581943019503</v>
      </c>
      <c r="AS757" s="784" t="str">
        <f t="shared" si="419"/>
        <v>No</v>
      </c>
      <c r="AT757" s="801" t="str">
        <f>IF(ISNUMBER('Base de datos Rutas'!CK755),'Base de datos Rutas'!CK755,"")</f>
        <v/>
      </c>
      <c r="AU757" s="802" t="str">
        <f>IF(ISNUMBER('Base de datos Rutas'!CL755),'Base de datos Rutas'!CL755,"")</f>
        <v/>
      </c>
      <c r="AV757" s="802">
        <f>IF(ISNUMBER('Base de datos Rutas'!CM755),'Base de datos Rutas'!CM755,"")</f>
        <v>0</v>
      </c>
      <c r="AW757" s="802" t="str">
        <f>IF(ISNUMBER('Base de datos Rutas'!CN755),'Base de datos Rutas'!CN755,"")</f>
        <v/>
      </c>
      <c r="AX757" s="802" t="str">
        <f>IF(ISNUMBER('Base de datos Rutas'!CO755),'Base de datos Rutas'!CO755,"")</f>
        <v/>
      </c>
      <c r="AY757" s="802">
        <f>IF(ISNUMBER('Base de datos Rutas'!CP755),'Base de datos Rutas'!CP755,"")</f>
        <v>0</v>
      </c>
      <c r="AZ757" s="802" t="str">
        <f>IF(ISNUMBER('Base de datos Rutas'!CQ755),'Base de datos Rutas'!CQ755,"")</f>
        <v/>
      </c>
      <c r="BA757" s="802" t="str">
        <f>IF(ISNUMBER('Base de datos Rutas'!CR755),'Base de datos Rutas'!CR755,"")</f>
        <v/>
      </c>
      <c r="BB757" s="803">
        <f>IF(ISNUMBER('Base de datos Rutas'!CS755),'Base de datos Rutas'!CS755,"")</f>
        <v>0</v>
      </c>
      <c r="BC757" s="804" t="str">
        <f t="shared" si="429"/>
        <v/>
      </c>
      <c r="BD757" s="805" t="str">
        <f t="shared" si="430"/>
        <v>N/D</v>
      </c>
      <c r="BE757" s="806" t="str">
        <f t="shared" si="431"/>
        <v/>
      </c>
      <c r="BF757" s="890" t="str">
        <f>IF(ISNUMBER('Base de datos Rutas'!CX755),'Base de datos Rutas'!CX755/100,"")</f>
        <v/>
      </c>
      <c r="BG757" s="891" t="str">
        <f>IF(ISNUMBER('Base de datos Rutas'!CZ755),'Base de datos Rutas'!CZ755/100,"")</f>
        <v/>
      </c>
      <c r="BH757" s="892" t="str">
        <f>IF(ISNUMBER('Base de datos Rutas'!DA755),'Base de datos Rutas'!DA755,"")</f>
        <v/>
      </c>
      <c r="BI757" s="893" t="str">
        <f>IF(ISNUMBER('Base de datos Rutas'!DC755),'Base de datos Rutas'!DC755,"")</f>
        <v/>
      </c>
      <c r="BJ757" s="805" t="str">
        <f t="shared" si="432"/>
        <v>Sin dato</v>
      </c>
      <c r="BK757" s="783">
        <f t="shared" si="420"/>
        <v>0</v>
      </c>
      <c r="BL757" s="797">
        <f t="shared" si="421"/>
        <v>0</v>
      </c>
      <c r="BM757" s="797">
        <f t="shared" si="422"/>
        <v>0</v>
      </c>
      <c r="BN757" s="797">
        <f t="shared" si="423"/>
        <v>0</v>
      </c>
      <c r="BO757" s="798" cm="1">
        <f t="array" ref="BO757">SUMPRODUCT(--ISNUMBER($BF757:$BI757),$BK$3:$BN$3)</f>
        <v>0</v>
      </c>
      <c r="BP757" s="831" t="str">
        <f t="shared" si="433"/>
        <v/>
      </c>
      <c r="BQ757" s="834" t="str">
        <f t="shared" si="434"/>
        <v>Sin datos</v>
      </c>
      <c r="BR757" s="836" t="str">
        <f t="shared" si="424"/>
        <v/>
      </c>
      <c r="BS757" s="836" t="str">
        <f t="shared" si="425"/>
        <v/>
      </c>
      <c r="BT757" s="837" t="str">
        <f t="shared" si="426"/>
        <v>Sin datos</v>
      </c>
      <c r="BU757" s="807" t="str">
        <f t="shared" si="435"/>
        <v>No evaluable</v>
      </c>
      <c r="BV757" s="807" t="str">
        <f t="shared" si="427"/>
        <v>No evaluable</v>
      </c>
      <c r="BW757" s="808" t="str">
        <f t="shared" si="428"/>
        <v>Sin datos</v>
      </c>
    </row>
    <row r="758" spans="1:75">
      <c r="A758" s="780" t="str">
        <f>'Base de datos Rutas'!A756</f>
        <v>Pacifico</v>
      </c>
      <c r="B758" s="781" t="str">
        <f>'Base de datos Rutas'!B756</f>
        <v>Hermosillo</v>
      </c>
      <c r="C758" s="781" t="str">
        <f>'Base de datos Rutas'!C756</f>
        <v>Planta Hermosillo</v>
      </c>
      <c r="D758" s="782">
        <f>IF(ISNUMBER('Base de datos Rutas'!D756),'Base de datos Rutas'!D756,"Sin código")</f>
        <v>5000000311</v>
      </c>
      <c r="E758" s="783" t="str">
        <f>'Base de datos Rutas'!F756</f>
        <v>Activa</v>
      </c>
      <c r="F758" s="784" t="str">
        <f>'Base de datos Rutas'!H756</f>
        <v>No</v>
      </c>
      <c r="G758" s="785" t="str">
        <f>IF(ISNUMBER('Base de datos Rutas'!BE756),'Base de datos Rutas'!BE756,"")</f>
        <v/>
      </c>
      <c r="H758" s="786" t="str">
        <f>IF(ISNUMBER('Base de datos Rutas'!BH756),'Base de datos Rutas'!BH756,"")</f>
        <v/>
      </c>
      <c r="I758" s="788" t="str">
        <f>IFERROR(IF(OR(NOT(ISNUMBER('Base de datos Rutas'!O756)),N('Base de datos Rutas'!BK756)=0),"",'Base de datos Rutas'!O756/('Base de datos Rutas'!L756/'Base de datos Rutas'!BK756)),"")</f>
        <v/>
      </c>
      <c r="J758" s="788" t="str">
        <f>IFERROR(IF(OR(NOT(ISNUMBER('Base de datos Rutas'!N756)),N('Base de datos Rutas'!BK756)=0),"",'Base de datos Rutas'!N756/('Base de datos Rutas'!L756/'Base de datos Rutas'!BK756)),"")</f>
        <v/>
      </c>
      <c r="K758" s="788" t="str">
        <f>IFERROR(IF(OR(NOT(ISNUMBER('Base de datos Rutas'!J756)),N('Base de datos Rutas'!BK756)=0),"",'Base de datos Rutas'!J756/('Base de datos Rutas'!L756/'Base de datos Rutas'!BK756)),"")</f>
        <v/>
      </c>
      <c r="L758" s="788" t="str">
        <f>IFERROR(IF(OR(NOT(ISNUMBER('Base de datos Rutas'!K756)),N('Base de datos Rutas'!BK756)=0),"",'Base de datos Rutas'!K756/('Base de datos Rutas'!L756/'Base de datos Rutas'!BK756)),"")</f>
        <v/>
      </c>
      <c r="M758" s="787">
        <f>IF(ISNUMBER('Base de datos Rutas'!AX756),'Base de datos Rutas'!AX756,"")</f>
        <v>663.16200000000003</v>
      </c>
      <c r="N758" s="790">
        <f>IFERROR(INDEX('Hoja de apoyo v2'!B$17:B$20,MATCH($A758,'Hoja de apoyo v2'!$A$17:$A$20,0)),"")</f>
        <v>48.509140196922353</v>
      </c>
      <c r="O758" s="791">
        <f>IFERROR(INDEX('Hoja de apoyo v2'!C$17:C$20,MATCH($A758,'Hoja de apoyo v2'!$A$17:$A$20,0)),"")</f>
        <v>0.66965083735281605</v>
      </c>
      <c r="P758" s="793">
        <f>IFERROR(INDEX('Hoja de apoyo v2'!D$17:D$20,MATCH($A758,'Hoja de apoyo v2'!$A$17:$A$20,0)),"")</f>
        <v>5938.874134119359</v>
      </c>
      <c r="Q758" s="793">
        <f>IFERROR(INDEX('Hoja de apoyo v2'!E$17:E$20,MATCH($A758,'Hoja de apoyo v2'!$A$17:$A$20,0)),"")</f>
        <v>4160.5938481536259</v>
      </c>
      <c r="R758" s="793">
        <f>IFERROR(INDEX('Hoja de apoyo v2'!F$17:F$20,MATCH($A758,'Hoja de apoyo v2'!$A$17:$A$20,0)),"")</f>
        <v>261.11067511683507</v>
      </c>
      <c r="S758" s="793">
        <f>IFERROR(INDEX('Hoja de apoyo v2'!G$17:G$20,MATCH($A758,'Hoja de apoyo v2'!$A$17:$A$20,0)),"")</f>
        <v>47.352224855431231</v>
      </c>
      <c r="T758" s="792">
        <f>IFERROR(INDEX('Hoja de apoyo v2'!H$17:H$20,MATCH($A758,'Hoja de apoyo v2'!$A$17:$A$20,0)),"")</f>
        <v>492.72230557971551</v>
      </c>
      <c r="U758" s="794" t="str">
        <f t="shared" si="400"/>
        <v/>
      </c>
      <c r="V758" s="795" t="str">
        <f t="shared" si="401"/>
        <v/>
      </c>
      <c r="W758" s="795" t="str">
        <f t="shared" si="402"/>
        <v/>
      </c>
      <c r="X758" s="843" t="str">
        <f t="shared" si="403"/>
        <v/>
      </c>
      <c r="Y758" s="843" t="str">
        <f t="shared" si="404"/>
        <v/>
      </c>
      <c r="Z758" s="843" t="str">
        <f t="shared" si="405"/>
        <v/>
      </c>
      <c r="AA758" s="843">
        <f t="shared" si="406"/>
        <v>1.3459143060709473</v>
      </c>
      <c r="AB758" s="796">
        <f t="shared" si="407"/>
        <v>0</v>
      </c>
      <c r="AC758" s="797">
        <f t="shared" si="408"/>
        <v>0</v>
      </c>
      <c r="AD758" s="797">
        <f t="shared" si="409"/>
        <v>0</v>
      </c>
      <c r="AE758" s="842">
        <f t="shared" si="410"/>
        <v>0</v>
      </c>
      <c r="AF758" s="842">
        <f t="shared" si="411"/>
        <v>0</v>
      </c>
      <c r="AG758" s="842">
        <f t="shared" si="412"/>
        <v>0</v>
      </c>
      <c r="AH758" s="842">
        <f t="shared" si="413"/>
        <v>5</v>
      </c>
      <c r="AI758" s="826" cm="1">
        <f t="array" ref="AI758">SUMPRODUCT(--ISNUMBER($U758:$AA758),$AB$3:$AH$3)</f>
        <v>8.9789113613062493E-2</v>
      </c>
      <c r="AJ758" s="829" t="str">
        <f t="shared" si="414"/>
        <v/>
      </c>
      <c r="AK758" s="827" t="str">
        <f t="shared" si="415"/>
        <v>No elegible</v>
      </c>
      <c r="AL758" s="784" t="str">
        <f t="shared" si="416"/>
        <v>n/a</v>
      </c>
      <c r="AM758" s="799">
        <f>IF(ISNUMBER('Base de datos Rutas'!W756),'Base de datos Rutas'!W756,"")</f>
        <v>2188.6588733333338</v>
      </c>
      <c r="AN758" s="787">
        <f>IFERROR(SUMIFS('Base de datos Rutas'!$W$6:$W$794,'Base de datos Rutas'!$C$6:$C$794,$C758)/'Base de datos Rutas'!I756,"")</f>
        <v>2188.6588733333338</v>
      </c>
      <c r="AO758" s="800">
        <f>IFERROR('Base de datos Rutas'!X756*AN758/AM758,"")</f>
        <v>0.32035233529484053</v>
      </c>
      <c r="AP758" s="800">
        <f t="shared" si="417"/>
        <v>0.67964766470515947</v>
      </c>
      <c r="AQ758" s="789">
        <f>IFERROR(INDEX('Hoja de apoyo v2'!$J$17:$J$20,MATCH($A758,'Hoja de apoyo v2'!$A$17:$A$20,0)),"")</f>
        <v>0.50577184527496444</v>
      </c>
      <c r="AR758" s="789">
        <f t="shared" si="418"/>
        <v>0.17387581943019503</v>
      </c>
      <c r="AS758" s="784" t="str">
        <f t="shared" si="419"/>
        <v>No</v>
      </c>
      <c r="AT758" s="801" t="str">
        <f>IF(ISNUMBER('Base de datos Rutas'!CK756),'Base de datos Rutas'!CK756,"")</f>
        <v/>
      </c>
      <c r="AU758" s="802" t="str">
        <f>IF(ISNUMBER('Base de datos Rutas'!CL756),'Base de datos Rutas'!CL756,"")</f>
        <v/>
      </c>
      <c r="AV758" s="802">
        <f>IF(ISNUMBER('Base de datos Rutas'!CM756),'Base de datos Rutas'!CM756,"")</f>
        <v>0</v>
      </c>
      <c r="AW758" s="802" t="str">
        <f>IF(ISNUMBER('Base de datos Rutas'!CN756),'Base de datos Rutas'!CN756,"")</f>
        <v/>
      </c>
      <c r="AX758" s="802" t="str">
        <f>IF(ISNUMBER('Base de datos Rutas'!CO756),'Base de datos Rutas'!CO756,"")</f>
        <v/>
      </c>
      <c r="AY758" s="802">
        <f>IF(ISNUMBER('Base de datos Rutas'!CP756),'Base de datos Rutas'!CP756,"")</f>
        <v>0</v>
      </c>
      <c r="AZ758" s="802" t="str">
        <f>IF(ISNUMBER('Base de datos Rutas'!CQ756),'Base de datos Rutas'!CQ756,"")</f>
        <v/>
      </c>
      <c r="BA758" s="802" t="str">
        <f>IF(ISNUMBER('Base de datos Rutas'!CR756),'Base de datos Rutas'!CR756,"")</f>
        <v/>
      </c>
      <c r="BB758" s="803">
        <f>IF(ISNUMBER('Base de datos Rutas'!CS756),'Base de datos Rutas'!CS756,"")</f>
        <v>0</v>
      </c>
      <c r="BC758" s="804" t="str">
        <f t="shared" si="429"/>
        <v/>
      </c>
      <c r="BD758" s="805" t="str">
        <f t="shared" si="430"/>
        <v>N/D</v>
      </c>
      <c r="BE758" s="806" t="str">
        <f t="shared" si="431"/>
        <v/>
      </c>
      <c r="BF758" s="890" t="str">
        <f>IF(ISNUMBER('Base de datos Rutas'!CX756),'Base de datos Rutas'!CX756/100,"")</f>
        <v/>
      </c>
      <c r="BG758" s="891" t="str">
        <f>IF(ISNUMBER('Base de datos Rutas'!CZ756),'Base de datos Rutas'!CZ756/100,"")</f>
        <v/>
      </c>
      <c r="BH758" s="892" t="str">
        <f>IF(ISNUMBER('Base de datos Rutas'!DA756),'Base de datos Rutas'!DA756,"")</f>
        <v/>
      </c>
      <c r="BI758" s="893" t="str">
        <f>IF(ISNUMBER('Base de datos Rutas'!DC756),'Base de datos Rutas'!DC756,"")</f>
        <v/>
      </c>
      <c r="BJ758" s="805" t="str">
        <f t="shared" si="432"/>
        <v>Sin dato</v>
      </c>
      <c r="BK758" s="783">
        <f t="shared" si="420"/>
        <v>0</v>
      </c>
      <c r="BL758" s="797">
        <f t="shared" si="421"/>
        <v>0</v>
      </c>
      <c r="BM758" s="797">
        <f t="shared" si="422"/>
        <v>0</v>
      </c>
      <c r="BN758" s="797">
        <f t="shared" si="423"/>
        <v>0</v>
      </c>
      <c r="BO758" s="798" cm="1">
        <f t="array" ref="BO758">SUMPRODUCT(--ISNUMBER($BF758:$BI758),$BK$3:$BN$3)</f>
        <v>0</v>
      </c>
      <c r="BP758" s="831" t="str">
        <f t="shared" si="433"/>
        <v/>
      </c>
      <c r="BQ758" s="834" t="str">
        <f t="shared" si="434"/>
        <v>Sin datos</v>
      </c>
      <c r="BR758" s="836" t="str">
        <f t="shared" si="424"/>
        <v/>
      </c>
      <c r="BS758" s="836" t="str">
        <f t="shared" si="425"/>
        <v/>
      </c>
      <c r="BT758" s="837" t="str">
        <f t="shared" si="426"/>
        <v>Sin datos</v>
      </c>
      <c r="BU758" s="807" t="str">
        <f t="shared" si="435"/>
        <v>No evaluable</v>
      </c>
      <c r="BV758" s="807" t="str">
        <f t="shared" si="427"/>
        <v>No evaluable</v>
      </c>
      <c r="BW758" s="808" t="str">
        <f t="shared" si="428"/>
        <v>Sin datos</v>
      </c>
    </row>
    <row r="759" spans="1:75">
      <c r="A759" s="780" t="str">
        <f>'Base de datos Rutas'!A757</f>
        <v>Pacifico</v>
      </c>
      <c r="B759" s="781" t="str">
        <f>'Base de datos Rutas'!B757</f>
        <v>No está en EERR</v>
      </c>
      <c r="C759" s="781" t="str">
        <f>'Base de datos Rutas'!C757</f>
        <v>Suc. Caborca</v>
      </c>
      <c r="D759" s="782">
        <f>IF(ISNUMBER('Base de datos Rutas'!D757),'Base de datos Rutas'!D757,"Sin código")</f>
        <v>402300</v>
      </c>
      <c r="E759" s="783" t="str">
        <f>'Base de datos Rutas'!F757</f>
        <v>Inactiva</v>
      </c>
      <c r="F759" s="784" t="str">
        <f>'Base de datos Rutas'!H757</f>
        <v>No</v>
      </c>
      <c r="G759" s="785" t="str">
        <f>IF(ISNUMBER('Base de datos Rutas'!BE757),'Base de datos Rutas'!BE757,"")</f>
        <v/>
      </c>
      <c r="H759" s="786" t="str">
        <f>IF(ISNUMBER('Base de datos Rutas'!BH757),'Base de datos Rutas'!BH757,"")</f>
        <v/>
      </c>
      <c r="I759" s="788" t="str">
        <f>IFERROR(IF(OR(NOT(ISNUMBER('Base de datos Rutas'!O757)),N('Base de datos Rutas'!BK757)=0),"",'Base de datos Rutas'!O757/('Base de datos Rutas'!L757/'Base de datos Rutas'!BK757)),"")</f>
        <v/>
      </c>
      <c r="J759" s="788" t="str">
        <f>IFERROR(IF(OR(NOT(ISNUMBER('Base de datos Rutas'!N757)),N('Base de datos Rutas'!BK757)=0),"",'Base de datos Rutas'!N757/('Base de datos Rutas'!L757/'Base de datos Rutas'!BK757)),"")</f>
        <v/>
      </c>
      <c r="K759" s="788" t="str">
        <f>IFERROR(IF(OR(NOT(ISNUMBER('Base de datos Rutas'!J757)),N('Base de datos Rutas'!BK757)=0),"",'Base de datos Rutas'!J757/('Base de datos Rutas'!L757/'Base de datos Rutas'!BK757)),"")</f>
        <v/>
      </c>
      <c r="L759" s="788" t="str">
        <f>IFERROR(IF(OR(NOT(ISNUMBER('Base de datos Rutas'!K757)),N('Base de datos Rutas'!BK757)=0),"",'Base de datos Rutas'!K757/('Base de datos Rutas'!L757/'Base de datos Rutas'!BK757)),"")</f>
        <v/>
      </c>
      <c r="M759" s="787">
        <f>IF(ISNUMBER('Base de datos Rutas'!AX757),'Base de datos Rutas'!AX757,"")</f>
        <v>843.04600000000005</v>
      </c>
      <c r="N759" s="790">
        <f>IFERROR(INDEX('Hoja de apoyo v2'!B$17:B$20,MATCH($A759,'Hoja de apoyo v2'!$A$17:$A$20,0)),"")</f>
        <v>48.509140196922353</v>
      </c>
      <c r="O759" s="791">
        <f>IFERROR(INDEX('Hoja de apoyo v2'!C$17:C$20,MATCH($A759,'Hoja de apoyo v2'!$A$17:$A$20,0)),"")</f>
        <v>0.66965083735281605</v>
      </c>
      <c r="P759" s="793">
        <f>IFERROR(INDEX('Hoja de apoyo v2'!D$17:D$20,MATCH($A759,'Hoja de apoyo v2'!$A$17:$A$20,0)),"")</f>
        <v>5938.874134119359</v>
      </c>
      <c r="Q759" s="793">
        <f>IFERROR(INDEX('Hoja de apoyo v2'!E$17:E$20,MATCH($A759,'Hoja de apoyo v2'!$A$17:$A$20,0)),"")</f>
        <v>4160.5938481536259</v>
      </c>
      <c r="R759" s="793">
        <f>IFERROR(INDEX('Hoja de apoyo v2'!F$17:F$20,MATCH($A759,'Hoja de apoyo v2'!$A$17:$A$20,0)),"")</f>
        <v>261.11067511683507</v>
      </c>
      <c r="S759" s="793">
        <f>IFERROR(INDEX('Hoja de apoyo v2'!G$17:G$20,MATCH($A759,'Hoja de apoyo v2'!$A$17:$A$20,0)),"")</f>
        <v>47.352224855431231</v>
      </c>
      <c r="T759" s="792">
        <f>IFERROR(INDEX('Hoja de apoyo v2'!H$17:H$20,MATCH($A759,'Hoja de apoyo v2'!$A$17:$A$20,0)),"")</f>
        <v>492.72230557971551</v>
      </c>
      <c r="U759" s="794" t="str">
        <f t="shared" si="400"/>
        <v/>
      </c>
      <c r="V759" s="795" t="str">
        <f t="shared" si="401"/>
        <v/>
      </c>
      <c r="W759" s="795" t="str">
        <f t="shared" si="402"/>
        <v/>
      </c>
      <c r="X759" s="843" t="str">
        <f t="shared" si="403"/>
        <v/>
      </c>
      <c r="Y759" s="843" t="str">
        <f t="shared" si="404"/>
        <v/>
      </c>
      <c r="Z759" s="843" t="str">
        <f t="shared" si="405"/>
        <v/>
      </c>
      <c r="AA759" s="843">
        <f t="shared" si="406"/>
        <v>1.7109962152172287</v>
      </c>
      <c r="AB759" s="796">
        <f t="shared" si="407"/>
        <v>0</v>
      </c>
      <c r="AC759" s="797">
        <f t="shared" si="408"/>
        <v>0</v>
      </c>
      <c r="AD759" s="797">
        <f t="shared" si="409"/>
        <v>0</v>
      </c>
      <c r="AE759" s="842">
        <f t="shared" si="410"/>
        <v>0</v>
      </c>
      <c r="AF759" s="842">
        <f t="shared" si="411"/>
        <v>0</v>
      </c>
      <c r="AG759" s="842">
        <f t="shared" si="412"/>
        <v>0</v>
      </c>
      <c r="AH759" s="842">
        <f t="shared" si="413"/>
        <v>5</v>
      </c>
      <c r="AI759" s="826" cm="1">
        <f t="array" ref="AI759">SUMPRODUCT(--ISNUMBER($U759:$AA759),$AB$3:$AH$3)</f>
        <v>8.9789113613062493E-2</v>
      </c>
      <c r="AJ759" s="829" t="str">
        <f t="shared" si="414"/>
        <v/>
      </c>
      <c r="AK759" s="827" t="str">
        <f t="shared" si="415"/>
        <v>Ruta inactiva</v>
      </c>
      <c r="AL759" s="784" t="str">
        <f t="shared" si="416"/>
        <v>n/a</v>
      </c>
      <c r="AM759" s="799" t="str">
        <f>IF(ISNUMBER('Base de datos Rutas'!W757),'Base de datos Rutas'!W757,"")</f>
        <v/>
      </c>
      <c r="AN759" s="787">
        <f>IFERROR(SUMIFS('Base de datos Rutas'!$W$6:$W$794,'Base de datos Rutas'!$C$6:$C$794,$C759)/'Base de datos Rutas'!I757,"")</f>
        <v>0</v>
      </c>
      <c r="AO759" s="800" t="str">
        <f>IFERROR('Base de datos Rutas'!X757*AN759/AM759,"")</f>
        <v/>
      </c>
      <c r="AP759" s="800" t="str">
        <f t="shared" si="417"/>
        <v/>
      </c>
      <c r="AQ759" s="789">
        <f>IFERROR(INDEX('Hoja de apoyo v2'!$J$17:$J$20,MATCH($A759,'Hoja de apoyo v2'!$A$17:$A$20,0)),"")</f>
        <v>0.50577184527496444</v>
      </c>
      <c r="AR759" s="789" t="str">
        <f t="shared" si="418"/>
        <v/>
      </c>
      <c r="AS759" s="784" t="str">
        <f t="shared" si="419"/>
        <v>n/d</v>
      </c>
      <c r="AT759" s="801" t="str">
        <f>IF(ISNUMBER('Base de datos Rutas'!CK757),'Base de datos Rutas'!CK757,"")</f>
        <v/>
      </c>
      <c r="AU759" s="802" t="str">
        <f>IF(ISNUMBER('Base de datos Rutas'!CL757),'Base de datos Rutas'!CL757,"")</f>
        <v/>
      </c>
      <c r="AV759" s="802">
        <f>IF(ISNUMBER('Base de datos Rutas'!CM757),'Base de datos Rutas'!CM757,"")</f>
        <v>0</v>
      </c>
      <c r="AW759" s="802" t="str">
        <f>IF(ISNUMBER('Base de datos Rutas'!CN757),'Base de datos Rutas'!CN757,"")</f>
        <v/>
      </c>
      <c r="AX759" s="802" t="str">
        <f>IF(ISNUMBER('Base de datos Rutas'!CO757),'Base de datos Rutas'!CO757,"")</f>
        <v/>
      </c>
      <c r="AY759" s="802">
        <f>IF(ISNUMBER('Base de datos Rutas'!CP757),'Base de datos Rutas'!CP757,"")</f>
        <v>0</v>
      </c>
      <c r="AZ759" s="802" t="str">
        <f>IF(ISNUMBER('Base de datos Rutas'!CQ757),'Base de datos Rutas'!CQ757,"")</f>
        <v/>
      </c>
      <c r="BA759" s="802" t="str">
        <f>IF(ISNUMBER('Base de datos Rutas'!CR757),'Base de datos Rutas'!CR757,"")</f>
        <v/>
      </c>
      <c r="BB759" s="803">
        <f>IF(ISNUMBER('Base de datos Rutas'!CS757),'Base de datos Rutas'!CS757,"")</f>
        <v>0</v>
      </c>
      <c r="BC759" s="804" t="str">
        <f t="shared" si="429"/>
        <v/>
      </c>
      <c r="BD759" s="805" t="str">
        <f t="shared" si="430"/>
        <v>N/D</v>
      </c>
      <c r="BE759" s="806" t="str">
        <f t="shared" si="431"/>
        <v/>
      </c>
      <c r="BF759" s="890" t="str">
        <f>IF(ISNUMBER('Base de datos Rutas'!CX757),'Base de datos Rutas'!CX757/100,"")</f>
        <v/>
      </c>
      <c r="BG759" s="891" t="str">
        <f>IF(ISNUMBER('Base de datos Rutas'!CZ757),'Base de datos Rutas'!CZ757/100,"")</f>
        <v/>
      </c>
      <c r="BH759" s="892" t="str">
        <f>IF(ISNUMBER('Base de datos Rutas'!DA757),'Base de datos Rutas'!DA757,"")</f>
        <v/>
      </c>
      <c r="BI759" s="893" t="str">
        <f>IF(ISNUMBER('Base de datos Rutas'!DC757),'Base de datos Rutas'!DC757,"")</f>
        <v/>
      </c>
      <c r="BJ759" s="805" t="str">
        <f t="shared" si="432"/>
        <v>Sin dato</v>
      </c>
      <c r="BK759" s="783">
        <f t="shared" si="420"/>
        <v>0</v>
      </c>
      <c r="BL759" s="797">
        <f t="shared" si="421"/>
        <v>0</v>
      </c>
      <c r="BM759" s="797">
        <f t="shared" si="422"/>
        <v>0</v>
      </c>
      <c r="BN759" s="797">
        <f t="shared" si="423"/>
        <v>0</v>
      </c>
      <c r="BO759" s="798" cm="1">
        <f t="array" ref="BO759">SUMPRODUCT(--ISNUMBER($BF759:$BI759),$BK$3:$BN$3)</f>
        <v>0</v>
      </c>
      <c r="BP759" s="831" t="str">
        <f t="shared" si="433"/>
        <v/>
      </c>
      <c r="BQ759" s="834" t="str">
        <f t="shared" si="434"/>
        <v>Sin datos</v>
      </c>
      <c r="BR759" s="836" t="str">
        <f t="shared" si="424"/>
        <v/>
      </c>
      <c r="BS759" s="836" t="str">
        <f t="shared" si="425"/>
        <v/>
      </c>
      <c r="BT759" s="837" t="str">
        <f t="shared" si="426"/>
        <v>Sin datos</v>
      </c>
      <c r="BU759" s="807" t="str">
        <f t="shared" si="435"/>
        <v>No evaluable</v>
      </c>
      <c r="BV759" s="807" t="str">
        <f t="shared" si="427"/>
        <v>No evaluable</v>
      </c>
      <c r="BW759" s="808" t="str">
        <f t="shared" si="428"/>
        <v>Sin datos</v>
      </c>
    </row>
    <row r="760" spans="1:75">
      <c r="A760" s="780" t="str">
        <f>'Base de datos Rutas'!A758</f>
        <v>Pacifico</v>
      </c>
      <c r="B760" s="781" t="str">
        <f>'Base de datos Rutas'!B758</f>
        <v>La Paz</v>
      </c>
      <c r="C760" s="781" t="str">
        <f>'Base de datos Rutas'!C758</f>
        <v>Planta La Paz</v>
      </c>
      <c r="D760" s="782">
        <f>IF(ISNUMBER('Base de datos Rutas'!D758),'Base de datos Rutas'!D758,"Sin código")</f>
        <v>506300</v>
      </c>
      <c r="E760" s="783" t="str">
        <f>'Base de datos Rutas'!F758</f>
        <v>Activa</v>
      </c>
      <c r="F760" s="784" t="str">
        <f>'Base de datos Rutas'!H758</f>
        <v>Sí</v>
      </c>
      <c r="G760" s="785">
        <f>IF(ISNUMBER('Base de datos Rutas'!BE758),'Base de datos Rutas'!BE758,"")</f>
        <v>39.647597254004602</v>
      </c>
      <c r="H760" s="786">
        <f>IF(ISNUMBER('Base de datos Rutas'!BH758),'Base de datos Rutas'!BH758,"")</f>
        <v>0.665589287775597</v>
      </c>
      <c r="I760" s="788">
        <f>IFERROR(IF(OR(NOT(ISNUMBER('Base de datos Rutas'!O758)),N('Base de datos Rutas'!BK758)=0),"",'Base de datos Rutas'!O758/('Base de datos Rutas'!L758/'Base de datos Rutas'!BK758)),"")</f>
        <v>2911.6979405034285</v>
      </c>
      <c r="J760" s="788">
        <f>IFERROR(IF(OR(NOT(ISNUMBER('Base de datos Rutas'!N758)),N('Base de datos Rutas'!BK758)=0),"",'Base de datos Rutas'!N758/('Base de datos Rutas'!L758/'Base de datos Rutas'!BK758)),"")</f>
        <v>9851.0434782608554</v>
      </c>
      <c r="K760" s="788">
        <f>IFERROR(IF(OR(NOT(ISNUMBER('Base de datos Rutas'!J758)),N('Base de datos Rutas'!BK758)=0),"",'Base de datos Rutas'!J758/('Base de datos Rutas'!L758/'Base de datos Rutas'!BK758)),"")</f>
        <v>646.01041691533078</v>
      </c>
      <c r="L760" s="788">
        <f>IFERROR(IF(OR(NOT(ISNUMBER('Base de datos Rutas'!K758)),N('Base de datos Rutas'!BK758)=0),"",'Base de datos Rutas'!K758/('Base de datos Rutas'!L758/'Base de datos Rutas'!BK758)),"")</f>
        <v>17.959669924485098</v>
      </c>
      <c r="M760" s="787">
        <f>IF(ISNUMBER('Base de datos Rutas'!AX758),'Base de datos Rutas'!AX758,"")</f>
        <v>483.63832986472403</v>
      </c>
      <c r="N760" s="790">
        <f>IFERROR(INDEX('Hoja de apoyo v2'!B$17:B$20,MATCH($A760,'Hoja de apoyo v2'!$A$17:$A$20,0)),"")</f>
        <v>48.509140196922353</v>
      </c>
      <c r="O760" s="791">
        <f>IFERROR(INDEX('Hoja de apoyo v2'!C$17:C$20,MATCH($A760,'Hoja de apoyo v2'!$A$17:$A$20,0)),"")</f>
        <v>0.66965083735281605</v>
      </c>
      <c r="P760" s="793">
        <f>IFERROR(INDEX('Hoja de apoyo v2'!D$17:D$20,MATCH($A760,'Hoja de apoyo v2'!$A$17:$A$20,0)),"")</f>
        <v>5938.874134119359</v>
      </c>
      <c r="Q760" s="793">
        <f>IFERROR(INDEX('Hoja de apoyo v2'!E$17:E$20,MATCH($A760,'Hoja de apoyo v2'!$A$17:$A$20,0)),"")</f>
        <v>4160.5938481536259</v>
      </c>
      <c r="R760" s="793">
        <f>IFERROR(INDEX('Hoja de apoyo v2'!F$17:F$20,MATCH($A760,'Hoja de apoyo v2'!$A$17:$A$20,0)),"")</f>
        <v>261.11067511683507</v>
      </c>
      <c r="S760" s="793">
        <f>IFERROR(INDEX('Hoja de apoyo v2'!G$17:G$20,MATCH($A760,'Hoja de apoyo v2'!$A$17:$A$20,0)),"")</f>
        <v>47.352224855431231</v>
      </c>
      <c r="T760" s="792">
        <f>IFERROR(INDEX('Hoja de apoyo v2'!H$17:H$20,MATCH($A760,'Hoja de apoyo v2'!$A$17:$A$20,0)),"")</f>
        <v>492.72230557971551</v>
      </c>
      <c r="U760" s="794">
        <f t="shared" si="400"/>
        <v>0.81732220140484024</v>
      </c>
      <c r="V760" s="795">
        <f t="shared" si="401"/>
        <v>0.99393482491073304</v>
      </c>
      <c r="W760" s="795">
        <f t="shared" si="402"/>
        <v>0.49027776557436459</v>
      </c>
      <c r="X760" s="843">
        <f t="shared" si="403"/>
        <v>2.3677013036570531</v>
      </c>
      <c r="Y760" s="843">
        <f t="shared" si="404"/>
        <v>2.474086578904791</v>
      </c>
      <c r="Z760" s="843">
        <f t="shared" si="405"/>
        <v>0.37927827001406778</v>
      </c>
      <c r="AA760" s="843">
        <f t="shared" si="406"/>
        <v>0.98156370107031454</v>
      </c>
      <c r="AB760" s="796">
        <f t="shared" si="407"/>
        <v>3</v>
      </c>
      <c r="AC760" s="797">
        <f t="shared" si="408"/>
        <v>3</v>
      </c>
      <c r="AD760" s="797">
        <f t="shared" si="409"/>
        <v>1</v>
      </c>
      <c r="AE760" s="842">
        <f t="shared" si="410"/>
        <v>5</v>
      </c>
      <c r="AF760" s="842">
        <f t="shared" si="411"/>
        <v>5</v>
      </c>
      <c r="AG760" s="842">
        <f t="shared" si="412"/>
        <v>1</v>
      </c>
      <c r="AH760" s="842">
        <f t="shared" si="413"/>
        <v>3</v>
      </c>
      <c r="AI760" s="826" cm="1">
        <f t="array" ref="AI760">SUMPRODUCT(--ISNUMBER($U760:$AA760),$AB$3:$AH$3)</f>
        <v>1</v>
      </c>
      <c r="AJ760" s="829">
        <f t="shared" si="414"/>
        <v>43.664507841741532</v>
      </c>
      <c r="AK760" s="827" t="str">
        <f t="shared" si="415"/>
        <v>Inmadura</v>
      </c>
      <c r="AL760" s="784" t="str">
        <f t="shared" si="416"/>
        <v>Alta</v>
      </c>
      <c r="AM760" s="799">
        <f>IF(ISNUMBER('Base de datos Rutas'!W758),'Base de datos Rutas'!W758,"")</f>
        <v>3020.0889828698755</v>
      </c>
      <c r="AN760" s="787">
        <f>IFERROR(SUMIFS('Base de datos Rutas'!$W$6:$W$794,'Base de datos Rutas'!$C$6:$C$794,$C760)/'Base de datos Rutas'!I758,"")</f>
        <v>3020.0889828698751</v>
      </c>
      <c r="AO760" s="800">
        <f>IFERROR('Base de datos Rutas'!X758*AN760/AM760,"")</f>
        <v>0.56786621596329401</v>
      </c>
      <c r="AP760" s="800">
        <f t="shared" si="417"/>
        <v>0.43213378403670599</v>
      </c>
      <c r="AQ760" s="789">
        <f>IFERROR(INDEX('Hoja de apoyo v2'!$J$17:$J$20,MATCH($A760,'Hoja de apoyo v2'!$A$17:$A$20,0)),"")</f>
        <v>0.50577184527496444</v>
      </c>
      <c r="AR760" s="789">
        <f t="shared" si="418"/>
        <v>-7.3638061238258445E-2</v>
      </c>
      <c r="AS760" s="784" t="str">
        <f t="shared" si="419"/>
        <v>No</v>
      </c>
      <c r="AT760" s="801">
        <f>IF(ISNUMBER('Base de datos Rutas'!CK758),'Base de datos Rutas'!CK758,"")</f>
        <v>258</v>
      </c>
      <c r="AU760" s="802">
        <f>IF(ISNUMBER('Base de datos Rutas'!CL758),'Base de datos Rutas'!CL758,"")</f>
        <v>264</v>
      </c>
      <c r="AV760" s="802">
        <f>IF(ISNUMBER('Base de datos Rutas'!CM758),'Base de datos Rutas'!CM758,"")</f>
        <v>6</v>
      </c>
      <c r="AW760" s="802">
        <f>IF(ISNUMBER('Base de datos Rutas'!CN758),'Base de datos Rutas'!CN758,"")</f>
        <v>10.48</v>
      </c>
      <c r="AX760" s="802">
        <f>IF(ISNUMBER('Base de datos Rutas'!CO758),'Base de datos Rutas'!CO758,"")</f>
        <v>9.4499999999999993</v>
      </c>
      <c r="AY760" s="802">
        <f>IF(ISNUMBER('Base de datos Rutas'!CP758),'Base de datos Rutas'!CP758,"")</f>
        <v>-1.0300000000000011</v>
      </c>
      <c r="AZ760" s="802">
        <f>IF(ISNUMBER('Base de datos Rutas'!CQ758),'Base de datos Rutas'!CQ758,"")</f>
        <v>592.59</v>
      </c>
      <c r="BA760" s="802">
        <f>IF(ISNUMBER('Base de datos Rutas'!CR758),'Base de datos Rutas'!CR758,"")</f>
        <v>663.97</v>
      </c>
      <c r="BB760" s="803">
        <f>IF(ISNUMBER('Base de datos Rutas'!CS758),'Base de datos Rutas'!CS758,"")</f>
        <v>-71.38</v>
      </c>
      <c r="BC760" s="804">
        <f t="shared" si="429"/>
        <v>2</v>
      </c>
      <c r="BD760" s="805" t="str">
        <f t="shared" si="430"/>
        <v>Saturada</v>
      </c>
      <c r="BE760" s="806">
        <f t="shared" si="431"/>
        <v>1.1204542769874619</v>
      </c>
      <c r="BF760" s="890">
        <f>IF(ISNUMBER('Base de datos Rutas'!CX758),'Base de datos Rutas'!CX758/100,"")</f>
        <v>0.44761238411754417</v>
      </c>
      <c r="BG760" s="891">
        <f>IF(ISNUMBER('Base de datos Rutas'!CZ758),'Base de datos Rutas'!CZ758/100,"")</f>
        <v>0.44866188560433801</v>
      </c>
      <c r="BH760" s="892">
        <f>IF(ISNUMBER('Base de datos Rutas'!DA758),'Base de datos Rutas'!DA758,"")</f>
        <v>13.758745413244803</v>
      </c>
      <c r="BI760" s="893">
        <f>IF(ISNUMBER('Base de datos Rutas'!DC758),'Base de datos Rutas'!DC758,"")</f>
        <v>0.66619779835750481</v>
      </c>
      <c r="BJ760" s="805" t="str">
        <f t="shared" si="432"/>
        <v>Ruta (completo)</v>
      </c>
      <c r="BK760" s="783">
        <f t="shared" si="420"/>
        <v>3</v>
      </c>
      <c r="BL760" s="797">
        <f t="shared" si="421"/>
        <v>3</v>
      </c>
      <c r="BM760" s="797">
        <f t="shared" si="422"/>
        <v>1</v>
      </c>
      <c r="BN760" s="797">
        <f t="shared" si="423"/>
        <v>1</v>
      </c>
      <c r="BO760" s="798" cm="1">
        <f t="array" ref="BO760">SUMPRODUCT(--ISNUMBER($BF760:$BI760),$BK$3:$BN$3)</f>
        <v>1</v>
      </c>
      <c r="BP760" s="831">
        <f t="shared" si="433"/>
        <v>25</v>
      </c>
      <c r="BQ760" s="834" t="str">
        <f t="shared" si="434"/>
        <v>Medio</v>
      </c>
      <c r="BR760" s="836">
        <f t="shared" si="424"/>
        <v>57.748380881306147</v>
      </c>
      <c r="BS760" s="836">
        <f t="shared" si="425"/>
        <v>25</v>
      </c>
      <c r="BT760" s="837" t="str">
        <f t="shared" si="426"/>
        <v>P2</v>
      </c>
      <c r="BU760" s="807" t="str">
        <f t="shared" si="435"/>
        <v>Al tope</v>
      </c>
      <c r="BV760" s="807" t="str">
        <f t="shared" si="427"/>
        <v>Zona de bajo potencial</v>
      </c>
      <c r="BW760" s="808" t="str">
        <f t="shared" si="428"/>
        <v>P2 - Mantener</v>
      </c>
    </row>
    <row r="761" spans="1:75">
      <c r="A761" s="780" t="str">
        <f>'Base de datos Rutas'!A759</f>
        <v>Pacifico</v>
      </c>
      <c r="B761" s="781" t="str">
        <f>'Base de datos Rutas'!B759</f>
        <v>La Paz</v>
      </c>
      <c r="C761" s="781" t="str">
        <f>'Base de datos Rutas'!C759</f>
        <v>Planta La Paz</v>
      </c>
      <c r="D761" s="782">
        <f>IF(ISNUMBER('Base de datos Rutas'!D759),'Base de datos Rutas'!D759,"Sin código")</f>
        <v>506301</v>
      </c>
      <c r="E761" s="783" t="str">
        <f>'Base de datos Rutas'!F759</f>
        <v>Activa</v>
      </c>
      <c r="F761" s="784" t="str">
        <f>'Base de datos Rutas'!H759</f>
        <v>Sí</v>
      </c>
      <c r="G761" s="785">
        <f>IF(ISNUMBER('Base de datos Rutas'!BE759),'Base de datos Rutas'!BE759,"")</f>
        <v>34.927107061503399</v>
      </c>
      <c r="H761" s="786">
        <f>IF(ISNUMBER('Base de datos Rutas'!BH759),'Base de datos Rutas'!BH759,"")</f>
        <v>0.776886454053349</v>
      </c>
      <c r="I761" s="788">
        <f>IFERROR(IF(OR(NOT(ISNUMBER('Base de datos Rutas'!O759)),N('Base de datos Rutas'!BK759)=0),"",'Base de datos Rutas'!O759/('Base de datos Rutas'!L759/'Base de datos Rutas'!BK759)),"")</f>
        <v>2399.6970387243728</v>
      </c>
      <c r="J761" s="788">
        <f>IFERROR(IF(OR(NOT(ISNUMBER('Base de datos Rutas'!N759)),N('Base de datos Rutas'!BK759)=0),"",'Base de datos Rutas'!N759/('Base de datos Rutas'!L759/'Base de datos Rutas'!BK759)),"")</f>
        <v>7234.9339407744847</v>
      </c>
      <c r="K761" s="788">
        <f>IFERROR(IF(OR(NOT(ISNUMBER('Base de datos Rutas'!J759)),N('Base de datos Rutas'!BK759)=0),"",'Base de datos Rutas'!J759/('Base de datos Rutas'!L759/'Base de datos Rutas'!BK759)),"")</f>
        <v>473.17305876993146</v>
      </c>
      <c r="L761" s="788">
        <f>IFERROR(IF(OR(NOT(ISNUMBER('Base de datos Rutas'!K759)),N('Base de datos Rutas'!BK759)=0),"",'Base de datos Rutas'!K759/('Base de datos Rutas'!L759/'Base de datos Rutas'!BK759)),"")</f>
        <v>14.939529321184505</v>
      </c>
      <c r="M761" s="787">
        <f>IF(ISNUMBER('Base de datos Rutas'!AX759),'Base de datos Rutas'!AX759,"")</f>
        <v>355.07079835460098</v>
      </c>
      <c r="N761" s="790">
        <f>IFERROR(INDEX('Hoja de apoyo v2'!B$17:B$20,MATCH($A761,'Hoja de apoyo v2'!$A$17:$A$20,0)),"")</f>
        <v>48.509140196922353</v>
      </c>
      <c r="O761" s="791">
        <f>IFERROR(INDEX('Hoja de apoyo v2'!C$17:C$20,MATCH($A761,'Hoja de apoyo v2'!$A$17:$A$20,0)),"")</f>
        <v>0.66965083735281605</v>
      </c>
      <c r="P761" s="793">
        <f>IFERROR(INDEX('Hoja de apoyo v2'!D$17:D$20,MATCH($A761,'Hoja de apoyo v2'!$A$17:$A$20,0)),"")</f>
        <v>5938.874134119359</v>
      </c>
      <c r="Q761" s="793">
        <f>IFERROR(INDEX('Hoja de apoyo v2'!E$17:E$20,MATCH($A761,'Hoja de apoyo v2'!$A$17:$A$20,0)),"")</f>
        <v>4160.5938481536259</v>
      </c>
      <c r="R761" s="793">
        <f>IFERROR(INDEX('Hoja de apoyo v2'!F$17:F$20,MATCH($A761,'Hoja de apoyo v2'!$A$17:$A$20,0)),"")</f>
        <v>261.11067511683507</v>
      </c>
      <c r="S761" s="793">
        <f>IFERROR(INDEX('Hoja de apoyo v2'!G$17:G$20,MATCH($A761,'Hoja de apoyo v2'!$A$17:$A$20,0)),"")</f>
        <v>47.352224855431231</v>
      </c>
      <c r="T761" s="792">
        <f>IFERROR(INDEX('Hoja de apoyo v2'!H$17:H$20,MATCH($A761,'Hoja de apoyo v2'!$A$17:$A$20,0)),"")</f>
        <v>492.72230557971551</v>
      </c>
      <c r="U761" s="794">
        <f t="shared" si="400"/>
        <v>0.72001084578529262</v>
      </c>
      <c r="V761" s="795">
        <f t="shared" si="401"/>
        <v>1.1601366125732688</v>
      </c>
      <c r="W761" s="795">
        <f t="shared" si="402"/>
        <v>0.40406598700886759</v>
      </c>
      <c r="X761" s="843">
        <f t="shared" si="403"/>
        <v>1.7389185786507806</v>
      </c>
      <c r="Y761" s="843">
        <f t="shared" si="404"/>
        <v>1.8121551658437871</v>
      </c>
      <c r="Z761" s="843">
        <f t="shared" si="405"/>
        <v>0.31549793841357304</v>
      </c>
      <c r="AA761" s="843">
        <f t="shared" si="406"/>
        <v>0.72063065611945498</v>
      </c>
      <c r="AB761" s="796">
        <f t="shared" si="407"/>
        <v>2</v>
      </c>
      <c r="AC761" s="797">
        <f t="shared" si="408"/>
        <v>4</v>
      </c>
      <c r="AD761" s="797">
        <f t="shared" si="409"/>
        <v>1</v>
      </c>
      <c r="AE761" s="842">
        <f t="shared" si="410"/>
        <v>5</v>
      </c>
      <c r="AF761" s="842">
        <f t="shared" si="411"/>
        <v>5</v>
      </c>
      <c r="AG761" s="842">
        <f t="shared" si="412"/>
        <v>1</v>
      </c>
      <c r="AH761" s="842">
        <f t="shared" si="413"/>
        <v>2</v>
      </c>
      <c r="AI761" s="826" cm="1">
        <f t="array" ref="AI761">SUMPRODUCT(--ISNUMBER($U761:$AA761),$AB$3:$AH$3)</f>
        <v>1</v>
      </c>
      <c r="AJ761" s="829">
        <f t="shared" si="414"/>
        <v>39.269049409168687</v>
      </c>
      <c r="AK761" s="827" t="str">
        <f t="shared" si="415"/>
        <v>Inmadura</v>
      </c>
      <c r="AL761" s="784" t="str">
        <f t="shared" si="416"/>
        <v>Alta</v>
      </c>
      <c r="AM761" s="799">
        <f>IF(ISNUMBER('Base de datos Rutas'!W759),'Base de datos Rutas'!W759,"")</f>
        <v>3020.0889828698755</v>
      </c>
      <c r="AN761" s="787">
        <f>IFERROR(SUMIFS('Base de datos Rutas'!$W$6:$W$794,'Base de datos Rutas'!$C$6:$C$794,$C761)/'Base de datos Rutas'!I759,"")</f>
        <v>3020.0889828698751</v>
      </c>
      <c r="AO761" s="800">
        <f>IFERROR('Base de datos Rutas'!X759*AN761/AM761,"")</f>
        <v>0.56786621596329401</v>
      </c>
      <c r="AP761" s="800">
        <f t="shared" si="417"/>
        <v>0.43213378403670599</v>
      </c>
      <c r="AQ761" s="789">
        <f>IFERROR(INDEX('Hoja de apoyo v2'!$J$17:$J$20,MATCH($A761,'Hoja de apoyo v2'!$A$17:$A$20,0)),"")</f>
        <v>0.50577184527496444</v>
      </c>
      <c r="AR761" s="789">
        <f t="shared" si="418"/>
        <v>-7.3638061238258445E-2</v>
      </c>
      <c r="AS761" s="784" t="str">
        <f t="shared" si="419"/>
        <v>No</v>
      </c>
      <c r="AT761" s="801">
        <f>IF(ISNUMBER('Base de datos Rutas'!CK759),'Base de datos Rutas'!CK759,"")</f>
        <v>221</v>
      </c>
      <c r="AU761" s="802">
        <f>IF(ISNUMBER('Base de datos Rutas'!CL759),'Base de datos Rutas'!CL759,"")</f>
        <v>245.3</v>
      </c>
      <c r="AV761" s="802">
        <f>IF(ISNUMBER('Base de datos Rutas'!CM759),'Base de datos Rutas'!CM759,"")</f>
        <v>24.300000000000011</v>
      </c>
      <c r="AW761" s="802">
        <f>IF(ISNUMBER('Base de datos Rutas'!CN759),'Base de datos Rutas'!CN759,"")</f>
        <v>8.16</v>
      </c>
      <c r="AX761" s="802">
        <f>IF(ISNUMBER('Base de datos Rutas'!CO759),'Base de datos Rutas'!CO759,"")</f>
        <v>9.4499999999999993</v>
      </c>
      <c r="AY761" s="802">
        <f>IF(ISNUMBER('Base de datos Rutas'!CP759),'Base de datos Rutas'!CP759,"")</f>
        <v>1.2899999999999991</v>
      </c>
      <c r="AZ761" s="802">
        <f>IF(ISNUMBER('Base de datos Rutas'!CQ759),'Base de datos Rutas'!CQ759,"")</f>
        <v>423.28</v>
      </c>
      <c r="BA761" s="802">
        <f>IF(ISNUMBER('Base de datos Rutas'!CR759),'Base de datos Rutas'!CR759,"")</f>
        <v>488.11</v>
      </c>
      <c r="BB761" s="803">
        <f>IF(ISNUMBER('Base de datos Rutas'!CS759),'Base de datos Rutas'!CS759,"")</f>
        <v>-64.830000000000041</v>
      </c>
      <c r="BC761" s="804">
        <f t="shared" si="429"/>
        <v>1</v>
      </c>
      <c r="BD761" s="805" t="str">
        <f t="shared" si="430"/>
        <v>Saturada</v>
      </c>
      <c r="BE761" s="806">
        <f t="shared" si="431"/>
        <v>1.1531610281610283</v>
      </c>
      <c r="BF761" s="890">
        <f>IF(ISNUMBER('Base de datos Rutas'!CX759),'Base de datos Rutas'!CX759/100,"")</f>
        <v>0.64101495464574643</v>
      </c>
      <c r="BG761" s="891">
        <f>IF(ISNUMBER('Base de datos Rutas'!CZ759),'Base de datos Rutas'!CZ759/100,"")</f>
        <v>0.64697229713165005</v>
      </c>
      <c r="BH761" s="892">
        <f>IF(ISNUMBER('Base de datos Rutas'!DA759),'Base de datos Rutas'!DA759,"")</f>
        <v>228.16533521799525</v>
      </c>
      <c r="BI761" s="893">
        <f>IF(ISNUMBER('Base de datos Rutas'!DC759),'Base de datos Rutas'!DC759,"")</f>
        <v>11.640613652426095</v>
      </c>
      <c r="BJ761" s="805" t="str">
        <f t="shared" si="432"/>
        <v>Ruta (completo)</v>
      </c>
      <c r="BK761" s="783">
        <f t="shared" si="420"/>
        <v>4</v>
      </c>
      <c r="BL761" s="797">
        <f t="shared" si="421"/>
        <v>4</v>
      </c>
      <c r="BM761" s="797">
        <f t="shared" si="422"/>
        <v>5</v>
      </c>
      <c r="BN761" s="797">
        <f t="shared" si="423"/>
        <v>4</v>
      </c>
      <c r="BO761" s="798" cm="1">
        <f t="array" ref="BO761">SUMPRODUCT(--ISNUMBER($BF761:$BI761),$BK$3:$BN$3)</f>
        <v>1</v>
      </c>
      <c r="BP761" s="831">
        <f t="shared" si="433"/>
        <v>81.25</v>
      </c>
      <c r="BQ761" s="834" t="str">
        <f t="shared" si="434"/>
        <v>Alto</v>
      </c>
      <c r="BR761" s="836">
        <f t="shared" si="424"/>
        <v>54.451787056876512</v>
      </c>
      <c r="BS761" s="836">
        <f t="shared" si="425"/>
        <v>81.25</v>
      </c>
      <c r="BT761" s="837" t="str">
        <f t="shared" si="426"/>
        <v>P1</v>
      </c>
      <c r="BU761" s="807" t="str">
        <f t="shared" si="435"/>
        <v>Al tope</v>
      </c>
      <c r="BV761" s="807" t="str">
        <f t="shared" si="427"/>
        <v>Zona atractiva</v>
      </c>
      <c r="BW761" s="808" t="str">
        <f t="shared" si="428"/>
        <v>P1 - Ampliar cobertura</v>
      </c>
    </row>
    <row r="762" spans="1:75">
      <c r="A762" s="780" t="str">
        <f>'Base de datos Rutas'!A760</f>
        <v>Pacifico</v>
      </c>
      <c r="B762" s="781" t="str">
        <f>'Base de datos Rutas'!B760</f>
        <v>La Paz</v>
      </c>
      <c r="C762" s="781" t="str">
        <f>'Base de datos Rutas'!C760</f>
        <v>Planta La Paz</v>
      </c>
      <c r="D762" s="782">
        <f>IF(ISNUMBER('Base de datos Rutas'!D760),'Base de datos Rutas'!D760,"Sin código")</f>
        <v>506302</v>
      </c>
      <c r="E762" s="783" t="str">
        <f>'Base de datos Rutas'!F760</f>
        <v>Activa</v>
      </c>
      <c r="F762" s="784" t="str">
        <f>'Base de datos Rutas'!H760</f>
        <v>Sí</v>
      </c>
      <c r="G762" s="785">
        <f>IF(ISNUMBER('Base de datos Rutas'!BE760),'Base de datos Rutas'!BE760,"")</f>
        <v>53.440639269406397</v>
      </c>
      <c r="H762" s="786">
        <f>IF(ISNUMBER('Base de datos Rutas'!BH760),'Base de datos Rutas'!BH760,"")</f>
        <v>0.52988422266843305</v>
      </c>
      <c r="I762" s="788">
        <f>IFERROR(IF(OR(NOT(ISNUMBER('Base de datos Rutas'!O760)),N('Base de datos Rutas'!BK760)=0),"",'Base de datos Rutas'!O760/('Base de datos Rutas'!L760/'Base de datos Rutas'!BK760)),"")</f>
        <v>2444.1872146118767</v>
      </c>
      <c r="J762" s="788">
        <f>IFERROR(IF(OR(NOT(ISNUMBER('Base de datos Rutas'!N760)),N('Base de datos Rutas'!BK760)=0),"",'Base de datos Rutas'!N760/('Base de datos Rutas'!L760/'Base de datos Rutas'!BK760)),"")</f>
        <v>10400.324200913261</v>
      </c>
      <c r="K762" s="788">
        <f>IFERROR(IF(OR(NOT(ISNUMBER('Base de datos Rutas'!J760)),N('Base de datos Rutas'!BK760)=0),"",'Base de datos Rutas'!J760/('Base de datos Rutas'!L760/'Base de datos Rutas'!BK760)),"")</f>
        <v>675.19904474885743</v>
      </c>
      <c r="L762" s="788">
        <f>IFERROR(IF(OR(NOT(ISNUMBER('Base de datos Rutas'!K760)),N('Base de datos Rutas'!BK760)=0),"",'Base de datos Rutas'!K760/('Base de datos Rutas'!L760/'Base de datos Rutas'!BK760)),"")</f>
        <v>14.633522447488611</v>
      </c>
      <c r="M762" s="787">
        <f>IF(ISNUMBER('Base de datos Rutas'!AX760),'Base de datos Rutas'!AX760,"")</f>
        <v>453.59129565427702</v>
      </c>
      <c r="N762" s="790">
        <f>IFERROR(INDEX('Hoja de apoyo v2'!B$17:B$20,MATCH($A762,'Hoja de apoyo v2'!$A$17:$A$20,0)),"")</f>
        <v>48.509140196922353</v>
      </c>
      <c r="O762" s="791">
        <f>IFERROR(INDEX('Hoja de apoyo v2'!C$17:C$20,MATCH($A762,'Hoja de apoyo v2'!$A$17:$A$20,0)),"")</f>
        <v>0.66965083735281605</v>
      </c>
      <c r="P762" s="793">
        <f>IFERROR(INDEX('Hoja de apoyo v2'!D$17:D$20,MATCH($A762,'Hoja de apoyo v2'!$A$17:$A$20,0)),"")</f>
        <v>5938.874134119359</v>
      </c>
      <c r="Q762" s="793">
        <f>IFERROR(INDEX('Hoja de apoyo v2'!E$17:E$20,MATCH($A762,'Hoja de apoyo v2'!$A$17:$A$20,0)),"")</f>
        <v>4160.5938481536259</v>
      </c>
      <c r="R762" s="793">
        <f>IFERROR(INDEX('Hoja de apoyo v2'!F$17:F$20,MATCH($A762,'Hoja de apoyo v2'!$A$17:$A$20,0)),"")</f>
        <v>261.11067511683507</v>
      </c>
      <c r="S762" s="793">
        <f>IFERROR(INDEX('Hoja de apoyo v2'!G$17:G$20,MATCH($A762,'Hoja de apoyo v2'!$A$17:$A$20,0)),"")</f>
        <v>47.352224855431231</v>
      </c>
      <c r="T762" s="792">
        <f>IFERROR(INDEX('Hoja de apoyo v2'!H$17:H$20,MATCH($A762,'Hoja de apoyo v2'!$A$17:$A$20,0)),"")</f>
        <v>492.72230557971551</v>
      </c>
      <c r="U762" s="794">
        <f t="shared" si="400"/>
        <v>1.1016612344078802</v>
      </c>
      <c r="V762" s="795">
        <f t="shared" si="401"/>
        <v>0.79128434269284009</v>
      </c>
      <c r="W762" s="795">
        <f t="shared" si="402"/>
        <v>0.41155733551748541</v>
      </c>
      <c r="X762" s="843">
        <f t="shared" si="403"/>
        <v>2.4997210928263716</v>
      </c>
      <c r="Y762" s="843">
        <f t="shared" si="404"/>
        <v>2.5858729998179384</v>
      </c>
      <c r="Z762" s="843">
        <f t="shared" si="405"/>
        <v>0.30903558369570816</v>
      </c>
      <c r="AA762" s="843">
        <f t="shared" si="406"/>
        <v>0.92058202057769911</v>
      </c>
      <c r="AB762" s="796">
        <f t="shared" si="407"/>
        <v>4</v>
      </c>
      <c r="AC762" s="797">
        <f t="shared" si="408"/>
        <v>3</v>
      </c>
      <c r="AD762" s="797">
        <f t="shared" si="409"/>
        <v>1</v>
      </c>
      <c r="AE762" s="842">
        <f t="shared" si="410"/>
        <v>5</v>
      </c>
      <c r="AF762" s="842">
        <f t="shared" si="411"/>
        <v>5</v>
      </c>
      <c r="AG762" s="842">
        <f t="shared" si="412"/>
        <v>1</v>
      </c>
      <c r="AH762" s="842">
        <f t="shared" si="413"/>
        <v>3</v>
      </c>
      <c r="AI762" s="826" cm="1">
        <f t="array" ref="AI762">SUMPRODUCT(--ISNUMBER($U762:$AA762),$AB$3:$AH$3)</f>
        <v>1</v>
      </c>
      <c r="AJ762" s="829">
        <f t="shared" si="414"/>
        <v>48.198144019878278</v>
      </c>
      <c r="AK762" s="827" t="str">
        <f t="shared" si="415"/>
        <v>En desarrollo</v>
      </c>
      <c r="AL762" s="784" t="str">
        <f t="shared" si="416"/>
        <v>Alta</v>
      </c>
      <c r="AM762" s="799">
        <f>IF(ISNUMBER('Base de datos Rutas'!W760),'Base de datos Rutas'!W760,"")</f>
        <v>3020.0889828698755</v>
      </c>
      <c r="AN762" s="787">
        <f>IFERROR(SUMIFS('Base de datos Rutas'!$W$6:$W$794,'Base de datos Rutas'!$C$6:$C$794,$C762)/'Base de datos Rutas'!I760,"")</f>
        <v>3020.0889828698751</v>
      </c>
      <c r="AO762" s="800">
        <f>IFERROR('Base de datos Rutas'!X760*AN762/AM762,"")</f>
        <v>0.56786621596329401</v>
      </c>
      <c r="AP762" s="800">
        <f t="shared" si="417"/>
        <v>0.43213378403670599</v>
      </c>
      <c r="AQ762" s="789">
        <f>IFERROR(INDEX('Hoja de apoyo v2'!$J$17:$J$20,MATCH($A762,'Hoja de apoyo v2'!$A$17:$A$20,0)),"")</f>
        <v>0.50577184527496444</v>
      </c>
      <c r="AR762" s="789">
        <f t="shared" si="418"/>
        <v>-7.3638061238258445E-2</v>
      </c>
      <c r="AS762" s="784" t="str">
        <f t="shared" si="419"/>
        <v>No</v>
      </c>
      <c r="AT762" s="801">
        <f>IF(ISNUMBER('Base de datos Rutas'!CK760),'Base de datos Rutas'!CK760,"")</f>
        <v>231</v>
      </c>
      <c r="AU762" s="802">
        <f>IF(ISNUMBER('Base de datos Rutas'!CL760),'Base de datos Rutas'!CL760,"")</f>
        <v>286.31</v>
      </c>
      <c r="AV762" s="802">
        <f>IF(ISNUMBER('Base de datos Rutas'!CM760),'Base de datos Rutas'!CM760,"")</f>
        <v>55.31</v>
      </c>
      <c r="AW762" s="802">
        <f>IF(ISNUMBER('Base de datos Rutas'!CN760),'Base de datos Rutas'!CN760,"")</f>
        <v>8.19</v>
      </c>
      <c r="AX762" s="802">
        <f>IF(ISNUMBER('Base de datos Rutas'!CO760),'Base de datos Rutas'!CO760,"")</f>
        <v>9.4499999999999993</v>
      </c>
      <c r="AY762" s="802">
        <f>IF(ISNUMBER('Base de datos Rutas'!CP760),'Base de datos Rutas'!CP760,"")</f>
        <v>1.2599999999999998</v>
      </c>
      <c r="AZ762" s="802">
        <f>IF(ISNUMBER('Base de datos Rutas'!CQ760),'Base de datos Rutas'!CQ760,"")</f>
        <v>846.56</v>
      </c>
      <c r="BA762" s="802">
        <f>IF(ISNUMBER('Base de datos Rutas'!CR760),'Base de datos Rutas'!CR760,"")</f>
        <v>689.83</v>
      </c>
      <c r="BB762" s="803">
        <f>IF(ISNUMBER('Base de datos Rutas'!CS760),'Base de datos Rutas'!CS760,"")</f>
        <v>156.7299999999999</v>
      </c>
      <c r="BC762" s="804">
        <f t="shared" si="429"/>
        <v>0</v>
      </c>
      <c r="BD762" s="805" t="str">
        <f t="shared" si="430"/>
        <v>No saturada</v>
      </c>
      <c r="BE762" s="806">
        <f t="shared" si="431"/>
        <v>0.81486250236250246</v>
      </c>
      <c r="BF762" s="890">
        <f>IF(ISNUMBER('Base de datos Rutas'!CX760),'Base de datos Rutas'!CX760/100,"")</f>
        <v>0.75224318228419107</v>
      </c>
      <c r="BG762" s="891">
        <f>IF(ISNUMBER('Base de datos Rutas'!CZ760),'Base de datos Rutas'!CZ760/100,"")</f>
        <v>0.76358417059667827</v>
      </c>
      <c r="BH762" s="892">
        <f>IF(ISNUMBER('Base de datos Rutas'!DA760),'Base de datos Rutas'!DA760,"")</f>
        <v>122.97773659806458</v>
      </c>
      <c r="BI762" s="893">
        <f>IF(ISNUMBER('Base de datos Rutas'!DC760),'Base de datos Rutas'!DC760,"")</f>
        <v>6.596391954277002</v>
      </c>
      <c r="BJ762" s="805" t="str">
        <f t="shared" si="432"/>
        <v>Ruta (completo)</v>
      </c>
      <c r="BK762" s="783">
        <f t="shared" si="420"/>
        <v>5</v>
      </c>
      <c r="BL762" s="797">
        <f t="shared" si="421"/>
        <v>5</v>
      </c>
      <c r="BM762" s="797">
        <f t="shared" si="422"/>
        <v>3</v>
      </c>
      <c r="BN762" s="797">
        <f t="shared" si="423"/>
        <v>3</v>
      </c>
      <c r="BO762" s="798" cm="1">
        <f t="array" ref="BO762">SUMPRODUCT(--ISNUMBER($BF762:$BI762),$BK$3:$BN$3)</f>
        <v>1</v>
      </c>
      <c r="BP762" s="831">
        <f t="shared" si="433"/>
        <v>75</v>
      </c>
      <c r="BQ762" s="834" t="str">
        <f t="shared" si="434"/>
        <v>Alto</v>
      </c>
      <c r="BR762" s="836">
        <f t="shared" si="424"/>
        <v>36.14860801490871</v>
      </c>
      <c r="BS762" s="836">
        <f t="shared" si="425"/>
        <v>75</v>
      </c>
      <c r="BT762" s="837" t="str">
        <f t="shared" si="426"/>
        <v>P1</v>
      </c>
      <c r="BU762" s="807" t="str">
        <f t="shared" si="435"/>
        <v>Con espacio</v>
      </c>
      <c r="BV762" s="807" t="str">
        <f t="shared" si="427"/>
        <v>Zona atractiva</v>
      </c>
      <c r="BW762" s="808" t="str">
        <f t="shared" si="428"/>
        <v>P1 - Ampliar cobertura</v>
      </c>
    </row>
    <row r="763" spans="1:75">
      <c r="A763" s="780" t="str">
        <f>'Base de datos Rutas'!A761</f>
        <v>Pacifico</v>
      </c>
      <c r="B763" s="781" t="str">
        <f>'Base de datos Rutas'!B761</f>
        <v>La Paz</v>
      </c>
      <c r="C763" s="781" t="str">
        <f>'Base de datos Rutas'!C761</f>
        <v>Planta La Paz</v>
      </c>
      <c r="D763" s="782">
        <f>IF(ISNUMBER('Base de datos Rutas'!D761),'Base de datos Rutas'!D761,"Sin código")</f>
        <v>506303</v>
      </c>
      <c r="E763" s="783" t="str">
        <f>'Base de datos Rutas'!F761</f>
        <v>Activa</v>
      </c>
      <c r="F763" s="784" t="str">
        <f>'Base de datos Rutas'!H761</f>
        <v>Sí</v>
      </c>
      <c r="G763" s="785">
        <f>IF(ISNUMBER('Base de datos Rutas'!BE761),'Base de datos Rutas'!BE761,"")</f>
        <v>32.325740318906597</v>
      </c>
      <c r="H763" s="786">
        <f>IF(ISNUMBER('Base de datos Rutas'!BH761),'Base de datos Rutas'!BH761,"")</f>
        <v>0.73243605101825104</v>
      </c>
      <c r="I763" s="788">
        <f>IFERROR(IF(OR(NOT(ISNUMBER('Base de datos Rutas'!O761)),N('Base de datos Rutas'!BK761)=0),"",'Base de datos Rutas'!O761/('Base de datos Rutas'!L761/'Base de datos Rutas'!BK761)),"")</f>
        <v>1526.8906605922539</v>
      </c>
      <c r="J763" s="788">
        <f>IFERROR(IF(OR(NOT(ISNUMBER('Base de datos Rutas'!N761)),N('Base de datos Rutas'!BK761)=0),"",'Base de datos Rutas'!N761/('Base de datos Rutas'!L761/'Base de datos Rutas'!BK761)),"")</f>
        <v>6476.2710706150292</v>
      </c>
      <c r="K763" s="788">
        <f>IFERROR(IF(OR(NOT(ISNUMBER('Base de datos Rutas'!J761)),N('Base de datos Rutas'!BK761)=0),"",'Base de datos Rutas'!J761/('Base de datos Rutas'!L761/'Base de datos Rutas'!BK761)),"")</f>
        <v>426.29866059225481</v>
      </c>
      <c r="L763" s="788">
        <f>IFERROR(IF(OR(NOT(ISNUMBER('Base de datos Rutas'!K761)),N('Base de datos Rutas'!BK761)=0),"",'Base de datos Rutas'!K761/('Base de datos Rutas'!L761/'Base de datos Rutas'!BK761)),"")</f>
        <v>10.416601113895208</v>
      </c>
      <c r="M763" s="787">
        <f>IF(ISNUMBER('Base de datos Rutas'!AX761),'Base de datos Rutas'!AX761,"")</f>
        <v>338.02094477583199</v>
      </c>
      <c r="N763" s="790">
        <f>IFERROR(INDEX('Hoja de apoyo v2'!B$17:B$20,MATCH($A763,'Hoja de apoyo v2'!$A$17:$A$20,0)),"")</f>
        <v>48.509140196922353</v>
      </c>
      <c r="O763" s="791">
        <f>IFERROR(INDEX('Hoja de apoyo v2'!C$17:C$20,MATCH($A763,'Hoja de apoyo v2'!$A$17:$A$20,0)),"")</f>
        <v>0.66965083735281605</v>
      </c>
      <c r="P763" s="793">
        <f>IFERROR(INDEX('Hoja de apoyo v2'!D$17:D$20,MATCH($A763,'Hoja de apoyo v2'!$A$17:$A$20,0)),"")</f>
        <v>5938.874134119359</v>
      </c>
      <c r="Q763" s="793">
        <f>IFERROR(INDEX('Hoja de apoyo v2'!E$17:E$20,MATCH($A763,'Hoja de apoyo v2'!$A$17:$A$20,0)),"")</f>
        <v>4160.5938481536259</v>
      </c>
      <c r="R763" s="793">
        <f>IFERROR(INDEX('Hoja de apoyo v2'!F$17:F$20,MATCH($A763,'Hoja de apoyo v2'!$A$17:$A$20,0)),"")</f>
        <v>261.11067511683507</v>
      </c>
      <c r="S763" s="793">
        <f>IFERROR(INDEX('Hoja de apoyo v2'!G$17:G$20,MATCH($A763,'Hoja de apoyo v2'!$A$17:$A$20,0)),"")</f>
        <v>47.352224855431231</v>
      </c>
      <c r="T763" s="792">
        <f>IFERROR(INDEX('Hoja de apoyo v2'!H$17:H$20,MATCH($A763,'Hoja de apoyo v2'!$A$17:$A$20,0)),"")</f>
        <v>492.72230557971551</v>
      </c>
      <c r="U763" s="794">
        <f t="shared" si="400"/>
        <v>0.666384524394384</v>
      </c>
      <c r="V763" s="795">
        <f t="shared" si="401"/>
        <v>1.0937581350807086</v>
      </c>
      <c r="W763" s="795">
        <f t="shared" si="402"/>
        <v>0.25710103061792999</v>
      </c>
      <c r="X763" s="843">
        <f t="shared" si="403"/>
        <v>1.5565737264859549</v>
      </c>
      <c r="Y763" s="843">
        <f t="shared" si="404"/>
        <v>1.632635894344441</v>
      </c>
      <c r="Z763" s="843">
        <f t="shared" si="405"/>
        <v>0.21998123943906805</v>
      </c>
      <c r="AA763" s="843">
        <f t="shared" si="406"/>
        <v>0.68602728341703823</v>
      </c>
      <c r="AB763" s="796">
        <f t="shared" si="407"/>
        <v>2</v>
      </c>
      <c r="AC763" s="797">
        <f t="shared" si="408"/>
        <v>4</v>
      </c>
      <c r="AD763" s="797">
        <f t="shared" si="409"/>
        <v>1</v>
      </c>
      <c r="AE763" s="842">
        <f t="shared" si="410"/>
        <v>5</v>
      </c>
      <c r="AF763" s="842">
        <f t="shared" si="411"/>
        <v>5</v>
      </c>
      <c r="AG763" s="842">
        <f t="shared" si="412"/>
        <v>1</v>
      </c>
      <c r="AH763" s="842">
        <f t="shared" si="413"/>
        <v>2</v>
      </c>
      <c r="AI763" s="826" cm="1">
        <f t="array" ref="AI763">SUMPRODUCT(--ISNUMBER($U763:$AA763),$AB$3:$AH$3)</f>
        <v>1</v>
      </c>
      <c r="AJ763" s="829">
        <f t="shared" si="414"/>
        <v>39.269049409168687</v>
      </c>
      <c r="AK763" s="827" t="str">
        <f t="shared" si="415"/>
        <v>Inmadura</v>
      </c>
      <c r="AL763" s="784" t="str">
        <f t="shared" si="416"/>
        <v>Alta</v>
      </c>
      <c r="AM763" s="799">
        <f>IF(ISNUMBER('Base de datos Rutas'!W761),'Base de datos Rutas'!W761,"")</f>
        <v>3020.0889828698755</v>
      </c>
      <c r="AN763" s="787">
        <f>IFERROR(SUMIFS('Base de datos Rutas'!$W$6:$W$794,'Base de datos Rutas'!$C$6:$C$794,$C763)/'Base de datos Rutas'!I761,"")</f>
        <v>3020.0889828698751</v>
      </c>
      <c r="AO763" s="800">
        <f>IFERROR('Base de datos Rutas'!X761*AN763/AM763,"")</f>
        <v>0.56786621596329401</v>
      </c>
      <c r="AP763" s="800">
        <f t="shared" si="417"/>
        <v>0.43213378403670599</v>
      </c>
      <c r="AQ763" s="789">
        <f>IFERROR(INDEX('Hoja de apoyo v2'!$J$17:$J$20,MATCH($A763,'Hoja de apoyo v2'!$A$17:$A$20,0)),"")</f>
        <v>0.50577184527496444</v>
      </c>
      <c r="AR763" s="789">
        <f t="shared" si="418"/>
        <v>-7.3638061238258445E-2</v>
      </c>
      <c r="AS763" s="784" t="str">
        <f t="shared" si="419"/>
        <v>No</v>
      </c>
      <c r="AT763" s="801">
        <f>IF(ISNUMBER('Base de datos Rutas'!CK761),'Base de datos Rutas'!CK761,"")</f>
        <v>239</v>
      </c>
      <c r="AU763" s="802">
        <f>IF(ISNUMBER('Base de datos Rutas'!CL761),'Base de datos Rutas'!CL761,"")</f>
        <v>344.86</v>
      </c>
      <c r="AV763" s="802">
        <f>IF(ISNUMBER('Base de datos Rutas'!CM761),'Base de datos Rutas'!CM761,"")</f>
        <v>105.86000000000001</v>
      </c>
      <c r="AW763" s="802">
        <f>IF(ISNUMBER('Base de datos Rutas'!CN761),'Base de datos Rutas'!CN761,"")</f>
        <v>8.0399999999999991</v>
      </c>
      <c r="AX763" s="802">
        <f>IF(ISNUMBER('Base de datos Rutas'!CO761),'Base de datos Rutas'!CO761,"")</f>
        <v>9.4499999999999993</v>
      </c>
      <c r="AY763" s="802">
        <f>IF(ISNUMBER('Base de datos Rutas'!CP761),'Base de datos Rutas'!CP761,"")</f>
        <v>1.4100000000000001</v>
      </c>
      <c r="AZ763" s="802">
        <f>IF(ISNUMBER('Base de datos Rutas'!CQ761),'Base de datos Rutas'!CQ761,"")</f>
        <v>423.28</v>
      </c>
      <c r="BA763" s="802">
        <f>IF(ISNUMBER('Base de datos Rutas'!CR761),'Base de datos Rutas'!CR761,"")</f>
        <v>436.72</v>
      </c>
      <c r="BB763" s="803">
        <f>IF(ISNUMBER('Base de datos Rutas'!CS761),'Base de datos Rutas'!CS761,"")</f>
        <v>-13.440000000000055</v>
      </c>
      <c r="BC763" s="804">
        <f t="shared" si="429"/>
        <v>1</v>
      </c>
      <c r="BD763" s="805" t="str">
        <f t="shared" si="430"/>
        <v>Saturada</v>
      </c>
      <c r="BE763" s="806">
        <f t="shared" si="431"/>
        <v>1.0317520317520319</v>
      </c>
      <c r="BF763" s="890">
        <f>IF(ISNUMBER('Base de datos Rutas'!CX761),'Base de datos Rutas'!CX761/100,"")</f>
        <v>0.40328129356007802</v>
      </c>
      <c r="BG763" s="891">
        <f>IF(ISNUMBER('Base de datos Rutas'!CZ761),'Base de datos Rutas'!CZ761/100,"")</f>
        <v>0.41803735712294399</v>
      </c>
      <c r="BH763" s="892">
        <f>IF(ISNUMBER('Base de datos Rutas'!DA761),'Base de datos Rutas'!DA761,"")</f>
        <v>226.73994692205622</v>
      </c>
      <c r="BI763" s="893">
        <f>IF(ISNUMBER('Base de datos Rutas'!DC761),'Base de datos Rutas'!DC761,"")</f>
        <v>12.651544123101269</v>
      </c>
      <c r="BJ763" s="805" t="str">
        <f t="shared" si="432"/>
        <v>Ruta (completo)</v>
      </c>
      <c r="BK763" s="783">
        <f t="shared" si="420"/>
        <v>3</v>
      </c>
      <c r="BL763" s="797">
        <f t="shared" si="421"/>
        <v>3</v>
      </c>
      <c r="BM763" s="797">
        <f t="shared" si="422"/>
        <v>4</v>
      </c>
      <c r="BN763" s="797">
        <f t="shared" si="423"/>
        <v>5</v>
      </c>
      <c r="BO763" s="798" cm="1">
        <f t="array" ref="BO763">SUMPRODUCT(--ISNUMBER($BF763:$BI763),$BK$3:$BN$3)</f>
        <v>1</v>
      </c>
      <c r="BP763" s="831">
        <f t="shared" si="433"/>
        <v>68.75</v>
      </c>
      <c r="BQ763" s="834" t="str">
        <f t="shared" si="434"/>
        <v>Alto</v>
      </c>
      <c r="BR763" s="836">
        <f t="shared" si="424"/>
        <v>54.451787056876512</v>
      </c>
      <c r="BS763" s="836">
        <f t="shared" si="425"/>
        <v>68.75</v>
      </c>
      <c r="BT763" s="837" t="str">
        <f t="shared" si="426"/>
        <v>P1</v>
      </c>
      <c r="BU763" s="807" t="str">
        <f t="shared" si="435"/>
        <v>Al tope</v>
      </c>
      <c r="BV763" s="807" t="str">
        <f t="shared" si="427"/>
        <v>Zona atractiva</v>
      </c>
      <c r="BW763" s="808" t="str">
        <f t="shared" si="428"/>
        <v>P1 - Ampliar cobertura</v>
      </c>
    </row>
    <row r="764" spans="1:75">
      <c r="A764" s="780" t="str">
        <f>'Base de datos Rutas'!A762</f>
        <v>Pacifico</v>
      </c>
      <c r="B764" s="781" t="str">
        <f>'Base de datos Rutas'!B762</f>
        <v>La Paz</v>
      </c>
      <c r="C764" s="781" t="str">
        <f>'Base de datos Rutas'!C762</f>
        <v>Planta La Paz</v>
      </c>
      <c r="D764" s="782">
        <f>IF(ISNUMBER('Base de datos Rutas'!D762),'Base de datos Rutas'!D762,"Sin código")</f>
        <v>506304</v>
      </c>
      <c r="E764" s="783" t="str">
        <f>'Base de datos Rutas'!F762</f>
        <v>Activa</v>
      </c>
      <c r="F764" s="784" t="str">
        <f>'Base de datos Rutas'!H762</f>
        <v>Sí</v>
      </c>
      <c r="G764" s="785">
        <f>IF(ISNUMBER('Base de datos Rutas'!BE762),'Base de datos Rutas'!BE762,"")</f>
        <v>38.810933940774497</v>
      </c>
      <c r="H764" s="786">
        <f>IF(ISNUMBER('Base de datos Rutas'!BH762),'Base de datos Rutas'!BH762,"")</f>
        <v>0.67443361896936305</v>
      </c>
      <c r="I764" s="788">
        <f>IFERROR(IF(OR(NOT(ISNUMBER('Base de datos Rutas'!O762)),N('Base de datos Rutas'!BK762)=0),"",'Base de datos Rutas'!O762/('Base de datos Rutas'!L762/'Base de datos Rutas'!BK762)),"")</f>
        <v>1516.9589977220937</v>
      </c>
      <c r="J764" s="788">
        <f>IFERROR(IF(OR(NOT(ISNUMBER('Base de datos Rutas'!N762)),N('Base de datos Rutas'!BK762)=0),"",'Base de datos Rutas'!N762/('Base de datos Rutas'!L762/'Base de datos Rutas'!BK762)),"")</f>
        <v>7706.608200455571</v>
      </c>
      <c r="K764" s="788">
        <f>IFERROR(IF(OR(NOT(ISNUMBER('Base de datos Rutas'!J762)),N('Base de datos Rutas'!BK762)=0),"",'Base de datos Rutas'!J762/('Base de datos Rutas'!L762/'Base de datos Rutas'!BK762)),"")</f>
        <v>506.33416801822256</v>
      </c>
      <c r="L764" s="788">
        <f>IFERROR(IF(OR(NOT(ISNUMBER('Base de datos Rutas'!K762)),N('Base de datos Rutas'!BK762)=0),"",'Base de datos Rutas'!K762/('Base de datos Rutas'!L762/'Base de datos Rutas'!BK762)),"")</f>
        <v>11.692858824601352</v>
      </c>
      <c r="M764" s="787">
        <f>IF(ISNUMBER('Base de datos Rutas'!AX762),'Base de datos Rutas'!AX762,"")</f>
        <v>351.939832912714</v>
      </c>
      <c r="N764" s="790">
        <f>IFERROR(INDEX('Hoja de apoyo v2'!B$17:B$20,MATCH($A764,'Hoja de apoyo v2'!$A$17:$A$20,0)),"")</f>
        <v>48.509140196922353</v>
      </c>
      <c r="O764" s="791">
        <f>IFERROR(INDEX('Hoja de apoyo v2'!C$17:C$20,MATCH($A764,'Hoja de apoyo v2'!$A$17:$A$20,0)),"")</f>
        <v>0.66965083735281605</v>
      </c>
      <c r="P764" s="793">
        <f>IFERROR(INDEX('Hoja de apoyo v2'!D$17:D$20,MATCH($A764,'Hoja de apoyo v2'!$A$17:$A$20,0)),"")</f>
        <v>5938.874134119359</v>
      </c>
      <c r="Q764" s="793">
        <f>IFERROR(INDEX('Hoja de apoyo v2'!E$17:E$20,MATCH($A764,'Hoja de apoyo v2'!$A$17:$A$20,0)),"")</f>
        <v>4160.5938481536259</v>
      </c>
      <c r="R764" s="793">
        <f>IFERROR(INDEX('Hoja de apoyo v2'!F$17:F$20,MATCH($A764,'Hoja de apoyo v2'!$A$17:$A$20,0)),"")</f>
        <v>261.11067511683507</v>
      </c>
      <c r="S764" s="793">
        <f>IFERROR(INDEX('Hoja de apoyo v2'!G$17:G$20,MATCH($A764,'Hoja de apoyo v2'!$A$17:$A$20,0)),"")</f>
        <v>47.352224855431231</v>
      </c>
      <c r="T764" s="792">
        <f>IFERROR(INDEX('Hoja de apoyo v2'!H$17:H$20,MATCH($A764,'Hoja de apoyo v2'!$A$17:$A$20,0)),"")</f>
        <v>492.72230557971551</v>
      </c>
      <c r="U764" s="794">
        <f t="shared" si="400"/>
        <v>0.8000746618724206</v>
      </c>
      <c r="V764" s="795">
        <f t="shared" si="401"/>
        <v>1.0071422020996101</v>
      </c>
      <c r="W764" s="795">
        <f t="shared" si="402"/>
        <v>0.25542871653181359</v>
      </c>
      <c r="X764" s="843">
        <f t="shared" si="403"/>
        <v>1.8522856307821498</v>
      </c>
      <c r="Y764" s="843">
        <f t="shared" si="404"/>
        <v>1.9391553707701197</v>
      </c>
      <c r="Z764" s="843">
        <f t="shared" si="405"/>
        <v>0.24693367334481642</v>
      </c>
      <c r="AA764" s="843">
        <f t="shared" si="406"/>
        <v>0.71427623415310371</v>
      </c>
      <c r="AB764" s="796">
        <f t="shared" si="407"/>
        <v>3</v>
      </c>
      <c r="AC764" s="797">
        <f t="shared" si="408"/>
        <v>4</v>
      </c>
      <c r="AD764" s="797">
        <f t="shared" si="409"/>
        <v>1</v>
      </c>
      <c r="AE764" s="842">
        <f t="shared" si="410"/>
        <v>5</v>
      </c>
      <c r="AF764" s="842">
        <f t="shared" si="411"/>
        <v>5</v>
      </c>
      <c r="AG764" s="842">
        <f t="shared" si="412"/>
        <v>1</v>
      </c>
      <c r="AH764" s="842">
        <f t="shared" si="413"/>
        <v>2</v>
      </c>
      <c r="AI764" s="826" cm="1">
        <f t="array" ref="AI764">SUMPRODUCT(--ISNUMBER($U764:$AA764),$AB$3:$AH$3)</f>
        <v>1</v>
      </c>
      <c r="AJ764" s="829">
        <f t="shared" si="414"/>
        <v>43.802685587305447</v>
      </c>
      <c r="AK764" s="827" t="str">
        <f t="shared" si="415"/>
        <v>Inmadura</v>
      </c>
      <c r="AL764" s="784" t="str">
        <f t="shared" si="416"/>
        <v>Alta</v>
      </c>
      <c r="AM764" s="799">
        <f>IF(ISNUMBER('Base de datos Rutas'!W762),'Base de datos Rutas'!W762,"")</f>
        <v>3020.0889828698755</v>
      </c>
      <c r="AN764" s="787">
        <f>IFERROR(SUMIFS('Base de datos Rutas'!$W$6:$W$794,'Base de datos Rutas'!$C$6:$C$794,$C764)/'Base de datos Rutas'!I762,"")</f>
        <v>3020.0889828698751</v>
      </c>
      <c r="AO764" s="800">
        <f>IFERROR('Base de datos Rutas'!X762*AN764/AM764,"")</f>
        <v>0.56786621596329401</v>
      </c>
      <c r="AP764" s="800">
        <f t="shared" si="417"/>
        <v>0.43213378403670599</v>
      </c>
      <c r="AQ764" s="789">
        <f>IFERROR(INDEX('Hoja de apoyo v2'!$J$17:$J$20,MATCH($A764,'Hoja de apoyo v2'!$A$17:$A$20,0)),"")</f>
        <v>0.50577184527496444</v>
      </c>
      <c r="AR764" s="789">
        <f t="shared" si="418"/>
        <v>-7.3638061238258445E-2</v>
      </c>
      <c r="AS764" s="784" t="str">
        <f t="shared" si="419"/>
        <v>No</v>
      </c>
      <c r="AT764" s="801">
        <f>IF(ISNUMBER('Base de datos Rutas'!CK762),'Base de datos Rutas'!CK762,"")</f>
        <v>295</v>
      </c>
      <c r="AU764" s="802">
        <f>IF(ISNUMBER('Base de datos Rutas'!CL762),'Base de datos Rutas'!CL762,"")</f>
        <v>550.03</v>
      </c>
      <c r="AV764" s="802">
        <f>IF(ISNUMBER('Base de datos Rutas'!CM762),'Base de datos Rutas'!CM762,"")</f>
        <v>255.02999999999997</v>
      </c>
      <c r="AW764" s="802">
        <f>IF(ISNUMBER('Base de datos Rutas'!CN762),'Base de datos Rutas'!CN762,"")</f>
        <v>9.9700000000000006</v>
      </c>
      <c r="AX764" s="802">
        <f>IF(ISNUMBER('Base de datos Rutas'!CO762),'Base de datos Rutas'!CO762,"")</f>
        <v>9.4499999999999993</v>
      </c>
      <c r="AY764" s="802">
        <f>IF(ISNUMBER('Base de datos Rutas'!CP762),'Base de datos Rutas'!CP762,"")</f>
        <v>-0.52000000000000135</v>
      </c>
      <c r="AZ764" s="802">
        <f>IF(ISNUMBER('Base de datos Rutas'!CQ762),'Base de datos Rutas'!CQ762,"")</f>
        <v>564.37</v>
      </c>
      <c r="BA764" s="802">
        <f>IF(ISNUMBER('Base de datos Rutas'!CR762),'Base de datos Rutas'!CR762,"")</f>
        <v>518.03</v>
      </c>
      <c r="BB764" s="803">
        <f>IF(ISNUMBER('Base de datos Rutas'!CS762),'Base de datos Rutas'!CS762,"")</f>
        <v>46.340000000000032</v>
      </c>
      <c r="BC764" s="804">
        <f t="shared" si="429"/>
        <v>1</v>
      </c>
      <c r="BD764" s="805" t="str">
        <f t="shared" si="430"/>
        <v>Saturada</v>
      </c>
      <c r="BE764" s="806">
        <f t="shared" si="431"/>
        <v>0.91789074543296056</v>
      </c>
      <c r="BF764" s="890">
        <f>IF(ISNUMBER('Base de datos Rutas'!CX762),'Base de datos Rutas'!CX762/100,"")</f>
        <v>0.38213491614848316</v>
      </c>
      <c r="BG764" s="891">
        <f>IF(ISNUMBER('Base de datos Rutas'!CZ762),'Base de datos Rutas'!CZ762/100,"")</f>
        <v>0.39815338232523084</v>
      </c>
      <c r="BH764" s="892">
        <f>IF(ISNUMBER('Base de datos Rutas'!DA762),'Base de datos Rutas'!DA762,"")</f>
        <v>201.18590469973162</v>
      </c>
      <c r="BI764" s="893">
        <f>IF(ISNUMBER('Base de datos Rutas'!DC762),'Base de datos Rutas'!DC762,"")</f>
        <v>11.332061080499974</v>
      </c>
      <c r="BJ764" s="805" t="str">
        <f t="shared" si="432"/>
        <v>Ruta (completo)</v>
      </c>
      <c r="BK764" s="783">
        <f t="shared" si="420"/>
        <v>2</v>
      </c>
      <c r="BL764" s="797">
        <f t="shared" si="421"/>
        <v>2</v>
      </c>
      <c r="BM764" s="797">
        <f t="shared" si="422"/>
        <v>4</v>
      </c>
      <c r="BN764" s="797">
        <f t="shared" si="423"/>
        <v>4</v>
      </c>
      <c r="BO764" s="798" cm="1">
        <f t="array" ref="BO764">SUMPRODUCT(--ISNUMBER($BF764:$BI764),$BK$3:$BN$3)</f>
        <v>1</v>
      </c>
      <c r="BP764" s="831">
        <f t="shared" si="433"/>
        <v>50</v>
      </c>
      <c r="BQ764" s="834" t="str">
        <f t="shared" si="434"/>
        <v>Alto</v>
      </c>
      <c r="BR764" s="836">
        <f t="shared" si="424"/>
        <v>57.852014190479082</v>
      </c>
      <c r="BS764" s="836">
        <f t="shared" si="425"/>
        <v>50</v>
      </c>
      <c r="BT764" s="837" t="str">
        <f t="shared" si="426"/>
        <v>P1</v>
      </c>
      <c r="BU764" s="807" t="str">
        <f t="shared" si="435"/>
        <v>Al tope</v>
      </c>
      <c r="BV764" s="807" t="str">
        <f t="shared" si="427"/>
        <v>Zona atractiva</v>
      </c>
      <c r="BW764" s="808" t="str">
        <f t="shared" si="428"/>
        <v>P1 - Ampliar cobertura</v>
      </c>
    </row>
    <row r="765" spans="1:75">
      <c r="A765" s="780" t="str">
        <f>'Base de datos Rutas'!A763</f>
        <v>Pacifico</v>
      </c>
      <c r="B765" s="781" t="str">
        <f>'Base de datos Rutas'!B763</f>
        <v>La Paz</v>
      </c>
      <c r="C765" s="781" t="str">
        <f>'Base de datos Rutas'!C763</f>
        <v>Planta La Paz</v>
      </c>
      <c r="D765" s="782">
        <f>IF(ISNUMBER('Base de datos Rutas'!D763),'Base de datos Rutas'!D763,"Sin código")</f>
        <v>506305</v>
      </c>
      <c r="E765" s="783" t="str">
        <f>'Base de datos Rutas'!F763</f>
        <v>Activa</v>
      </c>
      <c r="F765" s="784" t="str">
        <f>'Base de datos Rutas'!H763</f>
        <v>Sí</v>
      </c>
      <c r="G765" s="785">
        <f>IF(ISNUMBER('Base de datos Rutas'!BE763),'Base de datos Rutas'!BE763,"")</f>
        <v>35.070938215102998</v>
      </c>
      <c r="H765" s="786">
        <f>IF(ISNUMBER('Base de datos Rutas'!BH763),'Base de datos Rutas'!BH763,"")</f>
        <v>0.714080647266084</v>
      </c>
      <c r="I765" s="788">
        <f>IFERROR(IF(OR(NOT(ISNUMBER('Base de datos Rutas'!O763)),N('Base de datos Rutas'!BK763)=0),"",'Base de datos Rutas'!O763/('Base de datos Rutas'!L763/'Base de datos Rutas'!BK763)),"")</f>
        <v>1613.1098398169322</v>
      </c>
      <c r="J765" s="788">
        <f>IFERROR(IF(OR(NOT(ISNUMBER('Base de datos Rutas'!N763)),N('Base de datos Rutas'!BK763)=0),"",'Base de datos Rutas'!N763/('Base de datos Rutas'!L763/'Base de datos Rutas'!BK763)),"")</f>
        <v>5915.5354691075463</v>
      </c>
      <c r="K765" s="788">
        <f>IFERROR(IF(OR(NOT(ISNUMBER('Base de datos Rutas'!J763)),N('Base de datos Rutas'!BK763)=0),"",'Base de datos Rutas'!J763/('Base de datos Rutas'!L763/'Base de datos Rutas'!BK763)),"")</f>
        <v>393.08234890617808</v>
      </c>
      <c r="L765" s="788">
        <f>IFERROR(IF(OR(NOT(ISNUMBER('Base de datos Rutas'!K763)),N('Base de datos Rutas'!BK763)=0),"",'Base de datos Rutas'!K763/('Base de datos Rutas'!L763/'Base de datos Rutas'!BK763)),"")</f>
        <v>11.439980867276876</v>
      </c>
      <c r="M765" s="787">
        <f>IF(ISNUMBER('Base de datos Rutas'!AX763),'Base de datos Rutas'!AX763,"")</f>
        <v>300.68419225146198</v>
      </c>
      <c r="N765" s="790">
        <f>IFERROR(INDEX('Hoja de apoyo v2'!B$17:B$20,MATCH($A765,'Hoja de apoyo v2'!$A$17:$A$20,0)),"")</f>
        <v>48.509140196922353</v>
      </c>
      <c r="O765" s="791">
        <f>IFERROR(INDEX('Hoja de apoyo v2'!C$17:C$20,MATCH($A765,'Hoja de apoyo v2'!$A$17:$A$20,0)),"")</f>
        <v>0.66965083735281605</v>
      </c>
      <c r="P765" s="793">
        <f>IFERROR(INDEX('Hoja de apoyo v2'!D$17:D$20,MATCH($A765,'Hoja de apoyo v2'!$A$17:$A$20,0)),"")</f>
        <v>5938.874134119359</v>
      </c>
      <c r="Q765" s="793">
        <f>IFERROR(INDEX('Hoja de apoyo v2'!E$17:E$20,MATCH($A765,'Hoja de apoyo v2'!$A$17:$A$20,0)),"")</f>
        <v>4160.5938481536259</v>
      </c>
      <c r="R765" s="793">
        <f>IFERROR(INDEX('Hoja de apoyo v2'!F$17:F$20,MATCH($A765,'Hoja de apoyo v2'!$A$17:$A$20,0)),"")</f>
        <v>261.11067511683507</v>
      </c>
      <c r="S765" s="793">
        <f>IFERROR(INDEX('Hoja de apoyo v2'!G$17:G$20,MATCH($A765,'Hoja de apoyo v2'!$A$17:$A$20,0)),"")</f>
        <v>47.352224855431231</v>
      </c>
      <c r="T765" s="792">
        <f>IFERROR(INDEX('Hoja de apoyo v2'!H$17:H$20,MATCH($A765,'Hoja de apoyo v2'!$A$17:$A$20,0)),"")</f>
        <v>492.72230557971551</v>
      </c>
      <c r="U765" s="794">
        <f t="shared" si="400"/>
        <v>0.72297587779814043</v>
      </c>
      <c r="V765" s="795">
        <f t="shared" si="401"/>
        <v>1.0663477254637694</v>
      </c>
      <c r="W765" s="795">
        <f t="shared" si="402"/>
        <v>0.27161879564839958</v>
      </c>
      <c r="X765" s="843">
        <f t="shared" si="403"/>
        <v>1.4218007536911401</v>
      </c>
      <c r="Y765" s="843">
        <f t="shared" si="404"/>
        <v>1.5054242754735774</v>
      </c>
      <c r="Z765" s="843">
        <f t="shared" si="405"/>
        <v>0.24159331271558462</v>
      </c>
      <c r="AA765" s="843">
        <f t="shared" si="406"/>
        <v>0.61025082251490548</v>
      </c>
      <c r="AB765" s="796">
        <f t="shared" si="407"/>
        <v>2</v>
      </c>
      <c r="AC765" s="797">
        <f t="shared" si="408"/>
        <v>4</v>
      </c>
      <c r="AD765" s="797">
        <f t="shared" si="409"/>
        <v>1</v>
      </c>
      <c r="AE765" s="842">
        <f t="shared" si="410"/>
        <v>5</v>
      </c>
      <c r="AF765" s="842">
        <f t="shared" si="411"/>
        <v>5</v>
      </c>
      <c r="AG765" s="842">
        <f t="shared" si="412"/>
        <v>1</v>
      </c>
      <c r="AH765" s="842">
        <f t="shared" si="413"/>
        <v>2</v>
      </c>
      <c r="AI765" s="826" cm="1">
        <f t="array" ref="AI765">SUMPRODUCT(--ISNUMBER($U765:$AA765),$AB$3:$AH$3)</f>
        <v>1</v>
      </c>
      <c r="AJ765" s="829">
        <f t="shared" si="414"/>
        <v>39.269049409168687</v>
      </c>
      <c r="AK765" s="827" t="str">
        <f t="shared" si="415"/>
        <v>Inmadura</v>
      </c>
      <c r="AL765" s="784" t="str">
        <f t="shared" si="416"/>
        <v>Alta</v>
      </c>
      <c r="AM765" s="799">
        <f>IF(ISNUMBER('Base de datos Rutas'!W763),'Base de datos Rutas'!W763,"")</f>
        <v>3020.0889828698755</v>
      </c>
      <c r="AN765" s="787">
        <f>IFERROR(SUMIFS('Base de datos Rutas'!$W$6:$W$794,'Base de datos Rutas'!$C$6:$C$794,$C765)/'Base de datos Rutas'!I763,"")</f>
        <v>3020.0889828698751</v>
      </c>
      <c r="AO765" s="800">
        <f>IFERROR('Base de datos Rutas'!X763*AN765/AM765,"")</f>
        <v>0.56786621596329401</v>
      </c>
      <c r="AP765" s="800">
        <f t="shared" si="417"/>
        <v>0.43213378403670599</v>
      </c>
      <c r="AQ765" s="789">
        <f>IFERROR(INDEX('Hoja de apoyo v2'!$J$17:$J$20,MATCH($A765,'Hoja de apoyo v2'!$A$17:$A$20,0)),"")</f>
        <v>0.50577184527496444</v>
      </c>
      <c r="AR765" s="789">
        <f t="shared" si="418"/>
        <v>-7.3638061238258445E-2</v>
      </c>
      <c r="AS765" s="784" t="str">
        <f t="shared" si="419"/>
        <v>No</v>
      </c>
      <c r="AT765" s="801">
        <f>IF(ISNUMBER('Base de datos Rutas'!CK763),'Base de datos Rutas'!CK763,"")</f>
        <v>295</v>
      </c>
      <c r="AU765" s="802">
        <f>IF(ISNUMBER('Base de datos Rutas'!CL763),'Base de datos Rutas'!CL763,"")</f>
        <v>321.91000000000003</v>
      </c>
      <c r="AV765" s="802">
        <f>IF(ISNUMBER('Base de datos Rutas'!CM763),'Base de datos Rutas'!CM763,"")</f>
        <v>26.910000000000025</v>
      </c>
      <c r="AW765" s="802">
        <f>IF(ISNUMBER('Base de datos Rutas'!CN763),'Base de datos Rutas'!CN763,"")</f>
        <v>11.56</v>
      </c>
      <c r="AX765" s="802">
        <f>IF(ISNUMBER('Base de datos Rutas'!CO763),'Base de datos Rutas'!CO763,"")</f>
        <v>9.4499999999999993</v>
      </c>
      <c r="AY765" s="802">
        <f>IF(ISNUMBER('Base de datos Rutas'!CP763),'Base de datos Rutas'!CP763,"")</f>
        <v>-2.1100000000000012</v>
      </c>
      <c r="AZ765" s="802">
        <f>IF(ISNUMBER('Base de datos Rutas'!CQ763),'Base de datos Rutas'!CQ763,"")</f>
        <v>564.37</v>
      </c>
      <c r="BA765" s="802">
        <f>IF(ISNUMBER('Base de datos Rutas'!CR763),'Base de datos Rutas'!CR763,"")</f>
        <v>404.52</v>
      </c>
      <c r="BB765" s="803">
        <f>IF(ISNUMBER('Base de datos Rutas'!CS763),'Base de datos Rutas'!CS763,"")</f>
        <v>159.85000000000002</v>
      </c>
      <c r="BC765" s="804">
        <f t="shared" si="429"/>
        <v>1</v>
      </c>
      <c r="BD765" s="805" t="str">
        <f t="shared" si="430"/>
        <v>Saturada</v>
      </c>
      <c r="BE765" s="806">
        <f t="shared" si="431"/>
        <v>0.71676382515016746</v>
      </c>
      <c r="BF765" s="890">
        <f>IF(ISNUMBER('Base de datos Rutas'!CX763),'Base de datos Rutas'!CX763/100,"")</f>
        <v>0.14612392347263164</v>
      </c>
      <c r="BG765" s="891">
        <f>IF(ISNUMBER('Base de datos Rutas'!CZ763),'Base de datos Rutas'!CZ763/100,"")</f>
        <v>0.14767932489451477</v>
      </c>
      <c r="BH765" s="892">
        <f>IF(ISNUMBER('Base de datos Rutas'!DA763),'Base de datos Rutas'!DA763,"")</f>
        <v>102.52401818799844</v>
      </c>
      <c r="BI765" s="893">
        <f>IF(ISNUMBER('Base de datos Rutas'!DC763),'Base de datos Rutas'!DC763,"")</f>
        <v>5.3220128682570493</v>
      </c>
      <c r="BJ765" s="805" t="str">
        <f t="shared" si="432"/>
        <v>Ruta (completo)</v>
      </c>
      <c r="BK765" s="783">
        <f t="shared" si="420"/>
        <v>1</v>
      </c>
      <c r="BL765" s="797">
        <f t="shared" si="421"/>
        <v>1</v>
      </c>
      <c r="BM765" s="797">
        <f t="shared" si="422"/>
        <v>3</v>
      </c>
      <c r="BN765" s="797">
        <f t="shared" si="423"/>
        <v>3</v>
      </c>
      <c r="BO765" s="798" cm="1">
        <f t="array" ref="BO765">SUMPRODUCT(--ISNUMBER($BF765:$BI765),$BK$3:$BN$3)</f>
        <v>1</v>
      </c>
      <c r="BP765" s="831">
        <f t="shared" si="433"/>
        <v>25</v>
      </c>
      <c r="BQ765" s="834" t="str">
        <f t="shared" si="434"/>
        <v>Medio</v>
      </c>
      <c r="BR765" s="836">
        <f t="shared" si="424"/>
        <v>54.451787056876512</v>
      </c>
      <c r="BS765" s="836">
        <f t="shared" si="425"/>
        <v>25</v>
      </c>
      <c r="BT765" s="837" t="str">
        <f t="shared" si="426"/>
        <v>P2</v>
      </c>
      <c r="BU765" s="807" t="str">
        <f t="shared" si="435"/>
        <v>Al tope</v>
      </c>
      <c r="BV765" s="807" t="str">
        <f t="shared" si="427"/>
        <v>Zona de bajo potencial</v>
      </c>
      <c r="BW765" s="808" t="str">
        <f t="shared" si="428"/>
        <v>P2 - Mantener</v>
      </c>
    </row>
    <row r="766" spans="1:75">
      <c r="A766" s="780" t="str">
        <f>'Base de datos Rutas'!A764</f>
        <v>Pacifico</v>
      </c>
      <c r="B766" s="781" t="str">
        <f>'Base de datos Rutas'!B764</f>
        <v>La Paz</v>
      </c>
      <c r="C766" s="781" t="str">
        <f>'Base de datos Rutas'!C764</f>
        <v>Planta La Paz</v>
      </c>
      <c r="D766" s="782">
        <f>IF(ISNUMBER('Base de datos Rutas'!D764),'Base de datos Rutas'!D764,"Sin código")</f>
        <v>506306</v>
      </c>
      <c r="E766" s="783" t="str">
        <f>'Base de datos Rutas'!F764</f>
        <v>Activa</v>
      </c>
      <c r="F766" s="784" t="str">
        <f>'Base de datos Rutas'!H764</f>
        <v>Sí</v>
      </c>
      <c r="G766" s="785">
        <f>IF(ISNUMBER('Base de datos Rutas'!BE764),'Base de datos Rutas'!BE764,"")</f>
        <v>40.3872437357631</v>
      </c>
      <c r="H766" s="786">
        <f>IF(ISNUMBER('Base de datos Rutas'!BH764),'Base de datos Rutas'!BH764,"")</f>
        <v>0.64991539763113404</v>
      </c>
      <c r="I766" s="788">
        <f>IFERROR(IF(OR(NOT(ISNUMBER('Base de datos Rutas'!O764)),N('Base de datos Rutas'!BK764)=0),"",'Base de datos Rutas'!O764/('Base de datos Rutas'!L764/'Base de datos Rutas'!BK764)),"")</f>
        <v>1293.6127562642357</v>
      </c>
      <c r="J766" s="788">
        <f>IFERROR(IF(OR(NOT(ISNUMBER('Base de datos Rutas'!N764)),N('Base de datos Rutas'!BK764)=0),"",'Base de datos Rutas'!N764/('Base de datos Rutas'!L764/'Base de datos Rutas'!BK764)),"")</f>
        <v>8200.8223234624074</v>
      </c>
      <c r="K766" s="788">
        <f>IFERROR(IF(OR(NOT(ISNUMBER('Base de datos Rutas'!J764)),N('Base de datos Rutas'!BK764)=0),"",'Base de datos Rutas'!J764/('Base de datos Rutas'!L764/'Base de datos Rutas'!BK764)),"")</f>
        <v>537.08977494305191</v>
      </c>
      <c r="L766" s="788">
        <f>IFERROR(IF(OR(NOT(ISNUMBER('Base de datos Rutas'!K764)),N('Base de datos Rutas'!BK764)=0),"",'Base de datos Rutas'!K764/('Base de datos Rutas'!L764/'Base de datos Rutas'!BK764)),"")</f>
        <v>8.2442859248291498</v>
      </c>
      <c r="M766" s="787">
        <f>IF(ISNUMBER('Base de datos Rutas'!AX764),'Base de datos Rutas'!AX764,"")</f>
        <v>361.71615377939798</v>
      </c>
      <c r="N766" s="790">
        <f>IFERROR(INDEX('Hoja de apoyo v2'!B$17:B$20,MATCH($A766,'Hoja de apoyo v2'!$A$17:$A$20,0)),"")</f>
        <v>48.509140196922353</v>
      </c>
      <c r="O766" s="791">
        <f>IFERROR(INDEX('Hoja de apoyo v2'!C$17:C$20,MATCH($A766,'Hoja de apoyo v2'!$A$17:$A$20,0)),"")</f>
        <v>0.66965083735281605</v>
      </c>
      <c r="P766" s="793">
        <f>IFERROR(INDEX('Hoja de apoyo v2'!D$17:D$20,MATCH($A766,'Hoja de apoyo v2'!$A$17:$A$20,0)),"")</f>
        <v>5938.874134119359</v>
      </c>
      <c r="Q766" s="793">
        <f>IFERROR(INDEX('Hoja de apoyo v2'!E$17:E$20,MATCH($A766,'Hoja de apoyo v2'!$A$17:$A$20,0)),"")</f>
        <v>4160.5938481536259</v>
      </c>
      <c r="R766" s="793">
        <f>IFERROR(INDEX('Hoja de apoyo v2'!F$17:F$20,MATCH($A766,'Hoja de apoyo v2'!$A$17:$A$20,0)),"")</f>
        <v>261.11067511683507</v>
      </c>
      <c r="S766" s="793">
        <f>IFERROR(INDEX('Hoja de apoyo v2'!G$17:G$20,MATCH($A766,'Hoja de apoyo v2'!$A$17:$A$20,0)),"")</f>
        <v>47.352224855431231</v>
      </c>
      <c r="T766" s="792">
        <f>IFERROR(INDEX('Hoja de apoyo v2'!H$17:H$20,MATCH($A766,'Hoja de apoyo v2'!$A$17:$A$20,0)),"")</f>
        <v>492.72230557971551</v>
      </c>
      <c r="U766" s="794">
        <f t="shared" si="400"/>
        <v>0.83256977080631611</v>
      </c>
      <c r="V766" s="795">
        <f t="shared" si="401"/>
        <v>0.97052876122772014</v>
      </c>
      <c r="W766" s="795">
        <f t="shared" si="402"/>
        <v>0.21782121106630559</v>
      </c>
      <c r="X766" s="843">
        <f t="shared" si="403"/>
        <v>1.9710701459364366</v>
      </c>
      <c r="Y766" s="843">
        <f t="shared" si="404"/>
        <v>2.0569429982237564</v>
      </c>
      <c r="Z766" s="843">
        <f t="shared" si="405"/>
        <v>0.17410556631709231</v>
      </c>
      <c r="AA766" s="843">
        <f t="shared" si="406"/>
        <v>0.73411767578457521</v>
      </c>
      <c r="AB766" s="796">
        <f t="shared" si="407"/>
        <v>3</v>
      </c>
      <c r="AC766" s="797">
        <f t="shared" si="408"/>
        <v>3</v>
      </c>
      <c r="AD766" s="797">
        <f t="shared" si="409"/>
        <v>1</v>
      </c>
      <c r="AE766" s="842">
        <f t="shared" si="410"/>
        <v>5</v>
      </c>
      <c r="AF766" s="842">
        <f t="shared" si="411"/>
        <v>5</v>
      </c>
      <c r="AG766" s="842">
        <f t="shared" si="412"/>
        <v>1</v>
      </c>
      <c r="AH766" s="842">
        <f t="shared" si="413"/>
        <v>2</v>
      </c>
      <c r="AI766" s="826" cm="1">
        <f t="array" ref="AI766">SUMPRODUCT(--ISNUMBER($U766:$AA766),$AB$3:$AH$3)</f>
        <v>1</v>
      </c>
      <c r="AJ766" s="829">
        <f t="shared" si="414"/>
        <v>41.419780001414964</v>
      </c>
      <c r="AK766" s="827" t="str">
        <f t="shared" si="415"/>
        <v>Inmadura</v>
      </c>
      <c r="AL766" s="784" t="str">
        <f t="shared" si="416"/>
        <v>Alta</v>
      </c>
      <c r="AM766" s="799">
        <f>IF(ISNUMBER('Base de datos Rutas'!W764),'Base de datos Rutas'!W764,"")</f>
        <v>3020.0889828698755</v>
      </c>
      <c r="AN766" s="787">
        <f>IFERROR(SUMIFS('Base de datos Rutas'!$W$6:$W$794,'Base de datos Rutas'!$C$6:$C$794,$C766)/'Base de datos Rutas'!I764,"")</f>
        <v>3020.0889828698751</v>
      </c>
      <c r="AO766" s="800">
        <f>IFERROR('Base de datos Rutas'!X764*AN766/AM766,"")</f>
        <v>0.56786621596329401</v>
      </c>
      <c r="AP766" s="800">
        <f t="shared" si="417"/>
        <v>0.43213378403670599</v>
      </c>
      <c r="AQ766" s="789">
        <f>IFERROR(INDEX('Hoja de apoyo v2'!$J$17:$J$20,MATCH($A766,'Hoja de apoyo v2'!$A$17:$A$20,0)),"")</f>
        <v>0.50577184527496444</v>
      </c>
      <c r="AR766" s="789">
        <f t="shared" si="418"/>
        <v>-7.3638061238258445E-2</v>
      </c>
      <c r="AS766" s="784" t="str">
        <f t="shared" si="419"/>
        <v>No</v>
      </c>
      <c r="AT766" s="801">
        <f>IF(ISNUMBER('Base de datos Rutas'!CK764),'Base de datos Rutas'!CK764,"")</f>
        <v>259</v>
      </c>
      <c r="AU766" s="802">
        <f>IF(ISNUMBER('Base de datos Rutas'!CL764),'Base de datos Rutas'!CL764,"")</f>
        <v>259</v>
      </c>
      <c r="AV766" s="802">
        <f>IF(ISNUMBER('Base de datos Rutas'!CM764),'Base de datos Rutas'!CM764,"")</f>
        <v>0</v>
      </c>
      <c r="AW766" s="802">
        <f>IF(ISNUMBER('Base de datos Rutas'!CN764),'Base de datos Rutas'!CN764,"")</f>
        <v>12.48</v>
      </c>
      <c r="AX766" s="802">
        <f>IF(ISNUMBER('Base de datos Rutas'!CO764),'Base de datos Rutas'!CO764,"")</f>
        <v>9.4499999999999993</v>
      </c>
      <c r="AY766" s="802">
        <f>IF(ISNUMBER('Base de datos Rutas'!CP764),'Base de datos Rutas'!CP764,"")</f>
        <v>-3.0300000000000011</v>
      </c>
      <c r="AZ766" s="802">
        <f>IF(ISNUMBER('Base de datos Rutas'!CQ764),'Base de datos Rutas'!CQ764,"")</f>
        <v>846.56</v>
      </c>
      <c r="BA766" s="802">
        <f>IF(ISNUMBER('Base de datos Rutas'!CR764),'Base de datos Rutas'!CR764,"")</f>
        <v>545.33000000000004</v>
      </c>
      <c r="BB766" s="803">
        <f>IF(ISNUMBER('Base de datos Rutas'!CS764),'Base de datos Rutas'!CS764,"")</f>
        <v>301.2299999999999</v>
      </c>
      <c r="BC766" s="804">
        <f t="shared" si="429"/>
        <v>2</v>
      </c>
      <c r="BD766" s="805" t="str">
        <f t="shared" si="430"/>
        <v>Saturada</v>
      </c>
      <c r="BE766" s="806">
        <f t="shared" si="431"/>
        <v>0.64417170667170676</v>
      </c>
      <c r="BF766" s="890">
        <f>IF(ISNUMBER('Base de datos Rutas'!CX764),'Base de datos Rutas'!CX764/100,"")</f>
        <v>7.2675868950607014E-2</v>
      </c>
      <c r="BG766" s="891">
        <f>IF(ISNUMBER('Base de datos Rutas'!CZ764),'Base de datos Rutas'!CZ764/100,"")</f>
        <v>7.2675868950607014E-2</v>
      </c>
      <c r="BH766" s="892">
        <f>IF(ISNUMBER('Base de datos Rutas'!DA764),'Base de datos Rutas'!DA764,"")</f>
        <v>0</v>
      </c>
      <c r="BI766" s="893">
        <f>IF(ISNUMBER('Base de datos Rutas'!DC764),'Base de datos Rutas'!DC764,"")</f>
        <v>0</v>
      </c>
      <c r="BJ766" s="805" t="str">
        <f t="shared" si="432"/>
        <v>Ruta (completo)</v>
      </c>
      <c r="BK766" s="783">
        <f t="shared" si="420"/>
        <v>1</v>
      </c>
      <c r="BL766" s="797">
        <f t="shared" si="421"/>
        <v>1</v>
      </c>
      <c r="BM766" s="797">
        <f t="shared" si="422"/>
        <v>1</v>
      </c>
      <c r="BN766" s="797">
        <f t="shared" si="423"/>
        <v>1</v>
      </c>
      <c r="BO766" s="798" cm="1">
        <f t="array" ref="BO766">SUMPRODUCT(--ISNUMBER($BF766:$BI766),$BK$3:$BN$3)</f>
        <v>1</v>
      </c>
      <c r="BP766" s="831">
        <f t="shared" si="433"/>
        <v>0</v>
      </c>
      <c r="BQ766" s="834" t="str">
        <f t="shared" si="434"/>
        <v>Bajo</v>
      </c>
      <c r="BR766" s="836">
        <f t="shared" si="424"/>
        <v>56.064835001061226</v>
      </c>
      <c r="BS766" s="836">
        <f t="shared" si="425"/>
        <v>0</v>
      </c>
      <c r="BT766" s="837" t="str">
        <f t="shared" si="426"/>
        <v>P2</v>
      </c>
      <c r="BU766" s="807" t="str">
        <f t="shared" si="435"/>
        <v>Al tope</v>
      </c>
      <c r="BV766" s="807" t="str">
        <f t="shared" si="427"/>
        <v>Zona de bajo potencial</v>
      </c>
      <c r="BW766" s="808" t="str">
        <f t="shared" si="428"/>
        <v>P2 - Mantener</v>
      </c>
    </row>
    <row r="767" spans="1:75">
      <c r="A767" s="780" t="str">
        <f>'Base de datos Rutas'!A765</f>
        <v>Pacifico</v>
      </c>
      <c r="B767" s="781" t="str">
        <f>'Base de datos Rutas'!B765</f>
        <v>La Paz</v>
      </c>
      <c r="C767" s="781" t="str">
        <f>'Base de datos Rutas'!C765</f>
        <v>Planta La Paz</v>
      </c>
      <c r="D767" s="782">
        <f>IF(ISNUMBER('Base de datos Rutas'!D765),'Base de datos Rutas'!D765,"Sin código")</f>
        <v>506307</v>
      </c>
      <c r="E767" s="783" t="str">
        <f>'Base de datos Rutas'!F765</f>
        <v>Activa</v>
      </c>
      <c r="F767" s="784" t="str">
        <f>'Base de datos Rutas'!H765</f>
        <v>Sí</v>
      </c>
      <c r="G767" s="785">
        <f>IF(ISNUMBER('Base de datos Rutas'!BE765),'Base de datos Rutas'!BE765,"")</f>
        <v>29.175799086758001</v>
      </c>
      <c r="H767" s="786">
        <f>IF(ISNUMBER('Base de datos Rutas'!BH765),'Base de datos Rutas'!BH765,"")</f>
        <v>0.81899992174661596</v>
      </c>
      <c r="I767" s="788">
        <f>IFERROR(IF(OR(NOT(ISNUMBER('Base de datos Rutas'!O765)),N('Base de datos Rutas'!BK765)=0),"",'Base de datos Rutas'!O765/('Base de datos Rutas'!L765/'Base de datos Rutas'!BK765)),"")</f>
        <v>2085.0913242009137</v>
      </c>
      <c r="J767" s="788">
        <f>IFERROR(IF(OR(NOT(ISNUMBER('Base de datos Rutas'!N765)),N('Base de datos Rutas'!BK765)=0),"",'Base de datos Rutas'!N765/('Base de datos Rutas'!L765/'Base de datos Rutas'!BK765)),"")</f>
        <v>6421.3698630137005</v>
      </c>
      <c r="K767" s="788">
        <f>IFERROR(IF(OR(NOT(ISNUMBER('Base de datos Rutas'!J765)),N('Base de datos Rutas'!BK765)=0),"",'Base de datos Rutas'!J765/('Base de datos Rutas'!L765/'Base de datos Rutas'!BK765)),"")</f>
        <v>417.65370228310513</v>
      </c>
      <c r="L767" s="788">
        <f>IFERROR(IF(OR(NOT(ISNUMBER('Base de datos Rutas'!K765)),N('Base de datos Rutas'!BK765)=0),"",'Base de datos Rutas'!K765/('Base de datos Rutas'!L765/'Base de datos Rutas'!BK765)),"")</f>
        <v>11.785702714611876</v>
      </c>
      <c r="M767" s="787">
        <f>IF(ISNUMBER('Base de datos Rutas'!AX765),'Base de datos Rutas'!AX765,"")</f>
        <v>355.993717752723</v>
      </c>
      <c r="N767" s="790">
        <f>IFERROR(INDEX('Hoja de apoyo v2'!B$17:B$20,MATCH($A767,'Hoja de apoyo v2'!$A$17:$A$20,0)),"")</f>
        <v>48.509140196922353</v>
      </c>
      <c r="O767" s="791">
        <f>IFERROR(INDEX('Hoja de apoyo v2'!C$17:C$20,MATCH($A767,'Hoja de apoyo v2'!$A$17:$A$20,0)),"")</f>
        <v>0.66965083735281605</v>
      </c>
      <c r="P767" s="793">
        <f>IFERROR(INDEX('Hoja de apoyo v2'!D$17:D$20,MATCH($A767,'Hoja de apoyo v2'!$A$17:$A$20,0)),"")</f>
        <v>5938.874134119359</v>
      </c>
      <c r="Q767" s="793">
        <f>IFERROR(INDEX('Hoja de apoyo v2'!E$17:E$20,MATCH($A767,'Hoja de apoyo v2'!$A$17:$A$20,0)),"")</f>
        <v>4160.5938481536259</v>
      </c>
      <c r="R767" s="793">
        <f>IFERROR(INDEX('Hoja de apoyo v2'!F$17:F$20,MATCH($A767,'Hoja de apoyo v2'!$A$17:$A$20,0)),"")</f>
        <v>261.11067511683507</v>
      </c>
      <c r="S767" s="793">
        <f>IFERROR(INDEX('Hoja de apoyo v2'!G$17:G$20,MATCH($A767,'Hoja de apoyo v2'!$A$17:$A$20,0)),"")</f>
        <v>47.352224855431231</v>
      </c>
      <c r="T767" s="792">
        <f>IFERROR(INDEX('Hoja de apoyo v2'!H$17:H$20,MATCH($A767,'Hoja de apoyo v2'!$A$17:$A$20,0)),"")</f>
        <v>492.72230557971551</v>
      </c>
      <c r="U767" s="794">
        <f t="shared" si="400"/>
        <v>0.60144951999394647</v>
      </c>
      <c r="V767" s="795">
        <f t="shared" si="401"/>
        <v>1.2230253082101545</v>
      </c>
      <c r="W767" s="795">
        <f t="shared" si="402"/>
        <v>0.35109202133479794</v>
      </c>
      <c r="X767" s="843">
        <f t="shared" si="403"/>
        <v>1.5433782044991857</v>
      </c>
      <c r="Y767" s="843">
        <f t="shared" si="404"/>
        <v>1.5995274880899613</v>
      </c>
      <c r="Z767" s="843">
        <f t="shared" si="405"/>
        <v>0.24889438142757242</v>
      </c>
      <c r="AA767" s="843">
        <f t="shared" si="406"/>
        <v>0.7225037586513896</v>
      </c>
      <c r="AB767" s="796">
        <f t="shared" si="407"/>
        <v>2</v>
      </c>
      <c r="AC767" s="797">
        <f t="shared" si="408"/>
        <v>4</v>
      </c>
      <c r="AD767" s="797">
        <f t="shared" si="409"/>
        <v>1</v>
      </c>
      <c r="AE767" s="842">
        <f t="shared" si="410"/>
        <v>5</v>
      </c>
      <c r="AF767" s="842">
        <f t="shared" si="411"/>
        <v>5</v>
      </c>
      <c r="AG767" s="842">
        <f t="shared" si="412"/>
        <v>1</v>
      </c>
      <c r="AH767" s="842">
        <f t="shared" si="413"/>
        <v>2</v>
      </c>
      <c r="AI767" s="826" cm="1">
        <f t="array" ref="AI767">SUMPRODUCT(--ISNUMBER($U767:$AA767),$AB$3:$AH$3)</f>
        <v>1</v>
      </c>
      <c r="AJ767" s="829">
        <f t="shared" si="414"/>
        <v>39.269049409168687</v>
      </c>
      <c r="AK767" s="827" t="str">
        <f t="shared" si="415"/>
        <v>Inmadura</v>
      </c>
      <c r="AL767" s="784" t="str">
        <f t="shared" si="416"/>
        <v>Alta</v>
      </c>
      <c r="AM767" s="799">
        <f>IF(ISNUMBER('Base de datos Rutas'!W765),'Base de datos Rutas'!W765,"")</f>
        <v>3020.0889828698755</v>
      </c>
      <c r="AN767" s="787">
        <f>IFERROR(SUMIFS('Base de datos Rutas'!$W$6:$W$794,'Base de datos Rutas'!$C$6:$C$794,$C767)/'Base de datos Rutas'!I765,"")</f>
        <v>3020.0889828698751</v>
      </c>
      <c r="AO767" s="800">
        <f>IFERROR('Base de datos Rutas'!X765*AN767/AM767,"")</f>
        <v>0.56786621596329401</v>
      </c>
      <c r="AP767" s="800">
        <f t="shared" si="417"/>
        <v>0.43213378403670599</v>
      </c>
      <c r="AQ767" s="789">
        <f>IFERROR(INDEX('Hoja de apoyo v2'!$J$17:$J$20,MATCH($A767,'Hoja de apoyo v2'!$A$17:$A$20,0)),"")</f>
        <v>0.50577184527496444</v>
      </c>
      <c r="AR767" s="789">
        <f t="shared" si="418"/>
        <v>-7.3638061238258445E-2</v>
      </c>
      <c r="AS767" s="784" t="str">
        <f t="shared" si="419"/>
        <v>No</v>
      </c>
      <c r="AT767" s="801">
        <f>IF(ISNUMBER('Base de datos Rutas'!CK765),'Base de datos Rutas'!CK765,"")</f>
        <v>246</v>
      </c>
      <c r="AU767" s="802">
        <f>IF(ISNUMBER('Base de datos Rutas'!CL765),'Base de datos Rutas'!CL765,"")</f>
        <v>246</v>
      </c>
      <c r="AV767" s="802">
        <f>IF(ISNUMBER('Base de datos Rutas'!CM765),'Base de datos Rutas'!CM765,"")</f>
        <v>0</v>
      </c>
      <c r="AW767" s="802">
        <f>IF(ISNUMBER('Base de datos Rutas'!CN765),'Base de datos Rutas'!CN765,"")</f>
        <v>16.05</v>
      </c>
      <c r="AX767" s="802">
        <f>IF(ISNUMBER('Base de datos Rutas'!CO765),'Base de datos Rutas'!CO765,"")</f>
        <v>9.4499999999999993</v>
      </c>
      <c r="AY767" s="802">
        <f>IF(ISNUMBER('Base de datos Rutas'!CP765),'Base de datos Rutas'!CP765,"")</f>
        <v>-6.6000000000000014</v>
      </c>
      <c r="AZ767" s="802">
        <f>IF(ISNUMBER('Base de datos Rutas'!CQ765),'Base de datos Rutas'!CQ765,"")</f>
        <v>423.28</v>
      </c>
      <c r="BA767" s="802">
        <f>IF(ISNUMBER('Base de datos Rutas'!CR765),'Base de datos Rutas'!CR765,"")</f>
        <v>429.44</v>
      </c>
      <c r="BB767" s="803">
        <f>IF(ISNUMBER('Base de datos Rutas'!CS765),'Base de datos Rutas'!CS765,"")</f>
        <v>-6.160000000000025</v>
      </c>
      <c r="BC767" s="804">
        <f t="shared" si="429"/>
        <v>3</v>
      </c>
      <c r="BD767" s="805" t="str">
        <f t="shared" si="430"/>
        <v>Saturada</v>
      </c>
      <c r="BE767" s="806">
        <f t="shared" si="431"/>
        <v>1.0145530145530146</v>
      </c>
      <c r="BF767" s="890">
        <f>IF(ISNUMBER('Base de datos Rutas'!CX765),'Base de datos Rutas'!CX765/100,"")</f>
        <v>0.49937369519832986</v>
      </c>
      <c r="BG767" s="891">
        <f>IF(ISNUMBER('Base de datos Rutas'!CZ765),'Base de datos Rutas'!CZ765/100,"")</f>
        <v>0.49937369519832986</v>
      </c>
      <c r="BH767" s="892">
        <f>IF(ISNUMBER('Base de datos Rutas'!DA765),'Base de datos Rutas'!DA765,"")</f>
        <v>98.861634655532356</v>
      </c>
      <c r="BI767" s="893">
        <f>IF(ISNUMBER('Base de datos Rutas'!DC765),'Base de datos Rutas'!DC765,"")</f>
        <v>4.9695490605427972</v>
      </c>
      <c r="BJ767" s="805" t="str">
        <f t="shared" si="432"/>
        <v>Ruta (completo)</v>
      </c>
      <c r="BK767" s="783">
        <f t="shared" si="420"/>
        <v>4</v>
      </c>
      <c r="BL767" s="797">
        <f t="shared" si="421"/>
        <v>4</v>
      </c>
      <c r="BM767" s="797">
        <f t="shared" si="422"/>
        <v>2</v>
      </c>
      <c r="BN767" s="797">
        <f t="shared" si="423"/>
        <v>2</v>
      </c>
      <c r="BO767" s="798" cm="1">
        <f t="array" ref="BO767">SUMPRODUCT(--ISNUMBER($BF767:$BI767),$BK$3:$BN$3)</f>
        <v>1</v>
      </c>
      <c r="BP767" s="831">
        <f t="shared" si="433"/>
        <v>50</v>
      </c>
      <c r="BQ767" s="834" t="str">
        <f t="shared" si="434"/>
        <v>Alto</v>
      </c>
      <c r="BR767" s="836">
        <f t="shared" si="424"/>
        <v>54.451787056876512</v>
      </c>
      <c r="BS767" s="836">
        <f t="shared" si="425"/>
        <v>50</v>
      </c>
      <c r="BT767" s="837" t="str">
        <f t="shared" si="426"/>
        <v>P1</v>
      </c>
      <c r="BU767" s="807" t="str">
        <f t="shared" si="435"/>
        <v>Al tope</v>
      </c>
      <c r="BV767" s="807" t="str">
        <f t="shared" si="427"/>
        <v>Zona atractiva</v>
      </c>
      <c r="BW767" s="808" t="str">
        <f t="shared" si="428"/>
        <v>P1 - Ampliar cobertura</v>
      </c>
    </row>
    <row r="768" spans="1:75">
      <c r="A768" s="780" t="str">
        <f>'Base de datos Rutas'!A766</f>
        <v>Pacifico</v>
      </c>
      <c r="B768" s="781" t="str">
        <f>'Base de datos Rutas'!B766</f>
        <v>La Paz</v>
      </c>
      <c r="C768" s="781" t="str">
        <f>'Base de datos Rutas'!C766</f>
        <v>Planta La Paz</v>
      </c>
      <c r="D768" s="782">
        <f>IF(ISNUMBER('Base de datos Rutas'!D766),'Base de datos Rutas'!D766,"Sin código")</f>
        <v>506308</v>
      </c>
      <c r="E768" s="783" t="str">
        <f>'Base de datos Rutas'!F766</f>
        <v>Activa</v>
      </c>
      <c r="F768" s="784" t="str">
        <f>'Base de datos Rutas'!H766</f>
        <v>Sí</v>
      </c>
      <c r="G768" s="785">
        <f>IF(ISNUMBER('Base de datos Rutas'!BE766),'Base de datos Rutas'!BE766,"")</f>
        <v>33.552511415525103</v>
      </c>
      <c r="H768" s="786">
        <f>IF(ISNUMBER('Base de datos Rutas'!BH766),'Base de datos Rutas'!BH766,"")</f>
        <v>0.77293140990745801</v>
      </c>
      <c r="I768" s="788">
        <f>IFERROR(IF(OR(NOT(ISNUMBER('Base de datos Rutas'!O766)),N('Base de datos Rutas'!BK766)=0),"",'Base de datos Rutas'!O766/('Base de datos Rutas'!L766/'Base de datos Rutas'!BK766)),"")</f>
        <v>1246.4566210045657</v>
      </c>
      <c r="J768" s="788">
        <f>IFERROR(IF(OR(NOT(ISNUMBER('Base de datos Rutas'!N766)),N('Base de datos Rutas'!BK766)=0),"",'Base de datos Rutas'!N766/('Base de datos Rutas'!L766/'Base de datos Rutas'!BK766)),"")</f>
        <v>6831.0821917808189</v>
      </c>
      <c r="K768" s="788">
        <f>IFERROR(IF(OR(NOT(ISNUMBER('Base de datos Rutas'!J766)),N('Base de datos Rutas'!BK766)=0),"",'Base de datos Rutas'!J766/('Base de datos Rutas'!L766/'Base de datos Rutas'!BK766)),"")</f>
        <v>448.10879086757978</v>
      </c>
      <c r="L768" s="788">
        <f>IFERROR(IF(OR(NOT(ISNUMBER('Base de datos Rutas'!K766)),N('Base de datos Rutas'!BK766)=0),"",'Base de datos Rutas'!K766/('Base de datos Rutas'!L766/'Base de datos Rutas'!BK766)),"")</f>
        <v>9.1175800502283071</v>
      </c>
      <c r="M768" s="787">
        <f>IF(ISNUMBER('Base de datos Rutas'!AX766),'Base de datos Rutas'!AX766,"")</f>
        <v>311.46760718373099</v>
      </c>
      <c r="N768" s="790">
        <f>IFERROR(INDEX('Hoja de apoyo v2'!B$17:B$20,MATCH($A768,'Hoja de apoyo v2'!$A$17:$A$20,0)),"")</f>
        <v>48.509140196922353</v>
      </c>
      <c r="O768" s="791">
        <f>IFERROR(INDEX('Hoja de apoyo v2'!C$17:C$20,MATCH($A768,'Hoja de apoyo v2'!$A$17:$A$20,0)),"")</f>
        <v>0.66965083735281605</v>
      </c>
      <c r="P768" s="793">
        <f>IFERROR(INDEX('Hoja de apoyo v2'!D$17:D$20,MATCH($A768,'Hoja de apoyo v2'!$A$17:$A$20,0)),"")</f>
        <v>5938.874134119359</v>
      </c>
      <c r="Q768" s="793">
        <f>IFERROR(INDEX('Hoja de apoyo v2'!E$17:E$20,MATCH($A768,'Hoja de apoyo v2'!$A$17:$A$20,0)),"")</f>
        <v>4160.5938481536259</v>
      </c>
      <c r="R768" s="793">
        <f>IFERROR(INDEX('Hoja de apoyo v2'!F$17:F$20,MATCH($A768,'Hoja de apoyo v2'!$A$17:$A$20,0)),"")</f>
        <v>261.11067511683507</v>
      </c>
      <c r="S768" s="793">
        <f>IFERROR(INDEX('Hoja de apoyo v2'!G$17:G$20,MATCH($A768,'Hoja de apoyo v2'!$A$17:$A$20,0)),"")</f>
        <v>47.352224855431231</v>
      </c>
      <c r="T768" s="792">
        <f>IFERROR(INDEX('Hoja de apoyo v2'!H$17:H$20,MATCH($A768,'Hoja de apoyo v2'!$A$17:$A$20,0)),"")</f>
        <v>492.72230557971551</v>
      </c>
      <c r="U768" s="794">
        <f t="shared" si="400"/>
        <v>0.69167400781211608</v>
      </c>
      <c r="V768" s="795">
        <f t="shared" si="401"/>
        <v>1.1542304836994133</v>
      </c>
      <c r="W768" s="795">
        <f t="shared" si="402"/>
        <v>0.20988096276423199</v>
      </c>
      <c r="X768" s="843">
        <f t="shared" si="403"/>
        <v>1.6418526876427251</v>
      </c>
      <c r="Y768" s="843">
        <f t="shared" si="404"/>
        <v>1.7161641923183402</v>
      </c>
      <c r="Z768" s="843">
        <f t="shared" si="405"/>
        <v>0.19254808149067432</v>
      </c>
      <c r="AA768" s="843">
        <f t="shared" si="406"/>
        <v>0.63213620259645409</v>
      </c>
      <c r="AB768" s="796">
        <f t="shared" si="407"/>
        <v>2</v>
      </c>
      <c r="AC768" s="797">
        <f t="shared" si="408"/>
        <v>4</v>
      </c>
      <c r="AD768" s="797">
        <f t="shared" si="409"/>
        <v>1</v>
      </c>
      <c r="AE768" s="842">
        <f t="shared" si="410"/>
        <v>5</v>
      </c>
      <c r="AF768" s="842">
        <f t="shared" si="411"/>
        <v>5</v>
      </c>
      <c r="AG768" s="842">
        <f t="shared" si="412"/>
        <v>1</v>
      </c>
      <c r="AH768" s="842">
        <f t="shared" si="413"/>
        <v>2</v>
      </c>
      <c r="AI768" s="826" cm="1">
        <f t="array" ref="AI768">SUMPRODUCT(--ISNUMBER($U768:$AA768),$AB$3:$AH$3)</f>
        <v>1</v>
      </c>
      <c r="AJ768" s="829">
        <f t="shared" si="414"/>
        <v>39.269049409168687</v>
      </c>
      <c r="AK768" s="827" t="str">
        <f t="shared" si="415"/>
        <v>Inmadura</v>
      </c>
      <c r="AL768" s="784" t="str">
        <f t="shared" si="416"/>
        <v>Alta</v>
      </c>
      <c r="AM768" s="799">
        <f>IF(ISNUMBER('Base de datos Rutas'!W766),'Base de datos Rutas'!W766,"")</f>
        <v>3020.0889828698755</v>
      </c>
      <c r="AN768" s="787">
        <f>IFERROR(SUMIFS('Base de datos Rutas'!$W$6:$W$794,'Base de datos Rutas'!$C$6:$C$794,$C768)/'Base de datos Rutas'!I766,"")</f>
        <v>3020.0889828698751</v>
      </c>
      <c r="AO768" s="800">
        <f>IFERROR('Base de datos Rutas'!X766*AN768/AM768,"")</f>
        <v>0.56786621596329401</v>
      </c>
      <c r="AP768" s="800">
        <f t="shared" si="417"/>
        <v>0.43213378403670599</v>
      </c>
      <c r="AQ768" s="789">
        <f>IFERROR(INDEX('Hoja de apoyo v2'!$J$17:$J$20,MATCH($A768,'Hoja de apoyo v2'!$A$17:$A$20,0)),"")</f>
        <v>0.50577184527496444</v>
      </c>
      <c r="AR768" s="789">
        <f t="shared" si="418"/>
        <v>-7.3638061238258445E-2</v>
      </c>
      <c r="AS768" s="784" t="str">
        <f t="shared" si="419"/>
        <v>No</v>
      </c>
      <c r="AT768" s="801">
        <f>IF(ISNUMBER('Base de datos Rutas'!CK766),'Base de datos Rutas'!CK766,"")</f>
        <v>245</v>
      </c>
      <c r="AU768" s="802">
        <f>IF(ISNUMBER('Base de datos Rutas'!CL766),'Base de datos Rutas'!CL766,"")</f>
        <v>266.31</v>
      </c>
      <c r="AV768" s="802">
        <f>IF(ISNUMBER('Base de datos Rutas'!CM766),'Base de datos Rutas'!CM766,"")</f>
        <v>21.310000000000002</v>
      </c>
      <c r="AW768" s="802">
        <f>IF(ISNUMBER('Base de datos Rutas'!CN766),'Base de datos Rutas'!CN766,"")</f>
        <v>12.82</v>
      </c>
      <c r="AX768" s="802">
        <f>IF(ISNUMBER('Base de datos Rutas'!CO766),'Base de datos Rutas'!CO766,"")</f>
        <v>9.4499999999999993</v>
      </c>
      <c r="AY768" s="802">
        <f>IF(ISNUMBER('Base de datos Rutas'!CP766),'Base de datos Rutas'!CP766,"")</f>
        <v>-3.370000000000001</v>
      </c>
      <c r="AZ768" s="802">
        <f>IF(ISNUMBER('Base de datos Rutas'!CQ766),'Base de datos Rutas'!CQ766,"")</f>
        <v>846.56</v>
      </c>
      <c r="BA768" s="802">
        <f>IF(ISNUMBER('Base de datos Rutas'!CR766),'Base de datos Rutas'!CR766,"")</f>
        <v>457.23</v>
      </c>
      <c r="BB768" s="803">
        <f>IF(ISNUMBER('Base de datos Rutas'!CS766),'Base de datos Rutas'!CS766,"")</f>
        <v>389.32999999999993</v>
      </c>
      <c r="BC768" s="804">
        <f t="shared" si="429"/>
        <v>1</v>
      </c>
      <c r="BD768" s="805" t="str">
        <f t="shared" si="430"/>
        <v>Saturada</v>
      </c>
      <c r="BE768" s="806">
        <f t="shared" si="431"/>
        <v>0.54010347760347766</v>
      </c>
      <c r="BF768" s="890">
        <f>IF(ISNUMBER('Base de datos Rutas'!CX766),'Base de datos Rutas'!CX766/100,"")</f>
        <v>0.25861878453038672</v>
      </c>
      <c r="BG768" s="891">
        <f>IF(ISNUMBER('Base de datos Rutas'!CZ766),'Base de datos Rutas'!CZ766/100,"")</f>
        <v>0.26102153568609765</v>
      </c>
      <c r="BH768" s="892">
        <f>IF(ISNUMBER('Base de datos Rutas'!DA766),'Base de datos Rutas'!DA766,"")</f>
        <v>65.525318014782385</v>
      </c>
      <c r="BI768" s="893">
        <f>IF(ISNUMBER('Base de datos Rutas'!DC766),'Base de datos Rutas'!DC766,"")</f>
        <v>3.2281573983359411</v>
      </c>
      <c r="BJ768" s="805" t="str">
        <f t="shared" si="432"/>
        <v>Ruta (completo)</v>
      </c>
      <c r="BK768" s="783">
        <f t="shared" si="420"/>
        <v>2</v>
      </c>
      <c r="BL768" s="797">
        <f t="shared" si="421"/>
        <v>2</v>
      </c>
      <c r="BM768" s="797">
        <f t="shared" si="422"/>
        <v>2</v>
      </c>
      <c r="BN768" s="797">
        <f t="shared" si="423"/>
        <v>2</v>
      </c>
      <c r="BO768" s="798" cm="1">
        <f t="array" ref="BO768">SUMPRODUCT(--ISNUMBER($BF768:$BI768),$BK$3:$BN$3)</f>
        <v>1</v>
      </c>
      <c r="BP768" s="831">
        <f t="shared" si="433"/>
        <v>25</v>
      </c>
      <c r="BQ768" s="834" t="str">
        <f t="shared" si="434"/>
        <v>Medio</v>
      </c>
      <c r="BR768" s="836">
        <f t="shared" si="424"/>
        <v>54.451787056876512</v>
      </c>
      <c r="BS768" s="836">
        <f t="shared" si="425"/>
        <v>25</v>
      </c>
      <c r="BT768" s="837" t="str">
        <f t="shared" si="426"/>
        <v>P2</v>
      </c>
      <c r="BU768" s="807" t="str">
        <f t="shared" si="435"/>
        <v>Al tope</v>
      </c>
      <c r="BV768" s="807" t="str">
        <f t="shared" si="427"/>
        <v>Zona de bajo potencial</v>
      </c>
      <c r="BW768" s="808" t="str">
        <f t="shared" si="428"/>
        <v>P2 - Mantener</v>
      </c>
    </row>
    <row r="769" spans="1:75">
      <c r="A769" s="780" t="str">
        <f>'Base de datos Rutas'!A767</f>
        <v>Pacifico</v>
      </c>
      <c r="B769" s="781" t="str">
        <f>'Base de datos Rutas'!B767</f>
        <v>La Paz</v>
      </c>
      <c r="C769" s="781" t="str">
        <f>'Base de datos Rutas'!C767</f>
        <v>Planta La Paz</v>
      </c>
      <c r="D769" s="782">
        <f>IF(ISNUMBER('Base de datos Rutas'!D767),'Base de datos Rutas'!D767,"Sin código")</f>
        <v>506309</v>
      </c>
      <c r="E769" s="783" t="str">
        <f>'Base de datos Rutas'!F767</f>
        <v>Activa</v>
      </c>
      <c r="F769" s="784" t="str">
        <f>'Base de datos Rutas'!H767</f>
        <v>Sí</v>
      </c>
      <c r="G769" s="785">
        <f>IF(ISNUMBER('Base de datos Rutas'!BE767),'Base de datos Rutas'!BE767,"")</f>
        <v>10.695652173913</v>
      </c>
      <c r="H769" s="786">
        <f>IF(ISNUMBER('Base de datos Rutas'!BH767),'Base de datos Rutas'!BH767,"")</f>
        <v>0.37804878048780499</v>
      </c>
      <c r="I769" s="788">
        <f>IFERROR(IF(OR(NOT(ISNUMBER('Base de datos Rutas'!O767)),N('Base de datos Rutas'!BK767)=0),"",'Base de datos Rutas'!O767/('Base de datos Rutas'!L767/'Base de datos Rutas'!BK767)),"")</f>
        <v>3803.6808510638275</v>
      </c>
      <c r="J769" s="788">
        <f>IFERROR(IF(OR(NOT(ISNUMBER('Base de datos Rutas'!N767)),N('Base de datos Rutas'!BK767)=0),"",'Base de datos Rutas'!N767/('Base de datos Rutas'!L767/'Base de datos Rutas'!BK767)),"")</f>
        <v>397.95744680851038</v>
      </c>
      <c r="K769" s="788">
        <f>IFERROR(IF(OR(NOT(ISNUMBER('Base de datos Rutas'!J767)),N('Base de datos Rutas'!BK767)=0),"",'Base de datos Rutas'!J767/('Base de datos Rutas'!L767/'Base de datos Rutas'!BK767)),"")</f>
        <v>26.30558297872339</v>
      </c>
      <c r="L769" s="788">
        <f>IFERROR(IF(OR(NOT(ISNUMBER('Base de datos Rutas'!K767)),N('Base de datos Rutas'!BK767)=0),"",'Base de datos Rutas'!K767/('Base de datos Rutas'!L767/'Base de datos Rutas'!BK767)),"")</f>
        <v>34.488057829787216</v>
      </c>
      <c r="M769" s="787">
        <f>IF(ISNUMBER('Base de datos Rutas'!AX767),'Base de datos Rutas'!AX767,"")</f>
        <v>944.87583732057396</v>
      </c>
      <c r="N769" s="790">
        <f>IFERROR(INDEX('Hoja de apoyo v2'!B$17:B$20,MATCH($A769,'Hoja de apoyo v2'!$A$17:$A$20,0)),"")</f>
        <v>48.509140196922353</v>
      </c>
      <c r="O769" s="791">
        <f>IFERROR(INDEX('Hoja de apoyo v2'!C$17:C$20,MATCH($A769,'Hoja de apoyo v2'!$A$17:$A$20,0)),"")</f>
        <v>0.66965083735281605</v>
      </c>
      <c r="P769" s="793">
        <f>IFERROR(INDEX('Hoja de apoyo v2'!D$17:D$20,MATCH($A769,'Hoja de apoyo v2'!$A$17:$A$20,0)),"")</f>
        <v>5938.874134119359</v>
      </c>
      <c r="Q769" s="793">
        <f>IFERROR(INDEX('Hoja de apoyo v2'!E$17:E$20,MATCH($A769,'Hoja de apoyo v2'!$A$17:$A$20,0)),"")</f>
        <v>4160.5938481536259</v>
      </c>
      <c r="R769" s="793">
        <f>IFERROR(INDEX('Hoja de apoyo v2'!F$17:F$20,MATCH($A769,'Hoja de apoyo v2'!$A$17:$A$20,0)),"")</f>
        <v>261.11067511683507</v>
      </c>
      <c r="S769" s="793">
        <f>IFERROR(INDEX('Hoja de apoyo v2'!G$17:G$20,MATCH($A769,'Hoja de apoyo v2'!$A$17:$A$20,0)),"")</f>
        <v>47.352224855431231</v>
      </c>
      <c r="T769" s="792">
        <f>IFERROR(INDEX('Hoja de apoyo v2'!H$17:H$20,MATCH($A769,'Hoja de apoyo v2'!$A$17:$A$20,0)),"")</f>
        <v>492.72230557971551</v>
      </c>
      <c r="U769" s="794">
        <f t="shared" si="400"/>
        <v>0.22048735826885638</v>
      </c>
      <c r="V769" s="795">
        <f t="shared" si="401"/>
        <v>0.56454611776827224</v>
      </c>
      <c r="W769" s="795">
        <f t="shared" si="402"/>
        <v>0.64047170644875995</v>
      </c>
      <c r="X769" s="843">
        <f t="shared" si="403"/>
        <v>9.5649193680636374E-2</v>
      </c>
      <c r="Y769" s="843">
        <f t="shared" si="404"/>
        <v>0.10074495409639168</v>
      </c>
      <c r="Z769" s="843">
        <f t="shared" si="405"/>
        <v>0.72833025132569851</v>
      </c>
      <c r="AA769" s="843">
        <f t="shared" si="406"/>
        <v>1.9176640201195567</v>
      </c>
      <c r="AB769" s="796">
        <f t="shared" si="407"/>
        <v>1</v>
      </c>
      <c r="AC769" s="797">
        <f t="shared" si="408"/>
        <v>2</v>
      </c>
      <c r="AD769" s="797">
        <f t="shared" si="409"/>
        <v>2</v>
      </c>
      <c r="AE769" s="842">
        <f t="shared" si="410"/>
        <v>1</v>
      </c>
      <c r="AF769" s="842">
        <f t="shared" si="411"/>
        <v>1</v>
      </c>
      <c r="AG769" s="842">
        <f t="shared" si="412"/>
        <v>2</v>
      </c>
      <c r="AH769" s="842">
        <f t="shared" si="413"/>
        <v>5</v>
      </c>
      <c r="AI769" s="826" cm="1">
        <f t="array" ref="AI769">SUMPRODUCT(--ISNUMBER($U769:$AA769),$AB$3:$AH$3)</f>
        <v>1</v>
      </c>
      <c r="AJ769" s="829">
        <f t="shared" si="414"/>
        <v>20.865055184584456</v>
      </c>
      <c r="AK769" s="827" t="str">
        <f t="shared" si="415"/>
        <v>Inmadura</v>
      </c>
      <c r="AL769" s="784" t="str">
        <f t="shared" si="416"/>
        <v>Alta</v>
      </c>
      <c r="AM769" s="799">
        <f>IF(ISNUMBER('Base de datos Rutas'!W767),'Base de datos Rutas'!W767,"")</f>
        <v>3020.0889828698755</v>
      </c>
      <c r="AN769" s="787">
        <f>IFERROR(SUMIFS('Base de datos Rutas'!$W$6:$W$794,'Base de datos Rutas'!$C$6:$C$794,$C769)/'Base de datos Rutas'!I767,"")</f>
        <v>3020.0889828698751</v>
      </c>
      <c r="AO769" s="800">
        <f>IFERROR('Base de datos Rutas'!X767*AN769/AM769,"")</f>
        <v>0.56786621596329401</v>
      </c>
      <c r="AP769" s="800">
        <f t="shared" si="417"/>
        <v>0.43213378403670599</v>
      </c>
      <c r="AQ769" s="789">
        <f>IFERROR(INDEX('Hoja de apoyo v2'!$J$17:$J$20,MATCH($A769,'Hoja de apoyo v2'!$A$17:$A$20,0)),"")</f>
        <v>0.50577184527496444</v>
      </c>
      <c r="AR769" s="789">
        <f t="shared" si="418"/>
        <v>-7.3638061238258445E-2</v>
      </c>
      <c r="AS769" s="784" t="str">
        <f t="shared" si="419"/>
        <v>No</v>
      </c>
      <c r="AT769" s="801" t="str">
        <f>IF(ISNUMBER('Base de datos Rutas'!CK767),'Base de datos Rutas'!CK767,"")</f>
        <v/>
      </c>
      <c r="AU769" s="802" t="str">
        <f>IF(ISNUMBER('Base de datos Rutas'!CL767),'Base de datos Rutas'!CL767,"")</f>
        <v/>
      </c>
      <c r="AV769" s="802">
        <f>IF(ISNUMBER('Base de datos Rutas'!CM767),'Base de datos Rutas'!CM767,"")</f>
        <v>0</v>
      </c>
      <c r="AW769" s="802" t="str">
        <f>IF(ISNUMBER('Base de datos Rutas'!CN767),'Base de datos Rutas'!CN767,"")</f>
        <v/>
      </c>
      <c r="AX769" s="802" t="str">
        <f>IF(ISNUMBER('Base de datos Rutas'!CO767),'Base de datos Rutas'!CO767,"")</f>
        <v/>
      </c>
      <c r="AY769" s="802">
        <f>IF(ISNUMBER('Base de datos Rutas'!CP767),'Base de datos Rutas'!CP767,"")</f>
        <v>0</v>
      </c>
      <c r="AZ769" s="802" t="str">
        <f>IF(ISNUMBER('Base de datos Rutas'!CQ767),'Base de datos Rutas'!CQ767,"")</f>
        <v/>
      </c>
      <c r="BA769" s="802" t="str">
        <f>IF(ISNUMBER('Base de datos Rutas'!CR767),'Base de datos Rutas'!CR767,"")</f>
        <v/>
      </c>
      <c r="BB769" s="803">
        <f>IF(ISNUMBER('Base de datos Rutas'!CS767),'Base de datos Rutas'!CS767,"")</f>
        <v>0</v>
      </c>
      <c r="BC769" s="804" t="str">
        <f t="shared" si="429"/>
        <v/>
      </c>
      <c r="BD769" s="805" t="str">
        <f t="shared" si="430"/>
        <v>N/D</v>
      </c>
      <c r="BE769" s="806" t="str">
        <f t="shared" si="431"/>
        <v/>
      </c>
      <c r="BF769" s="890" t="str">
        <f>IF(ISNUMBER('Base de datos Rutas'!CX767),'Base de datos Rutas'!CX767/100,"")</f>
        <v/>
      </c>
      <c r="BG769" s="891" t="str">
        <f>IF(ISNUMBER('Base de datos Rutas'!CZ767),'Base de datos Rutas'!CZ767/100,"")</f>
        <v/>
      </c>
      <c r="BH769" s="892" t="str">
        <f>IF(ISNUMBER('Base de datos Rutas'!DA767),'Base de datos Rutas'!DA767,"")</f>
        <v/>
      </c>
      <c r="BI769" s="893" t="str">
        <f>IF(ISNUMBER('Base de datos Rutas'!DC767),'Base de datos Rutas'!DC767,"")</f>
        <v/>
      </c>
      <c r="BJ769" s="805" t="str">
        <f t="shared" si="432"/>
        <v>Sin dato</v>
      </c>
      <c r="BK769" s="783">
        <f t="shared" si="420"/>
        <v>0</v>
      </c>
      <c r="BL769" s="797">
        <f t="shared" si="421"/>
        <v>0</v>
      </c>
      <c r="BM769" s="797">
        <f t="shared" si="422"/>
        <v>0</v>
      </c>
      <c r="BN769" s="797">
        <f t="shared" si="423"/>
        <v>0</v>
      </c>
      <c r="BO769" s="798" cm="1">
        <f t="array" ref="BO769">SUMPRODUCT(--ISNUMBER($BF769:$BI769),$BK$3:$BN$3)</f>
        <v>0</v>
      </c>
      <c r="BP769" s="831" t="str">
        <f t="shared" si="433"/>
        <v/>
      </c>
      <c r="BQ769" s="834" t="str">
        <f t="shared" si="434"/>
        <v>Sin datos</v>
      </c>
      <c r="BR769" s="836" t="str">
        <f t="shared" si="424"/>
        <v/>
      </c>
      <c r="BS769" s="836" t="str">
        <f t="shared" si="425"/>
        <v/>
      </c>
      <c r="BT769" s="837" t="str">
        <f t="shared" si="426"/>
        <v>Sin datos</v>
      </c>
      <c r="BU769" s="807" t="str">
        <f t="shared" si="435"/>
        <v>Con espacio</v>
      </c>
      <c r="BV769" s="807" t="str">
        <f t="shared" si="427"/>
        <v>Sin datos de zona</v>
      </c>
      <c r="BW769" s="808" t="str">
        <f t="shared" si="428"/>
        <v>Sin datos</v>
      </c>
    </row>
    <row r="770" spans="1:75">
      <c r="A770" s="780" t="str">
        <f>'Base de datos Rutas'!A768</f>
        <v>Pacifico</v>
      </c>
      <c r="B770" s="781" t="str">
        <f>'Base de datos Rutas'!B768</f>
        <v>La Paz</v>
      </c>
      <c r="C770" s="781" t="str">
        <f>'Base de datos Rutas'!C768</f>
        <v>Suc. Cabo San Lucas</v>
      </c>
      <c r="D770" s="782">
        <f>IF(ISNUMBER('Base de datos Rutas'!D768),'Base de datos Rutas'!D768,"Sin código")</f>
        <v>507300</v>
      </c>
      <c r="E770" s="783" t="str">
        <f>'Base de datos Rutas'!F768</f>
        <v>Activa</v>
      </c>
      <c r="F770" s="784" t="str">
        <f>'Base de datos Rutas'!H768</f>
        <v>Sí</v>
      </c>
      <c r="G770" s="785">
        <f>IF(ISNUMBER('Base de datos Rutas'!BE768),'Base de datos Rutas'!BE768,"")</f>
        <v>34.094470046083003</v>
      </c>
      <c r="H770" s="786">
        <f>IF(ISNUMBER('Base de datos Rutas'!BH768),'Base de datos Rutas'!BH768,"")</f>
        <v>0.48847739406636498</v>
      </c>
      <c r="I770" s="788">
        <f>IFERROR(IF(OR(NOT(ISNUMBER('Base de datos Rutas'!O768)),N('Base de datos Rutas'!BK768)=0),"",'Base de datos Rutas'!O768/('Base de datos Rutas'!L768/'Base de datos Rutas'!BK768)),"")</f>
        <v>1411.1728110599072</v>
      </c>
      <c r="J770" s="788">
        <f>IFERROR(IF(OR(NOT(ISNUMBER('Base de datos Rutas'!N768)),N('Base de datos Rutas'!BK768)=0),"",'Base de datos Rutas'!N768/('Base de datos Rutas'!L768/'Base de datos Rutas'!BK768)),"")</f>
        <v>9970.3410138248801</v>
      </c>
      <c r="K770" s="788">
        <f>IFERROR(IF(OR(NOT(ISNUMBER('Base de datos Rutas'!J768)),N('Base de datos Rutas'!BK768)=0),"",'Base de datos Rutas'!J768/('Base de datos Rutas'!L768/'Base de datos Rutas'!BK768)),"")</f>
        <v>647.00969032258035</v>
      </c>
      <c r="L770" s="788">
        <f>IFERROR(IF(OR(NOT(ISNUMBER('Base de datos Rutas'!K768)),N('Base de datos Rutas'!BK768)=0),"",'Base de datos Rutas'!K768/('Base de datos Rutas'!L768/'Base de datos Rutas'!BK768)),"")</f>
        <v>11.720858792626725</v>
      </c>
      <c r="M770" s="787">
        <f>IF(ISNUMBER('Base de datos Rutas'!AX768),'Base de datos Rutas'!AX768,"")</f>
        <v>678.05433176535701</v>
      </c>
      <c r="N770" s="790">
        <f>IFERROR(INDEX('Hoja de apoyo v2'!B$17:B$20,MATCH($A770,'Hoja de apoyo v2'!$A$17:$A$20,0)),"")</f>
        <v>48.509140196922353</v>
      </c>
      <c r="O770" s="791">
        <f>IFERROR(INDEX('Hoja de apoyo v2'!C$17:C$20,MATCH($A770,'Hoja de apoyo v2'!$A$17:$A$20,0)),"")</f>
        <v>0.66965083735281605</v>
      </c>
      <c r="P770" s="793">
        <f>IFERROR(INDEX('Hoja de apoyo v2'!D$17:D$20,MATCH($A770,'Hoja de apoyo v2'!$A$17:$A$20,0)),"")</f>
        <v>5938.874134119359</v>
      </c>
      <c r="Q770" s="793">
        <f>IFERROR(INDEX('Hoja de apoyo v2'!E$17:E$20,MATCH($A770,'Hoja de apoyo v2'!$A$17:$A$20,0)),"")</f>
        <v>4160.5938481536259</v>
      </c>
      <c r="R770" s="793">
        <f>IFERROR(INDEX('Hoja de apoyo v2'!F$17:F$20,MATCH($A770,'Hoja de apoyo v2'!$A$17:$A$20,0)),"")</f>
        <v>261.11067511683507</v>
      </c>
      <c r="S770" s="793">
        <f>IFERROR(INDEX('Hoja de apoyo v2'!G$17:G$20,MATCH($A770,'Hoja de apoyo v2'!$A$17:$A$20,0)),"")</f>
        <v>47.352224855431231</v>
      </c>
      <c r="T770" s="792">
        <f>IFERROR(INDEX('Hoja de apoyo v2'!H$17:H$20,MATCH($A770,'Hoja de apoyo v2'!$A$17:$A$20,0)),"")</f>
        <v>492.72230557971551</v>
      </c>
      <c r="U770" s="794">
        <f t="shared" si="400"/>
        <v>0.70284630706041906</v>
      </c>
      <c r="V770" s="795">
        <f t="shared" si="401"/>
        <v>0.72945088219012111</v>
      </c>
      <c r="W770" s="795">
        <f t="shared" si="402"/>
        <v>0.23761621802230057</v>
      </c>
      <c r="X770" s="843">
        <f t="shared" si="403"/>
        <v>2.39637450270458</v>
      </c>
      <c r="Y770" s="843">
        <f t="shared" si="404"/>
        <v>2.4779135898334035</v>
      </c>
      <c r="Z770" s="843">
        <f t="shared" si="405"/>
        <v>0.24752498596235145</v>
      </c>
      <c r="AA770" s="843">
        <f t="shared" si="406"/>
        <v>1.3761389003235565</v>
      </c>
      <c r="AB770" s="796">
        <f t="shared" si="407"/>
        <v>2</v>
      </c>
      <c r="AC770" s="797">
        <f t="shared" si="408"/>
        <v>2</v>
      </c>
      <c r="AD770" s="797">
        <f t="shared" si="409"/>
        <v>1</v>
      </c>
      <c r="AE770" s="842">
        <f t="shared" si="410"/>
        <v>5</v>
      </c>
      <c r="AF770" s="842">
        <f t="shared" si="411"/>
        <v>5</v>
      </c>
      <c r="AG770" s="842">
        <f t="shared" si="412"/>
        <v>1</v>
      </c>
      <c r="AH770" s="842">
        <f t="shared" si="413"/>
        <v>5</v>
      </c>
      <c r="AI770" s="826" cm="1">
        <f t="array" ref="AI770">SUMPRODUCT(--ISNUMBER($U770:$AA770),$AB$3:$AH$3)</f>
        <v>1</v>
      </c>
      <c r="AJ770" s="829">
        <f t="shared" si="414"/>
        <v>41.237421758367418</v>
      </c>
      <c r="AK770" s="827" t="str">
        <f t="shared" si="415"/>
        <v>Inmadura</v>
      </c>
      <c r="AL770" s="784" t="str">
        <f t="shared" si="416"/>
        <v>Alta</v>
      </c>
      <c r="AM770" s="799">
        <f>IF(ISNUMBER('Base de datos Rutas'!W768),'Base de datos Rutas'!W768,"")</f>
        <v>4093.0935254259307</v>
      </c>
      <c r="AN770" s="787">
        <f>IFERROR(SUMIFS('Base de datos Rutas'!$W$6:$W$794,'Base de datos Rutas'!$C$6:$C$794,$C770)/'Base de datos Rutas'!I768,"")</f>
        <v>4093.0935254259307</v>
      </c>
      <c r="AO770" s="800">
        <f>IFERROR('Base de datos Rutas'!X768*AN770/AM770,"")</f>
        <v>0.46968213431228284</v>
      </c>
      <c r="AP770" s="800">
        <f t="shared" si="417"/>
        <v>0.53031786568771722</v>
      </c>
      <c r="AQ770" s="789">
        <f>IFERROR(INDEX('Hoja de apoyo v2'!$J$17:$J$20,MATCH($A770,'Hoja de apoyo v2'!$A$17:$A$20,0)),"")</f>
        <v>0.50577184527496444</v>
      </c>
      <c r="AR770" s="789">
        <f t="shared" si="418"/>
        <v>2.4546020412752778E-2</v>
      </c>
      <c r="AS770" s="784" t="str">
        <f t="shared" si="419"/>
        <v>No</v>
      </c>
      <c r="AT770" s="801">
        <f>IF(ISNUMBER('Base de datos Rutas'!CK768),'Base de datos Rutas'!CK768,"")</f>
        <v>224</v>
      </c>
      <c r="AU770" s="802">
        <f>IF(ISNUMBER('Base de datos Rutas'!CL768),'Base de datos Rutas'!CL768,"")</f>
        <v>224</v>
      </c>
      <c r="AV770" s="802">
        <f>IF(ISNUMBER('Base de datos Rutas'!CM768),'Base de datos Rutas'!CM768,"")</f>
        <v>0</v>
      </c>
      <c r="AW770" s="802">
        <f>IF(ISNUMBER('Base de datos Rutas'!CN768),'Base de datos Rutas'!CN768,"")</f>
        <v>6.14</v>
      </c>
      <c r="AX770" s="802">
        <f>IF(ISNUMBER('Base de datos Rutas'!CO768),'Base de datos Rutas'!CO768,"")</f>
        <v>9.4499999999999993</v>
      </c>
      <c r="AY770" s="802">
        <f>IF(ISNUMBER('Base de datos Rutas'!CP768),'Base de datos Rutas'!CP768,"")</f>
        <v>3.3099999999999996</v>
      </c>
      <c r="AZ770" s="802">
        <f>IF(ISNUMBER('Base de datos Rutas'!CQ768),'Base de datos Rutas'!CQ768,"")</f>
        <v>423.28</v>
      </c>
      <c r="BA770" s="802">
        <f>IF(ISNUMBER('Base de datos Rutas'!CR768),'Base de datos Rutas'!CR768,"")</f>
        <v>658.73</v>
      </c>
      <c r="BB770" s="803">
        <f>IF(ISNUMBER('Base de datos Rutas'!CS768),'Base de datos Rutas'!CS768,"")</f>
        <v>-235.45000000000005</v>
      </c>
      <c r="BC770" s="804">
        <f t="shared" si="429"/>
        <v>2</v>
      </c>
      <c r="BD770" s="805" t="str">
        <f t="shared" si="430"/>
        <v>Saturada</v>
      </c>
      <c r="BE770" s="806">
        <f t="shared" si="431"/>
        <v>1.5562511812511814</v>
      </c>
      <c r="BF770" s="890">
        <f>IF(ISNUMBER('Base de datos Rutas'!CX768),'Base de datos Rutas'!CX768/100,"")</f>
        <v>4.7610191556630094E-3</v>
      </c>
      <c r="BG770" s="891">
        <f>IF(ISNUMBER('Base de datos Rutas'!CZ768),'Base de datos Rutas'!CZ768/100,"")</f>
        <v>4.7610191556630094E-3</v>
      </c>
      <c r="BH770" s="892">
        <f>IF(ISNUMBER('Base de datos Rutas'!DA768),'Base de datos Rutas'!DA768,"")</f>
        <v>0</v>
      </c>
      <c r="BI770" s="893">
        <f>IF(ISNUMBER('Base de datos Rutas'!DC768),'Base de datos Rutas'!DC768,"")</f>
        <v>0</v>
      </c>
      <c r="BJ770" s="805" t="str">
        <f t="shared" si="432"/>
        <v>Ruta (completo)</v>
      </c>
      <c r="BK770" s="783">
        <f t="shared" si="420"/>
        <v>1</v>
      </c>
      <c r="BL770" s="797">
        <f t="shared" si="421"/>
        <v>1</v>
      </c>
      <c r="BM770" s="797">
        <f t="shared" si="422"/>
        <v>1</v>
      </c>
      <c r="BN770" s="797">
        <f t="shared" si="423"/>
        <v>1</v>
      </c>
      <c r="BO770" s="798" cm="1">
        <f t="array" ref="BO770">SUMPRODUCT(--ISNUMBER($BF770:$BI770),$BK$3:$BN$3)</f>
        <v>1</v>
      </c>
      <c r="BP770" s="831">
        <f t="shared" si="433"/>
        <v>0</v>
      </c>
      <c r="BQ770" s="834" t="str">
        <f t="shared" si="434"/>
        <v>Bajo</v>
      </c>
      <c r="BR770" s="836">
        <f t="shared" si="424"/>
        <v>55.928066318775564</v>
      </c>
      <c r="BS770" s="836">
        <f t="shared" si="425"/>
        <v>0</v>
      </c>
      <c r="BT770" s="837" t="str">
        <f t="shared" si="426"/>
        <v>P2</v>
      </c>
      <c r="BU770" s="807" t="str">
        <f t="shared" si="435"/>
        <v>Al tope</v>
      </c>
      <c r="BV770" s="807" t="str">
        <f t="shared" si="427"/>
        <v>Zona de bajo potencial</v>
      </c>
      <c r="BW770" s="808" t="str">
        <f t="shared" si="428"/>
        <v>P2 - Mantener</v>
      </c>
    </row>
    <row r="771" spans="1:75">
      <c r="A771" s="780" t="str">
        <f>'Base de datos Rutas'!A769</f>
        <v>Pacifico</v>
      </c>
      <c r="B771" s="781" t="str">
        <f>'Base de datos Rutas'!B769</f>
        <v>La Paz</v>
      </c>
      <c r="C771" s="781" t="str">
        <f>'Base de datos Rutas'!C769</f>
        <v>Suc. Cabo San Lucas</v>
      </c>
      <c r="D771" s="782">
        <f>IF(ISNUMBER('Base de datos Rutas'!D769),'Base de datos Rutas'!D769,"Sin código")</f>
        <v>507301</v>
      </c>
      <c r="E771" s="783" t="str">
        <f>'Base de datos Rutas'!F769</f>
        <v>Activa</v>
      </c>
      <c r="F771" s="784" t="str">
        <f>'Base de datos Rutas'!H769</f>
        <v>Sí</v>
      </c>
      <c r="G771" s="785">
        <f>IF(ISNUMBER('Base de datos Rutas'!BE769),'Base de datos Rutas'!BE769,"")</f>
        <v>29.704128440367001</v>
      </c>
      <c r="H771" s="786">
        <f>IF(ISNUMBER('Base de datos Rutas'!BH769),'Base de datos Rutas'!BH769,"")</f>
        <v>0.57956914523975001</v>
      </c>
      <c r="I771" s="788">
        <f>IFERROR(IF(OR(NOT(ISNUMBER('Base de datos Rutas'!O769)),N('Base de datos Rutas'!BK769)=0),"",'Base de datos Rutas'!O769/('Base de datos Rutas'!L769/'Base de datos Rutas'!BK769)),"")</f>
        <v>1425.7499999999995</v>
      </c>
      <c r="J771" s="788">
        <f>IFERROR(IF(OR(NOT(ISNUMBER('Base de datos Rutas'!N769)),N('Base de datos Rutas'!BK769)=0),"",'Base de datos Rutas'!N769/('Base de datos Rutas'!L769/'Base de datos Rutas'!BK769)),"")</f>
        <v>15086.594036697243</v>
      </c>
      <c r="K771" s="788">
        <f>IFERROR(IF(OR(NOT(ISNUMBER('Base de datos Rutas'!J769)),N('Base de datos Rutas'!BK769)=0),"",'Base de datos Rutas'!J769/('Base de datos Rutas'!L769/'Base de datos Rutas'!BK769)),"")</f>
        <v>980.12395779816484</v>
      </c>
      <c r="L771" s="788">
        <f>IFERROR(IF(OR(NOT(ISNUMBER('Base de datos Rutas'!K769)),N('Base de datos Rutas'!BK769)=0),"",'Base de datos Rutas'!K769/('Base de datos Rutas'!L769/'Base de datos Rutas'!BK769)),"")</f>
        <v>10.762112449541281</v>
      </c>
      <c r="M771" s="787">
        <f>IF(ISNUMBER('Base de datos Rutas'!AX769),'Base de datos Rutas'!AX769,"")</f>
        <v>959.15005462296801</v>
      </c>
      <c r="N771" s="790">
        <f>IFERROR(INDEX('Hoja de apoyo v2'!B$17:B$20,MATCH($A771,'Hoja de apoyo v2'!$A$17:$A$20,0)),"")</f>
        <v>48.509140196922353</v>
      </c>
      <c r="O771" s="791">
        <f>IFERROR(INDEX('Hoja de apoyo v2'!C$17:C$20,MATCH($A771,'Hoja de apoyo v2'!$A$17:$A$20,0)),"")</f>
        <v>0.66965083735281605</v>
      </c>
      <c r="P771" s="793">
        <f>IFERROR(INDEX('Hoja de apoyo v2'!D$17:D$20,MATCH($A771,'Hoja de apoyo v2'!$A$17:$A$20,0)),"")</f>
        <v>5938.874134119359</v>
      </c>
      <c r="Q771" s="793">
        <f>IFERROR(INDEX('Hoja de apoyo v2'!E$17:E$20,MATCH($A771,'Hoja de apoyo v2'!$A$17:$A$20,0)),"")</f>
        <v>4160.5938481536259</v>
      </c>
      <c r="R771" s="793">
        <f>IFERROR(INDEX('Hoja de apoyo v2'!F$17:F$20,MATCH($A771,'Hoja de apoyo v2'!$A$17:$A$20,0)),"")</f>
        <v>261.11067511683507</v>
      </c>
      <c r="S771" s="793">
        <f>IFERROR(INDEX('Hoja de apoyo v2'!G$17:G$20,MATCH($A771,'Hoja de apoyo v2'!$A$17:$A$20,0)),"")</f>
        <v>47.352224855431231</v>
      </c>
      <c r="T771" s="792">
        <f>IFERROR(INDEX('Hoja de apoyo v2'!H$17:H$20,MATCH($A771,'Hoja de apoyo v2'!$A$17:$A$20,0)),"")</f>
        <v>492.72230557971551</v>
      </c>
      <c r="U771" s="794">
        <f t="shared" si="400"/>
        <v>0.61234085617232958</v>
      </c>
      <c r="V771" s="795">
        <f t="shared" si="401"/>
        <v>0.8654796095392544</v>
      </c>
      <c r="W771" s="795">
        <f t="shared" si="402"/>
        <v>0.24007075546675408</v>
      </c>
      <c r="X771" s="843">
        <f t="shared" si="403"/>
        <v>3.62606747673588</v>
      </c>
      <c r="Y771" s="843">
        <f t="shared" si="404"/>
        <v>3.7536724891067905</v>
      </c>
      <c r="Z771" s="843">
        <f t="shared" si="405"/>
        <v>0.22727786249534337</v>
      </c>
      <c r="AA771" s="843">
        <f t="shared" si="406"/>
        <v>1.9466341258784174</v>
      </c>
      <c r="AB771" s="796">
        <f t="shared" si="407"/>
        <v>2</v>
      </c>
      <c r="AC771" s="797">
        <f t="shared" si="408"/>
        <v>3</v>
      </c>
      <c r="AD771" s="797">
        <f t="shared" si="409"/>
        <v>1</v>
      </c>
      <c r="AE771" s="842">
        <f t="shared" si="410"/>
        <v>5</v>
      </c>
      <c r="AF771" s="842">
        <f t="shared" si="411"/>
        <v>5</v>
      </c>
      <c r="AG771" s="842">
        <f t="shared" si="412"/>
        <v>1</v>
      </c>
      <c r="AH771" s="842">
        <f t="shared" si="413"/>
        <v>5</v>
      </c>
      <c r="AI771" s="826" cm="1">
        <f t="array" ref="AI771">SUMPRODUCT(--ISNUMBER($U771:$AA771),$AB$3:$AH$3)</f>
        <v>1</v>
      </c>
      <c r="AJ771" s="829">
        <f t="shared" si="414"/>
        <v>43.620327344257895</v>
      </c>
      <c r="AK771" s="827" t="str">
        <f t="shared" si="415"/>
        <v>Inmadura</v>
      </c>
      <c r="AL771" s="784" t="str">
        <f t="shared" si="416"/>
        <v>Alta</v>
      </c>
      <c r="AM771" s="799">
        <f>IF(ISNUMBER('Base de datos Rutas'!W769),'Base de datos Rutas'!W769,"")</f>
        <v>4093.0935254259307</v>
      </c>
      <c r="AN771" s="787">
        <f>IFERROR(SUMIFS('Base de datos Rutas'!$W$6:$W$794,'Base de datos Rutas'!$C$6:$C$794,$C771)/'Base de datos Rutas'!I769,"")</f>
        <v>4093.0935254259307</v>
      </c>
      <c r="AO771" s="800">
        <f>IFERROR('Base de datos Rutas'!X769*AN771/AM771,"")</f>
        <v>0.46968213431228284</v>
      </c>
      <c r="AP771" s="800">
        <f t="shared" si="417"/>
        <v>0.53031786568771722</v>
      </c>
      <c r="AQ771" s="789">
        <f>IFERROR(INDEX('Hoja de apoyo v2'!$J$17:$J$20,MATCH($A771,'Hoja de apoyo v2'!$A$17:$A$20,0)),"")</f>
        <v>0.50577184527496444</v>
      </c>
      <c r="AR771" s="789">
        <f t="shared" si="418"/>
        <v>2.4546020412752778E-2</v>
      </c>
      <c r="AS771" s="784" t="str">
        <f t="shared" si="419"/>
        <v>No</v>
      </c>
      <c r="AT771" s="801">
        <f>IF(ISNUMBER('Base de datos Rutas'!CK769),'Base de datos Rutas'!CK769,"")</f>
        <v>243</v>
      </c>
      <c r="AU771" s="802">
        <f>IF(ISNUMBER('Base de datos Rutas'!CL769),'Base de datos Rutas'!CL769,"")</f>
        <v>259.24</v>
      </c>
      <c r="AV771" s="802">
        <f>IF(ISNUMBER('Base de datos Rutas'!CM769),'Base de datos Rutas'!CM769,"")</f>
        <v>16.240000000000009</v>
      </c>
      <c r="AW771" s="802">
        <f>IF(ISNUMBER('Base de datos Rutas'!CN769),'Base de datos Rutas'!CN769,"")</f>
        <v>10.93</v>
      </c>
      <c r="AX771" s="802">
        <f>IF(ISNUMBER('Base de datos Rutas'!CO769),'Base de datos Rutas'!CO769,"")</f>
        <v>9.4499999999999993</v>
      </c>
      <c r="AY771" s="802">
        <f>IF(ISNUMBER('Base de datos Rutas'!CP769),'Base de datos Rutas'!CP769,"")</f>
        <v>-1.4800000000000004</v>
      </c>
      <c r="AZ771" s="802">
        <f>IF(ISNUMBER('Base de datos Rutas'!CQ769),'Base de datos Rutas'!CQ769,"")</f>
        <v>564.37</v>
      </c>
      <c r="BA771" s="802">
        <f>IF(ISNUMBER('Base de datos Rutas'!CR769),'Base de datos Rutas'!CR769,"")</f>
        <v>990.89</v>
      </c>
      <c r="BB771" s="803">
        <f>IF(ISNUMBER('Base de datos Rutas'!CS769),'Base de datos Rutas'!CS769,"")</f>
        <v>-426.52</v>
      </c>
      <c r="BC771" s="804">
        <f t="shared" si="429"/>
        <v>2</v>
      </c>
      <c r="BD771" s="805" t="str">
        <f t="shared" si="430"/>
        <v>Saturada</v>
      </c>
      <c r="BE771" s="806">
        <f t="shared" si="431"/>
        <v>1.7557453443662845</v>
      </c>
      <c r="BF771" s="890">
        <f>IF(ISNUMBER('Base de datos Rutas'!CX769),'Base de datos Rutas'!CX769/100,"")</f>
        <v>0.35117699509585376</v>
      </c>
      <c r="BG771" s="891">
        <f>IF(ISNUMBER('Base de datos Rutas'!CZ769),'Base de datos Rutas'!CZ769/100,"")</f>
        <v>0.3529870708872046</v>
      </c>
      <c r="BH771" s="892">
        <f>IF(ISNUMBER('Base de datos Rutas'!DA769),'Base de datos Rutas'!DA769,"")</f>
        <v>45.026435653698606</v>
      </c>
      <c r="BI771" s="893">
        <f>IF(ISNUMBER('Base de datos Rutas'!DC769),'Base de datos Rutas'!DC769,"")</f>
        <v>2.6288316733865584</v>
      </c>
      <c r="BJ771" s="805" t="str">
        <f t="shared" si="432"/>
        <v>Ruta (completo)</v>
      </c>
      <c r="BK771" s="783">
        <f t="shared" si="420"/>
        <v>3</v>
      </c>
      <c r="BL771" s="797">
        <f t="shared" si="421"/>
        <v>3</v>
      </c>
      <c r="BM771" s="797">
        <f t="shared" si="422"/>
        <v>1</v>
      </c>
      <c r="BN771" s="797">
        <f t="shared" si="423"/>
        <v>1</v>
      </c>
      <c r="BO771" s="798" cm="1">
        <f t="array" ref="BO771">SUMPRODUCT(--ISNUMBER($BF771:$BI771),$BK$3:$BN$3)</f>
        <v>1</v>
      </c>
      <c r="BP771" s="831">
        <f t="shared" si="433"/>
        <v>25</v>
      </c>
      <c r="BQ771" s="834" t="str">
        <f t="shared" si="434"/>
        <v>Medio</v>
      </c>
      <c r="BR771" s="836">
        <f t="shared" si="424"/>
        <v>57.715245508193419</v>
      </c>
      <c r="BS771" s="836">
        <f t="shared" si="425"/>
        <v>25</v>
      </c>
      <c r="BT771" s="837" t="str">
        <f t="shared" si="426"/>
        <v>P2</v>
      </c>
      <c r="BU771" s="807" t="str">
        <f t="shared" si="435"/>
        <v>Al tope</v>
      </c>
      <c r="BV771" s="807" t="str">
        <f t="shared" si="427"/>
        <v>Zona de bajo potencial</v>
      </c>
      <c r="BW771" s="808" t="str">
        <f t="shared" si="428"/>
        <v>P2 - Mantener</v>
      </c>
    </row>
    <row r="772" spans="1:75">
      <c r="A772" s="780" t="str">
        <f>'Base de datos Rutas'!A770</f>
        <v>Pacifico</v>
      </c>
      <c r="B772" s="781" t="str">
        <f>'Base de datos Rutas'!B770</f>
        <v>La Paz</v>
      </c>
      <c r="C772" s="781" t="str">
        <f>'Base de datos Rutas'!C770</f>
        <v>Suc. Cabo San Lucas</v>
      </c>
      <c r="D772" s="782">
        <f>IF(ISNUMBER('Base de datos Rutas'!D770),'Base de datos Rutas'!D770,"Sin código")</f>
        <v>507302</v>
      </c>
      <c r="E772" s="783" t="str">
        <f>'Base de datos Rutas'!F770</f>
        <v>Activa</v>
      </c>
      <c r="F772" s="784" t="str">
        <f>'Base de datos Rutas'!H770</f>
        <v>Sí</v>
      </c>
      <c r="G772" s="785">
        <f>IF(ISNUMBER('Base de datos Rutas'!BE770),'Base de datos Rutas'!BE770,"")</f>
        <v>37.405034324942797</v>
      </c>
      <c r="H772" s="786">
        <f>IF(ISNUMBER('Base de datos Rutas'!BH770),'Base de datos Rutas'!BH770,"")</f>
        <v>0.55389697785390901</v>
      </c>
      <c r="I772" s="788">
        <f>IFERROR(IF(OR(NOT(ISNUMBER('Base de datos Rutas'!O770)),N('Base de datos Rutas'!BK770)=0),"",'Base de datos Rutas'!O770/('Base de datos Rutas'!L770/'Base de datos Rutas'!BK770)),"")</f>
        <v>1374.5240274599541</v>
      </c>
      <c r="J772" s="788">
        <f>IFERROR(IF(OR(NOT(ISNUMBER('Base de datos Rutas'!N770)),N('Base de datos Rutas'!BK770)=0),"",'Base de datos Rutas'!N770/('Base de datos Rutas'!L770/'Base de datos Rutas'!BK770)),"")</f>
        <v>14516.908466819223</v>
      </c>
      <c r="K772" s="788">
        <f>IFERROR(IF(OR(NOT(ISNUMBER('Base de datos Rutas'!J770)),N('Base de datos Rutas'!BK770)=0),"",'Base de datos Rutas'!J770/('Base de datos Rutas'!L770/'Base de datos Rutas'!BK770)),"")</f>
        <v>942.56038627002295</v>
      </c>
      <c r="L772" s="788">
        <f>IFERROR(IF(OR(NOT(ISNUMBER('Base de datos Rutas'!K770)),N('Base de datos Rutas'!BK770)=0),"",'Base de datos Rutas'!K770/('Base de datos Rutas'!L770/'Base de datos Rutas'!BK770)),"")</f>
        <v>10.035332146453088</v>
      </c>
      <c r="M772" s="787">
        <f>IF(ISNUMBER('Base de datos Rutas'!AX770),'Base de datos Rutas'!AX770,"")</f>
        <v>767.01502871659</v>
      </c>
      <c r="N772" s="790">
        <f>IFERROR(INDEX('Hoja de apoyo v2'!B$17:B$20,MATCH($A772,'Hoja de apoyo v2'!$A$17:$A$20,0)),"")</f>
        <v>48.509140196922353</v>
      </c>
      <c r="O772" s="791">
        <f>IFERROR(INDEX('Hoja de apoyo v2'!C$17:C$20,MATCH($A772,'Hoja de apoyo v2'!$A$17:$A$20,0)),"")</f>
        <v>0.66965083735281605</v>
      </c>
      <c r="P772" s="793">
        <f>IFERROR(INDEX('Hoja de apoyo v2'!D$17:D$20,MATCH($A772,'Hoja de apoyo v2'!$A$17:$A$20,0)),"")</f>
        <v>5938.874134119359</v>
      </c>
      <c r="Q772" s="793">
        <f>IFERROR(INDEX('Hoja de apoyo v2'!E$17:E$20,MATCH($A772,'Hoja de apoyo v2'!$A$17:$A$20,0)),"")</f>
        <v>4160.5938481536259</v>
      </c>
      <c r="R772" s="793">
        <f>IFERROR(INDEX('Hoja de apoyo v2'!F$17:F$20,MATCH($A772,'Hoja de apoyo v2'!$A$17:$A$20,0)),"")</f>
        <v>261.11067511683507</v>
      </c>
      <c r="S772" s="793">
        <f>IFERROR(INDEX('Hoja de apoyo v2'!G$17:G$20,MATCH($A772,'Hoja de apoyo v2'!$A$17:$A$20,0)),"")</f>
        <v>47.352224855431231</v>
      </c>
      <c r="T772" s="792">
        <f>IFERROR(INDEX('Hoja de apoyo v2'!H$17:H$20,MATCH($A772,'Hoja de apoyo v2'!$A$17:$A$20,0)),"")</f>
        <v>492.72230557971551</v>
      </c>
      <c r="U772" s="794">
        <f t="shared" si="400"/>
        <v>0.77109250283755693</v>
      </c>
      <c r="V772" s="795">
        <f t="shared" si="401"/>
        <v>0.8271429631052335</v>
      </c>
      <c r="W772" s="795">
        <f t="shared" si="402"/>
        <v>0.2314452194841429</v>
      </c>
      <c r="X772" s="843">
        <f t="shared" si="403"/>
        <v>3.4891433763142938</v>
      </c>
      <c r="Y772" s="843">
        <f t="shared" si="404"/>
        <v>3.6098117621896169</v>
      </c>
      <c r="Z772" s="843">
        <f t="shared" si="405"/>
        <v>0.21192947484709476</v>
      </c>
      <c r="AA772" s="843">
        <f t="shared" si="406"/>
        <v>1.5566882603663612</v>
      </c>
      <c r="AB772" s="796">
        <f t="shared" si="407"/>
        <v>3</v>
      </c>
      <c r="AC772" s="797">
        <f t="shared" si="408"/>
        <v>3</v>
      </c>
      <c r="AD772" s="797">
        <f t="shared" si="409"/>
        <v>1</v>
      </c>
      <c r="AE772" s="842">
        <f t="shared" si="410"/>
        <v>5</v>
      </c>
      <c r="AF772" s="842">
        <f t="shared" si="411"/>
        <v>5</v>
      </c>
      <c r="AG772" s="842">
        <f t="shared" si="412"/>
        <v>1</v>
      </c>
      <c r="AH772" s="842">
        <f t="shared" si="413"/>
        <v>5</v>
      </c>
      <c r="AI772" s="826" cm="1">
        <f t="array" ref="AI772">SUMPRODUCT(--ISNUMBER($U772:$AA772),$AB$3:$AH$3)</f>
        <v>1</v>
      </c>
      <c r="AJ772" s="829">
        <f t="shared" si="414"/>
        <v>48.153963522394648</v>
      </c>
      <c r="AK772" s="827" t="str">
        <f t="shared" si="415"/>
        <v>En desarrollo</v>
      </c>
      <c r="AL772" s="784" t="str">
        <f t="shared" si="416"/>
        <v>Alta</v>
      </c>
      <c r="AM772" s="799">
        <f>IF(ISNUMBER('Base de datos Rutas'!W770),'Base de datos Rutas'!W770,"")</f>
        <v>4093.0935254259307</v>
      </c>
      <c r="AN772" s="787">
        <f>IFERROR(SUMIFS('Base de datos Rutas'!$W$6:$W$794,'Base de datos Rutas'!$C$6:$C$794,$C772)/'Base de datos Rutas'!I770,"")</f>
        <v>4093.0935254259307</v>
      </c>
      <c r="AO772" s="800">
        <f>IFERROR('Base de datos Rutas'!X770*AN772/AM772,"")</f>
        <v>0.46968213431228284</v>
      </c>
      <c r="AP772" s="800">
        <f t="shared" si="417"/>
        <v>0.53031786568771722</v>
      </c>
      <c r="AQ772" s="789">
        <f>IFERROR(INDEX('Hoja de apoyo v2'!$J$17:$J$20,MATCH($A772,'Hoja de apoyo v2'!$A$17:$A$20,0)),"")</f>
        <v>0.50577184527496444</v>
      </c>
      <c r="AR772" s="789">
        <f t="shared" si="418"/>
        <v>2.4546020412752778E-2</v>
      </c>
      <c r="AS772" s="784" t="str">
        <f t="shared" si="419"/>
        <v>No</v>
      </c>
      <c r="AT772" s="801">
        <f>IF(ISNUMBER('Base de datos Rutas'!CK770),'Base de datos Rutas'!CK770,"")</f>
        <v>222</v>
      </c>
      <c r="AU772" s="802">
        <f>IF(ISNUMBER('Base de datos Rutas'!CL770),'Base de datos Rutas'!CL770,"")</f>
        <v>260.01</v>
      </c>
      <c r="AV772" s="802">
        <f>IF(ISNUMBER('Base de datos Rutas'!CM770),'Base de datos Rutas'!CM770,"")</f>
        <v>38.009999999999991</v>
      </c>
      <c r="AW772" s="802">
        <f>IF(ISNUMBER('Base de datos Rutas'!CN770),'Base de datos Rutas'!CN770,"")</f>
        <v>8.56</v>
      </c>
      <c r="AX772" s="802">
        <f>IF(ISNUMBER('Base de datos Rutas'!CO770),'Base de datos Rutas'!CO770,"")</f>
        <v>9.4499999999999993</v>
      </c>
      <c r="AY772" s="802">
        <f>IF(ISNUMBER('Base de datos Rutas'!CP770),'Base de datos Rutas'!CP770,"")</f>
        <v>0.88999999999999879</v>
      </c>
      <c r="AZ772" s="802">
        <f>IF(ISNUMBER('Base de datos Rutas'!CQ770),'Base de datos Rutas'!CQ770,"")</f>
        <v>423.28</v>
      </c>
      <c r="BA772" s="802">
        <f>IF(ISNUMBER('Base de datos Rutas'!CR770),'Base de datos Rutas'!CR770,"")</f>
        <v>952.6</v>
      </c>
      <c r="BB772" s="803">
        <f>IF(ISNUMBER('Base de datos Rutas'!CS770),'Base de datos Rutas'!CS770,"")</f>
        <v>-529.32000000000005</v>
      </c>
      <c r="BC772" s="804">
        <f t="shared" si="429"/>
        <v>1</v>
      </c>
      <c r="BD772" s="805" t="str">
        <f t="shared" si="430"/>
        <v>Saturada</v>
      </c>
      <c r="BE772" s="806">
        <f t="shared" si="431"/>
        <v>2.2505197505197505</v>
      </c>
      <c r="BF772" s="890">
        <f>IF(ISNUMBER('Base de datos Rutas'!CX770),'Base de datos Rutas'!CX770/100,"")</f>
        <v>0.15444271804433396</v>
      </c>
      <c r="BG772" s="891">
        <f>IF(ISNUMBER('Base de datos Rutas'!CZ770),'Base de datos Rutas'!CZ770/100,"")</f>
        <v>0.15837994613631656</v>
      </c>
      <c r="BH772" s="892">
        <f>IF(ISNUMBER('Base de datos Rutas'!DA770),'Base de datos Rutas'!DA770,"")</f>
        <v>66.79278704830061</v>
      </c>
      <c r="BI772" s="893">
        <f>IF(ISNUMBER('Base de datos Rutas'!DC770),'Base de datos Rutas'!DC770,"")</f>
        <v>3.9358389023535882</v>
      </c>
      <c r="BJ772" s="805" t="str">
        <f t="shared" si="432"/>
        <v>Ruta (completo)</v>
      </c>
      <c r="BK772" s="783">
        <f t="shared" si="420"/>
        <v>3</v>
      </c>
      <c r="BL772" s="797">
        <f t="shared" si="421"/>
        <v>3</v>
      </c>
      <c r="BM772" s="797">
        <f t="shared" si="422"/>
        <v>2</v>
      </c>
      <c r="BN772" s="797">
        <f t="shared" si="423"/>
        <v>2</v>
      </c>
      <c r="BO772" s="798" cm="1">
        <f t="array" ref="BO772">SUMPRODUCT(--ISNUMBER($BF772:$BI772),$BK$3:$BN$3)</f>
        <v>1</v>
      </c>
      <c r="BP772" s="831">
        <f t="shared" si="433"/>
        <v>37.5</v>
      </c>
      <c r="BQ772" s="834" t="str">
        <f t="shared" si="434"/>
        <v>Medio</v>
      </c>
      <c r="BR772" s="836">
        <f t="shared" si="424"/>
        <v>61.115472641795989</v>
      </c>
      <c r="BS772" s="836">
        <f t="shared" si="425"/>
        <v>37.5</v>
      </c>
      <c r="BT772" s="837" t="str">
        <f t="shared" si="426"/>
        <v>P2</v>
      </c>
      <c r="BU772" s="807" t="str">
        <f t="shared" si="435"/>
        <v>Al tope</v>
      </c>
      <c r="BV772" s="807" t="str">
        <f t="shared" si="427"/>
        <v>Zona de bajo potencial</v>
      </c>
      <c r="BW772" s="808" t="str">
        <f t="shared" si="428"/>
        <v>P2 - Mantener</v>
      </c>
    </row>
    <row r="773" spans="1:75">
      <c r="A773" s="780" t="str">
        <f>'Base de datos Rutas'!A771</f>
        <v>Pacifico</v>
      </c>
      <c r="B773" s="781" t="str">
        <f>'Base de datos Rutas'!B771</f>
        <v>La Paz</v>
      </c>
      <c r="C773" s="781" t="str">
        <f>'Base de datos Rutas'!C771</f>
        <v>Suc. Cabo San Lucas</v>
      </c>
      <c r="D773" s="782">
        <f>IF(ISNUMBER('Base de datos Rutas'!D771),'Base de datos Rutas'!D771,"Sin código")</f>
        <v>507303</v>
      </c>
      <c r="E773" s="783" t="str">
        <f>'Base de datos Rutas'!F771</f>
        <v>Activa</v>
      </c>
      <c r="F773" s="784" t="str">
        <f>'Base de datos Rutas'!H771</f>
        <v>Sí</v>
      </c>
      <c r="G773" s="785">
        <f>IF(ISNUMBER('Base de datos Rutas'!BE771),'Base de datos Rutas'!BE771,"")</f>
        <v>46.785388127853899</v>
      </c>
      <c r="H773" s="786">
        <f>IF(ISNUMBER('Base de datos Rutas'!BH771),'Base de datos Rutas'!BH771,"")</f>
        <v>0.54577396056997896</v>
      </c>
      <c r="I773" s="788">
        <f>IFERROR(IF(OR(NOT(ISNUMBER('Base de datos Rutas'!O771)),N('Base de datos Rutas'!BK771)=0),"",'Base de datos Rutas'!O771/('Base de datos Rutas'!L771/'Base de datos Rutas'!BK771)),"")</f>
        <v>1457.2077625570762</v>
      </c>
      <c r="J773" s="788">
        <f>IFERROR(IF(OR(NOT(ISNUMBER('Base de datos Rutas'!N771)),N('Base de datos Rutas'!BK771)=0),"",'Base de datos Rutas'!N771/('Base de datos Rutas'!L771/'Base de datos Rutas'!BK771)),"")</f>
        <v>11356.027397260263</v>
      </c>
      <c r="K773" s="788">
        <f>IFERROR(IF(OR(NOT(ISNUMBER('Base de datos Rutas'!J771)),N('Base de datos Rutas'!BK771)=0),"",'Base de datos Rutas'!J771/('Base de datos Rutas'!L771/'Base de datos Rutas'!BK771)),"")</f>
        <v>739.35015159817272</v>
      </c>
      <c r="L773" s="788">
        <f>IFERROR(IF(OR(NOT(ISNUMBER('Base de datos Rutas'!K771)),N('Base de datos Rutas'!BK771)=0),"",'Base de datos Rutas'!K771/('Base de datos Rutas'!L771/'Base de datos Rutas'!BK771)),"")</f>
        <v>12.273556157534234</v>
      </c>
      <c r="M773" s="787">
        <f>IF(ISNUMBER('Base de datos Rutas'!AX771),'Base de datos Rutas'!AX771,"")</f>
        <v>501.80628129470699</v>
      </c>
      <c r="N773" s="790">
        <f>IFERROR(INDEX('Hoja de apoyo v2'!B$17:B$20,MATCH($A773,'Hoja de apoyo v2'!$A$17:$A$20,0)),"")</f>
        <v>48.509140196922353</v>
      </c>
      <c r="O773" s="791">
        <f>IFERROR(INDEX('Hoja de apoyo v2'!C$17:C$20,MATCH($A773,'Hoja de apoyo v2'!$A$17:$A$20,0)),"")</f>
        <v>0.66965083735281605</v>
      </c>
      <c r="P773" s="793">
        <f>IFERROR(INDEX('Hoja de apoyo v2'!D$17:D$20,MATCH($A773,'Hoja de apoyo v2'!$A$17:$A$20,0)),"")</f>
        <v>5938.874134119359</v>
      </c>
      <c r="Q773" s="793">
        <f>IFERROR(INDEX('Hoja de apoyo v2'!E$17:E$20,MATCH($A773,'Hoja de apoyo v2'!$A$17:$A$20,0)),"")</f>
        <v>4160.5938481536259</v>
      </c>
      <c r="R773" s="793">
        <f>IFERROR(INDEX('Hoja de apoyo v2'!F$17:F$20,MATCH($A773,'Hoja de apoyo v2'!$A$17:$A$20,0)),"")</f>
        <v>261.11067511683507</v>
      </c>
      <c r="S773" s="793">
        <f>IFERROR(INDEX('Hoja de apoyo v2'!G$17:G$20,MATCH($A773,'Hoja de apoyo v2'!$A$17:$A$20,0)),"")</f>
        <v>47.352224855431231</v>
      </c>
      <c r="T773" s="792">
        <f>IFERROR(INDEX('Hoja de apoyo v2'!H$17:H$20,MATCH($A773,'Hoja de apoyo v2'!$A$17:$A$20,0)),"")</f>
        <v>492.72230557971551</v>
      </c>
      <c r="U773" s="794">
        <f t="shared" si="400"/>
        <v>0.96446541699005794</v>
      </c>
      <c r="V773" s="795">
        <f t="shared" si="401"/>
        <v>0.81501273518520123</v>
      </c>
      <c r="W773" s="795">
        <f t="shared" si="402"/>
        <v>0.24536767906652343</v>
      </c>
      <c r="X773" s="843">
        <f t="shared" si="403"/>
        <v>2.7294246474694477</v>
      </c>
      <c r="Y773" s="843">
        <f t="shared" si="404"/>
        <v>2.8315585001162722</v>
      </c>
      <c r="Z773" s="843">
        <f t="shared" si="405"/>
        <v>0.25919703234654823</v>
      </c>
      <c r="AA773" s="843">
        <f t="shared" si="406"/>
        <v>1.0184362989296856</v>
      </c>
      <c r="AB773" s="796">
        <f t="shared" si="407"/>
        <v>3</v>
      </c>
      <c r="AC773" s="797">
        <f t="shared" si="408"/>
        <v>3</v>
      </c>
      <c r="AD773" s="797">
        <f t="shared" si="409"/>
        <v>1</v>
      </c>
      <c r="AE773" s="842">
        <f t="shared" si="410"/>
        <v>5</v>
      </c>
      <c r="AF773" s="842">
        <f t="shared" si="411"/>
        <v>5</v>
      </c>
      <c r="AG773" s="842">
        <f t="shared" si="412"/>
        <v>1</v>
      </c>
      <c r="AH773" s="842">
        <f t="shared" si="413"/>
        <v>4</v>
      </c>
      <c r="AI773" s="826" cm="1">
        <f t="array" ref="AI773">SUMPRODUCT(--ISNUMBER($U773:$AA773),$AB$3:$AH$3)</f>
        <v>1</v>
      </c>
      <c r="AJ773" s="829">
        <f t="shared" si="414"/>
        <v>45.909235682068093</v>
      </c>
      <c r="AK773" s="827" t="str">
        <f t="shared" si="415"/>
        <v>En desarrollo</v>
      </c>
      <c r="AL773" s="784" t="str">
        <f t="shared" si="416"/>
        <v>Alta</v>
      </c>
      <c r="AM773" s="799">
        <f>IF(ISNUMBER('Base de datos Rutas'!W771),'Base de datos Rutas'!W771,"")</f>
        <v>4093.0935254259307</v>
      </c>
      <c r="AN773" s="787">
        <f>IFERROR(SUMIFS('Base de datos Rutas'!$W$6:$W$794,'Base de datos Rutas'!$C$6:$C$794,$C773)/'Base de datos Rutas'!I771,"")</f>
        <v>4093.0935254259307</v>
      </c>
      <c r="AO773" s="800">
        <f>IFERROR('Base de datos Rutas'!X771*AN773/AM773,"")</f>
        <v>0.46968213431228284</v>
      </c>
      <c r="AP773" s="800">
        <f t="shared" si="417"/>
        <v>0.53031786568771722</v>
      </c>
      <c r="AQ773" s="789">
        <f>IFERROR(INDEX('Hoja de apoyo v2'!$J$17:$J$20,MATCH($A773,'Hoja de apoyo v2'!$A$17:$A$20,0)),"")</f>
        <v>0.50577184527496444</v>
      </c>
      <c r="AR773" s="789">
        <f t="shared" si="418"/>
        <v>2.4546020412752778E-2</v>
      </c>
      <c r="AS773" s="784" t="str">
        <f t="shared" si="419"/>
        <v>No</v>
      </c>
      <c r="AT773" s="801">
        <f>IF(ISNUMBER('Base de datos Rutas'!CK771),'Base de datos Rutas'!CK771,"")</f>
        <v>253</v>
      </c>
      <c r="AU773" s="802">
        <f>IF(ISNUMBER('Base de datos Rutas'!CL771),'Base de datos Rutas'!CL771,"")</f>
        <v>262.12</v>
      </c>
      <c r="AV773" s="802">
        <f>IF(ISNUMBER('Base de datos Rutas'!CM771),'Base de datos Rutas'!CM771,"")</f>
        <v>9.1200000000000045</v>
      </c>
      <c r="AW773" s="802">
        <f>IF(ISNUMBER('Base de datos Rutas'!CN771),'Base de datos Rutas'!CN771,"")</f>
        <v>8.86</v>
      </c>
      <c r="AX773" s="802">
        <f>IF(ISNUMBER('Base de datos Rutas'!CO771),'Base de datos Rutas'!CO771,"")</f>
        <v>9.4499999999999993</v>
      </c>
      <c r="AY773" s="802">
        <f>IF(ISNUMBER('Base de datos Rutas'!CP771),'Base de datos Rutas'!CP771,"")</f>
        <v>0.58999999999999986</v>
      </c>
      <c r="AZ773" s="802">
        <f>IF(ISNUMBER('Base de datos Rutas'!CQ771),'Base de datos Rutas'!CQ771,"")</f>
        <v>423.28</v>
      </c>
      <c r="BA773" s="802">
        <f>IF(ISNUMBER('Base de datos Rutas'!CR771),'Base de datos Rutas'!CR771,"")</f>
        <v>751.62</v>
      </c>
      <c r="BB773" s="803">
        <f>IF(ISNUMBER('Base de datos Rutas'!CS771),'Base de datos Rutas'!CS771,"")</f>
        <v>-328.34000000000003</v>
      </c>
      <c r="BC773" s="804">
        <f t="shared" si="429"/>
        <v>1</v>
      </c>
      <c r="BD773" s="805" t="str">
        <f t="shared" si="430"/>
        <v>Saturada</v>
      </c>
      <c r="BE773" s="806">
        <f t="shared" si="431"/>
        <v>1.7757040257040257</v>
      </c>
      <c r="BF773" s="890">
        <f>IF(ISNUMBER('Base de datos Rutas'!CX771),'Base de datos Rutas'!CX771/100,"")</f>
        <v>0.11770867430441898</v>
      </c>
      <c r="BG773" s="891">
        <f>IF(ISNUMBER('Base de datos Rutas'!CZ771),'Base de datos Rutas'!CZ771/100,"")</f>
        <v>0.11877484217909749</v>
      </c>
      <c r="BH773" s="892">
        <f>IF(ISNUMBER('Base de datos Rutas'!DA771),'Base de datos Rutas'!DA771,"")</f>
        <v>209.99139332392863</v>
      </c>
      <c r="BI773" s="893">
        <f>IF(ISNUMBER('Base de datos Rutas'!DC771),'Base de datos Rutas'!DC771,"")</f>
        <v>11.758398807911135</v>
      </c>
      <c r="BJ773" s="805" t="str">
        <f t="shared" si="432"/>
        <v>Ruta (completo)</v>
      </c>
      <c r="BK773" s="783">
        <f t="shared" si="420"/>
        <v>2</v>
      </c>
      <c r="BL773" s="797">
        <f t="shared" si="421"/>
        <v>2</v>
      </c>
      <c r="BM773" s="797">
        <f t="shared" si="422"/>
        <v>3</v>
      </c>
      <c r="BN773" s="797">
        <f t="shared" si="423"/>
        <v>3</v>
      </c>
      <c r="BO773" s="798" cm="1">
        <f t="array" ref="BO773">SUMPRODUCT(--ISNUMBER($BF773:$BI773),$BK$3:$BN$3)</f>
        <v>1</v>
      </c>
      <c r="BP773" s="831">
        <f t="shared" si="433"/>
        <v>37.5</v>
      </c>
      <c r="BQ773" s="834" t="str">
        <f t="shared" si="434"/>
        <v>Medio</v>
      </c>
      <c r="BR773" s="836">
        <f t="shared" si="424"/>
        <v>59.431926761551068</v>
      </c>
      <c r="BS773" s="836">
        <f t="shared" si="425"/>
        <v>37.5</v>
      </c>
      <c r="BT773" s="837" t="str">
        <f t="shared" si="426"/>
        <v>P2</v>
      </c>
      <c r="BU773" s="807" t="str">
        <f t="shared" si="435"/>
        <v>Al tope</v>
      </c>
      <c r="BV773" s="807" t="str">
        <f t="shared" si="427"/>
        <v>Zona de bajo potencial</v>
      </c>
      <c r="BW773" s="808" t="str">
        <f t="shared" si="428"/>
        <v>P2 - Mantener</v>
      </c>
    </row>
    <row r="774" spans="1:75">
      <c r="A774" s="780" t="str">
        <f>'Base de datos Rutas'!A772</f>
        <v>Pacifico</v>
      </c>
      <c r="B774" s="781" t="str">
        <f>'Base de datos Rutas'!B772</f>
        <v>La Paz</v>
      </c>
      <c r="C774" s="781" t="str">
        <f>'Base de datos Rutas'!C772</f>
        <v>Suc. Cabo San Lucas</v>
      </c>
      <c r="D774" s="782">
        <f>IF(ISNUMBER('Base de datos Rutas'!D772),'Base de datos Rutas'!D772,"Sin código")</f>
        <v>507304</v>
      </c>
      <c r="E774" s="783" t="str">
        <f>'Base de datos Rutas'!F772</f>
        <v>Activa</v>
      </c>
      <c r="F774" s="784" t="str">
        <f>'Base de datos Rutas'!H772</f>
        <v>Sí</v>
      </c>
      <c r="G774" s="785">
        <f>IF(ISNUMBER('Base de datos Rutas'!BE772),'Base de datos Rutas'!BE772,"")</f>
        <v>42.665898617511502</v>
      </c>
      <c r="H774" s="786">
        <f>IF(ISNUMBER('Base de datos Rutas'!BH772),'Base de datos Rutas'!BH772,"")</f>
        <v>0.46103580493600499</v>
      </c>
      <c r="I774" s="788">
        <f>IFERROR(IF(OR(NOT(ISNUMBER('Base de datos Rutas'!O772)),N('Base de datos Rutas'!BK772)=0),"",'Base de datos Rutas'!O772/('Base de datos Rutas'!L772/'Base de datos Rutas'!BK772)),"")</f>
        <v>1437.4216589861751</v>
      </c>
      <c r="J774" s="788">
        <f>IFERROR(IF(OR(NOT(ISNUMBER('Base de datos Rutas'!N772)),N('Base de datos Rutas'!BK772)=0),"",'Base de datos Rutas'!N772/('Base de datos Rutas'!L772/'Base de datos Rutas'!BK772)),"")</f>
        <v>6819.7235023041476</v>
      </c>
      <c r="K774" s="788">
        <f>IFERROR(IF(OR(NOT(ISNUMBER('Base de datos Rutas'!J772)),N('Base de datos Rutas'!BK772)=0),"",'Base de datos Rutas'!J772/('Base de datos Rutas'!L772/'Base de datos Rutas'!BK772)),"")</f>
        <v>449.03295483870966</v>
      </c>
      <c r="L774" s="788">
        <f>IFERROR(IF(OR(NOT(ISNUMBER('Base de datos Rutas'!K772)),N('Base de datos Rutas'!BK772)=0),"",'Base de datos Rutas'!K772/('Base de datos Rutas'!L772/'Base de datos Rutas'!BK772)),"")</f>
        <v>10.231919458525345</v>
      </c>
      <c r="M774" s="787">
        <f>IF(ISNUMBER('Base de datos Rutas'!AX772),'Base de datos Rutas'!AX772,"")</f>
        <v>419.772550076139</v>
      </c>
      <c r="N774" s="790">
        <f>IFERROR(INDEX('Hoja de apoyo v2'!B$17:B$20,MATCH($A774,'Hoja de apoyo v2'!$A$17:$A$20,0)),"")</f>
        <v>48.509140196922353</v>
      </c>
      <c r="O774" s="791">
        <f>IFERROR(INDEX('Hoja de apoyo v2'!C$17:C$20,MATCH($A774,'Hoja de apoyo v2'!$A$17:$A$20,0)),"")</f>
        <v>0.66965083735281605</v>
      </c>
      <c r="P774" s="793">
        <f>IFERROR(INDEX('Hoja de apoyo v2'!D$17:D$20,MATCH($A774,'Hoja de apoyo v2'!$A$17:$A$20,0)),"")</f>
        <v>5938.874134119359</v>
      </c>
      <c r="Q774" s="793">
        <f>IFERROR(INDEX('Hoja de apoyo v2'!E$17:E$20,MATCH($A774,'Hoja de apoyo v2'!$A$17:$A$20,0)),"")</f>
        <v>4160.5938481536259</v>
      </c>
      <c r="R774" s="793">
        <f>IFERROR(INDEX('Hoja de apoyo v2'!F$17:F$20,MATCH($A774,'Hoja de apoyo v2'!$A$17:$A$20,0)),"")</f>
        <v>261.11067511683507</v>
      </c>
      <c r="S774" s="793">
        <f>IFERROR(INDEX('Hoja de apoyo v2'!G$17:G$20,MATCH($A774,'Hoja de apoyo v2'!$A$17:$A$20,0)),"")</f>
        <v>47.352224855431231</v>
      </c>
      <c r="T774" s="792">
        <f>IFERROR(INDEX('Hoja de apoyo v2'!H$17:H$20,MATCH($A774,'Hoja de apoyo v2'!$A$17:$A$20,0)),"")</f>
        <v>492.72230557971551</v>
      </c>
      <c r="U774" s="794">
        <f t="shared" si="400"/>
        <v>0.87954349312953661</v>
      </c>
      <c r="V774" s="795">
        <f t="shared" si="401"/>
        <v>0.68847193077293356</v>
      </c>
      <c r="W774" s="795">
        <f t="shared" si="402"/>
        <v>0.24203605372406531</v>
      </c>
      <c r="X774" s="843">
        <f t="shared" si="403"/>
        <v>1.6391226231636575</v>
      </c>
      <c r="Y774" s="843">
        <f t="shared" si="404"/>
        <v>1.7197035496070314</v>
      </c>
      <c r="Z774" s="843">
        <f t="shared" si="405"/>
        <v>0.21608107094785767</v>
      </c>
      <c r="AA774" s="843">
        <f t="shared" si="406"/>
        <v>0.85194549814880616</v>
      </c>
      <c r="AB774" s="796">
        <f t="shared" si="407"/>
        <v>3</v>
      </c>
      <c r="AC774" s="797">
        <f t="shared" si="408"/>
        <v>2</v>
      </c>
      <c r="AD774" s="797">
        <f t="shared" si="409"/>
        <v>1</v>
      </c>
      <c r="AE774" s="842">
        <f t="shared" si="410"/>
        <v>5</v>
      </c>
      <c r="AF774" s="842">
        <f t="shared" si="411"/>
        <v>5</v>
      </c>
      <c r="AG774" s="842">
        <f t="shared" si="412"/>
        <v>1</v>
      </c>
      <c r="AH774" s="842">
        <f t="shared" si="413"/>
        <v>3</v>
      </c>
      <c r="AI774" s="826" cm="1">
        <f t="array" ref="AI774">SUMPRODUCT(--ISNUMBER($U774:$AA774),$AB$3:$AH$3)</f>
        <v>1</v>
      </c>
      <c r="AJ774" s="829">
        <f t="shared" si="414"/>
        <v>41.281602255851048</v>
      </c>
      <c r="AK774" s="827" t="str">
        <f t="shared" si="415"/>
        <v>Inmadura</v>
      </c>
      <c r="AL774" s="784" t="str">
        <f t="shared" si="416"/>
        <v>Alta</v>
      </c>
      <c r="AM774" s="799">
        <f>IF(ISNUMBER('Base de datos Rutas'!W772),'Base de datos Rutas'!W772,"")</f>
        <v>4093.0935254259307</v>
      </c>
      <c r="AN774" s="787">
        <f>IFERROR(SUMIFS('Base de datos Rutas'!$W$6:$W$794,'Base de datos Rutas'!$C$6:$C$794,$C774)/'Base de datos Rutas'!I772,"")</f>
        <v>4093.0935254259307</v>
      </c>
      <c r="AO774" s="800">
        <f>IFERROR('Base de datos Rutas'!X772*AN774/AM774,"")</f>
        <v>0.46968213431228284</v>
      </c>
      <c r="AP774" s="800">
        <f t="shared" si="417"/>
        <v>0.53031786568771722</v>
      </c>
      <c r="AQ774" s="789">
        <f>IFERROR(INDEX('Hoja de apoyo v2'!$J$17:$J$20,MATCH($A774,'Hoja de apoyo v2'!$A$17:$A$20,0)),"")</f>
        <v>0.50577184527496444</v>
      </c>
      <c r="AR774" s="789">
        <f t="shared" si="418"/>
        <v>2.4546020412752778E-2</v>
      </c>
      <c r="AS774" s="784" t="str">
        <f t="shared" si="419"/>
        <v>No</v>
      </c>
      <c r="AT774" s="801">
        <f>IF(ISNUMBER('Base de datos Rutas'!CK772),'Base de datos Rutas'!CK772,"")</f>
        <v>292</v>
      </c>
      <c r="AU774" s="802">
        <f>IF(ISNUMBER('Base de datos Rutas'!CL772),'Base de datos Rutas'!CL772,"")</f>
        <v>407.83</v>
      </c>
      <c r="AV774" s="802">
        <f>IF(ISNUMBER('Base de datos Rutas'!CM772),'Base de datos Rutas'!CM772,"")</f>
        <v>115.82999999999998</v>
      </c>
      <c r="AW774" s="802">
        <f>IF(ISNUMBER('Base de datos Rutas'!CN772),'Base de datos Rutas'!CN772,"")</f>
        <v>11.74</v>
      </c>
      <c r="AX774" s="802">
        <f>IF(ISNUMBER('Base de datos Rutas'!CO772),'Base de datos Rutas'!CO772,"")</f>
        <v>9.4499999999999993</v>
      </c>
      <c r="AY774" s="802">
        <f>IF(ISNUMBER('Base de datos Rutas'!CP772),'Base de datos Rutas'!CP772,"")</f>
        <v>-2.2900000000000009</v>
      </c>
      <c r="AZ774" s="802">
        <f>IF(ISNUMBER('Base de datos Rutas'!CQ772),'Base de datos Rutas'!CQ772,"")</f>
        <v>740.74</v>
      </c>
      <c r="BA774" s="802">
        <f>IF(ISNUMBER('Base de datos Rutas'!CR772),'Base de datos Rutas'!CR772,"")</f>
        <v>459.26</v>
      </c>
      <c r="BB774" s="803">
        <f>IF(ISNUMBER('Base de datos Rutas'!CS772),'Base de datos Rutas'!CS772,"")</f>
        <v>281.48</v>
      </c>
      <c r="BC774" s="804">
        <f t="shared" si="429"/>
        <v>1</v>
      </c>
      <c r="BD774" s="805" t="str">
        <f t="shared" si="430"/>
        <v>Saturada</v>
      </c>
      <c r="BE774" s="806">
        <f t="shared" si="431"/>
        <v>0.62000162000161996</v>
      </c>
      <c r="BF774" s="890">
        <f>IF(ISNUMBER('Base de datos Rutas'!CX772),'Base de datos Rutas'!CX772/100,"")</f>
        <v>0.47286119402985077</v>
      </c>
      <c r="BG774" s="891">
        <f>IF(ISNUMBER('Base de datos Rutas'!CZ772),'Base de datos Rutas'!CZ772/100,"")</f>
        <v>0.49014925373134327</v>
      </c>
      <c r="BH774" s="892">
        <f>IF(ISNUMBER('Base de datos Rutas'!DA772),'Base de datos Rutas'!DA772,"")</f>
        <v>513.89019092318915</v>
      </c>
      <c r="BI774" s="893">
        <f>IF(ISNUMBER('Base de datos Rutas'!DC772),'Base de datos Rutas'!DC772,"")</f>
        <v>28.42970995462035</v>
      </c>
      <c r="BJ774" s="805" t="str">
        <f t="shared" si="432"/>
        <v>Ruta (completo)</v>
      </c>
      <c r="BK774" s="783">
        <f t="shared" si="420"/>
        <v>4</v>
      </c>
      <c r="BL774" s="797">
        <f t="shared" si="421"/>
        <v>4</v>
      </c>
      <c r="BM774" s="797">
        <f t="shared" si="422"/>
        <v>4</v>
      </c>
      <c r="BN774" s="797">
        <f t="shared" si="423"/>
        <v>4</v>
      </c>
      <c r="BO774" s="798" cm="1">
        <f t="array" ref="BO774">SUMPRODUCT(--ISNUMBER($BF774:$BI774),$BK$3:$BN$3)</f>
        <v>1</v>
      </c>
      <c r="BP774" s="831">
        <f t="shared" si="433"/>
        <v>75</v>
      </c>
      <c r="BQ774" s="834" t="str">
        <f t="shared" si="434"/>
        <v>Alto</v>
      </c>
      <c r="BR774" s="836">
        <f t="shared" si="424"/>
        <v>55.961201691888284</v>
      </c>
      <c r="BS774" s="836">
        <f t="shared" si="425"/>
        <v>75</v>
      </c>
      <c r="BT774" s="837" t="str">
        <f t="shared" si="426"/>
        <v>P1</v>
      </c>
      <c r="BU774" s="807" t="str">
        <f t="shared" si="435"/>
        <v>Al tope</v>
      </c>
      <c r="BV774" s="807" t="str">
        <f t="shared" si="427"/>
        <v>Zona atractiva</v>
      </c>
      <c r="BW774" s="808" t="str">
        <f t="shared" si="428"/>
        <v>P1 - Ampliar cobertura</v>
      </c>
    </row>
    <row r="775" spans="1:75">
      <c r="A775" s="780" t="str">
        <f>'Base de datos Rutas'!A773</f>
        <v>Pacifico</v>
      </c>
      <c r="B775" s="781" t="str">
        <f>'Base de datos Rutas'!B773</f>
        <v>La Paz</v>
      </c>
      <c r="C775" s="781" t="str">
        <f>'Base de datos Rutas'!C773</f>
        <v>Suc. Cabo San Lucas</v>
      </c>
      <c r="D775" s="782">
        <f>IF(ISNUMBER('Base de datos Rutas'!D773),'Base de datos Rutas'!D773,"Sin código")</f>
        <v>507305</v>
      </c>
      <c r="E775" s="783" t="str">
        <f>'Base de datos Rutas'!F773</f>
        <v>Activa</v>
      </c>
      <c r="F775" s="784" t="str">
        <f>'Base de datos Rutas'!H773</f>
        <v>Sí</v>
      </c>
      <c r="G775" s="785">
        <f>IF(ISNUMBER('Base de datos Rutas'!BE773),'Base de datos Rutas'!BE773,"")</f>
        <v>38.399538106235603</v>
      </c>
      <c r="H775" s="786">
        <f>IF(ISNUMBER('Base de datos Rutas'!BH773),'Base de datos Rutas'!BH773,"")</f>
        <v>0.558429061165574</v>
      </c>
      <c r="I775" s="788">
        <f>IFERROR(IF(OR(NOT(ISNUMBER('Base de datos Rutas'!O773)),N('Base de datos Rutas'!BK773)=0),"",'Base de datos Rutas'!O773/('Base de datos Rutas'!L773/'Base de datos Rutas'!BK773)),"")</f>
        <v>1419.122401847575</v>
      </c>
      <c r="J775" s="788">
        <f>IFERROR(IF(OR(NOT(ISNUMBER('Base de datos Rutas'!N773)),N('Base de datos Rutas'!BK773)=0),"",'Base de datos Rutas'!N773/('Base de datos Rutas'!L773/'Base de datos Rutas'!BK773)),"")</f>
        <v>6595.5866050808318</v>
      </c>
      <c r="K775" s="788">
        <f>IFERROR(IF(OR(NOT(ISNUMBER('Base de datos Rutas'!J773)),N('Base de datos Rutas'!BK773)=0),"",'Base de datos Rutas'!J773/('Base de datos Rutas'!L773/'Base de datos Rutas'!BK773)),"")</f>
        <v>435.15876027713625</v>
      </c>
      <c r="L775" s="788">
        <f>IFERROR(IF(OR(NOT(ISNUMBER('Base de datos Rutas'!K773)),N('Base de datos Rutas'!BK773)=0),"",'Base de datos Rutas'!K773/('Base de datos Rutas'!L773/'Base de datos Rutas'!BK773)),"")</f>
        <v>11.746106648960739</v>
      </c>
      <c r="M775" s="787">
        <f>IF(ISNUMBER('Base de datos Rutas'!AX773),'Base de datos Rutas'!AX773,"")</f>
        <v>373.76098222940198</v>
      </c>
      <c r="N775" s="790">
        <f>IFERROR(INDEX('Hoja de apoyo v2'!B$17:B$20,MATCH($A775,'Hoja de apoyo v2'!$A$17:$A$20,0)),"")</f>
        <v>48.509140196922353</v>
      </c>
      <c r="O775" s="791">
        <f>IFERROR(INDEX('Hoja de apoyo v2'!C$17:C$20,MATCH($A775,'Hoja de apoyo v2'!$A$17:$A$20,0)),"")</f>
        <v>0.66965083735281605</v>
      </c>
      <c r="P775" s="793">
        <f>IFERROR(INDEX('Hoja de apoyo v2'!D$17:D$20,MATCH($A775,'Hoja de apoyo v2'!$A$17:$A$20,0)),"")</f>
        <v>5938.874134119359</v>
      </c>
      <c r="Q775" s="793">
        <f>IFERROR(INDEX('Hoja de apoyo v2'!E$17:E$20,MATCH($A775,'Hoja de apoyo v2'!$A$17:$A$20,0)),"")</f>
        <v>4160.5938481536259</v>
      </c>
      <c r="R775" s="793">
        <f>IFERROR(INDEX('Hoja de apoyo v2'!F$17:F$20,MATCH($A775,'Hoja de apoyo v2'!$A$17:$A$20,0)),"")</f>
        <v>261.11067511683507</v>
      </c>
      <c r="S775" s="793">
        <f>IFERROR(INDEX('Hoja de apoyo v2'!G$17:G$20,MATCH($A775,'Hoja de apoyo v2'!$A$17:$A$20,0)),"")</f>
        <v>47.352224855431231</v>
      </c>
      <c r="T775" s="792">
        <f>IFERROR(INDEX('Hoja de apoyo v2'!H$17:H$20,MATCH($A775,'Hoja de apoyo v2'!$A$17:$A$20,0)),"")</f>
        <v>492.72230557971551</v>
      </c>
      <c r="U775" s="794">
        <f t="shared" si="400"/>
        <v>0.79159387180133634</v>
      </c>
      <c r="V775" s="795">
        <f t="shared" si="401"/>
        <v>0.83391079353098285</v>
      </c>
      <c r="W775" s="795">
        <f t="shared" si="402"/>
        <v>0.23895478668163564</v>
      </c>
      <c r="X775" s="843">
        <f t="shared" si="403"/>
        <v>1.5852512515750121</v>
      </c>
      <c r="Y775" s="843">
        <f t="shared" si="404"/>
        <v>1.6665682476690109</v>
      </c>
      <c r="Z775" s="843">
        <f t="shared" si="405"/>
        <v>0.24805817857180321</v>
      </c>
      <c r="AA775" s="843">
        <f t="shared" si="406"/>
        <v>0.75856314600909158</v>
      </c>
      <c r="AB775" s="796">
        <f t="shared" si="407"/>
        <v>3</v>
      </c>
      <c r="AC775" s="797">
        <f t="shared" si="408"/>
        <v>3</v>
      </c>
      <c r="AD775" s="797">
        <f t="shared" si="409"/>
        <v>1</v>
      </c>
      <c r="AE775" s="842">
        <f t="shared" si="410"/>
        <v>5</v>
      </c>
      <c r="AF775" s="842">
        <f t="shared" si="411"/>
        <v>5</v>
      </c>
      <c r="AG775" s="842">
        <f t="shared" si="412"/>
        <v>1</v>
      </c>
      <c r="AH775" s="842">
        <f t="shared" si="413"/>
        <v>3</v>
      </c>
      <c r="AI775" s="826" cm="1">
        <f t="array" ref="AI775">SUMPRODUCT(--ISNUMBER($U775:$AA775),$AB$3:$AH$3)</f>
        <v>1</v>
      </c>
      <c r="AJ775" s="829">
        <f t="shared" si="414"/>
        <v>43.664507841741532</v>
      </c>
      <c r="AK775" s="827" t="str">
        <f t="shared" si="415"/>
        <v>Inmadura</v>
      </c>
      <c r="AL775" s="784" t="str">
        <f t="shared" si="416"/>
        <v>Alta</v>
      </c>
      <c r="AM775" s="799">
        <f>IF(ISNUMBER('Base de datos Rutas'!W773),'Base de datos Rutas'!W773,"")</f>
        <v>4093.0935254259307</v>
      </c>
      <c r="AN775" s="787">
        <f>IFERROR(SUMIFS('Base de datos Rutas'!$W$6:$W$794,'Base de datos Rutas'!$C$6:$C$794,$C775)/'Base de datos Rutas'!I773,"")</f>
        <v>4093.0935254259307</v>
      </c>
      <c r="AO775" s="800">
        <f>IFERROR('Base de datos Rutas'!X773*AN775/AM775,"")</f>
        <v>0.46968213431228284</v>
      </c>
      <c r="AP775" s="800">
        <f t="shared" si="417"/>
        <v>0.53031786568771722</v>
      </c>
      <c r="AQ775" s="789">
        <f>IFERROR(INDEX('Hoja de apoyo v2'!$J$17:$J$20,MATCH($A775,'Hoja de apoyo v2'!$A$17:$A$20,0)),"")</f>
        <v>0.50577184527496444</v>
      </c>
      <c r="AR775" s="789">
        <f t="shared" si="418"/>
        <v>2.4546020412752778E-2</v>
      </c>
      <c r="AS775" s="784" t="str">
        <f t="shared" si="419"/>
        <v>No</v>
      </c>
      <c r="AT775" s="801">
        <f>IF(ISNUMBER('Base de datos Rutas'!CK773),'Base de datos Rutas'!CK773,"")</f>
        <v>302</v>
      </c>
      <c r="AU775" s="802">
        <f>IF(ISNUMBER('Base de datos Rutas'!CL773),'Base de datos Rutas'!CL773,"")</f>
        <v>903.6</v>
      </c>
      <c r="AV775" s="802">
        <f>IF(ISNUMBER('Base de datos Rutas'!CM773),'Base de datos Rutas'!CM773,"")</f>
        <v>601.6</v>
      </c>
      <c r="AW775" s="802">
        <f>IF(ISNUMBER('Base de datos Rutas'!CN773),'Base de datos Rutas'!CN773,"")</f>
        <v>11.99</v>
      </c>
      <c r="AX775" s="802">
        <f>IF(ISNUMBER('Base de datos Rutas'!CO773),'Base de datos Rutas'!CO773,"")</f>
        <v>9.4499999999999993</v>
      </c>
      <c r="AY775" s="802">
        <f>IF(ISNUMBER('Base de datos Rutas'!CP773),'Base de datos Rutas'!CP773,"")</f>
        <v>-2.5400000000000009</v>
      </c>
      <c r="AZ775" s="802">
        <f>IF(ISNUMBER('Base de datos Rutas'!CQ773),'Base de datos Rutas'!CQ773,"")</f>
        <v>423.28</v>
      </c>
      <c r="BA775" s="802">
        <f>IF(ISNUMBER('Base de datos Rutas'!CR773),'Base de datos Rutas'!CR773,"")</f>
        <v>446.9</v>
      </c>
      <c r="BB775" s="803">
        <f>IF(ISNUMBER('Base de datos Rutas'!CS773),'Base de datos Rutas'!CS773,"")</f>
        <v>-23.620000000000005</v>
      </c>
      <c r="BC775" s="804">
        <f t="shared" si="429"/>
        <v>2</v>
      </c>
      <c r="BD775" s="805" t="str">
        <f t="shared" si="430"/>
        <v>Saturada</v>
      </c>
      <c r="BE775" s="806">
        <f t="shared" si="431"/>
        <v>1.0558023058023058</v>
      </c>
      <c r="BF775" s="890">
        <f>IF(ISNUMBER('Base de datos Rutas'!CX773),'Base de datos Rutas'!CX773/100,"")</f>
        <v>5.7325968199713119E-2</v>
      </c>
      <c r="BG775" s="891">
        <f>IF(ISNUMBER('Base de datos Rutas'!CZ773),'Base de datos Rutas'!CZ773/100,"")</f>
        <v>7.5685903500473037E-2</v>
      </c>
      <c r="BH775" s="892">
        <f>IF(ISNUMBER('Base de datos Rutas'!DA773),'Base de datos Rutas'!DA773,"")</f>
        <v>267.57055045761587</v>
      </c>
      <c r="BI775" s="893">
        <f>IF(ISNUMBER('Base de datos Rutas'!DC773),'Base de datos Rutas'!DC773,"")</f>
        <v>14.926266010560827</v>
      </c>
      <c r="BJ775" s="805" t="str">
        <f t="shared" si="432"/>
        <v>Ruta (completo)</v>
      </c>
      <c r="BK775" s="783">
        <f t="shared" si="420"/>
        <v>1</v>
      </c>
      <c r="BL775" s="797">
        <f t="shared" si="421"/>
        <v>1</v>
      </c>
      <c r="BM775" s="797">
        <f t="shared" si="422"/>
        <v>3</v>
      </c>
      <c r="BN775" s="797">
        <f t="shared" si="423"/>
        <v>3</v>
      </c>
      <c r="BO775" s="798" cm="1">
        <f t="array" ref="BO775">SUMPRODUCT(--ISNUMBER($BF775:$BI775),$BK$3:$BN$3)</f>
        <v>1</v>
      </c>
      <c r="BP775" s="831">
        <f t="shared" si="433"/>
        <v>25</v>
      </c>
      <c r="BQ775" s="834" t="str">
        <f t="shared" si="434"/>
        <v>Medio</v>
      </c>
      <c r="BR775" s="836">
        <f t="shared" si="424"/>
        <v>57.748380881306147</v>
      </c>
      <c r="BS775" s="836">
        <f t="shared" si="425"/>
        <v>25</v>
      </c>
      <c r="BT775" s="837" t="str">
        <f t="shared" si="426"/>
        <v>P2</v>
      </c>
      <c r="BU775" s="807" t="str">
        <f t="shared" si="435"/>
        <v>Al tope</v>
      </c>
      <c r="BV775" s="807" t="str">
        <f t="shared" si="427"/>
        <v>Zona de bajo potencial</v>
      </c>
      <c r="BW775" s="808" t="str">
        <f t="shared" si="428"/>
        <v>P2 - Mantener</v>
      </c>
    </row>
    <row r="776" spans="1:75">
      <c r="A776" s="780" t="str">
        <f>'Base de datos Rutas'!A774</f>
        <v>Pacifico</v>
      </c>
      <c r="B776" s="781" t="str">
        <f>'Base de datos Rutas'!B774</f>
        <v>La Paz</v>
      </c>
      <c r="C776" s="781" t="str">
        <f>'Base de datos Rutas'!C774</f>
        <v>Suc. Cabo San Lucas</v>
      </c>
      <c r="D776" s="782">
        <f>IF(ISNUMBER('Base de datos Rutas'!D774),'Base de datos Rutas'!D774,"Sin código")</f>
        <v>507306</v>
      </c>
      <c r="E776" s="783" t="str">
        <f>'Base de datos Rutas'!F774</f>
        <v>Activa</v>
      </c>
      <c r="F776" s="784" t="str">
        <f>'Base de datos Rutas'!H774</f>
        <v>Sí</v>
      </c>
      <c r="G776" s="785">
        <f>IF(ISNUMBER('Base de datos Rutas'!BE774),'Base de datos Rutas'!BE774,"")</f>
        <v>52.075514874141902</v>
      </c>
      <c r="H776" s="786">
        <f>IF(ISNUMBER('Base de datos Rutas'!BH774),'Base de datos Rutas'!BH774,"")</f>
        <v>0.50235092499011302</v>
      </c>
      <c r="I776" s="788">
        <f>IFERROR(IF(OR(NOT(ISNUMBER('Base de datos Rutas'!O774)),N('Base de datos Rutas'!BK774)=0),"",'Base de datos Rutas'!O774/('Base de datos Rutas'!L774/'Base de datos Rutas'!BK774)),"")</f>
        <v>2138.0091533180744</v>
      </c>
      <c r="J776" s="788">
        <f>IFERROR(IF(OR(NOT(ISNUMBER('Base de datos Rutas'!N774)),N('Base de datos Rutas'!BK774)=0),"",'Base de datos Rutas'!N774/('Base de datos Rutas'!L774/'Base de datos Rutas'!BK774)),"")</f>
        <v>16429.935926773429</v>
      </c>
      <c r="K776" s="788">
        <f>IFERROR(IF(OR(NOT(ISNUMBER('Base de datos Rutas'!J774)),N('Base de datos Rutas'!BK774)=0),"",'Base de datos Rutas'!J774/('Base de datos Rutas'!L774/'Base de datos Rutas'!BK774)),"")</f>
        <v>1066.2715881006848</v>
      </c>
      <c r="L776" s="788">
        <f>IFERROR(IF(OR(NOT(ISNUMBER('Base de datos Rutas'!K774)),N('Base de datos Rutas'!BK774)=0),"",'Base de datos Rutas'!K774/('Base de datos Rutas'!L774/'Base de datos Rutas'!BK774)),"")</f>
        <v>16.478725828375257</v>
      </c>
      <c r="M776" s="787">
        <f>IF(ISNUMBER('Base de datos Rutas'!AX774),'Base de datos Rutas'!AX774,"")</f>
        <v>709.77863715885201</v>
      </c>
      <c r="N776" s="790">
        <f>IFERROR(INDEX('Hoja de apoyo v2'!B$17:B$20,MATCH($A776,'Hoja de apoyo v2'!$A$17:$A$20,0)),"")</f>
        <v>48.509140196922353</v>
      </c>
      <c r="O776" s="791">
        <f>IFERROR(INDEX('Hoja de apoyo v2'!C$17:C$20,MATCH($A776,'Hoja de apoyo v2'!$A$17:$A$20,0)),"")</f>
        <v>0.66965083735281605</v>
      </c>
      <c r="P776" s="793">
        <f>IFERROR(INDEX('Hoja de apoyo v2'!D$17:D$20,MATCH($A776,'Hoja de apoyo v2'!$A$17:$A$20,0)),"")</f>
        <v>5938.874134119359</v>
      </c>
      <c r="Q776" s="793">
        <f>IFERROR(INDEX('Hoja de apoyo v2'!E$17:E$20,MATCH($A776,'Hoja de apoyo v2'!$A$17:$A$20,0)),"")</f>
        <v>4160.5938481536259</v>
      </c>
      <c r="R776" s="793">
        <f>IFERROR(INDEX('Hoja de apoyo v2'!F$17:F$20,MATCH($A776,'Hoja de apoyo v2'!$A$17:$A$20,0)),"")</f>
        <v>261.11067511683507</v>
      </c>
      <c r="S776" s="793">
        <f>IFERROR(INDEX('Hoja de apoyo v2'!G$17:G$20,MATCH($A776,'Hoja de apoyo v2'!$A$17:$A$20,0)),"")</f>
        <v>47.352224855431231</v>
      </c>
      <c r="T776" s="792">
        <f>IFERROR(INDEX('Hoja de apoyo v2'!H$17:H$20,MATCH($A776,'Hoja de apoyo v2'!$A$17:$A$20,0)),"")</f>
        <v>492.72230557971551</v>
      </c>
      <c r="U776" s="794">
        <f t="shared" ref="U776:U796" si="436">IFERROR(G776/N776,"")</f>
        <v>1.0735196431588334</v>
      </c>
      <c r="V776" s="795">
        <f t="shared" ref="V776:V796" si="437">IFERROR(H776/O776,"")</f>
        <v>0.75016844147607864</v>
      </c>
      <c r="W776" s="795">
        <f t="shared" ref="W776:W796" si="438">IFERROR(IF(N(P776)=0,"",I776/P776),"")</f>
        <v>0.36000243565274803</v>
      </c>
      <c r="X776" s="843">
        <f t="shared" ref="X776:X796" si="439">IFERROR(IF(N(Q776)=0,"",J776/Q776),"")</f>
        <v>3.9489401096107111</v>
      </c>
      <c r="Y776" s="843">
        <f t="shared" ref="Y776:Y796" si="440">IFERROR(IF(N(R776)=0,"",K776/R776),"")</f>
        <v>4.0836001347841373</v>
      </c>
      <c r="Z776" s="843">
        <f t="shared" ref="Z776:Z796" si="441">IFERROR(IF(N(S776)=0,"",L776/S776),"")</f>
        <v>0.34800320108898053</v>
      </c>
      <c r="AA776" s="843">
        <f t="shared" ref="AA776:AA796" si="442">IFERROR(IF(N(T776)=0,"",M776/T776),"")</f>
        <v>1.4405246710391111</v>
      </c>
      <c r="AB776" s="796">
        <f t="shared" ref="AB776:AB796" si="443">IF(NOT(ISNUMBER(U776)),0,IFERROR(MATCH(U776,$U$3:$X$3,1)+1,1))</f>
        <v>4</v>
      </c>
      <c r="AC776" s="797">
        <f t="shared" ref="AC776:AC796" si="444">IF(NOT(ISNUMBER(V776)),0,IFERROR(MATCH(V776,$U$3:$X$3,1)+1,1))</f>
        <v>3</v>
      </c>
      <c r="AD776" s="797">
        <f t="shared" ref="AD776:AD796" si="445">IF(NOT(ISNUMBER(W776)),0,IFERROR(MATCH(W776,$U$3:$X$3,1)+1,1))</f>
        <v>1</v>
      </c>
      <c r="AE776" s="842">
        <f t="shared" ref="AE776:AE796" si="446">IF(NOT(ISNUMBER(X776)),0,IFERROR(MATCH(X776,$U$3:$X$3,1)+1,1))</f>
        <v>5</v>
      </c>
      <c r="AF776" s="842">
        <f t="shared" ref="AF776:AF796" si="447">IF(NOT(ISNUMBER(Y776)),0,IFERROR(MATCH(Y776,$U$3:$X$3,1)+1,1))</f>
        <v>5</v>
      </c>
      <c r="AG776" s="842">
        <f t="shared" ref="AG776:AG796" si="448">IF(NOT(ISNUMBER(Z776)),0,IFERROR(MATCH(Z776,$U$3:$X$3,1)+1,1))</f>
        <v>1</v>
      </c>
      <c r="AH776" s="842">
        <f t="shared" ref="AH776:AH796" si="449">IF(NOT(ISNUMBER(AA776)),0,IFERROR(MATCH(AA776,$U$3:$X$3,1)+1,1))</f>
        <v>5</v>
      </c>
      <c r="AI776" s="826" cm="1">
        <f t="array" ref="AI776">SUMPRODUCT(--ISNUMBER($U776:$AA776),$AB$3:$AH$3)</f>
        <v>1</v>
      </c>
      <c r="AJ776" s="829">
        <f t="shared" ref="AJ776:AJ796" si="450">IF(OR($E776&lt;&gt;"Activa",$F776&lt;&gt;"Sí",AI776&lt;$AI$4),"",(SUMPRODUCT($AB776:$AH776,$AB$3:$AH$3)/AI776-1)/4*100)</f>
        <v>52.687599700531408</v>
      </c>
      <c r="AK776" s="827" t="str">
        <f t="shared" ref="AK776:AK796" si="451">IF($E776&lt;&gt;"Activa","Ruta inactiva",IF($F776&lt;&gt;"Sí","No elegible",IF(AJ776="","Sin datos",IF(AJ776&gt;=$AJ$4,"Madura",IF(AJ776&lt;$AK$4,"Inmadura","En desarrollo")))))</f>
        <v>En desarrollo</v>
      </c>
      <c r="AL776" s="784" t="str">
        <f t="shared" ref="AL776:AL796" si="452">IF(AJ776="","n/a",IF(AI776&gt;=$AL$3,"Alta",IF(AI776&gt;=$AL$4,"Media","Baja")))</f>
        <v>Alta</v>
      </c>
      <c r="AM776" s="799">
        <f>IF(ISNUMBER('Base de datos Rutas'!W774),'Base de datos Rutas'!W774,"")</f>
        <v>4093.0935254259307</v>
      </c>
      <c r="AN776" s="787">
        <f>IFERROR(SUMIFS('Base de datos Rutas'!$W$6:$W$794,'Base de datos Rutas'!$C$6:$C$794,$C776)/'Base de datos Rutas'!I774,"")</f>
        <v>4093.0935254259307</v>
      </c>
      <c r="AO776" s="800">
        <f>IFERROR('Base de datos Rutas'!X774*AN776/AM776,"")</f>
        <v>0.46968213431228284</v>
      </c>
      <c r="AP776" s="800">
        <f t="shared" ref="AP776:AP796" si="453">IF(ISNUMBER(AO776),1-AO776,"")</f>
        <v>0.53031786568771722</v>
      </c>
      <c r="AQ776" s="789">
        <f>IFERROR(INDEX('Hoja de apoyo v2'!$J$17:$J$20,MATCH($A776,'Hoja de apoyo v2'!$A$17:$A$20,0)),"")</f>
        <v>0.50577184527496444</v>
      </c>
      <c r="AR776" s="789">
        <f t="shared" ref="AR776:AR796" si="454">IF(AND(ISNUMBER($AP776),ISNUMBER($AQ776)),$AP776-$AQ776,"")</f>
        <v>2.4546020412752778E-2</v>
      </c>
      <c r="AS776" s="784" t="str">
        <f t="shared" ref="AS776:AS796" si="455">IF(NOT(ISNUMBER(AO776)),"n/d",IF(AO776&gt;=$AO$4,"Sí","No"))</f>
        <v>No</v>
      </c>
      <c r="AT776" s="801">
        <f>IF(ISNUMBER('Base de datos Rutas'!CK774),'Base de datos Rutas'!CK774,"")</f>
        <v>215</v>
      </c>
      <c r="AU776" s="802">
        <f>IF(ISNUMBER('Base de datos Rutas'!CL774),'Base de datos Rutas'!CL774,"")</f>
        <v>284.5</v>
      </c>
      <c r="AV776" s="802">
        <f>IF(ISNUMBER('Base de datos Rutas'!CM774),'Base de datos Rutas'!CM774,"")</f>
        <v>69.5</v>
      </c>
      <c r="AW776" s="802">
        <f>IF(ISNUMBER('Base de datos Rutas'!CN774),'Base de datos Rutas'!CN774,"")</f>
        <v>7.47</v>
      </c>
      <c r="AX776" s="802">
        <f>IF(ISNUMBER('Base de datos Rutas'!CO774),'Base de datos Rutas'!CO774,"")</f>
        <v>9.4499999999999993</v>
      </c>
      <c r="AY776" s="802">
        <f>IF(ISNUMBER('Base de datos Rutas'!CP774),'Base de datos Rutas'!CP774,"")</f>
        <v>1.9799999999999995</v>
      </c>
      <c r="AZ776" s="802">
        <f>IF(ISNUMBER('Base de datos Rutas'!CQ774),'Base de datos Rutas'!CQ774,"")</f>
        <v>564.37</v>
      </c>
      <c r="BA776" s="802">
        <f>IF(ISNUMBER('Base de datos Rutas'!CR774),'Base de datos Rutas'!CR774,"")</f>
        <v>1082.75</v>
      </c>
      <c r="BB776" s="803">
        <f>IF(ISNUMBER('Base de datos Rutas'!CS774),'Base de datos Rutas'!CS774,"")</f>
        <v>-518.38</v>
      </c>
      <c r="BC776" s="804">
        <f t="shared" si="429"/>
        <v>1</v>
      </c>
      <c r="BD776" s="805" t="str">
        <f t="shared" si="430"/>
        <v>Saturada</v>
      </c>
      <c r="BE776" s="806">
        <f t="shared" si="431"/>
        <v>1.9185109059659442</v>
      </c>
      <c r="BF776" s="890">
        <f>IF(ISNUMBER('Base de datos Rutas'!CX774),'Base de datos Rutas'!CX774/100,"")</f>
        <v>0.95958795562599053</v>
      </c>
      <c r="BG776" s="891">
        <f>IF(ISNUMBER('Base de datos Rutas'!CZ774),'Base de datos Rutas'!CZ774/100,"")</f>
        <v>0.98161648177496053</v>
      </c>
      <c r="BH776" s="892">
        <f>IF(ISNUMBER('Base de datos Rutas'!DA774),'Base de datos Rutas'!DA774,"")</f>
        <v>552.56918281904177</v>
      </c>
      <c r="BI776" s="893">
        <f>IF(ISNUMBER('Base de datos Rutas'!DC774),'Base de datos Rutas'!DC774,"")</f>
        <v>31.807601178477285</v>
      </c>
      <c r="BJ776" s="805" t="str">
        <f t="shared" si="432"/>
        <v>Ruta (completo)</v>
      </c>
      <c r="BK776" s="783">
        <f t="shared" ref="BK776:BK796" si="456">IF(NOT(ISNUMBER($BF776)),0,MIN(5,1+INT(5*COUNTIFS($C$8:$C$796,$C776,$BF$8:$BF$796,"&lt;"&amp;$BF776)/COUNTIFS($C$8:$C$796,$C776,$BF$8:$BF$796,"&gt;=-1E+300"))))</f>
        <v>5</v>
      </c>
      <c r="BL776" s="797">
        <f t="shared" ref="BL776:BL796" si="457">IF(NOT(ISNUMBER($BG776)),0,MIN(5,1+INT(5*COUNTIFS($C$8:$C$796,$C776,$BG$8:$BG$796,"&lt;"&amp;$BG776)/COUNTIFS($C$8:$C$796,$C776,$BG$8:$BG$796,"&gt;=-1E+300"))))</f>
        <v>5</v>
      </c>
      <c r="BM776" s="797">
        <f t="shared" ref="BM776:BM796" si="458">IF(NOT(ISNUMBER($BH776)),0,MIN(5,1+INT(5*COUNTIFS($C$8:$C$796,$C776,$BH$8:$BH$796,"&lt;"&amp;$BH776)/COUNTIFS($C$8:$C$796,$C776,$BH$8:$BH$796,"&gt;=-1E+300"))))</f>
        <v>5</v>
      </c>
      <c r="BN776" s="797">
        <f t="shared" ref="BN776:BN796" si="459">IF(NOT(ISNUMBER($BI776)),0,MIN(5,1+INT(5*COUNTIFS($C$8:$C$796,$C776,$BI$8:$BI$796,"&lt;"&amp;$BI776)/COUNTIFS($C$8:$C$796,$C776,$BI$8:$BI$796,"&gt;=-1E+300"))))</f>
        <v>5</v>
      </c>
      <c r="BO776" s="798" cm="1">
        <f t="array" ref="BO776">SUMPRODUCT(--ISNUMBER($BF776:$BI776),$BK$3:$BN$3)</f>
        <v>1</v>
      </c>
      <c r="BP776" s="831">
        <f t="shared" si="433"/>
        <v>100</v>
      </c>
      <c r="BQ776" s="834" t="str">
        <f t="shared" si="434"/>
        <v>Alto</v>
      </c>
      <c r="BR776" s="836">
        <f t="shared" ref="BR776:BR796" si="460">IF(OR(NOT(ISNUMBER($AJ776)),$BD776="N/D"),"",$AJ776*$BS$3+IF($BD776="Saturada",100,0)*$BU$3)</f>
        <v>64.515699775398559</v>
      </c>
      <c r="BS776" s="836">
        <f t="shared" ref="BS776:BS796" si="461">IF(ISNUMBER($BP776),$BP776,"")</f>
        <v>100</v>
      </c>
      <c r="BT776" s="837" t="str">
        <f t="shared" ref="BT776:BT796" si="462">IF(OR(NOT(ISNUMBER($BR776)),NOT(ISNUMBER($BS776))),"Sin datos",IF($BR776&gt;=$BS$4,IF($BS776&gt;=$BU$4,"P1","P2"),IF($BS776&gt;=$BU$4,"P3","P4")))</f>
        <v>P1</v>
      </c>
      <c r="BU776" s="807" t="str">
        <f t="shared" si="435"/>
        <v>Al tope</v>
      </c>
      <c r="BV776" s="807" t="str">
        <f t="shared" ref="BV776:BV796" si="463">IF($BU776="No evaluable","No evaluable",IF($BQ776="Sin datos","Sin datos de zona",IF($BQ776="Alto","Zona atractiva","Zona de bajo potencial")))</f>
        <v>Zona atractiva</v>
      </c>
      <c r="BW776" s="808" t="str">
        <f t="shared" ref="BW776:BW796" si="464">IFERROR(IF($BT776="P1","P1 - Ampliar cobertura",IF($BT776="P2","P2 - Mantener",IF($BT776="P3","P3 - Desarrollar",IF($BT776="P4","P4 - Evaluar","Sin datos")))),"Sin datos")</f>
        <v>P1 - Ampliar cobertura</v>
      </c>
    </row>
    <row r="777" spans="1:75">
      <c r="A777" s="780" t="str">
        <f>'Base de datos Rutas'!A775</f>
        <v>Pacifico</v>
      </c>
      <c r="B777" s="781" t="str">
        <f>'Base de datos Rutas'!B775</f>
        <v>La Paz</v>
      </c>
      <c r="C777" s="781" t="str">
        <f>'Base de datos Rutas'!C775</f>
        <v>Suc. Cabo San Lucas</v>
      </c>
      <c r="D777" s="782">
        <f>IF(ISNUMBER('Base de datos Rutas'!D775),'Base de datos Rutas'!D775,"Sin código")</f>
        <v>507307</v>
      </c>
      <c r="E777" s="783" t="str">
        <f>'Base de datos Rutas'!F775</f>
        <v>Activa</v>
      </c>
      <c r="F777" s="784" t="str">
        <f>'Base de datos Rutas'!H775</f>
        <v>Sí</v>
      </c>
      <c r="G777" s="785">
        <f>IF(ISNUMBER('Base de datos Rutas'!BE775),'Base de datos Rutas'!BE775,"")</f>
        <v>4.6315789473684204</v>
      </c>
      <c r="H777" s="786">
        <f>IF(ISNUMBER('Base de datos Rutas'!BH775),'Base de datos Rutas'!BH775,"")</f>
        <v>0.13636363636363599</v>
      </c>
      <c r="I777" s="788">
        <f>IFERROR(IF(OR(NOT(ISNUMBER('Base de datos Rutas'!O775)),N('Base de datos Rutas'!BK775)=0),"",'Base de datos Rutas'!O775/('Base de datos Rutas'!L775/'Base de datos Rutas'!BK775)),"")</f>
        <v>2507.1379310344805</v>
      </c>
      <c r="J777" s="788">
        <f>IFERROR(IF(OR(NOT(ISNUMBER('Base de datos Rutas'!N775)),N('Base de datos Rutas'!BK775)=0),"",'Base de datos Rutas'!N775/('Base de datos Rutas'!L775/'Base de datos Rutas'!BK775)),"")</f>
        <v>172.89655172413777</v>
      </c>
      <c r="K777" s="788">
        <f>IFERROR(IF(OR(NOT(ISNUMBER('Base de datos Rutas'!J775)),N('Base de datos Rutas'!BK775)=0),"",'Base de datos Rutas'!J775/('Base de datos Rutas'!L775/'Base de datos Rutas'!BK775)),"")</f>
        <v>11.295972413793091</v>
      </c>
      <c r="L777" s="788">
        <f>IFERROR(IF(OR(NOT(ISNUMBER('Base de datos Rutas'!K775)),N('Base de datos Rutas'!BK775)=0),"",'Base de datos Rutas'!K775/('Base de datos Rutas'!L775/'Base de datos Rutas'!BK775)),"")</f>
        <v>23.310330724137909</v>
      </c>
      <c r="M777" s="787">
        <f>IF(ISNUMBER('Base de datos Rutas'!AX775),'Base de datos Rutas'!AX775,"")</f>
        <v>3700.9876190476198</v>
      </c>
      <c r="N777" s="790">
        <f>IFERROR(INDEX('Hoja de apoyo v2'!B$17:B$20,MATCH($A777,'Hoja de apoyo v2'!$A$17:$A$20,0)),"")</f>
        <v>48.509140196922353</v>
      </c>
      <c r="O777" s="791">
        <f>IFERROR(INDEX('Hoja de apoyo v2'!C$17:C$20,MATCH($A777,'Hoja de apoyo v2'!$A$17:$A$20,0)),"")</f>
        <v>0.66965083735281605</v>
      </c>
      <c r="P777" s="793">
        <f>IFERROR(INDEX('Hoja de apoyo v2'!D$17:D$20,MATCH($A777,'Hoja de apoyo v2'!$A$17:$A$20,0)),"")</f>
        <v>5938.874134119359</v>
      </c>
      <c r="Q777" s="793">
        <f>IFERROR(INDEX('Hoja de apoyo v2'!E$17:E$20,MATCH($A777,'Hoja de apoyo v2'!$A$17:$A$20,0)),"")</f>
        <v>4160.5938481536259</v>
      </c>
      <c r="R777" s="793">
        <f>IFERROR(INDEX('Hoja de apoyo v2'!F$17:F$20,MATCH($A777,'Hoja de apoyo v2'!$A$17:$A$20,0)),"")</f>
        <v>261.11067511683507</v>
      </c>
      <c r="S777" s="793">
        <f>IFERROR(INDEX('Hoja de apoyo v2'!G$17:G$20,MATCH($A777,'Hoja de apoyo v2'!$A$17:$A$20,0)),"")</f>
        <v>47.352224855431231</v>
      </c>
      <c r="T777" s="792">
        <f>IFERROR(INDEX('Hoja de apoyo v2'!H$17:H$20,MATCH($A777,'Hoja de apoyo v2'!$A$17:$A$20,0)),"")</f>
        <v>492.72230557971551</v>
      </c>
      <c r="U777" s="794">
        <f t="shared" si="436"/>
        <v>9.5478479489980103E-2</v>
      </c>
      <c r="V777" s="795">
        <f t="shared" si="437"/>
        <v>0.20363393690761664</v>
      </c>
      <c r="W777" s="795">
        <f t="shared" si="438"/>
        <v>0.42215710830286007</v>
      </c>
      <c r="X777" s="843">
        <f t="shared" si="439"/>
        <v>4.1555738924352159E-2</v>
      </c>
      <c r="Y777" s="843">
        <f t="shared" si="440"/>
        <v>4.3261243182564871E-2</v>
      </c>
      <c r="Z777" s="843">
        <f t="shared" si="441"/>
        <v>0.49227530058630914</v>
      </c>
      <c r="AA777" s="843">
        <f t="shared" si="442"/>
        <v>7.5113052060697756</v>
      </c>
      <c r="AB777" s="796">
        <f t="shared" si="443"/>
        <v>1</v>
      </c>
      <c r="AC777" s="797">
        <f t="shared" si="444"/>
        <v>1</v>
      </c>
      <c r="AD777" s="797">
        <f t="shared" si="445"/>
        <v>1</v>
      </c>
      <c r="AE777" s="842">
        <f t="shared" si="446"/>
        <v>1</v>
      </c>
      <c r="AF777" s="842">
        <f t="shared" si="447"/>
        <v>1</v>
      </c>
      <c r="AG777" s="842">
        <f t="shared" si="448"/>
        <v>1</v>
      </c>
      <c r="AH777" s="842">
        <f t="shared" si="449"/>
        <v>5</v>
      </c>
      <c r="AI777" s="826" cm="1">
        <f t="array" ref="AI777">SUMPRODUCT(--ISNUMBER($U777:$AA777),$AB$3:$AH$3)</f>
        <v>1</v>
      </c>
      <c r="AJ777" s="829">
        <f t="shared" si="450"/>
        <v>8.9789113613062526</v>
      </c>
      <c r="AK777" s="827" t="str">
        <f t="shared" si="451"/>
        <v>Inmadura</v>
      </c>
      <c r="AL777" s="784" t="str">
        <f t="shared" si="452"/>
        <v>Alta</v>
      </c>
      <c r="AM777" s="799">
        <f>IF(ISNUMBER('Base de datos Rutas'!W775),'Base de datos Rutas'!W775,"")</f>
        <v>4093.0935254259307</v>
      </c>
      <c r="AN777" s="787">
        <f>IFERROR(SUMIFS('Base de datos Rutas'!$W$6:$W$794,'Base de datos Rutas'!$C$6:$C$794,$C777)/'Base de datos Rutas'!I775,"")</f>
        <v>4093.0935254259307</v>
      </c>
      <c r="AO777" s="800">
        <f>IFERROR('Base de datos Rutas'!X775*AN777/AM777,"")</f>
        <v>0.46968213431228284</v>
      </c>
      <c r="AP777" s="800">
        <f t="shared" si="453"/>
        <v>0.53031786568771722</v>
      </c>
      <c r="AQ777" s="789">
        <f>IFERROR(INDEX('Hoja de apoyo v2'!$J$17:$J$20,MATCH($A777,'Hoja de apoyo v2'!$A$17:$A$20,0)),"")</f>
        <v>0.50577184527496444</v>
      </c>
      <c r="AR777" s="789">
        <f t="shared" si="454"/>
        <v>2.4546020412752778E-2</v>
      </c>
      <c r="AS777" s="784" t="str">
        <f t="shared" si="455"/>
        <v>No</v>
      </c>
      <c r="AT777" s="801" t="str">
        <f>IF(ISNUMBER('Base de datos Rutas'!CK775),'Base de datos Rutas'!CK775,"")</f>
        <v/>
      </c>
      <c r="AU777" s="802" t="str">
        <f>IF(ISNUMBER('Base de datos Rutas'!CL775),'Base de datos Rutas'!CL775,"")</f>
        <v/>
      </c>
      <c r="AV777" s="802">
        <f>IF(ISNUMBER('Base de datos Rutas'!CM775),'Base de datos Rutas'!CM775,"")</f>
        <v>0</v>
      </c>
      <c r="AW777" s="802" t="str">
        <f>IF(ISNUMBER('Base de datos Rutas'!CN775),'Base de datos Rutas'!CN775,"")</f>
        <v/>
      </c>
      <c r="AX777" s="802" t="str">
        <f>IF(ISNUMBER('Base de datos Rutas'!CO775),'Base de datos Rutas'!CO775,"")</f>
        <v/>
      </c>
      <c r="AY777" s="802">
        <f>IF(ISNUMBER('Base de datos Rutas'!CP775),'Base de datos Rutas'!CP775,"")</f>
        <v>0</v>
      </c>
      <c r="AZ777" s="802" t="str">
        <f>IF(ISNUMBER('Base de datos Rutas'!CQ775),'Base de datos Rutas'!CQ775,"")</f>
        <v/>
      </c>
      <c r="BA777" s="802" t="str">
        <f>IF(ISNUMBER('Base de datos Rutas'!CR775),'Base de datos Rutas'!CR775,"")</f>
        <v/>
      </c>
      <c r="BB777" s="803">
        <f>IF(ISNUMBER('Base de datos Rutas'!CS775),'Base de datos Rutas'!CS775,"")</f>
        <v>0</v>
      </c>
      <c r="BC777" s="804" t="str">
        <f t="shared" ref="BC777:BC796" si="465">IF(OR(COUNT($AV777,$AY777,$BB777)&lt;3,NOT(ISNUMBER($AT777)),N($AT777)&lt;=0,N($AZ777)&lt;=0),"",COUNTIF($AV777,"&lt;="&amp;$BC$4)+COUNTIF($AY777,"&lt;="&amp;$BC$4)+COUNTIF($BB777,"&lt;="&amp;$BC$4))</f>
        <v/>
      </c>
      <c r="BD777" s="805" t="str">
        <f t="shared" ref="BD777:BD796" si="466">IF(NOT(ISNUMBER($BC777)),"N/D",IF($BC777&gt;=1,"Saturada","No saturada"))</f>
        <v>N/D</v>
      </c>
      <c r="BE777" s="806" t="str">
        <f t="shared" ref="BE777:BE796" si="467">IF(AND(ISNUMBER($AZ777),ISNUMBER($BA777),$AZ777&lt;&gt;0),$BA777/$AZ777,"")</f>
        <v/>
      </c>
      <c r="BF777" s="890" t="str">
        <f>IF(ISNUMBER('Base de datos Rutas'!CX775),'Base de datos Rutas'!CX775/100,"")</f>
        <v/>
      </c>
      <c r="BG777" s="891" t="str">
        <f>IF(ISNUMBER('Base de datos Rutas'!CZ775),'Base de datos Rutas'!CZ775/100,"")</f>
        <v/>
      </c>
      <c r="BH777" s="892" t="str">
        <f>IF(ISNUMBER('Base de datos Rutas'!DA775),'Base de datos Rutas'!DA775,"")</f>
        <v/>
      </c>
      <c r="BI777" s="893" t="str">
        <f>IF(ISNUMBER('Base de datos Rutas'!DC775),'Base de datos Rutas'!DC775,"")</f>
        <v/>
      </c>
      <c r="BJ777" s="805" t="str">
        <f t="shared" ref="BJ777:BJ796" si="468">IF(COUNT($BF777:$BI777)=4,"Ruta (completo)",IF(COUNT($BF777:$BI777)=0,"Sin dato","Ruta (parcial)"))</f>
        <v>Sin dato</v>
      </c>
      <c r="BK777" s="783">
        <f t="shared" si="456"/>
        <v>0</v>
      </c>
      <c r="BL777" s="797">
        <f t="shared" si="457"/>
        <v>0</v>
      </c>
      <c r="BM777" s="797">
        <f t="shared" si="458"/>
        <v>0</v>
      </c>
      <c r="BN777" s="797">
        <f t="shared" si="459"/>
        <v>0</v>
      </c>
      <c r="BO777" s="798" cm="1">
        <f t="array" ref="BO777">SUMPRODUCT(--ISNUMBER($BF777:$BI777),$BK$3:$BN$3)</f>
        <v>0</v>
      </c>
      <c r="BP777" s="831" t="str">
        <f t="shared" ref="BP777:BP796" si="469">IF(BO777&lt;$BO$4,"",(SUMPRODUCT($BK777:$BN777,$BK$3:$BN$3)/BO777-1)/4*100)</f>
        <v/>
      </c>
      <c r="BQ777" s="834" t="str">
        <f t="shared" ref="BQ777:BQ796" si="470">IF(BP777="","Sin datos",IF(BP777&gt;=$BP$4,"Alto",IF(BP777&lt;$BQ$4,"Bajo","Medio")))</f>
        <v>Sin datos</v>
      </c>
      <c r="BR777" s="836" t="str">
        <f t="shared" si="460"/>
        <v/>
      </c>
      <c r="BS777" s="836" t="str">
        <f t="shared" si="461"/>
        <v/>
      </c>
      <c r="BT777" s="837" t="str">
        <f t="shared" si="462"/>
        <v>Sin datos</v>
      </c>
      <c r="BU777" s="807" t="str">
        <f t="shared" ref="BU777:BU796" si="471">IF(OR($AK777="Ruta inactiva",$AK777="No elegible",$AK777="Sin datos"),"No evaluable",IF($BD777="Saturada","Al tope","Con espacio"))</f>
        <v>Con espacio</v>
      </c>
      <c r="BV777" s="807" t="str">
        <f t="shared" si="463"/>
        <v>Sin datos de zona</v>
      </c>
      <c r="BW777" s="808" t="str">
        <f t="shared" si="464"/>
        <v>Sin datos</v>
      </c>
    </row>
    <row r="778" spans="1:75">
      <c r="A778" s="780" t="str">
        <f>'Base de datos Rutas'!A776</f>
        <v>Pacifico</v>
      </c>
      <c r="B778" s="781" t="str">
        <f>'Base de datos Rutas'!B776</f>
        <v>No está en EERR</v>
      </c>
      <c r="C778" s="781" t="str">
        <f>'Base de datos Rutas'!C776</f>
        <v>Suc. Constitución</v>
      </c>
      <c r="D778" s="782">
        <f>IF(ISNUMBER('Base de datos Rutas'!D776),'Base de datos Rutas'!D776,"Sin código")</f>
        <v>508302</v>
      </c>
      <c r="E778" s="783" t="str">
        <f>'Base de datos Rutas'!F776</f>
        <v>Inactiva</v>
      </c>
      <c r="F778" s="784" t="str">
        <f>'Base de datos Rutas'!H776</f>
        <v>No</v>
      </c>
      <c r="G778" s="785" t="str">
        <f>IF(ISNUMBER('Base de datos Rutas'!BE776),'Base de datos Rutas'!BE776,"")</f>
        <v/>
      </c>
      <c r="H778" s="786" t="str">
        <f>IF(ISNUMBER('Base de datos Rutas'!BH776),'Base de datos Rutas'!BH776,"")</f>
        <v/>
      </c>
      <c r="I778" s="788" t="str">
        <f>IFERROR(IF(OR(NOT(ISNUMBER('Base de datos Rutas'!O776)),N('Base de datos Rutas'!BK776)=0),"",'Base de datos Rutas'!O776/('Base de datos Rutas'!L776/'Base de datos Rutas'!BK776)),"")</f>
        <v/>
      </c>
      <c r="J778" s="788" t="str">
        <f>IFERROR(IF(OR(NOT(ISNUMBER('Base de datos Rutas'!N776)),N('Base de datos Rutas'!BK776)=0),"",'Base de datos Rutas'!N776/('Base de datos Rutas'!L776/'Base de datos Rutas'!BK776)),"")</f>
        <v/>
      </c>
      <c r="K778" s="788" t="str">
        <f>IFERROR(IF(OR(NOT(ISNUMBER('Base de datos Rutas'!J776)),N('Base de datos Rutas'!BK776)=0),"",'Base de datos Rutas'!J776/('Base de datos Rutas'!L776/'Base de datos Rutas'!BK776)),"")</f>
        <v/>
      </c>
      <c r="L778" s="788" t="str">
        <f>IFERROR(IF(OR(NOT(ISNUMBER('Base de datos Rutas'!K776)),N('Base de datos Rutas'!BK776)=0),"",'Base de datos Rutas'!K776/('Base de datos Rutas'!L776/'Base de datos Rutas'!BK776)),"")</f>
        <v/>
      </c>
      <c r="M778" s="787">
        <f>IF(ISNUMBER('Base de datos Rutas'!AX776),'Base de datos Rutas'!AX776,"")</f>
        <v>50</v>
      </c>
      <c r="N778" s="790">
        <f>IFERROR(INDEX('Hoja de apoyo v2'!B$17:B$20,MATCH($A778,'Hoja de apoyo v2'!$A$17:$A$20,0)),"")</f>
        <v>48.509140196922353</v>
      </c>
      <c r="O778" s="791">
        <f>IFERROR(INDEX('Hoja de apoyo v2'!C$17:C$20,MATCH($A778,'Hoja de apoyo v2'!$A$17:$A$20,0)),"")</f>
        <v>0.66965083735281605</v>
      </c>
      <c r="P778" s="793">
        <f>IFERROR(INDEX('Hoja de apoyo v2'!D$17:D$20,MATCH($A778,'Hoja de apoyo v2'!$A$17:$A$20,0)),"")</f>
        <v>5938.874134119359</v>
      </c>
      <c r="Q778" s="793">
        <f>IFERROR(INDEX('Hoja de apoyo v2'!E$17:E$20,MATCH($A778,'Hoja de apoyo v2'!$A$17:$A$20,0)),"")</f>
        <v>4160.5938481536259</v>
      </c>
      <c r="R778" s="793">
        <f>IFERROR(INDEX('Hoja de apoyo v2'!F$17:F$20,MATCH($A778,'Hoja de apoyo v2'!$A$17:$A$20,0)),"")</f>
        <v>261.11067511683507</v>
      </c>
      <c r="S778" s="793">
        <f>IFERROR(INDEX('Hoja de apoyo v2'!G$17:G$20,MATCH($A778,'Hoja de apoyo v2'!$A$17:$A$20,0)),"")</f>
        <v>47.352224855431231</v>
      </c>
      <c r="T778" s="792">
        <f>IFERROR(INDEX('Hoja de apoyo v2'!H$17:H$20,MATCH($A778,'Hoja de apoyo v2'!$A$17:$A$20,0)),"")</f>
        <v>492.72230557971551</v>
      </c>
      <c r="U778" s="794" t="str">
        <f t="shared" si="436"/>
        <v/>
      </c>
      <c r="V778" s="795" t="str">
        <f t="shared" si="437"/>
        <v/>
      </c>
      <c r="W778" s="795" t="str">
        <f t="shared" si="438"/>
        <v/>
      </c>
      <c r="X778" s="843" t="str">
        <f t="shared" si="439"/>
        <v/>
      </c>
      <c r="Y778" s="843" t="str">
        <f t="shared" si="440"/>
        <v/>
      </c>
      <c r="Z778" s="843" t="str">
        <f t="shared" si="441"/>
        <v/>
      </c>
      <c r="AA778" s="843">
        <f t="shared" si="442"/>
        <v>0.1014770377427346</v>
      </c>
      <c r="AB778" s="796">
        <f t="shared" si="443"/>
        <v>0</v>
      </c>
      <c r="AC778" s="797">
        <f t="shared" si="444"/>
        <v>0</v>
      </c>
      <c r="AD778" s="797">
        <f t="shared" si="445"/>
        <v>0</v>
      </c>
      <c r="AE778" s="842">
        <f t="shared" si="446"/>
        <v>0</v>
      </c>
      <c r="AF778" s="842">
        <f t="shared" si="447"/>
        <v>0</v>
      </c>
      <c r="AG778" s="842">
        <f t="shared" si="448"/>
        <v>0</v>
      </c>
      <c r="AH778" s="842">
        <f t="shared" si="449"/>
        <v>1</v>
      </c>
      <c r="AI778" s="826" cm="1">
        <f t="array" ref="AI778">SUMPRODUCT(--ISNUMBER($U778:$AA778),$AB$3:$AH$3)</f>
        <v>8.9789113613062493E-2</v>
      </c>
      <c r="AJ778" s="829" t="str">
        <f t="shared" si="450"/>
        <v/>
      </c>
      <c r="AK778" s="827" t="str">
        <f t="shared" si="451"/>
        <v>Ruta inactiva</v>
      </c>
      <c r="AL778" s="784" t="str">
        <f t="shared" si="452"/>
        <v>n/a</v>
      </c>
      <c r="AM778" s="799" t="str">
        <f>IF(ISNUMBER('Base de datos Rutas'!W776),'Base de datos Rutas'!W776,"")</f>
        <v/>
      </c>
      <c r="AN778" s="787">
        <f>IFERROR(SUMIFS('Base de datos Rutas'!$W$6:$W$794,'Base de datos Rutas'!$C$6:$C$794,$C778)/'Base de datos Rutas'!I776,"")</f>
        <v>0</v>
      </c>
      <c r="AO778" s="800" t="str">
        <f>IFERROR('Base de datos Rutas'!X776*AN778/AM778,"")</f>
        <v/>
      </c>
      <c r="AP778" s="800" t="str">
        <f t="shared" si="453"/>
        <v/>
      </c>
      <c r="AQ778" s="789">
        <f>IFERROR(INDEX('Hoja de apoyo v2'!$J$17:$J$20,MATCH($A778,'Hoja de apoyo v2'!$A$17:$A$20,0)),"")</f>
        <v>0.50577184527496444</v>
      </c>
      <c r="AR778" s="789" t="str">
        <f t="shared" si="454"/>
        <v/>
      </c>
      <c r="AS778" s="784" t="str">
        <f t="shared" si="455"/>
        <v>n/d</v>
      </c>
      <c r="AT778" s="801" t="str">
        <f>IF(ISNUMBER('Base de datos Rutas'!CK776),'Base de datos Rutas'!CK776,"")</f>
        <v/>
      </c>
      <c r="AU778" s="802" t="str">
        <f>IF(ISNUMBER('Base de datos Rutas'!CL776),'Base de datos Rutas'!CL776,"")</f>
        <v/>
      </c>
      <c r="AV778" s="802">
        <f>IF(ISNUMBER('Base de datos Rutas'!CM776),'Base de datos Rutas'!CM776,"")</f>
        <v>0</v>
      </c>
      <c r="AW778" s="802" t="str">
        <f>IF(ISNUMBER('Base de datos Rutas'!CN776),'Base de datos Rutas'!CN776,"")</f>
        <v/>
      </c>
      <c r="AX778" s="802" t="str">
        <f>IF(ISNUMBER('Base de datos Rutas'!CO776),'Base de datos Rutas'!CO776,"")</f>
        <v/>
      </c>
      <c r="AY778" s="802">
        <f>IF(ISNUMBER('Base de datos Rutas'!CP776),'Base de datos Rutas'!CP776,"")</f>
        <v>0</v>
      </c>
      <c r="AZ778" s="802" t="str">
        <f>IF(ISNUMBER('Base de datos Rutas'!CQ776),'Base de datos Rutas'!CQ776,"")</f>
        <v/>
      </c>
      <c r="BA778" s="802" t="str">
        <f>IF(ISNUMBER('Base de datos Rutas'!CR776),'Base de datos Rutas'!CR776,"")</f>
        <v/>
      </c>
      <c r="BB778" s="803">
        <f>IF(ISNUMBER('Base de datos Rutas'!CS776),'Base de datos Rutas'!CS776,"")</f>
        <v>0</v>
      </c>
      <c r="BC778" s="804" t="str">
        <f t="shared" si="465"/>
        <v/>
      </c>
      <c r="BD778" s="805" t="str">
        <f t="shared" si="466"/>
        <v>N/D</v>
      </c>
      <c r="BE778" s="806" t="str">
        <f t="shared" si="467"/>
        <v/>
      </c>
      <c r="BF778" s="890" t="str">
        <f>IF(ISNUMBER('Base de datos Rutas'!CX776),'Base de datos Rutas'!CX776/100,"")</f>
        <v/>
      </c>
      <c r="BG778" s="891" t="str">
        <f>IF(ISNUMBER('Base de datos Rutas'!CZ776),'Base de datos Rutas'!CZ776/100,"")</f>
        <v/>
      </c>
      <c r="BH778" s="892" t="str">
        <f>IF(ISNUMBER('Base de datos Rutas'!DA776),'Base de datos Rutas'!DA776,"")</f>
        <v/>
      </c>
      <c r="BI778" s="893" t="str">
        <f>IF(ISNUMBER('Base de datos Rutas'!DC776),'Base de datos Rutas'!DC776,"")</f>
        <v/>
      </c>
      <c r="BJ778" s="805" t="str">
        <f t="shared" si="468"/>
        <v>Sin dato</v>
      </c>
      <c r="BK778" s="783">
        <f t="shared" si="456"/>
        <v>0</v>
      </c>
      <c r="BL778" s="797">
        <f t="shared" si="457"/>
        <v>0</v>
      </c>
      <c r="BM778" s="797">
        <f t="shared" si="458"/>
        <v>0</v>
      </c>
      <c r="BN778" s="797">
        <f t="shared" si="459"/>
        <v>0</v>
      </c>
      <c r="BO778" s="798" cm="1">
        <f t="array" ref="BO778">SUMPRODUCT(--ISNUMBER($BF778:$BI778),$BK$3:$BN$3)</f>
        <v>0</v>
      </c>
      <c r="BP778" s="831" t="str">
        <f t="shared" si="469"/>
        <v/>
      </c>
      <c r="BQ778" s="834" t="str">
        <f t="shared" si="470"/>
        <v>Sin datos</v>
      </c>
      <c r="BR778" s="836" t="str">
        <f t="shared" si="460"/>
        <v/>
      </c>
      <c r="BS778" s="836" t="str">
        <f t="shared" si="461"/>
        <v/>
      </c>
      <c r="BT778" s="837" t="str">
        <f t="shared" si="462"/>
        <v>Sin datos</v>
      </c>
      <c r="BU778" s="807" t="str">
        <f t="shared" si="471"/>
        <v>No evaluable</v>
      </c>
      <c r="BV778" s="807" t="str">
        <f t="shared" si="463"/>
        <v>No evaluable</v>
      </c>
      <c r="BW778" s="808" t="str">
        <f t="shared" si="464"/>
        <v>Sin datos</v>
      </c>
    </row>
    <row r="779" spans="1:75">
      <c r="A779" s="780" t="str">
        <f>'Base de datos Rutas'!A777</f>
        <v>Pacifico</v>
      </c>
      <c r="B779" s="781" t="str">
        <f>'Base de datos Rutas'!B777</f>
        <v>No está en EERR</v>
      </c>
      <c r="C779" s="781" t="str">
        <f>'Base de datos Rutas'!C777</f>
        <v>Planta Escuinapa</v>
      </c>
      <c r="D779" s="782">
        <f>IF(ISNUMBER('Base de datos Rutas'!D777),'Base de datos Rutas'!D777,"Sin código")</f>
        <v>504300</v>
      </c>
      <c r="E779" s="783" t="str">
        <f>'Base de datos Rutas'!F777</f>
        <v>Activa</v>
      </c>
      <c r="F779" s="784" t="str">
        <f>'Base de datos Rutas'!H777</f>
        <v>Sí</v>
      </c>
      <c r="G779" s="785">
        <f>IF(ISNUMBER('Base de datos Rutas'!BE777),'Base de datos Rutas'!BE777,"")</f>
        <v>55.428571428571402</v>
      </c>
      <c r="H779" s="786">
        <f>IF(ISNUMBER('Base de datos Rutas'!BH777),'Base de datos Rutas'!BH777,"")</f>
        <v>3.09278350515464E-2</v>
      </c>
      <c r="I779" s="788">
        <f>IFERROR(IF(OR(NOT(ISNUMBER('Base de datos Rutas'!O777)),N('Base de datos Rutas'!BK777)=0),"",'Base de datos Rutas'!O777/('Base de datos Rutas'!L777/'Base de datos Rutas'!BK777)),"")</f>
        <v>908.25000000000011</v>
      </c>
      <c r="J779" s="788">
        <f>IFERROR(IF(OR(NOT(ISNUMBER('Base de datos Rutas'!N777)),N('Base de datos Rutas'!BK777)=0),"",'Base de datos Rutas'!N777/('Base de datos Rutas'!L777/'Base de datos Rutas'!BK777)),"")</f>
        <v>165.55000000000004</v>
      </c>
      <c r="K779" s="788">
        <f>IFERROR(IF(OR(NOT(ISNUMBER('Base de datos Rutas'!J777)),N('Base de datos Rutas'!BK777)=0),"",'Base de datos Rutas'!J777/('Base de datos Rutas'!L777/'Base de datos Rutas'!BK777)),"")</f>
        <v>12.328400000000002</v>
      </c>
      <c r="L779" s="788">
        <f>IFERROR(IF(OR(NOT(ISNUMBER('Base de datos Rutas'!K777)),N('Base de datos Rutas'!BK777)=0),"",'Base de datos Rutas'!K777/('Base de datos Rutas'!L777/'Base de datos Rutas'!BK777)),"")</f>
        <v>12.470731500000001</v>
      </c>
      <c r="M779" s="787">
        <f>IF(ISNUMBER('Base de datos Rutas'!AX777),'Base de datos Rutas'!AX777,"")</f>
        <v>596.49777777777797</v>
      </c>
      <c r="N779" s="790">
        <f>IFERROR(INDEX('Hoja de apoyo v2'!B$17:B$20,MATCH($A779,'Hoja de apoyo v2'!$A$17:$A$20,0)),"")</f>
        <v>48.509140196922353</v>
      </c>
      <c r="O779" s="791">
        <f>IFERROR(INDEX('Hoja de apoyo v2'!C$17:C$20,MATCH($A779,'Hoja de apoyo v2'!$A$17:$A$20,0)),"")</f>
        <v>0.66965083735281605</v>
      </c>
      <c r="P779" s="793">
        <f>IFERROR(INDEX('Hoja de apoyo v2'!D$17:D$20,MATCH($A779,'Hoja de apoyo v2'!$A$17:$A$20,0)),"")</f>
        <v>5938.874134119359</v>
      </c>
      <c r="Q779" s="793">
        <f>IFERROR(INDEX('Hoja de apoyo v2'!E$17:E$20,MATCH($A779,'Hoja de apoyo v2'!$A$17:$A$20,0)),"")</f>
        <v>4160.5938481536259</v>
      </c>
      <c r="R779" s="793">
        <f>IFERROR(INDEX('Hoja de apoyo v2'!F$17:F$20,MATCH($A779,'Hoja de apoyo v2'!$A$17:$A$20,0)),"")</f>
        <v>261.11067511683507</v>
      </c>
      <c r="S779" s="793">
        <f>IFERROR(INDEX('Hoja de apoyo v2'!G$17:G$20,MATCH($A779,'Hoja de apoyo v2'!$A$17:$A$20,0)),"")</f>
        <v>47.352224855431231</v>
      </c>
      <c r="T779" s="792">
        <f>IFERROR(INDEX('Hoja de apoyo v2'!H$17:H$20,MATCH($A779,'Hoja de apoyo v2'!$A$17:$A$20,0)),"")</f>
        <v>492.72230557971551</v>
      </c>
      <c r="U779" s="794">
        <f t="shared" si="436"/>
        <v>1.1426418032469694</v>
      </c>
      <c r="V779" s="795">
        <f t="shared" si="437"/>
        <v>4.6185016618222469E-2</v>
      </c>
      <c r="W779" s="795">
        <f t="shared" si="438"/>
        <v>0.15293302728576502</v>
      </c>
      <c r="X779" s="843">
        <f t="shared" si="439"/>
        <v>3.9789992977436926E-2</v>
      </c>
      <c r="Y779" s="843">
        <f t="shared" si="440"/>
        <v>4.721522777451978E-2</v>
      </c>
      <c r="Z779" s="843">
        <f t="shared" si="441"/>
        <v>0.26336104666831989</v>
      </c>
      <c r="AA779" s="843">
        <f t="shared" si="442"/>
        <v>1.2106165501802577</v>
      </c>
      <c r="AB779" s="796">
        <f t="shared" si="443"/>
        <v>4</v>
      </c>
      <c r="AC779" s="797">
        <f t="shared" si="444"/>
        <v>1</v>
      </c>
      <c r="AD779" s="797">
        <f t="shared" si="445"/>
        <v>1</v>
      </c>
      <c r="AE779" s="842">
        <f t="shared" si="446"/>
        <v>1</v>
      </c>
      <c r="AF779" s="842">
        <f t="shared" si="447"/>
        <v>1</v>
      </c>
      <c r="AG779" s="842">
        <f t="shared" si="448"/>
        <v>1</v>
      </c>
      <c r="AH779" s="842">
        <f t="shared" si="449"/>
        <v>4</v>
      </c>
      <c r="AI779" s="826" cm="1">
        <f t="array" ref="AI779">SUMPRODUCT(--ISNUMBER($U779:$AA779),$AB$3:$AH$3)</f>
        <v>1</v>
      </c>
      <c r="AJ779" s="829">
        <f t="shared" si="450"/>
        <v>20.335092055389946</v>
      </c>
      <c r="AK779" s="827" t="str">
        <f t="shared" si="451"/>
        <v>Inmadura</v>
      </c>
      <c r="AL779" s="784" t="str">
        <f t="shared" si="452"/>
        <v>Alta</v>
      </c>
      <c r="AM779" s="799" t="str">
        <f>IF(ISNUMBER('Base de datos Rutas'!W777),'Base de datos Rutas'!W777,"")</f>
        <v/>
      </c>
      <c r="AN779" s="787">
        <f>IFERROR(SUMIFS('Base de datos Rutas'!$W$6:$W$794,'Base de datos Rutas'!$C$6:$C$794,$C779)/'Base de datos Rutas'!I777,"")</f>
        <v>0</v>
      </c>
      <c r="AO779" s="800" t="str">
        <f>IFERROR('Base de datos Rutas'!X777*AN779/AM779,"")</f>
        <v/>
      </c>
      <c r="AP779" s="800" t="str">
        <f t="shared" si="453"/>
        <v/>
      </c>
      <c r="AQ779" s="789">
        <f>IFERROR(INDEX('Hoja de apoyo v2'!$J$17:$J$20,MATCH($A779,'Hoja de apoyo v2'!$A$17:$A$20,0)),"")</f>
        <v>0.50577184527496444</v>
      </c>
      <c r="AR779" s="789" t="str">
        <f t="shared" si="454"/>
        <v/>
      </c>
      <c r="AS779" s="784" t="str">
        <f t="shared" si="455"/>
        <v>n/d</v>
      </c>
      <c r="AT779" s="801" t="str">
        <f>IF(ISNUMBER('Base de datos Rutas'!CK777),'Base de datos Rutas'!CK777,"")</f>
        <v/>
      </c>
      <c r="AU779" s="802" t="str">
        <f>IF(ISNUMBER('Base de datos Rutas'!CL777),'Base de datos Rutas'!CL777,"")</f>
        <v/>
      </c>
      <c r="AV779" s="802">
        <f>IF(ISNUMBER('Base de datos Rutas'!CM777),'Base de datos Rutas'!CM777,"")</f>
        <v>0</v>
      </c>
      <c r="AW779" s="802" t="str">
        <f>IF(ISNUMBER('Base de datos Rutas'!CN777),'Base de datos Rutas'!CN777,"")</f>
        <v/>
      </c>
      <c r="AX779" s="802" t="str">
        <f>IF(ISNUMBER('Base de datos Rutas'!CO777),'Base de datos Rutas'!CO777,"")</f>
        <v/>
      </c>
      <c r="AY779" s="802">
        <f>IF(ISNUMBER('Base de datos Rutas'!CP777),'Base de datos Rutas'!CP777,"")</f>
        <v>0</v>
      </c>
      <c r="AZ779" s="802" t="str">
        <f>IF(ISNUMBER('Base de datos Rutas'!CQ777),'Base de datos Rutas'!CQ777,"")</f>
        <v/>
      </c>
      <c r="BA779" s="802" t="str">
        <f>IF(ISNUMBER('Base de datos Rutas'!CR777),'Base de datos Rutas'!CR777,"")</f>
        <v/>
      </c>
      <c r="BB779" s="803">
        <f>IF(ISNUMBER('Base de datos Rutas'!CS777),'Base de datos Rutas'!CS777,"")</f>
        <v>0</v>
      </c>
      <c r="BC779" s="804" t="str">
        <f t="shared" si="465"/>
        <v/>
      </c>
      <c r="BD779" s="805" t="str">
        <f t="shared" si="466"/>
        <v>N/D</v>
      </c>
      <c r="BE779" s="806" t="str">
        <f t="shared" si="467"/>
        <v/>
      </c>
      <c r="BF779" s="890" t="str">
        <f>IF(ISNUMBER('Base de datos Rutas'!CX777),'Base de datos Rutas'!CX777/100,"")</f>
        <v/>
      </c>
      <c r="BG779" s="891" t="str">
        <f>IF(ISNUMBER('Base de datos Rutas'!CZ777),'Base de datos Rutas'!CZ777/100,"")</f>
        <v/>
      </c>
      <c r="BH779" s="892" t="str">
        <f>IF(ISNUMBER('Base de datos Rutas'!DA777),'Base de datos Rutas'!DA777,"")</f>
        <v/>
      </c>
      <c r="BI779" s="893" t="str">
        <f>IF(ISNUMBER('Base de datos Rutas'!DC777),'Base de datos Rutas'!DC777,"")</f>
        <v/>
      </c>
      <c r="BJ779" s="805" t="str">
        <f t="shared" si="468"/>
        <v>Sin dato</v>
      </c>
      <c r="BK779" s="783">
        <f t="shared" si="456"/>
        <v>0</v>
      </c>
      <c r="BL779" s="797">
        <f t="shared" si="457"/>
        <v>0</v>
      </c>
      <c r="BM779" s="797">
        <f t="shared" si="458"/>
        <v>0</v>
      </c>
      <c r="BN779" s="797">
        <f t="shared" si="459"/>
        <v>0</v>
      </c>
      <c r="BO779" s="798" cm="1">
        <f t="array" ref="BO779">SUMPRODUCT(--ISNUMBER($BF779:$BI779),$BK$3:$BN$3)</f>
        <v>0</v>
      </c>
      <c r="BP779" s="831" t="str">
        <f t="shared" si="469"/>
        <v/>
      </c>
      <c r="BQ779" s="834" t="str">
        <f t="shared" si="470"/>
        <v>Sin datos</v>
      </c>
      <c r="BR779" s="836" t="str">
        <f t="shared" si="460"/>
        <v/>
      </c>
      <c r="BS779" s="836" t="str">
        <f t="shared" si="461"/>
        <v/>
      </c>
      <c r="BT779" s="837" t="str">
        <f t="shared" si="462"/>
        <v>Sin datos</v>
      </c>
      <c r="BU779" s="807" t="str">
        <f t="shared" si="471"/>
        <v>Con espacio</v>
      </c>
      <c r="BV779" s="807" t="str">
        <f t="shared" si="463"/>
        <v>Sin datos de zona</v>
      </c>
      <c r="BW779" s="808" t="str">
        <f t="shared" si="464"/>
        <v>Sin datos</v>
      </c>
    </row>
    <row r="780" spans="1:75">
      <c r="A780" s="780" t="str">
        <f>'Base de datos Rutas'!A778</f>
        <v>Pacifico</v>
      </c>
      <c r="B780" s="781" t="str">
        <f>'Base de datos Rutas'!B778</f>
        <v>No está en EERR</v>
      </c>
      <c r="C780" s="781" t="str">
        <f>'Base de datos Rutas'!C778</f>
        <v>Suc. La Cruz</v>
      </c>
      <c r="D780" s="782">
        <f>IF(ISNUMBER('Base de datos Rutas'!D778),'Base de datos Rutas'!D778,"Sin código")</f>
        <v>505300</v>
      </c>
      <c r="E780" s="783" t="str">
        <f>'Base de datos Rutas'!F778</f>
        <v>Inactiva</v>
      </c>
      <c r="F780" s="784" t="str">
        <f>'Base de datos Rutas'!H778</f>
        <v>No</v>
      </c>
      <c r="G780" s="785" t="str">
        <f>IF(ISNUMBER('Base de datos Rutas'!BE778),'Base de datos Rutas'!BE778,"")</f>
        <v/>
      </c>
      <c r="H780" s="786" t="str">
        <f>IF(ISNUMBER('Base de datos Rutas'!BH778),'Base de datos Rutas'!BH778,"")</f>
        <v/>
      </c>
      <c r="I780" s="788" t="str">
        <f>IFERROR(IF(OR(NOT(ISNUMBER('Base de datos Rutas'!O778)),N('Base de datos Rutas'!BK778)=0),"",'Base de datos Rutas'!O778/('Base de datos Rutas'!L778/'Base de datos Rutas'!BK778)),"")</f>
        <v/>
      </c>
      <c r="J780" s="788" t="str">
        <f>IFERROR(IF(OR(NOT(ISNUMBER('Base de datos Rutas'!N778)),N('Base de datos Rutas'!BK778)=0),"",'Base de datos Rutas'!N778/('Base de datos Rutas'!L778/'Base de datos Rutas'!BK778)),"")</f>
        <v/>
      </c>
      <c r="K780" s="788" t="str">
        <f>IFERROR(IF(OR(NOT(ISNUMBER('Base de datos Rutas'!J778)),N('Base de datos Rutas'!BK778)=0),"",'Base de datos Rutas'!J778/('Base de datos Rutas'!L778/'Base de datos Rutas'!BK778)),"")</f>
        <v/>
      </c>
      <c r="L780" s="788" t="str">
        <f>IFERROR(IF(OR(NOT(ISNUMBER('Base de datos Rutas'!K778)),N('Base de datos Rutas'!BK778)=0),"",'Base de datos Rutas'!K778/('Base de datos Rutas'!L778/'Base de datos Rutas'!BK778)),"")</f>
        <v/>
      </c>
      <c r="M780" s="787">
        <f>IF(ISNUMBER('Base de datos Rutas'!AX778),'Base de datos Rutas'!AX778,"")</f>
        <v>144</v>
      </c>
      <c r="N780" s="790">
        <f>IFERROR(INDEX('Hoja de apoyo v2'!B$17:B$20,MATCH($A780,'Hoja de apoyo v2'!$A$17:$A$20,0)),"")</f>
        <v>48.509140196922353</v>
      </c>
      <c r="O780" s="791">
        <f>IFERROR(INDEX('Hoja de apoyo v2'!C$17:C$20,MATCH($A780,'Hoja de apoyo v2'!$A$17:$A$20,0)),"")</f>
        <v>0.66965083735281605</v>
      </c>
      <c r="P780" s="793">
        <f>IFERROR(INDEX('Hoja de apoyo v2'!D$17:D$20,MATCH($A780,'Hoja de apoyo v2'!$A$17:$A$20,0)),"")</f>
        <v>5938.874134119359</v>
      </c>
      <c r="Q780" s="793">
        <f>IFERROR(INDEX('Hoja de apoyo v2'!E$17:E$20,MATCH($A780,'Hoja de apoyo v2'!$A$17:$A$20,0)),"")</f>
        <v>4160.5938481536259</v>
      </c>
      <c r="R780" s="793">
        <f>IFERROR(INDEX('Hoja de apoyo v2'!F$17:F$20,MATCH($A780,'Hoja de apoyo v2'!$A$17:$A$20,0)),"")</f>
        <v>261.11067511683507</v>
      </c>
      <c r="S780" s="793">
        <f>IFERROR(INDEX('Hoja de apoyo v2'!G$17:G$20,MATCH($A780,'Hoja de apoyo v2'!$A$17:$A$20,0)),"")</f>
        <v>47.352224855431231</v>
      </c>
      <c r="T780" s="792">
        <f>IFERROR(INDEX('Hoja de apoyo v2'!H$17:H$20,MATCH($A780,'Hoja de apoyo v2'!$A$17:$A$20,0)),"")</f>
        <v>492.72230557971551</v>
      </c>
      <c r="U780" s="794" t="str">
        <f t="shared" si="436"/>
        <v/>
      </c>
      <c r="V780" s="795" t="str">
        <f t="shared" si="437"/>
        <v/>
      </c>
      <c r="W780" s="795" t="str">
        <f t="shared" si="438"/>
        <v/>
      </c>
      <c r="X780" s="843" t="str">
        <f t="shared" si="439"/>
        <v/>
      </c>
      <c r="Y780" s="843" t="str">
        <f t="shared" si="440"/>
        <v/>
      </c>
      <c r="Z780" s="843" t="str">
        <f t="shared" si="441"/>
        <v/>
      </c>
      <c r="AA780" s="843">
        <f t="shared" si="442"/>
        <v>0.29225386869907566</v>
      </c>
      <c r="AB780" s="796">
        <f t="shared" si="443"/>
        <v>0</v>
      </c>
      <c r="AC780" s="797">
        <f t="shared" si="444"/>
        <v>0</v>
      </c>
      <c r="AD780" s="797">
        <f t="shared" si="445"/>
        <v>0</v>
      </c>
      <c r="AE780" s="842">
        <f t="shared" si="446"/>
        <v>0</v>
      </c>
      <c r="AF780" s="842">
        <f t="shared" si="447"/>
        <v>0</v>
      </c>
      <c r="AG780" s="842">
        <f t="shared" si="448"/>
        <v>0</v>
      </c>
      <c r="AH780" s="842">
        <f t="shared" si="449"/>
        <v>1</v>
      </c>
      <c r="AI780" s="826" cm="1">
        <f t="array" ref="AI780">SUMPRODUCT(--ISNUMBER($U780:$AA780),$AB$3:$AH$3)</f>
        <v>8.9789113613062493E-2</v>
      </c>
      <c r="AJ780" s="829" t="str">
        <f t="shared" si="450"/>
        <v/>
      </c>
      <c r="AK780" s="827" t="str">
        <f t="shared" si="451"/>
        <v>Ruta inactiva</v>
      </c>
      <c r="AL780" s="784" t="str">
        <f t="shared" si="452"/>
        <v>n/a</v>
      </c>
      <c r="AM780" s="799" t="str">
        <f>IF(ISNUMBER('Base de datos Rutas'!W778),'Base de datos Rutas'!W778,"")</f>
        <v/>
      </c>
      <c r="AN780" s="787">
        <f>IFERROR(SUMIFS('Base de datos Rutas'!$W$6:$W$794,'Base de datos Rutas'!$C$6:$C$794,$C780)/'Base de datos Rutas'!I778,"")</f>
        <v>0</v>
      </c>
      <c r="AO780" s="800" t="str">
        <f>IFERROR('Base de datos Rutas'!X778*AN780/AM780,"")</f>
        <v/>
      </c>
      <c r="AP780" s="800" t="str">
        <f t="shared" si="453"/>
        <v/>
      </c>
      <c r="AQ780" s="789">
        <f>IFERROR(INDEX('Hoja de apoyo v2'!$J$17:$J$20,MATCH($A780,'Hoja de apoyo v2'!$A$17:$A$20,0)),"")</f>
        <v>0.50577184527496444</v>
      </c>
      <c r="AR780" s="789" t="str">
        <f t="shared" si="454"/>
        <v/>
      </c>
      <c r="AS780" s="784" t="str">
        <f t="shared" si="455"/>
        <v>n/d</v>
      </c>
      <c r="AT780" s="801" t="str">
        <f>IF(ISNUMBER('Base de datos Rutas'!CK778),'Base de datos Rutas'!CK778,"")</f>
        <v/>
      </c>
      <c r="AU780" s="802" t="str">
        <f>IF(ISNUMBER('Base de datos Rutas'!CL778),'Base de datos Rutas'!CL778,"")</f>
        <v/>
      </c>
      <c r="AV780" s="802">
        <f>IF(ISNUMBER('Base de datos Rutas'!CM778),'Base de datos Rutas'!CM778,"")</f>
        <v>0</v>
      </c>
      <c r="AW780" s="802" t="str">
        <f>IF(ISNUMBER('Base de datos Rutas'!CN778),'Base de datos Rutas'!CN778,"")</f>
        <v/>
      </c>
      <c r="AX780" s="802" t="str">
        <f>IF(ISNUMBER('Base de datos Rutas'!CO778),'Base de datos Rutas'!CO778,"")</f>
        <v/>
      </c>
      <c r="AY780" s="802">
        <f>IF(ISNUMBER('Base de datos Rutas'!CP778),'Base de datos Rutas'!CP778,"")</f>
        <v>0</v>
      </c>
      <c r="AZ780" s="802" t="str">
        <f>IF(ISNUMBER('Base de datos Rutas'!CQ778),'Base de datos Rutas'!CQ778,"")</f>
        <v/>
      </c>
      <c r="BA780" s="802" t="str">
        <f>IF(ISNUMBER('Base de datos Rutas'!CR778),'Base de datos Rutas'!CR778,"")</f>
        <v/>
      </c>
      <c r="BB780" s="803">
        <f>IF(ISNUMBER('Base de datos Rutas'!CS778),'Base de datos Rutas'!CS778,"")</f>
        <v>0</v>
      </c>
      <c r="BC780" s="804" t="str">
        <f t="shared" si="465"/>
        <v/>
      </c>
      <c r="BD780" s="805" t="str">
        <f t="shared" si="466"/>
        <v>N/D</v>
      </c>
      <c r="BE780" s="806" t="str">
        <f t="shared" si="467"/>
        <v/>
      </c>
      <c r="BF780" s="890" t="str">
        <f>IF(ISNUMBER('Base de datos Rutas'!CX778),'Base de datos Rutas'!CX778/100,"")</f>
        <v/>
      </c>
      <c r="BG780" s="891" t="str">
        <f>IF(ISNUMBER('Base de datos Rutas'!CZ778),'Base de datos Rutas'!CZ778/100,"")</f>
        <v/>
      </c>
      <c r="BH780" s="892" t="str">
        <f>IF(ISNUMBER('Base de datos Rutas'!DA778),'Base de datos Rutas'!DA778,"")</f>
        <v/>
      </c>
      <c r="BI780" s="893" t="str">
        <f>IF(ISNUMBER('Base de datos Rutas'!DC778),'Base de datos Rutas'!DC778,"")</f>
        <v/>
      </c>
      <c r="BJ780" s="805" t="str">
        <f t="shared" si="468"/>
        <v>Sin dato</v>
      </c>
      <c r="BK780" s="783">
        <f t="shared" si="456"/>
        <v>0</v>
      </c>
      <c r="BL780" s="797">
        <f t="shared" si="457"/>
        <v>0</v>
      </c>
      <c r="BM780" s="797">
        <f t="shared" si="458"/>
        <v>0</v>
      </c>
      <c r="BN780" s="797">
        <f t="shared" si="459"/>
        <v>0</v>
      </c>
      <c r="BO780" s="798" cm="1">
        <f t="array" ref="BO780">SUMPRODUCT(--ISNUMBER($BF780:$BI780),$BK$3:$BN$3)</f>
        <v>0</v>
      </c>
      <c r="BP780" s="831" t="str">
        <f t="shared" si="469"/>
        <v/>
      </c>
      <c r="BQ780" s="834" t="str">
        <f t="shared" si="470"/>
        <v>Sin datos</v>
      </c>
      <c r="BR780" s="836" t="str">
        <f t="shared" si="460"/>
        <v/>
      </c>
      <c r="BS780" s="836" t="str">
        <f t="shared" si="461"/>
        <v/>
      </c>
      <c r="BT780" s="837" t="str">
        <f t="shared" si="462"/>
        <v>Sin datos</v>
      </c>
      <c r="BU780" s="807" t="str">
        <f t="shared" si="471"/>
        <v>No evaluable</v>
      </c>
      <c r="BV780" s="807" t="str">
        <f t="shared" si="463"/>
        <v>No evaluable</v>
      </c>
      <c r="BW780" s="808" t="str">
        <f t="shared" si="464"/>
        <v>Sin datos</v>
      </c>
    </row>
    <row r="781" spans="1:75">
      <c r="A781" s="780" t="str">
        <f>'Base de datos Rutas'!A779</f>
        <v>Pacifico</v>
      </c>
      <c r="B781" s="781" t="str">
        <f>'Base de datos Rutas'!B779</f>
        <v>Mazatlán</v>
      </c>
      <c r="C781" s="781" t="str">
        <f>'Base de datos Rutas'!C779</f>
        <v>Sucursal Venadillo</v>
      </c>
      <c r="D781" s="782">
        <f>IF(ISNUMBER('Base de datos Rutas'!D779),'Base de datos Rutas'!D779,"Sin código")</f>
        <v>503270</v>
      </c>
      <c r="E781" s="783" t="str">
        <f>'Base de datos Rutas'!F779</f>
        <v>Activa</v>
      </c>
      <c r="F781" s="784" t="str">
        <f>'Base de datos Rutas'!H779</f>
        <v>No</v>
      </c>
      <c r="G781" s="785" t="str">
        <f>IF(ISNUMBER('Base de datos Rutas'!BE779),'Base de datos Rutas'!BE779,"")</f>
        <v/>
      </c>
      <c r="H781" s="786" t="str">
        <f>IF(ISNUMBER('Base de datos Rutas'!BH779),'Base de datos Rutas'!BH779,"")</f>
        <v/>
      </c>
      <c r="I781" s="788" t="str">
        <f>IFERROR(IF(OR(NOT(ISNUMBER('Base de datos Rutas'!O779)),N('Base de datos Rutas'!BK779)=0),"",'Base de datos Rutas'!O779/('Base de datos Rutas'!L779/'Base de datos Rutas'!BK779)),"")</f>
        <v/>
      </c>
      <c r="J781" s="788" t="str">
        <f>IFERROR(IF(OR(NOT(ISNUMBER('Base de datos Rutas'!N779)),N('Base de datos Rutas'!BK779)=0),"",'Base de datos Rutas'!N779/('Base de datos Rutas'!L779/'Base de datos Rutas'!BK779)),"")</f>
        <v/>
      </c>
      <c r="K781" s="788" t="str">
        <f>IFERROR(IF(OR(NOT(ISNUMBER('Base de datos Rutas'!J779)),N('Base de datos Rutas'!BK779)=0),"",'Base de datos Rutas'!J779/('Base de datos Rutas'!L779/'Base de datos Rutas'!BK779)),"")</f>
        <v/>
      </c>
      <c r="L781" s="788" t="str">
        <f>IFERROR(IF(OR(NOT(ISNUMBER('Base de datos Rutas'!K779)),N('Base de datos Rutas'!BK779)=0),"",'Base de datos Rutas'!K779/('Base de datos Rutas'!L779/'Base de datos Rutas'!BK779)),"")</f>
        <v/>
      </c>
      <c r="M781" s="787">
        <f>IF(ISNUMBER('Base de datos Rutas'!AX779),'Base de datos Rutas'!AX779,"")</f>
        <v>383.64287356321802</v>
      </c>
      <c r="N781" s="790">
        <f>IFERROR(INDEX('Hoja de apoyo v2'!B$17:B$20,MATCH($A781,'Hoja de apoyo v2'!$A$17:$A$20,0)),"")</f>
        <v>48.509140196922353</v>
      </c>
      <c r="O781" s="791">
        <f>IFERROR(INDEX('Hoja de apoyo v2'!C$17:C$20,MATCH($A781,'Hoja de apoyo v2'!$A$17:$A$20,0)),"")</f>
        <v>0.66965083735281605</v>
      </c>
      <c r="P781" s="793">
        <f>IFERROR(INDEX('Hoja de apoyo v2'!D$17:D$20,MATCH($A781,'Hoja de apoyo v2'!$A$17:$A$20,0)),"")</f>
        <v>5938.874134119359</v>
      </c>
      <c r="Q781" s="793">
        <f>IFERROR(INDEX('Hoja de apoyo v2'!E$17:E$20,MATCH($A781,'Hoja de apoyo v2'!$A$17:$A$20,0)),"")</f>
        <v>4160.5938481536259</v>
      </c>
      <c r="R781" s="793">
        <f>IFERROR(INDEX('Hoja de apoyo v2'!F$17:F$20,MATCH($A781,'Hoja de apoyo v2'!$A$17:$A$20,0)),"")</f>
        <v>261.11067511683507</v>
      </c>
      <c r="S781" s="793">
        <f>IFERROR(INDEX('Hoja de apoyo v2'!G$17:G$20,MATCH($A781,'Hoja de apoyo v2'!$A$17:$A$20,0)),"")</f>
        <v>47.352224855431231</v>
      </c>
      <c r="T781" s="792">
        <f>IFERROR(INDEX('Hoja de apoyo v2'!H$17:H$20,MATCH($A781,'Hoja de apoyo v2'!$A$17:$A$20,0)),"")</f>
        <v>492.72230557971551</v>
      </c>
      <c r="U781" s="794" t="str">
        <f t="shared" si="436"/>
        <v/>
      </c>
      <c r="V781" s="795" t="str">
        <f t="shared" si="437"/>
        <v/>
      </c>
      <c r="W781" s="795" t="str">
        <f t="shared" si="438"/>
        <v/>
      </c>
      <c r="X781" s="843" t="str">
        <f t="shared" si="439"/>
        <v/>
      </c>
      <c r="Y781" s="843" t="str">
        <f t="shared" si="440"/>
        <v/>
      </c>
      <c r="Z781" s="843" t="str">
        <f t="shared" si="441"/>
        <v/>
      </c>
      <c r="AA781" s="843">
        <f t="shared" si="442"/>
        <v>0.77861884720611663</v>
      </c>
      <c r="AB781" s="796">
        <f t="shared" si="443"/>
        <v>0</v>
      </c>
      <c r="AC781" s="797">
        <f t="shared" si="444"/>
        <v>0</v>
      </c>
      <c r="AD781" s="797">
        <f t="shared" si="445"/>
        <v>0</v>
      </c>
      <c r="AE781" s="842">
        <f t="shared" si="446"/>
        <v>0</v>
      </c>
      <c r="AF781" s="842">
        <f t="shared" si="447"/>
        <v>0</v>
      </c>
      <c r="AG781" s="842">
        <f t="shared" si="448"/>
        <v>0</v>
      </c>
      <c r="AH781" s="842">
        <f t="shared" si="449"/>
        <v>3</v>
      </c>
      <c r="AI781" s="826" cm="1">
        <f t="array" ref="AI781">SUMPRODUCT(--ISNUMBER($U781:$AA781),$AB$3:$AH$3)</f>
        <v>8.9789113613062493E-2</v>
      </c>
      <c r="AJ781" s="829" t="str">
        <f t="shared" si="450"/>
        <v/>
      </c>
      <c r="AK781" s="827" t="str">
        <f t="shared" si="451"/>
        <v>No elegible</v>
      </c>
      <c r="AL781" s="784" t="str">
        <f t="shared" si="452"/>
        <v>n/a</v>
      </c>
      <c r="AM781" s="799">
        <f>IF(ISNUMBER('Base de datos Rutas'!W779),'Base de datos Rutas'!W779,"")</f>
        <v>1989.5052980311282</v>
      </c>
      <c r="AN781" s="787">
        <f>IFERROR(SUMIFS('Base de datos Rutas'!$W$6:$W$794,'Base de datos Rutas'!$C$6:$C$794,$C781)/'Base de datos Rutas'!I779,"")</f>
        <v>1989.5052980311282</v>
      </c>
      <c r="AO781" s="800">
        <f>IFERROR('Base de datos Rutas'!X779*AN781/AM781,"")</f>
        <v>0.92132291446597758</v>
      </c>
      <c r="AP781" s="800">
        <f t="shared" si="453"/>
        <v>7.8677085534022417E-2</v>
      </c>
      <c r="AQ781" s="789">
        <f>IFERROR(INDEX('Hoja de apoyo v2'!$J$17:$J$20,MATCH($A781,'Hoja de apoyo v2'!$A$17:$A$20,0)),"")</f>
        <v>0.50577184527496444</v>
      </c>
      <c r="AR781" s="789">
        <f t="shared" si="454"/>
        <v>-0.42709475974094202</v>
      </c>
      <c r="AS781" s="784" t="str">
        <f t="shared" si="455"/>
        <v>Sí</v>
      </c>
      <c r="AT781" s="801" t="str">
        <f>IF(ISNUMBER('Base de datos Rutas'!CK779),'Base de datos Rutas'!CK779,"")</f>
        <v/>
      </c>
      <c r="AU781" s="802" t="str">
        <f>IF(ISNUMBER('Base de datos Rutas'!CL779),'Base de datos Rutas'!CL779,"")</f>
        <v/>
      </c>
      <c r="AV781" s="802">
        <f>IF(ISNUMBER('Base de datos Rutas'!CM779),'Base de datos Rutas'!CM779,"")</f>
        <v>0</v>
      </c>
      <c r="AW781" s="802" t="str">
        <f>IF(ISNUMBER('Base de datos Rutas'!CN779),'Base de datos Rutas'!CN779,"")</f>
        <v/>
      </c>
      <c r="AX781" s="802" t="str">
        <f>IF(ISNUMBER('Base de datos Rutas'!CO779),'Base de datos Rutas'!CO779,"")</f>
        <v/>
      </c>
      <c r="AY781" s="802">
        <f>IF(ISNUMBER('Base de datos Rutas'!CP779),'Base de datos Rutas'!CP779,"")</f>
        <v>0</v>
      </c>
      <c r="AZ781" s="802" t="str">
        <f>IF(ISNUMBER('Base de datos Rutas'!CQ779),'Base de datos Rutas'!CQ779,"")</f>
        <v/>
      </c>
      <c r="BA781" s="802" t="str">
        <f>IF(ISNUMBER('Base de datos Rutas'!CR779),'Base de datos Rutas'!CR779,"")</f>
        <v/>
      </c>
      <c r="BB781" s="803">
        <f>IF(ISNUMBER('Base de datos Rutas'!CS779),'Base de datos Rutas'!CS779,"")</f>
        <v>0</v>
      </c>
      <c r="BC781" s="804" t="str">
        <f t="shared" si="465"/>
        <v/>
      </c>
      <c r="BD781" s="805" t="str">
        <f t="shared" si="466"/>
        <v>N/D</v>
      </c>
      <c r="BE781" s="806" t="str">
        <f t="shared" si="467"/>
        <v/>
      </c>
      <c r="BF781" s="890" t="str">
        <f>IF(ISNUMBER('Base de datos Rutas'!CX779),'Base de datos Rutas'!CX779/100,"")</f>
        <v/>
      </c>
      <c r="BG781" s="891" t="str">
        <f>IF(ISNUMBER('Base de datos Rutas'!CZ779),'Base de datos Rutas'!CZ779/100,"")</f>
        <v/>
      </c>
      <c r="BH781" s="892" t="str">
        <f>IF(ISNUMBER('Base de datos Rutas'!DA779),'Base de datos Rutas'!DA779,"")</f>
        <v/>
      </c>
      <c r="BI781" s="893" t="str">
        <f>IF(ISNUMBER('Base de datos Rutas'!DC779),'Base de datos Rutas'!DC779,"")</f>
        <v/>
      </c>
      <c r="BJ781" s="805" t="str">
        <f t="shared" si="468"/>
        <v>Sin dato</v>
      </c>
      <c r="BK781" s="783">
        <f t="shared" si="456"/>
        <v>0</v>
      </c>
      <c r="BL781" s="797">
        <f t="shared" si="457"/>
        <v>0</v>
      </c>
      <c r="BM781" s="797">
        <f t="shared" si="458"/>
        <v>0</v>
      </c>
      <c r="BN781" s="797">
        <f t="shared" si="459"/>
        <v>0</v>
      </c>
      <c r="BO781" s="798" cm="1">
        <f t="array" ref="BO781">SUMPRODUCT(--ISNUMBER($BF781:$BI781),$BK$3:$BN$3)</f>
        <v>0</v>
      </c>
      <c r="BP781" s="831" t="str">
        <f t="shared" si="469"/>
        <v/>
      </c>
      <c r="BQ781" s="834" t="str">
        <f t="shared" si="470"/>
        <v>Sin datos</v>
      </c>
      <c r="BR781" s="836" t="str">
        <f t="shared" si="460"/>
        <v/>
      </c>
      <c r="BS781" s="836" t="str">
        <f t="shared" si="461"/>
        <v/>
      </c>
      <c r="BT781" s="837" t="str">
        <f t="shared" si="462"/>
        <v>Sin datos</v>
      </c>
      <c r="BU781" s="807" t="str">
        <f t="shared" si="471"/>
        <v>No evaluable</v>
      </c>
      <c r="BV781" s="807" t="str">
        <f t="shared" si="463"/>
        <v>No evaluable</v>
      </c>
      <c r="BW781" s="808" t="str">
        <f t="shared" si="464"/>
        <v>Sin datos</v>
      </c>
    </row>
    <row r="782" spans="1:75">
      <c r="A782" s="780" t="str">
        <f>'Base de datos Rutas'!A780</f>
        <v>Pacifico</v>
      </c>
      <c r="B782" s="781" t="str">
        <f>'Base de datos Rutas'!B780</f>
        <v>Mazatlán</v>
      </c>
      <c r="C782" s="781" t="str">
        <f>'Base de datos Rutas'!C780</f>
        <v>Sucursal Venadillo</v>
      </c>
      <c r="D782" s="782">
        <f>IF(ISNUMBER('Base de datos Rutas'!D780),'Base de datos Rutas'!D780,"Sin código")</f>
        <v>503300</v>
      </c>
      <c r="E782" s="783" t="str">
        <f>'Base de datos Rutas'!F780</f>
        <v>Activa</v>
      </c>
      <c r="F782" s="784" t="str">
        <f>'Base de datos Rutas'!H780</f>
        <v>Sí</v>
      </c>
      <c r="G782" s="785">
        <f>IF(ISNUMBER('Base de datos Rutas'!BE780),'Base de datos Rutas'!BE780,"")</f>
        <v>58.620137299771201</v>
      </c>
      <c r="H782" s="786">
        <f>IF(ISNUMBER('Base de datos Rutas'!BH780),'Base de datos Rutas'!BH780,"")</f>
        <v>0.54955693484795298</v>
      </c>
      <c r="I782" s="788">
        <f>IFERROR(IF(OR(NOT(ISNUMBER('Base de datos Rutas'!O780)),N('Base de datos Rutas'!BK780)=0),"",'Base de datos Rutas'!O780/('Base de datos Rutas'!L780/'Base de datos Rutas'!BK780)),"")</f>
        <v>3270.9244851258536</v>
      </c>
      <c r="J782" s="788">
        <f>IFERROR(IF(OR(NOT(ISNUMBER('Base de datos Rutas'!N780)),N('Base de datos Rutas'!BK780)=0),"",'Base de datos Rutas'!N780/('Base de datos Rutas'!L780/'Base de datos Rutas'!BK780)),"")</f>
        <v>3910.9839816933581</v>
      </c>
      <c r="K782" s="788">
        <f>IFERROR(IF(OR(NOT(ISNUMBER('Base de datos Rutas'!J780)),N('Base de datos Rutas'!BK780)=0),"",'Base de datos Rutas'!J780/('Base de datos Rutas'!L780/'Base de datos Rutas'!BK780)),"")</f>
        <v>256.90950846681886</v>
      </c>
      <c r="L782" s="788">
        <f>IFERROR(IF(OR(NOT(ISNUMBER('Base de datos Rutas'!K780)),N('Base de datos Rutas'!BK780)=0),"",'Base de datos Rutas'!K780/('Base de datos Rutas'!L780/'Base de datos Rutas'!BK780)),"")</f>
        <v>29.829159702517121</v>
      </c>
      <c r="M782" s="787">
        <f>IF(ISNUMBER('Base de datos Rutas'!AX780),'Base de datos Rutas'!AX780,"")</f>
        <v>221.523575792016</v>
      </c>
      <c r="N782" s="790">
        <f>IFERROR(INDEX('Hoja de apoyo v2'!B$17:B$20,MATCH($A782,'Hoja de apoyo v2'!$A$17:$A$20,0)),"")</f>
        <v>48.509140196922353</v>
      </c>
      <c r="O782" s="791">
        <f>IFERROR(INDEX('Hoja de apoyo v2'!C$17:C$20,MATCH($A782,'Hoja de apoyo v2'!$A$17:$A$20,0)),"")</f>
        <v>0.66965083735281605</v>
      </c>
      <c r="P782" s="793">
        <f>IFERROR(INDEX('Hoja de apoyo v2'!D$17:D$20,MATCH($A782,'Hoja de apoyo v2'!$A$17:$A$20,0)),"")</f>
        <v>5938.874134119359</v>
      </c>
      <c r="Q782" s="793">
        <f>IFERROR(INDEX('Hoja de apoyo v2'!E$17:E$20,MATCH($A782,'Hoja de apoyo v2'!$A$17:$A$20,0)),"")</f>
        <v>4160.5938481536259</v>
      </c>
      <c r="R782" s="793">
        <f>IFERROR(INDEX('Hoja de apoyo v2'!F$17:F$20,MATCH($A782,'Hoja de apoyo v2'!$A$17:$A$20,0)),"")</f>
        <v>261.11067511683507</v>
      </c>
      <c r="S782" s="793">
        <f>IFERROR(INDEX('Hoja de apoyo v2'!G$17:G$20,MATCH($A782,'Hoja de apoyo v2'!$A$17:$A$20,0)),"")</f>
        <v>47.352224855431231</v>
      </c>
      <c r="T782" s="792">
        <f>IFERROR(INDEX('Hoja de apoyo v2'!H$17:H$20,MATCH($A782,'Hoja de apoyo v2'!$A$17:$A$20,0)),"")</f>
        <v>492.72230557971551</v>
      </c>
      <c r="U782" s="794">
        <f t="shared" si="436"/>
        <v>1.208434885916414</v>
      </c>
      <c r="V782" s="795">
        <f t="shared" si="437"/>
        <v>0.82066190945179129</v>
      </c>
      <c r="W782" s="795">
        <f t="shared" si="438"/>
        <v>0.55076507958538845</v>
      </c>
      <c r="X782" s="843">
        <f t="shared" si="439"/>
        <v>0.94000619248835382</v>
      </c>
      <c r="Y782" s="843">
        <f t="shared" si="440"/>
        <v>0.98391039872982455</v>
      </c>
      <c r="Z782" s="843">
        <f t="shared" si="441"/>
        <v>0.62994209445463378</v>
      </c>
      <c r="AA782" s="843">
        <f t="shared" si="442"/>
        <v>0.44959112523103872</v>
      </c>
      <c r="AB782" s="796">
        <f t="shared" si="443"/>
        <v>4</v>
      </c>
      <c r="AC782" s="797">
        <f t="shared" si="444"/>
        <v>3</v>
      </c>
      <c r="AD782" s="797">
        <f t="shared" si="445"/>
        <v>2</v>
      </c>
      <c r="AE782" s="842">
        <f t="shared" si="446"/>
        <v>3</v>
      </c>
      <c r="AF782" s="842">
        <f t="shared" si="447"/>
        <v>3</v>
      </c>
      <c r="AG782" s="842">
        <f t="shared" si="448"/>
        <v>2</v>
      </c>
      <c r="AH782" s="842">
        <f t="shared" si="449"/>
        <v>1</v>
      </c>
      <c r="AI782" s="826" cm="1">
        <f t="array" ref="AI782">SUMPRODUCT(--ISNUMBER($U782:$AA782),$AB$3:$AH$3)</f>
        <v>1</v>
      </c>
      <c r="AJ782" s="829">
        <f t="shared" si="450"/>
        <v>40.540942260095925</v>
      </c>
      <c r="AK782" s="827" t="str">
        <f t="shared" si="451"/>
        <v>Inmadura</v>
      </c>
      <c r="AL782" s="784" t="str">
        <f t="shared" si="452"/>
        <v>Alta</v>
      </c>
      <c r="AM782" s="799">
        <f>IF(ISNUMBER('Base de datos Rutas'!W780),'Base de datos Rutas'!W780,"")</f>
        <v>1989.5052980311282</v>
      </c>
      <c r="AN782" s="787">
        <f>IFERROR(SUMIFS('Base de datos Rutas'!$W$6:$W$794,'Base de datos Rutas'!$C$6:$C$794,$C782)/'Base de datos Rutas'!I780,"")</f>
        <v>1989.5052980311282</v>
      </c>
      <c r="AO782" s="800">
        <f>IFERROR('Base de datos Rutas'!X780*AN782/AM782,"")</f>
        <v>0.92132291446597758</v>
      </c>
      <c r="AP782" s="800">
        <f t="shared" si="453"/>
        <v>7.8677085534022417E-2</v>
      </c>
      <c r="AQ782" s="789">
        <f>IFERROR(INDEX('Hoja de apoyo v2'!$J$17:$J$20,MATCH($A782,'Hoja de apoyo v2'!$A$17:$A$20,0)),"")</f>
        <v>0.50577184527496444</v>
      </c>
      <c r="AR782" s="789">
        <f t="shared" si="454"/>
        <v>-0.42709475974094202</v>
      </c>
      <c r="AS782" s="784" t="str">
        <f t="shared" si="455"/>
        <v>Sí</v>
      </c>
      <c r="AT782" s="801">
        <f>IF(ISNUMBER('Base de datos Rutas'!CK780),'Base de datos Rutas'!CK780,"")</f>
        <v>358</v>
      </c>
      <c r="AU782" s="802">
        <f>IF(ISNUMBER('Base de datos Rutas'!CL780),'Base de datos Rutas'!CL780,"")</f>
        <v>417</v>
      </c>
      <c r="AV782" s="802">
        <f>IF(ISNUMBER('Base de datos Rutas'!CM780),'Base de datos Rutas'!CM780,"")</f>
        <v>59</v>
      </c>
      <c r="AW782" s="802">
        <f>IF(ISNUMBER('Base de datos Rutas'!CN780),'Base de datos Rutas'!CN780,"")</f>
        <v>8.4499999999999993</v>
      </c>
      <c r="AX782" s="802">
        <f>IF(ISNUMBER('Base de datos Rutas'!CO780),'Base de datos Rutas'!CO780,"")</f>
        <v>9.4499999999999993</v>
      </c>
      <c r="AY782" s="802">
        <f>IF(ISNUMBER('Base de datos Rutas'!CP780),'Base de datos Rutas'!CP780,"")</f>
        <v>1</v>
      </c>
      <c r="AZ782" s="802">
        <f>IF(ISNUMBER('Base de datos Rutas'!CQ780),'Base de datos Rutas'!CQ780,"")</f>
        <v>740.74</v>
      </c>
      <c r="BA782" s="802">
        <f>IF(ISNUMBER('Base de datos Rutas'!CR780),'Base de datos Rutas'!CR780,"")</f>
        <v>286.74</v>
      </c>
      <c r="BB782" s="803">
        <f>IF(ISNUMBER('Base de datos Rutas'!CS780),'Base de datos Rutas'!CS780,"")</f>
        <v>454</v>
      </c>
      <c r="BC782" s="804">
        <f t="shared" si="465"/>
        <v>0</v>
      </c>
      <c r="BD782" s="805" t="str">
        <f t="shared" si="466"/>
        <v>No saturada</v>
      </c>
      <c r="BE782" s="806">
        <f t="shared" si="467"/>
        <v>0.38709938709938713</v>
      </c>
      <c r="BF782" s="890">
        <f>IF(ISNUMBER('Base de datos Rutas'!CX780),'Base de datos Rutas'!CX780/100,"")</f>
        <v>0.11282281607904783</v>
      </c>
      <c r="BG782" s="891">
        <f>IF(ISNUMBER('Base de datos Rutas'!CZ780),'Base de datos Rutas'!CZ780/100,"")</f>
        <v>0.11414776555131372</v>
      </c>
      <c r="BH782" s="892">
        <f>IF(ISNUMBER('Base de datos Rutas'!DA780),'Base de datos Rutas'!DA780,"")</f>
        <v>11.239679068828634</v>
      </c>
      <c r="BI782" s="893">
        <f>IF(ISNUMBER('Base de datos Rutas'!DC780),'Base de datos Rutas'!DC780,"")</f>
        <v>0.46293099194868692</v>
      </c>
      <c r="BJ782" s="805" t="str">
        <f t="shared" si="468"/>
        <v>Ruta (completo)</v>
      </c>
      <c r="BK782" s="783">
        <f t="shared" si="456"/>
        <v>1</v>
      </c>
      <c r="BL782" s="797">
        <f t="shared" si="457"/>
        <v>1</v>
      </c>
      <c r="BM782" s="797">
        <f t="shared" si="458"/>
        <v>1</v>
      </c>
      <c r="BN782" s="797">
        <f t="shared" si="459"/>
        <v>1</v>
      </c>
      <c r="BO782" s="798" cm="1">
        <f t="array" ref="BO782">SUMPRODUCT(--ISNUMBER($BF782:$BI782),$BK$3:$BN$3)</f>
        <v>1</v>
      </c>
      <c r="BP782" s="831">
        <f t="shared" si="469"/>
        <v>0</v>
      </c>
      <c r="BQ782" s="834" t="str">
        <f t="shared" si="470"/>
        <v>Bajo</v>
      </c>
      <c r="BR782" s="836">
        <f t="shared" si="460"/>
        <v>30.405706695071942</v>
      </c>
      <c r="BS782" s="836">
        <f t="shared" si="461"/>
        <v>0</v>
      </c>
      <c r="BT782" s="837" t="str">
        <f t="shared" si="462"/>
        <v>P2</v>
      </c>
      <c r="BU782" s="807" t="str">
        <f t="shared" si="471"/>
        <v>Con espacio</v>
      </c>
      <c r="BV782" s="807" t="str">
        <f t="shared" si="463"/>
        <v>Zona de bajo potencial</v>
      </c>
      <c r="BW782" s="808" t="str">
        <f t="shared" si="464"/>
        <v>P2 - Mantener</v>
      </c>
    </row>
    <row r="783" spans="1:75">
      <c r="A783" s="780" t="str">
        <f>'Base de datos Rutas'!A781</f>
        <v>Pacifico</v>
      </c>
      <c r="B783" s="781" t="str">
        <f>'Base de datos Rutas'!B781</f>
        <v>Mazatlán</v>
      </c>
      <c r="C783" s="781" t="str">
        <f>'Base de datos Rutas'!C781</f>
        <v>Sucursal Venadillo</v>
      </c>
      <c r="D783" s="782">
        <f>IF(ISNUMBER('Base de datos Rutas'!D781),'Base de datos Rutas'!D781,"Sin código")</f>
        <v>503301</v>
      </c>
      <c r="E783" s="783" t="str">
        <f>'Base de datos Rutas'!F781</f>
        <v>Activa</v>
      </c>
      <c r="F783" s="784" t="str">
        <f>'Base de datos Rutas'!H781</f>
        <v>Sí</v>
      </c>
      <c r="G783" s="785">
        <f>IF(ISNUMBER('Base de datos Rutas'!BE781),'Base de datos Rutas'!BE781,"")</f>
        <v>49.583524027460001</v>
      </c>
      <c r="H783" s="786">
        <f>IF(ISNUMBER('Base de datos Rutas'!BH781),'Base de datos Rutas'!BH781,"")</f>
        <v>0.67371238693003499</v>
      </c>
      <c r="I783" s="788">
        <f>IFERROR(IF(OR(NOT(ISNUMBER('Base de datos Rutas'!O781)),N('Base de datos Rutas'!BK781)=0),"",'Base de datos Rutas'!O781/('Base de datos Rutas'!L781/'Base de datos Rutas'!BK781)),"")</f>
        <v>3204.3135011441682</v>
      </c>
      <c r="J783" s="788">
        <f>IFERROR(IF(OR(NOT(ISNUMBER('Base de datos Rutas'!N781)),N('Base de datos Rutas'!BK781)=0),"",'Base de datos Rutas'!N781/('Base de datos Rutas'!L781/'Base de datos Rutas'!BK781)),"")</f>
        <v>3994.6292906178533</v>
      </c>
      <c r="K783" s="788">
        <f>IFERROR(IF(OR(NOT(ISNUMBER('Base de datos Rutas'!J781)),N('Base de datos Rutas'!BK781)=0),"",'Base de datos Rutas'!J781/('Base de datos Rutas'!L781/'Base de datos Rutas'!BK781)),"")</f>
        <v>264.70553885583553</v>
      </c>
      <c r="L783" s="788">
        <f>IFERROR(IF(OR(NOT(ISNUMBER('Base de datos Rutas'!K781)),N('Base de datos Rutas'!BK781)=0),"",'Base de datos Rutas'!K781/('Base de datos Rutas'!L781/'Base de datos Rutas'!BK781)),"")</f>
        <v>24.716737322654488</v>
      </c>
      <c r="M783" s="787">
        <f>IF(ISNUMBER('Base de datos Rutas'!AX781),'Base de datos Rutas'!AX781,"")</f>
        <v>215.68606589943801</v>
      </c>
      <c r="N783" s="790">
        <f>IFERROR(INDEX('Hoja de apoyo v2'!B$17:B$20,MATCH($A783,'Hoja de apoyo v2'!$A$17:$A$20,0)),"")</f>
        <v>48.509140196922353</v>
      </c>
      <c r="O783" s="791">
        <f>IFERROR(INDEX('Hoja de apoyo v2'!C$17:C$20,MATCH($A783,'Hoja de apoyo v2'!$A$17:$A$20,0)),"")</f>
        <v>0.66965083735281605</v>
      </c>
      <c r="P783" s="793">
        <f>IFERROR(INDEX('Hoja de apoyo v2'!D$17:D$20,MATCH($A783,'Hoja de apoyo v2'!$A$17:$A$20,0)),"")</f>
        <v>5938.874134119359</v>
      </c>
      <c r="Q783" s="793">
        <f>IFERROR(INDEX('Hoja de apoyo v2'!E$17:E$20,MATCH($A783,'Hoja de apoyo v2'!$A$17:$A$20,0)),"")</f>
        <v>4160.5938481536259</v>
      </c>
      <c r="R783" s="793">
        <f>IFERROR(INDEX('Hoja de apoyo v2'!F$17:F$20,MATCH($A783,'Hoja de apoyo v2'!$A$17:$A$20,0)),"")</f>
        <v>261.11067511683507</v>
      </c>
      <c r="S783" s="793">
        <f>IFERROR(INDEX('Hoja de apoyo v2'!G$17:G$20,MATCH($A783,'Hoja de apoyo v2'!$A$17:$A$20,0)),"")</f>
        <v>47.352224855431231</v>
      </c>
      <c r="T783" s="792">
        <f>IFERROR(INDEX('Hoja de apoyo v2'!H$17:H$20,MATCH($A783,'Hoja de apoyo v2'!$A$17:$A$20,0)),"")</f>
        <v>492.72230557971551</v>
      </c>
      <c r="U783" s="794">
        <f t="shared" si="436"/>
        <v>1.0221480699549859</v>
      </c>
      <c r="V783" s="795">
        <f t="shared" si="437"/>
        <v>1.0060651750892668</v>
      </c>
      <c r="W783" s="795">
        <f t="shared" si="438"/>
        <v>0.53954898332246215</v>
      </c>
      <c r="X783" s="843">
        <f t="shared" si="439"/>
        <v>0.96011036799243843</v>
      </c>
      <c r="Y783" s="843">
        <f t="shared" si="440"/>
        <v>1.0137675862443845</v>
      </c>
      <c r="Z783" s="843">
        <f t="shared" si="441"/>
        <v>0.521976261899329</v>
      </c>
      <c r="AA783" s="843">
        <f t="shared" si="442"/>
        <v>0.43774366099718426</v>
      </c>
      <c r="AB783" s="796">
        <f t="shared" si="443"/>
        <v>4</v>
      </c>
      <c r="AC783" s="797">
        <f t="shared" si="444"/>
        <v>4</v>
      </c>
      <c r="AD783" s="797">
        <f t="shared" si="445"/>
        <v>2</v>
      </c>
      <c r="AE783" s="842">
        <f t="shared" si="446"/>
        <v>3</v>
      </c>
      <c r="AF783" s="842">
        <f t="shared" si="447"/>
        <v>4</v>
      </c>
      <c r="AG783" s="842">
        <f t="shared" si="448"/>
        <v>2</v>
      </c>
      <c r="AH783" s="842">
        <f t="shared" si="449"/>
        <v>1</v>
      </c>
      <c r="AI783" s="826" cm="1">
        <f t="array" ref="AI783">SUMPRODUCT(--ISNUMBER($U783:$AA783),$AB$3:$AH$3)</f>
        <v>1</v>
      </c>
      <c r="AJ783" s="829">
        <f t="shared" si="450"/>
        <v>45.849892358026189</v>
      </c>
      <c r="AK783" s="827" t="str">
        <f t="shared" si="451"/>
        <v>En desarrollo</v>
      </c>
      <c r="AL783" s="784" t="str">
        <f t="shared" si="452"/>
        <v>Alta</v>
      </c>
      <c r="AM783" s="799">
        <f>IF(ISNUMBER('Base de datos Rutas'!W781),'Base de datos Rutas'!W781,"")</f>
        <v>1989.5052980311282</v>
      </c>
      <c r="AN783" s="787">
        <f>IFERROR(SUMIFS('Base de datos Rutas'!$W$6:$W$794,'Base de datos Rutas'!$C$6:$C$794,$C783)/'Base de datos Rutas'!I781,"")</f>
        <v>1989.5052980311282</v>
      </c>
      <c r="AO783" s="800">
        <f>IFERROR('Base de datos Rutas'!X781*AN783/AM783,"")</f>
        <v>0.92132291446597758</v>
      </c>
      <c r="AP783" s="800">
        <f t="shared" si="453"/>
        <v>7.8677085534022417E-2</v>
      </c>
      <c r="AQ783" s="789">
        <f>IFERROR(INDEX('Hoja de apoyo v2'!$J$17:$J$20,MATCH($A783,'Hoja de apoyo v2'!$A$17:$A$20,0)),"")</f>
        <v>0.50577184527496444</v>
      </c>
      <c r="AR783" s="789">
        <f t="shared" si="454"/>
        <v>-0.42709475974094202</v>
      </c>
      <c r="AS783" s="784" t="str">
        <f t="shared" si="455"/>
        <v>Sí</v>
      </c>
      <c r="AT783" s="801">
        <f>IF(ISNUMBER('Base de datos Rutas'!CK781),'Base de datos Rutas'!CK781,"")</f>
        <v>390</v>
      </c>
      <c r="AU783" s="802">
        <f>IF(ISNUMBER('Base de datos Rutas'!CL781),'Base de datos Rutas'!CL781,"")</f>
        <v>642.12</v>
      </c>
      <c r="AV783" s="802">
        <f>IF(ISNUMBER('Base de datos Rutas'!CM781),'Base de datos Rutas'!CM781,"")</f>
        <v>252.12</v>
      </c>
      <c r="AW783" s="802">
        <f>IF(ISNUMBER('Base de datos Rutas'!CN781),'Base de datos Rutas'!CN781,"")</f>
        <v>5.1100000000000003</v>
      </c>
      <c r="AX783" s="802">
        <f>IF(ISNUMBER('Base de datos Rutas'!CO781),'Base de datos Rutas'!CO781,"")</f>
        <v>9.4499999999999993</v>
      </c>
      <c r="AY783" s="802">
        <f>IF(ISNUMBER('Base de datos Rutas'!CP781),'Base de datos Rutas'!CP781,"")</f>
        <v>4.339999999999999</v>
      </c>
      <c r="AZ783" s="802">
        <f>IF(ISNUMBER('Base de datos Rutas'!CQ781),'Base de datos Rutas'!CQ781,"")</f>
        <v>592.59</v>
      </c>
      <c r="BA783" s="802">
        <f>IF(ISNUMBER('Base de datos Rutas'!CR781),'Base de datos Rutas'!CR781,"")</f>
        <v>289.42</v>
      </c>
      <c r="BB783" s="803">
        <f>IF(ISNUMBER('Base de datos Rutas'!CS781),'Base de datos Rutas'!CS781,"")</f>
        <v>303.17</v>
      </c>
      <c r="BC783" s="804">
        <f t="shared" si="465"/>
        <v>0</v>
      </c>
      <c r="BD783" s="805" t="str">
        <f t="shared" si="466"/>
        <v>No saturada</v>
      </c>
      <c r="BE783" s="806">
        <f t="shared" si="467"/>
        <v>0.488398386742942</v>
      </c>
      <c r="BF783" s="890">
        <f>IF(ISNUMBER('Base de datos Rutas'!CX781),'Base de datos Rutas'!CX781/100,"")</f>
        <v>0.9312498120018049</v>
      </c>
      <c r="BG783" s="891">
        <f>IF(ISNUMBER('Base de datos Rutas'!CZ781),'Base de datos Rutas'!CZ781/100,"")</f>
        <v>0.9691682959843585</v>
      </c>
      <c r="BH783" s="892">
        <f>IF(ISNUMBER('Base de datos Rutas'!DA781),'Base de datos Rutas'!DA781,"")</f>
        <v>317.20306993647409</v>
      </c>
      <c r="BI783" s="893">
        <f>IF(ISNUMBER('Base de datos Rutas'!DC781),'Base de datos Rutas'!DC781,"")</f>
        <v>12.593096482889734</v>
      </c>
      <c r="BJ783" s="805" t="str">
        <f t="shared" si="468"/>
        <v>Ruta (completo)</v>
      </c>
      <c r="BK783" s="783">
        <f t="shared" si="456"/>
        <v>5</v>
      </c>
      <c r="BL783" s="797">
        <f t="shared" si="457"/>
        <v>5</v>
      </c>
      <c r="BM783" s="797">
        <f t="shared" si="458"/>
        <v>5</v>
      </c>
      <c r="BN783" s="797">
        <f t="shared" si="459"/>
        <v>5</v>
      </c>
      <c r="BO783" s="798" cm="1">
        <f t="array" ref="BO783">SUMPRODUCT(--ISNUMBER($BF783:$BI783),$BK$3:$BN$3)</f>
        <v>1</v>
      </c>
      <c r="BP783" s="831">
        <f t="shared" si="469"/>
        <v>100</v>
      </c>
      <c r="BQ783" s="834" t="str">
        <f t="shared" si="470"/>
        <v>Alto</v>
      </c>
      <c r="BR783" s="836">
        <f t="shared" si="460"/>
        <v>34.387419268519643</v>
      </c>
      <c r="BS783" s="836">
        <f t="shared" si="461"/>
        <v>100</v>
      </c>
      <c r="BT783" s="837" t="str">
        <f t="shared" si="462"/>
        <v>P1</v>
      </c>
      <c r="BU783" s="807" t="str">
        <f t="shared" si="471"/>
        <v>Con espacio</v>
      </c>
      <c r="BV783" s="807" t="str">
        <f t="shared" si="463"/>
        <v>Zona atractiva</v>
      </c>
      <c r="BW783" s="808" t="str">
        <f t="shared" si="464"/>
        <v>P1 - Ampliar cobertura</v>
      </c>
    </row>
    <row r="784" spans="1:75">
      <c r="A784" s="780" t="str">
        <f>'Base de datos Rutas'!A782</f>
        <v>Pacifico</v>
      </c>
      <c r="B784" s="781" t="str">
        <f>'Base de datos Rutas'!B782</f>
        <v>Mazatlán</v>
      </c>
      <c r="C784" s="781" t="str">
        <f>'Base de datos Rutas'!C782</f>
        <v>Sucursal Venadillo</v>
      </c>
      <c r="D784" s="782">
        <f>IF(ISNUMBER('Base de datos Rutas'!D782),'Base de datos Rutas'!D782,"Sin código")</f>
        <v>503302</v>
      </c>
      <c r="E784" s="783" t="str">
        <f>'Base de datos Rutas'!F782</f>
        <v>Activa</v>
      </c>
      <c r="F784" s="784" t="str">
        <f>'Base de datos Rutas'!H782</f>
        <v>Sí</v>
      </c>
      <c r="G784" s="785">
        <f>IF(ISNUMBER('Base de datos Rutas'!BE782),'Base de datos Rutas'!BE782,"")</f>
        <v>40.5812356979405</v>
      </c>
      <c r="H784" s="786">
        <f>IF(ISNUMBER('Base de datos Rutas'!BH782),'Base de datos Rutas'!BH782,"")</f>
        <v>0.66279463178076004</v>
      </c>
      <c r="I784" s="788">
        <f>IFERROR(IF(OR(NOT(ISNUMBER('Base de datos Rutas'!O782)),N('Base de datos Rutas'!BK782)=0),"",'Base de datos Rutas'!O782/('Base de datos Rutas'!L782/'Base de datos Rutas'!BK782)),"")</f>
        <v>3047.5034324942822</v>
      </c>
      <c r="J784" s="788">
        <f>IFERROR(IF(OR(NOT(ISNUMBER('Base de datos Rutas'!N782)),N('Base de datos Rutas'!BK782)=0),"",'Base de datos Rutas'!N782/('Base de datos Rutas'!L782/'Base de datos Rutas'!BK782)),"")</f>
        <v>3399.1350114416505</v>
      </c>
      <c r="K784" s="788">
        <f>IFERROR(IF(OR(NOT(ISNUMBER('Base de datos Rutas'!J782)),N('Base de datos Rutas'!BK782)=0),"",'Base de datos Rutas'!J782/('Base de datos Rutas'!L782/'Base de datos Rutas'!BK782)),"")</f>
        <v>222.98323478260889</v>
      </c>
      <c r="L784" s="788">
        <f>IFERROR(IF(OR(NOT(ISNUMBER('Base de datos Rutas'!K782)),N('Base de datos Rutas'!BK782)=0),"",'Base de datos Rutas'!K782/('Base de datos Rutas'!L782/'Base de datos Rutas'!BK782)),"")</f>
        <v>22.088193729977139</v>
      </c>
      <c r="M784" s="787">
        <f>IF(ISNUMBER('Base de datos Rutas'!AX782),'Base de datos Rutas'!AX782,"")</f>
        <v>239.47317764165399</v>
      </c>
      <c r="N784" s="790">
        <f>IFERROR(INDEX('Hoja de apoyo v2'!B$17:B$20,MATCH($A784,'Hoja de apoyo v2'!$A$17:$A$20,0)),"")</f>
        <v>48.509140196922353</v>
      </c>
      <c r="O784" s="791">
        <f>IFERROR(INDEX('Hoja de apoyo v2'!C$17:C$20,MATCH($A784,'Hoja de apoyo v2'!$A$17:$A$20,0)),"")</f>
        <v>0.66965083735281605</v>
      </c>
      <c r="P784" s="793">
        <f>IFERROR(INDEX('Hoja de apoyo v2'!D$17:D$20,MATCH($A784,'Hoja de apoyo v2'!$A$17:$A$20,0)),"")</f>
        <v>5938.874134119359</v>
      </c>
      <c r="Q784" s="793">
        <f>IFERROR(INDEX('Hoja de apoyo v2'!E$17:E$20,MATCH($A784,'Hoja de apoyo v2'!$A$17:$A$20,0)),"")</f>
        <v>4160.5938481536259</v>
      </c>
      <c r="R784" s="793">
        <f>IFERROR(INDEX('Hoja de apoyo v2'!F$17:F$20,MATCH($A784,'Hoja de apoyo v2'!$A$17:$A$20,0)),"")</f>
        <v>261.11067511683507</v>
      </c>
      <c r="S784" s="793">
        <f>IFERROR(INDEX('Hoja de apoyo v2'!G$17:G$20,MATCH($A784,'Hoja de apoyo v2'!$A$17:$A$20,0)),"")</f>
        <v>47.352224855431231</v>
      </c>
      <c r="T784" s="792">
        <f>IFERROR(INDEX('Hoja de apoyo v2'!H$17:H$20,MATCH($A784,'Hoja de apoyo v2'!$A$17:$A$20,0)),"")</f>
        <v>492.72230557971551</v>
      </c>
      <c r="U784" s="794">
        <f t="shared" si="436"/>
        <v>0.83656885142060633</v>
      </c>
      <c r="V784" s="795">
        <f t="shared" si="437"/>
        <v>0.98976152169217146</v>
      </c>
      <c r="W784" s="795">
        <f t="shared" si="438"/>
        <v>0.51314497725858588</v>
      </c>
      <c r="X784" s="843">
        <f t="shared" si="439"/>
        <v>0.81698313642176512</v>
      </c>
      <c r="Y784" s="843">
        <f t="shared" si="440"/>
        <v>0.85397977192174968</v>
      </c>
      <c r="Z784" s="843">
        <f t="shared" si="441"/>
        <v>0.46646580593443132</v>
      </c>
      <c r="AA784" s="843">
        <f t="shared" si="442"/>
        <v>0.48602057371829416</v>
      </c>
      <c r="AB784" s="796">
        <f t="shared" si="443"/>
        <v>3</v>
      </c>
      <c r="AC784" s="797">
        <f t="shared" si="444"/>
        <v>3</v>
      </c>
      <c r="AD784" s="797">
        <f t="shared" si="445"/>
        <v>2</v>
      </c>
      <c r="AE784" s="842">
        <f t="shared" si="446"/>
        <v>3</v>
      </c>
      <c r="AF784" s="842">
        <f t="shared" si="447"/>
        <v>3</v>
      </c>
      <c r="AG784" s="842">
        <f t="shared" si="448"/>
        <v>1</v>
      </c>
      <c r="AH784" s="842">
        <f t="shared" si="449"/>
        <v>1</v>
      </c>
      <c r="AI784" s="826" cm="1">
        <f t="array" ref="AI784">SUMPRODUCT(--ISNUMBER($U784:$AA784),$AB$3:$AH$3)</f>
        <v>1</v>
      </c>
      <c r="AJ784" s="829">
        <f t="shared" si="450"/>
        <v>31.618239313899476</v>
      </c>
      <c r="AK784" s="827" t="str">
        <f t="shared" si="451"/>
        <v>Inmadura</v>
      </c>
      <c r="AL784" s="784" t="str">
        <f t="shared" si="452"/>
        <v>Alta</v>
      </c>
      <c r="AM784" s="799">
        <f>IF(ISNUMBER('Base de datos Rutas'!W782),'Base de datos Rutas'!W782,"")</f>
        <v>1989.5052980311282</v>
      </c>
      <c r="AN784" s="787">
        <f>IFERROR(SUMIFS('Base de datos Rutas'!$W$6:$W$794,'Base de datos Rutas'!$C$6:$C$794,$C784)/'Base de datos Rutas'!I782,"")</f>
        <v>1989.5052980311282</v>
      </c>
      <c r="AO784" s="800">
        <f>IFERROR('Base de datos Rutas'!X782*AN784/AM784,"")</f>
        <v>0.92132291446597758</v>
      </c>
      <c r="AP784" s="800">
        <f t="shared" si="453"/>
        <v>7.8677085534022417E-2</v>
      </c>
      <c r="AQ784" s="789">
        <f>IFERROR(INDEX('Hoja de apoyo v2'!$J$17:$J$20,MATCH($A784,'Hoja de apoyo v2'!$A$17:$A$20,0)),"")</f>
        <v>0.50577184527496444</v>
      </c>
      <c r="AR784" s="789">
        <f t="shared" si="454"/>
        <v>-0.42709475974094202</v>
      </c>
      <c r="AS784" s="784" t="str">
        <f t="shared" si="455"/>
        <v>Sí</v>
      </c>
      <c r="AT784" s="801">
        <f>IF(ISNUMBER('Base de datos Rutas'!CK782),'Base de datos Rutas'!CK782,"")</f>
        <v>338</v>
      </c>
      <c r="AU784" s="802">
        <f>IF(ISNUMBER('Base de datos Rutas'!CL782),'Base de datos Rutas'!CL782,"")</f>
        <v>498.36</v>
      </c>
      <c r="AV784" s="802">
        <f>IF(ISNUMBER('Base de datos Rutas'!CM782),'Base de datos Rutas'!CM782,"")</f>
        <v>160.36000000000001</v>
      </c>
      <c r="AW784" s="802">
        <f>IF(ISNUMBER('Base de datos Rutas'!CN782),'Base de datos Rutas'!CN782,"")</f>
        <v>4.8899999999999997</v>
      </c>
      <c r="AX784" s="802">
        <f>IF(ISNUMBER('Base de datos Rutas'!CO782),'Base de datos Rutas'!CO782,"")</f>
        <v>9.4499999999999993</v>
      </c>
      <c r="AY784" s="802">
        <f>IF(ISNUMBER('Base de datos Rutas'!CP782),'Base de datos Rutas'!CP782,"")</f>
        <v>4.5599999999999996</v>
      </c>
      <c r="AZ784" s="802">
        <f>IF(ISNUMBER('Base de datos Rutas'!CQ782),'Base de datos Rutas'!CQ782,"")</f>
        <v>423.28</v>
      </c>
      <c r="BA784" s="802">
        <f>IF(ISNUMBER('Base de datos Rutas'!CR782),'Base de datos Rutas'!CR782,"")</f>
        <v>245.07</v>
      </c>
      <c r="BB784" s="803">
        <f>IF(ISNUMBER('Base de datos Rutas'!CS782),'Base de datos Rutas'!CS782,"")</f>
        <v>178.20999999999998</v>
      </c>
      <c r="BC784" s="804">
        <f t="shared" si="465"/>
        <v>0</v>
      </c>
      <c r="BD784" s="805" t="str">
        <f t="shared" si="466"/>
        <v>No saturada</v>
      </c>
      <c r="BE784" s="806">
        <f t="shared" si="467"/>
        <v>0.57897845397845404</v>
      </c>
      <c r="BF784" s="890">
        <f>IF(ISNUMBER('Base de datos Rutas'!CX782),'Base de datos Rutas'!CX782/100,"")</f>
        <v>0.26921874231771475</v>
      </c>
      <c r="BG784" s="891">
        <f>IF(ISNUMBER('Base de datos Rutas'!CZ782),'Base de datos Rutas'!CZ782/100,"")</f>
        <v>0.27710310241408131</v>
      </c>
      <c r="BH784" s="892">
        <f>IF(ISNUMBER('Base de datos Rutas'!DA782),'Base de datos Rutas'!DA782,"")</f>
        <v>70.699654525799829</v>
      </c>
      <c r="BI784" s="893">
        <f>IF(ISNUMBER('Base de datos Rutas'!DC782),'Base de datos Rutas'!DC782,"")</f>
        <v>2.4849327003379615</v>
      </c>
      <c r="BJ784" s="805" t="str">
        <f t="shared" si="468"/>
        <v>Ruta (completo)</v>
      </c>
      <c r="BK784" s="783">
        <f t="shared" si="456"/>
        <v>2</v>
      </c>
      <c r="BL784" s="797">
        <f t="shared" si="457"/>
        <v>2</v>
      </c>
      <c r="BM784" s="797">
        <f t="shared" si="458"/>
        <v>3</v>
      </c>
      <c r="BN784" s="797">
        <f t="shared" si="459"/>
        <v>3</v>
      </c>
      <c r="BO784" s="798" cm="1">
        <f t="array" ref="BO784">SUMPRODUCT(--ISNUMBER($BF784:$BI784),$BK$3:$BN$3)</f>
        <v>1</v>
      </c>
      <c r="BP784" s="831">
        <f t="shared" si="469"/>
        <v>37.5</v>
      </c>
      <c r="BQ784" s="834" t="str">
        <f t="shared" si="470"/>
        <v>Medio</v>
      </c>
      <c r="BR784" s="836">
        <f t="shared" si="460"/>
        <v>23.713679485424606</v>
      </c>
      <c r="BS784" s="836">
        <f t="shared" si="461"/>
        <v>37.5</v>
      </c>
      <c r="BT784" s="837" t="str">
        <f t="shared" si="462"/>
        <v>P4</v>
      </c>
      <c r="BU784" s="807" t="str">
        <f t="shared" si="471"/>
        <v>Con espacio</v>
      </c>
      <c r="BV784" s="807" t="str">
        <f t="shared" si="463"/>
        <v>Zona de bajo potencial</v>
      </c>
      <c r="BW784" s="808" t="str">
        <f t="shared" si="464"/>
        <v>P4 - Evaluar</v>
      </c>
    </row>
    <row r="785" spans="1:75">
      <c r="A785" s="780" t="str">
        <f>'Base de datos Rutas'!A783</f>
        <v>Pacifico</v>
      </c>
      <c r="B785" s="781" t="str">
        <f>'Base de datos Rutas'!B783</f>
        <v>Mazatlán</v>
      </c>
      <c r="C785" s="781" t="str">
        <f>'Base de datos Rutas'!C783</f>
        <v>Sucursal Venadillo</v>
      </c>
      <c r="D785" s="782">
        <f>IF(ISNUMBER('Base de datos Rutas'!D783),'Base de datos Rutas'!D783,"Sin código")</f>
        <v>503303</v>
      </c>
      <c r="E785" s="783" t="str">
        <f>'Base de datos Rutas'!F783</f>
        <v>Activa</v>
      </c>
      <c r="F785" s="784" t="str">
        <f>'Base de datos Rutas'!H783</f>
        <v>Sí</v>
      </c>
      <c r="G785" s="785">
        <f>IF(ISNUMBER('Base de datos Rutas'!BE783),'Base de datos Rutas'!BE783,"")</f>
        <v>47.240274599542303</v>
      </c>
      <c r="H785" s="786">
        <f>IF(ISNUMBER('Base de datos Rutas'!BH783),'Base de datos Rutas'!BH783,"")</f>
        <v>0.68281340825421399</v>
      </c>
      <c r="I785" s="788">
        <f>IFERROR(IF(OR(NOT(ISNUMBER('Base de datos Rutas'!O783)),N('Base de datos Rutas'!BK783)=0),"",'Base de datos Rutas'!O783/('Base de datos Rutas'!L783/'Base de datos Rutas'!BK783)),"")</f>
        <v>3305.0411899313472</v>
      </c>
      <c r="J785" s="788">
        <f>IFERROR(IF(OR(NOT(ISNUMBER('Base de datos Rutas'!N783)),N('Base de datos Rutas'!BK783)=0),"",'Base de datos Rutas'!N783/('Base de datos Rutas'!L783/'Base de datos Rutas'!BK783)),"")</f>
        <v>3308.1052631578918</v>
      </c>
      <c r="K785" s="788">
        <f>IFERROR(IF(OR(NOT(ISNUMBER('Base de datos Rutas'!J783)),N('Base de datos Rutas'!BK783)=0),"",'Base de datos Rutas'!J783/('Base de datos Rutas'!L783/'Base de datos Rutas'!BK783)),"")</f>
        <v>227.40840091533161</v>
      </c>
      <c r="L785" s="788">
        <f>IFERROR(IF(OR(NOT(ISNUMBER('Base de datos Rutas'!K783)),N('Base de datos Rutas'!BK783)=0),"",'Base de datos Rutas'!K783/('Base de datos Rutas'!L783/'Base de datos Rutas'!BK783)),"")</f>
        <v>26.878268544622401</v>
      </c>
      <c r="M785" s="787">
        <f>IF(ISNUMBER('Base de datos Rutas'!AX783),'Base de datos Rutas'!AX783,"")</f>
        <v>209.65710839954599</v>
      </c>
      <c r="N785" s="790">
        <f>IFERROR(INDEX('Hoja de apoyo v2'!B$17:B$20,MATCH($A785,'Hoja de apoyo v2'!$A$17:$A$20,0)),"")</f>
        <v>48.509140196922353</v>
      </c>
      <c r="O785" s="791">
        <f>IFERROR(INDEX('Hoja de apoyo v2'!C$17:C$20,MATCH($A785,'Hoja de apoyo v2'!$A$17:$A$20,0)),"")</f>
        <v>0.66965083735281605</v>
      </c>
      <c r="P785" s="793">
        <f>IFERROR(INDEX('Hoja de apoyo v2'!D$17:D$20,MATCH($A785,'Hoja de apoyo v2'!$A$17:$A$20,0)),"")</f>
        <v>5938.874134119359</v>
      </c>
      <c r="Q785" s="793">
        <f>IFERROR(INDEX('Hoja de apoyo v2'!E$17:E$20,MATCH($A785,'Hoja de apoyo v2'!$A$17:$A$20,0)),"")</f>
        <v>4160.5938481536259</v>
      </c>
      <c r="R785" s="793">
        <f>IFERROR(INDEX('Hoja de apoyo v2'!F$17:F$20,MATCH($A785,'Hoja de apoyo v2'!$A$17:$A$20,0)),"")</f>
        <v>261.11067511683507</v>
      </c>
      <c r="S785" s="793">
        <f>IFERROR(INDEX('Hoja de apoyo v2'!G$17:G$20,MATCH($A785,'Hoja de apoyo v2'!$A$17:$A$20,0)),"")</f>
        <v>47.352224855431231</v>
      </c>
      <c r="T785" s="792">
        <f>IFERROR(INDEX('Hoja de apoyo v2'!H$17:H$20,MATCH($A785,'Hoja de apoyo v2'!$A$17:$A$20,0)),"")</f>
        <v>492.72230557971551</v>
      </c>
      <c r="U785" s="794">
        <f t="shared" si="436"/>
        <v>0.97384275226835393</v>
      </c>
      <c r="V785" s="795">
        <f t="shared" si="437"/>
        <v>1.019655871638167</v>
      </c>
      <c r="W785" s="795">
        <f t="shared" si="438"/>
        <v>0.55650972142069688</v>
      </c>
      <c r="X785" s="843">
        <f t="shared" si="439"/>
        <v>0.79510410866611059</v>
      </c>
      <c r="Y785" s="843">
        <f t="shared" si="440"/>
        <v>0.87092724498367124</v>
      </c>
      <c r="Z785" s="843">
        <f t="shared" si="441"/>
        <v>0.56762419562508692</v>
      </c>
      <c r="AA785" s="843">
        <f t="shared" si="442"/>
        <v>0.42550764604186653</v>
      </c>
      <c r="AB785" s="796">
        <f t="shared" si="443"/>
        <v>3</v>
      </c>
      <c r="AC785" s="797">
        <f t="shared" si="444"/>
        <v>4</v>
      </c>
      <c r="AD785" s="797">
        <f t="shared" si="445"/>
        <v>2</v>
      </c>
      <c r="AE785" s="842">
        <f t="shared" si="446"/>
        <v>3</v>
      </c>
      <c r="AF785" s="842">
        <f t="shared" si="447"/>
        <v>3</v>
      </c>
      <c r="AG785" s="842">
        <f t="shared" si="448"/>
        <v>2</v>
      </c>
      <c r="AH785" s="842">
        <f t="shared" si="449"/>
        <v>1</v>
      </c>
      <c r="AI785" s="826" cm="1">
        <f t="array" ref="AI785">SUMPRODUCT(--ISNUMBER($U785:$AA785),$AB$3:$AH$3)</f>
        <v>1</v>
      </c>
      <c r="AJ785" s="829">
        <f t="shared" si="450"/>
        <v>38.390211667849648</v>
      </c>
      <c r="AK785" s="827" t="str">
        <f t="shared" si="451"/>
        <v>Inmadura</v>
      </c>
      <c r="AL785" s="784" t="str">
        <f t="shared" si="452"/>
        <v>Alta</v>
      </c>
      <c r="AM785" s="799">
        <f>IF(ISNUMBER('Base de datos Rutas'!W783),'Base de datos Rutas'!W783,"")</f>
        <v>1989.5052980311282</v>
      </c>
      <c r="AN785" s="787">
        <f>IFERROR(SUMIFS('Base de datos Rutas'!$W$6:$W$794,'Base de datos Rutas'!$C$6:$C$794,$C785)/'Base de datos Rutas'!I783,"")</f>
        <v>1989.5052980311282</v>
      </c>
      <c r="AO785" s="800">
        <f>IFERROR('Base de datos Rutas'!X783*AN785/AM785,"")</f>
        <v>0.92132291446597758</v>
      </c>
      <c r="AP785" s="800">
        <f t="shared" si="453"/>
        <v>7.8677085534022417E-2</v>
      </c>
      <c r="AQ785" s="789">
        <f>IFERROR(INDEX('Hoja de apoyo v2'!$J$17:$J$20,MATCH($A785,'Hoja de apoyo v2'!$A$17:$A$20,0)),"")</f>
        <v>0.50577184527496444</v>
      </c>
      <c r="AR785" s="789">
        <f t="shared" si="454"/>
        <v>-0.42709475974094202</v>
      </c>
      <c r="AS785" s="784" t="str">
        <f t="shared" si="455"/>
        <v>Sí</v>
      </c>
      <c r="AT785" s="801">
        <f>IF(ISNUMBER('Base de datos Rutas'!CK783),'Base de datos Rutas'!CK783,"")</f>
        <v>398</v>
      </c>
      <c r="AU785" s="802">
        <f>IF(ISNUMBER('Base de datos Rutas'!CL783),'Base de datos Rutas'!CL783,"")</f>
        <v>571.39</v>
      </c>
      <c r="AV785" s="802">
        <f>IF(ISNUMBER('Base de datos Rutas'!CM783),'Base de datos Rutas'!CM783,"")</f>
        <v>173.39</v>
      </c>
      <c r="AW785" s="802">
        <f>IF(ISNUMBER('Base de datos Rutas'!CN783),'Base de datos Rutas'!CN783,"")</f>
        <v>4.74</v>
      </c>
      <c r="AX785" s="802">
        <f>IF(ISNUMBER('Base de datos Rutas'!CO783),'Base de datos Rutas'!CO783,"")</f>
        <v>9.4499999999999993</v>
      </c>
      <c r="AY785" s="802">
        <f>IF(ISNUMBER('Base de datos Rutas'!CP783),'Base de datos Rutas'!CP783,"")</f>
        <v>4.7099999999999991</v>
      </c>
      <c r="AZ785" s="802">
        <f>IF(ISNUMBER('Base de datos Rutas'!CQ783),'Base de datos Rutas'!CQ783,"")</f>
        <v>423.28</v>
      </c>
      <c r="BA785" s="802">
        <f>IF(ISNUMBER('Base de datos Rutas'!CR783),'Base de datos Rutas'!CR783,"")</f>
        <v>254.29</v>
      </c>
      <c r="BB785" s="803">
        <f>IF(ISNUMBER('Base de datos Rutas'!CS783),'Base de datos Rutas'!CS783,"")</f>
        <v>168.98999999999998</v>
      </c>
      <c r="BC785" s="804">
        <f t="shared" si="465"/>
        <v>0</v>
      </c>
      <c r="BD785" s="805" t="str">
        <f t="shared" si="466"/>
        <v>No saturada</v>
      </c>
      <c r="BE785" s="806">
        <f t="shared" si="467"/>
        <v>0.60076072576072581</v>
      </c>
      <c r="BF785" s="890">
        <f>IF(ISNUMBER('Base de datos Rutas'!CX783),'Base de datos Rutas'!CX783/100,"")</f>
        <v>0.51565754964406152</v>
      </c>
      <c r="BG785" s="891">
        <f>IF(ISNUMBER('Base de datos Rutas'!CZ783),'Base de datos Rutas'!CZ783/100,"")</f>
        <v>0.52287581699346408</v>
      </c>
      <c r="BH785" s="892">
        <f>IF(ISNUMBER('Base de datos Rutas'!DA783),'Base de datos Rutas'!DA783,"")</f>
        <v>64.622867945833733</v>
      </c>
      <c r="BI785" s="893">
        <f>IF(ISNUMBER('Base de datos Rutas'!DC783),'Base de datos Rutas'!DC783,"")</f>
        <v>2.3225553527077971</v>
      </c>
      <c r="BJ785" s="805" t="str">
        <f t="shared" si="468"/>
        <v>Ruta (completo)</v>
      </c>
      <c r="BK785" s="783">
        <f t="shared" si="456"/>
        <v>4</v>
      </c>
      <c r="BL785" s="797">
        <f t="shared" si="457"/>
        <v>4</v>
      </c>
      <c r="BM785" s="797">
        <f t="shared" si="458"/>
        <v>2</v>
      </c>
      <c r="BN785" s="797">
        <f t="shared" si="459"/>
        <v>2</v>
      </c>
      <c r="BO785" s="798" cm="1">
        <f t="array" ref="BO785">SUMPRODUCT(--ISNUMBER($BF785:$BI785),$BK$3:$BN$3)</f>
        <v>1</v>
      </c>
      <c r="BP785" s="831">
        <f t="shared" si="469"/>
        <v>50</v>
      </c>
      <c r="BQ785" s="834" t="str">
        <f t="shared" si="470"/>
        <v>Alto</v>
      </c>
      <c r="BR785" s="836">
        <f t="shared" si="460"/>
        <v>28.792658750887234</v>
      </c>
      <c r="BS785" s="836">
        <f t="shared" si="461"/>
        <v>50</v>
      </c>
      <c r="BT785" s="837" t="str">
        <f t="shared" si="462"/>
        <v>P3</v>
      </c>
      <c r="BU785" s="807" t="str">
        <f t="shared" si="471"/>
        <v>Con espacio</v>
      </c>
      <c r="BV785" s="807" t="str">
        <f t="shared" si="463"/>
        <v>Zona atractiva</v>
      </c>
      <c r="BW785" s="808" t="str">
        <f t="shared" si="464"/>
        <v>P3 - Desarrollar</v>
      </c>
    </row>
    <row r="786" spans="1:75">
      <c r="A786" s="780" t="str">
        <f>'Base de datos Rutas'!A784</f>
        <v>Pacifico</v>
      </c>
      <c r="B786" s="781" t="str">
        <f>'Base de datos Rutas'!B784</f>
        <v>Mazatlán</v>
      </c>
      <c r="C786" s="781" t="str">
        <f>'Base de datos Rutas'!C784</f>
        <v>Sucursal Venadillo</v>
      </c>
      <c r="D786" s="782">
        <f>IF(ISNUMBER('Base de datos Rutas'!D784),'Base de datos Rutas'!D784,"Sin código")</f>
        <v>503304</v>
      </c>
      <c r="E786" s="783" t="str">
        <f>'Base de datos Rutas'!F784</f>
        <v>Activa</v>
      </c>
      <c r="F786" s="784" t="str">
        <f>'Base de datos Rutas'!H784</f>
        <v>Sí</v>
      </c>
      <c r="G786" s="785">
        <f>IF(ISNUMBER('Base de datos Rutas'!BE784),'Base de datos Rutas'!BE784,"")</f>
        <v>53.752860411899299</v>
      </c>
      <c r="H786" s="786">
        <f>IF(ISNUMBER('Base de datos Rutas'!BH784),'Base de datos Rutas'!BH784,"")</f>
        <v>0.639165602383993</v>
      </c>
      <c r="I786" s="788">
        <f>IFERROR(IF(OR(NOT(ISNUMBER('Base de datos Rutas'!O784)),N('Base de datos Rutas'!BK784)=0),"",'Base de datos Rutas'!O784/('Base de datos Rutas'!L784/'Base de datos Rutas'!BK784)),"")</f>
        <v>3324.5194508009113</v>
      </c>
      <c r="J786" s="788">
        <f>IFERROR(IF(OR(NOT(ISNUMBER('Base de datos Rutas'!N784)),N('Base de datos Rutas'!BK784)=0),"",'Base de datos Rutas'!N784/('Base de datos Rutas'!L784/'Base de datos Rutas'!BK784)),"")</f>
        <v>3217.4164759725363</v>
      </c>
      <c r="K786" s="788">
        <f>IFERROR(IF(OR(NOT(ISNUMBER('Base de datos Rutas'!J784)),N('Base de datos Rutas'!BK784)=0),"",'Base de datos Rutas'!J784/('Base de datos Rutas'!L784/'Base de datos Rutas'!BK784)),"")</f>
        <v>212.94802196796314</v>
      </c>
      <c r="L786" s="788">
        <f>IFERROR(IF(OR(NOT(ISNUMBER('Base de datos Rutas'!K784)),N('Base de datos Rutas'!BK784)=0),"",'Base de datos Rutas'!K784/('Base de datos Rutas'!L784/'Base de datos Rutas'!BK784)),"")</f>
        <v>31.612297054919875</v>
      </c>
      <c r="M786" s="787">
        <f>IF(ISNUMBER('Base de datos Rutas'!AX784),'Base de datos Rutas'!AX784,"")</f>
        <v>190.02206540562099</v>
      </c>
      <c r="N786" s="790">
        <f>IFERROR(INDEX('Hoja de apoyo v2'!B$17:B$20,MATCH($A786,'Hoja de apoyo v2'!$A$17:$A$20,0)),"")</f>
        <v>48.509140196922353</v>
      </c>
      <c r="O786" s="791">
        <f>IFERROR(INDEX('Hoja de apoyo v2'!C$17:C$20,MATCH($A786,'Hoja de apoyo v2'!$A$17:$A$20,0)),"")</f>
        <v>0.66965083735281605</v>
      </c>
      <c r="P786" s="793">
        <f>IFERROR(INDEX('Hoja de apoyo v2'!D$17:D$20,MATCH($A786,'Hoja de apoyo v2'!$A$17:$A$20,0)),"")</f>
        <v>5938.874134119359</v>
      </c>
      <c r="Q786" s="793">
        <f>IFERROR(INDEX('Hoja de apoyo v2'!E$17:E$20,MATCH($A786,'Hoja de apoyo v2'!$A$17:$A$20,0)),"")</f>
        <v>4160.5938481536259</v>
      </c>
      <c r="R786" s="793">
        <f>IFERROR(INDEX('Hoja de apoyo v2'!F$17:F$20,MATCH($A786,'Hoja de apoyo v2'!$A$17:$A$20,0)),"")</f>
        <v>261.11067511683507</v>
      </c>
      <c r="S786" s="793">
        <f>IFERROR(INDEX('Hoja de apoyo v2'!G$17:G$20,MATCH($A786,'Hoja de apoyo v2'!$A$17:$A$20,0)),"")</f>
        <v>47.352224855431231</v>
      </c>
      <c r="T786" s="792">
        <f>IFERROR(INDEX('Hoja de apoyo v2'!H$17:H$20,MATCH($A786,'Hoja de apoyo v2'!$A$17:$A$20,0)),"")</f>
        <v>492.72230557971551</v>
      </c>
      <c r="U786" s="794">
        <f t="shared" si="436"/>
        <v>1.1080975707606879</v>
      </c>
      <c r="V786" s="795">
        <f t="shared" si="437"/>
        <v>0.95447592496212852</v>
      </c>
      <c r="W786" s="795">
        <f t="shared" si="438"/>
        <v>0.55978951156773171</v>
      </c>
      <c r="X786" s="843">
        <f t="shared" si="439"/>
        <v>0.77330703101441889</v>
      </c>
      <c r="Y786" s="843">
        <f t="shared" si="440"/>
        <v>0.81554697781957275</v>
      </c>
      <c r="Z786" s="843">
        <f t="shared" si="441"/>
        <v>0.66759898085958658</v>
      </c>
      <c r="AA786" s="843">
        <f t="shared" si="442"/>
        <v>0.38565752606237169</v>
      </c>
      <c r="AB786" s="796">
        <f t="shared" si="443"/>
        <v>4</v>
      </c>
      <c r="AC786" s="797">
        <f t="shared" si="444"/>
        <v>3</v>
      </c>
      <c r="AD786" s="797">
        <f t="shared" si="445"/>
        <v>2</v>
      </c>
      <c r="AE786" s="842">
        <f t="shared" si="446"/>
        <v>3</v>
      </c>
      <c r="AF786" s="842">
        <f t="shared" si="447"/>
        <v>3</v>
      </c>
      <c r="AG786" s="842">
        <f t="shared" si="448"/>
        <v>2</v>
      </c>
      <c r="AH786" s="842">
        <f t="shared" si="449"/>
        <v>1</v>
      </c>
      <c r="AI786" s="826" cm="1">
        <f t="array" ref="AI786">SUMPRODUCT(--ISNUMBER($U786:$AA786),$AB$3:$AH$3)</f>
        <v>1</v>
      </c>
      <c r="AJ786" s="829">
        <f t="shared" si="450"/>
        <v>40.540942260095925</v>
      </c>
      <c r="AK786" s="827" t="str">
        <f t="shared" si="451"/>
        <v>Inmadura</v>
      </c>
      <c r="AL786" s="784" t="str">
        <f t="shared" si="452"/>
        <v>Alta</v>
      </c>
      <c r="AM786" s="799">
        <f>IF(ISNUMBER('Base de datos Rutas'!W784),'Base de datos Rutas'!W784,"")</f>
        <v>1989.5052980311282</v>
      </c>
      <c r="AN786" s="787">
        <f>IFERROR(SUMIFS('Base de datos Rutas'!$W$6:$W$794,'Base de datos Rutas'!$C$6:$C$794,$C786)/'Base de datos Rutas'!I784,"")</f>
        <v>1989.5052980311282</v>
      </c>
      <c r="AO786" s="800">
        <f>IFERROR('Base de datos Rutas'!X784*AN786/AM786,"")</f>
        <v>0.92132291446597758</v>
      </c>
      <c r="AP786" s="800">
        <f t="shared" si="453"/>
        <v>7.8677085534022417E-2</v>
      </c>
      <c r="AQ786" s="789">
        <f>IFERROR(INDEX('Hoja de apoyo v2'!$J$17:$J$20,MATCH($A786,'Hoja de apoyo v2'!$A$17:$A$20,0)),"")</f>
        <v>0.50577184527496444</v>
      </c>
      <c r="AR786" s="789">
        <f t="shared" si="454"/>
        <v>-0.42709475974094202</v>
      </c>
      <c r="AS786" s="784" t="str">
        <f t="shared" si="455"/>
        <v>Sí</v>
      </c>
      <c r="AT786" s="801">
        <f>IF(ISNUMBER('Base de datos Rutas'!CK784),'Base de datos Rutas'!CK784,"")</f>
        <v>328</v>
      </c>
      <c r="AU786" s="802">
        <f>IF(ISNUMBER('Base de datos Rutas'!CL784),'Base de datos Rutas'!CL784,"")</f>
        <v>453.99</v>
      </c>
      <c r="AV786" s="802">
        <f>IF(ISNUMBER('Base de datos Rutas'!CM784),'Base de datos Rutas'!CM784,"")</f>
        <v>125.99000000000001</v>
      </c>
      <c r="AW786" s="802">
        <f>IF(ISNUMBER('Base de datos Rutas'!CN784),'Base de datos Rutas'!CN784,"")</f>
        <v>7.46</v>
      </c>
      <c r="AX786" s="802">
        <f>IF(ISNUMBER('Base de datos Rutas'!CO784),'Base de datos Rutas'!CO784,"")</f>
        <v>9.4499999999999993</v>
      </c>
      <c r="AY786" s="802">
        <f>IF(ISNUMBER('Base de datos Rutas'!CP784),'Base de datos Rutas'!CP784,"")</f>
        <v>1.9899999999999993</v>
      </c>
      <c r="AZ786" s="802">
        <f>IF(ISNUMBER('Base de datos Rutas'!CQ784),'Base de datos Rutas'!CQ784,"")</f>
        <v>423.28</v>
      </c>
      <c r="BA786" s="802">
        <f>IF(ISNUMBER('Base de datos Rutas'!CR784),'Base de datos Rutas'!CR784,"")</f>
        <v>244.56</v>
      </c>
      <c r="BB786" s="803">
        <f>IF(ISNUMBER('Base de datos Rutas'!CS784),'Base de datos Rutas'!CS784,"")</f>
        <v>178.71999999999997</v>
      </c>
      <c r="BC786" s="804">
        <f t="shared" si="465"/>
        <v>0</v>
      </c>
      <c r="BD786" s="805" t="str">
        <f t="shared" si="466"/>
        <v>No saturada</v>
      </c>
      <c r="BE786" s="806">
        <f t="shared" si="467"/>
        <v>0.57777357777357785</v>
      </c>
      <c r="BF786" s="890">
        <f>IF(ISNUMBER('Base de datos Rutas'!CX784),'Base de datos Rutas'!CX784/100,"")</f>
        <v>9.635010532859066E-2</v>
      </c>
      <c r="BG786" s="891">
        <f>IF(ISNUMBER('Base de datos Rutas'!CZ784),'Base de datos Rutas'!CZ784/100,"")</f>
        <v>0.10070103947232102</v>
      </c>
      <c r="BH786" s="892">
        <f>IF(ISNUMBER('Base de datos Rutas'!DA784),'Base de datos Rutas'!DA784,"")</f>
        <v>44.333539295650134</v>
      </c>
      <c r="BI786" s="893">
        <f>IF(ISNUMBER('Base de datos Rutas'!DC784),'Base de datos Rutas'!DC784,"")</f>
        <v>1.6582074264028559</v>
      </c>
      <c r="BJ786" s="805" t="str">
        <f t="shared" si="468"/>
        <v>Ruta (completo)</v>
      </c>
      <c r="BK786" s="783">
        <f t="shared" si="456"/>
        <v>1</v>
      </c>
      <c r="BL786" s="797">
        <f t="shared" si="457"/>
        <v>1</v>
      </c>
      <c r="BM786" s="797">
        <f t="shared" si="458"/>
        <v>1</v>
      </c>
      <c r="BN786" s="797">
        <f t="shared" si="459"/>
        <v>1</v>
      </c>
      <c r="BO786" s="798" cm="1">
        <f t="array" ref="BO786">SUMPRODUCT(--ISNUMBER($BF786:$BI786),$BK$3:$BN$3)</f>
        <v>1</v>
      </c>
      <c r="BP786" s="831">
        <f t="shared" si="469"/>
        <v>0</v>
      </c>
      <c r="BQ786" s="834" t="str">
        <f t="shared" si="470"/>
        <v>Bajo</v>
      </c>
      <c r="BR786" s="836">
        <f t="shared" si="460"/>
        <v>30.405706695071942</v>
      </c>
      <c r="BS786" s="836">
        <f t="shared" si="461"/>
        <v>0</v>
      </c>
      <c r="BT786" s="837" t="str">
        <f t="shared" si="462"/>
        <v>P2</v>
      </c>
      <c r="BU786" s="807" t="str">
        <f t="shared" si="471"/>
        <v>Con espacio</v>
      </c>
      <c r="BV786" s="807" t="str">
        <f t="shared" si="463"/>
        <v>Zona de bajo potencial</v>
      </c>
      <c r="BW786" s="808" t="str">
        <f t="shared" si="464"/>
        <v>P2 - Mantener</v>
      </c>
    </row>
    <row r="787" spans="1:75">
      <c r="A787" s="780" t="str">
        <f>'Base de datos Rutas'!A785</f>
        <v>Pacifico</v>
      </c>
      <c r="B787" s="781" t="str">
        <f>'Base de datos Rutas'!B785</f>
        <v>Mazatlán</v>
      </c>
      <c r="C787" s="781" t="str">
        <f>'Base de datos Rutas'!C785</f>
        <v>Sucursal Venadillo</v>
      </c>
      <c r="D787" s="782">
        <f>IF(ISNUMBER('Base de datos Rutas'!D785),'Base de datos Rutas'!D785,"Sin código")</f>
        <v>503305</v>
      </c>
      <c r="E787" s="783" t="str">
        <f>'Base de datos Rutas'!F785</f>
        <v>Activa</v>
      </c>
      <c r="F787" s="784" t="str">
        <f>'Base de datos Rutas'!H785</f>
        <v>Sí</v>
      </c>
      <c r="G787" s="785">
        <f>IF(ISNUMBER('Base de datos Rutas'!BE785),'Base de datos Rutas'!BE785,"")</f>
        <v>51.153318077803199</v>
      </c>
      <c r="H787" s="786">
        <f>IF(ISNUMBER('Base de datos Rutas'!BH785),'Base de datos Rutas'!BH785,"")</f>
        <v>0.54299006889147405</v>
      </c>
      <c r="I787" s="788">
        <f>IFERROR(IF(OR(NOT(ISNUMBER('Base de datos Rutas'!O785)),N('Base de datos Rutas'!BK785)=0),"",'Base de datos Rutas'!O785/('Base de datos Rutas'!L785/'Base de datos Rutas'!BK785)),"")</f>
        <v>2404.3409610984036</v>
      </c>
      <c r="J787" s="788">
        <f>IFERROR(IF(OR(NOT(ISNUMBER('Base de datos Rutas'!N785)),N('Base de datos Rutas'!BK785)=0),"",'Base de datos Rutas'!N785/('Base de datos Rutas'!L785/'Base de datos Rutas'!BK785)),"")</f>
        <v>2819.6842105263222</v>
      </c>
      <c r="K787" s="788">
        <f>IFERROR(IF(OR(NOT(ISNUMBER('Base de datos Rutas'!J785)),N('Base de datos Rutas'!BK785)=0),"",'Base de datos Rutas'!J785/('Base de datos Rutas'!L785/'Base de datos Rutas'!BK785)),"")</f>
        <v>182.81014187643063</v>
      </c>
      <c r="L787" s="788">
        <f>IFERROR(IF(OR(NOT(ISNUMBER('Base de datos Rutas'!K785)),N('Base de datos Rutas'!BK785)=0),"",'Base de datos Rutas'!K785/('Base de datos Rutas'!L785/'Base de datos Rutas'!BK785)),"")</f>
        <v>16.459445844393631</v>
      </c>
      <c r="M787" s="787">
        <f>IF(ISNUMBER('Base de datos Rutas'!AX785),'Base de datos Rutas'!AX785,"")</f>
        <v>184.792091777888</v>
      </c>
      <c r="N787" s="790">
        <f>IFERROR(INDEX('Hoja de apoyo v2'!B$17:B$20,MATCH($A787,'Hoja de apoyo v2'!$A$17:$A$20,0)),"")</f>
        <v>48.509140196922353</v>
      </c>
      <c r="O787" s="791">
        <f>IFERROR(INDEX('Hoja de apoyo v2'!C$17:C$20,MATCH($A787,'Hoja de apoyo v2'!$A$17:$A$20,0)),"")</f>
        <v>0.66965083735281605</v>
      </c>
      <c r="P787" s="793">
        <f>IFERROR(INDEX('Hoja de apoyo v2'!D$17:D$20,MATCH($A787,'Hoja de apoyo v2'!$A$17:$A$20,0)),"")</f>
        <v>5938.874134119359</v>
      </c>
      <c r="Q787" s="793">
        <f>IFERROR(INDEX('Hoja de apoyo v2'!E$17:E$20,MATCH($A787,'Hoja de apoyo v2'!$A$17:$A$20,0)),"")</f>
        <v>4160.5938481536259</v>
      </c>
      <c r="R787" s="793">
        <f>IFERROR(INDEX('Hoja de apoyo v2'!F$17:F$20,MATCH($A787,'Hoja de apoyo v2'!$A$17:$A$20,0)),"")</f>
        <v>261.11067511683507</v>
      </c>
      <c r="S787" s="793">
        <f>IFERROR(INDEX('Hoja de apoyo v2'!G$17:G$20,MATCH($A787,'Hoja de apoyo v2'!$A$17:$A$20,0)),"")</f>
        <v>47.352224855431231</v>
      </c>
      <c r="T787" s="792">
        <f>IFERROR(INDEX('Hoja de apoyo v2'!H$17:H$20,MATCH($A787,'Hoja de apoyo v2'!$A$17:$A$20,0)),"")</f>
        <v>492.72230557971551</v>
      </c>
      <c r="U787" s="794">
        <f t="shared" si="436"/>
        <v>1.0545088589520828</v>
      </c>
      <c r="V787" s="795">
        <f t="shared" si="437"/>
        <v>0.81085550648746696</v>
      </c>
      <c r="W787" s="795">
        <f t="shared" si="438"/>
        <v>0.4048479403335476</v>
      </c>
      <c r="X787" s="843">
        <f t="shared" si="439"/>
        <v>0.67771195974286991</v>
      </c>
      <c r="Y787" s="843">
        <f t="shared" si="440"/>
        <v>0.70012511665649624</v>
      </c>
      <c r="Z787" s="843">
        <f t="shared" si="441"/>
        <v>0.34759603998851507</v>
      </c>
      <c r="AA787" s="843">
        <f t="shared" si="442"/>
        <v>0.37504308143807236</v>
      </c>
      <c r="AB787" s="796">
        <f t="shared" si="443"/>
        <v>4</v>
      </c>
      <c r="AC787" s="797">
        <f t="shared" si="444"/>
        <v>3</v>
      </c>
      <c r="AD787" s="797">
        <f t="shared" si="445"/>
        <v>1</v>
      </c>
      <c r="AE787" s="842">
        <f t="shared" si="446"/>
        <v>2</v>
      </c>
      <c r="AF787" s="842">
        <f t="shared" si="447"/>
        <v>2</v>
      </c>
      <c r="AG787" s="842">
        <f t="shared" si="448"/>
        <v>1</v>
      </c>
      <c r="AH787" s="842">
        <f t="shared" si="449"/>
        <v>1</v>
      </c>
      <c r="AI787" s="826" cm="1">
        <f t="array" ref="AI787">SUMPRODUCT(--ISNUMBER($U787:$AA787),$AB$3:$AH$3)</f>
        <v>1</v>
      </c>
      <c r="AJ787" s="829">
        <f t="shared" si="450"/>
        <v>24.702211864449701</v>
      </c>
      <c r="AK787" s="827" t="str">
        <f t="shared" si="451"/>
        <v>Inmadura</v>
      </c>
      <c r="AL787" s="784" t="str">
        <f t="shared" si="452"/>
        <v>Alta</v>
      </c>
      <c r="AM787" s="799">
        <f>IF(ISNUMBER('Base de datos Rutas'!W785),'Base de datos Rutas'!W785,"")</f>
        <v>1989.5052980311282</v>
      </c>
      <c r="AN787" s="787">
        <f>IFERROR(SUMIFS('Base de datos Rutas'!$W$6:$W$794,'Base de datos Rutas'!$C$6:$C$794,$C787)/'Base de datos Rutas'!I785,"")</f>
        <v>1989.5052980311282</v>
      </c>
      <c r="AO787" s="800">
        <f>IFERROR('Base de datos Rutas'!X785*AN787/AM787,"")</f>
        <v>0.92132291446597758</v>
      </c>
      <c r="AP787" s="800">
        <f t="shared" si="453"/>
        <v>7.8677085534022417E-2</v>
      </c>
      <c r="AQ787" s="789">
        <f>IFERROR(INDEX('Hoja de apoyo v2'!$J$17:$J$20,MATCH($A787,'Hoja de apoyo v2'!$A$17:$A$20,0)),"")</f>
        <v>0.50577184527496444</v>
      </c>
      <c r="AR787" s="789">
        <f t="shared" si="454"/>
        <v>-0.42709475974094202</v>
      </c>
      <c r="AS787" s="784" t="str">
        <f t="shared" si="455"/>
        <v>Sí</v>
      </c>
      <c r="AT787" s="801">
        <f>IF(ISNUMBER('Base de datos Rutas'!CK785),'Base de datos Rutas'!CK785,"")</f>
        <v>213</v>
      </c>
      <c r="AU787" s="802">
        <f>IF(ISNUMBER('Base de datos Rutas'!CL785),'Base de datos Rutas'!CL785,"")</f>
        <v>379.29</v>
      </c>
      <c r="AV787" s="802">
        <f>IF(ISNUMBER('Base de datos Rutas'!CM785),'Base de datos Rutas'!CM785,"")</f>
        <v>166.29000000000002</v>
      </c>
      <c r="AW787" s="802">
        <f>IF(ISNUMBER('Base de datos Rutas'!CN785),'Base de datos Rutas'!CN785,"")</f>
        <v>5.34</v>
      </c>
      <c r="AX787" s="802">
        <f>IF(ISNUMBER('Base de datos Rutas'!CO785),'Base de datos Rutas'!CO785,"")</f>
        <v>9.4499999999999993</v>
      </c>
      <c r="AY787" s="802">
        <f>IF(ISNUMBER('Base de datos Rutas'!CP785),'Base de datos Rutas'!CP785,"")</f>
        <v>4.1099999999999994</v>
      </c>
      <c r="AZ787" s="802">
        <f>IF(ISNUMBER('Base de datos Rutas'!CQ785),'Base de datos Rutas'!CQ785,"")</f>
        <v>740.74</v>
      </c>
      <c r="BA787" s="802">
        <f>IF(ISNUMBER('Base de datos Rutas'!CR785),'Base de datos Rutas'!CR785,"")</f>
        <v>199.27</v>
      </c>
      <c r="BB787" s="803">
        <f>IF(ISNUMBER('Base de datos Rutas'!CS785),'Base de datos Rutas'!CS785,"")</f>
        <v>541.47</v>
      </c>
      <c r="BC787" s="804">
        <f t="shared" si="465"/>
        <v>0</v>
      </c>
      <c r="BD787" s="805" t="str">
        <f t="shared" si="466"/>
        <v>No saturada</v>
      </c>
      <c r="BE787" s="806">
        <f t="shared" si="467"/>
        <v>0.26901476901476901</v>
      </c>
      <c r="BF787" s="890">
        <f>IF(ISNUMBER('Base de datos Rutas'!CX785),'Base de datos Rutas'!CX785/100,"")</f>
        <v>0.34481262909412808</v>
      </c>
      <c r="BG787" s="891">
        <f>IF(ISNUMBER('Base de datos Rutas'!CZ785),'Base de datos Rutas'!CZ785/100,"")</f>
        <v>0.36116848627913839</v>
      </c>
      <c r="BH787" s="892">
        <f>IF(ISNUMBER('Base de datos Rutas'!DA785),'Base de datos Rutas'!DA785,"")</f>
        <v>109.87322430706966</v>
      </c>
      <c r="BI787" s="893">
        <f>IF(ISNUMBER('Base de datos Rutas'!DC785),'Base de datos Rutas'!DC785,"")</f>
        <v>4.2843034503047912</v>
      </c>
      <c r="BJ787" s="805" t="str">
        <f t="shared" si="468"/>
        <v>Ruta (completo)</v>
      </c>
      <c r="BK787" s="783">
        <f t="shared" si="456"/>
        <v>3</v>
      </c>
      <c r="BL787" s="797">
        <f t="shared" si="457"/>
        <v>3</v>
      </c>
      <c r="BM787" s="797">
        <f t="shared" si="458"/>
        <v>4</v>
      </c>
      <c r="BN787" s="797">
        <f t="shared" si="459"/>
        <v>4</v>
      </c>
      <c r="BO787" s="798" cm="1">
        <f t="array" ref="BO787">SUMPRODUCT(--ISNUMBER($BF787:$BI787),$BK$3:$BN$3)</f>
        <v>1</v>
      </c>
      <c r="BP787" s="831">
        <f t="shared" si="469"/>
        <v>62.5</v>
      </c>
      <c r="BQ787" s="834" t="str">
        <f t="shared" si="470"/>
        <v>Alto</v>
      </c>
      <c r="BR787" s="836">
        <f t="shared" si="460"/>
        <v>18.526658898337274</v>
      </c>
      <c r="BS787" s="836">
        <f t="shared" si="461"/>
        <v>62.5</v>
      </c>
      <c r="BT787" s="837" t="str">
        <f t="shared" si="462"/>
        <v>P3</v>
      </c>
      <c r="BU787" s="807" t="str">
        <f t="shared" si="471"/>
        <v>Con espacio</v>
      </c>
      <c r="BV787" s="807" t="str">
        <f t="shared" si="463"/>
        <v>Zona atractiva</v>
      </c>
      <c r="BW787" s="808" t="str">
        <f t="shared" si="464"/>
        <v>P3 - Desarrollar</v>
      </c>
    </row>
    <row r="788" spans="1:75">
      <c r="A788" s="780" t="str">
        <f>'Base de datos Rutas'!A786</f>
        <v>Pacifico</v>
      </c>
      <c r="B788" s="781" t="str">
        <f>'Base de datos Rutas'!B786</f>
        <v>Mexicali</v>
      </c>
      <c r="C788" s="781" t="str">
        <f>'Base de datos Rutas'!C786</f>
        <v>Planta Mexicali</v>
      </c>
      <c r="D788" s="782">
        <f>IF(ISNUMBER('Base de datos Rutas'!D786),'Base de datos Rutas'!D786,"Sin código")</f>
        <v>407300</v>
      </c>
      <c r="E788" s="783" t="str">
        <f>'Base de datos Rutas'!F786</f>
        <v>Activa</v>
      </c>
      <c r="F788" s="784" t="str">
        <f>'Base de datos Rutas'!H786</f>
        <v>No</v>
      </c>
      <c r="G788" s="785" t="str">
        <f>IF(ISNUMBER('Base de datos Rutas'!BE786),'Base de datos Rutas'!BE786,"")</f>
        <v/>
      </c>
      <c r="H788" s="786" t="str">
        <f>IF(ISNUMBER('Base de datos Rutas'!BH786),'Base de datos Rutas'!BH786,"")</f>
        <v/>
      </c>
      <c r="I788" s="788" t="str">
        <f>IFERROR(IF(OR(NOT(ISNUMBER('Base de datos Rutas'!O786)),N('Base de datos Rutas'!BK786)=0),"",'Base de datos Rutas'!O786/('Base de datos Rutas'!L786/'Base de datos Rutas'!BK786)),"")</f>
        <v/>
      </c>
      <c r="J788" s="788" t="str">
        <f>IFERROR(IF(OR(NOT(ISNUMBER('Base de datos Rutas'!N786)),N('Base de datos Rutas'!BK786)=0),"",'Base de datos Rutas'!N786/('Base de datos Rutas'!L786/'Base de datos Rutas'!BK786)),"")</f>
        <v/>
      </c>
      <c r="K788" s="788" t="str">
        <f>IFERROR(IF(OR(NOT(ISNUMBER('Base de datos Rutas'!J786)),N('Base de datos Rutas'!BK786)=0),"",'Base de datos Rutas'!J786/('Base de datos Rutas'!L786/'Base de datos Rutas'!BK786)),"")</f>
        <v/>
      </c>
      <c r="L788" s="788" t="str">
        <f>IFERROR(IF(OR(NOT(ISNUMBER('Base de datos Rutas'!K786)),N('Base de datos Rutas'!BK786)=0),"",'Base de datos Rutas'!K786/('Base de datos Rutas'!L786/'Base de datos Rutas'!BK786)),"")</f>
        <v/>
      </c>
      <c r="M788" s="787">
        <f>IF(ISNUMBER('Base de datos Rutas'!AX786),'Base de datos Rutas'!AX786,"")</f>
        <v>385.504818770594</v>
      </c>
      <c r="N788" s="790">
        <f>IFERROR(INDEX('Hoja de apoyo v2'!B$17:B$20,MATCH($A788,'Hoja de apoyo v2'!$A$17:$A$20,0)),"")</f>
        <v>48.509140196922353</v>
      </c>
      <c r="O788" s="791">
        <f>IFERROR(INDEX('Hoja de apoyo v2'!C$17:C$20,MATCH($A788,'Hoja de apoyo v2'!$A$17:$A$20,0)),"")</f>
        <v>0.66965083735281605</v>
      </c>
      <c r="P788" s="793">
        <f>IFERROR(INDEX('Hoja de apoyo v2'!D$17:D$20,MATCH($A788,'Hoja de apoyo v2'!$A$17:$A$20,0)),"")</f>
        <v>5938.874134119359</v>
      </c>
      <c r="Q788" s="793">
        <f>IFERROR(INDEX('Hoja de apoyo v2'!E$17:E$20,MATCH($A788,'Hoja de apoyo v2'!$A$17:$A$20,0)),"")</f>
        <v>4160.5938481536259</v>
      </c>
      <c r="R788" s="793">
        <f>IFERROR(INDEX('Hoja de apoyo v2'!F$17:F$20,MATCH($A788,'Hoja de apoyo v2'!$A$17:$A$20,0)),"")</f>
        <v>261.11067511683507</v>
      </c>
      <c r="S788" s="793">
        <f>IFERROR(INDEX('Hoja de apoyo v2'!G$17:G$20,MATCH($A788,'Hoja de apoyo v2'!$A$17:$A$20,0)),"")</f>
        <v>47.352224855431231</v>
      </c>
      <c r="T788" s="792">
        <f>IFERROR(INDEX('Hoja de apoyo v2'!H$17:H$20,MATCH($A788,'Hoja de apoyo v2'!$A$17:$A$20,0)),"")</f>
        <v>492.72230557971551</v>
      </c>
      <c r="U788" s="794" t="str">
        <f t="shared" si="436"/>
        <v/>
      </c>
      <c r="V788" s="795" t="str">
        <f t="shared" si="437"/>
        <v/>
      </c>
      <c r="W788" s="795" t="str">
        <f t="shared" si="438"/>
        <v/>
      </c>
      <c r="X788" s="843" t="str">
        <f t="shared" si="439"/>
        <v/>
      </c>
      <c r="Y788" s="843" t="str">
        <f t="shared" si="440"/>
        <v/>
      </c>
      <c r="Z788" s="843" t="str">
        <f t="shared" si="441"/>
        <v/>
      </c>
      <c r="AA788" s="843">
        <f t="shared" si="442"/>
        <v>0.78239774088779257</v>
      </c>
      <c r="AB788" s="796">
        <f t="shared" si="443"/>
        <v>0</v>
      </c>
      <c r="AC788" s="797">
        <f t="shared" si="444"/>
        <v>0</v>
      </c>
      <c r="AD788" s="797">
        <f t="shared" si="445"/>
        <v>0</v>
      </c>
      <c r="AE788" s="842">
        <f t="shared" si="446"/>
        <v>0</v>
      </c>
      <c r="AF788" s="842">
        <f t="shared" si="447"/>
        <v>0</v>
      </c>
      <c r="AG788" s="842">
        <f t="shared" si="448"/>
        <v>0</v>
      </c>
      <c r="AH788" s="842">
        <f t="shared" si="449"/>
        <v>3</v>
      </c>
      <c r="AI788" s="826" cm="1">
        <f t="array" ref="AI788">SUMPRODUCT(--ISNUMBER($U788:$AA788),$AB$3:$AH$3)</f>
        <v>8.9789113613062493E-2</v>
      </c>
      <c r="AJ788" s="829" t="str">
        <f t="shared" si="450"/>
        <v/>
      </c>
      <c r="AK788" s="827" t="str">
        <f t="shared" si="451"/>
        <v>No elegible</v>
      </c>
      <c r="AL788" s="784" t="str">
        <f t="shared" si="452"/>
        <v>n/a</v>
      </c>
      <c r="AM788" s="799">
        <f>IF(ISNUMBER('Base de datos Rutas'!W786),'Base de datos Rutas'!W786,"")</f>
        <v>2027.2848360000007</v>
      </c>
      <c r="AN788" s="787">
        <f>IFERROR(SUMIFS('Base de datos Rutas'!$W$6:$W$794,'Base de datos Rutas'!$C$6:$C$794,$C788)/'Base de datos Rutas'!I786,"")</f>
        <v>2027.2848360000007</v>
      </c>
      <c r="AO788" s="800">
        <f>IFERROR('Base de datos Rutas'!X786*AN788/AM788,"")</f>
        <v>0.60235709739053589</v>
      </c>
      <c r="AP788" s="800">
        <f t="shared" si="453"/>
        <v>0.39764290260946411</v>
      </c>
      <c r="AQ788" s="789">
        <f>IFERROR(INDEX('Hoja de apoyo v2'!$J$17:$J$20,MATCH($A788,'Hoja de apoyo v2'!$A$17:$A$20,0)),"")</f>
        <v>0.50577184527496444</v>
      </c>
      <c r="AR788" s="789">
        <f t="shared" si="454"/>
        <v>-0.10812894266550033</v>
      </c>
      <c r="AS788" s="784" t="str">
        <f t="shared" si="455"/>
        <v>Sí</v>
      </c>
      <c r="AT788" s="801">
        <f>IF(ISNUMBER('Base de datos Rutas'!CK786),'Base de datos Rutas'!CK786,"")</f>
        <v>295</v>
      </c>
      <c r="AU788" s="802">
        <f>IF(ISNUMBER('Base de datos Rutas'!CL786),'Base de datos Rutas'!CL786,"")</f>
        <v>733.11</v>
      </c>
      <c r="AV788" s="802">
        <f>IF(ISNUMBER('Base de datos Rutas'!CM786),'Base de datos Rutas'!CM786,"")</f>
        <v>438.11</v>
      </c>
      <c r="AW788" s="802">
        <f>IF(ISNUMBER('Base de datos Rutas'!CN786),'Base de datos Rutas'!CN786,"")</f>
        <v>3.85</v>
      </c>
      <c r="AX788" s="802">
        <f>IF(ISNUMBER('Base de datos Rutas'!CO786),'Base de datos Rutas'!CO786,"")</f>
        <v>9.4499999999999993</v>
      </c>
      <c r="AY788" s="802">
        <f>IF(ISNUMBER('Base de datos Rutas'!CP786),'Base de datos Rutas'!CP786,"")</f>
        <v>5.6</v>
      </c>
      <c r="AZ788" s="802">
        <f>IF(ISNUMBER('Base de datos Rutas'!CQ786),'Base de datos Rutas'!CQ786,"")</f>
        <v>846.56</v>
      </c>
      <c r="BA788" s="802">
        <f>IF(ISNUMBER('Base de datos Rutas'!CR786),'Base de datos Rutas'!CR786,"")</f>
        <v>0</v>
      </c>
      <c r="BB788" s="803">
        <f>IF(ISNUMBER('Base de datos Rutas'!CS786),'Base de datos Rutas'!CS786,"")</f>
        <v>846.56</v>
      </c>
      <c r="BC788" s="804">
        <f t="shared" si="465"/>
        <v>0</v>
      </c>
      <c r="BD788" s="805" t="str">
        <f t="shared" si="466"/>
        <v>No saturada</v>
      </c>
      <c r="BE788" s="806">
        <f t="shared" si="467"/>
        <v>0</v>
      </c>
      <c r="BF788" s="890">
        <f>IF(ISNUMBER('Base de datos Rutas'!CX786),'Base de datos Rutas'!CX786/100,"")</f>
        <v>0.54879185801760422</v>
      </c>
      <c r="BG788" s="891">
        <f>IF(ISNUMBER('Base de datos Rutas'!CZ786),'Base de datos Rutas'!CZ786/100,"")</f>
        <v>0.55927095292766937</v>
      </c>
      <c r="BH788" s="892">
        <f>IF(ISNUMBER('Base de datos Rutas'!DA786),'Base de datos Rutas'!DA786,"")</f>
        <v>75.427361951195024</v>
      </c>
      <c r="BI788" s="893">
        <f>IF(ISNUMBER('Base de datos Rutas'!DC786),'Base de datos Rutas'!DC786,"")</f>
        <v>0.50785314908283863</v>
      </c>
      <c r="BJ788" s="805" t="str">
        <f t="shared" si="468"/>
        <v>Ruta (completo)</v>
      </c>
      <c r="BK788" s="783">
        <f t="shared" si="456"/>
        <v>5</v>
      </c>
      <c r="BL788" s="797">
        <f t="shared" si="457"/>
        <v>5</v>
      </c>
      <c r="BM788" s="797">
        <f t="shared" si="458"/>
        <v>5</v>
      </c>
      <c r="BN788" s="797">
        <f t="shared" si="459"/>
        <v>4</v>
      </c>
      <c r="BO788" s="798" cm="1">
        <f t="array" ref="BO788">SUMPRODUCT(--ISNUMBER($BF788:$BI788),$BK$3:$BN$3)</f>
        <v>1</v>
      </c>
      <c r="BP788" s="831">
        <f t="shared" si="469"/>
        <v>93.75</v>
      </c>
      <c r="BQ788" s="834" t="str">
        <f t="shared" si="470"/>
        <v>Alto</v>
      </c>
      <c r="BR788" s="836" t="str">
        <f t="shared" si="460"/>
        <v/>
      </c>
      <c r="BS788" s="836">
        <f t="shared" si="461"/>
        <v>93.75</v>
      </c>
      <c r="BT788" s="837" t="str">
        <f t="shared" si="462"/>
        <v>Sin datos</v>
      </c>
      <c r="BU788" s="807" t="str">
        <f t="shared" si="471"/>
        <v>No evaluable</v>
      </c>
      <c r="BV788" s="807" t="str">
        <f t="shared" si="463"/>
        <v>No evaluable</v>
      </c>
      <c r="BW788" s="808" t="str">
        <f t="shared" si="464"/>
        <v>Sin datos</v>
      </c>
    </row>
    <row r="789" spans="1:75">
      <c r="A789" s="780" t="str">
        <f>'Base de datos Rutas'!A787</f>
        <v>Pacifico</v>
      </c>
      <c r="B789" s="781" t="str">
        <f>'Base de datos Rutas'!B787</f>
        <v>Mexicali</v>
      </c>
      <c r="C789" s="781" t="str">
        <f>'Base de datos Rutas'!C787</f>
        <v>Planta Mexicali</v>
      </c>
      <c r="D789" s="782">
        <f>IF(ISNUMBER('Base de datos Rutas'!D787),'Base de datos Rutas'!D787,"Sin código")</f>
        <v>407301</v>
      </c>
      <c r="E789" s="783" t="str">
        <f>'Base de datos Rutas'!F787</f>
        <v>Activa</v>
      </c>
      <c r="F789" s="784" t="str">
        <f>'Base de datos Rutas'!H787</f>
        <v>No</v>
      </c>
      <c r="G789" s="785" t="str">
        <f>IF(ISNUMBER('Base de datos Rutas'!BE787),'Base de datos Rutas'!BE787,"")</f>
        <v/>
      </c>
      <c r="H789" s="786" t="str">
        <f>IF(ISNUMBER('Base de datos Rutas'!BH787),'Base de datos Rutas'!BH787,"")</f>
        <v/>
      </c>
      <c r="I789" s="788" t="str">
        <f>IFERROR(IF(OR(NOT(ISNUMBER('Base de datos Rutas'!O787)),N('Base de datos Rutas'!BK787)=0),"",'Base de datos Rutas'!O787/('Base de datos Rutas'!L787/'Base de datos Rutas'!BK787)),"")</f>
        <v/>
      </c>
      <c r="J789" s="788" t="str">
        <f>IFERROR(IF(OR(NOT(ISNUMBER('Base de datos Rutas'!N787)),N('Base de datos Rutas'!BK787)=0),"",'Base de datos Rutas'!N787/('Base de datos Rutas'!L787/'Base de datos Rutas'!BK787)),"")</f>
        <v/>
      </c>
      <c r="K789" s="788" t="str">
        <f>IFERROR(IF(OR(NOT(ISNUMBER('Base de datos Rutas'!J787)),N('Base de datos Rutas'!BK787)=0),"",'Base de datos Rutas'!J787/('Base de datos Rutas'!L787/'Base de datos Rutas'!BK787)),"")</f>
        <v/>
      </c>
      <c r="L789" s="788" t="str">
        <f>IFERROR(IF(OR(NOT(ISNUMBER('Base de datos Rutas'!K787)),N('Base de datos Rutas'!BK787)=0),"",'Base de datos Rutas'!K787/('Base de datos Rutas'!L787/'Base de datos Rutas'!BK787)),"")</f>
        <v/>
      </c>
      <c r="M789" s="787">
        <f>IF(ISNUMBER('Base de datos Rutas'!AX787),'Base de datos Rutas'!AX787,"")</f>
        <v>458.76188199206098</v>
      </c>
      <c r="N789" s="790">
        <f>IFERROR(INDEX('Hoja de apoyo v2'!B$17:B$20,MATCH($A789,'Hoja de apoyo v2'!$A$17:$A$20,0)),"")</f>
        <v>48.509140196922353</v>
      </c>
      <c r="O789" s="791">
        <f>IFERROR(INDEX('Hoja de apoyo v2'!C$17:C$20,MATCH($A789,'Hoja de apoyo v2'!$A$17:$A$20,0)),"")</f>
        <v>0.66965083735281605</v>
      </c>
      <c r="P789" s="793">
        <f>IFERROR(INDEX('Hoja de apoyo v2'!D$17:D$20,MATCH($A789,'Hoja de apoyo v2'!$A$17:$A$20,0)),"")</f>
        <v>5938.874134119359</v>
      </c>
      <c r="Q789" s="793">
        <f>IFERROR(INDEX('Hoja de apoyo v2'!E$17:E$20,MATCH($A789,'Hoja de apoyo v2'!$A$17:$A$20,0)),"")</f>
        <v>4160.5938481536259</v>
      </c>
      <c r="R789" s="793">
        <f>IFERROR(INDEX('Hoja de apoyo v2'!F$17:F$20,MATCH($A789,'Hoja de apoyo v2'!$A$17:$A$20,0)),"")</f>
        <v>261.11067511683507</v>
      </c>
      <c r="S789" s="793">
        <f>IFERROR(INDEX('Hoja de apoyo v2'!G$17:G$20,MATCH($A789,'Hoja de apoyo v2'!$A$17:$A$20,0)),"")</f>
        <v>47.352224855431231</v>
      </c>
      <c r="T789" s="792">
        <f>IFERROR(INDEX('Hoja de apoyo v2'!H$17:H$20,MATCH($A789,'Hoja de apoyo v2'!$A$17:$A$20,0)),"")</f>
        <v>492.72230557971551</v>
      </c>
      <c r="U789" s="794" t="str">
        <f t="shared" si="436"/>
        <v/>
      </c>
      <c r="V789" s="795" t="str">
        <f t="shared" si="437"/>
        <v/>
      </c>
      <c r="W789" s="795" t="str">
        <f t="shared" si="438"/>
        <v/>
      </c>
      <c r="X789" s="843" t="str">
        <f t="shared" si="439"/>
        <v/>
      </c>
      <c r="Y789" s="843" t="str">
        <f t="shared" si="440"/>
        <v/>
      </c>
      <c r="Z789" s="843" t="str">
        <f t="shared" si="441"/>
        <v/>
      </c>
      <c r="AA789" s="843">
        <f t="shared" si="442"/>
        <v>0.93107593627672658</v>
      </c>
      <c r="AB789" s="796">
        <f t="shared" si="443"/>
        <v>0</v>
      </c>
      <c r="AC789" s="797">
        <f t="shared" si="444"/>
        <v>0</v>
      </c>
      <c r="AD789" s="797">
        <f t="shared" si="445"/>
        <v>0</v>
      </c>
      <c r="AE789" s="842">
        <f t="shared" si="446"/>
        <v>0</v>
      </c>
      <c r="AF789" s="842">
        <f t="shared" si="447"/>
        <v>0</v>
      </c>
      <c r="AG789" s="842">
        <f t="shared" si="448"/>
        <v>0</v>
      </c>
      <c r="AH789" s="842">
        <f t="shared" si="449"/>
        <v>3</v>
      </c>
      <c r="AI789" s="826" cm="1">
        <f t="array" ref="AI789">SUMPRODUCT(--ISNUMBER($U789:$AA789),$AB$3:$AH$3)</f>
        <v>8.9789113613062493E-2</v>
      </c>
      <c r="AJ789" s="829" t="str">
        <f t="shared" si="450"/>
        <v/>
      </c>
      <c r="AK789" s="827" t="str">
        <f t="shared" si="451"/>
        <v>No elegible</v>
      </c>
      <c r="AL789" s="784" t="str">
        <f t="shared" si="452"/>
        <v>n/a</v>
      </c>
      <c r="AM789" s="799">
        <f>IF(ISNUMBER('Base de datos Rutas'!W787),'Base de datos Rutas'!W787,"")</f>
        <v>2027.2848360000007</v>
      </c>
      <c r="AN789" s="787">
        <f>IFERROR(SUMIFS('Base de datos Rutas'!$W$6:$W$794,'Base de datos Rutas'!$C$6:$C$794,$C789)/'Base de datos Rutas'!I787,"")</f>
        <v>2027.2848360000007</v>
      </c>
      <c r="AO789" s="800">
        <f>IFERROR('Base de datos Rutas'!X787*AN789/AM789,"")</f>
        <v>0.60235709739053589</v>
      </c>
      <c r="AP789" s="800">
        <f t="shared" si="453"/>
        <v>0.39764290260946411</v>
      </c>
      <c r="AQ789" s="789">
        <f>IFERROR(INDEX('Hoja de apoyo v2'!$J$17:$J$20,MATCH($A789,'Hoja de apoyo v2'!$A$17:$A$20,0)),"")</f>
        <v>0.50577184527496444</v>
      </c>
      <c r="AR789" s="789">
        <f t="shared" si="454"/>
        <v>-0.10812894266550033</v>
      </c>
      <c r="AS789" s="784" t="str">
        <f t="shared" si="455"/>
        <v>Sí</v>
      </c>
      <c r="AT789" s="801">
        <f>IF(ISNUMBER('Base de datos Rutas'!CK787),'Base de datos Rutas'!CK787,"")</f>
        <v>530</v>
      </c>
      <c r="AU789" s="802">
        <f>IF(ISNUMBER('Base de datos Rutas'!CL787),'Base de datos Rutas'!CL787,"")</f>
        <v>762.33</v>
      </c>
      <c r="AV789" s="802">
        <f>IF(ISNUMBER('Base de datos Rutas'!CM787),'Base de datos Rutas'!CM787,"")</f>
        <v>232.33000000000004</v>
      </c>
      <c r="AW789" s="802">
        <f>IF(ISNUMBER('Base de datos Rutas'!CN787),'Base de datos Rutas'!CN787,"")</f>
        <v>16.28</v>
      </c>
      <c r="AX789" s="802">
        <f>IF(ISNUMBER('Base de datos Rutas'!CO787),'Base de datos Rutas'!CO787,"")</f>
        <v>9.4499999999999993</v>
      </c>
      <c r="AY789" s="802">
        <f>IF(ISNUMBER('Base de datos Rutas'!CP787),'Base de datos Rutas'!CP787,"")</f>
        <v>-6.8300000000000018</v>
      </c>
      <c r="AZ789" s="802">
        <f>IF(ISNUMBER('Base de datos Rutas'!CQ787),'Base de datos Rutas'!CQ787,"")</f>
        <v>733.69</v>
      </c>
      <c r="BA789" s="802">
        <f>IF(ISNUMBER('Base de datos Rutas'!CR787),'Base de datos Rutas'!CR787,"")</f>
        <v>0</v>
      </c>
      <c r="BB789" s="803">
        <f>IF(ISNUMBER('Base de datos Rutas'!CS787),'Base de datos Rutas'!CS787,"")</f>
        <v>733.69</v>
      </c>
      <c r="BC789" s="804">
        <f t="shared" si="465"/>
        <v>1</v>
      </c>
      <c r="BD789" s="805" t="str">
        <f t="shared" si="466"/>
        <v>Saturada</v>
      </c>
      <c r="BE789" s="806">
        <f t="shared" si="467"/>
        <v>0</v>
      </c>
      <c r="BF789" s="890">
        <f>IF(ISNUMBER('Base de datos Rutas'!CX787),'Base de datos Rutas'!CX787/100,"")</f>
        <v>0.30376051875322374</v>
      </c>
      <c r="BG789" s="891">
        <f>IF(ISNUMBER('Base de datos Rutas'!CZ787),'Base de datos Rutas'!CZ787/100,"")</f>
        <v>0.30718443740328644</v>
      </c>
      <c r="BH789" s="892">
        <f>IF(ISNUMBER('Base de datos Rutas'!DA787),'Base de datos Rutas'!DA787,"")</f>
        <v>24.627027671668134</v>
      </c>
      <c r="BI789" s="893">
        <f>IF(ISNUMBER('Base de datos Rutas'!DC787),'Base de datos Rutas'!DC787,"")</f>
        <v>0.18788356071533424</v>
      </c>
      <c r="BJ789" s="805" t="str">
        <f t="shared" si="468"/>
        <v>Ruta (completo)</v>
      </c>
      <c r="BK789" s="783">
        <f t="shared" si="456"/>
        <v>4</v>
      </c>
      <c r="BL789" s="797">
        <f t="shared" si="457"/>
        <v>4</v>
      </c>
      <c r="BM789" s="797">
        <f t="shared" si="458"/>
        <v>2</v>
      </c>
      <c r="BN789" s="797">
        <f t="shared" si="459"/>
        <v>2</v>
      </c>
      <c r="BO789" s="798" cm="1">
        <f t="array" ref="BO789">SUMPRODUCT(--ISNUMBER($BF789:$BI789),$BK$3:$BN$3)</f>
        <v>1</v>
      </c>
      <c r="BP789" s="831">
        <f t="shared" si="469"/>
        <v>50</v>
      </c>
      <c r="BQ789" s="834" t="str">
        <f t="shared" si="470"/>
        <v>Alto</v>
      </c>
      <c r="BR789" s="836" t="str">
        <f t="shared" si="460"/>
        <v/>
      </c>
      <c r="BS789" s="836">
        <f t="shared" si="461"/>
        <v>50</v>
      </c>
      <c r="BT789" s="837" t="str">
        <f t="shared" si="462"/>
        <v>Sin datos</v>
      </c>
      <c r="BU789" s="807" t="str">
        <f t="shared" si="471"/>
        <v>No evaluable</v>
      </c>
      <c r="BV789" s="807" t="str">
        <f t="shared" si="463"/>
        <v>No evaluable</v>
      </c>
      <c r="BW789" s="808" t="str">
        <f t="shared" si="464"/>
        <v>Sin datos</v>
      </c>
    </row>
    <row r="790" spans="1:75">
      <c r="A790" s="780" t="str">
        <f>'Base de datos Rutas'!A788</f>
        <v>Pacifico</v>
      </c>
      <c r="B790" s="781" t="str">
        <f>'Base de datos Rutas'!B788</f>
        <v>Mexicali</v>
      </c>
      <c r="C790" s="781" t="str">
        <f>'Base de datos Rutas'!C788</f>
        <v>Planta Mexicali</v>
      </c>
      <c r="D790" s="782">
        <f>IF(ISNUMBER('Base de datos Rutas'!D788),'Base de datos Rutas'!D788,"Sin código")</f>
        <v>407302</v>
      </c>
      <c r="E790" s="783" t="str">
        <f>'Base de datos Rutas'!F788</f>
        <v>Activa</v>
      </c>
      <c r="F790" s="784" t="str">
        <f>'Base de datos Rutas'!H788</f>
        <v>No</v>
      </c>
      <c r="G790" s="785" t="str">
        <f>IF(ISNUMBER('Base de datos Rutas'!BE788),'Base de datos Rutas'!BE788,"")</f>
        <v/>
      </c>
      <c r="H790" s="786" t="str">
        <f>IF(ISNUMBER('Base de datos Rutas'!BH788),'Base de datos Rutas'!BH788,"")</f>
        <v/>
      </c>
      <c r="I790" s="788" t="str">
        <f>IFERROR(IF(OR(NOT(ISNUMBER('Base de datos Rutas'!O788)),N('Base de datos Rutas'!BK788)=0),"",'Base de datos Rutas'!O788/('Base de datos Rutas'!L788/'Base de datos Rutas'!BK788)),"")</f>
        <v/>
      </c>
      <c r="J790" s="788" t="str">
        <f>IFERROR(IF(OR(NOT(ISNUMBER('Base de datos Rutas'!N788)),N('Base de datos Rutas'!BK788)=0),"",'Base de datos Rutas'!N788/('Base de datos Rutas'!L788/'Base de datos Rutas'!BK788)),"")</f>
        <v/>
      </c>
      <c r="K790" s="788" t="str">
        <f>IFERROR(IF(OR(NOT(ISNUMBER('Base de datos Rutas'!J788)),N('Base de datos Rutas'!BK788)=0),"",'Base de datos Rutas'!J788/('Base de datos Rutas'!L788/'Base de datos Rutas'!BK788)),"")</f>
        <v/>
      </c>
      <c r="L790" s="788" t="str">
        <f>IFERROR(IF(OR(NOT(ISNUMBER('Base de datos Rutas'!K788)),N('Base de datos Rutas'!BK788)=0),"",'Base de datos Rutas'!K788/('Base de datos Rutas'!L788/'Base de datos Rutas'!BK788)),"")</f>
        <v/>
      </c>
      <c r="M790" s="787">
        <f>IF(ISNUMBER('Base de datos Rutas'!AX788),'Base de datos Rutas'!AX788,"")</f>
        <v>275.49210767984198</v>
      </c>
      <c r="N790" s="790">
        <f>IFERROR(INDEX('Hoja de apoyo v2'!B$17:B$20,MATCH($A790,'Hoja de apoyo v2'!$A$17:$A$20,0)),"")</f>
        <v>48.509140196922353</v>
      </c>
      <c r="O790" s="791">
        <f>IFERROR(INDEX('Hoja de apoyo v2'!C$17:C$20,MATCH($A790,'Hoja de apoyo v2'!$A$17:$A$20,0)),"")</f>
        <v>0.66965083735281605</v>
      </c>
      <c r="P790" s="793">
        <f>IFERROR(INDEX('Hoja de apoyo v2'!D$17:D$20,MATCH($A790,'Hoja de apoyo v2'!$A$17:$A$20,0)),"")</f>
        <v>5938.874134119359</v>
      </c>
      <c r="Q790" s="793">
        <f>IFERROR(INDEX('Hoja de apoyo v2'!E$17:E$20,MATCH($A790,'Hoja de apoyo v2'!$A$17:$A$20,0)),"")</f>
        <v>4160.5938481536259</v>
      </c>
      <c r="R790" s="793">
        <f>IFERROR(INDEX('Hoja de apoyo v2'!F$17:F$20,MATCH($A790,'Hoja de apoyo v2'!$A$17:$A$20,0)),"")</f>
        <v>261.11067511683507</v>
      </c>
      <c r="S790" s="793">
        <f>IFERROR(INDEX('Hoja de apoyo v2'!G$17:G$20,MATCH($A790,'Hoja de apoyo v2'!$A$17:$A$20,0)),"")</f>
        <v>47.352224855431231</v>
      </c>
      <c r="T790" s="792">
        <f>IFERROR(INDEX('Hoja de apoyo v2'!H$17:H$20,MATCH($A790,'Hoja de apoyo v2'!$A$17:$A$20,0)),"")</f>
        <v>492.72230557971551</v>
      </c>
      <c r="U790" s="794" t="str">
        <f t="shared" si="436"/>
        <v/>
      </c>
      <c r="V790" s="795" t="str">
        <f t="shared" si="437"/>
        <v/>
      </c>
      <c r="W790" s="795" t="str">
        <f t="shared" si="438"/>
        <v/>
      </c>
      <c r="X790" s="843" t="str">
        <f t="shared" si="439"/>
        <v/>
      </c>
      <c r="Y790" s="843" t="str">
        <f t="shared" si="440"/>
        <v/>
      </c>
      <c r="Z790" s="843" t="str">
        <f t="shared" si="441"/>
        <v/>
      </c>
      <c r="AA790" s="843">
        <f t="shared" si="442"/>
        <v>0.55912246017705658</v>
      </c>
      <c r="AB790" s="796">
        <f t="shared" si="443"/>
        <v>0</v>
      </c>
      <c r="AC790" s="797">
        <f t="shared" si="444"/>
        <v>0</v>
      </c>
      <c r="AD790" s="797">
        <f t="shared" si="445"/>
        <v>0</v>
      </c>
      <c r="AE790" s="842">
        <f t="shared" si="446"/>
        <v>0</v>
      </c>
      <c r="AF790" s="842">
        <f t="shared" si="447"/>
        <v>0</v>
      </c>
      <c r="AG790" s="842">
        <f t="shared" si="448"/>
        <v>0</v>
      </c>
      <c r="AH790" s="842">
        <f t="shared" si="449"/>
        <v>2</v>
      </c>
      <c r="AI790" s="826" cm="1">
        <f t="array" ref="AI790">SUMPRODUCT(--ISNUMBER($U790:$AA790),$AB$3:$AH$3)</f>
        <v>8.9789113613062493E-2</v>
      </c>
      <c r="AJ790" s="829" t="str">
        <f t="shared" si="450"/>
        <v/>
      </c>
      <c r="AK790" s="827" t="str">
        <f t="shared" si="451"/>
        <v>No elegible</v>
      </c>
      <c r="AL790" s="784" t="str">
        <f t="shared" si="452"/>
        <v>n/a</v>
      </c>
      <c r="AM790" s="799">
        <f>IF(ISNUMBER('Base de datos Rutas'!W788),'Base de datos Rutas'!W788,"")</f>
        <v>2027.2848360000007</v>
      </c>
      <c r="AN790" s="787">
        <f>IFERROR(SUMIFS('Base de datos Rutas'!$W$6:$W$794,'Base de datos Rutas'!$C$6:$C$794,$C790)/'Base de datos Rutas'!I788,"")</f>
        <v>2027.2848360000007</v>
      </c>
      <c r="AO790" s="800">
        <f>IFERROR('Base de datos Rutas'!X788*AN790/AM790,"")</f>
        <v>0.60235709739053589</v>
      </c>
      <c r="AP790" s="800">
        <f t="shared" si="453"/>
        <v>0.39764290260946411</v>
      </c>
      <c r="AQ790" s="789">
        <f>IFERROR(INDEX('Hoja de apoyo v2'!$J$17:$J$20,MATCH($A790,'Hoja de apoyo v2'!$A$17:$A$20,0)),"")</f>
        <v>0.50577184527496444</v>
      </c>
      <c r="AR790" s="789">
        <f t="shared" si="454"/>
        <v>-0.10812894266550033</v>
      </c>
      <c r="AS790" s="784" t="str">
        <f t="shared" si="455"/>
        <v>Sí</v>
      </c>
      <c r="AT790" s="801">
        <f>IF(ISNUMBER('Base de datos Rutas'!CK788),'Base de datos Rutas'!CK788,"")</f>
        <v>358</v>
      </c>
      <c r="AU790" s="802">
        <f>IF(ISNUMBER('Base de datos Rutas'!CL788),'Base de datos Rutas'!CL788,"")</f>
        <v>460.8</v>
      </c>
      <c r="AV790" s="802">
        <f>IF(ISNUMBER('Base de datos Rutas'!CM788),'Base de datos Rutas'!CM788,"")</f>
        <v>102.80000000000001</v>
      </c>
      <c r="AW790" s="802">
        <f>IF(ISNUMBER('Base de datos Rutas'!CN788),'Base de datos Rutas'!CN788,"")</f>
        <v>5.51</v>
      </c>
      <c r="AX790" s="802">
        <f>IF(ISNUMBER('Base de datos Rutas'!CO788),'Base de datos Rutas'!CO788,"")</f>
        <v>9.4499999999999993</v>
      </c>
      <c r="AY790" s="802">
        <f>IF(ISNUMBER('Base de datos Rutas'!CP788),'Base de datos Rutas'!CP788,"")</f>
        <v>3.9399999999999995</v>
      </c>
      <c r="AZ790" s="802">
        <f>IF(ISNUMBER('Base de datos Rutas'!CQ788),'Base de datos Rutas'!CQ788,"")</f>
        <v>846.56</v>
      </c>
      <c r="BA790" s="802">
        <f>IF(ISNUMBER('Base de datos Rutas'!CR788),'Base de datos Rutas'!CR788,"")</f>
        <v>0</v>
      </c>
      <c r="BB790" s="803">
        <f>IF(ISNUMBER('Base de datos Rutas'!CS788),'Base de datos Rutas'!CS788,"")</f>
        <v>846.56</v>
      </c>
      <c r="BC790" s="804">
        <f t="shared" si="465"/>
        <v>0</v>
      </c>
      <c r="BD790" s="805" t="str">
        <f t="shared" si="466"/>
        <v>No saturada</v>
      </c>
      <c r="BE790" s="806">
        <f t="shared" si="467"/>
        <v>0</v>
      </c>
      <c r="BF790" s="890">
        <f>IF(ISNUMBER('Base de datos Rutas'!CX788),'Base de datos Rutas'!CX788/100,"")</f>
        <v>0.10471328431142959</v>
      </c>
      <c r="BG790" s="891">
        <f>IF(ISNUMBER('Base de datos Rutas'!CZ788),'Base de datos Rutas'!CZ788/100,"")</f>
        <v>0.1063182052362887</v>
      </c>
      <c r="BH790" s="892">
        <f>IF(ISNUMBER('Base de datos Rutas'!DA788),'Base de datos Rutas'!DA788,"")</f>
        <v>15.450541338429261</v>
      </c>
      <c r="BI790" s="893">
        <f>IF(ISNUMBER('Base de datos Rutas'!DC788),'Base de datos Rutas'!DC788,"")</f>
        <v>0.11918485935800036</v>
      </c>
      <c r="BJ790" s="805" t="str">
        <f t="shared" si="468"/>
        <v>Ruta (completo)</v>
      </c>
      <c r="BK790" s="783">
        <f t="shared" si="456"/>
        <v>1</v>
      </c>
      <c r="BL790" s="797">
        <f t="shared" si="457"/>
        <v>1</v>
      </c>
      <c r="BM790" s="797">
        <f t="shared" si="458"/>
        <v>1</v>
      </c>
      <c r="BN790" s="797">
        <f t="shared" si="459"/>
        <v>1</v>
      </c>
      <c r="BO790" s="798" cm="1">
        <f t="array" ref="BO790">SUMPRODUCT(--ISNUMBER($BF790:$BI790),$BK$3:$BN$3)</f>
        <v>1</v>
      </c>
      <c r="BP790" s="831">
        <f t="shared" si="469"/>
        <v>0</v>
      </c>
      <c r="BQ790" s="834" t="str">
        <f t="shared" si="470"/>
        <v>Bajo</v>
      </c>
      <c r="BR790" s="836" t="str">
        <f t="shared" si="460"/>
        <v/>
      </c>
      <c r="BS790" s="836">
        <f t="shared" si="461"/>
        <v>0</v>
      </c>
      <c r="BT790" s="837" t="str">
        <f t="shared" si="462"/>
        <v>Sin datos</v>
      </c>
      <c r="BU790" s="807" t="str">
        <f t="shared" si="471"/>
        <v>No evaluable</v>
      </c>
      <c r="BV790" s="807" t="str">
        <f t="shared" si="463"/>
        <v>No evaluable</v>
      </c>
      <c r="BW790" s="808" t="str">
        <f t="shared" si="464"/>
        <v>Sin datos</v>
      </c>
    </row>
    <row r="791" spans="1:75">
      <c r="A791" s="780" t="str">
        <f>'Base de datos Rutas'!A789</f>
        <v>Pacifico</v>
      </c>
      <c r="B791" s="781" t="str">
        <f>'Base de datos Rutas'!B789</f>
        <v>Mexicali</v>
      </c>
      <c r="C791" s="781" t="str">
        <f>'Base de datos Rutas'!C789</f>
        <v>Planta Mexicali</v>
      </c>
      <c r="D791" s="782">
        <f>IF(ISNUMBER('Base de datos Rutas'!D789),'Base de datos Rutas'!D789,"Sin código")</f>
        <v>407303</v>
      </c>
      <c r="E791" s="783" t="str">
        <f>'Base de datos Rutas'!F789</f>
        <v>Activa</v>
      </c>
      <c r="F791" s="784" t="str">
        <f>'Base de datos Rutas'!H789</f>
        <v>No</v>
      </c>
      <c r="G791" s="785" t="str">
        <f>IF(ISNUMBER('Base de datos Rutas'!BE789),'Base de datos Rutas'!BE789,"")</f>
        <v/>
      </c>
      <c r="H791" s="786" t="str">
        <f>IF(ISNUMBER('Base de datos Rutas'!BH789),'Base de datos Rutas'!BH789,"")</f>
        <v/>
      </c>
      <c r="I791" s="788" t="str">
        <f>IFERROR(IF(OR(NOT(ISNUMBER('Base de datos Rutas'!O789)),N('Base de datos Rutas'!BK789)=0),"",'Base de datos Rutas'!O789/('Base de datos Rutas'!L789/'Base de datos Rutas'!BK789)),"")</f>
        <v/>
      </c>
      <c r="J791" s="788" t="str">
        <f>IFERROR(IF(OR(NOT(ISNUMBER('Base de datos Rutas'!N789)),N('Base de datos Rutas'!BK789)=0),"",'Base de datos Rutas'!N789/('Base de datos Rutas'!L789/'Base de datos Rutas'!BK789)),"")</f>
        <v/>
      </c>
      <c r="K791" s="788" t="str">
        <f>IFERROR(IF(OR(NOT(ISNUMBER('Base de datos Rutas'!J789)),N('Base de datos Rutas'!BK789)=0),"",'Base de datos Rutas'!J789/('Base de datos Rutas'!L789/'Base de datos Rutas'!BK789)),"")</f>
        <v/>
      </c>
      <c r="L791" s="788" t="str">
        <f>IFERROR(IF(OR(NOT(ISNUMBER('Base de datos Rutas'!K789)),N('Base de datos Rutas'!BK789)=0),"",'Base de datos Rutas'!K789/('Base de datos Rutas'!L789/'Base de datos Rutas'!BK789)),"")</f>
        <v/>
      </c>
      <c r="M791" s="787">
        <f>IF(ISNUMBER('Base de datos Rutas'!AX789),'Base de datos Rutas'!AX789,"")</f>
        <v>313.44056472437398</v>
      </c>
      <c r="N791" s="790">
        <f>IFERROR(INDEX('Hoja de apoyo v2'!B$17:B$20,MATCH($A791,'Hoja de apoyo v2'!$A$17:$A$20,0)),"")</f>
        <v>48.509140196922353</v>
      </c>
      <c r="O791" s="791">
        <f>IFERROR(INDEX('Hoja de apoyo v2'!C$17:C$20,MATCH($A791,'Hoja de apoyo v2'!$A$17:$A$20,0)),"")</f>
        <v>0.66965083735281605</v>
      </c>
      <c r="P791" s="793">
        <f>IFERROR(INDEX('Hoja de apoyo v2'!D$17:D$20,MATCH($A791,'Hoja de apoyo v2'!$A$17:$A$20,0)),"")</f>
        <v>5938.874134119359</v>
      </c>
      <c r="Q791" s="793">
        <f>IFERROR(INDEX('Hoja de apoyo v2'!E$17:E$20,MATCH($A791,'Hoja de apoyo v2'!$A$17:$A$20,0)),"")</f>
        <v>4160.5938481536259</v>
      </c>
      <c r="R791" s="793">
        <f>IFERROR(INDEX('Hoja de apoyo v2'!F$17:F$20,MATCH($A791,'Hoja de apoyo v2'!$A$17:$A$20,0)),"")</f>
        <v>261.11067511683507</v>
      </c>
      <c r="S791" s="793">
        <f>IFERROR(INDEX('Hoja de apoyo v2'!G$17:G$20,MATCH($A791,'Hoja de apoyo v2'!$A$17:$A$20,0)),"")</f>
        <v>47.352224855431231</v>
      </c>
      <c r="T791" s="792">
        <f>IFERROR(INDEX('Hoja de apoyo v2'!H$17:H$20,MATCH($A791,'Hoja de apoyo v2'!$A$17:$A$20,0)),"")</f>
        <v>492.72230557971551</v>
      </c>
      <c r="U791" s="794" t="str">
        <f t="shared" si="436"/>
        <v/>
      </c>
      <c r="V791" s="795" t="str">
        <f t="shared" si="437"/>
        <v/>
      </c>
      <c r="W791" s="795" t="str">
        <f t="shared" si="438"/>
        <v/>
      </c>
      <c r="X791" s="843" t="str">
        <f t="shared" si="439"/>
        <v/>
      </c>
      <c r="Y791" s="843" t="str">
        <f t="shared" si="440"/>
        <v/>
      </c>
      <c r="Z791" s="843" t="str">
        <f t="shared" si="441"/>
        <v/>
      </c>
      <c r="AA791" s="843">
        <f t="shared" si="442"/>
        <v>0.63614040033278685</v>
      </c>
      <c r="AB791" s="796">
        <f t="shared" si="443"/>
        <v>0</v>
      </c>
      <c r="AC791" s="797">
        <f t="shared" si="444"/>
        <v>0</v>
      </c>
      <c r="AD791" s="797">
        <f t="shared" si="445"/>
        <v>0</v>
      </c>
      <c r="AE791" s="842">
        <f t="shared" si="446"/>
        <v>0</v>
      </c>
      <c r="AF791" s="842">
        <f t="shared" si="447"/>
        <v>0</v>
      </c>
      <c r="AG791" s="842">
        <f t="shared" si="448"/>
        <v>0</v>
      </c>
      <c r="AH791" s="842">
        <f t="shared" si="449"/>
        <v>2</v>
      </c>
      <c r="AI791" s="826" cm="1">
        <f t="array" ref="AI791">SUMPRODUCT(--ISNUMBER($U791:$AA791),$AB$3:$AH$3)</f>
        <v>8.9789113613062493E-2</v>
      </c>
      <c r="AJ791" s="829" t="str">
        <f t="shared" si="450"/>
        <v/>
      </c>
      <c r="AK791" s="827" t="str">
        <f t="shared" si="451"/>
        <v>No elegible</v>
      </c>
      <c r="AL791" s="784" t="str">
        <f t="shared" si="452"/>
        <v>n/a</v>
      </c>
      <c r="AM791" s="799">
        <f>IF(ISNUMBER('Base de datos Rutas'!W789),'Base de datos Rutas'!W789,"")</f>
        <v>2027.2848360000007</v>
      </c>
      <c r="AN791" s="787">
        <f>IFERROR(SUMIFS('Base de datos Rutas'!$W$6:$W$794,'Base de datos Rutas'!$C$6:$C$794,$C791)/'Base de datos Rutas'!I789,"")</f>
        <v>2027.2848360000007</v>
      </c>
      <c r="AO791" s="800">
        <f>IFERROR('Base de datos Rutas'!X789*AN791/AM791,"")</f>
        <v>0.60235709739053589</v>
      </c>
      <c r="AP791" s="800">
        <f t="shared" si="453"/>
        <v>0.39764290260946411</v>
      </c>
      <c r="AQ791" s="789">
        <f>IFERROR(INDEX('Hoja de apoyo v2'!$J$17:$J$20,MATCH($A791,'Hoja de apoyo v2'!$A$17:$A$20,0)),"")</f>
        <v>0.50577184527496444</v>
      </c>
      <c r="AR791" s="789">
        <f t="shared" si="454"/>
        <v>-0.10812894266550033</v>
      </c>
      <c r="AS791" s="784" t="str">
        <f t="shared" si="455"/>
        <v>Sí</v>
      </c>
      <c r="AT791" s="801">
        <f>IF(ISNUMBER('Base de datos Rutas'!CK789),'Base de datos Rutas'!CK789,"")</f>
        <v>318</v>
      </c>
      <c r="AU791" s="802">
        <f>IF(ISNUMBER('Base de datos Rutas'!CL789),'Base de datos Rutas'!CL789,"")</f>
        <v>646.20000000000005</v>
      </c>
      <c r="AV791" s="802">
        <f>IF(ISNUMBER('Base de datos Rutas'!CM789),'Base de datos Rutas'!CM789,"")</f>
        <v>328.20000000000005</v>
      </c>
      <c r="AW791" s="802">
        <f>IF(ISNUMBER('Base de datos Rutas'!CN789),'Base de datos Rutas'!CN789,"")</f>
        <v>4.72</v>
      </c>
      <c r="AX791" s="802">
        <f>IF(ISNUMBER('Base de datos Rutas'!CO789),'Base de datos Rutas'!CO789,"")</f>
        <v>9.4499999999999993</v>
      </c>
      <c r="AY791" s="802">
        <f>IF(ISNUMBER('Base de datos Rutas'!CP789),'Base de datos Rutas'!CP789,"")</f>
        <v>4.7299999999999995</v>
      </c>
      <c r="AZ791" s="802">
        <f>IF(ISNUMBER('Base de datos Rutas'!CQ789),'Base de datos Rutas'!CQ789,"")</f>
        <v>592.59</v>
      </c>
      <c r="BA791" s="802">
        <f>IF(ISNUMBER('Base de datos Rutas'!CR789),'Base de datos Rutas'!CR789,"")</f>
        <v>0</v>
      </c>
      <c r="BB791" s="803">
        <f>IF(ISNUMBER('Base de datos Rutas'!CS789),'Base de datos Rutas'!CS789,"")</f>
        <v>592.59</v>
      </c>
      <c r="BC791" s="804">
        <f t="shared" si="465"/>
        <v>0</v>
      </c>
      <c r="BD791" s="805" t="str">
        <f t="shared" si="466"/>
        <v>No saturada</v>
      </c>
      <c r="BE791" s="806">
        <f t="shared" si="467"/>
        <v>0</v>
      </c>
      <c r="BF791" s="890">
        <f>IF(ISNUMBER('Base de datos Rutas'!CX789),'Base de datos Rutas'!CX789/100,"")</f>
        <v>0.2050038396559668</v>
      </c>
      <c r="BG791" s="891">
        <f>IF(ISNUMBER('Base de datos Rutas'!CZ789),'Base de datos Rutas'!CZ789/100,"")</f>
        <v>0.21004454000921519</v>
      </c>
      <c r="BH791" s="892">
        <f>IF(ISNUMBER('Base de datos Rutas'!DA789),'Base de datos Rutas'!DA789,"")</f>
        <v>31.482744941028329</v>
      </c>
      <c r="BI791" s="893">
        <f>IF(ISNUMBER('Base de datos Rutas'!DC789),'Base de datos Rutas'!DC789,"")</f>
        <v>0.27570898955044609</v>
      </c>
      <c r="BJ791" s="805" t="str">
        <f t="shared" si="468"/>
        <v>Ruta (completo)</v>
      </c>
      <c r="BK791" s="783">
        <f t="shared" si="456"/>
        <v>3</v>
      </c>
      <c r="BL791" s="797">
        <f t="shared" si="457"/>
        <v>3</v>
      </c>
      <c r="BM791" s="797">
        <f t="shared" si="458"/>
        <v>3</v>
      </c>
      <c r="BN791" s="797">
        <f t="shared" si="459"/>
        <v>3</v>
      </c>
      <c r="BO791" s="798" cm="1">
        <f t="array" ref="BO791">SUMPRODUCT(--ISNUMBER($BF791:$BI791),$BK$3:$BN$3)</f>
        <v>1</v>
      </c>
      <c r="BP791" s="831">
        <f t="shared" si="469"/>
        <v>50</v>
      </c>
      <c r="BQ791" s="834" t="str">
        <f t="shared" si="470"/>
        <v>Alto</v>
      </c>
      <c r="BR791" s="836" t="str">
        <f t="shared" si="460"/>
        <v/>
      </c>
      <c r="BS791" s="836">
        <f t="shared" si="461"/>
        <v>50</v>
      </c>
      <c r="BT791" s="837" t="str">
        <f t="shared" si="462"/>
        <v>Sin datos</v>
      </c>
      <c r="BU791" s="807" t="str">
        <f t="shared" si="471"/>
        <v>No evaluable</v>
      </c>
      <c r="BV791" s="807" t="str">
        <f t="shared" si="463"/>
        <v>No evaluable</v>
      </c>
      <c r="BW791" s="808" t="str">
        <f t="shared" si="464"/>
        <v>Sin datos</v>
      </c>
    </row>
    <row r="792" spans="1:75">
      <c r="A792" s="780" t="str">
        <f>'Base de datos Rutas'!A790</f>
        <v>Pacifico</v>
      </c>
      <c r="B792" s="781" t="str">
        <f>'Base de datos Rutas'!B790</f>
        <v>Mexicali</v>
      </c>
      <c r="C792" s="781" t="str">
        <f>'Base de datos Rutas'!C790</f>
        <v>Planta Mexicali</v>
      </c>
      <c r="D792" s="782">
        <f>IF(ISNUMBER('Base de datos Rutas'!D790),'Base de datos Rutas'!D790,"Sin código")</f>
        <v>407304</v>
      </c>
      <c r="E792" s="783" t="str">
        <f>'Base de datos Rutas'!F790</f>
        <v>Activa</v>
      </c>
      <c r="F792" s="784" t="str">
        <f>'Base de datos Rutas'!H790</f>
        <v>No</v>
      </c>
      <c r="G792" s="785" t="str">
        <f>IF(ISNUMBER('Base de datos Rutas'!BE790),'Base de datos Rutas'!BE790,"")</f>
        <v/>
      </c>
      <c r="H792" s="786" t="str">
        <f>IF(ISNUMBER('Base de datos Rutas'!BH790),'Base de datos Rutas'!BH790,"")</f>
        <v/>
      </c>
      <c r="I792" s="788" t="str">
        <f>IFERROR(IF(OR(NOT(ISNUMBER('Base de datos Rutas'!O790)),N('Base de datos Rutas'!BK790)=0),"",'Base de datos Rutas'!O790/('Base de datos Rutas'!L790/'Base de datos Rutas'!BK790)),"")</f>
        <v/>
      </c>
      <c r="J792" s="788" t="str">
        <f>IFERROR(IF(OR(NOT(ISNUMBER('Base de datos Rutas'!N790)),N('Base de datos Rutas'!BK790)=0),"",'Base de datos Rutas'!N790/('Base de datos Rutas'!L790/'Base de datos Rutas'!BK790)),"")</f>
        <v/>
      </c>
      <c r="K792" s="788" t="str">
        <f>IFERROR(IF(OR(NOT(ISNUMBER('Base de datos Rutas'!J790)),N('Base de datos Rutas'!BK790)=0),"",'Base de datos Rutas'!J790/('Base de datos Rutas'!L790/'Base de datos Rutas'!BK790)),"")</f>
        <v/>
      </c>
      <c r="L792" s="788" t="str">
        <f>IFERROR(IF(OR(NOT(ISNUMBER('Base de datos Rutas'!K790)),N('Base de datos Rutas'!BK790)=0),"",'Base de datos Rutas'!K790/('Base de datos Rutas'!L790/'Base de datos Rutas'!BK790)),"")</f>
        <v/>
      </c>
      <c r="M792" s="787">
        <f>IF(ISNUMBER('Base de datos Rutas'!AX790),'Base de datos Rutas'!AX790,"")</f>
        <v>313.619342020592</v>
      </c>
      <c r="N792" s="790">
        <f>IFERROR(INDEX('Hoja de apoyo v2'!B$17:B$20,MATCH($A792,'Hoja de apoyo v2'!$A$17:$A$20,0)),"")</f>
        <v>48.509140196922353</v>
      </c>
      <c r="O792" s="791">
        <f>IFERROR(INDEX('Hoja de apoyo v2'!C$17:C$20,MATCH($A792,'Hoja de apoyo v2'!$A$17:$A$20,0)),"")</f>
        <v>0.66965083735281605</v>
      </c>
      <c r="P792" s="793">
        <f>IFERROR(INDEX('Hoja de apoyo v2'!D$17:D$20,MATCH($A792,'Hoja de apoyo v2'!$A$17:$A$20,0)),"")</f>
        <v>5938.874134119359</v>
      </c>
      <c r="Q792" s="793">
        <f>IFERROR(INDEX('Hoja de apoyo v2'!E$17:E$20,MATCH($A792,'Hoja de apoyo v2'!$A$17:$A$20,0)),"")</f>
        <v>4160.5938481536259</v>
      </c>
      <c r="R792" s="793">
        <f>IFERROR(INDEX('Hoja de apoyo v2'!F$17:F$20,MATCH($A792,'Hoja de apoyo v2'!$A$17:$A$20,0)),"")</f>
        <v>261.11067511683507</v>
      </c>
      <c r="S792" s="793">
        <f>IFERROR(INDEX('Hoja de apoyo v2'!G$17:G$20,MATCH($A792,'Hoja de apoyo v2'!$A$17:$A$20,0)),"")</f>
        <v>47.352224855431231</v>
      </c>
      <c r="T792" s="792">
        <f>IFERROR(INDEX('Hoja de apoyo v2'!H$17:H$20,MATCH($A792,'Hoja de apoyo v2'!$A$17:$A$20,0)),"")</f>
        <v>492.72230557971551</v>
      </c>
      <c r="U792" s="794" t="str">
        <f t="shared" si="436"/>
        <v/>
      </c>
      <c r="V792" s="795" t="str">
        <f t="shared" si="437"/>
        <v/>
      </c>
      <c r="W792" s="795" t="str">
        <f t="shared" si="438"/>
        <v/>
      </c>
      <c r="X792" s="843" t="str">
        <f t="shared" si="439"/>
        <v/>
      </c>
      <c r="Y792" s="843" t="str">
        <f t="shared" si="440"/>
        <v/>
      </c>
      <c r="Z792" s="843" t="str">
        <f t="shared" si="441"/>
        <v/>
      </c>
      <c r="AA792" s="843">
        <f t="shared" si="442"/>
        <v>0.63650323614150406</v>
      </c>
      <c r="AB792" s="796">
        <f t="shared" si="443"/>
        <v>0</v>
      </c>
      <c r="AC792" s="797">
        <f t="shared" si="444"/>
        <v>0</v>
      </c>
      <c r="AD792" s="797">
        <f t="shared" si="445"/>
        <v>0</v>
      </c>
      <c r="AE792" s="842">
        <f t="shared" si="446"/>
        <v>0</v>
      </c>
      <c r="AF792" s="842">
        <f t="shared" si="447"/>
        <v>0</v>
      </c>
      <c r="AG792" s="842">
        <f t="shared" si="448"/>
        <v>0</v>
      </c>
      <c r="AH792" s="842">
        <f t="shared" si="449"/>
        <v>2</v>
      </c>
      <c r="AI792" s="826" cm="1">
        <f t="array" ref="AI792">SUMPRODUCT(--ISNUMBER($U792:$AA792),$AB$3:$AH$3)</f>
        <v>8.9789113613062493E-2</v>
      </c>
      <c r="AJ792" s="829" t="str">
        <f t="shared" si="450"/>
        <v/>
      </c>
      <c r="AK792" s="827" t="str">
        <f t="shared" si="451"/>
        <v>No elegible</v>
      </c>
      <c r="AL792" s="784" t="str">
        <f t="shared" si="452"/>
        <v>n/a</v>
      </c>
      <c r="AM792" s="799">
        <f>IF(ISNUMBER('Base de datos Rutas'!W790),'Base de datos Rutas'!W790,"")</f>
        <v>2027.2848360000007</v>
      </c>
      <c r="AN792" s="787">
        <f>IFERROR(SUMIFS('Base de datos Rutas'!$W$6:$W$794,'Base de datos Rutas'!$C$6:$C$794,$C792)/'Base de datos Rutas'!I790,"")</f>
        <v>2027.2848360000007</v>
      </c>
      <c r="AO792" s="800">
        <f>IFERROR('Base de datos Rutas'!X790*AN792/AM792,"")</f>
        <v>0.60235709739053589</v>
      </c>
      <c r="AP792" s="800">
        <f t="shared" si="453"/>
        <v>0.39764290260946411</v>
      </c>
      <c r="AQ792" s="789">
        <f>IFERROR(INDEX('Hoja de apoyo v2'!$J$17:$J$20,MATCH($A792,'Hoja de apoyo v2'!$A$17:$A$20,0)),"")</f>
        <v>0.50577184527496444</v>
      </c>
      <c r="AR792" s="789">
        <f t="shared" si="454"/>
        <v>-0.10812894266550033</v>
      </c>
      <c r="AS792" s="784" t="str">
        <f t="shared" si="455"/>
        <v>Sí</v>
      </c>
      <c r="AT792" s="801">
        <f>IF(ISNUMBER('Base de datos Rutas'!CK790),'Base de datos Rutas'!CK790,"")</f>
        <v>353</v>
      </c>
      <c r="AU792" s="802">
        <f>IF(ISNUMBER('Base de datos Rutas'!CL790),'Base de datos Rutas'!CL790,"")</f>
        <v>619.70000000000005</v>
      </c>
      <c r="AV792" s="802">
        <f>IF(ISNUMBER('Base de datos Rutas'!CM790),'Base de datos Rutas'!CM790,"")</f>
        <v>266.70000000000005</v>
      </c>
      <c r="AW792" s="802">
        <f>IF(ISNUMBER('Base de datos Rutas'!CN790),'Base de datos Rutas'!CN790,"")</f>
        <v>4.53</v>
      </c>
      <c r="AX792" s="802">
        <f>IF(ISNUMBER('Base de datos Rutas'!CO790),'Base de datos Rutas'!CO790,"")</f>
        <v>9.4499999999999993</v>
      </c>
      <c r="AY792" s="802">
        <f>IF(ISNUMBER('Base de datos Rutas'!CP790),'Base de datos Rutas'!CP790,"")</f>
        <v>4.919999999999999</v>
      </c>
      <c r="AZ792" s="802">
        <f>IF(ISNUMBER('Base de datos Rutas'!CQ790),'Base de datos Rutas'!CQ790,"")</f>
        <v>846.56</v>
      </c>
      <c r="BA792" s="802">
        <f>IF(ISNUMBER('Base de datos Rutas'!CR790),'Base de datos Rutas'!CR790,"")</f>
        <v>0</v>
      </c>
      <c r="BB792" s="803">
        <f>IF(ISNUMBER('Base de datos Rutas'!CS790),'Base de datos Rutas'!CS790,"")</f>
        <v>846.56</v>
      </c>
      <c r="BC792" s="804">
        <f t="shared" si="465"/>
        <v>0</v>
      </c>
      <c r="BD792" s="805" t="str">
        <f t="shared" si="466"/>
        <v>No saturada</v>
      </c>
      <c r="BE792" s="806">
        <f t="shared" si="467"/>
        <v>0</v>
      </c>
      <c r="BF792" s="890">
        <f>IF(ISNUMBER('Base de datos Rutas'!CX790),'Base de datos Rutas'!CX790/100,"")</f>
        <v>0.16383666274970621</v>
      </c>
      <c r="BG792" s="891">
        <f>IF(ISNUMBER('Base de datos Rutas'!CZ790),'Base de datos Rutas'!CZ790/100,"")</f>
        <v>0.17254210732471603</v>
      </c>
      <c r="BH792" s="892">
        <f>IF(ISNUMBER('Base de datos Rutas'!DA790),'Base de datos Rutas'!DA790,"")</f>
        <v>72.425545664294702</v>
      </c>
      <c r="BI792" s="893">
        <f>IF(ISNUMBER('Base de datos Rutas'!DC790),'Base de datos Rutas'!DC790,"")</f>
        <v>0.62103732036359283</v>
      </c>
      <c r="BJ792" s="805" t="str">
        <f t="shared" si="468"/>
        <v>Ruta (completo)</v>
      </c>
      <c r="BK792" s="783">
        <f t="shared" si="456"/>
        <v>2</v>
      </c>
      <c r="BL792" s="797">
        <f t="shared" si="457"/>
        <v>2</v>
      </c>
      <c r="BM792" s="797">
        <f t="shared" si="458"/>
        <v>4</v>
      </c>
      <c r="BN792" s="797">
        <f t="shared" si="459"/>
        <v>5</v>
      </c>
      <c r="BO792" s="798" cm="1">
        <f t="array" ref="BO792">SUMPRODUCT(--ISNUMBER($BF792:$BI792),$BK$3:$BN$3)</f>
        <v>1</v>
      </c>
      <c r="BP792" s="831">
        <f t="shared" si="469"/>
        <v>56.25</v>
      </c>
      <c r="BQ792" s="834" t="str">
        <f t="shared" si="470"/>
        <v>Alto</v>
      </c>
      <c r="BR792" s="836" t="str">
        <f t="shared" si="460"/>
        <v/>
      </c>
      <c r="BS792" s="836">
        <f t="shared" si="461"/>
        <v>56.25</v>
      </c>
      <c r="BT792" s="837" t="str">
        <f t="shared" si="462"/>
        <v>Sin datos</v>
      </c>
      <c r="BU792" s="807" t="str">
        <f t="shared" si="471"/>
        <v>No evaluable</v>
      </c>
      <c r="BV792" s="807" t="str">
        <f t="shared" si="463"/>
        <v>No evaluable</v>
      </c>
      <c r="BW792" s="808" t="str">
        <f t="shared" si="464"/>
        <v>Sin datos</v>
      </c>
    </row>
    <row r="793" spans="1:75">
      <c r="A793" s="780" t="str">
        <f>'Base de datos Rutas'!A791</f>
        <v>Pacifico</v>
      </c>
      <c r="B793" s="781" t="str">
        <f>'Base de datos Rutas'!B791</f>
        <v>Mexicali</v>
      </c>
      <c r="C793" s="781" t="str">
        <f>'Base de datos Rutas'!C791</f>
        <v>Planta Mexicali</v>
      </c>
      <c r="D793" s="782">
        <f>IF(ISNUMBER('Base de datos Rutas'!D791),'Base de datos Rutas'!D791,"Sin código")</f>
        <v>407307</v>
      </c>
      <c r="E793" s="783" t="str">
        <f>'Base de datos Rutas'!F791</f>
        <v>Activa</v>
      </c>
      <c r="F793" s="784" t="str">
        <f>'Base de datos Rutas'!H791</f>
        <v>No</v>
      </c>
      <c r="G793" s="785" t="str">
        <f>IF(ISNUMBER('Base de datos Rutas'!BE791),'Base de datos Rutas'!BE791,"")</f>
        <v/>
      </c>
      <c r="H793" s="786" t="str">
        <f>IF(ISNUMBER('Base de datos Rutas'!BH791),'Base de datos Rutas'!BH791,"")</f>
        <v/>
      </c>
      <c r="I793" s="788" t="str">
        <f>IFERROR(IF(OR(NOT(ISNUMBER('Base de datos Rutas'!O791)),N('Base de datos Rutas'!BK791)=0),"",'Base de datos Rutas'!O791/('Base de datos Rutas'!L791/'Base de datos Rutas'!BK791)),"")</f>
        <v/>
      </c>
      <c r="J793" s="788" t="str">
        <f>IFERROR(IF(OR(NOT(ISNUMBER('Base de datos Rutas'!N791)),N('Base de datos Rutas'!BK791)=0),"",'Base de datos Rutas'!N791/('Base de datos Rutas'!L791/'Base de datos Rutas'!BK791)),"")</f>
        <v/>
      </c>
      <c r="K793" s="788" t="str">
        <f>IFERROR(IF(OR(NOT(ISNUMBER('Base de datos Rutas'!J791)),N('Base de datos Rutas'!BK791)=0),"",'Base de datos Rutas'!J791/('Base de datos Rutas'!L791/'Base de datos Rutas'!BK791)),"")</f>
        <v/>
      </c>
      <c r="L793" s="788" t="str">
        <f>IFERROR(IF(OR(NOT(ISNUMBER('Base de datos Rutas'!K791)),N('Base de datos Rutas'!BK791)=0),"",'Base de datos Rutas'!K791/('Base de datos Rutas'!L791/'Base de datos Rutas'!BK791)),"")</f>
        <v/>
      </c>
      <c r="M793" s="787">
        <f>IF(ISNUMBER('Base de datos Rutas'!AX791),'Base de datos Rutas'!AX791,"")</f>
        <v>11364.204736842101</v>
      </c>
      <c r="N793" s="790">
        <f>IFERROR(INDEX('Hoja de apoyo v2'!B$17:B$20,MATCH($A793,'Hoja de apoyo v2'!$A$17:$A$20,0)),"")</f>
        <v>48.509140196922353</v>
      </c>
      <c r="O793" s="791">
        <f>IFERROR(INDEX('Hoja de apoyo v2'!C$17:C$20,MATCH($A793,'Hoja de apoyo v2'!$A$17:$A$20,0)),"")</f>
        <v>0.66965083735281605</v>
      </c>
      <c r="P793" s="793">
        <f>IFERROR(INDEX('Hoja de apoyo v2'!D$17:D$20,MATCH($A793,'Hoja de apoyo v2'!$A$17:$A$20,0)),"")</f>
        <v>5938.874134119359</v>
      </c>
      <c r="Q793" s="793">
        <f>IFERROR(INDEX('Hoja de apoyo v2'!E$17:E$20,MATCH($A793,'Hoja de apoyo v2'!$A$17:$A$20,0)),"")</f>
        <v>4160.5938481536259</v>
      </c>
      <c r="R793" s="793">
        <f>IFERROR(INDEX('Hoja de apoyo v2'!F$17:F$20,MATCH($A793,'Hoja de apoyo v2'!$A$17:$A$20,0)),"")</f>
        <v>261.11067511683507</v>
      </c>
      <c r="S793" s="793">
        <f>IFERROR(INDEX('Hoja de apoyo v2'!G$17:G$20,MATCH($A793,'Hoja de apoyo v2'!$A$17:$A$20,0)),"")</f>
        <v>47.352224855431231</v>
      </c>
      <c r="T793" s="792">
        <f>IFERROR(INDEX('Hoja de apoyo v2'!H$17:H$20,MATCH($A793,'Hoja de apoyo v2'!$A$17:$A$20,0)),"")</f>
        <v>492.72230557971551</v>
      </c>
      <c r="U793" s="794" t="str">
        <f t="shared" si="436"/>
        <v/>
      </c>
      <c r="V793" s="795" t="str">
        <f t="shared" si="437"/>
        <v/>
      </c>
      <c r="W793" s="795" t="str">
        <f t="shared" si="438"/>
        <v/>
      </c>
      <c r="X793" s="843" t="str">
        <f t="shared" si="439"/>
        <v/>
      </c>
      <c r="Y793" s="843" t="str">
        <f t="shared" si="440"/>
        <v/>
      </c>
      <c r="Z793" s="843" t="str">
        <f t="shared" si="441"/>
        <v/>
      </c>
      <c r="AA793" s="843">
        <f t="shared" si="442"/>
        <v>23.064116659933784</v>
      </c>
      <c r="AB793" s="796">
        <f t="shared" si="443"/>
        <v>0</v>
      </c>
      <c r="AC793" s="797">
        <f t="shared" si="444"/>
        <v>0</v>
      </c>
      <c r="AD793" s="797">
        <f t="shared" si="445"/>
        <v>0</v>
      </c>
      <c r="AE793" s="842">
        <f t="shared" si="446"/>
        <v>0</v>
      </c>
      <c r="AF793" s="842">
        <f t="shared" si="447"/>
        <v>0</v>
      </c>
      <c r="AG793" s="842">
        <f t="shared" si="448"/>
        <v>0</v>
      </c>
      <c r="AH793" s="842">
        <f t="shared" si="449"/>
        <v>5</v>
      </c>
      <c r="AI793" s="826" cm="1">
        <f t="array" ref="AI793">SUMPRODUCT(--ISNUMBER($U793:$AA793),$AB$3:$AH$3)</f>
        <v>8.9789113613062493E-2</v>
      </c>
      <c r="AJ793" s="829" t="str">
        <f t="shared" si="450"/>
        <v/>
      </c>
      <c r="AK793" s="827" t="str">
        <f t="shared" si="451"/>
        <v>No elegible</v>
      </c>
      <c r="AL793" s="784" t="str">
        <f t="shared" si="452"/>
        <v>n/a</v>
      </c>
      <c r="AM793" s="799">
        <f>IF(ISNUMBER('Base de datos Rutas'!W791),'Base de datos Rutas'!W791,"")</f>
        <v>2027.2848360000007</v>
      </c>
      <c r="AN793" s="787">
        <f>IFERROR(SUMIFS('Base de datos Rutas'!$W$6:$W$794,'Base de datos Rutas'!$C$6:$C$794,$C793)/'Base de datos Rutas'!I791,"")</f>
        <v>2027.2848360000007</v>
      </c>
      <c r="AO793" s="800">
        <f>IFERROR('Base de datos Rutas'!X791*AN793/AM793,"")</f>
        <v>0.60235709739053589</v>
      </c>
      <c r="AP793" s="800">
        <f t="shared" si="453"/>
        <v>0.39764290260946411</v>
      </c>
      <c r="AQ793" s="789">
        <f>IFERROR(INDEX('Hoja de apoyo v2'!$J$17:$J$20,MATCH($A793,'Hoja de apoyo v2'!$A$17:$A$20,0)),"")</f>
        <v>0.50577184527496444</v>
      </c>
      <c r="AR793" s="789">
        <f t="shared" si="454"/>
        <v>-0.10812894266550033</v>
      </c>
      <c r="AS793" s="784" t="str">
        <f t="shared" si="455"/>
        <v>Sí</v>
      </c>
      <c r="AT793" s="801" t="str">
        <f>IF(ISNUMBER('Base de datos Rutas'!CK791),'Base de datos Rutas'!CK791,"")</f>
        <v/>
      </c>
      <c r="AU793" s="802" t="str">
        <f>IF(ISNUMBER('Base de datos Rutas'!CL791),'Base de datos Rutas'!CL791,"")</f>
        <v/>
      </c>
      <c r="AV793" s="802">
        <f>IF(ISNUMBER('Base de datos Rutas'!CM791),'Base de datos Rutas'!CM791,"")</f>
        <v>0</v>
      </c>
      <c r="AW793" s="802" t="str">
        <f>IF(ISNUMBER('Base de datos Rutas'!CN791),'Base de datos Rutas'!CN791,"")</f>
        <v/>
      </c>
      <c r="AX793" s="802" t="str">
        <f>IF(ISNUMBER('Base de datos Rutas'!CO791),'Base de datos Rutas'!CO791,"")</f>
        <v/>
      </c>
      <c r="AY793" s="802">
        <f>IF(ISNUMBER('Base de datos Rutas'!CP791),'Base de datos Rutas'!CP791,"")</f>
        <v>0</v>
      </c>
      <c r="AZ793" s="802" t="str">
        <f>IF(ISNUMBER('Base de datos Rutas'!CQ791),'Base de datos Rutas'!CQ791,"")</f>
        <v/>
      </c>
      <c r="BA793" s="802" t="str">
        <f>IF(ISNUMBER('Base de datos Rutas'!CR791),'Base de datos Rutas'!CR791,"")</f>
        <v/>
      </c>
      <c r="BB793" s="803">
        <f>IF(ISNUMBER('Base de datos Rutas'!CS791),'Base de datos Rutas'!CS791,"")</f>
        <v>0</v>
      </c>
      <c r="BC793" s="804" t="str">
        <f t="shared" si="465"/>
        <v/>
      </c>
      <c r="BD793" s="805" t="str">
        <f t="shared" si="466"/>
        <v>N/D</v>
      </c>
      <c r="BE793" s="806" t="str">
        <f t="shared" si="467"/>
        <v/>
      </c>
      <c r="BF793" s="890" t="str">
        <f>IF(ISNUMBER('Base de datos Rutas'!CX791),'Base de datos Rutas'!CX791/100,"")</f>
        <v/>
      </c>
      <c r="BG793" s="891" t="str">
        <f>IF(ISNUMBER('Base de datos Rutas'!CZ791),'Base de datos Rutas'!CZ791/100,"")</f>
        <v/>
      </c>
      <c r="BH793" s="892" t="str">
        <f>IF(ISNUMBER('Base de datos Rutas'!DA791),'Base de datos Rutas'!DA791,"")</f>
        <v/>
      </c>
      <c r="BI793" s="893" t="str">
        <f>IF(ISNUMBER('Base de datos Rutas'!DC791),'Base de datos Rutas'!DC791,"")</f>
        <v/>
      </c>
      <c r="BJ793" s="805" t="str">
        <f t="shared" si="468"/>
        <v>Sin dato</v>
      </c>
      <c r="BK793" s="783">
        <f t="shared" si="456"/>
        <v>0</v>
      </c>
      <c r="BL793" s="797">
        <f t="shared" si="457"/>
        <v>0</v>
      </c>
      <c r="BM793" s="797">
        <f t="shared" si="458"/>
        <v>0</v>
      </c>
      <c r="BN793" s="797">
        <f t="shared" si="459"/>
        <v>0</v>
      </c>
      <c r="BO793" s="798" cm="1">
        <f t="array" ref="BO793">SUMPRODUCT(--ISNUMBER($BF793:$BI793),$BK$3:$BN$3)</f>
        <v>0</v>
      </c>
      <c r="BP793" s="831" t="str">
        <f t="shared" si="469"/>
        <v/>
      </c>
      <c r="BQ793" s="834" t="str">
        <f t="shared" si="470"/>
        <v>Sin datos</v>
      </c>
      <c r="BR793" s="836" t="str">
        <f t="shared" si="460"/>
        <v/>
      </c>
      <c r="BS793" s="836" t="str">
        <f t="shared" si="461"/>
        <v/>
      </c>
      <c r="BT793" s="837" t="str">
        <f t="shared" si="462"/>
        <v>Sin datos</v>
      </c>
      <c r="BU793" s="807" t="str">
        <f t="shared" si="471"/>
        <v>No evaluable</v>
      </c>
      <c r="BV793" s="807" t="str">
        <f t="shared" si="463"/>
        <v>No evaluable</v>
      </c>
      <c r="BW793" s="808" t="str">
        <f t="shared" si="464"/>
        <v>Sin datos</v>
      </c>
    </row>
    <row r="794" spans="1:75">
      <c r="A794" s="780" t="str">
        <f>'Base de datos Rutas'!A792</f>
        <v>Pacifico</v>
      </c>
      <c r="B794" s="781" t="str">
        <f>'Base de datos Rutas'!B792</f>
        <v>No está en EERR</v>
      </c>
      <c r="C794" s="781" t="str">
        <f>'Base de datos Rutas'!C792</f>
        <v>Suc. Puerto Peñasco</v>
      </c>
      <c r="D794" s="782" t="str">
        <f>IF(ISNUMBER('Base de datos Rutas'!D792),'Base de datos Rutas'!D792,"Sin código")</f>
        <v>Sin código</v>
      </c>
      <c r="E794" s="783" t="str">
        <f>'Base de datos Rutas'!F792</f>
        <v>Sin código</v>
      </c>
      <c r="F794" s="784" t="str">
        <f>'Base de datos Rutas'!H792</f>
        <v>No</v>
      </c>
      <c r="G794" s="785" t="str">
        <f>IF(ISNUMBER('Base de datos Rutas'!BE792),'Base de datos Rutas'!BE792,"")</f>
        <v/>
      </c>
      <c r="H794" s="786" t="str">
        <f>IF(ISNUMBER('Base de datos Rutas'!BH792),'Base de datos Rutas'!BH792,"")</f>
        <v/>
      </c>
      <c r="I794" s="788" t="str">
        <f>IFERROR(IF(OR(NOT(ISNUMBER('Base de datos Rutas'!O792)),N('Base de datos Rutas'!BK792)=0),"",'Base de datos Rutas'!O792/('Base de datos Rutas'!L792/'Base de datos Rutas'!BK792)),"")</f>
        <v/>
      </c>
      <c r="J794" s="788" t="str">
        <f>IFERROR(IF(OR(NOT(ISNUMBER('Base de datos Rutas'!N792)),N('Base de datos Rutas'!BK792)=0),"",'Base de datos Rutas'!N792/('Base de datos Rutas'!L792/'Base de datos Rutas'!BK792)),"")</f>
        <v/>
      </c>
      <c r="K794" s="788" t="str">
        <f>IFERROR(IF(OR(NOT(ISNUMBER('Base de datos Rutas'!J792)),N('Base de datos Rutas'!BK792)=0),"",'Base de datos Rutas'!J792/('Base de datos Rutas'!L792/'Base de datos Rutas'!BK792)),"")</f>
        <v/>
      </c>
      <c r="L794" s="788" t="str">
        <f>IFERROR(IF(OR(NOT(ISNUMBER('Base de datos Rutas'!K792)),N('Base de datos Rutas'!BK792)=0),"",'Base de datos Rutas'!K792/('Base de datos Rutas'!L792/'Base de datos Rutas'!BK792)),"")</f>
        <v/>
      </c>
      <c r="M794" s="787">
        <f>IF(ISNUMBER('Base de datos Rutas'!AX792),'Base de datos Rutas'!AX792,"")</f>
        <v>957.97666666666703</v>
      </c>
      <c r="N794" s="790">
        <f>IFERROR(INDEX('Hoja de apoyo v2'!B$17:B$20,MATCH($A794,'Hoja de apoyo v2'!$A$17:$A$20,0)),"")</f>
        <v>48.509140196922353</v>
      </c>
      <c r="O794" s="791">
        <f>IFERROR(INDEX('Hoja de apoyo v2'!C$17:C$20,MATCH($A794,'Hoja de apoyo v2'!$A$17:$A$20,0)),"")</f>
        <v>0.66965083735281605</v>
      </c>
      <c r="P794" s="793">
        <f>IFERROR(INDEX('Hoja de apoyo v2'!D$17:D$20,MATCH($A794,'Hoja de apoyo v2'!$A$17:$A$20,0)),"")</f>
        <v>5938.874134119359</v>
      </c>
      <c r="Q794" s="793">
        <f>IFERROR(INDEX('Hoja de apoyo v2'!E$17:E$20,MATCH($A794,'Hoja de apoyo v2'!$A$17:$A$20,0)),"")</f>
        <v>4160.5938481536259</v>
      </c>
      <c r="R794" s="793">
        <f>IFERROR(INDEX('Hoja de apoyo v2'!F$17:F$20,MATCH($A794,'Hoja de apoyo v2'!$A$17:$A$20,0)),"")</f>
        <v>261.11067511683507</v>
      </c>
      <c r="S794" s="793">
        <f>IFERROR(INDEX('Hoja de apoyo v2'!G$17:G$20,MATCH($A794,'Hoja de apoyo v2'!$A$17:$A$20,0)),"")</f>
        <v>47.352224855431231</v>
      </c>
      <c r="T794" s="792">
        <f>IFERROR(INDEX('Hoja de apoyo v2'!H$17:H$20,MATCH($A794,'Hoja de apoyo v2'!$A$17:$A$20,0)),"")</f>
        <v>492.72230557971551</v>
      </c>
      <c r="U794" s="794" t="str">
        <f t="shared" si="436"/>
        <v/>
      </c>
      <c r="V794" s="795" t="str">
        <f t="shared" si="437"/>
        <v/>
      </c>
      <c r="W794" s="795" t="str">
        <f t="shared" si="438"/>
        <v/>
      </c>
      <c r="X794" s="843" t="str">
        <f t="shared" si="439"/>
        <v/>
      </c>
      <c r="Y794" s="843" t="str">
        <f t="shared" si="440"/>
        <v/>
      </c>
      <c r="Z794" s="843" t="str">
        <f t="shared" si="441"/>
        <v/>
      </c>
      <c r="AA794" s="843">
        <f t="shared" si="442"/>
        <v>1.9442526871998489</v>
      </c>
      <c r="AB794" s="796">
        <f t="shared" si="443"/>
        <v>0</v>
      </c>
      <c r="AC794" s="797">
        <f t="shared" si="444"/>
        <v>0</v>
      </c>
      <c r="AD794" s="797">
        <f t="shared" si="445"/>
        <v>0</v>
      </c>
      <c r="AE794" s="842">
        <f t="shared" si="446"/>
        <v>0</v>
      </c>
      <c r="AF794" s="842">
        <f t="shared" si="447"/>
        <v>0</v>
      </c>
      <c r="AG794" s="842">
        <f t="shared" si="448"/>
        <v>0</v>
      </c>
      <c r="AH794" s="842">
        <f t="shared" si="449"/>
        <v>5</v>
      </c>
      <c r="AI794" s="826" cm="1">
        <f t="array" ref="AI794">SUMPRODUCT(--ISNUMBER($U794:$AA794),$AB$3:$AH$3)</f>
        <v>8.9789113613062493E-2</v>
      </c>
      <c r="AJ794" s="829" t="str">
        <f t="shared" si="450"/>
        <v/>
      </c>
      <c r="AK794" s="827" t="str">
        <f t="shared" si="451"/>
        <v>Ruta inactiva</v>
      </c>
      <c r="AL794" s="784" t="str">
        <f t="shared" si="452"/>
        <v>n/a</v>
      </c>
      <c r="AM794" s="799" t="str">
        <f>IF(ISNUMBER('Base de datos Rutas'!W792),'Base de datos Rutas'!W792,"")</f>
        <v/>
      </c>
      <c r="AN794" s="787">
        <f>IFERROR(SUMIFS('Base de datos Rutas'!$W$6:$W$794,'Base de datos Rutas'!$C$6:$C$794,$C794)/'Base de datos Rutas'!I792,"")</f>
        <v>0</v>
      </c>
      <c r="AO794" s="800" t="str">
        <f>IFERROR('Base de datos Rutas'!X792*AN794/AM794,"")</f>
        <v/>
      </c>
      <c r="AP794" s="800" t="str">
        <f t="shared" si="453"/>
        <v/>
      </c>
      <c r="AQ794" s="789">
        <f>IFERROR(INDEX('Hoja de apoyo v2'!$J$17:$J$20,MATCH($A794,'Hoja de apoyo v2'!$A$17:$A$20,0)),"")</f>
        <v>0.50577184527496444</v>
      </c>
      <c r="AR794" s="789" t="str">
        <f t="shared" si="454"/>
        <v/>
      </c>
      <c r="AS794" s="784" t="str">
        <f t="shared" si="455"/>
        <v>n/d</v>
      </c>
      <c r="AT794" s="801" t="str">
        <f>IF(ISNUMBER('Base de datos Rutas'!CK792),'Base de datos Rutas'!CK792,"")</f>
        <v/>
      </c>
      <c r="AU794" s="802" t="str">
        <f>IF(ISNUMBER('Base de datos Rutas'!CL792),'Base de datos Rutas'!CL792,"")</f>
        <v/>
      </c>
      <c r="AV794" s="802">
        <f>IF(ISNUMBER('Base de datos Rutas'!CM792),'Base de datos Rutas'!CM792,"")</f>
        <v>0</v>
      </c>
      <c r="AW794" s="802" t="str">
        <f>IF(ISNUMBER('Base de datos Rutas'!CN792),'Base de datos Rutas'!CN792,"")</f>
        <v/>
      </c>
      <c r="AX794" s="802" t="str">
        <f>IF(ISNUMBER('Base de datos Rutas'!CO792),'Base de datos Rutas'!CO792,"")</f>
        <v/>
      </c>
      <c r="AY794" s="802">
        <f>IF(ISNUMBER('Base de datos Rutas'!CP792),'Base de datos Rutas'!CP792,"")</f>
        <v>0</v>
      </c>
      <c r="AZ794" s="802" t="str">
        <f>IF(ISNUMBER('Base de datos Rutas'!CQ792),'Base de datos Rutas'!CQ792,"")</f>
        <v/>
      </c>
      <c r="BA794" s="802" t="str">
        <f>IF(ISNUMBER('Base de datos Rutas'!CR792),'Base de datos Rutas'!CR792,"")</f>
        <v/>
      </c>
      <c r="BB794" s="803">
        <f>IF(ISNUMBER('Base de datos Rutas'!CS792),'Base de datos Rutas'!CS792,"")</f>
        <v>0</v>
      </c>
      <c r="BC794" s="804" t="str">
        <f t="shared" si="465"/>
        <v/>
      </c>
      <c r="BD794" s="805" t="str">
        <f t="shared" si="466"/>
        <v>N/D</v>
      </c>
      <c r="BE794" s="806" t="str">
        <f t="shared" si="467"/>
        <v/>
      </c>
      <c r="BF794" s="890" t="str">
        <f>IF(ISNUMBER('Base de datos Rutas'!CX792),'Base de datos Rutas'!CX792/100,"")</f>
        <v/>
      </c>
      <c r="BG794" s="891" t="str">
        <f>IF(ISNUMBER('Base de datos Rutas'!CZ792),'Base de datos Rutas'!CZ792/100,"")</f>
        <v/>
      </c>
      <c r="BH794" s="892" t="str">
        <f>IF(ISNUMBER('Base de datos Rutas'!DA792),'Base de datos Rutas'!DA792,"")</f>
        <v/>
      </c>
      <c r="BI794" s="893" t="str">
        <f>IF(ISNUMBER('Base de datos Rutas'!DC792),'Base de datos Rutas'!DC792,"")</f>
        <v/>
      </c>
      <c r="BJ794" s="805" t="str">
        <f t="shared" si="468"/>
        <v>Sin dato</v>
      </c>
      <c r="BK794" s="783">
        <f t="shared" si="456"/>
        <v>0</v>
      </c>
      <c r="BL794" s="797">
        <f t="shared" si="457"/>
        <v>0</v>
      </c>
      <c r="BM794" s="797">
        <f t="shared" si="458"/>
        <v>0</v>
      </c>
      <c r="BN794" s="797">
        <f t="shared" si="459"/>
        <v>0</v>
      </c>
      <c r="BO794" s="798" cm="1">
        <f t="array" ref="BO794">SUMPRODUCT(--ISNUMBER($BF794:$BI794),$BK$3:$BN$3)</f>
        <v>0</v>
      </c>
      <c r="BP794" s="831" t="str">
        <f t="shared" si="469"/>
        <v/>
      </c>
      <c r="BQ794" s="834" t="str">
        <f t="shared" si="470"/>
        <v>Sin datos</v>
      </c>
      <c r="BR794" s="836" t="str">
        <f t="shared" si="460"/>
        <v/>
      </c>
      <c r="BS794" s="836" t="str">
        <f t="shared" si="461"/>
        <v/>
      </c>
      <c r="BT794" s="837" t="str">
        <f t="shared" si="462"/>
        <v>Sin datos</v>
      </c>
      <c r="BU794" s="807" t="str">
        <f t="shared" si="471"/>
        <v>No evaluable</v>
      </c>
      <c r="BV794" s="807" t="str">
        <f t="shared" si="463"/>
        <v>No evaluable</v>
      </c>
      <c r="BW794" s="808" t="str">
        <f t="shared" si="464"/>
        <v>Sin datos</v>
      </c>
    </row>
    <row r="795" spans="1:75">
      <c r="A795" s="780" t="str">
        <f>'Base de datos Rutas'!A793</f>
        <v>Pacifico</v>
      </c>
      <c r="B795" s="781" t="str">
        <f>'Base de datos Rutas'!B793</f>
        <v>No está en EERR</v>
      </c>
      <c r="C795" s="781" t="str">
        <f>'Base de datos Rutas'!C793</f>
        <v>Sucursal Cajeme</v>
      </c>
      <c r="D795" s="782">
        <f>IF(ISNUMBER('Base de datos Rutas'!D793),'Base de datos Rutas'!D793,"Sin código")</f>
        <v>404304</v>
      </c>
      <c r="E795" s="783" t="str">
        <f>'Base de datos Rutas'!F793</f>
        <v>Activa</v>
      </c>
      <c r="F795" s="784" t="str">
        <f>'Base de datos Rutas'!H793</f>
        <v>No</v>
      </c>
      <c r="G795" s="785" t="str">
        <f>IF(ISNUMBER('Base de datos Rutas'!BE793),'Base de datos Rutas'!BE793,"")</f>
        <v/>
      </c>
      <c r="H795" s="786" t="str">
        <f>IF(ISNUMBER('Base de datos Rutas'!BH793),'Base de datos Rutas'!BH793,"")</f>
        <v/>
      </c>
      <c r="I795" s="788" t="str">
        <f>IFERROR(IF(OR(NOT(ISNUMBER('Base de datos Rutas'!O793)),N('Base de datos Rutas'!BK793)=0),"",'Base de datos Rutas'!O793/('Base de datos Rutas'!L793/'Base de datos Rutas'!BK793)),"")</f>
        <v/>
      </c>
      <c r="J795" s="788" t="str">
        <f>IFERROR(IF(OR(NOT(ISNUMBER('Base de datos Rutas'!N793)),N('Base de datos Rutas'!BK793)=0),"",'Base de datos Rutas'!N793/('Base de datos Rutas'!L793/'Base de datos Rutas'!BK793)),"")</f>
        <v/>
      </c>
      <c r="K795" s="788" t="str">
        <f>IFERROR(IF(OR(NOT(ISNUMBER('Base de datos Rutas'!J793)),N('Base de datos Rutas'!BK793)=0),"",'Base de datos Rutas'!J793/('Base de datos Rutas'!L793/'Base de datos Rutas'!BK793)),"")</f>
        <v/>
      </c>
      <c r="L795" s="788" t="str">
        <f>IFERROR(IF(OR(NOT(ISNUMBER('Base de datos Rutas'!K793)),N('Base de datos Rutas'!BK793)=0),"",'Base de datos Rutas'!K793/('Base de datos Rutas'!L793/'Base de datos Rutas'!BK793)),"")</f>
        <v/>
      </c>
      <c r="M795" s="787">
        <f>IF(ISNUMBER('Base de datos Rutas'!AX793),'Base de datos Rutas'!AX793,"")</f>
        <v>422.41674999999998</v>
      </c>
      <c r="N795" s="790">
        <f>IFERROR(INDEX('Hoja de apoyo v2'!B$17:B$20,MATCH($A795,'Hoja de apoyo v2'!$A$17:$A$20,0)),"")</f>
        <v>48.509140196922353</v>
      </c>
      <c r="O795" s="791">
        <f>IFERROR(INDEX('Hoja de apoyo v2'!C$17:C$20,MATCH($A795,'Hoja de apoyo v2'!$A$17:$A$20,0)),"")</f>
        <v>0.66965083735281605</v>
      </c>
      <c r="P795" s="793">
        <f>IFERROR(INDEX('Hoja de apoyo v2'!D$17:D$20,MATCH($A795,'Hoja de apoyo v2'!$A$17:$A$20,0)),"")</f>
        <v>5938.874134119359</v>
      </c>
      <c r="Q795" s="793">
        <f>IFERROR(INDEX('Hoja de apoyo v2'!E$17:E$20,MATCH($A795,'Hoja de apoyo v2'!$A$17:$A$20,0)),"")</f>
        <v>4160.5938481536259</v>
      </c>
      <c r="R795" s="793">
        <f>IFERROR(INDEX('Hoja de apoyo v2'!F$17:F$20,MATCH($A795,'Hoja de apoyo v2'!$A$17:$A$20,0)),"")</f>
        <v>261.11067511683507</v>
      </c>
      <c r="S795" s="793">
        <f>IFERROR(INDEX('Hoja de apoyo v2'!G$17:G$20,MATCH($A795,'Hoja de apoyo v2'!$A$17:$A$20,0)),"")</f>
        <v>47.352224855431231</v>
      </c>
      <c r="T795" s="792">
        <f>IFERROR(INDEX('Hoja de apoyo v2'!H$17:H$20,MATCH($A795,'Hoja de apoyo v2'!$A$17:$A$20,0)),"")</f>
        <v>492.72230557971551</v>
      </c>
      <c r="U795" s="794" t="str">
        <f t="shared" si="436"/>
        <v/>
      </c>
      <c r="V795" s="795" t="str">
        <f t="shared" si="437"/>
        <v/>
      </c>
      <c r="W795" s="795" t="str">
        <f t="shared" si="438"/>
        <v/>
      </c>
      <c r="X795" s="843" t="str">
        <f t="shared" si="439"/>
        <v/>
      </c>
      <c r="Y795" s="843" t="str">
        <f t="shared" si="440"/>
        <v/>
      </c>
      <c r="Z795" s="843" t="str">
        <f t="shared" si="441"/>
        <v/>
      </c>
      <c r="AA795" s="843">
        <f t="shared" si="442"/>
        <v>0.85731200965826559</v>
      </c>
      <c r="AB795" s="796">
        <f t="shared" si="443"/>
        <v>0</v>
      </c>
      <c r="AC795" s="797">
        <f t="shared" si="444"/>
        <v>0</v>
      </c>
      <c r="AD795" s="797">
        <f t="shared" si="445"/>
        <v>0</v>
      </c>
      <c r="AE795" s="842">
        <f t="shared" si="446"/>
        <v>0</v>
      </c>
      <c r="AF795" s="842">
        <f t="shared" si="447"/>
        <v>0</v>
      </c>
      <c r="AG795" s="842">
        <f t="shared" si="448"/>
        <v>0</v>
      </c>
      <c r="AH795" s="842">
        <f t="shared" si="449"/>
        <v>3</v>
      </c>
      <c r="AI795" s="826" cm="1">
        <f t="array" ref="AI795">SUMPRODUCT(--ISNUMBER($U795:$AA795),$AB$3:$AH$3)</f>
        <v>8.9789113613062493E-2</v>
      </c>
      <c r="AJ795" s="829" t="str">
        <f t="shared" si="450"/>
        <v/>
      </c>
      <c r="AK795" s="827" t="str">
        <f t="shared" si="451"/>
        <v>No elegible</v>
      </c>
      <c r="AL795" s="784" t="str">
        <f t="shared" si="452"/>
        <v>n/a</v>
      </c>
      <c r="AM795" s="799" t="str">
        <f>IF(ISNUMBER('Base de datos Rutas'!W793),'Base de datos Rutas'!W793,"")</f>
        <v/>
      </c>
      <c r="AN795" s="787">
        <f>IFERROR(SUMIFS('Base de datos Rutas'!$W$6:$W$794,'Base de datos Rutas'!$C$6:$C$794,$C795)/'Base de datos Rutas'!I793,"")</f>
        <v>0</v>
      </c>
      <c r="AO795" s="800" t="str">
        <f>IFERROR('Base de datos Rutas'!X793*AN795/AM795,"")</f>
        <v/>
      </c>
      <c r="AP795" s="800" t="str">
        <f t="shared" si="453"/>
        <v/>
      </c>
      <c r="AQ795" s="789">
        <f>IFERROR(INDEX('Hoja de apoyo v2'!$J$17:$J$20,MATCH($A795,'Hoja de apoyo v2'!$A$17:$A$20,0)),"")</f>
        <v>0.50577184527496444</v>
      </c>
      <c r="AR795" s="789" t="str">
        <f t="shared" si="454"/>
        <v/>
      </c>
      <c r="AS795" s="784" t="str">
        <f t="shared" si="455"/>
        <v>n/d</v>
      </c>
      <c r="AT795" s="801" t="str">
        <f>IF(ISNUMBER('Base de datos Rutas'!CK793),'Base de datos Rutas'!CK793,"")</f>
        <v/>
      </c>
      <c r="AU795" s="802" t="str">
        <f>IF(ISNUMBER('Base de datos Rutas'!CL793),'Base de datos Rutas'!CL793,"")</f>
        <v/>
      </c>
      <c r="AV795" s="802">
        <f>IF(ISNUMBER('Base de datos Rutas'!CM793),'Base de datos Rutas'!CM793,"")</f>
        <v>0</v>
      </c>
      <c r="AW795" s="802" t="str">
        <f>IF(ISNUMBER('Base de datos Rutas'!CN793),'Base de datos Rutas'!CN793,"")</f>
        <v/>
      </c>
      <c r="AX795" s="802" t="str">
        <f>IF(ISNUMBER('Base de datos Rutas'!CO793),'Base de datos Rutas'!CO793,"")</f>
        <v/>
      </c>
      <c r="AY795" s="802">
        <f>IF(ISNUMBER('Base de datos Rutas'!CP793),'Base de datos Rutas'!CP793,"")</f>
        <v>0</v>
      </c>
      <c r="AZ795" s="802" t="str">
        <f>IF(ISNUMBER('Base de datos Rutas'!CQ793),'Base de datos Rutas'!CQ793,"")</f>
        <v/>
      </c>
      <c r="BA795" s="802" t="str">
        <f>IF(ISNUMBER('Base de datos Rutas'!CR793),'Base de datos Rutas'!CR793,"")</f>
        <v/>
      </c>
      <c r="BB795" s="803">
        <f>IF(ISNUMBER('Base de datos Rutas'!CS793),'Base de datos Rutas'!CS793,"")</f>
        <v>0</v>
      </c>
      <c r="BC795" s="804" t="str">
        <f t="shared" si="465"/>
        <v/>
      </c>
      <c r="BD795" s="805" t="str">
        <f t="shared" si="466"/>
        <v>N/D</v>
      </c>
      <c r="BE795" s="806" t="str">
        <f t="shared" si="467"/>
        <v/>
      </c>
      <c r="BF795" s="890" t="str">
        <f>IF(ISNUMBER('Base de datos Rutas'!CX793),'Base de datos Rutas'!CX793/100,"")</f>
        <v/>
      </c>
      <c r="BG795" s="891" t="str">
        <f>IF(ISNUMBER('Base de datos Rutas'!CZ793),'Base de datos Rutas'!CZ793/100,"")</f>
        <v/>
      </c>
      <c r="BH795" s="892" t="str">
        <f>IF(ISNUMBER('Base de datos Rutas'!DA793),'Base de datos Rutas'!DA793,"")</f>
        <v/>
      </c>
      <c r="BI795" s="893" t="str">
        <f>IF(ISNUMBER('Base de datos Rutas'!DC793),'Base de datos Rutas'!DC793,"")</f>
        <v/>
      </c>
      <c r="BJ795" s="805" t="str">
        <f t="shared" si="468"/>
        <v>Sin dato</v>
      </c>
      <c r="BK795" s="783">
        <f t="shared" si="456"/>
        <v>0</v>
      </c>
      <c r="BL795" s="797">
        <f t="shared" si="457"/>
        <v>0</v>
      </c>
      <c r="BM795" s="797">
        <f t="shared" si="458"/>
        <v>0</v>
      </c>
      <c r="BN795" s="797">
        <f t="shared" si="459"/>
        <v>0</v>
      </c>
      <c r="BO795" s="798" cm="1">
        <f t="array" ref="BO795">SUMPRODUCT(--ISNUMBER($BF795:$BI795),$BK$3:$BN$3)</f>
        <v>0</v>
      </c>
      <c r="BP795" s="831" t="str">
        <f t="shared" si="469"/>
        <v/>
      </c>
      <c r="BQ795" s="834" t="str">
        <f t="shared" si="470"/>
        <v>Sin datos</v>
      </c>
      <c r="BR795" s="836" t="str">
        <f t="shared" si="460"/>
        <v/>
      </c>
      <c r="BS795" s="836" t="str">
        <f t="shared" si="461"/>
        <v/>
      </c>
      <c r="BT795" s="837" t="str">
        <f t="shared" si="462"/>
        <v>Sin datos</v>
      </c>
      <c r="BU795" s="807" t="str">
        <f t="shared" si="471"/>
        <v>No evaluable</v>
      </c>
      <c r="BV795" s="807" t="str">
        <f t="shared" si="463"/>
        <v>No evaluable</v>
      </c>
      <c r="BW795" s="808" t="str">
        <f t="shared" si="464"/>
        <v>Sin datos</v>
      </c>
    </row>
    <row r="796" spans="1:75" ht="15.75" thickBot="1">
      <c r="A796" s="809" t="str">
        <f>'Base de datos Rutas'!A794</f>
        <v>Pacifico</v>
      </c>
      <c r="B796" s="810" t="str">
        <f>'Base de datos Rutas'!B794</f>
        <v>No está en EERR</v>
      </c>
      <c r="C796" s="810" t="str">
        <f>'Base de datos Rutas'!C794</f>
        <v>Sucursal Guaymas</v>
      </c>
      <c r="D796" s="811">
        <f>IF(ISNUMBER('Base de datos Rutas'!D794),'Base de datos Rutas'!D794,"Sin código")</f>
        <v>406300</v>
      </c>
      <c r="E796" s="812" t="str">
        <f>'Base de datos Rutas'!F794</f>
        <v>Activa</v>
      </c>
      <c r="F796" s="813" t="str">
        <f>'Base de datos Rutas'!H794</f>
        <v>No</v>
      </c>
      <c r="G796" s="814" t="str">
        <f>IF(ISNUMBER('Base de datos Rutas'!BE794),'Base de datos Rutas'!BE794,"")</f>
        <v/>
      </c>
      <c r="H796" s="815" t="str">
        <f>IF(ISNUMBER('Base de datos Rutas'!BH794),'Base de datos Rutas'!BH794,"")</f>
        <v/>
      </c>
      <c r="I796" s="817" t="str">
        <f>IFERROR(IF(OR(NOT(ISNUMBER('Base de datos Rutas'!O794)),N('Base de datos Rutas'!BK794)=0),"",'Base de datos Rutas'!O794/('Base de datos Rutas'!L794/'Base de datos Rutas'!BK794)),"")</f>
        <v/>
      </c>
      <c r="J796" s="817" t="str">
        <f>IFERROR(IF(OR(NOT(ISNUMBER('Base de datos Rutas'!N794)),N('Base de datos Rutas'!BK794)=0),"",'Base de datos Rutas'!N794/('Base de datos Rutas'!L794/'Base de datos Rutas'!BK794)),"")</f>
        <v/>
      </c>
      <c r="K796" s="817" t="str">
        <f>IFERROR(IF(OR(NOT(ISNUMBER('Base de datos Rutas'!J794)),N('Base de datos Rutas'!BK794)=0),"",'Base de datos Rutas'!J794/('Base de datos Rutas'!L794/'Base de datos Rutas'!BK794)),"")</f>
        <v/>
      </c>
      <c r="L796" s="817" t="str">
        <f>IFERROR(IF(OR(NOT(ISNUMBER('Base de datos Rutas'!K794)),N('Base de datos Rutas'!BK794)=0),"",'Base de datos Rutas'!K794/('Base de datos Rutas'!L794/'Base de datos Rutas'!BK794)),"")</f>
        <v/>
      </c>
      <c r="M796" s="816">
        <f>IF(ISNUMBER('Base de datos Rutas'!AX794),'Base de datos Rutas'!AX794,"")</f>
        <v>470.01659863945599</v>
      </c>
      <c r="N796" s="790">
        <f>IFERROR(INDEX('Hoja de apoyo v2'!B$17:B$20,MATCH($A796,'Hoja de apoyo v2'!$A$17:$A$20,0)),"")</f>
        <v>48.509140196922353</v>
      </c>
      <c r="O796" s="791">
        <f>IFERROR(INDEX('Hoja de apoyo v2'!C$17:C$20,MATCH($A796,'Hoja de apoyo v2'!$A$17:$A$20,0)),"")</f>
        <v>0.66965083735281605</v>
      </c>
      <c r="P796" s="793">
        <f>IFERROR(INDEX('Hoja de apoyo v2'!D$17:D$20,MATCH($A796,'Hoja de apoyo v2'!$A$17:$A$20,0)),"")</f>
        <v>5938.874134119359</v>
      </c>
      <c r="Q796" s="793">
        <f>IFERROR(INDEX('Hoja de apoyo v2'!E$17:E$20,MATCH($A796,'Hoja de apoyo v2'!$A$17:$A$20,0)),"")</f>
        <v>4160.5938481536259</v>
      </c>
      <c r="R796" s="793">
        <f>IFERROR(INDEX('Hoja de apoyo v2'!F$17:F$20,MATCH($A796,'Hoja de apoyo v2'!$A$17:$A$20,0)),"")</f>
        <v>261.11067511683507</v>
      </c>
      <c r="S796" s="793">
        <f>IFERROR(INDEX('Hoja de apoyo v2'!G$17:G$20,MATCH($A796,'Hoja de apoyo v2'!$A$17:$A$20,0)),"")</f>
        <v>47.352224855431231</v>
      </c>
      <c r="T796" s="792">
        <f>IFERROR(INDEX('Hoja de apoyo v2'!H$17:H$20,MATCH($A796,'Hoja de apoyo v2'!$A$17:$A$20,0)),"")</f>
        <v>492.72230557971551</v>
      </c>
      <c r="U796" s="794" t="str">
        <f t="shared" si="436"/>
        <v/>
      </c>
      <c r="V796" s="795" t="str">
        <f t="shared" si="437"/>
        <v/>
      </c>
      <c r="W796" s="795" t="str">
        <f t="shared" si="438"/>
        <v/>
      </c>
      <c r="X796" s="843" t="str">
        <f t="shared" si="439"/>
        <v/>
      </c>
      <c r="Y796" s="843" t="str">
        <f t="shared" si="440"/>
        <v/>
      </c>
      <c r="Z796" s="843" t="str">
        <f t="shared" si="441"/>
        <v/>
      </c>
      <c r="AA796" s="843">
        <f t="shared" si="442"/>
        <v>0.95391784239695632</v>
      </c>
      <c r="AB796" s="796">
        <f t="shared" si="443"/>
        <v>0</v>
      </c>
      <c r="AC796" s="797">
        <f t="shared" si="444"/>
        <v>0</v>
      </c>
      <c r="AD796" s="797">
        <f t="shared" si="445"/>
        <v>0</v>
      </c>
      <c r="AE796" s="842">
        <f t="shared" si="446"/>
        <v>0</v>
      </c>
      <c r="AF796" s="842">
        <f t="shared" si="447"/>
        <v>0</v>
      </c>
      <c r="AG796" s="842">
        <f t="shared" si="448"/>
        <v>0</v>
      </c>
      <c r="AH796" s="842">
        <f t="shared" si="449"/>
        <v>3</v>
      </c>
      <c r="AI796" s="826" cm="1">
        <f t="array" ref="AI796">SUMPRODUCT(--ISNUMBER($U796:$AA796),$AB$3:$AH$3)</f>
        <v>8.9789113613062493E-2</v>
      </c>
      <c r="AJ796" s="829" t="str">
        <f t="shared" si="450"/>
        <v/>
      </c>
      <c r="AK796" s="827" t="str">
        <f t="shared" si="451"/>
        <v>No elegible</v>
      </c>
      <c r="AL796" s="784" t="str">
        <f t="shared" si="452"/>
        <v>n/a</v>
      </c>
      <c r="AM796" s="799" t="str">
        <f>IF(ISNUMBER('Base de datos Rutas'!W794),'Base de datos Rutas'!W794,"")</f>
        <v/>
      </c>
      <c r="AN796" s="787">
        <f>IFERROR(SUMIFS('Base de datos Rutas'!$W$6:$W$794,'Base de datos Rutas'!$C$6:$C$794,$C796)/'Base de datos Rutas'!I794,"")</f>
        <v>0</v>
      </c>
      <c r="AO796" s="800" t="str">
        <f>IFERROR('Base de datos Rutas'!X794*AN796/AM796,"")</f>
        <v/>
      </c>
      <c r="AP796" s="800" t="str">
        <f t="shared" si="453"/>
        <v/>
      </c>
      <c r="AQ796" s="789">
        <f>IFERROR(INDEX('Hoja de apoyo v2'!$J$17:$J$20,MATCH($A796,'Hoja de apoyo v2'!$A$17:$A$20,0)),"")</f>
        <v>0.50577184527496444</v>
      </c>
      <c r="AR796" s="789" t="str">
        <f t="shared" si="454"/>
        <v/>
      </c>
      <c r="AS796" s="784" t="str">
        <f t="shared" si="455"/>
        <v>n/d</v>
      </c>
      <c r="AT796" s="801" t="str">
        <f>IF(ISNUMBER('Base de datos Rutas'!CK794),'Base de datos Rutas'!CK794,"")</f>
        <v/>
      </c>
      <c r="AU796" s="802" t="str">
        <f>IF(ISNUMBER('Base de datos Rutas'!CL794),'Base de datos Rutas'!CL794,"")</f>
        <v/>
      </c>
      <c r="AV796" s="802">
        <f>IF(ISNUMBER('Base de datos Rutas'!CM794),'Base de datos Rutas'!CM794,"")</f>
        <v>0</v>
      </c>
      <c r="AW796" s="802" t="str">
        <f>IF(ISNUMBER('Base de datos Rutas'!CN794),'Base de datos Rutas'!CN794,"")</f>
        <v/>
      </c>
      <c r="AX796" s="802" t="str">
        <f>IF(ISNUMBER('Base de datos Rutas'!CO794),'Base de datos Rutas'!CO794,"")</f>
        <v/>
      </c>
      <c r="AY796" s="802">
        <f>IF(ISNUMBER('Base de datos Rutas'!CP794),'Base de datos Rutas'!CP794,"")</f>
        <v>0</v>
      </c>
      <c r="AZ796" s="802" t="str">
        <f>IF(ISNUMBER('Base de datos Rutas'!CQ794),'Base de datos Rutas'!CQ794,"")</f>
        <v/>
      </c>
      <c r="BA796" s="802" t="str">
        <f>IF(ISNUMBER('Base de datos Rutas'!CR794),'Base de datos Rutas'!CR794,"")</f>
        <v/>
      </c>
      <c r="BB796" s="803">
        <f>IF(ISNUMBER('Base de datos Rutas'!CS794),'Base de datos Rutas'!CS794,"")</f>
        <v>0</v>
      </c>
      <c r="BC796" s="804" t="str">
        <f t="shared" si="465"/>
        <v/>
      </c>
      <c r="BD796" s="805" t="str">
        <f t="shared" si="466"/>
        <v>N/D</v>
      </c>
      <c r="BE796" s="806" t="str">
        <f t="shared" si="467"/>
        <v/>
      </c>
      <c r="BF796" s="890" t="str">
        <f>IF(ISNUMBER('Base de datos Rutas'!CX794),'Base de datos Rutas'!CX794/100,"")</f>
        <v/>
      </c>
      <c r="BG796" s="891" t="str">
        <f>IF(ISNUMBER('Base de datos Rutas'!CZ794),'Base de datos Rutas'!CZ794/100,"")</f>
        <v/>
      </c>
      <c r="BH796" s="892" t="str">
        <f>IF(ISNUMBER('Base de datos Rutas'!DA794),'Base de datos Rutas'!DA794,"")</f>
        <v/>
      </c>
      <c r="BI796" s="893" t="str">
        <f>IF(ISNUMBER('Base de datos Rutas'!DC794),'Base de datos Rutas'!DC794,"")</f>
        <v/>
      </c>
      <c r="BJ796" s="805" t="str">
        <f t="shared" si="468"/>
        <v>Sin dato</v>
      </c>
      <c r="BK796" s="783">
        <f t="shared" si="456"/>
        <v>0</v>
      </c>
      <c r="BL796" s="797">
        <f t="shared" si="457"/>
        <v>0</v>
      </c>
      <c r="BM796" s="797">
        <f t="shared" si="458"/>
        <v>0</v>
      </c>
      <c r="BN796" s="797">
        <f t="shared" si="459"/>
        <v>0</v>
      </c>
      <c r="BO796" s="798" cm="1">
        <f t="array" ref="BO796">SUMPRODUCT(--ISNUMBER($BF796:$BI796),$BK$3:$BN$3)</f>
        <v>0</v>
      </c>
      <c r="BP796" s="832" t="str">
        <f t="shared" si="469"/>
        <v/>
      </c>
      <c r="BQ796" s="834" t="str">
        <f t="shared" si="470"/>
        <v>Sin datos</v>
      </c>
      <c r="BR796" s="836" t="str">
        <f t="shared" si="460"/>
        <v/>
      </c>
      <c r="BS796" s="836" t="str">
        <f t="shared" si="461"/>
        <v/>
      </c>
      <c r="BT796" s="837" t="str">
        <f t="shared" si="462"/>
        <v>Sin datos</v>
      </c>
      <c r="BU796" s="807" t="str">
        <f t="shared" si="471"/>
        <v>No evaluable</v>
      </c>
      <c r="BV796" s="807" t="str">
        <f t="shared" si="463"/>
        <v>No evaluable</v>
      </c>
      <c r="BW796" s="808" t="str">
        <f t="shared" si="464"/>
        <v>Sin datos</v>
      </c>
    </row>
  </sheetData>
  <mergeCells count="17">
    <mergeCell ref="BU6:BV6"/>
    <mergeCell ref="BF6:BQ6"/>
    <mergeCell ref="BR6:BT6"/>
    <mergeCell ref="BK2:BN2"/>
    <mergeCell ref="AT6:AZ6"/>
    <mergeCell ref="AI6:AL6"/>
    <mergeCell ref="AM6:AS6"/>
    <mergeCell ref="BA6:BE6"/>
    <mergeCell ref="AB2:AH2"/>
    <mergeCell ref="A6:F6"/>
    <mergeCell ref="G6:M6"/>
    <mergeCell ref="N6:T6"/>
    <mergeCell ref="U6:AA6"/>
    <mergeCell ref="AB6:AH6"/>
    <mergeCell ref="K5:L5"/>
    <mergeCell ref="I5:J5"/>
    <mergeCell ref="G5:H5"/>
  </mergeCells>
  <phoneticPr fontId="29" type="noConversion"/>
  <conditionalFormatting sqref="U8:AA796">
    <cfRule type="colorScale" priority="43">
      <colorScale>
        <cfvo type="num" val="0.5"/>
        <cfvo type="num" val="1"/>
        <cfvo type="num" val="1.25"/>
        <color rgb="FFF8696B"/>
        <color rgb="FFFFEB84"/>
        <color rgb="FF63BE7B"/>
      </colorScale>
    </cfRule>
  </conditionalFormatting>
  <conditionalFormatting sqref="AJ8:AJ796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8:AK796">
    <cfRule type="containsText" dxfId="23" priority="5" operator="containsText" text="Madura">
      <formula>NOT(ISERROR(SEARCH("Madura",AK8)))</formula>
    </cfRule>
    <cfRule type="containsText" dxfId="22" priority="6" operator="containsText" text="En desarrollo">
      <formula>NOT(ISERROR(SEARCH("En desarrollo",AK8)))</formula>
    </cfRule>
    <cfRule type="containsText" dxfId="21" priority="7" operator="containsText" text="Inmadura">
      <formula>NOT(ISERROR(SEARCH("Inmadura",AK8)))</formula>
    </cfRule>
    <cfRule type="containsText" dxfId="20" priority="8" operator="containsText" text="Ruta inactiva">
      <formula>NOT(ISERROR(SEARCH("Ruta inactiva",AK8)))</formula>
    </cfRule>
    <cfRule type="containsText" dxfId="19" priority="9" operator="containsText" text="No elegible">
      <formula>NOT(ISERROR(SEARCH("No elegible",AK8)))</formula>
    </cfRule>
    <cfRule type="containsText" dxfId="18" priority="10" operator="containsText" text="Sin datos">
      <formula>NOT(ISERROR(SEARCH("Sin datos",AK8)))</formula>
    </cfRule>
  </conditionalFormatting>
  <conditionalFormatting sqref="AL8:AL796">
    <cfRule type="containsText" dxfId="17" priority="40" operator="containsText" text="Baja">
      <formula>NOT(ISERROR(SEARCH("Baja",AL8)))</formula>
    </cfRule>
  </conditionalFormatting>
  <conditionalFormatting sqref="AS8:BB796">
    <cfRule type="containsText" dxfId="16" priority="11" operator="containsText" text="Sí">
      <formula>NOT(ISERROR(SEARCH("Sí",AS8)))</formula>
    </cfRule>
  </conditionalFormatting>
  <conditionalFormatting sqref="BD8:BD796">
    <cfRule type="containsText" dxfId="15" priority="54" operator="containsText" text="No saturada">
      <formula>NOT(ISERROR(SEARCH("No saturada",BD8)))</formula>
    </cfRule>
    <cfRule type="containsText" dxfId="14" priority="55" operator="containsText" text="Saturada">
      <formula>NOT(ISERROR(SEARCH("Saturada",BD8)))</formula>
    </cfRule>
  </conditionalFormatting>
  <conditionalFormatting sqref="BE8:BE796">
    <cfRule type="colorScale" priority="59">
      <colorScale>
        <cfvo type="min"/>
        <cfvo type="num" val="0.85"/>
        <cfvo type="max"/>
        <color rgb="FFC6E0B4"/>
        <color rgb="FFFFE699"/>
        <color rgb="FFF8CBAD"/>
      </colorScale>
    </cfRule>
  </conditionalFormatting>
  <conditionalFormatting sqref="BP8:BP796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8:BR796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8:BS796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8:BT796">
    <cfRule type="containsText" dxfId="13" priority="63" operator="containsText" text="Sin datos">
      <formula>NOT(ISERROR(SEARCH("Sin datos",BT8)))</formula>
    </cfRule>
    <cfRule type="containsText" dxfId="12" priority="64" operator="containsText" text="P1">
      <formula>NOT(ISERROR(SEARCH("P1",BT8)))</formula>
    </cfRule>
    <cfRule type="containsText" dxfId="11" priority="65" operator="containsText" text="P2">
      <formula>NOT(ISERROR(SEARCH("P2",BT8)))</formula>
    </cfRule>
    <cfRule type="containsText" dxfId="10" priority="66" operator="containsText" text="P3">
      <formula>NOT(ISERROR(SEARCH("P3",BT8)))</formula>
    </cfRule>
    <cfRule type="containsText" dxfId="9" priority="67" operator="containsText" text="P4">
      <formula>NOT(ISERROR(SEARCH("P4",BT8)))</formula>
    </cfRule>
  </conditionalFormatting>
  <conditionalFormatting sqref="BW8:BW796">
    <cfRule type="beginsWith" dxfId="8" priority="1" operator="beginsWith" text="P1">
      <formula>LEFT(BW8,LEN("P1"))="P1"</formula>
    </cfRule>
    <cfRule type="beginsWith" dxfId="7" priority="2" operator="beginsWith" text="P2">
      <formula>LEFT(BW8,LEN("P2"))="P2"</formula>
    </cfRule>
    <cfRule type="beginsWith" dxfId="6" priority="3" operator="beginsWith" text="P3">
      <formula>LEFT(BW8,LEN("P3"))="P3"</formula>
    </cfRule>
    <cfRule type="beginsWith" dxfId="5" priority="4" operator="beginsWith" text="P4">
      <formula>LEFT(BW8,LEN("P4"))="P4"</formula>
    </cfRule>
  </conditionalFormatting>
  <conditionalFormatting sqref="BW9:BW796">
    <cfRule type="containsText" dxfId="4" priority="49" operator="containsText" text="P1">
      <formula>NOT(ISERROR(SEARCH("P1",BW9)))</formula>
    </cfRule>
    <cfRule type="containsText" dxfId="3" priority="50" operator="containsText" text="P2">
      <formula>NOT(ISERROR(SEARCH("P2",BW9)))</formula>
    </cfRule>
    <cfRule type="containsText" dxfId="2" priority="51" operator="containsText" text="P3">
      <formula>NOT(ISERROR(SEARCH("P3",BW9)))</formula>
    </cfRule>
    <cfRule type="containsText" dxfId="1" priority="52" operator="containsText" text="P4">
      <formula>NOT(ISERROR(SEARCH("P4",BW9)))</formula>
    </cfRule>
    <cfRule type="containsText" dxfId="0" priority="53" operator="containsText" text="Sin datos">
      <formula>NOT(ISERROR(SEARCH("Sin datos",BW9)))</formula>
    </cfRule>
  </conditionalFormatting>
  <pageMargins left="0.7" right="0.7" top="0.75" bottom="0.75" header="0.3" footer="0.3"/>
  <pageSetup orientation="portrait" r:id="rId1"/>
  <ignoredErrors>
    <ignoredError sqref="BA8:BC796" calculatedColumn="1"/>
  </ignoredErrors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analisis segmento</vt:lpstr>
      <vt:lpstr>Base de datos Rutas</vt:lpstr>
      <vt:lpstr>Base de datos cedis</vt:lpstr>
      <vt:lpstr>Rentabilidad x Cedi</vt:lpstr>
      <vt:lpstr>Rentabilidad datos</vt:lpstr>
      <vt:lpstr>Análisis de KPIs</vt:lpstr>
      <vt:lpstr>Hoja de apoyo v2</vt:lpstr>
      <vt:lpstr>Estandares mix</vt:lpstr>
      <vt:lpstr>Analisis recomendación Rutas v2</vt:lpstr>
      <vt:lpstr>'Rentabilidad x Cedi'!Dia_A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Manuel Gutierrez</dc:creator>
  <cp:lastModifiedBy>Luis Manuel Gutierrez</cp:lastModifiedBy>
  <dcterms:created xsi:type="dcterms:W3CDTF">2026-08-25T22:36:05Z</dcterms:created>
  <dcterms:modified xsi:type="dcterms:W3CDTF">2026-09-25T18:24:26Z</dcterms:modified>
</cp:coreProperties>
</file>